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4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up" sheetId="2" state="visible" r:id="rId2"/>
    <sheet name="Dashboard" sheetId="3" state="visible" r:id="rId3"/>
    <sheet name="Recurring Schedule" sheetId="4" state="visible" r:id="rId4"/>
    <sheet name="Variable Tasks" sheetId="5" state="visible" r:id="rId5"/>
    <sheet name="Recurring Log" sheetId="6" state="visible" r:id="rId6"/>
    <sheet name="Tasks Filter" sheetId="7" state="visible" r:id="rId7"/>
    <sheet name="Daily" sheetId="8" state="visible" r:id="rId8"/>
    <sheet name="Weekly" sheetId="9" state="visible" r:id="rId9"/>
    <sheet name="Monthly" sheetId="10" state="visible" r:id="rId10"/>
    <sheet name="Decision Matrix" sheetId="11" state="visible" r:id="rId11"/>
    <sheet name="Habit Tracker" sheetId="12" state="visible" r:id="rId12"/>
    <sheet name="Gratitude Log" sheetId="13" state="visible" r:id="rId13"/>
    <sheet name="Goals" sheetId="14" state="visible" r:id="rId14"/>
    <sheet name="Lists" sheetId="15" state="hidden" r:id="rId15"/>
    <sheet name="Calc" sheetId="16" state="hidden" r:id="rId16"/>
  </sheets>
  <definedNames>
    <definedName name="TaskCat">Calc!$AV$2:$AV$2001</definedName>
    <definedName name="TaskDone">Calc!$BG$2:$BG$2001</definedName>
    <definedName name="TaskDue">Calc!$AW$2:$AW$2001</definedName>
    <definedName name="TaskStat">Calc!$AZ$2:$AZ$2001</definedName>
    <definedName name="_xlnm._FilterDatabase" localSheetId="4" hidden="1">'Variable Tasks'!$B$5:$P$505</definedName>
    <definedName name="_xlnm._FilterDatabase" localSheetId="5" hidden="1">'Recurring Log'!$B$5:$P$1505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0;-0;0"/>
    <numFmt numFmtId="166" formatCode="mmmm d, yyyy"/>
    <numFmt numFmtId="167" formatCode="0%;-0%;&quot;0%&quot;"/>
    <numFmt numFmtId="168" formatCode="d"/>
    <numFmt numFmtId="169" formatCode="0.0"/>
  </numFmts>
  <fonts count="58">
    <font>
      <name val="Calibri"/>
      <family val="2"/>
      <color theme="1"/>
      <sz val="11"/>
      <scheme val="minor"/>
    </font>
    <font>
      <name val="Arial"/>
      <color rgb="00ECECF4"/>
      <sz val="10"/>
    </font>
    <font>
      <name val="Arial"/>
      <b val="1"/>
      <color rgb="00ECECF4"/>
      <sz val="20"/>
    </font>
    <font>
      <name val="Arial"/>
      <i val="1"/>
      <color rgb="009C9CB4"/>
      <sz val="9"/>
    </font>
    <font>
      <name val="Arial"/>
      <b val="1"/>
      <color rgb="00121218"/>
      <sz val="11"/>
    </font>
    <font>
      <name val="Arial"/>
      <color rgb="009C9CB4"/>
      <sz val="9"/>
    </font>
    <font>
      <name val="Arial"/>
      <b val="1"/>
      <color rgb="00121218"/>
      <sz val="10"/>
    </font>
    <font>
      <name val="Arial"/>
      <b val="1"/>
      <color rgb="00ECECF4"/>
      <sz val="10"/>
    </font>
    <font>
      <name val="Arial"/>
      <i val="1"/>
      <color rgb="009C9CB4"/>
      <sz val="8"/>
    </font>
    <font>
      <name val="Arial"/>
      <i val="1"/>
      <color rgb="009C9CB4"/>
      <sz val="7"/>
    </font>
    <font>
      <name val="Arial"/>
      <b val="1"/>
      <color rgb="00ECECF4"/>
      <sz val="18"/>
    </font>
    <font>
      <name val="Arial"/>
      <b val="1"/>
      <color rgb="009C9CB4"/>
      <sz val="8"/>
    </font>
    <font>
      <name val="Arial"/>
      <color rgb="009C9CB4"/>
      <sz val="8"/>
    </font>
    <font>
      <name val="Arial"/>
      <b val="1"/>
      <color rgb="00ECECF4"/>
      <sz val="11"/>
    </font>
    <font>
      <name val="Arial"/>
      <color rgb="00ECECF4"/>
      <sz val="9"/>
    </font>
    <font>
      <name val="Arial"/>
      <b val="1"/>
      <color rgb="00ECECF4"/>
      <sz val="22"/>
    </font>
    <font>
      <name val="Arial"/>
      <b val="1"/>
      <color rgb="00121218"/>
      <sz val="9"/>
    </font>
    <font>
      <name val="Arial"/>
      <b val="1"/>
      <color rgb="0035D6BE"/>
      <sz val="18"/>
    </font>
    <font>
      <name val="Arial"/>
      <b val="1"/>
      <color rgb="00FF4F8B"/>
      <sz val="18"/>
    </font>
    <font>
      <name val="Arial"/>
      <b val="1"/>
      <color rgb="00FFB224"/>
      <sz val="14"/>
    </font>
    <font>
      <name val="Arial"/>
      <b val="1"/>
      <color rgb="009D8CF7"/>
      <sz val="14"/>
    </font>
    <font>
      <name val="Arial"/>
      <b val="1"/>
      <color rgb="0035D6BE"/>
      <sz val="9"/>
    </font>
    <font>
      <name val="Arial"/>
      <b val="1"/>
      <color rgb="009C9CB4"/>
      <sz val="9"/>
    </font>
    <font>
      <name val="Arial"/>
      <b val="1"/>
      <color rgb="00ECECF4"/>
      <sz val="13"/>
    </font>
    <font>
      <name val="Arial"/>
      <b val="1"/>
      <color rgb="0035D6BE"/>
      <sz val="10"/>
    </font>
    <font>
      <name val="Arial"/>
      <b val="1"/>
      <color rgb="00121218"/>
      <sz val="12"/>
    </font>
    <font>
      <name val="Arial"/>
      <b val="1"/>
      <color rgb="00FF4F8B"/>
      <sz val="9"/>
    </font>
    <font>
      <name val="Arial"/>
      <b val="1"/>
      <color rgb="00FFB224"/>
      <sz val="9"/>
    </font>
    <font>
      <name val="Arial"/>
      <b val="1"/>
      <color rgb="009D8CF7"/>
      <sz val="9"/>
    </font>
    <font>
      <name val="Arial"/>
      <b val="1"/>
      <color rgb="00ECECF4"/>
      <sz val="24"/>
    </font>
    <font>
      <name val="Arial"/>
      <b val="1"/>
      <color rgb="0035D6BE"/>
      <sz val="11"/>
    </font>
    <font>
      <name val="Arial"/>
      <b val="1"/>
      <color rgb="00ECECF4"/>
      <sz val="9"/>
    </font>
    <font>
      <name val="Arial"/>
      <i val="1"/>
      <color rgb="00ECECF4"/>
      <sz val="10"/>
    </font>
    <font>
      <name val="Arial"/>
      <b val="1"/>
      <color rgb="00FFB224"/>
      <sz val="10"/>
    </font>
    <font>
      <name val="Arial"/>
      <b val="1"/>
      <color rgb="00ECECF4"/>
      <sz val="12"/>
    </font>
    <font>
      <name val="Arial"/>
      <color rgb="00ECECF4"/>
      <sz val="8"/>
    </font>
    <font>
      <name val="Arial"/>
      <b val="1"/>
      <color rgb="00FF4F8B"/>
      <sz val="20"/>
    </font>
    <font>
      <name val="Arial"/>
      <b val="1"/>
      <color rgb="00ECECF4"/>
      <sz val="16"/>
    </font>
    <font>
      <name val="Arial"/>
      <b val="1"/>
      <color rgb="00FF4F8B"/>
      <sz val="10"/>
    </font>
    <font>
      <name val="Arial"/>
      <b val="1"/>
      <color rgb="0035D6BE"/>
      <sz val="20"/>
    </font>
    <font>
      <name val="Arial"/>
      <b val="1"/>
      <color rgb="00FFB224"/>
      <sz val="20"/>
    </font>
    <font>
      <name val="Arial"/>
      <b val="1"/>
      <color rgb="009D8CF7"/>
      <sz val="20"/>
    </font>
    <font>
      <name val="Arial"/>
      <b val="1"/>
      <color rgb="009D8CF7"/>
      <sz val="10"/>
    </font>
    <font>
      <name val="Arial"/>
      <b val="1"/>
      <color rgb="00121218"/>
      <sz val="8"/>
    </font>
    <font>
      <name val="Arial"/>
      <b val="1"/>
      <color rgb="00ECECF4"/>
      <sz val="7"/>
    </font>
    <font>
      <name val="Arial"/>
      <color rgb="009C9CB4"/>
      <sz val="7"/>
    </font>
    <font>
      <name val="Arial"/>
      <color rgb="009C9CB4"/>
      <sz val="6"/>
    </font>
    <font>
      <name val="Arial"/>
      <b val="1"/>
      <color rgb="00FF7AB8"/>
      <sz val="9"/>
    </font>
    <font>
      <name val="Arial"/>
      <b val="1"/>
      <color rgb="005AB4FF"/>
      <sz val="9"/>
    </font>
    <font>
      <name val="Arial"/>
      <b val="1"/>
      <color rgb="007BE08A"/>
      <sz val="9"/>
    </font>
    <font>
      <name val="Arial"/>
      <b val="1"/>
      <color rgb="00F6A6D1"/>
      <sz val="9"/>
    </font>
    <font>
      <name val="Arial"/>
      <b val="1"/>
      <color rgb="00FF7AB8"/>
      <sz val="12"/>
    </font>
    <font>
      <name val="Arial"/>
      <b val="1"/>
      <color rgb="007BE08A"/>
      <sz val="28"/>
    </font>
    <font>
      <name val="Arial"/>
      <b val="1"/>
      <color rgb="00FF7AB8"/>
      <sz val="20"/>
    </font>
    <font>
      <name val="Arial"/>
      <b val="1"/>
      <color rgb="005AB4FF"/>
      <sz val="20"/>
    </font>
    <font>
      <name val="Arial"/>
      <b val="1"/>
      <color rgb="007BE08A"/>
      <sz val="20"/>
    </font>
    <font>
      <name val="Arial"/>
      <b val="1"/>
      <color rgb="00F6A6D1"/>
      <sz val="20"/>
    </font>
    <font>
      <name val="Arial"/>
      <b val="1"/>
      <color rgb="00FFB224"/>
      <sz val="11"/>
    </font>
  </fonts>
  <fills count="17">
    <fill>
      <patternFill/>
    </fill>
    <fill>
      <patternFill patternType="gray125"/>
    </fill>
    <fill>
      <patternFill patternType="solid">
        <fgColor rgb="00121218"/>
        <bgColor rgb="00121218"/>
      </patternFill>
    </fill>
    <fill>
      <patternFill patternType="solid">
        <fgColor rgb="009D8CF7"/>
        <bgColor rgb="009D8CF7"/>
      </patternFill>
    </fill>
    <fill>
      <patternFill patternType="solid">
        <fgColor rgb="001C1C27"/>
        <bgColor rgb="001C1C27"/>
      </patternFill>
    </fill>
    <fill>
      <patternFill patternType="solid">
        <fgColor rgb="00FFF3B0"/>
        <bgColor rgb="00FFF3B0"/>
      </patternFill>
    </fill>
    <fill>
      <patternFill patternType="solid">
        <fgColor rgb="005AB4FF"/>
        <bgColor rgb="005AB4FF"/>
      </patternFill>
    </fill>
    <fill>
      <patternFill patternType="solid">
        <fgColor rgb="0035D6BE"/>
        <bgColor rgb="0035D6BE"/>
      </patternFill>
    </fill>
    <fill>
      <patternFill patternType="solid">
        <fgColor rgb="00FF7AB8"/>
        <bgColor rgb="00FF7AB8"/>
      </patternFill>
    </fill>
    <fill>
      <patternFill patternType="solid">
        <fgColor rgb="00FFB224"/>
        <bgColor rgb="00FFB224"/>
      </patternFill>
    </fill>
    <fill>
      <patternFill patternType="solid">
        <fgColor rgb="005C5C78"/>
        <bgColor rgb="005C5C78"/>
      </patternFill>
    </fill>
    <fill>
      <patternFill patternType="solid">
        <fgColor rgb="002E2A1E"/>
        <bgColor rgb="002E2A1E"/>
      </patternFill>
    </fill>
    <fill>
      <patternFill patternType="solid">
        <fgColor rgb="0023232F"/>
        <bgColor rgb="0023232F"/>
      </patternFill>
    </fill>
    <fill>
      <patternFill patternType="solid">
        <fgColor rgb="00FF4F8B"/>
        <bgColor rgb="00FF4F8B"/>
      </patternFill>
    </fill>
    <fill>
      <patternFill patternType="solid">
        <fgColor rgb="007BE08A"/>
        <bgColor rgb="007BE08A"/>
      </patternFill>
    </fill>
    <fill>
      <patternFill patternType="solid">
        <fgColor rgb="002A2A3A"/>
        <bgColor rgb="002A2A3A"/>
      </patternFill>
    </fill>
    <fill>
      <patternFill patternType="solid">
        <fgColor rgb="00F6A6D1"/>
        <bgColor rgb="00F6A6D1"/>
      </patternFill>
    </fill>
  </fills>
  <borders count="7">
    <border>
      <left/>
      <right/>
      <top/>
      <bottom/>
      <diagonal/>
    </border>
    <border>
      <left style="thin">
        <color rgb="003A3A4C"/>
      </left>
      <right style="thin">
        <color rgb="003A3A4C"/>
      </right>
      <top style="thin">
        <color rgb="003A3A4C"/>
      </top>
      <bottom style="thin">
        <color rgb="003A3A4C"/>
      </bottom>
    </border>
    <border>
      <bottom style="thin">
        <color rgb="003A3A4C"/>
      </bottom>
    </border>
    <border>
      <left/>
      <right/>
      <top style="thin">
        <color rgb="003A3A4C"/>
      </top>
      <bottom/>
      <diagonal/>
    </border>
    <border>
      <left/>
      <right style="thin">
        <color rgb="003A3A4C"/>
      </right>
      <top style="thin">
        <color rgb="003A3A4C"/>
      </top>
      <bottom/>
      <diagonal/>
    </border>
    <border>
      <left/>
      <right style="thin">
        <color rgb="003A3A4C"/>
      </right>
      <top style="thin">
        <color rgb="003A3A4C"/>
      </top>
      <bottom style="thin">
        <color rgb="003A3A4C"/>
      </bottom>
      <diagonal/>
    </border>
    <border>
      <left style="thin">
        <color rgb="002A2A38"/>
      </left>
    </border>
  </borders>
  <cellStyleXfs count="1">
    <xf numFmtId="0" fontId="0" fillId="0" borderId="0"/>
  </cellStyleXfs>
  <cellXfs count="187">
    <xf numFmtId="0" fontId="0" fillId="0" borderId="0" pivotButton="0" quotePrefix="0" xfId="0"/>
    <xf numFmtId="0" fontId="1" fillId="2" borderId="0" pivotButton="0" quotePrefix="0" xfId="0"/>
    <xf numFmtId="0" fontId="29" fillId="2" borderId="0" applyAlignment="1" pivotButton="0" quotePrefix="0" xfId="0">
      <alignment horizontal="left" vertical="center" indent="1"/>
    </xf>
    <xf numFmtId="0" fontId="30" fillId="2" borderId="0" pivotButton="0" quotePrefix="0" xfId="0"/>
    <xf numFmtId="0" fontId="57" fillId="2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2" borderId="0" applyAlignment="1" pivotButton="0" quotePrefix="0" xfId="0">
      <alignment horizontal="left" vertical="center" indent="1"/>
    </xf>
    <xf numFmtId="0" fontId="3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1" fillId="3" borderId="0" pivotButton="0" quotePrefix="0" xfId="0"/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15" fontId="6" fillId="5" borderId="1" applyAlignment="1" pivotButton="0" quotePrefix="0" xfId="0">
      <alignment horizontal="center" vertical="center"/>
    </xf>
    <xf numFmtId="0" fontId="9" fillId="2" borderId="0" pivotButton="0" quotePrefix="0" xfId="0"/>
    <xf numFmtId="0" fontId="6" fillId="5" borderId="1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15" fontId="7" fillId="4" borderId="0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8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2" borderId="0" pivotButton="0" quotePrefix="0" xfId="0"/>
    <xf numFmtId="0" fontId="22" fillId="4" borderId="0" applyAlignment="1" pivotButton="0" quotePrefix="0" xfId="0">
      <alignment horizontal="center" vertical="center"/>
    </xf>
    <xf numFmtId="0" fontId="1" fillId="7" borderId="0" pivotButton="0" quotePrefix="0" xfId="0"/>
    <xf numFmtId="167" fontId="25" fillId="7" borderId="0" applyAlignment="1" pivotButton="0" quotePrefix="0" xfId="0">
      <alignment horizontal="center" vertical="center"/>
    </xf>
    <xf numFmtId="0" fontId="1" fillId="9" borderId="0" pivotButton="0" quotePrefix="0" xfId="0"/>
    <xf numFmtId="167" fontId="25" fillId="9" borderId="0" applyAlignment="1" pivotButton="0" quotePrefix="0" xfId="0">
      <alignment horizontal="center" vertical="center"/>
    </xf>
    <xf numFmtId="166" fontId="23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8" fillId="4" borderId="0" pivotButton="0" quotePrefix="0" xfId="0"/>
    <xf numFmtId="15" fontId="1" fillId="2" borderId="0" pivotButton="0" quotePrefix="0" xfId="0"/>
    <xf numFmtId="0" fontId="1" fillId="4" borderId="0" pivotButton="0" quotePrefix="0" xfId="0"/>
    <xf numFmtId="0" fontId="14" fillId="4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left" vertical="center" indent="1"/>
    </xf>
    <xf numFmtId="15" fontId="14" fillId="4" borderId="2" applyAlignment="1" pivotButton="0" quotePrefix="0" xfId="0">
      <alignment horizontal="center" vertical="center"/>
    </xf>
    <xf numFmtId="0" fontId="24" fillId="4" borderId="0" applyAlignment="1" pivotButton="0" quotePrefix="0" xfId="0">
      <alignment horizontal="left" vertical="center" indent="1"/>
    </xf>
    <xf numFmtId="0" fontId="16" fillId="3" borderId="0" applyAlignment="1" pivotButton="0" quotePrefix="0" xfId="0">
      <alignment horizontal="left" vertical="center" indent="1"/>
    </xf>
    <xf numFmtId="0" fontId="16" fillId="13" borderId="0" applyAlignment="1" pivotButton="0" quotePrefix="0" xfId="0">
      <alignment horizontal="center" vertical="center"/>
    </xf>
    <xf numFmtId="0" fontId="1" fillId="13" borderId="0" pivotButton="0" quotePrefix="0" xfId="0"/>
    <xf numFmtId="0" fontId="16" fillId="8" borderId="0" applyAlignment="1" pivotButton="0" quotePrefix="0" xfId="0">
      <alignment horizontal="center" vertical="center"/>
    </xf>
    <xf numFmtId="0" fontId="1" fillId="8" borderId="0" pivotButton="0" quotePrefix="0" xfId="0"/>
    <xf numFmtId="0" fontId="14" fillId="4" borderId="0" applyAlignment="1" pivotButton="0" quotePrefix="0" xfId="0">
      <alignment horizontal="left" vertical="center" indent="1"/>
    </xf>
    <xf numFmtId="1" fontId="7" fillId="4" borderId="0" applyAlignment="1" pivotButton="0" quotePrefix="0" xfId="0">
      <alignment horizontal="center" vertical="center"/>
    </xf>
    <xf numFmtId="0" fontId="26" fillId="4" borderId="0" applyAlignment="1" pivotButton="0" quotePrefix="0" xfId="0">
      <alignment horizontal="left" vertical="center" indent="1"/>
    </xf>
    <xf numFmtId="1" fontId="5" fillId="4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 vertical="center" indent="1"/>
    </xf>
    <xf numFmtId="0" fontId="27" fillId="4" borderId="0" applyAlignment="1" pivotButton="0" quotePrefix="0" xfId="0">
      <alignment horizontal="left" vertical="center" indent="1"/>
    </xf>
    <xf numFmtId="0" fontId="28" fillId="4" borderId="0" applyAlignment="1" pivotButton="0" quotePrefix="0" xfId="0">
      <alignment horizontal="left" vertical="center" indent="1"/>
    </xf>
    <xf numFmtId="0" fontId="16" fillId="6" borderId="0" applyAlignment="1" pivotButton="0" quotePrefix="0" xfId="0">
      <alignment horizontal="center" vertical="center"/>
    </xf>
    <xf numFmtId="0" fontId="1" fillId="6" borderId="0" pivotButton="0" quotePrefix="0" xfId="0"/>
    <xf numFmtId="0" fontId="4" fillId="13" borderId="0" applyAlignment="1" pivotButton="0" quotePrefix="0" xfId="0">
      <alignment horizontal="center" vertical="center"/>
    </xf>
    <xf numFmtId="1" fontId="25" fillId="13" borderId="0" applyAlignment="1" pivotButton="0" quotePrefix="0" xfId="0">
      <alignment horizontal="center" vertical="center"/>
    </xf>
    <xf numFmtId="1" fontId="14" fillId="4" borderId="2" applyAlignment="1" pivotButton="0" quotePrefix="0" xfId="0">
      <alignment horizontal="center" vertical="center"/>
    </xf>
    <xf numFmtId="0" fontId="16" fillId="9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3" fillId="0" borderId="0" pivotButton="0" quotePrefix="0" xfId="0"/>
    <xf numFmtId="0" fontId="13" fillId="10" borderId="0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left" vertical="center" indent="1"/>
    </xf>
    <xf numFmtId="0" fontId="14" fillId="11" borderId="2" applyAlignment="1" pivotButton="0" quotePrefix="0" xfId="0">
      <alignment horizontal="center" vertical="center"/>
    </xf>
    <xf numFmtId="15" fontId="14" fillId="11" borderId="2" applyAlignment="1" pivotButton="0" quotePrefix="0" xfId="0">
      <alignment horizontal="center" vertical="center"/>
    </xf>
    <xf numFmtId="165" fontId="14" fillId="4" borderId="2" applyAlignment="1" pivotButton="0" quotePrefix="0" xfId="0">
      <alignment horizontal="center" vertical="center"/>
    </xf>
    <xf numFmtId="18" fontId="14" fillId="11" borderId="2" applyAlignment="1" pivotButton="0" quotePrefix="0" xfId="0">
      <alignment horizontal="center" vertical="center"/>
    </xf>
    <xf numFmtId="9" fontId="14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165" fontId="14" fillId="12" borderId="2" applyAlignment="1" pivotButton="0" quotePrefix="0" xfId="0">
      <alignment horizontal="center" vertical="center"/>
    </xf>
    <xf numFmtId="0" fontId="14" fillId="12" borderId="2" applyAlignment="1" pivotButton="0" quotePrefix="0" xfId="0">
      <alignment horizontal="center" vertical="center"/>
    </xf>
    <xf numFmtId="18" fontId="14" fillId="4" borderId="2" applyAlignment="1" pivotButton="0" quotePrefix="0" xfId="0">
      <alignment horizontal="center" vertical="center"/>
    </xf>
    <xf numFmtId="0" fontId="14" fillId="12" borderId="2" applyAlignment="1" pivotButton="0" quotePrefix="0" xfId="0">
      <alignment horizontal="left" vertical="center" indent="1"/>
    </xf>
    <xf numFmtId="15" fontId="14" fillId="12" borderId="2" applyAlignment="1" pivotButton="0" quotePrefix="0" xfId="0">
      <alignment horizontal="center" vertical="center"/>
    </xf>
    <xf numFmtId="18" fontId="14" fillId="12" borderId="2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 indent="1"/>
    </xf>
    <xf numFmtId="0" fontId="16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right" vertical="center"/>
    </xf>
    <xf numFmtId="1" fontId="17" fillId="4" borderId="0" applyAlignment="1" pivotButton="0" quotePrefix="0" xfId="0">
      <alignment horizontal="center" vertical="center"/>
    </xf>
    <xf numFmtId="1" fontId="18" fillId="4" borderId="0" applyAlignment="1" pivotButton="0" quotePrefix="0" xfId="0">
      <alignment horizontal="center" vertical="center"/>
    </xf>
    <xf numFmtId="1" fontId="19" fillId="4" borderId="0" applyAlignment="1" pivotButton="0" quotePrefix="0" xfId="0">
      <alignment horizontal="center" vertical="center"/>
    </xf>
    <xf numFmtId="1" fontId="20" fillId="4" borderId="0" applyAlignment="1" pivotButton="0" quotePrefix="0" xfId="0">
      <alignment horizontal="center" vertical="center"/>
    </xf>
    <xf numFmtId="9" fontId="14" fillId="12" borderId="2" applyAlignment="1" pivotButton="0" quotePrefix="0" xfId="0">
      <alignment horizontal="center" vertical="center"/>
    </xf>
    <xf numFmtId="0" fontId="21" fillId="12" borderId="2" applyAlignment="1" pivotButton="0" quotePrefix="0" xfId="0">
      <alignment horizontal="left" vertical="center" indent="1"/>
    </xf>
    <xf numFmtId="9" fontId="14" fillId="4" borderId="2" applyAlignment="1" pivotButton="0" quotePrefix="0" xfId="0">
      <alignment horizontal="center" vertical="center"/>
    </xf>
    <xf numFmtId="0" fontId="21" fillId="4" borderId="2" applyAlignment="1" pivotButton="0" quotePrefix="0" xfId="0">
      <alignment horizontal="left" vertical="center" indent="1"/>
    </xf>
    <xf numFmtId="0" fontId="29" fillId="4" borderId="0" applyAlignment="1" pivotButton="0" quotePrefix="0" xfId="0">
      <alignment horizontal="left" vertical="center" indent="1"/>
    </xf>
    <xf numFmtId="0" fontId="30" fillId="2" borderId="0" applyAlignment="1" pivotButton="0" quotePrefix="0" xfId="0">
      <alignment horizontal="left" vertical="center" indent="1"/>
    </xf>
    <xf numFmtId="18" fontId="5" fillId="4" borderId="2" applyAlignment="1" pivotButton="0" quotePrefix="0" xfId="0">
      <alignment horizontal="center" vertical="center"/>
    </xf>
    <xf numFmtId="0" fontId="31" fillId="4" borderId="2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left" vertical="top" wrapText="1" indent="1"/>
    </xf>
    <xf numFmtId="0" fontId="32" fillId="4" borderId="0" applyAlignment="1" pivotButton="0" quotePrefix="0" xfId="0">
      <alignment horizontal="left" vertical="top" wrapText="1" indent="1"/>
    </xf>
    <xf numFmtId="0" fontId="33" fillId="4" borderId="2" applyAlignment="1" pivotButton="0" quotePrefix="0" xfId="0">
      <alignment horizontal="center" vertical="center"/>
    </xf>
    <xf numFmtId="0" fontId="5" fillId="2" borderId="0" pivotButton="0" quotePrefix="0" xfId="0"/>
    <xf numFmtId="0" fontId="6" fillId="13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/>
    </xf>
    <xf numFmtId="167" fontId="34" fillId="4" borderId="0" applyAlignment="1" pivotButton="0" quotePrefix="0" xfId="0">
      <alignment horizontal="center" vertical="center"/>
    </xf>
    <xf numFmtId="0" fontId="35" fillId="4" borderId="2" applyAlignment="1" pivotButton="0" quotePrefix="0" xfId="0">
      <alignment horizontal="left" vertical="center" indent="1"/>
    </xf>
    <xf numFmtId="0" fontId="1" fillId="2" borderId="2" pivotButton="0" quotePrefix="0" xfId="0"/>
    <xf numFmtId="18" fontId="12" fillId="4" borderId="2" applyAlignment="1" pivotButton="0" quotePrefix="0" xfId="0">
      <alignment horizontal="center" vertical="center"/>
    </xf>
    <xf numFmtId="0" fontId="5" fillId="4" borderId="0" applyAlignment="1" pivotButton="0" quotePrefix="0" xfId="0">
      <alignment horizontal="right" vertical="center"/>
    </xf>
    <xf numFmtId="0" fontId="13" fillId="15" borderId="0" applyAlignment="1" pivotButton="0" quotePrefix="0" xfId="0">
      <alignment horizontal="left" vertical="center" indent="1"/>
    </xf>
    <xf numFmtId="0" fontId="35" fillId="4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0" fillId="0" borderId="5" pivotButton="0" quotePrefix="0" xfId="0"/>
    <xf numFmtId="0" fontId="25" fillId="13" borderId="0" applyAlignment="1" pivotButton="0" quotePrefix="0" xfId="0">
      <alignment horizontal="center" vertical="center"/>
    </xf>
    <xf numFmtId="0" fontId="25" fillId="7" borderId="0" applyAlignment="1" pivotButton="0" quotePrefix="0" xfId="0">
      <alignment horizontal="center" vertical="center"/>
    </xf>
    <xf numFmtId="0" fontId="25" fillId="9" borderId="0" applyAlignment="1" pivotButton="0" quotePrefix="0" xfId="0">
      <alignment horizontal="center" vertical="center"/>
    </xf>
    <xf numFmtId="0" fontId="25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indent="1"/>
    </xf>
    <xf numFmtId="1" fontId="36" fillId="4" borderId="0" applyAlignment="1" pivotButton="0" quotePrefix="0" xfId="0">
      <alignment horizontal="left" vertical="center" indent="1"/>
    </xf>
    <xf numFmtId="1" fontId="37" fillId="4" borderId="0" applyAlignment="1" pivotButton="0" quotePrefix="0" xfId="0">
      <alignment horizontal="center" vertical="center"/>
    </xf>
    <xf numFmtId="1" fontId="39" fillId="4" borderId="0" applyAlignment="1" pivotButton="0" quotePrefix="0" xfId="0">
      <alignment horizontal="left" vertical="center" indent="1"/>
    </xf>
    <xf numFmtId="1" fontId="40" fillId="4" borderId="0" applyAlignment="1" pivotButton="0" quotePrefix="0" xfId="0">
      <alignment horizontal="left" vertical="center" indent="1"/>
    </xf>
    <xf numFmtId="1" fontId="41" fillId="4" borderId="0" applyAlignment="1" pivotButton="0" quotePrefix="0" xfId="0">
      <alignment horizontal="left" vertical="center" indent="1"/>
    </xf>
    <xf numFmtId="167" fontId="7" fillId="4" borderId="0" applyAlignment="1" pivotButton="0" quotePrefix="0" xfId="0">
      <alignment horizontal="center" vertical="center"/>
    </xf>
    <xf numFmtId="0" fontId="11" fillId="4" borderId="0" pivotButton="0" quotePrefix="0" xfId="0"/>
    <xf numFmtId="0" fontId="38" fillId="4" borderId="2" applyAlignment="1" pivotButton="0" quotePrefix="0" xfId="0">
      <alignment horizontal="center" vertical="center"/>
    </xf>
    <xf numFmtId="0" fontId="24" fillId="4" borderId="2" applyAlignment="1" pivotButton="0" quotePrefix="0" xfId="0">
      <alignment horizontal="center" vertical="center"/>
    </xf>
    <xf numFmtId="0" fontId="42" fillId="4" borderId="2" applyAlignment="1" pivotButton="0" quotePrefix="0" xfId="0">
      <alignment horizontal="center" vertical="center"/>
    </xf>
    <xf numFmtId="167" fontId="19" fillId="4" borderId="0" applyAlignment="1" pivotButton="0" quotePrefix="0" xfId="0">
      <alignment horizontal="center" vertical="center"/>
    </xf>
    <xf numFmtId="0" fontId="12" fillId="4" borderId="0" pivotButton="0" quotePrefix="0" xfId="0"/>
    <xf numFmtId="0" fontId="43" fillId="3" borderId="0" applyAlignment="1" pivotButton="0" quotePrefix="0" xfId="0">
      <alignment horizontal="center" vertical="center"/>
    </xf>
    <xf numFmtId="0" fontId="43" fillId="7" borderId="0" applyAlignment="1" pivotButton="0" quotePrefix="0" xfId="0">
      <alignment horizontal="center" vertical="center"/>
    </xf>
    <xf numFmtId="0" fontId="43" fillId="9" borderId="0" applyAlignment="1" pivotButton="0" quotePrefix="0" xfId="0">
      <alignment horizontal="center" vertical="center"/>
    </xf>
    <xf numFmtId="0" fontId="43" fillId="8" borderId="0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3" fillId="13" borderId="0" applyAlignment="1" pivotButton="0" quotePrefix="0" xfId="0">
      <alignment horizontal="center" vertical="center"/>
    </xf>
    <xf numFmtId="0" fontId="43" fillId="14" borderId="0" applyAlignment="1" pivotButton="0" quotePrefix="0" xfId="0">
      <alignment horizontal="center" vertical="center"/>
    </xf>
    <xf numFmtId="0" fontId="1" fillId="14" borderId="0" pivotButton="0" quotePrefix="0" xfId="0"/>
    <xf numFmtId="0" fontId="43" fillId="16" borderId="0" applyAlignment="1" pivotButton="0" quotePrefix="0" xfId="0">
      <alignment horizontal="center" vertical="center"/>
    </xf>
    <xf numFmtId="0" fontId="1" fillId="16" borderId="0" pivotButton="0" quotePrefix="0" xfId="0"/>
    <xf numFmtId="168" fontId="44" fillId="4" borderId="0" applyAlignment="1" pivotButton="0" quotePrefix="0" xfId="0">
      <alignment horizontal="center" vertical="center"/>
    </xf>
    <xf numFmtId="0" fontId="45" fillId="4" borderId="0" applyAlignment="1" pivotButton="0" quotePrefix="0" xfId="0">
      <alignment horizontal="center" vertical="center"/>
    </xf>
    <xf numFmtId="167" fontId="31" fillId="4" borderId="0" applyAlignment="1" pivotButton="0" quotePrefix="0" xfId="0">
      <alignment horizontal="center" vertical="center"/>
    </xf>
    <xf numFmtId="0" fontId="43" fillId="4" borderId="6" applyAlignment="1" pivotButton="0" quotePrefix="0" xfId="0">
      <alignment horizontal="center" vertical="center"/>
    </xf>
    <xf numFmtId="0" fontId="43" fillId="12" borderId="6" applyAlignment="1" pivotButton="0" quotePrefix="0" xfId="0">
      <alignment horizontal="center" vertical="center"/>
    </xf>
    <xf numFmtId="9" fontId="46" fillId="4" borderId="0" applyAlignment="1" pivotButton="0" quotePrefix="0" xfId="0">
      <alignment horizontal="center" vertical="center"/>
    </xf>
    <xf numFmtId="167" fontId="28" fillId="4" borderId="0" applyAlignment="1" pivotButton="0" quotePrefix="0" xfId="0">
      <alignment horizontal="center" vertical="center"/>
    </xf>
    <xf numFmtId="167" fontId="21" fillId="4" borderId="0" applyAlignment="1" pivotButton="0" quotePrefix="0" xfId="0">
      <alignment horizontal="center" vertical="center"/>
    </xf>
    <xf numFmtId="167" fontId="27" fillId="4" borderId="0" applyAlignment="1" pivotButton="0" quotePrefix="0" xfId="0">
      <alignment horizontal="center" vertical="center"/>
    </xf>
    <xf numFmtId="167" fontId="47" fillId="4" borderId="0" applyAlignment="1" pivotButton="0" quotePrefix="0" xfId="0">
      <alignment horizontal="center" vertical="center"/>
    </xf>
    <xf numFmtId="167" fontId="48" fillId="4" borderId="0" applyAlignment="1" pivotButton="0" quotePrefix="0" xfId="0">
      <alignment horizontal="center" vertical="center"/>
    </xf>
    <xf numFmtId="167" fontId="26" fillId="4" borderId="0" applyAlignment="1" pivotButton="0" quotePrefix="0" xfId="0">
      <alignment horizontal="center" vertical="center"/>
    </xf>
    <xf numFmtId="167" fontId="49" fillId="4" borderId="0" applyAlignment="1" pivotButton="0" quotePrefix="0" xfId="0">
      <alignment horizontal="center" vertical="center"/>
    </xf>
    <xf numFmtId="167" fontId="50" fillId="4" borderId="0" applyAlignment="1" pivotButton="0" quotePrefix="0" xfId="0">
      <alignment horizontal="center" vertical="center"/>
    </xf>
    <xf numFmtId="169" fontId="51" fillId="4" borderId="0" applyAlignment="1" pivotButton="0" quotePrefix="0" xfId="0">
      <alignment horizontal="center" vertical="center"/>
    </xf>
    <xf numFmtId="0" fontId="43" fillId="12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 indent="1"/>
    </xf>
    <xf numFmtId="169" fontId="28" fillId="4" borderId="0" applyAlignment="1" pivotButton="0" quotePrefix="0" xfId="0">
      <alignment horizontal="center" vertical="center"/>
    </xf>
    <xf numFmtId="169" fontId="21" fillId="4" borderId="0" applyAlignment="1" pivotButton="0" quotePrefix="0" xfId="0">
      <alignment horizontal="center" vertical="center"/>
    </xf>
    <xf numFmtId="169" fontId="27" fillId="4" borderId="0" applyAlignment="1" pivotButton="0" quotePrefix="0" xfId="0">
      <alignment horizontal="center" vertical="center"/>
    </xf>
    <xf numFmtId="169" fontId="47" fillId="4" borderId="0" applyAlignment="1" pivotButton="0" quotePrefix="0" xfId="0">
      <alignment horizontal="center" vertical="center"/>
    </xf>
    <xf numFmtId="169" fontId="48" fillId="4" borderId="0" applyAlignment="1" pivotButton="0" quotePrefix="0" xfId="0">
      <alignment horizontal="center" vertical="center"/>
    </xf>
    <xf numFmtId="169" fontId="26" fillId="4" borderId="0" applyAlignment="1" pivotButton="0" quotePrefix="0" xfId="0">
      <alignment horizontal="center" vertical="center"/>
    </xf>
    <xf numFmtId="169" fontId="49" fillId="4" borderId="0" applyAlignment="1" pivotButton="0" quotePrefix="0" xfId="0">
      <alignment horizontal="center" vertical="center"/>
    </xf>
    <xf numFmtId="169" fontId="50" fillId="4" borderId="0" applyAlignment="1" pivotButton="0" quotePrefix="0" xfId="0">
      <alignment horizontal="center" vertical="center"/>
    </xf>
    <xf numFmtId="1" fontId="31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167" fontId="52" fillId="4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left" vertical="center" indent="1"/>
    </xf>
    <xf numFmtId="167" fontId="36" fillId="4" borderId="0" applyAlignment="1" pivotButton="0" quotePrefix="0" xfId="0">
      <alignment horizontal="center" vertical="center"/>
    </xf>
    <xf numFmtId="15" fontId="6" fillId="5" borderId="1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left" vertical="center" indent="1"/>
    </xf>
    <xf numFmtId="167" fontId="40" fillId="4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 indent="1"/>
    </xf>
    <xf numFmtId="167" fontId="39" fillId="4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 indent="1"/>
    </xf>
    <xf numFmtId="167" fontId="53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167" fontId="41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indent="1"/>
    </xf>
    <xf numFmtId="167" fontId="54" fillId="4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left" vertical="center" indent="1"/>
    </xf>
    <xf numFmtId="167" fontId="55" fillId="4" borderId="0" applyAlignment="1" pivotButton="0" quotePrefix="0" xfId="0">
      <alignment horizontal="center" vertical="center"/>
    </xf>
    <xf numFmtId="0" fontId="6" fillId="16" borderId="0" applyAlignment="1" pivotButton="0" quotePrefix="0" xfId="0">
      <alignment horizontal="left" vertical="center" indent="1"/>
    </xf>
    <xf numFmtId="167" fontId="56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4">
    <dxf>
      <font>
        <color rgb="00121218"/>
      </font>
      <fill>
        <patternFill patternType="solid">
          <fgColor rgb="005AB4FF"/>
          <bgColor rgb="005AB4FF"/>
        </patternFill>
      </fill>
    </dxf>
    <dxf>
      <font>
        <color rgb="00121218"/>
      </font>
      <fill>
        <patternFill patternType="solid">
          <fgColor rgb="0035D6BE"/>
          <bgColor rgb="0035D6BE"/>
        </patternFill>
      </fill>
    </dxf>
    <dxf>
      <font>
        <color rgb="00121218"/>
      </font>
      <fill>
        <patternFill patternType="solid">
          <fgColor rgb="00FF7AB8"/>
          <bgColor rgb="00FF7AB8"/>
        </patternFill>
      </fill>
    </dxf>
    <dxf>
      <font>
        <color rgb="00121218"/>
      </font>
      <fill>
        <patternFill patternType="solid">
          <fgColor rgb="00FFB224"/>
          <bgColor rgb="00FFB224"/>
        </patternFill>
      </fill>
    </dxf>
    <dxf>
      <font>
        <color rgb="00121218"/>
      </font>
      <fill>
        <patternFill patternType="solid">
          <fgColor rgb="009D8CF7"/>
          <bgColor rgb="009D8CF7"/>
        </patternFill>
      </fill>
    </dxf>
    <dxf>
      <font>
        <color rgb="00121218"/>
      </font>
      <fill>
        <patternFill patternType="solid">
          <fgColor rgb="00FF4F8B"/>
          <bgColor rgb="00FF4F8B"/>
        </patternFill>
      </fill>
    </dxf>
    <dxf>
      <font>
        <color rgb="00121218"/>
      </font>
      <fill>
        <patternFill patternType="solid">
          <fgColor rgb="007BE08A"/>
          <bgColor rgb="007BE08A"/>
        </patternFill>
      </fill>
    </dxf>
    <dxf>
      <font>
        <color rgb="00121218"/>
      </font>
      <fill>
        <patternFill patternType="solid">
          <fgColor rgb="00F6A6D1"/>
          <bgColor rgb="00F6A6D1"/>
        </patternFill>
      </fill>
    </dxf>
    <dxf>
      <font>
        <color rgb="00121218"/>
      </font>
      <fill>
        <patternFill patternType="solid">
          <fgColor rgb="00FF9F5A"/>
          <bgColor rgb="00FF9F5A"/>
        </patternFill>
      </fill>
    </dxf>
    <dxf>
      <font>
        <color rgb="00121218"/>
      </font>
      <fill>
        <patternFill patternType="solid">
          <fgColor rgb="00C084FC"/>
          <bgColor rgb="00C084FC"/>
        </patternFill>
      </fill>
    </dxf>
    <dxf>
      <font>
        <color rgb="006E6E86"/>
      </font>
    </dxf>
    <dxf>
      <font>
        <color rgb="005AB4FF"/>
      </font>
    </dxf>
    <dxf>
      <font>
        <color rgb="0035D6BE"/>
      </font>
    </dxf>
    <dxf>
      <font>
        <color rgb="00FF7AB8"/>
      </font>
    </dxf>
    <dxf>
      <font>
        <color rgb="00FFB224"/>
      </font>
    </dxf>
    <dxf>
      <font>
        <color rgb="009D8CF7"/>
      </font>
    </dxf>
    <dxf>
      <font>
        <color rgb="00FF4F8B"/>
      </font>
    </dxf>
    <dxf>
      <font>
        <color rgb="00121218"/>
      </font>
      <fill>
        <patternFill patternType="solid">
          <fgColor rgb="00FF5C9E"/>
          <bgColor rgb="00FF5C9E"/>
        </patternFill>
      </fill>
    </dxf>
    <dxf>
      <font>
        <color rgb="00ECECF4"/>
      </font>
      <fill>
        <patternFill patternType="solid">
          <fgColor rgb="003B2F63"/>
          <bgColor rgb="003B2F63"/>
        </patternFill>
      </fill>
    </dxf>
    <dxf>
      <font>
        <b val="1"/>
        <color rgb="00FF4F8B"/>
      </font>
    </dxf>
    <dxf>
      <font>
        <b val="1"/>
        <color rgb="0035D6BE"/>
      </font>
    </dxf>
    <dxf>
      <font>
        <b val="1"/>
        <color rgb="00FFB224"/>
      </font>
    </dxf>
    <dxf>
      <font>
        <b val="1"/>
        <color rgb="009D8CF7"/>
      </font>
    </dxf>
    <dxf>
      <font>
        <color rgb="005A5A7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5AB4FF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35D6BE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FFB224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4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5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6"/>
            <spPr>
              <a:solidFill>
                <a:srgbClr val="7BE08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7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8"/>
            <spPr>
              <a:solidFill>
                <a:srgbClr val="FF9F5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9"/>
            <spPr>
              <a:solidFill>
                <a:srgbClr val="C084FC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'Dashboard'!$W$2:$W$11</f>
            </numRef>
          </cat>
          <val>
            <numRef>
              <f>'Dashboard'!$X$2:$X$11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0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0"/>
    <dispBlanksAs val="gap"/>
  </chart>
  <spPr>
    <a:solidFill>
      <a:srgbClr val="1C1C27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5D6BE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FB224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4"/>
            <spPr>
              <a:solidFill>
                <a:srgbClr val="5AB4FF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5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6"/>
            <spPr>
              <a:solidFill>
                <a:srgbClr val="7BE08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7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8"/>
            <spPr>
              <a:solidFill>
                <a:srgbClr val="FF9F5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9"/>
            <spPr>
              <a:solidFill>
                <a:srgbClr val="C084FC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0"/>
            <spPr>
              <a:solidFill>
                <a:srgbClr val="4ADE80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1"/>
            <spPr>
              <a:solidFill>
                <a:srgbClr val="F472B6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2"/>
            <spPr>
              <a:solidFill>
                <a:srgbClr val="38BDF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3"/>
            <spPr>
              <a:solidFill>
                <a:srgbClr val="FACC15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4"/>
            <spPr>
              <a:solidFill>
                <a:srgbClr val="A3A3FF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'Dashboard'!$Y$2:$Y$11</f>
            </numRef>
          </cat>
          <val>
            <numRef>
              <f>'Dashboard'!$Z$2:$Z$11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0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0"/>
    <dispBlanksAs val="gap"/>
  </chart>
  <spPr>
    <a:solidFill>
      <a:srgbClr val="1C1C27"/>
    </a:soli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roundedCorners val="0"/>
  <chart>
    <plotArea>
      <barChart>
        <barDir val="col"/>
        <grouping val="clustered"/>
        <ser>
          <idx val="0"/>
          <order val="0"/>
          <tx>
            <strRef>
              <f>'Dashboard'!Q9</f>
            </strRef>
          </tx>
          <spPr>
            <a:solidFill>
              <a:srgbClr val="FF4F8B"/>
            </a:solidFill>
            <a:ln>
              <a:noFill/>
              <a:prstDash val="solid"/>
            </a:ln>
          </spPr>
          <cat>
            <numRef>
              <f>'Dashboard'!$P$10:$P$13</f>
            </numRef>
          </cat>
          <val>
            <numRef>
              <f>'Dashboard'!$Q$10:$Q$13</f>
            </numRef>
          </val>
        </ser>
        <ser>
          <idx val="1"/>
          <order val="1"/>
          <tx>
            <strRef>
              <f>'Dashboard'!R9</f>
            </strRef>
          </tx>
          <spPr>
            <a:solidFill>
              <a:srgbClr val="5C5C78"/>
            </a:solidFill>
            <a:ln>
              <a:noFill/>
              <a:prstDash val="solid"/>
            </a:ln>
          </spPr>
          <cat>
            <numRef>
              <f>'Dashboard'!$P$10:$P$13</f>
            </numRef>
          </cat>
          <val>
            <numRef>
              <f>'Dashboard'!$R$10:$R$13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roundedCorners val="0"/>
  <chart>
    <plotArea>
      <barChart>
        <barDir val="col"/>
        <grouping val="stacked"/>
        <ser>
          <idx val="0"/>
          <order val="0"/>
          <tx>
            <strRef>
              <f>'Decision Matrix'!AA10</f>
            </strRef>
          </tx>
          <spPr>
            <a:solidFill>
              <a:srgbClr val="35D6BE"/>
            </a:solidFill>
            <a:ln>
              <a:noFill/>
              <a:prstDash val="solid"/>
            </a:ln>
          </spPr>
          <cat>
            <numRef>
              <f>'Decision Matrix'!$Y$11:$Y$14</f>
            </numRef>
          </cat>
          <val>
            <numRef>
              <f>'Decision Matrix'!$AA$11:$AA$14</f>
            </numRef>
          </val>
        </ser>
        <ser>
          <idx val="1"/>
          <order val="1"/>
          <tx>
            <strRef>
              <f>'Decision Matrix'!Z10</f>
            </strRef>
          </tx>
          <spPr>
            <a:solidFill>
              <a:srgbClr val="5C5C78"/>
            </a:solidFill>
            <a:ln>
              <a:noFill/>
              <a:prstDash val="solid"/>
            </a:ln>
          </spPr>
          <cat>
            <numRef>
              <f>'Decision Matrix'!$Y$11:$Y$14</f>
            </numRef>
          </cat>
          <val>
            <numRef>
              <f>'Decision Matrix'!$Z$11:$Z$14</f>
            </numRef>
          </val>
        </ser>
        <gapWidth val="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roundedCorners val="0"/>
  <chart>
    <plotArea>
      <barChart>
        <barDir val="col"/>
        <grouping val="clustered"/>
        <ser>
          <idx val="0"/>
          <order val="0"/>
          <spPr>
            <a:solidFill>
              <a:srgbClr val="FFB224"/>
            </a:solidFill>
            <a:ln>
              <a:noFill/>
              <a:prstDash val="solid"/>
            </a:ln>
          </spPr>
          <cat>
            <numRef>
              <f>'Habit Tracker'!$B$40:$BA$40</f>
            </numRef>
          </cat>
          <val>
            <numRef>
              <f>'Habit Tracker'!$B$41:$BA$41</f>
            </numRef>
          </val>
        </ser>
        <gapWidth val="3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>
              <a:solidFill>
                <a:srgbClr val="2C2C3A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0"/>
    <dispBlanksAs val="gap"/>
  </chart>
  <spPr>
    <a:solidFill>
      <a:srgbClr val="1C1C27"/>
    </a:solidFill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roundedCorners val="0"/>
  <chart>
    <plotArea>
      <barChart>
        <barDir val="col"/>
        <grouping val="clustered"/>
        <ser>
          <idx val="0"/>
          <order val="0"/>
          <spPr>
            <a:solidFill>
              <a:srgbClr val="FF7AB8"/>
            </a:solidFill>
            <a:ln>
              <a:noFill/>
              <a:prstDash val="solid"/>
            </a:ln>
          </spPr>
          <cat>
            <numRef>
              <f>'Habit Tracker'!$B$40:$BA$40</f>
            </numRef>
          </cat>
          <val>
            <numRef>
              <f>'Habit Tracker'!$B$42:$BA$42</f>
            </numRef>
          </val>
        </ser>
        <gapWidth val="3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>
          <spPr>
            <a:ln>
              <a:solidFill>
                <a:srgbClr val="2C2C3A"/>
              </a:solidFill>
              <a:prstDash val="solid"/>
            </a:ln>
          </spPr>
        </majorGridlines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0"/>
    <dispBlanksAs val="gap"/>
  </chart>
  <spPr>
    <a:solidFill>
      <a:srgbClr val="1C1C27"/>
    </a:solidFill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roundedCorners val="0"/>
  <chart>
    <plotArea>
      <barChart>
        <barDir val="col"/>
        <grouping val="clustered"/>
        <ser>
          <idx val="0"/>
          <order val="0"/>
          <tx>
            <strRef>
              <f>'Goals'!N5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B224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35D6BE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4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5"/>
            <spPr>
              <a:solidFill>
                <a:srgbClr val="5AB4FF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6"/>
            <spPr>
              <a:solidFill>
                <a:srgbClr val="7BE08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7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8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9"/>
            <spPr>
              <a:solidFill>
                <a:srgbClr val="FFB224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0"/>
            <spPr>
              <a:solidFill>
                <a:srgbClr val="35D6BE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1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2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3"/>
            <spPr>
              <a:solidFill>
                <a:srgbClr val="5AB4FF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4"/>
            <spPr>
              <a:solidFill>
                <a:srgbClr val="7BE08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5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'Goals'!$M$6:$M$17</f>
            </numRef>
          </cat>
          <val>
            <numRef>
              <f>'Goals'!$N$6:$N$17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>
              <a:solidFill>
                <a:srgbClr val="2C2C3A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0"/>
    <dispBlanksAs val="gap"/>
  </chart>
  <spPr>
    <a:solidFill>
      <a:srgbClr val="1C1C27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16</row>
      <rowOff>0</rowOff>
    </from>
    <ext cx="450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31</row>
      <rowOff>0</rowOff>
    </from>
    <ext cx="450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36</row>
      <rowOff>0</rowOff>
    </from>
    <ext cx="612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35</row>
      <rowOff>0</rowOff>
    </from>
    <ext cx="612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45</row>
      <rowOff>0</rowOff>
    </from>
    <ext cx="792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59</row>
      <rowOff>0</rowOff>
    </from>
    <ext cx="792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5</row>
      <rowOff>0</rowOff>
    </from>
    <ext cx="5400000" cy="273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9D8CF7"/>
    <outlinePr summaryBelow="1" summaryRight="1"/>
    <pageSetUpPr/>
  </sheetPr>
  <dimension ref="A1:M50"/>
  <sheetViews>
    <sheetView showGridLines="0" zoomScale="90" workbookViewId="0">
      <selection activeCell="A1" sqref="A1"/>
    </sheetView>
  </sheetViews>
  <sheetFormatPr baseColWidth="8" defaultRowHeight="15"/>
  <cols>
    <col width="3" customWidth="1" style="1" min="1" max="1"/>
    <col width="4" customWidth="1" style="1" min="2" max="2"/>
    <col width="110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2" t="inlineStr">
        <is>
          <t>TASK + HABIT TRACKER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1" t="n"/>
      <c r="C3" s="3" t="inlineStr">
        <is>
          <t>Tasks · planners · decision matrix · habits · mood · gratitude · goals  —  dark edition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1" t="n"/>
      <c r="C5" s="4" t="inlineStr">
        <is>
          <t>SETUP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30" customHeight="1">
      <c r="A6" s="1" t="n"/>
      <c r="B6" s="1" t="n"/>
      <c r="C6" s="5" t="inlineStr">
        <is>
          <t>Set the planner start date (habit tracker &amp; 1-year recurring horizon), schedule interval, day start time, week start and your categories &amp; people. Yellow cells are inputs everywhere.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1" t="n"/>
      <c r="B8" s="1" t="n"/>
      <c r="C8" s="4" t="inlineStr">
        <is>
          <t>RECURRING SCHEDULE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30" customHeight="1">
      <c r="A9" s="1" t="n"/>
      <c r="B9" s="1" t="n"/>
      <c r="C9" s="5" t="inlineStr">
        <is>
          <t>Set up repeating tasks ONCE (daily, weekdays, weekly, bi-weekly, monthly, quarterly, annual or once) with times, priority, importance and person. They auto-fill the Recurring Log.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" t="n"/>
      <c r="B11" s="1" t="n"/>
      <c r="C11" s="4" t="inlineStr">
        <is>
          <t>VARIABLE TASKS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 ht="30" customHeight="1">
      <c r="A12" s="1" t="n"/>
      <c r="B12" s="1" t="n"/>
      <c r="C12" s="5" t="inlineStr">
        <is>
          <t>Type one-off tasks here. DAYS LEFT, DURATION and DECISION (Eisenhower) calculate automatically.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>
      <c r="A14" s="1" t="n"/>
      <c r="B14" s="1" t="n"/>
      <c r="C14" s="4" t="inlineStr">
        <is>
          <t>RECURRING LOG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 ht="30" customHeight="1">
      <c r="A15" s="1" t="n"/>
      <c r="B15" s="1" t="n"/>
      <c r="C15" s="5" t="inlineStr">
        <is>
          <t>Every occurrence of your recurring tasks. Update STATUS, PROGRESS and NOTES only. If you change the schedule later, re-check statuses (rows re-sort by date).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>
      <c r="A17" s="1" t="n"/>
      <c r="B17" s="1" t="n"/>
      <c r="C17" s="4" t="inlineStr">
        <is>
          <t>TASKS FILTER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 ht="30" customHeight="1">
      <c r="A18" s="1" t="n"/>
      <c r="B18" s="1" t="n"/>
      <c r="C18" s="5" t="inlineStr">
        <is>
          <t>All tasks (recurring + variable) in one view. Sort by due date / priority / category / person / status and filter by date range, name, priority, importance, category, status, person and decision. Click ✎ edit to jump to the exact row.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1" t="n"/>
      <c r="B20" s="1" t="n"/>
      <c r="C20" s="4" t="inlineStr">
        <is>
          <t>DASHBOARD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 ht="30" customHeight="1">
      <c r="A21" s="1" t="n"/>
      <c r="B21" s="1" t="n"/>
      <c r="C21" s="5" t="inlineStr">
        <is>
          <t>Today's tasks, overdue tasks, this week's tasks and a summary (decisions, status, category, person) with its own date / category / person filters. Links on the left jump to every tab.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4" t="inlineStr">
        <is>
          <t>DAILY / WEEKLY / MONTHLY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 ht="30" customHeight="1">
      <c r="A24" s="1" t="n"/>
      <c r="B24" s="1" t="n"/>
      <c r="C24" s="5" t="inlineStr">
        <is>
          <t>Leave the date blank for today / this week / this month or pick any date. Tasks auto-sort by priority, the schedule fills from start &amp; end times, colours follow category and done tasks turn grey.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4" t="inlineStr">
        <is>
          <t>DECISION MATRIX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 ht="30" customHeight="1">
      <c r="A27" s="1" t="n"/>
      <c r="B27" s="1" t="n"/>
      <c r="C27" s="5" t="inlineStr">
        <is>
          <t>Do first / schedule / delegate / delete with remaining vs done counts, progress bars and task lists. Urgent = priority 1-Urgent or 2-High; important = ✓.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4" t="inlineStr">
        <is>
          <t>HABIT TRACKER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 ht="30" customHeight="1">
      <c r="A30" s="1" t="n"/>
      <c r="B30" s="1" t="n"/>
      <c r="C30" s="5" t="inlineStr">
        <is>
          <t>15 daily habits over 52 weeks, 5 weekly habits and a 1–5 mood tracker, with weekly progress and mood charts. Hide finished weeks' columns to keep it tidy.</t>
        </is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4" t="inlineStr">
        <is>
          <t>GRATITUDE &amp; GOALS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 ht="30" customHeight="1">
      <c r="A33" s="1" t="n"/>
      <c r="B33" s="1" t="n"/>
      <c r="C33" s="5" t="inlineStr">
        <is>
          <t>Daily gratitude log (shows on the Daily planner) and 12 goals with why / obstacle / reward and 6 steps each.</t>
        </is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4" t="inlineStr">
        <is>
          <t>NOTES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 ht="30" customHeight="1">
      <c r="A36" s="1" t="n"/>
      <c r="B36" s="1" t="n"/>
      <c r="C36" s="5" t="inlineStr">
        <is>
          <t>Built for Microsoft Excel 365 / 2021+. Sample data is included — overwrite or delete it.</t>
        </is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B224"/>
    <outlinePr summaryBelow="1" summaryRight="1"/>
    <pageSetUpPr/>
  </sheetPr>
  <dimension ref="A1:V30"/>
  <sheetViews>
    <sheetView showGridLines="0" zoomScale="90" workbookViewId="0">
      <selection activeCell="A1" sqref="A1"/>
    </sheetView>
  </sheetViews>
  <sheetFormatPr baseColWidth="8" defaultRowHeight="15"/>
  <cols>
    <col width="2" customWidth="1" style="1" min="1" max="1"/>
    <col width="2" customWidth="1" style="1" min="2" max="2"/>
    <col width="20" customWidth="1" style="1" min="3" max="3"/>
    <col width="14" customWidth="1" style="1" min="4" max="4"/>
    <col width="3" customWidth="1" style="1" min="5" max="5"/>
    <col width="16" customWidth="1" style="1" min="6" max="6"/>
    <col width="3" customWidth="1" style="1" min="7" max="7"/>
    <col width="16" customWidth="1" style="1" min="8" max="8"/>
    <col width="3" customWidth="1" style="1" min="9" max="9"/>
    <col width="16" customWidth="1" style="1" min="10" max="10"/>
    <col width="3" customWidth="1" style="1" min="11" max="11"/>
    <col width="16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6" t="inlineStr">
        <is>
          <t>SETUP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1" t="n"/>
      <c r="B3" s="1" t="n"/>
      <c r="C3" s="7" t="inlineStr">
        <is>
          <t>Yellow cells are inputs. Categories, people, statuses &amp; priorities feed every dropdown.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>
      <c r="A4" s="1" t="n"/>
      <c r="B4" s="1" t="n"/>
      <c r="C4" s="8" t="inlineStr">
        <is>
          <t>GENERAL</t>
        </is>
      </c>
      <c r="D4" s="9" t="n"/>
      <c r="E4" s="1" t="n"/>
      <c r="F4" s="10" t="inlineStr">
        <is>
          <t>CATEGORIES</t>
        </is>
      </c>
      <c r="G4" s="1" t="n"/>
      <c r="H4" s="11" t="inlineStr">
        <is>
          <t>PEOPLE</t>
        </is>
      </c>
      <c r="I4" s="1" t="n"/>
      <c r="J4" s="12" t="inlineStr">
        <is>
          <t>STATUS</t>
        </is>
      </c>
      <c r="K4" s="1" t="n"/>
      <c r="L4" s="13" t="inlineStr">
        <is>
          <t>PRIORITY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A5" s="1" t="n"/>
      <c r="B5" s="1" t="n"/>
      <c r="C5" s="14" t="inlineStr">
        <is>
          <t>Planner start date</t>
        </is>
      </c>
      <c r="D5" s="15" t="n">
        <v>46266</v>
      </c>
      <c r="E5" s="1" t="n"/>
      <c r="F5" s="16" t="inlineStr">
        <is>
          <t>colour follows row order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>
      <c r="A6" s="1" t="n"/>
      <c r="B6" s="1" t="n"/>
      <c r="C6" s="14" t="inlineStr">
        <is>
          <t>Today (override)</t>
        </is>
      </c>
      <c r="D6" s="15" t="n"/>
      <c r="E6" s="1" t="n"/>
      <c r="F6" s="17" t="inlineStr">
        <is>
          <t>Business</t>
        </is>
      </c>
      <c r="G6" s="1" t="n"/>
      <c r="H6" s="17" t="inlineStr">
        <is>
          <t>Me</t>
        </is>
      </c>
      <c r="I6" s="1" t="n"/>
      <c r="J6" s="18" t="inlineStr">
        <is>
          <t>Not Started</t>
        </is>
      </c>
      <c r="K6" s="1" t="n"/>
      <c r="L6" s="18" t="inlineStr">
        <is>
          <t>1-Urgent</t>
        </is>
      </c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A7" s="1" t="n"/>
      <c r="B7" s="1" t="n"/>
      <c r="C7" s="14" t="inlineStr">
        <is>
          <t>Today used</t>
        </is>
      </c>
      <c r="D7" s="19">
        <f>IF(D6="",TODAY(),D6)</f>
        <v/>
      </c>
      <c r="E7" s="1" t="n"/>
      <c r="F7" s="17" t="inlineStr">
        <is>
          <t>Personal</t>
        </is>
      </c>
      <c r="G7" s="1" t="n"/>
      <c r="H7" s="17" t="inlineStr">
        <is>
          <t>Sam</t>
        </is>
      </c>
      <c r="I7" s="1" t="n"/>
      <c r="J7" s="18" t="inlineStr">
        <is>
          <t>In Progress</t>
        </is>
      </c>
      <c r="K7" s="1" t="n"/>
      <c r="L7" s="18" t="inlineStr">
        <is>
          <t>2-High</t>
        </is>
      </c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</row>
    <row r="8">
      <c r="A8" s="1" t="n"/>
      <c r="B8" s="1" t="n"/>
      <c r="C8" s="14" t="inlineStr">
        <is>
          <t>Schedule interval (min)</t>
        </is>
      </c>
      <c r="D8" s="20" t="n">
        <v>30</v>
      </c>
      <c r="E8" s="1" t="n"/>
      <c r="F8" s="17" t="inlineStr">
        <is>
          <t>Family</t>
        </is>
      </c>
      <c r="G8" s="1" t="n"/>
      <c r="H8" s="17" t="inlineStr">
        <is>
          <t>Lucy</t>
        </is>
      </c>
      <c r="I8" s="1" t="n"/>
      <c r="J8" s="18" t="inlineStr">
        <is>
          <t>Waiting</t>
        </is>
      </c>
      <c r="K8" s="1" t="n"/>
      <c r="L8" s="18" t="inlineStr">
        <is>
          <t>3-Medium</t>
        </is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</row>
    <row r="9">
      <c r="A9" s="1" t="n"/>
      <c r="B9" s="1" t="n"/>
      <c r="C9" s="14" t="inlineStr">
        <is>
          <t>Day starts at</t>
        </is>
      </c>
      <c r="D9" s="21" t="n">
        <v>0.2916666666666667</v>
      </c>
      <c r="E9" s="1" t="n"/>
      <c r="F9" s="17" t="inlineStr">
        <is>
          <t>Health</t>
        </is>
      </c>
      <c r="G9" s="1" t="n"/>
      <c r="H9" s="17" t="inlineStr">
        <is>
          <t>Tony</t>
        </is>
      </c>
      <c r="I9" s="1" t="n"/>
      <c r="J9" s="18" t="inlineStr">
        <is>
          <t>On Hold</t>
        </is>
      </c>
      <c r="K9" s="1" t="n"/>
      <c r="L9" s="18" t="inlineStr">
        <is>
          <t>4-Low</t>
        </is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4" t="inlineStr">
        <is>
          <t>Week starts on</t>
        </is>
      </c>
      <c r="D10" s="22" t="inlineStr">
        <is>
          <t>Monday</t>
        </is>
      </c>
      <c r="E10" s="1" t="n"/>
      <c r="F10" s="17" t="inlineStr">
        <is>
          <t>Social</t>
        </is>
      </c>
      <c r="G10" s="1" t="n"/>
      <c r="H10" s="17" t="inlineStr">
        <is>
          <t>Jamie</t>
        </is>
      </c>
      <c r="I10" s="1" t="n"/>
      <c r="J10" s="18" t="inlineStr">
        <is>
          <t>Done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1" t="n"/>
      <c r="F11" s="17" t="inlineStr">
        <is>
          <t>Birthdays</t>
        </is>
      </c>
      <c r="G11" s="1" t="n"/>
      <c r="H11" s="17" t="inlineStr">
        <is>
          <t>Rebecca</t>
        </is>
      </c>
      <c r="I11" s="1" t="n"/>
      <c r="J11" s="18" t="inlineStr">
        <is>
          <t>Cancelled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23" t="inlineStr">
        <is>
          <t>Planner start = first day of the habit tracker &amp; recurring-task horizon (1 year).</t>
        </is>
      </c>
      <c r="D12" s="1" t="n"/>
      <c r="E12" s="1" t="n"/>
      <c r="F12" s="17" t="n"/>
      <c r="G12" s="1" t="n"/>
      <c r="H12" s="17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1" t="n"/>
      <c r="F13" s="17" t="n"/>
      <c r="G13" s="1" t="n"/>
      <c r="H13" s="17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1" t="n"/>
      <c r="F14" s="17" t="n"/>
      <c r="G14" s="1" t="n"/>
      <c r="H14" s="17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1" t="n"/>
      <c r="F15" s="17" t="n"/>
      <c r="G15" s="1" t="n"/>
      <c r="H15" s="17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6" t="inlineStr">
        <is>
          <t>Status &amp; priority lists are fixed (formulas rely on them).</t>
        </is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</row>
  </sheetData>
  <mergeCells count="6">
    <mergeCell ref="F4"/>
    <mergeCell ref="J4"/>
    <mergeCell ref="L4"/>
    <mergeCell ref="C2:L2"/>
    <mergeCell ref="H4"/>
    <mergeCell ref="C4:D4"/>
  </mergeCells>
  <conditionalFormatting sqref="F6">
    <cfRule type="expression" priority="1" dxfId="0" stopIfTrue="0">
      <formula>F6&lt;&gt;""</formula>
    </cfRule>
  </conditionalFormatting>
  <conditionalFormatting sqref="F7">
    <cfRule type="expression" priority="2" dxfId="1" stopIfTrue="0">
      <formula>F7&lt;&gt;""</formula>
    </cfRule>
  </conditionalFormatting>
  <conditionalFormatting sqref="F8">
    <cfRule type="expression" priority="3" dxfId="2" stopIfTrue="0">
      <formula>F8&lt;&gt;""</formula>
    </cfRule>
  </conditionalFormatting>
  <conditionalFormatting sqref="F9">
    <cfRule type="expression" priority="4" dxfId="3" stopIfTrue="0">
      <formula>F9&lt;&gt;""</formula>
    </cfRule>
  </conditionalFormatting>
  <conditionalFormatting sqref="F10">
    <cfRule type="expression" priority="5" dxfId="4" stopIfTrue="0">
      <formula>F10&lt;&gt;""</formula>
    </cfRule>
  </conditionalFormatting>
  <conditionalFormatting sqref="F11">
    <cfRule type="expression" priority="6" dxfId="5" stopIfTrue="0">
      <formula>F11&lt;&gt;""</formula>
    </cfRule>
  </conditionalFormatting>
  <conditionalFormatting sqref="F12">
    <cfRule type="expression" priority="7" dxfId="6" stopIfTrue="0">
      <formula>F12&lt;&gt;""</formula>
    </cfRule>
  </conditionalFormatting>
  <conditionalFormatting sqref="F13">
    <cfRule type="expression" priority="8" dxfId="7" stopIfTrue="0">
      <formula>F13&lt;&gt;""</formula>
    </cfRule>
  </conditionalFormatting>
  <conditionalFormatting sqref="F14">
    <cfRule type="expression" priority="9" dxfId="8" stopIfTrue="0">
      <formula>F14&lt;&gt;""</formula>
    </cfRule>
  </conditionalFormatting>
  <conditionalFormatting sqref="F15">
    <cfRule type="expression" priority="10" dxfId="9" stopIfTrue="0">
      <formula>F15&lt;&gt;""</formula>
    </cfRule>
  </conditionalFormatting>
  <dataValidations count="2">
    <dataValidation sqref="D8" showDropDown="0" showInputMessage="0" showErrorMessage="0" allowBlank="1" error="Please pick a value from the list." type="list" errorStyle="warning">
      <formula1>=Lists!$E$2:$E$4</formula1>
    </dataValidation>
    <dataValidation sqref="D10" showDropDown="0" showInputMessage="0" showErrorMessage="0" allowBlank="1" error="Please pick a value from the list." type="list" errorStyle="warning">
      <formula1>=Lists!$F$2:$F$3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D8CF7"/>
    <outlinePr summaryBelow="1" summaryRight="1"/>
    <pageSetUpPr/>
  </sheetPr>
  <dimension ref="A1:AE62"/>
  <sheetViews>
    <sheetView showGridLines="0" zoomScale="85" workbookViewId="0">
      <selection activeCell="A1" sqref="A1"/>
    </sheetView>
  </sheetViews>
  <sheetFormatPr baseColWidth="8" defaultRowHeight="15"/>
  <cols>
    <col width="2" customWidth="1" style="1" min="1" max="1"/>
    <col width="24" customWidth="1" style="1" min="2" max="2"/>
    <col width="2" customWidth="1" style="1" min="3" max="3"/>
    <col width="4" customWidth="1" style="1" min="4" max="4"/>
    <col width="26" customWidth="1" style="1" min="5" max="5"/>
    <col width="12" customWidth="1" style="1" min="6" max="6"/>
    <col width="11" customWidth="1" style="1" min="7" max="7"/>
    <col hidden="1" width="3" customWidth="1" style="1" min="8" max="8"/>
    <col hidden="1" width="2" customWidth="1" style="1" min="9" max="9"/>
    <col width="4" customWidth="1" style="1" min="10" max="10"/>
    <col width="26" customWidth="1" style="1" min="11" max="11"/>
    <col width="12" customWidth="1" style="1" min="12" max="12"/>
    <col width="11" customWidth="1" style="1" min="13" max="13"/>
    <col hidden="1" width="3" customWidth="1" style="1" min="14" max="14"/>
    <col width="2" customWidth="1" style="1" min="15" max="15"/>
    <col width="14" customWidth="1" style="1" min="16" max="16"/>
    <col width="10" customWidth="1" style="1" min="17" max="17"/>
    <col width="10" customWidth="1" style="1" min="18" max="18"/>
    <col width="10" customWidth="1" style="1" min="19" max="19"/>
    <col width="10" customWidth="1" style="1" min="20" max="20"/>
    <col width="10" customWidth="1" style="1" min="21" max="21"/>
    <col width="13" customWidth="1" style="1" min="22" max="22"/>
    <col hidden="1" width="13" customWidth="1" style="1" min="23" max="23"/>
    <col hidden="1" width="13" customWidth="1" style="1" min="24" max="24"/>
    <col hidden="1" width="13" customWidth="1" style="1" min="25" max="25"/>
    <col hidden="1" width="13" customWidth="1" style="1" min="26" max="26"/>
    <col hidden="1" width="13" customWidth="1" style="1" min="27" max="27"/>
    <col hidden="1" width="13" customWidth="1" style="1" min="28" max="28"/>
    <col width="13" customWidth="1" style="1" min="29" max="29"/>
    <col width="13" customWidth="1" style="1" min="30" max="30"/>
    <col width="13" customWidth="1" style="1" min="31" max="3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inlineStr">
        <is>
          <t>CATEGORY</t>
        </is>
      </c>
      <c r="X1" s="1" t="n"/>
      <c r="Y1" s="1" t="inlineStr">
        <is>
          <t>PERSON</t>
        </is>
      </c>
      <c r="Z1" s="1" t="n"/>
      <c r="AA1" s="1" t="n"/>
      <c r="AB1" s="1" t="n"/>
      <c r="AC1" s="1" t="n"/>
      <c r="AD1" s="1" t="n"/>
      <c r="AE1" s="1" t="n"/>
    </row>
    <row r="2">
      <c r="A2" s="1" t="n"/>
      <c r="B2" s="24" t="inlineStr">
        <is>
          <t>TODAY IS</t>
        </is>
      </c>
      <c r="C2" s="1" t="n"/>
      <c r="D2" s="11" t="inlineStr">
        <is>
          <t>TODAY'S TASKS</t>
        </is>
      </c>
      <c r="E2" s="25" t="n"/>
      <c r="F2" s="25" t="n"/>
      <c r="G2" s="26">
        <f>IFERROR(COUNTIFS(TaskDue,Setup!$D$7,TaskDone,1)/COUNTIFS(TaskDue,Setup!$D$7,TaskStat,"&lt;&gt;Cancelled"),0)</f>
        <v/>
      </c>
      <c r="H2" s="1" t="n"/>
      <c r="I2" s="1" t="n"/>
      <c r="J2" s="13" t="inlineStr">
        <is>
          <t>THIS WEEK'S TASKS</t>
        </is>
      </c>
      <c r="K2" s="27" t="n"/>
      <c r="L2" s="27" t="n"/>
      <c r="M2" s="28">
        <f>IFERROR(COUNTIFS(TaskDue,"&gt;="&amp;$AB$3,TaskDue,"&lt;="&amp;($AB$3+6),TaskDone,1)/COUNTIFS(TaskDue,"&gt;="&amp;$AB$3,TaskDue,"&lt;="&amp;($AB$3+6),TaskStat,"&lt;&gt;Cancelled"),0)</f>
        <v/>
      </c>
      <c r="N2" s="1" t="n"/>
      <c r="O2" s="1" t="n"/>
      <c r="P2" s="8" t="inlineStr">
        <is>
          <t>TASKS SUMMARY</t>
        </is>
      </c>
      <c r="Q2" s="9" t="n"/>
      <c r="R2" s="9" t="n"/>
      <c r="S2" s="9" t="n"/>
      <c r="T2" s="9" t="n"/>
      <c r="U2" s="9" t="n"/>
      <c r="V2" s="1" t="n"/>
      <c r="W2" s="1">
        <f>IF(INDEX(Setup!$F$6:$F$15,1)="","",INDEX(Setup!$F$6:$F$15,1))</f>
        <v/>
      </c>
      <c r="X2" s="1">
        <f>IF(W2="","",COUNTIFS(Calc!$AW$2:$AW$2001,"&gt;="&amp;$Q$3,Calc!$AW$2:$AW$2001,"&lt;="&amp;$Q$4,Calc!$BH$2:$BH$2001,1,Calc!$AV$2:$AV$2001,IF($Q$5="","*",$Q$5),Calc!$BC$2:$BC$2001,IF($Q$6="","*",$Q$6),Calc!$AV$2:$AV$2001,W2))</f>
        <v/>
      </c>
      <c r="Y2" s="1">
        <f>IF(INDEX(Setup!$H$6:$H$15,1)="","",INDEX(Setup!$H$6:$H$15,1))</f>
        <v/>
      </c>
      <c r="Z2" s="1">
        <f>IF(Y2="","",COUNTIFS(Calc!$AW$2:$AW$2001,"&gt;="&amp;$Q$3,Calc!$AW$2:$AW$2001,"&lt;="&amp;$Q$4,Calc!$BH$2:$BH$2001,1,Calc!$AV$2:$AV$2001,IF($Q$5="","*",$Q$5),Calc!$BC$2:$BC$2001,IF($Q$6="","*",$Q$6),Calc!$BC$2:$BC$2001,Y2))</f>
        <v/>
      </c>
      <c r="AA2" s="1" t="n"/>
      <c r="AB2" s="1" t="n"/>
      <c r="AC2" s="1" t="n"/>
      <c r="AD2" s="1" t="n"/>
      <c r="AE2" s="1" t="n"/>
    </row>
    <row r="3">
      <c r="A3" s="1" t="n"/>
      <c r="B3" s="29">
        <f>Setup!$D$7</f>
        <v/>
      </c>
      <c r="C3" s="1" t="n"/>
      <c r="D3" s="30" t="inlineStr"/>
      <c r="E3" s="31" t="inlineStr">
        <is>
          <t>TASK</t>
        </is>
      </c>
      <c r="F3" s="30" t="inlineStr">
        <is>
          <t>CATEGORY</t>
        </is>
      </c>
      <c r="G3" s="30" t="inlineStr">
        <is>
          <t>PRIORITY</t>
        </is>
      </c>
      <c r="H3" s="1" t="n"/>
      <c r="I3" s="1" t="n"/>
      <c r="J3" s="30" t="inlineStr"/>
      <c r="K3" s="31">
        <f>"TASK  ·  week of "&amp;TEXT($AB$3,"d mmm")</f>
        <v/>
      </c>
      <c r="L3" s="30" t="inlineStr">
        <is>
          <t>CATEGORY</t>
        </is>
      </c>
      <c r="M3" s="30" t="inlineStr">
        <is>
          <t>DUE</t>
        </is>
      </c>
      <c r="N3" s="1" t="n"/>
      <c r="O3" s="1" t="n"/>
      <c r="P3" s="14" t="inlineStr">
        <is>
          <t>Start date</t>
        </is>
      </c>
      <c r="Q3" s="15">
        <f>DATE(YEAR(Setup!$D$7),MONTH(Setup!$D$7),1)</f>
        <v/>
      </c>
      <c r="R3" s="32" t="n"/>
      <c r="S3" s="33" t="inlineStr">
        <is>
          <t>blank = all</t>
        </is>
      </c>
      <c r="T3" s="1" t="n"/>
      <c r="U3" s="1" t="n"/>
      <c r="V3" s="1" t="n"/>
      <c r="W3" s="1">
        <f>IF(INDEX(Setup!$F$6:$F$15,2)="","",INDEX(Setup!$F$6:$F$15,2))</f>
        <v/>
      </c>
      <c r="X3" s="1">
        <f>IF(W3="","",COUNTIFS(Calc!$AW$2:$AW$2001,"&gt;="&amp;$Q$3,Calc!$AW$2:$AW$2001,"&lt;="&amp;$Q$4,Calc!$BH$2:$BH$2001,1,Calc!$AV$2:$AV$2001,IF($Q$5="","*",$Q$5),Calc!$BC$2:$BC$2001,IF($Q$6="","*",$Q$6),Calc!$AV$2:$AV$2001,W3))</f>
        <v/>
      </c>
      <c r="Y3" s="1">
        <f>IF(INDEX(Setup!$H$6:$H$15,2)="","",INDEX(Setup!$H$6:$H$15,2))</f>
        <v/>
      </c>
      <c r="Z3" s="1">
        <f>IF(Y3="","",COUNTIFS(Calc!$AW$2:$AW$2001,"&gt;="&amp;$Q$3,Calc!$AW$2:$AW$2001,"&lt;="&amp;$Q$4,Calc!$BH$2:$BH$2001,1,Calc!$AV$2:$AV$2001,IF($Q$5="","*",$Q$5),Calc!$BC$2:$BC$2001,IF($Q$6="","*",$Q$6),Calc!$BC$2:$BC$2001,Y3))</f>
        <v/>
      </c>
      <c r="AA3" s="1" t="n"/>
      <c r="AB3" s="34">
        <f>Setup!$D$7-MOD(WEEKDAY(Setup!$D$7,IF(Setup!$D$10="Monday",2,1))-1,7)</f>
        <v/>
      </c>
      <c r="AC3" s="1" t="n"/>
      <c r="AD3" s="1" t="n"/>
      <c r="AE3" s="1" t="n"/>
    </row>
    <row r="4">
      <c r="A4" s="1" t="n"/>
      <c r="B4" s="35" t="n"/>
      <c r="C4" s="1" t="n"/>
      <c r="D4" s="36">
        <f>IF(H4="","",IF(INDEX(Calc!$BG$2:$BG$2001,H4)=1,"✓","○"))</f>
        <v/>
      </c>
      <c r="E4" s="37">
        <f>IF(H4="","",INDEX(Calc!$AU$2:$AU$2001,H4)&amp;"")</f>
        <v/>
      </c>
      <c r="F4" s="36">
        <f>IF(H4="","",INDEX(Calc!$AV$2:$AV$2001,H4)&amp;"")</f>
        <v/>
      </c>
      <c r="G4" s="36">
        <f>IF(H4="","",INDEX(Calc!$BA$2:$BA$2001,H4)&amp;"")</f>
        <v/>
      </c>
      <c r="H4" s="1">
        <f>IFERROR(MOD(_xlfn.AGGREGATE(15,6,Calc!$BN$2:$BN$2001/(Calc!$AW$2:$AW$2001=Setup!$D$7),1),10000),"")</f>
        <v/>
      </c>
      <c r="I4" s="1" t="n"/>
      <c r="J4" s="36">
        <f>IF(N4="","",IF(INDEX(Calc!$BG$2:$BG$2001,N4)=1,"✓","○"))</f>
        <v/>
      </c>
      <c r="K4" s="37">
        <f>IF(N4="","",INDEX(Calc!$AU$2:$AU$2001,N4)&amp;"")</f>
        <v/>
      </c>
      <c r="L4" s="36">
        <f>IF(N4="","",INDEX(Calc!$AV$2:$AV$2001,N4)&amp;"")</f>
        <v/>
      </c>
      <c r="M4" s="38">
        <f>IF(N4="","",INDEX(Calc!$AW$2:$AW$2001,N4))</f>
        <v/>
      </c>
      <c r="N4" s="1">
        <f>IFERROR(MATCH(SMALL(Calc!$BM$2:$BM$2001,1),Calc!$BM$2:$BM$2001,0),"")</f>
        <v/>
      </c>
      <c r="O4" s="1" t="n"/>
      <c r="P4" s="14" t="inlineStr">
        <is>
          <t>End date</t>
        </is>
      </c>
      <c r="Q4" s="15">
        <f>EOMONTH(Setup!$D$7,0)</f>
        <v/>
      </c>
      <c r="R4" s="32" t="n"/>
      <c r="S4" s="1" t="n"/>
      <c r="T4" s="1" t="n"/>
      <c r="U4" s="1" t="n"/>
      <c r="V4" s="1" t="n"/>
      <c r="W4" s="1">
        <f>IF(INDEX(Setup!$F$6:$F$15,3)="","",INDEX(Setup!$F$6:$F$15,3))</f>
        <v/>
      </c>
      <c r="X4" s="1">
        <f>IF(W4="","",COUNTIFS(Calc!$AW$2:$AW$2001,"&gt;="&amp;$Q$3,Calc!$AW$2:$AW$2001,"&lt;="&amp;$Q$4,Calc!$BH$2:$BH$2001,1,Calc!$AV$2:$AV$2001,IF($Q$5="","*",$Q$5),Calc!$BC$2:$BC$2001,IF($Q$6="","*",$Q$6),Calc!$AV$2:$AV$2001,W4))</f>
        <v/>
      </c>
      <c r="Y4" s="1">
        <f>IF(INDEX(Setup!$H$6:$H$15,3)="","",INDEX(Setup!$H$6:$H$15,3))</f>
        <v/>
      </c>
      <c r="Z4" s="1">
        <f>IF(Y4="","",COUNTIFS(Calc!$AW$2:$AW$2001,"&gt;="&amp;$Q$3,Calc!$AW$2:$AW$2001,"&lt;="&amp;$Q$4,Calc!$BH$2:$BH$2001,1,Calc!$AV$2:$AV$2001,IF($Q$5="","*",$Q$5),Calc!$BC$2:$BC$2001,IF($Q$6="","*",$Q$6),Calc!$BC$2:$BC$2001,Y4))</f>
        <v/>
      </c>
      <c r="AA4" s="1" t="n"/>
      <c r="AB4" s="1" t="n"/>
      <c r="AC4" s="1" t="n"/>
      <c r="AD4" s="1" t="n"/>
      <c r="AE4" s="1" t="n"/>
    </row>
    <row r="5">
      <c r="A5" s="1" t="n"/>
      <c r="B5" s="39">
        <f>HYPERLINK("#'Setup'!A1","›  SETUP")</f>
        <v/>
      </c>
      <c r="C5" s="1" t="n"/>
      <c r="D5" s="36">
        <f>IF(H5="","",IF(INDEX(Calc!$BG$2:$BG$2001,H5)=1,"✓","○"))</f>
        <v/>
      </c>
      <c r="E5" s="37">
        <f>IF(H5="","",INDEX(Calc!$AU$2:$AU$2001,H5)&amp;"")</f>
        <v/>
      </c>
      <c r="F5" s="36">
        <f>IF(H5="","",INDEX(Calc!$AV$2:$AV$2001,H5)&amp;"")</f>
        <v/>
      </c>
      <c r="G5" s="36">
        <f>IF(H5="","",INDEX(Calc!$BA$2:$BA$2001,H5)&amp;"")</f>
        <v/>
      </c>
      <c r="H5" s="1">
        <f>IFERROR(MOD(_xlfn.AGGREGATE(15,6,Calc!$BN$2:$BN$2001/(Calc!$AW$2:$AW$2001=Setup!$D$7),2),10000),"")</f>
        <v/>
      </c>
      <c r="I5" s="1" t="n"/>
      <c r="J5" s="36">
        <f>IF(N5="","",IF(INDEX(Calc!$BG$2:$BG$2001,N5)=1,"✓","○"))</f>
        <v/>
      </c>
      <c r="K5" s="37">
        <f>IF(N5="","",INDEX(Calc!$AU$2:$AU$2001,N5)&amp;"")</f>
        <v/>
      </c>
      <c r="L5" s="36">
        <f>IF(N5="","",INDEX(Calc!$AV$2:$AV$2001,N5)&amp;"")</f>
        <v/>
      </c>
      <c r="M5" s="38">
        <f>IF(N5="","",INDEX(Calc!$AW$2:$AW$2001,N5))</f>
        <v/>
      </c>
      <c r="N5" s="1">
        <f>IFERROR(MATCH(SMALL(Calc!$BM$2:$BM$2001,2),Calc!$BM$2:$BM$2001,0),"")</f>
        <v/>
      </c>
      <c r="O5" s="1" t="n"/>
      <c r="P5" s="14" t="inlineStr">
        <is>
          <t>Category</t>
        </is>
      </c>
      <c r="Q5" s="22" t="n"/>
      <c r="R5" s="32" t="n"/>
      <c r="S5" s="1" t="n"/>
      <c r="T5" s="1" t="n"/>
      <c r="U5" s="1" t="n"/>
      <c r="V5" s="1" t="n"/>
      <c r="W5" s="1">
        <f>IF(INDEX(Setup!$F$6:$F$15,4)="","",INDEX(Setup!$F$6:$F$15,4))</f>
        <v/>
      </c>
      <c r="X5" s="1">
        <f>IF(W5="","",COUNTIFS(Calc!$AW$2:$AW$2001,"&gt;="&amp;$Q$3,Calc!$AW$2:$AW$2001,"&lt;="&amp;$Q$4,Calc!$BH$2:$BH$2001,1,Calc!$AV$2:$AV$2001,IF($Q$5="","*",$Q$5),Calc!$BC$2:$BC$2001,IF($Q$6="","*",$Q$6),Calc!$AV$2:$AV$2001,W5))</f>
        <v/>
      </c>
      <c r="Y5" s="1">
        <f>IF(INDEX(Setup!$H$6:$H$15,4)="","",INDEX(Setup!$H$6:$H$15,4))</f>
        <v/>
      </c>
      <c r="Z5" s="1">
        <f>IF(Y5="","",COUNTIFS(Calc!$AW$2:$AW$2001,"&gt;="&amp;$Q$3,Calc!$AW$2:$AW$2001,"&lt;="&amp;$Q$4,Calc!$BH$2:$BH$2001,1,Calc!$AV$2:$AV$2001,IF($Q$5="","*",$Q$5),Calc!$BC$2:$BC$2001,IF($Q$6="","*",$Q$6),Calc!$BC$2:$BC$2001,Y5))</f>
        <v/>
      </c>
      <c r="AA5" s="1" t="n"/>
      <c r="AB5" s="1" t="n"/>
      <c r="AC5" s="1" t="n"/>
      <c r="AD5" s="1" t="n"/>
      <c r="AE5" s="1" t="n"/>
    </row>
    <row r="6">
      <c r="A6" s="1" t="n"/>
      <c r="B6" s="35" t="n"/>
      <c r="C6" s="1" t="n"/>
      <c r="D6" s="36">
        <f>IF(H6="","",IF(INDEX(Calc!$BG$2:$BG$2001,H6)=1,"✓","○"))</f>
        <v/>
      </c>
      <c r="E6" s="37">
        <f>IF(H6="","",INDEX(Calc!$AU$2:$AU$2001,H6)&amp;"")</f>
        <v/>
      </c>
      <c r="F6" s="36">
        <f>IF(H6="","",INDEX(Calc!$AV$2:$AV$2001,H6)&amp;"")</f>
        <v/>
      </c>
      <c r="G6" s="36">
        <f>IF(H6="","",INDEX(Calc!$BA$2:$BA$2001,H6)&amp;"")</f>
        <v/>
      </c>
      <c r="H6" s="1">
        <f>IFERROR(MOD(_xlfn.AGGREGATE(15,6,Calc!$BN$2:$BN$2001/(Calc!$AW$2:$AW$2001=Setup!$D$7),3),10000),"")</f>
        <v/>
      </c>
      <c r="I6" s="1" t="n"/>
      <c r="J6" s="36">
        <f>IF(N6="","",IF(INDEX(Calc!$BG$2:$BG$2001,N6)=1,"✓","○"))</f>
        <v/>
      </c>
      <c r="K6" s="37">
        <f>IF(N6="","",INDEX(Calc!$AU$2:$AU$2001,N6)&amp;"")</f>
        <v/>
      </c>
      <c r="L6" s="36">
        <f>IF(N6="","",INDEX(Calc!$AV$2:$AV$2001,N6)&amp;"")</f>
        <v/>
      </c>
      <c r="M6" s="38">
        <f>IF(N6="","",INDEX(Calc!$AW$2:$AW$2001,N6))</f>
        <v/>
      </c>
      <c r="N6" s="1">
        <f>IFERROR(MATCH(SMALL(Calc!$BM$2:$BM$2001,3),Calc!$BM$2:$BM$2001,0),"")</f>
        <v/>
      </c>
      <c r="O6" s="1" t="n"/>
      <c r="P6" s="14" t="inlineStr">
        <is>
          <t>Person</t>
        </is>
      </c>
      <c r="Q6" s="22" t="n"/>
      <c r="R6" s="32" t="n"/>
      <c r="S6" s="1" t="n"/>
      <c r="T6" s="1" t="n"/>
      <c r="U6" s="1" t="n"/>
      <c r="V6" s="1" t="n"/>
      <c r="W6" s="1">
        <f>IF(INDEX(Setup!$F$6:$F$15,5)="","",INDEX(Setup!$F$6:$F$15,5))</f>
        <v/>
      </c>
      <c r="X6" s="1">
        <f>IF(W6="","",COUNTIFS(Calc!$AW$2:$AW$2001,"&gt;="&amp;$Q$3,Calc!$AW$2:$AW$2001,"&lt;="&amp;$Q$4,Calc!$BH$2:$BH$2001,1,Calc!$AV$2:$AV$2001,IF($Q$5="","*",$Q$5),Calc!$BC$2:$BC$2001,IF($Q$6="","*",$Q$6),Calc!$AV$2:$AV$2001,W6))</f>
        <v/>
      </c>
      <c r="Y6" s="1">
        <f>IF(INDEX(Setup!$H$6:$H$15,5)="","",INDEX(Setup!$H$6:$H$15,5))</f>
        <v/>
      </c>
      <c r="Z6" s="1">
        <f>IF(Y6="","",COUNTIFS(Calc!$AW$2:$AW$2001,"&gt;="&amp;$Q$3,Calc!$AW$2:$AW$2001,"&lt;="&amp;$Q$4,Calc!$BH$2:$BH$2001,1,Calc!$AV$2:$AV$2001,IF($Q$5="","*",$Q$5),Calc!$BC$2:$BC$2001,IF($Q$6="","*",$Q$6),Calc!$BC$2:$BC$2001,Y6))</f>
        <v/>
      </c>
      <c r="AA6" s="1" t="n"/>
      <c r="AB6" s="1" t="n"/>
      <c r="AC6" s="1" t="n"/>
      <c r="AD6" s="1" t="n"/>
      <c r="AE6" s="1" t="n"/>
    </row>
    <row r="7">
      <c r="A7" s="1" t="n"/>
      <c r="B7" s="40" t="inlineStr">
        <is>
          <t>TASK LOG + FILTER</t>
        </is>
      </c>
      <c r="C7" s="1" t="n"/>
      <c r="D7" s="36">
        <f>IF(H7="","",IF(INDEX(Calc!$BG$2:$BG$2001,H7)=1,"✓","○"))</f>
        <v/>
      </c>
      <c r="E7" s="37">
        <f>IF(H7="","",INDEX(Calc!$AU$2:$AU$2001,H7)&amp;"")</f>
        <v/>
      </c>
      <c r="F7" s="36">
        <f>IF(H7="","",INDEX(Calc!$AV$2:$AV$2001,H7)&amp;"")</f>
        <v/>
      </c>
      <c r="G7" s="36">
        <f>IF(H7="","",INDEX(Calc!$BA$2:$BA$2001,H7)&amp;"")</f>
        <v/>
      </c>
      <c r="H7" s="1">
        <f>IFERROR(MOD(_xlfn.AGGREGATE(15,6,Calc!$BN$2:$BN$2001/(Calc!$AW$2:$AW$2001=Setup!$D$7),4),10000),"")</f>
        <v/>
      </c>
      <c r="I7" s="1" t="n"/>
      <c r="J7" s="36">
        <f>IF(N7="","",IF(INDEX(Calc!$BG$2:$BG$2001,N7)=1,"✓","○"))</f>
        <v/>
      </c>
      <c r="K7" s="37">
        <f>IF(N7="","",INDEX(Calc!$AU$2:$AU$2001,N7)&amp;"")</f>
        <v/>
      </c>
      <c r="L7" s="36">
        <f>IF(N7="","",INDEX(Calc!$AV$2:$AV$2001,N7)&amp;"")</f>
        <v/>
      </c>
      <c r="M7" s="38">
        <f>IF(N7="","",INDEX(Calc!$AW$2:$AW$2001,N7))</f>
        <v/>
      </c>
      <c r="N7" s="1">
        <f>IFERROR(MATCH(SMALL(Calc!$BM$2:$BM$2001,4),Calc!$BM$2:$BM$2001,0),"")</f>
        <v/>
      </c>
      <c r="O7" s="1" t="n"/>
      <c r="P7" s="1" t="n"/>
      <c r="Q7" s="1" t="n"/>
      <c r="R7" s="1" t="n"/>
      <c r="S7" s="1" t="n"/>
      <c r="T7" s="1" t="n"/>
      <c r="U7" s="1" t="n"/>
      <c r="V7" s="1" t="n"/>
      <c r="W7" s="1">
        <f>IF(INDEX(Setup!$F$6:$F$15,6)="","",INDEX(Setup!$F$6:$F$15,6))</f>
        <v/>
      </c>
      <c r="X7" s="1">
        <f>IF(W7="","",COUNTIFS(Calc!$AW$2:$AW$2001,"&gt;="&amp;$Q$3,Calc!$AW$2:$AW$2001,"&lt;="&amp;$Q$4,Calc!$BH$2:$BH$2001,1,Calc!$AV$2:$AV$2001,IF($Q$5="","*",$Q$5),Calc!$BC$2:$BC$2001,IF($Q$6="","*",$Q$6),Calc!$AV$2:$AV$2001,W7))</f>
        <v/>
      </c>
      <c r="Y7" s="1">
        <f>IF(INDEX(Setup!$H$6:$H$15,6)="","",INDEX(Setup!$H$6:$H$15,6))</f>
        <v/>
      </c>
      <c r="Z7" s="1">
        <f>IF(Y7="","",COUNTIFS(Calc!$AW$2:$AW$2001,"&gt;="&amp;$Q$3,Calc!$AW$2:$AW$2001,"&lt;="&amp;$Q$4,Calc!$BH$2:$BH$2001,1,Calc!$AV$2:$AV$2001,IF($Q$5="","*",$Q$5),Calc!$BC$2:$BC$2001,IF($Q$6="","*",$Q$6),Calc!$BC$2:$BC$2001,Y7))</f>
        <v/>
      </c>
      <c r="AA7" s="1" t="n"/>
      <c r="AB7" s="1" t="n"/>
      <c r="AC7" s="1" t="n"/>
      <c r="AD7" s="1" t="n"/>
      <c r="AE7" s="1" t="n"/>
    </row>
    <row r="8">
      <c r="A8" s="1" t="n"/>
      <c r="B8" s="39">
        <f>HYPERLINK("#'Recurring Schedule'!A1","›  Recurring Schedule")</f>
        <v/>
      </c>
      <c r="C8" s="1" t="n"/>
      <c r="D8" s="36">
        <f>IF(H8="","",IF(INDEX(Calc!$BG$2:$BG$2001,H8)=1,"✓","○"))</f>
        <v/>
      </c>
      <c r="E8" s="37">
        <f>IF(H8="","",INDEX(Calc!$AU$2:$AU$2001,H8)&amp;"")</f>
        <v/>
      </c>
      <c r="F8" s="36">
        <f>IF(H8="","",INDEX(Calc!$AV$2:$AV$2001,H8)&amp;"")</f>
        <v/>
      </c>
      <c r="G8" s="36">
        <f>IF(H8="","",INDEX(Calc!$BA$2:$BA$2001,H8)&amp;"")</f>
        <v/>
      </c>
      <c r="H8" s="1">
        <f>IFERROR(MOD(_xlfn.AGGREGATE(15,6,Calc!$BN$2:$BN$2001/(Calc!$AW$2:$AW$2001=Setup!$D$7),5),10000),"")</f>
        <v/>
      </c>
      <c r="I8" s="1" t="n"/>
      <c r="J8" s="36">
        <f>IF(N8="","",IF(INDEX(Calc!$BG$2:$BG$2001,N8)=1,"✓","○"))</f>
        <v/>
      </c>
      <c r="K8" s="37">
        <f>IF(N8="","",INDEX(Calc!$AU$2:$AU$2001,N8)&amp;"")</f>
        <v/>
      </c>
      <c r="L8" s="36">
        <f>IF(N8="","",INDEX(Calc!$AV$2:$AV$2001,N8)&amp;"")</f>
        <v/>
      </c>
      <c r="M8" s="38">
        <f>IF(N8="","",INDEX(Calc!$AW$2:$AW$2001,N8))</f>
        <v/>
      </c>
      <c r="N8" s="1">
        <f>IFERROR(MATCH(SMALL(Calc!$BM$2:$BM$2001,5),Calc!$BM$2:$BM$2001,0),"")</f>
        <v/>
      </c>
      <c r="O8" s="1" t="n"/>
      <c r="P8" s="41" t="inlineStr">
        <is>
          <t>DECISION MATRIX</t>
        </is>
      </c>
      <c r="Q8" s="42" t="n"/>
      <c r="R8" s="42" t="n"/>
      <c r="S8" s="43" t="inlineStr">
        <is>
          <t>BY STATUS</t>
        </is>
      </c>
      <c r="T8" s="44" t="n"/>
      <c r="U8" s="44" t="n"/>
      <c r="V8" s="1" t="n"/>
      <c r="W8" s="1">
        <f>IF(INDEX(Setup!$F$6:$F$15,7)="","",INDEX(Setup!$F$6:$F$15,7))</f>
        <v/>
      </c>
      <c r="X8" s="1">
        <f>IF(W8="","",COUNTIFS(Calc!$AW$2:$AW$2001,"&gt;="&amp;$Q$3,Calc!$AW$2:$AW$2001,"&lt;="&amp;$Q$4,Calc!$BH$2:$BH$2001,1,Calc!$AV$2:$AV$2001,IF($Q$5="","*",$Q$5),Calc!$BC$2:$BC$2001,IF($Q$6="","*",$Q$6),Calc!$AV$2:$AV$2001,W8))</f>
        <v/>
      </c>
      <c r="Y8" s="1">
        <f>IF(INDEX(Setup!$H$6:$H$15,7)="","",INDEX(Setup!$H$6:$H$15,7))</f>
        <v/>
      </c>
      <c r="Z8" s="1">
        <f>IF(Y8="","",COUNTIFS(Calc!$AW$2:$AW$2001,"&gt;="&amp;$Q$3,Calc!$AW$2:$AW$2001,"&lt;="&amp;$Q$4,Calc!$BH$2:$BH$2001,1,Calc!$AV$2:$AV$2001,IF($Q$5="","*",$Q$5),Calc!$BC$2:$BC$2001,IF($Q$6="","*",$Q$6),Calc!$BC$2:$BC$2001,Y8))</f>
        <v/>
      </c>
      <c r="AA8" s="1" t="n"/>
      <c r="AB8" s="1" t="n"/>
      <c r="AC8" s="1" t="n"/>
      <c r="AD8" s="1" t="n"/>
      <c r="AE8" s="1" t="n"/>
    </row>
    <row r="9">
      <c r="A9" s="1" t="n"/>
      <c r="B9" s="39">
        <f>HYPERLINK("#'Variable Tasks'!A1","›  Variable Tasks")</f>
        <v/>
      </c>
      <c r="C9" s="1" t="n"/>
      <c r="D9" s="36">
        <f>IF(H9="","",IF(INDEX(Calc!$BG$2:$BG$2001,H9)=1,"✓","○"))</f>
        <v/>
      </c>
      <c r="E9" s="37">
        <f>IF(H9="","",INDEX(Calc!$AU$2:$AU$2001,H9)&amp;"")</f>
        <v/>
      </c>
      <c r="F9" s="36">
        <f>IF(H9="","",INDEX(Calc!$AV$2:$AV$2001,H9)&amp;"")</f>
        <v/>
      </c>
      <c r="G9" s="36">
        <f>IF(H9="","",INDEX(Calc!$BA$2:$BA$2001,H9)&amp;"")</f>
        <v/>
      </c>
      <c r="H9" s="1">
        <f>IFERROR(MOD(_xlfn.AGGREGATE(15,6,Calc!$BN$2:$BN$2001/(Calc!$AW$2:$AW$2001=Setup!$D$7),6),10000),"")</f>
        <v/>
      </c>
      <c r="I9" s="1" t="n"/>
      <c r="J9" s="36">
        <f>IF(N9="","",IF(INDEX(Calc!$BG$2:$BG$2001,N9)=1,"✓","○"))</f>
        <v/>
      </c>
      <c r="K9" s="37">
        <f>IF(N9="","",INDEX(Calc!$AU$2:$AU$2001,N9)&amp;"")</f>
        <v/>
      </c>
      <c r="L9" s="36">
        <f>IF(N9="","",INDEX(Calc!$AV$2:$AV$2001,N9)&amp;"")</f>
        <v/>
      </c>
      <c r="M9" s="38">
        <f>IF(N9="","",INDEX(Calc!$AW$2:$AW$2001,N9))</f>
        <v/>
      </c>
      <c r="N9" s="1">
        <f>IFERROR(MATCH(SMALL(Calc!$BM$2:$BM$2001,6),Calc!$BM$2:$BM$2001,0),"")</f>
        <v/>
      </c>
      <c r="O9" s="1" t="n"/>
      <c r="P9" s="31" t="inlineStr">
        <is>
          <t>DECISION</t>
        </is>
      </c>
      <c r="Q9" s="30" t="inlineStr">
        <is>
          <t>TO DO</t>
        </is>
      </c>
      <c r="R9" s="30" t="inlineStr">
        <is>
          <t>DONE</t>
        </is>
      </c>
      <c r="S9" s="45">
        <f>INDEX(Setup!$J$6:$J$11,1)</f>
        <v/>
      </c>
      <c r="U9" s="46">
        <f>COUNTIFS(Calc!$AW$2:$AW$2001,"&gt;="&amp;$Q$3,Calc!$AW$2:$AW$2001,"&lt;="&amp;$Q$4,Calc!$BH$2:$BH$2001,1,Calc!$AV$2:$AV$2001,IF($Q$5="","*",$Q$5),Calc!$BC$2:$BC$2001,IF($Q$6="","*",$Q$6),Calc!$AZ$2:$AZ$2001,S9)</f>
        <v/>
      </c>
      <c r="V9" s="1" t="n"/>
      <c r="W9" s="1">
        <f>IF(INDEX(Setup!$F$6:$F$15,8)="","",INDEX(Setup!$F$6:$F$15,8))</f>
        <v/>
      </c>
      <c r="X9" s="1">
        <f>IF(W9="","",COUNTIFS(Calc!$AW$2:$AW$2001,"&gt;="&amp;$Q$3,Calc!$AW$2:$AW$2001,"&lt;="&amp;$Q$4,Calc!$BH$2:$BH$2001,1,Calc!$AV$2:$AV$2001,IF($Q$5="","*",$Q$5),Calc!$BC$2:$BC$2001,IF($Q$6="","*",$Q$6),Calc!$AV$2:$AV$2001,W9))</f>
        <v/>
      </c>
      <c r="Y9" s="1">
        <f>IF(INDEX(Setup!$H$6:$H$15,8)="","",INDEX(Setup!$H$6:$H$15,8))</f>
        <v/>
      </c>
      <c r="Z9" s="1">
        <f>IF(Y9="","",COUNTIFS(Calc!$AW$2:$AW$2001,"&gt;="&amp;$Q$3,Calc!$AW$2:$AW$2001,"&lt;="&amp;$Q$4,Calc!$BH$2:$BH$2001,1,Calc!$AV$2:$AV$2001,IF($Q$5="","*",$Q$5),Calc!$BC$2:$BC$2001,IF($Q$6="","*",$Q$6),Calc!$BC$2:$BC$2001,Y9))</f>
        <v/>
      </c>
      <c r="AA9" s="1" t="n"/>
      <c r="AB9" s="1" t="n"/>
      <c r="AC9" s="1" t="n"/>
      <c r="AD9" s="1" t="n"/>
      <c r="AE9" s="1" t="n"/>
    </row>
    <row r="10">
      <c r="A10" s="1" t="n"/>
      <c r="B10" s="39">
        <f>HYPERLINK("#'Recurring Log'!A1","›  Recurring Log")</f>
        <v/>
      </c>
      <c r="C10" s="1" t="n"/>
      <c r="D10" s="36">
        <f>IF(H10="","",IF(INDEX(Calc!$BG$2:$BG$2001,H10)=1,"✓","○"))</f>
        <v/>
      </c>
      <c r="E10" s="37">
        <f>IF(H10="","",INDEX(Calc!$AU$2:$AU$2001,H10)&amp;"")</f>
        <v/>
      </c>
      <c r="F10" s="36">
        <f>IF(H10="","",INDEX(Calc!$AV$2:$AV$2001,H10)&amp;"")</f>
        <v/>
      </c>
      <c r="G10" s="36">
        <f>IF(H10="","",INDEX(Calc!$BA$2:$BA$2001,H10)&amp;"")</f>
        <v/>
      </c>
      <c r="H10" s="1">
        <f>IFERROR(MOD(_xlfn.AGGREGATE(15,6,Calc!$BN$2:$BN$2001/(Calc!$AW$2:$AW$2001=Setup!$D$7),7),10000),"")</f>
        <v/>
      </c>
      <c r="I10" s="1" t="n"/>
      <c r="J10" s="36">
        <f>IF(N10="","",IF(INDEX(Calc!$BG$2:$BG$2001,N10)=1,"✓","○"))</f>
        <v/>
      </c>
      <c r="K10" s="37">
        <f>IF(N10="","",INDEX(Calc!$AU$2:$AU$2001,N10)&amp;"")</f>
        <v/>
      </c>
      <c r="L10" s="36">
        <f>IF(N10="","",INDEX(Calc!$AV$2:$AV$2001,N10)&amp;"")</f>
        <v/>
      </c>
      <c r="M10" s="38">
        <f>IF(N10="","",INDEX(Calc!$AW$2:$AW$2001,N10))</f>
        <v/>
      </c>
      <c r="N10" s="1">
        <f>IFERROR(MATCH(SMALL(Calc!$BM$2:$BM$2001,7),Calc!$BM$2:$BM$2001,0),"")</f>
        <v/>
      </c>
      <c r="O10" s="1" t="n"/>
      <c r="P10" s="47" t="inlineStr">
        <is>
          <t>DO FIRST</t>
        </is>
      </c>
      <c r="Q10" s="46">
        <f>COUNTIFS(Calc!$AW$2:$AW$2001,"&gt;="&amp;$Q$3,Calc!$AW$2:$AW$2001,"&lt;="&amp;$Q$4,Calc!$BH$2:$BH$2001,1,Calc!$AV$2:$AV$2001,IF($Q$5="","*",$Q$5),Calc!$BC$2:$BC$2001,IF($Q$6="","*",$Q$6),Calc!$BD$2:$BD$2001,"DO FIRST",Calc!$BG$2:$BG$2001,0)</f>
        <v/>
      </c>
      <c r="R10" s="48">
        <f>COUNTIFS(Calc!$AW$2:$AW$2001,"&gt;="&amp;$Q$3,Calc!$AW$2:$AW$2001,"&lt;="&amp;$Q$4,Calc!$BH$2:$BH$2001,1,Calc!$AV$2:$AV$2001,IF($Q$5="","*",$Q$5),Calc!$BC$2:$BC$2001,IF($Q$6="","*",$Q$6),Calc!$BD$2:$BD$2001,"DO FIRST",Calc!$BG$2:$BG$2001,1)</f>
        <v/>
      </c>
      <c r="S10" s="45">
        <f>INDEX(Setup!$J$6:$J$11,2)</f>
        <v/>
      </c>
      <c r="U10" s="46">
        <f>COUNTIFS(Calc!$AW$2:$AW$2001,"&gt;="&amp;$Q$3,Calc!$AW$2:$AW$2001,"&lt;="&amp;$Q$4,Calc!$BH$2:$BH$2001,1,Calc!$AV$2:$AV$2001,IF($Q$5="","*",$Q$5),Calc!$BC$2:$BC$2001,IF($Q$6="","*",$Q$6),Calc!$AZ$2:$AZ$2001,S10)</f>
        <v/>
      </c>
      <c r="V10" s="1" t="n"/>
      <c r="W10" s="1">
        <f>IF(INDEX(Setup!$F$6:$F$15,9)="","",INDEX(Setup!$F$6:$F$15,9))</f>
        <v/>
      </c>
      <c r="X10" s="1">
        <f>IF(W10="","",COUNTIFS(Calc!$AW$2:$AW$2001,"&gt;="&amp;$Q$3,Calc!$AW$2:$AW$2001,"&lt;="&amp;$Q$4,Calc!$BH$2:$BH$2001,1,Calc!$AV$2:$AV$2001,IF($Q$5="","*",$Q$5),Calc!$BC$2:$BC$2001,IF($Q$6="","*",$Q$6),Calc!$AV$2:$AV$2001,W10))</f>
        <v/>
      </c>
      <c r="Y10" s="1">
        <f>IF(INDEX(Setup!$H$6:$H$15,9)="","",INDEX(Setup!$H$6:$H$15,9))</f>
        <v/>
      </c>
      <c r="Z10" s="1">
        <f>IF(Y10="","",COUNTIFS(Calc!$AW$2:$AW$2001,"&gt;="&amp;$Q$3,Calc!$AW$2:$AW$2001,"&lt;="&amp;$Q$4,Calc!$BH$2:$BH$2001,1,Calc!$AV$2:$AV$2001,IF($Q$5="","*",$Q$5),Calc!$BC$2:$BC$2001,IF($Q$6="","*",$Q$6),Calc!$BC$2:$BC$2001,Y10))</f>
        <v/>
      </c>
      <c r="AA10" s="1" t="n"/>
      <c r="AB10" s="1" t="n"/>
      <c r="AC10" s="1" t="n"/>
      <c r="AD10" s="1" t="n"/>
      <c r="AE10" s="1" t="n"/>
    </row>
    <row r="11">
      <c r="A11" s="1" t="n"/>
      <c r="B11" s="39">
        <f>HYPERLINK("#'Tasks Filter'!A1","›  Tasks Filter")</f>
        <v/>
      </c>
      <c r="C11" s="1" t="n"/>
      <c r="D11" s="36">
        <f>IF(H11="","",IF(INDEX(Calc!$BG$2:$BG$2001,H11)=1,"✓","○"))</f>
        <v/>
      </c>
      <c r="E11" s="37">
        <f>IF(H11="","",INDEX(Calc!$AU$2:$AU$2001,H11)&amp;"")</f>
        <v/>
      </c>
      <c r="F11" s="36">
        <f>IF(H11="","",INDEX(Calc!$AV$2:$AV$2001,H11)&amp;"")</f>
        <v/>
      </c>
      <c r="G11" s="36">
        <f>IF(H11="","",INDEX(Calc!$BA$2:$BA$2001,H11)&amp;"")</f>
        <v/>
      </c>
      <c r="H11" s="1">
        <f>IFERROR(MOD(_xlfn.AGGREGATE(15,6,Calc!$BN$2:$BN$2001/(Calc!$AW$2:$AW$2001=Setup!$D$7),8),10000),"")</f>
        <v/>
      </c>
      <c r="I11" s="1" t="n"/>
      <c r="J11" s="36">
        <f>IF(N11="","",IF(INDEX(Calc!$BG$2:$BG$2001,N11)=1,"✓","○"))</f>
        <v/>
      </c>
      <c r="K11" s="37">
        <f>IF(N11="","",INDEX(Calc!$AU$2:$AU$2001,N11)&amp;"")</f>
        <v/>
      </c>
      <c r="L11" s="36">
        <f>IF(N11="","",INDEX(Calc!$AV$2:$AV$2001,N11)&amp;"")</f>
        <v/>
      </c>
      <c r="M11" s="38">
        <f>IF(N11="","",INDEX(Calc!$AW$2:$AW$2001,N11))</f>
        <v/>
      </c>
      <c r="N11" s="1">
        <f>IFERROR(MATCH(SMALL(Calc!$BM$2:$BM$2001,8),Calc!$BM$2:$BM$2001,0),"")</f>
        <v/>
      </c>
      <c r="O11" s="1" t="n"/>
      <c r="P11" s="49" t="inlineStr">
        <is>
          <t>SCHEDULE</t>
        </is>
      </c>
      <c r="Q11" s="46">
        <f>COUNTIFS(Calc!$AW$2:$AW$2001,"&gt;="&amp;$Q$3,Calc!$AW$2:$AW$2001,"&lt;="&amp;$Q$4,Calc!$BH$2:$BH$2001,1,Calc!$AV$2:$AV$2001,IF($Q$5="","*",$Q$5),Calc!$BC$2:$BC$2001,IF($Q$6="","*",$Q$6),Calc!$BD$2:$BD$2001,"SCHEDULE",Calc!$BG$2:$BG$2001,0)</f>
        <v/>
      </c>
      <c r="R11" s="48">
        <f>COUNTIFS(Calc!$AW$2:$AW$2001,"&gt;="&amp;$Q$3,Calc!$AW$2:$AW$2001,"&lt;="&amp;$Q$4,Calc!$BH$2:$BH$2001,1,Calc!$AV$2:$AV$2001,IF($Q$5="","*",$Q$5),Calc!$BC$2:$BC$2001,IF($Q$6="","*",$Q$6),Calc!$BD$2:$BD$2001,"SCHEDULE",Calc!$BG$2:$BG$2001,1)</f>
        <v/>
      </c>
      <c r="S11" s="45">
        <f>INDEX(Setup!$J$6:$J$11,3)</f>
        <v/>
      </c>
      <c r="U11" s="46">
        <f>COUNTIFS(Calc!$AW$2:$AW$2001,"&gt;="&amp;$Q$3,Calc!$AW$2:$AW$2001,"&lt;="&amp;$Q$4,Calc!$BH$2:$BH$2001,1,Calc!$AV$2:$AV$2001,IF($Q$5="","*",$Q$5),Calc!$BC$2:$BC$2001,IF($Q$6="","*",$Q$6),Calc!$AZ$2:$AZ$2001,S11)</f>
        <v/>
      </c>
      <c r="V11" s="1" t="n"/>
      <c r="W11" s="1">
        <f>IF(INDEX(Setup!$F$6:$F$15,10)="","",INDEX(Setup!$F$6:$F$15,10))</f>
        <v/>
      </c>
      <c r="X11" s="1">
        <f>IF(W11="","",COUNTIFS(Calc!$AW$2:$AW$2001,"&gt;="&amp;$Q$3,Calc!$AW$2:$AW$2001,"&lt;="&amp;$Q$4,Calc!$BH$2:$BH$2001,1,Calc!$AV$2:$AV$2001,IF($Q$5="","*",$Q$5),Calc!$BC$2:$BC$2001,IF($Q$6="","*",$Q$6),Calc!$AV$2:$AV$2001,W11))</f>
        <v/>
      </c>
      <c r="Y11" s="1">
        <f>IF(INDEX(Setup!$H$6:$H$15,10)="","",INDEX(Setup!$H$6:$H$15,10))</f>
        <v/>
      </c>
      <c r="Z11" s="1">
        <f>IF(Y11="","",COUNTIFS(Calc!$AW$2:$AW$2001,"&gt;="&amp;$Q$3,Calc!$AW$2:$AW$2001,"&lt;="&amp;$Q$4,Calc!$BH$2:$BH$2001,1,Calc!$AV$2:$AV$2001,IF($Q$5="","*",$Q$5),Calc!$BC$2:$BC$2001,IF($Q$6="","*",$Q$6),Calc!$BC$2:$BC$2001,Y11))</f>
        <v/>
      </c>
      <c r="AA11" s="1" t="n"/>
      <c r="AB11" s="1" t="n"/>
      <c r="AC11" s="1" t="n"/>
      <c r="AD11" s="1" t="n"/>
      <c r="AE11" s="1" t="n"/>
    </row>
    <row r="12">
      <c r="A12" s="1" t="n"/>
      <c r="B12" s="39">
        <f>HYPERLINK("#'Gratitude Log'!A1","›  Gratitude Log")</f>
        <v/>
      </c>
      <c r="C12" s="1" t="n"/>
      <c r="D12" s="36">
        <f>IF(H12="","",IF(INDEX(Calc!$BG$2:$BG$2001,H12)=1,"✓","○"))</f>
        <v/>
      </c>
      <c r="E12" s="37">
        <f>IF(H12="","",INDEX(Calc!$AU$2:$AU$2001,H12)&amp;"")</f>
        <v/>
      </c>
      <c r="F12" s="36">
        <f>IF(H12="","",INDEX(Calc!$AV$2:$AV$2001,H12)&amp;"")</f>
        <v/>
      </c>
      <c r="G12" s="36">
        <f>IF(H12="","",INDEX(Calc!$BA$2:$BA$2001,H12)&amp;"")</f>
        <v/>
      </c>
      <c r="H12" s="1">
        <f>IFERROR(MOD(_xlfn.AGGREGATE(15,6,Calc!$BN$2:$BN$2001/(Calc!$AW$2:$AW$2001=Setup!$D$7),9),10000),"")</f>
        <v/>
      </c>
      <c r="I12" s="1" t="n"/>
      <c r="J12" s="36">
        <f>IF(N12="","",IF(INDEX(Calc!$BG$2:$BG$2001,N12)=1,"✓","○"))</f>
        <v/>
      </c>
      <c r="K12" s="37">
        <f>IF(N12="","",INDEX(Calc!$AU$2:$AU$2001,N12)&amp;"")</f>
        <v/>
      </c>
      <c r="L12" s="36">
        <f>IF(N12="","",INDEX(Calc!$AV$2:$AV$2001,N12)&amp;"")</f>
        <v/>
      </c>
      <c r="M12" s="38">
        <f>IF(N12="","",INDEX(Calc!$AW$2:$AW$2001,N12))</f>
        <v/>
      </c>
      <c r="N12" s="1">
        <f>IFERROR(MATCH(SMALL(Calc!$BM$2:$BM$2001,9),Calc!$BM$2:$BM$2001,0),"")</f>
        <v/>
      </c>
      <c r="O12" s="1" t="n"/>
      <c r="P12" s="50" t="inlineStr">
        <is>
          <t>DELEGATE</t>
        </is>
      </c>
      <c r="Q12" s="46">
        <f>COUNTIFS(Calc!$AW$2:$AW$2001,"&gt;="&amp;$Q$3,Calc!$AW$2:$AW$2001,"&lt;="&amp;$Q$4,Calc!$BH$2:$BH$2001,1,Calc!$AV$2:$AV$2001,IF($Q$5="","*",$Q$5),Calc!$BC$2:$BC$2001,IF($Q$6="","*",$Q$6),Calc!$BD$2:$BD$2001,"DELEGATE",Calc!$BG$2:$BG$2001,0)</f>
        <v/>
      </c>
      <c r="R12" s="48">
        <f>COUNTIFS(Calc!$AW$2:$AW$2001,"&gt;="&amp;$Q$3,Calc!$AW$2:$AW$2001,"&lt;="&amp;$Q$4,Calc!$BH$2:$BH$2001,1,Calc!$AV$2:$AV$2001,IF($Q$5="","*",$Q$5),Calc!$BC$2:$BC$2001,IF($Q$6="","*",$Q$6),Calc!$BD$2:$BD$2001,"DELEGATE",Calc!$BG$2:$BG$2001,1)</f>
        <v/>
      </c>
      <c r="S12" s="45">
        <f>INDEX(Setup!$J$6:$J$11,4)</f>
        <v/>
      </c>
      <c r="U12" s="46">
        <f>COUNTIFS(Calc!$AW$2:$AW$2001,"&gt;="&amp;$Q$3,Calc!$AW$2:$AW$2001,"&lt;="&amp;$Q$4,Calc!$BH$2:$BH$2001,1,Calc!$AV$2:$AV$2001,IF($Q$5="","*",$Q$5),Calc!$BC$2:$BC$2001,IF($Q$6="","*",$Q$6),Calc!$AZ$2:$AZ$2001,S12)</f>
        <v/>
      </c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>
      <c r="A13" s="1" t="n"/>
      <c r="B13" s="39">
        <f>HYPERLINK("#'Habit Tracker'!A1","›  Habit Tracker")</f>
        <v/>
      </c>
      <c r="C13" s="1" t="n"/>
      <c r="D13" s="36">
        <f>IF(H13="","",IF(INDEX(Calc!$BG$2:$BG$2001,H13)=1,"✓","○"))</f>
        <v/>
      </c>
      <c r="E13" s="37">
        <f>IF(H13="","",INDEX(Calc!$AU$2:$AU$2001,H13)&amp;"")</f>
        <v/>
      </c>
      <c r="F13" s="36">
        <f>IF(H13="","",INDEX(Calc!$AV$2:$AV$2001,H13)&amp;"")</f>
        <v/>
      </c>
      <c r="G13" s="36">
        <f>IF(H13="","",INDEX(Calc!$BA$2:$BA$2001,H13)&amp;"")</f>
        <v/>
      </c>
      <c r="H13" s="1">
        <f>IFERROR(MOD(_xlfn.AGGREGATE(15,6,Calc!$BN$2:$BN$2001/(Calc!$AW$2:$AW$2001=Setup!$D$7),10),10000),"")</f>
        <v/>
      </c>
      <c r="I13" s="1" t="n"/>
      <c r="J13" s="36">
        <f>IF(N13="","",IF(INDEX(Calc!$BG$2:$BG$2001,N13)=1,"✓","○"))</f>
        <v/>
      </c>
      <c r="K13" s="37">
        <f>IF(N13="","",INDEX(Calc!$AU$2:$AU$2001,N13)&amp;"")</f>
        <v/>
      </c>
      <c r="L13" s="36">
        <f>IF(N13="","",INDEX(Calc!$AV$2:$AV$2001,N13)&amp;"")</f>
        <v/>
      </c>
      <c r="M13" s="38">
        <f>IF(N13="","",INDEX(Calc!$AW$2:$AW$2001,N13))</f>
        <v/>
      </c>
      <c r="N13" s="1">
        <f>IFERROR(MATCH(SMALL(Calc!$BM$2:$BM$2001,10),Calc!$BM$2:$BM$2001,0),"")</f>
        <v/>
      </c>
      <c r="O13" s="1" t="n"/>
      <c r="P13" s="51" t="inlineStr">
        <is>
          <t>DELETE</t>
        </is>
      </c>
      <c r="Q13" s="46">
        <f>COUNTIFS(Calc!$AW$2:$AW$2001,"&gt;="&amp;$Q$3,Calc!$AW$2:$AW$2001,"&lt;="&amp;$Q$4,Calc!$BH$2:$BH$2001,1,Calc!$AV$2:$AV$2001,IF($Q$5="","*",$Q$5),Calc!$BC$2:$BC$2001,IF($Q$6="","*",$Q$6),Calc!$BD$2:$BD$2001,"DELETE",Calc!$BG$2:$BG$2001,0)</f>
        <v/>
      </c>
      <c r="R13" s="48">
        <f>COUNTIFS(Calc!$AW$2:$AW$2001,"&gt;="&amp;$Q$3,Calc!$AW$2:$AW$2001,"&lt;="&amp;$Q$4,Calc!$BH$2:$BH$2001,1,Calc!$AV$2:$AV$2001,IF($Q$5="","*",$Q$5),Calc!$BC$2:$BC$2001,IF($Q$6="","*",$Q$6),Calc!$BD$2:$BD$2001,"DELETE",Calc!$BG$2:$BG$2001,1)</f>
        <v/>
      </c>
      <c r="S13" s="45">
        <f>INDEX(Setup!$J$6:$J$11,5)</f>
        <v/>
      </c>
      <c r="U13" s="46">
        <f>COUNTIFS(Calc!$AW$2:$AW$2001,"&gt;="&amp;$Q$3,Calc!$AW$2:$AW$2001,"&lt;="&amp;$Q$4,Calc!$BH$2:$BH$2001,1,Calc!$AV$2:$AV$2001,IF($Q$5="","*",$Q$5),Calc!$BC$2:$BC$2001,IF($Q$6="","*",$Q$6),Calc!$AZ$2:$AZ$2001,S13)</f>
        <v/>
      </c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>
      <c r="A14" s="1" t="n"/>
      <c r="B14" s="35" t="n"/>
      <c r="C14" s="1" t="n"/>
      <c r="D14" s="36">
        <f>IF(H14="","",IF(INDEX(Calc!$BG$2:$BG$2001,H14)=1,"✓","○"))</f>
        <v/>
      </c>
      <c r="E14" s="37">
        <f>IF(H14="","",INDEX(Calc!$AU$2:$AU$2001,H14)&amp;"")</f>
        <v/>
      </c>
      <c r="F14" s="36">
        <f>IF(H14="","",INDEX(Calc!$AV$2:$AV$2001,H14)&amp;"")</f>
        <v/>
      </c>
      <c r="G14" s="36">
        <f>IF(H14="","",INDEX(Calc!$BA$2:$BA$2001,H14)&amp;"")</f>
        <v/>
      </c>
      <c r="H14" s="1">
        <f>IFERROR(MOD(_xlfn.AGGREGATE(15,6,Calc!$BN$2:$BN$2001/(Calc!$AW$2:$AW$2001=Setup!$D$7),11),10000),"")</f>
        <v/>
      </c>
      <c r="I14" s="1" t="n"/>
      <c r="J14" s="36">
        <f>IF(N14="","",IF(INDEX(Calc!$BG$2:$BG$2001,N14)=1,"✓","○"))</f>
        <v/>
      </c>
      <c r="K14" s="37">
        <f>IF(N14="","",INDEX(Calc!$AU$2:$AU$2001,N14)&amp;"")</f>
        <v/>
      </c>
      <c r="L14" s="36">
        <f>IF(N14="","",INDEX(Calc!$AV$2:$AV$2001,N14)&amp;"")</f>
        <v/>
      </c>
      <c r="M14" s="38">
        <f>IF(N14="","",INDEX(Calc!$AW$2:$AW$2001,N14))</f>
        <v/>
      </c>
      <c r="N14" s="1">
        <f>IFERROR(MATCH(SMALL(Calc!$BM$2:$BM$2001,11),Calc!$BM$2:$BM$2001,0),"")</f>
        <v/>
      </c>
      <c r="O14" s="1" t="n"/>
      <c r="P14" s="1" t="n"/>
      <c r="Q14" s="1" t="n"/>
      <c r="R14" s="1" t="n"/>
      <c r="S14" s="45">
        <f>INDEX(Setup!$J$6:$J$11,6)</f>
        <v/>
      </c>
      <c r="U14" s="46">
        <f>COUNTIFS(Calc!$AW$2:$AW$2001,"&gt;="&amp;$Q$3,Calc!$AW$2:$AW$2001,"&lt;="&amp;$Q$4,Calc!$BH$2:$BH$2001,1,Calc!$AV$2:$AV$2001,IF($Q$5="","*",$Q$5),Calc!$BC$2:$BC$2001,IF($Q$6="","*",$Q$6),Calc!$AZ$2:$AZ$2001,S14)</f>
        <v/>
      </c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>
      <c r="A15" s="1" t="n"/>
      <c r="B15" s="40" t="inlineStr">
        <is>
          <t>DASHBOARDS</t>
        </is>
      </c>
      <c r="C15" s="1" t="n"/>
      <c r="D15" s="36">
        <f>IF(H15="","",IF(INDEX(Calc!$BG$2:$BG$2001,H15)=1,"✓","○"))</f>
        <v/>
      </c>
      <c r="E15" s="37">
        <f>IF(H15="","",INDEX(Calc!$AU$2:$AU$2001,H15)&amp;"")</f>
        <v/>
      </c>
      <c r="F15" s="36">
        <f>IF(H15="","",INDEX(Calc!$AV$2:$AV$2001,H15)&amp;"")</f>
        <v/>
      </c>
      <c r="G15" s="36">
        <f>IF(H15="","",INDEX(Calc!$BA$2:$BA$2001,H15)&amp;"")</f>
        <v/>
      </c>
      <c r="H15" s="1">
        <f>IFERROR(MOD(_xlfn.AGGREGATE(15,6,Calc!$BN$2:$BN$2001/(Calc!$AW$2:$AW$2001=Setup!$D$7),12),10000),"")</f>
        <v/>
      </c>
      <c r="I15" s="1" t="n"/>
      <c r="J15" s="36">
        <f>IF(N15="","",IF(INDEX(Calc!$BG$2:$BG$2001,N15)=1,"✓","○"))</f>
        <v/>
      </c>
      <c r="K15" s="37">
        <f>IF(N15="","",INDEX(Calc!$AU$2:$AU$2001,N15)&amp;"")</f>
        <v/>
      </c>
      <c r="L15" s="36">
        <f>IF(N15="","",INDEX(Calc!$AV$2:$AV$2001,N15)&amp;"")</f>
        <v/>
      </c>
      <c r="M15" s="38">
        <f>IF(N15="","",INDEX(Calc!$AW$2:$AW$2001,N15))</f>
        <v/>
      </c>
      <c r="N15" s="1">
        <f>IFERROR(MATCH(SMALL(Calc!$BM$2:$BM$2001,12),Calc!$BM$2:$BM$2001,0),"")</f>
        <v/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>
      <c r="A16" s="1" t="n"/>
      <c r="B16" s="39">
        <f>HYPERLINK("#'Daily'!A1","›  Daily")</f>
        <v/>
      </c>
      <c r="C16" s="1" t="n"/>
      <c r="D16" s="36">
        <f>IF(H16="","",IF(INDEX(Calc!$BG$2:$BG$2001,H16)=1,"✓","○"))</f>
        <v/>
      </c>
      <c r="E16" s="37">
        <f>IF(H16="","",INDEX(Calc!$AU$2:$AU$2001,H16)&amp;"")</f>
        <v/>
      </c>
      <c r="F16" s="36">
        <f>IF(H16="","",INDEX(Calc!$AV$2:$AV$2001,H16)&amp;"")</f>
        <v/>
      </c>
      <c r="G16" s="36">
        <f>IF(H16="","",INDEX(Calc!$BA$2:$BA$2001,H16)&amp;"")</f>
        <v/>
      </c>
      <c r="H16" s="1">
        <f>IFERROR(MOD(_xlfn.AGGREGATE(15,6,Calc!$BN$2:$BN$2001/(Calc!$AW$2:$AW$2001=Setup!$D$7),13),10000),"")</f>
        <v/>
      </c>
      <c r="I16" s="1" t="n"/>
      <c r="J16" s="36">
        <f>IF(N16="","",IF(INDEX(Calc!$BG$2:$BG$2001,N16)=1,"✓","○"))</f>
        <v/>
      </c>
      <c r="K16" s="37">
        <f>IF(N16="","",INDEX(Calc!$AU$2:$AU$2001,N16)&amp;"")</f>
        <v/>
      </c>
      <c r="L16" s="36">
        <f>IF(N16="","",INDEX(Calc!$AV$2:$AV$2001,N16)&amp;"")</f>
        <v/>
      </c>
      <c r="M16" s="38">
        <f>IF(N16="","",INDEX(Calc!$AW$2:$AW$2001,N16))</f>
        <v/>
      </c>
      <c r="N16" s="1">
        <f>IFERROR(MATCH(SMALL(Calc!$BM$2:$BM$2001,13),Calc!$BM$2:$BM$2001,0),"")</f>
        <v/>
      </c>
      <c r="O16" s="1" t="n"/>
      <c r="P16" s="52" t="inlineStr">
        <is>
          <t>TASKS BY CATEGORY</t>
        </is>
      </c>
      <c r="Q16" s="53" t="n"/>
      <c r="R16" s="53" t="n"/>
      <c r="S16" s="53" t="n"/>
      <c r="T16" s="53" t="n"/>
      <c r="U16" s="53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>
      <c r="A17" s="1" t="n"/>
      <c r="B17" s="39">
        <f>HYPERLINK("#'Weekly'!A1","›  Weekly")</f>
        <v/>
      </c>
      <c r="C17" s="1" t="n"/>
      <c r="D17" s="36">
        <f>IF(H17="","",IF(INDEX(Calc!$BG$2:$BG$2001,H17)=1,"✓","○"))</f>
        <v/>
      </c>
      <c r="E17" s="37">
        <f>IF(H17="","",INDEX(Calc!$AU$2:$AU$2001,H17)&amp;"")</f>
        <v/>
      </c>
      <c r="F17" s="36">
        <f>IF(H17="","",INDEX(Calc!$AV$2:$AV$2001,H17)&amp;"")</f>
        <v/>
      </c>
      <c r="G17" s="36">
        <f>IF(H17="","",INDEX(Calc!$BA$2:$BA$2001,H17)&amp;"")</f>
        <v/>
      </c>
      <c r="H17" s="1">
        <f>IFERROR(MOD(_xlfn.AGGREGATE(15,6,Calc!$BN$2:$BN$2001/(Calc!$AW$2:$AW$2001=Setup!$D$7),14),10000),"")</f>
        <v/>
      </c>
      <c r="I17" s="1" t="n"/>
      <c r="J17" s="36">
        <f>IF(N17="","",IF(INDEX(Calc!$BG$2:$BG$2001,N17)=1,"✓","○"))</f>
        <v/>
      </c>
      <c r="K17" s="37">
        <f>IF(N17="","",INDEX(Calc!$AU$2:$AU$2001,N17)&amp;"")</f>
        <v/>
      </c>
      <c r="L17" s="36">
        <f>IF(N17="","",INDEX(Calc!$AV$2:$AV$2001,N17)&amp;"")</f>
        <v/>
      </c>
      <c r="M17" s="38">
        <f>IF(N17="","",INDEX(Calc!$AW$2:$AW$2001,N17))</f>
        <v/>
      </c>
      <c r="N17" s="1">
        <f>IFERROR(MATCH(SMALL(Calc!$BM$2:$BM$2001,14),Calc!$BM$2:$BM$2001,0),"")</f>
        <v/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>
      <c r="A18" s="1" t="n"/>
      <c r="B18" s="39">
        <f>HYPERLINK("#'Monthly'!A1","›  Monthly")</f>
        <v/>
      </c>
      <c r="C18" s="1" t="n"/>
      <c r="D18" s="1" t="n"/>
      <c r="E18" s="1" t="n"/>
      <c r="F18" s="1" t="n"/>
      <c r="G18" s="1" t="n"/>
      <c r="H18" s="1" t="n"/>
      <c r="I18" s="1" t="n"/>
      <c r="J18" s="36">
        <f>IF(N18="","",IF(INDEX(Calc!$BG$2:$BG$2001,N18)=1,"✓","○"))</f>
        <v/>
      </c>
      <c r="K18" s="37">
        <f>IF(N18="","",INDEX(Calc!$AU$2:$AU$2001,N18)&amp;"")</f>
        <v/>
      </c>
      <c r="L18" s="36">
        <f>IF(N18="","",INDEX(Calc!$AV$2:$AV$2001,N18)&amp;"")</f>
        <v/>
      </c>
      <c r="M18" s="38">
        <f>IF(N18="","",INDEX(Calc!$AW$2:$AW$2001,N18))</f>
        <v/>
      </c>
      <c r="N18" s="1">
        <f>IFERROR(MATCH(SMALL(Calc!$BM$2:$BM$2001,15),Calc!$BM$2:$BM$2001,0),"")</f>
        <v/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>
      <c r="A19" s="1" t="n"/>
      <c r="B19" s="39">
        <f>HYPERLINK("#'Decision Matrix'!A1","›  Decision Matrix")</f>
        <v/>
      </c>
      <c r="C19" s="1" t="n"/>
      <c r="D19" s="1" t="n"/>
      <c r="E19" s="1" t="n"/>
      <c r="F19" s="1" t="n"/>
      <c r="G19" s="1" t="n"/>
      <c r="H19" s="1" t="n"/>
      <c r="I19" s="1" t="n"/>
      <c r="J19" s="36">
        <f>IF(N19="","",IF(INDEX(Calc!$BG$2:$BG$2001,N19)=1,"✓","○"))</f>
        <v/>
      </c>
      <c r="K19" s="37">
        <f>IF(N19="","",INDEX(Calc!$AU$2:$AU$2001,N19)&amp;"")</f>
        <v/>
      </c>
      <c r="L19" s="36">
        <f>IF(N19="","",INDEX(Calc!$AV$2:$AV$2001,N19)&amp;"")</f>
        <v/>
      </c>
      <c r="M19" s="38">
        <f>IF(N19="","",INDEX(Calc!$AW$2:$AW$2001,N19))</f>
        <v/>
      </c>
      <c r="N19" s="1">
        <f>IFERROR(MATCH(SMALL(Calc!$BM$2:$BM$2001,16),Calc!$BM$2:$BM$2001,0),"")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>
      <c r="A20" s="1" t="n"/>
      <c r="B20" s="35" t="n"/>
      <c r="C20" s="1" t="n"/>
      <c r="D20" s="54" t="inlineStr">
        <is>
          <t>OVERDUE TASKS</t>
        </is>
      </c>
      <c r="E20" s="42" t="n"/>
      <c r="F20" s="42" t="n"/>
      <c r="G20" s="55">
        <f>COUNT(Calc!$BL$2:$BL$2001)</f>
        <v/>
      </c>
      <c r="H20" s="1" t="n"/>
      <c r="I20" s="1" t="n"/>
      <c r="J20" s="36">
        <f>IF(N20="","",IF(INDEX(Calc!$BG$2:$BG$2001,N20)=1,"✓","○"))</f>
        <v/>
      </c>
      <c r="K20" s="37">
        <f>IF(N20="","",INDEX(Calc!$AU$2:$AU$2001,N20)&amp;"")</f>
        <v/>
      </c>
      <c r="L20" s="36">
        <f>IF(N20="","",INDEX(Calc!$AV$2:$AV$2001,N20)&amp;"")</f>
        <v/>
      </c>
      <c r="M20" s="38">
        <f>IF(N20="","",INDEX(Calc!$AW$2:$AW$2001,N20))</f>
        <v/>
      </c>
      <c r="N20" s="1">
        <f>IFERROR(MATCH(SMALL(Calc!$BM$2:$BM$2001,17),Calc!$BM$2:$BM$2001,0),"")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>
      <c r="A21" s="1" t="n"/>
      <c r="B21" s="40" t="inlineStr">
        <is>
          <t>BONUS</t>
        </is>
      </c>
      <c r="C21" s="1" t="n"/>
      <c r="D21" s="30" t="inlineStr"/>
      <c r="E21" s="31" t="inlineStr">
        <is>
          <t>TASK</t>
        </is>
      </c>
      <c r="F21" s="30" t="inlineStr">
        <is>
          <t>DAYS LATE</t>
        </is>
      </c>
      <c r="G21" s="30" t="inlineStr">
        <is>
          <t>PRIORITY</t>
        </is>
      </c>
      <c r="H21" s="1" t="n"/>
      <c r="I21" s="1" t="n"/>
      <c r="J21" s="36">
        <f>IF(N21="","",IF(INDEX(Calc!$BG$2:$BG$2001,N21)=1,"✓","○"))</f>
        <v/>
      </c>
      <c r="K21" s="37">
        <f>IF(N21="","",INDEX(Calc!$AU$2:$AU$2001,N21)&amp;"")</f>
        <v/>
      </c>
      <c r="L21" s="36">
        <f>IF(N21="","",INDEX(Calc!$AV$2:$AV$2001,N21)&amp;"")</f>
        <v/>
      </c>
      <c r="M21" s="38">
        <f>IF(N21="","",INDEX(Calc!$AW$2:$AW$2001,N21))</f>
        <v/>
      </c>
      <c r="N21" s="1">
        <f>IFERROR(MATCH(SMALL(Calc!$BM$2:$BM$2001,18),Calc!$BM$2:$BM$2001,0),"")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>
      <c r="A22" s="1" t="n"/>
      <c r="B22" s="39">
        <f>HYPERLINK("#'Goals'!A1","›  Goals")</f>
        <v/>
      </c>
      <c r="C22" s="1" t="n"/>
      <c r="D22" s="36">
        <f>IF(I22="","",IF(INDEX(Calc!$BG$2:$BG$2001,I22)=1,"✓","○"))</f>
        <v/>
      </c>
      <c r="E22" s="37">
        <f>IF(I22="","",INDEX(Calc!$AU$2:$AU$2001,I22)&amp;"")</f>
        <v/>
      </c>
      <c r="F22" s="56">
        <f>IF(I22="","",Setup!$D$7-INDEX(Calc!$AW$2:$AW$2001,I22))</f>
        <v/>
      </c>
      <c r="G22" s="36">
        <f>IF(I22="","",INDEX(Calc!$BA$2:$BA$2001,I22)&amp;"")</f>
        <v/>
      </c>
      <c r="H22" s="1" t="n"/>
      <c r="I22" s="1">
        <f>IFERROR(MATCH(SMALL(Calc!$BL$2:$BL$2001,1),Calc!$BL$2:$BL$2001,0),"")</f>
        <v/>
      </c>
      <c r="J22" s="36">
        <f>IF(N22="","",IF(INDEX(Calc!$BG$2:$BG$2001,N22)=1,"✓","○"))</f>
        <v/>
      </c>
      <c r="K22" s="37">
        <f>IF(N22="","",INDEX(Calc!$AU$2:$AU$2001,N22)&amp;"")</f>
        <v/>
      </c>
      <c r="L22" s="36">
        <f>IF(N22="","",INDEX(Calc!$AV$2:$AV$2001,N22)&amp;"")</f>
        <v/>
      </c>
      <c r="M22" s="38">
        <f>IF(N22="","",INDEX(Calc!$AW$2:$AW$2001,N22))</f>
        <v/>
      </c>
      <c r="N22" s="1">
        <f>IFERROR(MATCH(SMALL(Calc!$BM$2:$BM$2001,19),Calc!$BM$2:$BM$2001,0),"")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>
      <c r="A23" s="1" t="n"/>
      <c r="B23" s="39">
        <f>HYPERLINK("#'Instructions'!A1","›  Instructions")</f>
        <v/>
      </c>
      <c r="C23" s="1" t="n"/>
      <c r="D23" s="36">
        <f>IF(I23="","",IF(INDEX(Calc!$BG$2:$BG$2001,I23)=1,"✓","○"))</f>
        <v/>
      </c>
      <c r="E23" s="37">
        <f>IF(I23="","",INDEX(Calc!$AU$2:$AU$2001,I23)&amp;"")</f>
        <v/>
      </c>
      <c r="F23" s="56">
        <f>IF(I23="","",Setup!$D$7-INDEX(Calc!$AW$2:$AW$2001,I23))</f>
        <v/>
      </c>
      <c r="G23" s="36">
        <f>IF(I23="","",INDEX(Calc!$BA$2:$BA$2001,I23)&amp;"")</f>
        <v/>
      </c>
      <c r="H23" s="1" t="n"/>
      <c r="I23" s="1">
        <f>IFERROR(MATCH(SMALL(Calc!$BL$2:$BL$2001,2),Calc!$BL$2:$BL$2001,0),"")</f>
        <v/>
      </c>
      <c r="J23" s="36">
        <f>IF(N23="","",IF(INDEX(Calc!$BG$2:$BG$2001,N23)=1,"✓","○"))</f>
        <v/>
      </c>
      <c r="K23" s="37">
        <f>IF(N23="","",INDEX(Calc!$AU$2:$AU$2001,N23)&amp;"")</f>
        <v/>
      </c>
      <c r="L23" s="36">
        <f>IF(N23="","",INDEX(Calc!$AV$2:$AV$2001,N23)&amp;"")</f>
        <v/>
      </c>
      <c r="M23" s="38">
        <f>IF(N23="","",INDEX(Calc!$AW$2:$AW$2001,N23))</f>
        <v/>
      </c>
      <c r="N23" s="1">
        <f>IFERROR(MATCH(SMALL(Calc!$BM$2:$BM$2001,20),Calc!$BM$2:$BM$2001,0),"")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>
      <c r="A24" s="1" t="n"/>
      <c r="B24" s="35" t="n"/>
      <c r="C24" s="1" t="n"/>
      <c r="D24" s="36">
        <f>IF(I24="","",IF(INDEX(Calc!$BG$2:$BG$2001,I24)=1,"✓","○"))</f>
        <v/>
      </c>
      <c r="E24" s="37">
        <f>IF(I24="","",INDEX(Calc!$AU$2:$AU$2001,I24)&amp;"")</f>
        <v/>
      </c>
      <c r="F24" s="56">
        <f>IF(I24="","",Setup!$D$7-INDEX(Calc!$AW$2:$AW$2001,I24))</f>
        <v/>
      </c>
      <c r="G24" s="36">
        <f>IF(I24="","",INDEX(Calc!$BA$2:$BA$2001,I24)&amp;"")</f>
        <v/>
      </c>
      <c r="H24" s="1" t="n"/>
      <c r="I24" s="1">
        <f>IFERROR(MATCH(SMALL(Calc!$BL$2:$BL$2001,3),Calc!$BL$2:$BL$2001,0),"")</f>
        <v/>
      </c>
      <c r="J24" s="36">
        <f>IF(N24="","",IF(INDEX(Calc!$BG$2:$BG$2001,N24)=1,"✓","○"))</f>
        <v/>
      </c>
      <c r="K24" s="37">
        <f>IF(N24="","",INDEX(Calc!$AU$2:$AU$2001,N24)&amp;"")</f>
        <v/>
      </c>
      <c r="L24" s="36">
        <f>IF(N24="","",INDEX(Calc!$AV$2:$AV$2001,N24)&amp;"")</f>
        <v/>
      </c>
      <c r="M24" s="38">
        <f>IF(N24="","",INDEX(Calc!$AW$2:$AW$2001,N24))</f>
        <v/>
      </c>
      <c r="N24" s="1">
        <f>IFERROR(MATCH(SMALL(Calc!$BM$2:$BM$2001,21),Calc!$BM$2:$BM$2001,0),"")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>
      <c r="A25" s="1" t="n"/>
      <c r="B25" s="35" t="n"/>
      <c r="C25" s="1" t="n"/>
      <c r="D25" s="36">
        <f>IF(I25="","",IF(INDEX(Calc!$BG$2:$BG$2001,I25)=1,"✓","○"))</f>
        <v/>
      </c>
      <c r="E25" s="37">
        <f>IF(I25="","",INDEX(Calc!$AU$2:$AU$2001,I25)&amp;"")</f>
        <v/>
      </c>
      <c r="F25" s="56">
        <f>IF(I25="","",Setup!$D$7-INDEX(Calc!$AW$2:$AW$2001,I25))</f>
        <v/>
      </c>
      <c r="G25" s="36">
        <f>IF(I25="","",INDEX(Calc!$BA$2:$BA$2001,I25)&amp;"")</f>
        <v/>
      </c>
      <c r="H25" s="1" t="n"/>
      <c r="I25" s="1">
        <f>IFERROR(MATCH(SMALL(Calc!$BL$2:$BL$2001,4),Calc!$BL$2:$BL$2001,0),"")</f>
        <v/>
      </c>
      <c r="J25" s="36">
        <f>IF(N25="","",IF(INDEX(Calc!$BG$2:$BG$2001,N25)=1,"✓","○"))</f>
        <v/>
      </c>
      <c r="K25" s="37">
        <f>IF(N25="","",INDEX(Calc!$AU$2:$AU$2001,N25)&amp;"")</f>
        <v/>
      </c>
      <c r="L25" s="36">
        <f>IF(N25="","",INDEX(Calc!$AV$2:$AV$2001,N25)&amp;"")</f>
        <v/>
      </c>
      <c r="M25" s="38">
        <f>IF(N25="","",INDEX(Calc!$AW$2:$AW$2001,N25))</f>
        <v/>
      </c>
      <c r="N25" s="1">
        <f>IFERROR(MATCH(SMALL(Calc!$BM$2:$BM$2001,22),Calc!$BM$2:$BM$2001,0),"")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>
      <c r="A26" s="1" t="n"/>
      <c r="B26" s="57" t="inlineStr">
        <is>
          <t>MY TOP HABITS</t>
        </is>
      </c>
      <c r="C26" s="1" t="n"/>
      <c r="D26" s="36">
        <f>IF(I26="","",IF(INDEX(Calc!$BG$2:$BG$2001,I26)=1,"✓","○"))</f>
        <v/>
      </c>
      <c r="E26" s="37">
        <f>IF(I26="","",INDEX(Calc!$AU$2:$AU$2001,I26)&amp;"")</f>
        <v/>
      </c>
      <c r="F26" s="56">
        <f>IF(I26="","",Setup!$D$7-INDEX(Calc!$AW$2:$AW$2001,I26))</f>
        <v/>
      </c>
      <c r="G26" s="36">
        <f>IF(I26="","",INDEX(Calc!$BA$2:$BA$2001,I26)&amp;"")</f>
        <v/>
      </c>
      <c r="H26" s="1" t="n"/>
      <c r="I26" s="1">
        <f>IFERROR(MATCH(SMALL(Calc!$BL$2:$BL$2001,5),Calc!$BL$2:$BL$2001,0),"")</f>
        <v/>
      </c>
      <c r="J26" s="36">
        <f>IF(N26="","",IF(INDEX(Calc!$BG$2:$BG$2001,N26)=1,"✓","○"))</f>
        <v/>
      </c>
      <c r="K26" s="37">
        <f>IF(N26="","",INDEX(Calc!$AU$2:$AU$2001,N26)&amp;"")</f>
        <v/>
      </c>
      <c r="L26" s="36">
        <f>IF(N26="","",INDEX(Calc!$AV$2:$AV$2001,N26)&amp;"")</f>
        <v/>
      </c>
      <c r="M26" s="38">
        <f>IF(N26="","",INDEX(Calc!$AW$2:$AW$2001,N26))</f>
        <v/>
      </c>
      <c r="N26" s="1">
        <f>IFERROR(MATCH(SMALL(Calc!$BM$2:$BM$2001,23),Calc!$BM$2:$BM$2001,0),"")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>
      <c r="A27" s="1" t="n"/>
      <c r="B27" s="45">
        <f>IF('Habit Tracker'!B9="","","1.  "&amp;'Habit Tracker'!B9)</f>
        <v/>
      </c>
      <c r="C27" s="1" t="n"/>
      <c r="D27" s="36">
        <f>IF(I27="","",IF(INDEX(Calc!$BG$2:$BG$2001,I27)=1,"✓","○"))</f>
        <v/>
      </c>
      <c r="E27" s="37">
        <f>IF(I27="","",INDEX(Calc!$AU$2:$AU$2001,I27)&amp;"")</f>
        <v/>
      </c>
      <c r="F27" s="56">
        <f>IF(I27="","",Setup!$D$7-INDEX(Calc!$AW$2:$AW$2001,I27))</f>
        <v/>
      </c>
      <c r="G27" s="36">
        <f>IF(I27="","",INDEX(Calc!$BA$2:$BA$2001,I27)&amp;"")</f>
        <v/>
      </c>
      <c r="H27" s="1" t="n"/>
      <c r="I27" s="1">
        <f>IFERROR(MATCH(SMALL(Calc!$BL$2:$BL$2001,6),Calc!$BL$2:$BL$2001,0),"")</f>
        <v/>
      </c>
      <c r="J27" s="36">
        <f>IF(N27="","",IF(INDEX(Calc!$BG$2:$BG$2001,N27)=1,"✓","○"))</f>
        <v/>
      </c>
      <c r="K27" s="37">
        <f>IF(N27="","",INDEX(Calc!$AU$2:$AU$2001,N27)&amp;"")</f>
        <v/>
      </c>
      <c r="L27" s="36">
        <f>IF(N27="","",INDEX(Calc!$AV$2:$AV$2001,N27)&amp;"")</f>
        <v/>
      </c>
      <c r="M27" s="38">
        <f>IF(N27="","",INDEX(Calc!$AW$2:$AW$2001,N27))</f>
        <v/>
      </c>
      <c r="N27" s="1">
        <f>IFERROR(MATCH(SMALL(Calc!$BM$2:$BM$2001,24),Calc!$BM$2:$BM$2001,0),"")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>
      <c r="A28" s="1" t="n"/>
      <c r="B28" s="45">
        <f>IF('Habit Tracker'!B10="","","2.  "&amp;'Habit Tracker'!B10)</f>
        <v/>
      </c>
      <c r="C28" s="1" t="n"/>
      <c r="D28" s="36">
        <f>IF(I28="","",IF(INDEX(Calc!$BG$2:$BG$2001,I28)=1,"✓","○"))</f>
        <v/>
      </c>
      <c r="E28" s="37">
        <f>IF(I28="","",INDEX(Calc!$AU$2:$AU$2001,I28)&amp;"")</f>
        <v/>
      </c>
      <c r="F28" s="56">
        <f>IF(I28="","",Setup!$D$7-INDEX(Calc!$AW$2:$AW$2001,I28))</f>
        <v/>
      </c>
      <c r="G28" s="36">
        <f>IF(I28="","",INDEX(Calc!$BA$2:$BA$2001,I28)&amp;"")</f>
        <v/>
      </c>
      <c r="H28" s="1" t="n"/>
      <c r="I28" s="1">
        <f>IFERROR(MATCH(SMALL(Calc!$BL$2:$BL$2001,7),Calc!$BL$2:$BL$2001,0),"")</f>
        <v/>
      </c>
      <c r="J28" s="36">
        <f>IF(N28="","",IF(INDEX(Calc!$BG$2:$BG$2001,N28)=1,"✓","○"))</f>
        <v/>
      </c>
      <c r="K28" s="37">
        <f>IF(N28="","",INDEX(Calc!$AU$2:$AU$2001,N28)&amp;"")</f>
        <v/>
      </c>
      <c r="L28" s="36">
        <f>IF(N28="","",INDEX(Calc!$AV$2:$AV$2001,N28)&amp;"")</f>
        <v/>
      </c>
      <c r="M28" s="38">
        <f>IF(N28="","",INDEX(Calc!$AW$2:$AW$2001,N28))</f>
        <v/>
      </c>
      <c r="N28" s="1">
        <f>IFERROR(MATCH(SMALL(Calc!$BM$2:$BM$2001,25),Calc!$BM$2:$BM$2001,0),"")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n"/>
      <c r="B29" s="45">
        <f>IF('Habit Tracker'!B11="","","3.  "&amp;'Habit Tracker'!B11)</f>
        <v/>
      </c>
      <c r="C29" s="1" t="n"/>
      <c r="D29" s="36">
        <f>IF(I29="","",IF(INDEX(Calc!$BG$2:$BG$2001,I29)=1,"✓","○"))</f>
        <v/>
      </c>
      <c r="E29" s="37">
        <f>IF(I29="","",INDEX(Calc!$AU$2:$AU$2001,I29)&amp;"")</f>
        <v/>
      </c>
      <c r="F29" s="56">
        <f>IF(I29="","",Setup!$D$7-INDEX(Calc!$AW$2:$AW$2001,I29))</f>
        <v/>
      </c>
      <c r="G29" s="36">
        <f>IF(I29="","",INDEX(Calc!$BA$2:$BA$2001,I29)&amp;"")</f>
        <v/>
      </c>
      <c r="H29" s="1" t="n"/>
      <c r="I29" s="1">
        <f>IFERROR(MATCH(SMALL(Calc!$BL$2:$BL$2001,8),Calc!$BL$2:$BL$2001,0),"")</f>
        <v/>
      </c>
      <c r="J29" s="36">
        <f>IF(N29="","",IF(INDEX(Calc!$BG$2:$BG$2001,N29)=1,"✓","○"))</f>
        <v/>
      </c>
      <c r="K29" s="37">
        <f>IF(N29="","",INDEX(Calc!$AU$2:$AU$2001,N29)&amp;"")</f>
        <v/>
      </c>
      <c r="L29" s="36">
        <f>IF(N29="","",INDEX(Calc!$AV$2:$AV$2001,N29)&amp;"")</f>
        <v/>
      </c>
      <c r="M29" s="38">
        <f>IF(N29="","",INDEX(Calc!$AW$2:$AW$2001,N29))</f>
        <v/>
      </c>
      <c r="N29" s="1">
        <f>IFERROR(MATCH(SMALL(Calc!$BM$2:$BM$2001,26),Calc!$BM$2:$BM$2001,0),"")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>
      <c r="A30" s="1" t="n"/>
      <c r="B30" s="45">
        <f>IF('Habit Tracker'!B12="","","4.  "&amp;'Habit Tracker'!B12)</f>
        <v/>
      </c>
      <c r="C30" s="1" t="n"/>
      <c r="D30" s="36">
        <f>IF(I30="","",IF(INDEX(Calc!$BG$2:$BG$2001,I30)=1,"✓","○"))</f>
        <v/>
      </c>
      <c r="E30" s="37">
        <f>IF(I30="","",INDEX(Calc!$AU$2:$AU$2001,I30)&amp;"")</f>
        <v/>
      </c>
      <c r="F30" s="56">
        <f>IF(I30="","",Setup!$D$7-INDEX(Calc!$AW$2:$AW$2001,I30))</f>
        <v/>
      </c>
      <c r="G30" s="36">
        <f>IF(I30="","",INDEX(Calc!$BA$2:$BA$2001,I30)&amp;"")</f>
        <v/>
      </c>
      <c r="H30" s="1" t="n"/>
      <c r="I30" s="1">
        <f>IFERROR(MATCH(SMALL(Calc!$BL$2:$BL$2001,9),Calc!$BL$2:$BL$2001,0),"")</f>
        <v/>
      </c>
      <c r="J30" s="36">
        <f>IF(N30="","",IF(INDEX(Calc!$BG$2:$BG$2001,N30)=1,"✓","○"))</f>
        <v/>
      </c>
      <c r="K30" s="37">
        <f>IF(N30="","",INDEX(Calc!$AU$2:$AU$2001,N30)&amp;"")</f>
        <v/>
      </c>
      <c r="L30" s="36">
        <f>IF(N30="","",INDEX(Calc!$AV$2:$AV$2001,N30)&amp;"")</f>
        <v/>
      </c>
      <c r="M30" s="38">
        <f>IF(N30="","",INDEX(Calc!$AW$2:$AW$2001,N30))</f>
        <v/>
      </c>
      <c r="N30" s="1">
        <f>IFERROR(MATCH(SMALL(Calc!$BM$2:$BM$2001,27),Calc!$BM$2:$BM$2001,0),"")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>
      <c r="A31" s="1" t="n"/>
      <c r="B31" s="45">
        <f>IF('Habit Tracker'!B13="","","5.  "&amp;'Habit Tracker'!B13)</f>
        <v/>
      </c>
      <c r="C31" s="1" t="n"/>
      <c r="D31" s="36">
        <f>IF(I31="","",IF(INDEX(Calc!$BG$2:$BG$2001,I31)=1,"✓","○"))</f>
        <v/>
      </c>
      <c r="E31" s="37">
        <f>IF(I31="","",INDEX(Calc!$AU$2:$AU$2001,I31)&amp;"")</f>
        <v/>
      </c>
      <c r="F31" s="56">
        <f>IF(I31="","",Setup!$D$7-INDEX(Calc!$AW$2:$AW$2001,I31))</f>
        <v/>
      </c>
      <c r="G31" s="36">
        <f>IF(I31="","",INDEX(Calc!$BA$2:$BA$2001,I31)&amp;"")</f>
        <v/>
      </c>
      <c r="H31" s="1" t="n"/>
      <c r="I31" s="1">
        <f>IFERROR(MATCH(SMALL(Calc!$BL$2:$BL$2001,10),Calc!$BL$2:$BL$2001,0),"")</f>
        <v/>
      </c>
      <c r="J31" s="36">
        <f>IF(N31="","",IF(INDEX(Calc!$BG$2:$BG$2001,N31)=1,"✓","○"))</f>
        <v/>
      </c>
      <c r="K31" s="37">
        <f>IF(N31="","",INDEX(Calc!$AU$2:$AU$2001,N31)&amp;"")</f>
        <v/>
      </c>
      <c r="L31" s="36">
        <f>IF(N31="","",INDEX(Calc!$AV$2:$AV$2001,N31)&amp;"")</f>
        <v/>
      </c>
      <c r="M31" s="38">
        <f>IF(N31="","",INDEX(Calc!$AW$2:$AW$2001,N31))</f>
        <v/>
      </c>
      <c r="N31" s="1">
        <f>IFERROR(MATCH(SMALL(Calc!$BM$2:$BM$2001,28),Calc!$BM$2:$BM$2001,0),"")</f>
        <v/>
      </c>
      <c r="O31" s="1" t="n"/>
      <c r="P31" s="58" t="inlineStr">
        <is>
          <t>TASKS BY PERSON</t>
        </is>
      </c>
      <c r="Q31" s="25" t="n"/>
      <c r="R31" s="25" t="n"/>
      <c r="S31" s="25" t="n"/>
      <c r="T31" s="25" t="n"/>
      <c r="U31" s="25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</row>
    <row r="32">
      <c r="A32" s="1" t="n"/>
      <c r="B32" s="45">
        <f>IF('Habit Tracker'!B14="","","6.  "&amp;'Habit Tracker'!B14)</f>
        <v/>
      </c>
      <c r="C32" s="1" t="n"/>
      <c r="D32" s="36">
        <f>IF(I32="","",IF(INDEX(Calc!$BG$2:$BG$2001,I32)=1,"✓","○"))</f>
        <v/>
      </c>
      <c r="E32" s="37">
        <f>IF(I32="","",INDEX(Calc!$AU$2:$AU$2001,I32)&amp;"")</f>
        <v/>
      </c>
      <c r="F32" s="56">
        <f>IF(I32="","",Setup!$D$7-INDEX(Calc!$AW$2:$AW$2001,I32))</f>
        <v/>
      </c>
      <c r="G32" s="36">
        <f>IF(I32="","",INDEX(Calc!$BA$2:$BA$2001,I32)&amp;"")</f>
        <v/>
      </c>
      <c r="H32" s="1" t="n"/>
      <c r="I32" s="1">
        <f>IFERROR(MATCH(SMALL(Calc!$BL$2:$BL$2001,11),Calc!$BL$2:$BL$2001,0),"")</f>
        <v/>
      </c>
      <c r="J32" s="36">
        <f>IF(N32="","",IF(INDEX(Calc!$BG$2:$BG$2001,N32)=1,"✓","○"))</f>
        <v/>
      </c>
      <c r="K32" s="37">
        <f>IF(N32="","",INDEX(Calc!$AU$2:$AU$2001,N32)&amp;"")</f>
        <v/>
      </c>
      <c r="L32" s="36">
        <f>IF(N32="","",INDEX(Calc!$AV$2:$AV$2001,N32)&amp;"")</f>
        <v/>
      </c>
      <c r="M32" s="38">
        <f>IF(N32="","",INDEX(Calc!$AW$2:$AW$2001,N32))</f>
        <v/>
      </c>
      <c r="N32" s="1">
        <f>IFERROR(MATCH(SMALL(Calc!$BM$2:$BM$2001,29),Calc!$BM$2:$BM$2001,0),"")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</row>
    <row r="33">
      <c r="A33" s="1" t="n"/>
      <c r="B33" s="45">
        <f>IF('Habit Tracker'!B15="","","7.  "&amp;'Habit Tracker'!B15)</f>
        <v/>
      </c>
      <c r="C33" s="1" t="n"/>
      <c r="D33" s="36">
        <f>IF(I33="","",IF(INDEX(Calc!$BG$2:$BG$2001,I33)=1,"✓","○"))</f>
        <v/>
      </c>
      <c r="E33" s="37">
        <f>IF(I33="","",INDEX(Calc!$AU$2:$AU$2001,I33)&amp;"")</f>
        <v/>
      </c>
      <c r="F33" s="56">
        <f>IF(I33="","",Setup!$D$7-INDEX(Calc!$AW$2:$AW$2001,I33))</f>
        <v/>
      </c>
      <c r="G33" s="36">
        <f>IF(I33="","",INDEX(Calc!$BA$2:$BA$2001,I33)&amp;"")</f>
        <v/>
      </c>
      <c r="H33" s="1" t="n"/>
      <c r="I33" s="1">
        <f>IFERROR(MATCH(SMALL(Calc!$BL$2:$BL$2001,12),Calc!$BL$2:$BL$2001,0),"")</f>
        <v/>
      </c>
      <c r="J33" s="36">
        <f>IF(N33="","",IF(INDEX(Calc!$BG$2:$BG$2001,N33)=1,"✓","○"))</f>
        <v/>
      </c>
      <c r="K33" s="37">
        <f>IF(N33="","",INDEX(Calc!$AU$2:$AU$2001,N33)&amp;"")</f>
        <v/>
      </c>
      <c r="L33" s="36">
        <f>IF(N33="","",INDEX(Calc!$AV$2:$AV$2001,N33)&amp;"")</f>
        <v/>
      </c>
      <c r="M33" s="38">
        <f>IF(N33="","",INDEX(Calc!$AW$2:$AW$2001,N33))</f>
        <v/>
      </c>
      <c r="N33" s="1">
        <f>IFERROR(MATCH(SMALL(Calc!$BM$2:$BM$2001,30),Calc!$BM$2:$BM$2001,0),"")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</row>
    <row r="34">
      <c r="A34" s="1" t="n"/>
      <c r="B34" s="45">
        <f>IF('Habit Tracker'!B16="","","8.  "&amp;'Habit Tracker'!B16)</f>
        <v/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</row>
    <row r="35">
      <c r="A35" s="1" t="n"/>
      <c r="B35" s="35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</row>
    <row r="36">
      <c r="A36" s="1" t="n"/>
      <c r="B36" s="35" t="n"/>
      <c r="C36" s="1" t="n"/>
      <c r="D36" s="41" t="inlineStr">
        <is>
          <t>DECISION MATRIX — TO DO vs DONE</t>
        </is>
      </c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</row>
    <row r="37">
      <c r="A37" s="1" t="n"/>
      <c r="B37" s="35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</row>
    <row r="38">
      <c r="A38" s="1" t="n"/>
      <c r="B38" s="35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</row>
    <row r="39">
      <c r="A39" s="1" t="n"/>
      <c r="B39" s="35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</row>
    <row r="40">
      <c r="A40" s="1" t="n"/>
      <c r="B40" s="35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</row>
    <row r="41">
      <c r="A41" s="1" t="n"/>
      <c r="B41" s="35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</row>
    <row r="42">
      <c r="A42" s="1" t="n"/>
      <c r="B42" s="35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</row>
    <row r="43">
      <c r="A43" s="1" t="n"/>
      <c r="B43" s="35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</row>
    <row r="44">
      <c r="A44" s="1" t="n"/>
      <c r="B44" s="35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</row>
    <row r="45">
      <c r="A45" s="1" t="n"/>
      <c r="B45" s="35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</row>
    <row r="46">
      <c r="A46" s="1" t="n"/>
      <c r="B46" s="35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</row>
    <row r="47">
      <c r="A47" s="1" t="n"/>
      <c r="B47" s="35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</row>
    <row r="48">
      <c r="A48" s="1" t="n"/>
      <c r="B48" s="35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</row>
    <row r="49">
      <c r="A49" s="1" t="n"/>
      <c r="B49" s="35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</row>
    <row r="50">
      <c r="A50" s="1" t="n"/>
      <c r="B50" s="35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</row>
    <row r="51">
      <c r="A51" s="1" t="n"/>
      <c r="B51" s="35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</row>
    <row r="52">
      <c r="A52" s="1" t="n"/>
      <c r="B52" s="35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</row>
    <row r="53">
      <c r="A53" s="1" t="n"/>
      <c r="B53" s="35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</row>
    <row r="54">
      <c r="A54" s="1" t="n"/>
      <c r="B54" s="35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</row>
    <row r="55">
      <c r="A55" s="1" t="n"/>
      <c r="B55" s="35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</row>
    <row r="56">
      <c r="A56" s="1" t="n"/>
      <c r="B56" s="35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</row>
    <row r="57">
      <c r="A57" s="1" t="n"/>
      <c r="B57" s="35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</row>
    <row r="58">
      <c r="A58" s="1" t="n"/>
      <c r="B58" s="35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</row>
    <row r="59">
      <c r="A59" s="1" t="n"/>
      <c r="B59" s="35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</row>
    <row r="60">
      <c r="A60" s="1" t="n"/>
      <c r="B60" s="35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</row>
  </sheetData>
  <mergeCells count="20">
    <mergeCell ref="D2:F2"/>
    <mergeCell ref="P2:U2"/>
    <mergeCell ref="Q3:R3"/>
    <mergeCell ref="P8:R8"/>
    <mergeCell ref="S12:T12"/>
    <mergeCell ref="P16:U16"/>
    <mergeCell ref="B26"/>
    <mergeCell ref="S11:T11"/>
    <mergeCell ref="Q5:R5"/>
    <mergeCell ref="S14:T14"/>
    <mergeCell ref="S13:T13"/>
    <mergeCell ref="Q4:R4"/>
    <mergeCell ref="J2:L2"/>
    <mergeCell ref="S10:T10"/>
    <mergeCell ref="D36:M36"/>
    <mergeCell ref="Q6:R6"/>
    <mergeCell ref="S9:T9"/>
    <mergeCell ref="D20:F20"/>
    <mergeCell ref="P31:U31"/>
    <mergeCell ref="S8:U8"/>
  </mergeCells>
  <conditionalFormatting sqref="D4:G4">
    <cfRule type="expression" priority="1" dxfId="10" stopIfTrue="0">
      <formula>AND($H4&lt;&gt;"",INDEX(TaskDone,$H4)=1)</formula>
    </cfRule>
  </conditionalFormatting>
  <conditionalFormatting sqref="D5:G5">
    <cfRule type="expression" priority="2" dxfId="10" stopIfTrue="0">
      <formula>AND($H5&lt;&gt;"",INDEX(TaskDone,$H5)=1)</formula>
    </cfRule>
  </conditionalFormatting>
  <conditionalFormatting sqref="D6:G6">
    <cfRule type="expression" priority="3" dxfId="10" stopIfTrue="0">
      <formula>AND($H6&lt;&gt;"",INDEX(TaskDone,$H6)=1)</formula>
    </cfRule>
  </conditionalFormatting>
  <conditionalFormatting sqref="D7:G7">
    <cfRule type="expression" priority="4" dxfId="10" stopIfTrue="0">
      <formula>AND($H7&lt;&gt;"",INDEX(TaskDone,$H7)=1)</formula>
    </cfRule>
  </conditionalFormatting>
  <conditionalFormatting sqref="D8:G8">
    <cfRule type="expression" priority="5" dxfId="10" stopIfTrue="0">
      <formula>AND($H8&lt;&gt;"",INDEX(TaskDone,$H8)=1)</formula>
    </cfRule>
  </conditionalFormatting>
  <conditionalFormatting sqref="D9:G9">
    <cfRule type="expression" priority="6" dxfId="10" stopIfTrue="0">
      <formula>AND($H9&lt;&gt;"",INDEX(TaskDone,$H9)=1)</formula>
    </cfRule>
  </conditionalFormatting>
  <conditionalFormatting sqref="D10:G10">
    <cfRule type="expression" priority="7" dxfId="10" stopIfTrue="0">
      <formula>AND($H10&lt;&gt;"",INDEX(TaskDone,$H10)=1)</formula>
    </cfRule>
  </conditionalFormatting>
  <conditionalFormatting sqref="D11:G11">
    <cfRule type="expression" priority="8" dxfId="10" stopIfTrue="0">
      <formula>AND($H11&lt;&gt;"",INDEX(TaskDone,$H11)=1)</formula>
    </cfRule>
  </conditionalFormatting>
  <conditionalFormatting sqref="D12:G12">
    <cfRule type="expression" priority="9" dxfId="10" stopIfTrue="0">
      <formula>AND($H12&lt;&gt;"",INDEX(TaskDone,$H12)=1)</formula>
    </cfRule>
  </conditionalFormatting>
  <conditionalFormatting sqref="D13:G13">
    <cfRule type="expression" priority="10" dxfId="10" stopIfTrue="0">
      <formula>AND($H13&lt;&gt;"",INDEX(TaskDone,$H13)=1)</formula>
    </cfRule>
  </conditionalFormatting>
  <conditionalFormatting sqref="D14:G14">
    <cfRule type="expression" priority="11" dxfId="10" stopIfTrue="0">
      <formula>AND($H14&lt;&gt;"",INDEX(TaskDone,$H14)=1)</formula>
    </cfRule>
  </conditionalFormatting>
  <conditionalFormatting sqref="D15:G15">
    <cfRule type="expression" priority="12" dxfId="10" stopIfTrue="0">
      <formula>AND($H15&lt;&gt;"",INDEX(TaskDone,$H15)=1)</formula>
    </cfRule>
  </conditionalFormatting>
  <conditionalFormatting sqref="D16:G16">
    <cfRule type="expression" priority="13" dxfId="10" stopIfTrue="0">
      <formula>AND($H16&lt;&gt;"",INDEX(TaskDone,$H16)=1)</formula>
    </cfRule>
  </conditionalFormatting>
  <conditionalFormatting sqref="D17:G17">
    <cfRule type="expression" priority="14" dxfId="10" stopIfTrue="0">
      <formula>AND($H17&lt;&gt;"",INDEX(TaskDone,$H17)=1)</formula>
    </cfRule>
  </conditionalFormatting>
  <conditionalFormatting sqref="D22:G22">
    <cfRule type="expression" priority="15" dxfId="10" stopIfTrue="0">
      <formula>AND($I22&lt;&gt;"",INDEX(TaskDone,$I22)=1)</formula>
    </cfRule>
  </conditionalFormatting>
  <conditionalFormatting sqref="D23:G23">
    <cfRule type="expression" priority="16" dxfId="10" stopIfTrue="0">
      <formula>AND($I23&lt;&gt;"",INDEX(TaskDone,$I23)=1)</formula>
    </cfRule>
  </conditionalFormatting>
  <conditionalFormatting sqref="D24:G24">
    <cfRule type="expression" priority="17" dxfId="10" stopIfTrue="0">
      <formula>AND($I24&lt;&gt;"",INDEX(TaskDone,$I24)=1)</formula>
    </cfRule>
  </conditionalFormatting>
  <conditionalFormatting sqref="D25:G25">
    <cfRule type="expression" priority="18" dxfId="10" stopIfTrue="0">
      <formula>AND($I25&lt;&gt;"",INDEX(TaskDone,$I25)=1)</formula>
    </cfRule>
  </conditionalFormatting>
  <conditionalFormatting sqref="D26:G26">
    <cfRule type="expression" priority="19" dxfId="10" stopIfTrue="0">
      <formula>AND($I26&lt;&gt;"",INDEX(TaskDone,$I26)=1)</formula>
    </cfRule>
  </conditionalFormatting>
  <conditionalFormatting sqref="D27:G27">
    <cfRule type="expression" priority="20" dxfId="10" stopIfTrue="0">
      <formula>AND($I27&lt;&gt;"",INDEX(TaskDone,$I27)=1)</formula>
    </cfRule>
  </conditionalFormatting>
  <conditionalFormatting sqref="D28:G28">
    <cfRule type="expression" priority="21" dxfId="10" stopIfTrue="0">
      <formula>AND($I28&lt;&gt;"",INDEX(TaskDone,$I28)=1)</formula>
    </cfRule>
  </conditionalFormatting>
  <conditionalFormatting sqref="D29:G29">
    <cfRule type="expression" priority="22" dxfId="10" stopIfTrue="0">
      <formula>AND($I29&lt;&gt;"",INDEX(TaskDone,$I29)=1)</formula>
    </cfRule>
  </conditionalFormatting>
  <conditionalFormatting sqref="D30:G30">
    <cfRule type="expression" priority="23" dxfId="10" stopIfTrue="0">
      <formula>AND($I30&lt;&gt;"",INDEX(TaskDone,$I30)=1)</formula>
    </cfRule>
  </conditionalFormatting>
  <conditionalFormatting sqref="D31:G31">
    <cfRule type="expression" priority="24" dxfId="10" stopIfTrue="0">
      <formula>AND($I31&lt;&gt;"",INDEX(TaskDone,$I31)=1)</formula>
    </cfRule>
  </conditionalFormatting>
  <conditionalFormatting sqref="D32:G32">
    <cfRule type="expression" priority="25" dxfId="10" stopIfTrue="0">
      <formula>AND($I32&lt;&gt;"",INDEX(TaskDone,$I32)=1)</formula>
    </cfRule>
  </conditionalFormatting>
  <conditionalFormatting sqref="D33:G33">
    <cfRule type="expression" priority="26" dxfId="10" stopIfTrue="0">
      <formula>AND($I33&lt;&gt;"",INDEX(TaskDone,$I33)=1)</formula>
    </cfRule>
  </conditionalFormatting>
  <conditionalFormatting sqref="J4:M4">
    <cfRule type="expression" priority="27" dxfId="10" stopIfTrue="0">
      <formula>AND($N4&lt;&gt;"",INDEX(TaskDone,$N4)=1)</formula>
    </cfRule>
  </conditionalFormatting>
  <conditionalFormatting sqref="J5:M5">
    <cfRule type="expression" priority="28" dxfId="10" stopIfTrue="0">
      <formula>AND($N5&lt;&gt;"",INDEX(TaskDone,$N5)=1)</formula>
    </cfRule>
  </conditionalFormatting>
  <conditionalFormatting sqref="J6:M6">
    <cfRule type="expression" priority="29" dxfId="10" stopIfTrue="0">
      <formula>AND($N6&lt;&gt;"",INDEX(TaskDone,$N6)=1)</formula>
    </cfRule>
  </conditionalFormatting>
  <conditionalFormatting sqref="J7:M7">
    <cfRule type="expression" priority="30" dxfId="10" stopIfTrue="0">
      <formula>AND($N7&lt;&gt;"",INDEX(TaskDone,$N7)=1)</formula>
    </cfRule>
  </conditionalFormatting>
  <conditionalFormatting sqref="J8:M8">
    <cfRule type="expression" priority="31" dxfId="10" stopIfTrue="0">
      <formula>AND($N8&lt;&gt;"",INDEX(TaskDone,$N8)=1)</formula>
    </cfRule>
  </conditionalFormatting>
  <conditionalFormatting sqref="J9:M9">
    <cfRule type="expression" priority="32" dxfId="10" stopIfTrue="0">
      <formula>AND($N9&lt;&gt;"",INDEX(TaskDone,$N9)=1)</formula>
    </cfRule>
  </conditionalFormatting>
  <conditionalFormatting sqref="J10:M10">
    <cfRule type="expression" priority="33" dxfId="10" stopIfTrue="0">
      <formula>AND($N10&lt;&gt;"",INDEX(TaskDone,$N10)=1)</formula>
    </cfRule>
  </conditionalFormatting>
  <conditionalFormatting sqref="J11:M11">
    <cfRule type="expression" priority="34" dxfId="10" stopIfTrue="0">
      <formula>AND($N11&lt;&gt;"",INDEX(TaskDone,$N11)=1)</formula>
    </cfRule>
  </conditionalFormatting>
  <conditionalFormatting sqref="J12:M12">
    <cfRule type="expression" priority="35" dxfId="10" stopIfTrue="0">
      <formula>AND($N12&lt;&gt;"",INDEX(TaskDone,$N12)=1)</formula>
    </cfRule>
  </conditionalFormatting>
  <conditionalFormatting sqref="J13:M13">
    <cfRule type="expression" priority="36" dxfId="10" stopIfTrue="0">
      <formula>AND($N13&lt;&gt;"",INDEX(TaskDone,$N13)=1)</formula>
    </cfRule>
  </conditionalFormatting>
  <conditionalFormatting sqref="J14:M14">
    <cfRule type="expression" priority="37" dxfId="10" stopIfTrue="0">
      <formula>AND($N14&lt;&gt;"",INDEX(TaskDone,$N14)=1)</formula>
    </cfRule>
  </conditionalFormatting>
  <conditionalFormatting sqref="J15:M15">
    <cfRule type="expression" priority="38" dxfId="10" stopIfTrue="0">
      <formula>AND($N15&lt;&gt;"",INDEX(TaskDone,$N15)=1)</formula>
    </cfRule>
  </conditionalFormatting>
  <conditionalFormatting sqref="J16:M16">
    <cfRule type="expression" priority="39" dxfId="10" stopIfTrue="0">
      <formula>AND($N16&lt;&gt;"",INDEX(TaskDone,$N16)=1)</formula>
    </cfRule>
  </conditionalFormatting>
  <conditionalFormatting sqref="J17:M17">
    <cfRule type="expression" priority="40" dxfId="10" stopIfTrue="0">
      <formula>AND($N17&lt;&gt;"",INDEX(TaskDone,$N17)=1)</formula>
    </cfRule>
  </conditionalFormatting>
  <conditionalFormatting sqref="J18:M18">
    <cfRule type="expression" priority="41" dxfId="10" stopIfTrue="0">
      <formula>AND($N18&lt;&gt;"",INDEX(TaskDone,$N18)=1)</formula>
    </cfRule>
  </conditionalFormatting>
  <conditionalFormatting sqref="J19:M19">
    <cfRule type="expression" priority="42" dxfId="10" stopIfTrue="0">
      <formula>AND($N19&lt;&gt;"",INDEX(TaskDone,$N19)=1)</formula>
    </cfRule>
  </conditionalFormatting>
  <conditionalFormatting sqref="J20:M20">
    <cfRule type="expression" priority="43" dxfId="10" stopIfTrue="0">
      <formula>AND($N20&lt;&gt;"",INDEX(TaskDone,$N20)=1)</formula>
    </cfRule>
  </conditionalFormatting>
  <conditionalFormatting sqref="J21:M21">
    <cfRule type="expression" priority="44" dxfId="10" stopIfTrue="0">
      <formula>AND($N21&lt;&gt;"",INDEX(TaskDone,$N21)=1)</formula>
    </cfRule>
  </conditionalFormatting>
  <conditionalFormatting sqref="J22:M22">
    <cfRule type="expression" priority="45" dxfId="10" stopIfTrue="0">
      <formula>AND($N22&lt;&gt;"",INDEX(TaskDone,$N22)=1)</formula>
    </cfRule>
  </conditionalFormatting>
  <conditionalFormatting sqref="J23:M23">
    <cfRule type="expression" priority="46" dxfId="10" stopIfTrue="0">
      <formula>AND($N23&lt;&gt;"",INDEX(TaskDone,$N23)=1)</formula>
    </cfRule>
  </conditionalFormatting>
  <conditionalFormatting sqref="J24:M24">
    <cfRule type="expression" priority="47" dxfId="10" stopIfTrue="0">
      <formula>AND($N24&lt;&gt;"",INDEX(TaskDone,$N24)=1)</formula>
    </cfRule>
  </conditionalFormatting>
  <conditionalFormatting sqref="J25:M25">
    <cfRule type="expression" priority="48" dxfId="10" stopIfTrue="0">
      <formula>AND($N25&lt;&gt;"",INDEX(TaskDone,$N25)=1)</formula>
    </cfRule>
  </conditionalFormatting>
  <conditionalFormatting sqref="J26:M26">
    <cfRule type="expression" priority="49" dxfId="10" stopIfTrue="0">
      <formula>AND($N26&lt;&gt;"",INDEX(TaskDone,$N26)=1)</formula>
    </cfRule>
  </conditionalFormatting>
  <conditionalFormatting sqref="J27:M27">
    <cfRule type="expression" priority="50" dxfId="10" stopIfTrue="0">
      <formula>AND($N27&lt;&gt;"",INDEX(TaskDone,$N27)=1)</formula>
    </cfRule>
  </conditionalFormatting>
  <conditionalFormatting sqref="J28:M28">
    <cfRule type="expression" priority="51" dxfId="10" stopIfTrue="0">
      <formula>AND($N28&lt;&gt;"",INDEX(TaskDone,$N28)=1)</formula>
    </cfRule>
  </conditionalFormatting>
  <conditionalFormatting sqref="J29:M29">
    <cfRule type="expression" priority="52" dxfId="10" stopIfTrue="0">
      <formula>AND($N29&lt;&gt;"",INDEX(TaskDone,$N29)=1)</formula>
    </cfRule>
  </conditionalFormatting>
  <conditionalFormatting sqref="J30:M30">
    <cfRule type="expression" priority="53" dxfId="10" stopIfTrue="0">
      <formula>AND($N30&lt;&gt;"",INDEX(TaskDone,$N30)=1)</formula>
    </cfRule>
  </conditionalFormatting>
  <conditionalFormatting sqref="J31:M31">
    <cfRule type="expression" priority="54" dxfId="10" stopIfTrue="0">
      <formula>AND($N31&lt;&gt;"",INDEX(TaskDone,$N31)=1)</formula>
    </cfRule>
  </conditionalFormatting>
  <conditionalFormatting sqref="J32:M32">
    <cfRule type="expression" priority="55" dxfId="10" stopIfTrue="0">
      <formula>AND($N32&lt;&gt;"",INDEX(TaskDone,$N32)=1)</formula>
    </cfRule>
  </conditionalFormatting>
  <conditionalFormatting sqref="J33:M33">
    <cfRule type="expression" priority="56" dxfId="10" stopIfTrue="0">
      <formula>AND($N33&lt;&gt;"",INDEX(TaskDone,$N33)=1)</formula>
    </cfRule>
  </conditionalFormatting>
  <conditionalFormatting sqref="F4:F33">
    <cfRule type="expression" priority="57" dxfId="11" stopIfTrue="0">
      <formula>AND(F4&lt;&gt;"",F4=INDEX(Setup!$F$6:$F$15,1))</formula>
    </cfRule>
    <cfRule type="expression" priority="58" dxfId="12" stopIfTrue="0">
      <formula>AND(F4&lt;&gt;"",F4=INDEX(Setup!$F$6:$F$15,2))</formula>
    </cfRule>
    <cfRule type="expression" priority="59" dxfId="13" stopIfTrue="0">
      <formula>AND(F4&lt;&gt;"",F4=INDEX(Setup!$F$6:$F$15,3))</formula>
    </cfRule>
    <cfRule type="expression" priority="60" dxfId="14" stopIfTrue="0">
      <formula>AND(F4&lt;&gt;"",F4=INDEX(Setup!$F$6:$F$15,4))</formula>
    </cfRule>
    <cfRule type="expression" priority="61" dxfId="15" stopIfTrue="0">
      <formula>AND(F4&lt;&gt;"",F4=INDEX(Setup!$F$6:$F$15,5))</formula>
    </cfRule>
    <cfRule type="expression" priority="62" dxfId="16" stopIfTrue="0">
      <formula>AND(F4&lt;&gt;"",F4=INDEX(Setup!$F$6:$F$15,6))</formula>
    </cfRule>
  </conditionalFormatting>
  <conditionalFormatting sqref="L4:L33">
    <cfRule type="expression" priority="63" dxfId="11" stopIfTrue="0">
      <formula>AND(L4&lt;&gt;"",L4=INDEX(Setup!$F$6:$F$15,1))</formula>
    </cfRule>
    <cfRule type="expression" priority="64" dxfId="12" stopIfTrue="0">
      <formula>AND(L4&lt;&gt;"",L4=INDEX(Setup!$F$6:$F$15,2))</formula>
    </cfRule>
    <cfRule type="expression" priority="65" dxfId="13" stopIfTrue="0">
      <formula>AND(L4&lt;&gt;"",L4=INDEX(Setup!$F$6:$F$15,3))</formula>
    </cfRule>
    <cfRule type="expression" priority="66" dxfId="14" stopIfTrue="0">
      <formula>AND(L4&lt;&gt;"",L4=INDEX(Setup!$F$6:$F$15,4))</formula>
    </cfRule>
    <cfRule type="expression" priority="67" dxfId="15" stopIfTrue="0">
      <formula>AND(L4&lt;&gt;"",L4=INDEX(Setup!$F$6:$F$15,5))</formula>
    </cfRule>
    <cfRule type="expression" priority="68" dxfId="16" stopIfTrue="0">
      <formula>AND(L4&lt;&gt;"",L4=INDEX(Setup!$F$6:$F$15,6))</formula>
    </cfRule>
  </conditionalFormatting>
  <dataValidations count="2">
    <dataValidation sqref="Q5" showDropDown="0" showInputMessage="0" showErrorMessage="0" allowBlank="1" error="Please pick a value from the list." type="list" errorStyle="warning">
      <formula1>=Setup!$F$6:$F$15</formula1>
    </dataValidation>
    <dataValidation sqref="Q6" showDropDown="0" showInputMessage="0" showErrorMessage="0" allowBlank="1" error="Please pick a value from the list." type="list" errorStyle="warning">
      <formula1>=Setup!$H$6:$H$15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F7AB8"/>
    <outlinePr summaryBelow="1" summaryRight="1"/>
    <pageSetUpPr/>
  </sheetPr>
  <dimension ref="A1:W50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" min="1" max="1"/>
    <col width="4" customWidth="1" style="1" min="2" max="2"/>
    <col width="28" customWidth="1" style="1" min="3" max="3"/>
    <col width="13" customWidth="1" style="1" min="4" max="4"/>
    <col width="12" customWidth="1" style="1" min="5" max="5"/>
    <col width="11" customWidth="1" style="1" min="6" max="6"/>
    <col width="11" customWidth="1" style="1" min="7" max="7"/>
    <col width="10" customWidth="1" style="1" min="8" max="8"/>
    <col width="10" customWidth="1" style="1" min="9" max="9"/>
    <col width="11" customWidth="1" style="1" min="10" max="10"/>
    <col width="10" customWidth="1" style="1" min="11" max="11"/>
    <col width="12" customWidth="1" style="1" min="12" max="12"/>
    <col width="28" customWidth="1" style="1" min="13" max="13"/>
    <col hidden="1" width="13" customWidth="1" style="1" min="14" max="14"/>
    <col hidden="1" width="13" customWidth="1" style="1" min="15" max="15"/>
    <col hidden="1"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n"/>
      <c r="B2" s="59" t="inlineStr">
        <is>
          <t>RECURRING TASK SCHEDULE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1" t="n"/>
      <c r="B3" s="7" t="inlineStr">
        <is>
          <t>Set up repeating tasks ONCE — they auto-fill the Recurring Log, Tasks Filter, Dashboard, Daily, Weekly, Monthly &amp; Decision Matrix for a full year.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>
      <c r="A4" s="1" t="n"/>
      <c r="B4" s="12" t="inlineStr">
        <is>
          <t>RECURRING TASKS</t>
        </is>
      </c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>
      <c r="A5" s="1" t="n"/>
      <c r="B5" s="60" t="inlineStr">
        <is>
          <t>#</t>
        </is>
      </c>
      <c r="C5" s="60" t="inlineStr">
        <is>
          <t>TASK</t>
        </is>
      </c>
      <c r="D5" s="60" t="inlineStr">
        <is>
          <t>CATEGORY</t>
        </is>
      </c>
      <c r="E5" s="60" t="inlineStr">
        <is>
          <t>FREQUENCY</t>
        </is>
      </c>
      <c r="F5" s="60" t="inlineStr">
        <is>
          <t>1ST DATE</t>
        </is>
      </c>
      <c r="G5" s="60" t="inlineStr">
        <is>
          <t>END DATE</t>
        </is>
      </c>
      <c r="H5" s="60" t="inlineStr">
        <is>
          <t>START TIME</t>
        </is>
      </c>
      <c r="I5" s="60" t="inlineStr">
        <is>
          <t>END TIME</t>
        </is>
      </c>
      <c r="J5" s="60" t="inlineStr">
        <is>
          <t>PRIORITY</t>
        </is>
      </c>
      <c r="K5" s="60" t="inlineStr">
        <is>
          <t>IMPORTANT</t>
        </is>
      </c>
      <c r="L5" s="60" t="inlineStr">
        <is>
          <t>PERSON</t>
        </is>
      </c>
      <c r="M5" s="60" t="inlineStr">
        <is>
          <t>NOTES</t>
        </is>
      </c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</row>
    <row r="6">
      <c r="A6" s="1" t="n"/>
      <c r="B6" s="61" t="n">
        <v>1</v>
      </c>
      <c r="C6" s="17" t="inlineStr">
        <is>
          <t>Yoga</t>
        </is>
      </c>
      <c r="D6" s="22" t="inlineStr">
        <is>
          <t>Personal</t>
        </is>
      </c>
      <c r="E6" s="22" t="inlineStr">
        <is>
          <t>Daily</t>
        </is>
      </c>
      <c r="F6" s="15" t="n">
        <v>46293</v>
      </c>
      <c r="G6" s="15" t="n"/>
      <c r="H6" s="21" t="n">
        <v>0.3125</v>
      </c>
      <c r="I6" s="21" t="n">
        <v>0.3333333333333333</v>
      </c>
      <c r="J6" s="22" t="inlineStr">
        <is>
          <t>3-Medium</t>
        </is>
      </c>
      <c r="K6" s="22" t="inlineStr">
        <is>
          <t>✓</t>
        </is>
      </c>
      <c r="L6" s="22" t="inlineStr">
        <is>
          <t>Me</t>
        </is>
      </c>
      <c r="M6" s="17" t="n"/>
      <c r="N6" s="1">
        <f>IFERROR(VLOOKUP(E6,Lists!$A$2:$C$9,2,0),0)</f>
        <v/>
      </c>
      <c r="O6" s="1">
        <f>IFERROR(VLOOKUP(E6,Lists!$A$2:$C$9,3,0),0)</f>
        <v/>
      </c>
      <c r="P6" s="1">
        <f>IF(G6="",Setup!$D$5+365,MIN(G6,Setup!$D$5+365))</f>
        <v/>
      </c>
      <c r="Q6" s="1" t="n"/>
      <c r="R6" s="1" t="n"/>
      <c r="S6" s="1" t="n"/>
      <c r="T6" s="1" t="n"/>
      <c r="U6" s="1" t="n"/>
      <c r="V6" s="1" t="n"/>
      <c r="W6" s="1" t="n"/>
    </row>
    <row r="7">
      <c r="A7" s="1" t="n"/>
      <c r="B7" s="61" t="n">
        <v>2</v>
      </c>
      <c r="C7" s="17" t="inlineStr">
        <is>
          <t>Meditate</t>
        </is>
      </c>
      <c r="D7" s="22" t="inlineStr">
        <is>
          <t>Health</t>
        </is>
      </c>
      <c r="E7" s="22" t="inlineStr">
        <is>
          <t>Weekdays</t>
        </is>
      </c>
      <c r="F7" s="15" t="n">
        <v>46293</v>
      </c>
      <c r="G7" s="15" t="n"/>
      <c r="H7" s="21" t="n">
        <v>0.3541666666666667</v>
      </c>
      <c r="I7" s="21" t="n">
        <v>0.3645833333333333</v>
      </c>
      <c r="J7" s="22" t="inlineStr">
        <is>
          <t>4-Low</t>
        </is>
      </c>
      <c r="K7" s="22" t="inlineStr"/>
      <c r="L7" s="22" t="inlineStr">
        <is>
          <t>Me</t>
        </is>
      </c>
      <c r="M7" s="17" t="n"/>
      <c r="N7" s="1">
        <f>IFERROR(VLOOKUP(E7,Lists!$A$2:$C$9,2,0),0)</f>
        <v/>
      </c>
      <c r="O7" s="1">
        <f>IFERROR(VLOOKUP(E7,Lists!$A$2:$C$9,3,0),0)</f>
        <v/>
      </c>
      <c r="P7" s="1">
        <f>IF(G7="",Setup!$D$5+365,MIN(G7,Setup!$D$5+365))</f>
        <v/>
      </c>
      <c r="Q7" s="1" t="n"/>
      <c r="R7" s="1" t="n"/>
      <c r="S7" s="1" t="n"/>
      <c r="T7" s="1" t="n"/>
      <c r="U7" s="1" t="n"/>
      <c r="V7" s="1" t="n"/>
      <c r="W7" s="1" t="n"/>
    </row>
    <row r="8">
      <c r="A8" s="1" t="n"/>
      <c r="B8" s="61" t="n">
        <v>3</v>
      </c>
      <c r="C8" s="17" t="inlineStr">
        <is>
          <t>Monday Meeting</t>
        </is>
      </c>
      <c r="D8" s="22" t="inlineStr">
        <is>
          <t>Business</t>
        </is>
      </c>
      <c r="E8" s="22" t="inlineStr">
        <is>
          <t>Weekly</t>
        </is>
      </c>
      <c r="F8" s="15" t="n">
        <v>46293</v>
      </c>
      <c r="G8" s="15" t="n"/>
      <c r="H8" s="21" t="n">
        <v>0.375</v>
      </c>
      <c r="I8" s="21" t="n">
        <v>0.4166666666666667</v>
      </c>
      <c r="J8" s="22" t="inlineStr">
        <is>
          <t>2-High</t>
        </is>
      </c>
      <c r="K8" s="22" t="inlineStr">
        <is>
          <t>✓</t>
        </is>
      </c>
      <c r="L8" s="22" t="inlineStr">
        <is>
          <t>Me</t>
        </is>
      </c>
      <c r="M8" s="17" t="n"/>
      <c r="N8" s="1">
        <f>IFERROR(VLOOKUP(E8,Lists!$A$2:$C$9,2,0),0)</f>
        <v/>
      </c>
      <c r="O8" s="1">
        <f>IFERROR(VLOOKUP(E8,Lists!$A$2:$C$9,3,0),0)</f>
        <v/>
      </c>
      <c r="P8" s="1">
        <f>IF(G8="",Setup!$D$5+365,MIN(G8,Setup!$D$5+365))</f>
        <v/>
      </c>
      <c r="Q8" s="1" t="n"/>
      <c r="R8" s="1" t="n"/>
      <c r="S8" s="1" t="n"/>
      <c r="T8" s="1" t="n"/>
      <c r="U8" s="1" t="n"/>
      <c r="V8" s="1" t="n"/>
      <c r="W8" s="1" t="n"/>
    </row>
    <row r="9">
      <c r="A9" s="1" t="n"/>
      <c r="B9" s="61" t="n">
        <v>4</v>
      </c>
      <c r="C9" s="17" t="inlineStr">
        <is>
          <t>Write project proposal</t>
        </is>
      </c>
      <c r="D9" s="22" t="inlineStr">
        <is>
          <t>Business</t>
        </is>
      </c>
      <c r="E9" s="22" t="inlineStr">
        <is>
          <t>Weekly</t>
        </is>
      </c>
      <c r="F9" s="15" t="n">
        <v>46295</v>
      </c>
      <c r="G9" s="15" t="n">
        <v>46387</v>
      </c>
      <c r="H9" s="21" t="n">
        <v>0.3854166666666667</v>
      </c>
      <c r="I9" s="21" t="n">
        <v>0.4583333333333333</v>
      </c>
      <c r="J9" s="22" t="inlineStr">
        <is>
          <t>1-Urgent</t>
        </is>
      </c>
      <c r="K9" s="22" t="inlineStr">
        <is>
          <t>✓</t>
        </is>
      </c>
      <c r="L9" s="22" t="inlineStr">
        <is>
          <t>Me</t>
        </is>
      </c>
      <c r="M9" s="17" t="n"/>
      <c r="N9" s="1">
        <f>IFERROR(VLOOKUP(E9,Lists!$A$2:$C$9,2,0),0)</f>
        <v/>
      </c>
      <c r="O9" s="1">
        <f>IFERROR(VLOOKUP(E9,Lists!$A$2:$C$9,3,0),0)</f>
        <v/>
      </c>
      <c r="P9" s="1">
        <f>IF(G9="",Setup!$D$5+365,MIN(G9,Setup!$D$5+365))</f>
        <v/>
      </c>
      <c r="Q9" s="1" t="n"/>
      <c r="R9" s="1" t="n"/>
      <c r="S9" s="1" t="n"/>
      <c r="T9" s="1" t="n"/>
      <c r="U9" s="1" t="n"/>
      <c r="V9" s="1" t="n"/>
      <c r="W9" s="1" t="n"/>
    </row>
    <row r="10">
      <c r="A10" s="1" t="n"/>
      <c r="B10" s="61" t="n">
        <v>5</v>
      </c>
      <c r="C10" s="17" t="inlineStr">
        <is>
          <t>Pilates</t>
        </is>
      </c>
      <c r="D10" s="22" t="inlineStr">
        <is>
          <t>Health</t>
        </is>
      </c>
      <c r="E10" s="22" t="inlineStr">
        <is>
          <t>Weekly</t>
        </is>
      </c>
      <c r="F10" s="15" t="n">
        <v>46296</v>
      </c>
      <c r="G10" s="15" t="n"/>
      <c r="H10" s="21" t="n">
        <v>0.75</v>
      </c>
      <c r="I10" s="21" t="n">
        <v>0.7916666666666666</v>
      </c>
      <c r="J10" s="22" t="inlineStr">
        <is>
          <t>3-Medium</t>
        </is>
      </c>
      <c r="K10" s="22" t="inlineStr">
        <is>
          <t>✓</t>
        </is>
      </c>
      <c r="L10" s="22" t="inlineStr">
        <is>
          <t>Me</t>
        </is>
      </c>
      <c r="M10" s="17" t="n"/>
      <c r="N10" s="1">
        <f>IFERROR(VLOOKUP(E10,Lists!$A$2:$C$9,2,0),0)</f>
        <v/>
      </c>
      <c r="O10" s="1">
        <f>IFERROR(VLOOKUP(E10,Lists!$A$2:$C$9,3,0),0)</f>
        <v/>
      </c>
      <c r="P10" s="1">
        <f>IF(G10="",Setup!$D$5+365,MIN(G10,Setup!$D$5+365))</f>
        <v/>
      </c>
      <c r="Q10" s="1" t="n"/>
      <c r="R10" s="1" t="n"/>
      <c r="S10" s="1" t="n"/>
      <c r="T10" s="1" t="n"/>
      <c r="U10" s="1" t="n"/>
      <c r="V10" s="1" t="n"/>
      <c r="W10" s="1" t="n"/>
    </row>
    <row r="11">
      <c r="A11" s="1" t="n"/>
      <c r="B11" s="61" t="n">
        <v>6</v>
      </c>
      <c r="C11" s="17" t="inlineStr">
        <is>
          <t>Amy's Soccer Game</t>
        </is>
      </c>
      <c r="D11" s="22" t="inlineStr">
        <is>
          <t>Family</t>
        </is>
      </c>
      <c r="E11" s="22" t="inlineStr">
        <is>
          <t>Weekly</t>
        </is>
      </c>
      <c r="F11" s="15" t="n">
        <v>46298</v>
      </c>
      <c r="G11" s="15" t="n">
        <v>46375</v>
      </c>
      <c r="H11" s="21" t="n">
        <v>0.4166666666666667</v>
      </c>
      <c r="I11" s="21" t="n">
        <v>0.4791666666666667</v>
      </c>
      <c r="J11" s="22" t="inlineStr">
        <is>
          <t>2-High</t>
        </is>
      </c>
      <c r="K11" s="22" t="inlineStr">
        <is>
          <t>✓</t>
        </is>
      </c>
      <c r="L11" s="22" t="inlineStr">
        <is>
          <t>Sam</t>
        </is>
      </c>
      <c r="M11" s="17" t="n"/>
      <c r="N11" s="1">
        <f>IFERROR(VLOOKUP(E11,Lists!$A$2:$C$9,2,0),0)</f>
        <v/>
      </c>
      <c r="O11" s="1">
        <f>IFERROR(VLOOKUP(E11,Lists!$A$2:$C$9,3,0),0)</f>
        <v/>
      </c>
      <c r="P11" s="1">
        <f>IF(G11="",Setup!$D$5+365,MIN(G11,Setup!$D$5+365))</f>
        <v/>
      </c>
      <c r="Q11" s="1" t="n"/>
      <c r="R11" s="1" t="n"/>
      <c r="S11" s="1" t="n"/>
      <c r="T11" s="1" t="n"/>
      <c r="U11" s="1" t="n"/>
      <c r="V11" s="1" t="n"/>
      <c r="W11" s="1" t="n"/>
    </row>
    <row r="12">
      <c r="A12" s="1" t="n"/>
      <c r="B12" s="61" t="n">
        <v>7</v>
      </c>
      <c r="C12" s="17" t="inlineStr">
        <is>
          <t>Water Plants</t>
        </is>
      </c>
      <c r="D12" s="22" t="inlineStr">
        <is>
          <t>Personal</t>
        </is>
      </c>
      <c r="E12" s="22" t="inlineStr">
        <is>
          <t>Weekly</t>
        </is>
      </c>
      <c r="F12" s="15" t="n">
        <v>46299</v>
      </c>
      <c r="G12" s="15" t="n"/>
      <c r="H12" s="21" t="n">
        <v>0.7083333333333334</v>
      </c>
      <c r="I12" s="21" t="n">
        <v>0.71875</v>
      </c>
      <c r="J12" s="22" t="inlineStr">
        <is>
          <t>4-Low</t>
        </is>
      </c>
      <c r="K12" s="22" t="inlineStr"/>
      <c r="L12" s="22" t="inlineStr">
        <is>
          <t>Lucy</t>
        </is>
      </c>
      <c r="M12" s="17" t="n"/>
      <c r="N12" s="1">
        <f>IFERROR(VLOOKUP(E12,Lists!$A$2:$C$9,2,0),0)</f>
        <v/>
      </c>
      <c r="O12" s="1">
        <f>IFERROR(VLOOKUP(E12,Lists!$A$2:$C$9,3,0),0)</f>
        <v/>
      </c>
      <c r="P12" s="1">
        <f>IF(G12="",Setup!$D$5+365,MIN(G12,Setup!$D$5+365))</f>
        <v/>
      </c>
      <c r="Q12" s="1" t="n"/>
      <c r="R12" s="1" t="n"/>
      <c r="S12" s="1" t="n"/>
      <c r="T12" s="1" t="n"/>
      <c r="U12" s="1" t="n"/>
      <c r="V12" s="1" t="n"/>
      <c r="W12" s="1" t="n"/>
    </row>
    <row r="13">
      <c r="A13" s="1" t="n"/>
      <c r="B13" s="61" t="n">
        <v>8</v>
      </c>
      <c r="C13" s="17" t="inlineStr">
        <is>
          <t>Friday task review</t>
        </is>
      </c>
      <c r="D13" s="22" t="inlineStr">
        <is>
          <t>Business</t>
        </is>
      </c>
      <c r="E13" s="22" t="inlineStr">
        <is>
          <t>Weekly</t>
        </is>
      </c>
      <c r="F13" s="15" t="n">
        <v>46297</v>
      </c>
      <c r="G13" s="15" t="n"/>
      <c r="H13" s="21" t="n">
        <v>0.6666666666666666</v>
      </c>
      <c r="I13" s="21" t="n">
        <v>0.6875</v>
      </c>
      <c r="J13" s="22" t="inlineStr">
        <is>
          <t>3-Medium</t>
        </is>
      </c>
      <c r="K13" s="22" t="inlineStr"/>
      <c r="L13" s="22" t="inlineStr">
        <is>
          <t>Me</t>
        </is>
      </c>
      <c r="M13" s="17" t="n"/>
      <c r="N13" s="1">
        <f>IFERROR(VLOOKUP(E13,Lists!$A$2:$C$9,2,0),0)</f>
        <v/>
      </c>
      <c r="O13" s="1">
        <f>IFERROR(VLOOKUP(E13,Lists!$A$2:$C$9,3,0),0)</f>
        <v/>
      </c>
      <c r="P13" s="1">
        <f>IF(G13="",Setup!$D$5+365,MIN(G13,Setup!$D$5+365))</f>
        <v/>
      </c>
      <c r="Q13" s="1" t="n"/>
      <c r="R13" s="1" t="n"/>
      <c r="S13" s="1" t="n"/>
      <c r="T13" s="1" t="n"/>
      <c r="U13" s="1" t="n"/>
      <c r="V13" s="1" t="n"/>
      <c r="W13" s="1" t="n"/>
    </row>
    <row r="14">
      <c r="A14" s="1" t="n"/>
      <c r="B14" s="61" t="n">
        <v>9</v>
      </c>
      <c r="C14" s="17" t="inlineStr">
        <is>
          <t>Date Night</t>
        </is>
      </c>
      <c r="D14" s="22" t="inlineStr">
        <is>
          <t>Family</t>
        </is>
      </c>
      <c r="E14" s="22" t="inlineStr">
        <is>
          <t>Bi-weekly</t>
        </is>
      </c>
      <c r="F14" s="15" t="n">
        <v>46298</v>
      </c>
      <c r="G14" s="15" t="n"/>
      <c r="H14" s="21" t="n">
        <v>0.7916666666666666</v>
      </c>
      <c r="I14" s="21" t="n">
        <v>0.875</v>
      </c>
      <c r="J14" s="22" t="inlineStr">
        <is>
          <t>2-High</t>
        </is>
      </c>
      <c r="K14" s="22" t="inlineStr">
        <is>
          <t>✓</t>
        </is>
      </c>
      <c r="L14" s="22" t="inlineStr">
        <is>
          <t>Me</t>
        </is>
      </c>
      <c r="M14" s="17" t="n"/>
      <c r="N14" s="1">
        <f>IFERROR(VLOOKUP(E14,Lists!$A$2:$C$9,2,0),0)</f>
        <v/>
      </c>
      <c r="O14" s="1">
        <f>IFERROR(VLOOKUP(E14,Lists!$A$2:$C$9,3,0),0)</f>
        <v/>
      </c>
      <c r="P14" s="1">
        <f>IF(G14="",Setup!$D$5+365,MIN(G14,Setup!$D$5+365))</f>
        <v/>
      </c>
      <c r="Q14" s="1" t="n"/>
      <c r="R14" s="1" t="n"/>
      <c r="S14" s="1" t="n"/>
      <c r="T14" s="1" t="n"/>
      <c r="U14" s="1" t="n"/>
      <c r="V14" s="1" t="n"/>
      <c r="W14" s="1" t="n"/>
    </row>
    <row r="15">
      <c r="A15" s="1" t="n"/>
      <c r="B15" s="61" t="n">
        <v>10</v>
      </c>
      <c r="C15" s="17" t="inlineStr">
        <is>
          <t>Monthly goal planning</t>
        </is>
      </c>
      <c r="D15" s="22" t="inlineStr">
        <is>
          <t>Personal</t>
        </is>
      </c>
      <c r="E15" s="22" t="inlineStr">
        <is>
          <t>Monthly</t>
        </is>
      </c>
      <c r="F15" s="15" t="n">
        <v>46296</v>
      </c>
      <c r="G15" s="15" t="n"/>
      <c r="H15" s="21" t="n">
        <v>0.8333333333333334</v>
      </c>
      <c r="I15" s="21" t="n">
        <v>0.875</v>
      </c>
      <c r="J15" s="22" t="inlineStr">
        <is>
          <t>2-High</t>
        </is>
      </c>
      <c r="K15" s="22" t="inlineStr">
        <is>
          <t>✓</t>
        </is>
      </c>
      <c r="L15" s="22" t="inlineStr">
        <is>
          <t>Me</t>
        </is>
      </c>
      <c r="M15" s="17" t="n"/>
      <c r="N15" s="1">
        <f>IFERROR(VLOOKUP(E15,Lists!$A$2:$C$9,2,0),0)</f>
        <v/>
      </c>
      <c r="O15" s="1">
        <f>IFERROR(VLOOKUP(E15,Lists!$A$2:$C$9,3,0),0)</f>
        <v/>
      </c>
      <c r="P15" s="1">
        <f>IF(G15="",Setup!$D$5+365,MIN(G15,Setup!$D$5+365))</f>
        <v/>
      </c>
      <c r="Q15" s="1" t="n"/>
      <c r="R15" s="1" t="n"/>
      <c r="S15" s="1" t="n"/>
      <c r="T15" s="1" t="n"/>
      <c r="U15" s="1" t="n"/>
      <c r="V15" s="1" t="n"/>
      <c r="W15" s="1" t="n"/>
    </row>
    <row r="16">
      <c r="A16" s="1" t="n"/>
      <c r="B16" s="61" t="n">
        <v>11</v>
      </c>
      <c r="C16" s="17" t="inlineStr">
        <is>
          <t>Pay credit card</t>
        </is>
      </c>
      <c r="D16" s="22" t="inlineStr">
        <is>
          <t>Personal</t>
        </is>
      </c>
      <c r="E16" s="22" t="inlineStr">
        <is>
          <t>Monthly</t>
        </is>
      </c>
      <c r="F16" s="15" t="n">
        <v>46305</v>
      </c>
      <c r="G16" s="15" t="n"/>
      <c r="H16" s="21" t="n"/>
      <c r="I16" s="21" t="n"/>
      <c r="J16" s="22" t="inlineStr">
        <is>
          <t>1-Urgent</t>
        </is>
      </c>
      <c r="K16" s="22" t="inlineStr">
        <is>
          <t>✓</t>
        </is>
      </c>
      <c r="L16" s="22" t="inlineStr">
        <is>
          <t>Me</t>
        </is>
      </c>
      <c r="M16" s="17" t="n"/>
      <c r="N16" s="1">
        <f>IFERROR(VLOOKUP(E16,Lists!$A$2:$C$9,2,0),0)</f>
        <v/>
      </c>
      <c r="O16" s="1">
        <f>IFERROR(VLOOKUP(E16,Lists!$A$2:$C$9,3,0),0)</f>
        <v/>
      </c>
      <c r="P16" s="1">
        <f>IF(G16="",Setup!$D$5+365,MIN(G16,Setup!$D$5+365))</f>
        <v/>
      </c>
      <c r="Q16" s="1" t="n"/>
      <c r="R16" s="1" t="n"/>
      <c r="S16" s="1" t="n"/>
      <c r="T16" s="1" t="n"/>
      <c r="U16" s="1" t="n"/>
      <c r="V16" s="1" t="n"/>
      <c r="W16" s="1" t="n"/>
    </row>
    <row r="17">
      <c r="A17" s="1" t="n"/>
      <c r="B17" s="61" t="n">
        <v>12</v>
      </c>
      <c r="C17" s="17" t="inlineStr">
        <is>
          <t>Dentist check-up</t>
        </is>
      </c>
      <c r="D17" s="22" t="inlineStr">
        <is>
          <t>Health</t>
        </is>
      </c>
      <c r="E17" s="22" t="inlineStr">
        <is>
          <t>Quarterly</t>
        </is>
      </c>
      <c r="F17" s="15" t="n">
        <v>46338</v>
      </c>
      <c r="G17" s="15" t="n"/>
      <c r="H17" s="21" t="n">
        <v>0.5833333333333334</v>
      </c>
      <c r="I17" s="21" t="n">
        <v>0.625</v>
      </c>
      <c r="J17" s="22" t="inlineStr">
        <is>
          <t>3-Medium</t>
        </is>
      </c>
      <c r="K17" s="22" t="inlineStr">
        <is>
          <t>✓</t>
        </is>
      </c>
      <c r="L17" s="22" t="inlineStr">
        <is>
          <t>Me</t>
        </is>
      </c>
      <c r="M17" s="17" t="n"/>
      <c r="N17" s="1">
        <f>IFERROR(VLOOKUP(E17,Lists!$A$2:$C$9,2,0),0)</f>
        <v/>
      </c>
      <c r="O17" s="1">
        <f>IFERROR(VLOOKUP(E17,Lists!$A$2:$C$9,3,0),0)</f>
        <v/>
      </c>
      <c r="P17" s="1">
        <f>IF(G17="",Setup!$D$5+365,MIN(G17,Setup!$D$5+365))</f>
        <v/>
      </c>
      <c r="Q17" s="1" t="n"/>
      <c r="R17" s="1" t="n"/>
      <c r="S17" s="1" t="n"/>
      <c r="T17" s="1" t="n"/>
      <c r="U17" s="1" t="n"/>
      <c r="V17" s="1" t="n"/>
      <c r="W17" s="1" t="n"/>
    </row>
    <row r="18">
      <c r="A18" s="1" t="n"/>
      <c r="B18" s="61" t="n">
        <v>13</v>
      </c>
      <c r="C18" s="17" t="n"/>
      <c r="D18" s="22" t="n"/>
      <c r="E18" s="22" t="n"/>
      <c r="F18" s="15" t="n"/>
      <c r="G18" s="15" t="n"/>
      <c r="H18" s="21" t="n"/>
      <c r="I18" s="21" t="n"/>
      <c r="J18" s="22" t="n"/>
      <c r="K18" s="22" t="n"/>
      <c r="L18" s="22" t="n"/>
      <c r="M18" s="17" t="n"/>
      <c r="N18" s="1">
        <f>IFERROR(VLOOKUP(E18,Lists!$A$2:$C$9,2,0),0)</f>
        <v/>
      </c>
      <c r="O18" s="1">
        <f>IFERROR(VLOOKUP(E18,Lists!$A$2:$C$9,3,0),0)</f>
        <v/>
      </c>
      <c r="P18" s="1">
        <f>IF(G18="",Setup!$D$5+365,MIN(G18,Setup!$D$5+365))</f>
        <v/>
      </c>
      <c r="Q18" s="1" t="n"/>
      <c r="R18" s="1" t="n"/>
      <c r="S18" s="1" t="n"/>
      <c r="T18" s="1" t="n"/>
      <c r="U18" s="1" t="n"/>
      <c r="V18" s="1" t="n"/>
      <c r="W18" s="1" t="n"/>
    </row>
    <row r="19">
      <c r="A19" s="1" t="n"/>
      <c r="B19" s="61" t="n">
        <v>14</v>
      </c>
      <c r="C19" s="17" t="n"/>
      <c r="D19" s="22" t="n"/>
      <c r="E19" s="22" t="n"/>
      <c r="F19" s="15" t="n"/>
      <c r="G19" s="15" t="n"/>
      <c r="H19" s="21" t="n"/>
      <c r="I19" s="21" t="n"/>
      <c r="J19" s="22" t="n"/>
      <c r="K19" s="22" t="n"/>
      <c r="L19" s="22" t="n"/>
      <c r="M19" s="17" t="n"/>
      <c r="N19" s="1">
        <f>IFERROR(VLOOKUP(E19,Lists!$A$2:$C$9,2,0),0)</f>
        <v/>
      </c>
      <c r="O19" s="1">
        <f>IFERROR(VLOOKUP(E19,Lists!$A$2:$C$9,3,0),0)</f>
        <v/>
      </c>
      <c r="P19" s="1">
        <f>IF(G19="",Setup!$D$5+365,MIN(G19,Setup!$D$5+365))</f>
        <v/>
      </c>
      <c r="Q19" s="1" t="n"/>
      <c r="R19" s="1" t="n"/>
      <c r="S19" s="1" t="n"/>
      <c r="T19" s="1" t="n"/>
      <c r="U19" s="1" t="n"/>
      <c r="V19" s="1" t="n"/>
      <c r="W19" s="1" t="n"/>
    </row>
    <row r="20">
      <c r="A20" s="1" t="n"/>
      <c r="B20" s="61" t="n">
        <v>15</v>
      </c>
      <c r="C20" s="17" t="n"/>
      <c r="D20" s="22" t="n"/>
      <c r="E20" s="22" t="n"/>
      <c r="F20" s="15" t="n"/>
      <c r="G20" s="15" t="n"/>
      <c r="H20" s="21" t="n"/>
      <c r="I20" s="21" t="n"/>
      <c r="J20" s="22" t="n"/>
      <c r="K20" s="22" t="n"/>
      <c r="L20" s="22" t="n"/>
      <c r="M20" s="17" t="n"/>
      <c r="N20" s="1">
        <f>IFERROR(VLOOKUP(E20,Lists!$A$2:$C$9,2,0),0)</f>
        <v/>
      </c>
      <c r="O20" s="1">
        <f>IFERROR(VLOOKUP(E20,Lists!$A$2:$C$9,3,0),0)</f>
        <v/>
      </c>
      <c r="P20" s="1">
        <f>IF(G20="",Setup!$D$5+365,MIN(G20,Setup!$D$5+365))</f>
        <v/>
      </c>
      <c r="Q20" s="1" t="n"/>
      <c r="R20" s="1" t="n"/>
      <c r="S20" s="1" t="n"/>
      <c r="T20" s="1" t="n"/>
      <c r="U20" s="1" t="n"/>
      <c r="V20" s="1" t="n"/>
      <c r="W20" s="1" t="n"/>
    </row>
    <row r="21">
      <c r="A21" s="1" t="n"/>
      <c r="B21" s="61" t="n">
        <v>16</v>
      </c>
      <c r="C21" s="17" t="n"/>
      <c r="D21" s="22" t="n"/>
      <c r="E21" s="22" t="n"/>
      <c r="F21" s="15" t="n"/>
      <c r="G21" s="15" t="n"/>
      <c r="H21" s="21" t="n"/>
      <c r="I21" s="21" t="n"/>
      <c r="J21" s="22" t="n"/>
      <c r="K21" s="22" t="n"/>
      <c r="L21" s="22" t="n"/>
      <c r="M21" s="17" t="n"/>
      <c r="N21" s="1">
        <f>IFERROR(VLOOKUP(E21,Lists!$A$2:$C$9,2,0),0)</f>
        <v/>
      </c>
      <c r="O21" s="1">
        <f>IFERROR(VLOOKUP(E21,Lists!$A$2:$C$9,3,0),0)</f>
        <v/>
      </c>
      <c r="P21" s="1">
        <f>IF(G21="",Setup!$D$5+365,MIN(G21,Setup!$D$5+365))</f>
        <v/>
      </c>
      <c r="Q21" s="1" t="n"/>
      <c r="R21" s="1" t="n"/>
      <c r="S21" s="1" t="n"/>
      <c r="T21" s="1" t="n"/>
      <c r="U21" s="1" t="n"/>
      <c r="V21" s="1" t="n"/>
      <c r="W21" s="1" t="n"/>
    </row>
    <row r="22">
      <c r="A22" s="1" t="n"/>
      <c r="B22" s="61" t="n">
        <v>17</v>
      </c>
      <c r="C22" s="17" t="n"/>
      <c r="D22" s="22" t="n"/>
      <c r="E22" s="22" t="n"/>
      <c r="F22" s="15" t="n"/>
      <c r="G22" s="15" t="n"/>
      <c r="H22" s="21" t="n"/>
      <c r="I22" s="21" t="n"/>
      <c r="J22" s="22" t="n"/>
      <c r="K22" s="22" t="n"/>
      <c r="L22" s="22" t="n"/>
      <c r="M22" s="17" t="n"/>
      <c r="N22" s="1">
        <f>IFERROR(VLOOKUP(E22,Lists!$A$2:$C$9,2,0),0)</f>
        <v/>
      </c>
      <c r="O22" s="1">
        <f>IFERROR(VLOOKUP(E22,Lists!$A$2:$C$9,3,0),0)</f>
        <v/>
      </c>
      <c r="P22" s="1">
        <f>IF(G22="",Setup!$D$5+365,MIN(G22,Setup!$D$5+365))</f>
        <v/>
      </c>
      <c r="Q22" s="1" t="n"/>
      <c r="R22" s="1" t="n"/>
      <c r="S22" s="1" t="n"/>
      <c r="T22" s="1" t="n"/>
      <c r="U22" s="1" t="n"/>
      <c r="V22" s="1" t="n"/>
      <c r="W22" s="1" t="n"/>
    </row>
    <row r="23">
      <c r="A23" s="1" t="n"/>
      <c r="B23" s="61" t="n">
        <v>18</v>
      </c>
      <c r="C23" s="17" t="n"/>
      <c r="D23" s="22" t="n"/>
      <c r="E23" s="22" t="n"/>
      <c r="F23" s="15" t="n"/>
      <c r="G23" s="15" t="n"/>
      <c r="H23" s="21" t="n"/>
      <c r="I23" s="21" t="n"/>
      <c r="J23" s="22" t="n"/>
      <c r="K23" s="22" t="n"/>
      <c r="L23" s="22" t="n"/>
      <c r="M23" s="17" t="n"/>
      <c r="N23" s="1">
        <f>IFERROR(VLOOKUP(E23,Lists!$A$2:$C$9,2,0),0)</f>
        <v/>
      </c>
      <c r="O23" s="1">
        <f>IFERROR(VLOOKUP(E23,Lists!$A$2:$C$9,3,0),0)</f>
        <v/>
      </c>
      <c r="P23" s="1">
        <f>IF(G23="",Setup!$D$5+365,MIN(G23,Setup!$D$5+365))</f>
        <v/>
      </c>
      <c r="Q23" s="1" t="n"/>
      <c r="R23" s="1" t="n"/>
      <c r="S23" s="1" t="n"/>
      <c r="T23" s="1" t="n"/>
      <c r="U23" s="1" t="n"/>
      <c r="V23" s="1" t="n"/>
      <c r="W23" s="1" t="n"/>
    </row>
    <row r="24">
      <c r="A24" s="1" t="n"/>
      <c r="B24" s="61" t="n">
        <v>19</v>
      </c>
      <c r="C24" s="17" t="n"/>
      <c r="D24" s="22" t="n"/>
      <c r="E24" s="22" t="n"/>
      <c r="F24" s="15" t="n"/>
      <c r="G24" s="15" t="n"/>
      <c r="H24" s="21" t="n"/>
      <c r="I24" s="21" t="n"/>
      <c r="J24" s="22" t="n"/>
      <c r="K24" s="22" t="n"/>
      <c r="L24" s="22" t="n"/>
      <c r="M24" s="17" t="n"/>
      <c r="N24" s="1">
        <f>IFERROR(VLOOKUP(E24,Lists!$A$2:$C$9,2,0),0)</f>
        <v/>
      </c>
      <c r="O24" s="1">
        <f>IFERROR(VLOOKUP(E24,Lists!$A$2:$C$9,3,0),0)</f>
        <v/>
      </c>
      <c r="P24" s="1">
        <f>IF(G24="",Setup!$D$5+365,MIN(G24,Setup!$D$5+365))</f>
        <v/>
      </c>
      <c r="Q24" s="1" t="n"/>
      <c r="R24" s="1" t="n"/>
      <c r="S24" s="1" t="n"/>
      <c r="T24" s="1" t="n"/>
      <c r="U24" s="1" t="n"/>
      <c r="V24" s="1" t="n"/>
      <c r="W24" s="1" t="n"/>
    </row>
    <row r="25">
      <c r="A25" s="1" t="n"/>
      <c r="B25" s="61" t="n">
        <v>20</v>
      </c>
      <c r="C25" s="17" t="n"/>
      <c r="D25" s="22" t="n"/>
      <c r="E25" s="22" t="n"/>
      <c r="F25" s="15" t="n"/>
      <c r="G25" s="15" t="n"/>
      <c r="H25" s="21" t="n"/>
      <c r="I25" s="21" t="n"/>
      <c r="J25" s="22" t="n"/>
      <c r="K25" s="22" t="n"/>
      <c r="L25" s="22" t="n"/>
      <c r="M25" s="17" t="n"/>
      <c r="N25" s="1">
        <f>IFERROR(VLOOKUP(E25,Lists!$A$2:$C$9,2,0),0)</f>
        <v/>
      </c>
      <c r="O25" s="1">
        <f>IFERROR(VLOOKUP(E25,Lists!$A$2:$C$9,3,0),0)</f>
        <v/>
      </c>
      <c r="P25" s="1">
        <f>IF(G25="",Setup!$D$5+365,MIN(G25,Setup!$D$5+365))</f>
        <v/>
      </c>
      <c r="Q25" s="1" t="n"/>
      <c r="R25" s="1" t="n"/>
      <c r="S25" s="1" t="n"/>
      <c r="T25" s="1" t="n"/>
      <c r="U25" s="1" t="n"/>
      <c r="V25" s="1" t="n"/>
      <c r="W25" s="1" t="n"/>
    </row>
    <row r="26">
      <c r="A26" s="1" t="n"/>
      <c r="B26" s="61" t="n">
        <v>21</v>
      </c>
      <c r="C26" s="17" t="n"/>
      <c r="D26" s="22" t="n"/>
      <c r="E26" s="22" t="n"/>
      <c r="F26" s="15" t="n"/>
      <c r="G26" s="15" t="n"/>
      <c r="H26" s="21" t="n"/>
      <c r="I26" s="21" t="n"/>
      <c r="J26" s="22" t="n"/>
      <c r="K26" s="22" t="n"/>
      <c r="L26" s="22" t="n"/>
      <c r="M26" s="17" t="n"/>
      <c r="N26" s="1">
        <f>IFERROR(VLOOKUP(E26,Lists!$A$2:$C$9,2,0),0)</f>
        <v/>
      </c>
      <c r="O26" s="1">
        <f>IFERROR(VLOOKUP(E26,Lists!$A$2:$C$9,3,0),0)</f>
        <v/>
      </c>
      <c r="P26" s="1">
        <f>IF(G26="",Setup!$D$5+365,MIN(G26,Setup!$D$5+365))</f>
        <v/>
      </c>
      <c r="Q26" s="1" t="n"/>
      <c r="R26" s="1" t="n"/>
      <c r="S26" s="1" t="n"/>
      <c r="T26" s="1" t="n"/>
      <c r="U26" s="1" t="n"/>
      <c r="V26" s="1" t="n"/>
      <c r="W26" s="1" t="n"/>
    </row>
    <row r="27">
      <c r="A27" s="1" t="n"/>
      <c r="B27" s="61" t="n">
        <v>22</v>
      </c>
      <c r="C27" s="17" t="n"/>
      <c r="D27" s="22" t="n"/>
      <c r="E27" s="22" t="n"/>
      <c r="F27" s="15" t="n"/>
      <c r="G27" s="15" t="n"/>
      <c r="H27" s="21" t="n"/>
      <c r="I27" s="21" t="n"/>
      <c r="J27" s="22" t="n"/>
      <c r="K27" s="22" t="n"/>
      <c r="L27" s="22" t="n"/>
      <c r="M27" s="17" t="n"/>
      <c r="N27" s="1">
        <f>IFERROR(VLOOKUP(E27,Lists!$A$2:$C$9,2,0),0)</f>
        <v/>
      </c>
      <c r="O27" s="1">
        <f>IFERROR(VLOOKUP(E27,Lists!$A$2:$C$9,3,0),0)</f>
        <v/>
      </c>
      <c r="P27" s="1">
        <f>IF(G27="",Setup!$D$5+365,MIN(G27,Setup!$D$5+365))</f>
        <v/>
      </c>
      <c r="Q27" s="1" t="n"/>
      <c r="R27" s="1" t="n"/>
      <c r="S27" s="1" t="n"/>
      <c r="T27" s="1" t="n"/>
      <c r="U27" s="1" t="n"/>
      <c r="V27" s="1" t="n"/>
      <c r="W27" s="1" t="n"/>
    </row>
    <row r="28">
      <c r="A28" s="1" t="n"/>
      <c r="B28" s="61" t="n">
        <v>23</v>
      </c>
      <c r="C28" s="17" t="n"/>
      <c r="D28" s="22" t="n"/>
      <c r="E28" s="22" t="n"/>
      <c r="F28" s="15" t="n"/>
      <c r="G28" s="15" t="n"/>
      <c r="H28" s="21" t="n"/>
      <c r="I28" s="21" t="n"/>
      <c r="J28" s="22" t="n"/>
      <c r="K28" s="22" t="n"/>
      <c r="L28" s="22" t="n"/>
      <c r="M28" s="17" t="n"/>
      <c r="N28" s="1">
        <f>IFERROR(VLOOKUP(E28,Lists!$A$2:$C$9,2,0),0)</f>
        <v/>
      </c>
      <c r="O28" s="1">
        <f>IFERROR(VLOOKUP(E28,Lists!$A$2:$C$9,3,0),0)</f>
        <v/>
      </c>
      <c r="P28" s="1">
        <f>IF(G28="",Setup!$D$5+365,MIN(G28,Setup!$D$5+365))</f>
        <v/>
      </c>
      <c r="Q28" s="1" t="n"/>
      <c r="R28" s="1" t="n"/>
      <c r="S28" s="1" t="n"/>
      <c r="T28" s="1" t="n"/>
      <c r="U28" s="1" t="n"/>
      <c r="V28" s="1" t="n"/>
      <c r="W28" s="1" t="n"/>
    </row>
    <row r="29">
      <c r="A29" s="1" t="n"/>
      <c r="B29" s="61" t="n">
        <v>24</v>
      </c>
      <c r="C29" s="17" t="n"/>
      <c r="D29" s="22" t="n"/>
      <c r="E29" s="22" t="n"/>
      <c r="F29" s="15" t="n"/>
      <c r="G29" s="15" t="n"/>
      <c r="H29" s="21" t="n"/>
      <c r="I29" s="21" t="n"/>
      <c r="J29" s="22" t="n"/>
      <c r="K29" s="22" t="n"/>
      <c r="L29" s="22" t="n"/>
      <c r="M29" s="17" t="n"/>
      <c r="N29" s="1">
        <f>IFERROR(VLOOKUP(E29,Lists!$A$2:$C$9,2,0),0)</f>
        <v/>
      </c>
      <c r="O29" s="1">
        <f>IFERROR(VLOOKUP(E29,Lists!$A$2:$C$9,3,0),0)</f>
        <v/>
      </c>
      <c r="P29" s="1">
        <f>IF(G29="",Setup!$D$5+365,MIN(G29,Setup!$D$5+365))</f>
        <v/>
      </c>
      <c r="Q29" s="1" t="n"/>
      <c r="R29" s="1" t="n"/>
      <c r="S29" s="1" t="n"/>
      <c r="T29" s="1" t="n"/>
      <c r="U29" s="1" t="n"/>
      <c r="V29" s="1" t="n"/>
      <c r="W29" s="1" t="n"/>
    </row>
    <row r="30">
      <c r="A30" s="1" t="n"/>
      <c r="B30" s="61" t="n">
        <v>25</v>
      </c>
      <c r="C30" s="17" t="n"/>
      <c r="D30" s="22" t="n"/>
      <c r="E30" s="22" t="n"/>
      <c r="F30" s="15" t="n"/>
      <c r="G30" s="15" t="n"/>
      <c r="H30" s="21" t="n"/>
      <c r="I30" s="21" t="n"/>
      <c r="J30" s="22" t="n"/>
      <c r="K30" s="22" t="n"/>
      <c r="L30" s="22" t="n"/>
      <c r="M30" s="17" t="n"/>
      <c r="N30" s="1">
        <f>IFERROR(VLOOKUP(E30,Lists!$A$2:$C$9,2,0),0)</f>
        <v/>
      </c>
      <c r="O30" s="1">
        <f>IFERROR(VLOOKUP(E30,Lists!$A$2:$C$9,3,0),0)</f>
        <v/>
      </c>
      <c r="P30" s="1">
        <f>IF(G30="",Setup!$D$5+365,MIN(G30,Setup!$D$5+365))</f>
        <v/>
      </c>
      <c r="Q30" s="1" t="n"/>
      <c r="R30" s="1" t="n"/>
      <c r="S30" s="1" t="n"/>
      <c r="T30" s="1" t="n"/>
      <c r="U30" s="1" t="n"/>
      <c r="V30" s="1" t="n"/>
      <c r="W30" s="1" t="n"/>
    </row>
    <row r="31">
      <c r="A31" s="1" t="n"/>
      <c r="B31" s="61" t="n">
        <v>26</v>
      </c>
      <c r="C31" s="17" t="n"/>
      <c r="D31" s="22" t="n"/>
      <c r="E31" s="22" t="n"/>
      <c r="F31" s="15" t="n"/>
      <c r="G31" s="15" t="n"/>
      <c r="H31" s="21" t="n"/>
      <c r="I31" s="21" t="n"/>
      <c r="J31" s="22" t="n"/>
      <c r="K31" s="22" t="n"/>
      <c r="L31" s="22" t="n"/>
      <c r="M31" s="17" t="n"/>
      <c r="N31" s="1">
        <f>IFERROR(VLOOKUP(E31,Lists!$A$2:$C$9,2,0),0)</f>
        <v/>
      </c>
      <c r="O31" s="1">
        <f>IFERROR(VLOOKUP(E31,Lists!$A$2:$C$9,3,0),0)</f>
        <v/>
      </c>
      <c r="P31" s="1">
        <f>IF(G31="",Setup!$D$5+365,MIN(G31,Setup!$D$5+365))</f>
        <v/>
      </c>
      <c r="Q31" s="1" t="n"/>
      <c r="R31" s="1" t="n"/>
      <c r="S31" s="1" t="n"/>
      <c r="T31" s="1" t="n"/>
      <c r="U31" s="1" t="n"/>
      <c r="V31" s="1" t="n"/>
      <c r="W31" s="1" t="n"/>
    </row>
    <row r="32">
      <c r="A32" s="1" t="n"/>
      <c r="B32" s="61" t="n">
        <v>27</v>
      </c>
      <c r="C32" s="17" t="n"/>
      <c r="D32" s="22" t="n"/>
      <c r="E32" s="22" t="n"/>
      <c r="F32" s="15" t="n"/>
      <c r="G32" s="15" t="n"/>
      <c r="H32" s="21" t="n"/>
      <c r="I32" s="21" t="n"/>
      <c r="J32" s="22" t="n"/>
      <c r="K32" s="22" t="n"/>
      <c r="L32" s="22" t="n"/>
      <c r="M32" s="17" t="n"/>
      <c r="N32" s="1">
        <f>IFERROR(VLOOKUP(E32,Lists!$A$2:$C$9,2,0),0)</f>
        <v/>
      </c>
      <c r="O32" s="1">
        <f>IFERROR(VLOOKUP(E32,Lists!$A$2:$C$9,3,0),0)</f>
        <v/>
      </c>
      <c r="P32" s="1">
        <f>IF(G32="",Setup!$D$5+365,MIN(G32,Setup!$D$5+365))</f>
        <v/>
      </c>
      <c r="Q32" s="1" t="n"/>
      <c r="R32" s="1" t="n"/>
      <c r="S32" s="1" t="n"/>
      <c r="T32" s="1" t="n"/>
      <c r="U32" s="1" t="n"/>
      <c r="V32" s="1" t="n"/>
      <c r="W32" s="1" t="n"/>
    </row>
    <row r="33">
      <c r="A33" s="1" t="n"/>
      <c r="B33" s="61" t="n">
        <v>28</v>
      </c>
      <c r="C33" s="17" t="n"/>
      <c r="D33" s="22" t="n"/>
      <c r="E33" s="22" t="n"/>
      <c r="F33" s="15" t="n"/>
      <c r="G33" s="15" t="n"/>
      <c r="H33" s="21" t="n"/>
      <c r="I33" s="21" t="n"/>
      <c r="J33" s="22" t="n"/>
      <c r="K33" s="22" t="n"/>
      <c r="L33" s="22" t="n"/>
      <c r="M33" s="17" t="n"/>
      <c r="N33" s="1">
        <f>IFERROR(VLOOKUP(E33,Lists!$A$2:$C$9,2,0),0)</f>
        <v/>
      </c>
      <c r="O33" s="1">
        <f>IFERROR(VLOOKUP(E33,Lists!$A$2:$C$9,3,0),0)</f>
        <v/>
      </c>
      <c r="P33" s="1">
        <f>IF(G33="",Setup!$D$5+365,MIN(G33,Setup!$D$5+365))</f>
        <v/>
      </c>
      <c r="Q33" s="1" t="n"/>
      <c r="R33" s="1" t="n"/>
      <c r="S33" s="1" t="n"/>
      <c r="T33" s="1" t="n"/>
      <c r="U33" s="1" t="n"/>
      <c r="V33" s="1" t="n"/>
      <c r="W33" s="1" t="n"/>
    </row>
    <row r="34">
      <c r="A34" s="1" t="n"/>
      <c r="B34" s="61" t="n">
        <v>29</v>
      </c>
      <c r="C34" s="17" t="n"/>
      <c r="D34" s="22" t="n"/>
      <c r="E34" s="22" t="n"/>
      <c r="F34" s="15" t="n"/>
      <c r="G34" s="15" t="n"/>
      <c r="H34" s="21" t="n"/>
      <c r="I34" s="21" t="n"/>
      <c r="J34" s="22" t="n"/>
      <c r="K34" s="22" t="n"/>
      <c r="L34" s="22" t="n"/>
      <c r="M34" s="17" t="n"/>
      <c r="N34" s="1">
        <f>IFERROR(VLOOKUP(E34,Lists!$A$2:$C$9,2,0),0)</f>
        <v/>
      </c>
      <c r="O34" s="1">
        <f>IFERROR(VLOOKUP(E34,Lists!$A$2:$C$9,3,0),0)</f>
        <v/>
      </c>
      <c r="P34" s="1">
        <f>IF(G34="",Setup!$D$5+365,MIN(G34,Setup!$D$5+365))</f>
        <v/>
      </c>
      <c r="Q34" s="1" t="n"/>
      <c r="R34" s="1" t="n"/>
      <c r="S34" s="1" t="n"/>
      <c r="T34" s="1" t="n"/>
      <c r="U34" s="1" t="n"/>
      <c r="V34" s="1" t="n"/>
      <c r="W34" s="1" t="n"/>
    </row>
    <row r="35">
      <c r="A35" s="1" t="n"/>
      <c r="B35" s="61" t="n">
        <v>30</v>
      </c>
      <c r="C35" s="17" t="n"/>
      <c r="D35" s="22" t="n"/>
      <c r="E35" s="22" t="n"/>
      <c r="F35" s="15" t="n"/>
      <c r="G35" s="15" t="n"/>
      <c r="H35" s="21" t="n"/>
      <c r="I35" s="21" t="n"/>
      <c r="J35" s="22" t="n"/>
      <c r="K35" s="22" t="n"/>
      <c r="L35" s="22" t="n"/>
      <c r="M35" s="17" t="n"/>
      <c r="N35" s="1">
        <f>IFERROR(VLOOKUP(E35,Lists!$A$2:$C$9,2,0),0)</f>
        <v/>
      </c>
      <c r="O35" s="1">
        <f>IFERROR(VLOOKUP(E35,Lists!$A$2:$C$9,3,0),0)</f>
        <v/>
      </c>
      <c r="P35" s="1">
        <f>IF(G35="",Setup!$D$5+365,MIN(G35,Setup!$D$5+365))</f>
        <v/>
      </c>
      <c r="Q35" s="1" t="n"/>
      <c r="R35" s="1" t="n"/>
      <c r="S35" s="1" t="n"/>
      <c r="T35" s="1" t="n"/>
      <c r="U35" s="1" t="n"/>
      <c r="V35" s="1" t="n"/>
      <c r="W35" s="1" t="n"/>
    </row>
    <row r="36">
      <c r="A36" s="1" t="n"/>
      <c r="B36" s="61" t="n">
        <v>31</v>
      </c>
      <c r="C36" s="17" t="n"/>
      <c r="D36" s="22" t="n"/>
      <c r="E36" s="22" t="n"/>
      <c r="F36" s="15" t="n"/>
      <c r="G36" s="15" t="n"/>
      <c r="H36" s="21" t="n"/>
      <c r="I36" s="21" t="n"/>
      <c r="J36" s="22" t="n"/>
      <c r="K36" s="22" t="n"/>
      <c r="L36" s="22" t="n"/>
      <c r="M36" s="17" t="n"/>
      <c r="N36" s="1">
        <f>IFERROR(VLOOKUP(E36,Lists!$A$2:$C$9,2,0),0)</f>
        <v/>
      </c>
      <c r="O36" s="1">
        <f>IFERROR(VLOOKUP(E36,Lists!$A$2:$C$9,3,0),0)</f>
        <v/>
      </c>
      <c r="P36" s="1">
        <f>IF(G36="",Setup!$D$5+365,MIN(G36,Setup!$D$5+365))</f>
        <v/>
      </c>
      <c r="Q36" s="1" t="n"/>
      <c r="R36" s="1" t="n"/>
      <c r="S36" s="1" t="n"/>
      <c r="T36" s="1" t="n"/>
      <c r="U36" s="1" t="n"/>
      <c r="V36" s="1" t="n"/>
      <c r="W36" s="1" t="n"/>
    </row>
    <row r="37">
      <c r="A37" s="1" t="n"/>
      <c r="B37" s="61" t="n">
        <v>32</v>
      </c>
      <c r="C37" s="17" t="n"/>
      <c r="D37" s="22" t="n"/>
      <c r="E37" s="22" t="n"/>
      <c r="F37" s="15" t="n"/>
      <c r="G37" s="15" t="n"/>
      <c r="H37" s="21" t="n"/>
      <c r="I37" s="21" t="n"/>
      <c r="J37" s="22" t="n"/>
      <c r="K37" s="22" t="n"/>
      <c r="L37" s="22" t="n"/>
      <c r="M37" s="17" t="n"/>
      <c r="N37" s="1">
        <f>IFERROR(VLOOKUP(E37,Lists!$A$2:$C$9,2,0),0)</f>
        <v/>
      </c>
      <c r="O37" s="1">
        <f>IFERROR(VLOOKUP(E37,Lists!$A$2:$C$9,3,0),0)</f>
        <v/>
      </c>
      <c r="P37" s="1">
        <f>IF(G37="",Setup!$D$5+365,MIN(G37,Setup!$D$5+365))</f>
        <v/>
      </c>
      <c r="Q37" s="1" t="n"/>
      <c r="R37" s="1" t="n"/>
      <c r="S37" s="1" t="n"/>
      <c r="T37" s="1" t="n"/>
      <c r="U37" s="1" t="n"/>
      <c r="V37" s="1" t="n"/>
      <c r="W37" s="1" t="n"/>
    </row>
    <row r="38">
      <c r="A38" s="1" t="n"/>
      <c r="B38" s="61" t="n">
        <v>33</v>
      </c>
      <c r="C38" s="17" t="n"/>
      <c r="D38" s="22" t="n"/>
      <c r="E38" s="22" t="n"/>
      <c r="F38" s="15" t="n"/>
      <c r="G38" s="15" t="n"/>
      <c r="H38" s="21" t="n"/>
      <c r="I38" s="21" t="n"/>
      <c r="J38" s="22" t="n"/>
      <c r="K38" s="22" t="n"/>
      <c r="L38" s="22" t="n"/>
      <c r="M38" s="17" t="n"/>
      <c r="N38" s="1">
        <f>IFERROR(VLOOKUP(E38,Lists!$A$2:$C$9,2,0),0)</f>
        <v/>
      </c>
      <c r="O38" s="1">
        <f>IFERROR(VLOOKUP(E38,Lists!$A$2:$C$9,3,0),0)</f>
        <v/>
      </c>
      <c r="P38" s="1">
        <f>IF(G38="",Setup!$D$5+365,MIN(G38,Setup!$D$5+365))</f>
        <v/>
      </c>
      <c r="Q38" s="1" t="n"/>
      <c r="R38" s="1" t="n"/>
      <c r="S38" s="1" t="n"/>
      <c r="T38" s="1" t="n"/>
      <c r="U38" s="1" t="n"/>
      <c r="V38" s="1" t="n"/>
      <c r="W38" s="1" t="n"/>
    </row>
    <row r="39">
      <c r="A39" s="1" t="n"/>
      <c r="B39" s="61" t="n">
        <v>34</v>
      </c>
      <c r="C39" s="17" t="n"/>
      <c r="D39" s="22" t="n"/>
      <c r="E39" s="22" t="n"/>
      <c r="F39" s="15" t="n"/>
      <c r="G39" s="15" t="n"/>
      <c r="H39" s="21" t="n"/>
      <c r="I39" s="21" t="n"/>
      <c r="J39" s="22" t="n"/>
      <c r="K39" s="22" t="n"/>
      <c r="L39" s="22" t="n"/>
      <c r="M39" s="17" t="n"/>
      <c r="N39" s="1">
        <f>IFERROR(VLOOKUP(E39,Lists!$A$2:$C$9,2,0),0)</f>
        <v/>
      </c>
      <c r="O39" s="1">
        <f>IFERROR(VLOOKUP(E39,Lists!$A$2:$C$9,3,0),0)</f>
        <v/>
      </c>
      <c r="P39" s="1">
        <f>IF(G39="",Setup!$D$5+365,MIN(G39,Setup!$D$5+365))</f>
        <v/>
      </c>
      <c r="Q39" s="1" t="n"/>
      <c r="R39" s="1" t="n"/>
      <c r="S39" s="1" t="n"/>
      <c r="T39" s="1" t="n"/>
      <c r="U39" s="1" t="n"/>
      <c r="V39" s="1" t="n"/>
      <c r="W39" s="1" t="n"/>
    </row>
    <row r="40">
      <c r="A40" s="1" t="n"/>
      <c r="B40" s="61" t="n">
        <v>35</v>
      </c>
      <c r="C40" s="17" t="n"/>
      <c r="D40" s="22" t="n"/>
      <c r="E40" s="22" t="n"/>
      <c r="F40" s="15" t="n"/>
      <c r="G40" s="15" t="n"/>
      <c r="H40" s="21" t="n"/>
      <c r="I40" s="21" t="n"/>
      <c r="J40" s="22" t="n"/>
      <c r="K40" s="22" t="n"/>
      <c r="L40" s="22" t="n"/>
      <c r="M40" s="17" t="n"/>
      <c r="N40" s="1">
        <f>IFERROR(VLOOKUP(E40,Lists!$A$2:$C$9,2,0),0)</f>
        <v/>
      </c>
      <c r="O40" s="1">
        <f>IFERROR(VLOOKUP(E40,Lists!$A$2:$C$9,3,0),0)</f>
        <v/>
      </c>
      <c r="P40" s="1">
        <f>IF(G40="",Setup!$D$5+365,MIN(G40,Setup!$D$5+365))</f>
        <v/>
      </c>
      <c r="Q40" s="1" t="n"/>
      <c r="R40" s="1" t="n"/>
      <c r="S40" s="1" t="n"/>
      <c r="T40" s="1" t="n"/>
      <c r="U40" s="1" t="n"/>
      <c r="V40" s="1" t="n"/>
      <c r="W40" s="1" t="n"/>
    </row>
    <row r="41">
      <c r="A41" s="1" t="n"/>
      <c r="B41" s="61" t="n">
        <v>36</v>
      </c>
      <c r="C41" s="17" t="n"/>
      <c r="D41" s="22" t="n"/>
      <c r="E41" s="22" t="n"/>
      <c r="F41" s="15" t="n"/>
      <c r="G41" s="15" t="n"/>
      <c r="H41" s="21" t="n"/>
      <c r="I41" s="21" t="n"/>
      <c r="J41" s="22" t="n"/>
      <c r="K41" s="22" t="n"/>
      <c r="L41" s="22" t="n"/>
      <c r="M41" s="17" t="n"/>
      <c r="N41" s="1">
        <f>IFERROR(VLOOKUP(E41,Lists!$A$2:$C$9,2,0),0)</f>
        <v/>
      </c>
      <c r="O41" s="1">
        <f>IFERROR(VLOOKUP(E41,Lists!$A$2:$C$9,3,0),0)</f>
        <v/>
      </c>
      <c r="P41" s="1">
        <f>IF(G41="",Setup!$D$5+365,MIN(G41,Setup!$D$5+365))</f>
        <v/>
      </c>
      <c r="Q41" s="1" t="n"/>
      <c r="R41" s="1" t="n"/>
      <c r="S41" s="1" t="n"/>
      <c r="T41" s="1" t="n"/>
      <c r="U41" s="1" t="n"/>
      <c r="V41" s="1" t="n"/>
      <c r="W41" s="1" t="n"/>
    </row>
    <row r="42">
      <c r="A42" s="1" t="n"/>
      <c r="B42" s="61" t="n">
        <v>37</v>
      </c>
      <c r="C42" s="17" t="n"/>
      <c r="D42" s="22" t="n"/>
      <c r="E42" s="22" t="n"/>
      <c r="F42" s="15" t="n"/>
      <c r="G42" s="15" t="n"/>
      <c r="H42" s="21" t="n"/>
      <c r="I42" s="21" t="n"/>
      <c r="J42" s="22" t="n"/>
      <c r="K42" s="22" t="n"/>
      <c r="L42" s="22" t="n"/>
      <c r="M42" s="17" t="n"/>
      <c r="N42" s="1">
        <f>IFERROR(VLOOKUP(E42,Lists!$A$2:$C$9,2,0),0)</f>
        <v/>
      </c>
      <c r="O42" s="1">
        <f>IFERROR(VLOOKUP(E42,Lists!$A$2:$C$9,3,0),0)</f>
        <v/>
      </c>
      <c r="P42" s="1">
        <f>IF(G42="",Setup!$D$5+365,MIN(G42,Setup!$D$5+365))</f>
        <v/>
      </c>
      <c r="Q42" s="1" t="n"/>
      <c r="R42" s="1" t="n"/>
      <c r="S42" s="1" t="n"/>
      <c r="T42" s="1" t="n"/>
      <c r="U42" s="1" t="n"/>
      <c r="V42" s="1" t="n"/>
      <c r="W42" s="1" t="n"/>
    </row>
    <row r="43">
      <c r="A43" s="1" t="n"/>
      <c r="B43" s="61" t="n">
        <v>38</v>
      </c>
      <c r="C43" s="17" t="n"/>
      <c r="D43" s="22" t="n"/>
      <c r="E43" s="22" t="n"/>
      <c r="F43" s="15" t="n"/>
      <c r="G43" s="15" t="n"/>
      <c r="H43" s="21" t="n"/>
      <c r="I43" s="21" t="n"/>
      <c r="J43" s="22" t="n"/>
      <c r="K43" s="22" t="n"/>
      <c r="L43" s="22" t="n"/>
      <c r="M43" s="17" t="n"/>
      <c r="N43" s="1">
        <f>IFERROR(VLOOKUP(E43,Lists!$A$2:$C$9,2,0),0)</f>
        <v/>
      </c>
      <c r="O43" s="1">
        <f>IFERROR(VLOOKUP(E43,Lists!$A$2:$C$9,3,0),0)</f>
        <v/>
      </c>
      <c r="P43" s="1">
        <f>IF(G43="",Setup!$D$5+365,MIN(G43,Setup!$D$5+365))</f>
        <v/>
      </c>
      <c r="Q43" s="1" t="n"/>
      <c r="R43" s="1" t="n"/>
      <c r="S43" s="1" t="n"/>
      <c r="T43" s="1" t="n"/>
      <c r="U43" s="1" t="n"/>
      <c r="V43" s="1" t="n"/>
      <c r="W43" s="1" t="n"/>
    </row>
    <row r="44">
      <c r="A44" s="1" t="n"/>
      <c r="B44" s="61" t="n">
        <v>39</v>
      </c>
      <c r="C44" s="17" t="n"/>
      <c r="D44" s="22" t="n"/>
      <c r="E44" s="22" t="n"/>
      <c r="F44" s="15" t="n"/>
      <c r="G44" s="15" t="n"/>
      <c r="H44" s="21" t="n"/>
      <c r="I44" s="21" t="n"/>
      <c r="J44" s="22" t="n"/>
      <c r="K44" s="22" t="n"/>
      <c r="L44" s="22" t="n"/>
      <c r="M44" s="17" t="n"/>
      <c r="N44" s="1">
        <f>IFERROR(VLOOKUP(E44,Lists!$A$2:$C$9,2,0),0)</f>
        <v/>
      </c>
      <c r="O44" s="1">
        <f>IFERROR(VLOOKUP(E44,Lists!$A$2:$C$9,3,0),0)</f>
        <v/>
      </c>
      <c r="P44" s="1">
        <f>IF(G44="",Setup!$D$5+365,MIN(G44,Setup!$D$5+365))</f>
        <v/>
      </c>
      <c r="Q44" s="1" t="n"/>
      <c r="R44" s="1" t="n"/>
      <c r="S44" s="1" t="n"/>
      <c r="T44" s="1" t="n"/>
      <c r="U44" s="1" t="n"/>
      <c r="V44" s="1" t="n"/>
      <c r="W44" s="1" t="n"/>
    </row>
    <row r="45">
      <c r="A45" s="1" t="n"/>
      <c r="B45" s="61" t="n">
        <v>40</v>
      </c>
      <c r="C45" s="17" t="n"/>
      <c r="D45" s="22" t="n"/>
      <c r="E45" s="22" t="n"/>
      <c r="F45" s="15" t="n"/>
      <c r="G45" s="15" t="n"/>
      <c r="H45" s="21" t="n"/>
      <c r="I45" s="21" t="n"/>
      <c r="J45" s="22" t="n"/>
      <c r="K45" s="22" t="n"/>
      <c r="L45" s="22" t="n"/>
      <c r="M45" s="17" t="n"/>
      <c r="N45" s="1">
        <f>IFERROR(VLOOKUP(E45,Lists!$A$2:$C$9,2,0),0)</f>
        <v/>
      </c>
      <c r="O45" s="1">
        <f>IFERROR(VLOOKUP(E45,Lists!$A$2:$C$9,3,0),0)</f>
        <v/>
      </c>
      <c r="P45" s="1">
        <f>IF(G45="",Setup!$D$5+365,MIN(G45,Setup!$D$5+365))</f>
        <v/>
      </c>
      <c r="Q45" s="1" t="n"/>
      <c r="R45" s="1" t="n"/>
      <c r="S45" s="1" t="n"/>
      <c r="T45" s="1" t="n"/>
      <c r="U45" s="1" t="n"/>
      <c r="V45" s="1" t="n"/>
      <c r="W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</row>
  </sheetData>
  <mergeCells count="2">
    <mergeCell ref="B4:M4"/>
    <mergeCell ref="B2:J2"/>
  </mergeCells>
  <dataValidations count="5">
    <dataValidation sqref="D6:D45" showDropDown="0" showInputMessage="0" showErrorMessage="0" allowBlank="1" error="Please pick a value from the list." type="list" errorStyle="warning">
      <formula1>=Setup!$F$6:$F$15</formula1>
    </dataValidation>
    <dataValidation sqref="E6:E45" showDropDown="0" showInputMessage="0" showErrorMessage="0" allowBlank="1" error="Please pick a value from the list." type="list" errorStyle="warning">
      <formula1>=Lists!$A$2:$A$9</formula1>
    </dataValidation>
    <dataValidation sqref="J6:J45" showDropDown="0" showInputMessage="0" showErrorMessage="0" allowBlank="1" error="Please pick a value from the list." type="list" errorStyle="warning">
      <formula1>=Setup!$L$6:$L$9</formula1>
    </dataValidation>
    <dataValidation sqref="K6:K45" showDropDown="0" showInputMessage="0" showErrorMessage="0" allowBlank="1" error="Please pick a value from the list." type="list" errorStyle="warning">
      <formula1>=Lists!$D$2</formula1>
    </dataValidation>
    <dataValidation sqref="L6:L45" showDropDown="0" showInputMessage="0" showErrorMessage="0" allowBlank="1" error="Please pick a value from the list." type="list" errorStyle="warning">
      <formula1>=Setup!$H$6:$H$15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AB4FF"/>
    <outlinePr summaryBelow="1" summaryRight="1"/>
    <pageSetUpPr/>
  </sheetPr>
  <dimension ref="B2:P505"/>
  <sheetViews>
    <sheetView showGridLines="0" zoomScale="85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" min="1" max="1"/>
    <col width="5" customWidth="1" style="1" min="2" max="2"/>
    <col width="28" customWidth="1" style="1" min="3" max="3"/>
    <col width="12" customWidth="1" style="1" min="4" max="4"/>
    <col width="11" customWidth="1" style="1" min="5" max="5"/>
    <col width="9" customWidth="1" style="1" min="6" max="6"/>
    <col width="10" customWidth="1" style="1" min="7" max="7"/>
    <col width="10" customWidth="1" style="1" min="8" max="8"/>
    <col width="12" customWidth="1" style="1" min="9" max="9"/>
    <col width="13" customWidth="1" style="1" min="10" max="10"/>
    <col width="10" customWidth="1" style="1" min="11" max="11"/>
    <col width="11" customWidth="1" style="1" min="12" max="12"/>
    <col width="10" customWidth="1" style="1" min="13" max="13"/>
    <col width="13" customWidth="1" style="1" min="14" max="14"/>
    <col width="12" customWidth="1" style="1" min="15" max="15"/>
    <col width="28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</cols>
  <sheetData>
    <row r="2">
      <c r="B2" s="59" t="inlineStr">
        <is>
          <t>VARIABLE TASKS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B3" s="62" t="inlineStr">
        <is>
          <t>One-off tasks — type them here. Pink = overdue · purple = due today · grey = done.</t>
        </is>
      </c>
    </row>
    <row r="4">
      <c r="B4" s="10" t="inlineStr">
        <is>
          <t>TASK DETAILS</t>
        </is>
      </c>
      <c r="C4" s="53" t="n"/>
      <c r="D4" s="53" t="n"/>
      <c r="E4" s="8" t="inlineStr">
        <is>
          <t>SCHEDULE</t>
        </is>
      </c>
      <c r="F4" s="9" t="n"/>
      <c r="G4" s="9" t="n"/>
      <c r="H4" s="9" t="n"/>
      <c r="I4" s="9" t="n"/>
      <c r="J4" s="11" t="inlineStr">
        <is>
          <t>STATUS &amp; PROGRESS</t>
        </is>
      </c>
      <c r="K4" s="25" t="n"/>
      <c r="L4" s="13" t="inlineStr">
        <is>
          <t>EISENHOWER MATRIX</t>
        </is>
      </c>
      <c r="M4" s="27" t="n"/>
      <c r="N4" s="27" t="n"/>
      <c r="O4" s="27" t="n"/>
      <c r="P4" s="63" t="inlineStr">
        <is>
          <t>NOTES</t>
        </is>
      </c>
    </row>
    <row r="5">
      <c r="B5" s="60" t="inlineStr">
        <is>
          <t>#</t>
        </is>
      </c>
      <c r="C5" s="60" t="inlineStr">
        <is>
          <t>TASK</t>
        </is>
      </c>
      <c r="D5" s="60" t="inlineStr">
        <is>
          <t>CATEGORY</t>
        </is>
      </c>
      <c r="E5" s="60" t="inlineStr">
        <is>
          <t>DUE DATE</t>
        </is>
      </c>
      <c r="F5" s="60" t="inlineStr">
        <is>
          <t>DAYS LEFT</t>
        </is>
      </c>
      <c r="G5" s="60" t="inlineStr">
        <is>
          <t>START</t>
        </is>
      </c>
      <c r="H5" s="60" t="inlineStr">
        <is>
          <t>END</t>
        </is>
      </c>
      <c r="I5" s="60" t="inlineStr">
        <is>
          <t>DURATION</t>
        </is>
      </c>
      <c r="J5" s="60" t="inlineStr">
        <is>
          <t>STATUS</t>
        </is>
      </c>
      <c r="K5" s="60" t="inlineStr">
        <is>
          <t>PROGRESS</t>
        </is>
      </c>
      <c r="L5" s="60" t="inlineStr">
        <is>
          <t>PRIORITY</t>
        </is>
      </c>
      <c r="M5" s="60" t="inlineStr">
        <is>
          <t>IMPORTANT</t>
        </is>
      </c>
      <c r="N5" s="60" t="inlineStr">
        <is>
          <t>DELEGATE TO</t>
        </is>
      </c>
      <c r="O5" s="60" t="inlineStr">
        <is>
          <t>DECISION</t>
        </is>
      </c>
      <c r="P5" s="60" t="inlineStr">
        <is>
          <t>NOTES</t>
        </is>
      </c>
    </row>
    <row r="6">
      <c r="B6" s="64" t="n">
        <v>1</v>
      </c>
      <c r="C6" s="65" t="inlineStr">
        <is>
          <t>Respond to emails</t>
        </is>
      </c>
      <c r="D6" s="66" t="inlineStr">
        <is>
          <t>Business</t>
        </is>
      </c>
      <c r="E6" s="67" t="n">
        <v>46285</v>
      </c>
      <c r="F6" s="68">
        <f>IF(OR(C6="",E6=""),"",E6-Setup!$D$7)</f>
        <v/>
      </c>
      <c r="G6" s="69" t="n">
        <v>0.375</v>
      </c>
      <c r="H6" s="69" t="n">
        <v>0.4479166666666667</v>
      </c>
      <c r="I6" s="36">
        <f>IF(OR(G6="",H6=""),"",TRIM(IF(HOUR(H6-G6)&gt;0,HOUR(H6-G6)&amp;" hr ","")&amp;IF(MINUTE(H6-G6)&gt;0,MINUTE(H6-G6)&amp;" min","")))</f>
        <v/>
      </c>
      <c r="J6" s="66" t="inlineStr">
        <is>
          <t>Not Started</t>
        </is>
      </c>
      <c r="K6" s="70" t="n"/>
      <c r="L6" s="66" t="inlineStr">
        <is>
          <t>1-Urgent</t>
        </is>
      </c>
      <c r="M6" s="66" t="inlineStr"/>
      <c r="N6" s="66" t="inlineStr">
        <is>
          <t>Me</t>
        </is>
      </c>
      <c r="O6" s="36">
        <f>IF(C6="","",IF(AND(OR(L6="1-Urgent",L6="2-High"),M6="✓"),"DO FIRST",IF(M6="✓","SCHEDULE",IF(OR(L6="1-Urgent",L6="2-High"),"DELEGATE","DELETE"))))</f>
        <v/>
      </c>
      <c r="P6" s="65" t="inlineStr"/>
    </row>
    <row r="7">
      <c r="B7" s="71" t="n">
        <v>2</v>
      </c>
      <c r="C7" s="65" t="inlineStr">
        <is>
          <t>Conduct market research</t>
        </is>
      </c>
      <c r="D7" s="66" t="inlineStr">
        <is>
          <t>Business</t>
        </is>
      </c>
      <c r="E7" s="67" t="n">
        <v>46286</v>
      </c>
      <c r="F7" s="72">
        <f>IF(OR(C7="",E7=""),"",E7-Setup!$D$7)</f>
        <v/>
      </c>
      <c r="G7" s="69" t="n">
        <v>0.6875</v>
      </c>
      <c r="H7" s="69" t="n">
        <v>0.7291666666666666</v>
      </c>
      <c r="I7" s="73">
        <f>IF(OR(G7="",H7=""),"",TRIM(IF(HOUR(H7-G7)&gt;0,HOUR(H7-G7)&amp;" hr ","")&amp;IF(MINUTE(H7-G7)&gt;0,MINUTE(H7-G7)&amp;" min","")))</f>
        <v/>
      </c>
      <c r="J7" s="66" t="inlineStr">
        <is>
          <t>Not Started</t>
        </is>
      </c>
      <c r="K7" s="70" t="n"/>
      <c r="L7" s="66" t="inlineStr">
        <is>
          <t>2-High</t>
        </is>
      </c>
      <c r="M7" s="66" t="inlineStr"/>
      <c r="N7" s="66" t="inlineStr">
        <is>
          <t>Me</t>
        </is>
      </c>
      <c r="O7" s="73">
        <f>IF(C7="","",IF(AND(OR(L7="1-Urgent",L7="2-High"),M7="✓"),"DO FIRST",IF(M7="✓","SCHEDULE",IF(OR(L7="1-Urgent",L7="2-High"),"DELEGATE","DELETE"))))</f>
        <v/>
      </c>
      <c r="P7" s="65" t="inlineStr"/>
    </row>
    <row r="8">
      <c r="B8" s="64" t="n">
        <v>3</v>
      </c>
      <c r="C8" s="65" t="inlineStr">
        <is>
          <t>Organize project files</t>
        </is>
      </c>
      <c r="D8" s="66" t="inlineStr">
        <is>
          <t>Business</t>
        </is>
      </c>
      <c r="E8" s="67" t="n">
        <v>46287</v>
      </c>
      <c r="F8" s="68">
        <f>IF(OR(C8="",E8=""),"",E8-Setup!$D$7)</f>
        <v/>
      </c>
      <c r="G8" s="69" t="n">
        <v>0.5625</v>
      </c>
      <c r="H8" s="69" t="n">
        <v>0.6458333333333334</v>
      </c>
      <c r="I8" s="36">
        <f>IF(OR(G8="",H8=""),"",TRIM(IF(HOUR(H8-G8)&gt;0,HOUR(H8-G8)&amp;" hr ","")&amp;IF(MINUTE(H8-G8)&gt;0,MINUTE(H8-G8)&amp;" min","")))</f>
        <v/>
      </c>
      <c r="J8" s="66" t="inlineStr">
        <is>
          <t>Done</t>
        </is>
      </c>
      <c r="K8" s="70" t="n">
        <v>1</v>
      </c>
      <c r="L8" s="66" t="inlineStr">
        <is>
          <t>2-High</t>
        </is>
      </c>
      <c r="M8" s="66" t="inlineStr"/>
      <c r="N8" s="66" t="inlineStr">
        <is>
          <t>Rebecca</t>
        </is>
      </c>
      <c r="O8" s="36">
        <f>IF(C8="","",IF(AND(OR(L8="1-Urgent",L8="2-High"),M8="✓"),"DO FIRST",IF(M8="✓","SCHEDULE",IF(OR(L8="1-Urgent",L8="2-High"),"DELEGATE","DELETE"))))</f>
        <v/>
      </c>
      <c r="P8" s="65" t="inlineStr"/>
    </row>
    <row r="9">
      <c r="B9" s="71" t="n">
        <v>4</v>
      </c>
      <c r="C9" s="65" t="inlineStr">
        <is>
          <t>Brief Amanda</t>
        </is>
      </c>
      <c r="D9" s="66" t="inlineStr">
        <is>
          <t>Business</t>
        </is>
      </c>
      <c r="E9" s="67" t="n">
        <v>46288</v>
      </c>
      <c r="F9" s="72">
        <f>IF(OR(C9="",E9=""),"",E9-Setup!$D$7)</f>
        <v/>
      </c>
      <c r="G9" s="69" t="n">
        <v>0.625</v>
      </c>
      <c r="H9" s="69" t="n">
        <v>0.65625</v>
      </c>
      <c r="I9" s="73">
        <f>IF(OR(G9="",H9=""),"",TRIM(IF(HOUR(H9-G9)&gt;0,HOUR(H9-G9)&amp;" hr ","")&amp;IF(MINUTE(H9-G9)&gt;0,MINUTE(H9-G9)&amp;" min","")))</f>
        <v/>
      </c>
      <c r="J9" s="66" t="inlineStr">
        <is>
          <t>Done</t>
        </is>
      </c>
      <c r="K9" s="70" t="n">
        <v>1</v>
      </c>
      <c r="L9" s="66" t="inlineStr">
        <is>
          <t>3-Medium</t>
        </is>
      </c>
      <c r="M9" s="66" t="inlineStr">
        <is>
          <t>✓</t>
        </is>
      </c>
      <c r="N9" s="66" t="inlineStr">
        <is>
          <t>Tony</t>
        </is>
      </c>
      <c r="O9" s="73">
        <f>IF(C9="","",IF(AND(OR(L9="1-Urgent",L9="2-High"),M9="✓"),"DO FIRST",IF(M9="✓","SCHEDULE",IF(OR(L9="1-Urgent",L9="2-High"),"DELEGATE","DELETE"))))</f>
        <v/>
      </c>
      <c r="P9" s="65" t="inlineStr"/>
    </row>
    <row r="10">
      <c r="B10" s="64" t="n">
        <v>5</v>
      </c>
      <c r="C10" s="65" t="inlineStr">
        <is>
          <t>Track weekly goals</t>
        </is>
      </c>
      <c r="D10" s="66" t="inlineStr">
        <is>
          <t>Personal</t>
        </is>
      </c>
      <c r="E10" s="67" t="n">
        <v>46290</v>
      </c>
      <c r="F10" s="68">
        <f>IF(OR(C10="",E10=""),"",E10-Setup!$D$7)</f>
        <v/>
      </c>
      <c r="G10" s="69" t="n">
        <v>0.4791666666666667</v>
      </c>
      <c r="H10" s="69" t="n">
        <v>0.5625</v>
      </c>
      <c r="I10" s="36">
        <f>IF(OR(G10="",H10=""),"",TRIM(IF(HOUR(H10-G10)&gt;0,HOUR(H10-G10)&amp;" hr ","")&amp;IF(MINUTE(H10-G10)&gt;0,MINUTE(H10-G10)&amp;" min","")))</f>
        <v/>
      </c>
      <c r="J10" s="66" t="inlineStr">
        <is>
          <t>In Progress</t>
        </is>
      </c>
      <c r="K10" s="70" t="n">
        <v>0.8</v>
      </c>
      <c r="L10" s="66" t="inlineStr">
        <is>
          <t>2-High</t>
        </is>
      </c>
      <c r="M10" s="66" t="inlineStr">
        <is>
          <t>✓</t>
        </is>
      </c>
      <c r="N10" s="66" t="inlineStr">
        <is>
          <t>Me</t>
        </is>
      </c>
      <c r="O10" s="36">
        <f>IF(C10="","",IF(AND(OR(L10="1-Urgent",L10="2-High"),M10="✓"),"DO FIRST",IF(M10="✓","SCHEDULE",IF(OR(L10="1-Urgent",L10="2-High"),"DELEGATE","DELETE"))))</f>
        <v/>
      </c>
      <c r="P10" s="65" t="inlineStr"/>
    </row>
    <row r="11">
      <c r="B11" s="71" t="n">
        <v>6</v>
      </c>
      <c r="C11" s="65" t="inlineStr">
        <is>
          <t>Coffee with Alex</t>
        </is>
      </c>
      <c r="D11" s="66" t="inlineStr">
        <is>
          <t>Social</t>
        </is>
      </c>
      <c r="E11" s="67" t="n">
        <v>46291</v>
      </c>
      <c r="F11" s="72">
        <f>IF(OR(C11="",E11=""),"",E11-Setup!$D$7)</f>
        <v/>
      </c>
      <c r="G11" s="69" t="n"/>
      <c r="H11" s="69" t="n"/>
      <c r="I11" s="73">
        <f>IF(OR(G11="",H11=""),"",TRIM(IF(HOUR(H11-G11)&gt;0,HOUR(H11-G11)&amp;" hr ","")&amp;IF(MINUTE(H11-G11)&gt;0,MINUTE(H11-G11)&amp;" min","")))</f>
        <v/>
      </c>
      <c r="J11" s="66" t="inlineStr">
        <is>
          <t>Done</t>
        </is>
      </c>
      <c r="K11" s="70" t="n">
        <v>1</v>
      </c>
      <c r="L11" s="66" t="inlineStr">
        <is>
          <t>2-High</t>
        </is>
      </c>
      <c r="M11" s="66" t="inlineStr">
        <is>
          <t>✓</t>
        </is>
      </c>
      <c r="N11" s="66" t="inlineStr">
        <is>
          <t>Rebecca</t>
        </is>
      </c>
      <c r="O11" s="73">
        <f>IF(C11="","",IF(AND(OR(L11="1-Urgent",L11="2-High"),M11="✓"),"DO FIRST",IF(M11="✓","SCHEDULE",IF(OR(L11="1-Urgent",L11="2-High"),"DELEGATE","DELETE"))))</f>
        <v/>
      </c>
      <c r="P11" s="65" t="inlineStr"/>
    </row>
    <row r="12">
      <c r="B12" s="64" t="n">
        <v>7</v>
      </c>
      <c r="C12" s="65" t="inlineStr">
        <is>
          <t>Declutter desk</t>
        </is>
      </c>
      <c r="D12" s="66" t="inlineStr">
        <is>
          <t>Personal</t>
        </is>
      </c>
      <c r="E12" s="67" t="n">
        <v>46292</v>
      </c>
      <c r="F12" s="68">
        <f>IF(OR(C12="",E12=""),"",E12-Setup!$D$7)</f>
        <v/>
      </c>
      <c r="G12" s="69" t="n">
        <v>0.6875</v>
      </c>
      <c r="H12" s="69" t="n">
        <v>0.7708333333333334</v>
      </c>
      <c r="I12" s="36">
        <f>IF(OR(G12="",H12=""),"",TRIM(IF(HOUR(H12-G12)&gt;0,HOUR(H12-G12)&amp;" hr ","")&amp;IF(MINUTE(H12-G12)&gt;0,MINUTE(H12-G12)&amp;" min","")))</f>
        <v/>
      </c>
      <c r="J12" s="66" t="inlineStr">
        <is>
          <t>Not Started</t>
        </is>
      </c>
      <c r="K12" s="70" t="n"/>
      <c r="L12" s="66" t="inlineStr">
        <is>
          <t>3-Medium</t>
        </is>
      </c>
      <c r="M12" s="66" t="inlineStr"/>
      <c r="N12" s="66" t="inlineStr">
        <is>
          <t>Rebecca</t>
        </is>
      </c>
      <c r="O12" s="36">
        <f>IF(C12="","",IF(AND(OR(L12="1-Urgent",L12="2-High"),M12="✓"),"DO FIRST",IF(M12="✓","SCHEDULE",IF(OR(L12="1-Urgent",L12="2-High"),"DELEGATE","DELETE"))))</f>
        <v/>
      </c>
      <c r="P12" s="65" t="inlineStr"/>
    </row>
    <row r="13">
      <c r="B13" s="71" t="n">
        <v>8</v>
      </c>
      <c r="C13" s="65" t="inlineStr">
        <is>
          <t>Review client feedback</t>
        </is>
      </c>
      <c r="D13" s="66" t="inlineStr">
        <is>
          <t>Business</t>
        </is>
      </c>
      <c r="E13" s="67" t="n">
        <v>46294</v>
      </c>
      <c r="F13" s="72">
        <f>IF(OR(C13="",E13=""),"",E13-Setup!$D$7)</f>
        <v/>
      </c>
      <c r="G13" s="69" t="n">
        <v>0.5416666666666666</v>
      </c>
      <c r="H13" s="69" t="n">
        <v>0.6145833333333334</v>
      </c>
      <c r="I13" s="73">
        <f>IF(OR(G13="",H13=""),"",TRIM(IF(HOUR(H13-G13)&gt;0,HOUR(H13-G13)&amp;" hr ","")&amp;IF(MINUTE(H13-G13)&gt;0,MINUTE(H13-G13)&amp;" min","")))</f>
        <v/>
      </c>
      <c r="J13" s="66" t="inlineStr">
        <is>
          <t>Not Started</t>
        </is>
      </c>
      <c r="K13" s="70" t="n"/>
      <c r="L13" s="66" t="inlineStr">
        <is>
          <t>2-High</t>
        </is>
      </c>
      <c r="M13" s="66" t="inlineStr"/>
      <c r="N13" s="66" t="inlineStr">
        <is>
          <t>Jamie</t>
        </is>
      </c>
      <c r="O13" s="73">
        <f>IF(C13="","",IF(AND(OR(L13="1-Urgent",L13="2-High"),M13="✓"),"DO FIRST",IF(M13="✓","SCHEDULE",IF(OR(L13="1-Urgent",L13="2-High"),"DELEGATE","DELETE"))))</f>
        <v/>
      </c>
      <c r="P13" s="65" t="inlineStr"/>
    </row>
    <row r="14">
      <c r="B14" s="64" t="n">
        <v>9</v>
      </c>
      <c r="C14" s="65" t="inlineStr">
        <is>
          <t>Analyze sales data</t>
        </is>
      </c>
      <c r="D14" s="66" t="inlineStr">
        <is>
          <t>Business</t>
        </is>
      </c>
      <c r="E14" s="67" t="n">
        <v>46295</v>
      </c>
      <c r="F14" s="68">
        <f>IF(OR(C14="",E14=""),"",E14-Setup!$D$7)</f>
        <v/>
      </c>
      <c r="G14" s="69" t="n">
        <v>0.5416666666666666</v>
      </c>
      <c r="H14" s="69" t="n">
        <v>0.6145833333333334</v>
      </c>
      <c r="I14" s="36">
        <f>IF(OR(G14="",H14=""),"",TRIM(IF(HOUR(H14-G14)&gt;0,HOUR(H14-G14)&amp;" hr ","")&amp;IF(MINUTE(H14-G14)&gt;0,MINUTE(H14-G14)&amp;" min","")))</f>
        <v/>
      </c>
      <c r="J14" s="66" t="n"/>
      <c r="K14" s="70" t="n"/>
      <c r="L14" s="66" t="inlineStr">
        <is>
          <t>3-Medium</t>
        </is>
      </c>
      <c r="M14" s="66" t="inlineStr">
        <is>
          <t>✓</t>
        </is>
      </c>
      <c r="N14" s="66" t="inlineStr">
        <is>
          <t>Me</t>
        </is>
      </c>
      <c r="O14" s="36">
        <f>IF(C14="","",IF(AND(OR(L14="1-Urgent",L14="2-High"),M14="✓"),"DO FIRST",IF(M14="✓","SCHEDULE",IF(OR(L14="1-Urgent",L14="2-High"),"DELEGATE","DELETE"))))</f>
        <v/>
      </c>
      <c r="P14" s="65" t="inlineStr"/>
    </row>
    <row r="15">
      <c r="B15" s="71" t="n">
        <v>10</v>
      </c>
      <c r="C15" s="65" t="inlineStr">
        <is>
          <t>Take Sam to Dentist</t>
        </is>
      </c>
      <c r="D15" s="66" t="inlineStr">
        <is>
          <t>Family</t>
        </is>
      </c>
      <c r="E15" s="67" t="n">
        <v>46296</v>
      </c>
      <c r="F15" s="72">
        <f>IF(OR(C15="",E15=""),"",E15-Setup!$D$7)</f>
        <v/>
      </c>
      <c r="G15" s="69" t="n">
        <v>0.4791666666666667</v>
      </c>
      <c r="H15" s="69" t="n">
        <v>0.4791666666666667</v>
      </c>
      <c r="I15" s="73">
        <f>IF(OR(G15="",H15=""),"",TRIM(IF(HOUR(H15-G15)&gt;0,HOUR(H15-G15)&amp;" hr ","")&amp;IF(MINUTE(H15-G15)&gt;0,MINUTE(H15-G15)&amp;" min","")))</f>
        <v/>
      </c>
      <c r="J15" s="66" t="inlineStr">
        <is>
          <t>In Progress</t>
        </is>
      </c>
      <c r="K15" s="70" t="n">
        <v>0.25</v>
      </c>
      <c r="L15" s="66" t="inlineStr">
        <is>
          <t>4-Low</t>
        </is>
      </c>
      <c r="M15" s="66" t="inlineStr">
        <is>
          <t>✓</t>
        </is>
      </c>
      <c r="N15" s="66" t="inlineStr">
        <is>
          <t>Me</t>
        </is>
      </c>
      <c r="O15" s="73">
        <f>IF(C15="","",IF(AND(OR(L15="1-Urgent",L15="2-High"),M15="✓"),"DO FIRST",IF(M15="✓","SCHEDULE",IF(OR(L15="1-Urgent",L15="2-High"),"DELEGATE","DELETE"))))</f>
        <v/>
      </c>
      <c r="P15" s="65" t="inlineStr"/>
    </row>
    <row r="16">
      <c r="B16" s="64" t="n">
        <v>11</v>
      </c>
      <c r="C16" s="65" t="inlineStr">
        <is>
          <t>Thyroid Check</t>
        </is>
      </c>
      <c r="D16" s="66" t="inlineStr">
        <is>
          <t>Health</t>
        </is>
      </c>
      <c r="E16" s="67" t="n">
        <v>46298</v>
      </c>
      <c r="F16" s="68">
        <f>IF(OR(C16="",E16=""),"",E16-Setup!$D$7)</f>
        <v/>
      </c>
      <c r="G16" s="69" t="n">
        <v>0.4375</v>
      </c>
      <c r="H16" s="69" t="n">
        <v>0.5208333333333334</v>
      </c>
      <c r="I16" s="36">
        <f>IF(OR(G16="",H16=""),"",TRIM(IF(HOUR(H16-G16)&gt;0,HOUR(H16-G16)&amp;" hr ","")&amp;IF(MINUTE(H16-G16)&gt;0,MINUTE(H16-G16)&amp;" min","")))</f>
        <v/>
      </c>
      <c r="J16" s="66" t="inlineStr">
        <is>
          <t>Not Started</t>
        </is>
      </c>
      <c r="K16" s="70" t="n"/>
      <c r="L16" s="66" t="inlineStr">
        <is>
          <t>1-Urgent</t>
        </is>
      </c>
      <c r="M16" s="66" t="inlineStr">
        <is>
          <t>✓</t>
        </is>
      </c>
      <c r="N16" s="66" t="inlineStr">
        <is>
          <t>Jamie</t>
        </is>
      </c>
      <c r="O16" s="36">
        <f>IF(C16="","",IF(AND(OR(L16="1-Urgent",L16="2-High"),M16="✓"),"DO FIRST",IF(M16="✓","SCHEDULE",IF(OR(L16="1-Urgent",L16="2-High"),"DELEGATE","DELETE"))))</f>
        <v/>
      </c>
      <c r="P16" s="65" t="inlineStr"/>
    </row>
    <row r="17">
      <c r="B17" s="71" t="n">
        <v>12</v>
      </c>
      <c r="C17" s="65" t="inlineStr">
        <is>
          <t>Design product logo</t>
        </is>
      </c>
      <c r="D17" s="66" t="inlineStr">
        <is>
          <t>Business</t>
        </is>
      </c>
      <c r="E17" s="67" t="n">
        <v>46299</v>
      </c>
      <c r="F17" s="72">
        <f>IF(OR(C17="",E17=""),"",E17-Setup!$D$7)</f>
        <v/>
      </c>
      <c r="G17" s="69" t="n">
        <v>0.5625</v>
      </c>
      <c r="H17" s="69" t="n">
        <v>0.6041666666666666</v>
      </c>
      <c r="I17" s="73">
        <f>IF(OR(G17="",H17=""),"",TRIM(IF(HOUR(H17-G17)&gt;0,HOUR(H17-G17)&amp;" hr ","")&amp;IF(MINUTE(H17-G17)&gt;0,MINUTE(H17-G17)&amp;" min","")))</f>
        <v/>
      </c>
      <c r="J17" s="66" t="inlineStr">
        <is>
          <t>Not Started</t>
        </is>
      </c>
      <c r="K17" s="70" t="n"/>
      <c r="L17" s="66" t="inlineStr">
        <is>
          <t>1-Urgent</t>
        </is>
      </c>
      <c r="M17" s="66" t="inlineStr">
        <is>
          <t>✓</t>
        </is>
      </c>
      <c r="N17" s="66" t="inlineStr">
        <is>
          <t>Me</t>
        </is>
      </c>
      <c r="O17" s="73">
        <f>IF(C17="","",IF(AND(OR(L17="1-Urgent",L17="2-High"),M17="✓"),"DO FIRST",IF(M17="✓","SCHEDULE",IF(OR(L17="1-Urgent",L17="2-High"),"DELEGATE","DELETE"))))</f>
        <v/>
      </c>
      <c r="P17" s="65" t="inlineStr"/>
    </row>
    <row r="18">
      <c r="B18" s="64" t="n">
        <v>13</v>
      </c>
      <c r="C18" s="65" t="inlineStr">
        <is>
          <t>Draft blog post</t>
        </is>
      </c>
      <c r="D18" s="66" t="inlineStr">
        <is>
          <t>Business</t>
        </is>
      </c>
      <c r="E18" s="67" t="n">
        <v>46300</v>
      </c>
      <c r="F18" s="68">
        <f>IF(OR(C18="",E18=""),"",E18-Setup!$D$7)</f>
        <v/>
      </c>
      <c r="G18" s="69" t="n">
        <v>0.5416666666666666</v>
      </c>
      <c r="H18" s="69" t="n">
        <v>0.6145833333333334</v>
      </c>
      <c r="I18" s="36">
        <f>IF(OR(G18="",H18=""),"",TRIM(IF(HOUR(H18-G18)&gt;0,HOUR(H18-G18)&amp;" hr ","")&amp;IF(MINUTE(H18-G18)&gt;0,MINUTE(H18-G18)&amp;" min","")))</f>
        <v/>
      </c>
      <c r="J18" s="66" t="inlineStr">
        <is>
          <t>Waiting</t>
        </is>
      </c>
      <c r="K18" s="70" t="n">
        <v>0.5</v>
      </c>
      <c r="L18" s="66" t="inlineStr">
        <is>
          <t>3-Medium</t>
        </is>
      </c>
      <c r="M18" s="66" t="inlineStr">
        <is>
          <t>✓</t>
        </is>
      </c>
      <c r="N18" s="66" t="inlineStr">
        <is>
          <t>Me</t>
        </is>
      </c>
      <c r="O18" s="36">
        <f>IF(C18="","",IF(AND(OR(L18="1-Urgent",L18="2-High"),M18="✓"),"DO FIRST",IF(M18="✓","SCHEDULE",IF(OR(L18="1-Urgent",L18="2-High"),"DELEGATE","DELETE"))))</f>
        <v/>
      </c>
      <c r="P18" s="65" t="inlineStr"/>
    </row>
    <row r="19">
      <c r="B19" s="71" t="n">
        <v>14</v>
      </c>
      <c r="C19" s="65" t="inlineStr">
        <is>
          <t>Dinner with Amy</t>
        </is>
      </c>
      <c r="D19" s="66" t="inlineStr">
        <is>
          <t>Social</t>
        </is>
      </c>
      <c r="E19" s="67" t="n">
        <v>46301</v>
      </c>
      <c r="F19" s="72">
        <f>IF(OR(C19="",E19=""),"",E19-Setup!$D$7)</f>
        <v/>
      </c>
      <c r="G19" s="69" t="n">
        <v>0.6875</v>
      </c>
      <c r="H19" s="69" t="n">
        <v>0.7291666666666666</v>
      </c>
      <c r="I19" s="73">
        <f>IF(OR(G19="",H19=""),"",TRIM(IF(HOUR(H19-G19)&gt;0,HOUR(H19-G19)&amp;" hr ","")&amp;IF(MINUTE(H19-G19)&gt;0,MINUTE(H19-G19)&amp;" min","")))</f>
        <v/>
      </c>
      <c r="J19" s="66" t="inlineStr">
        <is>
          <t>In Progress</t>
        </is>
      </c>
      <c r="K19" s="70" t="n">
        <v>0.4</v>
      </c>
      <c r="L19" s="66" t="inlineStr">
        <is>
          <t>4-Low</t>
        </is>
      </c>
      <c r="M19" s="66" t="inlineStr">
        <is>
          <t>✓</t>
        </is>
      </c>
      <c r="N19" s="66" t="inlineStr">
        <is>
          <t>Me</t>
        </is>
      </c>
      <c r="O19" s="73">
        <f>IF(C19="","",IF(AND(OR(L19="1-Urgent",L19="2-High"),M19="✓"),"DO FIRST",IF(M19="✓","SCHEDULE",IF(OR(L19="1-Urgent",L19="2-High"),"DELEGATE","DELETE"))))</f>
        <v/>
      </c>
      <c r="P19" s="65" t="inlineStr"/>
    </row>
    <row r="20">
      <c r="B20" s="64" t="n">
        <v>15</v>
      </c>
      <c r="C20" s="65" t="inlineStr">
        <is>
          <t>Plan weekend away</t>
        </is>
      </c>
      <c r="D20" s="66" t="inlineStr">
        <is>
          <t>Family</t>
        </is>
      </c>
      <c r="E20" s="67" t="n">
        <v>46303</v>
      </c>
      <c r="F20" s="68">
        <f>IF(OR(C20="",E20=""),"",E20-Setup!$D$7)</f>
        <v/>
      </c>
      <c r="G20" s="69" t="n">
        <v>0.6875</v>
      </c>
      <c r="H20" s="69" t="n">
        <v>0.6875</v>
      </c>
      <c r="I20" s="36">
        <f>IF(OR(G20="",H20=""),"",TRIM(IF(HOUR(H20-G20)&gt;0,HOUR(H20-G20)&amp;" hr ","")&amp;IF(MINUTE(H20-G20)&gt;0,MINUTE(H20-G20)&amp;" min","")))</f>
        <v/>
      </c>
      <c r="J20" s="66" t="n"/>
      <c r="K20" s="70" t="n"/>
      <c r="L20" s="66" t="inlineStr">
        <is>
          <t>4-Low</t>
        </is>
      </c>
      <c r="M20" s="66" t="inlineStr"/>
      <c r="N20" s="66" t="inlineStr">
        <is>
          <t>Lucy</t>
        </is>
      </c>
      <c r="O20" s="36">
        <f>IF(C20="","",IF(AND(OR(L20="1-Urgent",L20="2-High"),M20="✓"),"DO FIRST",IF(M20="✓","SCHEDULE",IF(OR(L20="1-Urgent",L20="2-High"),"DELEGATE","DELETE"))))</f>
        <v/>
      </c>
      <c r="P20" s="65" t="inlineStr"/>
    </row>
    <row r="21">
      <c r="B21" s="71" t="n">
        <v>16</v>
      </c>
      <c r="C21" s="65" t="inlineStr">
        <is>
          <t>Clean kitchen</t>
        </is>
      </c>
      <c r="D21" s="66" t="inlineStr">
        <is>
          <t>Family</t>
        </is>
      </c>
      <c r="E21" s="67" t="n">
        <v>46304</v>
      </c>
      <c r="F21" s="72">
        <f>IF(OR(C21="",E21=""),"",E21-Setup!$D$7)</f>
        <v/>
      </c>
      <c r="G21" s="69" t="n">
        <v>0.4375</v>
      </c>
      <c r="H21" s="69" t="n">
        <v>0.4791666666666667</v>
      </c>
      <c r="I21" s="73">
        <f>IF(OR(G21="",H21=""),"",TRIM(IF(HOUR(H21-G21)&gt;0,HOUR(H21-G21)&amp;" hr ","")&amp;IF(MINUTE(H21-G21)&gt;0,MINUTE(H21-G21)&amp;" min","")))</f>
        <v/>
      </c>
      <c r="J21" s="66" t="n"/>
      <c r="K21" s="70" t="n"/>
      <c r="L21" s="66" t="inlineStr">
        <is>
          <t>3-Medium</t>
        </is>
      </c>
      <c r="M21" s="66" t="inlineStr">
        <is>
          <t>✓</t>
        </is>
      </c>
      <c r="N21" s="66" t="inlineStr">
        <is>
          <t>Rebecca</t>
        </is>
      </c>
      <c r="O21" s="73">
        <f>IF(C21="","",IF(AND(OR(L21="1-Urgent",L21="2-High"),M21="✓"),"DO FIRST",IF(M21="✓","SCHEDULE",IF(OR(L21="1-Urgent",L21="2-High"),"DELEGATE","DELETE"))))</f>
        <v/>
      </c>
      <c r="P21" s="65" t="inlineStr"/>
    </row>
    <row r="22">
      <c r="B22" s="64" t="n">
        <v>17</v>
      </c>
      <c r="C22" s="65" t="inlineStr">
        <is>
          <t>Family Lunch</t>
        </is>
      </c>
      <c r="D22" s="66" t="inlineStr">
        <is>
          <t>Family</t>
        </is>
      </c>
      <c r="E22" s="67" t="n">
        <v>46305</v>
      </c>
      <c r="F22" s="68">
        <f>IF(OR(C22="",E22=""),"",E22-Setup!$D$7)</f>
        <v/>
      </c>
      <c r="G22" s="69" t="n">
        <v>0.5625</v>
      </c>
      <c r="H22" s="69" t="n">
        <v>0.5625</v>
      </c>
      <c r="I22" s="36">
        <f>IF(OR(G22="",H22=""),"",TRIM(IF(HOUR(H22-G22)&gt;0,HOUR(H22-G22)&amp;" hr ","")&amp;IF(MINUTE(H22-G22)&gt;0,MINUTE(H22-G22)&amp;" min","")))</f>
        <v/>
      </c>
      <c r="J22" s="66" t="inlineStr">
        <is>
          <t>Waiting</t>
        </is>
      </c>
      <c r="K22" s="70" t="n">
        <v>0.5</v>
      </c>
      <c r="L22" s="66" t="inlineStr">
        <is>
          <t>1-Urgent</t>
        </is>
      </c>
      <c r="M22" s="66" t="inlineStr"/>
      <c r="N22" s="66" t="inlineStr">
        <is>
          <t>Jamie</t>
        </is>
      </c>
      <c r="O22" s="36">
        <f>IF(C22="","",IF(AND(OR(L22="1-Urgent",L22="2-High"),M22="✓"),"DO FIRST",IF(M22="✓","SCHEDULE",IF(OR(L22="1-Urgent",L22="2-High"),"DELEGATE","DELETE"))))</f>
        <v/>
      </c>
      <c r="P22" s="65" t="inlineStr"/>
    </row>
    <row r="23">
      <c r="B23" s="71" t="n">
        <v>18</v>
      </c>
      <c r="C23" s="65" t="inlineStr">
        <is>
          <t>Madison's Bday</t>
        </is>
      </c>
      <c r="D23" s="66" t="inlineStr">
        <is>
          <t>Birthdays</t>
        </is>
      </c>
      <c r="E23" s="67" t="n">
        <v>46307</v>
      </c>
      <c r="F23" s="72">
        <f>IF(OR(C23="",E23=""),"",E23-Setup!$D$7)</f>
        <v/>
      </c>
      <c r="G23" s="69" t="n">
        <v>0.4791666666666667</v>
      </c>
      <c r="H23" s="69" t="n">
        <v>0.5208333333333334</v>
      </c>
      <c r="I23" s="73">
        <f>IF(OR(G23="",H23=""),"",TRIM(IF(HOUR(H23-G23)&gt;0,HOUR(H23-G23)&amp;" hr ","")&amp;IF(MINUTE(H23-G23)&gt;0,MINUTE(H23-G23)&amp;" min","")))</f>
        <v/>
      </c>
      <c r="J23" s="66" t="n"/>
      <c r="K23" s="70" t="n"/>
      <c r="L23" s="66" t="inlineStr">
        <is>
          <t>4-Low</t>
        </is>
      </c>
      <c r="M23" s="66" t="inlineStr">
        <is>
          <t>✓</t>
        </is>
      </c>
      <c r="N23" s="66" t="inlineStr">
        <is>
          <t>Me</t>
        </is>
      </c>
      <c r="O23" s="73">
        <f>IF(C23="","",IF(AND(OR(L23="1-Urgent",L23="2-High"),M23="✓"),"DO FIRST",IF(M23="✓","SCHEDULE",IF(OR(L23="1-Urgent",L23="2-High"),"DELEGATE","DELETE"))))</f>
        <v/>
      </c>
      <c r="P23" s="65" t="inlineStr"/>
    </row>
    <row r="24">
      <c r="B24" s="64" t="n">
        <v>19</v>
      </c>
      <c r="C24" s="65" t="inlineStr">
        <is>
          <t>Client follow-up calls</t>
        </is>
      </c>
      <c r="D24" s="66" t="inlineStr">
        <is>
          <t>Business</t>
        </is>
      </c>
      <c r="E24" s="67" t="n">
        <v>46308</v>
      </c>
      <c r="F24" s="68">
        <f>IF(OR(C24="",E24=""),"",E24-Setup!$D$7)</f>
        <v/>
      </c>
      <c r="G24" s="69" t="n">
        <v>0.625</v>
      </c>
      <c r="H24" s="69" t="n">
        <v>0.6979166666666666</v>
      </c>
      <c r="I24" s="36">
        <f>IF(OR(G24="",H24=""),"",TRIM(IF(HOUR(H24-G24)&gt;0,HOUR(H24-G24)&amp;" hr ","")&amp;IF(MINUTE(H24-G24)&gt;0,MINUTE(H24-G24)&amp;" min","")))</f>
        <v/>
      </c>
      <c r="J24" s="66" t="inlineStr">
        <is>
          <t>In Progress</t>
        </is>
      </c>
      <c r="K24" s="70" t="n">
        <v>0.8</v>
      </c>
      <c r="L24" s="66" t="inlineStr">
        <is>
          <t>3-Medium</t>
        </is>
      </c>
      <c r="M24" s="66" t="inlineStr"/>
      <c r="N24" s="66" t="inlineStr">
        <is>
          <t>Jamie</t>
        </is>
      </c>
      <c r="O24" s="36">
        <f>IF(C24="","",IF(AND(OR(L24="1-Urgent",L24="2-High"),M24="✓"),"DO FIRST",IF(M24="✓","SCHEDULE",IF(OR(L24="1-Urgent",L24="2-High"),"DELEGATE","DELETE"))))</f>
        <v/>
      </c>
      <c r="P24" s="65" t="inlineStr"/>
    </row>
    <row r="25">
      <c r="B25" s="71" t="n">
        <v>20</v>
      </c>
      <c r="C25" s="65" t="inlineStr">
        <is>
          <t>Schedule team meeting</t>
        </is>
      </c>
      <c r="D25" s="66" t="inlineStr">
        <is>
          <t>Business</t>
        </is>
      </c>
      <c r="E25" s="67" t="n">
        <v>46309</v>
      </c>
      <c r="F25" s="72">
        <f>IF(OR(C25="",E25=""),"",E25-Setup!$D$7)</f>
        <v/>
      </c>
      <c r="G25" s="69" t="n">
        <v>0.3958333333333333</v>
      </c>
      <c r="H25" s="69" t="n">
        <v>0.4375</v>
      </c>
      <c r="I25" s="73">
        <f>IF(OR(G25="",H25=""),"",TRIM(IF(HOUR(H25-G25)&gt;0,HOUR(H25-G25)&amp;" hr ","")&amp;IF(MINUTE(H25-G25)&gt;0,MINUTE(H25-G25)&amp;" min","")))</f>
        <v/>
      </c>
      <c r="J25" s="66" t="inlineStr">
        <is>
          <t>In Progress</t>
        </is>
      </c>
      <c r="K25" s="70" t="n">
        <v>0.6</v>
      </c>
      <c r="L25" s="66" t="inlineStr">
        <is>
          <t>3-Medium</t>
        </is>
      </c>
      <c r="M25" s="66" t="inlineStr">
        <is>
          <t>✓</t>
        </is>
      </c>
      <c r="N25" s="66" t="inlineStr">
        <is>
          <t>Rebecca</t>
        </is>
      </c>
      <c r="O25" s="73">
        <f>IF(C25="","",IF(AND(OR(L25="1-Urgent",L25="2-High"),M25="✓"),"DO FIRST",IF(M25="✓","SCHEDULE",IF(OR(L25="1-Urgent",L25="2-High"),"DELEGATE","DELETE"))))</f>
        <v/>
      </c>
      <c r="P25" s="65" t="inlineStr"/>
    </row>
    <row r="26">
      <c r="B26" s="64" t="n">
        <v>21</v>
      </c>
      <c r="C26" s="65" t="inlineStr">
        <is>
          <t>Plan marketing campaign</t>
        </is>
      </c>
      <c r="D26" s="66" t="inlineStr">
        <is>
          <t>Business</t>
        </is>
      </c>
      <c r="E26" s="67" t="n">
        <v>46311</v>
      </c>
      <c r="F26" s="68">
        <f>IF(OR(C26="",E26=""),"",E26-Setup!$D$7)</f>
        <v/>
      </c>
      <c r="G26" s="69" t="n"/>
      <c r="H26" s="69" t="n"/>
      <c r="I26" s="36">
        <f>IF(OR(G26="",H26=""),"",TRIM(IF(HOUR(H26-G26)&gt;0,HOUR(H26-G26)&amp;" hr ","")&amp;IF(MINUTE(H26-G26)&gt;0,MINUTE(H26-G26)&amp;" min","")))</f>
        <v/>
      </c>
      <c r="J26" s="66" t="inlineStr">
        <is>
          <t>Not Started</t>
        </is>
      </c>
      <c r="K26" s="70" t="n"/>
      <c r="L26" s="66" t="inlineStr">
        <is>
          <t>3-Medium</t>
        </is>
      </c>
      <c r="M26" s="66" t="inlineStr"/>
      <c r="N26" s="66" t="inlineStr">
        <is>
          <t>Lucy</t>
        </is>
      </c>
      <c r="O26" s="36">
        <f>IF(C26="","",IF(AND(OR(L26="1-Urgent",L26="2-High"),M26="✓"),"DO FIRST",IF(M26="✓","SCHEDULE",IF(OR(L26="1-Urgent",L26="2-High"),"DELEGATE","DELETE"))))</f>
        <v/>
      </c>
      <c r="P26" s="65" t="inlineStr"/>
    </row>
    <row r="27">
      <c r="B27" s="71" t="n">
        <v>22</v>
      </c>
      <c r="C27" s="65" t="inlineStr">
        <is>
          <t>Review ad performance</t>
        </is>
      </c>
      <c r="D27" s="66" t="inlineStr">
        <is>
          <t>Business</t>
        </is>
      </c>
      <c r="E27" s="67" t="n">
        <v>46312</v>
      </c>
      <c r="F27" s="72">
        <f>IF(OR(C27="",E27=""),"",E27-Setup!$D$7)</f>
        <v/>
      </c>
      <c r="G27" s="69" t="n">
        <v>0.6458333333333334</v>
      </c>
      <c r="H27" s="69" t="n">
        <v>0.6875</v>
      </c>
      <c r="I27" s="73">
        <f>IF(OR(G27="",H27=""),"",TRIM(IF(HOUR(H27-G27)&gt;0,HOUR(H27-G27)&amp;" hr ","")&amp;IF(MINUTE(H27-G27)&gt;0,MINUTE(H27-G27)&amp;" min","")))</f>
        <v/>
      </c>
      <c r="J27" s="66" t="inlineStr">
        <is>
          <t>In Progress</t>
        </is>
      </c>
      <c r="K27" s="70" t="n">
        <v>0.4</v>
      </c>
      <c r="L27" s="66" t="inlineStr">
        <is>
          <t>4-Low</t>
        </is>
      </c>
      <c r="M27" s="66" t="inlineStr"/>
      <c r="N27" s="66" t="inlineStr">
        <is>
          <t>Me</t>
        </is>
      </c>
      <c r="O27" s="73">
        <f>IF(C27="","",IF(AND(OR(L27="1-Urgent",L27="2-High"),M27="✓"),"DO FIRST",IF(M27="✓","SCHEDULE",IF(OR(L27="1-Urgent",L27="2-High"),"DELEGATE","DELETE"))))</f>
        <v/>
      </c>
      <c r="P27" s="65" t="inlineStr"/>
    </row>
    <row r="28">
      <c r="B28" s="64" t="n">
        <v>23</v>
      </c>
      <c r="C28" s="65" t="inlineStr">
        <is>
          <t>Presentation Project X</t>
        </is>
      </c>
      <c r="D28" s="66" t="inlineStr">
        <is>
          <t>Business</t>
        </is>
      </c>
      <c r="E28" s="67" t="n">
        <v>46313</v>
      </c>
      <c r="F28" s="68">
        <f>IF(OR(C28="",E28=""),"",E28-Setup!$D$7)</f>
        <v/>
      </c>
      <c r="G28" s="69" t="n"/>
      <c r="H28" s="69" t="n"/>
      <c r="I28" s="36">
        <f>IF(OR(G28="",H28=""),"",TRIM(IF(HOUR(H28-G28)&gt;0,HOUR(H28-G28)&amp;" hr ","")&amp;IF(MINUTE(H28-G28)&gt;0,MINUTE(H28-G28)&amp;" min","")))</f>
        <v/>
      </c>
      <c r="J28" s="66" t="n"/>
      <c r="K28" s="70" t="n"/>
      <c r="L28" s="66" t="inlineStr">
        <is>
          <t>3-Medium</t>
        </is>
      </c>
      <c r="M28" s="66" t="inlineStr"/>
      <c r="N28" s="66" t="inlineStr">
        <is>
          <t>Lucy</t>
        </is>
      </c>
      <c r="O28" s="36">
        <f>IF(C28="","",IF(AND(OR(L28="1-Urgent",L28="2-High"),M28="✓"),"DO FIRST",IF(M28="✓","SCHEDULE",IF(OR(L28="1-Urgent",L28="2-High"),"DELEGATE","DELETE"))))</f>
        <v/>
      </c>
      <c r="P28" s="65" t="inlineStr"/>
    </row>
    <row r="29">
      <c r="B29" s="71" t="n">
        <v>24</v>
      </c>
      <c r="C29" s="65" t="inlineStr">
        <is>
          <t>Mole Check</t>
        </is>
      </c>
      <c r="D29" s="66" t="inlineStr">
        <is>
          <t>Health</t>
        </is>
      </c>
      <c r="E29" s="67" t="n">
        <v>46314</v>
      </c>
      <c r="F29" s="72">
        <f>IF(OR(C29="",E29=""),"",E29-Setup!$D$7)</f>
        <v/>
      </c>
      <c r="G29" s="69" t="n">
        <v>0.4583333333333333</v>
      </c>
      <c r="H29" s="69" t="n">
        <v>0.4895833333333333</v>
      </c>
      <c r="I29" s="73">
        <f>IF(OR(G29="",H29=""),"",TRIM(IF(HOUR(H29-G29)&gt;0,HOUR(H29-G29)&amp;" hr ","")&amp;IF(MINUTE(H29-G29)&gt;0,MINUTE(H29-G29)&amp;" min","")))</f>
        <v/>
      </c>
      <c r="J29" s="66" t="inlineStr">
        <is>
          <t>In Progress</t>
        </is>
      </c>
      <c r="K29" s="70" t="n">
        <v>0.4</v>
      </c>
      <c r="L29" s="66" t="inlineStr">
        <is>
          <t>4-Low</t>
        </is>
      </c>
      <c r="M29" s="66" t="inlineStr">
        <is>
          <t>✓</t>
        </is>
      </c>
      <c r="N29" s="66" t="inlineStr">
        <is>
          <t>Lucy</t>
        </is>
      </c>
      <c r="O29" s="73">
        <f>IF(C29="","",IF(AND(OR(L29="1-Urgent",L29="2-High"),M29="✓"),"DO FIRST",IF(M29="✓","SCHEDULE",IF(OR(L29="1-Urgent",L29="2-High"),"DELEGATE","DELETE"))))</f>
        <v/>
      </c>
      <c r="P29" s="65" t="inlineStr"/>
    </row>
    <row r="30">
      <c r="B30" s="64" t="n">
        <v>25</v>
      </c>
      <c r="C30" s="65" t="inlineStr">
        <is>
          <t>Running</t>
        </is>
      </c>
      <c r="D30" s="66" t="inlineStr">
        <is>
          <t>Personal</t>
        </is>
      </c>
      <c r="E30" s="67" t="n">
        <v>46316</v>
      </c>
      <c r="F30" s="68">
        <f>IF(OR(C30="",E30=""),"",E30-Setup!$D$7)</f>
        <v/>
      </c>
      <c r="G30" s="69" t="n">
        <v>0.6666666666666666</v>
      </c>
      <c r="H30" s="69" t="n">
        <v>0.6979166666666666</v>
      </c>
      <c r="I30" s="36">
        <f>IF(OR(G30="",H30=""),"",TRIM(IF(HOUR(H30-G30)&gt;0,HOUR(H30-G30)&amp;" hr ","")&amp;IF(MINUTE(H30-G30)&gt;0,MINUTE(H30-G30)&amp;" min","")))</f>
        <v/>
      </c>
      <c r="J30" s="66" t="n"/>
      <c r="K30" s="70" t="n"/>
      <c r="L30" s="66" t="inlineStr">
        <is>
          <t>3-Medium</t>
        </is>
      </c>
      <c r="M30" s="66" t="inlineStr"/>
      <c r="N30" s="66" t="inlineStr">
        <is>
          <t>Sam</t>
        </is>
      </c>
      <c r="O30" s="36">
        <f>IF(C30="","",IF(AND(OR(L30="1-Urgent",L30="2-High"),M30="✓"),"DO FIRST",IF(M30="✓","SCHEDULE",IF(OR(L30="1-Urgent",L30="2-High"),"DELEGATE","DELETE"))))</f>
        <v/>
      </c>
      <c r="P30" s="65" t="inlineStr"/>
    </row>
    <row r="31">
      <c r="B31" s="71" t="n">
        <v>26</v>
      </c>
      <c r="C31" s="65" t="inlineStr">
        <is>
          <t>Doctor Check Up</t>
        </is>
      </c>
      <c r="D31" s="66" t="inlineStr">
        <is>
          <t>Health</t>
        </is>
      </c>
      <c r="E31" s="67" t="n">
        <v>46317</v>
      </c>
      <c r="F31" s="72">
        <f>IF(OR(C31="",E31=""),"",E31-Setup!$D$7)</f>
        <v/>
      </c>
      <c r="G31" s="69" t="n">
        <v>0.6875</v>
      </c>
      <c r="H31" s="69" t="n">
        <v>0.7291666666666666</v>
      </c>
      <c r="I31" s="73">
        <f>IF(OR(G31="",H31=""),"",TRIM(IF(HOUR(H31-G31)&gt;0,HOUR(H31-G31)&amp;" hr ","")&amp;IF(MINUTE(H31-G31)&gt;0,MINUTE(H31-G31)&amp;" min","")))</f>
        <v/>
      </c>
      <c r="J31" s="66" t="inlineStr">
        <is>
          <t>Not Started</t>
        </is>
      </c>
      <c r="K31" s="70" t="n"/>
      <c r="L31" s="66" t="inlineStr">
        <is>
          <t>2-High</t>
        </is>
      </c>
      <c r="M31" s="66" t="inlineStr">
        <is>
          <t>✓</t>
        </is>
      </c>
      <c r="N31" s="66" t="inlineStr">
        <is>
          <t>Tony</t>
        </is>
      </c>
      <c r="O31" s="73">
        <f>IF(C31="","",IF(AND(OR(L31="1-Urgent",L31="2-High"),M31="✓"),"DO FIRST",IF(M31="✓","SCHEDULE",IF(OR(L31="1-Urgent",L31="2-High"),"DELEGATE","DELETE"))))</f>
        <v/>
      </c>
      <c r="P31" s="65" t="inlineStr"/>
    </row>
    <row r="32">
      <c r="B32" s="64" t="n">
        <v>27</v>
      </c>
      <c r="C32" s="65" t="inlineStr">
        <is>
          <t>Buy groceries</t>
        </is>
      </c>
      <c r="D32" s="66" t="inlineStr">
        <is>
          <t>Family</t>
        </is>
      </c>
      <c r="E32" s="67" t="n">
        <v>46318</v>
      </c>
      <c r="F32" s="68">
        <f>IF(OR(C32="",E32=""),"",E32-Setup!$D$7)</f>
        <v/>
      </c>
      <c r="G32" s="69" t="n">
        <v>0.5625</v>
      </c>
      <c r="H32" s="69" t="n">
        <v>0.6458333333333334</v>
      </c>
      <c r="I32" s="36">
        <f>IF(OR(G32="",H32=""),"",TRIM(IF(HOUR(H32-G32)&gt;0,HOUR(H32-G32)&amp;" hr ","")&amp;IF(MINUTE(H32-G32)&gt;0,MINUTE(H32-G32)&amp;" min","")))</f>
        <v/>
      </c>
      <c r="J32" s="66" t="inlineStr">
        <is>
          <t>In Progress</t>
        </is>
      </c>
      <c r="K32" s="70" t="n">
        <v>0.8</v>
      </c>
      <c r="L32" s="66" t="inlineStr">
        <is>
          <t>3-Medium</t>
        </is>
      </c>
      <c r="M32" s="66" t="inlineStr">
        <is>
          <t>✓</t>
        </is>
      </c>
      <c r="N32" s="66" t="inlineStr">
        <is>
          <t>Rebecca</t>
        </is>
      </c>
      <c r="O32" s="36">
        <f>IF(C32="","",IF(AND(OR(L32="1-Urgent",L32="2-High"),M32="✓"),"DO FIRST",IF(M32="✓","SCHEDULE",IF(OR(L32="1-Urgent",L32="2-High"),"DELEGATE","DELETE"))))</f>
        <v/>
      </c>
      <c r="P32" s="65" t="inlineStr"/>
    </row>
    <row r="33">
      <c r="B33" s="71" t="n">
        <v>28</v>
      </c>
      <c r="C33" s="65" t="inlineStr">
        <is>
          <t>John's Birthday</t>
        </is>
      </c>
      <c r="D33" s="66" t="inlineStr">
        <is>
          <t>Birthdays</t>
        </is>
      </c>
      <c r="E33" s="67" t="n">
        <v>46320</v>
      </c>
      <c r="F33" s="72">
        <f>IF(OR(C33="",E33=""),"",E33-Setup!$D$7)</f>
        <v/>
      </c>
      <c r="G33" s="69" t="n"/>
      <c r="H33" s="69" t="n"/>
      <c r="I33" s="73">
        <f>IF(OR(G33="",H33=""),"",TRIM(IF(HOUR(H33-G33)&gt;0,HOUR(H33-G33)&amp;" hr ","")&amp;IF(MINUTE(H33-G33)&gt;0,MINUTE(H33-G33)&amp;" min","")))</f>
        <v/>
      </c>
      <c r="J33" s="66" t="inlineStr">
        <is>
          <t>Waiting</t>
        </is>
      </c>
      <c r="K33" s="70" t="n">
        <v>0.5</v>
      </c>
      <c r="L33" s="66" t="inlineStr">
        <is>
          <t>2-High</t>
        </is>
      </c>
      <c r="M33" s="66" t="inlineStr">
        <is>
          <t>✓</t>
        </is>
      </c>
      <c r="N33" s="66" t="inlineStr">
        <is>
          <t>Me</t>
        </is>
      </c>
      <c r="O33" s="73">
        <f>IF(C33="","",IF(AND(OR(L33="1-Urgent",L33="2-High"),M33="✓"),"DO FIRST",IF(M33="✓","SCHEDULE",IF(OR(L33="1-Urgent",L33="2-High"),"DELEGATE","DELETE"))))</f>
        <v/>
      </c>
      <c r="P33" s="65" t="inlineStr"/>
    </row>
    <row r="34">
      <c r="B34" s="64" t="n">
        <v>29</v>
      </c>
      <c r="C34" s="65" t="inlineStr">
        <is>
          <t>Test product features</t>
        </is>
      </c>
      <c r="D34" s="66" t="inlineStr">
        <is>
          <t>Business</t>
        </is>
      </c>
      <c r="E34" s="67" t="n">
        <v>46321</v>
      </c>
      <c r="F34" s="68">
        <f>IF(OR(C34="",E34=""),"",E34-Setup!$D$7)</f>
        <v/>
      </c>
      <c r="G34" s="69" t="n">
        <v>0.6875</v>
      </c>
      <c r="H34" s="69" t="n">
        <v>0.7291666666666666</v>
      </c>
      <c r="I34" s="36">
        <f>IF(OR(G34="",H34=""),"",TRIM(IF(HOUR(H34-G34)&gt;0,HOUR(H34-G34)&amp;" hr ","")&amp;IF(MINUTE(H34-G34)&gt;0,MINUTE(H34-G34)&amp;" min","")))</f>
        <v/>
      </c>
      <c r="J34" s="66" t="inlineStr">
        <is>
          <t>Not Started</t>
        </is>
      </c>
      <c r="K34" s="70" t="n"/>
      <c r="L34" s="66" t="inlineStr">
        <is>
          <t>3-Medium</t>
        </is>
      </c>
      <c r="M34" s="66" t="inlineStr"/>
      <c r="N34" s="66" t="inlineStr">
        <is>
          <t>Jamie</t>
        </is>
      </c>
      <c r="O34" s="36">
        <f>IF(C34="","",IF(AND(OR(L34="1-Urgent",L34="2-High"),M34="✓"),"DO FIRST",IF(M34="✓","SCHEDULE",IF(OR(L34="1-Urgent",L34="2-High"),"DELEGATE","DELETE"))))</f>
        <v/>
      </c>
      <c r="P34" s="65" t="inlineStr"/>
    </row>
    <row r="35">
      <c r="B35" s="71" t="n">
        <v>30</v>
      </c>
      <c r="C35" s="65" t="inlineStr">
        <is>
          <t>Girls lunch</t>
        </is>
      </c>
      <c r="D35" s="66" t="inlineStr">
        <is>
          <t>Social</t>
        </is>
      </c>
      <c r="E35" s="67" t="n">
        <v>46322</v>
      </c>
      <c r="F35" s="72">
        <f>IF(OR(C35="",E35=""),"",E35-Setup!$D$7)</f>
        <v/>
      </c>
      <c r="G35" s="69" t="n">
        <v>0.375</v>
      </c>
      <c r="H35" s="69" t="n">
        <v>0.4479166666666667</v>
      </c>
      <c r="I35" s="73">
        <f>IF(OR(G35="",H35=""),"",TRIM(IF(HOUR(H35-G35)&gt;0,HOUR(H35-G35)&amp;" hr ","")&amp;IF(MINUTE(H35-G35)&gt;0,MINUTE(H35-G35)&amp;" min","")))</f>
        <v/>
      </c>
      <c r="J35" s="66" t="inlineStr">
        <is>
          <t>Not Started</t>
        </is>
      </c>
      <c r="K35" s="70" t="n"/>
      <c r="L35" s="66" t="inlineStr">
        <is>
          <t>1-Urgent</t>
        </is>
      </c>
      <c r="M35" s="66" t="inlineStr">
        <is>
          <t>✓</t>
        </is>
      </c>
      <c r="N35" s="66" t="inlineStr">
        <is>
          <t>Lucy</t>
        </is>
      </c>
      <c r="O35" s="73">
        <f>IF(C35="","",IF(AND(OR(L35="1-Urgent",L35="2-High"),M35="✓"),"DO FIRST",IF(M35="✓","SCHEDULE",IF(OR(L35="1-Urgent",L35="2-High"),"DELEGATE","DELETE"))))</f>
        <v/>
      </c>
      <c r="P35" s="65" t="inlineStr"/>
    </row>
    <row r="36">
      <c r="B36" s="64" t="n">
        <v>31</v>
      </c>
      <c r="C36" s="65" t="inlineStr">
        <is>
          <t>Facial Treatment</t>
        </is>
      </c>
      <c r="D36" s="66" t="inlineStr">
        <is>
          <t>Health</t>
        </is>
      </c>
      <c r="E36" s="67" t="n">
        <v>46324</v>
      </c>
      <c r="F36" s="68">
        <f>IF(OR(C36="",E36=""),"",E36-Setup!$D$7)</f>
        <v/>
      </c>
      <c r="G36" s="69" t="n">
        <v>0.4583333333333333</v>
      </c>
      <c r="H36" s="69" t="n">
        <v>0.4895833333333333</v>
      </c>
      <c r="I36" s="36">
        <f>IF(OR(G36="",H36=""),"",TRIM(IF(HOUR(H36-G36)&gt;0,HOUR(H36-G36)&amp;" hr ","")&amp;IF(MINUTE(H36-G36)&gt;0,MINUTE(H36-G36)&amp;" min","")))</f>
        <v/>
      </c>
      <c r="J36" s="66" t="inlineStr">
        <is>
          <t>Waiting</t>
        </is>
      </c>
      <c r="K36" s="70" t="n">
        <v>0.5</v>
      </c>
      <c r="L36" s="66" t="inlineStr">
        <is>
          <t>2-High</t>
        </is>
      </c>
      <c r="M36" s="66" t="inlineStr"/>
      <c r="N36" s="66" t="inlineStr">
        <is>
          <t>Tony</t>
        </is>
      </c>
      <c r="O36" s="36">
        <f>IF(C36="","",IF(AND(OR(L36="1-Urgent",L36="2-High"),M36="✓"),"DO FIRST",IF(M36="✓","SCHEDULE",IF(OR(L36="1-Urgent",L36="2-High"),"DELEGATE","DELETE"))))</f>
        <v/>
      </c>
      <c r="P36" s="65" t="inlineStr"/>
    </row>
    <row r="37">
      <c r="B37" s="71" t="n">
        <v>32</v>
      </c>
      <c r="C37" s="65" t="inlineStr">
        <is>
          <t>Book massage</t>
        </is>
      </c>
      <c r="D37" s="66" t="inlineStr">
        <is>
          <t>Personal</t>
        </is>
      </c>
      <c r="E37" s="67" t="n">
        <v>46325</v>
      </c>
      <c r="F37" s="72">
        <f>IF(OR(C37="",E37=""),"",E37-Setup!$D$7)</f>
        <v/>
      </c>
      <c r="G37" s="69" t="n">
        <v>0.375</v>
      </c>
      <c r="H37" s="69" t="n">
        <v>0.4895833333333333</v>
      </c>
      <c r="I37" s="73">
        <f>IF(OR(G37="",H37=""),"",TRIM(IF(HOUR(H37-G37)&gt;0,HOUR(H37-G37)&amp;" hr ","")&amp;IF(MINUTE(H37-G37)&gt;0,MINUTE(H37-G37)&amp;" min","")))</f>
        <v/>
      </c>
      <c r="J37" s="66" t="inlineStr">
        <is>
          <t>Not Started</t>
        </is>
      </c>
      <c r="K37" s="70" t="n"/>
      <c r="L37" s="66" t="inlineStr">
        <is>
          <t>3-Medium</t>
        </is>
      </c>
      <c r="M37" s="66" t="inlineStr">
        <is>
          <t>✓</t>
        </is>
      </c>
      <c r="N37" s="66" t="inlineStr">
        <is>
          <t>Tony</t>
        </is>
      </c>
      <c r="O37" s="73">
        <f>IF(C37="","",IF(AND(OR(L37="1-Urgent",L37="2-High"),M37="✓"),"DO FIRST",IF(M37="✓","SCHEDULE",IF(OR(L37="1-Urgent",L37="2-High"),"DELEGATE","DELETE"))))</f>
        <v/>
      </c>
      <c r="P37" s="65" t="inlineStr"/>
    </row>
    <row r="38">
      <c r="B38" s="64" t="n">
        <v>33</v>
      </c>
      <c r="C38" s="65" t="inlineStr">
        <is>
          <t>Hair dresser</t>
        </is>
      </c>
      <c r="D38" s="66" t="inlineStr">
        <is>
          <t>Personal</t>
        </is>
      </c>
      <c r="E38" s="67" t="n">
        <v>46326</v>
      </c>
      <c r="F38" s="68">
        <f>IF(OR(C38="",E38=""),"",E38-Setup!$D$7)</f>
        <v/>
      </c>
      <c r="G38" s="69" t="n">
        <v>0.6875</v>
      </c>
      <c r="H38" s="69" t="n">
        <v>0.6875</v>
      </c>
      <c r="I38" s="36">
        <f>IF(OR(G38="",H38=""),"",TRIM(IF(HOUR(H38-G38)&gt;0,HOUR(H38-G38)&amp;" hr ","")&amp;IF(MINUTE(H38-G38)&gt;0,MINUTE(H38-G38)&amp;" min","")))</f>
        <v/>
      </c>
      <c r="J38" s="66" t="inlineStr">
        <is>
          <t>In Progress</t>
        </is>
      </c>
      <c r="K38" s="70" t="n">
        <v>0.4</v>
      </c>
      <c r="L38" s="66" t="inlineStr">
        <is>
          <t>2-High</t>
        </is>
      </c>
      <c r="M38" s="66" t="inlineStr">
        <is>
          <t>✓</t>
        </is>
      </c>
      <c r="N38" s="66" t="inlineStr">
        <is>
          <t>Me</t>
        </is>
      </c>
      <c r="O38" s="36">
        <f>IF(C38="","",IF(AND(OR(L38="1-Urgent",L38="2-High"),M38="✓"),"DO FIRST",IF(M38="✓","SCHEDULE",IF(OR(L38="1-Urgent",L38="2-High"),"DELEGATE","DELETE"))))</f>
        <v/>
      </c>
      <c r="P38" s="65" t="inlineStr"/>
    </row>
    <row r="39">
      <c r="B39" s="71" t="n">
        <v>34</v>
      </c>
      <c r="C39" s="65" t="inlineStr">
        <is>
          <t>Finalize budget allocation</t>
        </is>
      </c>
      <c r="D39" s="66" t="inlineStr">
        <is>
          <t>Business</t>
        </is>
      </c>
      <c r="E39" s="67" t="n">
        <v>46327</v>
      </c>
      <c r="F39" s="72">
        <f>IF(OR(C39="",E39=""),"",E39-Setup!$D$7)</f>
        <v/>
      </c>
      <c r="G39" s="69" t="n">
        <v>0.375</v>
      </c>
      <c r="H39" s="69" t="n">
        <v>0.4479166666666667</v>
      </c>
      <c r="I39" s="73">
        <f>IF(OR(G39="",H39=""),"",TRIM(IF(HOUR(H39-G39)&gt;0,HOUR(H39-G39)&amp;" hr ","")&amp;IF(MINUTE(H39-G39)&gt;0,MINUTE(H39-G39)&amp;" min","")))</f>
        <v/>
      </c>
      <c r="J39" s="66" t="inlineStr">
        <is>
          <t>Not Started</t>
        </is>
      </c>
      <c r="K39" s="70" t="n"/>
      <c r="L39" s="66" t="inlineStr">
        <is>
          <t>4-Low</t>
        </is>
      </c>
      <c r="M39" s="66" t="inlineStr"/>
      <c r="N39" s="66" t="inlineStr">
        <is>
          <t>Rebecca</t>
        </is>
      </c>
      <c r="O39" s="73">
        <f>IF(C39="","",IF(AND(OR(L39="1-Urgent",L39="2-High"),M39="✓"),"DO FIRST",IF(M39="✓","SCHEDULE",IF(OR(L39="1-Urgent",L39="2-High"),"DELEGATE","DELETE"))))</f>
        <v/>
      </c>
      <c r="P39" s="65" t="inlineStr"/>
    </row>
    <row r="40">
      <c r="B40" s="64" t="n">
        <v>35</v>
      </c>
      <c r="C40" s="65" t="inlineStr">
        <is>
          <t>Call client</t>
        </is>
      </c>
      <c r="D40" s="66" t="inlineStr">
        <is>
          <t>Business</t>
        </is>
      </c>
      <c r="E40" s="67" t="n">
        <v>46329</v>
      </c>
      <c r="F40" s="68">
        <f>IF(OR(C40="",E40=""),"",E40-Setup!$D$7)</f>
        <v/>
      </c>
      <c r="G40" s="69" t="n"/>
      <c r="H40" s="69" t="n"/>
      <c r="I40" s="36">
        <f>IF(OR(G40="",H40=""),"",TRIM(IF(HOUR(H40-G40)&gt;0,HOUR(H40-G40)&amp;" hr ","")&amp;IF(MINUTE(H40-G40)&gt;0,MINUTE(H40-G40)&amp;" min","")))</f>
        <v/>
      </c>
      <c r="J40" s="66" t="inlineStr">
        <is>
          <t>In Progress</t>
        </is>
      </c>
      <c r="K40" s="70" t="n">
        <v>0.4</v>
      </c>
      <c r="L40" s="66" t="inlineStr">
        <is>
          <t>3-Medium</t>
        </is>
      </c>
      <c r="M40" s="66" t="inlineStr"/>
      <c r="N40" s="66" t="inlineStr">
        <is>
          <t>Rebecca</t>
        </is>
      </c>
      <c r="O40" s="36">
        <f>IF(C40="","",IF(AND(OR(L40="1-Urgent",L40="2-High"),M40="✓"),"DO FIRST",IF(M40="✓","SCHEDULE",IF(OR(L40="1-Urgent",L40="2-High"),"DELEGATE","DELETE"))))</f>
        <v/>
      </c>
      <c r="P40" s="65" t="inlineStr"/>
    </row>
    <row r="41">
      <c r="B41" s="71" t="n">
        <v>36</v>
      </c>
      <c r="C41" s="65" t="inlineStr">
        <is>
          <t>Prepare launch checklist</t>
        </is>
      </c>
      <c r="D41" s="66" t="inlineStr">
        <is>
          <t>Business</t>
        </is>
      </c>
      <c r="E41" s="67" t="n">
        <v>46330</v>
      </c>
      <c r="F41" s="72">
        <f>IF(OR(C41="",E41=""),"",E41-Setup!$D$7)</f>
        <v/>
      </c>
      <c r="G41" s="69" t="n"/>
      <c r="H41" s="69" t="n"/>
      <c r="I41" s="73">
        <f>IF(OR(G41="",H41=""),"",TRIM(IF(HOUR(H41-G41)&gt;0,HOUR(H41-G41)&amp;" hr ","")&amp;IF(MINUTE(H41-G41)&gt;0,MINUTE(H41-G41)&amp;" min","")))</f>
        <v/>
      </c>
      <c r="J41" s="66" t="inlineStr">
        <is>
          <t>Waiting</t>
        </is>
      </c>
      <c r="K41" s="70" t="n">
        <v>0.5</v>
      </c>
      <c r="L41" s="66" t="inlineStr">
        <is>
          <t>1-Urgent</t>
        </is>
      </c>
      <c r="M41" s="66" t="inlineStr">
        <is>
          <t>✓</t>
        </is>
      </c>
      <c r="N41" s="66" t="inlineStr">
        <is>
          <t>Sam</t>
        </is>
      </c>
      <c r="O41" s="73">
        <f>IF(C41="","",IF(AND(OR(L41="1-Urgent",L41="2-High"),M41="✓"),"DO FIRST",IF(M41="✓","SCHEDULE",IF(OR(L41="1-Urgent",L41="2-High"),"DELEGATE","DELETE"))))</f>
        <v/>
      </c>
      <c r="P41" s="65" t="inlineStr"/>
    </row>
    <row r="42">
      <c r="B42" s="64" t="n">
        <v>37</v>
      </c>
      <c r="C42" s="65" t="inlineStr">
        <is>
          <t>Email client re: project X</t>
        </is>
      </c>
      <c r="D42" s="66" t="inlineStr">
        <is>
          <t>Business</t>
        </is>
      </c>
      <c r="E42" s="67" t="n">
        <v>46331</v>
      </c>
      <c r="F42" s="68">
        <f>IF(OR(C42="",E42=""),"",E42-Setup!$D$7)</f>
        <v/>
      </c>
      <c r="G42" s="69" t="n"/>
      <c r="H42" s="69" t="n"/>
      <c r="I42" s="36">
        <f>IF(OR(G42="",H42=""),"",TRIM(IF(HOUR(H42-G42)&gt;0,HOUR(H42-G42)&amp;" hr ","")&amp;IF(MINUTE(H42-G42)&gt;0,MINUTE(H42-G42)&amp;" min","")))</f>
        <v/>
      </c>
      <c r="J42" s="66" t="inlineStr">
        <is>
          <t>Not Started</t>
        </is>
      </c>
      <c r="K42" s="70" t="n"/>
      <c r="L42" s="66" t="inlineStr">
        <is>
          <t>1-Urgent</t>
        </is>
      </c>
      <c r="M42" s="66" t="inlineStr">
        <is>
          <t>✓</t>
        </is>
      </c>
      <c r="N42" s="66" t="inlineStr">
        <is>
          <t>Me</t>
        </is>
      </c>
      <c r="O42" s="36">
        <f>IF(C42="","",IF(AND(OR(L42="1-Urgent",L42="2-High"),M42="✓"),"DO FIRST",IF(M42="✓","SCHEDULE",IF(OR(L42="1-Urgent",L42="2-High"),"DELEGATE","DELETE"))))</f>
        <v/>
      </c>
      <c r="P42" s="65" t="inlineStr"/>
    </row>
    <row r="43">
      <c r="B43" s="71" t="n">
        <v>38</v>
      </c>
      <c r="C43" s="65" t="inlineStr">
        <is>
          <t>Organize photos</t>
        </is>
      </c>
      <c r="D43" s="66" t="inlineStr">
        <is>
          <t>Personal</t>
        </is>
      </c>
      <c r="E43" s="67" t="n">
        <v>46333</v>
      </c>
      <c r="F43" s="72">
        <f>IF(OR(C43="",E43=""),"",E43-Setup!$D$7)</f>
        <v/>
      </c>
      <c r="G43" s="69" t="n">
        <v>0.6666666666666666</v>
      </c>
      <c r="H43" s="69" t="n">
        <v>0.78125</v>
      </c>
      <c r="I43" s="73">
        <f>IF(OR(G43="",H43=""),"",TRIM(IF(HOUR(H43-G43)&gt;0,HOUR(H43-G43)&amp;" hr ","")&amp;IF(MINUTE(H43-G43)&gt;0,MINUTE(H43-G43)&amp;" min","")))</f>
        <v/>
      </c>
      <c r="J43" s="66" t="inlineStr">
        <is>
          <t>In Progress</t>
        </is>
      </c>
      <c r="K43" s="70" t="n">
        <v>0.4</v>
      </c>
      <c r="L43" s="66" t="inlineStr">
        <is>
          <t>3-Medium</t>
        </is>
      </c>
      <c r="M43" s="66" t="inlineStr">
        <is>
          <t>✓</t>
        </is>
      </c>
      <c r="N43" s="66" t="inlineStr">
        <is>
          <t>Jamie</t>
        </is>
      </c>
      <c r="O43" s="73">
        <f>IF(C43="","",IF(AND(OR(L43="1-Urgent",L43="2-High"),M43="✓"),"DO FIRST",IF(M43="✓","SCHEDULE",IF(OR(L43="1-Urgent",L43="2-High"),"DELEGATE","DELETE"))))</f>
        <v/>
      </c>
      <c r="P43" s="65" t="inlineStr"/>
    </row>
    <row r="44">
      <c r="B44" s="64" t="n">
        <v>39</v>
      </c>
      <c r="C44" s="65" t="inlineStr">
        <is>
          <t>Car service</t>
        </is>
      </c>
      <c r="D44" s="66" t="inlineStr">
        <is>
          <t>Family</t>
        </is>
      </c>
      <c r="E44" s="67" t="n">
        <v>46334</v>
      </c>
      <c r="F44" s="68">
        <f>IF(OR(C44="",E44=""),"",E44-Setup!$D$7)</f>
        <v/>
      </c>
      <c r="G44" s="69" t="n">
        <v>0.4791666666666667</v>
      </c>
      <c r="H44" s="69" t="n">
        <v>0.5208333333333334</v>
      </c>
      <c r="I44" s="36">
        <f>IF(OR(G44="",H44=""),"",TRIM(IF(HOUR(H44-G44)&gt;0,HOUR(H44-G44)&amp;" hr ","")&amp;IF(MINUTE(H44-G44)&gt;0,MINUTE(H44-G44)&amp;" min","")))</f>
        <v/>
      </c>
      <c r="J44" s="66" t="inlineStr">
        <is>
          <t>In Progress</t>
        </is>
      </c>
      <c r="K44" s="70" t="n">
        <v>0.6</v>
      </c>
      <c r="L44" s="66" t="inlineStr">
        <is>
          <t>2-High</t>
        </is>
      </c>
      <c r="M44" s="66" t="inlineStr">
        <is>
          <t>✓</t>
        </is>
      </c>
      <c r="N44" s="66" t="inlineStr">
        <is>
          <t>Rebecca</t>
        </is>
      </c>
      <c r="O44" s="36">
        <f>IF(C44="","",IF(AND(OR(L44="1-Urgent",L44="2-High"),M44="✓"),"DO FIRST",IF(M44="✓","SCHEDULE",IF(OR(L44="1-Urgent",L44="2-High"),"DELEGATE","DELETE"))))</f>
        <v/>
      </c>
      <c r="P44" s="65" t="inlineStr"/>
    </row>
    <row r="45">
      <c r="B45" s="71" t="n">
        <v>40</v>
      </c>
      <c r="C45" s="65" t="inlineStr">
        <is>
          <t>Renew passport</t>
        </is>
      </c>
      <c r="D45" s="66" t="inlineStr">
        <is>
          <t>Personal</t>
        </is>
      </c>
      <c r="E45" s="67" t="n">
        <v>46335</v>
      </c>
      <c r="F45" s="72">
        <f>IF(OR(C45="",E45=""),"",E45-Setup!$D$7)</f>
        <v/>
      </c>
      <c r="G45" s="69" t="n"/>
      <c r="H45" s="69" t="n"/>
      <c r="I45" s="73">
        <f>IF(OR(G45="",H45=""),"",TRIM(IF(HOUR(H45-G45)&gt;0,HOUR(H45-G45)&amp;" hr ","")&amp;IF(MINUTE(H45-G45)&gt;0,MINUTE(H45-G45)&amp;" min","")))</f>
        <v/>
      </c>
      <c r="J45" s="66" t="inlineStr">
        <is>
          <t>Not Started</t>
        </is>
      </c>
      <c r="K45" s="70" t="n"/>
      <c r="L45" s="66" t="inlineStr">
        <is>
          <t>4-Low</t>
        </is>
      </c>
      <c r="M45" s="66" t="inlineStr">
        <is>
          <t>✓</t>
        </is>
      </c>
      <c r="N45" s="66" t="inlineStr">
        <is>
          <t>Sam</t>
        </is>
      </c>
      <c r="O45" s="73">
        <f>IF(C45="","",IF(AND(OR(L45="1-Urgent",L45="2-High"),M45="✓"),"DO FIRST",IF(M45="✓","SCHEDULE",IF(OR(L45="1-Urgent",L45="2-High"),"DELEGATE","DELETE"))))</f>
        <v/>
      </c>
      <c r="P45" s="65" t="inlineStr"/>
    </row>
    <row r="46">
      <c r="B46" s="64" t="n">
        <v>41</v>
      </c>
      <c r="C46" s="65" t="n"/>
      <c r="D46" s="66" t="n"/>
      <c r="E46" s="67" t="n"/>
      <c r="F46" s="68">
        <f>IF(OR(C46="",E46=""),"",E46-Setup!$D$7)</f>
        <v/>
      </c>
      <c r="G46" s="69" t="n"/>
      <c r="H46" s="69" t="n"/>
      <c r="I46" s="36">
        <f>IF(OR(G46="",H46=""),"",TRIM(IF(HOUR(H46-G46)&gt;0,HOUR(H46-G46)&amp;" hr ","")&amp;IF(MINUTE(H46-G46)&gt;0,MINUTE(H46-G46)&amp;" min","")))</f>
        <v/>
      </c>
      <c r="J46" s="66" t="n"/>
      <c r="K46" s="70" t="n"/>
      <c r="L46" s="66" t="n"/>
      <c r="M46" s="66" t="n"/>
      <c r="N46" s="66" t="n"/>
      <c r="O46" s="36">
        <f>IF(C46="","",IF(AND(OR(L46="1-Urgent",L46="2-High"),M46="✓"),"DO FIRST",IF(M46="✓","SCHEDULE",IF(OR(L46="1-Urgent",L46="2-High"),"DELEGATE","DELETE"))))</f>
        <v/>
      </c>
      <c r="P46" s="65" t="n"/>
    </row>
    <row r="47">
      <c r="B47" s="71" t="n">
        <v>42</v>
      </c>
      <c r="C47" s="65" t="n"/>
      <c r="D47" s="66" t="n"/>
      <c r="E47" s="67" t="n"/>
      <c r="F47" s="72">
        <f>IF(OR(C47="",E47=""),"",E47-Setup!$D$7)</f>
        <v/>
      </c>
      <c r="G47" s="69" t="n"/>
      <c r="H47" s="69" t="n"/>
      <c r="I47" s="73">
        <f>IF(OR(G47="",H47=""),"",TRIM(IF(HOUR(H47-G47)&gt;0,HOUR(H47-G47)&amp;" hr ","")&amp;IF(MINUTE(H47-G47)&gt;0,MINUTE(H47-G47)&amp;" min","")))</f>
        <v/>
      </c>
      <c r="J47" s="66" t="n"/>
      <c r="K47" s="70" t="n"/>
      <c r="L47" s="66" t="n"/>
      <c r="M47" s="66" t="n"/>
      <c r="N47" s="66" t="n"/>
      <c r="O47" s="73">
        <f>IF(C47="","",IF(AND(OR(L47="1-Urgent",L47="2-High"),M47="✓"),"DO FIRST",IF(M47="✓","SCHEDULE",IF(OR(L47="1-Urgent",L47="2-High"),"DELEGATE","DELETE"))))</f>
        <v/>
      </c>
      <c r="P47" s="65" t="n"/>
    </row>
    <row r="48">
      <c r="B48" s="64" t="n">
        <v>43</v>
      </c>
      <c r="C48" s="65" t="n"/>
      <c r="D48" s="66" t="n"/>
      <c r="E48" s="67" t="n"/>
      <c r="F48" s="68">
        <f>IF(OR(C48="",E48=""),"",E48-Setup!$D$7)</f>
        <v/>
      </c>
      <c r="G48" s="69" t="n"/>
      <c r="H48" s="69" t="n"/>
      <c r="I48" s="36">
        <f>IF(OR(G48="",H48=""),"",TRIM(IF(HOUR(H48-G48)&gt;0,HOUR(H48-G48)&amp;" hr ","")&amp;IF(MINUTE(H48-G48)&gt;0,MINUTE(H48-G48)&amp;" min","")))</f>
        <v/>
      </c>
      <c r="J48" s="66" t="n"/>
      <c r="K48" s="70" t="n"/>
      <c r="L48" s="66" t="n"/>
      <c r="M48" s="66" t="n"/>
      <c r="N48" s="66" t="n"/>
      <c r="O48" s="36">
        <f>IF(C48="","",IF(AND(OR(L48="1-Urgent",L48="2-High"),M48="✓"),"DO FIRST",IF(M48="✓","SCHEDULE",IF(OR(L48="1-Urgent",L48="2-High"),"DELEGATE","DELETE"))))</f>
        <v/>
      </c>
      <c r="P48" s="65" t="n"/>
    </row>
    <row r="49">
      <c r="B49" s="71" t="n">
        <v>44</v>
      </c>
      <c r="C49" s="65" t="n"/>
      <c r="D49" s="66" t="n"/>
      <c r="E49" s="67" t="n"/>
      <c r="F49" s="72">
        <f>IF(OR(C49="",E49=""),"",E49-Setup!$D$7)</f>
        <v/>
      </c>
      <c r="G49" s="69" t="n"/>
      <c r="H49" s="69" t="n"/>
      <c r="I49" s="73">
        <f>IF(OR(G49="",H49=""),"",TRIM(IF(HOUR(H49-G49)&gt;0,HOUR(H49-G49)&amp;" hr ","")&amp;IF(MINUTE(H49-G49)&gt;0,MINUTE(H49-G49)&amp;" min","")))</f>
        <v/>
      </c>
      <c r="J49" s="66" t="n"/>
      <c r="K49" s="70" t="n"/>
      <c r="L49" s="66" t="n"/>
      <c r="M49" s="66" t="n"/>
      <c r="N49" s="66" t="n"/>
      <c r="O49" s="73">
        <f>IF(C49="","",IF(AND(OR(L49="1-Urgent",L49="2-High"),M49="✓"),"DO FIRST",IF(M49="✓","SCHEDULE",IF(OR(L49="1-Urgent",L49="2-High"),"DELEGATE","DELETE"))))</f>
        <v/>
      </c>
      <c r="P49" s="65" t="n"/>
    </row>
    <row r="50">
      <c r="B50" s="64" t="n">
        <v>45</v>
      </c>
      <c r="C50" s="65" t="n"/>
      <c r="D50" s="66" t="n"/>
      <c r="E50" s="67" t="n"/>
      <c r="F50" s="68">
        <f>IF(OR(C50="",E50=""),"",E50-Setup!$D$7)</f>
        <v/>
      </c>
      <c r="G50" s="69" t="n"/>
      <c r="H50" s="69" t="n"/>
      <c r="I50" s="36">
        <f>IF(OR(G50="",H50=""),"",TRIM(IF(HOUR(H50-G50)&gt;0,HOUR(H50-G50)&amp;" hr ","")&amp;IF(MINUTE(H50-G50)&gt;0,MINUTE(H50-G50)&amp;" min","")))</f>
        <v/>
      </c>
      <c r="J50" s="66" t="n"/>
      <c r="K50" s="70" t="n"/>
      <c r="L50" s="66" t="n"/>
      <c r="M50" s="66" t="n"/>
      <c r="N50" s="66" t="n"/>
      <c r="O50" s="36">
        <f>IF(C50="","",IF(AND(OR(L50="1-Urgent",L50="2-High"),M50="✓"),"DO FIRST",IF(M50="✓","SCHEDULE",IF(OR(L50="1-Urgent",L50="2-High"),"DELEGATE","DELETE"))))</f>
        <v/>
      </c>
      <c r="P50" s="65" t="n"/>
    </row>
    <row r="51">
      <c r="B51" s="71" t="n">
        <v>46</v>
      </c>
      <c r="C51" s="65" t="n"/>
      <c r="D51" s="66" t="n"/>
      <c r="E51" s="67" t="n"/>
      <c r="F51" s="72">
        <f>IF(OR(C51="",E51=""),"",E51-Setup!$D$7)</f>
        <v/>
      </c>
      <c r="G51" s="69" t="n"/>
      <c r="H51" s="69" t="n"/>
      <c r="I51" s="73">
        <f>IF(OR(G51="",H51=""),"",TRIM(IF(HOUR(H51-G51)&gt;0,HOUR(H51-G51)&amp;" hr ","")&amp;IF(MINUTE(H51-G51)&gt;0,MINUTE(H51-G51)&amp;" min","")))</f>
        <v/>
      </c>
      <c r="J51" s="66" t="n"/>
      <c r="K51" s="70" t="n"/>
      <c r="L51" s="66" t="n"/>
      <c r="M51" s="66" t="n"/>
      <c r="N51" s="66" t="n"/>
      <c r="O51" s="73">
        <f>IF(C51="","",IF(AND(OR(L51="1-Urgent",L51="2-High"),M51="✓"),"DO FIRST",IF(M51="✓","SCHEDULE",IF(OR(L51="1-Urgent",L51="2-High"),"DELEGATE","DELETE"))))</f>
        <v/>
      </c>
      <c r="P51" s="65" t="n"/>
    </row>
    <row r="52">
      <c r="B52" s="64" t="n">
        <v>47</v>
      </c>
      <c r="C52" s="65" t="n"/>
      <c r="D52" s="66" t="n"/>
      <c r="E52" s="67" t="n"/>
      <c r="F52" s="68">
        <f>IF(OR(C52="",E52=""),"",E52-Setup!$D$7)</f>
        <v/>
      </c>
      <c r="G52" s="69" t="n"/>
      <c r="H52" s="69" t="n"/>
      <c r="I52" s="36">
        <f>IF(OR(G52="",H52=""),"",TRIM(IF(HOUR(H52-G52)&gt;0,HOUR(H52-G52)&amp;" hr ","")&amp;IF(MINUTE(H52-G52)&gt;0,MINUTE(H52-G52)&amp;" min","")))</f>
        <v/>
      </c>
      <c r="J52" s="66" t="n"/>
      <c r="K52" s="70" t="n"/>
      <c r="L52" s="66" t="n"/>
      <c r="M52" s="66" t="n"/>
      <c r="N52" s="66" t="n"/>
      <c r="O52" s="36">
        <f>IF(C52="","",IF(AND(OR(L52="1-Urgent",L52="2-High"),M52="✓"),"DO FIRST",IF(M52="✓","SCHEDULE",IF(OR(L52="1-Urgent",L52="2-High"),"DELEGATE","DELETE"))))</f>
        <v/>
      </c>
      <c r="P52" s="65" t="n"/>
    </row>
    <row r="53">
      <c r="B53" s="71" t="n">
        <v>48</v>
      </c>
      <c r="C53" s="65" t="n"/>
      <c r="D53" s="66" t="n"/>
      <c r="E53" s="67" t="n"/>
      <c r="F53" s="72">
        <f>IF(OR(C53="",E53=""),"",E53-Setup!$D$7)</f>
        <v/>
      </c>
      <c r="G53" s="69" t="n"/>
      <c r="H53" s="69" t="n"/>
      <c r="I53" s="73">
        <f>IF(OR(G53="",H53=""),"",TRIM(IF(HOUR(H53-G53)&gt;0,HOUR(H53-G53)&amp;" hr ","")&amp;IF(MINUTE(H53-G53)&gt;0,MINUTE(H53-G53)&amp;" min","")))</f>
        <v/>
      </c>
      <c r="J53" s="66" t="n"/>
      <c r="K53" s="70" t="n"/>
      <c r="L53" s="66" t="n"/>
      <c r="M53" s="66" t="n"/>
      <c r="N53" s="66" t="n"/>
      <c r="O53" s="73">
        <f>IF(C53="","",IF(AND(OR(L53="1-Urgent",L53="2-High"),M53="✓"),"DO FIRST",IF(M53="✓","SCHEDULE",IF(OR(L53="1-Urgent",L53="2-High"),"DELEGATE","DELETE"))))</f>
        <v/>
      </c>
      <c r="P53" s="65" t="n"/>
    </row>
    <row r="54">
      <c r="B54" s="64" t="n">
        <v>49</v>
      </c>
      <c r="C54" s="65" t="n"/>
      <c r="D54" s="66" t="n"/>
      <c r="E54" s="67" t="n"/>
      <c r="F54" s="68">
        <f>IF(OR(C54="",E54=""),"",E54-Setup!$D$7)</f>
        <v/>
      </c>
      <c r="G54" s="69" t="n"/>
      <c r="H54" s="69" t="n"/>
      <c r="I54" s="36">
        <f>IF(OR(G54="",H54=""),"",TRIM(IF(HOUR(H54-G54)&gt;0,HOUR(H54-G54)&amp;" hr ","")&amp;IF(MINUTE(H54-G54)&gt;0,MINUTE(H54-G54)&amp;" min","")))</f>
        <v/>
      </c>
      <c r="J54" s="66" t="n"/>
      <c r="K54" s="70" t="n"/>
      <c r="L54" s="66" t="n"/>
      <c r="M54" s="66" t="n"/>
      <c r="N54" s="66" t="n"/>
      <c r="O54" s="36">
        <f>IF(C54="","",IF(AND(OR(L54="1-Urgent",L54="2-High"),M54="✓"),"DO FIRST",IF(M54="✓","SCHEDULE",IF(OR(L54="1-Urgent",L54="2-High"),"DELEGATE","DELETE"))))</f>
        <v/>
      </c>
      <c r="P54" s="65" t="n"/>
    </row>
    <row r="55">
      <c r="B55" s="71" t="n">
        <v>50</v>
      </c>
      <c r="C55" s="65" t="n"/>
      <c r="D55" s="66" t="n"/>
      <c r="E55" s="67" t="n"/>
      <c r="F55" s="72">
        <f>IF(OR(C55="",E55=""),"",E55-Setup!$D$7)</f>
        <v/>
      </c>
      <c r="G55" s="69" t="n"/>
      <c r="H55" s="69" t="n"/>
      <c r="I55" s="73">
        <f>IF(OR(G55="",H55=""),"",TRIM(IF(HOUR(H55-G55)&gt;0,HOUR(H55-G55)&amp;" hr ","")&amp;IF(MINUTE(H55-G55)&gt;0,MINUTE(H55-G55)&amp;" min","")))</f>
        <v/>
      </c>
      <c r="J55" s="66" t="n"/>
      <c r="K55" s="70" t="n"/>
      <c r="L55" s="66" t="n"/>
      <c r="M55" s="66" t="n"/>
      <c r="N55" s="66" t="n"/>
      <c r="O55" s="73">
        <f>IF(C55="","",IF(AND(OR(L55="1-Urgent",L55="2-High"),M55="✓"),"DO FIRST",IF(M55="✓","SCHEDULE",IF(OR(L55="1-Urgent",L55="2-High"),"DELEGATE","DELETE"))))</f>
        <v/>
      </c>
      <c r="P55" s="65" t="n"/>
    </row>
    <row r="56">
      <c r="B56" s="64" t="n">
        <v>51</v>
      </c>
      <c r="C56" s="65" t="n"/>
      <c r="D56" s="66" t="n"/>
      <c r="E56" s="67" t="n"/>
      <c r="F56" s="68">
        <f>IF(OR(C56="",E56=""),"",E56-Setup!$D$7)</f>
        <v/>
      </c>
      <c r="G56" s="69" t="n"/>
      <c r="H56" s="69" t="n"/>
      <c r="I56" s="36">
        <f>IF(OR(G56="",H56=""),"",TRIM(IF(HOUR(H56-G56)&gt;0,HOUR(H56-G56)&amp;" hr ","")&amp;IF(MINUTE(H56-G56)&gt;0,MINUTE(H56-G56)&amp;" min","")))</f>
        <v/>
      </c>
      <c r="J56" s="66" t="n"/>
      <c r="K56" s="70" t="n"/>
      <c r="L56" s="66" t="n"/>
      <c r="M56" s="66" t="n"/>
      <c r="N56" s="66" t="n"/>
      <c r="O56" s="36">
        <f>IF(C56="","",IF(AND(OR(L56="1-Urgent",L56="2-High"),M56="✓"),"DO FIRST",IF(M56="✓","SCHEDULE",IF(OR(L56="1-Urgent",L56="2-High"),"DELEGATE","DELETE"))))</f>
        <v/>
      </c>
      <c r="P56" s="65" t="n"/>
    </row>
    <row r="57">
      <c r="B57" s="71" t="n">
        <v>52</v>
      </c>
      <c r="C57" s="65" t="n"/>
      <c r="D57" s="66" t="n"/>
      <c r="E57" s="67" t="n"/>
      <c r="F57" s="72">
        <f>IF(OR(C57="",E57=""),"",E57-Setup!$D$7)</f>
        <v/>
      </c>
      <c r="G57" s="69" t="n"/>
      <c r="H57" s="69" t="n"/>
      <c r="I57" s="73">
        <f>IF(OR(G57="",H57=""),"",TRIM(IF(HOUR(H57-G57)&gt;0,HOUR(H57-G57)&amp;" hr ","")&amp;IF(MINUTE(H57-G57)&gt;0,MINUTE(H57-G57)&amp;" min","")))</f>
        <v/>
      </c>
      <c r="J57" s="66" t="n"/>
      <c r="K57" s="70" t="n"/>
      <c r="L57" s="66" t="n"/>
      <c r="M57" s="66" t="n"/>
      <c r="N57" s="66" t="n"/>
      <c r="O57" s="73">
        <f>IF(C57="","",IF(AND(OR(L57="1-Urgent",L57="2-High"),M57="✓"),"DO FIRST",IF(M57="✓","SCHEDULE",IF(OR(L57="1-Urgent",L57="2-High"),"DELEGATE","DELETE"))))</f>
        <v/>
      </c>
      <c r="P57" s="65" t="n"/>
    </row>
    <row r="58">
      <c r="B58" s="64" t="n">
        <v>53</v>
      </c>
      <c r="C58" s="65" t="n"/>
      <c r="D58" s="66" t="n"/>
      <c r="E58" s="67" t="n"/>
      <c r="F58" s="68">
        <f>IF(OR(C58="",E58=""),"",E58-Setup!$D$7)</f>
        <v/>
      </c>
      <c r="G58" s="69" t="n"/>
      <c r="H58" s="69" t="n"/>
      <c r="I58" s="36">
        <f>IF(OR(G58="",H58=""),"",TRIM(IF(HOUR(H58-G58)&gt;0,HOUR(H58-G58)&amp;" hr ","")&amp;IF(MINUTE(H58-G58)&gt;0,MINUTE(H58-G58)&amp;" min","")))</f>
        <v/>
      </c>
      <c r="J58" s="66" t="n"/>
      <c r="K58" s="70" t="n"/>
      <c r="L58" s="66" t="n"/>
      <c r="M58" s="66" t="n"/>
      <c r="N58" s="66" t="n"/>
      <c r="O58" s="36">
        <f>IF(C58="","",IF(AND(OR(L58="1-Urgent",L58="2-High"),M58="✓"),"DO FIRST",IF(M58="✓","SCHEDULE",IF(OR(L58="1-Urgent",L58="2-High"),"DELEGATE","DELETE"))))</f>
        <v/>
      </c>
      <c r="P58" s="65" t="n"/>
    </row>
    <row r="59">
      <c r="B59" s="71" t="n">
        <v>54</v>
      </c>
      <c r="C59" s="65" t="n"/>
      <c r="D59" s="66" t="n"/>
      <c r="E59" s="67" t="n"/>
      <c r="F59" s="72">
        <f>IF(OR(C59="",E59=""),"",E59-Setup!$D$7)</f>
        <v/>
      </c>
      <c r="G59" s="69" t="n"/>
      <c r="H59" s="69" t="n"/>
      <c r="I59" s="73">
        <f>IF(OR(G59="",H59=""),"",TRIM(IF(HOUR(H59-G59)&gt;0,HOUR(H59-G59)&amp;" hr ","")&amp;IF(MINUTE(H59-G59)&gt;0,MINUTE(H59-G59)&amp;" min","")))</f>
        <v/>
      </c>
      <c r="J59" s="66" t="n"/>
      <c r="K59" s="70" t="n"/>
      <c r="L59" s="66" t="n"/>
      <c r="M59" s="66" t="n"/>
      <c r="N59" s="66" t="n"/>
      <c r="O59" s="73">
        <f>IF(C59="","",IF(AND(OR(L59="1-Urgent",L59="2-High"),M59="✓"),"DO FIRST",IF(M59="✓","SCHEDULE",IF(OR(L59="1-Urgent",L59="2-High"),"DELEGATE","DELETE"))))</f>
        <v/>
      </c>
      <c r="P59" s="65" t="n"/>
    </row>
    <row r="60">
      <c r="B60" s="64" t="n">
        <v>55</v>
      </c>
      <c r="C60" s="65" t="n"/>
      <c r="D60" s="66" t="n"/>
      <c r="E60" s="67" t="n"/>
      <c r="F60" s="68">
        <f>IF(OR(C60="",E60=""),"",E60-Setup!$D$7)</f>
        <v/>
      </c>
      <c r="G60" s="69" t="n"/>
      <c r="H60" s="69" t="n"/>
      <c r="I60" s="36">
        <f>IF(OR(G60="",H60=""),"",TRIM(IF(HOUR(H60-G60)&gt;0,HOUR(H60-G60)&amp;" hr ","")&amp;IF(MINUTE(H60-G60)&gt;0,MINUTE(H60-G60)&amp;" min","")))</f>
        <v/>
      </c>
      <c r="J60" s="66" t="n"/>
      <c r="K60" s="70" t="n"/>
      <c r="L60" s="66" t="n"/>
      <c r="M60" s="66" t="n"/>
      <c r="N60" s="66" t="n"/>
      <c r="O60" s="36">
        <f>IF(C60="","",IF(AND(OR(L60="1-Urgent",L60="2-High"),M60="✓"),"DO FIRST",IF(M60="✓","SCHEDULE",IF(OR(L60="1-Urgent",L60="2-High"),"DELEGATE","DELETE"))))</f>
        <v/>
      </c>
      <c r="P60" s="65" t="n"/>
    </row>
    <row r="61">
      <c r="B61" s="71" t="n">
        <v>56</v>
      </c>
      <c r="C61" s="65" t="n"/>
      <c r="D61" s="66" t="n"/>
      <c r="E61" s="67" t="n"/>
      <c r="F61" s="72">
        <f>IF(OR(C61="",E61=""),"",E61-Setup!$D$7)</f>
        <v/>
      </c>
      <c r="G61" s="69" t="n"/>
      <c r="H61" s="69" t="n"/>
      <c r="I61" s="73">
        <f>IF(OR(G61="",H61=""),"",TRIM(IF(HOUR(H61-G61)&gt;0,HOUR(H61-G61)&amp;" hr ","")&amp;IF(MINUTE(H61-G61)&gt;0,MINUTE(H61-G61)&amp;" min","")))</f>
        <v/>
      </c>
      <c r="J61" s="66" t="n"/>
      <c r="K61" s="70" t="n"/>
      <c r="L61" s="66" t="n"/>
      <c r="M61" s="66" t="n"/>
      <c r="N61" s="66" t="n"/>
      <c r="O61" s="73">
        <f>IF(C61="","",IF(AND(OR(L61="1-Urgent",L61="2-High"),M61="✓"),"DO FIRST",IF(M61="✓","SCHEDULE",IF(OR(L61="1-Urgent",L61="2-High"),"DELEGATE","DELETE"))))</f>
        <v/>
      </c>
      <c r="P61" s="65" t="n"/>
    </row>
    <row r="62">
      <c r="B62" s="64" t="n">
        <v>57</v>
      </c>
      <c r="C62" s="65" t="n"/>
      <c r="D62" s="66" t="n"/>
      <c r="E62" s="67" t="n"/>
      <c r="F62" s="68">
        <f>IF(OR(C62="",E62=""),"",E62-Setup!$D$7)</f>
        <v/>
      </c>
      <c r="G62" s="69" t="n"/>
      <c r="H62" s="69" t="n"/>
      <c r="I62" s="36">
        <f>IF(OR(G62="",H62=""),"",TRIM(IF(HOUR(H62-G62)&gt;0,HOUR(H62-G62)&amp;" hr ","")&amp;IF(MINUTE(H62-G62)&gt;0,MINUTE(H62-G62)&amp;" min","")))</f>
        <v/>
      </c>
      <c r="J62" s="66" t="n"/>
      <c r="K62" s="70" t="n"/>
      <c r="L62" s="66" t="n"/>
      <c r="M62" s="66" t="n"/>
      <c r="N62" s="66" t="n"/>
      <c r="O62" s="36">
        <f>IF(C62="","",IF(AND(OR(L62="1-Urgent",L62="2-High"),M62="✓"),"DO FIRST",IF(M62="✓","SCHEDULE",IF(OR(L62="1-Urgent",L62="2-High"),"DELEGATE","DELETE"))))</f>
        <v/>
      </c>
      <c r="P62" s="65" t="n"/>
    </row>
    <row r="63">
      <c r="B63" s="71" t="n">
        <v>58</v>
      </c>
      <c r="C63" s="65" t="n"/>
      <c r="D63" s="66" t="n"/>
      <c r="E63" s="67" t="n"/>
      <c r="F63" s="72">
        <f>IF(OR(C63="",E63=""),"",E63-Setup!$D$7)</f>
        <v/>
      </c>
      <c r="G63" s="69" t="n"/>
      <c r="H63" s="69" t="n"/>
      <c r="I63" s="73">
        <f>IF(OR(G63="",H63=""),"",TRIM(IF(HOUR(H63-G63)&gt;0,HOUR(H63-G63)&amp;" hr ","")&amp;IF(MINUTE(H63-G63)&gt;0,MINUTE(H63-G63)&amp;" min","")))</f>
        <v/>
      </c>
      <c r="J63" s="66" t="n"/>
      <c r="K63" s="70" t="n"/>
      <c r="L63" s="66" t="n"/>
      <c r="M63" s="66" t="n"/>
      <c r="N63" s="66" t="n"/>
      <c r="O63" s="73">
        <f>IF(C63="","",IF(AND(OR(L63="1-Urgent",L63="2-High"),M63="✓"),"DO FIRST",IF(M63="✓","SCHEDULE",IF(OR(L63="1-Urgent",L63="2-High"),"DELEGATE","DELETE"))))</f>
        <v/>
      </c>
      <c r="P63" s="65" t="n"/>
    </row>
    <row r="64">
      <c r="B64" s="64" t="n">
        <v>59</v>
      </c>
      <c r="C64" s="65" t="n"/>
      <c r="D64" s="66" t="n"/>
      <c r="E64" s="67" t="n"/>
      <c r="F64" s="68">
        <f>IF(OR(C64="",E64=""),"",E64-Setup!$D$7)</f>
        <v/>
      </c>
      <c r="G64" s="69" t="n"/>
      <c r="H64" s="69" t="n"/>
      <c r="I64" s="36">
        <f>IF(OR(G64="",H64=""),"",TRIM(IF(HOUR(H64-G64)&gt;0,HOUR(H64-G64)&amp;" hr ","")&amp;IF(MINUTE(H64-G64)&gt;0,MINUTE(H64-G64)&amp;" min","")))</f>
        <v/>
      </c>
      <c r="J64" s="66" t="n"/>
      <c r="K64" s="70" t="n"/>
      <c r="L64" s="66" t="n"/>
      <c r="M64" s="66" t="n"/>
      <c r="N64" s="66" t="n"/>
      <c r="O64" s="36">
        <f>IF(C64="","",IF(AND(OR(L64="1-Urgent",L64="2-High"),M64="✓"),"DO FIRST",IF(M64="✓","SCHEDULE",IF(OR(L64="1-Urgent",L64="2-High"),"DELEGATE","DELETE"))))</f>
        <v/>
      </c>
      <c r="P64" s="65" t="n"/>
    </row>
    <row r="65">
      <c r="B65" s="71" t="n">
        <v>60</v>
      </c>
      <c r="C65" s="65" t="n"/>
      <c r="D65" s="66" t="n"/>
      <c r="E65" s="67" t="n"/>
      <c r="F65" s="72">
        <f>IF(OR(C65="",E65=""),"",E65-Setup!$D$7)</f>
        <v/>
      </c>
      <c r="G65" s="69" t="n"/>
      <c r="H65" s="69" t="n"/>
      <c r="I65" s="73">
        <f>IF(OR(G65="",H65=""),"",TRIM(IF(HOUR(H65-G65)&gt;0,HOUR(H65-G65)&amp;" hr ","")&amp;IF(MINUTE(H65-G65)&gt;0,MINUTE(H65-G65)&amp;" min","")))</f>
        <v/>
      </c>
      <c r="J65" s="66" t="n"/>
      <c r="K65" s="70" t="n"/>
      <c r="L65" s="66" t="n"/>
      <c r="M65" s="66" t="n"/>
      <c r="N65" s="66" t="n"/>
      <c r="O65" s="73">
        <f>IF(C65="","",IF(AND(OR(L65="1-Urgent",L65="2-High"),M65="✓"),"DO FIRST",IF(M65="✓","SCHEDULE",IF(OR(L65="1-Urgent",L65="2-High"),"DELEGATE","DELETE"))))</f>
        <v/>
      </c>
      <c r="P65" s="65" t="n"/>
    </row>
    <row r="66">
      <c r="B66" s="64" t="n">
        <v>61</v>
      </c>
      <c r="C66" s="65" t="n"/>
      <c r="D66" s="66" t="n"/>
      <c r="E66" s="67" t="n"/>
      <c r="F66" s="68">
        <f>IF(OR(C66="",E66=""),"",E66-Setup!$D$7)</f>
        <v/>
      </c>
      <c r="G66" s="69" t="n"/>
      <c r="H66" s="69" t="n"/>
      <c r="I66" s="36">
        <f>IF(OR(G66="",H66=""),"",TRIM(IF(HOUR(H66-G66)&gt;0,HOUR(H66-G66)&amp;" hr ","")&amp;IF(MINUTE(H66-G66)&gt;0,MINUTE(H66-G66)&amp;" min","")))</f>
        <v/>
      </c>
      <c r="J66" s="66" t="n"/>
      <c r="K66" s="70" t="n"/>
      <c r="L66" s="66" t="n"/>
      <c r="M66" s="66" t="n"/>
      <c r="N66" s="66" t="n"/>
      <c r="O66" s="36">
        <f>IF(C66="","",IF(AND(OR(L66="1-Urgent",L66="2-High"),M66="✓"),"DO FIRST",IF(M66="✓","SCHEDULE",IF(OR(L66="1-Urgent",L66="2-High"),"DELEGATE","DELETE"))))</f>
        <v/>
      </c>
      <c r="P66" s="65" t="n"/>
    </row>
    <row r="67">
      <c r="B67" s="71" t="n">
        <v>62</v>
      </c>
      <c r="C67" s="65" t="n"/>
      <c r="D67" s="66" t="n"/>
      <c r="E67" s="67" t="n"/>
      <c r="F67" s="72">
        <f>IF(OR(C67="",E67=""),"",E67-Setup!$D$7)</f>
        <v/>
      </c>
      <c r="G67" s="69" t="n"/>
      <c r="H67" s="69" t="n"/>
      <c r="I67" s="73">
        <f>IF(OR(G67="",H67=""),"",TRIM(IF(HOUR(H67-G67)&gt;0,HOUR(H67-G67)&amp;" hr ","")&amp;IF(MINUTE(H67-G67)&gt;0,MINUTE(H67-G67)&amp;" min","")))</f>
        <v/>
      </c>
      <c r="J67" s="66" t="n"/>
      <c r="K67" s="70" t="n"/>
      <c r="L67" s="66" t="n"/>
      <c r="M67" s="66" t="n"/>
      <c r="N67" s="66" t="n"/>
      <c r="O67" s="73">
        <f>IF(C67="","",IF(AND(OR(L67="1-Urgent",L67="2-High"),M67="✓"),"DO FIRST",IF(M67="✓","SCHEDULE",IF(OR(L67="1-Urgent",L67="2-High"),"DELEGATE","DELETE"))))</f>
        <v/>
      </c>
      <c r="P67" s="65" t="n"/>
    </row>
    <row r="68">
      <c r="B68" s="64" t="n">
        <v>63</v>
      </c>
      <c r="C68" s="65" t="n"/>
      <c r="D68" s="66" t="n"/>
      <c r="E68" s="67" t="n"/>
      <c r="F68" s="68">
        <f>IF(OR(C68="",E68=""),"",E68-Setup!$D$7)</f>
        <v/>
      </c>
      <c r="G68" s="69" t="n"/>
      <c r="H68" s="69" t="n"/>
      <c r="I68" s="36">
        <f>IF(OR(G68="",H68=""),"",TRIM(IF(HOUR(H68-G68)&gt;0,HOUR(H68-G68)&amp;" hr ","")&amp;IF(MINUTE(H68-G68)&gt;0,MINUTE(H68-G68)&amp;" min","")))</f>
        <v/>
      </c>
      <c r="J68" s="66" t="n"/>
      <c r="K68" s="70" t="n"/>
      <c r="L68" s="66" t="n"/>
      <c r="M68" s="66" t="n"/>
      <c r="N68" s="66" t="n"/>
      <c r="O68" s="36">
        <f>IF(C68="","",IF(AND(OR(L68="1-Urgent",L68="2-High"),M68="✓"),"DO FIRST",IF(M68="✓","SCHEDULE",IF(OR(L68="1-Urgent",L68="2-High"),"DELEGATE","DELETE"))))</f>
        <v/>
      </c>
      <c r="P68" s="65" t="n"/>
    </row>
    <row r="69">
      <c r="B69" s="71" t="n">
        <v>64</v>
      </c>
      <c r="C69" s="65" t="n"/>
      <c r="D69" s="66" t="n"/>
      <c r="E69" s="67" t="n"/>
      <c r="F69" s="72">
        <f>IF(OR(C69="",E69=""),"",E69-Setup!$D$7)</f>
        <v/>
      </c>
      <c r="G69" s="69" t="n"/>
      <c r="H69" s="69" t="n"/>
      <c r="I69" s="73">
        <f>IF(OR(G69="",H69=""),"",TRIM(IF(HOUR(H69-G69)&gt;0,HOUR(H69-G69)&amp;" hr ","")&amp;IF(MINUTE(H69-G69)&gt;0,MINUTE(H69-G69)&amp;" min","")))</f>
        <v/>
      </c>
      <c r="J69" s="66" t="n"/>
      <c r="K69" s="70" t="n"/>
      <c r="L69" s="66" t="n"/>
      <c r="M69" s="66" t="n"/>
      <c r="N69" s="66" t="n"/>
      <c r="O69" s="73">
        <f>IF(C69="","",IF(AND(OR(L69="1-Urgent",L69="2-High"),M69="✓"),"DO FIRST",IF(M69="✓","SCHEDULE",IF(OR(L69="1-Urgent",L69="2-High"),"DELEGATE","DELETE"))))</f>
        <v/>
      </c>
      <c r="P69" s="65" t="n"/>
    </row>
    <row r="70">
      <c r="B70" s="64" t="n">
        <v>65</v>
      </c>
      <c r="C70" s="65" t="n"/>
      <c r="D70" s="66" t="n"/>
      <c r="E70" s="67" t="n"/>
      <c r="F70" s="68">
        <f>IF(OR(C70="",E70=""),"",E70-Setup!$D$7)</f>
        <v/>
      </c>
      <c r="G70" s="69" t="n"/>
      <c r="H70" s="69" t="n"/>
      <c r="I70" s="36">
        <f>IF(OR(G70="",H70=""),"",TRIM(IF(HOUR(H70-G70)&gt;0,HOUR(H70-G70)&amp;" hr ","")&amp;IF(MINUTE(H70-G70)&gt;0,MINUTE(H70-G70)&amp;" min","")))</f>
        <v/>
      </c>
      <c r="J70" s="66" t="n"/>
      <c r="K70" s="70" t="n"/>
      <c r="L70" s="66" t="n"/>
      <c r="M70" s="66" t="n"/>
      <c r="N70" s="66" t="n"/>
      <c r="O70" s="36">
        <f>IF(C70="","",IF(AND(OR(L70="1-Urgent",L70="2-High"),M70="✓"),"DO FIRST",IF(M70="✓","SCHEDULE",IF(OR(L70="1-Urgent",L70="2-High"),"DELEGATE","DELETE"))))</f>
        <v/>
      </c>
      <c r="P70" s="65" t="n"/>
    </row>
    <row r="71">
      <c r="B71" s="71" t="n">
        <v>66</v>
      </c>
      <c r="C71" s="65" t="n"/>
      <c r="D71" s="66" t="n"/>
      <c r="E71" s="67" t="n"/>
      <c r="F71" s="72">
        <f>IF(OR(C71="",E71=""),"",E71-Setup!$D$7)</f>
        <v/>
      </c>
      <c r="G71" s="69" t="n"/>
      <c r="H71" s="69" t="n"/>
      <c r="I71" s="73">
        <f>IF(OR(G71="",H71=""),"",TRIM(IF(HOUR(H71-G71)&gt;0,HOUR(H71-G71)&amp;" hr ","")&amp;IF(MINUTE(H71-G71)&gt;0,MINUTE(H71-G71)&amp;" min","")))</f>
        <v/>
      </c>
      <c r="J71" s="66" t="n"/>
      <c r="K71" s="70" t="n"/>
      <c r="L71" s="66" t="n"/>
      <c r="M71" s="66" t="n"/>
      <c r="N71" s="66" t="n"/>
      <c r="O71" s="73">
        <f>IF(C71="","",IF(AND(OR(L71="1-Urgent",L71="2-High"),M71="✓"),"DO FIRST",IF(M71="✓","SCHEDULE",IF(OR(L71="1-Urgent",L71="2-High"),"DELEGATE","DELETE"))))</f>
        <v/>
      </c>
      <c r="P71" s="65" t="n"/>
    </row>
    <row r="72">
      <c r="B72" s="64" t="n">
        <v>67</v>
      </c>
      <c r="C72" s="65" t="n"/>
      <c r="D72" s="66" t="n"/>
      <c r="E72" s="67" t="n"/>
      <c r="F72" s="68">
        <f>IF(OR(C72="",E72=""),"",E72-Setup!$D$7)</f>
        <v/>
      </c>
      <c r="G72" s="69" t="n"/>
      <c r="H72" s="69" t="n"/>
      <c r="I72" s="36">
        <f>IF(OR(G72="",H72=""),"",TRIM(IF(HOUR(H72-G72)&gt;0,HOUR(H72-G72)&amp;" hr ","")&amp;IF(MINUTE(H72-G72)&gt;0,MINUTE(H72-G72)&amp;" min","")))</f>
        <v/>
      </c>
      <c r="J72" s="66" t="n"/>
      <c r="K72" s="70" t="n"/>
      <c r="L72" s="66" t="n"/>
      <c r="M72" s="66" t="n"/>
      <c r="N72" s="66" t="n"/>
      <c r="O72" s="36">
        <f>IF(C72="","",IF(AND(OR(L72="1-Urgent",L72="2-High"),M72="✓"),"DO FIRST",IF(M72="✓","SCHEDULE",IF(OR(L72="1-Urgent",L72="2-High"),"DELEGATE","DELETE"))))</f>
        <v/>
      </c>
      <c r="P72" s="65" t="n"/>
    </row>
    <row r="73">
      <c r="B73" s="71" t="n">
        <v>68</v>
      </c>
      <c r="C73" s="65" t="n"/>
      <c r="D73" s="66" t="n"/>
      <c r="E73" s="67" t="n"/>
      <c r="F73" s="72">
        <f>IF(OR(C73="",E73=""),"",E73-Setup!$D$7)</f>
        <v/>
      </c>
      <c r="G73" s="69" t="n"/>
      <c r="H73" s="69" t="n"/>
      <c r="I73" s="73">
        <f>IF(OR(G73="",H73=""),"",TRIM(IF(HOUR(H73-G73)&gt;0,HOUR(H73-G73)&amp;" hr ","")&amp;IF(MINUTE(H73-G73)&gt;0,MINUTE(H73-G73)&amp;" min","")))</f>
        <v/>
      </c>
      <c r="J73" s="66" t="n"/>
      <c r="K73" s="70" t="n"/>
      <c r="L73" s="66" t="n"/>
      <c r="M73" s="66" t="n"/>
      <c r="N73" s="66" t="n"/>
      <c r="O73" s="73">
        <f>IF(C73="","",IF(AND(OR(L73="1-Urgent",L73="2-High"),M73="✓"),"DO FIRST",IF(M73="✓","SCHEDULE",IF(OR(L73="1-Urgent",L73="2-High"),"DELEGATE","DELETE"))))</f>
        <v/>
      </c>
      <c r="P73" s="65" t="n"/>
    </row>
    <row r="74">
      <c r="B74" s="64" t="n">
        <v>69</v>
      </c>
      <c r="C74" s="65" t="n"/>
      <c r="D74" s="66" t="n"/>
      <c r="E74" s="67" t="n"/>
      <c r="F74" s="68">
        <f>IF(OR(C74="",E74=""),"",E74-Setup!$D$7)</f>
        <v/>
      </c>
      <c r="G74" s="69" t="n"/>
      <c r="H74" s="69" t="n"/>
      <c r="I74" s="36">
        <f>IF(OR(G74="",H74=""),"",TRIM(IF(HOUR(H74-G74)&gt;0,HOUR(H74-G74)&amp;" hr ","")&amp;IF(MINUTE(H74-G74)&gt;0,MINUTE(H74-G74)&amp;" min","")))</f>
        <v/>
      </c>
      <c r="J74" s="66" t="n"/>
      <c r="K74" s="70" t="n"/>
      <c r="L74" s="66" t="n"/>
      <c r="M74" s="66" t="n"/>
      <c r="N74" s="66" t="n"/>
      <c r="O74" s="36">
        <f>IF(C74="","",IF(AND(OR(L74="1-Urgent",L74="2-High"),M74="✓"),"DO FIRST",IF(M74="✓","SCHEDULE",IF(OR(L74="1-Urgent",L74="2-High"),"DELEGATE","DELETE"))))</f>
        <v/>
      </c>
      <c r="P74" s="65" t="n"/>
    </row>
    <row r="75">
      <c r="B75" s="71" t="n">
        <v>70</v>
      </c>
      <c r="C75" s="65" t="n"/>
      <c r="D75" s="66" t="n"/>
      <c r="E75" s="67" t="n"/>
      <c r="F75" s="72">
        <f>IF(OR(C75="",E75=""),"",E75-Setup!$D$7)</f>
        <v/>
      </c>
      <c r="G75" s="69" t="n"/>
      <c r="H75" s="69" t="n"/>
      <c r="I75" s="73">
        <f>IF(OR(G75="",H75=""),"",TRIM(IF(HOUR(H75-G75)&gt;0,HOUR(H75-G75)&amp;" hr ","")&amp;IF(MINUTE(H75-G75)&gt;0,MINUTE(H75-G75)&amp;" min","")))</f>
        <v/>
      </c>
      <c r="J75" s="66" t="n"/>
      <c r="K75" s="70" t="n"/>
      <c r="L75" s="66" t="n"/>
      <c r="M75" s="66" t="n"/>
      <c r="N75" s="66" t="n"/>
      <c r="O75" s="73">
        <f>IF(C75="","",IF(AND(OR(L75="1-Urgent",L75="2-High"),M75="✓"),"DO FIRST",IF(M75="✓","SCHEDULE",IF(OR(L75="1-Urgent",L75="2-High"),"DELEGATE","DELETE"))))</f>
        <v/>
      </c>
      <c r="P75" s="65" t="n"/>
    </row>
    <row r="76">
      <c r="B76" s="64" t="n">
        <v>71</v>
      </c>
      <c r="C76" s="65" t="n"/>
      <c r="D76" s="66" t="n"/>
      <c r="E76" s="67" t="n"/>
      <c r="F76" s="68">
        <f>IF(OR(C76="",E76=""),"",E76-Setup!$D$7)</f>
        <v/>
      </c>
      <c r="G76" s="69" t="n"/>
      <c r="H76" s="69" t="n"/>
      <c r="I76" s="36">
        <f>IF(OR(G76="",H76=""),"",TRIM(IF(HOUR(H76-G76)&gt;0,HOUR(H76-G76)&amp;" hr ","")&amp;IF(MINUTE(H76-G76)&gt;0,MINUTE(H76-G76)&amp;" min","")))</f>
        <v/>
      </c>
      <c r="J76" s="66" t="n"/>
      <c r="K76" s="70" t="n"/>
      <c r="L76" s="66" t="n"/>
      <c r="M76" s="66" t="n"/>
      <c r="N76" s="66" t="n"/>
      <c r="O76" s="36">
        <f>IF(C76="","",IF(AND(OR(L76="1-Urgent",L76="2-High"),M76="✓"),"DO FIRST",IF(M76="✓","SCHEDULE",IF(OR(L76="1-Urgent",L76="2-High"),"DELEGATE","DELETE"))))</f>
        <v/>
      </c>
      <c r="P76" s="65" t="n"/>
    </row>
    <row r="77">
      <c r="B77" s="71" t="n">
        <v>72</v>
      </c>
      <c r="C77" s="65" t="n"/>
      <c r="D77" s="66" t="n"/>
      <c r="E77" s="67" t="n"/>
      <c r="F77" s="72">
        <f>IF(OR(C77="",E77=""),"",E77-Setup!$D$7)</f>
        <v/>
      </c>
      <c r="G77" s="69" t="n"/>
      <c r="H77" s="69" t="n"/>
      <c r="I77" s="73">
        <f>IF(OR(G77="",H77=""),"",TRIM(IF(HOUR(H77-G77)&gt;0,HOUR(H77-G77)&amp;" hr ","")&amp;IF(MINUTE(H77-G77)&gt;0,MINUTE(H77-G77)&amp;" min","")))</f>
        <v/>
      </c>
      <c r="J77" s="66" t="n"/>
      <c r="K77" s="70" t="n"/>
      <c r="L77" s="66" t="n"/>
      <c r="M77" s="66" t="n"/>
      <c r="N77" s="66" t="n"/>
      <c r="O77" s="73">
        <f>IF(C77="","",IF(AND(OR(L77="1-Urgent",L77="2-High"),M77="✓"),"DO FIRST",IF(M77="✓","SCHEDULE",IF(OR(L77="1-Urgent",L77="2-High"),"DELEGATE","DELETE"))))</f>
        <v/>
      </c>
      <c r="P77" s="65" t="n"/>
    </row>
    <row r="78">
      <c r="B78" s="64" t="n">
        <v>73</v>
      </c>
      <c r="C78" s="65" t="n"/>
      <c r="D78" s="66" t="n"/>
      <c r="E78" s="67" t="n"/>
      <c r="F78" s="68">
        <f>IF(OR(C78="",E78=""),"",E78-Setup!$D$7)</f>
        <v/>
      </c>
      <c r="G78" s="69" t="n"/>
      <c r="H78" s="69" t="n"/>
      <c r="I78" s="36">
        <f>IF(OR(G78="",H78=""),"",TRIM(IF(HOUR(H78-G78)&gt;0,HOUR(H78-G78)&amp;" hr ","")&amp;IF(MINUTE(H78-G78)&gt;0,MINUTE(H78-G78)&amp;" min","")))</f>
        <v/>
      </c>
      <c r="J78" s="66" t="n"/>
      <c r="K78" s="70" t="n"/>
      <c r="L78" s="66" t="n"/>
      <c r="M78" s="66" t="n"/>
      <c r="N78" s="66" t="n"/>
      <c r="O78" s="36">
        <f>IF(C78="","",IF(AND(OR(L78="1-Urgent",L78="2-High"),M78="✓"),"DO FIRST",IF(M78="✓","SCHEDULE",IF(OR(L78="1-Urgent",L78="2-High"),"DELEGATE","DELETE"))))</f>
        <v/>
      </c>
      <c r="P78" s="65" t="n"/>
    </row>
    <row r="79">
      <c r="B79" s="71" t="n">
        <v>74</v>
      </c>
      <c r="C79" s="65" t="n"/>
      <c r="D79" s="66" t="n"/>
      <c r="E79" s="67" t="n"/>
      <c r="F79" s="72">
        <f>IF(OR(C79="",E79=""),"",E79-Setup!$D$7)</f>
        <v/>
      </c>
      <c r="G79" s="69" t="n"/>
      <c r="H79" s="69" t="n"/>
      <c r="I79" s="73">
        <f>IF(OR(G79="",H79=""),"",TRIM(IF(HOUR(H79-G79)&gt;0,HOUR(H79-G79)&amp;" hr ","")&amp;IF(MINUTE(H79-G79)&gt;0,MINUTE(H79-G79)&amp;" min","")))</f>
        <v/>
      </c>
      <c r="J79" s="66" t="n"/>
      <c r="K79" s="70" t="n"/>
      <c r="L79" s="66" t="n"/>
      <c r="M79" s="66" t="n"/>
      <c r="N79" s="66" t="n"/>
      <c r="O79" s="73">
        <f>IF(C79="","",IF(AND(OR(L79="1-Urgent",L79="2-High"),M79="✓"),"DO FIRST",IF(M79="✓","SCHEDULE",IF(OR(L79="1-Urgent",L79="2-High"),"DELEGATE","DELETE"))))</f>
        <v/>
      </c>
      <c r="P79" s="65" t="n"/>
    </row>
    <row r="80">
      <c r="B80" s="64" t="n">
        <v>75</v>
      </c>
      <c r="C80" s="65" t="n"/>
      <c r="D80" s="66" t="n"/>
      <c r="E80" s="67" t="n"/>
      <c r="F80" s="68">
        <f>IF(OR(C80="",E80=""),"",E80-Setup!$D$7)</f>
        <v/>
      </c>
      <c r="G80" s="69" t="n"/>
      <c r="H80" s="69" t="n"/>
      <c r="I80" s="36">
        <f>IF(OR(G80="",H80=""),"",TRIM(IF(HOUR(H80-G80)&gt;0,HOUR(H80-G80)&amp;" hr ","")&amp;IF(MINUTE(H80-G80)&gt;0,MINUTE(H80-G80)&amp;" min","")))</f>
        <v/>
      </c>
      <c r="J80" s="66" t="n"/>
      <c r="K80" s="70" t="n"/>
      <c r="L80" s="66" t="n"/>
      <c r="M80" s="66" t="n"/>
      <c r="N80" s="66" t="n"/>
      <c r="O80" s="36">
        <f>IF(C80="","",IF(AND(OR(L80="1-Urgent",L80="2-High"),M80="✓"),"DO FIRST",IF(M80="✓","SCHEDULE",IF(OR(L80="1-Urgent",L80="2-High"),"DELEGATE","DELETE"))))</f>
        <v/>
      </c>
      <c r="P80" s="65" t="n"/>
    </row>
    <row r="81">
      <c r="B81" s="71" t="n">
        <v>76</v>
      </c>
      <c r="C81" s="65" t="n"/>
      <c r="D81" s="66" t="n"/>
      <c r="E81" s="67" t="n"/>
      <c r="F81" s="72">
        <f>IF(OR(C81="",E81=""),"",E81-Setup!$D$7)</f>
        <v/>
      </c>
      <c r="G81" s="69" t="n"/>
      <c r="H81" s="69" t="n"/>
      <c r="I81" s="73">
        <f>IF(OR(G81="",H81=""),"",TRIM(IF(HOUR(H81-G81)&gt;0,HOUR(H81-G81)&amp;" hr ","")&amp;IF(MINUTE(H81-G81)&gt;0,MINUTE(H81-G81)&amp;" min","")))</f>
        <v/>
      </c>
      <c r="J81" s="66" t="n"/>
      <c r="K81" s="70" t="n"/>
      <c r="L81" s="66" t="n"/>
      <c r="M81" s="66" t="n"/>
      <c r="N81" s="66" t="n"/>
      <c r="O81" s="73">
        <f>IF(C81="","",IF(AND(OR(L81="1-Urgent",L81="2-High"),M81="✓"),"DO FIRST",IF(M81="✓","SCHEDULE",IF(OR(L81="1-Urgent",L81="2-High"),"DELEGATE","DELETE"))))</f>
        <v/>
      </c>
      <c r="P81" s="65" t="n"/>
    </row>
    <row r="82">
      <c r="B82" s="64" t="n">
        <v>77</v>
      </c>
      <c r="C82" s="65" t="n"/>
      <c r="D82" s="66" t="n"/>
      <c r="E82" s="67" t="n"/>
      <c r="F82" s="68">
        <f>IF(OR(C82="",E82=""),"",E82-Setup!$D$7)</f>
        <v/>
      </c>
      <c r="G82" s="69" t="n"/>
      <c r="H82" s="69" t="n"/>
      <c r="I82" s="36">
        <f>IF(OR(G82="",H82=""),"",TRIM(IF(HOUR(H82-G82)&gt;0,HOUR(H82-G82)&amp;" hr ","")&amp;IF(MINUTE(H82-G82)&gt;0,MINUTE(H82-G82)&amp;" min","")))</f>
        <v/>
      </c>
      <c r="J82" s="66" t="n"/>
      <c r="K82" s="70" t="n"/>
      <c r="L82" s="66" t="n"/>
      <c r="M82" s="66" t="n"/>
      <c r="N82" s="66" t="n"/>
      <c r="O82" s="36">
        <f>IF(C82="","",IF(AND(OR(L82="1-Urgent",L82="2-High"),M82="✓"),"DO FIRST",IF(M82="✓","SCHEDULE",IF(OR(L82="1-Urgent",L82="2-High"),"DELEGATE","DELETE"))))</f>
        <v/>
      </c>
      <c r="P82" s="65" t="n"/>
    </row>
    <row r="83">
      <c r="B83" s="71" t="n">
        <v>78</v>
      </c>
      <c r="C83" s="65" t="n"/>
      <c r="D83" s="66" t="n"/>
      <c r="E83" s="67" t="n"/>
      <c r="F83" s="72">
        <f>IF(OR(C83="",E83=""),"",E83-Setup!$D$7)</f>
        <v/>
      </c>
      <c r="G83" s="69" t="n"/>
      <c r="H83" s="69" t="n"/>
      <c r="I83" s="73">
        <f>IF(OR(G83="",H83=""),"",TRIM(IF(HOUR(H83-G83)&gt;0,HOUR(H83-G83)&amp;" hr ","")&amp;IF(MINUTE(H83-G83)&gt;0,MINUTE(H83-G83)&amp;" min","")))</f>
        <v/>
      </c>
      <c r="J83" s="66" t="n"/>
      <c r="K83" s="70" t="n"/>
      <c r="L83" s="66" t="n"/>
      <c r="M83" s="66" t="n"/>
      <c r="N83" s="66" t="n"/>
      <c r="O83" s="73">
        <f>IF(C83="","",IF(AND(OR(L83="1-Urgent",L83="2-High"),M83="✓"),"DO FIRST",IF(M83="✓","SCHEDULE",IF(OR(L83="1-Urgent",L83="2-High"),"DELEGATE","DELETE"))))</f>
        <v/>
      </c>
      <c r="P83" s="65" t="n"/>
    </row>
    <row r="84">
      <c r="B84" s="64" t="n">
        <v>79</v>
      </c>
      <c r="C84" s="65" t="n"/>
      <c r="D84" s="66" t="n"/>
      <c r="E84" s="67" t="n"/>
      <c r="F84" s="68">
        <f>IF(OR(C84="",E84=""),"",E84-Setup!$D$7)</f>
        <v/>
      </c>
      <c r="G84" s="69" t="n"/>
      <c r="H84" s="69" t="n"/>
      <c r="I84" s="36">
        <f>IF(OR(G84="",H84=""),"",TRIM(IF(HOUR(H84-G84)&gt;0,HOUR(H84-G84)&amp;" hr ","")&amp;IF(MINUTE(H84-G84)&gt;0,MINUTE(H84-G84)&amp;" min","")))</f>
        <v/>
      </c>
      <c r="J84" s="66" t="n"/>
      <c r="K84" s="70" t="n"/>
      <c r="L84" s="66" t="n"/>
      <c r="M84" s="66" t="n"/>
      <c r="N84" s="66" t="n"/>
      <c r="O84" s="36">
        <f>IF(C84="","",IF(AND(OR(L84="1-Urgent",L84="2-High"),M84="✓"),"DO FIRST",IF(M84="✓","SCHEDULE",IF(OR(L84="1-Urgent",L84="2-High"),"DELEGATE","DELETE"))))</f>
        <v/>
      </c>
      <c r="P84" s="65" t="n"/>
    </row>
    <row r="85">
      <c r="B85" s="71" t="n">
        <v>80</v>
      </c>
      <c r="C85" s="65" t="n"/>
      <c r="D85" s="66" t="n"/>
      <c r="E85" s="67" t="n"/>
      <c r="F85" s="72">
        <f>IF(OR(C85="",E85=""),"",E85-Setup!$D$7)</f>
        <v/>
      </c>
      <c r="G85" s="69" t="n"/>
      <c r="H85" s="69" t="n"/>
      <c r="I85" s="73">
        <f>IF(OR(G85="",H85=""),"",TRIM(IF(HOUR(H85-G85)&gt;0,HOUR(H85-G85)&amp;" hr ","")&amp;IF(MINUTE(H85-G85)&gt;0,MINUTE(H85-G85)&amp;" min","")))</f>
        <v/>
      </c>
      <c r="J85" s="66" t="n"/>
      <c r="K85" s="70" t="n"/>
      <c r="L85" s="66" t="n"/>
      <c r="M85" s="66" t="n"/>
      <c r="N85" s="66" t="n"/>
      <c r="O85" s="73">
        <f>IF(C85="","",IF(AND(OR(L85="1-Urgent",L85="2-High"),M85="✓"),"DO FIRST",IF(M85="✓","SCHEDULE",IF(OR(L85="1-Urgent",L85="2-High"),"DELEGATE","DELETE"))))</f>
        <v/>
      </c>
      <c r="P85" s="65" t="n"/>
    </row>
    <row r="86">
      <c r="B86" s="64" t="n">
        <v>81</v>
      </c>
      <c r="C86" s="65" t="n"/>
      <c r="D86" s="66" t="n"/>
      <c r="E86" s="67" t="n"/>
      <c r="F86" s="68">
        <f>IF(OR(C86="",E86=""),"",E86-Setup!$D$7)</f>
        <v/>
      </c>
      <c r="G86" s="69" t="n"/>
      <c r="H86" s="69" t="n"/>
      <c r="I86" s="36">
        <f>IF(OR(G86="",H86=""),"",TRIM(IF(HOUR(H86-G86)&gt;0,HOUR(H86-G86)&amp;" hr ","")&amp;IF(MINUTE(H86-G86)&gt;0,MINUTE(H86-G86)&amp;" min","")))</f>
        <v/>
      </c>
      <c r="J86" s="66" t="n"/>
      <c r="K86" s="70" t="n"/>
      <c r="L86" s="66" t="n"/>
      <c r="M86" s="66" t="n"/>
      <c r="N86" s="66" t="n"/>
      <c r="O86" s="36">
        <f>IF(C86="","",IF(AND(OR(L86="1-Urgent",L86="2-High"),M86="✓"),"DO FIRST",IF(M86="✓","SCHEDULE",IF(OR(L86="1-Urgent",L86="2-High"),"DELEGATE","DELETE"))))</f>
        <v/>
      </c>
      <c r="P86" s="65" t="n"/>
    </row>
    <row r="87">
      <c r="B87" s="71" t="n">
        <v>82</v>
      </c>
      <c r="C87" s="65" t="n"/>
      <c r="D87" s="66" t="n"/>
      <c r="E87" s="67" t="n"/>
      <c r="F87" s="72">
        <f>IF(OR(C87="",E87=""),"",E87-Setup!$D$7)</f>
        <v/>
      </c>
      <c r="G87" s="69" t="n"/>
      <c r="H87" s="69" t="n"/>
      <c r="I87" s="73">
        <f>IF(OR(G87="",H87=""),"",TRIM(IF(HOUR(H87-G87)&gt;0,HOUR(H87-G87)&amp;" hr ","")&amp;IF(MINUTE(H87-G87)&gt;0,MINUTE(H87-G87)&amp;" min","")))</f>
        <v/>
      </c>
      <c r="J87" s="66" t="n"/>
      <c r="K87" s="70" t="n"/>
      <c r="L87" s="66" t="n"/>
      <c r="M87" s="66" t="n"/>
      <c r="N87" s="66" t="n"/>
      <c r="O87" s="73">
        <f>IF(C87="","",IF(AND(OR(L87="1-Urgent",L87="2-High"),M87="✓"),"DO FIRST",IF(M87="✓","SCHEDULE",IF(OR(L87="1-Urgent",L87="2-High"),"DELEGATE","DELETE"))))</f>
        <v/>
      </c>
      <c r="P87" s="65" t="n"/>
    </row>
    <row r="88">
      <c r="B88" s="64" t="n">
        <v>83</v>
      </c>
      <c r="C88" s="65" t="n"/>
      <c r="D88" s="66" t="n"/>
      <c r="E88" s="67" t="n"/>
      <c r="F88" s="68">
        <f>IF(OR(C88="",E88=""),"",E88-Setup!$D$7)</f>
        <v/>
      </c>
      <c r="G88" s="69" t="n"/>
      <c r="H88" s="69" t="n"/>
      <c r="I88" s="36">
        <f>IF(OR(G88="",H88=""),"",TRIM(IF(HOUR(H88-G88)&gt;0,HOUR(H88-G88)&amp;" hr ","")&amp;IF(MINUTE(H88-G88)&gt;0,MINUTE(H88-G88)&amp;" min","")))</f>
        <v/>
      </c>
      <c r="J88" s="66" t="n"/>
      <c r="K88" s="70" t="n"/>
      <c r="L88" s="66" t="n"/>
      <c r="M88" s="66" t="n"/>
      <c r="N88" s="66" t="n"/>
      <c r="O88" s="36">
        <f>IF(C88="","",IF(AND(OR(L88="1-Urgent",L88="2-High"),M88="✓"),"DO FIRST",IF(M88="✓","SCHEDULE",IF(OR(L88="1-Urgent",L88="2-High"),"DELEGATE","DELETE"))))</f>
        <v/>
      </c>
      <c r="P88" s="65" t="n"/>
    </row>
    <row r="89">
      <c r="B89" s="71" t="n">
        <v>84</v>
      </c>
      <c r="C89" s="65" t="n"/>
      <c r="D89" s="66" t="n"/>
      <c r="E89" s="67" t="n"/>
      <c r="F89" s="72">
        <f>IF(OR(C89="",E89=""),"",E89-Setup!$D$7)</f>
        <v/>
      </c>
      <c r="G89" s="69" t="n"/>
      <c r="H89" s="69" t="n"/>
      <c r="I89" s="73">
        <f>IF(OR(G89="",H89=""),"",TRIM(IF(HOUR(H89-G89)&gt;0,HOUR(H89-G89)&amp;" hr ","")&amp;IF(MINUTE(H89-G89)&gt;0,MINUTE(H89-G89)&amp;" min","")))</f>
        <v/>
      </c>
      <c r="J89" s="66" t="n"/>
      <c r="K89" s="70" t="n"/>
      <c r="L89" s="66" t="n"/>
      <c r="M89" s="66" t="n"/>
      <c r="N89" s="66" t="n"/>
      <c r="O89" s="73">
        <f>IF(C89="","",IF(AND(OR(L89="1-Urgent",L89="2-High"),M89="✓"),"DO FIRST",IF(M89="✓","SCHEDULE",IF(OR(L89="1-Urgent",L89="2-High"),"DELEGATE","DELETE"))))</f>
        <v/>
      </c>
      <c r="P89" s="65" t="n"/>
    </row>
    <row r="90">
      <c r="B90" s="64" t="n">
        <v>85</v>
      </c>
      <c r="C90" s="65" t="n"/>
      <c r="D90" s="66" t="n"/>
      <c r="E90" s="67" t="n"/>
      <c r="F90" s="68">
        <f>IF(OR(C90="",E90=""),"",E90-Setup!$D$7)</f>
        <v/>
      </c>
      <c r="G90" s="69" t="n"/>
      <c r="H90" s="69" t="n"/>
      <c r="I90" s="36">
        <f>IF(OR(G90="",H90=""),"",TRIM(IF(HOUR(H90-G90)&gt;0,HOUR(H90-G90)&amp;" hr ","")&amp;IF(MINUTE(H90-G90)&gt;0,MINUTE(H90-G90)&amp;" min","")))</f>
        <v/>
      </c>
      <c r="J90" s="66" t="n"/>
      <c r="K90" s="70" t="n"/>
      <c r="L90" s="66" t="n"/>
      <c r="M90" s="66" t="n"/>
      <c r="N90" s="66" t="n"/>
      <c r="O90" s="36">
        <f>IF(C90="","",IF(AND(OR(L90="1-Urgent",L90="2-High"),M90="✓"),"DO FIRST",IF(M90="✓","SCHEDULE",IF(OR(L90="1-Urgent",L90="2-High"),"DELEGATE","DELETE"))))</f>
        <v/>
      </c>
      <c r="P90" s="65" t="n"/>
    </row>
    <row r="91">
      <c r="B91" s="71" t="n">
        <v>86</v>
      </c>
      <c r="C91" s="65" t="n"/>
      <c r="D91" s="66" t="n"/>
      <c r="E91" s="67" t="n"/>
      <c r="F91" s="72">
        <f>IF(OR(C91="",E91=""),"",E91-Setup!$D$7)</f>
        <v/>
      </c>
      <c r="G91" s="69" t="n"/>
      <c r="H91" s="69" t="n"/>
      <c r="I91" s="73">
        <f>IF(OR(G91="",H91=""),"",TRIM(IF(HOUR(H91-G91)&gt;0,HOUR(H91-G91)&amp;" hr ","")&amp;IF(MINUTE(H91-G91)&gt;0,MINUTE(H91-G91)&amp;" min","")))</f>
        <v/>
      </c>
      <c r="J91" s="66" t="n"/>
      <c r="K91" s="70" t="n"/>
      <c r="L91" s="66" t="n"/>
      <c r="M91" s="66" t="n"/>
      <c r="N91" s="66" t="n"/>
      <c r="O91" s="73">
        <f>IF(C91="","",IF(AND(OR(L91="1-Urgent",L91="2-High"),M91="✓"),"DO FIRST",IF(M91="✓","SCHEDULE",IF(OR(L91="1-Urgent",L91="2-High"),"DELEGATE","DELETE"))))</f>
        <v/>
      </c>
      <c r="P91" s="65" t="n"/>
    </row>
    <row r="92">
      <c r="B92" s="64" t="n">
        <v>87</v>
      </c>
      <c r="C92" s="65" t="n"/>
      <c r="D92" s="66" t="n"/>
      <c r="E92" s="67" t="n"/>
      <c r="F92" s="68">
        <f>IF(OR(C92="",E92=""),"",E92-Setup!$D$7)</f>
        <v/>
      </c>
      <c r="G92" s="69" t="n"/>
      <c r="H92" s="69" t="n"/>
      <c r="I92" s="36">
        <f>IF(OR(G92="",H92=""),"",TRIM(IF(HOUR(H92-G92)&gt;0,HOUR(H92-G92)&amp;" hr ","")&amp;IF(MINUTE(H92-G92)&gt;0,MINUTE(H92-G92)&amp;" min","")))</f>
        <v/>
      </c>
      <c r="J92" s="66" t="n"/>
      <c r="K92" s="70" t="n"/>
      <c r="L92" s="66" t="n"/>
      <c r="M92" s="66" t="n"/>
      <c r="N92" s="66" t="n"/>
      <c r="O92" s="36">
        <f>IF(C92="","",IF(AND(OR(L92="1-Urgent",L92="2-High"),M92="✓"),"DO FIRST",IF(M92="✓","SCHEDULE",IF(OR(L92="1-Urgent",L92="2-High"),"DELEGATE","DELETE"))))</f>
        <v/>
      </c>
      <c r="P92" s="65" t="n"/>
    </row>
    <row r="93">
      <c r="B93" s="71" t="n">
        <v>88</v>
      </c>
      <c r="C93" s="65" t="n"/>
      <c r="D93" s="66" t="n"/>
      <c r="E93" s="67" t="n"/>
      <c r="F93" s="72">
        <f>IF(OR(C93="",E93=""),"",E93-Setup!$D$7)</f>
        <v/>
      </c>
      <c r="G93" s="69" t="n"/>
      <c r="H93" s="69" t="n"/>
      <c r="I93" s="73">
        <f>IF(OR(G93="",H93=""),"",TRIM(IF(HOUR(H93-G93)&gt;0,HOUR(H93-G93)&amp;" hr ","")&amp;IF(MINUTE(H93-G93)&gt;0,MINUTE(H93-G93)&amp;" min","")))</f>
        <v/>
      </c>
      <c r="J93" s="66" t="n"/>
      <c r="K93" s="70" t="n"/>
      <c r="L93" s="66" t="n"/>
      <c r="M93" s="66" t="n"/>
      <c r="N93" s="66" t="n"/>
      <c r="O93" s="73">
        <f>IF(C93="","",IF(AND(OR(L93="1-Urgent",L93="2-High"),M93="✓"),"DO FIRST",IF(M93="✓","SCHEDULE",IF(OR(L93="1-Urgent",L93="2-High"),"DELEGATE","DELETE"))))</f>
        <v/>
      </c>
      <c r="P93" s="65" t="n"/>
    </row>
    <row r="94">
      <c r="B94" s="64" t="n">
        <v>89</v>
      </c>
      <c r="C94" s="65" t="n"/>
      <c r="D94" s="66" t="n"/>
      <c r="E94" s="67" t="n"/>
      <c r="F94" s="68">
        <f>IF(OR(C94="",E94=""),"",E94-Setup!$D$7)</f>
        <v/>
      </c>
      <c r="G94" s="69" t="n"/>
      <c r="H94" s="69" t="n"/>
      <c r="I94" s="36">
        <f>IF(OR(G94="",H94=""),"",TRIM(IF(HOUR(H94-G94)&gt;0,HOUR(H94-G94)&amp;" hr ","")&amp;IF(MINUTE(H94-G94)&gt;0,MINUTE(H94-G94)&amp;" min","")))</f>
        <v/>
      </c>
      <c r="J94" s="66" t="n"/>
      <c r="K94" s="70" t="n"/>
      <c r="L94" s="66" t="n"/>
      <c r="M94" s="66" t="n"/>
      <c r="N94" s="66" t="n"/>
      <c r="O94" s="36">
        <f>IF(C94="","",IF(AND(OR(L94="1-Urgent",L94="2-High"),M94="✓"),"DO FIRST",IF(M94="✓","SCHEDULE",IF(OR(L94="1-Urgent",L94="2-High"),"DELEGATE","DELETE"))))</f>
        <v/>
      </c>
      <c r="P94" s="65" t="n"/>
    </row>
    <row r="95">
      <c r="B95" s="71" t="n">
        <v>90</v>
      </c>
      <c r="C95" s="65" t="n"/>
      <c r="D95" s="66" t="n"/>
      <c r="E95" s="67" t="n"/>
      <c r="F95" s="72">
        <f>IF(OR(C95="",E95=""),"",E95-Setup!$D$7)</f>
        <v/>
      </c>
      <c r="G95" s="69" t="n"/>
      <c r="H95" s="69" t="n"/>
      <c r="I95" s="73">
        <f>IF(OR(G95="",H95=""),"",TRIM(IF(HOUR(H95-G95)&gt;0,HOUR(H95-G95)&amp;" hr ","")&amp;IF(MINUTE(H95-G95)&gt;0,MINUTE(H95-G95)&amp;" min","")))</f>
        <v/>
      </c>
      <c r="J95" s="66" t="n"/>
      <c r="K95" s="70" t="n"/>
      <c r="L95" s="66" t="n"/>
      <c r="M95" s="66" t="n"/>
      <c r="N95" s="66" t="n"/>
      <c r="O95" s="73">
        <f>IF(C95="","",IF(AND(OR(L95="1-Urgent",L95="2-High"),M95="✓"),"DO FIRST",IF(M95="✓","SCHEDULE",IF(OR(L95="1-Urgent",L95="2-High"),"DELEGATE","DELETE"))))</f>
        <v/>
      </c>
      <c r="P95" s="65" t="n"/>
    </row>
    <row r="96">
      <c r="B96" s="64" t="n">
        <v>91</v>
      </c>
      <c r="C96" s="65" t="n"/>
      <c r="D96" s="66" t="n"/>
      <c r="E96" s="67" t="n"/>
      <c r="F96" s="68">
        <f>IF(OR(C96="",E96=""),"",E96-Setup!$D$7)</f>
        <v/>
      </c>
      <c r="G96" s="69" t="n"/>
      <c r="H96" s="69" t="n"/>
      <c r="I96" s="36">
        <f>IF(OR(G96="",H96=""),"",TRIM(IF(HOUR(H96-G96)&gt;0,HOUR(H96-G96)&amp;" hr ","")&amp;IF(MINUTE(H96-G96)&gt;0,MINUTE(H96-G96)&amp;" min","")))</f>
        <v/>
      </c>
      <c r="J96" s="66" t="n"/>
      <c r="K96" s="70" t="n"/>
      <c r="L96" s="66" t="n"/>
      <c r="M96" s="66" t="n"/>
      <c r="N96" s="66" t="n"/>
      <c r="O96" s="36">
        <f>IF(C96="","",IF(AND(OR(L96="1-Urgent",L96="2-High"),M96="✓"),"DO FIRST",IF(M96="✓","SCHEDULE",IF(OR(L96="1-Urgent",L96="2-High"),"DELEGATE","DELETE"))))</f>
        <v/>
      </c>
      <c r="P96" s="65" t="n"/>
    </row>
    <row r="97">
      <c r="B97" s="71" t="n">
        <v>92</v>
      </c>
      <c r="C97" s="65" t="n"/>
      <c r="D97" s="66" t="n"/>
      <c r="E97" s="67" t="n"/>
      <c r="F97" s="72">
        <f>IF(OR(C97="",E97=""),"",E97-Setup!$D$7)</f>
        <v/>
      </c>
      <c r="G97" s="69" t="n"/>
      <c r="H97" s="69" t="n"/>
      <c r="I97" s="73">
        <f>IF(OR(G97="",H97=""),"",TRIM(IF(HOUR(H97-G97)&gt;0,HOUR(H97-G97)&amp;" hr ","")&amp;IF(MINUTE(H97-G97)&gt;0,MINUTE(H97-G97)&amp;" min","")))</f>
        <v/>
      </c>
      <c r="J97" s="66" t="n"/>
      <c r="K97" s="70" t="n"/>
      <c r="L97" s="66" t="n"/>
      <c r="M97" s="66" t="n"/>
      <c r="N97" s="66" t="n"/>
      <c r="O97" s="73">
        <f>IF(C97="","",IF(AND(OR(L97="1-Urgent",L97="2-High"),M97="✓"),"DO FIRST",IF(M97="✓","SCHEDULE",IF(OR(L97="1-Urgent",L97="2-High"),"DELEGATE","DELETE"))))</f>
        <v/>
      </c>
      <c r="P97" s="65" t="n"/>
    </row>
    <row r="98">
      <c r="B98" s="64" t="n">
        <v>93</v>
      </c>
      <c r="C98" s="65" t="n"/>
      <c r="D98" s="66" t="n"/>
      <c r="E98" s="67" t="n"/>
      <c r="F98" s="68">
        <f>IF(OR(C98="",E98=""),"",E98-Setup!$D$7)</f>
        <v/>
      </c>
      <c r="G98" s="69" t="n"/>
      <c r="H98" s="69" t="n"/>
      <c r="I98" s="36">
        <f>IF(OR(G98="",H98=""),"",TRIM(IF(HOUR(H98-G98)&gt;0,HOUR(H98-G98)&amp;" hr ","")&amp;IF(MINUTE(H98-G98)&gt;0,MINUTE(H98-G98)&amp;" min","")))</f>
        <v/>
      </c>
      <c r="J98" s="66" t="n"/>
      <c r="K98" s="70" t="n"/>
      <c r="L98" s="66" t="n"/>
      <c r="M98" s="66" t="n"/>
      <c r="N98" s="66" t="n"/>
      <c r="O98" s="36">
        <f>IF(C98="","",IF(AND(OR(L98="1-Urgent",L98="2-High"),M98="✓"),"DO FIRST",IF(M98="✓","SCHEDULE",IF(OR(L98="1-Urgent",L98="2-High"),"DELEGATE","DELETE"))))</f>
        <v/>
      </c>
      <c r="P98" s="65" t="n"/>
    </row>
    <row r="99">
      <c r="B99" s="71" t="n">
        <v>94</v>
      </c>
      <c r="C99" s="65" t="n"/>
      <c r="D99" s="66" t="n"/>
      <c r="E99" s="67" t="n"/>
      <c r="F99" s="72">
        <f>IF(OR(C99="",E99=""),"",E99-Setup!$D$7)</f>
        <v/>
      </c>
      <c r="G99" s="69" t="n"/>
      <c r="H99" s="69" t="n"/>
      <c r="I99" s="73">
        <f>IF(OR(G99="",H99=""),"",TRIM(IF(HOUR(H99-G99)&gt;0,HOUR(H99-G99)&amp;" hr ","")&amp;IF(MINUTE(H99-G99)&gt;0,MINUTE(H99-G99)&amp;" min","")))</f>
        <v/>
      </c>
      <c r="J99" s="66" t="n"/>
      <c r="K99" s="70" t="n"/>
      <c r="L99" s="66" t="n"/>
      <c r="M99" s="66" t="n"/>
      <c r="N99" s="66" t="n"/>
      <c r="O99" s="73">
        <f>IF(C99="","",IF(AND(OR(L99="1-Urgent",L99="2-High"),M99="✓"),"DO FIRST",IF(M99="✓","SCHEDULE",IF(OR(L99="1-Urgent",L99="2-High"),"DELEGATE","DELETE"))))</f>
        <v/>
      </c>
      <c r="P99" s="65" t="n"/>
    </row>
    <row r="100">
      <c r="B100" s="64" t="n">
        <v>95</v>
      </c>
      <c r="C100" s="65" t="n"/>
      <c r="D100" s="66" t="n"/>
      <c r="E100" s="67" t="n"/>
      <c r="F100" s="68">
        <f>IF(OR(C100="",E100=""),"",E100-Setup!$D$7)</f>
        <v/>
      </c>
      <c r="G100" s="69" t="n"/>
      <c r="H100" s="69" t="n"/>
      <c r="I100" s="36">
        <f>IF(OR(G100="",H100=""),"",TRIM(IF(HOUR(H100-G100)&gt;0,HOUR(H100-G100)&amp;" hr ","")&amp;IF(MINUTE(H100-G100)&gt;0,MINUTE(H100-G100)&amp;" min","")))</f>
        <v/>
      </c>
      <c r="J100" s="66" t="n"/>
      <c r="K100" s="70" t="n"/>
      <c r="L100" s="66" t="n"/>
      <c r="M100" s="66" t="n"/>
      <c r="N100" s="66" t="n"/>
      <c r="O100" s="36">
        <f>IF(C100="","",IF(AND(OR(L100="1-Urgent",L100="2-High"),M100="✓"),"DO FIRST",IF(M100="✓","SCHEDULE",IF(OR(L100="1-Urgent",L100="2-High"),"DELEGATE","DELETE"))))</f>
        <v/>
      </c>
      <c r="P100" s="65" t="n"/>
    </row>
    <row r="101">
      <c r="B101" s="71" t="n">
        <v>96</v>
      </c>
      <c r="C101" s="65" t="n"/>
      <c r="D101" s="66" t="n"/>
      <c r="E101" s="67" t="n"/>
      <c r="F101" s="72">
        <f>IF(OR(C101="",E101=""),"",E101-Setup!$D$7)</f>
        <v/>
      </c>
      <c r="G101" s="69" t="n"/>
      <c r="H101" s="69" t="n"/>
      <c r="I101" s="73">
        <f>IF(OR(G101="",H101=""),"",TRIM(IF(HOUR(H101-G101)&gt;0,HOUR(H101-G101)&amp;" hr ","")&amp;IF(MINUTE(H101-G101)&gt;0,MINUTE(H101-G101)&amp;" min","")))</f>
        <v/>
      </c>
      <c r="J101" s="66" t="n"/>
      <c r="K101" s="70" t="n"/>
      <c r="L101" s="66" t="n"/>
      <c r="M101" s="66" t="n"/>
      <c r="N101" s="66" t="n"/>
      <c r="O101" s="73">
        <f>IF(C101="","",IF(AND(OR(L101="1-Urgent",L101="2-High"),M101="✓"),"DO FIRST",IF(M101="✓","SCHEDULE",IF(OR(L101="1-Urgent",L101="2-High"),"DELEGATE","DELETE"))))</f>
        <v/>
      </c>
      <c r="P101" s="65" t="n"/>
    </row>
    <row r="102">
      <c r="B102" s="64" t="n">
        <v>97</v>
      </c>
      <c r="C102" s="65" t="n"/>
      <c r="D102" s="66" t="n"/>
      <c r="E102" s="67" t="n"/>
      <c r="F102" s="68">
        <f>IF(OR(C102="",E102=""),"",E102-Setup!$D$7)</f>
        <v/>
      </c>
      <c r="G102" s="69" t="n"/>
      <c r="H102" s="69" t="n"/>
      <c r="I102" s="36">
        <f>IF(OR(G102="",H102=""),"",TRIM(IF(HOUR(H102-G102)&gt;0,HOUR(H102-G102)&amp;" hr ","")&amp;IF(MINUTE(H102-G102)&gt;0,MINUTE(H102-G102)&amp;" min","")))</f>
        <v/>
      </c>
      <c r="J102" s="66" t="n"/>
      <c r="K102" s="70" t="n"/>
      <c r="L102" s="66" t="n"/>
      <c r="M102" s="66" t="n"/>
      <c r="N102" s="66" t="n"/>
      <c r="O102" s="36">
        <f>IF(C102="","",IF(AND(OR(L102="1-Urgent",L102="2-High"),M102="✓"),"DO FIRST",IF(M102="✓","SCHEDULE",IF(OR(L102="1-Urgent",L102="2-High"),"DELEGATE","DELETE"))))</f>
        <v/>
      </c>
      <c r="P102" s="65" t="n"/>
    </row>
    <row r="103">
      <c r="B103" s="71" t="n">
        <v>98</v>
      </c>
      <c r="C103" s="65" t="n"/>
      <c r="D103" s="66" t="n"/>
      <c r="E103" s="67" t="n"/>
      <c r="F103" s="72">
        <f>IF(OR(C103="",E103=""),"",E103-Setup!$D$7)</f>
        <v/>
      </c>
      <c r="G103" s="69" t="n"/>
      <c r="H103" s="69" t="n"/>
      <c r="I103" s="73">
        <f>IF(OR(G103="",H103=""),"",TRIM(IF(HOUR(H103-G103)&gt;0,HOUR(H103-G103)&amp;" hr ","")&amp;IF(MINUTE(H103-G103)&gt;0,MINUTE(H103-G103)&amp;" min","")))</f>
        <v/>
      </c>
      <c r="J103" s="66" t="n"/>
      <c r="K103" s="70" t="n"/>
      <c r="L103" s="66" t="n"/>
      <c r="M103" s="66" t="n"/>
      <c r="N103" s="66" t="n"/>
      <c r="O103" s="73">
        <f>IF(C103="","",IF(AND(OR(L103="1-Urgent",L103="2-High"),M103="✓"),"DO FIRST",IF(M103="✓","SCHEDULE",IF(OR(L103="1-Urgent",L103="2-High"),"DELEGATE","DELETE"))))</f>
        <v/>
      </c>
      <c r="P103" s="65" t="n"/>
    </row>
    <row r="104">
      <c r="B104" s="64" t="n">
        <v>99</v>
      </c>
      <c r="C104" s="65" t="n"/>
      <c r="D104" s="66" t="n"/>
      <c r="E104" s="67" t="n"/>
      <c r="F104" s="68">
        <f>IF(OR(C104="",E104=""),"",E104-Setup!$D$7)</f>
        <v/>
      </c>
      <c r="G104" s="69" t="n"/>
      <c r="H104" s="69" t="n"/>
      <c r="I104" s="36">
        <f>IF(OR(G104="",H104=""),"",TRIM(IF(HOUR(H104-G104)&gt;0,HOUR(H104-G104)&amp;" hr ","")&amp;IF(MINUTE(H104-G104)&gt;0,MINUTE(H104-G104)&amp;" min","")))</f>
        <v/>
      </c>
      <c r="J104" s="66" t="n"/>
      <c r="K104" s="70" t="n"/>
      <c r="L104" s="66" t="n"/>
      <c r="M104" s="66" t="n"/>
      <c r="N104" s="66" t="n"/>
      <c r="O104" s="36">
        <f>IF(C104="","",IF(AND(OR(L104="1-Urgent",L104="2-High"),M104="✓"),"DO FIRST",IF(M104="✓","SCHEDULE",IF(OR(L104="1-Urgent",L104="2-High"),"DELEGATE","DELETE"))))</f>
        <v/>
      </c>
      <c r="P104" s="65" t="n"/>
    </row>
    <row r="105">
      <c r="B105" s="71" t="n">
        <v>100</v>
      </c>
      <c r="C105" s="65" t="n"/>
      <c r="D105" s="66" t="n"/>
      <c r="E105" s="67" t="n"/>
      <c r="F105" s="72">
        <f>IF(OR(C105="",E105=""),"",E105-Setup!$D$7)</f>
        <v/>
      </c>
      <c r="G105" s="69" t="n"/>
      <c r="H105" s="69" t="n"/>
      <c r="I105" s="73">
        <f>IF(OR(G105="",H105=""),"",TRIM(IF(HOUR(H105-G105)&gt;0,HOUR(H105-G105)&amp;" hr ","")&amp;IF(MINUTE(H105-G105)&gt;0,MINUTE(H105-G105)&amp;" min","")))</f>
        <v/>
      </c>
      <c r="J105" s="66" t="n"/>
      <c r="K105" s="70" t="n"/>
      <c r="L105" s="66" t="n"/>
      <c r="M105" s="66" t="n"/>
      <c r="N105" s="66" t="n"/>
      <c r="O105" s="73">
        <f>IF(C105="","",IF(AND(OR(L105="1-Urgent",L105="2-High"),M105="✓"),"DO FIRST",IF(M105="✓","SCHEDULE",IF(OR(L105="1-Urgent",L105="2-High"),"DELEGATE","DELETE"))))</f>
        <v/>
      </c>
      <c r="P105" s="65" t="n"/>
    </row>
    <row r="106">
      <c r="B106" s="64" t="n">
        <v>101</v>
      </c>
      <c r="C106" s="65" t="n"/>
      <c r="D106" s="66" t="n"/>
      <c r="E106" s="67" t="n"/>
      <c r="F106" s="68">
        <f>IF(OR(C106="",E106=""),"",E106-Setup!$D$7)</f>
        <v/>
      </c>
      <c r="G106" s="69" t="n"/>
      <c r="H106" s="69" t="n"/>
      <c r="I106" s="36">
        <f>IF(OR(G106="",H106=""),"",TRIM(IF(HOUR(H106-G106)&gt;0,HOUR(H106-G106)&amp;" hr ","")&amp;IF(MINUTE(H106-G106)&gt;0,MINUTE(H106-G106)&amp;" min","")))</f>
        <v/>
      </c>
      <c r="J106" s="66" t="n"/>
      <c r="K106" s="70" t="n"/>
      <c r="L106" s="66" t="n"/>
      <c r="M106" s="66" t="n"/>
      <c r="N106" s="66" t="n"/>
      <c r="O106" s="36">
        <f>IF(C106="","",IF(AND(OR(L106="1-Urgent",L106="2-High"),M106="✓"),"DO FIRST",IF(M106="✓","SCHEDULE",IF(OR(L106="1-Urgent",L106="2-High"),"DELEGATE","DELETE"))))</f>
        <v/>
      </c>
      <c r="P106" s="65" t="n"/>
    </row>
    <row r="107">
      <c r="B107" s="71" t="n">
        <v>102</v>
      </c>
      <c r="C107" s="65" t="n"/>
      <c r="D107" s="66" t="n"/>
      <c r="E107" s="67" t="n"/>
      <c r="F107" s="72">
        <f>IF(OR(C107="",E107=""),"",E107-Setup!$D$7)</f>
        <v/>
      </c>
      <c r="G107" s="69" t="n"/>
      <c r="H107" s="69" t="n"/>
      <c r="I107" s="73">
        <f>IF(OR(G107="",H107=""),"",TRIM(IF(HOUR(H107-G107)&gt;0,HOUR(H107-G107)&amp;" hr ","")&amp;IF(MINUTE(H107-G107)&gt;0,MINUTE(H107-G107)&amp;" min","")))</f>
        <v/>
      </c>
      <c r="J107" s="66" t="n"/>
      <c r="K107" s="70" t="n"/>
      <c r="L107" s="66" t="n"/>
      <c r="M107" s="66" t="n"/>
      <c r="N107" s="66" t="n"/>
      <c r="O107" s="73">
        <f>IF(C107="","",IF(AND(OR(L107="1-Urgent",L107="2-High"),M107="✓"),"DO FIRST",IF(M107="✓","SCHEDULE",IF(OR(L107="1-Urgent",L107="2-High"),"DELEGATE","DELETE"))))</f>
        <v/>
      </c>
      <c r="P107" s="65" t="n"/>
    </row>
    <row r="108">
      <c r="B108" s="64" t="n">
        <v>103</v>
      </c>
      <c r="C108" s="65" t="n"/>
      <c r="D108" s="66" t="n"/>
      <c r="E108" s="67" t="n"/>
      <c r="F108" s="68">
        <f>IF(OR(C108="",E108=""),"",E108-Setup!$D$7)</f>
        <v/>
      </c>
      <c r="G108" s="69" t="n"/>
      <c r="H108" s="69" t="n"/>
      <c r="I108" s="36">
        <f>IF(OR(G108="",H108=""),"",TRIM(IF(HOUR(H108-G108)&gt;0,HOUR(H108-G108)&amp;" hr ","")&amp;IF(MINUTE(H108-G108)&gt;0,MINUTE(H108-G108)&amp;" min","")))</f>
        <v/>
      </c>
      <c r="J108" s="66" t="n"/>
      <c r="K108" s="70" t="n"/>
      <c r="L108" s="66" t="n"/>
      <c r="M108" s="66" t="n"/>
      <c r="N108" s="66" t="n"/>
      <c r="O108" s="36">
        <f>IF(C108="","",IF(AND(OR(L108="1-Urgent",L108="2-High"),M108="✓"),"DO FIRST",IF(M108="✓","SCHEDULE",IF(OR(L108="1-Urgent",L108="2-High"),"DELEGATE","DELETE"))))</f>
        <v/>
      </c>
      <c r="P108" s="65" t="n"/>
    </row>
    <row r="109">
      <c r="B109" s="71" t="n">
        <v>104</v>
      </c>
      <c r="C109" s="65" t="n"/>
      <c r="D109" s="66" t="n"/>
      <c r="E109" s="67" t="n"/>
      <c r="F109" s="72">
        <f>IF(OR(C109="",E109=""),"",E109-Setup!$D$7)</f>
        <v/>
      </c>
      <c r="G109" s="69" t="n"/>
      <c r="H109" s="69" t="n"/>
      <c r="I109" s="73">
        <f>IF(OR(G109="",H109=""),"",TRIM(IF(HOUR(H109-G109)&gt;0,HOUR(H109-G109)&amp;" hr ","")&amp;IF(MINUTE(H109-G109)&gt;0,MINUTE(H109-G109)&amp;" min","")))</f>
        <v/>
      </c>
      <c r="J109" s="66" t="n"/>
      <c r="K109" s="70" t="n"/>
      <c r="L109" s="66" t="n"/>
      <c r="M109" s="66" t="n"/>
      <c r="N109" s="66" t="n"/>
      <c r="O109" s="73">
        <f>IF(C109="","",IF(AND(OR(L109="1-Urgent",L109="2-High"),M109="✓"),"DO FIRST",IF(M109="✓","SCHEDULE",IF(OR(L109="1-Urgent",L109="2-High"),"DELEGATE","DELETE"))))</f>
        <v/>
      </c>
      <c r="P109" s="65" t="n"/>
    </row>
    <row r="110">
      <c r="B110" s="64" t="n">
        <v>105</v>
      </c>
      <c r="C110" s="65" t="n"/>
      <c r="D110" s="66" t="n"/>
      <c r="E110" s="67" t="n"/>
      <c r="F110" s="68">
        <f>IF(OR(C110="",E110=""),"",E110-Setup!$D$7)</f>
        <v/>
      </c>
      <c r="G110" s="69" t="n"/>
      <c r="H110" s="69" t="n"/>
      <c r="I110" s="36">
        <f>IF(OR(G110="",H110=""),"",TRIM(IF(HOUR(H110-G110)&gt;0,HOUR(H110-G110)&amp;" hr ","")&amp;IF(MINUTE(H110-G110)&gt;0,MINUTE(H110-G110)&amp;" min","")))</f>
        <v/>
      </c>
      <c r="J110" s="66" t="n"/>
      <c r="K110" s="70" t="n"/>
      <c r="L110" s="66" t="n"/>
      <c r="M110" s="66" t="n"/>
      <c r="N110" s="66" t="n"/>
      <c r="O110" s="36">
        <f>IF(C110="","",IF(AND(OR(L110="1-Urgent",L110="2-High"),M110="✓"),"DO FIRST",IF(M110="✓","SCHEDULE",IF(OR(L110="1-Urgent",L110="2-High"),"DELEGATE","DELETE"))))</f>
        <v/>
      </c>
      <c r="P110" s="65" t="n"/>
    </row>
    <row r="111">
      <c r="B111" s="71" t="n">
        <v>106</v>
      </c>
      <c r="C111" s="65" t="n"/>
      <c r="D111" s="66" t="n"/>
      <c r="E111" s="67" t="n"/>
      <c r="F111" s="72">
        <f>IF(OR(C111="",E111=""),"",E111-Setup!$D$7)</f>
        <v/>
      </c>
      <c r="G111" s="69" t="n"/>
      <c r="H111" s="69" t="n"/>
      <c r="I111" s="73">
        <f>IF(OR(G111="",H111=""),"",TRIM(IF(HOUR(H111-G111)&gt;0,HOUR(H111-G111)&amp;" hr ","")&amp;IF(MINUTE(H111-G111)&gt;0,MINUTE(H111-G111)&amp;" min","")))</f>
        <v/>
      </c>
      <c r="J111" s="66" t="n"/>
      <c r="K111" s="70" t="n"/>
      <c r="L111" s="66" t="n"/>
      <c r="M111" s="66" t="n"/>
      <c r="N111" s="66" t="n"/>
      <c r="O111" s="73">
        <f>IF(C111="","",IF(AND(OR(L111="1-Urgent",L111="2-High"),M111="✓"),"DO FIRST",IF(M111="✓","SCHEDULE",IF(OR(L111="1-Urgent",L111="2-High"),"DELEGATE","DELETE"))))</f>
        <v/>
      </c>
      <c r="P111" s="65" t="n"/>
    </row>
    <row r="112">
      <c r="B112" s="64" t="n">
        <v>107</v>
      </c>
      <c r="C112" s="65" t="n"/>
      <c r="D112" s="66" t="n"/>
      <c r="E112" s="67" t="n"/>
      <c r="F112" s="68">
        <f>IF(OR(C112="",E112=""),"",E112-Setup!$D$7)</f>
        <v/>
      </c>
      <c r="G112" s="69" t="n"/>
      <c r="H112" s="69" t="n"/>
      <c r="I112" s="36">
        <f>IF(OR(G112="",H112=""),"",TRIM(IF(HOUR(H112-G112)&gt;0,HOUR(H112-G112)&amp;" hr ","")&amp;IF(MINUTE(H112-G112)&gt;0,MINUTE(H112-G112)&amp;" min","")))</f>
        <v/>
      </c>
      <c r="J112" s="66" t="n"/>
      <c r="K112" s="70" t="n"/>
      <c r="L112" s="66" t="n"/>
      <c r="M112" s="66" t="n"/>
      <c r="N112" s="66" t="n"/>
      <c r="O112" s="36">
        <f>IF(C112="","",IF(AND(OR(L112="1-Urgent",L112="2-High"),M112="✓"),"DO FIRST",IF(M112="✓","SCHEDULE",IF(OR(L112="1-Urgent",L112="2-High"),"DELEGATE","DELETE"))))</f>
        <v/>
      </c>
      <c r="P112" s="65" t="n"/>
    </row>
    <row r="113">
      <c r="B113" s="71" t="n">
        <v>108</v>
      </c>
      <c r="C113" s="65" t="n"/>
      <c r="D113" s="66" t="n"/>
      <c r="E113" s="67" t="n"/>
      <c r="F113" s="72">
        <f>IF(OR(C113="",E113=""),"",E113-Setup!$D$7)</f>
        <v/>
      </c>
      <c r="G113" s="69" t="n"/>
      <c r="H113" s="69" t="n"/>
      <c r="I113" s="73">
        <f>IF(OR(G113="",H113=""),"",TRIM(IF(HOUR(H113-G113)&gt;0,HOUR(H113-G113)&amp;" hr ","")&amp;IF(MINUTE(H113-G113)&gt;0,MINUTE(H113-G113)&amp;" min","")))</f>
        <v/>
      </c>
      <c r="J113" s="66" t="n"/>
      <c r="K113" s="70" t="n"/>
      <c r="L113" s="66" t="n"/>
      <c r="M113" s="66" t="n"/>
      <c r="N113" s="66" t="n"/>
      <c r="O113" s="73">
        <f>IF(C113="","",IF(AND(OR(L113="1-Urgent",L113="2-High"),M113="✓"),"DO FIRST",IF(M113="✓","SCHEDULE",IF(OR(L113="1-Urgent",L113="2-High"),"DELEGATE","DELETE"))))</f>
        <v/>
      </c>
      <c r="P113" s="65" t="n"/>
    </row>
    <row r="114">
      <c r="B114" s="64" t="n">
        <v>109</v>
      </c>
      <c r="C114" s="65" t="n"/>
      <c r="D114" s="66" t="n"/>
      <c r="E114" s="67" t="n"/>
      <c r="F114" s="68">
        <f>IF(OR(C114="",E114=""),"",E114-Setup!$D$7)</f>
        <v/>
      </c>
      <c r="G114" s="69" t="n"/>
      <c r="H114" s="69" t="n"/>
      <c r="I114" s="36">
        <f>IF(OR(G114="",H114=""),"",TRIM(IF(HOUR(H114-G114)&gt;0,HOUR(H114-G114)&amp;" hr ","")&amp;IF(MINUTE(H114-G114)&gt;0,MINUTE(H114-G114)&amp;" min","")))</f>
        <v/>
      </c>
      <c r="J114" s="66" t="n"/>
      <c r="K114" s="70" t="n"/>
      <c r="L114" s="66" t="n"/>
      <c r="M114" s="66" t="n"/>
      <c r="N114" s="66" t="n"/>
      <c r="O114" s="36">
        <f>IF(C114="","",IF(AND(OR(L114="1-Urgent",L114="2-High"),M114="✓"),"DO FIRST",IF(M114="✓","SCHEDULE",IF(OR(L114="1-Urgent",L114="2-High"),"DELEGATE","DELETE"))))</f>
        <v/>
      </c>
      <c r="P114" s="65" t="n"/>
    </row>
    <row r="115">
      <c r="B115" s="71" t="n">
        <v>110</v>
      </c>
      <c r="C115" s="65" t="n"/>
      <c r="D115" s="66" t="n"/>
      <c r="E115" s="67" t="n"/>
      <c r="F115" s="72">
        <f>IF(OR(C115="",E115=""),"",E115-Setup!$D$7)</f>
        <v/>
      </c>
      <c r="G115" s="69" t="n"/>
      <c r="H115" s="69" t="n"/>
      <c r="I115" s="73">
        <f>IF(OR(G115="",H115=""),"",TRIM(IF(HOUR(H115-G115)&gt;0,HOUR(H115-G115)&amp;" hr ","")&amp;IF(MINUTE(H115-G115)&gt;0,MINUTE(H115-G115)&amp;" min","")))</f>
        <v/>
      </c>
      <c r="J115" s="66" t="n"/>
      <c r="K115" s="70" t="n"/>
      <c r="L115" s="66" t="n"/>
      <c r="M115" s="66" t="n"/>
      <c r="N115" s="66" t="n"/>
      <c r="O115" s="73">
        <f>IF(C115="","",IF(AND(OR(L115="1-Urgent",L115="2-High"),M115="✓"),"DO FIRST",IF(M115="✓","SCHEDULE",IF(OR(L115="1-Urgent",L115="2-High"),"DELEGATE","DELETE"))))</f>
        <v/>
      </c>
      <c r="P115" s="65" t="n"/>
    </row>
    <row r="116">
      <c r="B116" s="64" t="n">
        <v>111</v>
      </c>
      <c r="C116" s="65" t="n"/>
      <c r="D116" s="66" t="n"/>
      <c r="E116" s="67" t="n"/>
      <c r="F116" s="68">
        <f>IF(OR(C116="",E116=""),"",E116-Setup!$D$7)</f>
        <v/>
      </c>
      <c r="G116" s="69" t="n"/>
      <c r="H116" s="69" t="n"/>
      <c r="I116" s="36">
        <f>IF(OR(G116="",H116=""),"",TRIM(IF(HOUR(H116-G116)&gt;0,HOUR(H116-G116)&amp;" hr ","")&amp;IF(MINUTE(H116-G116)&gt;0,MINUTE(H116-G116)&amp;" min","")))</f>
        <v/>
      </c>
      <c r="J116" s="66" t="n"/>
      <c r="K116" s="70" t="n"/>
      <c r="L116" s="66" t="n"/>
      <c r="M116" s="66" t="n"/>
      <c r="N116" s="66" t="n"/>
      <c r="O116" s="36">
        <f>IF(C116="","",IF(AND(OR(L116="1-Urgent",L116="2-High"),M116="✓"),"DO FIRST",IF(M116="✓","SCHEDULE",IF(OR(L116="1-Urgent",L116="2-High"),"DELEGATE","DELETE"))))</f>
        <v/>
      </c>
      <c r="P116" s="65" t="n"/>
    </row>
    <row r="117">
      <c r="B117" s="71" t="n">
        <v>112</v>
      </c>
      <c r="C117" s="65" t="n"/>
      <c r="D117" s="66" t="n"/>
      <c r="E117" s="67" t="n"/>
      <c r="F117" s="72">
        <f>IF(OR(C117="",E117=""),"",E117-Setup!$D$7)</f>
        <v/>
      </c>
      <c r="G117" s="69" t="n"/>
      <c r="H117" s="69" t="n"/>
      <c r="I117" s="73">
        <f>IF(OR(G117="",H117=""),"",TRIM(IF(HOUR(H117-G117)&gt;0,HOUR(H117-G117)&amp;" hr ","")&amp;IF(MINUTE(H117-G117)&gt;0,MINUTE(H117-G117)&amp;" min","")))</f>
        <v/>
      </c>
      <c r="J117" s="66" t="n"/>
      <c r="K117" s="70" t="n"/>
      <c r="L117" s="66" t="n"/>
      <c r="M117" s="66" t="n"/>
      <c r="N117" s="66" t="n"/>
      <c r="O117" s="73">
        <f>IF(C117="","",IF(AND(OR(L117="1-Urgent",L117="2-High"),M117="✓"),"DO FIRST",IF(M117="✓","SCHEDULE",IF(OR(L117="1-Urgent",L117="2-High"),"DELEGATE","DELETE"))))</f>
        <v/>
      </c>
      <c r="P117" s="65" t="n"/>
    </row>
    <row r="118">
      <c r="B118" s="64" t="n">
        <v>113</v>
      </c>
      <c r="C118" s="65" t="n"/>
      <c r="D118" s="66" t="n"/>
      <c r="E118" s="67" t="n"/>
      <c r="F118" s="68">
        <f>IF(OR(C118="",E118=""),"",E118-Setup!$D$7)</f>
        <v/>
      </c>
      <c r="G118" s="69" t="n"/>
      <c r="H118" s="69" t="n"/>
      <c r="I118" s="36">
        <f>IF(OR(G118="",H118=""),"",TRIM(IF(HOUR(H118-G118)&gt;0,HOUR(H118-G118)&amp;" hr ","")&amp;IF(MINUTE(H118-G118)&gt;0,MINUTE(H118-G118)&amp;" min","")))</f>
        <v/>
      </c>
      <c r="J118" s="66" t="n"/>
      <c r="K118" s="70" t="n"/>
      <c r="L118" s="66" t="n"/>
      <c r="M118" s="66" t="n"/>
      <c r="N118" s="66" t="n"/>
      <c r="O118" s="36">
        <f>IF(C118="","",IF(AND(OR(L118="1-Urgent",L118="2-High"),M118="✓"),"DO FIRST",IF(M118="✓","SCHEDULE",IF(OR(L118="1-Urgent",L118="2-High"),"DELEGATE","DELETE"))))</f>
        <v/>
      </c>
      <c r="P118" s="65" t="n"/>
    </row>
    <row r="119">
      <c r="B119" s="71" t="n">
        <v>114</v>
      </c>
      <c r="C119" s="65" t="n"/>
      <c r="D119" s="66" t="n"/>
      <c r="E119" s="67" t="n"/>
      <c r="F119" s="72">
        <f>IF(OR(C119="",E119=""),"",E119-Setup!$D$7)</f>
        <v/>
      </c>
      <c r="G119" s="69" t="n"/>
      <c r="H119" s="69" t="n"/>
      <c r="I119" s="73">
        <f>IF(OR(G119="",H119=""),"",TRIM(IF(HOUR(H119-G119)&gt;0,HOUR(H119-G119)&amp;" hr ","")&amp;IF(MINUTE(H119-G119)&gt;0,MINUTE(H119-G119)&amp;" min","")))</f>
        <v/>
      </c>
      <c r="J119" s="66" t="n"/>
      <c r="K119" s="70" t="n"/>
      <c r="L119" s="66" t="n"/>
      <c r="M119" s="66" t="n"/>
      <c r="N119" s="66" t="n"/>
      <c r="O119" s="73">
        <f>IF(C119="","",IF(AND(OR(L119="1-Urgent",L119="2-High"),M119="✓"),"DO FIRST",IF(M119="✓","SCHEDULE",IF(OR(L119="1-Urgent",L119="2-High"),"DELEGATE","DELETE"))))</f>
        <v/>
      </c>
      <c r="P119" s="65" t="n"/>
    </row>
    <row r="120">
      <c r="B120" s="64" t="n">
        <v>115</v>
      </c>
      <c r="C120" s="65" t="n"/>
      <c r="D120" s="66" t="n"/>
      <c r="E120" s="67" t="n"/>
      <c r="F120" s="68">
        <f>IF(OR(C120="",E120=""),"",E120-Setup!$D$7)</f>
        <v/>
      </c>
      <c r="G120" s="69" t="n"/>
      <c r="H120" s="69" t="n"/>
      <c r="I120" s="36">
        <f>IF(OR(G120="",H120=""),"",TRIM(IF(HOUR(H120-G120)&gt;0,HOUR(H120-G120)&amp;" hr ","")&amp;IF(MINUTE(H120-G120)&gt;0,MINUTE(H120-G120)&amp;" min","")))</f>
        <v/>
      </c>
      <c r="J120" s="66" t="n"/>
      <c r="K120" s="70" t="n"/>
      <c r="L120" s="66" t="n"/>
      <c r="M120" s="66" t="n"/>
      <c r="N120" s="66" t="n"/>
      <c r="O120" s="36">
        <f>IF(C120="","",IF(AND(OR(L120="1-Urgent",L120="2-High"),M120="✓"),"DO FIRST",IF(M120="✓","SCHEDULE",IF(OR(L120="1-Urgent",L120="2-High"),"DELEGATE","DELETE"))))</f>
        <v/>
      </c>
      <c r="P120" s="65" t="n"/>
    </row>
    <row r="121">
      <c r="B121" s="71" t="n">
        <v>116</v>
      </c>
      <c r="C121" s="65" t="n"/>
      <c r="D121" s="66" t="n"/>
      <c r="E121" s="67" t="n"/>
      <c r="F121" s="72">
        <f>IF(OR(C121="",E121=""),"",E121-Setup!$D$7)</f>
        <v/>
      </c>
      <c r="G121" s="69" t="n"/>
      <c r="H121" s="69" t="n"/>
      <c r="I121" s="73">
        <f>IF(OR(G121="",H121=""),"",TRIM(IF(HOUR(H121-G121)&gt;0,HOUR(H121-G121)&amp;" hr ","")&amp;IF(MINUTE(H121-G121)&gt;0,MINUTE(H121-G121)&amp;" min","")))</f>
        <v/>
      </c>
      <c r="J121" s="66" t="n"/>
      <c r="K121" s="70" t="n"/>
      <c r="L121" s="66" t="n"/>
      <c r="M121" s="66" t="n"/>
      <c r="N121" s="66" t="n"/>
      <c r="O121" s="73">
        <f>IF(C121="","",IF(AND(OR(L121="1-Urgent",L121="2-High"),M121="✓"),"DO FIRST",IF(M121="✓","SCHEDULE",IF(OR(L121="1-Urgent",L121="2-High"),"DELEGATE","DELETE"))))</f>
        <v/>
      </c>
      <c r="P121" s="65" t="n"/>
    </row>
    <row r="122">
      <c r="B122" s="64" t="n">
        <v>117</v>
      </c>
      <c r="C122" s="65" t="n"/>
      <c r="D122" s="66" t="n"/>
      <c r="E122" s="67" t="n"/>
      <c r="F122" s="68">
        <f>IF(OR(C122="",E122=""),"",E122-Setup!$D$7)</f>
        <v/>
      </c>
      <c r="G122" s="69" t="n"/>
      <c r="H122" s="69" t="n"/>
      <c r="I122" s="36">
        <f>IF(OR(G122="",H122=""),"",TRIM(IF(HOUR(H122-G122)&gt;0,HOUR(H122-G122)&amp;" hr ","")&amp;IF(MINUTE(H122-G122)&gt;0,MINUTE(H122-G122)&amp;" min","")))</f>
        <v/>
      </c>
      <c r="J122" s="66" t="n"/>
      <c r="K122" s="70" t="n"/>
      <c r="L122" s="66" t="n"/>
      <c r="M122" s="66" t="n"/>
      <c r="N122" s="66" t="n"/>
      <c r="O122" s="36">
        <f>IF(C122="","",IF(AND(OR(L122="1-Urgent",L122="2-High"),M122="✓"),"DO FIRST",IF(M122="✓","SCHEDULE",IF(OR(L122="1-Urgent",L122="2-High"),"DELEGATE","DELETE"))))</f>
        <v/>
      </c>
      <c r="P122" s="65" t="n"/>
    </row>
    <row r="123">
      <c r="B123" s="71" t="n">
        <v>118</v>
      </c>
      <c r="C123" s="65" t="n"/>
      <c r="D123" s="66" t="n"/>
      <c r="E123" s="67" t="n"/>
      <c r="F123" s="72">
        <f>IF(OR(C123="",E123=""),"",E123-Setup!$D$7)</f>
        <v/>
      </c>
      <c r="G123" s="69" t="n"/>
      <c r="H123" s="69" t="n"/>
      <c r="I123" s="73">
        <f>IF(OR(G123="",H123=""),"",TRIM(IF(HOUR(H123-G123)&gt;0,HOUR(H123-G123)&amp;" hr ","")&amp;IF(MINUTE(H123-G123)&gt;0,MINUTE(H123-G123)&amp;" min","")))</f>
        <v/>
      </c>
      <c r="J123" s="66" t="n"/>
      <c r="K123" s="70" t="n"/>
      <c r="L123" s="66" t="n"/>
      <c r="M123" s="66" t="n"/>
      <c r="N123" s="66" t="n"/>
      <c r="O123" s="73">
        <f>IF(C123="","",IF(AND(OR(L123="1-Urgent",L123="2-High"),M123="✓"),"DO FIRST",IF(M123="✓","SCHEDULE",IF(OR(L123="1-Urgent",L123="2-High"),"DELEGATE","DELETE"))))</f>
        <v/>
      </c>
      <c r="P123" s="65" t="n"/>
    </row>
    <row r="124">
      <c r="B124" s="64" t="n">
        <v>119</v>
      </c>
      <c r="C124" s="65" t="n"/>
      <c r="D124" s="66" t="n"/>
      <c r="E124" s="67" t="n"/>
      <c r="F124" s="68">
        <f>IF(OR(C124="",E124=""),"",E124-Setup!$D$7)</f>
        <v/>
      </c>
      <c r="G124" s="69" t="n"/>
      <c r="H124" s="69" t="n"/>
      <c r="I124" s="36">
        <f>IF(OR(G124="",H124=""),"",TRIM(IF(HOUR(H124-G124)&gt;0,HOUR(H124-G124)&amp;" hr ","")&amp;IF(MINUTE(H124-G124)&gt;0,MINUTE(H124-G124)&amp;" min","")))</f>
        <v/>
      </c>
      <c r="J124" s="66" t="n"/>
      <c r="K124" s="70" t="n"/>
      <c r="L124" s="66" t="n"/>
      <c r="M124" s="66" t="n"/>
      <c r="N124" s="66" t="n"/>
      <c r="O124" s="36">
        <f>IF(C124="","",IF(AND(OR(L124="1-Urgent",L124="2-High"),M124="✓"),"DO FIRST",IF(M124="✓","SCHEDULE",IF(OR(L124="1-Urgent",L124="2-High"),"DELEGATE","DELETE"))))</f>
        <v/>
      </c>
      <c r="P124" s="65" t="n"/>
    </row>
    <row r="125">
      <c r="B125" s="71" t="n">
        <v>120</v>
      </c>
      <c r="C125" s="65" t="n"/>
      <c r="D125" s="66" t="n"/>
      <c r="E125" s="67" t="n"/>
      <c r="F125" s="72">
        <f>IF(OR(C125="",E125=""),"",E125-Setup!$D$7)</f>
        <v/>
      </c>
      <c r="G125" s="69" t="n"/>
      <c r="H125" s="69" t="n"/>
      <c r="I125" s="73">
        <f>IF(OR(G125="",H125=""),"",TRIM(IF(HOUR(H125-G125)&gt;0,HOUR(H125-G125)&amp;" hr ","")&amp;IF(MINUTE(H125-G125)&gt;0,MINUTE(H125-G125)&amp;" min","")))</f>
        <v/>
      </c>
      <c r="J125" s="66" t="n"/>
      <c r="K125" s="70" t="n"/>
      <c r="L125" s="66" t="n"/>
      <c r="M125" s="66" t="n"/>
      <c r="N125" s="66" t="n"/>
      <c r="O125" s="73">
        <f>IF(C125="","",IF(AND(OR(L125="1-Urgent",L125="2-High"),M125="✓"),"DO FIRST",IF(M125="✓","SCHEDULE",IF(OR(L125="1-Urgent",L125="2-High"),"DELEGATE","DELETE"))))</f>
        <v/>
      </c>
      <c r="P125" s="65" t="n"/>
    </row>
    <row r="126">
      <c r="B126" s="64" t="n">
        <v>121</v>
      </c>
      <c r="C126" s="65" t="n"/>
      <c r="D126" s="66" t="n"/>
      <c r="E126" s="67" t="n"/>
      <c r="F126" s="68">
        <f>IF(OR(C126="",E126=""),"",E126-Setup!$D$7)</f>
        <v/>
      </c>
      <c r="G126" s="69" t="n"/>
      <c r="H126" s="69" t="n"/>
      <c r="I126" s="36">
        <f>IF(OR(G126="",H126=""),"",TRIM(IF(HOUR(H126-G126)&gt;0,HOUR(H126-G126)&amp;" hr ","")&amp;IF(MINUTE(H126-G126)&gt;0,MINUTE(H126-G126)&amp;" min","")))</f>
        <v/>
      </c>
      <c r="J126" s="66" t="n"/>
      <c r="K126" s="70" t="n"/>
      <c r="L126" s="66" t="n"/>
      <c r="M126" s="66" t="n"/>
      <c r="N126" s="66" t="n"/>
      <c r="O126" s="36">
        <f>IF(C126="","",IF(AND(OR(L126="1-Urgent",L126="2-High"),M126="✓"),"DO FIRST",IF(M126="✓","SCHEDULE",IF(OR(L126="1-Urgent",L126="2-High"),"DELEGATE","DELETE"))))</f>
        <v/>
      </c>
      <c r="P126" s="65" t="n"/>
    </row>
    <row r="127">
      <c r="B127" s="71" t="n">
        <v>122</v>
      </c>
      <c r="C127" s="65" t="n"/>
      <c r="D127" s="66" t="n"/>
      <c r="E127" s="67" t="n"/>
      <c r="F127" s="72">
        <f>IF(OR(C127="",E127=""),"",E127-Setup!$D$7)</f>
        <v/>
      </c>
      <c r="G127" s="69" t="n"/>
      <c r="H127" s="69" t="n"/>
      <c r="I127" s="73">
        <f>IF(OR(G127="",H127=""),"",TRIM(IF(HOUR(H127-G127)&gt;0,HOUR(H127-G127)&amp;" hr ","")&amp;IF(MINUTE(H127-G127)&gt;0,MINUTE(H127-G127)&amp;" min","")))</f>
        <v/>
      </c>
      <c r="J127" s="66" t="n"/>
      <c r="K127" s="70" t="n"/>
      <c r="L127" s="66" t="n"/>
      <c r="M127" s="66" t="n"/>
      <c r="N127" s="66" t="n"/>
      <c r="O127" s="73">
        <f>IF(C127="","",IF(AND(OR(L127="1-Urgent",L127="2-High"),M127="✓"),"DO FIRST",IF(M127="✓","SCHEDULE",IF(OR(L127="1-Urgent",L127="2-High"),"DELEGATE","DELETE"))))</f>
        <v/>
      </c>
      <c r="P127" s="65" t="n"/>
    </row>
    <row r="128">
      <c r="B128" s="64" t="n">
        <v>123</v>
      </c>
      <c r="C128" s="65" t="n"/>
      <c r="D128" s="66" t="n"/>
      <c r="E128" s="67" t="n"/>
      <c r="F128" s="68">
        <f>IF(OR(C128="",E128=""),"",E128-Setup!$D$7)</f>
        <v/>
      </c>
      <c r="G128" s="69" t="n"/>
      <c r="H128" s="69" t="n"/>
      <c r="I128" s="36">
        <f>IF(OR(G128="",H128=""),"",TRIM(IF(HOUR(H128-G128)&gt;0,HOUR(H128-G128)&amp;" hr ","")&amp;IF(MINUTE(H128-G128)&gt;0,MINUTE(H128-G128)&amp;" min","")))</f>
        <v/>
      </c>
      <c r="J128" s="66" t="n"/>
      <c r="K128" s="70" t="n"/>
      <c r="L128" s="66" t="n"/>
      <c r="M128" s="66" t="n"/>
      <c r="N128" s="66" t="n"/>
      <c r="O128" s="36">
        <f>IF(C128="","",IF(AND(OR(L128="1-Urgent",L128="2-High"),M128="✓"),"DO FIRST",IF(M128="✓","SCHEDULE",IF(OR(L128="1-Urgent",L128="2-High"),"DELEGATE","DELETE"))))</f>
        <v/>
      </c>
      <c r="P128" s="65" t="n"/>
    </row>
    <row r="129">
      <c r="B129" s="71" t="n">
        <v>124</v>
      </c>
      <c r="C129" s="65" t="n"/>
      <c r="D129" s="66" t="n"/>
      <c r="E129" s="67" t="n"/>
      <c r="F129" s="72">
        <f>IF(OR(C129="",E129=""),"",E129-Setup!$D$7)</f>
        <v/>
      </c>
      <c r="G129" s="69" t="n"/>
      <c r="H129" s="69" t="n"/>
      <c r="I129" s="73">
        <f>IF(OR(G129="",H129=""),"",TRIM(IF(HOUR(H129-G129)&gt;0,HOUR(H129-G129)&amp;" hr ","")&amp;IF(MINUTE(H129-G129)&gt;0,MINUTE(H129-G129)&amp;" min","")))</f>
        <v/>
      </c>
      <c r="J129" s="66" t="n"/>
      <c r="K129" s="70" t="n"/>
      <c r="L129" s="66" t="n"/>
      <c r="M129" s="66" t="n"/>
      <c r="N129" s="66" t="n"/>
      <c r="O129" s="73">
        <f>IF(C129="","",IF(AND(OR(L129="1-Urgent",L129="2-High"),M129="✓"),"DO FIRST",IF(M129="✓","SCHEDULE",IF(OR(L129="1-Urgent",L129="2-High"),"DELEGATE","DELETE"))))</f>
        <v/>
      </c>
      <c r="P129" s="65" t="n"/>
    </row>
    <row r="130">
      <c r="B130" s="64" t="n">
        <v>125</v>
      </c>
      <c r="C130" s="65" t="n"/>
      <c r="D130" s="66" t="n"/>
      <c r="E130" s="67" t="n"/>
      <c r="F130" s="68">
        <f>IF(OR(C130="",E130=""),"",E130-Setup!$D$7)</f>
        <v/>
      </c>
      <c r="G130" s="69" t="n"/>
      <c r="H130" s="69" t="n"/>
      <c r="I130" s="36">
        <f>IF(OR(G130="",H130=""),"",TRIM(IF(HOUR(H130-G130)&gt;0,HOUR(H130-G130)&amp;" hr ","")&amp;IF(MINUTE(H130-G130)&gt;0,MINUTE(H130-G130)&amp;" min","")))</f>
        <v/>
      </c>
      <c r="J130" s="66" t="n"/>
      <c r="K130" s="70" t="n"/>
      <c r="L130" s="66" t="n"/>
      <c r="M130" s="66" t="n"/>
      <c r="N130" s="66" t="n"/>
      <c r="O130" s="36">
        <f>IF(C130="","",IF(AND(OR(L130="1-Urgent",L130="2-High"),M130="✓"),"DO FIRST",IF(M130="✓","SCHEDULE",IF(OR(L130="1-Urgent",L130="2-High"),"DELEGATE","DELETE"))))</f>
        <v/>
      </c>
      <c r="P130" s="65" t="n"/>
    </row>
    <row r="131">
      <c r="B131" s="71" t="n">
        <v>126</v>
      </c>
      <c r="C131" s="65" t="n"/>
      <c r="D131" s="66" t="n"/>
      <c r="E131" s="67" t="n"/>
      <c r="F131" s="72">
        <f>IF(OR(C131="",E131=""),"",E131-Setup!$D$7)</f>
        <v/>
      </c>
      <c r="G131" s="69" t="n"/>
      <c r="H131" s="69" t="n"/>
      <c r="I131" s="73">
        <f>IF(OR(G131="",H131=""),"",TRIM(IF(HOUR(H131-G131)&gt;0,HOUR(H131-G131)&amp;" hr ","")&amp;IF(MINUTE(H131-G131)&gt;0,MINUTE(H131-G131)&amp;" min","")))</f>
        <v/>
      </c>
      <c r="J131" s="66" t="n"/>
      <c r="K131" s="70" t="n"/>
      <c r="L131" s="66" t="n"/>
      <c r="M131" s="66" t="n"/>
      <c r="N131" s="66" t="n"/>
      <c r="O131" s="73">
        <f>IF(C131="","",IF(AND(OR(L131="1-Urgent",L131="2-High"),M131="✓"),"DO FIRST",IF(M131="✓","SCHEDULE",IF(OR(L131="1-Urgent",L131="2-High"),"DELEGATE","DELETE"))))</f>
        <v/>
      </c>
      <c r="P131" s="65" t="n"/>
    </row>
    <row r="132">
      <c r="B132" s="64" t="n">
        <v>127</v>
      </c>
      <c r="C132" s="65" t="n"/>
      <c r="D132" s="66" t="n"/>
      <c r="E132" s="67" t="n"/>
      <c r="F132" s="68">
        <f>IF(OR(C132="",E132=""),"",E132-Setup!$D$7)</f>
        <v/>
      </c>
      <c r="G132" s="69" t="n"/>
      <c r="H132" s="69" t="n"/>
      <c r="I132" s="36">
        <f>IF(OR(G132="",H132=""),"",TRIM(IF(HOUR(H132-G132)&gt;0,HOUR(H132-G132)&amp;" hr ","")&amp;IF(MINUTE(H132-G132)&gt;0,MINUTE(H132-G132)&amp;" min","")))</f>
        <v/>
      </c>
      <c r="J132" s="66" t="n"/>
      <c r="K132" s="70" t="n"/>
      <c r="L132" s="66" t="n"/>
      <c r="M132" s="66" t="n"/>
      <c r="N132" s="66" t="n"/>
      <c r="O132" s="36">
        <f>IF(C132="","",IF(AND(OR(L132="1-Urgent",L132="2-High"),M132="✓"),"DO FIRST",IF(M132="✓","SCHEDULE",IF(OR(L132="1-Urgent",L132="2-High"),"DELEGATE","DELETE"))))</f>
        <v/>
      </c>
      <c r="P132" s="65" t="n"/>
    </row>
    <row r="133">
      <c r="B133" s="71" t="n">
        <v>128</v>
      </c>
      <c r="C133" s="65" t="n"/>
      <c r="D133" s="66" t="n"/>
      <c r="E133" s="67" t="n"/>
      <c r="F133" s="72">
        <f>IF(OR(C133="",E133=""),"",E133-Setup!$D$7)</f>
        <v/>
      </c>
      <c r="G133" s="69" t="n"/>
      <c r="H133" s="69" t="n"/>
      <c r="I133" s="73">
        <f>IF(OR(G133="",H133=""),"",TRIM(IF(HOUR(H133-G133)&gt;0,HOUR(H133-G133)&amp;" hr ","")&amp;IF(MINUTE(H133-G133)&gt;0,MINUTE(H133-G133)&amp;" min","")))</f>
        <v/>
      </c>
      <c r="J133" s="66" t="n"/>
      <c r="K133" s="70" t="n"/>
      <c r="L133" s="66" t="n"/>
      <c r="M133" s="66" t="n"/>
      <c r="N133" s="66" t="n"/>
      <c r="O133" s="73">
        <f>IF(C133="","",IF(AND(OR(L133="1-Urgent",L133="2-High"),M133="✓"),"DO FIRST",IF(M133="✓","SCHEDULE",IF(OR(L133="1-Urgent",L133="2-High"),"DELEGATE","DELETE"))))</f>
        <v/>
      </c>
      <c r="P133" s="65" t="n"/>
    </row>
    <row r="134">
      <c r="B134" s="64" t="n">
        <v>129</v>
      </c>
      <c r="C134" s="65" t="n"/>
      <c r="D134" s="66" t="n"/>
      <c r="E134" s="67" t="n"/>
      <c r="F134" s="68">
        <f>IF(OR(C134="",E134=""),"",E134-Setup!$D$7)</f>
        <v/>
      </c>
      <c r="G134" s="69" t="n"/>
      <c r="H134" s="69" t="n"/>
      <c r="I134" s="36">
        <f>IF(OR(G134="",H134=""),"",TRIM(IF(HOUR(H134-G134)&gt;0,HOUR(H134-G134)&amp;" hr ","")&amp;IF(MINUTE(H134-G134)&gt;0,MINUTE(H134-G134)&amp;" min","")))</f>
        <v/>
      </c>
      <c r="J134" s="66" t="n"/>
      <c r="K134" s="70" t="n"/>
      <c r="L134" s="66" t="n"/>
      <c r="M134" s="66" t="n"/>
      <c r="N134" s="66" t="n"/>
      <c r="O134" s="36">
        <f>IF(C134="","",IF(AND(OR(L134="1-Urgent",L134="2-High"),M134="✓"),"DO FIRST",IF(M134="✓","SCHEDULE",IF(OR(L134="1-Urgent",L134="2-High"),"DELEGATE","DELETE"))))</f>
        <v/>
      </c>
      <c r="P134" s="65" t="n"/>
    </row>
    <row r="135">
      <c r="B135" s="71" t="n">
        <v>130</v>
      </c>
      <c r="C135" s="65" t="n"/>
      <c r="D135" s="66" t="n"/>
      <c r="E135" s="67" t="n"/>
      <c r="F135" s="72">
        <f>IF(OR(C135="",E135=""),"",E135-Setup!$D$7)</f>
        <v/>
      </c>
      <c r="G135" s="69" t="n"/>
      <c r="H135" s="69" t="n"/>
      <c r="I135" s="73">
        <f>IF(OR(G135="",H135=""),"",TRIM(IF(HOUR(H135-G135)&gt;0,HOUR(H135-G135)&amp;" hr ","")&amp;IF(MINUTE(H135-G135)&gt;0,MINUTE(H135-G135)&amp;" min","")))</f>
        <v/>
      </c>
      <c r="J135" s="66" t="n"/>
      <c r="K135" s="70" t="n"/>
      <c r="L135" s="66" t="n"/>
      <c r="M135" s="66" t="n"/>
      <c r="N135" s="66" t="n"/>
      <c r="O135" s="73">
        <f>IF(C135="","",IF(AND(OR(L135="1-Urgent",L135="2-High"),M135="✓"),"DO FIRST",IF(M135="✓","SCHEDULE",IF(OR(L135="1-Urgent",L135="2-High"),"DELEGATE","DELETE"))))</f>
        <v/>
      </c>
      <c r="P135" s="65" t="n"/>
    </row>
    <row r="136">
      <c r="B136" s="64" t="n">
        <v>131</v>
      </c>
      <c r="C136" s="65" t="n"/>
      <c r="D136" s="66" t="n"/>
      <c r="E136" s="67" t="n"/>
      <c r="F136" s="68">
        <f>IF(OR(C136="",E136=""),"",E136-Setup!$D$7)</f>
        <v/>
      </c>
      <c r="G136" s="69" t="n"/>
      <c r="H136" s="69" t="n"/>
      <c r="I136" s="36">
        <f>IF(OR(G136="",H136=""),"",TRIM(IF(HOUR(H136-G136)&gt;0,HOUR(H136-G136)&amp;" hr ","")&amp;IF(MINUTE(H136-G136)&gt;0,MINUTE(H136-G136)&amp;" min","")))</f>
        <v/>
      </c>
      <c r="J136" s="66" t="n"/>
      <c r="K136" s="70" t="n"/>
      <c r="L136" s="66" t="n"/>
      <c r="M136" s="66" t="n"/>
      <c r="N136" s="66" t="n"/>
      <c r="O136" s="36">
        <f>IF(C136="","",IF(AND(OR(L136="1-Urgent",L136="2-High"),M136="✓"),"DO FIRST",IF(M136="✓","SCHEDULE",IF(OR(L136="1-Urgent",L136="2-High"),"DELEGATE","DELETE"))))</f>
        <v/>
      </c>
      <c r="P136" s="65" t="n"/>
    </row>
    <row r="137">
      <c r="B137" s="71" t="n">
        <v>132</v>
      </c>
      <c r="C137" s="65" t="n"/>
      <c r="D137" s="66" t="n"/>
      <c r="E137" s="67" t="n"/>
      <c r="F137" s="72">
        <f>IF(OR(C137="",E137=""),"",E137-Setup!$D$7)</f>
        <v/>
      </c>
      <c r="G137" s="69" t="n"/>
      <c r="H137" s="69" t="n"/>
      <c r="I137" s="73">
        <f>IF(OR(G137="",H137=""),"",TRIM(IF(HOUR(H137-G137)&gt;0,HOUR(H137-G137)&amp;" hr ","")&amp;IF(MINUTE(H137-G137)&gt;0,MINUTE(H137-G137)&amp;" min","")))</f>
        <v/>
      </c>
      <c r="J137" s="66" t="n"/>
      <c r="K137" s="70" t="n"/>
      <c r="L137" s="66" t="n"/>
      <c r="M137" s="66" t="n"/>
      <c r="N137" s="66" t="n"/>
      <c r="O137" s="73">
        <f>IF(C137="","",IF(AND(OR(L137="1-Urgent",L137="2-High"),M137="✓"),"DO FIRST",IF(M137="✓","SCHEDULE",IF(OR(L137="1-Urgent",L137="2-High"),"DELEGATE","DELETE"))))</f>
        <v/>
      </c>
      <c r="P137" s="65" t="n"/>
    </row>
    <row r="138">
      <c r="B138" s="64" t="n">
        <v>133</v>
      </c>
      <c r="C138" s="65" t="n"/>
      <c r="D138" s="66" t="n"/>
      <c r="E138" s="67" t="n"/>
      <c r="F138" s="68">
        <f>IF(OR(C138="",E138=""),"",E138-Setup!$D$7)</f>
        <v/>
      </c>
      <c r="G138" s="69" t="n"/>
      <c r="H138" s="69" t="n"/>
      <c r="I138" s="36">
        <f>IF(OR(G138="",H138=""),"",TRIM(IF(HOUR(H138-G138)&gt;0,HOUR(H138-G138)&amp;" hr ","")&amp;IF(MINUTE(H138-G138)&gt;0,MINUTE(H138-G138)&amp;" min","")))</f>
        <v/>
      </c>
      <c r="J138" s="66" t="n"/>
      <c r="K138" s="70" t="n"/>
      <c r="L138" s="66" t="n"/>
      <c r="M138" s="66" t="n"/>
      <c r="N138" s="66" t="n"/>
      <c r="O138" s="36">
        <f>IF(C138="","",IF(AND(OR(L138="1-Urgent",L138="2-High"),M138="✓"),"DO FIRST",IF(M138="✓","SCHEDULE",IF(OR(L138="1-Urgent",L138="2-High"),"DELEGATE","DELETE"))))</f>
        <v/>
      </c>
      <c r="P138" s="65" t="n"/>
    </row>
    <row r="139">
      <c r="B139" s="71" t="n">
        <v>134</v>
      </c>
      <c r="C139" s="65" t="n"/>
      <c r="D139" s="66" t="n"/>
      <c r="E139" s="67" t="n"/>
      <c r="F139" s="72">
        <f>IF(OR(C139="",E139=""),"",E139-Setup!$D$7)</f>
        <v/>
      </c>
      <c r="G139" s="69" t="n"/>
      <c r="H139" s="69" t="n"/>
      <c r="I139" s="73">
        <f>IF(OR(G139="",H139=""),"",TRIM(IF(HOUR(H139-G139)&gt;0,HOUR(H139-G139)&amp;" hr ","")&amp;IF(MINUTE(H139-G139)&gt;0,MINUTE(H139-G139)&amp;" min","")))</f>
        <v/>
      </c>
      <c r="J139" s="66" t="n"/>
      <c r="K139" s="70" t="n"/>
      <c r="L139" s="66" t="n"/>
      <c r="M139" s="66" t="n"/>
      <c r="N139" s="66" t="n"/>
      <c r="O139" s="73">
        <f>IF(C139="","",IF(AND(OR(L139="1-Urgent",L139="2-High"),M139="✓"),"DO FIRST",IF(M139="✓","SCHEDULE",IF(OR(L139="1-Urgent",L139="2-High"),"DELEGATE","DELETE"))))</f>
        <v/>
      </c>
      <c r="P139" s="65" t="n"/>
    </row>
    <row r="140">
      <c r="B140" s="64" t="n">
        <v>135</v>
      </c>
      <c r="C140" s="65" t="n"/>
      <c r="D140" s="66" t="n"/>
      <c r="E140" s="67" t="n"/>
      <c r="F140" s="68">
        <f>IF(OR(C140="",E140=""),"",E140-Setup!$D$7)</f>
        <v/>
      </c>
      <c r="G140" s="69" t="n"/>
      <c r="H140" s="69" t="n"/>
      <c r="I140" s="36">
        <f>IF(OR(G140="",H140=""),"",TRIM(IF(HOUR(H140-G140)&gt;0,HOUR(H140-G140)&amp;" hr ","")&amp;IF(MINUTE(H140-G140)&gt;0,MINUTE(H140-G140)&amp;" min","")))</f>
        <v/>
      </c>
      <c r="J140" s="66" t="n"/>
      <c r="K140" s="70" t="n"/>
      <c r="L140" s="66" t="n"/>
      <c r="M140" s="66" t="n"/>
      <c r="N140" s="66" t="n"/>
      <c r="O140" s="36">
        <f>IF(C140="","",IF(AND(OR(L140="1-Urgent",L140="2-High"),M140="✓"),"DO FIRST",IF(M140="✓","SCHEDULE",IF(OR(L140="1-Urgent",L140="2-High"),"DELEGATE","DELETE"))))</f>
        <v/>
      </c>
      <c r="P140" s="65" t="n"/>
    </row>
    <row r="141">
      <c r="B141" s="71" t="n">
        <v>136</v>
      </c>
      <c r="C141" s="65" t="n"/>
      <c r="D141" s="66" t="n"/>
      <c r="E141" s="67" t="n"/>
      <c r="F141" s="72">
        <f>IF(OR(C141="",E141=""),"",E141-Setup!$D$7)</f>
        <v/>
      </c>
      <c r="G141" s="69" t="n"/>
      <c r="H141" s="69" t="n"/>
      <c r="I141" s="73">
        <f>IF(OR(G141="",H141=""),"",TRIM(IF(HOUR(H141-G141)&gt;0,HOUR(H141-G141)&amp;" hr ","")&amp;IF(MINUTE(H141-G141)&gt;0,MINUTE(H141-G141)&amp;" min","")))</f>
        <v/>
      </c>
      <c r="J141" s="66" t="n"/>
      <c r="K141" s="70" t="n"/>
      <c r="L141" s="66" t="n"/>
      <c r="M141" s="66" t="n"/>
      <c r="N141" s="66" t="n"/>
      <c r="O141" s="73">
        <f>IF(C141="","",IF(AND(OR(L141="1-Urgent",L141="2-High"),M141="✓"),"DO FIRST",IF(M141="✓","SCHEDULE",IF(OR(L141="1-Urgent",L141="2-High"),"DELEGATE","DELETE"))))</f>
        <v/>
      </c>
      <c r="P141" s="65" t="n"/>
    </row>
    <row r="142">
      <c r="B142" s="64" t="n">
        <v>137</v>
      </c>
      <c r="C142" s="65" t="n"/>
      <c r="D142" s="66" t="n"/>
      <c r="E142" s="67" t="n"/>
      <c r="F142" s="68">
        <f>IF(OR(C142="",E142=""),"",E142-Setup!$D$7)</f>
        <v/>
      </c>
      <c r="G142" s="69" t="n"/>
      <c r="H142" s="69" t="n"/>
      <c r="I142" s="36">
        <f>IF(OR(G142="",H142=""),"",TRIM(IF(HOUR(H142-G142)&gt;0,HOUR(H142-G142)&amp;" hr ","")&amp;IF(MINUTE(H142-G142)&gt;0,MINUTE(H142-G142)&amp;" min","")))</f>
        <v/>
      </c>
      <c r="J142" s="66" t="n"/>
      <c r="K142" s="70" t="n"/>
      <c r="L142" s="66" t="n"/>
      <c r="M142" s="66" t="n"/>
      <c r="N142" s="66" t="n"/>
      <c r="O142" s="36">
        <f>IF(C142="","",IF(AND(OR(L142="1-Urgent",L142="2-High"),M142="✓"),"DO FIRST",IF(M142="✓","SCHEDULE",IF(OR(L142="1-Urgent",L142="2-High"),"DELEGATE","DELETE"))))</f>
        <v/>
      </c>
      <c r="P142" s="65" t="n"/>
    </row>
    <row r="143">
      <c r="B143" s="71" t="n">
        <v>138</v>
      </c>
      <c r="C143" s="65" t="n"/>
      <c r="D143" s="66" t="n"/>
      <c r="E143" s="67" t="n"/>
      <c r="F143" s="72">
        <f>IF(OR(C143="",E143=""),"",E143-Setup!$D$7)</f>
        <v/>
      </c>
      <c r="G143" s="69" t="n"/>
      <c r="H143" s="69" t="n"/>
      <c r="I143" s="73">
        <f>IF(OR(G143="",H143=""),"",TRIM(IF(HOUR(H143-G143)&gt;0,HOUR(H143-G143)&amp;" hr ","")&amp;IF(MINUTE(H143-G143)&gt;0,MINUTE(H143-G143)&amp;" min","")))</f>
        <v/>
      </c>
      <c r="J143" s="66" t="n"/>
      <c r="K143" s="70" t="n"/>
      <c r="L143" s="66" t="n"/>
      <c r="M143" s="66" t="n"/>
      <c r="N143" s="66" t="n"/>
      <c r="O143" s="73">
        <f>IF(C143="","",IF(AND(OR(L143="1-Urgent",L143="2-High"),M143="✓"),"DO FIRST",IF(M143="✓","SCHEDULE",IF(OR(L143="1-Urgent",L143="2-High"),"DELEGATE","DELETE"))))</f>
        <v/>
      </c>
      <c r="P143" s="65" t="n"/>
    </row>
    <row r="144">
      <c r="B144" s="64" t="n">
        <v>139</v>
      </c>
      <c r="C144" s="65" t="n"/>
      <c r="D144" s="66" t="n"/>
      <c r="E144" s="67" t="n"/>
      <c r="F144" s="68">
        <f>IF(OR(C144="",E144=""),"",E144-Setup!$D$7)</f>
        <v/>
      </c>
      <c r="G144" s="69" t="n"/>
      <c r="H144" s="69" t="n"/>
      <c r="I144" s="36">
        <f>IF(OR(G144="",H144=""),"",TRIM(IF(HOUR(H144-G144)&gt;0,HOUR(H144-G144)&amp;" hr ","")&amp;IF(MINUTE(H144-G144)&gt;0,MINUTE(H144-G144)&amp;" min","")))</f>
        <v/>
      </c>
      <c r="J144" s="66" t="n"/>
      <c r="K144" s="70" t="n"/>
      <c r="L144" s="66" t="n"/>
      <c r="M144" s="66" t="n"/>
      <c r="N144" s="66" t="n"/>
      <c r="O144" s="36">
        <f>IF(C144="","",IF(AND(OR(L144="1-Urgent",L144="2-High"),M144="✓"),"DO FIRST",IF(M144="✓","SCHEDULE",IF(OR(L144="1-Urgent",L144="2-High"),"DELEGATE","DELETE"))))</f>
        <v/>
      </c>
      <c r="P144" s="65" t="n"/>
    </row>
    <row r="145">
      <c r="B145" s="71" t="n">
        <v>140</v>
      </c>
      <c r="C145" s="65" t="n"/>
      <c r="D145" s="66" t="n"/>
      <c r="E145" s="67" t="n"/>
      <c r="F145" s="72">
        <f>IF(OR(C145="",E145=""),"",E145-Setup!$D$7)</f>
        <v/>
      </c>
      <c r="G145" s="69" t="n"/>
      <c r="H145" s="69" t="n"/>
      <c r="I145" s="73">
        <f>IF(OR(G145="",H145=""),"",TRIM(IF(HOUR(H145-G145)&gt;0,HOUR(H145-G145)&amp;" hr ","")&amp;IF(MINUTE(H145-G145)&gt;0,MINUTE(H145-G145)&amp;" min","")))</f>
        <v/>
      </c>
      <c r="J145" s="66" t="n"/>
      <c r="K145" s="70" t="n"/>
      <c r="L145" s="66" t="n"/>
      <c r="M145" s="66" t="n"/>
      <c r="N145" s="66" t="n"/>
      <c r="O145" s="73">
        <f>IF(C145="","",IF(AND(OR(L145="1-Urgent",L145="2-High"),M145="✓"),"DO FIRST",IF(M145="✓","SCHEDULE",IF(OR(L145="1-Urgent",L145="2-High"),"DELEGATE","DELETE"))))</f>
        <v/>
      </c>
      <c r="P145" s="65" t="n"/>
    </row>
    <row r="146">
      <c r="B146" s="64" t="n">
        <v>141</v>
      </c>
      <c r="C146" s="65" t="n"/>
      <c r="D146" s="66" t="n"/>
      <c r="E146" s="67" t="n"/>
      <c r="F146" s="68">
        <f>IF(OR(C146="",E146=""),"",E146-Setup!$D$7)</f>
        <v/>
      </c>
      <c r="G146" s="69" t="n"/>
      <c r="H146" s="69" t="n"/>
      <c r="I146" s="36">
        <f>IF(OR(G146="",H146=""),"",TRIM(IF(HOUR(H146-G146)&gt;0,HOUR(H146-G146)&amp;" hr ","")&amp;IF(MINUTE(H146-G146)&gt;0,MINUTE(H146-G146)&amp;" min","")))</f>
        <v/>
      </c>
      <c r="J146" s="66" t="n"/>
      <c r="K146" s="70" t="n"/>
      <c r="L146" s="66" t="n"/>
      <c r="M146" s="66" t="n"/>
      <c r="N146" s="66" t="n"/>
      <c r="O146" s="36">
        <f>IF(C146="","",IF(AND(OR(L146="1-Urgent",L146="2-High"),M146="✓"),"DO FIRST",IF(M146="✓","SCHEDULE",IF(OR(L146="1-Urgent",L146="2-High"),"DELEGATE","DELETE"))))</f>
        <v/>
      </c>
      <c r="P146" s="65" t="n"/>
    </row>
    <row r="147">
      <c r="B147" s="71" t="n">
        <v>142</v>
      </c>
      <c r="C147" s="65" t="n"/>
      <c r="D147" s="66" t="n"/>
      <c r="E147" s="67" t="n"/>
      <c r="F147" s="72">
        <f>IF(OR(C147="",E147=""),"",E147-Setup!$D$7)</f>
        <v/>
      </c>
      <c r="G147" s="69" t="n"/>
      <c r="H147" s="69" t="n"/>
      <c r="I147" s="73">
        <f>IF(OR(G147="",H147=""),"",TRIM(IF(HOUR(H147-G147)&gt;0,HOUR(H147-G147)&amp;" hr ","")&amp;IF(MINUTE(H147-G147)&gt;0,MINUTE(H147-G147)&amp;" min","")))</f>
        <v/>
      </c>
      <c r="J147" s="66" t="n"/>
      <c r="K147" s="70" t="n"/>
      <c r="L147" s="66" t="n"/>
      <c r="M147" s="66" t="n"/>
      <c r="N147" s="66" t="n"/>
      <c r="O147" s="73">
        <f>IF(C147="","",IF(AND(OR(L147="1-Urgent",L147="2-High"),M147="✓"),"DO FIRST",IF(M147="✓","SCHEDULE",IF(OR(L147="1-Urgent",L147="2-High"),"DELEGATE","DELETE"))))</f>
        <v/>
      </c>
      <c r="P147" s="65" t="n"/>
    </row>
    <row r="148">
      <c r="B148" s="64" t="n">
        <v>143</v>
      </c>
      <c r="C148" s="65" t="n"/>
      <c r="D148" s="66" t="n"/>
      <c r="E148" s="67" t="n"/>
      <c r="F148" s="68">
        <f>IF(OR(C148="",E148=""),"",E148-Setup!$D$7)</f>
        <v/>
      </c>
      <c r="G148" s="69" t="n"/>
      <c r="H148" s="69" t="n"/>
      <c r="I148" s="36">
        <f>IF(OR(G148="",H148=""),"",TRIM(IF(HOUR(H148-G148)&gt;0,HOUR(H148-G148)&amp;" hr ","")&amp;IF(MINUTE(H148-G148)&gt;0,MINUTE(H148-G148)&amp;" min","")))</f>
        <v/>
      </c>
      <c r="J148" s="66" t="n"/>
      <c r="K148" s="70" t="n"/>
      <c r="L148" s="66" t="n"/>
      <c r="M148" s="66" t="n"/>
      <c r="N148" s="66" t="n"/>
      <c r="O148" s="36">
        <f>IF(C148="","",IF(AND(OR(L148="1-Urgent",L148="2-High"),M148="✓"),"DO FIRST",IF(M148="✓","SCHEDULE",IF(OR(L148="1-Urgent",L148="2-High"),"DELEGATE","DELETE"))))</f>
        <v/>
      </c>
      <c r="P148" s="65" t="n"/>
    </row>
    <row r="149">
      <c r="B149" s="71" t="n">
        <v>144</v>
      </c>
      <c r="C149" s="65" t="n"/>
      <c r="D149" s="66" t="n"/>
      <c r="E149" s="67" t="n"/>
      <c r="F149" s="72">
        <f>IF(OR(C149="",E149=""),"",E149-Setup!$D$7)</f>
        <v/>
      </c>
      <c r="G149" s="69" t="n"/>
      <c r="H149" s="69" t="n"/>
      <c r="I149" s="73">
        <f>IF(OR(G149="",H149=""),"",TRIM(IF(HOUR(H149-G149)&gt;0,HOUR(H149-G149)&amp;" hr ","")&amp;IF(MINUTE(H149-G149)&gt;0,MINUTE(H149-G149)&amp;" min","")))</f>
        <v/>
      </c>
      <c r="J149" s="66" t="n"/>
      <c r="K149" s="70" t="n"/>
      <c r="L149" s="66" t="n"/>
      <c r="M149" s="66" t="n"/>
      <c r="N149" s="66" t="n"/>
      <c r="O149" s="73">
        <f>IF(C149="","",IF(AND(OR(L149="1-Urgent",L149="2-High"),M149="✓"),"DO FIRST",IF(M149="✓","SCHEDULE",IF(OR(L149="1-Urgent",L149="2-High"),"DELEGATE","DELETE"))))</f>
        <v/>
      </c>
      <c r="P149" s="65" t="n"/>
    </row>
    <row r="150">
      <c r="B150" s="64" t="n">
        <v>145</v>
      </c>
      <c r="C150" s="65" t="n"/>
      <c r="D150" s="66" t="n"/>
      <c r="E150" s="67" t="n"/>
      <c r="F150" s="68">
        <f>IF(OR(C150="",E150=""),"",E150-Setup!$D$7)</f>
        <v/>
      </c>
      <c r="G150" s="69" t="n"/>
      <c r="H150" s="69" t="n"/>
      <c r="I150" s="36">
        <f>IF(OR(G150="",H150=""),"",TRIM(IF(HOUR(H150-G150)&gt;0,HOUR(H150-G150)&amp;" hr ","")&amp;IF(MINUTE(H150-G150)&gt;0,MINUTE(H150-G150)&amp;" min","")))</f>
        <v/>
      </c>
      <c r="J150" s="66" t="n"/>
      <c r="K150" s="70" t="n"/>
      <c r="L150" s="66" t="n"/>
      <c r="M150" s="66" t="n"/>
      <c r="N150" s="66" t="n"/>
      <c r="O150" s="36">
        <f>IF(C150="","",IF(AND(OR(L150="1-Urgent",L150="2-High"),M150="✓"),"DO FIRST",IF(M150="✓","SCHEDULE",IF(OR(L150="1-Urgent",L150="2-High"),"DELEGATE","DELETE"))))</f>
        <v/>
      </c>
      <c r="P150" s="65" t="n"/>
    </row>
    <row r="151">
      <c r="B151" s="71" t="n">
        <v>146</v>
      </c>
      <c r="C151" s="65" t="n"/>
      <c r="D151" s="66" t="n"/>
      <c r="E151" s="67" t="n"/>
      <c r="F151" s="72">
        <f>IF(OR(C151="",E151=""),"",E151-Setup!$D$7)</f>
        <v/>
      </c>
      <c r="G151" s="69" t="n"/>
      <c r="H151" s="69" t="n"/>
      <c r="I151" s="73">
        <f>IF(OR(G151="",H151=""),"",TRIM(IF(HOUR(H151-G151)&gt;0,HOUR(H151-G151)&amp;" hr ","")&amp;IF(MINUTE(H151-G151)&gt;0,MINUTE(H151-G151)&amp;" min","")))</f>
        <v/>
      </c>
      <c r="J151" s="66" t="n"/>
      <c r="K151" s="70" t="n"/>
      <c r="L151" s="66" t="n"/>
      <c r="M151" s="66" t="n"/>
      <c r="N151" s="66" t="n"/>
      <c r="O151" s="73">
        <f>IF(C151="","",IF(AND(OR(L151="1-Urgent",L151="2-High"),M151="✓"),"DO FIRST",IF(M151="✓","SCHEDULE",IF(OR(L151="1-Urgent",L151="2-High"),"DELEGATE","DELETE"))))</f>
        <v/>
      </c>
      <c r="P151" s="65" t="n"/>
    </row>
    <row r="152">
      <c r="B152" s="64" t="n">
        <v>147</v>
      </c>
      <c r="C152" s="65" t="n"/>
      <c r="D152" s="66" t="n"/>
      <c r="E152" s="67" t="n"/>
      <c r="F152" s="68">
        <f>IF(OR(C152="",E152=""),"",E152-Setup!$D$7)</f>
        <v/>
      </c>
      <c r="G152" s="69" t="n"/>
      <c r="H152" s="69" t="n"/>
      <c r="I152" s="36">
        <f>IF(OR(G152="",H152=""),"",TRIM(IF(HOUR(H152-G152)&gt;0,HOUR(H152-G152)&amp;" hr ","")&amp;IF(MINUTE(H152-G152)&gt;0,MINUTE(H152-G152)&amp;" min","")))</f>
        <v/>
      </c>
      <c r="J152" s="66" t="n"/>
      <c r="K152" s="70" t="n"/>
      <c r="L152" s="66" t="n"/>
      <c r="M152" s="66" t="n"/>
      <c r="N152" s="66" t="n"/>
      <c r="O152" s="36">
        <f>IF(C152="","",IF(AND(OR(L152="1-Urgent",L152="2-High"),M152="✓"),"DO FIRST",IF(M152="✓","SCHEDULE",IF(OR(L152="1-Urgent",L152="2-High"),"DELEGATE","DELETE"))))</f>
        <v/>
      </c>
      <c r="P152" s="65" t="n"/>
    </row>
    <row r="153">
      <c r="B153" s="71" t="n">
        <v>148</v>
      </c>
      <c r="C153" s="65" t="n"/>
      <c r="D153" s="66" t="n"/>
      <c r="E153" s="67" t="n"/>
      <c r="F153" s="72">
        <f>IF(OR(C153="",E153=""),"",E153-Setup!$D$7)</f>
        <v/>
      </c>
      <c r="G153" s="69" t="n"/>
      <c r="H153" s="69" t="n"/>
      <c r="I153" s="73">
        <f>IF(OR(G153="",H153=""),"",TRIM(IF(HOUR(H153-G153)&gt;0,HOUR(H153-G153)&amp;" hr ","")&amp;IF(MINUTE(H153-G153)&gt;0,MINUTE(H153-G153)&amp;" min","")))</f>
        <v/>
      </c>
      <c r="J153" s="66" t="n"/>
      <c r="K153" s="70" t="n"/>
      <c r="L153" s="66" t="n"/>
      <c r="M153" s="66" t="n"/>
      <c r="N153" s="66" t="n"/>
      <c r="O153" s="73">
        <f>IF(C153="","",IF(AND(OR(L153="1-Urgent",L153="2-High"),M153="✓"),"DO FIRST",IF(M153="✓","SCHEDULE",IF(OR(L153="1-Urgent",L153="2-High"),"DELEGATE","DELETE"))))</f>
        <v/>
      </c>
      <c r="P153" s="65" t="n"/>
    </row>
    <row r="154">
      <c r="B154" s="64" t="n">
        <v>149</v>
      </c>
      <c r="C154" s="65" t="n"/>
      <c r="D154" s="66" t="n"/>
      <c r="E154" s="67" t="n"/>
      <c r="F154" s="68">
        <f>IF(OR(C154="",E154=""),"",E154-Setup!$D$7)</f>
        <v/>
      </c>
      <c r="G154" s="69" t="n"/>
      <c r="H154" s="69" t="n"/>
      <c r="I154" s="36">
        <f>IF(OR(G154="",H154=""),"",TRIM(IF(HOUR(H154-G154)&gt;0,HOUR(H154-G154)&amp;" hr ","")&amp;IF(MINUTE(H154-G154)&gt;0,MINUTE(H154-G154)&amp;" min","")))</f>
        <v/>
      </c>
      <c r="J154" s="66" t="n"/>
      <c r="K154" s="70" t="n"/>
      <c r="L154" s="66" t="n"/>
      <c r="M154" s="66" t="n"/>
      <c r="N154" s="66" t="n"/>
      <c r="O154" s="36">
        <f>IF(C154="","",IF(AND(OR(L154="1-Urgent",L154="2-High"),M154="✓"),"DO FIRST",IF(M154="✓","SCHEDULE",IF(OR(L154="1-Urgent",L154="2-High"),"DELEGATE","DELETE"))))</f>
        <v/>
      </c>
      <c r="P154" s="65" t="n"/>
    </row>
    <row r="155">
      <c r="B155" s="71" t="n">
        <v>150</v>
      </c>
      <c r="C155" s="65" t="n"/>
      <c r="D155" s="66" t="n"/>
      <c r="E155" s="67" t="n"/>
      <c r="F155" s="72">
        <f>IF(OR(C155="",E155=""),"",E155-Setup!$D$7)</f>
        <v/>
      </c>
      <c r="G155" s="69" t="n"/>
      <c r="H155" s="69" t="n"/>
      <c r="I155" s="73">
        <f>IF(OR(G155="",H155=""),"",TRIM(IF(HOUR(H155-G155)&gt;0,HOUR(H155-G155)&amp;" hr ","")&amp;IF(MINUTE(H155-G155)&gt;0,MINUTE(H155-G155)&amp;" min","")))</f>
        <v/>
      </c>
      <c r="J155" s="66" t="n"/>
      <c r="K155" s="70" t="n"/>
      <c r="L155" s="66" t="n"/>
      <c r="M155" s="66" t="n"/>
      <c r="N155" s="66" t="n"/>
      <c r="O155" s="73">
        <f>IF(C155="","",IF(AND(OR(L155="1-Urgent",L155="2-High"),M155="✓"),"DO FIRST",IF(M155="✓","SCHEDULE",IF(OR(L155="1-Urgent",L155="2-High"),"DELEGATE","DELETE"))))</f>
        <v/>
      </c>
      <c r="P155" s="65" t="n"/>
    </row>
    <row r="156">
      <c r="B156" s="64" t="n">
        <v>151</v>
      </c>
      <c r="C156" s="65" t="n"/>
      <c r="D156" s="66" t="n"/>
      <c r="E156" s="67" t="n"/>
      <c r="F156" s="68">
        <f>IF(OR(C156="",E156=""),"",E156-Setup!$D$7)</f>
        <v/>
      </c>
      <c r="G156" s="69" t="n"/>
      <c r="H156" s="69" t="n"/>
      <c r="I156" s="36">
        <f>IF(OR(G156="",H156=""),"",TRIM(IF(HOUR(H156-G156)&gt;0,HOUR(H156-G156)&amp;" hr ","")&amp;IF(MINUTE(H156-G156)&gt;0,MINUTE(H156-G156)&amp;" min","")))</f>
        <v/>
      </c>
      <c r="J156" s="66" t="n"/>
      <c r="K156" s="70" t="n"/>
      <c r="L156" s="66" t="n"/>
      <c r="M156" s="66" t="n"/>
      <c r="N156" s="66" t="n"/>
      <c r="O156" s="36">
        <f>IF(C156="","",IF(AND(OR(L156="1-Urgent",L156="2-High"),M156="✓"),"DO FIRST",IF(M156="✓","SCHEDULE",IF(OR(L156="1-Urgent",L156="2-High"),"DELEGATE","DELETE"))))</f>
        <v/>
      </c>
      <c r="P156" s="65" t="n"/>
    </row>
    <row r="157">
      <c r="B157" s="71" t="n">
        <v>152</v>
      </c>
      <c r="C157" s="65" t="n"/>
      <c r="D157" s="66" t="n"/>
      <c r="E157" s="67" t="n"/>
      <c r="F157" s="72">
        <f>IF(OR(C157="",E157=""),"",E157-Setup!$D$7)</f>
        <v/>
      </c>
      <c r="G157" s="69" t="n"/>
      <c r="H157" s="69" t="n"/>
      <c r="I157" s="73">
        <f>IF(OR(G157="",H157=""),"",TRIM(IF(HOUR(H157-G157)&gt;0,HOUR(H157-G157)&amp;" hr ","")&amp;IF(MINUTE(H157-G157)&gt;0,MINUTE(H157-G157)&amp;" min","")))</f>
        <v/>
      </c>
      <c r="J157" s="66" t="n"/>
      <c r="K157" s="70" t="n"/>
      <c r="L157" s="66" t="n"/>
      <c r="M157" s="66" t="n"/>
      <c r="N157" s="66" t="n"/>
      <c r="O157" s="73">
        <f>IF(C157="","",IF(AND(OR(L157="1-Urgent",L157="2-High"),M157="✓"),"DO FIRST",IF(M157="✓","SCHEDULE",IF(OR(L157="1-Urgent",L157="2-High"),"DELEGATE","DELETE"))))</f>
        <v/>
      </c>
      <c r="P157" s="65" t="n"/>
    </row>
    <row r="158">
      <c r="B158" s="64" t="n">
        <v>153</v>
      </c>
      <c r="C158" s="65" t="n"/>
      <c r="D158" s="66" t="n"/>
      <c r="E158" s="67" t="n"/>
      <c r="F158" s="68">
        <f>IF(OR(C158="",E158=""),"",E158-Setup!$D$7)</f>
        <v/>
      </c>
      <c r="G158" s="69" t="n"/>
      <c r="H158" s="69" t="n"/>
      <c r="I158" s="36">
        <f>IF(OR(G158="",H158=""),"",TRIM(IF(HOUR(H158-G158)&gt;0,HOUR(H158-G158)&amp;" hr ","")&amp;IF(MINUTE(H158-G158)&gt;0,MINUTE(H158-G158)&amp;" min","")))</f>
        <v/>
      </c>
      <c r="J158" s="66" t="n"/>
      <c r="K158" s="70" t="n"/>
      <c r="L158" s="66" t="n"/>
      <c r="M158" s="66" t="n"/>
      <c r="N158" s="66" t="n"/>
      <c r="O158" s="36">
        <f>IF(C158="","",IF(AND(OR(L158="1-Urgent",L158="2-High"),M158="✓"),"DO FIRST",IF(M158="✓","SCHEDULE",IF(OR(L158="1-Urgent",L158="2-High"),"DELEGATE","DELETE"))))</f>
        <v/>
      </c>
      <c r="P158" s="65" t="n"/>
    </row>
    <row r="159">
      <c r="B159" s="71" t="n">
        <v>154</v>
      </c>
      <c r="C159" s="65" t="n"/>
      <c r="D159" s="66" t="n"/>
      <c r="E159" s="67" t="n"/>
      <c r="F159" s="72">
        <f>IF(OR(C159="",E159=""),"",E159-Setup!$D$7)</f>
        <v/>
      </c>
      <c r="G159" s="69" t="n"/>
      <c r="H159" s="69" t="n"/>
      <c r="I159" s="73">
        <f>IF(OR(G159="",H159=""),"",TRIM(IF(HOUR(H159-G159)&gt;0,HOUR(H159-G159)&amp;" hr ","")&amp;IF(MINUTE(H159-G159)&gt;0,MINUTE(H159-G159)&amp;" min","")))</f>
        <v/>
      </c>
      <c r="J159" s="66" t="n"/>
      <c r="K159" s="70" t="n"/>
      <c r="L159" s="66" t="n"/>
      <c r="M159" s="66" t="n"/>
      <c r="N159" s="66" t="n"/>
      <c r="O159" s="73">
        <f>IF(C159="","",IF(AND(OR(L159="1-Urgent",L159="2-High"),M159="✓"),"DO FIRST",IF(M159="✓","SCHEDULE",IF(OR(L159="1-Urgent",L159="2-High"),"DELEGATE","DELETE"))))</f>
        <v/>
      </c>
      <c r="P159" s="65" t="n"/>
    </row>
    <row r="160">
      <c r="B160" s="64" t="n">
        <v>155</v>
      </c>
      <c r="C160" s="65" t="n"/>
      <c r="D160" s="66" t="n"/>
      <c r="E160" s="67" t="n"/>
      <c r="F160" s="68">
        <f>IF(OR(C160="",E160=""),"",E160-Setup!$D$7)</f>
        <v/>
      </c>
      <c r="G160" s="69" t="n"/>
      <c r="H160" s="69" t="n"/>
      <c r="I160" s="36">
        <f>IF(OR(G160="",H160=""),"",TRIM(IF(HOUR(H160-G160)&gt;0,HOUR(H160-G160)&amp;" hr ","")&amp;IF(MINUTE(H160-G160)&gt;0,MINUTE(H160-G160)&amp;" min","")))</f>
        <v/>
      </c>
      <c r="J160" s="66" t="n"/>
      <c r="K160" s="70" t="n"/>
      <c r="L160" s="66" t="n"/>
      <c r="M160" s="66" t="n"/>
      <c r="N160" s="66" t="n"/>
      <c r="O160" s="36">
        <f>IF(C160="","",IF(AND(OR(L160="1-Urgent",L160="2-High"),M160="✓"),"DO FIRST",IF(M160="✓","SCHEDULE",IF(OR(L160="1-Urgent",L160="2-High"),"DELEGATE","DELETE"))))</f>
        <v/>
      </c>
      <c r="P160" s="65" t="n"/>
    </row>
    <row r="161">
      <c r="B161" s="71" t="n">
        <v>156</v>
      </c>
      <c r="C161" s="65" t="n"/>
      <c r="D161" s="66" t="n"/>
      <c r="E161" s="67" t="n"/>
      <c r="F161" s="72">
        <f>IF(OR(C161="",E161=""),"",E161-Setup!$D$7)</f>
        <v/>
      </c>
      <c r="G161" s="69" t="n"/>
      <c r="H161" s="69" t="n"/>
      <c r="I161" s="73">
        <f>IF(OR(G161="",H161=""),"",TRIM(IF(HOUR(H161-G161)&gt;0,HOUR(H161-G161)&amp;" hr ","")&amp;IF(MINUTE(H161-G161)&gt;0,MINUTE(H161-G161)&amp;" min","")))</f>
        <v/>
      </c>
      <c r="J161" s="66" t="n"/>
      <c r="K161" s="70" t="n"/>
      <c r="L161" s="66" t="n"/>
      <c r="M161" s="66" t="n"/>
      <c r="N161" s="66" t="n"/>
      <c r="O161" s="73">
        <f>IF(C161="","",IF(AND(OR(L161="1-Urgent",L161="2-High"),M161="✓"),"DO FIRST",IF(M161="✓","SCHEDULE",IF(OR(L161="1-Urgent",L161="2-High"),"DELEGATE","DELETE"))))</f>
        <v/>
      </c>
      <c r="P161" s="65" t="n"/>
    </row>
    <row r="162">
      <c r="B162" s="64" t="n">
        <v>157</v>
      </c>
      <c r="C162" s="65" t="n"/>
      <c r="D162" s="66" t="n"/>
      <c r="E162" s="67" t="n"/>
      <c r="F162" s="68">
        <f>IF(OR(C162="",E162=""),"",E162-Setup!$D$7)</f>
        <v/>
      </c>
      <c r="G162" s="69" t="n"/>
      <c r="H162" s="69" t="n"/>
      <c r="I162" s="36">
        <f>IF(OR(G162="",H162=""),"",TRIM(IF(HOUR(H162-G162)&gt;0,HOUR(H162-G162)&amp;" hr ","")&amp;IF(MINUTE(H162-G162)&gt;0,MINUTE(H162-G162)&amp;" min","")))</f>
        <v/>
      </c>
      <c r="J162" s="66" t="n"/>
      <c r="K162" s="70" t="n"/>
      <c r="L162" s="66" t="n"/>
      <c r="M162" s="66" t="n"/>
      <c r="N162" s="66" t="n"/>
      <c r="O162" s="36">
        <f>IF(C162="","",IF(AND(OR(L162="1-Urgent",L162="2-High"),M162="✓"),"DO FIRST",IF(M162="✓","SCHEDULE",IF(OR(L162="1-Urgent",L162="2-High"),"DELEGATE","DELETE"))))</f>
        <v/>
      </c>
      <c r="P162" s="65" t="n"/>
    </row>
    <row r="163">
      <c r="B163" s="71" t="n">
        <v>158</v>
      </c>
      <c r="C163" s="65" t="n"/>
      <c r="D163" s="66" t="n"/>
      <c r="E163" s="67" t="n"/>
      <c r="F163" s="72">
        <f>IF(OR(C163="",E163=""),"",E163-Setup!$D$7)</f>
        <v/>
      </c>
      <c r="G163" s="69" t="n"/>
      <c r="H163" s="69" t="n"/>
      <c r="I163" s="73">
        <f>IF(OR(G163="",H163=""),"",TRIM(IF(HOUR(H163-G163)&gt;0,HOUR(H163-G163)&amp;" hr ","")&amp;IF(MINUTE(H163-G163)&gt;0,MINUTE(H163-G163)&amp;" min","")))</f>
        <v/>
      </c>
      <c r="J163" s="66" t="n"/>
      <c r="K163" s="70" t="n"/>
      <c r="L163" s="66" t="n"/>
      <c r="M163" s="66" t="n"/>
      <c r="N163" s="66" t="n"/>
      <c r="O163" s="73">
        <f>IF(C163="","",IF(AND(OR(L163="1-Urgent",L163="2-High"),M163="✓"),"DO FIRST",IF(M163="✓","SCHEDULE",IF(OR(L163="1-Urgent",L163="2-High"),"DELEGATE","DELETE"))))</f>
        <v/>
      </c>
      <c r="P163" s="65" t="n"/>
    </row>
    <row r="164">
      <c r="B164" s="64" t="n">
        <v>159</v>
      </c>
      <c r="C164" s="65" t="n"/>
      <c r="D164" s="66" t="n"/>
      <c r="E164" s="67" t="n"/>
      <c r="F164" s="68">
        <f>IF(OR(C164="",E164=""),"",E164-Setup!$D$7)</f>
        <v/>
      </c>
      <c r="G164" s="69" t="n"/>
      <c r="H164" s="69" t="n"/>
      <c r="I164" s="36">
        <f>IF(OR(G164="",H164=""),"",TRIM(IF(HOUR(H164-G164)&gt;0,HOUR(H164-G164)&amp;" hr ","")&amp;IF(MINUTE(H164-G164)&gt;0,MINUTE(H164-G164)&amp;" min","")))</f>
        <v/>
      </c>
      <c r="J164" s="66" t="n"/>
      <c r="K164" s="70" t="n"/>
      <c r="L164" s="66" t="n"/>
      <c r="M164" s="66" t="n"/>
      <c r="N164" s="66" t="n"/>
      <c r="O164" s="36">
        <f>IF(C164="","",IF(AND(OR(L164="1-Urgent",L164="2-High"),M164="✓"),"DO FIRST",IF(M164="✓","SCHEDULE",IF(OR(L164="1-Urgent",L164="2-High"),"DELEGATE","DELETE"))))</f>
        <v/>
      </c>
      <c r="P164" s="65" t="n"/>
    </row>
    <row r="165">
      <c r="B165" s="71" t="n">
        <v>160</v>
      </c>
      <c r="C165" s="65" t="n"/>
      <c r="D165" s="66" t="n"/>
      <c r="E165" s="67" t="n"/>
      <c r="F165" s="72">
        <f>IF(OR(C165="",E165=""),"",E165-Setup!$D$7)</f>
        <v/>
      </c>
      <c r="G165" s="69" t="n"/>
      <c r="H165" s="69" t="n"/>
      <c r="I165" s="73">
        <f>IF(OR(G165="",H165=""),"",TRIM(IF(HOUR(H165-G165)&gt;0,HOUR(H165-G165)&amp;" hr ","")&amp;IF(MINUTE(H165-G165)&gt;0,MINUTE(H165-G165)&amp;" min","")))</f>
        <v/>
      </c>
      <c r="J165" s="66" t="n"/>
      <c r="K165" s="70" t="n"/>
      <c r="L165" s="66" t="n"/>
      <c r="M165" s="66" t="n"/>
      <c r="N165" s="66" t="n"/>
      <c r="O165" s="73">
        <f>IF(C165="","",IF(AND(OR(L165="1-Urgent",L165="2-High"),M165="✓"),"DO FIRST",IF(M165="✓","SCHEDULE",IF(OR(L165="1-Urgent",L165="2-High"),"DELEGATE","DELETE"))))</f>
        <v/>
      </c>
      <c r="P165" s="65" t="n"/>
    </row>
    <row r="166">
      <c r="B166" s="64" t="n">
        <v>161</v>
      </c>
      <c r="C166" s="65" t="n"/>
      <c r="D166" s="66" t="n"/>
      <c r="E166" s="67" t="n"/>
      <c r="F166" s="68">
        <f>IF(OR(C166="",E166=""),"",E166-Setup!$D$7)</f>
        <v/>
      </c>
      <c r="G166" s="69" t="n"/>
      <c r="H166" s="69" t="n"/>
      <c r="I166" s="36">
        <f>IF(OR(G166="",H166=""),"",TRIM(IF(HOUR(H166-G166)&gt;0,HOUR(H166-G166)&amp;" hr ","")&amp;IF(MINUTE(H166-G166)&gt;0,MINUTE(H166-G166)&amp;" min","")))</f>
        <v/>
      </c>
      <c r="J166" s="66" t="n"/>
      <c r="K166" s="70" t="n"/>
      <c r="L166" s="66" t="n"/>
      <c r="M166" s="66" t="n"/>
      <c r="N166" s="66" t="n"/>
      <c r="O166" s="36">
        <f>IF(C166="","",IF(AND(OR(L166="1-Urgent",L166="2-High"),M166="✓"),"DO FIRST",IF(M166="✓","SCHEDULE",IF(OR(L166="1-Urgent",L166="2-High"),"DELEGATE","DELETE"))))</f>
        <v/>
      </c>
      <c r="P166" s="65" t="n"/>
    </row>
    <row r="167">
      <c r="B167" s="71" t="n">
        <v>162</v>
      </c>
      <c r="C167" s="65" t="n"/>
      <c r="D167" s="66" t="n"/>
      <c r="E167" s="67" t="n"/>
      <c r="F167" s="72">
        <f>IF(OR(C167="",E167=""),"",E167-Setup!$D$7)</f>
        <v/>
      </c>
      <c r="G167" s="69" t="n"/>
      <c r="H167" s="69" t="n"/>
      <c r="I167" s="73">
        <f>IF(OR(G167="",H167=""),"",TRIM(IF(HOUR(H167-G167)&gt;0,HOUR(H167-G167)&amp;" hr ","")&amp;IF(MINUTE(H167-G167)&gt;0,MINUTE(H167-G167)&amp;" min","")))</f>
        <v/>
      </c>
      <c r="J167" s="66" t="n"/>
      <c r="K167" s="70" t="n"/>
      <c r="L167" s="66" t="n"/>
      <c r="M167" s="66" t="n"/>
      <c r="N167" s="66" t="n"/>
      <c r="O167" s="73">
        <f>IF(C167="","",IF(AND(OR(L167="1-Urgent",L167="2-High"),M167="✓"),"DO FIRST",IF(M167="✓","SCHEDULE",IF(OR(L167="1-Urgent",L167="2-High"),"DELEGATE","DELETE"))))</f>
        <v/>
      </c>
      <c r="P167" s="65" t="n"/>
    </row>
    <row r="168">
      <c r="B168" s="64" t="n">
        <v>163</v>
      </c>
      <c r="C168" s="65" t="n"/>
      <c r="D168" s="66" t="n"/>
      <c r="E168" s="67" t="n"/>
      <c r="F168" s="68">
        <f>IF(OR(C168="",E168=""),"",E168-Setup!$D$7)</f>
        <v/>
      </c>
      <c r="G168" s="69" t="n"/>
      <c r="H168" s="69" t="n"/>
      <c r="I168" s="36">
        <f>IF(OR(G168="",H168=""),"",TRIM(IF(HOUR(H168-G168)&gt;0,HOUR(H168-G168)&amp;" hr ","")&amp;IF(MINUTE(H168-G168)&gt;0,MINUTE(H168-G168)&amp;" min","")))</f>
        <v/>
      </c>
      <c r="J168" s="66" t="n"/>
      <c r="K168" s="70" t="n"/>
      <c r="L168" s="66" t="n"/>
      <c r="M168" s="66" t="n"/>
      <c r="N168" s="66" t="n"/>
      <c r="O168" s="36">
        <f>IF(C168="","",IF(AND(OR(L168="1-Urgent",L168="2-High"),M168="✓"),"DO FIRST",IF(M168="✓","SCHEDULE",IF(OR(L168="1-Urgent",L168="2-High"),"DELEGATE","DELETE"))))</f>
        <v/>
      </c>
      <c r="P168" s="65" t="n"/>
    </row>
    <row r="169">
      <c r="B169" s="71" t="n">
        <v>164</v>
      </c>
      <c r="C169" s="65" t="n"/>
      <c r="D169" s="66" t="n"/>
      <c r="E169" s="67" t="n"/>
      <c r="F169" s="72">
        <f>IF(OR(C169="",E169=""),"",E169-Setup!$D$7)</f>
        <v/>
      </c>
      <c r="G169" s="69" t="n"/>
      <c r="H169" s="69" t="n"/>
      <c r="I169" s="73">
        <f>IF(OR(G169="",H169=""),"",TRIM(IF(HOUR(H169-G169)&gt;0,HOUR(H169-G169)&amp;" hr ","")&amp;IF(MINUTE(H169-G169)&gt;0,MINUTE(H169-G169)&amp;" min","")))</f>
        <v/>
      </c>
      <c r="J169" s="66" t="n"/>
      <c r="K169" s="70" t="n"/>
      <c r="L169" s="66" t="n"/>
      <c r="M169" s="66" t="n"/>
      <c r="N169" s="66" t="n"/>
      <c r="O169" s="73">
        <f>IF(C169="","",IF(AND(OR(L169="1-Urgent",L169="2-High"),M169="✓"),"DO FIRST",IF(M169="✓","SCHEDULE",IF(OR(L169="1-Urgent",L169="2-High"),"DELEGATE","DELETE"))))</f>
        <v/>
      </c>
      <c r="P169" s="65" t="n"/>
    </row>
    <row r="170">
      <c r="B170" s="64" t="n">
        <v>165</v>
      </c>
      <c r="C170" s="65" t="n"/>
      <c r="D170" s="66" t="n"/>
      <c r="E170" s="67" t="n"/>
      <c r="F170" s="68">
        <f>IF(OR(C170="",E170=""),"",E170-Setup!$D$7)</f>
        <v/>
      </c>
      <c r="G170" s="69" t="n"/>
      <c r="H170" s="69" t="n"/>
      <c r="I170" s="36">
        <f>IF(OR(G170="",H170=""),"",TRIM(IF(HOUR(H170-G170)&gt;0,HOUR(H170-G170)&amp;" hr ","")&amp;IF(MINUTE(H170-G170)&gt;0,MINUTE(H170-G170)&amp;" min","")))</f>
        <v/>
      </c>
      <c r="J170" s="66" t="n"/>
      <c r="K170" s="70" t="n"/>
      <c r="L170" s="66" t="n"/>
      <c r="M170" s="66" t="n"/>
      <c r="N170" s="66" t="n"/>
      <c r="O170" s="36">
        <f>IF(C170="","",IF(AND(OR(L170="1-Urgent",L170="2-High"),M170="✓"),"DO FIRST",IF(M170="✓","SCHEDULE",IF(OR(L170="1-Urgent",L170="2-High"),"DELEGATE","DELETE"))))</f>
        <v/>
      </c>
      <c r="P170" s="65" t="n"/>
    </row>
    <row r="171">
      <c r="B171" s="71" t="n">
        <v>166</v>
      </c>
      <c r="C171" s="65" t="n"/>
      <c r="D171" s="66" t="n"/>
      <c r="E171" s="67" t="n"/>
      <c r="F171" s="72">
        <f>IF(OR(C171="",E171=""),"",E171-Setup!$D$7)</f>
        <v/>
      </c>
      <c r="G171" s="69" t="n"/>
      <c r="H171" s="69" t="n"/>
      <c r="I171" s="73">
        <f>IF(OR(G171="",H171=""),"",TRIM(IF(HOUR(H171-G171)&gt;0,HOUR(H171-G171)&amp;" hr ","")&amp;IF(MINUTE(H171-G171)&gt;0,MINUTE(H171-G171)&amp;" min","")))</f>
        <v/>
      </c>
      <c r="J171" s="66" t="n"/>
      <c r="K171" s="70" t="n"/>
      <c r="L171" s="66" t="n"/>
      <c r="M171" s="66" t="n"/>
      <c r="N171" s="66" t="n"/>
      <c r="O171" s="73">
        <f>IF(C171="","",IF(AND(OR(L171="1-Urgent",L171="2-High"),M171="✓"),"DO FIRST",IF(M171="✓","SCHEDULE",IF(OR(L171="1-Urgent",L171="2-High"),"DELEGATE","DELETE"))))</f>
        <v/>
      </c>
      <c r="P171" s="65" t="n"/>
    </row>
    <row r="172">
      <c r="B172" s="64" t="n">
        <v>167</v>
      </c>
      <c r="C172" s="65" t="n"/>
      <c r="D172" s="66" t="n"/>
      <c r="E172" s="67" t="n"/>
      <c r="F172" s="68">
        <f>IF(OR(C172="",E172=""),"",E172-Setup!$D$7)</f>
        <v/>
      </c>
      <c r="G172" s="69" t="n"/>
      <c r="H172" s="69" t="n"/>
      <c r="I172" s="36">
        <f>IF(OR(G172="",H172=""),"",TRIM(IF(HOUR(H172-G172)&gt;0,HOUR(H172-G172)&amp;" hr ","")&amp;IF(MINUTE(H172-G172)&gt;0,MINUTE(H172-G172)&amp;" min","")))</f>
        <v/>
      </c>
      <c r="J172" s="66" t="n"/>
      <c r="K172" s="70" t="n"/>
      <c r="L172" s="66" t="n"/>
      <c r="M172" s="66" t="n"/>
      <c r="N172" s="66" t="n"/>
      <c r="O172" s="36">
        <f>IF(C172="","",IF(AND(OR(L172="1-Urgent",L172="2-High"),M172="✓"),"DO FIRST",IF(M172="✓","SCHEDULE",IF(OR(L172="1-Urgent",L172="2-High"),"DELEGATE","DELETE"))))</f>
        <v/>
      </c>
      <c r="P172" s="65" t="n"/>
    </row>
    <row r="173">
      <c r="B173" s="71" t="n">
        <v>168</v>
      </c>
      <c r="C173" s="65" t="n"/>
      <c r="D173" s="66" t="n"/>
      <c r="E173" s="67" t="n"/>
      <c r="F173" s="72">
        <f>IF(OR(C173="",E173=""),"",E173-Setup!$D$7)</f>
        <v/>
      </c>
      <c r="G173" s="69" t="n"/>
      <c r="H173" s="69" t="n"/>
      <c r="I173" s="73">
        <f>IF(OR(G173="",H173=""),"",TRIM(IF(HOUR(H173-G173)&gt;0,HOUR(H173-G173)&amp;" hr ","")&amp;IF(MINUTE(H173-G173)&gt;0,MINUTE(H173-G173)&amp;" min","")))</f>
        <v/>
      </c>
      <c r="J173" s="66" t="n"/>
      <c r="K173" s="70" t="n"/>
      <c r="L173" s="66" t="n"/>
      <c r="M173" s="66" t="n"/>
      <c r="N173" s="66" t="n"/>
      <c r="O173" s="73">
        <f>IF(C173="","",IF(AND(OR(L173="1-Urgent",L173="2-High"),M173="✓"),"DO FIRST",IF(M173="✓","SCHEDULE",IF(OR(L173="1-Urgent",L173="2-High"),"DELEGATE","DELETE"))))</f>
        <v/>
      </c>
      <c r="P173" s="65" t="n"/>
    </row>
    <row r="174">
      <c r="B174" s="64" t="n">
        <v>169</v>
      </c>
      <c r="C174" s="65" t="n"/>
      <c r="D174" s="66" t="n"/>
      <c r="E174" s="67" t="n"/>
      <c r="F174" s="68">
        <f>IF(OR(C174="",E174=""),"",E174-Setup!$D$7)</f>
        <v/>
      </c>
      <c r="G174" s="69" t="n"/>
      <c r="H174" s="69" t="n"/>
      <c r="I174" s="36">
        <f>IF(OR(G174="",H174=""),"",TRIM(IF(HOUR(H174-G174)&gt;0,HOUR(H174-G174)&amp;" hr ","")&amp;IF(MINUTE(H174-G174)&gt;0,MINUTE(H174-G174)&amp;" min","")))</f>
        <v/>
      </c>
      <c r="J174" s="66" t="n"/>
      <c r="K174" s="70" t="n"/>
      <c r="L174" s="66" t="n"/>
      <c r="M174" s="66" t="n"/>
      <c r="N174" s="66" t="n"/>
      <c r="O174" s="36">
        <f>IF(C174="","",IF(AND(OR(L174="1-Urgent",L174="2-High"),M174="✓"),"DO FIRST",IF(M174="✓","SCHEDULE",IF(OR(L174="1-Urgent",L174="2-High"),"DELEGATE","DELETE"))))</f>
        <v/>
      </c>
      <c r="P174" s="65" t="n"/>
    </row>
    <row r="175">
      <c r="B175" s="71" t="n">
        <v>170</v>
      </c>
      <c r="C175" s="65" t="n"/>
      <c r="D175" s="66" t="n"/>
      <c r="E175" s="67" t="n"/>
      <c r="F175" s="72">
        <f>IF(OR(C175="",E175=""),"",E175-Setup!$D$7)</f>
        <v/>
      </c>
      <c r="G175" s="69" t="n"/>
      <c r="H175" s="69" t="n"/>
      <c r="I175" s="73">
        <f>IF(OR(G175="",H175=""),"",TRIM(IF(HOUR(H175-G175)&gt;0,HOUR(H175-G175)&amp;" hr ","")&amp;IF(MINUTE(H175-G175)&gt;0,MINUTE(H175-G175)&amp;" min","")))</f>
        <v/>
      </c>
      <c r="J175" s="66" t="n"/>
      <c r="K175" s="70" t="n"/>
      <c r="L175" s="66" t="n"/>
      <c r="M175" s="66" t="n"/>
      <c r="N175" s="66" t="n"/>
      <c r="O175" s="73">
        <f>IF(C175="","",IF(AND(OR(L175="1-Urgent",L175="2-High"),M175="✓"),"DO FIRST",IF(M175="✓","SCHEDULE",IF(OR(L175="1-Urgent",L175="2-High"),"DELEGATE","DELETE"))))</f>
        <v/>
      </c>
      <c r="P175" s="65" t="n"/>
    </row>
    <row r="176">
      <c r="B176" s="64" t="n">
        <v>171</v>
      </c>
      <c r="C176" s="65" t="n"/>
      <c r="D176" s="66" t="n"/>
      <c r="E176" s="67" t="n"/>
      <c r="F176" s="68">
        <f>IF(OR(C176="",E176=""),"",E176-Setup!$D$7)</f>
        <v/>
      </c>
      <c r="G176" s="69" t="n"/>
      <c r="H176" s="69" t="n"/>
      <c r="I176" s="36">
        <f>IF(OR(G176="",H176=""),"",TRIM(IF(HOUR(H176-G176)&gt;0,HOUR(H176-G176)&amp;" hr ","")&amp;IF(MINUTE(H176-G176)&gt;0,MINUTE(H176-G176)&amp;" min","")))</f>
        <v/>
      </c>
      <c r="J176" s="66" t="n"/>
      <c r="K176" s="70" t="n"/>
      <c r="L176" s="66" t="n"/>
      <c r="M176" s="66" t="n"/>
      <c r="N176" s="66" t="n"/>
      <c r="O176" s="36">
        <f>IF(C176="","",IF(AND(OR(L176="1-Urgent",L176="2-High"),M176="✓"),"DO FIRST",IF(M176="✓","SCHEDULE",IF(OR(L176="1-Urgent",L176="2-High"),"DELEGATE","DELETE"))))</f>
        <v/>
      </c>
      <c r="P176" s="65" t="n"/>
    </row>
    <row r="177">
      <c r="B177" s="71" t="n">
        <v>172</v>
      </c>
      <c r="C177" s="65" t="n"/>
      <c r="D177" s="66" t="n"/>
      <c r="E177" s="67" t="n"/>
      <c r="F177" s="72">
        <f>IF(OR(C177="",E177=""),"",E177-Setup!$D$7)</f>
        <v/>
      </c>
      <c r="G177" s="69" t="n"/>
      <c r="H177" s="69" t="n"/>
      <c r="I177" s="73">
        <f>IF(OR(G177="",H177=""),"",TRIM(IF(HOUR(H177-G177)&gt;0,HOUR(H177-G177)&amp;" hr ","")&amp;IF(MINUTE(H177-G177)&gt;0,MINUTE(H177-G177)&amp;" min","")))</f>
        <v/>
      </c>
      <c r="J177" s="66" t="n"/>
      <c r="K177" s="70" t="n"/>
      <c r="L177" s="66" t="n"/>
      <c r="M177" s="66" t="n"/>
      <c r="N177" s="66" t="n"/>
      <c r="O177" s="73">
        <f>IF(C177="","",IF(AND(OR(L177="1-Urgent",L177="2-High"),M177="✓"),"DO FIRST",IF(M177="✓","SCHEDULE",IF(OR(L177="1-Urgent",L177="2-High"),"DELEGATE","DELETE"))))</f>
        <v/>
      </c>
      <c r="P177" s="65" t="n"/>
    </row>
    <row r="178">
      <c r="B178" s="64" t="n">
        <v>173</v>
      </c>
      <c r="C178" s="65" t="n"/>
      <c r="D178" s="66" t="n"/>
      <c r="E178" s="67" t="n"/>
      <c r="F178" s="68">
        <f>IF(OR(C178="",E178=""),"",E178-Setup!$D$7)</f>
        <v/>
      </c>
      <c r="G178" s="69" t="n"/>
      <c r="H178" s="69" t="n"/>
      <c r="I178" s="36">
        <f>IF(OR(G178="",H178=""),"",TRIM(IF(HOUR(H178-G178)&gt;0,HOUR(H178-G178)&amp;" hr ","")&amp;IF(MINUTE(H178-G178)&gt;0,MINUTE(H178-G178)&amp;" min","")))</f>
        <v/>
      </c>
      <c r="J178" s="66" t="n"/>
      <c r="K178" s="70" t="n"/>
      <c r="L178" s="66" t="n"/>
      <c r="M178" s="66" t="n"/>
      <c r="N178" s="66" t="n"/>
      <c r="O178" s="36">
        <f>IF(C178="","",IF(AND(OR(L178="1-Urgent",L178="2-High"),M178="✓"),"DO FIRST",IF(M178="✓","SCHEDULE",IF(OR(L178="1-Urgent",L178="2-High"),"DELEGATE","DELETE"))))</f>
        <v/>
      </c>
      <c r="P178" s="65" t="n"/>
    </row>
    <row r="179">
      <c r="B179" s="71" t="n">
        <v>174</v>
      </c>
      <c r="C179" s="65" t="n"/>
      <c r="D179" s="66" t="n"/>
      <c r="E179" s="67" t="n"/>
      <c r="F179" s="72">
        <f>IF(OR(C179="",E179=""),"",E179-Setup!$D$7)</f>
        <v/>
      </c>
      <c r="G179" s="69" t="n"/>
      <c r="H179" s="69" t="n"/>
      <c r="I179" s="73">
        <f>IF(OR(G179="",H179=""),"",TRIM(IF(HOUR(H179-G179)&gt;0,HOUR(H179-G179)&amp;" hr ","")&amp;IF(MINUTE(H179-G179)&gt;0,MINUTE(H179-G179)&amp;" min","")))</f>
        <v/>
      </c>
      <c r="J179" s="66" t="n"/>
      <c r="K179" s="70" t="n"/>
      <c r="L179" s="66" t="n"/>
      <c r="M179" s="66" t="n"/>
      <c r="N179" s="66" t="n"/>
      <c r="O179" s="73">
        <f>IF(C179="","",IF(AND(OR(L179="1-Urgent",L179="2-High"),M179="✓"),"DO FIRST",IF(M179="✓","SCHEDULE",IF(OR(L179="1-Urgent",L179="2-High"),"DELEGATE","DELETE"))))</f>
        <v/>
      </c>
      <c r="P179" s="65" t="n"/>
    </row>
    <row r="180">
      <c r="B180" s="64" t="n">
        <v>175</v>
      </c>
      <c r="C180" s="65" t="n"/>
      <c r="D180" s="66" t="n"/>
      <c r="E180" s="67" t="n"/>
      <c r="F180" s="68">
        <f>IF(OR(C180="",E180=""),"",E180-Setup!$D$7)</f>
        <v/>
      </c>
      <c r="G180" s="69" t="n"/>
      <c r="H180" s="69" t="n"/>
      <c r="I180" s="36">
        <f>IF(OR(G180="",H180=""),"",TRIM(IF(HOUR(H180-G180)&gt;0,HOUR(H180-G180)&amp;" hr ","")&amp;IF(MINUTE(H180-G180)&gt;0,MINUTE(H180-G180)&amp;" min","")))</f>
        <v/>
      </c>
      <c r="J180" s="66" t="n"/>
      <c r="K180" s="70" t="n"/>
      <c r="L180" s="66" t="n"/>
      <c r="M180" s="66" t="n"/>
      <c r="N180" s="66" t="n"/>
      <c r="O180" s="36">
        <f>IF(C180="","",IF(AND(OR(L180="1-Urgent",L180="2-High"),M180="✓"),"DO FIRST",IF(M180="✓","SCHEDULE",IF(OR(L180="1-Urgent",L180="2-High"),"DELEGATE","DELETE"))))</f>
        <v/>
      </c>
      <c r="P180" s="65" t="n"/>
    </row>
    <row r="181">
      <c r="B181" s="71" t="n">
        <v>176</v>
      </c>
      <c r="C181" s="65" t="n"/>
      <c r="D181" s="66" t="n"/>
      <c r="E181" s="67" t="n"/>
      <c r="F181" s="72">
        <f>IF(OR(C181="",E181=""),"",E181-Setup!$D$7)</f>
        <v/>
      </c>
      <c r="G181" s="69" t="n"/>
      <c r="H181" s="69" t="n"/>
      <c r="I181" s="73">
        <f>IF(OR(G181="",H181=""),"",TRIM(IF(HOUR(H181-G181)&gt;0,HOUR(H181-G181)&amp;" hr ","")&amp;IF(MINUTE(H181-G181)&gt;0,MINUTE(H181-G181)&amp;" min","")))</f>
        <v/>
      </c>
      <c r="J181" s="66" t="n"/>
      <c r="K181" s="70" t="n"/>
      <c r="L181" s="66" t="n"/>
      <c r="M181" s="66" t="n"/>
      <c r="N181" s="66" t="n"/>
      <c r="O181" s="73">
        <f>IF(C181="","",IF(AND(OR(L181="1-Urgent",L181="2-High"),M181="✓"),"DO FIRST",IF(M181="✓","SCHEDULE",IF(OR(L181="1-Urgent",L181="2-High"),"DELEGATE","DELETE"))))</f>
        <v/>
      </c>
      <c r="P181" s="65" t="n"/>
    </row>
    <row r="182">
      <c r="B182" s="64" t="n">
        <v>177</v>
      </c>
      <c r="C182" s="65" t="n"/>
      <c r="D182" s="66" t="n"/>
      <c r="E182" s="67" t="n"/>
      <c r="F182" s="68">
        <f>IF(OR(C182="",E182=""),"",E182-Setup!$D$7)</f>
        <v/>
      </c>
      <c r="G182" s="69" t="n"/>
      <c r="H182" s="69" t="n"/>
      <c r="I182" s="36">
        <f>IF(OR(G182="",H182=""),"",TRIM(IF(HOUR(H182-G182)&gt;0,HOUR(H182-G182)&amp;" hr ","")&amp;IF(MINUTE(H182-G182)&gt;0,MINUTE(H182-G182)&amp;" min","")))</f>
        <v/>
      </c>
      <c r="J182" s="66" t="n"/>
      <c r="K182" s="70" t="n"/>
      <c r="L182" s="66" t="n"/>
      <c r="M182" s="66" t="n"/>
      <c r="N182" s="66" t="n"/>
      <c r="O182" s="36">
        <f>IF(C182="","",IF(AND(OR(L182="1-Urgent",L182="2-High"),M182="✓"),"DO FIRST",IF(M182="✓","SCHEDULE",IF(OR(L182="1-Urgent",L182="2-High"),"DELEGATE","DELETE"))))</f>
        <v/>
      </c>
      <c r="P182" s="65" t="n"/>
    </row>
    <row r="183">
      <c r="B183" s="71" t="n">
        <v>178</v>
      </c>
      <c r="C183" s="65" t="n"/>
      <c r="D183" s="66" t="n"/>
      <c r="E183" s="67" t="n"/>
      <c r="F183" s="72">
        <f>IF(OR(C183="",E183=""),"",E183-Setup!$D$7)</f>
        <v/>
      </c>
      <c r="G183" s="69" t="n"/>
      <c r="H183" s="69" t="n"/>
      <c r="I183" s="73">
        <f>IF(OR(G183="",H183=""),"",TRIM(IF(HOUR(H183-G183)&gt;0,HOUR(H183-G183)&amp;" hr ","")&amp;IF(MINUTE(H183-G183)&gt;0,MINUTE(H183-G183)&amp;" min","")))</f>
        <v/>
      </c>
      <c r="J183" s="66" t="n"/>
      <c r="K183" s="70" t="n"/>
      <c r="L183" s="66" t="n"/>
      <c r="M183" s="66" t="n"/>
      <c r="N183" s="66" t="n"/>
      <c r="O183" s="73">
        <f>IF(C183="","",IF(AND(OR(L183="1-Urgent",L183="2-High"),M183="✓"),"DO FIRST",IF(M183="✓","SCHEDULE",IF(OR(L183="1-Urgent",L183="2-High"),"DELEGATE","DELETE"))))</f>
        <v/>
      </c>
      <c r="P183" s="65" t="n"/>
    </row>
    <row r="184">
      <c r="B184" s="64" t="n">
        <v>179</v>
      </c>
      <c r="C184" s="65" t="n"/>
      <c r="D184" s="66" t="n"/>
      <c r="E184" s="67" t="n"/>
      <c r="F184" s="68">
        <f>IF(OR(C184="",E184=""),"",E184-Setup!$D$7)</f>
        <v/>
      </c>
      <c r="G184" s="69" t="n"/>
      <c r="H184" s="69" t="n"/>
      <c r="I184" s="36">
        <f>IF(OR(G184="",H184=""),"",TRIM(IF(HOUR(H184-G184)&gt;0,HOUR(H184-G184)&amp;" hr ","")&amp;IF(MINUTE(H184-G184)&gt;0,MINUTE(H184-G184)&amp;" min","")))</f>
        <v/>
      </c>
      <c r="J184" s="66" t="n"/>
      <c r="K184" s="70" t="n"/>
      <c r="L184" s="66" t="n"/>
      <c r="M184" s="66" t="n"/>
      <c r="N184" s="66" t="n"/>
      <c r="O184" s="36">
        <f>IF(C184="","",IF(AND(OR(L184="1-Urgent",L184="2-High"),M184="✓"),"DO FIRST",IF(M184="✓","SCHEDULE",IF(OR(L184="1-Urgent",L184="2-High"),"DELEGATE","DELETE"))))</f>
        <v/>
      </c>
      <c r="P184" s="65" t="n"/>
    </row>
    <row r="185">
      <c r="B185" s="71" t="n">
        <v>180</v>
      </c>
      <c r="C185" s="65" t="n"/>
      <c r="D185" s="66" t="n"/>
      <c r="E185" s="67" t="n"/>
      <c r="F185" s="72">
        <f>IF(OR(C185="",E185=""),"",E185-Setup!$D$7)</f>
        <v/>
      </c>
      <c r="G185" s="69" t="n"/>
      <c r="H185" s="69" t="n"/>
      <c r="I185" s="73">
        <f>IF(OR(G185="",H185=""),"",TRIM(IF(HOUR(H185-G185)&gt;0,HOUR(H185-G185)&amp;" hr ","")&amp;IF(MINUTE(H185-G185)&gt;0,MINUTE(H185-G185)&amp;" min","")))</f>
        <v/>
      </c>
      <c r="J185" s="66" t="n"/>
      <c r="K185" s="70" t="n"/>
      <c r="L185" s="66" t="n"/>
      <c r="M185" s="66" t="n"/>
      <c r="N185" s="66" t="n"/>
      <c r="O185" s="73">
        <f>IF(C185="","",IF(AND(OR(L185="1-Urgent",L185="2-High"),M185="✓"),"DO FIRST",IF(M185="✓","SCHEDULE",IF(OR(L185="1-Urgent",L185="2-High"),"DELEGATE","DELETE"))))</f>
        <v/>
      </c>
      <c r="P185" s="65" t="n"/>
    </row>
    <row r="186">
      <c r="B186" s="64" t="n">
        <v>181</v>
      </c>
      <c r="C186" s="65" t="n"/>
      <c r="D186" s="66" t="n"/>
      <c r="E186" s="67" t="n"/>
      <c r="F186" s="68">
        <f>IF(OR(C186="",E186=""),"",E186-Setup!$D$7)</f>
        <v/>
      </c>
      <c r="G186" s="69" t="n"/>
      <c r="H186" s="69" t="n"/>
      <c r="I186" s="36">
        <f>IF(OR(G186="",H186=""),"",TRIM(IF(HOUR(H186-G186)&gt;0,HOUR(H186-G186)&amp;" hr ","")&amp;IF(MINUTE(H186-G186)&gt;0,MINUTE(H186-G186)&amp;" min","")))</f>
        <v/>
      </c>
      <c r="J186" s="66" t="n"/>
      <c r="K186" s="70" t="n"/>
      <c r="L186" s="66" t="n"/>
      <c r="M186" s="66" t="n"/>
      <c r="N186" s="66" t="n"/>
      <c r="O186" s="36">
        <f>IF(C186="","",IF(AND(OR(L186="1-Urgent",L186="2-High"),M186="✓"),"DO FIRST",IF(M186="✓","SCHEDULE",IF(OR(L186="1-Urgent",L186="2-High"),"DELEGATE","DELETE"))))</f>
        <v/>
      </c>
      <c r="P186" s="65" t="n"/>
    </row>
    <row r="187">
      <c r="B187" s="71" t="n">
        <v>182</v>
      </c>
      <c r="C187" s="65" t="n"/>
      <c r="D187" s="66" t="n"/>
      <c r="E187" s="67" t="n"/>
      <c r="F187" s="72">
        <f>IF(OR(C187="",E187=""),"",E187-Setup!$D$7)</f>
        <v/>
      </c>
      <c r="G187" s="69" t="n"/>
      <c r="H187" s="69" t="n"/>
      <c r="I187" s="73">
        <f>IF(OR(G187="",H187=""),"",TRIM(IF(HOUR(H187-G187)&gt;0,HOUR(H187-G187)&amp;" hr ","")&amp;IF(MINUTE(H187-G187)&gt;0,MINUTE(H187-G187)&amp;" min","")))</f>
        <v/>
      </c>
      <c r="J187" s="66" t="n"/>
      <c r="K187" s="70" t="n"/>
      <c r="L187" s="66" t="n"/>
      <c r="M187" s="66" t="n"/>
      <c r="N187" s="66" t="n"/>
      <c r="O187" s="73">
        <f>IF(C187="","",IF(AND(OR(L187="1-Urgent",L187="2-High"),M187="✓"),"DO FIRST",IF(M187="✓","SCHEDULE",IF(OR(L187="1-Urgent",L187="2-High"),"DELEGATE","DELETE"))))</f>
        <v/>
      </c>
      <c r="P187" s="65" t="n"/>
    </row>
    <row r="188">
      <c r="B188" s="64" t="n">
        <v>183</v>
      </c>
      <c r="C188" s="65" t="n"/>
      <c r="D188" s="66" t="n"/>
      <c r="E188" s="67" t="n"/>
      <c r="F188" s="68">
        <f>IF(OR(C188="",E188=""),"",E188-Setup!$D$7)</f>
        <v/>
      </c>
      <c r="G188" s="69" t="n"/>
      <c r="H188" s="69" t="n"/>
      <c r="I188" s="36">
        <f>IF(OR(G188="",H188=""),"",TRIM(IF(HOUR(H188-G188)&gt;0,HOUR(H188-G188)&amp;" hr ","")&amp;IF(MINUTE(H188-G188)&gt;0,MINUTE(H188-G188)&amp;" min","")))</f>
        <v/>
      </c>
      <c r="J188" s="66" t="n"/>
      <c r="K188" s="70" t="n"/>
      <c r="L188" s="66" t="n"/>
      <c r="M188" s="66" t="n"/>
      <c r="N188" s="66" t="n"/>
      <c r="O188" s="36">
        <f>IF(C188="","",IF(AND(OR(L188="1-Urgent",L188="2-High"),M188="✓"),"DO FIRST",IF(M188="✓","SCHEDULE",IF(OR(L188="1-Urgent",L188="2-High"),"DELEGATE","DELETE"))))</f>
        <v/>
      </c>
      <c r="P188" s="65" t="n"/>
    </row>
    <row r="189">
      <c r="B189" s="71" t="n">
        <v>184</v>
      </c>
      <c r="C189" s="65" t="n"/>
      <c r="D189" s="66" t="n"/>
      <c r="E189" s="67" t="n"/>
      <c r="F189" s="72">
        <f>IF(OR(C189="",E189=""),"",E189-Setup!$D$7)</f>
        <v/>
      </c>
      <c r="G189" s="69" t="n"/>
      <c r="H189" s="69" t="n"/>
      <c r="I189" s="73">
        <f>IF(OR(G189="",H189=""),"",TRIM(IF(HOUR(H189-G189)&gt;0,HOUR(H189-G189)&amp;" hr ","")&amp;IF(MINUTE(H189-G189)&gt;0,MINUTE(H189-G189)&amp;" min","")))</f>
        <v/>
      </c>
      <c r="J189" s="66" t="n"/>
      <c r="K189" s="70" t="n"/>
      <c r="L189" s="66" t="n"/>
      <c r="M189" s="66" t="n"/>
      <c r="N189" s="66" t="n"/>
      <c r="O189" s="73">
        <f>IF(C189="","",IF(AND(OR(L189="1-Urgent",L189="2-High"),M189="✓"),"DO FIRST",IF(M189="✓","SCHEDULE",IF(OR(L189="1-Urgent",L189="2-High"),"DELEGATE","DELETE"))))</f>
        <v/>
      </c>
      <c r="P189" s="65" t="n"/>
    </row>
    <row r="190">
      <c r="B190" s="64" t="n">
        <v>185</v>
      </c>
      <c r="C190" s="65" t="n"/>
      <c r="D190" s="66" t="n"/>
      <c r="E190" s="67" t="n"/>
      <c r="F190" s="68">
        <f>IF(OR(C190="",E190=""),"",E190-Setup!$D$7)</f>
        <v/>
      </c>
      <c r="G190" s="69" t="n"/>
      <c r="H190" s="69" t="n"/>
      <c r="I190" s="36">
        <f>IF(OR(G190="",H190=""),"",TRIM(IF(HOUR(H190-G190)&gt;0,HOUR(H190-G190)&amp;" hr ","")&amp;IF(MINUTE(H190-G190)&gt;0,MINUTE(H190-G190)&amp;" min","")))</f>
        <v/>
      </c>
      <c r="J190" s="66" t="n"/>
      <c r="K190" s="70" t="n"/>
      <c r="L190" s="66" t="n"/>
      <c r="M190" s="66" t="n"/>
      <c r="N190" s="66" t="n"/>
      <c r="O190" s="36">
        <f>IF(C190="","",IF(AND(OR(L190="1-Urgent",L190="2-High"),M190="✓"),"DO FIRST",IF(M190="✓","SCHEDULE",IF(OR(L190="1-Urgent",L190="2-High"),"DELEGATE","DELETE"))))</f>
        <v/>
      </c>
      <c r="P190" s="65" t="n"/>
    </row>
    <row r="191">
      <c r="B191" s="71" t="n">
        <v>186</v>
      </c>
      <c r="C191" s="65" t="n"/>
      <c r="D191" s="66" t="n"/>
      <c r="E191" s="67" t="n"/>
      <c r="F191" s="72">
        <f>IF(OR(C191="",E191=""),"",E191-Setup!$D$7)</f>
        <v/>
      </c>
      <c r="G191" s="69" t="n"/>
      <c r="H191" s="69" t="n"/>
      <c r="I191" s="73">
        <f>IF(OR(G191="",H191=""),"",TRIM(IF(HOUR(H191-G191)&gt;0,HOUR(H191-G191)&amp;" hr ","")&amp;IF(MINUTE(H191-G191)&gt;0,MINUTE(H191-G191)&amp;" min","")))</f>
        <v/>
      </c>
      <c r="J191" s="66" t="n"/>
      <c r="K191" s="70" t="n"/>
      <c r="L191" s="66" t="n"/>
      <c r="M191" s="66" t="n"/>
      <c r="N191" s="66" t="n"/>
      <c r="O191" s="73">
        <f>IF(C191="","",IF(AND(OR(L191="1-Urgent",L191="2-High"),M191="✓"),"DO FIRST",IF(M191="✓","SCHEDULE",IF(OR(L191="1-Urgent",L191="2-High"),"DELEGATE","DELETE"))))</f>
        <v/>
      </c>
      <c r="P191" s="65" t="n"/>
    </row>
    <row r="192">
      <c r="B192" s="64" t="n">
        <v>187</v>
      </c>
      <c r="C192" s="65" t="n"/>
      <c r="D192" s="66" t="n"/>
      <c r="E192" s="67" t="n"/>
      <c r="F192" s="68">
        <f>IF(OR(C192="",E192=""),"",E192-Setup!$D$7)</f>
        <v/>
      </c>
      <c r="G192" s="69" t="n"/>
      <c r="H192" s="69" t="n"/>
      <c r="I192" s="36">
        <f>IF(OR(G192="",H192=""),"",TRIM(IF(HOUR(H192-G192)&gt;0,HOUR(H192-G192)&amp;" hr ","")&amp;IF(MINUTE(H192-G192)&gt;0,MINUTE(H192-G192)&amp;" min","")))</f>
        <v/>
      </c>
      <c r="J192" s="66" t="n"/>
      <c r="K192" s="70" t="n"/>
      <c r="L192" s="66" t="n"/>
      <c r="M192" s="66" t="n"/>
      <c r="N192" s="66" t="n"/>
      <c r="O192" s="36">
        <f>IF(C192="","",IF(AND(OR(L192="1-Urgent",L192="2-High"),M192="✓"),"DO FIRST",IF(M192="✓","SCHEDULE",IF(OR(L192="1-Urgent",L192="2-High"),"DELEGATE","DELETE"))))</f>
        <v/>
      </c>
      <c r="P192" s="65" t="n"/>
    </row>
    <row r="193">
      <c r="B193" s="71" t="n">
        <v>188</v>
      </c>
      <c r="C193" s="65" t="n"/>
      <c r="D193" s="66" t="n"/>
      <c r="E193" s="67" t="n"/>
      <c r="F193" s="72">
        <f>IF(OR(C193="",E193=""),"",E193-Setup!$D$7)</f>
        <v/>
      </c>
      <c r="G193" s="69" t="n"/>
      <c r="H193" s="69" t="n"/>
      <c r="I193" s="73">
        <f>IF(OR(G193="",H193=""),"",TRIM(IF(HOUR(H193-G193)&gt;0,HOUR(H193-G193)&amp;" hr ","")&amp;IF(MINUTE(H193-G193)&gt;0,MINUTE(H193-G193)&amp;" min","")))</f>
        <v/>
      </c>
      <c r="J193" s="66" t="n"/>
      <c r="K193" s="70" t="n"/>
      <c r="L193" s="66" t="n"/>
      <c r="M193" s="66" t="n"/>
      <c r="N193" s="66" t="n"/>
      <c r="O193" s="73">
        <f>IF(C193="","",IF(AND(OR(L193="1-Urgent",L193="2-High"),M193="✓"),"DO FIRST",IF(M193="✓","SCHEDULE",IF(OR(L193="1-Urgent",L193="2-High"),"DELEGATE","DELETE"))))</f>
        <v/>
      </c>
      <c r="P193" s="65" t="n"/>
    </row>
    <row r="194">
      <c r="B194" s="64" t="n">
        <v>189</v>
      </c>
      <c r="C194" s="65" t="n"/>
      <c r="D194" s="66" t="n"/>
      <c r="E194" s="67" t="n"/>
      <c r="F194" s="68">
        <f>IF(OR(C194="",E194=""),"",E194-Setup!$D$7)</f>
        <v/>
      </c>
      <c r="G194" s="69" t="n"/>
      <c r="H194" s="69" t="n"/>
      <c r="I194" s="36">
        <f>IF(OR(G194="",H194=""),"",TRIM(IF(HOUR(H194-G194)&gt;0,HOUR(H194-G194)&amp;" hr ","")&amp;IF(MINUTE(H194-G194)&gt;0,MINUTE(H194-G194)&amp;" min","")))</f>
        <v/>
      </c>
      <c r="J194" s="66" t="n"/>
      <c r="K194" s="70" t="n"/>
      <c r="L194" s="66" t="n"/>
      <c r="M194" s="66" t="n"/>
      <c r="N194" s="66" t="n"/>
      <c r="O194" s="36">
        <f>IF(C194="","",IF(AND(OR(L194="1-Urgent",L194="2-High"),M194="✓"),"DO FIRST",IF(M194="✓","SCHEDULE",IF(OR(L194="1-Urgent",L194="2-High"),"DELEGATE","DELETE"))))</f>
        <v/>
      </c>
      <c r="P194" s="65" t="n"/>
    </row>
    <row r="195">
      <c r="B195" s="71" t="n">
        <v>190</v>
      </c>
      <c r="C195" s="65" t="n"/>
      <c r="D195" s="66" t="n"/>
      <c r="E195" s="67" t="n"/>
      <c r="F195" s="72">
        <f>IF(OR(C195="",E195=""),"",E195-Setup!$D$7)</f>
        <v/>
      </c>
      <c r="G195" s="69" t="n"/>
      <c r="H195" s="69" t="n"/>
      <c r="I195" s="73">
        <f>IF(OR(G195="",H195=""),"",TRIM(IF(HOUR(H195-G195)&gt;0,HOUR(H195-G195)&amp;" hr ","")&amp;IF(MINUTE(H195-G195)&gt;0,MINUTE(H195-G195)&amp;" min","")))</f>
        <v/>
      </c>
      <c r="J195" s="66" t="n"/>
      <c r="K195" s="70" t="n"/>
      <c r="L195" s="66" t="n"/>
      <c r="M195" s="66" t="n"/>
      <c r="N195" s="66" t="n"/>
      <c r="O195" s="73">
        <f>IF(C195="","",IF(AND(OR(L195="1-Urgent",L195="2-High"),M195="✓"),"DO FIRST",IF(M195="✓","SCHEDULE",IF(OR(L195="1-Urgent",L195="2-High"),"DELEGATE","DELETE"))))</f>
        <v/>
      </c>
      <c r="P195" s="65" t="n"/>
    </row>
    <row r="196">
      <c r="B196" s="64" t="n">
        <v>191</v>
      </c>
      <c r="C196" s="65" t="n"/>
      <c r="D196" s="66" t="n"/>
      <c r="E196" s="67" t="n"/>
      <c r="F196" s="68">
        <f>IF(OR(C196="",E196=""),"",E196-Setup!$D$7)</f>
        <v/>
      </c>
      <c r="G196" s="69" t="n"/>
      <c r="H196" s="69" t="n"/>
      <c r="I196" s="36">
        <f>IF(OR(G196="",H196=""),"",TRIM(IF(HOUR(H196-G196)&gt;0,HOUR(H196-G196)&amp;" hr ","")&amp;IF(MINUTE(H196-G196)&gt;0,MINUTE(H196-G196)&amp;" min","")))</f>
        <v/>
      </c>
      <c r="J196" s="66" t="n"/>
      <c r="K196" s="70" t="n"/>
      <c r="L196" s="66" t="n"/>
      <c r="M196" s="66" t="n"/>
      <c r="N196" s="66" t="n"/>
      <c r="O196" s="36">
        <f>IF(C196="","",IF(AND(OR(L196="1-Urgent",L196="2-High"),M196="✓"),"DO FIRST",IF(M196="✓","SCHEDULE",IF(OR(L196="1-Urgent",L196="2-High"),"DELEGATE","DELETE"))))</f>
        <v/>
      </c>
      <c r="P196" s="65" t="n"/>
    </row>
    <row r="197">
      <c r="B197" s="71" t="n">
        <v>192</v>
      </c>
      <c r="C197" s="65" t="n"/>
      <c r="D197" s="66" t="n"/>
      <c r="E197" s="67" t="n"/>
      <c r="F197" s="72">
        <f>IF(OR(C197="",E197=""),"",E197-Setup!$D$7)</f>
        <v/>
      </c>
      <c r="G197" s="69" t="n"/>
      <c r="H197" s="69" t="n"/>
      <c r="I197" s="73">
        <f>IF(OR(G197="",H197=""),"",TRIM(IF(HOUR(H197-G197)&gt;0,HOUR(H197-G197)&amp;" hr ","")&amp;IF(MINUTE(H197-G197)&gt;0,MINUTE(H197-G197)&amp;" min","")))</f>
        <v/>
      </c>
      <c r="J197" s="66" t="n"/>
      <c r="K197" s="70" t="n"/>
      <c r="L197" s="66" t="n"/>
      <c r="M197" s="66" t="n"/>
      <c r="N197" s="66" t="n"/>
      <c r="O197" s="73">
        <f>IF(C197="","",IF(AND(OR(L197="1-Urgent",L197="2-High"),M197="✓"),"DO FIRST",IF(M197="✓","SCHEDULE",IF(OR(L197="1-Urgent",L197="2-High"),"DELEGATE","DELETE"))))</f>
        <v/>
      </c>
      <c r="P197" s="65" t="n"/>
    </row>
    <row r="198">
      <c r="B198" s="64" t="n">
        <v>193</v>
      </c>
      <c r="C198" s="65" t="n"/>
      <c r="D198" s="66" t="n"/>
      <c r="E198" s="67" t="n"/>
      <c r="F198" s="68">
        <f>IF(OR(C198="",E198=""),"",E198-Setup!$D$7)</f>
        <v/>
      </c>
      <c r="G198" s="69" t="n"/>
      <c r="H198" s="69" t="n"/>
      <c r="I198" s="36">
        <f>IF(OR(G198="",H198=""),"",TRIM(IF(HOUR(H198-G198)&gt;0,HOUR(H198-G198)&amp;" hr ","")&amp;IF(MINUTE(H198-G198)&gt;0,MINUTE(H198-G198)&amp;" min","")))</f>
        <v/>
      </c>
      <c r="J198" s="66" t="n"/>
      <c r="K198" s="70" t="n"/>
      <c r="L198" s="66" t="n"/>
      <c r="M198" s="66" t="n"/>
      <c r="N198" s="66" t="n"/>
      <c r="O198" s="36">
        <f>IF(C198="","",IF(AND(OR(L198="1-Urgent",L198="2-High"),M198="✓"),"DO FIRST",IF(M198="✓","SCHEDULE",IF(OR(L198="1-Urgent",L198="2-High"),"DELEGATE","DELETE"))))</f>
        <v/>
      </c>
      <c r="P198" s="65" t="n"/>
    </row>
    <row r="199">
      <c r="B199" s="71" t="n">
        <v>194</v>
      </c>
      <c r="C199" s="65" t="n"/>
      <c r="D199" s="66" t="n"/>
      <c r="E199" s="67" t="n"/>
      <c r="F199" s="72">
        <f>IF(OR(C199="",E199=""),"",E199-Setup!$D$7)</f>
        <v/>
      </c>
      <c r="G199" s="69" t="n"/>
      <c r="H199" s="69" t="n"/>
      <c r="I199" s="73">
        <f>IF(OR(G199="",H199=""),"",TRIM(IF(HOUR(H199-G199)&gt;0,HOUR(H199-G199)&amp;" hr ","")&amp;IF(MINUTE(H199-G199)&gt;0,MINUTE(H199-G199)&amp;" min","")))</f>
        <v/>
      </c>
      <c r="J199" s="66" t="n"/>
      <c r="K199" s="70" t="n"/>
      <c r="L199" s="66" t="n"/>
      <c r="M199" s="66" t="n"/>
      <c r="N199" s="66" t="n"/>
      <c r="O199" s="73">
        <f>IF(C199="","",IF(AND(OR(L199="1-Urgent",L199="2-High"),M199="✓"),"DO FIRST",IF(M199="✓","SCHEDULE",IF(OR(L199="1-Urgent",L199="2-High"),"DELEGATE","DELETE"))))</f>
        <v/>
      </c>
      <c r="P199" s="65" t="n"/>
    </row>
    <row r="200">
      <c r="B200" s="64" t="n">
        <v>195</v>
      </c>
      <c r="C200" s="65" t="n"/>
      <c r="D200" s="66" t="n"/>
      <c r="E200" s="67" t="n"/>
      <c r="F200" s="68">
        <f>IF(OR(C200="",E200=""),"",E200-Setup!$D$7)</f>
        <v/>
      </c>
      <c r="G200" s="69" t="n"/>
      <c r="H200" s="69" t="n"/>
      <c r="I200" s="36">
        <f>IF(OR(G200="",H200=""),"",TRIM(IF(HOUR(H200-G200)&gt;0,HOUR(H200-G200)&amp;" hr ","")&amp;IF(MINUTE(H200-G200)&gt;0,MINUTE(H200-G200)&amp;" min","")))</f>
        <v/>
      </c>
      <c r="J200" s="66" t="n"/>
      <c r="K200" s="70" t="n"/>
      <c r="L200" s="66" t="n"/>
      <c r="M200" s="66" t="n"/>
      <c r="N200" s="66" t="n"/>
      <c r="O200" s="36">
        <f>IF(C200="","",IF(AND(OR(L200="1-Urgent",L200="2-High"),M200="✓"),"DO FIRST",IF(M200="✓","SCHEDULE",IF(OR(L200="1-Urgent",L200="2-High"),"DELEGATE","DELETE"))))</f>
        <v/>
      </c>
      <c r="P200" s="65" t="n"/>
    </row>
    <row r="201">
      <c r="B201" s="71" t="n">
        <v>196</v>
      </c>
      <c r="C201" s="65" t="n"/>
      <c r="D201" s="66" t="n"/>
      <c r="E201" s="67" t="n"/>
      <c r="F201" s="72">
        <f>IF(OR(C201="",E201=""),"",E201-Setup!$D$7)</f>
        <v/>
      </c>
      <c r="G201" s="69" t="n"/>
      <c r="H201" s="69" t="n"/>
      <c r="I201" s="73">
        <f>IF(OR(G201="",H201=""),"",TRIM(IF(HOUR(H201-G201)&gt;0,HOUR(H201-G201)&amp;" hr ","")&amp;IF(MINUTE(H201-G201)&gt;0,MINUTE(H201-G201)&amp;" min","")))</f>
        <v/>
      </c>
      <c r="J201" s="66" t="n"/>
      <c r="K201" s="70" t="n"/>
      <c r="L201" s="66" t="n"/>
      <c r="M201" s="66" t="n"/>
      <c r="N201" s="66" t="n"/>
      <c r="O201" s="73">
        <f>IF(C201="","",IF(AND(OR(L201="1-Urgent",L201="2-High"),M201="✓"),"DO FIRST",IF(M201="✓","SCHEDULE",IF(OR(L201="1-Urgent",L201="2-High"),"DELEGATE","DELETE"))))</f>
        <v/>
      </c>
      <c r="P201" s="65" t="n"/>
    </row>
    <row r="202">
      <c r="B202" s="64" t="n">
        <v>197</v>
      </c>
      <c r="C202" s="65" t="n"/>
      <c r="D202" s="66" t="n"/>
      <c r="E202" s="67" t="n"/>
      <c r="F202" s="68">
        <f>IF(OR(C202="",E202=""),"",E202-Setup!$D$7)</f>
        <v/>
      </c>
      <c r="G202" s="69" t="n"/>
      <c r="H202" s="69" t="n"/>
      <c r="I202" s="36">
        <f>IF(OR(G202="",H202=""),"",TRIM(IF(HOUR(H202-G202)&gt;0,HOUR(H202-G202)&amp;" hr ","")&amp;IF(MINUTE(H202-G202)&gt;0,MINUTE(H202-G202)&amp;" min","")))</f>
        <v/>
      </c>
      <c r="J202" s="66" t="n"/>
      <c r="K202" s="70" t="n"/>
      <c r="L202" s="66" t="n"/>
      <c r="M202" s="66" t="n"/>
      <c r="N202" s="66" t="n"/>
      <c r="O202" s="36">
        <f>IF(C202="","",IF(AND(OR(L202="1-Urgent",L202="2-High"),M202="✓"),"DO FIRST",IF(M202="✓","SCHEDULE",IF(OR(L202="1-Urgent",L202="2-High"),"DELEGATE","DELETE"))))</f>
        <v/>
      </c>
      <c r="P202" s="65" t="n"/>
    </row>
    <row r="203">
      <c r="B203" s="71" t="n">
        <v>198</v>
      </c>
      <c r="C203" s="65" t="n"/>
      <c r="D203" s="66" t="n"/>
      <c r="E203" s="67" t="n"/>
      <c r="F203" s="72">
        <f>IF(OR(C203="",E203=""),"",E203-Setup!$D$7)</f>
        <v/>
      </c>
      <c r="G203" s="69" t="n"/>
      <c r="H203" s="69" t="n"/>
      <c r="I203" s="73">
        <f>IF(OR(G203="",H203=""),"",TRIM(IF(HOUR(H203-G203)&gt;0,HOUR(H203-G203)&amp;" hr ","")&amp;IF(MINUTE(H203-G203)&gt;0,MINUTE(H203-G203)&amp;" min","")))</f>
        <v/>
      </c>
      <c r="J203" s="66" t="n"/>
      <c r="K203" s="70" t="n"/>
      <c r="L203" s="66" t="n"/>
      <c r="M203" s="66" t="n"/>
      <c r="N203" s="66" t="n"/>
      <c r="O203" s="73">
        <f>IF(C203="","",IF(AND(OR(L203="1-Urgent",L203="2-High"),M203="✓"),"DO FIRST",IF(M203="✓","SCHEDULE",IF(OR(L203="1-Urgent",L203="2-High"),"DELEGATE","DELETE"))))</f>
        <v/>
      </c>
      <c r="P203" s="65" t="n"/>
    </row>
    <row r="204">
      <c r="B204" s="64" t="n">
        <v>199</v>
      </c>
      <c r="C204" s="65" t="n"/>
      <c r="D204" s="66" t="n"/>
      <c r="E204" s="67" t="n"/>
      <c r="F204" s="68">
        <f>IF(OR(C204="",E204=""),"",E204-Setup!$D$7)</f>
        <v/>
      </c>
      <c r="G204" s="69" t="n"/>
      <c r="H204" s="69" t="n"/>
      <c r="I204" s="36">
        <f>IF(OR(G204="",H204=""),"",TRIM(IF(HOUR(H204-G204)&gt;0,HOUR(H204-G204)&amp;" hr ","")&amp;IF(MINUTE(H204-G204)&gt;0,MINUTE(H204-G204)&amp;" min","")))</f>
        <v/>
      </c>
      <c r="J204" s="66" t="n"/>
      <c r="K204" s="70" t="n"/>
      <c r="L204" s="66" t="n"/>
      <c r="M204" s="66" t="n"/>
      <c r="N204" s="66" t="n"/>
      <c r="O204" s="36">
        <f>IF(C204="","",IF(AND(OR(L204="1-Urgent",L204="2-High"),M204="✓"),"DO FIRST",IF(M204="✓","SCHEDULE",IF(OR(L204="1-Urgent",L204="2-High"),"DELEGATE","DELETE"))))</f>
        <v/>
      </c>
      <c r="P204" s="65" t="n"/>
    </row>
    <row r="205">
      <c r="B205" s="71" t="n">
        <v>200</v>
      </c>
      <c r="C205" s="65" t="n"/>
      <c r="D205" s="66" t="n"/>
      <c r="E205" s="67" t="n"/>
      <c r="F205" s="72">
        <f>IF(OR(C205="",E205=""),"",E205-Setup!$D$7)</f>
        <v/>
      </c>
      <c r="G205" s="69" t="n"/>
      <c r="H205" s="69" t="n"/>
      <c r="I205" s="73">
        <f>IF(OR(G205="",H205=""),"",TRIM(IF(HOUR(H205-G205)&gt;0,HOUR(H205-G205)&amp;" hr ","")&amp;IF(MINUTE(H205-G205)&gt;0,MINUTE(H205-G205)&amp;" min","")))</f>
        <v/>
      </c>
      <c r="J205" s="66" t="n"/>
      <c r="K205" s="70" t="n"/>
      <c r="L205" s="66" t="n"/>
      <c r="M205" s="66" t="n"/>
      <c r="N205" s="66" t="n"/>
      <c r="O205" s="73">
        <f>IF(C205="","",IF(AND(OR(L205="1-Urgent",L205="2-High"),M205="✓"),"DO FIRST",IF(M205="✓","SCHEDULE",IF(OR(L205="1-Urgent",L205="2-High"),"DELEGATE","DELETE"))))</f>
        <v/>
      </c>
      <c r="P205" s="65" t="n"/>
    </row>
    <row r="206">
      <c r="B206" s="64" t="n">
        <v>201</v>
      </c>
      <c r="C206" s="65" t="n"/>
      <c r="D206" s="66" t="n"/>
      <c r="E206" s="67" t="n"/>
      <c r="F206" s="68">
        <f>IF(OR(C206="",E206=""),"",E206-Setup!$D$7)</f>
        <v/>
      </c>
      <c r="G206" s="69" t="n"/>
      <c r="H206" s="69" t="n"/>
      <c r="I206" s="36">
        <f>IF(OR(G206="",H206=""),"",TRIM(IF(HOUR(H206-G206)&gt;0,HOUR(H206-G206)&amp;" hr ","")&amp;IF(MINUTE(H206-G206)&gt;0,MINUTE(H206-G206)&amp;" min","")))</f>
        <v/>
      </c>
      <c r="J206" s="66" t="n"/>
      <c r="K206" s="70" t="n"/>
      <c r="L206" s="66" t="n"/>
      <c r="M206" s="66" t="n"/>
      <c r="N206" s="66" t="n"/>
      <c r="O206" s="36">
        <f>IF(C206="","",IF(AND(OR(L206="1-Urgent",L206="2-High"),M206="✓"),"DO FIRST",IF(M206="✓","SCHEDULE",IF(OR(L206="1-Urgent",L206="2-High"),"DELEGATE","DELETE"))))</f>
        <v/>
      </c>
      <c r="P206" s="65" t="n"/>
    </row>
    <row r="207">
      <c r="B207" s="71" t="n">
        <v>202</v>
      </c>
      <c r="C207" s="65" t="n"/>
      <c r="D207" s="66" t="n"/>
      <c r="E207" s="67" t="n"/>
      <c r="F207" s="72">
        <f>IF(OR(C207="",E207=""),"",E207-Setup!$D$7)</f>
        <v/>
      </c>
      <c r="G207" s="69" t="n"/>
      <c r="H207" s="69" t="n"/>
      <c r="I207" s="73">
        <f>IF(OR(G207="",H207=""),"",TRIM(IF(HOUR(H207-G207)&gt;0,HOUR(H207-G207)&amp;" hr ","")&amp;IF(MINUTE(H207-G207)&gt;0,MINUTE(H207-G207)&amp;" min","")))</f>
        <v/>
      </c>
      <c r="J207" s="66" t="n"/>
      <c r="K207" s="70" t="n"/>
      <c r="L207" s="66" t="n"/>
      <c r="M207" s="66" t="n"/>
      <c r="N207" s="66" t="n"/>
      <c r="O207" s="73">
        <f>IF(C207="","",IF(AND(OR(L207="1-Urgent",L207="2-High"),M207="✓"),"DO FIRST",IF(M207="✓","SCHEDULE",IF(OR(L207="1-Urgent",L207="2-High"),"DELEGATE","DELETE"))))</f>
        <v/>
      </c>
      <c r="P207" s="65" t="n"/>
    </row>
    <row r="208">
      <c r="B208" s="64" t="n">
        <v>203</v>
      </c>
      <c r="C208" s="65" t="n"/>
      <c r="D208" s="66" t="n"/>
      <c r="E208" s="67" t="n"/>
      <c r="F208" s="68">
        <f>IF(OR(C208="",E208=""),"",E208-Setup!$D$7)</f>
        <v/>
      </c>
      <c r="G208" s="69" t="n"/>
      <c r="H208" s="69" t="n"/>
      <c r="I208" s="36">
        <f>IF(OR(G208="",H208=""),"",TRIM(IF(HOUR(H208-G208)&gt;0,HOUR(H208-G208)&amp;" hr ","")&amp;IF(MINUTE(H208-G208)&gt;0,MINUTE(H208-G208)&amp;" min","")))</f>
        <v/>
      </c>
      <c r="J208" s="66" t="n"/>
      <c r="K208" s="70" t="n"/>
      <c r="L208" s="66" t="n"/>
      <c r="M208" s="66" t="n"/>
      <c r="N208" s="66" t="n"/>
      <c r="O208" s="36">
        <f>IF(C208="","",IF(AND(OR(L208="1-Urgent",L208="2-High"),M208="✓"),"DO FIRST",IF(M208="✓","SCHEDULE",IF(OR(L208="1-Urgent",L208="2-High"),"DELEGATE","DELETE"))))</f>
        <v/>
      </c>
      <c r="P208" s="65" t="n"/>
    </row>
    <row r="209">
      <c r="B209" s="71" t="n">
        <v>204</v>
      </c>
      <c r="C209" s="65" t="n"/>
      <c r="D209" s="66" t="n"/>
      <c r="E209" s="67" t="n"/>
      <c r="F209" s="72">
        <f>IF(OR(C209="",E209=""),"",E209-Setup!$D$7)</f>
        <v/>
      </c>
      <c r="G209" s="69" t="n"/>
      <c r="H209" s="69" t="n"/>
      <c r="I209" s="73">
        <f>IF(OR(G209="",H209=""),"",TRIM(IF(HOUR(H209-G209)&gt;0,HOUR(H209-G209)&amp;" hr ","")&amp;IF(MINUTE(H209-G209)&gt;0,MINUTE(H209-G209)&amp;" min","")))</f>
        <v/>
      </c>
      <c r="J209" s="66" t="n"/>
      <c r="K209" s="70" t="n"/>
      <c r="L209" s="66" t="n"/>
      <c r="M209" s="66" t="n"/>
      <c r="N209" s="66" t="n"/>
      <c r="O209" s="73">
        <f>IF(C209="","",IF(AND(OR(L209="1-Urgent",L209="2-High"),M209="✓"),"DO FIRST",IF(M209="✓","SCHEDULE",IF(OR(L209="1-Urgent",L209="2-High"),"DELEGATE","DELETE"))))</f>
        <v/>
      </c>
      <c r="P209" s="65" t="n"/>
    </row>
    <row r="210">
      <c r="B210" s="64" t="n">
        <v>205</v>
      </c>
      <c r="C210" s="65" t="n"/>
      <c r="D210" s="66" t="n"/>
      <c r="E210" s="67" t="n"/>
      <c r="F210" s="68">
        <f>IF(OR(C210="",E210=""),"",E210-Setup!$D$7)</f>
        <v/>
      </c>
      <c r="G210" s="69" t="n"/>
      <c r="H210" s="69" t="n"/>
      <c r="I210" s="36">
        <f>IF(OR(G210="",H210=""),"",TRIM(IF(HOUR(H210-G210)&gt;0,HOUR(H210-G210)&amp;" hr ","")&amp;IF(MINUTE(H210-G210)&gt;0,MINUTE(H210-G210)&amp;" min","")))</f>
        <v/>
      </c>
      <c r="J210" s="66" t="n"/>
      <c r="K210" s="70" t="n"/>
      <c r="L210" s="66" t="n"/>
      <c r="M210" s="66" t="n"/>
      <c r="N210" s="66" t="n"/>
      <c r="O210" s="36">
        <f>IF(C210="","",IF(AND(OR(L210="1-Urgent",L210="2-High"),M210="✓"),"DO FIRST",IF(M210="✓","SCHEDULE",IF(OR(L210="1-Urgent",L210="2-High"),"DELEGATE","DELETE"))))</f>
        <v/>
      </c>
      <c r="P210" s="65" t="n"/>
    </row>
    <row r="211">
      <c r="B211" s="71" t="n">
        <v>206</v>
      </c>
      <c r="C211" s="65" t="n"/>
      <c r="D211" s="66" t="n"/>
      <c r="E211" s="67" t="n"/>
      <c r="F211" s="72">
        <f>IF(OR(C211="",E211=""),"",E211-Setup!$D$7)</f>
        <v/>
      </c>
      <c r="G211" s="69" t="n"/>
      <c r="H211" s="69" t="n"/>
      <c r="I211" s="73">
        <f>IF(OR(G211="",H211=""),"",TRIM(IF(HOUR(H211-G211)&gt;0,HOUR(H211-G211)&amp;" hr ","")&amp;IF(MINUTE(H211-G211)&gt;0,MINUTE(H211-G211)&amp;" min","")))</f>
        <v/>
      </c>
      <c r="J211" s="66" t="n"/>
      <c r="K211" s="70" t="n"/>
      <c r="L211" s="66" t="n"/>
      <c r="M211" s="66" t="n"/>
      <c r="N211" s="66" t="n"/>
      <c r="O211" s="73">
        <f>IF(C211="","",IF(AND(OR(L211="1-Urgent",L211="2-High"),M211="✓"),"DO FIRST",IF(M211="✓","SCHEDULE",IF(OR(L211="1-Urgent",L211="2-High"),"DELEGATE","DELETE"))))</f>
        <v/>
      </c>
      <c r="P211" s="65" t="n"/>
    </row>
    <row r="212">
      <c r="B212" s="64" t="n">
        <v>207</v>
      </c>
      <c r="C212" s="65" t="n"/>
      <c r="D212" s="66" t="n"/>
      <c r="E212" s="67" t="n"/>
      <c r="F212" s="68">
        <f>IF(OR(C212="",E212=""),"",E212-Setup!$D$7)</f>
        <v/>
      </c>
      <c r="G212" s="69" t="n"/>
      <c r="H212" s="69" t="n"/>
      <c r="I212" s="36">
        <f>IF(OR(G212="",H212=""),"",TRIM(IF(HOUR(H212-G212)&gt;0,HOUR(H212-G212)&amp;" hr ","")&amp;IF(MINUTE(H212-G212)&gt;0,MINUTE(H212-G212)&amp;" min","")))</f>
        <v/>
      </c>
      <c r="J212" s="66" t="n"/>
      <c r="K212" s="70" t="n"/>
      <c r="L212" s="66" t="n"/>
      <c r="M212" s="66" t="n"/>
      <c r="N212" s="66" t="n"/>
      <c r="O212" s="36">
        <f>IF(C212="","",IF(AND(OR(L212="1-Urgent",L212="2-High"),M212="✓"),"DO FIRST",IF(M212="✓","SCHEDULE",IF(OR(L212="1-Urgent",L212="2-High"),"DELEGATE","DELETE"))))</f>
        <v/>
      </c>
      <c r="P212" s="65" t="n"/>
    </row>
    <row r="213">
      <c r="B213" s="71" t="n">
        <v>208</v>
      </c>
      <c r="C213" s="65" t="n"/>
      <c r="D213" s="66" t="n"/>
      <c r="E213" s="67" t="n"/>
      <c r="F213" s="72">
        <f>IF(OR(C213="",E213=""),"",E213-Setup!$D$7)</f>
        <v/>
      </c>
      <c r="G213" s="69" t="n"/>
      <c r="H213" s="69" t="n"/>
      <c r="I213" s="73">
        <f>IF(OR(G213="",H213=""),"",TRIM(IF(HOUR(H213-G213)&gt;0,HOUR(H213-G213)&amp;" hr ","")&amp;IF(MINUTE(H213-G213)&gt;0,MINUTE(H213-G213)&amp;" min","")))</f>
        <v/>
      </c>
      <c r="J213" s="66" t="n"/>
      <c r="K213" s="70" t="n"/>
      <c r="L213" s="66" t="n"/>
      <c r="M213" s="66" t="n"/>
      <c r="N213" s="66" t="n"/>
      <c r="O213" s="73">
        <f>IF(C213="","",IF(AND(OR(L213="1-Urgent",L213="2-High"),M213="✓"),"DO FIRST",IF(M213="✓","SCHEDULE",IF(OR(L213="1-Urgent",L213="2-High"),"DELEGATE","DELETE"))))</f>
        <v/>
      </c>
      <c r="P213" s="65" t="n"/>
    </row>
    <row r="214">
      <c r="B214" s="64" t="n">
        <v>209</v>
      </c>
      <c r="C214" s="65" t="n"/>
      <c r="D214" s="66" t="n"/>
      <c r="E214" s="67" t="n"/>
      <c r="F214" s="68">
        <f>IF(OR(C214="",E214=""),"",E214-Setup!$D$7)</f>
        <v/>
      </c>
      <c r="G214" s="69" t="n"/>
      <c r="H214" s="69" t="n"/>
      <c r="I214" s="36">
        <f>IF(OR(G214="",H214=""),"",TRIM(IF(HOUR(H214-G214)&gt;0,HOUR(H214-G214)&amp;" hr ","")&amp;IF(MINUTE(H214-G214)&gt;0,MINUTE(H214-G214)&amp;" min","")))</f>
        <v/>
      </c>
      <c r="J214" s="66" t="n"/>
      <c r="K214" s="70" t="n"/>
      <c r="L214" s="66" t="n"/>
      <c r="M214" s="66" t="n"/>
      <c r="N214" s="66" t="n"/>
      <c r="O214" s="36">
        <f>IF(C214="","",IF(AND(OR(L214="1-Urgent",L214="2-High"),M214="✓"),"DO FIRST",IF(M214="✓","SCHEDULE",IF(OR(L214="1-Urgent",L214="2-High"),"DELEGATE","DELETE"))))</f>
        <v/>
      </c>
      <c r="P214" s="65" t="n"/>
    </row>
    <row r="215">
      <c r="B215" s="71" t="n">
        <v>210</v>
      </c>
      <c r="C215" s="65" t="n"/>
      <c r="D215" s="66" t="n"/>
      <c r="E215" s="67" t="n"/>
      <c r="F215" s="72">
        <f>IF(OR(C215="",E215=""),"",E215-Setup!$D$7)</f>
        <v/>
      </c>
      <c r="G215" s="69" t="n"/>
      <c r="H215" s="69" t="n"/>
      <c r="I215" s="73">
        <f>IF(OR(G215="",H215=""),"",TRIM(IF(HOUR(H215-G215)&gt;0,HOUR(H215-G215)&amp;" hr ","")&amp;IF(MINUTE(H215-G215)&gt;0,MINUTE(H215-G215)&amp;" min","")))</f>
        <v/>
      </c>
      <c r="J215" s="66" t="n"/>
      <c r="K215" s="70" t="n"/>
      <c r="L215" s="66" t="n"/>
      <c r="M215" s="66" t="n"/>
      <c r="N215" s="66" t="n"/>
      <c r="O215" s="73">
        <f>IF(C215="","",IF(AND(OR(L215="1-Urgent",L215="2-High"),M215="✓"),"DO FIRST",IF(M215="✓","SCHEDULE",IF(OR(L215="1-Urgent",L215="2-High"),"DELEGATE","DELETE"))))</f>
        <v/>
      </c>
      <c r="P215" s="65" t="n"/>
    </row>
    <row r="216">
      <c r="B216" s="64" t="n">
        <v>211</v>
      </c>
      <c r="C216" s="65" t="n"/>
      <c r="D216" s="66" t="n"/>
      <c r="E216" s="67" t="n"/>
      <c r="F216" s="68">
        <f>IF(OR(C216="",E216=""),"",E216-Setup!$D$7)</f>
        <v/>
      </c>
      <c r="G216" s="69" t="n"/>
      <c r="H216" s="69" t="n"/>
      <c r="I216" s="36">
        <f>IF(OR(G216="",H216=""),"",TRIM(IF(HOUR(H216-G216)&gt;0,HOUR(H216-G216)&amp;" hr ","")&amp;IF(MINUTE(H216-G216)&gt;0,MINUTE(H216-G216)&amp;" min","")))</f>
        <v/>
      </c>
      <c r="J216" s="66" t="n"/>
      <c r="K216" s="70" t="n"/>
      <c r="L216" s="66" t="n"/>
      <c r="M216" s="66" t="n"/>
      <c r="N216" s="66" t="n"/>
      <c r="O216" s="36">
        <f>IF(C216="","",IF(AND(OR(L216="1-Urgent",L216="2-High"),M216="✓"),"DO FIRST",IF(M216="✓","SCHEDULE",IF(OR(L216="1-Urgent",L216="2-High"),"DELEGATE","DELETE"))))</f>
        <v/>
      </c>
      <c r="P216" s="65" t="n"/>
    </row>
    <row r="217">
      <c r="B217" s="71" t="n">
        <v>212</v>
      </c>
      <c r="C217" s="65" t="n"/>
      <c r="D217" s="66" t="n"/>
      <c r="E217" s="67" t="n"/>
      <c r="F217" s="72">
        <f>IF(OR(C217="",E217=""),"",E217-Setup!$D$7)</f>
        <v/>
      </c>
      <c r="G217" s="69" t="n"/>
      <c r="H217" s="69" t="n"/>
      <c r="I217" s="73">
        <f>IF(OR(G217="",H217=""),"",TRIM(IF(HOUR(H217-G217)&gt;0,HOUR(H217-G217)&amp;" hr ","")&amp;IF(MINUTE(H217-G217)&gt;0,MINUTE(H217-G217)&amp;" min","")))</f>
        <v/>
      </c>
      <c r="J217" s="66" t="n"/>
      <c r="K217" s="70" t="n"/>
      <c r="L217" s="66" t="n"/>
      <c r="M217" s="66" t="n"/>
      <c r="N217" s="66" t="n"/>
      <c r="O217" s="73">
        <f>IF(C217="","",IF(AND(OR(L217="1-Urgent",L217="2-High"),M217="✓"),"DO FIRST",IF(M217="✓","SCHEDULE",IF(OR(L217="1-Urgent",L217="2-High"),"DELEGATE","DELETE"))))</f>
        <v/>
      </c>
      <c r="P217" s="65" t="n"/>
    </row>
    <row r="218">
      <c r="B218" s="64" t="n">
        <v>213</v>
      </c>
      <c r="C218" s="65" t="n"/>
      <c r="D218" s="66" t="n"/>
      <c r="E218" s="67" t="n"/>
      <c r="F218" s="68">
        <f>IF(OR(C218="",E218=""),"",E218-Setup!$D$7)</f>
        <v/>
      </c>
      <c r="G218" s="69" t="n"/>
      <c r="H218" s="69" t="n"/>
      <c r="I218" s="36">
        <f>IF(OR(G218="",H218=""),"",TRIM(IF(HOUR(H218-G218)&gt;0,HOUR(H218-G218)&amp;" hr ","")&amp;IF(MINUTE(H218-G218)&gt;0,MINUTE(H218-G218)&amp;" min","")))</f>
        <v/>
      </c>
      <c r="J218" s="66" t="n"/>
      <c r="K218" s="70" t="n"/>
      <c r="L218" s="66" t="n"/>
      <c r="M218" s="66" t="n"/>
      <c r="N218" s="66" t="n"/>
      <c r="O218" s="36">
        <f>IF(C218="","",IF(AND(OR(L218="1-Urgent",L218="2-High"),M218="✓"),"DO FIRST",IF(M218="✓","SCHEDULE",IF(OR(L218="1-Urgent",L218="2-High"),"DELEGATE","DELETE"))))</f>
        <v/>
      </c>
      <c r="P218" s="65" t="n"/>
    </row>
    <row r="219">
      <c r="B219" s="71" t="n">
        <v>214</v>
      </c>
      <c r="C219" s="65" t="n"/>
      <c r="D219" s="66" t="n"/>
      <c r="E219" s="67" t="n"/>
      <c r="F219" s="72">
        <f>IF(OR(C219="",E219=""),"",E219-Setup!$D$7)</f>
        <v/>
      </c>
      <c r="G219" s="69" t="n"/>
      <c r="H219" s="69" t="n"/>
      <c r="I219" s="73">
        <f>IF(OR(G219="",H219=""),"",TRIM(IF(HOUR(H219-G219)&gt;0,HOUR(H219-G219)&amp;" hr ","")&amp;IF(MINUTE(H219-G219)&gt;0,MINUTE(H219-G219)&amp;" min","")))</f>
        <v/>
      </c>
      <c r="J219" s="66" t="n"/>
      <c r="K219" s="70" t="n"/>
      <c r="L219" s="66" t="n"/>
      <c r="M219" s="66" t="n"/>
      <c r="N219" s="66" t="n"/>
      <c r="O219" s="73">
        <f>IF(C219="","",IF(AND(OR(L219="1-Urgent",L219="2-High"),M219="✓"),"DO FIRST",IF(M219="✓","SCHEDULE",IF(OR(L219="1-Urgent",L219="2-High"),"DELEGATE","DELETE"))))</f>
        <v/>
      </c>
      <c r="P219" s="65" t="n"/>
    </row>
    <row r="220">
      <c r="B220" s="64" t="n">
        <v>215</v>
      </c>
      <c r="C220" s="65" t="n"/>
      <c r="D220" s="66" t="n"/>
      <c r="E220" s="67" t="n"/>
      <c r="F220" s="68">
        <f>IF(OR(C220="",E220=""),"",E220-Setup!$D$7)</f>
        <v/>
      </c>
      <c r="G220" s="69" t="n"/>
      <c r="H220" s="69" t="n"/>
      <c r="I220" s="36">
        <f>IF(OR(G220="",H220=""),"",TRIM(IF(HOUR(H220-G220)&gt;0,HOUR(H220-G220)&amp;" hr ","")&amp;IF(MINUTE(H220-G220)&gt;0,MINUTE(H220-G220)&amp;" min","")))</f>
        <v/>
      </c>
      <c r="J220" s="66" t="n"/>
      <c r="K220" s="70" t="n"/>
      <c r="L220" s="66" t="n"/>
      <c r="M220" s="66" t="n"/>
      <c r="N220" s="66" t="n"/>
      <c r="O220" s="36">
        <f>IF(C220="","",IF(AND(OR(L220="1-Urgent",L220="2-High"),M220="✓"),"DO FIRST",IF(M220="✓","SCHEDULE",IF(OR(L220="1-Urgent",L220="2-High"),"DELEGATE","DELETE"))))</f>
        <v/>
      </c>
      <c r="P220" s="65" t="n"/>
    </row>
    <row r="221">
      <c r="B221" s="71" t="n">
        <v>216</v>
      </c>
      <c r="C221" s="65" t="n"/>
      <c r="D221" s="66" t="n"/>
      <c r="E221" s="67" t="n"/>
      <c r="F221" s="72">
        <f>IF(OR(C221="",E221=""),"",E221-Setup!$D$7)</f>
        <v/>
      </c>
      <c r="G221" s="69" t="n"/>
      <c r="H221" s="69" t="n"/>
      <c r="I221" s="73">
        <f>IF(OR(G221="",H221=""),"",TRIM(IF(HOUR(H221-G221)&gt;0,HOUR(H221-G221)&amp;" hr ","")&amp;IF(MINUTE(H221-G221)&gt;0,MINUTE(H221-G221)&amp;" min","")))</f>
        <v/>
      </c>
      <c r="J221" s="66" t="n"/>
      <c r="K221" s="70" t="n"/>
      <c r="L221" s="66" t="n"/>
      <c r="M221" s="66" t="n"/>
      <c r="N221" s="66" t="n"/>
      <c r="O221" s="73">
        <f>IF(C221="","",IF(AND(OR(L221="1-Urgent",L221="2-High"),M221="✓"),"DO FIRST",IF(M221="✓","SCHEDULE",IF(OR(L221="1-Urgent",L221="2-High"),"DELEGATE","DELETE"))))</f>
        <v/>
      </c>
      <c r="P221" s="65" t="n"/>
    </row>
    <row r="222">
      <c r="B222" s="64" t="n">
        <v>217</v>
      </c>
      <c r="C222" s="65" t="n"/>
      <c r="D222" s="66" t="n"/>
      <c r="E222" s="67" t="n"/>
      <c r="F222" s="68">
        <f>IF(OR(C222="",E222=""),"",E222-Setup!$D$7)</f>
        <v/>
      </c>
      <c r="G222" s="69" t="n"/>
      <c r="H222" s="69" t="n"/>
      <c r="I222" s="36">
        <f>IF(OR(G222="",H222=""),"",TRIM(IF(HOUR(H222-G222)&gt;0,HOUR(H222-G222)&amp;" hr ","")&amp;IF(MINUTE(H222-G222)&gt;0,MINUTE(H222-G222)&amp;" min","")))</f>
        <v/>
      </c>
      <c r="J222" s="66" t="n"/>
      <c r="K222" s="70" t="n"/>
      <c r="L222" s="66" t="n"/>
      <c r="M222" s="66" t="n"/>
      <c r="N222" s="66" t="n"/>
      <c r="O222" s="36">
        <f>IF(C222="","",IF(AND(OR(L222="1-Urgent",L222="2-High"),M222="✓"),"DO FIRST",IF(M222="✓","SCHEDULE",IF(OR(L222="1-Urgent",L222="2-High"),"DELEGATE","DELETE"))))</f>
        <v/>
      </c>
      <c r="P222" s="65" t="n"/>
    </row>
    <row r="223">
      <c r="B223" s="71" t="n">
        <v>218</v>
      </c>
      <c r="C223" s="65" t="n"/>
      <c r="D223" s="66" t="n"/>
      <c r="E223" s="67" t="n"/>
      <c r="F223" s="72">
        <f>IF(OR(C223="",E223=""),"",E223-Setup!$D$7)</f>
        <v/>
      </c>
      <c r="G223" s="69" t="n"/>
      <c r="H223" s="69" t="n"/>
      <c r="I223" s="73">
        <f>IF(OR(G223="",H223=""),"",TRIM(IF(HOUR(H223-G223)&gt;0,HOUR(H223-G223)&amp;" hr ","")&amp;IF(MINUTE(H223-G223)&gt;0,MINUTE(H223-G223)&amp;" min","")))</f>
        <v/>
      </c>
      <c r="J223" s="66" t="n"/>
      <c r="K223" s="70" t="n"/>
      <c r="L223" s="66" t="n"/>
      <c r="M223" s="66" t="n"/>
      <c r="N223" s="66" t="n"/>
      <c r="O223" s="73">
        <f>IF(C223="","",IF(AND(OR(L223="1-Urgent",L223="2-High"),M223="✓"),"DO FIRST",IF(M223="✓","SCHEDULE",IF(OR(L223="1-Urgent",L223="2-High"),"DELEGATE","DELETE"))))</f>
        <v/>
      </c>
      <c r="P223" s="65" t="n"/>
    </row>
    <row r="224">
      <c r="B224" s="64" t="n">
        <v>219</v>
      </c>
      <c r="C224" s="65" t="n"/>
      <c r="D224" s="66" t="n"/>
      <c r="E224" s="67" t="n"/>
      <c r="F224" s="68">
        <f>IF(OR(C224="",E224=""),"",E224-Setup!$D$7)</f>
        <v/>
      </c>
      <c r="G224" s="69" t="n"/>
      <c r="H224" s="69" t="n"/>
      <c r="I224" s="36">
        <f>IF(OR(G224="",H224=""),"",TRIM(IF(HOUR(H224-G224)&gt;0,HOUR(H224-G224)&amp;" hr ","")&amp;IF(MINUTE(H224-G224)&gt;0,MINUTE(H224-G224)&amp;" min","")))</f>
        <v/>
      </c>
      <c r="J224" s="66" t="n"/>
      <c r="K224" s="70" t="n"/>
      <c r="L224" s="66" t="n"/>
      <c r="M224" s="66" t="n"/>
      <c r="N224" s="66" t="n"/>
      <c r="O224" s="36">
        <f>IF(C224="","",IF(AND(OR(L224="1-Urgent",L224="2-High"),M224="✓"),"DO FIRST",IF(M224="✓","SCHEDULE",IF(OR(L224="1-Urgent",L224="2-High"),"DELEGATE","DELETE"))))</f>
        <v/>
      </c>
      <c r="P224" s="65" t="n"/>
    </row>
    <row r="225">
      <c r="B225" s="71" t="n">
        <v>220</v>
      </c>
      <c r="C225" s="65" t="n"/>
      <c r="D225" s="66" t="n"/>
      <c r="E225" s="67" t="n"/>
      <c r="F225" s="72">
        <f>IF(OR(C225="",E225=""),"",E225-Setup!$D$7)</f>
        <v/>
      </c>
      <c r="G225" s="69" t="n"/>
      <c r="H225" s="69" t="n"/>
      <c r="I225" s="73">
        <f>IF(OR(G225="",H225=""),"",TRIM(IF(HOUR(H225-G225)&gt;0,HOUR(H225-G225)&amp;" hr ","")&amp;IF(MINUTE(H225-G225)&gt;0,MINUTE(H225-G225)&amp;" min","")))</f>
        <v/>
      </c>
      <c r="J225" s="66" t="n"/>
      <c r="K225" s="70" t="n"/>
      <c r="L225" s="66" t="n"/>
      <c r="M225" s="66" t="n"/>
      <c r="N225" s="66" t="n"/>
      <c r="O225" s="73">
        <f>IF(C225="","",IF(AND(OR(L225="1-Urgent",L225="2-High"),M225="✓"),"DO FIRST",IF(M225="✓","SCHEDULE",IF(OR(L225="1-Urgent",L225="2-High"),"DELEGATE","DELETE"))))</f>
        <v/>
      </c>
      <c r="P225" s="65" t="n"/>
    </row>
    <row r="226">
      <c r="B226" s="64" t="n">
        <v>221</v>
      </c>
      <c r="C226" s="65" t="n"/>
      <c r="D226" s="66" t="n"/>
      <c r="E226" s="67" t="n"/>
      <c r="F226" s="68">
        <f>IF(OR(C226="",E226=""),"",E226-Setup!$D$7)</f>
        <v/>
      </c>
      <c r="G226" s="69" t="n"/>
      <c r="H226" s="69" t="n"/>
      <c r="I226" s="36">
        <f>IF(OR(G226="",H226=""),"",TRIM(IF(HOUR(H226-G226)&gt;0,HOUR(H226-G226)&amp;" hr ","")&amp;IF(MINUTE(H226-G226)&gt;0,MINUTE(H226-G226)&amp;" min","")))</f>
        <v/>
      </c>
      <c r="J226" s="66" t="n"/>
      <c r="K226" s="70" t="n"/>
      <c r="L226" s="66" t="n"/>
      <c r="M226" s="66" t="n"/>
      <c r="N226" s="66" t="n"/>
      <c r="O226" s="36">
        <f>IF(C226="","",IF(AND(OR(L226="1-Urgent",L226="2-High"),M226="✓"),"DO FIRST",IF(M226="✓","SCHEDULE",IF(OR(L226="1-Urgent",L226="2-High"),"DELEGATE","DELETE"))))</f>
        <v/>
      </c>
      <c r="P226" s="65" t="n"/>
    </row>
    <row r="227">
      <c r="B227" s="71" t="n">
        <v>222</v>
      </c>
      <c r="C227" s="65" t="n"/>
      <c r="D227" s="66" t="n"/>
      <c r="E227" s="67" t="n"/>
      <c r="F227" s="72">
        <f>IF(OR(C227="",E227=""),"",E227-Setup!$D$7)</f>
        <v/>
      </c>
      <c r="G227" s="69" t="n"/>
      <c r="H227" s="69" t="n"/>
      <c r="I227" s="73">
        <f>IF(OR(G227="",H227=""),"",TRIM(IF(HOUR(H227-G227)&gt;0,HOUR(H227-G227)&amp;" hr ","")&amp;IF(MINUTE(H227-G227)&gt;0,MINUTE(H227-G227)&amp;" min","")))</f>
        <v/>
      </c>
      <c r="J227" s="66" t="n"/>
      <c r="K227" s="70" t="n"/>
      <c r="L227" s="66" t="n"/>
      <c r="M227" s="66" t="n"/>
      <c r="N227" s="66" t="n"/>
      <c r="O227" s="73">
        <f>IF(C227="","",IF(AND(OR(L227="1-Urgent",L227="2-High"),M227="✓"),"DO FIRST",IF(M227="✓","SCHEDULE",IF(OR(L227="1-Urgent",L227="2-High"),"DELEGATE","DELETE"))))</f>
        <v/>
      </c>
      <c r="P227" s="65" t="n"/>
    </row>
    <row r="228">
      <c r="B228" s="64" t="n">
        <v>223</v>
      </c>
      <c r="C228" s="65" t="n"/>
      <c r="D228" s="66" t="n"/>
      <c r="E228" s="67" t="n"/>
      <c r="F228" s="68">
        <f>IF(OR(C228="",E228=""),"",E228-Setup!$D$7)</f>
        <v/>
      </c>
      <c r="G228" s="69" t="n"/>
      <c r="H228" s="69" t="n"/>
      <c r="I228" s="36">
        <f>IF(OR(G228="",H228=""),"",TRIM(IF(HOUR(H228-G228)&gt;0,HOUR(H228-G228)&amp;" hr ","")&amp;IF(MINUTE(H228-G228)&gt;0,MINUTE(H228-G228)&amp;" min","")))</f>
        <v/>
      </c>
      <c r="J228" s="66" t="n"/>
      <c r="K228" s="70" t="n"/>
      <c r="L228" s="66" t="n"/>
      <c r="M228" s="66" t="n"/>
      <c r="N228" s="66" t="n"/>
      <c r="O228" s="36">
        <f>IF(C228="","",IF(AND(OR(L228="1-Urgent",L228="2-High"),M228="✓"),"DO FIRST",IF(M228="✓","SCHEDULE",IF(OR(L228="1-Urgent",L228="2-High"),"DELEGATE","DELETE"))))</f>
        <v/>
      </c>
      <c r="P228" s="65" t="n"/>
    </row>
    <row r="229">
      <c r="B229" s="71" t="n">
        <v>224</v>
      </c>
      <c r="C229" s="65" t="n"/>
      <c r="D229" s="66" t="n"/>
      <c r="E229" s="67" t="n"/>
      <c r="F229" s="72">
        <f>IF(OR(C229="",E229=""),"",E229-Setup!$D$7)</f>
        <v/>
      </c>
      <c r="G229" s="69" t="n"/>
      <c r="H229" s="69" t="n"/>
      <c r="I229" s="73">
        <f>IF(OR(G229="",H229=""),"",TRIM(IF(HOUR(H229-G229)&gt;0,HOUR(H229-G229)&amp;" hr ","")&amp;IF(MINUTE(H229-G229)&gt;0,MINUTE(H229-G229)&amp;" min","")))</f>
        <v/>
      </c>
      <c r="J229" s="66" t="n"/>
      <c r="K229" s="70" t="n"/>
      <c r="L229" s="66" t="n"/>
      <c r="M229" s="66" t="n"/>
      <c r="N229" s="66" t="n"/>
      <c r="O229" s="73">
        <f>IF(C229="","",IF(AND(OR(L229="1-Urgent",L229="2-High"),M229="✓"),"DO FIRST",IF(M229="✓","SCHEDULE",IF(OR(L229="1-Urgent",L229="2-High"),"DELEGATE","DELETE"))))</f>
        <v/>
      </c>
      <c r="P229" s="65" t="n"/>
    </row>
    <row r="230">
      <c r="B230" s="64" t="n">
        <v>225</v>
      </c>
      <c r="C230" s="65" t="n"/>
      <c r="D230" s="66" t="n"/>
      <c r="E230" s="67" t="n"/>
      <c r="F230" s="68">
        <f>IF(OR(C230="",E230=""),"",E230-Setup!$D$7)</f>
        <v/>
      </c>
      <c r="G230" s="69" t="n"/>
      <c r="H230" s="69" t="n"/>
      <c r="I230" s="36">
        <f>IF(OR(G230="",H230=""),"",TRIM(IF(HOUR(H230-G230)&gt;0,HOUR(H230-G230)&amp;" hr ","")&amp;IF(MINUTE(H230-G230)&gt;0,MINUTE(H230-G230)&amp;" min","")))</f>
        <v/>
      </c>
      <c r="J230" s="66" t="n"/>
      <c r="K230" s="70" t="n"/>
      <c r="L230" s="66" t="n"/>
      <c r="M230" s="66" t="n"/>
      <c r="N230" s="66" t="n"/>
      <c r="O230" s="36">
        <f>IF(C230="","",IF(AND(OR(L230="1-Urgent",L230="2-High"),M230="✓"),"DO FIRST",IF(M230="✓","SCHEDULE",IF(OR(L230="1-Urgent",L230="2-High"),"DELEGATE","DELETE"))))</f>
        <v/>
      </c>
      <c r="P230" s="65" t="n"/>
    </row>
    <row r="231">
      <c r="B231" s="71" t="n">
        <v>226</v>
      </c>
      <c r="C231" s="65" t="n"/>
      <c r="D231" s="66" t="n"/>
      <c r="E231" s="67" t="n"/>
      <c r="F231" s="72">
        <f>IF(OR(C231="",E231=""),"",E231-Setup!$D$7)</f>
        <v/>
      </c>
      <c r="G231" s="69" t="n"/>
      <c r="H231" s="69" t="n"/>
      <c r="I231" s="73">
        <f>IF(OR(G231="",H231=""),"",TRIM(IF(HOUR(H231-G231)&gt;0,HOUR(H231-G231)&amp;" hr ","")&amp;IF(MINUTE(H231-G231)&gt;0,MINUTE(H231-G231)&amp;" min","")))</f>
        <v/>
      </c>
      <c r="J231" s="66" t="n"/>
      <c r="K231" s="70" t="n"/>
      <c r="L231" s="66" t="n"/>
      <c r="M231" s="66" t="n"/>
      <c r="N231" s="66" t="n"/>
      <c r="O231" s="73">
        <f>IF(C231="","",IF(AND(OR(L231="1-Urgent",L231="2-High"),M231="✓"),"DO FIRST",IF(M231="✓","SCHEDULE",IF(OR(L231="1-Urgent",L231="2-High"),"DELEGATE","DELETE"))))</f>
        <v/>
      </c>
      <c r="P231" s="65" t="n"/>
    </row>
    <row r="232">
      <c r="B232" s="64" t="n">
        <v>227</v>
      </c>
      <c r="C232" s="65" t="n"/>
      <c r="D232" s="66" t="n"/>
      <c r="E232" s="67" t="n"/>
      <c r="F232" s="68">
        <f>IF(OR(C232="",E232=""),"",E232-Setup!$D$7)</f>
        <v/>
      </c>
      <c r="G232" s="69" t="n"/>
      <c r="H232" s="69" t="n"/>
      <c r="I232" s="36">
        <f>IF(OR(G232="",H232=""),"",TRIM(IF(HOUR(H232-G232)&gt;0,HOUR(H232-G232)&amp;" hr ","")&amp;IF(MINUTE(H232-G232)&gt;0,MINUTE(H232-G232)&amp;" min","")))</f>
        <v/>
      </c>
      <c r="J232" s="66" t="n"/>
      <c r="K232" s="70" t="n"/>
      <c r="L232" s="66" t="n"/>
      <c r="M232" s="66" t="n"/>
      <c r="N232" s="66" t="n"/>
      <c r="O232" s="36">
        <f>IF(C232="","",IF(AND(OR(L232="1-Urgent",L232="2-High"),M232="✓"),"DO FIRST",IF(M232="✓","SCHEDULE",IF(OR(L232="1-Urgent",L232="2-High"),"DELEGATE","DELETE"))))</f>
        <v/>
      </c>
      <c r="P232" s="65" t="n"/>
    </row>
    <row r="233">
      <c r="B233" s="71" t="n">
        <v>228</v>
      </c>
      <c r="C233" s="65" t="n"/>
      <c r="D233" s="66" t="n"/>
      <c r="E233" s="67" t="n"/>
      <c r="F233" s="72">
        <f>IF(OR(C233="",E233=""),"",E233-Setup!$D$7)</f>
        <v/>
      </c>
      <c r="G233" s="69" t="n"/>
      <c r="H233" s="69" t="n"/>
      <c r="I233" s="73">
        <f>IF(OR(G233="",H233=""),"",TRIM(IF(HOUR(H233-G233)&gt;0,HOUR(H233-G233)&amp;" hr ","")&amp;IF(MINUTE(H233-G233)&gt;0,MINUTE(H233-G233)&amp;" min","")))</f>
        <v/>
      </c>
      <c r="J233" s="66" t="n"/>
      <c r="K233" s="70" t="n"/>
      <c r="L233" s="66" t="n"/>
      <c r="M233" s="66" t="n"/>
      <c r="N233" s="66" t="n"/>
      <c r="O233" s="73">
        <f>IF(C233="","",IF(AND(OR(L233="1-Urgent",L233="2-High"),M233="✓"),"DO FIRST",IF(M233="✓","SCHEDULE",IF(OR(L233="1-Urgent",L233="2-High"),"DELEGATE","DELETE"))))</f>
        <v/>
      </c>
      <c r="P233" s="65" t="n"/>
    </row>
    <row r="234">
      <c r="B234" s="64" t="n">
        <v>229</v>
      </c>
      <c r="C234" s="65" t="n"/>
      <c r="D234" s="66" t="n"/>
      <c r="E234" s="67" t="n"/>
      <c r="F234" s="68">
        <f>IF(OR(C234="",E234=""),"",E234-Setup!$D$7)</f>
        <v/>
      </c>
      <c r="G234" s="69" t="n"/>
      <c r="H234" s="69" t="n"/>
      <c r="I234" s="36">
        <f>IF(OR(G234="",H234=""),"",TRIM(IF(HOUR(H234-G234)&gt;0,HOUR(H234-G234)&amp;" hr ","")&amp;IF(MINUTE(H234-G234)&gt;0,MINUTE(H234-G234)&amp;" min","")))</f>
        <v/>
      </c>
      <c r="J234" s="66" t="n"/>
      <c r="K234" s="70" t="n"/>
      <c r="L234" s="66" t="n"/>
      <c r="M234" s="66" t="n"/>
      <c r="N234" s="66" t="n"/>
      <c r="O234" s="36">
        <f>IF(C234="","",IF(AND(OR(L234="1-Urgent",L234="2-High"),M234="✓"),"DO FIRST",IF(M234="✓","SCHEDULE",IF(OR(L234="1-Urgent",L234="2-High"),"DELEGATE","DELETE"))))</f>
        <v/>
      </c>
      <c r="P234" s="65" t="n"/>
    </row>
    <row r="235">
      <c r="B235" s="71" t="n">
        <v>230</v>
      </c>
      <c r="C235" s="65" t="n"/>
      <c r="D235" s="66" t="n"/>
      <c r="E235" s="67" t="n"/>
      <c r="F235" s="72">
        <f>IF(OR(C235="",E235=""),"",E235-Setup!$D$7)</f>
        <v/>
      </c>
      <c r="G235" s="69" t="n"/>
      <c r="H235" s="69" t="n"/>
      <c r="I235" s="73">
        <f>IF(OR(G235="",H235=""),"",TRIM(IF(HOUR(H235-G235)&gt;0,HOUR(H235-G235)&amp;" hr ","")&amp;IF(MINUTE(H235-G235)&gt;0,MINUTE(H235-G235)&amp;" min","")))</f>
        <v/>
      </c>
      <c r="J235" s="66" t="n"/>
      <c r="K235" s="70" t="n"/>
      <c r="L235" s="66" t="n"/>
      <c r="M235" s="66" t="n"/>
      <c r="N235" s="66" t="n"/>
      <c r="O235" s="73">
        <f>IF(C235="","",IF(AND(OR(L235="1-Urgent",L235="2-High"),M235="✓"),"DO FIRST",IF(M235="✓","SCHEDULE",IF(OR(L235="1-Urgent",L235="2-High"),"DELEGATE","DELETE"))))</f>
        <v/>
      </c>
      <c r="P235" s="65" t="n"/>
    </row>
    <row r="236">
      <c r="B236" s="64" t="n">
        <v>231</v>
      </c>
      <c r="C236" s="65" t="n"/>
      <c r="D236" s="66" t="n"/>
      <c r="E236" s="67" t="n"/>
      <c r="F236" s="68">
        <f>IF(OR(C236="",E236=""),"",E236-Setup!$D$7)</f>
        <v/>
      </c>
      <c r="G236" s="69" t="n"/>
      <c r="H236" s="69" t="n"/>
      <c r="I236" s="36">
        <f>IF(OR(G236="",H236=""),"",TRIM(IF(HOUR(H236-G236)&gt;0,HOUR(H236-G236)&amp;" hr ","")&amp;IF(MINUTE(H236-G236)&gt;0,MINUTE(H236-G236)&amp;" min","")))</f>
        <v/>
      </c>
      <c r="J236" s="66" t="n"/>
      <c r="K236" s="70" t="n"/>
      <c r="L236" s="66" t="n"/>
      <c r="M236" s="66" t="n"/>
      <c r="N236" s="66" t="n"/>
      <c r="O236" s="36">
        <f>IF(C236="","",IF(AND(OR(L236="1-Urgent",L236="2-High"),M236="✓"),"DO FIRST",IF(M236="✓","SCHEDULE",IF(OR(L236="1-Urgent",L236="2-High"),"DELEGATE","DELETE"))))</f>
        <v/>
      </c>
      <c r="P236" s="65" t="n"/>
    </row>
    <row r="237">
      <c r="B237" s="71" t="n">
        <v>232</v>
      </c>
      <c r="C237" s="65" t="n"/>
      <c r="D237" s="66" t="n"/>
      <c r="E237" s="67" t="n"/>
      <c r="F237" s="72">
        <f>IF(OR(C237="",E237=""),"",E237-Setup!$D$7)</f>
        <v/>
      </c>
      <c r="G237" s="69" t="n"/>
      <c r="H237" s="69" t="n"/>
      <c r="I237" s="73">
        <f>IF(OR(G237="",H237=""),"",TRIM(IF(HOUR(H237-G237)&gt;0,HOUR(H237-G237)&amp;" hr ","")&amp;IF(MINUTE(H237-G237)&gt;0,MINUTE(H237-G237)&amp;" min","")))</f>
        <v/>
      </c>
      <c r="J237" s="66" t="n"/>
      <c r="K237" s="70" t="n"/>
      <c r="L237" s="66" t="n"/>
      <c r="M237" s="66" t="n"/>
      <c r="N237" s="66" t="n"/>
      <c r="O237" s="73">
        <f>IF(C237="","",IF(AND(OR(L237="1-Urgent",L237="2-High"),M237="✓"),"DO FIRST",IF(M237="✓","SCHEDULE",IF(OR(L237="1-Urgent",L237="2-High"),"DELEGATE","DELETE"))))</f>
        <v/>
      </c>
      <c r="P237" s="65" t="n"/>
    </row>
    <row r="238">
      <c r="B238" s="64" t="n">
        <v>233</v>
      </c>
      <c r="C238" s="65" t="n"/>
      <c r="D238" s="66" t="n"/>
      <c r="E238" s="67" t="n"/>
      <c r="F238" s="68">
        <f>IF(OR(C238="",E238=""),"",E238-Setup!$D$7)</f>
        <v/>
      </c>
      <c r="G238" s="69" t="n"/>
      <c r="H238" s="69" t="n"/>
      <c r="I238" s="36">
        <f>IF(OR(G238="",H238=""),"",TRIM(IF(HOUR(H238-G238)&gt;0,HOUR(H238-G238)&amp;" hr ","")&amp;IF(MINUTE(H238-G238)&gt;0,MINUTE(H238-G238)&amp;" min","")))</f>
        <v/>
      </c>
      <c r="J238" s="66" t="n"/>
      <c r="K238" s="70" t="n"/>
      <c r="L238" s="66" t="n"/>
      <c r="M238" s="66" t="n"/>
      <c r="N238" s="66" t="n"/>
      <c r="O238" s="36">
        <f>IF(C238="","",IF(AND(OR(L238="1-Urgent",L238="2-High"),M238="✓"),"DO FIRST",IF(M238="✓","SCHEDULE",IF(OR(L238="1-Urgent",L238="2-High"),"DELEGATE","DELETE"))))</f>
        <v/>
      </c>
      <c r="P238" s="65" t="n"/>
    </row>
    <row r="239">
      <c r="B239" s="71" t="n">
        <v>234</v>
      </c>
      <c r="C239" s="65" t="n"/>
      <c r="D239" s="66" t="n"/>
      <c r="E239" s="67" t="n"/>
      <c r="F239" s="72">
        <f>IF(OR(C239="",E239=""),"",E239-Setup!$D$7)</f>
        <v/>
      </c>
      <c r="G239" s="69" t="n"/>
      <c r="H239" s="69" t="n"/>
      <c r="I239" s="73">
        <f>IF(OR(G239="",H239=""),"",TRIM(IF(HOUR(H239-G239)&gt;0,HOUR(H239-G239)&amp;" hr ","")&amp;IF(MINUTE(H239-G239)&gt;0,MINUTE(H239-G239)&amp;" min","")))</f>
        <v/>
      </c>
      <c r="J239" s="66" t="n"/>
      <c r="K239" s="70" t="n"/>
      <c r="L239" s="66" t="n"/>
      <c r="M239" s="66" t="n"/>
      <c r="N239" s="66" t="n"/>
      <c r="O239" s="73">
        <f>IF(C239="","",IF(AND(OR(L239="1-Urgent",L239="2-High"),M239="✓"),"DO FIRST",IF(M239="✓","SCHEDULE",IF(OR(L239="1-Urgent",L239="2-High"),"DELEGATE","DELETE"))))</f>
        <v/>
      </c>
      <c r="P239" s="65" t="n"/>
    </row>
    <row r="240">
      <c r="B240" s="64" t="n">
        <v>235</v>
      </c>
      <c r="C240" s="65" t="n"/>
      <c r="D240" s="66" t="n"/>
      <c r="E240" s="67" t="n"/>
      <c r="F240" s="68">
        <f>IF(OR(C240="",E240=""),"",E240-Setup!$D$7)</f>
        <v/>
      </c>
      <c r="G240" s="69" t="n"/>
      <c r="H240" s="69" t="n"/>
      <c r="I240" s="36">
        <f>IF(OR(G240="",H240=""),"",TRIM(IF(HOUR(H240-G240)&gt;0,HOUR(H240-G240)&amp;" hr ","")&amp;IF(MINUTE(H240-G240)&gt;0,MINUTE(H240-G240)&amp;" min","")))</f>
        <v/>
      </c>
      <c r="J240" s="66" t="n"/>
      <c r="K240" s="70" t="n"/>
      <c r="L240" s="66" t="n"/>
      <c r="M240" s="66" t="n"/>
      <c r="N240" s="66" t="n"/>
      <c r="O240" s="36">
        <f>IF(C240="","",IF(AND(OR(L240="1-Urgent",L240="2-High"),M240="✓"),"DO FIRST",IF(M240="✓","SCHEDULE",IF(OR(L240="1-Urgent",L240="2-High"),"DELEGATE","DELETE"))))</f>
        <v/>
      </c>
      <c r="P240" s="65" t="n"/>
    </row>
    <row r="241">
      <c r="B241" s="71" t="n">
        <v>236</v>
      </c>
      <c r="C241" s="65" t="n"/>
      <c r="D241" s="66" t="n"/>
      <c r="E241" s="67" t="n"/>
      <c r="F241" s="72">
        <f>IF(OR(C241="",E241=""),"",E241-Setup!$D$7)</f>
        <v/>
      </c>
      <c r="G241" s="69" t="n"/>
      <c r="H241" s="69" t="n"/>
      <c r="I241" s="73">
        <f>IF(OR(G241="",H241=""),"",TRIM(IF(HOUR(H241-G241)&gt;0,HOUR(H241-G241)&amp;" hr ","")&amp;IF(MINUTE(H241-G241)&gt;0,MINUTE(H241-G241)&amp;" min","")))</f>
        <v/>
      </c>
      <c r="J241" s="66" t="n"/>
      <c r="K241" s="70" t="n"/>
      <c r="L241" s="66" t="n"/>
      <c r="M241" s="66" t="n"/>
      <c r="N241" s="66" t="n"/>
      <c r="O241" s="73">
        <f>IF(C241="","",IF(AND(OR(L241="1-Urgent",L241="2-High"),M241="✓"),"DO FIRST",IF(M241="✓","SCHEDULE",IF(OR(L241="1-Urgent",L241="2-High"),"DELEGATE","DELETE"))))</f>
        <v/>
      </c>
      <c r="P241" s="65" t="n"/>
    </row>
    <row r="242">
      <c r="B242" s="64" t="n">
        <v>237</v>
      </c>
      <c r="C242" s="65" t="n"/>
      <c r="D242" s="66" t="n"/>
      <c r="E242" s="67" t="n"/>
      <c r="F242" s="68">
        <f>IF(OR(C242="",E242=""),"",E242-Setup!$D$7)</f>
        <v/>
      </c>
      <c r="G242" s="69" t="n"/>
      <c r="H242" s="69" t="n"/>
      <c r="I242" s="36">
        <f>IF(OR(G242="",H242=""),"",TRIM(IF(HOUR(H242-G242)&gt;0,HOUR(H242-G242)&amp;" hr ","")&amp;IF(MINUTE(H242-G242)&gt;0,MINUTE(H242-G242)&amp;" min","")))</f>
        <v/>
      </c>
      <c r="J242" s="66" t="n"/>
      <c r="K242" s="70" t="n"/>
      <c r="L242" s="66" t="n"/>
      <c r="M242" s="66" t="n"/>
      <c r="N242" s="66" t="n"/>
      <c r="O242" s="36">
        <f>IF(C242="","",IF(AND(OR(L242="1-Urgent",L242="2-High"),M242="✓"),"DO FIRST",IF(M242="✓","SCHEDULE",IF(OR(L242="1-Urgent",L242="2-High"),"DELEGATE","DELETE"))))</f>
        <v/>
      </c>
      <c r="P242" s="65" t="n"/>
    </row>
    <row r="243">
      <c r="B243" s="71" t="n">
        <v>238</v>
      </c>
      <c r="C243" s="65" t="n"/>
      <c r="D243" s="66" t="n"/>
      <c r="E243" s="67" t="n"/>
      <c r="F243" s="72">
        <f>IF(OR(C243="",E243=""),"",E243-Setup!$D$7)</f>
        <v/>
      </c>
      <c r="G243" s="69" t="n"/>
      <c r="H243" s="69" t="n"/>
      <c r="I243" s="73">
        <f>IF(OR(G243="",H243=""),"",TRIM(IF(HOUR(H243-G243)&gt;0,HOUR(H243-G243)&amp;" hr ","")&amp;IF(MINUTE(H243-G243)&gt;0,MINUTE(H243-G243)&amp;" min","")))</f>
        <v/>
      </c>
      <c r="J243" s="66" t="n"/>
      <c r="K243" s="70" t="n"/>
      <c r="L243" s="66" t="n"/>
      <c r="M243" s="66" t="n"/>
      <c r="N243" s="66" t="n"/>
      <c r="O243" s="73">
        <f>IF(C243="","",IF(AND(OR(L243="1-Urgent",L243="2-High"),M243="✓"),"DO FIRST",IF(M243="✓","SCHEDULE",IF(OR(L243="1-Urgent",L243="2-High"),"DELEGATE","DELETE"))))</f>
        <v/>
      </c>
      <c r="P243" s="65" t="n"/>
    </row>
    <row r="244">
      <c r="B244" s="64" t="n">
        <v>239</v>
      </c>
      <c r="C244" s="65" t="n"/>
      <c r="D244" s="66" t="n"/>
      <c r="E244" s="67" t="n"/>
      <c r="F244" s="68">
        <f>IF(OR(C244="",E244=""),"",E244-Setup!$D$7)</f>
        <v/>
      </c>
      <c r="G244" s="69" t="n"/>
      <c r="H244" s="69" t="n"/>
      <c r="I244" s="36">
        <f>IF(OR(G244="",H244=""),"",TRIM(IF(HOUR(H244-G244)&gt;0,HOUR(H244-G244)&amp;" hr ","")&amp;IF(MINUTE(H244-G244)&gt;0,MINUTE(H244-G244)&amp;" min","")))</f>
        <v/>
      </c>
      <c r="J244" s="66" t="n"/>
      <c r="K244" s="70" t="n"/>
      <c r="L244" s="66" t="n"/>
      <c r="M244" s="66" t="n"/>
      <c r="N244" s="66" t="n"/>
      <c r="O244" s="36">
        <f>IF(C244="","",IF(AND(OR(L244="1-Urgent",L244="2-High"),M244="✓"),"DO FIRST",IF(M244="✓","SCHEDULE",IF(OR(L244="1-Urgent",L244="2-High"),"DELEGATE","DELETE"))))</f>
        <v/>
      </c>
      <c r="P244" s="65" t="n"/>
    </row>
    <row r="245">
      <c r="B245" s="71" t="n">
        <v>240</v>
      </c>
      <c r="C245" s="65" t="n"/>
      <c r="D245" s="66" t="n"/>
      <c r="E245" s="67" t="n"/>
      <c r="F245" s="72">
        <f>IF(OR(C245="",E245=""),"",E245-Setup!$D$7)</f>
        <v/>
      </c>
      <c r="G245" s="69" t="n"/>
      <c r="H245" s="69" t="n"/>
      <c r="I245" s="73">
        <f>IF(OR(G245="",H245=""),"",TRIM(IF(HOUR(H245-G245)&gt;0,HOUR(H245-G245)&amp;" hr ","")&amp;IF(MINUTE(H245-G245)&gt;0,MINUTE(H245-G245)&amp;" min","")))</f>
        <v/>
      </c>
      <c r="J245" s="66" t="n"/>
      <c r="K245" s="70" t="n"/>
      <c r="L245" s="66" t="n"/>
      <c r="M245" s="66" t="n"/>
      <c r="N245" s="66" t="n"/>
      <c r="O245" s="73">
        <f>IF(C245="","",IF(AND(OR(L245="1-Urgent",L245="2-High"),M245="✓"),"DO FIRST",IF(M245="✓","SCHEDULE",IF(OR(L245="1-Urgent",L245="2-High"),"DELEGATE","DELETE"))))</f>
        <v/>
      </c>
      <c r="P245" s="65" t="n"/>
    </row>
    <row r="246">
      <c r="B246" s="64" t="n">
        <v>241</v>
      </c>
      <c r="C246" s="65" t="n"/>
      <c r="D246" s="66" t="n"/>
      <c r="E246" s="67" t="n"/>
      <c r="F246" s="68">
        <f>IF(OR(C246="",E246=""),"",E246-Setup!$D$7)</f>
        <v/>
      </c>
      <c r="G246" s="69" t="n"/>
      <c r="H246" s="69" t="n"/>
      <c r="I246" s="36">
        <f>IF(OR(G246="",H246=""),"",TRIM(IF(HOUR(H246-G246)&gt;0,HOUR(H246-G246)&amp;" hr ","")&amp;IF(MINUTE(H246-G246)&gt;0,MINUTE(H246-G246)&amp;" min","")))</f>
        <v/>
      </c>
      <c r="J246" s="66" t="n"/>
      <c r="K246" s="70" t="n"/>
      <c r="L246" s="66" t="n"/>
      <c r="M246" s="66" t="n"/>
      <c r="N246" s="66" t="n"/>
      <c r="O246" s="36">
        <f>IF(C246="","",IF(AND(OR(L246="1-Urgent",L246="2-High"),M246="✓"),"DO FIRST",IF(M246="✓","SCHEDULE",IF(OR(L246="1-Urgent",L246="2-High"),"DELEGATE","DELETE"))))</f>
        <v/>
      </c>
      <c r="P246" s="65" t="n"/>
    </row>
    <row r="247">
      <c r="B247" s="71" t="n">
        <v>242</v>
      </c>
      <c r="C247" s="65" t="n"/>
      <c r="D247" s="66" t="n"/>
      <c r="E247" s="67" t="n"/>
      <c r="F247" s="72">
        <f>IF(OR(C247="",E247=""),"",E247-Setup!$D$7)</f>
        <v/>
      </c>
      <c r="G247" s="69" t="n"/>
      <c r="H247" s="69" t="n"/>
      <c r="I247" s="73">
        <f>IF(OR(G247="",H247=""),"",TRIM(IF(HOUR(H247-G247)&gt;0,HOUR(H247-G247)&amp;" hr ","")&amp;IF(MINUTE(H247-G247)&gt;0,MINUTE(H247-G247)&amp;" min","")))</f>
        <v/>
      </c>
      <c r="J247" s="66" t="n"/>
      <c r="K247" s="70" t="n"/>
      <c r="L247" s="66" t="n"/>
      <c r="M247" s="66" t="n"/>
      <c r="N247" s="66" t="n"/>
      <c r="O247" s="73">
        <f>IF(C247="","",IF(AND(OR(L247="1-Urgent",L247="2-High"),M247="✓"),"DO FIRST",IF(M247="✓","SCHEDULE",IF(OR(L247="1-Urgent",L247="2-High"),"DELEGATE","DELETE"))))</f>
        <v/>
      </c>
      <c r="P247" s="65" t="n"/>
    </row>
    <row r="248">
      <c r="B248" s="64" t="n">
        <v>243</v>
      </c>
      <c r="C248" s="65" t="n"/>
      <c r="D248" s="66" t="n"/>
      <c r="E248" s="67" t="n"/>
      <c r="F248" s="68">
        <f>IF(OR(C248="",E248=""),"",E248-Setup!$D$7)</f>
        <v/>
      </c>
      <c r="G248" s="69" t="n"/>
      <c r="H248" s="69" t="n"/>
      <c r="I248" s="36">
        <f>IF(OR(G248="",H248=""),"",TRIM(IF(HOUR(H248-G248)&gt;0,HOUR(H248-G248)&amp;" hr ","")&amp;IF(MINUTE(H248-G248)&gt;0,MINUTE(H248-G248)&amp;" min","")))</f>
        <v/>
      </c>
      <c r="J248" s="66" t="n"/>
      <c r="K248" s="70" t="n"/>
      <c r="L248" s="66" t="n"/>
      <c r="M248" s="66" t="n"/>
      <c r="N248" s="66" t="n"/>
      <c r="O248" s="36">
        <f>IF(C248="","",IF(AND(OR(L248="1-Urgent",L248="2-High"),M248="✓"),"DO FIRST",IF(M248="✓","SCHEDULE",IF(OR(L248="1-Urgent",L248="2-High"),"DELEGATE","DELETE"))))</f>
        <v/>
      </c>
      <c r="P248" s="65" t="n"/>
    </row>
    <row r="249">
      <c r="B249" s="71" t="n">
        <v>244</v>
      </c>
      <c r="C249" s="65" t="n"/>
      <c r="D249" s="66" t="n"/>
      <c r="E249" s="67" t="n"/>
      <c r="F249" s="72">
        <f>IF(OR(C249="",E249=""),"",E249-Setup!$D$7)</f>
        <v/>
      </c>
      <c r="G249" s="69" t="n"/>
      <c r="H249" s="69" t="n"/>
      <c r="I249" s="73">
        <f>IF(OR(G249="",H249=""),"",TRIM(IF(HOUR(H249-G249)&gt;0,HOUR(H249-G249)&amp;" hr ","")&amp;IF(MINUTE(H249-G249)&gt;0,MINUTE(H249-G249)&amp;" min","")))</f>
        <v/>
      </c>
      <c r="J249" s="66" t="n"/>
      <c r="K249" s="70" t="n"/>
      <c r="L249" s="66" t="n"/>
      <c r="M249" s="66" t="n"/>
      <c r="N249" s="66" t="n"/>
      <c r="O249" s="73">
        <f>IF(C249="","",IF(AND(OR(L249="1-Urgent",L249="2-High"),M249="✓"),"DO FIRST",IF(M249="✓","SCHEDULE",IF(OR(L249="1-Urgent",L249="2-High"),"DELEGATE","DELETE"))))</f>
        <v/>
      </c>
      <c r="P249" s="65" t="n"/>
    </row>
    <row r="250">
      <c r="B250" s="64" t="n">
        <v>245</v>
      </c>
      <c r="C250" s="65" t="n"/>
      <c r="D250" s="66" t="n"/>
      <c r="E250" s="67" t="n"/>
      <c r="F250" s="68">
        <f>IF(OR(C250="",E250=""),"",E250-Setup!$D$7)</f>
        <v/>
      </c>
      <c r="G250" s="69" t="n"/>
      <c r="H250" s="69" t="n"/>
      <c r="I250" s="36">
        <f>IF(OR(G250="",H250=""),"",TRIM(IF(HOUR(H250-G250)&gt;0,HOUR(H250-G250)&amp;" hr ","")&amp;IF(MINUTE(H250-G250)&gt;0,MINUTE(H250-G250)&amp;" min","")))</f>
        <v/>
      </c>
      <c r="J250" s="66" t="n"/>
      <c r="K250" s="70" t="n"/>
      <c r="L250" s="66" t="n"/>
      <c r="M250" s="66" t="n"/>
      <c r="N250" s="66" t="n"/>
      <c r="O250" s="36">
        <f>IF(C250="","",IF(AND(OR(L250="1-Urgent",L250="2-High"),M250="✓"),"DO FIRST",IF(M250="✓","SCHEDULE",IF(OR(L250="1-Urgent",L250="2-High"),"DELEGATE","DELETE"))))</f>
        <v/>
      </c>
      <c r="P250" s="65" t="n"/>
    </row>
    <row r="251">
      <c r="B251" s="71" t="n">
        <v>246</v>
      </c>
      <c r="C251" s="65" t="n"/>
      <c r="D251" s="66" t="n"/>
      <c r="E251" s="67" t="n"/>
      <c r="F251" s="72">
        <f>IF(OR(C251="",E251=""),"",E251-Setup!$D$7)</f>
        <v/>
      </c>
      <c r="G251" s="69" t="n"/>
      <c r="H251" s="69" t="n"/>
      <c r="I251" s="73">
        <f>IF(OR(G251="",H251=""),"",TRIM(IF(HOUR(H251-G251)&gt;0,HOUR(H251-G251)&amp;" hr ","")&amp;IF(MINUTE(H251-G251)&gt;0,MINUTE(H251-G251)&amp;" min","")))</f>
        <v/>
      </c>
      <c r="J251" s="66" t="n"/>
      <c r="K251" s="70" t="n"/>
      <c r="L251" s="66" t="n"/>
      <c r="M251" s="66" t="n"/>
      <c r="N251" s="66" t="n"/>
      <c r="O251" s="73">
        <f>IF(C251="","",IF(AND(OR(L251="1-Urgent",L251="2-High"),M251="✓"),"DO FIRST",IF(M251="✓","SCHEDULE",IF(OR(L251="1-Urgent",L251="2-High"),"DELEGATE","DELETE"))))</f>
        <v/>
      </c>
      <c r="P251" s="65" t="n"/>
    </row>
    <row r="252">
      <c r="B252" s="64" t="n">
        <v>247</v>
      </c>
      <c r="C252" s="65" t="n"/>
      <c r="D252" s="66" t="n"/>
      <c r="E252" s="67" t="n"/>
      <c r="F252" s="68">
        <f>IF(OR(C252="",E252=""),"",E252-Setup!$D$7)</f>
        <v/>
      </c>
      <c r="G252" s="69" t="n"/>
      <c r="H252" s="69" t="n"/>
      <c r="I252" s="36">
        <f>IF(OR(G252="",H252=""),"",TRIM(IF(HOUR(H252-G252)&gt;0,HOUR(H252-G252)&amp;" hr ","")&amp;IF(MINUTE(H252-G252)&gt;0,MINUTE(H252-G252)&amp;" min","")))</f>
        <v/>
      </c>
      <c r="J252" s="66" t="n"/>
      <c r="K252" s="70" t="n"/>
      <c r="L252" s="66" t="n"/>
      <c r="M252" s="66" t="n"/>
      <c r="N252" s="66" t="n"/>
      <c r="O252" s="36">
        <f>IF(C252="","",IF(AND(OR(L252="1-Urgent",L252="2-High"),M252="✓"),"DO FIRST",IF(M252="✓","SCHEDULE",IF(OR(L252="1-Urgent",L252="2-High"),"DELEGATE","DELETE"))))</f>
        <v/>
      </c>
      <c r="P252" s="65" t="n"/>
    </row>
    <row r="253">
      <c r="B253" s="71" t="n">
        <v>248</v>
      </c>
      <c r="C253" s="65" t="n"/>
      <c r="D253" s="66" t="n"/>
      <c r="E253" s="67" t="n"/>
      <c r="F253" s="72">
        <f>IF(OR(C253="",E253=""),"",E253-Setup!$D$7)</f>
        <v/>
      </c>
      <c r="G253" s="69" t="n"/>
      <c r="H253" s="69" t="n"/>
      <c r="I253" s="73">
        <f>IF(OR(G253="",H253=""),"",TRIM(IF(HOUR(H253-G253)&gt;0,HOUR(H253-G253)&amp;" hr ","")&amp;IF(MINUTE(H253-G253)&gt;0,MINUTE(H253-G253)&amp;" min","")))</f>
        <v/>
      </c>
      <c r="J253" s="66" t="n"/>
      <c r="K253" s="70" t="n"/>
      <c r="L253" s="66" t="n"/>
      <c r="M253" s="66" t="n"/>
      <c r="N253" s="66" t="n"/>
      <c r="O253" s="73">
        <f>IF(C253="","",IF(AND(OR(L253="1-Urgent",L253="2-High"),M253="✓"),"DO FIRST",IF(M253="✓","SCHEDULE",IF(OR(L253="1-Urgent",L253="2-High"),"DELEGATE","DELETE"))))</f>
        <v/>
      </c>
      <c r="P253" s="65" t="n"/>
    </row>
    <row r="254">
      <c r="B254" s="64" t="n">
        <v>249</v>
      </c>
      <c r="C254" s="65" t="n"/>
      <c r="D254" s="66" t="n"/>
      <c r="E254" s="67" t="n"/>
      <c r="F254" s="68">
        <f>IF(OR(C254="",E254=""),"",E254-Setup!$D$7)</f>
        <v/>
      </c>
      <c r="G254" s="69" t="n"/>
      <c r="H254" s="69" t="n"/>
      <c r="I254" s="36">
        <f>IF(OR(G254="",H254=""),"",TRIM(IF(HOUR(H254-G254)&gt;0,HOUR(H254-G254)&amp;" hr ","")&amp;IF(MINUTE(H254-G254)&gt;0,MINUTE(H254-G254)&amp;" min","")))</f>
        <v/>
      </c>
      <c r="J254" s="66" t="n"/>
      <c r="K254" s="70" t="n"/>
      <c r="L254" s="66" t="n"/>
      <c r="M254" s="66" t="n"/>
      <c r="N254" s="66" t="n"/>
      <c r="O254" s="36">
        <f>IF(C254="","",IF(AND(OR(L254="1-Urgent",L254="2-High"),M254="✓"),"DO FIRST",IF(M254="✓","SCHEDULE",IF(OR(L254="1-Urgent",L254="2-High"),"DELEGATE","DELETE"))))</f>
        <v/>
      </c>
      <c r="P254" s="65" t="n"/>
    </row>
    <row r="255">
      <c r="B255" s="71" t="n">
        <v>250</v>
      </c>
      <c r="C255" s="65" t="n"/>
      <c r="D255" s="66" t="n"/>
      <c r="E255" s="67" t="n"/>
      <c r="F255" s="72">
        <f>IF(OR(C255="",E255=""),"",E255-Setup!$D$7)</f>
        <v/>
      </c>
      <c r="G255" s="69" t="n"/>
      <c r="H255" s="69" t="n"/>
      <c r="I255" s="73">
        <f>IF(OR(G255="",H255=""),"",TRIM(IF(HOUR(H255-G255)&gt;0,HOUR(H255-G255)&amp;" hr ","")&amp;IF(MINUTE(H255-G255)&gt;0,MINUTE(H255-G255)&amp;" min","")))</f>
        <v/>
      </c>
      <c r="J255" s="66" t="n"/>
      <c r="K255" s="70" t="n"/>
      <c r="L255" s="66" t="n"/>
      <c r="M255" s="66" t="n"/>
      <c r="N255" s="66" t="n"/>
      <c r="O255" s="73">
        <f>IF(C255="","",IF(AND(OR(L255="1-Urgent",L255="2-High"),M255="✓"),"DO FIRST",IF(M255="✓","SCHEDULE",IF(OR(L255="1-Urgent",L255="2-High"),"DELEGATE","DELETE"))))</f>
        <v/>
      </c>
      <c r="P255" s="65" t="n"/>
    </row>
    <row r="256">
      <c r="B256" s="64" t="n">
        <v>251</v>
      </c>
      <c r="C256" s="65" t="n"/>
      <c r="D256" s="66" t="n"/>
      <c r="E256" s="67" t="n"/>
      <c r="F256" s="68">
        <f>IF(OR(C256="",E256=""),"",E256-Setup!$D$7)</f>
        <v/>
      </c>
      <c r="G256" s="69" t="n"/>
      <c r="H256" s="69" t="n"/>
      <c r="I256" s="36">
        <f>IF(OR(G256="",H256=""),"",TRIM(IF(HOUR(H256-G256)&gt;0,HOUR(H256-G256)&amp;" hr ","")&amp;IF(MINUTE(H256-G256)&gt;0,MINUTE(H256-G256)&amp;" min","")))</f>
        <v/>
      </c>
      <c r="J256" s="66" t="n"/>
      <c r="K256" s="70" t="n"/>
      <c r="L256" s="66" t="n"/>
      <c r="M256" s="66" t="n"/>
      <c r="N256" s="66" t="n"/>
      <c r="O256" s="36">
        <f>IF(C256="","",IF(AND(OR(L256="1-Urgent",L256="2-High"),M256="✓"),"DO FIRST",IF(M256="✓","SCHEDULE",IF(OR(L256="1-Urgent",L256="2-High"),"DELEGATE","DELETE"))))</f>
        <v/>
      </c>
      <c r="P256" s="65" t="n"/>
    </row>
    <row r="257">
      <c r="B257" s="71" t="n">
        <v>252</v>
      </c>
      <c r="C257" s="65" t="n"/>
      <c r="D257" s="66" t="n"/>
      <c r="E257" s="67" t="n"/>
      <c r="F257" s="72">
        <f>IF(OR(C257="",E257=""),"",E257-Setup!$D$7)</f>
        <v/>
      </c>
      <c r="G257" s="69" t="n"/>
      <c r="H257" s="69" t="n"/>
      <c r="I257" s="73">
        <f>IF(OR(G257="",H257=""),"",TRIM(IF(HOUR(H257-G257)&gt;0,HOUR(H257-G257)&amp;" hr ","")&amp;IF(MINUTE(H257-G257)&gt;0,MINUTE(H257-G257)&amp;" min","")))</f>
        <v/>
      </c>
      <c r="J257" s="66" t="n"/>
      <c r="K257" s="70" t="n"/>
      <c r="L257" s="66" t="n"/>
      <c r="M257" s="66" t="n"/>
      <c r="N257" s="66" t="n"/>
      <c r="O257" s="73">
        <f>IF(C257="","",IF(AND(OR(L257="1-Urgent",L257="2-High"),M257="✓"),"DO FIRST",IF(M257="✓","SCHEDULE",IF(OR(L257="1-Urgent",L257="2-High"),"DELEGATE","DELETE"))))</f>
        <v/>
      </c>
      <c r="P257" s="65" t="n"/>
    </row>
    <row r="258">
      <c r="B258" s="64" t="n">
        <v>253</v>
      </c>
      <c r="C258" s="65" t="n"/>
      <c r="D258" s="66" t="n"/>
      <c r="E258" s="67" t="n"/>
      <c r="F258" s="68">
        <f>IF(OR(C258="",E258=""),"",E258-Setup!$D$7)</f>
        <v/>
      </c>
      <c r="G258" s="69" t="n"/>
      <c r="H258" s="69" t="n"/>
      <c r="I258" s="36">
        <f>IF(OR(G258="",H258=""),"",TRIM(IF(HOUR(H258-G258)&gt;0,HOUR(H258-G258)&amp;" hr ","")&amp;IF(MINUTE(H258-G258)&gt;0,MINUTE(H258-G258)&amp;" min","")))</f>
        <v/>
      </c>
      <c r="J258" s="66" t="n"/>
      <c r="K258" s="70" t="n"/>
      <c r="L258" s="66" t="n"/>
      <c r="M258" s="66" t="n"/>
      <c r="N258" s="66" t="n"/>
      <c r="O258" s="36">
        <f>IF(C258="","",IF(AND(OR(L258="1-Urgent",L258="2-High"),M258="✓"),"DO FIRST",IF(M258="✓","SCHEDULE",IF(OR(L258="1-Urgent",L258="2-High"),"DELEGATE","DELETE"))))</f>
        <v/>
      </c>
      <c r="P258" s="65" t="n"/>
    </row>
    <row r="259">
      <c r="B259" s="71" t="n">
        <v>254</v>
      </c>
      <c r="C259" s="65" t="n"/>
      <c r="D259" s="66" t="n"/>
      <c r="E259" s="67" t="n"/>
      <c r="F259" s="72">
        <f>IF(OR(C259="",E259=""),"",E259-Setup!$D$7)</f>
        <v/>
      </c>
      <c r="G259" s="69" t="n"/>
      <c r="H259" s="69" t="n"/>
      <c r="I259" s="73">
        <f>IF(OR(G259="",H259=""),"",TRIM(IF(HOUR(H259-G259)&gt;0,HOUR(H259-G259)&amp;" hr ","")&amp;IF(MINUTE(H259-G259)&gt;0,MINUTE(H259-G259)&amp;" min","")))</f>
        <v/>
      </c>
      <c r="J259" s="66" t="n"/>
      <c r="K259" s="70" t="n"/>
      <c r="L259" s="66" t="n"/>
      <c r="M259" s="66" t="n"/>
      <c r="N259" s="66" t="n"/>
      <c r="O259" s="73">
        <f>IF(C259="","",IF(AND(OR(L259="1-Urgent",L259="2-High"),M259="✓"),"DO FIRST",IF(M259="✓","SCHEDULE",IF(OR(L259="1-Urgent",L259="2-High"),"DELEGATE","DELETE"))))</f>
        <v/>
      </c>
      <c r="P259" s="65" t="n"/>
    </row>
    <row r="260">
      <c r="B260" s="64" t="n">
        <v>255</v>
      </c>
      <c r="C260" s="65" t="n"/>
      <c r="D260" s="66" t="n"/>
      <c r="E260" s="67" t="n"/>
      <c r="F260" s="68">
        <f>IF(OR(C260="",E260=""),"",E260-Setup!$D$7)</f>
        <v/>
      </c>
      <c r="G260" s="69" t="n"/>
      <c r="H260" s="69" t="n"/>
      <c r="I260" s="36">
        <f>IF(OR(G260="",H260=""),"",TRIM(IF(HOUR(H260-G260)&gt;0,HOUR(H260-G260)&amp;" hr ","")&amp;IF(MINUTE(H260-G260)&gt;0,MINUTE(H260-G260)&amp;" min","")))</f>
        <v/>
      </c>
      <c r="J260" s="66" t="n"/>
      <c r="K260" s="70" t="n"/>
      <c r="L260" s="66" t="n"/>
      <c r="M260" s="66" t="n"/>
      <c r="N260" s="66" t="n"/>
      <c r="O260" s="36">
        <f>IF(C260="","",IF(AND(OR(L260="1-Urgent",L260="2-High"),M260="✓"),"DO FIRST",IF(M260="✓","SCHEDULE",IF(OR(L260="1-Urgent",L260="2-High"),"DELEGATE","DELETE"))))</f>
        <v/>
      </c>
      <c r="P260" s="65" t="n"/>
    </row>
    <row r="261">
      <c r="B261" s="71" t="n">
        <v>256</v>
      </c>
      <c r="C261" s="65" t="n"/>
      <c r="D261" s="66" t="n"/>
      <c r="E261" s="67" t="n"/>
      <c r="F261" s="72">
        <f>IF(OR(C261="",E261=""),"",E261-Setup!$D$7)</f>
        <v/>
      </c>
      <c r="G261" s="69" t="n"/>
      <c r="H261" s="69" t="n"/>
      <c r="I261" s="73">
        <f>IF(OR(G261="",H261=""),"",TRIM(IF(HOUR(H261-G261)&gt;0,HOUR(H261-G261)&amp;" hr ","")&amp;IF(MINUTE(H261-G261)&gt;0,MINUTE(H261-G261)&amp;" min","")))</f>
        <v/>
      </c>
      <c r="J261" s="66" t="n"/>
      <c r="K261" s="70" t="n"/>
      <c r="L261" s="66" t="n"/>
      <c r="M261" s="66" t="n"/>
      <c r="N261" s="66" t="n"/>
      <c r="O261" s="73">
        <f>IF(C261="","",IF(AND(OR(L261="1-Urgent",L261="2-High"),M261="✓"),"DO FIRST",IF(M261="✓","SCHEDULE",IF(OR(L261="1-Urgent",L261="2-High"),"DELEGATE","DELETE"))))</f>
        <v/>
      </c>
      <c r="P261" s="65" t="n"/>
    </row>
    <row r="262">
      <c r="B262" s="64" t="n">
        <v>257</v>
      </c>
      <c r="C262" s="65" t="n"/>
      <c r="D262" s="66" t="n"/>
      <c r="E262" s="67" t="n"/>
      <c r="F262" s="68">
        <f>IF(OR(C262="",E262=""),"",E262-Setup!$D$7)</f>
        <v/>
      </c>
      <c r="G262" s="69" t="n"/>
      <c r="H262" s="69" t="n"/>
      <c r="I262" s="36">
        <f>IF(OR(G262="",H262=""),"",TRIM(IF(HOUR(H262-G262)&gt;0,HOUR(H262-G262)&amp;" hr ","")&amp;IF(MINUTE(H262-G262)&gt;0,MINUTE(H262-G262)&amp;" min","")))</f>
        <v/>
      </c>
      <c r="J262" s="66" t="n"/>
      <c r="K262" s="70" t="n"/>
      <c r="L262" s="66" t="n"/>
      <c r="M262" s="66" t="n"/>
      <c r="N262" s="66" t="n"/>
      <c r="O262" s="36">
        <f>IF(C262="","",IF(AND(OR(L262="1-Urgent",L262="2-High"),M262="✓"),"DO FIRST",IF(M262="✓","SCHEDULE",IF(OR(L262="1-Urgent",L262="2-High"),"DELEGATE","DELETE"))))</f>
        <v/>
      </c>
      <c r="P262" s="65" t="n"/>
    </row>
    <row r="263">
      <c r="B263" s="71" t="n">
        <v>258</v>
      </c>
      <c r="C263" s="65" t="n"/>
      <c r="D263" s="66" t="n"/>
      <c r="E263" s="67" t="n"/>
      <c r="F263" s="72">
        <f>IF(OR(C263="",E263=""),"",E263-Setup!$D$7)</f>
        <v/>
      </c>
      <c r="G263" s="69" t="n"/>
      <c r="H263" s="69" t="n"/>
      <c r="I263" s="73">
        <f>IF(OR(G263="",H263=""),"",TRIM(IF(HOUR(H263-G263)&gt;0,HOUR(H263-G263)&amp;" hr ","")&amp;IF(MINUTE(H263-G263)&gt;0,MINUTE(H263-G263)&amp;" min","")))</f>
        <v/>
      </c>
      <c r="J263" s="66" t="n"/>
      <c r="K263" s="70" t="n"/>
      <c r="L263" s="66" t="n"/>
      <c r="M263" s="66" t="n"/>
      <c r="N263" s="66" t="n"/>
      <c r="O263" s="73">
        <f>IF(C263="","",IF(AND(OR(L263="1-Urgent",L263="2-High"),M263="✓"),"DO FIRST",IF(M263="✓","SCHEDULE",IF(OR(L263="1-Urgent",L263="2-High"),"DELEGATE","DELETE"))))</f>
        <v/>
      </c>
      <c r="P263" s="65" t="n"/>
    </row>
    <row r="264">
      <c r="B264" s="64" t="n">
        <v>259</v>
      </c>
      <c r="C264" s="65" t="n"/>
      <c r="D264" s="66" t="n"/>
      <c r="E264" s="67" t="n"/>
      <c r="F264" s="68">
        <f>IF(OR(C264="",E264=""),"",E264-Setup!$D$7)</f>
        <v/>
      </c>
      <c r="G264" s="69" t="n"/>
      <c r="H264" s="69" t="n"/>
      <c r="I264" s="36">
        <f>IF(OR(G264="",H264=""),"",TRIM(IF(HOUR(H264-G264)&gt;0,HOUR(H264-G264)&amp;" hr ","")&amp;IF(MINUTE(H264-G264)&gt;0,MINUTE(H264-G264)&amp;" min","")))</f>
        <v/>
      </c>
      <c r="J264" s="66" t="n"/>
      <c r="K264" s="70" t="n"/>
      <c r="L264" s="66" t="n"/>
      <c r="M264" s="66" t="n"/>
      <c r="N264" s="66" t="n"/>
      <c r="O264" s="36">
        <f>IF(C264="","",IF(AND(OR(L264="1-Urgent",L264="2-High"),M264="✓"),"DO FIRST",IF(M264="✓","SCHEDULE",IF(OR(L264="1-Urgent",L264="2-High"),"DELEGATE","DELETE"))))</f>
        <v/>
      </c>
      <c r="P264" s="65" t="n"/>
    </row>
    <row r="265">
      <c r="B265" s="71" t="n">
        <v>260</v>
      </c>
      <c r="C265" s="65" t="n"/>
      <c r="D265" s="66" t="n"/>
      <c r="E265" s="67" t="n"/>
      <c r="F265" s="72">
        <f>IF(OR(C265="",E265=""),"",E265-Setup!$D$7)</f>
        <v/>
      </c>
      <c r="G265" s="69" t="n"/>
      <c r="H265" s="69" t="n"/>
      <c r="I265" s="73">
        <f>IF(OR(G265="",H265=""),"",TRIM(IF(HOUR(H265-G265)&gt;0,HOUR(H265-G265)&amp;" hr ","")&amp;IF(MINUTE(H265-G265)&gt;0,MINUTE(H265-G265)&amp;" min","")))</f>
        <v/>
      </c>
      <c r="J265" s="66" t="n"/>
      <c r="K265" s="70" t="n"/>
      <c r="L265" s="66" t="n"/>
      <c r="M265" s="66" t="n"/>
      <c r="N265" s="66" t="n"/>
      <c r="O265" s="73">
        <f>IF(C265="","",IF(AND(OR(L265="1-Urgent",L265="2-High"),M265="✓"),"DO FIRST",IF(M265="✓","SCHEDULE",IF(OR(L265="1-Urgent",L265="2-High"),"DELEGATE","DELETE"))))</f>
        <v/>
      </c>
      <c r="P265" s="65" t="n"/>
    </row>
    <row r="266">
      <c r="B266" s="64" t="n">
        <v>261</v>
      </c>
      <c r="C266" s="65" t="n"/>
      <c r="D266" s="66" t="n"/>
      <c r="E266" s="67" t="n"/>
      <c r="F266" s="68">
        <f>IF(OR(C266="",E266=""),"",E266-Setup!$D$7)</f>
        <v/>
      </c>
      <c r="G266" s="69" t="n"/>
      <c r="H266" s="69" t="n"/>
      <c r="I266" s="36">
        <f>IF(OR(G266="",H266=""),"",TRIM(IF(HOUR(H266-G266)&gt;0,HOUR(H266-G266)&amp;" hr ","")&amp;IF(MINUTE(H266-G266)&gt;0,MINUTE(H266-G266)&amp;" min","")))</f>
        <v/>
      </c>
      <c r="J266" s="66" t="n"/>
      <c r="K266" s="70" t="n"/>
      <c r="L266" s="66" t="n"/>
      <c r="M266" s="66" t="n"/>
      <c r="N266" s="66" t="n"/>
      <c r="O266" s="36">
        <f>IF(C266="","",IF(AND(OR(L266="1-Urgent",L266="2-High"),M266="✓"),"DO FIRST",IF(M266="✓","SCHEDULE",IF(OR(L266="1-Urgent",L266="2-High"),"DELEGATE","DELETE"))))</f>
        <v/>
      </c>
      <c r="P266" s="65" t="n"/>
    </row>
    <row r="267">
      <c r="B267" s="71" t="n">
        <v>262</v>
      </c>
      <c r="C267" s="65" t="n"/>
      <c r="D267" s="66" t="n"/>
      <c r="E267" s="67" t="n"/>
      <c r="F267" s="72">
        <f>IF(OR(C267="",E267=""),"",E267-Setup!$D$7)</f>
        <v/>
      </c>
      <c r="G267" s="69" t="n"/>
      <c r="H267" s="69" t="n"/>
      <c r="I267" s="73">
        <f>IF(OR(G267="",H267=""),"",TRIM(IF(HOUR(H267-G267)&gt;0,HOUR(H267-G267)&amp;" hr ","")&amp;IF(MINUTE(H267-G267)&gt;0,MINUTE(H267-G267)&amp;" min","")))</f>
        <v/>
      </c>
      <c r="J267" s="66" t="n"/>
      <c r="K267" s="70" t="n"/>
      <c r="L267" s="66" t="n"/>
      <c r="M267" s="66" t="n"/>
      <c r="N267" s="66" t="n"/>
      <c r="O267" s="73">
        <f>IF(C267="","",IF(AND(OR(L267="1-Urgent",L267="2-High"),M267="✓"),"DO FIRST",IF(M267="✓","SCHEDULE",IF(OR(L267="1-Urgent",L267="2-High"),"DELEGATE","DELETE"))))</f>
        <v/>
      </c>
      <c r="P267" s="65" t="n"/>
    </row>
    <row r="268">
      <c r="B268" s="64" t="n">
        <v>263</v>
      </c>
      <c r="C268" s="65" t="n"/>
      <c r="D268" s="66" t="n"/>
      <c r="E268" s="67" t="n"/>
      <c r="F268" s="68">
        <f>IF(OR(C268="",E268=""),"",E268-Setup!$D$7)</f>
        <v/>
      </c>
      <c r="G268" s="69" t="n"/>
      <c r="H268" s="69" t="n"/>
      <c r="I268" s="36">
        <f>IF(OR(G268="",H268=""),"",TRIM(IF(HOUR(H268-G268)&gt;0,HOUR(H268-G268)&amp;" hr ","")&amp;IF(MINUTE(H268-G268)&gt;0,MINUTE(H268-G268)&amp;" min","")))</f>
        <v/>
      </c>
      <c r="J268" s="66" t="n"/>
      <c r="K268" s="70" t="n"/>
      <c r="L268" s="66" t="n"/>
      <c r="M268" s="66" t="n"/>
      <c r="N268" s="66" t="n"/>
      <c r="O268" s="36">
        <f>IF(C268="","",IF(AND(OR(L268="1-Urgent",L268="2-High"),M268="✓"),"DO FIRST",IF(M268="✓","SCHEDULE",IF(OR(L268="1-Urgent",L268="2-High"),"DELEGATE","DELETE"))))</f>
        <v/>
      </c>
      <c r="P268" s="65" t="n"/>
    </row>
    <row r="269">
      <c r="B269" s="71" t="n">
        <v>264</v>
      </c>
      <c r="C269" s="65" t="n"/>
      <c r="D269" s="66" t="n"/>
      <c r="E269" s="67" t="n"/>
      <c r="F269" s="72">
        <f>IF(OR(C269="",E269=""),"",E269-Setup!$D$7)</f>
        <v/>
      </c>
      <c r="G269" s="69" t="n"/>
      <c r="H269" s="69" t="n"/>
      <c r="I269" s="73">
        <f>IF(OR(G269="",H269=""),"",TRIM(IF(HOUR(H269-G269)&gt;0,HOUR(H269-G269)&amp;" hr ","")&amp;IF(MINUTE(H269-G269)&gt;0,MINUTE(H269-G269)&amp;" min","")))</f>
        <v/>
      </c>
      <c r="J269" s="66" t="n"/>
      <c r="K269" s="70" t="n"/>
      <c r="L269" s="66" t="n"/>
      <c r="M269" s="66" t="n"/>
      <c r="N269" s="66" t="n"/>
      <c r="O269" s="73">
        <f>IF(C269="","",IF(AND(OR(L269="1-Urgent",L269="2-High"),M269="✓"),"DO FIRST",IF(M269="✓","SCHEDULE",IF(OR(L269="1-Urgent",L269="2-High"),"DELEGATE","DELETE"))))</f>
        <v/>
      </c>
      <c r="P269" s="65" t="n"/>
    </row>
    <row r="270">
      <c r="B270" s="64" t="n">
        <v>265</v>
      </c>
      <c r="C270" s="65" t="n"/>
      <c r="D270" s="66" t="n"/>
      <c r="E270" s="67" t="n"/>
      <c r="F270" s="68">
        <f>IF(OR(C270="",E270=""),"",E270-Setup!$D$7)</f>
        <v/>
      </c>
      <c r="G270" s="69" t="n"/>
      <c r="H270" s="69" t="n"/>
      <c r="I270" s="36">
        <f>IF(OR(G270="",H270=""),"",TRIM(IF(HOUR(H270-G270)&gt;0,HOUR(H270-G270)&amp;" hr ","")&amp;IF(MINUTE(H270-G270)&gt;0,MINUTE(H270-G270)&amp;" min","")))</f>
        <v/>
      </c>
      <c r="J270" s="66" t="n"/>
      <c r="K270" s="70" t="n"/>
      <c r="L270" s="66" t="n"/>
      <c r="M270" s="66" t="n"/>
      <c r="N270" s="66" t="n"/>
      <c r="O270" s="36">
        <f>IF(C270="","",IF(AND(OR(L270="1-Urgent",L270="2-High"),M270="✓"),"DO FIRST",IF(M270="✓","SCHEDULE",IF(OR(L270="1-Urgent",L270="2-High"),"DELEGATE","DELETE"))))</f>
        <v/>
      </c>
      <c r="P270" s="65" t="n"/>
    </row>
    <row r="271">
      <c r="B271" s="71" t="n">
        <v>266</v>
      </c>
      <c r="C271" s="65" t="n"/>
      <c r="D271" s="66" t="n"/>
      <c r="E271" s="67" t="n"/>
      <c r="F271" s="72">
        <f>IF(OR(C271="",E271=""),"",E271-Setup!$D$7)</f>
        <v/>
      </c>
      <c r="G271" s="69" t="n"/>
      <c r="H271" s="69" t="n"/>
      <c r="I271" s="73">
        <f>IF(OR(G271="",H271=""),"",TRIM(IF(HOUR(H271-G271)&gt;0,HOUR(H271-G271)&amp;" hr ","")&amp;IF(MINUTE(H271-G271)&gt;0,MINUTE(H271-G271)&amp;" min","")))</f>
        <v/>
      </c>
      <c r="J271" s="66" t="n"/>
      <c r="K271" s="70" t="n"/>
      <c r="L271" s="66" t="n"/>
      <c r="M271" s="66" t="n"/>
      <c r="N271" s="66" t="n"/>
      <c r="O271" s="73">
        <f>IF(C271="","",IF(AND(OR(L271="1-Urgent",L271="2-High"),M271="✓"),"DO FIRST",IF(M271="✓","SCHEDULE",IF(OR(L271="1-Urgent",L271="2-High"),"DELEGATE","DELETE"))))</f>
        <v/>
      </c>
      <c r="P271" s="65" t="n"/>
    </row>
    <row r="272">
      <c r="B272" s="64" t="n">
        <v>267</v>
      </c>
      <c r="C272" s="65" t="n"/>
      <c r="D272" s="66" t="n"/>
      <c r="E272" s="67" t="n"/>
      <c r="F272" s="68">
        <f>IF(OR(C272="",E272=""),"",E272-Setup!$D$7)</f>
        <v/>
      </c>
      <c r="G272" s="69" t="n"/>
      <c r="H272" s="69" t="n"/>
      <c r="I272" s="36">
        <f>IF(OR(G272="",H272=""),"",TRIM(IF(HOUR(H272-G272)&gt;0,HOUR(H272-G272)&amp;" hr ","")&amp;IF(MINUTE(H272-G272)&gt;0,MINUTE(H272-G272)&amp;" min","")))</f>
        <v/>
      </c>
      <c r="J272" s="66" t="n"/>
      <c r="K272" s="70" t="n"/>
      <c r="L272" s="66" t="n"/>
      <c r="M272" s="66" t="n"/>
      <c r="N272" s="66" t="n"/>
      <c r="O272" s="36">
        <f>IF(C272="","",IF(AND(OR(L272="1-Urgent",L272="2-High"),M272="✓"),"DO FIRST",IF(M272="✓","SCHEDULE",IF(OR(L272="1-Urgent",L272="2-High"),"DELEGATE","DELETE"))))</f>
        <v/>
      </c>
      <c r="P272" s="65" t="n"/>
    </row>
    <row r="273">
      <c r="B273" s="71" t="n">
        <v>268</v>
      </c>
      <c r="C273" s="65" t="n"/>
      <c r="D273" s="66" t="n"/>
      <c r="E273" s="67" t="n"/>
      <c r="F273" s="72">
        <f>IF(OR(C273="",E273=""),"",E273-Setup!$D$7)</f>
        <v/>
      </c>
      <c r="G273" s="69" t="n"/>
      <c r="H273" s="69" t="n"/>
      <c r="I273" s="73">
        <f>IF(OR(G273="",H273=""),"",TRIM(IF(HOUR(H273-G273)&gt;0,HOUR(H273-G273)&amp;" hr ","")&amp;IF(MINUTE(H273-G273)&gt;0,MINUTE(H273-G273)&amp;" min","")))</f>
        <v/>
      </c>
      <c r="J273" s="66" t="n"/>
      <c r="K273" s="70" t="n"/>
      <c r="L273" s="66" t="n"/>
      <c r="M273" s="66" t="n"/>
      <c r="N273" s="66" t="n"/>
      <c r="O273" s="73">
        <f>IF(C273="","",IF(AND(OR(L273="1-Urgent",L273="2-High"),M273="✓"),"DO FIRST",IF(M273="✓","SCHEDULE",IF(OR(L273="1-Urgent",L273="2-High"),"DELEGATE","DELETE"))))</f>
        <v/>
      </c>
      <c r="P273" s="65" t="n"/>
    </row>
    <row r="274">
      <c r="B274" s="64" t="n">
        <v>269</v>
      </c>
      <c r="C274" s="65" t="n"/>
      <c r="D274" s="66" t="n"/>
      <c r="E274" s="67" t="n"/>
      <c r="F274" s="68">
        <f>IF(OR(C274="",E274=""),"",E274-Setup!$D$7)</f>
        <v/>
      </c>
      <c r="G274" s="69" t="n"/>
      <c r="H274" s="69" t="n"/>
      <c r="I274" s="36">
        <f>IF(OR(G274="",H274=""),"",TRIM(IF(HOUR(H274-G274)&gt;0,HOUR(H274-G274)&amp;" hr ","")&amp;IF(MINUTE(H274-G274)&gt;0,MINUTE(H274-G274)&amp;" min","")))</f>
        <v/>
      </c>
      <c r="J274" s="66" t="n"/>
      <c r="K274" s="70" t="n"/>
      <c r="L274" s="66" t="n"/>
      <c r="M274" s="66" t="n"/>
      <c r="N274" s="66" t="n"/>
      <c r="O274" s="36">
        <f>IF(C274="","",IF(AND(OR(L274="1-Urgent",L274="2-High"),M274="✓"),"DO FIRST",IF(M274="✓","SCHEDULE",IF(OR(L274="1-Urgent",L274="2-High"),"DELEGATE","DELETE"))))</f>
        <v/>
      </c>
      <c r="P274" s="65" t="n"/>
    </row>
    <row r="275">
      <c r="B275" s="71" t="n">
        <v>270</v>
      </c>
      <c r="C275" s="65" t="n"/>
      <c r="D275" s="66" t="n"/>
      <c r="E275" s="67" t="n"/>
      <c r="F275" s="72">
        <f>IF(OR(C275="",E275=""),"",E275-Setup!$D$7)</f>
        <v/>
      </c>
      <c r="G275" s="69" t="n"/>
      <c r="H275" s="69" t="n"/>
      <c r="I275" s="73">
        <f>IF(OR(G275="",H275=""),"",TRIM(IF(HOUR(H275-G275)&gt;0,HOUR(H275-G275)&amp;" hr ","")&amp;IF(MINUTE(H275-G275)&gt;0,MINUTE(H275-G275)&amp;" min","")))</f>
        <v/>
      </c>
      <c r="J275" s="66" t="n"/>
      <c r="K275" s="70" t="n"/>
      <c r="L275" s="66" t="n"/>
      <c r="M275" s="66" t="n"/>
      <c r="N275" s="66" t="n"/>
      <c r="O275" s="73">
        <f>IF(C275="","",IF(AND(OR(L275="1-Urgent",L275="2-High"),M275="✓"),"DO FIRST",IF(M275="✓","SCHEDULE",IF(OR(L275="1-Urgent",L275="2-High"),"DELEGATE","DELETE"))))</f>
        <v/>
      </c>
      <c r="P275" s="65" t="n"/>
    </row>
    <row r="276">
      <c r="B276" s="64" t="n">
        <v>271</v>
      </c>
      <c r="C276" s="65" t="n"/>
      <c r="D276" s="66" t="n"/>
      <c r="E276" s="67" t="n"/>
      <c r="F276" s="68">
        <f>IF(OR(C276="",E276=""),"",E276-Setup!$D$7)</f>
        <v/>
      </c>
      <c r="G276" s="69" t="n"/>
      <c r="H276" s="69" t="n"/>
      <c r="I276" s="36">
        <f>IF(OR(G276="",H276=""),"",TRIM(IF(HOUR(H276-G276)&gt;0,HOUR(H276-G276)&amp;" hr ","")&amp;IF(MINUTE(H276-G276)&gt;0,MINUTE(H276-G276)&amp;" min","")))</f>
        <v/>
      </c>
      <c r="J276" s="66" t="n"/>
      <c r="K276" s="70" t="n"/>
      <c r="L276" s="66" t="n"/>
      <c r="M276" s="66" t="n"/>
      <c r="N276" s="66" t="n"/>
      <c r="O276" s="36">
        <f>IF(C276="","",IF(AND(OR(L276="1-Urgent",L276="2-High"),M276="✓"),"DO FIRST",IF(M276="✓","SCHEDULE",IF(OR(L276="1-Urgent",L276="2-High"),"DELEGATE","DELETE"))))</f>
        <v/>
      </c>
      <c r="P276" s="65" t="n"/>
    </row>
    <row r="277">
      <c r="B277" s="71" t="n">
        <v>272</v>
      </c>
      <c r="C277" s="65" t="n"/>
      <c r="D277" s="66" t="n"/>
      <c r="E277" s="67" t="n"/>
      <c r="F277" s="72">
        <f>IF(OR(C277="",E277=""),"",E277-Setup!$D$7)</f>
        <v/>
      </c>
      <c r="G277" s="69" t="n"/>
      <c r="H277" s="69" t="n"/>
      <c r="I277" s="73">
        <f>IF(OR(G277="",H277=""),"",TRIM(IF(HOUR(H277-G277)&gt;0,HOUR(H277-G277)&amp;" hr ","")&amp;IF(MINUTE(H277-G277)&gt;0,MINUTE(H277-G277)&amp;" min","")))</f>
        <v/>
      </c>
      <c r="J277" s="66" t="n"/>
      <c r="K277" s="70" t="n"/>
      <c r="L277" s="66" t="n"/>
      <c r="M277" s="66" t="n"/>
      <c r="N277" s="66" t="n"/>
      <c r="O277" s="73">
        <f>IF(C277="","",IF(AND(OR(L277="1-Urgent",L277="2-High"),M277="✓"),"DO FIRST",IF(M277="✓","SCHEDULE",IF(OR(L277="1-Urgent",L277="2-High"),"DELEGATE","DELETE"))))</f>
        <v/>
      </c>
      <c r="P277" s="65" t="n"/>
    </row>
    <row r="278">
      <c r="B278" s="64" t="n">
        <v>273</v>
      </c>
      <c r="C278" s="65" t="n"/>
      <c r="D278" s="66" t="n"/>
      <c r="E278" s="67" t="n"/>
      <c r="F278" s="68">
        <f>IF(OR(C278="",E278=""),"",E278-Setup!$D$7)</f>
        <v/>
      </c>
      <c r="G278" s="69" t="n"/>
      <c r="H278" s="69" t="n"/>
      <c r="I278" s="36">
        <f>IF(OR(G278="",H278=""),"",TRIM(IF(HOUR(H278-G278)&gt;0,HOUR(H278-G278)&amp;" hr ","")&amp;IF(MINUTE(H278-G278)&gt;0,MINUTE(H278-G278)&amp;" min","")))</f>
        <v/>
      </c>
      <c r="J278" s="66" t="n"/>
      <c r="K278" s="70" t="n"/>
      <c r="L278" s="66" t="n"/>
      <c r="M278" s="66" t="n"/>
      <c r="N278" s="66" t="n"/>
      <c r="O278" s="36">
        <f>IF(C278="","",IF(AND(OR(L278="1-Urgent",L278="2-High"),M278="✓"),"DO FIRST",IF(M278="✓","SCHEDULE",IF(OR(L278="1-Urgent",L278="2-High"),"DELEGATE","DELETE"))))</f>
        <v/>
      </c>
      <c r="P278" s="65" t="n"/>
    </row>
    <row r="279">
      <c r="B279" s="71" t="n">
        <v>274</v>
      </c>
      <c r="C279" s="65" t="n"/>
      <c r="D279" s="66" t="n"/>
      <c r="E279" s="67" t="n"/>
      <c r="F279" s="72">
        <f>IF(OR(C279="",E279=""),"",E279-Setup!$D$7)</f>
        <v/>
      </c>
      <c r="G279" s="69" t="n"/>
      <c r="H279" s="69" t="n"/>
      <c r="I279" s="73">
        <f>IF(OR(G279="",H279=""),"",TRIM(IF(HOUR(H279-G279)&gt;0,HOUR(H279-G279)&amp;" hr ","")&amp;IF(MINUTE(H279-G279)&gt;0,MINUTE(H279-G279)&amp;" min","")))</f>
        <v/>
      </c>
      <c r="J279" s="66" t="n"/>
      <c r="K279" s="70" t="n"/>
      <c r="L279" s="66" t="n"/>
      <c r="M279" s="66" t="n"/>
      <c r="N279" s="66" t="n"/>
      <c r="O279" s="73">
        <f>IF(C279="","",IF(AND(OR(L279="1-Urgent",L279="2-High"),M279="✓"),"DO FIRST",IF(M279="✓","SCHEDULE",IF(OR(L279="1-Urgent",L279="2-High"),"DELEGATE","DELETE"))))</f>
        <v/>
      </c>
      <c r="P279" s="65" t="n"/>
    </row>
    <row r="280">
      <c r="B280" s="64" t="n">
        <v>275</v>
      </c>
      <c r="C280" s="65" t="n"/>
      <c r="D280" s="66" t="n"/>
      <c r="E280" s="67" t="n"/>
      <c r="F280" s="68">
        <f>IF(OR(C280="",E280=""),"",E280-Setup!$D$7)</f>
        <v/>
      </c>
      <c r="G280" s="69" t="n"/>
      <c r="H280" s="69" t="n"/>
      <c r="I280" s="36">
        <f>IF(OR(G280="",H280=""),"",TRIM(IF(HOUR(H280-G280)&gt;0,HOUR(H280-G280)&amp;" hr ","")&amp;IF(MINUTE(H280-G280)&gt;0,MINUTE(H280-G280)&amp;" min","")))</f>
        <v/>
      </c>
      <c r="J280" s="66" t="n"/>
      <c r="K280" s="70" t="n"/>
      <c r="L280" s="66" t="n"/>
      <c r="M280" s="66" t="n"/>
      <c r="N280" s="66" t="n"/>
      <c r="O280" s="36">
        <f>IF(C280="","",IF(AND(OR(L280="1-Urgent",L280="2-High"),M280="✓"),"DO FIRST",IF(M280="✓","SCHEDULE",IF(OR(L280="1-Urgent",L280="2-High"),"DELEGATE","DELETE"))))</f>
        <v/>
      </c>
      <c r="P280" s="65" t="n"/>
    </row>
    <row r="281">
      <c r="B281" s="71" t="n">
        <v>276</v>
      </c>
      <c r="C281" s="65" t="n"/>
      <c r="D281" s="66" t="n"/>
      <c r="E281" s="67" t="n"/>
      <c r="F281" s="72">
        <f>IF(OR(C281="",E281=""),"",E281-Setup!$D$7)</f>
        <v/>
      </c>
      <c r="G281" s="69" t="n"/>
      <c r="H281" s="69" t="n"/>
      <c r="I281" s="73">
        <f>IF(OR(G281="",H281=""),"",TRIM(IF(HOUR(H281-G281)&gt;0,HOUR(H281-G281)&amp;" hr ","")&amp;IF(MINUTE(H281-G281)&gt;0,MINUTE(H281-G281)&amp;" min","")))</f>
        <v/>
      </c>
      <c r="J281" s="66" t="n"/>
      <c r="K281" s="70" t="n"/>
      <c r="L281" s="66" t="n"/>
      <c r="M281" s="66" t="n"/>
      <c r="N281" s="66" t="n"/>
      <c r="O281" s="73">
        <f>IF(C281="","",IF(AND(OR(L281="1-Urgent",L281="2-High"),M281="✓"),"DO FIRST",IF(M281="✓","SCHEDULE",IF(OR(L281="1-Urgent",L281="2-High"),"DELEGATE","DELETE"))))</f>
        <v/>
      </c>
      <c r="P281" s="65" t="n"/>
    </row>
    <row r="282">
      <c r="B282" s="64" t="n">
        <v>277</v>
      </c>
      <c r="C282" s="65" t="n"/>
      <c r="D282" s="66" t="n"/>
      <c r="E282" s="67" t="n"/>
      <c r="F282" s="68">
        <f>IF(OR(C282="",E282=""),"",E282-Setup!$D$7)</f>
        <v/>
      </c>
      <c r="G282" s="69" t="n"/>
      <c r="H282" s="69" t="n"/>
      <c r="I282" s="36">
        <f>IF(OR(G282="",H282=""),"",TRIM(IF(HOUR(H282-G282)&gt;0,HOUR(H282-G282)&amp;" hr ","")&amp;IF(MINUTE(H282-G282)&gt;0,MINUTE(H282-G282)&amp;" min","")))</f>
        <v/>
      </c>
      <c r="J282" s="66" t="n"/>
      <c r="K282" s="70" t="n"/>
      <c r="L282" s="66" t="n"/>
      <c r="M282" s="66" t="n"/>
      <c r="N282" s="66" t="n"/>
      <c r="O282" s="36">
        <f>IF(C282="","",IF(AND(OR(L282="1-Urgent",L282="2-High"),M282="✓"),"DO FIRST",IF(M282="✓","SCHEDULE",IF(OR(L282="1-Urgent",L282="2-High"),"DELEGATE","DELETE"))))</f>
        <v/>
      </c>
      <c r="P282" s="65" t="n"/>
    </row>
    <row r="283">
      <c r="B283" s="71" t="n">
        <v>278</v>
      </c>
      <c r="C283" s="65" t="n"/>
      <c r="D283" s="66" t="n"/>
      <c r="E283" s="67" t="n"/>
      <c r="F283" s="72">
        <f>IF(OR(C283="",E283=""),"",E283-Setup!$D$7)</f>
        <v/>
      </c>
      <c r="G283" s="69" t="n"/>
      <c r="H283" s="69" t="n"/>
      <c r="I283" s="73">
        <f>IF(OR(G283="",H283=""),"",TRIM(IF(HOUR(H283-G283)&gt;0,HOUR(H283-G283)&amp;" hr ","")&amp;IF(MINUTE(H283-G283)&gt;0,MINUTE(H283-G283)&amp;" min","")))</f>
        <v/>
      </c>
      <c r="J283" s="66" t="n"/>
      <c r="K283" s="70" t="n"/>
      <c r="L283" s="66" t="n"/>
      <c r="M283" s="66" t="n"/>
      <c r="N283" s="66" t="n"/>
      <c r="O283" s="73">
        <f>IF(C283="","",IF(AND(OR(L283="1-Urgent",L283="2-High"),M283="✓"),"DO FIRST",IF(M283="✓","SCHEDULE",IF(OR(L283="1-Urgent",L283="2-High"),"DELEGATE","DELETE"))))</f>
        <v/>
      </c>
      <c r="P283" s="65" t="n"/>
    </row>
    <row r="284">
      <c r="B284" s="64" t="n">
        <v>279</v>
      </c>
      <c r="C284" s="65" t="n"/>
      <c r="D284" s="66" t="n"/>
      <c r="E284" s="67" t="n"/>
      <c r="F284" s="68">
        <f>IF(OR(C284="",E284=""),"",E284-Setup!$D$7)</f>
        <v/>
      </c>
      <c r="G284" s="69" t="n"/>
      <c r="H284" s="69" t="n"/>
      <c r="I284" s="36">
        <f>IF(OR(G284="",H284=""),"",TRIM(IF(HOUR(H284-G284)&gt;0,HOUR(H284-G284)&amp;" hr ","")&amp;IF(MINUTE(H284-G284)&gt;0,MINUTE(H284-G284)&amp;" min","")))</f>
        <v/>
      </c>
      <c r="J284" s="66" t="n"/>
      <c r="K284" s="70" t="n"/>
      <c r="L284" s="66" t="n"/>
      <c r="M284" s="66" t="n"/>
      <c r="N284" s="66" t="n"/>
      <c r="O284" s="36">
        <f>IF(C284="","",IF(AND(OR(L284="1-Urgent",L284="2-High"),M284="✓"),"DO FIRST",IF(M284="✓","SCHEDULE",IF(OR(L284="1-Urgent",L284="2-High"),"DELEGATE","DELETE"))))</f>
        <v/>
      </c>
      <c r="P284" s="65" t="n"/>
    </row>
    <row r="285">
      <c r="B285" s="71" t="n">
        <v>280</v>
      </c>
      <c r="C285" s="65" t="n"/>
      <c r="D285" s="66" t="n"/>
      <c r="E285" s="67" t="n"/>
      <c r="F285" s="72">
        <f>IF(OR(C285="",E285=""),"",E285-Setup!$D$7)</f>
        <v/>
      </c>
      <c r="G285" s="69" t="n"/>
      <c r="H285" s="69" t="n"/>
      <c r="I285" s="73">
        <f>IF(OR(G285="",H285=""),"",TRIM(IF(HOUR(H285-G285)&gt;0,HOUR(H285-G285)&amp;" hr ","")&amp;IF(MINUTE(H285-G285)&gt;0,MINUTE(H285-G285)&amp;" min","")))</f>
        <v/>
      </c>
      <c r="J285" s="66" t="n"/>
      <c r="K285" s="70" t="n"/>
      <c r="L285" s="66" t="n"/>
      <c r="M285" s="66" t="n"/>
      <c r="N285" s="66" t="n"/>
      <c r="O285" s="73">
        <f>IF(C285="","",IF(AND(OR(L285="1-Urgent",L285="2-High"),M285="✓"),"DO FIRST",IF(M285="✓","SCHEDULE",IF(OR(L285="1-Urgent",L285="2-High"),"DELEGATE","DELETE"))))</f>
        <v/>
      </c>
      <c r="P285" s="65" t="n"/>
    </row>
    <row r="286">
      <c r="B286" s="64" t="n">
        <v>281</v>
      </c>
      <c r="C286" s="65" t="n"/>
      <c r="D286" s="66" t="n"/>
      <c r="E286" s="67" t="n"/>
      <c r="F286" s="68">
        <f>IF(OR(C286="",E286=""),"",E286-Setup!$D$7)</f>
        <v/>
      </c>
      <c r="G286" s="69" t="n"/>
      <c r="H286" s="69" t="n"/>
      <c r="I286" s="36">
        <f>IF(OR(G286="",H286=""),"",TRIM(IF(HOUR(H286-G286)&gt;0,HOUR(H286-G286)&amp;" hr ","")&amp;IF(MINUTE(H286-G286)&gt;0,MINUTE(H286-G286)&amp;" min","")))</f>
        <v/>
      </c>
      <c r="J286" s="66" t="n"/>
      <c r="K286" s="70" t="n"/>
      <c r="L286" s="66" t="n"/>
      <c r="M286" s="66" t="n"/>
      <c r="N286" s="66" t="n"/>
      <c r="O286" s="36">
        <f>IF(C286="","",IF(AND(OR(L286="1-Urgent",L286="2-High"),M286="✓"),"DO FIRST",IF(M286="✓","SCHEDULE",IF(OR(L286="1-Urgent",L286="2-High"),"DELEGATE","DELETE"))))</f>
        <v/>
      </c>
      <c r="P286" s="65" t="n"/>
    </row>
    <row r="287">
      <c r="B287" s="71" t="n">
        <v>282</v>
      </c>
      <c r="C287" s="65" t="n"/>
      <c r="D287" s="66" t="n"/>
      <c r="E287" s="67" t="n"/>
      <c r="F287" s="72">
        <f>IF(OR(C287="",E287=""),"",E287-Setup!$D$7)</f>
        <v/>
      </c>
      <c r="G287" s="69" t="n"/>
      <c r="H287" s="69" t="n"/>
      <c r="I287" s="73">
        <f>IF(OR(G287="",H287=""),"",TRIM(IF(HOUR(H287-G287)&gt;0,HOUR(H287-G287)&amp;" hr ","")&amp;IF(MINUTE(H287-G287)&gt;0,MINUTE(H287-G287)&amp;" min","")))</f>
        <v/>
      </c>
      <c r="J287" s="66" t="n"/>
      <c r="K287" s="70" t="n"/>
      <c r="L287" s="66" t="n"/>
      <c r="M287" s="66" t="n"/>
      <c r="N287" s="66" t="n"/>
      <c r="O287" s="73">
        <f>IF(C287="","",IF(AND(OR(L287="1-Urgent",L287="2-High"),M287="✓"),"DO FIRST",IF(M287="✓","SCHEDULE",IF(OR(L287="1-Urgent",L287="2-High"),"DELEGATE","DELETE"))))</f>
        <v/>
      </c>
      <c r="P287" s="65" t="n"/>
    </row>
    <row r="288">
      <c r="B288" s="64" t="n">
        <v>283</v>
      </c>
      <c r="C288" s="65" t="n"/>
      <c r="D288" s="66" t="n"/>
      <c r="E288" s="67" t="n"/>
      <c r="F288" s="68">
        <f>IF(OR(C288="",E288=""),"",E288-Setup!$D$7)</f>
        <v/>
      </c>
      <c r="G288" s="69" t="n"/>
      <c r="H288" s="69" t="n"/>
      <c r="I288" s="36">
        <f>IF(OR(G288="",H288=""),"",TRIM(IF(HOUR(H288-G288)&gt;0,HOUR(H288-G288)&amp;" hr ","")&amp;IF(MINUTE(H288-G288)&gt;0,MINUTE(H288-G288)&amp;" min","")))</f>
        <v/>
      </c>
      <c r="J288" s="66" t="n"/>
      <c r="K288" s="70" t="n"/>
      <c r="L288" s="66" t="n"/>
      <c r="M288" s="66" t="n"/>
      <c r="N288" s="66" t="n"/>
      <c r="O288" s="36">
        <f>IF(C288="","",IF(AND(OR(L288="1-Urgent",L288="2-High"),M288="✓"),"DO FIRST",IF(M288="✓","SCHEDULE",IF(OR(L288="1-Urgent",L288="2-High"),"DELEGATE","DELETE"))))</f>
        <v/>
      </c>
      <c r="P288" s="65" t="n"/>
    </row>
    <row r="289">
      <c r="B289" s="71" t="n">
        <v>284</v>
      </c>
      <c r="C289" s="65" t="n"/>
      <c r="D289" s="66" t="n"/>
      <c r="E289" s="67" t="n"/>
      <c r="F289" s="72">
        <f>IF(OR(C289="",E289=""),"",E289-Setup!$D$7)</f>
        <v/>
      </c>
      <c r="G289" s="69" t="n"/>
      <c r="H289" s="69" t="n"/>
      <c r="I289" s="73">
        <f>IF(OR(G289="",H289=""),"",TRIM(IF(HOUR(H289-G289)&gt;0,HOUR(H289-G289)&amp;" hr ","")&amp;IF(MINUTE(H289-G289)&gt;0,MINUTE(H289-G289)&amp;" min","")))</f>
        <v/>
      </c>
      <c r="J289" s="66" t="n"/>
      <c r="K289" s="70" t="n"/>
      <c r="L289" s="66" t="n"/>
      <c r="M289" s="66" t="n"/>
      <c r="N289" s="66" t="n"/>
      <c r="O289" s="73">
        <f>IF(C289="","",IF(AND(OR(L289="1-Urgent",L289="2-High"),M289="✓"),"DO FIRST",IF(M289="✓","SCHEDULE",IF(OR(L289="1-Urgent",L289="2-High"),"DELEGATE","DELETE"))))</f>
        <v/>
      </c>
      <c r="P289" s="65" t="n"/>
    </row>
    <row r="290">
      <c r="B290" s="64" t="n">
        <v>285</v>
      </c>
      <c r="C290" s="65" t="n"/>
      <c r="D290" s="66" t="n"/>
      <c r="E290" s="67" t="n"/>
      <c r="F290" s="68">
        <f>IF(OR(C290="",E290=""),"",E290-Setup!$D$7)</f>
        <v/>
      </c>
      <c r="G290" s="69" t="n"/>
      <c r="H290" s="69" t="n"/>
      <c r="I290" s="36">
        <f>IF(OR(G290="",H290=""),"",TRIM(IF(HOUR(H290-G290)&gt;0,HOUR(H290-G290)&amp;" hr ","")&amp;IF(MINUTE(H290-G290)&gt;0,MINUTE(H290-G290)&amp;" min","")))</f>
        <v/>
      </c>
      <c r="J290" s="66" t="n"/>
      <c r="K290" s="70" t="n"/>
      <c r="L290" s="66" t="n"/>
      <c r="M290" s="66" t="n"/>
      <c r="N290" s="66" t="n"/>
      <c r="O290" s="36">
        <f>IF(C290="","",IF(AND(OR(L290="1-Urgent",L290="2-High"),M290="✓"),"DO FIRST",IF(M290="✓","SCHEDULE",IF(OR(L290="1-Urgent",L290="2-High"),"DELEGATE","DELETE"))))</f>
        <v/>
      </c>
      <c r="P290" s="65" t="n"/>
    </row>
    <row r="291">
      <c r="B291" s="71" t="n">
        <v>286</v>
      </c>
      <c r="C291" s="65" t="n"/>
      <c r="D291" s="66" t="n"/>
      <c r="E291" s="67" t="n"/>
      <c r="F291" s="72">
        <f>IF(OR(C291="",E291=""),"",E291-Setup!$D$7)</f>
        <v/>
      </c>
      <c r="G291" s="69" t="n"/>
      <c r="H291" s="69" t="n"/>
      <c r="I291" s="73">
        <f>IF(OR(G291="",H291=""),"",TRIM(IF(HOUR(H291-G291)&gt;0,HOUR(H291-G291)&amp;" hr ","")&amp;IF(MINUTE(H291-G291)&gt;0,MINUTE(H291-G291)&amp;" min","")))</f>
        <v/>
      </c>
      <c r="J291" s="66" t="n"/>
      <c r="K291" s="70" t="n"/>
      <c r="L291" s="66" t="n"/>
      <c r="M291" s="66" t="n"/>
      <c r="N291" s="66" t="n"/>
      <c r="O291" s="73">
        <f>IF(C291="","",IF(AND(OR(L291="1-Urgent",L291="2-High"),M291="✓"),"DO FIRST",IF(M291="✓","SCHEDULE",IF(OR(L291="1-Urgent",L291="2-High"),"DELEGATE","DELETE"))))</f>
        <v/>
      </c>
      <c r="P291" s="65" t="n"/>
    </row>
    <row r="292">
      <c r="B292" s="64" t="n">
        <v>287</v>
      </c>
      <c r="C292" s="65" t="n"/>
      <c r="D292" s="66" t="n"/>
      <c r="E292" s="67" t="n"/>
      <c r="F292" s="68">
        <f>IF(OR(C292="",E292=""),"",E292-Setup!$D$7)</f>
        <v/>
      </c>
      <c r="G292" s="69" t="n"/>
      <c r="H292" s="69" t="n"/>
      <c r="I292" s="36">
        <f>IF(OR(G292="",H292=""),"",TRIM(IF(HOUR(H292-G292)&gt;0,HOUR(H292-G292)&amp;" hr ","")&amp;IF(MINUTE(H292-G292)&gt;0,MINUTE(H292-G292)&amp;" min","")))</f>
        <v/>
      </c>
      <c r="J292" s="66" t="n"/>
      <c r="K292" s="70" t="n"/>
      <c r="L292" s="66" t="n"/>
      <c r="M292" s="66" t="n"/>
      <c r="N292" s="66" t="n"/>
      <c r="O292" s="36">
        <f>IF(C292="","",IF(AND(OR(L292="1-Urgent",L292="2-High"),M292="✓"),"DO FIRST",IF(M292="✓","SCHEDULE",IF(OR(L292="1-Urgent",L292="2-High"),"DELEGATE","DELETE"))))</f>
        <v/>
      </c>
      <c r="P292" s="65" t="n"/>
    </row>
    <row r="293">
      <c r="B293" s="71" t="n">
        <v>288</v>
      </c>
      <c r="C293" s="65" t="n"/>
      <c r="D293" s="66" t="n"/>
      <c r="E293" s="67" t="n"/>
      <c r="F293" s="72">
        <f>IF(OR(C293="",E293=""),"",E293-Setup!$D$7)</f>
        <v/>
      </c>
      <c r="G293" s="69" t="n"/>
      <c r="H293" s="69" t="n"/>
      <c r="I293" s="73">
        <f>IF(OR(G293="",H293=""),"",TRIM(IF(HOUR(H293-G293)&gt;0,HOUR(H293-G293)&amp;" hr ","")&amp;IF(MINUTE(H293-G293)&gt;0,MINUTE(H293-G293)&amp;" min","")))</f>
        <v/>
      </c>
      <c r="J293" s="66" t="n"/>
      <c r="K293" s="70" t="n"/>
      <c r="L293" s="66" t="n"/>
      <c r="M293" s="66" t="n"/>
      <c r="N293" s="66" t="n"/>
      <c r="O293" s="73">
        <f>IF(C293="","",IF(AND(OR(L293="1-Urgent",L293="2-High"),M293="✓"),"DO FIRST",IF(M293="✓","SCHEDULE",IF(OR(L293="1-Urgent",L293="2-High"),"DELEGATE","DELETE"))))</f>
        <v/>
      </c>
      <c r="P293" s="65" t="n"/>
    </row>
    <row r="294">
      <c r="B294" s="64" t="n">
        <v>289</v>
      </c>
      <c r="C294" s="65" t="n"/>
      <c r="D294" s="66" t="n"/>
      <c r="E294" s="67" t="n"/>
      <c r="F294" s="68">
        <f>IF(OR(C294="",E294=""),"",E294-Setup!$D$7)</f>
        <v/>
      </c>
      <c r="G294" s="69" t="n"/>
      <c r="H294" s="69" t="n"/>
      <c r="I294" s="36">
        <f>IF(OR(G294="",H294=""),"",TRIM(IF(HOUR(H294-G294)&gt;0,HOUR(H294-G294)&amp;" hr ","")&amp;IF(MINUTE(H294-G294)&gt;0,MINUTE(H294-G294)&amp;" min","")))</f>
        <v/>
      </c>
      <c r="J294" s="66" t="n"/>
      <c r="K294" s="70" t="n"/>
      <c r="L294" s="66" t="n"/>
      <c r="M294" s="66" t="n"/>
      <c r="N294" s="66" t="n"/>
      <c r="O294" s="36">
        <f>IF(C294="","",IF(AND(OR(L294="1-Urgent",L294="2-High"),M294="✓"),"DO FIRST",IF(M294="✓","SCHEDULE",IF(OR(L294="1-Urgent",L294="2-High"),"DELEGATE","DELETE"))))</f>
        <v/>
      </c>
      <c r="P294" s="65" t="n"/>
    </row>
    <row r="295">
      <c r="B295" s="71" t="n">
        <v>290</v>
      </c>
      <c r="C295" s="65" t="n"/>
      <c r="D295" s="66" t="n"/>
      <c r="E295" s="67" t="n"/>
      <c r="F295" s="72">
        <f>IF(OR(C295="",E295=""),"",E295-Setup!$D$7)</f>
        <v/>
      </c>
      <c r="G295" s="69" t="n"/>
      <c r="H295" s="69" t="n"/>
      <c r="I295" s="73">
        <f>IF(OR(G295="",H295=""),"",TRIM(IF(HOUR(H295-G295)&gt;0,HOUR(H295-G295)&amp;" hr ","")&amp;IF(MINUTE(H295-G295)&gt;0,MINUTE(H295-G295)&amp;" min","")))</f>
        <v/>
      </c>
      <c r="J295" s="66" t="n"/>
      <c r="K295" s="70" t="n"/>
      <c r="L295" s="66" t="n"/>
      <c r="M295" s="66" t="n"/>
      <c r="N295" s="66" t="n"/>
      <c r="O295" s="73">
        <f>IF(C295="","",IF(AND(OR(L295="1-Urgent",L295="2-High"),M295="✓"),"DO FIRST",IF(M295="✓","SCHEDULE",IF(OR(L295="1-Urgent",L295="2-High"),"DELEGATE","DELETE"))))</f>
        <v/>
      </c>
      <c r="P295" s="65" t="n"/>
    </row>
    <row r="296">
      <c r="B296" s="64" t="n">
        <v>291</v>
      </c>
      <c r="C296" s="65" t="n"/>
      <c r="D296" s="66" t="n"/>
      <c r="E296" s="67" t="n"/>
      <c r="F296" s="68">
        <f>IF(OR(C296="",E296=""),"",E296-Setup!$D$7)</f>
        <v/>
      </c>
      <c r="G296" s="69" t="n"/>
      <c r="H296" s="69" t="n"/>
      <c r="I296" s="36">
        <f>IF(OR(G296="",H296=""),"",TRIM(IF(HOUR(H296-G296)&gt;0,HOUR(H296-G296)&amp;" hr ","")&amp;IF(MINUTE(H296-G296)&gt;0,MINUTE(H296-G296)&amp;" min","")))</f>
        <v/>
      </c>
      <c r="J296" s="66" t="n"/>
      <c r="K296" s="70" t="n"/>
      <c r="L296" s="66" t="n"/>
      <c r="M296" s="66" t="n"/>
      <c r="N296" s="66" t="n"/>
      <c r="O296" s="36">
        <f>IF(C296="","",IF(AND(OR(L296="1-Urgent",L296="2-High"),M296="✓"),"DO FIRST",IF(M296="✓","SCHEDULE",IF(OR(L296="1-Urgent",L296="2-High"),"DELEGATE","DELETE"))))</f>
        <v/>
      </c>
      <c r="P296" s="65" t="n"/>
    </row>
    <row r="297">
      <c r="B297" s="71" t="n">
        <v>292</v>
      </c>
      <c r="C297" s="65" t="n"/>
      <c r="D297" s="66" t="n"/>
      <c r="E297" s="67" t="n"/>
      <c r="F297" s="72">
        <f>IF(OR(C297="",E297=""),"",E297-Setup!$D$7)</f>
        <v/>
      </c>
      <c r="G297" s="69" t="n"/>
      <c r="H297" s="69" t="n"/>
      <c r="I297" s="73">
        <f>IF(OR(G297="",H297=""),"",TRIM(IF(HOUR(H297-G297)&gt;0,HOUR(H297-G297)&amp;" hr ","")&amp;IF(MINUTE(H297-G297)&gt;0,MINUTE(H297-G297)&amp;" min","")))</f>
        <v/>
      </c>
      <c r="J297" s="66" t="n"/>
      <c r="K297" s="70" t="n"/>
      <c r="L297" s="66" t="n"/>
      <c r="M297" s="66" t="n"/>
      <c r="N297" s="66" t="n"/>
      <c r="O297" s="73">
        <f>IF(C297="","",IF(AND(OR(L297="1-Urgent",L297="2-High"),M297="✓"),"DO FIRST",IF(M297="✓","SCHEDULE",IF(OR(L297="1-Urgent",L297="2-High"),"DELEGATE","DELETE"))))</f>
        <v/>
      </c>
      <c r="P297" s="65" t="n"/>
    </row>
    <row r="298">
      <c r="B298" s="64" t="n">
        <v>293</v>
      </c>
      <c r="C298" s="65" t="n"/>
      <c r="D298" s="66" t="n"/>
      <c r="E298" s="67" t="n"/>
      <c r="F298" s="68">
        <f>IF(OR(C298="",E298=""),"",E298-Setup!$D$7)</f>
        <v/>
      </c>
      <c r="G298" s="69" t="n"/>
      <c r="H298" s="69" t="n"/>
      <c r="I298" s="36">
        <f>IF(OR(G298="",H298=""),"",TRIM(IF(HOUR(H298-G298)&gt;0,HOUR(H298-G298)&amp;" hr ","")&amp;IF(MINUTE(H298-G298)&gt;0,MINUTE(H298-G298)&amp;" min","")))</f>
        <v/>
      </c>
      <c r="J298" s="66" t="n"/>
      <c r="K298" s="70" t="n"/>
      <c r="L298" s="66" t="n"/>
      <c r="M298" s="66" t="n"/>
      <c r="N298" s="66" t="n"/>
      <c r="O298" s="36">
        <f>IF(C298="","",IF(AND(OR(L298="1-Urgent",L298="2-High"),M298="✓"),"DO FIRST",IF(M298="✓","SCHEDULE",IF(OR(L298="1-Urgent",L298="2-High"),"DELEGATE","DELETE"))))</f>
        <v/>
      </c>
      <c r="P298" s="65" t="n"/>
    </row>
    <row r="299">
      <c r="B299" s="71" t="n">
        <v>294</v>
      </c>
      <c r="C299" s="65" t="n"/>
      <c r="D299" s="66" t="n"/>
      <c r="E299" s="67" t="n"/>
      <c r="F299" s="72">
        <f>IF(OR(C299="",E299=""),"",E299-Setup!$D$7)</f>
        <v/>
      </c>
      <c r="G299" s="69" t="n"/>
      <c r="H299" s="69" t="n"/>
      <c r="I299" s="73">
        <f>IF(OR(G299="",H299=""),"",TRIM(IF(HOUR(H299-G299)&gt;0,HOUR(H299-G299)&amp;" hr ","")&amp;IF(MINUTE(H299-G299)&gt;0,MINUTE(H299-G299)&amp;" min","")))</f>
        <v/>
      </c>
      <c r="J299" s="66" t="n"/>
      <c r="K299" s="70" t="n"/>
      <c r="L299" s="66" t="n"/>
      <c r="M299" s="66" t="n"/>
      <c r="N299" s="66" t="n"/>
      <c r="O299" s="73">
        <f>IF(C299="","",IF(AND(OR(L299="1-Urgent",L299="2-High"),M299="✓"),"DO FIRST",IF(M299="✓","SCHEDULE",IF(OR(L299="1-Urgent",L299="2-High"),"DELEGATE","DELETE"))))</f>
        <v/>
      </c>
      <c r="P299" s="65" t="n"/>
    </row>
    <row r="300">
      <c r="B300" s="64" t="n">
        <v>295</v>
      </c>
      <c r="C300" s="65" t="n"/>
      <c r="D300" s="66" t="n"/>
      <c r="E300" s="67" t="n"/>
      <c r="F300" s="68">
        <f>IF(OR(C300="",E300=""),"",E300-Setup!$D$7)</f>
        <v/>
      </c>
      <c r="G300" s="69" t="n"/>
      <c r="H300" s="69" t="n"/>
      <c r="I300" s="36">
        <f>IF(OR(G300="",H300=""),"",TRIM(IF(HOUR(H300-G300)&gt;0,HOUR(H300-G300)&amp;" hr ","")&amp;IF(MINUTE(H300-G300)&gt;0,MINUTE(H300-G300)&amp;" min","")))</f>
        <v/>
      </c>
      <c r="J300" s="66" t="n"/>
      <c r="K300" s="70" t="n"/>
      <c r="L300" s="66" t="n"/>
      <c r="M300" s="66" t="n"/>
      <c r="N300" s="66" t="n"/>
      <c r="O300" s="36">
        <f>IF(C300="","",IF(AND(OR(L300="1-Urgent",L300="2-High"),M300="✓"),"DO FIRST",IF(M300="✓","SCHEDULE",IF(OR(L300="1-Urgent",L300="2-High"),"DELEGATE","DELETE"))))</f>
        <v/>
      </c>
      <c r="P300" s="65" t="n"/>
    </row>
    <row r="301">
      <c r="B301" s="71" t="n">
        <v>296</v>
      </c>
      <c r="C301" s="65" t="n"/>
      <c r="D301" s="66" t="n"/>
      <c r="E301" s="67" t="n"/>
      <c r="F301" s="72">
        <f>IF(OR(C301="",E301=""),"",E301-Setup!$D$7)</f>
        <v/>
      </c>
      <c r="G301" s="69" t="n"/>
      <c r="H301" s="69" t="n"/>
      <c r="I301" s="73">
        <f>IF(OR(G301="",H301=""),"",TRIM(IF(HOUR(H301-G301)&gt;0,HOUR(H301-G301)&amp;" hr ","")&amp;IF(MINUTE(H301-G301)&gt;0,MINUTE(H301-G301)&amp;" min","")))</f>
        <v/>
      </c>
      <c r="J301" s="66" t="n"/>
      <c r="K301" s="70" t="n"/>
      <c r="L301" s="66" t="n"/>
      <c r="M301" s="66" t="n"/>
      <c r="N301" s="66" t="n"/>
      <c r="O301" s="73">
        <f>IF(C301="","",IF(AND(OR(L301="1-Urgent",L301="2-High"),M301="✓"),"DO FIRST",IF(M301="✓","SCHEDULE",IF(OR(L301="1-Urgent",L301="2-High"),"DELEGATE","DELETE"))))</f>
        <v/>
      </c>
      <c r="P301" s="65" t="n"/>
    </row>
    <row r="302">
      <c r="B302" s="64" t="n">
        <v>297</v>
      </c>
      <c r="C302" s="65" t="n"/>
      <c r="D302" s="66" t="n"/>
      <c r="E302" s="67" t="n"/>
      <c r="F302" s="68">
        <f>IF(OR(C302="",E302=""),"",E302-Setup!$D$7)</f>
        <v/>
      </c>
      <c r="G302" s="69" t="n"/>
      <c r="H302" s="69" t="n"/>
      <c r="I302" s="36">
        <f>IF(OR(G302="",H302=""),"",TRIM(IF(HOUR(H302-G302)&gt;0,HOUR(H302-G302)&amp;" hr ","")&amp;IF(MINUTE(H302-G302)&gt;0,MINUTE(H302-G302)&amp;" min","")))</f>
        <v/>
      </c>
      <c r="J302" s="66" t="n"/>
      <c r="K302" s="70" t="n"/>
      <c r="L302" s="66" t="n"/>
      <c r="M302" s="66" t="n"/>
      <c r="N302" s="66" t="n"/>
      <c r="O302" s="36">
        <f>IF(C302="","",IF(AND(OR(L302="1-Urgent",L302="2-High"),M302="✓"),"DO FIRST",IF(M302="✓","SCHEDULE",IF(OR(L302="1-Urgent",L302="2-High"),"DELEGATE","DELETE"))))</f>
        <v/>
      </c>
      <c r="P302" s="65" t="n"/>
    </row>
    <row r="303">
      <c r="B303" s="71" t="n">
        <v>298</v>
      </c>
      <c r="C303" s="65" t="n"/>
      <c r="D303" s="66" t="n"/>
      <c r="E303" s="67" t="n"/>
      <c r="F303" s="72">
        <f>IF(OR(C303="",E303=""),"",E303-Setup!$D$7)</f>
        <v/>
      </c>
      <c r="G303" s="69" t="n"/>
      <c r="H303" s="69" t="n"/>
      <c r="I303" s="73">
        <f>IF(OR(G303="",H303=""),"",TRIM(IF(HOUR(H303-G303)&gt;0,HOUR(H303-G303)&amp;" hr ","")&amp;IF(MINUTE(H303-G303)&gt;0,MINUTE(H303-G303)&amp;" min","")))</f>
        <v/>
      </c>
      <c r="J303" s="66" t="n"/>
      <c r="K303" s="70" t="n"/>
      <c r="L303" s="66" t="n"/>
      <c r="M303" s="66" t="n"/>
      <c r="N303" s="66" t="n"/>
      <c r="O303" s="73">
        <f>IF(C303="","",IF(AND(OR(L303="1-Urgent",L303="2-High"),M303="✓"),"DO FIRST",IF(M303="✓","SCHEDULE",IF(OR(L303="1-Urgent",L303="2-High"),"DELEGATE","DELETE"))))</f>
        <v/>
      </c>
      <c r="P303" s="65" t="n"/>
    </row>
    <row r="304">
      <c r="B304" s="64" t="n">
        <v>299</v>
      </c>
      <c r="C304" s="65" t="n"/>
      <c r="D304" s="66" t="n"/>
      <c r="E304" s="67" t="n"/>
      <c r="F304" s="68">
        <f>IF(OR(C304="",E304=""),"",E304-Setup!$D$7)</f>
        <v/>
      </c>
      <c r="G304" s="69" t="n"/>
      <c r="H304" s="69" t="n"/>
      <c r="I304" s="36">
        <f>IF(OR(G304="",H304=""),"",TRIM(IF(HOUR(H304-G304)&gt;0,HOUR(H304-G304)&amp;" hr ","")&amp;IF(MINUTE(H304-G304)&gt;0,MINUTE(H304-G304)&amp;" min","")))</f>
        <v/>
      </c>
      <c r="J304" s="66" t="n"/>
      <c r="K304" s="70" t="n"/>
      <c r="L304" s="66" t="n"/>
      <c r="M304" s="66" t="n"/>
      <c r="N304" s="66" t="n"/>
      <c r="O304" s="36">
        <f>IF(C304="","",IF(AND(OR(L304="1-Urgent",L304="2-High"),M304="✓"),"DO FIRST",IF(M304="✓","SCHEDULE",IF(OR(L304="1-Urgent",L304="2-High"),"DELEGATE","DELETE"))))</f>
        <v/>
      </c>
      <c r="P304" s="65" t="n"/>
    </row>
    <row r="305">
      <c r="B305" s="71" t="n">
        <v>300</v>
      </c>
      <c r="C305" s="65" t="n"/>
      <c r="D305" s="66" t="n"/>
      <c r="E305" s="67" t="n"/>
      <c r="F305" s="72">
        <f>IF(OR(C305="",E305=""),"",E305-Setup!$D$7)</f>
        <v/>
      </c>
      <c r="G305" s="69" t="n"/>
      <c r="H305" s="69" t="n"/>
      <c r="I305" s="73">
        <f>IF(OR(G305="",H305=""),"",TRIM(IF(HOUR(H305-G305)&gt;0,HOUR(H305-G305)&amp;" hr ","")&amp;IF(MINUTE(H305-G305)&gt;0,MINUTE(H305-G305)&amp;" min","")))</f>
        <v/>
      </c>
      <c r="J305" s="66" t="n"/>
      <c r="K305" s="70" t="n"/>
      <c r="L305" s="66" t="n"/>
      <c r="M305" s="66" t="n"/>
      <c r="N305" s="66" t="n"/>
      <c r="O305" s="73">
        <f>IF(C305="","",IF(AND(OR(L305="1-Urgent",L305="2-High"),M305="✓"),"DO FIRST",IF(M305="✓","SCHEDULE",IF(OR(L305="1-Urgent",L305="2-High"),"DELEGATE","DELETE"))))</f>
        <v/>
      </c>
      <c r="P305" s="65" t="n"/>
    </row>
    <row r="306">
      <c r="B306" s="64" t="n">
        <v>301</v>
      </c>
      <c r="C306" s="65" t="n"/>
      <c r="D306" s="66" t="n"/>
      <c r="E306" s="67" t="n"/>
      <c r="F306" s="68">
        <f>IF(OR(C306="",E306=""),"",E306-Setup!$D$7)</f>
        <v/>
      </c>
      <c r="G306" s="69" t="n"/>
      <c r="H306" s="69" t="n"/>
      <c r="I306" s="36">
        <f>IF(OR(G306="",H306=""),"",TRIM(IF(HOUR(H306-G306)&gt;0,HOUR(H306-G306)&amp;" hr ","")&amp;IF(MINUTE(H306-G306)&gt;0,MINUTE(H306-G306)&amp;" min","")))</f>
        <v/>
      </c>
      <c r="J306" s="66" t="n"/>
      <c r="K306" s="70" t="n"/>
      <c r="L306" s="66" t="n"/>
      <c r="M306" s="66" t="n"/>
      <c r="N306" s="66" t="n"/>
      <c r="O306" s="36">
        <f>IF(C306="","",IF(AND(OR(L306="1-Urgent",L306="2-High"),M306="✓"),"DO FIRST",IF(M306="✓","SCHEDULE",IF(OR(L306="1-Urgent",L306="2-High"),"DELEGATE","DELETE"))))</f>
        <v/>
      </c>
      <c r="P306" s="65" t="n"/>
    </row>
    <row r="307">
      <c r="B307" s="71" t="n">
        <v>302</v>
      </c>
      <c r="C307" s="65" t="n"/>
      <c r="D307" s="66" t="n"/>
      <c r="E307" s="67" t="n"/>
      <c r="F307" s="72">
        <f>IF(OR(C307="",E307=""),"",E307-Setup!$D$7)</f>
        <v/>
      </c>
      <c r="G307" s="69" t="n"/>
      <c r="H307" s="69" t="n"/>
      <c r="I307" s="73">
        <f>IF(OR(G307="",H307=""),"",TRIM(IF(HOUR(H307-G307)&gt;0,HOUR(H307-G307)&amp;" hr ","")&amp;IF(MINUTE(H307-G307)&gt;0,MINUTE(H307-G307)&amp;" min","")))</f>
        <v/>
      </c>
      <c r="J307" s="66" t="n"/>
      <c r="K307" s="70" t="n"/>
      <c r="L307" s="66" t="n"/>
      <c r="M307" s="66" t="n"/>
      <c r="N307" s="66" t="n"/>
      <c r="O307" s="73">
        <f>IF(C307="","",IF(AND(OR(L307="1-Urgent",L307="2-High"),M307="✓"),"DO FIRST",IF(M307="✓","SCHEDULE",IF(OR(L307="1-Urgent",L307="2-High"),"DELEGATE","DELETE"))))</f>
        <v/>
      </c>
      <c r="P307" s="65" t="n"/>
    </row>
    <row r="308">
      <c r="B308" s="64" t="n">
        <v>303</v>
      </c>
      <c r="C308" s="65" t="n"/>
      <c r="D308" s="66" t="n"/>
      <c r="E308" s="67" t="n"/>
      <c r="F308" s="68">
        <f>IF(OR(C308="",E308=""),"",E308-Setup!$D$7)</f>
        <v/>
      </c>
      <c r="G308" s="69" t="n"/>
      <c r="H308" s="69" t="n"/>
      <c r="I308" s="36">
        <f>IF(OR(G308="",H308=""),"",TRIM(IF(HOUR(H308-G308)&gt;0,HOUR(H308-G308)&amp;" hr ","")&amp;IF(MINUTE(H308-G308)&gt;0,MINUTE(H308-G308)&amp;" min","")))</f>
        <v/>
      </c>
      <c r="J308" s="66" t="n"/>
      <c r="K308" s="70" t="n"/>
      <c r="L308" s="66" t="n"/>
      <c r="M308" s="66" t="n"/>
      <c r="N308" s="66" t="n"/>
      <c r="O308" s="36">
        <f>IF(C308="","",IF(AND(OR(L308="1-Urgent",L308="2-High"),M308="✓"),"DO FIRST",IF(M308="✓","SCHEDULE",IF(OR(L308="1-Urgent",L308="2-High"),"DELEGATE","DELETE"))))</f>
        <v/>
      </c>
      <c r="P308" s="65" t="n"/>
    </row>
    <row r="309">
      <c r="B309" s="71" t="n">
        <v>304</v>
      </c>
      <c r="C309" s="65" t="n"/>
      <c r="D309" s="66" t="n"/>
      <c r="E309" s="67" t="n"/>
      <c r="F309" s="72">
        <f>IF(OR(C309="",E309=""),"",E309-Setup!$D$7)</f>
        <v/>
      </c>
      <c r="G309" s="69" t="n"/>
      <c r="H309" s="69" t="n"/>
      <c r="I309" s="73">
        <f>IF(OR(G309="",H309=""),"",TRIM(IF(HOUR(H309-G309)&gt;0,HOUR(H309-G309)&amp;" hr ","")&amp;IF(MINUTE(H309-G309)&gt;0,MINUTE(H309-G309)&amp;" min","")))</f>
        <v/>
      </c>
      <c r="J309" s="66" t="n"/>
      <c r="K309" s="70" t="n"/>
      <c r="L309" s="66" t="n"/>
      <c r="M309" s="66" t="n"/>
      <c r="N309" s="66" t="n"/>
      <c r="O309" s="73">
        <f>IF(C309="","",IF(AND(OR(L309="1-Urgent",L309="2-High"),M309="✓"),"DO FIRST",IF(M309="✓","SCHEDULE",IF(OR(L309="1-Urgent",L309="2-High"),"DELEGATE","DELETE"))))</f>
        <v/>
      </c>
      <c r="P309" s="65" t="n"/>
    </row>
    <row r="310">
      <c r="B310" s="64" t="n">
        <v>305</v>
      </c>
      <c r="C310" s="65" t="n"/>
      <c r="D310" s="66" t="n"/>
      <c r="E310" s="67" t="n"/>
      <c r="F310" s="68">
        <f>IF(OR(C310="",E310=""),"",E310-Setup!$D$7)</f>
        <v/>
      </c>
      <c r="G310" s="69" t="n"/>
      <c r="H310" s="69" t="n"/>
      <c r="I310" s="36">
        <f>IF(OR(G310="",H310=""),"",TRIM(IF(HOUR(H310-G310)&gt;0,HOUR(H310-G310)&amp;" hr ","")&amp;IF(MINUTE(H310-G310)&gt;0,MINUTE(H310-G310)&amp;" min","")))</f>
        <v/>
      </c>
      <c r="J310" s="66" t="n"/>
      <c r="K310" s="70" t="n"/>
      <c r="L310" s="66" t="n"/>
      <c r="M310" s="66" t="n"/>
      <c r="N310" s="66" t="n"/>
      <c r="O310" s="36">
        <f>IF(C310="","",IF(AND(OR(L310="1-Urgent",L310="2-High"),M310="✓"),"DO FIRST",IF(M310="✓","SCHEDULE",IF(OR(L310="1-Urgent",L310="2-High"),"DELEGATE","DELETE"))))</f>
        <v/>
      </c>
      <c r="P310" s="65" t="n"/>
    </row>
    <row r="311">
      <c r="B311" s="71" t="n">
        <v>306</v>
      </c>
      <c r="C311" s="65" t="n"/>
      <c r="D311" s="66" t="n"/>
      <c r="E311" s="67" t="n"/>
      <c r="F311" s="72">
        <f>IF(OR(C311="",E311=""),"",E311-Setup!$D$7)</f>
        <v/>
      </c>
      <c r="G311" s="69" t="n"/>
      <c r="H311" s="69" t="n"/>
      <c r="I311" s="73">
        <f>IF(OR(G311="",H311=""),"",TRIM(IF(HOUR(H311-G311)&gt;0,HOUR(H311-G311)&amp;" hr ","")&amp;IF(MINUTE(H311-G311)&gt;0,MINUTE(H311-G311)&amp;" min","")))</f>
        <v/>
      </c>
      <c r="J311" s="66" t="n"/>
      <c r="K311" s="70" t="n"/>
      <c r="L311" s="66" t="n"/>
      <c r="M311" s="66" t="n"/>
      <c r="N311" s="66" t="n"/>
      <c r="O311" s="73">
        <f>IF(C311="","",IF(AND(OR(L311="1-Urgent",L311="2-High"),M311="✓"),"DO FIRST",IF(M311="✓","SCHEDULE",IF(OR(L311="1-Urgent",L311="2-High"),"DELEGATE","DELETE"))))</f>
        <v/>
      </c>
      <c r="P311" s="65" t="n"/>
    </row>
    <row r="312">
      <c r="B312" s="64" t="n">
        <v>307</v>
      </c>
      <c r="C312" s="65" t="n"/>
      <c r="D312" s="66" t="n"/>
      <c r="E312" s="67" t="n"/>
      <c r="F312" s="68">
        <f>IF(OR(C312="",E312=""),"",E312-Setup!$D$7)</f>
        <v/>
      </c>
      <c r="G312" s="69" t="n"/>
      <c r="H312" s="69" t="n"/>
      <c r="I312" s="36">
        <f>IF(OR(G312="",H312=""),"",TRIM(IF(HOUR(H312-G312)&gt;0,HOUR(H312-G312)&amp;" hr ","")&amp;IF(MINUTE(H312-G312)&gt;0,MINUTE(H312-G312)&amp;" min","")))</f>
        <v/>
      </c>
      <c r="J312" s="66" t="n"/>
      <c r="K312" s="70" t="n"/>
      <c r="L312" s="66" t="n"/>
      <c r="M312" s="66" t="n"/>
      <c r="N312" s="66" t="n"/>
      <c r="O312" s="36">
        <f>IF(C312="","",IF(AND(OR(L312="1-Urgent",L312="2-High"),M312="✓"),"DO FIRST",IF(M312="✓","SCHEDULE",IF(OR(L312="1-Urgent",L312="2-High"),"DELEGATE","DELETE"))))</f>
        <v/>
      </c>
      <c r="P312" s="65" t="n"/>
    </row>
    <row r="313">
      <c r="B313" s="71" t="n">
        <v>308</v>
      </c>
      <c r="C313" s="65" t="n"/>
      <c r="D313" s="66" t="n"/>
      <c r="E313" s="67" t="n"/>
      <c r="F313" s="72">
        <f>IF(OR(C313="",E313=""),"",E313-Setup!$D$7)</f>
        <v/>
      </c>
      <c r="G313" s="69" t="n"/>
      <c r="H313" s="69" t="n"/>
      <c r="I313" s="73">
        <f>IF(OR(G313="",H313=""),"",TRIM(IF(HOUR(H313-G313)&gt;0,HOUR(H313-G313)&amp;" hr ","")&amp;IF(MINUTE(H313-G313)&gt;0,MINUTE(H313-G313)&amp;" min","")))</f>
        <v/>
      </c>
      <c r="J313" s="66" t="n"/>
      <c r="K313" s="70" t="n"/>
      <c r="L313" s="66" t="n"/>
      <c r="M313" s="66" t="n"/>
      <c r="N313" s="66" t="n"/>
      <c r="O313" s="73">
        <f>IF(C313="","",IF(AND(OR(L313="1-Urgent",L313="2-High"),M313="✓"),"DO FIRST",IF(M313="✓","SCHEDULE",IF(OR(L313="1-Urgent",L313="2-High"),"DELEGATE","DELETE"))))</f>
        <v/>
      </c>
      <c r="P313" s="65" t="n"/>
    </row>
    <row r="314">
      <c r="B314" s="64" t="n">
        <v>309</v>
      </c>
      <c r="C314" s="65" t="n"/>
      <c r="D314" s="66" t="n"/>
      <c r="E314" s="67" t="n"/>
      <c r="F314" s="68">
        <f>IF(OR(C314="",E314=""),"",E314-Setup!$D$7)</f>
        <v/>
      </c>
      <c r="G314" s="69" t="n"/>
      <c r="H314" s="69" t="n"/>
      <c r="I314" s="36">
        <f>IF(OR(G314="",H314=""),"",TRIM(IF(HOUR(H314-G314)&gt;0,HOUR(H314-G314)&amp;" hr ","")&amp;IF(MINUTE(H314-G314)&gt;0,MINUTE(H314-G314)&amp;" min","")))</f>
        <v/>
      </c>
      <c r="J314" s="66" t="n"/>
      <c r="K314" s="70" t="n"/>
      <c r="L314" s="66" t="n"/>
      <c r="M314" s="66" t="n"/>
      <c r="N314" s="66" t="n"/>
      <c r="O314" s="36">
        <f>IF(C314="","",IF(AND(OR(L314="1-Urgent",L314="2-High"),M314="✓"),"DO FIRST",IF(M314="✓","SCHEDULE",IF(OR(L314="1-Urgent",L314="2-High"),"DELEGATE","DELETE"))))</f>
        <v/>
      </c>
      <c r="P314" s="65" t="n"/>
    </row>
    <row r="315">
      <c r="B315" s="71" t="n">
        <v>310</v>
      </c>
      <c r="C315" s="65" t="n"/>
      <c r="D315" s="66" t="n"/>
      <c r="E315" s="67" t="n"/>
      <c r="F315" s="72">
        <f>IF(OR(C315="",E315=""),"",E315-Setup!$D$7)</f>
        <v/>
      </c>
      <c r="G315" s="69" t="n"/>
      <c r="H315" s="69" t="n"/>
      <c r="I315" s="73">
        <f>IF(OR(G315="",H315=""),"",TRIM(IF(HOUR(H315-G315)&gt;0,HOUR(H315-G315)&amp;" hr ","")&amp;IF(MINUTE(H315-G315)&gt;0,MINUTE(H315-G315)&amp;" min","")))</f>
        <v/>
      </c>
      <c r="J315" s="66" t="n"/>
      <c r="K315" s="70" t="n"/>
      <c r="L315" s="66" t="n"/>
      <c r="M315" s="66" t="n"/>
      <c r="N315" s="66" t="n"/>
      <c r="O315" s="73">
        <f>IF(C315="","",IF(AND(OR(L315="1-Urgent",L315="2-High"),M315="✓"),"DO FIRST",IF(M315="✓","SCHEDULE",IF(OR(L315="1-Urgent",L315="2-High"),"DELEGATE","DELETE"))))</f>
        <v/>
      </c>
      <c r="P315" s="65" t="n"/>
    </row>
    <row r="316">
      <c r="B316" s="64" t="n">
        <v>311</v>
      </c>
      <c r="C316" s="65" t="n"/>
      <c r="D316" s="66" t="n"/>
      <c r="E316" s="67" t="n"/>
      <c r="F316" s="68">
        <f>IF(OR(C316="",E316=""),"",E316-Setup!$D$7)</f>
        <v/>
      </c>
      <c r="G316" s="69" t="n"/>
      <c r="H316" s="69" t="n"/>
      <c r="I316" s="36">
        <f>IF(OR(G316="",H316=""),"",TRIM(IF(HOUR(H316-G316)&gt;0,HOUR(H316-G316)&amp;" hr ","")&amp;IF(MINUTE(H316-G316)&gt;0,MINUTE(H316-G316)&amp;" min","")))</f>
        <v/>
      </c>
      <c r="J316" s="66" t="n"/>
      <c r="K316" s="70" t="n"/>
      <c r="L316" s="66" t="n"/>
      <c r="M316" s="66" t="n"/>
      <c r="N316" s="66" t="n"/>
      <c r="O316" s="36">
        <f>IF(C316="","",IF(AND(OR(L316="1-Urgent",L316="2-High"),M316="✓"),"DO FIRST",IF(M316="✓","SCHEDULE",IF(OR(L316="1-Urgent",L316="2-High"),"DELEGATE","DELETE"))))</f>
        <v/>
      </c>
      <c r="P316" s="65" t="n"/>
    </row>
    <row r="317">
      <c r="B317" s="71" t="n">
        <v>312</v>
      </c>
      <c r="C317" s="65" t="n"/>
      <c r="D317" s="66" t="n"/>
      <c r="E317" s="67" t="n"/>
      <c r="F317" s="72">
        <f>IF(OR(C317="",E317=""),"",E317-Setup!$D$7)</f>
        <v/>
      </c>
      <c r="G317" s="69" t="n"/>
      <c r="H317" s="69" t="n"/>
      <c r="I317" s="73">
        <f>IF(OR(G317="",H317=""),"",TRIM(IF(HOUR(H317-G317)&gt;0,HOUR(H317-G317)&amp;" hr ","")&amp;IF(MINUTE(H317-G317)&gt;0,MINUTE(H317-G317)&amp;" min","")))</f>
        <v/>
      </c>
      <c r="J317" s="66" t="n"/>
      <c r="K317" s="70" t="n"/>
      <c r="L317" s="66" t="n"/>
      <c r="M317" s="66" t="n"/>
      <c r="N317" s="66" t="n"/>
      <c r="O317" s="73">
        <f>IF(C317="","",IF(AND(OR(L317="1-Urgent",L317="2-High"),M317="✓"),"DO FIRST",IF(M317="✓","SCHEDULE",IF(OR(L317="1-Urgent",L317="2-High"),"DELEGATE","DELETE"))))</f>
        <v/>
      </c>
      <c r="P317" s="65" t="n"/>
    </row>
    <row r="318">
      <c r="B318" s="64" t="n">
        <v>313</v>
      </c>
      <c r="C318" s="65" t="n"/>
      <c r="D318" s="66" t="n"/>
      <c r="E318" s="67" t="n"/>
      <c r="F318" s="68">
        <f>IF(OR(C318="",E318=""),"",E318-Setup!$D$7)</f>
        <v/>
      </c>
      <c r="G318" s="69" t="n"/>
      <c r="H318" s="69" t="n"/>
      <c r="I318" s="36">
        <f>IF(OR(G318="",H318=""),"",TRIM(IF(HOUR(H318-G318)&gt;0,HOUR(H318-G318)&amp;" hr ","")&amp;IF(MINUTE(H318-G318)&gt;0,MINUTE(H318-G318)&amp;" min","")))</f>
        <v/>
      </c>
      <c r="J318" s="66" t="n"/>
      <c r="K318" s="70" t="n"/>
      <c r="L318" s="66" t="n"/>
      <c r="M318" s="66" t="n"/>
      <c r="N318" s="66" t="n"/>
      <c r="O318" s="36">
        <f>IF(C318="","",IF(AND(OR(L318="1-Urgent",L318="2-High"),M318="✓"),"DO FIRST",IF(M318="✓","SCHEDULE",IF(OR(L318="1-Urgent",L318="2-High"),"DELEGATE","DELETE"))))</f>
        <v/>
      </c>
      <c r="P318" s="65" t="n"/>
    </row>
    <row r="319">
      <c r="B319" s="71" t="n">
        <v>314</v>
      </c>
      <c r="C319" s="65" t="n"/>
      <c r="D319" s="66" t="n"/>
      <c r="E319" s="67" t="n"/>
      <c r="F319" s="72">
        <f>IF(OR(C319="",E319=""),"",E319-Setup!$D$7)</f>
        <v/>
      </c>
      <c r="G319" s="69" t="n"/>
      <c r="H319" s="69" t="n"/>
      <c r="I319" s="73">
        <f>IF(OR(G319="",H319=""),"",TRIM(IF(HOUR(H319-G319)&gt;0,HOUR(H319-G319)&amp;" hr ","")&amp;IF(MINUTE(H319-G319)&gt;0,MINUTE(H319-G319)&amp;" min","")))</f>
        <v/>
      </c>
      <c r="J319" s="66" t="n"/>
      <c r="K319" s="70" t="n"/>
      <c r="L319" s="66" t="n"/>
      <c r="M319" s="66" t="n"/>
      <c r="N319" s="66" t="n"/>
      <c r="O319" s="73">
        <f>IF(C319="","",IF(AND(OR(L319="1-Urgent",L319="2-High"),M319="✓"),"DO FIRST",IF(M319="✓","SCHEDULE",IF(OR(L319="1-Urgent",L319="2-High"),"DELEGATE","DELETE"))))</f>
        <v/>
      </c>
      <c r="P319" s="65" t="n"/>
    </row>
    <row r="320">
      <c r="B320" s="64" t="n">
        <v>315</v>
      </c>
      <c r="C320" s="65" t="n"/>
      <c r="D320" s="66" t="n"/>
      <c r="E320" s="67" t="n"/>
      <c r="F320" s="68">
        <f>IF(OR(C320="",E320=""),"",E320-Setup!$D$7)</f>
        <v/>
      </c>
      <c r="G320" s="69" t="n"/>
      <c r="H320" s="69" t="n"/>
      <c r="I320" s="36">
        <f>IF(OR(G320="",H320=""),"",TRIM(IF(HOUR(H320-G320)&gt;0,HOUR(H320-G320)&amp;" hr ","")&amp;IF(MINUTE(H320-G320)&gt;0,MINUTE(H320-G320)&amp;" min","")))</f>
        <v/>
      </c>
      <c r="J320" s="66" t="n"/>
      <c r="K320" s="70" t="n"/>
      <c r="L320" s="66" t="n"/>
      <c r="M320" s="66" t="n"/>
      <c r="N320" s="66" t="n"/>
      <c r="O320" s="36">
        <f>IF(C320="","",IF(AND(OR(L320="1-Urgent",L320="2-High"),M320="✓"),"DO FIRST",IF(M320="✓","SCHEDULE",IF(OR(L320="1-Urgent",L320="2-High"),"DELEGATE","DELETE"))))</f>
        <v/>
      </c>
      <c r="P320" s="65" t="n"/>
    </row>
    <row r="321">
      <c r="B321" s="71" t="n">
        <v>316</v>
      </c>
      <c r="C321" s="65" t="n"/>
      <c r="D321" s="66" t="n"/>
      <c r="E321" s="67" t="n"/>
      <c r="F321" s="72">
        <f>IF(OR(C321="",E321=""),"",E321-Setup!$D$7)</f>
        <v/>
      </c>
      <c r="G321" s="69" t="n"/>
      <c r="H321" s="69" t="n"/>
      <c r="I321" s="73">
        <f>IF(OR(G321="",H321=""),"",TRIM(IF(HOUR(H321-G321)&gt;0,HOUR(H321-G321)&amp;" hr ","")&amp;IF(MINUTE(H321-G321)&gt;0,MINUTE(H321-G321)&amp;" min","")))</f>
        <v/>
      </c>
      <c r="J321" s="66" t="n"/>
      <c r="K321" s="70" t="n"/>
      <c r="L321" s="66" t="n"/>
      <c r="M321" s="66" t="n"/>
      <c r="N321" s="66" t="n"/>
      <c r="O321" s="73">
        <f>IF(C321="","",IF(AND(OR(L321="1-Urgent",L321="2-High"),M321="✓"),"DO FIRST",IF(M321="✓","SCHEDULE",IF(OR(L321="1-Urgent",L321="2-High"),"DELEGATE","DELETE"))))</f>
        <v/>
      </c>
      <c r="P321" s="65" t="n"/>
    </row>
    <row r="322">
      <c r="B322" s="64" t="n">
        <v>317</v>
      </c>
      <c r="C322" s="65" t="n"/>
      <c r="D322" s="66" t="n"/>
      <c r="E322" s="67" t="n"/>
      <c r="F322" s="68">
        <f>IF(OR(C322="",E322=""),"",E322-Setup!$D$7)</f>
        <v/>
      </c>
      <c r="G322" s="69" t="n"/>
      <c r="H322" s="69" t="n"/>
      <c r="I322" s="36">
        <f>IF(OR(G322="",H322=""),"",TRIM(IF(HOUR(H322-G322)&gt;0,HOUR(H322-G322)&amp;" hr ","")&amp;IF(MINUTE(H322-G322)&gt;0,MINUTE(H322-G322)&amp;" min","")))</f>
        <v/>
      </c>
      <c r="J322" s="66" t="n"/>
      <c r="K322" s="70" t="n"/>
      <c r="L322" s="66" t="n"/>
      <c r="M322" s="66" t="n"/>
      <c r="N322" s="66" t="n"/>
      <c r="O322" s="36">
        <f>IF(C322="","",IF(AND(OR(L322="1-Urgent",L322="2-High"),M322="✓"),"DO FIRST",IF(M322="✓","SCHEDULE",IF(OR(L322="1-Urgent",L322="2-High"),"DELEGATE","DELETE"))))</f>
        <v/>
      </c>
      <c r="P322" s="65" t="n"/>
    </row>
    <row r="323">
      <c r="B323" s="71" t="n">
        <v>318</v>
      </c>
      <c r="C323" s="65" t="n"/>
      <c r="D323" s="66" t="n"/>
      <c r="E323" s="67" t="n"/>
      <c r="F323" s="72">
        <f>IF(OR(C323="",E323=""),"",E323-Setup!$D$7)</f>
        <v/>
      </c>
      <c r="G323" s="69" t="n"/>
      <c r="H323" s="69" t="n"/>
      <c r="I323" s="73">
        <f>IF(OR(G323="",H323=""),"",TRIM(IF(HOUR(H323-G323)&gt;0,HOUR(H323-G323)&amp;" hr ","")&amp;IF(MINUTE(H323-G323)&gt;0,MINUTE(H323-G323)&amp;" min","")))</f>
        <v/>
      </c>
      <c r="J323" s="66" t="n"/>
      <c r="K323" s="70" t="n"/>
      <c r="L323" s="66" t="n"/>
      <c r="M323" s="66" t="n"/>
      <c r="N323" s="66" t="n"/>
      <c r="O323" s="73">
        <f>IF(C323="","",IF(AND(OR(L323="1-Urgent",L323="2-High"),M323="✓"),"DO FIRST",IF(M323="✓","SCHEDULE",IF(OR(L323="1-Urgent",L323="2-High"),"DELEGATE","DELETE"))))</f>
        <v/>
      </c>
      <c r="P323" s="65" t="n"/>
    </row>
    <row r="324">
      <c r="B324" s="64" t="n">
        <v>319</v>
      </c>
      <c r="C324" s="65" t="n"/>
      <c r="D324" s="66" t="n"/>
      <c r="E324" s="67" t="n"/>
      <c r="F324" s="68">
        <f>IF(OR(C324="",E324=""),"",E324-Setup!$D$7)</f>
        <v/>
      </c>
      <c r="G324" s="69" t="n"/>
      <c r="H324" s="69" t="n"/>
      <c r="I324" s="36">
        <f>IF(OR(G324="",H324=""),"",TRIM(IF(HOUR(H324-G324)&gt;0,HOUR(H324-G324)&amp;" hr ","")&amp;IF(MINUTE(H324-G324)&gt;0,MINUTE(H324-G324)&amp;" min","")))</f>
        <v/>
      </c>
      <c r="J324" s="66" t="n"/>
      <c r="K324" s="70" t="n"/>
      <c r="L324" s="66" t="n"/>
      <c r="M324" s="66" t="n"/>
      <c r="N324" s="66" t="n"/>
      <c r="O324" s="36">
        <f>IF(C324="","",IF(AND(OR(L324="1-Urgent",L324="2-High"),M324="✓"),"DO FIRST",IF(M324="✓","SCHEDULE",IF(OR(L324="1-Urgent",L324="2-High"),"DELEGATE","DELETE"))))</f>
        <v/>
      </c>
      <c r="P324" s="65" t="n"/>
    </row>
    <row r="325">
      <c r="B325" s="71" t="n">
        <v>320</v>
      </c>
      <c r="C325" s="65" t="n"/>
      <c r="D325" s="66" t="n"/>
      <c r="E325" s="67" t="n"/>
      <c r="F325" s="72">
        <f>IF(OR(C325="",E325=""),"",E325-Setup!$D$7)</f>
        <v/>
      </c>
      <c r="G325" s="69" t="n"/>
      <c r="H325" s="69" t="n"/>
      <c r="I325" s="73">
        <f>IF(OR(G325="",H325=""),"",TRIM(IF(HOUR(H325-G325)&gt;0,HOUR(H325-G325)&amp;" hr ","")&amp;IF(MINUTE(H325-G325)&gt;0,MINUTE(H325-G325)&amp;" min","")))</f>
        <v/>
      </c>
      <c r="J325" s="66" t="n"/>
      <c r="K325" s="70" t="n"/>
      <c r="L325" s="66" t="n"/>
      <c r="M325" s="66" t="n"/>
      <c r="N325" s="66" t="n"/>
      <c r="O325" s="73">
        <f>IF(C325="","",IF(AND(OR(L325="1-Urgent",L325="2-High"),M325="✓"),"DO FIRST",IF(M325="✓","SCHEDULE",IF(OR(L325="1-Urgent",L325="2-High"),"DELEGATE","DELETE"))))</f>
        <v/>
      </c>
      <c r="P325" s="65" t="n"/>
    </row>
    <row r="326">
      <c r="B326" s="64" t="n">
        <v>321</v>
      </c>
      <c r="C326" s="65" t="n"/>
      <c r="D326" s="66" t="n"/>
      <c r="E326" s="67" t="n"/>
      <c r="F326" s="68">
        <f>IF(OR(C326="",E326=""),"",E326-Setup!$D$7)</f>
        <v/>
      </c>
      <c r="G326" s="69" t="n"/>
      <c r="H326" s="69" t="n"/>
      <c r="I326" s="36">
        <f>IF(OR(G326="",H326=""),"",TRIM(IF(HOUR(H326-G326)&gt;0,HOUR(H326-G326)&amp;" hr ","")&amp;IF(MINUTE(H326-G326)&gt;0,MINUTE(H326-G326)&amp;" min","")))</f>
        <v/>
      </c>
      <c r="J326" s="66" t="n"/>
      <c r="K326" s="70" t="n"/>
      <c r="L326" s="66" t="n"/>
      <c r="M326" s="66" t="n"/>
      <c r="N326" s="66" t="n"/>
      <c r="O326" s="36">
        <f>IF(C326="","",IF(AND(OR(L326="1-Urgent",L326="2-High"),M326="✓"),"DO FIRST",IF(M326="✓","SCHEDULE",IF(OR(L326="1-Urgent",L326="2-High"),"DELEGATE","DELETE"))))</f>
        <v/>
      </c>
      <c r="P326" s="65" t="n"/>
    </row>
    <row r="327">
      <c r="B327" s="71" t="n">
        <v>322</v>
      </c>
      <c r="C327" s="65" t="n"/>
      <c r="D327" s="66" t="n"/>
      <c r="E327" s="67" t="n"/>
      <c r="F327" s="72">
        <f>IF(OR(C327="",E327=""),"",E327-Setup!$D$7)</f>
        <v/>
      </c>
      <c r="G327" s="69" t="n"/>
      <c r="H327" s="69" t="n"/>
      <c r="I327" s="73">
        <f>IF(OR(G327="",H327=""),"",TRIM(IF(HOUR(H327-G327)&gt;0,HOUR(H327-G327)&amp;" hr ","")&amp;IF(MINUTE(H327-G327)&gt;0,MINUTE(H327-G327)&amp;" min","")))</f>
        <v/>
      </c>
      <c r="J327" s="66" t="n"/>
      <c r="K327" s="70" t="n"/>
      <c r="L327" s="66" t="n"/>
      <c r="M327" s="66" t="n"/>
      <c r="N327" s="66" t="n"/>
      <c r="O327" s="73">
        <f>IF(C327="","",IF(AND(OR(L327="1-Urgent",L327="2-High"),M327="✓"),"DO FIRST",IF(M327="✓","SCHEDULE",IF(OR(L327="1-Urgent",L327="2-High"),"DELEGATE","DELETE"))))</f>
        <v/>
      </c>
      <c r="P327" s="65" t="n"/>
    </row>
    <row r="328">
      <c r="B328" s="64" t="n">
        <v>323</v>
      </c>
      <c r="C328" s="65" t="n"/>
      <c r="D328" s="66" t="n"/>
      <c r="E328" s="67" t="n"/>
      <c r="F328" s="68">
        <f>IF(OR(C328="",E328=""),"",E328-Setup!$D$7)</f>
        <v/>
      </c>
      <c r="G328" s="69" t="n"/>
      <c r="H328" s="69" t="n"/>
      <c r="I328" s="36">
        <f>IF(OR(G328="",H328=""),"",TRIM(IF(HOUR(H328-G328)&gt;0,HOUR(H328-G328)&amp;" hr ","")&amp;IF(MINUTE(H328-G328)&gt;0,MINUTE(H328-G328)&amp;" min","")))</f>
        <v/>
      </c>
      <c r="J328" s="66" t="n"/>
      <c r="K328" s="70" t="n"/>
      <c r="L328" s="66" t="n"/>
      <c r="M328" s="66" t="n"/>
      <c r="N328" s="66" t="n"/>
      <c r="O328" s="36">
        <f>IF(C328="","",IF(AND(OR(L328="1-Urgent",L328="2-High"),M328="✓"),"DO FIRST",IF(M328="✓","SCHEDULE",IF(OR(L328="1-Urgent",L328="2-High"),"DELEGATE","DELETE"))))</f>
        <v/>
      </c>
      <c r="P328" s="65" t="n"/>
    </row>
    <row r="329">
      <c r="B329" s="71" t="n">
        <v>324</v>
      </c>
      <c r="C329" s="65" t="n"/>
      <c r="D329" s="66" t="n"/>
      <c r="E329" s="67" t="n"/>
      <c r="F329" s="72">
        <f>IF(OR(C329="",E329=""),"",E329-Setup!$D$7)</f>
        <v/>
      </c>
      <c r="G329" s="69" t="n"/>
      <c r="H329" s="69" t="n"/>
      <c r="I329" s="73">
        <f>IF(OR(G329="",H329=""),"",TRIM(IF(HOUR(H329-G329)&gt;0,HOUR(H329-G329)&amp;" hr ","")&amp;IF(MINUTE(H329-G329)&gt;0,MINUTE(H329-G329)&amp;" min","")))</f>
        <v/>
      </c>
      <c r="J329" s="66" t="n"/>
      <c r="K329" s="70" t="n"/>
      <c r="L329" s="66" t="n"/>
      <c r="M329" s="66" t="n"/>
      <c r="N329" s="66" t="n"/>
      <c r="O329" s="73">
        <f>IF(C329="","",IF(AND(OR(L329="1-Urgent",L329="2-High"),M329="✓"),"DO FIRST",IF(M329="✓","SCHEDULE",IF(OR(L329="1-Urgent",L329="2-High"),"DELEGATE","DELETE"))))</f>
        <v/>
      </c>
      <c r="P329" s="65" t="n"/>
    </row>
    <row r="330">
      <c r="B330" s="64" t="n">
        <v>325</v>
      </c>
      <c r="C330" s="65" t="n"/>
      <c r="D330" s="66" t="n"/>
      <c r="E330" s="67" t="n"/>
      <c r="F330" s="68">
        <f>IF(OR(C330="",E330=""),"",E330-Setup!$D$7)</f>
        <v/>
      </c>
      <c r="G330" s="69" t="n"/>
      <c r="H330" s="69" t="n"/>
      <c r="I330" s="36">
        <f>IF(OR(G330="",H330=""),"",TRIM(IF(HOUR(H330-G330)&gt;0,HOUR(H330-G330)&amp;" hr ","")&amp;IF(MINUTE(H330-G330)&gt;0,MINUTE(H330-G330)&amp;" min","")))</f>
        <v/>
      </c>
      <c r="J330" s="66" t="n"/>
      <c r="K330" s="70" t="n"/>
      <c r="L330" s="66" t="n"/>
      <c r="M330" s="66" t="n"/>
      <c r="N330" s="66" t="n"/>
      <c r="O330" s="36">
        <f>IF(C330="","",IF(AND(OR(L330="1-Urgent",L330="2-High"),M330="✓"),"DO FIRST",IF(M330="✓","SCHEDULE",IF(OR(L330="1-Urgent",L330="2-High"),"DELEGATE","DELETE"))))</f>
        <v/>
      </c>
      <c r="P330" s="65" t="n"/>
    </row>
    <row r="331">
      <c r="B331" s="71" t="n">
        <v>326</v>
      </c>
      <c r="C331" s="65" t="n"/>
      <c r="D331" s="66" t="n"/>
      <c r="E331" s="67" t="n"/>
      <c r="F331" s="72">
        <f>IF(OR(C331="",E331=""),"",E331-Setup!$D$7)</f>
        <v/>
      </c>
      <c r="G331" s="69" t="n"/>
      <c r="H331" s="69" t="n"/>
      <c r="I331" s="73">
        <f>IF(OR(G331="",H331=""),"",TRIM(IF(HOUR(H331-G331)&gt;0,HOUR(H331-G331)&amp;" hr ","")&amp;IF(MINUTE(H331-G331)&gt;0,MINUTE(H331-G331)&amp;" min","")))</f>
        <v/>
      </c>
      <c r="J331" s="66" t="n"/>
      <c r="K331" s="70" t="n"/>
      <c r="L331" s="66" t="n"/>
      <c r="M331" s="66" t="n"/>
      <c r="N331" s="66" t="n"/>
      <c r="O331" s="73">
        <f>IF(C331="","",IF(AND(OR(L331="1-Urgent",L331="2-High"),M331="✓"),"DO FIRST",IF(M331="✓","SCHEDULE",IF(OR(L331="1-Urgent",L331="2-High"),"DELEGATE","DELETE"))))</f>
        <v/>
      </c>
      <c r="P331" s="65" t="n"/>
    </row>
    <row r="332">
      <c r="B332" s="64" t="n">
        <v>327</v>
      </c>
      <c r="C332" s="65" t="n"/>
      <c r="D332" s="66" t="n"/>
      <c r="E332" s="67" t="n"/>
      <c r="F332" s="68">
        <f>IF(OR(C332="",E332=""),"",E332-Setup!$D$7)</f>
        <v/>
      </c>
      <c r="G332" s="69" t="n"/>
      <c r="H332" s="69" t="n"/>
      <c r="I332" s="36">
        <f>IF(OR(G332="",H332=""),"",TRIM(IF(HOUR(H332-G332)&gt;0,HOUR(H332-G332)&amp;" hr ","")&amp;IF(MINUTE(H332-G332)&gt;0,MINUTE(H332-G332)&amp;" min","")))</f>
        <v/>
      </c>
      <c r="J332" s="66" t="n"/>
      <c r="K332" s="70" t="n"/>
      <c r="L332" s="66" t="n"/>
      <c r="M332" s="66" t="n"/>
      <c r="N332" s="66" t="n"/>
      <c r="O332" s="36">
        <f>IF(C332="","",IF(AND(OR(L332="1-Urgent",L332="2-High"),M332="✓"),"DO FIRST",IF(M332="✓","SCHEDULE",IF(OR(L332="1-Urgent",L332="2-High"),"DELEGATE","DELETE"))))</f>
        <v/>
      </c>
      <c r="P332" s="65" t="n"/>
    </row>
    <row r="333">
      <c r="B333" s="71" t="n">
        <v>328</v>
      </c>
      <c r="C333" s="65" t="n"/>
      <c r="D333" s="66" t="n"/>
      <c r="E333" s="67" t="n"/>
      <c r="F333" s="72">
        <f>IF(OR(C333="",E333=""),"",E333-Setup!$D$7)</f>
        <v/>
      </c>
      <c r="G333" s="69" t="n"/>
      <c r="H333" s="69" t="n"/>
      <c r="I333" s="73">
        <f>IF(OR(G333="",H333=""),"",TRIM(IF(HOUR(H333-G333)&gt;0,HOUR(H333-G333)&amp;" hr ","")&amp;IF(MINUTE(H333-G333)&gt;0,MINUTE(H333-G333)&amp;" min","")))</f>
        <v/>
      </c>
      <c r="J333" s="66" t="n"/>
      <c r="K333" s="70" t="n"/>
      <c r="L333" s="66" t="n"/>
      <c r="M333" s="66" t="n"/>
      <c r="N333" s="66" t="n"/>
      <c r="O333" s="73">
        <f>IF(C333="","",IF(AND(OR(L333="1-Urgent",L333="2-High"),M333="✓"),"DO FIRST",IF(M333="✓","SCHEDULE",IF(OR(L333="1-Urgent",L333="2-High"),"DELEGATE","DELETE"))))</f>
        <v/>
      </c>
      <c r="P333" s="65" t="n"/>
    </row>
    <row r="334">
      <c r="B334" s="64" t="n">
        <v>329</v>
      </c>
      <c r="C334" s="65" t="n"/>
      <c r="D334" s="66" t="n"/>
      <c r="E334" s="67" t="n"/>
      <c r="F334" s="68">
        <f>IF(OR(C334="",E334=""),"",E334-Setup!$D$7)</f>
        <v/>
      </c>
      <c r="G334" s="69" t="n"/>
      <c r="H334" s="69" t="n"/>
      <c r="I334" s="36">
        <f>IF(OR(G334="",H334=""),"",TRIM(IF(HOUR(H334-G334)&gt;0,HOUR(H334-G334)&amp;" hr ","")&amp;IF(MINUTE(H334-G334)&gt;0,MINUTE(H334-G334)&amp;" min","")))</f>
        <v/>
      </c>
      <c r="J334" s="66" t="n"/>
      <c r="K334" s="70" t="n"/>
      <c r="L334" s="66" t="n"/>
      <c r="M334" s="66" t="n"/>
      <c r="N334" s="66" t="n"/>
      <c r="O334" s="36">
        <f>IF(C334="","",IF(AND(OR(L334="1-Urgent",L334="2-High"),M334="✓"),"DO FIRST",IF(M334="✓","SCHEDULE",IF(OR(L334="1-Urgent",L334="2-High"),"DELEGATE","DELETE"))))</f>
        <v/>
      </c>
      <c r="P334" s="65" t="n"/>
    </row>
    <row r="335">
      <c r="B335" s="71" t="n">
        <v>330</v>
      </c>
      <c r="C335" s="65" t="n"/>
      <c r="D335" s="66" t="n"/>
      <c r="E335" s="67" t="n"/>
      <c r="F335" s="72">
        <f>IF(OR(C335="",E335=""),"",E335-Setup!$D$7)</f>
        <v/>
      </c>
      <c r="G335" s="69" t="n"/>
      <c r="H335" s="69" t="n"/>
      <c r="I335" s="73">
        <f>IF(OR(G335="",H335=""),"",TRIM(IF(HOUR(H335-G335)&gt;0,HOUR(H335-G335)&amp;" hr ","")&amp;IF(MINUTE(H335-G335)&gt;0,MINUTE(H335-G335)&amp;" min","")))</f>
        <v/>
      </c>
      <c r="J335" s="66" t="n"/>
      <c r="K335" s="70" t="n"/>
      <c r="L335" s="66" t="n"/>
      <c r="M335" s="66" t="n"/>
      <c r="N335" s="66" t="n"/>
      <c r="O335" s="73">
        <f>IF(C335="","",IF(AND(OR(L335="1-Urgent",L335="2-High"),M335="✓"),"DO FIRST",IF(M335="✓","SCHEDULE",IF(OR(L335="1-Urgent",L335="2-High"),"DELEGATE","DELETE"))))</f>
        <v/>
      </c>
      <c r="P335" s="65" t="n"/>
    </row>
    <row r="336">
      <c r="B336" s="64" t="n">
        <v>331</v>
      </c>
      <c r="C336" s="65" t="n"/>
      <c r="D336" s="66" t="n"/>
      <c r="E336" s="67" t="n"/>
      <c r="F336" s="68">
        <f>IF(OR(C336="",E336=""),"",E336-Setup!$D$7)</f>
        <v/>
      </c>
      <c r="G336" s="69" t="n"/>
      <c r="H336" s="69" t="n"/>
      <c r="I336" s="36">
        <f>IF(OR(G336="",H336=""),"",TRIM(IF(HOUR(H336-G336)&gt;0,HOUR(H336-G336)&amp;" hr ","")&amp;IF(MINUTE(H336-G336)&gt;0,MINUTE(H336-G336)&amp;" min","")))</f>
        <v/>
      </c>
      <c r="J336" s="66" t="n"/>
      <c r="K336" s="70" t="n"/>
      <c r="L336" s="66" t="n"/>
      <c r="M336" s="66" t="n"/>
      <c r="N336" s="66" t="n"/>
      <c r="O336" s="36">
        <f>IF(C336="","",IF(AND(OR(L336="1-Urgent",L336="2-High"),M336="✓"),"DO FIRST",IF(M336="✓","SCHEDULE",IF(OR(L336="1-Urgent",L336="2-High"),"DELEGATE","DELETE"))))</f>
        <v/>
      </c>
      <c r="P336" s="65" t="n"/>
    </row>
    <row r="337">
      <c r="B337" s="71" t="n">
        <v>332</v>
      </c>
      <c r="C337" s="65" t="n"/>
      <c r="D337" s="66" t="n"/>
      <c r="E337" s="67" t="n"/>
      <c r="F337" s="72">
        <f>IF(OR(C337="",E337=""),"",E337-Setup!$D$7)</f>
        <v/>
      </c>
      <c r="G337" s="69" t="n"/>
      <c r="H337" s="69" t="n"/>
      <c r="I337" s="73">
        <f>IF(OR(G337="",H337=""),"",TRIM(IF(HOUR(H337-G337)&gt;0,HOUR(H337-G337)&amp;" hr ","")&amp;IF(MINUTE(H337-G337)&gt;0,MINUTE(H337-G337)&amp;" min","")))</f>
        <v/>
      </c>
      <c r="J337" s="66" t="n"/>
      <c r="K337" s="70" t="n"/>
      <c r="L337" s="66" t="n"/>
      <c r="M337" s="66" t="n"/>
      <c r="N337" s="66" t="n"/>
      <c r="O337" s="73">
        <f>IF(C337="","",IF(AND(OR(L337="1-Urgent",L337="2-High"),M337="✓"),"DO FIRST",IF(M337="✓","SCHEDULE",IF(OR(L337="1-Urgent",L337="2-High"),"DELEGATE","DELETE"))))</f>
        <v/>
      </c>
      <c r="P337" s="65" t="n"/>
    </row>
    <row r="338">
      <c r="B338" s="64" t="n">
        <v>333</v>
      </c>
      <c r="C338" s="65" t="n"/>
      <c r="D338" s="66" t="n"/>
      <c r="E338" s="67" t="n"/>
      <c r="F338" s="68">
        <f>IF(OR(C338="",E338=""),"",E338-Setup!$D$7)</f>
        <v/>
      </c>
      <c r="G338" s="69" t="n"/>
      <c r="H338" s="69" t="n"/>
      <c r="I338" s="36">
        <f>IF(OR(G338="",H338=""),"",TRIM(IF(HOUR(H338-G338)&gt;0,HOUR(H338-G338)&amp;" hr ","")&amp;IF(MINUTE(H338-G338)&gt;0,MINUTE(H338-G338)&amp;" min","")))</f>
        <v/>
      </c>
      <c r="J338" s="66" t="n"/>
      <c r="K338" s="70" t="n"/>
      <c r="L338" s="66" t="n"/>
      <c r="M338" s="66" t="n"/>
      <c r="N338" s="66" t="n"/>
      <c r="O338" s="36">
        <f>IF(C338="","",IF(AND(OR(L338="1-Urgent",L338="2-High"),M338="✓"),"DO FIRST",IF(M338="✓","SCHEDULE",IF(OR(L338="1-Urgent",L338="2-High"),"DELEGATE","DELETE"))))</f>
        <v/>
      </c>
      <c r="P338" s="65" t="n"/>
    </row>
    <row r="339">
      <c r="B339" s="71" t="n">
        <v>334</v>
      </c>
      <c r="C339" s="65" t="n"/>
      <c r="D339" s="66" t="n"/>
      <c r="E339" s="67" t="n"/>
      <c r="F339" s="72">
        <f>IF(OR(C339="",E339=""),"",E339-Setup!$D$7)</f>
        <v/>
      </c>
      <c r="G339" s="69" t="n"/>
      <c r="H339" s="69" t="n"/>
      <c r="I339" s="73">
        <f>IF(OR(G339="",H339=""),"",TRIM(IF(HOUR(H339-G339)&gt;0,HOUR(H339-G339)&amp;" hr ","")&amp;IF(MINUTE(H339-G339)&gt;0,MINUTE(H339-G339)&amp;" min","")))</f>
        <v/>
      </c>
      <c r="J339" s="66" t="n"/>
      <c r="K339" s="70" t="n"/>
      <c r="L339" s="66" t="n"/>
      <c r="M339" s="66" t="n"/>
      <c r="N339" s="66" t="n"/>
      <c r="O339" s="73">
        <f>IF(C339="","",IF(AND(OR(L339="1-Urgent",L339="2-High"),M339="✓"),"DO FIRST",IF(M339="✓","SCHEDULE",IF(OR(L339="1-Urgent",L339="2-High"),"DELEGATE","DELETE"))))</f>
        <v/>
      </c>
      <c r="P339" s="65" t="n"/>
    </row>
    <row r="340">
      <c r="B340" s="64" t="n">
        <v>335</v>
      </c>
      <c r="C340" s="65" t="n"/>
      <c r="D340" s="66" t="n"/>
      <c r="E340" s="67" t="n"/>
      <c r="F340" s="68">
        <f>IF(OR(C340="",E340=""),"",E340-Setup!$D$7)</f>
        <v/>
      </c>
      <c r="G340" s="69" t="n"/>
      <c r="H340" s="69" t="n"/>
      <c r="I340" s="36">
        <f>IF(OR(G340="",H340=""),"",TRIM(IF(HOUR(H340-G340)&gt;0,HOUR(H340-G340)&amp;" hr ","")&amp;IF(MINUTE(H340-G340)&gt;0,MINUTE(H340-G340)&amp;" min","")))</f>
        <v/>
      </c>
      <c r="J340" s="66" t="n"/>
      <c r="K340" s="70" t="n"/>
      <c r="L340" s="66" t="n"/>
      <c r="M340" s="66" t="n"/>
      <c r="N340" s="66" t="n"/>
      <c r="O340" s="36">
        <f>IF(C340="","",IF(AND(OR(L340="1-Urgent",L340="2-High"),M340="✓"),"DO FIRST",IF(M340="✓","SCHEDULE",IF(OR(L340="1-Urgent",L340="2-High"),"DELEGATE","DELETE"))))</f>
        <v/>
      </c>
      <c r="P340" s="65" t="n"/>
    </row>
    <row r="341">
      <c r="B341" s="71" t="n">
        <v>336</v>
      </c>
      <c r="C341" s="65" t="n"/>
      <c r="D341" s="66" t="n"/>
      <c r="E341" s="67" t="n"/>
      <c r="F341" s="72">
        <f>IF(OR(C341="",E341=""),"",E341-Setup!$D$7)</f>
        <v/>
      </c>
      <c r="G341" s="69" t="n"/>
      <c r="H341" s="69" t="n"/>
      <c r="I341" s="73">
        <f>IF(OR(G341="",H341=""),"",TRIM(IF(HOUR(H341-G341)&gt;0,HOUR(H341-G341)&amp;" hr ","")&amp;IF(MINUTE(H341-G341)&gt;0,MINUTE(H341-G341)&amp;" min","")))</f>
        <v/>
      </c>
      <c r="J341" s="66" t="n"/>
      <c r="K341" s="70" t="n"/>
      <c r="L341" s="66" t="n"/>
      <c r="M341" s="66" t="n"/>
      <c r="N341" s="66" t="n"/>
      <c r="O341" s="73">
        <f>IF(C341="","",IF(AND(OR(L341="1-Urgent",L341="2-High"),M341="✓"),"DO FIRST",IF(M341="✓","SCHEDULE",IF(OR(L341="1-Urgent",L341="2-High"),"DELEGATE","DELETE"))))</f>
        <v/>
      </c>
      <c r="P341" s="65" t="n"/>
    </row>
    <row r="342">
      <c r="B342" s="64" t="n">
        <v>337</v>
      </c>
      <c r="C342" s="65" t="n"/>
      <c r="D342" s="66" t="n"/>
      <c r="E342" s="67" t="n"/>
      <c r="F342" s="68">
        <f>IF(OR(C342="",E342=""),"",E342-Setup!$D$7)</f>
        <v/>
      </c>
      <c r="G342" s="69" t="n"/>
      <c r="H342" s="69" t="n"/>
      <c r="I342" s="36">
        <f>IF(OR(G342="",H342=""),"",TRIM(IF(HOUR(H342-G342)&gt;0,HOUR(H342-G342)&amp;" hr ","")&amp;IF(MINUTE(H342-G342)&gt;0,MINUTE(H342-G342)&amp;" min","")))</f>
        <v/>
      </c>
      <c r="J342" s="66" t="n"/>
      <c r="K342" s="70" t="n"/>
      <c r="L342" s="66" t="n"/>
      <c r="M342" s="66" t="n"/>
      <c r="N342" s="66" t="n"/>
      <c r="O342" s="36">
        <f>IF(C342="","",IF(AND(OR(L342="1-Urgent",L342="2-High"),M342="✓"),"DO FIRST",IF(M342="✓","SCHEDULE",IF(OR(L342="1-Urgent",L342="2-High"),"DELEGATE","DELETE"))))</f>
        <v/>
      </c>
      <c r="P342" s="65" t="n"/>
    </row>
    <row r="343">
      <c r="B343" s="71" t="n">
        <v>338</v>
      </c>
      <c r="C343" s="65" t="n"/>
      <c r="D343" s="66" t="n"/>
      <c r="E343" s="67" t="n"/>
      <c r="F343" s="72">
        <f>IF(OR(C343="",E343=""),"",E343-Setup!$D$7)</f>
        <v/>
      </c>
      <c r="G343" s="69" t="n"/>
      <c r="H343" s="69" t="n"/>
      <c r="I343" s="73">
        <f>IF(OR(G343="",H343=""),"",TRIM(IF(HOUR(H343-G343)&gt;0,HOUR(H343-G343)&amp;" hr ","")&amp;IF(MINUTE(H343-G343)&gt;0,MINUTE(H343-G343)&amp;" min","")))</f>
        <v/>
      </c>
      <c r="J343" s="66" t="n"/>
      <c r="K343" s="70" t="n"/>
      <c r="L343" s="66" t="n"/>
      <c r="M343" s="66" t="n"/>
      <c r="N343" s="66" t="n"/>
      <c r="O343" s="73">
        <f>IF(C343="","",IF(AND(OR(L343="1-Urgent",L343="2-High"),M343="✓"),"DO FIRST",IF(M343="✓","SCHEDULE",IF(OR(L343="1-Urgent",L343="2-High"),"DELEGATE","DELETE"))))</f>
        <v/>
      </c>
      <c r="P343" s="65" t="n"/>
    </row>
    <row r="344">
      <c r="B344" s="64" t="n">
        <v>339</v>
      </c>
      <c r="C344" s="65" t="n"/>
      <c r="D344" s="66" t="n"/>
      <c r="E344" s="67" t="n"/>
      <c r="F344" s="68">
        <f>IF(OR(C344="",E344=""),"",E344-Setup!$D$7)</f>
        <v/>
      </c>
      <c r="G344" s="69" t="n"/>
      <c r="H344" s="69" t="n"/>
      <c r="I344" s="36">
        <f>IF(OR(G344="",H344=""),"",TRIM(IF(HOUR(H344-G344)&gt;0,HOUR(H344-G344)&amp;" hr ","")&amp;IF(MINUTE(H344-G344)&gt;0,MINUTE(H344-G344)&amp;" min","")))</f>
        <v/>
      </c>
      <c r="J344" s="66" t="n"/>
      <c r="K344" s="70" t="n"/>
      <c r="L344" s="66" t="n"/>
      <c r="M344" s="66" t="n"/>
      <c r="N344" s="66" t="n"/>
      <c r="O344" s="36">
        <f>IF(C344="","",IF(AND(OR(L344="1-Urgent",L344="2-High"),M344="✓"),"DO FIRST",IF(M344="✓","SCHEDULE",IF(OR(L344="1-Urgent",L344="2-High"),"DELEGATE","DELETE"))))</f>
        <v/>
      </c>
      <c r="P344" s="65" t="n"/>
    </row>
    <row r="345">
      <c r="B345" s="71" t="n">
        <v>340</v>
      </c>
      <c r="C345" s="65" t="n"/>
      <c r="D345" s="66" t="n"/>
      <c r="E345" s="67" t="n"/>
      <c r="F345" s="72">
        <f>IF(OR(C345="",E345=""),"",E345-Setup!$D$7)</f>
        <v/>
      </c>
      <c r="G345" s="69" t="n"/>
      <c r="H345" s="69" t="n"/>
      <c r="I345" s="73">
        <f>IF(OR(G345="",H345=""),"",TRIM(IF(HOUR(H345-G345)&gt;0,HOUR(H345-G345)&amp;" hr ","")&amp;IF(MINUTE(H345-G345)&gt;0,MINUTE(H345-G345)&amp;" min","")))</f>
        <v/>
      </c>
      <c r="J345" s="66" t="n"/>
      <c r="K345" s="70" t="n"/>
      <c r="L345" s="66" t="n"/>
      <c r="M345" s="66" t="n"/>
      <c r="N345" s="66" t="n"/>
      <c r="O345" s="73">
        <f>IF(C345="","",IF(AND(OR(L345="1-Urgent",L345="2-High"),M345="✓"),"DO FIRST",IF(M345="✓","SCHEDULE",IF(OR(L345="1-Urgent",L345="2-High"),"DELEGATE","DELETE"))))</f>
        <v/>
      </c>
      <c r="P345" s="65" t="n"/>
    </row>
    <row r="346">
      <c r="B346" s="64" t="n">
        <v>341</v>
      </c>
      <c r="C346" s="65" t="n"/>
      <c r="D346" s="66" t="n"/>
      <c r="E346" s="67" t="n"/>
      <c r="F346" s="68">
        <f>IF(OR(C346="",E346=""),"",E346-Setup!$D$7)</f>
        <v/>
      </c>
      <c r="G346" s="69" t="n"/>
      <c r="H346" s="69" t="n"/>
      <c r="I346" s="36">
        <f>IF(OR(G346="",H346=""),"",TRIM(IF(HOUR(H346-G346)&gt;0,HOUR(H346-G346)&amp;" hr ","")&amp;IF(MINUTE(H346-G346)&gt;0,MINUTE(H346-G346)&amp;" min","")))</f>
        <v/>
      </c>
      <c r="J346" s="66" t="n"/>
      <c r="K346" s="70" t="n"/>
      <c r="L346" s="66" t="n"/>
      <c r="M346" s="66" t="n"/>
      <c r="N346" s="66" t="n"/>
      <c r="O346" s="36">
        <f>IF(C346="","",IF(AND(OR(L346="1-Urgent",L346="2-High"),M346="✓"),"DO FIRST",IF(M346="✓","SCHEDULE",IF(OR(L346="1-Urgent",L346="2-High"),"DELEGATE","DELETE"))))</f>
        <v/>
      </c>
      <c r="P346" s="65" t="n"/>
    </row>
    <row r="347">
      <c r="B347" s="71" t="n">
        <v>342</v>
      </c>
      <c r="C347" s="65" t="n"/>
      <c r="D347" s="66" t="n"/>
      <c r="E347" s="67" t="n"/>
      <c r="F347" s="72">
        <f>IF(OR(C347="",E347=""),"",E347-Setup!$D$7)</f>
        <v/>
      </c>
      <c r="G347" s="69" t="n"/>
      <c r="H347" s="69" t="n"/>
      <c r="I347" s="73">
        <f>IF(OR(G347="",H347=""),"",TRIM(IF(HOUR(H347-G347)&gt;0,HOUR(H347-G347)&amp;" hr ","")&amp;IF(MINUTE(H347-G347)&gt;0,MINUTE(H347-G347)&amp;" min","")))</f>
        <v/>
      </c>
      <c r="J347" s="66" t="n"/>
      <c r="K347" s="70" t="n"/>
      <c r="L347" s="66" t="n"/>
      <c r="M347" s="66" t="n"/>
      <c r="N347" s="66" t="n"/>
      <c r="O347" s="73">
        <f>IF(C347="","",IF(AND(OR(L347="1-Urgent",L347="2-High"),M347="✓"),"DO FIRST",IF(M347="✓","SCHEDULE",IF(OR(L347="1-Urgent",L347="2-High"),"DELEGATE","DELETE"))))</f>
        <v/>
      </c>
      <c r="P347" s="65" t="n"/>
    </row>
    <row r="348">
      <c r="B348" s="64" t="n">
        <v>343</v>
      </c>
      <c r="C348" s="65" t="n"/>
      <c r="D348" s="66" t="n"/>
      <c r="E348" s="67" t="n"/>
      <c r="F348" s="68">
        <f>IF(OR(C348="",E348=""),"",E348-Setup!$D$7)</f>
        <v/>
      </c>
      <c r="G348" s="69" t="n"/>
      <c r="H348" s="69" t="n"/>
      <c r="I348" s="36">
        <f>IF(OR(G348="",H348=""),"",TRIM(IF(HOUR(H348-G348)&gt;0,HOUR(H348-G348)&amp;" hr ","")&amp;IF(MINUTE(H348-G348)&gt;0,MINUTE(H348-G348)&amp;" min","")))</f>
        <v/>
      </c>
      <c r="J348" s="66" t="n"/>
      <c r="K348" s="70" t="n"/>
      <c r="L348" s="66" t="n"/>
      <c r="M348" s="66" t="n"/>
      <c r="N348" s="66" t="n"/>
      <c r="O348" s="36">
        <f>IF(C348="","",IF(AND(OR(L348="1-Urgent",L348="2-High"),M348="✓"),"DO FIRST",IF(M348="✓","SCHEDULE",IF(OR(L348="1-Urgent",L348="2-High"),"DELEGATE","DELETE"))))</f>
        <v/>
      </c>
      <c r="P348" s="65" t="n"/>
    </row>
    <row r="349">
      <c r="B349" s="71" t="n">
        <v>344</v>
      </c>
      <c r="C349" s="65" t="n"/>
      <c r="D349" s="66" t="n"/>
      <c r="E349" s="67" t="n"/>
      <c r="F349" s="72">
        <f>IF(OR(C349="",E349=""),"",E349-Setup!$D$7)</f>
        <v/>
      </c>
      <c r="G349" s="69" t="n"/>
      <c r="H349" s="69" t="n"/>
      <c r="I349" s="73">
        <f>IF(OR(G349="",H349=""),"",TRIM(IF(HOUR(H349-G349)&gt;0,HOUR(H349-G349)&amp;" hr ","")&amp;IF(MINUTE(H349-G349)&gt;0,MINUTE(H349-G349)&amp;" min","")))</f>
        <v/>
      </c>
      <c r="J349" s="66" t="n"/>
      <c r="K349" s="70" t="n"/>
      <c r="L349" s="66" t="n"/>
      <c r="M349" s="66" t="n"/>
      <c r="N349" s="66" t="n"/>
      <c r="O349" s="73">
        <f>IF(C349="","",IF(AND(OR(L349="1-Urgent",L349="2-High"),M349="✓"),"DO FIRST",IF(M349="✓","SCHEDULE",IF(OR(L349="1-Urgent",L349="2-High"),"DELEGATE","DELETE"))))</f>
        <v/>
      </c>
      <c r="P349" s="65" t="n"/>
    </row>
    <row r="350">
      <c r="B350" s="64" t="n">
        <v>345</v>
      </c>
      <c r="C350" s="65" t="n"/>
      <c r="D350" s="66" t="n"/>
      <c r="E350" s="67" t="n"/>
      <c r="F350" s="68">
        <f>IF(OR(C350="",E350=""),"",E350-Setup!$D$7)</f>
        <v/>
      </c>
      <c r="G350" s="69" t="n"/>
      <c r="H350" s="69" t="n"/>
      <c r="I350" s="36">
        <f>IF(OR(G350="",H350=""),"",TRIM(IF(HOUR(H350-G350)&gt;0,HOUR(H350-G350)&amp;" hr ","")&amp;IF(MINUTE(H350-G350)&gt;0,MINUTE(H350-G350)&amp;" min","")))</f>
        <v/>
      </c>
      <c r="J350" s="66" t="n"/>
      <c r="K350" s="70" t="n"/>
      <c r="L350" s="66" t="n"/>
      <c r="M350" s="66" t="n"/>
      <c r="N350" s="66" t="n"/>
      <c r="O350" s="36">
        <f>IF(C350="","",IF(AND(OR(L350="1-Urgent",L350="2-High"),M350="✓"),"DO FIRST",IF(M350="✓","SCHEDULE",IF(OR(L350="1-Urgent",L350="2-High"),"DELEGATE","DELETE"))))</f>
        <v/>
      </c>
      <c r="P350" s="65" t="n"/>
    </row>
    <row r="351">
      <c r="B351" s="71" t="n">
        <v>346</v>
      </c>
      <c r="C351" s="65" t="n"/>
      <c r="D351" s="66" t="n"/>
      <c r="E351" s="67" t="n"/>
      <c r="F351" s="72">
        <f>IF(OR(C351="",E351=""),"",E351-Setup!$D$7)</f>
        <v/>
      </c>
      <c r="G351" s="69" t="n"/>
      <c r="H351" s="69" t="n"/>
      <c r="I351" s="73">
        <f>IF(OR(G351="",H351=""),"",TRIM(IF(HOUR(H351-G351)&gt;0,HOUR(H351-G351)&amp;" hr ","")&amp;IF(MINUTE(H351-G351)&gt;0,MINUTE(H351-G351)&amp;" min","")))</f>
        <v/>
      </c>
      <c r="J351" s="66" t="n"/>
      <c r="K351" s="70" t="n"/>
      <c r="L351" s="66" t="n"/>
      <c r="M351" s="66" t="n"/>
      <c r="N351" s="66" t="n"/>
      <c r="O351" s="73">
        <f>IF(C351="","",IF(AND(OR(L351="1-Urgent",L351="2-High"),M351="✓"),"DO FIRST",IF(M351="✓","SCHEDULE",IF(OR(L351="1-Urgent",L351="2-High"),"DELEGATE","DELETE"))))</f>
        <v/>
      </c>
      <c r="P351" s="65" t="n"/>
    </row>
    <row r="352">
      <c r="B352" s="64" t="n">
        <v>347</v>
      </c>
      <c r="C352" s="65" t="n"/>
      <c r="D352" s="66" t="n"/>
      <c r="E352" s="67" t="n"/>
      <c r="F352" s="68">
        <f>IF(OR(C352="",E352=""),"",E352-Setup!$D$7)</f>
        <v/>
      </c>
      <c r="G352" s="69" t="n"/>
      <c r="H352" s="69" t="n"/>
      <c r="I352" s="36">
        <f>IF(OR(G352="",H352=""),"",TRIM(IF(HOUR(H352-G352)&gt;0,HOUR(H352-G352)&amp;" hr ","")&amp;IF(MINUTE(H352-G352)&gt;0,MINUTE(H352-G352)&amp;" min","")))</f>
        <v/>
      </c>
      <c r="J352" s="66" t="n"/>
      <c r="K352" s="70" t="n"/>
      <c r="L352" s="66" t="n"/>
      <c r="M352" s="66" t="n"/>
      <c r="N352" s="66" t="n"/>
      <c r="O352" s="36">
        <f>IF(C352="","",IF(AND(OR(L352="1-Urgent",L352="2-High"),M352="✓"),"DO FIRST",IF(M352="✓","SCHEDULE",IF(OR(L352="1-Urgent",L352="2-High"),"DELEGATE","DELETE"))))</f>
        <v/>
      </c>
      <c r="P352" s="65" t="n"/>
    </row>
    <row r="353">
      <c r="B353" s="71" t="n">
        <v>348</v>
      </c>
      <c r="C353" s="65" t="n"/>
      <c r="D353" s="66" t="n"/>
      <c r="E353" s="67" t="n"/>
      <c r="F353" s="72">
        <f>IF(OR(C353="",E353=""),"",E353-Setup!$D$7)</f>
        <v/>
      </c>
      <c r="G353" s="69" t="n"/>
      <c r="H353" s="69" t="n"/>
      <c r="I353" s="73">
        <f>IF(OR(G353="",H353=""),"",TRIM(IF(HOUR(H353-G353)&gt;0,HOUR(H353-G353)&amp;" hr ","")&amp;IF(MINUTE(H353-G353)&gt;0,MINUTE(H353-G353)&amp;" min","")))</f>
        <v/>
      </c>
      <c r="J353" s="66" t="n"/>
      <c r="K353" s="70" t="n"/>
      <c r="L353" s="66" t="n"/>
      <c r="M353" s="66" t="n"/>
      <c r="N353" s="66" t="n"/>
      <c r="O353" s="73">
        <f>IF(C353="","",IF(AND(OR(L353="1-Urgent",L353="2-High"),M353="✓"),"DO FIRST",IF(M353="✓","SCHEDULE",IF(OR(L353="1-Urgent",L353="2-High"),"DELEGATE","DELETE"))))</f>
        <v/>
      </c>
      <c r="P353" s="65" t="n"/>
    </row>
    <row r="354">
      <c r="B354" s="64" t="n">
        <v>349</v>
      </c>
      <c r="C354" s="65" t="n"/>
      <c r="D354" s="66" t="n"/>
      <c r="E354" s="67" t="n"/>
      <c r="F354" s="68">
        <f>IF(OR(C354="",E354=""),"",E354-Setup!$D$7)</f>
        <v/>
      </c>
      <c r="G354" s="69" t="n"/>
      <c r="H354" s="69" t="n"/>
      <c r="I354" s="36">
        <f>IF(OR(G354="",H354=""),"",TRIM(IF(HOUR(H354-G354)&gt;0,HOUR(H354-G354)&amp;" hr ","")&amp;IF(MINUTE(H354-G354)&gt;0,MINUTE(H354-G354)&amp;" min","")))</f>
        <v/>
      </c>
      <c r="J354" s="66" t="n"/>
      <c r="K354" s="70" t="n"/>
      <c r="L354" s="66" t="n"/>
      <c r="M354" s="66" t="n"/>
      <c r="N354" s="66" t="n"/>
      <c r="O354" s="36">
        <f>IF(C354="","",IF(AND(OR(L354="1-Urgent",L354="2-High"),M354="✓"),"DO FIRST",IF(M354="✓","SCHEDULE",IF(OR(L354="1-Urgent",L354="2-High"),"DELEGATE","DELETE"))))</f>
        <v/>
      </c>
      <c r="P354" s="65" t="n"/>
    </row>
    <row r="355">
      <c r="B355" s="71" t="n">
        <v>350</v>
      </c>
      <c r="C355" s="65" t="n"/>
      <c r="D355" s="66" t="n"/>
      <c r="E355" s="67" t="n"/>
      <c r="F355" s="72">
        <f>IF(OR(C355="",E355=""),"",E355-Setup!$D$7)</f>
        <v/>
      </c>
      <c r="G355" s="69" t="n"/>
      <c r="H355" s="69" t="n"/>
      <c r="I355" s="73">
        <f>IF(OR(G355="",H355=""),"",TRIM(IF(HOUR(H355-G355)&gt;0,HOUR(H355-G355)&amp;" hr ","")&amp;IF(MINUTE(H355-G355)&gt;0,MINUTE(H355-G355)&amp;" min","")))</f>
        <v/>
      </c>
      <c r="J355" s="66" t="n"/>
      <c r="K355" s="70" t="n"/>
      <c r="L355" s="66" t="n"/>
      <c r="M355" s="66" t="n"/>
      <c r="N355" s="66" t="n"/>
      <c r="O355" s="73">
        <f>IF(C355="","",IF(AND(OR(L355="1-Urgent",L355="2-High"),M355="✓"),"DO FIRST",IF(M355="✓","SCHEDULE",IF(OR(L355="1-Urgent",L355="2-High"),"DELEGATE","DELETE"))))</f>
        <v/>
      </c>
      <c r="P355" s="65" t="n"/>
    </row>
    <row r="356">
      <c r="B356" s="64" t="n">
        <v>351</v>
      </c>
      <c r="C356" s="65" t="n"/>
      <c r="D356" s="66" t="n"/>
      <c r="E356" s="67" t="n"/>
      <c r="F356" s="68">
        <f>IF(OR(C356="",E356=""),"",E356-Setup!$D$7)</f>
        <v/>
      </c>
      <c r="G356" s="69" t="n"/>
      <c r="H356" s="69" t="n"/>
      <c r="I356" s="36">
        <f>IF(OR(G356="",H356=""),"",TRIM(IF(HOUR(H356-G356)&gt;0,HOUR(H356-G356)&amp;" hr ","")&amp;IF(MINUTE(H356-G356)&gt;0,MINUTE(H356-G356)&amp;" min","")))</f>
        <v/>
      </c>
      <c r="J356" s="66" t="n"/>
      <c r="K356" s="70" t="n"/>
      <c r="L356" s="66" t="n"/>
      <c r="M356" s="66" t="n"/>
      <c r="N356" s="66" t="n"/>
      <c r="O356" s="36">
        <f>IF(C356="","",IF(AND(OR(L356="1-Urgent",L356="2-High"),M356="✓"),"DO FIRST",IF(M356="✓","SCHEDULE",IF(OR(L356="1-Urgent",L356="2-High"),"DELEGATE","DELETE"))))</f>
        <v/>
      </c>
      <c r="P356" s="65" t="n"/>
    </row>
    <row r="357">
      <c r="B357" s="71" t="n">
        <v>352</v>
      </c>
      <c r="C357" s="65" t="n"/>
      <c r="D357" s="66" t="n"/>
      <c r="E357" s="67" t="n"/>
      <c r="F357" s="72">
        <f>IF(OR(C357="",E357=""),"",E357-Setup!$D$7)</f>
        <v/>
      </c>
      <c r="G357" s="69" t="n"/>
      <c r="H357" s="69" t="n"/>
      <c r="I357" s="73">
        <f>IF(OR(G357="",H357=""),"",TRIM(IF(HOUR(H357-G357)&gt;0,HOUR(H357-G357)&amp;" hr ","")&amp;IF(MINUTE(H357-G357)&gt;0,MINUTE(H357-G357)&amp;" min","")))</f>
        <v/>
      </c>
      <c r="J357" s="66" t="n"/>
      <c r="K357" s="70" t="n"/>
      <c r="L357" s="66" t="n"/>
      <c r="M357" s="66" t="n"/>
      <c r="N357" s="66" t="n"/>
      <c r="O357" s="73">
        <f>IF(C357="","",IF(AND(OR(L357="1-Urgent",L357="2-High"),M357="✓"),"DO FIRST",IF(M357="✓","SCHEDULE",IF(OR(L357="1-Urgent",L357="2-High"),"DELEGATE","DELETE"))))</f>
        <v/>
      </c>
      <c r="P357" s="65" t="n"/>
    </row>
    <row r="358">
      <c r="B358" s="64" t="n">
        <v>353</v>
      </c>
      <c r="C358" s="65" t="n"/>
      <c r="D358" s="66" t="n"/>
      <c r="E358" s="67" t="n"/>
      <c r="F358" s="68">
        <f>IF(OR(C358="",E358=""),"",E358-Setup!$D$7)</f>
        <v/>
      </c>
      <c r="G358" s="69" t="n"/>
      <c r="H358" s="69" t="n"/>
      <c r="I358" s="36">
        <f>IF(OR(G358="",H358=""),"",TRIM(IF(HOUR(H358-G358)&gt;0,HOUR(H358-G358)&amp;" hr ","")&amp;IF(MINUTE(H358-G358)&gt;0,MINUTE(H358-G358)&amp;" min","")))</f>
        <v/>
      </c>
      <c r="J358" s="66" t="n"/>
      <c r="K358" s="70" t="n"/>
      <c r="L358" s="66" t="n"/>
      <c r="M358" s="66" t="n"/>
      <c r="N358" s="66" t="n"/>
      <c r="O358" s="36">
        <f>IF(C358="","",IF(AND(OR(L358="1-Urgent",L358="2-High"),M358="✓"),"DO FIRST",IF(M358="✓","SCHEDULE",IF(OR(L358="1-Urgent",L358="2-High"),"DELEGATE","DELETE"))))</f>
        <v/>
      </c>
      <c r="P358" s="65" t="n"/>
    </row>
    <row r="359">
      <c r="B359" s="71" t="n">
        <v>354</v>
      </c>
      <c r="C359" s="65" t="n"/>
      <c r="D359" s="66" t="n"/>
      <c r="E359" s="67" t="n"/>
      <c r="F359" s="72">
        <f>IF(OR(C359="",E359=""),"",E359-Setup!$D$7)</f>
        <v/>
      </c>
      <c r="G359" s="69" t="n"/>
      <c r="H359" s="69" t="n"/>
      <c r="I359" s="73">
        <f>IF(OR(G359="",H359=""),"",TRIM(IF(HOUR(H359-G359)&gt;0,HOUR(H359-G359)&amp;" hr ","")&amp;IF(MINUTE(H359-G359)&gt;0,MINUTE(H359-G359)&amp;" min","")))</f>
        <v/>
      </c>
      <c r="J359" s="66" t="n"/>
      <c r="K359" s="70" t="n"/>
      <c r="L359" s="66" t="n"/>
      <c r="M359" s="66" t="n"/>
      <c r="N359" s="66" t="n"/>
      <c r="O359" s="73">
        <f>IF(C359="","",IF(AND(OR(L359="1-Urgent",L359="2-High"),M359="✓"),"DO FIRST",IF(M359="✓","SCHEDULE",IF(OR(L359="1-Urgent",L359="2-High"),"DELEGATE","DELETE"))))</f>
        <v/>
      </c>
      <c r="P359" s="65" t="n"/>
    </row>
    <row r="360">
      <c r="B360" s="64" t="n">
        <v>355</v>
      </c>
      <c r="C360" s="65" t="n"/>
      <c r="D360" s="66" t="n"/>
      <c r="E360" s="67" t="n"/>
      <c r="F360" s="68">
        <f>IF(OR(C360="",E360=""),"",E360-Setup!$D$7)</f>
        <v/>
      </c>
      <c r="G360" s="69" t="n"/>
      <c r="H360" s="69" t="n"/>
      <c r="I360" s="36">
        <f>IF(OR(G360="",H360=""),"",TRIM(IF(HOUR(H360-G360)&gt;0,HOUR(H360-G360)&amp;" hr ","")&amp;IF(MINUTE(H360-G360)&gt;0,MINUTE(H360-G360)&amp;" min","")))</f>
        <v/>
      </c>
      <c r="J360" s="66" t="n"/>
      <c r="K360" s="70" t="n"/>
      <c r="L360" s="66" t="n"/>
      <c r="M360" s="66" t="n"/>
      <c r="N360" s="66" t="n"/>
      <c r="O360" s="36">
        <f>IF(C360="","",IF(AND(OR(L360="1-Urgent",L360="2-High"),M360="✓"),"DO FIRST",IF(M360="✓","SCHEDULE",IF(OR(L360="1-Urgent",L360="2-High"),"DELEGATE","DELETE"))))</f>
        <v/>
      </c>
      <c r="P360" s="65" t="n"/>
    </row>
    <row r="361">
      <c r="B361" s="71" t="n">
        <v>356</v>
      </c>
      <c r="C361" s="65" t="n"/>
      <c r="D361" s="66" t="n"/>
      <c r="E361" s="67" t="n"/>
      <c r="F361" s="72">
        <f>IF(OR(C361="",E361=""),"",E361-Setup!$D$7)</f>
        <v/>
      </c>
      <c r="G361" s="69" t="n"/>
      <c r="H361" s="69" t="n"/>
      <c r="I361" s="73">
        <f>IF(OR(G361="",H361=""),"",TRIM(IF(HOUR(H361-G361)&gt;0,HOUR(H361-G361)&amp;" hr ","")&amp;IF(MINUTE(H361-G361)&gt;0,MINUTE(H361-G361)&amp;" min","")))</f>
        <v/>
      </c>
      <c r="J361" s="66" t="n"/>
      <c r="K361" s="70" t="n"/>
      <c r="L361" s="66" t="n"/>
      <c r="M361" s="66" t="n"/>
      <c r="N361" s="66" t="n"/>
      <c r="O361" s="73">
        <f>IF(C361="","",IF(AND(OR(L361="1-Urgent",L361="2-High"),M361="✓"),"DO FIRST",IF(M361="✓","SCHEDULE",IF(OR(L361="1-Urgent",L361="2-High"),"DELEGATE","DELETE"))))</f>
        <v/>
      </c>
      <c r="P361" s="65" t="n"/>
    </row>
    <row r="362">
      <c r="B362" s="64" t="n">
        <v>357</v>
      </c>
      <c r="C362" s="65" t="n"/>
      <c r="D362" s="66" t="n"/>
      <c r="E362" s="67" t="n"/>
      <c r="F362" s="68">
        <f>IF(OR(C362="",E362=""),"",E362-Setup!$D$7)</f>
        <v/>
      </c>
      <c r="G362" s="69" t="n"/>
      <c r="H362" s="69" t="n"/>
      <c r="I362" s="36">
        <f>IF(OR(G362="",H362=""),"",TRIM(IF(HOUR(H362-G362)&gt;0,HOUR(H362-G362)&amp;" hr ","")&amp;IF(MINUTE(H362-G362)&gt;0,MINUTE(H362-G362)&amp;" min","")))</f>
        <v/>
      </c>
      <c r="J362" s="66" t="n"/>
      <c r="K362" s="70" t="n"/>
      <c r="L362" s="66" t="n"/>
      <c r="M362" s="66" t="n"/>
      <c r="N362" s="66" t="n"/>
      <c r="O362" s="36">
        <f>IF(C362="","",IF(AND(OR(L362="1-Urgent",L362="2-High"),M362="✓"),"DO FIRST",IF(M362="✓","SCHEDULE",IF(OR(L362="1-Urgent",L362="2-High"),"DELEGATE","DELETE"))))</f>
        <v/>
      </c>
      <c r="P362" s="65" t="n"/>
    </row>
    <row r="363">
      <c r="B363" s="71" t="n">
        <v>358</v>
      </c>
      <c r="C363" s="65" t="n"/>
      <c r="D363" s="66" t="n"/>
      <c r="E363" s="67" t="n"/>
      <c r="F363" s="72">
        <f>IF(OR(C363="",E363=""),"",E363-Setup!$D$7)</f>
        <v/>
      </c>
      <c r="G363" s="69" t="n"/>
      <c r="H363" s="69" t="n"/>
      <c r="I363" s="73">
        <f>IF(OR(G363="",H363=""),"",TRIM(IF(HOUR(H363-G363)&gt;0,HOUR(H363-G363)&amp;" hr ","")&amp;IF(MINUTE(H363-G363)&gt;0,MINUTE(H363-G363)&amp;" min","")))</f>
        <v/>
      </c>
      <c r="J363" s="66" t="n"/>
      <c r="K363" s="70" t="n"/>
      <c r="L363" s="66" t="n"/>
      <c r="M363" s="66" t="n"/>
      <c r="N363" s="66" t="n"/>
      <c r="O363" s="73">
        <f>IF(C363="","",IF(AND(OR(L363="1-Urgent",L363="2-High"),M363="✓"),"DO FIRST",IF(M363="✓","SCHEDULE",IF(OR(L363="1-Urgent",L363="2-High"),"DELEGATE","DELETE"))))</f>
        <v/>
      </c>
      <c r="P363" s="65" t="n"/>
    </row>
    <row r="364">
      <c r="B364" s="64" t="n">
        <v>359</v>
      </c>
      <c r="C364" s="65" t="n"/>
      <c r="D364" s="66" t="n"/>
      <c r="E364" s="67" t="n"/>
      <c r="F364" s="68">
        <f>IF(OR(C364="",E364=""),"",E364-Setup!$D$7)</f>
        <v/>
      </c>
      <c r="G364" s="69" t="n"/>
      <c r="H364" s="69" t="n"/>
      <c r="I364" s="36">
        <f>IF(OR(G364="",H364=""),"",TRIM(IF(HOUR(H364-G364)&gt;0,HOUR(H364-G364)&amp;" hr ","")&amp;IF(MINUTE(H364-G364)&gt;0,MINUTE(H364-G364)&amp;" min","")))</f>
        <v/>
      </c>
      <c r="J364" s="66" t="n"/>
      <c r="K364" s="70" t="n"/>
      <c r="L364" s="66" t="n"/>
      <c r="M364" s="66" t="n"/>
      <c r="N364" s="66" t="n"/>
      <c r="O364" s="36">
        <f>IF(C364="","",IF(AND(OR(L364="1-Urgent",L364="2-High"),M364="✓"),"DO FIRST",IF(M364="✓","SCHEDULE",IF(OR(L364="1-Urgent",L364="2-High"),"DELEGATE","DELETE"))))</f>
        <v/>
      </c>
      <c r="P364" s="65" t="n"/>
    </row>
    <row r="365">
      <c r="B365" s="71" t="n">
        <v>360</v>
      </c>
      <c r="C365" s="65" t="n"/>
      <c r="D365" s="66" t="n"/>
      <c r="E365" s="67" t="n"/>
      <c r="F365" s="72">
        <f>IF(OR(C365="",E365=""),"",E365-Setup!$D$7)</f>
        <v/>
      </c>
      <c r="G365" s="69" t="n"/>
      <c r="H365" s="69" t="n"/>
      <c r="I365" s="73">
        <f>IF(OR(G365="",H365=""),"",TRIM(IF(HOUR(H365-G365)&gt;0,HOUR(H365-G365)&amp;" hr ","")&amp;IF(MINUTE(H365-G365)&gt;0,MINUTE(H365-G365)&amp;" min","")))</f>
        <v/>
      </c>
      <c r="J365" s="66" t="n"/>
      <c r="K365" s="70" t="n"/>
      <c r="L365" s="66" t="n"/>
      <c r="M365" s="66" t="n"/>
      <c r="N365" s="66" t="n"/>
      <c r="O365" s="73">
        <f>IF(C365="","",IF(AND(OR(L365="1-Urgent",L365="2-High"),M365="✓"),"DO FIRST",IF(M365="✓","SCHEDULE",IF(OR(L365="1-Urgent",L365="2-High"),"DELEGATE","DELETE"))))</f>
        <v/>
      </c>
      <c r="P365" s="65" t="n"/>
    </row>
    <row r="366">
      <c r="B366" s="64" t="n">
        <v>361</v>
      </c>
      <c r="C366" s="65" t="n"/>
      <c r="D366" s="66" t="n"/>
      <c r="E366" s="67" t="n"/>
      <c r="F366" s="68">
        <f>IF(OR(C366="",E366=""),"",E366-Setup!$D$7)</f>
        <v/>
      </c>
      <c r="G366" s="69" t="n"/>
      <c r="H366" s="69" t="n"/>
      <c r="I366" s="36">
        <f>IF(OR(G366="",H366=""),"",TRIM(IF(HOUR(H366-G366)&gt;0,HOUR(H366-G366)&amp;" hr ","")&amp;IF(MINUTE(H366-G366)&gt;0,MINUTE(H366-G366)&amp;" min","")))</f>
        <v/>
      </c>
      <c r="J366" s="66" t="n"/>
      <c r="K366" s="70" t="n"/>
      <c r="L366" s="66" t="n"/>
      <c r="M366" s="66" t="n"/>
      <c r="N366" s="66" t="n"/>
      <c r="O366" s="36">
        <f>IF(C366="","",IF(AND(OR(L366="1-Urgent",L366="2-High"),M366="✓"),"DO FIRST",IF(M366="✓","SCHEDULE",IF(OR(L366="1-Urgent",L366="2-High"),"DELEGATE","DELETE"))))</f>
        <v/>
      </c>
      <c r="P366" s="65" t="n"/>
    </row>
    <row r="367">
      <c r="B367" s="71" t="n">
        <v>362</v>
      </c>
      <c r="C367" s="65" t="n"/>
      <c r="D367" s="66" t="n"/>
      <c r="E367" s="67" t="n"/>
      <c r="F367" s="72">
        <f>IF(OR(C367="",E367=""),"",E367-Setup!$D$7)</f>
        <v/>
      </c>
      <c r="G367" s="69" t="n"/>
      <c r="H367" s="69" t="n"/>
      <c r="I367" s="73">
        <f>IF(OR(G367="",H367=""),"",TRIM(IF(HOUR(H367-G367)&gt;0,HOUR(H367-G367)&amp;" hr ","")&amp;IF(MINUTE(H367-G367)&gt;0,MINUTE(H367-G367)&amp;" min","")))</f>
        <v/>
      </c>
      <c r="J367" s="66" t="n"/>
      <c r="K367" s="70" t="n"/>
      <c r="L367" s="66" t="n"/>
      <c r="M367" s="66" t="n"/>
      <c r="N367" s="66" t="n"/>
      <c r="O367" s="73">
        <f>IF(C367="","",IF(AND(OR(L367="1-Urgent",L367="2-High"),M367="✓"),"DO FIRST",IF(M367="✓","SCHEDULE",IF(OR(L367="1-Urgent",L367="2-High"),"DELEGATE","DELETE"))))</f>
        <v/>
      </c>
      <c r="P367" s="65" t="n"/>
    </row>
    <row r="368">
      <c r="B368" s="64" t="n">
        <v>363</v>
      </c>
      <c r="C368" s="65" t="n"/>
      <c r="D368" s="66" t="n"/>
      <c r="E368" s="67" t="n"/>
      <c r="F368" s="68">
        <f>IF(OR(C368="",E368=""),"",E368-Setup!$D$7)</f>
        <v/>
      </c>
      <c r="G368" s="69" t="n"/>
      <c r="H368" s="69" t="n"/>
      <c r="I368" s="36">
        <f>IF(OR(G368="",H368=""),"",TRIM(IF(HOUR(H368-G368)&gt;0,HOUR(H368-G368)&amp;" hr ","")&amp;IF(MINUTE(H368-G368)&gt;0,MINUTE(H368-G368)&amp;" min","")))</f>
        <v/>
      </c>
      <c r="J368" s="66" t="n"/>
      <c r="K368" s="70" t="n"/>
      <c r="L368" s="66" t="n"/>
      <c r="M368" s="66" t="n"/>
      <c r="N368" s="66" t="n"/>
      <c r="O368" s="36">
        <f>IF(C368="","",IF(AND(OR(L368="1-Urgent",L368="2-High"),M368="✓"),"DO FIRST",IF(M368="✓","SCHEDULE",IF(OR(L368="1-Urgent",L368="2-High"),"DELEGATE","DELETE"))))</f>
        <v/>
      </c>
      <c r="P368" s="65" t="n"/>
    </row>
    <row r="369">
      <c r="B369" s="71" t="n">
        <v>364</v>
      </c>
      <c r="C369" s="65" t="n"/>
      <c r="D369" s="66" t="n"/>
      <c r="E369" s="67" t="n"/>
      <c r="F369" s="72">
        <f>IF(OR(C369="",E369=""),"",E369-Setup!$D$7)</f>
        <v/>
      </c>
      <c r="G369" s="69" t="n"/>
      <c r="H369" s="69" t="n"/>
      <c r="I369" s="73">
        <f>IF(OR(G369="",H369=""),"",TRIM(IF(HOUR(H369-G369)&gt;0,HOUR(H369-G369)&amp;" hr ","")&amp;IF(MINUTE(H369-G369)&gt;0,MINUTE(H369-G369)&amp;" min","")))</f>
        <v/>
      </c>
      <c r="J369" s="66" t="n"/>
      <c r="K369" s="70" t="n"/>
      <c r="L369" s="66" t="n"/>
      <c r="M369" s="66" t="n"/>
      <c r="N369" s="66" t="n"/>
      <c r="O369" s="73">
        <f>IF(C369="","",IF(AND(OR(L369="1-Urgent",L369="2-High"),M369="✓"),"DO FIRST",IF(M369="✓","SCHEDULE",IF(OR(L369="1-Urgent",L369="2-High"),"DELEGATE","DELETE"))))</f>
        <v/>
      </c>
      <c r="P369" s="65" t="n"/>
    </row>
    <row r="370">
      <c r="B370" s="64" t="n">
        <v>365</v>
      </c>
      <c r="C370" s="65" t="n"/>
      <c r="D370" s="66" t="n"/>
      <c r="E370" s="67" t="n"/>
      <c r="F370" s="68">
        <f>IF(OR(C370="",E370=""),"",E370-Setup!$D$7)</f>
        <v/>
      </c>
      <c r="G370" s="69" t="n"/>
      <c r="H370" s="69" t="n"/>
      <c r="I370" s="36">
        <f>IF(OR(G370="",H370=""),"",TRIM(IF(HOUR(H370-G370)&gt;0,HOUR(H370-G370)&amp;" hr ","")&amp;IF(MINUTE(H370-G370)&gt;0,MINUTE(H370-G370)&amp;" min","")))</f>
        <v/>
      </c>
      <c r="J370" s="66" t="n"/>
      <c r="K370" s="70" t="n"/>
      <c r="L370" s="66" t="n"/>
      <c r="M370" s="66" t="n"/>
      <c r="N370" s="66" t="n"/>
      <c r="O370" s="36">
        <f>IF(C370="","",IF(AND(OR(L370="1-Urgent",L370="2-High"),M370="✓"),"DO FIRST",IF(M370="✓","SCHEDULE",IF(OR(L370="1-Urgent",L370="2-High"),"DELEGATE","DELETE"))))</f>
        <v/>
      </c>
      <c r="P370" s="65" t="n"/>
    </row>
    <row r="371">
      <c r="B371" s="71" t="n">
        <v>366</v>
      </c>
      <c r="C371" s="65" t="n"/>
      <c r="D371" s="66" t="n"/>
      <c r="E371" s="67" t="n"/>
      <c r="F371" s="72">
        <f>IF(OR(C371="",E371=""),"",E371-Setup!$D$7)</f>
        <v/>
      </c>
      <c r="G371" s="69" t="n"/>
      <c r="H371" s="69" t="n"/>
      <c r="I371" s="73">
        <f>IF(OR(G371="",H371=""),"",TRIM(IF(HOUR(H371-G371)&gt;0,HOUR(H371-G371)&amp;" hr ","")&amp;IF(MINUTE(H371-G371)&gt;0,MINUTE(H371-G371)&amp;" min","")))</f>
        <v/>
      </c>
      <c r="J371" s="66" t="n"/>
      <c r="K371" s="70" t="n"/>
      <c r="L371" s="66" t="n"/>
      <c r="M371" s="66" t="n"/>
      <c r="N371" s="66" t="n"/>
      <c r="O371" s="73">
        <f>IF(C371="","",IF(AND(OR(L371="1-Urgent",L371="2-High"),M371="✓"),"DO FIRST",IF(M371="✓","SCHEDULE",IF(OR(L371="1-Urgent",L371="2-High"),"DELEGATE","DELETE"))))</f>
        <v/>
      </c>
      <c r="P371" s="65" t="n"/>
    </row>
    <row r="372">
      <c r="B372" s="64" t="n">
        <v>367</v>
      </c>
      <c r="C372" s="65" t="n"/>
      <c r="D372" s="66" t="n"/>
      <c r="E372" s="67" t="n"/>
      <c r="F372" s="68">
        <f>IF(OR(C372="",E372=""),"",E372-Setup!$D$7)</f>
        <v/>
      </c>
      <c r="G372" s="69" t="n"/>
      <c r="H372" s="69" t="n"/>
      <c r="I372" s="36">
        <f>IF(OR(G372="",H372=""),"",TRIM(IF(HOUR(H372-G372)&gt;0,HOUR(H372-G372)&amp;" hr ","")&amp;IF(MINUTE(H372-G372)&gt;0,MINUTE(H372-G372)&amp;" min","")))</f>
        <v/>
      </c>
      <c r="J372" s="66" t="n"/>
      <c r="K372" s="70" t="n"/>
      <c r="L372" s="66" t="n"/>
      <c r="M372" s="66" t="n"/>
      <c r="N372" s="66" t="n"/>
      <c r="O372" s="36">
        <f>IF(C372="","",IF(AND(OR(L372="1-Urgent",L372="2-High"),M372="✓"),"DO FIRST",IF(M372="✓","SCHEDULE",IF(OR(L372="1-Urgent",L372="2-High"),"DELEGATE","DELETE"))))</f>
        <v/>
      </c>
      <c r="P372" s="65" t="n"/>
    </row>
    <row r="373">
      <c r="B373" s="71" t="n">
        <v>368</v>
      </c>
      <c r="C373" s="65" t="n"/>
      <c r="D373" s="66" t="n"/>
      <c r="E373" s="67" t="n"/>
      <c r="F373" s="72">
        <f>IF(OR(C373="",E373=""),"",E373-Setup!$D$7)</f>
        <v/>
      </c>
      <c r="G373" s="69" t="n"/>
      <c r="H373" s="69" t="n"/>
      <c r="I373" s="73">
        <f>IF(OR(G373="",H373=""),"",TRIM(IF(HOUR(H373-G373)&gt;0,HOUR(H373-G373)&amp;" hr ","")&amp;IF(MINUTE(H373-G373)&gt;0,MINUTE(H373-G373)&amp;" min","")))</f>
        <v/>
      </c>
      <c r="J373" s="66" t="n"/>
      <c r="K373" s="70" t="n"/>
      <c r="L373" s="66" t="n"/>
      <c r="M373" s="66" t="n"/>
      <c r="N373" s="66" t="n"/>
      <c r="O373" s="73">
        <f>IF(C373="","",IF(AND(OR(L373="1-Urgent",L373="2-High"),M373="✓"),"DO FIRST",IF(M373="✓","SCHEDULE",IF(OR(L373="1-Urgent",L373="2-High"),"DELEGATE","DELETE"))))</f>
        <v/>
      </c>
      <c r="P373" s="65" t="n"/>
    </row>
    <row r="374">
      <c r="B374" s="64" t="n">
        <v>369</v>
      </c>
      <c r="C374" s="65" t="n"/>
      <c r="D374" s="66" t="n"/>
      <c r="E374" s="67" t="n"/>
      <c r="F374" s="68">
        <f>IF(OR(C374="",E374=""),"",E374-Setup!$D$7)</f>
        <v/>
      </c>
      <c r="G374" s="69" t="n"/>
      <c r="H374" s="69" t="n"/>
      <c r="I374" s="36">
        <f>IF(OR(G374="",H374=""),"",TRIM(IF(HOUR(H374-G374)&gt;0,HOUR(H374-G374)&amp;" hr ","")&amp;IF(MINUTE(H374-G374)&gt;0,MINUTE(H374-G374)&amp;" min","")))</f>
        <v/>
      </c>
      <c r="J374" s="66" t="n"/>
      <c r="K374" s="70" t="n"/>
      <c r="L374" s="66" t="n"/>
      <c r="M374" s="66" t="n"/>
      <c r="N374" s="66" t="n"/>
      <c r="O374" s="36">
        <f>IF(C374="","",IF(AND(OR(L374="1-Urgent",L374="2-High"),M374="✓"),"DO FIRST",IF(M374="✓","SCHEDULE",IF(OR(L374="1-Urgent",L374="2-High"),"DELEGATE","DELETE"))))</f>
        <v/>
      </c>
      <c r="P374" s="65" t="n"/>
    </row>
    <row r="375">
      <c r="B375" s="71" t="n">
        <v>370</v>
      </c>
      <c r="C375" s="65" t="n"/>
      <c r="D375" s="66" t="n"/>
      <c r="E375" s="67" t="n"/>
      <c r="F375" s="72">
        <f>IF(OR(C375="",E375=""),"",E375-Setup!$D$7)</f>
        <v/>
      </c>
      <c r="G375" s="69" t="n"/>
      <c r="H375" s="69" t="n"/>
      <c r="I375" s="73">
        <f>IF(OR(G375="",H375=""),"",TRIM(IF(HOUR(H375-G375)&gt;0,HOUR(H375-G375)&amp;" hr ","")&amp;IF(MINUTE(H375-G375)&gt;0,MINUTE(H375-G375)&amp;" min","")))</f>
        <v/>
      </c>
      <c r="J375" s="66" t="n"/>
      <c r="K375" s="70" t="n"/>
      <c r="L375" s="66" t="n"/>
      <c r="M375" s="66" t="n"/>
      <c r="N375" s="66" t="n"/>
      <c r="O375" s="73">
        <f>IF(C375="","",IF(AND(OR(L375="1-Urgent",L375="2-High"),M375="✓"),"DO FIRST",IF(M375="✓","SCHEDULE",IF(OR(L375="1-Urgent",L375="2-High"),"DELEGATE","DELETE"))))</f>
        <v/>
      </c>
      <c r="P375" s="65" t="n"/>
    </row>
    <row r="376">
      <c r="B376" s="64" t="n">
        <v>371</v>
      </c>
      <c r="C376" s="65" t="n"/>
      <c r="D376" s="66" t="n"/>
      <c r="E376" s="67" t="n"/>
      <c r="F376" s="68">
        <f>IF(OR(C376="",E376=""),"",E376-Setup!$D$7)</f>
        <v/>
      </c>
      <c r="G376" s="69" t="n"/>
      <c r="H376" s="69" t="n"/>
      <c r="I376" s="36">
        <f>IF(OR(G376="",H376=""),"",TRIM(IF(HOUR(H376-G376)&gt;0,HOUR(H376-G376)&amp;" hr ","")&amp;IF(MINUTE(H376-G376)&gt;0,MINUTE(H376-G376)&amp;" min","")))</f>
        <v/>
      </c>
      <c r="J376" s="66" t="n"/>
      <c r="K376" s="70" t="n"/>
      <c r="L376" s="66" t="n"/>
      <c r="M376" s="66" t="n"/>
      <c r="N376" s="66" t="n"/>
      <c r="O376" s="36">
        <f>IF(C376="","",IF(AND(OR(L376="1-Urgent",L376="2-High"),M376="✓"),"DO FIRST",IF(M376="✓","SCHEDULE",IF(OR(L376="1-Urgent",L376="2-High"),"DELEGATE","DELETE"))))</f>
        <v/>
      </c>
      <c r="P376" s="65" t="n"/>
    </row>
    <row r="377">
      <c r="B377" s="71" t="n">
        <v>372</v>
      </c>
      <c r="C377" s="65" t="n"/>
      <c r="D377" s="66" t="n"/>
      <c r="E377" s="67" t="n"/>
      <c r="F377" s="72">
        <f>IF(OR(C377="",E377=""),"",E377-Setup!$D$7)</f>
        <v/>
      </c>
      <c r="G377" s="69" t="n"/>
      <c r="H377" s="69" t="n"/>
      <c r="I377" s="73">
        <f>IF(OR(G377="",H377=""),"",TRIM(IF(HOUR(H377-G377)&gt;0,HOUR(H377-G377)&amp;" hr ","")&amp;IF(MINUTE(H377-G377)&gt;0,MINUTE(H377-G377)&amp;" min","")))</f>
        <v/>
      </c>
      <c r="J377" s="66" t="n"/>
      <c r="K377" s="70" t="n"/>
      <c r="L377" s="66" t="n"/>
      <c r="M377" s="66" t="n"/>
      <c r="N377" s="66" t="n"/>
      <c r="O377" s="73">
        <f>IF(C377="","",IF(AND(OR(L377="1-Urgent",L377="2-High"),M377="✓"),"DO FIRST",IF(M377="✓","SCHEDULE",IF(OR(L377="1-Urgent",L377="2-High"),"DELEGATE","DELETE"))))</f>
        <v/>
      </c>
      <c r="P377" s="65" t="n"/>
    </row>
    <row r="378">
      <c r="B378" s="64" t="n">
        <v>373</v>
      </c>
      <c r="C378" s="65" t="n"/>
      <c r="D378" s="66" t="n"/>
      <c r="E378" s="67" t="n"/>
      <c r="F378" s="68">
        <f>IF(OR(C378="",E378=""),"",E378-Setup!$D$7)</f>
        <v/>
      </c>
      <c r="G378" s="69" t="n"/>
      <c r="H378" s="69" t="n"/>
      <c r="I378" s="36">
        <f>IF(OR(G378="",H378=""),"",TRIM(IF(HOUR(H378-G378)&gt;0,HOUR(H378-G378)&amp;" hr ","")&amp;IF(MINUTE(H378-G378)&gt;0,MINUTE(H378-G378)&amp;" min","")))</f>
        <v/>
      </c>
      <c r="J378" s="66" t="n"/>
      <c r="K378" s="70" t="n"/>
      <c r="L378" s="66" t="n"/>
      <c r="M378" s="66" t="n"/>
      <c r="N378" s="66" t="n"/>
      <c r="O378" s="36">
        <f>IF(C378="","",IF(AND(OR(L378="1-Urgent",L378="2-High"),M378="✓"),"DO FIRST",IF(M378="✓","SCHEDULE",IF(OR(L378="1-Urgent",L378="2-High"),"DELEGATE","DELETE"))))</f>
        <v/>
      </c>
      <c r="P378" s="65" t="n"/>
    </row>
    <row r="379">
      <c r="B379" s="71" t="n">
        <v>374</v>
      </c>
      <c r="C379" s="65" t="n"/>
      <c r="D379" s="66" t="n"/>
      <c r="E379" s="67" t="n"/>
      <c r="F379" s="72">
        <f>IF(OR(C379="",E379=""),"",E379-Setup!$D$7)</f>
        <v/>
      </c>
      <c r="G379" s="69" t="n"/>
      <c r="H379" s="69" t="n"/>
      <c r="I379" s="73">
        <f>IF(OR(G379="",H379=""),"",TRIM(IF(HOUR(H379-G379)&gt;0,HOUR(H379-G379)&amp;" hr ","")&amp;IF(MINUTE(H379-G379)&gt;0,MINUTE(H379-G379)&amp;" min","")))</f>
        <v/>
      </c>
      <c r="J379" s="66" t="n"/>
      <c r="K379" s="70" t="n"/>
      <c r="L379" s="66" t="n"/>
      <c r="M379" s="66" t="n"/>
      <c r="N379" s="66" t="n"/>
      <c r="O379" s="73">
        <f>IF(C379="","",IF(AND(OR(L379="1-Urgent",L379="2-High"),M379="✓"),"DO FIRST",IF(M379="✓","SCHEDULE",IF(OR(L379="1-Urgent",L379="2-High"),"DELEGATE","DELETE"))))</f>
        <v/>
      </c>
      <c r="P379" s="65" t="n"/>
    </row>
    <row r="380">
      <c r="B380" s="64" t="n">
        <v>375</v>
      </c>
      <c r="C380" s="65" t="n"/>
      <c r="D380" s="66" t="n"/>
      <c r="E380" s="67" t="n"/>
      <c r="F380" s="68">
        <f>IF(OR(C380="",E380=""),"",E380-Setup!$D$7)</f>
        <v/>
      </c>
      <c r="G380" s="69" t="n"/>
      <c r="H380" s="69" t="n"/>
      <c r="I380" s="36">
        <f>IF(OR(G380="",H380=""),"",TRIM(IF(HOUR(H380-G380)&gt;0,HOUR(H380-G380)&amp;" hr ","")&amp;IF(MINUTE(H380-G380)&gt;0,MINUTE(H380-G380)&amp;" min","")))</f>
        <v/>
      </c>
      <c r="J380" s="66" t="n"/>
      <c r="K380" s="70" t="n"/>
      <c r="L380" s="66" t="n"/>
      <c r="M380" s="66" t="n"/>
      <c r="N380" s="66" t="n"/>
      <c r="O380" s="36">
        <f>IF(C380="","",IF(AND(OR(L380="1-Urgent",L380="2-High"),M380="✓"),"DO FIRST",IF(M380="✓","SCHEDULE",IF(OR(L380="1-Urgent",L380="2-High"),"DELEGATE","DELETE"))))</f>
        <v/>
      </c>
      <c r="P380" s="65" t="n"/>
    </row>
    <row r="381">
      <c r="B381" s="71" t="n">
        <v>376</v>
      </c>
      <c r="C381" s="65" t="n"/>
      <c r="D381" s="66" t="n"/>
      <c r="E381" s="67" t="n"/>
      <c r="F381" s="72">
        <f>IF(OR(C381="",E381=""),"",E381-Setup!$D$7)</f>
        <v/>
      </c>
      <c r="G381" s="69" t="n"/>
      <c r="H381" s="69" t="n"/>
      <c r="I381" s="73">
        <f>IF(OR(G381="",H381=""),"",TRIM(IF(HOUR(H381-G381)&gt;0,HOUR(H381-G381)&amp;" hr ","")&amp;IF(MINUTE(H381-G381)&gt;0,MINUTE(H381-G381)&amp;" min","")))</f>
        <v/>
      </c>
      <c r="J381" s="66" t="n"/>
      <c r="K381" s="70" t="n"/>
      <c r="L381" s="66" t="n"/>
      <c r="M381" s="66" t="n"/>
      <c r="N381" s="66" t="n"/>
      <c r="O381" s="73">
        <f>IF(C381="","",IF(AND(OR(L381="1-Urgent",L381="2-High"),M381="✓"),"DO FIRST",IF(M381="✓","SCHEDULE",IF(OR(L381="1-Urgent",L381="2-High"),"DELEGATE","DELETE"))))</f>
        <v/>
      </c>
      <c r="P381" s="65" t="n"/>
    </row>
    <row r="382">
      <c r="B382" s="64" t="n">
        <v>377</v>
      </c>
      <c r="C382" s="65" t="n"/>
      <c r="D382" s="66" t="n"/>
      <c r="E382" s="67" t="n"/>
      <c r="F382" s="68">
        <f>IF(OR(C382="",E382=""),"",E382-Setup!$D$7)</f>
        <v/>
      </c>
      <c r="G382" s="69" t="n"/>
      <c r="H382" s="69" t="n"/>
      <c r="I382" s="36">
        <f>IF(OR(G382="",H382=""),"",TRIM(IF(HOUR(H382-G382)&gt;0,HOUR(H382-G382)&amp;" hr ","")&amp;IF(MINUTE(H382-G382)&gt;0,MINUTE(H382-G382)&amp;" min","")))</f>
        <v/>
      </c>
      <c r="J382" s="66" t="n"/>
      <c r="K382" s="70" t="n"/>
      <c r="L382" s="66" t="n"/>
      <c r="M382" s="66" t="n"/>
      <c r="N382" s="66" t="n"/>
      <c r="O382" s="36">
        <f>IF(C382="","",IF(AND(OR(L382="1-Urgent",L382="2-High"),M382="✓"),"DO FIRST",IF(M382="✓","SCHEDULE",IF(OR(L382="1-Urgent",L382="2-High"),"DELEGATE","DELETE"))))</f>
        <v/>
      </c>
      <c r="P382" s="65" t="n"/>
    </row>
    <row r="383">
      <c r="B383" s="71" t="n">
        <v>378</v>
      </c>
      <c r="C383" s="65" t="n"/>
      <c r="D383" s="66" t="n"/>
      <c r="E383" s="67" t="n"/>
      <c r="F383" s="72">
        <f>IF(OR(C383="",E383=""),"",E383-Setup!$D$7)</f>
        <v/>
      </c>
      <c r="G383" s="69" t="n"/>
      <c r="H383" s="69" t="n"/>
      <c r="I383" s="73">
        <f>IF(OR(G383="",H383=""),"",TRIM(IF(HOUR(H383-G383)&gt;0,HOUR(H383-G383)&amp;" hr ","")&amp;IF(MINUTE(H383-G383)&gt;0,MINUTE(H383-G383)&amp;" min","")))</f>
        <v/>
      </c>
      <c r="J383" s="66" t="n"/>
      <c r="K383" s="70" t="n"/>
      <c r="L383" s="66" t="n"/>
      <c r="M383" s="66" t="n"/>
      <c r="N383" s="66" t="n"/>
      <c r="O383" s="73">
        <f>IF(C383="","",IF(AND(OR(L383="1-Urgent",L383="2-High"),M383="✓"),"DO FIRST",IF(M383="✓","SCHEDULE",IF(OR(L383="1-Urgent",L383="2-High"),"DELEGATE","DELETE"))))</f>
        <v/>
      </c>
      <c r="P383" s="65" t="n"/>
    </row>
    <row r="384">
      <c r="B384" s="64" t="n">
        <v>379</v>
      </c>
      <c r="C384" s="65" t="n"/>
      <c r="D384" s="66" t="n"/>
      <c r="E384" s="67" t="n"/>
      <c r="F384" s="68">
        <f>IF(OR(C384="",E384=""),"",E384-Setup!$D$7)</f>
        <v/>
      </c>
      <c r="G384" s="69" t="n"/>
      <c r="H384" s="69" t="n"/>
      <c r="I384" s="36">
        <f>IF(OR(G384="",H384=""),"",TRIM(IF(HOUR(H384-G384)&gt;0,HOUR(H384-G384)&amp;" hr ","")&amp;IF(MINUTE(H384-G384)&gt;0,MINUTE(H384-G384)&amp;" min","")))</f>
        <v/>
      </c>
      <c r="J384" s="66" t="n"/>
      <c r="K384" s="70" t="n"/>
      <c r="L384" s="66" t="n"/>
      <c r="M384" s="66" t="n"/>
      <c r="N384" s="66" t="n"/>
      <c r="O384" s="36">
        <f>IF(C384="","",IF(AND(OR(L384="1-Urgent",L384="2-High"),M384="✓"),"DO FIRST",IF(M384="✓","SCHEDULE",IF(OR(L384="1-Urgent",L384="2-High"),"DELEGATE","DELETE"))))</f>
        <v/>
      </c>
      <c r="P384" s="65" t="n"/>
    </row>
    <row r="385">
      <c r="B385" s="71" t="n">
        <v>380</v>
      </c>
      <c r="C385" s="65" t="n"/>
      <c r="D385" s="66" t="n"/>
      <c r="E385" s="67" t="n"/>
      <c r="F385" s="72">
        <f>IF(OR(C385="",E385=""),"",E385-Setup!$D$7)</f>
        <v/>
      </c>
      <c r="G385" s="69" t="n"/>
      <c r="H385" s="69" t="n"/>
      <c r="I385" s="73">
        <f>IF(OR(G385="",H385=""),"",TRIM(IF(HOUR(H385-G385)&gt;0,HOUR(H385-G385)&amp;" hr ","")&amp;IF(MINUTE(H385-G385)&gt;0,MINUTE(H385-G385)&amp;" min","")))</f>
        <v/>
      </c>
      <c r="J385" s="66" t="n"/>
      <c r="K385" s="70" t="n"/>
      <c r="L385" s="66" t="n"/>
      <c r="M385" s="66" t="n"/>
      <c r="N385" s="66" t="n"/>
      <c r="O385" s="73">
        <f>IF(C385="","",IF(AND(OR(L385="1-Urgent",L385="2-High"),M385="✓"),"DO FIRST",IF(M385="✓","SCHEDULE",IF(OR(L385="1-Urgent",L385="2-High"),"DELEGATE","DELETE"))))</f>
        <v/>
      </c>
      <c r="P385" s="65" t="n"/>
    </row>
    <row r="386">
      <c r="B386" s="64" t="n">
        <v>381</v>
      </c>
      <c r="C386" s="65" t="n"/>
      <c r="D386" s="66" t="n"/>
      <c r="E386" s="67" t="n"/>
      <c r="F386" s="68">
        <f>IF(OR(C386="",E386=""),"",E386-Setup!$D$7)</f>
        <v/>
      </c>
      <c r="G386" s="69" t="n"/>
      <c r="H386" s="69" t="n"/>
      <c r="I386" s="36">
        <f>IF(OR(G386="",H386=""),"",TRIM(IF(HOUR(H386-G386)&gt;0,HOUR(H386-G386)&amp;" hr ","")&amp;IF(MINUTE(H386-G386)&gt;0,MINUTE(H386-G386)&amp;" min","")))</f>
        <v/>
      </c>
      <c r="J386" s="66" t="n"/>
      <c r="K386" s="70" t="n"/>
      <c r="L386" s="66" t="n"/>
      <c r="M386" s="66" t="n"/>
      <c r="N386" s="66" t="n"/>
      <c r="O386" s="36">
        <f>IF(C386="","",IF(AND(OR(L386="1-Urgent",L386="2-High"),M386="✓"),"DO FIRST",IF(M386="✓","SCHEDULE",IF(OR(L386="1-Urgent",L386="2-High"),"DELEGATE","DELETE"))))</f>
        <v/>
      </c>
      <c r="P386" s="65" t="n"/>
    </row>
    <row r="387">
      <c r="B387" s="71" t="n">
        <v>382</v>
      </c>
      <c r="C387" s="65" t="n"/>
      <c r="D387" s="66" t="n"/>
      <c r="E387" s="67" t="n"/>
      <c r="F387" s="72">
        <f>IF(OR(C387="",E387=""),"",E387-Setup!$D$7)</f>
        <v/>
      </c>
      <c r="G387" s="69" t="n"/>
      <c r="H387" s="69" t="n"/>
      <c r="I387" s="73">
        <f>IF(OR(G387="",H387=""),"",TRIM(IF(HOUR(H387-G387)&gt;0,HOUR(H387-G387)&amp;" hr ","")&amp;IF(MINUTE(H387-G387)&gt;0,MINUTE(H387-G387)&amp;" min","")))</f>
        <v/>
      </c>
      <c r="J387" s="66" t="n"/>
      <c r="K387" s="70" t="n"/>
      <c r="L387" s="66" t="n"/>
      <c r="M387" s="66" t="n"/>
      <c r="N387" s="66" t="n"/>
      <c r="O387" s="73">
        <f>IF(C387="","",IF(AND(OR(L387="1-Urgent",L387="2-High"),M387="✓"),"DO FIRST",IF(M387="✓","SCHEDULE",IF(OR(L387="1-Urgent",L387="2-High"),"DELEGATE","DELETE"))))</f>
        <v/>
      </c>
      <c r="P387" s="65" t="n"/>
    </row>
    <row r="388">
      <c r="B388" s="64" t="n">
        <v>383</v>
      </c>
      <c r="C388" s="65" t="n"/>
      <c r="D388" s="66" t="n"/>
      <c r="E388" s="67" t="n"/>
      <c r="F388" s="68">
        <f>IF(OR(C388="",E388=""),"",E388-Setup!$D$7)</f>
        <v/>
      </c>
      <c r="G388" s="69" t="n"/>
      <c r="H388" s="69" t="n"/>
      <c r="I388" s="36">
        <f>IF(OR(G388="",H388=""),"",TRIM(IF(HOUR(H388-G388)&gt;0,HOUR(H388-G388)&amp;" hr ","")&amp;IF(MINUTE(H388-G388)&gt;0,MINUTE(H388-G388)&amp;" min","")))</f>
        <v/>
      </c>
      <c r="J388" s="66" t="n"/>
      <c r="K388" s="70" t="n"/>
      <c r="L388" s="66" t="n"/>
      <c r="M388" s="66" t="n"/>
      <c r="N388" s="66" t="n"/>
      <c r="O388" s="36">
        <f>IF(C388="","",IF(AND(OR(L388="1-Urgent",L388="2-High"),M388="✓"),"DO FIRST",IF(M388="✓","SCHEDULE",IF(OR(L388="1-Urgent",L388="2-High"),"DELEGATE","DELETE"))))</f>
        <v/>
      </c>
      <c r="P388" s="65" t="n"/>
    </row>
    <row r="389">
      <c r="B389" s="71" t="n">
        <v>384</v>
      </c>
      <c r="C389" s="65" t="n"/>
      <c r="D389" s="66" t="n"/>
      <c r="E389" s="67" t="n"/>
      <c r="F389" s="72">
        <f>IF(OR(C389="",E389=""),"",E389-Setup!$D$7)</f>
        <v/>
      </c>
      <c r="G389" s="69" t="n"/>
      <c r="H389" s="69" t="n"/>
      <c r="I389" s="73">
        <f>IF(OR(G389="",H389=""),"",TRIM(IF(HOUR(H389-G389)&gt;0,HOUR(H389-G389)&amp;" hr ","")&amp;IF(MINUTE(H389-G389)&gt;0,MINUTE(H389-G389)&amp;" min","")))</f>
        <v/>
      </c>
      <c r="J389" s="66" t="n"/>
      <c r="K389" s="70" t="n"/>
      <c r="L389" s="66" t="n"/>
      <c r="M389" s="66" t="n"/>
      <c r="N389" s="66" t="n"/>
      <c r="O389" s="73">
        <f>IF(C389="","",IF(AND(OR(L389="1-Urgent",L389="2-High"),M389="✓"),"DO FIRST",IF(M389="✓","SCHEDULE",IF(OR(L389="1-Urgent",L389="2-High"),"DELEGATE","DELETE"))))</f>
        <v/>
      </c>
      <c r="P389" s="65" t="n"/>
    </row>
    <row r="390">
      <c r="B390" s="64" t="n">
        <v>385</v>
      </c>
      <c r="C390" s="65" t="n"/>
      <c r="D390" s="66" t="n"/>
      <c r="E390" s="67" t="n"/>
      <c r="F390" s="68">
        <f>IF(OR(C390="",E390=""),"",E390-Setup!$D$7)</f>
        <v/>
      </c>
      <c r="G390" s="69" t="n"/>
      <c r="H390" s="69" t="n"/>
      <c r="I390" s="36">
        <f>IF(OR(G390="",H390=""),"",TRIM(IF(HOUR(H390-G390)&gt;0,HOUR(H390-G390)&amp;" hr ","")&amp;IF(MINUTE(H390-G390)&gt;0,MINUTE(H390-G390)&amp;" min","")))</f>
        <v/>
      </c>
      <c r="J390" s="66" t="n"/>
      <c r="K390" s="70" t="n"/>
      <c r="L390" s="66" t="n"/>
      <c r="M390" s="66" t="n"/>
      <c r="N390" s="66" t="n"/>
      <c r="O390" s="36">
        <f>IF(C390="","",IF(AND(OR(L390="1-Urgent",L390="2-High"),M390="✓"),"DO FIRST",IF(M390="✓","SCHEDULE",IF(OR(L390="1-Urgent",L390="2-High"),"DELEGATE","DELETE"))))</f>
        <v/>
      </c>
      <c r="P390" s="65" t="n"/>
    </row>
    <row r="391">
      <c r="B391" s="71" t="n">
        <v>386</v>
      </c>
      <c r="C391" s="65" t="n"/>
      <c r="D391" s="66" t="n"/>
      <c r="E391" s="67" t="n"/>
      <c r="F391" s="72">
        <f>IF(OR(C391="",E391=""),"",E391-Setup!$D$7)</f>
        <v/>
      </c>
      <c r="G391" s="69" t="n"/>
      <c r="H391" s="69" t="n"/>
      <c r="I391" s="73">
        <f>IF(OR(G391="",H391=""),"",TRIM(IF(HOUR(H391-G391)&gt;0,HOUR(H391-G391)&amp;" hr ","")&amp;IF(MINUTE(H391-G391)&gt;0,MINUTE(H391-G391)&amp;" min","")))</f>
        <v/>
      </c>
      <c r="J391" s="66" t="n"/>
      <c r="K391" s="70" t="n"/>
      <c r="L391" s="66" t="n"/>
      <c r="M391" s="66" t="n"/>
      <c r="N391" s="66" t="n"/>
      <c r="O391" s="73">
        <f>IF(C391="","",IF(AND(OR(L391="1-Urgent",L391="2-High"),M391="✓"),"DO FIRST",IF(M391="✓","SCHEDULE",IF(OR(L391="1-Urgent",L391="2-High"),"DELEGATE","DELETE"))))</f>
        <v/>
      </c>
      <c r="P391" s="65" t="n"/>
    </row>
    <row r="392">
      <c r="B392" s="64" t="n">
        <v>387</v>
      </c>
      <c r="C392" s="65" t="n"/>
      <c r="D392" s="66" t="n"/>
      <c r="E392" s="67" t="n"/>
      <c r="F392" s="68">
        <f>IF(OR(C392="",E392=""),"",E392-Setup!$D$7)</f>
        <v/>
      </c>
      <c r="G392" s="69" t="n"/>
      <c r="H392" s="69" t="n"/>
      <c r="I392" s="36">
        <f>IF(OR(G392="",H392=""),"",TRIM(IF(HOUR(H392-G392)&gt;0,HOUR(H392-G392)&amp;" hr ","")&amp;IF(MINUTE(H392-G392)&gt;0,MINUTE(H392-G392)&amp;" min","")))</f>
        <v/>
      </c>
      <c r="J392" s="66" t="n"/>
      <c r="K392" s="70" t="n"/>
      <c r="L392" s="66" t="n"/>
      <c r="M392" s="66" t="n"/>
      <c r="N392" s="66" t="n"/>
      <c r="O392" s="36">
        <f>IF(C392="","",IF(AND(OR(L392="1-Urgent",L392="2-High"),M392="✓"),"DO FIRST",IF(M392="✓","SCHEDULE",IF(OR(L392="1-Urgent",L392="2-High"),"DELEGATE","DELETE"))))</f>
        <v/>
      </c>
      <c r="P392" s="65" t="n"/>
    </row>
    <row r="393">
      <c r="B393" s="71" t="n">
        <v>388</v>
      </c>
      <c r="C393" s="65" t="n"/>
      <c r="D393" s="66" t="n"/>
      <c r="E393" s="67" t="n"/>
      <c r="F393" s="72">
        <f>IF(OR(C393="",E393=""),"",E393-Setup!$D$7)</f>
        <v/>
      </c>
      <c r="G393" s="69" t="n"/>
      <c r="H393" s="69" t="n"/>
      <c r="I393" s="73">
        <f>IF(OR(G393="",H393=""),"",TRIM(IF(HOUR(H393-G393)&gt;0,HOUR(H393-G393)&amp;" hr ","")&amp;IF(MINUTE(H393-G393)&gt;0,MINUTE(H393-G393)&amp;" min","")))</f>
        <v/>
      </c>
      <c r="J393" s="66" t="n"/>
      <c r="K393" s="70" t="n"/>
      <c r="L393" s="66" t="n"/>
      <c r="M393" s="66" t="n"/>
      <c r="N393" s="66" t="n"/>
      <c r="O393" s="73">
        <f>IF(C393="","",IF(AND(OR(L393="1-Urgent",L393="2-High"),M393="✓"),"DO FIRST",IF(M393="✓","SCHEDULE",IF(OR(L393="1-Urgent",L393="2-High"),"DELEGATE","DELETE"))))</f>
        <v/>
      </c>
      <c r="P393" s="65" t="n"/>
    </row>
    <row r="394">
      <c r="B394" s="64" t="n">
        <v>389</v>
      </c>
      <c r="C394" s="65" t="n"/>
      <c r="D394" s="66" t="n"/>
      <c r="E394" s="67" t="n"/>
      <c r="F394" s="68">
        <f>IF(OR(C394="",E394=""),"",E394-Setup!$D$7)</f>
        <v/>
      </c>
      <c r="G394" s="69" t="n"/>
      <c r="H394" s="69" t="n"/>
      <c r="I394" s="36">
        <f>IF(OR(G394="",H394=""),"",TRIM(IF(HOUR(H394-G394)&gt;0,HOUR(H394-G394)&amp;" hr ","")&amp;IF(MINUTE(H394-G394)&gt;0,MINUTE(H394-G394)&amp;" min","")))</f>
        <v/>
      </c>
      <c r="J394" s="66" t="n"/>
      <c r="K394" s="70" t="n"/>
      <c r="L394" s="66" t="n"/>
      <c r="M394" s="66" t="n"/>
      <c r="N394" s="66" t="n"/>
      <c r="O394" s="36">
        <f>IF(C394="","",IF(AND(OR(L394="1-Urgent",L394="2-High"),M394="✓"),"DO FIRST",IF(M394="✓","SCHEDULE",IF(OR(L394="1-Urgent",L394="2-High"),"DELEGATE","DELETE"))))</f>
        <v/>
      </c>
      <c r="P394" s="65" t="n"/>
    </row>
    <row r="395">
      <c r="B395" s="71" t="n">
        <v>390</v>
      </c>
      <c r="C395" s="65" t="n"/>
      <c r="D395" s="66" t="n"/>
      <c r="E395" s="67" t="n"/>
      <c r="F395" s="72">
        <f>IF(OR(C395="",E395=""),"",E395-Setup!$D$7)</f>
        <v/>
      </c>
      <c r="G395" s="69" t="n"/>
      <c r="H395" s="69" t="n"/>
      <c r="I395" s="73">
        <f>IF(OR(G395="",H395=""),"",TRIM(IF(HOUR(H395-G395)&gt;0,HOUR(H395-G395)&amp;" hr ","")&amp;IF(MINUTE(H395-G395)&gt;0,MINUTE(H395-G395)&amp;" min","")))</f>
        <v/>
      </c>
      <c r="J395" s="66" t="n"/>
      <c r="K395" s="70" t="n"/>
      <c r="L395" s="66" t="n"/>
      <c r="M395" s="66" t="n"/>
      <c r="N395" s="66" t="n"/>
      <c r="O395" s="73">
        <f>IF(C395="","",IF(AND(OR(L395="1-Urgent",L395="2-High"),M395="✓"),"DO FIRST",IF(M395="✓","SCHEDULE",IF(OR(L395="1-Urgent",L395="2-High"),"DELEGATE","DELETE"))))</f>
        <v/>
      </c>
      <c r="P395" s="65" t="n"/>
    </row>
    <row r="396">
      <c r="B396" s="64" t="n">
        <v>391</v>
      </c>
      <c r="C396" s="65" t="n"/>
      <c r="D396" s="66" t="n"/>
      <c r="E396" s="67" t="n"/>
      <c r="F396" s="68">
        <f>IF(OR(C396="",E396=""),"",E396-Setup!$D$7)</f>
        <v/>
      </c>
      <c r="G396" s="69" t="n"/>
      <c r="H396" s="69" t="n"/>
      <c r="I396" s="36">
        <f>IF(OR(G396="",H396=""),"",TRIM(IF(HOUR(H396-G396)&gt;0,HOUR(H396-G396)&amp;" hr ","")&amp;IF(MINUTE(H396-G396)&gt;0,MINUTE(H396-G396)&amp;" min","")))</f>
        <v/>
      </c>
      <c r="J396" s="66" t="n"/>
      <c r="K396" s="70" t="n"/>
      <c r="L396" s="66" t="n"/>
      <c r="M396" s="66" t="n"/>
      <c r="N396" s="66" t="n"/>
      <c r="O396" s="36">
        <f>IF(C396="","",IF(AND(OR(L396="1-Urgent",L396="2-High"),M396="✓"),"DO FIRST",IF(M396="✓","SCHEDULE",IF(OR(L396="1-Urgent",L396="2-High"),"DELEGATE","DELETE"))))</f>
        <v/>
      </c>
      <c r="P396" s="65" t="n"/>
    </row>
    <row r="397">
      <c r="B397" s="71" t="n">
        <v>392</v>
      </c>
      <c r="C397" s="65" t="n"/>
      <c r="D397" s="66" t="n"/>
      <c r="E397" s="67" t="n"/>
      <c r="F397" s="72">
        <f>IF(OR(C397="",E397=""),"",E397-Setup!$D$7)</f>
        <v/>
      </c>
      <c r="G397" s="69" t="n"/>
      <c r="H397" s="69" t="n"/>
      <c r="I397" s="73">
        <f>IF(OR(G397="",H397=""),"",TRIM(IF(HOUR(H397-G397)&gt;0,HOUR(H397-G397)&amp;" hr ","")&amp;IF(MINUTE(H397-G397)&gt;0,MINUTE(H397-G397)&amp;" min","")))</f>
        <v/>
      </c>
      <c r="J397" s="66" t="n"/>
      <c r="K397" s="70" t="n"/>
      <c r="L397" s="66" t="n"/>
      <c r="M397" s="66" t="n"/>
      <c r="N397" s="66" t="n"/>
      <c r="O397" s="73">
        <f>IF(C397="","",IF(AND(OR(L397="1-Urgent",L397="2-High"),M397="✓"),"DO FIRST",IF(M397="✓","SCHEDULE",IF(OR(L397="1-Urgent",L397="2-High"),"DELEGATE","DELETE"))))</f>
        <v/>
      </c>
      <c r="P397" s="65" t="n"/>
    </row>
    <row r="398">
      <c r="B398" s="64" t="n">
        <v>393</v>
      </c>
      <c r="C398" s="65" t="n"/>
      <c r="D398" s="66" t="n"/>
      <c r="E398" s="67" t="n"/>
      <c r="F398" s="68">
        <f>IF(OR(C398="",E398=""),"",E398-Setup!$D$7)</f>
        <v/>
      </c>
      <c r="G398" s="69" t="n"/>
      <c r="H398" s="69" t="n"/>
      <c r="I398" s="36">
        <f>IF(OR(G398="",H398=""),"",TRIM(IF(HOUR(H398-G398)&gt;0,HOUR(H398-G398)&amp;" hr ","")&amp;IF(MINUTE(H398-G398)&gt;0,MINUTE(H398-G398)&amp;" min","")))</f>
        <v/>
      </c>
      <c r="J398" s="66" t="n"/>
      <c r="K398" s="70" t="n"/>
      <c r="L398" s="66" t="n"/>
      <c r="M398" s="66" t="n"/>
      <c r="N398" s="66" t="n"/>
      <c r="O398" s="36">
        <f>IF(C398="","",IF(AND(OR(L398="1-Urgent",L398="2-High"),M398="✓"),"DO FIRST",IF(M398="✓","SCHEDULE",IF(OR(L398="1-Urgent",L398="2-High"),"DELEGATE","DELETE"))))</f>
        <v/>
      </c>
      <c r="P398" s="65" t="n"/>
    </row>
    <row r="399">
      <c r="B399" s="71" t="n">
        <v>394</v>
      </c>
      <c r="C399" s="65" t="n"/>
      <c r="D399" s="66" t="n"/>
      <c r="E399" s="67" t="n"/>
      <c r="F399" s="72">
        <f>IF(OR(C399="",E399=""),"",E399-Setup!$D$7)</f>
        <v/>
      </c>
      <c r="G399" s="69" t="n"/>
      <c r="H399" s="69" t="n"/>
      <c r="I399" s="73">
        <f>IF(OR(G399="",H399=""),"",TRIM(IF(HOUR(H399-G399)&gt;0,HOUR(H399-G399)&amp;" hr ","")&amp;IF(MINUTE(H399-G399)&gt;0,MINUTE(H399-G399)&amp;" min","")))</f>
        <v/>
      </c>
      <c r="J399" s="66" t="n"/>
      <c r="K399" s="70" t="n"/>
      <c r="L399" s="66" t="n"/>
      <c r="M399" s="66" t="n"/>
      <c r="N399" s="66" t="n"/>
      <c r="O399" s="73">
        <f>IF(C399="","",IF(AND(OR(L399="1-Urgent",L399="2-High"),M399="✓"),"DO FIRST",IF(M399="✓","SCHEDULE",IF(OR(L399="1-Urgent",L399="2-High"),"DELEGATE","DELETE"))))</f>
        <v/>
      </c>
      <c r="P399" s="65" t="n"/>
    </row>
    <row r="400">
      <c r="B400" s="64" t="n">
        <v>395</v>
      </c>
      <c r="C400" s="65" t="n"/>
      <c r="D400" s="66" t="n"/>
      <c r="E400" s="67" t="n"/>
      <c r="F400" s="68">
        <f>IF(OR(C400="",E400=""),"",E400-Setup!$D$7)</f>
        <v/>
      </c>
      <c r="G400" s="69" t="n"/>
      <c r="H400" s="69" t="n"/>
      <c r="I400" s="36">
        <f>IF(OR(G400="",H400=""),"",TRIM(IF(HOUR(H400-G400)&gt;0,HOUR(H400-G400)&amp;" hr ","")&amp;IF(MINUTE(H400-G400)&gt;0,MINUTE(H400-G400)&amp;" min","")))</f>
        <v/>
      </c>
      <c r="J400" s="66" t="n"/>
      <c r="K400" s="70" t="n"/>
      <c r="L400" s="66" t="n"/>
      <c r="M400" s="66" t="n"/>
      <c r="N400" s="66" t="n"/>
      <c r="O400" s="36">
        <f>IF(C400="","",IF(AND(OR(L400="1-Urgent",L400="2-High"),M400="✓"),"DO FIRST",IF(M400="✓","SCHEDULE",IF(OR(L400="1-Urgent",L400="2-High"),"DELEGATE","DELETE"))))</f>
        <v/>
      </c>
      <c r="P400" s="65" t="n"/>
    </row>
    <row r="401">
      <c r="B401" s="71" t="n">
        <v>396</v>
      </c>
      <c r="C401" s="65" t="n"/>
      <c r="D401" s="66" t="n"/>
      <c r="E401" s="67" t="n"/>
      <c r="F401" s="72">
        <f>IF(OR(C401="",E401=""),"",E401-Setup!$D$7)</f>
        <v/>
      </c>
      <c r="G401" s="69" t="n"/>
      <c r="H401" s="69" t="n"/>
      <c r="I401" s="73">
        <f>IF(OR(G401="",H401=""),"",TRIM(IF(HOUR(H401-G401)&gt;0,HOUR(H401-G401)&amp;" hr ","")&amp;IF(MINUTE(H401-G401)&gt;0,MINUTE(H401-G401)&amp;" min","")))</f>
        <v/>
      </c>
      <c r="J401" s="66" t="n"/>
      <c r="K401" s="70" t="n"/>
      <c r="L401" s="66" t="n"/>
      <c r="M401" s="66" t="n"/>
      <c r="N401" s="66" t="n"/>
      <c r="O401" s="73">
        <f>IF(C401="","",IF(AND(OR(L401="1-Urgent",L401="2-High"),M401="✓"),"DO FIRST",IF(M401="✓","SCHEDULE",IF(OR(L401="1-Urgent",L401="2-High"),"DELEGATE","DELETE"))))</f>
        <v/>
      </c>
      <c r="P401" s="65" t="n"/>
    </row>
    <row r="402">
      <c r="B402" s="64" t="n">
        <v>397</v>
      </c>
      <c r="C402" s="65" t="n"/>
      <c r="D402" s="66" t="n"/>
      <c r="E402" s="67" t="n"/>
      <c r="F402" s="68">
        <f>IF(OR(C402="",E402=""),"",E402-Setup!$D$7)</f>
        <v/>
      </c>
      <c r="G402" s="69" t="n"/>
      <c r="H402" s="69" t="n"/>
      <c r="I402" s="36">
        <f>IF(OR(G402="",H402=""),"",TRIM(IF(HOUR(H402-G402)&gt;0,HOUR(H402-G402)&amp;" hr ","")&amp;IF(MINUTE(H402-G402)&gt;0,MINUTE(H402-G402)&amp;" min","")))</f>
        <v/>
      </c>
      <c r="J402" s="66" t="n"/>
      <c r="K402" s="70" t="n"/>
      <c r="L402" s="66" t="n"/>
      <c r="M402" s="66" t="n"/>
      <c r="N402" s="66" t="n"/>
      <c r="O402" s="36">
        <f>IF(C402="","",IF(AND(OR(L402="1-Urgent",L402="2-High"),M402="✓"),"DO FIRST",IF(M402="✓","SCHEDULE",IF(OR(L402="1-Urgent",L402="2-High"),"DELEGATE","DELETE"))))</f>
        <v/>
      </c>
      <c r="P402" s="65" t="n"/>
    </row>
    <row r="403">
      <c r="B403" s="71" t="n">
        <v>398</v>
      </c>
      <c r="C403" s="65" t="n"/>
      <c r="D403" s="66" t="n"/>
      <c r="E403" s="67" t="n"/>
      <c r="F403" s="72">
        <f>IF(OR(C403="",E403=""),"",E403-Setup!$D$7)</f>
        <v/>
      </c>
      <c r="G403" s="69" t="n"/>
      <c r="H403" s="69" t="n"/>
      <c r="I403" s="73">
        <f>IF(OR(G403="",H403=""),"",TRIM(IF(HOUR(H403-G403)&gt;0,HOUR(H403-G403)&amp;" hr ","")&amp;IF(MINUTE(H403-G403)&gt;0,MINUTE(H403-G403)&amp;" min","")))</f>
        <v/>
      </c>
      <c r="J403" s="66" t="n"/>
      <c r="K403" s="70" t="n"/>
      <c r="L403" s="66" t="n"/>
      <c r="M403" s="66" t="n"/>
      <c r="N403" s="66" t="n"/>
      <c r="O403" s="73">
        <f>IF(C403="","",IF(AND(OR(L403="1-Urgent",L403="2-High"),M403="✓"),"DO FIRST",IF(M403="✓","SCHEDULE",IF(OR(L403="1-Urgent",L403="2-High"),"DELEGATE","DELETE"))))</f>
        <v/>
      </c>
      <c r="P403" s="65" t="n"/>
    </row>
    <row r="404">
      <c r="B404" s="64" t="n">
        <v>399</v>
      </c>
      <c r="C404" s="65" t="n"/>
      <c r="D404" s="66" t="n"/>
      <c r="E404" s="67" t="n"/>
      <c r="F404" s="68">
        <f>IF(OR(C404="",E404=""),"",E404-Setup!$D$7)</f>
        <v/>
      </c>
      <c r="G404" s="69" t="n"/>
      <c r="H404" s="69" t="n"/>
      <c r="I404" s="36">
        <f>IF(OR(G404="",H404=""),"",TRIM(IF(HOUR(H404-G404)&gt;0,HOUR(H404-G404)&amp;" hr ","")&amp;IF(MINUTE(H404-G404)&gt;0,MINUTE(H404-G404)&amp;" min","")))</f>
        <v/>
      </c>
      <c r="J404" s="66" t="n"/>
      <c r="K404" s="70" t="n"/>
      <c r="L404" s="66" t="n"/>
      <c r="M404" s="66" t="n"/>
      <c r="N404" s="66" t="n"/>
      <c r="O404" s="36">
        <f>IF(C404="","",IF(AND(OR(L404="1-Urgent",L404="2-High"),M404="✓"),"DO FIRST",IF(M404="✓","SCHEDULE",IF(OR(L404="1-Urgent",L404="2-High"),"DELEGATE","DELETE"))))</f>
        <v/>
      </c>
      <c r="P404" s="65" t="n"/>
    </row>
    <row r="405">
      <c r="B405" s="71" t="n">
        <v>400</v>
      </c>
      <c r="C405" s="65" t="n"/>
      <c r="D405" s="66" t="n"/>
      <c r="E405" s="67" t="n"/>
      <c r="F405" s="72">
        <f>IF(OR(C405="",E405=""),"",E405-Setup!$D$7)</f>
        <v/>
      </c>
      <c r="G405" s="69" t="n"/>
      <c r="H405" s="69" t="n"/>
      <c r="I405" s="73">
        <f>IF(OR(G405="",H405=""),"",TRIM(IF(HOUR(H405-G405)&gt;0,HOUR(H405-G405)&amp;" hr ","")&amp;IF(MINUTE(H405-G405)&gt;0,MINUTE(H405-G405)&amp;" min","")))</f>
        <v/>
      </c>
      <c r="J405" s="66" t="n"/>
      <c r="K405" s="70" t="n"/>
      <c r="L405" s="66" t="n"/>
      <c r="M405" s="66" t="n"/>
      <c r="N405" s="66" t="n"/>
      <c r="O405" s="73">
        <f>IF(C405="","",IF(AND(OR(L405="1-Urgent",L405="2-High"),M405="✓"),"DO FIRST",IF(M405="✓","SCHEDULE",IF(OR(L405="1-Urgent",L405="2-High"),"DELEGATE","DELETE"))))</f>
        <v/>
      </c>
      <c r="P405" s="65" t="n"/>
    </row>
    <row r="406">
      <c r="B406" s="64" t="n">
        <v>401</v>
      </c>
      <c r="C406" s="65" t="n"/>
      <c r="D406" s="66" t="n"/>
      <c r="E406" s="67" t="n"/>
      <c r="F406" s="68">
        <f>IF(OR(C406="",E406=""),"",E406-Setup!$D$7)</f>
        <v/>
      </c>
      <c r="G406" s="69" t="n"/>
      <c r="H406" s="69" t="n"/>
      <c r="I406" s="36">
        <f>IF(OR(G406="",H406=""),"",TRIM(IF(HOUR(H406-G406)&gt;0,HOUR(H406-G406)&amp;" hr ","")&amp;IF(MINUTE(H406-G406)&gt;0,MINUTE(H406-G406)&amp;" min","")))</f>
        <v/>
      </c>
      <c r="J406" s="66" t="n"/>
      <c r="K406" s="70" t="n"/>
      <c r="L406" s="66" t="n"/>
      <c r="M406" s="66" t="n"/>
      <c r="N406" s="66" t="n"/>
      <c r="O406" s="36">
        <f>IF(C406="","",IF(AND(OR(L406="1-Urgent",L406="2-High"),M406="✓"),"DO FIRST",IF(M406="✓","SCHEDULE",IF(OR(L406="1-Urgent",L406="2-High"),"DELEGATE","DELETE"))))</f>
        <v/>
      </c>
      <c r="P406" s="65" t="n"/>
    </row>
    <row r="407">
      <c r="B407" s="71" t="n">
        <v>402</v>
      </c>
      <c r="C407" s="65" t="n"/>
      <c r="D407" s="66" t="n"/>
      <c r="E407" s="67" t="n"/>
      <c r="F407" s="72">
        <f>IF(OR(C407="",E407=""),"",E407-Setup!$D$7)</f>
        <v/>
      </c>
      <c r="G407" s="69" t="n"/>
      <c r="H407" s="69" t="n"/>
      <c r="I407" s="73">
        <f>IF(OR(G407="",H407=""),"",TRIM(IF(HOUR(H407-G407)&gt;0,HOUR(H407-G407)&amp;" hr ","")&amp;IF(MINUTE(H407-G407)&gt;0,MINUTE(H407-G407)&amp;" min","")))</f>
        <v/>
      </c>
      <c r="J407" s="66" t="n"/>
      <c r="K407" s="70" t="n"/>
      <c r="L407" s="66" t="n"/>
      <c r="M407" s="66" t="n"/>
      <c r="N407" s="66" t="n"/>
      <c r="O407" s="73">
        <f>IF(C407="","",IF(AND(OR(L407="1-Urgent",L407="2-High"),M407="✓"),"DO FIRST",IF(M407="✓","SCHEDULE",IF(OR(L407="1-Urgent",L407="2-High"),"DELEGATE","DELETE"))))</f>
        <v/>
      </c>
      <c r="P407" s="65" t="n"/>
    </row>
    <row r="408">
      <c r="B408" s="64" t="n">
        <v>403</v>
      </c>
      <c r="C408" s="65" t="n"/>
      <c r="D408" s="66" t="n"/>
      <c r="E408" s="67" t="n"/>
      <c r="F408" s="68">
        <f>IF(OR(C408="",E408=""),"",E408-Setup!$D$7)</f>
        <v/>
      </c>
      <c r="G408" s="69" t="n"/>
      <c r="H408" s="69" t="n"/>
      <c r="I408" s="36">
        <f>IF(OR(G408="",H408=""),"",TRIM(IF(HOUR(H408-G408)&gt;0,HOUR(H408-G408)&amp;" hr ","")&amp;IF(MINUTE(H408-G408)&gt;0,MINUTE(H408-G408)&amp;" min","")))</f>
        <v/>
      </c>
      <c r="J408" s="66" t="n"/>
      <c r="K408" s="70" t="n"/>
      <c r="L408" s="66" t="n"/>
      <c r="M408" s="66" t="n"/>
      <c r="N408" s="66" t="n"/>
      <c r="O408" s="36">
        <f>IF(C408="","",IF(AND(OR(L408="1-Urgent",L408="2-High"),M408="✓"),"DO FIRST",IF(M408="✓","SCHEDULE",IF(OR(L408="1-Urgent",L408="2-High"),"DELEGATE","DELETE"))))</f>
        <v/>
      </c>
      <c r="P408" s="65" t="n"/>
    </row>
    <row r="409">
      <c r="B409" s="71" t="n">
        <v>404</v>
      </c>
      <c r="C409" s="65" t="n"/>
      <c r="D409" s="66" t="n"/>
      <c r="E409" s="67" t="n"/>
      <c r="F409" s="72">
        <f>IF(OR(C409="",E409=""),"",E409-Setup!$D$7)</f>
        <v/>
      </c>
      <c r="G409" s="69" t="n"/>
      <c r="H409" s="69" t="n"/>
      <c r="I409" s="73">
        <f>IF(OR(G409="",H409=""),"",TRIM(IF(HOUR(H409-G409)&gt;0,HOUR(H409-G409)&amp;" hr ","")&amp;IF(MINUTE(H409-G409)&gt;0,MINUTE(H409-G409)&amp;" min","")))</f>
        <v/>
      </c>
      <c r="J409" s="66" t="n"/>
      <c r="K409" s="70" t="n"/>
      <c r="L409" s="66" t="n"/>
      <c r="M409" s="66" t="n"/>
      <c r="N409" s="66" t="n"/>
      <c r="O409" s="73">
        <f>IF(C409="","",IF(AND(OR(L409="1-Urgent",L409="2-High"),M409="✓"),"DO FIRST",IF(M409="✓","SCHEDULE",IF(OR(L409="1-Urgent",L409="2-High"),"DELEGATE","DELETE"))))</f>
        <v/>
      </c>
      <c r="P409" s="65" t="n"/>
    </row>
    <row r="410">
      <c r="B410" s="64" t="n">
        <v>405</v>
      </c>
      <c r="C410" s="65" t="n"/>
      <c r="D410" s="66" t="n"/>
      <c r="E410" s="67" t="n"/>
      <c r="F410" s="68">
        <f>IF(OR(C410="",E410=""),"",E410-Setup!$D$7)</f>
        <v/>
      </c>
      <c r="G410" s="69" t="n"/>
      <c r="H410" s="69" t="n"/>
      <c r="I410" s="36">
        <f>IF(OR(G410="",H410=""),"",TRIM(IF(HOUR(H410-G410)&gt;0,HOUR(H410-G410)&amp;" hr ","")&amp;IF(MINUTE(H410-G410)&gt;0,MINUTE(H410-G410)&amp;" min","")))</f>
        <v/>
      </c>
      <c r="J410" s="66" t="n"/>
      <c r="K410" s="70" t="n"/>
      <c r="L410" s="66" t="n"/>
      <c r="M410" s="66" t="n"/>
      <c r="N410" s="66" t="n"/>
      <c r="O410" s="36">
        <f>IF(C410="","",IF(AND(OR(L410="1-Urgent",L410="2-High"),M410="✓"),"DO FIRST",IF(M410="✓","SCHEDULE",IF(OR(L410="1-Urgent",L410="2-High"),"DELEGATE","DELETE"))))</f>
        <v/>
      </c>
      <c r="P410" s="65" t="n"/>
    </row>
    <row r="411">
      <c r="B411" s="71" t="n">
        <v>406</v>
      </c>
      <c r="C411" s="65" t="n"/>
      <c r="D411" s="66" t="n"/>
      <c r="E411" s="67" t="n"/>
      <c r="F411" s="72">
        <f>IF(OR(C411="",E411=""),"",E411-Setup!$D$7)</f>
        <v/>
      </c>
      <c r="G411" s="69" t="n"/>
      <c r="H411" s="69" t="n"/>
      <c r="I411" s="73">
        <f>IF(OR(G411="",H411=""),"",TRIM(IF(HOUR(H411-G411)&gt;0,HOUR(H411-G411)&amp;" hr ","")&amp;IF(MINUTE(H411-G411)&gt;0,MINUTE(H411-G411)&amp;" min","")))</f>
        <v/>
      </c>
      <c r="J411" s="66" t="n"/>
      <c r="K411" s="70" t="n"/>
      <c r="L411" s="66" t="n"/>
      <c r="M411" s="66" t="n"/>
      <c r="N411" s="66" t="n"/>
      <c r="O411" s="73">
        <f>IF(C411="","",IF(AND(OR(L411="1-Urgent",L411="2-High"),M411="✓"),"DO FIRST",IF(M411="✓","SCHEDULE",IF(OR(L411="1-Urgent",L411="2-High"),"DELEGATE","DELETE"))))</f>
        <v/>
      </c>
      <c r="P411" s="65" t="n"/>
    </row>
    <row r="412">
      <c r="B412" s="64" t="n">
        <v>407</v>
      </c>
      <c r="C412" s="65" t="n"/>
      <c r="D412" s="66" t="n"/>
      <c r="E412" s="67" t="n"/>
      <c r="F412" s="68">
        <f>IF(OR(C412="",E412=""),"",E412-Setup!$D$7)</f>
        <v/>
      </c>
      <c r="G412" s="69" t="n"/>
      <c r="H412" s="69" t="n"/>
      <c r="I412" s="36">
        <f>IF(OR(G412="",H412=""),"",TRIM(IF(HOUR(H412-G412)&gt;0,HOUR(H412-G412)&amp;" hr ","")&amp;IF(MINUTE(H412-G412)&gt;0,MINUTE(H412-G412)&amp;" min","")))</f>
        <v/>
      </c>
      <c r="J412" s="66" t="n"/>
      <c r="K412" s="70" t="n"/>
      <c r="L412" s="66" t="n"/>
      <c r="M412" s="66" t="n"/>
      <c r="N412" s="66" t="n"/>
      <c r="O412" s="36">
        <f>IF(C412="","",IF(AND(OR(L412="1-Urgent",L412="2-High"),M412="✓"),"DO FIRST",IF(M412="✓","SCHEDULE",IF(OR(L412="1-Urgent",L412="2-High"),"DELEGATE","DELETE"))))</f>
        <v/>
      </c>
      <c r="P412" s="65" t="n"/>
    </row>
    <row r="413">
      <c r="B413" s="71" t="n">
        <v>408</v>
      </c>
      <c r="C413" s="65" t="n"/>
      <c r="D413" s="66" t="n"/>
      <c r="E413" s="67" t="n"/>
      <c r="F413" s="72">
        <f>IF(OR(C413="",E413=""),"",E413-Setup!$D$7)</f>
        <v/>
      </c>
      <c r="G413" s="69" t="n"/>
      <c r="H413" s="69" t="n"/>
      <c r="I413" s="73">
        <f>IF(OR(G413="",H413=""),"",TRIM(IF(HOUR(H413-G413)&gt;0,HOUR(H413-G413)&amp;" hr ","")&amp;IF(MINUTE(H413-G413)&gt;0,MINUTE(H413-G413)&amp;" min","")))</f>
        <v/>
      </c>
      <c r="J413" s="66" t="n"/>
      <c r="K413" s="70" t="n"/>
      <c r="L413" s="66" t="n"/>
      <c r="M413" s="66" t="n"/>
      <c r="N413" s="66" t="n"/>
      <c r="O413" s="73">
        <f>IF(C413="","",IF(AND(OR(L413="1-Urgent",L413="2-High"),M413="✓"),"DO FIRST",IF(M413="✓","SCHEDULE",IF(OR(L413="1-Urgent",L413="2-High"),"DELEGATE","DELETE"))))</f>
        <v/>
      </c>
      <c r="P413" s="65" t="n"/>
    </row>
    <row r="414">
      <c r="B414" s="64" t="n">
        <v>409</v>
      </c>
      <c r="C414" s="65" t="n"/>
      <c r="D414" s="66" t="n"/>
      <c r="E414" s="67" t="n"/>
      <c r="F414" s="68">
        <f>IF(OR(C414="",E414=""),"",E414-Setup!$D$7)</f>
        <v/>
      </c>
      <c r="G414" s="69" t="n"/>
      <c r="H414" s="69" t="n"/>
      <c r="I414" s="36">
        <f>IF(OR(G414="",H414=""),"",TRIM(IF(HOUR(H414-G414)&gt;0,HOUR(H414-G414)&amp;" hr ","")&amp;IF(MINUTE(H414-G414)&gt;0,MINUTE(H414-G414)&amp;" min","")))</f>
        <v/>
      </c>
      <c r="J414" s="66" t="n"/>
      <c r="K414" s="70" t="n"/>
      <c r="L414" s="66" t="n"/>
      <c r="M414" s="66" t="n"/>
      <c r="N414" s="66" t="n"/>
      <c r="O414" s="36">
        <f>IF(C414="","",IF(AND(OR(L414="1-Urgent",L414="2-High"),M414="✓"),"DO FIRST",IF(M414="✓","SCHEDULE",IF(OR(L414="1-Urgent",L414="2-High"),"DELEGATE","DELETE"))))</f>
        <v/>
      </c>
      <c r="P414" s="65" t="n"/>
    </row>
    <row r="415">
      <c r="B415" s="71" t="n">
        <v>410</v>
      </c>
      <c r="C415" s="65" t="n"/>
      <c r="D415" s="66" t="n"/>
      <c r="E415" s="67" t="n"/>
      <c r="F415" s="72">
        <f>IF(OR(C415="",E415=""),"",E415-Setup!$D$7)</f>
        <v/>
      </c>
      <c r="G415" s="69" t="n"/>
      <c r="H415" s="69" t="n"/>
      <c r="I415" s="73">
        <f>IF(OR(G415="",H415=""),"",TRIM(IF(HOUR(H415-G415)&gt;0,HOUR(H415-G415)&amp;" hr ","")&amp;IF(MINUTE(H415-G415)&gt;0,MINUTE(H415-G415)&amp;" min","")))</f>
        <v/>
      </c>
      <c r="J415" s="66" t="n"/>
      <c r="K415" s="70" t="n"/>
      <c r="L415" s="66" t="n"/>
      <c r="M415" s="66" t="n"/>
      <c r="N415" s="66" t="n"/>
      <c r="O415" s="73">
        <f>IF(C415="","",IF(AND(OR(L415="1-Urgent",L415="2-High"),M415="✓"),"DO FIRST",IF(M415="✓","SCHEDULE",IF(OR(L415="1-Urgent",L415="2-High"),"DELEGATE","DELETE"))))</f>
        <v/>
      </c>
      <c r="P415" s="65" t="n"/>
    </row>
    <row r="416">
      <c r="B416" s="64" t="n">
        <v>411</v>
      </c>
      <c r="C416" s="65" t="n"/>
      <c r="D416" s="66" t="n"/>
      <c r="E416" s="67" t="n"/>
      <c r="F416" s="68">
        <f>IF(OR(C416="",E416=""),"",E416-Setup!$D$7)</f>
        <v/>
      </c>
      <c r="G416" s="69" t="n"/>
      <c r="H416" s="69" t="n"/>
      <c r="I416" s="36">
        <f>IF(OR(G416="",H416=""),"",TRIM(IF(HOUR(H416-G416)&gt;0,HOUR(H416-G416)&amp;" hr ","")&amp;IF(MINUTE(H416-G416)&gt;0,MINUTE(H416-G416)&amp;" min","")))</f>
        <v/>
      </c>
      <c r="J416" s="66" t="n"/>
      <c r="K416" s="70" t="n"/>
      <c r="L416" s="66" t="n"/>
      <c r="M416" s="66" t="n"/>
      <c r="N416" s="66" t="n"/>
      <c r="O416" s="36">
        <f>IF(C416="","",IF(AND(OR(L416="1-Urgent",L416="2-High"),M416="✓"),"DO FIRST",IF(M416="✓","SCHEDULE",IF(OR(L416="1-Urgent",L416="2-High"),"DELEGATE","DELETE"))))</f>
        <v/>
      </c>
      <c r="P416" s="65" t="n"/>
    </row>
    <row r="417">
      <c r="B417" s="71" t="n">
        <v>412</v>
      </c>
      <c r="C417" s="65" t="n"/>
      <c r="D417" s="66" t="n"/>
      <c r="E417" s="67" t="n"/>
      <c r="F417" s="72">
        <f>IF(OR(C417="",E417=""),"",E417-Setup!$D$7)</f>
        <v/>
      </c>
      <c r="G417" s="69" t="n"/>
      <c r="H417" s="69" t="n"/>
      <c r="I417" s="73">
        <f>IF(OR(G417="",H417=""),"",TRIM(IF(HOUR(H417-G417)&gt;0,HOUR(H417-G417)&amp;" hr ","")&amp;IF(MINUTE(H417-G417)&gt;0,MINUTE(H417-G417)&amp;" min","")))</f>
        <v/>
      </c>
      <c r="J417" s="66" t="n"/>
      <c r="K417" s="70" t="n"/>
      <c r="L417" s="66" t="n"/>
      <c r="M417" s="66" t="n"/>
      <c r="N417" s="66" t="n"/>
      <c r="O417" s="73">
        <f>IF(C417="","",IF(AND(OR(L417="1-Urgent",L417="2-High"),M417="✓"),"DO FIRST",IF(M417="✓","SCHEDULE",IF(OR(L417="1-Urgent",L417="2-High"),"DELEGATE","DELETE"))))</f>
        <v/>
      </c>
      <c r="P417" s="65" t="n"/>
    </row>
    <row r="418">
      <c r="B418" s="64" t="n">
        <v>413</v>
      </c>
      <c r="C418" s="65" t="n"/>
      <c r="D418" s="66" t="n"/>
      <c r="E418" s="67" t="n"/>
      <c r="F418" s="68">
        <f>IF(OR(C418="",E418=""),"",E418-Setup!$D$7)</f>
        <v/>
      </c>
      <c r="G418" s="69" t="n"/>
      <c r="H418" s="69" t="n"/>
      <c r="I418" s="36">
        <f>IF(OR(G418="",H418=""),"",TRIM(IF(HOUR(H418-G418)&gt;0,HOUR(H418-G418)&amp;" hr ","")&amp;IF(MINUTE(H418-G418)&gt;0,MINUTE(H418-G418)&amp;" min","")))</f>
        <v/>
      </c>
      <c r="J418" s="66" t="n"/>
      <c r="K418" s="70" t="n"/>
      <c r="L418" s="66" t="n"/>
      <c r="M418" s="66" t="n"/>
      <c r="N418" s="66" t="n"/>
      <c r="O418" s="36">
        <f>IF(C418="","",IF(AND(OR(L418="1-Urgent",L418="2-High"),M418="✓"),"DO FIRST",IF(M418="✓","SCHEDULE",IF(OR(L418="1-Urgent",L418="2-High"),"DELEGATE","DELETE"))))</f>
        <v/>
      </c>
      <c r="P418" s="65" t="n"/>
    </row>
    <row r="419">
      <c r="B419" s="71" t="n">
        <v>414</v>
      </c>
      <c r="C419" s="65" t="n"/>
      <c r="D419" s="66" t="n"/>
      <c r="E419" s="67" t="n"/>
      <c r="F419" s="72">
        <f>IF(OR(C419="",E419=""),"",E419-Setup!$D$7)</f>
        <v/>
      </c>
      <c r="G419" s="69" t="n"/>
      <c r="H419" s="69" t="n"/>
      <c r="I419" s="73">
        <f>IF(OR(G419="",H419=""),"",TRIM(IF(HOUR(H419-G419)&gt;0,HOUR(H419-G419)&amp;" hr ","")&amp;IF(MINUTE(H419-G419)&gt;0,MINUTE(H419-G419)&amp;" min","")))</f>
        <v/>
      </c>
      <c r="J419" s="66" t="n"/>
      <c r="K419" s="70" t="n"/>
      <c r="L419" s="66" t="n"/>
      <c r="M419" s="66" t="n"/>
      <c r="N419" s="66" t="n"/>
      <c r="O419" s="73">
        <f>IF(C419="","",IF(AND(OR(L419="1-Urgent",L419="2-High"),M419="✓"),"DO FIRST",IF(M419="✓","SCHEDULE",IF(OR(L419="1-Urgent",L419="2-High"),"DELEGATE","DELETE"))))</f>
        <v/>
      </c>
      <c r="P419" s="65" t="n"/>
    </row>
    <row r="420">
      <c r="B420" s="64" t="n">
        <v>415</v>
      </c>
      <c r="C420" s="65" t="n"/>
      <c r="D420" s="66" t="n"/>
      <c r="E420" s="67" t="n"/>
      <c r="F420" s="68">
        <f>IF(OR(C420="",E420=""),"",E420-Setup!$D$7)</f>
        <v/>
      </c>
      <c r="G420" s="69" t="n"/>
      <c r="H420" s="69" t="n"/>
      <c r="I420" s="36">
        <f>IF(OR(G420="",H420=""),"",TRIM(IF(HOUR(H420-G420)&gt;0,HOUR(H420-G420)&amp;" hr ","")&amp;IF(MINUTE(H420-G420)&gt;0,MINUTE(H420-G420)&amp;" min","")))</f>
        <v/>
      </c>
      <c r="J420" s="66" t="n"/>
      <c r="K420" s="70" t="n"/>
      <c r="L420" s="66" t="n"/>
      <c r="M420" s="66" t="n"/>
      <c r="N420" s="66" t="n"/>
      <c r="O420" s="36">
        <f>IF(C420="","",IF(AND(OR(L420="1-Urgent",L420="2-High"),M420="✓"),"DO FIRST",IF(M420="✓","SCHEDULE",IF(OR(L420="1-Urgent",L420="2-High"),"DELEGATE","DELETE"))))</f>
        <v/>
      </c>
      <c r="P420" s="65" t="n"/>
    </row>
    <row r="421">
      <c r="B421" s="71" t="n">
        <v>416</v>
      </c>
      <c r="C421" s="65" t="n"/>
      <c r="D421" s="66" t="n"/>
      <c r="E421" s="67" t="n"/>
      <c r="F421" s="72">
        <f>IF(OR(C421="",E421=""),"",E421-Setup!$D$7)</f>
        <v/>
      </c>
      <c r="G421" s="69" t="n"/>
      <c r="H421" s="69" t="n"/>
      <c r="I421" s="73">
        <f>IF(OR(G421="",H421=""),"",TRIM(IF(HOUR(H421-G421)&gt;0,HOUR(H421-G421)&amp;" hr ","")&amp;IF(MINUTE(H421-G421)&gt;0,MINUTE(H421-G421)&amp;" min","")))</f>
        <v/>
      </c>
      <c r="J421" s="66" t="n"/>
      <c r="K421" s="70" t="n"/>
      <c r="L421" s="66" t="n"/>
      <c r="M421" s="66" t="n"/>
      <c r="N421" s="66" t="n"/>
      <c r="O421" s="73">
        <f>IF(C421="","",IF(AND(OR(L421="1-Urgent",L421="2-High"),M421="✓"),"DO FIRST",IF(M421="✓","SCHEDULE",IF(OR(L421="1-Urgent",L421="2-High"),"DELEGATE","DELETE"))))</f>
        <v/>
      </c>
      <c r="P421" s="65" t="n"/>
    </row>
    <row r="422">
      <c r="B422" s="64" t="n">
        <v>417</v>
      </c>
      <c r="C422" s="65" t="n"/>
      <c r="D422" s="66" t="n"/>
      <c r="E422" s="67" t="n"/>
      <c r="F422" s="68">
        <f>IF(OR(C422="",E422=""),"",E422-Setup!$D$7)</f>
        <v/>
      </c>
      <c r="G422" s="69" t="n"/>
      <c r="H422" s="69" t="n"/>
      <c r="I422" s="36">
        <f>IF(OR(G422="",H422=""),"",TRIM(IF(HOUR(H422-G422)&gt;0,HOUR(H422-G422)&amp;" hr ","")&amp;IF(MINUTE(H422-G422)&gt;0,MINUTE(H422-G422)&amp;" min","")))</f>
        <v/>
      </c>
      <c r="J422" s="66" t="n"/>
      <c r="K422" s="70" t="n"/>
      <c r="L422" s="66" t="n"/>
      <c r="M422" s="66" t="n"/>
      <c r="N422" s="66" t="n"/>
      <c r="O422" s="36">
        <f>IF(C422="","",IF(AND(OR(L422="1-Urgent",L422="2-High"),M422="✓"),"DO FIRST",IF(M422="✓","SCHEDULE",IF(OR(L422="1-Urgent",L422="2-High"),"DELEGATE","DELETE"))))</f>
        <v/>
      </c>
      <c r="P422" s="65" t="n"/>
    </row>
    <row r="423">
      <c r="B423" s="71" t="n">
        <v>418</v>
      </c>
      <c r="C423" s="65" t="n"/>
      <c r="D423" s="66" t="n"/>
      <c r="E423" s="67" t="n"/>
      <c r="F423" s="72">
        <f>IF(OR(C423="",E423=""),"",E423-Setup!$D$7)</f>
        <v/>
      </c>
      <c r="G423" s="69" t="n"/>
      <c r="H423" s="69" t="n"/>
      <c r="I423" s="73">
        <f>IF(OR(G423="",H423=""),"",TRIM(IF(HOUR(H423-G423)&gt;0,HOUR(H423-G423)&amp;" hr ","")&amp;IF(MINUTE(H423-G423)&gt;0,MINUTE(H423-G423)&amp;" min","")))</f>
        <v/>
      </c>
      <c r="J423" s="66" t="n"/>
      <c r="K423" s="70" t="n"/>
      <c r="L423" s="66" t="n"/>
      <c r="M423" s="66" t="n"/>
      <c r="N423" s="66" t="n"/>
      <c r="O423" s="73">
        <f>IF(C423="","",IF(AND(OR(L423="1-Urgent",L423="2-High"),M423="✓"),"DO FIRST",IF(M423="✓","SCHEDULE",IF(OR(L423="1-Urgent",L423="2-High"),"DELEGATE","DELETE"))))</f>
        <v/>
      </c>
      <c r="P423" s="65" t="n"/>
    </row>
    <row r="424">
      <c r="B424" s="64" t="n">
        <v>419</v>
      </c>
      <c r="C424" s="65" t="n"/>
      <c r="D424" s="66" t="n"/>
      <c r="E424" s="67" t="n"/>
      <c r="F424" s="68">
        <f>IF(OR(C424="",E424=""),"",E424-Setup!$D$7)</f>
        <v/>
      </c>
      <c r="G424" s="69" t="n"/>
      <c r="H424" s="69" t="n"/>
      <c r="I424" s="36">
        <f>IF(OR(G424="",H424=""),"",TRIM(IF(HOUR(H424-G424)&gt;0,HOUR(H424-G424)&amp;" hr ","")&amp;IF(MINUTE(H424-G424)&gt;0,MINUTE(H424-G424)&amp;" min","")))</f>
        <v/>
      </c>
      <c r="J424" s="66" t="n"/>
      <c r="K424" s="70" t="n"/>
      <c r="L424" s="66" t="n"/>
      <c r="M424" s="66" t="n"/>
      <c r="N424" s="66" t="n"/>
      <c r="O424" s="36">
        <f>IF(C424="","",IF(AND(OR(L424="1-Urgent",L424="2-High"),M424="✓"),"DO FIRST",IF(M424="✓","SCHEDULE",IF(OR(L424="1-Urgent",L424="2-High"),"DELEGATE","DELETE"))))</f>
        <v/>
      </c>
      <c r="P424" s="65" t="n"/>
    </row>
    <row r="425">
      <c r="B425" s="71" t="n">
        <v>420</v>
      </c>
      <c r="C425" s="65" t="n"/>
      <c r="D425" s="66" t="n"/>
      <c r="E425" s="67" t="n"/>
      <c r="F425" s="72">
        <f>IF(OR(C425="",E425=""),"",E425-Setup!$D$7)</f>
        <v/>
      </c>
      <c r="G425" s="69" t="n"/>
      <c r="H425" s="69" t="n"/>
      <c r="I425" s="73">
        <f>IF(OR(G425="",H425=""),"",TRIM(IF(HOUR(H425-G425)&gt;0,HOUR(H425-G425)&amp;" hr ","")&amp;IF(MINUTE(H425-G425)&gt;0,MINUTE(H425-G425)&amp;" min","")))</f>
        <v/>
      </c>
      <c r="J425" s="66" t="n"/>
      <c r="K425" s="70" t="n"/>
      <c r="L425" s="66" t="n"/>
      <c r="M425" s="66" t="n"/>
      <c r="N425" s="66" t="n"/>
      <c r="O425" s="73">
        <f>IF(C425="","",IF(AND(OR(L425="1-Urgent",L425="2-High"),M425="✓"),"DO FIRST",IF(M425="✓","SCHEDULE",IF(OR(L425="1-Urgent",L425="2-High"),"DELEGATE","DELETE"))))</f>
        <v/>
      </c>
      <c r="P425" s="65" t="n"/>
    </row>
    <row r="426">
      <c r="B426" s="64" t="n">
        <v>421</v>
      </c>
      <c r="C426" s="65" t="n"/>
      <c r="D426" s="66" t="n"/>
      <c r="E426" s="67" t="n"/>
      <c r="F426" s="68">
        <f>IF(OR(C426="",E426=""),"",E426-Setup!$D$7)</f>
        <v/>
      </c>
      <c r="G426" s="69" t="n"/>
      <c r="H426" s="69" t="n"/>
      <c r="I426" s="36">
        <f>IF(OR(G426="",H426=""),"",TRIM(IF(HOUR(H426-G426)&gt;0,HOUR(H426-G426)&amp;" hr ","")&amp;IF(MINUTE(H426-G426)&gt;0,MINUTE(H426-G426)&amp;" min","")))</f>
        <v/>
      </c>
      <c r="J426" s="66" t="n"/>
      <c r="K426" s="70" t="n"/>
      <c r="L426" s="66" t="n"/>
      <c r="M426" s="66" t="n"/>
      <c r="N426" s="66" t="n"/>
      <c r="O426" s="36">
        <f>IF(C426="","",IF(AND(OR(L426="1-Urgent",L426="2-High"),M426="✓"),"DO FIRST",IF(M426="✓","SCHEDULE",IF(OR(L426="1-Urgent",L426="2-High"),"DELEGATE","DELETE"))))</f>
        <v/>
      </c>
      <c r="P426" s="65" t="n"/>
    </row>
    <row r="427">
      <c r="B427" s="71" t="n">
        <v>422</v>
      </c>
      <c r="C427" s="65" t="n"/>
      <c r="D427" s="66" t="n"/>
      <c r="E427" s="67" t="n"/>
      <c r="F427" s="72">
        <f>IF(OR(C427="",E427=""),"",E427-Setup!$D$7)</f>
        <v/>
      </c>
      <c r="G427" s="69" t="n"/>
      <c r="H427" s="69" t="n"/>
      <c r="I427" s="73">
        <f>IF(OR(G427="",H427=""),"",TRIM(IF(HOUR(H427-G427)&gt;0,HOUR(H427-G427)&amp;" hr ","")&amp;IF(MINUTE(H427-G427)&gt;0,MINUTE(H427-G427)&amp;" min","")))</f>
        <v/>
      </c>
      <c r="J427" s="66" t="n"/>
      <c r="K427" s="70" t="n"/>
      <c r="L427" s="66" t="n"/>
      <c r="M427" s="66" t="n"/>
      <c r="N427" s="66" t="n"/>
      <c r="O427" s="73">
        <f>IF(C427="","",IF(AND(OR(L427="1-Urgent",L427="2-High"),M427="✓"),"DO FIRST",IF(M427="✓","SCHEDULE",IF(OR(L427="1-Urgent",L427="2-High"),"DELEGATE","DELETE"))))</f>
        <v/>
      </c>
      <c r="P427" s="65" t="n"/>
    </row>
    <row r="428">
      <c r="B428" s="64" t="n">
        <v>423</v>
      </c>
      <c r="C428" s="65" t="n"/>
      <c r="D428" s="66" t="n"/>
      <c r="E428" s="67" t="n"/>
      <c r="F428" s="68">
        <f>IF(OR(C428="",E428=""),"",E428-Setup!$D$7)</f>
        <v/>
      </c>
      <c r="G428" s="69" t="n"/>
      <c r="H428" s="69" t="n"/>
      <c r="I428" s="36">
        <f>IF(OR(G428="",H428=""),"",TRIM(IF(HOUR(H428-G428)&gt;0,HOUR(H428-G428)&amp;" hr ","")&amp;IF(MINUTE(H428-G428)&gt;0,MINUTE(H428-G428)&amp;" min","")))</f>
        <v/>
      </c>
      <c r="J428" s="66" t="n"/>
      <c r="K428" s="70" t="n"/>
      <c r="L428" s="66" t="n"/>
      <c r="M428" s="66" t="n"/>
      <c r="N428" s="66" t="n"/>
      <c r="O428" s="36">
        <f>IF(C428="","",IF(AND(OR(L428="1-Urgent",L428="2-High"),M428="✓"),"DO FIRST",IF(M428="✓","SCHEDULE",IF(OR(L428="1-Urgent",L428="2-High"),"DELEGATE","DELETE"))))</f>
        <v/>
      </c>
      <c r="P428" s="65" t="n"/>
    </row>
    <row r="429">
      <c r="B429" s="71" t="n">
        <v>424</v>
      </c>
      <c r="C429" s="65" t="n"/>
      <c r="D429" s="66" t="n"/>
      <c r="E429" s="67" t="n"/>
      <c r="F429" s="72">
        <f>IF(OR(C429="",E429=""),"",E429-Setup!$D$7)</f>
        <v/>
      </c>
      <c r="G429" s="69" t="n"/>
      <c r="H429" s="69" t="n"/>
      <c r="I429" s="73">
        <f>IF(OR(G429="",H429=""),"",TRIM(IF(HOUR(H429-G429)&gt;0,HOUR(H429-G429)&amp;" hr ","")&amp;IF(MINUTE(H429-G429)&gt;0,MINUTE(H429-G429)&amp;" min","")))</f>
        <v/>
      </c>
      <c r="J429" s="66" t="n"/>
      <c r="K429" s="70" t="n"/>
      <c r="L429" s="66" t="n"/>
      <c r="M429" s="66" t="n"/>
      <c r="N429" s="66" t="n"/>
      <c r="O429" s="73">
        <f>IF(C429="","",IF(AND(OR(L429="1-Urgent",L429="2-High"),M429="✓"),"DO FIRST",IF(M429="✓","SCHEDULE",IF(OR(L429="1-Urgent",L429="2-High"),"DELEGATE","DELETE"))))</f>
        <v/>
      </c>
      <c r="P429" s="65" t="n"/>
    </row>
    <row r="430">
      <c r="B430" s="64" t="n">
        <v>425</v>
      </c>
      <c r="C430" s="65" t="n"/>
      <c r="D430" s="66" t="n"/>
      <c r="E430" s="67" t="n"/>
      <c r="F430" s="68">
        <f>IF(OR(C430="",E430=""),"",E430-Setup!$D$7)</f>
        <v/>
      </c>
      <c r="G430" s="69" t="n"/>
      <c r="H430" s="69" t="n"/>
      <c r="I430" s="36">
        <f>IF(OR(G430="",H430=""),"",TRIM(IF(HOUR(H430-G430)&gt;0,HOUR(H430-G430)&amp;" hr ","")&amp;IF(MINUTE(H430-G430)&gt;0,MINUTE(H430-G430)&amp;" min","")))</f>
        <v/>
      </c>
      <c r="J430" s="66" t="n"/>
      <c r="K430" s="70" t="n"/>
      <c r="L430" s="66" t="n"/>
      <c r="M430" s="66" t="n"/>
      <c r="N430" s="66" t="n"/>
      <c r="O430" s="36">
        <f>IF(C430="","",IF(AND(OR(L430="1-Urgent",L430="2-High"),M430="✓"),"DO FIRST",IF(M430="✓","SCHEDULE",IF(OR(L430="1-Urgent",L430="2-High"),"DELEGATE","DELETE"))))</f>
        <v/>
      </c>
      <c r="P430" s="65" t="n"/>
    </row>
    <row r="431">
      <c r="B431" s="71" t="n">
        <v>426</v>
      </c>
      <c r="C431" s="65" t="n"/>
      <c r="D431" s="66" t="n"/>
      <c r="E431" s="67" t="n"/>
      <c r="F431" s="72">
        <f>IF(OR(C431="",E431=""),"",E431-Setup!$D$7)</f>
        <v/>
      </c>
      <c r="G431" s="69" t="n"/>
      <c r="H431" s="69" t="n"/>
      <c r="I431" s="73">
        <f>IF(OR(G431="",H431=""),"",TRIM(IF(HOUR(H431-G431)&gt;0,HOUR(H431-G431)&amp;" hr ","")&amp;IF(MINUTE(H431-G431)&gt;0,MINUTE(H431-G431)&amp;" min","")))</f>
        <v/>
      </c>
      <c r="J431" s="66" t="n"/>
      <c r="K431" s="70" t="n"/>
      <c r="L431" s="66" t="n"/>
      <c r="M431" s="66" t="n"/>
      <c r="N431" s="66" t="n"/>
      <c r="O431" s="73">
        <f>IF(C431="","",IF(AND(OR(L431="1-Urgent",L431="2-High"),M431="✓"),"DO FIRST",IF(M431="✓","SCHEDULE",IF(OR(L431="1-Urgent",L431="2-High"),"DELEGATE","DELETE"))))</f>
        <v/>
      </c>
      <c r="P431" s="65" t="n"/>
    </row>
    <row r="432">
      <c r="B432" s="64" t="n">
        <v>427</v>
      </c>
      <c r="C432" s="65" t="n"/>
      <c r="D432" s="66" t="n"/>
      <c r="E432" s="67" t="n"/>
      <c r="F432" s="68">
        <f>IF(OR(C432="",E432=""),"",E432-Setup!$D$7)</f>
        <v/>
      </c>
      <c r="G432" s="69" t="n"/>
      <c r="H432" s="69" t="n"/>
      <c r="I432" s="36">
        <f>IF(OR(G432="",H432=""),"",TRIM(IF(HOUR(H432-G432)&gt;0,HOUR(H432-G432)&amp;" hr ","")&amp;IF(MINUTE(H432-G432)&gt;0,MINUTE(H432-G432)&amp;" min","")))</f>
        <v/>
      </c>
      <c r="J432" s="66" t="n"/>
      <c r="K432" s="70" t="n"/>
      <c r="L432" s="66" t="n"/>
      <c r="M432" s="66" t="n"/>
      <c r="N432" s="66" t="n"/>
      <c r="O432" s="36">
        <f>IF(C432="","",IF(AND(OR(L432="1-Urgent",L432="2-High"),M432="✓"),"DO FIRST",IF(M432="✓","SCHEDULE",IF(OR(L432="1-Urgent",L432="2-High"),"DELEGATE","DELETE"))))</f>
        <v/>
      </c>
      <c r="P432" s="65" t="n"/>
    </row>
    <row r="433">
      <c r="B433" s="71" t="n">
        <v>428</v>
      </c>
      <c r="C433" s="65" t="n"/>
      <c r="D433" s="66" t="n"/>
      <c r="E433" s="67" t="n"/>
      <c r="F433" s="72">
        <f>IF(OR(C433="",E433=""),"",E433-Setup!$D$7)</f>
        <v/>
      </c>
      <c r="G433" s="69" t="n"/>
      <c r="H433" s="69" t="n"/>
      <c r="I433" s="73">
        <f>IF(OR(G433="",H433=""),"",TRIM(IF(HOUR(H433-G433)&gt;0,HOUR(H433-G433)&amp;" hr ","")&amp;IF(MINUTE(H433-G433)&gt;0,MINUTE(H433-G433)&amp;" min","")))</f>
        <v/>
      </c>
      <c r="J433" s="66" t="n"/>
      <c r="K433" s="70" t="n"/>
      <c r="L433" s="66" t="n"/>
      <c r="M433" s="66" t="n"/>
      <c r="N433" s="66" t="n"/>
      <c r="O433" s="73">
        <f>IF(C433="","",IF(AND(OR(L433="1-Urgent",L433="2-High"),M433="✓"),"DO FIRST",IF(M433="✓","SCHEDULE",IF(OR(L433="1-Urgent",L433="2-High"),"DELEGATE","DELETE"))))</f>
        <v/>
      </c>
      <c r="P433" s="65" t="n"/>
    </row>
    <row r="434">
      <c r="B434" s="64" t="n">
        <v>429</v>
      </c>
      <c r="C434" s="65" t="n"/>
      <c r="D434" s="66" t="n"/>
      <c r="E434" s="67" t="n"/>
      <c r="F434" s="68">
        <f>IF(OR(C434="",E434=""),"",E434-Setup!$D$7)</f>
        <v/>
      </c>
      <c r="G434" s="69" t="n"/>
      <c r="H434" s="69" t="n"/>
      <c r="I434" s="36">
        <f>IF(OR(G434="",H434=""),"",TRIM(IF(HOUR(H434-G434)&gt;0,HOUR(H434-G434)&amp;" hr ","")&amp;IF(MINUTE(H434-G434)&gt;0,MINUTE(H434-G434)&amp;" min","")))</f>
        <v/>
      </c>
      <c r="J434" s="66" t="n"/>
      <c r="K434" s="70" t="n"/>
      <c r="L434" s="66" t="n"/>
      <c r="M434" s="66" t="n"/>
      <c r="N434" s="66" t="n"/>
      <c r="O434" s="36">
        <f>IF(C434="","",IF(AND(OR(L434="1-Urgent",L434="2-High"),M434="✓"),"DO FIRST",IF(M434="✓","SCHEDULE",IF(OR(L434="1-Urgent",L434="2-High"),"DELEGATE","DELETE"))))</f>
        <v/>
      </c>
      <c r="P434" s="65" t="n"/>
    </row>
    <row r="435">
      <c r="B435" s="71" t="n">
        <v>430</v>
      </c>
      <c r="C435" s="65" t="n"/>
      <c r="D435" s="66" t="n"/>
      <c r="E435" s="67" t="n"/>
      <c r="F435" s="72">
        <f>IF(OR(C435="",E435=""),"",E435-Setup!$D$7)</f>
        <v/>
      </c>
      <c r="G435" s="69" t="n"/>
      <c r="H435" s="69" t="n"/>
      <c r="I435" s="73">
        <f>IF(OR(G435="",H435=""),"",TRIM(IF(HOUR(H435-G435)&gt;0,HOUR(H435-G435)&amp;" hr ","")&amp;IF(MINUTE(H435-G435)&gt;0,MINUTE(H435-G435)&amp;" min","")))</f>
        <v/>
      </c>
      <c r="J435" s="66" t="n"/>
      <c r="K435" s="70" t="n"/>
      <c r="L435" s="66" t="n"/>
      <c r="M435" s="66" t="n"/>
      <c r="N435" s="66" t="n"/>
      <c r="O435" s="73">
        <f>IF(C435="","",IF(AND(OR(L435="1-Urgent",L435="2-High"),M435="✓"),"DO FIRST",IF(M435="✓","SCHEDULE",IF(OR(L435="1-Urgent",L435="2-High"),"DELEGATE","DELETE"))))</f>
        <v/>
      </c>
      <c r="P435" s="65" t="n"/>
    </row>
    <row r="436">
      <c r="B436" s="64" t="n">
        <v>431</v>
      </c>
      <c r="C436" s="65" t="n"/>
      <c r="D436" s="66" t="n"/>
      <c r="E436" s="67" t="n"/>
      <c r="F436" s="68">
        <f>IF(OR(C436="",E436=""),"",E436-Setup!$D$7)</f>
        <v/>
      </c>
      <c r="G436" s="69" t="n"/>
      <c r="H436" s="69" t="n"/>
      <c r="I436" s="36">
        <f>IF(OR(G436="",H436=""),"",TRIM(IF(HOUR(H436-G436)&gt;0,HOUR(H436-G436)&amp;" hr ","")&amp;IF(MINUTE(H436-G436)&gt;0,MINUTE(H436-G436)&amp;" min","")))</f>
        <v/>
      </c>
      <c r="J436" s="66" t="n"/>
      <c r="K436" s="70" t="n"/>
      <c r="L436" s="66" t="n"/>
      <c r="M436" s="66" t="n"/>
      <c r="N436" s="66" t="n"/>
      <c r="O436" s="36">
        <f>IF(C436="","",IF(AND(OR(L436="1-Urgent",L436="2-High"),M436="✓"),"DO FIRST",IF(M436="✓","SCHEDULE",IF(OR(L436="1-Urgent",L436="2-High"),"DELEGATE","DELETE"))))</f>
        <v/>
      </c>
      <c r="P436" s="65" t="n"/>
    </row>
    <row r="437">
      <c r="B437" s="71" t="n">
        <v>432</v>
      </c>
      <c r="C437" s="65" t="n"/>
      <c r="D437" s="66" t="n"/>
      <c r="E437" s="67" t="n"/>
      <c r="F437" s="72">
        <f>IF(OR(C437="",E437=""),"",E437-Setup!$D$7)</f>
        <v/>
      </c>
      <c r="G437" s="69" t="n"/>
      <c r="H437" s="69" t="n"/>
      <c r="I437" s="73">
        <f>IF(OR(G437="",H437=""),"",TRIM(IF(HOUR(H437-G437)&gt;0,HOUR(H437-G437)&amp;" hr ","")&amp;IF(MINUTE(H437-G437)&gt;0,MINUTE(H437-G437)&amp;" min","")))</f>
        <v/>
      </c>
      <c r="J437" s="66" t="n"/>
      <c r="K437" s="70" t="n"/>
      <c r="L437" s="66" t="n"/>
      <c r="M437" s="66" t="n"/>
      <c r="N437" s="66" t="n"/>
      <c r="O437" s="73">
        <f>IF(C437="","",IF(AND(OR(L437="1-Urgent",L437="2-High"),M437="✓"),"DO FIRST",IF(M437="✓","SCHEDULE",IF(OR(L437="1-Urgent",L437="2-High"),"DELEGATE","DELETE"))))</f>
        <v/>
      </c>
      <c r="P437" s="65" t="n"/>
    </row>
    <row r="438">
      <c r="B438" s="64" t="n">
        <v>433</v>
      </c>
      <c r="C438" s="65" t="n"/>
      <c r="D438" s="66" t="n"/>
      <c r="E438" s="67" t="n"/>
      <c r="F438" s="68">
        <f>IF(OR(C438="",E438=""),"",E438-Setup!$D$7)</f>
        <v/>
      </c>
      <c r="G438" s="69" t="n"/>
      <c r="H438" s="69" t="n"/>
      <c r="I438" s="36">
        <f>IF(OR(G438="",H438=""),"",TRIM(IF(HOUR(H438-G438)&gt;0,HOUR(H438-G438)&amp;" hr ","")&amp;IF(MINUTE(H438-G438)&gt;0,MINUTE(H438-G438)&amp;" min","")))</f>
        <v/>
      </c>
      <c r="J438" s="66" t="n"/>
      <c r="K438" s="70" t="n"/>
      <c r="L438" s="66" t="n"/>
      <c r="M438" s="66" t="n"/>
      <c r="N438" s="66" t="n"/>
      <c r="O438" s="36">
        <f>IF(C438="","",IF(AND(OR(L438="1-Urgent",L438="2-High"),M438="✓"),"DO FIRST",IF(M438="✓","SCHEDULE",IF(OR(L438="1-Urgent",L438="2-High"),"DELEGATE","DELETE"))))</f>
        <v/>
      </c>
      <c r="P438" s="65" t="n"/>
    </row>
    <row r="439">
      <c r="B439" s="71" t="n">
        <v>434</v>
      </c>
      <c r="C439" s="65" t="n"/>
      <c r="D439" s="66" t="n"/>
      <c r="E439" s="67" t="n"/>
      <c r="F439" s="72">
        <f>IF(OR(C439="",E439=""),"",E439-Setup!$D$7)</f>
        <v/>
      </c>
      <c r="G439" s="69" t="n"/>
      <c r="H439" s="69" t="n"/>
      <c r="I439" s="73">
        <f>IF(OR(G439="",H439=""),"",TRIM(IF(HOUR(H439-G439)&gt;0,HOUR(H439-G439)&amp;" hr ","")&amp;IF(MINUTE(H439-G439)&gt;0,MINUTE(H439-G439)&amp;" min","")))</f>
        <v/>
      </c>
      <c r="J439" s="66" t="n"/>
      <c r="K439" s="70" t="n"/>
      <c r="L439" s="66" t="n"/>
      <c r="M439" s="66" t="n"/>
      <c r="N439" s="66" t="n"/>
      <c r="O439" s="73">
        <f>IF(C439="","",IF(AND(OR(L439="1-Urgent",L439="2-High"),M439="✓"),"DO FIRST",IF(M439="✓","SCHEDULE",IF(OR(L439="1-Urgent",L439="2-High"),"DELEGATE","DELETE"))))</f>
        <v/>
      </c>
      <c r="P439" s="65" t="n"/>
    </row>
    <row r="440">
      <c r="B440" s="64" t="n">
        <v>435</v>
      </c>
      <c r="C440" s="65" t="n"/>
      <c r="D440" s="66" t="n"/>
      <c r="E440" s="67" t="n"/>
      <c r="F440" s="68">
        <f>IF(OR(C440="",E440=""),"",E440-Setup!$D$7)</f>
        <v/>
      </c>
      <c r="G440" s="69" t="n"/>
      <c r="H440" s="69" t="n"/>
      <c r="I440" s="36">
        <f>IF(OR(G440="",H440=""),"",TRIM(IF(HOUR(H440-G440)&gt;0,HOUR(H440-G440)&amp;" hr ","")&amp;IF(MINUTE(H440-G440)&gt;0,MINUTE(H440-G440)&amp;" min","")))</f>
        <v/>
      </c>
      <c r="J440" s="66" t="n"/>
      <c r="K440" s="70" t="n"/>
      <c r="L440" s="66" t="n"/>
      <c r="M440" s="66" t="n"/>
      <c r="N440" s="66" t="n"/>
      <c r="O440" s="36">
        <f>IF(C440="","",IF(AND(OR(L440="1-Urgent",L440="2-High"),M440="✓"),"DO FIRST",IF(M440="✓","SCHEDULE",IF(OR(L440="1-Urgent",L440="2-High"),"DELEGATE","DELETE"))))</f>
        <v/>
      </c>
      <c r="P440" s="65" t="n"/>
    </row>
    <row r="441">
      <c r="B441" s="71" t="n">
        <v>436</v>
      </c>
      <c r="C441" s="65" t="n"/>
      <c r="D441" s="66" t="n"/>
      <c r="E441" s="67" t="n"/>
      <c r="F441" s="72">
        <f>IF(OR(C441="",E441=""),"",E441-Setup!$D$7)</f>
        <v/>
      </c>
      <c r="G441" s="69" t="n"/>
      <c r="H441" s="69" t="n"/>
      <c r="I441" s="73">
        <f>IF(OR(G441="",H441=""),"",TRIM(IF(HOUR(H441-G441)&gt;0,HOUR(H441-G441)&amp;" hr ","")&amp;IF(MINUTE(H441-G441)&gt;0,MINUTE(H441-G441)&amp;" min","")))</f>
        <v/>
      </c>
      <c r="J441" s="66" t="n"/>
      <c r="K441" s="70" t="n"/>
      <c r="L441" s="66" t="n"/>
      <c r="M441" s="66" t="n"/>
      <c r="N441" s="66" t="n"/>
      <c r="O441" s="73">
        <f>IF(C441="","",IF(AND(OR(L441="1-Urgent",L441="2-High"),M441="✓"),"DO FIRST",IF(M441="✓","SCHEDULE",IF(OR(L441="1-Urgent",L441="2-High"),"DELEGATE","DELETE"))))</f>
        <v/>
      </c>
      <c r="P441" s="65" t="n"/>
    </row>
    <row r="442">
      <c r="B442" s="64" t="n">
        <v>437</v>
      </c>
      <c r="C442" s="65" t="n"/>
      <c r="D442" s="66" t="n"/>
      <c r="E442" s="67" t="n"/>
      <c r="F442" s="68">
        <f>IF(OR(C442="",E442=""),"",E442-Setup!$D$7)</f>
        <v/>
      </c>
      <c r="G442" s="69" t="n"/>
      <c r="H442" s="69" t="n"/>
      <c r="I442" s="36">
        <f>IF(OR(G442="",H442=""),"",TRIM(IF(HOUR(H442-G442)&gt;0,HOUR(H442-G442)&amp;" hr ","")&amp;IF(MINUTE(H442-G442)&gt;0,MINUTE(H442-G442)&amp;" min","")))</f>
        <v/>
      </c>
      <c r="J442" s="66" t="n"/>
      <c r="K442" s="70" t="n"/>
      <c r="L442" s="66" t="n"/>
      <c r="M442" s="66" t="n"/>
      <c r="N442" s="66" t="n"/>
      <c r="O442" s="36">
        <f>IF(C442="","",IF(AND(OR(L442="1-Urgent",L442="2-High"),M442="✓"),"DO FIRST",IF(M442="✓","SCHEDULE",IF(OR(L442="1-Urgent",L442="2-High"),"DELEGATE","DELETE"))))</f>
        <v/>
      </c>
      <c r="P442" s="65" t="n"/>
    </row>
    <row r="443">
      <c r="B443" s="71" t="n">
        <v>438</v>
      </c>
      <c r="C443" s="65" t="n"/>
      <c r="D443" s="66" t="n"/>
      <c r="E443" s="67" t="n"/>
      <c r="F443" s="72">
        <f>IF(OR(C443="",E443=""),"",E443-Setup!$D$7)</f>
        <v/>
      </c>
      <c r="G443" s="69" t="n"/>
      <c r="H443" s="69" t="n"/>
      <c r="I443" s="73">
        <f>IF(OR(G443="",H443=""),"",TRIM(IF(HOUR(H443-G443)&gt;0,HOUR(H443-G443)&amp;" hr ","")&amp;IF(MINUTE(H443-G443)&gt;0,MINUTE(H443-G443)&amp;" min","")))</f>
        <v/>
      </c>
      <c r="J443" s="66" t="n"/>
      <c r="K443" s="70" t="n"/>
      <c r="L443" s="66" t="n"/>
      <c r="M443" s="66" t="n"/>
      <c r="N443" s="66" t="n"/>
      <c r="O443" s="73">
        <f>IF(C443="","",IF(AND(OR(L443="1-Urgent",L443="2-High"),M443="✓"),"DO FIRST",IF(M443="✓","SCHEDULE",IF(OR(L443="1-Urgent",L443="2-High"),"DELEGATE","DELETE"))))</f>
        <v/>
      </c>
      <c r="P443" s="65" t="n"/>
    </row>
    <row r="444">
      <c r="B444" s="64" t="n">
        <v>439</v>
      </c>
      <c r="C444" s="65" t="n"/>
      <c r="D444" s="66" t="n"/>
      <c r="E444" s="67" t="n"/>
      <c r="F444" s="68">
        <f>IF(OR(C444="",E444=""),"",E444-Setup!$D$7)</f>
        <v/>
      </c>
      <c r="G444" s="69" t="n"/>
      <c r="H444" s="69" t="n"/>
      <c r="I444" s="36">
        <f>IF(OR(G444="",H444=""),"",TRIM(IF(HOUR(H444-G444)&gt;0,HOUR(H444-G444)&amp;" hr ","")&amp;IF(MINUTE(H444-G444)&gt;0,MINUTE(H444-G444)&amp;" min","")))</f>
        <v/>
      </c>
      <c r="J444" s="66" t="n"/>
      <c r="K444" s="70" t="n"/>
      <c r="L444" s="66" t="n"/>
      <c r="M444" s="66" t="n"/>
      <c r="N444" s="66" t="n"/>
      <c r="O444" s="36">
        <f>IF(C444="","",IF(AND(OR(L444="1-Urgent",L444="2-High"),M444="✓"),"DO FIRST",IF(M444="✓","SCHEDULE",IF(OR(L444="1-Urgent",L444="2-High"),"DELEGATE","DELETE"))))</f>
        <v/>
      </c>
      <c r="P444" s="65" t="n"/>
    </row>
    <row r="445">
      <c r="B445" s="71" t="n">
        <v>440</v>
      </c>
      <c r="C445" s="65" t="n"/>
      <c r="D445" s="66" t="n"/>
      <c r="E445" s="67" t="n"/>
      <c r="F445" s="72">
        <f>IF(OR(C445="",E445=""),"",E445-Setup!$D$7)</f>
        <v/>
      </c>
      <c r="G445" s="69" t="n"/>
      <c r="H445" s="69" t="n"/>
      <c r="I445" s="73">
        <f>IF(OR(G445="",H445=""),"",TRIM(IF(HOUR(H445-G445)&gt;0,HOUR(H445-G445)&amp;" hr ","")&amp;IF(MINUTE(H445-G445)&gt;0,MINUTE(H445-G445)&amp;" min","")))</f>
        <v/>
      </c>
      <c r="J445" s="66" t="n"/>
      <c r="K445" s="70" t="n"/>
      <c r="L445" s="66" t="n"/>
      <c r="M445" s="66" t="n"/>
      <c r="N445" s="66" t="n"/>
      <c r="O445" s="73">
        <f>IF(C445="","",IF(AND(OR(L445="1-Urgent",L445="2-High"),M445="✓"),"DO FIRST",IF(M445="✓","SCHEDULE",IF(OR(L445="1-Urgent",L445="2-High"),"DELEGATE","DELETE"))))</f>
        <v/>
      </c>
      <c r="P445" s="65" t="n"/>
    </row>
    <row r="446">
      <c r="B446" s="64" t="n">
        <v>441</v>
      </c>
      <c r="C446" s="65" t="n"/>
      <c r="D446" s="66" t="n"/>
      <c r="E446" s="67" t="n"/>
      <c r="F446" s="68">
        <f>IF(OR(C446="",E446=""),"",E446-Setup!$D$7)</f>
        <v/>
      </c>
      <c r="G446" s="69" t="n"/>
      <c r="H446" s="69" t="n"/>
      <c r="I446" s="36">
        <f>IF(OR(G446="",H446=""),"",TRIM(IF(HOUR(H446-G446)&gt;0,HOUR(H446-G446)&amp;" hr ","")&amp;IF(MINUTE(H446-G446)&gt;0,MINUTE(H446-G446)&amp;" min","")))</f>
        <v/>
      </c>
      <c r="J446" s="66" t="n"/>
      <c r="K446" s="70" t="n"/>
      <c r="L446" s="66" t="n"/>
      <c r="M446" s="66" t="n"/>
      <c r="N446" s="66" t="n"/>
      <c r="O446" s="36">
        <f>IF(C446="","",IF(AND(OR(L446="1-Urgent",L446="2-High"),M446="✓"),"DO FIRST",IF(M446="✓","SCHEDULE",IF(OR(L446="1-Urgent",L446="2-High"),"DELEGATE","DELETE"))))</f>
        <v/>
      </c>
      <c r="P446" s="65" t="n"/>
    </row>
    <row r="447">
      <c r="B447" s="71" t="n">
        <v>442</v>
      </c>
      <c r="C447" s="65" t="n"/>
      <c r="D447" s="66" t="n"/>
      <c r="E447" s="67" t="n"/>
      <c r="F447" s="72">
        <f>IF(OR(C447="",E447=""),"",E447-Setup!$D$7)</f>
        <v/>
      </c>
      <c r="G447" s="69" t="n"/>
      <c r="H447" s="69" t="n"/>
      <c r="I447" s="73">
        <f>IF(OR(G447="",H447=""),"",TRIM(IF(HOUR(H447-G447)&gt;0,HOUR(H447-G447)&amp;" hr ","")&amp;IF(MINUTE(H447-G447)&gt;0,MINUTE(H447-G447)&amp;" min","")))</f>
        <v/>
      </c>
      <c r="J447" s="66" t="n"/>
      <c r="K447" s="70" t="n"/>
      <c r="L447" s="66" t="n"/>
      <c r="M447" s="66" t="n"/>
      <c r="N447" s="66" t="n"/>
      <c r="O447" s="73">
        <f>IF(C447="","",IF(AND(OR(L447="1-Urgent",L447="2-High"),M447="✓"),"DO FIRST",IF(M447="✓","SCHEDULE",IF(OR(L447="1-Urgent",L447="2-High"),"DELEGATE","DELETE"))))</f>
        <v/>
      </c>
      <c r="P447" s="65" t="n"/>
    </row>
    <row r="448">
      <c r="B448" s="64" t="n">
        <v>443</v>
      </c>
      <c r="C448" s="65" t="n"/>
      <c r="D448" s="66" t="n"/>
      <c r="E448" s="67" t="n"/>
      <c r="F448" s="68">
        <f>IF(OR(C448="",E448=""),"",E448-Setup!$D$7)</f>
        <v/>
      </c>
      <c r="G448" s="69" t="n"/>
      <c r="H448" s="69" t="n"/>
      <c r="I448" s="36">
        <f>IF(OR(G448="",H448=""),"",TRIM(IF(HOUR(H448-G448)&gt;0,HOUR(H448-G448)&amp;" hr ","")&amp;IF(MINUTE(H448-G448)&gt;0,MINUTE(H448-G448)&amp;" min","")))</f>
        <v/>
      </c>
      <c r="J448" s="66" t="n"/>
      <c r="K448" s="70" t="n"/>
      <c r="L448" s="66" t="n"/>
      <c r="M448" s="66" t="n"/>
      <c r="N448" s="66" t="n"/>
      <c r="O448" s="36">
        <f>IF(C448="","",IF(AND(OR(L448="1-Urgent",L448="2-High"),M448="✓"),"DO FIRST",IF(M448="✓","SCHEDULE",IF(OR(L448="1-Urgent",L448="2-High"),"DELEGATE","DELETE"))))</f>
        <v/>
      </c>
      <c r="P448" s="65" t="n"/>
    </row>
    <row r="449">
      <c r="B449" s="71" t="n">
        <v>444</v>
      </c>
      <c r="C449" s="65" t="n"/>
      <c r="D449" s="66" t="n"/>
      <c r="E449" s="67" t="n"/>
      <c r="F449" s="72">
        <f>IF(OR(C449="",E449=""),"",E449-Setup!$D$7)</f>
        <v/>
      </c>
      <c r="G449" s="69" t="n"/>
      <c r="H449" s="69" t="n"/>
      <c r="I449" s="73">
        <f>IF(OR(G449="",H449=""),"",TRIM(IF(HOUR(H449-G449)&gt;0,HOUR(H449-G449)&amp;" hr ","")&amp;IF(MINUTE(H449-G449)&gt;0,MINUTE(H449-G449)&amp;" min","")))</f>
        <v/>
      </c>
      <c r="J449" s="66" t="n"/>
      <c r="K449" s="70" t="n"/>
      <c r="L449" s="66" t="n"/>
      <c r="M449" s="66" t="n"/>
      <c r="N449" s="66" t="n"/>
      <c r="O449" s="73">
        <f>IF(C449="","",IF(AND(OR(L449="1-Urgent",L449="2-High"),M449="✓"),"DO FIRST",IF(M449="✓","SCHEDULE",IF(OR(L449="1-Urgent",L449="2-High"),"DELEGATE","DELETE"))))</f>
        <v/>
      </c>
      <c r="P449" s="65" t="n"/>
    </row>
    <row r="450">
      <c r="B450" s="64" t="n">
        <v>445</v>
      </c>
      <c r="C450" s="65" t="n"/>
      <c r="D450" s="66" t="n"/>
      <c r="E450" s="67" t="n"/>
      <c r="F450" s="68">
        <f>IF(OR(C450="",E450=""),"",E450-Setup!$D$7)</f>
        <v/>
      </c>
      <c r="G450" s="69" t="n"/>
      <c r="H450" s="69" t="n"/>
      <c r="I450" s="36">
        <f>IF(OR(G450="",H450=""),"",TRIM(IF(HOUR(H450-G450)&gt;0,HOUR(H450-G450)&amp;" hr ","")&amp;IF(MINUTE(H450-G450)&gt;0,MINUTE(H450-G450)&amp;" min","")))</f>
        <v/>
      </c>
      <c r="J450" s="66" t="n"/>
      <c r="K450" s="70" t="n"/>
      <c r="L450" s="66" t="n"/>
      <c r="M450" s="66" t="n"/>
      <c r="N450" s="66" t="n"/>
      <c r="O450" s="36">
        <f>IF(C450="","",IF(AND(OR(L450="1-Urgent",L450="2-High"),M450="✓"),"DO FIRST",IF(M450="✓","SCHEDULE",IF(OR(L450="1-Urgent",L450="2-High"),"DELEGATE","DELETE"))))</f>
        <v/>
      </c>
      <c r="P450" s="65" t="n"/>
    </row>
    <row r="451">
      <c r="B451" s="71" t="n">
        <v>446</v>
      </c>
      <c r="C451" s="65" t="n"/>
      <c r="D451" s="66" t="n"/>
      <c r="E451" s="67" t="n"/>
      <c r="F451" s="72">
        <f>IF(OR(C451="",E451=""),"",E451-Setup!$D$7)</f>
        <v/>
      </c>
      <c r="G451" s="69" t="n"/>
      <c r="H451" s="69" t="n"/>
      <c r="I451" s="73">
        <f>IF(OR(G451="",H451=""),"",TRIM(IF(HOUR(H451-G451)&gt;0,HOUR(H451-G451)&amp;" hr ","")&amp;IF(MINUTE(H451-G451)&gt;0,MINUTE(H451-G451)&amp;" min","")))</f>
        <v/>
      </c>
      <c r="J451" s="66" t="n"/>
      <c r="K451" s="70" t="n"/>
      <c r="L451" s="66" t="n"/>
      <c r="M451" s="66" t="n"/>
      <c r="N451" s="66" t="n"/>
      <c r="O451" s="73">
        <f>IF(C451="","",IF(AND(OR(L451="1-Urgent",L451="2-High"),M451="✓"),"DO FIRST",IF(M451="✓","SCHEDULE",IF(OR(L451="1-Urgent",L451="2-High"),"DELEGATE","DELETE"))))</f>
        <v/>
      </c>
      <c r="P451" s="65" t="n"/>
    </row>
    <row r="452">
      <c r="B452" s="64" t="n">
        <v>447</v>
      </c>
      <c r="C452" s="65" t="n"/>
      <c r="D452" s="66" t="n"/>
      <c r="E452" s="67" t="n"/>
      <c r="F452" s="68">
        <f>IF(OR(C452="",E452=""),"",E452-Setup!$D$7)</f>
        <v/>
      </c>
      <c r="G452" s="69" t="n"/>
      <c r="H452" s="69" t="n"/>
      <c r="I452" s="36">
        <f>IF(OR(G452="",H452=""),"",TRIM(IF(HOUR(H452-G452)&gt;0,HOUR(H452-G452)&amp;" hr ","")&amp;IF(MINUTE(H452-G452)&gt;0,MINUTE(H452-G452)&amp;" min","")))</f>
        <v/>
      </c>
      <c r="J452" s="66" t="n"/>
      <c r="K452" s="70" t="n"/>
      <c r="L452" s="66" t="n"/>
      <c r="M452" s="66" t="n"/>
      <c r="N452" s="66" t="n"/>
      <c r="O452" s="36">
        <f>IF(C452="","",IF(AND(OR(L452="1-Urgent",L452="2-High"),M452="✓"),"DO FIRST",IF(M452="✓","SCHEDULE",IF(OR(L452="1-Urgent",L452="2-High"),"DELEGATE","DELETE"))))</f>
        <v/>
      </c>
      <c r="P452" s="65" t="n"/>
    </row>
    <row r="453">
      <c r="B453" s="71" t="n">
        <v>448</v>
      </c>
      <c r="C453" s="65" t="n"/>
      <c r="D453" s="66" t="n"/>
      <c r="E453" s="67" t="n"/>
      <c r="F453" s="72">
        <f>IF(OR(C453="",E453=""),"",E453-Setup!$D$7)</f>
        <v/>
      </c>
      <c r="G453" s="69" t="n"/>
      <c r="H453" s="69" t="n"/>
      <c r="I453" s="73">
        <f>IF(OR(G453="",H453=""),"",TRIM(IF(HOUR(H453-G453)&gt;0,HOUR(H453-G453)&amp;" hr ","")&amp;IF(MINUTE(H453-G453)&gt;0,MINUTE(H453-G453)&amp;" min","")))</f>
        <v/>
      </c>
      <c r="J453" s="66" t="n"/>
      <c r="K453" s="70" t="n"/>
      <c r="L453" s="66" t="n"/>
      <c r="M453" s="66" t="n"/>
      <c r="N453" s="66" t="n"/>
      <c r="O453" s="73">
        <f>IF(C453="","",IF(AND(OR(L453="1-Urgent",L453="2-High"),M453="✓"),"DO FIRST",IF(M453="✓","SCHEDULE",IF(OR(L453="1-Urgent",L453="2-High"),"DELEGATE","DELETE"))))</f>
        <v/>
      </c>
      <c r="P453" s="65" t="n"/>
    </row>
    <row r="454">
      <c r="B454" s="64" t="n">
        <v>449</v>
      </c>
      <c r="C454" s="65" t="n"/>
      <c r="D454" s="66" t="n"/>
      <c r="E454" s="67" t="n"/>
      <c r="F454" s="68">
        <f>IF(OR(C454="",E454=""),"",E454-Setup!$D$7)</f>
        <v/>
      </c>
      <c r="G454" s="69" t="n"/>
      <c r="H454" s="69" t="n"/>
      <c r="I454" s="36">
        <f>IF(OR(G454="",H454=""),"",TRIM(IF(HOUR(H454-G454)&gt;0,HOUR(H454-G454)&amp;" hr ","")&amp;IF(MINUTE(H454-G454)&gt;0,MINUTE(H454-G454)&amp;" min","")))</f>
        <v/>
      </c>
      <c r="J454" s="66" t="n"/>
      <c r="K454" s="70" t="n"/>
      <c r="L454" s="66" t="n"/>
      <c r="M454" s="66" t="n"/>
      <c r="N454" s="66" t="n"/>
      <c r="O454" s="36">
        <f>IF(C454="","",IF(AND(OR(L454="1-Urgent",L454="2-High"),M454="✓"),"DO FIRST",IF(M454="✓","SCHEDULE",IF(OR(L454="1-Urgent",L454="2-High"),"DELEGATE","DELETE"))))</f>
        <v/>
      </c>
      <c r="P454" s="65" t="n"/>
    </row>
    <row r="455">
      <c r="B455" s="71" t="n">
        <v>450</v>
      </c>
      <c r="C455" s="65" t="n"/>
      <c r="D455" s="66" t="n"/>
      <c r="E455" s="67" t="n"/>
      <c r="F455" s="72">
        <f>IF(OR(C455="",E455=""),"",E455-Setup!$D$7)</f>
        <v/>
      </c>
      <c r="G455" s="69" t="n"/>
      <c r="H455" s="69" t="n"/>
      <c r="I455" s="73">
        <f>IF(OR(G455="",H455=""),"",TRIM(IF(HOUR(H455-G455)&gt;0,HOUR(H455-G455)&amp;" hr ","")&amp;IF(MINUTE(H455-G455)&gt;0,MINUTE(H455-G455)&amp;" min","")))</f>
        <v/>
      </c>
      <c r="J455" s="66" t="n"/>
      <c r="K455" s="70" t="n"/>
      <c r="L455" s="66" t="n"/>
      <c r="M455" s="66" t="n"/>
      <c r="N455" s="66" t="n"/>
      <c r="O455" s="73">
        <f>IF(C455="","",IF(AND(OR(L455="1-Urgent",L455="2-High"),M455="✓"),"DO FIRST",IF(M455="✓","SCHEDULE",IF(OR(L455="1-Urgent",L455="2-High"),"DELEGATE","DELETE"))))</f>
        <v/>
      </c>
      <c r="P455" s="65" t="n"/>
    </row>
    <row r="456">
      <c r="B456" s="64" t="n">
        <v>451</v>
      </c>
      <c r="C456" s="65" t="n"/>
      <c r="D456" s="66" t="n"/>
      <c r="E456" s="67" t="n"/>
      <c r="F456" s="68">
        <f>IF(OR(C456="",E456=""),"",E456-Setup!$D$7)</f>
        <v/>
      </c>
      <c r="G456" s="69" t="n"/>
      <c r="H456" s="69" t="n"/>
      <c r="I456" s="36">
        <f>IF(OR(G456="",H456=""),"",TRIM(IF(HOUR(H456-G456)&gt;0,HOUR(H456-G456)&amp;" hr ","")&amp;IF(MINUTE(H456-G456)&gt;0,MINUTE(H456-G456)&amp;" min","")))</f>
        <v/>
      </c>
      <c r="J456" s="66" t="n"/>
      <c r="K456" s="70" t="n"/>
      <c r="L456" s="66" t="n"/>
      <c r="M456" s="66" t="n"/>
      <c r="N456" s="66" t="n"/>
      <c r="O456" s="36">
        <f>IF(C456="","",IF(AND(OR(L456="1-Urgent",L456="2-High"),M456="✓"),"DO FIRST",IF(M456="✓","SCHEDULE",IF(OR(L456="1-Urgent",L456="2-High"),"DELEGATE","DELETE"))))</f>
        <v/>
      </c>
      <c r="P456" s="65" t="n"/>
    </row>
    <row r="457">
      <c r="B457" s="71" t="n">
        <v>452</v>
      </c>
      <c r="C457" s="65" t="n"/>
      <c r="D457" s="66" t="n"/>
      <c r="E457" s="67" t="n"/>
      <c r="F457" s="72">
        <f>IF(OR(C457="",E457=""),"",E457-Setup!$D$7)</f>
        <v/>
      </c>
      <c r="G457" s="69" t="n"/>
      <c r="H457" s="69" t="n"/>
      <c r="I457" s="73">
        <f>IF(OR(G457="",H457=""),"",TRIM(IF(HOUR(H457-G457)&gt;0,HOUR(H457-G457)&amp;" hr ","")&amp;IF(MINUTE(H457-G457)&gt;0,MINUTE(H457-G457)&amp;" min","")))</f>
        <v/>
      </c>
      <c r="J457" s="66" t="n"/>
      <c r="K457" s="70" t="n"/>
      <c r="L457" s="66" t="n"/>
      <c r="M457" s="66" t="n"/>
      <c r="N457" s="66" t="n"/>
      <c r="O457" s="73">
        <f>IF(C457="","",IF(AND(OR(L457="1-Urgent",L457="2-High"),M457="✓"),"DO FIRST",IF(M457="✓","SCHEDULE",IF(OR(L457="1-Urgent",L457="2-High"),"DELEGATE","DELETE"))))</f>
        <v/>
      </c>
      <c r="P457" s="65" t="n"/>
    </row>
    <row r="458">
      <c r="B458" s="64" t="n">
        <v>453</v>
      </c>
      <c r="C458" s="65" t="n"/>
      <c r="D458" s="66" t="n"/>
      <c r="E458" s="67" t="n"/>
      <c r="F458" s="68">
        <f>IF(OR(C458="",E458=""),"",E458-Setup!$D$7)</f>
        <v/>
      </c>
      <c r="G458" s="69" t="n"/>
      <c r="H458" s="69" t="n"/>
      <c r="I458" s="36">
        <f>IF(OR(G458="",H458=""),"",TRIM(IF(HOUR(H458-G458)&gt;0,HOUR(H458-G458)&amp;" hr ","")&amp;IF(MINUTE(H458-G458)&gt;0,MINUTE(H458-G458)&amp;" min","")))</f>
        <v/>
      </c>
      <c r="J458" s="66" t="n"/>
      <c r="K458" s="70" t="n"/>
      <c r="L458" s="66" t="n"/>
      <c r="M458" s="66" t="n"/>
      <c r="N458" s="66" t="n"/>
      <c r="O458" s="36">
        <f>IF(C458="","",IF(AND(OR(L458="1-Urgent",L458="2-High"),M458="✓"),"DO FIRST",IF(M458="✓","SCHEDULE",IF(OR(L458="1-Urgent",L458="2-High"),"DELEGATE","DELETE"))))</f>
        <v/>
      </c>
      <c r="P458" s="65" t="n"/>
    </row>
    <row r="459">
      <c r="B459" s="71" t="n">
        <v>454</v>
      </c>
      <c r="C459" s="65" t="n"/>
      <c r="D459" s="66" t="n"/>
      <c r="E459" s="67" t="n"/>
      <c r="F459" s="72">
        <f>IF(OR(C459="",E459=""),"",E459-Setup!$D$7)</f>
        <v/>
      </c>
      <c r="G459" s="69" t="n"/>
      <c r="H459" s="69" t="n"/>
      <c r="I459" s="73">
        <f>IF(OR(G459="",H459=""),"",TRIM(IF(HOUR(H459-G459)&gt;0,HOUR(H459-G459)&amp;" hr ","")&amp;IF(MINUTE(H459-G459)&gt;0,MINUTE(H459-G459)&amp;" min","")))</f>
        <v/>
      </c>
      <c r="J459" s="66" t="n"/>
      <c r="K459" s="70" t="n"/>
      <c r="L459" s="66" t="n"/>
      <c r="M459" s="66" t="n"/>
      <c r="N459" s="66" t="n"/>
      <c r="O459" s="73">
        <f>IF(C459="","",IF(AND(OR(L459="1-Urgent",L459="2-High"),M459="✓"),"DO FIRST",IF(M459="✓","SCHEDULE",IF(OR(L459="1-Urgent",L459="2-High"),"DELEGATE","DELETE"))))</f>
        <v/>
      </c>
      <c r="P459" s="65" t="n"/>
    </row>
    <row r="460">
      <c r="B460" s="64" t="n">
        <v>455</v>
      </c>
      <c r="C460" s="65" t="n"/>
      <c r="D460" s="66" t="n"/>
      <c r="E460" s="67" t="n"/>
      <c r="F460" s="68">
        <f>IF(OR(C460="",E460=""),"",E460-Setup!$D$7)</f>
        <v/>
      </c>
      <c r="G460" s="69" t="n"/>
      <c r="H460" s="69" t="n"/>
      <c r="I460" s="36">
        <f>IF(OR(G460="",H460=""),"",TRIM(IF(HOUR(H460-G460)&gt;0,HOUR(H460-G460)&amp;" hr ","")&amp;IF(MINUTE(H460-G460)&gt;0,MINUTE(H460-G460)&amp;" min","")))</f>
        <v/>
      </c>
      <c r="J460" s="66" t="n"/>
      <c r="K460" s="70" t="n"/>
      <c r="L460" s="66" t="n"/>
      <c r="M460" s="66" t="n"/>
      <c r="N460" s="66" t="n"/>
      <c r="O460" s="36">
        <f>IF(C460="","",IF(AND(OR(L460="1-Urgent",L460="2-High"),M460="✓"),"DO FIRST",IF(M460="✓","SCHEDULE",IF(OR(L460="1-Urgent",L460="2-High"),"DELEGATE","DELETE"))))</f>
        <v/>
      </c>
      <c r="P460" s="65" t="n"/>
    </row>
    <row r="461">
      <c r="B461" s="71" t="n">
        <v>456</v>
      </c>
      <c r="C461" s="65" t="n"/>
      <c r="D461" s="66" t="n"/>
      <c r="E461" s="67" t="n"/>
      <c r="F461" s="72">
        <f>IF(OR(C461="",E461=""),"",E461-Setup!$D$7)</f>
        <v/>
      </c>
      <c r="G461" s="69" t="n"/>
      <c r="H461" s="69" t="n"/>
      <c r="I461" s="73">
        <f>IF(OR(G461="",H461=""),"",TRIM(IF(HOUR(H461-G461)&gt;0,HOUR(H461-G461)&amp;" hr ","")&amp;IF(MINUTE(H461-G461)&gt;0,MINUTE(H461-G461)&amp;" min","")))</f>
        <v/>
      </c>
      <c r="J461" s="66" t="n"/>
      <c r="K461" s="70" t="n"/>
      <c r="L461" s="66" t="n"/>
      <c r="M461" s="66" t="n"/>
      <c r="N461" s="66" t="n"/>
      <c r="O461" s="73">
        <f>IF(C461="","",IF(AND(OR(L461="1-Urgent",L461="2-High"),M461="✓"),"DO FIRST",IF(M461="✓","SCHEDULE",IF(OR(L461="1-Urgent",L461="2-High"),"DELEGATE","DELETE"))))</f>
        <v/>
      </c>
      <c r="P461" s="65" t="n"/>
    </row>
    <row r="462">
      <c r="B462" s="64" t="n">
        <v>457</v>
      </c>
      <c r="C462" s="65" t="n"/>
      <c r="D462" s="66" t="n"/>
      <c r="E462" s="67" t="n"/>
      <c r="F462" s="68">
        <f>IF(OR(C462="",E462=""),"",E462-Setup!$D$7)</f>
        <v/>
      </c>
      <c r="G462" s="69" t="n"/>
      <c r="H462" s="69" t="n"/>
      <c r="I462" s="36">
        <f>IF(OR(G462="",H462=""),"",TRIM(IF(HOUR(H462-G462)&gt;0,HOUR(H462-G462)&amp;" hr ","")&amp;IF(MINUTE(H462-G462)&gt;0,MINUTE(H462-G462)&amp;" min","")))</f>
        <v/>
      </c>
      <c r="J462" s="66" t="n"/>
      <c r="K462" s="70" t="n"/>
      <c r="L462" s="66" t="n"/>
      <c r="M462" s="66" t="n"/>
      <c r="N462" s="66" t="n"/>
      <c r="O462" s="36">
        <f>IF(C462="","",IF(AND(OR(L462="1-Urgent",L462="2-High"),M462="✓"),"DO FIRST",IF(M462="✓","SCHEDULE",IF(OR(L462="1-Urgent",L462="2-High"),"DELEGATE","DELETE"))))</f>
        <v/>
      </c>
      <c r="P462" s="65" t="n"/>
    </row>
    <row r="463">
      <c r="B463" s="71" t="n">
        <v>458</v>
      </c>
      <c r="C463" s="65" t="n"/>
      <c r="D463" s="66" t="n"/>
      <c r="E463" s="67" t="n"/>
      <c r="F463" s="72">
        <f>IF(OR(C463="",E463=""),"",E463-Setup!$D$7)</f>
        <v/>
      </c>
      <c r="G463" s="69" t="n"/>
      <c r="H463" s="69" t="n"/>
      <c r="I463" s="73">
        <f>IF(OR(G463="",H463=""),"",TRIM(IF(HOUR(H463-G463)&gt;0,HOUR(H463-G463)&amp;" hr ","")&amp;IF(MINUTE(H463-G463)&gt;0,MINUTE(H463-G463)&amp;" min","")))</f>
        <v/>
      </c>
      <c r="J463" s="66" t="n"/>
      <c r="K463" s="70" t="n"/>
      <c r="L463" s="66" t="n"/>
      <c r="M463" s="66" t="n"/>
      <c r="N463" s="66" t="n"/>
      <c r="O463" s="73">
        <f>IF(C463="","",IF(AND(OR(L463="1-Urgent",L463="2-High"),M463="✓"),"DO FIRST",IF(M463="✓","SCHEDULE",IF(OR(L463="1-Urgent",L463="2-High"),"DELEGATE","DELETE"))))</f>
        <v/>
      </c>
      <c r="P463" s="65" t="n"/>
    </row>
    <row r="464">
      <c r="B464" s="64" t="n">
        <v>459</v>
      </c>
      <c r="C464" s="65" t="n"/>
      <c r="D464" s="66" t="n"/>
      <c r="E464" s="67" t="n"/>
      <c r="F464" s="68">
        <f>IF(OR(C464="",E464=""),"",E464-Setup!$D$7)</f>
        <v/>
      </c>
      <c r="G464" s="69" t="n"/>
      <c r="H464" s="69" t="n"/>
      <c r="I464" s="36">
        <f>IF(OR(G464="",H464=""),"",TRIM(IF(HOUR(H464-G464)&gt;0,HOUR(H464-G464)&amp;" hr ","")&amp;IF(MINUTE(H464-G464)&gt;0,MINUTE(H464-G464)&amp;" min","")))</f>
        <v/>
      </c>
      <c r="J464" s="66" t="n"/>
      <c r="K464" s="70" t="n"/>
      <c r="L464" s="66" t="n"/>
      <c r="M464" s="66" t="n"/>
      <c r="N464" s="66" t="n"/>
      <c r="O464" s="36">
        <f>IF(C464="","",IF(AND(OR(L464="1-Urgent",L464="2-High"),M464="✓"),"DO FIRST",IF(M464="✓","SCHEDULE",IF(OR(L464="1-Urgent",L464="2-High"),"DELEGATE","DELETE"))))</f>
        <v/>
      </c>
      <c r="P464" s="65" t="n"/>
    </row>
    <row r="465">
      <c r="B465" s="71" t="n">
        <v>460</v>
      </c>
      <c r="C465" s="65" t="n"/>
      <c r="D465" s="66" t="n"/>
      <c r="E465" s="67" t="n"/>
      <c r="F465" s="72">
        <f>IF(OR(C465="",E465=""),"",E465-Setup!$D$7)</f>
        <v/>
      </c>
      <c r="G465" s="69" t="n"/>
      <c r="H465" s="69" t="n"/>
      <c r="I465" s="73">
        <f>IF(OR(G465="",H465=""),"",TRIM(IF(HOUR(H465-G465)&gt;0,HOUR(H465-G465)&amp;" hr ","")&amp;IF(MINUTE(H465-G465)&gt;0,MINUTE(H465-G465)&amp;" min","")))</f>
        <v/>
      </c>
      <c r="J465" s="66" t="n"/>
      <c r="K465" s="70" t="n"/>
      <c r="L465" s="66" t="n"/>
      <c r="M465" s="66" t="n"/>
      <c r="N465" s="66" t="n"/>
      <c r="O465" s="73">
        <f>IF(C465="","",IF(AND(OR(L465="1-Urgent",L465="2-High"),M465="✓"),"DO FIRST",IF(M465="✓","SCHEDULE",IF(OR(L465="1-Urgent",L465="2-High"),"DELEGATE","DELETE"))))</f>
        <v/>
      </c>
      <c r="P465" s="65" t="n"/>
    </row>
    <row r="466">
      <c r="B466" s="64" t="n">
        <v>461</v>
      </c>
      <c r="C466" s="65" t="n"/>
      <c r="D466" s="66" t="n"/>
      <c r="E466" s="67" t="n"/>
      <c r="F466" s="68">
        <f>IF(OR(C466="",E466=""),"",E466-Setup!$D$7)</f>
        <v/>
      </c>
      <c r="G466" s="69" t="n"/>
      <c r="H466" s="69" t="n"/>
      <c r="I466" s="36">
        <f>IF(OR(G466="",H466=""),"",TRIM(IF(HOUR(H466-G466)&gt;0,HOUR(H466-G466)&amp;" hr ","")&amp;IF(MINUTE(H466-G466)&gt;0,MINUTE(H466-G466)&amp;" min","")))</f>
        <v/>
      </c>
      <c r="J466" s="66" t="n"/>
      <c r="K466" s="70" t="n"/>
      <c r="L466" s="66" t="n"/>
      <c r="M466" s="66" t="n"/>
      <c r="N466" s="66" t="n"/>
      <c r="O466" s="36">
        <f>IF(C466="","",IF(AND(OR(L466="1-Urgent",L466="2-High"),M466="✓"),"DO FIRST",IF(M466="✓","SCHEDULE",IF(OR(L466="1-Urgent",L466="2-High"),"DELEGATE","DELETE"))))</f>
        <v/>
      </c>
      <c r="P466" s="65" t="n"/>
    </row>
    <row r="467">
      <c r="B467" s="71" t="n">
        <v>462</v>
      </c>
      <c r="C467" s="65" t="n"/>
      <c r="D467" s="66" t="n"/>
      <c r="E467" s="67" t="n"/>
      <c r="F467" s="72">
        <f>IF(OR(C467="",E467=""),"",E467-Setup!$D$7)</f>
        <v/>
      </c>
      <c r="G467" s="69" t="n"/>
      <c r="H467" s="69" t="n"/>
      <c r="I467" s="73">
        <f>IF(OR(G467="",H467=""),"",TRIM(IF(HOUR(H467-G467)&gt;0,HOUR(H467-G467)&amp;" hr ","")&amp;IF(MINUTE(H467-G467)&gt;0,MINUTE(H467-G467)&amp;" min","")))</f>
        <v/>
      </c>
      <c r="J467" s="66" t="n"/>
      <c r="K467" s="70" t="n"/>
      <c r="L467" s="66" t="n"/>
      <c r="M467" s="66" t="n"/>
      <c r="N467" s="66" t="n"/>
      <c r="O467" s="73">
        <f>IF(C467="","",IF(AND(OR(L467="1-Urgent",L467="2-High"),M467="✓"),"DO FIRST",IF(M467="✓","SCHEDULE",IF(OR(L467="1-Urgent",L467="2-High"),"DELEGATE","DELETE"))))</f>
        <v/>
      </c>
      <c r="P467" s="65" t="n"/>
    </row>
    <row r="468">
      <c r="B468" s="64" t="n">
        <v>463</v>
      </c>
      <c r="C468" s="65" t="n"/>
      <c r="D468" s="66" t="n"/>
      <c r="E468" s="67" t="n"/>
      <c r="F468" s="68">
        <f>IF(OR(C468="",E468=""),"",E468-Setup!$D$7)</f>
        <v/>
      </c>
      <c r="G468" s="69" t="n"/>
      <c r="H468" s="69" t="n"/>
      <c r="I468" s="36">
        <f>IF(OR(G468="",H468=""),"",TRIM(IF(HOUR(H468-G468)&gt;0,HOUR(H468-G468)&amp;" hr ","")&amp;IF(MINUTE(H468-G468)&gt;0,MINUTE(H468-G468)&amp;" min","")))</f>
        <v/>
      </c>
      <c r="J468" s="66" t="n"/>
      <c r="K468" s="70" t="n"/>
      <c r="L468" s="66" t="n"/>
      <c r="M468" s="66" t="n"/>
      <c r="N468" s="66" t="n"/>
      <c r="O468" s="36">
        <f>IF(C468="","",IF(AND(OR(L468="1-Urgent",L468="2-High"),M468="✓"),"DO FIRST",IF(M468="✓","SCHEDULE",IF(OR(L468="1-Urgent",L468="2-High"),"DELEGATE","DELETE"))))</f>
        <v/>
      </c>
      <c r="P468" s="65" t="n"/>
    </row>
    <row r="469">
      <c r="B469" s="71" t="n">
        <v>464</v>
      </c>
      <c r="C469" s="65" t="n"/>
      <c r="D469" s="66" t="n"/>
      <c r="E469" s="67" t="n"/>
      <c r="F469" s="72">
        <f>IF(OR(C469="",E469=""),"",E469-Setup!$D$7)</f>
        <v/>
      </c>
      <c r="G469" s="69" t="n"/>
      <c r="H469" s="69" t="n"/>
      <c r="I469" s="73">
        <f>IF(OR(G469="",H469=""),"",TRIM(IF(HOUR(H469-G469)&gt;0,HOUR(H469-G469)&amp;" hr ","")&amp;IF(MINUTE(H469-G469)&gt;0,MINUTE(H469-G469)&amp;" min","")))</f>
        <v/>
      </c>
      <c r="J469" s="66" t="n"/>
      <c r="K469" s="70" t="n"/>
      <c r="L469" s="66" t="n"/>
      <c r="M469" s="66" t="n"/>
      <c r="N469" s="66" t="n"/>
      <c r="O469" s="73">
        <f>IF(C469="","",IF(AND(OR(L469="1-Urgent",L469="2-High"),M469="✓"),"DO FIRST",IF(M469="✓","SCHEDULE",IF(OR(L469="1-Urgent",L469="2-High"),"DELEGATE","DELETE"))))</f>
        <v/>
      </c>
      <c r="P469" s="65" t="n"/>
    </row>
    <row r="470">
      <c r="B470" s="64" t="n">
        <v>465</v>
      </c>
      <c r="C470" s="65" t="n"/>
      <c r="D470" s="66" t="n"/>
      <c r="E470" s="67" t="n"/>
      <c r="F470" s="68">
        <f>IF(OR(C470="",E470=""),"",E470-Setup!$D$7)</f>
        <v/>
      </c>
      <c r="G470" s="69" t="n"/>
      <c r="H470" s="69" t="n"/>
      <c r="I470" s="36">
        <f>IF(OR(G470="",H470=""),"",TRIM(IF(HOUR(H470-G470)&gt;0,HOUR(H470-G470)&amp;" hr ","")&amp;IF(MINUTE(H470-G470)&gt;0,MINUTE(H470-G470)&amp;" min","")))</f>
        <v/>
      </c>
      <c r="J470" s="66" t="n"/>
      <c r="K470" s="70" t="n"/>
      <c r="L470" s="66" t="n"/>
      <c r="M470" s="66" t="n"/>
      <c r="N470" s="66" t="n"/>
      <c r="O470" s="36">
        <f>IF(C470="","",IF(AND(OR(L470="1-Urgent",L470="2-High"),M470="✓"),"DO FIRST",IF(M470="✓","SCHEDULE",IF(OR(L470="1-Urgent",L470="2-High"),"DELEGATE","DELETE"))))</f>
        <v/>
      </c>
      <c r="P470" s="65" t="n"/>
    </row>
    <row r="471">
      <c r="B471" s="71" t="n">
        <v>466</v>
      </c>
      <c r="C471" s="65" t="n"/>
      <c r="D471" s="66" t="n"/>
      <c r="E471" s="67" t="n"/>
      <c r="F471" s="72">
        <f>IF(OR(C471="",E471=""),"",E471-Setup!$D$7)</f>
        <v/>
      </c>
      <c r="G471" s="69" t="n"/>
      <c r="H471" s="69" t="n"/>
      <c r="I471" s="73">
        <f>IF(OR(G471="",H471=""),"",TRIM(IF(HOUR(H471-G471)&gt;0,HOUR(H471-G471)&amp;" hr ","")&amp;IF(MINUTE(H471-G471)&gt;0,MINUTE(H471-G471)&amp;" min","")))</f>
        <v/>
      </c>
      <c r="J471" s="66" t="n"/>
      <c r="K471" s="70" t="n"/>
      <c r="L471" s="66" t="n"/>
      <c r="M471" s="66" t="n"/>
      <c r="N471" s="66" t="n"/>
      <c r="O471" s="73">
        <f>IF(C471="","",IF(AND(OR(L471="1-Urgent",L471="2-High"),M471="✓"),"DO FIRST",IF(M471="✓","SCHEDULE",IF(OR(L471="1-Urgent",L471="2-High"),"DELEGATE","DELETE"))))</f>
        <v/>
      </c>
      <c r="P471" s="65" t="n"/>
    </row>
    <row r="472">
      <c r="B472" s="64" t="n">
        <v>467</v>
      </c>
      <c r="C472" s="65" t="n"/>
      <c r="D472" s="66" t="n"/>
      <c r="E472" s="67" t="n"/>
      <c r="F472" s="68">
        <f>IF(OR(C472="",E472=""),"",E472-Setup!$D$7)</f>
        <v/>
      </c>
      <c r="G472" s="69" t="n"/>
      <c r="H472" s="69" t="n"/>
      <c r="I472" s="36">
        <f>IF(OR(G472="",H472=""),"",TRIM(IF(HOUR(H472-G472)&gt;0,HOUR(H472-G472)&amp;" hr ","")&amp;IF(MINUTE(H472-G472)&gt;0,MINUTE(H472-G472)&amp;" min","")))</f>
        <v/>
      </c>
      <c r="J472" s="66" t="n"/>
      <c r="K472" s="70" t="n"/>
      <c r="L472" s="66" t="n"/>
      <c r="M472" s="66" t="n"/>
      <c r="N472" s="66" t="n"/>
      <c r="O472" s="36">
        <f>IF(C472="","",IF(AND(OR(L472="1-Urgent",L472="2-High"),M472="✓"),"DO FIRST",IF(M472="✓","SCHEDULE",IF(OR(L472="1-Urgent",L472="2-High"),"DELEGATE","DELETE"))))</f>
        <v/>
      </c>
      <c r="P472" s="65" t="n"/>
    </row>
    <row r="473">
      <c r="B473" s="71" t="n">
        <v>468</v>
      </c>
      <c r="C473" s="65" t="n"/>
      <c r="D473" s="66" t="n"/>
      <c r="E473" s="67" t="n"/>
      <c r="F473" s="72">
        <f>IF(OR(C473="",E473=""),"",E473-Setup!$D$7)</f>
        <v/>
      </c>
      <c r="G473" s="69" t="n"/>
      <c r="H473" s="69" t="n"/>
      <c r="I473" s="73">
        <f>IF(OR(G473="",H473=""),"",TRIM(IF(HOUR(H473-G473)&gt;0,HOUR(H473-G473)&amp;" hr ","")&amp;IF(MINUTE(H473-G473)&gt;0,MINUTE(H473-G473)&amp;" min","")))</f>
        <v/>
      </c>
      <c r="J473" s="66" t="n"/>
      <c r="K473" s="70" t="n"/>
      <c r="L473" s="66" t="n"/>
      <c r="M473" s="66" t="n"/>
      <c r="N473" s="66" t="n"/>
      <c r="O473" s="73">
        <f>IF(C473="","",IF(AND(OR(L473="1-Urgent",L473="2-High"),M473="✓"),"DO FIRST",IF(M473="✓","SCHEDULE",IF(OR(L473="1-Urgent",L473="2-High"),"DELEGATE","DELETE"))))</f>
        <v/>
      </c>
      <c r="P473" s="65" t="n"/>
    </row>
    <row r="474">
      <c r="B474" s="64" t="n">
        <v>469</v>
      </c>
      <c r="C474" s="65" t="n"/>
      <c r="D474" s="66" t="n"/>
      <c r="E474" s="67" t="n"/>
      <c r="F474" s="68">
        <f>IF(OR(C474="",E474=""),"",E474-Setup!$D$7)</f>
        <v/>
      </c>
      <c r="G474" s="69" t="n"/>
      <c r="H474" s="69" t="n"/>
      <c r="I474" s="36">
        <f>IF(OR(G474="",H474=""),"",TRIM(IF(HOUR(H474-G474)&gt;0,HOUR(H474-G474)&amp;" hr ","")&amp;IF(MINUTE(H474-G474)&gt;0,MINUTE(H474-G474)&amp;" min","")))</f>
        <v/>
      </c>
      <c r="J474" s="66" t="n"/>
      <c r="K474" s="70" t="n"/>
      <c r="L474" s="66" t="n"/>
      <c r="M474" s="66" t="n"/>
      <c r="N474" s="66" t="n"/>
      <c r="O474" s="36">
        <f>IF(C474="","",IF(AND(OR(L474="1-Urgent",L474="2-High"),M474="✓"),"DO FIRST",IF(M474="✓","SCHEDULE",IF(OR(L474="1-Urgent",L474="2-High"),"DELEGATE","DELETE"))))</f>
        <v/>
      </c>
      <c r="P474" s="65" t="n"/>
    </row>
    <row r="475">
      <c r="B475" s="71" t="n">
        <v>470</v>
      </c>
      <c r="C475" s="65" t="n"/>
      <c r="D475" s="66" t="n"/>
      <c r="E475" s="67" t="n"/>
      <c r="F475" s="72">
        <f>IF(OR(C475="",E475=""),"",E475-Setup!$D$7)</f>
        <v/>
      </c>
      <c r="G475" s="69" t="n"/>
      <c r="H475" s="69" t="n"/>
      <c r="I475" s="73">
        <f>IF(OR(G475="",H475=""),"",TRIM(IF(HOUR(H475-G475)&gt;0,HOUR(H475-G475)&amp;" hr ","")&amp;IF(MINUTE(H475-G475)&gt;0,MINUTE(H475-G475)&amp;" min","")))</f>
        <v/>
      </c>
      <c r="J475" s="66" t="n"/>
      <c r="K475" s="70" t="n"/>
      <c r="L475" s="66" t="n"/>
      <c r="M475" s="66" t="n"/>
      <c r="N475" s="66" t="n"/>
      <c r="O475" s="73">
        <f>IF(C475="","",IF(AND(OR(L475="1-Urgent",L475="2-High"),M475="✓"),"DO FIRST",IF(M475="✓","SCHEDULE",IF(OR(L475="1-Urgent",L475="2-High"),"DELEGATE","DELETE"))))</f>
        <v/>
      </c>
      <c r="P475" s="65" t="n"/>
    </row>
    <row r="476">
      <c r="B476" s="64" t="n">
        <v>471</v>
      </c>
      <c r="C476" s="65" t="n"/>
      <c r="D476" s="66" t="n"/>
      <c r="E476" s="67" t="n"/>
      <c r="F476" s="68">
        <f>IF(OR(C476="",E476=""),"",E476-Setup!$D$7)</f>
        <v/>
      </c>
      <c r="G476" s="69" t="n"/>
      <c r="H476" s="69" t="n"/>
      <c r="I476" s="36">
        <f>IF(OR(G476="",H476=""),"",TRIM(IF(HOUR(H476-G476)&gt;0,HOUR(H476-G476)&amp;" hr ","")&amp;IF(MINUTE(H476-G476)&gt;0,MINUTE(H476-G476)&amp;" min","")))</f>
        <v/>
      </c>
      <c r="J476" s="66" t="n"/>
      <c r="K476" s="70" t="n"/>
      <c r="L476" s="66" t="n"/>
      <c r="M476" s="66" t="n"/>
      <c r="N476" s="66" t="n"/>
      <c r="O476" s="36">
        <f>IF(C476="","",IF(AND(OR(L476="1-Urgent",L476="2-High"),M476="✓"),"DO FIRST",IF(M476="✓","SCHEDULE",IF(OR(L476="1-Urgent",L476="2-High"),"DELEGATE","DELETE"))))</f>
        <v/>
      </c>
      <c r="P476" s="65" t="n"/>
    </row>
    <row r="477">
      <c r="B477" s="71" t="n">
        <v>472</v>
      </c>
      <c r="C477" s="65" t="n"/>
      <c r="D477" s="66" t="n"/>
      <c r="E477" s="67" t="n"/>
      <c r="F477" s="72">
        <f>IF(OR(C477="",E477=""),"",E477-Setup!$D$7)</f>
        <v/>
      </c>
      <c r="G477" s="69" t="n"/>
      <c r="H477" s="69" t="n"/>
      <c r="I477" s="73">
        <f>IF(OR(G477="",H477=""),"",TRIM(IF(HOUR(H477-G477)&gt;0,HOUR(H477-G477)&amp;" hr ","")&amp;IF(MINUTE(H477-G477)&gt;0,MINUTE(H477-G477)&amp;" min","")))</f>
        <v/>
      </c>
      <c r="J477" s="66" t="n"/>
      <c r="K477" s="70" t="n"/>
      <c r="L477" s="66" t="n"/>
      <c r="M477" s="66" t="n"/>
      <c r="N477" s="66" t="n"/>
      <c r="O477" s="73">
        <f>IF(C477="","",IF(AND(OR(L477="1-Urgent",L477="2-High"),M477="✓"),"DO FIRST",IF(M477="✓","SCHEDULE",IF(OR(L477="1-Urgent",L477="2-High"),"DELEGATE","DELETE"))))</f>
        <v/>
      </c>
      <c r="P477" s="65" t="n"/>
    </row>
    <row r="478">
      <c r="B478" s="64" t="n">
        <v>473</v>
      </c>
      <c r="C478" s="65" t="n"/>
      <c r="D478" s="66" t="n"/>
      <c r="E478" s="67" t="n"/>
      <c r="F478" s="68">
        <f>IF(OR(C478="",E478=""),"",E478-Setup!$D$7)</f>
        <v/>
      </c>
      <c r="G478" s="69" t="n"/>
      <c r="H478" s="69" t="n"/>
      <c r="I478" s="36">
        <f>IF(OR(G478="",H478=""),"",TRIM(IF(HOUR(H478-G478)&gt;0,HOUR(H478-G478)&amp;" hr ","")&amp;IF(MINUTE(H478-G478)&gt;0,MINUTE(H478-G478)&amp;" min","")))</f>
        <v/>
      </c>
      <c r="J478" s="66" t="n"/>
      <c r="K478" s="70" t="n"/>
      <c r="L478" s="66" t="n"/>
      <c r="M478" s="66" t="n"/>
      <c r="N478" s="66" t="n"/>
      <c r="O478" s="36">
        <f>IF(C478="","",IF(AND(OR(L478="1-Urgent",L478="2-High"),M478="✓"),"DO FIRST",IF(M478="✓","SCHEDULE",IF(OR(L478="1-Urgent",L478="2-High"),"DELEGATE","DELETE"))))</f>
        <v/>
      </c>
      <c r="P478" s="65" t="n"/>
    </row>
    <row r="479">
      <c r="B479" s="71" t="n">
        <v>474</v>
      </c>
      <c r="C479" s="65" t="n"/>
      <c r="D479" s="66" t="n"/>
      <c r="E479" s="67" t="n"/>
      <c r="F479" s="72">
        <f>IF(OR(C479="",E479=""),"",E479-Setup!$D$7)</f>
        <v/>
      </c>
      <c r="G479" s="69" t="n"/>
      <c r="H479" s="69" t="n"/>
      <c r="I479" s="73">
        <f>IF(OR(G479="",H479=""),"",TRIM(IF(HOUR(H479-G479)&gt;0,HOUR(H479-G479)&amp;" hr ","")&amp;IF(MINUTE(H479-G479)&gt;0,MINUTE(H479-G479)&amp;" min","")))</f>
        <v/>
      </c>
      <c r="J479" s="66" t="n"/>
      <c r="K479" s="70" t="n"/>
      <c r="L479" s="66" t="n"/>
      <c r="M479" s="66" t="n"/>
      <c r="N479" s="66" t="n"/>
      <c r="O479" s="73">
        <f>IF(C479="","",IF(AND(OR(L479="1-Urgent",L479="2-High"),M479="✓"),"DO FIRST",IF(M479="✓","SCHEDULE",IF(OR(L479="1-Urgent",L479="2-High"),"DELEGATE","DELETE"))))</f>
        <v/>
      </c>
      <c r="P479" s="65" t="n"/>
    </row>
    <row r="480">
      <c r="B480" s="64" t="n">
        <v>475</v>
      </c>
      <c r="C480" s="65" t="n"/>
      <c r="D480" s="66" t="n"/>
      <c r="E480" s="67" t="n"/>
      <c r="F480" s="68">
        <f>IF(OR(C480="",E480=""),"",E480-Setup!$D$7)</f>
        <v/>
      </c>
      <c r="G480" s="69" t="n"/>
      <c r="H480" s="69" t="n"/>
      <c r="I480" s="36">
        <f>IF(OR(G480="",H480=""),"",TRIM(IF(HOUR(H480-G480)&gt;0,HOUR(H480-G480)&amp;" hr ","")&amp;IF(MINUTE(H480-G480)&gt;0,MINUTE(H480-G480)&amp;" min","")))</f>
        <v/>
      </c>
      <c r="J480" s="66" t="n"/>
      <c r="K480" s="70" t="n"/>
      <c r="L480" s="66" t="n"/>
      <c r="M480" s="66" t="n"/>
      <c r="N480" s="66" t="n"/>
      <c r="O480" s="36">
        <f>IF(C480="","",IF(AND(OR(L480="1-Urgent",L480="2-High"),M480="✓"),"DO FIRST",IF(M480="✓","SCHEDULE",IF(OR(L480="1-Urgent",L480="2-High"),"DELEGATE","DELETE"))))</f>
        <v/>
      </c>
      <c r="P480" s="65" t="n"/>
    </row>
    <row r="481">
      <c r="B481" s="71" t="n">
        <v>476</v>
      </c>
      <c r="C481" s="65" t="n"/>
      <c r="D481" s="66" t="n"/>
      <c r="E481" s="67" t="n"/>
      <c r="F481" s="72">
        <f>IF(OR(C481="",E481=""),"",E481-Setup!$D$7)</f>
        <v/>
      </c>
      <c r="G481" s="69" t="n"/>
      <c r="H481" s="69" t="n"/>
      <c r="I481" s="73">
        <f>IF(OR(G481="",H481=""),"",TRIM(IF(HOUR(H481-G481)&gt;0,HOUR(H481-G481)&amp;" hr ","")&amp;IF(MINUTE(H481-G481)&gt;0,MINUTE(H481-G481)&amp;" min","")))</f>
        <v/>
      </c>
      <c r="J481" s="66" t="n"/>
      <c r="K481" s="70" t="n"/>
      <c r="L481" s="66" t="n"/>
      <c r="M481" s="66" t="n"/>
      <c r="N481" s="66" t="n"/>
      <c r="O481" s="73">
        <f>IF(C481="","",IF(AND(OR(L481="1-Urgent",L481="2-High"),M481="✓"),"DO FIRST",IF(M481="✓","SCHEDULE",IF(OR(L481="1-Urgent",L481="2-High"),"DELEGATE","DELETE"))))</f>
        <v/>
      </c>
      <c r="P481" s="65" t="n"/>
    </row>
    <row r="482">
      <c r="B482" s="64" t="n">
        <v>477</v>
      </c>
      <c r="C482" s="65" t="n"/>
      <c r="D482" s="66" t="n"/>
      <c r="E482" s="67" t="n"/>
      <c r="F482" s="68">
        <f>IF(OR(C482="",E482=""),"",E482-Setup!$D$7)</f>
        <v/>
      </c>
      <c r="G482" s="69" t="n"/>
      <c r="H482" s="69" t="n"/>
      <c r="I482" s="36">
        <f>IF(OR(G482="",H482=""),"",TRIM(IF(HOUR(H482-G482)&gt;0,HOUR(H482-G482)&amp;" hr ","")&amp;IF(MINUTE(H482-G482)&gt;0,MINUTE(H482-G482)&amp;" min","")))</f>
        <v/>
      </c>
      <c r="J482" s="66" t="n"/>
      <c r="K482" s="70" t="n"/>
      <c r="L482" s="66" t="n"/>
      <c r="M482" s="66" t="n"/>
      <c r="N482" s="66" t="n"/>
      <c r="O482" s="36">
        <f>IF(C482="","",IF(AND(OR(L482="1-Urgent",L482="2-High"),M482="✓"),"DO FIRST",IF(M482="✓","SCHEDULE",IF(OR(L482="1-Urgent",L482="2-High"),"DELEGATE","DELETE"))))</f>
        <v/>
      </c>
      <c r="P482" s="65" t="n"/>
    </row>
    <row r="483">
      <c r="B483" s="71" t="n">
        <v>478</v>
      </c>
      <c r="C483" s="65" t="n"/>
      <c r="D483" s="66" t="n"/>
      <c r="E483" s="67" t="n"/>
      <c r="F483" s="72">
        <f>IF(OR(C483="",E483=""),"",E483-Setup!$D$7)</f>
        <v/>
      </c>
      <c r="G483" s="69" t="n"/>
      <c r="H483" s="69" t="n"/>
      <c r="I483" s="73">
        <f>IF(OR(G483="",H483=""),"",TRIM(IF(HOUR(H483-G483)&gt;0,HOUR(H483-G483)&amp;" hr ","")&amp;IF(MINUTE(H483-G483)&gt;0,MINUTE(H483-G483)&amp;" min","")))</f>
        <v/>
      </c>
      <c r="J483" s="66" t="n"/>
      <c r="K483" s="70" t="n"/>
      <c r="L483" s="66" t="n"/>
      <c r="M483" s="66" t="n"/>
      <c r="N483" s="66" t="n"/>
      <c r="O483" s="73">
        <f>IF(C483="","",IF(AND(OR(L483="1-Urgent",L483="2-High"),M483="✓"),"DO FIRST",IF(M483="✓","SCHEDULE",IF(OR(L483="1-Urgent",L483="2-High"),"DELEGATE","DELETE"))))</f>
        <v/>
      </c>
      <c r="P483" s="65" t="n"/>
    </row>
    <row r="484">
      <c r="B484" s="64" t="n">
        <v>479</v>
      </c>
      <c r="C484" s="65" t="n"/>
      <c r="D484" s="66" t="n"/>
      <c r="E484" s="67" t="n"/>
      <c r="F484" s="68">
        <f>IF(OR(C484="",E484=""),"",E484-Setup!$D$7)</f>
        <v/>
      </c>
      <c r="G484" s="69" t="n"/>
      <c r="H484" s="69" t="n"/>
      <c r="I484" s="36">
        <f>IF(OR(G484="",H484=""),"",TRIM(IF(HOUR(H484-G484)&gt;0,HOUR(H484-G484)&amp;" hr ","")&amp;IF(MINUTE(H484-G484)&gt;0,MINUTE(H484-G484)&amp;" min","")))</f>
        <v/>
      </c>
      <c r="J484" s="66" t="n"/>
      <c r="K484" s="70" t="n"/>
      <c r="L484" s="66" t="n"/>
      <c r="M484" s="66" t="n"/>
      <c r="N484" s="66" t="n"/>
      <c r="O484" s="36">
        <f>IF(C484="","",IF(AND(OR(L484="1-Urgent",L484="2-High"),M484="✓"),"DO FIRST",IF(M484="✓","SCHEDULE",IF(OR(L484="1-Urgent",L484="2-High"),"DELEGATE","DELETE"))))</f>
        <v/>
      </c>
      <c r="P484" s="65" t="n"/>
    </row>
    <row r="485">
      <c r="B485" s="71" t="n">
        <v>480</v>
      </c>
      <c r="C485" s="65" t="n"/>
      <c r="D485" s="66" t="n"/>
      <c r="E485" s="67" t="n"/>
      <c r="F485" s="72">
        <f>IF(OR(C485="",E485=""),"",E485-Setup!$D$7)</f>
        <v/>
      </c>
      <c r="G485" s="69" t="n"/>
      <c r="H485" s="69" t="n"/>
      <c r="I485" s="73">
        <f>IF(OR(G485="",H485=""),"",TRIM(IF(HOUR(H485-G485)&gt;0,HOUR(H485-G485)&amp;" hr ","")&amp;IF(MINUTE(H485-G485)&gt;0,MINUTE(H485-G485)&amp;" min","")))</f>
        <v/>
      </c>
      <c r="J485" s="66" t="n"/>
      <c r="K485" s="70" t="n"/>
      <c r="L485" s="66" t="n"/>
      <c r="M485" s="66" t="n"/>
      <c r="N485" s="66" t="n"/>
      <c r="O485" s="73">
        <f>IF(C485="","",IF(AND(OR(L485="1-Urgent",L485="2-High"),M485="✓"),"DO FIRST",IF(M485="✓","SCHEDULE",IF(OR(L485="1-Urgent",L485="2-High"),"DELEGATE","DELETE"))))</f>
        <v/>
      </c>
      <c r="P485" s="65" t="n"/>
    </row>
    <row r="486">
      <c r="B486" s="64" t="n">
        <v>481</v>
      </c>
      <c r="C486" s="65" t="n"/>
      <c r="D486" s="66" t="n"/>
      <c r="E486" s="67" t="n"/>
      <c r="F486" s="68">
        <f>IF(OR(C486="",E486=""),"",E486-Setup!$D$7)</f>
        <v/>
      </c>
      <c r="G486" s="69" t="n"/>
      <c r="H486" s="69" t="n"/>
      <c r="I486" s="36">
        <f>IF(OR(G486="",H486=""),"",TRIM(IF(HOUR(H486-G486)&gt;0,HOUR(H486-G486)&amp;" hr ","")&amp;IF(MINUTE(H486-G486)&gt;0,MINUTE(H486-G486)&amp;" min","")))</f>
        <v/>
      </c>
      <c r="J486" s="66" t="n"/>
      <c r="K486" s="70" t="n"/>
      <c r="L486" s="66" t="n"/>
      <c r="M486" s="66" t="n"/>
      <c r="N486" s="66" t="n"/>
      <c r="O486" s="36">
        <f>IF(C486="","",IF(AND(OR(L486="1-Urgent",L486="2-High"),M486="✓"),"DO FIRST",IF(M486="✓","SCHEDULE",IF(OR(L486="1-Urgent",L486="2-High"),"DELEGATE","DELETE"))))</f>
        <v/>
      </c>
      <c r="P486" s="65" t="n"/>
    </row>
    <row r="487">
      <c r="B487" s="71" t="n">
        <v>482</v>
      </c>
      <c r="C487" s="65" t="n"/>
      <c r="D487" s="66" t="n"/>
      <c r="E487" s="67" t="n"/>
      <c r="F487" s="72">
        <f>IF(OR(C487="",E487=""),"",E487-Setup!$D$7)</f>
        <v/>
      </c>
      <c r="G487" s="69" t="n"/>
      <c r="H487" s="69" t="n"/>
      <c r="I487" s="73">
        <f>IF(OR(G487="",H487=""),"",TRIM(IF(HOUR(H487-G487)&gt;0,HOUR(H487-G487)&amp;" hr ","")&amp;IF(MINUTE(H487-G487)&gt;0,MINUTE(H487-G487)&amp;" min","")))</f>
        <v/>
      </c>
      <c r="J487" s="66" t="n"/>
      <c r="K487" s="70" t="n"/>
      <c r="L487" s="66" t="n"/>
      <c r="M487" s="66" t="n"/>
      <c r="N487" s="66" t="n"/>
      <c r="O487" s="73">
        <f>IF(C487="","",IF(AND(OR(L487="1-Urgent",L487="2-High"),M487="✓"),"DO FIRST",IF(M487="✓","SCHEDULE",IF(OR(L487="1-Urgent",L487="2-High"),"DELEGATE","DELETE"))))</f>
        <v/>
      </c>
      <c r="P487" s="65" t="n"/>
    </row>
    <row r="488">
      <c r="B488" s="64" t="n">
        <v>483</v>
      </c>
      <c r="C488" s="65" t="n"/>
      <c r="D488" s="66" t="n"/>
      <c r="E488" s="67" t="n"/>
      <c r="F488" s="68">
        <f>IF(OR(C488="",E488=""),"",E488-Setup!$D$7)</f>
        <v/>
      </c>
      <c r="G488" s="69" t="n"/>
      <c r="H488" s="69" t="n"/>
      <c r="I488" s="36">
        <f>IF(OR(G488="",H488=""),"",TRIM(IF(HOUR(H488-G488)&gt;0,HOUR(H488-G488)&amp;" hr ","")&amp;IF(MINUTE(H488-G488)&gt;0,MINUTE(H488-G488)&amp;" min","")))</f>
        <v/>
      </c>
      <c r="J488" s="66" t="n"/>
      <c r="K488" s="70" t="n"/>
      <c r="L488" s="66" t="n"/>
      <c r="M488" s="66" t="n"/>
      <c r="N488" s="66" t="n"/>
      <c r="O488" s="36">
        <f>IF(C488="","",IF(AND(OR(L488="1-Urgent",L488="2-High"),M488="✓"),"DO FIRST",IF(M488="✓","SCHEDULE",IF(OR(L488="1-Urgent",L488="2-High"),"DELEGATE","DELETE"))))</f>
        <v/>
      </c>
      <c r="P488" s="65" t="n"/>
    </row>
    <row r="489">
      <c r="B489" s="71" t="n">
        <v>484</v>
      </c>
      <c r="C489" s="65" t="n"/>
      <c r="D489" s="66" t="n"/>
      <c r="E489" s="67" t="n"/>
      <c r="F489" s="72">
        <f>IF(OR(C489="",E489=""),"",E489-Setup!$D$7)</f>
        <v/>
      </c>
      <c r="G489" s="69" t="n"/>
      <c r="H489" s="69" t="n"/>
      <c r="I489" s="73">
        <f>IF(OR(G489="",H489=""),"",TRIM(IF(HOUR(H489-G489)&gt;0,HOUR(H489-G489)&amp;" hr ","")&amp;IF(MINUTE(H489-G489)&gt;0,MINUTE(H489-G489)&amp;" min","")))</f>
        <v/>
      </c>
      <c r="J489" s="66" t="n"/>
      <c r="K489" s="70" t="n"/>
      <c r="L489" s="66" t="n"/>
      <c r="M489" s="66" t="n"/>
      <c r="N489" s="66" t="n"/>
      <c r="O489" s="73">
        <f>IF(C489="","",IF(AND(OR(L489="1-Urgent",L489="2-High"),M489="✓"),"DO FIRST",IF(M489="✓","SCHEDULE",IF(OR(L489="1-Urgent",L489="2-High"),"DELEGATE","DELETE"))))</f>
        <v/>
      </c>
      <c r="P489" s="65" t="n"/>
    </row>
    <row r="490">
      <c r="B490" s="64" t="n">
        <v>485</v>
      </c>
      <c r="C490" s="65" t="n"/>
      <c r="D490" s="66" t="n"/>
      <c r="E490" s="67" t="n"/>
      <c r="F490" s="68">
        <f>IF(OR(C490="",E490=""),"",E490-Setup!$D$7)</f>
        <v/>
      </c>
      <c r="G490" s="69" t="n"/>
      <c r="H490" s="69" t="n"/>
      <c r="I490" s="36">
        <f>IF(OR(G490="",H490=""),"",TRIM(IF(HOUR(H490-G490)&gt;0,HOUR(H490-G490)&amp;" hr ","")&amp;IF(MINUTE(H490-G490)&gt;0,MINUTE(H490-G490)&amp;" min","")))</f>
        <v/>
      </c>
      <c r="J490" s="66" t="n"/>
      <c r="K490" s="70" t="n"/>
      <c r="L490" s="66" t="n"/>
      <c r="M490" s="66" t="n"/>
      <c r="N490" s="66" t="n"/>
      <c r="O490" s="36">
        <f>IF(C490="","",IF(AND(OR(L490="1-Urgent",L490="2-High"),M490="✓"),"DO FIRST",IF(M490="✓","SCHEDULE",IF(OR(L490="1-Urgent",L490="2-High"),"DELEGATE","DELETE"))))</f>
        <v/>
      </c>
      <c r="P490" s="65" t="n"/>
    </row>
    <row r="491">
      <c r="B491" s="71" t="n">
        <v>486</v>
      </c>
      <c r="C491" s="65" t="n"/>
      <c r="D491" s="66" t="n"/>
      <c r="E491" s="67" t="n"/>
      <c r="F491" s="72">
        <f>IF(OR(C491="",E491=""),"",E491-Setup!$D$7)</f>
        <v/>
      </c>
      <c r="G491" s="69" t="n"/>
      <c r="H491" s="69" t="n"/>
      <c r="I491" s="73">
        <f>IF(OR(G491="",H491=""),"",TRIM(IF(HOUR(H491-G491)&gt;0,HOUR(H491-G491)&amp;" hr ","")&amp;IF(MINUTE(H491-G491)&gt;0,MINUTE(H491-G491)&amp;" min","")))</f>
        <v/>
      </c>
      <c r="J491" s="66" t="n"/>
      <c r="K491" s="70" t="n"/>
      <c r="L491" s="66" t="n"/>
      <c r="M491" s="66" t="n"/>
      <c r="N491" s="66" t="n"/>
      <c r="O491" s="73">
        <f>IF(C491="","",IF(AND(OR(L491="1-Urgent",L491="2-High"),M491="✓"),"DO FIRST",IF(M491="✓","SCHEDULE",IF(OR(L491="1-Urgent",L491="2-High"),"DELEGATE","DELETE"))))</f>
        <v/>
      </c>
      <c r="P491" s="65" t="n"/>
    </row>
    <row r="492">
      <c r="B492" s="64" t="n">
        <v>487</v>
      </c>
      <c r="C492" s="65" t="n"/>
      <c r="D492" s="66" t="n"/>
      <c r="E492" s="67" t="n"/>
      <c r="F492" s="68">
        <f>IF(OR(C492="",E492=""),"",E492-Setup!$D$7)</f>
        <v/>
      </c>
      <c r="G492" s="69" t="n"/>
      <c r="H492" s="69" t="n"/>
      <c r="I492" s="36">
        <f>IF(OR(G492="",H492=""),"",TRIM(IF(HOUR(H492-G492)&gt;0,HOUR(H492-G492)&amp;" hr ","")&amp;IF(MINUTE(H492-G492)&gt;0,MINUTE(H492-G492)&amp;" min","")))</f>
        <v/>
      </c>
      <c r="J492" s="66" t="n"/>
      <c r="K492" s="70" t="n"/>
      <c r="L492" s="66" t="n"/>
      <c r="M492" s="66" t="n"/>
      <c r="N492" s="66" t="n"/>
      <c r="O492" s="36">
        <f>IF(C492="","",IF(AND(OR(L492="1-Urgent",L492="2-High"),M492="✓"),"DO FIRST",IF(M492="✓","SCHEDULE",IF(OR(L492="1-Urgent",L492="2-High"),"DELEGATE","DELETE"))))</f>
        <v/>
      </c>
      <c r="P492" s="65" t="n"/>
    </row>
    <row r="493">
      <c r="B493" s="71" t="n">
        <v>488</v>
      </c>
      <c r="C493" s="65" t="n"/>
      <c r="D493" s="66" t="n"/>
      <c r="E493" s="67" t="n"/>
      <c r="F493" s="72">
        <f>IF(OR(C493="",E493=""),"",E493-Setup!$D$7)</f>
        <v/>
      </c>
      <c r="G493" s="69" t="n"/>
      <c r="H493" s="69" t="n"/>
      <c r="I493" s="73">
        <f>IF(OR(G493="",H493=""),"",TRIM(IF(HOUR(H493-G493)&gt;0,HOUR(H493-G493)&amp;" hr ","")&amp;IF(MINUTE(H493-G493)&gt;0,MINUTE(H493-G493)&amp;" min","")))</f>
        <v/>
      </c>
      <c r="J493" s="66" t="n"/>
      <c r="K493" s="70" t="n"/>
      <c r="L493" s="66" t="n"/>
      <c r="M493" s="66" t="n"/>
      <c r="N493" s="66" t="n"/>
      <c r="O493" s="73">
        <f>IF(C493="","",IF(AND(OR(L493="1-Urgent",L493="2-High"),M493="✓"),"DO FIRST",IF(M493="✓","SCHEDULE",IF(OR(L493="1-Urgent",L493="2-High"),"DELEGATE","DELETE"))))</f>
        <v/>
      </c>
      <c r="P493" s="65" t="n"/>
    </row>
    <row r="494">
      <c r="B494" s="64" t="n">
        <v>489</v>
      </c>
      <c r="C494" s="65" t="n"/>
      <c r="D494" s="66" t="n"/>
      <c r="E494" s="67" t="n"/>
      <c r="F494" s="68">
        <f>IF(OR(C494="",E494=""),"",E494-Setup!$D$7)</f>
        <v/>
      </c>
      <c r="G494" s="69" t="n"/>
      <c r="H494" s="69" t="n"/>
      <c r="I494" s="36">
        <f>IF(OR(G494="",H494=""),"",TRIM(IF(HOUR(H494-G494)&gt;0,HOUR(H494-G494)&amp;" hr ","")&amp;IF(MINUTE(H494-G494)&gt;0,MINUTE(H494-G494)&amp;" min","")))</f>
        <v/>
      </c>
      <c r="J494" s="66" t="n"/>
      <c r="K494" s="70" t="n"/>
      <c r="L494" s="66" t="n"/>
      <c r="M494" s="66" t="n"/>
      <c r="N494" s="66" t="n"/>
      <c r="O494" s="36">
        <f>IF(C494="","",IF(AND(OR(L494="1-Urgent",L494="2-High"),M494="✓"),"DO FIRST",IF(M494="✓","SCHEDULE",IF(OR(L494="1-Urgent",L494="2-High"),"DELEGATE","DELETE"))))</f>
        <v/>
      </c>
      <c r="P494" s="65" t="n"/>
    </row>
    <row r="495">
      <c r="B495" s="71" t="n">
        <v>490</v>
      </c>
      <c r="C495" s="65" t="n"/>
      <c r="D495" s="66" t="n"/>
      <c r="E495" s="67" t="n"/>
      <c r="F495" s="72">
        <f>IF(OR(C495="",E495=""),"",E495-Setup!$D$7)</f>
        <v/>
      </c>
      <c r="G495" s="69" t="n"/>
      <c r="H495" s="69" t="n"/>
      <c r="I495" s="73">
        <f>IF(OR(G495="",H495=""),"",TRIM(IF(HOUR(H495-G495)&gt;0,HOUR(H495-G495)&amp;" hr ","")&amp;IF(MINUTE(H495-G495)&gt;0,MINUTE(H495-G495)&amp;" min","")))</f>
        <v/>
      </c>
      <c r="J495" s="66" t="n"/>
      <c r="K495" s="70" t="n"/>
      <c r="L495" s="66" t="n"/>
      <c r="M495" s="66" t="n"/>
      <c r="N495" s="66" t="n"/>
      <c r="O495" s="73">
        <f>IF(C495="","",IF(AND(OR(L495="1-Urgent",L495="2-High"),M495="✓"),"DO FIRST",IF(M495="✓","SCHEDULE",IF(OR(L495="1-Urgent",L495="2-High"),"DELEGATE","DELETE"))))</f>
        <v/>
      </c>
      <c r="P495" s="65" t="n"/>
    </row>
    <row r="496">
      <c r="B496" s="64" t="n">
        <v>491</v>
      </c>
      <c r="C496" s="65" t="n"/>
      <c r="D496" s="66" t="n"/>
      <c r="E496" s="67" t="n"/>
      <c r="F496" s="68">
        <f>IF(OR(C496="",E496=""),"",E496-Setup!$D$7)</f>
        <v/>
      </c>
      <c r="G496" s="69" t="n"/>
      <c r="H496" s="69" t="n"/>
      <c r="I496" s="36">
        <f>IF(OR(G496="",H496=""),"",TRIM(IF(HOUR(H496-G496)&gt;0,HOUR(H496-G496)&amp;" hr ","")&amp;IF(MINUTE(H496-G496)&gt;0,MINUTE(H496-G496)&amp;" min","")))</f>
        <v/>
      </c>
      <c r="J496" s="66" t="n"/>
      <c r="K496" s="70" t="n"/>
      <c r="L496" s="66" t="n"/>
      <c r="M496" s="66" t="n"/>
      <c r="N496" s="66" t="n"/>
      <c r="O496" s="36">
        <f>IF(C496="","",IF(AND(OR(L496="1-Urgent",L496="2-High"),M496="✓"),"DO FIRST",IF(M496="✓","SCHEDULE",IF(OR(L496="1-Urgent",L496="2-High"),"DELEGATE","DELETE"))))</f>
        <v/>
      </c>
      <c r="P496" s="65" t="n"/>
    </row>
    <row r="497">
      <c r="B497" s="71" t="n">
        <v>492</v>
      </c>
      <c r="C497" s="65" t="n"/>
      <c r="D497" s="66" t="n"/>
      <c r="E497" s="67" t="n"/>
      <c r="F497" s="72">
        <f>IF(OR(C497="",E497=""),"",E497-Setup!$D$7)</f>
        <v/>
      </c>
      <c r="G497" s="69" t="n"/>
      <c r="H497" s="69" t="n"/>
      <c r="I497" s="73">
        <f>IF(OR(G497="",H497=""),"",TRIM(IF(HOUR(H497-G497)&gt;0,HOUR(H497-G497)&amp;" hr ","")&amp;IF(MINUTE(H497-G497)&gt;0,MINUTE(H497-G497)&amp;" min","")))</f>
        <v/>
      </c>
      <c r="J497" s="66" t="n"/>
      <c r="K497" s="70" t="n"/>
      <c r="L497" s="66" t="n"/>
      <c r="M497" s="66" t="n"/>
      <c r="N497" s="66" t="n"/>
      <c r="O497" s="73">
        <f>IF(C497="","",IF(AND(OR(L497="1-Urgent",L497="2-High"),M497="✓"),"DO FIRST",IF(M497="✓","SCHEDULE",IF(OR(L497="1-Urgent",L497="2-High"),"DELEGATE","DELETE"))))</f>
        <v/>
      </c>
      <c r="P497" s="65" t="n"/>
    </row>
    <row r="498">
      <c r="B498" s="64" t="n">
        <v>493</v>
      </c>
      <c r="C498" s="65" t="n"/>
      <c r="D498" s="66" t="n"/>
      <c r="E498" s="67" t="n"/>
      <c r="F498" s="68">
        <f>IF(OR(C498="",E498=""),"",E498-Setup!$D$7)</f>
        <v/>
      </c>
      <c r="G498" s="69" t="n"/>
      <c r="H498" s="69" t="n"/>
      <c r="I498" s="36">
        <f>IF(OR(G498="",H498=""),"",TRIM(IF(HOUR(H498-G498)&gt;0,HOUR(H498-G498)&amp;" hr ","")&amp;IF(MINUTE(H498-G498)&gt;0,MINUTE(H498-G498)&amp;" min","")))</f>
        <v/>
      </c>
      <c r="J498" s="66" t="n"/>
      <c r="K498" s="70" t="n"/>
      <c r="L498" s="66" t="n"/>
      <c r="M498" s="66" t="n"/>
      <c r="N498" s="66" t="n"/>
      <c r="O498" s="36">
        <f>IF(C498="","",IF(AND(OR(L498="1-Urgent",L498="2-High"),M498="✓"),"DO FIRST",IF(M498="✓","SCHEDULE",IF(OR(L498="1-Urgent",L498="2-High"),"DELEGATE","DELETE"))))</f>
        <v/>
      </c>
      <c r="P498" s="65" t="n"/>
    </row>
    <row r="499">
      <c r="B499" s="71" t="n">
        <v>494</v>
      </c>
      <c r="C499" s="65" t="n"/>
      <c r="D499" s="66" t="n"/>
      <c r="E499" s="67" t="n"/>
      <c r="F499" s="72">
        <f>IF(OR(C499="",E499=""),"",E499-Setup!$D$7)</f>
        <v/>
      </c>
      <c r="G499" s="69" t="n"/>
      <c r="H499" s="69" t="n"/>
      <c r="I499" s="73">
        <f>IF(OR(G499="",H499=""),"",TRIM(IF(HOUR(H499-G499)&gt;0,HOUR(H499-G499)&amp;" hr ","")&amp;IF(MINUTE(H499-G499)&gt;0,MINUTE(H499-G499)&amp;" min","")))</f>
        <v/>
      </c>
      <c r="J499" s="66" t="n"/>
      <c r="K499" s="70" t="n"/>
      <c r="L499" s="66" t="n"/>
      <c r="M499" s="66" t="n"/>
      <c r="N499" s="66" t="n"/>
      <c r="O499" s="73">
        <f>IF(C499="","",IF(AND(OR(L499="1-Urgent",L499="2-High"),M499="✓"),"DO FIRST",IF(M499="✓","SCHEDULE",IF(OR(L499="1-Urgent",L499="2-High"),"DELEGATE","DELETE"))))</f>
        <v/>
      </c>
      <c r="P499" s="65" t="n"/>
    </row>
    <row r="500">
      <c r="B500" s="64" t="n">
        <v>495</v>
      </c>
      <c r="C500" s="65" t="n"/>
      <c r="D500" s="66" t="n"/>
      <c r="E500" s="67" t="n"/>
      <c r="F500" s="68">
        <f>IF(OR(C500="",E500=""),"",E500-Setup!$D$7)</f>
        <v/>
      </c>
      <c r="G500" s="69" t="n"/>
      <c r="H500" s="69" t="n"/>
      <c r="I500" s="36">
        <f>IF(OR(G500="",H500=""),"",TRIM(IF(HOUR(H500-G500)&gt;0,HOUR(H500-G500)&amp;" hr ","")&amp;IF(MINUTE(H500-G500)&gt;0,MINUTE(H500-G500)&amp;" min","")))</f>
        <v/>
      </c>
      <c r="J500" s="66" t="n"/>
      <c r="K500" s="70" t="n"/>
      <c r="L500" s="66" t="n"/>
      <c r="M500" s="66" t="n"/>
      <c r="N500" s="66" t="n"/>
      <c r="O500" s="36">
        <f>IF(C500="","",IF(AND(OR(L500="1-Urgent",L500="2-High"),M500="✓"),"DO FIRST",IF(M500="✓","SCHEDULE",IF(OR(L500="1-Urgent",L500="2-High"),"DELEGATE","DELETE"))))</f>
        <v/>
      </c>
      <c r="P500" s="65" t="n"/>
    </row>
    <row r="501">
      <c r="B501" s="71" t="n">
        <v>496</v>
      </c>
      <c r="C501" s="65" t="n"/>
      <c r="D501" s="66" t="n"/>
      <c r="E501" s="67" t="n"/>
      <c r="F501" s="72">
        <f>IF(OR(C501="",E501=""),"",E501-Setup!$D$7)</f>
        <v/>
      </c>
      <c r="G501" s="69" t="n"/>
      <c r="H501" s="69" t="n"/>
      <c r="I501" s="73">
        <f>IF(OR(G501="",H501=""),"",TRIM(IF(HOUR(H501-G501)&gt;0,HOUR(H501-G501)&amp;" hr ","")&amp;IF(MINUTE(H501-G501)&gt;0,MINUTE(H501-G501)&amp;" min","")))</f>
        <v/>
      </c>
      <c r="J501" s="66" t="n"/>
      <c r="K501" s="70" t="n"/>
      <c r="L501" s="66" t="n"/>
      <c r="M501" s="66" t="n"/>
      <c r="N501" s="66" t="n"/>
      <c r="O501" s="73">
        <f>IF(C501="","",IF(AND(OR(L501="1-Urgent",L501="2-High"),M501="✓"),"DO FIRST",IF(M501="✓","SCHEDULE",IF(OR(L501="1-Urgent",L501="2-High"),"DELEGATE","DELETE"))))</f>
        <v/>
      </c>
      <c r="P501" s="65" t="n"/>
    </row>
    <row r="502">
      <c r="B502" s="64" t="n">
        <v>497</v>
      </c>
      <c r="C502" s="65" t="n"/>
      <c r="D502" s="66" t="n"/>
      <c r="E502" s="67" t="n"/>
      <c r="F502" s="68">
        <f>IF(OR(C502="",E502=""),"",E502-Setup!$D$7)</f>
        <v/>
      </c>
      <c r="G502" s="69" t="n"/>
      <c r="H502" s="69" t="n"/>
      <c r="I502" s="36">
        <f>IF(OR(G502="",H502=""),"",TRIM(IF(HOUR(H502-G502)&gt;0,HOUR(H502-G502)&amp;" hr ","")&amp;IF(MINUTE(H502-G502)&gt;0,MINUTE(H502-G502)&amp;" min","")))</f>
        <v/>
      </c>
      <c r="J502" s="66" t="n"/>
      <c r="K502" s="70" t="n"/>
      <c r="L502" s="66" t="n"/>
      <c r="M502" s="66" t="n"/>
      <c r="N502" s="66" t="n"/>
      <c r="O502" s="36">
        <f>IF(C502="","",IF(AND(OR(L502="1-Urgent",L502="2-High"),M502="✓"),"DO FIRST",IF(M502="✓","SCHEDULE",IF(OR(L502="1-Urgent",L502="2-High"),"DELEGATE","DELETE"))))</f>
        <v/>
      </c>
      <c r="P502" s="65" t="n"/>
    </row>
    <row r="503">
      <c r="B503" s="71" t="n">
        <v>498</v>
      </c>
      <c r="C503" s="65" t="n"/>
      <c r="D503" s="66" t="n"/>
      <c r="E503" s="67" t="n"/>
      <c r="F503" s="72">
        <f>IF(OR(C503="",E503=""),"",E503-Setup!$D$7)</f>
        <v/>
      </c>
      <c r="G503" s="69" t="n"/>
      <c r="H503" s="69" t="n"/>
      <c r="I503" s="73">
        <f>IF(OR(G503="",H503=""),"",TRIM(IF(HOUR(H503-G503)&gt;0,HOUR(H503-G503)&amp;" hr ","")&amp;IF(MINUTE(H503-G503)&gt;0,MINUTE(H503-G503)&amp;" min","")))</f>
        <v/>
      </c>
      <c r="J503" s="66" t="n"/>
      <c r="K503" s="70" t="n"/>
      <c r="L503" s="66" t="n"/>
      <c r="M503" s="66" t="n"/>
      <c r="N503" s="66" t="n"/>
      <c r="O503" s="73">
        <f>IF(C503="","",IF(AND(OR(L503="1-Urgent",L503="2-High"),M503="✓"),"DO FIRST",IF(M503="✓","SCHEDULE",IF(OR(L503="1-Urgent",L503="2-High"),"DELEGATE","DELETE"))))</f>
        <v/>
      </c>
      <c r="P503" s="65" t="n"/>
    </row>
    <row r="504">
      <c r="B504" s="64" t="n">
        <v>499</v>
      </c>
      <c r="C504" s="65" t="n"/>
      <c r="D504" s="66" t="n"/>
      <c r="E504" s="67" t="n"/>
      <c r="F504" s="68">
        <f>IF(OR(C504="",E504=""),"",E504-Setup!$D$7)</f>
        <v/>
      </c>
      <c r="G504" s="69" t="n"/>
      <c r="H504" s="69" t="n"/>
      <c r="I504" s="36">
        <f>IF(OR(G504="",H504=""),"",TRIM(IF(HOUR(H504-G504)&gt;0,HOUR(H504-G504)&amp;" hr ","")&amp;IF(MINUTE(H504-G504)&gt;0,MINUTE(H504-G504)&amp;" min","")))</f>
        <v/>
      </c>
      <c r="J504" s="66" t="n"/>
      <c r="K504" s="70" t="n"/>
      <c r="L504" s="66" t="n"/>
      <c r="M504" s="66" t="n"/>
      <c r="N504" s="66" t="n"/>
      <c r="O504" s="36">
        <f>IF(C504="","",IF(AND(OR(L504="1-Urgent",L504="2-High"),M504="✓"),"DO FIRST",IF(M504="✓","SCHEDULE",IF(OR(L504="1-Urgent",L504="2-High"),"DELEGATE","DELETE"))))</f>
        <v/>
      </c>
      <c r="P504" s="65" t="n"/>
    </row>
    <row r="505">
      <c r="B505" s="71" t="n">
        <v>500</v>
      </c>
      <c r="C505" s="65" t="n"/>
      <c r="D505" s="66" t="n"/>
      <c r="E505" s="67" t="n"/>
      <c r="F505" s="72">
        <f>IF(OR(C505="",E505=""),"",E505-Setup!$D$7)</f>
        <v/>
      </c>
      <c r="G505" s="69" t="n"/>
      <c r="H505" s="69" t="n"/>
      <c r="I505" s="73">
        <f>IF(OR(G505="",H505=""),"",TRIM(IF(HOUR(H505-G505)&gt;0,HOUR(H505-G505)&amp;" hr ","")&amp;IF(MINUTE(H505-G505)&gt;0,MINUTE(H505-G505)&amp;" min","")))</f>
        <v/>
      </c>
      <c r="J505" s="66" t="n"/>
      <c r="K505" s="70" t="n"/>
      <c r="L505" s="66" t="n"/>
      <c r="M505" s="66" t="n"/>
      <c r="N505" s="66" t="n"/>
      <c r="O505" s="73">
        <f>IF(C505="","",IF(AND(OR(L505="1-Urgent",L505="2-High"),M505="✓"),"DO FIRST",IF(M505="✓","SCHEDULE",IF(OR(L505="1-Urgent",L505="2-High"),"DELEGATE","DELETE"))))</f>
        <v/>
      </c>
      <c r="P505" s="65" t="n"/>
    </row>
  </sheetData>
  <autoFilter ref="B5:P505"/>
  <mergeCells count="6">
    <mergeCell ref="J4:K4"/>
    <mergeCell ref="E4:I4"/>
    <mergeCell ref="B4:D4"/>
    <mergeCell ref="P4"/>
    <mergeCell ref="L4:O4"/>
    <mergeCell ref="B2:J2"/>
  </mergeCells>
  <conditionalFormatting sqref="B6:P505">
    <cfRule type="expression" priority="1" dxfId="10" stopIfTrue="1">
      <formula>OR($J6="Done",$J6="Cancelled")</formula>
    </cfRule>
    <cfRule type="expression" priority="2" dxfId="17" stopIfTrue="0">
      <formula>AND($C6&lt;&gt;"",ISNUMBER($E6),$E6&lt;Setup!$D$7)</formula>
    </cfRule>
    <cfRule type="expression" priority="3" dxfId="18" stopIfTrue="0">
      <formula>AND($C6&lt;&gt;"",$E6=Setup!$D$7)</formula>
    </cfRule>
  </conditionalFormatting>
  <conditionalFormatting sqref="D6:D505">
    <cfRule type="expression" priority="4" dxfId="11" stopIfTrue="0">
      <formula>AND($D6&lt;&gt;"",$D6=INDEX(Setup!$F$6:$F$15,1))</formula>
    </cfRule>
    <cfRule type="expression" priority="5" dxfId="12" stopIfTrue="0">
      <formula>AND($D6&lt;&gt;"",$D6=INDEX(Setup!$F$6:$F$15,2))</formula>
    </cfRule>
    <cfRule type="expression" priority="6" dxfId="13" stopIfTrue="0">
      <formula>AND($D6&lt;&gt;"",$D6=INDEX(Setup!$F$6:$F$15,3))</formula>
    </cfRule>
    <cfRule type="expression" priority="7" dxfId="14" stopIfTrue="0">
      <formula>AND($D6&lt;&gt;"",$D6=INDEX(Setup!$F$6:$F$15,4))</formula>
    </cfRule>
    <cfRule type="expression" priority="8" dxfId="15" stopIfTrue="0">
      <formula>AND($D6&lt;&gt;"",$D6=INDEX(Setup!$F$6:$F$15,5))</formula>
    </cfRule>
    <cfRule type="expression" priority="9" dxfId="16" stopIfTrue="0">
      <formula>AND($D6&lt;&gt;"",$D6=INDEX(Setup!$F$6:$F$15,6))</formula>
    </cfRule>
  </conditionalFormatting>
  <conditionalFormatting sqref="O6:O505">
    <cfRule type="expression" priority="10" dxfId="19" stopIfTrue="0">
      <formula>$O6="DO FIRST"</formula>
    </cfRule>
    <cfRule type="expression" priority="11" dxfId="20" stopIfTrue="0">
      <formula>$O6="SCHEDULE"</formula>
    </cfRule>
    <cfRule type="expression" priority="12" dxfId="21" stopIfTrue="0">
      <formula>$O6="DELEGATE"</formula>
    </cfRule>
    <cfRule type="expression" priority="13" dxfId="22" stopIfTrue="0">
      <formula>$O6="DELETE"</formula>
    </cfRule>
  </conditionalFormatting>
  <conditionalFormatting sqref="K6:K505">
    <cfRule type="dataBar" priority="14">
      <dataBar showValue="1">
        <cfvo type="num" val="0"/>
        <cfvo type="num" val="1"/>
        <color rgb="0035D6BE"/>
      </dataBar>
    </cfRule>
  </conditionalFormatting>
  <dataValidations count="5">
    <dataValidation sqref="J6:J505" showDropDown="0" showInputMessage="0" showErrorMessage="0" allowBlank="1" error="Please pick a value from the list." type="list" errorStyle="warning">
      <formula1>=Setup!$J$6:$J$11</formula1>
    </dataValidation>
    <dataValidation sqref="D6:D505" showDropDown="0" showInputMessage="0" showErrorMessage="0" allowBlank="1" error="Please pick a value from the list." type="list" errorStyle="warning">
      <formula1>=Setup!$F$6:$F$15</formula1>
    </dataValidation>
    <dataValidation sqref="L6:L505" showDropDown="0" showInputMessage="0" showErrorMessage="0" allowBlank="1" error="Please pick a value from the list." type="list" errorStyle="warning">
      <formula1>=Setup!$L$6:$L$9</formula1>
    </dataValidation>
    <dataValidation sqref="M6:M505" showDropDown="0" showInputMessage="0" showErrorMessage="0" allowBlank="1" error="Please pick a value from the list." type="list" errorStyle="warning">
      <formula1>=Lists!$D$2</formula1>
    </dataValidation>
    <dataValidation sqref="N6:N505" showDropDown="0" showInputMessage="0" showErrorMessage="0" allowBlank="1" error="Please pick a value from the list." type="list" errorStyle="warning">
      <formula1>=Setup!$H$6:$H$15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7AB8"/>
    <outlinePr summaryBelow="1" summaryRight="1"/>
    <pageSetUpPr/>
  </sheetPr>
  <dimension ref="B2:R1505"/>
  <sheetViews>
    <sheetView showGridLines="0" zoomScale="85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" min="1" max="1"/>
    <col width="5" customWidth="1" style="1" min="2" max="2"/>
    <col width="28" customWidth="1" style="1" min="3" max="3"/>
    <col width="12" customWidth="1" style="1" min="4" max="4"/>
    <col width="11" customWidth="1" style="1" min="5" max="5"/>
    <col width="9" customWidth="1" style="1" min="6" max="6"/>
    <col width="10" customWidth="1" style="1" min="7" max="7"/>
    <col width="10" customWidth="1" style="1" min="8" max="8"/>
    <col width="12" customWidth="1" style="1" min="9" max="9"/>
    <col width="13" customWidth="1" style="1" min="10" max="10"/>
    <col width="10" customWidth="1" style="1" min="11" max="11"/>
    <col width="11" customWidth="1" style="1" min="12" max="12"/>
    <col width="10" customWidth="1" style="1" min="13" max="13"/>
    <col width="13" customWidth="1" style="1" min="14" max="14"/>
    <col width="12" customWidth="1" style="1" min="15" max="15"/>
    <col width="28" customWidth="1" style="1" min="16" max="16"/>
    <col hidden="1" width="13" customWidth="1" style="1" min="17" max="17"/>
    <col hidden="1"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</cols>
  <sheetData>
    <row r="2">
      <c r="B2" s="59" t="inlineStr">
        <is>
          <t>RECURRING LOG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B3" s="62" t="inlineStr">
        <is>
          <t>Auto-generated from the Recurring Schedule — only update STATUS, PROGRESS &amp; NOTES here.</t>
        </is>
      </c>
    </row>
    <row r="4">
      <c r="B4" s="12" t="inlineStr">
        <is>
          <t>TASK DETAILS</t>
        </is>
      </c>
      <c r="C4" s="44" t="n"/>
      <c r="D4" s="44" t="n"/>
      <c r="E4" s="8" t="inlineStr">
        <is>
          <t>SCHEDULE</t>
        </is>
      </c>
      <c r="F4" s="9" t="n"/>
      <c r="G4" s="9" t="n"/>
      <c r="H4" s="9" t="n"/>
      <c r="I4" s="9" t="n"/>
      <c r="J4" s="11" t="inlineStr">
        <is>
          <t>STATUS &amp; PROGRESS</t>
        </is>
      </c>
      <c r="K4" s="25" t="n"/>
      <c r="L4" s="13" t="inlineStr">
        <is>
          <t>EISENHOWER MATRIX</t>
        </is>
      </c>
      <c r="M4" s="27" t="n"/>
      <c r="N4" s="27" t="n"/>
      <c r="O4" s="27" t="n"/>
      <c r="P4" s="63" t="inlineStr">
        <is>
          <t>NOTES</t>
        </is>
      </c>
    </row>
    <row r="5">
      <c r="B5" s="60" t="inlineStr">
        <is>
          <t>#</t>
        </is>
      </c>
      <c r="C5" s="60" t="inlineStr">
        <is>
          <t>TASK</t>
        </is>
      </c>
      <c r="D5" s="60" t="inlineStr">
        <is>
          <t>CATEGORY</t>
        </is>
      </c>
      <c r="E5" s="60" t="inlineStr">
        <is>
          <t>DUE DATE</t>
        </is>
      </c>
      <c r="F5" s="60" t="inlineStr">
        <is>
          <t>DAYS LEFT</t>
        </is>
      </c>
      <c r="G5" s="60" t="inlineStr">
        <is>
          <t>START</t>
        </is>
      </c>
      <c r="H5" s="60" t="inlineStr">
        <is>
          <t>END</t>
        </is>
      </c>
      <c r="I5" s="60" t="inlineStr">
        <is>
          <t>DURATION</t>
        </is>
      </c>
      <c r="J5" s="60" t="inlineStr">
        <is>
          <t>STATUS</t>
        </is>
      </c>
      <c r="K5" s="60" t="inlineStr">
        <is>
          <t>PROGRESS</t>
        </is>
      </c>
      <c r="L5" s="60" t="inlineStr">
        <is>
          <t>PRIORITY</t>
        </is>
      </c>
      <c r="M5" s="60" t="inlineStr">
        <is>
          <t>IMPORTANT</t>
        </is>
      </c>
      <c r="N5" s="60" t="inlineStr">
        <is>
          <t>DELEGATE TO</t>
        </is>
      </c>
      <c r="O5" s="60" t="inlineStr">
        <is>
          <t>DECISION</t>
        </is>
      </c>
      <c r="P5" s="60" t="inlineStr">
        <is>
          <t>NOTES</t>
        </is>
      </c>
    </row>
    <row r="6">
      <c r="B6" s="64">
        <f>IF(R6="","",1)</f>
        <v/>
      </c>
      <c r="C6" s="37">
        <f>IF(R6="","",IF(INDEX('Recurring Schedule'!$C$6:$C$45,R6)="","",INDEX('Recurring Schedule'!$C$6:$C$45,R6)))</f>
        <v/>
      </c>
      <c r="D6" s="36">
        <f>IF(R6="","",IF(INDEX('Recurring Schedule'!$D$6:$D$45,R6)="","",INDEX('Recurring Schedule'!$D$6:$D$45,R6)))</f>
        <v/>
      </c>
      <c r="E6" s="38">
        <f>IF(Q6="","",INDEX(Calc!$A$2:$A$367,Q6))</f>
        <v/>
      </c>
      <c r="F6" s="68">
        <f>IF(OR(C6="",E6=""),"",E6-Setup!$D$7)</f>
        <v/>
      </c>
      <c r="G6" s="74">
        <f>IF(R6="","",IF(INDEX('Recurring Schedule'!$H$6:$H$45,R6)="","",INDEX('Recurring Schedule'!$H$6:$H$45,R6)))</f>
        <v/>
      </c>
      <c r="H6" s="74">
        <f>IF(R6="","",IF(INDEX('Recurring Schedule'!$I$6:$I$45,R6)="","",INDEX('Recurring Schedule'!$I$6:$I$45,R6)))</f>
        <v/>
      </c>
      <c r="I6" s="36">
        <f>IF(OR(G6="",H6=""),"",TRIM(IF(HOUR(H6-G6)&gt;0,HOUR(H6-G6)&amp;" hr ","")&amp;IF(MINUTE(H6-G6)&gt;0,MINUTE(H6-G6)&amp;" min","")))</f>
        <v/>
      </c>
      <c r="J6" s="66" t="n"/>
      <c r="K6" s="70" t="n"/>
      <c r="L6" s="36">
        <f>IF(R6="","",IF(INDEX('Recurring Schedule'!$J$6:$J$45,R6)="","",INDEX('Recurring Schedule'!$J$6:$J$45,R6)))</f>
        <v/>
      </c>
      <c r="M6" s="36">
        <f>IF(R6="","",IF(INDEX('Recurring Schedule'!$K$6:$K$45,R6)="","",INDEX('Recurring Schedule'!$K$6:$K$45,R6)))</f>
        <v/>
      </c>
      <c r="N6" s="36">
        <f>IF(R6="","",IF(INDEX('Recurring Schedule'!$L$6:$L$45,R6)="","",INDEX('Recurring Schedule'!$L$6:$L$45,R6)))</f>
        <v/>
      </c>
      <c r="O6" s="36">
        <f>IF(C6="","",IF(AND(OR(L6="1-Urgent",L6="2-High"),M6="✓"),"DO FIRST",IF(M6="✓","SCHEDULE",IF(OR(L6="1-Urgent",L6="2-High"),"DELEGATE","DELETE"))))</f>
        <v/>
      </c>
      <c r="P6" s="65" t="n"/>
      <c r="Q6">
        <f>IF(1&gt;Calc!$AQ$368,"",MATCH(0,Calc!$AQ$2:$AQ$367,1))</f>
        <v/>
      </c>
      <c r="R6">
        <f>IF(Q6="","",SMALL(INDEX(Calc!$B$2:$AO$367,Q6,0),1-INDEX(Calc!$AQ$2:$AQ$367,Q6)))</f>
        <v/>
      </c>
    </row>
    <row r="7">
      <c r="B7" s="71">
        <f>IF(R7="","",2)</f>
        <v/>
      </c>
      <c r="C7" s="75">
        <f>IF(R7="","",IF(INDEX('Recurring Schedule'!$C$6:$C$45,R7)="","",INDEX('Recurring Schedule'!$C$6:$C$45,R7)))</f>
        <v/>
      </c>
      <c r="D7" s="73">
        <f>IF(R7="","",IF(INDEX('Recurring Schedule'!$D$6:$D$45,R7)="","",INDEX('Recurring Schedule'!$D$6:$D$45,R7)))</f>
        <v/>
      </c>
      <c r="E7" s="76">
        <f>IF(Q7="","",INDEX(Calc!$A$2:$A$367,Q7))</f>
        <v/>
      </c>
      <c r="F7" s="72">
        <f>IF(OR(C7="",E7=""),"",E7-Setup!$D$7)</f>
        <v/>
      </c>
      <c r="G7" s="77">
        <f>IF(R7="","",IF(INDEX('Recurring Schedule'!$H$6:$H$45,R7)="","",INDEX('Recurring Schedule'!$H$6:$H$45,R7)))</f>
        <v/>
      </c>
      <c r="H7" s="77">
        <f>IF(R7="","",IF(INDEX('Recurring Schedule'!$I$6:$I$45,R7)="","",INDEX('Recurring Schedule'!$I$6:$I$45,R7)))</f>
        <v/>
      </c>
      <c r="I7" s="73">
        <f>IF(OR(G7="",H7=""),"",TRIM(IF(HOUR(H7-G7)&gt;0,HOUR(H7-G7)&amp;" hr ","")&amp;IF(MINUTE(H7-G7)&gt;0,MINUTE(H7-G7)&amp;" min","")))</f>
        <v/>
      </c>
      <c r="J7" s="66" t="n"/>
      <c r="K7" s="70" t="n"/>
      <c r="L7" s="73">
        <f>IF(R7="","",IF(INDEX('Recurring Schedule'!$J$6:$J$45,R7)="","",INDEX('Recurring Schedule'!$J$6:$J$45,R7)))</f>
        <v/>
      </c>
      <c r="M7" s="73">
        <f>IF(R7="","",IF(INDEX('Recurring Schedule'!$K$6:$K$45,R7)="","",INDEX('Recurring Schedule'!$K$6:$K$45,R7)))</f>
        <v/>
      </c>
      <c r="N7" s="73">
        <f>IF(R7="","",IF(INDEX('Recurring Schedule'!$L$6:$L$45,R7)="","",INDEX('Recurring Schedule'!$L$6:$L$45,R7)))</f>
        <v/>
      </c>
      <c r="O7" s="73">
        <f>IF(C7="","",IF(AND(OR(L7="1-Urgent",L7="2-High"),M7="✓"),"DO FIRST",IF(M7="✓","SCHEDULE",IF(OR(L7="1-Urgent",L7="2-High"),"DELEGATE","DELETE"))))</f>
        <v/>
      </c>
      <c r="P7" s="65" t="n"/>
      <c r="Q7">
        <f>IF(2&gt;Calc!$AQ$368,"",MATCH(1,Calc!$AQ$2:$AQ$367,1))</f>
        <v/>
      </c>
      <c r="R7">
        <f>IF(Q7="","",SMALL(INDEX(Calc!$B$2:$AO$367,Q7,0),2-INDEX(Calc!$AQ$2:$AQ$367,Q7)))</f>
        <v/>
      </c>
    </row>
    <row r="8">
      <c r="B8" s="64">
        <f>IF(R8="","",3)</f>
        <v/>
      </c>
      <c r="C8" s="37">
        <f>IF(R8="","",IF(INDEX('Recurring Schedule'!$C$6:$C$45,R8)="","",INDEX('Recurring Schedule'!$C$6:$C$45,R8)))</f>
        <v/>
      </c>
      <c r="D8" s="36">
        <f>IF(R8="","",IF(INDEX('Recurring Schedule'!$D$6:$D$45,R8)="","",INDEX('Recurring Schedule'!$D$6:$D$45,R8)))</f>
        <v/>
      </c>
      <c r="E8" s="38">
        <f>IF(Q8="","",INDEX(Calc!$A$2:$A$367,Q8))</f>
        <v/>
      </c>
      <c r="F8" s="68">
        <f>IF(OR(C8="",E8=""),"",E8-Setup!$D$7)</f>
        <v/>
      </c>
      <c r="G8" s="74">
        <f>IF(R8="","",IF(INDEX('Recurring Schedule'!$H$6:$H$45,R8)="","",INDEX('Recurring Schedule'!$H$6:$H$45,R8)))</f>
        <v/>
      </c>
      <c r="H8" s="74">
        <f>IF(R8="","",IF(INDEX('Recurring Schedule'!$I$6:$I$45,R8)="","",INDEX('Recurring Schedule'!$I$6:$I$45,R8)))</f>
        <v/>
      </c>
      <c r="I8" s="36">
        <f>IF(OR(G8="",H8=""),"",TRIM(IF(HOUR(H8-G8)&gt;0,HOUR(H8-G8)&amp;" hr ","")&amp;IF(MINUTE(H8-G8)&gt;0,MINUTE(H8-G8)&amp;" min","")))</f>
        <v/>
      </c>
      <c r="J8" s="66" t="n"/>
      <c r="K8" s="70" t="n"/>
      <c r="L8" s="36">
        <f>IF(R8="","",IF(INDEX('Recurring Schedule'!$J$6:$J$45,R8)="","",INDEX('Recurring Schedule'!$J$6:$J$45,R8)))</f>
        <v/>
      </c>
      <c r="M8" s="36">
        <f>IF(R8="","",IF(INDEX('Recurring Schedule'!$K$6:$K$45,R8)="","",INDEX('Recurring Schedule'!$K$6:$K$45,R8)))</f>
        <v/>
      </c>
      <c r="N8" s="36">
        <f>IF(R8="","",IF(INDEX('Recurring Schedule'!$L$6:$L$45,R8)="","",INDEX('Recurring Schedule'!$L$6:$L$45,R8)))</f>
        <v/>
      </c>
      <c r="O8" s="36">
        <f>IF(C8="","",IF(AND(OR(L8="1-Urgent",L8="2-High"),M8="✓"),"DO FIRST",IF(M8="✓","SCHEDULE",IF(OR(L8="1-Urgent",L8="2-High"),"DELEGATE","DELETE"))))</f>
        <v/>
      </c>
      <c r="P8" s="65" t="n"/>
      <c r="Q8">
        <f>IF(3&gt;Calc!$AQ$368,"",MATCH(2,Calc!$AQ$2:$AQ$367,1))</f>
        <v/>
      </c>
      <c r="R8">
        <f>IF(Q8="","",SMALL(INDEX(Calc!$B$2:$AO$367,Q8,0),3-INDEX(Calc!$AQ$2:$AQ$367,Q8)))</f>
        <v/>
      </c>
    </row>
    <row r="9">
      <c r="B9" s="71">
        <f>IF(R9="","",4)</f>
        <v/>
      </c>
      <c r="C9" s="75">
        <f>IF(R9="","",IF(INDEX('Recurring Schedule'!$C$6:$C$45,R9)="","",INDEX('Recurring Schedule'!$C$6:$C$45,R9)))</f>
        <v/>
      </c>
      <c r="D9" s="73">
        <f>IF(R9="","",IF(INDEX('Recurring Schedule'!$D$6:$D$45,R9)="","",INDEX('Recurring Schedule'!$D$6:$D$45,R9)))</f>
        <v/>
      </c>
      <c r="E9" s="76">
        <f>IF(Q9="","",INDEX(Calc!$A$2:$A$367,Q9))</f>
        <v/>
      </c>
      <c r="F9" s="72">
        <f>IF(OR(C9="",E9=""),"",E9-Setup!$D$7)</f>
        <v/>
      </c>
      <c r="G9" s="77">
        <f>IF(R9="","",IF(INDEX('Recurring Schedule'!$H$6:$H$45,R9)="","",INDEX('Recurring Schedule'!$H$6:$H$45,R9)))</f>
        <v/>
      </c>
      <c r="H9" s="77">
        <f>IF(R9="","",IF(INDEX('Recurring Schedule'!$I$6:$I$45,R9)="","",INDEX('Recurring Schedule'!$I$6:$I$45,R9)))</f>
        <v/>
      </c>
      <c r="I9" s="73">
        <f>IF(OR(G9="",H9=""),"",TRIM(IF(HOUR(H9-G9)&gt;0,HOUR(H9-G9)&amp;" hr ","")&amp;IF(MINUTE(H9-G9)&gt;0,MINUTE(H9-G9)&amp;" min","")))</f>
        <v/>
      </c>
      <c r="J9" s="66" t="n"/>
      <c r="K9" s="70" t="n"/>
      <c r="L9" s="73">
        <f>IF(R9="","",IF(INDEX('Recurring Schedule'!$J$6:$J$45,R9)="","",INDEX('Recurring Schedule'!$J$6:$J$45,R9)))</f>
        <v/>
      </c>
      <c r="M9" s="73">
        <f>IF(R9="","",IF(INDEX('Recurring Schedule'!$K$6:$K$45,R9)="","",INDEX('Recurring Schedule'!$K$6:$K$45,R9)))</f>
        <v/>
      </c>
      <c r="N9" s="73">
        <f>IF(R9="","",IF(INDEX('Recurring Schedule'!$L$6:$L$45,R9)="","",INDEX('Recurring Schedule'!$L$6:$L$45,R9)))</f>
        <v/>
      </c>
      <c r="O9" s="73">
        <f>IF(C9="","",IF(AND(OR(L9="1-Urgent",L9="2-High"),M9="✓"),"DO FIRST",IF(M9="✓","SCHEDULE",IF(OR(L9="1-Urgent",L9="2-High"),"DELEGATE","DELETE"))))</f>
        <v/>
      </c>
      <c r="P9" s="65" t="n"/>
      <c r="Q9">
        <f>IF(4&gt;Calc!$AQ$368,"",MATCH(3,Calc!$AQ$2:$AQ$367,1))</f>
        <v/>
      </c>
      <c r="R9">
        <f>IF(Q9="","",SMALL(INDEX(Calc!$B$2:$AO$367,Q9,0),4-INDEX(Calc!$AQ$2:$AQ$367,Q9)))</f>
        <v/>
      </c>
    </row>
    <row r="10">
      <c r="B10" s="64">
        <f>IF(R10="","",5)</f>
        <v/>
      </c>
      <c r="C10" s="37">
        <f>IF(R10="","",IF(INDEX('Recurring Schedule'!$C$6:$C$45,R10)="","",INDEX('Recurring Schedule'!$C$6:$C$45,R10)))</f>
        <v/>
      </c>
      <c r="D10" s="36">
        <f>IF(R10="","",IF(INDEX('Recurring Schedule'!$D$6:$D$45,R10)="","",INDEX('Recurring Schedule'!$D$6:$D$45,R10)))</f>
        <v/>
      </c>
      <c r="E10" s="38">
        <f>IF(Q10="","",INDEX(Calc!$A$2:$A$367,Q10))</f>
        <v/>
      </c>
      <c r="F10" s="68">
        <f>IF(OR(C10="",E10=""),"",E10-Setup!$D$7)</f>
        <v/>
      </c>
      <c r="G10" s="74">
        <f>IF(R10="","",IF(INDEX('Recurring Schedule'!$H$6:$H$45,R10)="","",INDEX('Recurring Schedule'!$H$6:$H$45,R10)))</f>
        <v/>
      </c>
      <c r="H10" s="74">
        <f>IF(R10="","",IF(INDEX('Recurring Schedule'!$I$6:$I$45,R10)="","",INDEX('Recurring Schedule'!$I$6:$I$45,R10)))</f>
        <v/>
      </c>
      <c r="I10" s="36">
        <f>IF(OR(G10="",H10=""),"",TRIM(IF(HOUR(H10-G10)&gt;0,HOUR(H10-G10)&amp;" hr ","")&amp;IF(MINUTE(H10-G10)&gt;0,MINUTE(H10-G10)&amp;" min","")))</f>
        <v/>
      </c>
      <c r="J10" s="66" t="n"/>
      <c r="K10" s="70" t="n"/>
      <c r="L10" s="36">
        <f>IF(R10="","",IF(INDEX('Recurring Schedule'!$J$6:$J$45,R10)="","",INDEX('Recurring Schedule'!$J$6:$J$45,R10)))</f>
        <v/>
      </c>
      <c r="M10" s="36">
        <f>IF(R10="","",IF(INDEX('Recurring Schedule'!$K$6:$K$45,R10)="","",INDEX('Recurring Schedule'!$K$6:$K$45,R10)))</f>
        <v/>
      </c>
      <c r="N10" s="36">
        <f>IF(R10="","",IF(INDEX('Recurring Schedule'!$L$6:$L$45,R10)="","",INDEX('Recurring Schedule'!$L$6:$L$45,R10)))</f>
        <v/>
      </c>
      <c r="O10" s="36">
        <f>IF(C10="","",IF(AND(OR(L10="1-Urgent",L10="2-High"),M10="✓"),"DO FIRST",IF(M10="✓","SCHEDULE",IF(OR(L10="1-Urgent",L10="2-High"),"DELEGATE","DELETE"))))</f>
        <v/>
      </c>
      <c r="P10" s="65" t="n"/>
      <c r="Q10">
        <f>IF(5&gt;Calc!$AQ$368,"",MATCH(4,Calc!$AQ$2:$AQ$367,1))</f>
        <v/>
      </c>
      <c r="R10">
        <f>IF(Q10="","",SMALL(INDEX(Calc!$B$2:$AO$367,Q10,0),5-INDEX(Calc!$AQ$2:$AQ$367,Q10)))</f>
        <v/>
      </c>
    </row>
    <row r="11">
      <c r="B11" s="71">
        <f>IF(R11="","",6)</f>
        <v/>
      </c>
      <c r="C11" s="75">
        <f>IF(R11="","",IF(INDEX('Recurring Schedule'!$C$6:$C$45,R11)="","",INDEX('Recurring Schedule'!$C$6:$C$45,R11)))</f>
        <v/>
      </c>
      <c r="D11" s="73">
        <f>IF(R11="","",IF(INDEX('Recurring Schedule'!$D$6:$D$45,R11)="","",INDEX('Recurring Schedule'!$D$6:$D$45,R11)))</f>
        <v/>
      </c>
      <c r="E11" s="76">
        <f>IF(Q11="","",INDEX(Calc!$A$2:$A$367,Q11))</f>
        <v/>
      </c>
      <c r="F11" s="72">
        <f>IF(OR(C11="",E11=""),"",E11-Setup!$D$7)</f>
        <v/>
      </c>
      <c r="G11" s="77">
        <f>IF(R11="","",IF(INDEX('Recurring Schedule'!$H$6:$H$45,R11)="","",INDEX('Recurring Schedule'!$H$6:$H$45,R11)))</f>
        <v/>
      </c>
      <c r="H11" s="77">
        <f>IF(R11="","",IF(INDEX('Recurring Schedule'!$I$6:$I$45,R11)="","",INDEX('Recurring Schedule'!$I$6:$I$45,R11)))</f>
        <v/>
      </c>
      <c r="I11" s="73">
        <f>IF(OR(G11="",H11=""),"",TRIM(IF(HOUR(H11-G11)&gt;0,HOUR(H11-G11)&amp;" hr ","")&amp;IF(MINUTE(H11-G11)&gt;0,MINUTE(H11-G11)&amp;" min","")))</f>
        <v/>
      </c>
      <c r="J11" s="66" t="n"/>
      <c r="K11" s="70" t="n"/>
      <c r="L11" s="73">
        <f>IF(R11="","",IF(INDEX('Recurring Schedule'!$J$6:$J$45,R11)="","",INDEX('Recurring Schedule'!$J$6:$J$45,R11)))</f>
        <v/>
      </c>
      <c r="M11" s="73">
        <f>IF(R11="","",IF(INDEX('Recurring Schedule'!$K$6:$K$45,R11)="","",INDEX('Recurring Schedule'!$K$6:$K$45,R11)))</f>
        <v/>
      </c>
      <c r="N11" s="73">
        <f>IF(R11="","",IF(INDEX('Recurring Schedule'!$L$6:$L$45,R11)="","",INDEX('Recurring Schedule'!$L$6:$L$45,R11)))</f>
        <v/>
      </c>
      <c r="O11" s="73">
        <f>IF(C11="","",IF(AND(OR(L11="1-Urgent",L11="2-High"),M11="✓"),"DO FIRST",IF(M11="✓","SCHEDULE",IF(OR(L11="1-Urgent",L11="2-High"),"DELEGATE","DELETE"))))</f>
        <v/>
      </c>
      <c r="P11" s="65" t="n"/>
      <c r="Q11">
        <f>IF(6&gt;Calc!$AQ$368,"",MATCH(5,Calc!$AQ$2:$AQ$367,1))</f>
        <v/>
      </c>
      <c r="R11">
        <f>IF(Q11="","",SMALL(INDEX(Calc!$B$2:$AO$367,Q11,0),6-INDEX(Calc!$AQ$2:$AQ$367,Q11)))</f>
        <v/>
      </c>
    </row>
    <row r="12">
      <c r="B12" s="64">
        <f>IF(R12="","",7)</f>
        <v/>
      </c>
      <c r="C12" s="37">
        <f>IF(R12="","",IF(INDEX('Recurring Schedule'!$C$6:$C$45,R12)="","",INDEX('Recurring Schedule'!$C$6:$C$45,R12)))</f>
        <v/>
      </c>
      <c r="D12" s="36">
        <f>IF(R12="","",IF(INDEX('Recurring Schedule'!$D$6:$D$45,R12)="","",INDEX('Recurring Schedule'!$D$6:$D$45,R12)))</f>
        <v/>
      </c>
      <c r="E12" s="38">
        <f>IF(Q12="","",INDEX(Calc!$A$2:$A$367,Q12))</f>
        <v/>
      </c>
      <c r="F12" s="68">
        <f>IF(OR(C12="",E12=""),"",E12-Setup!$D$7)</f>
        <v/>
      </c>
      <c r="G12" s="74">
        <f>IF(R12="","",IF(INDEX('Recurring Schedule'!$H$6:$H$45,R12)="","",INDEX('Recurring Schedule'!$H$6:$H$45,R12)))</f>
        <v/>
      </c>
      <c r="H12" s="74">
        <f>IF(R12="","",IF(INDEX('Recurring Schedule'!$I$6:$I$45,R12)="","",INDEX('Recurring Schedule'!$I$6:$I$45,R12)))</f>
        <v/>
      </c>
      <c r="I12" s="36">
        <f>IF(OR(G12="",H12=""),"",TRIM(IF(HOUR(H12-G12)&gt;0,HOUR(H12-G12)&amp;" hr ","")&amp;IF(MINUTE(H12-G12)&gt;0,MINUTE(H12-G12)&amp;" min","")))</f>
        <v/>
      </c>
      <c r="J12" s="66" t="n"/>
      <c r="K12" s="70" t="n"/>
      <c r="L12" s="36">
        <f>IF(R12="","",IF(INDEX('Recurring Schedule'!$J$6:$J$45,R12)="","",INDEX('Recurring Schedule'!$J$6:$J$45,R12)))</f>
        <v/>
      </c>
      <c r="M12" s="36">
        <f>IF(R12="","",IF(INDEX('Recurring Schedule'!$K$6:$K$45,R12)="","",INDEX('Recurring Schedule'!$K$6:$K$45,R12)))</f>
        <v/>
      </c>
      <c r="N12" s="36">
        <f>IF(R12="","",IF(INDEX('Recurring Schedule'!$L$6:$L$45,R12)="","",INDEX('Recurring Schedule'!$L$6:$L$45,R12)))</f>
        <v/>
      </c>
      <c r="O12" s="36">
        <f>IF(C12="","",IF(AND(OR(L12="1-Urgent",L12="2-High"),M12="✓"),"DO FIRST",IF(M12="✓","SCHEDULE",IF(OR(L12="1-Urgent",L12="2-High"),"DELEGATE","DELETE"))))</f>
        <v/>
      </c>
      <c r="P12" s="65" t="n"/>
      <c r="Q12">
        <f>IF(7&gt;Calc!$AQ$368,"",MATCH(6,Calc!$AQ$2:$AQ$367,1))</f>
        <v/>
      </c>
      <c r="R12">
        <f>IF(Q12="","",SMALL(INDEX(Calc!$B$2:$AO$367,Q12,0),7-INDEX(Calc!$AQ$2:$AQ$367,Q12)))</f>
        <v/>
      </c>
    </row>
    <row r="13">
      <c r="B13" s="71">
        <f>IF(R13="","",8)</f>
        <v/>
      </c>
      <c r="C13" s="75">
        <f>IF(R13="","",IF(INDEX('Recurring Schedule'!$C$6:$C$45,R13)="","",INDEX('Recurring Schedule'!$C$6:$C$45,R13)))</f>
        <v/>
      </c>
      <c r="D13" s="73">
        <f>IF(R13="","",IF(INDEX('Recurring Schedule'!$D$6:$D$45,R13)="","",INDEX('Recurring Schedule'!$D$6:$D$45,R13)))</f>
        <v/>
      </c>
      <c r="E13" s="76">
        <f>IF(Q13="","",INDEX(Calc!$A$2:$A$367,Q13))</f>
        <v/>
      </c>
      <c r="F13" s="72">
        <f>IF(OR(C13="",E13=""),"",E13-Setup!$D$7)</f>
        <v/>
      </c>
      <c r="G13" s="77">
        <f>IF(R13="","",IF(INDEX('Recurring Schedule'!$H$6:$H$45,R13)="","",INDEX('Recurring Schedule'!$H$6:$H$45,R13)))</f>
        <v/>
      </c>
      <c r="H13" s="77">
        <f>IF(R13="","",IF(INDEX('Recurring Schedule'!$I$6:$I$45,R13)="","",INDEX('Recurring Schedule'!$I$6:$I$45,R13)))</f>
        <v/>
      </c>
      <c r="I13" s="73">
        <f>IF(OR(G13="",H13=""),"",TRIM(IF(HOUR(H13-G13)&gt;0,HOUR(H13-G13)&amp;" hr ","")&amp;IF(MINUTE(H13-G13)&gt;0,MINUTE(H13-G13)&amp;" min","")))</f>
        <v/>
      </c>
      <c r="J13" s="66" t="n"/>
      <c r="K13" s="70" t="n"/>
      <c r="L13" s="73">
        <f>IF(R13="","",IF(INDEX('Recurring Schedule'!$J$6:$J$45,R13)="","",INDEX('Recurring Schedule'!$J$6:$J$45,R13)))</f>
        <v/>
      </c>
      <c r="M13" s="73">
        <f>IF(R13="","",IF(INDEX('Recurring Schedule'!$K$6:$K$45,R13)="","",INDEX('Recurring Schedule'!$K$6:$K$45,R13)))</f>
        <v/>
      </c>
      <c r="N13" s="73">
        <f>IF(R13="","",IF(INDEX('Recurring Schedule'!$L$6:$L$45,R13)="","",INDEX('Recurring Schedule'!$L$6:$L$45,R13)))</f>
        <v/>
      </c>
      <c r="O13" s="73">
        <f>IF(C13="","",IF(AND(OR(L13="1-Urgent",L13="2-High"),M13="✓"),"DO FIRST",IF(M13="✓","SCHEDULE",IF(OR(L13="1-Urgent",L13="2-High"),"DELEGATE","DELETE"))))</f>
        <v/>
      </c>
      <c r="P13" s="65" t="n"/>
      <c r="Q13">
        <f>IF(8&gt;Calc!$AQ$368,"",MATCH(7,Calc!$AQ$2:$AQ$367,1))</f>
        <v/>
      </c>
      <c r="R13">
        <f>IF(Q13="","",SMALL(INDEX(Calc!$B$2:$AO$367,Q13,0),8-INDEX(Calc!$AQ$2:$AQ$367,Q13)))</f>
        <v/>
      </c>
    </row>
    <row r="14">
      <c r="B14" s="64">
        <f>IF(R14="","",9)</f>
        <v/>
      </c>
      <c r="C14" s="37">
        <f>IF(R14="","",IF(INDEX('Recurring Schedule'!$C$6:$C$45,R14)="","",INDEX('Recurring Schedule'!$C$6:$C$45,R14)))</f>
        <v/>
      </c>
      <c r="D14" s="36">
        <f>IF(R14="","",IF(INDEX('Recurring Schedule'!$D$6:$D$45,R14)="","",INDEX('Recurring Schedule'!$D$6:$D$45,R14)))</f>
        <v/>
      </c>
      <c r="E14" s="38">
        <f>IF(Q14="","",INDEX(Calc!$A$2:$A$367,Q14))</f>
        <v/>
      </c>
      <c r="F14" s="68">
        <f>IF(OR(C14="",E14=""),"",E14-Setup!$D$7)</f>
        <v/>
      </c>
      <c r="G14" s="74">
        <f>IF(R14="","",IF(INDEX('Recurring Schedule'!$H$6:$H$45,R14)="","",INDEX('Recurring Schedule'!$H$6:$H$45,R14)))</f>
        <v/>
      </c>
      <c r="H14" s="74">
        <f>IF(R14="","",IF(INDEX('Recurring Schedule'!$I$6:$I$45,R14)="","",INDEX('Recurring Schedule'!$I$6:$I$45,R14)))</f>
        <v/>
      </c>
      <c r="I14" s="36">
        <f>IF(OR(G14="",H14=""),"",TRIM(IF(HOUR(H14-G14)&gt;0,HOUR(H14-G14)&amp;" hr ","")&amp;IF(MINUTE(H14-G14)&gt;0,MINUTE(H14-G14)&amp;" min","")))</f>
        <v/>
      </c>
      <c r="J14" s="66" t="n"/>
      <c r="K14" s="70" t="n"/>
      <c r="L14" s="36">
        <f>IF(R14="","",IF(INDEX('Recurring Schedule'!$J$6:$J$45,R14)="","",INDEX('Recurring Schedule'!$J$6:$J$45,R14)))</f>
        <v/>
      </c>
      <c r="M14" s="36">
        <f>IF(R14="","",IF(INDEX('Recurring Schedule'!$K$6:$K$45,R14)="","",INDEX('Recurring Schedule'!$K$6:$K$45,R14)))</f>
        <v/>
      </c>
      <c r="N14" s="36">
        <f>IF(R14="","",IF(INDEX('Recurring Schedule'!$L$6:$L$45,R14)="","",INDEX('Recurring Schedule'!$L$6:$L$45,R14)))</f>
        <v/>
      </c>
      <c r="O14" s="36">
        <f>IF(C14="","",IF(AND(OR(L14="1-Urgent",L14="2-High"),M14="✓"),"DO FIRST",IF(M14="✓","SCHEDULE",IF(OR(L14="1-Urgent",L14="2-High"),"DELEGATE","DELETE"))))</f>
        <v/>
      </c>
      <c r="P14" s="65" t="n"/>
      <c r="Q14">
        <f>IF(9&gt;Calc!$AQ$368,"",MATCH(8,Calc!$AQ$2:$AQ$367,1))</f>
        <v/>
      </c>
      <c r="R14">
        <f>IF(Q14="","",SMALL(INDEX(Calc!$B$2:$AO$367,Q14,0),9-INDEX(Calc!$AQ$2:$AQ$367,Q14)))</f>
        <v/>
      </c>
    </row>
    <row r="15">
      <c r="B15" s="71">
        <f>IF(R15="","",10)</f>
        <v/>
      </c>
      <c r="C15" s="75">
        <f>IF(R15="","",IF(INDEX('Recurring Schedule'!$C$6:$C$45,R15)="","",INDEX('Recurring Schedule'!$C$6:$C$45,R15)))</f>
        <v/>
      </c>
      <c r="D15" s="73">
        <f>IF(R15="","",IF(INDEX('Recurring Schedule'!$D$6:$D$45,R15)="","",INDEX('Recurring Schedule'!$D$6:$D$45,R15)))</f>
        <v/>
      </c>
      <c r="E15" s="76">
        <f>IF(Q15="","",INDEX(Calc!$A$2:$A$367,Q15))</f>
        <v/>
      </c>
      <c r="F15" s="72">
        <f>IF(OR(C15="",E15=""),"",E15-Setup!$D$7)</f>
        <v/>
      </c>
      <c r="G15" s="77">
        <f>IF(R15="","",IF(INDEX('Recurring Schedule'!$H$6:$H$45,R15)="","",INDEX('Recurring Schedule'!$H$6:$H$45,R15)))</f>
        <v/>
      </c>
      <c r="H15" s="77">
        <f>IF(R15="","",IF(INDEX('Recurring Schedule'!$I$6:$I$45,R15)="","",INDEX('Recurring Schedule'!$I$6:$I$45,R15)))</f>
        <v/>
      </c>
      <c r="I15" s="73">
        <f>IF(OR(G15="",H15=""),"",TRIM(IF(HOUR(H15-G15)&gt;0,HOUR(H15-G15)&amp;" hr ","")&amp;IF(MINUTE(H15-G15)&gt;0,MINUTE(H15-G15)&amp;" min","")))</f>
        <v/>
      </c>
      <c r="J15" s="66" t="n"/>
      <c r="K15" s="70" t="n"/>
      <c r="L15" s="73">
        <f>IF(R15="","",IF(INDEX('Recurring Schedule'!$J$6:$J$45,R15)="","",INDEX('Recurring Schedule'!$J$6:$J$45,R15)))</f>
        <v/>
      </c>
      <c r="M15" s="73">
        <f>IF(R15="","",IF(INDEX('Recurring Schedule'!$K$6:$K$45,R15)="","",INDEX('Recurring Schedule'!$K$6:$K$45,R15)))</f>
        <v/>
      </c>
      <c r="N15" s="73">
        <f>IF(R15="","",IF(INDEX('Recurring Schedule'!$L$6:$L$45,R15)="","",INDEX('Recurring Schedule'!$L$6:$L$45,R15)))</f>
        <v/>
      </c>
      <c r="O15" s="73">
        <f>IF(C15="","",IF(AND(OR(L15="1-Urgent",L15="2-High"),M15="✓"),"DO FIRST",IF(M15="✓","SCHEDULE",IF(OR(L15="1-Urgent",L15="2-High"),"DELEGATE","DELETE"))))</f>
        <v/>
      </c>
      <c r="P15" s="65" t="n"/>
      <c r="Q15">
        <f>IF(10&gt;Calc!$AQ$368,"",MATCH(9,Calc!$AQ$2:$AQ$367,1))</f>
        <v/>
      </c>
      <c r="R15">
        <f>IF(Q15="","",SMALL(INDEX(Calc!$B$2:$AO$367,Q15,0),10-INDEX(Calc!$AQ$2:$AQ$367,Q15)))</f>
        <v/>
      </c>
    </row>
    <row r="16">
      <c r="B16" s="64">
        <f>IF(R16="","",11)</f>
        <v/>
      </c>
      <c r="C16" s="37">
        <f>IF(R16="","",IF(INDEX('Recurring Schedule'!$C$6:$C$45,R16)="","",INDEX('Recurring Schedule'!$C$6:$C$45,R16)))</f>
        <v/>
      </c>
      <c r="D16" s="36">
        <f>IF(R16="","",IF(INDEX('Recurring Schedule'!$D$6:$D$45,R16)="","",INDEX('Recurring Schedule'!$D$6:$D$45,R16)))</f>
        <v/>
      </c>
      <c r="E16" s="38">
        <f>IF(Q16="","",INDEX(Calc!$A$2:$A$367,Q16))</f>
        <v/>
      </c>
      <c r="F16" s="68">
        <f>IF(OR(C16="",E16=""),"",E16-Setup!$D$7)</f>
        <v/>
      </c>
      <c r="G16" s="74">
        <f>IF(R16="","",IF(INDEX('Recurring Schedule'!$H$6:$H$45,R16)="","",INDEX('Recurring Schedule'!$H$6:$H$45,R16)))</f>
        <v/>
      </c>
      <c r="H16" s="74">
        <f>IF(R16="","",IF(INDEX('Recurring Schedule'!$I$6:$I$45,R16)="","",INDEX('Recurring Schedule'!$I$6:$I$45,R16)))</f>
        <v/>
      </c>
      <c r="I16" s="36">
        <f>IF(OR(G16="",H16=""),"",TRIM(IF(HOUR(H16-G16)&gt;0,HOUR(H16-G16)&amp;" hr ","")&amp;IF(MINUTE(H16-G16)&gt;0,MINUTE(H16-G16)&amp;" min","")))</f>
        <v/>
      </c>
      <c r="J16" s="66" t="n"/>
      <c r="K16" s="70" t="n"/>
      <c r="L16" s="36">
        <f>IF(R16="","",IF(INDEX('Recurring Schedule'!$J$6:$J$45,R16)="","",INDEX('Recurring Schedule'!$J$6:$J$45,R16)))</f>
        <v/>
      </c>
      <c r="M16" s="36">
        <f>IF(R16="","",IF(INDEX('Recurring Schedule'!$K$6:$K$45,R16)="","",INDEX('Recurring Schedule'!$K$6:$K$45,R16)))</f>
        <v/>
      </c>
      <c r="N16" s="36">
        <f>IF(R16="","",IF(INDEX('Recurring Schedule'!$L$6:$L$45,R16)="","",INDEX('Recurring Schedule'!$L$6:$L$45,R16)))</f>
        <v/>
      </c>
      <c r="O16" s="36">
        <f>IF(C16="","",IF(AND(OR(L16="1-Urgent",L16="2-High"),M16="✓"),"DO FIRST",IF(M16="✓","SCHEDULE",IF(OR(L16="1-Urgent",L16="2-High"),"DELEGATE","DELETE"))))</f>
        <v/>
      </c>
      <c r="P16" s="65" t="n"/>
      <c r="Q16">
        <f>IF(11&gt;Calc!$AQ$368,"",MATCH(10,Calc!$AQ$2:$AQ$367,1))</f>
        <v/>
      </c>
      <c r="R16">
        <f>IF(Q16="","",SMALL(INDEX(Calc!$B$2:$AO$367,Q16,0),11-INDEX(Calc!$AQ$2:$AQ$367,Q16)))</f>
        <v/>
      </c>
    </row>
    <row r="17">
      <c r="B17" s="71">
        <f>IF(R17="","",12)</f>
        <v/>
      </c>
      <c r="C17" s="75">
        <f>IF(R17="","",IF(INDEX('Recurring Schedule'!$C$6:$C$45,R17)="","",INDEX('Recurring Schedule'!$C$6:$C$45,R17)))</f>
        <v/>
      </c>
      <c r="D17" s="73">
        <f>IF(R17="","",IF(INDEX('Recurring Schedule'!$D$6:$D$45,R17)="","",INDEX('Recurring Schedule'!$D$6:$D$45,R17)))</f>
        <v/>
      </c>
      <c r="E17" s="76">
        <f>IF(Q17="","",INDEX(Calc!$A$2:$A$367,Q17))</f>
        <v/>
      </c>
      <c r="F17" s="72">
        <f>IF(OR(C17="",E17=""),"",E17-Setup!$D$7)</f>
        <v/>
      </c>
      <c r="G17" s="77">
        <f>IF(R17="","",IF(INDEX('Recurring Schedule'!$H$6:$H$45,R17)="","",INDEX('Recurring Schedule'!$H$6:$H$45,R17)))</f>
        <v/>
      </c>
      <c r="H17" s="77">
        <f>IF(R17="","",IF(INDEX('Recurring Schedule'!$I$6:$I$45,R17)="","",INDEX('Recurring Schedule'!$I$6:$I$45,R17)))</f>
        <v/>
      </c>
      <c r="I17" s="73">
        <f>IF(OR(G17="",H17=""),"",TRIM(IF(HOUR(H17-G17)&gt;0,HOUR(H17-G17)&amp;" hr ","")&amp;IF(MINUTE(H17-G17)&gt;0,MINUTE(H17-G17)&amp;" min","")))</f>
        <v/>
      </c>
      <c r="J17" s="66" t="n"/>
      <c r="K17" s="70" t="n"/>
      <c r="L17" s="73">
        <f>IF(R17="","",IF(INDEX('Recurring Schedule'!$J$6:$J$45,R17)="","",INDEX('Recurring Schedule'!$J$6:$J$45,R17)))</f>
        <v/>
      </c>
      <c r="M17" s="73">
        <f>IF(R17="","",IF(INDEX('Recurring Schedule'!$K$6:$K$45,R17)="","",INDEX('Recurring Schedule'!$K$6:$K$45,R17)))</f>
        <v/>
      </c>
      <c r="N17" s="73">
        <f>IF(R17="","",IF(INDEX('Recurring Schedule'!$L$6:$L$45,R17)="","",INDEX('Recurring Schedule'!$L$6:$L$45,R17)))</f>
        <v/>
      </c>
      <c r="O17" s="73">
        <f>IF(C17="","",IF(AND(OR(L17="1-Urgent",L17="2-High"),M17="✓"),"DO FIRST",IF(M17="✓","SCHEDULE",IF(OR(L17="1-Urgent",L17="2-High"),"DELEGATE","DELETE"))))</f>
        <v/>
      </c>
      <c r="P17" s="65" t="n"/>
      <c r="Q17">
        <f>IF(12&gt;Calc!$AQ$368,"",MATCH(11,Calc!$AQ$2:$AQ$367,1))</f>
        <v/>
      </c>
      <c r="R17">
        <f>IF(Q17="","",SMALL(INDEX(Calc!$B$2:$AO$367,Q17,0),12-INDEX(Calc!$AQ$2:$AQ$367,Q17)))</f>
        <v/>
      </c>
    </row>
    <row r="18">
      <c r="B18" s="64">
        <f>IF(R18="","",13)</f>
        <v/>
      </c>
      <c r="C18" s="37">
        <f>IF(R18="","",IF(INDEX('Recurring Schedule'!$C$6:$C$45,R18)="","",INDEX('Recurring Schedule'!$C$6:$C$45,R18)))</f>
        <v/>
      </c>
      <c r="D18" s="36">
        <f>IF(R18="","",IF(INDEX('Recurring Schedule'!$D$6:$D$45,R18)="","",INDEX('Recurring Schedule'!$D$6:$D$45,R18)))</f>
        <v/>
      </c>
      <c r="E18" s="38">
        <f>IF(Q18="","",INDEX(Calc!$A$2:$A$367,Q18))</f>
        <v/>
      </c>
      <c r="F18" s="68">
        <f>IF(OR(C18="",E18=""),"",E18-Setup!$D$7)</f>
        <v/>
      </c>
      <c r="G18" s="74">
        <f>IF(R18="","",IF(INDEX('Recurring Schedule'!$H$6:$H$45,R18)="","",INDEX('Recurring Schedule'!$H$6:$H$45,R18)))</f>
        <v/>
      </c>
      <c r="H18" s="74">
        <f>IF(R18="","",IF(INDEX('Recurring Schedule'!$I$6:$I$45,R18)="","",INDEX('Recurring Schedule'!$I$6:$I$45,R18)))</f>
        <v/>
      </c>
      <c r="I18" s="36">
        <f>IF(OR(G18="",H18=""),"",TRIM(IF(HOUR(H18-G18)&gt;0,HOUR(H18-G18)&amp;" hr ","")&amp;IF(MINUTE(H18-G18)&gt;0,MINUTE(H18-G18)&amp;" min","")))</f>
        <v/>
      </c>
      <c r="J18" s="66" t="n"/>
      <c r="K18" s="70" t="n"/>
      <c r="L18" s="36">
        <f>IF(R18="","",IF(INDEX('Recurring Schedule'!$J$6:$J$45,R18)="","",INDEX('Recurring Schedule'!$J$6:$J$45,R18)))</f>
        <v/>
      </c>
      <c r="M18" s="36">
        <f>IF(R18="","",IF(INDEX('Recurring Schedule'!$K$6:$K$45,R18)="","",INDEX('Recurring Schedule'!$K$6:$K$45,R18)))</f>
        <v/>
      </c>
      <c r="N18" s="36">
        <f>IF(R18="","",IF(INDEX('Recurring Schedule'!$L$6:$L$45,R18)="","",INDEX('Recurring Schedule'!$L$6:$L$45,R18)))</f>
        <v/>
      </c>
      <c r="O18" s="36">
        <f>IF(C18="","",IF(AND(OR(L18="1-Urgent",L18="2-High"),M18="✓"),"DO FIRST",IF(M18="✓","SCHEDULE",IF(OR(L18="1-Urgent",L18="2-High"),"DELEGATE","DELETE"))))</f>
        <v/>
      </c>
      <c r="P18" s="65" t="n"/>
      <c r="Q18">
        <f>IF(13&gt;Calc!$AQ$368,"",MATCH(12,Calc!$AQ$2:$AQ$367,1))</f>
        <v/>
      </c>
      <c r="R18">
        <f>IF(Q18="","",SMALL(INDEX(Calc!$B$2:$AO$367,Q18,0),13-INDEX(Calc!$AQ$2:$AQ$367,Q18)))</f>
        <v/>
      </c>
    </row>
    <row r="19">
      <c r="B19" s="71">
        <f>IF(R19="","",14)</f>
        <v/>
      </c>
      <c r="C19" s="75">
        <f>IF(R19="","",IF(INDEX('Recurring Schedule'!$C$6:$C$45,R19)="","",INDEX('Recurring Schedule'!$C$6:$C$45,R19)))</f>
        <v/>
      </c>
      <c r="D19" s="73">
        <f>IF(R19="","",IF(INDEX('Recurring Schedule'!$D$6:$D$45,R19)="","",INDEX('Recurring Schedule'!$D$6:$D$45,R19)))</f>
        <v/>
      </c>
      <c r="E19" s="76">
        <f>IF(Q19="","",INDEX(Calc!$A$2:$A$367,Q19))</f>
        <v/>
      </c>
      <c r="F19" s="72">
        <f>IF(OR(C19="",E19=""),"",E19-Setup!$D$7)</f>
        <v/>
      </c>
      <c r="G19" s="77">
        <f>IF(R19="","",IF(INDEX('Recurring Schedule'!$H$6:$H$45,R19)="","",INDEX('Recurring Schedule'!$H$6:$H$45,R19)))</f>
        <v/>
      </c>
      <c r="H19" s="77">
        <f>IF(R19="","",IF(INDEX('Recurring Schedule'!$I$6:$I$45,R19)="","",INDEX('Recurring Schedule'!$I$6:$I$45,R19)))</f>
        <v/>
      </c>
      <c r="I19" s="73">
        <f>IF(OR(G19="",H19=""),"",TRIM(IF(HOUR(H19-G19)&gt;0,HOUR(H19-G19)&amp;" hr ","")&amp;IF(MINUTE(H19-G19)&gt;0,MINUTE(H19-G19)&amp;" min","")))</f>
        <v/>
      </c>
      <c r="J19" s="66" t="n"/>
      <c r="K19" s="70" t="n"/>
      <c r="L19" s="73">
        <f>IF(R19="","",IF(INDEX('Recurring Schedule'!$J$6:$J$45,R19)="","",INDEX('Recurring Schedule'!$J$6:$J$45,R19)))</f>
        <v/>
      </c>
      <c r="M19" s="73">
        <f>IF(R19="","",IF(INDEX('Recurring Schedule'!$K$6:$K$45,R19)="","",INDEX('Recurring Schedule'!$K$6:$K$45,R19)))</f>
        <v/>
      </c>
      <c r="N19" s="73">
        <f>IF(R19="","",IF(INDEX('Recurring Schedule'!$L$6:$L$45,R19)="","",INDEX('Recurring Schedule'!$L$6:$L$45,R19)))</f>
        <v/>
      </c>
      <c r="O19" s="73">
        <f>IF(C19="","",IF(AND(OR(L19="1-Urgent",L19="2-High"),M19="✓"),"DO FIRST",IF(M19="✓","SCHEDULE",IF(OR(L19="1-Urgent",L19="2-High"),"DELEGATE","DELETE"))))</f>
        <v/>
      </c>
      <c r="P19" s="65" t="n"/>
      <c r="Q19">
        <f>IF(14&gt;Calc!$AQ$368,"",MATCH(13,Calc!$AQ$2:$AQ$367,1))</f>
        <v/>
      </c>
      <c r="R19">
        <f>IF(Q19="","",SMALL(INDEX(Calc!$B$2:$AO$367,Q19,0),14-INDEX(Calc!$AQ$2:$AQ$367,Q19)))</f>
        <v/>
      </c>
    </row>
    <row r="20">
      <c r="B20" s="64">
        <f>IF(R20="","",15)</f>
        <v/>
      </c>
      <c r="C20" s="37">
        <f>IF(R20="","",IF(INDEX('Recurring Schedule'!$C$6:$C$45,R20)="","",INDEX('Recurring Schedule'!$C$6:$C$45,R20)))</f>
        <v/>
      </c>
      <c r="D20" s="36">
        <f>IF(R20="","",IF(INDEX('Recurring Schedule'!$D$6:$D$45,R20)="","",INDEX('Recurring Schedule'!$D$6:$D$45,R20)))</f>
        <v/>
      </c>
      <c r="E20" s="38">
        <f>IF(Q20="","",INDEX(Calc!$A$2:$A$367,Q20))</f>
        <v/>
      </c>
      <c r="F20" s="68">
        <f>IF(OR(C20="",E20=""),"",E20-Setup!$D$7)</f>
        <v/>
      </c>
      <c r="G20" s="74">
        <f>IF(R20="","",IF(INDEX('Recurring Schedule'!$H$6:$H$45,R20)="","",INDEX('Recurring Schedule'!$H$6:$H$45,R20)))</f>
        <v/>
      </c>
      <c r="H20" s="74">
        <f>IF(R20="","",IF(INDEX('Recurring Schedule'!$I$6:$I$45,R20)="","",INDEX('Recurring Schedule'!$I$6:$I$45,R20)))</f>
        <v/>
      </c>
      <c r="I20" s="36">
        <f>IF(OR(G20="",H20=""),"",TRIM(IF(HOUR(H20-G20)&gt;0,HOUR(H20-G20)&amp;" hr ","")&amp;IF(MINUTE(H20-G20)&gt;0,MINUTE(H20-G20)&amp;" min","")))</f>
        <v/>
      </c>
      <c r="J20" s="66" t="n"/>
      <c r="K20" s="70" t="n"/>
      <c r="L20" s="36">
        <f>IF(R20="","",IF(INDEX('Recurring Schedule'!$J$6:$J$45,R20)="","",INDEX('Recurring Schedule'!$J$6:$J$45,R20)))</f>
        <v/>
      </c>
      <c r="M20" s="36">
        <f>IF(R20="","",IF(INDEX('Recurring Schedule'!$K$6:$K$45,R20)="","",INDEX('Recurring Schedule'!$K$6:$K$45,R20)))</f>
        <v/>
      </c>
      <c r="N20" s="36">
        <f>IF(R20="","",IF(INDEX('Recurring Schedule'!$L$6:$L$45,R20)="","",INDEX('Recurring Schedule'!$L$6:$L$45,R20)))</f>
        <v/>
      </c>
      <c r="O20" s="36">
        <f>IF(C20="","",IF(AND(OR(L20="1-Urgent",L20="2-High"),M20="✓"),"DO FIRST",IF(M20="✓","SCHEDULE",IF(OR(L20="1-Urgent",L20="2-High"),"DELEGATE","DELETE"))))</f>
        <v/>
      </c>
      <c r="P20" s="65" t="n"/>
      <c r="Q20">
        <f>IF(15&gt;Calc!$AQ$368,"",MATCH(14,Calc!$AQ$2:$AQ$367,1))</f>
        <v/>
      </c>
      <c r="R20">
        <f>IF(Q20="","",SMALL(INDEX(Calc!$B$2:$AO$367,Q20,0),15-INDEX(Calc!$AQ$2:$AQ$367,Q20)))</f>
        <v/>
      </c>
    </row>
    <row r="21">
      <c r="B21" s="71">
        <f>IF(R21="","",16)</f>
        <v/>
      </c>
      <c r="C21" s="75">
        <f>IF(R21="","",IF(INDEX('Recurring Schedule'!$C$6:$C$45,R21)="","",INDEX('Recurring Schedule'!$C$6:$C$45,R21)))</f>
        <v/>
      </c>
      <c r="D21" s="73">
        <f>IF(R21="","",IF(INDEX('Recurring Schedule'!$D$6:$D$45,R21)="","",INDEX('Recurring Schedule'!$D$6:$D$45,R21)))</f>
        <v/>
      </c>
      <c r="E21" s="76">
        <f>IF(Q21="","",INDEX(Calc!$A$2:$A$367,Q21))</f>
        <v/>
      </c>
      <c r="F21" s="72">
        <f>IF(OR(C21="",E21=""),"",E21-Setup!$D$7)</f>
        <v/>
      </c>
      <c r="G21" s="77">
        <f>IF(R21="","",IF(INDEX('Recurring Schedule'!$H$6:$H$45,R21)="","",INDEX('Recurring Schedule'!$H$6:$H$45,R21)))</f>
        <v/>
      </c>
      <c r="H21" s="77">
        <f>IF(R21="","",IF(INDEX('Recurring Schedule'!$I$6:$I$45,R21)="","",INDEX('Recurring Schedule'!$I$6:$I$45,R21)))</f>
        <v/>
      </c>
      <c r="I21" s="73">
        <f>IF(OR(G21="",H21=""),"",TRIM(IF(HOUR(H21-G21)&gt;0,HOUR(H21-G21)&amp;" hr ","")&amp;IF(MINUTE(H21-G21)&gt;0,MINUTE(H21-G21)&amp;" min","")))</f>
        <v/>
      </c>
      <c r="J21" s="66" t="n"/>
      <c r="K21" s="70" t="n"/>
      <c r="L21" s="73">
        <f>IF(R21="","",IF(INDEX('Recurring Schedule'!$J$6:$J$45,R21)="","",INDEX('Recurring Schedule'!$J$6:$J$45,R21)))</f>
        <v/>
      </c>
      <c r="M21" s="73">
        <f>IF(R21="","",IF(INDEX('Recurring Schedule'!$K$6:$K$45,R21)="","",INDEX('Recurring Schedule'!$K$6:$K$45,R21)))</f>
        <v/>
      </c>
      <c r="N21" s="73">
        <f>IF(R21="","",IF(INDEX('Recurring Schedule'!$L$6:$L$45,R21)="","",INDEX('Recurring Schedule'!$L$6:$L$45,R21)))</f>
        <v/>
      </c>
      <c r="O21" s="73">
        <f>IF(C21="","",IF(AND(OR(L21="1-Urgent",L21="2-High"),M21="✓"),"DO FIRST",IF(M21="✓","SCHEDULE",IF(OR(L21="1-Urgent",L21="2-High"),"DELEGATE","DELETE"))))</f>
        <v/>
      </c>
      <c r="P21" s="65" t="n"/>
      <c r="Q21">
        <f>IF(16&gt;Calc!$AQ$368,"",MATCH(15,Calc!$AQ$2:$AQ$367,1))</f>
        <v/>
      </c>
      <c r="R21">
        <f>IF(Q21="","",SMALL(INDEX(Calc!$B$2:$AO$367,Q21,0),16-INDEX(Calc!$AQ$2:$AQ$367,Q21)))</f>
        <v/>
      </c>
    </row>
    <row r="22">
      <c r="B22" s="64">
        <f>IF(R22="","",17)</f>
        <v/>
      </c>
      <c r="C22" s="37">
        <f>IF(R22="","",IF(INDEX('Recurring Schedule'!$C$6:$C$45,R22)="","",INDEX('Recurring Schedule'!$C$6:$C$45,R22)))</f>
        <v/>
      </c>
      <c r="D22" s="36">
        <f>IF(R22="","",IF(INDEX('Recurring Schedule'!$D$6:$D$45,R22)="","",INDEX('Recurring Schedule'!$D$6:$D$45,R22)))</f>
        <v/>
      </c>
      <c r="E22" s="38">
        <f>IF(Q22="","",INDEX(Calc!$A$2:$A$367,Q22))</f>
        <v/>
      </c>
      <c r="F22" s="68">
        <f>IF(OR(C22="",E22=""),"",E22-Setup!$D$7)</f>
        <v/>
      </c>
      <c r="G22" s="74">
        <f>IF(R22="","",IF(INDEX('Recurring Schedule'!$H$6:$H$45,R22)="","",INDEX('Recurring Schedule'!$H$6:$H$45,R22)))</f>
        <v/>
      </c>
      <c r="H22" s="74">
        <f>IF(R22="","",IF(INDEX('Recurring Schedule'!$I$6:$I$45,R22)="","",INDEX('Recurring Schedule'!$I$6:$I$45,R22)))</f>
        <v/>
      </c>
      <c r="I22" s="36">
        <f>IF(OR(G22="",H22=""),"",TRIM(IF(HOUR(H22-G22)&gt;0,HOUR(H22-G22)&amp;" hr ","")&amp;IF(MINUTE(H22-G22)&gt;0,MINUTE(H22-G22)&amp;" min","")))</f>
        <v/>
      </c>
      <c r="J22" s="66" t="n"/>
      <c r="K22" s="70" t="n"/>
      <c r="L22" s="36">
        <f>IF(R22="","",IF(INDEX('Recurring Schedule'!$J$6:$J$45,R22)="","",INDEX('Recurring Schedule'!$J$6:$J$45,R22)))</f>
        <v/>
      </c>
      <c r="M22" s="36">
        <f>IF(R22="","",IF(INDEX('Recurring Schedule'!$K$6:$K$45,R22)="","",INDEX('Recurring Schedule'!$K$6:$K$45,R22)))</f>
        <v/>
      </c>
      <c r="N22" s="36">
        <f>IF(R22="","",IF(INDEX('Recurring Schedule'!$L$6:$L$45,R22)="","",INDEX('Recurring Schedule'!$L$6:$L$45,R22)))</f>
        <v/>
      </c>
      <c r="O22" s="36">
        <f>IF(C22="","",IF(AND(OR(L22="1-Urgent",L22="2-High"),M22="✓"),"DO FIRST",IF(M22="✓","SCHEDULE",IF(OR(L22="1-Urgent",L22="2-High"),"DELEGATE","DELETE"))))</f>
        <v/>
      </c>
      <c r="P22" s="65" t="n"/>
      <c r="Q22">
        <f>IF(17&gt;Calc!$AQ$368,"",MATCH(16,Calc!$AQ$2:$AQ$367,1))</f>
        <v/>
      </c>
      <c r="R22">
        <f>IF(Q22="","",SMALL(INDEX(Calc!$B$2:$AO$367,Q22,0),17-INDEX(Calc!$AQ$2:$AQ$367,Q22)))</f>
        <v/>
      </c>
    </row>
    <row r="23">
      <c r="B23" s="71">
        <f>IF(R23="","",18)</f>
        <v/>
      </c>
      <c r="C23" s="75">
        <f>IF(R23="","",IF(INDEX('Recurring Schedule'!$C$6:$C$45,R23)="","",INDEX('Recurring Schedule'!$C$6:$C$45,R23)))</f>
        <v/>
      </c>
      <c r="D23" s="73">
        <f>IF(R23="","",IF(INDEX('Recurring Schedule'!$D$6:$D$45,R23)="","",INDEX('Recurring Schedule'!$D$6:$D$45,R23)))</f>
        <v/>
      </c>
      <c r="E23" s="76">
        <f>IF(Q23="","",INDEX(Calc!$A$2:$A$367,Q23))</f>
        <v/>
      </c>
      <c r="F23" s="72">
        <f>IF(OR(C23="",E23=""),"",E23-Setup!$D$7)</f>
        <v/>
      </c>
      <c r="G23" s="77">
        <f>IF(R23="","",IF(INDEX('Recurring Schedule'!$H$6:$H$45,R23)="","",INDEX('Recurring Schedule'!$H$6:$H$45,R23)))</f>
        <v/>
      </c>
      <c r="H23" s="77">
        <f>IF(R23="","",IF(INDEX('Recurring Schedule'!$I$6:$I$45,R23)="","",INDEX('Recurring Schedule'!$I$6:$I$45,R23)))</f>
        <v/>
      </c>
      <c r="I23" s="73">
        <f>IF(OR(G23="",H23=""),"",TRIM(IF(HOUR(H23-G23)&gt;0,HOUR(H23-G23)&amp;" hr ","")&amp;IF(MINUTE(H23-G23)&gt;0,MINUTE(H23-G23)&amp;" min","")))</f>
        <v/>
      </c>
      <c r="J23" s="66" t="n"/>
      <c r="K23" s="70" t="n"/>
      <c r="L23" s="73">
        <f>IF(R23="","",IF(INDEX('Recurring Schedule'!$J$6:$J$45,R23)="","",INDEX('Recurring Schedule'!$J$6:$J$45,R23)))</f>
        <v/>
      </c>
      <c r="M23" s="73">
        <f>IF(R23="","",IF(INDEX('Recurring Schedule'!$K$6:$K$45,R23)="","",INDEX('Recurring Schedule'!$K$6:$K$45,R23)))</f>
        <v/>
      </c>
      <c r="N23" s="73">
        <f>IF(R23="","",IF(INDEX('Recurring Schedule'!$L$6:$L$45,R23)="","",INDEX('Recurring Schedule'!$L$6:$L$45,R23)))</f>
        <v/>
      </c>
      <c r="O23" s="73">
        <f>IF(C23="","",IF(AND(OR(L23="1-Urgent",L23="2-High"),M23="✓"),"DO FIRST",IF(M23="✓","SCHEDULE",IF(OR(L23="1-Urgent",L23="2-High"),"DELEGATE","DELETE"))))</f>
        <v/>
      </c>
      <c r="P23" s="65" t="n"/>
      <c r="Q23">
        <f>IF(18&gt;Calc!$AQ$368,"",MATCH(17,Calc!$AQ$2:$AQ$367,1))</f>
        <v/>
      </c>
      <c r="R23">
        <f>IF(Q23="","",SMALL(INDEX(Calc!$B$2:$AO$367,Q23,0),18-INDEX(Calc!$AQ$2:$AQ$367,Q23)))</f>
        <v/>
      </c>
    </row>
    <row r="24">
      <c r="B24" s="64">
        <f>IF(R24="","",19)</f>
        <v/>
      </c>
      <c r="C24" s="37">
        <f>IF(R24="","",IF(INDEX('Recurring Schedule'!$C$6:$C$45,R24)="","",INDEX('Recurring Schedule'!$C$6:$C$45,R24)))</f>
        <v/>
      </c>
      <c r="D24" s="36">
        <f>IF(R24="","",IF(INDEX('Recurring Schedule'!$D$6:$D$45,R24)="","",INDEX('Recurring Schedule'!$D$6:$D$45,R24)))</f>
        <v/>
      </c>
      <c r="E24" s="38">
        <f>IF(Q24="","",INDEX(Calc!$A$2:$A$367,Q24))</f>
        <v/>
      </c>
      <c r="F24" s="68">
        <f>IF(OR(C24="",E24=""),"",E24-Setup!$D$7)</f>
        <v/>
      </c>
      <c r="G24" s="74">
        <f>IF(R24="","",IF(INDEX('Recurring Schedule'!$H$6:$H$45,R24)="","",INDEX('Recurring Schedule'!$H$6:$H$45,R24)))</f>
        <v/>
      </c>
      <c r="H24" s="74">
        <f>IF(R24="","",IF(INDEX('Recurring Schedule'!$I$6:$I$45,R24)="","",INDEX('Recurring Schedule'!$I$6:$I$45,R24)))</f>
        <v/>
      </c>
      <c r="I24" s="36">
        <f>IF(OR(G24="",H24=""),"",TRIM(IF(HOUR(H24-G24)&gt;0,HOUR(H24-G24)&amp;" hr ","")&amp;IF(MINUTE(H24-G24)&gt;0,MINUTE(H24-G24)&amp;" min","")))</f>
        <v/>
      </c>
      <c r="J24" s="66" t="n"/>
      <c r="K24" s="70" t="n"/>
      <c r="L24" s="36">
        <f>IF(R24="","",IF(INDEX('Recurring Schedule'!$J$6:$J$45,R24)="","",INDEX('Recurring Schedule'!$J$6:$J$45,R24)))</f>
        <v/>
      </c>
      <c r="M24" s="36">
        <f>IF(R24="","",IF(INDEX('Recurring Schedule'!$K$6:$K$45,R24)="","",INDEX('Recurring Schedule'!$K$6:$K$45,R24)))</f>
        <v/>
      </c>
      <c r="N24" s="36">
        <f>IF(R24="","",IF(INDEX('Recurring Schedule'!$L$6:$L$45,R24)="","",INDEX('Recurring Schedule'!$L$6:$L$45,R24)))</f>
        <v/>
      </c>
      <c r="O24" s="36">
        <f>IF(C24="","",IF(AND(OR(L24="1-Urgent",L24="2-High"),M24="✓"),"DO FIRST",IF(M24="✓","SCHEDULE",IF(OR(L24="1-Urgent",L24="2-High"),"DELEGATE","DELETE"))))</f>
        <v/>
      </c>
      <c r="P24" s="65" t="n"/>
      <c r="Q24">
        <f>IF(19&gt;Calc!$AQ$368,"",MATCH(18,Calc!$AQ$2:$AQ$367,1))</f>
        <v/>
      </c>
      <c r="R24">
        <f>IF(Q24="","",SMALL(INDEX(Calc!$B$2:$AO$367,Q24,0),19-INDEX(Calc!$AQ$2:$AQ$367,Q24)))</f>
        <v/>
      </c>
    </row>
    <row r="25">
      <c r="B25" s="71">
        <f>IF(R25="","",20)</f>
        <v/>
      </c>
      <c r="C25" s="75">
        <f>IF(R25="","",IF(INDEX('Recurring Schedule'!$C$6:$C$45,R25)="","",INDEX('Recurring Schedule'!$C$6:$C$45,R25)))</f>
        <v/>
      </c>
      <c r="D25" s="73">
        <f>IF(R25="","",IF(INDEX('Recurring Schedule'!$D$6:$D$45,R25)="","",INDEX('Recurring Schedule'!$D$6:$D$45,R25)))</f>
        <v/>
      </c>
      <c r="E25" s="76">
        <f>IF(Q25="","",INDEX(Calc!$A$2:$A$367,Q25))</f>
        <v/>
      </c>
      <c r="F25" s="72">
        <f>IF(OR(C25="",E25=""),"",E25-Setup!$D$7)</f>
        <v/>
      </c>
      <c r="G25" s="77">
        <f>IF(R25="","",IF(INDEX('Recurring Schedule'!$H$6:$H$45,R25)="","",INDEX('Recurring Schedule'!$H$6:$H$45,R25)))</f>
        <v/>
      </c>
      <c r="H25" s="77">
        <f>IF(R25="","",IF(INDEX('Recurring Schedule'!$I$6:$I$45,R25)="","",INDEX('Recurring Schedule'!$I$6:$I$45,R25)))</f>
        <v/>
      </c>
      <c r="I25" s="73">
        <f>IF(OR(G25="",H25=""),"",TRIM(IF(HOUR(H25-G25)&gt;0,HOUR(H25-G25)&amp;" hr ","")&amp;IF(MINUTE(H25-G25)&gt;0,MINUTE(H25-G25)&amp;" min","")))</f>
        <v/>
      </c>
      <c r="J25" s="66" t="n"/>
      <c r="K25" s="70" t="n"/>
      <c r="L25" s="73">
        <f>IF(R25="","",IF(INDEX('Recurring Schedule'!$J$6:$J$45,R25)="","",INDEX('Recurring Schedule'!$J$6:$J$45,R25)))</f>
        <v/>
      </c>
      <c r="M25" s="73">
        <f>IF(R25="","",IF(INDEX('Recurring Schedule'!$K$6:$K$45,R25)="","",INDEX('Recurring Schedule'!$K$6:$K$45,R25)))</f>
        <v/>
      </c>
      <c r="N25" s="73">
        <f>IF(R25="","",IF(INDEX('Recurring Schedule'!$L$6:$L$45,R25)="","",INDEX('Recurring Schedule'!$L$6:$L$45,R25)))</f>
        <v/>
      </c>
      <c r="O25" s="73">
        <f>IF(C25="","",IF(AND(OR(L25="1-Urgent",L25="2-High"),M25="✓"),"DO FIRST",IF(M25="✓","SCHEDULE",IF(OR(L25="1-Urgent",L25="2-High"),"DELEGATE","DELETE"))))</f>
        <v/>
      </c>
      <c r="P25" s="65" t="n"/>
      <c r="Q25">
        <f>IF(20&gt;Calc!$AQ$368,"",MATCH(19,Calc!$AQ$2:$AQ$367,1))</f>
        <v/>
      </c>
      <c r="R25">
        <f>IF(Q25="","",SMALL(INDEX(Calc!$B$2:$AO$367,Q25,0),20-INDEX(Calc!$AQ$2:$AQ$367,Q25)))</f>
        <v/>
      </c>
    </row>
    <row r="26">
      <c r="B26" s="64">
        <f>IF(R26="","",21)</f>
        <v/>
      </c>
      <c r="C26" s="37">
        <f>IF(R26="","",IF(INDEX('Recurring Schedule'!$C$6:$C$45,R26)="","",INDEX('Recurring Schedule'!$C$6:$C$45,R26)))</f>
        <v/>
      </c>
      <c r="D26" s="36">
        <f>IF(R26="","",IF(INDEX('Recurring Schedule'!$D$6:$D$45,R26)="","",INDEX('Recurring Schedule'!$D$6:$D$45,R26)))</f>
        <v/>
      </c>
      <c r="E26" s="38">
        <f>IF(Q26="","",INDEX(Calc!$A$2:$A$367,Q26))</f>
        <v/>
      </c>
      <c r="F26" s="68">
        <f>IF(OR(C26="",E26=""),"",E26-Setup!$D$7)</f>
        <v/>
      </c>
      <c r="G26" s="74">
        <f>IF(R26="","",IF(INDEX('Recurring Schedule'!$H$6:$H$45,R26)="","",INDEX('Recurring Schedule'!$H$6:$H$45,R26)))</f>
        <v/>
      </c>
      <c r="H26" s="74">
        <f>IF(R26="","",IF(INDEX('Recurring Schedule'!$I$6:$I$45,R26)="","",INDEX('Recurring Schedule'!$I$6:$I$45,R26)))</f>
        <v/>
      </c>
      <c r="I26" s="36">
        <f>IF(OR(G26="",H26=""),"",TRIM(IF(HOUR(H26-G26)&gt;0,HOUR(H26-G26)&amp;" hr ","")&amp;IF(MINUTE(H26-G26)&gt;0,MINUTE(H26-G26)&amp;" min","")))</f>
        <v/>
      </c>
      <c r="J26" s="66" t="n"/>
      <c r="K26" s="70" t="n"/>
      <c r="L26" s="36">
        <f>IF(R26="","",IF(INDEX('Recurring Schedule'!$J$6:$J$45,R26)="","",INDEX('Recurring Schedule'!$J$6:$J$45,R26)))</f>
        <v/>
      </c>
      <c r="M26" s="36">
        <f>IF(R26="","",IF(INDEX('Recurring Schedule'!$K$6:$K$45,R26)="","",INDEX('Recurring Schedule'!$K$6:$K$45,R26)))</f>
        <v/>
      </c>
      <c r="N26" s="36">
        <f>IF(R26="","",IF(INDEX('Recurring Schedule'!$L$6:$L$45,R26)="","",INDEX('Recurring Schedule'!$L$6:$L$45,R26)))</f>
        <v/>
      </c>
      <c r="O26" s="36">
        <f>IF(C26="","",IF(AND(OR(L26="1-Urgent",L26="2-High"),M26="✓"),"DO FIRST",IF(M26="✓","SCHEDULE",IF(OR(L26="1-Urgent",L26="2-High"),"DELEGATE","DELETE"))))</f>
        <v/>
      </c>
      <c r="P26" s="65" t="n"/>
      <c r="Q26">
        <f>IF(21&gt;Calc!$AQ$368,"",MATCH(20,Calc!$AQ$2:$AQ$367,1))</f>
        <v/>
      </c>
      <c r="R26">
        <f>IF(Q26="","",SMALL(INDEX(Calc!$B$2:$AO$367,Q26,0),21-INDEX(Calc!$AQ$2:$AQ$367,Q26)))</f>
        <v/>
      </c>
    </row>
    <row r="27">
      <c r="B27" s="71">
        <f>IF(R27="","",22)</f>
        <v/>
      </c>
      <c r="C27" s="75">
        <f>IF(R27="","",IF(INDEX('Recurring Schedule'!$C$6:$C$45,R27)="","",INDEX('Recurring Schedule'!$C$6:$C$45,R27)))</f>
        <v/>
      </c>
      <c r="D27" s="73">
        <f>IF(R27="","",IF(INDEX('Recurring Schedule'!$D$6:$D$45,R27)="","",INDEX('Recurring Schedule'!$D$6:$D$45,R27)))</f>
        <v/>
      </c>
      <c r="E27" s="76">
        <f>IF(Q27="","",INDEX(Calc!$A$2:$A$367,Q27))</f>
        <v/>
      </c>
      <c r="F27" s="72">
        <f>IF(OR(C27="",E27=""),"",E27-Setup!$D$7)</f>
        <v/>
      </c>
      <c r="G27" s="77">
        <f>IF(R27="","",IF(INDEX('Recurring Schedule'!$H$6:$H$45,R27)="","",INDEX('Recurring Schedule'!$H$6:$H$45,R27)))</f>
        <v/>
      </c>
      <c r="H27" s="77">
        <f>IF(R27="","",IF(INDEX('Recurring Schedule'!$I$6:$I$45,R27)="","",INDEX('Recurring Schedule'!$I$6:$I$45,R27)))</f>
        <v/>
      </c>
      <c r="I27" s="73">
        <f>IF(OR(G27="",H27=""),"",TRIM(IF(HOUR(H27-G27)&gt;0,HOUR(H27-G27)&amp;" hr ","")&amp;IF(MINUTE(H27-G27)&gt;0,MINUTE(H27-G27)&amp;" min","")))</f>
        <v/>
      </c>
      <c r="J27" s="66" t="n"/>
      <c r="K27" s="70" t="n"/>
      <c r="L27" s="73">
        <f>IF(R27="","",IF(INDEX('Recurring Schedule'!$J$6:$J$45,R27)="","",INDEX('Recurring Schedule'!$J$6:$J$45,R27)))</f>
        <v/>
      </c>
      <c r="M27" s="73">
        <f>IF(R27="","",IF(INDEX('Recurring Schedule'!$K$6:$K$45,R27)="","",INDEX('Recurring Schedule'!$K$6:$K$45,R27)))</f>
        <v/>
      </c>
      <c r="N27" s="73">
        <f>IF(R27="","",IF(INDEX('Recurring Schedule'!$L$6:$L$45,R27)="","",INDEX('Recurring Schedule'!$L$6:$L$45,R27)))</f>
        <v/>
      </c>
      <c r="O27" s="73">
        <f>IF(C27="","",IF(AND(OR(L27="1-Urgent",L27="2-High"),M27="✓"),"DO FIRST",IF(M27="✓","SCHEDULE",IF(OR(L27="1-Urgent",L27="2-High"),"DELEGATE","DELETE"))))</f>
        <v/>
      </c>
      <c r="P27" s="65" t="n"/>
      <c r="Q27">
        <f>IF(22&gt;Calc!$AQ$368,"",MATCH(21,Calc!$AQ$2:$AQ$367,1))</f>
        <v/>
      </c>
      <c r="R27">
        <f>IF(Q27="","",SMALL(INDEX(Calc!$B$2:$AO$367,Q27,0),22-INDEX(Calc!$AQ$2:$AQ$367,Q27)))</f>
        <v/>
      </c>
    </row>
    <row r="28">
      <c r="B28" s="64">
        <f>IF(R28="","",23)</f>
        <v/>
      </c>
      <c r="C28" s="37">
        <f>IF(R28="","",IF(INDEX('Recurring Schedule'!$C$6:$C$45,R28)="","",INDEX('Recurring Schedule'!$C$6:$C$45,R28)))</f>
        <v/>
      </c>
      <c r="D28" s="36">
        <f>IF(R28="","",IF(INDEX('Recurring Schedule'!$D$6:$D$45,R28)="","",INDEX('Recurring Schedule'!$D$6:$D$45,R28)))</f>
        <v/>
      </c>
      <c r="E28" s="38">
        <f>IF(Q28="","",INDEX(Calc!$A$2:$A$367,Q28))</f>
        <v/>
      </c>
      <c r="F28" s="68">
        <f>IF(OR(C28="",E28=""),"",E28-Setup!$D$7)</f>
        <v/>
      </c>
      <c r="G28" s="74">
        <f>IF(R28="","",IF(INDEX('Recurring Schedule'!$H$6:$H$45,R28)="","",INDEX('Recurring Schedule'!$H$6:$H$45,R28)))</f>
        <v/>
      </c>
      <c r="H28" s="74">
        <f>IF(R28="","",IF(INDEX('Recurring Schedule'!$I$6:$I$45,R28)="","",INDEX('Recurring Schedule'!$I$6:$I$45,R28)))</f>
        <v/>
      </c>
      <c r="I28" s="36">
        <f>IF(OR(G28="",H28=""),"",TRIM(IF(HOUR(H28-G28)&gt;0,HOUR(H28-G28)&amp;" hr ","")&amp;IF(MINUTE(H28-G28)&gt;0,MINUTE(H28-G28)&amp;" min","")))</f>
        <v/>
      </c>
      <c r="J28" s="66" t="n"/>
      <c r="K28" s="70" t="n"/>
      <c r="L28" s="36">
        <f>IF(R28="","",IF(INDEX('Recurring Schedule'!$J$6:$J$45,R28)="","",INDEX('Recurring Schedule'!$J$6:$J$45,R28)))</f>
        <v/>
      </c>
      <c r="M28" s="36">
        <f>IF(R28="","",IF(INDEX('Recurring Schedule'!$K$6:$K$45,R28)="","",INDEX('Recurring Schedule'!$K$6:$K$45,R28)))</f>
        <v/>
      </c>
      <c r="N28" s="36">
        <f>IF(R28="","",IF(INDEX('Recurring Schedule'!$L$6:$L$45,R28)="","",INDEX('Recurring Schedule'!$L$6:$L$45,R28)))</f>
        <v/>
      </c>
      <c r="O28" s="36">
        <f>IF(C28="","",IF(AND(OR(L28="1-Urgent",L28="2-High"),M28="✓"),"DO FIRST",IF(M28="✓","SCHEDULE",IF(OR(L28="1-Urgent",L28="2-High"),"DELEGATE","DELETE"))))</f>
        <v/>
      </c>
      <c r="P28" s="65" t="n"/>
      <c r="Q28">
        <f>IF(23&gt;Calc!$AQ$368,"",MATCH(22,Calc!$AQ$2:$AQ$367,1))</f>
        <v/>
      </c>
      <c r="R28">
        <f>IF(Q28="","",SMALL(INDEX(Calc!$B$2:$AO$367,Q28,0),23-INDEX(Calc!$AQ$2:$AQ$367,Q28)))</f>
        <v/>
      </c>
    </row>
    <row r="29">
      <c r="B29" s="71">
        <f>IF(R29="","",24)</f>
        <v/>
      </c>
      <c r="C29" s="75">
        <f>IF(R29="","",IF(INDEX('Recurring Schedule'!$C$6:$C$45,R29)="","",INDEX('Recurring Schedule'!$C$6:$C$45,R29)))</f>
        <v/>
      </c>
      <c r="D29" s="73">
        <f>IF(R29="","",IF(INDEX('Recurring Schedule'!$D$6:$D$45,R29)="","",INDEX('Recurring Schedule'!$D$6:$D$45,R29)))</f>
        <v/>
      </c>
      <c r="E29" s="76">
        <f>IF(Q29="","",INDEX(Calc!$A$2:$A$367,Q29))</f>
        <v/>
      </c>
      <c r="F29" s="72">
        <f>IF(OR(C29="",E29=""),"",E29-Setup!$D$7)</f>
        <v/>
      </c>
      <c r="G29" s="77">
        <f>IF(R29="","",IF(INDEX('Recurring Schedule'!$H$6:$H$45,R29)="","",INDEX('Recurring Schedule'!$H$6:$H$45,R29)))</f>
        <v/>
      </c>
      <c r="H29" s="77">
        <f>IF(R29="","",IF(INDEX('Recurring Schedule'!$I$6:$I$45,R29)="","",INDEX('Recurring Schedule'!$I$6:$I$45,R29)))</f>
        <v/>
      </c>
      <c r="I29" s="73">
        <f>IF(OR(G29="",H29=""),"",TRIM(IF(HOUR(H29-G29)&gt;0,HOUR(H29-G29)&amp;" hr ","")&amp;IF(MINUTE(H29-G29)&gt;0,MINUTE(H29-G29)&amp;" min","")))</f>
        <v/>
      </c>
      <c r="J29" s="66" t="n"/>
      <c r="K29" s="70" t="n"/>
      <c r="L29" s="73">
        <f>IF(R29="","",IF(INDEX('Recurring Schedule'!$J$6:$J$45,R29)="","",INDEX('Recurring Schedule'!$J$6:$J$45,R29)))</f>
        <v/>
      </c>
      <c r="M29" s="73">
        <f>IF(R29="","",IF(INDEX('Recurring Schedule'!$K$6:$K$45,R29)="","",INDEX('Recurring Schedule'!$K$6:$K$45,R29)))</f>
        <v/>
      </c>
      <c r="N29" s="73">
        <f>IF(R29="","",IF(INDEX('Recurring Schedule'!$L$6:$L$45,R29)="","",INDEX('Recurring Schedule'!$L$6:$L$45,R29)))</f>
        <v/>
      </c>
      <c r="O29" s="73">
        <f>IF(C29="","",IF(AND(OR(L29="1-Urgent",L29="2-High"),M29="✓"),"DO FIRST",IF(M29="✓","SCHEDULE",IF(OR(L29="1-Urgent",L29="2-High"),"DELEGATE","DELETE"))))</f>
        <v/>
      </c>
      <c r="P29" s="65" t="n"/>
      <c r="Q29">
        <f>IF(24&gt;Calc!$AQ$368,"",MATCH(23,Calc!$AQ$2:$AQ$367,1))</f>
        <v/>
      </c>
      <c r="R29">
        <f>IF(Q29="","",SMALL(INDEX(Calc!$B$2:$AO$367,Q29,0),24-INDEX(Calc!$AQ$2:$AQ$367,Q29)))</f>
        <v/>
      </c>
    </row>
    <row r="30">
      <c r="B30" s="64">
        <f>IF(R30="","",25)</f>
        <v/>
      </c>
      <c r="C30" s="37">
        <f>IF(R30="","",IF(INDEX('Recurring Schedule'!$C$6:$C$45,R30)="","",INDEX('Recurring Schedule'!$C$6:$C$45,R30)))</f>
        <v/>
      </c>
      <c r="D30" s="36">
        <f>IF(R30="","",IF(INDEX('Recurring Schedule'!$D$6:$D$45,R30)="","",INDEX('Recurring Schedule'!$D$6:$D$45,R30)))</f>
        <v/>
      </c>
      <c r="E30" s="38">
        <f>IF(Q30="","",INDEX(Calc!$A$2:$A$367,Q30))</f>
        <v/>
      </c>
      <c r="F30" s="68">
        <f>IF(OR(C30="",E30=""),"",E30-Setup!$D$7)</f>
        <v/>
      </c>
      <c r="G30" s="74">
        <f>IF(R30="","",IF(INDEX('Recurring Schedule'!$H$6:$H$45,R30)="","",INDEX('Recurring Schedule'!$H$6:$H$45,R30)))</f>
        <v/>
      </c>
      <c r="H30" s="74">
        <f>IF(R30="","",IF(INDEX('Recurring Schedule'!$I$6:$I$45,R30)="","",INDEX('Recurring Schedule'!$I$6:$I$45,R30)))</f>
        <v/>
      </c>
      <c r="I30" s="36">
        <f>IF(OR(G30="",H30=""),"",TRIM(IF(HOUR(H30-G30)&gt;0,HOUR(H30-G30)&amp;" hr ","")&amp;IF(MINUTE(H30-G30)&gt;0,MINUTE(H30-G30)&amp;" min","")))</f>
        <v/>
      </c>
      <c r="J30" s="66" t="n"/>
      <c r="K30" s="70" t="n"/>
      <c r="L30" s="36">
        <f>IF(R30="","",IF(INDEX('Recurring Schedule'!$J$6:$J$45,R30)="","",INDEX('Recurring Schedule'!$J$6:$J$45,R30)))</f>
        <v/>
      </c>
      <c r="M30" s="36">
        <f>IF(R30="","",IF(INDEX('Recurring Schedule'!$K$6:$K$45,R30)="","",INDEX('Recurring Schedule'!$K$6:$K$45,R30)))</f>
        <v/>
      </c>
      <c r="N30" s="36">
        <f>IF(R30="","",IF(INDEX('Recurring Schedule'!$L$6:$L$45,R30)="","",INDEX('Recurring Schedule'!$L$6:$L$45,R30)))</f>
        <v/>
      </c>
      <c r="O30" s="36">
        <f>IF(C30="","",IF(AND(OR(L30="1-Urgent",L30="2-High"),M30="✓"),"DO FIRST",IF(M30="✓","SCHEDULE",IF(OR(L30="1-Urgent",L30="2-High"),"DELEGATE","DELETE"))))</f>
        <v/>
      </c>
      <c r="P30" s="65" t="n"/>
      <c r="Q30">
        <f>IF(25&gt;Calc!$AQ$368,"",MATCH(24,Calc!$AQ$2:$AQ$367,1))</f>
        <v/>
      </c>
      <c r="R30">
        <f>IF(Q30="","",SMALL(INDEX(Calc!$B$2:$AO$367,Q30,0),25-INDEX(Calc!$AQ$2:$AQ$367,Q30)))</f>
        <v/>
      </c>
    </row>
    <row r="31">
      <c r="B31" s="71">
        <f>IF(R31="","",26)</f>
        <v/>
      </c>
      <c r="C31" s="75">
        <f>IF(R31="","",IF(INDEX('Recurring Schedule'!$C$6:$C$45,R31)="","",INDEX('Recurring Schedule'!$C$6:$C$45,R31)))</f>
        <v/>
      </c>
      <c r="D31" s="73">
        <f>IF(R31="","",IF(INDEX('Recurring Schedule'!$D$6:$D$45,R31)="","",INDEX('Recurring Schedule'!$D$6:$D$45,R31)))</f>
        <v/>
      </c>
      <c r="E31" s="76">
        <f>IF(Q31="","",INDEX(Calc!$A$2:$A$367,Q31))</f>
        <v/>
      </c>
      <c r="F31" s="72">
        <f>IF(OR(C31="",E31=""),"",E31-Setup!$D$7)</f>
        <v/>
      </c>
      <c r="G31" s="77">
        <f>IF(R31="","",IF(INDEX('Recurring Schedule'!$H$6:$H$45,R31)="","",INDEX('Recurring Schedule'!$H$6:$H$45,R31)))</f>
        <v/>
      </c>
      <c r="H31" s="77">
        <f>IF(R31="","",IF(INDEX('Recurring Schedule'!$I$6:$I$45,R31)="","",INDEX('Recurring Schedule'!$I$6:$I$45,R31)))</f>
        <v/>
      </c>
      <c r="I31" s="73">
        <f>IF(OR(G31="",H31=""),"",TRIM(IF(HOUR(H31-G31)&gt;0,HOUR(H31-G31)&amp;" hr ","")&amp;IF(MINUTE(H31-G31)&gt;0,MINUTE(H31-G31)&amp;" min","")))</f>
        <v/>
      </c>
      <c r="J31" s="66" t="n"/>
      <c r="K31" s="70" t="n"/>
      <c r="L31" s="73">
        <f>IF(R31="","",IF(INDEX('Recurring Schedule'!$J$6:$J$45,R31)="","",INDEX('Recurring Schedule'!$J$6:$J$45,R31)))</f>
        <v/>
      </c>
      <c r="M31" s="73">
        <f>IF(R31="","",IF(INDEX('Recurring Schedule'!$K$6:$K$45,R31)="","",INDEX('Recurring Schedule'!$K$6:$K$45,R31)))</f>
        <v/>
      </c>
      <c r="N31" s="73">
        <f>IF(R31="","",IF(INDEX('Recurring Schedule'!$L$6:$L$45,R31)="","",INDEX('Recurring Schedule'!$L$6:$L$45,R31)))</f>
        <v/>
      </c>
      <c r="O31" s="73">
        <f>IF(C31="","",IF(AND(OR(L31="1-Urgent",L31="2-High"),M31="✓"),"DO FIRST",IF(M31="✓","SCHEDULE",IF(OR(L31="1-Urgent",L31="2-High"),"DELEGATE","DELETE"))))</f>
        <v/>
      </c>
      <c r="P31" s="65" t="n"/>
      <c r="Q31">
        <f>IF(26&gt;Calc!$AQ$368,"",MATCH(25,Calc!$AQ$2:$AQ$367,1))</f>
        <v/>
      </c>
      <c r="R31">
        <f>IF(Q31="","",SMALL(INDEX(Calc!$B$2:$AO$367,Q31,0),26-INDEX(Calc!$AQ$2:$AQ$367,Q31)))</f>
        <v/>
      </c>
    </row>
    <row r="32">
      <c r="B32" s="64">
        <f>IF(R32="","",27)</f>
        <v/>
      </c>
      <c r="C32" s="37">
        <f>IF(R32="","",IF(INDEX('Recurring Schedule'!$C$6:$C$45,R32)="","",INDEX('Recurring Schedule'!$C$6:$C$45,R32)))</f>
        <v/>
      </c>
      <c r="D32" s="36">
        <f>IF(R32="","",IF(INDEX('Recurring Schedule'!$D$6:$D$45,R32)="","",INDEX('Recurring Schedule'!$D$6:$D$45,R32)))</f>
        <v/>
      </c>
      <c r="E32" s="38">
        <f>IF(Q32="","",INDEX(Calc!$A$2:$A$367,Q32))</f>
        <v/>
      </c>
      <c r="F32" s="68">
        <f>IF(OR(C32="",E32=""),"",E32-Setup!$D$7)</f>
        <v/>
      </c>
      <c r="G32" s="74">
        <f>IF(R32="","",IF(INDEX('Recurring Schedule'!$H$6:$H$45,R32)="","",INDEX('Recurring Schedule'!$H$6:$H$45,R32)))</f>
        <v/>
      </c>
      <c r="H32" s="74">
        <f>IF(R32="","",IF(INDEX('Recurring Schedule'!$I$6:$I$45,R32)="","",INDEX('Recurring Schedule'!$I$6:$I$45,R32)))</f>
        <v/>
      </c>
      <c r="I32" s="36">
        <f>IF(OR(G32="",H32=""),"",TRIM(IF(HOUR(H32-G32)&gt;0,HOUR(H32-G32)&amp;" hr ","")&amp;IF(MINUTE(H32-G32)&gt;0,MINUTE(H32-G32)&amp;" min","")))</f>
        <v/>
      </c>
      <c r="J32" s="66" t="n"/>
      <c r="K32" s="70" t="n"/>
      <c r="L32" s="36">
        <f>IF(R32="","",IF(INDEX('Recurring Schedule'!$J$6:$J$45,R32)="","",INDEX('Recurring Schedule'!$J$6:$J$45,R32)))</f>
        <v/>
      </c>
      <c r="M32" s="36">
        <f>IF(R32="","",IF(INDEX('Recurring Schedule'!$K$6:$K$45,R32)="","",INDEX('Recurring Schedule'!$K$6:$K$45,R32)))</f>
        <v/>
      </c>
      <c r="N32" s="36">
        <f>IF(R32="","",IF(INDEX('Recurring Schedule'!$L$6:$L$45,R32)="","",INDEX('Recurring Schedule'!$L$6:$L$45,R32)))</f>
        <v/>
      </c>
      <c r="O32" s="36">
        <f>IF(C32="","",IF(AND(OR(L32="1-Urgent",L32="2-High"),M32="✓"),"DO FIRST",IF(M32="✓","SCHEDULE",IF(OR(L32="1-Urgent",L32="2-High"),"DELEGATE","DELETE"))))</f>
        <v/>
      </c>
      <c r="P32" s="65" t="n"/>
      <c r="Q32">
        <f>IF(27&gt;Calc!$AQ$368,"",MATCH(26,Calc!$AQ$2:$AQ$367,1))</f>
        <v/>
      </c>
      <c r="R32">
        <f>IF(Q32="","",SMALL(INDEX(Calc!$B$2:$AO$367,Q32,0),27-INDEX(Calc!$AQ$2:$AQ$367,Q32)))</f>
        <v/>
      </c>
    </row>
    <row r="33">
      <c r="B33" s="71">
        <f>IF(R33="","",28)</f>
        <v/>
      </c>
      <c r="C33" s="75">
        <f>IF(R33="","",IF(INDEX('Recurring Schedule'!$C$6:$C$45,R33)="","",INDEX('Recurring Schedule'!$C$6:$C$45,R33)))</f>
        <v/>
      </c>
      <c r="D33" s="73">
        <f>IF(R33="","",IF(INDEX('Recurring Schedule'!$D$6:$D$45,R33)="","",INDEX('Recurring Schedule'!$D$6:$D$45,R33)))</f>
        <v/>
      </c>
      <c r="E33" s="76">
        <f>IF(Q33="","",INDEX(Calc!$A$2:$A$367,Q33))</f>
        <v/>
      </c>
      <c r="F33" s="72">
        <f>IF(OR(C33="",E33=""),"",E33-Setup!$D$7)</f>
        <v/>
      </c>
      <c r="G33" s="77">
        <f>IF(R33="","",IF(INDEX('Recurring Schedule'!$H$6:$H$45,R33)="","",INDEX('Recurring Schedule'!$H$6:$H$45,R33)))</f>
        <v/>
      </c>
      <c r="H33" s="77">
        <f>IF(R33="","",IF(INDEX('Recurring Schedule'!$I$6:$I$45,R33)="","",INDEX('Recurring Schedule'!$I$6:$I$45,R33)))</f>
        <v/>
      </c>
      <c r="I33" s="73">
        <f>IF(OR(G33="",H33=""),"",TRIM(IF(HOUR(H33-G33)&gt;0,HOUR(H33-G33)&amp;" hr ","")&amp;IF(MINUTE(H33-G33)&gt;0,MINUTE(H33-G33)&amp;" min","")))</f>
        <v/>
      </c>
      <c r="J33" s="66" t="n"/>
      <c r="K33" s="70" t="n"/>
      <c r="L33" s="73">
        <f>IF(R33="","",IF(INDEX('Recurring Schedule'!$J$6:$J$45,R33)="","",INDEX('Recurring Schedule'!$J$6:$J$45,R33)))</f>
        <v/>
      </c>
      <c r="M33" s="73">
        <f>IF(R33="","",IF(INDEX('Recurring Schedule'!$K$6:$K$45,R33)="","",INDEX('Recurring Schedule'!$K$6:$K$45,R33)))</f>
        <v/>
      </c>
      <c r="N33" s="73">
        <f>IF(R33="","",IF(INDEX('Recurring Schedule'!$L$6:$L$45,R33)="","",INDEX('Recurring Schedule'!$L$6:$L$45,R33)))</f>
        <v/>
      </c>
      <c r="O33" s="73">
        <f>IF(C33="","",IF(AND(OR(L33="1-Urgent",L33="2-High"),M33="✓"),"DO FIRST",IF(M33="✓","SCHEDULE",IF(OR(L33="1-Urgent",L33="2-High"),"DELEGATE","DELETE"))))</f>
        <v/>
      </c>
      <c r="P33" s="65" t="n"/>
      <c r="Q33">
        <f>IF(28&gt;Calc!$AQ$368,"",MATCH(27,Calc!$AQ$2:$AQ$367,1))</f>
        <v/>
      </c>
      <c r="R33">
        <f>IF(Q33="","",SMALL(INDEX(Calc!$B$2:$AO$367,Q33,0),28-INDEX(Calc!$AQ$2:$AQ$367,Q33)))</f>
        <v/>
      </c>
    </row>
    <row r="34">
      <c r="B34" s="64">
        <f>IF(R34="","",29)</f>
        <v/>
      </c>
      <c r="C34" s="37">
        <f>IF(R34="","",IF(INDEX('Recurring Schedule'!$C$6:$C$45,R34)="","",INDEX('Recurring Schedule'!$C$6:$C$45,R34)))</f>
        <v/>
      </c>
      <c r="D34" s="36">
        <f>IF(R34="","",IF(INDEX('Recurring Schedule'!$D$6:$D$45,R34)="","",INDEX('Recurring Schedule'!$D$6:$D$45,R34)))</f>
        <v/>
      </c>
      <c r="E34" s="38">
        <f>IF(Q34="","",INDEX(Calc!$A$2:$A$367,Q34))</f>
        <v/>
      </c>
      <c r="F34" s="68">
        <f>IF(OR(C34="",E34=""),"",E34-Setup!$D$7)</f>
        <v/>
      </c>
      <c r="G34" s="74">
        <f>IF(R34="","",IF(INDEX('Recurring Schedule'!$H$6:$H$45,R34)="","",INDEX('Recurring Schedule'!$H$6:$H$45,R34)))</f>
        <v/>
      </c>
      <c r="H34" s="74">
        <f>IF(R34="","",IF(INDEX('Recurring Schedule'!$I$6:$I$45,R34)="","",INDEX('Recurring Schedule'!$I$6:$I$45,R34)))</f>
        <v/>
      </c>
      <c r="I34" s="36">
        <f>IF(OR(G34="",H34=""),"",TRIM(IF(HOUR(H34-G34)&gt;0,HOUR(H34-G34)&amp;" hr ","")&amp;IF(MINUTE(H34-G34)&gt;0,MINUTE(H34-G34)&amp;" min","")))</f>
        <v/>
      </c>
      <c r="J34" s="66" t="n"/>
      <c r="K34" s="70" t="n"/>
      <c r="L34" s="36">
        <f>IF(R34="","",IF(INDEX('Recurring Schedule'!$J$6:$J$45,R34)="","",INDEX('Recurring Schedule'!$J$6:$J$45,R34)))</f>
        <v/>
      </c>
      <c r="M34" s="36">
        <f>IF(R34="","",IF(INDEX('Recurring Schedule'!$K$6:$K$45,R34)="","",INDEX('Recurring Schedule'!$K$6:$K$45,R34)))</f>
        <v/>
      </c>
      <c r="N34" s="36">
        <f>IF(R34="","",IF(INDEX('Recurring Schedule'!$L$6:$L$45,R34)="","",INDEX('Recurring Schedule'!$L$6:$L$45,R34)))</f>
        <v/>
      </c>
      <c r="O34" s="36">
        <f>IF(C34="","",IF(AND(OR(L34="1-Urgent",L34="2-High"),M34="✓"),"DO FIRST",IF(M34="✓","SCHEDULE",IF(OR(L34="1-Urgent",L34="2-High"),"DELEGATE","DELETE"))))</f>
        <v/>
      </c>
      <c r="P34" s="65" t="n"/>
      <c r="Q34">
        <f>IF(29&gt;Calc!$AQ$368,"",MATCH(28,Calc!$AQ$2:$AQ$367,1))</f>
        <v/>
      </c>
      <c r="R34">
        <f>IF(Q34="","",SMALL(INDEX(Calc!$B$2:$AO$367,Q34,0),29-INDEX(Calc!$AQ$2:$AQ$367,Q34)))</f>
        <v/>
      </c>
    </row>
    <row r="35">
      <c r="B35" s="71">
        <f>IF(R35="","",30)</f>
        <v/>
      </c>
      <c r="C35" s="75">
        <f>IF(R35="","",IF(INDEX('Recurring Schedule'!$C$6:$C$45,R35)="","",INDEX('Recurring Schedule'!$C$6:$C$45,R35)))</f>
        <v/>
      </c>
      <c r="D35" s="73">
        <f>IF(R35="","",IF(INDEX('Recurring Schedule'!$D$6:$D$45,R35)="","",INDEX('Recurring Schedule'!$D$6:$D$45,R35)))</f>
        <v/>
      </c>
      <c r="E35" s="76">
        <f>IF(Q35="","",INDEX(Calc!$A$2:$A$367,Q35))</f>
        <v/>
      </c>
      <c r="F35" s="72">
        <f>IF(OR(C35="",E35=""),"",E35-Setup!$D$7)</f>
        <v/>
      </c>
      <c r="G35" s="77">
        <f>IF(R35="","",IF(INDEX('Recurring Schedule'!$H$6:$H$45,R35)="","",INDEX('Recurring Schedule'!$H$6:$H$45,R35)))</f>
        <v/>
      </c>
      <c r="H35" s="77">
        <f>IF(R35="","",IF(INDEX('Recurring Schedule'!$I$6:$I$45,R35)="","",INDEX('Recurring Schedule'!$I$6:$I$45,R35)))</f>
        <v/>
      </c>
      <c r="I35" s="73">
        <f>IF(OR(G35="",H35=""),"",TRIM(IF(HOUR(H35-G35)&gt;0,HOUR(H35-G35)&amp;" hr ","")&amp;IF(MINUTE(H35-G35)&gt;0,MINUTE(H35-G35)&amp;" min","")))</f>
        <v/>
      </c>
      <c r="J35" s="66" t="n"/>
      <c r="K35" s="70" t="n"/>
      <c r="L35" s="73">
        <f>IF(R35="","",IF(INDEX('Recurring Schedule'!$J$6:$J$45,R35)="","",INDEX('Recurring Schedule'!$J$6:$J$45,R35)))</f>
        <v/>
      </c>
      <c r="M35" s="73">
        <f>IF(R35="","",IF(INDEX('Recurring Schedule'!$K$6:$K$45,R35)="","",INDEX('Recurring Schedule'!$K$6:$K$45,R35)))</f>
        <v/>
      </c>
      <c r="N35" s="73">
        <f>IF(R35="","",IF(INDEX('Recurring Schedule'!$L$6:$L$45,R35)="","",INDEX('Recurring Schedule'!$L$6:$L$45,R35)))</f>
        <v/>
      </c>
      <c r="O35" s="73">
        <f>IF(C35="","",IF(AND(OR(L35="1-Urgent",L35="2-High"),M35="✓"),"DO FIRST",IF(M35="✓","SCHEDULE",IF(OR(L35="1-Urgent",L35="2-High"),"DELEGATE","DELETE"))))</f>
        <v/>
      </c>
      <c r="P35" s="65" t="n"/>
      <c r="Q35">
        <f>IF(30&gt;Calc!$AQ$368,"",MATCH(29,Calc!$AQ$2:$AQ$367,1))</f>
        <v/>
      </c>
      <c r="R35">
        <f>IF(Q35="","",SMALL(INDEX(Calc!$B$2:$AO$367,Q35,0),30-INDEX(Calc!$AQ$2:$AQ$367,Q35)))</f>
        <v/>
      </c>
    </row>
    <row r="36">
      <c r="B36" s="64">
        <f>IF(R36="","",31)</f>
        <v/>
      </c>
      <c r="C36" s="37">
        <f>IF(R36="","",IF(INDEX('Recurring Schedule'!$C$6:$C$45,R36)="","",INDEX('Recurring Schedule'!$C$6:$C$45,R36)))</f>
        <v/>
      </c>
      <c r="D36" s="36">
        <f>IF(R36="","",IF(INDEX('Recurring Schedule'!$D$6:$D$45,R36)="","",INDEX('Recurring Schedule'!$D$6:$D$45,R36)))</f>
        <v/>
      </c>
      <c r="E36" s="38">
        <f>IF(Q36="","",INDEX(Calc!$A$2:$A$367,Q36))</f>
        <v/>
      </c>
      <c r="F36" s="68">
        <f>IF(OR(C36="",E36=""),"",E36-Setup!$D$7)</f>
        <v/>
      </c>
      <c r="G36" s="74">
        <f>IF(R36="","",IF(INDEX('Recurring Schedule'!$H$6:$H$45,R36)="","",INDEX('Recurring Schedule'!$H$6:$H$45,R36)))</f>
        <v/>
      </c>
      <c r="H36" s="74">
        <f>IF(R36="","",IF(INDEX('Recurring Schedule'!$I$6:$I$45,R36)="","",INDEX('Recurring Schedule'!$I$6:$I$45,R36)))</f>
        <v/>
      </c>
      <c r="I36" s="36">
        <f>IF(OR(G36="",H36=""),"",TRIM(IF(HOUR(H36-G36)&gt;0,HOUR(H36-G36)&amp;" hr ","")&amp;IF(MINUTE(H36-G36)&gt;0,MINUTE(H36-G36)&amp;" min","")))</f>
        <v/>
      </c>
      <c r="J36" s="66" t="n"/>
      <c r="K36" s="70" t="n"/>
      <c r="L36" s="36">
        <f>IF(R36="","",IF(INDEX('Recurring Schedule'!$J$6:$J$45,R36)="","",INDEX('Recurring Schedule'!$J$6:$J$45,R36)))</f>
        <v/>
      </c>
      <c r="M36" s="36">
        <f>IF(R36="","",IF(INDEX('Recurring Schedule'!$K$6:$K$45,R36)="","",INDEX('Recurring Schedule'!$K$6:$K$45,R36)))</f>
        <v/>
      </c>
      <c r="N36" s="36">
        <f>IF(R36="","",IF(INDEX('Recurring Schedule'!$L$6:$L$45,R36)="","",INDEX('Recurring Schedule'!$L$6:$L$45,R36)))</f>
        <v/>
      </c>
      <c r="O36" s="36">
        <f>IF(C36="","",IF(AND(OR(L36="1-Urgent",L36="2-High"),M36="✓"),"DO FIRST",IF(M36="✓","SCHEDULE",IF(OR(L36="1-Urgent",L36="2-High"),"DELEGATE","DELETE"))))</f>
        <v/>
      </c>
      <c r="P36" s="65" t="n"/>
      <c r="Q36">
        <f>IF(31&gt;Calc!$AQ$368,"",MATCH(30,Calc!$AQ$2:$AQ$367,1))</f>
        <v/>
      </c>
      <c r="R36">
        <f>IF(Q36="","",SMALL(INDEX(Calc!$B$2:$AO$367,Q36,0),31-INDEX(Calc!$AQ$2:$AQ$367,Q36)))</f>
        <v/>
      </c>
    </row>
    <row r="37">
      <c r="B37" s="71">
        <f>IF(R37="","",32)</f>
        <v/>
      </c>
      <c r="C37" s="75">
        <f>IF(R37="","",IF(INDEX('Recurring Schedule'!$C$6:$C$45,R37)="","",INDEX('Recurring Schedule'!$C$6:$C$45,R37)))</f>
        <v/>
      </c>
      <c r="D37" s="73">
        <f>IF(R37="","",IF(INDEX('Recurring Schedule'!$D$6:$D$45,R37)="","",INDEX('Recurring Schedule'!$D$6:$D$45,R37)))</f>
        <v/>
      </c>
      <c r="E37" s="76">
        <f>IF(Q37="","",INDEX(Calc!$A$2:$A$367,Q37))</f>
        <v/>
      </c>
      <c r="F37" s="72">
        <f>IF(OR(C37="",E37=""),"",E37-Setup!$D$7)</f>
        <v/>
      </c>
      <c r="G37" s="77">
        <f>IF(R37="","",IF(INDEX('Recurring Schedule'!$H$6:$H$45,R37)="","",INDEX('Recurring Schedule'!$H$6:$H$45,R37)))</f>
        <v/>
      </c>
      <c r="H37" s="77">
        <f>IF(R37="","",IF(INDEX('Recurring Schedule'!$I$6:$I$45,R37)="","",INDEX('Recurring Schedule'!$I$6:$I$45,R37)))</f>
        <v/>
      </c>
      <c r="I37" s="73">
        <f>IF(OR(G37="",H37=""),"",TRIM(IF(HOUR(H37-G37)&gt;0,HOUR(H37-G37)&amp;" hr ","")&amp;IF(MINUTE(H37-G37)&gt;0,MINUTE(H37-G37)&amp;" min","")))</f>
        <v/>
      </c>
      <c r="J37" s="66" t="n"/>
      <c r="K37" s="70" t="n"/>
      <c r="L37" s="73">
        <f>IF(R37="","",IF(INDEX('Recurring Schedule'!$J$6:$J$45,R37)="","",INDEX('Recurring Schedule'!$J$6:$J$45,R37)))</f>
        <v/>
      </c>
      <c r="M37" s="73">
        <f>IF(R37="","",IF(INDEX('Recurring Schedule'!$K$6:$K$45,R37)="","",INDEX('Recurring Schedule'!$K$6:$K$45,R37)))</f>
        <v/>
      </c>
      <c r="N37" s="73">
        <f>IF(R37="","",IF(INDEX('Recurring Schedule'!$L$6:$L$45,R37)="","",INDEX('Recurring Schedule'!$L$6:$L$45,R37)))</f>
        <v/>
      </c>
      <c r="O37" s="73">
        <f>IF(C37="","",IF(AND(OR(L37="1-Urgent",L37="2-High"),M37="✓"),"DO FIRST",IF(M37="✓","SCHEDULE",IF(OR(L37="1-Urgent",L37="2-High"),"DELEGATE","DELETE"))))</f>
        <v/>
      </c>
      <c r="P37" s="65" t="n"/>
      <c r="Q37">
        <f>IF(32&gt;Calc!$AQ$368,"",MATCH(31,Calc!$AQ$2:$AQ$367,1))</f>
        <v/>
      </c>
      <c r="R37">
        <f>IF(Q37="","",SMALL(INDEX(Calc!$B$2:$AO$367,Q37,0),32-INDEX(Calc!$AQ$2:$AQ$367,Q37)))</f>
        <v/>
      </c>
    </row>
    <row r="38">
      <c r="B38" s="64">
        <f>IF(R38="","",33)</f>
        <v/>
      </c>
      <c r="C38" s="37">
        <f>IF(R38="","",IF(INDEX('Recurring Schedule'!$C$6:$C$45,R38)="","",INDEX('Recurring Schedule'!$C$6:$C$45,R38)))</f>
        <v/>
      </c>
      <c r="D38" s="36">
        <f>IF(R38="","",IF(INDEX('Recurring Schedule'!$D$6:$D$45,R38)="","",INDEX('Recurring Schedule'!$D$6:$D$45,R38)))</f>
        <v/>
      </c>
      <c r="E38" s="38">
        <f>IF(Q38="","",INDEX(Calc!$A$2:$A$367,Q38))</f>
        <v/>
      </c>
      <c r="F38" s="68">
        <f>IF(OR(C38="",E38=""),"",E38-Setup!$D$7)</f>
        <v/>
      </c>
      <c r="G38" s="74">
        <f>IF(R38="","",IF(INDEX('Recurring Schedule'!$H$6:$H$45,R38)="","",INDEX('Recurring Schedule'!$H$6:$H$45,R38)))</f>
        <v/>
      </c>
      <c r="H38" s="74">
        <f>IF(R38="","",IF(INDEX('Recurring Schedule'!$I$6:$I$45,R38)="","",INDEX('Recurring Schedule'!$I$6:$I$45,R38)))</f>
        <v/>
      </c>
      <c r="I38" s="36">
        <f>IF(OR(G38="",H38=""),"",TRIM(IF(HOUR(H38-G38)&gt;0,HOUR(H38-G38)&amp;" hr ","")&amp;IF(MINUTE(H38-G38)&gt;0,MINUTE(H38-G38)&amp;" min","")))</f>
        <v/>
      </c>
      <c r="J38" s="66" t="n"/>
      <c r="K38" s="70" t="n"/>
      <c r="L38" s="36">
        <f>IF(R38="","",IF(INDEX('Recurring Schedule'!$J$6:$J$45,R38)="","",INDEX('Recurring Schedule'!$J$6:$J$45,R38)))</f>
        <v/>
      </c>
      <c r="M38" s="36">
        <f>IF(R38="","",IF(INDEX('Recurring Schedule'!$K$6:$K$45,R38)="","",INDEX('Recurring Schedule'!$K$6:$K$45,R38)))</f>
        <v/>
      </c>
      <c r="N38" s="36">
        <f>IF(R38="","",IF(INDEX('Recurring Schedule'!$L$6:$L$45,R38)="","",INDEX('Recurring Schedule'!$L$6:$L$45,R38)))</f>
        <v/>
      </c>
      <c r="O38" s="36">
        <f>IF(C38="","",IF(AND(OR(L38="1-Urgent",L38="2-High"),M38="✓"),"DO FIRST",IF(M38="✓","SCHEDULE",IF(OR(L38="1-Urgent",L38="2-High"),"DELEGATE","DELETE"))))</f>
        <v/>
      </c>
      <c r="P38" s="65" t="n"/>
      <c r="Q38">
        <f>IF(33&gt;Calc!$AQ$368,"",MATCH(32,Calc!$AQ$2:$AQ$367,1))</f>
        <v/>
      </c>
      <c r="R38">
        <f>IF(Q38="","",SMALL(INDEX(Calc!$B$2:$AO$367,Q38,0),33-INDEX(Calc!$AQ$2:$AQ$367,Q38)))</f>
        <v/>
      </c>
    </row>
    <row r="39">
      <c r="B39" s="71">
        <f>IF(R39="","",34)</f>
        <v/>
      </c>
      <c r="C39" s="75">
        <f>IF(R39="","",IF(INDEX('Recurring Schedule'!$C$6:$C$45,R39)="","",INDEX('Recurring Schedule'!$C$6:$C$45,R39)))</f>
        <v/>
      </c>
      <c r="D39" s="73">
        <f>IF(R39="","",IF(INDEX('Recurring Schedule'!$D$6:$D$45,R39)="","",INDEX('Recurring Schedule'!$D$6:$D$45,R39)))</f>
        <v/>
      </c>
      <c r="E39" s="76">
        <f>IF(Q39="","",INDEX(Calc!$A$2:$A$367,Q39))</f>
        <v/>
      </c>
      <c r="F39" s="72">
        <f>IF(OR(C39="",E39=""),"",E39-Setup!$D$7)</f>
        <v/>
      </c>
      <c r="G39" s="77">
        <f>IF(R39="","",IF(INDEX('Recurring Schedule'!$H$6:$H$45,R39)="","",INDEX('Recurring Schedule'!$H$6:$H$45,R39)))</f>
        <v/>
      </c>
      <c r="H39" s="77">
        <f>IF(R39="","",IF(INDEX('Recurring Schedule'!$I$6:$I$45,R39)="","",INDEX('Recurring Schedule'!$I$6:$I$45,R39)))</f>
        <v/>
      </c>
      <c r="I39" s="73">
        <f>IF(OR(G39="",H39=""),"",TRIM(IF(HOUR(H39-G39)&gt;0,HOUR(H39-G39)&amp;" hr ","")&amp;IF(MINUTE(H39-G39)&gt;0,MINUTE(H39-G39)&amp;" min","")))</f>
        <v/>
      </c>
      <c r="J39" s="66" t="n"/>
      <c r="K39" s="70" t="n"/>
      <c r="L39" s="73">
        <f>IF(R39="","",IF(INDEX('Recurring Schedule'!$J$6:$J$45,R39)="","",INDEX('Recurring Schedule'!$J$6:$J$45,R39)))</f>
        <v/>
      </c>
      <c r="M39" s="73">
        <f>IF(R39="","",IF(INDEX('Recurring Schedule'!$K$6:$K$45,R39)="","",INDEX('Recurring Schedule'!$K$6:$K$45,R39)))</f>
        <v/>
      </c>
      <c r="N39" s="73">
        <f>IF(R39="","",IF(INDEX('Recurring Schedule'!$L$6:$L$45,R39)="","",INDEX('Recurring Schedule'!$L$6:$L$45,R39)))</f>
        <v/>
      </c>
      <c r="O39" s="73">
        <f>IF(C39="","",IF(AND(OR(L39="1-Urgent",L39="2-High"),M39="✓"),"DO FIRST",IF(M39="✓","SCHEDULE",IF(OR(L39="1-Urgent",L39="2-High"),"DELEGATE","DELETE"))))</f>
        <v/>
      </c>
      <c r="P39" s="65" t="n"/>
      <c r="Q39">
        <f>IF(34&gt;Calc!$AQ$368,"",MATCH(33,Calc!$AQ$2:$AQ$367,1))</f>
        <v/>
      </c>
      <c r="R39">
        <f>IF(Q39="","",SMALL(INDEX(Calc!$B$2:$AO$367,Q39,0),34-INDEX(Calc!$AQ$2:$AQ$367,Q39)))</f>
        <v/>
      </c>
    </row>
    <row r="40">
      <c r="B40" s="64">
        <f>IF(R40="","",35)</f>
        <v/>
      </c>
      <c r="C40" s="37">
        <f>IF(R40="","",IF(INDEX('Recurring Schedule'!$C$6:$C$45,R40)="","",INDEX('Recurring Schedule'!$C$6:$C$45,R40)))</f>
        <v/>
      </c>
      <c r="D40" s="36">
        <f>IF(R40="","",IF(INDEX('Recurring Schedule'!$D$6:$D$45,R40)="","",INDEX('Recurring Schedule'!$D$6:$D$45,R40)))</f>
        <v/>
      </c>
      <c r="E40" s="38">
        <f>IF(Q40="","",INDEX(Calc!$A$2:$A$367,Q40))</f>
        <v/>
      </c>
      <c r="F40" s="68">
        <f>IF(OR(C40="",E40=""),"",E40-Setup!$D$7)</f>
        <v/>
      </c>
      <c r="G40" s="74">
        <f>IF(R40="","",IF(INDEX('Recurring Schedule'!$H$6:$H$45,R40)="","",INDEX('Recurring Schedule'!$H$6:$H$45,R40)))</f>
        <v/>
      </c>
      <c r="H40" s="74">
        <f>IF(R40="","",IF(INDEX('Recurring Schedule'!$I$6:$I$45,R40)="","",INDEX('Recurring Schedule'!$I$6:$I$45,R40)))</f>
        <v/>
      </c>
      <c r="I40" s="36">
        <f>IF(OR(G40="",H40=""),"",TRIM(IF(HOUR(H40-G40)&gt;0,HOUR(H40-G40)&amp;" hr ","")&amp;IF(MINUTE(H40-G40)&gt;0,MINUTE(H40-G40)&amp;" min","")))</f>
        <v/>
      </c>
      <c r="J40" s="66" t="n"/>
      <c r="K40" s="70" t="n"/>
      <c r="L40" s="36">
        <f>IF(R40="","",IF(INDEX('Recurring Schedule'!$J$6:$J$45,R40)="","",INDEX('Recurring Schedule'!$J$6:$J$45,R40)))</f>
        <v/>
      </c>
      <c r="M40" s="36">
        <f>IF(R40="","",IF(INDEX('Recurring Schedule'!$K$6:$K$45,R40)="","",INDEX('Recurring Schedule'!$K$6:$K$45,R40)))</f>
        <v/>
      </c>
      <c r="N40" s="36">
        <f>IF(R40="","",IF(INDEX('Recurring Schedule'!$L$6:$L$45,R40)="","",INDEX('Recurring Schedule'!$L$6:$L$45,R40)))</f>
        <v/>
      </c>
      <c r="O40" s="36">
        <f>IF(C40="","",IF(AND(OR(L40="1-Urgent",L40="2-High"),M40="✓"),"DO FIRST",IF(M40="✓","SCHEDULE",IF(OR(L40="1-Urgent",L40="2-High"),"DELEGATE","DELETE"))))</f>
        <v/>
      </c>
      <c r="P40" s="65" t="n"/>
      <c r="Q40">
        <f>IF(35&gt;Calc!$AQ$368,"",MATCH(34,Calc!$AQ$2:$AQ$367,1))</f>
        <v/>
      </c>
      <c r="R40">
        <f>IF(Q40="","",SMALL(INDEX(Calc!$B$2:$AO$367,Q40,0),35-INDEX(Calc!$AQ$2:$AQ$367,Q40)))</f>
        <v/>
      </c>
    </row>
    <row r="41">
      <c r="B41" s="71">
        <f>IF(R41="","",36)</f>
        <v/>
      </c>
      <c r="C41" s="75">
        <f>IF(R41="","",IF(INDEX('Recurring Schedule'!$C$6:$C$45,R41)="","",INDEX('Recurring Schedule'!$C$6:$C$45,R41)))</f>
        <v/>
      </c>
      <c r="D41" s="73">
        <f>IF(R41="","",IF(INDEX('Recurring Schedule'!$D$6:$D$45,R41)="","",INDEX('Recurring Schedule'!$D$6:$D$45,R41)))</f>
        <v/>
      </c>
      <c r="E41" s="76">
        <f>IF(Q41="","",INDEX(Calc!$A$2:$A$367,Q41))</f>
        <v/>
      </c>
      <c r="F41" s="72">
        <f>IF(OR(C41="",E41=""),"",E41-Setup!$D$7)</f>
        <v/>
      </c>
      <c r="G41" s="77">
        <f>IF(R41="","",IF(INDEX('Recurring Schedule'!$H$6:$H$45,R41)="","",INDEX('Recurring Schedule'!$H$6:$H$45,R41)))</f>
        <v/>
      </c>
      <c r="H41" s="77">
        <f>IF(R41="","",IF(INDEX('Recurring Schedule'!$I$6:$I$45,R41)="","",INDEX('Recurring Schedule'!$I$6:$I$45,R41)))</f>
        <v/>
      </c>
      <c r="I41" s="73">
        <f>IF(OR(G41="",H41=""),"",TRIM(IF(HOUR(H41-G41)&gt;0,HOUR(H41-G41)&amp;" hr ","")&amp;IF(MINUTE(H41-G41)&gt;0,MINUTE(H41-G41)&amp;" min","")))</f>
        <v/>
      </c>
      <c r="J41" s="66" t="n"/>
      <c r="K41" s="70" t="n"/>
      <c r="L41" s="73">
        <f>IF(R41="","",IF(INDEX('Recurring Schedule'!$J$6:$J$45,R41)="","",INDEX('Recurring Schedule'!$J$6:$J$45,R41)))</f>
        <v/>
      </c>
      <c r="M41" s="73">
        <f>IF(R41="","",IF(INDEX('Recurring Schedule'!$K$6:$K$45,R41)="","",INDEX('Recurring Schedule'!$K$6:$K$45,R41)))</f>
        <v/>
      </c>
      <c r="N41" s="73">
        <f>IF(R41="","",IF(INDEX('Recurring Schedule'!$L$6:$L$45,R41)="","",INDEX('Recurring Schedule'!$L$6:$L$45,R41)))</f>
        <v/>
      </c>
      <c r="O41" s="73">
        <f>IF(C41="","",IF(AND(OR(L41="1-Urgent",L41="2-High"),M41="✓"),"DO FIRST",IF(M41="✓","SCHEDULE",IF(OR(L41="1-Urgent",L41="2-High"),"DELEGATE","DELETE"))))</f>
        <v/>
      </c>
      <c r="P41" s="65" t="n"/>
      <c r="Q41">
        <f>IF(36&gt;Calc!$AQ$368,"",MATCH(35,Calc!$AQ$2:$AQ$367,1))</f>
        <v/>
      </c>
      <c r="R41">
        <f>IF(Q41="","",SMALL(INDEX(Calc!$B$2:$AO$367,Q41,0),36-INDEX(Calc!$AQ$2:$AQ$367,Q41)))</f>
        <v/>
      </c>
    </row>
    <row r="42">
      <c r="B42" s="64">
        <f>IF(R42="","",37)</f>
        <v/>
      </c>
      <c r="C42" s="37">
        <f>IF(R42="","",IF(INDEX('Recurring Schedule'!$C$6:$C$45,R42)="","",INDEX('Recurring Schedule'!$C$6:$C$45,R42)))</f>
        <v/>
      </c>
      <c r="D42" s="36">
        <f>IF(R42="","",IF(INDEX('Recurring Schedule'!$D$6:$D$45,R42)="","",INDEX('Recurring Schedule'!$D$6:$D$45,R42)))</f>
        <v/>
      </c>
      <c r="E42" s="38">
        <f>IF(Q42="","",INDEX(Calc!$A$2:$A$367,Q42))</f>
        <v/>
      </c>
      <c r="F42" s="68">
        <f>IF(OR(C42="",E42=""),"",E42-Setup!$D$7)</f>
        <v/>
      </c>
      <c r="G42" s="74">
        <f>IF(R42="","",IF(INDEX('Recurring Schedule'!$H$6:$H$45,R42)="","",INDEX('Recurring Schedule'!$H$6:$H$45,R42)))</f>
        <v/>
      </c>
      <c r="H42" s="74">
        <f>IF(R42="","",IF(INDEX('Recurring Schedule'!$I$6:$I$45,R42)="","",INDEX('Recurring Schedule'!$I$6:$I$45,R42)))</f>
        <v/>
      </c>
      <c r="I42" s="36">
        <f>IF(OR(G42="",H42=""),"",TRIM(IF(HOUR(H42-G42)&gt;0,HOUR(H42-G42)&amp;" hr ","")&amp;IF(MINUTE(H42-G42)&gt;0,MINUTE(H42-G42)&amp;" min","")))</f>
        <v/>
      </c>
      <c r="J42" s="66" t="n"/>
      <c r="K42" s="70" t="n"/>
      <c r="L42" s="36">
        <f>IF(R42="","",IF(INDEX('Recurring Schedule'!$J$6:$J$45,R42)="","",INDEX('Recurring Schedule'!$J$6:$J$45,R42)))</f>
        <v/>
      </c>
      <c r="M42" s="36">
        <f>IF(R42="","",IF(INDEX('Recurring Schedule'!$K$6:$K$45,R42)="","",INDEX('Recurring Schedule'!$K$6:$K$45,R42)))</f>
        <v/>
      </c>
      <c r="N42" s="36">
        <f>IF(R42="","",IF(INDEX('Recurring Schedule'!$L$6:$L$45,R42)="","",INDEX('Recurring Schedule'!$L$6:$L$45,R42)))</f>
        <v/>
      </c>
      <c r="O42" s="36">
        <f>IF(C42="","",IF(AND(OR(L42="1-Urgent",L42="2-High"),M42="✓"),"DO FIRST",IF(M42="✓","SCHEDULE",IF(OR(L42="1-Urgent",L42="2-High"),"DELEGATE","DELETE"))))</f>
        <v/>
      </c>
      <c r="P42" s="65" t="n"/>
      <c r="Q42">
        <f>IF(37&gt;Calc!$AQ$368,"",MATCH(36,Calc!$AQ$2:$AQ$367,1))</f>
        <v/>
      </c>
      <c r="R42">
        <f>IF(Q42="","",SMALL(INDEX(Calc!$B$2:$AO$367,Q42,0),37-INDEX(Calc!$AQ$2:$AQ$367,Q42)))</f>
        <v/>
      </c>
    </row>
    <row r="43">
      <c r="B43" s="71">
        <f>IF(R43="","",38)</f>
        <v/>
      </c>
      <c r="C43" s="75">
        <f>IF(R43="","",IF(INDEX('Recurring Schedule'!$C$6:$C$45,R43)="","",INDEX('Recurring Schedule'!$C$6:$C$45,R43)))</f>
        <v/>
      </c>
      <c r="D43" s="73">
        <f>IF(R43="","",IF(INDEX('Recurring Schedule'!$D$6:$D$45,R43)="","",INDEX('Recurring Schedule'!$D$6:$D$45,R43)))</f>
        <v/>
      </c>
      <c r="E43" s="76">
        <f>IF(Q43="","",INDEX(Calc!$A$2:$A$367,Q43))</f>
        <v/>
      </c>
      <c r="F43" s="72">
        <f>IF(OR(C43="",E43=""),"",E43-Setup!$D$7)</f>
        <v/>
      </c>
      <c r="G43" s="77">
        <f>IF(R43="","",IF(INDEX('Recurring Schedule'!$H$6:$H$45,R43)="","",INDEX('Recurring Schedule'!$H$6:$H$45,R43)))</f>
        <v/>
      </c>
      <c r="H43" s="77">
        <f>IF(R43="","",IF(INDEX('Recurring Schedule'!$I$6:$I$45,R43)="","",INDEX('Recurring Schedule'!$I$6:$I$45,R43)))</f>
        <v/>
      </c>
      <c r="I43" s="73">
        <f>IF(OR(G43="",H43=""),"",TRIM(IF(HOUR(H43-G43)&gt;0,HOUR(H43-G43)&amp;" hr ","")&amp;IF(MINUTE(H43-G43)&gt;0,MINUTE(H43-G43)&amp;" min","")))</f>
        <v/>
      </c>
      <c r="J43" s="66" t="n"/>
      <c r="K43" s="70" t="n"/>
      <c r="L43" s="73">
        <f>IF(R43="","",IF(INDEX('Recurring Schedule'!$J$6:$J$45,R43)="","",INDEX('Recurring Schedule'!$J$6:$J$45,R43)))</f>
        <v/>
      </c>
      <c r="M43" s="73">
        <f>IF(R43="","",IF(INDEX('Recurring Schedule'!$K$6:$K$45,R43)="","",INDEX('Recurring Schedule'!$K$6:$K$45,R43)))</f>
        <v/>
      </c>
      <c r="N43" s="73">
        <f>IF(R43="","",IF(INDEX('Recurring Schedule'!$L$6:$L$45,R43)="","",INDEX('Recurring Schedule'!$L$6:$L$45,R43)))</f>
        <v/>
      </c>
      <c r="O43" s="73">
        <f>IF(C43="","",IF(AND(OR(L43="1-Urgent",L43="2-High"),M43="✓"),"DO FIRST",IF(M43="✓","SCHEDULE",IF(OR(L43="1-Urgent",L43="2-High"),"DELEGATE","DELETE"))))</f>
        <v/>
      </c>
      <c r="P43" s="65" t="n"/>
      <c r="Q43">
        <f>IF(38&gt;Calc!$AQ$368,"",MATCH(37,Calc!$AQ$2:$AQ$367,1))</f>
        <v/>
      </c>
      <c r="R43">
        <f>IF(Q43="","",SMALL(INDEX(Calc!$B$2:$AO$367,Q43,0),38-INDEX(Calc!$AQ$2:$AQ$367,Q43)))</f>
        <v/>
      </c>
    </row>
    <row r="44">
      <c r="B44" s="64">
        <f>IF(R44="","",39)</f>
        <v/>
      </c>
      <c r="C44" s="37">
        <f>IF(R44="","",IF(INDEX('Recurring Schedule'!$C$6:$C$45,R44)="","",INDEX('Recurring Schedule'!$C$6:$C$45,R44)))</f>
        <v/>
      </c>
      <c r="D44" s="36">
        <f>IF(R44="","",IF(INDEX('Recurring Schedule'!$D$6:$D$45,R44)="","",INDEX('Recurring Schedule'!$D$6:$D$45,R44)))</f>
        <v/>
      </c>
      <c r="E44" s="38">
        <f>IF(Q44="","",INDEX(Calc!$A$2:$A$367,Q44))</f>
        <v/>
      </c>
      <c r="F44" s="68">
        <f>IF(OR(C44="",E44=""),"",E44-Setup!$D$7)</f>
        <v/>
      </c>
      <c r="G44" s="74">
        <f>IF(R44="","",IF(INDEX('Recurring Schedule'!$H$6:$H$45,R44)="","",INDEX('Recurring Schedule'!$H$6:$H$45,R44)))</f>
        <v/>
      </c>
      <c r="H44" s="74">
        <f>IF(R44="","",IF(INDEX('Recurring Schedule'!$I$6:$I$45,R44)="","",INDEX('Recurring Schedule'!$I$6:$I$45,R44)))</f>
        <v/>
      </c>
      <c r="I44" s="36">
        <f>IF(OR(G44="",H44=""),"",TRIM(IF(HOUR(H44-G44)&gt;0,HOUR(H44-G44)&amp;" hr ","")&amp;IF(MINUTE(H44-G44)&gt;0,MINUTE(H44-G44)&amp;" min","")))</f>
        <v/>
      </c>
      <c r="J44" s="66" t="n"/>
      <c r="K44" s="70" t="n"/>
      <c r="L44" s="36">
        <f>IF(R44="","",IF(INDEX('Recurring Schedule'!$J$6:$J$45,R44)="","",INDEX('Recurring Schedule'!$J$6:$J$45,R44)))</f>
        <v/>
      </c>
      <c r="M44" s="36">
        <f>IF(R44="","",IF(INDEX('Recurring Schedule'!$K$6:$K$45,R44)="","",INDEX('Recurring Schedule'!$K$6:$K$45,R44)))</f>
        <v/>
      </c>
      <c r="N44" s="36">
        <f>IF(R44="","",IF(INDEX('Recurring Schedule'!$L$6:$L$45,R44)="","",INDEX('Recurring Schedule'!$L$6:$L$45,R44)))</f>
        <v/>
      </c>
      <c r="O44" s="36">
        <f>IF(C44="","",IF(AND(OR(L44="1-Urgent",L44="2-High"),M44="✓"),"DO FIRST",IF(M44="✓","SCHEDULE",IF(OR(L44="1-Urgent",L44="2-High"),"DELEGATE","DELETE"))))</f>
        <v/>
      </c>
      <c r="P44" s="65" t="n"/>
      <c r="Q44">
        <f>IF(39&gt;Calc!$AQ$368,"",MATCH(38,Calc!$AQ$2:$AQ$367,1))</f>
        <v/>
      </c>
      <c r="R44">
        <f>IF(Q44="","",SMALL(INDEX(Calc!$B$2:$AO$367,Q44,0),39-INDEX(Calc!$AQ$2:$AQ$367,Q44)))</f>
        <v/>
      </c>
    </row>
    <row r="45">
      <c r="B45" s="71">
        <f>IF(R45="","",40)</f>
        <v/>
      </c>
      <c r="C45" s="75">
        <f>IF(R45="","",IF(INDEX('Recurring Schedule'!$C$6:$C$45,R45)="","",INDEX('Recurring Schedule'!$C$6:$C$45,R45)))</f>
        <v/>
      </c>
      <c r="D45" s="73">
        <f>IF(R45="","",IF(INDEX('Recurring Schedule'!$D$6:$D$45,R45)="","",INDEX('Recurring Schedule'!$D$6:$D$45,R45)))</f>
        <v/>
      </c>
      <c r="E45" s="76">
        <f>IF(Q45="","",INDEX(Calc!$A$2:$A$367,Q45))</f>
        <v/>
      </c>
      <c r="F45" s="72">
        <f>IF(OR(C45="",E45=""),"",E45-Setup!$D$7)</f>
        <v/>
      </c>
      <c r="G45" s="77">
        <f>IF(R45="","",IF(INDEX('Recurring Schedule'!$H$6:$H$45,R45)="","",INDEX('Recurring Schedule'!$H$6:$H$45,R45)))</f>
        <v/>
      </c>
      <c r="H45" s="77">
        <f>IF(R45="","",IF(INDEX('Recurring Schedule'!$I$6:$I$45,R45)="","",INDEX('Recurring Schedule'!$I$6:$I$45,R45)))</f>
        <v/>
      </c>
      <c r="I45" s="73">
        <f>IF(OR(G45="",H45=""),"",TRIM(IF(HOUR(H45-G45)&gt;0,HOUR(H45-G45)&amp;" hr ","")&amp;IF(MINUTE(H45-G45)&gt;0,MINUTE(H45-G45)&amp;" min","")))</f>
        <v/>
      </c>
      <c r="J45" s="66" t="n"/>
      <c r="K45" s="70" t="n"/>
      <c r="L45" s="73">
        <f>IF(R45="","",IF(INDEX('Recurring Schedule'!$J$6:$J$45,R45)="","",INDEX('Recurring Schedule'!$J$6:$J$45,R45)))</f>
        <v/>
      </c>
      <c r="M45" s="73">
        <f>IF(R45="","",IF(INDEX('Recurring Schedule'!$K$6:$K$45,R45)="","",INDEX('Recurring Schedule'!$K$6:$K$45,R45)))</f>
        <v/>
      </c>
      <c r="N45" s="73">
        <f>IF(R45="","",IF(INDEX('Recurring Schedule'!$L$6:$L$45,R45)="","",INDEX('Recurring Schedule'!$L$6:$L$45,R45)))</f>
        <v/>
      </c>
      <c r="O45" s="73">
        <f>IF(C45="","",IF(AND(OR(L45="1-Urgent",L45="2-High"),M45="✓"),"DO FIRST",IF(M45="✓","SCHEDULE",IF(OR(L45="1-Urgent",L45="2-High"),"DELEGATE","DELETE"))))</f>
        <v/>
      </c>
      <c r="P45" s="65" t="n"/>
      <c r="Q45">
        <f>IF(40&gt;Calc!$AQ$368,"",MATCH(39,Calc!$AQ$2:$AQ$367,1))</f>
        <v/>
      </c>
      <c r="R45">
        <f>IF(Q45="","",SMALL(INDEX(Calc!$B$2:$AO$367,Q45,0),40-INDEX(Calc!$AQ$2:$AQ$367,Q45)))</f>
        <v/>
      </c>
    </row>
    <row r="46">
      <c r="B46" s="64">
        <f>IF(R46="","",41)</f>
        <v/>
      </c>
      <c r="C46" s="37">
        <f>IF(R46="","",IF(INDEX('Recurring Schedule'!$C$6:$C$45,R46)="","",INDEX('Recurring Schedule'!$C$6:$C$45,R46)))</f>
        <v/>
      </c>
      <c r="D46" s="36">
        <f>IF(R46="","",IF(INDEX('Recurring Schedule'!$D$6:$D$45,R46)="","",INDEX('Recurring Schedule'!$D$6:$D$45,R46)))</f>
        <v/>
      </c>
      <c r="E46" s="38">
        <f>IF(Q46="","",INDEX(Calc!$A$2:$A$367,Q46))</f>
        <v/>
      </c>
      <c r="F46" s="68">
        <f>IF(OR(C46="",E46=""),"",E46-Setup!$D$7)</f>
        <v/>
      </c>
      <c r="G46" s="74">
        <f>IF(R46="","",IF(INDEX('Recurring Schedule'!$H$6:$H$45,R46)="","",INDEX('Recurring Schedule'!$H$6:$H$45,R46)))</f>
        <v/>
      </c>
      <c r="H46" s="74">
        <f>IF(R46="","",IF(INDEX('Recurring Schedule'!$I$6:$I$45,R46)="","",INDEX('Recurring Schedule'!$I$6:$I$45,R46)))</f>
        <v/>
      </c>
      <c r="I46" s="36">
        <f>IF(OR(G46="",H46=""),"",TRIM(IF(HOUR(H46-G46)&gt;0,HOUR(H46-G46)&amp;" hr ","")&amp;IF(MINUTE(H46-G46)&gt;0,MINUTE(H46-G46)&amp;" min","")))</f>
        <v/>
      </c>
      <c r="J46" s="66" t="n"/>
      <c r="K46" s="70" t="n"/>
      <c r="L46" s="36">
        <f>IF(R46="","",IF(INDEX('Recurring Schedule'!$J$6:$J$45,R46)="","",INDEX('Recurring Schedule'!$J$6:$J$45,R46)))</f>
        <v/>
      </c>
      <c r="M46" s="36">
        <f>IF(R46="","",IF(INDEX('Recurring Schedule'!$K$6:$K$45,R46)="","",INDEX('Recurring Schedule'!$K$6:$K$45,R46)))</f>
        <v/>
      </c>
      <c r="N46" s="36">
        <f>IF(R46="","",IF(INDEX('Recurring Schedule'!$L$6:$L$45,R46)="","",INDEX('Recurring Schedule'!$L$6:$L$45,R46)))</f>
        <v/>
      </c>
      <c r="O46" s="36">
        <f>IF(C46="","",IF(AND(OR(L46="1-Urgent",L46="2-High"),M46="✓"),"DO FIRST",IF(M46="✓","SCHEDULE",IF(OR(L46="1-Urgent",L46="2-High"),"DELEGATE","DELETE"))))</f>
        <v/>
      </c>
      <c r="P46" s="65" t="n"/>
      <c r="Q46">
        <f>IF(41&gt;Calc!$AQ$368,"",MATCH(40,Calc!$AQ$2:$AQ$367,1))</f>
        <v/>
      </c>
      <c r="R46">
        <f>IF(Q46="","",SMALL(INDEX(Calc!$B$2:$AO$367,Q46,0),41-INDEX(Calc!$AQ$2:$AQ$367,Q46)))</f>
        <v/>
      </c>
    </row>
    <row r="47">
      <c r="B47" s="71">
        <f>IF(R47="","",42)</f>
        <v/>
      </c>
      <c r="C47" s="75">
        <f>IF(R47="","",IF(INDEX('Recurring Schedule'!$C$6:$C$45,R47)="","",INDEX('Recurring Schedule'!$C$6:$C$45,R47)))</f>
        <v/>
      </c>
      <c r="D47" s="73">
        <f>IF(R47="","",IF(INDEX('Recurring Schedule'!$D$6:$D$45,R47)="","",INDEX('Recurring Schedule'!$D$6:$D$45,R47)))</f>
        <v/>
      </c>
      <c r="E47" s="76">
        <f>IF(Q47="","",INDEX(Calc!$A$2:$A$367,Q47))</f>
        <v/>
      </c>
      <c r="F47" s="72">
        <f>IF(OR(C47="",E47=""),"",E47-Setup!$D$7)</f>
        <v/>
      </c>
      <c r="G47" s="77">
        <f>IF(R47="","",IF(INDEX('Recurring Schedule'!$H$6:$H$45,R47)="","",INDEX('Recurring Schedule'!$H$6:$H$45,R47)))</f>
        <v/>
      </c>
      <c r="H47" s="77">
        <f>IF(R47="","",IF(INDEX('Recurring Schedule'!$I$6:$I$45,R47)="","",INDEX('Recurring Schedule'!$I$6:$I$45,R47)))</f>
        <v/>
      </c>
      <c r="I47" s="73">
        <f>IF(OR(G47="",H47=""),"",TRIM(IF(HOUR(H47-G47)&gt;0,HOUR(H47-G47)&amp;" hr ","")&amp;IF(MINUTE(H47-G47)&gt;0,MINUTE(H47-G47)&amp;" min","")))</f>
        <v/>
      </c>
      <c r="J47" s="66" t="n"/>
      <c r="K47" s="70" t="n"/>
      <c r="L47" s="73">
        <f>IF(R47="","",IF(INDEX('Recurring Schedule'!$J$6:$J$45,R47)="","",INDEX('Recurring Schedule'!$J$6:$J$45,R47)))</f>
        <v/>
      </c>
      <c r="M47" s="73">
        <f>IF(R47="","",IF(INDEX('Recurring Schedule'!$K$6:$K$45,R47)="","",INDEX('Recurring Schedule'!$K$6:$K$45,R47)))</f>
        <v/>
      </c>
      <c r="N47" s="73">
        <f>IF(R47="","",IF(INDEX('Recurring Schedule'!$L$6:$L$45,R47)="","",INDEX('Recurring Schedule'!$L$6:$L$45,R47)))</f>
        <v/>
      </c>
      <c r="O47" s="73">
        <f>IF(C47="","",IF(AND(OR(L47="1-Urgent",L47="2-High"),M47="✓"),"DO FIRST",IF(M47="✓","SCHEDULE",IF(OR(L47="1-Urgent",L47="2-High"),"DELEGATE","DELETE"))))</f>
        <v/>
      </c>
      <c r="P47" s="65" t="n"/>
      <c r="Q47">
        <f>IF(42&gt;Calc!$AQ$368,"",MATCH(41,Calc!$AQ$2:$AQ$367,1))</f>
        <v/>
      </c>
      <c r="R47">
        <f>IF(Q47="","",SMALL(INDEX(Calc!$B$2:$AO$367,Q47,0),42-INDEX(Calc!$AQ$2:$AQ$367,Q47)))</f>
        <v/>
      </c>
    </row>
    <row r="48">
      <c r="B48" s="64">
        <f>IF(R48="","",43)</f>
        <v/>
      </c>
      <c r="C48" s="37">
        <f>IF(R48="","",IF(INDEX('Recurring Schedule'!$C$6:$C$45,R48)="","",INDEX('Recurring Schedule'!$C$6:$C$45,R48)))</f>
        <v/>
      </c>
      <c r="D48" s="36">
        <f>IF(R48="","",IF(INDEX('Recurring Schedule'!$D$6:$D$45,R48)="","",INDEX('Recurring Schedule'!$D$6:$D$45,R48)))</f>
        <v/>
      </c>
      <c r="E48" s="38">
        <f>IF(Q48="","",INDEX(Calc!$A$2:$A$367,Q48))</f>
        <v/>
      </c>
      <c r="F48" s="68">
        <f>IF(OR(C48="",E48=""),"",E48-Setup!$D$7)</f>
        <v/>
      </c>
      <c r="G48" s="74">
        <f>IF(R48="","",IF(INDEX('Recurring Schedule'!$H$6:$H$45,R48)="","",INDEX('Recurring Schedule'!$H$6:$H$45,R48)))</f>
        <v/>
      </c>
      <c r="H48" s="74">
        <f>IF(R48="","",IF(INDEX('Recurring Schedule'!$I$6:$I$45,R48)="","",INDEX('Recurring Schedule'!$I$6:$I$45,R48)))</f>
        <v/>
      </c>
      <c r="I48" s="36">
        <f>IF(OR(G48="",H48=""),"",TRIM(IF(HOUR(H48-G48)&gt;0,HOUR(H48-G48)&amp;" hr ","")&amp;IF(MINUTE(H48-G48)&gt;0,MINUTE(H48-G48)&amp;" min","")))</f>
        <v/>
      </c>
      <c r="J48" s="66" t="n"/>
      <c r="K48" s="70" t="n"/>
      <c r="L48" s="36">
        <f>IF(R48="","",IF(INDEX('Recurring Schedule'!$J$6:$J$45,R48)="","",INDEX('Recurring Schedule'!$J$6:$J$45,R48)))</f>
        <v/>
      </c>
      <c r="M48" s="36">
        <f>IF(R48="","",IF(INDEX('Recurring Schedule'!$K$6:$K$45,R48)="","",INDEX('Recurring Schedule'!$K$6:$K$45,R48)))</f>
        <v/>
      </c>
      <c r="N48" s="36">
        <f>IF(R48="","",IF(INDEX('Recurring Schedule'!$L$6:$L$45,R48)="","",INDEX('Recurring Schedule'!$L$6:$L$45,R48)))</f>
        <v/>
      </c>
      <c r="O48" s="36">
        <f>IF(C48="","",IF(AND(OR(L48="1-Urgent",L48="2-High"),M48="✓"),"DO FIRST",IF(M48="✓","SCHEDULE",IF(OR(L48="1-Urgent",L48="2-High"),"DELEGATE","DELETE"))))</f>
        <v/>
      </c>
      <c r="P48" s="65" t="n"/>
      <c r="Q48">
        <f>IF(43&gt;Calc!$AQ$368,"",MATCH(42,Calc!$AQ$2:$AQ$367,1))</f>
        <v/>
      </c>
      <c r="R48">
        <f>IF(Q48="","",SMALL(INDEX(Calc!$B$2:$AO$367,Q48,0),43-INDEX(Calc!$AQ$2:$AQ$367,Q48)))</f>
        <v/>
      </c>
    </row>
    <row r="49">
      <c r="B49" s="71">
        <f>IF(R49="","",44)</f>
        <v/>
      </c>
      <c r="C49" s="75">
        <f>IF(R49="","",IF(INDEX('Recurring Schedule'!$C$6:$C$45,R49)="","",INDEX('Recurring Schedule'!$C$6:$C$45,R49)))</f>
        <v/>
      </c>
      <c r="D49" s="73">
        <f>IF(R49="","",IF(INDEX('Recurring Schedule'!$D$6:$D$45,R49)="","",INDEX('Recurring Schedule'!$D$6:$D$45,R49)))</f>
        <v/>
      </c>
      <c r="E49" s="76">
        <f>IF(Q49="","",INDEX(Calc!$A$2:$A$367,Q49))</f>
        <v/>
      </c>
      <c r="F49" s="72">
        <f>IF(OR(C49="",E49=""),"",E49-Setup!$D$7)</f>
        <v/>
      </c>
      <c r="G49" s="77">
        <f>IF(R49="","",IF(INDEX('Recurring Schedule'!$H$6:$H$45,R49)="","",INDEX('Recurring Schedule'!$H$6:$H$45,R49)))</f>
        <v/>
      </c>
      <c r="H49" s="77">
        <f>IF(R49="","",IF(INDEX('Recurring Schedule'!$I$6:$I$45,R49)="","",INDEX('Recurring Schedule'!$I$6:$I$45,R49)))</f>
        <v/>
      </c>
      <c r="I49" s="73">
        <f>IF(OR(G49="",H49=""),"",TRIM(IF(HOUR(H49-G49)&gt;0,HOUR(H49-G49)&amp;" hr ","")&amp;IF(MINUTE(H49-G49)&gt;0,MINUTE(H49-G49)&amp;" min","")))</f>
        <v/>
      </c>
      <c r="J49" s="66" t="n"/>
      <c r="K49" s="70" t="n"/>
      <c r="L49" s="73">
        <f>IF(R49="","",IF(INDEX('Recurring Schedule'!$J$6:$J$45,R49)="","",INDEX('Recurring Schedule'!$J$6:$J$45,R49)))</f>
        <v/>
      </c>
      <c r="M49" s="73">
        <f>IF(R49="","",IF(INDEX('Recurring Schedule'!$K$6:$K$45,R49)="","",INDEX('Recurring Schedule'!$K$6:$K$45,R49)))</f>
        <v/>
      </c>
      <c r="N49" s="73">
        <f>IF(R49="","",IF(INDEX('Recurring Schedule'!$L$6:$L$45,R49)="","",INDEX('Recurring Schedule'!$L$6:$L$45,R49)))</f>
        <v/>
      </c>
      <c r="O49" s="73">
        <f>IF(C49="","",IF(AND(OR(L49="1-Urgent",L49="2-High"),M49="✓"),"DO FIRST",IF(M49="✓","SCHEDULE",IF(OR(L49="1-Urgent",L49="2-High"),"DELEGATE","DELETE"))))</f>
        <v/>
      </c>
      <c r="P49" s="65" t="n"/>
      <c r="Q49">
        <f>IF(44&gt;Calc!$AQ$368,"",MATCH(43,Calc!$AQ$2:$AQ$367,1))</f>
        <v/>
      </c>
      <c r="R49">
        <f>IF(Q49="","",SMALL(INDEX(Calc!$B$2:$AO$367,Q49,0),44-INDEX(Calc!$AQ$2:$AQ$367,Q49)))</f>
        <v/>
      </c>
    </row>
    <row r="50">
      <c r="B50" s="64">
        <f>IF(R50="","",45)</f>
        <v/>
      </c>
      <c r="C50" s="37">
        <f>IF(R50="","",IF(INDEX('Recurring Schedule'!$C$6:$C$45,R50)="","",INDEX('Recurring Schedule'!$C$6:$C$45,R50)))</f>
        <v/>
      </c>
      <c r="D50" s="36">
        <f>IF(R50="","",IF(INDEX('Recurring Schedule'!$D$6:$D$45,R50)="","",INDEX('Recurring Schedule'!$D$6:$D$45,R50)))</f>
        <v/>
      </c>
      <c r="E50" s="38">
        <f>IF(Q50="","",INDEX(Calc!$A$2:$A$367,Q50))</f>
        <v/>
      </c>
      <c r="F50" s="68">
        <f>IF(OR(C50="",E50=""),"",E50-Setup!$D$7)</f>
        <v/>
      </c>
      <c r="G50" s="74">
        <f>IF(R50="","",IF(INDEX('Recurring Schedule'!$H$6:$H$45,R50)="","",INDEX('Recurring Schedule'!$H$6:$H$45,R50)))</f>
        <v/>
      </c>
      <c r="H50" s="74">
        <f>IF(R50="","",IF(INDEX('Recurring Schedule'!$I$6:$I$45,R50)="","",INDEX('Recurring Schedule'!$I$6:$I$45,R50)))</f>
        <v/>
      </c>
      <c r="I50" s="36">
        <f>IF(OR(G50="",H50=""),"",TRIM(IF(HOUR(H50-G50)&gt;0,HOUR(H50-G50)&amp;" hr ","")&amp;IF(MINUTE(H50-G50)&gt;0,MINUTE(H50-G50)&amp;" min","")))</f>
        <v/>
      </c>
      <c r="J50" s="66" t="n"/>
      <c r="K50" s="70" t="n"/>
      <c r="L50" s="36">
        <f>IF(R50="","",IF(INDEX('Recurring Schedule'!$J$6:$J$45,R50)="","",INDEX('Recurring Schedule'!$J$6:$J$45,R50)))</f>
        <v/>
      </c>
      <c r="M50" s="36">
        <f>IF(R50="","",IF(INDEX('Recurring Schedule'!$K$6:$K$45,R50)="","",INDEX('Recurring Schedule'!$K$6:$K$45,R50)))</f>
        <v/>
      </c>
      <c r="N50" s="36">
        <f>IF(R50="","",IF(INDEX('Recurring Schedule'!$L$6:$L$45,R50)="","",INDEX('Recurring Schedule'!$L$6:$L$45,R50)))</f>
        <v/>
      </c>
      <c r="O50" s="36">
        <f>IF(C50="","",IF(AND(OR(L50="1-Urgent",L50="2-High"),M50="✓"),"DO FIRST",IF(M50="✓","SCHEDULE",IF(OR(L50="1-Urgent",L50="2-High"),"DELEGATE","DELETE"))))</f>
        <v/>
      </c>
      <c r="P50" s="65" t="n"/>
      <c r="Q50">
        <f>IF(45&gt;Calc!$AQ$368,"",MATCH(44,Calc!$AQ$2:$AQ$367,1))</f>
        <v/>
      </c>
      <c r="R50">
        <f>IF(Q50="","",SMALL(INDEX(Calc!$B$2:$AO$367,Q50,0),45-INDEX(Calc!$AQ$2:$AQ$367,Q50)))</f>
        <v/>
      </c>
    </row>
    <row r="51">
      <c r="B51" s="71">
        <f>IF(R51="","",46)</f>
        <v/>
      </c>
      <c r="C51" s="75">
        <f>IF(R51="","",IF(INDEX('Recurring Schedule'!$C$6:$C$45,R51)="","",INDEX('Recurring Schedule'!$C$6:$C$45,R51)))</f>
        <v/>
      </c>
      <c r="D51" s="73">
        <f>IF(R51="","",IF(INDEX('Recurring Schedule'!$D$6:$D$45,R51)="","",INDEX('Recurring Schedule'!$D$6:$D$45,R51)))</f>
        <v/>
      </c>
      <c r="E51" s="76">
        <f>IF(Q51="","",INDEX(Calc!$A$2:$A$367,Q51))</f>
        <v/>
      </c>
      <c r="F51" s="72">
        <f>IF(OR(C51="",E51=""),"",E51-Setup!$D$7)</f>
        <v/>
      </c>
      <c r="G51" s="77">
        <f>IF(R51="","",IF(INDEX('Recurring Schedule'!$H$6:$H$45,R51)="","",INDEX('Recurring Schedule'!$H$6:$H$45,R51)))</f>
        <v/>
      </c>
      <c r="H51" s="77">
        <f>IF(R51="","",IF(INDEX('Recurring Schedule'!$I$6:$I$45,R51)="","",INDEX('Recurring Schedule'!$I$6:$I$45,R51)))</f>
        <v/>
      </c>
      <c r="I51" s="73">
        <f>IF(OR(G51="",H51=""),"",TRIM(IF(HOUR(H51-G51)&gt;0,HOUR(H51-G51)&amp;" hr ","")&amp;IF(MINUTE(H51-G51)&gt;0,MINUTE(H51-G51)&amp;" min","")))</f>
        <v/>
      </c>
      <c r="J51" s="66" t="n"/>
      <c r="K51" s="70" t="n"/>
      <c r="L51" s="73">
        <f>IF(R51="","",IF(INDEX('Recurring Schedule'!$J$6:$J$45,R51)="","",INDEX('Recurring Schedule'!$J$6:$J$45,R51)))</f>
        <v/>
      </c>
      <c r="M51" s="73">
        <f>IF(R51="","",IF(INDEX('Recurring Schedule'!$K$6:$K$45,R51)="","",INDEX('Recurring Schedule'!$K$6:$K$45,R51)))</f>
        <v/>
      </c>
      <c r="N51" s="73">
        <f>IF(R51="","",IF(INDEX('Recurring Schedule'!$L$6:$L$45,R51)="","",INDEX('Recurring Schedule'!$L$6:$L$45,R51)))</f>
        <v/>
      </c>
      <c r="O51" s="73">
        <f>IF(C51="","",IF(AND(OR(L51="1-Urgent",L51="2-High"),M51="✓"),"DO FIRST",IF(M51="✓","SCHEDULE",IF(OR(L51="1-Urgent",L51="2-High"),"DELEGATE","DELETE"))))</f>
        <v/>
      </c>
      <c r="P51" s="65" t="n"/>
      <c r="Q51">
        <f>IF(46&gt;Calc!$AQ$368,"",MATCH(45,Calc!$AQ$2:$AQ$367,1))</f>
        <v/>
      </c>
      <c r="R51">
        <f>IF(Q51="","",SMALL(INDEX(Calc!$B$2:$AO$367,Q51,0),46-INDEX(Calc!$AQ$2:$AQ$367,Q51)))</f>
        <v/>
      </c>
    </row>
    <row r="52">
      <c r="B52" s="64">
        <f>IF(R52="","",47)</f>
        <v/>
      </c>
      <c r="C52" s="37">
        <f>IF(R52="","",IF(INDEX('Recurring Schedule'!$C$6:$C$45,R52)="","",INDEX('Recurring Schedule'!$C$6:$C$45,R52)))</f>
        <v/>
      </c>
      <c r="D52" s="36">
        <f>IF(R52="","",IF(INDEX('Recurring Schedule'!$D$6:$D$45,R52)="","",INDEX('Recurring Schedule'!$D$6:$D$45,R52)))</f>
        <v/>
      </c>
      <c r="E52" s="38">
        <f>IF(Q52="","",INDEX(Calc!$A$2:$A$367,Q52))</f>
        <v/>
      </c>
      <c r="F52" s="68">
        <f>IF(OR(C52="",E52=""),"",E52-Setup!$D$7)</f>
        <v/>
      </c>
      <c r="G52" s="74">
        <f>IF(R52="","",IF(INDEX('Recurring Schedule'!$H$6:$H$45,R52)="","",INDEX('Recurring Schedule'!$H$6:$H$45,R52)))</f>
        <v/>
      </c>
      <c r="H52" s="74">
        <f>IF(R52="","",IF(INDEX('Recurring Schedule'!$I$6:$I$45,R52)="","",INDEX('Recurring Schedule'!$I$6:$I$45,R52)))</f>
        <v/>
      </c>
      <c r="I52" s="36">
        <f>IF(OR(G52="",H52=""),"",TRIM(IF(HOUR(H52-G52)&gt;0,HOUR(H52-G52)&amp;" hr ","")&amp;IF(MINUTE(H52-G52)&gt;0,MINUTE(H52-G52)&amp;" min","")))</f>
        <v/>
      </c>
      <c r="J52" s="66" t="n"/>
      <c r="K52" s="70" t="n"/>
      <c r="L52" s="36">
        <f>IF(R52="","",IF(INDEX('Recurring Schedule'!$J$6:$J$45,R52)="","",INDEX('Recurring Schedule'!$J$6:$J$45,R52)))</f>
        <v/>
      </c>
      <c r="M52" s="36">
        <f>IF(R52="","",IF(INDEX('Recurring Schedule'!$K$6:$K$45,R52)="","",INDEX('Recurring Schedule'!$K$6:$K$45,R52)))</f>
        <v/>
      </c>
      <c r="N52" s="36">
        <f>IF(R52="","",IF(INDEX('Recurring Schedule'!$L$6:$L$45,R52)="","",INDEX('Recurring Schedule'!$L$6:$L$45,R52)))</f>
        <v/>
      </c>
      <c r="O52" s="36">
        <f>IF(C52="","",IF(AND(OR(L52="1-Urgent",L52="2-High"),M52="✓"),"DO FIRST",IF(M52="✓","SCHEDULE",IF(OR(L52="1-Urgent",L52="2-High"),"DELEGATE","DELETE"))))</f>
        <v/>
      </c>
      <c r="P52" s="65" t="n"/>
      <c r="Q52">
        <f>IF(47&gt;Calc!$AQ$368,"",MATCH(46,Calc!$AQ$2:$AQ$367,1))</f>
        <v/>
      </c>
      <c r="R52">
        <f>IF(Q52="","",SMALL(INDEX(Calc!$B$2:$AO$367,Q52,0),47-INDEX(Calc!$AQ$2:$AQ$367,Q52)))</f>
        <v/>
      </c>
    </row>
    <row r="53">
      <c r="B53" s="71">
        <f>IF(R53="","",48)</f>
        <v/>
      </c>
      <c r="C53" s="75">
        <f>IF(R53="","",IF(INDEX('Recurring Schedule'!$C$6:$C$45,R53)="","",INDEX('Recurring Schedule'!$C$6:$C$45,R53)))</f>
        <v/>
      </c>
      <c r="D53" s="73">
        <f>IF(R53="","",IF(INDEX('Recurring Schedule'!$D$6:$D$45,R53)="","",INDEX('Recurring Schedule'!$D$6:$D$45,R53)))</f>
        <v/>
      </c>
      <c r="E53" s="76">
        <f>IF(Q53="","",INDEX(Calc!$A$2:$A$367,Q53))</f>
        <v/>
      </c>
      <c r="F53" s="72">
        <f>IF(OR(C53="",E53=""),"",E53-Setup!$D$7)</f>
        <v/>
      </c>
      <c r="G53" s="77">
        <f>IF(R53="","",IF(INDEX('Recurring Schedule'!$H$6:$H$45,R53)="","",INDEX('Recurring Schedule'!$H$6:$H$45,R53)))</f>
        <v/>
      </c>
      <c r="H53" s="77">
        <f>IF(R53="","",IF(INDEX('Recurring Schedule'!$I$6:$I$45,R53)="","",INDEX('Recurring Schedule'!$I$6:$I$45,R53)))</f>
        <v/>
      </c>
      <c r="I53" s="73">
        <f>IF(OR(G53="",H53=""),"",TRIM(IF(HOUR(H53-G53)&gt;0,HOUR(H53-G53)&amp;" hr ","")&amp;IF(MINUTE(H53-G53)&gt;0,MINUTE(H53-G53)&amp;" min","")))</f>
        <v/>
      </c>
      <c r="J53" s="66" t="n"/>
      <c r="K53" s="70" t="n"/>
      <c r="L53" s="73">
        <f>IF(R53="","",IF(INDEX('Recurring Schedule'!$J$6:$J$45,R53)="","",INDEX('Recurring Schedule'!$J$6:$J$45,R53)))</f>
        <v/>
      </c>
      <c r="M53" s="73">
        <f>IF(R53="","",IF(INDEX('Recurring Schedule'!$K$6:$K$45,R53)="","",INDEX('Recurring Schedule'!$K$6:$K$45,R53)))</f>
        <v/>
      </c>
      <c r="N53" s="73">
        <f>IF(R53="","",IF(INDEX('Recurring Schedule'!$L$6:$L$45,R53)="","",INDEX('Recurring Schedule'!$L$6:$L$45,R53)))</f>
        <v/>
      </c>
      <c r="O53" s="73">
        <f>IF(C53="","",IF(AND(OR(L53="1-Urgent",L53="2-High"),M53="✓"),"DO FIRST",IF(M53="✓","SCHEDULE",IF(OR(L53="1-Urgent",L53="2-High"),"DELEGATE","DELETE"))))</f>
        <v/>
      </c>
      <c r="P53" s="65" t="n"/>
      <c r="Q53">
        <f>IF(48&gt;Calc!$AQ$368,"",MATCH(47,Calc!$AQ$2:$AQ$367,1))</f>
        <v/>
      </c>
      <c r="R53">
        <f>IF(Q53="","",SMALL(INDEX(Calc!$B$2:$AO$367,Q53,0),48-INDEX(Calc!$AQ$2:$AQ$367,Q53)))</f>
        <v/>
      </c>
    </row>
    <row r="54">
      <c r="B54" s="64">
        <f>IF(R54="","",49)</f>
        <v/>
      </c>
      <c r="C54" s="37">
        <f>IF(R54="","",IF(INDEX('Recurring Schedule'!$C$6:$C$45,R54)="","",INDEX('Recurring Schedule'!$C$6:$C$45,R54)))</f>
        <v/>
      </c>
      <c r="D54" s="36">
        <f>IF(R54="","",IF(INDEX('Recurring Schedule'!$D$6:$D$45,R54)="","",INDEX('Recurring Schedule'!$D$6:$D$45,R54)))</f>
        <v/>
      </c>
      <c r="E54" s="38">
        <f>IF(Q54="","",INDEX(Calc!$A$2:$A$367,Q54))</f>
        <v/>
      </c>
      <c r="F54" s="68">
        <f>IF(OR(C54="",E54=""),"",E54-Setup!$D$7)</f>
        <v/>
      </c>
      <c r="G54" s="74">
        <f>IF(R54="","",IF(INDEX('Recurring Schedule'!$H$6:$H$45,R54)="","",INDEX('Recurring Schedule'!$H$6:$H$45,R54)))</f>
        <v/>
      </c>
      <c r="H54" s="74">
        <f>IF(R54="","",IF(INDEX('Recurring Schedule'!$I$6:$I$45,R54)="","",INDEX('Recurring Schedule'!$I$6:$I$45,R54)))</f>
        <v/>
      </c>
      <c r="I54" s="36">
        <f>IF(OR(G54="",H54=""),"",TRIM(IF(HOUR(H54-G54)&gt;0,HOUR(H54-G54)&amp;" hr ","")&amp;IF(MINUTE(H54-G54)&gt;0,MINUTE(H54-G54)&amp;" min","")))</f>
        <v/>
      </c>
      <c r="J54" s="66" t="n"/>
      <c r="K54" s="70" t="n"/>
      <c r="L54" s="36">
        <f>IF(R54="","",IF(INDEX('Recurring Schedule'!$J$6:$J$45,R54)="","",INDEX('Recurring Schedule'!$J$6:$J$45,R54)))</f>
        <v/>
      </c>
      <c r="M54" s="36">
        <f>IF(R54="","",IF(INDEX('Recurring Schedule'!$K$6:$K$45,R54)="","",INDEX('Recurring Schedule'!$K$6:$K$45,R54)))</f>
        <v/>
      </c>
      <c r="N54" s="36">
        <f>IF(R54="","",IF(INDEX('Recurring Schedule'!$L$6:$L$45,R54)="","",INDEX('Recurring Schedule'!$L$6:$L$45,R54)))</f>
        <v/>
      </c>
      <c r="O54" s="36">
        <f>IF(C54="","",IF(AND(OR(L54="1-Urgent",L54="2-High"),M54="✓"),"DO FIRST",IF(M54="✓","SCHEDULE",IF(OR(L54="1-Urgent",L54="2-High"),"DELEGATE","DELETE"))))</f>
        <v/>
      </c>
      <c r="P54" s="65" t="n"/>
      <c r="Q54">
        <f>IF(49&gt;Calc!$AQ$368,"",MATCH(48,Calc!$AQ$2:$AQ$367,1))</f>
        <v/>
      </c>
      <c r="R54">
        <f>IF(Q54="","",SMALL(INDEX(Calc!$B$2:$AO$367,Q54,0),49-INDEX(Calc!$AQ$2:$AQ$367,Q54)))</f>
        <v/>
      </c>
    </row>
    <row r="55">
      <c r="B55" s="71">
        <f>IF(R55="","",50)</f>
        <v/>
      </c>
      <c r="C55" s="75">
        <f>IF(R55="","",IF(INDEX('Recurring Schedule'!$C$6:$C$45,R55)="","",INDEX('Recurring Schedule'!$C$6:$C$45,R55)))</f>
        <v/>
      </c>
      <c r="D55" s="73">
        <f>IF(R55="","",IF(INDEX('Recurring Schedule'!$D$6:$D$45,R55)="","",INDEX('Recurring Schedule'!$D$6:$D$45,R55)))</f>
        <v/>
      </c>
      <c r="E55" s="76">
        <f>IF(Q55="","",INDEX(Calc!$A$2:$A$367,Q55))</f>
        <v/>
      </c>
      <c r="F55" s="72">
        <f>IF(OR(C55="",E55=""),"",E55-Setup!$D$7)</f>
        <v/>
      </c>
      <c r="G55" s="77">
        <f>IF(R55="","",IF(INDEX('Recurring Schedule'!$H$6:$H$45,R55)="","",INDEX('Recurring Schedule'!$H$6:$H$45,R55)))</f>
        <v/>
      </c>
      <c r="H55" s="77">
        <f>IF(R55="","",IF(INDEX('Recurring Schedule'!$I$6:$I$45,R55)="","",INDEX('Recurring Schedule'!$I$6:$I$45,R55)))</f>
        <v/>
      </c>
      <c r="I55" s="73">
        <f>IF(OR(G55="",H55=""),"",TRIM(IF(HOUR(H55-G55)&gt;0,HOUR(H55-G55)&amp;" hr ","")&amp;IF(MINUTE(H55-G55)&gt;0,MINUTE(H55-G55)&amp;" min","")))</f>
        <v/>
      </c>
      <c r="J55" s="66" t="n"/>
      <c r="K55" s="70" t="n"/>
      <c r="L55" s="73">
        <f>IF(R55="","",IF(INDEX('Recurring Schedule'!$J$6:$J$45,R55)="","",INDEX('Recurring Schedule'!$J$6:$J$45,R55)))</f>
        <v/>
      </c>
      <c r="M55" s="73">
        <f>IF(R55="","",IF(INDEX('Recurring Schedule'!$K$6:$K$45,R55)="","",INDEX('Recurring Schedule'!$K$6:$K$45,R55)))</f>
        <v/>
      </c>
      <c r="N55" s="73">
        <f>IF(R55="","",IF(INDEX('Recurring Schedule'!$L$6:$L$45,R55)="","",INDEX('Recurring Schedule'!$L$6:$L$45,R55)))</f>
        <v/>
      </c>
      <c r="O55" s="73">
        <f>IF(C55="","",IF(AND(OR(L55="1-Urgent",L55="2-High"),M55="✓"),"DO FIRST",IF(M55="✓","SCHEDULE",IF(OR(L55="1-Urgent",L55="2-High"),"DELEGATE","DELETE"))))</f>
        <v/>
      </c>
      <c r="P55" s="65" t="n"/>
      <c r="Q55">
        <f>IF(50&gt;Calc!$AQ$368,"",MATCH(49,Calc!$AQ$2:$AQ$367,1))</f>
        <v/>
      </c>
      <c r="R55">
        <f>IF(Q55="","",SMALL(INDEX(Calc!$B$2:$AO$367,Q55,0),50-INDEX(Calc!$AQ$2:$AQ$367,Q55)))</f>
        <v/>
      </c>
    </row>
    <row r="56">
      <c r="B56" s="64">
        <f>IF(R56="","",51)</f>
        <v/>
      </c>
      <c r="C56" s="37">
        <f>IF(R56="","",IF(INDEX('Recurring Schedule'!$C$6:$C$45,R56)="","",INDEX('Recurring Schedule'!$C$6:$C$45,R56)))</f>
        <v/>
      </c>
      <c r="D56" s="36">
        <f>IF(R56="","",IF(INDEX('Recurring Schedule'!$D$6:$D$45,R56)="","",INDEX('Recurring Schedule'!$D$6:$D$45,R56)))</f>
        <v/>
      </c>
      <c r="E56" s="38">
        <f>IF(Q56="","",INDEX(Calc!$A$2:$A$367,Q56))</f>
        <v/>
      </c>
      <c r="F56" s="68">
        <f>IF(OR(C56="",E56=""),"",E56-Setup!$D$7)</f>
        <v/>
      </c>
      <c r="G56" s="74">
        <f>IF(R56="","",IF(INDEX('Recurring Schedule'!$H$6:$H$45,R56)="","",INDEX('Recurring Schedule'!$H$6:$H$45,R56)))</f>
        <v/>
      </c>
      <c r="H56" s="74">
        <f>IF(R56="","",IF(INDEX('Recurring Schedule'!$I$6:$I$45,R56)="","",INDEX('Recurring Schedule'!$I$6:$I$45,R56)))</f>
        <v/>
      </c>
      <c r="I56" s="36">
        <f>IF(OR(G56="",H56=""),"",TRIM(IF(HOUR(H56-G56)&gt;0,HOUR(H56-G56)&amp;" hr ","")&amp;IF(MINUTE(H56-G56)&gt;0,MINUTE(H56-G56)&amp;" min","")))</f>
        <v/>
      </c>
      <c r="J56" s="66" t="n"/>
      <c r="K56" s="70" t="n"/>
      <c r="L56" s="36">
        <f>IF(R56="","",IF(INDEX('Recurring Schedule'!$J$6:$J$45,R56)="","",INDEX('Recurring Schedule'!$J$6:$J$45,R56)))</f>
        <v/>
      </c>
      <c r="M56" s="36">
        <f>IF(R56="","",IF(INDEX('Recurring Schedule'!$K$6:$K$45,R56)="","",INDEX('Recurring Schedule'!$K$6:$K$45,R56)))</f>
        <v/>
      </c>
      <c r="N56" s="36">
        <f>IF(R56="","",IF(INDEX('Recurring Schedule'!$L$6:$L$45,R56)="","",INDEX('Recurring Schedule'!$L$6:$L$45,R56)))</f>
        <v/>
      </c>
      <c r="O56" s="36">
        <f>IF(C56="","",IF(AND(OR(L56="1-Urgent",L56="2-High"),M56="✓"),"DO FIRST",IF(M56="✓","SCHEDULE",IF(OR(L56="1-Urgent",L56="2-High"),"DELEGATE","DELETE"))))</f>
        <v/>
      </c>
      <c r="P56" s="65" t="n"/>
      <c r="Q56">
        <f>IF(51&gt;Calc!$AQ$368,"",MATCH(50,Calc!$AQ$2:$AQ$367,1))</f>
        <v/>
      </c>
      <c r="R56">
        <f>IF(Q56="","",SMALL(INDEX(Calc!$B$2:$AO$367,Q56,0),51-INDEX(Calc!$AQ$2:$AQ$367,Q56)))</f>
        <v/>
      </c>
    </row>
    <row r="57">
      <c r="B57" s="71">
        <f>IF(R57="","",52)</f>
        <v/>
      </c>
      <c r="C57" s="75">
        <f>IF(R57="","",IF(INDEX('Recurring Schedule'!$C$6:$C$45,R57)="","",INDEX('Recurring Schedule'!$C$6:$C$45,R57)))</f>
        <v/>
      </c>
      <c r="D57" s="73">
        <f>IF(R57="","",IF(INDEX('Recurring Schedule'!$D$6:$D$45,R57)="","",INDEX('Recurring Schedule'!$D$6:$D$45,R57)))</f>
        <v/>
      </c>
      <c r="E57" s="76">
        <f>IF(Q57="","",INDEX(Calc!$A$2:$A$367,Q57))</f>
        <v/>
      </c>
      <c r="F57" s="72">
        <f>IF(OR(C57="",E57=""),"",E57-Setup!$D$7)</f>
        <v/>
      </c>
      <c r="G57" s="77">
        <f>IF(R57="","",IF(INDEX('Recurring Schedule'!$H$6:$H$45,R57)="","",INDEX('Recurring Schedule'!$H$6:$H$45,R57)))</f>
        <v/>
      </c>
      <c r="H57" s="77">
        <f>IF(R57="","",IF(INDEX('Recurring Schedule'!$I$6:$I$45,R57)="","",INDEX('Recurring Schedule'!$I$6:$I$45,R57)))</f>
        <v/>
      </c>
      <c r="I57" s="73">
        <f>IF(OR(G57="",H57=""),"",TRIM(IF(HOUR(H57-G57)&gt;0,HOUR(H57-G57)&amp;" hr ","")&amp;IF(MINUTE(H57-G57)&gt;0,MINUTE(H57-G57)&amp;" min","")))</f>
        <v/>
      </c>
      <c r="J57" s="66" t="n"/>
      <c r="K57" s="70" t="n"/>
      <c r="L57" s="73">
        <f>IF(R57="","",IF(INDEX('Recurring Schedule'!$J$6:$J$45,R57)="","",INDEX('Recurring Schedule'!$J$6:$J$45,R57)))</f>
        <v/>
      </c>
      <c r="M57" s="73">
        <f>IF(R57="","",IF(INDEX('Recurring Schedule'!$K$6:$K$45,R57)="","",INDEX('Recurring Schedule'!$K$6:$K$45,R57)))</f>
        <v/>
      </c>
      <c r="N57" s="73">
        <f>IF(R57="","",IF(INDEX('Recurring Schedule'!$L$6:$L$45,R57)="","",INDEX('Recurring Schedule'!$L$6:$L$45,R57)))</f>
        <v/>
      </c>
      <c r="O57" s="73">
        <f>IF(C57="","",IF(AND(OR(L57="1-Urgent",L57="2-High"),M57="✓"),"DO FIRST",IF(M57="✓","SCHEDULE",IF(OR(L57="1-Urgent",L57="2-High"),"DELEGATE","DELETE"))))</f>
        <v/>
      </c>
      <c r="P57" s="65" t="n"/>
      <c r="Q57">
        <f>IF(52&gt;Calc!$AQ$368,"",MATCH(51,Calc!$AQ$2:$AQ$367,1))</f>
        <v/>
      </c>
      <c r="R57">
        <f>IF(Q57="","",SMALL(INDEX(Calc!$B$2:$AO$367,Q57,0),52-INDEX(Calc!$AQ$2:$AQ$367,Q57)))</f>
        <v/>
      </c>
    </row>
    <row r="58">
      <c r="B58" s="64">
        <f>IF(R58="","",53)</f>
        <v/>
      </c>
      <c r="C58" s="37">
        <f>IF(R58="","",IF(INDEX('Recurring Schedule'!$C$6:$C$45,R58)="","",INDEX('Recurring Schedule'!$C$6:$C$45,R58)))</f>
        <v/>
      </c>
      <c r="D58" s="36">
        <f>IF(R58="","",IF(INDEX('Recurring Schedule'!$D$6:$D$45,R58)="","",INDEX('Recurring Schedule'!$D$6:$D$45,R58)))</f>
        <v/>
      </c>
      <c r="E58" s="38">
        <f>IF(Q58="","",INDEX(Calc!$A$2:$A$367,Q58))</f>
        <v/>
      </c>
      <c r="F58" s="68">
        <f>IF(OR(C58="",E58=""),"",E58-Setup!$D$7)</f>
        <v/>
      </c>
      <c r="G58" s="74">
        <f>IF(R58="","",IF(INDEX('Recurring Schedule'!$H$6:$H$45,R58)="","",INDEX('Recurring Schedule'!$H$6:$H$45,R58)))</f>
        <v/>
      </c>
      <c r="H58" s="74">
        <f>IF(R58="","",IF(INDEX('Recurring Schedule'!$I$6:$I$45,R58)="","",INDEX('Recurring Schedule'!$I$6:$I$45,R58)))</f>
        <v/>
      </c>
      <c r="I58" s="36">
        <f>IF(OR(G58="",H58=""),"",TRIM(IF(HOUR(H58-G58)&gt;0,HOUR(H58-G58)&amp;" hr ","")&amp;IF(MINUTE(H58-G58)&gt;0,MINUTE(H58-G58)&amp;" min","")))</f>
        <v/>
      </c>
      <c r="J58" s="66" t="n"/>
      <c r="K58" s="70" t="n"/>
      <c r="L58" s="36">
        <f>IF(R58="","",IF(INDEX('Recurring Schedule'!$J$6:$J$45,R58)="","",INDEX('Recurring Schedule'!$J$6:$J$45,R58)))</f>
        <v/>
      </c>
      <c r="M58" s="36">
        <f>IF(R58="","",IF(INDEX('Recurring Schedule'!$K$6:$K$45,R58)="","",INDEX('Recurring Schedule'!$K$6:$K$45,R58)))</f>
        <v/>
      </c>
      <c r="N58" s="36">
        <f>IF(R58="","",IF(INDEX('Recurring Schedule'!$L$6:$L$45,R58)="","",INDEX('Recurring Schedule'!$L$6:$L$45,R58)))</f>
        <v/>
      </c>
      <c r="O58" s="36">
        <f>IF(C58="","",IF(AND(OR(L58="1-Urgent",L58="2-High"),M58="✓"),"DO FIRST",IF(M58="✓","SCHEDULE",IF(OR(L58="1-Urgent",L58="2-High"),"DELEGATE","DELETE"))))</f>
        <v/>
      </c>
      <c r="P58" s="65" t="n"/>
      <c r="Q58">
        <f>IF(53&gt;Calc!$AQ$368,"",MATCH(52,Calc!$AQ$2:$AQ$367,1))</f>
        <v/>
      </c>
      <c r="R58">
        <f>IF(Q58="","",SMALL(INDEX(Calc!$B$2:$AO$367,Q58,0),53-INDEX(Calc!$AQ$2:$AQ$367,Q58)))</f>
        <v/>
      </c>
    </row>
    <row r="59">
      <c r="B59" s="71">
        <f>IF(R59="","",54)</f>
        <v/>
      </c>
      <c r="C59" s="75">
        <f>IF(R59="","",IF(INDEX('Recurring Schedule'!$C$6:$C$45,R59)="","",INDEX('Recurring Schedule'!$C$6:$C$45,R59)))</f>
        <v/>
      </c>
      <c r="D59" s="73">
        <f>IF(R59="","",IF(INDEX('Recurring Schedule'!$D$6:$D$45,R59)="","",INDEX('Recurring Schedule'!$D$6:$D$45,R59)))</f>
        <v/>
      </c>
      <c r="E59" s="76">
        <f>IF(Q59="","",INDEX(Calc!$A$2:$A$367,Q59))</f>
        <v/>
      </c>
      <c r="F59" s="72">
        <f>IF(OR(C59="",E59=""),"",E59-Setup!$D$7)</f>
        <v/>
      </c>
      <c r="G59" s="77">
        <f>IF(R59="","",IF(INDEX('Recurring Schedule'!$H$6:$H$45,R59)="","",INDEX('Recurring Schedule'!$H$6:$H$45,R59)))</f>
        <v/>
      </c>
      <c r="H59" s="77">
        <f>IF(R59="","",IF(INDEX('Recurring Schedule'!$I$6:$I$45,R59)="","",INDEX('Recurring Schedule'!$I$6:$I$45,R59)))</f>
        <v/>
      </c>
      <c r="I59" s="73">
        <f>IF(OR(G59="",H59=""),"",TRIM(IF(HOUR(H59-G59)&gt;0,HOUR(H59-G59)&amp;" hr ","")&amp;IF(MINUTE(H59-G59)&gt;0,MINUTE(H59-G59)&amp;" min","")))</f>
        <v/>
      </c>
      <c r="J59" s="66" t="n"/>
      <c r="K59" s="70" t="n"/>
      <c r="L59" s="73">
        <f>IF(R59="","",IF(INDEX('Recurring Schedule'!$J$6:$J$45,R59)="","",INDEX('Recurring Schedule'!$J$6:$J$45,R59)))</f>
        <v/>
      </c>
      <c r="M59" s="73">
        <f>IF(R59="","",IF(INDEX('Recurring Schedule'!$K$6:$K$45,R59)="","",INDEX('Recurring Schedule'!$K$6:$K$45,R59)))</f>
        <v/>
      </c>
      <c r="N59" s="73">
        <f>IF(R59="","",IF(INDEX('Recurring Schedule'!$L$6:$L$45,R59)="","",INDEX('Recurring Schedule'!$L$6:$L$45,R59)))</f>
        <v/>
      </c>
      <c r="O59" s="73">
        <f>IF(C59="","",IF(AND(OR(L59="1-Urgent",L59="2-High"),M59="✓"),"DO FIRST",IF(M59="✓","SCHEDULE",IF(OR(L59="1-Urgent",L59="2-High"),"DELEGATE","DELETE"))))</f>
        <v/>
      </c>
      <c r="P59" s="65" t="n"/>
      <c r="Q59">
        <f>IF(54&gt;Calc!$AQ$368,"",MATCH(53,Calc!$AQ$2:$AQ$367,1))</f>
        <v/>
      </c>
      <c r="R59">
        <f>IF(Q59="","",SMALL(INDEX(Calc!$B$2:$AO$367,Q59,0),54-INDEX(Calc!$AQ$2:$AQ$367,Q59)))</f>
        <v/>
      </c>
    </row>
    <row r="60">
      <c r="B60" s="64">
        <f>IF(R60="","",55)</f>
        <v/>
      </c>
      <c r="C60" s="37">
        <f>IF(R60="","",IF(INDEX('Recurring Schedule'!$C$6:$C$45,R60)="","",INDEX('Recurring Schedule'!$C$6:$C$45,R60)))</f>
        <v/>
      </c>
      <c r="D60" s="36">
        <f>IF(R60="","",IF(INDEX('Recurring Schedule'!$D$6:$D$45,R60)="","",INDEX('Recurring Schedule'!$D$6:$D$45,R60)))</f>
        <v/>
      </c>
      <c r="E60" s="38">
        <f>IF(Q60="","",INDEX(Calc!$A$2:$A$367,Q60))</f>
        <v/>
      </c>
      <c r="F60" s="68">
        <f>IF(OR(C60="",E60=""),"",E60-Setup!$D$7)</f>
        <v/>
      </c>
      <c r="G60" s="74">
        <f>IF(R60="","",IF(INDEX('Recurring Schedule'!$H$6:$H$45,R60)="","",INDEX('Recurring Schedule'!$H$6:$H$45,R60)))</f>
        <v/>
      </c>
      <c r="H60" s="74">
        <f>IF(R60="","",IF(INDEX('Recurring Schedule'!$I$6:$I$45,R60)="","",INDEX('Recurring Schedule'!$I$6:$I$45,R60)))</f>
        <v/>
      </c>
      <c r="I60" s="36">
        <f>IF(OR(G60="",H60=""),"",TRIM(IF(HOUR(H60-G60)&gt;0,HOUR(H60-G60)&amp;" hr ","")&amp;IF(MINUTE(H60-G60)&gt;0,MINUTE(H60-G60)&amp;" min","")))</f>
        <v/>
      </c>
      <c r="J60" s="66" t="n"/>
      <c r="K60" s="70" t="n"/>
      <c r="L60" s="36">
        <f>IF(R60="","",IF(INDEX('Recurring Schedule'!$J$6:$J$45,R60)="","",INDEX('Recurring Schedule'!$J$6:$J$45,R60)))</f>
        <v/>
      </c>
      <c r="M60" s="36">
        <f>IF(R60="","",IF(INDEX('Recurring Schedule'!$K$6:$K$45,R60)="","",INDEX('Recurring Schedule'!$K$6:$K$45,R60)))</f>
        <v/>
      </c>
      <c r="N60" s="36">
        <f>IF(R60="","",IF(INDEX('Recurring Schedule'!$L$6:$L$45,R60)="","",INDEX('Recurring Schedule'!$L$6:$L$45,R60)))</f>
        <v/>
      </c>
      <c r="O60" s="36">
        <f>IF(C60="","",IF(AND(OR(L60="1-Urgent",L60="2-High"),M60="✓"),"DO FIRST",IF(M60="✓","SCHEDULE",IF(OR(L60="1-Urgent",L60="2-High"),"DELEGATE","DELETE"))))</f>
        <v/>
      </c>
      <c r="P60" s="65" t="n"/>
      <c r="Q60">
        <f>IF(55&gt;Calc!$AQ$368,"",MATCH(54,Calc!$AQ$2:$AQ$367,1))</f>
        <v/>
      </c>
      <c r="R60">
        <f>IF(Q60="","",SMALL(INDEX(Calc!$B$2:$AO$367,Q60,0),55-INDEX(Calc!$AQ$2:$AQ$367,Q60)))</f>
        <v/>
      </c>
    </row>
    <row r="61">
      <c r="B61" s="71">
        <f>IF(R61="","",56)</f>
        <v/>
      </c>
      <c r="C61" s="75">
        <f>IF(R61="","",IF(INDEX('Recurring Schedule'!$C$6:$C$45,R61)="","",INDEX('Recurring Schedule'!$C$6:$C$45,R61)))</f>
        <v/>
      </c>
      <c r="D61" s="73">
        <f>IF(R61="","",IF(INDEX('Recurring Schedule'!$D$6:$D$45,R61)="","",INDEX('Recurring Schedule'!$D$6:$D$45,R61)))</f>
        <v/>
      </c>
      <c r="E61" s="76">
        <f>IF(Q61="","",INDEX(Calc!$A$2:$A$367,Q61))</f>
        <v/>
      </c>
      <c r="F61" s="72">
        <f>IF(OR(C61="",E61=""),"",E61-Setup!$D$7)</f>
        <v/>
      </c>
      <c r="G61" s="77">
        <f>IF(R61="","",IF(INDEX('Recurring Schedule'!$H$6:$H$45,R61)="","",INDEX('Recurring Schedule'!$H$6:$H$45,R61)))</f>
        <v/>
      </c>
      <c r="H61" s="77">
        <f>IF(R61="","",IF(INDEX('Recurring Schedule'!$I$6:$I$45,R61)="","",INDEX('Recurring Schedule'!$I$6:$I$45,R61)))</f>
        <v/>
      </c>
      <c r="I61" s="73">
        <f>IF(OR(G61="",H61=""),"",TRIM(IF(HOUR(H61-G61)&gt;0,HOUR(H61-G61)&amp;" hr ","")&amp;IF(MINUTE(H61-G61)&gt;0,MINUTE(H61-G61)&amp;" min","")))</f>
        <v/>
      </c>
      <c r="J61" s="66" t="n"/>
      <c r="K61" s="70" t="n"/>
      <c r="L61" s="73">
        <f>IF(R61="","",IF(INDEX('Recurring Schedule'!$J$6:$J$45,R61)="","",INDEX('Recurring Schedule'!$J$6:$J$45,R61)))</f>
        <v/>
      </c>
      <c r="M61" s="73">
        <f>IF(R61="","",IF(INDEX('Recurring Schedule'!$K$6:$K$45,R61)="","",INDEX('Recurring Schedule'!$K$6:$K$45,R61)))</f>
        <v/>
      </c>
      <c r="N61" s="73">
        <f>IF(R61="","",IF(INDEX('Recurring Schedule'!$L$6:$L$45,R61)="","",INDEX('Recurring Schedule'!$L$6:$L$45,R61)))</f>
        <v/>
      </c>
      <c r="O61" s="73">
        <f>IF(C61="","",IF(AND(OR(L61="1-Urgent",L61="2-High"),M61="✓"),"DO FIRST",IF(M61="✓","SCHEDULE",IF(OR(L61="1-Urgent",L61="2-High"),"DELEGATE","DELETE"))))</f>
        <v/>
      </c>
      <c r="P61" s="65" t="n"/>
      <c r="Q61">
        <f>IF(56&gt;Calc!$AQ$368,"",MATCH(55,Calc!$AQ$2:$AQ$367,1))</f>
        <v/>
      </c>
      <c r="R61">
        <f>IF(Q61="","",SMALL(INDEX(Calc!$B$2:$AO$367,Q61,0),56-INDEX(Calc!$AQ$2:$AQ$367,Q61)))</f>
        <v/>
      </c>
    </row>
    <row r="62">
      <c r="B62" s="64">
        <f>IF(R62="","",57)</f>
        <v/>
      </c>
      <c r="C62" s="37">
        <f>IF(R62="","",IF(INDEX('Recurring Schedule'!$C$6:$C$45,R62)="","",INDEX('Recurring Schedule'!$C$6:$C$45,R62)))</f>
        <v/>
      </c>
      <c r="D62" s="36">
        <f>IF(R62="","",IF(INDEX('Recurring Schedule'!$D$6:$D$45,R62)="","",INDEX('Recurring Schedule'!$D$6:$D$45,R62)))</f>
        <v/>
      </c>
      <c r="E62" s="38">
        <f>IF(Q62="","",INDEX(Calc!$A$2:$A$367,Q62))</f>
        <v/>
      </c>
      <c r="F62" s="68">
        <f>IF(OR(C62="",E62=""),"",E62-Setup!$D$7)</f>
        <v/>
      </c>
      <c r="G62" s="74">
        <f>IF(R62="","",IF(INDEX('Recurring Schedule'!$H$6:$H$45,R62)="","",INDEX('Recurring Schedule'!$H$6:$H$45,R62)))</f>
        <v/>
      </c>
      <c r="H62" s="74">
        <f>IF(R62="","",IF(INDEX('Recurring Schedule'!$I$6:$I$45,R62)="","",INDEX('Recurring Schedule'!$I$6:$I$45,R62)))</f>
        <v/>
      </c>
      <c r="I62" s="36">
        <f>IF(OR(G62="",H62=""),"",TRIM(IF(HOUR(H62-G62)&gt;0,HOUR(H62-G62)&amp;" hr ","")&amp;IF(MINUTE(H62-G62)&gt;0,MINUTE(H62-G62)&amp;" min","")))</f>
        <v/>
      </c>
      <c r="J62" s="66" t="n"/>
      <c r="K62" s="70" t="n"/>
      <c r="L62" s="36">
        <f>IF(R62="","",IF(INDEX('Recurring Schedule'!$J$6:$J$45,R62)="","",INDEX('Recurring Schedule'!$J$6:$J$45,R62)))</f>
        <v/>
      </c>
      <c r="M62" s="36">
        <f>IF(R62="","",IF(INDEX('Recurring Schedule'!$K$6:$K$45,R62)="","",INDEX('Recurring Schedule'!$K$6:$K$45,R62)))</f>
        <v/>
      </c>
      <c r="N62" s="36">
        <f>IF(R62="","",IF(INDEX('Recurring Schedule'!$L$6:$L$45,R62)="","",INDEX('Recurring Schedule'!$L$6:$L$45,R62)))</f>
        <v/>
      </c>
      <c r="O62" s="36">
        <f>IF(C62="","",IF(AND(OR(L62="1-Urgent",L62="2-High"),M62="✓"),"DO FIRST",IF(M62="✓","SCHEDULE",IF(OR(L62="1-Urgent",L62="2-High"),"DELEGATE","DELETE"))))</f>
        <v/>
      </c>
      <c r="P62" s="65" t="n"/>
      <c r="Q62">
        <f>IF(57&gt;Calc!$AQ$368,"",MATCH(56,Calc!$AQ$2:$AQ$367,1))</f>
        <v/>
      </c>
      <c r="R62">
        <f>IF(Q62="","",SMALL(INDEX(Calc!$B$2:$AO$367,Q62,0),57-INDEX(Calc!$AQ$2:$AQ$367,Q62)))</f>
        <v/>
      </c>
    </row>
    <row r="63">
      <c r="B63" s="71">
        <f>IF(R63="","",58)</f>
        <v/>
      </c>
      <c r="C63" s="75">
        <f>IF(R63="","",IF(INDEX('Recurring Schedule'!$C$6:$C$45,R63)="","",INDEX('Recurring Schedule'!$C$6:$C$45,R63)))</f>
        <v/>
      </c>
      <c r="D63" s="73">
        <f>IF(R63="","",IF(INDEX('Recurring Schedule'!$D$6:$D$45,R63)="","",INDEX('Recurring Schedule'!$D$6:$D$45,R63)))</f>
        <v/>
      </c>
      <c r="E63" s="76">
        <f>IF(Q63="","",INDEX(Calc!$A$2:$A$367,Q63))</f>
        <v/>
      </c>
      <c r="F63" s="72">
        <f>IF(OR(C63="",E63=""),"",E63-Setup!$D$7)</f>
        <v/>
      </c>
      <c r="G63" s="77">
        <f>IF(R63="","",IF(INDEX('Recurring Schedule'!$H$6:$H$45,R63)="","",INDEX('Recurring Schedule'!$H$6:$H$45,R63)))</f>
        <v/>
      </c>
      <c r="H63" s="77">
        <f>IF(R63="","",IF(INDEX('Recurring Schedule'!$I$6:$I$45,R63)="","",INDEX('Recurring Schedule'!$I$6:$I$45,R63)))</f>
        <v/>
      </c>
      <c r="I63" s="73">
        <f>IF(OR(G63="",H63=""),"",TRIM(IF(HOUR(H63-G63)&gt;0,HOUR(H63-G63)&amp;" hr ","")&amp;IF(MINUTE(H63-G63)&gt;0,MINUTE(H63-G63)&amp;" min","")))</f>
        <v/>
      </c>
      <c r="J63" s="66" t="n"/>
      <c r="K63" s="70" t="n"/>
      <c r="L63" s="73">
        <f>IF(R63="","",IF(INDEX('Recurring Schedule'!$J$6:$J$45,R63)="","",INDEX('Recurring Schedule'!$J$6:$J$45,R63)))</f>
        <v/>
      </c>
      <c r="M63" s="73">
        <f>IF(R63="","",IF(INDEX('Recurring Schedule'!$K$6:$K$45,R63)="","",INDEX('Recurring Schedule'!$K$6:$K$45,R63)))</f>
        <v/>
      </c>
      <c r="N63" s="73">
        <f>IF(R63="","",IF(INDEX('Recurring Schedule'!$L$6:$L$45,R63)="","",INDEX('Recurring Schedule'!$L$6:$L$45,R63)))</f>
        <v/>
      </c>
      <c r="O63" s="73">
        <f>IF(C63="","",IF(AND(OR(L63="1-Urgent",L63="2-High"),M63="✓"),"DO FIRST",IF(M63="✓","SCHEDULE",IF(OR(L63="1-Urgent",L63="2-High"),"DELEGATE","DELETE"))))</f>
        <v/>
      </c>
      <c r="P63" s="65" t="n"/>
      <c r="Q63">
        <f>IF(58&gt;Calc!$AQ$368,"",MATCH(57,Calc!$AQ$2:$AQ$367,1))</f>
        <v/>
      </c>
      <c r="R63">
        <f>IF(Q63="","",SMALL(INDEX(Calc!$B$2:$AO$367,Q63,0),58-INDEX(Calc!$AQ$2:$AQ$367,Q63)))</f>
        <v/>
      </c>
    </row>
    <row r="64">
      <c r="B64" s="64">
        <f>IF(R64="","",59)</f>
        <v/>
      </c>
      <c r="C64" s="37">
        <f>IF(R64="","",IF(INDEX('Recurring Schedule'!$C$6:$C$45,R64)="","",INDEX('Recurring Schedule'!$C$6:$C$45,R64)))</f>
        <v/>
      </c>
      <c r="D64" s="36">
        <f>IF(R64="","",IF(INDEX('Recurring Schedule'!$D$6:$D$45,R64)="","",INDEX('Recurring Schedule'!$D$6:$D$45,R64)))</f>
        <v/>
      </c>
      <c r="E64" s="38">
        <f>IF(Q64="","",INDEX(Calc!$A$2:$A$367,Q64))</f>
        <v/>
      </c>
      <c r="F64" s="68">
        <f>IF(OR(C64="",E64=""),"",E64-Setup!$D$7)</f>
        <v/>
      </c>
      <c r="G64" s="74">
        <f>IF(R64="","",IF(INDEX('Recurring Schedule'!$H$6:$H$45,R64)="","",INDEX('Recurring Schedule'!$H$6:$H$45,R64)))</f>
        <v/>
      </c>
      <c r="H64" s="74">
        <f>IF(R64="","",IF(INDEX('Recurring Schedule'!$I$6:$I$45,R64)="","",INDEX('Recurring Schedule'!$I$6:$I$45,R64)))</f>
        <v/>
      </c>
      <c r="I64" s="36">
        <f>IF(OR(G64="",H64=""),"",TRIM(IF(HOUR(H64-G64)&gt;0,HOUR(H64-G64)&amp;" hr ","")&amp;IF(MINUTE(H64-G64)&gt;0,MINUTE(H64-G64)&amp;" min","")))</f>
        <v/>
      </c>
      <c r="J64" s="66" t="n"/>
      <c r="K64" s="70" t="n"/>
      <c r="L64" s="36">
        <f>IF(R64="","",IF(INDEX('Recurring Schedule'!$J$6:$J$45,R64)="","",INDEX('Recurring Schedule'!$J$6:$J$45,R64)))</f>
        <v/>
      </c>
      <c r="M64" s="36">
        <f>IF(R64="","",IF(INDEX('Recurring Schedule'!$K$6:$K$45,R64)="","",INDEX('Recurring Schedule'!$K$6:$K$45,R64)))</f>
        <v/>
      </c>
      <c r="N64" s="36">
        <f>IF(R64="","",IF(INDEX('Recurring Schedule'!$L$6:$L$45,R64)="","",INDEX('Recurring Schedule'!$L$6:$L$45,R64)))</f>
        <v/>
      </c>
      <c r="O64" s="36">
        <f>IF(C64="","",IF(AND(OR(L64="1-Urgent",L64="2-High"),M64="✓"),"DO FIRST",IF(M64="✓","SCHEDULE",IF(OR(L64="1-Urgent",L64="2-High"),"DELEGATE","DELETE"))))</f>
        <v/>
      </c>
      <c r="P64" s="65" t="n"/>
      <c r="Q64">
        <f>IF(59&gt;Calc!$AQ$368,"",MATCH(58,Calc!$AQ$2:$AQ$367,1))</f>
        <v/>
      </c>
      <c r="R64">
        <f>IF(Q64="","",SMALL(INDEX(Calc!$B$2:$AO$367,Q64,0),59-INDEX(Calc!$AQ$2:$AQ$367,Q64)))</f>
        <v/>
      </c>
    </row>
    <row r="65">
      <c r="B65" s="71">
        <f>IF(R65="","",60)</f>
        <v/>
      </c>
      <c r="C65" s="75">
        <f>IF(R65="","",IF(INDEX('Recurring Schedule'!$C$6:$C$45,R65)="","",INDEX('Recurring Schedule'!$C$6:$C$45,R65)))</f>
        <v/>
      </c>
      <c r="D65" s="73">
        <f>IF(R65="","",IF(INDEX('Recurring Schedule'!$D$6:$D$45,R65)="","",INDEX('Recurring Schedule'!$D$6:$D$45,R65)))</f>
        <v/>
      </c>
      <c r="E65" s="76">
        <f>IF(Q65="","",INDEX(Calc!$A$2:$A$367,Q65))</f>
        <v/>
      </c>
      <c r="F65" s="72">
        <f>IF(OR(C65="",E65=""),"",E65-Setup!$D$7)</f>
        <v/>
      </c>
      <c r="G65" s="77">
        <f>IF(R65="","",IF(INDEX('Recurring Schedule'!$H$6:$H$45,R65)="","",INDEX('Recurring Schedule'!$H$6:$H$45,R65)))</f>
        <v/>
      </c>
      <c r="H65" s="77">
        <f>IF(R65="","",IF(INDEX('Recurring Schedule'!$I$6:$I$45,R65)="","",INDEX('Recurring Schedule'!$I$6:$I$45,R65)))</f>
        <v/>
      </c>
      <c r="I65" s="73">
        <f>IF(OR(G65="",H65=""),"",TRIM(IF(HOUR(H65-G65)&gt;0,HOUR(H65-G65)&amp;" hr ","")&amp;IF(MINUTE(H65-G65)&gt;0,MINUTE(H65-G65)&amp;" min","")))</f>
        <v/>
      </c>
      <c r="J65" s="66" t="n"/>
      <c r="K65" s="70" t="n"/>
      <c r="L65" s="73">
        <f>IF(R65="","",IF(INDEX('Recurring Schedule'!$J$6:$J$45,R65)="","",INDEX('Recurring Schedule'!$J$6:$J$45,R65)))</f>
        <v/>
      </c>
      <c r="M65" s="73">
        <f>IF(R65="","",IF(INDEX('Recurring Schedule'!$K$6:$K$45,R65)="","",INDEX('Recurring Schedule'!$K$6:$K$45,R65)))</f>
        <v/>
      </c>
      <c r="N65" s="73">
        <f>IF(R65="","",IF(INDEX('Recurring Schedule'!$L$6:$L$45,R65)="","",INDEX('Recurring Schedule'!$L$6:$L$45,R65)))</f>
        <v/>
      </c>
      <c r="O65" s="73">
        <f>IF(C65="","",IF(AND(OR(L65="1-Urgent",L65="2-High"),M65="✓"),"DO FIRST",IF(M65="✓","SCHEDULE",IF(OR(L65="1-Urgent",L65="2-High"),"DELEGATE","DELETE"))))</f>
        <v/>
      </c>
      <c r="P65" s="65" t="n"/>
      <c r="Q65">
        <f>IF(60&gt;Calc!$AQ$368,"",MATCH(59,Calc!$AQ$2:$AQ$367,1))</f>
        <v/>
      </c>
      <c r="R65">
        <f>IF(Q65="","",SMALL(INDEX(Calc!$B$2:$AO$367,Q65,0),60-INDEX(Calc!$AQ$2:$AQ$367,Q65)))</f>
        <v/>
      </c>
    </row>
    <row r="66">
      <c r="B66" s="64">
        <f>IF(R66="","",61)</f>
        <v/>
      </c>
      <c r="C66" s="37">
        <f>IF(R66="","",IF(INDEX('Recurring Schedule'!$C$6:$C$45,R66)="","",INDEX('Recurring Schedule'!$C$6:$C$45,R66)))</f>
        <v/>
      </c>
      <c r="D66" s="36">
        <f>IF(R66="","",IF(INDEX('Recurring Schedule'!$D$6:$D$45,R66)="","",INDEX('Recurring Schedule'!$D$6:$D$45,R66)))</f>
        <v/>
      </c>
      <c r="E66" s="38">
        <f>IF(Q66="","",INDEX(Calc!$A$2:$A$367,Q66))</f>
        <v/>
      </c>
      <c r="F66" s="68">
        <f>IF(OR(C66="",E66=""),"",E66-Setup!$D$7)</f>
        <v/>
      </c>
      <c r="G66" s="74">
        <f>IF(R66="","",IF(INDEX('Recurring Schedule'!$H$6:$H$45,R66)="","",INDEX('Recurring Schedule'!$H$6:$H$45,R66)))</f>
        <v/>
      </c>
      <c r="H66" s="74">
        <f>IF(R66="","",IF(INDEX('Recurring Schedule'!$I$6:$I$45,R66)="","",INDEX('Recurring Schedule'!$I$6:$I$45,R66)))</f>
        <v/>
      </c>
      <c r="I66" s="36">
        <f>IF(OR(G66="",H66=""),"",TRIM(IF(HOUR(H66-G66)&gt;0,HOUR(H66-G66)&amp;" hr ","")&amp;IF(MINUTE(H66-G66)&gt;0,MINUTE(H66-G66)&amp;" min","")))</f>
        <v/>
      </c>
      <c r="J66" s="66" t="n"/>
      <c r="K66" s="70" t="n"/>
      <c r="L66" s="36">
        <f>IF(R66="","",IF(INDEX('Recurring Schedule'!$J$6:$J$45,R66)="","",INDEX('Recurring Schedule'!$J$6:$J$45,R66)))</f>
        <v/>
      </c>
      <c r="M66" s="36">
        <f>IF(R66="","",IF(INDEX('Recurring Schedule'!$K$6:$K$45,R66)="","",INDEX('Recurring Schedule'!$K$6:$K$45,R66)))</f>
        <v/>
      </c>
      <c r="N66" s="36">
        <f>IF(R66="","",IF(INDEX('Recurring Schedule'!$L$6:$L$45,R66)="","",INDEX('Recurring Schedule'!$L$6:$L$45,R66)))</f>
        <v/>
      </c>
      <c r="O66" s="36">
        <f>IF(C66="","",IF(AND(OR(L66="1-Urgent",L66="2-High"),M66="✓"),"DO FIRST",IF(M66="✓","SCHEDULE",IF(OR(L66="1-Urgent",L66="2-High"),"DELEGATE","DELETE"))))</f>
        <v/>
      </c>
      <c r="P66" s="65" t="n"/>
      <c r="Q66">
        <f>IF(61&gt;Calc!$AQ$368,"",MATCH(60,Calc!$AQ$2:$AQ$367,1))</f>
        <v/>
      </c>
      <c r="R66">
        <f>IF(Q66="","",SMALL(INDEX(Calc!$B$2:$AO$367,Q66,0),61-INDEX(Calc!$AQ$2:$AQ$367,Q66)))</f>
        <v/>
      </c>
    </row>
    <row r="67">
      <c r="B67" s="71">
        <f>IF(R67="","",62)</f>
        <v/>
      </c>
      <c r="C67" s="75">
        <f>IF(R67="","",IF(INDEX('Recurring Schedule'!$C$6:$C$45,R67)="","",INDEX('Recurring Schedule'!$C$6:$C$45,R67)))</f>
        <v/>
      </c>
      <c r="D67" s="73">
        <f>IF(R67="","",IF(INDEX('Recurring Schedule'!$D$6:$D$45,R67)="","",INDEX('Recurring Schedule'!$D$6:$D$45,R67)))</f>
        <v/>
      </c>
      <c r="E67" s="76">
        <f>IF(Q67="","",INDEX(Calc!$A$2:$A$367,Q67))</f>
        <v/>
      </c>
      <c r="F67" s="72">
        <f>IF(OR(C67="",E67=""),"",E67-Setup!$D$7)</f>
        <v/>
      </c>
      <c r="G67" s="77">
        <f>IF(R67="","",IF(INDEX('Recurring Schedule'!$H$6:$H$45,R67)="","",INDEX('Recurring Schedule'!$H$6:$H$45,R67)))</f>
        <v/>
      </c>
      <c r="H67" s="77">
        <f>IF(R67="","",IF(INDEX('Recurring Schedule'!$I$6:$I$45,R67)="","",INDEX('Recurring Schedule'!$I$6:$I$45,R67)))</f>
        <v/>
      </c>
      <c r="I67" s="73">
        <f>IF(OR(G67="",H67=""),"",TRIM(IF(HOUR(H67-G67)&gt;0,HOUR(H67-G67)&amp;" hr ","")&amp;IF(MINUTE(H67-G67)&gt;0,MINUTE(H67-G67)&amp;" min","")))</f>
        <v/>
      </c>
      <c r="J67" s="66" t="n"/>
      <c r="K67" s="70" t="n"/>
      <c r="L67" s="73">
        <f>IF(R67="","",IF(INDEX('Recurring Schedule'!$J$6:$J$45,R67)="","",INDEX('Recurring Schedule'!$J$6:$J$45,R67)))</f>
        <v/>
      </c>
      <c r="M67" s="73">
        <f>IF(R67="","",IF(INDEX('Recurring Schedule'!$K$6:$K$45,R67)="","",INDEX('Recurring Schedule'!$K$6:$K$45,R67)))</f>
        <v/>
      </c>
      <c r="N67" s="73">
        <f>IF(R67="","",IF(INDEX('Recurring Schedule'!$L$6:$L$45,R67)="","",INDEX('Recurring Schedule'!$L$6:$L$45,R67)))</f>
        <v/>
      </c>
      <c r="O67" s="73">
        <f>IF(C67="","",IF(AND(OR(L67="1-Urgent",L67="2-High"),M67="✓"),"DO FIRST",IF(M67="✓","SCHEDULE",IF(OR(L67="1-Urgent",L67="2-High"),"DELEGATE","DELETE"))))</f>
        <v/>
      </c>
      <c r="P67" s="65" t="n"/>
      <c r="Q67">
        <f>IF(62&gt;Calc!$AQ$368,"",MATCH(61,Calc!$AQ$2:$AQ$367,1))</f>
        <v/>
      </c>
      <c r="R67">
        <f>IF(Q67="","",SMALL(INDEX(Calc!$B$2:$AO$367,Q67,0),62-INDEX(Calc!$AQ$2:$AQ$367,Q67)))</f>
        <v/>
      </c>
    </row>
    <row r="68">
      <c r="B68" s="64">
        <f>IF(R68="","",63)</f>
        <v/>
      </c>
      <c r="C68" s="37">
        <f>IF(R68="","",IF(INDEX('Recurring Schedule'!$C$6:$C$45,R68)="","",INDEX('Recurring Schedule'!$C$6:$C$45,R68)))</f>
        <v/>
      </c>
      <c r="D68" s="36">
        <f>IF(R68="","",IF(INDEX('Recurring Schedule'!$D$6:$D$45,R68)="","",INDEX('Recurring Schedule'!$D$6:$D$45,R68)))</f>
        <v/>
      </c>
      <c r="E68" s="38">
        <f>IF(Q68="","",INDEX(Calc!$A$2:$A$367,Q68))</f>
        <v/>
      </c>
      <c r="F68" s="68">
        <f>IF(OR(C68="",E68=""),"",E68-Setup!$D$7)</f>
        <v/>
      </c>
      <c r="G68" s="74">
        <f>IF(R68="","",IF(INDEX('Recurring Schedule'!$H$6:$H$45,R68)="","",INDEX('Recurring Schedule'!$H$6:$H$45,R68)))</f>
        <v/>
      </c>
      <c r="H68" s="74">
        <f>IF(R68="","",IF(INDEX('Recurring Schedule'!$I$6:$I$45,R68)="","",INDEX('Recurring Schedule'!$I$6:$I$45,R68)))</f>
        <v/>
      </c>
      <c r="I68" s="36">
        <f>IF(OR(G68="",H68=""),"",TRIM(IF(HOUR(H68-G68)&gt;0,HOUR(H68-G68)&amp;" hr ","")&amp;IF(MINUTE(H68-G68)&gt;0,MINUTE(H68-G68)&amp;" min","")))</f>
        <v/>
      </c>
      <c r="J68" s="66" t="n"/>
      <c r="K68" s="70" t="n"/>
      <c r="L68" s="36">
        <f>IF(R68="","",IF(INDEX('Recurring Schedule'!$J$6:$J$45,R68)="","",INDEX('Recurring Schedule'!$J$6:$J$45,R68)))</f>
        <v/>
      </c>
      <c r="M68" s="36">
        <f>IF(R68="","",IF(INDEX('Recurring Schedule'!$K$6:$K$45,R68)="","",INDEX('Recurring Schedule'!$K$6:$K$45,R68)))</f>
        <v/>
      </c>
      <c r="N68" s="36">
        <f>IF(R68="","",IF(INDEX('Recurring Schedule'!$L$6:$L$45,R68)="","",INDEX('Recurring Schedule'!$L$6:$L$45,R68)))</f>
        <v/>
      </c>
      <c r="O68" s="36">
        <f>IF(C68="","",IF(AND(OR(L68="1-Urgent",L68="2-High"),M68="✓"),"DO FIRST",IF(M68="✓","SCHEDULE",IF(OR(L68="1-Urgent",L68="2-High"),"DELEGATE","DELETE"))))</f>
        <v/>
      </c>
      <c r="P68" s="65" t="n"/>
      <c r="Q68">
        <f>IF(63&gt;Calc!$AQ$368,"",MATCH(62,Calc!$AQ$2:$AQ$367,1))</f>
        <v/>
      </c>
      <c r="R68">
        <f>IF(Q68="","",SMALL(INDEX(Calc!$B$2:$AO$367,Q68,0),63-INDEX(Calc!$AQ$2:$AQ$367,Q68)))</f>
        <v/>
      </c>
    </row>
    <row r="69">
      <c r="B69" s="71">
        <f>IF(R69="","",64)</f>
        <v/>
      </c>
      <c r="C69" s="75">
        <f>IF(R69="","",IF(INDEX('Recurring Schedule'!$C$6:$C$45,R69)="","",INDEX('Recurring Schedule'!$C$6:$C$45,R69)))</f>
        <v/>
      </c>
      <c r="D69" s="73">
        <f>IF(R69="","",IF(INDEX('Recurring Schedule'!$D$6:$D$45,R69)="","",INDEX('Recurring Schedule'!$D$6:$D$45,R69)))</f>
        <v/>
      </c>
      <c r="E69" s="76">
        <f>IF(Q69="","",INDEX(Calc!$A$2:$A$367,Q69))</f>
        <v/>
      </c>
      <c r="F69" s="72">
        <f>IF(OR(C69="",E69=""),"",E69-Setup!$D$7)</f>
        <v/>
      </c>
      <c r="G69" s="77">
        <f>IF(R69="","",IF(INDEX('Recurring Schedule'!$H$6:$H$45,R69)="","",INDEX('Recurring Schedule'!$H$6:$H$45,R69)))</f>
        <v/>
      </c>
      <c r="H69" s="77">
        <f>IF(R69="","",IF(INDEX('Recurring Schedule'!$I$6:$I$45,R69)="","",INDEX('Recurring Schedule'!$I$6:$I$45,R69)))</f>
        <v/>
      </c>
      <c r="I69" s="73">
        <f>IF(OR(G69="",H69=""),"",TRIM(IF(HOUR(H69-G69)&gt;0,HOUR(H69-G69)&amp;" hr ","")&amp;IF(MINUTE(H69-G69)&gt;0,MINUTE(H69-G69)&amp;" min","")))</f>
        <v/>
      </c>
      <c r="J69" s="66" t="n"/>
      <c r="K69" s="70" t="n"/>
      <c r="L69" s="73">
        <f>IF(R69="","",IF(INDEX('Recurring Schedule'!$J$6:$J$45,R69)="","",INDEX('Recurring Schedule'!$J$6:$J$45,R69)))</f>
        <v/>
      </c>
      <c r="M69" s="73">
        <f>IF(R69="","",IF(INDEX('Recurring Schedule'!$K$6:$K$45,R69)="","",INDEX('Recurring Schedule'!$K$6:$K$45,R69)))</f>
        <v/>
      </c>
      <c r="N69" s="73">
        <f>IF(R69="","",IF(INDEX('Recurring Schedule'!$L$6:$L$45,R69)="","",INDEX('Recurring Schedule'!$L$6:$L$45,R69)))</f>
        <v/>
      </c>
      <c r="O69" s="73">
        <f>IF(C69="","",IF(AND(OR(L69="1-Urgent",L69="2-High"),M69="✓"),"DO FIRST",IF(M69="✓","SCHEDULE",IF(OR(L69="1-Urgent",L69="2-High"),"DELEGATE","DELETE"))))</f>
        <v/>
      </c>
      <c r="P69" s="65" t="n"/>
      <c r="Q69">
        <f>IF(64&gt;Calc!$AQ$368,"",MATCH(63,Calc!$AQ$2:$AQ$367,1))</f>
        <v/>
      </c>
      <c r="R69">
        <f>IF(Q69="","",SMALL(INDEX(Calc!$B$2:$AO$367,Q69,0),64-INDEX(Calc!$AQ$2:$AQ$367,Q69)))</f>
        <v/>
      </c>
    </row>
    <row r="70">
      <c r="B70" s="64">
        <f>IF(R70="","",65)</f>
        <v/>
      </c>
      <c r="C70" s="37">
        <f>IF(R70="","",IF(INDEX('Recurring Schedule'!$C$6:$C$45,R70)="","",INDEX('Recurring Schedule'!$C$6:$C$45,R70)))</f>
        <v/>
      </c>
      <c r="D70" s="36">
        <f>IF(R70="","",IF(INDEX('Recurring Schedule'!$D$6:$D$45,R70)="","",INDEX('Recurring Schedule'!$D$6:$D$45,R70)))</f>
        <v/>
      </c>
      <c r="E70" s="38">
        <f>IF(Q70="","",INDEX(Calc!$A$2:$A$367,Q70))</f>
        <v/>
      </c>
      <c r="F70" s="68">
        <f>IF(OR(C70="",E70=""),"",E70-Setup!$D$7)</f>
        <v/>
      </c>
      <c r="G70" s="74">
        <f>IF(R70="","",IF(INDEX('Recurring Schedule'!$H$6:$H$45,R70)="","",INDEX('Recurring Schedule'!$H$6:$H$45,R70)))</f>
        <v/>
      </c>
      <c r="H70" s="74">
        <f>IF(R70="","",IF(INDEX('Recurring Schedule'!$I$6:$I$45,R70)="","",INDEX('Recurring Schedule'!$I$6:$I$45,R70)))</f>
        <v/>
      </c>
      <c r="I70" s="36">
        <f>IF(OR(G70="",H70=""),"",TRIM(IF(HOUR(H70-G70)&gt;0,HOUR(H70-G70)&amp;" hr ","")&amp;IF(MINUTE(H70-G70)&gt;0,MINUTE(H70-G70)&amp;" min","")))</f>
        <v/>
      </c>
      <c r="J70" s="66" t="n"/>
      <c r="K70" s="70" t="n"/>
      <c r="L70" s="36">
        <f>IF(R70="","",IF(INDEX('Recurring Schedule'!$J$6:$J$45,R70)="","",INDEX('Recurring Schedule'!$J$6:$J$45,R70)))</f>
        <v/>
      </c>
      <c r="M70" s="36">
        <f>IF(R70="","",IF(INDEX('Recurring Schedule'!$K$6:$K$45,R70)="","",INDEX('Recurring Schedule'!$K$6:$K$45,R70)))</f>
        <v/>
      </c>
      <c r="N70" s="36">
        <f>IF(R70="","",IF(INDEX('Recurring Schedule'!$L$6:$L$45,R70)="","",INDEX('Recurring Schedule'!$L$6:$L$45,R70)))</f>
        <v/>
      </c>
      <c r="O70" s="36">
        <f>IF(C70="","",IF(AND(OR(L70="1-Urgent",L70="2-High"),M70="✓"),"DO FIRST",IF(M70="✓","SCHEDULE",IF(OR(L70="1-Urgent",L70="2-High"),"DELEGATE","DELETE"))))</f>
        <v/>
      </c>
      <c r="P70" s="65" t="n"/>
      <c r="Q70">
        <f>IF(65&gt;Calc!$AQ$368,"",MATCH(64,Calc!$AQ$2:$AQ$367,1))</f>
        <v/>
      </c>
      <c r="R70">
        <f>IF(Q70="","",SMALL(INDEX(Calc!$B$2:$AO$367,Q70,0),65-INDEX(Calc!$AQ$2:$AQ$367,Q70)))</f>
        <v/>
      </c>
    </row>
    <row r="71">
      <c r="B71" s="71">
        <f>IF(R71="","",66)</f>
        <v/>
      </c>
      <c r="C71" s="75">
        <f>IF(R71="","",IF(INDEX('Recurring Schedule'!$C$6:$C$45,R71)="","",INDEX('Recurring Schedule'!$C$6:$C$45,R71)))</f>
        <v/>
      </c>
      <c r="D71" s="73">
        <f>IF(R71="","",IF(INDEX('Recurring Schedule'!$D$6:$D$45,R71)="","",INDEX('Recurring Schedule'!$D$6:$D$45,R71)))</f>
        <v/>
      </c>
      <c r="E71" s="76">
        <f>IF(Q71="","",INDEX(Calc!$A$2:$A$367,Q71))</f>
        <v/>
      </c>
      <c r="F71" s="72">
        <f>IF(OR(C71="",E71=""),"",E71-Setup!$D$7)</f>
        <v/>
      </c>
      <c r="G71" s="77">
        <f>IF(R71="","",IF(INDEX('Recurring Schedule'!$H$6:$H$45,R71)="","",INDEX('Recurring Schedule'!$H$6:$H$45,R71)))</f>
        <v/>
      </c>
      <c r="H71" s="77">
        <f>IF(R71="","",IF(INDEX('Recurring Schedule'!$I$6:$I$45,R71)="","",INDEX('Recurring Schedule'!$I$6:$I$45,R71)))</f>
        <v/>
      </c>
      <c r="I71" s="73">
        <f>IF(OR(G71="",H71=""),"",TRIM(IF(HOUR(H71-G71)&gt;0,HOUR(H71-G71)&amp;" hr ","")&amp;IF(MINUTE(H71-G71)&gt;0,MINUTE(H71-G71)&amp;" min","")))</f>
        <v/>
      </c>
      <c r="J71" s="66" t="n"/>
      <c r="K71" s="70" t="n"/>
      <c r="L71" s="73">
        <f>IF(R71="","",IF(INDEX('Recurring Schedule'!$J$6:$J$45,R71)="","",INDEX('Recurring Schedule'!$J$6:$J$45,R71)))</f>
        <v/>
      </c>
      <c r="M71" s="73">
        <f>IF(R71="","",IF(INDEX('Recurring Schedule'!$K$6:$K$45,R71)="","",INDEX('Recurring Schedule'!$K$6:$K$45,R71)))</f>
        <v/>
      </c>
      <c r="N71" s="73">
        <f>IF(R71="","",IF(INDEX('Recurring Schedule'!$L$6:$L$45,R71)="","",INDEX('Recurring Schedule'!$L$6:$L$45,R71)))</f>
        <v/>
      </c>
      <c r="O71" s="73">
        <f>IF(C71="","",IF(AND(OR(L71="1-Urgent",L71="2-High"),M71="✓"),"DO FIRST",IF(M71="✓","SCHEDULE",IF(OR(L71="1-Urgent",L71="2-High"),"DELEGATE","DELETE"))))</f>
        <v/>
      </c>
      <c r="P71" s="65" t="n"/>
      <c r="Q71">
        <f>IF(66&gt;Calc!$AQ$368,"",MATCH(65,Calc!$AQ$2:$AQ$367,1))</f>
        <v/>
      </c>
      <c r="R71">
        <f>IF(Q71="","",SMALL(INDEX(Calc!$B$2:$AO$367,Q71,0),66-INDEX(Calc!$AQ$2:$AQ$367,Q71)))</f>
        <v/>
      </c>
    </row>
    <row r="72">
      <c r="B72" s="64">
        <f>IF(R72="","",67)</f>
        <v/>
      </c>
      <c r="C72" s="37">
        <f>IF(R72="","",IF(INDEX('Recurring Schedule'!$C$6:$C$45,R72)="","",INDEX('Recurring Schedule'!$C$6:$C$45,R72)))</f>
        <v/>
      </c>
      <c r="D72" s="36">
        <f>IF(R72="","",IF(INDEX('Recurring Schedule'!$D$6:$D$45,R72)="","",INDEX('Recurring Schedule'!$D$6:$D$45,R72)))</f>
        <v/>
      </c>
      <c r="E72" s="38">
        <f>IF(Q72="","",INDEX(Calc!$A$2:$A$367,Q72))</f>
        <v/>
      </c>
      <c r="F72" s="68">
        <f>IF(OR(C72="",E72=""),"",E72-Setup!$D$7)</f>
        <v/>
      </c>
      <c r="G72" s="74">
        <f>IF(R72="","",IF(INDEX('Recurring Schedule'!$H$6:$H$45,R72)="","",INDEX('Recurring Schedule'!$H$6:$H$45,R72)))</f>
        <v/>
      </c>
      <c r="H72" s="74">
        <f>IF(R72="","",IF(INDEX('Recurring Schedule'!$I$6:$I$45,R72)="","",INDEX('Recurring Schedule'!$I$6:$I$45,R72)))</f>
        <v/>
      </c>
      <c r="I72" s="36">
        <f>IF(OR(G72="",H72=""),"",TRIM(IF(HOUR(H72-G72)&gt;0,HOUR(H72-G72)&amp;" hr ","")&amp;IF(MINUTE(H72-G72)&gt;0,MINUTE(H72-G72)&amp;" min","")))</f>
        <v/>
      </c>
      <c r="J72" s="66" t="n"/>
      <c r="K72" s="70" t="n"/>
      <c r="L72" s="36">
        <f>IF(R72="","",IF(INDEX('Recurring Schedule'!$J$6:$J$45,R72)="","",INDEX('Recurring Schedule'!$J$6:$J$45,R72)))</f>
        <v/>
      </c>
      <c r="M72" s="36">
        <f>IF(R72="","",IF(INDEX('Recurring Schedule'!$K$6:$K$45,R72)="","",INDEX('Recurring Schedule'!$K$6:$K$45,R72)))</f>
        <v/>
      </c>
      <c r="N72" s="36">
        <f>IF(R72="","",IF(INDEX('Recurring Schedule'!$L$6:$L$45,R72)="","",INDEX('Recurring Schedule'!$L$6:$L$45,R72)))</f>
        <v/>
      </c>
      <c r="O72" s="36">
        <f>IF(C72="","",IF(AND(OR(L72="1-Urgent",L72="2-High"),M72="✓"),"DO FIRST",IF(M72="✓","SCHEDULE",IF(OR(L72="1-Urgent",L72="2-High"),"DELEGATE","DELETE"))))</f>
        <v/>
      </c>
      <c r="P72" s="65" t="n"/>
      <c r="Q72">
        <f>IF(67&gt;Calc!$AQ$368,"",MATCH(66,Calc!$AQ$2:$AQ$367,1))</f>
        <v/>
      </c>
      <c r="R72">
        <f>IF(Q72="","",SMALL(INDEX(Calc!$B$2:$AO$367,Q72,0),67-INDEX(Calc!$AQ$2:$AQ$367,Q72)))</f>
        <v/>
      </c>
    </row>
    <row r="73">
      <c r="B73" s="71">
        <f>IF(R73="","",68)</f>
        <v/>
      </c>
      <c r="C73" s="75">
        <f>IF(R73="","",IF(INDEX('Recurring Schedule'!$C$6:$C$45,R73)="","",INDEX('Recurring Schedule'!$C$6:$C$45,R73)))</f>
        <v/>
      </c>
      <c r="D73" s="73">
        <f>IF(R73="","",IF(INDEX('Recurring Schedule'!$D$6:$D$45,R73)="","",INDEX('Recurring Schedule'!$D$6:$D$45,R73)))</f>
        <v/>
      </c>
      <c r="E73" s="76">
        <f>IF(Q73="","",INDEX(Calc!$A$2:$A$367,Q73))</f>
        <v/>
      </c>
      <c r="F73" s="72">
        <f>IF(OR(C73="",E73=""),"",E73-Setup!$D$7)</f>
        <v/>
      </c>
      <c r="G73" s="77">
        <f>IF(R73="","",IF(INDEX('Recurring Schedule'!$H$6:$H$45,R73)="","",INDEX('Recurring Schedule'!$H$6:$H$45,R73)))</f>
        <v/>
      </c>
      <c r="H73" s="77">
        <f>IF(R73="","",IF(INDEX('Recurring Schedule'!$I$6:$I$45,R73)="","",INDEX('Recurring Schedule'!$I$6:$I$45,R73)))</f>
        <v/>
      </c>
      <c r="I73" s="73">
        <f>IF(OR(G73="",H73=""),"",TRIM(IF(HOUR(H73-G73)&gt;0,HOUR(H73-G73)&amp;" hr ","")&amp;IF(MINUTE(H73-G73)&gt;0,MINUTE(H73-G73)&amp;" min","")))</f>
        <v/>
      </c>
      <c r="J73" s="66" t="n"/>
      <c r="K73" s="70" t="n"/>
      <c r="L73" s="73">
        <f>IF(R73="","",IF(INDEX('Recurring Schedule'!$J$6:$J$45,R73)="","",INDEX('Recurring Schedule'!$J$6:$J$45,R73)))</f>
        <v/>
      </c>
      <c r="M73" s="73">
        <f>IF(R73="","",IF(INDEX('Recurring Schedule'!$K$6:$K$45,R73)="","",INDEX('Recurring Schedule'!$K$6:$K$45,R73)))</f>
        <v/>
      </c>
      <c r="N73" s="73">
        <f>IF(R73="","",IF(INDEX('Recurring Schedule'!$L$6:$L$45,R73)="","",INDEX('Recurring Schedule'!$L$6:$L$45,R73)))</f>
        <v/>
      </c>
      <c r="O73" s="73">
        <f>IF(C73="","",IF(AND(OR(L73="1-Urgent",L73="2-High"),M73="✓"),"DO FIRST",IF(M73="✓","SCHEDULE",IF(OR(L73="1-Urgent",L73="2-High"),"DELEGATE","DELETE"))))</f>
        <v/>
      </c>
      <c r="P73" s="65" t="n"/>
      <c r="Q73">
        <f>IF(68&gt;Calc!$AQ$368,"",MATCH(67,Calc!$AQ$2:$AQ$367,1))</f>
        <v/>
      </c>
      <c r="R73">
        <f>IF(Q73="","",SMALL(INDEX(Calc!$B$2:$AO$367,Q73,0),68-INDEX(Calc!$AQ$2:$AQ$367,Q73)))</f>
        <v/>
      </c>
    </row>
    <row r="74">
      <c r="B74" s="64">
        <f>IF(R74="","",69)</f>
        <v/>
      </c>
      <c r="C74" s="37">
        <f>IF(R74="","",IF(INDEX('Recurring Schedule'!$C$6:$C$45,R74)="","",INDEX('Recurring Schedule'!$C$6:$C$45,R74)))</f>
        <v/>
      </c>
      <c r="D74" s="36">
        <f>IF(R74="","",IF(INDEX('Recurring Schedule'!$D$6:$D$45,R74)="","",INDEX('Recurring Schedule'!$D$6:$D$45,R74)))</f>
        <v/>
      </c>
      <c r="E74" s="38">
        <f>IF(Q74="","",INDEX(Calc!$A$2:$A$367,Q74))</f>
        <v/>
      </c>
      <c r="F74" s="68">
        <f>IF(OR(C74="",E74=""),"",E74-Setup!$D$7)</f>
        <v/>
      </c>
      <c r="G74" s="74">
        <f>IF(R74="","",IF(INDEX('Recurring Schedule'!$H$6:$H$45,R74)="","",INDEX('Recurring Schedule'!$H$6:$H$45,R74)))</f>
        <v/>
      </c>
      <c r="H74" s="74">
        <f>IF(R74="","",IF(INDEX('Recurring Schedule'!$I$6:$I$45,R74)="","",INDEX('Recurring Schedule'!$I$6:$I$45,R74)))</f>
        <v/>
      </c>
      <c r="I74" s="36">
        <f>IF(OR(G74="",H74=""),"",TRIM(IF(HOUR(H74-G74)&gt;0,HOUR(H74-G74)&amp;" hr ","")&amp;IF(MINUTE(H74-G74)&gt;0,MINUTE(H74-G74)&amp;" min","")))</f>
        <v/>
      </c>
      <c r="J74" s="66" t="n"/>
      <c r="K74" s="70" t="n"/>
      <c r="L74" s="36">
        <f>IF(R74="","",IF(INDEX('Recurring Schedule'!$J$6:$J$45,R74)="","",INDEX('Recurring Schedule'!$J$6:$J$45,R74)))</f>
        <v/>
      </c>
      <c r="M74" s="36">
        <f>IF(R74="","",IF(INDEX('Recurring Schedule'!$K$6:$K$45,R74)="","",INDEX('Recurring Schedule'!$K$6:$K$45,R74)))</f>
        <v/>
      </c>
      <c r="N74" s="36">
        <f>IF(R74="","",IF(INDEX('Recurring Schedule'!$L$6:$L$45,R74)="","",INDEX('Recurring Schedule'!$L$6:$L$45,R74)))</f>
        <v/>
      </c>
      <c r="O74" s="36">
        <f>IF(C74="","",IF(AND(OR(L74="1-Urgent",L74="2-High"),M74="✓"),"DO FIRST",IF(M74="✓","SCHEDULE",IF(OR(L74="1-Urgent",L74="2-High"),"DELEGATE","DELETE"))))</f>
        <v/>
      </c>
      <c r="P74" s="65" t="n"/>
      <c r="Q74">
        <f>IF(69&gt;Calc!$AQ$368,"",MATCH(68,Calc!$AQ$2:$AQ$367,1))</f>
        <v/>
      </c>
      <c r="R74">
        <f>IF(Q74="","",SMALL(INDEX(Calc!$B$2:$AO$367,Q74,0),69-INDEX(Calc!$AQ$2:$AQ$367,Q74)))</f>
        <v/>
      </c>
    </row>
    <row r="75">
      <c r="B75" s="71">
        <f>IF(R75="","",70)</f>
        <v/>
      </c>
      <c r="C75" s="75">
        <f>IF(R75="","",IF(INDEX('Recurring Schedule'!$C$6:$C$45,R75)="","",INDEX('Recurring Schedule'!$C$6:$C$45,R75)))</f>
        <v/>
      </c>
      <c r="D75" s="73">
        <f>IF(R75="","",IF(INDEX('Recurring Schedule'!$D$6:$D$45,R75)="","",INDEX('Recurring Schedule'!$D$6:$D$45,R75)))</f>
        <v/>
      </c>
      <c r="E75" s="76">
        <f>IF(Q75="","",INDEX(Calc!$A$2:$A$367,Q75))</f>
        <v/>
      </c>
      <c r="F75" s="72">
        <f>IF(OR(C75="",E75=""),"",E75-Setup!$D$7)</f>
        <v/>
      </c>
      <c r="G75" s="77">
        <f>IF(R75="","",IF(INDEX('Recurring Schedule'!$H$6:$H$45,R75)="","",INDEX('Recurring Schedule'!$H$6:$H$45,R75)))</f>
        <v/>
      </c>
      <c r="H75" s="77">
        <f>IF(R75="","",IF(INDEX('Recurring Schedule'!$I$6:$I$45,R75)="","",INDEX('Recurring Schedule'!$I$6:$I$45,R75)))</f>
        <v/>
      </c>
      <c r="I75" s="73">
        <f>IF(OR(G75="",H75=""),"",TRIM(IF(HOUR(H75-G75)&gt;0,HOUR(H75-G75)&amp;" hr ","")&amp;IF(MINUTE(H75-G75)&gt;0,MINUTE(H75-G75)&amp;" min","")))</f>
        <v/>
      </c>
      <c r="J75" s="66" t="n"/>
      <c r="K75" s="70" t="n"/>
      <c r="L75" s="73">
        <f>IF(R75="","",IF(INDEX('Recurring Schedule'!$J$6:$J$45,R75)="","",INDEX('Recurring Schedule'!$J$6:$J$45,R75)))</f>
        <v/>
      </c>
      <c r="M75" s="73">
        <f>IF(R75="","",IF(INDEX('Recurring Schedule'!$K$6:$K$45,R75)="","",INDEX('Recurring Schedule'!$K$6:$K$45,R75)))</f>
        <v/>
      </c>
      <c r="N75" s="73">
        <f>IF(R75="","",IF(INDEX('Recurring Schedule'!$L$6:$L$45,R75)="","",INDEX('Recurring Schedule'!$L$6:$L$45,R75)))</f>
        <v/>
      </c>
      <c r="O75" s="73">
        <f>IF(C75="","",IF(AND(OR(L75="1-Urgent",L75="2-High"),M75="✓"),"DO FIRST",IF(M75="✓","SCHEDULE",IF(OR(L75="1-Urgent",L75="2-High"),"DELEGATE","DELETE"))))</f>
        <v/>
      </c>
      <c r="P75" s="65" t="n"/>
      <c r="Q75">
        <f>IF(70&gt;Calc!$AQ$368,"",MATCH(69,Calc!$AQ$2:$AQ$367,1))</f>
        <v/>
      </c>
      <c r="R75">
        <f>IF(Q75="","",SMALL(INDEX(Calc!$B$2:$AO$367,Q75,0),70-INDEX(Calc!$AQ$2:$AQ$367,Q75)))</f>
        <v/>
      </c>
    </row>
    <row r="76">
      <c r="B76" s="64">
        <f>IF(R76="","",71)</f>
        <v/>
      </c>
      <c r="C76" s="37">
        <f>IF(R76="","",IF(INDEX('Recurring Schedule'!$C$6:$C$45,R76)="","",INDEX('Recurring Schedule'!$C$6:$C$45,R76)))</f>
        <v/>
      </c>
      <c r="D76" s="36">
        <f>IF(R76="","",IF(INDEX('Recurring Schedule'!$D$6:$D$45,R76)="","",INDEX('Recurring Schedule'!$D$6:$D$45,R76)))</f>
        <v/>
      </c>
      <c r="E76" s="38">
        <f>IF(Q76="","",INDEX(Calc!$A$2:$A$367,Q76))</f>
        <v/>
      </c>
      <c r="F76" s="68">
        <f>IF(OR(C76="",E76=""),"",E76-Setup!$D$7)</f>
        <v/>
      </c>
      <c r="G76" s="74">
        <f>IF(R76="","",IF(INDEX('Recurring Schedule'!$H$6:$H$45,R76)="","",INDEX('Recurring Schedule'!$H$6:$H$45,R76)))</f>
        <v/>
      </c>
      <c r="H76" s="74">
        <f>IF(R76="","",IF(INDEX('Recurring Schedule'!$I$6:$I$45,R76)="","",INDEX('Recurring Schedule'!$I$6:$I$45,R76)))</f>
        <v/>
      </c>
      <c r="I76" s="36">
        <f>IF(OR(G76="",H76=""),"",TRIM(IF(HOUR(H76-G76)&gt;0,HOUR(H76-G76)&amp;" hr ","")&amp;IF(MINUTE(H76-G76)&gt;0,MINUTE(H76-G76)&amp;" min","")))</f>
        <v/>
      </c>
      <c r="J76" s="66" t="n"/>
      <c r="K76" s="70" t="n"/>
      <c r="L76" s="36">
        <f>IF(R76="","",IF(INDEX('Recurring Schedule'!$J$6:$J$45,R76)="","",INDEX('Recurring Schedule'!$J$6:$J$45,R76)))</f>
        <v/>
      </c>
      <c r="M76" s="36">
        <f>IF(R76="","",IF(INDEX('Recurring Schedule'!$K$6:$K$45,R76)="","",INDEX('Recurring Schedule'!$K$6:$K$45,R76)))</f>
        <v/>
      </c>
      <c r="N76" s="36">
        <f>IF(R76="","",IF(INDEX('Recurring Schedule'!$L$6:$L$45,R76)="","",INDEX('Recurring Schedule'!$L$6:$L$45,R76)))</f>
        <v/>
      </c>
      <c r="O76" s="36">
        <f>IF(C76="","",IF(AND(OR(L76="1-Urgent",L76="2-High"),M76="✓"),"DO FIRST",IF(M76="✓","SCHEDULE",IF(OR(L76="1-Urgent",L76="2-High"),"DELEGATE","DELETE"))))</f>
        <v/>
      </c>
      <c r="P76" s="65" t="n"/>
      <c r="Q76">
        <f>IF(71&gt;Calc!$AQ$368,"",MATCH(70,Calc!$AQ$2:$AQ$367,1))</f>
        <v/>
      </c>
      <c r="R76">
        <f>IF(Q76="","",SMALL(INDEX(Calc!$B$2:$AO$367,Q76,0),71-INDEX(Calc!$AQ$2:$AQ$367,Q76)))</f>
        <v/>
      </c>
    </row>
    <row r="77">
      <c r="B77" s="71">
        <f>IF(R77="","",72)</f>
        <v/>
      </c>
      <c r="C77" s="75">
        <f>IF(R77="","",IF(INDEX('Recurring Schedule'!$C$6:$C$45,R77)="","",INDEX('Recurring Schedule'!$C$6:$C$45,R77)))</f>
        <v/>
      </c>
      <c r="D77" s="73">
        <f>IF(R77="","",IF(INDEX('Recurring Schedule'!$D$6:$D$45,R77)="","",INDEX('Recurring Schedule'!$D$6:$D$45,R77)))</f>
        <v/>
      </c>
      <c r="E77" s="76">
        <f>IF(Q77="","",INDEX(Calc!$A$2:$A$367,Q77))</f>
        <v/>
      </c>
      <c r="F77" s="72">
        <f>IF(OR(C77="",E77=""),"",E77-Setup!$D$7)</f>
        <v/>
      </c>
      <c r="G77" s="77">
        <f>IF(R77="","",IF(INDEX('Recurring Schedule'!$H$6:$H$45,R77)="","",INDEX('Recurring Schedule'!$H$6:$H$45,R77)))</f>
        <v/>
      </c>
      <c r="H77" s="77">
        <f>IF(R77="","",IF(INDEX('Recurring Schedule'!$I$6:$I$45,R77)="","",INDEX('Recurring Schedule'!$I$6:$I$45,R77)))</f>
        <v/>
      </c>
      <c r="I77" s="73">
        <f>IF(OR(G77="",H77=""),"",TRIM(IF(HOUR(H77-G77)&gt;0,HOUR(H77-G77)&amp;" hr ","")&amp;IF(MINUTE(H77-G77)&gt;0,MINUTE(H77-G77)&amp;" min","")))</f>
        <v/>
      </c>
      <c r="J77" s="66" t="n"/>
      <c r="K77" s="70" t="n"/>
      <c r="L77" s="73">
        <f>IF(R77="","",IF(INDEX('Recurring Schedule'!$J$6:$J$45,R77)="","",INDEX('Recurring Schedule'!$J$6:$J$45,R77)))</f>
        <v/>
      </c>
      <c r="M77" s="73">
        <f>IF(R77="","",IF(INDEX('Recurring Schedule'!$K$6:$K$45,R77)="","",INDEX('Recurring Schedule'!$K$6:$K$45,R77)))</f>
        <v/>
      </c>
      <c r="N77" s="73">
        <f>IF(R77="","",IF(INDEX('Recurring Schedule'!$L$6:$L$45,R77)="","",INDEX('Recurring Schedule'!$L$6:$L$45,R77)))</f>
        <v/>
      </c>
      <c r="O77" s="73">
        <f>IF(C77="","",IF(AND(OR(L77="1-Urgent",L77="2-High"),M77="✓"),"DO FIRST",IF(M77="✓","SCHEDULE",IF(OR(L77="1-Urgent",L77="2-High"),"DELEGATE","DELETE"))))</f>
        <v/>
      </c>
      <c r="P77" s="65" t="n"/>
      <c r="Q77">
        <f>IF(72&gt;Calc!$AQ$368,"",MATCH(71,Calc!$AQ$2:$AQ$367,1))</f>
        <v/>
      </c>
      <c r="R77">
        <f>IF(Q77="","",SMALL(INDEX(Calc!$B$2:$AO$367,Q77,0),72-INDEX(Calc!$AQ$2:$AQ$367,Q77)))</f>
        <v/>
      </c>
    </row>
    <row r="78">
      <c r="B78" s="64">
        <f>IF(R78="","",73)</f>
        <v/>
      </c>
      <c r="C78" s="37">
        <f>IF(R78="","",IF(INDEX('Recurring Schedule'!$C$6:$C$45,R78)="","",INDEX('Recurring Schedule'!$C$6:$C$45,R78)))</f>
        <v/>
      </c>
      <c r="D78" s="36">
        <f>IF(R78="","",IF(INDEX('Recurring Schedule'!$D$6:$D$45,R78)="","",INDEX('Recurring Schedule'!$D$6:$D$45,R78)))</f>
        <v/>
      </c>
      <c r="E78" s="38">
        <f>IF(Q78="","",INDEX(Calc!$A$2:$A$367,Q78))</f>
        <v/>
      </c>
      <c r="F78" s="68">
        <f>IF(OR(C78="",E78=""),"",E78-Setup!$D$7)</f>
        <v/>
      </c>
      <c r="G78" s="74">
        <f>IF(R78="","",IF(INDEX('Recurring Schedule'!$H$6:$H$45,R78)="","",INDEX('Recurring Schedule'!$H$6:$H$45,R78)))</f>
        <v/>
      </c>
      <c r="H78" s="74">
        <f>IF(R78="","",IF(INDEX('Recurring Schedule'!$I$6:$I$45,R78)="","",INDEX('Recurring Schedule'!$I$6:$I$45,R78)))</f>
        <v/>
      </c>
      <c r="I78" s="36">
        <f>IF(OR(G78="",H78=""),"",TRIM(IF(HOUR(H78-G78)&gt;0,HOUR(H78-G78)&amp;" hr ","")&amp;IF(MINUTE(H78-G78)&gt;0,MINUTE(H78-G78)&amp;" min","")))</f>
        <v/>
      </c>
      <c r="J78" s="66" t="n"/>
      <c r="K78" s="70" t="n"/>
      <c r="L78" s="36">
        <f>IF(R78="","",IF(INDEX('Recurring Schedule'!$J$6:$J$45,R78)="","",INDEX('Recurring Schedule'!$J$6:$J$45,R78)))</f>
        <v/>
      </c>
      <c r="M78" s="36">
        <f>IF(R78="","",IF(INDEX('Recurring Schedule'!$K$6:$K$45,R78)="","",INDEX('Recurring Schedule'!$K$6:$K$45,R78)))</f>
        <v/>
      </c>
      <c r="N78" s="36">
        <f>IF(R78="","",IF(INDEX('Recurring Schedule'!$L$6:$L$45,R78)="","",INDEX('Recurring Schedule'!$L$6:$L$45,R78)))</f>
        <v/>
      </c>
      <c r="O78" s="36">
        <f>IF(C78="","",IF(AND(OR(L78="1-Urgent",L78="2-High"),M78="✓"),"DO FIRST",IF(M78="✓","SCHEDULE",IF(OR(L78="1-Urgent",L78="2-High"),"DELEGATE","DELETE"))))</f>
        <v/>
      </c>
      <c r="P78" s="65" t="n"/>
      <c r="Q78">
        <f>IF(73&gt;Calc!$AQ$368,"",MATCH(72,Calc!$AQ$2:$AQ$367,1))</f>
        <v/>
      </c>
      <c r="R78">
        <f>IF(Q78="","",SMALL(INDEX(Calc!$B$2:$AO$367,Q78,0),73-INDEX(Calc!$AQ$2:$AQ$367,Q78)))</f>
        <v/>
      </c>
    </row>
    <row r="79">
      <c r="B79" s="71">
        <f>IF(R79="","",74)</f>
        <v/>
      </c>
      <c r="C79" s="75">
        <f>IF(R79="","",IF(INDEX('Recurring Schedule'!$C$6:$C$45,R79)="","",INDEX('Recurring Schedule'!$C$6:$C$45,R79)))</f>
        <v/>
      </c>
      <c r="D79" s="73">
        <f>IF(R79="","",IF(INDEX('Recurring Schedule'!$D$6:$D$45,R79)="","",INDEX('Recurring Schedule'!$D$6:$D$45,R79)))</f>
        <v/>
      </c>
      <c r="E79" s="76">
        <f>IF(Q79="","",INDEX(Calc!$A$2:$A$367,Q79))</f>
        <v/>
      </c>
      <c r="F79" s="72">
        <f>IF(OR(C79="",E79=""),"",E79-Setup!$D$7)</f>
        <v/>
      </c>
      <c r="G79" s="77">
        <f>IF(R79="","",IF(INDEX('Recurring Schedule'!$H$6:$H$45,R79)="","",INDEX('Recurring Schedule'!$H$6:$H$45,R79)))</f>
        <v/>
      </c>
      <c r="H79" s="77">
        <f>IF(R79="","",IF(INDEX('Recurring Schedule'!$I$6:$I$45,R79)="","",INDEX('Recurring Schedule'!$I$6:$I$45,R79)))</f>
        <v/>
      </c>
      <c r="I79" s="73">
        <f>IF(OR(G79="",H79=""),"",TRIM(IF(HOUR(H79-G79)&gt;0,HOUR(H79-G79)&amp;" hr ","")&amp;IF(MINUTE(H79-G79)&gt;0,MINUTE(H79-G79)&amp;" min","")))</f>
        <v/>
      </c>
      <c r="J79" s="66" t="n"/>
      <c r="K79" s="70" t="n"/>
      <c r="L79" s="73">
        <f>IF(R79="","",IF(INDEX('Recurring Schedule'!$J$6:$J$45,R79)="","",INDEX('Recurring Schedule'!$J$6:$J$45,R79)))</f>
        <v/>
      </c>
      <c r="M79" s="73">
        <f>IF(R79="","",IF(INDEX('Recurring Schedule'!$K$6:$K$45,R79)="","",INDEX('Recurring Schedule'!$K$6:$K$45,R79)))</f>
        <v/>
      </c>
      <c r="N79" s="73">
        <f>IF(R79="","",IF(INDEX('Recurring Schedule'!$L$6:$L$45,R79)="","",INDEX('Recurring Schedule'!$L$6:$L$45,R79)))</f>
        <v/>
      </c>
      <c r="O79" s="73">
        <f>IF(C79="","",IF(AND(OR(L79="1-Urgent",L79="2-High"),M79="✓"),"DO FIRST",IF(M79="✓","SCHEDULE",IF(OR(L79="1-Urgent",L79="2-High"),"DELEGATE","DELETE"))))</f>
        <v/>
      </c>
      <c r="P79" s="65" t="n"/>
      <c r="Q79">
        <f>IF(74&gt;Calc!$AQ$368,"",MATCH(73,Calc!$AQ$2:$AQ$367,1))</f>
        <v/>
      </c>
      <c r="R79">
        <f>IF(Q79="","",SMALL(INDEX(Calc!$B$2:$AO$367,Q79,0),74-INDEX(Calc!$AQ$2:$AQ$367,Q79)))</f>
        <v/>
      </c>
    </row>
    <row r="80">
      <c r="B80" s="64">
        <f>IF(R80="","",75)</f>
        <v/>
      </c>
      <c r="C80" s="37">
        <f>IF(R80="","",IF(INDEX('Recurring Schedule'!$C$6:$C$45,R80)="","",INDEX('Recurring Schedule'!$C$6:$C$45,R80)))</f>
        <v/>
      </c>
      <c r="D80" s="36">
        <f>IF(R80="","",IF(INDEX('Recurring Schedule'!$D$6:$D$45,R80)="","",INDEX('Recurring Schedule'!$D$6:$D$45,R80)))</f>
        <v/>
      </c>
      <c r="E80" s="38">
        <f>IF(Q80="","",INDEX(Calc!$A$2:$A$367,Q80))</f>
        <v/>
      </c>
      <c r="F80" s="68">
        <f>IF(OR(C80="",E80=""),"",E80-Setup!$D$7)</f>
        <v/>
      </c>
      <c r="G80" s="74">
        <f>IF(R80="","",IF(INDEX('Recurring Schedule'!$H$6:$H$45,R80)="","",INDEX('Recurring Schedule'!$H$6:$H$45,R80)))</f>
        <v/>
      </c>
      <c r="H80" s="74">
        <f>IF(R80="","",IF(INDEX('Recurring Schedule'!$I$6:$I$45,R80)="","",INDEX('Recurring Schedule'!$I$6:$I$45,R80)))</f>
        <v/>
      </c>
      <c r="I80" s="36">
        <f>IF(OR(G80="",H80=""),"",TRIM(IF(HOUR(H80-G80)&gt;0,HOUR(H80-G80)&amp;" hr ","")&amp;IF(MINUTE(H80-G80)&gt;0,MINUTE(H80-G80)&amp;" min","")))</f>
        <v/>
      </c>
      <c r="J80" s="66" t="n"/>
      <c r="K80" s="70" t="n"/>
      <c r="L80" s="36">
        <f>IF(R80="","",IF(INDEX('Recurring Schedule'!$J$6:$J$45,R80)="","",INDEX('Recurring Schedule'!$J$6:$J$45,R80)))</f>
        <v/>
      </c>
      <c r="M80" s="36">
        <f>IF(R80="","",IF(INDEX('Recurring Schedule'!$K$6:$K$45,R80)="","",INDEX('Recurring Schedule'!$K$6:$K$45,R80)))</f>
        <v/>
      </c>
      <c r="N80" s="36">
        <f>IF(R80="","",IF(INDEX('Recurring Schedule'!$L$6:$L$45,R80)="","",INDEX('Recurring Schedule'!$L$6:$L$45,R80)))</f>
        <v/>
      </c>
      <c r="O80" s="36">
        <f>IF(C80="","",IF(AND(OR(L80="1-Urgent",L80="2-High"),M80="✓"),"DO FIRST",IF(M80="✓","SCHEDULE",IF(OR(L80="1-Urgent",L80="2-High"),"DELEGATE","DELETE"))))</f>
        <v/>
      </c>
      <c r="P80" s="65" t="n"/>
      <c r="Q80">
        <f>IF(75&gt;Calc!$AQ$368,"",MATCH(74,Calc!$AQ$2:$AQ$367,1))</f>
        <v/>
      </c>
      <c r="R80">
        <f>IF(Q80="","",SMALL(INDEX(Calc!$B$2:$AO$367,Q80,0),75-INDEX(Calc!$AQ$2:$AQ$367,Q80)))</f>
        <v/>
      </c>
    </row>
    <row r="81">
      <c r="B81" s="71">
        <f>IF(R81="","",76)</f>
        <v/>
      </c>
      <c r="C81" s="75">
        <f>IF(R81="","",IF(INDEX('Recurring Schedule'!$C$6:$C$45,R81)="","",INDEX('Recurring Schedule'!$C$6:$C$45,R81)))</f>
        <v/>
      </c>
      <c r="D81" s="73">
        <f>IF(R81="","",IF(INDEX('Recurring Schedule'!$D$6:$D$45,R81)="","",INDEX('Recurring Schedule'!$D$6:$D$45,R81)))</f>
        <v/>
      </c>
      <c r="E81" s="76">
        <f>IF(Q81="","",INDEX(Calc!$A$2:$A$367,Q81))</f>
        <v/>
      </c>
      <c r="F81" s="72">
        <f>IF(OR(C81="",E81=""),"",E81-Setup!$D$7)</f>
        <v/>
      </c>
      <c r="G81" s="77">
        <f>IF(R81="","",IF(INDEX('Recurring Schedule'!$H$6:$H$45,R81)="","",INDEX('Recurring Schedule'!$H$6:$H$45,R81)))</f>
        <v/>
      </c>
      <c r="H81" s="77">
        <f>IF(R81="","",IF(INDEX('Recurring Schedule'!$I$6:$I$45,R81)="","",INDEX('Recurring Schedule'!$I$6:$I$45,R81)))</f>
        <v/>
      </c>
      <c r="I81" s="73">
        <f>IF(OR(G81="",H81=""),"",TRIM(IF(HOUR(H81-G81)&gt;0,HOUR(H81-G81)&amp;" hr ","")&amp;IF(MINUTE(H81-G81)&gt;0,MINUTE(H81-G81)&amp;" min","")))</f>
        <v/>
      </c>
      <c r="J81" s="66" t="n"/>
      <c r="K81" s="70" t="n"/>
      <c r="L81" s="73">
        <f>IF(R81="","",IF(INDEX('Recurring Schedule'!$J$6:$J$45,R81)="","",INDEX('Recurring Schedule'!$J$6:$J$45,R81)))</f>
        <v/>
      </c>
      <c r="M81" s="73">
        <f>IF(R81="","",IF(INDEX('Recurring Schedule'!$K$6:$K$45,R81)="","",INDEX('Recurring Schedule'!$K$6:$K$45,R81)))</f>
        <v/>
      </c>
      <c r="N81" s="73">
        <f>IF(R81="","",IF(INDEX('Recurring Schedule'!$L$6:$L$45,R81)="","",INDEX('Recurring Schedule'!$L$6:$L$45,R81)))</f>
        <v/>
      </c>
      <c r="O81" s="73">
        <f>IF(C81="","",IF(AND(OR(L81="1-Urgent",L81="2-High"),M81="✓"),"DO FIRST",IF(M81="✓","SCHEDULE",IF(OR(L81="1-Urgent",L81="2-High"),"DELEGATE","DELETE"))))</f>
        <v/>
      </c>
      <c r="P81" s="65" t="n"/>
      <c r="Q81">
        <f>IF(76&gt;Calc!$AQ$368,"",MATCH(75,Calc!$AQ$2:$AQ$367,1))</f>
        <v/>
      </c>
      <c r="R81">
        <f>IF(Q81="","",SMALL(INDEX(Calc!$B$2:$AO$367,Q81,0),76-INDEX(Calc!$AQ$2:$AQ$367,Q81)))</f>
        <v/>
      </c>
    </row>
    <row r="82">
      <c r="B82" s="64">
        <f>IF(R82="","",77)</f>
        <v/>
      </c>
      <c r="C82" s="37">
        <f>IF(R82="","",IF(INDEX('Recurring Schedule'!$C$6:$C$45,R82)="","",INDEX('Recurring Schedule'!$C$6:$C$45,R82)))</f>
        <v/>
      </c>
      <c r="D82" s="36">
        <f>IF(R82="","",IF(INDEX('Recurring Schedule'!$D$6:$D$45,R82)="","",INDEX('Recurring Schedule'!$D$6:$D$45,R82)))</f>
        <v/>
      </c>
      <c r="E82" s="38">
        <f>IF(Q82="","",INDEX(Calc!$A$2:$A$367,Q82))</f>
        <v/>
      </c>
      <c r="F82" s="68">
        <f>IF(OR(C82="",E82=""),"",E82-Setup!$D$7)</f>
        <v/>
      </c>
      <c r="G82" s="74">
        <f>IF(R82="","",IF(INDEX('Recurring Schedule'!$H$6:$H$45,R82)="","",INDEX('Recurring Schedule'!$H$6:$H$45,R82)))</f>
        <v/>
      </c>
      <c r="H82" s="74">
        <f>IF(R82="","",IF(INDEX('Recurring Schedule'!$I$6:$I$45,R82)="","",INDEX('Recurring Schedule'!$I$6:$I$45,R82)))</f>
        <v/>
      </c>
      <c r="I82" s="36">
        <f>IF(OR(G82="",H82=""),"",TRIM(IF(HOUR(H82-G82)&gt;0,HOUR(H82-G82)&amp;" hr ","")&amp;IF(MINUTE(H82-G82)&gt;0,MINUTE(H82-G82)&amp;" min","")))</f>
        <v/>
      </c>
      <c r="J82" s="66" t="n"/>
      <c r="K82" s="70" t="n"/>
      <c r="L82" s="36">
        <f>IF(R82="","",IF(INDEX('Recurring Schedule'!$J$6:$J$45,R82)="","",INDEX('Recurring Schedule'!$J$6:$J$45,R82)))</f>
        <v/>
      </c>
      <c r="M82" s="36">
        <f>IF(R82="","",IF(INDEX('Recurring Schedule'!$K$6:$K$45,R82)="","",INDEX('Recurring Schedule'!$K$6:$K$45,R82)))</f>
        <v/>
      </c>
      <c r="N82" s="36">
        <f>IF(R82="","",IF(INDEX('Recurring Schedule'!$L$6:$L$45,R82)="","",INDEX('Recurring Schedule'!$L$6:$L$45,R82)))</f>
        <v/>
      </c>
      <c r="O82" s="36">
        <f>IF(C82="","",IF(AND(OR(L82="1-Urgent",L82="2-High"),M82="✓"),"DO FIRST",IF(M82="✓","SCHEDULE",IF(OR(L82="1-Urgent",L82="2-High"),"DELEGATE","DELETE"))))</f>
        <v/>
      </c>
      <c r="P82" s="65" t="n"/>
      <c r="Q82">
        <f>IF(77&gt;Calc!$AQ$368,"",MATCH(76,Calc!$AQ$2:$AQ$367,1))</f>
        <v/>
      </c>
      <c r="R82">
        <f>IF(Q82="","",SMALL(INDEX(Calc!$B$2:$AO$367,Q82,0),77-INDEX(Calc!$AQ$2:$AQ$367,Q82)))</f>
        <v/>
      </c>
    </row>
    <row r="83">
      <c r="B83" s="71">
        <f>IF(R83="","",78)</f>
        <v/>
      </c>
      <c r="C83" s="75">
        <f>IF(R83="","",IF(INDEX('Recurring Schedule'!$C$6:$C$45,R83)="","",INDEX('Recurring Schedule'!$C$6:$C$45,R83)))</f>
        <v/>
      </c>
      <c r="D83" s="73">
        <f>IF(R83="","",IF(INDEX('Recurring Schedule'!$D$6:$D$45,R83)="","",INDEX('Recurring Schedule'!$D$6:$D$45,R83)))</f>
        <v/>
      </c>
      <c r="E83" s="76">
        <f>IF(Q83="","",INDEX(Calc!$A$2:$A$367,Q83))</f>
        <v/>
      </c>
      <c r="F83" s="72">
        <f>IF(OR(C83="",E83=""),"",E83-Setup!$D$7)</f>
        <v/>
      </c>
      <c r="G83" s="77">
        <f>IF(R83="","",IF(INDEX('Recurring Schedule'!$H$6:$H$45,R83)="","",INDEX('Recurring Schedule'!$H$6:$H$45,R83)))</f>
        <v/>
      </c>
      <c r="H83" s="77">
        <f>IF(R83="","",IF(INDEX('Recurring Schedule'!$I$6:$I$45,R83)="","",INDEX('Recurring Schedule'!$I$6:$I$45,R83)))</f>
        <v/>
      </c>
      <c r="I83" s="73">
        <f>IF(OR(G83="",H83=""),"",TRIM(IF(HOUR(H83-G83)&gt;0,HOUR(H83-G83)&amp;" hr ","")&amp;IF(MINUTE(H83-G83)&gt;0,MINUTE(H83-G83)&amp;" min","")))</f>
        <v/>
      </c>
      <c r="J83" s="66" t="n"/>
      <c r="K83" s="70" t="n"/>
      <c r="L83" s="73">
        <f>IF(R83="","",IF(INDEX('Recurring Schedule'!$J$6:$J$45,R83)="","",INDEX('Recurring Schedule'!$J$6:$J$45,R83)))</f>
        <v/>
      </c>
      <c r="M83" s="73">
        <f>IF(R83="","",IF(INDEX('Recurring Schedule'!$K$6:$K$45,R83)="","",INDEX('Recurring Schedule'!$K$6:$K$45,R83)))</f>
        <v/>
      </c>
      <c r="N83" s="73">
        <f>IF(R83="","",IF(INDEX('Recurring Schedule'!$L$6:$L$45,R83)="","",INDEX('Recurring Schedule'!$L$6:$L$45,R83)))</f>
        <v/>
      </c>
      <c r="O83" s="73">
        <f>IF(C83="","",IF(AND(OR(L83="1-Urgent",L83="2-High"),M83="✓"),"DO FIRST",IF(M83="✓","SCHEDULE",IF(OR(L83="1-Urgent",L83="2-High"),"DELEGATE","DELETE"))))</f>
        <v/>
      </c>
      <c r="P83" s="65" t="n"/>
      <c r="Q83">
        <f>IF(78&gt;Calc!$AQ$368,"",MATCH(77,Calc!$AQ$2:$AQ$367,1))</f>
        <v/>
      </c>
      <c r="R83">
        <f>IF(Q83="","",SMALL(INDEX(Calc!$B$2:$AO$367,Q83,0),78-INDEX(Calc!$AQ$2:$AQ$367,Q83)))</f>
        <v/>
      </c>
    </row>
    <row r="84">
      <c r="B84" s="64">
        <f>IF(R84="","",79)</f>
        <v/>
      </c>
      <c r="C84" s="37">
        <f>IF(R84="","",IF(INDEX('Recurring Schedule'!$C$6:$C$45,R84)="","",INDEX('Recurring Schedule'!$C$6:$C$45,R84)))</f>
        <v/>
      </c>
      <c r="D84" s="36">
        <f>IF(R84="","",IF(INDEX('Recurring Schedule'!$D$6:$D$45,R84)="","",INDEX('Recurring Schedule'!$D$6:$D$45,R84)))</f>
        <v/>
      </c>
      <c r="E84" s="38">
        <f>IF(Q84="","",INDEX(Calc!$A$2:$A$367,Q84))</f>
        <v/>
      </c>
      <c r="F84" s="68">
        <f>IF(OR(C84="",E84=""),"",E84-Setup!$D$7)</f>
        <v/>
      </c>
      <c r="G84" s="74">
        <f>IF(R84="","",IF(INDEX('Recurring Schedule'!$H$6:$H$45,R84)="","",INDEX('Recurring Schedule'!$H$6:$H$45,R84)))</f>
        <v/>
      </c>
      <c r="H84" s="74">
        <f>IF(R84="","",IF(INDEX('Recurring Schedule'!$I$6:$I$45,R84)="","",INDEX('Recurring Schedule'!$I$6:$I$45,R84)))</f>
        <v/>
      </c>
      <c r="I84" s="36">
        <f>IF(OR(G84="",H84=""),"",TRIM(IF(HOUR(H84-G84)&gt;0,HOUR(H84-G84)&amp;" hr ","")&amp;IF(MINUTE(H84-G84)&gt;0,MINUTE(H84-G84)&amp;" min","")))</f>
        <v/>
      </c>
      <c r="J84" s="66" t="n"/>
      <c r="K84" s="70" t="n"/>
      <c r="L84" s="36">
        <f>IF(R84="","",IF(INDEX('Recurring Schedule'!$J$6:$J$45,R84)="","",INDEX('Recurring Schedule'!$J$6:$J$45,R84)))</f>
        <v/>
      </c>
      <c r="M84" s="36">
        <f>IF(R84="","",IF(INDEX('Recurring Schedule'!$K$6:$K$45,R84)="","",INDEX('Recurring Schedule'!$K$6:$K$45,R84)))</f>
        <v/>
      </c>
      <c r="N84" s="36">
        <f>IF(R84="","",IF(INDEX('Recurring Schedule'!$L$6:$L$45,R84)="","",INDEX('Recurring Schedule'!$L$6:$L$45,R84)))</f>
        <v/>
      </c>
      <c r="O84" s="36">
        <f>IF(C84="","",IF(AND(OR(L84="1-Urgent",L84="2-High"),M84="✓"),"DO FIRST",IF(M84="✓","SCHEDULE",IF(OR(L84="1-Urgent",L84="2-High"),"DELEGATE","DELETE"))))</f>
        <v/>
      </c>
      <c r="P84" s="65" t="n"/>
      <c r="Q84">
        <f>IF(79&gt;Calc!$AQ$368,"",MATCH(78,Calc!$AQ$2:$AQ$367,1))</f>
        <v/>
      </c>
      <c r="R84">
        <f>IF(Q84="","",SMALL(INDEX(Calc!$B$2:$AO$367,Q84,0),79-INDEX(Calc!$AQ$2:$AQ$367,Q84)))</f>
        <v/>
      </c>
    </row>
    <row r="85">
      <c r="B85" s="71">
        <f>IF(R85="","",80)</f>
        <v/>
      </c>
      <c r="C85" s="75">
        <f>IF(R85="","",IF(INDEX('Recurring Schedule'!$C$6:$C$45,R85)="","",INDEX('Recurring Schedule'!$C$6:$C$45,R85)))</f>
        <v/>
      </c>
      <c r="D85" s="73">
        <f>IF(R85="","",IF(INDEX('Recurring Schedule'!$D$6:$D$45,R85)="","",INDEX('Recurring Schedule'!$D$6:$D$45,R85)))</f>
        <v/>
      </c>
      <c r="E85" s="76">
        <f>IF(Q85="","",INDEX(Calc!$A$2:$A$367,Q85))</f>
        <v/>
      </c>
      <c r="F85" s="72">
        <f>IF(OR(C85="",E85=""),"",E85-Setup!$D$7)</f>
        <v/>
      </c>
      <c r="G85" s="77">
        <f>IF(R85="","",IF(INDEX('Recurring Schedule'!$H$6:$H$45,R85)="","",INDEX('Recurring Schedule'!$H$6:$H$45,R85)))</f>
        <v/>
      </c>
      <c r="H85" s="77">
        <f>IF(R85="","",IF(INDEX('Recurring Schedule'!$I$6:$I$45,R85)="","",INDEX('Recurring Schedule'!$I$6:$I$45,R85)))</f>
        <v/>
      </c>
      <c r="I85" s="73">
        <f>IF(OR(G85="",H85=""),"",TRIM(IF(HOUR(H85-G85)&gt;0,HOUR(H85-G85)&amp;" hr ","")&amp;IF(MINUTE(H85-G85)&gt;0,MINUTE(H85-G85)&amp;" min","")))</f>
        <v/>
      </c>
      <c r="J85" s="66" t="n"/>
      <c r="K85" s="70" t="n"/>
      <c r="L85" s="73">
        <f>IF(R85="","",IF(INDEX('Recurring Schedule'!$J$6:$J$45,R85)="","",INDEX('Recurring Schedule'!$J$6:$J$45,R85)))</f>
        <v/>
      </c>
      <c r="M85" s="73">
        <f>IF(R85="","",IF(INDEX('Recurring Schedule'!$K$6:$K$45,R85)="","",INDEX('Recurring Schedule'!$K$6:$K$45,R85)))</f>
        <v/>
      </c>
      <c r="N85" s="73">
        <f>IF(R85="","",IF(INDEX('Recurring Schedule'!$L$6:$L$45,R85)="","",INDEX('Recurring Schedule'!$L$6:$L$45,R85)))</f>
        <v/>
      </c>
      <c r="O85" s="73">
        <f>IF(C85="","",IF(AND(OR(L85="1-Urgent",L85="2-High"),M85="✓"),"DO FIRST",IF(M85="✓","SCHEDULE",IF(OR(L85="1-Urgent",L85="2-High"),"DELEGATE","DELETE"))))</f>
        <v/>
      </c>
      <c r="P85" s="65" t="n"/>
      <c r="Q85">
        <f>IF(80&gt;Calc!$AQ$368,"",MATCH(79,Calc!$AQ$2:$AQ$367,1))</f>
        <v/>
      </c>
      <c r="R85">
        <f>IF(Q85="","",SMALL(INDEX(Calc!$B$2:$AO$367,Q85,0),80-INDEX(Calc!$AQ$2:$AQ$367,Q85)))</f>
        <v/>
      </c>
    </row>
    <row r="86">
      <c r="B86" s="64">
        <f>IF(R86="","",81)</f>
        <v/>
      </c>
      <c r="C86" s="37">
        <f>IF(R86="","",IF(INDEX('Recurring Schedule'!$C$6:$C$45,R86)="","",INDEX('Recurring Schedule'!$C$6:$C$45,R86)))</f>
        <v/>
      </c>
      <c r="D86" s="36">
        <f>IF(R86="","",IF(INDEX('Recurring Schedule'!$D$6:$D$45,R86)="","",INDEX('Recurring Schedule'!$D$6:$D$45,R86)))</f>
        <v/>
      </c>
      <c r="E86" s="38">
        <f>IF(Q86="","",INDEX(Calc!$A$2:$A$367,Q86))</f>
        <v/>
      </c>
      <c r="F86" s="68">
        <f>IF(OR(C86="",E86=""),"",E86-Setup!$D$7)</f>
        <v/>
      </c>
      <c r="G86" s="74">
        <f>IF(R86="","",IF(INDEX('Recurring Schedule'!$H$6:$H$45,R86)="","",INDEX('Recurring Schedule'!$H$6:$H$45,R86)))</f>
        <v/>
      </c>
      <c r="H86" s="74">
        <f>IF(R86="","",IF(INDEX('Recurring Schedule'!$I$6:$I$45,R86)="","",INDEX('Recurring Schedule'!$I$6:$I$45,R86)))</f>
        <v/>
      </c>
      <c r="I86" s="36">
        <f>IF(OR(G86="",H86=""),"",TRIM(IF(HOUR(H86-G86)&gt;0,HOUR(H86-G86)&amp;" hr ","")&amp;IF(MINUTE(H86-G86)&gt;0,MINUTE(H86-G86)&amp;" min","")))</f>
        <v/>
      </c>
      <c r="J86" s="66" t="n"/>
      <c r="K86" s="70" t="n"/>
      <c r="L86" s="36">
        <f>IF(R86="","",IF(INDEX('Recurring Schedule'!$J$6:$J$45,R86)="","",INDEX('Recurring Schedule'!$J$6:$J$45,R86)))</f>
        <v/>
      </c>
      <c r="M86" s="36">
        <f>IF(R86="","",IF(INDEX('Recurring Schedule'!$K$6:$K$45,R86)="","",INDEX('Recurring Schedule'!$K$6:$K$45,R86)))</f>
        <v/>
      </c>
      <c r="N86" s="36">
        <f>IF(R86="","",IF(INDEX('Recurring Schedule'!$L$6:$L$45,R86)="","",INDEX('Recurring Schedule'!$L$6:$L$45,R86)))</f>
        <v/>
      </c>
      <c r="O86" s="36">
        <f>IF(C86="","",IF(AND(OR(L86="1-Urgent",L86="2-High"),M86="✓"),"DO FIRST",IF(M86="✓","SCHEDULE",IF(OR(L86="1-Urgent",L86="2-High"),"DELEGATE","DELETE"))))</f>
        <v/>
      </c>
      <c r="P86" s="65" t="n"/>
      <c r="Q86">
        <f>IF(81&gt;Calc!$AQ$368,"",MATCH(80,Calc!$AQ$2:$AQ$367,1))</f>
        <v/>
      </c>
      <c r="R86">
        <f>IF(Q86="","",SMALL(INDEX(Calc!$B$2:$AO$367,Q86,0),81-INDEX(Calc!$AQ$2:$AQ$367,Q86)))</f>
        <v/>
      </c>
    </row>
    <row r="87">
      <c r="B87" s="71">
        <f>IF(R87="","",82)</f>
        <v/>
      </c>
      <c r="C87" s="75">
        <f>IF(R87="","",IF(INDEX('Recurring Schedule'!$C$6:$C$45,R87)="","",INDEX('Recurring Schedule'!$C$6:$C$45,R87)))</f>
        <v/>
      </c>
      <c r="D87" s="73">
        <f>IF(R87="","",IF(INDEX('Recurring Schedule'!$D$6:$D$45,R87)="","",INDEX('Recurring Schedule'!$D$6:$D$45,R87)))</f>
        <v/>
      </c>
      <c r="E87" s="76">
        <f>IF(Q87="","",INDEX(Calc!$A$2:$A$367,Q87))</f>
        <v/>
      </c>
      <c r="F87" s="72">
        <f>IF(OR(C87="",E87=""),"",E87-Setup!$D$7)</f>
        <v/>
      </c>
      <c r="G87" s="77">
        <f>IF(R87="","",IF(INDEX('Recurring Schedule'!$H$6:$H$45,R87)="","",INDEX('Recurring Schedule'!$H$6:$H$45,R87)))</f>
        <v/>
      </c>
      <c r="H87" s="77">
        <f>IF(R87="","",IF(INDEX('Recurring Schedule'!$I$6:$I$45,R87)="","",INDEX('Recurring Schedule'!$I$6:$I$45,R87)))</f>
        <v/>
      </c>
      <c r="I87" s="73">
        <f>IF(OR(G87="",H87=""),"",TRIM(IF(HOUR(H87-G87)&gt;0,HOUR(H87-G87)&amp;" hr ","")&amp;IF(MINUTE(H87-G87)&gt;0,MINUTE(H87-G87)&amp;" min","")))</f>
        <v/>
      </c>
      <c r="J87" s="66" t="n"/>
      <c r="K87" s="70" t="n"/>
      <c r="L87" s="73">
        <f>IF(R87="","",IF(INDEX('Recurring Schedule'!$J$6:$J$45,R87)="","",INDEX('Recurring Schedule'!$J$6:$J$45,R87)))</f>
        <v/>
      </c>
      <c r="M87" s="73">
        <f>IF(R87="","",IF(INDEX('Recurring Schedule'!$K$6:$K$45,R87)="","",INDEX('Recurring Schedule'!$K$6:$K$45,R87)))</f>
        <v/>
      </c>
      <c r="N87" s="73">
        <f>IF(R87="","",IF(INDEX('Recurring Schedule'!$L$6:$L$45,R87)="","",INDEX('Recurring Schedule'!$L$6:$L$45,R87)))</f>
        <v/>
      </c>
      <c r="O87" s="73">
        <f>IF(C87="","",IF(AND(OR(L87="1-Urgent",L87="2-High"),M87="✓"),"DO FIRST",IF(M87="✓","SCHEDULE",IF(OR(L87="1-Urgent",L87="2-High"),"DELEGATE","DELETE"))))</f>
        <v/>
      </c>
      <c r="P87" s="65" t="n"/>
      <c r="Q87">
        <f>IF(82&gt;Calc!$AQ$368,"",MATCH(81,Calc!$AQ$2:$AQ$367,1))</f>
        <v/>
      </c>
      <c r="R87">
        <f>IF(Q87="","",SMALL(INDEX(Calc!$B$2:$AO$367,Q87,0),82-INDEX(Calc!$AQ$2:$AQ$367,Q87)))</f>
        <v/>
      </c>
    </row>
    <row r="88">
      <c r="B88" s="64">
        <f>IF(R88="","",83)</f>
        <v/>
      </c>
      <c r="C88" s="37">
        <f>IF(R88="","",IF(INDEX('Recurring Schedule'!$C$6:$C$45,R88)="","",INDEX('Recurring Schedule'!$C$6:$C$45,R88)))</f>
        <v/>
      </c>
      <c r="D88" s="36">
        <f>IF(R88="","",IF(INDEX('Recurring Schedule'!$D$6:$D$45,R88)="","",INDEX('Recurring Schedule'!$D$6:$D$45,R88)))</f>
        <v/>
      </c>
      <c r="E88" s="38">
        <f>IF(Q88="","",INDEX(Calc!$A$2:$A$367,Q88))</f>
        <v/>
      </c>
      <c r="F88" s="68">
        <f>IF(OR(C88="",E88=""),"",E88-Setup!$D$7)</f>
        <v/>
      </c>
      <c r="G88" s="74">
        <f>IF(R88="","",IF(INDEX('Recurring Schedule'!$H$6:$H$45,R88)="","",INDEX('Recurring Schedule'!$H$6:$H$45,R88)))</f>
        <v/>
      </c>
      <c r="H88" s="74">
        <f>IF(R88="","",IF(INDEX('Recurring Schedule'!$I$6:$I$45,R88)="","",INDEX('Recurring Schedule'!$I$6:$I$45,R88)))</f>
        <v/>
      </c>
      <c r="I88" s="36">
        <f>IF(OR(G88="",H88=""),"",TRIM(IF(HOUR(H88-G88)&gt;0,HOUR(H88-G88)&amp;" hr ","")&amp;IF(MINUTE(H88-G88)&gt;0,MINUTE(H88-G88)&amp;" min","")))</f>
        <v/>
      </c>
      <c r="J88" s="66" t="n"/>
      <c r="K88" s="70" t="n"/>
      <c r="L88" s="36">
        <f>IF(R88="","",IF(INDEX('Recurring Schedule'!$J$6:$J$45,R88)="","",INDEX('Recurring Schedule'!$J$6:$J$45,R88)))</f>
        <v/>
      </c>
      <c r="M88" s="36">
        <f>IF(R88="","",IF(INDEX('Recurring Schedule'!$K$6:$K$45,R88)="","",INDEX('Recurring Schedule'!$K$6:$K$45,R88)))</f>
        <v/>
      </c>
      <c r="N88" s="36">
        <f>IF(R88="","",IF(INDEX('Recurring Schedule'!$L$6:$L$45,R88)="","",INDEX('Recurring Schedule'!$L$6:$L$45,R88)))</f>
        <v/>
      </c>
      <c r="O88" s="36">
        <f>IF(C88="","",IF(AND(OR(L88="1-Urgent",L88="2-High"),M88="✓"),"DO FIRST",IF(M88="✓","SCHEDULE",IF(OR(L88="1-Urgent",L88="2-High"),"DELEGATE","DELETE"))))</f>
        <v/>
      </c>
      <c r="P88" s="65" t="n"/>
      <c r="Q88">
        <f>IF(83&gt;Calc!$AQ$368,"",MATCH(82,Calc!$AQ$2:$AQ$367,1))</f>
        <v/>
      </c>
      <c r="R88">
        <f>IF(Q88="","",SMALL(INDEX(Calc!$B$2:$AO$367,Q88,0),83-INDEX(Calc!$AQ$2:$AQ$367,Q88)))</f>
        <v/>
      </c>
    </row>
    <row r="89">
      <c r="B89" s="71">
        <f>IF(R89="","",84)</f>
        <v/>
      </c>
      <c r="C89" s="75">
        <f>IF(R89="","",IF(INDEX('Recurring Schedule'!$C$6:$C$45,R89)="","",INDEX('Recurring Schedule'!$C$6:$C$45,R89)))</f>
        <v/>
      </c>
      <c r="D89" s="73">
        <f>IF(R89="","",IF(INDEX('Recurring Schedule'!$D$6:$D$45,R89)="","",INDEX('Recurring Schedule'!$D$6:$D$45,R89)))</f>
        <v/>
      </c>
      <c r="E89" s="76">
        <f>IF(Q89="","",INDEX(Calc!$A$2:$A$367,Q89))</f>
        <v/>
      </c>
      <c r="F89" s="72">
        <f>IF(OR(C89="",E89=""),"",E89-Setup!$D$7)</f>
        <v/>
      </c>
      <c r="G89" s="77">
        <f>IF(R89="","",IF(INDEX('Recurring Schedule'!$H$6:$H$45,R89)="","",INDEX('Recurring Schedule'!$H$6:$H$45,R89)))</f>
        <v/>
      </c>
      <c r="H89" s="77">
        <f>IF(R89="","",IF(INDEX('Recurring Schedule'!$I$6:$I$45,R89)="","",INDEX('Recurring Schedule'!$I$6:$I$45,R89)))</f>
        <v/>
      </c>
      <c r="I89" s="73">
        <f>IF(OR(G89="",H89=""),"",TRIM(IF(HOUR(H89-G89)&gt;0,HOUR(H89-G89)&amp;" hr ","")&amp;IF(MINUTE(H89-G89)&gt;0,MINUTE(H89-G89)&amp;" min","")))</f>
        <v/>
      </c>
      <c r="J89" s="66" t="n"/>
      <c r="K89" s="70" t="n"/>
      <c r="L89" s="73">
        <f>IF(R89="","",IF(INDEX('Recurring Schedule'!$J$6:$J$45,R89)="","",INDEX('Recurring Schedule'!$J$6:$J$45,R89)))</f>
        <v/>
      </c>
      <c r="M89" s="73">
        <f>IF(R89="","",IF(INDEX('Recurring Schedule'!$K$6:$K$45,R89)="","",INDEX('Recurring Schedule'!$K$6:$K$45,R89)))</f>
        <v/>
      </c>
      <c r="N89" s="73">
        <f>IF(R89="","",IF(INDEX('Recurring Schedule'!$L$6:$L$45,R89)="","",INDEX('Recurring Schedule'!$L$6:$L$45,R89)))</f>
        <v/>
      </c>
      <c r="O89" s="73">
        <f>IF(C89="","",IF(AND(OR(L89="1-Urgent",L89="2-High"),M89="✓"),"DO FIRST",IF(M89="✓","SCHEDULE",IF(OR(L89="1-Urgent",L89="2-High"),"DELEGATE","DELETE"))))</f>
        <v/>
      </c>
      <c r="P89" s="65" t="n"/>
      <c r="Q89">
        <f>IF(84&gt;Calc!$AQ$368,"",MATCH(83,Calc!$AQ$2:$AQ$367,1))</f>
        <v/>
      </c>
      <c r="R89">
        <f>IF(Q89="","",SMALL(INDEX(Calc!$B$2:$AO$367,Q89,0),84-INDEX(Calc!$AQ$2:$AQ$367,Q89)))</f>
        <v/>
      </c>
    </row>
    <row r="90">
      <c r="B90" s="64">
        <f>IF(R90="","",85)</f>
        <v/>
      </c>
      <c r="C90" s="37">
        <f>IF(R90="","",IF(INDEX('Recurring Schedule'!$C$6:$C$45,R90)="","",INDEX('Recurring Schedule'!$C$6:$C$45,R90)))</f>
        <v/>
      </c>
      <c r="D90" s="36">
        <f>IF(R90="","",IF(INDEX('Recurring Schedule'!$D$6:$D$45,R90)="","",INDEX('Recurring Schedule'!$D$6:$D$45,R90)))</f>
        <v/>
      </c>
      <c r="E90" s="38">
        <f>IF(Q90="","",INDEX(Calc!$A$2:$A$367,Q90))</f>
        <v/>
      </c>
      <c r="F90" s="68">
        <f>IF(OR(C90="",E90=""),"",E90-Setup!$D$7)</f>
        <v/>
      </c>
      <c r="G90" s="74">
        <f>IF(R90="","",IF(INDEX('Recurring Schedule'!$H$6:$H$45,R90)="","",INDEX('Recurring Schedule'!$H$6:$H$45,R90)))</f>
        <v/>
      </c>
      <c r="H90" s="74">
        <f>IF(R90="","",IF(INDEX('Recurring Schedule'!$I$6:$I$45,R90)="","",INDEX('Recurring Schedule'!$I$6:$I$45,R90)))</f>
        <v/>
      </c>
      <c r="I90" s="36">
        <f>IF(OR(G90="",H90=""),"",TRIM(IF(HOUR(H90-G90)&gt;0,HOUR(H90-G90)&amp;" hr ","")&amp;IF(MINUTE(H90-G90)&gt;0,MINUTE(H90-G90)&amp;" min","")))</f>
        <v/>
      </c>
      <c r="J90" s="66" t="n"/>
      <c r="K90" s="70" t="n"/>
      <c r="L90" s="36">
        <f>IF(R90="","",IF(INDEX('Recurring Schedule'!$J$6:$J$45,R90)="","",INDEX('Recurring Schedule'!$J$6:$J$45,R90)))</f>
        <v/>
      </c>
      <c r="M90" s="36">
        <f>IF(R90="","",IF(INDEX('Recurring Schedule'!$K$6:$K$45,R90)="","",INDEX('Recurring Schedule'!$K$6:$K$45,R90)))</f>
        <v/>
      </c>
      <c r="N90" s="36">
        <f>IF(R90="","",IF(INDEX('Recurring Schedule'!$L$6:$L$45,R90)="","",INDEX('Recurring Schedule'!$L$6:$L$45,R90)))</f>
        <v/>
      </c>
      <c r="O90" s="36">
        <f>IF(C90="","",IF(AND(OR(L90="1-Urgent",L90="2-High"),M90="✓"),"DO FIRST",IF(M90="✓","SCHEDULE",IF(OR(L90="1-Urgent",L90="2-High"),"DELEGATE","DELETE"))))</f>
        <v/>
      </c>
      <c r="P90" s="65" t="n"/>
      <c r="Q90">
        <f>IF(85&gt;Calc!$AQ$368,"",MATCH(84,Calc!$AQ$2:$AQ$367,1))</f>
        <v/>
      </c>
      <c r="R90">
        <f>IF(Q90="","",SMALL(INDEX(Calc!$B$2:$AO$367,Q90,0),85-INDEX(Calc!$AQ$2:$AQ$367,Q90)))</f>
        <v/>
      </c>
    </row>
    <row r="91">
      <c r="B91" s="71">
        <f>IF(R91="","",86)</f>
        <v/>
      </c>
      <c r="C91" s="75">
        <f>IF(R91="","",IF(INDEX('Recurring Schedule'!$C$6:$C$45,R91)="","",INDEX('Recurring Schedule'!$C$6:$C$45,R91)))</f>
        <v/>
      </c>
      <c r="D91" s="73">
        <f>IF(R91="","",IF(INDEX('Recurring Schedule'!$D$6:$D$45,R91)="","",INDEX('Recurring Schedule'!$D$6:$D$45,R91)))</f>
        <v/>
      </c>
      <c r="E91" s="76">
        <f>IF(Q91="","",INDEX(Calc!$A$2:$A$367,Q91))</f>
        <v/>
      </c>
      <c r="F91" s="72">
        <f>IF(OR(C91="",E91=""),"",E91-Setup!$D$7)</f>
        <v/>
      </c>
      <c r="G91" s="77">
        <f>IF(R91="","",IF(INDEX('Recurring Schedule'!$H$6:$H$45,R91)="","",INDEX('Recurring Schedule'!$H$6:$H$45,R91)))</f>
        <v/>
      </c>
      <c r="H91" s="77">
        <f>IF(R91="","",IF(INDEX('Recurring Schedule'!$I$6:$I$45,R91)="","",INDEX('Recurring Schedule'!$I$6:$I$45,R91)))</f>
        <v/>
      </c>
      <c r="I91" s="73">
        <f>IF(OR(G91="",H91=""),"",TRIM(IF(HOUR(H91-G91)&gt;0,HOUR(H91-G91)&amp;" hr ","")&amp;IF(MINUTE(H91-G91)&gt;0,MINUTE(H91-G91)&amp;" min","")))</f>
        <v/>
      </c>
      <c r="J91" s="66" t="n"/>
      <c r="K91" s="70" t="n"/>
      <c r="L91" s="73">
        <f>IF(R91="","",IF(INDEX('Recurring Schedule'!$J$6:$J$45,R91)="","",INDEX('Recurring Schedule'!$J$6:$J$45,R91)))</f>
        <v/>
      </c>
      <c r="M91" s="73">
        <f>IF(R91="","",IF(INDEX('Recurring Schedule'!$K$6:$K$45,R91)="","",INDEX('Recurring Schedule'!$K$6:$K$45,R91)))</f>
        <v/>
      </c>
      <c r="N91" s="73">
        <f>IF(R91="","",IF(INDEX('Recurring Schedule'!$L$6:$L$45,R91)="","",INDEX('Recurring Schedule'!$L$6:$L$45,R91)))</f>
        <v/>
      </c>
      <c r="O91" s="73">
        <f>IF(C91="","",IF(AND(OR(L91="1-Urgent",L91="2-High"),M91="✓"),"DO FIRST",IF(M91="✓","SCHEDULE",IF(OR(L91="1-Urgent",L91="2-High"),"DELEGATE","DELETE"))))</f>
        <v/>
      </c>
      <c r="P91" s="65" t="n"/>
      <c r="Q91">
        <f>IF(86&gt;Calc!$AQ$368,"",MATCH(85,Calc!$AQ$2:$AQ$367,1))</f>
        <v/>
      </c>
      <c r="R91">
        <f>IF(Q91="","",SMALL(INDEX(Calc!$B$2:$AO$367,Q91,0),86-INDEX(Calc!$AQ$2:$AQ$367,Q91)))</f>
        <v/>
      </c>
    </row>
    <row r="92">
      <c r="B92" s="64">
        <f>IF(R92="","",87)</f>
        <v/>
      </c>
      <c r="C92" s="37">
        <f>IF(R92="","",IF(INDEX('Recurring Schedule'!$C$6:$C$45,R92)="","",INDEX('Recurring Schedule'!$C$6:$C$45,R92)))</f>
        <v/>
      </c>
      <c r="D92" s="36">
        <f>IF(R92="","",IF(INDEX('Recurring Schedule'!$D$6:$D$45,R92)="","",INDEX('Recurring Schedule'!$D$6:$D$45,R92)))</f>
        <v/>
      </c>
      <c r="E92" s="38">
        <f>IF(Q92="","",INDEX(Calc!$A$2:$A$367,Q92))</f>
        <v/>
      </c>
      <c r="F92" s="68">
        <f>IF(OR(C92="",E92=""),"",E92-Setup!$D$7)</f>
        <v/>
      </c>
      <c r="G92" s="74">
        <f>IF(R92="","",IF(INDEX('Recurring Schedule'!$H$6:$H$45,R92)="","",INDEX('Recurring Schedule'!$H$6:$H$45,R92)))</f>
        <v/>
      </c>
      <c r="H92" s="74">
        <f>IF(R92="","",IF(INDEX('Recurring Schedule'!$I$6:$I$45,R92)="","",INDEX('Recurring Schedule'!$I$6:$I$45,R92)))</f>
        <v/>
      </c>
      <c r="I92" s="36">
        <f>IF(OR(G92="",H92=""),"",TRIM(IF(HOUR(H92-G92)&gt;0,HOUR(H92-G92)&amp;" hr ","")&amp;IF(MINUTE(H92-G92)&gt;0,MINUTE(H92-G92)&amp;" min","")))</f>
        <v/>
      </c>
      <c r="J92" s="66" t="n"/>
      <c r="K92" s="70" t="n"/>
      <c r="L92" s="36">
        <f>IF(R92="","",IF(INDEX('Recurring Schedule'!$J$6:$J$45,R92)="","",INDEX('Recurring Schedule'!$J$6:$J$45,R92)))</f>
        <v/>
      </c>
      <c r="M92" s="36">
        <f>IF(R92="","",IF(INDEX('Recurring Schedule'!$K$6:$K$45,R92)="","",INDEX('Recurring Schedule'!$K$6:$K$45,R92)))</f>
        <v/>
      </c>
      <c r="N92" s="36">
        <f>IF(R92="","",IF(INDEX('Recurring Schedule'!$L$6:$L$45,R92)="","",INDEX('Recurring Schedule'!$L$6:$L$45,R92)))</f>
        <v/>
      </c>
      <c r="O92" s="36">
        <f>IF(C92="","",IF(AND(OR(L92="1-Urgent",L92="2-High"),M92="✓"),"DO FIRST",IF(M92="✓","SCHEDULE",IF(OR(L92="1-Urgent",L92="2-High"),"DELEGATE","DELETE"))))</f>
        <v/>
      </c>
      <c r="P92" s="65" t="n"/>
      <c r="Q92">
        <f>IF(87&gt;Calc!$AQ$368,"",MATCH(86,Calc!$AQ$2:$AQ$367,1))</f>
        <v/>
      </c>
      <c r="R92">
        <f>IF(Q92="","",SMALL(INDEX(Calc!$B$2:$AO$367,Q92,0),87-INDEX(Calc!$AQ$2:$AQ$367,Q92)))</f>
        <v/>
      </c>
    </row>
    <row r="93">
      <c r="B93" s="71">
        <f>IF(R93="","",88)</f>
        <v/>
      </c>
      <c r="C93" s="75">
        <f>IF(R93="","",IF(INDEX('Recurring Schedule'!$C$6:$C$45,R93)="","",INDEX('Recurring Schedule'!$C$6:$C$45,R93)))</f>
        <v/>
      </c>
      <c r="D93" s="73">
        <f>IF(R93="","",IF(INDEX('Recurring Schedule'!$D$6:$D$45,R93)="","",INDEX('Recurring Schedule'!$D$6:$D$45,R93)))</f>
        <v/>
      </c>
      <c r="E93" s="76">
        <f>IF(Q93="","",INDEX(Calc!$A$2:$A$367,Q93))</f>
        <v/>
      </c>
      <c r="F93" s="72">
        <f>IF(OR(C93="",E93=""),"",E93-Setup!$D$7)</f>
        <v/>
      </c>
      <c r="G93" s="77">
        <f>IF(R93="","",IF(INDEX('Recurring Schedule'!$H$6:$H$45,R93)="","",INDEX('Recurring Schedule'!$H$6:$H$45,R93)))</f>
        <v/>
      </c>
      <c r="H93" s="77">
        <f>IF(R93="","",IF(INDEX('Recurring Schedule'!$I$6:$I$45,R93)="","",INDEX('Recurring Schedule'!$I$6:$I$45,R93)))</f>
        <v/>
      </c>
      <c r="I93" s="73">
        <f>IF(OR(G93="",H93=""),"",TRIM(IF(HOUR(H93-G93)&gt;0,HOUR(H93-G93)&amp;" hr ","")&amp;IF(MINUTE(H93-G93)&gt;0,MINUTE(H93-G93)&amp;" min","")))</f>
        <v/>
      </c>
      <c r="J93" s="66" t="n"/>
      <c r="K93" s="70" t="n"/>
      <c r="L93" s="73">
        <f>IF(R93="","",IF(INDEX('Recurring Schedule'!$J$6:$J$45,R93)="","",INDEX('Recurring Schedule'!$J$6:$J$45,R93)))</f>
        <v/>
      </c>
      <c r="M93" s="73">
        <f>IF(R93="","",IF(INDEX('Recurring Schedule'!$K$6:$K$45,R93)="","",INDEX('Recurring Schedule'!$K$6:$K$45,R93)))</f>
        <v/>
      </c>
      <c r="N93" s="73">
        <f>IF(R93="","",IF(INDEX('Recurring Schedule'!$L$6:$L$45,R93)="","",INDEX('Recurring Schedule'!$L$6:$L$45,R93)))</f>
        <v/>
      </c>
      <c r="O93" s="73">
        <f>IF(C93="","",IF(AND(OR(L93="1-Urgent",L93="2-High"),M93="✓"),"DO FIRST",IF(M93="✓","SCHEDULE",IF(OR(L93="1-Urgent",L93="2-High"),"DELEGATE","DELETE"))))</f>
        <v/>
      </c>
      <c r="P93" s="65" t="n"/>
      <c r="Q93">
        <f>IF(88&gt;Calc!$AQ$368,"",MATCH(87,Calc!$AQ$2:$AQ$367,1))</f>
        <v/>
      </c>
      <c r="R93">
        <f>IF(Q93="","",SMALL(INDEX(Calc!$B$2:$AO$367,Q93,0),88-INDEX(Calc!$AQ$2:$AQ$367,Q93)))</f>
        <v/>
      </c>
    </row>
    <row r="94">
      <c r="B94" s="64">
        <f>IF(R94="","",89)</f>
        <v/>
      </c>
      <c r="C94" s="37">
        <f>IF(R94="","",IF(INDEX('Recurring Schedule'!$C$6:$C$45,R94)="","",INDEX('Recurring Schedule'!$C$6:$C$45,R94)))</f>
        <v/>
      </c>
      <c r="D94" s="36">
        <f>IF(R94="","",IF(INDEX('Recurring Schedule'!$D$6:$D$45,R94)="","",INDEX('Recurring Schedule'!$D$6:$D$45,R94)))</f>
        <v/>
      </c>
      <c r="E94" s="38">
        <f>IF(Q94="","",INDEX(Calc!$A$2:$A$367,Q94))</f>
        <v/>
      </c>
      <c r="F94" s="68">
        <f>IF(OR(C94="",E94=""),"",E94-Setup!$D$7)</f>
        <v/>
      </c>
      <c r="G94" s="74">
        <f>IF(R94="","",IF(INDEX('Recurring Schedule'!$H$6:$H$45,R94)="","",INDEX('Recurring Schedule'!$H$6:$H$45,R94)))</f>
        <v/>
      </c>
      <c r="H94" s="74">
        <f>IF(R94="","",IF(INDEX('Recurring Schedule'!$I$6:$I$45,R94)="","",INDEX('Recurring Schedule'!$I$6:$I$45,R94)))</f>
        <v/>
      </c>
      <c r="I94" s="36">
        <f>IF(OR(G94="",H94=""),"",TRIM(IF(HOUR(H94-G94)&gt;0,HOUR(H94-G94)&amp;" hr ","")&amp;IF(MINUTE(H94-G94)&gt;0,MINUTE(H94-G94)&amp;" min","")))</f>
        <v/>
      </c>
      <c r="J94" s="66" t="n"/>
      <c r="K94" s="70" t="n"/>
      <c r="L94" s="36">
        <f>IF(R94="","",IF(INDEX('Recurring Schedule'!$J$6:$J$45,R94)="","",INDEX('Recurring Schedule'!$J$6:$J$45,R94)))</f>
        <v/>
      </c>
      <c r="M94" s="36">
        <f>IF(R94="","",IF(INDEX('Recurring Schedule'!$K$6:$K$45,R94)="","",INDEX('Recurring Schedule'!$K$6:$K$45,R94)))</f>
        <v/>
      </c>
      <c r="N94" s="36">
        <f>IF(R94="","",IF(INDEX('Recurring Schedule'!$L$6:$L$45,R94)="","",INDEX('Recurring Schedule'!$L$6:$L$45,R94)))</f>
        <v/>
      </c>
      <c r="O94" s="36">
        <f>IF(C94="","",IF(AND(OR(L94="1-Urgent",L94="2-High"),M94="✓"),"DO FIRST",IF(M94="✓","SCHEDULE",IF(OR(L94="1-Urgent",L94="2-High"),"DELEGATE","DELETE"))))</f>
        <v/>
      </c>
      <c r="P94" s="65" t="n"/>
      <c r="Q94">
        <f>IF(89&gt;Calc!$AQ$368,"",MATCH(88,Calc!$AQ$2:$AQ$367,1))</f>
        <v/>
      </c>
      <c r="R94">
        <f>IF(Q94="","",SMALL(INDEX(Calc!$B$2:$AO$367,Q94,0),89-INDEX(Calc!$AQ$2:$AQ$367,Q94)))</f>
        <v/>
      </c>
    </row>
    <row r="95">
      <c r="B95" s="71">
        <f>IF(R95="","",90)</f>
        <v/>
      </c>
      <c r="C95" s="75">
        <f>IF(R95="","",IF(INDEX('Recurring Schedule'!$C$6:$C$45,R95)="","",INDEX('Recurring Schedule'!$C$6:$C$45,R95)))</f>
        <v/>
      </c>
      <c r="D95" s="73">
        <f>IF(R95="","",IF(INDEX('Recurring Schedule'!$D$6:$D$45,R95)="","",INDEX('Recurring Schedule'!$D$6:$D$45,R95)))</f>
        <v/>
      </c>
      <c r="E95" s="76">
        <f>IF(Q95="","",INDEX(Calc!$A$2:$A$367,Q95))</f>
        <v/>
      </c>
      <c r="F95" s="72">
        <f>IF(OR(C95="",E95=""),"",E95-Setup!$D$7)</f>
        <v/>
      </c>
      <c r="G95" s="77">
        <f>IF(R95="","",IF(INDEX('Recurring Schedule'!$H$6:$H$45,R95)="","",INDEX('Recurring Schedule'!$H$6:$H$45,R95)))</f>
        <v/>
      </c>
      <c r="H95" s="77">
        <f>IF(R95="","",IF(INDEX('Recurring Schedule'!$I$6:$I$45,R95)="","",INDEX('Recurring Schedule'!$I$6:$I$45,R95)))</f>
        <v/>
      </c>
      <c r="I95" s="73">
        <f>IF(OR(G95="",H95=""),"",TRIM(IF(HOUR(H95-G95)&gt;0,HOUR(H95-G95)&amp;" hr ","")&amp;IF(MINUTE(H95-G95)&gt;0,MINUTE(H95-G95)&amp;" min","")))</f>
        <v/>
      </c>
      <c r="J95" s="66" t="n"/>
      <c r="K95" s="70" t="n"/>
      <c r="L95" s="73">
        <f>IF(R95="","",IF(INDEX('Recurring Schedule'!$J$6:$J$45,R95)="","",INDEX('Recurring Schedule'!$J$6:$J$45,R95)))</f>
        <v/>
      </c>
      <c r="M95" s="73">
        <f>IF(R95="","",IF(INDEX('Recurring Schedule'!$K$6:$K$45,R95)="","",INDEX('Recurring Schedule'!$K$6:$K$45,R95)))</f>
        <v/>
      </c>
      <c r="N95" s="73">
        <f>IF(R95="","",IF(INDEX('Recurring Schedule'!$L$6:$L$45,R95)="","",INDEX('Recurring Schedule'!$L$6:$L$45,R95)))</f>
        <v/>
      </c>
      <c r="O95" s="73">
        <f>IF(C95="","",IF(AND(OR(L95="1-Urgent",L95="2-High"),M95="✓"),"DO FIRST",IF(M95="✓","SCHEDULE",IF(OR(L95="1-Urgent",L95="2-High"),"DELEGATE","DELETE"))))</f>
        <v/>
      </c>
      <c r="P95" s="65" t="n"/>
      <c r="Q95">
        <f>IF(90&gt;Calc!$AQ$368,"",MATCH(89,Calc!$AQ$2:$AQ$367,1))</f>
        <v/>
      </c>
      <c r="R95">
        <f>IF(Q95="","",SMALL(INDEX(Calc!$B$2:$AO$367,Q95,0),90-INDEX(Calc!$AQ$2:$AQ$367,Q95)))</f>
        <v/>
      </c>
    </row>
    <row r="96">
      <c r="B96" s="64">
        <f>IF(R96="","",91)</f>
        <v/>
      </c>
      <c r="C96" s="37">
        <f>IF(R96="","",IF(INDEX('Recurring Schedule'!$C$6:$C$45,R96)="","",INDEX('Recurring Schedule'!$C$6:$C$45,R96)))</f>
        <v/>
      </c>
      <c r="D96" s="36">
        <f>IF(R96="","",IF(INDEX('Recurring Schedule'!$D$6:$D$45,R96)="","",INDEX('Recurring Schedule'!$D$6:$D$45,R96)))</f>
        <v/>
      </c>
      <c r="E96" s="38">
        <f>IF(Q96="","",INDEX(Calc!$A$2:$A$367,Q96))</f>
        <v/>
      </c>
      <c r="F96" s="68">
        <f>IF(OR(C96="",E96=""),"",E96-Setup!$D$7)</f>
        <v/>
      </c>
      <c r="G96" s="74">
        <f>IF(R96="","",IF(INDEX('Recurring Schedule'!$H$6:$H$45,R96)="","",INDEX('Recurring Schedule'!$H$6:$H$45,R96)))</f>
        <v/>
      </c>
      <c r="H96" s="74">
        <f>IF(R96="","",IF(INDEX('Recurring Schedule'!$I$6:$I$45,R96)="","",INDEX('Recurring Schedule'!$I$6:$I$45,R96)))</f>
        <v/>
      </c>
      <c r="I96" s="36">
        <f>IF(OR(G96="",H96=""),"",TRIM(IF(HOUR(H96-G96)&gt;0,HOUR(H96-G96)&amp;" hr ","")&amp;IF(MINUTE(H96-G96)&gt;0,MINUTE(H96-G96)&amp;" min","")))</f>
        <v/>
      </c>
      <c r="J96" s="66" t="n"/>
      <c r="K96" s="70" t="n"/>
      <c r="L96" s="36">
        <f>IF(R96="","",IF(INDEX('Recurring Schedule'!$J$6:$J$45,R96)="","",INDEX('Recurring Schedule'!$J$6:$J$45,R96)))</f>
        <v/>
      </c>
      <c r="M96" s="36">
        <f>IF(R96="","",IF(INDEX('Recurring Schedule'!$K$6:$K$45,R96)="","",INDEX('Recurring Schedule'!$K$6:$K$45,R96)))</f>
        <v/>
      </c>
      <c r="N96" s="36">
        <f>IF(R96="","",IF(INDEX('Recurring Schedule'!$L$6:$L$45,R96)="","",INDEX('Recurring Schedule'!$L$6:$L$45,R96)))</f>
        <v/>
      </c>
      <c r="O96" s="36">
        <f>IF(C96="","",IF(AND(OR(L96="1-Urgent",L96="2-High"),M96="✓"),"DO FIRST",IF(M96="✓","SCHEDULE",IF(OR(L96="1-Urgent",L96="2-High"),"DELEGATE","DELETE"))))</f>
        <v/>
      </c>
      <c r="P96" s="65" t="n"/>
      <c r="Q96">
        <f>IF(91&gt;Calc!$AQ$368,"",MATCH(90,Calc!$AQ$2:$AQ$367,1))</f>
        <v/>
      </c>
      <c r="R96">
        <f>IF(Q96="","",SMALL(INDEX(Calc!$B$2:$AO$367,Q96,0),91-INDEX(Calc!$AQ$2:$AQ$367,Q96)))</f>
        <v/>
      </c>
    </row>
    <row r="97">
      <c r="B97" s="71">
        <f>IF(R97="","",92)</f>
        <v/>
      </c>
      <c r="C97" s="75">
        <f>IF(R97="","",IF(INDEX('Recurring Schedule'!$C$6:$C$45,R97)="","",INDEX('Recurring Schedule'!$C$6:$C$45,R97)))</f>
        <v/>
      </c>
      <c r="D97" s="73">
        <f>IF(R97="","",IF(INDEX('Recurring Schedule'!$D$6:$D$45,R97)="","",INDEX('Recurring Schedule'!$D$6:$D$45,R97)))</f>
        <v/>
      </c>
      <c r="E97" s="76">
        <f>IF(Q97="","",INDEX(Calc!$A$2:$A$367,Q97))</f>
        <v/>
      </c>
      <c r="F97" s="72">
        <f>IF(OR(C97="",E97=""),"",E97-Setup!$D$7)</f>
        <v/>
      </c>
      <c r="G97" s="77">
        <f>IF(R97="","",IF(INDEX('Recurring Schedule'!$H$6:$H$45,R97)="","",INDEX('Recurring Schedule'!$H$6:$H$45,R97)))</f>
        <v/>
      </c>
      <c r="H97" s="77">
        <f>IF(R97="","",IF(INDEX('Recurring Schedule'!$I$6:$I$45,R97)="","",INDEX('Recurring Schedule'!$I$6:$I$45,R97)))</f>
        <v/>
      </c>
      <c r="I97" s="73">
        <f>IF(OR(G97="",H97=""),"",TRIM(IF(HOUR(H97-G97)&gt;0,HOUR(H97-G97)&amp;" hr ","")&amp;IF(MINUTE(H97-G97)&gt;0,MINUTE(H97-G97)&amp;" min","")))</f>
        <v/>
      </c>
      <c r="J97" s="66" t="n"/>
      <c r="K97" s="70" t="n"/>
      <c r="L97" s="73">
        <f>IF(R97="","",IF(INDEX('Recurring Schedule'!$J$6:$J$45,R97)="","",INDEX('Recurring Schedule'!$J$6:$J$45,R97)))</f>
        <v/>
      </c>
      <c r="M97" s="73">
        <f>IF(R97="","",IF(INDEX('Recurring Schedule'!$K$6:$K$45,R97)="","",INDEX('Recurring Schedule'!$K$6:$K$45,R97)))</f>
        <v/>
      </c>
      <c r="N97" s="73">
        <f>IF(R97="","",IF(INDEX('Recurring Schedule'!$L$6:$L$45,R97)="","",INDEX('Recurring Schedule'!$L$6:$L$45,R97)))</f>
        <v/>
      </c>
      <c r="O97" s="73">
        <f>IF(C97="","",IF(AND(OR(L97="1-Urgent",L97="2-High"),M97="✓"),"DO FIRST",IF(M97="✓","SCHEDULE",IF(OR(L97="1-Urgent",L97="2-High"),"DELEGATE","DELETE"))))</f>
        <v/>
      </c>
      <c r="P97" s="65" t="n"/>
      <c r="Q97">
        <f>IF(92&gt;Calc!$AQ$368,"",MATCH(91,Calc!$AQ$2:$AQ$367,1))</f>
        <v/>
      </c>
      <c r="R97">
        <f>IF(Q97="","",SMALL(INDEX(Calc!$B$2:$AO$367,Q97,0),92-INDEX(Calc!$AQ$2:$AQ$367,Q97)))</f>
        <v/>
      </c>
    </row>
    <row r="98">
      <c r="B98" s="64">
        <f>IF(R98="","",93)</f>
        <v/>
      </c>
      <c r="C98" s="37">
        <f>IF(R98="","",IF(INDEX('Recurring Schedule'!$C$6:$C$45,R98)="","",INDEX('Recurring Schedule'!$C$6:$C$45,R98)))</f>
        <v/>
      </c>
      <c r="D98" s="36">
        <f>IF(R98="","",IF(INDEX('Recurring Schedule'!$D$6:$D$45,R98)="","",INDEX('Recurring Schedule'!$D$6:$D$45,R98)))</f>
        <v/>
      </c>
      <c r="E98" s="38">
        <f>IF(Q98="","",INDEX(Calc!$A$2:$A$367,Q98))</f>
        <v/>
      </c>
      <c r="F98" s="68">
        <f>IF(OR(C98="",E98=""),"",E98-Setup!$D$7)</f>
        <v/>
      </c>
      <c r="G98" s="74">
        <f>IF(R98="","",IF(INDEX('Recurring Schedule'!$H$6:$H$45,R98)="","",INDEX('Recurring Schedule'!$H$6:$H$45,R98)))</f>
        <v/>
      </c>
      <c r="H98" s="74">
        <f>IF(R98="","",IF(INDEX('Recurring Schedule'!$I$6:$I$45,R98)="","",INDEX('Recurring Schedule'!$I$6:$I$45,R98)))</f>
        <v/>
      </c>
      <c r="I98" s="36">
        <f>IF(OR(G98="",H98=""),"",TRIM(IF(HOUR(H98-G98)&gt;0,HOUR(H98-G98)&amp;" hr ","")&amp;IF(MINUTE(H98-G98)&gt;0,MINUTE(H98-G98)&amp;" min","")))</f>
        <v/>
      </c>
      <c r="J98" s="66" t="n"/>
      <c r="K98" s="70" t="n"/>
      <c r="L98" s="36">
        <f>IF(R98="","",IF(INDEX('Recurring Schedule'!$J$6:$J$45,R98)="","",INDEX('Recurring Schedule'!$J$6:$J$45,R98)))</f>
        <v/>
      </c>
      <c r="M98" s="36">
        <f>IF(R98="","",IF(INDEX('Recurring Schedule'!$K$6:$K$45,R98)="","",INDEX('Recurring Schedule'!$K$6:$K$45,R98)))</f>
        <v/>
      </c>
      <c r="N98" s="36">
        <f>IF(R98="","",IF(INDEX('Recurring Schedule'!$L$6:$L$45,R98)="","",INDEX('Recurring Schedule'!$L$6:$L$45,R98)))</f>
        <v/>
      </c>
      <c r="O98" s="36">
        <f>IF(C98="","",IF(AND(OR(L98="1-Urgent",L98="2-High"),M98="✓"),"DO FIRST",IF(M98="✓","SCHEDULE",IF(OR(L98="1-Urgent",L98="2-High"),"DELEGATE","DELETE"))))</f>
        <v/>
      </c>
      <c r="P98" s="65" t="n"/>
      <c r="Q98">
        <f>IF(93&gt;Calc!$AQ$368,"",MATCH(92,Calc!$AQ$2:$AQ$367,1))</f>
        <v/>
      </c>
      <c r="R98">
        <f>IF(Q98="","",SMALL(INDEX(Calc!$B$2:$AO$367,Q98,0),93-INDEX(Calc!$AQ$2:$AQ$367,Q98)))</f>
        <v/>
      </c>
    </row>
    <row r="99">
      <c r="B99" s="71">
        <f>IF(R99="","",94)</f>
        <v/>
      </c>
      <c r="C99" s="75">
        <f>IF(R99="","",IF(INDEX('Recurring Schedule'!$C$6:$C$45,R99)="","",INDEX('Recurring Schedule'!$C$6:$C$45,R99)))</f>
        <v/>
      </c>
      <c r="D99" s="73">
        <f>IF(R99="","",IF(INDEX('Recurring Schedule'!$D$6:$D$45,R99)="","",INDEX('Recurring Schedule'!$D$6:$D$45,R99)))</f>
        <v/>
      </c>
      <c r="E99" s="76">
        <f>IF(Q99="","",INDEX(Calc!$A$2:$A$367,Q99))</f>
        <v/>
      </c>
      <c r="F99" s="72">
        <f>IF(OR(C99="",E99=""),"",E99-Setup!$D$7)</f>
        <v/>
      </c>
      <c r="G99" s="77">
        <f>IF(R99="","",IF(INDEX('Recurring Schedule'!$H$6:$H$45,R99)="","",INDEX('Recurring Schedule'!$H$6:$H$45,R99)))</f>
        <v/>
      </c>
      <c r="H99" s="77">
        <f>IF(R99="","",IF(INDEX('Recurring Schedule'!$I$6:$I$45,R99)="","",INDEX('Recurring Schedule'!$I$6:$I$45,R99)))</f>
        <v/>
      </c>
      <c r="I99" s="73">
        <f>IF(OR(G99="",H99=""),"",TRIM(IF(HOUR(H99-G99)&gt;0,HOUR(H99-G99)&amp;" hr ","")&amp;IF(MINUTE(H99-G99)&gt;0,MINUTE(H99-G99)&amp;" min","")))</f>
        <v/>
      </c>
      <c r="J99" s="66" t="n"/>
      <c r="K99" s="70" t="n"/>
      <c r="L99" s="73">
        <f>IF(R99="","",IF(INDEX('Recurring Schedule'!$J$6:$J$45,R99)="","",INDEX('Recurring Schedule'!$J$6:$J$45,R99)))</f>
        <v/>
      </c>
      <c r="M99" s="73">
        <f>IF(R99="","",IF(INDEX('Recurring Schedule'!$K$6:$K$45,R99)="","",INDEX('Recurring Schedule'!$K$6:$K$45,R99)))</f>
        <v/>
      </c>
      <c r="N99" s="73">
        <f>IF(R99="","",IF(INDEX('Recurring Schedule'!$L$6:$L$45,R99)="","",INDEX('Recurring Schedule'!$L$6:$L$45,R99)))</f>
        <v/>
      </c>
      <c r="O99" s="73">
        <f>IF(C99="","",IF(AND(OR(L99="1-Urgent",L99="2-High"),M99="✓"),"DO FIRST",IF(M99="✓","SCHEDULE",IF(OR(L99="1-Urgent",L99="2-High"),"DELEGATE","DELETE"))))</f>
        <v/>
      </c>
      <c r="P99" s="65" t="n"/>
      <c r="Q99">
        <f>IF(94&gt;Calc!$AQ$368,"",MATCH(93,Calc!$AQ$2:$AQ$367,1))</f>
        <v/>
      </c>
      <c r="R99">
        <f>IF(Q99="","",SMALL(INDEX(Calc!$B$2:$AO$367,Q99,0),94-INDEX(Calc!$AQ$2:$AQ$367,Q99)))</f>
        <v/>
      </c>
    </row>
    <row r="100">
      <c r="B100" s="64">
        <f>IF(R100="","",95)</f>
        <v/>
      </c>
      <c r="C100" s="37">
        <f>IF(R100="","",IF(INDEX('Recurring Schedule'!$C$6:$C$45,R100)="","",INDEX('Recurring Schedule'!$C$6:$C$45,R100)))</f>
        <v/>
      </c>
      <c r="D100" s="36">
        <f>IF(R100="","",IF(INDEX('Recurring Schedule'!$D$6:$D$45,R100)="","",INDEX('Recurring Schedule'!$D$6:$D$45,R100)))</f>
        <v/>
      </c>
      <c r="E100" s="38">
        <f>IF(Q100="","",INDEX(Calc!$A$2:$A$367,Q100))</f>
        <v/>
      </c>
      <c r="F100" s="68">
        <f>IF(OR(C100="",E100=""),"",E100-Setup!$D$7)</f>
        <v/>
      </c>
      <c r="G100" s="74">
        <f>IF(R100="","",IF(INDEX('Recurring Schedule'!$H$6:$H$45,R100)="","",INDEX('Recurring Schedule'!$H$6:$H$45,R100)))</f>
        <v/>
      </c>
      <c r="H100" s="74">
        <f>IF(R100="","",IF(INDEX('Recurring Schedule'!$I$6:$I$45,R100)="","",INDEX('Recurring Schedule'!$I$6:$I$45,R100)))</f>
        <v/>
      </c>
      <c r="I100" s="36">
        <f>IF(OR(G100="",H100=""),"",TRIM(IF(HOUR(H100-G100)&gt;0,HOUR(H100-G100)&amp;" hr ","")&amp;IF(MINUTE(H100-G100)&gt;0,MINUTE(H100-G100)&amp;" min","")))</f>
        <v/>
      </c>
      <c r="J100" s="66" t="n"/>
      <c r="K100" s="70" t="n"/>
      <c r="L100" s="36">
        <f>IF(R100="","",IF(INDEX('Recurring Schedule'!$J$6:$J$45,R100)="","",INDEX('Recurring Schedule'!$J$6:$J$45,R100)))</f>
        <v/>
      </c>
      <c r="M100" s="36">
        <f>IF(R100="","",IF(INDEX('Recurring Schedule'!$K$6:$K$45,R100)="","",INDEX('Recurring Schedule'!$K$6:$K$45,R100)))</f>
        <v/>
      </c>
      <c r="N100" s="36">
        <f>IF(R100="","",IF(INDEX('Recurring Schedule'!$L$6:$L$45,R100)="","",INDEX('Recurring Schedule'!$L$6:$L$45,R100)))</f>
        <v/>
      </c>
      <c r="O100" s="36">
        <f>IF(C100="","",IF(AND(OR(L100="1-Urgent",L100="2-High"),M100="✓"),"DO FIRST",IF(M100="✓","SCHEDULE",IF(OR(L100="1-Urgent",L100="2-High"),"DELEGATE","DELETE"))))</f>
        <v/>
      </c>
      <c r="P100" s="65" t="n"/>
      <c r="Q100">
        <f>IF(95&gt;Calc!$AQ$368,"",MATCH(94,Calc!$AQ$2:$AQ$367,1))</f>
        <v/>
      </c>
      <c r="R100">
        <f>IF(Q100="","",SMALL(INDEX(Calc!$B$2:$AO$367,Q100,0),95-INDEX(Calc!$AQ$2:$AQ$367,Q100)))</f>
        <v/>
      </c>
    </row>
    <row r="101">
      <c r="B101" s="71">
        <f>IF(R101="","",96)</f>
        <v/>
      </c>
      <c r="C101" s="75">
        <f>IF(R101="","",IF(INDEX('Recurring Schedule'!$C$6:$C$45,R101)="","",INDEX('Recurring Schedule'!$C$6:$C$45,R101)))</f>
        <v/>
      </c>
      <c r="D101" s="73">
        <f>IF(R101="","",IF(INDEX('Recurring Schedule'!$D$6:$D$45,R101)="","",INDEX('Recurring Schedule'!$D$6:$D$45,R101)))</f>
        <v/>
      </c>
      <c r="E101" s="76">
        <f>IF(Q101="","",INDEX(Calc!$A$2:$A$367,Q101))</f>
        <v/>
      </c>
      <c r="F101" s="72">
        <f>IF(OR(C101="",E101=""),"",E101-Setup!$D$7)</f>
        <v/>
      </c>
      <c r="G101" s="77">
        <f>IF(R101="","",IF(INDEX('Recurring Schedule'!$H$6:$H$45,R101)="","",INDEX('Recurring Schedule'!$H$6:$H$45,R101)))</f>
        <v/>
      </c>
      <c r="H101" s="77">
        <f>IF(R101="","",IF(INDEX('Recurring Schedule'!$I$6:$I$45,R101)="","",INDEX('Recurring Schedule'!$I$6:$I$45,R101)))</f>
        <v/>
      </c>
      <c r="I101" s="73">
        <f>IF(OR(G101="",H101=""),"",TRIM(IF(HOUR(H101-G101)&gt;0,HOUR(H101-G101)&amp;" hr ","")&amp;IF(MINUTE(H101-G101)&gt;0,MINUTE(H101-G101)&amp;" min","")))</f>
        <v/>
      </c>
      <c r="J101" s="66" t="n"/>
      <c r="K101" s="70" t="n"/>
      <c r="L101" s="73">
        <f>IF(R101="","",IF(INDEX('Recurring Schedule'!$J$6:$J$45,R101)="","",INDEX('Recurring Schedule'!$J$6:$J$45,R101)))</f>
        <v/>
      </c>
      <c r="M101" s="73">
        <f>IF(R101="","",IF(INDEX('Recurring Schedule'!$K$6:$K$45,R101)="","",INDEX('Recurring Schedule'!$K$6:$K$45,R101)))</f>
        <v/>
      </c>
      <c r="N101" s="73">
        <f>IF(R101="","",IF(INDEX('Recurring Schedule'!$L$6:$L$45,R101)="","",INDEX('Recurring Schedule'!$L$6:$L$45,R101)))</f>
        <v/>
      </c>
      <c r="O101" s="73">
        <f>IF(C101="","",IF(AND(OR(L101="1-Urgent",L101="2-High"),M101="✓"),"DO FIRST",IF(M101="✓","SCHEDULE",IF(OR(L101="1-Urgent",L101="2-High"),"DELEGATE","DELETE"))))</f>
        <v/>
      </c>
      <c r="P101" s="65" t="n"/>
      <c r="Q101">
        <f>IF(96&gt;Calc!$AQ$368,"",MATCH(95,Calc!$AQ$2:$AQ$367,1))</f>
        <v/>
      </c>
      <c r="R101">
        <f>IF(Q101="","",SMALL(INDEX(Calc!$B$2:$AO$367,Q101,0),96-INDEX(Calc!$AQ$2:$AQ$367,Q101)))</f>
        <v/>
      </c>
    </row>
    <row r="102">
      <c r="B102" s="64">
        <f>IF(R102="","",97)</f>
        <v/>
      </c>
      <c r="C102" s="37">
        <f>IF(R102="","",IF(INDEX('Recurring Schedule'!$C$6:$C$45,R102)="","",INDEX('Recurring Schedule'!$C$6:$C$45,R102)))</f>
        <v/>
      </c>
      <c r="D102" s="36">
        <f>IF(R102="","",IF(INDEX('Recurring Schedule'!$D$6:$D$45,R102)="","",INDEX('Recurring Schedule'!$D$6:$D$45,R102)))</f>
        <v/>
      </c>
      <c r="E102" s="38">
        <f>IF(Q102="","",INDEX(Calc!$A$2:$A$367,Q102))</f>
        <v/>
      </c>
      <c r="F102" s="68">
        <f>IF(OR(C102="",E102=""),"",E102-Setup!$D$7)</f>
        <v/>
      </c>
      <c r="G102" s="74">
        <f>IF(R102="","",IF(INDEX('Recurring Schedule'!$H$6:$H$45,R102)="","",INDEX('Recurring Schedule'!$H$6:$H$45,R102)))</f>
        <v/>
      </c>
      <c r="H102" s="74">
        <f>IF(R102="","",IF(INDEX('Recurring Schedule'!$I$6:$I$45,R102)="","",INDEX('Recurring Schedule'!$I$6:$I$45,R102)))</f>
        <v/>
      </c>
      <c r="I102" s="36">
        <f>IF(OR(G102="",H102=""),"",TRIM(IF(HOUR(H102-G102)&gt;0,HOUR(H102-G102)&amp;" hr ","")&amp;IF(MINUTE(H102-G102)&gt;0,MINUTE(H102-G102)&amp;" min","")))</f>
        <v/>
      </c>
      <c r="J102" s="66" t="n"/>
      <c r="K102" s="70" t="n"/>
      <c r="L102" s="36">
        <f>IF(R102="","",IF(INDEX('Recurring Schedule'!$J$6:$J$45,R102)="","",INDEX('Recurring Schedule'!$J$6:$J$45,R102)))</f>
        <v/>
      </c>
      <c r="M102" s="36">
        <f>IF(R102="","",IF(INDEX('Recurring Schedule'!$K$6:$K$45,R102)="","",INDEX('Recurring Schedule'!$K$6:$K$45,R102)))</f>
        <v/>
      </c>
      <c r="N102" s="36">
        <f>IF(R102="","",IF(INDEX('Recurring Schedule'!$L$6:$L$45,R102)="","",INDEX('Recurring Schedule'!$L$6:$L$45,R102)))</f>
        <v/>
      </c>
      <c r="O102" s="36">
        <f>IF(C102="","",IF(AND(OR(L102="1-Urgent",L102="2-High"),M102="✓"),"DO FIRST",IF(M102="✓","SCHEDULE",IF(OR(L102="1-Urgent",L102="2-High"),"DELEGATE","DELETE"))))</f>
        <v/>
      </c>
      <c r="P102" s="65" t="n"/>
      <c r="Q102">
        <f>IF(97&gt;Calc!$AQ$368,"",MATCH(96,Calc!$AQ$2:$AQ$367,1))</f>
        <v/>
      </c>
      <c r="R102">
        <f>IF(Q102="","",SMALL(INDEX(Calc!$B$2:$AO$367,Q102,0),97-INDEX(Calc!$AQ$2:$AQ$367,Q102)))</f>
        <v/>
      </c>
    </row>
    <row r="103">
      <c r="B103" s="71">
        <f>IF(R103="","",98)</f>
        <v/>
      </c>
      <c r="C103" s="75">
        <f>IF(R103="","",IF(INDEX('Recurring Schedule'!$C$6:$C$45,R103)="","",INDEX('Recurring Schedule'!$C$6:$C$45,R103)))</f>
        <v/>
      </c>
      <c r="D103" s="73">
        <f>IF(R103="","",IF(INDEX('Recurring Schedule'!$D$6:$D$45,R103)="","",INDEX('Recurring Schedule'!$D$6:$D$45,R103)))</f>
        <v/>
      </c>
      <c r="E103" s="76">
        <f>IF(Q103="","",INDEX(Calc!$A$2:$A$367,Q103))</f>
        <v/>
      </c>
      <c r="F103" s="72">
        <f>IF(OR(C103="",E103=""),"",E103-Setup!$D$7)</f>
        <v/>
      </c>
      <c r="G103" s="77">
        <f>IF(R103="","",IF(INDEX('Recurring Schedule'!$H$6:$H$45,R103)="","",INDEX('Recurring Schedule'!$H$6:$H$45,R103)))</f>
        <v/>
      </c>
      <c r="H103" s="77">
        <f>IF(R103="","",IF(INDEX('Recurring Schedule'!$I$6:$I$45,R103)="","",INDEX('Recurring Schedule'!$I$6:$I$45,R103)))</f>
        <v/>
      </c>
      <c r="I103" s="73">
        <f>IF(OR(G103="",H103=""),"",TRIM(IF(HOUR(H103-G103)&gt;0,HOUR(H103-G103)&amp;" hr ","")&amp;IF(MINUTE(H103-G103)&gt;0,MINUTE(H103-G103)&amp;" min","")))</f>
        <v/>
      </c>
      <c r="J103" s="66" t="n"/>
      <c r="K103" s="70" t="n"/>
      <c r="L103" s="73">
        <f>IF(R103="","",IF(INDEX('Recurring Schedule'!$J$6:$J$45,R103)="","",INDEX('Recurring Schedule'!$J$6:$J$45,R103)))</f>
        <v/>
      </c>
      <c r="M103" s="73">
        <f>IF(R103="","",IF(INDEX('Recurring Schedule'!$K$6:$K$45,R103)="","",INDEX('Recurring Schedule'!$K$6:$K$45,R103)))</f>
        <v/>
      </c>
      <c r="N103" s="73">
        <f>IF(R103="","",IF(INDEX('Recurring Schedule'!$L$6:$L$45,R103)="","",INDEX('Recurring Schedule'!$L$6:$L$45,R103)))</f>
        <v/>
      </c>
      <c r="O103" s="73">
        <f>IF(C103="","",IF(AND(OR(L103="1-Urgent",L103="2-High"),M103="✓"),"DO FIRST",IF(M103="✓","SCHEDULE",IF(OR(L103="1-Urgent",L103="2-High"),"DELEGATE","DELETE"))))</f>
        <v/>
      </c>
      <c r="P103" s="65" t="n"/>
      <c r="Q103">
        <f>IF(98&gt;Calc!$AQ$368,"",MATCH(97,Calc!$AQ$2:$AQ$367,1))</f>
        <v/>
      </c>
      <c r="R103">
        <f>IF(Q103="","",SMALL(INDEX(Calc!$B$2:$AO$367,Q103,0),98-INDEX(Calc!$AQ$2:$AQ$367,Q103)))</f>
        <v/>
      </c>
    </row>
    <row r="104">
      <c r="B104" s="64">
        <f>IF(R104="","",99)</f>
        <v/>
      </c>
      <c r="C104" s="37">
        <f>IF(R104="","",IF(INDEX('Recurring Schedule'!$C$6:$C$45,R104)="","",INDEX('Recurring Schedule'!$C$6:$C$45,R104)))</f>
        <v/>
      </c>
      <c r="D104" s="36">
        <f>IF(R104="","",IF(INDEX('Recurring Schedule'!$D$6:$D$45,R104)="","",INDEX('Recurring Schedule'!$D$6:$D$45,R104)))</f>
        <v/>
      </c>
      <c r="E104" s="38">
        <f>IF(Q104="","",INDEX(Calc!$A$2:$A$367,Q104))</f>
        <v/>
      </c>
      <c r="F104" s="68">
        <f>IF(OR(C104="",E104=""),"",E104-Setup!$D$7)</f>
        <v/>
      </c>
      <c r="G104" s="74">
        <f>IF(R104="","",IF(INDEX('Recurring Schedule'!$H$6:$H$45,R104)="","",INDEX('Recurring Schedule'!$H$6:$H$45,R104)))</f>
        <v/>
      </c>
      <c r="H104" s="74">
        <f>IF(R104="","",IF(INDEX('Recurring Schedule'!$I$6:$I$45,R104)="","",INDEX('Recurring Schedule'!$I$6:$I$45,R104)))</f>
        <v/>
      </c>
      <c r="I104" s="36">
        <f>IF(OR(G104="",H104=""),"",TRIM(IF(HOUR(H104-G104)&gt;0,HOUR(H104-G104)&amp;" hr ","")&amp;IF(MINUTE(H104-G104)&gt;0,MINUTE(H104-G104)&amp;" min","")))</f>
        <v/>
      </c>
      <c r="J104" s="66" t="n"/>
      <c r="K104" s="70" t="n"/>
      <c r="L104" s="36">
        <f>IF(R104="","",IF(INDEX('Recurring Schedule'!$J$6:$J$45,R104)="","",INDEX('Recurring Schedule'!$J$6:$J$45,R104)))</f>
        <v/>
      </c>
      <c r="M104" s="36">
        <f>IF(R104="","",IF(INDEX('Recurring Schedule'!$K$6:$K$45,R104)="","",INDEX('Recurring Schedule'!$K$6:$K$45,R104)))</f>
        <v/>
      </c>
      <c r="N104" s="36">
        <f>IF(R104="","",IF(INDEX('Recurring Schedule'!$L$6:$L$45,R104)="","",INDEX('Recurring Schedule'!$L$6:$L$45,R104)))</f>
        <v/>
      </c>
      <c r="O104" s="36">
        <f>IF(C104="","",IF(AND(OR(L104="1-Urgent",L104="2-High"),M104="✓"),"DO FIRST",IF(M104="✓","SCHEDULE",IF(OR(L104="1-Urgent",L104="2-High"),"DELEGATE","DELETE"))))</f>
        <v/>
      </c>
      <c r="P104" s="65" t="n"/>
      <c r="Q104">
        <f>IF(99&gt;Calc!$AQ$368,"",MATCH(98,Calc!$AQ$2:$AQ$367,1))</f>
        <v/>
      </c>
      <c r="R104">
        <f>IF(Q104="","",SMALL(INDEX(Calc!$B$2:$AO$367,Q104,0),99-INDEX(Calc!$AQ$2:$AQ$367,Q104)))</f>
        <v/>
      </c>
    </row>
    <row r="105">
      <c r="B105" s="71">
        <f>IF(R105="","",100)</f>
        <v/>
      </c>
      <c r="C105" s="75">
        <f>IF(R105="","",IF(INDEX('Recurring Schedule'!$C$6:$C$45,R105)="","",INDEX('Recurring Schedule'!$C$6:$C$45,R105)))</f>
        <v/>
      </c>
      <c r="D105" s="73">
        <f>IF(R105="","",IF(INDEX('Recurring Schedule'!$D$6:$D$45,R105)="","",INDEX('Recurring Schedule'!$D$6:$D$45,R105)))</f>
        <v/>
      </c>
      <c r="E105" s="76">
        <f>IF(Q105="","",INDEX(Calc!$A$2:$A$367,Q105))</f>
        <v/>
      </c>
      <c r="F105" s="72">
        <f>IF(OR(C105="",E105=""),"",E105-Setup!$D$7)</f>
        <v/>
      </c>
      <c r="G105" s="77">
        <f>IF(R105="","",IF(INDEX('Recurring Schedule'!$H$6:$H$45,R105)="","",INDEX('Recurring Schedule'!$H$6:$H$45,R105)))</f>
        <v/>
      </c>
      <c r="H105" s="77">
        <f>IF(R105="","",IF(INDEX('Recurring Schedule'!$I$6:$I$45,R105)="","",INDEX('Recurring Schedule'!$I$6:$I$45,R105)))</f>
        <v/>
      </c>
      <c r="I105" s="73">
        <f>IF(OR(G105="",H105=""),"",TRIM(IF(HOUR(H105-G105)&gt;0,HOUR(H105-G105)&amp;" hr ","")&amp;IF(MINUTE(H105-G105)&gt;0,MINUTE(H105-G105)&amp;" min","")))</f>
        <v/>
      </c>
      <c r="J105" s="66" t="n"/>
      <c r="K105" s="70" t="n"/>
      <c r="L105" s="73">
        <f>IF(R105="","",IF(INDEX('Recurring Schedule'!$J$6:$J$45,R105)="","",INDEX('Recurring Schedule'!$J$6:$J$45,R105)))</f>
        <v/>
      </c>
      <c r="M105" s="73">
        <f>IF(R105="","",IF(INDEX('Recurring Schedule'!$K$6:$K$45,R105)="","",INDEX('Recurring Schedule'!$K$6:$K$45,R105)))</f>
        <v/>
      </c>
      <c r="N105" s="73">
        <f>IF(R105="","",IF(INDEX('Recurring Schedule'!$L$6:$L$45,R105)="","",INDEX('Recurring Schedule'!$L$6:$L$45,R105)))</f>
        <v/>
      </c>
      <c r="O105" s="73">
        <f>IF(C105="","",IF(AND(OR(L105="1-Urgent",L105="2-High"),M105="✓"),"DO FIRST",IF(M105="✓","SCHEDULE",IF(OR(L105="1-Urgent",L105="2-High"),"DELEGATE","DELETE"))))</f>
        <v/>
      </c>
      <c r="P105" s="65" t="n"/>
      <c r="Q105">
        <f>IF(100&gt;Calc!$AQ$368,"",MATCH(99,Calc!$AQ$2:$AQ$367,1))</f>
        <v/>
      </c>
      <c r="R105">
        <f>IF(Q105="","",SMALL(INDEX(Calc!$B$2:$AO$367,Q105,0),100-INDEX(Calc!$AQ$2:$AQ$367,Q105)))</f>
        <v/>
      </c>
    </row>
    <row r="106">
      <c r="B106" s="64">
        <f>IF(R106="","",101)</f>
        <v/>
      </c>
      <c r="C106" s="37">
        <f>IF(R106="","",IF(INDEX('Recurring Schedule'!$C$6:$C$45,R106)="","",INDEX('Recurring Schedule'!$C$6:$C$45,R106)))</f>
        <v/>
      </c>
      <c r="D106" s="36">
        <f>IF(R106="","",IF(INDEX('Recurring Schedule'!$D$6:$D$45,R106)="","",INDEX('Recurring Schedule'!$D$6:$D$45,R106)))</f>
        <v/>
      </c>
      <c r="E106" s="38">
        <f>IF(Q106="","",INDEX(Calc!$A$2:$A$367,Q106))</f>
        <v/>
      </c>
      <c r="F106" s="68">
        <f>IF(OR(C106="",E106=""),"",E106-Setup!$D$7)</f>
        <v/>
      </c>
      <c r="G106" s="74">
        <f>IF(R106="","",IF(INDEX('Recurring Schedule'!$H$6:$H$45,R106)="","",INDEX('Recurring Schedule'!$H$6:$H$45,R106)))</f>
        <v/>
      </c>
      <c r="H106" s="74">
        <f>IF(R106="","",IF(INDEX('Recurring Schedule'!$I$6:$I$45,R106)="","",INDEX('Recurring Schedule'!$I$6:$I$45,R106)))</f>
        <v/>
      </c>
      <c r="I106" s="36">
        <f>IF(OR(G106="",H106=""),"",TRIM(IF(HOUR(H106-G106)&gt;0,HOUR(H106-G106)&amp;" hr ","")&amp;IF(MINUTE(H106-G106)&gt;0,MINUTE(H106-G106)&amp;" min","")))</f>
        <v/>
      </c>
      <c r="J106" s="66" t="n"/>
      <c r="K106" s="70" t="n"/>
      <c r="L106" s="36">
        <f>IF(R106="","",IF(INDEX('Recurring Schedule'!$J$6:$J$45,R106)="","",INDEX('Recurring Schedule'!$J$6:$J$45,R106)))</f>
        <v/>
      </c>
      <c r="M106" s="36">
        <f>IF(R106="","",IF(INDEX('Recurring Schedule'!$K$6:$K$45,R106)="","",INDEX('Recurring Schedule'!$K$6:$K$45,R106)))</f>
        <v/>
      </c>
      <c r="N106" s="36">
        <f>IF(R106="","",IF(INDEX('Recurring Schedule'!$L$6:$L$45,R106)="","",INDEX('Recurring Schedule'!$L$6:$L$45,R106)))</f>
        <v/>
      </c>
      <c r="O106" s="36">
        <f>IF(C106="","",IF(AND(OR(L106="1-Urgent",L106="2-High"),M106="✓"),"DO FIRST",IF(M106="✓","SCHEDULE",IF(OR(L106="1-Urgent",L106="2-High"),"DELEGATE","DELETE"))))</f>
        <v/>
      </c>
      <c r="P106" s="65" t="n"/>
      <c r="Q106">
        <f>IF(101&gt;Calc!$AQ$368,"",MATCH(100,Calc!$AQ$2:$AQ$367,1))</f>
        <v/>
      </c>
      <c r="R106">
        <f>IF(Q106="","",SMALL(INDEX(Calc!$B$2:$AO$367,Q106,0),101-INDEX(Calc!$AQ$2:$AQ$367,Q106)))</f>
        <v/>
      </c>
    </row>
    <row r="107">
      <c r="B107" s="71">
        <f>IF(R107="","",102)</f>
        <v/>
      </c>
      <c r="C107" s="75">
        <f>IF(R107="","",IF(INDEX('Recurring Schedule'!$C$6:$C$45,R107)="","",INDEX('Recurring Schedule'!$C$6:$C$45,R107)))</f>
        <v/>
      </c>
      <c r="D107" s="73">
        <f>IF(R107="","",IF(INDEX('Recurring Schedule'!$D$6:$D$45,R107)="","",INDEX('Recurring Schedule'!$D$6:$D$45,R107)))</f>
        <v/>
      </c>
      <c r="E107" s="76">
        <f>IF(Q107="","",INDEX(Calc!$A$2:$A$367,Q107))</f>
        <v/>
      </c>
      <c r="F107" s="72">
        <f>IF(OR(C107="",E107=""),"",E107-Setup!$D$7)</f>
        <v/>
      </c>
      <c r="G107" s="77">
        <f>IF(R107="","",IF(INDEX('Recurring Schedule'!$H$6:$H$45,R107)="","",INDEX('Recurring Schedule'!$H$6:$H$45,R107)))</f>
        <v/>
      </c>
      <c r="H107" s="77">
        <f>IF(R107="","",IF(INDEX('Recurring Schedule'!$I$6:$I$45,R107)="","",INDEX('Recurring Schedule'!$I$6:$I$45,R107)))</f>
        <v/>
      </c>
      <c r="I107" s="73">
        <f>IF(OR(G107="",H107=""),"",TRIM(IF(HOUR(H107-G107)&gt;0,HOUR(H107-G107)&amp;" hr ","")&amp;IF(MINUTE(H107-G107)&gt;0,MINUTE(H107-G107)&amp;" min","")))</f>
        <v/>
      </c>
      <c r="J107" s="66" t="n"/>
      <c r="K107" s="70" t="n"/>
      <c r="L107" s="73">
        <f>IF(R107="","",IF(INDEX('Recurring Schedule'!$J$6:$J$45,R107)="","",INDEX('Recurring Schedule'!$J$6:$J$45,R107)))</f>
        <v/>
      </c>
      <c r="M107" s="73">
        <f>IF(R107="","",IF(INDEX('Recurring Schedule'!$K$6:$K$45,R107)="","",INDEX('Recurring Schedule'!$K$6:$K$45,R107)))</f>
        <v/>
      </c>
      <c r="N107" s="73">
        <f>IF(R107="","",IF(INDEX('Recurring Schedule'!$L$6:$L$45,R107)="","",INDEX('Recurring Schedule'!$L$6:$L$45,R107)))</f>
        <v/>
      </c>
      <c r="O107" s="73">
        <f>IF(C107="","",IF(AND(OR(L107="1-Urgent",L107="2-High"),M107="✓"),"DO FIRST",IF(M107="✓","SCHEDULE",IF(OR(L107="1-Urgent",L107="2-High"),"DELEGATE","DELETE"))))</f>
        <v/>
      </c>
      <c r="P107" s="65" t="n"/>
      <c r="Q107">
        <f>IF(102&gt;Calc!$AQ$368,"",MATCH(101,Calc!$AQ$2:$AQ$367,1))</f>
        <v/>
      </c>
      <c r="R107">
        <f>IF(Q107="","",SMALL(INDEX(Calc!$B$2:$AO$367,Q107,0),102-INDEX(Calc!$AQ$2:$AQ$367,Q107)))</f>
        <v/>
      </c>
    </row>
    <row r="108">
      <c r="B108" s="64">
        <f>IF(R108="","",103)</f>
        <v/>
      </c>
      <c r="C108" s="37">
        <f>IF(R108="","",IF(INDEX('Recurring Schedule'!$C$6:$C$45,R108)="","",INDEX('Recurring Schedule'!$C$6:$C$45,R108)))</f>
        <v/>
      </c>
      <c r="D108" s="36">
        <f>IF(R108="","",IF(INDEX('Recurring Schedule'!$D$6:$D$45,R108)="","",INDEX('Recurring Schedule'!$D$6:$D$45,R108)))</f>
        <v/>
      </c>
      <c r="E108" s="38">
        <f>IF(Q108="","",INDEX(Calc!$A$2:$A$367,Q108))</f>
        <v/>
      </c>
      <c r="F108" s="68">
        <f>IF(OR(C108="",E108=""),"",E108-Setup!$D$7)</f>
        <v/>
      </c>
      <c r="G108" s="74">
        <f>IF(R108="","",IF(INDEX('Recurring Schedule'!$H$6:$H$45,R108)="","",INDEX('Recurring Schedule'!$H$6:$H$45,R108)))</f>
        <v/>
      </c>
      <c r="H108" s="74">
        <f>IF(R108="","",IF(INDEX('Recurring Schedule'!$I$6:$I$45,R108)="","",INDEX('Recurring Schedule'!$I$6:$I$45,R108)))</f>
        <v/>
      </c>
      <c r="I108" s="36">
        <f>IF(OR(G108="",H108=""),"",TRIM(IF(HOUR(H108-G108)&gt;0,HOUR(H108-G108)&amp;" hr ","")&amp;IF(MINUTE(H108-G108)&gt;0,MINUTE(H108-G108)&amp;" min","")))</f>
        <v/>
      </c>
      <c r="J108" s="66" t="n"/>
      <c r="K108" s="70" t="n"/>
      <c r="L108" s="36">
        <f>IF(R108="","",IF(INDEX('Recurring Schedule'!$J$6:$J$45,R108)="","",INDEX('Recurring Schedule'!$J$6:$J$45,R108)))</f>
        <v/>
      </c>
      <c r="M108" s="36">
        <f>IF(R108="","",IF(INDEX('Recurring Schedule'!$K$6:$K$45,R108)="","",INDEX('Recurring Schedule'!$K$6:$K$45,R108)))</f>
        <v/>
      </c>
      <c r="N108" s="36">
        <f>IF(R108="","",IF(INDEX('Recurring Schedule'!$L$6:$L$45,R108)="","",INDEX('Recurring Schedule'!$L$6:$L$45,R108)))</f>
        <v/>
      </c>
      <c r="O108" s="36">
        <f>IF(C108="","",IF(AND(OR(L108="1-Urgent",L108="2-High"),M108="✓"),"DO FIRST",IF(M108="✓","SCHEDULE",IF(OR(L108="1-Urgent",L108="2-High"),"DELEGATE","DELETE"))))</f>
        <v/>
      </c>
      <c r="P108" s="65" t="n"/>
      <c r="Q108">
        <f>IF(103&gt;Calc!$AQ$368,"",MATCH(102,Calc!$AQ$2:$AQ$367,1))</f>
        <v/>
      </c>
      <c r="R108">
        <f>IF(Q108="","",SMALL(INDEX(Calc!$B$2:$AO$367,Q108,0),103-INDEX(Calc!$AQ$2:$AQ$367,Q108)))</f>
        <v/>
      </c>
    </row>
    <row r="109">
      <c r="B109" s="71">
        <f>IF(R109="","",104)</f>
        <v/>
      </c>
      <c r="C109" s="75">
        <f>IF(R109="","",IF(INDEX('Recurring Schedule'!$C$6:$C$45,R109)="","",INDEX('Recurring Schedule'!$C$6:$C$45,R109)))</f>
        <v/>
      </c>
      <c r="D109" s="73">
        <f>IF(R109="","",IF(INDEX('Recurring Schedule'!$D$6:$D$45,R109)="","",INDEX('Recurring Schedule'!$D$6:$D$45,R109)))</f>
        <v/>
      </c>
      <c r="E109" s="76">
        <f>IF(Q109="","",INDEX(Calc!$A$2:$A$367,Q109))</f>
        <v/>
      </c>
      <c r="F109" s="72">
        <f>IF(OR(C109="",E109=""),"",E109-Setup!$D$7)</f>
        <v/>
      </c>
      <c r="G109" s="77">
        <f>IF(R109="","",IF(INDEX('Recurring Schedule'!$H$6:$H$45,R109)="","",INDEX('Recurring Schedule'!$H$6:$H$45,R109)))</f>
        <v/>
      </c>
      <c r="H109" s="77">
        <f>IF(R109="","",IF(INDEX('Recurring Schedule'!$I$6:$I$45,R109)="","",INDEX('Recurring Schedule'!$I$6:$I$45,R109)))</f>
        <v/>
      </c>
      <c r="I109" s="73">
        <f>IF(OR(G109="",H109=""),"",TRIM(IF(HOUR(H109-G109)&gt;0,HOUR(H109-G109)&amp;" hr ","")&amp;IF(MINUTE(H109-G109)&gt;0,MINUTE(H109-G109)&amp;" min","")))</f>
        <v/>
      </c>
      <c r="J109" s="66" t="n"/>
      <c r="K109" s="70" t="n"/>
      <c r="L109" s="73">
        <f>IF(R109="","",IF(INDEX('Recurring Schedule'!$J$6:$J$45,R109)="","",INDEX('Recurring Schedule'!$J$6:$J$45,R109)))</f>
        <v/>
      </c>
      <c r="M109" s="73">
        <f>IF(R109="","",IF(INDEX('Recurring Schedule'!$K$6:$K$45,R109)="","",INDEX('Recurring Schedule'!$K$6:$K$45,R109)))</f>
        <v/>
      </c>
      <c r="N109" s="73">
        <f>IF(R109="","",IF(INDEX('Recurring Schedule'!$L$6:$L$45,R109)="","",INDEX('Recurring Schedule'!$L$6:$L$45,R109)))</f>
        <v/>
      </c>
      <c r="O109" s="73">
        <f>IF(C109="","",IF(AND(OR(L109="1-Urgent",L109="2-High"),M109="✓"),"DO FIRST",IF(M109="✓","SCHEDULE",IF(OR(L109="1-Urgent",L109="2-High"),"DELEGATE","DELETE"))))</f>
        <v/>
      </c>
      <c r="P109" s="65" t="n"/>
      <c r="Q109">
        <f>IF(104&gt;Calc!$AQ$368,"",MATCH(103,Calc!$AQ$2:$AQ$367,1))</f>
        <v/>
      </c>
      <c r="R109">
        <f>IF(Q109="","",SMALL(INDEX(Calc!$B$2:$AO$367,Q109,0),104-INDEX(Calc!$AQ$2:$AQ$367,Q109)))</f>
        <v/>
      </c>
    </row>
    <row r="110">
      <c r="B110" s="64">
        <f>IF(R110="","",105)</f>
        <v/>
      </c>
      <c r="C110" s="37">
        <f>IF(R110="","",IF(INDEX('Recurring Schedule'!$C$6:$C$45,R110)="","",INDEX('Recurring Schedule'!$C$6:$C$45,R110)))</f>
        <v/>
      </c>
      <c r="D110" s="36">
        <f>IF(R110="","",IF(INDEX('Recurring Schedule'!$D$6:$D$45,R110)="","",INDEX('Recurring Schedule'!$D$6:$D$45,R110)))</f>
        <v/>
      </c>
      <c r="E110" s="38">
        <f>IF(Q110="","",INDEX(Calc!$A$2:$A$367,Q110))</f>
        <v/>
      </c>
      <c r="F110" s="68">
        <f>IF(OR(C110="",E110=""),"",E110-Setup!$D$7)</f>
        <v/>
      </c>
      <c r="G110" s="74">
        <f>IF(R110="","",IF(INDEX('Recurring Schedule'!$H$6:$H$45,R110)="","",INDEX('Recurring Schedule'!$H$6:$H$45,R110)))</f>
        <v/>
      </c>
      <c r="H110" s="74">
        <f>IF(R110="","",IF(INDEX('Recurring Schedule'!$I$6:$I$45,R110)="","",INDEX('Recurring Schedule'!$I$6:$I$45,R110)))</f>
        <v/>
      </c>
      <c r="I110" s="36">
        <f>IF(OR(G110="",H110=""),"",TRIM(IF(HOUR(H110-G110)&gt;0,HOUR(H110-G110)&amp;" hr ","")&amp;IF(MINUTE(H110-G110)&gt;0,MINUTE(H110-G110)&amp;" min","")))</f>
        <v/>
      </c>
      <c r="J110" s="66" t="n"/>
      <c r="K110" s="70" t="n"/>
      <c r="L110" s="36">
        <f>IF(R110="","",IF(INDEX('Recurring Schedule'!$J$6:$J$45,R110)="","",INDEX('Recurring Schedule'!$J$6:$J$45,R110)))</f>
        <v/>
      </c>
      <c r="M110" s="36">
        <f>IF(R110="","",IF(INDEX('Recurring Schedule'!$K$6:$K$45,R110)="","",INDEX('Recurring Schedule'!$K$6:$K$45,R110)))</f>
        <v/>
      </c>
      <c r="N110" s="36">
        <f>IF(R110="","",IF(INDEX('Recurring Schedule'!$L$6:$L$45,R110)="","",INDEX('Recurring Schedule'!$L$6:$L$45,R110)))</f>
        <v/>
      </c>
      <c r="O110" s="36">
        <f>IF(C110="","",IF(AND(OR(L110="1-Urgent",L110="2-High"),M110="✓"),"DO FIRST",IF(M110="✓","SCHEDULE",IF(OR(L110="1-Urgent",L110="2-High"),"DELEGATE","DELETE"))))</f>
        <v/>
      </c>
      <c r="P110" s="65" t="n"/>
      <c r="Q110">
        <f>IF(105&gt;Calc!$AQ$368,"",MATCH(104,Calc!$AQ$2:$AQ$367,1))</f>
        <v/>
      </c>
      <c r="R110">
        <f>IF(Q110="","",SMALL(INDEX(Calc!$B$2:$AO$367,Q110,0),105-INDEX(Calc!$AQ$2:$AQ$367,Q110)))</f>
        <v/>
      </c>
    </row>
    <row r="111">
      <c r="B111" s="71">
        <f>IF(R111="","",106)</f>
        <v/>
      </c>
      <c r="C111" s="75">
        <f>IF(R111="","",IF(INDEX('Recurring Schedule'!$C$6:$C$45,R111)="","",INDEX('Recurring Schedule'!$C$6:$C$45,R111)))</f>
        <v/>
      </c>
      <c r="D111" s="73">
        <f>IF(R111="","",IF(INDEX('Recurring Schedule'!$D$6:$D$45,R111)="","",INDEX('Recurring Schedule'!$D$6:$D$45,R111)))</f>
        <v/>
      </c>
      <c r="E111" s="76">
        <f>IF(Q111="","",INDEX(Calc!$A$2:$A$367,Q111))</f>
        <v/>
      </c>
      <c r="F111" s="72">
        <f>IF(OR(C111="",E111=""),"",E111-Setup!$D$7)</f>
        <v/>
      </c>
      <c r="G111" s="77">
        <f>IF(R111="","",IF(INDEX('Recurring Schedule'!$H$6:$H$45,R111)="","",INDEX('Recurring Schedule'!$H$6:$H$45,R111)))</f>
        <v/>
      </c>
      <c r="H111" s="77">
        <f>IF(R111="","",IF(INDEX('Recurring Schedule'!$I$6:$I$45,R111)="","",INDEX('Recurring Schedule'!$I$6:$I$45,R111)))</f>
        <v/>
      </c>
      <c r="I111" s="73">
        <f>IF(OR(G111="",H111=""),"",TRIM(IF(HOUR(H111-G111)&gt;0,HOUR(H111-G111)&amp;" hr ","")&amp;IF(MINUTE(H111-G111)&gt;0,MINUTE(H111-G111)&amp;" min","")))</f>
        <v/>
      </c>
      <c r="J111" s="66" t="n"/>
      <c r="K111" s="70" t="n"/>
      <c r="L111" s="73">
        <f>IF(R111="","",IF(INDEX('Recurring Schedule'!$J$6:$J$45,R111)="","",INDEX('Recurring Schedule'!$J$6:$J$45,R111)))</f>
        <v/>
      </c>
      <c r="M111" s="73">
        <f>IF(R111="","",IF(INDEX('Recurring Schedule'!$K$6:$K$45,R111)="","",INDEX('Recurring Schedule'!$K$6:$K$45,R111)))</f>
        <v/>
      </c>
      <c r="N111" s="73">
        <f>IF(R111="","",IF(INDEX('Recurring Schedule'!$L$6:$L$45,R111)="","",INDEX('Recurring Schedule'!$L$6:$L$45,R111)))</f>
        <v/>
      </c>
      <c r="O111" s="73">
        <f>IF(C111="","",IF(AND(OR(L111="1-Urgent",L111="2-High"),M111="✓"),"DO FIRST",IF(M111="✓","SCHEDULE",IF(OR(L111="1-Urgent",L111="2-High"),"DELEGATE","DELETE"))))</f>
        <v/>
      </c>
      <c r="P111" s="65" t="n"/>
      <c r="Q111">
        <f>IF(106&gt;Calc!$AQ$368,"",MATCH(105,Calc!$AQ$2:$AQ$367,1))</f>
        <v/>
      </c>
      <c r="R111">
        <f>IF(Q111="","",SMALL(INDEX(Calc!$B$2:$AO$367,Q111,0),106-INDEX(Calc!$AQ$2:$AQ$367,Q111)))</f>
        <v/>
      </c>
    </row>
    <row r="112">
      <c r="B112" s="64">
        <f>IF(R112="","",107)</f>
        <v/>
      </c>
      <c r="C112" s="37">
        <f>IF(R112="","",IF(INDEX('Recurring Schedule'!$C$6:$C$45,R112)="","",INDEX('Recurring Schedule'!$C$6:$C$45,R112)))</f>
        <v/>
      </c>
      <c r="D112" s="36">
        <f>IF(R112="","",IF(INDEX('Recurring Schedule'!$D$6:$D$45,R112)="","",INDEX('Recurring Schedule'!$D$6:$D$45,R112)))</f>
        <v/>
      </c>
      <c r="E112" s="38">
        <f>IF(Q112="","",INDEX(Calc!$A$2:$A$367,Q112))</f>
        <v/>
      </c>
      <c r="F112" s="68">
        <f>IF(OR(C112="",E112=""),"",E112-Setup!$D$7)</f>
        <v/>
      </c>
      <c r="G112" s="74">
        <f>IF(R112="","",IF(INDEX('Recurring Schedule'!$H$6:$H$45,R112)="","",INDEX('Recurring Schedule'!$H$6:$H$45,R112)))</f>
        <v/>
      </c>
      <c r="H112" s="74">
        <f>IF(R112="","",IF(INDEX('Recurring Schedule'!$I$6:$I$45,R112)="","",INDEX('Recurring Schedule'!$I$6:$I$45,R112)))</f>
        <v/>
      </c>
      <c r="I112" s="36">
        <f>IF(OR(G112="",H112=""),"",TRIM(IF(HOUR(H112-G112)&gt;0,HOUR(H112-G112)&amp;" hr ","")&amp;IF(MINUTE(H112-G112)&gt;0,MINUTE(H112-G112)&amp;" min","")))</f>
        <v/>
      </c>
      <c r="J112" s="66" t="n"/>
      <c r="K112" s="70" t="n"/>
      <c r="L112" s="36">
        <f>IF(R112="","",IF(INDEX('Recurring Schedule'!$J$6:$J$45,R112)="","",INDEX('Recurring Schedule'!$J$6:$J$45,R112)))</f>
        <v/>
      </c>
      <c r="M112" s="36">
        <f>IF(R112="","",IF(INDEX('Recurring Schedule'!$K$6:$K$45,R112)="","",INDEX('Recurring Schedule'!$K$6:$K$45,R112)))</f>
        <v/>
      </c>
      <c r="N112" s="36">
        <f>IF(R112="","",IF(INDEX('Recurring Schedule'!$L$6:$L$45,R112)="","",INDEX('Recurring Schedule'!$L$6:$L$45,R112)))</f>
        <v/>
      </c>
      <c r="O112" s="36">
        <f>IF(C112="","",IF(AND(OR(L112="1-Urgent",L112="2-High"),M112="✓"),"DO FIRST",IF(M112="✓","SCHEDULE",IF(OR(L112="1-Urgent",L112="2-High"),"DELEGATE","DELETE"))))</f>
        <v/>
      </c>
      <c r="P112" s="65" t="n"/>
      <c r="Q112">
        <f>IF(107&gt;Calc!$AQ$368,"",MATCH(106,Calc!$AQ$2:$AQ$367,1))</f>
        <v/>
      </c>
      <c r="R112">
        <f>IF(Q112="","",SMALL(INDEX(Calc!$B$2:$AO$367,Q112,0),107-INDEX(Calc!$AQ$2:$AQ$367,Q112)))</f>
        <v/>
      </c>
    </row>
    <row r="113">
      <c r="B113" s="71">
        <f>IF(R113="","",108)</f>
        <v/>
      </c>
      <c r="C113" s="75">
        <f>IF(R113="","",IF(INDEX('Recurring Schedule'!$C$6:$C$45,R113)="","",INDEX('Recurring Schedule'!$C$6:$C$45,R113)))</f>
        <v/>
      </c>
      <c r="D113" s="73">
        <f>IF(R113="","",IF(INDEX('Recurring Schedule'!$D$6:$D$45,R113)="","",INDEX('Recurring Schedule'!$D$6:$D$45,R113)))</f>
        <v/>
      </c>
      <c r="E113" s="76">
        <f>IF(Q113="","",INDEX(Calc!$A$2:$A$367,Q113))</f>
        <v/>
      </c>
      <c r="F113" s="72">
        <f>IF(OR(C113="",E113=""),"",E113-Setup!$D$7)</f>
        <v/>
      </c>
      <c r="G113" s="77">
        <f>IF(R113="","",IF(INDEX('Recurring Schedule'!$H$6:$H$45,R113)="","",INDEX('Recurring Schedule'!$H$6:$H$45,R113)))</f>
        <v/>
      </c>
      <c r="H113" s="77">
        <f>IF(R113="","",IF(INDEX('Recurring Schedule'!$I$6:$I$45,R113)="","",INDEX('Recurring Schedule'!$I$6:$I$45,R113)))</f>
        <v/>
      </c>
      <c r="I113" s="73">
        <f>IF(OR(G113="",H113=""),"",TRIM(IF(HOUR(H113-G113)&gt;0,HOUR(H113-G113)&amp;" hr ","")&amp;IF(MINUTE(H113-G113)&gt;0,MINUTE(H113-G113)&amp;" min","")))</f>
        <v/>
      </c>
      <c r="J113" s="66" t="n"/>
      <c r="K113" s="70" t="n"/>
      <c r="L113" s="73">
        <f>IF(R113="","",IF(INDEX('Recurring Schedule'!$J$6:$J$45,R113)="","",INDEX('Recurring Schedule'!$J$6:$J$45,R113)))</f>
        <v/>
      </c>
      <c r="M113" s="73">
        <f>IF(R113="","",IF(INDEX('Recurring Schedule'!$K$6:$K$45,R113)="","",INDEX('Recurring Schedule'!$K$6:$K$45,R113)))</f>
        <v/>
      </c>
      <c r="N113" s="73">
        <f>IF(R113="","",IF(INDEX('Recurring Schedule'!$L$6:$L$45,R113)="","",INDEX('Recurring Schedule'!$L$6:$L$45,R113)))</f>
        <v/>
      </c>
      <c r="O113" s="73">
        <f>IF(C113="","",IF(AND(OR(L113="1-Urgent",L113="2-High"),M113="✓"),"DO FIRST",IF(M113="✓","SCHEDULE",IF(OR(L113="1-Urgent",L113="2-High"),"DELEGATE","DELETE"))))</f>
        <v/>
      </c>
      <c r="P113" s="65" t="n"/>
      <c r="Q113">
        <f>IF(108&gt;Calc!$AQ$368,"",MATCH(107,Calc!$AQ$2:$AQ$367,1))</f>
        <v/>
      </c>
      <c r="R113">
        <f>IF(Q113="","",SMALL(INDEX(Calc!$B$2:$AO$367,Q113,0),108-INDEX(Calc!$AQ$2:$AQ$367,Q113)))</f>
        <v/>
      </c>
    </row>
    <row r="114">
      <c r="B114" s="64">
        <f>IF(R114="","",109)</f>
        <v/>
      </c>
      <c r="C114" s="37">
        <f>IF(R114="","",IF(INDEX('Recurring Schedule'!$C$6:$C$45,R114)="","",INDEX('Recurring Schedule'!$C$6:$C$45,R114)))</f>
        <v/>
      </c>
      <c r="D114" s="36">
        <f>IF(R114="","",IF(INDEX('Recurring Schedule'!$D$6:$D$45,R114)="","",INDEX('Recurring Schedule'!$D$6:$D$45,R114)))</f>
        <v/>
      </c>
      <c r="E114" s="38">
        <f>IF(Q114="","",INDEX(Calc!$A$2:$A$367,Q114))</f>
        <v/>
      </c>
      <c r="F114" s="68">
        <f>IF(OR(C114="",E114=""),"",E114-Setup!$D$7)</f>
        <v/>
      </c>
      <c r="G114" s="74">
        <f>IF(R114="","",IF(INDEX('Recurring Schedule'!$H$6:$H$45,R114)="","",INDEX('Recurring Schedule'!$H$6:$H$45,R114)))</f>
        <v/>
      </c>
      <c r="H114" s="74">
        <f>IF(R114="","",IF(INDEX('Recurring Schedule'!$I$6:$I$45,R114)="","",INDEX('Recurring Schedule'!$I$6:$I$45,R114)))</f>
        <v/>
      </c>
      <c r="I114" s="36">
        <f>IF(OR(G114="",H114=""),"",TRIM(IF(HOUR(H114-G114)&gt;0,HOUR(H114-G114)&amp;" hr ","")&amp;IF(MINUTE(H114-G114)&gt;0,MINUTE(H114-G114)&amp;" min","")))</f>
        <v/>
      </c>
      <c r="J114" s="66" t="n"/>
      <c r="K114" s="70" t="n"/>
      <c r="L114" s="36">
        <f>IF(R114="","",IF(INDEX('Recurring Schedule'!$J$6:$J$45,R114)="","",INDEX('Recurring Schedule'!$J$6:$J$45,R114)))</f>
        <v/>
      </c>
      <c r="M114" s="36">
        <f>IF(R114="","",IF(INDEX('Recurring Schedule'!$K$6:$K$45,R114)="","",INDEX('Recurring Schedule'!$K$6:$K$45,R114)))</f>
        <v/>
      </c>
      <c r="N114" s="36">
        <f>IF(R114="","",IF(INDEX('Recurring Schedule'!$L$6:$L$45,R114)="","",INDEX('Recurring Schedule'!$L$6:$L$45,R114)))</f>
        <v/>
      </c>
      <c r="O114" s="36">
        <f>IF(C114="","",IF(AND(OR(L114="1-Urgent",L114="2-High"),M114="✓"),"DO FIRST",IF(M114="✓","SCHEDULE",IF(OR(L114="1-Urgent",L114="2-High"),"DELEGATE","DELETE"))))</f>
        <v/>
      </c>
      <c r="P114" s="65" t="n"/>
      <c r="Q114">
        <f>IF(109&gt;Calc!$AQ$368,"",MATCH(108,Calc!$AQ$2:$AQ$367,1))</f>
        <v/>
      </c>
      <c r="R114">
        <f>IF(Q114="","",SMALL(INDEX(Calc!$B$2:$AO$367,Q114,0),109-INDEX(Calc!$AQ$2:$AQ$367,Q114)))</f>
        <v/>
      </c>
    </row>
    <row r="115">
      <c r="B115" s="71">
        <f>IF(R115="","",110)</f>
        <v/>
      </c>
      <c r="C115" s="75">
        <f>IF(R115="","",IF(INDEX('Recurring Schedule'!$C$6:$C$45,R115)="","",INDEX('Recurring Schedule'!$C$6:$C$45,R115)))</f>
        <v/>
      </c>
      <c r="D115" s="73">
        <f>IF(R115="","",IF(INDEX('Recurring Schedule'!$D$6:$D$45,R115)="","",INDEX('Recurring Schedule'!$D$6:$D$45,R115)))</f>
        <v/>
      </c>
      <c r="E115" s="76">
        <f>IF(Q115="","",INDEX(Calc!$A$2:$A$367,Q115))</f>
        <v/>
      </c>
      <c r="F115" s="72">
        <f>IF(OR(C115="",E115=""),"",E115-Setup!$D$7)</f>
        <v/>
      </c>
      <c r="G115" s="77">
        <f>IF(R115="","",IF(INDEX('Recurring Schedule'!$H$6:$H$45,R115)="","",INDEX('Recurring Schedule'!$H$6:$H$45,R115)))</f>
        <v/>
      </c>
      <c r="H115" s="77">
        <f>IF(R115="","",IF(INDEX('Recurring Schedule'!$I$6:$I$45,R115)="","",INDEX('Recurring Schedule'!$I$6:$I$45,R115)))</f>
        <v/>
      </c>
      <c r="I115" s="73">
        <f>IF(OR(G115="",H115=""),"",TRIM(IF(HOUR(H115-G115)&gt;0,HOUR(H115-G115)&amp;" hr ","")&amp;IF(MINUTE(H115-G115)&gt;0,MINUTE(H115-G115)&amp;" min","")))</f>
        <v/>
      </c>
      <c r="J115" s="66" t="n"/>
      <c r="K115" s="70" t="n"/>
      <c r="L115" s="73">
        <f>IF(R115="","",IF(INDEX('Recurring Schedule'!$J$6:$J$45,R115)="","",INDEX('Recurring Schedule'!$J$6:$J$45,R115)))</f>
        <v/>
      </c>
      <c r="M115" s="73">
        <f>IF(R115="","",IF(INDEX('Recurring Schedule'!$K$6:$K$45,R115)="","",INDEX('Recurring Schedule'!$K$6:$K$45,R115)))</f>
        <v/>
      </c>
      <c r="N115" s="73">
        <f>IF(R115="","",IF(INDEX('Recurring Schedule'!$L$6:$L$45,R115)="","",INDEX('Recurring Schedule'!$L$6:$L$45,R115)))</f>
        <v/>
      </c>
      <c r="O115" s="73">
        <f>IF(C115="","",IF(AND(OR(L115="1-Urgent",L115="2-High"),M115="✓"),"DO FIRST",IF(M115="✓","SCHEDULE",IF(OR(L115="1-Urgent",L115="2-High"),"DELEGATE","DELETE"))))</f>
        <v/>
      </c>
      <c r="P115" s="65" t="n"/>
      <c r="Q115">
        <f>IF(110&gt;Calc!$AQ$368,"",MATCH(109,Calc!$AQ$2:$AQ$367,1))</f>
        <v/>
      </c>
      <c r="R115">
        <f>IF(Q115="","",SMALL(INDEX(Calc!$B$2:$AO$367,Q115,0),110-INDEX(Calc!$AQ$2:$AQ$367,Q115)))</f>
        <v/>
      </c>
    </row>
    <row r="116">
      <c r="B116" s="64">
        <f>IF(R116="","",111)</f>
        <v/>
      </c>
      <c r="C116" s="37">
        <f>IF(R116="","",IF(INDEX('Recurring Schedule'!$C$6:$C$45,R116)="","",INDEX('Recurring Schedule'!$C$6:$C$45,R116)))</f>
        <v/>
      </c>
      <c r="D116" s="36">
        <f>IF(R116="","",IF(INDEX('Recurring Schedule'!$D$6:$D$45,R116)="","",INDEX('Recurring Schedule'!$D$6:$D$45,R116)))</f>
        <v/>
      </c>
      <c r="E116" s="38">
        <f>IF(Q116="","",INDEX(Calc!$A$2:$A$367,Q116))</f>
        <v/>
      </c>
      <c r="F116" s="68">
        <f>IF(OR(C116="",E116=""),"",E116-Setup!$D$7)</f>
        <v/>
      </c>
      <c r="G116" s="74">
        <f>IF(R116="","",IF(INDEX('Recurring Schedule'!$H$6:$H$45,R116)="","",INDEX('Recurring Schedule'!$H$6:$H$45,R116)))</f>
        <v/>
      </c>
      <c r="H116" s="74">
        <f>IF(R116="","",IF(INDEX('Recurring Schedule'!$I$6:$I$45,R116)="","",INDEX('Recurring Schedule'!$I$6:$I$45,R116)))</f>
        <v/>
      </c>
      <c r="I116" s="36">
        <f>IF(OR(G116="",H116=""),"",TRIM(IF(HOUR(H116-G116)&gt;0,HOUR(H116-G116)&amp;" hr ","")&amp;IF(MINUTE(H116-G116)&gt;0,MINUTE(H116-G116)&amp;" min","")))</f>
        <v/>
      </c>
      <c r="J116" s="66" t="n"/>
      <c r="K116" s="70" t="n"/>
      <c r="L116" s="36">
        <f>IF(R116="","",IF(INDEX('Recurring Schedule'!$J$6:$J$45,R116)="","",INDEX('Recurring Schedule'!$J$6:$J$45,R116)))</f>
        <v/>
      </c>
      <c r="M116" s="36">
        <f>IF(R116="","",IF(INDEX('Recurring Schedule'!$K$6:$K$45,R116)="","",INDEX('Recurring Schedule'!$K$6:$K$45,R116)))</f>
        <v/>
      </c>
      <c r="N116" s="36">
        <f>IF(R116="","",IF(INDEX('Recurring Schedule'!$L$6:$L$45,R116)="","",INDEX('Recurring Schedule'!$L$6:$L$45,R116)))</f>
        <v/>
      </c>
      <c r="O116" s="36">
        <f>IF(C116="","",IF(AND(OR(L116="1-Urgent",L116="2-High"),M116="✓"),"DO FIRST",IF(M116="✓","SCHEDULE",IF(OR(L116="1-Urgent",L116="2-High"),"DELEGATE","DELETE"))))</f>
        <v/>
      </c>
      <c r="P116" s="65" t="n"/>
      <c r="Q116">
        <f>IF(111&gt;Calc!$AQ$368,"",MATCH(110,Calc!$AQ$2:$AQ$367,1))</f>
        <v/>
      </c>
      <c r="R116">
        <f>IF(Q116="","",SMALL(INDEX(Calc!$B$2:$AO$367,Q116,0),111-INDEX(Calc!$AQ$2:$AQ$367,Q116)))</f>
        <v/>
      </c>
    </row>
    <row r="117">
      <c r="B117" s="71">
        <f>IF(R117="","",112)</f>
        <v/>
      </c>
      <c r="C117" s="75">
        <f>IF(R117="","",IF(INDEX('Recurring Schedule'!$C$6:$C$45,R117)="","",INDEX('Recurring Schedule'!$C$6:$C$45,R117)))</f>
        <v/>
      </c>
      <c r="D117" s="73">
        <f>IF(R117="","",IF(INDEX('Recurring Schedule'!$D$6:$D$45,R117)="","",INDEX('Recurring Schedule'!$D$6:$D$45,R117)))</f>
        <v/>
      </c>
      <c r="E117" s="76">
        <f>IF(Q117="","",INDEX(Calc!$A$2:$A$367,Q117))</f>
        <v/>
      </c>
      <c r="F117" s="72">
        <f>IF(OR(C117="",E117=""),"",E117-Setup!$D$7)</f>
        <v/>
      </c>
      <c r="G117" s="77">
        <f>IF(R117="","",IF(INDEX('Recurring Schedule'!$H$6:$H$45,R117)="","",INDEX('Recurring Schedule'!$H$6:$H$45,R117)))</f>
        <v/>
      </c>
      <c r="H117" s="77">
        <f>IF(R117="","",IF(INDEX('Recurring Schedule'!$I$6:$I$45,R117)="","",INDEX('Recurring Schedule'!$I$6:$I$45,R117)))</f>
        <v/>
      </c>
      <c r="I117" s="73">
        <f>IF(OR(G117="",H117=""),"",TRIM(IF(HOUR(H117-G117)&gt;0,HOUR(H117-G117)&amp;" hr ","")&amp;IF(MINUTE(H117-G117)&gt;0,MINUTE(H117-G117)&amp;" min","")))</f>
        <v/>
      </c>
      <c r="J117" s="66" t="n"/>
      <c r="K117" s="70" t="n"/>
      <c r="L117" s="73">
        <f>IF(R117="","",IF(INDEX('Recurring Schedule'!$J$6:$J$45,R117)="","",INDEX('Recurring Schedule'!$J$6:$J$45,R117)))</f>
        <v/>
      </c>
      <c r="M117" s="73">
        <f>IF(R117="","",IF(INDEX('Recurring Schedule'!$K$6:$K$45,R117)="","",INDEX('Recurring Schedule'!$K$6:$K$45,R117)))</f>
        <v/>
      </c>
      <c r="N117" s="73">
        <f>IF(R117="","",IF(INDEX('Recurring Schedule'!$L$6:$L$45,R117)="","",INDEX('Recurring Schedule'!$L$6:$L$45,R117)))</f>
        <v/>
      </c>
      <c r="O117" s="73">
        <f>IF(C117="","",IF(AND(OR(L117="1-Urgent",L117="2-High"),M117="✓"),"DO FIRST",IF(M117="✓","SCHEDULE",IF(OR(L117="1-Urgent",L117="2-High"),"DELEGATE","DELETE"))))</f>
        <v/>
      </c>
      <c r="P117" s="65" t="n"/>
      <c r="Q117">
        <f>IF(112&gt;Calc!$AQ$368,"",MATCH(111,Calc!$AQ$2:$AQ$367,1))</f>
        <v/>
      </c>
      <c r="R117">
        <f>IF(Q117="","",SMALL(INDEX(Calc!$B$2:$AO$367,Q117,0),112-INDEX(Calc!$AQ$2:$AQ$367,Q117)))</f>
        <v/>
      </c>
    </row>
    <row r="118">
      <c r="B118" s="64">
        <f>IF(R118="","",113)</f>
        <v/>
      </c>
      <c r="C118" s="37">
        <f>IF(R118="","",IF(INDEX('Recurring Schedule'!$C$6:$C$45,R118)="","",INDEX('Recurring Schedule'!$C$6:$C$45,R118)))</f>
        <v/>
      </c>
      <c r="D118" s="36">
        <f>IF(R118="","",IF(INDEX('Recurring Schedule'!$D$6:$D$45,R118)="","",INDEX('Recurring Schedule'!$D$6:$D$45,R118)))</f>
        <v/>
      </c>
      <c r="E118" s="38">
        <f>IF(Q118="","",INDEX(Calc!$A$2:$A$367,Q118))</f>
        <v/>
      </c>
      <c r="F118" s="68">
        <f>IF(OR(C118="",E118=""),"",E118-Setup!$D$7)</f>
        <v/>
      </c>
      <c r="G118" s="74">
        <f>IF(R118="","",IF(INDEX('Recurring Schedule'!$H$6:$H$45,R118)="","",INDEX('Recurring Schedule'!$H$6:$H$45,R118)))</f>
        <v/>
      </c>
      <c r="H118" s="74">
        <f>IF(R118="","",IF(INDEX('Recurring Schedule'!$I$6:$I$45,R118)="","",INDEX('Recurring Schedule'!$I$6:$I$45,R118)))</f>
        <v/>
      </c>
      <c r="I118" s="36">
        <f>IF(OR(G118="",H118=""),"",TRIM(IF(HOUR(H118-G118)&gt;0,HOUR(H118-G118)&amp;" hr ","")&amp;IF(MINUTE(H118-G118)&gt;0,MINUTE(H118-G118)&amp;" min","")))</f>
        <v/>
      </c>
      <c r="J118" s="66" t="n"/>
      <c r="K118" s="70" t="n"/>
      <c r="L118" s="36">
        <f>IF(R118="","",IF(INDEX('Recurring Schedule'!$J$6:$J$45,R118)="","",INDEX('Recurring Schedule'!$J$6:$J$45,R118)))</f>
        <v/>
      </c>
      <c r="M118" s="36">
        <f>IF(R118="","",IF(INDEX('Recurring Schedule'!$K$6:$K$45,R118)="","",INDEX('Recurring Schedule'!$K$6:$K$45,R118)))</f>
        <v/>
      </c>
      <c r="N118" s="36">
        <f>IF(R118="","",IF(INDEX('Recurring Schedule'!$L$6:$L$45,R118)="","",INDEX('Recurring Schedule'!$L$6:$L$45,R118)))</f>
        <v/>
      </c>
      <c r="O118" s="36">
        <f>IF(C118="","",IF(AND(OR(L118="1-Urgent",L118="2-High"),M118="✓"),"DO FIRST",IF(M118="✓","SCHEDULE",IF(OR(L118="1-Urgent",L118="2-High"),"DELEGATE","DELETE"))))</f>
        <v/>
      </c>
      <c r="P118" s="65" t="n"/>
      <c r="Q118">
        <f>IF(113&gt;Calc!$AQ$368,"",MATCH(112,Calc!$AQ$2:$AQ$367,1))</f>
        <v/>
      </c>
      <c r="R118">
        <f>IF(Q118="","",SMALL(INDEX(Calc!$B$2:$AO$367,Q118,0),113-INDEX(Calc!$AQ$2:$AQ$367,Q118)))</f>
        <v/>
      </c>
    </row>
    <row r="119">
      <c r="B119" s="71">
        <f>IF(R119="","",114)</f>
        <v/>
      </c>
      <c r="C119" s="75">
        <f>IF(R119="","",IF(INDEX('Recurring Schedule'!$C$6:$C$45,R119)="","",INDEX('Recurring Schedule'!$C$6:$C$45,R119)))</f>
        <v/>
      </c>
      <c r="D119" s="73">
        <f>IF(R119="","",IF(INDEX('Recurring Schedule'!$D$6:$D$45,R119)="","",INDEX('Recurring Schedule'!$D$6:$D$45,R119)))</f>
        <v/>
      </c>
      <c r="E119" s="76">
        <f>IF(Q119="","",INDEX(Calc!$A$2:$A$367,Q119))</f>
        <v/>
      </c>
      <c r="F119" s="72">
        <f>IF(OR(C119="",E119=""),"",E119-Setup!$D$7)</f>
        <v/>
      </c>
      <c r="G119" s="77">
        <f>IF(R119="","",IF(INDEX('Recurring Schedule'!$H$6:$H$45,R119)="","",INDEX('Recurring Schedule'!$H$6:$H$45,R119)))</f>
        <v/>
      </c>
      <c r="H119" s="77">
        <f>IF(R119="","",IF(INDEX('Recurring Schedule'!$I$6:$I$45,R119)="","",INDEX('Recurring Schedule'!$I$6:$I$45,R119)))</f>
        <v/>
      </c>
      <c r="I119" s="73">
        <f>IF(OR(G119="",H119=""),"",TRIM(IF(HOUR(H119-G119)&gt;0,HOUR(H119-G119)&amp;" hr ","")&amp;IF(MINUTE(H119-G119)&gt;0,MINUTE(H119-G119)&amp;" min","")))</f>
        <v/>
      </c>
      <c r="J119" s="66" t="n"/>
      <c r="K119" s="70" t="n"/>
      <c r="L119" s="73">
        <f>IF(R119="","",IF(INDEX('Recurring Schedule'!$J$6:$J$45,R119)="","",INDEX('Recurring Schedule'!$J$6:$J$45,R119)))</f>
        <v/>
      </c>
      <c r="M119" s="73">
        <f>IF(R119="","",IF(INDEX('Recurring Schedule'!$K$6:$K$45,R119)="","",INDEX('Recurring Schedule'!$K$6:$K$45,R119)))</f>
        <v/>
      </c>
      <c r="N119" s="73">
        <f>IF(R119="","",IF(INDEX('Recurring Schedule'!$L$6:$L$45,R119)="","",INDEX('Recurring Schedule'!$L$6:$L$45,R119)))</f>
        <v/>
      </c>
      <c r="O119" s="73">
        <f>IF(C119="","",IF(AND(OR(L119="1-Urgent",L119="2-High"),M119="✓"),"DO FIRST",IF(M119="✓","SCHEDULE",IF(OR(L119="1-Urgent",L119="2-High"),"DELEGATE","DELETE"))))</f>
        <v/>
      </c>
      <c r="P119" s="65" t="n"/>
      <c r="Q119">
        <f>IF(114&gt;Calc!$AQ$368,"",MATCH(113,Calc!$AQ$2:$AQ$367,1))</f>
        <v/>
      </c>
      <c r="R119">
        <f>IF(Q119="","",SMALL(INDEX(Calc!$B$2:$AO$367,Q119,0),114-INDEX(Calc!$AQ$2:$AQ$367,Q119)))</f>
        <v/>
      </c>
    </row>
    <row r="120">
      <c r="B120" s="64">
        <f>IF(R120="","",115)</f>
        <v/>
      </c>
      <c r="C120" s="37">
        <f>IF(R120="","",IF(INDEX('Recurring Schedule'!$C$6:$C$45,R120)="","",INDEX('Recurring Schedule'!$C$6:$C$45,R120)))</f>
        <v/>
      </c>
      <c r="D120" s="36">
        <f>IF(R120="","",IF(INDEX('Recurring Schedule'!$D$6:$D$45,R120)="","",INDEX('Recurring Schedule'!$D$6:$D$45,R120)))</f>
        <v/>
      </c>
      <c r="E120" s="38">
        <f>IF(Q120="","",INDEX(Calc!$A$2:$A$367,Q120))</f>
        <v/>
      </c>
      <c r="F120" s="68">
        <f>IF(OR(C120="",E120=""),"",E120-Setup!$D$7)</f>
        <v/>
      </c>
      <c r="G120" s="74">
        <f>IF(R120="","",IF(INDEX('Recurring Schedule'!$H$6:$H$45,R120)="","",INDEX('Recurring Schedule'!$H$6:$H$45,R120)))</f>
        <v/>
      </c>
      <c r="H120" s="74">
        <f>IF(R120="","",IF(INDEX('Recurring Schedule'!$I$6:$I$45,R120)="","",INDEX('Recurring Schedule'!$I$6:$I$45,R120)))</f>
        <v/>
      </c>
      <c r="I120" s="36">
        <f>IF(OR(G120="",H120=""),"",TRIM(IF(HOUR(H120-G120)&gt;0,HOUR(H120-G120)&amp;" hr ","")&amp;IF(MINUTE(H120-G120)&gt;0,MINUTE(H120-G120)&amp;" min","")))</f>
        <v/>
      </c>
      <c r="J120" s="66" t="n"/>
      <c r="K120" s="70" t="n"/>
      <c r="L120" s="36">
        <f>IF(R120="","",IF(INDEX('Recurring Schedule'!$J$6:$J$45,R120)="","",INDEX('Recurring Schedule'!$J$6:$J$45,R120)))</f>
        <v/>
      </c>
      <c r="M120" s="36">
        <f>IF(R120="","",IF(INDEX('Recurring Schedule'!$K$6:$K$45,R120)="","",INDEX('Recurring Schedule'!$K$6:$K$45,R120)))</f>
        <v/>
      </c>
      <c r="N120" s="36">
        <f>IF(R120="","",IF(INDEX('Recurring Schedule'!$L$6:$L$45,R120)="","",INDEX('Recurring Schedule'!$L$6:$L$45,R120)))</f>
        <v/>
      </c>
      <c r="O120" s="36">
        <f>IF(C120="","",IF(AND(OR(L120="1-Urgent",L120="2-High"),M120="✓"),"DO FIRST",IF(M120="✓","SCHEDULE",IF(OR(L120="1-Urgent",L120="2-High"),"DELEGATE","DELETE"))))</f>
        <v/>
      </c>
      <c r="P120" s="65" t="n"/>
      <c r="Q120">
        <f>IF(115&gt;Calc!$AQ$368,"",MATCH(114,Calc!$AQ$2:$AQ$367,1))</f>
        <v/>
      </c>
      <c r="R120">
        <f>IF(Q120="","",SMALL(INDEX(Calc!$B$2:$AO$367,Q120,0),115-INDEX(Calc!$AQ$2:$AQ$367,Q120)))</f>
        <v/>
      </c>
    </row>
    <row r="121">
      <c r="B121" s="71">
        <f>IF(R121="","",116)</f>
        <v/>
      </c>
      <c r="C121" s="75">
        <f>IF(R121="","",IF(INDEX('Recurring Schedule'!$C$6:$C$45,R121)="","",INDEX('Recurring Schedule'!$C$6:$C$45,R121)))</f>
        <v/>
      </c>
      <c r="D121" s="73">
        <f>IF(R121="","",IF(INDEX('Recurring Schedule'!$D$6:$D$45,R121)="","",INDEX('Recurring Schedule'!$D$6:$D$45,R121)))</f>
        <v/>
      </c>
      <c r="E121" s="76">
        <f>IF(Q121="","",INDEX(Calc!$A$2:$A$367,Q121))</f>
        <v/>
      </c>
      <c r="F121" s="72">
        <f>IF(OR(C121="",E121=""),"",E121-Setup!$D$7)</f>
        <v/>
      </c>
      <c r="G121" s="77">
        <f>IF(R121="","",IF(INDEX('Recurring Schedule'!$H$6:$H$45,R121)="","",INDEX('Recurring Schedule'!$H$6:$H$45,R121)))</f>
        <v/>
      </c>
      <c r="H121" s="77">
        <f>IF(R121="","",IF(INDEX('Recurring Schedule'!$I$6:$I$45,R121)="","",INDEX('Recurring Schedule'!$I$6:$I$45,R121)))</f>
        <v/>
      </c>
      <c r="I121" s="73">
        <f>IF(OR(G121="",H121=""),"",TRIM(IF(HOUR(H121-G121)&gt;0,HOUR(H121-G121)&amp;" hr ","")&amp;IF(MINUTE(H121-G121)&gt;0,MINUTE(H121-G121)&amp;" min","")))</f>
        <v/>
      </c>
      <c r="J121" s="66" t="n"/>
      <c r="K121" s="70" t="n"/>
      <c r="L121" s="73">
        <f>IF(R121="","",IF(INDEX('Recurring Schedule'!$J$6:$J$45,R121)="","",INDEX('Recurring Schedule'!$J$6:$J$45,R121)))</f>
        <v/>
      </c>
      <c r="M121" s="73">
        <f>IF(R121="","",IF(INDEX('Recurring Schedule'!$K$6:$K$45,R121)="","",INDEX('Recurring Schedule'!$K$6:$K$45,R121)))</f>
        <v/>
      </c>
      <c r="N121" s="73">
        <f>IF(R121="","",IF(INDEX('Recurring Schedule'!$L$6:$L$45,R121)="","",INDEX('Recurring Schedule'!$L$6:$L$45,R121)))</f>
        <v/>
      </c>
      <c r="O121" s="73">
        <f>IF(C121="","",IF(AND(OR(L121="1-Urgent",L121="2-High"),M121="✓"),"DO FIRST",IF(M121="✓","SCHEDULE",IF(OR(L121="1-Urgent",L121="2-High"),"DELEGATE","DELETE"))))</f>
        <v/>
      </c>
      <c r="P121" s="65" t="n"/>
      <c r="Q121">
        <f>IF(116&gt;Calc!$AQ$368,"",MATCH(115,Calc!$AQ$2:$AQ$367,1))</f>
        <v/>
      </c>
      <c r="R121">
        <f>IF(Q121="","",SMALL(INDEX(Calc!$B$2:$AO$367,Q121,0),116-INDEX(Calc!$AQ$2:$AQ$367,Q121)))</f>
        <v/>
      </c>
    </row>
    <row r="122">
      <c r="B122" s="64">
        <f>IF(R122="","",117)</f>
        <v/>
      </c>
      <c r="C122" s="37">
        <f>IF(R122="","",IF(INDEX('Recurring Schedule'!$C$6:$C$45,R122)="","",INDEX('Recurring Schedule'!$C$6:$C$45,R122)))</f>
        <v/>
      </c>
      <c r="D122" s="36">
        <f>IF(R122="","",IF(INDEX('Recurring Schedule'!$D$6:$D$45,R122)="","",INDEX('Recurring Schedule'!$D$6:$D$45,R122)))</f>
        <v/>
      </c>
      <c r="E122" s="38">
        <f>IF(Q122="","",INDEX(Calc!$A$2:$A$367,Q122))</f>
        <v/>
      </c>
      <c r="F122" s="68">
        <f>IF(OR(C122="",E122=""),"",E122-Setup!$D$7)</f>
        <v/>
      </c>
      <c r="G122" s="74">
        <f>IF(R122="","",IF(INDEX('Recurring Schedule'!$H$6:$H$45,R122)="","",INDEX('Recurring Schedule'!$H$6:$H$45,R122)))</f>
        <v/>
      </c>
      <c r="H122" s="74">
        <f>IF(R122="","",IF(INDEX('Recurring Schedule'!$I$6:$I$45,R122)="","",INDEX('Recurring Schedule'!$I$6:$I$45,R122)))</f>
        <v/>
      </c>
      <c r="I122" s="36">
        <f>IF(OR(G122="",H122=""),"",TRIM(IF(HOUR(H122-G122)&gt;0,HOUR(H122-G122)&amp;" hr ","")&amp;IF(MINUTE(H122-G122)&gt;0,MINUTE(H122-G122)&amp;" min","")))</f>
        <v/>
      </c>
      <c r="J122" s="66" t="n"/>
      <c r="K122" s="70" t="n"/>
      <c r="L122" s="36">
        <f>IF(R122="","",IF(INDEX('Recurring Schedule'!$J$6:$J$45,R122)="","",INDEX('Recurring Schedule'!$J$6:$J$45,R122)))</f>
        <v/>
      </c>
      <c r="M122" s="36">
        <f>IF(R122="","",IF(INDEX('Recurring Schedule'!$K$6:$K$45,R122)="","",INDEX('Recurring Schedule'!$K$6:$K$45,R122)))</f>
        <v/>
      </c>
      <c r="N122" s="36">
        <f>IF(R122="","",IF(INDEX('Recurring Schedule'!$L$6:$L$45,R122)="","",INDEX('Recurring Schedule'!$L$6:$L$45,R122)))</f>
        <v/>
      </c>
      <c r="O122" s="36">
        <f>IF(C122="","",IF(AND(OR(L122="1-Urgent",L122="2-High"),M122="✓"),"DO FIRST",IF(M122="✓","SCHEDULE",IF(OR(L122="1-Urgent",L122="2-High"),"DELEGATE","DELETE"))))</f>
        <v/>
      </c>
      <c r="P122" s="65" t="n"/>
      <c r="Q122">
        <f>IF(117&gt;Calc!$AQ$368,"",MATCH(116,Calc!$AQ$2:$AQ$367,1))</f>
        <v/>
      </c>
      <c r="R122">
        <f>IF(Q122="","",SMALL(INDEX(Calc!$B$2:$AO$367,Q122,0),117-INDEX(Calc!$AQ$2:$AQ$367,Q122)))</f>
        <v/>
      </c>
    </row>
    <row r="123">
      <c r="B123" s="71">
        <f>IF(R123="","",118)</f>
        <v/>
      </c>
      <c r="C123" s="75">
        <f>IF(R123="","",IF(INDEX('Recurring Schedule'!$C$6:$C$45,R123)="","",INDEX('Recurring Schedule'!$C$6:$C$45,R123)))</f>
        <v/>
      </c>
      <c r="D123" s="73">
        <f>IF(R123="","",IF(INDEX('Recurring Schedule'!$D$6:$D$45,R123)="","",INDEX('Recurring Schedule'!$D$6:$D$45,R123)))</f>
        <v/>
      </c>
      <c r="E123" s="76">
        <f>IF(Q123="","",INDEX(Calc!$A$2:$A$367,Q123))</f>
        <v/>
      </c>
      <c r="F123" s="72">
        <f>IF(OR(C123="",E123=""),"",E123-Setup!$D$7)</f>
        <v/>
      </c>
      <c r="G123" s="77">
        <f>IF(R123="","",IF(INDEX('Recurring Schedule'!$H$6:$H$45,R123)="","",INDEX('Recurring Schedule'!$H$6:$H$45,R123)))</f>
        <v/>
      </c>
      <c r="H123" s="77">
        <f>IF(R123="","",IF(INDEX('Recurring Schedule'!$I$6:$I$45,R123)="","",INDEX('Recurring Schedule'!$I$6:$I$45,R123)))</f>
        <v/>
      </c>
      <c r="I123" s="73">
        <f>IF(OR(G123="",H123=""),"",TRIM(IF(HOUR(H123-G123)&gt;0,HOUR(H123-G123)&amp;" hr ","")&amp;IF(MINUTE(H123-G123)&gt;0,MINUTE(H123-G123)&amp;" min","")))</f>
        <v/>
      </c>
      <c r="J123" s="66" t="n"/>
      <c r="K123" s="70" t="n"/>
      <c r="L123" s="73">
        <f>IF(R123="","",IF(INDEX('Recurring Schedule'!$J$6:$J$45,R123)="","",INDEX('Recurring Schedule'!$J$6:$J$45,R123)))</f>
        <v/>
      </c>
      <c r="M123" s="73">
        <f>IF(R123="","",IF(INDEX('Recurring Schedule'!$K$6:$K$45,R123)="","",INDEX('Recurring Schedule'!$K$6:$K$45,R123)))</f>
        <v/>
      </c>
      <c r="N123" s="73">
        <f>IF(R123="","",IF(INDEX('Recurring Schedule'!$L$6:$L$45,R123)="","",INDEX('Recurring Schedule'!$L$6:$L$45,R123)))</f>
        <v/>
      </c>
      <c r="O123" s="73">
        <f>IF(C123="","",IF(AND(OR(L123="1-Urgent",L123="2-High"),M123="✓"),"DO FIRST",IF(M123="✓","SCHEDULE",IF(OR(L123="1-Urgent",L123="2-High"),"DELEGATE","DELETE"))))</f>
        <v/>
      </c>
      <c r="P123" s="65" t="n"/>
      <c r="Q123">
        <f>IF(118&gt;Calc!$AQ$368,"",MATCH(117,Calc!$AQ$2:$AQ$367,1))</f>
        <v/>
      </c>
      <c r="R123">
        <f>IF(Q123="","",SMALL(INDEX(Calc!$B$2:$AO$367,Q123,0),118-INDEX(Calc!$AQ$2:$AQ$367,Q123)))</f>
        <v/>
      </c>
    </row>
    <row r="124">
      <c r="B124" s="64">
        <f>IF(R124="","",119)</f>
        <v/>
      </c>
      <c r="C124" s="37">
        <f>IF(R124="","",IF(INDEX('Recurring Schedule'!$C$6:$C$45,R124)="","",INDEX('Recurring Schedule'!$C$6:$C$45,R124)))</f>
        <v/>
      </c>
      <c r="D124" s="36">
        <f>IF(R124="","",IF(INDEX('Recurring Schedule'!$D$6:$D$45,R124)="","",INDEX('Recurring Schedule'!$D$6:$D$45,R124)))</f>
        <v/>
      </c>
      <c r="E124" s="38">
        <f>IF(Q124="","",INDEX(Calc!$A$2:$A$367,Q124))</f>
        <v/>
      </c>
      <c r="F124" s="68">
        <f>IF(OR(C124="",E124=""),"",E124-Setup!$D$7)</f>
        <v/>
      </c>
      <c r="G124" s="74">
        <f>IF(R124="","",IF(INDEX('Recurring Schedule'!$H$6:$H$45,R124)="","",INDEX('Recurring Schedule'!$H$6:$H$45,R124)))</f>
        <v/>
      </c>
      <c r="H124" s="74">
        <f>IF(R124="","",IF(INDEX('Recurring Schedule'!$I$6:$I$45,R124)="","",INDEX('Recurring Schedule'!$I$6:$I$45,R124)))</f>
        <v/>
      </c>
      <c r="I124" s="36">
        <f>IF(OR(G124="",H124=""),"",TRIM(IF(HOUR(H124-G124)&gt;0,HOUR(H124-G124)&amp;" hr ","")&amp;IF(MINUTE(H124-G124)&gt;0,MINUTE(H124-G124)&amp;" min","")))</f>
        <v/>
      </c>
      <c r="J124" s="66" t="n"/>
      <c r="K124" s="70" t="n"/>
      <c r="L124" s="36">
        <f>IF(R124="","",IF(INDEX('Recurring Schedule'!$J$6:$J$45,R124)="","",INDEX('Recurring Schedule'!$J$6:$J$45,R124)))</f>
        <v/>
      </c>
      <c r="M124" s="36">
        <f>IF(R124="","",IF(INDEX('Recurring Schedule'!$K$6:$K$45,R124)="","",INDEX('Recurring Schedule'!$K$6:$K$45,R124)))</f>
        <v/>
      </c>
      <c r="N124" s="36">
        <f>IF(R124="","",IF(INDEX('Recurring Schedule'!$L$6:$L$45,R124)="","",INDEX('Recurring Schedule'!$L$6:$L$45,R124)))</f>
        <v/>
      </c>
      <c r="O124" s="36">
        <f>IF(C124="","",IF(AND(OR(L124="1-Urgent",L124="2-High"),M124="✓"),"DO FIRST",IF(M124="✓","SCHEDULE",IF(OR(L124="1-Urgent",L124="2-High"),"DELEGATE","DELETE"))))</f>
        <v/>
      </c>
      <c r="P124" s="65" t="n"/>
      <c r="Q124">
        <f>IF(119&gt;Calc!$AQ$368,"",MATCH(118,Calc!$AQ$2:$AQ$367,1))</f>
        <v/>
      </c>
      <c r="R124">
        <f>IF(Q124="","",SMALL(INDEX(Calc!$B$2:$AO$367,Q124,0),119-INDEX(Calc!$AQ$2:$AQ$367,Q124)))</f>
        <v/>
      </c>
    </row>
    <row r="125">
      <c r="B125" s="71">
        <f>IF(R125="","",120)</f>
        <v/>
      </c>
      <c r="C125" s="75">
        <f>IF(R125="","",IF(INDEX('Recurring Schedule'!$C$6:$C$45,R125)="","",INDEX('Recurring Schedule'!$C$6:$C$45,R125)))</f>
        <v/>
      </c>
      <c r="D125" s="73">
        <f>IF(R125="","",IF(INDEX('Recurring Schedule'!$D$6:$D$45,R125)="","",INDEX('Recurring Schedule'!$D$6:$D$45,R125)))</f>
        <v/>
      </c>
      <c r="E125" s="76">
        <f>IF(Q125="","",INDEX(Calc!$A$2:$A$367,Q125))</f>
        <v/>
      </c>
      <c r="F125" s="72">
        <f>IF(OR(C125="",E125=""),"",E125-Setup!$D$7)</f>
        <v/>
      </c>
      <c r="G125" s="77">
        <f>IF(R125="","",IF(INDEX('Recurring Schedule'!$H$6:$H$45,R125)="","",INDEX('Recurring Schedule'!$H$6:$H$45,R125)))</f>
        <v/>
      </c>
      <c r="H125" s="77">
        <f>IF(R125="","",IF(INDEX('Recurring Schedule'!$I$6:$I$45,R125)="","",INDEX('Recurring Schedule'!$I$6:$I$45,R125)))</f>
        <v/>
      </c>
      <c r="I125" s="73">
        <f>IF(OR(G125="",H125=""),"",TRIM(IF(HOUR(H125-G125)&gt;0,HOUR(H125-G125)&amp;" hr ","")&amp;IF(MINUTE(H125-G125)&gt;0,MINUTE(H125-G125)&amp;" min","")))</f>
        <v/>
      </c>
      <c r="J125" s="66" t="n"/>
      <c r="K125" s="70" t="n"/>
      <c r="L125" s="73">
        <f>IF(R125="","",IF(INDEX('Recurring Schedule'!$J$6:$J$45,R125)="","",INDEX('Recurring Schedule'!$J$6:$J$45,R125)))</f>
        <v/>
      </c>
      <c r="M125" s="73">
        <f>IF(R125="","",IF(INDEX('Recurring Schedule'!$K$6:$K$45,R125)="","",INDEX('Recurring Schedule'!$K$6:$K$45,R125)))</f>
        <v/>
      </c>
      <c r="N125" s="73">
        <f>IF(R125="","",IF(INDEX('Recurring Schedule'!$L$6:$L$45,R125)="","",INDEX('Recurring Schedule'!$L$6:$L$45,R125)))</f>
        <v/>
      </c>
      <c r="O125" s="73">
        <f>IF(C125="","",IF(AND(OR(L125="1-Urgent",L125="2-High"),M125="✓"),"DO FIRST",IF(M125="✓","SCHEDULE",IF(OR(L125="1-Urgent",L125="2-High"),"DELEGATE","DELETE"))))</f>
        <v/>
      </c>
      <c r="P125" s="65" t="n"/>
      <c r="Q125">
        <f>IF(120&gt;Calc!$AQ$368,"",MATCH(119,Calc!$AQ$2:$AQ$367,1))</f>
        <v/>
      </c>
      <c r="R125">
        <f>IF(Q125="","",SMALL(INDEX(Calc!$B$2:$AO$367,Q125,0),120-INDEX(Calc!$AQ$2:$AQ$367,Q125)))</f>
        <v/>
      </c>
    </row>
    <row r="126">
      <c r="B126" s="64">
        <f>IF(R126="","",121)</f>
        <v/>
      </c>
      <c r="C126" s="37">
        <f>IF(R126="","",IF(INDEX('Recurring Schedule'!$C$6:$C$45,R126)="","",INDEX('Recurring Schedule'!$C$6:$C$45,R126)))</f>
        <v/>
      </c>
      <c r="D126" s="36">
        <f>IF(R126="","",IF(INDEX('Recurring Schedule'!$D$6:$D$45,R126)="","",INDEX('Recurring Schedule'!$D$6:$D$45,R126)))</f>
        <v/>
      </c>
      <c r="E126" s="38">
        <f>IF(Q126="","",INDEX(Calc!$A$2:$A$367,Q126))</f>
        <v/>
      </c>
      <c r="F126" s="68">
        <f>IF(OR(C126="",E126=""),"",E126-Setup!$D$7)</f>
        <v/>
      </c>
      <c r="G126" s="74">
        <f>IF(R126="","",IF(INDEX('Recurring Schedule'!$H$6:$H$45,R126)="","",INDEX('Recurring Schedule'!$H$6:$H$45,R126)))</f>
        <v/>
      </c>
      <c r="H126" s="74">
        <f>IF(R126="","",IF(INDEX('Recurring Schedule'!$I$6:$I$45,R126)="","",INDEX('Recurring Schedule'!$I$6:$I$45,R126)))</f>
        <v/>
      </c>
      <c r="I126" s="36">
        <f>IF(OR(G126="",H126=""),"",TRIM(IF(HOUR(H126-G126)&gt;0,HOUR(H126-G126)&amp;" hr ","")&amp;IF(MINUTE(H126-G126)&gt;0,MINUTE(H126-G126)&amp;" min","")))</f>
        <v/>
      </c>
      <c r="J126" s="66" t="n"/>
      <c r="K126" s="70" t="n"/>
      <c r="L126" s="36">
        <f>IF(R126="","",IF(INDEX('Recurring Schedule'!$J$6:$J$45,R126)="","",INDEX('Recurring Schedule'!$J$6:$J$45,R126)))</f>
        <v/>
      </c>
      <c r="M126" s="36">
        <f>IF(R126="","",IF(INDEX('Recurring Schedule'!$K$6:$K$45,R126)="","",INDEX('Recurring Schedule'!$K$6:$K$45,R126)))</f>
        <v/>
      </c>
      <c r="N126" s="36">
        <f>IF(R126="","",IF(INDEX('Recurring Schedule'!$L$6:$L$45,R126)="","",INDEX('Recurring Schedule'!$L$6:$L$45,R126)))</f>
        <v/>
      </c>
      <c r="O126" s="36">
        <f>IF(C126="","",IF(AND(OR(L126="1-Urgent",L126="2-High"),M126="✓"),"DO FIRST",IF(M126="✓","SCHEDULE",IF(OR(L126="1-Urgent",L126="2-High"),"DELEGATE","DELETE"))))</f>
        <v/>
      </c>
      <c r="P126" s="65" t="n"/>
      <c r="Q126">
        <f>IF(121&gt;Calc!$AQ$368,"",MATCH(120,Calc!$AQ$2:$AQ$367,1))</f>
        <v/>
      </c>
      <c r="R126">
        <f>IF(Q126="","",SMALL(INDEX(Calc!$B$2:$AO$367,Q126,0),121-INDEX(Calc!$AQ$2:$AQ$367,Q126)))</f>
        <v/>
      </c>
    </row>
    <row r="127">
      <c r="B127" s="71">
        <f>IF(R127="","",122)</f>
        <v/>
      </c>
      <c r="C127" s="75">
        <f>IF(R127="","",IF(INDEX('Recurring Schedule'!$C$6:$C$45,R127)="","",INDEX('Recurring Schedule'!$C$6:$C$45,R127)))</f>
        <v/>
      </c>
      <c r="D127" s="73">
        <f>IF(R127="","",IF(INDEX('Recurring Schedule'!$D$6:$D$45,R127)="","",INDEX('Recurring Schedule'!$D$6:$D$45,R127)))</f>
        <v/>
      </c>
      <c r="E127" s="76">
        <f>IF(Q127="","",INDEX(Calc!$A$2:$A$367,Q127))</f>
        <v/>
      </c>
      <c r="F127" s="72">
        <f>IF(OR(C127="",E127=""),"",E127-Setup!$D$7)</f>
        <v/>
      </c>
      <c r="G127" s="77">
        <f>IF(R127="","",IF(INDEX('Recurring Schedule'!$H$6:$H$45,R127)="","",INDEX('Recurring Schedule'!$H$6:$H$45,R127)))</f>
        <v/>
      </c>
      <c r="H127" s="77">
        <f>IF(R127="","",IF(INDEX('Recurring Schedule'!$I$6:$I$45,R127)="","",INDEX('Recurring Schedule'!$I$6:$I$45,R127)))</f>
        <v/>
      </c>
      <c r="I127" s="73">
        <f>IF(OR(G127="",H127=""),"",TRIM(IF(HOUR(H127-G127)&gt;0,HOUR(H127-G127)&amp;" hr ","")&amp;IF(MINUTE(H127-G127)&gt;0,MINUTE(H127-G127)&amp;" min","")))</f>
        <v/>
      </c>
      <c r="J127" s="66" t="n"/>
      <c r="K127" s="70" t="n"/>
      <c r="L127" s="73">
        <f>IF(R127="","",IF(INDEX('Recurring Schedule'!$J$6:$J$45,R127)="","",INDEX('Recurring Schedule'!$J$6:$J$45,R127)))</f>
        <v/>
      </c>
      <c r="M127" s="73">
        <f>IF(R127="","",IF(INDEX('Recurring Schedule'!$K$6:$K$45,R127)="","",INDEX('Recurring Schedule'!$K$6:$K$45,R127)))</f>
        <v/>
      </c>
      <c r="N127" s="73">
        <f>IF(R127="","",IF(INDEX('Recurring Schedule'!$L$6:$L$45,R127)="","",INDEX('Recurring Schedule'!$L$6:$L$45,R127)))</f>
        <v/>
      </c>
      <c r="O127" s="73">
        <f>IF(C127="","",IF(AND(OR(L127="1-Urgent",L127="2-High"),M127="✓"),"DO FIRST",IF(M127="✓","SCHEDULE",IF(OR(L127="1-Urgent",L127="2-High"),"DELEGATE","DELETE"))))</f>
        <v/>
      </c>
      <c r="P127" s="65" t="n"/>
      <c r="Q127">
        <f>IF(122&gt;Calc!$AQ$368,"",MATCH(121,Calc!$AQ$2:$AQ$367,1))</f>
        <v/>
      </c>
      <c r="R127">
        <f>IF(Q127="","",SMALL(INDEX(Calc!$B$2:$AO$367,Q127,0),122-INDEX(Calc!$AQ$2:$AQ$367,Q127)))</f>
        <v/>
      </c>
    </row>
    <row r="128">
      <c r="B128" s="64">
        <f>IF(R128="","",123)</f>
        <v/>
      </c>
      <c r="C128" s="37">
        <f>IF(R128="","",IF(INDEX('Recurring Schedule'!$C$6:$C$45,R128)="","",INDEX('Recurring Schedule'!$C$6:$C$45,R128)))</f>
        <v/>
      </c>
      <c r="D128" s="36">
        <f>IF(R128="","",IF(INDEX('Recurring Schedule'!$D$6:$D$45,R128)="","",INDEX('Recurring Schedule'!$D$6:$D$45,R128)))</f>
        <v/>
      </c>
      <c r="E128" s="38">
        <f>IF(Q128="","",INDEX(Calc!$A$2:$A$367,Q128))</f>
        <v/>
      </c>
      <c r="F128" s="68">
        <f>IF(OR(C128="",E128=""),"",E128-Setup!$D$7)</f>
        <v/>
      </c>
      <c r="G128" s="74">
        <f>IF(R128="","",IF(INDEX('Recurring Schedule'!$H$6:$H$45,R128)="","",INDEX('Recurring Schedule'!$H$6:$H$45,R128)))</f>
        <v/>
      </c>
      <c r="H128" s="74">
        <f>IF(R128="","",IF(INDEX('Recurring Schedule'!$I$6:$I$45,R128)="","",INDEX('Recurring Schedule'!$I$6:$I$45,R128)))</f>
        <v/>
      </c>
      <c r="I128" s="36">
        <f>IF(OR(G128="",H128=""),"",TRIM(IF(HOUR(H128-G128)&gt;0,HOUR(H128-G128)&amp;" hr ","")&amp;IF(MINUTE(H128-G128)&gt;0,MINUTE(H128-G128)&amp;" min","")))</f>
        <v/>
      </c>
      <c r="J128" s="66" t="n"/>
      <c r="K128" s="70" t="n"/>
      <c r="L128" s="36">
        <f>IF(R128="","",IF(INDEX('Recurring Schedule'!$J$6:$J$45,R128)="","",INDEX('Recurring Schedule'!$J$6:$J$45,R128)))</f>
        <v/>
      </c>
      <c r="M128" s="36">
        <f>IF(R128="","",IF(INDEX('Recurring Schedule'!$K$6:$K$45,R128)="","",INDEX('Recurring Schedule'!$K$6:$K$45,R128)))</f>
        <v/>
      </c>
      <c r="N128" s="36">
        <f>IF(R128="","",IF(INDEX('Recurring Schedule'!$L$6:$L$45,R128)="","",INDEX('Recurring Schedule'!$L$6:$L$45,R128)))</f>
        <v/>
      </c>
      <c r="O128" s="36">
        <f>IF(C128="","",IF(AND(OR(L128="1-Urgent",L128="2-High"),M128="✓"),"DO FIRST",IF(M128="✓","SCHEDULE",IF(OR(L128="1-Urgent",L128="2-High"),"DELEGATE","DELETE"))))</f>
        <v/>
      </c>
      <c r="P128" s="65" t="n"/>
      <c r="Q128">
        <f>IF(123&gt;Calc!$AQ$368,"",MATCH(122,Calc!$AQ$2:$AQ$367,1))</f>
        <v/>
      </c>
      <c r="R128">
        <f>IF(Q128="","",SMALL(INDEX(Calc!$B$2:$AO$367,Q128,0),123-INDEX(Calc!$AQ$2:$AQ$367,Q128)))</f>
        <v/>
      </c>
    </row>
    <row r="129">
      <c r="B129" s="71">
        <f>IF(R129="","",124)</f>
        <v/>
      </c>
      <c r="C129" s="75">
        <f>IF(R129="","",IF(INDEX('Recurring Schedule'!$C$6:$C$45,R129)="","",INDEX('Recurring Schedule'!$C$6:$C$45,R129)))</f>
        <v/>
      </c>
      <c r="D129" s="73">
        <f>IF(R129="","",IF(INDEX('Recurring Schedule'!$D$6:$D$45,R129)="","",INDEX('Recurring Schedule'!$D$6:$D$45,R129)))</f>
        <v/>
      </c>
      <c r="E129" s="76">
        <f>IF(Q129="","",INDEX(Calc!$A$2:$A$367,Q129))</f>
        <v/>
      </c>
      <c r="F129" s="72">
        <f>IF(OR(C129="",E129=""),"",E129-Setup!$D$7)</f>
        <v/>
      </c>
      <c r="G129" s="77">
        <f>IF(R129="","",IF(INDEX('Recurring Schedule'!$H$6:$H$45,R129)="","",INDEX('Recurring Schedule'!$H$6:$H$45,R129)))</f>
        <v/>
      </c>
      <c r="H129" s="77">
        <f>IF(R129="","",IF(INDEX('Recurring Schedule'!$I$6:$I$45,R129)="","",INDEX('Recurring Schedule'!$I$6:$I$45,R129)))</f>
        <v/>
      </c>
      <c r="I129" s="73">
        <f>IF(OR(G129="",H129=""),"",TRIM(IF(HOUR(H129-G129)&gt;0,HOUR(H129-G129)&amp;" hr ","")&amp;IF(MINUTE(H129-G129)&gt;0,MINUTE(H129-G129)&amp;" min","")))</f>
        <v/>
      </c>
      <c r="J129" s="66" t="n"/>
      <c r="K129" s="70" t="n"/>
      <c r="L129" s="73">
        <f>IF(R129="","",IF(INDEX('Recurring Schedule'!$J$6:$J$45,R129)="","",INDEX('Recurring Schedule'!$J$6:$J$45,R129)))</f>
        <v/>
      </c>
      <c r="M129" s="73">
        <f>IF(R129="","",IF(INDEX('Recurring Schedule'!$K$6:$K$45,R129)="","",INDEX('Recurring Schedule'!$K$6:$K$45,R129)))</f>
        <v/>
      </c>
      <c r="N129" s="73">
        <f>IF(R129="","",IF(INDEX('Recurring Schedule'!$L$6:$L$45,R129)="","",INDEX('Recurring Schedule'!$L$6:$L$45,R129)))</f>
        <v/>
      </c>
      <c r="O129" s="73">
        <f>IF(C129="","",IF(AND(OR(L129="1-Urgent",L129="2-High"),M129="✓"),"DO FIRST",IF(M129="✓","SCHEDULE",IF(OR(L129="1-Urgent",L129="2-High"),"DELEGATE","DELETE"))))</f>
        <v/>
      </c>
      <c r="P129" s="65" t="n"/>
      <c r="Q129">
        <f>IF(124&gt;Calc!$AQ$368,"",MATCH(123,Calc!$AQ$2:$AQ$367,1))</f>
        <v/>
      </c>
      <c r="R129">
        <f>IF(Q129="","",SMALL(INDEX(Calc!$B$2:$AO$367,Q129,0),124-INDEX(Calc!$AQ$2:$AQ$367,Q129)))</f>
        <v/>
      </c>
    </row>
    <row r="130">
      <c r="B130" s="64">
        <f>IF(R130="","",125)</f>
        <v/>
      </c>
      <c r="C130" s="37">
        <f>IF(R130="","",IF(INDEX('Recurring Schedule'!$C$6:$C$45,R130)="","",INDEX('Recurring Schedule'!$C$6:$C$45,R130)))</f>
        <v/>
      </c>
      <c r="D130" s="36">
        <f>IF(R130="","",IF(INDEX('Recurring Schedule'!$D$6:$D$45,R130)="","",INDEX('Recurring Schedule'!$D$6:$D$45,R130)))</f>
        <v/>
      </c>
      <c r="E130" s="38">
        <f>IF(Q130="","",INDEX(Calc!$A$2:$A$367,Q130))</f>
        <v/>
      </c>
      <c r="F130" s="68">
        <f>IF(OR(C130="",E130=""),"",E130-Setup!$D$7)</f>
        <v/>
      </c>
      <c r="G130" s="74">
        <f>IF(R130="","",IF(INDEX('Recurring Schedule'!$H$6:$H$45,R130)="","",INDEX('Recurring Schedule'!$H$6:$H$45,R130)))</f>
        <v/>
      </c>
      <c r="H130" s="74">
        <f>IF(R130="","",IF(INDEX('Recurring Schedule'!$I$6:$I$45,R130)="","",INDEX('Recurring Schedule'!$I$6:$I$45,R130)))</f>
        <v/>
      </c>
      <c r="I130" s="36">
        <f>IF(OR(G130="",H130=""),"",TRIM(IF(HOUR(H130-G130)&gt;0,HOUR(H130-G130)&amp;" hr ","")&amp;IF(MINUTE(H130-G130)&gt;0,MINUTE(H130-G130)&amp;" min","")))</f>
        <v/>
      </c>
      <c r="J130" s="66" t="n"/>
      <c r="K130" s="70" t="n"/>
      <c r="L130" s="36">
        <f>IF(R130="","",IF(INDEX('Recurring Schedule'!$J$6:$J$45,R130)="","",INDEX('Recurring Schedule'!$J$6:$J$45,R130)))</f>
        <v/>
      </c>
      <c r="M130" s="36">
        <f>IF(R130="","",IF(INDEX('Recurring Schedule'!$K$6:$K$45,R130)="","",INDEX('Recurring Schedule'!$K$6:$K$45,R130)))</f>
        <v/>
      </c>
      <c r="N130" s="36">
        <f>IF(R130="","",IF(INDEX('Recurring Schedule'!$L$6:$L$45,R130)="","",INDEX('Recurring Schedule'!$L$6:$L$45,R130)))</f>
        <v/>
      </c>
      <c r="O130" s="36">
        <f>IF(C130="","",IF(AND(OR(L130="1-Urgent",L130="2-High"),M130="✓"),"DO FIRST",IF(M130="✓","SCHEDULE",IF(OR(L130="1-Urgent",L130="2-High"),"DELEGATE","DELETE"))))</f>
        <v/>
      </c>
      <c r="P130" s="65" t="n"/>
      <c r="Q130">
        <f>IF(125&gt;Calc!$AQ$368,"",MATCH(124,Calc!$AQ$2:$AQ$367,1))</f>
        <v/>
      </c>
      <c r="R130">
        <f>IF(Q130="","",SMALL(INDEX(Calc!$B$2:$AO$367,Q130,0),125-INDEX(Calc!$AQ$2:$AQ$367,Q130)))</f>
        <v/>
      </c>
    </row>
    <row r="131">
      <c r="B131" s="71">
        <f>IF(R131="","",126)</f>
        <v/>
      </c>
      <c r="C131" s="75">
        <f>IF(R131="","",IF(INDEX('Recurring Schedule'!$C$6:$C$45,R131)="","",INDEX('Recurring Schedule'!$C$6:$C$45,R131)))</f>
        <v/>
      </c>
      <c r="D131" s="73">
        <f>IF(R131="","",IF(INDEX('Recurring Schedule'!$D$6:$D$45,R131)="","",INDEX('Recurring Schedule'!$D$6:$D$45,R131)))</f>
        <v/>
      </c>
      <c r="E131" s="76">
        <f>IF(Q131="","",INDEX(Calc!$A$2:$A$367,Q131))</f>
        <v/>
      </c>
      <c r="F131" s="72">
        <f>IF(OR(C131="",E131=""),"",E131-Setup!$D$7)</f>
        <v/>
      </c>
      <c r="G131" s="77">
        <f>IF(R131="","",IF(INDEX('Recurring Schedule'!$H$6:$H$45,R131)="","",INDEX('Recurring Schedule'!$H$6:$H$45,R131)))</f>
        <v/>
      </c>
      <c r="H131" s="77">
        <f>IF(R131="","",IF(INDEX('Recurring Schedule'!$I$6:$I$45,R131)="","",INDEX('Recurring Schedule'!$I$6:$I$45,R131)))</f>
        <v/>
      </c>
      <c r="I131" s="73">
        <f>IF(OR(G131="",H131=""),"",TRIM(IF(HOUR(H131-G131)&gt;0,HOUR(H131-G131)&amp;" hr ","")&amp;IF(MINUTE(H131-G131)&gt;0,MINUTE(H131-G131)&amp;" min","")))</f>
        <v/>
      </c>
      <c r="J131" s="66" t="n"/>
      <c r="K131" s="70" t="n"/>
      <c r="L131" s="73">
        <f>IF(R131="","",IF(INDEX('Recurring Schedule'!$J$6:$J$45,R131)="","",INDEX('Recurring Schedule'!$J$6:$J$45,R131)))</f>
        <v/>
      </c>
      <c r="M131" s="73">
        <f>IF(R131="","",IF(INDEX('Recurring Schedule'!$K$6:$K$45,R131)="","",INDEX('Recurring Schedule'!$K$6:$K$45,R131)))</f>
        <v/>
      </c>
      <c r="N131" s="73">
        <f>IF(R131="","",IF(INDEX('Recurring Schedule'!$L$6:$L$45,R131)="","",INDEX('Recurring Schedule'!$L$6:$L$45,R131)))</f>
        <v/>
      </c>
      <c r="O131" s="73">
        <f>IF(C131="","",IF(AND(OR(L131="1-Urgent",L131="2-High"),M131="✓"),"DO FIRST",IF(M131="✓","SCHEDULE",IF(OR(L131="1-Urgent",L131="2-High"),"DELEGATE","DELETE"))))</f>
        <v/>
      </c>
      <c r="P131" s="65" t="n"/>
      <c r="Q131">
        <f>IF(126&gt;Calc!$AQ$368,"",MATCH(125,Calc!$AQ$2:$AQ$367,1))</f>
        <v/>
      </c>
      <c r="R131">
        <f>IF(Q131="","",SMALL(INDEX(Calc!$B$2:$AO$367,Q131,0),126-INDEX(Calc!$AQ$2:$AQ$367,Q131)))</f>
        <v/>
      </c>
    </row>
    <row r="132">
      <c r="B132" s="64">
        <f>IF(R132="","",127)</f>
        <v/>
      </c>
      <c r="C132" s="37">
        <f>IF(R132="","",IF(INDEX('Recurring Schedule'!$C$6:$C$45,R132)="","",INDEX('Recurring Schedule'!$C$6:$C$45,R132)))</f>
        <v/>
      </c>
      <c r="D132" s="36">
        <f>IF(R132="","",IF(INDEX('Recurring Schedule'!$D$6:$D$45,R132)="","",INDEX('Recurring Schedule'!$D$6:$D$45,R132)))</f>
        <v/>
      </c>
      <c r="E132" s="38">
        <f>IF(Q132="","",INDEX(Calc!$A$2:$A$367,Q132))</f>
        <v/>
      </c>
      <c r="F132" s="68">
        <f>IF(OR(C132="",E132=""),"",E132-Setup!$D$7)</f>
        <v/>
      </c>
      <c r="G132" s="74">
        <f>IF(R132="","",IF(INDEX('Recurring Schedule'!$H$6:$H$45,R132)="","",INDEX('Recurring Schedule'!$H$6:$H$45,R132)))</f>
        <v/>
      </c>
      <c r="H132" s="74">
        <f>IF(R132="","",IF(INDEX('Recurring Schedule'!$I$6:$I$45,R132)="","",INDEX('Recurring Schedule'!$I$6:$I$45,R132)))</f>
        <v/>
      </c>
      <c r="I132" s="36">
        <f>IF(OR(G132="",H132=""),"",TRIM(IF(HOUR(H132-G132)&gt;0,HOUR(H132-G132)&amp;" hr ","")&amp;IF(MINUTE(H132-G132)&gt;0,MINUTE(H132-G132)&amp;" min","")))</f>
        <v/>
      </c>
      <c r="J132" s="66" t="n"/>
      <c r="K132" s="70" t="n"/>
      <c r="L132" s="36">
        <f>IF(R132="","",IF(INDEX('Recurring Schedule'!$J$6:$J$45,R132)="","",INDEX('Recurring Schedule'!$J$6:$J$45,R132)))</f>
        <v/>
      </c>
      <c r="M132" s="36">
        <f>IF(R132="","",IF(INDEX('Recurring Schedule'!$K$6:$K$45,R132)="","",INDEX('Recurring Schedule'!$K$6:$K$45,R132)))</f>
        <v/>
      </c>
      <c r="N132" s="36">
        <f>IF(R132="","",IF(INDEX('Recurring Schedule'!$L$6:$L$45,R132)="","",INDEX('Recurring Schedule'!$L$6:$L$45,R132)))</f>
        <v/>
      </c>
      <c r="O132" s="36">
        <f>IF(C132="","",IF(AND(OR(L132="1-Urgent",L132="2-High"),M132="✓"),"DO FIRST",IF(M132="✓","SCHEDULE",IF(OR(L132="1-Urgent",L132="2-High"),"DELEGATE","DELETE"))))</f>
        <v/>
      </c>
      <c r="P132" s="65" t="n"/>
      <c r="Q132">
        <f>IF(127&gt;Calc!$AQ$368,"",MATCH(126,Calc!$AQ$2:$AQ$367,1))</f>
        <v/>
      </c>
      <c r="R132">
        <f>IF(Q132="","",SMALL(INDEX(Calc!$B$2:$AO$367,Q132,0),127-INDEX(Calc!$AQ$2:$AQ$367,Q132)))</f>
        <v/>
      </c>
    </row>
    <row r="133">
      <c r="B133" s="71">
        <f>IF(R133="","",128)</f>
        <v/>
      </c>
      <c r="C133" s="75">
        <f>IF(R133="","",IF(INDEX('Recurring Schedule'!$C$6:$C$45,R133)="","",INDEX('Recurring Schedule'!$C$6:$C$45,R133)))</f>
        <v/>
      </c>
      <c r="D133" s="73">
        <f>IF(R133="","",IF(INDEX('Recurring Schedule'!$D$6:$D$45,R133)="","",INDEX('Recurring Schedule'!$D$6:$D$45,R133)))</f>
        <v/>
      </c>
      <c r="E133" s="76">
        <f>IF(Q133="","",INDEX(Calc!$A$2:$A$367,Q133))</f>
        <v/>
      </c>
      <c r="F133" s="72">
        <f>IF(OR(C133="",E133=""),"",E133-Setup!$D$7)</f>
        <v/>
      </c>
      <c r="G133" s="77">
        <f>IF(R133="","",IF(INDEX('Recurring Schedule'!$H$6:$H$45,R133)="","",INDEX('Recurring Schedule'!$H$6:$H$45,R133)))</f>
        <v/>
      </c>
      <c r="H133" s="77">
        <f>IF(R133="","",IF(INDEX('Recurring Schedule'!$I$6:$I$45,R133)="","",INDEX('Recurring Schedule'!$I$6:$I$45,R133)))</f>
        <v/>
      </c>
      <c r="I133" s="73">
        <f>IF(OR(G133="",H133=""),"",TRIM(IF(HOUR(H133-G133)&gt;0,HOUR(H133-G133)&amp;" hr ","")&amp;IF(MINUTE(H133-G133)&gt;0,MINUTE(H133-G133)&amp;" min","")))</f>
        <v/>
      </c>
      <c r="J133" s="66" t="n"/>
      <c r="K133" s="70" t="n"/>
      <c r="L133" s="73">
        <f>IF(R133="","",IF(INDEX('Recurring Schedule'!$J$6:$J$45,R133)="","",INDEX('Recurring Schedule'!$J$6:$J$45,R133)))</f>
        <v/>
      </c>
      <c r="M133" s="73">
        <f>IF(R133="","",IF(INDEX('Recurring Schedule'!$K$6:$K$45,R133)="","",INDEX('Recurring Schedule'!$K$6:$K$45,R133)))</f>
        <v/>
      </c>
      <c r="N133" s="73">
        <f>IF(R133="","",IF(INDEX('Recurring Schedule'!$L$6:$L$45,R133)="","",INDEX('Recurring Schedule'!$L$6:$L$45,R133)))</f>
        <v/>
      </c>
      <c r="O133" s="73">
        <f>IF(C133="","",IF(AND(OR(L133="1-Urgent",L133="2-High"),M133="✓"),"DO FIRST",IF(M133="✓","SCHEDULE",IF(OR(L133="1-Urgent",L133="2-High"),"DELEGATE","DELETE"))))</f>
        <v/>
      </c>
      <c r="P133" s="65" t="n"/>
      <c r="Q133">
        <f>IF(128&gt;Calc!$AQ$368,"",MATCH(127,Calc!$AQ$2:$AQ$367,1))</f>
        <v/>
      </c>
      <c r="R133">
        <f>IF(Q133="","",SMALL(INDEX(Calc!$B$2:$AO$367,Q133,0),128-INDEX(Calc!$AQ$2:$AQ$367,Q133)))</f>
        <v/>
      </c>
    </row>
    <row r="134">
      <c r="B134" s="64">
        <f>IF(R134="","",129)</f>
        <v/>
      </c>
      <c r="C134" s="37">
        <f>IF(R134="","",IF(INDEX('Recurring Schedule'!$C$6:$C$45,R134)="","",INDEX('Recurring Schedule'!$C$6:$C$45,R134)))</f>
        <v/>
      </c>
      <c r="D134" s="36">
        <f>IF(R134="","",IF(INDEX('Recurring Schedule'!$D$6:$D$45,R134)="","",INDEX('Recurring Schedule'!$D$6:$D$45,R134)))</f>
        <v/>
      </c>
      <c r="E134" s="38">
        <f>IF(Q134="","",INDEX(Calc!$A$2:$A$367,Q134))</f>
        <v/>
      </c>
      <c r="F134" s="68">
        <f>IF(OR(C134="",E134=""),"",E134-Setup!$D$7)</f>
        <v/>
      </c>
      <c r="G134" s="74">
        <f>IF(R134="","",IF(INDEX('Recurring Schedule'!$H$6:$H$45,R134)="","",INDEX('Recurring Schedule'!$H$6:$H$45,R134)))</f>
        <v/>
      </c>
      <c r="H134" s="74">
        <f>IF(R134="","",IF(INDEX('Recurring Schedule'!$I$6:$I$45,R134)="","",INDEX('Recurring Schedule'!$I$6:$I$45,R134)))</f>
        <v/>
      </c>
      <c r="I134" s="36">
        <f>IF(OR(G134="",H134=""),"",TRIM(IF(HOUR(H134-G134)&gt;0,HOUR(H134-G134)&amp;" hr ","")&amp;IF(MINUTE(H134-G134)&gt;0,MINUTE(H134-G134)&amp;" min","")))</f>
        <v/>
      </c>
      <c r="J134" s="66" t="n"/>
      <c r="K134" s="70" t="n"/>
      <c r="L134" s="36">
        <f>IF(R134="","",IF(INDEX('Recurring Schedule'!$J$6:$J$45,R134)="","",INDEX('Recurring Schedule'!$J$6:$J$45,R134)))</f>
        <v/>
      </c>
      <c r="M134" s="36">
        <f>IF(R134="","",IF(INDEX('Recurring Schedule'!$K$6:$K$45,R134)="","",INDEX('Recurring Schedule'!$K$6:$K$45,R134)))</f>
        <v/>
      </c>
      <c r="N134" s="36">
        <f>IF(R134="","",IF(INDEX('Recurring Schedule'!$L$6:$L$45,R134)="","",INDEX('Recurring Schedule'!$L$6:$L$45,R134)))</f>
        <v/>
      </c>
      <c r="O134" s="36">
        <f>IF(C134="","",IF(AND(OR(L134="1-Urgent",L134="2-High"),M134="✓"),"DO FIRST",IF(M134="✓","SCHEDULE",IF(OR(L134="1-Urgent",L134="2-High"),"DELEGATE","DELETE"))))</f>
        <v/>
      </c>
      <c r="P134" s="65" t="n"/>
      <c r="Q134">
        <f>IF(129&gt;Calc!$AQ$368,"",MATCH(128,Calc!$AQ$2:$AQ$367,1))</f>
        <v/>
      </c>
      <c r="R134">
        <f>IF(Q134="","",SMALL(INDEX(Calc!$B$2:$AO$367,Q134,0),129-INDEX(Calc!$AQ$2:$AQ$367,Q134)))</f>
        <v/>
      </c>
    </row>
    <row r="135">
      <c r="B135" s="71">
        <f>IF(R135="","",130)</f>
        <v/>
      </c>
      <c r="C135" s="75">
        <f>IF(R135="","",IF(INDEX('Recurring Schedule'!$C$6:$C$45,R135)="","",INDEX('Recurring Schedule'!$C$6:$C$45,R135)))</f>
        <v/>
      </c>
      <c r="D135" s="73">
        <f>IF(R135="","",IF(INDEX('Recurring Schedule'!$D$6:$D$45,R135)="","",INDEX('Recurring Schedule'!$D$6:$D$45,R135)))</f>
        <v/>
      </c>
      <c r="E135" s="76">
        <f>IF(Q135="","",INDEX(Calc!$A$2:$A$367,Q135))</f>
        <v/>
      </c>
      <c r="F135" s="72">
        <f>IF(OR(C135="",E135=""),"",E135-Setup!$D$7)</f>
        <v/>
      </c>
      <c r="G135" s="77">
        <f>IF(R135="","",IF(INDEX('Recurring Schedule'!$H$6:$H$45,R135)="","",INDEX('Recurring Schedule'!$H$6:$H$45,R135)))</f>
        <v/>
      </c>
      <c r="H135" s="77">
        <f>IF(R135="","",IF(INDEX('Recurring Schedule'!$I$6:$I$45,R135)="","",INDEX('Recurring Schedule'!$I$6:$I$45,R135)))</f>
        <v/>
      </c>
      <c r="I135" s="73">
        <f>IF(OR(G135="",H135=""),"",TRIM(IF(HOUR(H135-G135)&gt;0,HOUR(H135-G135)&amp;" hr ","")&amp;IF(MINUTE(H135-G135)&gt;0,MINUTE(H135-G135)&amp;" min","")))</f>
        <v/>
      </c>
      <c r="J135" s="66" t="n"/>
      <c r="K135" s="70" t="n"/>
      <c r="L135" s="73">
        <f>IF(R135="","",IF(INDEX('Recurring Schedule'!$J$6:$J$45,R135)="","",INDEX('Recurring Schedule'!$J$6:$J$45,R135)))</f>
        <v/>
      </c>
      <c r="M135" s="73">
        <f>IF(R135="","",IF(INDEX('Recurring Schedule'!$K$6:$K$45,R135)="","",INDEX('Recurring Schedule'!$K$6:$K$45,R135)))</f>
        <v/>
      </c>
      <c r="N135" s="73">
        <f>IF(R135="","",IF(INDEX('Recurring Schedule'!$L$6:$L$45,R135)="","",INDEX('Recurring Schedule'!$L$6:$L$45,R135)))</f>
        <v/>
      </c>
      <c r="O135" s="73">
        <f>IF(C135="","",IF(AND(OR(L135="1-Urgent",L135="2-High"),M135="✓"),"DO FIRST",IF(M135="✓","SCHEDULE",IF(OR(L135="1-Urgent",L135="2-High"),"DELEGATE","DELETE"))))</f>
        <v/>
      </c>
      <c r="P135" s="65" t="n"/>
      <c r="Q135">
        <f>IF(130&gt;Calc!$AQ$368,"",MATCH(129,Calc!$AQ$2:$AQ$367,1))</f>
        <v/>
      </c>
      <c r="R135">
        <f>IF(Q135="","",SMALL(INDEX(Calc!$B$2:$AO$367,Q135,0),130-INDEX(Calc!$AQ$2:$AQ$367,Q135)))</f>
        <v/>
      </c>
    </row>
    <row r="136">
      <c r="B136" s="64">
        <f>IF(R136="","",131)</f>
        <v/>
      </c>
      <c r="C136" s="37">
        <f>IF(R136="","",IF(INDEX('Recurring Schedule'!$C$6:$C$45,R136)="","",INDEX('Recurring Schedule'!$C$6:$C$45,R136)))</f>
        <v/>
      </c>
      <c r="D136" s="36">
        <f>IF(R136="","",IF(INDEX('Recurring Schedule'!$D$6:$D$45,R136)="","",INDEX('Recurring Schedule'!$D$6:$D$45,R136)))</f>
        <v/>
      </c>
      <c r="E136" s="38">
        <f>IF(Q136="","",INDEX(Calc!$A$2:$A$367,Q136))</f>
        <v/>
      </c>
      <c r="F136" s="68">
        <f>IF(OR(C136="",E136=""),"",E136-Setup!$D$7)</f>
        <v/>
      </c>
      <c r="G136" s="74">
        <f>IF(R136="","",IF(INDEX('Recurring Schedule'!$H$6:$H$45,R136)="","",INDEX('Recurring Schedule'!$H$6:$H$45,R136)))</f>
        <v/>
      </c>
      <c r="H136" s="74">
        <f>IF(R136="","",IF(INDEX('Recurring Schedule'!$I$6:$I$45,R136)="","",INDEX('Recurring Schedule'!$I$6:$I$45,R136)))</f>
        <v/>
      </c>
      <c r="I136" s="36">
        <f>IF(OR(G136="",H136=""),"",TRIM(IF(HOUR(H136-G136)&gt;0,HOUR(H136-G136)&amp;" hr ","")&amp;IF(MINUTE(H136-G136)&gt;0,MINUTE(H136-G136)&amp;" min","")))</f>
        <v/>
      </c>
      <c r="J136" s="66" t="n"/>
      <c r="K136" s="70" t="n"/>
      <c r="L136" s="36">
        <f>IF(R136="","",IF(INDEX('Recurring Schedule'!$J$6:$J$45,R136)="","",INDEX('Recurring Schedule'!$J$6:$J$45,R136)))</f>
        <v/>
      </c>
      <c r="M136" s="36">
        <f>IF(R136="","",IF(INDEX('Recurring Schedule'!$K$6:$K$45,R136)="","",INDEX('Recurring Schedule'!$K$6:$K$45,R136)))</f>
        <v/>
      </c>
      <c r="N136" s="36">
        <f>IF(R136="","",IF(INDEX('Recurring Schedule'!$L$6:$L$45,R136)="","",INDEX('Recurring Schedule'!$L$6:$L$45,R136)))</f>
        <v/>
      </c>
      <c r="O136" s="36">
        <f>IF(C136="","",IF(AND(OR(L136="1-Urgent",L136="2-High"),M136="✓"),"DO FIRST",IF(M136="✓","SCHEDULE",IF(OR(L136="1-Urgent",L136="2-High"),"DELEGATE","DELETE"))))</f>
        <v/>
      </c>
      <c r="P136" s="65" t="n"/>
      <c r="Q136">
        <f>IF(131&gt;Calc!$AQ$368,"",MATCH(130,Calc!$AQ$2:$AQ$367,1))</f>
        <v/>
      </c>
      <c r="R136">
        <f>IF(Q136="","",SMALL(INDEX(Calc!$B$2:$AO$367,Q136,0),131-INDEX(Calc!$AQ$2:$AQ$367,Q136)))</f>
        <v/>
      </c>
    </row>
    <row r="137">
      <c r="B137" s="71">
        <f>IF(R137="","",132)</f>
        <v/>
      </c>
      <c r="C137" s="75">
        <f>IF(R137="","",IF(INDEX('Recurring Schedule'!$C$6:$C$45,R137)="","",INDEX('Recurring Schedule'!$C$6:$C$45,R137)))</f>
        <v/>
      </c>
      <c r="D137" s="73">
        <f>IF(R137="","",IF(INDEX('Recurring Schedule'!$D$6:$D$45,R137)="","",INDEX('Recurring Schedule'!$D$6:$D$45,R137)))</f>
        <v/>
      </c>
      <c r="E137" s="76">
        <f>IF(Q137="","",INDEX(Calc!$A$2:$A$367,Q137))</f>
        <v/>
      </c>
      <c r="F137" s="72">
        <f>IF(OR(C137="",E137=""),"",E137-Setup!$D$7)</f>
        <v/>
      </c>
      <c r="G137" s="77">
        <f>IF(R137="","",IF(INDEX('Recurring Schedule'!$H$6:$H$45,R137)="","",INDEX('Recurring Schedule'!$H$6:$H$45,R137)))</f>
        <v/>
      </c>
      <c r="H137" s="77">
        <f>IF(R137="","",IF(INDEX('Recurring Schedule'!$I$6:$I$45,R137)="","",INDEX('Recurring Schedule'!$I$6:$I$45,R137)))</f>
        <v/>
      </c>
      <c r="I137" s="73">
        <f>IF(OR(G137="",H137=""),"",TRIM(IF(HOUR(H137-G137)&gt;0,HOUR(H137-G137)&amp;" hr ","")&amp;IF(MINUTE(H137-G137)&gt;0,MINUTE(H137-G137)&amp;" min","")))</f>
        <v/>
      </c>
      <c r="J137" s="66" t="n"/>
      <c r="K137" s="70" t="n"/>
      <c r="L137" s="73">
        <f>IF(R137="","",IF(INDEX('Recurring Schedule'!$J$6:$J$45,R137)="","",INDEX('Recurring Schedule'!$J$6:$J$45,R137)))</f>
        <v/>
      </c>
      <c r="M137" s="73">
        <f>IF(R137="","",IF(INDEX('Recurring Schedule'!$K$6:$K$45,R137)="","",INDEX('Recurring Schedule'!$K$6:$K$45,R137)))</f>
        <v/>
      </c>
      <c r="N137" s="73">
        <f>IF(R137="","",IF(INDEX('Recurring Schedule'!$L$6:$L$45,R137)="","",INDEX('Recurring Schedule'!$L$6:$L$45,R137)))</f>
        <v/>
      </c>
      <c r="O137" s="73">
        <f>IF(C137="","",IF(AND(OR(L137="1-Urgent",L137="2-High"),M137="✓"),"DO FIRST",IF(M137="✓","SCHEDULE",IF(OR(L137="1-Urgent",L137="2-High"),"DELEGATE","DELETE"))))</f>
        <v/>
      </c>
      <c r="P137" s="65" t="n"/>
      <c r="Q137">
        <f>IF(132&gt;Calc!$AQ$368,"",MATCH(131,Calc!$AQ$2:$AQ$367,1))</f>
        <v/>
      </c>
      <c r="R137">
        <f>IF(Q137="","",SMALL(INDEX(Calc!$B$2:$AO$367,Q137,0),132-INDEX(Calc!$AQ$2:$AQ$367,Q137)))</f>
        <v/>
      </c>
    </row>
    <row r="138">
      <c r="B138" s="64">
        <f>IF(R138="","",133)</f>
        <v/>
      </c>
      <c r="C138" s="37">
        <f>IF(R138="","",IF(INDEX('Recurring Schedule'!$C$6:$C$45,R138)="","",INDEX('Recurring Schedule'!$C$6:$C$45,R138)))</f>
        <v/>
      </c>
      <c r="D138" s="36">
        <f>IF(R138="","",IF(INDEX('Recurring Schedule'!$D$6:$D$45,R138)="","",INDEX('Recurring Schedule'!$D$6:$D$45,R138)))</f>
        <v/>
      </c>
      <c r="E138" s="38">
        <f>IF(Q138="","",INDEX(Calc!$A$2:$A$367,Q138))</f>
        <v/>
      </c>
      <c r="F138" s="68">
        <f>IF(OR(C138="",E138=""),"",E138-Setup!$D$7)</f>
        <v/>
      </c>
      <c r="G138" s="74">
        <f>IF(R138="","",IF(INDEX('Recurring Schedule'!$H$6:$H$45,R138)="","",INDEX('Recurring Schedule'!$H$6:$H$45,R138)))</f>
        <v/>
      </c>
      <c r="H138" s="74">
        <f>IF(R138="","",IF(INDEX('Recurring Schedule'!$I$6:$I$45,R138)="","",INDEX('Recurring Schedule'!$I$6:$I$45,R138)))</f>
        <v/>
      </c>
      <c r="I138" s="36">
        <f>IF(OR(G138="",H138=""),"",TRIM(IF(HOUR(H138-G138)&gt;0,HOUR(H138-G138)&amp;" hr ","")&amp;IF(MINUTE(H138-G138)&gt;0,MINUTE(H138-G138)&amp;" min","")))</f>
        <v/>
      </c>
      <c r="J138" s="66" t="n"/>
      <c r="K138" s="70" t="n"/>
      <c r="L138" s="36">
        <f>IF(R138="","",IF(INDEX('Recurring Schedule'!$J$6:$J$45,R138)="","",INDEX('Recurring Schedule'!$J$6:$J$45,R138)))</f>
        <v/>
      </c>
      <c r="M138" s="36">
        <f>IF(R138="","",IF(INDEX('Recurring Schedule'!$K$6:$K$45,R138)="","",INDEX('Recurring Schedule'!$K$6:$K$45,R138)))</f>
        <v/>
      </c>
      <c r="N138" s="36">
        <f>IF(R138="","",IF(INDEX('Recurring Schedule'!$L$6:$L$45,R138)="","",INDEX('Recurring Schedule'!$L$6:$L$45,R138)))</f>
        <v/>
      </c>
      <c r="O138" s="36">
        <f>IF(C138="","",IF(AND(OR(L138="1-Urgent",L138="2-High"),M138="✓"),"DO FIRST",IF(M138="✓","SCHEDULE",IF(OR(L138="1-Urgent",L138="2-High"),"DELEGATE","DELETE"))))</f>
        <v/>
      </c>
      <c r="P138" s="65" t="n"/>
      <c r="Q138">
        <f>IF(133&gt;Calc!$AQ$368,"",MATCH(132,Calc!$AQ$2:$AQ$367,1))</f>
        <v/>
      </c>
      <c r="R138">
        <f>IF(Q138="","",SMALL(INDEX(Calc!$B$2:$AO$367,Q138,0),133-INDEX(Calc!$AQ$2:$AQ$367,Q138)))</f>
        <v/>
      </c>
    </row>
    <row r="139">
      <c r="B139" s="71">
        <f>IF(R139="","",134)</f>
        <v/>
      </c>
      <c r="C139" s="75">
        <f>IF(R139="","",IF(INDEX('Recurring Schedule'!$C$6:$C$45,R139)="","",INDEX('Recurring Schedule'!$C$6:$C$45,R139)))</f>
        <v/>
      </c>
      <c r="D139" s="73">
        <f>IF(R139="","",IF(INDEX('Recurring Schedule'!$D$6:$D$45,R139)="","",INDEX('Recurring Schedule'!$D$6:$D$45,R139)))</f>
        <v/>
      </c>
      <c r="E139" s="76">
        <f>IF(Q139="","",INDEX(Calc!$A$2:$A$367,Q139))</f>
        <v/>
      </c>
      <c r="F139" s="72">
        <f>IF(OR(C139="",E139=""),"",E139-Setup!$D$7)</f>
        <v/>
      </c>
      <c r="G139" s="77">
        <f>IF(R139="","",IF(INDEX('Recurring Schedule'!$H$6:$H$45,R139)="","",INDEX('Recurring Schedule'!$H$6:$H$45,R139)))</f>
        <v/>
      </c>
      <c r="H139" s="77">
        <f>IF(R139="","",IF(INDEX('Recurring Schedule'!$I$6:$I$45,R139)="","",INDEX('Recurring Schedule'!$I$6:$I$45,R139)))</f>
        <v/>
      </c>
      <c r="I139" s="73">
        <f>IF(OR(G139="",H139=""),"",TRIM(IF(HOUR(H139-G139)&gt;0,HOUR(H139-G139)&amp;" hr ","")&amp;IF(MINUTE(H139-G139)&gt;0,MINUTE(H139-G139)&amp;" min","")))</f>
        <v/>
      </c>
      <c r="J139" s="66" t="n"/>
      <c r="K139" s="70" t="n"/>
      <c r="L139" s="73">
        <f>IF(R139="","",IF(INDEX('Recurring Schedule'!$J$6:$J$45,R139)="","",INDEX('Recurring Schedule'!$J$6:$J$45,R139)))</f>
        <v/>
      </c>
      <c r="M139" s="73">
        <f>IF(R139="","",IF(INDEX('Recurring Schedule'!$K$6:$K$45,R139)="","",INDEX('Recurring Schedule'!$K$6:$K$45,R139)))</f>
        <v/>
      </c>
      <c r="N139" s="73">
        <f>IF(R139="","",IF(INDEX('Recurring Schedule'!$L$6:$L$45,R139)="","",INDEX('Recurring Schedule'!$L$6:$L$45,R139)))</f>
        <v/>
      </c>
      <c r="O139" s="73">
        <f>IF(C139="","",IF(AND(OR(L139="1-Urgent",L139="2-High"),M139="✓"),"DO FIRST",IF(M139="✓","SCHEDULE",IF(OR(L139="1-Urgent",L139="2-High"),"DELEGATE","DELETE"))))</f>
        <v/>
      </c>
      <c r="P139" s="65" t="n"/>
      <c r="Q139">
        <f>IF(134&gt;Calc!$AQ$368,"",MATCH(133,Calc!$AQ$2:$AQ$367,1))</f>
        <v/>
      </c>
      <c r="R139">
        <f>IF(Q139="","",SMALL(INDEX(Calc!$B$2:$AO$367,Q139,0),134-INDEX(Calc!$AQ$2:$AQ$367,Q139)))</f>
        <v/>
      </c>
    </row>
    <row r="140">
      <c r="B140" s="64">
        <f>IF(R140="","",135)</f>
        <v/>
      </c>
      <c r="C140" s="37">
        <f>IF(R140="","",IF(INDEX('Recurring Schedule'!$C$6:$C$45,R140)="","",INDEX('Recurring Schedule'!$C$6:$C$45,R140)))</f>
        <v/>
      </c>
      <c r="D140" s="36">
        <f>IF(R140="","",IF(INDEX('Recurring Schedule'!$D$6:$D$45,R140)="","",INDEX('Recurring Schedule'!$D$6:$D$45,R140)))</f>
        <v/>
      </c>
      <c r="E140" s="38">
        <f>IF(Q140="","",INDEX(Calc!$A$2:$A$367,Q140))</f>
        <v/>
      </c>
      <c r="F140" s="68">
        <f>IF(OR(C140="",E140=""),"",E140-Setup!$D$7)</f>
        <v/>
      </c>
      <c r="G140" s="74">
        <f>IF(R140="","",IF(INDEX('Recurring Schedule'!$H$6:$H$45,R140)="","",INDEX('Recurring Schedule'!$H$6:$H$45,R140)))</f>
        <v/>
      </c>
      <c r="H140" s="74">
        <f>IF(R140="","",IF(INDEX('Recurring Schedule'!$I$6:$I$45,R140)="","",INDEX('Recurring Schedule'!$I$6:$I$45,R140)))</f>
        <v/>
      </c>
      <c r="I140" s="36">
        <f>IF(OR(G140="",H140=""),"",TRIM(IF(HOUR(H140-G140)&gt;0,HOUR(H140-G140)&amp;" hr ","")&amp;IF(MINUTE(H140-G140)&gt;0,MINUTE(H140-G140)&amp;" min","")))</f>
        <v/>
      </c>
      <c r="J140" s="66" t="n"/>
      <c r="K140" s="70" t="n"/>
      <c r="L140" s="36">
        <f>IF(R140="","",IF(INDEX('Recurring Schedule'!$J$6:$J$45,R140)="","",INDEX('Recurring Schedule'!$J$6:$J$45,R140)))</f>
        <v/>
      </c>
      <c r="M140" s="36">
        <f>IF(R140="","",IF(INDEX('Recurring Schedule'!$K$6:$K$45,R140)="","",INDEX('Recurring Schedule'!$K$6:$K$45,R140)))</f>
        <v/>
      </c>
      <c r="N140" s="36">
        <f>IF(R140="","",IF(INDEX('Recurring Schedule'!$L$6:$L$45,R140)="","",INDEX('Recurring Schedule'!$L$6:$L$45,R140)))</f>
        <v/>
      </c>
      <c r="O140" s="36">
        <f>IF(C140="","",IF(AND(OR(L140="1-Urgent",L140="2-High"),M140="✓"),"DO FIRST",IF(M140="✓","SCHEDULE",IF(OR(L140="1-Urgent",L140="2-High"),"DELEGATE","DELETE"))))</f>
        <v/>
      </c>
      <c r="P140" s="65" t="n"/>
      <c r="Q140">
        <f>IF(135&gt;Calc!$AQ$368,"",MATCH(134,Calc!$AQ$2:$AQ$367,1))</f>
        <v/>
      </c>
      <c r="R140">
        <f>IF(Q140="","",SMALL(INDEX(Calc!$B$2:$AO$367,Q140,0),135-INDEX(Calc!$AQ$2:$AQ$367,Q140)))</f>
        <v/>
      </c>
    </row>
    <row r="141">
      <c r="B141" s="71">
        <f>IF(R141="","",136)</f>
        <v/>
      </c>
      <c r="C141" s="75">
        <f>IF(R141="","",IF(INDEX('Recurring Schedule'!$C$6:$C$45,R141)="","",INDEX('Recurring Schedule'!$C$6:$C$45,R141)))</f>
        <v/>
      </c>
      <c r="D141" s="73">
        <f>IF(R141="","",IF(INDEX('Recurring Schedule'!$D$6:$D$45,R141)="","",INDEX('Recurring Schedule'!$D$6:$D$45,R141)))</f>
        <v/>
      </c>
      <c r="E141" s="76">
        <f>IF(Q141="","",INDEX(Calc!$A$2:$A$367,Q141))</f>
        <v/>
      </c>
      <c r="F141" s="72">
        <f>IF(OR(C141="",E141=""),"",E141-Setup!$D$7)</f>
        <v/>
      </c>
      <c r="G141" s="77">
        <f>IF(R141="","",IF(INDEX('Recurring Schedule'!$H$6:$H$45,R141)="","",INDEX('Recurring Schedule'!$H$6:$H$45,R141)))</f>
        <v/>
      </c>
      <c r="H141" s="77">
        <f>IF(R141="","",IF(INDEX('Recurring Schedule'!$I$6:$I$45,R141)="","",INDEX('Recurring Schedule'!$I$6:$I$45,R141)))</f>
        <v/>
      </c>
      <c r="I141" s="73">
        <f>IF(OR(G141="",H141=""),"",TRIM(IF(HOUR(H141-G141)&gt;0,HOUR(H141-G141)&amp;" hr ","")&amp;IF(MINUTE(H141-G141)&gt;0,MINUTE(H141-G141)&amp;" min","")))</f>
        <v/>
      </c>
      <c r="J141" s="66" t="n"/>
      <c r="K141" s="70" t="n"/>
      <c r="L141" s="73">
        <f>IF(R141="","",IF(INDEX('Recurring Schedule'!$J$6:$J$45,R141)="","",INDEX('Recurring Schedule'!$J$6:$J$45,R141)))</f>
        <v/>
      </c>
      <c r="M141" s="73">
        <f>IF(R141="","",IF(INDEX('Recurring Schedule'!$K$6:$K$45,R141)="","",INDEX('Recurring Schedule'!$K$6:$K$45,R141)))</f>
        <v/>
      </c>
      <c r="N141" s="73">
        <f>IF(R141="","",IF(INDEX('Recurring Schedule'!$L$6:$L$45,R141)="","",INDEX('Recurring Schedule'!$L$6:$L$45,R141)))</f>
        <v/>
      </c>
      <c r="O141" s="73">
        <f>IF(C141="","",IF(AND(OR(L141="1-Urgent",L141="2-High"),M141="✓"),"DO FIRST",IF(M141="✓","SCHEDULE",IF(OR(L141="1-Urgent",L141="2-High"),"DELEGATE","DELETE"))))</f>
        <v/>
      </c>
      <c r="P141" s="65" t="n"/>
      <c r="Q141">
        <f>IF(136&gt;Calc!$AQ$368,"",MATCH(135,Calc!$AQ$2:$AQ$367,1))</f>
        <v/>
      </c>
      <c r="R141">
        <f>IF(Q141="","",SMALL(INDEX(Calc!$B$2:$AO$367,Q141,0),136-INDEX(Calc!$AQ$2:$AQ$367,Q141)))</f>
        <v/>
      </c>
    </row>
    <row r="142">
      <c r="B142" s="64">
        <f>IF(R142="","",137)</f>
        <v/>
      </c>
      <c r="C142" s="37">
        <f>IF(R142="","",IF(INDEX('Recurring Schedule'!$C$6:$C$45,R142)="","",INDEX('Recurring Schedule'!$C$6:$C$45,R142)))</f>
        <v/>
      </c>
      <c r="D142" s="36">
        <f>IF(R142="","",IF(INDEX('Recurring Schedule'!$D$6:$D$45,R142)="","",INDEX('Recurring Schedule'!$D$6:$D$45,R142)))</f>
        <v/>
      </c>
      <c r="E142" s="38">
        <f>IF(Q142="","",INDEX(Calc!$A$2:$A$367,Q142))</f>
        <v/>
      </c>
      <c r="F142" s="68">
        <f>IF(OR(C142="",E142=""),"",E142-Setup!$D$7)</f>
        <v/>
      </c>
      <c r="G142" s="74">
        <f>IF(R142="","",IF(INDEX('Recurring Schedule'!$H$6:$H$45,R142)="","",INDEX('Recurring Schedule'!$H$6:$H$45,R142)))</f>
        <v/>
      </c>
      <c r="H142" s="74">
        <f>IF(R142="","",IF(INDEX('Recurring Schedule'!$I$6:$I$45,R142)="","",INDEX('Recurring Schedule'!$I$6:$I$45,R142)))</f>
        <v/>
      </c>
      <c r="I142" s="36">
        <f>IF(OR(G142="",H142=""),"",TRIM(IF(HOUR(H142-G142)&gt;0,HOUR(H142-G142)&amp;" hr ","")&amp;IF(MINUTE(H142-G142)&gt;0,MINUTE(H142-G142)&amp;" min","")))</f>
        <v/>
      </c>
      <c r="J142" s="66" t="n"/>
      <c r="K142" s="70" t="n"/>
      <c r="L142" s="36">
        <f>IF(R142="","",IF(INDEX('Recurring Schedule'!$J$6:$J$45,R142)="","",INDEX('Recurring Schedule'!$J$6:$J$45,R142)))</f>
        <v/>
      </c>
      <c r="M142" s="36">
        <f>IF(R142="","",IF(INDEX('Recurring Schedule'!$K$6:$K$45,R142)="","",INDEX('Recurring Schedule'!$K$6:$K$45,R142)))</f>
        <v/>
      </c>
      <c r="N142" s="36">
        <f>IF(R142="","",IF(INDEX('Recurring Schedule'!$L$6:$L$45,R142)="","",INDEX('Recurring Schedule'!$L$6:$L$45,R142)))</f>
        <v/>
      </c>
      <c r="O142" s="36">
        <f>IF(C142="","",IF(AND(OR(L142="1-Urgent",L142="2-High"),M142="✓"),"DO FIRST",IF(M142="✓","SCHEDULE",IF(OR(L142="1-Urgent",L142="2-High"),"DELEGATE","DELETE"))))</f>
        <v/>
      </c>
      <c r="P142" s="65" t="n"/>
      <c r="Q142">
        <f>IF(137&gt;Calc!$AQ$368,"",MATCH(136,Calc!$AQ$2:$AQ$367,1))</f>
        <v/>
      </c>
      <c r="R142">
        <f>IF(Q142="","",SMALL(INDEX(Calc!$B$2:$AO$367,Q142,0),137-INDEX(Calc!$AQ$2:$AQ$367,Q142)))</f>
        <v/>
      </c>
    </row>
    <row r="143">
      <c r="B143" s="71">
        <f>IF(R143="","",138)</f>
        <v/>
      </c>
      <c r="C143" s="75">
        <f>IF(R143="","",IF(INDEX('Recurring Schedule'!$C$6:$C$45,R143)="","",INDEX('Recurring Schedule'!$C$6:$C$45,R143)))</f>
        <v/>
      </c>
      <c r="D143" s="73">
        <f>IF(R143="","",IF(INDEX('Recurring Schedule'!$D$6:$D$45,R143)="","",INDEX('Recurring Schedule'!$D$6:$D$45,R143)))</f>
        <v/>
      </c>
      <c r="E143" s="76">
        <f>IF(Q143="","",INDEX(Calc!$A$2:$A$367,Q143))</f>
        <v/>
      </c>
      <c r="F143" s="72">
        <f>IF(OR(C143="",E143=""),"",E143-Setup!$D$7)</f>
        <v/>
      </c>
      <c r="G143" s="77">
        <f>IF(R143="","",IF(INDEX('Recurring Schedule'!$H$6:$H$45,R143)="","",INDEX('Recurring Schedule'!$H$6:$H$45,R143)))</f>
        <v/>
      </c>
      <c r="H143" s="77">
        <f>IF(R143="","",IF(INDEX('Recurring Schedule'!$I$6:$I$45,R143)="","",INDEX('Recurring Schedule'!$I$6:$I$45,R143)))</f>
        <v/>
      </c>
      <c r="I143" s="73">
        <f>IF(OR(G143="",H143=""),"",TRIM(IF(HOUR(H143-G143)&gt;0,HOUR(H143-G143)&amp;" hr ","")&amp;IF(MINUTE(H143-G143)&gt;0,MINUTE(H143-G143)&amp;" min","")))</f>
        <v/>
      </c>
      <c r="J143" s="66" t="n"/>
      <c r="K143" s="70" t="n"/>
      <c r="L143" s="73">
        <f>IF(R143="","",IF(INDEX('Recurring Schedule'!$J$6:$J$45,R143)="","",INDEX('Recurring Schedule'!$J$6:$J$45,R143)))</f>
        <v/>
      </c>
      <c r="M143" s="73">
        <f>IF(R143="","",IF(INDEX('Recurring Schedule'!$K$6:$K$45,R143)="","",INDEX('Recurring Schedule'!$K$6:$K$45,R143)))</f>
        <v/>
      </c>
      <c r="N143" s="73">
        <f>IF(R143="","",IF(INDEX('Recurring Schedule'!$L$6:$L$45,R143)="","",INDEX('Recurring Schedule'!$L$6:$L$45,R143)))</f>
        <v/>
      </c>
      <c r="O143" s="73">
        <f>IF(C143="","",IF(AND(OR(L143="1-Urgent",L143="2-High"),M143="✓"),"DO FIRST",IF(M143="✓","SCHEDULE",IF(OR(L143="1-Urgent",L143="2-High"),"DELEGATE","DELETE"))))</f>
        <v/>
      </c>
      <c r="P143" s="65" t="n"/>
      <c r="Q143">
        <f>IF(138&gt;Calc!$AQ$368,"",MATCH(137,Calc!$AQ$2:$AQ$367,1))</f>
        <v/>
      </c>
      <c r="R143">
        <f>IF(Q143="","",SMALL(INDEX(Calc!$B$2:$AO$367,Q143,0),138-INDEX(Calc!$AQ$2:$AQ$367,Q143)))</f>
        <v/>
      </c>
    </row>
    <row r="144">
      <c r="B144" s="64">
        <f>IF(R144="","",139)</f>
        <v/>
      </c>
      <c r="C144" s="37">
        <f>IF(R144="","",IF(INDEX('Recurring Schedule'!$C$6:$C$45,R144)="","",INDEX('Recurring Schedule'!$C$6:$C$45,R144)))</f>
        <v/>
      </c>
      <c r="D144" s="36">
        <f>IF(R144="","",IF(INDEX('Recurring Schedule'!$D$6:$D$45,R144)="","",INDEX('Recurring Schedule'!$D$6:$D$45,R144)))</f>
        <v/>
      </c>
      <c r="E144" s="38">
        <f>IF(Q144="","",INDEX(Calc!$A$2:$A$367,Q144))</f>
        <v/>
      </c>
      <c r="F144" s="68">
        <f>IF(OR(C144="",E144=""),"",E144-Setup!$D$7)</f>
        <v/>
      </c>
      <c r="G144" s="74">
        <f>IF(R144="","",IF(INDEX('Recurring Schedule'!$H$6:$H$45,R144)="","",INDEX('Recurring Schedule'!$H$6:$H$45,R144)))</f>
        <v/>
      </c>
      <c r="H144" s="74">
        <f>IF(R144="","",IF(INDEX('Recurring Schedule'!$I$6:$I$45,R144)="","",INDEX('Recurring Schedule'!$I$6:$I$45,R144)))</f>
        <v/>
      </c>
      <c r="I144" s="36">
        <f>IF(OR(G144="",H144=""),"",TRIM(IF(HOUR(H144-G144)&gt;0,HOUR(H144-G144)&amp;" hr ","")&amp;IF(MINUTE(H144-G144)&gt;0,MINUTE(H144-G144)&amp;" min","")))</f>
        <v/>
      </c>
      <c r="J144" s="66" t="n"/>
      <c r="K144" s="70" t="n"/>
      <c r="L144" s="36">
        <f>IF(R144="","",IF(INDEX('Recurring Schedule'!$J$6:$J$45,R144)="","",INDEX('Recurring Schedule'!$J$6:$J$45,R144)))</f>
        <v/>
      </c>
      <c r="M144" s="36">
        <f>IF(R144="","",IF(INDEX('Recurring Schedule'!$K$6:$K$45,R144)="","",INDEX('Recurring Schedule'!$K$6:$K$45,R144)))</f>
        <v/>
      </c>
      <c r="N144" s="36">
        <f>IF(R144="","",IF(INDEX('Recurring Schedule'!$L$6:$L$45,R144)="","",INDEX('Recurring Schedule'!$L$6:$L$45,R144)))</f>
        <v/>
      </c>
      <c r="O144" s="36">
        <f>IF(C144="","",IF(AND(OR(L144="1-Urgent",L144="2-High"),M144="✓"),"DO FIRST",IF(M144="✓","SCHEDULE",IF(OR(L144="1-Urgent",L144="2-High"),"DELEGATE","DELETE"))))</f>
        <v/>
      </c>
      <c r="P144" s="65" t="n"/>
      <c r="Q144">
        <f>IF(139&gt;Calc!$AQ$368,"",MATCH(138,Calc!$AQ$2:$AQ$367,1))</f>
        <v/>
      </c>
      <c r="R144">
        <f>IF(Q144="","",SMALL(INDEX(Calc!$B$2:$AO$367,Q144,0),139-INDEX(Calc!$AQ$2:$AQ$367,Q144)))</f>
        <v/>
      </c>
    </row>
    <row r="145">
      <c r="B145" s="71">
        <f>IF(R145="","",140)</f>
        <v/>
      </c>
      <c r="C145" s="75">
        <f>IF(R145="","",IF(INDEX('Recurring Schedule'!$C$6:$C$45,R145)="","",INDEX('Recurring Schedule'!$C$6:$C$45,R145)))</f>
        <v/>
      </c>
      <c r="D145" s="73">
        <f>IF(R145="","",IF(INDEX('Recurring Schedule'!$D$6:$D$45,R145)="","",INDEX('Recurring Schedule'!$D$6:$D$45,R145)))</f>
        <v/>
      </c>
      <c r="E145" s="76">
        <f>IF(Q145="","",INDEX(Calc!$A$2:$A$367,Q145))</f>
        <v/>
      </c>
      <c r="F145" s="72">
        <f>IF(OR(C145="",E145=""),"",E145-Setup!$D$7)</f>
        <v/>
      </c>
      <c r="G145" s="77">
        <f>IF(R145="","",IF(INDEX('Recurring Schedule'!$H$6:$H$45,R145)="","",INDEX('Recurring Schedule'!$H$6:$H$45,R145)))</f>
        <v/>
      </c>
      <c r="H145" s="77">
        <f>IF(R145="","",IF(INDEX('Recurring Schedule'!$I$6:$I$45,R145)="","",INDEX('Recurring Schedule'!$I$6:$I$45,R145)))</f>
        <v/>
      </c>
      <c r="I145" s="73">
        <f>IF(OR(G145="",H145=""),"",TRIM(IF(HOUR(H145-G145)&gt;0,HOUR(H145-G145)&amp;" hr ","")&amp;IF(MINUTE(H145-G145)&gt;0,MINUTE(H145-G145)&amp;" min","")))</f>
        <v/>
      </c>
      <c r="J145" s="66" t="n"/>
      <c r="K145" s="70" t="n"/>
      <c r="L145" s="73">
        <f>IF(R145="","",IF(INDEX('Recurring Schedule'!$J$6:$J$45,R145)="","",INDEX('Recurring Schedule'!$J$6:$J$45,R145)))</f>
        <v/>
      </c>
      <c r="M145" s="73">
        <f>IF(R145="","",IF(INDEX('Recurring Schedule'!$K$6:$K$45,R145)="","",INDEX('Recurring Schedule'!$K$6:$K$45,R145)))</f>
        <v/>
      </c>
      <c r="N145" s="73">
        <f>IF(R145="","",IF(INDEX('Recurring Schedule'!$L$6:$L$45,R145)="","",INDEX('Recurring Schedule'!$L$6:$L$45,R145)))</f>
        <v/>
      </c>
      <c r="O145" s="73">
        <f>IF(C145="","",IF(AND(OR(L145="1-Urgent",L145="2-High"),M145="✓"),"DO FIRST",IF(M145="✓","SCHEDULE",IF(OR(L145="1-Urgent",L145="2-High"),"DELEGATE","DELETE"))))</f>
        <v/>
      </c>
      <c r="P145" s="65" t="n"/>
      <c r="Q145">
        <f>IF(140&gt;Calc!$AQ$368,"",MATCH(139,Calc!$AQ$2:$AQ$367,1))</f>
        <v/>
      </c>
      <c r="R145">
        <f>IF(Q145="","",SMALL(INDEX(Calc!$B$2:$AO$367,Q145,0),140-INDEX(Calc!$AQ$2:$AQ$367,Q145)))</f>
        <v/>
      </c>
    </row>
    <row r="146">
      <c r="B146" s="64">
        <f>IF(R146="","",141)</f>
        <v/>
      </c>
      <c r="C146" s="37">
        <f>IF(R146="","",IF(INDEX('Recurring Schedule'!$C$6:$C$45,R146)="","",INDEX('Recurring Schedule'!$C$6:$C$45,R146)))</f>
        <v/>
      </c>
      <c r="D146" s="36">
        <f>IF(R146="","",IF(INDEX('Recurring Schedule'!$D$6:$D$45,R146)="","",INDEX('Recurring Schedule'!$D$6:$D$45,R146)))</f>
        <v/>
      </c>
      <c r="E146" s="38">
        <f>IF(Q146="","",INDEX(Calc!$A$2:$A$367,Q146))</f>
        <v/>
      </c>
      <c r="F146" s="68">
        <f>IF(OR(C146="",E146=""),"",E146-Setup!$D$7)</f>
        <v/>
      </c>
      <c r="G146" s="74">
        <f>IF(R146="","",IF(INDEX('Recurring Schedule'!$H$6:$H$45,R146)="","",INDEX('Recurring Schedule'!$H$6:$H$45,R146)))</f>
        <v/>
      </c>
      <c r="H146" s="74">
        <f>IF(R146="","",IF(INDEX('Recurring Schedule'!$I$6:$I$45,R146)="","",INDEX('Recurring Schedule'!$I$6:$I$45,R146)))</f>
        <v/>
      </c>
      <c r="I146" s="36">
        <f>IF(OR(G146="",H146=""),"",TRIM(IF(HOUR(H146-G146)&gt;0,HOUR(H146-G146)&amp;" hr ","")&amp;IF(MINUTE(H146-G146)&gt;0,MINUTE(H146-G146)&amp;" min","")))</f>
        <v/>
      </c>
      <c r="J146" s="66" t="n"/>
      <c r="K146" s="70" t="n"/>
      <c r="L146" s="36">
        <f>IF(R146="","",IF(INDEX('Recurring Schedule'!$J$6:$J$45,R146)="","",INDEX('Recurring Schedule'!$J$6:$J$45,R146)))</f>
        <v/>
      </c>
      <c r="M146" s="36">
        <f>IF(R146="","",IF(INDEX('Recurring Schedule'!$K$6:$K$45,R146)="","",INDEX('Recurring Schedule'!$K$6:$K$45,R146)))</f>
        <v/>
      </c>
      <c r="N146" s="36">
        <f>IF(R146="","",IF(INDEX('Recurring Schedule'!$L$6:$L$45,R146)="","",INDEX('Recurring Schedule'!$L$6:$L$45,R146)))</f>
        <v/>
      </c>
      <c r="O146" s="36">
        <f>IF(C146="","",IF(AND(OR(L146="1-Urgent",L146="2-High"),M146="✓"),"DO FIRST",IF(M146="✓","SCHEDULE",IF(OR(L146="1-Urgent",L146="2-High"),"DELEGATE","DELETE"))))</f>
        <v/>
      </c>
      <c r="P146" s="65" t="n"/>
      <c r="Q146">
        <f>IF(141&gt;Calc!$AQ$368,"",MATCH(140,Calc!$AQ$2:$AQ$367,1))</f>
        <v/>
      </c>
      <c r="R146">
        <f>IF(Q146="","",SMALL(INDEX(Calc!$B$2:$AO$367,Q146,0),141-INDEX(Calc!$AQ$2:$AQ$367,Q146)))</f>
        <v/>
      </c>
    </row>
    <row r="147">
      <c r="B147" s="71">
        <f>IF(R147="","",142)</f>
        <v/>
      </c>
      <c r="C147" s="75">
        <f>IF(R147="","",IF(INDEX('Recurring Schedule'!$C$6:$C$45,R147)="","",INDEX('Recurring Schedule'!$C$6:$C$45,R147)))</f>
        <v/>
      </c>
      <c r="D147" s="73">
        <f>IF(R147="","",IF(INDEX('Recurring Schedule'!$D$6:$D$45,R147)="","",INDEX('Recurring Schedule'!$D$6:$D$45,R147)))</f>
        <v/>
      </c>
      <c r="E147" s="76">
        <f>IF(Q147="","",INDEX(Calc!$A$2:$A$367,Q147))</f>
        <v/>
      </c>
      <c r="F147" s="72">
        <f>IF(OR(C147="",E147=""),"",E147-Setup!$D$7)</f>
        <v/>
      </c>
      <c r="G147" s="77">
        <f>IF(R147="","",IF(INDEX('Recurring Schedule'!$H$6:$H$45,R147)="","",INDEX('Recurring Schedule'!$H$6:$H$45,R147)))</f>
        <v/>
      </c>
      <c r="H147" s="77">
        <f>IF(R147="","",IF(INDEX('Recurring Schedule'!$I$6:$I$45,R147)="","",INDEX('Recurring Schedule'!$I$6:$I$45,R147)))</f>
        <v/>
      </c>
      <c r="I147" s="73">
        <f>IF(OR(G147="",H147=""),"",TRIM(IF(HOUR(H147-G147)&gt;0,HOUR(H147-G147)&amp;" hr ","")&amp;IF(MINUTE(H147-G147)&gt;0,MINUTE(H147-G147)&amp;" min","")))</f>
        <v/>
      </c>
      <c r="J147" s="66" t="n"/>
      <c r="K147" s="70" t="n"/>
      <c r="L147" s="73">
        <f>IF(R147="","",IF(INDEX('Recurring Schedule'!$J$6:$J$45,R147)="","",INDEX('Recurring Schedule'!$J$6:$J$45,R147)))</f>
        <v/>
      </c>
      <c r="M147" s="73">
        <f>IF(R147="","",IF(INDEX('Recurring Schedule'!$K$6:$K$45,R147)="","",INDEX('Recurring Schedule'!$K$6:$K$45,R147)))</f>
        <v/>
      </c>
      <c r="N147" s="73">
        <f>IF(R147="","",IF(INDEX('Recurring Schedule'!$L$6:$L$45,R147)="","",INDEX('Recurring Schedule'!$L$6:$L$45,R147)))</f>
        <v/>
      </c>
      <c r="O147" s="73">
        <f>IF(C147="","",IF(AND(OR(L147="1-Urgent",L147="2-High"),M147="✓"),"DO FIRST",IF(M147="✓","SCHEDULE",IF(OR(L147="1-Urgent",L147="2-High"),"DELEGATE","DELETE"))))</f>
        <v/>
      </c>
      <c r="P147" s="65" t="n"/>
      <c r="Q147">
        <f>IF(142&gt;Calc!$AQ$368,"",MATCH(141,Calc!$AQ$2:$AQ$367,1))</f>
        <v/>
      </c>
      <c r="R147">
        <f>IF(Q147="","",SMALL(INDEX(Calc!$B$2:$AO$367,Q147,0),142-INDEX(Calc!$AQ$2:$AQ$367,Q147)))</f>
        <v/>
      </c>
    </row>
    <row r="148">
      <c r="B148" s="64">
        <f>IF(R148="","",143)</f>
        <v/>
      </c>
      <c r="C148" s="37">
        <f>IF(R148="","",IF(INDEX('Recurring Schedule'!$C$6:$C$45,R148)="","",INDEX('Recurring Schedule'!$C$6:$C$45,R148)))</f>
        <v/>
      </c>
      <c r="D148" s="36">
        <f>IF(R148="","",IF(INDEX('Recurring Schedule'!$D$6:$D$45,R148)="","",INDEX('Recurring Schedule'!$D$6:$D$45,R148)))</f>
        <v/>
      </c>
      <c r="E148" s="38">
        <f>IF(Q148="","",INDEX(Calc!$A$2:$A$367,Q148))</f>
        <v/>
      </c>
      <c r="F148" s="68">
        <f>IF(OR(C148="",E148=""),"",E148-Setup!$D$7)</f>
        <v/>
      </c>
      <c r="G148" s="74">
        <f>IF(R148="","",IF(INDEX('Recurring Schedule'!$H$6:$H$45,R148)="","",INDEX('Recurring Schedule'!$H$6:$H$45,R148)))</f>
        <v/>
      </c>
      <c r="H148" s="74">
        <f>IF(R148="","",IF(INDEX('Recurring Schedule'!$I$6:$I$45,R148)="","",INDEX('Recurring Schedule'!$I$6:$I$45,R148)))</f>
        <v/>
      </c>
      <c r="I148" s="36">
        <f>IF(OR(G148="",H148=""),"",TRIM(IF(HOUR(H148-G148)&gt;0,HOUR(H148-G148)&amp;" hr ","")&amp;IF(MINUTE(H148-G148)&gt;0,MINUTE(H148-G148)&amp;" min","")))</f>
        <v/>
      </c>
      <c r="J148" s="66" t="n"/>
      <c r="K148" s="70" t="n"/>
      <c r="L148" s="36">
        <f>IF(R148="","",IF(INDEX('Recurring Schedule'!$J$6:$J$45,R148)="","",INDEX('Recurring Schedule'!$J$6:$J$45,R148)))</f>
        <v/>
      </c>
      <c r="M148" s="36">
        <f>IF(R148="","",IF(INDEX('Recurring Schedule'!$K$6:$K$45,R148)="","",INDEX('Recurring Schedule'!$K$6:$K$45,R148)))</f>
        <v/>
      </c>
      <c r="N148" s="36">
        <f>IF(R148="","",IF(INDEX('Recurring Schedule'!$L$6:$L$45,R148)="","",INDEX('Recurring Schedule'!$L$6:$L$45,R148)))</f>
        <v/>
      </c>
      <c r="O148" s="36">
        <f>IF(C148="","",IF(AND(OR(L148="1-Urgent",L148="2-High"),M148="✓"),"DO FIRST",IF(M148="✓","SCHEDULE",IF(OR(L148="1-Urgent",L148="2-High"),"DELEGATE","DELETE"))))</f>
        <v/>
      </c>
      <c r="P148" s="65" t="n"/>
      <c r="Q148">
        <f>IF(143&gt;Calc!$AQ$368,"",MATCH(142,Calc!$AQ$2:$AQ$367,1))</f>
        <v/>
      </c>
      <c r="R148">
        <f>IF(Q148="","",SMALL(INDEX(Calc!$B$2:$AO$367,Q148,0),143-INDEX(Calc!$AQ$2:$AQ$367,Q148)))</f>
        <v/>
      </c>
    </row>
    <row r="149">
      <c r="B149" s="71">
        <f>IF(R149="","",144)</f>
        <v/>
      </c>
      <c r="C149" s="75">
        <f>IF(R149="","",IF(INDEX('Recurring Schedule'!$C$6:$C$45,R149)="","",INDEX('Recurring Schedule'!$C$6:$C$45,R149)))</f>
        <v/>
      </c>
      <c r="D149" s="73">
        <f>IF(R149="","",IF(INDEX('Recurring Schedule'!$D$6:$D$45,R149)="","",INDEX('Recurring Schedule'!$D$6:$D$45,R149)))</f>
        <v/>
      </c>
      <c r="E149" s="76">
        <f>IF(Q149="","",INDEX(Calc!$A$2:$A$367,Q149))</f>
        <v/>
      </c>
      <c r="F149" s="72">
        <f>IF(OR(C149="",E149=""),"",E149-Setup!$D$7)</f>
        <v/>
      </c>
      <c r="G149" s="77">
        <f>IF(R149="","",IF(INDEX('Recurring Schedule'!$H$6:$H$45,R149)="","",INDEX('Recurring Schedule'!$H$6:$H$45,R149)))</f>
        <v/>
      </c>
      <c r="H149" s="77">
        <f>IF(R149="","",IF(INDEX('Recurring Schedule'!$I$6:$I$45,R149)="","",INDEX('Recurring Schedule'!$I$6:$I$45,R149)))</f>
        <v/>
      </c>
      <c r="I149" s="73">
        <f>IF(OR(G149="",H149=""),"",TRIM(IF(HOUR(H149-G149)&gt;0,HOUR(H149-G149)&amp;" hr ","")&amp;IF(MINUTE(H149-G149)&gt;0,MINUTE(H149-G149)&amp;" min","")))</f>
        <v/>
      </c>
      <c r="J149" s="66" t="n"/>
      <c r="K149" s="70" t="n"/>
      <c r="L149" s="73">
        <f>IF(R149="","",IF(INDEX('Recurring Schedule'!$J$6:$J$45,R149)="","",INDEX('Recurring Schedule'!$J$6:$J$45,R149)))</f>
        <v/>
      </c>
      <c r="M149" s="73">
        <f>IF(R149="","",IF(INDEX('Recurring Schedule'!$K$6:$K$45,R149)="","",INDEX('Recurring Schedule'!$K$6:$K$45,R149)))</f>
        <v/>
      </c>
      <c r="N149" s="73">
        <f>IF(R149="","",IF(INDEX('Recurring Schedule'!$L$6:$L$45,R149)="","",INDEX('Recurring Schedule'!$L$6:$L$45,R149)))</f>
        <v/>
      </c>
      <c r="O149" s="73">
        <f>IF(C149="","",IF(AND(OR(L149="1-Urgent",L149="2-High"),M149="✓"),"DO FIRST",IF(M149="✓","SCHEDULE",IF(OR(L149="1-Urgent",L149="2-High"),"DELEGATE","DELETE"))))</f>
        <v/>
      </c>
      <c r="P149" s="65" t="n"/>
      <c r="Q149">
        <f>IF(144&gt;Calc!$AQ$368,"",MATCH(143,Calc!$AQ$2:$AQ$367,1))</f>
        <v/>
      </c>
      <c r="R149">
        <f>IF(Q149="","",SMALL(INDEX(Calc!$B$2:$AO$367,Q149,0),144-INDEX(Calc!$AQ$2:$AQ$367,Q149)))</f>
        <v/>
      </c>
    </row>
    <row r="150">
      <c r="B150" s="64">
        <f>IF(R150="","",145)</f>
        <v/>
      </c>
      <c r="C150" s="37">
        <f>IF(R150="","",IF(INDEX('Recurring Schedule'!$C$6:$C$45,R150)="","",INDEX('Recurring Schedule'!$C$6:$C$45,R150)))</f>
        <v/>
      </c>
      <c r="D150" s="36">
        <f>IF(R150="","",IF(INDEX('Recurring Schedule'!$D$6:$D$45,R150)="","",INDEX('Recurring Schedule'!$D$6:$D$45,R150)))</f>
        <v/>
      </c>
      <c r="E150" s="38">
        <f>IF(Q150="","",INDEX(Calc!$A$2:$A$367,Q150))</f>
        <v/>
      </c>
      <c r="F150" s="68">
        <f>IF(OR(C150="",E150=""),"",E150-Setup!$D$7)</f>
        <v/>
      </c>
      <c r="G150" s="74">
        <f>IF(R150="","",IF(INDEX('Recurring Schedule'!$H$6:$H$45,R150)="","",INDEX('Recurring Schedule'!$H$6:$H$45,R150)))</f>
        <v/>
      </c>
      <c r="H150" s="74">
        <f>IF(R150="","",IF(INDEX('Recurring Schedule'!$I$6:$I$45,R150)="","",INDEX('Recurring Schedule'!$I$6:$I$45,R150)))</f>
        <v/>
      </c>
      <c r="I150" s="36">
        <f>IF(OR(G150="",H150=""),"",TRIM(IF(HOUR(H150-G150)&gt;0,HOUR(H150-G150)&amp;" hr ","")&amp;IF(MINUTE(H150-G150)&gt;0,MINUTE(H150-G150)&amp;" min","")))</f>
        <v/>
      </c>
      <c r="J150" s="66" t="n"/>
      <c r="K150" s="70" t="n"/>
      <c r="L150" s="36">
        <f>IF(R150="","",IF(INDEX('Recurring Schedule'!$J$6:$J$45,R150)="","",INDEX('Recurring Schedule'!$J$6:$J$45,R150)))</f>
        <v/>
      </c>
      <c r="M150" s="36">
        <f>IF(R150="","",IF(INDEX('Recurring Schedule'!$K$6:$K$45,R150)="","",INDEX('Recurring Schedule'!$K$6:$K$45,R150)))</f>
        <v/>
      </c>
      <c r="N150" s="36">
        <f>IF(R150="","",IF(INDEX('Recurring Schedule'!$L$6:$L$45,R150)="","",INDEX('Recurring Schedule'!$L$6:$L$45,R150)))</f>
        <v/>
      </c>
      <c r="O150" s="36">
        <f>IF(C150="","",IF(AND(OR(L150="1-Urgent",L150="2-High"),M150="✓"),"DO FIRST",IF(M150="✓","SCHEDULE",IF(OR(L150="1-Urgent",L150="2-High"),"DELEGATE","DELETE"))))</f>
        <v/>
      </c>
      <c r="P150" s="65" t="n"/>
      <c r="Q150">
        <f>IF(145&gt;Calc!$AQ$368,"",MATCH(144,Calc!$AQ$2:$AQ$367,1))</f>
        <v/>
      </c>
      <c r="R150">
        <f>IF(Q150="","",SMALL(INDEX(Calc!$B$2:$AO$367,Q150,0),145-INDEX(Calc!$AQ$2:$AQ$367,Q150)))</f>
        <v/>
      </c>
    </row>
    <row r="151">
      <c r="B151" s="71">
        <f>IF(R151="","",146)</f>
        <v/>
      </c>
      <c r="C151" s="75">
        <f>IF(R151="","",IF(INDEX('Recurring Schedule'!$C$6:$C$45,R151)="","",INDEX('Recurring Schedule'!$C$6:$C$45,R151)))</f>
        <v/>
      </c>
      <c r="D151" s="73">
        <f>IF(R151="","",IF(INDEX('Recurring Schedule'!$D$6:$D$45,R151)="","",INDEX('Recurring Schedule'!$D$6:$D$45,R151)))</f>
        <v/>
      </c>
      <c r="E151" s="76">
        <f>IF(Q151="","",INDEX(Calc!$A$2:$A$367,Q151))</f>
        <v/>
      </c>
      <c r="F151" s="72">
        <f>IF(OR(C151="",E151=""),"",E151-Setup!$D$7)</f>
        <v/>
      </c>
      <c r="G151" s="77">
        <f>IF(R151="","",IF(INDEX('Recurring Schedule'!$H$6:$H$45,R151)="","",INDEX('Recurring Schedule'!$H$6:$H$45,R151)))</f>
        <v/>
      </c>
      <c r="H151" s="77">
        <f>IF(R151="","",IF(INDEX('Recurring Schedule'!$I$6:$I$45,R151)="","",INDEX('Recurring Schedule'!$I$6:$I$45,R151)))</f>
        <v/>
      </c>
      <c r="I151" s="73">
        <f>IF(OR(G151="",H151=""),"",TRIM(IF(HOUR(H151-G151)&gt;0,HOUR(H151-G151)&amp;" hr ","")&amp;IF(MINUTE(H151-G151)&gt;0,MINUTE(H151-G151)&amp;" min","")))</f>
        <v/>
      </c>
      <c r="J151" s="66" t="n"/>
      <c r="K151" s="70" t="n"/>
      <c r="L151" s="73">
        <f>IF(R151="","",IF(INDEX('Recurring Schedule'!$J$6:$J$45,R151)="","",INDEX('Recurring Schedule'!$J$6:$J$45,R151)))</f>
        <v/>
      </c>
      <c r="M151" s="73">
        <f>IF(R151="","",IF(INDEX('Recurring Schedule'!$K$6:$K$45,R151)="","",INDEX('Recurring Schedule'!$K$6:$K$45,R151)))</f>
        <v/>
      </c>
      <c r="N151" s="73">
        <f>IF(R151="","",IF(INDEX('Recurring Schedule'!$L$6:$L$45,R151)="","",INDEX('Recurring Schedule'!$L$6:$L$45,R151)))</f>
        <v/>
      </c>
      <c r="O151" s="73">
        <f>IF(C151="","",IF(AND(OR(L151="1-Urgent",L151="2-High"),M151="✓"),"DO FIRST",IF(M151="✓","SCHEDULE",IF(OR(L151="1-Urgent",L151="2-High"),"DELEGATE","DELETE"))))</f>
        <v/>
      </c>
      <c r="P151" s="65" t="n"/>
      <c r="Q151">
        <f>IF(146&gt;Calc!$AQ$368,"",MATCH(145,Calc!$AQ$2:$AQ$367,1))</f>
        <v/>
      </c>
      <c r="R151">
        <f>IF(Q151="","",SMALL(INDEX(Calc!$B$2:$AO$367,Q151,0),146-INDEX(Calc!$AQ$2:$AQ$367,Q151)))</f>
        <v/>
      </c>
    </row>
    <row r="152">
      <c r="B152" s="64">
        <f>IF(R152="","",147)</f>
        <v/>
      </c>
      <c r="C152" s="37">
        <f>IF(R152="","",IF(INDEX('Recurring Schedule'!$C$6:$C$45,R152)="","",INDEX('Recurring Schedule'!$C$6:$C$45,R152)))</f>
        <v/>
      </c>
      <c r="D152" s="36">
        <f>IF(R152="","",IF(INDEX('Recurring Schedule'!$D$6:$D$45,R152)="","",INDEX('Recurring Schedule'!$D$6:$D$45,R152)))</f>
        <v/>
      </c>
      <c r="E152" s="38">
        <f>IF(Q152="","",INDEX(Calc!$A$2:$A$367,Q152))</f>
        <v/>
      </c>
      <c r="F152" s="68">
        <f>IF(OR(C152="",E152=""),"",E152-Setup!$D$7)</f>
        <v/>
      </c>
      <c r="G152" s="74">
        <f>IF(R152="","",IF(INDEX('Recurring Schedule'!$H$6:$H$45,R152)="","",INDEX('Recurring Schedule'!$H$6:$H$45,R152)))</f>
        <v/>
      </c>
      <c r="H152" s="74">
        <f>IF(R152="","",IF(INDEX('Recurring Schedule'!$I$6:$I$45,R152)="","",INDEX('Recurring Schedule'!$I$6:$I$45,R152)))</f>
        <v/>
      </c>
      <c r="I152" s="36">
        <f>IF(OR(G152="",H152=""),"",TRIM(IF(HOUR(H152-G152)&gt;0,HOUR(H152-G152)&amp;" hr ","")&amp;IF(MINUTE(H152-G152)&gt;0,MINUTE(H152-G152)&amp;" min","")))</f>
        <v/>
      </c>
      <c r="J152" s="66" t="n"/>
      <c r="K152" s="70" t="n"/>
      <c r="L152" s="36">
        <f>IF(R152="","",IF(INDEX('Recurring Schedule'!$J$6:$J$45,R152)="","",INDEX('Recurring Schedule'!$J$6:$J$45,R152)))</f>
        <v/>
      </c>
      <c r="M152" s="36">
        <f>IF(R152="","",IF(INDEX('Recurring Schedule'!$K$6:$K$45,R152)="","",INDEX('Recurring Schedule'!$K$6:$K$45,R152)))</f>
        <v/>
      </c>
      <c r="N152" s="36">
        <f>IF(R152="","",IF(INDEX('Recurring Schedule'!$L$6:$L$45,R152)="","",INDEX('Recurring Schedule'!$L$6:$L$45,R152)))</f>
        <v/>
      </c>
      <c r="O152" s="36">
        <f>IF(C152="","",IF(AND(OR(L152="1-Urgent",L152="2-High"),M152="✓"),"DO FIRST",IF(M152="✓","SCHEDULE",IF(OR(L152="1-Urgent",L152="2-High"),"DELEGATE","DELETE"))))</f>
        <v/>
      </c>
      <c r="P152" s="65" t="n"/>
      <c r="Q152">
        <f>IF(147&gt;Calc!$AQ$368,"",MATCH(146,Calc!$AQ$2:$AQ$367,1))</f>
        <v/>
      </c>
      <c r="R152">
        <f>IF(Q152="","",SMALL(INDEX(Calc!$B$2:$AO$367,Q152,0),147-INDEX(Calc!$AQ$2:$AQ$367,Q152)))</f>
        <v/>
      </c>
    </row>
    <row r="153">
      <c r="B153" s="71">
        <f>IF(R153="","",148)</f>
        <v/>
      </c>
      <c r="C153" s="75">
        <f>IF(R153="","",IF(INDEX('Recurring Schedule'!$C$6:$C$45,R153)="","",INDEX('Recurring Schedule'!$C$6:$C$45,R153)))</f>
        <v/>
      </c>
      <c r="D153" s="73">
        <f>IF(R153="","",IF(INDEX('Recurring Schedule'!$D$6:$D$45,R153)="","",INDEX('Recurring Schedule'!$D$6:$D$45,R153)))</f>
        <v/>
      </c>
      <c r="E153" s="76">
        <f>IF(Q153="","",INDEX(Calc!$A$2:$A$367,Q153))</f>
        <v/>
      </c>
      <c r="F153" s="72">
        <f>IF(OR(C153="",E153=""),"",E153-Setup!$D$7)</f>
        <v/>
      </c>
      <c r="G153" s="77">
        <f>IF(R153="","",IF(INDEX('Recurring Schedule'!$H$6:$H$45,R153)="","",INDEX('Recurring Schedule'!$H$6:$H$45,R153)))</f>
        <v/>
      </c>
      <c r="H153" s="77">
        <f>IF(R153="","",IF(INDEX('Recurring Schedule'!$I$6:$I$45,R153)="","",INDEX('Recurring Schedule'!$I$6:$I$45,R153)))</f>
        <v/>
      </c>
      <c r="I153" s="73">
        <f>IF(OR(G153="",H153=""),"",TRIM(IF(HOUR(H153-G153)&gt;0,HOUR(H153-G153)&amp;" hr ","")&amp;IF(MINUTE(H153-G153)&gt;0,MINUTE(H153-G153)&amp;" min","")))</f>
        <v/>
      </c>
      <c r="J153" s="66" t="n"/>
      <c r="K153" s="70" t="n"/>
      <c r="L153" s="73">
        <f>IF(R153="","",IF(INDEX('Recurring Schedule'!$J$6:$J$45,R153)="","",INDEX('Recurring Schedule'!$J$6:$J$45,R153)))</f>
        <v/>
      </c>
      <c r="M153" s="73">
        <f>IF(R153="","",IF(INDEX('Recurring Schedule'!$K$6:$K$45,R153)="","",INDEX('Recurring Schedule'!$K$6:$K$45,R153)))</f>
        <v/>
      </c>
      <c r="N153" s="73">
        <f>IF(R153="","",IF(INDEX('Recurring Schedule'!$L$6:$L$45,R153)="","",INDEX('Recurring Schedule'!$L$6:$L$45,R153)))</f>
        <v/>
      </c>
      <c r="O153" s="73">
        <f>IF(C153="","",IF(AND(OR(L153="1-Urgent",L153="2-High"),M153="✓"),"DO FIRST",IF(M153="✓","SCHEDULE",IF(OR(L153="1-Urgent",L153="2-High"),"DELEGATE","DELETE"))))</f>
        <v/>
      </c>
      <c r="P153" s="65" t="n"/>
      <c r="Q153">
        <f>IF(148&gt;Calc!$AQ$368,"",MATCH(147,Calc!$AQ$2:$AQ$367,1))</f>
        <v/>
      </c>
      <c r="R153">
        <f>IF(Q153="","",SMALL(INDEX(Calc!$B$2:$AO$367,Q153,0),148-INDEX(Calc!$AQ$2:$AQ$367,Q153)))</f>
        <v/>
      </c>
    </row>
    <row r="154">
      <c r="B154" s="64">
        <f>IF(R154="","",149)</f>
        <v/>
      </c>
      <c r="C154" s="37">
        <f>IF(R154="","",IF(INDEX('Recurring Schedule'!$C$6:$C$45,R154)="","",INDEX('Recurring Schedule'!$C$6:$C$45,R154)))</f>
        <v/>
      </c>
      <c r="D154" s="36">
        <f>IF(R154="","",IF(INDEX('Recurring Schedule'!$D$6:$D$45,R154)="","",INDEX('Recurring Schedule'!$D$6:$D$45,R154)))</f>
        <v/>
      </c>
      <c r="E154" s="38">
        <f>IF(Q154="","",INDEX(Calc!$A$2:$A$367,Q154))</f>
        <v/>
      </c>
      <c r="F154" s="68">
        <f>IF(OR(C154="",E154=""),"",E154-Setup!$D$7)</f>
        <v/>
      </c>
      <c r="G154" s="74">
        <f>IF(R154="","",IF(INDEX('Recurring Schedule'!$H$6:$H$45,R154)="","",INDEX('Recurring Schedule'!$H$6:$H$45,R154)))</f>
        <v/>
      </c>
      <c r="H154" s="74">
        <f>IF(R154="","",IF(INDEX('Recurring Schedule'!$I$6:$I$45,R154)="","",INDEX('Recurring Schedule'!$I$6:$I$45,R154)))</f>
        <v/>
      </c>
      <c r="I154" s="36">
        <f>IF(OR(G154="",H154=""),"",TRIM(IF(HOUR(H154-G154)&gt;0,HOUR(H154-G154)&amp;" hr ","")&amp;IF(MINUTE(H154-G154)&gt;0,MINUTE(H154-G154)&amp;" min","")))</f>
        <v/>
      </c>
      <c r="J154" s="66" t="n"/>
      <c r="K154" s="70" t="n"/>
      <c r="L154" s="36">
        <f>IF(R154="","",IF(INDEX('Recurring Schedule'!$J$6:$J$45,R154)="","",INDEX('Recurring Schedule'!$J$6:$J$45,R154)))</f>
        <v/>
      </c>
      <c r="M154" s="36">
        <f>IF(R154="","",IF(INDEX('Recurring Schedule'!$K$6:$K$45,R154)="","",INDEX('Recurring Schedule'!$K$6:$K$45,R154)))</f>
        <v/>
      </c>
      <c r="N154" s="36">
        <f>IF(R154="","",IF(INDEX('Recurring Schedule'!$L$6:$L$45,R154)="","",INDEX('Recurring Schedule'!$L$6:$L$45,R154)))</f>
        <v/>
      </c>
      <c r="O154" s="36">
        <f>IF(C154="","",IF(AND(OR(L154="1-Urgent",L154="2-High"),M154="✓"),"DO FIRST",IF(M154="✓","SCHEDULE",IF(OR(L154="1-Urgent",L154="2-High"),"DELEGATE","DELETE"))))</f>
        <v/>
      </c>
      <c r="P154" s="65" t="n"/>
      <c r="Q154">
        <f>IF(149&gt;Calc!$AQ$368,"",MATCH(148,Calc!$AQ$2:$AQ$367,1))</f>
        <v/>
      </c>
      <c r="R154">
        <f>IF(Q154="","",SMALL(INDEX(Calc!$B$2:$AO$367,Q154,0),149-INDEX(Calc!$AQ$2:$AQ$367,Q154)))</f>
        <v/>
      </c>
    </row>
    <row r="155">
      <c r="B155" s="71">
        <f>IF(R155="","",150)</f>
        <v/>
      </c>
      <c r="C155" s="75">
        <f>IF(R155="","",IF(INDEX('Recurring Schedule'!$C$6:$C$45,R155)="","",INDEX('Recurring Schedule'!$C$6:$C$45,R155)))</f>
        <v/>
      </c>
      <c r="D155" s="73">
        <f>IF(R155="","",IF(INDEX('Recurring Schedule'!$D$6:$D$45,R155)="","",INDEX('Recurring Schedule'!$D$6:$D$45,R155)))</f>
        <v/>
      </c>
      <c r="E155" s="76">
        <f>IF(Q155="","",INDEX(Calc!$A$2:$A$367,Q155))</f>
        <v/>
      </c>
      <c r="F155" s="72">
        <f>IF(OR(C155="",E155=""),"",E155-Setup!$D$7)</f>
        <v/>
      </c>
      <c r="G155" s="77">
        <f>IF(R155="","",IF(INDEX('Recurring Schedule'!$H$6:$H$45,R155)="","",INDEX('Recurring Schedule'!$H$6:$H$45,R155)))</f>
        <v/>
      </c>
      <c r="H155" s="77">
        <f>IF(R155="","",IF(INDEX('Recurring Schedule'!$I$6:$I$45,R155)="","",INDEX('Recurring Schedule'!$I$6:$I$45,R155)))</f>
        <v/>
      </c>
      <c r="I155" s="73">
        <f>IF(OR(G155="",H155=""),"",TRIM(IF(HOUR(H155-G155)&gt;0,HOUR(H155-G155)&amp;" hr ","")&amp;IF(MINUTE(H155-G155)&gt;0,MINUTE(H155-G155)&amp;" min","")))</f>
        <v/>
      </c>
      <c r="J155" s="66" t="n"/>
      <c r="K155" s="70" t="n"/>
      <c r="L155" s="73">
        <f>IF(R155="","",IF(INDEX('Recurring Schedule'!$J$6:$J$45,R155)="","",INDEX('Recurring Schedule'!$J$6:$J$45,R155)))</f>
        <v/>
      </c>
      <c r="M155" s="73">
        <f>IF(R155="","",IF(INDEX('Recurring Schedule'!$K$6:$K$45,R155)="","",INDEX('Recurring Schedule'!$K$6:$K$45,R155)))</f>
        <v/>
      </c>
      <c r="N155" s="73">
        <f>IF(R155="","",IF(INDEX('Recurring Schedule'!$L$6:$L$45,R155)="","",INDEX('Recurring Schedule'!$L$6:$L$45,R155)))</f>
        <v/>
      </c>
      <c r="O155" s="73">
        <f>IF(C155="","",IF(AND(OR(L155="1-Urgent",L155="2-High"),M155="✓"),"DO FIRST",IF(M155="✓","SCHEDULE",IF(OR(L155="1-Urgent",L155="2-High"),"DELEGATE","DELETE"))))</f>
        <v/>
      </c>
      <c r="P155" s="65" t="n"/>
      <c r="Q155">
        <f>IF(150&gt;Calc!$AQ$368,"",MATCH(149,Calc!$AQ$2:$AQ$367,1))</f>
        <v/>
      </c>
      <c r="R155">
        <f>IF(Q155="","",SMALL(INDEX(Calc!$B$2:$AO$367,Q155,0),150-INDEX(Calc!$AQ$2:$AQ$367,Q155)))</f>
        <v/>
      </c>
    </row>
    <row r="156">
      <c r="B156" s="64">
        <f>IF(R156="","",151)</f>
        <v/>
      </c>
      <c r="C156" s="37">
        <f>IF(R156="","",IF(INDEX('Recurring Schedule'!$C$6:$C$45,R156)="","",INDEX('Recurring Schedule'!$C$6:$C$45,R156)))</f>
        <v/>
      </c>
      <c r="D156" s="36">
        <f>IF(R156="","",IF(INDEX('Recurring Schedule'!$D$6:$D$45,R156)="","",INDEX('Recurring Schedule'!$D$6:$D$45,R156)))</f>
        <v/>
      </c>
      <c r="E156" s="38">
        <f>IF(Q156="","",INDEX(Calc!$A$2:$A$367,Q156))</f>
        <v/>
      </c>
      <c r="F156" s="68">
        <f>IF(OR(C156="",E156=""),"",E156-Setup!$D$7)</f>
        <v/>
      </c>
      <c r="G156" s="74">
        <f>IF(R156="","",IF(INDEX('Recurring Schedule'!$H$6:$H$45,R156)="","",INDEX('Recurring Schedule'!$H$6:$H$45,R156)))</f>
        <v/>
      </c>
      <c r="H156" s="74">
        <f>IF(R156="","",IF(INDEX('Recurring Schedule'!$I$6:$I$45,R156)="","",INDEX('Recurring Schedule'!$I$6:$I$45,R156)))</f>
        <v/>
      </c>
      <c r="I156" s="36">
        <f>IF(OR(G156="",H156=""),"",TRIM(IF(HOUR(H156-G156)&gt;0,HOUR(H156-G156)&amp;" hr ","")&amp;IF(MINUTE(H156-G156)&gt;0,MINUTE(H156-G156)&amp;" min","")))</f>
        <v/>
      </c>
      <c r="J156" s="66" t="n"/>
      <c r="K156" s="70" t="n"/>
      <c r="L156" s="36">
        <f>IF(R156="","",IF(INDEX('Recurring Schedule'!$J$6:$J$45,R156)="","",INDEX('Recurring Schedule'!$J$6:$J$45,R156)))</f>
        <v/>
      </c>
      <c r="M156" s="36">
        <f>IF(R156="","",IF(INDEX('Recurring Schedule'!$K$6:$K$45,R156)="","",INDEX('Recurring Schedule'!$K$6:$K$45,R156)))</f>
        <v/>
      </c>
      <c r="N156" s="36">
        <f>IF(R156="","",IF(INDEX('Recurring Schedule'!$L$6:$L$45,R156)="","",INDEX('Recurring Schedule'!$L$6:$L$45,R156)))</f>
        <v/>
      </c>
      <c r="O156" s="36">
        <f>IF(C156="","",IF(AND(OR(L156="1-Urgent",L156="2-High"),M156="✓"),"DO FIRST",IF(M156="✓","SCHEDULE",IF(OR(L156="1-Urgent",L156="2-High"),"DELEGATE","DELETE"))))</f>
        <v/>
      </c>
      <c r="P156" s="65" t="n"/>
      <c r="Q156">
        <f>IF(151&gt;Calc!$AQ$368,"",MATCH(150,Calc!$AQ$2:$AQ$367,1))</f>
        <v/>
      </c>
      <c r="R156">
        <f>IF(Q156="","",SMALL(INDEX(Calc!$B$2:$AO$367,Q156,0),151-INDEX(Calc!$AQ$2:$AQ$367,Q156)))</f>
        <v/>
      </c>
    </row>
    <row r="157">
      <c r="B157" s="71">
        <f>IF(R157="","",152)</f>
        <v/>
      </c>
      <c r="C157" s="75">
        <f>IF(R157="","",IF(INDEX('Recurring Schedule'!$C$6:$C$45,R157)="","",INDEX('Recurring Schedule'!$C$6:$C$45,R157)))</f>
        <v/>
      </c>
      <c r="D157" s="73">
        <f>IF(R157="","",IF(INDEX('Recurring Schedule'!$D$6:$D$45,R157)="","",INDEX('Recurring Schedule'!$D$6:$D$45,R157)))</f>
        <v/>
      </c>
      <c r="E157" s="76">
        <f>IF(Q157="","",INDEX(Calc!$A$2:$A$367,Q157))</f>
        <v/>
      </c>
      <c r="F157" s="72">
        <f>IF(OR(C157="",E157=""),"",E157-Setup!$D$7)</f>
        <v/>
      </c>
      <c r="G157" s="77">
        <f>IF(R157="","",IF(INDEX('Recurring Schedule'!$H$6:$H$45,R157)="","",INDEX('Recurring Schedule'!$H$6:$H$45,R157)))</f>
        <v/>
      </c>
      <c r="H157" s="77">
        <f>IF(R157="","",IF(INDEX('Recurring Schedule'!$I$6:$I$45,R157)="","",INDEX('Recurring Schedule'!$I$6:$I$45,R157)))</f>
        <v/>
      </c>
      <c r="I157" s="73">
        <f>IF(OR(G157="",H157=""),"",TRIM(IF(HOUR(H157-G157)&gt;0,HOUR(H157-G157)&amp;" hr ","")&amp;IF(MINUTE(H157-G157)&gt;0,MINUTE(H157-G157)&amp;" min","")))</f>
        <v/>
      </c>
      <c r="J157" s="66" t="n"/>
      <c r="K157" s="70" t="n"/>
      <c r="L157" s="73">
        <f>IF(R157="","",IF(INDEX('Recurring Schedule'!$J$6:$J$45,R157)="","",INDEX('Recurring Schedule'!$J$6:$J$45,R157)))</f>
        <v/>
      </c>
      <c r="M157" s="73">
        <f>IF(R157="","",IF(INDEX('Recurring Schedule'!$K$6:$K$45,R157)="","",INDEX('Recurring Schedule'!$K$6:$K$45,R157)))</f>
        <v/>
      </c>
      <c r="N157" s="73">
        <f>IF(R157="","",IF(INDEX('Recurring Schedule'!$L$6:$L$45,R157)="","",INDEX('Recurring Schedule'!$L$6:$L$45,R157)))</f>
        <v/>
      </c>
      <c r="O157" s="73">
        <f>IF(C157="","",IF(AND(OR(L157="1-Urgent",L157="2-High"),M157="✓"),"DO FIRST",IF(M157="✓","SCHEDULE",IF(OR(L157="1-Urgent",L157="2-High"),"DELEGATE","DELETE"))))</f>
        <v/>
      </c>
      <c r="P157" s="65" t="n"/>
      <c r="Q157">
        <f>IF(152&gt;Calc!$AQ$368,"",MATCH(151,Calc!$AQ$2:$AQ$367,1))</f>
        <v/>
      </c>
      <c r="R157">
        <f>IF(Q157="","",SMALL(INDEX(Calc!$B$2:$AO$367,Q157,0),152-INDEX(Calc!$AQ$2:$AQ$367,Q157)))</f>
        <v/>
      </c>
    </row>
    <row r="158">
      <c r="B158" s="64">
        <f>IF(R158="","",153)</f>
        <v/>
      </c>
      <c r="C158" s="37">
        <f>IF(R158="","",IF(INDEX('Recurring Schedule'!$C$6:$C$45,R158)="","",INDEX('Recurring Schedule'!$C$6:$C$45,R158)))</f>
        <v/>
      </c>
      <c r="D158" s="36">
        <f>IF(R158="","",IF(INDEX('Recurring Schedule'!$D$6:$D$45,R158)="","",INDEX('Recurring Schedule'!$D$6:$D$45,R158)))</f>
        <v/>
      </c>
      <c r="E158" s="38">
        <f>IF(Q158="","",INDEX(Calc!$A$2:$A$367,Q158))</f>
        <v/>
      </c>
      <c r="F158" s="68">
        <f>IF(OR(C158="",E158=""),"",E158-Setup!$D$7)</f>
        <v/>
      </c>
      <c r="G158" s="74">
        <f>IF(R158="","",IF(INDEX('Recurring Schedule'!$H$6:$H$45,R158)="","",INDEX('Recurring Schedule'!$H$6:$H$45,R158)))</f>
        <v/>
      </c>
      <c r="H158" s="74">
        <f>IF(R158="","",IF(INDEX('Recurring Schedule'!$I$6:$I$45,R158)="","",INDEX('Recurring Schedule'!$I$6:$I$45,R158)))</f>
        <v/>
      </c>
      <c r="I158" s="36">
        <f>IF(OR(G158="",H158=""),"",TRIM(IF(HOUR(H158-G158)&gt;0,HOUR(H158-G158)&amp;" hr ","")&amp;IF(MINUTE(H158-G158)&gt;0,MINUTE(H158-G158)&amp;" min","")))</f>
        <v/>
      </c>
      <c r="J158" s="66" t="n"/>
      <c r="K158" s="70" t="n"/>
      <c r="L158" s="36">
        <f>IF(R158="","",IF(INDEX('Recurring Schedule'!$J$6:$J$45,R158)="","",INDEX('Recurring Schedule'!$J$6:$J$45,R158)))</f>
        <v/>
      </c>
      <c r="M158" s="36">
        <f>IF(R158="","",IF(INDEX('Recurring Schedule'!$K$6:$K$45,R158)="","",INDEX('Recurring Schedule'!$K$6:$K$45,R158)))</f>
        <v/>
      </c>
      <c r="N158" s="36">
        <f>IF(R158="","",IF(INDEX('Recurring Schedule'!$L$6:$L$45,R158)="","",INDEX('Recurring Schedule'!$L$6:$L$45,R158)))</f>
        <v/>
      </c>
      <c r="O158" s="36">
        <f>IF(C158="","",IF(AND(OR(L158="1-Urgent",L158="2-High"),M158="✓"),"DO FIRST",IF(M158="✓","SCHEDULE",IF(OR(L158="1-Urgent",L158="2-High"),"DELEGATE","DELETE"))))</f>
        <v/>
      </c>
      <c r="P158" s="65" t="n"/>
      <c r="Q158">
        <f>IF(153&gt;Calc!$AQ$368,"",MATCH(152,Calc!$AQ$2:$AQ$367,1))</f>
        <v/>
      </c>
      <c r="R158">
        <f>IF(Q158="","",SMALL(INDEX(Calc!$B$2:$AO$367,Q158,0),153-INDEX(Calc!$AQ$2:$AQ$367,Q158)))</f>
        <v/>
      </c>
    </row>
    <row r="159">
      <c r="B159" s="71">
        <f>IF(R159="","",154)</f>
        <v/>
      </c>
      <c r="C159" s="75">
        <f>IF(R159="","",IF(INDEX('Recurring Schedule'!$C$6:$C$45,R159)="","",INDEX('Recurring Schedule'!$C$6:$C$45,R159)))</f>
        <v/>
      </c>
      <c r="D159" s="73">
        <f>IF(R159="","",IF(INDEX('Recurring Schedule'!$D$6:$D$45,R159)="","",INDEX('Recurring Schedule'!$D$6:$D$45,R159)))</f>
        <v/>
      </c>
      <c r="E159" s="76">
        <f>IF(Q159="","",INDEX(Calc!$A$2:$A$367,Q159))</f>
        <v/>
      </c>
      <c r="F159" s="72">
        <f>IF(OR(C159="",E159=""),"",E159-Setup!$D$7)</f>
        <v/>
      </c>
      <c r="G159" s="77">
        <f>IF(R159="","",IF(INDEX('Recurring Schedule'!$H$6:$H$45,R159)="","",INDEX('Recurring Schedule'!$H$6:$H$45,R159)))</f>
        <v/>
      </c>
      <c r="H159" s="77">
        <f>IF(R159="","",IF(INDEX('Recurring Schedule'!$I$6:$I$45,R159)="","",INDEX('Recurring Schedule'!$I$6:$I$45,R159)))</f>
        <v/>
      </c>
      <c r="I159" s="73">
        <f>IF(OR(G159="",H159=""),"",TRIM(IF(HOUR(H159-G159)&gt;0,HOUR(H159-G159)&amp;" hr ","")&amp;IF(MINUTE(H159-G159)&gt;0,MINUTE(H159-G159)&amp;" min","")))</f>
        <v/>
      </c>
      <c r="J159" s="66" t="n"/>
      <c r="K159" s="70" t="n"/>
      <c r="L159" s="73">
        <f>IF(R159="","",IF(INDEX('Recurring Schedule'!$J$6:$J$45,R159)="","",INDEX('Recurring Schedule'!$J$6:$J$45,R159)))</f>
        <v/>
      </c>
      <c r="M159" s="73">
        <f>IF(R159="","",IF(INDEX('Recurring Schedule'!$K$6:$K$45,R159)="","",INDEX('Recurring Schedule'!$K$6:$K$45,R159)))</f>
        <v/>
      </c>
      <c r="N159" s="73">
        <f>IF(R159="","",IF(INDEX('Recurring Schedule'!$L$6:$L$45,R159)="","",INDEX('Recurring Schedule'!$L$6:$L$45,R159)))</f>
        <v/>
      </c>
      <c r="O159" s="73">
        <f>IF(C159="","",IF(AND(OR(L159="1-Urgent",L159="2-High"),M159="✓"),"DO FIRST",IF(M159="✓","SCHEDULE",IF(OR(L159="1-Urgent",L159="2-High"),"DELEGATE","DELETE"))))</f>
        <v/>
      </c>
      <c r="P159" s="65" t="n"/>
      <c r="Q159">
        <f>IF(154&gt;Calc!$AQ$368,"",MATCH(153,Calc!$AQ$2:$AQ$367,1))</f>
        <v/>
      </c>
      <c r="R159">
        <f>IF(Q159="","",SMALL(INDEX(Calc!$B$2:$AO$367,Q159,0),154-INDEX(Calc!$AQ$2:$AQ$367,Q159)))</f>
        <v/>
      </c>
    </row>
    <row r="160">
      <c r="B160" s="64">
        <f>IF(R160="","",155)</f>
        <v/>
      </c>
      <c r="C160" s="37">
        <f>IF(R160="","",IF(INDEX('Recurring Schedule'!$C$6:$C$45,R160)="","",INDEX('Recurring Schedule'!$C$6:$C$45,R160)))</f>
        <v/>
      </c>
      <c r="D160" s="36">
        <f>IF(R160="","",IF(INDEX('Recurring Schedule'!$D$6:$D$45,R160)="","",INDEX('Recurring Schedule'!$D$6:$D$45,R160)))</f>
        <v/>
      </c>
      <c r="E160" s="38">
        <f>IF(Q160="","",INDEX(Calc!$A$2:$A$367,Q160))</f>
        <v/>
      </c>
      <c r="F160" s="68">
        <f>IF(OR(C160="",E160=""),"",E160-Setup!$D$7)</f>
        <v/>
      </c>
      <c r="G160" s="74">
        <f>IF(R160="","",IF(INDEX('Recurring Schedule'!$H$6:$H$45,R160)="","",INDEX('Recurring Schedule'!$H$6:$H$45,R160)))</f>
        <v/>
      </c>
      <c r="H160" s="74">
        <f>IF(R160="","",IF(INDEX('Recurring Schedule'!$I$6:$I$45,R160)="","",INDEX('Recurring Schedule'!$I$6:$I$45,R160)))</f>
        <v/>
      </c>
      <c r="I160" s="36">
        <f>IF(OR(G160="",H160=""),"",TRIM(IF(HOUR(H160-G160)&gt;0,HOUR(H160-G160)&amp;" hr ","")&amp;IF(MINUTE(H160-G160)&gt;0,MINUTE(H160-G160)&amp;" min","")))</f>
        <v/>
      </c>
      <c r="J160" s="66" t="n"/>
      <c r="K160" s="70" t="n"/>
      <c r="L160" s="36">
        <f>IF(R160="","",IF(INDEX('Recurring Schedule'!$J$6:$J$45,R160)="","",INDEX('Recurring Schedule'!$J$6:$J$45,R160)))</f>
        <v/>
      </c>
      <c r="M160" s="36">
        <f>IF(R160="","",IF(INDEX('Recurring Schedule'!$K$6:$K$45,R160)="","",INDEX('Recurring Schedule'!$K$6:$K$45,R160)))</f>
        <v/>
      </c>
      <c r="N160" s="36">
        <f>IF(R160="","",IF(INDEX('Recurring Schedule'!$L$6:$L$45,R160)="","",INDEX('Recurring Schedule'!$L$6:$L$45,R160)))</f>
        <v/>
      </c>
      <c r="O160" s="36">
        <f>IF(C160="","",IF(AND(OR(L160="1-Urgent",L160="2-High"),M160="✓"),"DO FIRST",IF(M160="✓","SCHEDULE",IF(OR(L160="1-Urgent",L160="2-High"),"DELEGATE","DELETE"))))</f>
        <v/>
      </c>
      <c r="P160" s="65" t="n"/>
      <c r="Q160">
        <f>IF(155&gt;Calc!$AQ$368,"",MATCH(154,Calc!$AQ$2:$AQ$367,1))</f>
        <v/>
      </c>
      <c r="R160">
        <f>IF(Q160="","",SMALL(INDEX(Calc!$B$2:$AO$367,Q160,0),155-INDEX(Calc!$AQ$2:$AQ$367,Q160)))</f>
        <v/>
      </c>
    </row>
    <row r="161">
      <c r="B161" s="71">
        <f>IF(R161="","",156)</f>
        <v/>
      </c>
      <c r="C161" s="75">
        <f>IF(R161="","",IF(INDEX('Recurring Schedule'!$C$6:$C$45,R161)="","",INDEX('Recurring Schedule'!$C$6:$C$45,R161)))</f>
        <v/>
      </c>
      <c r="D161" s="73">
        <f>IF(R161="","",IF(INDEX('Recurring Schedule'!$D$6:$D$45,R161)="","",INDEX('Recurring Schedule'!$D$6:$D$45,R161)))</f>
        <v/>
      </c>
      <c r="E161" s="76">
        <f>IF(Q161="","",INDEX(Calc!$A$2:$A$367,Q161))</f>
        <v/>
      </c>
      <c r="F161" s="72">
        <f>IF(OR(C161="",E161=""),"",E161-Setup!$D$7)</f>
        <v/>
      </c>
      <c r="G161" s="77">
        <f>IF(R161="","",IF(INDEX('Recurring Schedule'!$H$6:$H$45,R161)="","",INDEX('Recurring Schedule'!$H$6:$H$45,R161)))</f>
        <v/>
      </c>
      <c r="H161" s="77">
        <f>IF(R161="","",IF(INDEX('Recurring Schedule'!$I$6:$I$45,R161)="","",INDEX('Recurring Schedule'!$I$6:$I$45,R161)))</f>
        <v/>
      </c>
      <c r="I161" s="73">
        <f>IF(OR(G161="",H161=""),"",TRIM(IF(HOUR(H161-G161)&gt;0,HOUR(H161-G161)&amp;" hr ","")&amp;IF(MINUTE(H161-G161)&gt;0,MINUTE(H161-G161)&amp;" min","")))</f>
        <v/>
      </c>
      <c r="J161" s="66" t="n"/>
      <c r="K161" s="70" t="n"/>
      <c r="L161" s="73">
        <f>IF(R161="","",IF(INDEX('Recurring Schedule'!$J$6:$J$45,R161)="","",INDEX('Recurring Schedule'!$J$6:$J$45,R161)))</f>
        <v/>
      </c>
      <c r="M161" s="73">
        <f>IF(R161="","",IF(INDEX('Recurring Schedule'!$K$6:$K$45,R161)="","",INDEX('Recurring Schedule'!$K$6:$K$45,R161)))</f>
        <v/>
      </c>
      <c r="N161" s="73">
        <f>IF(R161="","",IF(INDEX('Recurring Schedule'!$L$6:$L$45,R161)="","",INDEX('Recurring Schedule'!$L$6:$L$45,R161)))</f>
        <v/>
      </c>
      <c r="O161" s="73">
        <f>IF(C161="","",IF(AND(OR(L161="1-Urgent",L161="2-High"),M161="✓"),"DO FIRST",IF(M161="✓","SCHEDULE",IF(OR(L161="1-Urgent",L161="2-High"),"DELEGATE","DELETE"))))</f>
        <v/>
      </c>
      <c r="P161" s="65" t="n"/>
      <c r="Q161">
        <f>IF(156&gt;Calc!$AQ$368,"",MATCH(155,Calc!$AQ$2:$AQ$367,1))</f>
        <v/>
      </c>
      <c r="R161">
        <f>IF(Q161="","",SMALL(INDEX(Calc!$B$2:$AO$367,Q161,0),156-INDEX(Calc!$AQ$2:$AQ$367,Q161)))</f>
        <v/>
      </c>
    </row>
    <row r="162">
      <c r="B162" s="64">
        <f>IF(R162="","",157)</f>
        <v/>
      </c>
      <c r="C162" s="37">
        <f>IF(R162="","",IF(INDEX('Recurring Schedule'!$C$6:$C$45,R162)="","",INDEX('Recurring Schedule'!$C$6:$C$45,R162)))</f>
        <v/>
      </c>
      <c r="D162" s="36">
        <f>IF(R162="","",IF(INDEX('Recurring Schedule'!$D$6:$D$45,R162)="","",INDEX('Recurring Schedule'!$D$6:$D$45,R162)))</f>
        <v/>
      </c>
      <c r="E162" s="38">
        <f>IF(Q162="","",INDEX(Calc!$A$2:$A$367,Q162))</f>
        <v/>
      </c>
      <c r="F162" s="68">
        <f>IF(OR(C162="",E162=""),"",E162-Setup!$D$7)</f>
        <v/>
      </c>
      <c r="G162" s="74">
        <f>IF(R162="","",IF(INDEX('Recurring Schedule'!$H$6:$H$45,R162)="","",INDEX('Recurring Schedule'!$H$6:$H$45,R162)))</f>
        <v/>
      </c>
      <c r="H162" s="74">
        <f>IF(R162="","",IF(INDEX('Recurring Schedule'!$I$6:$I$45,R162)="","",INDEX('Recurring Schedule'!$I$6:$I$45,R162)))</f>
        <v/>
      </c>
      <c r="I162" s="36">
        <f>IF(OR(G162="",H162=""),"",TRIM(IF(HOUR(H162-G162)&gt;0,HOUR(H162-G162)&amp;" hr ","")&amp;IF(MINUTE(H162-G162)&gt;0,MINUTE(H162-G162)&amp;" min","")))</f>
        <v/>
      </c>
      <c r="J162" s="66" t="n"/>
      <c r="K162" s="70" t="n"/>
      <c r="L162" s="36">
        <f>IF(R162="","",IF(INDEX('Recurring Schedule'!$J$6:$J$45,R162)="","",INDEX('Recurring Schedule'!$J$6:$J$45,R162)))</f>
        <v/>
      </c>
      <c r="M162" s="36">
        <f>IF(R162="","",IF(INDEX('Recurring Schedule'!$K$6:$K$45,R162)="","",INDEX('Recurring Schedule'!$K$6:$K$45,R162)))</f>
        <v/>
      </c>
      <c r="N162" s="36">
        <f>IF(R162="","",IF(INDEX('Recurring Schedule'!$L$6:$L$45,R162)="","",INDEX('Recurring Schedule'!$L$6:$L$45,R162)))</f>
        <v/>
      </c>
      <c r="O162" s="36">
        <f>IF(C162="","",IF(AND(OR(L162="1-Urgent",L162="2-High"),M162="✓"),"DO FIRST",IF(M162="✓","SCHEDULE",IF(OR(L162="1-Urgent",L162="2-High"),"DELEGATE","DELETE"))))</f>
        <v/>
      </c>
      <c r="P162" s="65" t="n"/>
      <c r="Q162">
        <f>IF(157&gt;Calc!$AQ$368,"",MATCH(156,Calc!$AQ$2:$AQ$367,1))</f>
        <v/>
      </c>
      <c r="R162">
        <f>IF(Q162="","",SMALL(INDEX(Calc!$B$2:$AO$367,Q162,0),157-INDEX(Calc!$AQ$2:$AQ$367,Q162)))</f>
        <v/>
      </c>
    </row>
    <row r="163">
      <c r="B163" s="71">
        <f>IF(R163="","",158)</f>
        <v/>
      </c>
      <c r="C163" s="75">
        <f>IF(R163="","",IF(INDEX('Recurring Schedule'!$C$6:$C$45,R163)="","",INDEX('Recurring Schedule'!$C$6:$C$45,R163)))</f>
        <v/>
      </c>
      <c r="D163" s="73">
        <f>IF(R163="","",IF(INDEX('Recurring Schedule'!$D$6:$D$45,R163)="","",INDEX('Recurring Schedule'!$D$6:$D$45,R163)))</f>
        <v/>
      </c>
      <c r="E163" s="76">
        <f>IF(Q163="","",INDEX(Calc!$A$2:$A$367,Q163))</f>
        <v/>
      </c>
      <c r="F163" s="72">
        <f>IF(OR(C163="",E163=""),"",E163-Setup!$D$7)</f>
        <v/>
      </c>
      <c r="G163" s="77">
        <f>IF(R163="","",IF(INDEX('Recurring Schedule'!$H$6:$H$45,R163)="","",INDEX('Recurring Schedule'!$H$6:$H$45,R163)))</f>
        <v/>
      </c>
      <c r="H163" s="77">
        <f>IF(R163="","",IF(INDEX('Recurring Schedule'!$I$6:$I$45,R163)="","",INDEX('Recurring Schedule'!$I$6:$I$45,R163)))</f>
        <v/>
      </c>
      <c r="I163" s="73">
        <f>IF(OR(G163="",H163=""),"",TRIM(IF(HOUR(H163-G163)&gt;0,HOUR(H163-G163)&amp;" hr ","")&amp;IF(MINUTE(H163-G163)&gt;0,MINUTE(H163-G163)&amp;" min","")))</f>
        <v/>
      </c>
      <c r="J163" s="66" t="n"/>
      <c r="K163" s="70" t="n"/>
      <c r="L163" s="73">
        <f>IF(R163="","",IF(INDEX('Recurring Schedule'!$J$6:$J$45,R163)="","",INDEX('Recurring Schedule'!$J$6:$J$45,R163)))</f>
        <v/>
      </c>
      <c r="M163" s="73">
        <f>IF(R163="","",IF(INDEX('Recurring Schedule'!$K$6:$K$45,R163)="","",INDEX('Recurring Schedule'!$K$6:$K$45,R163)))</f>
        <v/>
      </c>
      <c r="N163" s="73">
        <f>IF(R163="","",IF(INDEX('Recurring Schedule'!$L$6:$L$45,R163)="","",INDEX('Recurring Schedule'!$L$6:$L$45,R163)))</f>
        <v/>
      </c>
      <c r="O163" s="73">
        <f>IF(C163="","",IF(AND(OR(L163="1-Urgent",L163="2-High"),M163="✓"),"DO FIRST",IF(M163="✓","SCHEDULE",IF(OR(L163="1-Urgent",L163="2-High"),"DELEGATE","DELETE"))))</f>
        <v/>
      </c>
      <c r="P163" s="65" t="n"/>
      <c r="Q163">
        <f>IF(158&gt;Calc!$AQ$368,"",MATCH(157,Calc!$AQ$2:$AQ$367,1))</f>
        <v/>
      </c>
      <c r="R163">
        <f>IF(Q163="","",SMALL(INDEX(Calc!$B$2:$AO$367,Q163,0),158-INDEX(Calc!$AQ$2:$AQ$367,Q163)))</f>
        <v/>
      </c>
    </row>
    <row r="164">
      <c r="B164" s="64">
        <f>IF(R164="","",159)</f>
        <v/>
      </c>
      <c r="C164" s="37">
        <f>IF(R164="","",IF(INDEX('Recurring Schedule'!$C$6:$C$45,R164)="","",INDEX('Recurring Schedule'!$C$6:$C$45,R164)))</f>
        <v/>
      </c>
      <c r="D164" s="36">
        <f>IF(R164="","",IF(INDEX('Recurring Schedule'!$D$6:$D$45,R164)="","",INDEX('Recurring Schedule'!$D$6:$D$45,R164)))</f>
        <v/>
      </c>
      <c r="E164" s="38">
        <f>IF(Q164="","",INDEX(Calc!$A$2:$A$367,Q164))</f>
        <v/>
      </c>
      <c r="F164" s="68">
        <f>IF(OR(C164="",E164=""),"",E164-Setup!$D$7)</f>
        <v/>
      </c>
      <c r="G164" s="74">
        <f>IF(R164="","",IF(INDEX('Recurring Schedule'!$H$6:$H$45,R164)="","",INDEX('Recurring Schedule'!$H$6:$H$45,R164)))</f>
        <v/>
      </c>
      <c r="H164" s="74">
        <f>IF(R164="","",IF(INDEX('Recurring Schedule'!$I$6:$I$45,R164)="","",INDEX('Recurring Schedule'!$I$6:$I$45,R164)))</f>
        <v/>
      </c>
      <c r="I164" s="36">
        <f>IF(OR(G164="",H164=""),"",TRIM(IF(HOUR(H164-G164)&gt;0,HOUR(H164-G164)&amp;" hr ","")&amp;IF(MINUTE(H164-G164)&gt;0,MINUTE(H164-G164)&amp;" min","")))</f>
        <v/>
      </c>
      <c r="J164" s="66" t="n"/>
      <c r="K164" s="70" t="n"/>
      <c r="L164" s="36">
        <f>IF(R164="","",IF(INDEX('Recurring Schedule'!$J$6:$J$45,R164)="","",INDEX('Recurring Schedule'!$J$6:$J$45,R164)))</f>
        <v/>
      </c>
      <c r="M164" s="36">
        <f>IF(R164="","",IF(INDEX('Recurring Schedule'!$K$6:$K$45,R164)="","",INDEX('Recurring Schedule'!$K$6:$K$45,R164)))</f>
        <v/>
      </c>
      <c r="N164" s="36">
        <f>IF(R164="","",IF(INDEX('Recurring Schedule'!$L$6:$L$45,R164)="","",INDEX('Recurring Schedule'!$L$6:$L$45,R164)))</f>
        <v/>
      </c>
      <c r="O164" s="36">
        <f>IF(C164="","",IF(AND(OR(L164="1-Urgent",L164="2-High"),M164="✓"),"DO FIRST",IF(M164="✓","SCHEDULE",IF(OR(L164="1-Urgent",L164="2-High"),"DELEGATE","DELETE"))))</f>
        <v/>
      </c>
      <c r="P164" s="65" t="n"/>
      <c r="Q164">
        <f>IF(159&gt;Calc!$AQ$368,"",MATCH(158,Calc!$AQ$2:$AQ$367,1))</f>
        <v/>
      </c>
      <c r="R164">
        <f>IF(Q164="","",SMALL(INDEX(Calc!$B$2:$AO$367,Q164,0),159-INDEX(Calc!$AQ$2:$AQ$367,Q164)))</f>
        <v/>
      </c>
    </row>
    <row r="165">
      <c r="B165" s="71">
        <f>IF(R165="","",160)</f>
        <v/>
      </c>
      <c r="C165" s="75">
        <f>IF(R165="","",IF(INDEX('Recurring Schedule'!$C$6:$C$45,R165)="","",INDEX('Recurring Schedule'!$C$6:$C$45,R165)))</f>
        <v/>
      </c>
      <c r="D165" s="73">
        <f>IF(R165="","",IF(INDEX('Recurring Schedule'!$D$6:$D$45,R165)="","",INDEX('Recurring Schedule'!$D$6:$D$45,R165)))</f>
        <v/>
      </c>
      <c r="E165" s="76">
        <f>IF(Q165="","",INDEX(Calc!$A$2:$A$367,Q165))</f>
        <v/>
      </c>
      <c r="F165" s="72">
        <f>IF(OR(C165="",E165=""),"",E165-Setup!$D$7)</f>
        <v/>
      </c>
      <c r="G165" s="77">
        <f>IF(R165="","",IF(INDEX('Recurring Schedule'!$H$6:$H$45,R165)="","",INDEX('Recurring Schedule'!$H$6:$H$45,R165)))</f>
        <v/>
      </c>
      <c r="H165" s="77">
        <f>IF(R165="","",IF(INDEX('Recurring Schedule'!$I$6:$I$45,R165)="","",INDEX('Recurring Schedule'!$I$6:$I$45,R165)))</f>
        <v/>
      </c>
      <c r="I165" s="73">
        <f>IF(OR(G165="",H165=""),"",TRIM(IF(HOUR(H165-G165)&gt;0,HOUR(H165-G165)&amp;" hr ","")&amp;IF(MINUTE(H165-G165)&gt;0,MINUTE(H165-G165)&amp;" min","")))</f>
        <v/>
      </c>
      <c r="J165" s="66" t="n"/>
      <c r="K165" s="70" t="n"/>
      <c r="L165" s="73">
        <f>IF(R165="","",IF(INDEX('Recurring Schedule'!$J$6:$J$45,R165)="","",INDEX('Recurring Schedule'!$J$6:$J$45,R165)))</f>
        <v/>
      </c>
      <c r="M165" s="73">
        <f>IF(R165="","",IF(INDEX('Recurring Schedule'!$K$6:$K$45,R165)="","",INDEX('Recurring Schedule'!$K$6:$K$45,R165)))</f>
        <v/>
      </c>
      <c r="N165" s="73">
        <f>IF(R165="","",IF(INDEX('Recurring Schedule'!$L$6:$L$45,R165)="","",INDEX('Recurring Schedule'!$L$6:$L$45,R165)))</f>
        <v/>
      </c>
      <c r="O165" s="73">
        <f>IF(C165="","",IF(AND(OR(L165="1-Urgent",L165="2-High"),M165="✓"),"DO FIRST",IF(M165="✓","SCHEDULE",IF(OR(L165="1-Urgent",L165="2-High"),"DELEGATE","DELETE"))))</f>
        <v/>
      </c>
      <c r="P165" s="65" t="n"/>
      <c r="Q165">
        <f>IF(160&gt;Calc!$AQ$368,"",MATCH(159,Calc!$AQ$2:$AQ$367,1))</f>
        <v/>
      </c>
      <c r="R165">
        <f>IF(Q165="","",SMALL(INDEX(Calc!$B$2:$AO$367,Q165,0),160-INDEX(Calc!$AQ$2:$AQ$367,Q165)))</f>
        <v/>
      </c>
    </row>
    <row r="166">
      <c r="B166" s="64">
        <f>IF(R166="","",161)</f>
        <v/>
      </c>
      <c r="C166" s="37">
        <f>IF(R166="","",IF(INDEX('Recurring Schedule'!$C$6:$C$45,R166)="","",INDEX('Recurring Schedule'!$C$6:$C$45,R166)))</f>
        <v/>
      </c>
      <c r="D166" s="36">
        <f>IF(R166="","",IF(INDEX('Recurring Schedule'!$D$6:$D$45,R166)="","",INDEX('Recurring Schedule'!$D$6:$D$45,R166)))</f>
        <v/>
      </c>
      <c r="E166" s="38">
        <f>IF(Q166="","",INDEX(Calc!$A$2:$A$367,Q166))</f>
        <v/>
      </c>
      <c r="F166" s="68">
        <f>IF(OR(C166="",E166=""),"",E166-Setup!$D$7)</f>
        <v/>
      </c>
      <c r="G166" s="74">
        <f>IF(R166="","",IF(INDEX('Recurring Schedule'!$H$6:$H$45,R166)="","",INDEX('Recurring Schedule'!$H$6:$H$45,R166)))</f>
        <v/>
      </c>
      <c r="H166" s="74">
        <f>IF(R166="","",IF(INDEX('Recurring Schedule'!$I$6:$I$45,R166)="","",INDEX('Recurring Schedule'!$I$6:$I$45,R166)))</f>
        <v/>
      </c>
      <c r="I166" s="36">
        <f>IF(OR(G166="",H166=""),"",TRIM(IF(HOUR(H166-G166)&gt;0,HOUR(H166-G166)&amp;" hr ","")&amp;IF(MINUTE(H166-G166)&gt;0,MINUTE(H166-G166)&amp;" min","")))</f>
        <v/>
      </c>
      <c r="J166" s="66" t="n"/>
      <c r="K166" s="70" t="n"/>
      <c r="L166" s="36">
        <f>IF(R166="","",IF(INDEX('Recurring Schedule'!$J$6:$J$45,R166)="","",INDEX('Recurring Schedule'!$J$6:$J$45,R166)))</f>
        <v/>
      </c>
      <c r="M166" s="36">
        <f>IF(R166="","",IF(INDEX('Recurring Schedule'!$K$6:$K$45,R166)="","",INDEX('Recurring Schedule'!$K$6:$K$45,R166)))</f>
        <v/>
      </c>
      <c r="N166" s="36">
        <f>IF(R166="","",IF(INDEX('Recurring Schedule'!$L$6:$L$45,R166)="","",INDEX('Recurring Schedule'!$L$6:$L$45,R166)))</f>
        <v/>
      </c>
      <c r="O166" s="36">
        <f>IF(C166="","",IF(AND(OR(L166="1-Urgent",L166="2-High"),M166="✓"),"DO FIRST",IF(M166="✓","SCHEDULE",IF(OR(L166="1-Urgent",L166="2-High"),"DELEGATE","DELETE"))))</f>
        <v/>
      </c>
      <c r="P166" s="65" t="n"/>
      <c r="Q166">
        <f>IF(161&gt;Calc!$AQ$368,"",MATCH(160,Calc!$AQ$2:$AQ$367,1))</f>
        <v/>
      </c>
      <c r="R166">
        <f>IF(Q166="","",SMALL(INDEX(Calc!$B$2:$AO$367,Q166,0),161-INDEX(Calc!$AQ$2:$AQ$367,Q166)))</f>
        <v/>
      </c>
    </row>
    <row r="167">
      <c r="B167" s="71">
        <f>IF(R167="","",162)</f>
        <v/>
      </c>
      <c r="C167" s="75">
        <f>IF(R167="","",IF(INDEX('Recurring Schedule'!$C$6:$C$45,R167)="","",INDEX('Recurring Schedule'!$C$6:$C$45,R167)))</f>
        <v/>
      </c>
      <c r="D167" s="73">
        <f>IF(R167="","",IF(INDEX('Recurring Schedule'!$D$6:$D$45,R167)="","",INDEX('Recurring Schedule'!$D$6:$D$45,R167)))</f>
        <v/>
      </c>
      <c r="E167" s="76">
        <f>IF(Q167="","",INDEX(Calc!$A$2:$A$367,Q167))</f>
        <v/>
      </c>
      <c r="F167" s="72">
        <f>IF(OR(C167="",E167=""),"",E167-Setup!$D$7)</f>
        <v/>
      </c>
      <c r="G167" s="77">
        <f>IF(R167="","",IF(INDEX('Recurring Schedule'!$H$6:$H$45,R167)="","",INDEX('Recurring Schedule'!$H$6:$H$45,R167)))</f>
        <v/>
      </c>
      <c r="H167" s="77">
        <f>IF(R167="","",IF(INDEX('Recurring Schedule'!$I$6:$I$45,R167)="","",INDEX('Recurring Schedule'!$I$6:$I$45,R167)))</f>
        <v/>
      </c>
      <c r="I167" s="73">
        <f>IF(OR(G167="",H167=""),"",TRIM(IF(HOUR(H167-G167)&gt;0,HOUR(H167-G167)&amp;" hr ","")&amp;IF(MINUTE(H167-G167)&gt;0,MINUTE(H167-G167)&amp;" min","")))</f>
        <v/>
      </c>
      <c r="J167" s="66" t="n"/>
      <c r="K167" s="70" t="n"/>
      <c r="L167" s="73">
        <f>IF(R167="","",IF(INDEX('Recurring Schedule'!$J$6:$J$45,R167)="","",INDEX('Recurring Schedule'!$J$6:$J$45,R167)))</f>
        <v/>
      </c>
      <c r="M167" s="73">
        <f>IF(R167="","",IF(INDEX('Recurring Schedule'!$K$6:$K$45,R167)="","",INDEX('Recurring Schedule'!$K$6:$K$45,R167)))</f>
        <v/>
      </c>
      <c r="N167" s="73">
        <f>IF(R167="","",IF(INDEX('Recurring Schedule'!$L$6:$L$45,R167)="","",INDEX('Recurring Schedule'!$L$6:$L$45,R167)))</f>
        <v/>
      </c>
      <c r="O167" s="73">
        <f>IF(C167="","",IF(AND(OR(L167="1-Urgent",L167="2-High"),M167="✓"),"DO FIRST",IF(M167="✓","SCHEDULE",IF(OR(L167="1-Urgent",L167="2-High"),"DELEGATE","DELETE"))))</f>
        <v/>
      </c>
      <c r="P167" s="65" t="n"/>
      <c r="Q167">
        <f>IF(162&gt;Calc!$AQ$368,"",MATCH(161,Calc!$AQ$2:$AQ$367,1))</f>
        <v/>
      </c>
      <c r="R167">
        <f>IF(Q167="","",SMALL(INDEX(Calc!$B$2:$AO$367,Q167,0),162-INDEX(Calc!$AQ$2:$AQ$367,Q167)))</f>
        <v/>
      </c>
    </row>
    <row r="168">
      <c r="B168" s="64">
        <f>IF(R168="","",163)</f>
        <v/>
      </c>
      <c r="C168" s="37">
        <f>IF(R168="","",IF(INDEX('Recurring Schedule'!$C$6:$C$45,R168)="","",INDEX('Recurring Schedule'!$C$6:$C$45,R168)))</f>
        <v/>
      </c>
      <c r="D168" s="36">
        <f>IF(R168="","",IF(INDEX('Recurring Schedule'!$D$6:$D$45,R168)="","",INDEX('Recurring Schedule'!$D$6:$D$45,R168)))</f>
        <v/>
      </c>
      <c r="E168" s="38">
        <f>IF(Q168="","",INDEX(Calc!$A$2:$A$367,Q168))</f>
        <v/>
      </c>
      <c r="F168" s="68">
        <f>IF(OR(C168="",E168=""),"",E168-Setup!$D$7)</f>
        <v/>
      </c>
      <c r="G168" s="74">
        <f>IF(R168="","",IF(INDEX('Recurring Schedule'!$H$6:$H$45,R168)="","",INDEX('Recurring Schedule'!$H$6:$H$45,R168)))</f>
        <v/>
      </c>
      <c r="H168" s="74">
        <f>IF(R168="","",IF(INDEX('Recurring Schedule'!$I$6:$I$45,R168)="","",INDEX('Recurring Schedule'!$I$6:$I$45,R168)))</f>
        <v/>
      </c>
      <c r="I168" s="36">
        <f>IF(OR(G168="",H168=""),"",TRIM(IF(HOUR(H168-G168)&gt;0,HOUR(H168-G168)&amp;" hr ","")&amp;IF(MINUTE(H168-G168)&gt;0,MINUTE(H168-G168)&amp;" min","")))</f>
        <v/>
      </c>
      <c r="J168" s="66" t="n"/>
      <c r="K168" s="70" t="n"/>
      <c r="L168" s="36">
        <f>IF(R168="","",IF(INDEX('Recurring Schedule'!$J$6:$J$45,R168)="","",INDEX('Recurring Schedule'!$J$6:$J$45,R168)))</f>
        <v/>
      </c>
      <c r="M168" s="36">
        <f>IF(R168="","",IF(INDEX('Recurring Schedule'!$K$6:$K$45,R168)="","",INDEX('Recurring Schedule'!$K$6:$K$45,R168)))</f>
        <v/>
      </c>
      <c r="N168" s="36">
        <f>IF(R168="","",IF(INDEX('Recurring Schedule'!$L$6:$L$45,R168)="","",INDEX('Recurring Schedule'!$L$6:$L$45,R168)))</f>
        <v/>
      </c>
      <c r="O168" s="36">
        <f>IF(C168="","",IF(AND(OR(L168="1-Urgent",L168="2-High"),M168="✓"),"DO FIRST",IF(M168="✓","SCHEDULE",IF(OR(L168="1-Urgent",L168="2-High"),"DELEGATE","DELETE"))))</f>
        <v/>
      </c>
      <c r="P168" s="65" t="n"/>
      <c r="Q168">
        <f>IF(163&gt;Calc!$AQ$368,"",MATCH(162,Calc!$AQ$2:$AQ$367,1))</f>
        <v/>
      </c>
      <c r="R168">
        <f>IF(Q168="","",SMALL(INDEX(Calc!$B$2:$AO$367,Q168,0),163-INDEX(Calc!$AQ$2:$AQ$367,Q168)))</f>
        <v/>
      </c>
    </row>
    <row r="169">
      <c r="B169" s="71">
        <f>IF(R169="","",164)</f>
        <v/>
      </c>
      <c r="C169" s="75">
        <f>IF(R169="","",IF(INDEX('Recurring Schedule'!$C$6:$C$45,R169)="","",INDEX('Recurring Schedule'!$C$6:$C$45,R169)))</f>
        <v/>
      </c>
      <c r="D169" s="73">
        <f>IF(R169="","",IF(INDEX('Recurring Schedule'!$D$6:$D$45,R169)="","",INDEX('Recurring Schedule'!$D$6:$D$45,R169)))</f>
        <v/>
      </c>
      <c r="E169" s="76">
        <f>IF(Q169="","",INDEX(Calc!$A$2:$A$367,Q169))</f>
        <v/>
      </c>
      <c r="F169" s="72">
        <f>IF(OR(C169="",E169=""),"",E169-Setup!$D$7)</f>
        <v/>
      </c>
      <c r="G169" s="77">
        <f>IF(R169="","",IF(INDEX('Recurring Schedule'!$H$6:$H$45,R169)="","",INDEX('Recurring Schedule'!$H$6:$H$45,R169)))</f>
        <v/>
      </c>
      <c r="H169" s="77">
        <f>IF(R169="","",IF(INDEX('Recurring Schedule'!$I$6:$I$45,R169)="","",INDEX('Recurring Schedule'!$I$6:$I$45,R169)))</f>
        <v/>
      </c>
      <c r="I169" s="73">
        <f>IF(OR(G169="",H169=""),"",TRIM(IF(HOUR(H169-G169)&gt;0,HOUR(H169-G169)&amp;" hr ","")&amp;IF(MINUTE(H169-G169)&gt;0,MINUTE(H169-G169)&amp;" min","")))</f>
        <v/>
      </c>
      <c r="J169" s="66" t="n"/>
      <c r="K169" s="70" t="n"/>
      <c r="L169" s="73">
        <f>IF(R169="","",IF(INDEX('Recurring Schedule'!$J$6:$J$45,R169)="","",INDEX('Recurring Schedule'!$J$6:$J$45,R169)))</f>
        <v/>
      </c>
      <c r="M169" s="73">
        <f>IF(R169="","",IF(INDEX('Recurring Schedule'!$K$6:$K$45,R169)="","",INDEX('Recurring Schedule'!$K$6:$K$45,R169)))</f>
        <v/>
      </c>
      <c r="N169" s="73">
        <f>IF(R169="","",IF(INDEX('Recurring Schedule'!$L$6:$L$45,R169)="","",INDEX('Recurring Schedule'!$L$6:$L$45,R169)))</f>
        <v/>
      </c>
      <c r="O169" s="73">
        <f>IF(C169="","",IF(AND(OR(L169="1-Urgent",L169="2-High"),M169="✓"),"DO FIRST",IF(M169="✓","SCHEDULE",IF(OR(L169="1-Urgent",L169="2-High"),"DELEGATE","DELETE"))))</f>
        <v/>
      </c>
      <c r="P169" s="65" t="n"/>
      <c r="Q169">
        <f>IF(164&gt;Calc!$AQ$368,"",MATCH(163,Calc!$AQ$2:$AQ$367,1))</f>
        <v/>
      </c>
      <c r="R169">
        <f>IF(Q169="","",SMALL(INDEX(Calc!$B$2:$AO$367,Q169,0),164-INDEX(Calc!$AQ$2:$AQ$367,Q169)))</f>
        <v/>
      </c>
    </row>
    <row r="170">
      <c r="B170" s="64">
        <f>IF(R170="","",165)</f>
        <v/>
      </c>
      <c r="C170" s="37">
        <f>IF(R170="","",IF(INDEX('Recurring Schedule'!$C$6:$C$45,R170)="","",INDEX('Recurring Schedule'!$C$6:$C$45,R170)))</f>
        <v/>
      </c>
      <c r="D170" s="36">
        <f>IF(R170="","",IF(INDEX('Recurring Schedule'!$D$6:$D$45,R170)="","",INDEX('Recurring Schedule'!$D$6:$D$45,R170)))</f>
        <v/>
      </c>
      <c r="E170" s="38">
        <f>IF(Q170="","",INDEX(Calc!$A$2:$A$367,Q170))</f>
        <v/>
      </c>
      <c r="F170" s="68">
        <f>IF(OR(C170="",E170=""),"",E170-Setup!$D$7)</f>
        <v/>
      </c>
      <c r="G170" s="74">
        <f>IF(R170="","",IF(INDEX('Recurring Schedule'!$H$6:$H$45,R170)="","",INDEX('Recurring Schedule'!$H$6:$H$45,R170)))</f>
        <v/>
      </c>
      <c r="H170" s="74">
        <f>IF(R170="","",IF(INDEX('Recurring Schedule'!$I$6:$I$45,R170)="","",INDEX('Recurring Schedule'!$I$6:$I$45,R170)))</f>
        <v/>
      </c>
      <c r="I170" s="36">
        <f>IF(OR(G170="",H170=""),"",TRIM(IF(HOUR(H170-G170)&gt;0,HOUR(H170-G170)&amp;" hr ","")&amp;IF(MINUTE(H170-G170)&gt;0,MINUTE(H170-G170)&amp;" min","")))</f>
        <v/>
      </c>
      <c r="J170" s="66" t="n"/>
      <c r="K170" s="70" t="n"/>
      <c r="L170" s="36">
        <f>IF(R170="","",IF(INDEX('Recurring Schedule'!$J$6:$J$45,R170)="","",INDEX('Recurring Schedule'!$J$6:$J$45,R170)))</f>
        <v/>
      </c>
      <c r="M170" s="36">
        <f>IF(R170="","",IF(INDEX('Recurring Schedule'!$K$6:$K$45,R170)="","",INDEX('Recurring Schedule'!$K$6:$K$45,R170)))</f>
        <v/>
      </c>
      <c r="N170" s="36">
        <f>IF(R170="","",IF(INDEX('Recurring Schedule'!$L$6:$L$45,R170)="","",INDEX('Recurring Schedule'!$L$6:$L$45,R170)))</f>
        <v/>
      </c>
      <c r="O170" s="36">
        <f>IF(C170="","",IF(AND(OR(L170="1-Urgent",L170="2-High"),M170="✓"),"DO FIRST",IF(M170="✓","SCHEDULE",IF(OR(L170="1-Urgent",L170="2-High"),"DELEGATE","DELETE"))))</f>
        <v/>
      </c>
      <c r="P170" s="65" t="n"/>
      <c r="Q170">
        <f>IF(165&gt;Calc!$AQ$368,"",MATCH(164,Calc!$AQ$2:$AQ$367,1))</f>
        <v/>
      </c>
      <c r="R170">
        <f>IF(Q170="","",SMALL(INDEX(Calc!$B$2:$AO$367,Q170,0),165-INDEX(Calc!$AQ$2:$AQ$367,Q170)))</f>
        <v/>
      </c>
    </row>
    <row r="171">
      <c r="B171" s="71">
        <f>IF(R171="","",166)</f>
        <v/>
      </c>
      <c r="C171" s="75">
        <f>IF(R171="","",IF(INDEX('Recurring Schedule'!$C$6:$C$45,R171)="","",INDEX('Recurring Schedule'!$C$6:$C$45,R171)))</f>
        <v/>
      </c>
      <c r="D171" s="73">
        <f>IF(R171="","",IF(INDEX('Recurring Schedule'!$D$6:$D$45,R171)="","",INDEX('Recurring Schedule'!$D$6:$D$45,R171)))</f>
        <v/>
      </c>
      <c r="E171" s="76">
        <f>IF(Q171="","",INDEX(Calc!$A$2:$A$367,Q171))</f>
        <v/>
      </c>
      <c r="F171" s="72">
        <f>IF(OR(C171="",E171=""),"",E171-Setup!$D$7)</f>
        <v/>
      </c>
      <c r="G171" s="77">
        <f>IF(R171="","",IF(INDEX('Recurring Schedule'!$H$6:$H$45,R171)="","",INDEX('Recurring Schedule'!$H$6:$H$45,R171)))</f>
        <v/>
      </c>
      <c r="H171" s="77">
        <f>IF(R171="","",IF(INDEX('Recurring Schedule'!$I$6:$I$45,R171)="","",INDEX('Recurring Schedule'!$I$6:$I$45,R171)))</f>
        <v/>
      </c>
      <c r="I171" s="73">
        <f>IF(OR(G171="",H171=""),"",TRIM(IF(HOUR(H171-G171)&gt;0,HOUR(H171-G171)&amp;" hr ","")&amp;IF(MINUTE(H171-G171)&gt;0,MINUTE(H171-G171)&amp;" min","")))</f>
        <v/>
      </c>
      <c r="J171" s="66" t="n"/>
      <c r="K171" s="70" t="n"/>
      <c r="L171" s="73">
        <f>IF(R171="","",IF(INDEX('Recurring Schedule'!$J$6:$J$45,R171)="","",INDEX('Recurring Schedule'!$J$6:$J$45,R171)))</f>
        <v/>
      </c>
      <c r="M171" s="73">
        <f>IF(R171="","",IF(INDEX('Recurring Schedule'!$K$6:$K$45,R171)="","",INDEX('Recurring Schedule'!$K$6:$K$45,R171)))</f>
        <v/>
      </c>
      <c r="N171" s="73">
        <f>IF(R171="","",IF(INDEX('Recurring Schedule'!$L$6:$L$45,R171)="","",INDEX('Recurring Schedule'!$L$6:$L$45,R171)))</f>
        <v/>
      </c>
      <c r="O171" s="73">
        <f>IF(C171="","",IF(AND(OR(L171="1-Urgent",L171="2-High"),M171="✓"),"DO FIRST",IF(M171="✓","SCHEDULE",IF(OR(L171="1-Urgent",L171="2-High"),"DELEGATE","DELETE"))))</f>
        <v/>
      </c>
      <c r="P171" s="65" t="n"/>
      <c r="Q171">
        <f>IF(166&gt;Calc!$AQ$368,"",MATCH(165,Calc!$AQ$2:$AQ$367,1))</f>
        <v/>
      </c>
      <c r="R171">
        <f>IF(Q171="","",SMALL(INDEX(Calc!$B$2:$AO$367,Q171,0),166-INDEX(Calc!$AQ$2:$AQ$367,Q171)))</f>
        <v/>
      </c>
    </row>
    <row r="172">
      <c r="B172" s="64">
        <f>IF(R172="","",167)</f>
        <v/>
      </c>
      <c r="C172" s="37">
        <f>IF(R172="","",IF(INDEX('Recurring Schedule'!$C$6:$C$45,R172)="","",INDEX('Recurring Schedule'!$C$6:$C$45,R172)))</f>
        <v/>
      </c>
      <c r="D172" s="36">
        <f>IF(R172="","",IF(INDEX('Recurring Schedule'!$D$6:$D$45,R172)="","",INDEX('Recurring Schedule'!$D$6:$D$45,R172)))</f>
        <v/>
      </c>
      <c r="E172" s="38">
        <f>IF(Q172="","",INDEX(Calc!$A$2:$A$367,Q172))</f>
        <v/>
      </c>
      <c r="F172" s="68">
        <f>IF(OR(C172="",E172=""),"",E172-Setup!$D$7)</f>
        <v/>
      </c>
      <c r="G172" s="74">
        <f>IF(R172="","",IF(INDEX('Recurring Schedule'!$H$6:$H$45,R172)="","",INDEX('Recurring Schedule'!$H$6:$H$45,R172)))</f>
        <v/>
      </c>
      <c r="H172" s="74">
        <f>IF(R172="","",IF(INDEX('Recurring Schedule'!$I$6:$I$45,R172)="","",INDEX('Recurring Schedule'!$I$6:$I$45,R172)))</f>
        <v/>
      </c>
      <c r="I172" s="36">
        <f>IF(OR(G172="",H172=""),"",TRIM(IF(HOUR(H172-G172)&gt;0,HOUR(H172-G172)&amp;" hr ","")&amp;IF(MINUTE(H172-G172)&gt;0,MINUTE(H172-G172)&amp;" min","")))</f>
        <v/>
      </c>
      <c r="J172" s="66" t="n"/>
      <c r="K172" s="70" t="n"/>
      <c r="L172" s="36">
        <f>IF(R172="","",IF(INDEX('Recurring Schedule'!$J$6:$J$45,R172)="","",INDEX('Recurring Schedule'!$J$6:$J$45,R172)))</f>
        <v/>
      </c>
      <c r="M172" s="36">
        <f>IF(R172="","",IF(INDEX('Recurring Schedule'!$K$6:$K$45,R172)="","",INDEX('Recurring Schedule'!$K$6:$K$45,R172)))</f>
        <v/>
      </c>
      <c r="N172" s="36">
        <f>IF(R172="","",IF(INDEX('Recurring Schedule'!$L$6:$L$45,R172)="","",INDEX('Recurring Schedule'!$L$6:$L$45,R172)))</f>
        <v/>
      </c>
      <c r="O172" s="36">
        <f>IF(C172="","",IF(AND(OR(L172="1-Urgent",L172="2-High"),M172="✓"),"DO FIRST",IF(M172="✓","SCHEDULE",IF(OR(L172="1-Urgent",L172="2-High"),"DELEGATE","DELETE"))))</f>
        <v/>
      </c>
      <c r="P172" s="65" t="n"/>
      <c r="Q172">
        <f>IF(167&gt;Calc!$AQ$368,"",MATCH(166,Calc!$AQ$2:$AQ$367,1))</f>
        <v/>
      </c>
      <c r="R172">
        <f>IF(Q172="","",SMALL(INDEX(Calc!$B$2:$AO$367,Q172,0),167-INDEX(Calc!$AQ$2:$AQ$367,Q172)))</f>
        <v/>
      </c>
    </row>
    <row r="173">
      <c r="B173" s="71">
        <f>IF(R173="","",168)</f>
        <v/>
      </c>
      <c r="C173" s="75">
        <f>IF(R173="","",IF(INDEX('Recurring Schedule'!$C$6:$C$45,R173)="","",INDEX('Recurring Schedule'!$C$6:$C$45,R173)))</f>
        <v/>
      </c>
      <c r="D173" s="73">
        <f>IF(R173="","",IF(INDEX('Recurring Schedule'!$D$6:$D$45,R173)="","",INDEX('Recurring Schedule'!$D$6:$D$45,R173)))</f>
        <v/>
      </c>
      <c r="E173" s="76">
        <f>IF(Q173="","",INDEX(Calc!$A$2:$A$367,Q173))</f>
        <v/>
      </c>
      <c r="F173" s="72">
        <f>IF(OR(C173="",E173=""),"",E173-Setup!$D$7)</f>
        <v/>
      </c>
      <c r="G173" s="77">
        <f>IF(R173="","",IF(INDEX('Recurring Schedule'!$H$6:$H$45,R173)="","",INDEX('Recurring Schedule'!$H$6:$H$45,R173)))</f>
        <v/>
      </c>
      <c r="H173" s="77">
        <f>IF(R173="","",IF(INDEX('Recurring Schedule'!$I$6:$I$45,R173)="","",INDEX('Recurring Schedule'!$I$6:$I$45,R173)))</f>
        <v/>
      </c>
      <c r="I173" s="73">
        <f>IF(OR(G173="",H173=""),"",TRIM(IF(HOUR(H173-G173)&gt;0,HOUR(H173-G173)&amp;" hr ","")&amp;IF(MINUTE(H173-G173)&gt;0,MINUTE(H173-G173)&amp;" min","")))</f>
        <v/>
      </c>
      <c r="J173" s="66" t="n"/>
      <c r="K173" s="70" t="n"/>
      <c r="L173" s="73">
        <f>IF(R173="","",IF(INDEX('Recurring Schedule'!$J$6:$J$45,R173)="","",INDEX('Recurring Schedule'!$J$6:$J$45,R173)))</f>
        <v/>
      </c>
      <c r="M173" s="73">
        <f>IF(R173="","",IF(INDEX('Recurring Schedule'!$K$6:$K$45,R173)="","",INDEX('Recurring Schedule'!$K$6:$K$45,R173)))</f>
        <v/>
      </c>
      <c r="N173" s="73">
        <f>IF(R173="","",IF(INDEX('Recurring Schedule'!$L$6:$L$45,R173)="","",INDEX('Recurring Schedule'!$L$6:$L$45,R173)))</f>
        <v/>
      </c>
      <c r="O173" s="73">
        <f>IF(C173="","",IF(AND(OR(L173="1-Urgent",L173="2-High"),M173="✓"),"DO FIRST",IF(M173="✓","SCHEDULE",IF(OR(L173="1-Urgent",L173="2-High"),"DELEGATE","DELETE"))))</f>
        <v/>
      </c>
      <c r="P173" s="65" t="n"/>
      <c r="Q173">
        <f>IF(168&gt;Calc!$AQ$368,"",MATCH(167,Calc!$AQ$2:$AQ$367,1))</f>
        <v/>
      </c>
      <c r="R173">
        <f>IF(Q173="","",SMALL(INDEX(Calc!$B$2:$AO$367,Q173,0),168-INDEX(Calc!$AQ$2:$AQ$367,Q173)))</f>
        <v/>
      </c>
    </row>
    <row r="174">
      <c r="B174" s="64">
        <f>IF(R174="","",169)</f>
        <v/>
      </c>
      <c r="C174" s="37">
        <f>IF(R174="","",IF(INDEX('Recurring Schedule'!$C$6:$C$45,R174)="","",INDEX('Recurring Schedule'!$C$6:$C$45,R174)))</f>
        <v/>
      </c>
      <c r="D174" s="36">
        <f>IF(R174="","",IF(INDEX('Recurring Schedule'!$D$6:$D$45,R174)="","",INDEX('Recurring Schedule'!$D$6:$D$45,R174)))</f>
        <v/>
      </c>
      <c r="E174" s="38">
        <f>IF(Q174="","",INDEX(Calc!$A$2:$A$367,Q174))</f>
        <v/>
      </c>
      <c r="F174" s="68">
        <f>IF(OR(C174="",E174=""),"",E174-Setup!$D$7)</f>
        <v/>
      </c>
      <c r="G174" s="74">
        <f>IF(R174="","",IF(INDEX('Recurring Schedule'!$H$6:$H$45,R174)="","",INDEX('Recurring Schedule'!$H$6:$H$45,R174)))</f>
        <v/>
      </c>
      <c r="H174" s="74">
        <f>IF(R174="","",IF(INDEX('Recurring Schedule'!$I$6:$I$45,R174)="","",INDEX('Recurring Schedule'!$I$6:$I$45,R174)))</f>
        <v/>
      </c>
      <c r="I174" s="36">
        <f>IF(OR(G174="",H174=""),"",TRIM(IF(HOUR(H174-G174)&gt;0,HOUR(H174-G174)&amp;" hr ","")&amp;IF(MINUTE(H174-G174)&gt;0,MINUTE(H174-G174)&amp;" min","")))</f>
        <v/>
      </c>
      <c r="J174" s="66" t="n"/>
      <c r="K174" s="70" t="n"/>
      <c r="L174" s="36">
        <f>IF(R174="","",IF(INDEX('Recurring Schedule'!$J$6:$J$45,R174)="","",INDEX('Recurring Schedule'!$J$6:$J$45,R174)))</f>
        <v/>
      </c>
      <c r="M174" s="36">
        <f>IF(R174="","",IF(INDEX('Recurring Schedule'!$K$6:$K$45,R174)="","",INDEX('Recurring Schedule'!$K$6:$K$45,R174)))</f>
        <v/>
      </c>
      <c r="N174" s="36">
        <f>IF(R174="","",IF(INDEX('Recurring Schedule'!$L$6:$L$45,R174)="","",INDEX('Recurring Schedule'!$L$6:$L$45,R174)))</f>
        <v/>
      </c>
      <c r="O174" s="36">
        <f>IF(C174="","",IF(AND(OR(L174="1-Urgent",L174="2-High"),M174="✓"),"DO FIRST",IF(M174="✓","SCHEDULE",IF(OR(L174="1-Urgent",L174="2-High"),"DELEGATE","DELETE"))))</f>
        <v/>
      </c>
      <c r="P174" s="65" t="n"/>
      <c r="Q174">
        <f>IF(169&gt;Calc!$AQ$368,"",MATCH(168,Calc!$AQ$2:$AQ$367,1))</f>
        <v/>
      </c>
      <c r="R174">
        <f>IF(Q174="","",SMALL(INDEX(Calc!$B$2:$AO$367,Q174,0),169-INDEX(Calc!$AQ$2:$AQ$367,Q174)))</f>
        <v/>
      </c>
    </row>
    <row r="175">
      <c r="B175" s="71">
        <f>IF(R175="","",170)</f>
        <v/>
      </c>
      <c r="C175" s="75">
        <f>IF(R175="","",IF(INDEX('Recurring Schedule'!$C$6:$C$45,R175)="","",INDEX('Recurring Schedule'!$C$6:$C$45,R175)))</f>
        <v/>
      </c>
      <c r="D175" s="73">
        <f>IF(R175="","",IF(INDEX('Recurring Schedule'!$D$6:$D$45,R175)="","",INDEX('Recurring Schedule'!$D$6:$D$45,R175)))</f>
        <v/>
      </c>
      <c r="E175" s="76">
        <f>IF(Q175="","",INDEX(Calc!$A$2:$A$367,Q175))</f>
        <v/>
      </c>
      <c r="F175" s="72">
        <f>IF(OR(C175="",E175=""),"",E175-Setup!$D$7)</f>
        <v/>
      </c>
      <c r="G175" s="77">
        <f>IF(R175="","",IF(INDEX('Recurring Schedule'!$H$6:$H$45,R175)="","",INDEX('Recurring Schedule'!$H$6:$H$45,R175)))</f>
        <v/>
      </c>
      <c r="H175" s="77">
        <f>IF(R175="","",IF(INDEX('Recurring Schedule'!$I$6:$I$45,R175)="","",INDEX('Recurring Schedule'!$I$6:$I$45,R175)))</f>
        <v/>
      </c>
      <c r="I175" s="73">
        <f>IF(OR(G175="",H175=""),"",TRIM(IF(HOUR(H175-G175)&gt;0,HOUR(H175-G175)&amp;" hr ","")&amp;IF(MINUTE(H175-G175)&gt;0,MINUTE(H175-G175)&amp;" min","")))</f>
        <v/>
      </c>
      <c r="J175" s="66" t="n"/>
      <c r="K175" s="70" t="n"/>
      <c r="L175" s="73">
        <f>IF(R175="","",IF(INDEX('Recurring Schedule'!$J$6:$J$45,R175)="","",INDEX('Recurring Schedule'!$J$6:$J$45,R175)))</f>
        <v/>
      </c>
      <c r="M175" s="73">
        <f>IF(R175="","",IF(INDEX('Recurring Schedule'!$K$6:$K$45,R175)="","",INDEX('Recurring Schedule'!$K$6:$K$45,R175)))</f>
        <v/>
      </c>
      <c r="N175" s="73">
        <f>IF(R175="","",IF(INDEX('Recurring Schedule'!$L$6:$L$45,R175)="","",INDEX('Recurring Schedule'!$L$6:$L$45,R175)))</f>
        <v/>
      </c>
      <c r="O175" s="73">
        <f>IF(C175="","",IF(AND(OR(L175="1-Urgent",L175="2-High"),M175="✓"),"DO FIRST",IF(M175="✓","SCHEDULE",IF(OR(L175="1-Urgent",L175="2-High"),"DELEGATE","DELETE"))))</f>
        <v/>
      </c>
      <c r="P175" s="65" t="n"/>
      <c r="Q175">
        <f>IF(170&gt;Calc!$AQ$368,"",MATCH(169,Calc!$AQ$2:$AQ$367,1))</f>
        <v/>
      </c>
      <c r="R175">
        <f>IF(Q175="","",SMALL(INDEX(Calc!$B$2:$AO$367,Q175,0),170-INDEX(Calc!$AQ$2:$AQ$367,Q175)))</f>
        <v/>
      </c>
    </row>
    <row r="176">
      <c r="B176" s="64">
        <f>IF(R176="","",171)</f>
        <v/>
      </c>
      <c r="C176" s="37">
        <f>IF(R176="","",IF(INDEX('Recurring Schedule'!$C$6:$C$45,R176)="","",INDEX('Recurring Schedule'!$C$6:$C$45,R176)))</f>
        <v/>
      </c>
      <c r="D176" s="36">
        <f>IF(R176="","",IF(INDEX('Recurring Schedule'!$D$6:$D$45,R176)="","",INDEX('Recurring Schedule'!$D$6:$D$45,R176)))</f>
        <v/>
      </c>
      <c r="E176" s="38">
        <f>IF(Q176="","",INDEX(Calc!$A$2:$A$367,Q176))</f>
        <v/>
      </c>
      <c r="F176" s="68">
        <f>IF(OR(C176="",E176=""),"",E176-Setup!$D$7)</f>
        <v/>
      </c>
      <c r="G176" s="74">
        <f>IF(R176="","",IF(INDEX('Recurring Schedule'!$H$6:$H$45,R176)="","",INDEX('Recurring Schedule'!$H$6:$H$45,R176)))</f>
        <v/>
      </c>
      <c r="H176" s="74">
        <f>IF(R176="","",IF(INDEX('Recurring Schedule'!$I$6:$I$45,R176)="","",INDEX('Recurring Schedule'!$I$6:$I$45,R176)))</f>
        <v/>
      </c>
      <c r="I176" s="36">
        <f>IF(OR(G176="",H176=""),"",TRIM(IF(HOUR(H176-G176)&gt;0,HOUR(H176-G176)&amp;" hr ","")&amp;IF(MINUTE(H176-G176)&gt;0,MINUTE(H176-G176)&amp;" min","")))</f>
        <v/>
      </c>
      <c r="J176" s="66" t="n"/>
      <c r="K176" s="70" t="n"/>
      <c r="L176" s="36">
        <f>IF(R176="","",IF(INDEX('Recurring Schedule'!$J$6:$J$45,R176)="","",INDEX('Recurring Schedule'!$J$6:$J$45,R176)))</f>
        <v/>
      </c>
      <c r="M176" s="36">
        <f>IF(R176="","",IF(INDEX('Recurring Schedule'!$K$6:$K$45,R176)="","",INDEX('Recurring Schedule'!$K$6:$K$45,R176)))</f>
        <v/>
      </c>
      <c r="N176" s="36">
        <f>IF(R176="","",IF(INDEX('Recurring Schedule'!$L$6:$L$45,R176)="","",INDEX('Recurring Schedule'!$L$6:$L$45,R176)))</f>
        <v/>
      </c>
      <c r="O176" s="36">
        <f>IF(C176="","",IF(AND(OR(L176="1-Urgent",L176="2-High"),M176="✓"),"DO FIRST",IF(M176="✓","SCHEDULE",IF(OR(L176="1-Urgent",L176="2-High"),"DELEGATE","DELETE"))))</f>
        <v/>
      </c>
      <c r="P176" s="65" t="n"/>
      <c r="Q176">
        <f>IF(171&gt;Calc!$AQ$368,"",MATCH(170,Calc!$AQ$2:$AQ$367,1))</f>
        <v/>
      </c>
      <c r="R176">
        <f>IF(Q176="","",SMALL(INDEX(Calc!$B$2:$AO$367,Q176,0),171-INDEX(Calc!$AQ$2:$AQ$367,Q176)))</f>
        <v/>
      </c>
    </row>
    <row r="177">
      <c r="B177" s="71">
        <f>IF(R177="","",172)</f>
        <v/>
      </c>
      <c r="C177" s="75">
        <f>IF(R177="","",IF(INDEX('Recurring Schedule'!$C$6:$C$45,R177)="","",INDEX('Recurring Schedule'!$C$6:$C$45,R177)))</f>
        <v/>
      </c>
      <c r="D177" s="73">
        <f>IF(R177="","",IF(INDEX('Recurring Schedule'!$D$6:$D$45,R177)="","",INDEX('Recurring Schedule'!$D$6:$D$45,R177)))</f>
        <v/>
      </c>
      <c r="E177" s="76">
        <f>IF(Q177="","",INDEX(Calc!$A$2:$A$367,Q177))</f>
        <v/>
      </c>
      <c r="F177" s="72">
        <f>IF(OR(C177="",E177=""),"",E177-Setup!$D$7)</f>
        <v/>
      </c>
      <c r="G177" s="77">
        <f>IF(R177="","",IF(INDEX('Recurring Schedule'!$H$6:$H$45,R177)="","",INDEX('Recurring Schedule'!$H$6:$H$45,R177)))</f>
        <v/>
      </c>
      <c r="H177" s="77">
        <f>IF(R177="","",IF(INDEX('Recurring Schedule'!$I$6:$I$45,R177)="","",INDEX('Recurring Schedule'!$I$6:$I$45,R177)))</f>
        <v/>
      </c>
      <c r="I177" s="73">
        <f>IF(OR(G177="",H177=""),"",TRIM(IF(HOUR(H177-G177)&gt;0,HOUR(H177-G177)&amp;" hr ","")&amp;IF(MINUTE(H177-G177)&gt;0,MINUTE(H177-G177)&amp;" min","")))</f>
        <v/>
      </c>
      <c r="J177" s="66" t="n"/>
      <c r="K177" s="70" t="n"/>
      <c r="L177" s="73">
        <f>IF(R177="","",IF(INDEX('Recurring Schedule'!$J$6:$J$45,R177)="","",INDEX('Recurring Schedule'!$J$6:$J$45,R177)))</f>
        <v/>
      </c>
      <c r="M177" s="73">
        <f>IF(R177="","",IF(INDEX('Recurring Schedule'!$K$6:$K$45,R177)="","",INDEX('Recurring Schedule'!$K$6:$K$45,R177)))</f>
        <v/>
      </c>
      <c r="N177" s="73">
        <f>IF(R177="","",IF(INDEX('Recurring Schedule'!$L$6:$L$45,R177)="","",INDEX('Recurring Schedule'!$L$6:$L$45,R177)))</f>
        <v/>
      </c>
      <c r="O177" s="73">
        <f>IF(C177="","",IF(AND(OR(L177="1-Urgent",L177="2-High"),M177="✓"),"DO FIRST",IF(M177="✓","SCHEDULE",IF(OR(L177="1-Urgent",L177="2-High"),"DELEGATE","DELETE"))))</f>
        <v/>
      </c>
      <c r="P177" s="65" t="n"/>
      <c r="Q177">
        <f>IF(172&gt;Calc!$AQ$368,"",MATCH(171,Calc!$AQ$2:$AQ$367,1))</f>
        <v/>
      </c>
      <c r="R177">
        <f>IF(Q177="","",SMALL(INDEX(Calc!$B$2:$AO$367,Q177,0),172-INDEX(Calc!$AQ$2:$AQ$367,Q177)))</f>
        <v/>
      </c>
    </row>
    <row r="178">
      <c r="B178" s="64">
        <f>IF(R178="","",173)</f>
        <v/>
      </c>
      <c r="C178" s="37">
        <f>IF(R178="","",IF(INDEX('Recurring Schedule'!$C$6:$C$45,R178)="","",INDEX('Recurring Schedule'!$C$6:$C$45,R178)))</f>
        <v/>
      </c>
      <c r="D178" s="36">
        <f>IF(R178="","",IF(INDEX('Recurring Schedule'!$D$6:$D$45,R178)="","",INDEX('Recurring Schedule'!$D$6:$D$45,R178)))</f>
        <v/>
      </c>
      <c r="E178" s="38">
        <f>IF(Q178="","",INDEX(Calc!$A$2:$A$367,Q178))</f>
        <v/>
      </c>
      <c r="F178" s="68">
        <f>IF(OR(C178="",E178=""),"",E178-Setup!$D$7)</f>
        <v/>
      </c>
      <c r="G178" s="74">
        <f>IF(R178="","",IF(INDEX('Recurring Schedule'!$H$6:$H$45,R178)="","",INDEX('Recurring Schedule'!$H$6:$H$45,R178)))</f>
        <v/>
      </c>
      <c r="H178" s="74">
        <f>IF(R178="","",IF(INDEX('Recurring Schedule'!$I$6:$I$45,R178)="","",INDEX('Recurring Schedule'!$I$6:$I$45,R178)))</f>
        <v/>
      </c>
      <c r="I178" s="36">
        <f>IF(OR(G178="",H178=""),"",TRIM(IF(HOUR(H178-G178)&gt;0,HOUR(H178-G178)&amp;" hr ","")&amp;IF(MINUTE(H178-G178)&gt;0,MINUTE(H178-G178)&amp;" min","")))</f>
        <v/>
      </c>
      <c r="J178" s="66" t="n"/>
      <c r="K178" s="70" t="n"/>
      <c r="L178" s="36">
        <f>IF(R178="","",IF(INDEX('Recurring Schedule'!$J$6:$J$45,R178)="","",INDEX('Recurring Schedule'!$J$6:$J$45,R178)))</f>
        <v/>
      </c>
      <c r="M178" s="36">
        <f>IF(R178="","",IF(INDEX('Recurring Schedule'!$K$6:$K$45,R178)="","",INDEX('Recurring Schedule'!$K$6:$K$45,R178)))</f>
        <v/>
      </c>
      <c r="N178" s="36">
        <f>IF(R178="","",IF(INDEX('Recurring Schedule'!$L$6:$L$45,R178)="","",INDEX('Recurring Schedule'!$L$6:$L$45,R178)))</f>
        <v/>
      </c>
      <c r="O178" s="36">
        <f>IF(C178="","",IF(AND(OR(L178="1-Urgent",L178="2-High"),M178="✓"),"DO FIRST",IF(M178="✓","SCHEDULE",IF(OR(L178="1-Urgent",L178="2-High"),"DELEGATE","DELETE"))))</f>
        <v/>
      </c>
      <c r="P178" s="65" t="n"/>
      <c r="Q178">
        <f>IF(173&gt;Calc!$AQ$368,"",MATCH(172,Calc!$AQ$2:$AQ$367,1))</f>
        <v/>
      </c>
      <c r="R178">
        <f>IF(Q178="","",SMALL(INDEX(Calc!$B$2:$AO$367,Q178,0),173-INDEX(Calc!$AQ$2:$AQ$367,Q178)))</f>
        <v/>
      </c>
    </row>
    <row r="179">
      <c r="B179" s="71">
        <f>IF(R179="","",174)</f>
        <v/>
      </c>
      <c r="C179" s="75">
        <f>IF(R179="","",IF(INDEX('Recurring Schedule'!$C$6:$C$45,R179)="","",INDEX('Recurring Schedule'!$C$6:$C$45,R179)))</f>
        <v/>
      </c>
      <c r="D179" s="73">
        <f>IF(R179="","",IF(INDEX('Recurring Schedule'!$D$6:$D$45,R179)="","",INDEX('Recurring Schedule'!$D$6:$D$45,R179)))</f>
        <v/>
      </c>
      <c r="E179" s="76">
        <f>IF(Q179="","",INDEX(Calc!$A$2:$A$367,Q179))</f>
        <v/>
      </c>
      <c r="F179" s="72">
        <f>IF(OR(C179="",E179=""),"",E179-Setup!$D$7)</f>
        <v/>
      </c>
      <c r="G179" s="77">
        <f>IF(R179="","",IF(INDEX('Recurring Schedule'!$H$6:$H$45,R179)="","",INDEX('Recurring Schedule'!$H$6:$H$45,R179)))</f>
        <v/>
      </c>
      <c r="H179" s="77">
        <f>IF(R179="","",IF(INDEX('Recurring Schedule'!$I$6:$I$45,R179)="","",INDEX('Recurring Schedule'!$I$6:$I$45,R179)))</f>
        <v/>
      </c>
      <c r="I179" s="73">
        <f>IF(OR(G179="",H179=""),"",TRIM(IF(HOUR(H179-G179)&gt;0,HOUR(H179-G179)&amp;" hr ","")&amp;IF(MINUTE(H179-G179)&gt;0,MINUTE(H179-G179)&amp;" min","")))</f>
        <v/>
      </c>
      <c r="J179" s="66" t="n"/>
      <c r="K179" s="70" t="n"/>
      <c r="L179" s="73">
        <f>IF(R179="","",IF(INDEX('Recurring Schedule'!$J$6:$J$45,R179)="","",INDEX('Recurring Schedule'!$J$6:$J$45,R179)))</f>
        <v/>
      </c>
      <c r="M179" s="73">
        <f>IF(R179="","",IF(INDEX('Recurring Schedule'!$K$6:$K$45,R179)="","",INDEX('Recurring Schedule'!$K$6:$K$45,R179)))</f>
        <v/>
      </c>
      <c r="N179" s="73">
        <f>IF(R179="","",IF(INDEX('Recurring Schedule'!$L$6:$L$45,R179)="","",INDEX('Recurring Schedule'!$L$6:$L$45,R179)))</f>
        <v/>
      </c>
      <c r="O179" s="73">
        <f>IF(C179="","",IF(AND(OR(L179="1-Urgent",L179="2-High"),M179="✓"),"DO FIRST",IF(M179="✓","SCHEDULE",IF(OR(L179="1-Urgent",L179="2-High"),"DELEGATE","DELETE"))))</f>
        <v/>
      </c>
      <c r="P179" s="65" t="n"/>
      <c r="Q179">
        <f>IF(174&gt;Calc!$AQ$368,"",MATCH(173,Calc!$AQ$2:$AQ$367,1))</f>
        <v/>
      </c>
      <c r="R179">
        <f>IF(Q179="","",SMALL(INDEX(Calc!$B$2:$AO$367,Q179,0),174-INDEX(Calc!$AQ$2:$AQ$367,Q179)))</f>
        <v/>
      </c>
    </row>
    <row r="180">
      <c r="B180" s="64">
        <f>IF(R180="","",175)</f>
        <v/>
      </c>
      <c r="C180" s="37">
        <f>IF(R180="","",IF(INDEX('Recurring Schedule'!$C$6:$C$45,R180)="","",INDEX('Recurring Schedule'!$C$6:$C$45,R180)))</f>
        <v/>
      </c>
      <c r="D180" s="36">
        <f>IF(R180="","",IF(INDEX('Recurring Schedule'!$D$6:$D$45,R180)="","",INDEX('Recurring Schedule'!$D$6:$D$45,R180)))</f>
        <v/>
      </c>
      <c r="E180" s="38">
        <f>IF(Q180="","",INDEX(Calc!$A$2:$A$367,Q180))</f>
        <v/>
      </c>
      <c r="F180" s="68">
        <f>IF(OR(C180="",E180=""),"",E180-Setup!$D$7)</f>
        <v/>
      </c>
      <c r="G180" s="74">
        <f>IF(R180="","",IF(INDEX('Recurring Schedule'!$H$6:$H$45,R180)="","",INDEX('Recurring Schedule'!$H$6:$H$45,R180)))</f>
        <v/>
      </c>
      <c r="H180" s="74">
        <f>IF(R180="","",IF(INDEX('Recurring Schedule'!$I$6:$I$45,R180)="","",INDEX('Recurring Schedule'!$I$6:$I$45,R180)))</f>
        <v/>
      </c>
      <c r="I180" s="36">
        <f>IF(OR(G180="",H180=""),"",TRIM(IF(HOUR(H180-G180)&gt;0,HOUR(H180-G180)&amp;" hr ","")&amp;IF(MINUTE(H180-G180)&gt;0,MINUTE(H180-G180)&amp;" min","")))</f>
        <v/>
      </c>
      <c r="J180" s="66" t="n"/>
      <c r="K180" s="70" t="n"/>
      <c r="L180" s="36">
        <f>IF(R180="","",IF(INDEX('Recurring Schedule'!$J$6:$J$45,R180)="","",INDEX('Recurring Schedule'!$J$6:$J$45,R180)))</f>
        <v/>
      </c>
      <c r="M180" s="36">
        <f>IF(R180="","",IF(INDEX('Recurring Schedule'!$K$6:$K$45,R180)="","",INDEX('Recurring Schedule'!$K$6:$K$45,R180)))</f>
        <v/>
      </c>
      <c r="N180" s="36">
        <f>IF(R180="","",IF(INDEX('Recurring Schedule'!$L$6:$L$45,R180)="","",INDEX('Recurring Schedule'!$L$6:$L$45,R180)))</f>
        <v/>
      </c>
      <c r="O180" s="36">
        <f>IF(C180="","",IF(AND(OR(L180="1-Urgent",L180="2-High"),M180="✓"),"DO FIRST",IF(M180="✓","SCHEDULE",IF(OR(L180="1-Urgent",L180="2-High"),"DELEGATE","DELETE"))))</f>
        <v/>
      </c>
      <c r="P180" s="65" t="n"/>
      <c r="Q180">
        <f>IF(175&gt;Calc!$AQ$368,"",MATCH(174,Calc!$AQ$2:$AQ$367,1))</f>
        <v/>
      </c>
      <c r="R180">
        <f>IF(Q180="","",SMALL(INDEX(Calc!$B$2:$AO$367,Q180,0),175-INDEX(Calc!$AQ$2:$AQ$367,Q180)))</f>
        <v/>
      </c>
    </row>
    <row r="181">
      <c r="B181" s="71">
        <f>IF(R181="","",176)</f>
        <v/>
      </c>
      <c r="C181" s="75">
        <f>IF(R181="","",IF(INDEX('Recurring Schedule'!$C$6:$C$45,R181)="","",INDEX('Recurring Schedule'!$C$6:$C$45,R181)))</f>
        <v/>
      </c>
      <c r="D181" s="73">
        <f>IF(R181="","",IF(INDEX('Recurring Schedule'!$D$6:$D$45,R181)="","",INDEX('Recurring Schedule'!$D$6:$D$45,R181)))</f>
        <v/>
      </c>
      <c r="E181" s="76">
        <f>IF(Q181="","",INDEX(Calc!$A$2:$A$367,Q181))</f>
        <v/>
      </c>
      <c r="F181" s="72">
        <f>IF(OR(C181="",E181=""),"",E181-Setup!$D$7)</f>
        <v/>
      </c>
      <c r="G181" s="77">
        <f>IF(R181="","",IF(INDEX('Recurring Schedule'!$H$6:$H$45,R181)="","",INDEX('Recurring Schedule'!$H$6:$H$45,R181)))</f>
        <v/>
      </c>
      <c r="H181" s="77">
        <f>IF(R181="","",IF(INDEX('Recurring Schedule'!$I$6:$I$45,R181)="","",INDEX('Recurring Schedule'!$I$6:$I$45,R181)))</f>
        <v/>
      </c>
      <c r="I181" s="73">
        <f>IF(OR(G181="",H181=""),"",TRIM(IF(HOUR(H181-G181)&gt;0,HOUR(H181-G181)&amp;" hr ","")&amp;IF(MINUTE(H181-G181)&gt;0,MINUTE(H181-G181)&amp;" min","")))</f>
        <v/>
      </c>
      <c r="J181" s="66" t="n"/>
      <c r="K181" s="70" t="n"/>
      <c r="L181" s="73">
        <f>IF(R181="","",IF(INDEX('Recurring Schedule'!$J$6:$J$45,R181)="","",INDEX('Recurring Schedule'!$J$6:$J$45,R181)))</f>
        <v/>
      </c>
      <c r="M181" s="73">
        <f>IF(R181="","",IF(INDEX('Recurring Schedule'!$K$6:$K$45,R181)="","",INDEX('Recurring Schedule'!$K$6:$K$45,R181)))</f>
        <v/>
      </c>
      <c r="N181" s="73">
        <f>IF(R181="","",IF(INDEX('Recurring Schedule'!$L$6:$L$45,R181)="","",INDEX('Recurring Schedule'!$L$6:$L$45,R181)))</f>
        <v/>
      </c>
      <c r="O181" s="73">
        <f>IF(C181="","",IF(AND(OR(L181="1-Urgent",L181="2-High"),M181="✓"),"DO FIRST",IF(M181="✓","SCHEDULE",IF(OR(L181="1-Urgent",L181="2-High"),"DELEGATE","DELETE"))))</f>
        <v/>
      </c>
      <c r="P181" s="65" t="n"/>
      <c r="Q181">
        <f>IF(176&gt;Calc!$AQ$368,"",MATCH(175,Calc!$AQ$2:$AQ$367,1))</f>
        <v/>
      </c>
      <c r="R181">
        <f>IF(Q181="","",SMALL(INDEX(Calc!$B$2:$AO$367,Q181,0),176-INDEX(Calc!$AQ$2:$AQ$367,Q181)))</f>
        <v/>
      </c>
    </row>
    <row r="182">
      <c r="B182" s="64">
        <f>IF(R182="","",177)</f>
        <v/>
      </c>
      <c r="C182" s="37">
        <f>IF(R182="","",IF(INDEX('Recurring Schedule'!$C$6:$C$45,R182)="","",INDEX('Recurring Schedule'!$C$6:$C$45,R182)))</f>
        <v/>
      </c>
      <c r="D182" s="36">
        <f>IF(R182="","",IF(INDEX('Recurring Schedule'!$D$6:$D$45,R182)="","",INDEX('Recurring Schedule'!$D$6:$D$45,R182)))</f>
        <v/>
      </c>
      <c r="E182" s="38">
        <f>IF(Q182="","",INDEX(Calc!$A$2:$A$367,Q182))</f>
        <v/>
      </c>
      <c r="F182" s="68">
        <f>IF(OR(C182="",E182=""),"",E182-Setup!$D$7)</f>
        <v/>
      </c>
      <c r="G182" s="74">
        <f>IF(R182="","",IF(INDEX('Recurring Schedule'!$H$6:$H$45,R182)="","",INDEX('Recurring Schedule'!$H$6:$H$45,R182)))</f>
        <v/>
      </c>
      <c r="H182" s="74">
        <f>IF(R182="","",IF(INDEX('Recurring Schedule'!$I$6:$I$45,R182)="","",INDEX('Recurring Schedule'!$I$6:$I$45,R182)))</f>
        <v/>
      </c>
      <c r="I182" s="36">
        <f>IF(OR(G182="",H182=""),"",TRIM(IF(HOUR(H182-G182)&gt;0,HOUR(H182-G182)&amp;" hr ","")&amp;IF(MINUTE(H182-G182)&gt;0,MINUTE(H182-G182)&amp;" min","")))</f>
        <v/>
      </c>
      <c r="J182" s="66" t="n"/>
      <c r="K182" s="70" t="n"/>
      <c r="L182" s="36">
        <f>IF(R182="","",IF(INDEX('Recurring Schedule'!$J$6:$J$45,R182)="","",INDEX('Recurring Schedule'!$J$6:$J$45,R182)))</f>
        <v/>
      </c>
      <c r="M182" s="36">
        <f>IF(R182="","",IF(INDEX('Recurring Schedule'!$K$6:$K$45,R182)="","",INDEX('Recurring Schedule'!$K$6:$K$45,R182)))</f>
        <v/>
      </c>
      <c r="N182" s="36">
        <f>IF(R182="","",IF(INDEX('Recurring Schedule'!$L$6:$L$45,R182)="","",INDEX('Recurring Schedule'!$L$6:$L$45,R182)))</f>
        <v/>
      </c>
      <c r="O182" s="36">
        <f>IF(C182="","",IF(AND(OR(L182="1-Urgent",L182="2-High"),M182="✓"),"DO FIRST",IF(M182="✓","SCHEDULE",IF(OR(L182="1-Urgent",L182="2-High"),"DELEGATE","DELETE"))))</f>
        <v/>
      </c>
      <c r="P182" s="65" t="n"/>
      <c r="Q182">
        <f>IF(177&gt;Calc!$AQ$368,"",MATCH(176,Calc!$AQ$2:$AQ$367,1))</f>
        <v/>
      </c>
      <c r="R182">
        <f>IF(Q182="","",SMALL(INDEX(Calc!$B$2:$AO$367,Q182,0),177-INDEX(Calc!$AQ$2:$AQ$367,Q182)))</f>
        <v/>
      </c>
    </row>
    <row r="183">
      <c r="B183" s="71">
        <f>IF(R183="","",178)</f>
        <v/>
      </c>
      <c r="C183" s="75">
        <f>IF(R183="","",IF(INDEX('Recurring Schedule'!$C$6:$C$45,R183)="","",INDEX('Recurring Schedule'!$C$6:$C$45,R183)))</f>
        <v/>
      </c>
      <c r="D183" s="73">
        <f>IF(R183="","",IF(INDEX('Recurring Schedule'!$D$6:$D$45,R183)="","",INDEX('Recurring Schedule'!$D$6:$D$45,R183)))</f>
        <v/>
      </c>
      <c r="E183" s="76">
        <f>IF(Q183="","",INDEX(Calc!$A$2:$A$367,Q183))</f>
        <v/>
      </c>
      <c r="F183" s="72">
        <f>IF(OR(C183="",E183=""),"",E183-Setup!$D$7)</f>
        <v/>
      </c>
      <c r="G183" s="77">
        <f>IF(R183="","",IF(INDEX('Recurring Schedule'!$H$6:$H$45,R183)="","",INDEX('Recurring Schedule'!$H$6:$H$45,R183)))</f>
        <v/>
      </c>
      <c r="H183" s="77">
        <f>IF(R183="","",IF(INDEX('Recurring Schedule'!$I$6:$I$45,R183)="","",INDEX('Recurring Schedule'!$I$6:$I$45,R183)))</f>
        <v/>
      </c>
      <c r="I183" s="73">
        <f>IF(OR(G183="",H183=""),"",TRIM(IF(HOUR(H183-G183)&gt;0,HOUR(H183-G183)&amp;" hr ","")&amp;IF(MINUTE(H183-G183)&gt;0,MINUTE(H183-G183)&amp;" min","")))</f>
        <v/>
      </c>
      <c r="J183" s="66" t="n"/>
      <c r="K183" s="70" t="n"/>
      <c r="L183" s="73">
        <f>IF(R183="","",IF(INDEX('Recurring Schedule'!$J$6:$J$45,R183)="","",INDEX('Recurring Schedule'!$J$6:$J$45,R183)))</f>
        <v/>
      </c>
      <c r="M183" s="73">
        <f>IF(R183="","",IF(INDEX('Recurring Schedule'!$K$6:$K$45,R183)="","",INDEX('Recurring Schedule'!$K$6:$K$45,R183)))</f>
        <v/>
      </c>
      <c r="N183" s="73">
        <f>IF(R183="","",IF(INDEX('Recurring Schedule'!$L$6:$L$45,R183)="","",INDEX('Recurring Schedule'!$L$6:$L$45,R183)))</f>
        <v/>
      </c>
      <c r="O183" s="73">
        <f>IF(C183="","",IF(AND(OR(L183="1-Urgent",L183="2-High"),M183="✓"),"DO FIRST",IF(M183="✓","SCHEDULE",IF(OR(L183="1-Urgent",L183="2-High"),"DELEGATE","DELETE"))))</f>
        <v/>
      </c>
      <c r="P183" s="65" t="n"/>
      <c r="Q183">
        <f>IF(178&gt;Calc!$AQ$368,"",MATCH(177,Calc!$AQ$2:$AQ$367,1))</f>
        <v/>
      </c>
      <c r="R183">
        <f>IF(Q183="","",SMALL(INDEX(Calc!$B$2:$AO$367,Q183,0),178-INDEX(Calc!$AQ$2:$AQ$367,Q183)))</f>
        <v/>
      </c>
    </row>
    <row r="184">
      <c r="B184" s="64">
        <f>IF(R184="","",179)</f>
        <v/>
      </c>
      <c r="C184" s="37">
        <f>IF(R184="","",IF(INDEX('Recurring Schedule'!$C$6:$C$45,R184)="","",INDEX('Recurring Schedule'!$C$6:$C$45,R184)))</f>
        <v/>
      </c>
      <c r="D184" s="36">
        <f>IF(R184="","",IF(INDEX('Recurring Schedule'!$D$6:$D$45,R184)="","",INDEX('Recurring Schedule'!$D$6:$D$45,R184)))</f>
        <v/>
      </c>
      <c r="E184" s="38">
        <f>IF(Q184="","",INDEX(Calc!$A$2:$A$367,Q184))</f>
        <v/>
      </c>
      <c r="F184" s="68">
        <f>IF(OR(C184="",E184=""),"",E184-Setup!$D$7)</f>
        <v/>
      </c>
      <c r="G184" s="74">
        <f>IF(R184="","",IF(INDEX('Recurring Schedule'!$H$6:$H$45,R184)="","",INDEX('Recurring Schedule'!$H$6:$H$45,R184)))</f>
        <v/>
      </c>
      <c r="H184" s="74">
        <f>IF(R184="","",IF(INDEX('Recurring Schedule'!$I$6:$I$45,R184)="","",INDEX('Recurring Schedule'!$I$6:$I$45,R184)))</f>
        <v/>
      </c>
      <c r="I184" s="36">
        <f>IF(OR(G184="",H184=""),"",TRIM(IF(HOUR(H184-G184)&gt;0,HOUR(H184-G184)&amp;" hr ","")&amp;IF(MINUTE(H184-G184)&gt;0,MINUTE(H184-G184)&amp;" min","")))</f>
        <v/>
      </c>
      <c r="J184" s="66" t="n"/>
      <c r="K184" s="70" t="n"/>
      <c r="L184" s="36">
        <f>IF(R184="","",IF(INDEX('Recurring Schedule'!$J$6:$J$45,R184)="","",INDEX('Recurring Schedule'!$J$6:$J$45,R184)))</f>
        <v/>
      </c>
      <c r="M184" s="36">
        <f>IF(R184="","",IF(INDEX('Recurring Schedule'!$K$6:$K$45,R184)="","",INDEX('Recurring Schedule'!$K$6:$K$45,R184)))</f>
        <v/>
      </c>
      <c r="N184" s="36">
        <f>IF(R184="","",IF(INDEX('Recurring Schedule'!$L$6:$L$45,R184)="","",INDEX('Recurring Schedule'!$L$6:$L$45,R184)))</f>
        <v/>
      </c>
      <c r="O184" s="36">
        <f>IF(C184="","",IF(AND(OR(L184="1-Urgent",L184="2-High"),M184="✓"),"DO FIRST",IF(M184="✓","SCHEDULE",IF(OR(L184="1-Urgent",L184="2-High"),"DELEGATE","DELETE"))))</f>
        <v/>
      </c>
      <c r="P184" s="65" t="n"/>
      <c r="Q184">
        <f>IF(179&gt;Calc!$AQ$368,"",MATCH(178,Calc!$AQ$2:$AQ$367,1))</f>
        <v/>
      </c>
      <c r="R184">
        <f>IF(Q184="","",SMALL(INDEX(Calc!$B$2:$AO$367,Q184,0),179-INDEX(Calc!$AQ$2:$AQ$367,Q184)))</f>
        <v/>
      </c>
    </row>
    <row r="185">
      <c r="B185" s="71">
        <f>IF(R185="","",180)</f>
        <v/>
      </c>
      <c r="C185" s="75">
        <f>IF(R185="","",IF(INDEX('Recurring Schedule'!$C$6:$C$45,R185)="","",INDEX('Recurring Schedule'!$C$6:$C$45,R185)))</f>
        <v/>
      </c>
      <c r="D185" s="73">
        <f>IF(R185="","",IF(INDEX('Recurring Schedule'!$D$6:$D$45,R185)="","",INDEX('Recurring Schedule'!$D$6:$D$45,R185)))</f>
        <v/>
      </c>
      <c r="E185" s="76">
        <f>IF(Q185="","",INDEX(Calc!$A$2:$A$367,Q185))</f>
        <v/>
      </c>
      <c r="F185" s="72">
        <f>IF(OR(C185="",E185=""),"",E185-Setup!$D$7)</f>
        <v/>
      </c>
      <c r="G185" s="77">
        <f>IF(R185="","",IF(INDEX('Recurring Schedule'!$H$6:$H$45,R185)="","",INDEX('Recurring Schedule'!$H$6:$H$45,R185)))</f>
        <v/>
      </c>
      <c r="H185" s="77">
        <f>IF(R185="","",IF(INDEX('Recurring Schedule'!$I$6:$I$45,R185)="","",INDEX('Recurring Schedule'!$I$6:$I$45,R185)))</f>
        <v/>
      </c>
      <c r="I185" s="73">
        <f>IF(OR(G185="",H185=""),"",TRIM(IF(HOUR(H185-G185)&gt;0,HOUR(H185-G185)&amp;" hr ","")&amp;IF(MINUTE(H185-G185)&gt;0,MINUTE(H185-G185)&amp;" min","")))</f>
        <v/>
      </c>
      <c r="J185" s="66" t="n"/>
      <c r="K185" s="70" t="n"/>
      <c r="L185" s="73">
        <f>IF(R185="","",IF(INDEX('Recurring Schedule'!$J$6:$J$45,R185)="","",INDEX('Recurring Schedule'!$J$6:$J$45,R185)))</f>
        <v/>
      </c>
      <c r="M185" s="73">
        <f>IF(R185="","",IF(INDEX('Recurring Schedule'!$K$6:$K$45,R185)="","",INDEX('Recurring Schedule'!$K$6:$K$45,R185)))</f>
        <v/>
      </c>
      <c r="N185" s="73">
        <f>IF(R185="","",IF(INDEX('Recurring Schedule'!$L$6:$L$45,R185)="","",INDEX('Recurring Schedule'!$L$6:$L$45,R185)))</f>
        <v/>
      </c>
      <c r="O185" s="73">
        <f>IF(C185="","",IF(AND(OR(L185="1-Urgent",L185="2-High"),M185="✓"),"DO FIRST",IF(M185="✓","SCHEDULE",IF(OR(L185="1-Urgent",L185="2-High"),"DELEGATE","DELETE"))))</f>
        <v/>
      </c>
      <c r="P185" s="65" t="n"/>
      <c r="Q185">
        <f>IF(180&gt;Calc!$AQ$368,"",MATCH(179,Calc!$AQ$2:$AQ$367,1))</f>
        <v/>
      </c>
      <c r="R185">
        <f>IF(Q185="","",SMALL(INDEX(Calc!$B$2:$AO$367,Q185,0),180-INDEX(Calc!$AQ$2:$AQ$367,Q185)))</f>
        <v/>
      </c>
    </row>
    <row r="186">
      <c r="B186" s="64">
        <f>IF(R186="","",181)</f>
        <v/>
      </c>
      <c r="C186" s="37">
        <f>IF(R186="","",IF(INDEX('Recurring Schedule'!$C$6:$C$45,R186)="","",INDEX('Recurring Schedule'!$C$6:$C$45,R186)))</f>
        <v/>
      </c>
      <c r="D186" s="36">
        <f>IF(R186="","",IF(INDEX('Recurring Schedule'!$D$6:$D$45,R186)="","",INDEX('Recurring Schedule'!$D$6:$D$45,R186)))</f>
        <v/>
      </c>
      <c r="E186" s="38">
        <f>IF(Q186="","",INDEX(Calc!$A$2:$A$367,Q186))</f>
        <v/>
      </c>
      <c r="F186" s="68">
        <f>IF(OR(C186="",E186=""),"",E186-Setup!$D$7)</f>
        <v/>
      </c>
      <c r="G186" s="74">
        <f>IF(R186="","",IF(INDEX('Recurring Schedule'!$H$6:$H$45,R186)="","",INDEX('Recurring Schedule'!$H$6:$H$45,R186)))</f>
        <v/>
      </c>
      <c r="H186" s="74">
        <f>IF(R186="","",IF(INDEX('Recurring Schedule'!$I$6:$I$45,R186)="","",INDEX('Recurring Schedule'!$I$6:$I$45,R186)))</f>
        <v/>
      </c>
      <c r="I186" s="36">
        <f>IF(OR(G186="",H186=""),"",TRIM(IF(HOUR(H186-G186)&gt;0,HOUR(H186-G186)&amp;" hr ","")&amp;IF(MINUTE(H186-G186)&gt;0,MINUTE(H186-G186)&amp;" min","")))</f>
        <v/>
      </c>
      <c r="J186" s="66" t="n"/>
      <c r="K186" s="70" t="n"/>
      <c r="L186" s="36">
        <f>IF(R186="","",IF(INDEX('Recurring Schedule'!$J$6:$J$45,R186)="","",INDEX('Recurring Schedule'!$J$6:$J$45,R186)))</f>
        <v/>
      </c>
      <c r="M186" s="36">
        <f>IF(R186="","",IF(INDEX('Recurring Schedule'!$K$6:$K$45,R186)="","",INDEX('Recurring Schedule'!$K$6:$K$45,R186)))</f>
        <v/>
      </c>
      <c r="N186" s="36">
        <f>IF(R186="","",IF(INDEX('Recurring Schedule'!$L$6:$L$45,R186)="","",INDEX('Recurring Schedule'!$L$6:$L$45,R186)))</f>
        <v/>
      </c>
      <c r="O186" s="36">
        <f>IF(C186="","",IF(AND(OR(L186="1-Urgent",L186="2-High"),M186="✓"),"DO FIRST",IF(M186="✓","SCHEDULE",IF(OR(L186="1-Urgent",L186="2-High"),"DELEGATE","DELETE"))))</f>
        <v/>
      </c>
      <c r="P186" s="65" t="n"/>
      <c r="Q186">
        <f>IF(181&gt;Calc!$AQ$368,"",MATCH(180,Calc!$AQ$2:$AQ$367,1))</f>
        <v/>
      </c>
      <c r="R186">
        <f>IF(Q186="","",SMALL(INDEX(Calc!$B$2:$AO$367,Q186,0),181-INDEX(Calc!$AQ$2:$AQ$367,Q186)))</f>
        <v/>
      </c>
    </row>
    <row r="187">
      <c r="B187" s="71">
        <f>IF(R187="","",182)</f>
        <v/>
      </c>
      <c r="C187" s="75">
        <f>IF(R187="","",IF(INDEX('Recurring Schedule'!$C$6:$C$45,R187)="","",INDEX('Recurring Schedule'!$C$6:$C$45,R187)))</f>
        <v/>
      </c>
      <c r="D187" s="73">
        <f>IF(R187="","",IF(INDEX('Recurring Schedule'!$D$6:$D$45,R187)="","",INDEX('Recurring Schedule'!$D$6:$D$45,R187)))</f>
        <v/>
      </c>
      <c r="E187" s="76">
        <f>IF(Q187="","",INDEX(Calc!$A$2:$A$367,Q187))</f>
        <v/>
      </c>
      <c r="F187" s="72">
        <f>IF(OR(C187="",E187=""),"",E187-Setup!$D$7)</f>
        <v/>
      </c>
      <c r="G187" s="77">
        <f>IF(R187="","",IF(INDEX('Recurring Schedule'!$H$6:$H$45,R187)="","",INDEX('Recurring Schedule'!$H$6:$H$45,R187)))</f>
        <v/>
      </c>
      <c r="H187" s="77">
        <f>IF(R187="","",IF(INDEX('Recurring Schedule'!$I$6:$I$45,R187)="","",INDEX('Recurring Schedule'!$I$6:$I$45,R187)))</f>
        <v/>
      </c>
      <c r="I187" s="73">
        <f>IF(OR(G187="",H187=""),"",TRIM(IF(HOUR(H187-G187)&gt;0,HOUR(H187-G187)&amp;" hr ","")&amp;IF(MINUTE(H187-G187)&gt;0,MINUTE(H187-G187)&amp;" min","")))</f>
        <v/>
      </c>
      <c r="J187" s="66" t="n"/>
      <c r="K187" s="70" t="n"/>
      <c r="L187" s="73">
        <f>IF(R187="","",IF(INDEX('Recurring Schedule'!$J$6:$J$45,R187)="","",INDEX('Recurring Schedule'!$J$6:$J$45,R187)))</f>
        <v/>
      </c>
      <c r="M187" s="73">
        <f>IF(R187="","",IF(INDEX('Recurring Schedule'!$K$6:$K$45,R187)="","",INDEX('Recurring Schedule'!$K$6:$K$45,R187)))</f>
        <v/>
      </c>
      <c r="N187" s="73">
        <f>IF(R187="","",IF(INDEX('Recurring Schedule'!$L$6:$L$45,R187)="","",INDEX('Recurring Schedule'!$L$6:$L$45,R187)))</f>
        <v/>
      </c>
      <c r="O187" s="73">
        <f>IF(C187="","",IF(AND(OR(L187="1-Urgent",L187="2-High"),M187="✓"),"DO FIRST",IF(M187="✓","SCHEDULE",IF(OR(L187="1-Urgent",L187="2-High"),"DELEGATE","DELETE"))))</f>
        <v/>
      </c>
      <c r="P187" s="65" t="n"/>
      <c r="Q187">
        <f>IF(182&gt;Calc!$AQ$368,"",MATCH(181,Calc!$AQ$2:$AQ$367,1))</f>
        <v/>
      </c>
      <c r="R187">
        <f>IF(Q187="","",SMALL(INDEX(Calc!$B$2:$AO$367,Q187,0),182-INDEX(Calc!$AQ$2:$AQ$367,Q187)))</f>
        <v/>
      </c>
    </row>
    <row r="188">
      <c r="B188" s="64">
        <f>IF(R188="","",183)</f>
        <v/>
      </c>
      <c r="C188" s="37">
        <f>IF(R188="","",IF(INDEX('Recurring Schedule'!$C$6:$C$45,R188)="","",INDEX('Recurring Schedule'!$C$6:$C$45,R188)))</f>
        <v/>
      </c>
      <c r="D188" s="36">
        <f>IF(R188="","",IF(INDEX('Recurring Schedule'!$D$6:$D$45,R188)="","",INDEX('Recurring Schedule'!$D$6:$D$45,R188)))</f>
        <v/>
      </c>
      <c r="E188" s="38">
        <f>IF(Q188="","",INDEX(Calc!$A$2:$A$367,Q188))</f>
        <v/>
      </c>
      <c r="F188" s="68">
        <f>IF(OR(C188="",E188=""),"",E188-Setup!$D$7)</f>
        <v/>
      </c>
      <c r="G188" s="74">
        <f>IF(R188="","",IF(INDEX('Recurring Schedule'!$H$6:$H$45,R188)="","",INDEX('Recurring Schedule'!$H$6:$H$45,R188)))</f>
        <v/>
      </c>
      <c r="H188" s="74">
        <f>IF(R188="","",IF(INDEX('Recurring Schedule'!$I$6:$I$45,R188)="","",INDEX('Recurring Schedule'!$I$6:$I$45,R188)))</f>
        <v/>
      </c>
      <c r="I188" s="36">
        <f>IF(OR(G188="",H188=""),"",TRIM(IF(HOUR(H188-G188)&gt;0,HOUR(H188-G188)&amp;" hr ","")&amp;IF(MINUTE(H188-G188)&gt;0,MINUTE(H188-G188)&amp;" min","")))</f>
        <v/>
      </c>
      <c r="J188" s="66" t="n"/>
      <c r="K188" s="70" t="n"/>
      <c r="L188" s="36">
        <f>IF(R188="","",IF(INDEX('Recurring Schedule'!$J$6:$J$45,R188)="","",INDEX('Recurring Schedule'!$J$6:$J$45,R188)))</f>
        <v/>
      </c>
      <c r="M188" s="36">
        <f>IF(R188="","",IF(INDEX('Recurring Schedule'!$K$6:$K$45,R188)="","",INDEX('Recurring Schedule'!$K$6:$K$45,R188)))</f>
        <v/>
      </c>
      <c r="N188" s="36">
        <f>IF(R188="","",IF(INDEX('Recurring Schedule'!$L$6:$L$45,R188)="","",INDEX('Recurring Schedule'!$L$6:$L$45,R188)))</f>
        <v/>
      </c>
      <c r="O188" s="36">
        <f>IF(C188="","",IF(AND(OR(L188="1-Urgent",L188="2-High"),M188="✓"),"DO FIRST",IF(M188="✓","SCHEDULE",IF(OR(L188="1-Urgent",L188="2-High"),"DELEGATE","DELETE"))))</f>
        <v/>
      </c>
      <c r="P188" s="65" t="n"/>
      <c r="Q188">
        <f>IF(183&gt;Calc!$AQ$368,"",MATCH(182,Calc!$AQ$2:$AQ$367,1))</f>
        <v/>
      </c>
      <c r="R188">
        <f>IF(Q188="","",SMALL(INDEX(Calc!$B$2:$AO$367,Q188,0),183-INDEX(Calc!$AQ$2:$AQ$367,Q188)))</f>
        <v/>
      </c>
    </row>
    <row r="189">
      <c r="B189" s="71">
        <f>IF(R189="","",184)</f>
        <v/>
      </c>
      <c r="C189" s="75">
        <f>IF(R189="","",IF(INDEX('Recurring Schedule'!$C$6:$C$45,R189)="","",INDEX('Recurring Schedule'!$C$6:$C$45,R189)))</f>
        <v/>
      </c>
      <c r="D189" s="73">
        <f>IF(R189="","",IF(INDEX('Recurring Schedule'!$D$6:$D$45,R189)="","",INDEX('Recurring Schedule'!$D$6:$D$45,R189)))</f>
        <v/>
      </c>
      <c r="E189" s="76">
        <f>IF(Q189="","",INDEX(Calc!$A$2:$A$367,Q189))</f>
        <v/>
      </c>
      <c r="F189" s="72">
        <f>IF(OR(C189="",E189=""),"",E189-Setup!$D$7)</f>
        <v/>
      </c>
      <c r="G189" s="77">
        <f>IF(R189="","",IF(INDEX('Recurring Schedule'!$H$6:$H$45,R189)="","",INDEX('Recurring Schedule'!$H$6:$H$45,R189)))</f>
        <v/>
      </c>
      <c r="H189" s="77">
        <f>IF(R189="","",IF(INDEX('Recurring Schedule'!$I$6:$I$45,R189)="","",INDEX('Recurring Schedule'!$I$6:$I$45,R189)))</f>
        <v/>
      </c>
      <c r="I189" s="73">
        <f>IF(OR(G189="",H189=""),"",TRIM(IF(HOUR(H189-G189)&gt;0,HOUR(H189-G189)&amp;" hr ","")&amp;IF(MINUTE(H189-G189)&gt;0,MINUTE(H189-G189)&amp;" min","")))</f>
        <v/>
      </c>
      <c r="J189" s="66" t="n"/>
      <c r="K189" s="70" t="n"/>
      <c r="L189" s="73">
        <f>IF(R189="","",IF(INDEX('Recurring Schedule'!$J$6:$J$45,R189)="","",INDEX('Recurring Schedule'!$J$6:$J$45,R189)))</f>
        <v/>
      </c>
      <c r="M189" s="73">
        <f>IF(R189="","",IF(INDEX('Recurring Schedule'!$K$6:$K$45,R189)="","",INDEX('Recurring Schedule'!$K$6:$K$45,R189)))</f>
        <v/>
      </c>
      <c r="N189" s="73">
        <f>IF(R189="","",IF(INDEX('Recurring Schedule'!$L$6:$L$45,R189)="","",INDEX('Recurring Schedule'!$L$6:$L$45,R189)))</f>
        <v/>
      </c>
      <c r="O189" s="73">
        <f>IF(C189="","",IF(AND(OR(L189="1-Urgent",L189="2-High"),M189="✓"),"DO FIRST",IF(M189="✓","SCHEDULE",IF(OR(L189="1-Urgent",L189="2-High"),"DELEGATE","DELETE"))))</f>
        <v/>
      </c>
      <c r="P189" s="65" t="n"/>
      <c r="Q189">
        <f>IF(184&gt;Calc!$AQ$368,"",MATCH(183,Calc!$AQ$2:$AQ$367,1))</f>
        <v/>
      </c>
      <c r="R189">
        <f>IF(Q189="","",SMALL(INDEX(Calc!$B$2:$AO$367,Q189,0),184-INDEX(Calc!$AQ$2:$AQ$367,Q189)))</f>
        <v/>
      </c>
    </row>
    <row r="190">
      <c r="B190" s="64">
        <f>IF(R190="","",185)</f>
        <v/>
      </c>
      <c r="C190" s="37">
        <f>IF(R190="","",IF(INDEX('Recurring Schedule'!$C$6:$C$45,R190)="","",INDEX('Recurring Schedule'!$C$6:$C$45,R190)))</f>
        <v/>
      </c>
      <c r="D190" s="36">
        <f>IF(R190="","",IF(INDEX('Recurring Schedule'!$D$6:$D$45,R190)="","",INDEX('Recurring Schedule'!$D$6:$D$45,R190)))</f>
        <v/>
      </c>
      <c r="E190" s="38">
        <f>IF(Q190="","",INDEX(Calc!$A$2:$A$367,Q190))</f>
        <v/>
      </c>
      <c r="F190" s="68">
        <f>IF(OR(C190="",E190=""),"",E190-Setup!$D$7)</f>
        <v/>
      </c>
      <c r="G190" s="74">
        <f>IF(R190="","",IF(INDEX('Recurring Schedule'!$H$6:$H$45,R190)="","",INDEX('Recurring Schedule'!$H$6:$H$45,R190)))</f>
        <v/>
      </c>
      <c r="H190" s="74">
        <f>IF(R190="","",IF(INDEX('Recurring Schedule'!$I$6:$I$45,R190)="","",INDEX('Recurring Schedule'!$I$6:$I$45,R190)))</f>
        <v/>
      </c>
      <c r="I190" s="36">
        <f>IF(OR(G190="",H190=""),"",TRIM(IF(HOUR(H190-G190)&gt;0,HOUR(H190-G190)&amp;" hr ","")&amp;IF(MINUTE(H190-G190)&gt;0,MINUTE(H190-G190)&amp;" min","")))</f>
        <v/>
      </c>
      <c r="J190" s="66" t="n"/>
      <c r="K190" s="70" t="n"/>
      <c r="L190" s="36">
        <f>IF(R190="","",IF(INDEX('Recurring Schedule'!$J$6:$J$45,R190)="","",INDEX('Recurring Schedule'!$J$6:$J$45,R190)))</f>
        <v/>
      </c>
      <c r="M190" s="36">
        <f>IF(R190="","",IF(INDEX('Recurring Schedule'!$K$6:$K$45,R190)="","",INDEX('Recurring Schedule'!$K$6:$K$45,R190)))</f>
        <v/>
      </c>
      <c r="N190" s="36">
        <f>IF(R190="","",IF(INDEX('Recurring Schedule'!$L$6:$L$45,R190)="","",INDEX('Recurring Schedule'!$L$6:$L$45,R190)))</f>
        <v/>
      </c>
      <c r="O190" s="36">
        <f>IF(C190="","",IF(AND(OR(L190="1-Urgent",L190="2-High"),M190="✓"),"DO FIRST",IF(M190="✓","SCHEDULE",IF(OR(L190="1-Urgent",L190="2-High"),"DELEGATE","DELETE"))))</f>
        <v/>
      </c>
      <c r="P190" s="65" t="n"/>
      <c r="Q190">
        <f>IF(185&gt;Calc!$AQ$368,"",MATCH(184,Calc!$AQ$2:$AQ$367,1))</f>
        <v/>
      </c>
      <c r="R190">
        <f>IF(Q190="","",SMALL(INDEX(Calc!$B$2:$AO$367,Q190,0),185-INDEX(Calc!$AQ$2:$AQ$367,Q190)))</f>
        <v/>
      </c>
    </row>
    <row r="191">
      <c r="B191" s="71">
        <f>IF(R191="","",186)</f>
        <v/>
      </c>
      <c r="C191" s="75">
        <f>IF(R191="","",IF(INDEX('Recurring Schedule'!$C$6:$C$45,R191)="","",INDEX('Recurring Schedule'!$C$6:$C$45,R191)))</f>
        <v/>
      </c>
      <c r="D191" s="73">
        <f>IF(R191="","",IF(INDEX('Recurring Schedule'!$D$6:$D$45,R191)="","",INDEX('Recurring Schedule'!$D$6:$D$45,R191)))</f>
        <v/>
      </c>
      <c r="E191" s="76">
        <f>IF(Q191="","",INDEX(Calc!$A$2:$A$367,Q191))</f>
        <v/>
      </c>
      <c r="F191" s="72">
        <f>IF(OR(C191="",E191=""),"",E191-Setup!$D$7)</f>
        <v/>
      </c>
      <c r="G191" s="77">
        <f>IF(R191="","",IF(INDEX('Recurring Schedule'!$H$6:$H$45,R191)="","",INDEX('Recurring Schedule'!$H$6:$H$45,R191)))</f>
        <v/>
      </c>
      <c r="H191" s="77">
        <f>IF(R191="","",IF(INDEX('Recurring Schedule'!$I$6:$I$45,R191)="","",INDEX('Recurring Schedule'!$I$6:$I$45,R191)))</f>
        <v/>
      </c>
      <c r="I191" s="73">
        <f>IF(OR(G191="",H191=""),"",TRIM(IF(HOUR(H191-G191)&gt;0,HOUR(H191-G191)&amp;" hr ","")&amp;IF(MINUTE(H191-G191)&gt;0,MINUTE(H191-G191)&amp;" min","")))</f>
        <v/>
      </c>
      <c r="J191" s="66" t="n"/>
      <c r="K191" s="70" t="n"/>
      <c r="L191" s="73">
        <f>IF(R191="","",IF(INDEX('Recurring Schedule'!$J$6:$J$45,R191)="","",INDEX('Recurring Schedule'!$J$6:$J$45,R191)))</f>
        <v/>
      </c>
      <c r="M191" s="73">
        <f>IF(R191="","",IF(INDEX('Recurring Schedule'!$K$6:$K$45,R191)="","",INDEX('Recurring Schedule'!$K$6:$K$45,R191)))</f>
        <v/>
      </c>
      <c r="N191" s="73">
        <f>IF(R191="","",IF(INDEX('Recurring Schedule'!$L$6:$L$45,R191)="","",INDEX('Recurring Schedule'!$L$6:$L$45,R191)))</f>
        <v/>
      </c>
      <c r="O191" s="73">
        <f>IF(C191="","",IF(AND(OR(L191="1-Urgent",L191="2-High"),M191="✓"),"DO FIRST",IF(M191="✓","SCHEDULE",IF(OR(L191="1-Urgent",L191="2-High"),"DELEGATE","DELETE"))))</f>
        <v/>
      </c>
      <c r="P191" s="65" t="n"/>
      <c r="Q191">
        <f>IF(186&gt;Calc!$AQ$368,"",MATCH(185,Calc!$AQ$2:$AQ$367,1))</f>
        <v/>
      </c>
      <c r="R191">
        <f>IF(Q191="","",SMALL(INDEX(Calc!$B$2:$AO$367,Q191,0),186-INDEX(Calc!$AQ$2:$AQ$367,Q191)))</f>
        <v/>
      </c>
    </row>
    <row r="192">
      <c r="B192" s="64">
        <f>IF(R192="","",187)</f>
        <v/>
      </c>
      <c r="C192" s="37">
        <f>IF(R192="","",IF(INDEX('Recurring Schedule'!$C$6:$C$45,R192)="","",INDEX('Recurring Schedule'!$C$6:$C$45,R192)))</f>
        <v/>
      </c>
      <c r="D192" s="36">
        <f>IF(R192="","",IF(INDEX('Recurring Schedule'!$D$6:$D$45,R192)="","",INDEX('Recurring Schedule'!$D$6:$D$45,R192)))</f>
        <v/>
      </c>
      <c r="E192" s="38">
        <f>IF(Q192="","",INDEX(Calc!$A$2:$A$367,Q192))</f>
        <v/>
      </c>
      <c r="F192" s="68">
        <f>IF(OR(C192="",E192=""),"",E192-Setup!$D$7)</f>
        <v/>
      </c>
      <c r="G192" s="74">
        <f>IF(R192="","",IF(INDEX('Recurring Schedule'!$H$6:$H$45,R192)="","",INDEX('Recurring Schedule'!$H$6:$H$45,R192)))</f>
        <v/>
      </c>
      <c r="H192" s="74">
        <f>IF(R192="","",IF(INDEX('Recurring Schedule'!$I$6:$I$45,R192)="","",INDEX('Recurring Schedule'!$I$6:$I$45,R192)))</f>
        <v/>
      </c>
      <c r="I192" s="36">
        <f>IF(OR(G192="",H192=""),"",TRIM(IF(HOUR(H192-G192)&gt;0,HOUR(H192-G192)&amp;" hr ","")&amp;IF(MINUTE(H192-G192)&gt;0,MINUTE(H192-G192)&amp;" min","")))</f>
        <v/>
      </c>
      <c r="J192" s="66" t="n"/>
      <c r="K192" s="70" t="n"/>
      <c r="L192" s="36">
        <f>IF(R192="","",IF(INDEX('Recurring Schedule'!$J$6:$J$45,R192)="","",INDEX('Recurring Schedule'!$J$6:$J$45,R192)))</f>
        <v/>
      </c>
      <c r="M192" s="36">
        <f>IF(R192="","",IF(INDEX('Recurring Schedule'!$K$6:$K$45,R192)="","",INDEX('Recurring Schedule'!$K$6:$K$45,R192)))</f>
        <v/>
      </c>
      <c r="N192" s="36">
        <f>IF(R192="","",IF(INDEX('Recurring Schedule'!$L$6:$L$45,R192)="","",INDEX('Recurring Schedule'!$L$6:$L$45,R192)))</f>
        <v/>
      </c>
      <c r="O192" s="36">
        <f>IF(C192="","",IF(AND(OR(L192="1-Urgent",L192="2-High"),M192="✓"),"DO FIRST",IF(M192="✓","SCHEDULE",IF(OR(L192="1-Urgent",L192="2-High"),"DELEGATE","DELETE"))))</f>
        <v/>
      </c>
      <c r="P192" s="65" t="n"/>
      <c r="Q192">
        <f>IF(187&gt;Calc!$AQ$368,"",MATCH(186,Calc!$AQ$2:$AQ$367,1))</f>
        <v/>
      </c>
      <c r="R192">
        <f>IF(Q192="","",SMALL(INDEX(Calc!$B$2:$AO$367,Q192,0),187-INDEX(Calc!$AQ$2:$AQ$367,Q192)))</f>
        <v/>
      </c>
    </row>
    <row r="193">
      <c r="B193" s="71">
        <f>IF(R193="","",188)</f>
        <v/>
      </c>
      <c r="C193" s="75">
        <f>IF(R193="","",IF(INDEX('Recurring Schedule'!$C$6:$C$45,R193)="","",INDEX('Recurring Schedule'!$C$6:$C$45,R193)))</f>
        <v/>
      </c>
      <c r="D193" s="73">
        <f>IF(R193="","",IF(INDEX('Recurring Schedule'!$D$6:$D$45,R193)="","",INDEX('Recurring Schedule'!$D$6:$D$45,R193)))</f>
        <v/>
      </c>
      <c r="E193" s="76">
        <f>IF(Q193="","",INDEX(Calc!$A$2:$A$367,Q193))</f>
        <v/>
      </c>
      <c r="F193" s="72">
        <f>IF(OR(C193="",E193=""),"",E193-Setup!$D$7)</f>
        <v/>
      </c>
      <c r="G193" s="77">
        <f>IF(R193="","",IF(INDEX('Recurring Schedule'!$H$6:$H$45,R193)="","",INDEX('Recurring Schedule'!$H$6:$H$45,R193)))</f>
        <v/>
      </c>
      <c r="H193" s="77">
        <f>IF(R193="","",IF(INDEX('Recurring Schedule'!$I$6:$I$45,R193)="","",INDEX('Recurring Schedule'!$I$6:$I$45,R193)))</f>
        <v/>
      </c>
      <c r="I193" s="73">
        <f>IF(OR(G193="",H193=""),"",TRIM(IF(HOUR(H193-G193)&gt;0,HOUR(H193-G193)&amp;" hr ","")&amp;IF(MINUTE(H193-G193)&gt;0,MINUTE(H193-G193)&amp;" min","")))</f>
        <v/>
      </c>
      <c r="J193" s="66" t="n"/>
      <c r="K193" s="70" t="n"/>
      <c r="L193" s="73">
        <f>IF(R193="","",IF(INDEX('Recurring Schedule'!$J$6:$J$45,R193)="","",INDEX('Recurring Schedule'!$J$6:$J$45,R193)))</f>
        <v/>
      </c>
      <c r="M193" s="73">
        <f>IF(R193="","",IF(INDEX('Recurring Schedule'!$K$6:$K$45,R193)="","",INDEX('Recurring Schedule'!$K$6:$K$45,R193)))</f>
        <v/>
      </c>
      <c r="N193" s="73">
        <f>IF(R193="","",IF(INDEX('Recurring Schedule'!$L$6:$L$45,R193)="","",INDEX('Recurring Schedule'!$L$6:$L$45,R193)))</f>
        <v/>
      </c>
      <c r="O193" s="73">
        <f>IF(C193="","",IF(AND(OR(L193="1-Urgent",L193="2-High"),M193="✓"),"DO FIRST",IF(M193="✓","SCHEDULE",IF(OR(L193="1-Urgent",L193="2-High"),"DELEGATE","DELETE"))))</f>
        <v/>
      </c>
      <c r="P193" s="65" t="n"/>
      <c r="Q193">
        <f>IF(188&gt;Calc!$AQ$368,"",MATCH(187,Calc!$AQ$2:$AQ$367,1))</f>
        <v/>
      </c>
      <c r="R193">
        <f>IF(Q193="","",SMALL(INDEX(Calc!$B$2:$AO$367,Q193,0),188-INDEX(Calc!$AQ$2:$AQ$367,Q193)))</f>
        <v/>
      </c>
    </row>
    <row r="194">
      <c r="B194" s="64">
        <f>IF(R194="","",189)</f>
        <v/>
      </c>
      <c r="C194" s="37">
        <f>IF(R194="","",IF(INDEX('Recurring Schedule'!$C$6:$C$45,R194)="","",INDEX('Recurring Schedule'!$C$6:$C$45,R194)))</f>
        <v/>
      </c>
      <c r="D194" s="36">
        <f>IF(R194="","",IF(INDEX('Recurring Schedule'!$D$6:$D$45,R194)="","",INDEX('Recurring Schedule'!$D$6:$D$45,R194)))</f>
        <v/>
      </c>
      <c r="E194" s="38">
        <f>IF(Q194="","",INDEX(Calc!$A$2:$A$367,Q194))</f>
        <v/>
      </c>
      <c r="F194" s="68">
        <f>IF(OR(C194="",E194=""),"",E194-Setup!$D$7)</f>
        <v/>
      </c>
      <c r="G194" s="74">
        <f>IF(R194="","",IF(INDEX('Recurring Schedule'!$H$6:$H$45,R194)="","",INDEX('Recurring Schedule'!$H$6:$H$45,R194)))</f>
        <v/>
      </c>
      <c r="H194" s="74">
        <f>IF(R194="","",IF(INDEX('Recurring Schedule'!$I$6:$I$45,R194)="","",INDEX('Recurring Schedule'!$I$6:$I$45,R194)))</f>
        <v/>
      </c>
      <c r="I194" s="36">
        <f>IF(OR(G194="",H194=""),"",TRIM(IF(HOUR(H194-G194)&gt;0,HOUR(H194-G194)&amp;" hr ","")&amp;IF(MINUTE(H194-G194)&gt;0,MINUTE(H194-G194)&amp;" min","")))</f>
        <v/>
      </c>
      <c r="J194" s="66" t="n"/>
      <c r="K194" s="70" t="n"/>
      <c r="L194" s="36">
        <f>IF(R194="","",IF(INDEX('Recurring Schedule'!$J$6:$J$45,R194)="","",INDEX('Recurring Schedule'!$J$6:$J$45,R194)))</f>
        <v/>
      </c>
      <c r="M194" s="36">
        <f>IF(R194="","",IF(INDEX('Recurring Schedule'!$K$6:$K$45,R194)="","",INDEX('Recurring Schedule'!$K$6:$K$45,R194)))</f>
        <v/>
      </c>
      <c r="N194" s="36">
        <f>IF(R194="","",IF(INDEX('Recurring Schedule'!$L$6:$L$45,R194)="","",INDEX('Recurring Schedule'!$L$6:$L$45,R194)))</f>
        <v/>
      </c>
      <c r="O194" s="36">
        <f>IF(C194="","",IF(AND(OR(L194="1-Urgent",L194="2-High"),M194="✓"),"DO FIRST",IF(M194="✓","SCHEDULE",IF(OR(L194="1-Urgent",L194="2-High"),"DELEGATE","DELETE"))))</f>
        <v/>
      </c>
      <c r="P194" s="65" t="n"/>
      <c r="Q194">
        <f>IF(189&gt;Calc!$AQ$368,"",MATCH(188,Calc!$AQ$2:$AQ$367,1))</f>
        <v/>
      </c>
      <c r="R194">
        <f>IF(Q194="","",SMALL(INDEX(Calc!$B$2:$AO$367,Q194,0),189-INDEX(Calc!$AQ$2:$AQ$367,Q194)))</f>
        <v/>
      </c>
    </row>
    <row r="195">
      <c r="B195" s="71">
        <f>IF(R195="","",190)</f>
        <v/>
      </c>
      <c r="C195" s="75">
        <f>IF(R195="","",IF(INDEX('Recurring Schedule'!$C$6:$C$45,R195)="","",INDEX('Recurring Schedule'!$C$6:$C$45,R195)))</f>
        <v/>
      </c>
      <c r="D195" s="73">
        <f>IF(R195="","",IF(INDEX('Recurring Schedule'!$D$6:$D$45,R195)="","",INDEX('Recurring Schedule'!$D$6:$D$45,R195)))</f>
        <v/>
      </c>
      <c r="E195" s="76">
        <f>IF(Q195="","",INDEX(Calc!$A$2:$A$367,Q195))</f>
        <v/>
      </c>
      <c r="F195" s="72">
        <f>IF(OR(C195="",E195=""),"",E195-Setup!$D$7)</f>
        <v/>
      </c>
      <c r="G195" s="77">
        <f>IF(R195="","",IF(INDEX('Recurring Schedule'!$H$6:$H$45,R195)="","",INDEX('Recurring Schedule'!$H$6:$H$45,R195)))</f>
        <v/>
      </c>
      <c r="H195" s="77">
        <f>IF(R195="","",IF(INDEX('Recurring Schedule'!$I$6:$I$45,R195)="","",INDEX('Recurring Schedule'!$I$6:$I$45,R195)))</f>
        <v/>
      </c>
      <c r="I195" s="73">
        <f>IF(OR(G195="",H195=""),"",TRIM(IF(HOUR(H195-G195)&gt;0,HOUR(H195-G195)&amp;" hr ","")&amp;IF(MINUTE(H195-G195)&gt;0,MINUTE(H195-G195)&amp;" min","")))</f>
        <v/>
      </c>
      <c r="J195" s="66" t="n"/>
      <c r="K195" s="70" t="n"/>
      <c r="L195" s="73">
        <f>IF(R195="","",IF(INDEX('Recurring Schedule'!$J$6:$J$45,R195)="","",INDEX('Recurring Schedule'!$J$6:$J$45,R195)))</f>
        <v/>
      </c>
      <c r="M195" s="73">
        <f>IF(R195="","",IF(INDEX('Recurring Schedule'!$K$6:$K$45,R195)="","",INDEX('Recurring Schedule'!$K$6:$K$45,R195)))</f>
        <v/>
      </c>
      <c r="N195" s="73">
        <f>IF(R195="","",IF(INDEX('Recurring Schedule'!$L$6:$L$45,R195)="","",INDEX('Recurring Schedule'!$L$6:$L$45,R195)))</f>
        <v/>
      </c>
      <c r="O195" s="73">
        <f>IF(C195="","",IF(AND(OR(L195="1-Urgent",L195="2-High"),M195="✓"),"DO FIRST",IF(M195="✓","SCHEDULE",IF(OR(L195="1-Urgent",L195="2-High"),"DELEGATE","DELETE"))))</f>
        <v/>
      </c>
      <c r="P195" s="65" t="n"/>
      <c r="Q195">
        <f>IF(190&gt;Calc!$AQ$368,"",MATCH(189,Calc!$AQ$2:$AQ$367,1))</f>
        <v/>
      </c>
      <c r="R195">
        <f>IF(Q195="","",SMALL(INDEX(Calc!$B$2:$AO$367,Q195,0),190-INDEX(Calc!$AQ$2:$AQ$367,Q195)))</f>
        <v/>
      </c>
    </row>
    <row r="196">
      <c r="B196" s="64">
        <f>IF(R196="","",191)</f>
        <v/>
      </c>
      <c r="C196" s="37">
        <f>IF(R196="","",IF(INDEX('Recurring Schedule'!$C$6:$C$45,R196)="","",INDEX('Recurring Schedule'!$C$6:$C$45,R196)))</f>
        <v/>
      </c>
      <c r="D196" s="36">
        <f>IF(R196="","",IF(INDEX('Recurring Schedule'!$D$6:$D$45,R196)="","",INDEX('Recurring Schedule'!$D$6:$D$45,R196)))</f>
        <v/>
      </c>
      <c r="E196" s="38">
        <f>IF(Q196="","",INDEX(Calc!$A$2:$A$367,Q196))</f>
        <v/>
      </c>
      <c r="F196" s="68">
        <f>IF(OR(C196="",E196=""),"",E196-Setup!$D$7)</f>
        <v/>
      </c>
      <c r="G196" s="74">
        <f>IF(R196="","",IF(INDEX('Recurring Schedule'!$H$6:$H$45,R196)="","",INDEX('Recurring Schedule'!$H$6:$H$45,R196)))</f>
        <v/>
      </c>
      <c r="H196" s="74">
        <f>IF(R196="","",IF(INDEX('Recurring Schedule'!$I$6:$I$45,R196)="","",INDEX('Recurring Schedule'!$I$6:$I$45,R196)))</f>
        <v/>
      </c>
      <c r="I196" s="36">
        <f>IF(OR(G196="",H196=""),"",TRIM(IF(HOUR(H196-G196)&gt;0,HOUR(H196-G196)&amp;" hr ","")&amp;IF(MINUTE(H196-G196)&gt;0,MINUTE(H196-G196)&amp;" min","")))</f>
        <v/>
      </c>
      <c r="J196" s="66" t="n"/>
      <c r="K196" s="70" t="n"/>
      <c r="L196" s="36">
        <f>IF(R196="","",IF(INDEX('Recurring Schedule'!$J$6:$J$45,R196)="","",INDEX('Recurring Schedule'!$J$6:$J$45,R196)))</f>
        <v/>
      </c>
      <c r="M196" s="36">
        <f>IF(R196="","",IF(INDEX('Recurring Schedule'!$K$6:$K$45,R196)="","",INDEX('Recurring Schedule'!$K$6:$K$45,R196)))</f>
        <v/>
      </c>
      <c r="N196" s="36">
        <f>IF(R196="","",IF(INDEX('Recurring Schedule'!$L$6:$L$45,R196)="","",INDEX('Recurring Schedule'!$L$6:$L$45,R196)))</f>
        <v/>
      </c>
      <c r="O196" s="36">
        <f>IF(C196="","",IF(AND(OR(L196="1-Urgent",L196="2-High"),M196="✓"),"DO FIRST",IF(M196="✓","SCHEDULE",IF(OR(L196="1-Urgent",L196="2-High"),"DELEGATE","DELETE"))))</f>
        <v/>
      </c>
      <c r="P196" s="65" t="n"/>
      <c r="Q196">
        <f>IF(191&gt;Calc!$AQ$368,"",MATCH(190,Calc!$AQ$2:$AQ$367,1))</f>
        <v/>
      </c>
      <c r="R196">
        <f>IF(Q196="","",SMALL(INDEX(Calc!$B$2:$AO$367,Q196,0),191-INDEX(Calc!$AQ$2:$AQ$367,Q196)))</f>
        <v/>
      </c>
    </row>
    <row r="197">
      <c r="B197" s="71">
        <f>IF(R197="","",192)</f>
        <v/>
      </c>
      <c r="C197" s="75">
        <f>IF(R197="","",IF(INDEX('Recurring Schedule'!$C$6:$C$45,R197)="","",INDEX('Recurring Schedule'!$C$6:$C$45,R197)))</f>
        <v/>
      </c>
      <c r="D197" s="73">
        <f>IF(R197="","",IF(INDEX('Recurring Schedule'!$D$6:$D$45,R197)="","",INDEX('Recurring Schedule'!$D$6:$D$45,R197)))</f>
        <v/>
      </c>
      <c r="E197" s="76">
        <f>IF(Q197="","",INDEX(Calc!$A$2:$A$367,Q197))</f>
        <v/>
      </c>
      <c r="F197" s="72">
        <f>IF(OR(C197="",E197=""),"",E197-Setup!$D$7)</f>
        <v/>
      </c>
      <c r="G197" s="77">
        <f>IF(R197="","",IF(INDEX('Recurring Schedule'!$H$6:$H$45,R197)="","",INDEX('Recurring Schedule'!$H$6:$H$45,R197)))</f>
        <v/>
      </c>
      <c r="H197" s="77">
        <f>IF(R197="","",IF(INDEX('Recurring Schedule'!$I$6:$I$45,R197)="","",INDEX('Recurring Schedule'!$I$6:$I$45,R197)))</f>
        <v/>
      </c>
      <c r="I197" s="73">
        <f>IF(OR(G197="",H197=""),"",TRIM(IF(HOUR(H197-G197)&gt;0,HOUR(H197-G197)&amp;" hr ","")&amp;IF(MINUTE(H197-G197)&gt;0,MINUTE(H197-G197)&amp;" min","")))</f>
        <v/>
      </c>
      <c r="J197" s="66" t="n"/>
      <c r="K197" s="70" t="n"/>
      <c r="L197" s="73">
        <f>IF(R197="","",IF(INDEX('Recurring Schedule'!$J$6:$J$45,R197)="","",INDEX('Recurring Schedule'!$J$6:$J$45,R197)))</f>
        <v/>
      </c>
      <c r="M197" s="73">
        <f>IF(R197="","",IF(INDEX('Recurring Schedule'!$K$6:$K$45,R197)="","",INDEX('Recurring Schedule'!$K$6:$K$45,R197)))</f>
        <v/>
      </c>
      <c r="N197" s="73">
        <f>IF(R197="","",IF(INDEX('Recurring Schedule'!$L$6:$L$45,R197)="","",INDEX('Recurring Schedule'!$L$6:$L$45,R197)))</f>
        <v/>
      </c>
      <c r="O197" s="73">
        <f>IF(C197="","",IF(AND(OR(L197="1-Urgent",L197="2-High"),M197="✓"),"DO FIRST",IF(M197="✓","SCHEDULE",IF(OR(L197="1-Urgent",L197="2-High"),"DELEGATE","DELETE"))))</f>
        <v/>
      </c>
      <c r="P197" s="65" t="n"/>
      <c r="Q197">
        <f>IF(192&gt;Calc!$AQ$368,"",MATCH(191,Calc!$AQ$2:$AQ$367,1))</f>
        <v/>
      </c>
      <c r="R197">
        <f>IF(Q197="","",SMALL(INDEX(Calc!$B$2:$AO$367,Q197,0),192-INDEX(Calc!$AQ$2:$AQ$367,Q197)))</f>
        <v/>
      </c>
    </row>
    <row r="198">
      <c r="B198" s="64">
        <f>IF(R198="","",193)</f>
        <v/>
      </c>
      <c r="C198" s="37">
        <f>IF(R198="","",IF(INDEX('Recurring Schedule'!$C$6:$C$45,R198)="","",INDEX('Recurring Schedule'!$C$6:$C$45,R198)))</f>
        <v/>
      </c>
      <c r="D198" s="36">
        <f>IF(R198="","",IF(INDEX('Recurring Schedule'!$D$6:$D$45,R198)="","",INDEX('Recurring Schedule'!$D$6:$D$45,R198)))</f>
        <v/>
      </c>
      <c r="E198" s="38">
        <f>IF(Q198="","",INDEX(Calc!$A$2:$A$367,Q198))</f>
        <v/>
      </c>
      <c r="F198" s="68">
        <f>IF(OR(C198="",E198=""),"",E198-Setup!$D$7)</f>
        <v/>
      </c>
      <c r="G198" s="74">
        <f>IF(R198="","",IF(INDEX('Recurring Schedule'!$H$6:$H$45,R198)="","",INDEX('Recurring Schedule'!$H$6:$H$45,R198)))</f>
        <v/>
      </c>
      <c r="H198" s="74">
        <f>IF(R198="","",IF(INDEX('Recurring Schedule'!$I$6:$I$45,R198)="","",INDEX('Recurring Schedule'!$I$6:$I$45,R198)))</f>
        <v/>
      </c>
      <c r="I198" s="36">
        <f>IF(OR(G198="",H198=""),"",TRIM(IF(HOUR(H198-G198)&gt;0,HOUR(H198-G198)&amp;" hr ","")&amp;IF(MINUTE(H198-G198)&gt;0,MINUTE(H198-G198)&amp;" min","")))</f>
        <v/>
      </c>
      <c r="J198" s="66" t="n"/>
      <c r="K198" s="70" t="n"/>
      <c r="L198" s="36">
        <f>IF(R198="","",IF(INDEX('Recurring Schedule'!$J$6:$J$45,R198)="","",INDEX('Recurring Schedule'!$J$6:$J$45,R198)))</f>
        <v/>
      </c>
      <c r="M198" s="36">
        <f>IF(R198="","",IF(INDEX('Recurring Schedule'!$K$6:$K$45,R198)="","",INDEX('Recurring Schedule'!$K$6:$K$45,R198)))</f>
        <v/>
      </c>
      <c r="N198" s="36">
        <f>IF(R198="","",IF(INDEX('Recurring Schedule'!$L$6:$L$45,R198)="","",INDEX('Recurring Schedule'!$L$6:$L$45,R198)))</f>
        <v/>
      </c>
      <c r="O198" s="36">
        <f>IF(C198="","",IF(AND(OR(L198="1-Urgent",L198="2-High"),M198="✓"),"DO FIRST",IF(M198="✓","SCHEDULE",IF(OR(L198="1-Urgent",L198="2-High"),"DELEGATE","DELETE"))))</f>
        <v/>
      </c>
      <c r="P198" s="65" t="n"/>
      <c r="Q198">
        <f>IF(193&gt;Calc!$AQ$368,"",MATCH(192,Calc!$AQ$2:$AQ$367,1))</f>
        <v/>
      </c>
      <c r="R198">
        <f>IF(Q198="","",SMALL(INDEX(Calc!$B$2:$AO$367,Q198,0),193-INDEX(Calc!$AQ$2:$AQ$367,Q198)))</f>
        <v/>
      </c>
    </row>
    <row r="199">
      <c r="B199" s="71">
        <f>IF(R199="","",194)</f>
        <v/>
      </c>
      <c r="C199" s="75">
        <f>IF(R199="","",IF(INDEX('Recurring Schedule'!$C$6:$C$45,R199)="","",INDEX('Recurring Schedule'!$C$6:$C$45,R199)))</f>
        <v/>
      </c>
      <c r="D199" s="73">
        <f>IF(R199="","",IF(INDEX('Recurring Schedule'!$D$6:$D$45,R199)="","",INDEX('Recurring Schedule'!$D$6:$D$45,R199)))</f>
        <v/>
      </c>
      <c r="E199" s="76">
        <f>IF(Q199="","",INDEX(Calc!$A$2:$A$367,Q199))</f>
        <v/>
      </c>
      <c r="F199" s="72">
        <f>IF(OR(C199="",E199=""),"",E199-Setup!$D$7)</f>
        <v/>
      </c>
      <c r="G199" s="77">
        <f>IF(R199="","",IF(INDEX('Recurring Schedule'!$H$6:$H$45,R199)="","",INDEX('Recurring Schedule'!$H$6:$H$45,R199)))</f>
        <v/>
      </c>
      <c r="H199" s="77">
        <f>IF(R199="","",IF(INDEX('Recurring Schedule'!$I$6:$I$45,R199)="","",INDEX('Recurring Schedule'!$I$6:$I$45,R199)))</f>
        <v/>
      </c>
      <c r="I199" s="73">
        <f>IF(OR(G199="",H199=""),"",TRIM(IF(HOUR(H199-G199)&gt;0,HOUR(H199-G199)&amp;" hr ","")&amp;IF(MINUTE(H199-G199)&gt;0,MINUTE(H199-G199)&amp;" min","")))</f>
        <v/>
      </c>
      <c r="J199" s="66" t="n"/>
      <c r="K199" s="70" t="n"/>
      <c r="L199" s="73">
        <f>IF(R199="","",IF(INDEX('Recurring Schedule'!$J$6:$J$45,R199)="","",INDEX('Recurring Schedule'!$J$6:$J$45,R199)))</f>
        <v/>
      </c>
      <c r="M199" s="73">
        <f>IF(R199="","",IF(INDEX('Recurring Schedule'!$K$6:$K$45,R199)="","",INDEX('Recurring Schedule'!$K$6:$K$45,R199)))</f>
        <v/>
      </c>
      <c r="N199" s="73">
        <f>IF(R199="","",IF(INDEX('Recurring Schedule'!$L$6:$L$45,R199)="","",INDEX('Recurring Schedule'!$L$6:$L$45,R199)))</f>
        <v/>
      </c>
      <c r="O199" s="73">
        <f>IF(C199="","",IF(AND(OR(L199="1-Urgent",L199="2-High"),M199="✓"),"DO FIRST",IF(M199="✓","SCHEDULE",IF(OR(L199="1-Urgent",L199="2-High"),"DELEGATE","DELETE"))))</f>
        <v/>
      </c>
      <c r="P199" s="65" t="n"/>
      <c r="Q199">
        <f>IF(194&gt;Calc!$AQ$368,"",MATCH(193,Calc!$AQ$2:$AQ$367,1))</f>
        <v/>
      </c>
      <c r="R199">
        <f>IF(Q199="","",SMALL(INDEX(Calc!$B$2:$AO$367,Q199,0),194-INDEX(Calc!$AQ$2:$AQ$367,Q199)))</f>
        <v/>
      </c>
    </row>
    <row r="200">
      <c r="B200" s="64">
        <f>IF(R200="","",195)</f>
        <v/>
      </c>
      <c r="C200" s="37">
        <f>IF(R200="","",IF(INDEX('Recurring Schedule'!$C$6:$C$45,R200)="","",INDEX('Recurring Schedule'!$C$6:$C$45,R200)))</f>
        <v/>
      </c>
      <c r="D200" s="36">
        <f>IF(R200="","",IF(INDEX('Recurring Schedule'!$D$6:$D$45,R200)="","",INDEX('Recurring Schedule'!$D$6:$D$45,R200)))</f>
        <v/>
      </c>
      <c r="E200" s="38">
        <f>IF(Q200="","",INDEX(Calc!$A$2:$A$367,Q200))</f>
        <v/>
      </c>
      <c r="F200" s="68">
        <f>IF(OR(C200="",E200=""),"",E200-Setup!$D$7)</f>
        <v/>
      </c>
      <c r="G200" s="74">
        <f>IF(R200="","",IF(INDEX('Recurring Schedule'!$H$6:$H$45,R200)="","",INDEX('Recurring Schedule'!$H$6:$H$45,R200)))</f>
        <v/>
      </c>
      <c r="H200" s="74">
        <f>IF(R200="","",IF(INDEX('Recurring Schedule'!$I$6:$I$45,R200)="","",INDEX('Recurring Schedule'!$I$6:$I$45,R200)))</f>
        <v/>
      </c>
      <c r="I200" s="36">
        <f>IF(OR(G200="",H200=""),"",TRIM(IF(HOUR(H200-G200)&gt;0,HOUR(H200-G200)&amp;" hr ","")&amp;IF(MINUTE(H200-G200)&gt;0,MINUTE(H200-G200)&amp;" min","")))</f>
        <v/>
      </c>
      <c r="J200" s="66" t="n"/>
      <c r="K200" s="70" t="n"/>
      <c r="L200" s="36">
        <f>IF(R200="","",IF(INDEX('Recurring Schedule'!$J$6:$J$45,R200)="","",INDEX('Recurring Schedule'!$J$6:$J$45,R200)))</f>
        <v/>
      </c>
      <c r="M200" s="36">
        <f>IF(R200="","",IF(INDEX('Recurring Schedule'!$K$6:$K$45,R200)="","",INDEX('Recurring Schedule'!$K$6:$K$45,R200)))</f>
        <v/>
      </c>
      <c r="N200" s="36">
        <f>IF(R200="","",IF(INDEX('Recurring Schedule'!$L$6:$L$45,R200)="","",INDEX('Recurring Schedule'!$L$6:$L$45,R200)))</f>
        <v/>
      </c>
      <c r="O200" s="36">
        <f>IF(C200="","",IF(AND(OR(L200="1-Urgent",L200="2-High"),M200="✓"),"DO FIRST",IF(M200="✓","SCHEDULE",IF(OR(L200="1-Urgent",L200="2-High"),"DELEGATE","DELETE"))))</f>
        <v/>
      </c>
      <c r="P200" s="65" t="n"/>
      <c r="Q200">
        <f>IF(195&gt;Calc!$AQ$368,"",MATCH(194,Calc!$AQ$2:$AQ$367,1))</f>
        <v/>
      </c>
      <c r="R200">
        <f>IF(Q200="","",SMALL(INDEX(Calc!$B$2:$AO$367,Q200,0),195-INDEX(Calc!$AQ$2:$AQ$367,Q200)))</f>
        <v/>
      </c>
    </row>
    <row r="201">
      <c r="B201" s="71">
        <f>IF(R201="","",196)</f>
        <v/>
      </c>
      <c r="C201" s="75">
        <f>IF(R201="","",IF(INDEX('Recurring Schedule'!$C$6:$C$45,R201)="","",INDEX('Recurring Schedule'!$C$6:$C$45,R201)))</f>
        <v/>
      </c>
      <c r="D201" s="73">
        <f>IF(R201="","",IF(INDEX('Recurring Schedule'!$D$6:$D$45,R201)="","",INDEX('Recurring Schedule'!$D$6:$D$45,R201)))</f>
        <v/>
      </c>
      <c r="E201" s="76">
        <f>IF(Q201="","",INDEX(Calc!$A$2:$A$367,Q201))</f>
        <v/>
      </c>
      <c r="F201" s="72">
        <f>IF(OR(C201="",E201=""),"",E201-Setup!$D$7)</f>
        <v/>
      </c>
      <c r="G201" s="77">
        <f>IF(R201="","",IF(INDEX('Recurring Schedule'!$H$6:$H$45,R201)="","",INDEX('Recurring Schedule'!$H$6:$H$45,R201)))</f>
        <v/>
      </c>
      <c r="H201" s="77">
        <f>IF(R201="","",IF(INDEX('Recurring Schedule'!$I$6:$I$45,R201)="","",INDEX('Recurring Schedule'!$I$6:$I$45,R201)))</f>
        <v/>
      </c>
      <c r="I201" s="73">
        <f>IF(OR(G201="",H201=""),"",TRIM(IF(HOUR(H201-G201)&gt;0,HOUR(H201-G201)&amp;" hr ","")&amp;IF(MINUTE(H201-G201)&gt;0,MINUTE(H201-G201)&amp;" min","")))</f>
        <v/>
      </c>
      <c r="J201" s="66" t="n"/>
      <c r="K201" s="70" t="n"/>
      <c r="L201" s="73">
        <f>IF(R201="","",IF(INDEX('Recurring Schedule'!$J$6:$J$45,R201)="","",INDEX('Recurring Schedule'!$J$6:$J$45,R201)))</f>
        <v/>
      </c>
      <c r="M201" s="73">
        <f>IF(R201="","",IF(INDEX('Recurring Schedule'!$K$6:$K$45,R201)="","",INDEX('Recurring Schedule'!$K$6:$K$45,R201)))</f>
        <v/>
      </c>
      <c r="N201" s="73">
        <f>IF(R201="","",IF(INDEX('Recurring Schedule'!$L$6:$L$45,R201)="","",INDEX('Recurring Schedule'!$L$6:$L$45,R201)))</f>
        <v/>
      </c>
      <c r="O201" s="73">
        <f>IF(C201="","",IF(AND(OR(L201="1-Urgent",L201="2-High"),M201="✓"),"DO FIRST",IF(M201="✓","SCHEDULE",IF(OR(L201="1-Urgent",L201="2-High"),"DELEGATE","DELETE"))))</f>
        <v/>
      </c>
      <c r="P201" s="65" t="n"/>
      <c r="Q201">
        <f>IF(196&gt;Calc!$AQ$368,"",MATCH(195,Calc!$AQ$2:$AQ$367,1))</f>
        <v/>
      </c>
      <c r="R201">
        <f>IF(Q201="","",SMALL(INDEX(Calc!$B$2:$AO$367,Q201,0),196-INDEX(Calc!$AQ$2:$AQ$367,Q201)))</f>
        <v/>
      </c>
    </row>
    <row r="202">
      <c r="B202" s="64">
        <f>IF(R202="","",197)</f>
        <v/>
      </c>
      <c r="C202" s="37">
        <f>IF(R202="","",IF(INDEX('Recurring Schedule'!$C$6:$C$45,R202)="","",INDEX('Recurring Schedule'!$C$6:$C$45,R202)))</f>
        <v/>
      </c>
      <c r="D202" s="36">
        <f>IF(R202="","",IF(INDEX('Recurring Schedule'!$D$6:$D$45,R202)="","",INDEX('Recurring Schedule'!$D$6:$D$45,R202)))</f>
        <v/>
      </c>
      <c r="E202" s="38">
        <f>IF(Q202="","",INDEX(Calc!$A$2:$A$367,Q202))</f>
        <v/>
      </c>
      <c r="F202" s="68">
        <f>IF(OR(C202="",E202=""),"",E202-Setup!$D$7)</f>
        <v/>
      </c>
      <c r="G202" s="74">
        <f>IF(R202="","",IF(INDEX('Recurring Schedule'!$H$6:$H$45,R202)="","",INDEX('Recurring Schedule'!$H$6:$H$45,R202)))</f>
        <v/>
      </c>
      <c r="H202" s="74">
        <f>IF(R202="","",IF(INDEX('Recurring Schedule'!$I$6:$I$45,R202)="","",INDEX('Recurring Schedule'!$I$6:$I$45,R202)))</f>
        <v/>
      </c>
      <c r="I202" s="36">
        <f>IF(OR(G202="",H202=""),"",TRIM(IF(HOUR(H202-G202)&gt;0,HOUR(H202-G202)&amp;" hr ","")&amp;IF(MINUTE(H202-G202)&gt;0,MINUTE(H202-G202)&amp;" min","")))</f>
        <v/>
      </c>
      <c r="J202" s="66" t="n"/>
      <c r="K202" s="70" t="n"/>
      <c r="L202" s="36">
        <f>IF(R202="","",IF(INDEX('Recurring Schedule'!$J$6:$J$45,R202)="","",INDEX('Recurring Schedule'!$J$6:$J$45,R202)))</f>
        <v/>
      </c>
      <c r="M202" s="36">
        <f>IF(R202="","",IF(INDEX('Recurring Schedule'!$K$6:$K$45,R202)="","",INDEX('Recurring Schedule'!$K$6:$K$45,R202)))</f>
        <v/>
      </c>
      <c r="N202" s="36">
        <f>IF(R202="","",IF(INDEX('Recurring Schedule'!$L$6:$L$45,R202)="","",INDEX('Recurring Schedule'!$L$6:$L$45,R202)))</f>
        <v/>
      </c>
      <c r="O202" s="36">
        <f>IF(C202="","",IF(AND(OR(L202="1-Urgent",L202="2-High"),M202="✓"),"DO FIRST",IF(M202="✓","SCHEDULE",IF(OR(L202="1-Urgent",L202="2-High"),"DELEGATE","DELETE"))))</f>
        <v/>
      </c>
      <c r="P202" s="65" t="n"/>
      <c r="Q202">
        <f>IF(197&gt;Calc!$AQ$368,"",MATCH(196,Calc!$AQ$2:$AQ$367,1))</f>
        <v/>
      </c>
      <c r="R202">
        <f>IF(Q202="","",SMALL(INDEX(Calc!$B$2:$AO$367,Q202,0),197-INDEX(Calc!$AQ$2:$AQ$367,Q202)))</f>
        <v/>
      </c>
    </row>
    <row r="203">
      <c r="B203" s="71">
        <f>IF(R203="","",198)</f>
        <v/>
      </c>
      <c r="C203" s="75">
        <f>IF(R203="","",IF(INDEX('Recurring Schedule'!$C$6:$C$45,R203)="","",INDEX('Recurring Schedule'!$C$6:$C$45,R203)))</f>
        <v/>
      </c>
      <c r="D203" s="73">
        <f>IF(R203="","",IF(INDEX('Recurring Schedule'!$D$6:$D$45,R203)="","",INDEX('Recurring Schedule'!$D$6:$D$45,R203)))</f>
        <v/>
      </c>
      <c r="E203" s="76">
        <f>IF(Q203="","",INDEX(Calc!$A$2:$A$367,Q203))</f>
        <v/>
      </c>
      <c r="F203" s="72">
        <f>IF(OR(C203="",E203=""),"",E203-Setup!$D$7)</f>
        <v/>
      </c>
      <c r="G203" s="77">
        <f>IF(R203="","",IF(INDEX('Recurring Schedule'!$H$6:$H$45,R203)="","",INDEX('Recurring Schedule'!$H$6:$H$45,R203)))</f>
        <v/>
      </c>
      <c r="H203" s="77">
        <f>IF(R203="","",IF(INDEX('Recurring Schedule'!$I$6:$I$45,R203)="","",INDEX('Recurring Schedule'!$I$6:$I$45,R203)))</f>
        <v/>
      </c>
      <c r="I203" s="73">
        <f>IF(OR(G203="",H203=""),"",TRIM(IF(HOUR(H203-G203)&gt;0,HOUR(H203-G203)&amp;" hr ","")&amp;IF(MINUTE(H203-G203)&gt;0,MINUTE(H203-G203)&amp;" min","")))</f>
        <v/>
      </c>
      <c r="J203" s="66" t="n"/>
      <c r="K203" s="70" t="n"/>
      <c r="L203" s="73">
        <f>IF(R203="","",IF(INDEX('Recurring Schedule'!$J$6:$J$45,R203)="","",INDEX('Recurring Schedule'!$J$6:$J$45,R203)))</f>
        <v/>
      </c>
      <c r="M203" s="73">
        <f>IF(R203="","",IF(INDEX('Recurring Schedule'!$K$6:$K$45,R203)="","",INDEX('Recurring Schedule'!$K$6:$K$45,R203)))</f>
        <v/>
      </c>
      <c r="N203" s="73">
        <f>IF(R203="","",IF(INDEX('Recurring Schedule'!$L$6:$L$45,R203)="","",INDEX('Recurring Schedule'!$L$6:$L$45,R203)))</f>
        <v/>
      </c>
      <c r="O203" s="73">
        <f>IF(C203="","",IF(AND(OR(L203="1-Urgent",L203="2-High"),M203="✓"),"DO FIRST",IF(M203="✓","SCHEDULE",IF(OR(L203="1-Urgent",L203="2-High"),"DELEGATE","DELETE"))))</f>
        <v/>
      </c>
      <c r="P203" s="65" t="n"/>
      <c r="Q203">
        <f>IF(198&gt;Calc!$AQ$368,"",MATCH(197,Calc!$AQ$2:$AQ$367,1))</f>
        <v/>
      </c>
      <c r="R203">
        <f>IF(Q203="","",SMALL(INDEX(Calc!$B$2:$AO$367,Q203,0),198-INDEX(Calc!$AQ$2:$AQ$367,Q203)))</f>
        <v/>
      </c>
    </row>
    <row r="204">
      <c r="B204" s="64">
        <f>IF(R204="","",199)</f>
        <v/>
      </c>
      <c r="C204" s="37">
        <f>IF(R204="","",IF(INDEX('Recurring Schedule'!$C$6:$C$45,R204)="","",INDEX('Recurring Schedule'!$C$6:$C$45,R204)))</f>
        <v/>
      </c>
      <c r="D204" s="36">
        <f>IF(R204="","",IF(INDEX('Recurring Schedule'!$D$6:$D$45,R204)="","",INDEX('Recurring Schedule'!$D$6:$D$45,R204)))</f>
        <v/>
      </c>
      <c r="E204" s="38">
        <f>IF(Q204="","",INDEX(Calc!$A$2:$A$367,Q204))</f>
        <v/>
      </c>
      <c r="F204" s="68">
        <f>IF(OR(C204="",E204=""),"",E204-Setup!$D$7)</f>
        <v/>
      </c>
      <c r="G204" s="74">
        <f>IF(R204="","",IF(INDEX('Recurring Schedule'!$H$6:$H$45,R204)="","",INDEX('Recurring Schedule'!$H$6:$H$45,R204)))</f>
        <v/>
      </c>
      <c r="H204" s="74">
        <f>IF(R204="","",IF(INDEX('Recurring Schedule'!$I$6:$I$45,R204)="","",INDEX('Recurring Schedule'!$I$6:$I$45,R204)))</f>
        <v/>
      </c>
      <c r="I204" s="36">
        <f>IF(OR(G204="",H204=""),"",TRIM(IF(HOUR(H204-G204)&gt;0,HOUR(H204-G204)&amp;" hr ","")&amp;IF(MINUTE(H204-G204)&gt;0,MINUTE(H204-G204)&amp;" min","")))</f>
        <v/>
      </c>
      <c r="J204" s="66" t="n"/>
      <c r="K204" s="70" t="n"/>
      <c r="L204" s="36">
        <f>IF(R204="","",IF(INDEX('Recurring Schedule'!$J$6:$J$45,R204)="","",INDEX('Recurring Schedule'!$J$6:$J$45,R204)))</f>
        <v/>
      </c>
      <c r="M204" s="36">
        <f>IF(R204="","",IF(INDEX('Recurring Schedule'!$K$6:$K$45,R204)="","",INDEX('Recurring Schedule'!$K$6:$K$45,R204)))</f>
        <v/>
      </c>
      <c r="N204" s="36">
        <f>IF(R204="","",IF(INDEX('Recurring Schedule'!$L$6:$L$45,R204)="","",INDEX('Recurring Schedule'!$L$6:$L$45,R204)))</f>
        <v/>
      </c>
      <c r="O204" s="36">
        <f>IF(C204="","",IF(AND(OR(L204="1-Urgent",L204="2-High"),M204="✓"),"DO FIRST",IF(M204="✓","SCHEDULE",IF(OR(L204="1-Urgent",L204="2-High"),"DELEGATE","DELETE"))))</f>
        <v/>
      </c>
      <c r="P204" s="65" t="n"/>
      <c r="Q204">
        <f>IF(199&gt;Calc!$AQ$368,"",MATCH(198,Calc!$AQ$2:$AQ$367,1))</f>
        <v/>
      </c>
      <c r="R204">
        <f>IF(Q204="","",SMALL(INDEX(Calc!$B$2:$AO$367,Q204,0),199-INDEX(Calc!$AQ$2:$AQ$367,Q204)))</f>
        <v/>
      </c>
    </row>
    <row r="205">
      <c r="B205" s="71">
        <f>IF(R205="","",200)</f>
        <v/>
      </c>
      <c r="C205" s="75">
        <f>IF(R205="","",IF(INDEX('Recurring Schedule'!$C$6:$C$45,R205)="","",INDEX('Recurring Schedule'!$C$6:$C$45,R205)))</f>
        <v/>
      </c>
      <c r="D205" s="73">
        <f>IF(R205="","",IF(INDEX('Recurring Schedule'!$D$6:$D$45,R205)="","",INDEX('Recurring Schedule'!$D$6:$D$45,R205)))</f>
        <v/>
      </c>
      <c r="E205" s="76">
        <f>IF(Q205="","",INDEX(Calc!$A$2:$A$367,Q205))</f>
        <v/>
      </c>
      <c r="F205" s="72">
        <f>IF(OR(C205="",E205=""),"",E205-Setup!$D$7)</f>
        <v/>
      </c>
      <c r="G205" s="77">
        <f>IF(R205="","",IF(INDEX('Recurring Schedule'!$H$6:$H$45,R205)="","",INDEX('Recurring Schedule'!$H$6:$H$45,R205)))</f>
        <v/>
      </c>
      <c r="H205" s="77">
        <f>IF(R205="","",IF(INDEX('Recurring Schedule'!$I$6:$I$45,R205)="","",INDEX('Recurring Schedule'!$I$6:$I$45,R205)))</f>
        <v/>
      </c>
      <c r="I205" s="73">
        <f>IF(OR(G205="",H205=""),"",TRIM(IF(HOUR(H205-G205)&gt;0,HOUR(H205-G205)&amp;" hr ","")&amp;IF(MINUTE(H205-G205)&gt;0,MINUTE(H205-G205)&amp;" min","")))</f>
        <v/>
      </c>
      <c r="J205" s="66" t="n"/>
      <c r="K205" s="70" t="n"/>
      <c r="L205" s="73">
        <f>IF(R205="","",IF(INDEX('Recurring Schedule'!$J$6:$J$45,R205)="","",INDEX('Recurring Schedule'!$J$6:$J$45,R205)))</f>
        <v/>
      </c>
      <c r="M205" s="73">
        <f>IF(R205="","",IF(INDEX('Recurring Schedule'!$K$6:$K$45,R205)="","",INDEX('Recurring Schedule'!$K$6:$K$45,R205)))</f>
        <v/>
      </c>
      <c r="N205" s="73">
        <f>IF(R205="","",IF(INDEX('Recurring Schedule'!$L$6:$L$45,R205)="","",INDEX('Recurring Schedule'!$L$6:$L$45,R205)))</f>
        <v/>
      </c>
      <c r="O205" s="73">
        <f>IF(C205="","",IF(AND(OR(L205="1-Urgent",L205="2-High"),M205="✓"),"DO FIRST",IF(M205="✓","SCHEDULE",IF(OR(L205="1-Urgent",L205="2-High"),"DELEGATE","DELETE"))))</f>
        <v/>
      </c>
      <c r="P205" s="65" t="n"/>
      <c r="Q205">
        <f>IF(200&gt;Calc!$AQ$368,"",MATCH(199,Calc!$AQ$2:$AQ$367,1))</f>
        <v/>
      </c>
      <c r="R205">
        <f>IF(Q205="","",SMALL(INDEX(Calc!$B$2:$AO$367,Q205,0),200-INDEX(Calc!$AQ$2:$AQ$367,Q205)))</f>
        <v/>
      </c>
    </row>
    <row r="206">
      <c r="B206" s="64">
        <f>IF(R206="","",201)</f>
        <v/>
      </c>
      <c r="C206" s="37">
        <f>IF(R206="","",IF(INDEX('Recurring Schedule'!$C$6:$C$45,R206)="","",INDEX('Recurring Schedule'!$C$6:$C$45,R206)))</f>
        <v/>
      </c>
      <c r="D206" s="36">
        <f>IF(R206="","",IF(INDEX('Recurring Schedule'!$D$6:$D$45,R206)="","",INDEX('Recurring Schedule'!$D$6:$D$45,R206)))</f>
        <v/>
      </c>
      <c r="E206" s="38">
        <f>IF(Q206="","",INDEX(Calc!$A$2:$A$367,Q206))</f>
        <v/>
      </c>
      <c r="F206" s="68">
        <f>IF(OR(C206="",E206=""),"",E206-Setup!$D$7)</f>
        <v/>
      </c>
      <c r="G206" s="74">
        <f>IF(R206="","",IF(INDEX('Recurring Schedule'!$H$6:$H$45,R206)="","",INDEX('Recurring Schedule'!$H$6:$H$45,R206)))</f>
        <v/>
      </c>
      <c r="H206" s="74">
        <f>IF(R206="","",IF(INDEX('Recurring Schedule'!$I$6:$I$45,R206)="","",INDEX('Recurring Schedule'!$I$6:$I$45,R206)))</f>
        <v/>
      </c>
      <c r="I206" s="36">
        <f>IF(OR(G206="",H206=""),"",TRIM(IF(HOUR(H206-G206)&gt;0,HOUR(H206-G206)&amp;" hr ","")&amp;IF(MINUTE(H206-G206)&gt;0,MINUTE(H206-G206)&amp;" min","")))</f>
        <v/>
      </c>
      <c r="J206" s="66" t="n"/>
      <c r="K206" s="70" t="n"/>
      <c r="L206" s="36">
        <f>IF(R206="","",IF(INDEX('Recurring Schedule'!$J$6:$J$45,R206)="","",INDEX('Recurring Schedule'!$J$6:$J$45,R206)))</f>
        <v/>
      </c>
      <c r="M206" s="36">
        <f>IF(R206="","",IF(INDEX('Recurring Schedule'!$K$6:$K$45,R206)="","",INDEX('Recurring Schedule'!$K$6:$K$45,R206)))</f>
        <v/>
      </c>
      <c r="N206" s="36">
        <f>IF(R206="","",IF(INDEX('Recurring Schedule'!$L$6:$L$45,R206)="","",INDEX('Recurring Schedule'!$L$6:$L$45,R206)))</f>
        <v/>
      </c>
      <c r="O206" s="36">
        <f>IF(C206="","",IF(AND(OR(L206="1-Urgent",L206="2-High"),M206="✓"),"DO FIRST",IF(M206="✓","SCHEDULE",IF(OR(L206="1-Urgent",L206="2-High"),"DELEGATE","DELETE"))))</f>
        <v/>
      </c>
      <c r="P206" s="65" t="n"/>
      <c r="Q206">
        <f>IF(201&gt;Calc!$AQ$368,"",MATCH(200,Calc!$AQ$2:$AQ$367,1))</f>
        <v/>
      </c>
      <c r="R206">
        <f>IF(Q206="","",SMALL(INDEX(Calc!$B$2:$AO$367,Q206,0),201-INDEX(Calc!$AQ$2:$AQ$367,Q206)))</f>
        <v/>
      </c>
    </row>
    <row r="207">
      <c r="B207" s="71">
        <f>IF(R207="","",202)</f>
        <v/>
      </c>
      <c r="C207" s="75">
        <f>IF(R207="","",IF(INDEX('Recurring Schedule'!$C$6:$C$45,R207)="","",INDEX('Recurring Schedule'!$C$6:$C$45,R207)))</f>
        <v/>
      </c>
      <c r="D207" s="73">
        <f>IF(R207="","",IF(INDEX('Recurring Schedule'!$D$6:$D$45,R207)="","",INDEX('Recurring Schedule'!$D$6:$D$45,R207)))</f>
        <v/>
      </c>
      <c r="E207" s="76">
        <f>IF(Q207="","",INDEX(Calc!$A$2:$A$367,Q207))</f>
        <v/>
      </c>
      <c r="F207" s="72">
        <f>IF(OR(C207="",E207=""),"",E207-Setup!$D$7)</f>
        <v/>
      </c>
      <c r="G207" s="77">
        <f>IF(R207="","",IF(INDEX('Recurring Schedule'!$H$6:$H$45,R207)="","",INDEX('Recurring Schedule'!$H$6:$H$45,R207)))</f>
        <v/>
      </c>
      <c r="H207" s="77">
        <f>IF(R207="","",IF(INDEX('Recurring Schedule'!$I$6:$I$45,R207)="","",INDEX('Recurring Schedule'!$I$6:$I$45,R207)))</f>
        <v/>
      </c>
      <c r="I207" s="73">
        <f>IF(OR(G207="",H207=""),"",TRIM(IF(HOUR(H207-G207)&gt;0,HOUR(H207-G207)&amp;" hr ","")&amp;IF(MINUTE(H207-G207)&gt;0,MINUTE(H207-G207)&amp;" min","")))</f>
        <v/>
      </c>
      <c r="J207" s="66" t="n"/>
      <c r="K207" s="70" t="n"/>
      <c r="L207" s="73">
        <f>IF(R207="","",IF(INDEX('Recurring Schedule'!$J$6:$J$45,R207)="","",INDEX('Recurring Schedule'!$J$6:$J$45,R207)))</f>
        <v/>
      </c>
      <c r="M207" s="73">
        <f>IF(R207="","",IF(INDEX('Recurring Schedule'!$K$6:$K$45,R207)="","",INDEX('Recurring Schedule'!$K$6:$K$45,R207)))</f>
        <v/>
      </c>
      <c r="N207" s="73">
        <f>IF(R207="","",IF(INDEX('Recurring Schedule'!$L$6:$L$45,R207)="","",INDEX('Recurring Schedule'!$L$6:$L$45,R207)))</f>
        <v/>
      </c>
      <c r="O207" s="73">
        <f>IF(C207="","",IF(AND(OR(L207="1-Urgent",L207="2-High"),M207="✓"),"DO FIRST",IF(M207="✓","SCHEDULE",IF(OR(L207="1-Urgent",L207="2-High"),"DELEGATE","DELETE"))))</f>
        <v/>
      </c>
      <c r="P207" s="65" t="n"/>
      <c r="Q207">
        <f>IF(202&gt;Calc!$AQ$368,"",MATCH(201,Calc!$AQ$2:$AQ$367,1))</f>
        <v/>
      </c>
      <c r="R207">
        <f>IF(Q207="","",SMALL(INDEX(Calc!$B$2:$AO$367,Q207,0),202-INDEX(Calc!$AQ$2:$AQ$367,Q207)))</f>
        <v/>
      </c>
    </row>
    <row r="208">
      <c r="B208" s="64">
        <f>IF(R208="","",203)</f>
        <v/>
      </c>
      <c r="C208" s="37">
        <f>IF(R208="","",IF(INDEX('Recurring Schedule'!$C$6:$C$45,R208)="","",INDEX('Recurring Schedule'!$C$6:$C$45,R208)))</f>
        <v/>
      </c>
      <c r="D208" s="36">
        <f>IF(R208="","",IF(INDEX('Recurring Schedule'!$D$6:$D$45,R208)="","",INDEX('Recurring Schedule'!$D$6:$D$45,R208)))</f>
        <v/>
      </c>
      <c r="E208" s="38">
        <f>IF(Q208="","",INDEX(Calc!$A$2:$A$367,Q208))</f>
        <v/>
      </c>
      <c r="F208" s="68">
        <f>IF(OR(C208="",E208=""),"",E208-Setup!$D$7)</f>
        <v/>
      </c>
      <c r="G208" s="74">
        <f>IF(R208="","",IF(INDEX('Recurring Schedule'!$H$6:$H$45,R208)="","",INDEX('Recurring Schedule'!$H$6:$H$45,R208)))</f>
        <v/>
      </c>
      <c r="H208" s="74">
        <f>IF(R208="","",IF(INDEX('Recurring Schedule'!$I$6:$I$45,R208)="","",INDEX('Recurring Schedule'!$I$6:$I$45,R208)))</f>
        <v/>
      </c>
      <c r="I208" s="36">
        <f>IF(OR(G208="",H208=""),"",TRIM(IF(HOUR(H208-G208)&gt;0,HOUR(H208-G208)&amp;" hr ","")&amp;IF(MINUTE(H208-G208)&gt;0,MINUTE(H208-G208)&amp;" min","")))</f>
        <v/>
      </c>
      <c r="J208" s="66" t="n"/>
      <c r="K208" s="70" t="n"/>
      <c r="L208" s="36">
        <f>IF(R208="","",IF(INDEX('Recurring Schedule'!$J$6:$J$45,R208)="","",INDEX('Recurring Schedule'!$J$6:$J$45,R208)))</f>
        <v/>
      </c>
      <c r="M208" s="36">
        <f>IF(R208="","",IF(INDEX('Recurring Schedule'!$K$6:$K$45,R208)="","",INDEX('Recurring Schedule'!$K$6:$K$45,R208)))</f>
        <v/>
      </c>
      <c r="N208" s="36">
        <f>IF(R208="","",IF(INDEX('Recurring Schedule'!$L$6:$L$45,R208)="","",INDEX('Recurring Schedule'!$L$6:$L$45,R208)))</f>
        <v/>
      </c>
      <c r="O208" s="36">
        <f>IF(C208="","",IF(AND(OR(L208="1-Urgent",L208="2-High"),M208="✓"),"DO FIRST",IF(M208="✓","SCHEDULE",IF(OR(L208="1-Urgent",L208="2-High"),"DELEGATE","DELETE"))))</f>
        <v/>
      </c>
      <c r="P208" s="65" t="n"/>
      <c r="Q208">
        <f>IF(203&gt;Calc!$AQ$368,"",MATCH(202,Calc!$AQ$2:$AQ$367,1))</f>
        <v/>
      </c>
      <c r="R208">
        <f>IF(Q208="","",SMALL(INDEX(Calc!$B$2:$AO$367,Q208,0),203-INDEX(Calc!$AQ$2:$AQ$367,Q208)))</f>
        <v/>
      </c>
    </row>
    <row r="209">
      <c r="B209" s="71">
        <f>IF(R209="","",204)</f>
        <v/>
      </c>
      <c r="C209" s="75">
        <f>IF(R209="","",IF(INDEX('Recurring Schedule'!$C$6:$C$45,R209)="","",INDEX('Recurring Schedule'!$C$6:$C$45,R209)))</f>
        <v/>
      </c>
      <c r="D209" s="73">
        <f>IF(R209="","",IF(INDEX('Recurring Schedule'!$D$6:$D$45,R209)="","",INDEX('Recurring Schedule'!$D$6:$D$45,R209)))</f>
        <v/>
      </c>
      <c r="E209" s="76">
        <f>IF(Q209="","",INDEX(Calc!$A$2:$A$367,Q209))</f>
        <v/>
      </c>
      <c r="F209" s="72">
        <f>IF(OR(C209="",E209=""),"",E209-Setup!$D$7)</f>
        <v/>
      </c>
      <c r="G209" s="77">
        <f>IF(R209="","",IF(INDEX('Recurring Schedule'!$H$6:$H$45,R209)="","",INDEX('Recurring Schedule'!$H$6:$H$45,R209)))</f>
        <v/>
      </c>
      <c r="H209" s="77">
        <f>IF(R209="","",IF(INDEX('Recurring Schedule'!$I$6:$I$45,R209)="","",INDEX('Recurring Schedule'!$I$6:$I$45,R209)))</f>
        <v/>
      </c>
      <c r="I209" s="73">
        <f>IF(OR(G209="",H209=""),"",TRIM(IF(HOUR(H209-G209)&gt;0,HOUR(H209-G209)&amp;" hr ","")&amp;IF(MINUTE(H209-G209)&gt;0,MINUTE(H209-G209)&amp;" min","")))</f>
        <v/>
      </c>
      <c r="J209" s="66" t="n"/>
      <c r="K209" s="70" t="n"/>
      <c r="L209" s="73">
        <f>IF(R209="","",IF(INDEX('Recurring Schedule'!$J$6:$J$45,R209)="","",INDEX('Recurring Schedule'!$J$6:$J$45,R209)))</f>
        <v/>
      </c>
      <c r="M209" s="73">
        <f>IF(R209="","",IF(INDEX('Recurring Schedule'!$K$6:$K$45,R209)="","",INDEX('Recurring Schedule'!$K$6:$K$45,R209)))</f>
        <v/>
      </c>
      <c r="N209" s="73">
        <f>IF(R209="","",IF(INDEX('Recurring Schedule'!$L$6:$L$45,R209)="","",INDEX('Recurring Schedule'!$L$6:$L$45,R209)))</f>
        <v/>
      </c>
      <c r="O209" s="73">
        <f>IF(C209="","",IF(AND(OR(L209="1-Urgent",L209="2-High"),M209="✓"),"DO FIRST",IF(M209="✓","SCHEDULE",IF(OR(L209="1-Urgent",L209="2-High"),"DELEGATE","DELETE"))))</f>
        <v/>
      </c>
      <c r="P209" s="65" t="n"/>
      <c r="Q209">
        <f>IF(204&gt;Calc!$AQ$368,"",MATCH(203,Calc!$AQ$2:$AQ$367,1))</f>
        <v/>
      </c>
      <c r="R209">
        <f>IF(Q209="","",SMALL(INDEX(Calc!$B$2:$AO$367,Q209,0),204-INDEX(Calc!$AQ$2:$AQ$367,Q209)))</f>
        <v/>
      </c>
    </row>
    <row r="210">
      <c r="B210" s="64">
        <f>IF(R210="","",205)</f>
        <v/>
      </c>
      <c r="C210" s="37">
        <f>IF(R210="","",IF(INDEX('Recurring Schedule'!$C$6:$C$45,R210)="","",INDEX('Recurring Schedule'!$C$6:$C$45,R210)))</f>
        <v/>
      </c>
      <c r="D210" s="36">
        <f>IF(R210="","",IF(INDEX('Recurring Schedule'!$D$6:$D$45,R210)="","",INDEX('Recurring Schedule'!$D$6:$D$45,R210)))</f>
        <v/>
      </c>
      <c r="E210" s="38">
        <f>IF(Q210="","",INDEX(Calc!$A$2:$A$367,Q210))</f>
        <v/>
      </c>
      <c r="F210" s="68">
        <f>IF(OR(C210="",E210=""),"",E210-Setup!$D$7)</f>
        <v/>
      </c>
      <c r="G210" s="74">
        <f>IF(R210="","",IF(INDEX('Recurring Schedule'!$H$6:$H$45,R210)="","",INDEX('Recurring Schedule'!$H$6:$H$45,R210)))</f>
        <v/>
      </c>
      <c r="H210" s="74">
        <f>IF(R210="","",IF(INDEX('Recurring Schedule'!$I$6:$I$45,R210)="","",INDEX('Recurring Schedule'!$I$6:$I$45,R210)))</f>
        <v/>
      </c>
      <c r="I210" s="36">
        <f>IF(OR(G210="",H210=""),"",TRIM(IF(HOUR(H210-G210)&gt;0,HOUR(H210-G210)&amp;" hr ","")&amp;IF(MINUTE(H210-G210)&gt;0,MINUTE(H210-G210)&amp;" min","")))</f>
        <v/>
      </c>
      <c r="J210" s="66" t="n"/>
      <c r="K210" s="70" t="n"/>
      <c r="L210" s="36">
        <f>IF(R210="","",IF(INDEX('Recurring Schedule'!$J$6:$J$45,R210)="","",INDEX('Recurring Schedule'!$J$6:$J$45,R210)))</f>
        <v/>
      </c>
      <c r="M210" s="36">
        <f>IF(R210="","",IF(INDEX('Recurring Schedule'!$K$6:$K$45,R210)="","",INDEX('Recurring Schedule'!$K$6:$K$45,R210)))</f>
        <v/>
      </c>
      <c r="N210" s="36">
        <f>IF(R210="","",IF(INDEX('Recurring Schedule'!$L$6:$L$45,R210)="","",INDEX('Recurring Schedule'!$L$6:$L$45,R210)))</f>
        <v/>
      </c>
      <c r="O210" s="36">
        <f>IF(C210="","",IF(AND(OR(L210="1-Urgent",L210="2-High"),M210="✓"),"DO FIRST",IF(M210="✓","SCHEDULE",IF(OR(L210="1-Urgent",L210="2-High"),"DELEGATE","DELETE"))))</f>
        <v/>
      </c>
      <c r="P210" s="65" t="n"/>
      <c r="Q210">
        <f>IF(205&gt;Calc!$AQ$368,"",MATCH(204,Calc!$AQ$2:$AQ$367,1))</f>
        <v/>
      </c>
      <c r="R210">
        <f>IF(Q210="","",SMALL(INDEX(Calc!$B$2:$AO$367,Q210,0),205-INDEX(Calc!$AQ$2:$AQ$367,Q210)))</f>
        <v/>
      </c>
    </row>
    <row r="211">
      <c r="B211" s="71">
        <f>IF(R211="","",206)</f>
        <v/>
      </c>
      <c r="C211" s="75">
        <f>IF(R211="","",IF(INDEX('Recurring Schedule'!$C$6:$C$45,R211)="","",INDEX('Recurring Schedule'!$C$6:$C$45,R211)))</f>
        <v/>
      </c>
      <c r="D211" s="73">
        <f>IF(R211="","",IF(INDEX('Recurring Schedule'!$D$6:$D$45,R211)="","",INDEX('Recurring Schedule'!$D$6:$D$45,R211)))</f>
        <v/>
      </c>
      <c r="E211" s="76">
        <f>IF(Q211="","",INDEX(Calc!$A$2:$A$367,Q211))</f>
        <v/>
      </c>
      <c r="F211" s="72">
        <f>IF(OR(C211="",E211=""),"",E211-Setup!$D$7)</f>
        <v/>
      </c>
      <c r="G211" s="77">
        <f>IF(R211="","",IF(INDEX('Recurring Schedule'!$H$6:$H$45,R211)="","",INDEX('Recurring Schedule'!$H$6:$H$45,R211)))</f>
        <v/>
      </c>
      <c r="H211" s="77">
        <f>IF(R211="","",IF(INDEX('Recurring Schedule'!$I$6:$I$45,R211)="","",INDEX('Recurring Schedule'!$I$6:$I$45,R211)))</f>
        <v/>
      </c>
      <c r="I211" s="73">
        <f>IF(OR(G211="",H211=""),"",TRIM(IF(HOUR(H211-G211)&gt;0,HOUR(H211-G211)&amp;" hr ","")&amp;IF(MINUTE(H211-G211)&gt;0,MINUTE(H211-G211)&amp;" min","")))</f>
        <v/>
      </c>
      <c r="J211" s="66" t="n"/>
      <c r="K211" s="70" t="n"/>
      <c r="L211" s="73">
        <f>IF(R211="","",IF(INDEX('Recurring Schedule'!$J$6:$J$45,R211)="","",INDEX('Recurring Schedule'!$J$6:$J$45,R211)))</f>
        <v/>
      </c>
      <c r="M211" s="73">
        <f>IF(R211="","",IF(INDEX('Recurring Schedule'!$K$6:$K$45,R211)="","",INDEX('Recurring Schedule'!$K$6:$K$45,R211)))</f>
        <v/>
      </c>
      <c r="N211" s="73">
        <f>IF(R211="","",IF(INDEX('Recurring Schedule'!$L$6:$L$45,R211)="","",INDEX('Recurring Schedule'!$L$6:$L$45,R211)))</f>
        <v/>
      </c>
      <c r="O211" s="73">
        <f>IF(C211="","",IF(AND(OR(L211="1-Urgent",L211="2-High"),M211="✓"),"DO FIRST",IF(M211="✓","SCHEDULE",IF(OR(L211="1-Urgent",L211="2-High"),"DELEGATE","DELETE"))))</f>
        <v/>
      </c>
      <c r="P211" s="65" t="n"/>
      <c r="Q211">
        <f>IF(206&gt;Calc!$AQ$368,"",MATCH(205,Calc!$AQ$2:$AQ$367,1))</f>
        <v/>
      </c>
      <c r="R211">
        <f>IF(Q211="","",SMALL(INDEX(Calc!$B$2:$AO$367,Q211,0),206-INDEX(Calc!$AQ$2:$AQ$367,Q211)))</f>
        <v/>
      </c>
    </row>
    <row r="212">
      <c r="B212" s="64">
        <f>IF(R212="","",207)</f>
        <v/>
      </c>
      <c r="C212" s="37">
        <f>IF(R212="","",IF(INDEX('Recurring Schedule'!$C$6:$C$45,R212)="","",INDEX('Recurring Schedule'!$C$6:$C$45,R212)))</f>
        <v/>
      </c>
      <c r="D212" s="36">
        <f>IF(R212="","",IF(INDEX('Recurring Schedule'!$D$6:$D$45,R212)="","",INDEX('Recurring Schedule'!$D$6:$D$45,R212)))</f>
        <v/>
      </c>
      <c r="E212" s="38">
        <f>IF(Q212="","",INDEX(Calc!$A$2:$A$367,Q212))</f>
        <v/>
      </c>
      <c r="F212" s="68">
        <f>IF(OR(C212="",E212=""),"",E212-Setup!$D$7)</f>
        <v/>
      </c>
      <c r="G212" s="74">
        <f>IF(R212="","",IF(INDEX('Recurring Schedule'!$H$6:$H$45,R212)="","",INDEX('Recurring Schedule'!$H$6:$H$45,R212)))</f>
        <v/>
      </c>
      <c r="H212" s="74">
        <f>IF(R212="","",IF(INDEX('Recurring Schedule'!$I$6:$I$45,R212)="","",INDEX('Recurring Schedule'!$I$6:$I$45,R212)))</f>
        <v/>
      </c>
      <c r="I212" s="36">
        <f>IF(OR(G212="",H212=""),"",TRIM(IF(HOUR(H212-G212)&gt;0,HOUR(H212-G212)&amp;" hr ","")&amp;IF(MINUTE(H212-G212)&gt;0,MINUTE(H212-G212)&amp;" min","")))</f>
        <v/>
      </c>
      <c r="J212" s="66" t="n"/>
      <c r="K212" s="70" t="n"/>
      <c r="L212" s="36">
        <f>IF(R212="","",IF(INDEX('Recurring Schedule'!$J$6:$J$45,R212)="","",INDEX('Recurring Schedule'!$J$6:$J$45,R212)))</f>
        <v/>
      </c>
      <c r="M212" s="36">
        <f>IF(R212="","",IF(INDEX('Recurring Schedule'!$K$6:$K$45,R212)="","",INDEX('Recurring Schedule'!$K$6:$K$45,R212)))</f>
        <v/>
      </c>
      <c r="N212" s="36">
        <f>IF(R212="","",IF(INDEX('Recurring Schedule'!$L$6:$L$45,R212)="","",INDEX('Recurring Schedule'!$L$6:$L$45,R212)))</f>
        <v/>
      </c>
      <c r="O212" s="36">
        <f>IF(C212="","",IF(AND(OR(L212="1-Urgent",L212="2-High"),M212="✓"),"DO FIRST",IF(M212="✓","SCHEDULE",IF(OR(L212="1-Urgent",L212="2-High"),"DELEGATE","DELETE"))))</f>
        <v/>
      </c>
      <c r="P212" s="65" t="n"/>
      <c r="Q212">
        <f>IF(207&gt;Calc!$AQ$368,"",MATCH(206,Calc!$AQ$2:$AQ$367,1))</f>
        <v/>
      </c>
      <c r="R212">
        <f>IF(Q212="","",SMALL(INDEX(Calc!$B$2:$AO$367,Q212,0),207-INDEX(Calc!$AQ$2:$AQ$367,Q212)))</f>
        <v/>
      </c>
    </row>
    <row r="213">
      <c r="B213" s="71">
        <f>IF(R213="","",208)</f>
        <v/>
      </c>
      <c r="C213" s="75">
        <f>IF(R213="","",IF(INDEX('Recurring Schedule'!$C$6:$C$45,R213)="","",INDEX('Recurring Schedule'!$C$6:$C$45,R213)))</f>
        <v/>
      </c>
      <c r="D213" s="73">
        <f>IF(R213="","",IF(INDEX('Recurring Schedule'!$D$6:$D$45,R213)="","",INDEX('Recurring Schedule'!$D$6:$D$45,R213)))</f>
        <v/>
      </c>
      <c r="E213" s="76">
        <f>IF(Q213="","",INDEX(Calc!$A$2:$A$367,Q213))</f>
        <v/>
      </c>
      <c r="F213" s="72">
        <f>IF(OR(C213="",E213=""),"",E213-Setup!$D$7)</f>
        <v/>
      </c>
      <c r="G213" s="77">
        <f>IF(R213="","",IF(INDEX('Recurring Schedule'!$H$6:$H$45,R213)="","",INDEX('Recurring Schedule'!$H$6:$H$45,R213)))</f>
        <v/>
      </c>
      <c r="H213" s="77">
        <f>IF(R213="","",IF(INDEX('Recurring Schedule'!$I$6:$I$45,R213)="","",INDEX('Recurring Schedule'!$I$6:$I$45,R213)))</f>
        <v/>
      </c>
      <c r="I213" s="73">
        <f>IF(OR(G213="",H213=""),"",TRIM(IF(HOUR(H213-G213)&gt;0,HOUR(H213-G213)&amp;" hr ","")&amp;IF(MINUTE(H213-G213)&gt;0,MINUTE(H213-G213)&amp;" min","")))</f>
        <v/>
      </c>
      <c r="J213" s="66" t="n"/>
      <c r="K213" s="70" t="n"/>
      <c r="L213" s="73">
        <f>IF(R213="","",IF(INDEX('Recurring Schedule'!$J$6:$J$45,R213)="","",INDEX('Recurring Schedule'!$J$6:$J$45,R213)))</f>
        <v/>
      </c>
      <c r="M213" s="73">
        <f>IF(R213="","",IF(INDEX('Recurring Schedule'!$K$6:$K$45,R213)="","",INDEX('Recurring Schedule'!$K$6:$K$45,R213)))</f>
        <v/>
      </c>
      <c r="N213" s="73">
        <f>IF(R213="","",IF(INDEX('Recurring Schedule'!$L$6:$L$45,R213)="","",INDEX('Recurring Schedule'!$L$6:$L$45,R213)))</f>
        <v/>
      </c>
      <c r="O213" s="73">
        <f>IF(C213="","",IF(AND(OR(L213="1-Urgent",L213="2-High"),M213="✓"),"DO FIRST",IF(M213="✓","SCHEDULE",IF(OR(L213="1-Urgent",L213="2-High"),"DELEGATE","DELETE"))))</f>
        <v/>
      </c>
      <c r="P213" s="65" t="n"/>
      <c r="Q213">
        <f>IF(208&gt;Calc!$AQ$368,"",MATCH(207,Calc!$AQ$2:$AQ$367,1))</f>
        <v/>
      </c>
      <c r="R213">
        <f>IF(Q213="","",SMALL(INDEX(Calc!$B$2:$AO$367,Q213,0),208-INDEX(Calc!$AQ$2:$AQ$367,Q213)))</f>
        <v/>
      </c>
    </row>
    <row r="214">
      <c r="B214" s="64">
        <f>IF(R214="","",209)</f>
        <v/>
      </c>
      <c r="C214" s="37">
        <f>IF(R214="","",IF(INDEX('Recurring Schedule'!$C$6:$C$45,R214)="","",INDEX('Recurring Schedule'!$C$6:$C$45,R214)))</f>
        <v/>
      </c>
      <c r="D214" s="36">
        <f>IF(R214="","",IF(INDEX('Recurring Schedule'!$D$6:$D$45,R214)="","",INDEX('Recurring Schedule'!$D$6:$D$45,R214)))</f>
        <v/>
      </c>
      <c r="E214" s="38">
        <f>IF(Q214="","",INDEX(Calc!$A$2:$A$367,Q214))</f>
        <v/>
      </c>
      <c r="F214" s="68">
        <f>IF(OR(C214="",E214=""),"",E214-Setup!$D$7)</f>
        <v/>
      </c>
      <c r="G214" s="74">
        <f>IF(R214="","",IF(INDEX('Recurring Schedule'!$H$6:$H$45,R214)="","",INDEX('Recurring Schedule'!$H$6:$H$45,R214)))</f>
        <v/>
      </c>
      <c r="H214" s="74">
        <f>IF(R214="","",IF(INDEX('Recurring Schedule'!$I$6:$I$45,R214)="","",INDEX('Recurring Schedule'!$I$6:$I$45,R214)))</f>
        <v/>
      </c>
      <c r="I214" s="36">
        <f>IF(OR(G214="",H214=""),"",TRIM(IF(HOUR(H214-G214)&gt;0,HOUR(H214-G214)&amp;" hr ","")&amp;IF(MINUTE(H214-G214)&gt;0,MINUTE(H214-G214)&amp;" min","")))</f>
        <v/>
      </c>
      <c r="J214" s="66" t="n"/>
      <c r="K214" s="70" t="n"/>
      <c r="L214" s="36">
        <f>IF(R214="","",IF(INDEX('Recurring Schedule'!$J$6:$J$45,R214)="","",INDEX('Recurring Schedule'!$J$6:$J$45,R214)))</f>
        <v/>
      </c>
      <c r="M214" s="36">
        <f>IF(R214="","",IF(INDEX('Recurring Schedule'!$K$6:$K$45,R214)="","",INDEX('Recurring Schedule'!$K$6:$K$45,R214)))</f>
        <v/>
      </c>
      <c r="N214" s="36">
        <f>IF(R214="","",IF(INDEX('Recurring Schedule'!$L$6:$L$45,R214)="","",INDEX('Recurring Schedule'!$L$6:$L$45,R214)))</f>
        <v/>
      </c>
      <c r="O214" s="36">
        <f>IF(C214="","",IF(AND(OR(L214="1-Urgent",L214="2-High"),M214="✓"),"DO FIRST",IF(M214="✓","SCHEDULE",IF(OR(L214="1-Urgent",L214="2-High"),"DELEGATE","DELETE"))))</f>
        <v/>
      </c>
      <c r="P214" s="65" t="n"/>
      <c r="Q214">
        <f>IF(209&gt;Calc!$AQ$368,"",MATCH(208,Calc!$AQ$2:$AQ$367,1))</f>
        <v/>
      </c>
      <c r="R214">
        <f>IF(Q214="","",SMALL(INDEX(Calc!$B$2:$AO$367,Q214,0),209-INDEX(Calc!$AQ$2:$AQ$367,Q214)))</f>
        <v/>
      </c>
    </row>
    <row r="215">
      <c r="B215" s="71">
        <f>IF(R215="","",210)</f>
        <v/>
      </c>
      <c r="C215" s="75">
        <f>IF(R215="","",IF(INDEX('Recurring Schedule'!$C$6:$C$45,R215)="","",INDEX('Recurring Schedule'!$C$6:$C$45,R215)))</f>
        <v/>
      </c>
      <c r="D215" s="73">
        <f>IF(R215="","",IF(INDEX('Recurring Schedule'!$D$6:$D$45,R215)="","",INDEX('Recurring Schedule'!$D$6:$D$45,R215)))</f>
        <v/>
      </c>
      <c r="E215" s="76">
        <f>IF(Q215="","",INDEX(Calc!$A$2:$A$367,Q215))</f>
        <v/>
      </c>
      <c r="F215" s="72">
        <f>IF(OR(C215="",E215=""),"",E215-Setup!$D$7)</f>
        <v/>
      </c>
      <c r="G215" s="77">
        <f>IF(R215="","",IF(INDEX('Recurring Schedule'!$H$6:$H$45,R215)="","",INDEX('Recurring Schedule'!$H$6:$H$45,R215)))</f>
        <v/>
      </c>
      <c r="H215" s="77">
        <f>IF(R215="","",IF(INDEX('Recurring Schedule'!$I$6:$I$45,R215)="","",INDEX('Recurring Schedule'!$I$6:$I$45,R215)))</f>
        <v/>
      </c>
      <c r="I215" s="73">
        <f>IF(OR(G215="",H215=""),"",TRIM(IF(HOUR(H215-G215)&gt;0,HOUR(H215-G215)&amp;" hr ","")&amp;IF(MINUTE(H215-G215)&gt;0,MINUTE(H215-G215)&amp;" min","")))</f>
        <v/>
      </c>
      <c r="J215" s="66" t="n"/>
      <c r="K215" s="70" t="n"/>
      <c r="L215" s="73">
        <f>IF(R215="","",IF(INDEX('Recurring Schedule'!$J$6:$J$45,R215)="","",INDEX('Recurring Schedule'!$J$6:$J$45,R215)))</f>
        <v/>
      </c>
      <c r="M215" s="73">
        <f>IF(R215="","",IF(INDEX('Recurring Schedule'!$K$6:$K$45,R215)="","",INDEX('Recurring Schedule'!$K$6:$K$45,R215)))</f>
        <v/>
      </c>
      <c r="N215" s="73">
        <f>IF(R215="","",IF(INDEX('Recurring Schedule'!$L$6:$L$45,R215)="","",INDEX('Recurring Schedule'!$L$6:$L$45,R215)))</f>
        <v/>
      </c>
      <c r="O215" s="73">
        <f>IF(C215="","",IF(AND(OR(L215="1-Urgent",L215="2-High"),M215="✓"),"DO FIRST",IF(M215="✓","SCHEDULE",IF(OR(L215="1-Urgent",L215="2-High"),"DELEGATE","DELETE"))))</f>
        <v/>
      </c>
      <c r="P215" s="65" t="n"/>
      <c r="Q215">
        <f>IF(210&gt;Calc!$AQ$368,"",MATCH(209,Calc!$AQ$2:$AQ$367,1))</f>
        <v/>
      </c>
      <c r="R215">
        <f>IF(Q215="","",SMALL(INDEX(Calc!$B$2:$AO$367,Q215,0),210-INDEX(Calc!$AQ$2:$AQ$367,Q215)))</f>
        <v/>
      </c>
    </row>
    <row r="216">
      <c r="B216" s="64">
        <f>IF(R216="","",211)</f>
        <v/>
      </c>
      <c r="C216" s="37">
        <f>IF(R216="","",IF(INDEX('Recurring Schedule'!$C$6:$C$45,R216)="","",INDEX('Recurring Schedule'!$C$6:$C$45,R216)))</f>
        <v/>
      </c>
      <c r="D216" s="36">
        <f>IF(R216="","",IF(INDEX('Recurring Schedule'!$D$6:$D$45,R216)="","",INDEX('Recurring Schedule'!$D$6:$D$45,R216)))</f>
        <v/>
      </c>
      <c r="E216" s="38">
        <f>IF(Q216="","",INDEX(Calc!$A$2:$A$367,Q216))</f>
        <v/>
      </c>
      <c r="F216" s="68">
        <f>IF(OR(C216="",E216=""),"",E216-Setup!$D$7)</f>
        <v/>
      </c>
      <c r="G216" s="74">
        <f>IF(R216="","",IF(INDEX('Recurring Schedule'!$H$6:$H$45,R216)="","",INDEX('Recurring Schedule'!$H$6:$H$45,R216)))</f>
        <v/>
      </c>
      <c r="H216" s="74">
        <f>IF(R216="","",IF(INDEX('Recurring Schedule'!$I$6:$I$45,R216)="","",INDEX('Recurring Schedule'!$I$6:$I$45,R216)))</f>
        <v/>
      </c>
      <c r="I216" s="36">
        <f>IF(OR(G216="",H216=""),"",TRIM(IF(HOUR(H216-G216)&gt;0,HOUR(H216-G216)&amp;" hr ","")&amp;IF(MINUTE(H216-G216)&gt;0,MINUTE(H216-G216)&amp;" min","")))</f>
        <v/>
      </c>
      <c r="J216" s="66" t="n"/>
      <c r="K216" s="70" t="n"/>
      <c r="L216" s="36">
        <f>IF(R216="","",IF(INDEX('Recurring Schedule'!$J$6:$J$45,R216)="","",INDEX('Recurring Schedule'!$J$6:$J$45,R216)))</f>
        <v/>
      </c>
      <c r="M216" s="36">
        <f>IF(R216="","",IF(INDEX('Recurring Schedule'!$K$6:$K$45,R216)="","",INDEX('Recurring Schedule'!$K$6:$K$45,R216)))</f>
        <v/>
      </c>
      <c r="N216" s="36">
        <f>IF(R216="","",IF(INDEX('Recurring Schedule'!$L$6:$L$45,R216)="","",INDEX('Recurring Schedule'!$L$6:$L$45,R216)))</f>
        <v/>
      </c>
      <c r="O216" s="36">
        <f>IF(C216="","",IF(AND(OR(L216="1-Urgent",L216="2-High"),M216="✓"),"DO FIRST",IF(M216="✓","SCHEDULE",IF(OR(L216="1-Urgent",L216="2-High"),"DELEGATE","DELETE"))))</f>
        <v/>
      </c>
      <c r="P216" s="65" t="n"/>
      <c r="Q216">
        <f>IF(211&gt;Calc!$AQ$368,"",MATCH(210,Calc!$AQ$2:$AQ$367,1))</f>
        <v/>
      </c>
      <c r="R216">
        <f>IF(Q216="","",SMALL(INDEX(Calc!$B$2:$AO$367,Q216,0),211-INDEX(Calc!$AQ$2:$AQ$367,Q216)))</f>
        <v/>
      </c>
    </row>
    <row r="217">
      <c r="B217" s="71">
        <f>IF(R217="","",212)</f>
        <v/>
      </c>
      <c r="C217" s="75">
        <f>IF(R217="","",IF(INDEX('Recurring Schedule'!$C$6:$C$45,R217)="","",INDEX('Recurring Schedule'!$C$6:$C$45,R217)))</f>
        <v/>
      </c>
      <c r="D217" s="73">
        <f>IF(R217="","",IF(INDEX('Recurring Schedule'!$D$6:$D$45,R217)="","",INDEX('Recurring Schedule'!$D$6:$D$45,R217)))</f>
        <v/>
      </c>
      <c r="E217" s="76">
        <f>IF(Q217="","",INDEX(Calc!$A$2:$A$367,Q217))</f>
        <v/>
      </c>
      <c r="F217" s="72">
        <f>IF(OR(C217="",E217=""),"",E217-Setup!$D$7)</f>
        <v/>
      </c>
      <c r="G217" s="77">
        <f>IF(R217="","",IF(INDEX('Recurring Schedule'!$H$6:$H$45,R217)="","",INDEX('Recurring Schedule'!$H$6:$H$45,R217)))</f>
        <v/>
      </c>
      <c r="H217" s="77">
        <f>IF(R217="","",IF(INDEX('Recurring Schedule'!$I$6:$I$45,R217)="","",INDEX('Recurring Schedule'!$I$6:$I$45,R217)))</f>
        <v/>
      </c>
      <c r="I217" s="73">
        <f>IF(OR(G217="",H217=""),"",TRIM(IF(HOUR(H217-G217)&gt;0,HOUR(H217-G217)&amp;" hr ","")&amp;IF(MINUTE(H217-G217)&gt;0,MINUTE(H217-G217)&amp;" min","")))</f>
        <v/>
      </c>
      <c r="J217" s="66" t="n"/>
      <c r="K217" s="70" t="n"/>
      <c r="L217" s="73">
        <f>IF(R217="","",IF(INDEX('Recurring Schedule'!$J$6:$J$45,R217)="","",INDEX('Recurring Schedule'!$J$6:$J$45,R217)))</f>
        <v/>
      </c>
      <c r="M217" s="73">
        <f>IF(R217="","",IF(INDEX('Recurring Schedule'!$K$6:$K$45,R217)="","",INDEX('Recurring Schedule'!$K$6:$K$45,R217)))</f>
        <v/>
      </c>
      <c r="N217" s="73">
        <f>IF(R217="","",IF(INDEX('Recurring Schedule'!$L$6:$L$45,R217)="","",INDEX('Recurring Schedule'!$L$6:$L$45,R217)))</f>
        <v/>
      </c>
      <c r="O217" s="73">
        <f>IF(C217="","",IF(AND(OR(L217="1-Urgent",L217="2-High"),M217="✓"),"DO FIRST",IF(M217="✓","SCHEDULE",IF(OR(L217="1-Urgent",L217="2-High"),"DELEGATE","DELETE"))))</f>
        <v/>
      </c>
      <c r="P217" s="65" t="n"/>
      <c r="Q217">
        <f>IF(212&gt;Calc!$AQ$368,"",MATCH(211,Calc!$AQ$2:$AQ$367,1))</f>
        <v/>
      </c>
      <c r="R217">
        <f>IF(Q217="","",SMALL(INDEX(Calc!$B$2:$AO$367,Q217,0),212-INDEX(Calc!$AQ$2:$AQ$367,Q217)))</f>
        <v/>
      </c>
    </row>
    <row r="218">
      <c r="B218" s="64">
        <f>IF(R218="","",213)</f>
        <v/>
      </c>
      <c r="C218" s="37">
        <f>IF(R218="","",IF(INDEX('Recurring Schedule'!$C$6:$C$45,R218)="","",INDEX('Recurring Schedule'!$C$6:$C$45,R218)))</f>
        <v/>
      </c>
      <c r="D218" s="36">
        <f>IF(R218="","",IF(INDEX('Recurring Schedule'!$D$6:$D$45,R218)="","",INDEX('Recurring Schedule'!$D$6:$D$45,R218)))</f>
        <v/>
      </c>
      <c r="E218" s="38">
        <f>IF(Q218="","",INDEX(Calc!$A$2:$A$367,Q218))</f>
        <v/>
      </c>
      <c r="F218" s="68">
        <f>IF(OR(C218="",E218=""),"",E218-Setup!$D$7)</f>
        <v/>
      </c>
      <c r="G218" s="74">
        <f>IF(R218="","",IF(INDEX('Recurring Schedule'!$H$6:$H$45,R218)="","",INDEX('Recurring Schedule'!$H$6:$H$45,R218)))</f>
        <v/>
      </c>
      <c r="H218" s="74">
        <f>IF(R218="","",IF(INDEX('Recurring Schedule'!$I$6:$I$45,R218)="","",INDEX('Recurring Schedule'!$I$6:$I$45,R218)))</f>
        <v/>
      </c>
      <c r="I218" s="36">
        <f>IF(OR(G218="",H218=""),"",TRIM(IF(HOUR(H218-G218)&gt;0,HOUR(H218-G218)&amp;" hr ","")&amp;IF(MINUTE(H218-G218)&gt;0,MINUTE(H218-G218)&amp;" min","")))</f>
        <v/>
      </c>
      <c r="J218" s="66" t="n"/>
      <c r="K218" s="70" t="n"/>
      <c r="L218" s="36">
        <f>IF(R218="","",IF(INDEX('Recurring Schedule'!$J$6:$J$45,R218)="","",INDEX('Recurring Schedule'!$J$6:$J$45,R218)))</f>
        <v/>
      </c>
      <c r="M218" s="36">
        <f>IF(R218="","",IF(INDEX('Recurring Schedule'!$K$6:$K$45,R218)="","",INDEX('Recurring Schedule'!$K$6:$K$45,R218)))</f>
        <v/>
      </c>
      <c r="N218" s="36">
        <f>IF(R218="","",IF(INDEX('Recurring Schedule'!$L$6:$L$45,R218)="","",INDEX('Recurring Schedule'!$L$6:$L$45,R218)))</f>
        <v/>
      </c>
      <c r="O218" s="36">
        <f>IF(C218="","",IF(AND(OR(L218="1-Urgent",L218="2-High"),M218="✓"),"DO FIRST",IF(M218="✓","SCHEDULE",IF(OR(L218="1-Urgent",L218="2-High"),"DELEGATE","DELETE"))))</f>
        <v/>
      </c>
      <c r="P218" s="65" t="n"/>
      <c r="Q218">
        <f>IF(213&gt;Calc!$AQ$368,"",MATCH(212,Calc!$AQ$2:$AQ$367,1))</f>
        <v/>
      </c>
      <c r="R218">
        <f>IF(Q218="","",SMALL(INDEX(Calc!$B$2:$AO$367,Q218,0),213-INDEX(Calc!$AQ$2:$AQ$367,Q218)))</f>
        <v/>
      </c>
    </row>
    <row r="219">
      <c r="B219" s="71">
        <f>IF(R219="","",214)</f>
        <v/>
      </c>
      <c r="C219" s="75">
        <f>IF(R219="","",IF(INDEX('Recurring Schedule'!$C$6:$C$45,R219)="","",INDEX('Recurring Schedule'!$C$6:$C$45,R219)))</f>
        <v/>
      </c>
      <c r="D219" s="73">
        <f>IF(R219="","",IF(INDEX('Recurring Schedule'!$D$6:$D$45,R219)="","",INDEX('Recurring Schedule'!$D$6:$D$45,R219)))</f>
        <v/>
      </c>
      <c r="E219" s="76">
        <f>IF(Q219="","",INDEX(Calc!$A$2:$A$367,Q219))</f>
        <v/>
      </c>
      <c r="F219" s="72">
        <f>IF(OR(C219="",E219=""),"",E219-Setup!$D$7)</f>
        <v/>
      </c>
      <c r="G219" s="77">
        <f>IF(R219="","",IF(INDEX('Recurring Schedule'!$H$6:$H$45,R219)="","",INDEX('Recurring Schedule'!$H$6:$H$45,R219)))</f>
        <v/>
      </c>
      <c r="H219" s="77">
        <f>IF(R219="","",IF(INDEX('Recurring Schedule'!$I$6:$I$45,R219)="","",INDEX('Recurring Schedule'!$I$6:$I$45,R219)))</f>
        <v/>
      </c>
      <c r="I219" s="73">
        <f>IF(OR(G219="",H219=""),"",TRIM(IF(HOUR(H219-G219)&gt;0,HOUR(H219-G219)&amp;" hr ","")&amp;IF(MINUTE(H219-G219)&gt;0,MINUTE(H219-G219)&amp;" min","")))</f>
        <v/>
      </c>
      <c r="J219" s="66" t="n"/>
      <c r="K219" s="70" t="n"/>
      <c r="L219" s="73">
        <f>IF(R219="","",IF(INDEX('Recurring Schedule'!$J$6:$J$45,R219)="","",INDEX('Recurring Schedule'!$J$6:$J$45,R219)))</f>
        <v/>
      </c>
      <c r="M219" s="73">
        <f>IF(R219="","",IF(INDEX('Recurring Schedule'!$K$6:$K$45,R219)="","",INDEX('Recurring Schedule'!$K$6:$K$45,R219)))</f>
        <v/>
      </c>
      <c r="N219" s="73">
        <f>IF(R219="","",IF(INDEX('Recurring Schedule'!$L$6:$L$45,R219)="","",INDEX('Recurring Schedule'!$L$6:$L$45,R219)))</f>
        <v/>
      </c>
      <c r="O219" s="73">
        <f>IF(C219="","",IF(AND(OR(L219="1-Urgent",L219="2-High"),M219="✓"),"DO FIRST",IF(M219="✓","SCHEDULE",IF(OR(L219="1-Urgent",L219="2-High"),"DELEGATE","DELETE"))))</f>
        <v/>
      </c>
      <c r="P219" s="65" t="n"/>
      <c r="Q219">
        <f>IF(214&gt;Calc!$AQ$368,"",MATCH(213,Calc!$AQ$2:$AQ$367,1))</f>
        <v/>
      </c>
      <c r="R219">
        <f>IF(Q219="","",SMALL(INDEX(Calc!$B$2:$AO$367,Q219,0),214-INDEX(Calc!$AQ$2:$AQ$367,Q219)))</f>
        <v/>
      </c>
    </row>
    <row r="220">
      <c r="B220" s="64">
        <f>IF(R220="","",215)</f>
        <v/>
      </c>
      <c r="C220" s="37">
        <f>IF(R220="","",IF(INDEX('Recurring Schedule'!$C$6:$C$45,R220)="","",INDEX('Recurring Schedule'!$C$6:$C$45,R220)))</f>
        <v/>
      </c>
      <c r="D220" s="36">
        <f>IF(R220="","",IF(INDEX('Recurring Schedule'!$D$6:$D$45,R220)="","",INDEX('Recurring Schedule'!$D$6:$D$45,R220)))</f>
        <v/>
      </c>
      <c r="E220" s="38">
        <f>IF(Q220="","",INDEX(Calc!$A$2:$A$367,Q220))</f>
        <v/>
      </c>
      <c r="F220" s="68">
        <f>IF(OR(C220="",E220=""),"",E220-Setup!$D$7)</f>
        <v/>
      </c>
      <c r="G220" s="74">
        <f>IF(R220="","",IF(INDEX('Recurring Schedule'!$H$6:$H$45,R220)="","",INDEX('Recurring Schedule'!$H$6:$H$45,R220)))</f>
        <v/>
      </c>
      <c r="H220" s="74">
        <f>IF(R220="","",IF(INDEX('Recurring Schedule'!$I$6:$I$45,R220)="","",INDEX('Recurring Schedule'!$I$6:$I$45,R220)))</f>
        <v/>
      </c>
      <c r="I220" s="36">
        <f>IF(OR(G220="",H220=""),"",TRIM(IF(HOUR(H220-G220)&gt;0,HOUR(H220-G220)&amp;" hr ","")&amp;IF(MINUTE(H220-G220)&gt;0,MINUTE(H220-G220)&amp;" min","")))</f>
        <v/>
      </c>
      <c r="J220" s="66" t="n"/>
      <c r="K220" s="70" t="n"/>
      <c r="L220" s="36">
        <f>IF(R220="","",IF(INDEX('Recurring Schedule'!$J$6:$J$45,R220)="","",INDEX('Recurring Schedule'!$J$6:$J$45,R220)))</f>
        <v/>
      </c>
      <c r="M220" s="36">
        <f>IF(R220="","",IF(INDEX('Recurring Schedule'!$K$6:$K$45,R220)="","",INDEX('Recurring Schedule'!$K$6:$K$45,R220)))</f>
        <v/>
      </c>
      <c r="N220" s="36">
        <f>IF(R220="","",IF(INDEX('Recurring Schedule'!$L$6:$L$45,R220)="","",INDEX('Recurring Schedule'!$L$6:$L$45,R220)))</f>
        <v/>
      </c>
      <c r="O220" s="36">
        <f>IF(C220="","",IF(AND(OR(L220="1-Urgent",L220="2-High"),M220="✓"),"DO FIRST",IF(M220="✓","SCHEDULE",IF(OR(L220="1-Urgent",L220="2-High"),"DELEGATE","DELETE"))))</f>
        <v/>
      </c>
      <c r="P220" s="65" t="n"/>
      <c r="Q220">
        <f>IF(215&gt;Calc!$AQ$368,"",MATCH(214,Calc!$AQ$2:$AQ$367,1))</f>
        <v/>
      </c>
      <c r="R220">
        <f>IF(Q220="","",SMALL(INDEX(Calc!$B$2:$AO$367,Q220,0),215-INDEX(Calc!$AQ$2:$AQ$367,Q220)))</f>
        <v/>
      </c>
    </row>
    <row r="221">
      <c r="B221" s="71">
        <f>IF(R221="","",216)</f>
        <v/>
      </c>
      <c r="C221" s="75">
        <f>IF(R221="","",IF(INDEX('Recurring Schedule'!$C$6:$C$45,R221)="","",INDEX('Recurring Schedule'!$C$6:$C$45,R221)))</f>
        <v/>
      </c>
      <c r="D221" s="73">
        <f>IF(R221="","",IF(INDEX('Recurring Schedule'!$D$6:$D$45,R221)="","",INDEX('Recurring Schedule'!$D$6:$D$45,R221)))</f>
        <v/>
      </c>
      <c r="E221" s="76">
        <f>IF(Q221="","",INDEX(Calc!$A$2:$A$367,Q221))</f>
        <v/>
      </c>
      <c r="F221" s="72">
        <f>IF(OR(C221="",E221=""),"",E221-Setup!$D$7)</f>
        <v/>
      </c>
      <c r="G221" s="77">
        <f>IF(R221="","",IF(INDEX('Recurring Schedule'!$H$6:$H$45,R221)="","",INDEX('Recurring Schedule'!$H$6:$H$45,R221)))</f>
        <v/>
      </c>
      <c r="H221" s="77">
        <f>IF(R221="","",IF(INDEX('Recurring Schedule'!$I$6:$I$45,R221)="","",INDEX('Recurring Schedule'!$I$6:$I$45,R221)))</f>
        <v/>
      </c>
      <c r="I221" s="73">
        <f>IF(OR(G221="",H221=""),"",TRIM(IF(HOUR(H221-G221)&gt;0,HOUR(H221-G221)&amp;" hr ","")&amp;IF(MINUTE(H221-G221)&gt;0,MINUTE(H221-G221)&amp;" min","")))</f>
        <v/>
      </c>
      <c r="J221" s="66" t="n"/>
      <c r="K221" s="70" t="n"/>
      <c r="L221" s="73">
        <f>IF(R221="","",IF(INDEX('Recurring Schedule'!$J$6:$J$45,R221)="","",INDEX('Recurring Schedule'!$J$6:$J$45,R221)))</f>
        <v/>
      </c>
      <c r="M221" s="73">
        <f>IF(R221="","",IF(INDEX('Recurring Schedule'!$K$6:$K$45,R221)="","",INDEX('Recurring Schedule'!$K$6:$K$45,R221)))</f>
        <v/>
      </c>
      <c r="N221" s="73">
        <f>IF(R221="","",IF(INDEX('Recurring Schedule'!$L$6:$L$45,R221)="","",INDEX('Recurring Schedule'!$L$6:$L$45,R221)))</f>
        <v/>
      </c>
      <c r="O221" s="73">
        <f>IF(C221="","",IF(AND(OR(L221="1-Urgent",L221="2-High"),M221="✓"),"DO FIRST",IF(M221="✓","SCHEDULE",IF(OR(L221="1-Urgent",L221="2-High"),"DELEGATE","DELETE"))))</f>
        <v/>
      </c>
      <c r="P221" s="65" t="n"/>
      <c r="Q221">
        <f>IF(216&gt;Calc!$AQ$368,"",MATCH(215,Calc!$AQ$2:$AQ$367,1))</f>
        <v/>
      </c>
      <c r="R221">
        <f>IF(Q221="","",SMALL(INDEX(Calc!$B$2:$AO$367,Q221,0),216-INDEX(Calc!$AQ$2:$AQ$367,Q221)))</f>
        <v/>
      </c>
    </row>
    <row r="222">
      <c r="B222" s="64">
        <f>IF(R222="","",217)</f>
        <v/>
      </c>
      <c r="C222" s="37">
        <f>IF(R222="","",IF(INDEX('Recurring Schedule'!$C$6:$C$45,R222)="","",INDEX('Recurring Schedule'!$C$6:$C$45,R222)))</f>
        <v/>
      </c>
      <c r="D222" s="36">
        <f>IF(R222="","",IF(INDEX('Recurring Schedule'!$D$6:$D$45,R222)="","",INDEX('Recurring Schedule'!$D$6:$D$45,R222)))</f>
        <v/>
      </c>
      <c r="E222" s="38">
        <f>IF(Q222="","",INDEX(Calc!$A$2:$A$367,Q222))</f>
        <v/>
      </c>
      <c r="F222" s="68">
        <f>IF(OR(C222="",E222=""),"",E222-Setup!$D$7)</f>
        <v/>
      </c>
      <c r="G222" s="74">
        <f>IF(R222="","",IF(INDEX('Recurring Schedule'!$H$6:$H$45,R222)="","",INDEX('Recurring Schedule'!$H$6:$H$45,R222)))</f>
        <v/>
      </c>
      <c r="H222" s="74">
        <f>IF(R222="","",IF(INDEX('Recurring Schedule'!$I$6:$I$45,R222)="","",INDEX('Recurring Schedule'!$I$6:$I$45,R222)))</f>
        <v/>
      </c>
      <c r="I222" s="36">
        <f>IF(OR(G222="",H222=""),"",TRIM(IF(HOUR(H222-G222)&gt;0,HOUR(H222-G222)&amp;" hr ","")&amp;IF(MINUTE(H222-G222)&gt;0,MINUTE(H222-G222)&amp;" min","")))</f>
        <v/>
      </c>
      <c r="J222" s="66" t="n"/>
      <c r="K222" s="70" t="n"/>
      <c r="L222" s="36">
        <f>IF(R222="","",IF(INDEX('Recurring Schedule'!$J$6:$J$45,R222)="","",INDEX('Recurring Schedule'!$J$6:$J$45,R222)))</f>
        <v/>
      </c>
      <c r="M222" s="36">
        <f>IF(R222="","",IF(INDEX('Recurring Schedule'!$K$6:$K$45,R222)="","",INDEX('Recurring Schedule'!$K$6:$K$45,R222)))</f>
        <v/>
      </c>
      <c r="N222" s="36">
        <f>IF(R222="","",IF(INDEX('Recurring Schedule'!$L$6:$L$45,R222)="","",INDEX('Recurring Schedule'!$L$6:$L$45,R222)))</f>
        <v/>
      </c>
      <c r="O222" s="36">
        <f>IF(C222="","",IF(AND(OR(L222="1-Urgent",L222="2-High"),M222="✓"),"DO FIRST",IF(M222="✓","SCHEDULE",IF(OR(L222="1-Urgent",L222="2-High"),"DELEGATE","DELETE"))))</f>
        <v/>
      </c>
      <c r="P222" s="65" t="n"/>
      <c r="Q222">
        <f>IF(217&gt;Calc!$AQ$368,"",MATCH(216,Calc!$AQ$2:$AQ$367,1))</f>
        <v/>
      </c>
      <c r="R222">
        <f>IF(Q222="","",SMALL(INDEX(Calc!$B$2:$AO$367,Q222,0),217-INDEX(Calc!$AQ$2:$AQ$367,Q222)))</f>
        <v/>
      </c>
    </row>
    <row r="223">
      <c r="B223" s="71">
        <f>IF(R223="","",218)</f>
        <v/>
      </c>
      <c r="C223" s="75">
        <f>IF(R223="","",IF(INDEX('Recurring Schedule'!$C$6:$C$45,R223)="","",INDEX('Recurring Schedule'!$C$6:$C$45,R223)))</f>
        <v/>
      </c>
      <c r="D223" s="73">
        <f>IF(R223="","",IF(INDEX('Recurring Schedule'!$D$6:$D$45,R223)="","",INDEX('Recurring Schedule'!$D$6:$D$45,R223)))</f>
        <v/>
      </c>
      <c r="E223" s="76">
        <f>IF(Q223="","",INDEX(Calc!$A$2:$A$367,Q223))</f>
        <v/>
      </c>
      <c r="F223" s="72">
        <f>IF(OR(C223="",E223=""),"",E223-Setup!$D$7)</f>
        <v/>
      </c>
      <c r="G223" s="77">
        <f>IF(R223="","",IF(INDEX('Recurring Schedule'!$H$6:$H$45,R223)="","",INDEX('Recurring Schedule'!$H$6:$H$45,R223)))</f>
        <v/>
      </c>
      <c r="H223" s="77">
        <f>IF(R223="","",IF(INDEX('Recurring Schedule'!$I$6:$I$45,R223)="","",INDEX('Recurring Schedule'!$I$6:$I$45,R223)))</f>
        <v/>
      </c>
      <c r="I223" s="73">
        <f>IF(OR(G223="",H223=""),"",TRIM(IF(HOUR(H223-G223)&gt;0,HOUR(H223-G223)&amp;" hr ","")&amp;IF(MINUTE(H223-G223)&gt;0,MINUTE(H223-G223)&amp;" min","")))</f>
        <v/>
      </c>
      <c r="J223" s="66" t="n"/>
      <c r="K223" s="70" t="n"/>
      <c r="L223" s="73">
        <f>IF(R223="","",IF(INDEX('Recurring Schedule'!$J$6:$J$45,R223)="","",INDEX('Recurring Schedule'!$J$6:$J$45,R223)))</f>
        <v/>
      </c>
      <c r="M223" s="73">
        <f>IF(R223="","",IF(INDEX('Recurring Schedule'!$K$6:$K$45,R223)="","",INDEX('Recurring Schedule'!$K$6:$K$45,R223)))</f>
        <v/>
      </c>
      <c r="N223" s="73">
        <f>IF(R223="","",IF(INDEX('Recurring Schedule'!$L$6:$L$45,R223)="","",INDEX('Recurring Schedule'!$L$6:$L$45,R223)))</f>
        <v/>
      </c>
      <c r="O223" s="73">
        <f>IF(C223="","",IF(AND(OR(L223="1-Urgent",L223="2-High"),M223="✓"),"DO FIRST",IF(M223="✓","SCHEDULE",IF(OR(L223="1-Urgent",L223="2-High"),"DELEGATE","DELETE"))))</f>
        <v/>
      </c>
      <c r="P223" s="65" t="n"/>
      <c r="Q223">
        <f>IF(218&gt;Calc!$AQ$368,"",MATCH(217,Calc!$AQ$2:$AQ$367,1))</f>
        <v/>
      </c>
      <c r="R223">
        <f>IF(Q223="","",SMALL(INDEX(Calc!$B$2:$AO$367,Q223,0),218-INDEX(Calc!$AQ$2:$AQ$367,Q223)))</f>
        <v/>
      </c>
    </row>
    <row r="224">
      <c r="B224" s="64">
        <f>IF(R224="","",219)</f>
        <v/>
      </c>
      <c r="C224" s="37">
        <f>IF(R224="","",IF(INDEX('Recurring Schedule'!$C$6:$C$45,R224)="","",INDEX('Recurring Schedule'!$C$6:$C$45,R224)))</f>
        <v/>
      </c>
      <c r="D224" s="36">
        <f>IF(R224="","",IF(INDEX('Recurring Schedule'!$D$6:$D$45,R224)="","",INDEX('Recurring Schedule'!$D$6:$D$45,R224)))</f>
        <v/>
      </c>
      <c r="E224" s="38">
        <f>IF(Q224="","",INDEX(Calc!$A$2:$A$367,Q224))</f>
        <v/>
      </c>
      <c r="F224" s="68">
        <f>IF(OR(C224="",E224=""),"",E224-Setup!$D$7)</f>
        <v/>
      </c>
      <c r="G224" s="74">
        <f>IF(R224="","",IF(INDEX('Recurring Schedule'!$H$6:$H$45,R224)="","",INDEX('Recurring Schedule'!$H$6:$H$45,R224)))</f>
        <v/>
      </c>
      <c r="H224" s="74">
        <f>IF(R224="","",IF(INDEX('Recurring Schedule'!$I$6:$I$45,R224)="","",INDEX('Recurring Schedule'!$I$6:$I$45,R224)))</f>
        <v/>
      </c>
      <c r="I224" s="36">
        <f>IF(OR(G224="",H224=""),"",TRIM(IF(HOUR(H224-G224)&gt;0,HOUR(H224-G224)&amp;" hr ","")&amp;IF(MINUTE(H224-G224)&gt;0,MINUTE(H224-G224)&amp;" min","")))</f>
        <v/>
      </c>
      <c r="J224" s="66" t="n"/>
      <c r="K224" s="70" t="n"/>
      <c r="L224" s="36">
        <f>IF(R224="","",IF(INDEX('Recurring Schedule'!$J$6:$J$45,R224)="","",INDEX('Recurring Schedule'!$J$6:$J$45,R224)))</f>
        <v/>
      </c>
      <c r="M224" s="36">
        <f>IF(R224="","",IF(INDEX('Recurring Schedule'!$K$6:$K$45,R224)="","",INDEX('Recurring Schedule'!$K$6:$K$45,R224)))</f>
        <v/>
      </c>
      <c r="N224" s="36">
        <f>IF(R224="","",IF(INDEX('Recurring Schedule'!$L$6:$L$45,R224)="","",INDEX('Recurring Schedule'!$L$6:$L$45,R224)))</f>
        <v/>
      </c>
      <c r="O224" s="36">
        <f>IF(C224="","",IF(AND(OR(L224="1-Urgent",L224="2-High"),M224="✓"),"DO FIRST",IF(M224="✓","SCHEDULE",IF(OR(L224="1-Urgent",L224="2-High"),"DELEGATE","DELETE"))))</f>
        <v/>
      </c>
      <c r="P224" s="65" t="n"/>
      <c r="Q224">
        <f>IF(219&gt;Calc!$AQ$368,"",MATCH(218,Calc!$AQ$2:$AQ$367,1))</f>
        <v/>
      </c>
      <c r="R224">
        <f>IF(Q224="","",SMALL(INDEX(Calc!$B$2:$AO$367,Q224,0),219-INDEX(Calc!$AQ$2:$AQ$367,Q224)))</f>
        <v/>
      </c>
    </row>
    <row r="225">
      <c r="B225" s="71">
        <f>IF(R225="","",220)</f>
        <v/>
      </c>
      <c r="C225" s="75">
        <f>IF(R225="","",IF(INDEX('Recurring Schedule'!$C$6:$C$45,R225)="","",INDEX('Recurring Schedule'!$C$6:$C$45,R225)))</f>
        <v/>
      </c>
      <c r="D225" s="73">
        <f>IF(R225="","",IF(INDEX('Recurring Schedule'!$D$6:$D$45,R225)="","",INDEX('Recurring Schedule'!$D$6:$D$45,R225)))</f>
        <v/>
      </c>
      <c r="E225" s="76">
        <f>IF(Q225="","",INDEX(Calc!$A$2:$A$367,Q225))</f>
        <v/>
      </c>
      <c r="F225" s="72">
        <f>IF(OR(C225="",E225=""),"",E225-Setup!$D$7)</f>
        <v/>
      </c>
      <c r="G225" s="77">
        <f>IF(R225="","",IF(INDEX('Recurring Schedule'!$H$6:$H$45,R225)="","",INDEX('Recurring Schedule'!$H$6:$H$45,R225)))</f>
        <v/>
      </c>
      <c r="H225" s="77">
        <f>IF(R225="","",IF(INDEX('Recurring Schedule'!$I$6:$I$45,R225)="","",INDEX('Recurring Schedule'!$I$6:$I$45,R225)))</f>
        <v/>
      </c>
      <c r="I225" s="73">
        <f>IF(OR(G225="",H225=""),"",TRIM(IF(HOUR(H225-G225)&gt;0,HOUR(H225-G225)&amp;" hr ","")&amp;IF(MINUTE(H225-G225)&gt;0,MINUTE(H225-G225)&amp;" min","")))</f>
        <v/>
      </c>
      <c r="J225" s="66" t="n"/>
      <c r="K225" s="70" t="n"/>
      <c r="L225" s="73">
        <f>IF(R225="","",IF(INDEX('Recurring Schedule'!$J$6:$J$45,R225)="","",INDEX('Recurring Schedule'!$J$6:$J$45,R225)))</f>
        <v/>
      </c>
      <c r="M225" s="73">
        <f>IF(R225="","",IF(INDEX('Recurring Schedule'!$K$6:$K$45,R225)="","",INDEX('Recurring Schedule'!$K$6:$K$45,R225)))</f>
        <v/>
      </c>
      <c r="N225" s="73">
        <f>IF(R225="","",IF(INDEX('Recurring Schedule'!$L$6:$L$45,R225)="","",INDEX('Recurring Schedule'!$L$6:$L$45,R225)))</f>
        <v/>
      </c>
      <c r="O225" s="73">
        <f>IF(C225="","",IF(AND(OR(L225="1-Urgent",L225="2-High"),M225="✓"),"DO FIRST",IF(M225="✓","SCHEDULE",IF(OR(L225="1-Urgent",L225="2-High"),"DELEGATE","DELETE"))))</f>
        <v/>
      </c>
      <c r="P225" s="65" t="n"/>
      <c r="Q225">
        <f>IF(220&gt;Calc!$AQ$368,"",MATCH(219,Calc!$AQ$2:$AQ$367,1))</f>
        <v/>
      </c>
      <c r="R225">
        <f>IF(Q225="","",SMALL(INDEX(Calc!$B$2:$AO$367,Q225,0),220-INDEX(Calc!$AQ$2:$AQ$367,Q225)))</f>
        <v/>
      </c>
    </row>
    <row r="226">
      <c r="B226" s="64">
        <f>IF(R226="","",221)</f>
        <v/>
      </c>
      <c r="C226" s="37">
        <f>IF(R226="","",IF(INDEX('Recurring Schedule'!$C$6:$C$45,R226)="","",INDEX('Recurring Schedule'!$C$6:$C$45,R226)))</f>
        <v/>
      </c>
      <c r="D226" s="36">
        <f>IF(R226="","",IF(INDEX('Recurring Schedule'!$D$6:$D$45,R226)="","",INDEX('Recurring Schedule'!$D$6:$D$45,R226)))</f>
        <v/>
      </c>
      <c r="E226" s="38">
        <f>IF(Q226="","",INDEX(Calc!$A$2:$A$367,Q226))</f>
        <v/>
      </c>
      <c r="F226" s="68">
        <f>IF(OR(C226="",E226=""),"",E226-Setup!$D$7)</f>
        <v/>
      </c>
      <c r="G226" s="74">
        <f>IF(R226="","",IF(INDEX('Recurring Schedule'!$H$6:$H$45,R226)="","",INDEX('Recurring Schedule'!$H$6:$H$45,R226)))</f>
        <v/>
      </c>
      <c r="H226" s="74">
        <f>IF(R226="","",IF(INDEX('Recurring Schedule'!$I$6:$I$45,R226)="","",INDEX('Recurring Schedule'!$I$6:$I$45,R226)))</f>
        <v/>
      </c>
      <c r="I226" s="36">
        <f>IF(OR(G226="",H226=""),"",TRIM(IF(HOUR(H226-G226)&gt;0,HOUR(H226-G226)&amp;" hr ","")&amp;IF(MINUTE(H226-G226)&gt;0,MINUTE(H226-G226)&amp;" min","")))</f>
        <v/>
      </c>
      <c r="J226" s="66" t="n"/>
      <c r="K226" s="70" t="n"/>
      <c r="L226" s="36">
        <f>IF(R226="","",IF(INDEX('Recurring Schedule'!$J$6:$J$45,R226)="","",INDEX('Recurring Schedule'!$J$6:$J$45,R226)))</f>
        <v/>
      </c>
      <c r="M226" s="36">
        <f>IF(R226="","",IF(INDEX('Recurring Schedule'!$K$6:$K$45,R226)="","",INDEX('Recurring Schedule'!$K$6:$K$45,R226)))</f>
        <v/>
      </c>
      <c r="N226" s="36">
        <f>IF(R226="","",IF(INDEX('Recurring Schedule'!$L$6:$L$45,R226)="","",INDEX('Recurring Schedule'!$L$6:$L$45,R226)))</f>
        <v/>
      </c>
      <c r="O226" s="36">
        <f>IF(C226="","",IF(AND(OR(L226="1-Urgent",L226="2-High"),M226="✓"),"DO FIRST",IF(M226="✓","SCHEDULE",IF(OR(L226="1-Urgent",L226="2-High"),"DELEGATE","DELETE"))))</f>
        <v/>
      </c>
      <c r="P226" s="65" t="n"/>
      <c r="Q226">
        <f>IF(221&gt;Calc!$AQ$368,"",MATCH(220,Calc!$AQ$2:$AQ$367,1))</f>
        <v/>
      </c>
      <c r="R226">
        <f>IF(Q226="","",SMALL(INDEX(Calc!$B$2:$AO$367,Q226,0),221-INDEX(Calc!$AQ$2:$AQ$367,Q226)))</f>
        <v/>
      </c>
    </row>
    <row r="227">
      <c r="B227" s="71">
        <f>IF(R227="","",222)</f>
        <v/>
      </c>
      <c r="C227" s="75">
        <f>IF(R227="","",IF(INDEX('Recurring Schedule'!$C$6:$C$45,R227)="","",INDEX('Recurring Schedule'!$C$6:$C$45,R227)))</f>
        <v/>
      </c>
      <c r="D227" s="73">
        <f>IF(R227="","",IF(INDEX('Recurring Schedule'!$D$6:$D$45,R227)="","",INDEX('Recurring Schedule'!$D$6:$D$45,R227)))</f>
        <v/>
      </c>
      <c r="E227" s="76">
        <f>IF(Q227="","",INDEX(Calc!$A$2:$A$367,Q227))</f>
        <v/>
      </c>
      <c r="F227" s="72">
        <f>IF(OR(C227="",E227=""),"",E227-Setup!$D$7)</f>
        <v/>
      </c>
      <c r="G227" s="77">
        <f>IF(R227="","",IF(INDEX('Recurring Schedule'!$H$6:$H$45,R227)="","",INDEX('Recurring Schedule'!$H$6:$H$45,R227)))</f>
        <v/>
      </c>
      <c r="H227" s="77">
        <f>IF(R227="","",IF(INDEX('Recurring Schedule'!$I$6:$I$45,R227)="","",INDEX('Recurring Schedule'!$I$6:$I$45,R227)))</f>
        <v/>
      </c>
      <c r="I227" s="73">
        <f>IF(OR(G227="",H227=""),"",TRIM(IF(HOUR(H227-G227)&gt;0,HOUR(H227-G227)&amp;" hr ","")&amp;IF(MINUTE(H227-G227)&gt;0,MINUTE(H227-G227)&amp;" min","")))</f>
        <v/>
      </c>
      <c r="J227" s="66" t="n"/>
      <c r="K227" s="70" t="n"/>
      <c r="L227" s="73">
        <f>IF(R227="","",IF(INDEX('Recurring Schedule'!$J$6:$J$45,R227)="","",INDEX('Recurring Schedule'!$J$6:$J$45,R227)))</f>
        <v/>
      </c>
      <c r="M227" s="73">
        <f>IF(R227="","",IF(INDEX('Recurring Schedule'!$K$6:$K$45,R227)="","",INDEX('Recurring Schedule'!$K$6:$K$45,R227)))</f>
        <v/>
      </c>
      <c r="N227" s="73">
        <f>IF(R227="","",IF(INDEX('Recurring Schedule'!$L$6:$L$45,R227)="","",INDEX('Recurring Schedule'!$L$6:$L$45,R227)))</f>
        <v/>
      </c>
      <c r="O227" s="73">
        <f>IF(C227="","",IF(AND(OR(L227="1-Urgent",L227="2-High"),M227="✓"),"DO FIRST",IF(M227="✓","SCHEDULE",IF(OR(L227="1-Urgent",L227="2-High"),"DELEGATE","DELETE"))))</f>
        <v/>
      </c>
      <c r="P227" s="65" t="n"/>
      <c r="Q227">
        <f>IF(222&gt;Calc!$AQ$368,"",MATCH(221,Calc!$AQ$2:$AQ$367,1))</f>
        <v/>
      </c>
      <c r="R227">
        <f>IF(Q227="","",SMALL(INDEX(Calc!$B$2:$AO$367,Q227,0),222-INDEX(Calc!$AQ$2:$AQ$367,Q227)))</f>
        <v/>
      </c>
    </row>
    <row r="228">
      <c r="B228" s="64">
        <f>IF(R228="","",223)</f>
        <v/>
      </c>
      <c r="C228" s="37">
        <f>IF(R228="","",IF(INDEX('Recurring Schedule'!$C$6:$C$45,R228)="","",INDEX('Recurring Schedule'!$C$6:$C$45,R228)))</f>
        <v/>
      </c>
      <c r="D228" s="36">
        <f>IF(R228="","",IF(INDEX('Recurring Schedule'!$D$6:$D$45,R228)="","",INDEX('Recurring Schedule'!$D$6:$D$45,R228)))</f>
        <v/>
      </c>
      <c r="E228" s="38">
        <f>IF(Q228="","",INDEX(Calc!$A$2:$A$367,Q228))</f>
        <v/>
      </c>
      <c r="F228" s="68">
        <f>IF(OR(C228="",E228=""),"",E228-Setup!$D$7)</f>
        <v/>
      </c>
      <c r="G228" s="74">
        <f>IF(R228="","",IF(INDEX('Recurring Schedule'!$H$6:$H$45,R228)="","",INDEX('Recurring Schedule'!$H$6:$H$45,R228)))</f>
        <v/>
      </c>
      <c r="H228" s="74">
        <f>IF(R228="","",IF(INDEX('Recurring Schedule'!$I$6:$I$45,R228)="","",INDEX('Recurring Schedule'!$I$6:$I$45,R228)))</f>
        <v/>
      </c>
      <c r="I228" s="36">
        <f>IF(OR(G228="",H228=""),"",TRIM(IF(HOUR(H228-G228)&gt;0,HOUR(H228-G228)&amp;" hr ","")&amp;IF(MINUTE(H228-G228)&gt;0,MINUTE(H228-G228)&amp;" min","")))</f>
        <v/>
      </c>
      <c r="J228" s="66" t="n"/>
      <c r="K228" s="70" t="n"/>
      <c r="L228" s="36">
        <f>IF(R228="","",IF(INDEX('Recurring Schedule'!$J$6:$J$45,R228)="","",INDEX('Recurring Schedule'!$J$6:$J$45,R228)))</f>
        <v/>
      </c>
      <c r="M228" s="36">
        <f>IF(R228="","",IF(INDEX('Recurring Schedule'!$K$6:$K$45,R228)="","",INDEX('Recurring Schedule'!$K$6:$K$45,R228)))</f>
        <v/>
      </c>
      <c r="N228" s="36">
        <f>IF(R228="","",IF(INDEX('Recurring Schedule'!$L$6:$L$45,R228)="","",INDEX('Recurring Schedule'!$L$6:$L$45,R228)))</f>
        <v/>
      </c>
      <c r="O228" s="36">
        <f>IF(C228="","",IF(AND(OR(L228="1-Urgent",L228="2-High"),M228="✓"),"DO FIRST",IF(M228="✓","SCHEDULE",IF(OR(L228="1-Urgent",L228="2-High"),"DELEGATE","DELETE"))))</f>
        <v/>
      </c>
      <c r="P228" s="65" t="n"/>
      <c r="Q228">
        <f>IF(223&gt;Calc!$AQ$368,"",MATCH(222,Calc!$AQ$2:$AQ$367,1))</f>
        <v/>
      </c>
      <c r="R228">
        <f>IF(Q228="","",SMALL(INDEX(Calc!$B$2:$AO$367,Q228,0),223-INDEX(Calc!$AQ$2:$AQ$367,Q228)))</f>
        <v/>
      </c>
    </row>
    <row r="229">
      <c r="B229" s="71">
        <f>IF(R229="","",224)</f>
        <v/>
      </c>
      <c r="C229" s="75">
        <f>IF(R229="","",IF(INDEX('Recurring Schedule'!$C$6:$C$45,R229)="","",INDEX('Recurring Schedule'!$C$6:$C$45,R229)))</f>
        <v/>
      </c>
      <c r="D229" s="73">
        <f>IF(R229="","",IF(INDEX('Recurring Schedule'!$D$6:$D$45,R229)="","",INDEX('Recurring Schedule'!$D$6:$D$45,R229)))</f>
        <v/>
      </c>
      <c r="E229" s="76">
        <f>IF(Q229="","",INDEX(Calc!$A$2:$A$367,Q229))</f>
        <v/>
      </c>
      <c r="F229" s="72">
        <f>IF(OR(C229="",E229=""),"",E229-Setup!$D$7)</f>
        <v/>
      </c>
      <c r="G229" s="77">
        <f>IF(R229="","",IF(INDEX('Recurring Schedule'!$H$6:$H$45,R229)="","",INDEX('Recurring Schedule'!$H$6:$H$45,R229)))</f>
        <v/>
      </c>
      <c r="H229" s="77">
        <f>IF(R229="","",IF(INDEX('Recurring Schedule'!$I$6:$I$45,R229)="","",INDEX('Recurring Schedule'!$I$6:$I$45,R229)))</f>
        <v/>
      </c>
      <c r="I229" s="73">
        <f>IF(OR(G229="",H229=""),"",TRIM(IF(HOUR(H229-G229)&gt;0,HOUR(H229-G229)&amp;" hr ","")&amp;IF(MINUTE(H229-G229)&gt;0,MINUTE(H229-G229)&amp;" min","")))</f>
        <v/>
      </c>
      <c r="J229" s="66" t="n"/>
      <c r="K229" s="70" t="n"/>
      <c r="L229" s="73">
        <f>IF(R229="","",IF(INDEX('Recurring Schedule'!$J$6:$J$45,R229)="","",INDEX('Recurring Schedule'!$J$6:$J$45,R229)))</f>
        <v/>
      </c>
      <c r="M229" s="73">
        <f>IF(R229="","",IF(INDEX('Recurring Schedule'!$K$6:$K$45,R229)="","",INDEX('Recurring Schedule'!$K$6:$K$45,R229)))</f>
        <v/>
      </c>
      <c r="N229" s="73">
        <f>IF(R229="","",IF(INDEX('Recurring Schedule'!$L$6:$L$45,R229)="","",INDEX('Recurring Schedule'!$L$6:$L$45,R229)))</f>
        <v/>
      </c>
      <c r="O229" s="73">
        <f>IF(C229="","",IF(AND(OR(L229="1-Urgent",L229="2-High"),M229="✓"),"DO FIRST",IF(M229="✓","SCHEDULE",IF(OR(L229="1-Urgent",L229="2-High"),"DELEGATE","DELETE"))))</f>
        <v/>
      </c>
      <c r="P229" s="65" t="n"/>
      <c r="Q229">
        <f>IF(224&gt;Calc!$AQ$368,"",MATCH(223,Calc!$AQ$2:$AQ$367,1))</f>
        <v/>
      </c>
      <c r="R229">
        <f>IF(Q229="","",SMALL(INDEX(Calc!$B$2:$AO$367,Q229,0),224-INDEX(Calc!$AQ$2:$AQ$367,Q229)))</f>
        <v/>
      </c>
    </row>
    <row r="230">
      <c r="B230" s="64">
        <f>IF(R230="","",225)</f>
        <v/>
      </c>
      <c r="C230" s="37">
        <f>IF(R230="","",IF(INDEX('Recurring Schedule'!$C$6:$C$45,R230)="","",INDEX('Recurring Schedule'!$C$6:$C$45,R230)))</f>
        <v/>
      </c>
      <c r="D230" s="36">
        <f>IF(R230="","",IF(INDEX('Recurring Schedule'!$D$6:$D$45,R230)="","",INDEX('Recurring Schedule'!$D$6:$D$45,R230)))</f>
        <v/>
      </c>
      <c r="E230" s="38">
        <f>IF(Q230="","",INDEX(Calc!$A$2:$A$367,Q230))</f>
        <v/>
      </c>
      <c r="F230" s="68">
        <f>IF(OR(C230="",E230=""),"",E230-Setup!$D$7)</f>
        <v/>
      </c>
      <c r="G230" s="74">
        <f>IF(R230="","",IF(INDEX('Recurring Schedule'!$H$6:$H$45,R230)="","",INDEX('Recurring Schedule'!$H$6:$H$45,R230)))</f>
        <v/>
      </c>
      <c r="H230" s="74">
        <f>IF(R230="","",IF(INDEX('Recurring Schedule'!$I$6:$I$45,R230)="","",INDEX('Recurring Schedule'!$I$6:$I$45,R230)))</f>
        <v/>
      </c>
      <c r="I230" s="36">
        <f>IF(OR(G230="",H230=""),"",TRIM(IF(HOUR(H230-G230)&gt;0,HOUR(H230-G230)&amp;" hr ","")&amp;IF(MINUTE(H230-G230)&gt;0,MINUTE(H230-G230)&amp;" min","")))</f>
        <v/>
      </c>
      <c r="J230" s="66" t="n"/>
      <c r="K230" s="70" t="n"/>
      <c r="L230" s="36">
        <f>IF(R230="","",IF(INDEX('Recurring Schedule'!$J$6:$J$45,R230)="","",INDEX('Recurring Schedule'!$J$6:$J$45,R230)))</f>
        <v/>
      </c>
      <c r="M230" s="36">
        <f>IF(R230="","",IF(INDEX('Recurring Schedule'!$K$6:$K$45,R230)="","",INDEX('Recurring Schedule'!$K$6:$K$45,R230)))</f>
        <v/>
      </c>
      <c r="N230" s="36">
        <f>IF(R230="","",IF(INDEX('Recurring Schedule'!$L$6:$L$45,R230)="","",INDEX('Recurring Schedule'!$L$6:$L$45,R230)))</f>
        <v/>
      </c>
      <c r="O230" s="36">
        <f>IF(C230="","",IF(AND(OR(L230="1-Urgent",L230="2-High"),M230="✓"),"DO FIRST",IF(M230="✓","SCHEDULE",IF(OR(L230="1-Urgent",L230="2-High"),"DELEGATE","DELETE"))))</f>
        <v/>
      </c>
      <c r="P230" s="65" t="n"/>
      <c r="Q230">
        <f>IF(225&gt;Calc!$AQ$368,"",MATCH(224,Calc!$AQ$2:$AQ$367,1))</f>
        <v/>
      </c>
      <c r="R230">
        <f>IF(Q230="","",SMALL(INDEX(Calc!$B$2:$AO$367,Q230,0),225-INDEX(Calc!$AQ$2:$AQ$367,Q230)))</f>
        <v/>
      </c>
    </row>
    <row r="231">
      <c r="B231" s="71">
        <f>IF(R231="","",226)</f>
        <v/>
      </c>
      <c r="C231" s="75">
        <f>IF(R231="","",IF(INDEX('Recurring Schedule'!$C$6:$C$45,R231)="","",INDEX('Recurring Schedule'!$C$6:$C$45,R231)))</f>
        <v/>
      </c>
      <c r="D231" s="73">
        <f>IF(R231="","",IF(INDEX('Recurring Schedule'!$D$6:$D$45,R231)="","",INDEX('Recurring Schedule'!$D$6:$D$45,R231)))</f>
        <v/>
      </c>
      <c r="E231" s="76">
        <f>IF(Q231="","",INDEX(Calc!$A$2:$A$367,Q231))</f>
        <v/>
      </c>
      <c r="F231" s="72">
        <f>IF(OR(C231="",E231=""),"",E231-Setup!$D$7)</f>
        <v/>
      </c>
      <c r="G231" s="77">
        <f>IF(R231="","",IF(INDEX('Recurring Schedule'!$H$6:$H$45,R231)="","",INDEX('Recurring Schedule'!$H$6:$H$45,R231)))</f>
        <v/>
      </c>
      <c r="H231" s="77">
        <f>IF(R231="","",IF(INDEX('Recurring Schedule'!$I$6:$I$45,R231)="","",INDEX('Recurring Schedule'!$I$6:$I$45,R231)))</f>
        <v/>
      </c>
      <c r="I231" s="73">
        <f>IF(OR(G231="",H231=""),"",TRIM(IF(HOUR(H231-G231)&gt;0,HOUR(H231-G231)&amp;" hr ","")&amp;IF(MINUTE(H231-G231)&gt;0,MINUTE(H231-G231)&amp;" min","")))</f>
        <v/>
      </c>
      <c r="J231" s="66" t="n"/>
      <c r="K231" s="70" t="n"/>
      <c r="L231" s="73">
        <f>IF(R231="","",IF(INDEX('Recurring Schedule'!$J$6:$J$45,R231)="","",INDEX('Recurring Schedule'!$J$6:$J$45,R231)))</f>
        <v/>
      </c>
      <c r="M231" s="73">
        <f>IF(R231="","",IF(INDEX('Recurring Schedule'!$K$6:$K$45,R231)="","",INDEX('Recurring Schedule'!$K$6:$K$45,R231)))</f>
        <v/>
      </c>
      <c r="N231" s="73">
        <f>IF(R231="","",IF(INDEX('Recurring Schedule'!$L$6:$L$45,R231)="","",INDEX('Recurring Schedule'!$L$6:$L$45,R231)))</f>
        <v/>
      </c>
      <c r="O231" s="73">
        <f>IF(C231="","",IF(AND(OR(L231="1-Urgent",L231="2-High"),M231="✓"),"DO FIRST",IF(M231="✓","SCHEDULE",IF(OR(L231="1-Urgent",L231="2-High"),"DELEGATE","DELETE"))))</f>
        <v/>
      </c>
      <c r="P231" s="65" t="n"/>
      <c r="Q231">
        <f>IF(226&gt;Calc!$AQ$368,"",MATCH(225,Calc!$AQ$2:$AQ$367,1))</f>
        <v/>
      </c>
      <c r="R231">
        <f>IF(Q231="","",SMALL(INDEX(Calc!$B$2:$AO$367,Q231,0),226-INDEX(Calc!$AQ$2:$AQ$367,Q231)))</f>
        <v/>
      </c>
    </row>
    <row r="232">
      <c r="B232" s="64">
        <f>IF(R232="","",227)</f>
        <v/>
      </c>
      <c r="C232" s="37">
        <f>IF(R232="","",IF(INDEX('Recurring Schedule'!$C$6:$C$45,R232)="","",INDEX('Recurring Schedule'!$C$6:$C$45,R232)))</f>
        <v/>
      </c>
      <c r="D232" s="36">
        <f>IF(R232="","",IF(INDEX('Recurring Schedule'!$D$6:$D$45,R232)="","",INDEX('Recurring Schedule'!$D$6:$D$45,R232)))</f>
        <v/>
      </c>
      <c r="E232" s="38">
        <f>IF(Q232="","",INDEX(Calc!$A$2:$A$367,Q232))</f>
        <v/>
      </c>
      <c r="F232" s="68">
        <f>IF(OR(C232="",E232=""),"",E232-Setup!$D$7)</f>
        <v/>
      </c>
      <c r="G232" s="74">
        <f>IF(R232="","",IF(INDEX('Recurring Schedule'!$H$6:$H$45,R232)="","",INDEX('Recurring Schedule'!$H$6:$H$45,R232)))</f>
        <v/>
      </c>
      <c r="H232" s="74">
        <f>IF(R232="","",IF(INDEX('Recurring Schedule'!$I$6:$I$45,R232)="","",INDEX('Recurring Schedule'!$I$6:$I$45,R232)))</f>
        <v/>
      </c>
      <c r="I232" s="36">
        <f>IF(OR(G232="",H232=""),"",TRIM(IF(HOUR(H232-G232)&gt;0,HOUR(H232-G232)&amp;" hr ","")&amp;IF(MINUTE(H232-G232)&gt;0,MINUTE(H232-G232)&amp;" min","")))</f>
        <v/>
      </c>
      <c r="J232" s="66" t="n"/>
      <c r="K232" s="70" t="n"/>
      <c r="L232" s="36">
        <f>IF(R232="","",IF(INDEX('Recurring Schedule'!$J$6:$J$45,R232)="","",INDEX('Recurring Schedule'!$J$6:$J$45,R232)))</f>
        <v/>
      </c>
      <c r="M232" s="36">
        <f>IF(R232="","",IF(INDEX('Recurring Schedule'!$K$6:$K$45,R232)="","",INDEX('Recurring Schedule'!$K$6:$K$45,R232)))</f>
        <v/>
      </c>
      <c r="N232" s="36">
        <f>IF(R232="","",IF(INDEX('Recurring Schedule'!$L$6:$L$45,R232)="","",INDEX('Recurring Schedule'!$L$6:$L$45,R232)))</f>
        <v/>
      </c>
      <c r="O232" s="36">
        <f>IF(C232="","",IF(AND(OR(L232="1-Urgent",L232="2-High"),M232="✓"),"DO FIRST",IF(M232="✓","SCHEDULE",IF(OR(L232="1-Urgent",L232="2-High"),"DELEGATE","DELETE"))))</f>
        <v/>
      </c>
      <c r="P232" s="65" t="n"/>
      <c r="Q232">
        <f>IF(227&gt;Calc!$AQ$368,"",MATCH(226,Calc!$AQ$2:$AQ$367,1))</f>
        <v/>
      </c>
      <c r="R232">
        <f>IF(Q232="","",SMALL(INDEX(Calc!$B$2:$AO$367,Q232,0),227-INDEX(Calc!$AQ$2:$AQ$367,Q232)))</f>
        <v/>
      </c>
    </row>
    <row r="233">
      <c r="B233" s="71">
        <f>IF(R233="","",228)</f>
        <v/>
      </c>
      <c r="C233" s="75">
        <f>IF(R233="","",IF(INDEX('Recurring Schedule'!$C$6:$C$45,R233)="","",INDEX('Recurring Schedule'!$C$6:$C$45,R233)))</f>
        <v/>
      </c>
      <c r="D233" s="73">
        <f>IF(R233="","",IF(INDEX('Recurring Schedule'!$D$6:$D$45,R233)="","",INDEX('Recurring Schedule'!$D$6:$D$45,R233)))</f>
        <v/>
      </c>
      <c r="E233" s="76">
        <f>IF(Q233="","",INDEX(Calc!$A$2:$A$367,Q233))</f>
        <v/>
      </c>
      <c r="F233" s="72">
        <f>IF(OR(C233="",E233=""),"",E233-Setup!$D$7)</f>
        <v/>
      </c>
      <c r="G233" s="77">
        <f>IF(R233="","",IF(INDEX('Recurring Schedule'!$H$6:$H$45,R233)="","",INDEX('Recurring Schedule'!$H$6:$H$45,R233)))</f>
        <v/>
      </c>
      <c r="H233" s="77">
        <f>IF(R233="","",IF(INDEX('Recurring Schedule'!$I$6:$I$45,R233)="","",INDEX('Recurring Schedule'!$I$6:$I$45,R233)))</f>
        <v/>
      </c>
      <c r="I233" s="73">
        <f>IF(OR(G233="",H233=""),"",TRIM(IF(HOUR(H233-G233)&gt;0,HOUR(H233-G233)&amp;" hr ","")&amp;IF(MINUTE(H233-G233)&gt;0,MINUTE(H233-G233)&amp;" min","")))</f>
        <v/>
      </c>
      <c r="J233" s="66" t="n"/>
      <c r="K233" s="70" t="n"/>
      <c r="L233" s="73">
        <f>IF(R233="","",IF(INDEX('Recurring Schedule'!$J$6:$J$45,R233)="","",INDEX('Recurring Schedule'!$J$6:$J$45,R233)))</f>
        <v/>
      </c>
      <c r="M233" s="73">
        <f>IF(R233="","",IF(INDEX('Recurring Schedule'!$K$6:$K$45,R233)="","",INDEX('Recurring Schedule'!$K$6:$K$45,R233)))</f>
        <v/>
      </c>
      <c r="N233" s="73">
        <f>IF(R233="","",IF(INDEX('Recurring Schedule'!$L$6:$L$45,R233)="","",INDEX('Recurring Schedule'!$L$6:$L$45,R233)))</f>
        <v/>
      </c>
      <c r="O233" s="73">
        <f>IF(C233="","",IF(AND(OR(L233="1-Urgent",L233="2-High"),M233="✓"),"DO FIRST",IF(M233="✓","SCHEDULE",IF(OR(L233="1-Urgent",L233="2-High"),"DELEGATE","DELETE"))))</f>
        <v/>
      </c>
      <c r="P233" s="65" t="n"/>
      <c r="Q233">
        <f>IF(228&gt;Calc!$AQ$368,"",MATCH(227,Calc!$AQ$2:$AQ$367,1))</f>
        <v/>
      </c>
      <c r="R233">
        <f>IF(Q233="","",SMALL(INDEX(Calc!$B$2:$AO$367,Q233,0),228-INDEX(Calc!$AQ$2:$AQ$367,Q233)))</f>
        <v/>
      </c>
    </row>
    <row r="234">
      <c r="B234" s="64">
        <f>IF(R234="","",229)</f>
        <v/>
      </c>
      <c r="C234" s="37">
        <f>IF(R234="","",IF(INDEX('Recurring Schedule'!$C$6:$C$45,R234)="","",INDEX('Recurring Schedule'!$C$6:$C$45,R234)))</f>
        <v/>
      </c>
      <c r="D234" s="36">
        <f>IF(R234="","",IF(INDEX('Recurring Schedule'!$D$6:$D$45,R234)="","",INDEX('Recurring Schedule'!$D$6:$D$45,R234)))</f>
        <v/>
      </c>
      <c r="E234" s="38">
        <f>IF(Q234="","",INDEX(Calc!$A$2:$A$367,Q234))</f>
        <v/>
      </c>
      <c r="F234" s="68">
        <f>IF(OR(C234="",E234=""),"",E234-Setup!$D$7)</f>
        <v/>
      </c>
      <c r="G234" s="74">
        <f>IF(R234="","",IF(INDEX('Recurring Schedule'!$H$6:$H$45,R234)="","",INDEX('Recurring Schedule'!$H$6:$H$45,R234)))</f>
        <v/>
      </c>
      <c r="H234" s="74">
        <f>IF(R234="","",IF(INDEX('Recurring Schedule'!$I$6:$I$45,R234)="","",INDEX('Recurring Schedule'!$I$6:$I$45,R234)))</f>
        <v/>
      </c>
      <c r="I234" s="36">
        <f>IF(OR(G234="",H234=""),"",TRIM(IF(HOUR(H234-G234)&gt;0,HOUR(H234-G234)&amp;" hr ","")&amp;IF(MINUTE(H234-G234)&gt;0,MINUTE(H234-G234)&amp;" min","")))</f>
        <v/>
      </c>
      <c r="J234" s="66" t="n"/>
      <c r="K234" s="70" t="n"/>
      <c r="L234" s="36">
        <f>IF(R234="","",IF(INDEX('Recurring Schedule'!$J$6:$J$45,R234)="","",INDEX('Recurring Schedule'!$J$6:$J$45,R234)))</f>
        <v/>
      </c>
      <c r="M234" s="36">
        <f>IF(R234="","",IF(INDEX('Recurring Schedule'!$K$6:$K$45,R234)="","",INDEX('Recurring Schedule'!$K$6:$K$45,R234)))</f>
        <v/>
      </c>
      <c r="N234" s="36">
        <f>IF(R234="","",IF(INDEX('Recurring Schedule'!$L$6:$L$45,R234)="","",INDEX('Recurring Schedule'!$L$6:$L$45,R234)))</f>
        <v/>
      </c>
      <c r="O234" s="36">
        <f>IF(C234="","",IF(AND(OR(L234="1-Urgent",L234="2-High"),M234="✓"),"DO FIRST",IF(M234="✓","SCHEDULE",IF(OR(L234="1-Urgent",L234="2-High"),"DELEGATE","DELETE"))))</f>
        <v/>
      </c>
      <c r="P234" s="65" t="n"/>
      <c r="Q234">
        <f>IF(229&gt;Calc!$AQ$368,"",MATCH(228,Calc!$AQ$2:$AQ$367,1))</f>
        <v/>
      </c>
      <c r="R234">
        <f>IF(Q234="","",SMALL(INDEX(Calc!$B$2:$AO$367,Q234,0),229-INDEX(Calc!$AQ$2:$AQ$367,Q234)))</f>
        <v/>
      </c>
    </row>
    <row r="235">
      <c r="B235" s="71">
        <f>IF(R235="","",230)</f>
        <v/>
      </c>
      <c r="C235" s="75">
        <f>IF(R235="","",IF(INDEX('Recurring Schedule'!$C$6:$C$45,R235)="","",INDEX('Recurring Schedule'!$C$6:$C$45,R235)))</f>
        <v/>
      </c>
      <c r="D235" s="73">
        <f>IF(R235="","",IF(INDEX('Recurring Schedule'!$D$6:$D$45,R235)="","",INDEX('Recurring Schedule'!$D$6:$D$45,R235)))</f>
        <v/>
      </c>
      <c r="E235" s="76">
        <f>IF(Q235="","",INDEX(Calc!$A$2:$A$367,Q235))</f>
        <v/>
      </c>
      <c r="F235" s="72">
        <f>IF(OR(C235="",E235=""),"",E235-Setup!$D$7)</f>
        <v/>
      </c>
      <c r="G235" s="77">
        <f>IF(R235="","",IF(INDEX('Recurring Schedule'!$H$6:$H$45,R235)="","",INDEX('Recurring Schedule'!$H$6:$H$45,R235)))</f>
        <v/>
      </c>
      <c r="H235" s="77">
        <f>IF(R235="","",IF(INDEX('Recurring Schedule'!$I$6:$I$45,R235)="","",INDEX('Recurring Schedule'!$I$6:$I$45,R235)))</f>
        <v/>
      </c>
      <c r="I235" s="73">
        <f>IF(OR(G235="",H235=""),"",TRIM(IF(HOUR(H235-G235)&gt;0,HOUR(H235-G235)&amp;" hr ","")&amp;IF(MINUTE(H235-G235)&gt;0,MINUTE(H235-G235)&amp;" min","")))</f>
        <v/>
      </c>
      <c r="J235" s="66" t="n"/>
      <c r="K235" s="70" t="n"/>
      <c r="L235" s="73">
        <f>IF(R235="","",IF(INDEX('Recurring Schedule'!$J$6:$J$45,R235)="","",INDEX('Recurring Schedule'!$J$6:$J$45,R235)))</f>
        <v/>
      </c>
      <c r="M235" s="73">
        <f>IF(R235="","",IF(INDEX('Recurring Schedule'!$K$6:$K$45,R235)="","",INDEX('Recurring Schedule'!$K$6:$K$45,R235)))</f>
        <v/>
      </c>
      <c r="N235" s="73">
        <f>IF(R235="","",IF(INDEX('Recurring Schedule'!$L$6:$L$45,R235)="","",INDEX('Recurring Schedule'!$L$6:$L$45,R235)))</f>
        <v/>
      </c>
      <c r="O235" s="73">
        <f>IF(C235="","",IF(AND(OR(L235="1-Urgent",L235="2-High"),M235="✓"),"DO FIRST",IF(M235="✓","SCHEDULE",IF(OR(L235="1-Urgent",L235="2-High"),"DELEGATE","DELETE"))))</f>
        <v/>
      </c>
      <c r="P235" s="65" t="n"/>
      <c r="Q235">
        <f>IF(230&gt;Calc!$AQ$368,"",MATCH(229,Calc!$AQ$2:$AQ$367,1))</f>
        <v/>
      </c>
      <c r="R235">
        <f>IF(Q235="","",SMALL(INDEX(Calc!$B$2:$AO$367,Q235,0),230-INDEX(Calc!$AQ$2:$AQ$367,Q235)))</f>
        <v/>
      </c>
    </row>
    <row r="236">
      <c r="B236" s="64">
        <f>IF(R236="","",231)</f>
        <v/>
      </c>
      <c r="C236" s="37">
        <f>IF(R236="","",IF(INDEX('Recurring Schedule'!$C$6:$C$45,R236)="","",INDEX('Recurring Schedule'!$C$6:$C$45,R236)))</f>
        <v/>
      </c>
      <c r="D236" s="36">
        <f>IF(R236="","",IF(INDEX('Recurring Schedule'!$D$6:$D$45,R236)="","",INDEX('Recurring Schedule'!$D$6:$D$45,R236)))</f>
        <v/>
      </c>
      <c r="E236" s="38">
        <f>IF(Q236="","",INDEX(Calc!$A$2:$A$367,Q236))</f>
        <v/>
      </c>
      <c r="F236" s="68">
        <f>IF(OR(C236="",E236=""),"",E236-Setup!$D$7)</f>
        <v/>
      </c>
      <c r="G236" s="74">
        <f>IF(R236="","",IF(INDEX('Recurring Schedule'!$H$6:$H$45,R236)="","",INDEX('Recurring Schedule'!$H$6:$H$45,R236)))</f>
        <v/>
      </c>
      <c r="H236" s="74">
        <f>IF(R236="","",IF(INDEX('Recurring Schedule'!$I$6:$I$45,R236)="","",INDEX('Recurring Schedule'!$I$6:$I$45,R236)))</f>
        <v/>
      </c>
      <c r="I236" s="36">
        <f>IF(OR(G236="",H236=""),"",TRIM(IF(HOUR(H236-G236)&gt;0,HOUR(H236-G236)&amp;" hr ","")&amp;IF(MINUTE(H236-G236)&gt;0,MINUTE(H236-G236)&amp;" min","")))</f>
        <v/>
      </c>
      <c r="J236" s="66" t="n"/>
      <c r="K236" s="70" t="n"/>
      <c r="L236" s="36">
        <f>IF(R236="","",IF(INDEX('Recurring Schedule'!$J$6:$J$45,R236)="","",INDEX('Recurring Schedule'!$J$6:$J$45,R236)))</f>
        <v/>
      </c>
      <c r="M236" s="36">
        <f>IF(R236="","",IF(INDEX('Recurring Schedule'!$K$6:$K$45,R236)="","",INDEX('Recurring Schedule'!$K$6:$K$45,R236)))</f>
        <v/>
      </c>
      <c r="N236" s="36">
        <f>IF(R236="","",IF(INDEX('Recurring Schedule'!$L$6:$L$45,R236)="","",INDEX('Recurring Schedule'!$L$6:$L$45,R236)))</f>
        <v/>
      </c>
      <c r="O236" s="36">
        <f>IF(C236="","",IF(AND(OR(L236="1-Urgent",L236="2-High"),M236="✓"),"DO FIRST",IF(M236="✓","SCHEDULE",IF(OR(L236="1-Urgent",L236="2-High"),"DELEGATE","DELETE"))))</f>
        <v/>
      </c>
      <c r="P236" s="65" t="n"/>
      <c r="Q236">
        <f>IF(231&gt;Calc!$AQ$368,"",MATCH(230,Calc!$AQ$2:$AQ$367,1))</f>
        <v/>
      </c>
      <c r="R236">
        <f>IF(Q236="","",SMALL(INDEX(Calc!$B$2:$AO$367,Q236,0),231-INDEX(Calc!$AQ$2:$AQ$367,Q236)))</f>
        <v/>
      </c>
    </row>
    <row r="237">
      <c r="B237" s="71">
        <f>IF(R237="","",232)</f>
        <v/>
      </c>
      <c r="C237" s="75">
        <f>IF(R237="","",IF(INDEX('Recurring Schedule'!$C$6:$C$45,R237)="","",INDEX('Recurring Schedule'!$C$6:$C$45,R237)))</f>
        <v/>
      </c>
      <c r="D237" s="73">
        <f>IF(R237="","",IF(INDEX('Recurring Schedule'!$D$6:$D$45,R237)="","",INDEX('Recurring Schedule'!$D$6:$D$45,R237)))</f>
        <v/>
      </c>
      <c r="E237" s="76">
        <f>IF(Q237="","",INDEX(Calc!$A$2:$A$367,Q237))</f>
        <v/>
      </c>
      <c r="F237" s="72">
        <f>IF(OR(C237="",E237=""),"",E237-Setup!$D$7)</f>
        <v/>
      </c>
      <c r="G237" s="77">
        <f>IF(R237="","",IF(INDEX('Recurring Schedule'!$H$6:$H$45,R237)="","",INDEX('Recurring Schedule'!$H$6:$H$45,R237)))</f>
        <v/>
      </c>
      <c r="H237" s="77">
        <f>IF(R237="","",IF(INDEX('Recurring Schedule'!$I$6:$I$45,R237)="","",INDEX('Recurring Schedule'!$I$6:$I$45,R237)))</f>
        <v/>
      </c>
      <c r="I237" s="73">
        <f>IF(OR(G237="",H237=""),"",TRIM(IF(HOUR(H237-G237)&gt;0,HOUR(H237-G237)&amp;" hr ","")&amp;IF(MINUTE(H237-G237)&gt;0,MINUTE(H237-G237)&amp;" min","")))</f>
        <v/>
      </c>
      <c r="J237" s="66" t="n"/>
      <c r="K237" s="70" t="n"/>
      <c r="L237" s="73">
        <f>IF(R237="","",IF(INDEX('Recurring Schedule'!$J$6:$J$45,R237)="","",INDEX('Recurring Schedule'!$J$6:$J$45,R237)))</f>
        <v/>
      </c>
      <c r="M237" s="73">
        <f>IF(R237="","",IF(INDEX('Recurring Schedule'!$K$6:$K$45,R237)="","",INDEX('Recurring Schedule'!$K$6:$K$45,R237)))</f>
        <v/>
      </c>
      <c r="N237" s="73">
        <f>IF(R237="","",IF(INDEX('Recurring Schedule'!$L$6:$L$45,R237)="","",INDEX('Recurring Schedule'!$L$6:$L$45,R237)))</f>
        <v/>
      </c>
      <c r="O237" s="73">
        <f>IF(C237="","",IF(AND(OR(L237="1-Urgent",L237="2-High"),M237="✓"),"DO FIRST",IF(M237="✓","SCHEDULE",IF(OR(L237="1-Urgent",L237="2-High"),"DELEGATE","DELETE"))))</f>
        <v/>
      </c>
      <c r="P237" s="65" t="n"/>
      <c r="Q237">
        <f>IF(232&gt;Calc!$AQ$368,"",MATCH(231,Calc!$AQ$2:$AQ$367,1))</f>
        <v/>
      </c>
      <c r="R237">
        <f>IF(Q237="","",SMALL(INDEX(Calc!$B$2:$AO$367,Q237,0),232-INDEX(Calc!$AQ$2:$AQ$367,Q237)))</f>
        <v/>
      </c>
    </row>
    <row r="238">
      <c r="B238" s="64">
        <f>IF(R238="","",233)</f>
        <v/>
      </c>
      <c r="C238" s="37">
        <f>IF(R238="","",IF(INDEX('Recurring Schedule'!$C$6:$C$45,R238)="","",INDEX('Recurring Schedule'!$C$6:$C$45,R238)))</f>
        <v/>
      </c>
      <c r="D238" s="36">
        <f>IF(R238="","",IF(INDEX('Recurring Schedule'!$D$6:$D$45,R238)="","",INDEX('Recurring Schedule'!$D$6:$D$45,R238)))</f>
        <v/>
      </c>
      <c r="E238" s="38">
        <f>IF(Q238="","",INDEX(Calc!$A$2:$A$367,Q238))</f>
        <v/>
      </c>
      <c r="F238" s="68">
        <f>IF(OR(C238="",E238=""),"",E238-Setup!$D$7)</f>
        <v/>
      </c>
      <c r="G238" s="74">
        <f>IF(R238="","",IF(INDEX('Recurring Schedule'!$H$6:$H$45,R238)="","",INDEX('Recurring Schedule'!$H$6:$H$45,R238)))</f>
        <v/>
      </c>
      <c r="H238" s="74">
        <f>IF(R238="","",IF(INDEX('Recurring Schedule'!$I$6:$I$45,R238)="","",INDEX('Recurring Schedule'!$I$6:$I$45,R238)))</f>
        <v/>
      </c>
      <c r="I238" s="36">
        <f>IF(OR(G238="",H238=""),"",TRIM(IF(HOUR(H238-G238)&gt;0,HOUR(H238-G238)&amp;" hr ","")&amp;IF(MINUTE(H238-G238)&gt;0,MINUTE(H238-G238)&amp;" min","")))</f>
        <v/>
      </c>
      <c r="J238" s="66" t="n"/>
      <c r="K238" s="70" t="n"/>
      <c r="L238" s="36">
        <f>IF(R238="","",IF(INDEX('Recurring Schedule'!$J$6:$J$45,R238)="","",INDEX('Recurring Schedule'!$J$6:$J$45,R238)))</f>
        <v/>
      </c>
      <c r="M238" s="36">
        <f>IF(R238="","",IF(INDEX('Recurring Schedule'!$K$6:$K$45,R238)="","",INDEX('Recurring Schedule'!$K$6:$K$45,R238)))</f>
        <v/>
      </c>
      <c r="N238" s="36">
        <f>IF(R238="","",IF(INDEX('Recurring Schedule'!$L$6:$L$45,R238)="","",INDEX('Recurring Schedule'!$L$6:$L$45,R238)))</f>
        <v/>
      </c>
      <c r="O238" s="36">
        <f>IF(C238="","",IF(AND(OR(L238="1-Urgent",L238="2-High"),M238="✓"),"DO FIRST",IF(M238="✓","SCHEDULE",IF(OR(L238="1-Urgent",L238="2-High"),"DELEGATE","DELETE"))))</f>
        <v/>
      </c>
      <c r="P238" s="65" t="n"/>
      <c r="Q238">
        <f>IF(233&gt;Calc!$AQ$368,"",MATCH(232,Calc!$AQ$2:$AQ$367,1))</f>
        <v/>
      </c>
      <c r="R238">
        <f>IF(Q238="","",SMALL(INDEX(Calc!$B$2:$AO$367,Q238,0),233-INDEX(Calc!$AQ$2:$AQ$367,Q238)))</f>
        <v/>
      </c>
    </row>
    <row r="239">
      <c r="B239" s="71">
        <f>IF(R239="","",234)</f>
        <v/>
      </c>
      <c r="C239" s="75">
        <f>IF(R239="","",IF(INDEX('Recurring Schedule'!$C$6:$C$45,R239)="","",INDEX('Recurring Schedule'!$C$6:$C$45,R239)))</f>
        <v/>
      </c>
      <c r="D239" s="73">
        <f>IF(R239="","",IF(INDEX('Recurring Schedule'!$D$6:$D$45,R239)="","",INDEX('Recurring Schedule'!$D$6:$D$45,R239)))</f>
        <v/>
      </c>
      <c r="E239" s="76">
        <f>IF(Q239="","",INDEX(Calc!$A$2:$A$367,Q239))</f>
        <v/>
      </c>
      <c r="F239" s="72">
        <f>IF(OR(C239="",E239=""),"",E239-Setup!$D$7)</f>
        <v/>
      </c>
      <c r="G239" s="77">
        <f>IF(R239="","",IF(INDEX('Recurring Schedule'!$H$6:$H$45,R239)="","",INDEX('Recurring Schedule'!$H$6:$H$45,R239)))</f>
        <v/>
      </c>
      <c r="H239" s="77">
        <f>IF(R239="","",IF(INDEX('Recurring Schedule'!$I$6:$I$45,R239)="","",INDEX('Recurring Schedule'!$I$6:$I$45,R239)))</f>
        <v/>
      </c>
      <c r="I239" s="73">
        <f>IF(OR(G239="",H239=""),"",TRIM(IF(HOUR(H239-G239)&gt;0,HOUR(H239-G239)&amp;" hr ","")&amp;IF(MINUTE(H239-G239)&gt;0,MINUTE(H239-G239)&amp;" min","")))</f>
        <v/>
      </c>
      <c r="J239" s="66" t="n"/>
      <c r="K239" s="70" t="n"/>
      <c r="L239" s="73">
        <f>IF(R239="","",IF(INDEX('Recurring Schedule'!$J$6:$J$45,R239)="","",INDEX('Recurring Schedule'!$J$6:$J$45,R239)))</f>
        <v/>
      </c>
      <c r="M239" s="73">
        <f>IF(R239="","",IF(INDEX('Recurring Schedule'!$K$6:$K$45,R239)="","",INDEX('Recurring Schedule'!$K$6:$K$45,R239)))</f>
        <v/>
      </c>
      <c r="N239" s="73">
        <f>IF(R239="","",IF(INDEX('Recurring Schedule'!$L$6:$L$45,R239)="","",INDEX('Recurring Schedule'!$L$6:$L$45,R239)))</f>
        <v/>
      </c>
      <c r="O239" s="73">
        <f>IF(C239="","",IF(AND(OR(L239="1-Urgent",L239="2-High"),M239="✓"),"DO FIRST",IF(M239="✓","SCHEDULE",IF(OR(L239="1-Urgent",L239="2-High"),"DELEGATE","DELETE"))))</f>
        <v/>
      </c>
      <c r="P239" s="65" t="n"/>
      <c r="Q239">
        <f>IF(234&gt;Calc!$AQ$368,"",MATCH(233,Calc!$AQ$2:$AQ$367,1))</f>
        <v/>
      </c>
      <c r="R239">
        <f>IF(Q239="","",SMALL(INDEX(Calc!$B$2:$AO$367,Q239,0),234-INDEX(Calc!$AQ$2:$AQ$367,Q239)))</f>
        <v/>
      </c>
    </row>
    <row r="240">
      <c r="B240" s="64">
        <f>IF(R240="","",235)</f>
        <v/>
      </c>
      <c r="C240" s="37">
        <f>IF(R240="","",IF(INDEX('Recurring Schedule'!$C$6:$C$45,R240)="","",INDEX('Recurring Schedule'!$C$6:$C$45,R240)))</f>
        <v/>
      </c>
      <c r="D240" s="36">
        <f>IF(R240="","",IF(INDEX('Recurring Schedule'!$D$6:$D$45,R240)="","",INDEX('Recurring Schedule'!$D$6:$D$45,R240)))</f>
        <v/>
      </c>
      <c r="E240" s="38">
        <f>IF(Q240="","",INDEX(Calc!$A$2:$A$367,Q240))</f>
        <v/>
      </c>
      <c r="F240" s="68">
        <f>IF(OR(C240="",E240=""),"",E240-Setup!$D$7)</f>
        <v/>
      </c>
      <c r="G240" s="74">
        <f>IF(R240="","",IF(INDEX('Recurring Schedule'!$H$6:$H$45,R240)="","",INDEX('Recurring Schedule'!$H$6:$H$45,R240)))</f>
        <v/>
      </c>
      <c r="H240" s="74">
        <f>IF(R240="","",IF(INDEX('Recurring Schedule'!$I$6:$I$45,R240)="","",INDEX('Recurring Schedule'!$I$6:$I$45,R240)))</f>
        <v/>
      </c>
      <c r="I240" s="36">
        <f>IF(OR(G240="",H240=""),"",TRIM(IF(HOUR(H240-G240)&gt;0,HOUR(H240-G240)&amp;" hr ","")&amp;IF(MINUTE(H240-G240)&gt;0,MINUTE(H240-G240)&amp;" min","")))</f>
        <v/>
      </c>
      <c r="J240" s="66" t="n"/>
      <c r="K240" s="70" t="n"/>
      <c r="L240" s="36">
        <f>IF(R240="","",IF(INDEX('Recurring Schedule'!$J$6:$J$45,R240)="","",INDEX('Recurring Schedule'!$J$6:$J$45,R240)))</f>
        <v/>
      </c>
      <c r="M240" s="36">
        <f>IF(R240="","",IF(INDEX('Recurring Schedule'!$K$6:$K$45,R240)="","",INDEX('Recurring Schedule'!$K$6:$K$45,R240)))</f>
        <v/>
      </c>
      <c r="N240" s="36">
        <f>IF(R240="","",IF(INDEX('Recurring Schedule'!$L$6:$L$45,R240)="","",INDEX('Recurring Schedule'!$L$6:$L$45,R240)))</f>
        <v/>
      </c>
      <c r="O240" s="36">
        <f>IF(C240="","",IF(AND(OR(L240="1-Urgent",L240="2-High"),M240="✓"),"DO FIRST",IF(M240="✓","SCHEDULE",IF(OR(L240="1-Urgent",L240="2-High"),"DELEGATE","DELETE"))))</f>
        <v/>
      </c>
      <c r="P240" s="65" t="n"/>
      <c r="Q240">
        <f>IF(235&gt;Calc!$AQ$368,"",MATCH(234,Calc!$AQ$2:$AQ$367,1))</f>
        <v/>
      </c>
      <c r="R240">
        <f>IF(Q240="","",SMALL(INDEX(Calc!$B$2:$AO$367,Q240,0),235-INDEX(Calc!$AQ$2:$AQ$367,Q240)))</f>
        <v/>
      </c>
    </row>
    <row r="241">
      <c r="B241" s="71">
        <f>IF(R241="","",236)</f>
        <v/>
      </c>
      <c r="C241" s="75">
        <f>IF(R241="","",IF(INDEX('Recurring Schedule'!$C$6:$C$45,R241)="","",INDEX('Recurring Schedule'!$C$6:$C$45,R241)))</f>
        <v/>
      </c>
      <c r="D241" s="73">
        <f>IF(R241="","",IF(INDEX('Recurring Schedule'!$D$6:$D$45,R241)="","",INDEX('Recurring Schedule'!$D$6:$D$45,R241)))</f>
        <v/>
      </c>
      <c r="E241" s="76">
        <f>IF(Q241="","",INDEX(Calc!$A$2:$A$367,Q241))</f>
        <v/>
      </c>
      <c r="F241" s="72">
        <f>IF(OR(C241="",E241=""),"",E241-Setup!$D$7)</f>
        <v/>
      </c>
      <c r="G241" s="77">
        <f>IF(R241="","",IF(INDEX('Recurring Schedule'!$H$6:$H$45,R241)="","",INDEX('Recurring Schedule'!$H$6:$H$45,R241)))</f>
        <v/>
      </c>
      <c r="H241" s="77">
        <f>IF(R241="","",IF(INDEX('Recurring Schedule'!$I$6:$I$45,R241)="","",INDEX('Recurring Schedule'!$I$6:$I$45,R241)))</f>
        <v/>
      </c>
      <c r="I241" s="73">
        <f>IF(OR(G241="",H241=""),"",TRIM(IF(HOUR(H241-G241)&gt;0,HOUR(H241-G241)&amp;" hr ","")&amp;IF(MINUTE(H241-G241)&gt;0,MINUTE(H241-G241)&amp;" min","")))</f>
        <v/>
      </c>
      <c r="J241" s="66" t="n"/>
      <c r="K241" s="70" t="n"/>
      <c r="L241" s="73">
        <f>IF(R241="","",IF(INDEX('Recurring Schedule'!$J$6:$J$45,R241)="","",INDEX('Recurring Schedule'!$J$6:$J$45,R241)))</f>
        <v/>
      </c>
      <c r="M241" s="73">
        <f>IF(R241="","",IF(INDEX('Recurring Schedule'!$K$6:$K$45,R241)="","",INDEX('Recurring Schedule'!$K$6:$K$45,R241)))</f>
        <v/>
      </c>
      <c r="N241" s="73">
        <f>IF(R241="","",IF(INDEX('Recurring Schedule'!$L$6:$L$45,R241)="","",INDEX('Recurring Schedule'!$L$6:$L$45,R241)))</f>
        <v/>
      </c>
      <c r="O241" s="73">
        <f>IF(C241="","",IF(AND(OR(L241="1-Urgent",L241="2-High"),M241="✓"),"DO FIRST",IF(M241="✓","SCHEDULE",IF(OR(L241="1-Urgent",L241="2-High"),"DELEGATE","DELETE"))))</f>
        <v/>
      </c>
      <c r="P241" s="65" t="n"/>
      <c r="Q241">
        <f>IF(236&gt;Calc!$AQ$368,"",MATCH(235,Calc!$AQ$2:$AQ$367,1))</f>
        <v/>
      </c>
      <c r="R241">
        <f>IF(Q241="","",SMALL(INDEX(Calc!$B$2:$AO$367,Q241,0),236-INDEX(Calc!$AQ$2:$AQ$367,Q241)))</f>
        <v/>
      </c>
    </row>
    <row r="242">
      <c r="B242" s="64">
        <f>IF(R242="","",237)</f>
        <v/>
      </c>
      <c r="C242" s="37">
        <f>IF(R242="","",IF(INDEX('Recurring Schedule'!$C$6:$C$45,R242)="","",INDEX('Recurring Schedule'!$C$6:$C$45,R242)))</f>
        <v/>
      </c>
      <c r="D242" s="36">
        <f>IF(R242="","",IF(INDEX('Recurring Schedule'!$D$6:$D$45,R242)="","",INDEX('Recurring Schedule'!$D$6:$D$45,R242)))</f>
        <v/>
      </c>
      <c r="E242" s="38">
        <f>IF(Q242="","",INDEX(Calc!$A$2:$A$367,Q242))</f>
        <v/>
      </c>
      <c r="F242" s="68">
        <f>IF(OR(C242="",E242=""),"",E242-Setup!$D$7)</f>
        <v/>
      </c>
      <c r="G242" s="74">
        <f>IF(R242="","",IF(INDEX('Recurring Schedule'!$H$6:$H$45,R242)="","",INDEX('Recurring Schedule'!$H$6:$H$45,R242)))</f>
        <v/>
      </c>
      <c r="H242" s="74">
        <f>IF(R242="","",IF(INDEX('Recurring Schedule'!$I$6:$I$45,R242)="","",INDEX('Recurring Schedule'!$I$6:$I$45,R242)))</f>
        <v/>
      </c>
      <c r="I242" s="36">
        <f>IF(OR(G242="",H242=""),"",TRIM(IF(HOUR(H242-G242)&gt;0,HOUR(H242-G242)&amp;" hr ","")&amp;IF(MINUTE(H242-G242)&gt;0,MINUTE(H242-G242)&amp;" min","")))</f>
        <v/>
      </c>
      <c r="J242" s="66" t="n"/>
      <c r="K242" s="70" t="n"/>
      <c r="L242" s="36">
        <f>IF(R242="","",IF(INDEX('Recurring Schedule'!$J$6:$J$45,R242)="","",INDEX('Recurring Schedule'!$J$6:$J$45,R242)))</f>
        <v/>
      </c>
      <c r="M242" s="36">
        <f>IF(R242="","",IF(INDEX('Recurring Schedule'!$K$6:$K$45,R242)="","",INDEX('Recurring Schedule'!$K$6:$K$45,R242)))</f>
        <v/>
      </c>
      <c r="N242" s="36">
        <f>IF(R242="","",IF(INDEX('Recurring Schedule'!$L$6:$L$45,R242)="","",INDEX('Recurring Schedule'!$L$6:$L$45,R242)))</f>
        <v/>
      </c>
      <c r="O242" s="36">
        <f>IF(C242="","",IF(AND(OR(L242="1-Urgent",L242="2-High"),M242="✓"),"DO FIRST",IF(M242="✓","SCHEDULE",IF(OR(L242="1-Urgent",L242="2-High"),"DELEGATE","DELETE"))))</f>
        <v/>
      </c>
      <c r="P242" s="65" t="n"/>
      <c r="Q242">
        <f>IF(237&gt;Calc!$AQ$368,"",MATCH(236,Calc!$AQ$2:$AQ$367,1))</f>
        <v/>
      </c>
      <c r="R242">
        <f>IF(Q242="","",SMALL(INDEX(Calc!$B$2:$AO$367,Q242,0),237-INDEX(Calc!$AQ$2:$AQ$367,Q242)))</f>
        <v/>
      </c>
    </row>
    <row r="243">
      <c r="B243" s="71">
        <f>IF(R243="","",238)</f>
        <v/>
      </c>
      <c r="C243" s="75">
        <f>IF(R243="","",IF(INDEX('Recurring Schedule'!$C$6:$C$45,R243)="","",INDEX('Recurring Schedule'!$C$6:$C$45,R243)))</f>
        <v/>
      </c>
      <c r="D243" s="73">
        <f>IF(R243="","",IF(INDEX('Recurring Schedule'!$D$6:$D$45,R243)="","",INDEX('Recurring Schedule'!$D$6:$D$45,R243)))</f>
        <v/>
      </c>
      <c r="E243" s="76">
        <f>IF(Q243="","",INDEX(Calc!$A$2:$A$367,Q243))</f>
        <v/>
      </c>
      <c r="F243" s="72">
        <f>IF(OR(C243="",E243=""),"",E243-Setup!$D$7)</f>
        <v/>
      </c>
      <c r="G243" s="77">
        <f>IF(R243="","",IF(INDEX('Recurring Schedule'!$H$6:$H$45,R243)="","",INDEX('Recurring Schedule'!$H$6:$H$45,R243)))</f>
        <v/>
      </c>
      <c r="H243" s="77">
        <f>IF(R243="","",IF(INDEX('Recurring Schedule'!$I$6:$I$45,R243)="","",INDEX('Recurring Schedule'!$I$6:$I$45,R243)))</f>
        <v/>
      </c>
      <c r="I243" s="73">
        <f>IF(OR(G243="",H243=""),"",TRIM(IF(HOUR(H243-G243)&gt;0,HOUR(H243-G243)&amp;" hr ","")&amp;IF(MINUTE(H243-G243)&gt;0,MINUTE(H243-G243)&amp;" min","")))</f>
        <v/>
      </c>
      <c r="J243" s="66" t="n"/>
      <c r="K243" s="70" t="n"/>
      <c r="L243" s="73">
        <f>IF(R243="","",IF(INDEX('Recurring Schedule'!$J$6:$J$45,R243)="","",INDEX('Recurring Schedule'!$J$6:$J$45,R243)))</f>
        <v/>
      </c>
      <c r="M243" s="73">
        <f>IF(R243="","",IF(INDEX('Recurring Schedule'!$K$6:$K$45,R243)="","",INDEX('Recurring Schedule'!$K$6:$K$45,R243)))</f>
        <v/>
      </c>
      <c r="N243" s="73">
        <f>IF(R243="","",IF(INDEX('Recurring Schedule'!$L$6:$L$45,R243)="","",INDEX('Recurring Schedule'!$L$6:$L$45,R243)))</f>
        <v/>
      </c>
      <c r="O243" s="73">
        <f>IF(C243="","",IF(AND(OR(L243="1-Urgent",L243="2-High"),M243="✓"),"DO FIRST",IF(M243="✓","SCHEDULE",IF(OR(L243="1-Urgent",L243="2-High"),"DELEGATE","DELETE"))))</f>
        <v/>
      </c>
      <c r="P243" s="65" t="n"/>
      <c r="Q243">
        <f>IF(238&gt;Calc!$AQ$368,"",MATCH(237,Calc!$AQ$2:$AQ$367,1))</f>
        <v/>
      </c>
      <c r="R243">
        <f>IF(Q243="","",SMALL(INDEX(Calc!$B$2:$AO$367,Q243,0),238-INDEX(Calc!$AQ$2:$AQ$367,Q243)))</f>
        <v/>
      </c>
    </row>
    <row r="244">
      <c r="B244" s="64">
        <f>IF(R244="","",239)</f>
        <v/>
      </c>
      <c r="C244" s="37">
        <f>IF(R244="","",IF(INDEX('Recurring Schedule'!$C$6:$C$45,R244)="","",INDEX('Recurring Schedule'!$C$6:$C$45,R244)))</f>
        <v/>
      </c>
      <c r="D244" s="36">
        <f>IF(R244="","",IF(INDEX('Recurring Schedule'!$D$6:$D$45,R244)="","",INDEX('Recurring Schedule'!$D$6:$D$45,R244)))</f>
        <v/>
      </c>
      <c r="E244" s="38">
        <f>IF(Q244="","",INDEX(Calc!$A$2:$A$367,Q244))</f>
        <v/>
      </c>
      <c r="F244" s="68">
        <f>IF(OR(C244="",E244=""),"",E244-Setup!$D$7)</f>
        <v/>
      </c>
      <c r="G244" s="74">
        <f>IF(R244="","",IF(INDEX('Recurring Schedule'!$H$6:$H$45,R244)="","",INDEX('Recurring Schedule'!$H$6:$H$45,R244)))</f>
        <v/>
      </c>
      <c r="H244" s="74">
        <f>IF(R244="","",IF(INDEX('Recurring Schedule'!$I$6:$I$45,R244)="","",INDEX('Recurring Schedule'!$I$6:$I$45,R244)))</f>
        <v/>
      </c>
      <c r="I244" s="36">
        <f>IF(OR(G244="",H244=""),"",TRIM(IF(HOUR(H244-G244)&gt;0,HOUR(H244-G244)&amp;" hr ","")&amp;IF(MINUTE(H244-G244)&gt;0,MINUTE(H244-G244)&amp;" min","")))</f>
        <v/>
      </c>
      <c r="J244" s="66" t="n"/>
      <c r="K244" s="70" t="n"/>
      <c r="L244" s="36">
        <f>IF(R244="","",IF(INDEX('Recurring Schedule'!$J$6:$J$45,R244)="","",INDEX('Recurring Schedule'!$J$6:$J$45,R244)))</f>
        <v/>
      </c>
      <c r="M244" s="36">
        <f>IF(R244="","",IF(INDEX('Recurring Schedule'!$K$6:$K$45,R244)="","",INDEX('Recurring Schedule'!$K$6:$K$45,R244)))</f>
        <v/>
      </c>
      <c r="N244" s="36">
        <f>IF(R244="","",IF(INDEX('Recurring Schedule'!$L$6:$L$45,R244)="","",INDEX('Recurring Schedule'!$L$6:$L$45,R244)))</f>
        <v/>
      </c>
      <c r="O244" s="36">
        <f>IF(C244="","",IF(AND(OR(L244="1-Urgent",L244="2-High"),M244="✓"),"DO FIRST",IF(M244="✓","SCHEDULE",IF(OR(L244="1-Urgent",L244="2-High"),"DELEGATE","DELETE"))))</f>
        <v/>
      </c>
      <c r="P244" s="65" t="n"/>
      <c r="Q244">
        <f>IF(239&gt;Calc!$AQ$368,"",MATCH(238,Calc!$AQ$2:$AQ$367,1))</f>
        <v/>
      </c>
      <c r="R244">
        <f>IF(Q244="","",SMALL(INDEX(Calc!$B$2:$AO$367,Q244,0),239-INDEX(Calc!$AQ$2:$AQ$367,Q244)))</f>
        <v/>
      </c>
    </row>
    <row r="245">
      <c r="B245" s="71">
        <f>IF(R245="","",240)</f>
        <v/>
      </c>
      <c r="C245" s="75">
        <f>IF(R245="","",IF(INDEX('Recurring Schedule'!$C$6:$C$45,R245)="","",INDEX('Recurring Schedule'!$C$6:$C$45,R245)))</f>
        <v/>
      </c>
      <c r="D245" s="73">
        <f>IF(R245="","",IF(INDEX('Recurring Schedule'!$D$6:$D$45,R245)="","",INDEX('Recurring Schedule'!$D$6:$D$45,R245)))</f>
        <v/>
      </c>
      <c r="E245" s="76">
        <f>IF(Q245="","",INDEX(Calc!$A$2:$A$367,Q245))</f>
        <v/>
      </c>
      <c r="F245" s="72">
        <f>IF(OR(C245="",E245=""),"",E245-Setup!$D$7)</f>
        <v/>
      </c>
      <c r="G245" s="77">
        <f>IF(R245="","",IF(INDEX('Recurring Schedule'!$H$6:$H$45,R245)="","",INDEX('Recurring Schedule'!$H$6:$H$45,R245)))</f>
        <v/>
      </c>
      <c r="H245" s="77">
        <f>IF(R245="","",IF(INDEX('Recurring Schedule'!$I$6:$I$45,R245)="","",INDEX('Recurring Schedule'!$I$6:$I$45,R245)))</f>
        <v/>
      </c>
      <c r="I245" s="73">
        <f>IF(OR(G245="",H245=""),"",TRIM(IF(HOUR(H245-G245)&gt;0,HOUR(H245-G245)&amp;" hr ","")&amp;IF(MINUTE(H245-G245)&gt;0,MINUTE(H245-G245)&amp;" min","")))</f>
        <v/>
      </c>
      <c r="J245" s="66" t="n"/>
      <c r="K245" s="70" t="n"/>
      <c r="L245" s="73">
        <f>IF(R245="","",IF(INDEX('Recurring Schedule'!$J$6:$J$45,R245)="","",INDEX('Recurring Schedule'!$J$6:$J$45,R245)))</f>
        <v/>
      </c>
      <c r="M245" s="73">
        <f>IF(R245="","",IF(INDEX('Recurring Schedule'!$K$6:$K$45,R245)="","",INDEX('Recurring Schedule'!$K$6:$K$45,R245)))</f>
        <v/>
      </c>
      <c r="N245" s="73">
        <f>IF(R245="","",IF(INDEX('Recurring Schedule'!$L$6:$L$45,R245)="","",INDEX('Recurring Schedule'!$L$6:$L$45,R245)))</f>
        <v/>
      </c>
      <c r="O245" s="73">
        <f>IF(C245="","",IF(AND(OR(L245="1-Urgent",L245="2-High"),M245="✓"),"DO FIRST",IF(M245="✓","SCHEDULE",IF(OR(L245="1-Urgent",L245="2-High"),"DELEGATE","DELETE"))))</f>
        <v/>
      </c>
      <c r="P245" s="65" t="n"/>
      <c r="Q245">
        <f>IF(240&gt;Calc!$AQ$368,"",MATCH(239,Calc!$AQ$2:$AQ$367,1))</f>
        <v/>
      </c>
      <c r="R245">
        <f>IF(Q245="","",SMALL(INDEX(Calc!$B$2:$AO$367,Q245,0),240-INDEX(Calc!$AQ$2:$AQ$367,Q245)))</f>
        <v/>
      </c>
    </row>
    <row r="246">
      <c r="B246" s="64">
        <f>IF(R246="","",241)</f>
        <v/>
      </c>
      <c r="C246" s="37">
        <f>IF(R246="","",IF(INDEX('Recurring Schedule'!$C$6:$C$45,R246)="","",INDEX('Recurring Schedule'!$C$6:$C$45,R246)))</f>
        <v/>
      </c>
      <c r="D246" s="36">
        <f>IF(R246="","",IF(INDEX('Recurring Schedule'!$D$6:$D$45,R246)="","",INDEX('Recurring Schedule'!$D$6:$D$45,R246)))</f>
        <v/>
      </c>
      <c r="E246" s="38">
        <f>IF(Q246="","",INDEX(Calc!$A$2:$A$367,Q246))</f>
        <v/>
      </c>
      <c r="F246" s="68">
        <f>IF(OR(C246="",E246=""),"",E246-Setup!$D$7)</f>
        <v/>
      </c>
      <c r="G246" s="74">
        <f>IF(R246="","",IF(INDEX('Recurring Schedule'!$H$6:$H$45,R246)="","",INDEX('Recurring Schedule'!$H$6:$H$45,R246)))</f>
        <v/>
      </c>
      <c r="H246" s="74">
        <f>IF(R246="","",IF(INDEX('Recurring Schedule'!$I$6:$I$45,R246)="","",INDEX('Recurring Schedule'!$I$6:$I$45,R246)))</f>
        <v/>
      </c>
      <c r="I246" s="36">
        <f>IF(OR(G246="",H246=""),"",TRIM(IF(HOUR(H246-G246)&gt;0,HOUR(H246-G246)&amp;" hr ","")&amp;IF(MINUTE(H246-G246)&gt;0,MINUTE(H246-G246)&amp;" min","")))</f>
        <v/>
      </c>
      <c r="J246" s="66" t="n"/>
      <c r="K246" s="70" t="n"/>
      <c r="L246" s="36">
        <f>IF(R246="","",IF(INDEX('Recurring Schedule'!$J$6:$J$45,R246)="","",INDEX('Recurring Schedule'!$J$6:$J$45,R246)))</f>
        <v/>
      </c>
      <c r="M246" s="36">
        <f>IF(R246="","",IF(INDEX('Recurring Schedule'!$K$6:$K$45,R246)="","",INDEX('Recurring Schedule'!$K$6:$K$45,R246)))</f>
        <v/>
      </c>
      <c r="N246" s="36">
        <f>IF(R246="","",IF(INDEX('Recurring Schedule'!$L$6:$L$45,R246)="","",INDEX('Recurring Schedule'!$L$6:$L$45,R246)))</f>
        <v/>
      </c>
      <c r="O246" s="36">
        <f>IF(C246="","",IF(AND(OR(L246="1-Urgent",L246="2-High"),M246="✓"),"DO FIRST",IF(M246="✓","SCHEDULE",IF(OR(L246="1-Urgent",L246="2-High"),"DELEGATE","DELETE"))))</f>
        <v/>
      </c>
      <c r="P246" s="65" t="n"/>
      <c r="Q246">
        <f>IF(241&gt;Calc!$AQ$368,"",MATCH(240,Calc!$AQ$2:$AQ$367,1))</f>
        <v/>
      </c>
      <c r="R246">
        <f>IF(Q246="","",SMALL(INDEX(Calc!$B$2:$AO$367,Q246,0),241-INDEX(Calc!$AQ$2:$AQ$367,Q246)))</f>
        <v/>
      </c>
    </row>
    <row r="247">
      <c r="B247" s="71">
        <f>IF(R247="","",242)</f>
        <v/>
      </c>
      <c r="C247" s="75">
        <f>IF(R247="","",IF(INDEX('Recurring Schedule'!$C$6:$C$45,R247)="","",INDEX('Recurring Schedule'!$C$6:$C$45,R247)))</f>
        <v/>
      </c>
      <c r="D247" s="73">
        <f>IF(R247="","",IF(INDEX('Recurring Schedule'!$D$6:$D$45,R247)="","",INDEX('Recurring Schedule'!$D$6:$D$45,R247)))</f>
        <v/>
      </c>
      <c r="E247" s="76">
        <f>IF(Q247="","",INDEX(Calc!$A$2:$A$367,Q247))</f>
        <v/>
      </c>
      <c r="F247" s="72">
        <f>IF(OR(C247="",E247=""),"",E247-Setup!$D$7)</f>
        <v/>
      </c>
      <c r="G247" s="77">
        <f>IF(R247="","",IF(INDEX('Recurring Schedule'!$H$6:$H$45,R247)="","",INDEX('Recurring Schedule'!$H$6:$H$45,R247)))</f>
        <v/>
      </c>
      <c r="H247" s="77">
        <f>IF(R247="","",IF(INDEX('Recurring Schedule'!$I$6:$I$45,R247)="","",INDEX('Recurring Schedule'!$I$6:$I$45,R247)))</f>
        <v/>
      </c>
      <c r="I247" s="73">
        <f>IF(OR(G247="",H247=""),"",TRIM(IF(HOUR(H247-G247)&gt;0,HOUR(H247-G247)&amp;" hr ","")&amp;IF(MINUTE(H247-G247)&gt;0,MINUTE(H247-G247)&amp;" min","")))</f>
        <v/>
      </c>
      <c r="J247" s="66" t="n"/>
      <c r="K247" s="70" t="n"/>
      <c r="L247" s="73">
        <f>IF(R247="","",IF(INDEX('Recurring Schedule'!$J$6:$J$45,R247)="","",INDEX('Recurring Schedule'!$J$6:$J$45,R247)))</f>
        <v/>
      </c>
      <c r="M247" s="73">
        <f>IF(R247="","",IF(INDEX('Recurring Schedule'!$K$6:$K$45,R247)="","",INDEX('Recurring Schedule'!$K$6:$K$45,R247)))</f>
        <v/>
      </c>
      <c r="N247" s="73">
        <f>IF(R247="","",IF(INDEX('Recurring Schedule'!$L$6:$L$45,R247)="","",INDEX('Recurring Schedule'!$L$6:$L$45,R247)))</f>
        <v/>
      </c>
      <c r="O247" s="73">
        <f>IF(C247="","",IF(AND(OR(L247="1-Urgent",L247="2-High"),M247="✓"),"DO FIRST",IF(M247="✓","SCHEDULE",IF(OR(L247="1-Urgent",L247="2-High"),"DELEGATE","DELETE"))))</f>
        <v/>
      </c>
      <c r="P247" s="65" t="n"/>
      <c r="Q247">
        <f>IF(242&gt;Calc!$AQ$368,"",MATCH(241,Calc!$AQ$2:$AQ$367,1))</f>
        <v/>
      </c>
      <c r="R247">
        <f>IF(Q247="","",SMALL(INDEX(Calc!$B$2:$AO$367,Q247,0),242-INDEX(Calc!$AQ$2:$AQ$367,Q247)))</f>
        <v/>
      </c>
    </row>
    <row r="248">
      <c r="B248" s="64">
        <f>IF(R248="","",243)</f>
        <v/>
      </c>
      <c r="C248" s="37">
        <f>IF(R248="","",IF(INDEX('Recurring Schedule'!$C$6:$C$45,R248)="","",INDEX('Recurring Schedule'!$C$6:$C$45,R248)))</f>
        <v/>
      </c>
      <c r="D248" s="36">
        <f>IF(R248="","",IF(INDEX('Recurring Schedule'!$D$6:$D$45,R248)="","",INDEX('Recurring Schedule'!$D$6:$D$45,R248)))</f>
        <v/>
      </c>
      <c r="E248" s="38">
        <f>IF(Q248="","",INDEX(Calc!$A$2:$A$367,Q248))</f>
        <v/>
      </c>
      <c r="F248" s="68">
        <f>IF(OR(C248="",E248=""),"",E248-Setup!$D$7)</f>
        <v/>
      </c>
      <c r="G248" s="74">
        <f>IF(R248="","",IF(INDEX('Recurring Schedule'!$H$6:$H$45,R248)="","",INDEX('Recurring Schedule'!$H$6:$H$45,R248)))</f>
        <v/>
      </c>
      <c r="H248" s="74">
        <f>IF(R248="","",IF(INDEX('Recurring Schedule'!$I$6:$I$45,R248)="","",INDEX('Recurring Schedule'!$I$6:$I$45,R248)))</f>
        <v/>
      </c>
      <c r="I248" s="36">
        <f>IF(OR(G248="",H248=""),"",TRIM(IF(HOUR(H248-G248)&gt;0,HOUR(H248-G248)&amp;" hr ","")&amp;IF(MINUTE(H248-G248)&gt;0,MINUTE(H248-G248)&amp;" min","")))</f>
        <v/>
      </c>
      <c r="J248" s="66" t="n"/>
      <c r="K248" s="70" t="n"/>
      <c r="L248" s="36">
        <f>IF(R248="","",IF(INDEX('Recurring Schedule'!$J$6:$J$45,R248)="","",INDEX('Recurring Schedule'!$J$6:$J$45,R248)))</f>
        <v/>
      </c>
      <c r="M248" s="36">
        <f>IF(R248="","",IF(INDEX('Recurring Schedule'!$K$6:$K$45,R248)="","",INDEX('Recurring Schedule'!$K$6:$K$45,R248)))</f>
        <v/>
      </c>
      <c r="N248" s="36">
        <f>IF(R248="","",IF(INDEX('Recurring Schedule'!$L$6:$L$45,R248)="","",INDEX('Recurring Schedule'!$L$6:$L$45,R248)))</f>
        <v/>
      </c>
      <c r="O248" s="36">
        <f>IF(C248="","",IF(AND(OR(L248="1-Urgent",L248="2-High"),M248="✓"),"DO FIRST",IF(M248="✓","SCHEDULE",IF(OR(L248="1-Urgent",L248="2-High"),"DELEGATE","DELETE"))))</f>
        <v/>
      </c>
      <c r="P248" s="65" t="n"/>
      <c r="Q248">
        <f>IF(243&gt;Calc!$AQ$368,"",MATCH(242,Calc!$AQ$2:$AQ$367,1))</f>
        <v/>
      </c>
      <c r="R248">
        <f>IF(Q248="","",SMALL(INDEX(Calc!$B$2:$AO$367,Q248,0),243-INDEX(Calc!$AQ$2:$AQ$367,Q248)))</f>
        <v/>
      </c>
    </row>
    <row r="249">
      <c r="B249" s="71">
        <f>IF(R249="","",244)</f>
        <v/>
      </c>
      <c r="C249" s="75">
        <f>IF(R249="","",IF(INDEX('Recurring Schedule'!$C$6:$C$45,R249)="","",INDEX('Recurring Schedule'!$C$6:$C$45,R249)))</f>
        <v/>
      </c>
      <c r="D249" s="73">
        <f>IF(R249="","",IF(INDEX('Recurring Schedule'!$D$6:$D$45,R249)="","",INDEX('Recurring Schedule'!$D$6:$D$45,R249)))</f>
        <v/>
      </c>
      <c r="E249" s="76">
        <f>IF(Q249="","",INDEX(Calc!$A$2:$A$367,Q249))</f>
        <v/>
      </c>
      <c r="F249" s="72">
        <f>IF(OR(C249="",E249=""),"",E249-Setup!$D$7)</f>
        <v/>
      </c>
      <c r="G249" s="77">
        <f>IF(R249="","",IF(INDEX('Recurring Schedule'!$H$6:$H$45,R249)="","",INDEX('Recurring Schedule'!$H$6:$H$45,R249)))</f>
        <v/>
      </c>
      <c r="H249" s="77">
        <f>IF(R249="","",IF(INDEX('Recurring Schedule'!$I$6:$I$45,R249)="","",INDEX('Recurring Schedule'!$I$6:$I$45,R249)))</f>
        <v/>
      </c>
      <c r="I249" s="73">
        <f>IF(OR(G249="",H249=""),"",TRIM(IF(HOUR(H249-G249)&gt;0,HOUR(H249-G249)&amp;" hr ","")&amp;IF(MINUTE(H249-G249)&gt;0,MINUTE(H249-G249)&amp;" min","")))</f>
        <v/>
      </c>
      <c r="J249" s="66" t="n"/>
      <c r="K249" s="70" t="n"/>
      <c r="L249" s="73">
        <f>IF(R249="","",IF(INDEX('Recurring Schedule'!$J$6:$J$45,R249)="","",INDEX('Recurring Schedule'!$J$6:$J$45,R249)))</f>
        <v/>
      </c>
      <c r="M249" s="73">
        <f>IF(R249="","",IF(INDEX('Recurring Schedule'!$K$6:$K$45,R249)="","",INDEX('Recurring Schedule'!$K$6:$K$45,R249)))</f>
        <v/>
      </c>
      <c r="N249" s="73">
        <f>IF(R249="","",IF(INDEX('Recurring Schedule'!$L$6:$L$45,R249)="","",INDEX('Recurring Schedule'!$L$6:$L$45,R249)))</f>
        <v/>
      </c>
      <c r="O249" s="73">
        <f>IF(C249="","",IF(AND(OR(L249="1-Urgent",L249="2-High"),M249="✓"),"DO FIRST",IF(M249="✓","SCHEDULE",IF(OR(L249="1-Urgent",L249="2-High"),"DELEGATE","DELETE"))))</f>
        <v/>
      </c>
      <c r="P249" s="65" t="n"/>
      <c r="Q249">
        <f>IF(244&gt;Calc!$AQ$368,"",MATCH(243,Calc!$AQ$2:$AQ$367,1))</f>
        <v/>
      </c>
      <c r="R249">
        <f>IF(Q249="","",SMALL(INDEX(Calc!$B$2:$AO$367,Q249,0),244-INDEX(Calc!$AQ$2:$AQ$367,Q249)))</f>
        <v/>
      </c>
    </row>
    <row r="250">
      <c r="B250" s="64">
        <f>IF(R250="","",245)</f>
        <v/>
      </c>
      <c r="C250" s="37">
        <f>IF(R250="","",IF(INDEX('Recurring Schedule'!$C$6:$C$45,R250)="","",INDEX('Recurring Schedule'!$C$6:$C$45,R250)))</f>
        <v/>
      </c>
      <c r="D250" s="36">
        <f>IF(R250="","",IF(INDEX('Recurring Schedule'!$D$6:$D$45,R250)="","",INDEX('Recurring Schedule'!$D$6:$D$45,R250)))</f>
        <v/>
      </c>
      <c r="E250" s="38">
        <f>IF(Q250="","",INDEX(Calc!$A$2:$A$367,Q250))</f>
        <v/>
      </c>
      <c r="F250" s="68">
        <f>IF(OR(C250="",E250=""),"",E250-Setup!$D$7)</f>
        <v/>
      </c>
      <c r="G250" s="74">
        <f>IF(R250="","",IF(INDEX('Recurring Schedule'!$H$6:$H$45,R250)="","",INDEX('Recurring Schedule'!$H$6:$H$45,R250)))</f>
        <v/>
      </c>
      <c r="H250" s="74">
        <f>IF(R250="","",IF(INDEX('Recurring Schedule'!$I$6:$I$45,R250)="","",INDEX('Recurring Schedule'!$I$6:$I$45,R250)))</f>
        <v/>
      </c>
      <c r="I250" s="36">
        <f>IF(OR(G250="",H250=""),"",TRIM(IF(HOUR(H250-G250)&gt;0,HOUR(H250-G250)&amp;" hr ","")&amp;IF(MINUTE(H250-G250)&gt;0,MINUTE(H250-G250)&amp;" min","")))</f>
        <v/>
      </c>
      <c r="J250" s="66" t="n"/>
      <c r="K250" s="70" t="n"/>
      <c r="L250" s="36">
        <f>IF(R250="","",IF(INDEX('Recurring Schedule'!$J$6:$J$45,R250)="","",INDEX('Recurring Schedule'!$J$6:$J$45,R250)))</f>
        <v/>
      </c>
      <c r="M250" s="36">
        <f>IF(R250="","",IF(INDEX('Recurring Schedule'!$K$6:$K$45,R250)="","",INDEX('Recurring Schedule'!$K$6:$K$45,R250)))</f>
        <v/>
      </c>
      <c r="N250" s="36">
        <f>IF(R250="","",IF(INDEX('Recurring Schedule'!$L$6:$L$45,R250)="","",INDEX('Recurring Schedule'!$L$6:$L$45,R250)))</f>
        <v/>
      </c>
      <c r="O250" s="36">
        <f>IF(C250="","",IF(AND(OR(L250="1-Urgent",L250="2-High"),M250="✓"),"DO FIRST",IF(M250="✓","SCHEDULE",IF(OR(L250="1-Urgent",L250="2-High"),"DELEGATE","DELETE"))))</f>
        <v/>
      </c>
      <c r="P250" s="65" t="n"/>
      <c r="Q250">
        <f>IF(245&gt;Calc!$AQ$368,"",MATCH(244,Calc!$AQ$2:$AQ$367,1))</f>
        <v/>
      </c>
      <c r="R250">
        <f>IF(Q250="","",SMALL(INDEX(Calc!$B$2:$AO$367,Q250,0),245-INDEX(Calc!$AQ$2:$AQ$367,Q250)))</f>
        <v/>
      </c>
    </row>
    <row r="251">
      <c r="B251" s="71">
        <f>IF(R251="","",246)</f>
        <v/>
      </c>
      <c r="C251" s="75">
        <f>IF(R251="","",IF(INDEX('Recurring Schedule'!$C$6:$C$45,R251)="","",INDEX('Recurring Schedule'!$C$6:$C$45,R251)))</f>
        <v/>
      </c>
      <c r="D251" s="73">
        <f>IF(R251="","",IF(INDEX('Recurring Schedule'!$D$6:$D$45,R251)="","",INDEX('Recurring Schedule'!$D$6:$D$45,R251)))</f>
        <v/>
      </c>
      <c r="E251" s="76">
        <f>IF(Q251="","",INDEX(Calc!$A$2:$A$367,Q251))</f>
        <v/>
      </c>
      <c r="F251" s="72">
        <f>IF(OR(C251="",E251=""),"",E251-Setup!$D$7)</f>
        <v/>
      </c>
      <c r="G251" s="77">
        <f>IF(R251="","",IF(INDEX('Recurring Schedule'!$H$6:$H$45,R251)="","",INDEX('Recurring Schedule'!$H$6:$H$45,R251)))</f>
        <v/>
      </c>
      <c r="H251" s="77">
        <f>IF(R251="","",IF(INDEX('Recurring Schedule'!$I$6:$I$45,R251)="","",INDEX('Recurring Schedule'!$I$6:$I$45,R251)))</f>
        <v/>
      </c>
      <c r="I251" s="73">
        <f>IF(OR(G251="",H251=""),"",TRIM(IF(HOUR(H251-G251)&gt;0,HOUR(H251-G251)&amp;" hr ","")&amp;IF(MINUTE(H251-G251)&gt;0,MINUTE(H251-G251)&amp;" min","")))</f>
        <v/>
      </c>
      <c r="J251" s="66" t="n"/>
      <c r="K251" s="70" t="n"/>
      <c r="L251" s="73">
        <f>IF(R251="","",IF(INDEX('Recurring Schedule'!$J$6:$J$45,R251)="","",INDEX('Recurring Schedule'!$J$6:$J$45,R251)))</f>
        <v/>
      </c>
      <c r="M251" s="73">
        <f>IF(R251="","",IF(INDEX('Recurring Schedule'!$K$6:$K$45,R251)="","",INDEX('Recurring Schedule'!$K$6:$K$45,R251)))</f>
        <v/>
      </c>
      <c r="N251" s="73">
        <f>IF(R251="","",IF(INDEX('Recurring Schedule'!$L$6:$L$45,R251)="","",INDEX('Recurring Schedule'!$L$6:$L$45,R251)))</f>
        <v/>
      </c>
      <c r="O251" s="73">
        <f>IF(C251="","",IF(AND(OR(L251="1-Urgent",L251="2-High"),M251="✓"),"DO FIRST",IF(M251="✓","SCHEDULE",IF(OR(L251="1-Urgent",L251="2-High"),"DELEGATE","DELETE"))))</f>
        <v/>
      </c>
      <c r="P251" s="65" t="n"/>
      <c r="Q251">
        <f>IF(246&gt;Calc!$AQ$368,"",MATCH(245,Calc!$AQ$2:$AQ$367,1))</f>
        <v/>
      </c>
      <c r="R251">
        <f>IF(Q251="","",SMALL(INDEX(Calc!$B$2:$AO$367,Q251,0),246-INDEX(Calc!$AQ$2:$AQ$367,Q251)))</f>
        <v/>
      </c>
    </row>
    <row r="252">
      <c r="B252" s="64">
        <f>IF(R252="","",247)</f>
        <v/>
      </c>
      <c r="C252" s="37">
        <f>IF(R252="","",IF(INDEX('Recurring Schedule'!$C$6:$C$45,R252)="","",INDEX('Recurring Schedule'!$C$6:$C$45,R252)))</f>
        <v/>
      </c>
      <c r="D252" s="36">
        <f>IF(R252="","",IF(INDEX('Recurring Schedule'!$D$6:$D$45,R252)="","",INDEX('Recurring Schedule'!$D$6:$D$45,R252)))</f>
        <v/>
      </c>
      <c r="E252" s="38">
        <f>IF(Q252="","",INDEX(Calc!$A$2:$A$367,Q252))</f>
        <v/>
      </c>
      <c r="F252" s="68">
        <f>IF(OR(C252="",E252=""),"",E252-Setup!$D$7)</f>
        <v/>
      </c>
      <c r="G252" s="74">
        <f>IF(R252="","",IF(INDEX('Recurring Schedule'!$H$6:$H$45,R252)="","",INDEX('Recurring Schedule'!$H$6:$H$45,R252)))</f>
        <v/>
      </c>
      <c r="H252" s="74">
        <f>IF(R252="","",IF(INDEX('Recurring Schedule'!$I$6:$I$45,R252)="","",INDEX('Recurring Schedule'!$I$6:$I$45,R252)))</f>
        <v/>
      </c>
      <c r="I252" s="36">
        <f>IF(OR(G252="",H252=""),"",TRIM(IF(HOUR(H252-G252)&gt;0,HOUR(H252-G252)&amp;" hr ","")&amp;IF(MINUTE(H252-G252)&gt;0,MINUTE(H252-G252)&amp;" min","")))</f>
        <v/>
      </c>
      <c r="J252" s="66" t="n"/>
      <c r="K252" s="70" t="n"/>
      <c r="L252" s="36">
        <f>IF(R252="","",IF(INDEX('Recurring Schedule'!$J$6:$J$45,R252)="","",INDEX('Recurring Schedule'!$J$6:$J$45,R252)))</f>
        <v/>
      </c>
      <c r="M252" s="36">
        <f>IF(R252="","",IF(INDEX('Recurring Schedule'!$K$6:$K$45,R252)="","",INDEX('Recurring Schedule'!$K$6:$K$45,R252)))</f>
        <v/>
      </c>
      <c r="N252" s="36">
        <f>IF(R252="","",IF(INDEX('Recurring Schedule'!$L$6:$L$45,R252)="","",INDEX('Recurring Schedule'!$L$6:$L$45,R252)))</f>
        <v/>
      </c>
      <c r="O252" s="36">
        <f>IF(C252="","",IF(AND(OR(L252="1-Urgent",L252="2-High"),M252="✓"),"DO FIRST",IF(M252="✓","SCHEDULE",IF(OR(L252="1-Urgent",L252="2-High"),"DELEGATE","DELETE"))))</f>
        <v/>
      </c>
      <c r="P252" s="65" t="n"/>
      <c r="Q252">
        <f>IF(247&gt;Calc!$AQ$368,"",MATCH(246,Calc!$AQ$2:$AQ$367,1))</f>
        <v/>
      </c>
      <c r="R252">
        <f>IF(Q252="","",SMALL(INDEX(Calc!$B$2:$AO$367,Q252,0),247-INDEX(Calc!$AQ$2:$AQ$367,Q252)))</f>
        <v/>
      </c>
    </row>
    <row r="253">
      <c r="B253" s="71">
        <f>IF(R253="","",248)</f>
        <v/>
      </c>
      <c r="C253" s="75">
        <f>IF(R253="","",IF(INDEX('Recurring Schedule'!$C$6:$C$45,R253)="","",INDEX('Recurring Schedule'!$C$6:$C$45,R253)))</f>
        <v/>
      </c>
      <c r="D253" s="73">
        <f>IF(R253="","",IF(INDEX('Recurring Schedule'!$D$6:$D$45,R253)="","",INDEX('Recurring Schedule'!$D$6:$D$45,R253)))</f>
        <v/>
      </c>
      <c r="E253" s="76">
        <f>IF(Q253="","",INDEX(Calc!$A$2:$A$367,Q253))</f>
        <v/>
      </c>
      <c r="F253" s="72">
        <f>IF(OR(C253="",E253=""),"",E253-Setup!$D$7)</f>
        <v/>
      </c>
      <c r="G253" s="77">
        <f>IF(R253="","",IF(INDEX('Recurring Schedule'!$H$6:$H$45,R253)="","",INDEX('Recurring Schedule'!$H$6:$H$45,R253)))</f>
        <v/>
      </c>
      <c r="H253" s="77">
        <f>IF(R253="","",IF(INDEX('Recurring Schedule'!$I$6:$I$45,R253)="","",INDEX('Recurring Schedule'!$I$6:$I$45,R253)))</f>
        <v/>
      </c>
      <c r="I253" s="73">
        <f>IF(OR(G253="",H253=""),"",TRIM(IF(HOUR(H253-G253)&gt;0,HOUR(H253-G253)&amp;" hr ","")&amp;IF(MINUTE(H253-G253)&gt;0,MINUTE(H253-G253)&amp;" min","")))</f>
        <v/>
      </c>
      <c r="J253" s="66" t="n"/>
      <c r="K253" s="70" t="n"/>
      <c r="L253" s="73">
        <f>IF(R253="","",IF(INDEX('Recurring Schedule'!$J$6:$J$45,R253)="","",INDEX('Recurring Schedule'!$J$6:$J$45,R253)))</f>
        <v/>
      </c>
      <c r="M253" s="73">
        <f>IF(R253="","",IF(INDEX('Recurring Schedule'!$K$6:$K$45,R253)="","",INDEX('Recurring Schedule'!$K$6:$K$45,R253)))</f>
        <v/>
      </c>
      <c r="N253" s="73">
        <f>IF(R253="","",IF(INDEX('Recurring Schedule'!$L$6:$L$45,R253)="","",INDEX('Recurring Schedule'!$L$6:$L$45,R253)))</f>
        <v/>
      </c>
      <c r="O253" s="73">
        <f>IF(C253="","",IF(AND(OR(L253="1-Urgent",L253="2-High"),M253="✓"),"DO FIRST",IF(M253="✓","SCHEDULE",IF(OR(L253="1-Urgent",L253="2-High"),"DELEGATE","DELETE"))))</f>
        <v/>
      </c>
      <c r="P253" s="65" t="n"/>
      <c r="Q253">
        <f>IF(248&gt;Calc!$AQ$368,"",MATCH(247,Calc!$AQ$2:$AQ$367,1))</f>
        <v/>
      </c>
      <c r="R253">
        <f>IF(Q253="","",SMALL(INDEX(Calc!$B$2:$AO$367,Q253,0),248-INDEX(Calc!$AQ$2:$AQ$367,Q253)))</f>
        <v/>
      </c>
    </row>
    <row r="254">
      <c r="B254" s="64">
        <f>IF(R254="","",249)</f>
        <v/>
      </c>
      <c r="C254" s="37">
        <f>IF(R254="","",IF(INDEX('Recurring Schedule'!$C$6:$C$45,R254)="","",INDEX('Recurring Schedule'!$C$6:$C$45,R254)))</f>
        <v/>
      </c>
      <c r="D254" s="36">
        <f>IF(R254="","",IF(INDEX('Recurring Schedule'!$D$6:$D$45,R254)="","",INDEX('Recurring Schedule'!$D$6:$D$45,R254)))</f>
        <v/>
      </c>
      <c r="E254" s="38">
        <f>IF(Q254="","",INDEX(Calc!$A$2:$A$367,Q254))</f>
        <v/>
      </c>
      <c r="F254" s="68">
        <f>IF(OR(C254="",E254=""),"",E254-Setup!$D$7)</f>
        <v/>
      </c>
      <c r="G254" s="74">
        <f>IF(R254="","",IF(INDEX('Recurring Schedule'!$H$6:$H$45,R254)="","",INDEX('Recurring Schedule'!$H$6:$H$45,R254)))</f>
        <v/>
      </c>
      <c r="H254" s="74">
        <f>IF(R254="","",IF(INDEX('Recurring Schedule'!$I$6:$I$45,R254)="","",INDEX('Recurring Schedule'!$I$6:$I$45,R254)))</f>
        <v/>
      </c>
      <c r="I254" s="36">
        <f>IF(OR(G254="",H254=""),"",TRIM(IF(HOUR(H254-G254)&gt;0,HOUR(H254-G254)&amp;" hr ","")&amp;IF(MINUTE(H254-G254)&gt;0,MINUTE(H254-G254)&amp;" min","")))</f>
        <v/>
      </c>
      <c r="J254" s="66" t="n"/>
      <c r="K254" s="70" t="n"/>
      <c r="L254" s="36">
        <f>IF(R254="","",IF(INDEX('Recurring Schedule'!$J$6:$J$45,R254)="","",INDEX('Recurring Schedule'!$J$6:$J$45,R254)))</f>
        <v/>
      </c>
      <c r="M254" s="36">
        <f>IF(R254="","",IF(INDEX('Recurring Schedule'!$K$6:$K$45,R254)="","",INDEX('Recurring Schedule'!$K$6:$K$45,R254)))</f>
        <v/>
      </c>
      <c r="N254" s="36">
        <f>IF(R254="","",IF(INDEX('Recurring Schedule'!$L$6:$L$45,R254)="","",INDEX('Recurring Schedule'!$L$6:$L$45,R254)))</f>
        <v/>
      </c>
      <c r="O254" s="36">
        <f>IF(C254="","",IF(AND(OR(L254="1-Urgent",L254="2-High"),M254="✓"),"DO FIRST",IF(M254="✓","SCHEDULE",IF(OR(L254="1-Urgent",L254="2-High"),"DELEGATE","DELETE"))))</f>
        <v/>
      </c>
      <c r="P254" s="65" t="n"/>
      <c r="Q254">
        <f>IF(249&gt;Calc!$AQ$368,"",MATCH(248,Calc!$AQ$2:$AQ$367,1))</f>
        <v/>
      </c>
      <c r="R254">
        <f>IF(Q254="","",SMALL(INDEX(Calc!$B$2:$AO$367,Q254,0),249-INDEX(Calc!$AQ$2:$AQ$367,Q254)))</f>
        <v/>
      </c>
    </row>
    <row r="255">
      <c r="B255" s="71">
        <f>IF(R255="","",250)</f>
        <v/>
      </c>
      <c r="C255" s="75">
        <f>IF(R255="","",IF(INDEX('Recurring Schedule'!$C$6:$C$45,R255)="","",INDEX('Recurring Schedule'!$C$6:$C$45,R255)))</f>
        <v/>
      </c>
      <c r="D255" s="73">
        <f>IF(R255="","",IF(INDEX('Recurring Schedule'!$D$6:$D$45,R255)="","",INDEX('Recurring Schedule'!$D$6:$D$45,R255)))</f>
        <v/>
      </c>
      <c r="E255" s="76">
        <f>IF(Q255="","",INDEX(Calc!$A$2:$A$367,Q255))</f>
        <v/>
      </c>
      <c r="F255" s="72">
        <f>IF(OR(C255="",E255=""),"",E255-Setup!$D$7)</f>
        <v/>
      </c>
      <c r="G255" s="77">
        <f>IF(R255="","",IF(INDEX('Recurring Schedule'!$H$6:$H$45,R255)="","",INDEX('Recurring Schedule'!$H$6:$H$45,R255)))</f>
        <v/>
      </c>
      <c r="H255" s="77">
        <f>IF(R255="","",IF(INDEX('Recurring Schedule'!$I$6:$I$45,R255)="","",INDEX('Recurring Schedule'!$I$6:$I$45,R255)))</f>
        <v/>
      </c>
      <c r="I255" s="73">
        <f>IF(OR(G255="",H255=""),"",TRIM(IF(HOUR(H255-G255)&gt;0,HOUR(H255-G255)&amp;" hr ","")&amp;IF(MINUTE(H255-G255)&gt;0,MINUTE(H255-G255)&amp;" min","")))</f>
        <v/>
      </c>
      <c r="J255" s="66" t="n"/>
      <c r="K255" s="70" t="n"/>
      <c r="L255" s="73">
        <f>IF(R255="","",IF(INDEX('Recurring Schedule'!$J$6:$J$45,R255)="","",INDEX('Recurring Schedule'!$J$6:$J$45,R255)))</f>
        <v/>
      </c>
      <c r="M255" s="73">
        <f>IF(R255="","",IF(INDEX('Recurring Schedule'!$K$6:$K$45,R255)="","",INDEX('Recurring Schedule'!$K$6:$K$45,R255)))</f>
        <v/>
      </c>
      <c r="N255" s="73">
        <f>IF(R255="","",IF(INDEX('Recurring Schedule'!$L$6:$L$45,R255)="","",INDEX('Recurring Schedule'!$L$6:$L$45,R255)))</f>
        <v/>
      </c>
      <c r="O255" s="73">
        <f>IF(C255="","",IF(AND(OR(L255="1-Urgent",L255="2-High"),M255="✓"),"DO FIRST",IF(M255="✓","SCHEDULE",IF(OR(L255="1-Urgent",L255="2-High"),"DELEGATE","DELETE"))))</f>
        <v/>
      </c>
      <c r="P255" s="65" t="n"/>
      <c r="Q255">
        <f>IF(250&gt;Calc!$AQ$368,"",MATCH(249,Calc!$AQ$2:$AQ$367,1))</f>
        <v/>
      </c>
      <c r="R255">
        <f>IF(Q255="","",SMALL(INDEX(Calc!$B$2:$AO$367,Q255,0),250-INDEX(Calc!$AQ$2:$AQ$367,Q255)))</f>
        <v/>
      </c>
    </row>
    <row r="256">
      <c r="B256" s="64">
        <f>IF(R256="","",251)</f>
        <v/>
      </c>
      <c r="C256" s="37">
        <f>IF(R256="","",IF(INDEX('Recurring Schedule'!$C$6:$C$45,R256)="","",INDEX('Recurring Schedule'!$C$6:$C$45,R256)))</f>
        <v/>
      </c>
      <c r="D256" s="36">
        <f>IF(R256="","",IF(INDEX('Recurring Schedule'!$D$6:$D$45,R256)="","",INDEX('Recurring Schedule'!$D$6:$D$45,R256)))</f>
        <v/>
      </c>
      <c r="E256" s="38">
        <f>IF(Q256="","",INDEX(Calc!$A$2:$A$367,Q256))</f>
        <v/>
      </c>
      <c r="F256" s="68">
        <f>IF(OR(C256="",E256=""),"",E256-Setup!$D$7)</f>
        <v/>
      </c>
      <c r="G256" s="74">
        <f>IF(R256="","",IF(INDEX('Recurring Schedule'!$H$6:$H$45,R256)="","",INDEX('Recurring Schedule'!$H$6:$H$45,R256)))</f>
        <v/>
      </c>
      <c r="H256" s="74">
        <f>IF(R256="","",IF(INDEX('Recurring Schedule'!$I$6:$I$45,R256)="","",INDEX('Recurring Schedule'!$I$6:$I$45,R256)))</f>
        <v/>
      </c>
      <c r="I256" s="36">
        <f>IF(OR(G256="",H256=""),"",TRIM(IF(HOUR(H256-G256)&gt;0,HOUR(H256-G256)&amp;" hr ","")&amp;IF(MINUTE(H256-G256)&gt;0,MINUTE(H256-G256)&amp;" min","")))</f>
        <v/>
      </c>
      <c r="J256" s="66" t="n"/>
      <c r="K256" s="70" t="n"/>
      <c r="L256" s="36">
        <f>IF(R256="","",IF(INDEX('Recurring Schedule'!$J$6:$J$45,R256)="","",INDEX('Recurring Schedule'!$J$6:$J$45,R256)))</f>
        <v/>
      </c>
      <c r="M256" s="36">
        <f>IF(R256="","",IF(INDEX('Recurring Schedule'!$K$6:$K$45,R256)="","",INDEX('Recurring Schedule'!$K$6:$K$45,R256)))</f>
        <v/>
      </c>
      <c r="N256" s="36">
        <f>IF(R256="","",IF(INDEX('Recurring Schedule'!$L$6:$L$45,R256)="","",INDEX('Recurring Schedule'!$L$6:$L$45,R256)))</f>
        <v/>
      </c>
      <c r="O256" s="36">
        <f>IF(C256="","",IF(AND(OR(L256="1-Urgent",L256="2-High"),M256="✓"),"DO FIRST",IF(M256="✓","SCHEDULE",IF(OR(L256="1-Urgent",L256="2-High"),"DELEGATE","DELETE"))))</f>
        <v/>
      </c>
      <c r="P256" s="65" t="n"/>
      <c r="Q256">
        <f>IF(251&gt;Calc!$AQ$368,"",MATCH(250,Calc!$AQ$2:$AQ$367,1))</f>
        <v/>
      </c>
      <c r="R256">
        <f>IF(Q256="","",SMALL(INDEX(Calc!$B$2:$AO$367,Q256,0),251-INDEX(Calc!$AQ$2:$AQ$367,Q256)))</f>
        <v/>
      </c>
    </row>
    <row r="257">
      <c r="B257" s="71">
        <f>IF(R257="","",252)</f>
        <v/>
      </c>
      <c r="C257" s="75">
        <f>IF(R257="","",IF(INDEX('Recurring Schedule'!$C$6:$C$45,R257)="","",INDEX('Recurring Schedule'!$C$6:$C$45,R257)))</f>
        <v/>
      </c>
      <c r="D257" s="73">
        <f>IF(R257="","",IF(INDEX('Recurring Schedule'!$D$6:$D$45,R257)="","",INDEX('Recurring Schedule'!$D$6:$D$45,R257)))</f>
        <v/>
      </c>
      <c r="E257" s="76">
        <f>IF(Q257="","",INDEX(Calc!$A$2:$A$367,Q257))</f>
        <v/>
      </c>
      <c r="F257" s="72">
        <f>IF(OR(C257="",E257=""),"",E257-Setup!$D$7)</f>
        <v/>
      </c>
      <c r="G257" s="77">
        <f>IF(R257="","",IF(INDEX('Recurring Schedule'!$H$6:$H$45,R257)="","",INDEX('Recurring Schedule'!$H$6:$H$45,R257)))</f>
        <v/>
      </c>
      <c r="H257" s="77">
        <f>IF(R257="","",IF(INDEX('Recurring Schedule'!$I$6:$I$45,R257)="","",INDEX('Recurring Schedule'!$I$6:$I$45,R257)))</f>
        <v/>
      </c>
      <c r="I257" s="73">
        <f>IF(OR(G257="",H257=""),"",TRIM(IF(HOUR(H257-G257)&gt;0,HOUR(H257-G257)&amp;" hr ","")&amp;IF(MINUTE(H257-G257)&gt;0,MINUTE(H257-G257)&amp;" min","")))</f>
        <v/>
      </c>
      <c r="J257" s="66" t="n"/>
      <c r="K257" s="70" t="n"/>
      <c r="L257" s="73">
        <f>IF(R257="","",IF(INDEX('Recurring Schedule'!$J$6:$J$45,R257)="","",INDEX('Recurring Schedule'!$J$6:$J$45,R257)))</f>
        <v/>
      </c>
      <c r="M257" s="73">
        <f>IF(R257="","",IF(INDEX('Recurring Schedule'!$K$6:$K$45,R257)="","",INDEX('Recurring Schedule'!$K$6:$K$45,R257)))</f>
        <v/>
      </c>
      <c r="N257" s="73">
        <f>IF(R257="","",IF(INDEX('Recurring Schedule'!$L$6:$L$45,R257)="","",INDEX('Recurring Schedule'!$L$6:$L$45,R257)))</f>
        <v/>
      </c>
      <c r="O257" s="73">
        <f>IF(C257="","",IF(AND(OR(L257="1-Urgent",L257="2-High"),M257="✓"),"DO FIRST",IF(M257="✓","SCHEDULE",IF(OR(L257="1-Urgent",L257="2-High"),"DELEGATE","DELETE"))))</f>
        <v/>
      </c>
      <c r="P257" s="65" t="n"/>
      <c r="Q257">
        <f>IF(252&gt;Calc!$AQ$368,"",MATCH(251,Calc!$AQ$2:$AQ$367,1))</f>
        <v/>
      </c>
      <c r="R257">
        <f>IF(Q257="","",SMALL(INDEX(Calc!$B$2:$AO$367,Q257,0),252-INDEX(Calc!$AQ$2:$AQ$367,Q257)))</f>
        <v/>
      </c>
    </row>
    <row r="258">
      <c r="B258" s="64">
        <f>IF(R258="","",253)</f>
        <v/>
      </c>
      <c r="C258" s="37">
        <f>IF(R258="","",IF(INDEX('Recurring Schedule'!$C$6:$C$45,R258)="","",INDEX('Recurring Schedule'!$C$6:$C$45,R258)))</f>
        <v/>
      </c>
      <c r="D258" s="36">
        <f>IF(R258="","",IF(INDEX('Recurring Schedule'!$D$6:$D$45,R258)="","",INDEX('Recurring Schedule'!$D$6:$D$45,R258)))</f>
        <v/>
      </c>
      <c r="E258" s="38">
        <f>IF(Q258="","",INDEX(Calc!$A$2:$A$367,Q258))</f>
        <v/>
      </c>
      <c r="F258" s="68">
        <f>IF(OR(C258="",E258=""),"",E258-Setup!$D$7)</f>
        <v/>
      </c>
      <c r="G258" s="74">
        <f>IF(R258="","",IF(INDEX('Recurring Schedule'!$H$6:$H$45,R258)="","",INDEX('Recurring Schedule'!$H$6:$H$45,R258)))</f>
        <v/>
      </c>
      <c r="H258" s="74">
        <f>IF(R258="","",IF(INDEX('Recurring Schedule'!$I$6:$I$45,R258)="","",INDEX('Recurring Schedule'!$I$6:$I$45,R258)))</f>
        <v/>
      </c>
      <c r="I258" s="36">
        <f>IF(OR(G258="",H258=""),"",TRIM(IF(HOUR(H258-G258)&gt;0,HOUR(H258-G258)&amp;" hr ","")&amp;IF(MINUTE(H258-G258)&gt;0,MINUTE(H258-G258)&amp;" min","")))</f>
        <v/>
      </c>
      <c r="J258" s="66" t="n"/>
      <c r="K258" s="70" t="n"/>
      <c r="L258" s="36">
        <f>IF(R258="","",IF(INDEX('Recurring Schedule'!$J$6:$J$45,R258)="","",INDEX('Recurring Schedule'!$J$6:$J$45,R258)))</f>
        <v/>
      </c>
      <c r="M258" s="36">
        <f>IF(R258="","",IF(INDEX('Recurring Schedule'!$K$6:$K$45,R258)="","",INDEX('Recurring Schedule'!$K$6:$K$45,R258)))</f>
        <v/>
      </c>
      <c r="N258" s="36">
        <f>IF(R258="","",IF(INDEX('Recurring Schedule'!$L$6:$L$45,R258)="","",INDEX('Recurring Schedule'!$L$6:$L$45,R258)))</f>
        <v/>
      </c>
      <c r="O258" s="36">
        <f>IF(C258="","",IF(AND(OR(L258="1-Urgent",L258="2-High"),M258="✓"),"DO FIRST",IF(M258="✓","SCHEDULE",IF(OR(L258="1-Urgent",L258="2-High"),"DELEGATE","DELETE"))))</f>
        <v/>
      </c>
      <c r="P258" s="65" t="n"/>
      <c r="Q258">
        <f>IF(253&gt;Calc!$AQ$368,"",MATCH(252,Calc!$AQ$2:$AQ$367,1))</f>
        <v/>
      </c>
      <c r="R258">
        <f>IF(Q258="","",SMALL(INDEX(Calc!$B$2:$AO$367,Q258,0),253-INDEX(Calc!$AQ$2:$AQ$367,Q258)))</f>
        <v/>
      </c>
    </row>
    <row r="259">
      <c r="B259" s="71">
        <f>IF(R259="","",254)</f>
        <v/>
      </c>
      <c r="C259" s="75">
        <f>IF(R259="","",IF(INDEX('Recurring Schedule'!$C$6:$C$45,R259)="","",INDEX('Recurring Schedule'!$C$6:$C$45,R259)))</f>
        <v/>
      </c>
      <c r="D259" s="73">
        <f>IF(R259="","",IF(INDEX('Recurring Schedule'!$D$6:$D$45,R259)="","",INDEX('Recurring Schedule'!$D$6:$D$45,R259)))</f>
        <v/>
      </c>
      <c r="E259" s="76">
        <f>IF(Q259="","",INDEX(Calc!$A$2:$A$367,Q259))</f>
        <v/>
      </c>
      <c r="F259" s="72">
        <f>IF(OR(C259="",E259=""),"",E259-Setup!$D$7)</f>
        <v/>
      </c>
      <c r="G259" s="77">
        <f>IF(R259="","",IF(INDEX('Recurring Schedule'!$H$6:$H$45,R259)="","",INDEX('Recurring Schedule'!$H$6:$H$45,R259)))</f>
        <v/>
      </c>
      <c r="H259" s="77">
        <f>IF(R259="","",IF(INDEX('Recurring Schedule'!$I$6:$I$45,R259)="","",INDEX('Recurring Schedule'!$I$6:$I$45,R259)))</f>
        <v/>
      </c>
      <c r="I259" s="73">
        <f>IF(OR(G259="",H259=""),"",TRIM(IF(HOUR(H259-G259)&gt;0,HOUR(H259-G259)&amp;" hr ","")&amp;IF(MINUTE(H259-G259)&gt;0,MINUTE(H259-G259)&amp;" min","")))</f>
        <v/>
      </c>
      <c r="J259" s="66" t="n"/>
      <c r="K259" s="70" t="n"/>
      <c r="L259" s="73">
        <f>IF(R259="","",IF(INDEX('Recurring Schedule'!$J$6:$J$45,R259)="","",INDEX('Recurring Schedule'!$J$6:$J$45,R259)))</f>
        <v/>
      </c>
      <c r="M259" s="73">
        <f>IF(R259="","",IF(INDEX('Recurring Schedule'!$K$6:$K$45,R259)="","",INDEX('Recurring Schedule'!$K$6:$K$45,R259)))</f>
        <v/>
      </c>
      <c r="N259" s="73">
        <f>IF(R259="","",IF(INDEX('Recurring Schedule'!$L$6:$L$45,R259)="","",INDEX('Recurring Schedule'!$L$6:$L$45,R259)))</f>
        <v/>
      </c>
      <c r="O259" s="73">
        <f>IF(C259="","",IF(AND(OR(L259="1-Urgent",L259="2-High"),M259="✓"),"DO FIRST",IF(M259="✓","SCHEDULE",IF(OR(L259="1-Urgent",L259="2-High"),"DELEGATE","DELETE"))))</f>
        <v/>
      </c>
      <c r="P259" s="65" t="n"/>
      <c r="Q259">
        <f>IF(254&gt;Calc!$AQ$368,"",MATCH(253,Calc!$AQ$2:$AQ$367,1))</f>
        <v/>
      </c>
      <c r="R259">
        <f>IF(Q259="","",SMALL(INDEX(Calc!$B$2:$AO$367,Q259,0),254-INDEX(Calc!$AQ$2:$AQ$367,Q259)))</f>
        <v/>
      </c>
    </row>
    <row r="260">
      <c r="B260" s="64">
        <f>IF(R260="","",255)</f>
        <v/>
      </c>
      <c r="C260" s="37">
        <f>IF(R260="","",IF(INDEX('Recurring Schedule'!$C$6:$C$45,R260)="","",INDEX('Recurring Schedule'!$C$6:$C$45,R260)))</f>
        <v/>
      </c>
      <c r="D260" s="36">
        <f>IF(R260="","",IF(INDEX('Recurring Schedule'!$D$6:$D$45,R260)="","",INDEX('Recurring Schedule'!$D$6:$D$45,R260)))</f>
        <v/>
      </c>
      <c r="E260" s="38">
        <f>IF(Q260="","",INDEX(Calc!$A$2:$A$367,Q260))</f>
        <v/>
      </c>
      <c r="F260" s="68">
        <f>IF(OR(C260="",E260=""),"",E260-Setup!$D$7)</f>
        <v/>
      </c>
      <c r="G260" s="74">
        <f>IF(R260="","",IF(INDEX('Recurring Schedule'!$H$6:$H$45,R260)="","",INDEX('Recurring Schedule'!$H$6:$H$45,R260)))</f>
        <v/>
      </c>
      <c r="H260" s="74">
        <f>IF(R260="","",IF(INDEX('Recurring Schedule'!$I$6:$I$45,R260)="","",INDEX('Recurring Schedule'!$I$6:$I$45,R260)))</f>
        <v/>
      </c>
      <c r="I260" s="36">
        <f>IF(OR(G260="",H260=""),"",TRIM(IF(HOUR(H260-G260)&gt;0,HOUR(H260-G260)&amp;" hr ","")&amp;IF(MINUTE(H260-G260)&gt;0,MINUTE(H260-G260)&amp;" min","")))</f>
        <v/>
      </c>
      <c r="J260" s="66" t="n"/>
      <c r="K260" s="70" t="n"/>
      <c r="L260" s="36">
        <f>IF(R260="","",IF(INDEX('Recurring Schedule'!$J$6:$J$45,R260)="","",INDEX('Recurring Schedule'!$J$6:$J$45,R260)))</f>
        <v/>
      </c>
      <c r="M260" s="36">
        <f>IF(R260="","",IF(INDEX('Recurring Schedule'!$K$6:$K$45,R260)="","",INDEX('Recurring Schedule'!$K$6:$K$45,R260)))</f>
        <v/>
      </c>
      <c r="N260" s="36">
        <f>IF(R260="","",IF(INDEX('Recurring Schedule'!$L$6:$L$45,R260)="","",INDEX('Recurring Schedule'!$L$6:$L$45,R260)))</f>
        <v/>
      </c>
      <c r="O260" s="36">
        <f>IF(C260="","",IF(AND(OR(L260="1-Urgent",L260="2-High"),M260="✓"),"DO FIRST",IF(M260="✓","SCHEDULE",IF(OR(L260="1-Urgent",L260="2-High"),"DELEGATE","DELETE"))))</f>
        <v/>
      </c>
      <c r="P260" s="65" t="n"/>
      <c r="Q260">
        <f>IF(255&gt;Calc!$AQ$368,"",MATCH(254,Calc!$AQ$2:$AQ$367,1))</f>
        <v/>
      </c>
      <c r="R260">
        <f>IF(Q260="","",SMALL(INDEX(Calc!$B$2:$AO$367,Q260,0),255-INDEX(Calc!$AQ$2:$AQ$367,Q260)))</f>
        <v/>
      </c>
    </row>
    <row r="261">
      <c r="B261" s="71">
        <f>IF(R261="","",256)</f>
        <v/>
      </c>
      <c r="C261" s="75">
        <f>IF(R261="","",IF(INDEX('Recurring Schedule'!$C$6:$C$45,R261)="","",INDEX('Recurring Schedule'!$C$6:$C$45,R261)))</f>
        <v/>
      </c>
      <c r="D261" s="73">
        <f>IF(R261="","",IF(INDEX('Recurring Schedule'!$D$6:$D$45,R261)="","",INDEX('Recurring Schedule'!$D$6:$D$45,R261)))</f>
        <v/>
      </c>
      <c r="E261" s="76">
        <f>IF(Q261="","",INDEX(Calc!$A$2:$A$367,Q261))</f>
        <v/>
      </c>
      <c r="F261" s="72">
        <f>IF(OR(C261="",E261=""),"",E261-Setup!$D$7)</f>
        <v/>
      </c>
      <c r="G261" s="77">
        <f>IF(R261="","",IF(INDEX('Recurring Schedule'!$H$6:$H$45,R261)="","",INDEX('Recurring Schedule'!$H$6:$H$45,R261)))</f>
        <v/>
      </c>
      <c r="H261" s="77">
        <f>IF(R261="","",IF(INDEX('Recurring Schedule'!$I$6:$I$45,R261)="","",INDEX('Recurring Schedule'!$I$6:$I$45,R261)))</f>
        <v/>
      </c>
      <c r="I261" s="73">
        <f>IF(OR(G261="",H261=""),"",TRIM(IF(HOUR(H261-G261)&gt;0,HOUR(H261-G261)&amp;" hr ","")&amp;IF(MINUTE(H261-G261)&gt;0,MINUTE(H261-G261)&amp;" min","")))</f>
        <v/>
      </c>
      <c r="J261" s="66" t="n"/>
      <c r="K261" s="70" t="n"/>
      <c r="L261" s="73">
        <f>IF(R261="","",IF(INDEX('Recurring Schedule'!$J$6:$J$45,R261)="","",INDEX('Recurring Schedule'!$J$6:$J$45,R261)))</f>
        <v/>
      </c>
      <c r="M261" s="73">
        <f>IF(R261="","",IF(INDEX('Recurring Schedule'!$K$6:$K$45,R261)="","",INDEX('Recurring Schedule'!$K$6:$K$45,R261)))</f>
        <v/>
      </c>
      <c r="N261" s="73">
        <f>IF(R261="","",IF(INDEX('Recurring Schedule'!$L$6:$L$45,R261)="","",INDEX('Recurring Schedule'!$L$6:$L$45,R261)))</f>
        <v/>
      </c>
      <c r="O261" s="73">
        <f>IF(C261="","",IF(AND(OR(L261="1-Urgent",L261="2-High"),M261="✓"),"DO FIRST",IF(M261="✓","SCHEDULE",IF(OR(L261="1-Urgent",L261="2-High"),"DELEGATE","DELETE"))))</f>
        <v/>
      </c>
      <c r="P261" s="65" t="n"/>
      <c r="Q261">
        <f>IF(256&gt;Calc!$AQ$368,"",MATCH(255,Calc!$AQ$2:$AQ$367,1))</f>
        <v/>
      </c>
      <c r="R261">
        <f>IF(Q261="","",SMALL(INDEX(Calc!$B$2:$AO$367,Q261,0),256-INDEX(Calc!$AQ$2:$AQ$367,Q261)))</f>
        <v/>
      </c>
    </row>
    <row r="262">
      <c r="B262" s="64">
        <f>IF(R262="","",257)</f>
        <v/>
      </c>
      <c r="C262" s="37">
        <f>IF(R262="","",IF(INDEX('Recurring Schedule'!$C$6:$C$45,R262)="","",INDEX('Recurring Schedule'!$C$6:$C$45,R262)))</f>
        <v/>
      </c>
      <c r="D262" s="36">
        <f>IF(R262="","",IF(INDEX('Recurring Schedule'!$D$6:$D$45,R262)="","",INDEX('Recurring Schedule'!$D$6:$D$45,R262)))</f>
        <v/>
      </c>
      <c r="E262" s="38">
        <f>IF(Q262="","",INDEX(Calc!$A$2:$A$367,Q262))</f>
        <v/>
      </c>
      <c r="F262" s="68">
        <f>IF(OR(C262="",E262=""),"",E262-Setup!$D$7)</f>
        <v/>
      </c>
      <c r="G262" s="74">
        <f>IF(R262="","",IF(INDEX('Recurring Schedule'!$H$6:$H$45,R262)="","",INDEX('Recurring Schedule'!$H$6:$H$45,R262)))</f>
        <v/>
      </c>
      <c r="H262" s="74">
        <f>IF(R262="","",IF(INDEX('Recurring Schedule'!$I$6:$I$45,R262)="","",INDEX('Recurring Schedule'!$I$6:$I$45,R262)))</f>
        <v/>
      </c>
      <c r="I262" s="36">
        <f>IF(OR(G262="",H262=""),"",TRIM(IF(HOUR(H262-G262)&gt;0,HOUR(H262-G262)&amp;" hr ","")&amp;IF(MINUTE(H262-G262)&gt;0,MINUTE(H262-G262)&amp;" min","")))</f>
        <v/>
      </c>
      <c r="J262" s="66" t="n"/>
      <c r="K262" s="70" t="n"/>
      <c r="L262" s="36">
        <f>IF(R262="","",IF(INDEX('Recurring Schedule'!$J$6:$J$45,R262)="","",INDEX('Recurring Schedule'!$J$6:$J$45,R262)))</f>
        <v/>
      </c>
      <c r="M262" s="36">
        <f>IF(R262="","",IF(INDEX('Recurring Schedule'!$K$6:$K$45,R262)="","",INDEX('Recurring Schedule'!$K$6:$K$45,R262)))</f>
        <v/>
      </c>
      <c r="N262" s="36">
        <f>IF(R262="","",IF(INDEX('Recurring Schedule'!$L$6:$L$45,R262)="","",INDEX('Recurring Schedule'!$L$6:$L$45,R262)))</f>
        <v/>
      </c>
      <c r="O262" s="36">
        <f>IF(C262="","",IF(AND(OR(L262="1-Urgent",L262="2-High"),M262="✓"),"DO FIRST",IF(M262="✓","SCHEDULE",IF(OR(L262="1-Urgent",L262="2-High"),"DELEGATE","DELETE"))))</f>
        <v/>
      </c>
      <c r="P262" s="65" t="n"/>
      <c r="Q262">
        <f>IF(257&gt;Calc!$AQ$368,"",MATCH(256,Calc!$AQ$2:$AQ$367,1))</f>
        <v/>
      </c>
      <c r="R262">
        <f>IF(Q262="","",SMALL(INDEX(Calc!$B$2:$AO$367,Q262,0),257-INDEX(Calc!$AQ$2:$AQ$367,Q262)))</f>
        <v/>
      </c>
    </row>
    <row r="263">
      <c r="B263" s="71">
        <f>IF(R263="","",258)</f>
        <v/>
      </c>
      <c r="C263" s="75">
        <f>IF(R263="","",IF(INDEX('Recurring Schedule'!$C$6:$C$45,R263)="","",INDEX('Recurring Schedule'!$C$6:$C$45,R263)))</f>
        <v/>
      </c>
      <c r="D263" s="73">
        <f>IF(R263="","",IF(INDEX('Recurring Schedule'!$D$6:$D$45,R263)="","",INDEX('Recurring Schedule'!$D$6:$D$45,R263)))</f>
        <v/>
      </c>
      <c r="E263" s="76">
        <f>IF(Q263="","",INDEX(Calc!$A$2:$A$367,Q263))</f>
        <v/>
      </c>
      <c r="F263" s="72">
        <f>IF(OR(C263="",E263=""),"",E263-Setup!$D$7)</f>
        <v/>
      </c>
      <c r="G263" s="77">
        <f>IF(R263="","",IF(INDEX('Recurring Schedule'!$H$6:$H$45,R263)="","",INDEX('Recurring Schedule'!$H$6:$H$45,R263)))</f>
        <v/>
      </c>
      <c r="H263" s="77">
        <f>IF(R263="","",IF(INDEX('Recurring Schedule'!$I$6:$I$45,R263)="","",INDEX('Recurring Schedule'!$I$6:$I$45,R263)))</f>
        <v/>
      </c>
      <c r="I263" s="73">
        <f>IF(OR(G263="",H263=""),"",TRIM(IF(HOUR(H263-G263)&gt;0,HOUR(H263-G263)&amp;" hr ","")&amp;IF(MINUTE(H263-G263)&gt;0,MINUTE(H263-G263)&amp;" min","")))</f>
        <v/>
      </c>
      <c r="J263" s="66" t="n"/>
      <c r="K263" s="70" t="n"/>
      <c r="L263" s="73">
        <f>IF(R263="","",IF(INDEX('Recurring Schedule'!$J$6:$J$45,R263)="","",INDEX('Recurring Schedule'!$J$6:$J$45,R263)))</f>
        <v/>
      </c>
      <c r="M263" s="73">
        <f>IF(R263="","",IF(INDEX('Recurring Schedule'!$K$6:$K$45,R263)="","",INDEX('Recurring Schedule'!$K$6:$K$45,R263)))</f>
        <v/>
      </c>
      <c r="N263" s="73">
        <f>IF(R263="","",IF(INDEX('Recurring Schedule'!$L$6:$L$45,R263)="","",INDEX('Recurring Schedule'!$L$6:$L$45,R263)))</f>
        <v/>
      </c>
      <c r="O263" s="73">
        <f>IF(C263="","",IF(AND(OR(L263="1-Urgent",L263="2-High"),M263="✓"),"DO FIRST",IF(M263="✓","SCHEDULE",IF(OR(L263="1-Urgent",L263="2-High"),"DELEGATE","DELETE"))))</f>
        <v/>
      </c>
      <c r="P263" s="65" t="n"/>
      <c r="Q263">
        <f>IF(258&gt;Calc!$AQ$368,"",MATCH(257,Calc!$AQ$2:$AQ$367,1))</f>
        <v/>
      </c>
      <c r="R263">
        <f>IF(Q263="","",SMALL(INDEX(Calc!$B$2:$AO$367,Q263,0),258-INDEX(Calc!$AQ$2:$AQ$367,Q263)))</f>
        <v/>
      </c>
    </row>
    <row r="264">
      <c r="B264" s="64">
        <f>IF(R264="","",259)</f>
        <v/>
      </c>
      <c r="C264" s="37">
        <f>IF(R264="","",IF(INDEX('Recurring Schedule'!$C$6:$C$45,R264)="","",INDEX('Recurring Schedule'!$C$6:$C$45,R264)))</f>
        <v/>
      </c>
      <c r="D264" s="36">
        <f>IF(R264="","",IF(INDEX('Recurring Schedule'!$D$6:$D$45,R264)="","",INDEX('Recurring Schedule'!$D$6:$D$45,R264)))</f>
        <v/>
      </c>
      <c r="E264" s="38">
        <f>IF(Q264="","",INDEX(Calc!$A$2:$A$367,Q264))</f>
        <v/>
      </c>
      <c r="F264" s="68">
        <f>IF(OR(C264="",E264=""),"",E264-Setup!$D$7)</f>
        <v/>
      </c>
      <c r="G264" s="74">
        <f>IF(R264="","",IF(INDEX('Recurring Schedule'!$H$6:$H$45,R264)="","",INDEX('Recurring Schedule'!$H$6:$H$45,R264)))</f>
        <v/>
      </c>
      <c r="H264" s="74">
        <f>IF(R264="","",IF(INDEX('Recurring Schedule'!$I$6:$I$45,R264)="","",INDEX('Recurring Schedule'!$I$6:$I$45,R264)))</f>
        <v/>
      </c>
      <c r="I264" s="36">
        <f>IF(OR(G264="",H264=""),"",TRIM(IF(HOUR(H264-G264)&gt;0,HOUR(H264-G264)&amp;" hr ","")&amp;IF(MINUTE(H264-G264)&gt;0,MINUTE(H264-G264)&amp;" min","")))</f>
        <v/>
      </c>
      <c r="J264" s="66" t="n"/>
      <c r="K264" s="70" t="n"/>
      <c r="L264" s="36">
        <f>IF(R264="","",IF(INDEX('Recurring Schedule'!$J$6:$J$45,R264)="","",INDEX('Recurring Schedule'!$J$6:$J$45,R264)))</f>
        <v/>
      </c>
      <c r="M264" s="36">
        <f>IF(R264="","",IF(INDEX('Recurring Schedule'!$K$6:$K$45,R264)="","",INDEX('Recurring Schedule'!$K$6:$K$45,R264)))</f>
        <v/>
      </c>
      <c r="N264" s="36">
        <f>IF(R264="","",IF(INDEX('Recurring Schedule'!$L$6:$L$45,R264)="","",INDEX('Recurring Schedule'!$L$6:$L$45,R264)))</f>
        <v/>
      </c>
      <c r="O264" s="36">
        <f>IF(C264="","",IF(AND(OR(L264="1-Urgent",L264="2-High"),M264="✓"),"DO FIRST",IF(M264="✓","SCHEDULE",IF(OR(L264="1-Urgent",L264="2-High"),"DELEGATE","DELETE"))))</f>
        <v/>
      </c>
      <c r="P264" s="65" t="n"/>
      <c r="Q264">
        <f>IF(259&gt;Calc!$AQ$368,"",MATCH(258,Calc!$AQ$2:$AQ$367,1))</f>
        <v/>
      </c>
      <c r="R264">
        <f>IF(Q264="","",SMALL(INDEX(Calc!$B$2:$AO$367,Q264,0),259-INDEX(Calc!$AQ$2:$AQ$367,Q264)))</f>
        <v/>
      </c>
    </row>
    <row r="265">
      <c r="B265" s="71">
        <f>IF(R265="","",260)</f>
        <v/>
      </c>
      <c r="C265" s="75">
        <f>IF(R265="","",IF(INDEX('Recurring Schedule'!$C$6:$C$45,R265)="","",INDEX('Recurring Schedule'!$C$6:$C$45,R265)))</f>
        <v/>
      </c>
      <c r="D265" s="73">
        <f>IF(R265="","",IF(INDEX('Recurring Schedule'!$D$6:$D$45,R265)="","",INDEX('Recurring Schedule'!$D$6:$D$45,R265)))</f>
        <v/>
      </c>
      <c r="E265" s="76">
        <f>IF(Q265="","",INDEX(Calc!$A$2:$A$367,Q265))</f>
        <v/>
      </c>
      <c r="F265" s="72">
        <f>IF(OR(C265="",E265=""),"",E265-Setup!$D$7)</f>
        <v/>
      </c>
      <c r="G265" s="77">
        <f>IF(R265="","",IF(INDEX('Recurring Schedule'!$H$6:$H$45,R265)="","",INDEX('Recurring Schedule'!$H$6:$H$45,R265)))</f>
        <v/>
      </c>
      <c r="H265" s="77">
        <f>IF(R265="","",IF(INDEX('Recurring Schedule'!$I$6:$I$45,R265)="","",INDEX('Recurring Schedule'!$I$6:$I$45,R265)))</f>
        <v/>
      </c>
      <c r="I265" s="73">
        <f>IF(OR(G265="",H265=""),"",TRIM(IF(HOUR(H265-G265)&gt;0,HOUR(H265-G265)&amp;" hr ","")&amp;IF(MINUTE(H265-G265)&gt;0,MINUTE(H265-G265)&amp;" min","")))</f>
        <v/>
      </c>
      <c r="J265" s="66" t="n"/>
      <c r="K265" s="70" t="n"/>
      <c r="L265" s="73">
        <f>IF(R265="","",IF(INDEX('Recurring Schedule'!$J$6:$J$45,R265)="","",INDEX('Recurring Schedule'!$J$6:$J$45,R265)))</f>
        <v/>
      </c>
      <c r="M265" s="73">
        <f>IF(R265="","",IF(INDEX('Recurring Schedule'!$K$6:$K$45,R265)="","",INDEX('Recurring Schedule'!$K$6:$K$45,R265)))</f>
        <v/>
      </c>
      <c r="N265" s="73">
        <f>IF(R265="","",IF(INDEX('Recurring Schedule'!$L$6:$L$45,R265)="","",INDEX('Recurring Schedule'!$L$6:$L$45,R265)))</f>
        <v/>
      </c>
      <c r="O265" s="73">
        <f>IF(C265="","",IF(AND(OR(L265="1-Urgent",L265="2-High"),M265="✓"),"DO FIRST",IF(M265="✓","SCHEDULE",IF(OR(L265="1-Urgent",L265="2-High"),"DELEGATE","DELETE"))))</f>
        <v/>
      </c>
      <c r="P265" s="65" t="n"/>
      <c r="Q265">
        <f>IF(260&gt;Calc!$AQ$368,"",MATCH(259,Calc!$AQ$2:$AQ$367,1))</f>
        <v/>
      </c>
      <c r="R265">
        <f>IF(Q265="","",SMALL(INDEX(Calc!$B$2:$AO$367,Q265,0),260-INDEX(Calc!$AQ$2:$AQ$367,Q265)))</f>
        <v/>
      </c>
    </row>
    <row r="266">
      <c r="B266" s="64">
        <f>IF(R266="","",261)</f>
        <v/>
      </c>
      <c r="C266" s="37">
        <f>IF(R266="","",IF(INDEX('Recurring Schedule'!$C$6:$C$45,R266)="","",INDEX('Recurring Schedule'!$C$6:$C$45,R266)))</f>
        <v/>
      </c>
      <c r="D266" s="36">
        <f>IF(R266="","",IF(INDEX('Recurring Schedule'!$D$6:$D$45,R266)="","",INDEX('Recurring Schedule'!$D$6:$D$45,R266)))</f>
        <v/>
      </c>
      <c r="E266" s="38">
        <f>IF(Q266="","",INDEX(Calc!$A$2:$A$367,Q266))</f>
        <v/>
      </c>
      <c r="F266" s="68">
        <f>IF(OR(C266="",E266=""),"",E266-Setup!$D$7)</f>
        <v/>
      </c>
      <c r="G266" s="74">
        <f>IF(R266="","",IF(INDEX('Recurring Schedule'!$H$6:$H$45,R266)="","",INDEX('Recurring Schedule'!$H$6:$H$45,R266)))</f>
        <v/>
      </c>
      <c r="H266" s="74">
        <f>IF(R266="","",IF(INDEX('Recurring Schedule'!$I$6:$I$45,R266)="","",INDEX('Recurring Schedule'!$I$6:$I$45,R266)))</f>
        <v/>
      </c>
      <c r="I266" s="36">
        <f>IF(OR(G266="",H266=""),"",TRIM(IF(HOUR(H266-G266)&gt;0,HOUR(H266-G266)&amp;" hr ","")&amp;IF(MINUTE(H266-G266)&gt;0,MINUTE(H266-G266)&amp;" min","")))</f>
        <v/>
      </c>
      <c r="J266" s="66" t="n"/>
      <c r="K266" s="70" t="n"/>
      <c r="L266" s="36">
        <f>IF(R266="","",IF(INDEX('Recurring Schedule'!$J$6:$J$45,R266)="","",INDEX('Recurring Schedule'!$J$6:$J$45,R266)))</f>
        <v/>
      </c>
      <c r="M266" s="36">
        <f>IF(R266="","",IF(INDEX('Recurring Schedule'!$K$6:$K$45,R266)="","",INDEX('Recurring Schedule'!$K$6:$K$45,R266)))</f>
        <v/>
      </c>
      <c r="N266" s="36">
        <f>IF(R266="","",IF(INDEX('Recurring Schedule'!$L$6:$L$45,R266)="","",INDEX('Recurring Schedule'!$L$6:$L$45,R266)))</f>
        <v/>
      </c>
      <c r="O266" s="36">
        <f>IF(C266="","",IF(AND(OR(L266="1-Urgent",L266="2-High"),M266="✓"),"DO FIRST",IF(M266="✓","SCHEDULE",IF(OR(L266="1-Urgent",L266="2-High"),"DELEGATE","DELETE"))))</f>
        <v/>
      </c>
      <c r="P266" s="65" t="n"/>
      <c r="Q266">
        <f>IF(261&gt;Calc!$AQ$368,"",MATCH(260,Calc!$AQ$2:$AQ$367,1))</f>
        <v/>
      </c>
      <c r="R266">
        <f>IF(Q266="","",SMALL(INDEX(Calc!$B$2:$AO$367,Q266,0),261-INDEX(Calc!$AQ$2:$AQ$367,Q266)))</f>
        <v/>
      </c>
    </row>
    <row r="267">
      <c r="B267" s="71">
        <f>IF(R267="","",262)</f>
        <v/>
      </c>
      <c r="C267" s="75">
        <f>IF(R267="","",IF(INDEX('Recurring Schedule'!$C$6:$C$45,R267)="","",INDEX('Recurring Schedule'!$C$6:$C$45,R267)))</f>
        <v/>
      </c>
      <c r="D267" s="73">
        <f>IF(R267="","",IF(INDEX('Recurring Schedule'!$D$6:$D$45,R267)="","",INDEX('Recurring Schedule'!$D$6:$D$45,R267)))</f>
        <v/>
      </c>
      <c r="E267" s="76">
        <f>IF(Q267="","",INDEX(Calc!$A$2:$A$367,Q267))</f>
        <v/>
      </c>
      <c r="F267" s="72">
        <f>IF(OR(C267="",E267=""),"",E267-Setup!$D$7)</f>
        <v/>
      </c>
      <c r="G267" s="77">
        <f>IF(R267="","",IF(INDEX('Recurring Schedule'!$H$6:$H$45,R267)="","",INDEX('Recurring Schedule'!$H$6:$H$45,R267)))</f>
        <v/>
      </c>
      <c r="H267" s="77">
        <f>IF(R267="","",IF(INDEX('Recurring Schedule'!$I$6:$I$45,R267)="","",INDEX('Recurring Schedule'!$I$6:$I$45,R267)))</f>
        <v/>
      </c>
      <c r="I267" s="73">
        <f>IF(OR(G267="",H267=""),"",TRIM(IF(HOUR(H267-G267)&gt;0,HOUR(H267-G267)&amp;" hr ","")&amp;IF(MINUTE(H267-G267)&gt;0,MINUTE(H267-G267)&amp;" min","")))</f>
        <v/>
      </c>
      <c r="J267" s="66" t="n"/>
      <c r="K267" s="70" t="n"/>
      <c r="L267" s="73">
        <f>IF(R267="","",IF(INDEX('Recurring Schedule'!$J$6:$J$45,R267)="","",INDEX('Recurring Schedule'!$J$6:$J$45,R267)))</f>
        <v/>
      </c>
      <c r="M267" s="73">
        <f>IF(R267="","",IF(INDEX('Recurring Schedule'!$K$6:$K$45,R267)="","",INDEX('Recurring Schedule'!$K$6:$K$45,R267)))</f>
        <v/>
      </c>
      <c r="N267" s="73">
        <f>IF(R267="","",IF(INDEX('Recurring Schedule'!$L$6:$L$45,R267)="","",INDEX('Recurring Schedule'!$L$6:$L$45,R267)))</f>
        <v/>
      </c>
      <c r="O267" s="73">
        <f>IF(C267="","",IF(AND(OR(L267="1-Urgent",L267="2-High"),M267="✓"),"DO FIRST",IF(M267="✓","SCHEDULE",IF(OR(L267="1-Urgent",L267="2-High"),"DELEGATE","DELETE"))))</f>
        <v/>
      </c>
      <c r="P267" s="65" t="n"/>
      <c r="Q267">
        <f>IF(262&gt;Calc!$AQ$368,"",MATCH(261,Calc!$AQ$2:$AQ$367,1))</f>
        <v/>
      </c>
      <c r="R267">
        <f>IF(Q267="","",SMALL(INDEX(Calc!$B$2:$AO$367,Q267,0),262-INDEX(Calc!$AQ$2:$AQ$367,Q267)))</f>
        <v/>
      </c>
    </row>
    <row r="268">
      <c r="B268" s="64">
        <f>IF(R268="","",263)</f>
        <v/>
      </c>
      <c r="C268" s="37">
        <f>IF(R268="","",IF(INDEX('Recurring Schedule'!$C$6:$C$45,R268)="","",INDEX('Recurring Schedule'!$C$6:$C$45,R268)))</f>
        <v/>
      </c>
      <c r="D268" s="36">
        <f>IF(R268="","",IF(INDEX('Recurring Schedule'!$D$6:$D$45,R268)="","",INDEX('Recurring Schedule'!$D$6:$D$45,R268)))</f>
        <v/>
      </c>
      <c r="E268" s="38">
        <f>IF(Q268="","",INDEX(Calc!$A$2:$A$367,Q268))</f>
        <v/>
      </c>
      <c r="F268" s="68">
        <f>IF(OR(C268="",E268=""),"",E268-Setup!$D$7)</f>
        <v/>
      </c>
      <c r="G268" s="74">
        <f>IF(R268="","",IF(INDEX('Recurring Schedule'!$H$6:$H$45,R268)="","",INDEX('Recurring Schedule'!$H$6:$H$45,R268)))</f>
        <v/>
      </c>
      <c r="H268" s="74">
        <f>IF(R268="","",IF(INDEX('Recurring Schedule'!$I$6:$I$45,R268)="","",INDEX('Recurring Schedule'!$I$6:$I$45,R268)))</f>
        <v/>
      </c>
      <c r="I268" s="36">
        <f>IF(OR(G268="",H268=""),"",TRIM(IF(HOUR(H268-G268)&gt;0,HOUR(H268-G268)&amp;" hr ","")&amp;IF(MINUTE(H268-G268)&gt;0,MINUTE(H268-G268)&amp;" min","")))</f>
        <v/>
      </c>
      <c r="J268" s="66" t="n"/>
      <c r="K268" s="70" t="n"/>
      <c r="L268" s="36">
        <f>IF(R268="","",IF(INDEX('Recurring Schedule'!$J$6:$J$45,R268)="","",INDEX('Recurring Schedule'!$J$6:$J$45,R268)))</f>
        <v/>
      </c>
      <c r="M268" s="36">
        <f>IF(R268="","",IF(INDEX('Recurring Schedule'!$K$6:$K$45,R268)="","",INDEX('Recurring Schedule'!$K$6:$K$45,R268)))</f>
        <v/>
      </c>
      <c r="N268" s="36">
        <f>IF(R268="","",IF(INDEX('Recurring Schedule'!$L$6:$L$45,R268)="","",INDEX('Recurring Schedule'!$L$6:$L$45,R268)))</f>
        <v/>
      </c>
      <c r="O268" s="36">
        <f>IF(C268="","",IF(AND(OR(L268="1-Urgent",L268="2-High"),M268="✓"),"DO FIRST",IF(M268="✓","SCHEDULE",IF(OR(L268="1-Urgent",L268="2-High"),"DELEGATE","DELETE"))))</f>
        <v/>
      </c>
      <c r="P268" s="65" t="n"/>
      <c r="Q268">
        <f>IF(263&gt;Calc!$AQ$368,"",MATCH(262,Calc!$AQ$2:$AQ$367,1))</f>
        <v/>
      </c>
      <c r="R268">
        <f>IF(Q268="","",SMALL(INDEX(Calc!$B$2:$AO$367,Q268,0),263-INDEX(Calc!$AQ$2:$AQ$367,Q268)))</f>
        <v/>
      </c>
    </row>
    <row r="269">
      <c r="B269" s="71">
        <f>IF(R269="","",264)</f>
        <v/>
      </c>
      <c r="C269" s="75">
        <f>IF(R269="","",IF(INDEX('Recurring Schedule'!$C$6:$C$45,R269)="","",INDEX('Recurring Schedule'!$C$6:$C$45,R269)))</f>
        <v/>
      </c>
      <c r="D269" s="73">
        <f>IF(R269="","",IF(INDEX('Recurring Schedule'!$D$6:$D$45,R269)="","",INDEX('Recurring Schedule'!$D$6:$D$45,R269)))</f>
        <v/>
      </c>
      <c r="E269" s="76">
        <f>IF(Q269="","",INDEX(Calc!$A$2:$A$367,Q269))</f>
        <v/>
      </c>
      <c r="F269" s="72">
        <f>IF(OR(C269="",E269=""),"",E269-Setup!$D$7)</f>
        <v/>
      </c>
      <c r="G269" s="77">
        <f>IF(R269="","",IF(INDEX('Recurring Schedule'!$H$6:$H$45,R269)="","",INDEX('Recurring Schedule'!$H$6:$H$45,R269)))</f>
        <v/>
      </c>
      <c r="H269" s="77">
        <f>IF(R269="","",IF(INDEX('Recurring Schedule'!$I$6:$I$45,R269)="","",INDEX('Recurring Schedule'!$I$6:$I$45,R269)))</f>
        <v/>
      </c>
      <c r="I269" s="73">
        <f>IF(OR(G269="",H269=""),"",TRIM(IF(HOUR(H269-G269)&gt;0,HOUR(H269-G269)&amp;" hr ","")&amp;IF(MINUTE(H269-G269)&gt;0,MINUTE(H269-G269)&amp;" min","")))</f>
        <v/>
      </c>
      <c r="J269" s="66" t="n"/>
      <c r="K269" s="70" t="n"/>
      <c r="L269" s="73">
        <f>IF(R269="","",IF(INDEX('Recurring Schedule'!$J$6:$J$45,R269)="","",INDEX('Recurring Schedule'!$J$6:$J$45,R269)))</f>
        <v/>
      </c>
      <c r="M269" s="73">
        <f>IF(R269="","",IF(INDEX('Recurring Schedule'!$K$6:$K$45,R269)="","",INDEX('Recurring Schedule'!$K$6:$K$45,R269)))</f>
        <v/>
      </c>
      <c r="N269" s="73">
        <f>IF(R269="","",IF(INDEX('Recurring Schedule'!$L$6:$L$45,R269)="","",INDEX('Recurring Schedule'!$L$6:$L$45,R269)))</f>
        <v/>
      </c>
      <c r="O269" s="73">
        <f>IF(C269="","",IF(AND(OR(L269="1-Urgent",L269="2-High"),M269="✓"),"DO FIRST",IF(M269="✓","SCHEDULE",IF(OR(L269="1-Urgent",L269="2-High"),"DELEGATE","DELETE"))))</f>
        <v/>
      </c>
      <c r="P269" s="65" t="n"/>
      <c r="Q269">
        <f>IF(264&gt;Calc!$AQ$368,"",MATCH(263,Calc!$AQ$2:$AQ$367,1))</f>
        <v/>
      </c>
      <c r="R269">
        <f>IF(Q269="","",SMALL(INDEX(Calc!$B$2:$AO$367,Q269,0),264-INDEX(Calc!$AQ$2:$AQ$367,Q269)))</f>
        <v/>
      </c>
    </row>
    <row r="270">
      <c r="B270" s="64">
        <f>IF(R270="","",265)</f>
        <v/>
      </c>
      <c r="C270" s="37">
        <f>IF(R270="","",IF(INDEX('Recurring Schedule'!$C$6:$C$45,R270)="","",INDEX('Recurring Schedule'!$C$6:$C$45,R270)))</f>
        <v/>
      </c>
      <c r="D270" s="36">
        <f>IF(R270="","",IF(INDEX('Recurring Schedule'!$D$6:$D$45,R270)="","",INDEX('Recurring Schedule'!$D$6:$D$45,R270)))</f>
        <v/>
      </c>
      <c r="E270" s="38">
        <f>IF(Q270="","",INDEX(Calc!$A$2:$A$367,Q270))</f>
        <v/>
      </c>
      <c r="F270" s="68">
        <f>IF(OR(C270="",E270=""),"",E270-Setup!$D$7)</f>
        <v/>
      </c>
      <c r="G270" s="74">
        <f>IF(R270="","",IF(INDEX('Recurring Schedule'!$H$6:$H$45,R270)="","",INDEX('Recurring Schedule'!$H$6:$H$45,R270)))</f>
        <v/>
      </c>
      <c r="H270" s="74">
        <f>IF(R270="","",IF(INDEX('Recurring Schedule'!$I$6:$I$45,R270)="","",INDEX('Recurring Schedule'!$I$6:$I$45,R270)))</f>
        <v/>
      </c>
      <c r="I270" s="36">
        <f>IF(OR(G270="",H270=""),"",TRIM(IF(HOUR(H270-G270)&gt;0,HOUR(H270-G270)&amp;" hr ","")&amp;IF(MINUTE(H270-G270)&gt;0,MINUTE(H270-G270)&amp;" min","")))</f>
        <v/>
      </c>
      <c r="J270" s="66" t="n"/>
      <c r="K270" s="70" t="n"/>
      <c r="L270" s="36">
        <f>IF(R270="","",IF(INDEX('Recurring Schedule'!$J$6:$J$45,R270)="","",INDEX('Recurring Schedule'!$J$6:$J$45,R270)))</f>
        <v/>
      </c>
      <c r="M270" s="36">
        <f>IF(R270="","",IF(INDEX('Recurring Schedule'!$K$6:$K$45,R270)="","",INDEX('Recurring Schedule'!$K$6:$K$45,R270)))</f>
        <v/>
      </c>
      <c r="N270" s="36">
        <f>IF(R270="","",IF(INDEX('Recurring Schedule'!$L$6:$L$45,R270)="","",INDEX('Recurring Schedule'!$L$6:$L$45,R270)))</f>
        <v/>
      </c>
      <c r="O270" s="36">
        <f>IF(C270="","",IF(AND(OR(L270="1-Urgent",L270="2-High"),M270="✓"),"DO FIRST",IF(M270="✓","SCHEDULE",IF(OR(L270="1-Urgent",L270="2-High"),"DELEGATE","DELETE"))))</f>
        <v/>
      </c>
      <c r="P270" s="65" t="n"/>
      <c r="Q270">
        <f>IF(265&gt;Calc!$AQ$368,"",MATCH(264,Calc!$AQ$2:$AQ$367,1))</f>
        <v/>
      </c>
      <c r="R270">
        <f>IF(Q270="","",SMALL(INDEX(Calc!$B$2:$AO$367,Q270,0),265-INDEX(Calc!$AQ$2:$AQ$367,Q270)))</f>
        <v/>
      </c>
    </row>
    <row r="271">
      <c r="B271" s="71">
        <f>IF(R271="","",266)</f>
        <v/>
      </c>
      <c r="C271" s="75">
        <f>IF(R271="","",IF(INDEX('Recurring Schedule'!$C$6:$C$45,R271)="","",INDEX('Recurring Schedule'!$C$6:$C$45,R271)))</f>
        <v/>
      </c>
      <c r="D271" s="73">
        <f>IF(R271="","",IF(INDEX('Recurring Schedule'!$D$6:$D$45,R271)="","",INDEX('Recurring Schedule'!$D$6:$D$45,R271)))</f>
        <v/>
      </c>
      <c r="E271" s="76">
        <f>IF(Q271="","",INDEX(Calc!$A$2:$A$367,Q271))</f>
        <v/>
      </c>
      <c r="F271" s="72">
        <f>IF(OR(C271="",E271=""),"",E271-Setup!$D$7)</f>
        <v/>
      </c>
      <c r="G271" s="77">
        <f>IF(R271="","",IF(INDEX('Recurring Schedule'!$H$6:$H$45,R271)="","",INDEX('Recurring Schedule'!$H$6:$H$45,R271)))</f>
        <v/>
      </c>
      <c r="H271" s="77">
        <f>IF(R271="","",IF(INDEX('Recurring Schedule'!$I$6:$I$45,R271)="","",INDEX('Recurring Schedule'!$I$6:$I$45,R271)))</f>
        <v/>
      </c>
      <c r="I271" s="73">
        <f>IF(OR(G271="",H271=""),"",TRIM(IF(HOUR(H271-G271)&gt;0,HOUR(H271-G271)&amp;" hr ","")&amp;IF(MINUTE(H271-G271)&gt;0,MINUTE(H271-G271)&amp;" min","")))</f>
        <v/>
      </c>
      <c r="J271" s="66" t="n"/>
      <c r="K271" s="70" t="n"/>
      <c r="L271" s="73">
        <f>IF(R271="","",IF(INDEX('Recurring Schedule'!$J$6:$J$45,R271)="","",INDEX('Recurring Schedule'!$J$6:$J$45,R271)))</f>
        <v/>
      </c>
      <c r="M271" s="73">
        <f>IF(R271="","",IF(INDEX('Recurring Schedule'!$K$6:$K$45,R271)="","",INDEX('Recurring Schedule'!$K$6:$K$45,R271)))</f>
        <v/>
      </c>
      <c r="N271" s="73">
        <f>IF(R271="","",IF(INDEX('Recurring Schedule'!$L$6:$L$45,R271)="","",INDEX('Recurring Schedule'!$L$6:$L$45,R271)))</f>
        <v/>
      </c>
      <c r="O271" s="73">
        <f>IF(C271="","",IF(AND(OR(L271="1-Urgent",L271="2-High"),M271="✓"),"DO FIRST",IF(M271="✓","SCHEDULE",IF(OR(L271="1-Urgent",L271="2-High"),"DELEGATE","DELETE"))))</f>
        <v/>
      </c>
      <c r="P271" s="65" t="n"/>
      <c r="Q271">
        <f>IF(266&gt;Calc!$AQ$368,"",MATCH(265,Calc!$AQ$2:$AQ$367,1))</f>
        <v/>
      </c>
      <c r="R271">
        <f>IF(Q271="","",SMALL(INDEX(Calc!$B$2:$AO$367,Q271,0),266-INDEX(Calc!$AQ$2:$AQ$367,Q271)))</f>
        <v/>
      </c>
    </row>
    <row r="272">
      <c r="B272" s="64">
        <f>IF(R272="","",267)</f>
        <v/>
      </c>
      <c r="C272" s="37">
        <f>IF(R272="","",IF(INDEX('Recurring Schedule'!$C$6:$C$45,R272)="","",INDEX('Recurring Schedule'!$C$6:$C$45,R272)))</f>
        <v/>
      </c>
      <c r="D272" s="36">
        <f>IF(R272="","",IF(INDEX('Recurring Schedule'!$D$6:$D$45,R272)="","",INDEX('Recurring Schedule'!$D$6:$D$45,R272)))</f>
        <v/>
      </c>
      <c r="E272" s="38">
        <f>IF(Q272="","",INDEX(Calc!$A$2:$A$367,Q272))</f>
        <v/>
      </c>
      <c r="F272" s="68">
        <f>IF(OR(C272="",E272=""),"",E272-Setup!$D$7)</f>
        <v/>
      </c>
      <c r="G272" s="74">
        <f>IF(R272="","",IF(INDEX('Recurring Schedule'!$H$6:$H$45,R272)="","",INDEX('Recurring Schedule'!$H$6:$H$45,R272)))</f>
        <v/>
      </c>
      <c r="H272" s="74">
        <f>IF(R272="","",IF(INDEX('Recurring Schedule'!$I$6:$I$45,R272)="","",INDEX('Recurring Schedule'!$I$6:$I$45,R272)))</f>
        <v/>
      </c>
      <c r="I272" s="36">
        <f>IF(OR(G272="",H272=""),"",TRIM(IF(HOUR(H272-G272)&gt;0,HOUR(H272-G272)&amp;" hr ","")&amp;IF(MINUTE(H272-G272)&gt;0,MINUTE(H272-G272)&amp;" min","")))</f>
        <v/>
      </c>
      <c r="J272" s="66" t="n"/>
      <c r="K272" s="70" t="n"/>
      <c r="L272" s="36">
        <f>IF(R272="","",IF(INDEX('Recurring Schedule'!$J$6:$J$45,R272)="","",INDEX('Recurring Schedule'!$J$6:$J$45,R272)))</f>
        <v/>
      </c>
      <c r="M272" s="36">
        <f>IF(R272="","",IF(INDEX('Recurring Schedule'!$K$6:$K$45,R272)="","",INDEX('Recurring Schedule'!$K$6:$K$45,R272)))</f>
        <v/>
      </c>
      <c r="N272" s="36">
        <f>IF(R272="","",IF(INDEX('Recurring Schedule'!$L$6:$L$45,R272)="","",INDEX('Recurring Schedule'!$L$6:$L$45,R272)))</f>
        <v/>
      </c>
      <c r="O272" s="36">
        <f>IF(C272="","",IF(AND(OR(L272="1-Urgent",L272="2-High"),M272="✓"),"DO FIRST",IF(M272="✓","SCHEDULE",IF(OR(L272="1-Urgent",L272="2-High"),"DELEGATE","DELETE"))))</f>
        <v/>
      </c>
      <c r="P272" s="65" t="n"/>
      <c r="Q272">
        <f>IF(267&gt;Calc!$AQ$368,"",MATCH(266,Calc!$AQ$2:$AQ$367,1))</f>
        <v/>
      </c>
      <c r="R272">
        <f>IF(Q272="","",SMALL(INDEX(Calc!$B$2:$AO$367,Q272,0),267-INDEX(Calc!$AQ$2:$AQ$367,Q272)))</f>
        <v/>
      </c>
    </row>
    <row r="273">
      <c r="B273" s="71">
        <f>IF(R273="","",268)</f>
        <v/>
      </c>
      <c r="C273" s="75">
        <f>IF(R273="","",IF(INDEX('Recurring Schedule'!$C$6:$C$45,R273)="","",INDEX('Recurring Schedule'!$C$6:$C$45,R273)))</f>
        <v/>
      </c>
      <c r="D273" s="73">
        <f>IF(R273="","",IF(INDEX('Recurring Schedule'!$D$6:$D$45,R273)="","",INDEX('Recurring Schedule'!$D$6:$D$45,R273)))</f>
        <v/>
      </c>
      <c r="E273" s="76">
        <f>IF(Q273="","",INDEX(Calc!$A$2:$A$367,Q273))</f>
        <v/>
      </c>
      <c r="F273" s="72">
        <f>IF(OR(C273="",E273=""),"",E273-Setup!$D$7)</f>
        <v/>
      </c>
      <c r="G273" s="77">
        <f>IF(R273="","",IF(INDEX('Recurring Schedule'!$H$6:$H$45,R273)="","",INDEX('Recurring Schedule'!$H$6:$H$45,R273)))</f>
        <v/>
      </c>
      <c r="H273" s="77">
        <f>IF(R273="","",IF(INDEX('Recurring Schedule'!$I$6:$I$45,R273)="","",INDEX('Recurring Schedule'!$I$6:$I$45,R273)))</f>
        <v/>
      </c>
      <c r="I273" s="73">
        <f>IF(OR(G273="",H273=""),"",TRIM(IF(HOUR(H273-G273)&gt;0,HOUR(H273-G273)&amp;" hr ","")&amp;IF(MINUTE(H273-G273)&gt;0,MINUTE(H273-G273)&amp;" min","")))</f>
        <v/>
      </c>
      <c r="J273" s="66" t="n"/>
      <c r="K273" s="70" t="n"/>
      <c r="L273" s="73">
        <f>IF(R273="","",IF(INDEX('Recurring Schedule'!$J$6:$J$45,R273)="","",INDEX('Recurring Schedule'!$J$6:$J$45,R273)))</f>
        <v/>
      </c>
      <c r="M273" s="73">
        <f>IF(R273="","",IF(INDEX('Recurring Schedule'!$K$6:$K$45,R273)="","",INDEX('Recurring Schedule'!$K$6:$K$45,R273)))</f>
        <v/>
      </c>
      <c r="N273" s="73">
        <f>IF(R273="","",IF(INDEX('Recurring Schedule'!$L$6:$L$45,R273)="","",INDEX('Recurring Schedule'!$L$6:$L$45,R273)))</f>
        <v/>
      </c>
      <c r="O273" s="73">
        <f>IF(C273="","",IF(AND(OR(L273="1-Urgent",L273="2-High"),M273="✓"),"DO FIRST",IF(M273="✓","SCHEDULE",IF(OR(L273="1-Urgent",L273="2-High"),"DELEGATE","DELETE"))))</f>
        <v/>
      </c>
      <c r="P273" s="65" t="n"/>
      <c r="Q273">
        <f>IF(268&gt;Calc!$AQ$368,"",MATCH(267,Calc!$AQ$2:$AQ$367,1))</f>
        <v/>
      </c>
      <c r="R273">
        <f>IF(Q273="","",SMALL(INDEX(Calc!$B$2:$AO$367,Q273,0),268-INDEX(Calc!$AQ$2:$AQ$367,Q273)))</f>
        <v/>
      </c>
    </row>
    <row r="274">
      <c r="B274" s="64">
        <f>IF(R274="","",269)</f>
        <v/>
      </c>
      <c r="C274" s="37">
        <f>IF(R274="","",IF(INDEX('Recurring Schedule'!$C$6:$C$45,R274)="","",INDEX('Recurring Schedule'!$C$6:$C$45,R274)))</f>
        <v/>
      </c>
      <c r="D274" s="36">
        <f>IF(R274="","",IF(INDEX('Recurring Schedule'!$D$6:$D$45,R274)="","",INDEX('Recurring Schedule'!$D$6:$D$45,R274)))</f>
        <v/>
      </c>
      <c r="E274" s="38">
        <f>IF(Q274="","",INDEX(Calc!$A$2:$A$367,Q274))</f>
        <v/>
      </c>
      <c r="F274" s="68">
        <f>IF(OR(C274="",E274=""),"",E274-Setup!$D$7)</f>
        <v/>
      </c>
      <c r="G274" s="74">
        <f>IF(R274="","",IF(INDEX('Recurring Schedule'!$H$6:$H$45,R274)="","",INDEX('Recurring Schedule'!$H$6:$H$45,R274)))</f>
        <v/>
      </c>
      <c r="H274" s="74">
        <f>IF(R274="","",IF(INDEX('Recurring Schedule'!$I$6:$I$45,R274)="","",INDEX('Recurring Schedule'!$I$6:$I$45,R274)))</f>
        <v/>
      </c>
      <c r="I274" s="36">
        <f>IF(OR(G274="",H274=""),"",TRIM(IF(HOUR(H274-G274)&gt;0,HOUR(H274-G274)&amp;" hr ","")&amp;IF(MINUTE(H274-G274)&gt;0,MINUTE(H274-G274)&amp;" min","")))</f>
        <v/>
      </c>
      <c r="J274" s="66" t="n"/>
      <c r="K274" s="70" t="n"/>
      <c r="L274" s="36">
        <f>IF(R274="","",IF(INDEX('Recurring Schedule'!$J$6:$J$45,R274)="","",INDEX('Recurring Schedule'!$J$6:$J$45,R274)))</f>
        <v/>
      </c>
      <c r="M274" s="36">
        <f>IF(R274="","",IF(INDEX('Recurring Schedule'!$K$6:$K$45,R274)="","",INDEX('Recurring Schedule'!$K$6:$K$45,R274)))</f>
        <v/>
      </c>
      <c r="N274" s="36">
        <f>IF(R274="","",IF(INDEX('Recurring Schedule'!$L$6:$L$45,R274)="","",INDEX('Recurring Schedule'!$L$6:$L$45,R274)))</f>
        <v/>
      </c>
      <c r="O274" s="36">
        <f>IF(C274="","",IF(AND(OR(L274="1-Urgent",L274="2-High"),M274="✓"),"DO FIRST",IF(M274="✓","SCHEDULE",IF(OR(L274="1-Urgent",L274="2-High"),"DELEGATE","DELETE"))))</f>
        <v/>
      </c>
      <c r="P274" s="65" t="n"/>
      <c r="Q274">
        <f>IF(269&gt;Calc!$AQ$368,"",MATCH(268,Calc!$AQ$2:$AQ$367,1))</f>
        <v/>
      </c>
      <c r="R274">
        <f>IF(Q274="","",SMALL(INDEX(Calc!$B$2:$AO$367,Q274,0),269-INDEX(Calc!$AQ$2:$AQ$367,Q274)))</f>
        <v/>
      </c>
    </row>
    <row r="275">
      <c r="B275" s="71">
        <f>IF(R275="","",270)</f>
        <v/>
      </c>
      <c r="C275" s="75">
        <f>IF(R275="","",IF(INDEX('Recurring Schedule'!$C$6:$C$45,R275)="","",INDEX('Recurring Schedule'!$C$6:$C$45,R275)))</f>
        <v/>
      </c>
      <c r="D275" s="73">
        <f>IF(R275="","",IF(INDEX('Recurring Schedule'!$D$6:$D$45,R275)="","",INDEX('Recurring Schedule'!$D$6:$D$45,R275)))</f>
        <v/>
      </c>
      <c r="E275" s="76">
        <f>IF(Q275="","",INDEX(Calc!$A$2:$A$367,Q275))</f>
        <v/>
      </c>
      <c r="F275" s="72">
        <f>IF(OR(C275="",E275=""),"",E275-Setup!$D$7)</f>
        <v/>
      </c>
      <c r="G275" s="77">
        <f>IF(R275="","",IF(INDEX('Recurring Schedule'!$H$6:$H$45,R275)="","",INDEX('Recurring Schedule'!$H$6:$H$45,R275)))</f>
        <v/>
      </c>
      <c r="H275" s="77">
        <f>IF(R275="","",IF(INDEX('Recurring Schedule'!$I$6:$I$45,R275)="","",INDEX('Recurring Schedule'!$I$6:$I$45,R275)))</f>
        <v/>
      </c>
      <c r="I275" s="73">
        <f>IF(OR(G275="",H275=""),"",TRIM(IF(HOUR(H275-G275)&gt;0,HOUR(H275-G275)&amp;" hr ","")&amp;IF(MINUTE(H275-G275)&gt;0,MINUTE(H275-G275)&amp;" min","")))</f>
        <v/>
      </c>
      <c r="J275" s="66" t="n"/>
      <c r="K275" s="70" t="n"/>
      <c r="L275" s="73">
        <f>IF(R275="","",IF(INDEX('Recurring Schedule'!$J$6:$J$45,R275)="","",INDEX('Recurring Schedule'!$J$6:$J$45,R275)))</f>
        <v/>
      </c>
      <c r="M275" s="73">
        <f>IF(R275="","",IF(INDEX('Recurring Schedule'!$K$6:$K$45,R275)="","",INDEX('Recurring Schedule'!$K$6:$K$45,R275)))</f>
        <v/>
      </c>
      <c r="N275" s="73">
        <f>IF(R275="","",IF(INDEX('Recurring Schedule'!$L$6:$L$45,R275)="","",INDEX('Recurring Schedule'!$L$6:$L$45,R275)))</f>
        <v/>
      </c>
      <c r="O275" s="73">
        <f>IF(C275="","",IF(AND(OR(L275="1-Urgent",L275="2-High"),M275="✓"),"DO FIRST",IF(M275="✓","SCHEDULE",IF(OR(L275="1-Urgent",L275="2-High"),"DELEGATE","DELETE"))))</f>
        <v/>
      </c>
      <c r="P275" s="65" t="n"/>
      <c r="Q275">
        <f>IF(270&gt;Calc!$AQ$368,"",MATCH(269,Calc!$AQ$2:$AQ$367,1))</f>
        <v/>
      </c>
      <c r="R275">
        <f>IF(Q275="","",SMALL(INDEX(Calc!$B$2:$AO$367,Q275,0),270-INDEX(Calc!$AQ$2:$AQ$367,Q275)))</f>
        <v/>
      </c>
    </row>
    <row r="276">
      <c r="B276" s="64">
        <f>IF(R276="","",271)</f>
        <v/>
      </c>
      <c r="C276" s="37">
        <f>IF(R276="","",IF(INDEX('Recurring Schedule'!$C$6:$C$45,R276)="","",INDEX('Recurring Schedule'!$C$6:$C$45,R276)))</f>
        <v/>
      </c>
      <c r="D276" s="36">
        <f>IF(R276="","",IF(INDEX('Recurring Schedule'!$D$6:$D$45,R276)="","",INDEX('Recurring Schedule'!$D$6:$D$45,R276)))</f>
        <v/>
      </c>
      <c r="E276" s="38">
        <f>IF(Q276="","",INDEX(Calc!$A$2:$A$367,Q276))</f>
        <v/>
      </c>
      <c r="F276" s="68">
        <f>IF(OR(C276="",E276=""),"",E276-Setup!$D$7)</f>
        <v/>
      </c>
      <c r="G276" s="74">
        <f>IF(R276="","",IF(INDEX('Recurring Schedule'!$H$6:$H$45,R276)="","",INDEX('Recurring Schedule'!$H$6:$H$45,R276)))</f>
        <v/>
      </c>
      <c r="H276" s="74">
        <f>IF(R276="","",IF(INDEX('Recurring Schedule'!$I$6:$I$45,R276)="","",INDEX('Recurring Schedule'!$I$6:$I$45,R276)))</f>
        <v/>
      </c>
      <c r="I276" s="36">
        <f>IF(OR(G276="",H276=""),"",TRIM(IF(HOUR(H276-G276)&gt;0,HOUR(H276-G276)&amp;" hr ","")&amp;IF(MINUTE(H276-G276)&gt;0,MINUTE(H276-G276)&amp;" min","")))</f>
        <v/>
      </c>
      <c r="J276" s="66" t="n"/>
      <c r="K276" s="70" t="n"/>
      <c r="L276" s="36">
        <f>IF(R276="","",IF(INDEX('Recurring Schedule'!$J$6:$J$45,R276)="","",INDEX('Recurring Schedule'!$J$6:$J$45,R276)))</f>
        <v/>
      </c>
      <c r="M276" s="36">
        <f>IF(R276="","",IF(INDEX('Recurring Schedule'!$K$6:$K$45,R276)="","",INDEX('Recurring Schedule'!$K$6:$K$45,R276)))</f>
        <v/>
      </c>
      <c r="N276" s="36">
        <f>IF(R276="","",IF(INDEX('Recurring Schedule'!$L$6:$L$45,R276)="","",INDEX('Recurring Schedule'!$L$6:$L$45,R276)))</f>
        <v/>
      </c>
      <c r="O276" s="36">
        <f>IF(C276="","",IF(AND(OR(L276="1-Urgent",L276="2-High"),M276="✓"),"DO FIRST",IF(M276="✓","SCHEDULE",IF(OR(L276="1-Urgent",L276="2-High"),"DELEGATE","DELETE"))))</f>
        <v/>
      </c>
      <c r="P276" s="65" t="n"/>
      <c r="Q276">
        <f>IF(271&gt;Calc!$AQ$368,"",MATCH(270,Calc!$AQ$2:$AQ$367,1))</f>
        <v/>
      </c>
      <c r="R276">
        <f>IF(Q276="","",SMALL(INDEX(Calc!$B$2:$AO$367,Q276,0),271-INDEX(Calc!$AQ$2:$AQ$367,Q276)))</f>
        <v/>
      </c>
    </row>
    <row r="277">
      <c r="B277" s="71">
        <f>IF(R277="","",272)</f>
        <v/>
      </c>
      <c r="C277" s="75">
        <f>IF(R277="","",IF(INDEX('Recurring Schedule'!$C$6:$C$45,R277)="","",INDEX('Recurring Schedule'!$C$6:$C$45,R277)))</f>
        <v/>
      </c>
      <c r="D277" s="73">
        <f>IF(R277="","",IF(INDEX('Recurring Schedule'!$D$6:$D$45,R277)="","",INDEX('Recurring Schedule'!$D$6:$D$45,R277)))</f>
        <v/>
      </c>
      <c r="E277" s="76">
        <f>IF(Q277="","",INDEX(Calc!$A$2:$A$367,Q277))</f>
        <v/>
      </c>
      <c r="F277" s="72">
        <f>IF(OR(C277="",E277=""),"",E277-Setup!$D$7)</f>
        <v/>
      </c>
      <c r="G277" s="77">
        <f>IF(R277="","",IF(INDEX('Recurring Schedule'!$H$6:$H$45,R277)="","",INDEX('Recurring Schedule'!$H$6:$H$45,R277)))</f>
        <v/>
      </c>
      <c r="H277" s="77">
        <f>IF(R277="","",IF(INDEX('Recurring Schedule'!$I$6:$I$45,R277)="","",INDEX('Recurring Schedule'!$I$6:$I$45,R277)))</f>
        <v/>
      </c>
      <c r="I277" s="73">
        <f>IF(OR(G277="",H277=""),"",TRIM(IF(HOUR(H277-G277)&gt;0,HOUR(H277-G277)&amp;" hr ","")&amp;IF(MINUTE(H277-G277)&gt;0,MINUTE(H277-G277)&amp;" min","")))</f>
        <v/>
      </c>
      <c r="J277" s="66" t="n"/>
      <c r="K277" s="70" t="n"/>
      <c r="L277" s="73">
        <f>IF(R277="","",IF(INDEX('Recurring Schedule'!$J$6:$J$45,R277)="","",INDEX('Recurring Schedule'!$J$6:$J$45,R277)))</f>
        <v/>
      </c>
      <c r="M277" s="73">
        <f>IF(R277="","",IF(INDEX('Recurring Schedule'!$K$6:$K$45,R277)="","",INDEX('Recurring Schedule'!$K$6:$K$45,R277)))</f>
        <v/>
      </c>
      <c r="N277" s="73">
        <f>IF(R277="","",IF(INDEX('Recurring Schedule'!$L$6:$L$45,R277)="","",INDEX('Recurring Schedule'!$L$6:$L$45,R277)))</f>
        <v/>
      </c>
      <c r="O277" s="73">
        <f>IF(C277="","",IF(AND(OR(L277="1-Urgent",L277="2-High"),M277="✓"),"DO FIRST",IF(M277="✓","SCHEDULE",IF(OR(L277="1-Urgent",L277="2-High"),"DELEGATE","DELETE"))))</f>
        <v/>
      </c>
      <c r="P277" s="65" t="n"/>
      <c r="Q277">
        <f>IF(272&gt;Calc!$AQ$368,"",MATCH(271,Calc!$AQ$2:$AQ$367,1))</f>
        <v/>
      </c>
      <c r="R277">
        <f>IF(Q277="","",SMALL(INDEX(Calc!$B$2:$AO$367,Q277,0),272-INDEX(Calc!$AQ$2:$AQ$367,Q277)))</f>
        <v/>
      </c>
    </row>
    <row r="278">
      <c r="B278" s="64">
        <f>IF(R278="","",273)</f>
        <v/>
      </c>
      <c r="C278" s="37">
        <f>IF(R278="","",IF(INDEX('Recurring Schedule'!$C$6:$C$45,R278)="","",INDEX('Recurring Schedule'!$C$6:$C$45,R278)))</f>
        <v/>
      </c>
      <c r="D278" s="36">
        <f>IF(R278="","",IF(INDEX('Recurring Schedule'!$D$6:$D$45,R278)="","",INDEX('Recurring Schedule'!$D$6:$D$45,R278)))</f>
        <v/>
      </c>
      <c r="E278" s="38">
        <f>IF(Q278="","",INDEX(Calc!$A$2:$A$367,Q278))</f>
        <v/>
      </c>
      <c r="F278" s="68">
        <f>IF(OR(C278="",E278=""),"",E278-Setup!$D$7)</f>
        <v/>
      </c>
      <c r="G278" s="74">
        <f>IF(R278="","",IF(INDEX('Recurring Schedule'!$H$6:$H$45,R278)="","",INDEX('Recurring Schedule'!$H$6:$H$45,R278)))</f>
        <v/>
      </c>
      <c r="H278" s="74">
        <f>IF(R278="","",IF(INDEX('Recurring Schedule'!$I$6:$I$45,R278)="","",INDEX('Recurring Schedule'!$I$6:$I$45,R278)))</f>
        <v/>
      </c>
      <c r="I278" s="36">
        <f>IF(OR(G278="",H278=""),"",TRIM(IF(HOUR(H278-G278)&gt;0,HOUR(H278-G278)&amp;" hr ","")&amp;IF(MINUTE(H278-G278)&gt;0,MINUTE(H278-G278)&amp;" min","")))</f>
        <v/>
      </c>
      <c r="J278" s="66" t="n"/>
      <c r="K278" s="70" t="n"/>
      <c r="L278" s="36">
        <f>IF(R278="","",IF(INDEX('Recurring Schedule'!$J$6:$J$45,R278)="","",INDEX('Recurring Schedule'!$J$6:$J$45,R278)))</f>
        <v/>
      </c>
      <c r="M278" s="36">
        <f>IF(R278="","",IF(INDEX('Recurring Schedule'!$K$6:$K$45,R278)="","",INDEX('Recurring Schedule'!$K$6:$K$45,R278)))</f>
        <v/>
      </c>
      <c r="N278" s="36">
        <f>IF(R278="","",IF(INDEX('Recurring Schedule'!$L$6:$L$45,R278)="","",INDEX('Recurring Schedule'!$L$6:$L$45,R278)))</f>
        <v/>
      </c>
      <c r="O278" s="36">
        <f>IF(C278="","",IF(AND(OR(L278="1-Urgent",L278="2-High"),M278="✓"),"DO FIRST",IF(M278="✓","SCHEDULE",IF(OR(L278="1-Urgent",L278="2-High"),"DELEGATE","DELETE"))))</f>
        <v/>
      </c>
      <c r="P278" s="65" t="n"/>
      <c r="Q278">
        <f>IF(273&gt;Calc!$AQ$368,"",MATCH(272,Calc!$AQ$2:$AQ$367,1))</f>
        <v/>
      </c>
      <c r="R278">
        <f>IF(Q278="","",SMALL(INDEX(Calc!$B$2:$AO$367,Q278,0),273-INDEX(Calc!$AQ$2:$AQ$367,Q278)))</f>
        <v/>
      </c>
    </row>
    <row r="279">
      <c r="B279" s="71">
        <f>IF(R279="","",274)</f>
        <v/>
      </c>
      <c r="C279" s="75">
        <f>IF(R279="","",IF(INDEX('Recurring Schedule'!$C$6:$C$45,R279)="","",INDEX('Recurring Schedule'!$C$6:$C$45,R279)))</f>
        <v/>
      </c>
      <c r="D279" s="73">
        <f>IF(R279="","",IF(INDEX('Recurring Schedule'!$D$6:$D$45,R279)="","",INDEX('Recurring Schedule'!$D$6:$D$45,R279)))</f>
        <v/>
      </c>
      <c r="E279" s="76">
        <f>IF(Q279="","",INDEX(Calc!$A$2:$A$367,Q279))</f>
        <v/>
      </c>
      <c r="F279" s="72">
        <f>IF(OR(C279="",E279=""),"",E279-Setup!$D$7)</f>
        <v/>
      </c>
      <c r="G279" s="77">
        <f>IF(R279="","",IF(INDEX('Recurring Schedule'!$H$6:$H$45,R279)="","",INDEX('Recurring Schedule'!$H$6:$H$45,R279)))</f>
        <v/>
      </c>
      <c r="H279" s="77">
        <f>IF(R279="","",IF(INDEX('Recurring Schedule'!$I$6:$I$45,R279)="","",INDEX('Recurring Schedule'!$I$6:$I$45,R279)))</f>
        <v/>
      </c>
      <c r="I279" s="73">
        <f>IF(OR(G279="",H279=""),"",TRIM(IF(HOUR(H279-G279)&gt;0,HOUR(H279-G279)&amp;" hr ","")&amp;IF(MINUTE(H279-G279)&gt;0,MINUTE(H279-G279)&amp;" min","")))</f>
        <v/>
      </c>
      <c r="J279" s="66" t="n"/>
      <c r="K279" s="70" t="n"/>
      <c r="L279" s="73">
        <f>IF(R279="","",IF(INDEX('Recurring Schedule'!$J$6:$J$45,R279)="","",INDEX('Recurring Schedule'!$J$6:$J$45,R279)))</f>
        <v/>
      </c>
      <c r="M279" s="73">
        <f>IF(R279="","",IF(INDEX('Recurring Schedule'!$K$6:$K$45,R279)="","",INDEX('Recurring Schedule'!$K$6:$K$45,R279)))</f>
        <v/>
      </c>
      <c r="N279" s="73">
        <f>IF(R279="","",IF(INDEX('Recurring Schedule'!$L$6:$L$45,R279)="","",INDEX('Recurring Schedule'!$L$6:$L$45,R279)))</f>
        <v/>
      </c>
      <c r="O279" s="73">
        <f>IF(C279="","",IF(AND(OR(L279="1-Urgent",L279="2-High"),M279="✓"),"DO FIRST",IF(M279="✓","SCHEDULE",IF(OR(L279="1-Urgent",L279="2-High"),"DELEGATE","DELETE"))))</f>
        <v/>
      </c>
      <c r="P279" s="65" t="n"/>
      <c r="Q279">
        <f>IF(274&gt;Calc!$AQ$368,"",MATCH(273,Calc!$AQ$2:$AQ$367,1))</f>
        <v/>
      </c>
      <c r="R279">
        <f>IF(Q279="","",SMALL(INDEX(Calc!$B$2:$AO$367,Q279,0),274-INDEX(Calc!$AQ$2:$AQ$367,Q279)))</f>
        <v/>
      </c>
    </row>
    <row r="280">
      <c r="B280" s="64">
        <f>IF(R280="","",275)</f>
        <v/>
      </c>
      <c r="C280" s="37">
        <f>IF(R280="","",IF(INDEX('Recurring Schedule'!$C$6:$C$45,R280)="","",INDEX('Recurring Schedule'!$C$6:$C$45,R280)))</f>
        <v/>
      </c>
      <c r="D280" s="36">
        <f>IF(R280="","",IF(INDEX('Recurring Schedule'!$D$6:$D$45,R280)="","",INDEX('Recurring Schedule'!$D$6:$D$45,R280)))</f>
        <v/>
      </c>
      <c r="E280" s="38">
        <f>IF(Q280="","",INDEX(Calc!$A$2:$A$367,Q280))</f>
        <v/>
      </c>
      <c r="F280" s="68">
        <f>IF(OR(C280="",E280=""),"",E280-Setup!$D$7)</f>
        <v/>
      </c>
      <c r="G280" s="74">
        <f>IF(R280="","",IF(INDEX('Recurring Schedule'!$H$6:$H$45,R280)="","",INDEX('Recurring Schedule'!$H$6:$H$45,R280)))</f>
        <v/>
      </c>
      <c r="H280" s="74">
        <f>IF(R280="","",IF(INDEX('Recurring Schedule'!$I$6:$I$45,R280)="","",INDEX('Recurring Schedule'!$I$6:$I$45,R280)))</f>
        <v/>
      </c>
      <c r="I280" s="36">
        <f>IF(OR(G280="",H280=""),"",TRIM(IF(HOUR(H280-G280)&gt;0,HOUR(H280-G280)&amp;" hr ","")&amp;IF(MINUTE(H280-G280)&gt;0,MINUTE(H280-G280)&amp;" min","")))</f>
        <v/>
      </c>
      <c r="J280" s="66" t="n"/>
      <c r="K280" s="70" t="n"/>
      <c r="L280" s="36">
        <f>IF(R280="","",IF(INDEX('Recurring Schedule'!$J$6:$J$45,R280)="","",INDEX('Recurring Schedule'!$J$6:$J$45,R280)))</f>
        <v/>
      </c>
      <c r="M280" s="36">
        <f>IF(R280="","",IF(INDEX('Recurring Schedule'!$K$6:$K$45,R280)="","",INDEX('Recurring Schedule'!$K$6:$K$45,R280)))</f>
        <v/>
      </c>
      <c r="N280" s="36">
        <f>IF(R280="","",IF(INDEX('Recurring Schedule'!$L$6:$L$45,R280)="","",INDEX('Recurring Schedule'!$L$6:$L$45,R280)))</f>
        <v/>
      </c>
      <c r="O280" s="36">
        <f>IF(C280="","",IF(AND(OR(L280="1-Urgent",L280="2-High"),M280="✓"),"DO FIRST",IF(M280="✓","SCHEDULE",IF(OR(L280="1-Urgent",L280="2-High"),"DELEGATE","DELETE"))))</f>
        <v/>
      </c>
      <c r="P280" s="65" t="n"/>
      <c r="Q280">
        <f>IF(275&gt;Calc!$AQ$368,"",MATCH(274,Calc!$AQ$2:$AQ$367,1))</f>
        <v/>
      </c>
      <c r="R280">
        <f>IF(Q280="","",SMALL(INDEX(Calc!$B$2:$AO$367,Q280,0),275-INDEX(Calc!$AQ$2:$AQ$367,Q280)))</f>
        <v/>
      </c>
    </row>
    <row r="281">
      <c r="B281" s="71">
        <f>IF(R281="","",276)</f>
        <v/>
      </c>
      <c r="C281" s="75">
        <f>IF(R281="","",IF(INDEX('Recurring Schedule'!$C$6:$C$45,R281)="","",INDEX('Recurring Schedule'!$C$6:$C$45,R281)))</f>
        <v/>
      </c>
      <c r="D281" s="73">
        <f>IF(R281="","",IF(INDEX('Recurring Schedule'!$D$6:$D$45,R281)="","",INDEX('Recurring Schedule'!$D$6:$D$45,R281)))</f>
        <v/>
      </c>
      <c r="E281" s="76">
        <f>IF(Q281="","",INDEX(Calc!$A$2:$A$367,Q281))</f>
        <v/>
      </c>
      <c r="F281" s="72">
        <f>IF(OR(C281="",E281=""),"",E281-Setup!$D$7)</f>
        <v/>
      </c>
      <c r="G281" s="77">
        <f>IF(R281="","",IF(INDEX('Recurring Schedule'!$H$6:$H$45,R281)="","",INDEX('Recurring Schedule'!$H$6:$H$45,R281)))</f>
        <v/>
      </c>
      <c r="H281" s="77">
        <f>IF(R281="","",IF(INDEX('Recurring Schedule'!$I$6:$I$45,R281)="","",INDEX('Recurring Schedule'!$I$6:$I$45,R281)))</f>
        <v/>
      </c>
      <c r="I281" s="73">
        <f>IF(OR(G281="",H281=""),"",TRIM(IF(HOUR(H281-G281)&gt;0,HOUR(H281-G281)&amp;" hr ","")&amp;IF(MINUTE(H281-G281)&gt;0,MINUTE(H281-G281)&amp;" min","")))</f>
        <v/>
      </c>
      <c r="J281" s="66" t="n"/>
      <c r="K281" s="70" t="n"/>
      <c r="L281" s="73">
        <f>IF(R281="","",IF(INDEX('Recurring Schedule'!$J$6:$J$45,R281)="","",INDEX('Recurring Schedule'!$J$6:$J$45,R281)))</f>
        <v/>
      </c>
      <c r="M281" s="73">
        <f>IF(R281="","",IF(INDEX('Recurring Schedule'!$K$6:$K$45,R281)="","",INDEX('Recurring Schedule'!$K$6:$K$45,R281)))</f>
        <v/>
      </c>
      <c r="N281" s="73">
        <f>IF(R281="","",IF(INDEX('Recurring Schedule'!$L$6:$L$45,R281)="","",INDEX('Recurring Schedule'!$L$6:$L$45,R281)))</f>
        <v/>
      </c>
      <c r="O281" s="73">
        <f>IF(C281="","",IF(AND(OR(L281="1-Urgent",L281="2-High"),M281="✓"),"DO FIRST",IF(M281="✓","SCHEDULE",IF(OR(L281="1-Urgent",L281="2-High"),"DELEGATE","DELETE"))))</f>
        <v/>
      </c>
      <c r="P281" s="65" t="n"/>
      <c r="Q281">
        <f>IF(276&gt;Calc!$AQ$368,"",MATCH(275,Calc!$AQ$2:$AQ$367,1))</f>
        <v/>
      </c>
      <c r="R281">
        <f>IF(Q281="","",SMALL(INDEX(Calc!$B$2:$AO$367,Q281,0),276-INDEX(Calc!$AQ$2:$AQ$367,Q281)))</f>
        <v/>
      </c>
    </row>
    <row r="282">
      <c r="B282" s="64">
        <f>IF(R282="","",277)</f>
        <v/>
      </c>
      <c r="C282" s="37">
        <f>IF(R282="","",IF(INDEX('Recurring Schedule'!$C$6:$C$45,R282)="","",INDEX('Recurring Schedule'!$C$6:$C$45,R282)))</f>
        <v/>
      </c>
      <c r="D282" s="36">
        <f>IF(R282="","",IF(INDEX('Recurring Schedule'!$D$6:$D$45,R282)="","",INDEX('Recurring Schedule'!$D$6:$D$45,R282)))</f>
        <v/>
      </c>
      <c r="E282" s="38">
        <f>IF(Q282="","",INDEX(Calc!$A$2:$A$367,Q282))</f>
        <v/>
      </c>
      <c r="F282" s="68">
        <f>IF(OR(C282="",E282=""),"",E282-Setup!$D$7)</f>
        <v/>
      </c>
      <c r="G282" s="74">
        <f>IF(R282="","",IF(INDEX('Recurring Schedule'!$H$6:$H$45,R282)="","",INDEX('Recurring Schedule'!$H$6:$H$45,R282)))</f>
        <v/>
      </c>
      <c r="H282" s="74">
        <f>IF(R282="","",IF(INDEX('Recurring Schedule'!$I$6:$I$45,R282)="","",INDEX('Recurring Schedule'!$I$6:$I$45,R282)))</f>
        <v/>
      </c>
      <c r="I282" s="36">
        <f>IF(OR(G282="",H282=""),"",TRIM(IF(HOUR(H282-G282)&gt;0,HOUR(H282-G282)&amp;" hr ","")&amp;IF(MINUTE(H282-G282)&gt;0,MINUTE(H282-G282)&amp;" min","")))</f>
        <v/>
      </c>
      <c r="J282" s="66" t="n"/>
      <c r="K282" s="70" t="n"/>
      <c r="L282" s="36">
        <f>IF(R282="","",IF(INDEX('Recurring Schedule'!$J$6:$J$45,R282)="","",INDEX('Recurring Schedule'!$J$6:$J$45,R282)))</f>
        <v/>
      </c>
      <c r="M282" s="36">
        <f>IF(R282="","",IF(INDEX('Recurring Schedule'!$K$6:$K$45,R282)="","",INDEX('Recurring Schedule'!$K$6:$K$45,R282)))</f>
        <v/>
      </c>
      <c r="N282" s="36">
        <f>IF(R282="","",IF(INDEX('Recurring Schedule'!$L$6:$L$45,R282)="","",INDEX('Recurring Schedule'!$L$6:$L$45,R282)))</f>
        <v/>
      </c>
      <c r="O282" s="36">
        <f>IF(C282="","",IF(AND(OR(L282="1-Urgent",L282="2-High"),M282="✓"),"DO FIRST",IF(M282="✓","SCHEDULE",IF(OR(L282="1-Urgent",L282="2-High"),"DELEGATE","DELETE"))))</f>
        <v/>
      </c>
      <c r="P282" s="65" t="n"/>
      <c r="Q282">
        <f>IF(277&gt;Calc!$AQ$368,"",MATCH(276,Calc!$AQ$2:$AQ$367,1))</f>
        <v/>
      </c>
      <c r="R282">
        <f>IF(Q282="","",SMALL(INDEX(Calc!$B$2:$AO$367,Q282,0),277-INDEX(Calc!$AQ$2:$AQ$367,Q282)))</f>
        <v/>
      </c>
    </row>
    <row r="283">
      <c r="B283" s="71">
        <f>IF(R283="","",278)</f>
        <v/>
      </c>
      <c r="C283" s="75">
        <f>IF(R283="","",IF(INDEX('Recurring Schedule'!$C$6:$C$45,R283)="","",INDEX('Recurring Schedule'!$C$6:$C$45,R283)))</f>
        <v/>
      </c>
      <c r="D283" s="73">
        <f>IF(R283="","",IF(INDEX('Recurring Schedule'!$D$6:$D$45,R283)="","",INDEX('Recurring Schedule'!$D$6:$D$45,R283)))</f>
        <v/>
      </c>
      <c r="E283" s="76">
        <f>IF(Q283="","",INDEX(Calc!$A$2:$A$367,Q283))</f>
        <v/>
      </c>
      <c r="F283" s="72">
        <f>IF(OR(C283="",E283=""),"",E283-Setup!$D$7)</f>
        <v/>
      </c>
      <c r="G283" s="77">
        <f>IF(R283="","",IF(INDEX('Recurring Schedule'!$H$6:$H$45,R283)="","",INDEX('Recurring Schedule'!$H$6:$H$45,R283)))</f>
        <v/>
      </c>
      <c r="H283" s="77">
        <f>IF(R283="","",IF(INDEX('Recurring Schedule'!$I$6:$I$45,R283)="","",INDEX('Recurring Schedule'!$I$6:$I$45,R283)))</f>
        <v/>
      </c>
      <c r="I283" s="73">
        <f>IF(OR(G283="",H283=""),"",TRIM(IF(HOUR(H283-G283)&gt;0,HOUR(H283-G283)&amp;" hr ","")&amp;IF(MINUTE(H283-G283)&gt;0,MINUTE(H283-G283)&amp;" min","")))</f>
        <v/>
      </c>
      <c r="J283" s="66" t="n"/>
      <c r="K283" s="70" t="n"/>
      <c r="L283" s="73">
        <f>IF(R283="","",IF(INDEX('Recurring Schedule'!$J$6:$J$45,R283)="","",INDEX('Recurring Schedule'!$J$6:$J$45,R283)))</f>
        <v/>
      </c>
      <c r="M283" s="73">
        <f>IF(R283="","",IF(INDEX('Recurring Schedule'!$K$6:$K$45,R283)="","",INDEX('Recurring Schedule'!$K$6:$K$45,R283)))</f>
        <v/>
      </c>
      <c r="N283" s="73">
        <f>IF(R283="","",IF(INDEX('Recurring Schedule'!$L$6:$L$45,R283)="","",INDEX('Recurring Schedule'!$L$6:$L$45,R283)))</f>
        <v/>
      </c>
      <c r="O283" s="73">
        <f>IF(C283="","",IF(AND(OR(L283="1-Urgent",L283="2-High"),M283="✓"),"DO FIRST",IF(M283="✓","SCHEDULE",IF(OR(L283="1-Urgent",L283="2-High"),"DELEGATE","DELETE"))))</f>
        <v/>
      </c>
      <c r="P283" s="65" t="n"/>
      <c r="Q283">
        <f>IF(278&gt;Calc!$AQ$368,"",MATCH(277,Calc!$AQ$2:$AQ$367,1))</f>
        <v/>
      </c>
      <c r="R283">
        <f>IF(Q283="","",SMALL(INDEX(Calc!$B$2:$AO$367,Q283,0),278-INDEX(Calc!$AQ$2:$AQ$367,Q283)))</f>
        <v/>
      </c>
    </row>
    <row r="284">
      <c r="B284" s="64">
        <f>IF(R284="","",279)</f>
        <v/>
      </c>
      <c r="C284" s="37">
        <f>IF(R284="","",IF(INDEX('Recurring Schedule'!$C$6:$C$45,R284)="","",INDEX('Recurring Schedule'!$C$6:$C$45,R284)))</f>
        <v/>
      </c>
      <c r="D284" s="36">
        <f>IF(R284="","",IF(INDEX('Recurring Schedule'!$D$6:$D$45,R284)="","",INDEX('Recurring Schedule'!$D$6:$D$45,R284)))</f>
        <v/>
      </c>
      <c r="E284" s="38">
        <f>IF(Q284="","",INDEX(Calc!$A$2:$A$367,Q284))</f>
        <v/>
      </c>
      <c r="F284" s="68">
        <f>IF(OR(C284="",E284=""),"",E284-Setup!$D$7)</f>
        <v/>
      </c>
      <c r="G284" s="74">
        <f>IF(R284="","",IF(INDEX('Recurring Schedule'!$H$6:$H$45,R284)="","",INDEX('Recurring Schedule'!$H$6:$H$45,R284)))</f>
        <v/>
      </c>
      <c r="H284" s="74">
        <f>IF(R284="","",IF(INDEX('Recurring Schedule'!$I$6:$I$45,R284)="","",INDEX('Recurring Schedule'!$I$6:$I$45,R284)))</f>
        <v/>
      </c>
      <c r="I284" s="36">
        <f>IF(OR(G284="",H284=""),"",TRIM(IF(HOUR(H284-G284)&gt;0,HOUR(H284-G284)&amp;" hr ","")&amp;IF(MINUTE(H284-G284)&gt;0,MINUTE(H284-G284)&amp;" min","")))</f>
        <v/>
      </c>
      <c r="J284" s="66" t="n"/>
      <c r="K284" s="70" t="n"/>
      <c r="L284" s="36">
        <f>IF(R284="","",IF(INDEX('Recurring Schedule'!$J$6:$J$45,R284)="","",INDEX('Recurring Schedule'!$J$6:$J$45,R284)))</f>
        <v/>
      </c>
      <c r="M284" s="36">
        <f>IF(R284="","",IF(INDEX('Recurring Schedule'!$K$6:$K$45,R284)="","",INDEX('Recurring Schedule'!$K$6:$K$45,R284)))</f>
        <v/>
      </c>
      <c r="N284" s="36">
        <f>IF(R284="","",IF(INDEX('Recurring Schedule'!$L$6:$L$45,R284)="","",INDEX('Recurring Schedule'!$L$6:$L$45,R284)))</f>
        <v/>
      </c>
      <c r="O284" s="36">
        <f>IF(C284="","",IF(AND(OR(L284="1-Urgent",L284="2-High"),M284="✓"),"DO FIRST",IF(M284="✓","SCHEDULE",IF(OR(L284="1-Urgent",L284="2-High"),"DELEGATE","DELETE"))))</f>
        <v/>
      </c>
      <c r="P284" s="65" t="n"/>
      <c r="Q284">
        <f>IF(279&gt;Calc!$AQ$368,"",MATCH(278,Calc!$AQ$2:$AQ$367,1))</f>
        <v/>
      </c>
      <c r="R284">
        <f>IF(Q284="","",SMALL(INDEX(Calc!$B$2:$AO$367,Q284,0),279-INDEX(Calc!$AQ$2:$AQ$367,Q284)))</f>
        <v/>
      </c>
    </row>
    <row r="285">
      <c r="B285" s="71">
        <f>IF(R285="","",280)</f>
        <v/>
      </c>
      <c r="C285" s="75">
        <f>IF(R285="","",IF(INDEX('Recurring Schedule'!$C$6:$C$45,R285)="","",INDEX('Recurring Schedule'!$C$6:$C$45,R285)))</f>
        <v/>
      </c>
      <c r="D285" s="73">
        <f>IF(R285="","",IF(INDEX('Recurring Schedule'!$D$6:$D$45,R285)="","",INDEX('Recurring Schedule'!$D$6:$D$45,R285)))</f>
        <v/>
      </c>
      <c r="E285" s="76">
        <f>IF(Q285="","",INDEX(Calc!$A$2:$A$367,Q285))</f>
        <v/>
      </c>
      <c r="F285" s="72">
        <f>IF(OR(C285="",E285=""),"",E285-Setup!$D$7)</f>
        <v/>
      </c>
      <c r="G285" s="77">
        <f>IF(R285="","",IF(INDEX('Recurring Schedule'!$H$6:$H$45,R285)="","",INDEX('Recurring Schedule'!$H$6:$H$45,R285)))</f>
        <v/>
      </c>
      <c r="H285" s="77">
        <f>IF(R285="","",IF(INDEX('Recurring Schedule'!$I$6:$I$45,R285)="","",INDEX('Recurring Schedule'!$I$6:$I$45,R285)))</f>
        <v/>
      </c>
      <c r="I285" s="73">
        <f>IF(OR(G285="",H285=""),"",TRIM(IF(HOUR(H285-G285)&gt;0,HOUR(H285-G285)&amp;" hr ","")&amp;IF(MINUTE(H285-G285)&gt;0,MINUTE(H285-G285)&amp;" min","")))</f>
        <v/>
      </c>
      <c r="J285" s="66" t="n"/>
      <c r="K285" s="70" t="n"/>
      <c r="L285" s="73">
        <f>IF(R285="","",IF(INDEX('Recurring Schedule'!$J$6:$J$45,R285)="","",INDEX('Recurring Schedule'!$J$6:$J$45,R285)))</f>
        <v/>
      </c>
      <c r="M285" s="73">
        <f>IF(R285="","",IF(INDEX('Recurring Schedule'!$K$6:$K$45,R285)="","",INDEX('Recurring Schedule'!$K$6:$K$45,R285)))</f>
        <v/>
      </c>
      <c r="N285" s="73">
        <f>IF(R285="","",IF(INDEX('Recurring Schedule'!$L$6:$L$45,R285)="","",INDEX('Recurring Schedule'!$L$6:$L$45,R285)))</f>
        <v/>
      </c>
      <c r="O285" s="73">
        <f>IF(C285="","",IF(AND(OR(L285="1-Urgent",L285="2-High"),M285="✓"),"DO FIRST",IF(M285="✓","SCHEDULE",IF(OR(L285="1-Urgent",L285="2-High"),"DELEGATE","DELETE"))))</f>
        <v/>
      </c>
      <c r="P285" s="65" t="n"/>
      <c r="Q285">
        <f>IF(280&gt;Calc!$AQ$368,"",MATCH(279,Calc!$AQ$2:$AQ$367,1))</f>
        <v/>
      </c>
      <c r="R285">
        <f>IF(Q285="","",SMALL(INDEX(Calc!$B$2:$AO$367,Q285,0),280-INDEX(Calc!$AQ$2:$AQ$367,Q285)))</f>
        <v/>
      </c>
    </row>
    <row r="286">
      <c r="B286" s="64">
        <f>IF(R286="","",281)</f>
        <v/>
      </c>
      <c r="C286" s="37">
        <f>IF(R286="","",IF(INDEX('Recurring Schedule'!$C$6:$C$45,R286)="","",INDEX('Recurring Schedule'!$C$6:$C$45,R286)))</f>
        <v/>
      </c>
      <c r="D286" s="36">
        <f>IF(R286="","",IF(INDEX('Recurring Schedule'!$D$6:$D$45,R286)="","",INDEX('Recurring Schedule'!$D$6:$D$45,R286)))</f>
        <v/>
      </c>
      <c r="E286" s="38">
        <f>IF(Q286="","",INDEX(Calc!$A$2:$A$367,Q286))</f>
        <v/>
      </c>
      <c r="F286" s="68">
        <f>IF(OR(C286="",E286=""),"",E286-Setup!$D$7)</f>
        <v/>
      </c>
      <c r="G286" s="74">
        <f>IF(R286="","",IF(INDEX('Recurring Schedule'!$H$6:$H$45,R286)="","",INDEX('Recurring Schedule'!$H$6:$H$45,R286)))</f>
        <v/>
      </c>
      <c r="H286" s="74">
        <f>IF(R286="","",IF(INDEX('Recurring Schedule'!$I$6:$I$45,R286)="","",INDEX('Recurring Schedule'!$I$6:$I$45,R286)))</f>
        <v/>
      </c>
      <c r="I286" s="36">
        <f>IF(OR(G286="",H286=""),"",TRIM(IF(HOUR(H286-G286)&gt;0,HOUR(H286-G286)&amp;" hr ","")&amp;IF(MINUTE(H286-G286)&gt;0,MINUTE(H286-G286)&amp;" min","")))</f>
        <v/>
      </c>
      <c r="J286" s="66" t="n"/>
      <c r="K286" s="70" t="n"/>
      <c r="L286" s="36">
        <f>IF(R286="","",IF(INDEX('Recurring Schedule'!$J$6:$J$45,R286)="","",INDEX('Recurring Schedule'!$J$6:$J$45,R286)))</f>
        <v/>
      </c>
      <c r="M286" s="36">
        <f>IF(R286="","",IF(INDEX('Recurring Schedule'!$K$6:$K$45,R286)="","",INDEX('Recurring Schedule'!$K$6:$K$45,R286)))</f>
        <v/>
      </c>
      <c r="N286" s="36">
        <f>IF(R286="","",IF(INDEX('Recurring Schedule'!$L$6:$L$45,R286)="","",INDEX('Recurring Schedule'!$L$6:$L$45,R286)))</f>
        <v/>
      </c>
      <c r="O286" s="36">
        <f>IF(C286="","",IF(AND(OR(L286="1-Urgent",L286="2-High"),M286="✓"),"DO FIRST",IF(M286="✓","SCHEDULE",IF(OR(L286="1-Urgent",L286="2-High"),"DELEGATE","DELETE"))))</f>
        <v/>
      </c>
      <c r="P286" s="65" t="n"/>
      <c r="Q286">
        <f>IF(281&gt;Calc!$AQ$368,"",MATCH(280,Calc!$AQ$2:$AQ$367,1))</f>
        <v/>
      </c>
      <c r="R286">
        <f>IF(Q286="","",SMALL(INDEX(Calc!$B$2:$AO$367,Q286,0),281-INDEX(Calc!$AQ$2:$AQ$367,Q286)))</f>
        <v/>
      </c>
    </row>
    <row r="287">
      <c r="B287" s="71">
        <f>IF(R287="","",282)</f>
        <v/>
      </c>
      <c r="C287" s="75">
        <f>IF(R287="","",IF(INDEX('Recurring Schedule'!$C$6:$C$45,R287)="","",INDEX('Recurring Schedule'!$C$6:$C$45,R287)))</f>
        <v/>
      </c>
      <c r="D287" s="73">
        <f>IF(R287="","",IF(INDEX('Recurring Schedule'!$D$6:$D$45,R287)="","",INDEX('Recurring Schedule'!$D$6:$D$45,R287)))</f>
        <v/>
      </c>
      <c r="E287" s="76">
        <f>IF(Q287="","",INDEX(Calc!$A$2:$A$367,Q287))</f>
        <v/>
      </c>
      <c r="F287" s="72">
        <f>IF(OR(C287="",E287=""),"",E287-Setup!$D$7)</f>
        <v/>
      </c>
      <c r="G287" s="77">
        <f>IF(R287="","",IF(INDEX('Recurring Schedule'!$H$6:$H$45,R287)="","",INDEX('Recurring Schedule'!$H$6:$H$45,R287)))</f>
        <v/>
      </c>
      <c r="H287" s="77">
        <f>IF(R287="","",IF(INDEX('Recurring Schedule'!$I$6:$I$45,R287)="","",INDEX('Recurring Schedule'!$I$6:$I$45,R287)))</f>
        <v/>
      </c>
      <c r="I287" s="73">
        <f>IF(OR(G287="",H287=""),"",TRIM(IF(HOUR(H287-G287)&gt;0,HOUR(H287-G287)&amp;" hr ","")&amp;IF(MINUTE(H287-G287)&gt;0,MINUTE(H287-G287)&amp;" min","")))</f>
        <v/>
      </c>
      <c r="J287" s="66" t="n"/>
      <c r="K287" s="70" t="n"/>
      <c r="L287" s="73">
        <f>IF(R287="","",IF(INDEX('Recurring Schedule'!$J$6:$J$45,R287)="","",INDEX('Recurring Schedule'!$J$6:$J$45,R287)))</f>
        <v/>
      </c>
      <c r="M287" s="73">
        <f>IF(R287="","",IF(INDEX('Recurring Schedule'!$K$6:$K$45,R287)="","",INDEX('Recurring Schedule'!$K$6:$K$45,R287)))</f>
        <v/>
      </c>
      <c r="N287" s="73">
        <f>IF(R287="","",IF(INDEX('Recurring Schedule'!$L$6:$L$45,R287)="","",INDEX('Recurring Schedule'!$L$6:$L$45,R287)))</f>
        <v/>
      </c>
      <c r="O287" s="73">
        <f>IF(C287="","",IF(AND(OR(L287="1-Urgent",L287="2-High"),M287="✓"),"DO FIRST",IF(M287="✓","SCHEDULE",IF(OR(L287="1-Urgent",L287="2-High"),"DELEGATE","DELETE"))))</f>
        <v/>
      </c>
      <c r="P287" s="65" t="n"/>
      <c r="Q287">
        <f>IF(282&gt;Calc!$AQ$368,"",MATCH(281,Calc!$AQ$2:$AQ$367,1))</f>
        <v/>
      </c>
      <c r="R287">
        <f>IF(Q287="","",SMALL(INDEX(Calc!$B$2:$AO$367,Q287,0),282-INDEX(Calc!$AQ$2:$AQ$367,Q287)))</f>
        <v/>
      </c>
    </row>
    <row r="288">
      <c r="B288" s="64">
        <f>IF(R288="","",283)</f>
        <v/>
      </c>
      <c r="C288" s="37">
        <f>IF(R288="","",IF(INDEX('Recurring Schedule'!$C$6:$C$45,R288)="","",INDEX('Recurring Schedule'!$C$6:$C$45,R288)))</f>
        <v/>
      </c>
      <c r="D288" s="36">
        <f>IF(R288="","",IF(INDEX('Recurring Schedule'!$D$6:$D$45,R288)="","",INDEX('Recurring Schedule'!$D$6:$D$45,R288)))</f>
        <v/>
      </c>
      <c r="E288" s="38">
        <f>IF(Q288="","",INDEX(Calc!$A$2:$A$367,Q288))</f>
        <v/>
      </c>
      <c r="F288" s="68">
        <f>IF(OR(C288="",E288=""),"",E288-Setup!$D$7)</f>
        <v/>
      </c>
      <c r="G288" s="74">
        <f>IF(R288="","",IF(INDEX('Recurring Schedule'!$H$6:$H$45,R288)="","",INDEX('Recurring Schedule'!$H$6:$H$45,R288)))</f>
        <v/>
      </c>
      <c r="H288" s="74">
        <f>IF(R288="","",IF(INDEX('Recurring Schedule'!$I$6:$I$45,R288)="","",INDEX('Recurring Schedule'!$I$6:$I$45,R288)))</f>
        <v/>
      </c>
      <c r="I288" s="36">
        <f>IF(OR(G288="",H288=""),"",TRIM(IF(HOUR(H288-G288)&gt;0,HOUR(H288-G288)&amp;" hr ","")&amp;IF(MINUTE(H288-G288)&gt;0,MINUTE(H288-G288)&amp;" min","")))</f>
        <v/>
      </c>
      <c r="J288" s="66" t="n"/>
      <c r="K288" s="70" t="n"/>
      <c r="L288" s="36">
        <f>IF(R288="","",IF(INDEX('Recurring Schedule'!$J$6:$J$45,R288)="","",INDEX('Recurring Schedule'!$J$6:$J$45,R288)))</f>
        <v/>
      </c>
      <c r="M288" s="36">
        <f>IF(R288="","",IF(INDEX('Recurring Schedule'!$K$6:$K$45,R288)="","",INDEX('Recurring Schedule'!$K$6:$K$45,R288)))</f>
        <v/>
      </c>
      <c r="N288" s="36">
        <f>IF(R288="","",IF(INDEX('Recurring Schedule'!$L$6:$L$45,R288)="","",INDEX('Recurring Schedule'!$L$6:$L$45,R288)))</f>
        <v/>
      </c>
      <c r="O288" s="36">
        <f>IF(C288="","",IF(AND(OR(L288="1-Urgent",L288="2-High"),M288="✓"),"DO FIRST",IF(M288="✓","SCHEDULE",IF(OR(L288="1-Urgent",L288="2-High"),"DELEGATE","DELETE"))))</f>
        <v/>
      </c>
      <c r="P288" s="65" t="n"/>
      <c r="Q288">
        <f>IF(283&gt;Calc!$AQ$368,"",MATCH(282,Calc!$AQ$2:$AQ$367,1))</f>
        <v/>
      </c>
      <c r="R288">
        <f>IF(Q288="","",SMALL(INDEX(Calc!$B$2:$AO$367,Q288,0),283-INDEX(Calc!$AQ$2:$AQ$367,Q288)))</f>
        <v/>
      </c>
    </row>
    <row r="289">
      <c r="B289" s="71">
        <f>IF(R289="","",284)</f>
        <v/>
      </c>
      <c r="C289" s="75">
        <f>IF(R289="","",IF(INDEX('Recurring Schedule'!$C$6:$C$45,R289)="","",INDEX('Recurring Schedule'!$C$6:$C$45,R289)))</f>
        <v/>
      </c>
      <c r="D289" s="73">
        <f>IF(R289="","",IF(INDEX('Recurring Schedule'!$D$6:$D$45,R289)="","",INDEX('Recurring Schedule'!$D$6:$D$45,R289)))</f>
        <v/>
      </c>
      <c r="E289" s="76">
        <f>IF(Q289="","",INDEX(Calc!$A$2:$A$367,Q289))</f>
        <v/>
      </c>
      <c r="F289" s="72">
        <f>IF(OR(C289="",E289=""),"",E289-Setup!$D$7)</f>
        <v/>
      </c>
      <c r="G289" s="77">
        <f>IF(R289="","",IF(INDEX('Recurring Schedule'!$H$6:$H$45,R289)="","",INDEX('Recurring Schedule'!$H$6:$H$45,R289)))</f>
        <v/>
      </c>
      <c r="H289" s="77">
        <f>IF(R289="","",IF(INDEX('Recurring Schedule'!$I$6:$I$45,R289)="","",INDEX('Recurring Schedule'!$I$6:$I$45,R289)))</f>
        <v/>
      </c>
      <c r="I289" s="73">
        <f>IF(OR(G289="",H289=""),"",TRIM(IF(HOUR(H289-G289)&gt;0,HOUR(H289-G289)&amp;" hr ","")&amp;IF(MINUTE(H289-G289)&gt;0,MINUTE(H289-G289)&amp;" min","")))</f>
        <v/>
      </c>
      <c r="J289" s="66" t="n"/>
      <c r="K289" s="70" t="n"/>
      <c r="L289" s="73">
        <f>IF(R289="","",IF(INDEX('Recurring Schedule'!$J$6:$J$45,R289)="","",INDEX('Recurring Schedule'!$J$6:$J$45,R289)))</f>
        <v/>
      </c>
      <c r="M289" s="73">
        <f>IF(R289="","",IF(INDEX('Recurring Schedule'!$K$6:$K$45,R289)="","",INDEX('Recurring Schedule'!$K$6:$K$45,R289)))</f>
        <v/>
      </c>
      <c r="N289" s="73">
        <f>IF(R289="","",IF(INDEX('Recurring Schedule'!$L$6:$L$45,R289)="","",INDEX('Recurring Schedule'!$L$6:$L$45,R289)))</f>
        <v/>
      </c>
      <c r="O289" s="73">
        <f>IF(C289="","",IF(AND(OR(L289="1-Urgent",L289="2-High"),M289="✓"),"DO FIRST",IF(M289="✓","SCHEDULE",IF(OR(L289="1-Urgent",L289="2-High"),"DELEGATE","DELETE"))))</f>
        <v/>
      </c>
      <c r="P289" s="65" t="n"/>
      <c r="Q289">
        <f>IF(284&gt;Calc!$AQ$368,"",MATCH(283,Calc!$AQ$2:$AQ$367,1))</f>
        <v/>
      </c>
      <c r="R289">
        <f>IF(Q289="","",SMALL(INDEX(Calc!$B$2:$AO$367,Q289,0),284-INDEX(Calc!$AQ$2:$AQ$367,Q289)))</f>
        <v/>
      </c>
    </row>
    <row r="290">
      <c r="B290" s="64">
        <f>IF(R290="","",285)</f>
        <v/>
      </c>
      <c r="C290" s="37">
        <f>IF(R290="","",IF(INDEX('Recurring Schedule'!$C$6:$C$45,R290)="","",INDEX('Recurring Schedule'!$C$6:$C$45,R290)))</f>
        <v/>
      </c>
      <c r="D290" s="36">
        <f>IF(R290="","",IF(INDEX('Recurring Schedule'!$D$6:$D$45,R290)="","",INDEX('Recurring Schedule'!$D$6:$D$45,R290)))</f>
        <v/>
      </c>
      <c r="E290" s="38">
        <f>IF(Q290="","",INDEX(Calc!$A$2:$A$367,Q290))</f>
        <v/>
      </c>
      <c r="F290" s="68">
        <f>IF(OR(C290="",E290=""),"",E290-Setup!$D$7)</f>
        <v/>
      </c>
      <c r="G290" s="74">
        <f>IF(R290="","",IF(INDEX('Recurring Schedule'!$H$6:$H$45,R290)="","",INDEX('Recurring Schedule'!$H$6:$H$45,R290)))</f>
        <v/>
      </c>
      <c r="H290" s="74">
        <f>IF(R290="","",IF(INDEX('Recurring Schedule'!$I$6:$I$45,R290)="","",INDEX('Recurring Schedule'!$I$6:$I$45,R290)))</f>
        <v/>
      </c>
      <c r="I290" s="36">
        <f>IF(OR(G290="",H290=""),"",TRIM(IF(HOUR(H290-G290)&gt;0,HOUR(H290-G290)&amp;" hr ","")&amp;IF(MINUTE(H290-G290)&gt;0,MINUTE(H290-G290)&amp;" min","")))</f>
        <v/>
      </c>
      <c r="J290" s="66" t="n"/>
      <c r="K290" s="70" t="n"/>
      <c r="L290" s="36">
        <f>IF(R290="","",IF(INDEX('Recurring Schedule'!$J$6:$J$45,R290)="","",INDEX('Recurring Schedule'!$J$6:$J$45,R290)))</f>
        <v/>
      </c>
      <c r="M290" s="36">
        <f>IF(R290="","",IF(INDEX('Recurring Schedule'!$K$6:$K$45,R290)="","",INDEX('Recurring Schedule'!$K$6:$K$45,R290)))</f>
        <v/>
      </c>
      <c r="N290" s="36">
        <f>IF(R290="","",IF(INDEX('Recurring Schedule'!$L$6:$L$45,R290)="","",INDEX('Recurring Schedule'!$L$6:$L$45,R290)))</f>
        <v/>
      </c>
      <c r="O290" s="36">
        <f>IF(C290="","",IF(AND(OR(L290="1-Urgent",L290="2-High"),M290="✓"),"DO FIRST",IF(M290="✓","SCHEDULE",IF(OR(L290="1-Urgent",L290="2-High"),"DELEGATE","DELETE"))))</f>
        <v/>
      </c>
      <c r="P290" s="65" t="n"/>
      <c r="Q290">
        <f>IF(285&gt;Calc!$AQ$368,"",MATCH(284,Calc!$AQ$2:$AQ$367,1))</f>
        <v/>
      </c>
      <c r="R290">
        <f>IF(Q290="","",SMALL(INDEX(Calc!$B$2:$AO$367,Q290,0),285-INDEX(Calc!$AQ$2:$AQ$367,Q290)))</f>
        <v/>
      </c>
    </row>
    <row r="291">
      <c r="B291" s="71">
        <f>IF(R291="","",286)</f>
        <v/>
      </c>
      <c r="C291" s="75">
        <f>IF(R291="","",IF(INDEX('Recurring Schedule'!$C$6:$C$45,R291)="","",INDEX('Recurring Schedule'!$C$6:$C$45,R291)))</f>
        <v/>
      </c>
      <c r="D291" s="73">
        <f>IF(R291="","",IF(INDEX('Recurring Schedule'!$D$6:$D$45,R291)="","",INDEX('Recurring Schedule'!$D$6:$D$45,R291)))</f>
        <v/>
      </c>
      <c r="E291" s="76">
        <f>IF(Q291="","",INDEX(Calc!$A$2:$A$367,Q291))</f>
        <v/>
      </c>
      <c r="F291" s="72">
        <f>IF(OR(C291="",E291=""),"",E291-Setup!$D$7)</f>
        <v/>
      </c>
      <c r="G291" s="77">
        <f>IF(R291="","",IF(INDEX('Recurring Schedule'!$H$6:$H$45,R291)="","",INDEX('Recurring Schedule'!$H$6:$H$45,R291)))</f>
        <v/>
      </c>
      <c r="H291" s="77">
        <f>IF(R291="","",IF(INDEX('Recurring Schedule'!$I$6:$I$45,R291)="","",INDEX('Recurring Schedule'!$I$6:$I$45,R291)))</f>
        <v/>
      </c>
      <c r="I291" s="73">
        <f>IF(OR(G291="",H291=""),"",TRIM(IF(HOUR(H291-G291)&gt;0,HOUR(H291-G291)&amp;" hr ","")&amp;IF(MINUTE(H291-G291)&gt;0,MINUTE(H291-G291)&amp;" min","")))</f>
        <v/>
      </c>
      <c r="J291" s="66" t="n"/>
      <c r="K291" s="70" t="n"/>
      <c r="L291" s="73">
        <f>IF(R291="","",IF(INDEX('Recurring Schedule'!$J$6:$J$45,R291)="","",INDEX('Recurring Schedule'!$J$6:$J$45,R291)))</f>
        <v/>
      </c>
      <c r="M291" s="73">
        <f>IF(R291="","",IF(INDEX('Recurring Schedule'!$K$6:$K$45,R291)="","",INDEX('Recurring Schedule'!$K$6:$K$45,R291)))</f>
        <v/>
      </c>
      <c r="N291" s="73">
        <f>IF(R291="","",IF(INDEX('Recurring Schedule'!$L$6:$L$45,R291)="","",INDEX('Recurring Schedule'!$L$6:$L$45,R291)))</f>
        <v/>
      </c>
      <c r="O291" s="73">
        <f>IF(C291="","",IF(AND(OR(L291="1-Urgent",L291="2-High"),M291="✓"),"DO FIRST",IF(M291="✓","SCHEDULE",IF(OR(L291="1-Urgent",L291="2-High"),"DELEGATE","DELETE"))))</f>
        <v/>
      </c>
      <c r="P291" s="65" t="n"/>
      <c r="Q291">
        <f>IF(286&gt;Calc!$AQ$368,"",MATCH(285,Calc!$AQ$2:$AQ$367,1))</f>
        <v/>
      </c>
      <c r="R291">
        <f>IF(Q291="","",SMALL(INDEX(Calc!$B$2:$AO$367,Q291,0),286-INDEX(Calc!$AQ$2:$AQ$367,Q291)))</f>
        <v/>
      </c>
    </row>
    <row r="292">
      <c r="B292" s="64">
        <f>IF(R292="","",287)</f>
        <v/>
      </c>
      <c r="C292" s="37">
        <f>IF(R292="","",IF(INDEX('Recurring Schedule'!$C$6:$C$45,R292)="","",INDEX('Recurring Schedule'!$C$6:$C$45,R292)))</f>
        <v/>
      </c>
      <c r="D292" s="36">
        <f>IF(R292="","",IF(INDEX('Recurring Schedule'!$D$6:$D$45,R292)="","",INDEX('Recurring Schedule'!$D$6:$D$45,R292)))</f>
        <v/>
      </c>
      <c r="E292" s="38">
        <f>IF(Q292="","",INDEX(Calc!$A$2:$A$367,Q292))</f>
        <v/>
      </c>
      <c r="F292" s="68">
        <f>IF(OR(C292="",E292=""),"",E292-Setup!$D$7)</f>
        <v/>
      </c>
      <c r="G292" s="74">
        <f>IF(R292="","",IF(INDEX('Recurring Schedule'!$H$6:$H$45,R292)="","",INDEX('Recurring Schedule'!$H$6:$H$45,R292)))</f>
        <v/>
      </c>
      <c r="H292" s="74">
        <f>IF(R292="","",IF(INDEX('Recurring Schedule'!$I$6:$I$45,R292)="","",INDEX('Recurring Schedule'!$I$6:$I$45,R292)))</f>
        <v/>
      </c>
      <c r="I292" s="36">
        <f>IF(OR(G292="",H292=""),"",TRIM(IF(HOUR(H292-G292)&gt;0,HOUR(H292-G292)&amp;" hr ","")&amp;IF(MINUTE(H292-G292)&gt;0,MINUTE(H292-G292)&amp;" min","")))</f>
        <v/>
      </c>
      <c r="J292" s="66" t="n"/>
      <c r="K292" s="70" t="n"/>
      <c r="L292" s="36">
        <f>IF(R292="","",IF(INDEX('Recurring Schedule'!$J$6:$J$45,R292)="","",INDEX('Recurring Schedule'!$J$6:$J$45,R292)))</f>
        <v/>
      </c>
      <c r="M292" s="36">
        <f>IF(R292="","",IF(INDEX('Recurring Schedule'!$K$6:$K$45,R292)="","",INDEX('Recurring Schedule'!$K$6:$K$45,R292)))</f>
        <v/>
      </c>
      <c r="N292" s="36">
        <f>IF(R292="","",IF(INDEX('Recurring Schedule'!$L$6:$L$45,R292)="","",INDEX('Recurring Schedule'!$L$6:$L$45,R292)))</f>
        <v/>
      </c>
      <c r="O292" s="36">
        <f>IF(C292="","",IF(AND(OR(L292="1-Urgent",L292="2-High"),M292="✓"),"DO FIRST",IF(M292="✓","SCHEDULE",IF(OR(L292="1-Urgent",L292="2-High"),"DELEGATE","DELETE"))))</f>
        <v/>
      </c>
      <c r="P292" s="65" t="n"/>
      <c r="Q292">
        <f>IF(287&gt;Calc!$AQ$368,"",MATCH(286,Calc!$AQ$2:$AQ$367,1))</f>
        <v/>
      </c>
      <c r="R292">
        <f>IF(Q292="","",SMALL(INDEX(Calc!$B$2:$AO$367,Q292,0),287-INDEX(Calc!$AQ$2:$AQ$367,Q292)))</f>
        <v/>
      </c>
    </row>
    <row r="293">
      <c r="B293" s="71">
        <f>IF(R293="","",288)</f>
        <v/>
      </c>
      <c r="C293" s="75">
        <f>IF(R293="","",IF(INDEX('Recurring Schedule'!$C$6:$C$45,R293)="","",INDEX('Recurring Schedule'!$C$6:$C$45,R293)))</f>
        <v/>
      </c>
      <c r="D293" s="73">
        <f>IF(R293="","",IF(INDEX('Recurring Schedule'!$D$6:$D$45,R293)="","",INDEX('Recurring Schedule'!$D$6:$D$45,R293)))</f>
        <v/>
      </c>
      <c r="E293" s="76">
        <f>IF(Q293="","",INDEX(Calc!$A$2:$A$367,Q293))</f>
        <v/>
      </c>
      <c r="F293" s="72">
        <f>IF(OR(C293="",E293=""),"",E293-Setup!$D$7)</f>
        <v/>
      </c>
      <c r="G293" s="77">
        <f>IF(R293="","",IF(INDEX('Recurring Schedule'!$H$6:$H$45,R293)="","",INDEX('Recurring Schedule'!$H$6:$H$45,R293)))</f>
        <v/>
      </c>
      <c r="H293" s="77">
        <f>IF(R293="","",IF(INDEX('Recurring Schedule'!$I$6:$I$45,R293)="","",INDEX('Recurring Schedule'!$I$6:$I$45,R293)))</f>
        <v/>
      </c>
      <c r="I293" s="73">
        <f>IF(OR(G293="",H293=""),"",TRIM(IF(HOUR(H293-G293)&gt;0,HOUR(H293-G293)&amp;" hr ","")&amp;IF(MINUTE(H293-G293)&gt;0,MINUTE(H293-G293)&amp;" min","")))</f>
        <v/>
      </c>
      <c r="J293" s="66" t="n"/>
      <c r="K293" s="70" t="n"/>
      <c r="L293" s="73">
        <f>IF(R293="","",IF(INDEX('Recurring Schedule'!$J$6:$J$45,R293)="","",INDEX('Recurring Schedule'!$J$6:$J$45,R293)))</f>
        <v/>
      </c>
      <c r="M293" s="73">
        <f>IF(R293="","",IF(INDEX('Recurring Schedule'!$K$6:$K$45,R293)="","",INDEX('Recurring Schedule'!$K$6:$K$45,R293)))</f>
        <v/>
      </c>
      <c r="N293" s="73">
        <f>IF(R293="","",IF(INDEX('Recurring Schedule'!$L$6:$L$45,R293)="","",INDEX('Recurring Schedule'!$L$6:$L$45,R293)))</f>
        <v/>
      </c>
      <c r="O293" s="73">
        <f>IF(C293="","",IF(AND(OR(L293="1-Urgent",L293="2-High"),M293="✓"),"DO FIRST",IF(M293="✓","SCHEDULE",IF(OR(L293="1-Urgent",L293="2-High"),"DELEGATE","DELETE"))))</f>
        <v/>
      </c>
      <c r="P293" s="65" t="n"/>
      <c r="Q293">
        <f>IF(288&gt;Calc!$AQ$368,"",MATCH(287,Calc!$AQ$2:$AQ$367,1))</f>
        <v/>
      </c>
      <c r="R293">
        <f>IF(Q293="","",SMALL(INDEX(Calc!$B$2:$AO$367,Q293,0),288-INDEX(Calc!$AQ$2:$AQ$367,Q293)))</f>
        <v/>
      </c>
    </row>
    <row r="294">
      <c r="B294" s="64">
        <f>IF(R294="","",289)</f>
        <v/>
      </c>
      <c r="C294" s="37">
        <f>IF(R294="","",IF(INDEX('Recurring Schedule'!$C$6:$C$45,R294)="","",INDEX('Recurring Schedule'!$C$6:$C$45,R294)))</f>
        <v/>
      </c>
      <c r="D294" s="36">
        <f>IF(R294="","",IF(INDEX('Recurring Schedule'!$D$6:$D$45,R294)="","",INDEX('Recurring Schedule'!$D$6:$D$45,R294)))</f>
        <v/>
      </c>
      <c r="E294" s="38">
        <f>IF(Q294="","",INDEX(Calc!$A$2:$A$367,Q294))</f>
        <v/>
      </c>
      <c r="F294" s="68">
        <f>IF(OR(C294="",E294=""),"",E294-Setup!$D$7)</f>
        <v/>
      </c>
      <c r="G294" s="74">
        <f>IF(R294="","",IF(INDEX('Recurring Schedule'!$H$6:$H$45,R294)="","",INDEX('Recurring Schedule'!$H$6:$H$45,R294)))</f>
        <v/>
      </c>
      <c r="H294" s="74">
        <f>IF(R294="","",IF(INDEX('Recurring Schedule'!$I$6:$I$45,R294)="","",INDEX('Recurring Schedule'!$I$6:$I$45,R294)))</f>
        <v/>
      </c>
      <c r="I294" s="36">
        <f>IF(OR(G294="",H294=""),"",TRIM(IF(HOUR(H294-G294)&gt;0,HOUR(H294-G294)&amp;" hr ","")&amp;IF(MINUTE(H294-G294)&gt;0,MINUTE(H294-G294)&amp;" min","")))</f>
        <v/>
      </c>
      <c r="J294" s="66" t="n"/>
      <c r="K294" s="70" t="n"/>
      <c r="L294" s="36">
        <f>IF(R294="","",IF(INDEX('Recurring Schedule'!$J$6:$J$45,R294)="","",INDEX('Recurring Schedule'!$J$6:$J$45,R294)))</f>
        <v/>
      </c>
      <c r="M294" s="36">
        <f>IF(R294="","",IF(INDEX('Recurring Schedule'!$K$6:$K$45,R294)="","",INDEX('Recurring Schedule'!$K$6:$K$45,R294)))</f>
        <v/>
      </c>
      <c r="N294" s="36">
        <f>IF(R294="","",IF(INDEX('Recurring Schedule'!$L$6:$L$45,R294)="","",INDEX('Recurring Schedule'!$L$6:$L$45,R294)))</f>
        <v/>
      </c>
      <c r="O294" s="36">
        <f>IF(C294="","",IF(AND(OR(L294="1-Urgent",L294="2-High"),M294="✓"),"DO FIRST",IF(M294="✓","SCHEDULE",IF(OR(L294="1-Urgent",L294="2-High"),"DELEGATE","DELETE"))))</f>
        <v/>
      </c>
      <c r="P294" s="65" t="n"/>
      <c r="Q294">
        <f>IF(289&gt;Calc!$AQ$368,"",MATCH(288,Calc!$AQ$2:$AQ$367,1))</f>
        <v/>
      </c>
      <c r="R294">
        <f>IF(Q294="","",SMALL(INDEX(Calc!$B$2:$AO$367,Q294,0),289-INDEX(Calc!$AQ$2:$AQ$367,Q294)))</f>
        <v/>
      </c>
    </row>
    <row r="295">
      <c r="B295" s="71">
        <f>IF(R295="","",290)</f>
        <v/>
      </c>
      <c r="C295" s="75">
        <f>IF(R295="","",IF(INDEX('Recurring Schedule'!$C$6:$C$45,R295)="","",INDEX('Recurring Schedule'!$C$6:$C$45,R295)))</f>
        <v/>
      </c>
      <c r="D295" s="73">
        <f>IF(R295="","",IF(INDEX('Recurring Schedule'!$D$6:$D$45,R295)="","",INDEX('Recurring Schedule'!$D$6:$D$45,R295)))</f>
        <v/>
      </c>
      <c r="E295" s="76">
        <f>IF(Q295="","",INDEX(Calc!$A$2:$A$367,Q295))</f>
        <v/>
      </c>
      <c r="F295" s="72">
        <f>IF(OR(C295="",E295=""),"",E295-Setup!$D$7)</f>
        <v/>
      </c>
      <c r="G295" s="77">
        <f>IF(R295="","",IF(INDEX('Recurring Schedule'!$H$6:$H$45,R295)="","",INDEX('Recurring Schedule'!$H$6:$H$45,R295)))</f>
        <v/>
      </c>
      <c r="H295" s="77">
        <f>IF(R295="","",IF(INDEX('Recurring Schedule'!$I$6:$I$45,R295)="","",INDEX('Recurring Schedule'!$I$6:$I$45,R295)))</f>
        <v/>
      </c>
      <c r="I295" s="73">
        <f>IF(OR(G295="",H295=""),"",TRIM(IF(HOUR(H295-G295)&gt;0,HOUR(H295-G295)&amp;" hr ","")&amp;IF(MINUTE(H295-G295)&gt;0,MINUTE(H295-G295)&amp;" min","")))</f>
        <v/>
      </c>
      <c r="J295" s="66" t="n"/>
      <c r="K295" s="70" t="n"/>
      <c r="L295" s="73">
        <f>IF(R295="","",IF(INDEX('Recurring Schedule'!$J$6:$J$45,R295)="","",INDEX('Recurring Schedule'!$J$6:$J$45,R295)))</f>
        <v/>
      </c>
      <c r="M295" s="73">
        <f>IF(R295="","",IF(INDEX('Recurring Schedule'!$K$6:$K$45,R295)="","",INDEX('Recurring Schedule'!$K$6:$K$45,R295)))</f>
        <v/>
      </c>
      <c r="N295" s="73">
        <f>IF(R295="","",IF(INDEX('Recurring Schedule'!$L$6:$L$45,R295)="","",INDEX('Recurring Schedule'!$L$6:$L$45,R295)))</f>
        <v/>
      </c>
      <c r="O295" s="73">
        <f>IF(C295="","",IF(AND(OR(L295="1-Urgent",L295="2-High"),M295="✓"),"DO FIRST",IF(M295="✓","SCHEDULE",IF(OR(L295="1-Urgent",L295="2-High"),"DELEGATE","DELETE"))))</f>
        <v/>
      </c>
      <c r="P295" s="65" t="n"/>
      <c r="Q295">
        <f>IF(290&gt;Calc!$AQ$368,"",MATCH(289,Calc!$AQ$2:$AQ$367,1))</f>
        <v/>
      </c>
      <c r="R295">
        <f>IF(Q295="","",SMALL(INDEX(Calc!$B$2:$AO$367,Q295,0),290-INDEX(Calc!$AQ$2:$AQ$367,Q295)))</f>
        <v/>
      </c>
    </row>
    <row r="296">
      <c r="B296" s="64">
        <f>IF(R296="","",291)</f>
        <v/>
      </c>
      <c r="C296" s="37">
        <f>IF(R296="","",IF(INDEX('Recurring Schedule'!$C$6:$C$45,R296)="","",INDEX('Recurring Schedule'!$C$6:$C$45,R296)))</f>
        <v/>
      </c>
      <c r="D296" s="36">
        <f>IF(R296="","",IF(INDEX('Recurring Schedule'!$D$6:$D$45,R296)="","",INDEX('Recurring Schedule'!$D$6:$D$45,R296)))</f>
        <v/>
      </c>
      <c r="E296" s="38">
        <f>IF(Q296="","",INDEX(Calc!$A$2:$A$367,Q296))</f>
        <v/>
      </c>
      <c r="F296" s="68">
        <f>IF(OR(C296="",E296=""),"",E296-Setup!$D$7)</f>
        <v/>
      </c>
      <c r="G296" s="74">
        <f>IF(R296="","",IF(INDEX('Recurring Schedule'!$H$6:$H$45,R296)="","",INDEX('Recurring Schedule'!$H$6:$H$45,R296)))</f>
        <v/>
      </c>
      <c r="H296" s="74">
        <f>IF(R296="","",IF(INDEX('Recurring Schedule'!$I$6:$I$45,R296)="","",INDEX('Recurring Schedule'!$I$6:$I$45,R296)))</f>
        <v/>
      </c>
      <c r="I296" s="36">
        <f>IF(OR(G296="",H296=""),"",TRIM(IF(HOUR(H296-G296)&gt;0,HOUR(H296-G296)&amp;" hr ","")&amp;IF(MINUTE(H296-G296)&gt;0,MINUTE(H296-G296)&amp;" min","")))</f>
        <v/>
      </c>
      <c r="J296" s="66" t="n"/>
      <c r="K296" s="70" t="n"/>
      <c r="L296" s="36">
        <f>IF(R296="","",IF(INDEX('Recurring Schedule'!$J$6:$J$45,R296)="","",INDEX('Recurring Schedule'!$J$6:$J$45,R296)))</f>
        <v/>
      </c>
      <c r="M296" s="36">
        <f>IF(R296="","",IF(INDEX('Recurring Schedule'!$K$6:$K$45,R296)="","",INDEX('Recurring Schedule'!$K$6:$K$45,R296)))</f>
        <v/>
      </c>
      <c r="N296" s="36">
        <f>IF(R296="","",IF(INDEX('Recurring Schedule'!$L$6:$L$45,R296)="","",INDEX('Recurring Schedule'!$L$6:$L$45,R296)))</f>
        <v/>
      </c>
      <c r="O296" s="36">
        <f>IF(C296="","",IF(AND(OR(L296="1-Urgent",L296="2-High"),M296="✓"),"DO FIRST",IF(M296="✓","SCHEDULE",IF(OR(L296="1-Urgent",L296="2-High"),"DELEGATE","DELETE"))))</f>
        <v/>
      </c>
      <c r="P296" s="65" t="n"/>
      <c r="Q296">
        <f>IF(291&gt;Calc!$AQ$368,"",MATCH(290,Calc!$AQ$2:$AQ$367,1))</f>
        <v/>
      </c>
      <c r="R296">
        <f>IF(Q296="","",SMALL(INDEX(Calc!$B$2:$AO$367,Q296,0),291-INDEX(Calc!$AQ$2:$AQ$367,Q296)))</f>
        <v/>
      </c>
    </row>
    <row r="297">
      <c r="B297" s="71">
        <f>IF(R297="","",292)</f>
        <v/>
      </c>
      <c r="C297" s="75">
        <f>IF(R297="","",IF(INDEX('Recurring Schedule'!$C$6:$C$45,R297)="","",INDEX('Recurring Schedule'!$C$6:$C$45,R297)))</f>
        <v/>
      </c>
      <c r="D297" s="73">
        <f>IF(R297="","",IF(INDEX('Recurring Schedule'!$D$6:$D$45,R297)="","",INDEX('Recurring Schedule'!$D$6:$D$45,R297)))</f>
        <v/>
      </c>
      <c r="E297" s="76">
        <f>IF(Q297="","",INDEX(Calc!$A$2:$A$367,Q297))</f>
        <v/>
      </c>
      <c r="F297" s="72">
        <f>IF(OR(C297="",E297=""),"",E297-Setup!$D$7)</f>
        <v/>
      </c>
      <c r="G297" s="77">
        <f>IF(R297="","",IF(INDEX('Recurring Schedule'!$H$6:$H$45,R297)="","",INDEX('Recurring Schedule'!$H$6:$H$45,R297)))</f>
        <v/>
      </c>
      <c r="H297" s="77">
        <f>IF(R297="","",IF(INDEX('Recurring Schedule'!$I$6:$I$45,R297)="","",INDEX('Recurring Schedule'!$I$6:$I$45,R297)))</f>
        <v/>
      </c>
      <c r="I297" s="73">
        <f>IF(OR(G297="",H297=""),"",TRIM(IF(HOUR(H297-G297)&gt;0,HOUR(H297-G297)&amp;" hr ","")&amp;IF(MINUTE(H297-G297)&gt;0,MINUTE(H297-G297)&amp;" min","")))</f>
        <v/>
      </c>
      <c r="J297" s="66" t="n"/>
      <c r="K297" s="70" t="n"/>
      <c r="L297" s="73">
        <f>IF(R297="","",IF(INDEX('Recurring Schedule'!$J$6:$J$45,R297)="","",INDEX('Recurring Schedule'!$J$6:$J$45,R297)))</f>
        <v/>
      </c>
      <c r="M297" s="73">
        <f>IF(R297="","",IF(INDEX('Recurring Schedule'!$K$6:$K$45,R297)="","",INDEX('Recurring Schedule'!$K$6:$K$45,R297)))</f>
        <v/>
      </c>
      <c r="N297" s="73">
        <f>IF(R297="","",IF(INDEX('Recurring Schedule'!$L$6:$L$45,R297)="","",INDEX('Recurring Schedule'!$L$6:$L$45,R297)))</f>
        <v/>
      </c>
      <c r="O297" s="73">
        <f>IF(C297="","",IF(AND(OR(L297="1-Urgent",L297="2-High"),M297="✓"),"DO FIRST",IF(M297="✓","SCHEDULE",IF(OR(L297="1-Urgent",L297="2-High"),"DELEGATE","DELETE"))))</f>
        <v/>
      </c>
      <c r="P297" s="65" t="n"/>
      <c r="Q297">
        <f>IF(292&gt;Calc!$AQ$368,"",MATCH(291,Calc!$AQ$2:$AQ$367,1))</f>
        <v/>
      </c>
      <c r="R297">
        <f>IF(Q297="","",SMALL(INDEX(Calc!$B$2:$AO$367,Q297,0),292-INDEX(Calc!$AQ$2:$AQ$367,Q297)))</f>
        <v/>
      </c>
    </row>
    <row r="298">
      <c r="B298" s="64">
        <f>IF(R298="","",293)</f>
        <v/>
      </c>
      <c r="C298" s="37">
        <f>IF(R298="","",IF(INDEX('Recurring Schedule'!$C$6:$C$45,R298)="","",INDEX('Recurring Schedule'!$C$6:$C$45,R298)))</f>
        <v/>
      </c>
      <c r="D298" s="36">
        <f>IF(R298="","",IF(INDEX('Recurring Schedule'!$D$6:$D$45,R298)="","",INDEX('Recurring Schedule'!$D$6:$D$45,R298)))</f>
        <v/>
      </c>
      <c r="E298" s="38">
        <f>IF(Q298="","",INDEX(Calc!$A$2:$A$367,Q298))</f>
        <v/>
      </c>
      <c r="F298" s="68">
        <f>IF(OR(C298="",E298=""),"",E298-Setup!$D$7)</f>
        <v/>
      </c>
      <c r="G298" s="74">
        <f>IF(R298="","",IF(INDEX('Recurring Schedule'!$H$6:$H$45,R298)="","",INDEX('Recurring Schedule'!$H$6:$H$45,R298)))</f>
        <v/>
      </c>
      <c r="H298" s="74">
        <f>IF(R298="","",IF(INDEX('Recurring Schedule'!$I$6:$I$45,R298)="","",INDEX('Recurring Schedule'!$I$6:$I$45,R298)))</f>
        <v/>
      </c>
      <c r="I298" s="36">
        <f>IF(OR(G298="",H298=""),"",TRIM(IF(HOUR(H298-G298)&gt;0,HOUR(H298-G298)&amp;" hr ","")&amp;IF(MINUTE(H298-G298)&gt;0,MINUTE(H298-G298)&amp;" min","")))</f>
        <v/>
      </c>
      <c r="J298" s="66" t="n"/>
      <c r="K298" s="70" t="n"/>
      <c r="L298" s="36">
        <f>IF(R298="","",IF(INDEX('Recurring Schedule'!$J$6:$J$45,R298)="","",INDEX('Recurring Schedule'!$J$6:$J$45,R298)))</f>
        <v/>
      </c>
      <c r="M298" s="36">
        <f>IF(R298="","",IF(INDEX('Recurring Schedule'!$K$6:$K$45,R298)="","",INDEX('Recurring Schedule'!$K$6:$K$45,R298)))</f>
        <v/>
      </c>
      <c r="N298" s="36">
        <f>IF(R298="","",IF(INDEX('Recurring Schedule'!$L$6:$L$45,R298)="","",INDEX('Recurring Schedule'!$L$6:$L$45,R298)))</f>
        <v/>
      </c>
      <c r="O298" s="36">
        <f>IF(C298="","",IF(AND(OR(L298="1-Urgent",L298="2-High"),M298="✓"),"DO FIRST",IF(M298="✓","SCHEDULE",IF(OR(L298="1-Urgent",L298="2-High"),"DELEGATE","DELETE"))))</f>
        <v/>
      </c>
      <c r="P298" s="65" t="n"/>
      <c r="Q298">
        <f>IF(293&gt;Calc!$AQ$368,"",MATCH(292,Calc!$AQ$2:$AQ$367,1))</f>
        <v/>
      </c>
      <c r="R298">
        <f>IF(Q298="","",SMALL(INDEX(Calc!$B$2:$AO$367,Q298,0),293-INDEX(Calc!$AQ$2:$AQ$367,Q298)))</f>
        <v/>
      </c>
    </row>
    <row r="299">
      <c r="B299" s="71">
        <f>IF(R299="","",294)</f>
        <v/>
      </c>
      <c r="C299" s="75">
        <f>IF(R299="","",IF(INDEX('Recurring Schedule'!$C$6:$C$45,R299)="","",INDEX('Recurring Schedule'!$C$6:$C$45,R299)))</f>
        <v/>
      </c>
      <c r="D299" s="73">
        <f>IF(R299="","",IF(INDEX('Recurring Schedule'!$D$6:$D$45,R299)="","",INDEX('Recurring Schedule'!$D$6:$D$45,R299)))</f>
        <v/>
      </c>
      <c r="E299" s="76">
        <f>IF(Q299="","",INDEX(Calc!$A$2:$A$367,Q299))</f>
        <v/>
      </c>
      <c r="F299" s="72">
        <f>IF(OR(C299="",E299=""),"",E299-Setup!$D$7)</f>
        <v/>
      </c>
      <c r="G299" s="77">
        <f>IF(R299="","",IF(INDEX('Recurring Schedule'!$H$6:$H$45,R299)="","",INDEX('Recurring Schedule'!$H$6:$H$45,R299)))</f>
        <v/>
      </c>
      <c r="H299" s="77">
        <f>IF(R299="","",IF(INDEX('Recurring Schedule'!$I$6:$I$45,R299)="","",INDEX('Recurring Schedule'!$I$6:$I$45,R299)))</f>
        <v/>
      </c>
      <c r="I299" s="73">
        <f>IF(OR(G299="",H299=""),"",TRIM(IF(HOUR(H299-G299)&gt;0,HOUR(H299-G299)&amp;" hr ","")&amp;IF(MINUTE(H299-G299)&gt;0,MINUTE(H299-G299)&amp;" min","")))</f>
        <v/>
      </c>
      <c r="J299" s="66" t="n"/>
      <c r="K299" s="70" t="n"/>
      <c r="L299" s="73">
        <f>IF(R299="","",IF(INDEX('Recurring Schedule'!$J$6:$J$45,R299)="","",INDEX('Recurring Schedule'!$J$6:$J$45,R299)))</f>
        <v/>
      </c>
      <c r="M299" s="73">
        <f>IF(R299="","",IF(INDEX('Recurring Schedule'!$K$6:$K$45,R299)="","",INDEX('Recurring Schedule'!$K$6:$K$45,R299)))</f>
        <v/>
      </c>
      <c r="N299" s="73">
        <f>IF(R299="","",IF(INDEX('Recurring Schedule'!$L$6:$L$45,R299)="","",INDEX('Recurring Schedule'!$L$6:$L$45,R299)))</f>
        <v/>
      </c>
      <c r="O299" s="73">
        <f>IF(C299="","",IF(AND(OR(L299="1-Urgent",L299="2-High"),M299="✓"),"DO FIRST",IF(M299="✓","SCHEDULE",IF(OR(L299="1-Urgent",L299="2-High"),"DELEGATE","DELETE"))))</f>
        <v/>
      </c>
      <c r="P299" s="65" t="n"/>
      <c r="Q299">
        <f>IF(294&gt;Calc!$AQ$368,"",MATCH(293,Calc!$AQ$2:$AQ$367,1))</f>
        <v/>
      </c>
      <c r="R299">
        <f>IF(Q299="","",SMALL(INDEX(Calc!$B$2:$AO$367,Q299,0),294-INDEX(Calc!$AQ$2:$AQ$367,Q299)))</f>
        <v/>
      </c>
    </row>
    <row r="300">
      <c r="B300" s="64">
        <f>IF(R300="","",295)</f>
        <v/>
      </c>
      <c r="C300" s="37">
        <f>IF(R300="","",IF(INDEX('Recurring Schedule'!$C$6:$C$45,R300)="","",INDEX('Recurring Schedule'!$C$6:$C$45,R300)))</f>
        <v/>
      </c>
      <c r="D300" s="36">
        <f>IF(R300="","",IF(INDEX('Recurring Schedule'!$D$6:$D$45,R300)="","",INDEX('Recurring Schedule'!$D$6:$D$45,R300)))</f>
        <v/>
      </c>
      <c r="E300" s="38">
        <f>IF(Q300="","",INDEX(Calc!$A$2:$A$367,Q300))</f>
        <v/>
      </c>
      <c r="F300" s="68">
        <f>IF(OR(C300="",E300=""),"",E300-Setup!$D$7)</f>
        <v/>
      </c>
      <c r="G300" s="74">
        <f>IF(R300="","",IF(INDEX('Recurring Schedule'!$H$6:$H$45,R300)="","",INDEX('Recurring Schedule'!$H$6:$H$45,R300)))</f>
        <v/>
      </c>
      <c r="H300" s="74">
        <f>IF(R300="","",IF(INDEX('Recurring Schedule'!$I$6:$I$45,R300)="","",INDEX('Recurring Schedule'!$I$6:$I$45,R300)))</f>
        <v/>
      </c>
      <c r="I300" s="36">
        <f>IF(OR(G300="",H300=""),"",TRIM(IF(HOUR(H300-G300)&gt;0,HOUR(H300-G300)&amp;" hr ","")&amp;IF(MINUTE(H300-G300)&gt;0,MINUTE(H300-G300)&amp;" min","")))</f>
        <v/>
      </c>
      <c r="J300" s="66" t="n"/>
      <c r="K300" s="70" t="n"/>
      <c r="L300" s="36">
        <f>IF(R300="","",IF(INDEX('Recurring Schedule'!$J$6:$J$45,R300)="","",INDEX('Recurring Schedule'!$J$6:$J$45,R300)))</f>
        <v/>
      </c>
      <c r="M300" s="36">
        <f>IF(R300="","",IF(INDEX('Recurring Schedule'!$K$6:$K$45,R300)="","",INDEX('Recurring Schedule'!$K$6:$K$45,R300)))</f>
        <v/>
      </c>
      <c r="N300" s="36">
        <f>IF(R300="","",IF(INDEX('Recurring Schedule'!$L$6:$L$45,R300)="","",INDEX('Recurring Schedule'!$L$6:$L$45,R300)))</f>
        <v/>
      </c>
      <c r="O300" s="36">
        <f>IF(C300="","",IF(AND(OR(L300="1-Urgent",L300="2-High"),M300="✓"),"DO FIRST",IF(M300="✓","SCHEDULE",IF(OR(L300="1-Urgent",L300="2-High"),"DELEGATE","DELETE"))))</f>
        <v/>
      </c>
      <c r="P300" s="65" t="n"/>
      <c r="Q300">
        <f>IF(295&gt;Calc!$AQ$368,"",MATCH(294,Calc!$AQ$2:$AQ$367,1))</f>
        <v/>
      </c>
      <c r="R300">
        <f>IF(Q300="","",SMALL(INDEX(Calc!$B$2:$AO$367,Q300,0),295-INDEX(Calc!$AQ$2:$AQ$367,Q300)))</f>
        <v/>
      </c>
    </row>
    <row r="301">
      <c r="B301" s="71">
        <f>IF(R301="","",296)</f>
        <v/>
      </c>
      <c r="C301" s="75">
        <f>IF(R301="","",IF(INDEX('Recurring Schedule'!$C$6:$C$45,R301)="","",INDEX('Recurring Schedule'!$C$6:$C$45,R301)))</f>
        <v/>
      </c>
      <c r="D301" s="73">
        <f>IF(R301="","",IF(INDEX('Recurring Schedule'!$D$6:$D$45,R301)="","",INDEX('Recurring Schedule'!$D$6:$D$45,R301)))</f>
        <v/>
      </c>
      <c r="E301" s="76">
        <f>IF(Q301="","",INDEX(Calc!$A$2:$A$367,Q301))</f>
        <v/>
      </c>
      <c r="F301" s="72">
        <f>IF(OR(C301="",E301=""),"",E301-Setup!$D$7)</f>
        <v/>
      </c>
      <c r="G301" s="77">
        <f>IF(R301="","",IF(INDEX('Recurring Schedule'!$H$6:$H$45,R301)="","",INDEX('Recurring Schedule'!$H$6:$H$45,R301)))</f>
        <v/>
      </c>
      <c r="H301" s="77">
        <f>IF(R301="","",IF(INDEX('Recurring Schedule'!$I$6:$I$45,R301)="","",INDEX('Recurring Schedule'!$I$6:$I$45,R301)))</f>
        <v/>
      </c>
      <c r="I301" s="73">
        <f>IF(OR(G301="",H301=""),"",TRIM(IF(HOUR(H301-G301)&gt;0,HOUR(H301-G301)&amp;" hr ","")&amp;IF(MINUTE(H301-G301)&gt;0,MINUTE(H301-G301)&amp;" min","")))</f>
        <v/>
      </c>
      <c r="J301" s="66" t="n"/>
      <c r="K301" s="70" t="n"/>
      <c r="L301" s="73">
        <f>IF(R301="","",IF(INDEX('Recurring Schedule'!$J$6:$J$45,R301)="","",INDEX('Recurring Schedule'!$J$6:$J$45,R301)))</f>
        <v/>
      </c>
      <c r="M301" s="73">
        <f>IF(R301="","",IF(INDEX('Recurring Schedule'!$K$6:$K$45,R301)="","",INDEX('Recurring Schedule'!$K$6:$K$45,R301)))</f>
        <v/>
      </c>
      <c r="N301" s="73">
        <f>IF(R301="","",IF(INDEX('Recurring Schedule'!$L$6:$L$45,R301)="","",INDEX('Recurring Schedule'!$L$6:$L$45,R301)))</f>
        <v/>
      </c>
      <c r="O301" s="73">
        <f>IF(C301="","",IF(AND(OR(L301="1-Urgent",L301="2-High"),M301="✓"),"DO FIRST",IF(M301="✓","SCHEDULE",IF(OR(L301="1-Urgent",L301="2-High"),"DELEGATE","DELETE"))))</f>
        <v/>
      </c>
      <c r="P301" s="65" t="n"/>
      <c r="Q301">
        <f>IF(296&gt;Calc!$AQ$368,"",MATCH(295,Calc!$AQ$2:$AQ$367,1))</f>
        <v/>
      </c>
      <c r="R301">
        <f>IF(Q301="","",SMALL(INDEX(Calc!$B$2:$AO$367,Q301,0),296-INDEX(Calc!$AQ$2:$AQ$367,Q301)))</f>
        <v/>
      </c>
    </row>
    <row r="302">
      <c r="B302" s="64">
        <f>IF(R302="","",297)</f>
        <v/>
      </c>
      <c r="C302" s="37">
        <f>IF(R302="","",IF(INDEX('Recurring Schedule'!$C$6:$C$45,R302)="","",INDEX('Recurring Schedule'!$C$6:$C$45,R302)))</f>
        <v/>
      </c>
      <c r="D302" s="36">
        <f>IF(R302="","",IF(INDEX('Recurring Schedule'!$D$6:$D$45,R302)="","",INDEX('Recurring Schedule'!$D$6:$D$45,R302)))</f>
        <v/>
      </c>
      <c r="E302" s="38">
        <f>IF(Q302="","",INDEX(Calc!$A$2:$A$367,Q302))</f>
        <v/>
      </c>
      <c r="F302" s="68">
        <f>IF(OR(C302="",E302=""),"",E302-Setup!$D$7)</f>
        <v/>
      </c>
      <c r="G302" s="74">
        <f>IF(R302="","",IF(INDEX('Recurring Schedule'!$H$6:$H$45,R302)="","",INDEX('Recurring Schedule'!$H$6:$H$45,R302)))</f>
        <v/>
      </c>
      <c r="H302" s="74">
        <f>IF(R302="","",IF(INDEX('Recurring Schedule'!$I$6:$I$45,R302)="","",INDEX('Recurring Schedule'!$I$6:$I$45,R302)))</f>
        <v/>
      </c>
      <c r="I302" s="36">
        <f>IF(OR(G302="",H302=""),"",TRIM(IF(HOUR(H302-G302)&gt;0,HOUR(H302-G302)&amp;" hr ","")&amp;IF(MINUTE(H302-G302)&gt;0,MINUTE(H302-G302)&amp;" min","")))</f>
        <v/>
      </c>
      <c r="J302" s="66" t="n"/>
      <c r="K302" s="70" t="n"/>
      <c r="L302" s="36">
        <f>IF(R302="","",IF(INDEX('Recurring Schedule'!$J$6:$J$45,R302)="","",INDEX('Recurring Schedule'!$J$6:$J$45,R302)))</f>
        <v/>
      </c>
      <c r="M302" s="36">
        <f>IF(R302="","",IF(INDEX('Recurring Schedule'!$K$6:$K$45,R302)="","",INDEX('Recurring Schedule'!$K$6:$K$45,R302)))</f>
        <v/>
      </c>
      <c r="N302" s="36">
        <f>IF(R302="","",IF(INDEX('Recurring Schedule'!$L$6:$L$45,R302)="","",INDEX('Recurring Schedule'!$L$6:$L$45,R302)))</f>
        <v/>
      </c>
      <c r="O302" s="36">
        <f>IF(C302="","",IF(AND(OR(L302="1-Urgent",L302="2-High"),M302="✓"),"DO FIRST",IF(M302="✓","SCHEDULE",IF(OR(L302="1-Urgent",L302="2-High"),"DELEGATE","DELETE"))))</f>
        <v/>
      </c>
      <c r="P302" s="65" t="n"/>
      <c r="Q302">
        <f>IF(297&gt;Calc!$AQ$368,"",MATCH(296,Calc!$AQ$2:$AQ$367,1))</f>
        <v/>
      </c>
      <c r="R302">
        <f>IF(Q302="","",SMALL(INDEX(Calc!$B$2:$AO$367,Q302,0),297-INDEX(Calc!$AQ$2:$AQ$367,Q302)))</f>
        <v/>
      </c>
    </row>
    <row r="303">
      <c r="B303" s="71">
        <f>IF(R303="","",298)</f>
        <v/>
      </c>
      <c r="C303" s="75">
        <f>IF(R303="","",IF(INDEX('Recurring Schedule'!$C$6:$C$45,R303)="","",INDEX('Recurring Schedule'!$C$6:$C$45,R303)))</f>
        <v/>
      </c>
      <c r="D303" s="73">
        <f>IF(R303="","",IF(INDEX('Recurring Schedule'!$D$6:$D$45,R303)="","",INDEX('Recurring Schedule'!$D$6:$D$45,R303)))</f>
        <v/>
      </c>
      <c r="E303" s="76">
        <f>IF(Q303="","",INDEX(Calc!$A$2:$A$367,Q303))</f>
        <v/>
      </c>
      <c r="F303" s="72">
        <f>IF(OR(C303="",E303=""),"",E303-Setup!$D$7)</f>
        <v/>
      </c>
      <c r="G303" s="77">
        <f>IF(R303="","",IF(INDEX('Recurring Schedule'!$H$6:$H$45,R303)="","",INDEX('Recurring Schedule'!$H$6:$H$45,R303)))</f>
        <v/>
      </c>
      <c r="H303" s="77">
        <f>IF(R303="","",IF(INDEX('Recurring Schedule'!$I$6:$I$45,R303)="","",INDEX('Recurring Schedule'!$I$6:$I$45,R303)))</f>
        <v/>
      </c>
      <c r="I303" s="73">
        <f>IF(OR(G303="",H303=""),"",TRIM(IF(HOUR(H303-G303)&gt;0,HOUR(H303-G303)&amp;" hr ","")&amp;IF(MINUTE(H303-G303)&gt;0,MINUTE(H303-G303)&amp;" min","")))</f>
        <v/>
      </c>
      <c r="J303" s="66" t="n"/>
      <c r="K303" s="70" t="n"/>
      <c r="L303" s="73">
        <f>IF(R303="","",IF(INDEX('Recurring Schedule'!$J$6:$J$45,R303)="","",INDEX('Recurring Schedule'!$J$6:$J$45,R303)))</f>
        <v/>
      </c>
      <c r="M303" s="73">
        <f>IF(R303="","",IF(INDEX('Recurring Schedule'!$K$6:$K$45,R303)="","",INDEX('Recurring Schedule'!$K$6:$K$45,R303)))</f>
        <v/>
      </c>
      <c r="N303" s="73">
        <f>IF(R303="","",IF(INDEX('Recurring Schedule'!$L$6:$L$45,R303)="","",INDEX('Recurring Schedule'!$L$6:$L$45,R303)))</f>
        <v/>
      </c>
      <c r="O303" s="73">
        <f>IF(C303="","",IF(AND(OR(L303="1-Urgent",L303="2-High"),M303="✓"),"DO FIRST",IF(M303="✓","SCHEDULE",IF(OR(L303="1-Urgent",L303="2-High"),"DELEGATE","DELETE"))))</f>
        <v/>
      </c>
      <c r="P303" s="65" t="n"/>
      <c r="Q303">
        <f>IF(298&gt;Calc!$AQ$368,"",MATCH(297,Calc!$AQ$2:$AQ$367,1))</f>
        <v/>
      </c>
      <c r="R303">
        <f>IF(Q303="","",SMALL(INDEX(Calc!$B$2:$AO$367,Q303,0),298-INDEX(Calc!$AQ$2:$AQ$367,Q303)))</f>
        <v/>
      </c>
    </row>
    <row r="304">
      <c r="B304" s="64">
        <f>IF(R304="","",299)</f>
        <v/>
      </c>
      <c r="C304" s="37">
        <f>IF(R304="","",IF(INDEX('Recurring Schedule'!$C$6:$C$45,R304)="","",INDEX('Recurring Schedule'!$C$6:$C$45,R304)))</f>
        <v/>
      </c>
      <c r="D304" s="36">
        <f>IF(R304="","",IF(INDEX('Recurring Schedule'!$D$6:$D$45,R304)="","",INDEX('Recurring Schedule'!$D$6:$D$45,R304)))</f>
        <v/>
      </c>
      <c r="E304" s="38">
        <f>IF(Q304="","",INDEX(Calc!$A$2:$A$367,Q304))</f>
        <v/>
      </c>
      <c r="F304" s="68">
        <f>IF(OR(C304="",E304=""),"",E304-Setup!$D$7)</f>
        <v/>
      </c>
      <c r="G304" s="74">
        <f>IF(R304="","",IF(INDEX('Recurring Schedule'!$H$6:$H$45,R304)="","",INDEX('Recurring Schedule'!$H$6:$H$45,R304)))</f>
        <v/>
      </c>
      <c r="H304" s="74">
        <f>IF(R304="","",IF(INDEX('Recurring Schedule'!$I$6:$I$45,R304)="","",INDEX('Recurring Schedule'!$I$6:$I$45,R304)))</f>
        <v/>
      </c>
      <c r="I304" s="36">
        <f>IF(OR(G304="",H304=""),"",TRIM(IF(HOUR(H304-G304)&gt;0,HOUR(H304-G304)&amp;" hr ","")&amp;IF(MINUTE(H304-G304)&gt;0,MINUTE(H304-G304)&amp;" min","")))</f>
        <v/>
      </c>
      <c r="J304" s="66" t="n"/>
      <c r="K304" s="70" t="n"/>
      <c r="L304" s="36">
        <f>IF(R304="","",IF(INDEX('Recurring Schedule'!$J$6:$J$45,R304)="","",INDEX('Recurring Schedule'!$J$6:$J$45,R304)))</f>
        <v/>
      </c>
      <c r="M304" s="36">
        <f>IF(R304="","",IF(INDEX('Recurring Schedule'!$K$6:$K$45,R304)="","",INDEX('Recurring Schedule'!$K$6:$K$45,R304)))</f>
        <v/>
      </c>
      <c r="N304" s="36">
        <f>IF(R304="","",IF(INDEX('Recurring Schedule'!$L$6:$L$45,R304)="","",INDEX('Recurring Schedule'!$L$6:$L$45,R304)))</f>
        <v/>
      </c>
      <c r="O304" s="36">
        <f>IF(C304="","",IF(AND(OR(L304="1-Urgent",L304="2-High"),M304="✓"),"DO FIRST",IF(M304="✓","SCHEDULE",IF(OR(L304="1-Urgent",L304="2-High"),"DELEGATE","DELETE"))))</f>
        <v/>
      </c>
      <c r="P304" s="65" t="n"/>
      <c r="Q304">
        <f>IF(299&gt;Calc!$AQ$368,"",MATCH(298,Calc!$AQ$2:$AQ$367,1))</f>
        <v/>
      </c>
      <c r="R304">
        <f>IF(Q304="","",SMALL(INDEX(Calc!$B$2:$AO$367,Q304,0),299-INDEX(Calc!$AQ$2:$AQ$367,Q304)))</f>
        <v/>
      </c>
    </row>
    <row r="305">
      <c r="B305" s="71">
        <f>IF(R305="","",300)</f>
        <v/>
      </c>
      <c r="C305" s="75">
        <f>IF(R305="","",IF(INDEX('Recurring Schedule'!$C$6:$C$45,R305)="","",INDEX('Recurring Schedule'!$C$6:$C$45,R305)))</f>
        <v/>
      </c>
      <c r="D305" s="73">
        <f>IF(R305="","",IF(INDEX('Recurring Schedule'!$D$6:$D$45,R305)="","",INDEX('Recurring Schedule'!$D$6:$D$45,R305)))</f>
        <v/>
      </c>
      <c r="E305" s="76">
        <f>IF(Q305="","",INDEX(Calc!$A$2:$A$367,Q305))</f>
        <v/>
      </c>
      <c r="F305" s="72">
        <f>IF(OR(C305="",E305=""),"",E305-Setup!$D$7)</f>
        <v/>
      </c>
      <c r="G305" s="77">
        <f>IF(R305="","",IF(INDEX('Recurring Schedule'!$H$6:$H$45,R305)="","",INDEX('Recurring Schedule'!$H$6:$H$45,R305)))</f>
        <v/>
      </c>
      <c r="H305" s="77">
        <f>IF(R305="","",IF(INDEX('Recurring Schedule'!$I$6:$I$45,R305)="","",INDEX('Recurring Schedule'!$I$6:$I$45,R305)))</f>
        <v/>
      </c>
      <c r="I305" s="73">
        <f>IF(OR(G305="",H305=""),"",TRIM(IF(HOUR(H305-G305)&gt;0,HOUR(H305-G305)&amp;" hr ","")&amp;IF(MINUTE(H305-G305)&gt;0,MINUTE(H305-G305)&amp;" min","")))</f>
        <v/>
      </c>
      <c r="J305" s="66" t="n"/>
      <c r="K305" s="70" t="n"/>
      <c r="L305" s="73">
        <f>IF(R305="","",IF(INDEX('Recurring Schedule'!$J$6:$J$45,R305)="","",INDEX('Recurring Schedule'!$J$6:$J$45,R305)))</f>
        <v/>
      </c>
      <c r="M305" s="73">
        <f>IF(R305="","",IF(INDEX('Recurring Schedule'!$K$6:$K$45,R305)="","",INDEX('Recurring Schedule'!$K$6:$K$45,R305)))</f>
        <v/>
      </c>
      <c r="N305" s="73">
        <f>IF(R305="","",IF(INDEX('Recurring Schedule'!$L$6:$L$45,R305)="","",INDEX('Recurring Schedule'!$L$6:$L$45,R305)))</f>
        <v/>
      </c>
      <c r="O305" s="73">
        <f>IF(C305="","",IF(AND(OR(L305="1-Urgent",L305="2-High"),M305="✓"),"DO FIRST",IF(M305="✓","SCHEDULE",IF(OR(L305="1-Urgent",L305="2-High"),"DELEGATE","DELETE"))))</f>
        <v/>
      </c>
      <c r="P305" s="65" t="n"/>
      <c r="Q305">
        <f>IF(300&gt;Calc!$AQ$368,"",MATCH(299,Calc!$AQ$2:$AQ$367,1))</f>
        <v/>
      </c>
      <c r="R305">
        <f>IF(Q305="","",SMALL(INDEX(Calc!$B$2:$AO$367,Q305,0),300-INDEX(Calc!$AQ$2:$AQ$367,Q305)))</f>
        <v/>
      </c>
    </row>
    <row r="306">
      <c r="B306" s="64">
        <f>IF(R306="","",301)</f>
        <v/>
      </c>
      <c r="C306" s="37">
        <f>IF(R306="","",IF(INDEX('Recurring Schedule'!$C$6:$C$45,R306)="","",INDEX('Recurring Schedule'!$C$6:$C$45,R306)))</f>
        <v/>
      </c>
      <c r="D306" s="36">
        <f>IF(R306="","",IF(INDEX('Recurring Schedule'!$D$6:$D$45,R306)="","",INDEX('Recurring Schedule'!$D$6:$D$45,R306)))</f>
        <v/>
      </c>
      <c r="E306" s="38">
        <f>IF(Q306="","",INDEX(Calc!$A$2:$A$367,Q306))</f>
        <v/>
      </c>
      <c r="F306" s="68">
        <f>IF(OR(C306="",E306=""),"",E306-Setup!$D$7)</f>
        <v/>
      </c>
      <c r="G306" s="74">
        <f>IF(R306="","",IF(INDEX('Recurring Schedule'!$H$6:$H$45,R306)="","",INDEX('Recurring Schedule'!$H$6:$H$45,R306)))</f>
        <v/>
      </c>
      <c r="H306" s="74">
        <f>IF(R306="","",IF(INDEX('Recurring Schedule'!$I$6:$I$45,R306)="","",INDEX('Recurring Schedule'!$I$6:$I$45,R306)))</f>
        <v/>
      </c>
      <c r="I306" s="36">
        <f>IF(OR(G306="",H306=""),"",TRIM(IF(HOUR(H306-G306)&gt;0,HOUR(H306-G306)&amp;" hr ","")&amp;IF(MINUTE(H306-G306)&gt;0,MINUTE(H306-G306)&amp;" min","")))</f>
        <v/>
      </c>
      <c r="J306" s="66" t="n"/>
      <c r="K306" s="70" t="n"/>
      <c r="L306" s="36">
        <f>IF(R306="","",IF(INDEX('Recurring Schedule'!$J$6:$J$45,R306)="","",INDEX('Recurring Schedule'!$J$6:$J$45,R306)))</f>
        <v/>
      </c>
      <c r="M306" s="36">
        <f>IF(R306="","",IF(INDEX('Recurring Schedule'!$K$6:$K$45,R306)="","",INDEX('Recurring Schedule'!$K$6:$K$45,R306)))</f>
        <v/>
      </c>
      <c r="N306" s="36">
        <f>IF(R306="","",IF(INDEX('Recurring Schedule'!$L$6:$L$45,R306)="","",INDEX('Recurring Schedule'!$L$6:$L$45,R306)))</f>
        <v/>
      </c>
      <c r="O306" s="36">
        <f>IF(C306="","",IF(AND(OR(L306="1-Urgent",L306="2-High"),M306="✓"),"DO FIRST",IF(M306="✓","SCHEDULE",IF(OR(L306="1-Urgent",L306="2-High"),"DELEGATE","DELETE"))))</f>
        <v/>
      </c>
      <c r="P306" s="65" t="n"/>
      <c r="Q306">
        <f>IF(301&gt;Calc!$AQ$368,"",MATCH(300,Calc!$AQ$2:$AQ$367,1))</f>
        <v/>
      </c>
      <c r="R306">
        <f>IF(Q306="","",SMALL(INDEX(Calc!$B$2:$AO$367,Q306,0),301-INDEX(Calc!$AQ$2:$AQ$367,Q306)))</f>
        <v/>
      </c>
    </row>
    <row r="307">
      <c r="B307" s="71">
        <f>IF(R307="","",302)</f>
        <v/>
      </c>
      <c r="C307" s="75">
        <f>IF(R307="","",IF(INDEX('Recurring Schedule'!$C$6:$C$45,R307)="","",INDEX('Recurring Schedule'!$C$6:$C$45,R307)))</f>
        <v/>
      </c>
      <c r="D307" s="73">
        <f>IF(R307="","",IF(INDEX('Recurring Schedule'!$D$6:$D$45,R307)="","",INDEX('Recurring Schedule'!$D$6:$D$45,R307)))</f>
        <v/>
      </c>
      <c r="E307" s="76">
        <f>IF(Q307="","",INDEX(Calc!$A$2:$A$367,Q307))</f>
        <v/>
      </c>
      <c r="F307" s="72">
        <f>IF(OR(C307="",E307=""),"",E307-Setup!$D$7)</f>
        <v/>
      </c>
      <c r="G307" s="77">
        <f>IF(R307="","",IF(INDEX('Recurring Schedule'!$H$6:$H$45,R307)="","",INDEX('Recurring Schedule'!$H$6:$H$45,R307)))</f>
        <v/>
      </c>
      <c r="H307" s="77">
        <f>IF(R307="","",IF(INDEX('Recurring Schedule'!$I$6:$I$45,R307)="","",INDEX('Recurring Schedule'!$I$6:$I$45,R307)))</f>
        <v/>
      </c>
      <c r="I307" s="73">
        <f>IF(OR(G307="",H307=""),"",TRIM(IF(HOUR(H307-G307)&gt;0,HOUR(H307-G307)&amp;" hr ","")&amp;IF(MINUTE(H307-G307)&gt;0,MINUTE(H307-G307)&amp;" min","")))</f>
        <v/>
      </c>
      <c r="J307" s="66" t="n"/>
      <c r="K307" s="70" t="n"/>
      <c r="L307" s="73">
        <f>IF(R307="","",IF(INDEX('Recurring Schedule'!$J$6:$J$45,R307)="","",INDEX('Recurring Schedule'!$J$6:$J$45,R307)))</f>
        <v/>
      </c>
      <c r="M307" s="73">
        <f>IF(R307="","",IF(INDEX('Recurring Schedule'!$K$6:$K$45,R307)="","",INDEX('Recurring Schedule'!$K$6:$K$45,R307)))</f>
        <v/>
      </c>
      <c r="N307" s="73">
        <f>IF(R307="","",IF(INDEX('Recurring Schedule'!$L$6:$L$45,R307)="","",INDEX('Recurring Schedule'!$L$6:$L$45,R307)))</f>
        <v/>
      </c>
      <c r="O307" s="73">
        <f>IF(C307="","",IF(AND(OR(L307="1-Urgent",L307="2-High"),M307="✓"),"DO FIRST",IF(M307="✓","SCHEDULE",IF(OR(L307="1-Urgent",L307="2-High"),"DELEGATE","DELETE"))))</f>
        <v/>
      </c>
      <c r="P307" s="65" t="n"/>
      <c r="Q307">
        <f>IF(302&gt;Calc!$AQ$368,"",MATCH(301,Calc!$AQ$2:$AQ$367,1))</f>
        <v/>
      </c>
      <c r="R307">
        <f>IF(Q307="","",SMALL(INDEX(Calc!$B$2:$AO$367,Q307,0),302-INDEX(Calc!$AQ$2:$AQ$367,Q307)))</f>
        <v/>
      </c>
    </row>
    <row r="308">
      <c r="B308" s="64">
        <f>IF(R308="","",303)</f>
        <v/>
      </c>
      <c r="C308" s="37">
        <f>IF(R308="","",IF(INDEX('Recurring Schedule'!$C$6:$C$45,R308)="","",INDEX('Recurring Schedule'!$C$6:$C$45,R308)))</f>
        <v/>
      </c>
      <c r="D308" s="36">
        <f>IF(R308="","",IF(INDEX('Recurring Schedule'!$D$6:$D$45,R308)="","",INDEX('Recurring Schedule'!$D$6:$D$45,R308)))</f>
        <v/>
      </c>
      <c r="E308" s="38">
        <f>IF(Q308="","",INDEX(Calc!$A$2:$A$367,Q308))</f>
        <v/>
      </c>
      <c r="F308" s="68">
        <f>IF(OR(C308="",E308=""),"",E308-Setup!$D$7)</f>
        <v/>
      </c>
      <c r="G308" s="74">
        <f>IF(R308="","",IF(INDEX('Recurring Schedule'!$H$6:$H$45,R308)="","",INDEX('Recurring Schedule'!$H$6:$H$45,R308)))</f>
        <v/>
      </c>
      <c r="H308" s="74">
        <f>IF(R308="","",IF(INDEX('Recurring Schedule'!$I$6:$I$45,R308)="","",INDEX('Recurring Schedule'!$I$6:$I$45,R308)))</f>
        <v/>
      </c>
      <c r="I308" s="36">
        <f>IF(OR(G308="",H308=""),"",TRIM(IF(HOUR(H308-G308)&gt;0,HOUR(H308-G308)&amp;" hr ","")&amp;IF(MINUTE(H308-G308)&gt;0,MINUTE(H308-G308)&amp;" min","")))</f>
        <v/>
      </c>
      <c r="J308" s="66" t="n"/>
      <c r="K308" s="70" t="n"/>
      <c r="L308" s="36">
        <f>IF(R308="","",IF(INDEX('Recurring Schedule'!$J$6:$J$45,R308)="","",INDEX('Recurring Schedule'!$J$6:$J$45,R308)))</f>
        <v/>
      </c>
      <c r="M308" s="36">
        <f>IF(R308="","",IF(INDEX('Recurring Schedule'!$K$6:$K$45,R308)="","",INDEX('Recurring Schedule'!$K$6:$K$45,R308)))</f>
        <v/>
      </c>
      <c r="N308" s="36">
        <f>IF(R308="","",IF(INDEX('Recurring Schedule'!$L$6:$L$45,R308)="","",INDEX('Recurring Schedule'!$L$6:$L$45,R308)))</f>
        <v/>
      </c>
      <c r="O308" s="36">
        <f>IF(C308="","",IF(AND(OR(L308="1-Urgent",L308="2-High"),M308="✓"),"DO FIRST",IF(M308="✓","SCHEDULE",IF(OR(L308="1-Urgent",L308="2-High"),"DELEGATE","DELETE"))))</f>
        <v/>
      </c>
      <c r="P308" s="65" t="n"/>
      <c r="Q308">
        <f>IF(303&gt;Calc!$AQ$368,"",MATCH(302,Calc!$AQ$2:$AQ$367,1))</f>
        <v/>
      </c>
      <c r="R308">
        <f>IF(Q308="","",SMALL(INDEX(Calc!$B$2:$AO$367,Q308,0),303-INDEX(Calc!$AQ$2:$AQ$367,Q308)))</f>
        <v/>
      </c>
    </row>
    <row r="309">
      <c r="B309" s="71">
        <f>IF(R309="","",304)</f>
        <v/>
      </c>
      <c r="C309" s="75">
        <f>IF(R309="","",IF(INDEX('Recurring Schedule'!$C$6:$C$45,R309)="","",INDEX('Recurring Schedule'!$C$6:$C$45,R309)))</f>
        <v/>
      </c>
      <c r="D309" s="73">
        <f>IF(R309="","",IF(INDEX('Recurring Schedule'!$D$6:$D$45,R309)="","",INDEX('Recurring Schedule'!$D$6:$D$45,R309)))</f>
        <v/>
      </c>
      <c r="E309" s="76">
        <f>IF(Q309="","",INDEX(Calc!$A$2:$A$367,Q309))</f>
        <v/>
      </c>
      <c r="F309" s="72">
        <f>IF(OR(C309="",E309=""),"",E309-Setup!$D$7)</f>
        <v/>
      </c>
      <c r="G309" s="77">
        <f>IF(R309="","",IF(INDEX('Recurring Schedule'!$H$6:$H$45,R309)="","",INDEX('Recurring Schedule'!$H$6:$H$45,R309)))</f>
        <v/>
      </c>
      <c r="H309" s="77">
        <f>IF(R309="","",IF(INDEX('Recurring Schedule'!$I$6:$I$45,R309)="","",INDEX('Recurring Schedule'!$I$6:$I$45,R309)))</f>
        <v/>
      </c>
      <c r="I309" s="73">
        <f>IF(OR(G309="",H309=""),"",TRIM(IF(HOUR(H309-G309)&gt;0,HOUR(H309-G309)&amp;" hr ","")&amp;IF(MINUTE(H309-G309)&gt;0,MINUTE(H309-G309)&amp;" min","")))</f>
        <v/>
      </c>
      <c r="J309" s="66" t="n"/>
      <c r="K309" s="70" t="n"/>
      <c r="L309" s="73">
        <f>IF(R309="","",IF(INDEX('Recurring Schedule'!$J$6:$J$45,R309)="","",INDEX('Recurring Schedule'!$J$6:$J$45,R309)))</f>
        <v/>
      </c>
      <c r="M309" s="73">
        <f>IF(R309="","",IF(INDEX('Recurring Schedule'!$K$6:$K$45,R309)="","",INDEX('Recurring Schedule'!$K$6:$K$45,R309)))</f>
        <v/>
      </c>
      <c r="N309" s="73">
        <f>IF(R309="","",IF(INDEX('Recurring Schedule'!$L$6:$L$45,R309)="","",INDEX('Recurring Schedule'!$L$6:$L$45,R309)))</f>
        <v/>
      </c>
      <c r="O309" s="73">
        <f>IF(C309="","",IF(AND(OR(L309="1-Urgent",L309="2-High"),M309="✓"),"DO FIRST",IF(M309="✓","SCHEDULE",IF(OR(L309="1-Urgent",L309="2-High"),"DELEGATE","DELETE"))))</f>
        <v/>
      </c>
      <c r="P309" s="65" t="n"/>
      <c r="Q309">
        <f>IF(304&gt;Calc!$AQ$368,"",MATCH(303,Calc!$AQ$2:$AQ$367,1))</f>
        <v/>
      </c>
      <c r="R309">
        <f>IF(Q309="","",SMALL(INDEX(Calc!$B$2:$AO$367,Q309,0),304-INDEX(Calc!$AQ$2:$AQ$367,Q309)))</f>
        <v/>
      </c>
    </row>
    <row r="310">
      <c r="B310" s="64">
        <f>IF(R310="","",305)</f>
        <v/>
      </c>
      <c r="C310" s="37">
        <f>IF(R310="","",IF(INDEX('Recurring Schedule'!$C$6:$C$45,R310)="","",INDEX('Recurring Schedule'!$C$6:$C$45,R310)))</f>
        <v/>
      </c>
      <c r="D310" s="36">
        <f>IF(R310="","",IF(INDEX('Recurring Schedule'!$D$6:$D$45,R310)="","",INDEX('Recurring Schedule'!$D$6:$D$45,R310)))</f>
        <v/>
      </c>
      <c r="E310" s="38">
        <f>IF(Q310="","",INDEX(Calc!$A$2:$A$367,Q310))</f>
        <v/>
      </c>
      <c r="F310" s="68">
        <f>IF(OR(C310="",E310=""),"",E310-Setup!$D$7)</f>
        <v/>
      </c>
      <c r="G310" s="74">
        <f>IF(R310="","",IF(INDEX('Recurring Schedule'!$H$6:$H$45,R310)="","",INDEX('Recurring Schedule'!$H$6:$H$45,R310)))</f>
        <v/>
      </c>
      <c r="H310" s="74">
        <f>IF(R310="","",IF(INDEX('Recurring Schedule'!$I$6:$I$45,R310)="","",INDEX('Recurring Schedule'!$I$6:$I$45,R310)))</f>
        <v/>
      </c>
      <c r="I310" s="36">
        <f>IF(OR(G310="",H310=""),"",TRIM(IF(HOUR(H310-G310)&gt;0,HOUR(H310-G310)&amp;" hr ","")&amp;IF(MINUTE(H310-G310)&gt;0,MINUTE(H310-G310)&amp;" min","")))</f>
        <v/>
      </c>
      <c r="J310" s="66" t="n"/>
      <c r="K310" s="70" t="n"/>
      <c r="L310" s="36">
        <f>IF(R310="","",IF(INDEX('Recurring Schedule'!$J$6:$J$45,R310)="","",INDEX('Recurring Schedule'!$J$6:$J$45,R310)))</f>
        <v/>
      </c>
      <c r="M310" s="36">
        <f>IF(R310="","",IF(INDEX('Recurring Schedule'!$K$6:$K$45,R310)="","",INDEX('Recurring Schedule'!$K$6:$K$45,R310)))</f>
        <v/>
      </c>
      <c r="N310" s="36">
        <f>IF(R310="","",IF(INDEX('Recurring Schedule'!$L$6:$L$45,R310)="","",INDEX('Recurring Schedule'!$L$6:$L$45,R310)))</f>
        <v/>
      </c>
      <c r="O310" s="36">
        <f>IF(C310="","",IF(AND(OR(L310="1-Urgent",L310="2-High"),M310="✓"),"DO FIRST",IF(M310="✓","SCHEDULE",IF(OR(L310="1-Urgent",L310="2-High"),"DELEGATE","DELETE"))))</f>
        <v/>
      </c>
      <c r="P310" s="65" t="n"/>
      <c r="Q310">
        <f>IF(305&gt;Calc!$AQ$368,"",MATCH(304,Calc!$AQ$2:$AQ$367,1))</f>
        <v/>
      </c>
      <c r="R310">
        <f>IF(Q310="","",SMALL(INDEX(Calc!$B$2:$AO$367,Q310,0),305-INDEX(Calc!$AQ$2:$AQ$367,Q310)))</f>
        <v/>
      </c>
    </row>
    <row r="311">
      <c r="B311" s="71">
        <f>IF(R311="","",306)</f>
        <v/>
      </c>
      <c r="C311" s="75">
        <f>IF(R311="","",IF(INDEX('Recurring Schedule'!$C$6:$C$45,R311)="","",INDEX('Recurring Schedule'!$C$6:$C$45,R311)))</f>
        <v/>
      </c>
      <c r="D311" s="73">
        <f>IF(R311="","",IF(INDEX('Recurring Schedule'!$D$6:$D$45,R311)="","",INDEX('Recurring Schedule'!$D$6:$D$45,R311)))</f>
        <v/>
      </c>
      <c r="E311" s="76">
        <f>IF(Q311="","",INDEX(Calc!$A$2:$A$367,Q311))</f>
        <v/>
      </c>
      <c r="F311" s="72">
        <f>IF(OR(C311="",E311=""),"",E311-Setup!$D$7)</f>
        <v/>
      </c>
      <c r="G311" s="77">
        <f>IF(R311="","",IF(INDEX('Recurring Schedule'!$H$6:$H$45,R311)="","",INDEX('Recurring Schedule'!$H$6:$H$45,R311)))</f>
        <v/>
      </c>
      <c r="H311" s="77">
        <f>IF(R311="","",IF(INDEX('Recurring Schedule'!$I$6:$I$45,R311)="","",INDEX('Recurring Schedule'!$I$6:$I$45,R311)))</f>
        <v/>
      </c>
      <c r="I311" s="73">
        <f>IF(OR(G311="",H311=""),"",TRIM(IF(HOUR(H311-G311)&gt;0,HOUR(H311-G311)&amp;" hr ","")&amp;IF(MINUTE(H311-G311)&gt;0,MINUTE(H311-G311)&amp;" min","")))</f>
        <v/>
      </c>
      <c r="J311" s="66" t="n"/>
      <c r="K311" s="70" t="n"/>
      <c r="L311" s="73">
        <f>IF(R311="","",IF(INDEX('Recurring Schedule'!$J$6:$J$45,R311)="","",INDEX('Recurring Schedule'!$J$6:$J$45,R311)))</f>
        <v/>
      </c>
      <c r="M311" s="73">
        <f>IF(R311="","",IF(INDEX('Recurring Schedule'!$K$6:$K$45,R311)="","",INDEX('Recurring Schedule'!$K$6:$K$45,R311)))</f>
        <v/>
      </c>
      <c r="N311" s="73">
        <f>IF(R311="","",IF(INDEX('Recurring Schedule'!$L$6:$L$45,R311)="","",INDEX('Recurring Schedule'!$L$6:$L$45,R311)))</f>
        <v/>
      </c>
      <c r="O311" s="73">
        <f>IF(C311="","",IF(AND(OR(L311="1-Urgent",L311="2-High"),M311="✓"),"DO FIRST",IF(M311="✓","SCHEDULE",IF(OR(L311="1-Urgent",L311="2-High"),"DELEGATE","DELETE"))))</f>
        <v/>
      </c>
      <c r="P311" s="65" t="n"/>
      <c r="Q311">
        <f>IF(306&gt;Calc!$AQ$368,"",MATCH(305,Calc!$AQ$2:$AQ$367,1))</f>
        <v/>
      </c>
      <c r="R311">
        <f>IF(Q311="","",SMALL(INDEX(Calc!$B$2:$AO$367,Q311,0),306-INDEX(Calc!$AQ$2:$AQ$367,Q311)))</f>
        <v/>
      </c>
    </row>
    <row r="312">
      <c r="B312" s="64">
        <f>IF(R312="","",307)</f>
        <v/>
      </c>
      <c r="C312" s="37">
        <f>IF(R312="","",IF(INDEX('Recurring Schedule'!$C$6:$C$45,R312)="","",INDEX('Recurring Schedule'!$C$6:$C$45,R312)))</f>
        <v/>
      </c>
      <c r="D312" s="36">
        <f>IF(R312="","",IF(INDEX('Recurring Schedule'!$D$6:$D$45,R312)="","",INDEX('Recurring Schedule'!$D$6:$D$45,R312)))</f>
        <v/>
      </c>
      <c r="E312" s="38">
        <f>IF(Q312="","",INDEX(Calc!$A$2:$A$367,Q312))</f>
        <v/>
      </c>
      <c r="F312" s="68">
        <f>IF(OR(C312="",E312=""),"",E312-Setup!$D$7)</f>
        <v/>
      </c>
      <c r="G312" s="74">
        <f>IF(R312="","",IF(INDEX('Recurring Schedule'!$H$6:$H$45,R312)="","",INDEX('Recurring Schedule'!$H$6:$H$45,R312)))</f>
        <v/>
      </c>
      <c r="H312" s="74">
        <f>IF(R312="","",IF(INDEX('Recurring Schedule'!$I$6:$I$45,R312)="","",INDEX('Recurring Schedule'!$I$6:$I$45,R312)))</f>
        <v/>
      </c>
      <c r="I312" s="36">
        <f>IF(OR(G312="",H312=""),"",TRIM(IF(HOUR(H312-G312)&gt;0,HOUR(H312-G312)&amp;" hr ","")&amp;IF(MINUTE(H312-G312)&gt;0,MINUTE(H312-G312)&amp;" min","")))</f>
        <v/>
      </c>
      <c r="J312" s="66" t="n"/>
      <c r="K312" s="70" t="n"/>
      <c r="L312" s="36">
        <f>IF(R312="","",IF(INDEX('Recurring Schedule'!$J$6:$J$45,R312)="","",INDEX('Recurring Schedule'!$J$6:$J$45,R312)))</f>
        <v/>
      </c>
      <c r="M312" s="36">
        <f>IF(R312="","",IF(INDEX('Recurring Schedule'!$K$6:$K$45,R312)="","",INDEX('Recurring Schedule'!$K$6:$K$45,R312)))</f>
        <v/>
      </c>
      <c r="N312" s="36">
        <f>IF(R312="","",IF(INDEX('Recurring Schedule'!$L$6:$L$45,R312)="","",INDEX('Recurring Schedule'!$L$6:$L$45,R312)))</f>
        <v/>
      </c>
      <c r="O312" s="36">
        <f>IF(C312="","",IF(AND(OR(L312="1-Urgent",L312="2-High"),M312="✓"),"DO FIRST",IF(M312="✓","SCHEDULE",IF(OR(L312="1-Urgent",L312="2-High"),"DELEGATE","DELETE"))))</f>
        <v/>
      </c>
      <c r="P312" s="65" t="n"/>
      <c r="Q312">
        <f>IF(307&gt;Calc!$AQ$368,"",MATCH(306,Calc!$AQ$2:$AQ$367,1))</f>
        <v/>
      </c>
      <c r="R312">
        <f>IF(Q312="","",SMALL(INDEX(Calc!$B$2:$AO$367,Q312,0),307-INDEX(Calc!$AQ$2:$AQ$367,Q312)))</f>
        <v/>
      </c>
    </row>
    <row r="313">
      <c r="B313" s="71">
        <f>IF(R313="","",308)</f>
        <v/>
      </c>
      <c r="C313" s="75">
        <f>IF(R313="","",IF(INDEX('Recurring Schedule'!$C$6:$C$45,R313)="","",INDEX('Recurring Schedule'!$C$6:$C$45,R313)))</f>
        <v/>
      </c>
      <c r="D313" s="73">
        <f>IF(R313="","",IF(INDEX('Recurring Schedule'!$D$6:$D$45,R313)="","",INDEX('Recurring Schedule'!$D$6:$D$45,R313)))</f>
        <v/>
      </c>
      <c r="E313" s="76">
        <f>IF(Q313="","",INDEX(Calc!$A$2:$A$367,Q313))</f>
        <v/>
      </c>
      <c r="F313" s="72">
        <f>IF(OR(C313="",E313=""),"",E313-Setup!$D$7)</f>
        <v/>
      </c>
      <c r="G313" s="77">
        <f>IF(R313="","",IF(INDEX('Recurring Schedule'!$H$6:$H$45,R313)="","",INDEX('Recurring Schedule'!$H$6:$H$45,R313)))</f>
        <v/>
      </c>
      <c r="H313" s="77">
        <f>IF(R313="","",IF(INDEX('Recurring Schedule'!$I$6:$I$45,R313)="","",INDEX('Recurring Schedule'!$I$6:$I$45,R313)))</f>
        <v/>
      </c>
      <c r="I313" s="73">
        <f>IF(OR(G313="",H313=""),"",TRIM(IF(HOUR(H313-G313)&gt;0,HOUR(H313-G313)&amp;" hr ","")&amp;IF(MINUTE(H313-G313)&gt;0,MINUTE(H313-G313)&amp;" min","")))</f>
        <v/>
      </c>
      <c r="J313" s="66" t="n"/>
      <c r="K313" s="70" t="n"/>
      <c r="L313" s="73">
        <f>IF(R313="","",IF(INDEX('Recurring Schedule'!$J$6:$J$45,R313)="","",INDEX('Recurring Schedule'!$J$6:$J$45,R313)))</f>
        <v/>
      </c>
      <c r="M313" s="73">
        <f>IF(R313="","",IF(INDEX('Recurring Schedule'!$K$6:$K$45,R313)="","",INDEX('Recurring Schedule'!$K$6:$K$45,R313)))</f>
        <v/>
      </c>
      <c r="N313" s="73">
        <f>IF(R313="","",IF(INDEX('Recurring Schedule'!$L$6:$L$45,R313)="","",INDEX('Recurring Schedule'!$L$6:$L$45,R313)))</f>
        <v/>
      </c>
      <c r="O313" s="73">
        <f>IF(C313="","",IF(AND(OR(L313="1-Urgent",L313="2-High"),M313="✓"),"DO FIRST",IF(M313="✓","SCHEDULE",IF(OR(L313="1-Urgent",L313="2-High"),"DELEGATE","DELETE"))))</f>
        <v/>
      </c>
      <c r="P313" s="65" t="n"/>
      <c r="Q313">
        <f>IF(308&gt;Calc!$AQ$368,"",MATCH(307,Calc!$AQ$2:$AQ$367,1))</f>
        <v/>
      </c>
      <c r="R313">
        <f>IF(Q313="","",SMALL(INDEX(Calc!$B$2:$AO$367,Q313,0),308-INDEX(Calc!$AQ$2:$AQ$367,Q313)))</f>
        <v/>
      </c>
    </row>
    <row r="314">
      <c r="B314" s="64">
        <f>IF(R314="","",309)</f>
        <v/>
      </c>
      <c r="C314" s="37">
        <f>IF(R314="","",IF(INDEX('Recurring Schedule'!$C$6:$C$45,R314)="","",INDEX('Recurring Schedule'!$C$6:$C$45,R314)))</f>
        <v/>
      </c>
      <c r="D314" s="36">
        <f>IF(R314="","",IF(INDEX('Recurring Schedule'!$D$6:$D$45,R314)="","",INDEX('Recurring Schedule'!$D$6:$D$45,R314)))</f>
        <v/>
      </c>
      <c r="E314" s="38">
        <f>IF(Q314="","",INDEX(Calc!$A$2:$A$367,Q314))</f>
        <v/>
      </c>
      <c r="F314" s="68">
        <f>IF(OR(C314="",E314=""),"",E314-Setup!$D$7)</f>
        <v/>
      </c>
      <c r="G314" s="74">
        <f>IF(R314="","",IF(INDEX('Recurring Schedule'!$H$6:$H$45,R314)="","",INDEX('Recurring Schedule'!$H$6:$H$45,R314)))</f>
        <v/>
      </c>
      <c r="H314" s="74">
        <f>IF(R314="","",IF(INDEX('Recurring Schedule'!$I$6:$I$45,R314)="","",INDEX('Recurring Schedule'!$I$6:$I$45,R314)))</f>
        <v/>
      </c>
      <c r="I314" s="36">
        <f>IF(OR(G314="",H314=""),"",TRIM(IF(HOUR(H314-G314)&gt;0,HOUR(H314-G314)&amp;" hr ","")&amp;IF(MINUTE(H314-G314)&gt;0,MINUTE(H314-G314)&amp;" min","")))</f>
        <v/>
      </c>
      <c r="J314" s="66" t="n"/>
      <c r="K314" s="70" t="n"/>
      <c r="L314" s="36">
        <f>IF(R314="","",IF(INDEX('Recurring Schedule'!$J$6:$J$45,R314)="","",INDEX('Recurring Schedule'!$J$6:$J$45,R314)))</f>
        <v/>
      </c>
      <c r="M314" s="36">
        <f>IF(R314="","",IF(INDEX('Recurring Schedule'!$K$6:$K$45,R314)="","",INDEX('Recurring Schedule'!$K$6:$K$45,R314)))</f>
        <v/>
      </c>
      <c r="N314" s="36">
        <f>IF(R314="","",IF(INDEX('Recurring Schedule'!$L$6:$L$45,R314)="","",INDEX('Recurring Schedule'!$L$6:$L$45,R314)))</f>
        <v/>
      </c>
      <c r="O314" s="36">
        <f>IF(C314="","",IF(AND(OR(L314="1-Urgent",L314="2-High"),M314="✓"),"DO FIRST",IF(M314="✓","SCHEDULE",IF(OR(L314="1-Urgent",L314="2-High"),"DELEGATE","DELETE"))))</f>
        <v/>
      </c>
      <c r="P314" s="65" t="n"/>
      <c r="Q314">
        <f>IF(309&gt;Calc!$AQ$368,"",MATCH(308,Calc!$AQ$2:$AQ$367,1))</f>
        <v/>
      </c>
      <c r="R314">
        <f>IF(Q314="","",SMALL(INDEX(Calc!$B$2:$AO$367,Q314,0),309-INDEX(Calc!$AQ$2:$AQ$367,Q314)))</f>
        <v/>
      </c>
    </row>
    <row r="315">
      <c r="B315" s="71">
        <f>IF(R315="","",310)</f>
        <v/>
      </c>
      <c r="C315" s="75">
        <f>IF(R315="","",IF(INDEX('Recurring Schedule'!$C$6:$C$45,R315)="","",INDEX('Recurring Schedule'!$C$6:$C$45,R315)))</f>
        <v/>
      </c>
      <c r="D315" s="73">
        <f>IF(R315="","",IF(INDEX('Recurring Schedule'!$D$6:$D$45,R315)="","",INDEX('Recurring Schedule'!$D$6:$D$45,R315)))</f>
        <v/>
      </c>
      <c r="E315" s="76">
        <f>IF(Q315="","",INDEX(Calc!$A$2:$A$367,Q315))</f>
        <v/>
      </c>
      <c r="F315" s="72">
        <f>IF(OR(C315="",E315=""),"",E315-Setup!$D$7)</f>
        <v/>
      </c>
      <c r="G315" s="77">
        <f>IF(R315="","",IF(INDEX('Recurring Schedule'!$H$6:$H$45,R315)="","",INDEX('Recurring Schedule'!$H$6:$H$45,R315)))</f>
        <v/>
      </c>
      <c r="H315" s="77">
        <f>IF(R315="","",IF(INDEX('Recurring Schedule'!$I$6:$I$45,R315)="","",INDEX('Recurring Schedule'!$I$6:$I$45,R315)))</f>
        <v/>
      </c>
      <c r="I315" s="73">
        <f>IF(OR(G315="",H315=""),"",TRIM(IF(HOUR(H315-G315)&gt;0,HOUR(H315-G315)&amp;" hr ","")&amp;IF(MINUTE(H315-G315)&gt;0,MINUTE(H315-G315)&amp;" min","")))</f>
        <v/>
      </c>
      <c r="J315" s="66" t="n"/>
      <c r="K315" s="70" t="n"/>
      <c r="L315" s="73">
        <f>IF(R315="","",IF(INDEX('Recurring Schedule'!$J$6:$J$45,R315)="","",INDEX('Recurring Schedule'!$J$6:$J$45,R315)))</f>
        <v/>
      </c>
      <c r="M315" s="73">
        <f>IF(R315="","",IF(INDEX('Recurring Schedule'!$K$6:$K$45,R315)="","",INDEX('Recurring Schedule'!$K$6:$K$45,R315)))</f>
        <v/>
      </c>
      <c r="N315" s="73">
        <f>IF(R315="","",IF(INDEX('Recurring Schedule'!$L$6:$L$45,R315)="","",INDEX('Recurring Schedule'!$L$6:$L$45,R315)))</f>
        <v/>
      </c>
      <c r="O315" s="73">
        <f>IF(C315="","",IF(AND(OR(L315="1-Urgent",L315="2-High"),M315="✓"),"DO FIRST",IF(M315="✓","SCHEDULE",IF(OR(L315="1-Urgent",L315="2-High"),"DELEGATE","DELETE"))))</f>
        <v/>
      </c>
      <c r="P315" s="65" t="n"/>
      <c r="Q315">
        <f>IF(310&gt;Calc!$AQ$368,"",MATCH(309,Calc!$AQ$2:$AQ$367,1))</f>
        <v/>
      </c>
      <c r="R315">
        <f>IF(Q315="","",SMALL(INDEX(Calc!$B$2:$AO$367,Q315,0),310-INDEX(Calc!$AQ$2:$AQ$367,Q315)))</f>
        <v/>
      </c>
    </row>
    <row r="316">
      <c r="B316" s="64">
        <f>IF(R316="","",311)</f>
        <v/>
      </c>
      <c r="C316" s="37">
        <f>IF(R316="","",IF(INDEX('Recurring Schedule'!$C$6:$C$45,R316)="","",INDEX('Recurring Schedule'!$C$6:$C$45,R316)))</f>
        <v/>
      </c>
      <c r="D316" s="36">
        <f>IF(R316="","",IF(INDEX('Recurring Schedule'!$D$6:$D$45,R316)="","",INDEX('Recurring Schedule'!$D$6:$D$45,R316)))</f>
        <v/>
      </c>
      <c r="E316" s="38">
        <f>IF(Q316="","",INDEX(Calc!$A$2:$A$367,Q316))</f>
        <v/>
      </c>
      <c r="F316" s="68">
        <f>IF(OR(C316="",E316=""),"",E316-Setup!$D$7)</f>
        <v/>
      </c>
      <c r="G316" s="74">
        <f>IF(R316="","",IF(INDEX('Recurring Schedule'!$H$6:$H$45,R316)="","",INDEX('Recurring Schedule'!$H$6:$H$45,R316)))</f>
        <v/>
      </c>
      <c r="H316" s="74">
        <f>IF(R316="","",IF(INDEX('Recurring Schedule'!$I$6:$I$45,R316)="","",INDEX('Recurring Schedule'!$I$6:$I$45,R316)))</f>
        <v/>
      </c>
      <c r="I316" s="36">
        <f>IF(OR(G316="",H316=""),"",TRIM(IF(HOUR(H316-G316)&gt;0,HOUR(H316-G316)&amp;" hr ","")&amp;IF(MINUTE(H316-G316)&gt;0,MINUTE(H316-G316)&amp;" min","")))</f>
        <v/>
      </c>
      <c r="J316" s="66" t="n"/>
      <c r="K316" s="70" t="n"/>
      <c r="L316" s="36">
        <f>IF(R316="","",IF(INDEX('Recurring Schedule'!$J$6:$J$45,R316)="","",INDEX('Recurring Schedule'!$J$6:$J$45,R316)))</f>
        <v/>
      </c>
      <c r="M316" s="36">
        <f>IF(R316="","",IF(INDEX('Recurring Schedule'!$K$6:$K$45,R316)="","",INDEX('Recurring Schedule'!$K$6:$K$45,R316)))</f>
        <v/>
      </c>
      <c r="N316" s="36">
        <f>IF(R316="","",IF(INDEX('Recurring Schedule'!$L$6:$L$45,R316)="","",INDEX('Recurring Schedule'!$L$6:$L$45,R316)))</f>
        <v/>
      </c>
      <c r="O316" s="36">
        <f>IF(C316="","",IF(AND(OR(L316="1-Urgent",L316="2-High"),M316="✓"),"DO FIRST",IF(M316="✓","SCHEDULE",IF(OR(L316="1-Urgent",L316="2-High"),"DELEGATE","DELETE"))))</f>
        <v/>
      </c>
      <c r="P316" s="65" t="n"/>
      <c r="Q316">
        <f>IF(311&gt;Calc!$AQ$368,"",MATCH(310,Calc!$AQ$2:$AQ$367,1))</f>
        <v/>
      </c>
      <c r="R316">
        <f>IF(Q316="","",SMALL(INDEX(Calc!$B$2:$AO$367,Q316,0),311-INDEX(Calc!$AQ$2:$AQ$367,Q316)))</f>
        <v/>
      </c>
    </row>
    <row r="317">
      <c r="B317" s="71">
        <f>IF(R317="","",312)</f>
        <v/>
      </c>
      <c r="C317" s="75">
        <f>IF(R317="","",IF(INDEX('Recurring Schedule'!$C$6:$C$45,R317)="","",INDEX('Recurring Schedule'!$C$6:$C$45,R317)))</f>
        <v/>
      </c>
      <c r="D317" s="73">
        <f>IF(R317="","",IF(INDEX('Recurring Schedule'!$D$6:$D$45,R317)="","",INDEX('Recurring Schedule'!$D$6:$D$45,R317)))</f>
        <v/>
      </c>
      <c r="E317" s="76">
        <f>IF(Q317="","",INDEX(Calc!$A$2:$A$367,Q317))</f>
        <v/>
      </c>
      <c r="F317" s="72">
        <f>IF(OR(C317="",E317=""),"",E317-Setup!$D$7)</f>
        <v/>
      </c>
      <c r="G317" s="77">
        <f>IF(R317="","",IF(INDEX('Recurring Schedule'!$H$6:$H$45,R317)="","",INDEX('Recurring Schedule'!$H$6:$H$45,R317)))</f>
        <v/>
      </c>
      <c r="H317" s="77">
        <f>IF(R317="","",IF(INDEX('Recurring Schedule'!$I$6:$I$45,R317)="","",INDEX('Recurring Schedule'!$I$6:$I$45,R317)))</f>
        <v/>
      </c>
      <c r="I317" s="73">
        <f>IF(OR(G317="",H317=""),"",TRIM(IF(HOUR(H317-G317)&gt;0,HOUR(H317-G317)&amp;" hr ","")&amp;IF(MINUTE(H317-G317)&gt;0,MINUTE(H317-G317)&amp;" min","")))</f>
        <v/>
      </c>
      <c r="J317" s="66" t="n"/>
      <c r="K317" s="70" t="n"/>
      <c r="L317" s="73">
        <f>IF(R317="","",IF(INDEX('Recurring Schedule'!$J$6:$J$45,R317)="","",INDEX('Recurring Schedule'!$J$6:$J$45,R317)))</f>
        <v/>
      </c>
      <c r="M317" s="73">
        <f>IF(R317="","",IF(INDEX('Recurring Schedule'!$K$6:$K$45,R317)="","",INDEX('Recurring Schedule'!$K$6:$K$45,R317)))</f>
        <v/>
      </c>
      <c r="N317" s="73">
        <f>IF(R317="","",IF(INDEX('Recurring Schedule'!$L$6:$L$45,R317)="","",INDEX('Recurring Schedule'!$L$6:$L$45,R317)))</f>
        <v/>
      </c>
      <c r="O317" s="73">
        <f>IF(C317="","",IF(AND(OR(L317="1-Urgent",L317="2-High"),M317="✓"),"DO FIRST",IF(M317="✓","SCHEDULE",IF(OR(L317="1-Urgent",L317="2-High"),"DELEGATE","DELETE"))))</f>
        <v/>
      </c>
      <c r="P317" s="65" t="n"/>
      <c r="Q317">
        <f>IF(312&gt;Calc!$AQ$368,"",MATCH(311,Calc!$AQ$2:$AQ$367,1))</f>
        <v/>
      </c>
      <c r="R317">
        <f>IF(Q317="","",SMALL(INDEX(Calc!$B$2:$AO$367,Q317,0),312-INDEX(Calc!$AQ$2:$AQ$367,Q317)))</f>
        <v/>
      </c>
    </row>
    <row r="318">
      <c r="B318" s="64">
        <f>IF(R318="","",313)</f>
        <v/>
      </c>
      <c r="C318" s="37">
        <f>IF(R318="","",IF(INDEX('Recurring Schedule'!$C$6:$C$45,R318)="","",INDEX('Recurring Schedule'!$C$6:$C$45,R318)))</f>
        <v/>
      </c>
      <c r="D318" s="36">
        <f>IF(R318="","",IF(INDEX('Recurring Schedule'!$D$6:$D$45,R318)="","",INDEX('Recurring Schedule'!$D$6:$D$45,R318)))</f>
        <v/>
      </c>
      <c r="E318" s="38">
        <f>IF(Q318="","",INDEX(Calc!$A$2:$A$367,Q318))</f>
        <v/>
      </c>
      <c r="F318" s="68">
        <f>IF(OR(C318="",E318=""),"",E318-Setup!$D$7)</f>
        <v/>
      </c>
      <c r="G318" s="74">
        <f>IF(R318="","",IF(INDEX('Recurring Schedule'!$H$6:$H$45,R318)="","",INDEX('Recurring Schedule'!$H$6:$H$45,R318)))</f>
        <v/>
      </c>
      <c r="H318" s="74">
        <f>IF(R318="","",IF(INDEX('Recurring Schedule'!$I$6:$I$45,R318)="","",INDEX('Recurring Schedule'!$I$6:$I$45,R318)))</f>
        <v/>
      </c>
      <c r="I318" s="36">
        <f>IF(OR(G318="",H318=""),"",TRIM(IF(HOUR(H318-G318)&gt;0,HOUR(H318-G318)&amp;" hr ","")&amp;IF(MINUTE(H318-G318)&gt;0,MINUTE(H318-G318)&amp;" min","")))</f>
        <v/>
      </c>
      <c r="J318" s="66" t="n"/>
      <c r="K318" s="70" t="n"/>
      <c r="L318" s="36">
        <f>IF(R318="","",IF(INDEX('Recurring Schedule'!$J$6:$J$45,R318)="","",INDEX('Recurring Schedule'!$J$6:$J$45,R318)))</f>
        <v/>
      </c>
      <c r="M318" s="36">
        <f>IF(R318="","",IF(INDEX('Recurring Schedule'!$K$6:$K$45,R318)="","",INDEX('Recurring Schedule'!$K$6:$K$45,R318)))</f>
        <v/>
      </c>
      <c r="N318" s="36">
        <f>IF(R318="","",IF(INDEX('Recurring Schedule'!$L$6:$L$45,R318)="","",INDEX('Recurring Schedule'!$L$6:$L$45,R318)))</f>
        <v/>
      </c>
      <c r="O318" s="36">
        <f>IF(C318="","",IF(AND(OR(L318="1-Urgent",L318="2-High"),M318="✓"),"DO FIRST",IF(M318="✓","SCHEDULE",IF(OR(L318="1-Urgent",L318="2-High"),"DELEGATE","DELETE"))))</f>
        <v/>
      </c>
      <c r="P318" s="65" t="n"/>
      <c r="Q318">
        <f>IF(313&gt;Calc!$AQ$368,"",MATCH(312,Calc!$AQ$2:$AQ$367,1))</f>
        <v/>
      </c>
      <c r="R318">
        <f>IF(Q318="","",SMALL(INDEX(Calc!$B$2:$AO$367,Q318,0),313-INDEX(Calc!$AQ$2:$AQ$367,Q318)))</f>
        <v/>
      </c>
    </row>
    <row r="319">
      <c r="B319" s="71">
        <f>IF(R319="","",314)</f>
        <v/>
      </c>
      <c r="C319" s="75">
        <f>IF(R319="","",IF(INDEX('Recurring Schedule'!$C$6:$C$45,R319)="","",INDEX('Recurring Schedule'!$C$6:$C$45,R319)))</f>
        <v/>
      </c>
      <c r="D319" s="73">
        <f>IF(R319="","",IF(INDEX('Recurring Schedule'!$D$6:$D$45,R319)="","",INDEX('Recurring Schedule'!$D$6:$D$45,R319)))</f>
        <v/>
      </c>
      <c r="E319" s="76">
        <f>IF(Q319="","",INDEX(Calc!$A$2:$A$367,Q319))</f>
        <v/>
      </c>
      <c r="F319" s="72">
        <f>IF(OR(C319="",E319=""),"",E319-Setup!$D$7)</f>
        <v/>
      </c>
      <c r="G319" s="77">
        <f>IF(R319="","",IF(INDEX('Recurring Schedule'!$H$6:$H$45,R319)="","",INDEX('Recurring Schedule'!$H$6:$H$45,R319)))</f>
        <v/>
      </c>
      <c r="H319" s="77">
        <f>IF(R319="","",IF(INDEX('Recurring Schedule'!$I$6:$I$45,R319)="","",INDEX('Recurring Schedule'!$I$6:$I$45,R319)))</f>
        <v/>
      </c>
      <c r="I319" s="73">
        <f>IF(OR(G319="",H319=""),"",TRIM(IF(HOUR(H319-G319)&gt;0,HOUR(H319-G319)&amp;" hr ","")&amp;IF(MINUTE(H319-G319)&gt;0,MINUTE(H319-G319)&amp;" min","")))</f>
        <v/>
      </c>
      <c r="J319" s="66" t="n"/>
      <c r="K319" s="70" t="n"/>
      <c r="L319" s="73">
        <f>IF(R319="","",IF(INDEX('Recurring Schedule'!$J$6:$J$45,R319)="","",INDEX('Recurring Schedule'!$J$6:$J$45,R319)))</f>
        <v/>
      </c>
      <c r="M319" s="73">
        <f>IF(R319="","",IF(INDEX('Recurring Schedule'!$K$6:$K$45,R319)="","",INDEX('Recurring Schedule'!$K$6:$K$45,R319)))</f>
        <v/>
      </c>
      <c r="N319" s="73">
        <f>IF(R319="","",IF(INDEX('Recurring Schedule'!$L$6:$L$45,R319)="","",INDEX('Recurring Schedule'!$L$6:$L$45,R319)))</f>
        <v/>
      </c>
      <c r="O319" s="73">
        <f>IF(C319="","",IF(AND(OR(L319="1-Urgent",L319="2-High"),M319="✓"),"DO FIRST",IF(M319="✓","SCHEDULE",IF(OR(L319="1-Urgent",L319="2-High"),"DELEGATE","DELETE"))))</f>
        <v/>
      </c>
      <c r="P319" s="65" t="n"/>
      <c r="Q319">
        <f>IF(314&gt;Calc!$AQ$368,"",MATCH(313,Calc!$AQ$2:$AQ$367,1))</f>
        <v/>
      </c>
      <c r="R319">
        <f>IF(Q319="","",SMALL(INDEX(Calc!$B$2:$AO$367,Q319,0),314-INDEX(Calc!$AQ$2:$AQ$367,Q319)))</f>
        <v/>
      </c>
    </row>
    <row r="320">
      <c r="B320" s="64">
        <f>IF(R320="","",315)</f>
        <v/>
      </c>
      <c r="C320" s="37">
        <f>IF(R320="","",IF(INDEX('Recurring Schedule'!$C$6:$C$45,R320)="","",INDEX('Recurring Schedule'!$C$6:$C$45,R320)))</f>
        <v/>
      </c>
      <c r="D320" s="36">
        <f>IF(R320="","",IF(INDEX('Recurring Schedule'!$D$6:$D$45,R320)="","",INDEX('Recurring Schedule'!$D$6:$D$45,R320)))</f>
        <v/>
      </c>
      <c r="E320" s="38">
        <f>IF(Q320="","",INDEX(Calc!$A$2:$A$367,Q320))</f>
        <v/>
      </c>
      <c r="F320" s="68">
        <f>IF(OR(C320="",E320=""),"",E320-Setup!$D$7)</f>
        <v/>
      </c>
      <c r="G320" s="74">
        <f>IF(R320="","",IF(INDEX('Recurring Schedule'!$H$6:$H$45,R320)="","",INDEX('Recurring Schedule'!$H$6:$H$45,R320)))</f>
        <v/>
      </c>
      <c r="H320" s="74">
        <f>IF(R320="","",IF(INDEX('Recurring Schedule'!$I$6:$I$45,R320)="","",INDEX('Recurring Schedule'!$I$6:$I$45,R320)))</f>
        <v/>
      </c>
      <c r="I320" s="36">
        <f>IF(OR(G320="",H320=""),"",TRIM(IF(HOUR(H320-G320)&gt;0,HOUR(H320-G320)&amp;" hr ","")&amp;IF(MINUTE(H320-G320)&gt;0,MINUTE(H320-G320)&amp;" min","")))</f>
        <v/>
      </c>
      <c r="J320" s="66" t="n"/>
      <c r="K320" s="70" t="n"/>
      <c r="L320" s="36">
        <f>IF(R320="","",IF(INDEX('Recurring Schedule'!$J$6:$J$45,R320)="","",INDEX('Recurring Schedule'!$J$6:$J$45,R320)))</f>
        <v/>
      </c>
      <c r="M320" s="36">
        <f>IF(R320="","",IF(INDEX('Recurring Schedule'!$K$6:$K$45,R320)="","",INDEX('Recurring Schedule'!$K$6:$K$45,R320)))</f>
        <v/>
      </c>
      <c r="N320" s="36">
        <f>IF(R320="","",IF(INDEX('Recurring Schedule'!$L$6:$L$45,R320)="","",INDEX('Recurring Schedule'!$L$6:$L$45,R320)))</f>
        <v/>
      </c>
      <c r="O320" s="36">
        <f>IF(C320="","",IF(AND(OR(L320="1-Urgent",L320="2-High"),M320="✓"),"DO FIRST",IF(M320="✓","SCHEDULE",IF(OR(L320="1-Urgent",L320="2-High"),"DELEGATE","DELETE"))))</f>
        <v/>
      </c>
      <c r="P320" s="65" t="n"/>
      <c r="Q320">
        <f>IF(315&gt;Calc!$AQ$368,"",MATCH(314,Calc!$AQ$2:$AQ$367,1))</f>
        <v/>
      </c>
      <c r="R320">
        <f>IF(Q320="","",SMALL(INDEX(Calc!$B$2:$AO$367,Q320,0),315-INDEX(Calc!$AQ$2:$AQ$367,Q320)))</f>
        <v/>
      </c>
    </row>
    <row r="321">
      <c r="B321" s="71">
        <f>IF(R321="","",316)</f>
        <v/>
      </c>
      <c r="C321" s="75">
        <f>IF(R321="","",IF(INDEX('Recurring Schedule'!$C$6:$C$45,R321)="","",INDEX('Recurring Schedule'!$C$6:$C$45,R321)))</f>
        <v/>
      </c>
      <c r="D321" s="73">
        <f>IF(R321="","",IF(INDEX('Recurring Schedule'!$D$6:$D$45,R321)="","",INDEX('Recurring Schedule'!$D$6:$D$45,R321)))</f>
        <v/>
      </c>
      <c r="E321" s="76">
        <f>IF(Q321="","",INDEX(Calc!$A$2:$A$367,Q321))</f>
        <v/>
      </c>
      <c r="F321" s="72">
        <f>IF(OR(C321="",E321=""),"",E321-Setup!$D$7)</f>
        <v/>
      </c>
      <c r="G321" s="77">
        <f>IF(R321="","",IF(INDEX('Recurring Schedule'!$H$6:$H$45,R321)="","",INDEX('Recurring Schedule'!$H$6:$H$45,R321)))</f>
        <v/>
      </c>
      <c r="H321" s="77">
        <f>IF(R321="","",IF(INDEX('Recurring Schedule'!$I$6:$I$45,R321)="","",INDEX('Recurring Schedule'!$I$6:$I$45,R321)))</f>
        <v/>
      </c>
      <c r="I321" s="73">
        <f>IF(OR(G321="",H321=""),"",TRIM(IF(HOUR(H321-G321)&gt;0,HOUR(H321-G321)&amp;" hr ","")&amp;IF(MINUTE(H321-G321)&gt;0,MINUTE(H321-G321)&amp;" min","")))</f>
        <v/>
      </c>
      <c r="J321" s="66" t="n"/>
      <c r="K321" s="70" t="n"/>
      <c r="L321" s="73">
        <f>IF(R321="","",IF(INDEX('Recurring Schedule'!$J$6:$J$45,R321)="","",INDEX('Recurring Schedule'!$J$6:$J$45,R321)))</f>
        <v/>
      </c>
      <c r="M321" s="73">
        <f>IF(R321="","",IF(INDEX('Recurring Schedule'!$K$6:$K$45,R321)="","",INDEX('Recurring Schedule'!$K$6:$K$45,R321)))</f>
        <v/>
      </c>
      <c r="N321" s="73">
        <f>IF(R321="","",IF(INDEX('Recurring Schedule'!$L$6:$L$45,R321)="","",INDEX('Recurring Schedule'!$L$6:$L$45,R321)))</f>
        <v/>
      </c>
      <c r="O321" s="73">
        <f>IF(C321="","",IF(AND(OR(L321="1-Urgent",L321="2-High"),M321="✓"),"DO FIRST",IF(M321="✓","SCHEDULE",IF(OR(L321="1-Urgent",L321="2-High"),"DELEGATE","DELETE"))))</f>
        <v/>
      </c>
      <c r="P321" s="65" t="n"/>
      <c r="Q321">
        <f>IF(316&gt;Calc!$AQ$368,"",MATCH(315,Calc!$AQ$2:$AQ$367,1))</f>
        <v/>
      </c>
      <c r="R321">
        <f>IF(Q321="","",SMALL(INDEX(Calc!$B$2:$AO$367,Q321,0),316-INDEX(Calc!$AQ$2:$AQ$367,Q321)))</f>
        <v/>
      </c>
    </row>
    <row r="322">
      <c r="B322" s="64">
        <f>IF(R322="","",317)</f>
        <v/>
      </c>
      <c r="C322" s="37">
        <f>IF(R322="","",IF(INDEX('Recurring Schedule'!$C$6:$C$45,R322)="","",INDEX('Recurring Schedule'!$C$6:$C$45,R322)))</f>
        <v/>
      </c>
      <c r="D322" s="36">
        <f>IF(R322="","",IF(INDEX('Recurring Schedule'!$D$6:$D$45,R322)="","",INDEX('Recurring Schedule'!$D$6:$D$45,R322)))</f>
        <v/>
      </c>
      <c r="E322" s="38">
        <f>IF(Q322="","",INDEX(Calc!$A$2:$A$367,Q322))</f>
        <v/>
      </c>
      <c r="F322" s="68">
        <f>IF(OR(C322="",E322=""),"",E322-Setup!$D$7)</f>
        <v/>
      </c>
      <c r="G322" s="74">
        <f>IF(R322="","",IF(INDEX('Recurring Schedule'!$H$6:$H$45,R322)="","",INDEX('Recurring Schedule'!$H$6:$H$45,R322)))</f>
        <v/>
      </c>
      <c r="H322" s="74">
        <f>IF(R322="","",IF(INDEX('Recurring Schedule'!$I$6:$I$45,R322)="","",INDEX('Recurring Schedule'!$I$6:$I$45,R322)))</f>
        <v/>
      </c>
      <c r="I322" s="36">
        <f>IF(OR(G322="",H322=""),"",TRIM(IF(HOUR(H322-G322)&gt;0,HOUR(H322-G322)&amp;" hr ","")&amp;IF(MINUTE(H322-G322)&gt;0,MINUTE(H322-G322)&amp;" min","")))</f>
        <v/>
      </c>
      <c r="J322" s="66" t="n"/>
      <c r="K322" s="70" t="n"/>
      <c r="L322" s="36">
        <f>IF(R322="","",IF(INDEX('Recurring Schedule'!$J$6:$J$45,R322)="","",INDEX('Recurring Schedule'!$J$6:$J$45,R322)))</f>
        <v/>
      </c>
      <c r="M322" s="36">
        <f>IF(R322="","",IF(INDEX('Recurring Schedule'!$K$6:$K$45,R322)="","",INDEX('Recurring Schedule'!$K$6:$K$45,R322)))</f>
        <v/>
      </c>
      <c r="N322" s="36">
        <f>IF(R322="","",IF(INDEX('Recurring Schedule'!$L$6:$L$45,R322)="","",INDEX('Recurring Schedule'!$L$6:$L$45,R322)))</f>
        <v/>
      </c>
      <c r="O322" s="36">
        <f>IF(C322="","",IF(AND(OR(L322="1-Urgent",L322="2-High"),M322="✓"),"DO FIRST",IF(M322="✓","SCHEDULE",IF(OR(L322="1-Urgent",L322="2-High"),"DELEGATE","DELETE"))))</f>
        <v/>
      </c>
      <c r="P322" s="65" t="n"/>
      <c r="Q322">
        <f>IF(317&gt;Calc!$AQ$368,"",MATCH(316,Calc!$AQ$2:$AQ$367,1))</f>
        <v/>
      </c>
      <c r="R322">
        <f>IF(Q322="","",SMALL(INDEX(Calc!$B$2:$AO$367,Q322,0),317-INDEX(Calc!$AQ$2:$AQ$367,Q322)))</f>
        <v/>
      </c>
    </row>
    <row r="323">
      <c r="B323" s="71">
        <f>IF(R323="","",318)</f>
        <v/>
      </c>
      <c r="C323" s="75">
        <f>IF(R323="","",IF(INDEX('Recurring Schedule'!$C$6:$C$45,R323)="","",INDEX('Recurring Schedule'!$C$6:$C$45,R323)))</f>
        <v/>
      </c>
      <c r="D323" s="73">
        <f>IF(R323="","",IF(INDEX('Recurring Schedule'!$D$6:$D$45,R323)="","",INDEX('Recurring Schedule'!$D$6:$D$45,R323)))</f>
        <v/>
      </c>
      <c r="E323" s="76">
        <f>IF(Q323="","",INDEX(Calc!$A$2:$A$367,Q323))</f>
        <v/>
      </c>
      <c r="F323" s="72">
        <f>IF(OR(C323="",E323=""),"",E323-Setup!$D$7)</f>
        <v/>
      </c>
      <c r="G323" s="77">
        <f>IF(R323="","",IF(INDEX('Recurring Schedule'!$H$6:$H$45,R323)="","",INDEX('Recurring Schedule'!$H$6:$H$45,R323)))</f>
        <v/>
      </c>
      <c r="H323" s="77">
        <f>IF(R323="","",IF(INDEX('Recurring Schedule'!$I$6:$I$45,R323)="","",INDEX('Recurring Schedule'!$I$6:$I$45,R323)))</f>
        <v/>
      </c>
      <c r="I323" s="73">
        <f>IF(OR(G323="",H323=""),"",TRIM(IF(HOUR(H323-G323)&gt;0,HOUR(H323-G323)&amp;" hr ","")&amp;IF(MINUTE(H323-G323)&gt;0,MINUTE(H323-G323)&amp;" min","")))</f>
        <v/>
      </c>
      <c r="J323" s="66" t="n"/>
      <c r="K323" s="70" t="n"/>
      <c r="L323" s="73">
        <f>IF(R323="","",IF(INDEX('Recurring Schedule'!$J$6:$J$45,R323)="","",INDEX('Recurring Schedule'!$J$6:$J$45,R323)))</f>
        <v/>
      </c>
      <c r="M323" s="73">
        <f>IF(R323="","",IF(INDEX('Recurring Schedule'!$K$6:$K$45,R323)="","",INDEX('Recurring Schedule'!$K$6:$K$45,R323)))</f>
        <v/>
      </c>
      <c r="N323" s="73">
        <f>IF(R323="","",IF(INDEX('Recurring Schedule'!$L$6:$L$45,R323)="","",INDEX('Recurring Schedule'!$L$6:$L$45,R323)))</f>
        <v/>
      </c>
      <c r="O323" s="73">
        <f>IF(C323="","",IF(AND(OR(L323="1-Urgent",L323="2-High"),M323="✓"),"DO FIRST",IF(M323="✓","SCHEDULE",IF(OR(L323="1-Urgent",L323="2-High"),"DELEGATE","DELETE"))))</f>
        <v/>
      </c>
      <c r="P323" s="65" t="n"/>
      <c r="Q323">
        <f>IF(318&gt;Calc!$AQ$368,"",MATCH(317,Calc!$AQ$2:$AQ$367,1))</f>
        <v/>
      </c>
      <c r="R323">
        <f>IF(Q323="","",SMALL(INDEX(Calc!$B$2:$AO$367,Q323,0),318-INDEX(Calc!$AQ$2:$AQ$367,Q323)))</f>
        <v/>
      </c>
    </row>
    <row r="324">
      <c r="B324" s="64">
        <f>IF(R324="","",319)</f>
        <v/>
      </c>
      <c r="C324" s="37">
        <f>IF(R324="","",IF(INDEX('Recurring Schedule'!$C$6:$C$45,R324)="","",INDEX('Recurring Schedule'!$C$6:$C$45,R324)))</f>
        <v/>
      </c>
      <c r="D324" s="36">
        <f>IF(R324="","",IF(INDEX('Recurring Schedule'!$D$6:$D$45,R324)="","",INDEX('Recurring Schedule'!$D$6:$D$45,R324)))</f>
        <v/>
      </c>
      <c r="E324" s="38">
        <f>IF(Q324="","",INDEX(Calc!$A$2:$A$367,Q324))</f>
        <v/>
      </c>
      <c r="F324" s="68">
        <f>IF(OR(C324="",E324=""),"",E324-Setup!$D$7)</f>
        <v/>
      </c>
      <c r="G324" s="74">
        <f>IF(R324="","",IF(INDEX('Recurring Schedule'!$H$6:$H$45,R324)="","",INDEX('Recurring Schedule'!$H$6:$H$45,R324)))</f>
        <v/>
      </c>
      <c r="H324" s="74">
        <f>IF(R324="","",IF(INDEX('Recurring Schedule'!$I$6:$I$45,R324)="","",INDEX('Recurring Schedule'!$I$6:$I$45,R324)))</f>
        <v/>
      </c>
      <c r="I324" s="36">
        <f>IF(OR(G324="",H324=""),"",TRIM(IF(HOUR(H324-G324)&gt;0,HOUR(H324-G324)&amp;" hr ","")&amp;IF(MINUTE(H324-G324)&gt;0,MINUTE(H324-G324)&amp;" min","")))</f>
        <v/>
      </c>
      <c r="J324" s="66" t="n"/>
      <c r="K324" s="70" t="n"/>
      <c r="L324" s="36">
        <f>IF(R324="","",IF(INDEX('Recurring Schedule'!$J$6:$J$45,R324)="","",INDEX('Recurring Schedule'!$J$6:$J$45,R324)))</f>
        <v/>
      </c>
      <c r="M324" s="36">
        <f>IF(R324="","",IF(INDEX('Recurring Schedule'!$K$6:$K$45,R324)="","",INDEX('Recurring Schedule'!$K$6:$K$45,R324)))</f>
        <v/>
      </c>
      <c r="N324" s="36">
        <f>IF(R324="","",IF(INDEX('Recurring Schedule'!$L$6:$L$45,R324)="","",INDEX('Recurring Schedule'!$L$6:$L$45,R324)))</f>
        <v/>
      </c>
      <c r="O324" s="36">
        <f>IF(C324="","",IF(AND(OR(L324="1-Urgent",L324="2-High"),M324="✓"),"DO FIRST",IF(M324="✓","SCHEDULE",IF(OR(L324="1-Urgent",L324="2-High"),"DELEGATE","DELETE"))))</f>
        <v/>
      </c>
      <c r="P324" s="65" t="n"/>
      <c r="Q324">
        <f>IF(319&gt;Calc!$AQ$368,"",MATCH(318,Calc!$AQ$2:$AQ$367,1))</f>
        <v/>
      </c>
      <c r="R324">
        <f>IF(Q324="","",SMALL(INDEX(Calc!$B$2:$AO$367,Q324,0),319-INDEX(Calc!$AQ$2:$AQ$367,Q324)))</f>
        <v/>
      </c>
    </row>
    <row r="325">
      <c r="B325" s="71">
        <f>IF(R325="","",320)</f>
        <v/>
      </c>
      <c r="C325" s="75">
        <f>IF(R325="","",IF(INDEX('Recurring Schedule'!$C$6:$C$45,R325)="","",INDEX('Recurring Schedule'!$C$6:$C$45,R325)))</f>
        <v/>
      </c>
      <c r="D325" s="73">
        <f>IF(R325="","",IF(INDEX('Recurring Schedule'!$D$6:$D$45,R325)="","",INDEX('Recurring Schedule'!$D$6:$D$45,R325)))</f>
        <v/>
      </c>
      <c r="E325" s="76">
        <f>IF(Q325="","",INDEX(Calc!$A$2:$A$367,Q325))</f>
        <v/>
      </c>
      <c r="F325" s="72">
        <f>IF(OR(C325="",E325=""),"",E325-Setup!$D$7)</f>
        <v/>
      </c>
      <c r="G325" s="77">
        <f>IF(R325="","",IF(INDEX('Recurring Schedule'!$H$6:$H$45,R325)="","",INDEX('Recurring Schedule'!$H$6:$H$45,R325)))</f>
        <v/>
      </c>
      <c r="H325" s="77">
        <f>IF(R325="","",IF(INDEX('Recurring Schedule'!$I$6:$I$45,R325)="","",INDEX('Recurring Schedule'!$I$6:$I$45,R325)))</f>
        <v/>
      </c>
      <c r="I325" s="73">
        <f>IF(OR(G325="",H325=""),"",TRIM(IF(HOUR(H325-G325)&gt;0,HOUR(H325-G325)&amp;" hr ","")&amp;IF(MINUTE(H325-G325)&gt;0,MINUTE(H325-G325)&amp;" min","")))</f>
        <v/>
      </c>
      <c r="J325" s="66" t="n"/>
      <c r="K325" s="70" t="n"/>
      <c r="L325" s="73">
        <f>IF(R325="","",IF(INDEX('Recurring Schedule'!$J$6:$J$45,R325)="","",INDEX('Recurring Schedule'!$J$6:$J$45,R325)))</f>
        <v/>
      </c>
      <c r="M325" s="73">
        <f>IF(R325="","",IF(INDEX('Recurring Schedule'!$K$6:$K$45,R325)="","",INDEX('Recurring Schedule'!$K$6:$K$45,R325)))</f>
        <v/>
      </c>
      <c r="N325" s="73">
        <f>IF(R325="","",IF(INDEX('Recurring Schedule'!$L$6:$L$45,R325)="","",INDEX('Recurring Schedule'!$L$6:$L$45,R325)))</f>
        <v/>
      </c>
      <c r="O325" s="73">
        <f>IF(C325="","",IF(AND(OR(L325="1-Urgent",L325="2-High"),M325="✓"),"DO FIRST",IF(M325="✓","SCHEDULE",IF(OR(L325="1-Urgent",L325="2-High"),"DELEGATE","DELETE"))))</f>
        <v/>
      </c>
      <c r="P325" s="65" t="n"/>
      <c r="Q325">
        <f>IF(320&gt;Calc!$AQ$368,"",MATCH(319,Calc!$AQ$2:$AQ$367,1))</f>
        <v/>
      </c>
      <c r="R325">
        <f>IF(Q325="","",SMALL(INDEX(Calc!$B$2:$AO$367,Q325,0),320-INDEX(Calc!$AQ$2:$AQ$367,Q325)))</f>
        <v/>
      </c>
    </row>
    <row r="326">
      <c r="B326" s="64">
        <f>IF(R326="","",321)</f>
        <v/>
      </c>
      <c r="C326" s="37">
        <f>IF(R326="","",IF(INDEX('Recurring Schedule'!$C$6:$C$45,R326)="","",INDEX('Recurring Schedule'!$C$6:$C$45,R326)))</f>
        <v/>
      </c>
      <c r="D326" s="36">
        <f>IF(R326="","",IF(INDEX('Recurring Schedule'!$D$6:$D$45,R326)="","",INDEX('Recurring Schedule'!$D$6:$D$45,R326)))</f>
        <v/>
      </c>
      <c r="E326" s="38">
        <f>IF(Q326="","",INDEX(Calc!$A$2:$A$367,Q326))</f>
        <v/>
      </c>
      <c r="F326" s="68">
        <f>IF(OR(C326="",E326=""),"",E326-Setup!$D$7)</f>
        <v/>
      </c>
      <c r="G326" s="74">
        <f>IF(R326="","",IF(INDEX('Recurring Schedule'!$H$6:$H$45,R326)="","",INDEX('Recurring Schedule'!$H$6:$H$45,R326)))</f>
        <v/>
      </c>
      <c r="H326" s="74">
        <f>IF(R326="","",IF(INDEX('Recurring Schedule'!$I$6:$I$45,R326)="","",INDEX('Recurring Schedule'!$I$6:$I$45,R326)))</f>
        <v/>
      </c>
      <c r="I326" s="36">
        <f>IF(OR(G326="",H326=""),"",TRIM(IF(HOUR(H326-G326)&gt;0,HOUR(H326-G326)&amp;" hr ","")&amp;IF(MINUTE(H326-G326)&gt;0,MINUTE(H326-G326)&amp;" min","")))</f>
        <v/>
      </c>
      <c r="J326" s="66" t="n"/>
      <c r="K326" s="70" t="n"/>
      <c r="L326" s="36">
        <f>IF(R326="","",IF(INDEX('Recurring Schedule'!$J$6:$J$45,R326)="","",INDEX('Recurring Schedule'!$J$6:$J$45,R326)))</f>
        <v/>
      </c>
      <c r="M326" s="36">
        <f>IF(R326="","",IF(INDEX('Recurring Schedule'!$K$6:$K$45,R326)="","",INDEX('Recurring Schedule'!$K$6:$K$45,R326)))</f>
        <v/>
      </c>
      <c r="N326" s="36">
        <f>IF(R326="","",IF(INDEX('Recurring Schedule'!$L$6:$L$45,R326)="","",INDEX('Recurring Schedule'!$L$6:$L$45,R326)))</f>
        <v/>
      </c>
      <c r="O326" s="36">
        <f>IF(C326="","",IF(AND(OR(L326="1-Urgent",L326="2-High"),M326="✓"),"DO FIRST",IF(M326="✓","SCHEDULE",IF(OR(L326="1-Urgent",L326="2-High"),"DELEGATE","DELETE"))))</f>
        <v/>
      </c>
      <c r="P326" s="65" t="n"/>
      <c r="Q326">
        <f>IF(321&gt;Calc!$AQ$368,"",MATCH(320,Calc!$AQ$2:$AQ$367,1))</f>
        <v/>
      </c>
      <c r="R326">
        <f>IF(Q326="","",SMALL(INDEX(Calc!$B$2:$AO$367,Q326,0),321-INDEX(Calc!$AQ$2:$AQ$367,Q326)))</f>
        <v/>
      </c>
    </row>
    <row r="327">
      <c r="B327" s="71">
        <f>IF(R327="","",322)</f>
        <v/>
      </c>
      <c r="C327" s="75">
        <f>IF(R327="","",IF(INDEX('Recurring Schedule'!$C$6:$C$45,R327)="","",INDEX('Recurring Schedule'!$C$6:$C$45,R327)))</f>
        <v/>
      </c>
      <c r="D327" s="73">
        <f>IF(R327="","",IF(INDEX('Recurring Schedule'!$D$6:$D$45,R327)="","",INDEX('Recurring Schedule'!$D$6:$D$45,R327)))</f>
        <v/>
      </c>
      <c r="E327" s="76">
        <f>IF(Q327="","",INDEX(Calc!$A$2:$A$367,Q327))</f>
        <v/>
      </c>
      <c r="F327" s="72">
        <f>IF(OR(C327="",E327=""),"",E327-Setup!$D$7)</f>
        <v/>
      </c>
      <c r="G327" s="77">
        <f>IF(R327="","",IF(INDEX('Recurring Schedule'!$H$6:$H$45,R327)="","",INDEX('Recurring Schedule'!$H$6:$H$45,R327)))</f>
        <v/>
      </c>
      <c r="H327" s="77">
        <f>IF(R327="","",IF(INDEX('Recurring Schedule'!$I$6:$I$45,R327)="","",INDEX('Recurring Schedule'!$I$6:$I$45,R327)))</f>
        <v/>
      </c>
      <c r="I327" s="73">
        <f>IF(OR(G327="",H327=""),"",TRIM(IF(HOUR(H327-G327)&gt;0,HOUR(H327-G327)&amp;" hr ","")&amp;IF(MINUTE(H327-G327)&gt;0,MINUTE(H327-G327)&amp;" min","")))</f>
        <v/>
      </c>
      <c r="J327" s="66" t="n"/>
      <c r="K327" s="70" t="n"/>
      <c r="L327" s="73">
        <f>IF(R327="","",IF(INDEX('Recurring Schedule'!$J$6:$J$45,R327)="","",INDEX('Recurring Schedule'!$J$6:$J$45,R327)))</f>
        <v/>
      </c>
      <c r="M327" s="73">
        <f>IF(R327="","",IF(INDEX('Recurring Schedule'!$K$6:$K$45,R327)="","",INDEX('Recurring Schedule'!$K$6:$K$45,R327)))</f>
        <v/>
      </c>
      <c r="N327" s="73">
        <f>IF(R327="","",IF(INDEX('Recurring Schedule'!$L$6:$L$45,R327)="","",INDEX('Recurring Schedule'!$L$6:$L$45,R327)))</f>
        <v/>
      </c>
      <c r="O327" s="73">
        <f>IF(C327="","",IF(AND(OR(L327="1-Urgent",L327="2-High"),M327="✓"),"DO FIRST",IF(M327="✓","SCHEDULE",IF(OR(L327="1-Urgent",L327="2-High"),"DELEGATE","DELETE"))))</f>
        <v/>
      </c>
      <c r="P327" s="65" t="n"/>
      <c r="Q327">
        <f>IF(322&gt;Calc!$AQ$368,"",MATCH(321,Calc!$AQ$2:$AQ$367,1))</f>
        <v/>
      </c>
      <c r="R327">
        <f>IF(Q327="","",SMALL(INDEX(Calc!$B$2:$AO$367,Q327,0),322-INDEX(Calc!$AQ$2:$AQ$367,Q327)))</f>
        <v/>
      </c>
    </row>
    <row r="328">
      <c r="B328" s="64">
        <f>IF(R328="","",323)</f>
        <v/>
      </c>
      <c r="C328" s="37">
        <f>IF(R328="","",IF(INDEX('Recurring Schedule'!$C$6:$C$45,R328)="","",INDEX('Recurring Schedule'!$C$6:$C$45,R328)))</f>
        <v/>
      </c>
      <c r="D328" s="36">
        <f>IF(R328="","",IF(INDEX('Recurring Schedule'!$D$6:$D$45,R328)="","",INDEX('Recurring Schedule'!$D$6:$D$45,R328)))</f>
        <v/>
      </c>
      <c r="E328" s="38">
        <f>IF(Q328="","",INDEX(Calc!$A$2:$A$367,Q328))</f>
        <v/>
      </c>
      <c r="F328" s="68">
        <f>IF(OR(C328="",E328=""),"",E328-Setup!$D$7)</f>
        <v/>
      </c>
      <c r="G328" s="74">
        <f>IF(R328="","",IF(INDEX('Recurring Schedule'!$H$6:$H$45,R328)="","",INDEX('Recurring Schedule'!$H$6:$H$45,R328)))</f>
        <v/>
      </c>
      <c r="H328" s="74">
        <f>IF(R328="","",IF(INDEX('Recurring Schedule'!$I$6:$I$45,R328)="","",INDEX('Recurring Schedule'!$I$6:$I$45,R328)))</f>
        <v/>
      </c>
      <c r="I328" s="36">
        <f>IF(OR(G328="",H328=""),"",TRIM(IF(HOUR(H328-G328)&gt;0,HOUR(H328-G328)&amp;" hr ","")&amp;IF(MINUTE(H328-G328)&gt;0,MINUTE(H328-G328)&amp;" min","")))</f>
        <v/>
      </c>
      <c r="J328" s="66" t="n"/>
      <c r="K328" s="70" t="n"/>
      <c r="L328" s="36">
        <f>IF(R328="","",IF(INDEX('Recurring Schedule'!$J$6:$J$45,R328)="","",INDEX('Recurring Schedule'!$J$6:$J$45,R328)))</f>
        <v/>
      </c>
      <c r="M328" s="36">
        <f>IF(R328="","",IF(INDEX('Recurring Schedule'!$K$6:$K$45,R328)="","",INDEX('Recurring Schedule'!$K$6:$K$45,R328)))</f>
        <v/>
      </c>
      <c r="N328" s="36">
        <f>IF(R328="","",IF(INDEX('Recurring Schedule'!$L$6:$L$45,R328)="","",INDEX('Recurring Schedule'!$L$6:$L$45,R328)))</f>
        <v/>
      </c>
      <c r="O328" s="36">
        <f>IF(C328="","",IF(AND(OR(L328="1-Urgent",L328="2-High"),M328="✓"),"DO FIRST",IF(M328="✓","SCHEDULE",IF(OR(L328="1-Urgent",L328="2-High"),"DELEGATE","DELETE"))))</f>
        <v/>
      </c>
      <c r="P328" s="65" t="n"/>
      <c r="Q328">
        <f>IF(323&gt;Calc!$AQ$368,"",MATCH(322,Calc!$AQ$2:$AQ$367,1))</f>
        <v/>
      </c>
      <c r="R328">
        <f>IF(Q328="","",SMALL(INDEX(Calc!$B$2:$AO$367,Q328,0),323-INDEX(Calc!$AQ$2:$AQ$367,Q328)))</f>
        <v/>
      </c>
    </row>
    <row r="329">
      <c r="B329" s="71">
        <f>IF(R329="","",324)</f>
        <v/>
      </c>
      <c r="C329" s="75">
        <f>IF(R329="","",IF(INDEX('Recurring Schedule'!$C$6:$C$45,R329)="","",INDEX('Recurring Schedule'!$C$6:$C$45,R329)))</f>
        <v/>
      </c>
      <c r="D329" s="73">
        <f>IF(R329="","",IF(INDEX('Recurring Schedule'!$D$6:$D$45,R329)="","",INDEX('Recurring Schedule'!$D$6:$D$45,R329)))</f>
        <v/>
      </c>
      <c r="E329" s="76">
        <f>IF(Q329="","",INDEX(Calc!$A$2:$A$367,Q329))</f>
        <v/>
      </c>
      <c r="F329" s="72">
        <f>IF(OR(C329="",E329=""),"",E329-Setup!$D$7)</f>
        <v/>
      </c>
      <c r="G329" s="77">
        <f>IF(R329="","",IF(INDEX('Recurring Schedule'!$H$6:$H$45,R329)="","",INDEX('Recurring Schedule'!$H$6:$H$45,R329)))</f>
        <v/>
      </c>
      <c r="H329" s="77">
        <f>IF(R329="","",IF(INDEX('Recurring Schedule'!$I$6:$I$45,R329)="","",INDEX('Recurring Schedule'!$I$6:$I$45,R329)))</f>
        <v/>
      </c>
      <c r="I329" s="73">
        <f>IF(OR(G329="",H329=""),"",TRIM(IF(HOUR(H329-G329)&gt;0,HOUR(H329-G329)&amp;" hr ","")&amp;IF(MINUTE(H329-G329)&gt;0,MINUTE(H329-G329)&amp;" min","")))</f>
        <v/>
      </c>
      <c r="J329" s="66" t="n"/>
      <c r="K329" s="70" t="n"/>
      <c r="L329" s="73">
        <f>IF(R329="","",IF(INDEX('Recurring Schedule'!$J$6:$J$45,R329)="","",INDEX('Recurring Schedule'!$J$6:$J$45,R329)))</f>
        <v/>
      </c>
      <c r="M329" s="73">
        <f>IF(R329="","",IF(INDEX('Recurring Schedule'!$K$6:$K$45,R329)="","",INDEX('Recurring Schedule'!$K$6:$K$45,R329)))</f>
        <v/>
      </c>
      <c r="N329" s="73">
        <f>IF(R329="","",IF(INDEX('Recurring Schedule'!$L$6:$L$45,R329)="","",INDEX('Recurring Schedule'!$L$6:$L$45,R329)))</f>
        <v/>
      </c>
      <c r="O329" s="73">
        <f>IF(C329="","",IF(AND(OR(L329="1-Urgent",L329="2-High"),M329="✓"),"DO FIRST",IF(M329="✓","SCHEDULE",IF(OR(L329="1-Urgent",L329="2-High"),"DELEGATE","DELETE"))))</f>
        <v/>
      </c>
      <c r="P329" s="65" t="n"/>
      <c r="Q329">
        <f>IF(324&gt;Calc!$AQ$368,"",MATCH(323,Calc!$AQ$2:$AQ$367,1))</f>
        <v/>
      </c>
      <c r="R329">
        <f>IF(Q329="","",SMALL(INDEX(Calc!$B$2:$AO$367,Q329,0),324-INDEX(Calc!$AQ$2:$AQ$367,Q329)))</f>
        <v/>
      </c>
    </row>
    <row r="330">
      <c r="B330" s="64">
        <f>IF(R330="","",325)</f>
        <v/>
      </c>
      <c r="C330" s="37">
        <f>IF(R330="","",IF(INDEX('Recurring Schedule'!$C$6:$C$45,R330)="","",INDEX('Recurring Schedule'!$C$6:$C$45,R330)))</f>
        <v/>
      </c>
      <c r="D330" s="36">
        <f>IF(R330="","",IF(INDEX('Recurring Schedule'!$D$6:$D$45,R330)="","",INDEX('Recurring Schedule'!$D$6:$D$45,R330)))</f>
        <v/>
      </c>
      <c r="E330" s="38">
        <f>IF(Q330="","",INDEX(Calc!$A$2:$A$367,Q330))</f>
        <v/>
      </c>
      <c r="F330" s="68">
        <f>IF(OR(C330="",E330=""),"",E330-Setup!$D$7)</f>
        <v/>
      </c>
      <c r="G330" s="74">
        <f>IF(R330="","",IF(INDEX('Recurring Schedule'!$H$6:$H$45,R330)="","",INDEX('Recurring Schedule'!$H$6:$H$45,R330)))</f>
        <v/>
      </c>
      <c r="H330" s="74">
        <f>IF(R330="","",IF(INDEX('Recurring Schedule'!$I$6:$I$45,R330)="","",INDEX('Recurring Schedule'!$I$6:$I$45,R330)))</f>
        <v/>
      </c>
      <c r="I330" s="36">
        <f>IF(OR(G330="",H330=""),"",TRIM(IF(HOUR(H330-G330)&gt;0,HOUR(H330-G330)&amp;" hr ","")&amp;IF(MINUTE(H330-G330)&gt;0,MINUTE(H330-G330)&amp;" min","")))</f>
        <v/>
      </c>
      <c r="J330" s="66" t="n"/>
      <c r="K330" s="70" t="n"/>
      <c r="L330" s="36">
        <f>IF(R330="","",IF(INDEX('Recurring Schedule'!$J$6:$J$45,R330)="","",INDEX('Recurring Schedule'!$J$6:$J$45,R330)))</f>
        <v/>
      </c>
      <c r="M330" s="36">
        <f>IF(R330="","",IF(INDEX('Recurring Schedule'!$K$6:$K$45,R330)="","",INDEX('Recurring Schedule'!$K$6:$K$45,R330)))</f>
        <v/>
      </c>
      <c r="N330" s="36">
        <f>IF(R330="","",IF(INDEX('Recurring Schedule'!$L$6:$L$45,R330)="","",INDEX('Recurring Schedule'!$L$6:$L$45,R330)))</f>
        <v/>
      </c>
      <c r="O330" s="36">
        <f>IF(C330="","",IF(AND(OR(L330="1-Urgent",L330="2-High"),M330="✓"),"DO FIRST",IF(M330="✓","SCHEDULE",IF(OR(L330="1-Urgent",L330="2-High"),"DELEGATE","DELETE"))))</f>
        <v/>
      </c>
      <c r="P330" s="65" t="n"/>
      <c r="Q330">
        <f>IF(325&gt;Calc!$AQ$368,"",MATCH(324,Calc!$AQ$2:$AQ$367,1))</f>
        <v/>
      </c>
      <c r="R330">
        <f>IF(Q330="","",SMALL(INDEX(Calc!$B$2:$AO$367,Q330,0),325-INDEX(Calc!$AQ$2:$AQ$367,Q330)))</f>
        <v/>
      </c>
    </row>
    <row r="331">
      <c r="B331" s="71">
        <f>IF(R331="","",326)</f>
        <v/>
      </c>
      <c r="C331" s="75">
        <f>IF(R331="","",IF(INDEX('Recurring Schedule'!$C$6:$C$45,R331)="","",INDEX('Recurring Schedule'!$C$6:$C$45,R331)))</f>
        <v/>
      </c>
      <c r="D331" s="73">
        <f>IF(R331="","",IF(INDEX('Recurring Schedule'!$D$6:$D$45,R331)="","",INDEX('Recurring Schedule'!$D$6:$D$45,R331)))</f>
        <v/>
      </c>
      <c r="E331" s="76">
        <f>IF(Q331="","",INDEX(Calc!$A$2:$A$367,Q331))</f>
        <v/>
      </c>
      <c r="F331" s="72">
        <f>IF(OR(C331="",E331=""),"",E331-Setup!$D$7)</f>
        <v/>
      </c>
      <c r="G331" s="77">
        <f>IF(R331="","",IF(INDEX('Recurring Schedule'!$H$6:$H$45,R331)="","",INDEX('Recurring Schedule'!$H$6:$H$45,R331)))</f>
        <v/>
      </c>
      <c r="H331" s="77">
        <f>IF(R331="","",IF(INDEX('Recurring Schedule'!$I$6:$I$45,R331)="","",INDEX('Recurring Schedule'!$I$6:$I$45,R331)))</f>
        <v/>
      </c>
      <c r="I331" s="73">
        <f>IF(OR(G331="",H331=""),"",TRIM(IF(HOUR(H331-G331)&gt;0,HOUR(H331-G331)&amp;" hr ","")&amp;IF(MINUTE(H331-G331)&gt;0,MINUTE(H331-G331)&amp;" min","")))</f>
        <v/>
      </c>
      <c r="J331" s="66" t="n"/>
      <c r="K331" s="70" t="n"/>
      <c r="L331" s="73">
        <f>IF(R331="","",IF(INDEX('Recurring Schedule'!$J$6:$J$45,R331)="","",INDEX('Recurring Schedule'!$J$6:$J$45,R331)))</f>
        <v/>
      </c>
      <c r="M331" s="73">
        <f>IF(R331="","",IF(INDEX('Recurring Schedule'!$K$6:$K$45,R331)="","",INDEX('Recurring Schedule'!$K$6:$K$45,R331)))</f>
        <v/>
      </c>
      <c r="N331" s="73">
        <f>IF(R331="","",IF(INDEX('Recurring Schedule'!$L$6:$L$45,R331)="","",INDEX('Recurring Schedule'!$L$6:$L$45,R331)))</f>
        <v/>
      </c>
      <c r="O331" s="73">
        <f>IF(C331="","",IF(AND(OR(L331="1-Urgent",L331="2-High"),M331="✓"),"DO FIRST",IF(M331="✓","SCHEDULE",IF(OR(L331="1-Urgent",L331="2-High"),"DELEGATE","DELETE"))))</f>
        <v/>
      </c>
      <c r="P331" s="65" t="n"/>
      <c r="Q331">
        <f>IF(326&gt;Calc!$AQ$368,"",MATCH(325,Calc!$AQ$2:$AQ$367,1))</f>
        <v/>
      </c>
      <c r="R331">
        <f>IF(Q331="","",SMALL(INDEX(Calc!$B$2:$AO$367,Q331,0),326-INDEX(Calc!$AQ$2:$AQ$367,Q331)))</f>
        <v/>
      </c>
    </row>
    <row r="332">
      <c r="B332" s="64">
        <f>IF(R332="","",327)</f>
        <v/>
      </c>
      <c r="C332" s="37">
        <f>IF(R332="","",IF(INDEX('Recurring Schedule'!$C$6:$C$45,R332)="","",INDEX('Recurring Schedule'!$C$6:$C$45,R332)))</f>
        <v/>
      </c>
      <c r="D332" s="36">
        <f>IF(R332="","",IF(INDEX('Recurring Schedule'!$D$6:$D$45,R332)="","",INDEX('Recurring Schedule'!$D$6:$D$45,R332)))</f>
        <v/>
      </c>
      <c r="E332" s="38">
        <f>IF(Q332="","",INDEX(Calc!$A$2:$A$367,Q332))</f>
        <v/>
      </c>
      <c r="F332" s="68">
        <f>IF(OR(C332="",E332=""),"",E332-Setup!$D$7)</f>
        <v/>
      </c>
      <c r="G332" s="74">
        <f>IF(R332="","",IF(INDEX('Recurring Schedule'!$H$6:$H$45,R332)="","",INDEX('Recurring Schedule'!$H$6:$H$45,R332)))</f>
        <v/>
      </c>
      <c r="H332" s="74">
        <f>IF(R332="","",IF(INDEX('Recurring Schedule'!$I$6:$I$45,R332)="","",INDEX('Recurring Schedule'!$I$6:$I$45,R332)))</f>
        <v/>
      </c>
      <c r="I332" s="36">
        <f>IF(OR(G332="",H332=""),"",TRIM(IF(HOUR(H332-G332)&gt;0,HOUR(H332-G332)&amp;" hr ","")&amp;IF(MINUTE(H332-G332)&gt;0,MINUTE(H332-G332)&amp;" min","")))</f>
        <v/>
      </c>
      <c r="J332" s="66" t="n"/>
      <c r="K332" s="70" t="n"/>
      <c r="L332" s="36">
        <f>IF(R332="","",IF(INDEX('Recurring Schedule'!$J$6:$J$45,R332)="","",INDEX('Recurring Schedule'!$J$6:$J$45,R332)))</f>
        <v/>
      </c>
      <c r="M332" s="36">
        <f>IF(R332="","",IF(INDEX('Recurring Schedule'!$K$6:$K$45,R332)="","",INDEX('Recurring Schedule'!$K$6:$K$45,R332)))</f>
        <v/>
      </c>
      <c r="N332" s="36">
        <f>IF(R332="","",IF(INDEX('Recurring Schedule'!$L$6:$L$45,R332)="","",INDEX('Recurring Schedule'!$L$6:$L$45,R332)))</f>
        <v/>
      </c>
      <c r="O332" s="36">
        <f>IF(C332="","",IF(AND(OR(L332="1-Urgent",L332="2-High"),M332="✓"),"DO FIRST",IF(M332="✓","SCHEDULE",IF(OR(L332="1-Urgent",L332="2-High"),"DELEGATE","DELETE"))))</f>
        <v/>
      </c>
      <c r="P332" s="65" t="n"/>
      <c r="Q332">
        <f>IF(327&gt;Calc!$AQ$368,"",MATCH(326,Calc!$AQ$2:$AQ$367,1))</f>
        <v/>
      </c>
      <c r="R332">
        <f>IF(Q332="","",SMALL(INDEX(Calc!$B$2:$AO$367,Q332,0),327-INDEX(Calc!$AQ$2:$AQ$367,Q332)))</f>
        <v/>
      </c>
    </row>
    <row r="333">
      <c r="B333" s="71">
        <f>IF(R333="","",328)</f>
        <v/>
      </c>
      <c r="C333" s="75">
        <f>IF(R333="","",IF(INDEX('Recurring Schedule'!$C$6:$C$45,R333)="","",INDEX('Recurring Schedule'!$C$6:$C$45,R333)))</f>
        <v/>
      </c>
      <c r="D333" s="73">
        <f>IF(R333="","",IF(INDEX('Recurring Schedule'!$D$6:$D$45,R333)="","",INDEX('Recurring Schedule'!$D$6:$D$45,R333)))</f>
        <v/>
      </c>
      <c r="E333" s="76">
        <f>IF(Q333="","",INDEX(Calc!$A$2:$A$367,Q333))</f>
        <v/>
      </c>
      <c r="F333" s="72">
        <f>IF(OR(C333="",E333=""),"",E333-Setup!$D$7)</f>
        <v/>
      </c>
      <c r="G333" s="77">
        <f>IF(R333="","",IF(INDEX('Recurring Schedule'!$H$6:$H$45,R333)="","",INDEX('Recurring Schedule'!$H$6:$H$45,R333)))</f>
        <v/>
      </c>
      <c r="H333" s="77">
        <f>IF(R333="","",IF(INDEX('Recurring Schedule'!$I$6:$I$45,R333)="","",INDEX('Recurring Schedule'!$I$6:$I$45,R333)))</f>
        <v/>
      </c>
      <c r="I333" s="73">
        <f>IF(OR(G333="",H333=""),"",TRIM(IF(HOUR(H333-G333)&gt;0,HOUR(H333-G333)&amp;" hr ","")&amp;IF(MINUTE(H333-G333)&gt;0,MINUTE(H333-G333)&amp;" min","")))</f>
        <v/>
      </c>
      <c r="J333" s="66" t="n"/>
      <c r="K333" s="70" t="n"/>
      <c r="L333" s="73">
        <f>IF(R333="","",IF(INDEX('Recurring Schedule'!$J$6:$J$45,R333)="","",INDEX('Recurring Schedule'!$J$6:$J$45,R333)))</f>
        <v/>
      </c>
      <c r="M333" s="73">
        <f>IF(R333="","",IF(INDEX('Recurring Schedule'!$K$6:$K$45,R333)="","",INDEX('Recurring Schedule'!$K$6:$K$45,R333)))</f>
        <v/>
      </c>
      <c r="N333" s="73">
        <f>IF(R333="","",IF(INDEX('Recurring Schedule'!$L$6:$L$45,R333)="","",INDEX('Recurring Schedule'!$L$6:$L$45,R333)))</f>
        <v/>
      </c>
      <c r="O333" s="73">
        <f>IF(C333="","",IF(AND(OR(L333="1-Urgent",L333="2-High"),M333="✓"),"DO FIRST",IF(M333="✓","SCHEDULE",IF(OR(L333="1-Urgent",L333="2-High"),"DELEGATE","DELETE"))))</f>
        <v/>
      </c>
      <c r="P333" s="65" t="n"/>
      <c r="Q333">
        <f>IF(328&gt;Calc!$AQ$368,"",MATCH(327,Calc!$AQ$2:$AQ$367,1))</f>
        <v/>
      </c>
      <c r="R333">
        <f>IF(Q333="","",SMALL(INDEX(Calc!$B$2:$AO$367,Q333,0),328-INDEX(Calc!$AQ$2:$AQ$367,Q333)))</f>
        <v/>
      </c>
    </row>
    <row r="334">
      <c r="B334" s="64">
        <f>IF(R334="","",329)</f>
        <v/>
      </c>
      <c r="C334" s="37">
        <f>IF(R334="","",IF(INDEX('Recurring Schedule'!$C$6:$C$45,R334)="","",INDEX('Recurring Schedule'!$C$6:$C$45,R334)))</f>
        <v/>
      </c>
      <c r="D334" s="36">
        <f>IF(R334="","",IF(INDEX('Recurring Schedule'!$D$6:$D$45,R334)="","",INDEX('Recurring Schedule'!$D$6:$D$45,R334)))</f>
        <v/>
      </c>
      <c r="E334" s="38">
        <f>IF(Q334="","",INDEX(Calc!$A$2:$A$367,Q334))</f>
        <v/>
      </c>
      <c r="F334" s="68">
        <f>IF(OR(C334="",E334=""),"",E334-Setup!$D$7)</f>
        <v/>
      </c>
      <c r="G334" s="74">
        <f>IF(R334="","",IF(INDEX('Recurring Schedule'!$H$6:$H$45,R334)="","",INDEX('Recurring Schedule'!$H$6:$H$45,R334)))</f>
        <v/>
      </c>
      <c r="H334" s="74">
        <f>IF(R334="","",IF(INDEX('Recurring Schedule'!$I$6:$I$45,R334)="","",INDEX('Recurring Schedule'!$I$6:$I$45,R334)))</f>
        <v/>
      </c>
      <c r="I334" s="36">
        <f>IF(OR(G334="",H334=""),"",TRIM(IF(HOUR(H334-G334)&gt;0,HOUR(H334-G334)&amp;" hr ","")&amp;IF(MINUTE(H334-G334)&gt;0,MINUTE(H334-G334)&amp;" min","")))</f>
        <v/>
      </c>
      <c r="J334" s="66" t="n"/>
      <c r="K334" s="70" t="n"/>
      <c r="L334" s="36">
        <f>IF(R334="","",IF(INDEX('Recurring Schedule'!$J$6:$J$45,R334)="","",INDEX('Recurring Schedule'!$J$6:$J$45,R334)))</f>
        <v/>
      </c>
      <c r="M334" s="36">
        <f>IF(R334="","",IF(INDEX('Recurring Schedule'!$K$6:$K$45,R334)="","",INDEX('Recurring Schedule'!$K$6:$K$45,R334)))</f>
        <v/>
      </c>
      <c r="N334" s="36">
        <f>IF(R334="","",IF(INDEX('Recurring Schedule'!$L$6:$L$45,R334)="","",INDEX('Recurring Schedule'!$L$6:$L$45,R334)))</f>
        <v/>
      </c>
      <c r="O334" s="36">
        <f>IF(C334="","",IF(AND(OR(L334="1-Urgent",L334="2-High"),M334="✓"),"DO FIRST",IF(M334="✓","SCHEDULE",IF(OR(L334="1-Urgent",L334="2-High"),"DELEGATE","DELETE"))))</f>
        <v/>
      </c>
      <c r="P334" s="65" t="n"/>
      <c r="Q334">
        <f>IF(329&gt;Calc!$AQ$368,"",MATCH(328,Calc!$AQ$2:$AQ$367,1))</f>
        <v/>
      </c>
      <c r="R334">
        <f>IF(Q334="","",SMALL(INDEX(Calc!$B$2:$AO$367,Q334,0),329-INDEX(Calc!$AQ$2:$AQ$367,Q334)))</f>
        <v/>
      </c>
    </row>
    <row r="335">
      <c r="B335" s="71">
        <f>IF(R335="","",330)</f>
        <v/>
      </c>
      <c r="C335" s="75">
        <f>IF(R335="","",IF(INDEX('Recurring Schedule'!$C$6:$C$45,R335)="","",INDEX('Recurring Schedule'!$C$6:$C$45,R335)))</f>
        <v/>
      </c>
      <c r="D335" s="73">
        <f>IF(R335="","",IF(INDEX('Recurring Schedule'!$D$6:$D$45,R335)="","",INDEX('Recurring Schedule'!$D$6:$D$45,R335)))</f>
        <v/>
      </c>
      <c r="E335" s="76">
        <f>IF(Q335="","",INDEX(Calc!$A$2:$A$367,Q335))</f>
        <v/>
      </c>
      <c r="F335" s="72">
        <f>IF(OR(C335="",E335=""),"",E335-Setup!$D$7)</f>
        <v/>
      </c>
      <c r="G335" s="77">
        <f>IF(R335="","",IF(INDEX('Recurring Schedule'!$H$6:$H$45,R335)="","",INDEX('Recurring Schedule'!$H$6:$H$45,R335)))</f>
        <v/>
      </c>
      <c r="H335" s="77">
        <f>IF(R335="","",IF(INDEX('Recurring Schedule'!$I$6:$I$45,R335)="","",INDEX('Recurring Schedule'!$I$6:$I$45,R335)))</f>
        <v/>
      </c>
      <c r="I335" s="73">
        <f>IF(OR(G335="",H335=""),"",TRIM(IF(HOUR(H335-G335)&gt;0,HOUR(H335-G335)&amp;" hr ","")&amp;IF(MINUTE(H335-G335)&gt;0,MINUTE(H335-G335)&amp;" min","")))</f>
        <v/>
      </c>
      <c r="J335" s="66" t="n"/>
      <c r="K335" s="70" t="n"/>
      <c r="L335" s="73">
        <f>IF(R335="","",IF(INDEX('Recurring Schedule'!$J$6:$J$45,R335)="","",INDEX('Recurring Schedule'!$J$6:$J$45,R335)))</f>
        <v/>
      </c>
      <c r="M335" s="73">
        <f>IF(R335="","",IF(INDEX('Recurring Schedule'!$K$6:$K$45,R335)="","",INDEX('Recurring Schedule'!$K$6:$K$45,R335)))</f>
        <v/>
      </c>
      <c r="N335" s="73">
        <f>IF(R335="","",IF(INDEX('Recurring Schedule'!$L$6:$L$45,R335)="","",INDEX('Recurring Schedule'!$L$6:$L$45,R335)))</f>
        <v/>
      </c>
      <c r="O335" s="73">
        <f>IF(C335="","",IF(AND(OR(L335="1-Urgent",L335="2-High"),M335="✓"),"DO FIRST",IF(M335="✓","SCHEDULE",IF(OR(L335="1-Urgent",L335="2-High"),"DELEGATE","DELETE"))))</f>
        <v/>
      </c>
      <c r="P335" s="65" t="n"/>
      <c r="Q335">
        <f>IF(330&gt;Calc!$AQ$368,"",MATCH(329,Calc!$AQ$2:$AQ$367,1))</f>
        <v/>
      </c>
      <c r="R335">
        <f>IF(Q335="","",SMALL(INDEX(Calc!$B$2:$AO$367,Q335,0),330-INDEX(Calc!$AQ$2:$AQ$367,Q335)))</f>
        <v/>
      </c>
    </row>
    <row r="336">
      <c r="B336" s="64">
        <f>IF(R336="","",331)</f>
        <v/>
      </c>
      <c r="C336" s="37">
        <f>IF(R336="","",IF(INDEX('Recurring Schedule'!$C$6:$C$45,R336)="","",INDEX('Recurring Schedule'!$C$6:$C$45,R336)))</f>
        <v/>
      </c>
      <c r="D336" s="36">
        <f>IF(R336="","",IF(INDEX('Recurring Schedule'!$D$6:$D$45,R336)="","",INDEX('Recurring Schedule'!$D$6:$D$45,R336)))</f>
        <v/>
      </c>
      <c r="E336" s="38">
        <f>IF(Q336="","",INDEX(Calc!$A$2:$A$367,Q336))</f>
        <v/>
      </c>
      <c r="F336" s="68">
        <f>IF(OR(C336="",E336=""),"",E336-Setup!$D$7)</f>
        <v/>
      </c>
      <c r="G336" s="74">
        <f>IF(R336="","",IF(INDEX('Recurring Schedule'!$H$6:$H$45,R336)="","",INDEX('Recurring Schedule'!$H$6:$H$45,R336)))</f>
        <v/>
      </c>
      <c r="H336" s="74">
        <f>IF(R336="","",IF(INDEX('Recurring Schedule'!$I$6:$I$45,R336)="","",INDEX('Recurring Schedule'!$I$6:$I$45,R336)))</f>
        <v/>
      </c>
      <c r="I336" s="36">
        <f>IF(OR(G336="",H336=""),"",TRIM(IF(HOUR(H336-G336)&gt;0,HOUR(H336-G336)&amp;" hr ","")&amp;IF(MINUTE(H336-G336)&gt;0,MINUTE(H336-G336)&amp;" min","")))</f>
        <v/>
      </c>
      <c r="J336" s="66" t="n"/>
      <c r="K336" s="70" t="n"/>
      <c r="L336" s="36">
        <f>IF(R336="","",IF(INDEX('Recurring Schedule'!$J$6:$J$45,R336)="","",INDEX('Recurring Schedule'!$J$6:$J$45,R336)))</f>
        <v/>
      </c>
      <c r="M336" s="36">
        <f>IF(R336="","",IF(INDEX('Recurring Schedule'!$K$6:$K$45,R336)="","",INDEX('Recurring Schedule'!$K$6:$K$45,R336)))</f>
        <v/>
      </c>
      <c r="N336" s="36">
        <f>IF(R336="","",IF(INDEX('Recurring Schedule'!$L$6:$L$45,R336)="","",INDEX('Recurring Schedule'!$L$6:$L$45,R336)))</f>
        <v/>
      </c>
      <c r="O336" s="36">
        <f>IF(C336="","",IF(AND(OR(L336="1-Urgent",L336="2-High"),M336="✓"),"DO FIRST",IF(M336="✓","SCHEDULE",IF(OR(L336="1-Urgent",L336="2-High"),"DELEGATE","DELETE"))))</f>
        <v/>
      </c>
      <c r="P336" s="65" t="n"/>
      <c r="Q336">
        <f>IF(331&gt;Calc!$AQ$368,"",MATCH(330,Calc!$AQ$2:$AQ$367,1))</f>
        <v/>
      </c>
      <c r="R336">
        <f>IF(Q336="","",SMALL(INDEX(Calc!$B$2:$AO$367,Q336,0),331-INDEX(Calc!$AQ$2:$AQ$367,Q336)))</f>
        <v/>
      </c>
    </row>
    <row r="337">
      <c r="B337" s="71">
        <f>IF(R337="","",332)</f>
        <v/>
      </c>
      <c r="C337" s="75">
        <f>IF(R337="","",IF(INDEX('Recurring Schedule'!$C$6:$C$45,R337)="","",INDEX('Recurring Schedule'!$C$6:$C$45,R337)))</f>
        <v/>
      </c>
      <c r="D337" s="73">
        <f>IF(R337="","",IF(INDEX('Recurring Schedule'!$D$6:$D$45,R337)="","",INDEX('Recurring Schedule'!$D$6:$D$45,R337)))</f>
        <v/>
      </c>
      <c r="E337" s="76">
        <f>IF(Q337="","",INDEX(Calc!$A$2:$A$367,Q337))</f>
        <v/>
      </c>
      <c r="F337" s="72">
        <f>IF(OR(C337="",E337=""),"",E337-Setup!$D$7)</f>
        <v/>
      </c>
      <c r="G337" s="77">
        <f>IF(R337="","",IF(INDEX('Recurring Schedule'!$H$6:$H$45,R337)="","",INDEX('Recurring Schedule'!$H$6:$H$45,R337)))</f>
        <v/>
      </c>
      <c r="H337" s="77">
        <f>IF(R337="","",IF(INDEX('Recurring Schedule'!$I$6:$I$45,R337)="","",INDEX('Recurring Schedule'!$I$6:$I$45,R337)))</f>
        <v/>
      </c>
      <c r="I337" s="73">
        <f>IF(OR(G337="",H337=""),"",TRIM(IF(HOUR(H337-G337)&gt;0,HOUR(H337-G337)&amp;" hr ","")&amp;IF(MINUTE(H337-G337)&gt;0,MINUTE(H337-G337)&amp;" min","")))</f>
        <v/>
      </c>
      <c r="J337" s="66" t="n"/>
      <c r="K337" s="70" t="n"/>
      <c r="L337" s="73">
        <f>IF(R337="","",IF(INDEX('Recurring Schedule'!$J$6:$J$45,R337)="","",INDEX('Recurring Schedule'!$J$6:$J$45,R337)))</f>
        <v/>
      </c>
      <c r="M337" s="73">
        <f>IF(R337="","",IF(INDEX('Recurring Schedule'!$K$6:$K$45,R337)="","",INDEX('Recurring Schedule'!$K$6:$K$45,R337)))</f>
        <v/>
      </c>
      <c r="N337" s="73">
        <f>IF(R337="","",IF(INDEX('Recurring Schedule'!$L$6:$L$45,R337)="","",INDEX('Recurring Schedule'!$L$6:$L$45,R337)))</f>
        <v/>
      </c>
      <c r="O337" s="73">
        <f>IF(C337="","",IF(AND(OR(L337="1-Urgent",L337="2-High"),M337="✓"),"DO FIRST",IF(M337="✓","SCHEDULE",IF(OR(L337="1-Urgent",L337="2-High"),"DELEGATE","DELETE"))))</f>
        <v/>
      </c>
      <c r="P337" s="65" t="n"/>
      <c r="Q337">
        <f>IF(332&gt;Calc!$AQ$368,"",MATCH(331,Calc!$AQ$2:$AQ$367,1))</f>
        <v/>
      </c>
      <c r="R337">
        <f>IF(Q337="","",SMALL(INDEX(Calc!$B$2:$AO$367,Q337,0),332-INDEX(Calc!$AQ$2:$AQ$367,Q337)))</f>
        <v/>
      </c>
    </row>
    <row r="338">
      <c r="B338" s="64">
        <f>IF(R338="","",333)</f>
        <v/>
      </c>
      <c r="C338" s="37">
        <f>IF(R338="","",IF(INDEX('Recurring Schedule'!$C$6:$C$45,R338)="","",INDEX('Recurring Schedule'!$C$6:$C$45,R338)))</f>
        <v/>
      </c>
      <c r="D338" s="36">
        <f>IF(R338="","",IF(INDEX('Recurring Schedule'!$D$6:$D$45,R338)="","",INDEX('Recurring Schedule'!$D$6:$D$45,R338)))</f>
        <v/>
      </c>
      <c r="E338" s="38">
        <f>IF(Q338="","",INDEX(Calc!$A$2:$A$367,Q338))</f>
        <v/>
      </c>
      <c r="F338" s="68">
        <f>IF(OR(C338="",E338=""),"",E338-Setup!$D$7)</f>
        <v/>
      </c>
      <c r="G338" s="74">
        <f>IF(R338="","",IF(INDEX('Recurring Schedule'!$H$6:$H$45,R338)="","",INDEX('Recurring Schedule'!$H$6:$H$45,R338)))</f>
        <v/>
      </c>
      <c r="H338" s="74">
        <f>IF(R338="","",IF(INDEX('Recurring Schedule'!$I$6:$I$45,R338)="","",INDEX('Recurring Schedule'!$I$6:$I$45,R338)))</f>
        <v/>
      </c>
      <c r="I338" s="36">
        <f>IF(OR(G338="",H338=""),"",TRIM(IF(HOUR(H338-G338)&gt;0,HOUR(H338-G338)&amp;" hr ","")&amp;IF(MINUTE(H338-G338)&gt;0,MINUTE(H338-G338)&amp;" min","")))</f>
        <v/>
      </c>
      <c r="J338" s="66" t="n"/>
      <c r="K338" s="70" t="n"/>
      <c r="L338" s="36">
        <f>IF(R338="","",IF(INDEX('Recurring Schedule'!$J$6:$J$45,R338)="","",INDEX('Recurring Schedule'!$J$6:$J$45,R338)))</f>
        <v/>
      </c>
      <c r="M338" s="36">
        <f>IF(R338="","",IF(INDEX('Recurring Schedule'!$K$6:$K$45,R338)="","",INDEX('Recurring Schedule'!$K$6:$K$45,R338)))</f>
        <v/>
      </c>
      <c r="N338" s="36">
        <f>IF(R338="","",IF(INDEX('Recurring Schedule'!$L$6:$L$45,R338)="","",INDEX('Recurring Schedule'!$L$6:$L$45,R338)))</f>
        <v/>
      </c>
      <c r="O338" s="36">
        <f>IF(C338="","",IF(AND(OR(L338="1-Urgent",L338="2-High"),M338="✓"),"DO FIRST",IF(M338="✓","SCHEDULE",IF(OR(L338="1-Urgent",L338="2-High"),"DELEGATE","DELETE"))))</f>
        <v/>
      </c>
      <c r="P338" s="65" t="n"/>
      <c r="Q338">
        <f>IF(333&gt;Calc!$AQ$368,"",MATCH(332,Calc!$AQ$2:$AQ$367,1))</f>
        <v/>
      </c>
      <c r="R338">
        <f>IF(Q338="","",SMALL(INDEX(Calc!$B$2:$AO$367,Q338,0),333-INDEX(Calc!$AQ$2:$AQ$367,Q338)))</f>
        <v/>
      </c>
    </row>
    <row r="339">
      <c r="B339" s="71">
        <f>IF(R339="","",334)</f>
        <v/>
      </c>
      <c r="C339" s="75">
        <f>IF(R339="","",IF(INDEX('Recurring Schedule'!$C$6:$C$45,R339)="","",INDEX('Recurring Schedule'!$C$6:$C$45,R339)))</f>
        <v/>
      </c>
      <c r="D339" s="73">
        <f>IF(R339="","",IF(INDEX('Recurring Schedule'!$D$6:$D$45,R339)="","",INDEX('Recurring Schedule'!$D$6:$D$45,R339)))</f>
        <v/>
      </c>
      <c r="E339" s="76">
        <f>IF(Q339="","",INDEX(Calc!$A$2:$A$367,Q339))</f>
        <v/>
      </c>
      <c r="F339" s="72">
        <f>IF(OR(C339="",E339=""),"",E339-Setup!$D$7)</f>
        <v/>
      </c>
      <c r="G339" s="77">
        <f>IF(R339="","",IF(INDEX('Recurring Schedule'!$H$6:$H$45,R339)="","",INDEX('Recurring Schedule'!$H$6:$H$45,R339)))</f>
        <v/>
      </c>
      <c r="H339" s="77">
        <f>IF(R339="","",IF(INDEX('Recurring Schedule'!$I$6:$I$45,R339)="","",INDEX('Recurring Schedule'!$I$6:$I$45,R339)))</f>
        <v/>
      </c>
      <c r="I339" s="73">
        <f>IF(OR(G339="",H339=""),"",TRIM(IF(HOUR(H339-G339)&gt;0,HOUR(H339-G339)&amp;" hr ","")&amp;IF(MINUTE(H339-G339)&gt;0,MINUTE(H339-G339)&amp;" min","")))</f>
        <v/>
      </c>
      <c r="J339" s="66" t="n"/>
      <c r="K339" s="70" t="n"/>
      <c r="L339" s="73">
        <f>IF(R339="","",IF(INDEX('Recurring Schedule'!$J$6:$J$45,R339)="","",INDEX('Recurring Schedule'!$J$6:$J$45,R339)))</f>
        <v/>
      </c>
      <c r="M339" s="73">
        <f>IF(R339="","",IF(INDEX('Recurring Schedule'!$K$6:$K$45,R339)="","",INDEX('Recurring Schedule'!$K$6:$K$45,R339)))</f>
        <v/>
      </c>
      <c r="N339" s="73">
        <f>IF(R339="","",IF(INDEX('Recurring Schedule'!$L$6:$L$45,R339)="","",INDEX('Recurring Schedule'!$L$6:$L$45,R339)))</f>
        <v/>
      </c>
      <c r="O339" s="73">
        <f>IF(C339="","",IF(AND(OR(L339="1-Urgent",L339="2-High"),M339="✓"),"DO FIRST",IF(M339="✓","SCHEDULE",IF(OR(L339="1-Urgent",L339="2-High"),"DELEGATE","DELETE"))))</f>
        <v/>
      </c>
      <c r="P339" s="65" t="n"/>
      <c r="Q339">
        <f>IF(334&gt;Calc!$AQ$368,"",MATCH(333,Calc!$AQ$2:$AQ$367,1))</f>
        <v/>
      </c>
      <c r="R339">
        <f>IF(Q339="","",SMALL(INDEX(Calc!$B$2:$AO$367,Q339,0),334-INDEX(Calc!$AQ$2:$AQ$367,Q339)))</f>
        <v/>
      </c>
    </row>
    <row r="340">
      <c r="B340" s="64">
        <f>IF(R340="","",335)</f>
        <v/>
      </c>
      <c r="C340" s="37">
        <f>IF(R340="","",IF(INDEX('Recurring Schedule'!$C$6:$C$45,R340)="","",INDEX('Recurring Schedule'!$C$6:$C$45,R340)))</f>
        <v/>
      </c>
      <c r="D340" s="36">
        <f>IF(R340="","",IF(INDEX('Recurring Schedule'!$D$6:$D$45,R340)="","",INDEX('Recurring Schedule'!$D$6:$D$45,R340)))</f>
        <v/>
      </c>
      <c r="E340" s="38">
        <f>IF(Q340="","",INDEX(Calc!$A$2:$A$367,Q340))</f>
        <v/>
      </c>
      <c r="F340" s="68">
        <f>IF(OR(C340="",E340=""),"",E340-Setup!$D$7)</f>
        <v/>
      </c>
      <c r="G340" s="74">
        <f>IF(R340="","",IF(INDEX('Recurring Schedule'!$H$6:$H$45,R340)="","",INDEX('Recurring Schedule'!$H$6:$H$45,R340)))</f>
        <v/>
      </c>
      <c r="H340" s="74">
        <f>IF(R340="","",IF(INDEX('Recurring Schedule'!$I$6:$I$45,R340)="","",INDEX('Recurring Schedule'!$I$6:$I$45,R340)))</f>
        <v/>
      </c>
      <c r="I340" s="36">
        <f>IF(OR(G340="",H340=""),"",TRIM(IF(HOUR(H340-G340)&gt;0,HOUR(H340-G340)&amp;" hr ","")&amp;IF(MINUTE(H340-G340)&gt;0,MINUTE(H340-G340)&amp;" min","")))</f>
        <v/>
      </c>
      <c r="J340" s="66" t="n"/>
      <c r="K340" s="70" t="n"/>
      <c r="L340" s="36">
        <f>IF(R340="","",IF(INDEX('Recurring Schedule'!$J$6:$J$45,R340)="","",INDEX('Recurring Schedule'!$J$6:$J$45,R340)))</f>
        <v/>
      </c>
      <c r="M340" s="36">
        <f>IF(R340="","",IF(INDEX('Recurring Schedule'!$K$6:$K$45,R340)="","",INDEX('Recurring Schedule'!$K$6:$K$45,R340)))</f>
        <v/>
      </c>
      <c r="N340" s="36">
        <f>IF(R340="","",IF(INDEX('Recurring Schedule'!$L$6:$L$45,R340)="","",INDEX('Recurring Schedule'!$L$6:$L$45,R340)))</f>
        <v/>
      </c>
      <c r="O340" s="36">
        <f>IF(C340="","",IF(AND(OR(L340="1-Urgent",L340="2-High"),M340="✓"),"DO FIRST",IF(M340="✓","SCHEDULE",IF(OR(L340="1-Urgent",L340="2-High"),"DELEGATE","DELETE"))))</f>
        <v/>
      </c>
      <c r="P340" s="65" t="n"/>
      <c r="Q340">
        <f>IF(335&gt;Calc!$AQ$368,"",MATCH(334,Calc!$AQ$2:$AQ$367,1))</f>
        <v/>
      </c>
      <c r="R340">
        <f>IF(Q340="","",SMALL(INDEX(Calc!$B$2:$AO$367,Q340,0),335-INDEX(Calc!$AQ$2:$AQ$367,Q340)))</f>
        <v/>
      </c>
    </row>
    <row r="341">
      <c r="B341" s="71">
        <f>IF(R341="","",336)</f>
        <v/>
      </c>
      <c r="C341" s="75">
        <f>IF(R341="","",IF(INDEX('Recurring Schedule'!$C$6:$C$45,R341)="","",INDEX('Recurring Schedule'!$C$6:$C$45,R341)))</f>
        <v/>
      </c>
      <c r="D341" s="73">
        <f>IF(R341="","",IF(INDEX('Recurring Schedule'!$D$6:$D$45,R341)="","",INDEX('Recurring Schedule'!$D$6:$D$45,R341)))</f>
        <v/>
      </c>
      <c r="E341" s="76">
        <f>IF(Q341="","",INDEX(Calc!$A$2:$A$367,Q341))</f>
        <v/>
      </c>
      <c r="F341" s="72">
        <f>IF(OR(C341="",E341=""),"",E341-Setup!$D$7)</f>
        <v/>
      </c>
      <c r="G341" s="77">
        <f>IF(R341="","",IF(INDEX('Recurring Schedule'!$H$6:$H$45,R341)="","",INDEX('Recurring Schedule'!$H$6:$H$45,R341)))</f>
        <v/>
      </c>
      <c r="H341" s="77">
        <f>IF(R341="","",IF(INDEX('Recurring Schedule'!$I$6:$I$45,R341)="","",INDEX('Recurring Schedule'!$I$6:$I$45,R341)))</f>
        <v/>
      </c>
      <c r="I341" s="73">
        <f>IF(OR(G341="",H341=""),"",TRIM(IF(HOUR(H341-G341)&gt;0,HOUR(H341-G341)&amp;" hr ","")&amp;IF(MINUTE(H341-G341)&gt;0,MINUTE(H341-G341)&amp;" min","")))</f>
        <v/>
      </c>
      <c r="J341" s="66" t="n"/>
      <c r="K341" s="70" t="n"/>
      <c r="L341" s="73">
        <f>IF(R341="","",IF(INDEX('Recurring Schedule'!$J$6:$J$45,R341)="","",INDEX('Recurring Schedule'!$J$6:$J$45,R341)))</f>
        <v/>
      </c>
      <c r="M341" s="73">
        <f>IF(R341="","",IF(INDEX('Recurring Schedule'!$K$6:$K$45,R341)="","",INDEX('Recurring Schedule'!$K$6:$K$45,R341)))</f>
        <v/>
      </c>
      <c r="N341" s="73">
        <f>IF(R341="","",IF(INDEX('Recurring Schedule'!$L$6:$L$45,R341)="","",INDEX('Recurring Schedule'!$L$6:$L$45,R341)))</f>
        <v/>
      </c>
      <c r="O341" s="73">
        <f>IF(C341="","",IF(AND(OR(L341="1-Urgent",L341="2-High"),M341="✓"),"DO FIRST",IF(M341="✓","SCHEDULE",IF(OR(L341="1-Urgent",L341="2-High"),"DELEGATE","DELETE"))))</f>
        <v/>
      </c>
      <c r="P341" s="65" t="n"/>
      <c r="Q341">
        <f>IF(336&gt;Calc!$AQ$368,"",MATCH(335,Calc!$AQ$2:$AQ$367,1))</f>
        <v/>
      </c>
      <c r="R341">
        <f>IF(Q341="","",SMALL(INDEX(Calc!$B$2:$AO$367,Q341,0),336-INDEX(Calc!$AQ$2:$AQ$367,Q341)))</f>
        <v/>
      </c>
    </row>
    <row r="342">
      <c r="B342" s="64">
        <f>IF(R342="","",337)</f>
        <v/>
      </c>
      <c r="C342" s="37">
        <f>IF(R342="","",IF(INDEX('Recurring Schedule'!$C$6:$C$45,R342)="","",INDEX('Recurring Schedule'!$C$6:$C$45,R342)))</f>
        <v/>
      </c>
      <c r="D342" s="36">
        <f>IF(R342="","",IF(INDEX('Recurring Schedule'!$D$6:$D$45,R342)="","",INDEX('Recurring Schedule'!$D$6:$D$45,R342)))</f>
        <v/>
      </c>
      <c r="E342" s="38">
        <f>IF(Q342="","",INDEX(Calc!$A$2:$A$367,Q342))</f>
        <v/>
      </c>
      <c r="F342" s="68">
        <f>IF(OR(C342="",E342=""),"",E342-Setup!$D$7)</f>
        <v/>
      </c>
      <c r="G342" s="74">
        <f>IF(R342="","",IF(INDEX('Recurring Schedule'!$H$6:$H$45,R342)="","",INDEX('Recurring Schedule'!$H$6:$H$45,R342)))</f>
        <v/>
      </c>
      <c r="H342" s="74">
        <f>IF(R342="","",IF(INDEX('Recurring Schedule'!$I$6:$I$45,R342)="","",INDEX('Recurring Schedule'!$I$6:$I$45,R342)))</f>
        <v/>
      </c>
      <c r="I342" s="36">
        <f>IF(OR(G342="",H342=""),"",TRIM(IF(HOUR(H342-G342)&gt;0,HOUR(H342-G342)&amp;" hr ","")&amp;IF(MINUTE(H342-G342)&gt;0,MINUTE(H342-G342)&amp;" min","")))</f>
        <v/>
      </c>
      <c r="J342" s="66" t="n"/>
      <c r="K342" s="70" t="n"/>
      <c r="L342" s="36">
        <f>IF(R342="","",IF(INDEX('Recurring Schedule'!$J$6:$J$45,R342)="","",INDEX('Recurring Schedule'!$J$6:$J$45,R342)))</f>
        <v/>
      </c>
      <c r="M342" s="36">
        <f>IF(R342="","",IF(INDEX('Recurring Schedule'!$K$6:$K$45,R342)="","",INDEX('Recurring Schedule'!$K$6:$K$45,R342)))</f>
        <v/>
      </c>
      <c r="N342" s="36">
        <f>IF(R342="","",IF(INDEX('Recurring Schedule'!$L$6:$L$45,R342)="","",INDEX('Recurring Schedule'!$L$6:$L$45,R342)))</f>
        <v/>
      </c>
      <c r="O342" s="36">
        <f>IF(C342="","",IF(AND(OR(L342="1-Urgent",L342="2-High"),M342="✓"),"DO FIRST",IF(M342="✓","SCHEDULE",IF(OR(L342="1-Urgent",L342="2-High"),"DELEGATE","DELETE"))))</f>
        <v/>
      </c>
      <c r="P342" s="65" t="n"/>
      <c r="Q342">
        <f>IF(337&gt;Calc!$AQ$368,"",MATCH(336,Calc!$AQ$2:$AQ$367,1))</f>
        <v/>
      </c>
      <c r="R342">
        <f>IF(Q342="","",SMALL(INDEX(Calc!$B$2:$AO$367,Q342,0),337-INDEX(Calc!$AQ$2:$AQ$367,Q342)))</f>
        <v/>
      </c>
    </row>
    <row r="343">
      <c r="B343" s="71">
        <f>IF(R343="","",338)</f>
        <v/>
      </c>
      <c r="C343" s="75">
        <f>IF(R343="","",IF(INDEX('Recurring Schedule'!$C$6:$C$45,R343)="","",INDEX('Recurring Schedule'!$C$6:$C$45,R343)))</f>
        <v/>
      </c>
      <c r="D343" s="73">
        <f>IF(R343="","",IF(INDEX('Recurring Schedule'!$D$6:$D$45,R343)="","",INDEX('Recurring Schedule'!$D$6:$D$45,R343)))</f>
        <v/>
      </c>
      <c r="E343" s="76">
        <f>IF(Q343="","",INDEX(Calc!$A$2:$A$367,Q343))</f>
        <v/>
      </c>
      <c r="F343" s="72">
        <f>IF(OR(C343="",E343=""),"",E343-Setup!$D$7)</f>
        <v/>
      </c>
      <c r="G343" s="77">
        <f>IF(R343="","",IF(INDEX('Recurring Schedule'!$H$6:$H$45,R343)="","",INDEX('Recurring Schedule'!$H$6:$H$45,R343)))</f>
        <v/>
      </c>
      <c r="H343" s="77">
        <f>IF(R343="","",IF(INDEX('Recurring Schedule'!$I$6:$I$45,R343)="","",INDEX('Recurring Schedule'!$I$6:$I$45,R343)))</f>
        <v/>
      </c>
      <c r="I343" s="73">
        <f>IF(OR(G343="",H343=""),"",TRIM(IF(HOUR(H343-G343)&gt;0,HOUR(H343-G343)&amp;" hr ","")&amp;IF(MINUTE(H343-G343)&gt;0,MINUTE(H343-G343)&amp;" min","")))</f>
        <v/>
      </c>
      <c r="J343" s="66" t="n"/>
      <c r="K343" s="70" t="n"/>
      <c r="L343" s="73">
        <f>IF(R343="","",IF(INDEX('Recurring Schedule'!$J$6:$J$45,R343)="","",INDEX('Recurring Schedule'!$J$6:$J$45,R343)))</f>
        <v/>
      </c>
      <c r="M343" s="73">
        <f>IF(R343="","",IF(INDEX('Recurring Schedule'!$K$6:$K$45,R343)="","",INDEX('Recurring Schedule'!$K$6:$K$45,R343)))</f>
        <v/>
      </c>
      <c r="N343" s="73">
        <f>IF(R343="","",IF(INDEX('Recurring Schedule'!$L$6:$L$45,R343)="","",INDEX('Recurring Schedule'!$L$6:$L$45,R343)))</f>
        <v/>
      </c>
      <c r="O343" s="73">
        <f>IF(C343="","",IF(AND(OR(L343="1-Urgent",L343="2-High"),M343="✓"),"DO FIRST",IF(M343="✓","SCHEDULE",IF(OR(L343="1-Urgent",L343="2-High"),"DELEGATE","DELETE"))))</f>
        <v/>
      </c>
      <c r="P343" s="65" t="n"/>
      <c r="Q343">
        <f>IF(338&gt;Calc!$AQ$368,"",MATCH(337,Calc!$AQ$2:$AQ$367,1))</f>
        <v/>
      </c>
      <c r="R343">
        <f>IF(Q343="","",SMALL(INDEX(Calc!$B$2:$AO$367,Q343,0),338-INDEX(Calc!$AQ$2:$AQ$367,Q343)))</f>
        <v/>
      </c>
    </row>
    <row r="344">
      <c r="B344" s="64">
        <f>IF(R344="","",339)</f>
        <v/>
      </c>
      <c r="C344" s="37">
        <f>IF(R344="","",IF(INDEX('Recurring Schedule'!$C$6:$C$45,R344)="","",INDEX('Recurring Schedule'!$C$6:$C$45,R344)))</f>
        <v/>
      </c>
      <c r="D344" s="36">
        <f>IF(R344="","",IF(INDEX('Recurring Schedule'!$D$6:$D$45,R344)="","",INDEX('Recurring Schedule'!$D$6:$D$45,R344)))</f>
        <v/>
      </c>
      <c r="E344" s="38">
        <f>IF(Q344="","",INDEX(Calc!$A$2:$A$367,Q344))</f>
        <v/>
      </c>
      <c r="F344" s="68">
        <f>IF(OR(C344="",E344=""),"",E344-Setup!$D$7)</f>
        <v/>
      </c>
      <c r="G344" s="74">
        <f>IF(R344="","",IF(INDEX('Recurring Schedule'!$H$6:$H$45,R344)="","",INDEX('Recurring Schedule'!$H$6:$H$45,R344)))</f>
        <v/>
      </c>
      <c r="H344" s="74">
        <f>IF(R344="","",IF(INDEX('Recurring Schedule'!$I$6:$I$45,R344)="","",INDEX('Recurring Schedule'!$I$6:$I$45,R344)))</f>
        <v/>
      </c>
      <c r="I344" s="36">
        <f>IF(OR(G344="",H344=""),"",TRIM(IF(HOUR(H344-G344)&gt;0,HOUR(H344-G344)&amp;" hr ","")&amp;IF(MINUTE(H344-G344)&gt;0,MINUTE(H344-G344)&amp;" min","")))</f>
        <v/>
      </c>
      <c r="J344" s="66" t="n"/>
      <c r="K344" s="70" t="n"/>
      <c r="L344" s="36">
        <f>IF(R344="","",IF(INDEX('Recurring Schedule'!$J$6:$J$45,R344)="","",INDEX('Recurring Schedule'!$J$6:$J$45,R344)))</f>
        <v/>
      </c>
      <c r="M344" s="36">
        <f>IF(R344="","",IF(INDEX('Recurring Schedule'!$K$6:$K$45,R344)="","",INDEX('Recurring Schedule'!$K$6:$K$45,R344)))</f>
        <v/>
      </c>
      <c r="N344" s="36">
        <f>IF(R344="","",IF(INDEX('Recurring Schedule'!$L$6:$L$45,R344)="","",INDEX('Recurring Schedule'!$L$6:$L$45,R344)))</f>
        <v/>
      </c>
      <c r="O344" s="36">
        <f>IF(C344="","",IF(AND(OR(L344="1-Urgent",L344="2-High"),M344="✓"),"DO FIRST",IF(M344="✓","SCHEDULE",IF(OR(L344="1-Urgent",L344="2-High"),"DELEGATE","DELETE"))))</f>
        <v/>
      </c>
      <c r="P344" s="65" t="n"/>
      <c r="Q344">
        <f>IF(339&gt;Calc!$AQ$368,"",MATCH(338,Calc!$AQ$2:$AQ$367,1))</f>
        <v/>
      </c>
      <c r="R344">
        <f>IF(Q344="","",SMALL(INDEX(Calc!$B$2:$AO$367,Q344,0),339-INDEX(Calc!$AQ$2:$AQ$367,Q344)))</f>
        <v/>
      </c>
    </row>
    <row r="345">
      <c r="B345" s="71">
        <f>IF(R345="","",340)</f>
        <v/>
      </c>
      <c r="C345" s="75">
        <f>IF(R345="","",IF(INDEX('Recurring Schedule'!$C$6:$C$45,R345)="","",INDEX('Recurring Schedule'!$C$6:$C$45,R345)))</f>
        <v/>
      </c>
      <c r="D345" s="73">
        <f>IF(R345="","",IF(INDEX('Recurring Schedule'!$D$6:$D$45,R345)="","",INDEX('Recurring Schedule'!$D$6:$D$45,R345)))</f>
        <v/>
      </c>
      <c r="E345" s="76">
        <f>IF(Q345="","",INDEX(Calc!$A$2:$A$367,Q345))</f>
        <v/>
      </c>
      <c r="F345" s="72">
        <f>IF(OR(C345="",E345=""),"",E345-Setup!$D$7)</f>
        <v/>
      </c>
      <c r="G345" s="77">
        <f>IF(R345="","",IF(INDEX('Recurring Schedule'!$H$6:$H$45,R345)="","",INDEX('Recurring Schedule'!$H$6:$H$45,R345)))</f>
        <v/>
      </c>
      <c r="H345" s="77">
        <f>IF(R345="","",IF(INDEX('Recurring Schedule'!$I$6:$I$45,R345)="","",INDEX('Recurring Schedule'!$I$6:$I$45,R345)))</f>
        <v/>
      </c>
      <c r="I345" s="73">
        <f>IF(OR(G345="",H345=""),"",TRIM(IF(HOUR(H345-G345)&gt;0,HOUR(H345-G345)&amp;" hr ","")&amp;IF(MINUTE(H345-G345)&gt;0,MINUTE(H345-G345)&amp;" min","")))</f>
        <v/>
      </c>
      <c r="J345" s="66" t="n"/>
      <c r="K345" s="70" t="n"/>
      <c r="L345" s="73">
        <f>IF(R345="","",IF(INDEX('Recurring Schedule'!$J$6:$J$45,R345)="","",INDEX('Recurring Schedule'!$J$6:$J$45,R345)))</f>
        <v/>
      </c>
      <c r="M345" s="73">
        <f>IF(R345="","",IF(INDEX('Recurring Schedule'!$K$6:$K$45,R345)="","",INDEX('Recurring Schedule'!$K$6:$K$45,R345)))</f>
        <v/>
      </c>
      <c r="N345" s="73">
        <f>IF(R345="","",IF(INDEX('Recurring Schedule'!$L$6:$L$45,R345)="","",INDEX('Recurring Schedule'!$L$6:$L$45,R345)))</f>
        <v/>
      </c>
      <c r="O345" s="73">
        <f>IF(C345="","",IF(AND(OR(L345="1-Urgent",L345="2-High"),M345="✓"),"DO FIRST",IF(M345="✓","SCHEDULE",IF(OR(L345="1-Urgent",L345="2-High"),"DELEGATE","DELETE"))))</f>
        <v/>
      </c>
      <c r="P345" s="65" t="n"/>
      <c r="Q345">
        <f>IF(340&gt;Calc!$AQ$368,"",MATCH(339,Calc!$AQ$2:$AQ$367,1))</f>
        <v/>
      </c>
      <c r="R345">
        <f>IF(Q345="","",SMALL(INDEX(Calc!$B$2:$AO$367,Q345,0),340-INDEX(Calc!$AQ$2:$AQ$367,Q345)))</f>
        <v/>
      </c>
    </row>
    <row r="346">
      <c r="B346" s="64">
        <f>IF(R346="","",341)</f>
        <v/>
      </c>
      <c r="C346" s="37">
        <f>IF(R346="","",IF(INDEX('Recurring Schedule'!$C$6:$C$45,R346)="","",INDEX('Recurring Schedule'!$C$6:$C$45,R346)))</f>
        <v/>
      </c>
      <c r="D346" s="36">
        <f>IF(R346="","",IF(INDEX('Recurring Schedule'!$D$6:$D$45,R346)="","",INDEX('Recurring Schedule'!$D$6:$D$45,R346)))</f>
        <v/>
      </c>
      <c r="E346" s="38">
        <f>IF(Q346="","",INDEX(Calc!$A$2:$A$367,Q346))</f>
        <v/>
      </c>
      <c r="F346" s="68">
        <f>IF(OR(C346="",E346=""),"",E346-Setup!$D$7)</f>
        <v/>
      </c>
      <c r="G346" s="74">
        <f>IF(R346="","",IF(INDEX('Recurring Schedule'!$H$6:$H$45,R346)="","",INDEX('Recurring Schedule'!$H$6:$H$45,R346)))</f>
        <v/>
      </c>
      <c r="H346" s="74">
        <f>IF(R346="","",IF(INDEX('Recurring Schedule'!$I$6:$I$45,R346)="","",INDEX('Recurring Schedule'!$I$6:$I$45,R346)))</f>
        <v/>
      </c>
      <c r="I346" s="36">
        <f>IF(OR(G346="",H346=""),"",TRIM(IF(HOUR(H346-G346)&gt;0,HOUR(H346-G346)&amp;" hr ","")&amp;IF(MINUTE(H346-G346)&gt;0,MINUTE(H346-G346)&amp;" min","")))</f>
        <v/>
      </c>
      <c r="J346" s="66" t="n"/>
      <c r="K346" s="70" t="n"/>
      <c r="L346" s="36">
        <f>IF(R346="","",IF(INDEX('Recurring Schedule'!$J$6:$J$45,R346)="","",INDEX('Recurring Schedule'!$J$6:$J$45,R346)))</f>
        <v/>
      </c>
      <c r="M346" s="36">
        <f>IF(R346="","",IF(INDEX('Recurring Schedule'!$K$6:$K$45,R346)="","",INDEX('Recurring Schedule'!$K$6:$K$45,R346)))</f>
        <v/>
      </c>
      <c r="N346" s="36">
        <f>IF(R346="","",IF(INDEX('Recurring Schedule'!$L$6:$L$45,R346)="","",INDEX('Recurring Schedule'!$L$6:$L$45,R346)))</f>
        <v/>
      </c>
      <c r="O346" s="36">
        <f>IF(C346="","",IF(AND(OR(L346="1-Urgent",L346="2-High"),M346="✓"),"DO FIRST",IF(M346="✓","SCHEDULE",IF(OR(L346="1-Urgent",L346="2-High"),"DELEGATE","DELETE"))))</f>
        <v/>
      </c>
      <c r="P346" s="65" t="n"/>
      <c r="Q346">
        <f>IF(341&gt;Calc!$AQ$368,"",MATCH(340,Calc!$AQ$2:$AQ$367,1))</f>
        <v/>
      </c>
      <c r="R346">
        <f>IF(Q346="","",SMALL(INDEX(Calc!$B$2:$AO$367,Q346,0),341-INDEX(Calc!$AQ$2:$AQ$367,Q346)))</f>
        <v/>
      </c>
    </row>
    <row r="347">
      <c r="B347" s="71">
        <f>IF(R347="","",342)</f>
        <v/>
      </c>
      <c r="C347" s="75">
        <f>IF(R347="","",IF(INDEX('Recurring Schedule'!$C$6:$C$45,R347)="","",INDEX('Recurring Schedule'!$C$6:$C$45,R347)))</f>
        <v/>
      </c>
      <c r="D347" s="73">
        <f>IF(R347="","",IF(INDEX('Recurring Schedule'!$D$6:$D$45,R347)="","",INDEX('Recurring Schedule'!$D$6:$D$45,R347)))</f>
        <v/>
      </c>
      <c r="E347" s="76">
        <f>IF(Q347="","",INDEX(Calc!$A$2:$A$367,Q347))</f>
        <v/>
      </c>
      <c r="F347" s="72">
        <f>IF(OR(C347="",E347=""),"",E347-Setup!$D$7)</f>
        <v/>
      </c>
      <c r="G347" s="77">
        <f>IF(R347="","",IF(INDEX('Recurring Schedule'!$H$6:$H$45,R347)="","",INDEX('Recurring Schedule'!$H$6:$H$45,R347)))</f>
        <v/>
      </c>
      <c r="H347" s="77">
        <f>IF(R347="","",IF(INDEX('Recurring Schedule'!$I$6:$I$45,R347)="","",INDEX('Recurring Schedule'!$I$6:$I$45,R347)))</f>
        <v/>
      </c>
      <c r="I347" s="73">
        <f>IF(OR(G347="",H347=""),"",TRIM(IF(HOUR(H347-G347)&gt;0,HOUR(H347-G347)&amp;" hr ","")&amp;IF(MINUTE(H347-G347)&gt;0,MINUTE(H347-G347)&amp;" min","")))</f>
        <v/>
      </c>
      <c r="J347" s="66" t="n"/>
      <c r="K347" s="70" t="n"/>
      <c r="L347" s="73">
        <f>IF(R347="","",IF(INDEX('Recurring Schedule'!$J$6:$J$45,R347)="","",INDEX('Recurring Schedule'!$J$6:$J$45,R347)))</f>
        <v/>
      </c>
      <c r="M347" s="73">
        <f>IF(R347="","",IF(INDEX('Recurring Schedule'!$K$6:$K$45,R347)="","",INDEX('Recurring Schedule'!$K$6:$K$45,R347)))</f>
        <v/>
      </c>
      <c r="N347" s="73">
        <f>IF(R347="","",IF(INDEX('Recurring Schedule'!$L$6:$L$45,R347)="","",INDEX('Recurring Schedule'!$L$6:$L$45,R347)))</f>
        <v/>
      </c>
      <c r="O347" s="73">
        <f>IF(C347="","",IF(AND(OR(L347="1-Urgent",L347="2-High"),M347="✓"),"DO FIRST",IF(M347="✓","SCHEDULE",IF(OR(L347="1-Urgent",L347="2-High"),"DELEGATE","DELETE"))))</f>
        <v/>
      </c>
      <c r="P347" s="65" t="n"/>
      <c r="Q347">
        <f>IF(342&gt;Calc!$AQ$368,"",MATCH(341,Calc!$AQ$2:$AQ$367,1))</f>
        <v/>
      </c>
      <c r="R347">
        <f>IF(Q347="","",SMALL(INDEX(Calc!$B$2:$AO$367,Q347,0),342-INDEX(Calc!$AQ$2:$AQ$367,Q347)))</f>
        <v/>
      </c>
    </row>
    <row r="348">
      <c r="B348" s="64">
        <f>IF(R348="","",343)</f>
        <v/>
      </c>
      <c r="C348" s="37">
        <f>IF(R348="","",IF(INDEX('Recurring Schedule'!$C$6:$C$45,R348)="","",INDEX('Recurring Schedule'!$C$6:$C$45,R348)))</f>
        <v/>
      </c>
      <c r="D348" s="36">
        <f>IF(R348="","",IF(INDEX('Recurring Schedule'!$D$6:$D$45,R348)="","",INDEX('Recurring Schedule'!$D$6:$D$45,R348)))</f>
        <v/>
      </c>
      <c r="E348" s="38">
        <f>IF(Q348="","",INDEX(Calc!$A$2:$A$367,Q348))</f>
        <v/>
      </c>
      <c r="F348" s="68">
        <f>IF(OR(C348="",E348=""),"",E348-Setup!$D$7)</f>
        <v/>
      </c>
      <c r="G348" s="74">
        <f>IF(R348="","",IF(INDEX('Recurring Schedule'!$H$6:$H$45,R348)="","",INDEX('Recurring Schedule'!$H$6:$H$45,R348)))</f>
        <v/>
      </c>
      <c r="H348" s="74">
        <f>IF(R348="","",IF(INDEX('Recurring Schedule'!$I$6:$I$45,R348)="","",INDEX('Recurring Schedule'!$I$6:$I$45,R348)))</f>
        <v/>
      </c>
      <c r="I348" s="36">
        <f>IF(OR(G348="",H348=""),"",TRIM(IF(HOUR(H348-G348)&gt;0,HOUR(H348-G348)&amp;" hr ","")&amp;IF(MINUTE(H348-G348)&gt;0,MINUTE(H348-G348)&amp;" min","")))</f>
        <v/>
      </c>
      <c r="J348" s="66" t="n"/>
      <c r="K348" s="70" t="n"/>
      <c r="L348" s="36">
        <f>IF(R348="","",IF(INDEX('Recurring Schedule'!$J$6:$J$45,R348)="","",INDEX('Recurring Schedule'!$J$6:$J$45,R348)))</f>
        <v/>
      </c>
      <c r="M348" s="36">
        <f>IF(R348="","",IF(INDEX('Recurring Schedule'!$K$6:$K$45,R348)="","",INDEX('Recurring Schedule'!$K$6:$K$45,R348)))</f>
        <v/>
      </c>
      <c r="N348" s="36">
        <f>IF(R348="","",IF(INDEX('Recurring Schedule'!$L$6:$L$45,R348)="","",INDEX('Recurring Schedule'!$L$6:$L$45,R348)))</f>
        <v/>
      </c>
      <c r="O348" s="36">
        <f>IF(C348="","",IF(AND(OR(L348="1-Urgent",L348="2-High"),M348="✓"),"DO FIRST",IF(M348="✓","SCHEDULE",IF(OR(L348="1-Urgent",L348="2-High"),"DELEGATE","DELETE"))))</f>
        <v/>
      </c>
      <c r="P348" s="65" t="n"/>
      <c r="Q348">
        <f>IF(343&gt;Calc!$AQ$368,"",MATCH(342,Calc!$AQ$2:$AQ$367,1))</f>
        <v/>
      </c>
      <c r="R348">
        <f>IF(Q348="","",SMALL(INDEX(Calc!$B$2:$AO$367,Q348,0),343-INDEX(Calc!$AQ$2:$AQ$367,Q348)))</f>
        <v/>
      </c>
    </row>
    <row r="349">
      <c r="B349" s="71">
        <f>IF(R349="","",344)</f>
        <v/>
      </c>
      <c r="C349" s="75">
        <f>IF(R349="","",IF(INDEX('Recurring Schedule'!$C$6:$C$45,R349)="","",INDEX('Recurring Schedule'!$C$6:$C$45,R349)))</f>
        <v/>
      </c>
      <c r="D349" s="73">
        <f>IF(R349="","",IF(INDEX('Recurring Schedule'!$D$6:$D$45,R349)="","",INDEX('Recurring Schedule'!$D$6:$D$45,R349)))</f>
        <v/>
      </c>
      <c r="E349" s="76">
        <f>IF(Q349="","",INDEX(Calc!$A$2:$A$367,Q349))</f>
        <v/>
      </c>
      <c r="F349" s="72">
        <f>IF(OR(C349="",E349=""),"",E349-Setup!$D$7)</f>
        <v/>
      </c>
      <c r="G349" s="77">
        <f>IF(R349="","",IF(INDEX('Recurring Schedule'!$H$6:$H$45,R349)="","",INDEX('Recurring Schedule'!$H$6:$H$45,R349)))</f>
        <v/>
      </c>
      <c r="H349" s="77">
        <f>IF(R349="","",IF(INDEX('Recurring Schedule'!$I$6:$I$45,R349)="","",INDEX('Recurring Schedule'!$I$6:$I$45,R349)))</f>
        <v/>
      </c>
      <c r="I349" s="73">
        <f>IF(OR(G349="",H349=""),"",TRIM(IF(HOUR(H349-G349)&gt;0,HOUR(H349-G349)&amp;" hr ","")&amp;IF(MINUTE(H349-G349)&gt;0,MINUTE(H349-G349)&amp;" min","")))</f>
        <v/>
      </c>
      <c r="J349" s="66" t="n"/>
      <c r="K349" s="70" t="n"/>
      <c r="L349" s="73">
        <f>IF(R349="","",IF(INDEX('Recurring Schedule'!$J$6:$J$45,R349)="","",INDEX('Recurring Schedule'!$J$6:$J$45,R349)))</f>
        <v/>
      </c>
      <c r="M349" s="73">
        <f>IF(R349="","",IF(INDEX('Recurring Schedule'!$K$6:$K$45,R349)="","",INDEX('Recurring Schedule'!$K$6:$K$45,R349)))</f>
        <v/>
      </c>
      <c r="N349" s="73">
        <f>IF(R349="","",IF(INDEX('Recurring Schedule'!$L$6:$L$45,R349)="","",INDEX('Recurring Schedule'!$L$6:$L$45,R349)))</f>
        <v/>
      </c>
      <c r="O349" s="73">
        <f>IF(C349="","",IF(AND(OR(L349="1-Urgent",L349="2-High"),M349="✓"),"DO FIRST",IF(M349="✓","SCHEDULE",IF(OR(L349="1-Urgent",L349="2-High"),"DELEGATE","DELETE"))))</f>
        <v/>
      </c>
      <c r="P349" s="65" t="n"/>
      <c r="Q349">
        <f>IF(344&gt;Calc!$AQ$368,"",MATCH(343,Calc!$AQ$2:$AQ$367,1))</f>
        <v/>
      </c>
      <c r="R349">
        <f>IF(Q349="","",SMALL(INDEX(Calc!$B$2:$AO$367,Q349,0),344-INDEX(Calc!$AQ$2:$AQ$367,Q349)))</f>
        <v/>
      </c>
    </row>
    <row r="350">
      <c r="B350" s="64">
        <f>IF(R350="","",345)</f>
        <v/>
      </c>
      <c r="C350" s="37">
        <f>IF(R350="","",IF(INDEX('Recurring Schedule'!$C$6:$C$45,R350)="","",INDEX('Recurring Schedule'!$C$6:$C$45,R350)))</f>
        <v/>
      </c>
      <c r="D350" s="36">
        <f>IF(R350="","",IF(INDEX('Recurring Schedule'!$D$6:$D$45,R350)="","",INDEX('Recurring Schedule'!$D$6:$D$45,R350)))</f>
        <v/>
      </c>
      <c r="E350" s="38">
        <f>IF(Q350="","",INDEX(Calc!$A$2:$A$367,Q350))</f>
        <v/>
      </c>
      <c r="F350" s="68">
        <f>IF(OR(C350="",E350=""),"",E350-Setup!$D$7)</f>
        <v/>
      </c>
      <c r="G350" s="74">
        <f>IF(R350="","",IF(INDEX('Recurring Schedule'!$H$6:$H$45,R350)="","",INDEX('Recurring Schedule'!$H$6:$H$45,R350)))</f>
        <v/>
      </c>
      <c r="H350" s="74">
        <f>IF(R350="","",IF(INDEX('Recurring Schedule'!$I$6:$I$45,R350)="","",INDEX('Recurring Schedule'!$I$6:$I$45,R350)))</f>
        <v/>
      </c>
      <c r="I350" s="36">
        <f>IF(OR(G350="",H350=""),"",TRIM(IF(HOUR(H350-G350)&gt;0,HOUR(H350-G350)&amp;" hr ","")&amp;IF(MINUTE(H350-G350)&gt;0,MINUTE(H350-G350)&amp;" min","")))</f>
        <v/>
      </c>
      <c r="J350" s="66" t="n"/>
      <c r="K350" s="70" t="n"/>
      <c r="L350" s="36">
        <f>IF(R350="","",IF(INDEX('Recurring Schedule'!$J$6:$J$45,R350)="","",INDEX('Recurring Schedule'!$J$6:$J$45,R350)))</f>
        <v/>
      </c>
      <c r="M350" s="36">
        <f>IF(R350="","",IF(INDEX('Recurring Schedule'!$K$6:$K$45,R350)="","",INDEX('Recurring Schedule'!$K$6:$K$45,R350)))</f>
        <v/>
      </c>
      <c r="N350" s="36">
        <f>IF(R350="","",IF(INDEX('Recurring Schedule'!$L$6:$L$45,R350)="","",INDEX('Recurring Schedule'!$L$6:$L$45,R350)))</f>
        <v/>
      </c>
      <c r="O350" s="36">
        <f>IF(C350="","",IF(AND(OR(L350="1-Urgent",L350="2-High"),M350="✓"),"DO FIRST",IF(M350="✓","SCHEDULE",IF(OR(L350="1-Urgent",L350="2-High"),"DELEGATE","DELETE"))))</f>
        <v/>
      </c>
      <c r="P350" s="65" t="n"/>
      <c r="Q350">
        <f>IF(345&gt;Calc!$AQ$368,"",MATCH(344,Calc!$AQ$2:$AQ$367,1))</f>
        <v/>
      </c>
      <c r="R350">
        <f>IF(Q350="","",SMALL(INDEX(Calc!$B$2:$AO$367,Q350,0),345-INDEX(Calc!$AQ$2:$AQ$367,Q350)))</f>
        <v/>
      </c>
    </row>
    <row r="351">
      <c r="B351" s="71">
        <f>IF(R351="","",346)</f>
        <v/>
      </c>
      <c r="C351" s="75">
        <f>IF(R351="","",IF(INDEX('Recurring Schedule'!$C$6:$C$45,R351)="","",INDEX('Recurring Schedule'!$C$6:$C$45,R351)))</f>
        <v/>
      </c>
      <c r="D351" s="73">
        <f>IF(R351="","",IF(INDEX('Recurring Schedule'!$D$6:$D$45,R351)="","",INDEX('Recurring Schedule'!$D$6:$D$45,R351)))</f>
        <v/>
      </c>
      <c r="E351" s="76">
        <f>IF(Q351="","",INDEX(Calc!$A$2:$A$367,Q351))</f>
        <v/>
      </c>
      <c r="F351" s="72">
        <f>IF(OR(C351="",E351=""),"",E351-Setup!$D$7)</f>
        <v/>
      </c>
      <c r="G351" s="77">
        <f>IF(R351="","",IF(INDEX('Recurring Schedule'!$H$6:$H$45,R351)="","",INDEX('Recurring Schedule'!$H$6:$H$45,R351)))</f>
        <v/>
      </c>
      <c r="H351" s="77">
        <f>IF(R351="","",IF(INDEX('Recurring Schedule'!$I$6:$I$45,R351)="","",INDEX('Recurring Schedule'!$I$6:$I$45,R351)))</f>
        <v/>
      </c>
      <c r="I351" s="73">
        <f>IF(OR(G351="",H351=""),"",TRIM(IF(HOUR(H351-G351)&gt;0,HOUR(H351-G351)&amp;" hr ","")&amp;IF(MINUTE(H351-G351)&gt;0,MINUTE(H351-G351)&amp;" min","")))</f>
        <v/>
      </c>
      <c r="J351" s="66" t="n"/>
      <c r="K351" s="70" t="n"/>
      <c r="L351" s="73">
        <f>IF(R351="","",IF(INDEX('Recurring Schedule'!$J$6:$J$45,R351)="","",INDEX('Recurring Schedule'!$J$6:$J$45,R351)))</f>
        <v/>
      </c>
      <c r="M351" s="73">
        <f>IF(R351="","",IF(INDEX('Recurring Schedule'!$K$6:$K$45,R351)="","",INDEX('Recurring Schedule'!$K$6:$K$45,R351)))</f>
        <v/>
      </c>
      <c r="N351" s="73">
        <f>IF(R351="","",IF(INDEX('Recurring Schedule'!$L$6:$L$45,R351)="","",INDEX('Recurring Schedule'!$L$6:$L$45,R351)))</f>
        <v/>
      </c>
      <c r="O351" s="73">
        <f>IF(C351="","",IF(AND(OR(L351="1-Urgent",L351="2-High"),M351="✓"),"DO FIRST",IF(M351="✓","SCHEDULE",IF(OR(L351="1-Urgent",L351="2-High"),"DELEGATE","DELETE"))))</f>
        <v/>
      </c>
      <c r="P351" s="65" t="n"/>
      <c r="Q351">
        <f>IF(346&gt;Calc!$AQ$368,"",MATCH(345,Calc!$AQ$2:$AQ$367,1))</f>
        <v/>
      </c>
      <c r="R351">
        <f>IF(Q351="","",SMALL(INDEX(Calc!$B$2:$AO$367,Q351,0),346-INDEX(Calc!$AQ$2:$AQ$367,Q351)))</f>
        <v/>
      </c>
    </row>
    <row r="352">
      <c r="B352" s="64">
        <f>IF(R352="","",347)</f>
        <v/>
      </c>
      <c r="C352" s="37">
        <f>IF(R352="","",IF(INDEX('Recurring Schedule'!$C$6:$C$45,R352)="","",INDEX('Recurring Schedule'!$C$6:$C$45,R352)))</f>
        <v/>
      </c>
      <c r="D352" s="36">
        <f>IF(R352="","",IF(INDEX('Recurring Schedule'!$D$6:$D$45,R352)="","",INDEX('Recurring Schedule'!$D$6:$D$45,R352)))</f>
        <v/>
      </c>
      <c r="E352" s="38">
        <f>IF(Q352="","",INDEX(Calc!$A$2:$A$367,Q352))</f>
        <v/>
      </c>
      <c r="F352" s="68">
        <f>IF(OR(C352="",E352=""),"",E352-Setup!$D$7)</f>
        <v/>
      </c>
      <c r="G352" s="74">
        <f>IF(R352="","",IF(INDEX('Recurring Schedule'!$H$6:$H$45,R352)="","",INDEX('Recurring Schedule'!$H$6:$H$45,R352)))</f>
        <v/>
      </c>
      <c r="H352" s="74">
        <f>IF(R352="","",IF(INDEX('Recurring Schedule'!$I$6:$I$45,R352)="","",INDEX('Recurring Schedule'!$I$6:$I$45,R352)))</f>
        <v/>
      </c>
      <c r="I352" s="36">
        <f>IF(OR(G352="",H352=""),"",TRIM(IF(HOUR(H352-G352)&gt;0,HOUR(H352-G352)&amp;" hr ","")&amp;IF(MINUTE(H352-G352)&gt;0,MINUTE(H352-G352)&amp;" min","")))</f>
        <v/>
      </c>
      <c r="J352" s="66" t="n"/>
      <c r="K352" s="70" t="n"/>
      <c r="L352" s="36">
        <f>IF(R352="","",IF(INDEX('Recurring Schedule'!$J$6:$J$45,R352)="","",INDEX('Recurring Schedule'!$J$6:$J$45,R352)))</f>
        <v/>
      </c>
      <c r="M352" s="36">
        <f>IF(R352="","",IF(INDEX('Recurring Schedule'!$K$6:$K$45,R352)="","",INDEX('Recurring Schedule'!$K$6:$K$45,R352)))</f>
        <v/>
      </c>
      <c r="N352" s="36">
        <f>IF(R352="","",IF(INDEX('Recurring Schedule'!$L$6:$L$45,R352)="","",INDEX('Recurring Schedule'!$L$6:$L$45,R352)))</f>
        <v/>
      </c>
      <c r="O352" s="36">
        <f>IF(C352="","",IF(AND(OR(L352="1-Urgent",L352="2-High"),M352="✓"),"DO FIRST",IF(M352="✓","SCHEDULE",IF(OR(L352="1-Urgent",L352="2-High"),"DELEGATE","DELETE"))))</f>
        <v/>
      </c>
      <c r="P352" s="65" t="n"/>
      <c r="Q352">
        <f>IF(347&gt;Calc!$AQ$368,"",MATCH(346,Calc!$AQ$2:$AQ$367,1))</f>
        <v/>
      </c>
      <c r="R352">
        <f>IF(Q352="","",SMALL(INDEX(Calc!$B$2:$AO$367,Q352,0),347-INDEX(Calc!$AQ$2:$AQ$367,Q352)))</f>
        <v/>
      </c>
    </row>
    <row r="353">
      <c r="B353" s="71">
        <f>IF(R353="","",348)</f>
        <v/>
      </c>
      <c r="C353" s="75">
        <f>IF(R353="","",IF(INDEX('Recurring Schedule'!$C$6:$C$45,R353)="","",INDEX('Recurring Schedule'!$C$6:$C$45,R353)))</f>
        <v/>
      </c>
      <c r="D353" s="73">
        <f>IF(R353="","",IF(INDEX('Recurring Schedule'!$D$6:$D$45,R353)="","",INDEX('Recurring Schedule'!$D$6:$D$45,R353)))</f>
        <v/>
      </c>
      <c r="E353" s="76">
        <f>IF(Q353="","",INDEX(Calc!$A$2:$A$367,Q353))</f>
        <v/>
      </c>
      <c r="F353" s="72">
        <f>IF(OR(C353="",E353=""),"",E353-Setup!$D$7)</f>
        <v/>
      </c>
      <c r="G353" s="77">
        <f>IF(R353="","",IF(INDEX('Recurring Schedule'!$H$6:$H$45,R353)="","",INDEX('Recurring Schedule'!$H$6:$H$45,R353)))</f>
        <v/>
      </c>
      <c r="H353" s="77">
        <f>IF(R353="","",IF(INDEX('Recurring Schedule'!$I$6:$I$45,R353)="","",INDEX('Recurring Schedule'!$I$6:$I$45,R353)))</f>
        <v/>
      </c>
      <c r="I353" s="73">
        <f>IF(OR(G353="",H353=""),"",TRIM(IF(HOUR(H353-G353)&gt;0,HOUR(H353-G353)&amp;" hr ","")&amp;IF(MINUTE(H353-G353)&gt;0,MINUTE(H353-G353)&amp;" min","")))</f>
        <v/>
      </c>
      <c r="J353" s="66" t="n"/>
      <c r="K353" s="70" t="n"/>
      <c r="L353" s="73">
        <f>IF(R353="","",IF(INDEX('Recurring Schedule'!$J$6:$J$45,R353)="","",INDEX('Recurring Schedule'!$J$6:$J$45,R353)))</f>
        <v/>
      </c>
      <c r="M353" s="73">
        <f>IF(R353="","",IF(INDEX('Recurring Schedule'!$K$6:$K$45,R353)="","",INDEX('Recurring Schedule'!$K$6:$K$45,R353)))</f>
        <v/>
      </c>
      <c r="N353" s="73">
        <f>IF(R353="","",IF(INDEX('Recurring Schedule'!$L$6:$L$45,R353)="","",INDEX('Recurring Schedule'!$L$6:$L$45,R353)))</f>
        <v/>
      </c>
      <c r="O353" s="73">
        <f>IF(C353="","",IF(AND(OR(L353="1-Urgent",L353="2-High"),M353="✓"),"DO FIRST",IF(M353="✓","SCHEDULE",IF(OR(L353="1-Urgent",L353="2-High"),"DELEGATE","DELETE"))))</f>
        <v/>
      </c>
      <c r="P353" s="65" t="n"/>
      <c r="Q353">
        <f>IF(348&gt;Calc!$AQ$368,"",MATCH(347,Calc!$AQ$2:$AQ$367,1))</f>
        <v/>
      </c>
      <c r="R353">
        <f>IF(Q353="","",SMALL(INDEX(Calc!$B$2:$AO$367,Q353,0),348-INDEX(Calc!$AQ$2:$AQ$367,Q353)))</f>
        <v/>
      </c>
    </row>
    <row r="354">
      <c r="B354" s="64">
        <f>IF(R354="","",349)</f>
        <v/>
      </c>
      <c r="C354" s="37">
        <f>IF(R354="","",IF(INDEX('Recurring Schedule'!$C$6:$C$45,R354)="","",INDEX('Recurring Schedule'!$C$6:$C$45,R354)))</f>
        <v/>
      </c>
      <c r="D354" s="36">
        <f>IF(R354="","",IF(INDEX('Recurring Schedule'!$D$6:$D$45,R354)="","",INDEX('Recurring Schedule'!$D$6:$D$45,R354)))</f>
        <v/>
      </c>
      <c r="E354" s="38">
        <f>IF(Q354="","",INDEX(Calc!$A$2:$A$367,Q354))</f>
        <v/>
      </c>
      <c r="F354" s="68">
        <f>IF(OR(C354="",E354=""),"",E354-Setup!$D$7)</f>
        <v/>
      </c>
      <c r="G354" s="74">
        <f>IF(R354="","",IF(INDEX('Recurring Schedule'!$H$6:$H$45,R354)="","",INDEX('Recurring Schedule'!$H$6:$H$45,R354)))</f>
        <v/>
      </c>
      <c r="H354" s="74">
        <f>IF(R354="","",IF(INDEX('Recurring Schedule'!$I$6:$I$45,R354)="","",INDEX('Recurring Schedule'!$I$6:$I$45,R354)))</f>
        <v/>
      </c>
      <c r="I354" s="36">
        <f>IF(OR(G354="",H354=""),"",TRIM(IF(HOUR(H354-G354)&gt;0,HOUR(H354-G354)&amp;" hr ","")&amp;IF(MINUTE(H354-G354)&gt;0,MINUTE(H354-G354)&amp;" min","")))</f>
        <v/>
      </c>
      <c r="J354" s="66" t="n"/>
      <c r="K354" s="70" t="n"/>
      <c r="L354" s="36">
        <f>IF(R354="","",IF(INDEX('Recurring Schedule'!$J$6:$J$45,R354)="","",INDEX('Recurring Schedule'!$J$6:$J$45,R354)))</f>
        <v/>
      </c>
      <c r="M354" s="36">
        <f>IF(R354="","",IF(INDEX('Recurring Schedule'!$K$6:$K$45,R354)="","",INDEX('Recurring Schedule'!$K$6:$K$45,R354)))</f>
        <v/>
      </c>
      <c r="N354" s="36">
        <f>IF(R354="","",IF(INDEX('Recurring Schedule'!$L$6:$L$45,R354)="","",INDEX('Recurring Schedule'!$L$6:$L$45,R354)))</f>
        <v/>
      </c>
      <c r="O354" s="36">
        <f>IF(C354="","",IF(AND(OR(L354="1-Urgent",L354="2-High"),M354="✓"),"DO FIRST",IF(M354="✓","SCHEDULE",IF(OR(L354="1-Urgent",L354="2-High"),"DELEGATE","DELETE"))))</f>
        <v/>
      </c>
      <c r="P354" s="65" t="n"/>
      <c r="Q354">
        <f>IF(349&gt;Calc!$AQ$368,"",MATCH(348,Calc!$AQ$2:$AQ$367,1))</f>
        <v/>
      </c>
      <c r="R354">
        <f>IF(Q354="","",SMALL(INDEX(Calc!$B$2:$AO$367,Q354,0),349-INDEX(Calc!$AQ$2:$AQ$367,Q354)))</f>
        <v/>
      </c>
    </row>
    <row r="355">
      <c r="B355" s="71">
        <f>IF(R355="","",350)</f>
        <v/>
      </c>
      <c r="C355" s="75">
        <f>IF(R355="","",IF(INDEX('Recurring Schedule'!$C$6:$C$45,R355)="","",INDEX('Recurring Schedule'!$C$6:$C$45,R355)))</f>
        <v/>
      </c>
      <c r="D355" s="73">
        <f>IF(R355="","",IF(INDEX('Recurring Schedule'!$D$6:$D$45,R355)="","",INDEX('Recurring Schedule'!$D$6:$D$45,R355)))</f>
        <v/>
      </c>
      <c r="E355" s="76">
        <f>IF(Q355="","",INDEX(Calc!$A$2:$A$367,Q355))</f>
        <v/>
      </c>
      <c r="F355" s="72">
        <f>IF(OR(C355="",E355=""),"",E355-Setup!$D$7)</f>
        <v/>
      </c>
      <c r="G355" s="77">
        <f>IF(R355="","",IF(INDEX('Recurring Schedule'!$H$6:$H$45,R355)="","",INDEX('Recurring Schedule'!$H$6:$H$45,R355)))</f>
        <v/>
      </c>
      <c r="H355" s="77">
        <f>IF(R355="","",IF(INDEX('Recurring Schedule'!$I$6:$I$45,R355)="","",INDEX('Recurring Schedule'!$I$6:$I$45,R355)))</f>
        <v/>
      </c>
      <c r="I355" s="73">
        <f>IF(OR(G355="",H355=""),"",TRIM(IF(HOUR(H355-G355)&gt;0,HOUR(H355-G355)&amp;" hr ","")&amp;IF(MINUTE(H355-G355)&gt;0,MINUTE(H355-G355)&amp;" min","")))</f>
        <v/>
      </c>
      <c r="J355" s="66" t="n"/>
      <c r="K355" s="70" t="n"/>
      <c r="L355" s="73">
        <f>IF(R355="","",IF(INDEX('Recurring Schedule'!$J$6:$J$45,R355)="","",INDEX('Recurring Schedule'!$J$6:$J$45,R355)))</f>
        <v/>
      </c>
      <c r="M355" s="73">
        <f>IF(R355="","",IF(INDEX('Recurring Schedule'!$K$6:$K$45,R355)="","",INDEX('Recurring Schedule'!$K$6:$K$45,R355)))</f>
        <v/>
      </c>
      <c r="N355" s="73">
        <f>IF(R355="","",IF(INDEX('Recurring Schedule'!$L$6:$L$45,R355)="","",INDEX('Recurring Schedule'!$L$6:$L$45,R355)))</f>
        <v/>
      </c>
      <c r="O355" s="73">
        <f>IF(C355="","",IF(AND(OR(L355="1-Urgent",L355="2-High"),M355="✓"),"DO FIRST",IF(M355="✓","SCHEDULE",IF(OR(L355="1-Urgent",L355="2-High"),"DELEGATE","DELETE"))))</f>
        <v/>
      </c>
      <c r="P355" s="65" t="n"/>
      <c r="Q355">
        <f>IF(350&gt;Calc!$AQ$368,"",MATCH(349,Calc!$AQ$2:$AQ$367,1))</f>
        <v/>
      </c>
      <c r="R355">
        <f>IF(Q355="","",SMALL(INDEX(Calc!$B$2:$AO$367,Q355,0),350-INDEX(Calc!$AQ$2:$AQ$367,Q355)))</f>
        <v/>
      </c>
    </row>
    <row r="356">
      <c r="B356" s="64">
        <f>IF(R356="","",351)</f>
        <v/>
      </c>
      <c r="C356" s="37">
        <f>IF(R356="","",IF(INDEX('Recurring Schedule'!$C$6:$C$45,R356)="","",INDEX('Recurring Schedule'!$C$6:$C$45,R356)))</f>
        <v/>
      </c>
      <c r="D356" s="36">
        <f>IF(R356="","",IF(INDEX('Recurring Schedule'!$D$6:$D$45,R356)="","",INDEX('Recurring Schedule'!$D$6:$D$45,R356)))</f>
        <v/>
      </c>
      <c r="E356" s="38">
        <f>IF(Q356="","",INDEX(Calc!$A$2:$A$367,Q356))</f>
        <v/>
      </c>
      <c r="F356" s="68">
        <f>IF(OR(C356="",E356=""),"",E356-Setup!$D$7)</f>
        <v/>
      </c>
      <c r="G356" s="74">
        <f>IF(R356="","",IF(INDEX('Recurring Schedule'!$H$6:$H$45,R356)="","",INDEX('Recurring Schedule'!$H$6:$H$45,R356)))</f>
        <v/>
      </c>
      <c r="H356" s="74">
        <f>IF(R356="","",IF(INDEX('Recurring Schedule'!$I$6:$I$45,R356)="","",INDEX('Recurring Schedule'!$I$6:$I$45,R356)))</f>
        <v/>
      </c>
      <c r="I356" s="36">
        <f>IF(OR(G356="",H356=""),"",TRIM(IF(HOUR(H356-G356)&gt;0,HOUR(H356-G356)&amp;" hr ","")&amp;IF(MINUTE(H356-G356)&gt;0,MINUTE(H356-G356)&amp;" min","")))</f>
        <v/>
      </c>
      <c r="J356" s="66" t="n"/>
      <c r="K356" s="70" t="n"/>
      <c r="L356" s="36">
        <f>IF(R356="","",IF(INDEX('Recurring Schedule'!$J$6:$J$45,R356)="","",INDEX('Recurring Schedule'!$J$6:$J$45,R356)))</f>
        <v/>
      </c>
      <c r="M356" s="36">
        <f>IF(R356="","",IF(INDEX('Recurring Schedule'!$K$6:$K$45,R356)="","",INDEX('Recurring Schedule'!$K$6:$K$45,R356)))</f>
        <v/>
      </c>
      <c r="N356" s="36">
        <f>IF(R356="","",IF(INDEX('Recurring Schedule'!$L$6:$L$45,R356)="","",INDEX('Recurring Schedule'!$L$6:$L$45,R356)))</f>
        <v/>
      </c>
      <c r="O356" s="36">
        <f>IF(C356="","",IF(AND(OR(L356="1-Urgent",L356="2-High"),M356="✓"),"DO FIRST",IF(M356="✓","SCHEDULE",IF(OR(L356="1-Urgent",L356="2-High"),"DELEGATE","DELETE"))))</f>
        <v/>
      </c>
      <c r="P356" s="65" t="n"/>
      <c r="Q356">
        <f>IF(351&gt;Calc!$AQ$368,"",MATCH(350,Calc!$AQ$2:$AQ$367,1))</f>
        <v/>
      </c>
      <c r="R356">
        <f>IF(Q356="","",SMALL(INDEX(Calc!$B$2:$AO$367,Q356,0),351-INDEX(Calc!$AQ$2:$AQ$367,Q356)))</f>
        <v/>
      </c>
    </row>
    <row r="357">
      <c r="B357" s="71">
        <f>IF(R357="","",352)</f>
        <v/>
      </c>
      <c r="C357" s="75">
        <f>IF(R357="","",IF(INDEX('Recurring Schedule'!$C$6:$C$45,R357)="","",INDEX('Recurring Schedule'!$C$6:$C$45,R357)))</f>
        <v/>
      </c>
      <c r="D357" s="73">
        <f>IF(R357="","",IF(INDEX('Recurring Schedule'!$D$6:$D$45,R357)="","",INDEX('Recurring Schedule'!$D$6:$D$45,R357)))</f>
        <v/>
      </c>
      <c r="E357" s="76">
        <f>IF(Q357="","",INDEX(Calc!$A$2:$A$367,Q357))</f>
        <v/>
      </c>
      <c r="F357" s="72">
        <f>IF(OR(C357="",E357=""),"",E357-Setup!$D$7)</f>
        <v/>
      </c>
      <c r="G357" s="77">
        <f>IF(R357="","",IF(INDEX('Recurring Schedule'!$H$6:$H$45,R357)="","",INDEX('Recurring Schedule'!$H$6:$H$45,R357)))</f>
        <v/>
      </c>
      <c r="H357" s="77">
        <f>IF(R357="","",IF(INDEX('Recurring Schedule'!$I$6:$I$45,R357)="","",INDEX('Recurring Schedule'!$I$6:$I$45,R357)))</f>
        <v/>
      </c>
      <c r="I357" s="73">
        <f>IF(OR(G357="",H357=""),"",TRIM(IF(HOUR(H357-G357)&gt;0,HOUR(H357-G357)&amp;" hr ","")&amp;IF(MINUTE(H357-G357)&gt;0,MINUTE(H357-G357)&amp;" min","")))</f>
        <v/>
      </c>
      <c r="J357" s="66" t="n"/>
      <c r="K357" s="70" t="n"/>
      <c r="L357" s="73">
        <f>IF(R357="","",IF(INDEX('Recurring Schedule'!$J$6:$J$45,R357)="","",INDEX('Recurring Schedule'!$J$6:$J$45,R357)))</f>
        <v/>
      </c>
      <c r="M357" s="73">
        <f>IF(R357="","",IF(INDEX('Recurring Schedule'!$K$6:$K$45,R357)="","",INDEX('Recurring Schedule'!$K$6:$K$45,R357)))</f>
        <v/>
      </c>
      <c r="N357" s="73">
        <f>IF(R357="","",IF(INDEX('Recurring Schedule'!$L$6:$L$45,R357)="","",INDEX('Recurring Schedule'!$L$6:$L$45,R357)))</f>
        <v/>
      </c>
      <c r="O357" s="73">
        <f>IF(C357="","",IF(AND(OR(L357="1-Urgent",L357="2-High"),M357="✓"),"DO FIRST",IF(M357="✓","SCHEDULE",IF(OR(L357="1-Urgent",L357="2-High"),"DELEGATE","DELETE"))))</f>
        <v/>
      </c>
      <c r="P357" s="65" t="n"/>
      <c r="Q357">
        <f>IF(352&gt;Calc!$AQ$368,"",MATCH(351,Calc!$AQ$2:$AQ$367,1))</f>
        <v/>
      </c>
      <c r="R357">
        <f>IF(Q357="","",SMALL(INDEX(Calc!$B$2:$AO$367,Q357,0),352-INDEX(Calc!$AQ$2:$AQ$367,Q357)))</f>
        <v/>
      </c>
    </row>
    <row r="358">
      <c r="B358" s="64">
        <f>IF(R358="","",353)</f>
        <v/>
      </c>
      <c r="C358" s="37">
        <f>IF(R358="","",IF(INDEX('Recurring Schedule'!$C$6:$C$45,R358)="","",INDEX('Recurring Schedule'!$C$6:$C$45,R358)))</f>
        <v/>
      </c>
      <c r="D358" s="36">
        <f>IF(R358="","",IF(INDEX('Recurring Schedule'!$D$6:$D$45,R358)="","",INDEX('Recurring Schedule'!$D$6:$D$45,R358)))</f>
        <v/>
      </c>
      <c r="E358" s="38">
        <f>IF(Q358="","",INDEX(Calc!$A$2:$A$367,Q358))</f>
        <v/>
      </c>
      <c r="F358" s="68">
        <f>IF(OR(C358="",E358=""),"",E358-Setup!$D$7)</f>
        <v/>
      </c>
      <c r="G358" s="74">
        <f>IF(R358="","",IF(INDEX('Recurring Schedule'!$H$6:$H$45,R358)="","",INDEX('Recurring Schedule'!$H$6:$H$45,R358)))</f>
        <v/>
      </c>
      <c r="H358" s="74">
        <f>IF(R358="","",IF(INDEX('Recurring Schedule'!$I$6:$I$45,R358)="","",INDEX('Recurring Schedule'!$I$6:$I$45,R358)))</f>
        <v/>
      </c>
      <c r="I358" s="36">
        <f>IF(OR(G358="",H358=""),"",TRIM(IF(HOUR(H358-G358)&gt;0,HOUR(H358-G358)&amp;" hr ","")&amp;IF(MINUTE(H358-G358)&gt;0,MINUTE(H358-G358)&amp;" min","")))</f>
        <v/>
      </c>
      <c r="J358" s="66" t="n"/>
      <c r="K358" s="70" t="n"/>
      <c r="L358" s="36">
        <f>IF(R358="","",IF(INDEX('Recurring Schedule'!$J$6:$J$45,R358)="","",INDEX('Recurring Schedule'!$J$6:$J$45,R358)))</f>
        <v/>
      </c>
      <c r="M358" s="36">
        <f>IF(R358="","",IF(INDEX('Recurring Schedule'!$K$6:$K$45,R358)="","",INDEX('Recurring Schedule'!$K$6:$K$45,R358)))</f>
        <v/>
      </c>
      <c r="N358" s="36">
        <f>IF(R358="","",IF(INDEX('Recurring Schedule'!$L$6:$L$45,R358)="","",INDEX('Recurring Schedule'!$L$6:$L$45,R358)))</f>
        <v/>
      </c>
      <c r="O358" s="36">
        <f>IF(C358="","",IF(AND(OR(L358="1-Urgent",L358="2-High"),M358="✓"),"DO FIRST",IF(M358="✓","SCHEDULE",IF(OR(L358="1-Urgent",L358="2-High"),"DELEGATE","DELETE"))))</f>
        <v/>
      </c>
      <c r="P358" s="65" t="n"/>
      <c r="Q358">
        <f>IF(353&gt;Calc!$AQ$368,"",MATCH(352,Calc!$AQ$2:$AQ$367,1))</f>
        <v/>
      </c>
      <c r="R358">
        <f>IF(Q358="","",SMALL(INDEX(Calc!$B$2:$AO$367,Q358,0),353-INDEX(Calc!$AQ$2:$AQ$367,Q358)))</f>
        <v/>
      </c>
    </row>
    <row r="359">
      <c r="B359" s="71">
        <f>IF(R359="","",354)</f>
        <v/>
      </c>
      <c r="C359" s="75">
        <f>IF(R359="","",IF(INDEX('Recurring Schedule'!$C$6:$C$45,R359)="","",INDEX('Recurring Schedule'!$C$6:$C$45,R359)))</f>
        <v/>
      </c>
      <c r="D359" s="73">
        <f>IF(R359="","",IF(INDEX('Recurring Schedule'!$D$6:$D$45,R359)="","",INDEX('Recurring Schedule'!$D$6:$D$45,R359)))</f>
        <v/>
      </c>
      <c r="E359" s="76">
        <f>IF(Q359="","",INDEX(Calc!$A$2:$A$367,Q359))</f>
        <v/>
      </c>
      <c r="F359" s="72">
        <f>IF(OR(C359="",E359=""),"",E359-Setup!$D$7)</f>
        <v/>
      </c>
      <c r="G359" s="77">
        <f>IF(R359="","",IF(INDEX('Recurring Schedule'!$H$6:$H$45,R359)="","",INDEX('Recurring Schedule'!$H$6:$H$45,R359)))</f>
        <v/>
      </c>
      <c r="H359" s="77">
        <f>IF(R359="","",IF(INDEX('Recurring Schedule'!$I$6:$I$45,R359)="","",INDEX('Recurring Schedule'!$I$6:$I$45,R359)))</f>
        <v/>
      </c>
      <c r="I359" s="73">
        <f>IF(OR(G359="",H359=""),"",TRIM(IF(HOUR(H359-G359)&gt;0,HOUR(H359-G359)&amp;" hr ","")&amp;IF(MINUTE(H359-G359)&gt;0,MINUTE(H359-G359)&amp;" min","")))</f>
        <v/>
      </c>
      <c r="J359" s="66" t="n"/>
      <c r="K359" s="70" t="n"/>
      <c r="L359" s="73">
        <f>IF(R359="","",IF(INDEX('Recurring Schedule'!$J$6:$J$45,R359)="","",INDEX('Recurring Schedule'!$J$6:$J$45,R359)))</f>
        <v/>
      </c>
      <c r="M359" s="73">
        <f>IF(R359="","",IF(INDEX('Recurring Schedule'!$K$6:$K$45,R359)="","",INDEX('Recurring Schedule'!$K$6:$K$45,R359)))</f>
        <v/>
      </c>
      <c r="N359" s="73">
        <f>IF(R359="","",IF(INDEX('Recurring Schedule'!$L$6:$L$45,R359)="","",INDEX('Recurring Schedule'!$L$6:$L$45,R359)))</f>
        <v/>
      </c>
      <c r="O359" s="73">
        <f>IF(C359="","",IF(AND(OR(L359="1-Urgent",L359="2-High"),M359="✓"),"DO FIRST",IF(M359="✓","SCHEDULE",IF(OR(L359="1-Urgent",L359="2-High"),"DELEGATE","DELETE"))))</f>
        <v/>
      </c>
      <c r="P359" s="65" t="n"/>
      <c r="Q359">
        <f>IF(354&gt;Calc!$AQ$368,"",MATCH(353,Calc!$AQ$2:$AQ$367,1))</f>
        <v/>
      </c>
      <c r="R359">
        <f>IF(Q359="","",SMALL(INDEX(Calc!$B$2:$AO$367,Q359,0),354-INDEX(Calc!$AQ$2:$AQ$367,Q359)))</f>
        <v/>
      </c>
    </row>
    <row r="360">
      <c r="B360" s="64">
        <f>IF(R360="","",355)</f>
        <v/>
      </c>
      <c r="C360" s="37">
        <f>IF(R360="","",IF(INDEX('Recurring Schedule'!$C$6:$C$45,R360)="","",INDEX('Recurring Schedule'!$C$6:$C$45,R360)))</f>
        <v/>
      </c>
      <c r="D360" s="36">
        <f>IF(R360="","",IF(INDEX('Recurring Schedule'!$D$6:$D$45,R360)="","",INDEX('Recurring Schedule'!$D$6:$D$45,R360)))</f>
        <v/>
      </c>
      <c r="E360" s="38">
        <f>IF(Q360="","",INDEX(Calc!$A$2:$A$367,Q360))</f>
        <v/>
      </c>
      <c r="F360" s="68">
        <f>IF(OR(C360="",E360=""),"",E360-Setup!$D$7)</f>
        <v/>
      </c>
      <c r="G360" s="74">
        <f>IF(R360="","",IF(INDEX('Recurring Schedule'!$H$6:$H$45,R360)="","",INDEX('Recurring Schedule'!$H$6:$H$45,R360)))</f>
        <v/>
      </c>
      <c r="H360" s="74">
        <f>IF(R360="","",IF(INDEX('Recurring Schedule'!$I$6:$I$45,R360)="","",INDEX('Recurring Schedule'!$I$6:$I$45,R360)))</f>
        <v/>
      </c>
      <c r="I360" s="36">
        <f>IF(OR(G360="",H360=""),"",TRIM(IF(HOUR(H360-G360)&gt;0,HOUR(H360-G360)&amp;" hr ","")&amp;IF(MINUTE(H360-G360)&gt;0,MINUTE(H360-G360)&amp;" min","")))</f>
        <v/>
      </c>
      <c r="J360" s="66" t="n"/>
      <c r="K360" s="70" t="n"/>
      <c r="L360" s="36">
        <f>IF(R360="","",IF(INDEX('Recurring Schedule'!$J$6:$J$45,R360)="","",INDEX('Recurring Schedule'!$J$6:$J$45,R360)))</f>
        <v/>
      </c>
      <c r="M360" s="36">
        <f>IF(R360="","",IF(INDEX('Recurring Schedule'!$K$6:$K$45,R360)="","",INDEX('Recurring Schedule'!$K$6:$K$45,R360)))</f>
        <v/>
      </c>
      <c r="N360" s="36">
        <f>IF(R360="","",IF(INDEX('Recurring Schedule'!$L$6:$L$45,R360)="","",INDEX('Recurring Schedule'!$L$6:$L$45,R360)))</f>
        <v/>
      </c>
      <c r="O360" s="36">
        <f>IF(C360="","",IF(AND(OR(L360="1-Urgent",L360="2-High"),M360="✓"),"DO FIRST",IF(M360="✓","SCHEDULE",IF(OR(L360="1-Urgent",L360="2-High"),"DELEGATE","DELETE"))))</f>
        <v/>
      </c>
      <c r="P360" s="65" t="n"/>
      <c r="Q360">
        <f>IF(355&gt;Calc!$AQ$368,"",MATCH(354,Calc!$AQ$2:$AQ$367,1))</f>
        <v/>
      </c>
      <c r="R360">
        <f>IF(Q360="","",SMALL(INDEX(Calc!$B$2:$AO$367,Q360,0),355-INDEX(Calc!$AQ$2:$AQ$367,Q360)))</f>
        <v/>
      </c>
    </row>
    <row r="361">
      <c r="B361" s="71">
        <f>IF(R361="","",356)</f>
        <v/>
      </c>
      <c r="C361" s="75">
        <f>IF(R361="","",IF(INDEX('Recurring Schedule'!$C$6:$C$45,R361)="","",INDEX('Recurring Schedule'!$C$6:$C$45,R361)))</f>
        <v/>
      </c>
      <c r="D361" s="73">
        <f>IF(R361="","",IF(INDEX('Recurring Schedule'!$D$6:$D$45,R361)="","",INDEX('Recurring Schedule'!$D$6:$D$45,R361)))</f>
        <v/>
      </c>
      <c r="E361" s="76">
        <f>IF(Q361="","",INDEX(Calc!$A$2:$A$367,Q361))</f>
        <v/>
      </c>
      <c r="F361" s="72">
        <f>IF(OR(C361="",E361=""),"",E361-Setup!$D$7)</f>
        <v/>
      </c>
      <c r="G361" s="77">
        <f>IF(R361="","",IF(INDEX('Recurring Schedule'!$H$6:$H$45,R361)="","",INDEX('Recurring Schedule'!$H$6:$H$45,R361)))</f>
        <v/>
      </c>
      <c r="H361" s="77">
        <f>IF(R361="","",IF(INDEX('Recurring Schedule'!$I$6:$I$45,R361)="","",INDEX('Recurring Schedule'!$I$6:$I$45,R361)))</f>
        <v/>
      </c>
      <c r="I361" s="73">
        <f>IF(OR(G361="",H361=""),"",TRIM(IF(HOUR(H361-G361)&gt;0,HOUR(H361-G361)&amp;" hr ","")&amp;IF(MINUTE(H361-G361)&gt;0,MINUTE(H361-G361)&amp;" min","")))</f>
        <v/>
      </c>
      <c r="J361" s="66" t="n"/>
      <c r="K361" s="70" t="n"/>
      <c r="L361" s="73">
        <f>IF(R361="","",IF(INDEX('Recurring Schedule'!$J$6:$J$45,R361)="","",INDEX('Recurring Schedule'!$J$6:$J$45,R361)))</f>
        <v/>
      </c>
      <c r="M361" s="73">
        <f>IF(R361="","",IF(INDEX('Recurring Schedule'!$K$6:$K$45,R361)="","",INDEX('Recurring Schedule'!$K$6:$K$45,R361)))</f>
        <v/>
      </c>
      <c r="N361" s="73">
        <f>IF(R361="","",IF(INDEX('Recurring Schedule'!$L$6:$L$45,R361)="","",INDEX('Recurring Schedule'!$L$6:$L$45,R361)))</f>
        <v/>
      </c>
      <c r="O361" s="73">
        <f>IF(C361="","",IF(AND(OR(L361="1-Urgent",L361="2-High"),M361="✓"),"DO FIRST",IF(M361="✓","SCHEDULE",IF(OR(L361="1-Urgent",L361="2-High"),"DELEGATE","DELETE"))))</f>
        <v/>
      </c>
      <c r="P361" s="65" t="n"/>
      <c r="Q361">
        <f>IF(356&gt;Calc!$AQ$368,"",MATCH(355,Calc!$AQ$2:$AQ$367,1))</f>
        <v/>
      </c>
      <c r="R361">
        <f>IF(Q361="","",SMALL(INDEX(Calc!$B$2:$AO$367,Q361,0),356-INDEX(Calc!$AQ$2:$AQ$367,Q361)))</f>
        <v/>
      </c>
    </row>
    <row r="362">
      <c r="B362" s="64">
        <f>IF(R362="","",357)</f>
        <v/>
      </c>
      <c r="C362" s="37">
        <f>IF(R362="","",IF(INDEX('Recurring Schedule'!$C$6:$C$45,R362)="","",INDEX('Recurring Schedule'!$C$6:$C$45,R362)))</f>
        <v/>
      </c>
      <c r="D362" s="36">
        <f>IF(R362="","",IF(INDEX('Recurring Schedule'!$D$6:$D$45,R362)="","",INDEX('Recurring Schedule'!$D$6:$D$45,R362)))</f>
        <v/>
      </c>
      <c r="E362" s="38">
        <f>IF(Q362="","",INDEX(Calc!$A$2:$A$367,Q362))</f>
        <v/>
      </c>
      <c r="F362" s="68">
        <f>IF(OR(C362="",E362=""),"",E362-Setup!$D$7)</f>
        <v/>
      </c>
      <c r="G362" s="74">
        <f>IF(R362="","",IF(INDEX('Recurring Schedule'!$H$6:$H$45,R362)="","",INDEX('Recurring Schedule'!$H$6:$H$45,R362)))</f>
        <v/>
      </c>
      <c r="H362" s="74">
        <f>IF(R362="","",IF(INDEX('Recurring Schedule'!$I$6:$I$45,R362)="","",INDEX('Recurring Schedule'!$I$6:$I$45,R362)))</f>
        <v/>
      </c>
      <c r="I362" s="36">
        <f>IF(OR(G362="",H362=""),"",TRIM(IF(HOUR(H362-G362)&gt;0,HOUR(H362-G362)&amp;" hr ","")&amp;IF(MINUTE(H362-G362)&gt;0,MINUTE(H362-G362)&amp;" min","")))</f>
        <v/>
      </c>
      <c r="J362" s="66" t="n"/>
      <c r="K362" s="70" t="n"/>
      <c r="L362" s="36">
        <f>IF(R362="","",IF(INDEX('Recurring Schedule'!$J$6:$J$45,R362)="","",INDEX('Recurring Schedule'!$J$6:$J$45,R362)))</f>
        <v/>
      </c>
      <c r="M362" s="36">
        <f>IF(R362="","",IF(INDEX('Recurring Schedule'!$K$6:$K$45,R362)="","",INDEX('Recurring Schedule'!$K$6:$K$45,R362)))</f>
        <v/>
      </c>
      <c r="N362" s="36">
        <f>IF(R362="","",IF(INDEX('Recurring Schedule'!$L$6:$L$45,R362)="","",INDEX('Recurring Schedule'!$L$6:$L$45,R362)))</f>
        <v/>
      </c>
      <c r="O362" s="36">
        <f>IF(C362="","",IF(AND(OR(L362="1-Urgent",L362="2-High"),M362="✓"),"DO FIRST",IF(M362="✓","SCHEDULE",IF(OR(L362="1-Urgent",L362="2-High"),"DELEGATE","DELETE"))))</f>
        <v/>
      </c>
      <c r="P362" s="65" t="n"/>
      <c r="Q362">
        <f>IF(357&gt;Calc!$AQ$368,"",MATCH(356,Calc!$AQ$2:$AQ$367,1))</f>
        <v/>
      </c>
      <c r="R362">
        <f>IF(Q362="","",SMALL(INDEX(Calc!$B$2:$AO$367,Q362,0),357-INDEX(Calc!$AQ$2:$AQ$367,Q362)))</f>
        <v/>
      </c>
    </row>
    <row r="363">
      <c r="B363" s="71">
        <f>IF(R363="","",358)</f>
        <v/>
      </c>
      <c r="C363" s="75">
        <f>IF(R363="","",IF(INDEX('Recurring Schedule'!$C$6:$C$45,R363)="","",INDEX('Recurring Schedule'!$C$6:$C$45,R363)))</f>
        <v/>
      </c>
      <c r="D363" s="73">
        <f>IF(R363="","",IF(INDEX('Recurring Schedule'!$D$6:$D$45,R363)="","",INDEX('Recurring Schedule'!$D$6:$D$45,R363)))</f>
        <v/>
      </c>
      <c r="E363" s="76">
        <f>IF(Q363="","",INDEX(Calc!$A$2:$A$367,Q363))</f>
        <v/>
      </c>
      <c r="F363" s="72">
        <f>IF(OR(C363="",E363=""),"",E363-Setup!$D$7)</f>
        <v/>
      </c>
      <c r="G363" s="77">
        <f>IF(R363="","",IF(INDEX('Recurring Schedule'!$H$6:$H$45,R363)="","",INDEX('Recurring Schedule'!$H$6:$H$45,R363)))</f>
        <v/>
      </c>
      <c r="H363" s="77">
        <f>IF(R363="","",IF(INDEX('Recurring Schedule'!$I$6:$I$45,R363)="","",INDEX('Recurring Schedule'!$I$6:$I$45,R363)))</f>
        <v/>
      </c>
      <c r="I363" s="73">
        <f>IF(OR(G363="",H363=""),"",TRIM(IF(HOUR(H363-G363)&gt;0,HOUR(H363-G363)&amp;" hr ","")&amp;IF(MINUTE(H363-G363)&gt;0,MINUTE(H363-G363)&amp;" min","")))</f>
        <v/>
      </c>
      <c r="J363" s="66" t="n"/>
      <c r="K363" s="70" t="n"/>
      <c r="L363" s="73">
        <f>IF(R363="","",IF(INDEX('Recurring Schedule'!$J$6:$J$45,R363)="","",INDEX('Recurring Schedule'!$J$6:$J$45,R363)))</f>
        <v/>
      </c>
      <c r="M363" s="73">
        <f>IF(R363="","",IF(INDEX('Recurring Schedule'!$K$6:$K$45,R363)="","",INDEX('Recurring Schedule'!$K$6:$K$45,R363)))</f>
        <v/>
      </c>
      <c r="N363" s="73">
        <f>IF(R363="","",IF(INDEX('Recurring Schedule'!$L$6:$L$45,R363)="","",INDEX('Recurring Schedule'!$L$6:$L$45,R363)))</f>
        <v/>
      </c>
      <c r="O363" s="73">
        <f>IF(C363="","",IF(AND(OR(L363="1-Urgent",L363="2-High"),M363="✓"),"DO FIRST",IF(M363="✓","SCHEDULE",IF(OR(L363="1-Urgent",L363="2-High"),"DELEGATE","DELETE"))))</f>
        <v/>
      </c>
      <c r="P363" s="65" t="n"/>
      <c r="Q363">
        <f>IF(358&gt;Calc!$AQ$368,"",MATCH(357,Calc!$AQ$2:$AQ$367,1))</f>
        <v/>
      </c>
      <c r="R363">
        <f>IF(Q363="","",SMALL(INDEX(Calc!$B$2:$AO$367,Q363,0),358-INDEX(Calc!$AQ$2:$AQ$367,Q363)))</f>
        <v/>
      </c>
    </row>
    <row r="364">
      <c r="B364" s="64">
        <f>IF(R364="","",359)</f>
        <v/>
      </c>
      <c r="C364" s="37">
        <f>IF(R364="","",IF(INDEX('Recurring Schedule'!$C$6:$C$45,R364)="","",INDEX('Recurring Schedule'!$C$6:$C$45,R364)))</f>
        <v/>
      </c>
      <c r="D364" s="36">
        <f>IF(R364="","",IF(INDEX('Recurring Schedule'!$D$6:$D$45,R364)="","",INDEX('Recurring Schedule'!$D$6:$D$45,R364)))</f>
        <v/>
      </c>
      <c r="E364" s="38">
        <f>IF(Q364="","",INDEX(Calc!$A$2:$A$367,Q364))</f>
        <v/>
      </c>
      <c r="F364" s="68">
        <f>IF(OR(C364="",E364=""),"",E364-Setup!$D$7)</f>
        <v/>
      </c>
      <c r="G364" s="74">
        <f>IF(R364="","",IF(INDEX('Recurring Schedule'!$H$6:$H$45,R364)="","",INDEX('Recurring Schedule'!$H$6:$H$45,R364)))</f>
        <v/>
      </c>
      <c r="H364" s="74">
        <f>IF(R364="","",IF(INDEX('Recurring Schedule'!$I$6:$I$45,R364)="","",INDEX('Recurring Schedule'!$I$6:$I$45,R364)))</f>
        <v/>
      </c>
      <c r="I364" s="36">
        <f>IF(OR(G364="",H364=""),"",TRIM(IF(HOUR(H364-G364)&gt;0,HOUR(H364-G364)&amp;" hr ","")&amp;IF(MINUTE(H364-G364)&gt;0,MINUTE(H364-G364)&amp;" min","")))</f>
        <v/>
      </c>
      <c r="J364" s="66" t="n"/>
      <c r="K364" s="70" t="n"/>
      <c r="L364" s="36">
        <f>IF(R364="","",IF(INDEX('Recurring Schedule'!$J$6:$J$45,R364)="","",INDEX('Recurring Schedule'!$J$6:$J$45,R364)))</f>
        <v/>
      </c>
      <c r="M364" s="36">
        <f>IF(R364="","",IF(INDEX('Recurring Schedule'!$K$6:$K$45,R364)="","",INDEX('Recurring Schedule'!$K$6:$K$45,R364)))</f>
        <v/>
      </c>
      <c r="N364" s="36">
        <f>IF(R364="","",IF(INDEX('Recurring Schedule'!$L$6:$L$45,R364)="","",INDEX('Recurring Schedule'!$L$6:$L$45,R364)))</f>
        <v/>
      </c>
      <c r="O364" s="36">
        <f>IF(C364="","",IF(AND(OR(L364="1-Urgent",L364="2-High"),M364="✓"),"DO FIRST",IF(M364="✓","SCHEDULE",IF(OR(L364="1-Urgent",L364="2-High"),"DELEGATE","DELETE"))))</f>
        <v/>
      </c>
      <c r="P364" s="65" t="n"/>
      <c r="Q364">
        <f>IF(359&gt;Calc!$AQ$368,"",MATCH(358,Calc!$AQ$2:$AQ$367,1))</f>
        <v/>
      </c>
      <c r="R364">
        <f>IF(Q364="","",SMALL(INDEX(Calc!$B$2:$AO$367,Q364,0),359-INDEX(Calc!$AQ$2:$AQ$367,Q364)))</f>
        <v/>
      </c>
    </row>
    <row r="365">
      <c r="B365" s="71">
        <f>IF(R365="","",360)</f>
        <v/>
      </c>
      <c r="C365" s="75">
        <f>IF(R365="","",IF(INDEX('Recurring Schedule'!$C$6:$C$45,R365)="","",INDEX('Recurring Schedule'!$C$6:$C$45,R365)))</f>
        <v/>
      </c>
      <c r="D365" s="73">
        <f>IF(R365="","",IF(INDEX('Recurring Schedule'!$D$6:$D$45,R365)="","",INDEX('Recurring Schedule'!$D$6:$D$45,R365)))</f>
        <v/>
      </c>
      <c r="E365" s="76">
        <f>IF(Q365="","",INDEX(Calc!$A$2:$A$367,Q365))</f>
        <v/>
      </c>
      <c r="F365" s="72">
        <f>IF(OR(C365="",E365=""),"",E365-Setup!$D$7)</f>
        <v/>
      </c>
      <c r="G365" s="77">
        <f>IF(R365="","",IF(INDEX('Recurring Schedule'!$H$6:$H$45,R365)="","",INDEX('Recurring Schedule'!$H$6:$H$45,R365)))</f>
        <v/>
      </c>
      <c r="H365" s="77">
        <f>IF(R365="","",IF(INDEX('Recurring Schedule'!$I$6:$I$45,R365)="","",INDEX('Recurring Schedule'!$I$6:$I$45,R365)))</f>
        <v/>
      </c>
      <c r="I365" s="73">
        <f>IF(OR(G365="",H365=""),"",TRIM(IF(HOUR(H365-G365)&gt;0,HOUR(H365-G365)&amp;" hr ","")&amp;IF(MINUTE(H365-G365)&gt;0,MINUTE(H365-G365)&amp;" min","")))</f>
        <v/>
      </c>
      <c r="J365" s="66" t="n"/>
      <c r="K365" s="70" t="n"/>
      <c r="L365" s="73">
        <f>IF(R365="","",IF(INDEX('Recurring Schedule'!$J$6:$J$45,R365)="","",INDEX('Recurring Schedule'!$J$6:$J$45,R365)))</f>
        <v/>
      </c>
      <c r="M365" s="73">
        <f>IF(R365="","",IF(INDEX('Recurring Schedule'!$K$6:$K$45,R365)="","",INDEX('Recurring Schedule'!$K$6:$K$45,R365)))</f>
        <v/>
      </c>
      <c r="N365" s="73">
        <f>IF(R365="","",IF(INDEX('Recurring Schedule'!$L$6:$L$45,R365)="","",INDEX('Recurring Schedule'!$L$6:$L$45,R365)))</f>
        <v/>
      </c>
      <c r="O365" s="73">
        <f>IF(C365="","",IF(AND(OR(L365="1-Urgent",L365="2-High"),M365="✓"),"DO FIRST",IF(M365="✓","SCHEDULE",IF(OR(L365="1-Urgent",L365="2-High"),"DELEGATE","DELETE"))))</f>
        <v/>
      </c>
      <c r="P365" s="65" t="n"/>
      <c r="Q365">
        <f>IF(360&gt;Calc!$AQ$368,"",MATCH(359,Calc!$AQ$2:$AQ$367,1))</f>
        <v/>
      </c>
      <c r="R365">
        <f>IF(Q365="","",SMALL(INDEX(Calc!$B$2:$AO$367,Q365,0),360-INDEX(Calc!$AQ$2:$AQ$367,Q365)))</f>
        <v/>
      </c>
    </row>
    <row r="366">
      <c r="B366" s="64">
        <f>IF(R366="","",361)</f>
        <v/>
      </c>
      <c r="C366" s="37">
        <f>IF(R366="","",IF(INDEX('Recurring Schedule'!$C$6:$C$45,R366)="","",INDEX('Recurring Schedule'!$C$6:$C$45,R366)))</f>
        <v/>
      </c>
      <c r="D366" s="36">
        <f>IF(R366="","",IF(INDEX('Recurring Schedule'!$D$6:$D$45,R366)="","",INDEX('Recurring Schedule'!$D$6:$D$45,R366)))</f>
        <v/>
      </c>
      <c r="E366" s="38">
        <f>IF(Q366="","",INDEX(Calc!$A$2:$A$367,Q366))</f>
        <v/>
      </c>
      <c r="F366" s="68">
        <f>IF(OR(C366="",E366=""),"",E366-Setup!$D$7)</f>
        <v/>
      </c>
      <c r="G366" s="74">
        <f>IF(R366="","",IF(INDEX('Recurring Schedule'!$H$6:$H$45,R366)="","",INDEX('Recurring Schedule'!$H$6:$H$45,R366)))</f>
        <v/>
      </c>
      <c r="H366" s="74">
        <f>IF(R366="","",IF(INDEX('Recurring Schedule'!$I$6:$I$45,R366)="","",INDEX('Recurring Schedule'!$I$6:$I$45,R366)))</f>
        <v/>
      </c>
      <c r="I366" s="36">
        <f>IF(OR(G366="",H366=""),"",TRIM(IF(HOUR(H366-G366)&gt;0,HOUR(H366-G366)&amp;" hr ","")&amp;IF(MINUTE(H366-G366)&gt;0,MINUTE(H366-G366)&amp;" min","")))</f>
        <v/>
      </c>
      <c r="J366" s="66" t="n"/>
      <c r="K366" s="70" t="n"/>
      <c r="L366" s="36">
        <f>IF(R366="","",IF(INDEX('Recurring Schedule'!$J$6:$J$45,R366)="","",INDEX('Recurring Schedule'!$J$6:$J$45,R366)))</f>
        <v/>
      </c>
      <c r="M366" s="36">
        <f>IF(R366="","",IF(INDEX('Recurring Schedule'!$K$6:$K$45,R366)="","",INDEX('Recurring Schedule'!$K$6:$K$45,R366)))</f>
        <v/>
      </c>
      <c r="N366" s="36">
        <f>IF(R366="","",IF(INDEX('Recurring Schedule'!$L$6:$L$45,R366)="","",INDEX('Recurring Schedule'!$L$6:$L$45,R366)))</f>
        <v/>
      </c>
      <c r="O366" s="36">
        <f>IF(C366="","",IF(AND(OR(L366="1-Urgent",L366="2-High"),M366="✓"),"DO FIRST",IF(M366="✓","SCHEDULE",IF(OR(L366="1-Urgent",L366="2-High"),"DELEGATE","DELETE"))))</f>
        <v/>
      </c>
      <c r="P366" s="65" t="n"/>
      <c r="Q366">
        <f>IF(361&gt;Calc!$AQ$368,"",MATCH(360,Calc!$AQ$2:$AQ$367,1))</f>
        <v/>
      </c>
      <c r="R366">
        <f>IF(Q366="","",SMALL(INDEX(Calc!$B$2:$AO$367,Q366,0),361-INDEX(Calc!$AQ$2:$AQ$367,Q366)))</f>
        <v/>
      </c>
    </row>
    <row r="367">
      <c r="B367" s="71">
        <f>IF(R367="","",362)</f>
        <v/>
      </c>
      <c r="C367" s="75">
        <f>IF(R367="","",IF(INDEX('Recurring Schedule'!$C$6:$C$45,R367)="","",INDEX('Recurring Schedule'!$C$6:$C$45,R367)))</f>
        <v/>
      </c>
      <c r="D367" s="73">
        <f>IF(R367="","",IF(INDEX('Recurring Schedule'!$D$6:$D$45,R367)="","",INDEX('Recurring Schedule'!$D$6:$D$45,R367)))</f>
        <v/>
      </c>
      <c r="E367" s="76">
        <f>IF(Q367="","",INDEX(Calc!$A$2:$A$367,Q367))</f>
        <v/>
      </c>
      <c r="F367" s="72">
        <f>IF(OR(C367="",E367=""),"",E367-Setup!$D$7)</f>
        <v/>
      </c>
      <c r="G367" s="77">
        <f>IF(R367="","",IF(INDEX('Recurring Schedule'!$H$6:$H$45,R367)="","",INDEX('Recurring Schedule'!$H$6:$H$45,R367)))</f>
        <v/>
      </c>
      <c r="H367" s="77">
        <f>IF(R367="","",IF(INDEX('Recurring Schedule'!$I$6:$I$45,R367)="","",INDEX('Recurring Schedule'!$I$6:$I$45,R367)))</f>
        <v/>
      </c>
      <c r="I367" s="73">
        <f>IF(OR(G367="",H367=""),"",TRIM(IF(HOUR(H367-G367)&gt;0,HOUR(H367-G367)&amp;" hr ","")&amp;IF(MINUTE(H367-G367)&gt;0,MINUTE(H367-G367)&amp;" min","")))</f>
        <v/>
      </c>
      <c r="J367" s="66" t="n"/>
      <c r="K367" s="70" t="n"/>
      <c r="L367" s="73">
        <f>IF(R367="","",IF(INDEX('Recurring Schedule'!$J$6:$J$45,R367)="","",INDEX('Recurring Schedule'!$J$6:$J$45,R367)))</f>
        <v/>
      </c>
      <c r="M367" s="73">
        <f>IF(R367="","",IF(INDEX('Recurring Schedule'!$K$6:$K$45,R367)="","",INDEX('Recurring Schedule'!$K$6:$K$45,R367)))</f>
        <v/>
      </c>
      <c r="N367" s="73">
        <f>IF(R367="","",IF(INDEX('Recurring Schedule'!$L$6:$L$45,R367)="","",INDEX('Recurring Schedule'!$L$6:$L$45,R367)))</f>
        <v/>
      </c>
      <c r="O367" s="73">
        <f>IF(C367="","",IF(AND(OR(L367="1-Urgent",L367="2-High"),M367="✓"),"DO FIRST",IF(M367="✓","SCHEDULE",IF(OR(L367="1-Urgent",L367="2-High"),"DELEGATE","DELETE"))))</f>
        <v/>
      </c>
      <c r="P367" s="65" t="n"/>
      <c r="Q367">
        <f>IF(362&gt;Calc!$AQ$368,"",MATCH(361,Calc!$AQ$2:$AQ$367,1))</f>
        <v/>
      </c>
      <c r="R367">
        <f>IF(Q367="","",SMALL(INDEX(Calc!$B$2:$AO$367,Q367,0),362-INDEX(Calc!$AQ$2:$AQ$367,Q367)))</f>
        <v/>
      </c>
    </row>
    <row r="368">
      <c r="B368" s="64">
        <f>IF(R368="","",363)</f>
        <v/>
      </c>
      <c r="C368" s="37">
        <f>IF(R368="","",IF(INDEX('Recurring Schedule'!$C$6:$C$45,R368)="","",INDEX('Recurring Schedule'!$C$6:$C$45,R368)))</f>
        <v/>
      </c>
      <c r="D368" s="36">
        <f>IF(R368="","",IF(INDEX('Recurring Schedule'!$D$6:$D$45,R368)="","",INDEX('Recurring Schedule'!$D$6:$D$45,R368)))</f>
        <v/>
      </c>
      <c r="E368" s="38">
        <f>IF(Q368="","",INDEX(Calc!$A$2:$A$367,Q368))</f>
        <v/>
      </c>
      <c r="F368" s="68">
        <f>IF(OR(C368="",E368=""),"",E368-Setup!$D$7)</f>
        <v/>
      </c>
      <c r="G368" s="74">
        <f>IF(R368="","",IF(INDEX('Recurring Schedule'!$H$6:$H$45,R368)="","",INDEX('Recurring Schedule'!$H$6:$H$45,R368)))</f>
        <v/>
      </c>
      <c r="H368" s="74">
        <f>IF(R368="","",IF(INDEX('Recurring Schedule'!$I$6:$I$45,R368)="","",INDEX('Recurring Schedule'!$I$6:$I$45,R368)))</f>
        <v/>
      </c>
      <c r="I368" s="36">
        <f>IF(OR(G368="",H368=""),"",TRIM(IF(HOUR(H368-G368)&gt;0,HOUR(H368-G368)&amp;" hr ","")&amp;IF(MINUTE(H368-G368)&gt;0,MINUTE(H368-G368)&amp;" min","")))</f>
        <v/>
      </c>
      <c r="J368" s="66" t="n"/>
      <c r="K368" s="70" t="n"/>
      <c r="L368" s="36">
        <f>IF(R368="","",IF(INDEX('Recurring Schedule'!$J$6:$J$45,R368)="","",INDEX('Recurring Schedule'!$J$6:$J$45,R368)))</f>
        <v/>
      </c>
      <c r="M368" s="36">
        <f>IF(R368="","",IF(INDEX('Recurring Schedule'!$K$6:$K$45,R368)="","",INDEX('Recurring Schedule'!$K$6:$K$45,R368)))</f>
        <v/>
      </c>
      <c r="N368" s="36">
        <f>IF(R368="","",IF(INDEX('Recurring Schedule'!$L$6:$L$45,R368)="","",INDEX('Recurring Schedule'!$L$6:$L$45,R368)))</f>
        <v/>
      </c>
      <c r="O368" s="36">
        <f>IF(C368="","",IF(AND(OR(L368="1-Urgent",L368="2-High"),M368="✓"),"DO FIRST",IF(M368="✓","SCHEDULE",IF(OR(L368="1-Urgent",L368="2-High"),"DELEGATE","DELETE"))))</f>
        <v/>
      </c>
      <c r="P368" s="65" t="n"/>
      <c r="Q368">
        <f>IF(363&gt;Calc!$AQ$368,"",MATCH(362,Calc!$AQ$2:$AQ$367,1))</f>
        <v/>
      </c>
      <c r="R368">
        <f>IF(Q368="","",SMALL(INDEX(Calc!$B$2:$AO$367,Q368,0),363-INDEX(Calc!$AQ$2:$AQ$367,Q368)))</f>
        <v/>
      </c>
    </row>
    <row r="369">
      <c r="B369" s="71">
        <f>IF(R369="","",364)</f>
        <v/>
      </c>
      <c r="C369" s="75">
        <f>IF(R369="","",IF(INDEX('Recurring Schedule'!$C$6:$C$45,R369)="","",INDEX('Recurring Schedule'!$C$6:$C$45,R369)))</f>
        <v/>
      </c>
      <c r="D369" s="73">
        <f>IF(R369="","",IF(INDEX('Recurring Schedule'!$D$6:$D$45,R369)="","",INDEX('Recurring Schedule'!$D$6:$D$45,R369)))</f>
        <v/>
      </c>
      <c r="E369" s="76">
        <f>IF(Q369="","",INDEX(Calc!$A$2:$A$367,Q369))</f>
        <v/>
      </c>
      <c r="F369" s="72">
        <f>IF(OR(C369="",E369=""),"",E369-Setup!$D$7)</f>
        <v/>
      </c>
      <c r="G369" s="77">
        <f>IF(R369="","",IF(INDEX('Recurring Schedule'!$H$6:$H$45,R369)="","",INDEX('Recurring Schedule'!$H$6:$H$45,R369)))</f>
        <v/>
      </c>
      <c r="H369" s="77">
        <f>IF(R369="","",IF(INDEX('Recurring Schedule'!$I$6:$I$45,R369)="","",INDEX('Recurring Schedule'!$I$6:$I$45,R369)))</f>
        <v/>
      </c>
      <c r="I369" s="73">
        <f>IF(OR(G369="",H369=""),"",TRIM(IF(HOUR(H369-G369)&gt;0,HOUR(H369-G369)&amp;" hr ","")&amp;IF(MINUTE(H369-G369)&gt;0,MINUTE(H369-G369)&amp;" min","")))</f>
        <v/>
      </c>
      <c r="J369" s="66" t="n"/>
      <c r="K369" s="70" t="n"/>
      <c r="L369" s="73">
        <f>IF(R369="","",IF(INDEX('Recurring Schedule'!$J$6:$J$45,R369)="","",INDEX('Recurring Schedule'!$J$6:$J$45,R369)))</f>
        <v/>
      </c>
      <c r="M369" s="73">
        <f>IF(R369="","",IF(INDEX('Recurring Schedule'!$K$6:$K$45,R369)="","",INDEX('Recurring Schedule'!$K$6:$K$45,R369)))</f>
        <v/>
      </c>
      <c r="N369" s="73">
        <f>IF(R369="","",IF(INDEX('Recurring Schedule'!$L$6:$L$45,R369)="","",INDEX('Recurring Schedule'!$L$6:$L$45,R369)))</f>
        <v/>
      </c>
      <c r="O369" s="73">
        <f>IF(C369="","",IF(AND(OR(L369="1-Urgent",L369="2-High"),M369="✓"),"DO FIRST",IF(M369="✓","SCHEDULE",IF(OR(L369="1-Urgent",L369="2-High"),"DELEGATE","DELETE"))))</f>
        <v/>
      </c>
      <c r="P369" s="65" t="n"/>
      <c r="Q369">
        <f>IF(364&gt;Calc!$AQ$368,"",MATCH(363,Calc!$AQ$2:$AQ$367,1))</f>
        <v/>
      </c>
      <c r="R369">
        <f>IF(Q369="","",SMALL(INDEX(Calc!$B$2:$AO$367,Q369,0),364-INDEX(Calc!$AQ$2:$AQ$367,Q369)))</f>
        <v/>
      </c>
    </row>
    <row r="370">
      <c r="B370" s="64">
        <f>IF(R370="","",365)</f>
        <v/>
      </c>
      <c r="C370" s="37">
        <f>IF(R370="","",IF(INDEX('Recurring Schedule'!$C$6:$C$45,R370)="","",INDEX('Recurring Schedule'!$C$6:$C$45,R370)))</f>
        <v/>
      </c>
      <c r="D370" s="36">
        <f>IF(R370="","",IF(INDEX('Recurring Schedule'!$D$6:$D$45,R370)="","",INDEX('Recurring Schedule'!$D$6:$D$45,R370)))</f>
        <v/>
      </c>
      <c r="E370" s="38">
        <f>IF(Q370="","",INDEX(Calc!$A$2:$A$367,Q370))</f>
        <v/>
      </c>
      <c r="F370" s="68">
        <f>IF(OR(C370="",E370=""),"",E370-Setup!$D$7)</f>
        <v/>
      </c>
      <c r="G370" s="74">
        <f>IF(R370="","",IF(INDEX('Recurring Schedule'!$H$6:$H$45,R370)="","",INDEX('Recurring Schedule'!$H$6:$H$45,R370)))</f>
        <v/>
      </c>
      <c r="H370" s="74">
        <f>IF(R370="","",IF(INDEX('Recurring Schedule'!$I$6:$I$45,R370)="","",INDEX('Recurring Schedule'!$I$6:$I$45,R370)))</f>
        <v/>
      </c>
      <c r="I370" s="36">
        <f>IF(OR(G370="",H370=""),"",TRIM(IF(HOUR(H370-G370)&gt;0,HOUR(H370-G370)&amp;" hr ","")&amp;IF(MINUTE(H370-G370)&gt;0,MINUTE(H370-G370)&amp;" min","")))</f>
        <v/>
      </c>
      <c r="J370" s="66" t="n"/>
      <c r="K370" s="70" t="n"/>
      <c r="L370" s="36">
        <f>IF(R370="","",IF(INDEX('Recurring Schedule'!$J$6:$J$45,R370)="","",INDEX('Recurring Schedule'!$J$6:$J$45,R370)))</f>
        <v/>
      </c>
      <c r="M370" s="36">
        <f>IF(R370="","",IF(INDEX('Recurring Schedule'!$K$6:$K$45,R370)="","",INDEX('Recurring Schedule'!$K$6:$K$45,R370)))</f>
        <v/>
      </c>
      <c r="N370" s="36">
        <f>IF(R370="","",IF(INDEX('Recurring Schedule'!$L$6:$L$45,R370)="","",INDEX('Recurring Schedule'!$L$6:$L$45,R370)))</f>
        <v/>
      </c>
      <c r="O370" s="36">
        <f>IF(C370="","",IF(AND(OR(L370="1-Urgent",L370="2-High"),M370="✓"),"DO FIRST",IF(M370="✓","SCHEDULE",IF(OR(L370="1-Urgent",L370="2-High"),"DELEGATE","DELETE"))))</f>
        <v/>
      </c>
      <c r="P370" s="65" t="n"/>
      <c r="Q370">
        <f>IF(365&gt;Calc!$AQ$368,"",MATCH(364,Calc!$AQ$2:$AQ$367,1))</f>
        <v/>
      </c>
      <c r="R370">
        <f>IF(Q370="","",SMALL(INDEX(Calc!$B$2:$AO$367,Q370,0),365-INDEX(Calc!$AQ$2:$AQ$367,Q370)))</f>
        <v/>
      </c>
    </row>
    <row r="371">
      <c r="B371" s="71">
        <f>IF(R371="","",366)</f>
        <v/>
      </c>
      <c r="C371" s="75">
        <f>IF(R371="","",IF(INDEX('Recurring Schedule'!$C$6:$C$45,R371)="","",INDEX('Recurring Schedule'!$C$6:$C$45,R371)))</f>
        <v/>
      </c>
      <c r="D371" s="73">
        <f>IF(R371="","",IF(INDEX('Recurring Schedule'!$D$6:$D$45,R371)="","",INDEX('Recurring Schedule'!$D$6:$D$45,R371)))</f>
        <v/>
      </c>
      <c r="E371" s="76">
        <f>IF(Q371="","",INDEX(Calc!$A$2:$A$367,Q371))</f>
        <v/>
      </c>
      <c r="F371" s="72">
        <f>IF(OR(C371="",E371=""),"",E371-Setup!$D$7)</f>
        <v/>
      </c>
      <c r="G371" s="77">
        <f>IF(R371="","",IF(INDEX('Recurring Schedule'!$H$6:$H$45,R371)="","",INDEX('Recurring Schedule'!$H$6:$H$45,R371)))</f>
        <v/>
      </c>
      <c r="H371" s="77">
        <f>IF(R371="","",IF(INDEX('Recurring Schedule'!$I$6:$I$45,R371)="","",INDEX('Recurring Schedule'!$I$6:$I$45,R371)))</f>
        <v/>
      </c>
      <c r="I371" s="73">
        <f>IF(OR(G371="",H371=""),"",TRIM(IF(HOUR(H371-G371)&gt;0,HOUR(H371-G371)&amp;" hr ","")&amp;IF(MINUTE(H371-G371)&gt;0,MINUTE(H371-G371)&amp;" min","")))</f>
        <v/>
      </c>
      <c r="J371" s="66" t="n"/>
      <c r="K371" s="70" t="n"/>
      <c r="L371" s="73">
        <f>IF(R371="","",IF(INDEX('Recurring Schedule'!$J$6:$J$45,R371)="","",INDEX('Recurring Schedule'!$J$6:$J$45,R371)))</f>
        <v/>
      </c>
      <c r="M371" s="73">
        <f>IF(R371="","",IF(INDEX('Recurring Schedule'!$K$6:$K$45,R371)="","",INDEX('Recurring Schedule'!$K$6:$K$45,R371)))</f>
        <v/>
      </c>
      <c r="N371" s="73">
        <f>IF(R371="","",IF(INDEX('Recurring Schedule'!$L$6:$L$45,R371)="","",INDEX('Recurring Schedule'!$L$6:$L$45,R371)))</f>
        <v/>
      </c>
      <c r="O371" s="73">
        <f>IF(C371="","",IF(AND(OR(L371="1-Urgent",L371="2-High"),M371="✓"),"DO FIRST",IF(M371="✓","SCHEDULE",IF(OR(L371="1-Urgent",L371="2-High"),"DELEGATE","DELETE"))))</f>
        <v/>
      </c>
      <c r="P371" s="65" t="n"/>
      <c r="Q371">
        <f>IF(366&gt;Calc!$AQ$368,"",MATCH(365,Calc!$AQ$2:$AQ$367,1))</f>
        <v/>
      </c>
      <c r="R371">
        <f>IF(Q371="","",SMALL(INDEX(Calc!$B$2:$AO$367,Q371,0),366-INDEX(Calc!$AQ$2:$AQ$367,Q371)))</f>
        <v/>
      </c>
    </row>
    <row r="372">
      <c r="B372" s="64">
        <f>IF(R372="","",367)</f>
        <v/>
      </c>
      <c r="C372" s="37">
        <f>IF(R372="","",IF(INDEX('Recurring Schedule'!$C$6:$C$45,R372)="","",INDEX('Recurring Schedule'!$C$6:$C$45,R372)))</f>
        <v/>
      </c>
      <c r="D372" s="36">
        <f>IF(R372="","",IF(INDEX('Recurring Schedule'!$D$6:$D$45,R372)="","",INDEX('Recurring Schedule'!$D$6:$D$45,R372)))</f>
        <v/>
      </c>
      <c r="E372" s="38">
        <f>IF(Q372="","",INDEX(Calc!$A$2:$A$367,Q372))</f>
        <v/>
      </c>
      <c r="F372" s="68">
        <f>IF(OR(C372="",E372=""),"",E372-Setup!$D$7)</f>
        <v/>
      </c>
      <c r="G372" s="74">
        <f>IF(R372="","",IF(INDEX('Recurring Schedule'!$H$6:$H$45,R372)="","",INDEX('Recurring Schedule'!$H$6:$H$45,R372)))</f>
        <v/>
      </c>
      <c r="H372" s="74">
        <f>IF(R372="","",IF(INDEX('Recurring Schedule'!$I$6:$I$45,R372)="","",INDEX('Recurring Schedule'!$I$6:$I$45,R372)))</f>
        <v/>
      </c>
      <c r="I372" s="36">
        <f>IF(OR(G372="",H372=""),"",TRIM(IF(HOUR(H372-G372)&gt;0,HOUR(H372-G372)&amp;" hr ","")&amp;IF(MINUTE(H372-G372)&gt;0,MINUTE(H372-G372)&amp;" min","")))</f>
        <v/>
      </c>
      <c r="J372" s="66" t="n"/>
      <c r="K372" s="70" t="n"/>
      <c r="L372" s="36">
        <f>IF(R372="","",IF(INDEX('Recurring Schedule'!$J$6:$J$45,R372)="","",INDEX('Recurring Schedule'!$J$6:$J$45,R372)))</f>
        <v/>
      </c>
      <c r="M372" s="36">
        <f>IF(R372="","",IF(INDEX('Recurring Schedule'!$K$6:$K$45,R372)="","",INDEX('Recurring Schedule'!$K$6:$K$45,R372)))</f>
        <v/>
      </c>
      <c r="N372" s="36">
        <f>IF(R372="","",IF(INDEX('Recurring Schedule'!$L$6:$L$45,R372)="","",INDEX('Recurring Schedule'!$L$6:$L$45,R372)))</f>
        <v/>
      </c>
      <c r="O372" s="36">
        <f>IF(C372="","",IF(AND(OR(L372="1-Urgent",L372="2-High"),M372="✓"),"DO FIRST",IF(M372="✓","SCHEDULE",IF(OR(L372="1-Urgent",L372="2-High"),"DELEGATE","DELETE"))))</f>
        <v/>
      </c>
      <c r="P372" s="65" t="n"/>
      <c r="Q372">
        <f>IF(367&gt;Calc!$AQ$368,"",MATCH(366,Calc!$AQ$2:$AQ$367,1))</f>
        <v/>
      </c>
      <c r="R372">
        <f>IF(Q372="","",SMALL(INDEX(Calc!$B$2:$AO$367,Q372,0),367-INDEX(Calc!$AQ$2:$AQ$367,Q372)))</f>
        <v/>
      </c>
    </row>
    <row r="373">
      <c r="B373" s="71">
        <f>IF(R373="","",368)</f>
        <v/>
      </c>
      <c r="C373" s="75">
        <f>IF(R373="","",IF(INDEX('Recurring Schedule'!$C$6:$C$45,R373)="","",INDEX('Recurring Schedule'!$C$6:$C$45,R373)))</f>
        <v/>
      </c>
      <c r="D373" s="73">
        <f>IF(R373="","",IF(INDEX('Recurring Schedule'!$D$6:$D$45,R373)="","",INDEX('Recurring Schedule'!$D$6:$D$45,R373)))</f>
        <v/>
      </c>
      <c r="E373" s="76">
        <f>IF(Q373="","",INDEX(Calc!$A$2:$A$367,Q373))</f>
        <v/>
      </c>
      <c r="F373" s="72">
        <f>IF(OR(C373="",E373=""),"",E373-Setup!$D$7)</f>
        <v/>
      </c>
      <c r="G373" s="77">
        <f>IF(R373="","",IF(INDEX('Recurring Schedule'!$H$6:$H$45,R373)="","",INDEX('Recurring Schedule'!$H$6:$H$45,R373)))</f>
        <v/>
      </c>
      <c r="H373" s="77">
        <f>IF(R373="","",IF(INDEX('Recurring Schedule'!$I$6:$I$45,R373)="","",INDEX('Recurring Schedule'!$I$6:$I$45,R373)))</f>
        <v/>
      </c>
      <c r="I373" s="73">
        <f>IF(OR(G373="",H373=""),"",TRIM(IF(HOUR(H373-G373)&gt;0,HOUR(H373-G373)&amp;" hr ","")&amp;IF(MINUTE(H373-G373)&gt;0,MINUTE(H373-G373)&amp;" min","")))</f>
        <v/>
      </c>
      <c r="J373" s="66" t="n"/>
      <c r="K373" s="70" t="n"/>
      <c r="L373" s="73">
        <f>IF(R373="","",IF(INDEX('Recurring Schedule'!$J$6:$J$45,R373)="","",INDEX('Recurring Schedule'!$J$6:$J$45,R373)))</f>
        <v/>
      </c>
      <c r="M373" s="73">
        <f>IF(R373="","",IF(INDEX('Recurring Schedule'!$K$6:$K$45,R373)="","",INDEX('Recurring Schedule'!$K$6:$K$45,R373)))</f>
        <v/>
      </c>
      <c r="N373" s="73">
        <f>IF(R373="","",IF(INDEX('Recurring Schedule'!$L$6:$L$45,R373)="","",INDEX('Recurring Schedule'!$L$6:$L$45,R373)))</f>
        <v/>
      </c>
      <c r="O373" s="73">
        <f>IF(C373="","",IF(AND(OR(L373="1-Urgent",L373="2-High"),M373="✓"),"DO FIRST",IF(M373="✓","SCHEDULE",IF(OR(L373="1-Urgent",L373="2-High"),"DELEGATE","DELETE"))))</f>
        <v/>
      </c>
      <c r="P373" s="65" t="n"/>
      <c r="Q373">
        <f>IF(368&gt;Calc!$AQ$368,"",MATCH(367,Calc!$AQ$2:$AQ$367,1))</f>
        <v/>
      </c>
      <c r="R373">
        <f>IF(Q373="","",SMALL(INDEX(Calc!$B$2:$AO$367,Q373,0),368-INDEX(Calc!$AQ$2:$AQ$367,Q373)))</f>
        <v/>
      </c>
    </row>
    <row r="374">
      <c r="B374" s="64">
        <f>IF(R374="","",369)</f>
        <v/>
      </c>
      <c r="C374" s="37">
        <f>IF(R374="","",IF(INDEX('Recurring Schedule'!$C$6:$C$45,R374)="","",INDEX('Recurring Schedule'!$C$6:$C$45,R374)))</f>
        <v/>
      </c>
      <c r="D374" s="36">
        <f>IF(R374="","",IF(INDEX('Recurring Schedule'!$D$6:$D$45,R374)="","",INDEX('Recurring Schedule'!$D$6:$D$45,R374)))</f>
        <v/>
      </c>
      <c r="E374" s="38">
        <f>IF(Q374="","",INDEX(Calc!$A$2:$A$367,Q374))</f>
        <v/>
      </c>
      <c r="F374" s="68">
        <f>IF(OR(C374="",E374=""),"",E374-Setup!$D$7)</f>
        <v/>
      </c>
      <c r="G374" s="74">
        <f>IF(R374="","",IF(INDEX('Recurring Schedule'!$H$6:$H$45,R374)="","",INDEX('Recurring Schedule'!$H$6:$H$45,R374)))</f>
        <v/>
      </c>
      <c r="H374" s="74">
        <f>IF(R374="","",IF(INDEX('Recurring Schedule'!$I$6:$I$45,R374)="","",INDEX('Recurring Schedule'!$I$6:$I$45,R374)))</f>
        <v/>
      </c>
      <c r="I374" s="36">
        <f>IF(OR(G374="",H374=""),"",TRIM(IF(HOUR(H374-G374)&gt;0,HOUR(H374-G374)&amp;" hr ","")&amp;IF(MINUTE(H374-G374)&gt;0,MINUTE(H374-G374)&amp;" min","")))</f>
        <v/>
      </c>
      <c r="J374" s="66" t="n"/>
      <c r="K374" s="70" t="n"/>
      <c r="L374" s="36">
        <f>IF(R374="","",IF(INDEX('Recurring Schedule'!$J$6:$J$45,R374)="","",INDEX('Recurring Schedule'!$J$6:$J$45,R374)))</f>
        <v/>
      </c>
      <c r="M374" s="36">
        <f>IF(R374="","",IF(INDEX('Recurring Schedule'!$K$6:$K$45,R374)="","",INDEX('Recurring Schedule'!$K$6:$K$45,R374)))</f>
        <v/>
      </c>
      <c r="N374" s="36">
        <f>IF(R374="","",IF(INDEX('Recurring Schedule'!$L$6:$L$45,R374)="","",INDEX('Recurring Schedule'!$L$6:$L$45,R374)))</f>
        <v/>
      </c>
      <c r="O374" s="36">
        <f>IF(C374="","",IF(AND(OR(L374="1-Urgent",L374="2-High"),M374="✓"),"DO FIRST",IF(M374="✓","SCHEDULE",IF(OR(L374="1-Urgent",L374="2-High"),"DELEGATE","DELETE"))))</f>
        <v/>
      </c>
      <c r="P374" s="65" t="n"/>
      <c r="Q374">
        <f>IF(369&gt;Calc!$AQ$368,"",MATCH(368,Calc!$AQ$2:$AQ$367,1))</f>
        <v/>
      </c>
      <c r="R374">
        <f>IF(Q374="","",SMALL(INDEX(Calc!$B$2:$AO$367,Q374,0),369-INDEX(Calc!$AQ$2:$AQ$367,Q374)))</f>
        <v/>
      </c>
    </row>
    <row r="375">
      <c r="B375" s="71">
        <f>IF(R375="","",370)</f>
        <v/>
      </c>
      <c r="C375" s="75">
        <f>IF(R375="","",IF(INDEX('Recurring Schedule'!$C$6:$C$45,R375)="","",INDEX('Recurring Schedule'!$C$6:$C$45,R375)))</f>
        <v/>
      </c>
      <c r="D375" s="73">
        <f>IF(R375="","",IF(INDEX('Recurring Schedule'!$D$6:$D$45,R375)="","",INDEX('Recurring Schedule'!$D$6:$D$45,R375)))</f>
        <v/>
      </c>
      <c r="E375" s="76">
        <f>IF(Q375="","",INDEX(Calc!$A$2:$A$367,Q375))</f>
        <v/>
      </c>
      <c r="F375" s="72">
        <f>IF(OR(C375="",E375=""),"",E375-Setup!$D$7)</f>
        <v/>
      </c>
      <c r="G375" s="77">
        <f>IF(R375="","",IF(INDEX('Recurring Schedule'!$H$6:$H$45,R375)="","",INDEX('Recurring Schedule'!$H$6:$H$45,R375)))</f>
        <v/>
      </c>
      <c r="H375" s="77">
        <f>IF(R375="","",IF(INDEX('Recurring Schedule'!$I$6:$I$45,R375)="","",INDEX('Recurring Schedule'!$I$6:$I$45,R375)))</f>
        <v/>
      </c>
      <c r="I375" s="73">
        <f>IF(OR(G375="",H375=""),"",TRIM(IF(HOUR(H375-G375)&gt;0,HOUR(H375-G375)&amp;" hr ","")&amp;IF(MINUTE(H375-G375)&gt;0,MINUTE(H375-G375)&amp;" min","")))</f>
        <v/>
      </c>
      <c r="J375" s="66" t="n"/>
      <c r="K375" s="70" t="n"/>
      <c r="L375" s="73">
        <f>IF(R375="","",IF(INDEX('Recurring Schedule'!$J$6:$J$45,R375)="","",INDEX('Recurring Schedule'!$J$6:$J$45,R375)))</f>
        <v/>
      </c>
      <c r="M375" s="73">
        <f>IF(R375="","",IF(INDEX('Recurring Schedule'!$K$6:$K$45,R375)="","",INDEX('Recurring Schedule'!$K$6:$K$45,R375)))</f>
        <v/>
      </c>
      <c r="N375" s="73">
        <f>IF(R375="","",IF(INDEX('Recurring Schedule'!$L$6:$L$45,R375)="","",INDEX('Recurring Schedule'!$L$6:$L$45,R375)))</f>
        <v/>
      </c>
      <c r="O375" s="73">
        <f>IF(C375="","",IF(AND(OR(L375="1-Urgent",L375="2-High"),M375="✓"),"DO FIRST",IF(M375="✓","SCHEDULE",IF(OR(L375="1-Urgent",L375="2-High"),"DELEGATE","DELETE"))))</f>
        <v/>
      </c>
      <c r="P375" s="65" t="n"/>
      <c r="Q375">
        <f>IF(370&gt;Calc!$AQ$368,"",MATCH(369,Calc!$AQ$2:$AQ$367,1))</f>
        <v/>
      </c>
      <c r="R375">
        <f>IF(Q375="","",SMALL(INDEX(Calc!$B$2:$AO$367,Q375,0),370-INDEX(Calc!$AQ$2:$AQ$367,Q375)))</f>
        <v/>
      </c>
    </row>
    <row r="376">
      <c r="B376" s="64">
        <f>IF(R376="","",371)</f>
        <v/>
      </c>
      <c r="C376" s="37">
        <f>IF(R376="","",IF(INDEX('Recurring Schedule'!$C$6:$C$45,R376)="","",INDEX('Recurring Schedule'!$C$6:$C$45,R376)))</f>
        <v/>
      </c>
      <c r="D376" s="36">
        <f>IF(R376="","",IF(INDEX('Recurring Schedule'!$D$6:$D$45,R376)="","",INDEX('Recurring Schedule'!$D$6:$D$45,R376)))</f>
        <v/>
      </c>
      <c r="E376" s="38">
        <f>IF(Q376="","",INDEX(Calc!$A$2:$A$367,Q376))</f>
        <v/>
      </c>
      <c r="F376" s="68">
        <f>IF(OR(C376="",E376=""),"",E376-Setup!$D$7)</f>
        <v/>
      </c>
      <c r="G376" s="74">
        <f>IF(R376="","",IF(INDEX('Recurring Schedule'!$H$6:$H$45,R376)="","",INDEX('Recurring Schedule'!$H$6:$H$45,R376)))</f>
        <v/>
      </c>
      <c r="H376" s="74">
        <f>IF(R376="","",IF(INDEX('Recurring Schedule'!$I$6:$I$45,R376)="","",INDEX('Recurring Schedule'!$I$6:$I$45,R376)))</f>
        <v/>
      </c>
      <c r="I376" s="36">
        <f>IF(OR(G376="",H376=""),"",TRIM(IF(HOUR(H376-G376)&gt;0,HOUR(H376-G376)&amp;" hr ","")&amp;IF(MINUTE(H376-G376)&gt;0,MINUTE(H376-G376)&amp;" min","")))</f>
        <v/>
      </c>
      <c r="J376" s="66" t="n"/>
      <c r="K376" s="70" t="n"/>
      <c r="L376" s="36">
        <f>IF(R376="","",IF(INDEX('Recurring Schedule'!$J$6:$J$45,R376)="","",INDEX('Recurring Schedule'!$J$6:$J$45,R376)))</f>
        <v/>
      </c>
      <c r="M376" s="36">
        <f>IF(R376="","",IF(INDEX('Recurring Schedule'!$K$6:$K$45,R376)="","",INDEX('Recurring Schedule'!$K$6:$K$45,R376)))</f>
        <v/>
      </c>
      <c r="N376" s="36">
        <f>IF(R376="","",IF(INDEX('Recurring Schedule'!$L$6:$L$45,R376)="","",INDEX('Recurring Schedule'!$L$6:$L$45,R376)))</f>
        <v/>
      </c>
      <c r="O376" s="36">
        <f>IF(C376="","",IF(AND(OR(L376="1-Urgent",L376="2-High"),M376="✓"),"DO FIRST",IF(M376="✓","SCHEDULE",IF(OR(L376="1-Urgent",L376="2-High"),"DELEGATE","DELETE"))))</f>
        <v/>
      </c>
      <c r="P376" s="65" t="n"/>
      <c r="Q376">
        <f>IF(371&gt;Calc!$AQ$368,"",MATCH(370,Calc!$AQ$2:$AQ$367,1))</f>
        <v/>
      </c>
      <c r="R376">
        <f>IF(Q376="","",SMALL(INDEX(Calc!$B$2:$AO$367,Q376,0),371-INDEX(Calc!$AQ$2:$AQ$367,Q376)))</f>
        <v/>
      </c>
    </row>
    <row r="377">
      <c r="B377" s="71">
        <f>IF(R377="","",372)</f>
        <v/>
      </c>
      <c r="C377" s="75">
        <f>IF(R377="","",IF(INDEX('Recurring Schedule'!$C$6:$C$45,R377)="","",INDEX('Recurring Schedule'!$C$6:$C$45,R377)))</f>
        <v/>
      </c>
      <c r="D377" s="73">
        <f>IF(R377="","",IF(INDEX('Recurring Schedule'!$D$6:$D$45,R377)="","",INDEX('Recurring Schedule'!$D$6:$D$45,R377)))</f>
        <v/>
      </c>
      <c r="E377" s="76">
        <f>IF(Q377="","",INDEX(Calc!$A$2:$A$367,Q377))</f>
        <v/>
      </c>
      <c r="F377" s="72">
        <f>IF(OR(C377="",E377=""),"",E377-Setup!$D$7)</f>
        <v/>
      </c>
      <c r="G377" s="77">
        <f>IF(R377="","",IF(INDEX('Recurring Schedule'!$H$6:$H$45,R377)="","",INDEX('Recurring Schedule'!$H$6:$H$45,R377)))</f>
        <v/>
      </c>
      <c r="H377" s="77">
        <f>IF(R377="","",IF(INDEX('Recurring Schedule'!$I$6:$I$45,R377)="","",INDEX('Recurring Schedule'!$I$6:$I$45,R377)))</f>
        <v/>
      </c>
      <c r="I377" s="73">
        <f>IF(OR(G377="",H377=""),"",TRIM(IF(HOUR(H377-G377)&gt;0,HOUR(H377-G377)&amp;" hr ","")&amp;IF(MINUTE(H377-G377)&gt;0,MINUTE(H377-G377)&amp;" min","")))</f>
        <v/>
      </c>
      <c r="J377" s="66" t="n"/>
      <c r="K377" s="70" t="n"/>
      <c r="L377" s="73">
        <f>IF(R377="","",IF(INDEX('Recurring Schedule'!$J$6:$J$45,R377)="","",INDEX('Recurring Schedule'!$J$6:$J$45,R377)))</f>
        <v/>
      </c>
      <c r="M377" s="73">
        <f>IF(R377="","",IF(INDEX('Recurring Schedule'!$K$6:$K$45,R377)="","",INDEX('Recurring Schedule'!$K$6:$K$45,R377)))</f>
        <v/>
      </c>
      <c r="N377" s="73">
        <f>IF(R377="","",IF(INDEX('Recurring Schedule'!$L$6:$L$45,R377)="","",INDEX('Recurring Schedule'!$L$6:$L$45,R377)))</f>
        <v/>
      </c>
      <c r="O377" s="73">
        <f>IF(C377="","",IF(AND(OR(L377="1-Urgent",L377="2-High"),M377="✓"),"DO FIRST",IF(M377="✓","SCHEDULE",IF(OR(L377="1-Urgent",L377="2-High"),"DELEGATE","DELETE"))))</f>
        <v/>
      </c>
      <c r="P377" s="65" t="n"/>
      <c r="Q377">
        <f>IF(372&gt;Calc!$AQ$368,"",MATCH(371,Calc!$AQ$2:$AQ$367,1))</f>
        <v/>
      </c>
      <c r="R377">
        <f>IF(Q377="","",SMALL(INDEX(Calc!$B$2:$AO$367,Q377,0),372-INDEX(Calc!$AQ$2:$AQ$367,Q377)))</f>
        <v/>
      </c>
    </row>
    <row r="378">
      <c r="B378" s="64">
        <f>IF(R378="","",373)</f>
        <v/>
      </c>
      <c r="C378" s="37">
        <f>IF(R378="","",IF(INDEX('Recurring Schedule'!$C$6:$C$45,R378)="","",INDEX('Recurring Schedule'!$C$6:$C$45,R378)))</f>
        <v/>
      </c>
      <c r="D378" s="36">
        <f>IF(R378="","",IF(INDEX('Recurring Schedule'!$D$6:$D$45,R378)="","",INDEX('Recurring Schedule'!$D$6:$D$45,R378)))</f>
        <v/>
      </c>
      <c r="E378" s="38">
        <f>IF(Q378="","",INDEX(Calc!$A$2:$A$367,Q378))</f>
        <v/>
      </c>
      <c r="F378" s="68">
        <f>IF(OR(C378="",E378=""),"",E378-Setup!$D$7)</f>
        <v/>
      </c>
      <c r="G378" s="74">
        <f>IF(R378="","",IF(INDEX('Recurring Schedule'!$H$6:$H$45,R378)="","",INDEX('Recurring Schedule'!$H$6:$H$45,R378)))</f>
        <v/>
      </c>
      <c r="H378" s="74">
        <f>IF(R378="","",IF(INDEX('Recurring Schedule'!$I$6:$I$45,R378)="","",INDEX('Recurring Schedule'!$I$6:$I$45,R378)))</f>
        <v/>
      </c>
      <c r="I378" s="36">
        <f>IF(OR(G378="",H378=""),"",TRIM(IF(HOUR(H378-G378)&gt;0,HOUR(H378-G378)&amp;" hr ","")&amp;IF(MINUTE(H378-G378)&gt;0,MINUTE(H378-G378)&amp;" min","")))</f>
        <v/>
      </c>
      <c r="J378" s="66" t="n"/>
      <c r="K378" s="70" t="n"/>
      <c r="L378" s="36">
        <f>IF(R378="","",IF(INDEX('Recurring Schedule'!$J$6:$J$45,R378)="","",INDEX('Recurring Schedule'!$J$6:$J$45,R378)))</f>
        <v/>
      </c>
      <c r="M378" s="36">
        <f>IF(R378="","",IF(INDEX('Recurring Schedule'!$K$6:$K$45,R378)="","",INDEX('Recurring Schedule'!$K$6:$K$45,R378)))</f>
        <v/>
      </c>
      <c r="N378" s="36">
        <f>IF(R378="","",IF(INDEX('Recurring Schedule'!$L$6:$L$45,R378)="","",INDEX('Recurring Schedule'!$L$6:$L$45,R378)))</f>
        <v/>
      </c>
      <c r="O378" s="36">
        <f>IF(C378="","",IF(AND(OR(L378="1-Urgent",L378="2-High"),M378="✓"),"DO FIRST",IF(M378="✓","SCHEDULE",IF(OR(L378="1-Urgent",L378="2-High"),"DELEGATE","DELETE"))))</f>
        <v/>
      </c>
      <c r="P378" s="65" t="n"/>
      <c r="Q378">
        <f>IF(373&gt;Calc!$AQ$368,"",MATCH(372,Calc!$AQ$2:$AQ$367,1))</f>
        <v/>
      </c>
      <c r="R378">
        <f>IF(Q378="","",SMALL(INDEX(Calc!$B$2:$AO$367,Q378,0),373-INDEX(Calc!$AQ$2:$AQ$367,Q378)))</f>
        <v/>
      </c>
    </row>
    <row r="379">
      <c r="B379" s="71">
        <f>IF(R379="","",374)</f>
        <v/>
      </c>
      <c r="C379" s="75">
        <f>IF(R379="","",IF(INDEX('Recurring Schedule'!$C$6:$C$45,R379)="","",INDEX('Recurring Schedule'!$C$6:$C$45,R379)))</f>
        <v/>
      </c>
      <c r="D379" s="73">
        <f>IF(R379="","",IF(INDEX('Recurring Schedule'!$D$6:$D$45,R379)="","",INDEX('Recurring Schedule'!$D$6:$D$45,R379)))</f>
        <v/>
      </c>
      <c r="E379" s="76">
        <f>IF(Q379="","",INDEX(Calc!$A$2:$A$367,Q379))</f>
        <v/>
      </c>
      <c r="F379" s="72">
        <f>IF(OR(C379="",E379=""),"",E379-Setup!$D$7)</f>
        <v/>
      </c>
      <c r="G379" s="77">
        <f>IF(R379="","",IF(INDEX('Recurring Schedule'!$H$6:$H$45,R379)="","",INDEX('Recurring Schedule'!$H$6:$H$45,R379)))</f>
        <v/>
      </c>
      <c r="H379" s="77">
        <f>IF(R379="","",IF(INDEX('Recurring Schedule'!$I$6:$I$45,R379)="","",INDEX('Recurring Schedule'!$I$6:$I$45,R379)))</f>
        <v/>
      </c>
      <c r="I379" s="73">
        <f>IF(OR(G379="",H379=""),"",TRIM(IF(HOUR(H379-G379)&gt;0,HOUR(H379-G379)&amp;" hr ","")&amp;IF(MINUTE(H379-G379)&gt;0,MINUTE(H379-G379)&amp;" min","")))</f>
        <v/>
      </c>
      <c r="J379" s="66" t="n"/>
      <c r="K379" s="70" t="n"/>
      <c r="L379" s="73">
        <f>IF(R379="","",IF(INDEX('Recurring Schedule'!$J$6:$J$45,R379)="","",INDEX('Recurring Schedule'!$J$6:$J$45,R379)))</f>
        <v/>
      </c>
      <c r="M379" s="73">
        <f>IF(R379="","",IF(INDEX('Recurring Schedule'!$K$6:$K$45,R379)="","",INDEX('Recurring Schedule'!$K$6:$K$45,R379)))</f>
        <v/>
      </c>
      <c r="N379" s="73">
        <f>IF(R379="","",IF(INDEX('Recurring Schedule'!$L$6:$L$45,R379)="","",INDEX('Recurring Schedule'!$L$6:$L$45,R379)))</f>
        <v/>
      </c>
      <c r="O379" s="73">
        <f>IF(C379="","",IF(AND(OR(L379="1-Urgent",L379="2-High"),M379="✓"),"DO FIRST",IF(M379="✓","SCHEDULE",IF(OR(L379="1-Urgent",L379="2-High"),"DELEGATE","DELETE"))))</f>
        <v/>
      </c>
      <c r="P379" s="65" t="n"/>
      <c r="Q379">
        <f>IF(374&gt;Calc!$AQ$368,"",MATCH(373,Calc!$AQ$2:$AQ$367,1))</f>
        <v/>
      </c>
      <c r="R379">
        <f>IF(Q379="","",SMALL(INDEX(Calc!$B$2:$AO$367,Q379,0),374-INDEX(Calc!$AQ$2:$AQ$367,Q379)))</f>
        <v/>
      </c>
    </row>
    <row r="380">
      <c r="B380" s="64">
        <f>IF(R380="","",375)</f>
        <v/>
      </c>
      <c r="C380" s="37">
        <f>IF(R380="","",IF(INDEX('Recurring Schedule'!$C$6:$C$45,R380)="","",INDEX('Recurring Schedule'!$C$6:$C$45,R380)))</f>
        <v/>
      </c>
      <c r="D380" s="36">
        <f>IF(R380="","",IF(INDEX('Recurring Schedule'!$D$6:$D$45,R380)="","",INDEX('Recurring Schedule'!$D$6:$D$45,R380)))</f>
        <v/>
      </c>
      <c r="E380" s="38">
        <f>IF(Q380="","",INDEX(Calc!$A$2:$A$367,Q380))</f>
        <v/>
      </c>
      <c r="F380" s="68">
        <f>IF(OR(C380="",E380=""),"",E380-Setup!$D$7)</f>
        <v/>
      </c>
      <c r="G380" s="74">
        <f>IF(R380="","",IF(INDEX('Recurring Schedule'!$H$6:$H$45,R380)="","",INDEX('Recurring Schedule'!$H$6:$H$45,R380)))</f>
        <v/>
      </c>
      <c r="H380" s="74">
        <f>IF(R380="","",IF(INDEX('Recurring Schedule'!$I$6:$I$45,R380)="","",INDEX('Recurring Schedule'!$I$6:$I$45,R380)))</f>
        <v/>
      </c>
      <c r="I380" s="36">
        <f>IF(OR(G380="",H380=""),"",TRIM(IF(HOUR(H380-G380)&gt;0,HOUR(H380-G380)&amp;" hr ","")&amp;IF(MINUTE(H380-G380)&gt;0,MINUTE(H380-G380)&amp;" min","")))</f>
        <v/>
      </c>
      <c r="J380" s="66" t="n"/>
      <c r="K380" s="70" t="n"/>
      <c r="L380" s="36">
        <f>IF(R380="","",IF(INDEX('Recurring Schedule'!$J$6:$J$45,R380)="","",INDEX('Recurring Schedule'!$J$6:$J$45,R380)))</f>
        <v/>
      </c>
      <c r="M380" s="36">
        <f>IF(R380="","",IF(INDEX('Recurring Schedule'!$K$6:$K$45,R380)="","",INDEX('Recurring Schedule'!$K$6:$K$45,R380)))</f>
        <v/>
      </c>
      <c r="N380" s="36">
        <f>IF(R380="","",IF(INDEX('Recurring Schedule'!$L$6:$L$45,R380)="","",INDEX('Recurring Schedule'!$L$6:$L$45,R380)))</f>
        <v/>
      </c>
      <c r="O380" s="36">
        <f>IF(C380="","",IF(AND(OR(L380="1-Urgent",L380="2-High"),M380="✓"),"DO FIRST",IF(M380="✓","SCHEDULE",IF(OR(L380="1-Urgent",L380="2-High"),"DELEGATE","DELETE"))))</f>
        <v/>
      </c>
      <c r="P380" s="65" t="n"/>
      <c r="Q380">
        <f>IF(375&gt;Calc!$AQ$368,"",MATCH(374,Calc!$AQ$2:$AQ$367,1))</f>
        <v/>
      </c>
      <c r="R380">
        <f>IF(Q380="","",SMALL(INDEX(Calc!$B$2:$AO$367,Q380,0),375-INDEX(Calc!$AQ$2:$AQ$367,Q380)))</f>
        <v/>
      </c>
    </row>
    <row r="381">
      <c r="B381" s="71">
        <f>IF(R381="","",376)</f>
        <v/>
      </c>
      <c r="C381" s="75">
        <f>IF(R381="","",IF(INDEX('Recurring Schedule'!$C$6:$C$45,R381)="","",INDEX('Recurring Schedule'!$C$6:$C$45,R381)))</f>
        <v/>
      </c>
      <c r="D381" s="73">
        <f>IF(R381="","",IF(INDEX('Recurring Schedule'!$D$6:$D$45,R381)="","",INDEX('Recurring Schedule'!$D$6:$D$45,R381)))</f>
        <v/>
      </c>
      <c r="E381" s="76">
        <f>IF(Q381="","",INDEX(Calc!$A$2:$A$367,Q381))</f>
        <v/>
      </c>
      <c r="F381" s="72">
        <f>IF(OR(C381="",E381=""),"",E381-Setup!$D$7)</f>
        <v/>
      </c>
      <c r="G381" s="77">
        <f>IF(R381="","",IF(INDEX('Recurring Schedule'!$H$6:$H$45,R381)="","",INDEX('Recurring Schedule'!$H$6:$H$45,R381)))</f>
        <v/>
      </c>
      <c r="H381" s="77">
        <f>IF(R381="","",IF(INDEX('Recurring Schedule'!$I$6:$I$45,R381)="","",INDEX('Recurring Schedule'!$I$6:$I$45,R381)))</f>
        <v/>
      </c>
      <c r="I381" s="73">
        <f>IF(OR(G381="",H381=""),"",TRIM(IF(HOUR(H381-G381)&gt;0,HOUR(H381-G381)&amp;" hr ","")&amp;IF(MINUTE(H381-G381)&gt;0,MINUTE(H381-G381)&amp;" min","")))</f>
        <v/>
      </c>
      <c r="J381" s="66" t="n"/>
      <c r="K381" s="70" t="n"/>
      <c r="L381" s="73">
        <f>IF(R381="","",IF(INDEX('Recurring Schedule'!$J$6:$J$45,R381)="","",INDEX('Recurring Schedule'!$J$6:$J$45,R381)))</f>
        <v/>
      </c>
      <c r="M381" s="73">
        <f>IF(R381="","",IF(INDEX('Recurring Schedule'!$K$6:$K$45,R381)="","",INDEX('Recurring Schedule'!$K$6:$K$45,R381)))</f>
        <v/>
      </c>
      <c r="N381" s="73">
        <f>IF(R381="","",IF(INDEX('Recurring Schedule'!$L$6:$L$45,R381)="","",INDEX('Recurring Schedule'!$L$6:$L$45,R381)))</f>
        <v/>
      </c>
      <c r="O381" s="73">
        <f>IF(C381="","",IF(AND(OR(L381="1-Urgent",L381="2-High"),M381="✓"),"DO FIRST",IF(M381="✓","SCHEDULE",IF(OR(L381="1-Urgent",L381="2-High"),"DELEGATE","DELETE"))))</f>
        <v/>
      </c>
      <c r="P381" s="65" t="n"/>
      <c r="Q381">
        <f>IF(376&gt;Calc!$AQ$368,"",MATCH(375,Calc!$AQ$2:$AQ$367,1))</f>
        <v/>
      </c>
      <c r="R381">
        <f>IF(Q381="","",SMALL(INDEX(Calc!$B$2:$AO$367,Q381,0),376-INDEX(Calc!$AQ$2:$AQ$367,Q381)))</f>
        <v/>
      </c>
    </row>
    <row r="382">
      <c r="B382" s="64">
        <f>IF(R382="","",377)</f>
        <v/>
      </c>
      <c r="C382" s="37">
        <f>IF(R382="","",IF(INDEX('Recurring Schedule'!$C$6:$C$45,R382)="","",INDEX('Recurring Schedule'!$C$6:$C$45,R382)))</f>
        <v/>
      </c>
      <c r="D382" s="36">
        <f>IF(R382="","",IF(INDEX('Recurring Schedule'!$D$6:$D$45,R382)="","",INDEX('Recurring Schedule'!$D$6:$D$45,R382)))</f>
        <v/>
      </c>
      <c r="E382" s="38">
        <f>IF(Q382="","",INDEX(Calc!$A$2:$A$367,Q382))</f>
        <v/>
      </c>
      <c r="F382" s="68">
        <f>IF(OR(C382="",E382=""),"",E382-Setup!$D$7)</f>
        <v/>
      </c>
      <c r="G382" s="74">
        <f>IF(R382="","",IF(INDEX('Recurring Schedule'!$H$6:$H$45,R382)="","",INDEX('Recurring Schedule'!$H$6:$H$45,R382)))</f>
        <v/>
      </c>
      <c r="H382" s="74">
        <f>IF(R382="","",IF(INDEX('Recurring Schedule'!$I$6:$I$45,R382)="","",INDEX('Recurring Schedule'!$I$6:$I$45,R382)))</f>
        <v/>
      </c>
      <c r="I382" s="36">
        <f>IF(OR(G382="",H382=""),"",TRIM(IF(HOUR(H382-G382)&gt;0,HOUR(H382-G382)&amp;" hr ","")&amp;IF(MINUTE(H382-G382)&gt;0,MINUTE(H382-G382)&amp;" min","")))</f>
        <v/>
      </c>
      <c r="J382" s="66" t="n"/>
      <c r="K382" s="70" t="n"/>
      <c r="L382" s="36">
        <f>IF(R382="","",IF(INDEX('Recurring Schedule'!$J$6:$J$45,R382)="","",INDEX('Recurring Schedule'!$J$6:$J$45,R382)))</f>
        <v/>
      </c>
      <c r="M382" s="36">
        <f>IF(R382="","",IF(INDEX('Recurring Schedule'!$K$6:$K$45,R382)="","",INDEX('Recurring Schedule'!$K$6:$K$45,R382)))</f>
        <v/>
      </c>
      <c r="N382" s="36">
        <f>IF(R382="","",IF(INDEX('Recurring Schedule'!$L$6:$L$45,R382)="","",INDEX('Recurring Schedule'!$L$6:$L$45,R382)))</f>
        <v/>
      </c>
      <c r="O382" s="36">
        <f>IF(C382="","",IF(AND(OR(L382="1-Urgent",L382="2-High"),M382="✓"),"DO FIRST",IF(M382="✓","SCHEDULE",IF(OR(L382="1-Urgent",L382="2-High"),"DELEGATE","DELETE"))))</f>
        <v/>
      </c>
      <c r="P382" s="65" t="n"/>
      <c r="Q382">
        <f>IF(377&gt;Calc!$AQ$368,"",MATCH(376,Calc!$AQ$2:$AQ$367,1))</f>
        <v/>
      </c>
      <c r="R382">
        <f>IF(Q382="","",SMALL(INDEX(Calc!$B$2:$AO$367,Q382,0),377-INDEX(Calc!$AQ$2:$AQ$367,Q382)))</f>
        <v/>
      </c>
    </row>
    <row r="383">
      <c r="B383" s="71">
        <f>IF(R383="","",378)</f>
        <v/>
      </c>
      <c r="C383" s="75">
        <f>IF(R383="","",IF(INDEX('Recurring Schedule'!$C$6:$C$45,R383)="","",INDEX('Recurring Schedule'!$C$6:$C$45,R383)))</f>
        <v/>
      </c>
      <c r="D383" s="73">
        <f>IF(R383="","",IF(INDEX('Recurring Schedule'!$D$6:$D$45,R383)="","",INDEX('Recurring Schedule'!$D$6:$D$45,R383)))</f>
        <v/>
      </c>
      <c r="E383" s="76">
        <f>IF(Q383="","",INDEX(Calc!$A$2:$A$367,Q383))</f>
        <v/>
      </c>
      <c r="F383" s="72">
        <f>IF(OR(C383="",E383=""),"",E383-Setup!$D$7)</f>
        <v/>
      </c>
      <c r="G383" s="77">
        <f>IF(R383="","",IF(INDEX('Recurring Schedule'!$H$6:$H$45,R383)="","",INDEX('Recurring Schedule'!$H$6:$H$45,R383)))</f>
        <v/>
      </c>
      <c r="H383" s="77">
        <f>IF(R383="","",IF(INDEX('Recurring Schedule'!$I$6:$I$45,R383)="","",INDEX('Recurring Schedule'!$I$6:$I$45,R383)))</f>
        <v/>
      </c>
      <c r="I383" s="73">
        <f>IF(OR(G383="",H383=""),"",TRIM(IF(HOUR(H383-G383)&gt;0,HOUR(H383-G383)&amp;" hr ","")&amp;IF(MINUTE(H383-G383)&gt;0,MINUTE(H383-G383)&amp;" min","")))</f>
        <v/>
      </c>
      <c r="J383" s="66" t="n"/>
      <c r="K383" s="70" t="n"/>
      <c r="L383" s="73">
        <f>IF(R383="","",IF(INDEX('Recurring Schedule'!$J$6:$J$45,R383)="","",INDEX('Recurring Schedule'!$J$6:$J$45,R383)))</f>
        <v/>
      </c>
      <c r="M383" s="73">
        <f>IF(R383="","",IF(INDEX('Recurring Schedule'!$K$6:$K$45,R383)="","",INDEX('Recurring Schedule'!$K$6:$K$45,R383)))</f>
        <v/>
      </c>
      <c r="N383" s="73">
        <f>IF(R383="","",IF(INDEX('Recurring Schedule'!$L$6:$L$45,R383)="","",INDEX('Recurring Schedule'!$L$6:$L$45,R383)))</f>
        <v/>
      </c>
      <c r="O383" s="73">
        <f>IF(C383="","",IF(AND(OR(L383="1-Urgent",L383="2-High"),M383="✓"),"DO FIRST",IF(M383="✓","SCHEDULE",IF(OR(L383="1-Urgent",L383="2-High"),"DELEGATE","DELETE"))))</f>
        <v/>
      </c>
      <c r="P383" s="65" t="n"/>
      <c r="Q383">
        <f>IF(378&gt;Calc!$AQ$368,"",MATCH(377,Calc!$AQ$2:$AQ$367,1))</f>
        <v/>
      </c>
      <c r="R383">
        <f>IF(Q383="","",SMALL(INDEX(Calc!$B$2:$AO$367,Q383,0),378-INDEX(Calc!$AQ$2:$AQ$367,Q383)))</f>
        <v/>
      </c>
    </row>
    <row r="384">
      <c r="B384" s="64">
        <f>IF(R384="","",379)</f>
        <v/>
      </c>
      <c r="C384" s="37">
        <f>IF(R384="","",IF(INDEX('Recurring Schedule'!$C$6:$C$45,R384)="","",INDEX('Recurring Schedule'!$C$6:$C$45,R384)))</f>
        <v/>
      </c>
      <c r="D384" s="36">
        <f>IF(R384="","",IF(INDEX('Recurring Schedule'!$D$6:$D$45,R384)="","",INDEX('Recurring Schedule'!$D$6:$D$45,R384)))</f>
        <v/>
      </c>
      <c r="E384" s="38">
        <f>IF(Q384="","",INDEX(Calc!$A$2:$A$367,Q384))</f>
        <v/>
      </c>
      <c r="F384" s="68">
        <f>IF(OR(C384="",E384=""),"",E384-Setup!$D$7)</f>
        <v/>
      </c>
      <c r="G384" s="74">
        <f>IF(R384="","",IF(INDEX('Recurring Schedule'!$H$6:$H$45,R384)="","",INDEX('Recurring Schedule'!$H$6:$H$45,R384)))</f>
        <v/>
      </c>
      <c r="H384" s="74">
        <f>IF(R384="","",IF(INDEX('Recurring Schedule'!$I$6:$I$45,R384)="","",INDEX('Recurring Schedule'!$I$6:$I$45,R384)))</f>
        <v/>
      </c>
      <c r="I384" s="36">
        <f>IF(OR(G384="",H384=""),"",TRIM(IF(HOUR(H384-G384)&gt;0,HOUR(H384-G384)&amp;" hr ","")&amp;IF(MINUTE(H384-G384)&gt;0,MINUTE(H384-G384)&amp;" min","")))</f>
        <v/>
      </c>
      <c r="J384" s="66" t="n"/>
      <c r="K384" s="70" t="n"/>
      <c r="L384" s="36">
        <f>IF(R384="","",IF(INDEX('Recurring Schedule'!$J$6:$J$45,R384)="","",INDEX('Recurring Schedule'!$J$6:$J$45,R384)))</f>
        <v/>
      </c>
      <c r="M384" s="36">
        <f>IF(R384="","",IF(INDEX('Recurring Schedule'!$K$6:$K$45,R384)="","",INDEX('Recurring Schedule'!$K$6:$K$45,R384)))</f>
        <v/>
      </c>
      <c r="N384" s="36">
        <f>IF(R384="","",IF(INDEX('Recurring Schedule'!$L$6:$L$45,R384)="","",INDEX('Recurring Schedule'!$L$6:$L$45,R384)))</f>
        <v/>
      </c>
      <c r="O384" s="36">
        <f>IF(C384="","",IF(AND(OR(L384="1-Urgent",L384="2-High"),M384="✓"),"DO FIRST",IF(M384="✓","SCHEDULE",IF(OR(L384="1-Urgent",L384="2-High"),"DELEGATE","DELETE"))))</f>
        <v/>
      </c>
      <c r="P384" s="65" t="n"/>
      <c r="Q384">
        <f>IF(379&gt;Calc!$AQ$368,"",MATCH(378,Calc!$AQ$2:$AQ$367,1))</f>
        <v/>
      </c>
      <c r="R384">
        <f>IF(Q384="","",SMALL(INDEX(Calc!$B$2:$AO$367,Q384,0),379-INDEX(Calc!$AQ$2:$AQ$367,Q384)))</f>
        <v/>
      </c>
    </row>
    <row r="385">
      <c r="B385" s="71">
        <f>IF(R385="","",380)</f>
        <v/>
      </c>
      <c r="C385" s="75">
        <f>IF(R385="","",IF(INDEX('Recurring Schedule'!$C$6:$C$45,R385)="","",INDEX('Recurring Schedule'!$C$6:$C$45,R385)))</f>
        <v/>
      </c>
      <c r="D385" s="73">
        <f>IF(R385="","",IF(INDEX('Recurring Schedule'!$D$6:$D$45,R385)="","",INDEX('Recurring Schedule'!$D$6:$D$45,R385)))</f>
        <v/>
      </c>
      <c r="E385" s="76">
        <f>IF(Q385="","",INDEX(Calc!$A$2:$A$367,Q385))</f>
        <v/>
      </c>
      <c r="F385" s="72">
        <f>IF(OR(C385="",E385=""),"",E385-Setup!$D$7)</f>
        <v/>
      </c>
      <c r="G385" s="77">
        <f>IF(R385="","",IF(INDEX('Recurring Schedule'!$H$6:$H$45,R385)="","",INDEX('Recurring Schedule'!$H$6:$H$45,R385)))</f>
        <v/>
      </c>
      <c r="H385" s="77">
        <f>IF(R385="","",IF(INDEX('Recurring Schedule'!$I$6:$I$45,R385)="","",INDEX('Recurring Schedule'!$I$6:$I$45,R385)))</f>
        <v/>
      </c>
      <c r="I385" s="73">
        <f>IF(OR(G385="",H385=""),"",TRIM(IF(HOUR(H385-G385)&gt;0,HOUR(H385-G385)&amp;" hr ","")&amp;IF(MINUTE(H385-G385)&gt;0,MINUTE(H385-G385)&amp;" min","")))</f>
        <v/>
      </c>
      <c r="J385" s="66" t="n"/>
      <c r="K385" s="70" t="n"/>
      <c r="L385" s="73">
        <f>IF(R385="","",IF(INDEX('Recurring Schedule'!$J$6:$J$45,R385)="","",INDEX('Recurring Schedule'!$J$6:$J$45,R385)))</f>
        <v/>
      </c>
      <c r="M385" s="73">
        <f>IF(R385="","",IF(INDEX('Recurring Schedule'!$K$6:$K$45,R385)="","",INDEX('Recurring Schedule'!$K$6:$K$45,R385)))</f>
        <v/>
      </c>
      <c r="N385" s="73">
        <f>IF(R385="","",IF(INDEX('Recurring Schedule'!$L$6:$L$45,R385)="","",INDEX('Recurring Schedule'!$L$6:$L$45,R385)))</f>
        <v/>
      </c>
      <c r="O385" s="73">
        <f>IF(C385="","",IF(AND(OR(L385="1-Urgent",L385="2-High"),M385="✓"),"DO FIRST",IF(M385="✓","SCHEDULE",IF(OR(L385="1-Urgent",L385="2-High"),"DELEGATE","DELETE"))))</f>
        <v/>
      </c>
      <c r="P385" s="65" t="n"/>
      <c r="Q385">
        <f>IF(380&gt;Calc!$AQ$368,"",MATCH(379,Calc!$AQ$2:$AQ$367,1))</f>
        <v/>
      </c>
      <c r="R385">
        <f>IF(Q385="","",SMALL(INDEX(Calc!$B$2:$AO$367,Q385,0),380-INDEX(Calc!$AQ$2:$AQ$367,Q385)))</f>
        <v/>
      </c>
    </row>
    <row r="386">
      <c r="B386" s="64">
        <f>IF(R386="","",381)</f>
        <v/>
      </c>
      <c r="C386" s="37">
        <f>IF(R386="","",IF(INDEX('Recurring Schedule'!$C$6:$C$45,R386)="","",INDEX('Recurring Schedule'!$C$6:$C$45,R386)))</f>
        <v/>
      </c>
      <c r="D386" s="36">
        <f>IF(R386="","",IF(INDEX('Recurring Schedule'!$D$6:$D$45,R386)="","",INDEX('Recurring Schedule'!$D$6:$D$45,R386)))</f>
        <v/>
      </c>
      <c r="E386" s="38">
        <f>IF(Q386="","",INDEX(Calc!$A$2:$A$367,Q386))</f>
        <v/>
      </c>
      <c r="F386" s="68">
        <f>IF(OR(C386="",E386=""),"",E386-Setup!$D$7)</f>
        <v/>
      </c>
      <c r="G386" s="74">
        <f>IF(R386="","",IF(INDEX('Recurring Schedule'!$H$6:$H$45,R386)="","",INDEX('Recurring Schedule'!$H$6:$H$45,R386)))</f>
        <v/>
      </c>
      <c r="H386" s="74">
        <f>IF(R386="","",IF(INDEX('Recurring Schedule'!$I$6:$I$45,R386)="","",INDEX('Recurring Schedule'!$I$6:$I$45,R386)))</f>
        <v/>
      </c>
      <c r="I386" s="36">
        <f>IF(OR(G386="",H386=""),"",TRIM(IF(HOUR(H386-G386)&gt;0,HOUR(H386-G386)&amp;" hr ","")&amp;IF(MINUTE(H386-G386)&gt;0,MINUTE(H386-G386)&amp;" min","")))</f>
        <v/>
      </c>
      <c r="J386" s="66" t="n"/>
      <c r="K386" s="70" t="n"/>
      <c r="L386" s="36">
        <f>IF(R386="","",IF(INDEX('Recurring Schedule'!$J$6:$J$45,R386)="","",INDEX('Recurring Schedule'!$J$6:$J$45,R386)))</f>
        <v/>
      </c>
      <c r="M386" s="36">
        <f>IF(R386="","",IF(INDEX('Recurring Schedule'!$K$6:$K$45,R386)="","",INDEX('Recurring Schedule'!$K$6:$K$45,R386)))</f>
        <v/>
      </c>
      <c r="N386" s="36">
        <f>IF(R386="","",IF(INDEX('Recurring Schedule'!$L$6:$L$45,R386)="","",INDEX('Recurring Schedule'!$L$6:$L$45,R386)))</f>
        <v/>
      </c>
      <c r="O386" s="36">
        <f>IF(C386="","",IF(AND(OR(L386="1-Urgent",L386="2-High"),M386="✓"),"DO FIRST",IF(M386="✓","SCHEDULE",IF(OR(L386="1-Urgent",L386="2-High"),"DELEGATE","DELETE"))))</f>
        <v/>
      </c>
      <c r="P386" s="65" t="n"/>
      <c r="Q386">
        <f>IF(381&gt;Calc!$AQ$368,"",MATCH(380,Calc!$AQ$2:$AQ$367,1))</f>
        <v/>
      </c>
      <c r="R386">
        <f>IF(Q386="","",SMALL(INDEX(Calc!$B$2:$AO$367,Q386,0),381-INDEX(Calc!$AQ$2:$AQ$367,Q386)))</f>
        <v/>
      </c>
    </row>
    <row r="387">
      <c r="B387" s="71">
        <f>IF(R387="","",382)</f>
        <v/>
      </c>
      <c r="C387" s="75">
        <f>IF(R387="","",IF(INDEX('Recurring Schedule'!$C$6:$C$45,R387)="","",INDEX('Recurring Schedule'!$C$6:$C$45,R387)))</f>
        <v/>
      </c>
      <c r="D387" s="73">
        <f>IF(R387="","",IF(INDEX('Recurring Schedule'!$D$6:$D$45,R387)="","",INDEX('Recurring Schedule'!$D$6:$D$45,R387)))</f>
        <v/>
      </c>
      <c r="E387" s="76">
        <f>IF(Q387="","",INDEX(Calc!$A$2:$A$367,Q387))</f>
        <v/>
      </c>
      <c r="F387" s="72">
        <f>IF(OR(C387="",E387=""),"",E387-Setup!$D$7)</f>
        <v/>
      </c>
      <c r="G387" s="77">
        <f>IF(R387="","",IF(INDEX('Recurring Schedule'!$H$6:$H$45,R387)="","",INDEX('Recurring Schedule'!$H$6:$H$45,R387)))</f>
        <v/>
      </c>
      <c r="H387" s="77">
        <f>IF(R387="","",IF(INDEX('Recurring Schedule'!$I$6:$I$45,R387)="","",INDEX('Recurring Schedule'!$I$6:$I$45,R387)))</f>
        <v/>
      </c>
      <c r="I387" s="73">
        <f>IF(OR(G387="",H387=""),"",TRIM(IF(HOUR(H387-G387)&gt;0,HOUR(H387-G387)&amp;" hr ","")&amp;IF(MINUTE(H387-G387)&gt;0,MINUTE(H387-G387)&amp;" min","")))</f>
        <v/>
      </c>
      <c r="J387" s="66" t="n"/>
      <c r="K387" s="70" t="n"/>
      <c r="L387" s="73">
        <f>IF(R387="","",IF(INDEX('Recurring Schedule'!$J$6:$J$45,R387)="","",INDEX('Recurring Schedule'!$J$6:$J$45,R387)))</f>
        <v/>
      </c>
      <c r="M387" s="73">
        <f>IF(R387="","",IF(INDEX('Recurring Schedule'!$K$6:$K$45,R387)="","",INDEX('Recurring Schedule'!$K$6:$K$45,R387)))</f>
        <v/>
      </c>
      <c r="N387" s="73">
        <f>IF(R387="","",IF(INDEX('Recurring Schedule'!$L$6:$L$45,R387)="","",INDEX('Recurring Schedule'!$L$6:$L$45,R387)))</f>
        <v/>
      </c>
      <c r="O387" s="73">
        <f>IF(C387="","",IF(AND(OR(L387="1-Urgent",L387="2-High"),M387="✓"),"DO FIRST",IF(M387="✓","SCHEDULE",IF(OR(L387="1-Urgent",L387="2-High"),"DELEGATE","DELETE"))))</f>
        <v/>
      </c>
      <c r="P387" s="65" t="n"/>
      <c r="Q387">
        <f>IF(382&gt;Calc!$AQ$368,"",MATCH(381,Calc!$AQ$2:$AQ$367,1))</f>
        <v/>
      </c>
      <c r="R387">
        <f>IF(Q387="","",SMALL(INDEX(Calc!$B$2:$AO$367,Q387,0),382-INDEX(Calc!$AQ$2:$AQ$367,Q387)))</f>
        <v/>
      </c>
    </row>
    <row r="388">
      <c r="B388" s="64">
        <f>IF(R388="","",383)</f>
        <v/>
      </c>
      <c r="C388" s="37">
        <f>IF(R388="","",IF(INDEX('Recurring Schedule'!$C$6:$C$45,R388)="","",INDEX('Recurring Schedule'!$C$6:$C$45,R388)))</f>
        <v/>
      </c>
      <c r="D388" s="36">
        <f>IF(R388="","",IF(INDEX('Recurring Schedule'!$D$6:$D$45,R388)="","",INDEX('Recurring Schedule'!$D$6:$D$45,R388)))</f>
        <v/>
      </c>
      <c r="E388" s="38">
        <f>IF(Q388="","",INDEX(Calc!$A$2:$A$367,Q388))</f>
        <v/>
      </c>
      <c r="F388" s="68">
        <f>IF(OR(C388="",E388=""),"",E388-Setup!$D$7)</f>
        <v/>
      </c>
      <c r="G388" s="74">
        <f>IF(R388="","",IF(INDEX('Recurring Schedule'!$H$6:$H$45,R388)="","",INDEX('Recurring Schedule'!$H$6:$H$45,R388)))</f>
        <v/>
      </c>
      <c r="H388" s="74">
        <f>IF(R388="","",IF(INDEX('Recurring Schedule'!$I$6:$I$45,R388)="","",INDEX('Recurring Schedule'!$I$6:$I$45,R388)))</f>
        <v/>
      </c>
      <c r="I388" s="36">
        <f>IF(OR(G388="",H388=""),"",TRIM(IF(HOUR(H388-G388)&gt;0,HOUR(H388-G388)&amp;" hr ","")&amp;IF(MINUTE(H388-G388)&gt;0,MINUTE(H388-G388)&amp;" min","")))</f>
        <v/>
      </c>
      <c r="J388" s="66" t="n"/>
      <c r="K388" s="70" t="n"/>
      <c r="L388" s="36">
        <f>IF(R388="","",IF(INDEX('Recurring Schedule'!$J$6:$J$45,R388)="","",INDEX('Recurring Schedule'!$J$6:$J$45,R388)))</f>
        <v/>
      </c>
      <c r="M388" s="36">
        <f>IF(R388="","",IF(INDEX('Recurring Schedule'!$K$6:$K$45,R388)="","",INDEX('Recurring Schedule'!$K$6:$K$45,R388)))</f>
        <v/>
      </c>
      <c r="N388" s="36">
        <f>IF(R388="","",IF(INDEX('Recurring Schedule'!$L$6:$L$45,R388)="","",INDEX('Recurring Schedule'!$L$6:$L$45,R388)))</f>
        <v/>
      </c>
      <c r="O388" s="36">
        <f>IF(C388="","",IF(AND(OR(L388="1-Urgent",L388="2-High"),M388="✓"),"DO FIRST",IF(M388="✓","SCHEDULE",IF(OR(L388="1-Urgent",L388="2-High"),"DELEGATE","DELETE"))))</f>
        <v/>
      </c>
      <c r="P388" s="65" t="n"/>
      <c r="Q388">
        <f>IF(383&gt;Calc!$AQ$368,"",MATCH(382,Calc!$AQ$2:$AQ$367,1))</f>
        <v/>
      </c>
      <c r="R388">
        <f>IF(Q388="","",SMALL(INDEX(Calc!$B$2:$AO$367,Q388,0),383-INDEX(Calc!$AQ$2:$AQ$367,Q388)))</f>
        <v/>
      </c>
    </row>
    <row r="389">
      <c r="B389" s="71">
        <f>IF(R389="","",384)</f>
        <v/>
      </c>
      <c r="C389" s="75">
        <f>IF(R389="","",IF(INDEX('Recurring Schedule'!$C$6:$C$45,R389)="","",INDEX('Recurring Schedule'!$C$6:$C$45,R389)))</f>
        <v/>
      </c>
      <c r="D389" s="73">
        <f>IF(R389="","",IF(INDEX('Recurring Schedule'!$D$6:$D$45,R389)="","",INDEX('Recurring Schedule'!$D$6:$D$45,R389)))</f>
        <v/>
      </c>
      <c r="E389" s="76">
        <f>IF(Q389="","",INDEX(Calc!$A$2:$A$367,Q389))</f>
        <v/>
      </c>
      <c r="F389" s="72">
        <f>IF(OR(C389="",E389=""),"",E389-Setup!$D$7)</f>
        <v/>
      </c>
      <c r="G389" s="77">
        <f>IF(R389="","",IF(INDEX('Recurring Schedule'!$H$6:$H$45,R389)="","",INDEX('Recurring Schedule'!$H$6:$H$45,R389)))</f>
        <v/>
      </c>
      <c r="H389" s="77">
        <f>IF(R389="","",IF(INDEX('Recurring Schedule'!$I$6:$I$45,R389)="","",INDEX('Recurring Schedule'!$I$6:$I$45,R389)))</f>
        <v/>
      </c>
      <c r="I389" s="73">
        <f>IF(OR(G389="",H389=""),"",TRIM(IF(HOUR(H389-G389)&gt;0,HOUR(H389-G389)&amp;" hr ","")&amp;IF(MINUTE(H389-G389)&gt;0,MINUTE(H389-G389)&amp;" min","")))</f>
        <v/>
      </c>
      <c r="J389" s="66" t="n"/>
      <c r="K389" s="70" t="n"/>
      <c r="L389" s="73">
        <f>IF(R389="","",IF(INDEX('Recurring Schedule'!$J$6:$J$45,R389)="","",INDEX('Recurring Schedule'!$J$6:$J$45,R389)))</f>
        <v/>
      </c>
      <c r="M389" s="73">
        <f>IF(R389="","",IF(INDEX('Recurring Schedule'!$K$6:$K$45,R389)="","",INDEX('Recurring Schedule'!$K$6:$K$45,R389)))</f>
        <v/>
      </c>
      <c r="N389" s="73">
        <f>IF(R389="","",IF(INDEX('Recurring Schedule'!$L$6:$L$45,R389)="","",INDEX('Recurring Schedule'!$L$6:$L$45,R389)))</f>
        <v/>
      </c>
      <c r="O389" s="73">
        <f>IF(C389="","",IF(AND(OR(L389="1-Urgent",L389="2-High"),M389="✓"),"DO FIRST",IF(M389="✓","SCHEDULE",IF(OR(L389="1-Urgent",L389="2-High"),"DELEGATE","DELETE"))))</f>
        <v/>
      </c>
      <c r="P389" s="65" t="n"/>
      <c r="Q389">
        <f>IF(384&gt;Calc!$AQ$368,"",MATCH(383,Calc!$AQ$2:$AQ$367,1))</f>
        <v/>
      </c>
      <c r="R389">
        <f>IF(Q389="","",SMALL(INDEX(Calc!$B$2:$AO$367,Q389,0),384-INDEX(Calc!$AQ$2:$AQ$367,Q389)))</f>
        <v/>
      </c>
    </row>
    <row r="390">
      <c r="B390" s="64">
        <f>IF(R390="","",385)</f>
        <v/>
      </c>
      <c r="C390" s="37">
        <f>IF(R390="","",IF(INDEX('Recurring Schedule'!$C$6:$C$45,R390)="","",INDEX('Recurring Schedule'!$C$6:$C$45,R390)))</f>
        <v/>
      </c>
      <c r="D390" s="36">
        <f>IF(R390="","",IF(INDEX('Recurring Schedule'!$D$6:$D$45,R390)="","",INDEX('Recurring Schedule'!$D$6:$D$45,R390)))</f>
        <v/>
      </c>
      <c r="E390" s="38">
        <f>IF(Q390="","",INDEX(Calc!$A$2:$A$367,Q390))</f>
        <v/>
      </c>
      <c r="F390" s="68">
        <f>IF(OR(C390="",E390=""),"",E390-Setup!$D$7)</f>
        <v/>
      </c>
      <c r="G390" s="74">
        <f>IF(R390="","",IF(INDEX('Recurring Schedule'!$H$6:$H$45,R390)="","",INDEX('Recurring Schedule'!$H$6:$H$45,R390)))</f>
        <v/>
      </c>
      <c r="H390" s="74">
        <f>IF(R390="","",IF(INDEX('Recurring Schedule'!$I$6:$I$45,R390)="","",INDEX('Recurring Schedule'!$I$6:$I$45,R390)))</f>
        <v/>
      </c>
      <c r="I390" s="36">
        <f>IF(OR(G390="",H390=""),"",TRIM(IF(HOUR(H390-G390)&gt;0,HOUR(H390-G390)&amp;" hr ","")&amp;IF(MINUTE(H390-G390)&gt;0,MINUTE(H390-G390)&amp;" min","")))</f>
        <v/>
      </c>
      <c r="J390" s="66" t="n"/>
      <c r="K390" s="70" t="n"/>
      <c r="L390" s="36">
        <f>IF(R390="","",IF(INDEX('Recurring Schedule'!$J$6:$J$45,R390)="","",INDEX('Recurring Schedule'!$J$6:$J$45,R390)))</f>
        <v/>
      </c>
      <c r="M390" s="36">
        <f>IF(R390="","",IF(INDEX('Recurring Schedule'!$K$6:$K$45,R390)="","",INDEX('Recurring Schedule'!$K$6:$K$45,R390)))</f>
        <v/>
      </c>
      <c r="N390" s="36">
        <f>IF(R390="","",IF(INDEX('Recurring Schedule'!$L$6:$L$45,R390)="","",INDEX('Recurring Schedule'!$L$6:$L$45,R390)))</f>
        <v/>
      </c>
      <c r="O390" s="36">
        <f>IF(C390="","",IF(AND(OR(L390="1-Urgent",L390="2-High"),M390="✓"),"DO FIRST",IF(M390="✓","SCHEDULE",IF(OR(L390="1-Urgent",L390="2-High"),"DELEGATE","DELETE"))))</f>
        <v/>
      </c>
      <c r="P390" s="65" t="n"/>
      <c r="Q390">
        <f>IF(385&gt;Calc!$AQ$368,"",MATCH(384,Calc!$AQ$2:$AQ$367,1))</f>
        <v/>
      </c>
      <c r="R390">
        <f>IF(Q390="","",SMALL(INDEX(Calc!$B$2:$AO$367,Q390,0),385-INDEX(Calc!$AQ$2:$AQ$367,Q390)))</f>
        <v/>
      </c>
    </row>
    <row r="391">
      <c r="B391" s="71">
        <f>IF(R391="","",386)</f>
        <v/>
      </c>
      <c r="C391" s="75">
        <f>IF(R391="","",IF(INDEX('Recurring Schedule'!$C$6:$C$45,R391)="","",INDEX('Recurring Schedule'!$C$6:$C$45,R391)))</f>
        <v/>
      </c>
      <c r="D391" s="73">
        <f>IF(R391="","",IF(INDEX('Recurring Schedule'!$D$6:$D$45,R391)="","",INDEX('Recurring Schedule'!$D$6:$D$45,R391)))</f>
        <v/>
      </c>
      <c r="E391" s="76">
        <f>IF(Q391="","",INDEX(Calc!$A$2:$A$367,Q391))</f>
        <v/>
      </c>
      <c r="F391" s="72">
        <f>IF(OR(C391="",E391=""),"",E391-Setup!$D$7)</f>
        <v/>
      </c>
      <c r="G391" s="77">
        <f>IF(R391="","",IF(INDEX('Recurring Schedule'!$H$6:$H$45,R391)="","",INDEX('Recurring Schedule'!$H$6:$H$45,R391)))</f>
        <v/>
      </c>
      <c r="H391" s="77">
        <f>IF(R391="","",IF(INDEX('Recurring Schedule'!$I$6:$I$45,R391)="","",INDEX('Recurring Schedule'!$I$6:$I$45,R391)))</f>
        <v/>
      </c>
      <c r="I391" s="73">
        <f>IF(OR(G391="",H391=""),"",TRIM(IF(HOUR(H391-G391)&gt;0,HOUR(H391-G391)&amp;" hr ","")&amp;IF(MINUTE(H391-G391)&gt;0,MINUTE(H391-G391)&amp;" min","")))</f>
        <v/>
      </c>
      <c r="J391" s="66" t="n"/>
      <c r="K391" s="70" t="n"/>
      <c r="L391" s="73">
        <f>IF(R391="","",IF(INDEX('Recurring Schedule'!$J$6:$J$45,R391)="","",INDEX('Recurring Schedule'!$J$6:$J$45,R391)))</f>
        <v/>
      </c>
      <c r="M391" s="73">
        <f>IF(R391="","",IF(INDEX('Recurring Schedule'!$K$6:$K$45,R391)="","",INDEX('Recurring Schedule'!$K$6:$K$45,R391)))</f>
        <v/>
      </c>
      <c r="N391" s="73">
        <f>IF(R391="","",IF(INDEX('Recurring Schedule'!$L$6:$L$45,R391)="","",INDEX('Recurring Schedule'!$L$6:$L$45,R391)))</f>
        <v/>
      </c>
      <c r="O391" s="73">
        <f>IF(C391="","",IF(AND(OR(L391="1-Urgent",L391="2-High"),M391="✓"),"DO FIRST",IF(M391="✓","SCHEDULE",IF(OR(L391="1-Urgent",L391="2-High"),"DELEGATE","DELETE"))))</f>
        <v/>
      </c>
      <c r="P391" s="65" t="n"/>
      <c r="Q391">
        <f>IF(386&gt;Calc!$AQ$368,"",MATCH(385,Calc!$AQ$2:$AQ$367,1))</f>
        <v/>
      </c>
      <c r="R391">
        <f>IF(Q391="","",SMALL(INDEX(Calc!$B$2:$AO$367,Q391,0),386-INDEX(Calc!$AQ$2:$AQ$367,Q391)))</f>
        <v/>
      </c>
    </row>
    <row r="392">
      <c r="B392" s="64">
        <f>IF(R392="","",387)</f>
        <v/>
      </c>
      <c r="C392" s="37">
        <f>IF(R392="","",IF(INDEX('Recurring Schedule'!$C$6:$C$45,R392)="","",INDEX('Recurring Schedule'!$C$6:$C$45,R392)))</f>
        <v/>
      </c>
      <c r="D392" s="36">
        <f>IF(R392="","",IF(INDEX('Recurring Schedule'!$D$6:$D$45,R392)="","",INDEX('Recurring Schedule'!$D$6:$D$45,R392)))</f>
        <v/>
      </c>
      <c r="E392" s="38">
        <f>IF(Q392="","",INDEX(Calc!$A$2:$A$367,Q392))</f>
        <v/>
      </c>
      <c r="F392" s="68">
        <f>IF(OR(C392="",E392=""),"",E392-Setup!$D$7)</f>
        <v/>
      </c>
      <c r="G392" s="74">
        <f>IF(R392="","",IF(INDEX('Recurring Schedule'!$H$6:$H$45,R392)="","",INDEX('Recurring Schedule'!$H$6:$H$45,R392)))</f>
        <v/>
      </c>
      <c r="H392" s="74">
        <f>IF(R392="","",IF(INDEX('Recurring Schedule'!$I$6:$I$45,R392)="","",INDEX('Recurring Schedule'!$I$6:$I$45,R392)))</f>
        <v/>
      </c>
      <c r="I392" s="36">
        <f>IF(OR(G392="",H392=""),"",TRIM(IF(HOUR(H392-G392)&gt;0,HOUR(H392-G392)&amp;" hr ","")&amp;IF(MINUTE(H392-G392)&gt;0,MINUTE(H392-G392)&amp;" min","")))</f>
        <v/>
      </c>
      <c r="J392" s="66" t="n"/>
      <c r="K392" s="70" t="n"/>
      <c r="L392" s="36">
        <f>IF(R392="","",IF(INDEX('Recurring Schedule'!$J$6:$J$45,R392)="","",INDEX('Recurring Schedule'!$J$6:$J$45,R392)))</f>
        <v/>
      </c>
      <c r="M392" s="36">
        <f>IF(R392="","",IF(INDEX('Recurring Schedule'!$K$6:$K$45,R392)="","",INDEX('Recurring Schedule'!$K$6:$K$45,R392)))</f>
        <v/>
      </c>
      <c r="N392" s="36">
        <f>IF(R392="","",IF(INDEX('Recurring Schedule'!$L$6:$L$45,R392)="","",INDEX('Recurring Schedule'!$L$6:$L$45,R392)))</f>
        <v/>
      </c>
      <c r="O392" s="36">
        <f>IF(C392="","",IF(AND(OR(L392="1-Urgent",L392="2-High"),M392="✓"),"DO FIRST",IF(M392="✓","SCHEDULE",IF(OR(L392="1-Urgent",L392="2-High"),"DELEGATE","DELETE"))))</f>
        <v/>
      </c>
      <c r="P392" s="65" t="n"/>
      <c r="Q392">
        <f>IF(387&gt;Calc!$AQ$368,"",MATCH(386,Calc!$AQ$2:$AQ$367,1))</f>
        <v/>
      </c>
      <c r="R392">
        <f>IF(Q392="","",SMALL(INDEX(Calc!$B$2:$AO$367,Q392,0),387-INDEX(Calc!$AQ$2:$AQ$367,Q392)))</f>
        <v/>
      </c>
    </row>
    <row r="393">
      <c r="B393" s="71">
        <f>IF(R393="","",388)</f>
        <v/>
      </c>
      <c r="C393" s="75">
        <f>IF(R393="","",IF(INDEX('Recurring Schedule'!$C$6:$C$45,R393)="","",INDEX('Recurring Schedule'!$C$6:$C$45,R393)))</f>
        <v/>
      </c>
      <c r="D393" s="73">
        <f>IF(R393="","",IF(INDEX('Recurring Schedule'!$D$6:$D$45,R393)="","",INDEX('Recurring Schedule'!$D$6:$D$45,R393)))</f>
        <v/>
      </c>
      <c r="E393" s="76">
        <f>IF(Q393="","",INDEX(Calc!$A$2:$A$367,Q393))</f>
        <v/>
      </c>
      <c r="F393" s="72">
        <f>IF(OR(C393="",E393=""),"",E393-Setup!$D$7)</f>
        <v/>
      </c>
      <c r="G393" s="77">
        <f>IF(R393="","",IF(INDEX('Recurring Schedule'!$H$6:$H$45,R393)="","",INDEX('Recurring Schedule'!$H$6:$H$45,R393)))</f>
        <v/>
      </c>
      <c r="H393" s="77">
        <f>IF(R393="","",IF(INDEX('Recurring Schedule'!$I$6:$I$45,R393)="","",INDEX('Recurring Schedule'!$I$6:$I$45,R393)))</f>
        <v/>
      </c>
      <c r="I393" s="73">
        <f>IF(OR(G393="",H393=""),"",TRIM(IF(HOUR(H393-G393)&gt;0,HOUR(H393-G393)&amp;" hr ","")&amp;IF(MINUTE(H393-G393)&gt;0,MINUTE(H393-G393)&amp;" min","")))</f>
        <v/>
      </c>
      <c r="J393" s="66" t="n"/>
      <c r="K393" s="70" t="n"/>
      <c r="L393" s="73">
        <f>IF(R393="","",IF(INDEX('Recurring Schedule'!$J$6:$J$45,R393)="","",INDEX('Recurring Schedule'!$J$6:$J$45,R393)))</f>
        <v/>
      </c>
      <c r="M393" s="73">
        <f>IF(R393="","",IF(INDEX('Recurring Schedule'!$K$6:$K$45,R393)="","",INDEX('Recurring Schedule'!$K$6:$K$45,R393)))</f>
        <v/>
      </c>
      <c r="N393" s="73">
        <f>IF(R393="","",IF(INDEX('Recurring Schedule'!$L$6:$L$45,R393)="","",INDEX('Recurring Schedule'!$L$6:$L$45,R393)))</f>
        <v/>
      </c>
      <c r="O393" s="73">
        <f>IF(C393="","",IF(AND(OR(L393="1-Urgent",L393="2-High"),M393="✓"),"DO FIRST",IF(M393="✓","SCHEDULE",IF(OR(L393="1-Urgent",L393="2-High"),"DELEGATE","DELETE"))))</f>
        <v/>
      </c>
      <c r="P393" s="65" t="n"/>
      <c r="Q393">
        <f>IF(388&gt;Calc!$AQ$368,"",MATCH(387,Calc!$AQ$2:$AQ$367,1))</f>
        <v/>
      </c>
      <c r="R393">
        <f>IF(Q393="","",SMALL(INDEX(Calc!$B$2:$AO$367,Q393,0),388-INDEX(Calc!$AQ$2:$AQ$367,Q393)))</f>
        <v/>
      </c>
    </row>
    <row r="394">
      <c r="B394" s="64">
        <f>IF(R394="","",389)</f>
        <v/>
      </c>
      <c r="C394" s="37">
        <f>IF(R394="","",IF(INDEX('Recurring Schedule'!$C$6:$C$45,R394)="","",INDEX('Recurring Schedule'!$C$6:$C$45,R394)))</f>
        <v/>
      </c>
      <c r="D394" s="36">
        <f>IF(R394="","",IF(INDEX('Recurring Schedule'!$D$6:$D$45,R394)="","",INDEX('Recurring Schedule'!$D$6:$D$45,R394)))</f>
        <v/>
      </c>
      <c r="E394" s="38">
        <f>IF(Q394="","",INDEX(Calc!$A$2:$A$367,Q394))</f>
        <v/>
      </c>
      <c r="F394" s="68">
        <f>IF(OR(C394="",E394=""),"",E394-Setup!$D$7)</f>
        <v/>
      </c>
      <c r="G394" s="74">
        <f>IF(R394="","",IF(INDEX('Recurring Schedule'!$H$6:$H$45,R394)="","",INDEX('Recurring Schedule'!$H$6:$H$45,R394)))</f>
        <v/>
      </c>
      <c r="H394" s="74">
        <f>IF(R394="","",IF(INDEX('Recurring Schedule'!$I$6:$I$45,R394)="","",INDEX('Recurring Schedule'!$I$6:$I$45,R394)))</f>
        <v/>
      </c>
      <c r="I394" s="36">
        <f>IF(OR(G394="",H394=""),"",TRIM(IF(HOUR(H394-G394)&gt;0,HOUR(H394-G394)&amp;" hr ","")&amp;IF(MINUTE(H394-G394)&gt;0,MINUTE(H394-G394)&amp;" min","")))</f>
        <v/>
      </c>
      <c r="J394" s="66" t="n"/>
      <c r="K394" s="70" t="n"/>
      <c r="L394" s="36">
        <f>IF(R394="","",IF(INDEX('Recurring Schedule'!$J$6:$J$45,R394)="","",INDEX('Recurring Schedule'!$J$6:$J$45,R394)))</f>
        <v/>
      </c>
      <c r="M394" s="36">
        <f>IF(R394="","",IF(INDEX('Recurring Schedule'!$K$6:$K$45,R394)="","",INDEX('Recurring Schedule'!$K$6:$K$45,R394)))</f>
        <v/>
      </c>
      <c r="N394" s="36">
        <f>IF(R394="","",IF(INDEX('Recurring Schedule'!$L$6:$L$45,R394)="","",INDEX('Recurring Schedule'!$L$6:$L$45,R394)))</f>
        <v/>
      </c>
      <c r="O394" s="36">
        <f>IF(C394="","",IF(AND(OR(L394="1-Urgent",L394="2-High"),M394="✓"),"DO FIRST",IF(M394="✓","SCHEDULE",IF(OR(L394="1-Urgent",L394="2-High"),"DELEGATE","DELETE"))))</f>
        <v/>
      </c>
      <c r="P394" s="65" t="n"/>
      <c r="Q394">
        <f>IF(389&gt;Calc!$AQ$368,"",MATCH(388,Calc!$AQ$2:$AQ$367,1))</f>
        <v/>
      </c>
      <c r="R394">
        <f>IF(Q394="","",SMALL(INDEX(Calc!$B$2:$AO$367,Q394,0),389-INDEX(Calc!$AQ$2:$AQ$367,Q394)))</f>
        <v/>
      </c>
    </row>
    <row r="395">
      <c r="B395" s="71">
        <f>IF(R395="","",390)</f>
        <v/>
      </c>
      <c r="C395" s="75">
        <f>IF(R395="","",IF(INDEX('Recurring Schedule'!$C$6:$C$45,R395)="","",INDEX('Recurring Schedule'!$C$6:$C$45,R395)))</f>
        <v/>
      </c>
      <c r="D395" s="73">
        <f>IF(R395="","",IF(INDEX('Recurring Schedule'!$D$6:$D$45,R395)="","",INDEX('Recurring Schedule'!$D$6:$D$45,R395)))</f>
        <v/>
      </c>
      <c r="E395" s="76">
        <f>IF(Q395="","",INDEX(Calc!$A$2:$A$367,Q395))</f>
        <v/>
      </c>
      <c r="F395" s="72">
        <f>IF(OR(C395="",E395=""),"",E395-Setup!$D$7)</f>
        <v/>
      </c>
      <c r="G395" s="77">
        <f>IF(R395="","",IF(INDEX('Recurring Schedule'!$H$6:$H$45,R395)="","",INDEX('Recurring Schedule'!$H$6:$H$45,R395)))</f>
        <v/>
      </c>
      <c r="H395" s="77">
        <f>IF(R395="","",IF(INDEX('Recurring Schedule'!$I$6:$I$45,R395)="","",INDEX('Recurring Schedule'!$I$6:$I$45,R395)))</f>
        <v/>
      </c>
      <c r="I395" s="73">
        <f>IF(OR(G395="",H395=""),"",TRIM(IF(HOUR(H395-G395)&gt;0,HOUR(H395-G395)&amp;" hr ","")&amp;IF(MINUTE(H395-G395)&gt;0,MINUTE(H395-G395)&amp;" min","")))</f>
        <v/>
      </c>
      <c r="J395" s="66" t="n"/>
      <c r="K395" s="70" t="n"/>
      <c r="L395" s="73">
        <f>IF(R395="","",IF(INDEX('Recurring Schedule'!$J$6:$J$45,R395)="","",INDEX('Recurring Schedule'!$J$6:$J$45,R395)))</f>
        <v/>
      </c>
      <c r="M395" s="73">
        <f>IF(R395="","",IF(INDEX('Recurring Schedule'!$K$6:$K$45,R395)="","",INDEX('Recurring Schedule'!$K$6:$K$45,R395)))</f>
        <v/>
      </c>
      <c r="N395" s="73">
        <f>IF(R395="","",IF(INDEX('Recurring Schedule'!$L$6:$L$45,R395)="","",INDEX('Recurring Schedule'!$L$6:$L$45,R395)))</f>
        <v/>
      </c>
      <c r="O395" s="73">
        <f>IF(C395="","",IF(AND(OR(L395="1-Urgent",L395="2-High"),M395="✓"),"DO FIRST",IF(M395="✓","SCHEDULE",IF(OR(L395="1-Urgent",L395="2-High"),"DELEGATE","DELETE"))))</f>
        <v/>
      </c>
      <c r="P395" s="65" t="n"/>
      <c r="Q395">
        <f>IF(390&gt;Calc!$AQ$368,"",MATCH(389,Calc!$AQ$2:$AQ$367,1))</f>
        <v/>
      </c>
      <c r="R395">
        <f>IF(Q395="","",SMALL(INDEX(Calc!$B$2:$AO$367,Q395,0),390-INDEX(Calc!$AQ$2:$AQ$367,Q395)))</f>
        <v/>
      </c>
    </row>
    <row r="396">
      <c r="B396" s="64">
        <f>IF(R396="","",391)</f>
        <v/>
      </c>
      <c r="C396" s="37">
        <f>IF(R396="","",IF(INDEX('Recurring Schedule'!$C$6:$C$45,R396)="","",INDEX('Recurring Schedule'!$C$6:$C$45,R396)))</f>
        <v/>
      </c>
      <c r="D396" s="36">
        <f>IF(R396="","",IF(INDEX('Recurring Schedule'!$D$6:$D$45,R396)="","",INDEX('Recurring Schedule'!$D$6:$D$45,R396)))</f>
        <v/>
      </c>
      <c r="E396" s="38">
        <f>IF(Q396="","",INDEX(Calc!$A$2:$A$367,Q396))</f>
        <v/>
      </c>
      <c r="F396" s="68">
        <f>IF(OR(C396="",E396=""),"",E396-Setup!$D$7)</f>
        <v/>
      </c>
      <c r="G396" s="74">
        <f>IF(R396="","",IF(INDEX('Recurring Schedule'!$H$6:$H$45,R396)="","",INDEX('Recurring Schedule'!$H$6:$H$45,R396)))</f>
        <v/>
      </c>
      <c r="H396" s="74">
        <f>IF(R396="","",IF(INDEX('Recurring Schedule'!$I$6:$I$45,R396)="","",INDEX('Recurring Schedule'!$I$6:$I$45,R396)))</f>
        <v/>
      </c>
      <c r="I396" s="36">
        <f>IF(OR(G396="",H396=""),"",TRIM(IF(HOUR(H396-G396)&gt;0,HOUR(H396-G396)&amp;" hr ","")&amp;IF(MINUTE(H396-G396)&gt;0,MINUTE(H396-G396)&amp;" min","")))</f>
        <v/>
      </c>
      <c r="J396" s="66" t="n"/>
      <c r="K396" s="70" t="n"/>
      <c r="L396" s="36">
        <f>IF(R396="","",IF(INDEX('Recurring Schedule'!$J$6:$J$45,R396)="","",INDEX('Recurring Schedule'!$J$6:$J$45,R396)))</f>
        <v/>
      </c>
      <c r="M396" s="36">
        <f>IF(R396="","",IF(INDEX('Recurring Schedule'!$K$6:$K$45,R396)="","",INDEX('Recurring Schedule'!$K$6:$K$45,R396)))</f>
        <v/>
      </c>
      <c r="N396" s="36">
        <f>IF(R396="","",IF(INDEX('Recurring Schedule'!$L$6:$L$45,R396)="","",INDEX('Recurring Schedule'!$L$6:$L$45,R396)))</f>
        <v/>
      </c>
      <c r="O396" s="36">
        <f>IF(C396="","",IF(AND(OR(L396="1-Urgent",L396="2-High"),M396="✓"),"DO FIRST",IF(M396="✓","SCHEDULE",IF(OR(L396="1-Urgent",L396="2-High"),"DELEGATE","DELETE"))))</f>
        <v/>
      </c>
      <c r="P396" s="65" t="n"/>
      <c r="Q396">
        <f>IF(391&gt;Calc!$AQ$368,"",MATCH(390,Calc!$AQ$2:$AQ$367,1))</f>
        <v/>
      </c>
      <c r="R396">
        <f>IF(Q396="","",SMALL(INDEX(Calc!$B$2:$AO$367,Q396,0),391-INDEX(Calc!$AQ$2:$AQ$367,Q396)))</f>
        <v/>
      </c>
    </row>
    <row r="397">
      <c r="B397" s="71">
        <f>IF(R397="","",392)</f>
        <v/>
      </c>
      <c r="C397" s="75">
        <f>IF(R397="","",IF(INDEX('Recurring Schedule'!$C$6:$C$45,R397)="","",INDEX('Recurring Schedule'!$C$6:$C$45,R397)))</f>
        <v/>
      </c>
      <c r="D397" s="73">
        <f>IF(R397="","",IF(INDEX('Recurring Schedule'!$D$6:$D$45,R397)="","",INDEX('Recurring Schedule'!$D$6:$D$45,R397)))</f>
        <v/>
      </c>
      <c r="E397" s="76">
        <f>IF(Q397="","",INDEX(Calc!$A$2:$A$367,Q397))</f>
        <v/>
      </c>
      <c r="F397" s="72">
        <f>IF(OR(C397="",E397=""),"",E397-Setup!$D$7)</f>
        <v/>
      </c>
      <c r="G397" s="77">
        <f>IF(R397="","",IF(INDEX('Recurring Schedule'!$H$6:$H$45,R397)="","",INDEX('Recurring Schedule'!$H$6:$H$45,R397)))</f>
        <v/>
      </c>
      <c r="H397" s="77">
        <f>IF(R397="","",IF(INDEX('Recurring Schedule'!$I$6:$I$45,R397)="","",INDEX('Recurring Schedule'!$I$6:$I$45,R397)))</f>
        <v/>
      </c>
      <c r="I397" s="73">
        <f>IF(OR(G397="",H397=""),"",TRIM(IF(HOUR(H397-G397)&gt;0,HOUR(H397-G397)&amp;" hr ","")&amp;IF(MINUTE(H397-G397)&gt;0,MINUTE(H397-G397)&amp;" min","")))</f>
        <v/>
      </c>
      <c r="J397" s="66" t="n"/>
      <c r="K397" s="70" t="n"/>
      <c r="L397" s="73">
        <f>IF(R397="","",IF(INDEX('Recurring Schedule'!$J$6:$J$45,R397)="","",INDEX('Recurring Schedule'!$J$6:$J$45,R397)))</f>
        <v/>
      </c>
      <c r="M397" s="73">
        <f>IF(R397="","",IF(INDEX('Recurring Schedule'!$K$6:$K$45,R397)="","",INDEX('Recurring Schedule'!$K$6:$K$45,R397)))</f>
        <v/>
      </c>
      <c r="N397" s="73">
        <f>IF(R397="","",IF(INDEX('Recurring Schedule'!$L$6:$L$45,R397)="","",INDEX('Recurring Schedule'!$L$6:$L$45,R397)))</f>
        <v/>
      </c>
      <c r="O397" s="73">
        <f>IF(C397="","",IF(AND(OR(L397="1-Urgent",L397="2-High"),M397="✓"),"DO FIRST",IF(M397="✓","SCHEDULE",IF(OR(L397="1-Urgent",L397="2-High"),"DELEGATE","DELETE"))))</f>
        <v/>
      </c>
      <c r="P397" s="65" t="n"/>
      <c r="Q397">
        <f>IF(392&gt;Calc!$AQ$368,"",MATCH(391,Calc!$AQ$2:$AQ$367,1))</f>
        <v/>
      </c>
      <c r="R397">
        <f>IF(Q397="","",SMALL(INDEX(Calc!$B$2:$AO$367,Q397,0),392-INDEX(Calc!$AQ$2:$AQ$367,Q397)))</f>
        <v/>
      </c>
    </row>
    <row r="398">
      <c r="B398" s="64">
        <f>IF(R398="","",393)</f>
        <v/>
      </c>
      <c r="C398" s="37">
        <f>IF(R398="","",IF(INDEX('Recurring Schedule'!$C$6:$C$45,R398)="","",INDEX('Recurring Schedule'!$C$6:$C$45,R398)))</f>
        <v/>
      </c>
      <c r="D398" s="36">
        <f>IF(R398="","",IF(INDEX('Recurring Schedule'!$D$6:$D$45,R398)="","",INDEX('Recurring Schedule'!$D$6:$D$45,R398)))</f>
        <v/>
      </c>
      <c r="E398" s="38">
        <f>IF(Q398="","",INDEX(Calc!$A$2:$A$367,Q398))</f>
        <v/>
      </c>
      <c r="F398" s="68">
        <f>IF(OR(C398="",E398=""),"",E398-Setup!$D$7)</f>
        <v/>
      </c>
      <c r="G398" s="74">
        <f>IF(R398="","",IF(INDEX('Recurring Schedule'!$H$6:$H$45,R398)="","",INDEX('Recurring Schedule'!$H$6:$H$45,R398)))</f>
        <v/>
      </c>
      <c r="H398" s="74">
        <f>IF(R398="","",IF(INDEX('Recurring Schedule'!$I$6:$I$45,R398)="","",INDEX('Recurring Schedule'!$I$6:$I$45,R398)))</f>
        <v/>
      </c>
      <c r="I398" s="36">
        <f>IF(OR(G398="",H398=""),"",TRIM(IF(HOUR(H398-G398)&gt;0,HOUR(H398-G398)&amp;" hr ","")&amp;IF(MINUTE(H398-G398)&gt;0,MINUTE(H398-G398)&amp;" min","")))</f>
        <v/>
      </c>
      <c r="J398" s="66" t="n"/>
      <c r="K398" s="70" t="n"/>
      <c r="L398" s="36">
        <f>IF(R398="","",IF(INDEX('Recurring Schedule'!$J$6:$J$45,R398)="","",INDEX('Recurring Schedule'!$J$6:$J$45,R398)))</f>
        <v/>
      </c>
      <c r="M398" s="36">
        <f>IF(R398="","",IF(INDEX('Recurring Schedule'!$K$6:$K$45,R398)="","",INDEX('Recurring Schedule'!$K$6:$K$45,R398)))</f>
        <v/>
      </c>
      <c r="N398" s="36">
        <f>IF(R398="","",IF(INDEX('Recurring Schedule'!$L$6:$L$45,R398)="","",INDEX('Recurring Schedule'!$L$6:$L$45,R398)))</f>
        <v/>
      </c>
      <c r="O398" s="36">
        <f>IF(C398="","",IF(AND(OR(L398="1-Urgent",L398="2-High"),M398="✓"),"DO FIRST",IF(M398="✓","SCHEDULE",IF(OR(L398="1-Urgent",L398="2-High"),"DELEGATE","DELETE"))))</f>
        <v/>
      </c>
      <c r="P398" s="65" t="n"/>
      <c r="Q398">
        <f>IF(393&gt;Calc!$AQ$368,"",MATCH(392,Calc!$AQ$2:$AQ$367,1))</f>
        <v/>
      </c>
      <c r="R398">
        <f>IF(Q398="","",SMALL(INDEX(Calc!$B$2:$AO$367,Q398,0),393-INDEX(Calc!$AQ$2:$AQ$367,Q398)))</f>
        <v/>
      </c>
    </row>
    <row r="399">
      <c r="B399" s="71">
        <f>IF(R399="","",394)</f>
        <v/>
      </c>
      <c r="C399" s="75">
        <f>IF(R399="","",IF(INDEX('Recurring Schedule'!$C$6:$C$45,R399)="","",INDEX('Recurring Schedule'!$C$6:$C$45,R399)))</f>
        <v/>
      </c>
      <c r="D399" s="73">
        <f>IF(R399="","",IF(INDEX('Recurring Schedule'!$D$6:$D$45,R399)="","",INDEX('Recurring Schedule'!$D$6:$D$45,R399)))</f>
        <v/>
      </c>
      <c r="E399" s="76">
        <f>IF(Q399="","",INDEX(Calc!$A$2:$A$367,Q399))</f>
        <v/>
      </c>
      <c r="F399" s="72">
        <f>IF(OR(C399="",E399=""),"",E399-Setup!$D$7)</f>
        <v/>
      </c>
      <c r="G399" s="77">
        <f>IF(R399="","",IF(INDEX('Recurring Schedule'!$H$6:$H$45,R399)="","",INDEX('Recurring Schedule'!$H$6:$H$45,R399)))</f>
        <v/>
      </c>
      <c r="H399" s="77">
        <f>IF(R399="","",IF(INDEX('Recurring Schedule'!$I$6:$I$45,R399)="","",INDEX('Recurring Schedule'!$I$6:$I$45,R399)))</f>
        <v/>
      </c>
      <c r="I399" s="73">
        <f>IF(OR(G399="",H399=""),"",TRIM(IF(HOUR(H399-G399)&gt;0,HOUR(H399-G399)&amp;" hr ","")&amp;IF(MINUTE(H399-G399)&gt;0,MINUTE(H399-G399)&amp;" min","")))</f>
        <v/>
      </c>
      <c r="J399" s="66" t="n"/>
      <c r="K399" s="70" t="n"/>
      <c r="L399" s="73">
        <f>IF(R399="","",IF(INDEX('Recurring Schedule'!$J$6:$J$45,R399)="","",INDEX('Recurring Schedule'!$J$6:$J$45,R399)))</f>
        <v/>
      </c>
      <c r="M399" s="73">
        <f>IF(R399="","",IF(INDEX('Recurring Schedule'!$K$6:$K$45,R399)="","",INDEX('Recurring Schedule'!$K$6:$K$45,R399)))</f>
        <v/>
      </c>
      <c r="N399" s="73">
        <f>IF(R399="","",IF(INDEX('Recurring Schedule'!$L$6:$L$45,R399)="","",INDEX('Recurring Schedule'!$L$6:$L$45,R399)))</f>
        <v/>
      </c>
      <c r="O399" s="73">
        <f>IF(C399="","",IF(AND(OR(L399="1-Urgent",L399="2-High"),M399="✓"),"DO FIRST",IF(M399="✓","SCHEDULE",IF(OR(L399="1-Urgent",L399="2-High"),"DELEGATE","DELETE"))))</f>
        <v/>
      </c>
      <c r="P399" s="65" t="n"/>
      <c r="Q399">
        <f>IF(394&gt;Calc!$AQ$368,"",MATCH(393,Calc!$AQ$2:$AQ$367,1))</f>
        <v/>
      </c>
      <c r="R399">
        <f>IF(Q399="","",SMALL(INDEX(Calc!$B$2:$AO$367,Q399,0),394-INDEX(Calc!$AQ$2:$AQ$367,Q399)))</f>
        <v/>
      </c>
    </row>
    <row r="400">
      <c r="B400" s="64">
        <f>IF(R400="","",395)</f>
        <v/>
      </c>
      <c r="C400" s="37">
        <f>IF(R400="","",IF(INDEX('Recurring Schedule'!$C$6:$C$45,R400)="","",INDEX('Recurring Schedule'!$C$6:$C$45,R400)))</f>
        <v/>
      </c>
      <c r="D400" s="36">
        <f>IF(R400="","",IF(INDEX('Recurring Schedule'!$D$6:$D$45,R400)="","",INDEX('Recurring Schedule'!$D$6:$D$45,R400)))</f>
        <v/>
      </c>
      <c r="E400" s="38">
        <f>IF(Q400="","",INDEX(Calc!$A$2:$A$367,Q400))</f>
        <v/>
      </c>
      <c r="F400" s="68">
        <f>IF(OR(C400="",E400=""),"",E400-Setup!$D$7)</f>
        <v/>
      </c>
      <c r="G400" s="74">
        <f>IF(R400="","",IF(INDEX('Recurring Schedule'!$H$6:$H$45,R400)="","",INDEX('Recurring Schedule'!$H$6:$H$45,R400)))</f>
        <v/>
      </c>
      <c r="H400" s="74">
        <f>IF(R400="","",IF(INDEX('Recurring Schedule'!$I$6:$I$45,R400)="","",INDEX('Recurring Schedule'!$I$6:$I$45,R400)))</f>
        <v/>
      </c>
      <c r="I400" s="36">
        <f>IF(OR(G400="",H400=""),"",TRIM(IF(HOUR(H400-G400)&gt;0,HOUR(H400-G400)&amp;" hr ","")&amp;IF(MINUTE(H400-G400)&gt;0,MINUTE(H400-G400)&amp;" min","")))</f>
        <v/>
      </c>
      <c r="J400" s="66" t="n"/>
      <c r="K400" s="70" t="n"/>
      <c r="L400" s="36">
        <f>IF(R400="","",IF(INDEX('Recurring Schedule'!$J$6:$J$45,R400)="","",INDEX('Recurring Schedule'!$J$6:$J$45,R400)))</f>
        <v/>
      </c>
      <c r="M400" s="36">
        <f>IF(R400="","",IF(INDEX('Recurring Schedule'!$K$6:$K$45,R400)="","",INDEX('Recurring Schedule'!$K$6:$K$45,R400)))</f>
        <v/>
      </c>
      <c r="N400" s="36">
        <f>IF(R400="","",IF(INDEX('Recurring Schedule'!$L$6:$L$45,R400)="","",INDEX('Recurring Schedule'!$L$6:$L$45,R400)))</f>
        <v/>
      </c>
      <c r="O400" s="36">
        <f>IF(C400="","",IF(AND(OR(L400="1-Urgent",L400="2-High"),M400="✓"),"DO FIRST",IF(M400="✓","SCHEDULE",IF(OR(L400="1-Urgent",L400="2-High"),"DELEGATE","DELETE"))))</f>
        <v/>
      </c>
      <c r="P400" s="65" t="n"/>
      <c r="Q400">
        <f>IF(395&gt;Calc!$AQ$368,"",MATCH(394,Calc!$AQ$2:$AQ$367,1))</f>
        <v/>
      </c>
      <c r="R400">
        <f>IF(Q400="","",SMALL(INDEX(Calc!$B$2:$AO$367,Q400,0),395-INDEX(Calc!$AQ$2:$AQ$367,Q400)))</f>
        <v/>
      </c>
    </row>
    <row r="401">
      <c r="B401" s="71">
        <f>IF(R401="","",396)</f>
        <v/>
      </c>
      <c r="C401" s="75">
        <f>IF(R401="","",IF(INDEX('Recurring Schedule'!$C$6:$C$45,R401)="","",INDEX('Recurring Schedule'!$C$6:$C$45,R401)))</f>
        <v/>
      </c>
      <c r="D401" s="73">
        <f>IF(R401="","",IF(INDEX('Recurring Schedule'!$D$6:$D$45,R401)="","",INDEX('Recurring Schedule'!$D$6:$D$45,R401)))</f>
        <v/>
      </c>
      <c r="E401" s="76">
        <f>IF(Q401="","",INDEX(Calc!$A$2:$A$367,Q401))</f>
        <v/>
      </c>
      <c r="F401" s="72">
        <f>IF(OR(C401="",E401=""),"",E401-Setup!$D$7)</f>
        <v/>
      </c>
      <c r="G401" s="77">
        <f>IF(R401="","",IF(INDEX('Recurring Schedule'!$H$6:$H$45,R401)="","",INDEX('Recurring Schedule'!$H$6:$H$45,R401)))</f>
        <v/>
      </c>
      <c r="H401" s="77">
        <f>IF(R401="","",IF(INDEX('Recurring Schedule'!$I$6:$I$45,R401)="","",INDEX('Recurring Schedule'!$I$6:$I$45,R401)))</f>
        <v/>
      </c>
      <c r="I401" s="73">
        <f>IF(OR(G401="",H401=""),"",TRIM(IF(HOUR(H401-G401)&gt;0,HOUR(H401-G401)&amp;" hr ","")&amp;IF(MINUTE(H401-G401)&gt;0,MINUTE(H401-G401)&amp;" min","")))</f>
        <v/>
      </c>
      <c r="J401" s="66" t="n"/>
      <c r="K401" s="70" t="n"/>
      <c r="L401" s="73">
        <f>IF(R401="","",IF(INDEX('Recurring Schedule'!$J$6:$J$45,R401)="","",INDEX('Recurring Schedule'!$J$6:$J$45,R401)))</f>
        <v/>
      </c>
      <c r="M401" s="73">
        <f>IF(R401="","",IF(INDEX('Recurring Schedule'!$K$6:$K$45,R401)="","",INDEX('Recurring Schedule'!$K$6:$K$45,R401)))</f>
        <v/>
      </c>
      <c r="N401" s="73">
        <f>IF(R401="","",IF(INDEX('Recurring Schedule'!$L$6:$L$45,R401)="","",INDEX('Recurring Schedule'!$L$6:$L$45,R401)))</f>
        <v/>
      </c>
      <c r="O401" s="73">
        <f>IF(C401="","",IF(AND(OR(L401="1-Urgent",L401="2-High"),M401="✓"),"DO FIRST",IF(M401="✓","SCHEDULE",IF(OR(L401="1-Urgent",L401="2-High"),"DELEGATE","DELETE"))))</f>
        <v/>
      </c>
      <c r="P401" s="65" t="n"/>
      <c r="Q401">
        <f>IF(396&gt;Calc!$AQ$368,"",MATCH(395,Calc!$AQ$2:$AQ$367,1))</f>
        <v/>
      </c>
      <c r="R401">
        <f>IF(Q401="","",SMALL(INDEX(Calc!$B$2:$AO$367,Q401,0),396-INDEX(Calc!$AQ$2:$AQ$367,Q401)))</f>
        <v/>
      </c>
    </row>
    <row r="402">
      <c r="B402" s="64">
        <f>IF(R402="","",397)</f>
        <v/>
      </c>
      <c r="C402" s="37">
        <f>IF(R402="","",IF(INDEX('Recurring Schedule'!$C$6:$C$45,R402)="","",INDEX('Recurring Schedule'!$C$6:$C$45,R402)))</f>
        <v/>
      </c>
      <c r="D402" s="36">
        <f>IF(R402="","",IF(INDEX('Recurring Schedule'!$D$6:$D$45,R402)="","",INDEX('Recurring Schedule'!$D$6:$D$45,R402)))</f>
        <v/>
      </c>
      <c r="E402" s="38">
        <f>IF(Q402="","",INDEX(Calc!$A$2:$A$367,Q402))</f>
        <v/>
      </c>
      <c r="F402" s="68">
        <f>IF(OR(C402="",E402=""),"",E402-Setup!$D$7)</f>
        <v/>
      </c>
      <c r="G402" s="74">
        <f>IF(R402="","",IF(INDEX('Recurring Schedule'!$H$6:$H$45,R402)="","",INDEX('Recurring Schedule'!$H$6:$H$45,R402)))</f>
        <v/>
      </c>
      <c r="H402" s="74">
        <f>IF(R402="","",IF(INDEX('Recurring Schedule'!$I$6:$I$45,R402)="","",INDEX('Recurring Schedule'!$I$6:$I$45,R402)))</f>
        <v/>
      </c>
      <c r="I402" s="36">
        <f>IF(OR(G402="",H402=""),"",TRIM(IF(HOUR(H402-G402)&gt;0,HOUR(H402-G402)&amp;" hr ","")&amp;IF(MINUTE(H402-G402)&gt;0,MINUTE(H402-G402)&amp;" min","")))</f>
        <v/>
      </c>
      <c r="J402" s="66" t="n"/>
      <c r="K402" s="70" t="n"/>
      <c r="L402" s="36">
        <f>IF(R402="","",IF(INDEX('Recurring Schedule'!$J$6:$J$45,R402)="","",INDEX('Recurring Schedule'!$J$6:$J$45,R402)))</f>
        <v/>
      </c>
      <c r="M402" s="36">
        <f>IF(R402="","",IF(INDEX('Recurring Schedule'!$K$6:$K$45,R402)="","",INDEX('Recurring Schedule'!$K$6:$K$45,R402)))</f>
        <v/>
      </c>
      <c r="N402" s="36">
        <f>IF(R402="","",IF(INDEX('Recurring Schedule'!$L$6:$L$45,R402)="","",INDEX('Recurring Schedule'!$L$6:$L$45,R402)))</f>
        <v/>
      </c>
      <c r="O402" s="36">
        <f>IF(C402="","",IF(AND(OR(L402="1-Urgent",L402="2-High"),M402="✓"),"DO FIRST",IF(M402="✓","SCHEDULE",IF(OR(L402="1-Urgent",L402="2-High"),"DELEGATE","DELETE"))))</f>
        <v/>
      </c>
      <c r="P402" s="65" t="n"/>
      <c r="Q402">
        <f>IF(397&gt;Calc!$AQ$368,"",MATCH(396,Calc!$AQ$2:$AQ$367,1))</f>
        <v/>
      </c>
      <c r="R402">
        <f>IF(Q402="","",SMALL(INDEX(Calc!$B$2:$AO$367,Q402,0),397-INDEX(Calc!$AQ$2:$AQ$367,Q402)))</f>
        <v/>
      </c>
    </row>
    <row r="403">
      <c r="B403" s="71">
        <f>IF(R403="","",398)</f>
        <v/>
      </c>
      <c r="C403" s="75">
        <f>IF(R403="","",IF(INDEX('Recurring Schedule'!$C$6:$C$45,R403)="","",INDEX('Recurring Schedule'!$C$6:$C$45,R403)))</f>
        <v/>
      </c>
      <c r="D403" s="73">
        <f>IF(R403="","",IF(INDEX('Recurring Schedule'!$D$6:$D$45,R403)="","",INDEX('Recurring Schedule'!$D$6:$D$45,R403)))</f>
        <v/>
      </c>
      <c r="E403" s="76">
        <f>IF(Q403="","",INDEX(Calc!$A$2:$A$367,Q403))</f>
        <v/>
      </c>
      <c r="F403" s="72">
        <f>IF(OR(C403="",E403=""),"",E403-Setup!$D$7)</f>
        <v/>
      </c>
      <c r="G403" s="77">
        <f>IF(R403="","",IF(INDEX('Recurring Schedule'!$H$6:$H$45,R403)="","",INDEX('Recurring Schedule'!$H$6:$H$45,R403)))</f>
        <v/>
      </c>
      <c r="H403" s="77">
        <f>IF(R403="","",IF(INDEX('Recurring Schedule'!$I$6:$I$45,R403)="","",INDEX('Recurring Schedule'!$I$6:$I$45,R403)))</f>
        <v/>
      </c>
      <c r="I403" s="73">
        <f>IF(OR(G403="",H403=""),"",TRIM(IF(HOUR(H403-G403)&gt;0,HOUR(H403-G403)&amp;" hr ","")&amp;IF(MINUTE(H403-G403)&gt;0,MINUTE(H403-G403)&amp;" min","")))</f>
        <v/>
      </c>
      <c r="J403" s="66" t="n"/>
      <c r="K403" s="70" t="n"/>
      <c r="L403" s="73">
        <f>IF(R403="","",IF(INDEX('Recurring Schedule'!$J$6:$J$45,R403)="","",INDEX('Recurring Schedule'!$J$6:$J$45,R403)))</f>
        <v/>
      </c>
      <c r="M403" s="73">
        <f>IF(R403="","",IF(INDEX('Recurring Schedule'!$K$6:$K$45,R403)="","",INDEX('Recurring Schedule'!$K$6:$K$45,R403)))</f>
        <v/>
      </c>
      <c r="N403" s="73">
        <f>IF(R403="","",IF(INDEX('Recurring Schedule'!$L$6:$L$45,R403)="","",INDEX('Recurring Schedule'!$L$6:$L$45,R403)))</f>
        <v/>
      </c>
      <c r="O403" s="73">
        <f>IF(C403="","",IF(AND(OR(L403="1-Urgent",L403="2-High"),M403="✓"),"DO FIRST",IF(M403="✓","SCHEDULE",IF(OR(L403="1-Urgent",L403="2-High"),"DELEGATE","DELETE"))))</f>
        <v/>
      </c>
      <c r="P403" s="65" t="n"/>
      <c r="Q403">
        <f>IF(398&gt;Calc!$AQ$368,"",MATCH(397,Calc!$AQ$2:$AQ$367,1))</f>
        <v/>
      </c>
      <c r="R403">
        <f>IF(Q403="","",SMALL(INDEX(Calc!$B$2:$AO$367,Q403,0),398-INDEX(Calc!$AQ$2:$AQ$367,Q403)))</f>
        <v/>
      </c>
    </row>
    <row r="404">
      <c r="B404" s="64">
        <f>IF(R404="","",399)</f>
        <v/>
      </c>
      <c r="C404" s="37">
        <f>IF(R404="","",IF(INDEX('Recurring Schedule'!$C$6:$C$45,R404)="","",INDEX('Recurring Schedule'!$C$6:$C$45,R404)))</f>
        <v/>
      </c>
      <c r="D404" s="36">
        <f>IF(R404="","",IF(INDEX('Recurring Schedule'!$D$6:$D$45,R404)="","",INDEX('Recurring Schedule'!$D$6:$D$45,R404)))</f>
        <v/>
      </c>
      <c r="E404" s="38">
        <f>IF(Q404="","",INDEX(Calc!$A$2:$A$367,Q404))</f>
        <v/>
      </c>
      <c r="F404" s="68">
        <f>IF(OR(C404="",E404=""),"",E404-Setup!$D$7)</f>
        <v/>
      </c>
      <c r="G404" s="74">
        <f>IF(R404="","",IF(INDEX('Recurring Schedule'!$H$6:$H$45,R404)="","",INDEX('Recurring Schedule'!$H$6:$H$45,R404)))</f>
        <v/>
      </c>
      <c r="H404" s="74">
        <f>IF(R404="","",IF(INDEX('Recurring Schedule'!$I$6:$I$45,R404)="","",INDEX('Recurring Schedule'!$I$6:$I$45,R404)))</f>
        <v/>
      </c>
      <c r="I404" s="36">
        <f>IF(OR(G404="",H404=""),"",TRIM(IF(HOUR(H404-G404)&gt;0,HOUR(H404-G404)&amp;" hr ","")&amp;IF(MINUTE(H404-G404)&gt;0,MINUTE(H404-G404)&amp;" min","")))</f>
        <v/>
      </c>
      <c r="J404" s="66" t="n"/>
      <c r="K404" s="70" t="n"/>
      <c r="L404" s="36">
        <f>IF(R404="","",IF(INDEX('Recurring Schedule'!$J$6:$J$45,R404)="","",INDEX('Recurring Schedule'!$J$6:$J$45,R404)))</f>
        <v/>
      </c>
      <c r="M404" s="36">
        <f>IF(R404="","",IF(INDEX('Recurring Schedule'!$K$6:$K$45,R404)="","",INDEX('Recurring Schedule'!$K$6:$K$45,R404)))</f>
        <v/>
      </c>
      <c r="N404" s="36">
        <f>IF(R404="","",IF(INDEX('Recurring Schedule'!$L$6:$L$45,R404)="","",INDEX('Recurring Schedule'!$L$6:$L$45,R404)))</f>
        <v/>
      </c>
      <c r="O404" s="36">
        <f>IF(C404="","",IF(AND(OR(L404="1-Urgent",L404="2-High"),M404="✓"),"DO FIRST",IF(M404="✓","SCHEDULE",IF(OR(L404="1-Urgent",L404="2-High"),"DELEGATE","DELETE"))))</f>
        <v/>
      </c>
      <c r="P404" s="65" t="n"/>
      <c r="Q404">
        <f>IF(399&gt;Calc!$AQ$368,"",MATCH(398,Calc!$AQ$2:$AQ$367,1))</f>
        <v/>
      </c>
      <c r="R404">
        <f>IF(Q404="","",SMALL(INDEX(Calc!$B$2:$AO$367,Q404,0),399-INDEX(Calc!$AQ$2:$AQ$367,Q404)))</f>
        <v/>
      </c>
    </row>
    <row r="405">
      <c r="B405" s="71">
        <f>IF(R405="","",400)</f>
        <v/>
      </c>
      <c r="C405" s="75">
        <f>IF(R405="","",IF(INDEX('Recurring Schedule'!$C$6:$C$45,R405)="","",INDEX('Recurring Schedule'!$C$6:$C$45,R405)))</f>
        <v/>
      </c>
      <c r="D405" s="73">
        <f>IF(R405="","",IF(INDEX('Recurring Schedule'!$D$6:$D$45,R405)="","",INDEX('Recurring Schedule'!$D$6:$D$45,R405)))</f>
        <v/>
      </c>
      <c r="E405" s="76">
        <f>IF(Q405="","",INDEX(Calc!$A$2:$A$367,Q405))</f>
        <v/>
      </c>
      <c r="F405" s="72">
        <f>IF(OR(C405="",E405=""),"",E405-Setup!$D$7)</f>
        <v/>
      </c>
      <c r="G405" s="77">
        <f>IF(R405="","",IF(INDEX('Recurring Schedule'!$H$6:$H$45,R405)="","",INDEX('Recurring Schedule'!$H$6:$H$45,R405)))</f>
        <v/>
      </c>
      <c r="H405" s="77">
        <f>IF(R405="","",IF(INDEX('Recurring Schedule'!$I$6:$I$45,R405)="","",INDEX('Recurring Schedule'!$I$6:$I$45,R405)))</f>
        <v/>
      </c>
      <c r="I405" s="73">
        <f>IF(OR(G405="",H405=""),"",TRIM(IF(HOUR(H405-G405)&gt;0,HOUR(H405-G405)&amp;" hr ","")&amp;IF(MINUTE(H405-G405)&gt;0,MINUTE(H405-G405)&amp;" min","")))</f>
        <v/>
      </c>
      <c r="J405" s="66" t="n"/>
      <c r="K405" s="70" t="n"/>
      <c r="L405" s="73">
        <f>IF(R405="","",IF(INDEX('Recurring Schedule'!$J$6:$J$45,R405)="","",INDEX('Recurring Schedule'!$J$6:$J$45,R405)))</f>
        <v/>
      </c>
      <c r="M405" s="73">
        <f>IF(R405="","",IF(INDEX('Recurring Schedule'!$K$6:$K$45,R405)="","",INDEX('Recurring Schedule'!$K$6:$K$45,R405)))</f>
        <v/>
      </c>
      <c r="N405" s="73">
        <f>IF(R405="","",IF(INDEX('Recurring Schedule'!$L$6:$L$45,R405)="","",INDEX('Recurring Schedule'!$L$6:$L$45,R405)))</f>
        <v/>
      </c>
      <c r="O405" s="73">
        <f>IF(C405="","",IF(AND(OR(L405="1-Urgent",L405="2-High"),M405="✓"),"DO FIRST",IF(M405="✓","SCHEDULE",IF(OR(L405="1-Urgent",L405="2-High"),"DELEGATE","DELETE"))))</f>
        <v/>
      </c>
      <c r="P405" s="65" t="n"/>
      <c r="Q405">
        <f>IF(400&gt;Calc!$AQ$368,"",MATCH(399,Calc!$AQ$2:$AQ$367,1))</f>
        <v/>
      </c>
      <c r="R405">
        <f>IF(Q405="","",SMALL(INDEX(Calc!$B$2:$AO$367,Q405,0),400-INDEX(Calc!$AQ$2:$AQ$367,Q405)))</f>
        <v/>
      </c>
    </row>
    <row r="406">
      <c r="B406" s="64">
        <f>IF(R406="","",401)</f>
        <v/>
      </c>
      <c r="C406" s="37">
        <f>IF(R406="","",IF(INDEX('Recurring Schedule'!$C$6:$C$45,R406)="","",INDEX('Recurring Schedule'!$C$6:$C$45,R406)))</f>
        <v/>
      </c>
      <c r="D406" s="36">
        <f>IF(R406="","",IF(INDEX('Recurring Schedule'!$D$6:$D$45,R406)="","",INDEX('Recurring Schedule'!$D$6:$D$45,R406)))</f>
        <v/>
      </c>
      <c r="E406" s="38">
        <f>IF(Q406="","",INDEX(Calc!$A$2:$A$367,Q406))</f>
        <v/>
      </c>
      <c r="F406" s="68">
        <f>IF(OR(C406="",E406=""),"",E406-Setup!$D$7)</f>
        <v/>
      </c>
      <c r="G406" s="74">
        <f>IF(R406="","",IF(INDEX('Recurring Schedule'!$H$6:$H$45,R406)="","",INDEX('Recurring Schedule'!$H$6:$H$45,R406)))</f>
        <v/>
      </c>
      <c r="H406" s="74">
        <f>IF(R406="","",IF(INDEX('Recurring Schedule'!$I$6:$I$45,R406)="","",INDEX('Recurring Schedule'!$I$6:$I$45,R406)))</f>
        <v/>
      </c>
      <c r="I406" s="36">
        <f>IF(OR(G406="",H406=""),"",TRIM(IF(HOUR(H406-G406)&gt;0,HOUR(H406-G406)&amp;" hr ","")&amp;IF(MINUTE(H406-G406)&gt;0,MINUTE(H406-G406)&amp;" min","")))</f>
        <v/>
      </c>
      <c r="J406" s="66" t="n"/>
      <c r="K406" s="70" t="n"/>
      <c r="L406" s="36">
        <f>IF(R406="","",IF(INDEX('Recurring Schedule'!$J$6:$J$45,R406)="","",INDEX('Recurring Schedule'!$J$6:$J$45,R406)))</f>
        <v/>
      </c>
      <c r="M406" s="36">
        <f>IF(R406="","",IF(INDEX('Recurring Schedule'!$K$6:$K$45,R406)="","",INDEX('Recurring Schedule'!$K$6:$K$45,R406)))</f>
        <v/>
      </c>
      <c r="N406" s="36">
        <f>IF(R406="","",IF(INDEX('Recurring Schedule'!$L$6:$L$45,R406)="","",INDEX('Recurring Schedule'!$L$6:$L$45,R406)))</f>
        <v/>
      </c>
      <c r="O406" s="36">
        <f>IF(C406="","",IF(AND(OR(L406="1-Urgent",L406="2-High"),M406="✓"),"DO FIRST",IF(M406="✓","SCHEDULE",IF(OR(L406="1-Urgent",L406="2-High"),"DELEGATE","DELETE"))))</f>
        <v/>
      </c>
      <c r="P406" s="65" t="n"/>
      <c r="Q406">
        <f>IF(401&gt;Calc!$AQ$368,"",MATCH(400,Calc!$AQ$2:$AQ$367,1))</f>
        <v/>
      </c>
      <c r="R406">
        <f>IF(Q406="","",SMALL(INDEX(Calc!$B$2:$AO$367,Q406,0),401-INDEX(Calc!$AQ$2:$AQ$367,Q406)))</f>
        <v/>
      </c>
    </row>
    <row r="407">
      <c r="B407" s="71">
        <f>IF(R407="","",402)</f>
        <v/>
      </c>
      <c r="C407" s="75">
        <f>IF(R407="","",IF(INDEX('Recurring Schedule'!$C$6:$C$45,R407)="","",INDEX('Recurring Schedule'!$C$6:$C$45,R407)))</f>
        <v/>
      </c>
      <c r="D407" s="73">
        <f>IF(R407="","",IF(INDEX('Recurring Schedule'!$D$6:$D$45,R407)="","",INDEX('Recurring Schedule'!$D$6:$D$45,R407)))</f>
        <v/>
      </c>
      <c r="E407" s="76">
        <f>IF(Q407="","",INDEX(Calc!$A$2:$A$367,Q407))</f>
        <v/>
      </c>
      <c r="F407" s="72">
        <f>IF(OR(C407="",E407=""),"",E407-Setup!$D$7)</f>
        <v/>
      </c>
      <c r="G407" s="77">
        <f>IF(R407="","",IF(INDEX('Recurring Schedule'!$H$6:$H$45,R407)="","",INDEX('Recurring Schedule'!$H$6:$H$45,R407)))</f>
        <v/>
      </c>
      <c r="H407" s="77">
        <f>IF(R407="","",IF(INDEX('Recurring Schedule'!$I$6:$I$45,R407)="","",INDEX('Recurring Schedule'!$I$6:$I$45,R407)))</f>
        <v/>
      </c>
      <c r="I407" s="73">
        <f>IF(OR(G407="",H407=""),"",TRIM(IF(HOUR(H407-G407)&gt;0,HOUR(H407-G407)&amp;" hr ","")&amp;IF(MINUTE(H407-G407)&gt;0,MINUTE(H407-G407)&amp;" min","")))</f>
        <v/>
      </c>
      <c r="J407" s="66" t="n"/>
      <c r="K407" s="70" t="n"/>
      <c r="L407" s="73">
        <f>IF(R407="","",IF(INDEX('Recurring Schedule'!$J$6:$J$45,R407)="","",INDEX('Recurring Schedule'!$J$6:$J$45,R407)))</f>
        <v/>
      </c>
      <c r="M407" s="73">
        <f>IF(R407="","",IF(INDEX('Recurring Schedule'!$K$6:$K$45,R407)="","",INDEX('Recurring Schedule'!$K$6:$K$45,R407)))</f>
        <v/>
      </c>
      <c r="N407" s="73">
        <f>IF(R407="","",IF(INDEX('Recurring Schedule'!$L$6:$L$45,R407)="","",INDEX('Recurring Schedule'!$L$6:$L$45,R407)))</f>
        <v/>
      </c>
      <c r="O407" s="73">
        <f>IF(C407="","",IF(AND(OR(L407="1-Urgent",L407="2-High"),M407="✓"),"DO FIRST",IF(M407="✓","SCHEDULE",IF(OR(L407="1-Urgent",L407="2-High"),"DELEGATE","DELETE"))))</f>
        <v/>
      </c>
      <c r="P407" s="65" t="n"/>
      <c r="Q407">
        <f>IF(402&gt;Calc!$AQ$368,"",MATCH(401,Calc!$AQ$2:$AQ$367,1))</f>
        <v/>
      </c>
      <c r="R407">
        <f>IF(Q407="","",SMALL(INDEX(Calc!$B$2:$AO$367,Q407,0),402-INDEX(Calc!$AQ$2:$AQ$367,Q407)))</f>
        <v/>
      </c>
    </row>
    <row r="408">
      <c r="B408" s="64">
        <f>IF(R408="","",403)</f>
        <v/>
      </c>
      <c r="C408" s="37">
        <f>IF(R408="","",IF(INDEX('Recurring Schedule'!$C$6:$C$45,R408)="","",INDEX('Recurring Schedule'!$C$6:$C$45,R408)))</f>
        <v/>
      </c>
      <c r="D408" s="36">
        <f>IF(R408="","",IF(INDEX('Recurring Schedule'!$D$6:$D$45,R408)="","",INDEX('Recurring Schedule'!$D$6:$D$45,R408)))</f>
        <v/>
      </c>
      <c r="E408" s="38">
        <f>IF(Q408="","",INDEX(Calc!$A$2:$A$367,Q408))</f>
        <v/>
      </c>
      <c r="F408" s="68">
        <f>IF(OR(C408="",E408=""),"",E408-Setup!$D$7)</f>
        <v/>
      </c>
      <c r="G408" s="74">
        <f>IF(R408="","",IF(INDEX('Recurring Schedule'!$H$6:$H$45,R408)="","",INDEX('Recurring Schedule'!$H$6:$H$45,R408)))</f>
        <v/>
      </c>
      <c r="H408" s="74">
        <f>IF(R408="","",IF(INDEX('Recurring Schedule'!$I$6:$I$45,R408)="","",INDEX('Recurring Schedule'!$I$6:$I$45,R408)))</f>
        <v/>
      </c>
      <c r="I408" s="36">
        <f>IF(OR(G408="",H408=""),"",TRIM(IF(HOUR(H408-G408)&gt;0,HOUR(H408-G408)&amp;" hr ","")&amp;IF(MINUTE(H408-G408)&gt;0,MINUTE(H408-G408)&amp;" min","")))</f>
        <v/>
      </c>
      <c r="J408" s="66" t="n"/>
      <c r="K408" s="70" t="n"/>
      <c r="L408" s="36">
        <f>IF(R408="","",IF(INDEX('Recurring Schedule'!$J$6:$J$45,R408)="","",INDEX('Recurring Schedule'!$J$6:$J$45,R408)))</f>
        <v/>
      </c>
      <c r="M408" s="36">
        <f>IF(R408="","",IF(INDEX('Recurring Schedule'!$K$6:$K$45,R408)="","",INDEX('Recurring Schedule'!$K$6:$K$45,R408)))</f>
        <v/>
      </c>
      <c r="N408" s="36">
        <f>IF(R408="","",IF(INDEX('Recurring Schedule'!$L$6:$L$45,R408)="","",INDEX('Recurring Schedule'!$L$6:$L$45,R408)))</f>
        <v/>
      </c>
      <c r="O408" s="36">
        <f>IF(C408="","",IF(AND(OR(L408="1-Urgent",L408="2-High"),M408="✓"),"DO FIRST",IF(M408="✓","SCHEDULE",IF(OR(L408="1-Urgent",L408="2-High"),"DELEGATE","DELETE"))))</f>
        <v/>
      </c>
      <c r="P408" s="65" t="n"/>
      <c r="Q408">
        <f>IF(403&gt;Calc!$AQ$368,"",MATCH(402,Calc!$AQ$2:$AQ$367,1))</f>
        <v/>
      </c>
      <c r="R408">
        <f>IF(Q408="","",SMALL(INDEX(Calc!$B$2:$AO$367,Q408,0),403-INDEX(Calc!$AQ$2:$AQ$367,Q408)))</f>
        <v/>
      </c>
    </row>
    <row r="409">
      <c r="B409" s="71">
        <f>IF(R409="","",404)</f>
        <v/>
      </c>
      <c r="C409" s="75">
        <f>IF(R409="","",IF(INDEX('Recurring Schedule'!$C$6:$C$45,R409)="","",INDEX('Recurring Schedule'!$C$6:$C$45,R409)))</f>
        <v/>
      </c>
      <c r="D409" s="73">
        <f>IF(R409="","",IF(INDEX('Recurring Schedule'!$D$6:$D$45,R409)="","",INDEX('Recurring Schedule'!$D$6:$D$45,R409)))</f>
        <v/>
      </c>
      <c r="E409" s="76">
        <f>IF(Q409="","",INDEX(Calc!$A$2:$A$367,Q409))</f>
        <v/>
      </c>
      <c r="F409" s="72">
        <f>IF(OR(C409="",E409=""),"",E409-Setup!$D$7)</f>
        <v/>
      </c>
      <c r="G409" s="77">
        <f>IF(R409="","",IF(INDEX('Recurring Schedule'!$H$6:$H$45,R409)="","",INDEX('Recurring Schedule'!$H$6:$H$45,R409)))</f>
        <v/>
      </c>
      <c r="H409" s="77">
        <f>IF(R409="","",IF(INDEX('Recurring Schedule'!$I$6:$I$45,R409)="","",INDEX('Recurring Schedule'!$I$6:$I$45,R409)))</f>
        <v/>
      </c>
      <c r="I409" s="73">
        <f>IF(OR(G409="",H409=""),"",TRIM(IF(HOUR(H409-G409)&gt;0,HOUR(H409-G409)&amp;" hr ","")&amp;IF(MINUTE(H409-G409)&gt;0,MINUTE(H409-G409)&amp;" min","")))</f>
        <v/>
      </c>
      <c r="J409" s="66" t="n"/>
      <c r="K409" s="70" t="n"/>
      <c r="L409" s="73">
        <f>IF(R409="","",IF(INDEX('Recurring Schedule'!$J$6:$J$45,R409)="","",INDEX('Recurring Schedule'!$J$6:$J$45,R409)))</f>
        <v/>
      </c>
      <c r="M409" s="73">
        <f>IF(R409="","",IF(INDEX('Recurring Schedule'!$K$6:$K$45,R409)="","",INDEX('Recurring Schedule'!$K$6:$K$45,R409)))</f>
        <v/>
      </c>
      <c r="N409" s="73">
        <f>IF(R409="","",IF(INDEX('Recurring Schedule'!$L$6:$L$45,R409)="","",INDEX('Recurring Schedule'!$L$6:$L$45,R409)))</f>
        <v/>
      </c>
      <c r="O409" s="73">
        <f>IF(C409="","",IF(AND(OR(L409="1-Urgent",L409="2-High"),M409="✓"),"DO FIRST",IF(M409="✓","SCHEDULE",IF(OR(L409="1-Urgent",L409="2-High"),"DELEGATE","DELETE"))))</f>
        <v/>
      </c>
      <c r="P409" s="65" t="n"/>
      <c r="Q409">
        <f>IF(404&gt;Calc!$AQ$368,"",MATCH(403,Calc!$AQ$2:$AQ$367,1))</f>
        <v/>
      </c>
      <c r="R409">
        <f>IF(Q409="","",SMALL(INDEX(Calc!$B$2:$AO$367,Q409,0),404-INDEX(Calc!$AQ$2:$AQ$367,Q409)))</f>
        <v/>
      </c>
    </row>
    <row r="410">
      <c r="B410" s="64">
        <f>IF(R410="","",405)</f>
        <v/>
      </c>
      <c r="C410" s="37">
        <f>IF(R410="","",IF(INDEX('Recurring Schedule'!$C$6:$C$45,R410)="","",INDEX('Recurring Schedule'!$C$6:$C$45,R410)))</f>
        <v/>
      </c>
      <c r="D410" s="36">
        <f>IF(R410="","",IF(INDEX('Recurring Schedule'!$D$6:$D$45,R410)="","",INDEX('Recurring Schedule'!$D$6:$D$45,R410)))</f>
        <v/>
      </c>
      <c r="E410" s="38">
        <f>IF(Q410="","",INDEX(Calc!$A$2:$A$367,Q410))</f>
        <v/>
      </c>
      <c r="F410" s="68">
        <f>IF(OR(C410="",E410=""),"",E410-Setup!$D$7)</f>
        <v/>
      </c>
      <c r="G410" s="74">
        <f>IF(R410="","",IF(INDEX('Recurring Schedule'!$H$6:$H$45,R410)="","",INDEX('Recurring Schedule'!$H$6:$H$45,R410)))</f>
        <v/>
      </c>
      <c r="H410" s="74">
        <f>IF(R410="","",IF(INDEX('Recurring Schedule'!$I$6:$I$45,R410)="","",INDEX('Recurring Schedule'!$I$6:$I$45,R410)))</f>
        <v/>
      </c>
      <c r="I410" s="36">
        <f>IF(OR(G410="",H410=""),"",TRIM(IF(HOUR(H410-G410)&gt;0,HOUR(H410-G410)&amp;" hr ","")&amp;IF(MINUTE(H410-G410)&gt;0,MINUTE(H410-G410)&amp;" min","")))</f>
        <v/>
      </c>
      <c r="J410" s="66" t="n"/>
      <c r="K410" s="70" t="n"/>
      <c r="L410" s="36">
        <f>IF(R410="","",IF(INDEX('Recurring Schedule'!$J$6:$J$45,R410)="","",INDEX('Recurring Schedule'!$J$6:$J$45,R410)))</f>
        <v/>
      </c>
      <c r="M410" s="36">
        <f>IF(R410="","",IF(INDEX('Recurring Schedule'!$K$6:$K$45,R410)="","",INDEX('Recurring Schedule'!$K$6:$K$45,R410)))</f>
        <v/>
      </c>
      <c r="N410" s="36">
        <f>IF(R410="","",IF(INDEX('Recurring Schedule'!$L$6:$L$45,R410)="","",INDEX('Recurring Schedule'!$L$6:$L$45,R410)))</f>
        <v/>
      </c>
      <c r="O410" s="36">
        <f>IF(C410="","",IF(AND(OR(L410="1-Urgent",L410="2-High"),M410="✓"),"DO FIRST",IF(M410="✓","SCHEDULE",IF(OR(L410="1-Urgent",L410="2-High"),"DELEGATE","DELETE"))))</f>
        <v/>
      </c>
      <c r="P410" s="65" t="n"/>
      <c r="Q410">
        <f>IF(405&gt;Calc!$AQ$368,"",MATCH(404,Calc!$AQ$2:$AQ$367,1))</f>
        <v/>
      </c>
      <c r="R410">
        <f>IF(Q410="","",SMALL(INDEX(Calc!$B$2:$AO$367,Q410,0),405-INDEX(Calc!$AQ$2:$AQ$367,Q410)))</f>
        <v/>
      </c>
    </row>
    <row r="411">
      <c r="B411" s="71">
        <f>IF(R411="","",406)</f>
        <v/>
      </c>
      <c r="C411" s="75">
        <f>IF(R411="","",IF(INDEX('Recurring Schedule'!$C$6:$C$45,R411)="","",INDEX('Recurring Schedule'!$C$6:$C$45,R411)))</f>
        <v/>
      </c>
      <c r="D411" s="73">
        <f>IF(R411="","",IF(INDEX('Recurring Schedule'!$D$6:$D$45,R411)="","",INDEX('Recurring Schedule'!$D$6:$D$45,R411)))</f>
        <v/>
      </c>
      <c r="E411" s="76">
        <f>IF(Q411="","",INDEX(Calc!$A$2:$A$367,Q411))</f>
        <v/>
      </c>
      <c r="F411" s="72">
        <f>IF(OR(C411="",E411=""),"",E411-Setup!$D$7)</f>
        <v/>
      </c>
      <c r="G411" s="77">
        <f>IF(R411="","",IF(INDEX('Recurring Schedule'!$H$6:$H$45,R411)="","",INDEX('Recurring Schedule'!$H$6:$H$45,R411)))</f>
        <v/>
      </c>
      <c r="H411" s="77">
        <f>IF(R411="","",IF(INDEX('Recurring Schedule'!$I$6:$I$45,R411)="","",INDEX('Recurring Schedule'!$I$6:$I$45,R411)))</f>
        <v/>
      </c>
      <c r="I411" s="73">
        <f>IF(OR(G411="",H411=""),"",TRIM(IF(HOUR(H411-G411)&gt;0,HOUR(H411-G411)&amp;" hr ","")&amp;IF(MINUTE(H411-G411)&gt;0,MINUTE(H411-G411)&amp;" min","")))</f>
        <v/>
      </c>
      <c r="J411" s="66" t="n"/>
      <c r="K411" s="70" t="n"/>
      <c r="L411" s="73">
        <f>IF(R411="","",IF(INDEX('Recurring Schedule'!$J$6:$J$45,R411)="","",INDEX('Recurring Schedule'!$J$6:$J$45,R411)))</f>
        <v/>
      </c>
      <c r="M411" s="73">
        <f>IF(R411="","",IF(INDEX('Recurring Schedule'!$K$6:$K$45,R411)="","",INDEX('Recurring Schedule'!$K$6:$K$45,R411)))</f>
        <v/>
      </c>
      <c r="N411" s="73">
        <f>IF(R411="","",IF(INDEX('Recurring Schedule'!$L$6:$L$45,R411)="","",INDEX('Recurring Schedule'!$L$6:$L$45,R411)))</f>
        <v/>
      </c>
      <c r="O411" s="73">
        <f>IF(C411="","",IF(AND(OR(L411="1-Urgent",L411="2-High"),M411="✓"),"DO FIRST",IF(M411="✓","SCHEDULE",IF(OR(L411="1-Urgent",L411="2-High"),"DELEGATE","DELETE"))))</f>
        <v/>
      </c>
      <c r="P411" s="65" t="n"/>
      <c r="Q411">
        <f>IF(406&gt;Calc!$AQ$368,"",MATCH(405,Calc!$AQ$2:$AQ$367,1))</f>
        <v/>
      </c>
      <c r="R411">
        <f>IF(Q411="","",SMALL(INDEX(Calc!$B$2:$AO$367,Q411,0),406-INDEX(Calc!$AQ$2:$AQ$367,Q411)))</f>
        <v/>
      </c>
    </row>
    <row r="412">
      <c r="B412" s="64">
        <f>IF(R412="","",407)</f>
        <v/>
      </c>
      <c r="C412" s="37">
        <f>IF(R412="","",IF(INDEX('Recurring Schedule'!$C$6:$C$45,R412)="","",INDEX('Recurring Schedule'!$C$6:$C$45,R412)))</f>
        <v/>
      </c>
      <c r="D412" s="36">
        <f>IF(R412="","",IF(INDEX('Recurring Schedule'!$D$6:$D$45,R412)="","",INDEX('Recurring Schedule'!$D$6:$D$45,R412)))</f>
        <v/>
      </c>
      <c r="E412" s="38">
        <f>IF(Q412="","",INDEX(Calc!$A$2:$A$367,Q412))</f>
        <v/>
      </c>
      <c r="F412" s="68">
        <f>IF(OR(C412="",E412=""),"",E412-Setup!$D$7)</f>
        <v/>
      </c>
      <c r="G412" s="74">
        <f>IF(R412="","",IF(INDEX('Recurring Schedule'!$H$6:$H$45,R412)="","",INDEX('Recurring Schedule'!$H$6:$H$45,R412)))</f>
        <v/>
      </c>
      <c r="H412" s="74">
        <f>IF(R412="","",IF(INDEX('Recurring Schedule'!$I$6:$I$45,R412)="","",INDEX('Recurring Schedule'!$I$6:$I$45,R412)))</f>
        <v/>
      </c>
      <c r="I412" s="36">
        <f>IF(OR(G412="",H412=""),"",TRIM(IF(HOUR(H412-G412)&gt;0,HOUR(H412-G412)&amp;" hr ","")&amp;IF(MINUTE(H412-G412)&gt;0,MINUTE(H412-G412)&amp;" min","")))</f>
        <v/>
      </c>
      <c r="J412" s="66" t="n"/>
      <c r="K412" s="70" t="n"/>
      <c r="L412" s="36">
        <f>IF(R412="","",IF(INDEX('Recurring Schedule'!$J$6:$J$45,R412)="","",INDEX('Recurring Schedule'!$J$6:$J$45,R412)))</f>
        <v/>
      </c>
      <c r="M412" s="36">
        <f>IF(R412="","",IF(INDEX('Recurring Schedule'!$K$6:$K$45,R412)="","",INDEX('Recurring Schedule'!$K$6:$K$45,R412)))</f>
        <v/>
      </c>
      <c r="N412" s="36">
        <f>IF(R412="","",IF(INDEX('Recurring Schedule'!$L$6:$L$45,R412)="","",INDEX('Recurring Schedule'!$L$6:$L$45,R412)))</f>
        <v/>
      </c>
      <c r="O412" s="36">
        <f>IF(C412="","",IF(AND(OR(L412="1-Urgent",L412="2-High"),M412="✓"),"DO FIRST",IF(M412="✓","SCHEDULE",IF(OR(L412="1-Urgent",L412="2-High"),"DELEGATE","DELETE"))))</f>
        <v/>
      </c>
      <c r="P412" s="65" t="n"/>
      <c r="Q412">
        <f>IF(407&gt;Calc!$AQ$368,"",MATCH(406,Calc!$AQ$2:$AQ$367,1))</f>
        <v/>
      </c>
      <c r="R412">
        <f>IF(Q412="","",SMALL(INDEX(Calc!$B$2:$AO$367,Q412,0),407-INDEX(Calc!$AQ$2:$AQ$367,Q412)))</f>
        <v/>
      </c>
    </row>
    <row r="413">
      <c r="B413" s="71">
        <f>IF(R413="","",408)</f>
        <v/>
      </c>
      <c r="C413" s="75">
        <f>IF(R413="","",IF(INDEX('Recurring Schedule'!$C$6:$C$45,R413)="","",INDEX('Recurring Schedule'!$C$6:$C$45,R413)))</f>
        <v/>
      </c>
      <c r="D413" s="73">
        <f>IF(R413="","",IF(INDEX('Recurring Schedule'!$D$6:$D$45,R413)="","",INDEX('Recurring Schedule'!$D$6:$D$45,R413)))</f>
        <v/>
      </c>
      <c r="E413" s="76">
        <f>IF(Q413="","",INDEX(Calc!$A$2:$A$367,Q413))</f>
        <v/>
      </c>
      <c r="F413" s="72">
        <f>IF(OR(C413="",E413=""),"",E413-Setup!$D$7)</f>
        <v/>
      </c>
      <c r="G413" s="77">
        <f>IF(R413="","",IF(INDEX('Recurring Schedule'!$H$6:$H$45,R413)="","",INDEX('Recurring Schedule'!$H$6:$H$45,R413)))</f>
        <v/>
      </c>
      <c r="H413" s="77">
        <f>IF(R413="","",IF(INDEX('Recurring Schedule'!$I$6:$I$45,R413)="","",INDEX('Recurring Schedule'!$I$6:$I$45,R413)))</f>
        <v/>
      </c>
      <c r="I413" s="73">
        <f>IF(OR(G413="",H413=""),"",TRIM(IF(HOUR(H413-G413)&gt;0,HOUR(H413-G413)&amp;" hr ","")&amp;IF(MINUTE(H413-G413)&gt;0,MINUTE(H413-G413)&amp;" min","")))</f>
        <v/>
      </c>
      <c r="J413" s="66" t="n"/>
      <c r="K413" s="70" t="n"/>
      <c r="L413" s="73">
        <f>IF(R413="","",IF(INDEX('Recurring Schedule'!$J$6:$J$45,R413)="","",INDEX('Recurring Schedule'!$J$6:$J$45,R413)))</f>
        <v/>
      </c>
      <c r="M413" s="73">
        <f>IF(R413="","",IF(INDEX('Recurring Schedule'!$K$6:$K$45,R413)="","",INDEX('Recurring Schedule'!$K$6:$K$45,R413)))</f>
        <v/>
      </c>
      <c r="N413" s="73">
        <f>IF(R413="","",IF(INDEX('Recurring Schedule'!$L$6:$L$45,R413)="","",INDEX('Recurring Schedule'!$L$6:$L$45,R413)))</f>
        <v/>
      </c>
      <c r="O413" s="73">
        <f>IF(C413="","",IF(AND(OR(L413="1-Urgent",L413="2-High"),M413="✓"),"DO FIRST",IF(M413="✓","SCHEDULE",IF(OR(L413="1-Urgent",L413="2-High"),"DELEGATE","DELETE"))))</f>
        <v/>
      </c>
      <c r="P413" s="65" t="n"/>
      <c r="Q413">
        <f>IF(408&gt;Calc!$AQ$368,"",MATCH(407,Calc!$AQ$2:$AQ$367,1))</f>
        <v/>
      </c>
      <c r="R413">
        <f>IF(Q413="","",SMALL(INDEX(Calc!$B$2:$AO$367,Q413,0),408-INDEX(Calc!$AQ$2:$AQ$367,Q413)))</f>
        <v/>
      </c>
    </row>
    <row r="414">
      <c r="B414" s="64">
        <f>IF(R414="","",409)</f>
        <v/>
      </c>
      <c r="C414" s="37">
        <f>IF(R414="","",IF(INDEX('Recurring Schedule'!$C$6:$C$45,R414)="","",INDEX('Recurring Schedule'!$C$6:$C$45,R414)))</f>
        <v/>
      </c>
      <c r="D414" s="36">
        <f>IF(R414="","",IF(INDEX('Recurring Schedule'!$D$6:$D$45,R414)="","",INDEX('Recurring Schedule'!$D$6:$D$45,R414)))</f>
        <v/>
      </c>
      <c r="E414" s="38">
        <f>IF(Q414="","",INDEX(Calc!$A$2:$A$367,Q414))</f>
        <v/>
      </c>
      <c r="F414" s="68">
        <f>IF(OR(C414="",E414=""),"",E414-Setup!$D$7)</f>
        <v/>
      </c>
      <c r="G414" s="74">
        <f>IF(R414="","",IF(INDEX('Recurring Schedule'!$H$6:$H$45,R414)="","",INDEX('Recurring Schedule'!$H$6:$H$45,R414)))</f>
        <v/>
      </c>
      <c r="H414" s="74">
        <f>IF(R414="","",IF(INDEX('Recurring Schedule'!$I$6:$I$45,R414)="","",INDEX('Recurring Schedule'!$I$6:$I$45,R414)))</f>
        <v/>
      </c>
      <c r="I414" s="36">
        <f>IF(OR(G414="",H414=""),"",TRIM(IF(HOUR(H414-G414)&gt;0,HOUR(H414-G414)&amp;" hr ","")&amp;IF(MINUTE(H414-G414)&gt;0,MINUTE(H414-G414)&amp;" min","")))</f>
        <v/>
      </c>
      <c r="J414" s="66" t="n"/>
      <c r="K414" s="70" t="n"/>
      <c r="L414" s="36">
        <f>IF(R414="","",IF(INDEX('Recurring Schedule'!$J$6:$J$45,R414)="","",INDEX('Recurring Schedule'!$J$6:$J$45,R414)))</f>
        <v/>
      </c>
      <c r="M414" s="36">
        <f>IF(R414="","",IF(INDEX('Recurring Schedule'!$K$6:$K$45,R414)="","",INDEX('Recurring Schedule'!$K$6:$K$45,R414)))</f>
        <v/>
      </c>
      <c r="N414" s="36">
        <f>IF(R414="","",IF(INDEX('Recurring Schedule'!$L$6:$L$45,R414)="","",INDEX('Recurring Schedule'!$L$6:$L$45,R414)))</f>
        <v/>
      </c>
      <c r="O414" s="36">
        <f>IF(C414="","",IF(AND(OR(L414="1-Urgent",L414="2-High"),M414="✓"),"DO FIRST",IF(M414="✓","SCHEDULE",IF(OR(L414="1-Urgent",L414="2-High"),"DELEGATE","DELETE"))))</f>
        <v/>
      </c>
      <c r="P414" s="65" t="n"/>
      <c r="Q414">
        <f>IF(409&gt;Calc!$AQ$368,"",MATCH(408,Calc!$AQ$2:$AQ$367,1))</f>
        <v/>
      </c>
      <c r="R414">
        <f>IF(Q414="","",SMALL(INDEX(Calc!$B$2:$AO$367,Q414,0),409-INDEX(Calc!$AQ$2:$AQ$367,Q414)))</f>
        <v/>
      </c>
    </row>
    <row r="415">
      <c r="B415" s="71">
        <f>IF(R415="","",410)</f>
        <v/>
      </c>
      <c r="C415" s="75">
        <f>IF(R415="","",IF(INDEX('Recurring Schedule'!$C$6:$C$45,R415)="","",INDEX('Recurring Schedule'!$C$6:$C$45,R415)))</f>
        <v/>
      </c>
      <c r="D415" s="73">
        <f>IF(R415="","",IF(INDEX('Recurring Schedule'!$D$6:$D$45,R415)="","",INDEX('Recurring Schedule'!$D$6:$D$45,R415)))</f>
        <v/>
      </c>
      <c r="E415" s="76">
        <f>IF(Q415="","",INDEX(Calc!$A$2:$A$367,Q415))</f>
        <v/>
      </c>
      <c r="F415" s="72">
        <f>IF(OR(C415="",E415=""),"",E415-Setup!$D$7)</f>
        <v/>
      </c>
      <c r="G415" s="77">
        <f>IF(R415="","",IF(INDEX('Recurring Schedule'!$H$6:$H$45,R415)="","",INDEX('Recurring Schedule'!$H$6:$H$45,R415)))</f>
        <v/>
      </c>
      <c r="H415" s="77">
        <f>IF(R415="","",IF(INDEX('Recurring Schedule'!$I$6:$I$45,R415)="","",INDEX('Recurring Schedule'!$I$6:$I$45,R415)))</f>
        <v/>
      </c>
      <c r="I415" s="73">
        <f>IF(OR(G415="",H415=""),"",TRIM(IF(HOUR(H415-G415)&gt;0,HOUR(H415-G415)&amp;" hr ","")&amp;IF(MINUTE(H415-G415)&gt;0,MINUTE(H415-G415)&amp;" min","")))</f>
        <v/>
      </c>
      <c r="J415" s="66" t="n"/>
      <c r="K415" s="70" t="n"/>
      <c r="L415" s="73">
        <f>IF(R415="","",IF(INDEX('Recurring Schedule'!$J$6:$J$45,R415)="","",INDEX('Recurring Schedule'!$J$6:$J$45,R415)))</f>
        <v/>
      </c>
      <c r="M415" s="73">
        <f>IF(R415="","",IF(INDEX('Recurring Schedule'!$K$6:$K$45,R415)="","",INDEX('Recurring Schedule'!$K$6:$K$45,R415)))</f>
        <v/>
      </c>
      <c r="N415" s="73">
        <f>IF(R415="","",IF(INDEX('Recurring Schedule'!$L$6:$L$45,R415)="","",INDEX('Recurring Schedule'!$L$6:$L$45,R415)))</f>
        <v/>
      </c>
      <c r="O415" s="73">
        <f>IF(C415="","",IF(AND(OR(L415="1-Urgent",L415="2-High"),M415="✓"),"DO FIRST",IF(M415="✓","SCHEDULE",IF(OR(L415="1-Urgent",L415="2-High"),"DELEGATE","DELETE"))))</f>
        <v/>
      </c>
      <c r="P415" s="65" t="n"/>
      <c r="Q415">
        <f>IF(410&gt;Calc!$AQ$368,"",MATCH(409,Calc!$AQ$2:$AQ$367,1))</f>
        <v/>
      </c>
      <c r="R415">
        <f>IF(Q415="","",SMALL(INDEX(Calc!$B$2:$AO$367,Q415,0),410-INDEX(Calc!$AQ$2:$AQ$367,Q415)))</f>
        <v/>
      </c>
    </row>
    <row r="416">
      <c r="B416" s="64">
        <f>IF(R416="","",411)</f>
        <v/>
      </c>
      <c r="C416" s="37">
        <f>IF(R416="","",IF(INDEX('Recurring Schedule'!$C$6:$C$45,R416)="","",INDEX('Recurring Schedule'!$C$6:$C$45,R416)))</f>
        <v/>
      </c>
      <c r="D416" s="36">
        <f>IF(R416="","",IF(INDEX('Recurring Schedule'!$D$6:$D$45,R416)="","",INDEX('Recurring Schedule'!$D$6:$D$45,R416)))</f>
        <v/>
      </c>
      <c r="E416" s="38">
        <f>IF(Q416="","",INDEX(Calc!$A$2:$A$367,Q416))</f>
        <v/>
      </c>
      <c r="F416" s="68">
        <f>IF(OR(C416="",E416=""),"",E416-Setup!$D$7)</f>
        <v/>
      </c>
      <c r="G416" s="74">
        <f>IF(R416="","",IF(INDEX('Recurring Schedule'!$H$6:$H$45,R416)="","",INDEX('Recurring Schedule'!$H$6:$H$45,R416)))</f>
        <v/>
      </c>
      <c r="H416" s="74">
        <f>IF(R416="","",IF(INDEX('Recurring Schedule'!$I$6:$I$45,R416)="","",INDEX('Recurring Schedule'!$I$6:$I$45,R416)))</f>
        <v/>
      </c>
      <c r="I416" s="36">
        <f>IF(OR(G416="",H416=""),"",TRIM(IF(HOUR(H416-G416)&gt;0,HOUR(H416-G416)&amp;" hr ","")&amp;IF(MINUTE(H416-G416)&gt;0,MINUTE(H416-G416)&amp;" min","")))</f>
        <v/>
      </c>
      <c r="J416" s="66" t="n"/>
      <c r="K416" s="70" t="n"/>
      <c r="L416" s="36">
        <f>IF(R416="","",IF(INDEX('Recurring Schedule'!$J$6:$J$45,R416)="","",INDEX('Recurring Schedule'!$J$6:$J$45,R416)))</f>
        <v/>
      </c>
      <c r="M416" s="36">
        <f>IF(R416="","",IF(INDEX('Recurring Schedule'!$K$6:$K$45,R416)="","",INDEX('Recurring Schedule'!$K$6:$K$45,R416)))</f>
        <v/>
      </c>
      <c r="N416" s="36">
        <f>IF(R416="","",IF(INDEX('Recurring Schedule'!$L$6:$L$45,R416)="","",INDEX('Recurring Schedule'!$L$6:$L$45,R416)))</f>
        <v/>
      </c>
      <c r="O416" s="36">
        <f>IF(C416="","",IF(AND(OR(L416="1-Urgent",L416="2-High"),M416="✓"),"DO FIRST",IF(M416="✓","SCHEDULE",IF(OR(L416="1-Urgent",L416="2-High"),"DELEGATE","DELETE"))))</f>
        <v/>
      </c>
      <c r="P416" s="65" t="n"/>
      <c r="Q416">
        <f>IF(411&gt;Calc!$AQ$368,"",MATCH(410,Calc!$AQ$2:$AQ$367,1))</f>
        <v/>
      </c>
      <c r="R416">
        <f>IF(Q416="","",SMALL(INDEX(Calc!$B$2:$AO$367,Q416,0),411-INDEX(Calc!$AQ$2:$AQ$367,Q416)))</f>
        <v/>
      </c>
    </row>
    <row r="417">
      <c r="B417" s="71">
        <f>IF(R417="","",412)</f>
        <v/>
      </c>
      <c r="C417" s="75">
        <f>IF(R417="","",IF(INDEX('Recurring Schedule'!$C$6:$C$45,R417)="","",INDEX('Recurring Schedule'!$C$6:$C$45,R417)))</f>
        <v/>
      </c>
      <c r="D417" s="73">
        <f>IF(R417="","",IF(INDEX('Recurring Schedule'!$D$6:$D$45,R417)="","",INDEX('Recurring Schedule'!$D$6:$D$45,R417)))</f>
        <v/>
      </c>
      <c r="E417" s="76">
        <f>IF(Q417="","",INDEX(Calc!$A$2:$A$367,Q417))</f>
        <v/>
      </c>
      <c r="F417" s="72">
        <f>IF(OR(C417="",E417=""),"",E417-Setup!$D$7)</f>
        <v/>
      </c>
      <c r="G417" s="77">
        <f>IF(R417="","",IF(INDEX('Recurring Schedule'!$H$6:$H$45,R417)="","",INDEX('Recurring Schedule'!$H$6:$H$45,R417)))</f>
        <v/>
      </c>
      <c r="H417" s="77">
        <f>IF(R417="","",IF(INDEX('Recurring Schedule'!$I$6:$I$45,R417)="","",INDEX('Recurring Schedule'!$I$6:$I$45,R417)))</f>
        <v/>
      </c>
      <c r="I417" s="73">
        <f>IF(OR(G417="",H417=""),"",TRIM(IF(HOUR(H417-G417)&gt;0,HOUR(H417-G417)&amp;" hr ","")&amp;IF(MINUTE(H417-G417)&gt;0,MINUTE(H417-G417)&amp;" min","")))</f>
        <v/>
      </c>
      <c r="J417" s="66" t="n"/>
      <c r="K417" s="70" t="n"/>
      <c r="L417" s="73">
        <f>IF(R417="","",IF(INDEX('Recurring Schedule'!$J$6:$J$45,R417)="","",INDEX('Recurring Schedule'!$J$6:$J$45,R417)))</f>
        <v/>
      </c>
      <c r="M417" s="73">
        <f>IF(R417="","",IF(INDEX('Recurring Schedule'!$K$6:$K$45,R417)="","",INDEX('Recurring Schedule'!$K$6:$K$45,R417)))</f>
        <v/>
      </c>
      <c r="N417" s="73">
        <f>IF(R417="","",IF(INDEX('Recurring Schedule'!$L$6:$L$45,R417)="","",INDEX('Recurring Schedule'!$L$6:$L$45,R417)))</f>
        <v/>
      </c>
      <c r="O417" s="73">
        <f>IF(C417="","",IF(AND(OR(L417="1-Urgent",L417="2-High"),M417="✓"),"DO FIRST",IF(M417="✓","SCHEDULE",IF(OR(L417="1-Urgent",L417="2-High"),"DELEGATE","DELETE"))))</f>
        <v/>
      </c>
      <c r="P417" s="65" t="n"/>
      <c r="Q417">
        <f>IF(412&gt;Calc!$AQ$368,"",MATCH(411,Calc!$AQ$2:$AQ$367,1))</f>
        <v/>
      </c>
      <c r="R417">
        <f>IF(Q417="","",SMALL(INDEX(Calc!$B$2:$AO$367,Q417,0),412-INDEX(Calc!$AQ$2:$AQ$367,Q417)))</f>
        <v/>
      </c>
    </row>
    <row r="418">
      <c r="B418" s="64">
        <f>IF(R418="","",413)</f>
        <v/>
      </c>
      <c r="C418" s="37">
        <f>IF(R418="","",IF(INDEX('Recurring Schedule'!$C$6:$C$45,R418)="","",INDEX('Recurring Schedule'!$C$6:$C$45,R418)))</f>
        <v/>
      </c>
      <c r="D418" s="36">
        <f>IF(R418="","",IF(INDEX('Recurring Schedule'!$D$6:$D$45,R418)="","",INDEX('Recurring Schedule'!$D$6:$D$45,R418)))</f>
        <v/>
      </c>
      <c r="E418" s="38">
        <f>IF(Q418="","",INDEX(Calc!$A$2:$A$367,Q418))</f>
        <v/>
      </c>
      <c r="F418" s="68">
        <f>IF(OR(C418="",E418=""),"",E418-Setup!$D$7)</f>
        <v/>
      </c>
      <c r="G418" s="74">
        <f>IF(R418="","",IF(INDEX('Recurring Schedule'!$H$6:$H$45,R418)="","",INDEX('Recurring Schedule'!$H$6:$H$45,R418)))</f>
        <v/>
      </c>
      <c r="H418" s="74">
        <f>IF(R418="","",IF(INDEX('Recurring Schedule'!$I$6:$I$45,R418)="","",INDEX('Recurring Schedule'!$I$6:$I$45,R418)))</f>
        <v/>
      </c>
      <c r="I418" s="36">
        <f>IF(OR(G418="",H418=""),"",TRIM(IF(HOUR(H418-G418)&gt;0,HOUR(H418-G418)&amp;" hr ","")&amp;IF(MINUTE(H418-G418)&gt;0,MINUTE(H418-G418)&amp;" min","")))</f>
        <v/>
      </c>
      <c r="J418" s="66" t="n"/>
      <c r="K418" s="70" t="n"/>
      <c r="L418" s="36">
        <f>IF(R418="","",IF(INDEX('Recurring Schedule'!$J$6:$J$45,R418)="","",INDEX('Recurring Schedule'!$J$6:$J$45,R418)))</f>
        <v/>
      </c>
      <c r="M418" s="36">
        <f>IF(R418="","",IF(INDEX('Recurring Schedule'!$K$6:$K$45,R418)="","",INDEX('Recurring Schedule'!$K$6:$K$45,R418)))</f>
        <v/>
      </c>
      <c r="N418" s="36">
        <f>IF(R418="","",IF(INDEX('Recurring Schedule'!$L$6:$L$45,R418)="","",INDEX('Recurring Schedule'!$L$6:$L$45,R418)))</f>
        <v/>
      </c>
      <c r="O418" s="36">
        <f>IF(C418="","",IF(AND(OR(L418="1-Urgent",L418="2-High"),M418="✓"),"DO FIRST",IF(M418="✓","SCHEDULE",IF(OR(L418="1-Urgent",L418="2-High"),"DELEGATE","DELETE"))))</f>
        <v/>
      </c>
      <c r="P418" s="65" t="n"/>
      <c r="Q418">
        <f>IF(413&gt;Calc!$AQ$368,"",MATCH(412,Calc!$AQ$2:$AQ$367,1))</f>
        <v/>
      </c>
      <c r="R418">
        <f>IF(Q418="","",SMALL(INDEX(Calc!$B$2:$AO$367,Q418,0),413-INDEX(Calc!$AQ$2:$AQ$367,Q418)))</f>
        <v/>
      </c>
    </row>
    <row r="419">
      <c r="B419" s="71">
        <f>IF(R419="","",414)</f>
        <v/>
      </c>
      <c r="C419" s="75">
        <f>IF(R419="","",IF(INDEX('Recurring Schedule'!$C$6:$C$45,R419)="","",INDEX('Recurring Schedule'!$C$6:$C$45,R419)))</f>
        <v/>
      </c>
      <c r="D419" s="73">
        <f>IF(R419="","",IF(INDEX('Recurring Schedule'!$D$6:$D$45,R419)="","",INDEX('Recurring Schedule'!$D$6:$D$45,R419)))</f>
        <v/>
      </c>
      <c r="E419" s="76">
        <f>IF(Q419="","",INDEX(Calc!$A$2:$A$367,Q419))</f>
        <v/>
      </c>
      <c r="F419" s="72">
        <f>IF(OR(C419="",E419=""),"",E419-Setup!$D$7)</f>
        <v/>
      </c>
      <c r="G419" s="77">
        <f>IF(R419="","",IF(INDEX('Recurring Schedule'!$H$6:$H$45,R419)="","",INDEX('Recurring Schedule'!$H$6:$H$45,R419)))</f>
        <v/>
      </c>
      <c r="H419" s="77">
        <f>IF(R419="","",IF(INDEX('Recurring Schedule'!$I$6:$I$45,R419)="","",INDEX('Recurring Schedule'!$I$6:$I$45,R419)))</f>
        <v/>
      </c>
      <c r="I419" s="73">
        <f>IF(OR(G419="",H419=""),"",TRIM(IF(HOUR(H419-G419)&gt;0,HOUR(H419-G419)&amp;" hr ","")&amp;IF(MINUTE(H419-G419)&gt;0,MINUTE(H419-G419)&amp;" min","")))</f>
        <v/>
      </c>
      <c r="J419" s="66" t="n"/>
      <c r="K419" s="70" t="n"/>
      <c r="L419" s="73">
        <f>IF(R419="","",IF(INDEX('Recurring Schedule'!$J$6:$J$45,R419)="","",INDEX('Recurring Schedule'!$J$6:$J$45,R419)))</f>
        <v/>
      </c>
      <c r="M419" s="73">
        <f>IF(R419="","",IF(INDEX('Recurring Schedule'!$K$6:$K$45,R419)="","",INDEX('Recurring Schedule'!$K$6:$K$45,R419)))</f>
        <v/>
      </c>
      <c r="N419" s="73">
        <f>IF(R419="","",IF(INDEX('Recurring Schedule'!$L$6:$L$45,R419)="","",INDEX('Recurring Schedule'!$L$6:$L$45,R419)))</f>
        <v/>
      </c>
      <c r="O419" s="73">
        <f>IF(C419="","",IF(AND(OR(L419="1-Urgent",L419="2-High"),M419="✓"),"DO FIRST",IF(M419="✓","SCHEDULE",IF(OR(L419="1-Urgent",L419="2-High"),"DELEGATE","DELETE"))))</f>
        <v/>
      </c>
      <c r="P419" s="65" t="n"/>
      <c r="Q419">
        <f>IF(414&gt;Calc!$AQ$368,"",MATCH(413,Calc!$AQ$2:$AQ$367,1))</f>
        <v/>
      </c>
      <c r="R419">
        <f>IF(Q419="","",SMALL(INDEX(Calc!$B$2:$AO$367,Q419,0),414-INDEX(Calc!$AQ$2:$AQ$367,Q419)))</f>
        <v/>
      </c>
    </row>
    <row r="420">
      <c r="B420" s="64">
        <f>IF(R420="","",415)</f>
        <v/>
      </c>
      <c r="C420" s="37">
        <f>IF(R420="","",IF(INDEX('Recurring Schedule'!$C$6:$C$45,R420)="","",INDEX('Recurring Schedule'!$C$6:$C$45,R420)))</f>
        <v/>
      </c>
      <c r="D420" s="36">
        <f>IF(R420="","",IF(INDEX('Recurring Schedule'!$D$6:$D$45,R420)="","",INDEX('Recurring Schedule'!$D$6:$D$45,R420)))</f>
        <v/>
      </c>
      <c r="E420" s="38">
        <f>IF(Q420="","",INDEX(Calc!$A$2:$A$367,Q420))</f>
        <v/>
      </c>
      <c r="F420" s="68">
        <f>IF(OR(C420="",E420=""),"",E420-Setup!$D$7)</f>
        <v/>
      </c>
      <c r="G420" s="74">
        <f>IF(R420="","",IF(INDEX('Recurring Schedule'!$H$6:$H$45,R420)="","",INDEX('Recurring Schedule'!$H$6:$H$45,R420)))</f>
        <v/>
      </c>
      <c r="H420" s="74">
        <f>IF(R420="","",IF(INDEX('Recurring Schedule'!$I$6:$I$45,R420)="","",INDEX('Recurring Schedule'!$I$6:$I$45,R420)))</f>
        <v/>
      </c>
      <c r="I420" s="36">
        <f>IF(OR(G420="",H420=""),"",TRIM(IF(HOUR(H420-G420)&gt;0,HOUR(H420-G420)&amp;" hr ","")&amp;IF(MINUTE(H420-G420)&gt;0,MINUTE(H420-G420)&amp;" min","")))</f>
        <v/>
      </c>
      <c r="J420" s="66" t="n"/>
      <c r="K420" s="70" t="n"/>
      <c r="L420" s="36">
        <f>IF(R420="","",IF(INDEX('Recurring Schedule'!$J$6:$J$45,R420)="","",INDEX('Recurring Schedule'!$J$6:$J$45,R420)))</f>
        <v/>
      </c>
      <c r="M420" s="36">
        <f>IF(R420="","",IF(INDEX('Recurring Schedule'!$K$6:$K$45,R420)="","",INDEX('Recurring Schedule'!$K$6:$K$45,R420)))</f>
        <v/>
      </c>
      <c r="N420" s="36">
        <f>IF(R420="","",IF(INDEX('Recurring Schedule'!$L$6:$L$45,R420)="","",INDEX('Recurring Schedule'!$L$6:$L$45,R420)))</f>
        <v/>
      </c>
      <c r="O420" s="36">
        <f>IF(C420="","",IF(AND(OR(L420="1-Urgent",L420="2-High"),M420="✓"),"DO FIRST",IF(M420="✓","SCHEDULE",IF(OR(L420="1-Urgent",L420="2-High"),"DELEGATE","DELETE"))))</f>
        <v/>
      </c>
      <c r="P420" s="65" t="n"/>
      <c r="Q420">
        <f>IF(415&gt;Calc!$AQ$368,"",MATCH(414,Calc!$AQ$2:$AQ$367,1))</f>
        <v/>
      </c>
      <c r="R420">
        <f>IF(Q420="","",SMALL(INDEX(Calc!$B$2:$AO$367,Q420,0),415-INDEX(Calc!$AQ$2:$AQ$367,Q420)))</f>
        <v/>
      </c>
    </row>
    <row r="421">
      <c r="B421" s="71">
        <f>IF(R421="","",416)</f>
        <v/>
      </c>
      <c r="C421" s="75">
        <f>IF(R421="","",IF(INDEX('Recurring Schedule'!$C$6:$C$45,R421)="","",INDEX('Recurring Schedule'!$C$6:$C$45,R421)))</f>
        <v/>
      </c>
      <c r="D421" s="73">
        <f>IF(R421="","",IF(INDEX('Recurring Schedule'!$D$6:$D$45,R421)="","",INDEX('Recurring Schedule'!$D$6:$D$45,R421)))</f>
        <v/>
      </c>
      <c r="E421" s="76">
        <f>IF(Q421="","",INDEX(Calc!$A$2:$A$367,Q421))</f>
        <v/>
      </c>
      <c r="F421" s="72">
        <f>IF(OR(C421="",E421=""),"",E421-Setup!$D$7)</f>
        <v/>
      </c>
      <c r="G421" s="77">
        <f>IF(R421="","",IF(INDEX('Recurring Schedule'!$H$6:$H$45,R421)="","",INDEX('Recurring Schedule'!$H$6:$H$45,R421)))</f>
        <v/>
      </c>
      <c r="H421" s="77">
        <f>IF(R421="","",IF(INDEX('Recurring Schedule'!$I$6:$I$45,R421)="","",INDEX('Recurring Schedule'!$I$6:$I$45,R421)))</f>
        <v/>
      </c>
      <c r="I421" s="73">
        <f>IF(OR(G421="",H421=""),"",TRIM(IF(HOUR(H421-G421)&gt;0,HOUR(H421-G421)&amp;" hr ","")&amp;IF(MINUTE(H421-G421)&gt;0,MINUTE(H421-G421)&amp;" min","")))</f>
        <v/>
      </c>
      <c r="J421" s="66" t="n"/>
      <c r="K421" s="70" t="n"/>
      <c r="L421" s="73">
        <f>IF(R421="","",IF(INDEX('Recurring Schedule'!$J$6:$J$45,R421)="","",INDEX('Recurring Schedule'!$J$6:$J$45,R421)))</f>
        <v/>
      </c>
      <c r="M421" s="73">
        <f>IF(R421="","",IF(INDEX('Recurring Schedule'!$K$6:$K$45,R421)="","",INDEX('Recurring Schedule'!$K$6:$K$45,R421)))</f>
        <v/>
      </c>
      <c r="N421" s="73">
        <f>IF(R421="","",IF(INDEX('Recurring Schedule'!$L$6:$L$45,R421)="","",INDEX('Recurring Schedule'!$L$6:$L$45,R421)))</f>
        <v/>
      </c>
      <c r="O421" s="73">
        <f>IF(C421="","",IF(AND(OR(L421="1-Urgent",L421="2-High"),M421="✓"),"DO FIRST",IF(M421="✓","SCHEDULE",IF(OR(L421="1-Urgent",L421="2-High"),"DELEGATE","DELETE"))))</f>
        <v/>
      </c>
      <c r="P421" s="65" t="n"/>
      <c r="Q421">
        <f>IF(416&gt;Calc!$AQ$368,"",MATCH(415,Calc!$AQ$2:$AQ$367,1))</f>
        <v/>
      </c>
      <c r="R421">
        <f>IF(Q421="","",SMALL(INDEX(Calc!$B$2:$AO$367,Q421,0),416-INDEX(Calc!$AQ$2:$AQ$367,Q421)))</f>
        <v/>
      </c>
    </row>
    <row r="422">
      <c r="B422" s="64">
        <f>IF(R422="","",417)</f>
        <v/>
      </c>
      <c r="C422" s="37">
        <f>IF(R422="","",IF(INDEX('Recurring Schedule'!$C$6:$C$45,R422)="","",INDEX('Recurring Schedule'!$C$6:$C$45,R422)))</f>
        <v/>
      </c>
      <c r="D422" s="36">
        <f>IF(R422="","",IF(INDEX('Recurring Schedule'!$D$6:$D$45,R422)="","",INDEX('Recurring Schedule'!$D$6:$D$45,R422)))</f>
        <v/>
      </c>
      <c r="E422" s="38">
        <f>IF(Q422="","",INDEX(Calc!$A$2:$A$367,Q422))</f>
        <v/>
      </c>
      <c r="F422" s="68">
        <f>IF(OR(C422="",E422=""),"",E422-Setup!$D$7)</f>
        <v/>
      </c>
      <c r="G422" s="74">
        <f>IF(R422="","",IF(INDEX('Recurring Schedule'!$H$6:$H$45,R422)="","",INDEX('Recurring Schedule'!$H$6:$H$45,R422)))</f>
        <v/>
      </c>
      <c r="H422" s="74">
        <f>IF(R422="","",IF(INDEX('Recurring Schedule'!$I$6:$I$45,R422)="","",INDEX('Recurring Schedule'!$I$6:$I$45,R422)))</f>
        <v/>
      </c>
      <c r="I422" s="36">
        <f>IF(OR(G422="",H422=""),"",TRIM(IF(HOUR(H422-G422)&gt;0,HOUR(H422-G422)&amp;" hr ","")&amp;IF(MINUTE(H422-G422)&gt;0,MINUTE(H422-G422)&amp;" min","")))</f>
        <v/>
      </c>
      <c r="J422" s="66" t="n"/>
      <c r="K422" s="70" t="n"/>
      <c r="L422" s="36">
        <f>IF(R422="","",IF(INDEX('Recurring Schedule'!$J$6:$J$45,R422)="","",INDEX('Recurring Schedule'!$J$6:$J$45,R422)))</f>
        <v/>
      </c>
      <c r="M422" s="36">
        <f>IF(R422="","",IF(INDEX('Recurring Schedule'!$K$6:$K$45,R422)="","",INDEX('Recurring Schedule'!$K$6:$K$45,R422)))</f>
        <v/>
      </c>
      <c r="N422" s="36">
        <f>IF(R422="","",IF(INDEX('Recurring Schedule'!$L$6:$L$45,R422)="","",INDEX('Recurring Schedule'!$L$6:$L$45,R422)))</f>
        <v/>
      </c>
      <c r="O422" s="36">
        <f>IF(C422="","",IF(AND(OR(L422="1-Urgent",L422="2-High"),M422="✓"),"DO FIRST",IF(M422="✓","SCHEDULE",IF(OR(L422="1-Urgent",L422="2-High"),"DELEGATE","DELETE"))))</f>
        <v/>
      </c>
      <c r="P422" s="65" t="n"/>
      <c r="Q422">
        <f>IF(417&gt;Calc!$AQ$368,"",MATCH(416,Calc!$AQ$2:$AQ$367,1))</f>
        <v/>
      </c>
      <c r="R422">
        <f>IF(Q422="","",SMALL(INDEX(Calc!$B$2:$AO$367,Q422,0),417-INDEX(Calc!$AQ$2:$AQ$367,Q422)))</f>
        <v/>
      </c>
    </row>
    <row r="423">
      <c r="B423" s="71">
        <f>IF(R423="","",418)</f>
        <v/>
      </c>
      <c r="C423" s="75">
        <f>IF(R423="","",IF(INDEX('Recurring Schedule'!$C$6:$C$45,R423)="","",INDEX('Recurring Schedule'!$C$6:$C$45,R423)))</f>
        <v/>
      </c>
      <c r="D423" s="73">
        <f>IF(R423="","",IF(INDEX('Recurring Schedule'!$D$6:$D$45,R423)="","",INDEX('Recurring Schedule'!$D$6:$D$45,R423)))</f>
        <v/>
      </c>
      <c r="E423" s="76">
        <f>IF(Q423="","",INDEX(Calc!$A$2:$A$367,Q423))</f>
        <v/>
      </c>
      <c r="F423" s="72">
        <f>IF(OR(C423="",E423=""),"",E423-Setup!$D$7)</f>
        <v/>
      </c>
      <c r="G423" s="77">
        <f>IF(R423="","",IF(INDEX('Recurring Schedule'!$H$6:$H$45,R423)="","",INDEX('Recurring Schedule'!$H$6:$H$45,R423)))</f>
        <v/>
      </c>
      <c r="H423" s="77">
        <f>IF(R423="","",IF(INDEX('Recurring Schedule'!$I$6:$I$45,R423)="","",INDEX('Recurring Schedule'!$I$6:$I$45,R423)))</f>
        <v/>
      </c>
      <c r="I423" s="73">
        <f>IF(OR(G423="",H423=""),"",TRIM(IF(HOUR(H423-G423)&gt;0,HOUR(H423-G423)&amp;" hr ","")&amp;IF(MINUTE(H423-G423)&gt;0,MINUTE(H423-G423)&amp;" min","")))</f>
        <v/>
      </c>
      <c r="J423" s="66" t="n"/>
      <c r="K423" s="70" t="n"/>
      <c r="L423" s="73">
        <f>IF(R423="","",IF(INDEX('Recurring Schedule'!$J$6:$J$45,R423)="","",INDEX('Recurring Schedule'!$J$6:$J$45,R423)))</f>
        <v/>
      </c>
      <c r="M423" s="73">
        <f>IF(R423="","",IF(INDEX('Recurring Schedule'!$K$6:$K$45,R423)="","",INDEX('Recurring Schedule'!$K$6:$K$45,R423)))</f>
        <v/>
      </c>
      <c r="N423" s="73">
        <f>IF(R423="","",IF(INDEX('Recurring Schedule'!$L$6:$L$45,R423)="","",INDEX('Recurring Schedule'!$L$6:$L$45,R423)))</f>
        <v/>
      </c>
      <c r="O423" s="73">
        <f>IF(C423="","",IF(AND(OR(L423="1-Urgent",L423="2-High"),M423="✓"),"DO FIRST",IF(M423="✓","SCHEDULE",IF(OR(L423="1-Urgent",L423="2-High"),"DELEGATE","DELETE"))))</f>
        <v/>
      </c>
      <c r="P423" s="65" t="n"/>
      <c r="Q423">
        <f>IF(418&gt;Calc!$AQ$368,"",MATCH(417,Calc!$AQ$2:$AQ$367,1))</f>
        <v/>
      </c>
      <c r="R423">
        <f>IF(Q423="","",SMALL(INDEX(Calc!$B$2:$AO$367,Q423,0),418-INDEX(Calc!$AQ$2:$AQ$367,Q423)))</f>
        <v/>
      </c>
    </row>
    <row r="424">
      <c r="B424" s="64">
        <f>IF(R424="","",419)</f>
        <v/>
      </c>
      <c r="C424" s="37">
        <f>IF(R424="","",IF(INDEX('Recurring Schedule'!$C$6:$C$45,R424)="","",INDEX('Recurring Schedule'!$C$6:$C$45,R424)))</f>
        <v/>
      </c>
      <c r="D424" s="36">
        <f>IF(R424="","",IF(INDEX('Recurring Schedule'!$D$6:$D$45,R424)="","",INDEX('Recurring Schedule'!$D$6:$D$45,R424)))</f>
        <v/>
      </c>
      <c r="E424" s="38">
        <f>IF(Q424="","",INDEX(Calc!$A$2:$A$367,Q424))</f>
        <v/>
      </c>
      <c r="F424" s="68">
        <f>IF(OR(C424="",E424=""),"",E424-Setup!$D$7)</f>
        <v/>
      </c>
      <c r="G424" s="74">
        <f>IF(R424="","",IF(INDEX('Recurring Schedule'!$H$6:$H$45,R424)="","",INDEX('Recurring Schedule'!$H$6:$H$45,R424)))</f>
        <v/>
      </c>
      <c r="H424" s="74">
        <f>IF(R424="","",IF(INDEX('Recurring Schedule'!$I$6:$I$45,R424)="","",INDEX('Recurring Schedule'!$I$6:$I$45,R424)))</f>
        <v/>
      </c>
      <c r="I424" s="36">
        <f>IF(OR(G424="",H424=""),"",TRIM(IF(HOUR(H424-G424)&gt;0,HOUR(H424-G424)&amp;" hr ","")&amp;IF(MINUTE(H424-G424)&gt;0,MINUTE(H424-G424)&amp;" min","")))</f>
        <v/>
      </c>
      <c r="J424" s="66" t="n"/>
      <c r="K424" s="70" t="n"/>
      <c r="L424" s="36">
        <f>IF(R424="","",IF(INDEX('Recurring Schedule'!$J$6:$J$45,R424)="","",INDEX('Recurring Schedule'!$J$6:$J$45,R424)))</f>
        <v/>
      </c>
      <c r="M424" s="36">
        <f>IF(R424="","",IF(INDEX('Recurring Schedule'!$K$6:$K$45,R424)="","",INDEX('Recurring Schedule'!$K$6:$K$45,R424)))</f>
        <v/>
      </c>
      <c r="N424" s="36">
        <f>IF(R424="","",IF(INDEX('Recurring Schedule'!$L$6:$L$45,R424)="","",INDEX('Recurring Schedule'!$L$6:$L$45,R424)))</f>
        <v/>
      </c>
      <c r="O424" s="36">
        <f>IF(C424="","",IF(AND(OR(L424="1-Urgent",L424="2-High"),M424="✓"),"DO FIRST",IF(M424="✓","SCHEDULE",IF(OR(L424="1-Urgent",L424="2-High"),"DELEGATE","DELETE"))))</f>
        <v/>
      </c>
      <c r="P424" s="65" t="n"/>
      <c r="Q424">
        <f>IF(419&gt;Calc!$AQ$368,"",MATCH(418,Calc!$AQ$2:$AQ$367,1))</f>
        <v/>
      </c>
      <c r="R424">
        <f>IF(Q424="","",SMALL(INDEX(Calc!$B$2:$AO$367,Q424,0),419-INDEX(Calc!$AQ$2:$AQ$367,Q424)))</f>
        <v/>
      </c>
    </row>
    <row r="425">
      <c r="B425" s="71">
        <f>IF(R425="","",420)</f>
        <v/>
      </c>
      <c r="C425" s="75">
        <f>IF(R425="","",IF(INDEX('Recurring Schedule'!$C$6:$C$45,R425)="","",INDEX('Recurring Schedule'!$C$6:$C$45,R425)))</f>
        <v/>
      </c>
      <c r="D425" s="73">
        <f>IF(R425="","",IF(INDEX('Recurring Schedule'!$D$6:$D$45,R425)="","",INDEX('Recurring Schedule'!$D$6:$D$45,R425)))</f>
        <v/>
      </c>
      <c r="E425" s="76">
        <f>IF(Q425="","",INDEX(Calc!$A$2:$A$367,Q425))</f>
        <v/>
      </c>
      <c r="F425" s="72">
        <f>IF(OR(C425="",E425=""),"",E425-Setup!$D$7)</f>
        <v/>
      </c>
      <c r="G425" s="77">
        <f>IF(R425="","",IF(INDEX('Recurring Schedule'!$H$6:$H$45,R425)="","",INDEX('Recurring Schedule'!$H$6:$H$45,R425)))</f>
        <v/>
      </c>
      <c r="H425" s="77">
        <f>IF(R425="","",IF(INDEX('Recurring Schedule'!$I$6:$I$45,R425)="","",INDEX('Recurring Schedule'!$I$6:$I$45,R425)))</f>
        <v/>
      </c>
      <c r="I425" s="73">
        <f>IF(OR(G425="",H425=""),"",TRIM(IF(HOUR(H425-G425)&gt;0,HOUR(H425-G425)&amp;" hr ","")&amp;IF(MINUTE(H425-G425)&gt;0,MINUTE(H425-G425)&amp;" min","")))</f>
        <v/>
      </c>
      <c r="J425" s="66" t="n"/>
      <c r="K425" s="70" t="n"/>
      <c r="L425" s="73">
        <f>IF(R425="","",IF(INDEX('Recurring Schedule'!$J$6:$J$45,R425)="","",INDEX('Recurring Schedule'!$J$6:$J$45,R425)))</f>
        <v/>
      </c>
      <c r="M425" s="73">
        <f>IF(R425="","",IF(INDEX('Recurring Schedule'!$K$6:$K$45,R425)="","",INDEX('Recurring Schedule'!$K$6:$K$45,R425)))</f>
        <v/>
      </c>
      <c r="N425" s="73">
        <f>IF(R425="","",IF(INDEX('Recurring Schedule'!$L$6:$L$45,R425)="","",INDEX('Recurring Schedule'!$L$6:$L$45,R425)))</f>
        <v/>
      </c>
      <c r="O425" s="73">
        <f>IF(C425="","",IF(AND(OR(L425="1-Urgent",L425="2-High"),M425="✓"),"DO FIRST",IF(M425="✓","SCHEDULE",IF(OR(L425="1-Urgent",L425="2-High"),"DELEGATE","DELETE"))))</f>
        <v/>
      </c>
      <c r="P425" s="65" t="n"/>
      <c r="Q425">
        <f>IF(420&gt;Calc!$AQ$368,"",MATCH(419,Calc!$AQ$2:$AQ$367,1))</f>
        <v/>
      </c>
      <c r="R425">
        <f>IF(Q425="","",SMALL(INDEX(Calc!$B$2:$AO$367,Q425,0),420-INDEX(Calc!$AQ$2:$AQ$367,Q425)))</f>
        <v/>
      </c>
    </row>
    <row r="426">
      <c r="B426" s="64">
        <f>IF(R426="","",421)</f>
        <v/>
      </c>
      <c r="C426" s="37">
        <f>IF(R426="","",IF(INDEX('Recurring Schedule'!$C$6:$C$45,R426)="","",INDEX('Recurring Schedule'!$C$6:$C$45,R426)))</f>
        <v/>
      </c>
      <c r="D426" s="36">
        <f>IF(R426="","",IF(INDEX('Recurring Schedule'!$D$6:$D$45,R426)="","",INDEX('Recurring Schedule'!$D$6:$D$45,R426)))</f>
        <v/>
      </c>
      <c r="E426" s="38">
        <f>IF(Q426="","",INDEX(Calc!$A$2:$A$367,Q426))</f>
        <v/>
      </c>
      <c r="F426" s="68">
        <f>IF(OR(C426="",E426=""),"",E426-Setup!$D$7)</f>
        <v/>
      </c>
      <c r="G426" s="74">
        <f>IF(R426="","",IF(INDEX('Recurring Schedule'!$H$6:$H$45,R426)="","",INDEX('Recurring Schedule'!$H$6:$H$45,R426)))</f>
        <v/>
      </c>
      <c r="H426" s="74">
        <f>IF(R426="","",IF(INDEX('Recurring Schedule'!$I$6:$I$45,R426)="","",INDEX('Recurring Schedule'!$I$6:$I$45,R426)))</f>
        <v/>
      </c>
      <c r="I426" s="36">
        <f>IF(OR(G426="",H426=""),"",TRIM(IF(HOUR(H426-G426)&gt;0,HOUR(H426-G426)&amp;" hr ","")&amp;IF(MINUTE(H426-G426)&gt;0,MINUTE(H426-G426)&amp;" min","")))</f>
        <v/>
      </c>
      <c r="J426" s="66" t="n"/>
      <c r="K426" s="70" t="n"/>
      <c r="L426" s="36">
        <f>IF(R426="","",IF(INDEX('Recurring Schedule'!$J$6:$J$45,R426)="","",INDEX('Recurring Schedule'!$J$6:$J$45,R426)))</f>
        <v/>
      </c>
      <c r="M426" s="36">
        <f>IF(R426="","",IF(INDEX('Recurring Schedule'!$K$6:$K$45,R426)="","",INDEX('Recurring Schedule'!$K$6:$K$45,R426)))</f>
        <v/>
      </c>
      <c r="N426" s="36">
        <f>IF(R426="","",IF(INDEX('Recurring Schedule'!$L$6:$L$45,R426)="","",INDEX('Recurring Schedule'!$L$6:$L$45,R426)))</f>
        <v/>
      </c>
      <c r="O426" s="36">
        <f>IF(C426="","",IF(AND(OR(L426="1-Urgent",L426="2-High"),M426="✓"),"DO FIRST",IF(M426="✓","SCHEDULE",IF(OR(L426="1-Urgent",L426="2-High"),"DELEGATE","DELETE"))))</f>
        <v/>
      </c>
      <c r="P426" s="65" t="n"/>
      <c r="Q426">
        <f>IF(421&gt;Calc!$AQ$368,"",MATCH(420,Calc!$AQ$2:$AQ$367,1))</f>
        <v/>
      </c>
      <c r="R426">
        <f>IF(Q426="","",SMALL(INDEX(Calc!$B$2:$AO$367,Q426,0),421-INDEX(Calc!$AQ$2:$AQ$367,Q426)))</f>
        <v/>
      </c>
    </row>
    <row r="427">
      <c r="B427" s="71">
        <f>IF(R427="","",422)</f>
        <v/>
      </c>
      <c r="C427" s="75">
        <f>IF(R427="","",IF(INDEX('Recurring Schedule'!$C$6:$C$45,R427)="","",INDEX('Recurring Schedule'!$C$6:$C$45,R427)))</f>
        <v/>
      </c>
      <c r="D427" s="73">
        <f>IF(R427="","",IF(INDEX('Recurring Schedule'!$D$6:$D$45,R427)="","",INDEX('Recurring Schedule'!$D$6:$D$45,R427)))</f>
        <v/>
      </c>
      <c r="E427" s="76">
        <f>IF(Q427="","",INDEX(Calc!$A$2:$A$367,Q427))</f>
        <v/>
      </c>
      <c r="F427" s="72">
        <f>IF(OR(C427="",E427=""),"",E427-Setup!$D$7)</f>
        <v/>
      </c>
      <c r="G427" s="77">
        <f>IF(R427="","",IF(INDEX('Recurring Schedule'!$H$6:$H$45,R427)="","",INDEX('Recurring Schedule'!$H$6:$H$45,R427)))</f>
        <v/>
      </c>
      <c r="H427" s="77">
        <f>IF(R427="","",IF(INDEX('Recurring Schedule'!$I$6:$I$45,R427)="","",INDEX('Recurring Schedule'!$I$6:$I$45,R427)))</f>
        <v/>
      </c>
      <c r="I427" s="73">
        <f>IF(OR(G427="",H427=""),"",TRIM(IF(HOUR(H427-G427)&gt;0,HOUR(H427-G427)&amp;" hr ","")&amp;IF(MINUTE(H427-G427)&gt;0,MINUTE(H427-G427)&amp;" min","")))</f>
        <v/>
      </c>
      <c r="J427" s="66" t="n"/>
      <c r="K427" s="70" t="n"/>
      <c r="L427" s="73">
        <f>IF(R427="","",IF(INDEX('Recurring Schedule'!$J$6:$J$45,R427)="","",INDEX('Recurring Schedule'!$J$6:$J$45,R427)))</f>
        <v/>
      </c>
      <c r="M427" s="73">
        <f>IF(R427="","",IF(INDEX('Recurring Schedule'!$K$6:$K$45,R427)="","",INDEX('Recurring Schedule'!$K$6:$K$45,R427)))</f>
        <v/>
      </c>
      <c r="N427" s="73">
        <f>IF(R427="","",IF(INDEX('Recurring Schedule'!$L$6:$L$45,R427)="","",INDEX('Recurring Schedule'!$L$6:$L$45,R427)))</f>
        <v/>
      </c>
      <c r="O427" s="73">
        <f>IF(C427="","",IF(AND(OR(L427="1-Urgent",L427="2-High"),M427="✓"),"DO FIRST",IF(M427="✓","SCHEDULE",IF(OR(L427="1-Urgent",L427="2-High"),"DELEGATE","DELETE"))))</f>
        <v/>
      </c>
      <c r="P427" s="65" t="n"/>
      <c r="Q427">
        <f>IF(422&gt;Calc!$AQ$368,"",MATCH(421,Calc!$AQ$2:$AQ$367,1))</f>
        <v/>
      </c>
      <c r="R427">
        <f>IF(Q427="","",SMALL(INDEX(Calc!$B$2:$AO$367,Q427,0),422-INDEX(Calc!$AQ$2:$AQ$367,Q427)))</f>
        <v/>
      </c>
    </row>
    <row r="428">
      <c r="B428" s="64">
        <f>IF(R428="","",423)</f>
        <v/>
      </c>
      <c r="C428" s="37">
        <f>IF(R428="","",IF(INDEX('Recurring Schedule'!$C$6:$C$45,R428)="","",INDEX('Recurring Schedule'!$C$6:$C$45,R428)))</f>
        <v/>
      </c>
      <c r="D428" s="36">
        <f>IF(R428="","",IF(INDEX('Recurring Schedule'!$D$6:$D$45,R428)="","",INDEX('Recurring Schedule'!$D$6:$D$45,R428)))</f>
        <v/>
      </c>
      <c r="E428" s="38">
        <f>IF(Q428="","",INDEX(Calc!$A$2:$A$367,Q428))</f>
        <v/>
      </c>
      <c r="F428" s="68">
        <f>IF(OR(C428="",E428=""),"",E428-Setup!$D$7)</f>
        <v/>
      </c>
      <c r="G428" s="74">
        <f>IF(R428="","",IF(INDEX('Recurring Schedule'!$H$6:$H$45,R428)="","",INDEX('Recurring Schedule'!$H$6:$H$45,R428)))</f>
        <v/>
      </c>
      <c r="H428" s="74">
        <f>IF(R428="","",IF(INDEX('Recurring Schedule'!$I$6:$I$45,R428)="","",INDEX('Recurring Schedule'!$I$6:$I$45,R428)))</f>
        <v/>
      </c>
      <c r="I428" s="36">
        <f>IF(OR(G428="",H428=""),"",TRIM(IF(HOUR(H428-G428)&gt;0,HOUR(H428-G428)&amp;" hr ","")&amp;IF(MINUTE(H428-G428)&gt;0,MINUTE(H428-G428)&amp;" min","")))</f>
        <v/>
      </c>
      <c r="J428" s="66" t="n"/>
      <c r="K428" s="70" t="n"/>
      <c r="L428" s="36">
        <f>IF(R428="","",IF(INDEX('Recurring Schedule'!$J$6:$J$45,R428)="","",INDEX('Recurring Schedule'!$J$6:$J$45,R428)))</f>
        <v/>
      </c>
      <c r="M428" s="36">
        <f>IF(R428="","",IF(INDEX('Recurring Schedule'!$K$6:$K$45,R428)="","",INDEX('Recurring Schedule'!$K$6:$K$45,R428)))</f>
        <v/>
      </c>
      <c r="N428" s="36">
        <f>IF(R428="","",IF(INDEX('Recurring Schedule'!$L$6:$L$45,R428)="","",INDEX('Recurring Schedule'!$L$6:$L$45,R428)))</f>
        <v/>
      </c>
      <c r="O428" s="36">
        <f>IF(C428="","",IF(AND(OR(L428="1-Urgent",L428="2-High"),M428="✓"),"DO FIRST",IF(M428="✓","SCHEDULE",IF(OR(L428="1-Urgent",L428="2-High"),"DELEGATE","DELETE"))))</f>
        <v/>
      </c>
      <c r="P428" s="65" t="n"/>
      <c r="Q428">
        <f>IF(423&gt;Calc!$AQ$368,"",MATCH(422,Calc!$AQ$2:$AQ$367,1))</f>
        <v/>
      </c>
      <c r="R428">
        <f>IF(Q428="","",SMALL(INDEX(Calc!$B$2:$AO$367,Q428,0),423-INDEX(Calc!$AQ$2:$AQ$367,Q428)))</f>
        <v/>
      </c>
    </row>
    <row r="429">
      <c r="B429" s="71">
        <f>IF(R429="","",424)</f>
        <v/>
      </c>
      <c r="C429" s="75">
        <f>IF(R429="","",IF(INDEX('Recurring Schedule'!$C$6:$C$45,R429)="","",INDEX('Recurring Schedule'!$C$6:$C$45,R429)))</f>
        <v/>
      </c>
      <c r="D429" s="73">
        <f>IF(R429="","",IF(INDEX('Recurring Schedule'!$D$6:$D$45,R429)="","",INDEX('Recurring Schedule'!$D$6:$D$45,R429)))</f>
        <v/>
      </c>
      <c r="E429" s="76">
        <f>IF(Q429="","",INDEX(Calc!$A$2:$A$367,Q429))</f>
        <v/>
      </c>
      <c r="F429" s="72">
        <f>IF(OR(C429="",E429=""),"",E429-Setup!$D$7)</f>
        <v/>
      </c>
      <c r="G429" s="77">
        <f>IF(R429="","",IF(INDEX('Recurring Schedule'!$H$6:$H$45,R429)="","",INDEX('Recurring Schedule'!$H$6:$H$45,R429)))</f>
        <v/>
      </c>
      <c r="H429" s="77">
        <f>IF(R429="","",IF(INDEX('Recurring Schedule'!$I$6:$I$45,R429)="","",INDEX('Recurring Schedule'!$I$6:$I$45,R429)))</f>
        <v/>
      </c>
      <c r="I429" s="73">
        <f>IF(OR(G429="",H429=""),"",TRIM(IF(HOUR(H429-G429)&gt;0,HOUR(H429-G429)&amp;" hr ","")&amp;IF(MINUTE(H429-G429)&gt;0,MINUTE(H429-G429)&amp;" min","")))</f>
        <v/>
      </c>
      <c r="J429" s="66" t="n"/>
      <c r="K429" s="70" t="n"/>
      <c r="L429" s="73">
        <f>IF(R429="","",IF(INDEX('Recurring Schedule'!$J$6:$J$45,R429)="","",INDEX('Recurring Schedule'!$J$6:$J$45,R429)))</f>
        <v/>
      </c>
      <c r="M429" s="73">
        <f>IF(R429="","",IF(INDEX('Recurring Schedule'!$K$6:$K$45,R429)="","",INDEX('Recurring Schedule'!$K$6:$K$45,R429)))</f>
        <v/>
      </c>
      <c r="N429" s="73">
        <f>IF(R429="","",IF(INDEX('Recurring Schedule'!$L$6:$L$45,R429)="","",INDEX('Recurring Schedule'!$L$6:$L$45,R429)))</f>
        <v/>
      </c>
      <c r="O429" s="73">
        <f>IF(C429="","",IF(AND(OR(L429="1-Urgent",L429="2-High"),M429="✓"),"DO FIRST",IF(M429="✓","SCHEDULE",IF(OR(L429="1-Urgent",L429="2-High"),"DELEGATE","DELETE"))))</f>
        <v/>
      </c>
      <c r="P429" s="65" t="n"/>
      <c r="Q429">
        <f>IF(424&gt;Calc!$AQ$368,"",MATCH(423,Calc!$AQ$2:$AQ$367,1))</f>
        <v/>
      </c>
      <c r="R429">
        <f>IF(Q429="","",SMALL(INDEX(Calc!$B$2:$AO$367,Q429,0),424-INDEX(Calc!$AQ$2:$AQ$367,Q429)))</f>
        <v/>
      </c>
    </row>
    <row r="430">
      <c r="B430" s="64">
        <f>IF(R430="","",425)</f>
        <v/>
      </c>
      <c r="C430" s="37">
        <f>IF(R430="","",IF(INDEX('Recurring Schedule'!$C$6:$C$45,R430)="","",INDEX('Recurring Schedule'!$C$6:$C$45,R430)))</f>
        <v/>
      </c>
      <c r="D430" s="36">
        <f>IF(R430="","",IF(INDEX('Recurring Schedule'!$D$6:$D$45,R430)="","",INDEX('Recurring Schedule'!$D$6:$D$45,R430)))</f>
        <v/>
      </c>
      <c r="E430" s="38">
        <f>IF(Q430="","",INDEX(Calc!$A$2:$A$367,Q430))</f>
        <v/>
      </c>
      <c r="F430" s="68">
        <f>IF(OR(C430="",E430=""),"",E430-Setup!$D$7)</f>
        <v/>
      </c>
      <c r="G430" s="74">
        <f>IF(R430="","",IF(INDEX('Recurring Schedule'!$H$6:$H$45,R430)="","",INDEX('Recurring Schedule'!$H$6:$H$45,R430)))</f>
        <v/>
      </c>
      <c r="H430" s="74">
        <f>IF(R430="","",IF(INDEX('Recurring Schedule'!$I$6:$I$45,R430)="","",INDEX('Recurring Schedule'!$I$6:$I$45,R430)))</f>
        <v/>
      </c>
      <c r="I430" s="36">
        <f>IF(OR(G430="",H430=""),"",TRIM(IF(HOUR(H430-G430)&gt;0,HOUR(H430-G430)&amp;" hr ","")&amp;IF(MINUTE(H430-G430)&gt;0,MINUTE(H430-G430)&amp;" min","")))</f>
        <v/>
      </c>
      <c r="J430" s="66" t="n"/>
      <c r="K430" s="70" t="n"/>
      <c r="L430" s="36">
        <f>IF(R430="","",IF(INDEX('Recurring Schedule'!$J$6:$J$45,R430)="","",INDEX('Recurring Schedule'!$J$6:$J$45,R430)))</f>
        <v/>
      </c>
      <c r="M430" s="36">
        <f>IF(R430="","",IF(INDEX('Recurring Schedule'!$K$6:$K$45,R430)="","",INDEX('Recurring Schedule'!$K$6:$K$45,R430)))</f>
        <v/>
      </c>
      <c r="N430" s="36">
        <f>IF(R430="","",IF(INDEX('Recurring Schedule'!$L$6:$L$45,R430)="","",INDEX('Recurring Schedule'!$L$6:$L$45,R430)))</f>
        <v/>
      </c>
      <c r="O430" s="36">
        <f>IF(C430="","",IF(AND(OR(L430="1-Urgent",L430="2-High"),M430="✓"),"DO FIRST",IF(M430="✓","SCHEDULE",IF(OR(L430="1-Urgent",L430="2-High"),"DELEGATE","DELETE"))))</f>
        <v/>
      </c>
      <c r="P430" s="65" t="n"/>
      <c r="Q430">
        <f>IF(425&gt;Calc!$AQ$368,"",MATCH(424,Calc!$AQ$2:$AQ$367,1))</f>
        <v/>
      </c>
      <c r="R430">
        <f>IF(Q430="","",SMALL(INDEX(Calc!$B$2:$AO$367,Q430,0),425-INDEX(Calc!$AQ$2:$AQ$367,Q430)))</f>
        <v/>
      </c>
    </row>
    <row r="431">
      <c r="B431" s="71">
        <f>IF(R431="","",426)</f>
        <v/>
      </c>
      <c r="C431" s="75">
        <f>IF(R431="","",IF(INDEX('Recurring Schedule'!$C$6:$C$45,R431)="","",INDEX('Recurring Schedule'!$C$6:$C$45,R431)))</f>
        <v/>
      </c>
      <c r="D431" s="73">
        <f>IF(R431="","",IF(INDEX('Recurring Schedule'!$D$6:$D$45,R431)="","",INDEX('Recurring Schedule'!$D$6:$D$45,R431)))</f>
        <v/>
      </c>
      <c r="E431" s="76">
        <f>IF(Q431="","",INDEX(Calc!$A$2:$A$367,Q431))</f>
        <v/>
      </c>
      <c r="F431" s="72">
        <f>IF(OR(C431="",E431=""),"",E431-Setup!$D$7)</f>
        <v/>
      </c>
      <c r="G431" s="77">
        <f>IF(R431="","",IF(INDEX('Recurring Schedule'!$H$6:$H$45,R431)="","",INDEX('Recurring Schedule'!$H$6:$H$45,R431)))</f>
        <v/>
      </c>
      <c r="H431" s="77">
        <f>IF(R431="","",IF(INDEX('Recurring Schedule'!$I$6:$I$45,R431)="","",INDEX('Recurring Schedule'!$I$6:$I$45,R431)))</f>
        <v/>
      </c>
      <c r="I431" s="73">
        <f>IF(OR(G431="",H431=""),"",TRIM(IF(HOUR(H431-G431)&gt;0,HOUR(H431-G431)&amp;" hr ","")&amp;IF(MINUTE(H431-G431)&gt;0,MINUTE(H431-G431)&amp;" min","")))</f>
        <v/>
      </c>
      <c r="J431" s="66" t="n"/>
      <c r="K431" s="70" t="n"/>
      <c r="L431" s="73">
        <f>IF(R431="","",IF(INDEX('Recurring Schedule'!$J$6:$J$45,R431)="","",INDEX('Recurring Schedule'!$J$6:$J$45,R431)))</f>
        <v/>
      </c>
      <c r="M431" s="73">
        <f>IF(R431="","",IF(INDEX('Recurring Schedule'!$K$6:$K$45,R431)="","",INDEX('Recurring Schedule'!$K$6:$K$45,R431)))</f>
        <v/>
      </c>
      <c r="N431" s="73">
        <f>IF(R431="","",IF(INDEX('Recurring Schedule'!$L$6:$L$45,R431)="","",INDEX('Recurring Schedule'!$L$6:$L$45,R431)))</f>
        <v/>
      </c>
      <c r="O431" s="73">
        <f>IF(C431="","",IF(AND(OR(L431="1-Urgent",L431="2-High"),M431="✓"),"DO FIRST",IF(M431="✓","SCHEDULE",IF(OR(L431="1-Urgent",L431="2-High"),"DELEGATE","DELETE"))))</f>
        <v/>
      </c>
      <c r="P431" s="65" t="n"/>
      <c r="Q431">
        <f>IF(426&gt;Calc!$AQ$368,"",MATCH(425,Calc!$AQ$2:$AQ$367,1))</f>
        <v/>
      </c>
      <c r="R431">
        <f>IF(Q431="","",SMALL(INDEX(Calc!$B$2:$AO$367,Q431,0),426-INDEX(Calc!$AQ$2:$AQ$367,Q431)))</f>
        <v/>
      </c>
    </row>
    <row r="432">
      <c r="B432" s="64">
        <f>IF(R432="","",427)</f>
        <v/>
      </c>
      <c r="C432" s="37">
        <f>IF(R432="","",IF(INDEX('Recurring Schedule'!$C$6:$C$45,R432)="","",INDEX('Recurring Schedule'!$C$6:$C$45,R432)))</f>
        <v/>
      </c>
      <c r="D432" s="36">
        <f>IF(R432="","",IF(INDEX('Recurring Schedule'!$D$6:$D$45,R432)="","",INDEX('Recurring Schedule'!$D$6:$D$45,R432)))</f>
        <v/>
      </c>
      <c r="E432" s="38">
        <f>IF(Q432="","",INDEX(Calc!$A$2:$A$367,Q432))</f>
        <v/>
      </c>
      <c r="F432" s="68">
        <f>IF(OR(C432="",E432=""),"",E432-Setup!$D$7)</f>
        <v/>
      </c>
      <c r="G432" s="74">
        <f>IF(R432="","",IF(INDEX('Recurring Schedule'!$H$6:$H$45,R432)="","",INDEX('Recurring Schedule'!$H$6:$H$45,R432)))</f>
        <v/>
      </c>
      <c r="H432" s="74">
        <f>IF(R432="","",IF(INDEX('Recurring Schedule'!$I$6:$I$45,R432)="","",INDEX('Recurring Schedule'!$I$6:$I$45,R432)))</f>
        <v/>
      </c>
      <c r="I432" s="36">
        <f>IF(OR(G432="",H432=""),"",TRIM(IF(HOUR(H432-G432)&gt;0,HOUR(H432-G432)&amp;" hr ","")&amp;IF(MINUTE(H432-G432)&gt;0,MINUTE(H432-G432)&amp;" min","")))</f>
        <v/>
      </c>
      <c r="J432" s="66" t="n"/>
      <c r="K432" s="70" t="n"/>
      <c r="L432" s="36">
        <f>IF(R432="","",IF(INDEX('Recurring Schedule'!$J$6:$J$45,R432)="","",INDEX('Recurring Schedule'!$J$6:$J$45,R432)))</f>
        <v/>
      </c>
      <c r="M432" s="36">
        <f>IF(R432="","",IF(INDEX('Recurring Schedule'!$K$6:$K$45,R432)="","",INDEX('Recurring Schedule'!$K$6:$K$45,R432)))</f>
        <v/>
      </c>
      <c r="N432" s="36">
        <f>IF(R432="","",IF(INDEX('Recurring Schedule'!$L$6:$L$45,R432)="","",INDEX('Recurring Schedule'!$L$6:$L$45,R432)))</f>
        <v/>
      </c>
      <c r="O432" s="36">
        <f>IF(C432="","",IF(AND(OR(L432="1-Urgent",L432="2-High"),M432="✓"),"DO FIRST",IF(M432="✓","SCHEDULE",IF(OR(L432="1-Urgent",L432="2-High"),"DELEGATE","DELETE"))))</f>
        <v/>
      </c>
      <c r="P432" s="65" t="n"/>
      <c r="Q432">
        <f>IF(427&gt;Calc!$AQ$368,"",MATCH(426,Calc!$AQ$2:$AQ$367,1))</f>
        <v/>
      </c>
      <c r="R432">
        <f>IF(Q432="","",SMALL(INDEX(Calc!$B$2:$AO$367,Q432,0),427-INDEX(Calc!$AQ$2:$AQ$367,Q432)))</f>
        <v/>
      </c>
    </row>
    <row r="433">
      <c r="B433" s="71">
        <f>IF(R433="","",428)</f>
        <v/>
      </c>
      <c r="C433" s="75">
        <f>IF(R433="","",IF(INDEX('Recurring Schedule'!$C$6:$C$45,R433)="","",INDEX('Recurring Schedule'!$C$6:$C$45,R433)))</f>
        <v/>
      </c>
      <c r="D433" s="73">
        <f>IF(R433="","",IF(INDEX('Recurring Schedule'!$D$6:$D$45,R433)="","",INDEX('Recurring Schedule'!$D$6:$D$45,R433)))</f>
        <v/>
      </c>
      <c r="E433" s="76">
        <f>IF(Q433="","",INDEX(Calc!$A$2:$A$367,Q433))</f>
        <v/>
      </c>
      <c r="F433" s="72">
        <f>IF(OR(C433="",E433=""),"",E433-Setup!$D$7)</f>
        <v/>
      </c>
      <c r="G433" s="77">
        <f>IF(R433="","",IF(INDEX('Recurring Schedule'!$H$6:$H$45,R433)="","",INDEX('Recurring Schedule'!$H$6:$H$45,R433)))</f>
        <v/>
      </c>
      <c r="H433" s="77">
        <f>IF(R433="","",IF(INDEX('Recurring Schedule'!$I$6:$I$45,R433)="","",INDEX('Recurring Schedule'!$I$6:$I$45,R433)))</f>
        <v/>
      </c>
      <c r="I433" s="73">
        <f>IF(OR(G433="",H433=""),"",TRIM(IF(HOUR(H433-G433)&gt;0,HOUR(H433-G433)&amp;" hr ","")&amp;IF(MINUTE(H433-G433)&gt;0,MINUTE(H433-G433)&amp;" min","")))</f>
        <v/>
      </c>
      <c r="J433" s="66" t="n"/>
      <c r="K433" s="70" t="n"/>
      <c r="L433" s="73">
        <f>IF(R433="","",IF(INDEX('Recurring Schedule'!$J$6:$J$45,R433)="","",INDEX('Recurring Schedule'!$J$6:$J$45,R433)))</f>
        <v/>
      </c>
      <c r="M433" s="73">
        <f>IF(R433="","",IF(INDEX('Recurring Schedule'!$K$6:$K$45,R433)="","",INDEX('Recurring Schedule'!$K$6:$K$45,R433)))</f>
        <v/>
      </c>
      <c r="N433" s="73">
        <f>IF(R433="","",IF(INDEX('Recurring Schedule'!$L$6:$L$45,R433)="","",INDEX('Recurring Schedule'!$L$6:$L$45,R433)))</f>
        <v/>
      </c>
      <c r="O433" s="73">
        <f>IF(C433="","",IF(AND(OR(L433="1-Urgent",L433="2-High"),M433="✓"),"DO FIRST",IF(M433="✓","SCHEDULE",IF(OR(L433="1-Urgent",L433="2-High"),"DELEGATE","DELETE"))))</f>
        <v/>
      </c>
      <c r="P433" s="65" t="n"/>
      <c r="Q433">
        <f>IF(428&gt;Calc!$AQ$368,"",MATCH(427,Calc!$AQ$2:$AQ$367,1))</f>
        <v/>
      </c>
      <c r="R433">
        <f>IF(Q433="","",SMALL(INDEX(Calc!$B$2:$AO$367,Q433,0),428-INDEX(Calc!$AQ$2:$AQ$367,Q433)))</f>
        <v/>
      </c>
    </row>
    <row r="434">
      <c r="B434" s="64">
        <f>IF(R434="","",429)</f>
        <v/>
      </c>
      <c r="C434" s="37">
        <f>IF(R434="","",IF(INDEX('Recurring Schedule'!$C$6:$C$45,R434)="","",INDEX('Recurring Schedule'!$C$6:$C$45,R434)))</f>
        <v/>
      </c>
      <c r="D434" s="36">
        <f>IF(R434="","",IF(INDEX('Recurring Schedule'!$D$6:$D$45,R434)="","",INDEX('Recurring Schedule'!$D$6:$D$45,R434)))</f>
        <v/>
      </c>
      <c r="E434" s="38">
        <f>IF(Q434="","",INDEX(Calc!$A$2:$A$367,Q434))</f>
        <v/>
      </c>
      <c r="F434" s="68">
        <f>IF(OR(C434="",E434=""),"",E434-Setup!$D$7)</f>
        <v/>
      </c>
      <c r="G434" s="74">
        <f>IF(R434="","",IF(INDEX('Recurring Schedule'!$H$6:$H$45,R434)="","",INDEX('Recurring Schedule'!$H$6:$H$45,R434)))</f>
        <v/>
      </c>
      <c r="H434" s="74">
        <f>IF(R434="","",IF(INDEX('Recurring Schedule'!$I$6:$I$45,R434)="","",INDEX('Recurring Schedule'!$I$6:$I$45,R434)))</f>
        <v/>
      </c>
      <c r="I434" s="36">
        <f>IF(OR(G434="",H434=""),"",TRIM(IF(HOUR(H434-G434)&gt;0,HOUR(H434-G434)&amp;" hr ","")&amp;IF(MINUTE(H434-G434)&gt;0,MINUTE(H434-G434)&amp;" min","")))</f>
        <v/>
      </c>
      <c r="J434" s="66" t="n"/>
      <c r="K434" s="70" t="n"/>
      <c r="L434" s="36">
        <f>IF(R434="","",IF(INDEX('Recurring Schedule'!$J$6:$J$45,R434)="","",INDEX('Recurring Schedule'!$J$6:$J$45,R434)))</f>
        <v/>
      </c>
      <c r="M434" s="36">
        <f>IF(R434="","",IF(INDEX('Recurring Schedule'!$K$6:$K$45,R434)="","",INDEX('Recurring Schedule'!$K$6:$K$45,R434)))</f>
        <v/>
      </c>
      <c r="N434" s="36">
        <f>IF(R434="","",IF(INDEX('Recurring Schedule'!$L$6:$L$45,R434)="","",INDEX('Recurring Schedule'!$L$6:$L$45,R434)))</f>
        <v/>
      </c>
      <c r="O434" s="36">
        <f>IF(C434="","",IF(AND(OR(L434="1-Urgent",L434="2-High"),M434="✓"),"DO FIRST",IF(M434="✓","SCHEDULE",IF(OR(L434="1-Urgent",L434="2-High"),"DELEGATE","DELETE"))))</f>
        <v/>
      </c>
      <c r="P434" s="65" t="n"/>
      <c r="Q434">
        <f>IF(429&gt;Calc!$AQ$368,"",MATCH(428,Calc!$AQ$2:$AQ$367,1))</f>
        <v/>
      </c>
      <c r="R434">
        <f>IF(Q434="","",SMALL(INDEX(Calc!$B$2:$AO$367,Q434,0),429-INDEX(Calc!$AQ$2:$AQ$367,Q434)))</f>
        <v/>
      </c>
    </row>
    <row r="435">
      <c r="B435" s="71">
        <f>IF(R435="","",430)</f>
        <v/>
      </c>
      <c r="C435" s="75">
        <f>IF(R435="","",IF(INDEX('Recurring Schedule'!$C$6:$C$45,R435)="","",INDEX('Recurring Schedule'!$C$6:$C$45,R435)))</f>
        <v/>
      </c>
      <c r="D435" s="73">
        <f>IF(R435="","",IF(INDEX('Recurring Schedule'!$D$6:$D$45,R435)="","",INDEX('Recurring Schedule'!$D$6:$D$45,R435)))</f>
        <v/>
      </c>
      <c r="E435" s="76">
        <f>IF(Q435="","",INDEX(Calc!$A$2:$A$367,Q435))</f>
        <v/>
      </c>
      <c r="F435" s="72">
        <f>IF(OR(C435="",E435=""),"",E435-Setup!$D$7)</f>
        <v/>
      </c>
      <c r="G435" s="77">
        <f>IF(R435="","",IF(INDEX('Recurring Schedule'!$H$6:$H$45,R435)="","",INDEX('Recurring Schedule'!$H$6:$H$45,R435)))</f>
        <v/>
      </c>
      <c r="H435" s="77">
        <f>IF(R435="","",IF(INDEX('Recurring Schedule'!$I$6:$I$45,R435)="","",INDEX('Recurring Schedule'!$I$6:$I$45,R435)))</f>
        <v/>
      </c>
      <c r="I435" s="73">
        <f>IF(OR(G435="",H435=""),"",TRIM(IF(HOUR(H435-G435)&gt;0,HOUR(H435-G435)&amp;" hr ","")&amp;IF(MINUTE(H435-G435)&gt;0,MINUTE(H435-G435)&amp;" min","")))</f>
        <v/>
      </c>
      <c r="J435" s="66" t="n"/>
      <c r="K435" s="70" t="n"/>
      <c r="L435" s="73">
        <f>IF(R435="","",IF(INDEX('Recurring Schedule'!$J$6:$J$45,R435)="","",INDEX('Recurring Schedule'!$J$6:$J$45,R435)))</f>
        <v/>
      </c>
      <c r="M435" s="73">
        <f>IF(R435="","",IF(INDEX('Recurring Schedule'!$K$6:$K$45,R435)="","",INDEX('Recurring Schedule'!$K$6:$K$45,R435)))</f>
        <v/>
      </c>
      <c r="N435" s="73">
        <f>IF(R435="","",IF(INDEX('Recurring Schedule'!$L$6:$L$45,R435)="","",INDEX('Recurring Schedule'!$L$6:$L$45,R435)))</f>
        <v/>
      </c>
      <c r="O435" s="73">
        <f>IF(C435="","",IF(AND(OR(L435="1-Urgent",L435="2-High"),M435="✓"),"DO FIRST",IF(M435="✓","SCHEDULE",IF(OR(L435="1-Urgent",L435="2-High"),"DELEGATE","DELETE"))))</f>
        <v/>
      </c>
      <c r="P435" s="65" t="n"/>
      <c r="Q435">
        <f>IF(430&gt;Calc!$AQ$368,"",MATCH(429,Calc!$AQ$2:$AQ$367,1))</f>
        <v/>
      </c>
      <c r="R435">
        <f>IF(Q435="","",SMALL(INDEX(Calc!$B$2:$AO$367,Q435,0),430-INDEX(Calc!$AQ$2:$AQ$367,Q435)))</f>
        <v/>
      </c>
    </row>
    <row r="436">
      <c r="B436" s="64">
        <f>IF(R436="","",431)</f>
        <v/>
      </c>
      <c r="C436" s="37">
        <f>IF(R436="","",IF(INDEX('Recurring Schedule'!$C$6:$C$45,R436)="","",INDEX('Recurring Schedule'!$C$6:$C$45,R436)))</f>
        <v/>
      </c>
      <c r="D436" s="36">
        <f>IF(R436="","",IF(INDEX('Recurring Schedule'!$D$6:$D$45,R436)="","",INDEX('Recurring Schedule'!$D$6:$D$45,R436)))</f>
        <v/>
      </c>
      <c r="E436" s="38">
        <f>IF(Q436="","",INDEX(Calc!$A$2:$A$367,Q436))</f>
        <v/>
      </c>
      <c r="F436" s="68">
        <f>IF(OR(C436="",E436=""),"",E436-Setup!$D$7)</f>
        <v/>
      </c>
      <c r="G436" s="74">
        <f>IF(R436="","",IF(INDEX('Recurring Schedule'!$H$6:$H$45,R436)="","",INDEX('Recurring Schedule'!$H$6:$H$45,R436)))</f>
        <v/>
      </c>
      <c r="H436" s="74">
        <f>IF(R436="","",IF(INDEX('Recurring Schedule'!$I$6:$I$45,R436)="","",INDEX('Recurring Schedule'!$I$6:$I$45,R436)))</f>
        <v/>
      </c>
      <c r="I436" s="36">
        <f>IF(OR(G436="",H436=""),"",TRIM(IF(HOUR(H436-G436)&gt;0,HOUR(H436-G436)&amp;" hr ","")&amp;IF(MINUTE(H436-G436)&gt;0,MINUTE(H436-G436)&amp;" min","")))</f>
        <v/>
      </c>
      <c r="J436" s="66" t="n"/>
      <c r="K436" s="70" t="n"/>
      <c r="L436" s="36">
        <f>IF(R436="","",IF(INDEX('Recurring Schedule'!$J$6:$J$45,R436)="","",INDEX('Recurring Schedule'!$J$6:$J$45,R436)))</f>
        <v/>
      </c>
      <c r="M436" s="36">
        <f>IF(R436="","",IF(INDEX('Recurring Schedule'!$K$6:$K$45,R436)="","",INDEX('Recurring Schedule'!$K$6:$K$45,R436)))</f>
        <v/>
      </c>
      <c r="N436" s="36">
        <f>IF(R436="","",IF(INDEX('Recurring Schedule'!$L$6:$L$45,R436)="","",INDEX('Recurring Schedule'!$L$6:$L$45,R436)))</f>
        <v/>
      </c>
      <c r="O436" s="36">
        <f>IF(C436="","",IF(AND(OR(L436="1-Urgent",L436="2-High"),M436="✓"),"DO FIRST",IF(M436="✓","SCHEDULE",IF(OR(L436="1-Urgent",L436="2-High"),"DELEGATE","DELETE"))))</f>
        <v/>
      </c>
      <c r="P436" s="65" t="n"/>
      <c r="Q436">
        <f>IF(431&gt;Calc!$AQ$368,"",MATCH(430,Calc!$AQ$2:$AQ$367,1))</f>
        <v/>
      </c>
      <c r="R436">
        <f>IF(Q436="","",SMALL(INDEX(Calc!$B$2:$AO$367,Q436,0),431-INDEX(Calc!$AQ$2:$AQ$367,Q436)))</f>
        <v/>
      </c>
    </row>
    <row r="437">
      <c r="B437" s="71">
        <f>IF(R437="","",432)</f>
        <v/>
      </c>
      <c r="C437" s="75">
        <f>IF(R437="","",IF(INDEX('Recurring Schedule'!$C$6:$C$45,R437)="","",INDEX('Recurring Schedule'!$C$6:$C$45,R437)))</f>
        <v/>
      </c>
      <c r="D437" s="73">
        <f>IF(R437="","",IF(INDEX('Recurring Schedule'!$D$6:$D$45,R437)="","",INDEX('Recurring Schedule'!$D$6:$D$45,R437)))</f>
        <v/>
      </c>
      <c r="E437" s="76">
        <f>IF(Q437="","",INDEX(Calc!$A$2:$A$367,Q437))</f>
        <v/>
      </c>
      <c r="F437" s="72">
        <f>IF(OR(C437="",E437=""),"",E437-Setup!$D$7)</f>
        <v/>
      </c>
      <c r="G437" s="77">
        <f>IF(R437="","",IF(INDEX('Recurring Schedule'!$H$6:$H$45,R437)="","",INDEX('Recurring Schedule'!$H$6:$H$45,R437)))</f>
        <v/>
      </c>
      <c r="H437" s="77">
        <f>IF(R437="","",IF(INDEX('Recurring Schedule'!$I$6:$I$45,R437)="","",INDEX('Recurring Schedule'!$I$6:$I$45,R437)))</f>
        <v/>
      </c>
      <c r="I437" s="73">
        <f>IF(OR(G437="",H437=""),"",TRIM(IF(HOUR(H437-G437)&gt;0,HOUR(H437-G437)&amp;" hr ","")&amp;IF(MINUTE(H437-G437)&gt;0,MINUTE(H437-G437)&amp;" min","")))</f>
        <v/>
      </c>
      <c r="J437" s="66" t="n"/>
      <c r="K437" s="70" t="n"/>
      <c r="L437" s="73">
        <f>IF(R437="","",IF(INDEX('Recurring Schedule'!$J$6:$J$45,R437)="","",INDEX('Recurring Schedule'!$J$6:$J$45,R437)))</f>
        <v/>
      </c>
      <c r="M437" s="73">
        <f>IF(R437="","",IF(INDEX('Recurring Schedule'!$K$6:$K$45,R437)="","",INDEX('Recurring Schedule'!$K$6:$K$45,R437)))</f>
        <v/>
      </c>
      <c r="N437" s="73">
        <f>IF(R437="","",IF(INDEX('Recurring Schedule'!$L$6:$L$45,R437)="","",INDEX('Recurring Schedule'!$L$6:$L$45,R437)))</f>
        <v/>
      </c>
      <c r="O437" s="73">
        <f>IF(C437="","",IF(AND(OR(L437="1-Urgent",L437="2-High"),M437="✓"),"DO FIRST",IF(M437="✓","SCHEDULE",IF(OR(L437="1-Urgent",L437="2-High"),"DELEGATE","DELETE"))))</f>
        <v/>
      </c>
      <c r="P437" s="65" t="n"/>
      <c r="Q437">
        <f>IF(432&gt;Calc!$AQ$368,"",MATCH(431,Calc!$AQ$2:$AQ$367,1))</f>
        <v/>
      </c>
      <c r="R437">
        <f>IF(Q437="","",SMALL(INDEX(Calc!$B$2:$AO$367,Q437,0),432-INDEX(Calc!$AQ$2:$AQ$367,Q437)))</f>
        <v/>
      </c>
    </row>
    <row r="438">
      <c r="B438" s="64">
        <f>IF(R438="","",433)</f>
        <v/>
      </c>
      <c r="C438" s="37">
        <f>IF(R438="","",IF(INDEX('Recurring Schedule'!$C$6:$C$45,R438)="","",INDEX('Recurring Schedule'!$C$6:$C$45,R438)))</f>
        <v/>
      </c>
      <c r="D438" s="36">
        <f>IF(R438="","",IF(INDEX('Recurring Schedule'!$D$6:$D$45,R438)="","",INDEX('Recurring Schedule'!$D$6:$D$45,R438)))</f>
        <v/>
      </c>
      <c r="E438" s="38">
        <f>IF(Q438="","",INDEX(Calc!$A$2:$A$367,Q438))</f>
        <v/>
      </c>
      <c r="F438" s="68">
        <f>IF(OR(C438="",E438=""),"",E438-Setup!$D$7)</f>
        <v/>
      </c>
      <c r="G438" s="74">
        <f>IF(R438="","",IF(INDEX('Recurring Schedule'!$H$6:$H$45,R438)="","",INDEX('Recurring Schedule'!$H$6:$H$45,R438)))</f>
        <v/>
      </c>
      <c r="H438" s="74">
        <f>IF(R438="","",IF(INDEX('Recurring Schedule'!$I$6:$I$45,R438)="","",INDEX('Recurring Schedule'!$I$6:$I$45,R438)))</f>
        <v/>
      </c>
      <c r="I438" s="36">
        <f>IF(OR(G438="",H438=""),"",TRIM(IF(HOUR(H438-G438)&gt;0,HOUR(H438-G438)&amp;" hr ","")&amp;IF(MINUTE(H438-G438)&gt;0,MINUTE(H438-G438)&amp;" min","")))</f>
        <v/>
      </c>
      <c r="J438" s="66" t="n"/>
      <c r="K438" s="70" t="n"/>
      <c r="L438" s="36">
        <f>IF(R438="","",IF(INDEX('Recurring Schedule'!$J$6:$J$45,R438)="","",INDEX('Recurring Schedule'!$J$6:$J$45,R438)))</f>
        <v/>
      </c>
      <c r="M438" s="36">
        <f>IF(R438="","",IF(INDEX('Recurring Schedule'!$K$6:$K$45,R438)="","",INDEX('Recurring Schedule'!$K$6:$K$45,R438)))</f>
        <v/>
      </c>
      <c r="N438" s="36">
        <f>IF(R438="","",IF(INDEX('Recurring Schedule'!$L$6:$L$45,R438)="","",INDEX('Recurring Schedule'!$L$6:$L$45,R438)))</f>
        <v/>
      </c>
      <c r="O438" s="36">
        <f>IF(C438="","",IF(AND(OR(L438="1-Urgent",L438="2-High"),M438="✓"),"DO FIRST",IF(M438="✓","SCHEDULE",IF(OR(L438="1-Urgent",L438="2-High"),"DELEGATE","DELETE"))))</f>
        <v/>
      </c>
      <c r="P438" s="65" t="n"/>
      <c r="Q438">
        <f>IF(433&gt;Calc!$AQ$368,"",MATCH(432,Calc!$AQ$2:$AQ$367,1))</f>
        <v/>
      </c>
      <c r="R438">
        <f>IF(Q438="","",SMALL(INDEX(Calc!$B$2:$AO$367,Q438,0),433-INDEX(Calc!$AQ$2:$AQ$367,Q438)))</f>
        <v/>
      </c>
    </row>
    <row r="439">
      <c r="B439" s="71">
        <f>IF(R439="","",434)</f>
        <v/>
      </c>
      <c r="C439" s="75">
        <f>IF(R439="","",IF(INDEX('Recurring Schedule'!$C$6:$C$45,R439)="","",INDEX('Recurring Schedule'!$C$6:$C$45,R439)))</f>
        <v/>
      </c>
      <c r="D439" s="73">
        <f>IF(R439="","",IF(INDEX('Recurring Schedule'!$D$6:$D$45,R439)="","",INDEX('Recurring Schedule'!$D$6:$D$45,R439)))</f>
        <v/>
      </c>
      <c r="E439" s="76">
        <f>IF(Q439="","",INDEX(Calc!$A$2:$A$367,Q439))</f>
        <v/>
      </c>
      <c r="F439" s="72">
        <f>IF(OR(C439="",E439=""),"",E439-Setup!$D$7)</f>
        <v/>
      </c>
      <c r="G439" s="77">
        <f>IF(R439="","",IF(INDEX('Recurring Schedule'!$H$6:$H$45,R439)="","",INDEX('Recurring Schedule'!$H$6:$H$45,R439)))</f>
        <v/>
      </c>
      <c r="H439" s="77">
        <f>IF(R439="","",IF(INDEX('Recurring Schedule'!$I$6:$I$45,R439)="","",INDEX('Recurring Schedule'!$I$6:$I$45,R439)))</f>
        <v/>
      </c>
      <c r="I439" s="73">
        <f>IF(OR(G439="",H439=""),"",TRIM(IF(HOUR(H439-G439)&gt;0,HOUR(H439-G439)&amp;" hr ","")&amp;IF(MINUTE(H439-G439)&gt;0,MINUTE(H439-G439)&amp;" min","")))</f>
        <v/>
      </c>
      <c r="J439" s="66" t="n"/>
      <c r="K439" s="70" t="n"/>
      <c r="L439" s="73">
        <f>IF(R439="","",IF(INDEX('Recurring Schedule'!$J$6:$J$45,R439)="","",INDEX('Recurring Schedule'!$J$6:$J$45,R439)))</f>
        <v/>
      </c>
      <c r="M439" s="73">
        <f>IF(R439="","",IF(INDEX('Recurring Schedule'!$K$6:$K$45,R439)="","",INDEX('Recurring Schedule'!$K$6:$K$45,R439)))</f>
        <v/>
      </c>
      <c r="N439" s="73">
        <f>IF(R439="","",IF(INDEX('Recurring Schedule'!$L$6:$L$45,R439)="","",INDEX('Recurring Schedule'!$L$6:$L$45,R439)))</f>
        <v/>
      </c>
      <c r="O439" s="73">
        <f>IF(C439="","",IF(AND(OR(L439="1-Urgent",L439="2-High"),M439="✓"),"DO FIRST",IF(M439="✓","SCHEDULE",IF(OR(L439="1-Urgent",L439="2-High"),"DELEGATE","DELETE"))))</f>
        <v/>
      </c>
      <c r="P439" s="65" t="n"/>
      <c r="Q439">
        <f>IF(434&gt;Calc!$AQ$368,"",MATCH(433,Calc!$AQ$2:$AQ$367,1))</f>
        <v/>
      </c>
      <c r="R439">
        <f>IF(Q439="","",SMALL(INDEX(Calc!$B$2:$AO$367,Q439,0),434-INDEX(Calc!$AQ$2:$AQ$367,Q439)))</f>
        <v/>
      </c>
    </row>
    <row r="440">
      <c r="B440" s="64">
        <f>IF(R440="","",435)</f>
        <v/>
      </c>
      <c r="C440" s="37">
        <f>IF(R440="","",IF(INDEX('Recurring Schedule'!$C$6:$C$45,R440)="","",INDEX('Recurring Schedule'!$C$6:$C$45,R440)))</f>
        <v/>
      </c>
      <c r="D440" s="36">
        <f>IF(R440="","",IF(INDEX('Recurring Schedule'!$D$6:$D$45,R440)="","",INDEX('Recurring Schedule'!$D$6:$D$45,R440)))</f>
        <v/>
      </c>
      <c r="E440" s="38">
        <f>IF(Q440="","",INDEX(Calc!$A$2:$A$367,Q440))</f>
        <v/>
      </c>
      <c r="F440" s="68">
        <f>IF(OR(C440="",E440=""),"",E440-Setup!$D$7)</f>
        <v/>
      </c>
      <c r="G440" s="74">
        <f>IF(R440="","",IF(INDEX('Recurring Schedule'!$H$6:$H$45,R440)="","",INDEX('Recurring Schedule'!$H$6:$H$45,R440)))</f>
        <v/>
      </c>
      <c r="H440" s="74">
        <f>IF(R440="","",IF(INDEX('Recurring Schedule'!$I$6:$I$45,R440)="","",INDEX('Recurring Schedule'!$I$6:$I$45,R440)))</f>
        <v/>
      </c>
      <c r="I440" s="36">
        <f>IF(OR(G440="",H440=""),"",TRIM(IF(HOUR(H440-G440)&gt;0,HOUR(H440-G440)&amp;" hr ","")&amp;IF(MINUTE(H440-G440)&gt;0,MINUTE(H440-G440)&amp;" min","")))</f>
        <v/>
      </c>
      <c r="J440" s="66" t="n"/>
      <c r="K440" s="70" t="n"/>
      <c r="L440" s="36">
        <f>IF(R440="","",IF(INDEX('Recurring Schedule'!$J$6:$J$45,R440)="","",INDEX('Recurring Schedule'!$J$6:$J$45,R440)))</f>
        <v/>
      </c>
      <c r="M440" s="36">
        <f>IF(R440="","",IF(INDEX('Recurring Schedule'!$K$6:$K$45,R440)="","",INDEX('Recurring Schedule'!$K$6:$K$45,R440)))</f>
        <v/>
      </c>
      <c r="N440" s="36">
        <f>IF(R440="","",IF(INDEX('Recurring Schedule'!$L$6:$L$45,R440)="","",INDEX('Recurring Schedule'!$L$6:$L$45,R440)))</f>
        <v/>
      </c>
      <c r="O440" s="36">
        <f>IF(C440="","",IF(AND(OR(L440="1-Urgent",L440="2-High"),M440="✓"),"DO FIRST",IF(M440="✓","SCHEDULE",IF(OR(L440="1-Urgent",L440="2-High"),"DELEGATE","DELETE"))))</f>
        <v/>
      </c>
      <c r="P440" s="65" t="n"/>
      <c r="Q440">
        <f>IF(435&gt;Calc!$AQ$368,"",MATCH(434,Calc!$AQ$2:$AQ$367,1))</f>
        <v/>
      </c>
      <c r="R440">
        <f>IF(Q440="","",SMALL(INDEX(Calc!$B$2:$AO$367,Q440,0),435-INDEX(Calc!$AQ$2:$AQ$367,Q440)))</f>
        <v/>
      </c>
    </row>
    <row r="441">
      <c r="B441" s="71">
        <f>IF(R441="","",436)</f>
        <v/>
      </c>
      <c r="C441" s="75">
        <f>IF(R441="","",IF(INDEX('Recurring Schedule'!$C$6:$C$45,R441)="","",INDEX('Recurring Schedule'!$C$6:$C$45,R441)))</f>
        <v/>
      </c>
      <c r="D441" s="73">
        <f>IF(R441="","",IF(INDEX('Recurring Schedule'!$D$6:$D$45,R441)="","",INDEX('Recurring Schedule'!$D$6:$D$45,R441)))</f>
        <v/>
      </c>
      <c r="E441" s="76">
        <f>IF(Q441="","",INDEX(Calc!$A$2:$A$367,Q441))</f>
        <v/>
      </c>
      <c r="F441" s="72">
        <f>IF(OR(C441="",E441=""),"",E441-Setup!$D$7)</f>
        <v/>
      </c>
      <c r="G441" s="77">
        <f>IF(R441="","",IF(INDEX('Recurring Schedule'!$H$6:$H$45,R441)="","",INDEX('Recurring Schedule'!$H$6:$H$45,R441)))</f>
        <v/>
      </c>
      <c r="H441" s="77">
        <f>IF(R441="","",IF(INDEX('Recurring Schedule'!$I$6:$I$45,R441)="","",INDEX('Recurring Schedule'!$I$6:$I$45,R441)))</f>
        <v/>
      </c>
      <c r="I441" s="73">
        <f>IF(OR(G441="",H441=""),"",TRIM(IF(HOUR(H441-G441)&gt;0,HOUR(H441-G441)&amp;" hr ","")&amp;IF(MINUTE(H441-G441)&gt;0,MINUTE(H441-G441)&amp;" min","")))</f>
        <v/>
      </c>
      <c r="J441" s="66" t="n"/>
      <c r="K441" s="70" t="n"/>
      <c r="L441" s="73">
        <f>IF(R441="","",IF(INDEX('Recurring Schedule'!$J$6:$J$45,R441)="","",INDEX('Recurring Schedule'!$J$6:$J$45,R441)))</f>
        <v/>
      </c>
      <c r="M441" s="73">
        <f>IF(R441="","",IF(INDEX('Recurring Schedule'!$K$6:$K$45,R441)="","",INDEX('Recurring Schedule'!$K$6:$K$45,R441)))</f>
        <v/>
      </c>
      <c r="N441" s="73">
        <f>IF(R441="","",IF(INDEX('Recurring Schedule'!$L$6:$L$45,R441)="","",INDEX('Recurring Schedule'!$L$6:$L$45,R441)))</f>
        <v/>
      </c>
      <c r="O441" s="73">
        <f>IF(C441="","",IF(AND(OR(L441="1-Urgent",L441="2-High"),M441="✓"),"DO FIRST",IF(M441="✓","SCHEDULE",IF(OR(L441="1-Urgent",L441="2-High"),"DELEGATE","DELETE"))))</f>
        <v/>
      </c>
      <c r="P441" s="65" t="n"/>
      <c r="Q441">
        <f>IF(436&gt;Calc!$AQ$368,"",MATCH(435,Calc!$AQ$2:$AQ$367,1))</f>
        <v/>
      </c>
      <c r="R441">
        <f>IF(Q441="","",SMALL(INDEX(Calc!$B$2:$AO$367,Q441,0),436-INDEX(Calc!$AQ$2:$AQ$367,Q441)))</f>
        <v/>
      </c>
    </row>
    <row r="442">
      <c r="B442" s="64">
        <f>IF(R442="","",437)</f>
        <v/>
      </c>
      <c r="C442" s="37">
        <f>IF(R442="","",IF(INDEX('Recurring Schedule'!$C$6:$C$45,R442)="","",INDEX('Recurring Schedule'!$C$6:$C$45,R442)))</f>
        <v/>
      </c>
      <c r="D442" s="36">
        <f>IF(R442="","",IF(INDEX('Recurring Schedule'!$D$6:$D$45,R442)="","",INDEX('Recurring Schedule'!$D$6:$D$45,R442)))</f>
        <v/>
      </c>
      <c r="E442" s="38">
        <f>IF(Q442="","",INDEX(Calc!$A$2:$A$367,Q442))</f>
        <v/>
      </c>
      <c r="F442" s="68">
        <f>IF(OR(C442="",E442=""),"",E442-Setup!$D$7)</f>
        <v/>
      </c>
      <c r="G442" s="74">
        <f>IF(R442="","",IF(INDEX('Recurring Schedule'!$H$6:$H$45,R442)="","",INDEX('Recurring Schedule'!$H$6:$H$45,R442)))</f>
        <v/>
      </c>
      <c r="H442" s="74">
        <f>IF(R442="","",IF(INDEX('Recurring Schedule'!$I$6:$I$45,R442)="","",INDEX('Recurring Schedule'!$I$6:$I$45,R442)))</f>
        <v/>
      </c>
      <c r="I442" s="36">
        <f>IF(OR(G442="",H442=""),"",TRIM(IF(HOUR(H442-G442)&gt;0,HOUR(H442-G442)&amp;" hr ","")&amp;IF(MINUTE(H442-G442)&gt;0,MINUTE(H442-G442)&amp;" min","")))</f>
        <v/>
      </c>
      <c r="J442" s="66" t="n"/>
      <c r="K442" s="70" t="n"/>
      <c r="L442" s="36">
        <f>IF(R442="","",IF(INDEX('Recurring Schedule'!$J$6:$J$45,R442)="","",INDEX('Recurring Schedule'!$J$6:$J$45,R442)))</f>
        <v/>
      </c>
      <c r="M442" s="36">
        <f>IF(R442="","",IF(INDEX('Recurring Schedule'!$K$6:$K$45,R442)="","",INDEX('Recurring Schedule'!$K$6:$K$45,R442)))</f>
        <v/>
      </c>
      <c r="N442" s="36">
        <f>IF(R442="","",IF(INDEX('Recurring Schedule'!$L$6:$L$45,R442)="","",INDEX('Recurring Schedule'!$L$6:$L$45,R442)))</f>
        <v/>
      </c>
      <c r="O442" s="36">
        <f>IF(C442="","",IF(AND(OR(L442="1-Urgent",L442="2-High"),M442="✓"),"DO FIRST",IF(M442="✓","SCHEDULE",IF(OR(L442="1-Urgent",L442="2-High"),"DELEGATE","DELETE"))))</f>
        <v/>
      </c>
      <c r="P442" s="65" t="n"/>
      <c r="Q442">
        <f>IF(437&gt;Calc!$AQ$368,"",MATCH(436,Calc!$AQ$2:$AQ$367,1))</f>
        <v/>
      </c>
      <c r="R442">
        <f>IF(Q442="","",SMALL(INDEX(Calc!$B$2:$AO$367,Q442,0),437-INDEX(Calc!$AQ$2:$AQ$367,Q442)))</f>
        <v/>
      </c>
    </row>
    <row r="443">
      <c r="B443" s="71">
        <f>IF(R443="","",438)</f>
        <v/>
      </c>
      <c r="C443" s="75">
        <f>IF(R443="","",IF(INDEX('Recurring Schedule'!$C$6:$C$45,R443)="","",INDEX('Recurring Schedule'!$C$6:$C$45,R443)))</f>
        <v/>
      </c>
      <c r="D443" s="73">
        <f>IF(R443="","",IF(INDEX('Recurring Schedule'!$D$6:$D$45,R443)="","",INDEX('Recurring Schedule'!$D$6:$D$45,R443)))</f>
        <v/>
      </c>
      <c r="E443" s="76">
        <f>IF(Q443="","",INDEX(Calc!$A$2:$A$367,Q443))</f>
        <v/>
      </c>
      <c r="F443" s="72">
        <f>IF(OR(C443="",E443=""),"",E443-Setup!$D$7)</f>
        <v/>
      </c>
      <c r="G443" s="77">
        <f>IF(R443="","",IF(INDEX('Recurring Schedule'!$H$6:$H$45,R443)="","",INDEX('Recurring Schedule'!$H$6:$H$45,R443)))</f>
        <v/>
      </c>
      <c r="H443" s="77">
        <f>IF(R443="","",IF(INDEX('Recurring Schedule'!$I$6:$I$45,R443)="","",INDEX('Recurring Schedule'!$I$6:$I$45,R443)))</f>
        <v/>
      </c>
      <c r="I443" s="73">
        <f>IF(OR(G443="",H443=""),"",TRIM(IF(HOUR(H443-G443)&gt;0,HOUR(H443-G443)&amp;" hr ","")&amp;IF(MINUTE(H443-G443)&gt;0,MINUTE(H443-G443)&amp;" min","")))</f>
        <v/>
      </c>
      <c r="J443" s="66" t="n"/>
      <c r="K443" s="70" t="n"/>
      <c r="L443" s="73">
        <f>IF(R443="","",IF(INDEX('Recurring Schedule'!$J$6:$J$45,R443)="","",INDEX('Recurring Schedule'!$J$6:$J$45,R443)))</f>
        <v/>
      </c>
      <c r="M443" s="73">
        <f>IF(R443="","",IF(INDEX('Recurring Schedule'!$K$6:$K$45,R443)="","",INDEX('Recurring Schedule'!$K$6:$K$45,R443)))</f>
        <v/>
      </c>
      <c r="N443" s="73">
        <f>IF(R443="","",IF(INDEX('Recurring Schedule'!$L$6:$L$45,R443)="","",INDEX('Recurring Schedule'!$L$6:$L$45,R443)))</f>
        <v/>
      </c>
      <c r="O443" s="73">
        <f>IF(C443="","",IF(AND(OR(L443="1-Urgent",L443="2-High"),M443="✓"),"DO FIRST",IF(M443="✓","SCHEDULE",IF(OR(L443="1-Urgent",L443="2-High"),"DELEGATE","DELETE"))))</f>
        <v/>
      </c>
      <c r="P443" s="65" t="n"/>
      <c r="Q443">
        <f>IF(438&gt;Calc!$AQ$368,"",MATCH(437,Calc!$AQ$2:$AQ$367,1))</f>
        <v/>
      </c>
      <c r="R443">
        <f>IF(Q443="","",SMALL(INDEX(Calc!$B$2:$AO$367,Q443,0),438-INDEX(Calc!$AQ$2:$AQ$367,Q443)))</f>
        <v/>
      </c>
    </row>
    <row r="444">
      <c r="B444" s="64">
        <f>IF(R444="","",439)</f>
        <v/>
      </c>
      <c r="C444" s="37">
        <f>IF(R444="","",IF(INDEX('Recurring Schedule'!$C$6:$C$45,R444)="","",INDEX('Recurring Schedule'!$C$6:$C$45,R444)))</f>
        <v/>
      </c>
      <c r="D444" s="36">
        <f>IF(R444="","",IF(INDEX('Recurring Schedule'!$D$6:$D$45,R444)="","",INDEX('Recurring Schedule'!$D$6:$D$45,R444)))</f>
        <v/>
      </c>
      <c r="E444" s="38">
        <f>IF(Q444="","",INDEX(Calc!$A$2:$A$367,Q444))</f>
        <v/>
      </c>
      <c r="F444" s="68">
        <f>IF(OR(C444="",E444=""),"",E444-Setup!$D$7)</f>
        <v/>
      </c>
      <c r="G444" s="74">
        <f>IF(R444="","",IF(INDEX('Recurring Schedule'!$H$6:$H$45,R444)="","",INDEX('Recurring Schedule'!$H$6:$H$45,R444)))</f>
        <v/>
      </c>
      <c r="H444" s="74">
        <f>IF(R444="","",IF(INDEX('Recurring Schedule'!$I$6:$I$45,R444)="","",INDEX('Recurring Schedule'!$I$6:$I$45,R444)))</f>
        <v/>
      </c>
      <c r="I444" s="36">
        <f>IF(OR(G444="",H444=""),"",TRIM(IF(HOUR(H444-G444)&gt;0,HOUR(H444-G444)&amp;" hr ","")&amp;IF(MINUTE(H444-G444)&gt;0,MINUTE(H444-G444)&amp;" min","")))</f>
        <v/>
      </c>
      <c r="J444" s="66" t="n"/>
      <c r="K444" s="70" t="n"/>
      <c r="L444" s="36">
        <f>IF(R444="","",IF(INDEX('Recurring Schedule'!$J$6:$J$45,R444)="","",INDEX('Recurring Schedule'!$J$6:$J$45,R444)))</f>
        <v/>
      </c>
      <c r="M444" s="36">
        <f>IF(R444="","",IF(INDEX('Recurring Schedule'!$K$6:$K$45,R444)="","",INDEX('Recurring Schedule'!$K$6:$K$45,R444)))</f>
        <v/>
      </c>
      <c r="N444" s="36">
        <f>IF(R444="","",IF(INDEX('Recurring Schedule'!$L$6:$L$45,R444)="","",INDEX('Recurring Schedule'!$L$6:$L$45,R444)))</f>
        <v/>
      </c>
      <c r="O444" s="36">
        <f>IF(C444="","",IF(AND(OR(L444="1-Urgent",L444="2-High"),M444="✓"),"DO FIRST",IF(M444="✓","SCHEDULE",IF(OR(L444="1-Urgent",L444="2-High"),"DELEGATE","DELETE"))))</f>
        <v/>
      </c>
      <c r="P444" s="65" t="n"/>
      <c r="Q444">
        <f>IF(439&gt;Calc!$AQ$368,"",MATCH(438,Calc!$AQ$2:$AQ$367,1))</f>
        <v/>
      </c>
      <c r="R444">
        <f>IF(Q444="","",SMALL(INDEX(Calc!$B$2:$AO$367,Q444,0),439-INDEX(Calc!$AQ$2:$AQ$367,Q444)))</f>
        <v/>
      </c>
    </row>
    <row r="445">
      <c r="B445" s="71">
        <f>IF(R445="","",440)</f>
        <v/>
      </c>
      <c r="C445" s="75">
        <f>IF(R445="","",IF(INDEX('Recurring Schedule'!$C$6:$C$45,R445)="","",INDEX('Recurring Schedule'!$C$6:$C$45,R445)))</f>
        <v/>
      </c>
      <c r="D445" s="73">
        <f>IF(R445="","",IF(INDEX('Recurring Schedule'!$D$6:$D$45,R445)="","",INDEX('Recurring Schedule'!$D$6:$D$45,R445)))</f>
        <v/>
      </c>
      <c r="E445" s="76">
        <f>IF(Q445="","",INDEX(Calc!$A$2:$A$367,Q445))</f>
        <v/>
      </c>
      <c r="F445" s="72">
        <f>IF(OR(C445="",E445=""),"",E445-Setup!$D$7)</f>
        <v/>
      </c>
      <c r="G445" s="77">
        <f>IF(R445="","",IF(INDEX('Recurring Schedule'!$H$6:$H$45,R445)="","",INDEX('Recurring Schedule'!$H$6:$H$45,R445)))</f>
        <v/>
      </c>
      <c r="H445" s="77">
        <f>IF(R445="","",IF(INDEX('Recurring Schedule'!$I$6:$I$45,R445)="","",INDEX('Recurring Schedule'!$I$6:$I$45,R445)))</f>
        <v/>
      </c>
      <c r="I445" s="73">
        <f>IF(OR(G445="",H445=""),"",TRIM(IF(HOUR(H445-G445)&gt;0,HOUR(H445-G445)&amp;" hr ","")&amp;IF(MINUTE(H445-G445)&gt;0,MINUTE(H445-G445)&amp;" min","")))</f>
        <v/>
      </c>
      <c r="J445" s="66" t="n"/>
      <c r="K445" s="70" t="n"/>
      <c r="L445" s="73">
        <f>IF(R445="","",IF(INDEX('Recurring Schedule'!$J$6:$J$45,R445)="","",INDEX('Recurring Schedule'!$J$6:$J$45,R445)))</f>
        <v/>
      </c>
      <c r="M445" s="73">
        <f>IF(R445="","",IF(INDEX('Recurring Schedule'!$K$6:$K$45,R445)="","",INDEX('Recurring Schedule'!$K$6:$K$45,R445)))</f>
        <v/>
      </c>
      <c r="N445" s="73">
        <f>IF(R445="","",IF(INDEX('Recurring Schedule'!$L$6:$L$45,R445)="","",INDEX('Recurring Schedule'!$L$6:$L$45,R445)))</f>
        <v/>
      </c>
      <c r="O445" s="73">
        <f>IF(C445="","",IF(AND(OR(L445="1-Urgent",L445="2-High"),M445="✓"),"DO FIRST",IF(M445="✓","SCHEDULE",IF(OR(L445="1-Urgent",L445="2-High"),"DELEGATE","DELETE"))))</f>
        <v/>
      </c>
      <c r="P445" s="65" t="n"/>
      <c r="Q445">
        <f>IF(440&gt;Calc!$AQ$368,"",MATCH(439,Calc!$AQ$2:$AQ$367,1))</f>
        <v/>
      </c>
      <c r="R445">
        <f>IF(Q445="","",SMALL(INDEX(Calc!$B$2:$AO$367,Q445,0),440-INDEX(Calc!$AQ$2:$AQ$367,Q445)))</f>
        <v/>
      </c>
    </row>
    <row r="446">
      <c r="B446" s="64">
        <f>IF(R446="","",441)</f>
        <v/>
      </c>
      <c r="C446" s="37">
        <f>IF(R446="","",IF(INDEX('Recurring Schedule'!$C$6:$C$45,R446)="","",INDEX('Recurring Schedule'!$C$6:$C$45,R446)))</f>
        <v/>
      </c>
      <c r="D446" s="36">
        <f>IF(R446="","",IF(INDEX('Recurring Schedule'!$D$6:$D$45,R446)="","",INDEX('Recurring Schedule'!$D$6:$D$45,R446)))</f>
        <v/>
      </c>
      <c r="E446" s="38">
        <f>IF(Q446="","",INDEX(Calc!$A$2:$A$367,Q446))</f>
        <v/>
      </c>
      <c r="F446" s="68">
        <f>IF(OR(C446="",E446=""),"",E446-Setup!$D$7)</f>
        <v/>
      </c>
      <c r="G446" s="74">
        <f>IF(R446="","",IF(INDEX('Recurring Schedule'!$H$6:$H$45,R446)="","",INDEX('Recurring Schedule'!$H$6:$H$45,R446)))</f>
        <v/>
      </c>
      <c r="H446" s="74">
        <f>IF(R446="","",IF(INDEX('Recurring Schedule'!$I$6:$I$45,R446)="","",INDEX('Recurring Schedule'!$I$6:$I$45,R446)))</f>
        <v/>
      </c>
      <c r="I446" s="36">
        <f>IF(OR(G446="",H446=""),"",TRIM(IF(HOUR(H446-G446)&gt;0,HOUR(H446-G446)&amp;" hr ","")&amp;IF(MINUTE(H446-G446)&gt;0,MINUTE(H446-G446)&amp;" min","")))</f>
        <v/>
      </c>
      <c r="J446" s="66" t="n"/>
      <c r="K446" s="70" t="n"/>
      <c r="L446" s="36">
        <f>IF(R446="","",IF(INDEX('Recurring Schedule'!$J$6:$J$45,R446)="","",INDEX('Recurring Schedule'!$J$6:$J$45,R446)))</f>
        <v/>
      </c>
      <c r="M446" s="36">
        <f>IF(R446="","",IF(INDEX('Recurring Schedule'!$K$6:$K$45,R446)="","",INDEX('Recurring Schedule'!$K$6:$K$45,R446)))</f>
        <v/>
      </c>
      <c r="N446" s="36">
        <f>IF(R446="","",IF(INDEX('Recurring Schedule'!$L$6:$L$45,R446)="","",INDEX('Recurring Schedule'!$L$6:$L$45,R446)))</f>
        <v/>
      </c>
      <c r="O446" s="36">
        <f>IF(C446="","",IF(AND(OR(L446="1-Urgent",L446="2-High"),M446="✓"),"DO FIRST",IF(M446="✓","SCHEDULE",IF(OR(L446="1-Urgent",L446="2-High"),"DELEGATE","DELETE"))))</f>
        <v/>
      </c>
      <c r="P446" s="65" t="n"/>
      <c r="Q446">
        <f>IF(441&gt;Calc!$AQ$368,"",MATCH(440,Calc!$AQ$2:$AQ$367,1))</f>
        <v/>
      </c>
      <c r="R446">
        <f>IF(Q446="","",SMALL(INDEX(Calc!$B$2:$AO$367,Q446,0),441-INDEX(Calc!$AQ$2:$AQ$367,Q446)))</f>
        <v/>
      </c>
    </row>
    <row r="447">
      <c r="B447" s="71">
        <f>IF(R447="","",442)</f>
        <v/>
      </c>
      <c r="C447" s="75">
        <f>IF(R447="","",IF(INDEX('Recurring Schedule'!$C$6:$C$45,R447)="","",INDEX('Recurring Schedule'!$C$6:$C$45,R447)))</f>
        <v/>
      </c>
      <c r="D447" s="73">
        <f>IF(R447="","",IF(INDEX('Recurring Schedule'!$D$6:$D$45,R447)="","",INDEX('Recurring Schedule'!$D$6:$D$45,R447)))</f>
        <v/>
      </c>
      <c r="E447" s="76">
        <f>IF(Q447="","",INDEX(Calc!$A$2:$A$367,Q447))</f>
        <v/>
      </c>
      <c r="F447" s="72">
        <f>IF(OR(C447="",E447=""),"",E447-Setup!$D$7)</f>
        <v/>
      </c>
      <c r="G447" s="77">
        <f>IF(R447="","",IF(INDEX('Recurring Schedule'!$H$6:$H$45,R447)="","",INDEX('Recurring Schedule'!$H$6:$H$45,R447)))</f>
        <v/>
      </c>
      <c r="H447" s="77">
        <f>IF(R447="","",IF(INDEX('Recurring Schedule'!$I$6:$I$45,R447)="","",INDEX('Recurring Schedule'!$I$6:$I$45,R447)))</f>
        <v/>
      </c>
      <c r="I447" s="73">
        <f>IF(OR(G447="",H447=""),"",TRIM(IF(HOUR(H447-G447)&gt;0,HOUR(H447-G447)&amp;" hr ","")&amp;IF(MINUTE(H447-G447)&gt;0,MINUTE(H447-G447)&amp;" min","")))</f>
        <v/>
      </c>
      <c r="J447" s="66" t="n"/>
      <c r="K447" s="70" t="n"/>
      <c r="L447" s="73">
        <f>IF(R447="","",IF(INDEX('Recurring Schedule'!$J$6:$J$45,R447)="","",INDEX('Recurring Schedule'!$J$6:$J$45,R447)))</f>
        <v/>
      </c>
      <c r="M447" s="73">
        <f>IF(R447="","",IF(INDEX('Recurring Schedule'!$K$6:$K$45,R447)="","",INDEX('Recurring Schedule'!$K$6:$K$45,R447)))</f>
        <v/>
      </c>
      <c r="N447" s="73">
        <f>IF(R447="","",IF(INDEX('Recurring Schedule'!$L$6:$L$45,R447)="","",INDEX('Recurring Schedule'!$L$6:$L$45,R447)))</f>
        <v/>
      </c>
      <c r="O447" s="73">
        <f>IF(C447="","",IF(AND(OR(L447="1-Urgent",L447="2-High"),M447="✓"),"DO FIRST",IF(M447="✓","SCHEDULE",IF(OR(L447="1-Urgent",L447="2-High"),"DELEGATE","DELETE"))))</f>
        <v/>
      </c>
      <c r="P447" s="65" t="n"/>
      <c r="Q447">
        <f>IF(442&gt;Calc!$AQ$368,"",MATCH(441,Calc!$AQ$2:$AQ$367,1))</f>
        <v/>
      </c>
      <c r="R447">
        <f>IF(Q447="","",SMALL(INDEX(Calc!$B$2:$AO$367,Q447,0),442-INDEX(Calc!$AQ$2:$AQ$367,Q447)))</f>
        <v/>
      </c>
    </row>
    <row r="448">
      <c r="B448" s="64">
        <f>IF(R448="","",443)</f>
        <v/>
      </c>
      <c r="C448" s="37">
        <f>IF(R448="","",IF(INDEX('Recurring Schedule'!$C$6:$C$45,R448)="","",INDEX('Recurring Schedule'!$C$6:$C$45,R448)))</f>
        <v/>
      </c>
      <c r="D448" s="36">
        <f>IF(R448="","",IF(INDEX('Recurring Schedule'!$D$6:$D$45,R448)="","",INDEX('Recurring Schedule'!$D$6:$D$45,R448)))</f>
        <v/>
      </c>
      <c r="E448" s="38">
        <f>IF(Q448="","",INDEX(Calc!$A$2:$A$367,Q448))</f>
        <v/>
      </c>
      <c r="F448" s="68">
        <f>IF(OR(C448="",E448=""),"",E448-Setup!$D$7)</f>
        <v/>
      </c>
      <c r="G448" s="74">
        <f>IF(R448="","",IF(INDEX('Recurring Schedule'!$H$6:$H$45,R448)="","",INDEX('Recurring Schedule'!$H$6:$H$45,R448)))</f>
        <v/>
      </c>
      <c r="H448" s="74">
        <f>IF(R448="","",IF(INDEX('Recurring Schedule'!$I$6:$I$45,R448)="","",INDEX('Recurring Schedule'!$I$6:$I$45,R448)))</f>
        <v/>
      </c>
      <c r="I448" s="36">
        <f>IF(OR(G448="",H448=""),"",TRIM(IF(HOUR(H448-G448)&gt;0,HOUR(H448-G448)&amp;" hr ","")&amp;IF(MINUTE(H448-G448)&gt;0,MINUTE(H448-G448)&amp;" min","")))</f>
        <v/>
      </c>
      <c r="J448" s="66" t="n"/>
      <c r="K448" s="70" t="n"/>
      <c r="L448" s="36">
        <f>IF(R448="","",IF(INDEX('Recurring Schedule'!$J$6:$J$45,R448)="","",INDEX('Recurring Schedule'!$J$6:$J$45,R448)))</f>
        <v/>
      </c>
      <c r="M448" s="36">
        <f>IF(R448="","",IF(INDEX('Recurring Schedule'!$K$6:$K$45,R448)="","",INDEX('Recurring Schedule'!$K$6:$K$45,R448)))</f>
        <v/>
      </c>
      <c r="N448" s="36">
        <f>IF(R448="","",IF(INDEX('Recurring Schedule'!$L$6:$L$45,R448)="","",INDEX('Recurring Schedule'!$L$6:$L$45,R448)))</f>
        <v/>
      </c>
      <c r="O448" s="36">
        <f>IF(C448="","",IF(AND(OR(L448="1-Urgent",L448="2-High"),M448="✓"),"DO FIRST",IF(M448="✓","SCHEDULE",IF(OR(L448="1-Urgent",L448="2-High"),"DELEGATE","DELETE"))))</f>
        <v/>
      </c>
      <c r="P448" s="65" t="n"/>
      <c r="Q448">
        <f>IF(443&gt;Calc!$AQ$368,"",MATCH(442,Calc!$AQ$2:$AQ$367,1))</f>
        <v/>
      </c>
      <c r="R448">
        <f>IF(Q448="","",SMALL(INDEX(Calc!$B$2:$AO$367,Q448,0),443-INDEX(Calc!$AQ$2:$AQ$367,Q448)))</f>
        <v/>
      </c>
    </row>
    <row r="449">
      <c r="B449" s="71">
        <f>IF(R449="","",444)</f>
        <v/>
      </c>
      <c r="C449" s="75">
        <f>IF(R449="","",IF(INDEX('Recurring Schedule'!$C$6:$C$45,R449)="","",INDEX('Recurring Schedule'!$C$6:$C$45,R449)))</f>
        <v/>
      </c>
      <c r="D449" s="73">
        <f>IF(R449="","",IF(INDEX('Recurring Schedule'!$D$6:$D$45,R449)="","",INDEX('Recurring Schedule'!$D$6:$D$45,R449)))</f>
        <v/>
      </c>
      <c r="E449" s="76">
        <f>IF(Q449="","",INDEX(Calc!$A$2:$A$367,Q449))</f>
        <v/>
      </c>
      <c r="F449" s="72">
        <f>IF(OR(C449="",E449=""),"",E449-Setup!$D$7)</f>
        <v/>
      </c>
      <c r="G449" s="77">
        <f>IF(R449="","",IF(INDEX('Recurring Schedule'!$H$6:$H$45,R449)="","",INDEX('Recurring Schedule'!$H$6:$H$45,R449)))</f>
        <v/>
      </c>
      <c r="H449" s="77">
        <f>IF(R449="","",IF(INDEX('Recurring Schedule'!$I$6:$I$45,R449)="","",INDEX('Recurring Schedule'!$I$6:$I$45,R449)))</f>
        <v/>
      </c>
      <c r="I449" s="73">
        <f>IF(OR(G449="",H449=""),"",TRIM(IF(HOUR(H449-G449)&gt;0,HOUR(H449-G449)&amp;" hr ","")&amp;IF(MINUTE(H449-G449)&gt;0,MINUTE(H449-G449)&amp;" min","")))</f>
        <v/>
      </c>
      <c r="J449" s="66" t="n"/>
      <c r="K449" s="70" t="n"/>
      <c r="L449" s="73">
        <f>IF(R449="","",IF(INDEX('Recurring Schedule'!$J$6:$J$45,R449)="","",INDEX('Recurring Schedule'!$J$6:$J$45,R449)))</f>
        <v/>
      </c>
      <c r="M449" s="73">
        <f>IF(R449="","",IF(INDEX('Recurring Schedule'!$K$6:$K$45,R449)="","",INDEX('Recurring Schedule'!$K$6:$K$45,R449)))</f>
        <v/>
      </c>
      <c r="N449" s="73">
        <f>IF(R449="","",IF(INDEX('Recurring Schedule'!$L$6:$L$45,R449)="","",INDEX('Recurring Schedule'!$L$6:$L$45,R449)))</f>
        <v/>
      </c>
      <c r="O449" s="73">
        <f>IF(C449="","",IF(AND(OR(L449="1-Urgent",L449="2-High"),M449="✓"),"DO FIRST",IF(M449="✓","SCHEDULE",IF(OR(L449="1-Urgent",L449="2-High"),"DELEGATE","DELETE"))))</f>
        <v/>
      </c>
      <c r="P449" s="65" t="n"/>
      <c r="Q449">
        <f>IF(444&gt;Calc!$AQ$368,"",MATCH(443,Calc!$AQ$2:$AQ$367,1))</f>
        <v/>
      </c>
      <c r="R449">
        <f>IF(Q449="","",SMALL(INDEX(Calc!$B$2:$AO$367,Q449,0),444-INDEX(Calc!$AQ$2:$AQ$367,Q449)))</f>
        <v/>
      </c>
    </row>
    <row r="450">
      <c r="B450" s="64">
        <f>IF(R450="","",445)</f>
        <v/>
      </c>
      <c r="C450" s="37">
        <f>IF(R450="","",IF(INDEX('Recurring Schedule'!$C$6:$C$45,R450)="","",INDEX('Recurring Schedule'!$C$6:$C$45,R450)))</f>
        <v/>
      </c>
      <c r="D450" s="36">
        <f>IF(R450="","",IF(INDEX('Recurring Schedule'!$D$6:$D$45,R450)="","",INDEX('Recurring Schedule'!$D$6:$D$45,R450)))</f>
        <v/>
      </c>
      <c r="E450" s="38">
        <f>IF(Q450="","",INDEX(Calc!$A$2:$A$367,Q450))</f>
        <v/>
      </c>
      <c r="F450" s="68">
        <f>IF(OR(C450="",E450=""),"",E450-Setup!$D$7)</f>
        <v/>
      </c>
      <c r="G450" s="74">
        <f>IF(R450="","",IF(INDEX('Recurring Schedule'!$H$6:$H$45,R450)="","",INDEX('Recurring Schedule'!$H$6:$H$45,R450)))</f>
        <v/>
      </c>
      <c r="H450" s="74">
        <f>IF(R450="","",IF(INDEX('Recurring Schedule'!$I$6:$I$45,R450)="","",INDEX('Recurring Schedule'!$I$6:$I$45,R450)))</f>
        <v/>
      </c>
      <c r="I450" s="36">
        <f>IF(OR(G450="",H450=""),"",TRIM(IF(HOUR(H450-G450)&gt;0,HOUR(H450-G450)&amp;" hr ","")&amp;IF(MINUTE(H450-G450)&gt;0,MINUTE(H450-G450)&amp;" min","")))</f>
        <v/>
      </c>
      <c r="J450" s="66" t="n"/>
      <c r="K450" s="70" t="n"/>
      <c r="L450" s="36">
        <f>IF(R450="","",IF(INDEX('Recurring Schedule'!$J$6:$J$45,R450)="","",INDEX('Recurring Schedule'!$J$6:$J$45,R450)))</f>
        <v/>
      </c>
      <c r="M450" s="36">
        <f>IF(R450="","",IF(INDEX('Recurring Schedule'!$K$6:$K$45,R450)="","",INDEX('Recurring Schedule'!$K$6:$K$45,R450)))</f>
        <v/>
      </c>
      <c r="N450" s="36">
        <f>IF(R450="","",IF(INDEX('Recurring Schedule'!$L$6:$L$45,R450)="","",INDEX('Recurring Schedule'!$L$6:$L$45,R450)))</f>
        <v/>
      </c>
      <c r="O450" s="36">
        <f>IF(C450="","",IF(AND(OR(L450="1-Urgent",L450="2-High"),M450="✓"),"DO FIRST",IF(M450="✓","SCHEDULE",IF(OR(L450="1-Urgent",L450="2-High"),"DELEGATE","DELETE"))))</f>
        <v/>
      </c>
      <c r="P450" s="65" t="n"/>
      <c r="Q450">
        <f>IF(445&gt;Calc!$AQ$368,"",MATCH(444,Calc!$AQ$2:$AQ$367,1))</f>
        <v/>
      </c>
      <c r="R450">
        <f>IF(Q450="","",SMALL(INDEX(Calc!$B$2:$AO$367,Q450,0),445-INDEX(Calc!$AQ$2:$AQ$367,Q450)))</f>
        <v/>
      </c>
    </row>
    <row r="451">
      <c r="B451" s="71">
        <f>IF(R451="","",446)</f>
        <v/>
      </c>
      <c r="C451" s="75">
        <f>IF(R451="","",IF(INDEX('Recurring Schedule'!$C$6:$C$45,R451)="","",INDEX('Recurring Schedule'!$C$6:$C$45,R451)))</f>
        <v/>
      </c>
      <c r="D451" s="73">
        <f>IF(R451="","",IF(INDEX('Recurring Schedule'!$D$6:$D$45,R451)="","",INDEX('Recurring Schedule'!$D$6:$D$45,R451)))</f>
        <v/>
      </c>
      <c r="E451" s="76">
        <f>IF(Q451="","",INDEX(Calc!$A$2:$A$367,Q451))</f>
        <v/>
      </c>
      <c r="F451" s="72">
        <f>IF(OR(C451="",E451=""),"",E451-Setup!$D$7)</f>
        <v/>
      </c>
      <c r="G451" s="77">
        <f>IF(R451="","",IF(INDEX('Recurring Schedule'!$H$6:$H$45,R451)="","",INDEX('Recurring Schedule'!$H$6:$H$45,R451)))</f>
        <v/>
      </c>
      <c r="H451" s="77">
        <f>IF(R451="","",IF(INDEX('Recurring Schedule'!$I$6:$I$45,R451)="","",INDEX('Recurring Schedule'!$I$6:$I$45,R451)))</f>
        <v/>
      </c>
      <c r="I451" s="73">
        <f>IF(OR(G451="",H451=""),"",TRIM(IF(HOUR(H451-G451)&gt;0,HOUR(H451-G451)&amp;" hr ","")&amp;IF(MINUTE(H451-G451)&gt;0,MINUTE(H451-G451)&amp;" min","")))</f>
        <v/>
      </c>
      <c r="J451" s="66" t="n"/>
      <c r="K451" s="70" t="n"/>
      <c r="L451" s="73">
        <f>IF(R451="","",IF(INDEX('Recurring Schedule'!$J$6:$J$45,R451)="","",INDEX('Recurring Schedule'!$J$6:$J$45,R451)))</f>
        <v/>
      </c>
      <c r="M451" s="73">
        <f>IF(R451="","",IF(INDEX('Recurring Schedule'!$K$6:$K$45,R451)="","",INDEX('Recurring Schedule'!$K$6:$K$45,R451)))</f>
        <v/>
      </c>
      <c r="N451" s="73">
        <f>IF(R451="","",IF(INDEX('Recurring Schedule'!$L$6:$L$45,R451)="","",INDEX('Recurring Schedule'!$L$6:$L$45,R451)))</f>
        <v/>
      </c>
      <c r="O451" s="73">
        <f>IF(C451="","",IF(AND(OR(L451="1-Urgent",L451="2-High"),M451="✓"),"DO FIRST",IF(M451="✓","SCHEDULE",IF(OR(L451="1-Urgent",L451="2-High"),"DELEGATE","DELETE"))))</f>
        <v/>
      </c>
      <c r="P451" s="65" t="n"/>
      <c r="Q451">
        <f>IF(446&gt;Calc!$AQ$368,"",MATCH(445,Calc!$AQ$2:$AQ$367,1))</f>
        <v/>
      </c>
      <c r="R451">
        <f>IF(Q451="","",SMALL(INDEX(Calc!$B$2:$AO$367,Q451,0),446-INDEX(Calc!$AQ$2:$AQ$367,Q451)))</f>
        <v/>
      </c>
    </row>
    <row r="452">
      <c r="B452" s="64">
        <f>IF(R452="","",447)</f>
        <v/>
      </c>
      <c r="C452" s="37">
        <f>IF(R452="","",IF(INDEX('Recurring Schedule'!$C$6:$C$45,R452)="","",INDEX('Recurring Schedule'!$C$6:$C$45,R452)))</f>
        <v/>
      </c>
      <c r="D452" s="36">
        <f>IF(R452="","",IF(INDEX('Recurring Schedule'!$D$6:$D$45,R452)="","",INDEX('Recurring Schedule'!$D$6:$D$45,R452)))</f>
        <v/>
      </c>
      <c r="E452" s="38">
        <f>IF(Q452="","",INDEX(Calc!$A$2:$A$367,Q452))</f>
        <v/>
      </c>
      <c r="F452" s="68">
        <f>IF(OR(C452="",E452=""),"",E452-Setup!$D$7)</f>
        <v/>
      </c>
      <c r="G452" s="74">
        <f>IF(R452="","",IF(INDEX('Recurring Schedule'!$H$6:$H$45,R452)="","",INDEX('Recurring Schedule'!$H$6:$H$45,R452)))</f>
        <v/>
      </c>
      <c r="H452" s="74">
        <f>IF(R452="","",IF(INDEX('Recurring Schedule'!$I$6:$I$45,R452)="","",INDEX('Recurring Schedule'!$I$6:$I$45,R452)))</f>
        <v/>
      </c>
      <c r="I452" s="36">
        <f>IF(OR(G452="",H452=""),"",TRIM(IF(HOUR(H452-G452)&gt;0,HOUR(H452-G452)&amp;" hr ","")&amp;IF(MINUTE(H452-G452)&gt;0,MINUTE(H452-G452)&amp;" min","")))</f>
        <v/>
      </c>
      <c r="J452" s="66" t="n"/>
      <c r="K452" s="70" t="n"/>
      <c r="L452" s="36">
        <f>IF(R452="","",IF(INDEX('Recurring Schedule'!$J$6:$J$45,R452)="","",INDEX('Recurring Schedule'!$J$6:$J$45,R452)))</f>
        <v/>
      </c>
      <c r="M452" s="36">
        <f>IF(R452="","",IF(INDEX('Recurring Schedule'!$K$6:$K$45,R452)="","",INDEX('Recurring Schedule'!$K$6:$K$45,R452)))</f>
        <v/>
      </c>
      <c r="N452" s="36">
        <f>IF(R452="","",IF(INDEX('Recurring Schedule'!$L$6:$L$45,R452)="","",INDEX('Recurring Schedule'!$L$6:$L$45,R452)))</f>
        <v/>
      </c>
      <c r="O452" s="36">
        <f>IF(C452="","",IF(AND(OR(L452="1-Urgent",L452="2-High"),M452="✓"),"DO FIRST",IF(M452="✓","SCHEDULE",IF(OR(L452="1-Urgent",L452="2-High"),"DELEGATE","DELETE"))))</f>
        <v/>
      </c>
      <c r="P452" s="65" t="n"/>
      <c r="Q452">
        <f>IF(447&gt;Calc!$AQ$368,"",MATCH(446,Calc!$AQ$2:$AQ$367,1))</f>
        <v/>
      </c>
      <c r="R452">
        <f>IF(Q452="","",SMALL(INDEX(Calc!$B$2:$AO$367,Q452,0),447-INDEX(Calc!$AQ$2:$AQ$367,Q452)))</f>
        <v/>
      </c>
    </row>
    <row r="453">
      <c r="B453" s="71">
        <f>IF(R453="","",448)</f>
        <v/>
      </c>
      <c r="C453" s="75">
        <f>IF(R453="","",IF(INDEX('Recurring Schedule'!$C$6:$C$45,R453)="","",INDEX('Recurring Schedule'!$C$6:$C$45,R453)))</f>
        <v/>
      </c>
      <c r="D453" s="73">
        <f>IF(R453="","",IF(INDEX('Recurring Schedule'!$D$6:$D$45,R453)="","",INDEX('Recurring Schedule'!$D$6:$D$45,R453)))</f>
        <v/>
      </c>
      <c r="E453" s="76">
        <f>IF(Q453="","",INDEX(Calc!$A$2:$A$367,Q453))</f>
        <v/>
      </c>
      <c r="F453" s="72">
        <f>IF(OR(C453="",E453=""),"",E453-Setup!$D$7)</f>
        <v/>
      </c>
      <c r="G453" s="77">
        <f>IF(R453="","",IF(INDEX('Recurring Schedule'!$H$6:$H$45,R453)="","",INDEX('Recurring Schedule'!$H$6:$H$45,R453)))</f>
        <v/>
      </c>
      <c r="H453" s="77">
        <f>IF(R453="","",IF(INDEX('Recurring Schedule'!$I$6:$I$45,R453)="","",INDEX('Recurring Schedule'!$I$6:$I$45,R453)))</f>
        <v/>
      </c>
      <c r="I453" s="73">
        <f>IF(OR(G453="",H453=""),"",TRIM(IF(HOUR(H453-G453)&gt;0,HOUR(H453-G453)&amp;" hr ","")&amp;IF(MINUTE(H453-G453)&gt;0,MINUTE(H453-G453)&amp;" min","")))</f>
        <v/>
      </c>
      <c r="J453" s="66" t="n"/>
      <c r="K453" s="70" t="n"/>
      <c r="L453" s="73">
        <f>IF(R453="","",IF(INDEX('Recurring Schedule'!$J$6:$J$45,R453)="","",INDEX('Recurring Schedule'!$J$6:$J$45,R453)))</f>
        <v/>
      </c>
      <c r="M453" s="73">
        <f>IF(R453="","",IF(INDEX('Recurring Schedule'!$K$6:$K$45,R453)="","",INDEX('Recurring Schedule'!$K$6:$K$45,R453)))</f>
        <v/>
      </c>
      <c r="N453" s="73">
        <f>IF(R453="","",IF(INDEX('Recurring Schedule'!$L$6:$L$45,R453)="","",INDEX('Recurring Schedule'!$L$6:$L$45,R453)))</f>
        <v/>
      </c>
      <c r="O453" s="73">
        <f>IF(C453="","",IF(AND(OR(L453="1-Urgent",L453="2-High"),M453="✓"),"DO FIRST",IF(M453="✓","SCHEDULE",IF(OR(L453="1-Urgent",L453="2-High"),"DELEGATE","DELETE"))))</f>
        <v/>
      </c>
      <c r="P453" s="65" t="n"/>
      <c r="Q453">
        <f>IF(448&gt;Calc!$AQ$368,"",MATCH(447,Calc!$AQ$2:$AQ$367,1))</f>
        <v/>
      </c>
      <c r="R453">
        <f>IF(Q453="","",SMALL(INDEX(Calc!$B$2:$AO$367,Q453,0),448-INDEX(Calc!$AQ$2:$AQ$367,Q453)))</f>
        <v/>
      </c>
    </row>
    <row r="454">
      <c r="B454" s="64">
        <f>IF(R454="","",449)</f>
        <v/>
      </c>
      <c r="C454" s="37">
        <f>IF(R454="","",IF(INDEX('Recurring Schedule'!$C$6:$C$45,R454)="","",INDEX('Recurring Schedule'!$C$6:$C$45,R454)))</f>
        <v/>
      </c>
      <c r="D454" s="36">
        <f>IF(R454="","",IF(INDEX('Recurring Schedule'!$D$6:$D$45,R454)="","",INDEX('Recurring Schedule'!$D$6:$D$45,R454)))</f>
        <v/>
      </c>
      <c r="E454" s="38">
        <f>IF(Q454="","",INDEX(Calc!$A$2:$A$367,Q454))</f>
        <v/>
      </c>
      <c r="F454" s="68">
        <f>IF(OR(C454="",E454=""),"",E454-Setup!$D$7)</f>
        <v/>
      </c>
      <c r="G454" s="74">
        <f>IF(R454="","",IF(INDEX('Recurring Schedule'!$H$6:$H$45,R454)="","",INDEX('Recurring Schedule'!$H$6:$H$45,R454)))</f>
        <v/>
      </c>
      <c r="H454" s="74">
        <f>IF(R454="","",IF(INDEX('Recurring Schedule'!$I$6:$I$45,R454)="","",INDEX('Recurring Schedule'!$I$6:$I$45,R454)))</f>
        <v/>
      </c>
      <c r="I454" s="36">
        <f>IF(OR(G454="",H454=""),"",TRIM(IF(HOUR(H454-G454)&gt;0,HOUR(H454-G454)&amp;" hr ","")&amp;IF(MINUTE(H454-G454)&gt;0,MINUTE(H454-G454)&amp;" min","")))</f>
        <v/>
      </c>
      <c r="J454" s="66" t="n"/>
      <c r="K454" s="70" t="n"/>
      <c r="L454" s="36">
        <f>IF(R454="","",IF(INDEX('Recurring Schedule'!$J$6:$J$45,R454)="","",INDEX('Recurring Schedule'!$J$6:$J$45,R454)))</f>
        <v/>
      </c>
      <c r="M454" s="36">
        <f>IF(R454="","",IF(INDEX('Recurring Schedule'!$K$6:$K$45,R454)="","",INDEX('Recurring Schedule'!$K$6:$K$45,R454)))</f>
        <v/>
      </c>
      <c r="N454" s="36">
        <f>IF(R454="","",IF(INDEX('Recurring Schedule'!$L$6:$L$45,R454)="","",INDEX('Recurring Schedule'!$L$6:$L$45,R454)))</f>
        <v/>
      </c>
      <c r="O454" s="36">
        <f>IF(C454="","",IF(AND(OR(L454="1-Urgent",L454="2-High"),M454="✓"),"DO FIRST",IF(M454="✓","SCHEDULE",IF(OR(L454="1-Urgent",L454="2-High"),"DELEGATE","DELETE"))))</f>
        <v/>
      </c>
      <c r="P454" s="65" t="n"/>
      <c r="Q454">
        <f>IF(449&gt;Calc!$AQ$368,"",MATCH(448,Calc!$AQ$2:$AQ$367,1))</f>
        <v/>
      </c>
      <c r="R454">
        <f>IF(Q454="","",SMALL(INDEX(Calc!$B$2:$AO$367,Q454,0),449-INDEX(Calc!$AQ$2:$AQ$367,Q454)))</f>
        <v/>
      </c>
    </row>
    <row r="455">
      <c r="B455" s="71">
        <f>IF(R455="","",450)</f>
        <v/>
      </c>
      <c r="C455" s="75">
        <f>IF(R455="","",IF(INDEX('Recurring Schedule'!$C$6:$C$45,R455)="","",INDEX('Recurring Schedule'!$C$6:$C$45,R455)))</f>
        <v/>
      </c>
      <c r="D455" s="73">
        <f>IF(R455="","",IF(INDEX('Recurring Schedule'!$D$6:$D$45,R455)="","",INDEX('Recurring Schedule'!$D$6:$D$45,R455)))</f>
        <v/>
      </c>
      <c r="E455" s="76">
        <f>IF(Q455="","",INDEX(Calc!$A$2:$A$367,Q455))</f>
        <v/>
      </c>
      <c r="F455" s="72">
        <f>IF(OR(C455="",E455=""),"",E455-Setup!$D$7)</f>
        <v/>
      </c>
      <c r="G455" s="77">
        <f>IF(R455="","",IF(INDEX('Recurring Schedule'!$H$6:$H$45,R455)="","",INDEX('Recurring Schedule'!$H$6:$H$45,R455)))</f>
        <v/>
      </c>
      <c r="H455" s="77">
        <f>IF(R455="","",IF(INDEX('Recurring Schedule'!$I$6:$I$45,R455)="","",INDEX('Recurring Schedule'!$I$6:$I$45,R455)))</f>
        <v/>
      </c>
      <c r="I455" s="73">
        <f>IF(OR(G455="",H455=""),"",TRIM(IF(HOUR(H455-G455)&gt;0,HOUR(H455-G455)&amp;" hr ","")&amp;IF(MINUTE(H455-G455)&gt;0,MINUTE(H455-G455)&amp;" min","")))</f>
        <v/>
      </c>
      <c r="J455" s="66" t="n"/>
      <c r="K455" s="70" t="n"/>
      <c r="L455" s="73">
        <f>IF(R455="","",IF(INDEX('Recurring Schedule'!$J$6:$J$45,R455)="","",INDEX('Recurring Schedule'!$J$6:$J$45,R455)))</f>
        <v/>
      </c>
      <c r="M455" s="73">
        <f>IF(R455="","",IF(INDEX('Recurring Schedule'!$K$6:$K$45,R455)="","",INDEX('Recurring Schedule'!$K$6:$K$45,R455)))</f>
        <v/>
      </c>
      <c r="N455" s="73">
        <f>IF(R455="","",IF(INDEX('Recurring Schedule'!$L$6:$L$45,R455)="","",INDEX('Recurring Schedule'!$L$6:$L$45,R455)))</f>
        <v/>
      </c>
      <c r="O455" s="73">
        <f>IF(C455="","",IF(AND(OR(L455="1-Urgent",L455="2-High"),M455="✓"),"DO FIRST",IF(M455="✓","SCHEDULE",IF(OR(L455="1-Urgent",L455="2-High"),"DELEGATE","DELETE"))))</f>
        <v/>
      </c>
      <c r="P455" s="65" t="n"/>
      <c r="Q455">
        <f>IF(450&gt;Calc!$AQ$368,"",MATCH(449,Calc!$AQ$2:$AQ$367,1))</f>
        <v/>
      </c>
      <c r="R455">
        <f>IF(Q455="","",SMALL(INDEX(Calc!$B$2:$AO$367,Q455,0),450-INDEX(Calc!$AQ$2:$AQ$367,Q455)))</f>
        <v/>
      </c>
    </row>
    <row r="456">
      <c r="B456" s="64">
        <f>IF(R456="","",451)</f>
        <v/>
      </c>
      <c r="C456" s="37">
        <f>IF(R456="","",IF(INDEX('Recurring Schedule'!$C$6:$C$45,R456)="","",INDEX('Recurring Schedule'!$C$6:$C$45,R456)))</f>
        <v/>
      </c>
      <c r="D456" s="36">
        <f>IF(R456="","",IF(INDEX('Recurring Schedule'!$D$6:$D$45,R456)="","",INDEX('Recurring Schedule'!$D$6:$D$45,R456)))</f>
        <v/>
      </c>
      <c r="E456" s="38">
        <f>IF(Q456="","",INDEX(Calc!$A$2:$A$367,Q456))</f>
        <v/>
      </c>
      <c r="F456" s="68">
        <f>IF(OR(C456="",E456=""),"",E456-Setup!$D$7)</f>
        <v/>
      </c>
      <c r="G456" s="74">
        <f>IF(R456="","",IF(INDEX('Recurring Schedule'!$H$6:$H$45,R456)="","",INDEX('Recurring Schedule'!$H$6:$H$45,R456)))</f>
        <v/>
      </c>
      <c r="H456" s="74">
        <f>IF(R456="","",IF(INDEX('Recurring Schedule'!$I$6:$I$45,R456)="","",INDEX('Recurring Schedule'!$I$6:$I$45,R456)))</f>
        <v/>
      </c>
      <c r="I456" s="36">
        <f>IF(OR(G456="",H456=""),"",TRIM(IF(HOUR(H456-G456)&gt;0,HOUR(H456-G456)&amp;" hr ","")&amp;IF(MINUTE(H456-G456)&gt;0,MINUTE(H456-G456)&amp;" min","")))</f>
        <v/>
      </c>
      <c r="J456" s="66" t="n"/>
      <c r="K456" s="70" t="n"/>
      <c r="L456" s="36">
        <f>IF(R456="","",IF(INDEX('Recurring Schedule'!$J$6:$J$45,R456)="","",INDEX('Recurring Schedule'!$J$6:$J$45,R456)))</f>
        <v/>
      </c>
      <c r="M456" s="36">
        <f>IF(R456="","",IF(INDEX('Recurring Schedule'!$K$6:$K$45,R456)="","",INDEX('Recurring Schedule'!$K$6:$K$45,R456)))</f>
        <v/>
      </c>
      <c r="N456" s="36">
        <f>IF(R456="","",IF(INDEX('Recurring Schedule'!$L$6:$L$45,R456)="","",INDEX('Recurring Schedule'!$L$6:$L$45,R456)))</f>
        <v/>
      </c>
      <c r="O456" s="36">
        <f>IF(C456="","",IF(AND(OR(L456="1-Urgent",L456="2-High"),M456="✓"),"DO FIRST",IF(M456="✓","SCHEDULE",IF(OR(L456="1-Urgent",L456="2-High"),"DELEGATE","DELETE"))))</f>
        <v/>
      </c>
      <c r="P456" s="65" t="n"/>
      <c r="Q456">
        <f>IF(451&gt;Calc!$AQ$368,"",MATCH(450,Calc!$AQ$2:$AQ$367,1))</f>
        <v/>
      </c>
      <c r="R456">
        <f>IF(Q456="","",SMALL(INDEX(Calc!$B$2:$AO$367,Q456,0),451-INDEX(Calc!$AQ$2:$AQ$367,Q456)))</f>
        <v/>
      </c>
    </row>
    <row r="457">
      <c r="B457" s="71">
        <f>IF(R457="","",452)</f>
        <v/>
      </c>
      <c r="C457" s="75">
        <f>IF(R457="","",IF(INDEX('Recurring Schedule'!$C$6:$C$45,R457)="","",INDEX('Recurring Schedule'!$C$6:$C$45,R457)))</f>
        <v/>
      </c>
      <c r="D457" s="73">
        <f>IF(R457="","",IF(INDEX('Recurring Schedule'!$D$6:$D$45,R457)="","",INDEX('Recurring Schedule'!$D$6:$D$45,R457)))</f>
        <v/>
      </c>
      <c r="E457" s="76">
        <f>IF(Q457="","",INDEX(Calc!$A$2:$A$367,Q457))</f>
        <v/>
      </c>
      <c r="F457" s="72">
        <f>IF(OR(C457="",E457=""),"",E457-Setup!$D$7)</f>
        <v/>
      </c>
      <c r="G457" s="77">
        <f>IF(R457="","",IF(INDEX('Recurring Schedule'!$H$6:$H$45,R457)="","",INDEX('Recurring Schedule'!$H$6:$H$45,R457)))</f>
        <v/>
      </c>
      <c r="H457" s="77">
        <f>IF(R457="","",IF(INDEX('Recurring Schedule'!$I$6:$I$45,R457)="","",INDEX('Recurring Schedule'!$I$6:$I$45,R457)))</f>
        <v/>
      </c>
      <c r="I457" s="73">
        <f>IF(OR(G457="",H457=""),"",TRIM(IF(HOUR(H457-G457)&gt;0,HOUR(H457-G457)&amp;" hr ","")&amp;IF(MINUTE(H457-G457)&gt;0,MINUTE(H457-G457)&amp;" min","")))</f>
        <v/>
      </c>
      <c r="J457" s="66" t="n"/>
      <c r="K457" s="70" t="n"/>
      <c r="L457" s="73">
        <f>IF(R457="","",IF(INDEX('Recurring Schedule'!$J$6:$J$45,R457)="","",INDEX('Recurring Schedule'!$J$6:$J$45,R457)))</f>
        <v/>
      </c>
      <c r="M457" s="73">
        <f>IF(R457="","",IF(INDEX('Recurring Schedule'!$K$6:$K$45,R457)="","",INDEX('Recurring Schedule'!$K$6:$K$45,R457)))</f>
        <v/>
      </c>
      <c r="N457" s="73">
        <f>IF(R457="","",IF(INDEX('Recurring Schedule'!$L$6:$L$45,R457)="","",INDEX('Recurring Schedule'!$L$6:$L$45,R457)))</f>
        <v/>
      </c>
      <c r="O457" s="73">
        <f>IF(C457="","",IF(AND(OR(L457="1-Urgent",L457="2-High"),M457="✓"),"DO FIRST",IF(M457="✓","SCHEDULE",IF(OR(L457="1-Urgent",L457="2-High"),"DELEGATE","DELETE"))))</f>
        <v/>
      </c>
      <c r="P457" s="65" t="n"/>
      <c r="Q457">
        <f>IF(452&gt;Calc!$AQ$368,"",MATCH(451,Calc!$AQ$2:$AQ$367,1))</f>
        <v/>
      </c>
      <c r="R457">
        <f>IF(Q457="","",SMALL(INDEX(Calc!$B$2:$AO$367,Q457,0),452-INDEX(Calc!$AQ$2:$AQ$367,Q457)))</f>
        <v/>
      </c>
    </row>
    <row r="458">
      <c r="B458" s="64">
        <f>IF(R458="","",453)</f>
        <v/>
      </c>
      <c r="C458" s="37">
        <f>IF(R458="","",IF(INDEX('Recurring Schedule'!$C$6:$C$45,R458)="","",INDEX('Recurring Schedule'!$C$6:$C$45,R458)))</f>
        <v/>
      </c>
      <c r="D458" s="36">
        <f>IF(R458="","",IF(INDEX('Recurring Schedule'!$D$6:$D$45,R458)="","",INDEX('Recurring Schedule'!$D$6:$D$45,R458)))</f>
        <v/>
      </c>
      <c r="E458" s="38">
        <f>IF(Q458="","",INDEX(Calc!$A$2:$A$367,Q458))</f>
        <v/>
      </c>
      <c r="F458" s="68">
        <f>IF(OR(C458="",E458=""),"",E458-Setup!$D$7)</f>
        <v/>
      </c>
      <c r="G458" s="74">
        <f>IF(R458="","",IF(INDEX('Recurring Schedule'!$H$6:$H$45,R458)="","",INDEX('Recurring Schedule'!$H$6:$H$45,R458)))</f>
        <v/>
      </c>
      <c r="H458" s="74">
        <f>IF(R458="","",IF(INDEX('Recurring Schedule'!$I$6:$I$45,R458)="","",INDEX('Recurring Schedule'!$I$6:$I$45,R458)))</f>
        <v/>
      </c>
      <c r="I458" s="36">
        <f>IF(OR(G458="",H458=""),"",TRIM(IF(HOUR(H458-G458)&gt;0,HOUR(H458-G458)&amp;" hr ","")&amp;IF(MINUTE(H458-G458)&gt;0,MINUTE(H458-G458)&amp;" min","")))</f>
        <v/>
      </c>
      <c r="J458" s="66" t="n"/>
      <c r="K458" s="70" t="n"/>
      <c r="L458" s="36">
        <f>IF(R458="","",IF(INDEX('Recurring Schedule'!$J$6:$J$45,R458)="","",INDEX('Recurring Schedule'!$J$6:$J$45,R458)))</f>
        <v/>
      </c>
      <c r="M458" s="36">
        <f>IF(R458="","",IF(INDEX('Recurring Schedule'!$K$6:$K$45,R458)="","",INDEX('Recurring Schedule'!$K$6:$K$45,R458)))</f>
        <v/>
      </c>
      <c r="N458" s="36">
        <f>IF(R458="","",IF(INDEX('Recurring Schedule'!$L$6:$L$45,R458)="","",INDEX('Recurring Schedule'!$L$6:$L$45,R458)))</f>
        <v/>
      </c>
      <c r="O458" s="36">
        <f>IF(C458="","",IF(AND(OR(L458="1-Urgent",L458="2-High"),M458="✓"),"DO FIRST",IF(M458="✓","SCHEDULE",IF(OR(L458="1-Urgent",L458="2-High"),"DELEGATE","DELETE"))))</f>
        <v/>
      </c>
      <c r="P458" s="65" t="n"/>
      <c r="Q458">
        <f>IF(453&gt;Calc!$AQ$368,"",MATCH(452,Calc!$AQ$2:$AQ$367,1))</f>
        <v/>
      </c>
      <c r="R458">
        <f>IF(Q458="","",SMALL(INDEX(Calc!$B$2:$AO$367,Q458,0),453-INDEX(Calc!$AQ$2:$AQ$367,Q458)))</f>
        <v/>
      </c>
    </row>
    <row r="459">
      <c r="B459" s="71">
        <f>IF(R459="","",454)</f>
        <v/>
      </c>
      <c r="C459" s="75">
        <f>IF(R459="","",IF(INDEX('Recurring Schedule'!$C$6:$C$45,R459)="","",INDEX('Recurring Schedule'!$C$6:$C$45,R459)))</f>
        <v/>
      </c>
      <c r="D459" s="73">
        <f>IF(R459="","",IF(INDEX('Recurring Schedule'!$D$6:$D$45,R459)="","",INDEX('Recurring Schedule'!$D$6:$D$45,R459)))</f>
        <v/>
      </c>
      <c r="E459" s="76">
        <f>IF(Q459="","",INDEX(Calc!$A$2:$A$367,Q459))</f>
        <v/>
      </c>
      <c r="F459" s="72">
        <f>IF(OR(C459="",E459=""),"",E459-Setup!$D$7)</f>
        <v/>
      </c>
      <c r="G459" s="77">
        <f>IF(R459="","",IF(INDEX('Recurring Schedule'!$H$6:$H$45,R459)="","",INDEX('Recurring Schedule'!$H$6:$H$45,R459)))</f>
        <v/>
      </c>
      <c r="H459" s="77">
        <f>IF(R459="","",IF(INDEX('Recurring Schedule'!$I$6:$I$45,R459)="","",INDEX('Recurring Schedule'!$I$6:$I$45,R459)))</f>
        <v/>
      </c>
      <c r="I459" s="73">
        <f>IF(OR(G459="",H459=""),"",TRIM(IF(HOUR(H459-G459)&gt;0,HOUR(H459-G459)&amp;" hr ","")&amp;IF(MINUTE(H459-G459)&gt;0,MINUTE(H459-G459)&amp;" min","")))</f>
        <v/>
      </c>
      <c r="J459" s="66" t="n"/>
      <c r="K459" s="70" t="n"/>
      <c r="L459" s="73">
        <f>IF(R459="","",IF(INDEX('Recurring Schedule'!$J$6:$J$45,R459)="","",INDEX('Recurring Schedule'!$J$6:$J$45,R459)))</f>
        <v/>
      </c>
      <c r="M459" s="73">
        <f>IF(R459="","",IF(INDEX('Recurring Schedule'!$K$6:$K$45,R459)="","",INDEX('Recurring Schedule'!$K$6:$K$45,R459)))</f>
        <v/>
      </c>
      <c r="N459" s="73">
        <f>IF(R459="","",IF(INDEX('Recurring Schedule'!$L$6:$L$45,R459)="","",INDEX('Recurring Schedule'!$L$6:$L$45,R459)))</f>
        <v/>
      </c>
      <c r="O459" s="73">
        <f>IF(C459="","",IF(AND(OR(L459="1-Urgent",L459="2-High"),M459="✓"),"DO FIRST",IF(M459="✓","SCHEDULE",IF(OR(L459="1-Urgent",L459="2-High"),"DELEGATE","DELETE"))))</f>
        <v/>
      </c>
      <c r="P459" s="65" t="n"/>
      <c r="Q459">
        <f>IF(454&gt;Calc!$AQ$368,"",MATCH(453,Calc!$AQ$2:$AQ$367,1))</f>
        <v/>
      </c>
      <c r="R459">
        <f>IF(Q459="","",SMALL(INDEX(Calc!$B$2:$AO$367,Q459,0),454-INDEX(Calc!$AQ$2:$AQ$367,Q459)))</f>
        <v/>
      </c>
    </row>
    <row r="460">
      <c r="B460" s="64">
        <f>IF(R460="","",455)</f>
        <v/>
      </c>
      <c r="C460" s="37">
        <f>IF(R460="","",IF(INDEX('Recurring Schedule'!$C$6:$C$45,R460)="","",INDEX('Recurring Schedule'!$C$6:$C$45,R460)))</f>
        <v/>
      </c>
      <c r="D460" s="36">
        <f>IF(R460="","",IF(INDEX('Recurring Schedule'!$D$6:$D$45,R460)="","",INDEX('Recurring Schedule'!$D$6:$D$45,R460)))</f>
        <v/>
      </c>
      <c r="E460" s="38">
        <f>IF(Q460="","",INDEX(Calc!$A$2:$A$367,Q460))</f>
        <v/>
      </c>
      <c r="F460" s="68">
        <f>IF(OR(C460="",E460=""),"",E460-Setup!$D$7)</f>
        <v/>
      </c>
      <c r="G460" s="74">
        <f>IF(R460="","",IF(INDEX('Recurring Schedule'!$H$6:$H$45,R460)="","",INDEX('Recurring Schedule'!$H$6:$H$45,R460)))</f>
        <v/>
      </c>
      <c r="H460" s="74">
        <f>IF(R460="","",IF(INDEX('Recurring Schedule'!$I$6:$I$45,R460)="","",INDEX('Recurring Schedule'!$I$6:$I$45,R460)))</f>
        <v/>
      </c>
      <c r="I460" s="36">
        <f>IF(OR(G460="",H460=""),"",TRIM(IF(HOUR(H460-G460)&gt;0,HOUR(H460-G460)&amp;" hr ","")&amp;IF(MINUTE(H460-G460)&gt;0,MINUTE(H460-G460)&amp;" min","")))</f>
        <v/>
      </c>
      <c r="J460" s="66" t="n"/>
      <c r="K460" s="70" t="n"/>
      <c r="L460" s="36">
        <f>IF(R460="","",IF(INDEX('Recurring Schedule'!$J$6:$J$45,R460)="","",INDEX('Recurring Schedule'!$J$6:$J$45,R460)))</f>
        <v/>
      </c>
      <c r="M460" s="36">
        <f>IF(R460="","",IF(INDEX('Recurring Schedule'!$K$6:$K$45,R460)="","",INDEX('Recurring Schedule'!$K$6:$K$45,R460)))</f>
        <v/>
      </c>
      <c r="N460" s="36">
        <f>IF(R460="","",IF(INDEX('Recurring Schedule'!$L$6:$L$45,R460)="","",INDEX('Recurring Schedule'!$L$6:$L$45,R460)))</f>
        <v/>
      </c>
      <c r="O460" s="36">
        <f>IF(C460="","",IF(AND(OR(L460="1-Urgent",L460="2-High"),M460="✓"),"DO FIRST",IF(M460="✓","SCHEDULE",IF(OR(L460="1-Urgent",L460="2-High"),"DELEGATE","DELETE"))))</f>
        <v/>
      </c>
      <c r="P460" s="65" t="n"/>
      <c r="Q460">
        <f>IF(455&gt;Calc!$AQ$368,"",MATCH(454,Calc!$AQ$2:$AQ$367,1))</f>
        <v/>
      </c>
      <c r="R460">
        <f>IF(Q460="","",SMALL(INDEX(Calc!$B$2:$AO$367,Q460,0),455-INDEX(Calc!$AQ$2:$AQ$367,Q460)))</f>
        <v/>
      </c>
    </row>
    <row r="461">
      <c r="B461" s="71">
        <f>IF(R461="","",456)</f>
        <v/>
      </c>
      <c r="C461" s="75">
        <f>IF(R461="","",IF(INDEX('Recurring Schedule'!$C$6:$C$45,R461)="","",INDEX('Recurring Schedule'!$C$6:$C$45,R461)))</f>
        <v/>
      </c>
      <c r="D461" s="73">
        <f>IF(R461="","",IF(INDEX('Recurring Schedule'!$D$6:$D$45,R461)="","",INDEX('Recurring Schedule'!$D$6:$D$45,R461)))</f>
        <v/>
      </c>
      <c r="E461" s="76">
        <f>IF(Q461="","",INDEX(Calc!$A$2:$A$367,Q461))</f>
        <v/>
      </c>
      <c r="F461" s="72">
        <f>IF(OR(C461="",E461=""),"",E461-Setup!$D$7)</f>
        <v/>
      </c>
      <c r="G461" s="77">
        <f>IF(R461="","",IF(INDEX('Recurring Schedule'!$H$6:$H$45,R461)="","",INDEX('Recurring Schedule'!$H$6:$H$45,R461)))</f>
        <v/>
      </c>
      <c r="H461" s="77">
        <f>IF(R461="","",IF(INDEX('Recurring Schedule'!$I$6:$I$45,R461)="","",INDEX('Recurring Schedule'!$I$6:$I$45,R461)))</f>
        <v/>
      </c>
      <c r="I461" s="73">
        <f>IF(OR(G461="",H461=""),"",TRIM(IF(HOUR(H461-G461)&gt;0,HOUR(H461-G461)&amp;" hr ","")&amp;IF(MINUTE(H461-G461)&gt;0,MINUTE(H461-G461)&amp;" min","")))</f>
        <v/>
      </c>
      <c r="J461" s="66" t="n"/>
      <c r="K461" s="70" t="n"/>
      <c r="L461" s="73">
        <f>IF(R461="","",IF(INDEX('Recurring Schedule'!$J$6:$J$45,R461)="","",INDEX('Recurring Schedule'!$J$6:$J$45,R461)))</f>
        <v/>
      </c>
      <c r="M461" s="73">
        <f>IF(R461="","",IF(INDEX('Recurring Schedule'!$K$6:$K$45,R461)="","",INDEX('Recurring Schedule'!$K$6:$K$45,R461)))</f>
        <v/>
      </c>
      <c r="N461" s="73">
        <f>IF(R461="","",IF(INDEX('Recurring Schedule'!$L$6:$L$45,R461)="","",INDEX('Recurring Schedule'!$L$6:$L$45,R461)))</f>
        <v/>
      </c>
      <c r="O461" s="73">
        <f>IF(C461="","",IF(AND(OR(L461="1-Urgent",L461="2-High"),M461="✓"),"DO FIRST",IF(M461="✓","SCHEDULE",IF(OR(L461="1-Urgent",L461="2-High"),"DELEGATE","DELETE"))))</f>
        <v/>
      </c>
      <c r="P461" s="65" t="n"/>
      <c r="Q461">
        <f>IF(456&gt;Calc!$AQ$368,"",MATCH(455,Calc!$AQ$2:$AQ$367,1))</f>
        <v/>
      </c>
      <c r="R461">
        <f>IF(Q461="","",SMALL(INDEX(Calc!$B$2:$AO$367,Q461,0),456-INDEX(Calc!$AQ$2:$AQ$367,Q461)))</f>
        <v/>
      </c>
    </row>
    <row r="462">
      <c r="B462" s="64">
        <f>IF(R462="","",457)</f>
        <v/>
      </c>
      <c r="C462" s="37">
        <f>IF(R462="","",IF(INDEX('Recurring Schedule'!$C$6:$C$45,R462)="","",INDEX('Recurring Schedule'!$C$6:$C$45,R462)))</f>
        <v/>
      </c>
      <c r="D462" s="36">
        <f>IF(R462="","",IF(INDEX('Recurring Schedule'!$D$6:$D$45,R462)="","",INDEX('Recurring Schedule'!$D$6:$D$45,R462)))</f>
        <v/>
      </c>
      <c r="E462" s="38">
        <f>IF(Q462="","",INDEX(Calc!$A$2:$A$367,Q462))</f>
        <v/>
      </c>
      <c r="F462" s="68">
        <f>IF(OR(C462="",E462=""),"",E462-Setup!$D$7)</f>
        <v/>
      </c>
      <c r="G462" s="74">
        <f>IF(R462="","",IF(INDEX('Recurring Schedule'!$H$6:$H$45,R462)="","",INDEX('Recurring Schedule'!$H$6:$H$45,R462)))</f>
        <v/>
      </c>
      <c r="H462" s="74">
        <f>IF(R462="","",IF(INDEX('Recurring Schedule'!$I$6:$I$45,R462)="","",INDEX('Recurring Schedule'!$I$6:$I$45,R462)))</f>
        <v/>
      </c>
      <c r="I462" s="36">
        <f>IF(OR(G462="",H462=""),"",TRIM(IF(HOUR(H462-G462)&gt;0,HOUR(H462-G462)&amp;" hr ","")&amp;IF(MINUTE(H462-G462)&gt;0,MINUTE(H462-G462)&amp;" min","")))</f>
        <v/>
      </c>
      <c r="J462" s="66" t="n"/>
      <c r="K462" s="70" t="n"/>
      <c r="L462" s="36">
        <f>IF(R462="","",IF(INDEX('Recurring Schedule'!$J$6:$J$45,R462)="","",INDEX('Recurring Schedule'!$J$6:$J$45,R462)))</f>
        <v/>
      </c>
      <c r="M462" s="36">
        <f>IF(R462="","",IF(INDEX('Recurring Schedule'!$K$6:$K$45,R462)="","",INDEX('Recurring Schedule'!$K$6:$K$45,R462)))</f>
        <v/>
      </c>
      <c r="N462" s="36">
        <f>IF(R462="","",IF(INDEX('Recurring Schedule'!$L$6:$L$45,R462)="","",INDEX('Recurring Schedule'!$L$6:$L$45,R462)))</f>
        <v/>
      </c>
      <c r="O462" s="36">
        <f>IF(C462="","",IF(AND(OR(L462="1-Urgent",L462="2-High"),M462="✓"),"DO FIRST",IF(M462="✓","SCHEDULE",IF(OR(L462="1-Urgent",L462="2-High"),"DELEGATE","DELETE"))))</f>
        <v/>
      </c>
      <c r="P462" s="65" t="n"/>
      <c r="Q462">
        <f>IF(457&gt;Calc!$AQ$368,"",MATCH(456,Calc!$AQ$2:$AQ$367,1))</f>
        <v/>
      </c>
      <c r="R462">
        <f>IF(Q462="","",SMALL(INDEX(Calc!$B$2:$AO$367,Q462,0),457-INDEX(Calc!$AQ$2:$AQ$367,Q462)))</f>
        <v/>
      </c>
    </row>
    <row r="463">
      <c r="B463" s="71">
        <f>IF(R463="","",458)</f>
        <v/>
      </c>
      <c r="C463" s="75">
        <f>IF(R463="","",IF(INDEX('Recurring Schedule'!$C$6:$C$45,R463)="","",INDEX('Recurring Schedule'!$C$6:$C$45,R463)))</f>
        <v/>
      </c>
      <c r="D463" s="73">
        <f>IF(R463="","",IF(INDEX('Recurring Schedule'!$D$6:$D$45,R463)="","",INDEX('Recurring Schedule'!$D$6:$D$45,R463)))</f>
        <v/>
      </c>
      <c r="E463" s="76">
        <f>IF(Q463="","",INDEX(Calc!$A$2:$A$367,Q463))</f>
        <v/>
      </c>
      <c r="F463" s="72">
        <f>IF(OR(C463="",E463=""),"",E463-Setup!$D$7)</f>
        <v/>
      </c>
      <c r="G463" s="77">
        <f>IF(R463="","",IF(INDEX('Recurring Schedule'!$H$6:$H$45,R463)="","",INDEX('Recurring Schedule'!$H$6:$H$45,R463)))</f>
        <v/>
      </c>
      <c r="H463" s="77">
        <f>IF(R463="","",IF(INDEX('Recurring Schedule'!$I$6:$I$45,R463)="","",INDEX('Recurring Schedule'!$I$6:$I$45,R463)))</f>
        <v/>
      </c>
      <c r="I463" s="73">
        <f>IF(OR(G463="",H463=""),"",TRIM(IF(HOUR(H463-G463)&gt;0,HOUR(H463-G463)&amp;" hr ","")&amp;IF(MINUTE(H463-G463)&gt;0,MINUTE(H463-G463)&amp;" min","")))</f>
        <v/>
      </c>
      <c r="J463" s="66" t="n"/>
      <c r="K463" s="70" t="n"/>
      <c r="L463" s="73">
        <f>IF(R463="","",IF(INDEX('Recurring Schedule'!$J$6:$J$45,R463)="","",INDEX('Recurring Schedule'!$J$6:$J$45,R463)))</f>
        <v/>
      </c>
      <c r="M463" s="73">
        <f>IF(R463="","",IF(INDEX('Recurring Schedule'!$K$6:$K$45,R463)="","",INDEX('Recurring Schedule'!$K$6:$K$45,R463)))</f>
        <v/>
      </c>
      <c r="N463" s="73">
        <f>IF(R463="","",IF(INDEX('Recurring Schedule'!$L$6:$L$45,R463)="","",INDEX('Recurring Schedule'!$L$6:$L$45,R463)))</f>
        <v/>
      </c>
      <c r="O463" s="73">
        <f>IF(C463="","",IF(AND(OR(L463="1-Urgent",L463="2-High"),M463="✓"),"DO FIRST",IF(M463="✓","SCHEDULE",IF(OR(L463="1-Urgent",L463="2-High"),"DELEGATE","DELETE"))))</f>
        <v/>
      </c>
      <c r="P463" s="65" t="n"/>
      <c r="Q463">
        <f>IF(458&gt;Calc!$AQ$368,"",MATCH(457,Calc!$AQ$2:$AQ$367,1))</f>
        <v/>
      </c>
      <c r="R463">
        <f>IF(Q463="","",SMALL(INDEX(Calc!$B$2:$AO$367,Q463,0),458-INDEX(Calc!$AQ$2:$AQ$367,Q463)))</f>
        <v/>
      </c>
    </row>
    <row r="464">
      <c r="B464" s="64">
        <f>IF(R464="","",459)</f>
        <v/>
      </c>
      <c r="C464" s="37">
        <f>IF(R464="","",IF(INDEX('Recurring Schedule'!$C$6:$C$45,R464)="","",INDEX('Recurring Schedule'!$C$6:$C$45,R464)))</f>
        <v/>
      </c>
      <c r="D464" s="36">
        <f>IF(R464="","",IF(INDEX('Recurring Schedule'!$D$6:$D$45,R464)="","",INDEX('Recurring Schedule'!$D$6:$D$45,R464)))</f>
        <v/>
      </c>
      <c r="E464" s="38">
        <f>IF(Q464="","",INDEX(Calc!$A$2:$A$367,Q464))</f>
        <v/>
      </c>
      <c r="F464" s="68">
        <f>IF(OR(C464="",E464=""),"",E464-Setup!$D$7)</f>
        <v/>
      </c>
      <c r="G464" s="74">
        <f>IF(R464="","",IF(INDEX('Recurring Schedule'!$H$6:$H$45,R464)="","",INDEX('Recurring Schedule'!$H$6:$H$45,R464)))</f>
        <v/>
      </c>
      <c r="H464" s="74">
        <f>IF(R464="","",IF(INDEX('Recurring Schedule'!$I$6:$I$45,R464)="","",INDEX('Recurring Schedule'!$I$6:$I$45,R464)))</f>
        <v/>
      </c>
      <c r="I464" s="36">
        <f>IF(OR(G464="",H464=""),"",TRIM(IF(HOUR(H464-G464)&gt;0,HOUR(H464-G464)&amp;" hr ","")&amp;IF(MINUTE(H464-G464)&gt;0,MINUTE(H464-G464)&amp;" min","")))</f>
        <v/>
      </c>
      <c r="J464" s="66" t="n"/>
      <c r="K464" s="70" t="n"/>
      <c r="L464" s="36">
        <f>IF(R464="","",IF(INDEX('Recurring Schedule'!$J$6:$J$45,R464)="","",INDEX('Recurring Schedule'!$J$6:$J$45,R464)))</f>
        <v/>
      </c>
      <c r="M464" s="36">
        <f>IF(R464="","",IF(INDEX('Recurring Schedule'!$K$6:$K$45,R464)="","",INDEX('Recurring Schedule'!$K$6:$K$45,R464)))</f>
        <v/>
      </c>
      <c r="N464" s="36">
        <f>IF(R464="","",IF(INDEX('Recurring Schedule'!$L$6:$L$45,R464)="","",INDEX('Recurring Schedule'!$L$6:$L$45,R464)))</f>
        <v/>
      </c>
      <c r="O464" s="36">
        <f>IF(C464="","",IF(AND(OR(L464="1-Urgent",L464="2-High"),M464="✓"),"DO FIRST",IF(M464="✓","SCHEDULE",IF(OR(L464="1-Urgent",L464="2-High"),"DELEGATE","DELETE"))))</f>
        <v/>
      </c>
      <c r="P464" s="65" t="n"/>
      <c r="Q464">
        <f>IF(459&gt;Calc!$AQ$368,"",MATCH(458,Calc!$AQ$2:$AQ$367,1))</f>
        <v/>
      </c>
      <c r="R464">
        <f>IF(Q464="","",SMALL(INDEX(Calc!$B$2:$AO$367,Q464,0),459-INDEX(Calc!$AQ$2:$AQ$367,Q464)))</f>
        <v/>
      </c>
    </row>
    <row r="465">
      <c r="B465" s="71">
        <f>IF(R465="","",460)</f>
        <v/>
      </c>
      <c r="C465" s="75">
        <f>IF(R465="","",IF(INDEX('Recurring Schedule'!$C$6:$C$45,R465)="","",INDEX('Recurring Schedule'!$C$6:$C$45,R465)))</f>
        <v/>
      </c>
      <c r="D465" s="73">
        <f>IF(R465="","",IF(INDEX('Recurring Schedule'!$D$6:$D$45,R465)="","",INDEX('Recurring Schedule'!$D$6:$D$45,R465)))</f>
        <v/>
      </c>
      <c r="E465" s="76">
        <f>IF(Q465="","",INDEX(Calc!$A$2:$A$367,Q465))</f>
        <v/>
      </c>
      <c r="F465" s="72">
        <f>IF(OR(C465="",E465=""),"",E465-Setup!$D$7)</f>
        <v/>
      </c>
      <c r="G465" s="77">
        <f>IF(R465="","",IF(INDEX('Recurring Schedule'!$H$6:$H$45,R465)="","",INDEX('Recurring Schedule'!$H$6:$H$45,R465)))</f>
        <v/>
      </c>
      <c r="H465" s="77">
        <f>IF(R465="","",IF(INDEX('Recurring Schedule'!$I$6:$I$45,R465)="","",INDEX('Recurring Schedule'!$I$6:$I$45,R465)))</f>
        <v/>
      </c>
      <c r="I465" s="73">
        <f>IF(OR(G465="",H465=""),"",TRIM(IF(HOUR(H465-G465)&gt;0,HOUR(H465-G465)&amp;" hr ","")&amp;IF(MINUTE(H465-G465)&gt;0,MINUTE(H465-G465)&amp;" min","")))</f>
        <v/>
      </c>
      <c r="J465" s="66" t="n"/>
      <c r="K465" s="70" t="n"/>
      <c r="L465" s="73">
        <f>IF(R465="","",IF(INDEX('Recurring Schedule'!$J$6:$J$45,R465)="","",INDEX('Recurring Schedule'!$J$6:$J$45,R465)))</f>
        <v/>
      </c>
      <c r="M465" s="73">
        <f>IF(R465="","",IF(INDEX('Recurring Schedule'!$K$6:$K$45,R465)="","",INDEX('Recurring Schedule'!$K$6:$K$45,R465)))</f>
        <v/>
      </c>
      <c r="N465" s="73">
        <f>IF(R465="","",IF(INDEX('Recurring Schedule'!$L$6:$L$45,R465)="","",INDEX('Recurring Schedule'!$L$6:$L$45,R465)))</f>
        <v/>
      </c>
      <c r="O465" s="73">
        <f>IF(C465="","",IF(AND(OR(L465="1-Urgent",L465="2-High"),M465="✓"),"DO FIRST",IF(M465="✓","SCHEDULE",IF(OR(L465="1-Urgent",L465="2-High"),"DELEGATE","DELETE"))))</f>
        <v/>
      </c>
      <c r="P465" s="65" t="n"/>
      <c r="Q465">
        <f>IF(460&gt;Calc!$AQ$368,"",MATCH(459,Calc!$AQ$2:$AQ$367,1))</f>
        <v/>
      </c>
      <c r="R465">
        <f>IF(Q465="","",SMALL(INDEX(Calc!$B$2:$AO$367,Q465,0),460-INDEX(Calc!$AQ$2:$AQ$367,Q465)))</f>
        <v/>
      </c>
    </row>
    <row r="466">
      <c r="B466" s="64">
        <f>IF(R466="","",461)</f>
        <v/>
      </c>
      <c r="C466" s="37">
        <f>IF(R466="","",IF(INDEX('Recurring Schedule'!$C$6:$C$45,R466)="","",INDEX('Recurring Schedule'!$C$6:$C$45,R466)))</f>
        <v/>
      </c>
      <c r="D466" s="36">
        <f>IF(R466="","",IF(INDEX('Recurring Schedule'!$D$6:$D$45,R466)="","",INDEX('Recurring Schedule'!$D$6:$D$45,R466)))</f>
        <v/>
      </c>
      <c r="E466" s="38">
        <f>IF(Q466="","",INDEX(Calc!$A$2:$A$367,Q466))</f>
        <v/>
      </c>
      <c r="F466" s="68">
        <f>IF(OR(C466="",E466=""),"",E466-Setup!$D$7)</f>
        <v/>
      </c>
      <c r="G466" s="74">
        <f>IF(R466="","",IF(INDEX('Recurring Schedule'!$H$6:$H$45,R466)="","",INDEX('Recurring Schedule'!$H$6:$H$45,R466)))</f>
        <v/>
      </c>
      <c r="H466" s="74">
        <f>IF(R466="","",IF(INDEX('Recurring Schedule'!$I$6:$I$45,R466)="","",INDEX('Recurring Schedule'!$I$6:$I$45,R466)))</f>
        <v/>
      </c>
      <c r="I466" s="36">
        <f>IF(OR(G466="",H466=""),"",TRIM(IF(HOUR(H466-G466)&gt;0,HOUR(H466-G466)&amp;" hr ","")&amp;IF(MINUTE(H466-G466)&gt;0,MINUTE(H466-G466)&amp;" min","")))</f>
        <v/>
      </c>
      <c r="J466" s="66" t="n"/>
      <c r="K466" s="70" t="n"/>
      <c r="L466" s="36">
        <f>IF(R466="","",IF(INDEX('Recurring Schedule'!$J$6:$J$45,R466)="","",INDEX('Recurring Schedule'!$J$6:$J$45,R466)))</f>
        <v/>
      </c>
      <c r="M466" s="36">
        <f>IF(R466="","",IF(INDEX('Recurring Schedule'!$K$6:$K$45,R466)="","",INDEX('Recurring Schedule'!$K$6:$K$45,R466)))</f>
        <v/>
      </c>
      <c r="N466" s="36">
        <f>IF(R466="","",IF(INDEX('Recurring Schedule'!$L$6:$L$45,R466)="","",INDEX('Recurring Schedule'!$L$6:$L$45,R466)))</f>
        <v/>
      </c>
      <c r="O466" s="36">
        <f>IF(C466="","",IF(AND(OR(L466="1-Urgent",L466="2-High"),M466="✓"),"DO FIRST",IF(M466="✓","SCHEDULE",IF(OR(L466="1-Urgent",L466="2-High"),"DELEGATE","DELETE"))))</f>
        <v/>
      </c>
      <c r="P466" s="65" t="n"/>
      <c r="Q466">
        <f>IF(461&gt;Calc!$AQ$368,"",MATCH(460,Calc!$AQ$2:$AQ$367,1))</f>
        <v/>
      </c>
      <c r="R466">
        <f>IF(Q466="","",SMALL(INDEX(Calc!$B$2:$AO$367,Q466,0),461-INDEX(Calc!$AQ$2:$AQ$367,Q466)))</f>
        <v/>
      </c>
    </row>
    <row r="467">
      <c r="B467" s="71">
        <f>IF(R467="","",462)</f>
        <v/>
      </c>
      <c r="C467" s="75">
        <f>IF(R467="","",IF(INDEX('Recurring Schedule'!$C$6:$C$45,R467)="","",INDEX('Recurring Schedule'!$C$6:$C$45,R467)))</f>
        <v/>
      </c>
      <c r="D467" s="73">
        <f>IF(R467="","",IF(INDEX('Recurring Schedule'!$D$6:$D$45,R467)="","",INDEX('Recurring Schedule'!$D$6:$D$45,R467)))</f>
        <v/>
      </c>
      <c r="E467" s="76">
        <f>IF(Q467="","",INDEX(Calc!$A$2:$A$367,Q467))</f>
        <v/>
      </c>
      <c r="F467" s="72">
        <f>IF(OR(C467="",E467=""),"",E467-Setup!$D$7)</f>
        <v/>
      </c>
      <c r="G467" s="77">
        <f>IF(R467="","",IF(INDEX('Recurring Schedule'!$H$6:$H$45,R467)="","",INDEX('Recurring Schedule'!$H$6:$H$45,R467)))</f>
        <v/>
      </c>
      <c r="H467" s="77">
        <f>IF(R467="","",IF(INDEX('Recurring Schedule'!$I$6:$I$45,R467)="","",INDEX('Recurring Schedule'!$I$6:$I$45,R467)))</f>
        <v/>
      </c>
      <c r="I467" s="73">
        <f>IF(OR(G467="",H467=""),"",TRIM(IF(HOUR(H467-G467)&gt;0,HOUR(H467-G467)&amp;" hr ","")&amp;IF(MINUTE(H467-G467)&gt;0,MINUTE(H467-G467)&amp;" min","")))</f>
        <v/>
      </c>
      <c r="J467" s="66" t="n"/>
      <c r="K467" s="70" t="n"/>
      <c r="L467" s="73">
        <f>IF(R467="","",IF(INDEX('Recurring Schedule'!$J$6:$J$45,R467)="","",INDEX('Recurring Schedule'!$J$6:$J$45,R467)))</f>
        <v/>
      </c>
      <c r="M467" s="73">
        <f>IF(R467="","",IF(INDEX('Recurring Schedule'!$K$6:$K$45,R467)="","",INDEX('Recurring Schedule'!$K$6:$K$45,R467)))</f>
        <v/>
      </c>
      <c r="N467" s="73">
        <f>IF(R467="","",IF(INDEX('Recurring Schedule'!$L$6:$L$45,R467)="","",INDEX('Recurring Schedule'!$L$6:$L$45,R467)))</f>
        <v/>
      </c>
      <c r="O467" s="73">
        <f>IF(C467="","",IF(AND(OR(L467="1-Urgent",L467="2-High"),M467="✓"),"DO FIRST",IF(M467="✓","SCHEDULE",IF(OR(L467="1-Urgent",L467="2-High"),"DELEGATE","DELETE"))))</f>
        <v/>
      </c>
      <c r="P467" s="65" t="n"/>
      <c r="Q467">
        <f>IF(462&gt;Calc!$AQ$368,"",MATCH(461,Calc!$AQ$2:$AQ$367,1))</f>
        <v/>
      </c>
      <c r="R467">
        <f>IF(Q467="","",SMALL(INDEX(Calc!$B$2:$AO$367,Q467,0),462-INDEX(Calc!$AQ$2:$AQ$367,Q467)))</f>
        <v/>
      </c>
    </row>
    <row r="468">
      <c r="B468" s="64">
        <f>IF(R468="","",463)</f>
        <v/>
      </c>
      <c r="C468" s="37">
        <f>IF(R468="","",IF(INDEX('Recurring Schedule'!$C$6:$C$45,R468)="","",INDEX('Recurring Schedule'!$C$6:$C$45,R468)))</f>
        <v/>
      </c>
      <c r="D468" s="36">
        <f>IF(R468="","",IF(INDEX('Recurring Schedule'!$D$6:$D$45,R468)="","",INDEX('Recurring Schedule'!$D$6:$D$45,R468)))</f>
        <v/>
      </c>
      <c r="E468" s="38">
        <f>IF(Q468="","",INDEX(Calc!$A$2:$A$367,Q468))</f>
        <v/>
      </c>
      <c r="F468" s="68">
        <f>IF(OR(C468="",E468=""),"",E468-Setup!$D$7)</f>
        <v/>
      </c>
      <c r="G468" s="74">
        <f>IF(R468="","",IF(INDEX('Recurring Schedule'!$H$6:$H$45,R468)="","",INDEX('Recurring Schedule'!$H$6:$H$45,R468)))</f>
        <v/>
      </c>
      <c r="H468" s="74">
        <f>IF(R468="","",IF(INDEX('Recurring Schedule'!$I$6:$I$45,R468)="","",INDEX('Recurring Schedule'!$I$6:$I$45,R468)))</f>
        <v/>
      </c>
      <c r="I468" s="36">
        <f>IF(OR(G468="",H468=""),"",TRIM(IF(HOUR(H468-G468)&gt;0,HOUR(H468-G468)&amp;" hr ","")&amp;IF(MINUTE(H468-G468)&gt;0,MINUTE(H468-G468)&amp;" min","")))</f>
        <v/>
      </c>
      <c r="J468" s="66" t="n"/>
      <c r="K468" s="70" t="n"/>
      <c r="L468" s="36">
        <f>IF(R468="","",IF(INDEX('Recurring Schedule'!$J$6:$J$45,R468)="","",INDEX('Recurring Schedule'!$J$6:$J$45,R468)))</f>
        <v/>
      </c>
      <c r="M468" s="36">
        <f>IF(R468="","",IF(INDEX('Recurring Schedule'!$K$6:$K$45,R468)="","",INDEX('Recurring Schedule'!$K$6:$K$45,R468)))</f>
        <v/>
      </c>
      <c r="N468" s="36">
        <f>IF(R468="","",IF(INDEX('Recurring Schedule'!$L$6:$L$45,R468)="","",INDEX('Recurring Schedule'!$L$6:$L$45,R468)))</f>
        <v/>
      </c>
      <c r="O468" s="36">
        <f>IF(C468="","",IF(AND(OR(L468="1-Urgent",L468="2-High"),M468="✓"),"DO FIRST",IF(M468="✓","SCHEDULE",IF(OR(L468="1-Urgent",L468="2-High"),"DELEGATE","DELETE"))))</f>
        <v/>
      </c>
      <c r="P468" s="65" t="n"/>
      <c r="Q468">
        <f>IF(463&gt;Calc!$AQ$368,"",MATCH(462,Calc!$AQ$2:$AQ$367,1))</f>
        <v/>
      </c>
      <c r="R468">
        <f>IF(Q468="","",SMALL(INDEX(Calc!$B$2:$AO$367,Q468,0),463-INDEX(Calc!$AQ$2:$AQ$367,Q468)))</f>
        <v/>
      </c>
    </row>
    <row r="469">
      <c r="B469" s="71">
        <f>IF(R469="","",464)</f>
        <v/>
      </c>
      <c r="C469" s="75">
        <f>IF(R469="","",IF(INDEX('Recurring Schedule'!$C$6:$C$45,R469)="","",INDEX('Recurring Schedule'!$C$6:$C$45,R469)))</f>
        <v/>
      </c>
      <c r="D469" s="73">
        <f>IF(R469="","",IF(INDEX('Recurring Schedule'!$D$6:$D$45,R469)="","",INDEX('Recurring Schedule'!$D$6:$D$45,R469)))</f>
        <v/>
      </c>
      <c r="E469" s="76">
        <f>IF(Q469="","",INDEX(Calc!$A$2:$A$367,Q469))</f>
        <v/>
      </c>
      <c r="F469" s="72">
        <f>IF(OR(C469="",E469=""),"",E469-Setup!$D$7)</f>
        <v/>
      </c>
      <c r="G469" s="77">
        <f>IF(R469="","",IF(INDEX('Recurring Schedule'!$H$6:$H$45,R469)="","",INDEX('Recurring Schedule'!$H$6:$H$45,R469)))</f>
        <v/>
      </c>
      <c r="H469" s="77">
        <f>IF(R469="","",IF(INDEX('Recurring Schedule'!$I$6:$I$45,R469)="","",INDEX('Recurring Schedule'!$I$6:$I$45,R469)))</f>
        <v/>
      </c>
      <c r="I469" s="73">
        <f>IF(OR(G469="",H469=""),"",TRIM(IF(HOUR(H469-G469)&gt;0,HOUR(H469-G469)&amp;" hr ","")&amp;IF(MINUTE(H469-G469)&gt;0,MINUTE(H469-G469)&amp;" min","")))</f>
        <v/>
      </c>
      <c r="J469" s="66" t="n"/>
      <c r="K469" s="70" t="n"/>
      <c r="L469" s="73">
        <f>IF(R469="","",IF(INDEX('Recurring Schedule'!$J$6:$J$45,R469)="","",INDEX('Recurring Schedule'!$J$6:$J$45,R469)))</f>
        <v/>
      </c>
      <c r="M469" s="73">
        <f>IF(R469="","",IF(INDEX('Recurring Schedule'!$K$6:$K$45,R469)="","",INDEX('Recurring Schedule'!$K$6:$K$45,R469)))</f>
        <v/>
      </c>
      <c r="N469" s="73">
        <f>IF(R469="","",IF(INDEX('Recurring Schedule'!$L$6:$L$45,R469)="","",INDEX('Recurring Schedule'!$L$6:$L$45,R469)))</f>
        <v/>
      </c>
      <c r="O469" s="73">
        <f>IF(C469="","",IF(AND(OR(L469="1-Urgent",L469="2-High"),M469="✓"),"DO FIRST",IF(M469="✓","SCHEDULE",IF(OR(L469="1-Urgent",L469="2-High"),"DELEGATE","DELETE"))))</f>
        <v/>
      </c>
      <c r="P469" s="65" t="n"/>
      <c r="Q469">
        <f>IF(464&gt;Calc!$AQ$368,"",MATCH(463,Calc!$AQ$2:$AQ$367,1))</f>
        <v/>
      </c>
      <c r="R469">
        <f>IF(Q469="","",SMALL(INDEX(Calc!$B$2:$AO$367,Q469,0),464-INDEX(Calc!$AQ$2:$AQ$367,Q469)))</f>
        <v/>
      </c>
    </row>
    <row r="470">
      <c r="B470" s="64">
        <f>IF(R470="","",465)</f>
        <v/>
      </c>
      <c r="C470" s="37">
        <f>IF(R470="","",IF(INDEX('Recurring Schedule'!$C$6:$C$45,R470)="","",INDEX('Recurring Schedule'!$C$6:$C$45,R470)))</f>
        <v/>
      </c>
      <c r="D470" s="36">
        <f>IF(R470="","",IF(INDEX('Recurring Schedule'!$D$6:$D$45,R470)="","",INDEX('Recurring Schedule'!$D$6:$D$45,R470)))</f>
        <v/>
      </c>
      <c r="E470" s="38">
        <f>IF(Q470="","",INDEX(Calc!$A$2:$A$367,Q470))</f>
        <v/>
      </c>
      <c r="F470" s="68">
        <f>IF(OR(C470="",E470=""),"",E470-Setup!$D$7)</f>
        <v/>
      </c>
      <c r="G470" s="74">
        <f>IF(R470="","",IF(INDEX('Recurring Schedule'!$H$6:$H$45,R470)="","",INDEX('Recurring Schedule'!$H$6:$H$45,R470)))</f>
        <v/>
      </c>
      <c r="H470" s="74">
        <f>IF(R470="","",IF(INDEX('Recurring Schedule'!$I$6:$I$45,R470)="","",INDEX('Recurring Schedule'!$I$6:$I$45,R470)))</f>
        <v/>
      </c>
      <c r="I470" s="36">
        <f>IF(OR(G470="",H470=""),"",TRIM(IF(HOUR(H470-G470)&gt;0,HOUR(H470-G470)&amp;" hr ","")&amp;IF(MINUTE(H470-G470)&gt;0,MINUTE(H470-G470)&amp;" min","")))</f>
        <v/>
      </c>
      <c r="J470" s="66" t="n"/>
      <c r="K470" s="70" t="n"/>
      <c r="L470" s="36">
        <f>IF(R470="","",IF(INDEX('Recurring Schedule'!$J$6:$J$45,R470)="","",INDEX('Recurring Schedule'!$J$6:$J$45,R470)))</f>
        <v/>
      </c>
      <c r="M470" s="36">
        <f>IF(R470="","",IF(INDEX('Recurring Schedule'!$K$6:$K$45,R470)="","",INDEX('Recurring Schedule'!$K$6:$K$45,R470)))</f>
        <v/>
      </c>
      <c r="N470" s="36">
        <f>IF(R470="","",IF(INDEX('Recurring Schedule'!$L$6:$L$45,R470)="","",INDEX('Recurring Schedule'!$L$6:$L$45,R470)))</f>
        <v/>
      </c>
      <c r="O470" s="36">
        <f>IF(C470="","",IF(AND(OR(L470="1-Urgent",L470="2-High"),M470="✓"),"DO FIRST",IF(M470="✓","SCHEDULE",IF(OR(L470="1-Urgent",L470="2-High"),"DELEGATE","DELETE"))))</f>
        <v/>
      </c>
      <c r="P470" s="65" t="n"/>
      <c r="Q470">
        <f>IF(465&gt;Calc!$AQ$368,"",MATCH(464,Calc!$AQ$2:$AQ$367,1))</f>
        <v/>
      </c>
      <c r="R470">
        <f>IF(Q470="","",SMALL(INDEX(Calc!$B$2:$AO$367,Q470,0),465-INDEX(Calc!$AQ$2:$AQ$367,Q470)))</f>
        <v/>
      </c>
    </row>
    <row r="471">
      <c r="B471" s="71">
        <f>IF(R471="","",466)</f>
        <v/>
      </c>
      <c r="C471" s="75">
        <f>IF(R471="","",IF(INDEX('Recurring Schedule'!$C$6:$C$45,R471)="","",INDEX('Recurring Schedule'!$C$6:$C$45,R471)))</f>
        <v/>
      </c>
      <c r="D471" s="73">
        <f>IF(R471="","",IF(INDEX('Recurring Schedule'!$D$6:$D$45,R471)="","",INDEX('Recurring Schedule'!$D$6:$D$45,R471)))</f>
        <v/>
      </c>
      <c r="E471" s="76">
        <f>IF(Q471="","",INDEX(Calc!$A$2:$A$367,Q471))</f>
        <v/>
      </c>
      <c r="F471" s="72">
        <f>IF(OR(C471="",E471=""),"",E471-Setup!$D$7)</f>
        <v/>
      </c>
      <c r="G471" s="77">
        <f>IF(R471="","",IF(INDEX('Recurring Schedule'!$H$6:$H$45,R471)="","",INDEX('Recurring Schedule'!$H$6:$H$45,R471)))</f>
        <v/>
      </c>
      <c r="H471" s="77">
        <f>IF(R471="","",IF(INDEX('Recurring Schedule'!$I$6:$I$45,R471)="","",INDEX('Recurring Schedule'!$I$6:$I$45,R471)))</f>
        <v/>
      </c>
      <c r="I471" s="73">
        <f>IF(OR(G471="",H471=""),"",TRIM(IF(HOUR(H471-G471)&gt;0,HOUR(H471-G471)&amp;" hr ","")&amp;IF(MINUTE(H471-G471)&gt;0,MINUTE(H471-G471)&amp;" min","")))</f>
        <v/>
      </c>
      <c r="J471" s="66" t="n"/>
      <c r="K471" s="70" t="n"/>
      <c r="L471" s="73">
        <f>IF(R471="","",IF(INDEX('Recurring Schedule'!$J$6:$J$45,R471)="","",INDEX('Recurring Schedule'!$J$6:$J$45,R471)))</f>
        <v/>
      </c>
      <c r="M471" s="73">
        <f>IF(R471="","",IF(INDEX('Recurring Schedule'!$K$6:$K$45,R471)="","",INDEX('Recurring Schedule'!$K$6:$K$45,R471)))</f>
        <v/>
      </c>
      <c r="N471" s="73">
        <f>IF(R471="","",IF(INDEX('Recurring Schedule'!$L$6:$L$45,R471)="","",INDEX('Recurring Schedule'!$L$6:$L$45,R471)))</f>
        <v/>
      </c>
      <c r="O471" s="73">
        <f>IF(C471="","",IF(AND(OR(L471="1-Urgent",L471="2-High"),M471="✓"),"DO FIRST",IF(M471="✓","SCHEDULE",IF(OR(L471="1-Urgent",L471="2-High"),"DELEGATE","DELETE"))))</f>
        <v/>
      </c>
      <c r="P471" s="65" t="n"/>
      <c r="Q471">
        <f>IF(466&gt;Calc!$AQ$368,"",MATCH(465,Calc!$AQ$2:$AQ$367,1))</f>
        <v/>
      </c>
      <c r="R471">
        <f>IF(Q471="","",SMALL(INDEX(Calc!$B$2:$AO$367,Q471,0),466-INDEX(Calc!$AQ$2:$AQ$367,Q471)))</f>
        <v/>
      </c>
    </row>
    <row r="472">
      <c r="B472" s="64">
        <f>IF(R472="","",467)</f>
        <v/>
      </c>
      <c r="C472" s="37">
        <f>IF(R472="","",IF(INDEX('Recurring Schedule'!$C$6:$C$45,R472)="","",INDEX('Recurring Schedule'!$C$6:$C$45,R472)))</f>
        <v/>
      </c>
      <c r="D472" s="36">
        <f>IF(R472="","",IF(INDEX('Recurring Schedule'!$D$6:$D$45,R472)="","",INDEX('Recurring Schedule'!$D$6:$D$45,R472)))</f>
        <v/>
      </c>
      <c r="E472" s="38">
        <f>IF(Q472="","",INDEX(Calc!$A$2:$A$367,Q472))</f>
        <v/>
      </c>
      <c r="F472" s="68">
        <f>IF(OR(C472="",E472=""),"",E472-Setup!$D$7)</f>
        <v/>
      </c>
      <c r="G472" s="74">
        <f>IF(R472="","",IF(INDEX('Recurring Schedule'!$H$6:$H$45,R472)="","",INDEX('Recurring Schedule'!$H$6:$H$45,R472)))</f>
        <v/>
      </c>
      <c r="H472" s="74">
        <f>IF(R472="","",IF(INDEX('Recurring Schedule'!$I$6:$I$45,R472)="","",INDEX('Recurring Schedule'!$I$6:$I$45,R472)))</f>
        <v/>
      </c>
      <c r="I472" s="36">
        <f>IF(OR(G472="",H472=""),"",TRIM(IF(HOUR(H472-G472)&gt;0,HOUR(H472-G472)&amp;" hr ","")&amp;IF(MINUTE(H472-G472)&gt;0,MINUTE(H472-G472)&amp;" min","")))</f>
        <v/>
      </c>
      <c r="J472" s="66" t="n"/>
      <c r="K472" s="70" t="n"/>
      <c r="L472" s="36">
        <f>IF(R472="","",IF(INDEX('Recurring Schedule'!$J$6:$J$45,R472)="","",INDEX('Recurring Schedule'!$J$6:$J$45,R472)))</f>
        <v/>
      </c>
      <c r="M472" s="36">
        <f>IF(R472="","",IF(INDEX('Recurring Schedule'!$K$6:$K$45,R472)="","",INDEX('Recurring Schedule'!$K$6:$K$45,R472)))</f>
        <v/>
      </c>
      <c r="N472" s="36">
        <f>IF(R472="","",IF(INDEX('Recurring Schedule'!$L$6:$L$45,R472)="","",INDEX('Recurring Schedule'!$L$6:$L$45,R472)))</f>
        <v/>
      </c>
      <c r="O472" s="36">
        <f>IF(C472="","",IF(AND(OR(L472="1-Urgent",L472="2-High"),M472="✓"),"DO FIRST",IF(M472="✓","SCHEDULE",IF(OR(L472="1-Urgent",L472="2-High"),"DELEGATE","DELETE"))))</f>
        <v/>
      </c>
      <c r="P472" s="65" t="n"/>
      <c r="Q472">
        <f>IF(467&gt;Calc!$AQ$368,"",MATCH(466,Calc!$AQ$2:$AQ$367,1))</f>
        <v/>
      </c>
      <c r="R472">
        <f>IF(Q472="","",SMALL(INDEX(Calc!$B$2:$AO$367,Q472,0),467-INDEX(Calc!$AQ$2:$AQ$367,Q472)))</f>
        <v/>
      </c>
    </row>
    <row r="473">
      <c r="B473" s="71">
        <f>IF(R473="","",468)</f>
        <v/>
      </c>
      <c r="C473" s="75">
        <f>IF(R473="","",IF(INDEX('Recurring Schedule'!$C$6:$C$45,R473)="","",INDEX('Recurring Schedule'!$C$6:$C$45,R473)))</f>
        <v/>
      </c>
      <c r="D473" s="73">
        <f>IF(R473="","",IF(INDEX('Recurring Schedule'!$D$6:$D$45,R473)="","",INDEX('Recurring Schedule'!$D$6:$D$45,R473)))</f>
        <v/>
      </c>
      <c r="E473" s="76">
        <f>IF(Q473="","",INDEX(Calc!$A$2:$A$367,Q473))</f>
        <v/>
      </c>
      <c r="F473" s="72">
        <f>IF(OR(C473="",E473=""),"",E473-Setup!$D$7)</f>
        <v/>
      </c>
      <c r="G473" s="77">
        <f>IF(R473="","",IF(INDEX('Recurring Schedule'!$H$6:$H$45,R473)="","",INDEX('Recurring Schedule'!$H$6:$H$45,R473)))</f>
        <v/>
      </c>
      <c r="H473" s="77">
        <f>IF(R473="","",IF(INDEX('Recurring Schedule'!$I$6:$I$45,R473)="","",INDEX('Recurring Schedule'!$I$6:$I$45,R473)))</f>
        <v/>
      </c>
      <c r="I473" s="73">
        <f>IF(OR(G473="",H473=""),"",TRIM(IF(HOUR(H473-G473)&gt;0,HOUR(H473-G473)&amp;" hr ","")&amp;IF(MINUTE(H473-G473)&gt;0,MINUTE(H473-G473)&amp;" min","")))</f>
        <v/>
      </c>
      <c r="J473" s="66" t="n"/>
      <c r="K473" s="70" t="n"/>
      <c r="L473" s="73">
        <f>IF(R473="","",IF(INDEX('Recurring Schedule'!$J$6:$J$45,R473)="","",INDEX('Recurring Schedule'!$J$6:$J$45,R473)))</f>
        <v/>
      </c>
      <c r="M473" s="73">
        <f>IF(R473="","",IF(INDEX('Recurring Schedule'!$K$6:$K$45,R473)="","",INDEX('Recurring Schedule'!$K$6:$K$45,R473)))</f>
        <v/>
      </c>
      <c r="N473" s="73">
        <f>IF(R473="","",IF(INDEX('Recurring Schedule'!$L$6:$L$45,R473)="","",INDEX('Recurring Schedule'!$L$6:$L$45,R473)))</f>
        <v/>
      </c>
      <c r="O473" s="73">
        <f>IF(C473="","",IF(AND(OR(L473="1-Urgent",L473="2-High"),M473="✓"),"DO FIRST",IF(M473="✓","SCHEDULE",IF(OR(L473="1-Urgent",L473="2-High"),"DELEGATE","DELETE"))))</f>
        <v/>
      </c>
      <c r="P473" s="65" t="n"/>
      <c r="Q473">
        <f>IF(468&gt;Calc!$AQ$368,"",MATCH(467,Calc!$AQ$2:$AQ$367,1))</f>
        <v/>
      </c>
      <c r="R473">
        <f>IF(Q473="","",SMALL(INDEX(Calc!$B$2:$AO$367,Q473,0),468-INDEX(Calc!$AQ$2:$AQ$367,Q473)))</f>
        <v/>
      </c>
    </row>
    <row r="474">
      <c r="B474" s="64">
        <f>IF(R474="","",469)</f>
        <v/>
      </c>
      <c r="C474" s="37">
        <f>IF(R474="","",IF(INDEX('Recurring Schedule'!$C$6:$C$45,R474)="","",INDEX('Recurring Schedule'!$C$6:$C$45,R474)))</f>
        <v/>
      </c>
      <c r="D474" s="36">
        <f>IF(R474="","",IF(INDEX('Recurring Schedule'!$D$6:$D$45,R474)="","",INDEX('Recurring Schedule'!$D$6:$D$45,R474)))</f>
        <v/>
      </c>
      <c r="E474" s="38">
        <f>IF(Q474="","",INDEX(Calc!$A$2:$A$367,Q474))</f>
        <v/>
      </c>
      <c r="F474" s="68">
        <f>IF(OR(C474="",E474=""),"",E474-Setup!$D$7)</f>
        <v/>
      </c>
      <c r="G474" s="74">
        <f>IF(R474="","",IF(INDEX('Recurring Schedule'!$H$6:$H$45,R474)="","",INDEX('Recurring Schedule'!$H$6:$H$45,R474)))</f>
        <v/>
      </c>
      <c r="H474" s="74">
        <f>IF(R474="","",IF(INDEX('Recurring Schedule'!$I$6:$I$45,R474)="","",INDEX('Recurring Schedule'!$I$6:$I$45,R474)))</f>
        <v/>
      </c>
      <c r="I474" s="36">
        <f>IF(OR(G474="",H474=""),"",TRIM(IF(HOUR(H474-G474)&gt;0,HOUR(H474-G474)&amp;" hr ","")&amp;IF(MINUTE(H474-G474)&gt;0,MINUTE(H474-G474)&amp;" min","")))</f>
        <v/>
      </c>
      <c r="J474" s="66" t="n"/>
      <c r="K474" s="70" t="n"/>
      <c r="L474" s="36">
        <f>IF(R474="","",IF(INDEX('Recurring Schedule'!$J$6:$J$45,R474)="","",INDEX('Recurring Schedule'!$J$6:$J$45,R474)))</f>
        <v/>
      </c>
      <c r="M474" s="36">
        <f>IF(R474="","",IF(INDEX('Recurring Schedule'!$K$6:$K$45,R474)="","",INDEX('Recurring Schedule'!$K$6:$K$45,R474)))</f>
        <v/>
      </c>
      <c r="N474" s="36">
        <f>IF(R474="","",IF(INDEX('Recurring Schedule'!$L$6:$L$45,R474)="","",INDEX('Recurring Schedule'!$L$6:$L$45,R474)))</f>
        <v/>
      </c>
      <c r="O474" s="36">
        <f>IF(C474="","",IF(AND(OR(L474="1-Urgent",L474="2-High"),M474="✓"),"DO FIRST",IF(M474="✓","SCHEDULE",IF(OR(L474="1-Urgent",L474="2-High"),"DELEGATE","DELETE"))))</f>
        <v/>
      </c>
      <c r="P474" s="65" t="n"/>
      <c r="Q474">
        <f>IF(469&gt;Calc!$AQ$368,"",MATCH(468,Calc!$AQ$2:$AQ$367,1))</f>
        <v/>
      </c>
      <c r="R474">
        <f>IF(Q474="","",SMALL(INDEX(Calc!$B$2:$AO$367,Q474,0),469-INDEX(Calc!$AQ$2:$AQ$367,Q474)))</f>
        <v/>
      </c>
    </row>
    <row r="475">
      <c r="B475" s="71">
        <f>IF(R475="","",470)</f>
        <v/>
      </c>
      <c r="C475" s="75">
        <f>IF(R475="","",IF(INDEX('Recurring Schedule'!$C$6:$C$45,R475)="","",INDEX('Recurring Schedule'!$C$6:$C$45,R475)))</f>
        <v/>
      </c>
      <c r="D475" s="73">
        <f>IF(R475="","",IF(INDEX('Recurring Schedule'!$D$6:$D$45,R475)="","",INDEX('Recurring Schedule'!$D$6:$D$45,R475)))</f>
        <v/>
      </c>
      <c r="E475" s="76">
        <f>IF(Q475="","",INDEX(Calc!$A$2:$A$367,Q475))</f>
        <v/>
      </c>
      <c r="F475" s="72">
        <f>IF(OR(C475="",E475=""),"",E475-Setup!$D$7)</f>
        <v/>
      </c>
      <c r="G475" s="77">
        <f>IF(R475="","",IF(INDEX('Recurring Schedule'!$H$6:$H$45,R475)="","",INDEX('Recurring Schedule'!$H$6:$H$45,R475)))</f>
        <v/>
      </c>
      <c r="H475" s="77">
        <f>IF(R475="","",IF(INDEX('Recurring Schedule'!$I$6:$I$45,R475)="","",INDEX('Recurring Schedule'!$I$6:$I$45,R475)))</f>
        <v/>
      </c>
      <c r="I475" s="73">
        <f>IF(OR(G475="",H475=""),"",TRIM(IF(HOUR(H475-G475)&gt;0,HOUR(H475-G475)&amp;" hr ","")&amp;IF(MINUTE(H475-G475)&gt;0,MINUTE(H475-G475)&amp;" min","")))</f>
        <v/>
      </c>
      <c r="J475" s="66" t="n"/>
      <c r="K475" s="70" t="n"/>
      <c r="L475" s="73">
        <f>IF(R475="","",IF(INDEX('Recurring Schedule'!$J$6:$J$45,R475)="","",INDEX('Recurring Schedule'!$J$6:$J$45,R475)))</f>
        <v/>
      </c>
      <c r="M475" s="73">
        <f>IF(R475="","",IF(INDEX('Recurring Schedule'!$K$6:$K$45,R475)="","",INDEX('Recurring Schedule'!$K$6:$K$45,R475)))</f>
        <v/>
      </c>
      <c r="N475" s="73">
        <f>IF(R475="","",IF(INDEX('Recurring Schedule'!$L$6:$L$45,R475)="","",INDEX('Recurring Schedule'!$L$6:$L$45,R475)))</f>
        <v/>
      </c>
      <c r="O475" s="73">
        <f>IF(C475="","",IF(AND(OR(L475="1-Urgent",L475="2-High"),M475="✓"),"DO FIRST",IF(M475="✓","SCHEDULE",IF(OR(L475="1-Urgent",L475="2-High"),"DELEGATE","DELETE"))))</f>
        <v/>
      </c>
      <c r="P475" s="65" t="n"/>
      <c r="Q475">
        <f>IF(470&gt;Calc!$AQ$368,"",MATCH(469,Calc!$AQ$2:$AQ$367,1))</f>
        <v/>
      </c>
      <c r="R475">
        <f>IF(Q475="","",SMALL(INDEX(Calc!$B$2:$AO$367,Q475,0),470-INDEX(Calc!$AQ$2:$AQ$367,Q475)))</f>
        <v/>
      </c>
    </row>
    <row r="476">
      <c r="B476" s="64">
        <f>IF(R476="","",471)</f>
        <v/>
      </c>
      <c r="C476" s="37">
        <f>IF(R476="","",IF(INDEX('Recurring Schedule'!$C$6:$C$45,R476)="","",INDEX('Recurring Schedule'!$C$6:$C$45,R476)))</f>
        <v/>
      </c>
      <c r="D476" s="36">
        <f>IF(R476="","",IF(INDEX('Recurring Schedule'!$D$6:$D$45,R476)="","",INDEX('Recurring Schedule'!$D$6:$D$45,R476)))</f>
        <v/>
      </c>
      <c r="E476" s="38">
        <f>IF(Q476="","",INDEX(Calc!$A$2:$A$367,Q476))</f>
        <v/>
      </c>
      <c r="F476" s="68">
        <f>IF(OR(C476="",E476=""),"",E476-Setup!$D$7)</f>
        <v/>
      </c>
      <c r="G476" s="74">
        <f>IF(R476="","",IF(INDEX('Recurring Schedule'!$H$6:$H$45,R476)="","",INDEX('Recurring Schedule'!$H$6:$H$45,R476)))</f>
        <v/>
      </c>
      <c r="H476" s="74">
        <f>IF(R476="","",IF(INDEX('Recurring Schedule'!$I$6:$I$45,R476)="","",INDEX('Recurring Schedule'!$I$6:$I$45,R476)))</f>
        <v/>
      </c>
      <c r="I476" s="36">
        <f>IF(OR(G476="",H476=""),"",TRIM(IF(HOUR(H476-G476)&gt;0,HOUR(H476-G476)&amp;" hr ","")&amp;IF(MINUTE(H476-G476)&gt;0,MINUTE(H476-G476)&amp;" min","")))</f>
        <v/>
      </c>
      <c r="J476" s="66" t="n"/>
      <c r="K476" s="70" t="n"/>
      <c r="L476" s="36">
        <f>IF(R476="","",IF(INDEX('Recurring Schedule'!$J$6:$J$45,R476)="","",INDEX('Recurring Schedule'!$J$6:$J$45,R476)))</f>
        <v/>
      </c>
      <c r="M476" s="36">
        <f>IF(R476="","",IF(INDEX('Recurring Schedule'!$K$6:$K$45,R476)="","",INDEX('Recurring Schedule'!$K$6:$K$45,R476)))</f>
        <v/>
      </c>
      <c r="N476" s="36">
        <f>IF(R476="","",IF(INDEX('Recurring Schedule'!$L$6:$L$45,R476)="","",INDEX('Recurring Schedule'!$L$6:$L$45,R476)))</f>
        <v/>
      </c>
      <c r="O476" s="36">
        <f>IF(C476="","",IF(AND(OR(L476="1-Urgent",L476="2-High"),M476="✓"),"DO FIRST",IF(M476="✓","SCHEDULE",IF(OR(L476="1-Urgent",L476="2-High"),"DELEGATE","DELETE"))))</f>
        <v/>
      </c>
      <c r="P476" s="65" t="n"/>
      <c r="Q476">
        <f>IF(471&gt;Calc!$AQ$368,"",MATCH(470,Calc!$AQ$2:$AQ$367,1))</f>
        <v/>
      </c>
      <c r="R476">
        <f>IF(Q476="","",SMALL(INDEX(Calc!$B$2:$AO$367,Q476,0),471-INDEX(Calc!$AQ$2:$AQ$367,Q476)))</f>
        <v/>
      </c>
    </row>
    <row r="477">
      <c r="B477" s="71">
        <f>IF(R477="","",472)</f>
        <v/>
      </c>
      <c r="C477" s="75">
        <f>IF(R477="","",IF(INDEX('Recurring Schedule'!$C$6:$C$45,R477)="","",INDEX('Recurring Schedule'!$C$6:$C$45,R477)))</f>
        <v/>
      </c>
      <c r="D477" s="73">
        <f>IF(R477="","",IF(INDEX('Recurring Schedule'!$D$6:$D$45,R477)="","",INDEX('Recurring Schedule'!$D$6:$D$45,R477)))</f>
        <v/>
      </c>
      <c r="E477" s="76">
        <f>IF(Q477="","",INDEX(Calc!$A$2:$A$367,Q477))</f>
        <v/>
      </c>
      <c r="F477" s="72">
        <f>IF(OR(C477="",E477=""),"",E477-Setup!$D$7)</f>
        <v/>
      </c>
      <c r="G477" s="77">
        <f>IF(R477="","",IF(INDEX('Recurring Schedule'!$H$6:$H$45,R477)="","",INDEX('Recurring Schedule'!$H$6:$H$45,R477)))</f>
        <v/>
      </c>
      <c r="H477" s="77">
        <f>IF(R477="","",IF(INDEX('Recurring Schedule'!$I$6:$I$45,R477)="","",INDEX('Recurring Schedule'!$I$6:$I$45,R477)))</f>
        <v/>
      </c>
      <c r="I477" s="73">
        <f>IF(OR(G477="",H477=""),"",TRIM(IF(HOUR(H477-G477)&gt;0,HOUR(H477-G477)&amp;" hr ","")&amp;IF(MINUTE(H477-G477)&gt;0,MINUTE(H477-G477)&amp;" min","")))</f>
        <v/>
      </c>
      <c r="J477" s="66" t="n"/>
      <c r="K477" s="70" t="n"/>
      <c r="L477" s="73">
        <f>IF(R477="","",IF(INDEX('Recurring Schedule'!$J$6:$J$45,R477)="","",INDEX('Recurring Schedule'!$J$6:$J$45,R477)))</f>
        <v/>
      </c>
      <c r="M477" s="73">
        <f>IF(R477="","",IF(INDEX('Recurring Schedule'!$K$6:$K$45,R477)="","",INDEX('Recurring Schedule'!$K$6:$K$45,R477)))</f>
        <v/>
      </c>
      <c r="N477" s="73">
        <f>IF(R477="","",IF(INDEX('Recurring Schedule'!$L$6:$L$45,R477)="","",INDEX('Recurring Schedule'!$L$6:$L$45,R477)))</f>
        <v/>
      </c>
      <c r="O477" s="73">
        <f>IF(C477="","",IF(AND(OR(L477="1-Urgent",L477="2-High"),M477="✓"),"DO FIRST",IF(M477="✓","SCHEDULE",IF(OR(L477="1-Urgent",L477="2-High"),"DELEGATE","DELETE"))))</f>
        <v/>
      </c>
      <c r="P477" s="65" t="n"/>
      <c r="Q477">
        <f>IF(472&gt;Calc!$AQ$368,"",MATCH(471,Calc!$AQ$2:$AQ$367,1))</f>
        <v/>
      </c>
      <c r="R477">
        <f>IF(Q477="","",SMALL(INDEX(Calc!$B$2:$AO$367,Q477,0),472-INDEX(Calc!$AQ$2:$AQ$367,Q477)))</f>
        <v/>
      </c>
    </row>
    <row r="478">
      <c r="B478" s="64">
        <f>IF(R478="","",473)</f>
        <v/>
      </c>
      <c r="C478" s="37">
        <f>IF(R478="","",IF(INDEX('Recurring Schedule'!$C$6:$C$45,R478)="","",INDEX('Recurring Schedule'!$C$6:$C$45,R478)))</f>
        <v/>
      </c>
      <c r="D478" s="36">
        <f>IF(R478="","",IF(INDEX('Recurring Schedule'!$D$6:$D$45,R478)="","",INDEX('Recurring Schedule'!$D$6:$D$45,R478)))</f>
        <v/>
      </c>
      <c r="E478" s="38">
        <f>IF(Q478="","",INDEX(Calc!$A$2:$A$367,Q478))</f>
        <v/>
      </c>
      <c r="F478" s="68">
        <f>IF(OR(C478="",E478=""),"",E478-Setup!$D$7)</f>
        <v/>
      </c>
      <c r="G478" s="74">
        <f>IF(R478="","",IF(INDEX('Recurring Schedule'!$H$6:$H$45,R478)="","",INDEX('Recurring Schedule'!$H$6:$H$45,R478)))</f>
        <v/>
      </c>
      <c r="H478" s="74">
        <f>IF(R478="","",IF(INDEX('Recurring Schedule'!$I$6:$I$45,R478)="","",INDEX('Recurring Schedule'!$I$6:$I$45,R478)))</f>
        <v/>
      </c>
      <c r="I478" s="36">
        <f>IF(OR(G478="",H478=""),"",TRIM(IF(HOUR(H478-G478)&gt;0,HOUR(H478-G478)&amp;" hr ","")&amp;IF(MINUTE(H478-G478)&gt;0,MINUTE(H478-G478)&amp;" min","")))</f>
        <v/>
      </c>
      <c r="J478" s="66" t="n"/>
      <c r="K478" s="70" t="n"/>
      <c r="L478" s="36">
        <f>IF(R478="","",IF(INDEX('Recurring Schedule'!$J$6:$J$45,R478)="","",INDEX('Recurring Schedule'!$J$6:$J$45,R478)))</f>
        <v/>
      </c>
      <c r="M478" s="36">
        <f>IF(R478="","",IF(INDEX('Recurring Schedule'!$K$6:$K$45,R478)="","",INDEX('Recurring Schedule'!$K$6:$K$45,R478)))</f>
        <v/>
      </c>
      <c r="N478" s="36">
        <f>IF(R478="","",IF(INDEX('Recurring Schedule'!$L$6:$L$45,R478)="","",INDEX('Recurring Schedule'!$L$6:$L$45,R478)))</f>
        <v/>
      </c>
      <c r="O478" s="36">
        <f>IF(C478="","",IF(AND(OR(L478="1-Urgent",L478="2-High"),M478="✓"),"DO FIRST",IF(M478="✓","SCHEDULE",IF(OR(L478="1-Urgent",L478="2-High"),"DELEGATE","DELETE"))))</f>
        <v/>
      </c>
      <c r="P478" s="65" t="n"/>
      <c r="Q478">
        <f>IF(473&gt;Calc!$AQ$368,"",MATCH(472,Calc!$AQ$2:$AQ$367,1))</f>
        <v/>
      </c>
      <c r="R478">
        <f>IF(Q478="","",SMALL(INDEX(Calc!$B$2:$AO$367,Q478,0),473-INDEX(Calc!$AQ$2:$AQ$367,Q478)))</f>
        <v/>
      </c>
    </row>
    <row r="479">
      <c r="B479" s="71">
        <f>IF(R479="","",474)</f>
        <v/>
      </c>
      <c r="C479" s="75">
        <f>IF(R479="","",IF(INDEX('Recurring Schedule'!$C$6:$C$45,R479)="","",INDEX('Recurring Schedule'!$C$6:$C$45,R479)))</f>
        <v/>
      </c>
      <c r="D479" s="73">
        <f>IF(R479="","",IF(INDEX('Recurring Schedule'!$D$6:$D$45,R479)="","",INDEX('Recurring Schedule'!$D$6:$D$45,R479)))</f>
        <v/>
      </c>
      <c r="E479" s="76">
        <f>IF(Q479="","",INDEX(Calc!$A$2:$A$367,Q479))</f>
        <v/>
      </c>
      <c r="F479" s="72">
        <f>IF(OR(C479="",E479=""),"",E479-Setup!$D$7)</f>
        <v/>
      </c>
      <c r="G479" s="77">
        <f>IF(R479="","",IF(INDEX('Recurring Schedule'!$H$6:$H$45,R479)="","",INDEX('Recurring Schedule'!$H$6:$H$45,R479)))</f>
        <v/>
      </c>
      <c r="H479" s="77">
        <f>IF(R479="","",IF(INDEX('Recurring Schedule'!$I$6:$I$45,R479)="","",INDEX('Recurring Schedule'!$I$6:$I$45,R479)))</f>
        <v/>
      </c>
      <c r="I479" s="73">
        <f>IF(OR(G479="",H479=""),"",TRIM(IF(HOUR(H479-G479)&gt;0,HOUR(H479-G479)&amp;" hr ","")&amp;IF(MINUTE(H479-G479)&gt;0,MINUTE(H479-G479)&amp;" min","")))</f>
        <v/>
      </c>
      <c r="J479" s="66" t="n"/>
      <c r="K479" s="70" t="n"/>
      <c r="L479" s="73">
        <f>IF(R479="","",IF(INDEX('Recurring Schedule'!$J$6:$J$45,R479)="","",INDEX('Recurring Schedule'!$J$6:$J$45,R479)))</f>
        <v/>
      </c>
      <c r="M479" s="73">
        <f>IF(R479="","",IF(INDEX('Recurring Schedule'!$K$6:$K$45,R479)="","",INDEX('Recurring Schedule'!$K$6:$K$45,R479)))</f>
        <v/>
      </c>
      <c r="N479" s="73">
        <f>IF(R479="","",IF(INDEX('Recurring Schedule'!$L$6:$L$45,R479)="","",INDEX('Recurring Schedule'!$L$6:$L$45,R479)))</f>
        <v/>
      </c>
      <c r="O479" s="73">
        <f>IF(C479="","",IF(AND(OR(L479="1-Urgent",L479="2-High"),M479="✓"),"DO FIRST",IF(M479="✓","SCHEDULE",IF(OR(L479="1-Urgent",L479="2-High"),"DELEGATE","DELETE"))))</f>
        <v/>
      </c>
      <c r="P479" s="65" t="n"/>
      <c r="Q479">
        <f>IF(474&gt;Calc!$AQ$368,"",MATCH(473,Calc!$AQ$2:$AQ$367,1))</f>
        <v/>
      </c>
      <c r="R479">
        <f>IF(Q479="","",SMALL(INDEX(Calc!$B$2:$AO$367,Q479,0),474-INDEX(Calc!$AQ$2:$AQ$367,Q479)))</f>
        <v/>
      </c>
    </row>
    <row r="480">
      <c r="B480" s="64">
        <f>IF(R480="","",475)</f>
        <v/>
      </c>
      <c r="C480" s="37">
        <f>IF(R480="","",IF(INDEX('Recurring Schedule'!$C$6:$C$45,R480)="","",INDEX('Recurring Schedule'!$C$6:$C$45,R480)))</f>
        <v/>
      </c>
      <c r="D480" s="36">
        <f>IF(R480="","",IF(INDEX('Recurring Schedule'!$D$6:$D$45,R480)="","",INDEX('Recurring Schedule'!$D$6:$D$45,R480)))</f>
        <v/>
      </c>
      <c r="E480" s="38">
        <f>IF(Q480="","",INDEX(Calc!$A$2:$A$367,Q480))</f>
        <v/>
      </c>
      <c r="F480" s="68">
        <f>IF(OR(C480="",E480=""),"",E480-Setup!$D$7)</f>
        <v/>
      </c>
      <c r="G480" s="74">
        <f>IF(R480="","",IF(INDEX('Recurring Schedule'!$H$6:$H$45,R480)="","",INDEX('Recurring Schedule'!$H$6:$H$45,R480)))</f>
        <v/>
      </c>
      <c r="H480" s="74">
        <f>IF(R480="","",IF(INDEX('Recurring Schedule'!$I$6:$I$45,R480)="","",INDEX('Recurring Schedule'!$I$6:$I$45,R480)))</f>
        <v/>
      </c>
      <c r="I480" s="36">
        <f>IF(OR(G480="",H480=""),"",TRIM(IF(HOUR(H480-G480)&gt;0,HOUR(H480-G480)&amp;" hr ","")&amp;IF(MINUTE(H480-G480)&gt;0,MINUTE(H480-G480)&amp;" min","")))</f>
        <v/>
      </c>
      <c r="J480" s="66" t="n"/>
      <c r="K480" s="70" t="n"/>
      <c r="L480" s="36">
        <f>IF(R480="","",IF(INDEX('Recurring Schedule'!$J$6:$J$45,R480)="","",INDEX('Recurring Schedule'!$J$6:$J$45,R480)))</f>
        <v/>
      </c>
      <c r="M480" s="36">
        <f>IF(R480="","",IF(INDEX('Recurring Schedule'!$K$6:$K$45,R480)="","",INDEX('Recurring Schedule'!$K$6:$K$45,R480)))</f>
        <v/>
      </c>
      <c r="N480" s="36">
        <f>IF(R480="","",IF(INDEX('Recurring Schedule'!$L$6:$L$45,R480)="","",INDEX('Recurring Schedule'!$L$6:$L$45,R480)))</f>
        <v/>
      </c>
      <c r="O480" s="36">
        <f>IF(C480="","",IF(AND(OR(L480="1-Urgent",L480="2-High"),M480="✓"),"DO FIRST",IF(M480="✓","SCHEDULE",IF(OR(L480="1-Urgent",L480="2-High"),"DELEGATE","DELETE"))))</f>
        <v/>
      </c>
      <c r="P480" s="65" t="n"/>
      <c r="Q480">
        <f>IF(475&gt;Calc!$AQ$368,"",MATCH(474,Calc!$AQ$2:$AQ$367,1))</f>
        <v/>
      </c>
      <c r="R480">
        <f>IF(Q480="","",SMALL(INDEX(Calc!$B$2:$AO$367,Q480,0),475-INDEX(Calc!$AQ$2:$AQ$367,Q480)))</f>
        <v/>
      </c>
    </row>
    <row r="481">
      <c r="B481" s="71">
        <f>IF(R481="","",476)</f>
        <v/>
      </c>
      <c r="C481" s="75">
        <f>IF(R481="","",IF(INDEX('Recurring Schedule'!$C$6:$C$45,R481)="","",INDEX('Recurring Schedule'!$C$6:$C$45,R481)))</f>
        <v/>
      </c>
      <c r="D481" s="73">
        <f>IF(R481="","",IF(INDEX('Recurring Schedule'!$D$6:$D$45,R481)="","",INDEX('Recurring Schedule'!$D$6:$D$45,R481)))</f>
        <v/>
      </c>
      <c r="E481" s="76">
        <f>IF(Q481="","",INDEX(Calc!$A$2:$A$367,Q481))</f>
        <v/>
      </c>
      <c r="F481" s="72">
        <f>IF(OR(C481="",E481=""),"",E481-Setup!$D$7)</f>
        <v/>
      </c>
      <c r="G481" s="77">
        <f>IF(R481="","",IF(INDEX('Recurring Schedule'!$H$6:$H$45,R481)="","",INDEX('Recurring Schedule'!$H$6:$H$45,R481)))</f>
        <v/>
      </c>
      <c r="H481" s="77">
        <f>IF(R481="","",IF(INDEX('Recurring Schedule'!$I$6:$I$45,R481)="","",INDEX('Recurring Schedule'!$I$6:$I$45,R481)))</f>
        <v/>
      </c>
      <c r="I481" s="73">
        <f>IF(OR(G481="",H481=""),"",TRIM(IF(HOUR(H481-G481)&gt;0,HOUR(H481-G481)&amp;" hr ","")&amp;IF(MINUTE(H481-G481)&gt;0,MINUTE(H481-G481)&amp;" min","")))</f>
        <v/>
      </c>
      <c r="J481" s="66" t="n"/>
      <c r="K481" s="70" t="n"/>
      <c r="L481" s="73">
        <f>IF(R481="","",IF(INDEX('Recurring Schedule'!$J$6:$J$45,R481)="","",INDEX('Recurring Schedule'!$J$6:$J$45,R481)))</f>
        <v/>
      </c>
      <c r="M481" s="73">
        <f>IF(R481="","",IF(INDEX('Recurring Schedule'!$K$6:$K$45,R481)="","",INDEX('Recurring Schedule'!$K$6:$K$45,R481)))</f>
        <v/>
      </c>
      <c r="N481" s="73">
        <f>IF(R481="","",IF(INDEX('Recurring Schedule'!$L$6:$L$45,R481)="","",INDEX('Recurring Schedule'!$L$6:$L$45,R481)))</f>
        <v/>
      </c>
      <c r="O481" s="73">
        <f>IF(C481="","",IF(AND(OR(L481="1-Urgent",L481="2-High"),M481="✓"),"DO FIRST",IF(M481="✓","SCHEDULE",IF(OR(L481="1-Urgent",L481="2-High"),"DELEGATE","DELETE"))))</f>
        <v/>
      </c>
      <c r="P481" s="65" t="n"/>
      <c r="Q481">
        <f>IF(476&gt;Calc!$AQ$368,"",MATCH(475,Calc!$AQ$2:$AQ$367,1))</f>
        <v/>
      </c>
      <c r="R481">
        <f>IF(Q481="","",SMALL(INDEX(Calc!$B$2:$AO$367,Q481,0),476-INDEX(Calc!$AQ$2:$AQ$367,Q481)))</f>
        <v/>
      </c>
    </row>
    <row r="482">
      <c r="B482" s="64">
        <f>IF(R482="","",477)</f>
        <v/>
      </c>
      <c r="C482" s="37">
        <f>IF(R482="","",IF(INDEX('Recurring Schedule'!$C$6:$C$45,R482)="","",INDEX('Recurring Schedule'!$C$6:$C$45,R482)))</f>
        <v/>
      </c>
      <c r="D482" s="36">
        <f>IF(R482="","",IF(INDEX('Recurring Schedule'!$D$6:$D$45,R482)="","",INDEX('Recurring Schedule'!$D$6:$D$45,R482)))</f>
        <v/>
      </c>
      <c r="E482" s="38">
        <f>IF(Q482="","",INDEX(Calc!$A$2:$A$367,Q482))</f>
        <v/>
      </c>
      <c r="F482" s="68">
        <f>IF(OR(C482="",E482=""),"",E482-Setup!$D$7)</f>
        <v/>
      </c>
      <c r="G482" s="74">
        <f>IF(R482="","",IF(INDEX('Recurring Schedule'!$H$6:$H$45,R482)="","",INDEX('Recurring Schedule'!$H$6:$H$45,R482)))</f>
        <v/>
      </c>
      <c r="H482" s="74">
        <f>IF(R482="","",IF(INDEX('Recurring Schedule'!$I$6:$I$45,R482)="","",INDEX('Recurring Schedule'!$I$6:$I$45,R482)))</f>
        <v/>
      </c>
      <c r="I482" s="36">
        <f>IF(OR(G482="",H482=""),"",TRIM(IF(HOUR(H482-G482)&gt;0,HOUR(H482-G482)&amp;" hr ","")&amp;IF(MINUTE(H482-G482)&gt;0,MINUTE(H482-G482)&amp;" min","")))</f>
        <v/>
      </c>
      <c r="J482" s="66" t="n"/>
      <c r="K482" s="70" t="n"/>
      <c r="L482" s="36">
        <f>IF(R482="","",IF(INDEX('Recurring Schedule'!$J$6:$J$45,R482)="","",INDEX('Recurring Schedule'!$J$6:$J$45,R482)))</f>
        <v/>
      </c>
      <c r="M482" s="36">
        <f>IF(R482="","",IF(INDEX('Recurring Schedule'!$K$6:$K$45,R482)="","",INDEX('Recurring Schedule'!$K$6:$K$45,R482)))</f>
        <v/>
      </c>
      <c r="N482" s="36">
        <f>IF(R482="","",IF(INDEX('Recurring Schedule'!$L$6:$L$45,R482)="","",INDEX('Recurring Schedule'!$L$6:$L$45,R482)))</f>
        <v/>
      </c>
      <c r="O482" s="36">
        <f>IF(C482="","",IF(AND(OR(L482="1-Urgent",L482="2-High"),M482="✓"),"DO FIRST",IF(M482="✓","SCHEDULE",IF(OR(L482="1-Urgent",L482="2-High"),"DELEGATE","DELETE"))))</f>
        <v/>
      </c>
      <c r="P482" s="65" t="n"/>
      <c r="Q482">
        <f>IF(477&gt;Calc!$AQ$368,"",MATCH(476,Calc!$AQ$2:$AQ$367,1))</f>
        <v/>
      </c>
      <c r="R482">
        <f>IF(Q482="","",SMALL(INDEX(Calc!$B$2:$AO$367,Q482,0),477-INDEX(Calc!$AQ$2:$AQ$367,Q482)))</f>
        <v/>
      </c>
    </row>
    <row r="483">
      <c r="B483" s="71">
        <f>IF(R483="","",478)</f>
        <v/>
      </c>
      <c r="C483" s="75">
        <f>IF(R483="","",IF(INDEX('Recurring Schedule'!$C$6:$C$45,R483)="","",INDEX('Recurring Schedule'!$C$6:$C$45,R483)))</f>
        <v/>
      </c>
      <c r="D483" s="73">
        <f>IF(R483="","",IF(INDEX('Recurring Schedule'!$D$6:$D$45,R483)="","",INDEX('Recurring Schedule'!$D$6:$D$45,R483)))</f>
        <v/>
      </c>
      <c r="E483" s="76">
        <f>IF(Q483="","",INDEX(Calc!$A$2:$A$367,Q483))</f>
        <v/>
      </c>
      <c r="F483" s="72">
        <f>IF(OR(C483="",E483=""),"",E483-Setup!$D$7)</f>
        <v/>
      </c>
      <c r="G483" s="77">
        <f>IF(R483="","",IF(INDEX('Recurring Schedule'!$H$6:$H$45,R483)="","",INDEX('Recurring Schedule'!$H$6:$H$45,R483)))</f>
        <v/>
      </c>
      <c r="H483" s="77">
        <f>IF(R483="","",IF(INDEX('Recurring Schedule'!$I$6:$I$45,R483)="","",INDEX('Recurring Schedule'!$I$6:$I$45,R483)))</f>
        <v/>
      </c>
      <c r="I483" s="73">
        <f>IF(OR(G483="",H483=""),"",TRIM(IF(HOUR(H483-G483)&gt;0,HOUR(H483-G483)&amp;" hr ","")&amp;IF(MINUTE(H483-G483)&gt;0,MINUTE(H483-G483)&amp;" min","")))</f>
        <v/>
      </c>
      <c r="J483" s="66" t="n"/>
      <c r="K483" s="70" t="n"/>
      <c r="L483" s="73">
        <f>IF(R483="","",IF(INDEX('Recurring Schedule'!$J$6:$J$45,R483)="","",INDEX('Recurring Schedule'!$J$6:$J$45,R483)))</f>
        <v/>
      </c>
      <c r="M483" s="73">
        <f>IF(R483="","",IF(INDEX('Recurring Schedule'!$K$6:$K$45,R483)="","",INDEX('Recurring Schedule'!$K$6:$K$45,R483)))</f>
        <v/>
      </c>
      <c r="N483" s="73">
        <f>IF(R483="","",IF(INDEX('Recurring Schedule'!$L$6:$L$45,R483)="","",INDEX('Recurring Schedule'!$L$6:$L$45,R483)))</f>
        <v/>
      </c>
      <c r="O483" s="73">
        <f>IF(C483="","",IF(AND(OR(L483="1-Urgent",L483="2-High"),M483="✓"),"DO FIRST",IF(M483="✓","SCHEDULE",IF(OR(L483="1-Urgent",L483="2-High"),"DELEGATE","DELETE"))))</f>
        <v/>
      </c>
      <c r="P483" s="65" t="n"/>
      <c r="Q483">
        <f>IF(478&gt;Calc!$AQ$368,"",MATCH(477,Calc!$AQ$2:$AQ$367,1))</f>
        <v/>
      </c>
      <c r="R483">
        <f>IF(Q483="","",SMALL(INDEX(Calc!$B$2:$AO$367,Q483,0),478-INDEX(Calc!$AQ$2:$AQ$367,Q483)))</f>
        <v/>
      </c>
    </row>
    <row r="484">
      <c r="B484" s="64">
        <f>IF(R484="","",479)</f>
        <v/>
      </c>
      <c r="C484" s="37">
        <f>IF(R484="","",IF(INDEX('Recurring Schedule'!$C$6:$C$45,R484)="","",INDEX('Recurring Schedule'!$C$6:$C$45,R484)))</f>
        <v/>
      </c>
      <c r="D484" s="36">
        <f>IF(R484="","",IF(INDEX('Recurring Schedule'!$D$6:$D$45,R484)="","",INDEX('Recurring Schedule'!$D$6:$D$45,R484)))</f>
        <v/>
      </c>
      <c r="E484" s="38">
        <f>IF(Q484="","",INDEX(Calc!$A$2:$A$367,Q484))</f>
        <v/>
      </c>
      <c r="F484" s="68">
        <f>IF(OR(C484="",E484=""),"",E484-Setup!$D$7)</f>
        <v/>
      </c>
      <c r="G484" s="74">
        <f>IF(R484="","",IF(INDEX('Recurring Schedule'!$H$6:$H$45,R484)="","",INDEX('Recurring Schedule'!$H$6:$H$45,R484)))</f>
        <v/>
      </c>
      <c r="H484" s="74">
        <f>IF(R484="","",IF(INDEX('Recurring Schedule'!$I$6:$I$45,R484)="","",INDEX('Recurring Schedule'!$I$6:$I$45,R484)))</f>
        <v/>
      </c>
      <c r="I484" s="36">
        <f>IF(OR(G484="",H484=""),"",TRIM(IF(HOUR(H484-G484)&gt;0,HOUR(H484-G484)&amp;" hr ","")&amp;IF(MINUTE(H484-G484)&gt;0,MINUTE(H484-G484)&amp;" min","")))</f>
        <v/>
      </c>
      <c r="J484" s="66" t="n"/>
      <c r="K484" s="70" t="n"/>
      <c r="L484" s="36">
        <f>IF(R484="","",IF(INDEX('Recurring Schedule'!$J$6:$J$45,R484)="","",INDEX('Recurring Schedule'!$J$6:$J$45,R484)))</f>
        <v/>
      </c>
      <c r="M484" s="36">
        <f>IF(R484="","",IF(INDEX('Recurring Schedule'!$K$6:$K$45,R484)="","",INDEX('Recurring Schedule'!$K$6:$K$45,R484)))</f>
        <v/>
      </c>
      <c r="N484" s="36">
        <f>IF(R484="","",IF(INDEX('Recurring Schedule'!$L$6:$L$45,R484)="","",INDEX('Recurring Schedule'!$L$6:$L$45,R484)))</f>
        <v/>
      </c>
      <c r="O484" s="36">
        <f>IF(C484="","",IF(AND(OR(L484="1-Urgent",L484="2-High"),M484="✓"),"DO FIRST",IF(M484="✓","SCHEDULE",IF(OR(L484="1-Urgent",L484="2-High"),"DELEGATE","DELETE"))))</f>
        <v/>
      </c>
      <c r="P484" s="65" t="n"/>
      <c r="Q484">
        <f>IF(479&gt;Calc!$AQ$368,"",MATCH(478,Calc!$AQ$2:$AQ$367,1))</f>
        <v/>
      </c>
      <c r="R484">
        <f>IF(Q484="","",SMALL(INDEX(Calc!$B$2:$AO$367,Q484,0),479-INDEX(Calc!$AQ$2:$AQ$367,Q484)))</f>
        <v/>
      </c>
    </row>
    <row r="485">
      <c r="B485" s="71">
        <f>IF(R485="","",480)</f>
        <v/>
      </c>
      <c r="C485" s="75">
        <f>IF(R485="","",IF(INDEX('Recurring Schedule'!$C$6:$C$45,R485)="","",INDEX('Recurring Schedule'!$C$6:$C$45,R485)))</f>
        <v/>
      </c>
      <c r="D485" s="73">
        <f>IF(R485="","",IF(INDEX('Recurring Schedule'!$D$6:$D$45,R485)="","",INDEX('Recurring Schedule'!$D$6:$D$45,R485)))</f>
        <v/>
      </c>
      <c r="E485" s="76">
        <f>IF(Q485="","",INDEX(Calc!$A$2:$A$367,Q485))</f>
        <v/>
      </c>
      <c r="F485" s="72">
        <f>IF(OR(C485="",E485=""),"",E485-Setup!$D$7)</f>
        <v/>
      </c>
      <c r="G485" s="77">
        <f>IF(R485="","",IF(INDEX('Recurring Schedule'!$H$6:$H$45,R485)="","",INDEX('Recurring Schedule'!$H$6:$H$45,R485)))</f>
        <v/>
      </c>
      <c r="H485" s="77">
        <f>IF(R485="","",IF(INDEX('Recurring Schedule'!$I$6:$I$45,R485)="","",INDEX('Recurring Schedule'!$I$6:$I$45,R485)))</f>
        <v/>
      </c>
      <c r="I485" s="73">
        <f>IF(OR(G485="",H485=""),"",TRIM(IF(HOUR(H485-G485)&gt;0,HOUR(H485-G485)&amp;" hr ","")&amp;IF(MINUTE(H485-G485)&gt;0,MINUTE(H485-G485)&amp;" min","")))</f>
        <v/>
      </c>
      <c r="J485" s="66" t="n"/>
      <c r="K485" s="70" t="n"/>
      <c r="L485" s="73">
        <f>IF(R485="","",IF(INDEX('Recurring Schedule'!$J$6:$J$45,R485)="","",INDEX('Recurring Schedule'!$J$6:$J$45,R485)))</f>
        <v/>
      </c>
      <c r="M485" s="73">
        <f>IF(R485="","",IF(INDEX('Recurring Schedule'!$K$6:$K$45,R485)="","",INDEX('Recurring Schedule'!$K$6:$K$45,R485)))</f>
        <v/>
      </c>
      <c r="N485" s="73">
        <f>IF(R485="","",IF(INDEX('Recurring Schedule'!$L$6:$L$45,R485)="","",INDEX('Recurring Schedule'!$L$6:$L$45,R485)))</f>
        <v/>
      </c>
      <c r="O485" s="73">
        <f>IF(C485="","",IF(AND(OR(L485="1-Urgent",L485="2-High"),M485="✓"),"DO FIRST",IF(M485="✓","SCHEDULE",IF(OR(L485="1-Urgent",L485="2-High"),"DELEGATE","DELETE"))))</f>
        <v/>
      </c>
      <c r="P485" s="65" t="n"/>
      <c r="Q485">
        <f>IF(480&gt;Calc!$AQ$368,"",MATCH(479,Calc!$AQ$2:$AQ$367,1))</f>
        <v/>
      </c>
      <c r="R485">
        <f>IF(Q485="","",SMALL(INDEX(Calc!$B$2:$AO$367,Q485,0),480-INDEX(Calc!$AQ$2:$AQ$367,Q485)))</f>
        <v/>
      </c>
    </row>
    <row r="486">
      <c r="B486" s="64">
        <f>IF(R486="","",481)</f>
        <v/>
      </c>
      <c r="C486" s="37">
        <f>IF(R486="","",IF(INDEX('Recurring Schedule'!$C$6:$C$45,R486)="","",INDEX('Recurring Schedule'!$C$6:$C$45,R486)))</f>
        <v/>
      </c>
      <c r="D486" s="36">
        <f>IF(R486="","",IF(INDEX('Recurring Schedule'!$D$6:$D$45,R486)="","",INDEX('Recurring Schedule'!$D$6:$D$45,R486)))</f>
        <v/>
      </c>
      <c r="E486" s="38">
        <f>IF(Q486="","",INDEX(Calc!$A$2:$A$367,Q486))</f>
        <v/>
      </c>
      <c r="F486" s="68">
        <f>IF(OR(C486="",E486=""),"",E486-Setup!$D$7)</f>
        <v/>
      </c>
      <c r="G486" s="74">
        <f>IF(R486="","",IF(INDEX('Recurring Schedule'!$H$6:$H$45,R486)="","",INDEX('Recurring Schedule'!$H$6:$H$45,R486)))</f>
        <v/>
      </c>
      <c r="H486" s="74">
        <f>IF(R486="","",IF(INDEX('Recurring Schedule'!$I$6:$I$45,R486)="","",INDEX('Recurring Schedule'!$I$6:$I$45,R486)))</f>
        <v/>
      </c>
      <c r="I486" s="36">
        <f>IF(OR(G486="",H486=""),"",TRIM(IF(HOUR(H486-G486)&gt;0,HOUR(H486-G486)&amp;" hr ","")&amp;IF(MINUTE(H486-G486)&gt;0,MINUTE(H486-G486)&amp;" min","")))</f>
        <v/>
      </c>
      <c r="J486" s="66" t="n"/>
      <c r="K486" s="70" t="n"/>
      <c r="L486" s="36">
        <f>IF(R486="","",IF(INDEX('Recurring Schedule'!$J$6:$J$45,R486)="","",INDEX('Recurring Schedule'!$J$6:$J$45,R486)))</f>
        <v/>
      </c>
      <c r="M486" s="36">
        <f>IF(R486="","",IF(INDEX('Recurring Schedule'!$K$6:$K$45,R486)="","",INDEX('Recurring Schedule'!$K$6:$K$45,R486)))</f>
        <v/>
      </c>
      <c r="N486" s="36">
        <f>IF(R486="","",IF(INDEX('Recurring Schedule'!$L$6:$L$45,R486)="","",INDEX('Recurring Schedule'!$L$6:$L$45,R486)))</f>
        <v/>
      </c>
      <c r="O486" s="36">
        <f>IF(C486="","",IF(AND(OR(L486="1-Urgent",L486="2-High"),M486="✓"),"DO FIRST",IF(M486="✓","SCHEDULE",IF(OR(L486="1-Urgent",L486="2-High"),"DELEGATE","DELETE"))))</f>
        <v/>
      </c>
      <c r="P486" s="65" t="n"/>
      <c r="Q486">
        <f>IF(481&gt;Calc!$AQ$368,"",MATCH(480,Calc!$AQ$2:$AQ$367,1))</f>
        <v/>
      </c>
      <c r="R486">
        <f>IF(Q486="","",SMALL(INDEX(Calc!$B$2:$AO$367,Q486,0),481-INDEX(Calc!$AQ$2:$AQ$367,Q486)))</f>
        <v/>
      </c>
    </row>
    <row r="487">
      <c r="B487" s="71">
        <f>IF(R487="","",482)</f>
        <v/>
      </c>
      <c r="C487" s="75">
        <f>IF(R487="","",IF(INDEX('Recurring Schedule'!$C$6:$C$45,R487)="","",INDEX('Recurring Schedule'!$C$6:$C$45,R487)))</f>
        <v/>
      </c>
      <c r="D487" s="73">
        <f>IF(R487="","",IF(INDEX('Recurring Schedule'!$D$6:$D$45,R487)="","",INDEX('Recurring Schedule'!$D$6:$D$45,R487)))</f>
        <v/>
      </c>
      <c r="E487" s="76">
        <f>IF(Q487="","",INDEX(Calc!$A$2:$A$367,Q487))</f>
        <v/>
      </c>
      <c r="F487" s="72">
        <f>IF(OR(C487="",E487=""),"",E487-Setup!$D$7)</f>
        <v/>
      </c>
      <c r="G487" s="77">
        <f>IF(R487="","",IF(INDEX('Recurring Schedule'!$H$6:$H$45,R487)="","",INDEX('Recurring Schedule'!$H$6:$H$45,R487)))</f>
        <v/>
      </c>
      <c r="H487" s="77">
        <f>IF(R487="","",IF(INDEX('Recurring Schedule'!$I$6:$I$45,R487)="","",INDEX('Recurring Schedule'!$I$6:$I$45,R487)))</f>
        <v/>
      </c>
      <c r="I487" s="73">
        <f>IF(OR(G487="",H487=""),"",TRIM(IF(HOUR(H487-G487)&gt;0,HOUR(H487-G487)&amp;" hr ","")&amp;IF(MINUTE(H487-G487)&gt;0,MINUTE(H487-G487)&amp;" min","")))</f>
        <v/>
      </c>
      <c r="J487" s="66" t="n"/>
      <c r="K487" s="70" t="n"/>
      <c r="L487" s="73">
        <f>IF(R487="","",IF(INDEX('Recurring Schedule'!$J$6:$J$45,R487)="","",INDEX('Recurring Schedule'!$J$6:$J$45,R487)))</f>
        <v/>
      </c>
      <c r="M487" s="73">
        <f>IF(R487="","",IF(INDEX('Recurring Schedule'!$K$6:$K$45,R487)="","",INDEX('Recurring Schedule'!$K$6:$K$45,R487)))</f>
        <v/>
      </c>
      <c r="N487" s="73">
        <f>IF(R487="","",IF(INDEX('Recurring Schedule'!$L$6:$L$45,R487)="","",INDEX('Recurring Schedule'!$L$6:$L$45,R487)))</f>
        <v/>
      </c>
      <c r="O487" s="73">
        <f>IF(C487="","",IF(AND(OR(L487="1-Urgent",L487="2-High"),M487="✓"),"DO FIRST",IF(M487="✓","SCHEDULE",IF(OR(L487="1-Urgent",L487="2-High"),"DELEGATE","DELETE"))))</f>
        <v/>
      </c>
      <c r="P487" s="65" t="n"/>
      <c r="Q487">
        <f>IF(482&gt;Calc!$AQ$368,"",MATCH(481,Calc!$AQ$2:$AQ$367,1))</f>
        <v/>
      </c>
      <c r="R487">
        <f>IF(Q487="","",SMALL(INDEX(Calc!$B$2:$AO$367,Q487,0),482-INDEX(Calc!$AQ$2:$AQ$367,Q487)))</f>
        <v/>
      </c>
    </row>
    <row r="488">
      <c r="B488" s="64">
        <f>IF(R488="","",483)</f>
        <v/>
      </c>
      <c r="C488" s="37">
        <f>IF(R488="","",IF(INDEX('Recurring Schedule'!$C$6:$C$45,R488)="","",INDEX('Recurring Schedule'!$C$6:$C$45,R488)))</f>
        <v/>
      </c>
      <c r="D488" s="36">
        <f>IF(R488="","",IF(INDEX('Recurring Schedule'!$D$6:$D$45,R488)="","",INDEX('Recurring Schedule'!$D$6:$D$45,R488)))</f>
        <v/>
      </c>
      <c r="E488" s="38">
        <f>IF(Q488="","",INDEX(Calc!$A$2:$A$367,Q488))</f>
        <v/>
      </c>
      <c r="F488" s="68">
        <f>IF(OR(C488="",E488=""),"",E488-Setup!$D$7)</f>
        <v/>
      </c>
      <c r="G488" s="74">
        <f>IF(R488="","",IF(INDEX('Recurring Schedule'!$H$6:$H$45,R488)="","",INDEX('Recurring Schedule'!$H$6:$H$45,R488)))</f>
        <v/>
      </c>
      <c r="H488" s="74">
        <f>IF(R488="","",IF(INDEX('Recurring Schedule'!$I$6:$I$45,R488)="","",INDEX('Recurring Schedule'!$I$6:$I$45,R488)))</f>
        <v/>
      </c>
      <c r="I488" s="36">
        <f>IF(OR(G488="",H488=""),"",TRIM(IF(HOUR(H488-G488)&gt;0,HOUR(H488-G488)&amp;" hr ","")&amp;IF(MINUTE(H488-G488)&gt;0,MINUTE(H488-G488)&amp;" min","")))</f>
        <v/>
      </c>
      <c r="J488" s="66" t="n"/>
      <c r="K488" s="70" t="n"/>
      <c r="L488" s="36">
        <f>IF(R488="","",IF(INDEX('Recurring Schedule'!$J$6:$J$45,R488)="","",INDEX('Recurring Schedule'!$J$6:$J$45,R488)))</f>
        <v/>
      </c>
      <c r="M488" s="36">
        <f>IF(R488="","",IF(INDEX('Recurring Schedule'!$K$6:$K$45,R488)="","",INDEX('Recurring Schedule'!$K$6:$K$45,R488)))</f>
        <v/>
      </c>
      <c r="N488" s="36">
        <f>IF(R488="","",IF(INDEX('Recurring Schedule'!$L$6:$L$45,R488)="","",INDEX('Recurring Schedule'!$L$6:$L$45,R488)))</f>
        <v/>
      </c>
      <c r="O488" s="36">
        <f>IF(C488="","",IF(AND(OR(L488="1-Urgent",L488="2-High"),M488="✓"),"DO FIRST",IF(M488="✓","SCHEDULE",IF(OR(L488="1-Urgent",L488="2-High"),"DELEGATE","DELETE"))))</f>
        <v/>
      </c>
      <c r="P488" s="65" t="n"/>
      <c r="Q488">
        <f>IF(483&gt;Calc!$AQ$368,"",MATCH(482,Calc!$AQ$2:$AQ$367,1))</f>
        <v/>
      </c>
      <c r="R488">
        <f>IF(Q488="","",SMALL(INDEX(Calc!$B$2:$AO$367,Q488,0),483-INDEX(Calc!$AQ$2:$AQ$367,Q488)))</f>
        <v/>
      </c>
    </row>
    <row r="489">
      <c r="B489" s="71">
        <f>IF(R489="","",484)</f>
        <v/>
      </c>
      <c r="C489" s="75">
        <f>IF(R489="","",IF(INDEX('Recurring Schedule'!$C$6:$C$45,R489)="","",INDEX('Recurring Schedule'!$C$6:$C$45,R489)))</f>
        <v/>
      </c>
      <c r="D489" s="73">
        <f>IF(R489="","",IF(INDEX('Recurring Schedule'!$D$6:$D$45,R489)="","",INDEX('Recurring Schedule'!$D$6:$D$45,R489)))</f>
        <v/>
      </c>
      <c r="E489" s="76">
        <f>IF(Q489="","",INDEX(Calc!$A$2:$A$367,Q489))</f>
        <v/>
      </c>
      <c r="F489" s="72">
        <f>IF(OR(C489="",E489=""),"",E489-Setup!$D$7)</f>
        <v/>
      </c>
      <c r="G489" s="77">
        <f>IF(R489="","",IF(INDEX('Recurring Schedule'!$H$6:$H$45,R489)="","",INDEX('Recurring Schedule'!$H$6:$H$45,R489)))</f>
        <v/>
      </c>
      <c r="H489" s="77">
        <f>IF(R489="","",IF(INDEX('Recurring Schedule'!$I$6:$I$45,R489)="","",INDEX('Recurring Schedule'!$I$6:$I$45,R489)))</f>
        <v/>
      </c>
      <c r="I489" s="73">
        <f>IF(OR(G489="",H489=""),"",TRIM(IF(HOUR(H489-G489)&gt;0,HOUR(H489-G489)&amp;" hr ","")&amp;IF(MINUTE(H489-G489)&gt;0,MINUTE(H489-G489)&amp;" min","")))</f>
        <v/>
      </c>
      <c r="J489" s="66" t="n"/>
      <c r="K489" s="70" t="n"/>
      <c r="L489" s="73">
        <f>IF(R489="","",IF(INDEX('Recurring Schedule'!$J$6:$J$45,R489)="","",INDEX('Recurring Schedule'!$J$6:$J$45,R489)))</f>
        <v/>
      </c>
      <c r="M489" s="73">
        <f>IF(R489="","",IF(INDEX('Recurring Schedule'!$K$6:$K$45,R489)="","",INDEX('Recurring Schedule'!$K$6:$K$45,R489)))</f>
        <v/>
      </c>
      <c r="N489" s="73">
        <f>IF(R489="","",IF(INDEX('Recurring Schedule'!$L$6:$L$45,R489)="","",INDEX('Recurring Schedule'!$L$6:$L$45,R489)))</f>
        <v/>
      </c>
      <c r="O489" s="73">
        <f>IF(C489="","",IF(AND(OR(L489="1-Urgent",L489="2-High"),M489="✓"),"DO FIRST",IF(M489="✓","SCHEDULE",IF(OR(L489="1-Urgent",L489="2-High"),"DELEGATE","DELETE"))))</f>
        <v/>
      </c>
      <c r="P489" s="65" t="n"/>
      <c r="Q489">
        <f>IF(484&gt;Calc!$AQ$368,"",MATCH(483,Calc!$AQ$2:$AQ$367,1))</f>
        <v/>
      </c>
      <c r="R489">
        <f>IF(Q489="","",SMALL(INDEX(Calc!$B$2:$AO$367,Q489,0),484-INDEX(Calc!$AQ$2:$AQ$367,Q489)))</f>
        <v/>
      </c>
    </row>
    <row r="490">
      <c r="B490" s="64">
        <f>IF(R490="","",485)</f>
        <v/>
      </c>
      <c r="C490" s="37">
        <f>IF(R490="","",IF(INDEX('Recurring Schedule'!$C$6:$C$45,R490)="","",INDEX('Recurring Schedule'!$C$6:$C$45,R490)))</f>
        <v/>
      </c>
      <c r="D490" s="36">
        <f>IF(R490="","",IF(INDEX('Recurring Schedule'!$D$6:$D$45,R490)="","",INDEX('Recurring Schedule'!$D$6:$D$45,R490)))</f>
        <v/>
      </c>
      <c r="E490" s="38">
        <f>IF(Q490="","",INDEX(Calc!$A$2:$A$367,Q490))</f>
        <v/>
      </c>
      <c r="F490" s="68">
        <f>IF(OR(C490="",E490=""),"",E490-Setup!$D$7)</f>
        <v/>
      </c>
      <c r="G490" s="74">
        <f>IF(R490="","",IF(INDEX('Recurring Schedule'!$H$6:$H$45,R490)="","",INDEX('Recurring Schedule'!$H$6:$H$45,R490)))</f>
        <v/>
      </c>
      <c r="H490" s="74">
        <f>IF(R490="","",IF(INDEX('Recurring Schedule'!$I$6:$I$45,R490)="","",INDEX('Recurring Schedule'!$I$6:$I$45,R490)))</f>
        <v/>
      </c>
      <c r="I490" s="36">
        <f>IF(OR(G490="",H490=""),"",TRIM(IF(HOUR(H490-G490)&gt;0,HOUR(H490-G490)&amp;" hr ","")&amp;IF(MINUTE(H490-G490)&gt;0,MINUTE(H490-G490)&amp;" min","")))</f>
        <v/>
      </c>
      <c r="J490" s="66" t="n"/>
      <c r="K490" s="70" t="n"/>
      <c r="L490" s="36">
        <f>IF(R490="","",IF(INDEX('Recurring Schedule'!$J$6:$J$45,R490)="","",INDEX('Recurring Schedule'!$J$6:$J$45,R490)))</f>
        <v/>
      </c>
      <c r="M490" s="36">
        <f>IF(R490="","",IF(INDEX('Recurring Schedule'!$K$6:$K$45,R490)="","",INDEX('Recurring Schedule'!$K$6:$K$45,R490)))</f>
        <v/>
      </c>
      <c r="N490" s="36">
        <f>IF(R490="","",IF(INDEX('Recurring Schedule'!$L$6:$L$45,R490)="","",INDEX('Recurring Schedule'!$L$6:$L$45,R490)))</f>
        <v/>
      </c>
      <c r="O490" s="36">
        <f>IF(C490="","",IF(AND(OR(L490="1-Urgent",L490="2-High"),M490="✓"),"DO FIRST",IF(M490="✓","SCHEDULE",IF(OR(L490="1-Urgent",L490="2-High"),"DELEGATE","DELETE"))))</f>
        <v/>
      </c>
      <c r="P490" s="65" t="n"/>
      <c r="Q490">
        <f>IF(485&gt;Calc!$AQ$368,"",MATCH(484,Calc!$AQ$2:$AQ$367,1))</f>
        <v/>
      </c>
      <c r="R490">
        <f>IF(Q490="","",SMALL(INDEX(Calc!$B$2:$AO$367,Q490,0),485-INDEX(Calc!$AQ$2:$AQ$367,Q490)))</f>
        <v/>
      </c>
    </row>
    <row r="491">
      <c r="B491" s="71">
        <f>IF(R491="","",486)</f>
        <v/>
      </c>
      <c r="C491" s="75">
        <f>IF(R491="","",IF(INDEX('Recurring Schedule'!$C$6:$C$45,R491)="","",INDEX('Recurring Schedule'!$C$6:$C$45,R491)))</f>
        <v/>
      </c>
      <c r="D491" s="73">
        <f>IF(R491="","",IF(INDEX('Recurring Schedule'!$D$6:$D$45,R491)="","",INDEX('Recurring Schedule'!$D$6:$D$45,R491)))</f>
        <v/>
      </c>
      <c r="E491" s="76">
        <f>IF(Q491="","",INDEX(Calc!$A$2:$A$367,Q491))</f>
        <v/>
      </c>
      <c r="F491" s="72">
        <f>IF(OR(C491="",E491=""),"",E491-Setup!$D$7)</f>
        <v/>
      </c>
      <c r="G491" s="77">
        <f>IF(R491="","",IF(INDEX('Recurring Schedule'!$H$6:$H$45,R491)="","",INDEX('Recurring Schedule'!$H$6:$H$45,R491)))</f>
        <v/>
      </c>
      <c r="H491" s="77">
        <f>IF(R491="","",IF(INDEX('Recurring Schedule'!$I$6:$I$45,R491)="","",INDEX('Recurring Schedule'!$I$6:$I$45,R491)))</f>
        <v/>
      </c>
      <c r="I491" s="73">
        <f>IF(OR(G491="",H491=""),"",TRIM(IF(HOUR(H491-G491)&gt;0,HOUR(H491-G491)&amp;" hr ","")&amp;IF(MINUTE(H491-G491)&gt;0,MINUTE(H491-G491)&amp;" min","")))</f>
        <v/>
      </c>
      <c r="J491" s="66" t="n"/>
      <c r="K491" s="70" t="n"/>
      <c r="L491" s="73">
        <f>IF(R491="","",IF(INDEX('Recurring Schedule'!$J$6:$J$45,R491)="","",INDEX('Recurring Schedule'!$J$6:$J$45,R491)))</f>
        <v/>
      </c>
      <c r="M491" s="73">
        <f>IF(R491="","",IF(INDEX('Recurring Schedule'!$K$6:$K$45,R491)="","",INDEX('Recurring Schedule'!$K$6:$K$45,R491)))</f>
        <v/>
      </c>
      <c r="N491" s="73">
        <f>IF(R491="","",IF(INDEX('Recurring Schedule'!$L$6:$L$45,R491)="","",INDEX('Recurring Schedule'!$L$6:$L$45,R491)))</f>
        <v/>
      </c>
      <c r="O491" s="73">
        <f>IF(C491="","",IF(AND(OR(L491="1-Urgent",L491="2-High"),M491="✓"),"DO FIRST",IF(M491="✓","SCHEDULE",IF(OR(L491="1-Urgent",L491="2-High"),"DELEGATE","DELETE"))))</f>
        <v/>
      </c>
      <c r="P491" s="65" t="n"/>
      <c r="Q491">
        <f>IF(486&gt;Calc!$AQ$368,"",MATCH(485,Calc!$AQ$2:$AQ$367,1))</f>
        <v/>
      </c>
      <c r="R491">
        <f>IF(Q491="","",SMALL(INDEX(Calc!$B$2:$AO$367,Q491,0),486-INDEX(Calc!$AQ$2:$AQ$367,Q491)))</f>
        <v/>
      </c>
    </row>
    <row r="492">
      <c r="B492" s="64">
        <f>IF(R492="","",487)</f>
        <v/>
      </c>
      <c r="C492" s="37">
        <f>IF(R492="","",IF(INDEX('Recurring Schedule'!$C$6:$C$45,R492)="","",INDEX('Recurring Schedule'!$C$6:$C$45,R492)))</f>
        <v/>
      </c>
      <c r="D492" s="36">
        <f>IF(R492="","",IF(INDEX('Recurring Schedule'!$D$6:$D$45,R492)="","",INDEX('Recurring Schedule'!$D$6:$D$45,R492)))</f>
        <v/>
      </c>
      <c r="E492" s="38">
        <f>IF(Q492="","",INDEX(Calc!$A$2:$A$367,Q492))</f>
        <v/>
      </c>
      <c r="F492" s="68">
        <f>IF(OR(C492="",E492=""),"",E492-Setup!$D$7)</f>
        <v/>
      </c>
      <c r="G492" s="74">
        <f>IF(R492="","",IF(INDEX('Recurring Schedule'!$H$6:$H$45,R492)="","",INDEX('Recurring Schedule'!$H$6:$H$45,R492)))</f>
        <v/>
      </c>
      <c r="H492" s="74">
        <f>IF(R492="","",IF(INDEX('Recurring Schedule'!$I$6:$I$45,R492)="","",INDEX('Recurring Schedule'!$I$6:$I$45,R492)))</f>
        <v/>
      </c>
      <c r="I492" s="36">
        <f>IF(OR(G492="",H492=""),"",TRIM(IF(HOUR(H492-G492)&gt;0,HOUR(H492-G492)&amp;" hr ","")&amp;IF(MINUTE(H492-G492)&gt;0,MINUTE(H492-G492)&amp;" min","")))</f>
        <v/>
      </c>
      <c r="J492" s="66" t="n"/>
      <c r="K492" s="70" t="n"/>
      <c r="L492" s="36">
        <f>IF(R492="","",IF(INDEX('Recurring Schedule'!$J$6:$J$45,R492)="","",INDEX('Recurring Schedule'!$J$6:$J$45,R492)))</f>
        <v/>
      </c>
      <c r="M492" s="36">
        <f>IF(R492="","",IF(INDEX('Recurring Schedule'!$K$6:$K$45,R492)="","",INDEX('Recurring Schedule'!$K$6:$K$45,R492)))</f>
        <v/>
      </c>
      <c r="N492" s="36">
        <f>IF(R492="","",IF(INDEX('Recurring Schedule'!$L$6:$L$45,R492)="","",INDEX('Recurring Schedule'!$L$6:$L$45,R492)))</f>
        <v/>
      </c>
      <c r="O492" s="36">
        <f>IF(C492="","",IF(AND(OR(L492="1-Urgent",L492="2-High"),M492="✓"),"DO FIRST",IF(M492="✓","SCHEDULE",IF(OR(L492="1-Urgent",L492="2-High"),"DELEGATE","DELETE"))))</f>
        <v/>
      </c>
      <c r="P492" s="65" t="n"/>
      <c r="Q492">
        <f>IF(487&gt;Calc!$AQ$368,"",MATCH(486,Calc!$AQ$2:$AQ$367,1))</f>
        <v/>
      </c>
      <c r="R492">
        <f>IF(Q492="","",SMALL(INDEX(Calc!$B$2:$AO$367,Q492,0),487-INDEX(Calc!$AQ$2:$AQ$367,Q492)))</f>
        <v/>
      </c>
    </row>
    <row r="493">
      <c r="B493" s="71">
        <f>IF(R493="","",488)</f>
        <v/>
      </c>
      <c r="C493" s="75">
        <f>IF(R493="","",IF(INDEX('Recurring Schedule'!$C$6:$C$45,R493)="","",INDEX('Recurring Schedule'!$C$6:$C$45,R493)))</f>
        <v/>
      </c>
      <c r="D493" s="73">
        <f>IF(R493="","",IF(INDEX('Recurring Schedule'!$D$6:$D$45,R493)="","",INDEX('Recurring Schedule'!$D$6:$D$45,R493)))</f>
        <v/>
      </c>
      <c r="E493" s="76">
        <f>IF(Q493="","",INDEX(Calc!$A$2:$A$367,Q493))</f>
        <v/>
      </c>
      <c r="F493" s="72">
        <f>IF(OR(C493="",E493=""),"",E493-Setup!$D$7)</f>
        <v/>
      </c>
      <c r="G493" s="77">
        <f>IF(R493="","",IF(INDEX('Recurring Schedule'!$H$6:$H$45,R493)="","",INDEX('Recurring Schedule'!$H$6:$H$45,R493)))</f>
        <v/>
      </c>
      <c r="H493" s="77">
        <f>IF(R493="","",IF(INDEX('Recurring Schedule'!$I$6:$I$45,R493)="","",INDEX('Recurring Schedule'!$I$6:$I$45,R493)))</f>
        <v/>
      </c>
      <c r="I493" s="73">
        <f>IF(OR(G493="",H493=""),"",TRIM(IF(HOUR(H493-G493)&gt;0,HOUR(H493-G493)&amp;" hr ","")&amp;IF(MINUTE(H493-G493)&gt;0,MINUTE(H493-G493)&amp;" min","")))</f>
        <v/>
      </c>
      <c r="J493" s="66" t="n"/>
      <c r="K493" s="70" t="n"/>
      <c r="L493" s="73">
        <f>IF(R493="","",IF(INDEX('Recurring Schedule'!$J$6:$J$45,R493)="","",INDEX('Recurring Schedule'!$J$6:$J$45,R493)))</f>
        <v/>
      </c>
      <c r="M493" s="73">
        <f>IF(R493="","",IF(INDEX('Recurring Schedule'!$K$6:$K$45,R493)="","",INDEX('Recurring Schedule'!$K$6:$K$45,R493)))</f>
        <v/>
      </c>
      <c r="N493" s="73">
        <f>IF(R493="","",IF(INDEX('Recurring Schedule'!$L$6:$L$45,R493)="","",INDEX('Recurring Schedule'!$L$6:$L$45,R493)))</f>
        <v/>
      </c>
      <c r="O493" s="73">
        <f>IF(C493="","",IF(AND(OR(L493="1-Urgent",L493="2-High"),M493="✓"),"DO FIRST",IF(M493="✓","SCHEDULE",IF(OR(L493="1-Urgent",L493="2-High"),"DELEGATE","DELETE"))))</f>
        <v/>
      </c>
      <c r="P493" s="65" t="n"/>
      <c r="Q493">
        <f>IF(488&gt;Calc!$AQ$368,"",MATCH(487,Calc!$AQ$2:$AQ$367,1))</f>
        <v/>
      </c>
      <c r="R493">
        <f>IF(Q493="","",SMALL(INDEX(Calc!$B$2:$AO$367,Q493,0),488-INDEX(Calc!$AQ$2:$AQ$367,Q493)))</f>
        <v/>
      </c>
    </row>
    <row r="494">
      <c r="B494" s="64">
        <f>IF(R494="","",489)</f>
        <v/>
      </c>
      <c r="C494" s="37">
        <f>IF(R494="","",IF(INDEX('Recurring Schedule'!$C$6:$C$45,R494)="","",INDEX('Recurring Schedule'!$C$6:$C$45,R494)))</f>
        <v/>
      </c>
      <c r="D494" s="36">
        <f>IF(R494="","",IF(INDEX('Recurring Schedule'!$D$6:$D$45,R494)="","",INDEX('Recurring Schedule'!$D$6:$D$45,R494)))</f>
        <v/>
      </c>
      <c r="E494" s="38">
        <f>IF(Q494="","",INDEX(Calc!$A$2:$A$367,Q494))</f>
        <v/>
      </c>
      <c r="F494" s="68">
        <f>IF(OR(C494="",E494=""),"",E494-Setup!$D$7)</f>
        <v/>
      </c>
      <c r="G494" s="74">
        <f>IF(R494="","",IF(INDEX('Recurring Schedule'!$H$6:$H$45,R494)="","",INDEX('Recurring Schedule'!$H$6:$H$45,R494)))</f>
        <v/>
      </c>
      <c r="H494" s="74">
        <f>IF(R494="","",IF(INDEX('Recurring Schedule'!$I$6:$I$45,R494)="","",INDEX('Recurring Schedule'!$I$6:$I$45,R494)))</f>
        <v/>
      </c>
      <c r="I494" s="36">
        <f>IF(OR(G494="",H494=""),"",TRIM(IF(HOUR(H494-G494)&gt;0,HOUR(H494-G494)&amp;" hr ","")&amp;IF(MINUTE(H494-G494)&gt;0,MINUTE(H494-G494)&amp;" min","")))</f>
        <v/>
      </c>
      <c r="J494" s="66" t="n"/>
      <c r="K494" s="70" t="n"/>
      <c r="L494" s="36">
        <f>IF(R494="","",IF(INDEX('Recurring Schedule'!$J$6:$J$45,R494)="","",INDEX('Recurring Schedule'!$J$6:$J$45,R494)))</f>
        <v/>
      </c>
      <c r="M494" s="36">
        <f>IF(R494="","",IF(INDEX('Recurring Schedule'!$K$6:$K$45,R494)="","",INDEX('Recurring Schedule'!$K$6:$K$45,R494)))</f>
        <v/>
      </c>
      <c r="N494" s="36">
        <f>IF(R494="","",IF(INDEX('Recurring Schedule'!$L$6:$L$45,R494)="","",INDEX('Recurring Schedule'!$L$6:$L$45,R494)))</f>
        <v/>
      </c>
      <c r="O494" s="36">
        <f>IF(C494="","",IF(AND(OR(L494="1-Urgent",L494="2-High"),M494="✓"),"DO FIRST",IF(M494="✓","SCHEDULE",IF(OR(L494="1-Urgent",L494="2-High"),"DELEGATE","DELETE"))))</f>
        <v/>
      </c>
      <c r="P494" s="65" t="n"/>
      <c r="Q494">
        <f>IF(489&gt;Calc!$AQ$368,"",MATCH(488,Calc!$AQ$2:$AQ$367,1))</f>
        <v/>
      </c>
      <c r="R494">
        <f>IF(Q494="","",SMALL(INDEX(Calc!$B$2:$AO$367,Q494,0),489-INDEX(Calc!$AQ$2:$AQ$367,Q494)))</f>
        <v/>
      </c>
    </row>
    <row r="495">
      <c r="B495" s="71">
        <f>IF(R495="","",490)</f>
        <v/>
      </c>
      <c r="C495" s="75">
        <f>IF(R495="","",IF(INDEX('Recurring Schedule'!$C$6:$C$45,R495)="","",INDEX('Recurring Schedule'!$C$6:$C$45,R495)))</f>
        <v/>
      </c>
      <c r="D495" s="73">
        <f>IF(R495="","",IF(INDEX('Recurring Schedule'!$D$6:$D$45,R495)="","",INDEX('Recurring Schedule'!$D$6:$D$45,R495)))</f>
        <v/>
      </c>
      <c r="E495" s="76">
        <f>IF(Q495="","",INDEX(Calc!$A$2:$A$367,Q495))</f>
        <v/>
      </c>
      <c r="F495" s="72">
        <f>IF(OR(C495="",E495=""),"",E495-Setup!$D$7)</f>
        <v/>
      </c>
      <c r="G495" s="77">
        <f>IF(R495="","",IF(INDEX('Recurring Schedule'!$H$6:$H$45,R495)="","",INDEX('Recurring Schedule'!$H$6:$H$45,R495)))</f>
        <v/>
      </c>
      <c r="H495" s="77">
        <f>IF(R495="","",IF(INDEX('Recurring Schedule'!$I$6:$I$45,R495)="","",INDEX('Recurring Schedule'!$I$6:$I$45,R495)))</f>
        <v/>
      </c>
      <c r="I495" s="73">
        <f>IF(OR(G495="",H495=""),"",TRIM(IF(HOUR(H495-G495)&gt;0,HOUR(H495-G495)&amp;" hr ","")&amp;IF(MINUTE(H495-G495)&gt;0,MINUTE(H495-G495)&amp;" min","")))</f>
        <v/>
      </c>
      <c r="J495" s="66" t="n"/>
      <c r="K495" s="70" t="n"/>
      <c r="L495" s="73">
        <f>IF(R495="","",IF(INDEX('Recurring Schedule'!$J$6:$J$45,R495)="","",INDEX('Recurring Schedule'!$J$6:$J$45,R495)))</f>
        <v/>
      </c>
      <c r="M495" s="73">
        <f>IF(R495="","",IF(INDEX('Recurring Schedule'!$K$6:$K$45,R495)="","",INDEX('Recurring Schedule'!$K$6:$K$45,R495)))</f>
        <v/>
      </c>
      <c r="N495" s="73">
        <f>IF(R495="","",IF(INDEX('Recurring Schedule'!$L$6:$L$45,R495)="","",INDEX('Recurring Schedule'!$L$6:$L$45,R495)))</f>
        <v/>
      </c>
      <c r="O495" s="73">
        <f>IF(C495="","",IF(AND(OR(L495="1-Urgent",L495="2-High"),M495="✓"),"DO FIRST",IF(M495="✓","SCHEDULE",IF(OR(L495="1-Urgent",L495="2-High"),"DELEGATE","DELETE"))))</f>
        <v/>
      </c>
      <c r="P495" s="65" t="n"/>
      <c r="Q495">
        <f>IF(490&gt;Calc!$AQ$368,"",MATCH(489,Calc!$AQ$2:$AQ$367,1))</f>
        <v/>
      </c>
      <c r="R495">
        <f>IF(Q495="","",SMALL(INDEX(Calc!$B$2:$AO$367,Q495,0),490-INDEX(Calc!$AQ$2:$AQ$367,Q495)))</f>
        <v/>
      </c>
    </row>
    <row r="496">
      <c r="B496" s="64">
        <f>IF(R496="","",491)</f>
        <v/>
      </c>
      <c r="C496" s="37">
        <f>IF(R496="","",IF(INDEX('Recurring Schedule'!$C$6:$C$45,R496)="","",INDEX('Recurring Schedule'!$C$6:$C$45,R496)))</f>
        <v/>
      </c>
      <c r="D496" s="36">
        <f>IF(R496="","",IF(INDEX('Recurring Schedule'!$D$6:$D$45,R496)="","",INDEX('Recurring Schedule'!$D$6:$D$45,R496)))</f>
        <v/>
      </c>
      <c r="E496" s="38">
        <f>IF(Q496="","",INDEX(Calc!$A$2:$A$367,Q496))</f>
        <v/>
      </c>
      <c r="F496" s="68">
        <f>IF(OR(C496="",E496=""),"",E496-Setup!$D$7)</f>
        <v/>
      </c>
      <c r="G496" s="74">
        <f>IF(R496="","",IF(INDEX('Recurring Schedule'!$H$6:$H$45,R496)="","",INDEX('Recurring Schedule'!$H$6:$H$45,R496)))</f>
        <v/>
      </c>
      <c r="H496" s="74">
        <f>IF(R496="","",IF(INDEX('Recurring Schedule'!$I$6:$I$45,R496)="","",INDEX('Recurring Schedule'!$I$6:$I$45,R496)))</f>
        <v/>
      </c>
      <c r="I496" s="36">
        <f>IF(OR(G496="",H496=""),"",TRIM(IF(HOUR(H496-G496)&gt;0,HOUR(H496-G496)&amp;" hr ","")&amp;IF(MINUTE(H496-G496)&gt;0,MINUTE(H496-G496)&amp;" min","")))</f>
        <v/>
      </c>
      <c r="J496" s="66" t="n"/>
      <c r="K496" s="70" t="n"/>
      <c r="L496" s="36">
        <f>IF(R496="","",IF(INDEX('Recurring Schedule'!$J$6:$J$45,R496)="","",INDEX('Recurring Schedule'!$J$6:$J$45,R496)))</f>
        <v/>
      </c>
      <c r="M496" s="36">
        <f>IF(R496="","",IF(INDEX('Recurring Schedule'!$K$6:$K$45,R496)="","",INDEX('Recurring Schedule'!$K$6:$K$45,R496)))</f>
        <v/>
      </c>
      <c r="N496" s="36">
        <f>IF(R496="","",IF(INDEX('Recurring Schedule'!$L$6:$L$45,R496)="","",INDEX('Recurring Schedule'!$L$6:$L$45,R496)))</f>
        <v/>
      </c>
      <c r="O496" s="36">
        <f>IF(C496="","",IF(AND(OR(L496="1-Urgent",L496="2-High"),M496="✓"),"DO FIRST",IF(M496="✓","SCHEDULE",IF(OR(L496="1-Urgent",L496="2-High"),"DELEGATE","DELETE"))))</f>
        <v/>
      </c>
      <c r="P496" s="65" t="n"/>
      <c r="Q496">
        <f>IF(491&gt;Calc!$AQ$368,"",MATCH(490,Calc!$AQ$2:$AQ$367,1))</f>
        <v/>
      </c>
      <c r="R496">
        <f>IF(Q496="","",SMALL(INDEX(Calc!$B$2:$AO$367,Q496,0),491-INDEX(Calc!$AQ$2:$AQ$367,Q496)))</f>
        <v/>
      </c>
    </row>
    <row r="497">
      <c r="B497" s="71">
        <f>IF(R497="","",492)</f>
        <v/>
      </c>
      <c r="C497" s="75">
        <f>IF(R497="","",IF(INDEX('Recurring Schedule'!$C$6:$C$45,R497)="","",INDEX('Recurring Schedule'!$C$6:$C$45,R497)))</f>
        <v/>
      </c>
      <c r="D497" s="73">
        <f>IF(R497="","",IF(INDEX('Recurring Schedule'!$D$6:$D$45,R497)="","",INDEX('Recurring Schedule'!$D$6:$D$45,R497)))</f>
        <v/>
      </c>
      <c r="E497" s="76">
        <f>IF(Q497="","",INDEX(Calc!$A$2:$A$367,Q497))</f>
        <v/>
      </c>
      <c r="F497" s="72">
        <f>IF(OR(C497="",E497=""),"",E497-Setup!$D$7)</f>
        <v/>
      </c>
      <c r="G497" s="77">
        <f>IF(R497="","",IF(INDEX('Recurring Schedule'!$H$6:$H$45,R497)="","",INDEX('Recurring Schedule'!$H$6:$H$45,R497)))</f>
        <v/>
      </c>
      <c r="H497" s="77">
        <f>IF(R497="","",IF(INDEX('Recurring Schedule'!$I$6:$I$45,R497)="","",INDEX('Recurring Schedule'!$I$6:$I$45,R497)))</f>
        <v/>
      </c>
      <c r="I497" s="73">
        <f>IF(OR(G497="",H497=""),"",TRIM(IF(HOUR(H497-G497)&gt;0,HOUR(H497-G497)&amp;" hr ","")&amp;IF(MINUTE(H497-G497)&gt;0,MINUTE(H497-G497)&amp;" min","")))</f>
        <v/>
      </c>
      <c r="J497" s="66" t="n"/>
      <c r="K497" s="70" t="n"/>
      <c r="L497" s="73">
        <f>IF(R497="","",IF(INDEX('Recurring Schedule'!$J$6:$J$45,R497)="","",INDEX('Recurring Schedule'!$J$6:$J$45,R497)))</f>
        <v/>
      </c>
      <c r="M497" s="73">
        <f>IF(R497="","",IF(INDEX('Recurring Schedule'!$K$6:$K$45,R497)="","",INDEX('Recurring Schedule'!$K$6:$K$45,R497)))</f>
        <v/>
      </c>
      <c r="N497" s="73">
        <f>IF(R497="","",IF(INDEX('Recurring Schedule'!$L$6:$L$45,R497)="","",INDEX('Recurring Schedule'!$L$6:$L$45,R497)))</f>
        <v/>
      </c>
      <c r="O497" s="73">
        <f>IF(C497="","",IF(AND(OR(L497="1-Urgent",L497="2-High"),M497="✓"),"DO FIRST",IF(M497="✓","SCHEDULE",IF(OR(L497="1-Urgent",L497="2-High"),"DELEGATE","DELETE"))))</f>
        <v/>
      </c>
      <c r="P497" s="65" t="n"/>
      <c r="Q497">
        <f>IF(492&gt;Calc!$AQ$368,"",MATCH(491,Calc!$AQ$2:$AQ$367,1))</f>
        <v/>
      </c>
      <c r="R497">
        <f>IF(Q497="","",SMALL(INDEX(Calc!$B$2:$AO$367,Q497,0),492-INDEX(Calc!$AQ$2:$AQ$367,Q497)))</f>
        <v/>
      </c>
    </row>
    <row r="498">
      <c r="B498" s="64">
        <f>IF(R498="","",493)</f>
        <v/>
      </c>
      <c r="C498" s="37">
        <f>IF(R498="","",IF(INDEX('Recurring Schedule'!$C$6:$C$45,R498)="","",INDEX('Recurring Schedule'!$C$6:$C$45,R498)))</f>
        <v/>
      </c>
      <c r="D498" s="36">
        <f>IF(R498="","",IF(INDEX('Recurring Schedule'!$D$6:$D$45,R498)="","",INDEX('Recurring Schedule'!$D$6:$D$45,R498)))</f>
        <v/>
      </c>
      <c r="E498" s="38">
        <f>IF(Q498="","",INDEX(Calc!$A$2:$A$367,Q498))</f>
        <v/>
      </c>
      <c r="F498" s="68">
        <f>IF(OR(C498="",E498=""),"",E498-Setup!$D$7)</f>
        <v/>
      </c>
      <c r="G498" s="74">
        <f>IF(R498="","",IF(INDEX('Recurring Schedule'!$H$6:$H$45,R498)="","",INDEX('Recurring Schedule'!$H$6:$H$45,R498)))</f>
        <v/>
      </c>
      <c r="H498" s="74">
        <f>IF(R498="","",IF(INDEX('Recurring Schedule'!$I$6:$I$45,R498)="","",INDEX('Recurring Schedule'!$I$6:$I$45,R498)))</f>
        <v/>
      </c>
      <c r="I498" s="36">
        <f>IF(OR(G498="",H498=""),"",TRIM(IF(HOUR(H498-G498)&gt;0,HOUR(H498-G498)&amp;" hr ","")&amp;IF(MINUTE(H498-G498)&gt;0,MINUTE(H498-G498)&amp;" min","")))</f>
        <v/>
      </c>
      <c r="J498" s="66" t="n"/>
      <c r="K498" s="70" t="n"/>
      <c r="L498" s="36">
        <f>IF(R498="","",IF(INDEX('Recurring Schedule'!$J$6:$J$45,R498)="","",INDEX('Recurring Schedule'!$J$6:$J$45,R498)))</f>
        <v/>
      </c>
      <c r="M498" s="36">
        <f>IF(R498="","",IF(INDEX('Recurring Schedule'!$K$6:$K$45,R498)="","",INDEX('Recurring Schedule'!$K$6:$K$45,R498)))</f>
        <v/>
      </c>
      <c r="N498" s="36">
        <f>IF(R498="","",IF(INDEX('Recurring Schedule'!$L$6:$L$45,R498)="","",INDEX('Recurring Schedule'!$L$6:$L$45,R498)))</f>
        <v/>
      </c>
      <c r="O498" s="36">
        <f>IF(C498="","",IF(AND(OR(L498="1-Urgent",L498="2-High"),M498="✓"),"DO FIRST",IF(M498="✓","SCHEDULE",IF(OR(L498="1-Urgent",L498="2-High"),"DELEGATE","DELETE"))))</f>
        <v/>
      </c>
      <c r="P498" s="65" t="n"/>
      <c r="Q498">
        <f>IF(493&gt;Calc!$AQ$368,"",MATCH(492,Calc!$AQ$2:$AQ$367,1))</f>
        <v/>
      </c>
      <c r="R498">
        <f>IF(Q498="","",SMALL(INDEX(Calc!$B$2:$AO$367,Q498,0),493-INDEX(Calc!$AQ$2:$AQ$367,Q498)))</f>
        <v/>
      </c>
    </row>
    <row r="499">
      <c r="B499" s="71">
        <f>IF(R499="","",494)</f>
        <v/>
      </c>
      <c r="C499" s="75">
        <f>IF(R499="","",IF(INDEX('Recurring Schedule'!$C$6:$C$45,R499)="","",INDEX('Recurring Schedule'!$C$6:$C$45,R499)))</f>
        <v/>
      </c>
      <c r="D499" s="73">
        <f>IF(R499="","",IF(INDEX('Recurring Schedule'!$D$6:$D$45,R499)="","",INDEX('Recurring Schedule'!$D$6:$D$45,R499)))</f>
        <v/>
      </c>
      <c r="E499" s="76">
        <f>IF(Q499="","",INDEX(Calc!$A$2:$A$367,Q499))</f>
        <v/>
      </c>
      <c r="F499" s="72">
        <f>IF(OR(C499="",E499=""),"",E499-Setup!$D$7)</f>
        <v/>
      </c>
      <c r="G499" s="77">
        <f>IF(R499="","",IF(INDEX('Recurring Schedule'!$H$6:$H$45,R499)="","",INDEX('Recurring Schedule'!$H$6:$H$45,R499)))</f>
        <v/>
      </c>
      <c r="H499" s="77">
        <f>IF(R499="","",IF(INDEX('Recurring Schedule'!$I$6:$I$45,R499)="","",INDEX('Recurring Schedule'!$I$6:$I$45,R499)))</f>
        <v/>
      </c>
      <c r="I499" s="73">
        <f>IF(OR(G499="",H499=""),"",TRIM(IF(HOUR(H499-G499)&gt;0,HOUR(H499-G499)&amp;" hr ","")&amp;IF(MINUTE(H499-G499)&gt;0,MINUTE(H499-G499)&amp;" min","")))</f>
        <v/>
      </c>
      <c r="J499" s="66" t="n"/>
      <c r="K499" s="70" t="n"/>
      <c r="L499" s="73">
        <f>IF(R499="","",IF(INDEX('Recurring Schedule'!$J$6:$J$45,R499)="","",INDEX('Recurring Schedule'!$J$6:$J$45,R499)))</f>
        <v/>
      </c>
      <c r="M499" s="73">
        <f>IF(R499="","",IF(INDEX('Recurring Schedule'!$K$6:$K$45,R499)="","",INDEX('Recurring Schedule'!$K$6:$K$45,R499)))</f>
        <v/>
      </c>
      <c r="N499" s="73">
        <f>IF(R499="","",IF(INDEX('Recurring Schedule'!$L$6:$L$45,R499)="","",INDEX('Recurring Schedule'!$L$6:$L$45,R499)))</f>
        <v/>
      </c>
      <c r="O499" s="73">
        <f>IF(C499="","",IF(AND(OR(L499="1-Urgent",L499="2-High"),M499="✓"),"DO FIRST",IF(M499="✓","SCHEDULE",IF(OR(L499="1-Urgent",L499="2-High"),"DELEGATE","DELETE"))))</f>
        <v/>
      </c>
      <c r="P499" s="65" t="n"/>
      <c r="Q499">
        <f>IF(494&gt;Calc!$AQ$368,"",MATCH(493,Calc!$AQ$2:$AQ$367,1))</f>
        <v/>
      </c>
      <c r="R499">
        <f>IF(Q499="","",SMALL(INDEX(Calc!$B$2:$AO$367,Q499,0),494-INDEX(Calc!$AQ$2:$AQ$367,Q499)))</f>
        <v/>
      </c>
    </row>
    <row r="500">
      <c r="B500" s="64">
        <f>IF(R500="","",495)</f>
        <v/>
      </c>
      <c r="C500" s="37">
        <f>IF(R500="","",IF(INDEX('Recurring Schedule'!$C$6:$C$45,R500)="","",INDEX('Recurring Schedule'!$C$6:$C$45,R500)))</f>
        <v/>
      </c>
      <c r="D500" s="36">
        <f>IF(R500="","",IF(INDEX('Recurring Schedule'!$D$6:$D$45,R500)="","",INDEX('Recurring Schedule'!$D$6:$D$45,R500)))</f>
        <v/>
      </c>
      <c r="E500" s="38">
        <f>IF(Q500="","",INDEX(Calc!$A$2:$A$367,Q500))</f>
        <v/>
      </c>
      <c r="F500" s="68">
        <f>IF(OR(C500="",E500=""),"",E500-Setup!$D$7)</f>
        <v/>
      </c>
      <c r="G500" s="74">
        <f>IF(R500="","",IF(INDEX('Recurring Schedule'!$H$6:$H$45,R500)="","",INDEX('Recurring Schedule'!$H$6:$H$45,R500)))</f>
        <v/>
      </c>
      <c r="H500" s="74">
        <f>IF(R500="","",IF(INDEX('Recurring Schedule'!$I$6:$I$45,R500)="","",INDEX('Recurring Schedule'!$I$6:$I$45,R500)))</f>
        <v/>
      </c>
      <c r="I500" s="36">
        <f>IF(OR(G500="",H500=""),"",TRIM(IF(HOUR(H500-G500)&gt;0,HOUR(H500-G500)&amp;" hr ","")&amp;IF(MINUTE(H500-G500)&gt;0,MINUTE(H500-G500)&amp;" min","")))</f>
        <v/>
      </c>
      <c r="J500" s="66" t="n"/>
      <c r="K500" s="70" t="n"/>
      <c r="L500" s="36">
        <f>IF(R500="","",IF(INDEX('Recurring Schedule'!$J$6:$J$45,R500)="","",INDEX('Recurring Schedule'!$J$6:$J$45,R500)))</f>
        <v/>
      </c>
      <c r="M500" s="36">
        <f>IF(R500="","",IF(INDEX('Recurring Schedule'!$K$6:$K$45,R500)="","",INDEX('Recurring Schedule'!$K$6:$K$45,R500)))</f>
        <v/>
      </c>
      <c r="N500" s="36">
        <f>IF(R500="","",IF(INDEX('Recurring Schedule'!$L$6:$L$45,R500)="","",INDEX('Recurring Schedule'!$L$6:$L$45,R500)))</f>
        <v/>
      </c>
      <c r="O500" s="36">
        <f>IF(C500="","",IF(AND(OR(L500="1-Urgent",L500="2-High"),M500="✓"),"DO FIRST",IF(M500="✓","SCHEDULE",IF(OR(L500="1-Urgent",L500="2-High"),"DELEGATE","DELETE"))))</f>
        <v/>
      </c>
      <c r="P500" s="65" t="n"/>
      <c r="Q500">
        <f>IF(495&gt;Calc!$AQ$368,"",MATCH(494,Calc!$AQ$2:$AQ$367,1))</f>
        <v/>
      </c>
      <c r="R500">
        <f>IF(Q500="","",SMALL(INDEX(Calc!$B$2:$AO$367,Q500,0),495-INDEX(Calc!$AQ$2:$AQ$367,Q500)))</f>
        <v/>
      </c>
    </row>
    <row r="501">
      <c r="B501" s="71">
        <f>IF(R501="","",496)</f>
        <v/>
      </c>
      <c r="C501" s="75">
        <f>IF(R501="","",IF(INDEX('Recurring Schedule'!$C$6:$C$45,R501)="","",INDEX('Recurring Schedule'!$C$6:$C$45,R501)))</f>
        <v/>
      </c>
      <c r="D501" s="73">
        <f>IF(R501="","",IF(INDEX('Recurring Schedule'!$D$6:$D$45,R501)="","",INDEX('Recurring Schedule'!$D$6:$D$45,R501)))</f>
        <v/>
      </c>
      <c r="E501" s="76">
        <f>IF(Q501="","",INDEX(Calc!$A$2:$A$367,Q501))</f>
        <v/>
      </c>
      <c r="F501" s="72">
        <f>IF(OR(C501="",E501=""),"",E501-Setup!$D$7)</f>
        <v/>
      </c>
      <c r="G501" s="77">
        <f>IF(R501="","",IF(INDEX('Recurring Schedule'!$H$6:$H$45,R501)="","",INDEX('Recurring Schedule'!$H$6:$H$45,R501)))</f>
        <v/>
      </c>
      <c r="H501" s="77">
        <f>IF(R501="","",IF(INDEX('Recurring Schedule'!$I$6:$I$45,R501)="","",INDEX('Recurring Schedule'!$I$6:$I$45,R501)))</f>
        <v/>
      </c>
      <c r="I501" s="73">
        <f>IF(OR(G501="",H501=""),"",TRIM(IF(HOUR(H501-G501)&gt;0,HOUR(H501-G501)&amp;" hr ","")&amp;IF(MINUTE(H501-G501)&gt;0,MINUTE(H501-G501)&amp;" min","")))</f>
        <v/>
      </c>
      <c r="J501" s="66" t="n"/>
      <c r="K501" s="70" t="n"/>
      <c r="L501" s="73">
        <f>IF(R501="","",IF(INDEX('Recurring Schedule'!$J$6:$J$45,R501)="","",INDEX('Recurring Schedule'!$J$6:$J$45,R501)))</f>
        <v/>
      </c>
      <c r="M501" s="73">
        <f>IF(R501="","",IF(INDEX('Recurring Schedule'!$K$6:$K$45,R501)="","",INDEX('Recurring Schedule'!$K$6:$K$45,R501)))</f>
        <v/>
      </c>
      <c r="N501" s="73">
        <f>IF(R501="","",IF(INDEX('Recurring Schedule'!$L$6:$L$45,R501)="","",INDEX('Recurring Schedule'!$L$6:$L$45,R501)))</f>
        <v/>
      </c>
      <c r="O501" s="73">
        <f>IF(C501="","",IF(AND(OR(L501="1-Urgent",L501="2-High"),M501="✓"),"DO FIRST",IF(M501="✓","SCHEDULE",IF(OR(L501="1-Urgent",L501="2-High"),"DELEGATE","DELETE"))))</f>
        <v/>
      </c>
      <c r="P501" s="65" t="n"/>
      <c r="Q501">
        <f>IF(496&gt;Calc!$AQ$368,"",MATCH(495,Calc!$AQ$2:$AQ$367,1))</f>
        <v/>
      </c>
      <c r="R501">
        <f>IF(Q501="","",SMALL(INDEX(Calc!$B$2:$AO$367,Q501,0),496-INDEX(Calc!$AQ$2:$AQ$367,Q501)))</f>
        <v/>
      </c>
    </row>
    <row r="502">
      <c r="B502" s="64">
        <f>IF(R502="","",497)</f>
        <v/>
      </c>
      <c r="C502" s="37">
        <f>IF(R502="","",IF(INDEX('Recurring Schedule'!$C$6:$C$45,R502)="","",INDEX('Recurring Schedule'!$C$6:$C$45,R502)))</f>
        <v/>
      </c>
      <c r="D502" s="36">
        <f>IF(R502="","",IF(INDEX('Recurring Schedule'!$D$6:$D$45,R502)="","",INDEX('Recurring Schedule'!$D$6:$D$45,R502)))</f>
        <v/>
      </c>
      <c r="E502" s="38">
        <f>IF(Q502="","",INDEX(Calc!$A$2:$A$367,Q502))</f>
        <v/>
      </c>
      <c r="F502" s="68">
        <f>IF(OR(C502="",E502=""),"",E502-Setup!$D$7)</f>
        <v/>
      </c>
      <c r="G502" s="74">
        <f>IF(R502="","",IF(INDEX('Recurring Schedule'!$H$6:$H$45,R502)="","",INDEX('Recurring Schedule'!$H$6:$H$45,R502)))</f>
        <v/>
      </c>
      <c r="H502" s="74">
        <f>IF(R502="","",IF(INDEX('Recurring Schedule'!$I$6:$I$45,R502)="","",INDEX('Recurring Schedule'!$I$6:$I$45,R502)))</f>
        <v/>
      </c>
      <c r="I502" s="36">
        <f>IF(OR(G502="",H502=""),"",TRIM(IF(HOUR(H502-G502)&gt;0,HOUR(H502-G502)&amp;" hr ","")&amp;IF(MINUTE(H502-G502)&gt;0,MINUTE(H502-G502)&amp;" min","")))</f>
        <v/>
      </c>
      <c r="J502" s="66" t="n"/>
      <c r="K502" s="70" t="n"/>
      <c r="L502" s="36">
        <f>IF(R502="","",IF(INDEX('Recurring Schedule'!$J$6:$J$45,R502)="","",INDEX('Recurring Schedule'!$J$6:$J$45,R502)))</f>
        <v/>
      </c>
      <c r="M502" s="36">
        <f>IF(R502="","",IF(INDEX('Recurring Schedule'!$K$6:$K$45,R502)="","",INDEX('Recurring Schedule'!$K$6:$K$45,R502)))</f>
        <v/>
      </c>
      <c r="N502" s="36">
        <f>IF(R502="","",IF(INDEX('Recurring Schedule'!$L$6:$L$45,R502)="","",INDEX('Recurring Schedule'!$L$6:$L$45,R502)))</f>
        <v/>
      </c>
      <c r="O502" s="36">
        <f>IF(C502="","",IF(AND(OR(L502="1-Urgent",L502="2-High"),M502="✓"),"DO FIRST",IF(M502="✓","SCHEDULE",IF(OR(L502="1-Urgent",L502="2-High"),"DELEGATE","DELETE"))))</f>
        <v/>
      </c>
      <c r="P502" s="65" t="n"/>
      <c r="Q502">
        <f>IF(497&gt;Calc!$AQ$368,"",MATCH(496,Calc!$AQ$2:$AQ$367,1))</f>
        <v/>
      </c>
      <c r="R502">
        <f>IF(Q502="","",SMALL(INDEX(Calc!$B$2:$AO$367,Q502,0),497-INDEX(Calc!$AQ$2:$AQ$367,Q502)))</f>
        <v/>
      </c>
    </row>
    <row r="503">
      <c r="B503" s="71">
        <f>IF(R503="","",498)</f>
        <v/>
      </c>
      <c r="C503" s="75">
        <f>IF(R503="","",IF(INDEX('Recurring Schedule'!$C$6:$C$45,R503)="","",INDEX('Recurring Schedule'!$C$6:$C$45,R503)))</f>
        <v/>
      </c>
      <c r="D503" s="73">
        <f>IF(R503="","",IF(INDEX('Recurring Schedule'!$D$6:$D$45,R503)="","",INDEX('Recurring Schedule'!$D$6:$D$45,R503)))</f>
        <v/>
      </c>
      <c r="E503" s="76">
        <f>IF(Q503="","",INDEX(Calc!$A$2:$A$367,Q503))</f>
        <v/>
      </c>
      <c r="F503" s="72">
        <f>IF(OR(C503="",E503=""),"",E503-Setup!$D$7)</f>
        <v/>
      </c>
      <c r="G503" s="77">
        <f>IF(R503="","",IF(INDEX('Recurring Schedule'!$H$6:$H$45,R503)="","",INDEX('Recurring Schedule'!$H$6:$H$45,R503)))</f>
        <v/>
      </c>
      <c r="H503" s="77">
        <f>IF(R503="","",IF(INDEX('Recurring Schedule'!$I$6:$I$45,R503)="","",INDEX('Recurring Schedule'!$I$6:$I$45,R503)))</f>
        <v/>
      </c>
      <c r="I503" s="73">
        <f>IF(OR(G503="",H503=""),"",TRIM(IF(HOUR(H503-G503)&gt;0,HOUR(H503-G503)&amp;" hr ","")&amp;IF(MINUTE(H503-G503)&gt;0,MINUTE(H503-G503)&amp;" min","")))</f>
        <v/>
      </c>
      <c r="J503" s="66" t="n"/>
      <c r="K503" s="70" t="n"/>
      <c r="L503" s="73">
        <f>IF(R503="","",IF(INDEX('Recurring Schedule'!$J$6:$J$45,R503)="","",INDEX('Recurring Schedule'!$J$6:$J$45,R503)))</f>
        <v/>
      </c>
      <c r="M503" s="73">
        <f>IF(R503="","",IF(INDEX('Recurring Schedule'!$K$6:$K$45,R503)="","",INDEX('Recurring Schedule'!$K$6:$K$45,R503)))</f>
        <v/>
      </c>
      <c r="N503" s="73">
        <f>IF(R503="","",IF(INDEX('Recurring Schedule'!$L$6:$L$45,R503)="","",INDEX('Recurring Schedule'!$L$6:$L$45,R503)))</f>
        <v/>
      </c>
      <c r="O503" s="73">
        <f>IF(C503="","",IF(AND(OR(L503="1-Urgent",L503="2-High"),M503="✓"),"DO FIRST",IF(M503="✓","SCHEDULE",IF(OR(L503="1-Urgent",L503="2-High"),"DELEGATE","DELETE"))))</f>
        <v/>
      </c>
      <c r="P503" s="65" t="n"/>
      <c r="Q503">
        <f>IF(498&gt;Calc!$AQ$368,"",MATCH(497,Calc!$AQ$2:$AQ$367,1))</f>
        <v/>
      </c>
      <c r="R503">
        <f>IF(Q503="","",SMALL(INDEX(Calc!$B$2:$AO$367,Q503,0),498-INDEX(Calc!$AQ$2:$AQ$367,Q503)))</f>
        <v/>
      </c>
    </row>
    <row r="504">
      <c r="B504" s="64">
        <f>IF(R504="","",499)</f>
        <v/>
      </c>
      <c r="C504" s="37">
        <f>IF(R504="","",IF(INDEX('Recurring Schedule'!$C$6:$C$45,R504)="","",INDEX('Recurring Schedule'!$C$6:$C$45,R504)))</f>
        <v/>
      </c>
      <c r="D504" s="36">
        <f>IF(R504="","",IF(INDEX('Recurring Schedule'!$D$6:$D$45,R504)="","",INDEX('Recurring Schedule'!$D$6:$D$45,R504)))</f>
        <v/>
      </c>
      <c r="E504" s="38">
        <f>IF(Q504="","",INDEX(Calc!$A$2:$A$367,Q504))</f>
        <v/>
      </c>
      <c r="F504" s="68">
        <f>IF(OR(C504="",E504=""),"",E504-Setup!$D$7)</f>
        <v/>
      </c>
      <c r="G504" s="74">
        <f>IF(R504="","",IF(INDEX('Recurring Schedule'!$H$6:$H$45,R504)="","",INDEX('Recurring Schedule'!$H$6:$H$45,R504)))</f>
        <v/>
      </c>
      <c r="H504" s="74">
        <f>IF(R504="","",IF(INDEX('Recurring Schedule'!$I$6:$I$45,R504)="","",INDEX('Recurring Schedule'!$I$6:$I$45,R504)))</f>
        <v/>
      </c>
      <c r="I504" s="36">
        <f>IF(OR(G504="",H504=""),"",TRIM(IF(HOUR(H504-G504)&gt;0,HOUR(H504-G504)&amp;" hr ","")&amp;IF(MINUTE(H504-G504)&gt;0,MINUTE(H504-G504)&amp;" min","")))</f>
        <v/>
      </c>
      <c r="J504" s="66" t="n"/>
      <c r="K504" s="70" t="n"/>
      <c r="L504" s="36">
        <f>IF(R504="","",IF(INDEX('Recurring Schedule'!$J$6:$J$45,R504)="","",INDEX('Recurring Schedule'!$J$6:$J$45,R504)))</f>
        <v/>
      </c>
      <c r="M504" s="36">
        <f>IF(R504="","",IF(INDEX('Recurring Schedule'!$K$6:$K$45,R504)="","",INDEX('Recurring Schedule'!$K$6:$K$45,R504)))</f>
        <v/>
      </c>
      <c r="N504" s="36">
        <f>IF(R504="","",IF(INDEX('Recurring Schedule'!$L$6:$L$45,R504)="","",INDEX('Recurring Schedule'!$L$6:$L$45,R504)))</f>
        <v/>
      </c>
      <c r="O504" s="36">
        <f>IF(C504="","",IF(AND(OR(L504="1-Urgent",L504="2-High"),M504="✓"),"DO FIRST",IF(M504="✓","SCHEDULE",IF(OR(L504="1-Urgent",L504="2-High"),"DELEGATE","DELETE"))))</f>
        <v/>
      </c>
      <c r="P504" s="65" t="n"/>
      <c r="Q504">
        <f>IF(499&gt;Calc!$AQ$368,"",MATCH(498,Calc!$AQ$2:$AQ$367,1))</f>
        <v/>
      </c>
      <c r="R504">
        <f>IF(Q504="","",SMALL(INDEX(Calc!$B$2:$AO$367,Q504,0),499-INDEX(Calc!$AQ$2:$AQ$367,Q504)))</f>
        <v/>
      </c>
    </row>
    <row r="505">
      <c r="B505" s="71">
        <f>IF(R505="","",500)</f>
        <v/>
      </c>
      <c r="C505" s="75">
        <f>IF(R505="","",IF(INDEX('Recurring Schedule'!$C$6:$C$45,R505)="","",INDEX('Recurring Schedule'!$C$6:$C$45,R505)))</f>
        <v/>
      </c>
      <c r="D505" s="73">
        <f>IF(R505="","",IF(INDEX('Recurring Schedule'!$D$6:$D$45,R505)="","",INDEX('Recurring Schedule'!$D$6:$D$45,R505)))</f>
        <v/>
      </c>
      <c r="E505" s="76">
        <f>IF(Q505="","",INDEX(Calc!$A$2:$A$367,Q505))</f>
        <v/>
      </c>
      <c r="F505" s="72">
        <f>IF(OR(C505="",E505=""),"",E505-Setup!$D$7)</f>
        <v/>
      </c>
      <c r="G505" s="77">
        <f>IF(R505="","",IF(INDEX('Recurring Schedule'!$H$6:$H$45,R505)="","",INDEX('Recurring Schedule'!$H$6:$H$45,R505)))</f>
        <v/>
      </c>
      <c r="H505" s="77">
        <f>IF(R505="","",IF(INDEX('Recurring Schedule'!$I$6:$I$45,R505)="","",INDEX('Recurring Schedule'!$I$6:$I$45,R505)))</f>
        <v/>
      </c>
      <c r="I505" s="73">
        <f>IF(OR(G505="",H505=""),"",TRIM(IF(HOUR(H505-G505)&gt;0,HOUR(H505-G505)&amp;" hr ","")&amp;IF(MINUTE(H505-G505)&gt;0,MINUTE(H505-G505)&amp;" min","")))</f>
        <v/>
      </c>
      <c r="J505" s="66" t="n"/>
      <c r="K505" s="70" t="n"/>
      <c r="L505" s="73">
        <f>IF(R505="","",IF(INDEX('Recurring Schedule'!$J$6:$J$45,R505)="","",INDEX('Recurring Schedule'!$J$6:$J$45,R505)))</f>
        <v/>
      </c>
      <c r="M505" s="73">
        <f>IF(R505="","",IF(INDEX('Recurring Schedule'!$K$6:$K$45,R505)="","",INDEX('Recurring Schedule'!$K$6:$K$45,R505)))</f>
        <v/>
      </c>
      <c r="N505" s="73">
        <f>IF(R505="","",IF(INDEX('Recurring Schedule'!$L$6:$L$45,R505)="","",INDEX('Recurring Schedule'!$L$6:$L$45,R505)))</f>
        <v/>
      </c>
      <c r="O505" s="73">
        <f>IF(C505="","",IF(AND(OR(L505="1-Urgent",L505="2-High"),M505="✓"),"DO FIRST",IF(M505="✓","SCHEDULE",IF(OR(L505="1-Urgent",L505="2-High"),"DELEGATE","DELETE"))))</f>
        <v/>
      </c>
      <c r="P505" s="65" t="n"/>
      <c r="Q505">
        <f>IF(500&gt;Calc!$AQ$368,"",MATCH(499,Calc!$AQ$2:$AQ$367,1))</f>
        <v/>
      </c>
      <c r="R505">
        <f>IF(Q505="","",SMALL(INDEX(Calc!$B$2:$AO$367,Q505,0),500-INDEX(Calc!$AQ$2:$AQ$367,Q505)))</f>
        <v/>
      </c>
    </row>
    <row r="506">
      <c r="B506" s="64">
        <f>IF(R506="","",501)</f>
        <v/>
      </c>
      <c r="C506" s="37">
        <f>IF(R506="","",IF(INDEX('Recurring Schedule'!$C$6:$C$45,R506)="","",INDEX('Recurring Schedule'!$C$6:$C$45,R506)))</f>
        <v/>
      </c>
      <c r="D506" s="36">
        <f>IF(R506="","",IF(INDEX('Recurring Schedule'!$D$6:$D$45,R506)="","",INDEX('Recurring Schedule'!$D$6:$D$45,R506)))</f>
        <v/>
      </c>
      <c r="E506" s="38">
        <f>IF(Q506="","",INDEX(Calc!$A$2:$A$367,Q506))</f>
        <v/>
      </c>
      <c r="F506" s="68">
        <f>IF(OR(C506="",E506=""),"",E506-Setup!$D$7)</f>
        <v/>
      </c>
      <c r="G506" s="74">
        <f>IF(R506="","",IF(INDEX('Recurring Schedule'!$H$6:$H$45,R506)="","",INDEX('Recurring Schedule'!$H$6:$H$45,R506)))</f>
        <v/>
      </c>
      <c r="H506" s="74">
        <f>IF(R506="","",IF(INDEX('Recurring Schedule'!$I$6:$I$45,R506)="","",INDEX('Recurring Schedule'!$I$6:$I$45,R506)))</f>
        <v/>
      </c>
      <c r="I506" s="36">
        <f>IF(OR(G506="",H506=""),"",TRIM(IF(HOUR(H506-G506)&gt;0,HOUR(H506-G506)&amp;" hr ","")&amp;IF(MINUTE(H506-G506)&gt;0,MINUTE(H506-G506)&amp;" min","")))</f>
        <v/>
      </c>
      <c r="J506" s="66" t="n"/>
      <c r="K506" s="70" t="n"/>
      <c r="L506" s="36">
        <f>IF(R506="","",IF(INDEX('Recurring Schedule'!$J$6:$J$45,R506)="","",INDEX('Recurring Schedule'!$J$6:$J$45,R506)))</f>
        <v/>
      </c>
      <c r="M506" s="36">
        <f>IF(R506="","",IF(INDEX('Recurring Schedule'!$K$6:$K$45,R506)="","",INDEX('Recurring Schedule'!$K$6:$K$45,R506)))</f>
        <v/>
      </c>
      <c r="N506" s="36">
        <f>IF(R506="","",IF(INDEX('Recurring Schedule'!$L$6:$L$45,R506)="","",INDEX('Recurring Schedule'!$L$6:$L$45,R506)))</f>
        <v/>
      </c>
      <c r="O506" s="36">
        <f>IF(C506="","",IF(AND(OR(L506="1-Urgent",L506="2-High"),M506="✓"),"DO FIRST",IF(M506="✓","SCHEDULE",IF(OR(L506="1-Urgent",L506="2-High"),"DELEGATE","DELETE"))))</f>
        <v/>
      </c>
      <c r="P506" s="65" t="n"/>
      <c r="Q506">
        <f>IF(501&gt;Calc!$AQ$368,"",MATCH(500,Calc!$AQ$2:$AQ$367,1))</f>
        <v/>
      </c>
      <c r="R506">
        <f>IF(Q506="","",SMALL(INDEX(Calc!$B$2:$AO$367,Q506,0),501-INDEX(Calc!$AQ$2:$AQ$367,Q506)))</f>
        <v/>
      </c>
    </row>
    <row r="507">
      <c r="B507" s="71">
        <f>IF(R507="","",502)</f>
        <v/>
      </c>
      <c r="C507" s="75">
        <f>IF(R507="","",IF(INDEX('Recurring Schedule'!$C$6:$C$45,R507)="","",INDEX('Recurring Schedule'!$C$6:$C$45,R507)))</f>
        <v/>
      </c>
      <c r="D507" s="73">
        <f>IF(R507="","",IF(INDEX('Recurring Schedule'!$D$6:$D$45,R507)="","",INDEX('Recurring Schedule'!$D$6:$D$45,R507)))</f>
        <v/>
      </c>
      <c r="E507" s="76">
        <f>IF(Q507="","",INDEX(Calc!$A$2:$A$367,Q507))</f>
        <v/>
      </c>
      <c r="F507" s="72">
        <f>IF(OR(C507="",E507=""),"",E507-Setup!$D$7)</f>
        <v/>
      </c>
      <c r="G507" s="77">
        <f>IF(R507="","",IF(INDEX('Recurring Schedule'!$H$6:$H$45,R507)="","",INDEX('Recurring Schedule'!$H$6:$H$45,R507)))</f>
        <v/>
      </c>
      <c r="H507" s="77">
        <f>IF(R507="","",IF(INDEX('Recurring Schedule'!$I$6:$I$45,R507)="","",INDEX('Recurring Schedule'!$I$6:$I$45,R507)))</f>
        <v/>
      </c>
      <c r="I507" s="73">
        <f>IF(OR(G507="",H507=""),"",TRIM(IF(HOUR(H507-G507)&gt;0,HOUR(H507-G507)&amp;" hr ","")&amp;IF(MINUTE(H507-G507)&gt;0,MINUTE(H507-G507)&amp;" min","")))</f>
        <v/>
      </c>
      <c r="J507" s="66" t="n"/>
      <c r="K507" s="70" t="n"/>
      <c r="L507" s="73">
        <f>IF(R507="","",IF(INDEX('Recurring Schedule'!$J$6:$J$45,R507)="","",INDEX('Recurring Schedule'!$J$6:$J$45,R507)))</f>
        <v/>
      </c>
      <c r="M507" s="73">
        <f>IF(R507="","",IF(INDEX('Recurring Schedule'!$K$6:$K$45,R507)="","",INDEX('Recurring Schedule'!$K$6:$K$45,R507)))</f>
        <v/>
      </c>
      <c r="N507" s="73">
        <f>IF(R507="","",IF(INDEX('Recurring Schedule'!$L$6:$L$45,R507)="","",INDEX('Recurring Schedule'!$L$6:$L$45,R507)))</f>
        <v/>
      </c>
      <c r="O507" s="73">
        <f>IF(C507="","",IF(AND(OR(L507="1-Urgent",L507="2-High"),M507="✓"),"DO FIRST",IF(M507="✓","SCHEDULE",IF(OR(L507="1-Urgent",L507="2-High"),"DELEGATE","DELETE"))))</f>
        <v/>
      </c>
      <c r="P507" s="65" t="n"/>
      <c r="Q507">
        <f>IF(502&gt;Calc!$AQ$368,"",MATCH(501,Calc!$AQ$2:$AQ$367,1))</f>
        <v/>
      </c>
      <c r="R507">
        <f>IF(Q507="","",SMALL(INDEX(Calc!$B$2:$AO$367,Q507,0),502-INDEX(Calc!$AQ$2:$AQ$367,Q507)))</f>
        <v/>
      </c>
    </row>
    <row r="508">
      <c r="B508" s="64">
        <f>IF(R508="","",503)</f>
        <v/>
      </c>
      <c r="C508" s="37">
        <f>IF(R508="","",IF(INDEX('Recurring Schedule'!$C$6:$C$45,R508)="","",INDEX('Recurring Schedule'!$C$6:$C$45,R508)))</f>
        <v/>
      </c>
      <c r="D508" s="36">
        <f>IF(R508="","",IF(INDEX('Recurring Schedule'!$D$6:$D$45,R508)="","",INDEX('Recurring Schedule'!$D$6:$D$45,R508)))</f>
        <v/>
      </c>
      <c r="E508" s="38">
        <f>IF(Q508="","",INDEX(Calc!$A$2:$A$367,Q508))</f>
        <v/>
      </c>
      <c r="F508" s="68">
        <f>IF(OR(C508="",E508=""),"",E508-Setup!$D$7)</f>
        <v/>
      </c>
      <c r="G508" s="74">
        <f>IF(R508="","",IF(INDEX('Recurring Schedule'!$H$6:$H$45,R508)="","",INDEX('Recurring Schedule'!$H$6:$H$45,R508)))</f>
        <v/>
      </c>
      <c r="H508" s="74">
        <f>IF(R508="","",IF(INDEX('Recurring Schedule'!$I$6:$I$45,R508)="","",INDEX('Recurring Schedule'!$I$6:$I$45,R508)))</f>
        <v/>
      </c>
      <c r="I508" s="36">
        <f>IF(OR(G508="",H508=""),"",TRIM(IF(HOUR(H508-G508)&gt;0,HOUR(H508-G508)&amp;" hr ","")&amp;IF(MINUTE(H508-G508)&gt;0,MINUTE(H508-G508)&amp;" min","")))</f>
        <v/>
      </c>
      <c r="J508" s="66" t="n"/>
      <c r="K508" s="70" t="n"/>
      <c r="L508" s="36">
        <f>IF(R508="","",IF(INDEX('Recurring Schedule'!$J$6:$J$45,R508)="","",INDEX('Recurring Schedule'!$J$6:$J$45,R508)))</f>
        <v/>
      </c>
      <c r="M508" s="36">
        <f>IF(R508="","",IF(INDEX('Recurring Schedule'!$K$6:$K$45,R508)="","",INDEX('Recurring Schedule'!$K$6:$K$45,R508)))</f>
        <v/>
      </c>
      <c r="N508" s="36">
        <f>IF(R508="","",IF(INDEX('Recurring Schedule'!$L$6:$L$45,R508)="","",INDEX('Recurring Schedule'!$L$6:$L$45,R508)))</f>
        <v/>
      </c>
      <c r="O508" s="36">
        <f>IF(C508="","",IF(AND(OR(L508="1-Urgent",L508="2-High"),M508="✓"),"DO FIRST",IF(M508="✓","SCHEDULE",IF(OR(L508="1-Urgent",L508="2-High"),"DELEGATE","DELETE"))))</f>
        <v/>
      </c>
      <c r="P508" s="65" t="n"/>
      <c r="Q508">
        <f>IF(503&gt;Calc!$AQ$368,"",MATCH(502,Calc!$AQ$2:$AQ$367,1))</f>
        <v/>
      </c>
      <c r="R508">
        <f>IF(Q508="","",SMALL(INDEX(Calc!$B$2:$AO$367,Q508,0),503-INDEX(Calc!$AQ$2:$AQ$367,Q508)))</f>
        <v/>
      </c>
    </row>
    <row r="509">
      <c r="B509" s="71">
        <f>IF(R509="","",504)</f>
        <v/>
      </c>
      <c r="C509" s="75">
        <f>IF(R509="","",IF(INDEX('Recurring Schedule'!$C$6:$C$45,R509)="","",INDEX('Recurring Schedule'!$C$6:$C$45,R509)))</f>
        <v/>
      </c>
      <c r="D509" s="73">
        <f>IF(R509="","",IF(INDEX('Recurring Schedule'!$D$6:$D$45,R509)="","",INDEX('Recurring Schedule'!$D$6:$D$45,R509)))</f>
        <v/>
      </c>
      <c r="E509" s="76">
        <f>IF(Q509="","",INDEX(Calc!$A$2:$A$367,Q509))</f>
        <v/>
      </c>
      <c r="F509" s="72">
        <f>IF(OR(C509="",E509=""),"",E509-Setup!$D$7)</f>
        <v/>
      </c>
      <c r="G509" s="77">
        <f>IF(R509="","",IF(INDEX('Recurring Schedule'!$H$6:$H$45,R509)="","",INDEX('Recurring Schedule'!$H$6:$H$45,R509)))</f>
        <v/>
      </c>
      <c r="H509" s="77">
        <f>IF(R509="","",IF(INDEX('Recurring Schedule'!$I$6:$I$45,R509)="","",INDEX('Recurring Schedule'!$I$6:$I$45,R509)))</f>
        <v/>
      </c>
      <c r="I509" s="73">
        <f>IF(OR(G509="",H509=""),"",TRIM(IF(HOUR(H509-G509)&gt;0,HOUR(H509-G509)&amp;" hr ","")&amp;IF(MINUTE(H509-G509)&gt;0,MINUTE(H509-G509)&amp;" min","")))</f>
        <v/>
      </c>
      <c r="J509" s="66" t="n"/>
      <c r="K509" s="70" t="n"/>
      <c r="L509" s="73">
        <f>IF(R509="","",IF(INDEX('Recurring Schedule'!$J$6:$J$45,R509)="","",INDEX('Recurring Schedule'!$J$6:$J$45,R509)))</f>
        <v/>
      </c>
      <c r="M509" s="73">
        <f>IF(R509="","",IF(INDEX('Recurring Schedule'!$K$6:$K$45,R509)="","",INDEX('Recurring Schedule'!$K$6:$K$45,R509)))</f>
        <v/>
      </c>
      <c r="N509" s="73">
        <f>IF(R509="","",IF(INDEX('Recurring Schedule'!$L$6:$L$45,R509)="","",INDEX('Recurring Schedule'!$L$6:$L$45,R509)))</f>
        <v/>
      </c>
      <c r="O509" s="73">
        <f>IF(C509="","",IF(AND(OR(L509="1-Urgent",L509="2-High"),M509="✓"),"DO FIRST",IF(M509="✓","SCHEDULE",IF(OR(L509="1-Urgent",L509="2-High"),"DELEGATE","DELETE"))))</f>
        <v/>
      </c>
      <c r="P509" s="65" t="n"/>
      <c r="Q509">
        <f>IF(504&gt;Calc!$AQ$368,"",MATCH(503,Calc!$AQ$2:$AQ$367,1))</f>
        <v/>
      </c>
      <c r="R509">
        <f>IF(Q509="","",SMALL(INDEX(Calc!$B$2:$AO$367,Q509,0),504-INDEX(Calc!$AQ$2:$AQ$367,Q509)))</f>
        <v/>
      </c>
    </row>
    <row r="510">
      <c r="B510" s="64">
        <f>IF(R510="","",505)</f>
        <v/>
      </c>
      <c r="C510" s="37">
        <f>IF(R510="","",IF(INDEX('Recurring Schedule'!$C$6:$C$45,R510)="","",INDEX('Recurring Schedule'!$C$6:$C$45,R510)))</f>
        <v/>
      </c>
      <c r="D510" s="36">
        <f>IF(R510="","",IF(INDEX('Recurring Schedule'!$D$6:$D$45,R510)="","",INDEX('Recurring Schedule'!$D$6:$D$45,R510)))</f>
        <v/>
      </c>
      <c r="E510" s="38">
        <f>IF(Q510="","",INDEX(Calc!$A$2:$A$367,Q510))</f>
        <v/>
      </c>
      <c r="F510" s="68">
        <f>IF(OR(C510="",E510=""),"",E510-Setup!$D$7)</f>
        <v/>
      </c>
      <c r="G510" s="74">
        <f>IF(R510="","",IF(INDEX('Recurring Schedule'!$H$6:$H$45,R510)="","",INDEX('Recurring Schedule'!$H$6:$H$45,R510)))</f>
        <v/>
      </c>
      <c r="H510" s="74">
        <f>IF(R510="","",IF(INDEX('Recurring Schedule'!$I$6:$I$45,R510)="","",INDEX('Recurring Schedule'!$I$6:$I$45,R510)))</f>
        <v/>
      </c>
      <c r="I510" s="36">
        <f>IF(OR(G510="",H510=""),"",TRIM(IF(HOUR(H510-G510)&gt;0,HOUR(H510-G510)&amp;" hr ","")&amp;IF(MINUTE(H510-G510)&gt;0,MINUTE(H510-G510)&amp;" min","")))</f>
        <v/>
      </c>
      <c r="J510" s="66" t="n"/>
      <c r="K510" s="70" t="n"/>
      <c r="L510" s="36">
        <f>IF(R510="","",IF(INDEX('Recurring Schedule'!$J$6:$J$45,R510)="","",INDEX('Recurring Schedule'!$J$6:$J$45,R510)))</f>
        <v/>
      </c>
      <c r="M510" s="36">
        <f>IF(R510="","",IF(INDEX('Recurring Schedule'!$K$6:$K$45,R510)="","",INDEX('Recurring Schedule'!$K$6:$K$45,R510)))</f>
        <v/>
      </c>
      <c r="N510" s="36">
        <f>IF(R510="","",IF(INDEX('Recurring Schedule'!$L$6:$L$45,R510)="","",INDEX('Recurring Schedule'!$L$6:$L$45,R510)))</f>
        <v/>
      </c>
      <c r="O510" s="36">
        <f>IF(C510="","",IF(AND(OR(L510="1-Urgent",L510="2-High"),M510="✓"),"DO FIRST",IF(M510="✓","SCHEDULE",IF(OR(L510="1-Urgent",L510="2-High"),"DELEGATE","DELETE"))))</f>
        <v/>
      </c>
      <c r="P510" s="65" t="n"/>
      <c r="Q510">
        <f>IF(505&gt;Calc!$AQ$368,"",MATCH(504,Calc!$AQ$2:$AQ$367,1))</f>
        <v/>
      </c>
      <c r="R510">
        <f>IF(Q510="","",SMALL(INDEX(Calc!$B$2:$AO$367,Q510,0),505-INDEX(Calc!$AQ$2:$AQ$367,Q510)))</f>
        <v/>
      </c>
    </row>
    <row r="511">
      <c r="B511" s="71">
        <f>IF(R511="","",506)</f>
        <v/>
      </c>
      <c r="C511" s="75">
        <f>IF(R511="","",IF(INDEX('Recurring Schedule'!$C$6:$C$45,R511)="","",INDEX('Recurring Schedule'!$C$6:$C$45,R511)))</f>
        <v/>
      </c>
      <c r="D511" s="73">
        <f>IF(R511="","",IF(INDEX('Recurring Schedule'!$D$6:$D$45,R511)="","",INDEX('Recurring Schedule'!$D$6:$D$45,R511)))</f>
        <v/>
      </c>
      <c r="E511" s="76">
        <f>IF(Q511="","",INDEX(Calc!$A$2:$A$367,Q511))</f>
        <v/>
      </c>
      <c r="F511" s="72">
        <f>IF(OR(C511="",E511=""),"",E511-Setup!$D$7)</f>
        <v/>
      </c>
      <c r="G511" s="77">
        <f>IF(R511="","",IF(INDEX('Recurring Schedule'!$H$6:$H$45,R511)="","",INDEX('Recurring Schedule'!$H$6:$H$45,R511)))</f>
        <v/>
      </c>
      <c r="H511" s="77">
        <f>IF(R511="","",IF(INDEX('Recurring Schedule'!$I$6:$I$45,R511)="","",INDEX('Recurring Schedule'!$I$6:$I$45,R511)))</f>
        <v/>
      </c>
      <c r="I511" s="73">
        <f>IF(OR(G511="",H511=""),"",TRIM(IF(HOUR(H511-G511)&gt;0,HOUR(H511-G511)&amp;" hr ","")&amp;IF(MINUTE(H511-G511)&gt;0,MINUTE(H511-G511)&amp;" min","")))</f>
        <v/>
      </c>
      <c r="J511" s="66" t="n"/>
      <c r="K511" s="70" t="n"/>
      <c r="L511" s="73">
        <f>IF(R511="","",IF(INDEX('Recurring Schedule'!$J$6:$J$45,R511)="","",INDEX('Recurring Schedule'!$J$6:$J$45,R511)))</f>
        <v/>
      </c>
      <c r="M511" s="73">
        <f>IF(R511="","",IF(INDEX('Recurring Schedule'!$K$6:$K$45,R511)="","",INDEX('Recurring Schedule'!$K$6:$K$45,R511)))</f>
        <v/>
      </c>
      <c r="N511" s="73">
        <f>IF(R511="","",IF(INDEX('Recurring Schedule'!$L$6:$L$45,R511)="","",INDEX('Recurring Schedule'!$L$6:$L$45,R511)))</f>
        <v/>
      </c>
      <c r="O511" s="73">
        <f>IF(C511="","",IF(AND(OR(L511="1-Urgent",L511="2-High"),M511="✓"),"DO FIRST",IF(M511="✓","SCHEDULE",IF(OR(L511="1-Urgent",L511="2-High"),"DELEGATE","DELETE"))))</f>
        <v/>
      </c>
      <c r="P511" s="65" t="n"/>
      <c r="Q511">
        <f>IF(506&gt;Calc!$AQ$368,"",MATCH(505,Calc!$AQ$2:$AQ$367,1))</f>
        <v/>
      </c>
      <c r="R511">
        <f>IF(Q511="","",SMALL(INDEX(Calc!$B$2:$AO$367,Q511,0),506-INDEX(Calc!$AQ$2:$AQ$367,Q511)))</f>
        <v/>
      </c>
    </row>
    <row r="512">
      <c r="B512" s="64">
        <f>IF(R512="","",507)</f>
        <v/>
      </c>
      <c r="C512" s="37">
        <f>IF(R512="","",IF(INDEX('Recurring Schedule'!$C$6:$C$45,R512)="","",INDEX('Recurring Schedule'!$C$6:$C$45,R512)))</f>
        <v/>
      </c>
      <c r="D512" s="36">
        <f>IF(R512="","",IF(INDEX('Recurring Schedule'!$D$6:$D$45,R512)="","",INDEX('Recurring Schedule'!$D$6:$D$45,R512)))</f>
        <v/>
      </c>
      <c r="E512" s="38">
        <f>IF(Q512="","",INDEX(Calc!$A$2:$A$367,Q512))</f>
        <v/>
      </c>
      <c r="F512" s="68">
        <f>IF(OR(C512="",E512=""),"",E512-Setup!$D$7)</f>
        <v/>
      </c>
      <c r="G512" s="74">
        <f>IF(R512="","",IF(INDEX('Recurring Schedule'!$H$6:$H$45,R512)="","",INDEX('Recurring Schedule'!$H$6:$H$45,R512)))</f>
        <v/>
      </c>
      <c r="H512" s="74">
        <f>IF(R512="","",IF(INDEX('Recurring Schedule'!$I$6:$I$45,R512)="","",INDEX('Recurring Schedule'!$I$6:$I$45,R512)))</f>
        <v/>
      </c>
      <c r="I512" s="36">
        <f>IF(OR(G512="",H512=""),"",TRIM(IF(HOUR(H512-G512)&gt;0,HOUR(H512-G512)&amp;" hr ","")&amp;IF(MINUTE(H512-G512)&gt;0,MINUTE(H512-G512)&amp;" min","")))</f>
        <v/>
      </c>
      <c r="J512" s="66" t="n"/>
      <c r="K512" s="70" t="n"/>
      <c r="L512" s="36">
        <f>IF(R512="","",IF(INDEX('Recurring Schedule'!$J$6:$J$45,R512)="","",INDEX('Recurring Schedule'!$J$6:$J$45,R512)))</f>
        <v/>
      </c>
      <c r="M512" s="36">
        <f>IF(R512="","",IF(INDEX('Recurring Schedule'!$K$6:$K$45,R512)="","",INDEX('Recurring Schedule'!$K$6:$K$45,R512)))</f>
        <v/>
      </c>
      <c r="N512" s="36">
        <f>IF(R512="","",IF(INDEX('Recurring Schedule'!$L$6:$L$45,R512)="","",INDEX('Recurring Schedule'!$L$6:$L$45,R512)))</f>
        <v/>
      </c>
      <c r="O512" s="36">
        <f>IF(C512="","",IF(AND(OR(L512="1-Urgent",L512="2-High"),M512="✓"),"DO FIRST",IF(M512="✓","SCHEDULE",IF(OR(L512="1-Urgent",L512="2-High"),"DELEGATE","DELETE"))))</f>
        <v/>
      </c>
      <c r="P512" s="65" t="n"/>
      <c r="Q512">
        <f>IF(507&gt;Calc!$AQ$368,"",MATCH(506,Calc!$AQ$2:$AQ$367,1))</f>
        <v/>
      </c>
      <c r="R512">
        <f>IF(Q512="","",SMALL(INDEX(Calc!$B$2:$AO$367,Q512,0),507-INDEX(Calc!$AQ$2:$AQ$367,Q512)))</f>
        <v/>
      </c>
    </row>
    <row r="513">
      <c r="B513" s="71">
        <f>IF(R513="","",508)</f>
        <v/>
      </c>
      <c r="C513" s="75">
        <f>IF(R513="","",IF(INDEX('Recurring Schedule'!$C$6:$C$45,R513)="","",INDEX('Recurring Schedule'!$C$6:$C$45,R513)))</f>
        <v/>
      </c>
      <c r="D513" s="73">
        <f>IF(R513="","",IF(INDEX('Recurring Schedule'!$D$6:$D$45,R513)="","",INDEX('Recurring Schedule'!$D$6:$D$45,R513)))</f>
        <v/>
      </c>
      <c r="E513" s="76">
        <f>IF(Q513="","",INDEX(Calc!$A$2:$A$367,Q513))</f>
        <v/>
      </c>
      <c r="F513" s="72">
        <f>IF(OR(C513="",E513=""),"",E513-Setup!$D$7)</f>
        <v/>
      </c>
      <c r="G513" s="77">
        <f>IF(R513="","",IF(INDEX('Recurring Schedule'!$H$6:$H$45,R513)="","",INDEX('Recurring Schedule'!$H$6:$H$45,R513)))</f>
        <v/>
      </c>
      <c r="H513" s="77">
        <f>IF(R513="","",IF(INDEX('Recurring Schedule'!$I$6:$I$45,R513)="","",INDEX('Recurring Schedule'!$I$6:$I$45,R513)))</f>
        <v/>
      </c>
      <c r="I513" s="73">
        <f>IF(OR(G513="",H513=""),"",TRIM(IF(HOUR(H513-G513)&gt;0,HOUR(H513-G513)&amp;" hr ","")&amp;IF(MINUTE(H513-G513)&gt;0,MINUTE(H513-G513)&amp;" min","")))</f>
        <v/>
      </c>
      <c r="J513" s="66" t="n"/>
      <c r="K513" s="70" t="n"/>
      <c r="L513" s="73">
        <f>IF(R513="","",IF(INDEX('Recurring Schedule'!$J$6:$J$45,R513)="","",INDEX('Recurring Schedule'!$J$6:$J$45,R513)))</f>
        <v/>
      </c>
      <c r="M513" s="73">
        <f>IF(R513="","",IF(INDEX('Recurring Schedule'!$K$6:$K$45,R513)="","",INDEX('Recurring Schedule'!$K$6:$K$45,R513)))</f>
        <v/>
      </c>
      <c r="N513" s="73">
        <f>IF(R513="","",IF(INDEX('Recurring Schedule'!$L$6:$L$45,R513)="","",INDEX('Recurring Schedule'!$L$6:$L$45,R513)))</f>
        <v/>
      </c>
      <c r="O513" s="73">
        <f>IF(C513="","",IF(AND(OR(L513="1-Urgent",L513="2-High"),M513="✓"),"DO FIRST",IF(M513="✓","SCHEDULE",IF(OR(L513="1-Urgent",L513="2-High"),"DELEGATE","DELETE"))))</f>
        <v/>
      </c>
      <c r="P513" s="65" t="n"/>
      <c r="Q513">
        <f>IF(508&gt;Calc!$AQ$368,"",MATCH(507,Calc!$AQ$2:$AQ$367,1))</f>
        <v/>
      </c>
      <c r="R513">
        <f>IF(Q513="","",SMALL(INDEX(Calc!$B$2:$AO$367,Q513,0),508-INDEX(Calc!$AQ$2:$AQ$367,Q513)))</f>
        <v/>
      </c>
    </row>
    <row r="514">
      <c r="B514" s="64">
        <f>IF(R514="","",509)</f>
        <v/>
      </c>
      <c r="C514" s="37">
        <f>IF(R514="","",IF(INDEX('Recurring Schedule'!$C$6:$C$45,R514)="","",INDEX('Recurring Schedule'!$C$6:$C$45,R514)))</f>
        <v/>
      </c>
      <c r="D514" s="36">
        <f>IF(R514="","",IF(INDEX('Recurring Schedule'!$D$6:$D$45,R514)="","",INDEX('Recurring Schedule'!$D$6:$D$45,R514)))</f>
        <v/>
      </c>
      <c r="E514" s="38">
        <f>IF(Q514="","",INDEX(Calc!$A$2:$A$367,Q514))</f>
        <v/>
      </c>
      <c r="F514" s="68">
        <f>IF(OR(C514="",E514=""),"",E514-Setup!$D$7)</f>
        <v/>
      </c>
      <c r="G514" s="74">
        <f>IF(R514="","",IF(INDEX('Recurring Schedule'!$H$6:$H$45,R514)="","",INDEX('Recurring Schedule'!$H$6:$H$45,R514)))</f>
        <v/>
      </c>
      <c r="H514" s="74">
        <f>IF(R514="","",IF(INDEX('Recurring Schedule'!$I$6:$I$45,R514)="","",INDEX('Recurring Schedule'!$I$6:$I$45,R514)))</f>
        <v/>
      </c>
      <c r="I514" s="36">
        <f>IF(OR(G514="",H514=""),"",TRIM(IF(HOUR(H514-G514)&gt;0,HOUR(H514-G514)&amp;" hr ","")&amp;IF(MINUTE(H514-G514)&gt;0,MINUTE(H514-G514)&amp;" min","")))</f>
        <v/>
      </c>
      <c r="J514" s="66" t="n"/>
      <c r="K514" s="70" t="n"/>
      <c r="L514" s="36">
        <f>IF(R514="","",IF(INDEX('Recurring Schedule'!$J$6:$J$45,R514)="","",INDEX('Recurring Schedule'!$J$6:$J$45,R514)))</f>
        <v/>
      </c>
      <c r="M514" s="36">
        <f>IF(R514="","",IF(INDEX('Recurring Schedule'!$K$6:$K$45,R514)="","",INDEX('Recurring Schedule'!$K$6:$K$45,R514)))</f>
        <v/>
      </c>
      <c r="N514" s="36">
        <f>IF(R514="","",IF(INDEX('Recurring Schedule'!$L$6:$L$45,R514)="","",INDEX('Recurring Schedule'!$L$6:$L$45,R514)))</f>
        <v/>
      </c>
      <c r="O514" s="36">
        <f>IF(C514="","",IF(AND(OR(L514="1-Urgent",L514="2-High"),M514="✓"),"DO FIRST",IF(M514="✓","SCHEDULE",IF(OR(L514="1-Urgent",L514="2-High"),"DELEGATE","DELETE"))))</f>
        <v/>
      </c>
      <c r="P514" s="65" t="n"/>
      <c r="Q514">
        <f>IF(509&gt;Calc!$AQ$368,"",MATCH(508,Calc!$AQ$2:$AQ$367,1))</f>
        <v/>
      </c>
      <c r="R514">
        <f>IF(Q514="","",SMALL(INDEX(Calc!$B$2:$AO$367,Q514,0),509-INDEX(Calc!$AQ$2:$AQ$367,Q514)))</f>
        <v/>
      </c>
    </row>
    <row r="515">
      <c r="B515" s="71">
        <f>IF(R515="","",510)</f>
        <v/>
      </c>
      <c r="C515" s="75">
        <f>IF(R515="","",IF(INDEX('Recurring Schedule'!$C$6:$C$45,R515)="","",INDEX('Recurring Schedule'!$C$6:$C$45,R515)))</f>
        <v/>
      </c>
      <c r="D515" s="73">
        <f>IF(R515="","",IF(INDEX('Recurring Schedule'!$D$6:$D$45,R515)="","",INDEX('Recurring Schedule'!$D$6:$D$45,R515)))</f>
        <v/>
      </c>
      <c r="E515" s="76">
        <f>IF(Q515="","",INDEX(Calc!$A$2:$A$367,Q515))</f>
        <v/>
      </c>
      <c r="F515" s="72">
        <f>IF(OR(C515="",E515=""),"",E515-Setup!$D$7)</f>
        <v/>
      </c>
      <c r="G515" s="77">
        <f>IF(R515="","",IF(INDEX('Recurring Schedule'!$H$6:$H$45,R515)="","",INDEX('Recurring Schedule'!$H$6:$H$45,R515)))</f>
        <v/>
      </c>
      <c r="H515" s="77">
        <f>IF(R515="","",IF(INDEX('Recurring Schedule'!$I$6:$I$45,R515)="","",INDEX('Recurring Schedule'!$I$6:$I$45,R515)))</f>
        <v/>
      </c>
      <c r="I515" s="73">
        <f>IF(OR(G515="",H515=""),"",TRIM(IF(HOUR(H515-G515)&gt;0,HOUR(H515-G515)&amp;" hr ","")&amp;IF(MINUTE(H515-G515)&gt;0,MINUTE(H515-G515)&amp;" min","")))</f>
        <v/>
      </c>
      <c r="J515" s="66" t="n"/>
      <c r="K515" s="70" t="n"/>
      <c r="L515" s="73">
        <f>IF(R515="","",IF(INDEX('Recurring Schedule'!$J$6:$J$45,R515)="","",INDEX('Recurring Schedule'!$J$6:$J$45,R515)))</f>
        <v/>
      </c>
      <c r="M515" s="73">
        <f>IF(R515="","",IF(INDEX('Recurring Schedule'!$K$6:$K$45,R515)="","",INDEX('Recurring Schedule'!$K$6:$K$45,R515)))</f>
        <v/>
      </c>
      <c r="N515" s="73">
        <f>IF(R515="","",IF(INDEX('Recurring Schedule'!$L$6:$L$45,R515)="","",INDEX('Recurring Schedule'!$L$6:$L$45,R515)))</f>
        <v/>
      </c>
      <c r="O515" s="73">
        <f>IF(C515="","",IF(AND(OR(L515="1-Urgent",L515="2-High"),M515="✓"),"DO FIRST",IF(M515="✓","SCHEDULE",IF(OR(L515="1-Urgent",L515="2-High"),"DELEGATE","DELETE"))))</f>
        <v/>
      </c>
      <c r="P515" s="65" t="n"/>
      <c r="Q515">
        <f>IF(510&gt;Calc!$AQ$368,"",MATCH(509,Calc!$AQ$2:$AQ$367,1))</f>
        <v/>
      </c>
      <c r="R515">
        <f>IF(Q515="","",SMALL(INDEX(Calc!$B$2:$AO$367,Q515,0),510-INDEX(Calc!$AQ$2:$AQ$367,Q515)))</f>
        <v/>
      </c>
    </row>
    <row r="516">
      <c r="B516" s="64">
        <f>IF(R516="","",511)</f>
        <v/>
      </c>
      <c r="C516" s="37">
        <f>IF(R516="","",IF(INDEX('Recurring Schedule'!$C$6:$C$45,R516)="","",INDEX('Recurring Schedule'!$C$6:$C$45,R516)))</f>
        <v/>
      </c>
      <c r="D516" s="36">
        <f>IF(R516="","",IF(INDEX('Recurring Schedule'!$D$6:$D$45,R516)="","",INDEX('Recurring Schedule'!$D$6:$D$45,R516)))</f>
        <v/>
      </c>
      <c r="E516" s="38">
        <f>IF(Q516="","",INDEX(Calc!$A$2:$A$367,Q516))</f>
        <v/>
      </c>
      <c r="F516" s="68">
        <f>IF(OR(C516="",E516=""),"",E516-Setup!$D$7)</f>
        <v/>
      </c>
      <c r="G516" s="74">
        <f>IF(R516="","",IF(INDEX('Recurring Schedule'!$H$6:$H$45,R516)="","",INDEX('Recurring Schedule'!$H$6:$H$45,R516)))</f>
        <v/>
      </c>
      <c r="H516" s="74">
        <f>IF(R516="","",IF(INDEX('Recurring Schedule'!$I$6:$I$45,R516)="","",INDEX('Recurring Schedule'!$I$6:$I$45,R516)))</f>
        <v/>
      </c>
      <c r="I516" s="36">
        <f>IF(OR(G516="",H516=""),"",TRIM(IF(HOUR(H516-G516)&gt;0,HOUR(H516-G516)&amp;" hr ","")&amp;IF(MINUTE(H516-G516)&gt;0,MINUTE(H516-G516)&amp;" min","")))</f>
        <v/>
      </c>
      <c r="J516" s="66" t="n"/>
      <c r="K516" s="70" t="n"/>
      <c r="L516" s="36">
        <f>IF(R516="","",IF(INDEX('Recurring Schedule'!$J$6:$J$45,R516)="","",INDEX('Recurring Schedule'!$J$6:$J$45,R516)))</f>
        <v/>
      </c>
      <c r="M516" s="36">
        <f>IF(R516="","",IF(INDEX('Recurring Schedule'!$K$6:$K$45,R516)="","",INDEX('Recurring Schedule'!$K$6:$K$45,R516)))</f>
        <v/>
      </c>
      <c r="N516" s="36">
        <f>IF(R516="","",IF(INDEX('Recurring Schedule'!$L$6:$L$45,R516)="","",INDEX('Recurring Schedule'!$L$6:$L$45,R516)))</f>
        <v/>
      </c>
      <c r="O516" s="36">
        <f>IF(C516="","",IF(AND(OR(L516="1-Urgent",L516="2-High"),M516="✓"),"DO FIRST",IF(M516="✓","SCHEDULE",IF(OR(L516="1-Urgent",L516="2-High"),"DELEGATE","DELETE"))))</f>
        <v/>
      </c>
      <c r="P516" s="65" t="n"/>
      <c r="Q516">
        <f>IF(511&gt;Calc!$AQ$368,"",MATCH(510,Calc!$AQ$2:$AQ$367,1))</f>
        <v/>
      </c>
      <c r="R516">
        <f>IF(Q516="","",SMALL(INDEX(Calc!$B$2:$AO$367,Q516,0),511-INDEX(Calc!$AQ$2:$AQ$367,Q516)))</f>
        <v/>
      </c>
    </row>
    <row r="517">
      <c r="B517" s="71">
        <f>IF(R517="","",512)</f>
        <v/>
      </c>
      <c r="C517" s="75">
        <f>IF(R517="","",IF(INDEX('Recurring Schedule'!$C$6:$C$45,R517)="","",INDEX('Recurring Schedule'!$C$6:$C$45,R517)))</f>
        <v/>
      </c>
      <c r="D517" s="73">
        <f>IF(R517="","",IF(INDEX('Recurring Schedule'!$D$6:$D$45,R517)="","",INDEX('Recurring Schedule'!$D$6:$D$45,R517)))</f>
        <v/>
      </c>
      <c r="E517" s="76">
        <f>IF(Q517="","",INDEX(Calc!$A$2:$A$367,Q517))</f>
        <v/>
      </c>
      <c r="F517" s="72">
        <f>IF(OR(C517="",E517=""),"",E517-Setup!$D$7)</f>
        <v/>
      </c>
      <c r="G517" s="77">
        <f>IF(R517="","",IF(INDEX('Recurring Schedule'!$H$6:$H$45,R517)="","",INDEX('Recurring Schedule'!$H$6:$H$45,R517)))</f>
        <v/>
      </c>
      <c r="H517" s="77">
        <f>IF(R517="","",IF(INDEX('Recurring Schedule'!$I$6:$I$45,R517)="","",INDEX('Recurring Schedule'!$I$6:$I$45,R517)))</f>
        <v/>
      </c>
      <c r="I517" s="73">
        <f>IF(OR(G517="",H517=""),"",TRIM(IF(HOUR(H517-G517)&gt;0,HOUR(H517-G517)&amp;" hr ","")&amp;IF(MINUTE(H517-G517)&gt;0,MINUTE(H517-G517)&amp;" min","")))</f>
        <v/>
      </c>
      <c r="J517" s="66" t="n"/>
      <c r="K517" s="70" t="n"/>
      <c r="L517" s="73">
        <f>IF(R517="","",IF(INDEX('Recurring Schedule'!$J$6:$J$45,R517)="","",INDEX('Recurring Schedule'!$J$6:$J$45,R517)))</f>
        <v/>
      </c>
      <c r="M517" s="73">
        <f>IF(R517="","",IF(INDEX('Recurring Schedule'!$K$6:$K$45,R517)="","",INDEX('Recurring Schedule'!$K$6:$K$45,R517)))</f>
        <v/>
      </c>
      <c r="N517" s="73">
        <f>IF(R517="","",IF(INDEX('Recurring Schedule'!$L$6:$L$45,R517)="","",INDEX('Recurring Schedule'!$L$6:$L$45,R517)))</f>
        <v/>
      </c>
      <c r="O517" s="73">
        <f>IF(C517="","",IF(AND(OR(L517="1-Urgent",L517="2-High"),M517="✓"),"DO FIRST",IF(M517="✓","SCHEDULE",IF(OR(L517="1-Urgent",L517="2-High"),"DELEGATE","DELETE"))))</f>
        <v/>
      </c>
      <c r="P517" s="65" t="n"/>
      <c r="Q517">
        <f>IF(512&gt;Calc!$AQ$368,"",MATCH(511,Calc!$AQ$2:$AQ$367,1))</f>
        <v/>
      </c>
      <c r="R517">
        <f>IF(Q517="","",SMALL(INDEX(Calc!$B$2:$AO$367,Q517,0),512-INDEX(Calc!$AQ$2:$AQ$367,Q517)))</f>
        <v/>
      </c>
    </row>
    <row r="518">
      <c r="B518" s="64">
        <f>IF(R518="","",513)</f>
        <v/>
      </c>
      <c r="C518" s="37">
        <f>IF(R518="","",IF(INDEX('Recurring Schedule'!$C$6:$C$45,R518)="","",INDEX('Recurring Schedule'!$C$6:$C$45,R518)))</f>
        <v/>
      </c>
      <c r="D518" s="36">
        <f>IF(R518="","",IF(INDEX('Recurring Schedule'!$D$6:$D$45,R518)="","",INDEX('Recurring Schedule'!$D$6:$D$45,R518)))</f>
        <v/>
      </c>
      <c r="E518" s="38">
        <f>IF(Q518="","",INDEX(Calc!$A$2:$A$367,Q518))</f>
        <v/>
      </c>
      <c r="F518" s="68">
        <f>IF(OR(C518="",E518=""),"",E518-Setup!$D$7)</f>
        <v/>
      </c>
      <c r="G518" s="74">
        <f>IF(R518="","",IF(INDEX('Recurring Schedule'!$H$6:$H$45,R518)="","",INDEX('Recurring Schedule'!$H$6:$H$45,R518)))</f>
        <v/>
      </c>
      <c r="H518" s="74">
        <f>IF(R518="","",IF(INDEX('Recurring Schedule'!$I$6:$I$45,R518)="","",INDEX('Recurring Schedule'!$I$6:$I$45,R518)))</f>
        <v/>
      </c>
      <c r="I518" s="36">
        <f>IF(OR(G518="",H518=""),"",TRIM(IF(HOUR(H518-G518)&gt;0,HOUR(H518-G518)&amp;" hr ","")&amp;IF(MINUTE(H518-G518)&gt;0,MINUTE(H518-G518)&amp;" min","")))</f>
        <v/>
      </c>
      <c r="J518" s="66" t="n"/>
      <c r="K518" s="70" t="n"/>
      <c r="L518" s="36">
        <f>IF(R518="","",IF(INDEX('Recurring Schedule'!$J$6:$J$45,R518)="","",INDEX('Recurring Schedule'!$J$6:$J$45,R518)))</f>
        <v/>
      </c>
      <c r="M518" s="36">
        <f>IF(R518="","",IF(INDEX('Recurring Schedule'!$K$6:$K$45,R518)="","",INDEX('Recurring Schedule'!$K$6:$K$45,R518)))</f>
        <v/>
      </c>
      <c r="N518" s="36">
        <f>IF(R518="","",IF(INDEX('Recurring Schedule'!$L$6:$L$45,R518)="","",INDEX('Recurring Schedule'!$L$6:$L$45,R518)))</f>
        <v/>
      </c>
      <c r="O518" s="36">
        <f>IF(C518="","",IF(AND(OR(L518="1-Urgent",L518="2-High"),M518="✓"),"DO FIRST",IF(M518="✓","SCHEDULE",IF(OR(L518="1-Urgent",L518="2-High"),"DELEGATE","DELETE"))))</f>
        <v/>
      </c>
      <c r="P518" s="65" t="n"/>
      <c r="Q518">
        <f>IF(513&gt;Calc!$AQ$368,"",MATCH(512,Calc!$AQ$2:$AQ$367,1))</f>
        <v/>
      </c>
      <c r="R518">
        <f>IF(Q518="","",SMALL(INDEX(Calc!$B$2:$AO$367,Q518,0),513-INDEX(Calc!$AQ$2:$AQ$367,Q518)))</f>
        <v/>
      </c>
    </row>
    <row r="519">
      <c r="B519" s="71">
        <f>IF(R519="","",514)</f>
        <v/>
      </c>
      <c r="C519" s="75">
        <f>IF(R519="","",IF(INDEX('Recurring Schedule'!$C$6:$C$45,R519)="","",INDEX('Recurring Schedule'!$C$6:$C$45,R519)))</f>
        <v/>
      </c>
      <c r="D519" s="73">
        <f>IF(R519="","",IF(INDEX('Recurring Schedule'!$D$6:$D$45,R519)="","",INDEX('Recurring Schedule'!$D$6:$D$45,R519)))</f>
        <v/>
      </c>
      <c r="E519" s="76">
        <f>IF(Q519="","",INDEX(Calc!$A$2:$A$367,Q519))</f>
        <v/>
      </c>
      <c r="F519" s="72">
        <f>IF(OR(C519="",E519=""),"",E519-Setup!$D$7)</f>
        <v/>
      </c>
      <c r="G519" s="77">
        <f>IF(R519="","",IF(INDEX('Recurring Schedule'!$H$6:$H$45,R519)="","",INDEX('Recurring Schedule'!$H$6:$H$45,R519)))</f>
        <v/>
      </c>
      <c r="H519" s="77">
        <f>IF(R519="","",IF(INDEX('Recurring Schedule'!$I$6:$I$45,R519)="","",INDEX('Recurring Schedule'!$I$6:$I$45,R519)))</f>
        <v/>
      </c>
      <c r="I519" s="73">
        <f>IF(OR(G519="",H519=""),"",TRIM(IF(HOUR(H519-G519)&gt;0,HOUR(H519-G519)&amp;" hr ","")&amp;IF(MINUTE(H519-G519)&gt;0,MINUTE(H519-G519)&amp;" min","")))</f>
        <v/>
      </c>
      <c r="J519" s="66" t="n"/>
      <c r="K519" s="70" t="n"/>
      <c r="L519" s="73">
        <f>IF(R519="","",IF(INDEX('Recurring Schedule'!$J$6:$J$45,R519)="","",INDEX('Recurring Schedule'!$J$6:$J$45,R519)))</f>
        <v/>
      </c>
      <c r="M519" s="73">
        <f>IF(R519="","",IF(INDEX('Recurring Schedule'!$K$6:$K$45,R519)="","",INDEX('Recurring Schedule'!$K$6:$K$45,R519)))</f>
        <v/>
      </c>
      <c r="N519" s="73">
        <f>IF(R519="","",IF(INDEX('Recurring Schedule'!$L$6:$L$45,R519)="","",INDEX('Recurring Schedule'!$L$6:$L$45,R519)))</f>
        <v/>
      </c>
      <c r="O519" s="73">
        <f>IF(C519="","",IF(AND(OR(L519="1-Urgent",L519="2-High"),M519="✓"),"DO FIRST",IF(M519="✓","SCHEDULE",IF(OR(L519="1-Urgent",L519="2-High"),"DELEGATE","DELETE"))))</f>
        <v/>
      </c>
      <c r="P519" s="65" t="n"/>
      <c r="Q519">
        <f>IF(514&gt;Calc!$AQ$368,"",MATCH(513,Calc!$AQ$2:$AQ$367,1))</f>
        <v/>
      </c>
      <c r="R519">
        <f>IF(Q519="","",SMALL(INDEX(Calc!$B$2:$AO$367,Q519,0),514-INDEX(Calc!$AQ$2:$AQ$367,Q519)))</f>
        <v/>
      </c>
    </row>
    <row r="520">
      <c r="B520" s="64">
        <f>IF(R520="","",515)</f>
        <v/>
      </c>
      <c r="C520" s="37">
        <f>IF(R520="","",IF(INDEX('Recurring Schedule'!$C$6:$C$45,R520)="","",INDEX('Recurring Schedule'!$C$6:$C$45,R520)))</f>
        <v/>
      </c>
      <c r="D520" s="36">
        <f>IF(R520="","",IF(INDEX('Recurring Schedule'!$D$6:$D$45,R520)="","",INDEX('Recurring Schedule'!$D$6:$D$45,R520)))</f>
        <v/>
      </c>
      <c r="E520" s="38">
        <f>IF(Q520="","",INDEX(Calc!$A$2:$A$367,Q520))</f>
        <v/>
      </c>
      <c r="F520" s="68">
        <f>IF(OR(C520="",E520=""),"",E520-Setup!$D$7)</f>
        <v/>
      </c>
      <c r="G520" s="74">
        <f>IF(R520="","",IF(INDEX('Recurring Schedule'!$H$6:$H$45,R520)="","",INDEX('Recurring Schedule'!$H$6:$H$45,R520)))</f>
        <v/>
      </c>
      <c r="H520" s="74">
        <f>IF(R520="","",IF(INDEX('Recurring Schedule'!$I$6:$I$45,R520)="","",INDEX('Recurring Schedule'!$I$6:$I$45,R520)))</f>
        <v/>
      </c>
      <c r="I520" s="36">
        <f>IF(OR(G520="",H520=""),"",TRIM(IF(HOUR(H520-G520)&gt;0,HOUR(H520-G520)&amp;" hr ","")&amp;IF(MINUTE(H520-G520)&gt;0,MINUTE(H520-G520)&amp;" min","")))</f>
        <v/>
      </c>
      <c r="J520" s="66" t="n"/>
      <c r="K520" s="70" t="n"/>
      <c r="L520" s="36">
        <f>IF(R520="","",IF(INDEX('Recurring Schedule'!$J$6:$J$45,R520)="","",INDEX('Recurring Schedule'!$J$6:$J$45,R520)))</f>
        <v/>
      </c>
      <c r="M520" s="36">
        <f>IF(R520="","",IF(INDEX('Recurring Schedule'!$K$6:$K$45,R520)="","",INDEX('Recurring Schedule'!$K$6:$K$45,R520)))</f>
        <v/>
      </c>
      <c r="N520" s="36">
        <f>IF(R520="","",IF(INDEX('Recurring Schedule'!$L$6:$L$45,R520)="","",INDEX('Recurring Schedule'!$L$6:$L$45,R520)))</f>
        <v/>
      </c>
      <c r="O520" s="36">
        <f>IF(C520="","",IF(AND(OR(L520="1-Urgent",L520="2-High"),M520="✓"),"DO FIRST",IF(M520="✓","SCHEDULE",IF(OR(L520="1-Urgent",L520="2-High"),"DELEGATE","DELETE"))))</f>
        <v/>
      </c>
      <c r="P520" s="65" t="n"/>
      <c r="Q520">
        <f>IF(515&gt;Calc!$AQ$368,"",MATCH(514,Calc!$AQ$2:$AQ$367,1))</f>
        <v/>
      </c>
      <c r="R520">
        <f>IF(Q520="","",SMALL(INDEX(Calc!$B$2:$AO$367,Q520,0),515-INDEX(Calc!$AQ$2:$AQ$367,Q520)))</f>
        <v/>
      </c>
    </row>
    <row r="521">
      <c r="B521" s="71">
        <f>IF(R521="","",516)</f>
        <v/>
      </c>
      <c r="C521" s="75">
        <f>IF(R521="","",IF(INDEX('Recurring Schedule'!$C$6:$C$45,R521)="","",INDEX('Recurring Schedule'!$C$6:$C$45,R521)))</f>
        <v/>
      </c>
      <c r="D521" s="73">
        <f>IF(R521="","",IF(INDEX('Recurring Schedule'!$D$6:$D$45,R521)="","",INDEX('Recurring Schedule'!$D$6:$D$45,R521)))</f>
        <v/>
      </c>
      <c r="E521" s="76">
        <f>IF(Q521="","",INDEX(Calc!$A$2:$A$367,Q521))</f>
        <v/>
      </c>
      <c r="F521" s="72">
        <f>IF(OR(C521="",E521=""),"",E521-Setup!$D$7)</f>
        <v/>
      </c>
      <c r="G521" s="77">
        <f>IF(R521="","",IF(INDEX('Recurring Schedule'!$H$6:$H$45,R521)="","",INDEX('Recurring Schedule'!$H$6:$H$45,R521)))</f>
        <v/>
      </c>
      <c r="H521" s="77">
        <f>IF(R521="","",IF(INDEX('Recurring Schedule'!$I$6:$I$45,R521)="","",INDEX('Recurring Schedule'!$I$6:$I$45,R521)))</f>
        <v/>
      </c>
      <c r="I521" s="73">
        <f>IF(OR(G521="",H521=""),"",TRIM(IF(HOUR(H521-G521)&gt;0,HOUR(H521-G521)&amp;" hr ","")&amp;IF(MINUTE(H521-G521)&gt;0,MINUTE(H521-G521)&amp;" min","")))</f>
        <v/>
      </c>
      <c r="J521" s="66" t="n"/>
      <c r="K521" s="70" t="n"/>
      <c r="L521" s="73">
        <f>IF(R521="","",IF(INDEX('Recurring Schedule'!$J$6:$J$45,R521)="","",INDEX('Recurring Schedule'!$J$6:$J$45,R521)))</f>
        <v/>
      </c>
      <c r="M521" s="73">
        <f>IF(R521="","",IF(INDEX('Recurring Schedule'!$K$6:$K$45,R521)="","",INDEX('Recurring Schedule'!$K$6:$K$45,R521)))</f>
        <v/>
      </c>
      <c r="N521" s="73">
        <f>IF(R521="","",IF(INDEX('Recurring Schedule'!$L$6:$L$45,R521)="","",INDEX('Recurring Schedule'!$L$6:$L$45,R521)))</f>
        <v/>
      </c>
      <c r="O521" s="73">
        <f>IF(C521="","",IF(AND(OR(L521="1-Urgent",L521="2-High"),M521="✓"),"DO FIRST",IF(M521="✓","SCHEDULE",IF(OR(L521="1-Urgent",L521="2-High"),"DELEGATE","DELETE"))))</f>
        <v/>
      </c>
      <c r="P521" s="65" t="n"/>
      <c r="Q521">
        <f>IF(516&gt;Calc!$AQ$368,"",MATCH(515,Calc!$AQ$2:$AQ$367,1))</f>
        <v/>
      </c>
      <c r="R521">
        <f>IF(Q521="","",SMALL(INDEX(Calc!$B$2:$AO$367,Q521,0),516-INDEX(Calc!$AQ$2:$AQ$367,Q521)))</f>
        <v/>
      </c>
    </row>
    <row r="522">
      <c r="B522" s="64">
        <f>IF(R522="","",517)</f>
        <v/>
      </c>
      <c r="C522" s="37">
        <f>IF(R522="","",IF(INDEX('Recurring Schedule'!$C$6:$C$45,R522)="","",INDEX('Recurring Schedule'!$C$6:$C$45,R522)))</f>
        <v/>
      </c>
      <c r="D522" s="36">
        <f>IF(R522="","",IF(INDEX('Recurring Schedule'!$D$6:$D$45,R522)="","",INDEX('Recurring Schedule'!$D$6:$D$45,R522)))</f>
        <v/>
      </c>
      <c r="E522" s="38">
        <f>IF(Q522="","",INDEX(Calc!$A$2:$A$367,Q522))</f>
        <v/>
      </c>
      <c r="F522" s="68">
        <f>IF(OR(C522="",E522=""),"",E522-Setup!$D$7)</f>
        <v/>
      </c>
      <c r="G522" s="74">
        <f>IF(R522="","",IF(INDEX('Recurring Schedule'!$H$6:$H$45,R522)="","",INDEX('Recurring Schedule'!$H$6:$H$45,R522)))</f>
        <v/>
      </c>
      <c r="H522" s="74">
        <f>IF(R522="","",IF(INDEX('Recurring Schedule'!$I$6:$I$45,R522)="","",INDEX('Recurring Schedule'!$I$6:$I$45,R522)))</f>
        <v/>
      </c>
      <c r="I522" s="36">
        <f>IF(OR(G522="",H522=""),"",TRIM(IF(HOUR(H522-G522)&gt;0,HOUR(H522-G522)&amp;" hr ","")&amp;IF(MINUTE(H522-G522)&gt;0,MINUTE(H522-G522)&amp;" min","")))</f>
        <v/>
      </c>
      <c r="J522" s="66" t="n"/>
      <c r="K522" s="70" t="n"/>
      <c r="L522" s="36">
        <f>IF(R522="","",IF(INDEX('Recurring Schedule'!$J$6:$J$45,R522)="","",INDEX('Recurring Schedule'!$J$6:$J$45,R522)))</f>
        <v/>
      </c>
      <c r="M522" s="36">
        <f>IF(R522="","",IF(INDEX('Recurring Schedule'!$K$6:$K$45,R522)="","",INDEX('Recurring Schedule'!$K$6:$K$45,R522)))</f>
        <v/>
      </c>
      <c r="N522" s="36">
        <f>IF(R522="","",IF(INDEX('Recurring Schedule'!$L$6:$L$45,R522)="","",INDEX('Recurring Schedule'!$L$6:$L$45,R522)))</f>
        <v/>
      </c>
      <c r="O522" s="36">
        <f>IF(C522="","",IF(AND(OR(L522="1-Urgent",L522="2-High"),M522="✓"),"DO FIRST",IF(M522="✓","SCHEDULE",IF(OR(L522="1-Urgent",L522="2-High"),"DELEGATE","DELETE"))))</f>
        <v/>
      </c>
      <c r="P522" s="65" t="n"/>
      <c r="Q522">
        <f>IF(517&gt;Calc!$AQ$368,"",MATCH(516,Calc!$AQ$2:$AQ$367,1))</f>
        <v/>
      </c>
      <c r="R522">
        <f>IF(Q522="","",SMALL(INDEX(Calc!$B$2:$AO$367,Q522,0),517-INDEX(Calc!$AQ$2:$AQ$367,Q522)))</f>
        <v/>
      </c>
    </row>
    <row r="523">
      <c r="B523" s="71">
        <f>IF(R523="","",518)</f>
        <v/>
      </c>
      <c r="C523" s="75">
        <f>IF(R523="","",IF(INDEX('Recurring Schedule'!$C$6:$C$45,R523)="","",INDEX('Recurring Schedule'!$C$6:$C$45,R523)))</f>
        <v/>
      </c>
      <c r="D523" s="73">
        <f>IF(R523="","",IF(INDEX('Recurring Schedule'!$D$6:$D$45,R523)="","",INDEX('Recurring Schedule'!$D$6:$D$45,R523)))</f>
        <v/>
      </c>
      <c r="E523" s="76">
        <f>IF(Q523="","",INDEX(Calc!$A$2:$A$367,Q523))</f>
        <v/>
      </c>
      <c r="F523" s="72">
        <f>IF(OR(C523="",E523=""),"",E523-Setup!$D$7)</f>
        <v/>
      </c>
      <c r="G523" s="77">
        <f>IF(R523="","",IF(INDEX('Recurring Schedule'!$H$6:$H$45,R523)="","",INDEX('Recurring Schedule'!$H$6:$H$45,R523)))</f>
        <v/>
      </c>
      <c r="H523" s="77">
        <f>IF(R523="","",IF(INDEX('Recurring Schedule'!$I$6:$I$45,R523)="","",INDEX('Recurring Schedule'!$I$6:$I$45,R523)))</f>
        <v/>
      </c>
      <c r="I523" s="73">
        <f>IF(OR(G523="",H523=""),"",TRIM(IF(HOUR(H523-G523)&gt;0,HOUR(H523-G523)&amp;" hr ","")&amp;IF(MINUTE(H523-G523)&gt;0,MINUTE(H523-G523)&amp;" min","")))</f>
        <v/>
      </c>
      <c r="J523" s="66" t="n"/>
      <c r="K523" s="70" t="n"/>
      <c r="L523" s="73">
        <f>IF(R523="","",IF(INDEX('Recurring Schedule'!$J$6:$J$45,R523)="","",INDEX('Recurring Schedule'!$J$6:$J$45,R523)))</f>
        <v/>
      </c>
      <c r="M523" s="73">
        <f>IF(R523="","",IF(INDEX('Recurring Schedule'!$K$6:$K$45,R523)="","",INDEX('Recurring Schedule'!$K$6:$K$45,R523)))</f>
        <v/>
      </c>
      <c r="N523" s="73">
        <f>IF(R523="","",IF(INDEX('Recurring Schedule'!$L$6:$L$45,R523)="","",INDEX('Recurring Schedule'!$L$6:$L$45,R523)))</f>
        <v/>
      </c>
      <c r="O523" s="73">
        <f>IF(C523="","",IF(AND(OR(L523="1-Urgent",L523="2-High"),M523="✓"),"DO FIRST",IF(M523="✓","SCHEDULE",IF(OR(L523="1-Urgent",L523="2-High"),"DELEGATE","DELETE"))))</f>
        <v/>
      </c>
      <c r="P523" s="65" t="n"/>
      <c r="Q523">
        <f>IF(518&gt;Calc!$AQ$368,"",MATCH(517,Calc!$AQ$2:$AQ$367,1))</f>
        <v/>
      </c>
      <c r="R523">
        <f>IF(Q523="","",SMALL(INDEX(Calc!$B$2:$AO$367,Q523,0),518-INDEX(Calc!$AQ$2:$AQ$367,Q523)))</f>
        <v/>
      </c>
    </row>
    <row r="524">
      <c r="B524" s="64">
        <f>IF(R524="","",519)</f>
        <v/>
      </c>
      <c r="C524" s="37">
        <f>IF(R524="","",IF(INDEX('Recurring Schedule'!$C$6:$C$45,R524)="","",INDEX('Recurring Schedule'!$C$6:$C$45,R524)))</f>
        <v/>
      </c>
      <c r="D524" s="36">
        <f>IF(R524="","",IF(INDEX('Recurring Schedule'!$D$6:$D$45,R524)="","",INDEX('Recurring Schedule'!$D$6:$D$45,R524)))</f>
        <v/>
      </c>
      <c r="E524" s="38">
        <f>IF(Q524="","",INDEX(Calc!$A$2:$A$367,Q524))</f>
        <v/>
      </c>
      <c r="F524" s="68">
        <f>IF(OR(C524="",E524=""),"",E524-Setup!$D$7)</f>
        <v/>
      </c>
      <c r="G524" s="74">
        <f>IF(R524="","",IF(INDEX('Recurring Schedule'!$H$6:$H$45,R524)="","",INDEX('Recurring Schedule'!$H$6:$H$45,R524)))</f>
        <v/>
      </c>
      <c r="H524" s="74">
        <f>IF(R524="","",IF(INDEX('Recurring Schedule'!$I$6:$I$45,R524)="","",INDEX('Recurring Schedule'!$I$6:$I$45,R524)))</f>
        <v/>
      </c>
      <c r="I524" s="36">
        <f>IF(OR(G524="",H524=""),"",TRIM(IF(HOUR(H524-G524)&gt;0,HOUR(H524-G524)&amp;" hr ","")&amp;IF(MINUTE(H524-G524)&gt;0,MINUTE(H524-G524)&amp;" min","")))</f>
        <v/>
      </c>
      <c r="J524" s="66" t="n"/>
      <c r="K524" s="70" t="n"/>
      <c r="L524" s="36">
        <f>IF(R524="","",IF(INDEX('Recurring Schedule'!$J$6:$J$45,R524)="","",INDEX('Recurring Schedule'!$J$6:$J$45,R524)))</f>
        <v/>
      </c>
      <c r="M524" s="36">
        <f>IF(R524="","",IF(INDEX('Recurring Schedule'!$K$6:$K$45,R524)="","",INDEX('Recurring Schedule'!$K$6:$K$45,R524)))</f>
        <v/>
      </c>
      <c r="N524" s="36">
        <f>IF(R524="","",IF(INDEX('Recurring Schedule'!$L$6:$L$45,R524)="","",INDEX('Recurring Schedule'!$L$6:$L$45,R524)))</f>
        <v/>
      </c>
      <c r="O524" s="36">
        <f>IF(C524="","",IF(AND(OR(L524="1-Urgent",L524="2-High"),M524="✓"),"DO FIRST",IF(M524="✓","SCHEDULE",IF(OR(L524="1-Urgent",L524="2-High"),"DELEGATE","DELETE"))))</f>
        <v/>
      </c>
      <c r="P524" s="65" t="n"/>
      <c r="Q524">
        <f>IF(519&gt;Calc!$AQ$368,"",MATCH(518,Calc!$AQ$2:$AQ$367,1))</f>
        <v/>
      </c>
      <c r="R524">
        <f>IF(Q524="","",SMALL(INDEX(Calc!$B$2:$AO$367,Q524,0),519-INDEX(Calc!$AQ$2:$AQ$367,Q524)))</f>
        <v/>
      </c>
    </row>
    <row r="525">
      <c r="B525" s="71">
        <f>IF(R525="","",520)</f>
        <v/>
      </c>
      <c r="C525" s="75">
        <f>IF(R525="","",IF(INDEX('Recurring Schedule'!$C$6:$C$45,R525)="","",INDEX('Recurring Schedule'!$C$6:$C$45,R525)))</f>
        <v/>
      </c>
      <c r="D525" s="73">
        <f>IF(R525="","",IF(INDEX('Recurring Schedule'!$D$6:$D$45,R525)="","",INDEX('Recurring Schedule'!$D$6:$D$45,R525)))</f>
        <v/>
      </c>
      <c r="E525" s="76">
        <f>IF(Q525="","",INDEX(Calc!$A$2:$A$367,Q525))</f>
        <v/>
      </c>
      <c r="F525" s="72">
        <f>IF(OR(C525="",E525=""),"",E525-Setup!$D$7)</f>
        <v/>
      </c>
      <c r="G525" s="77">
        <f>IF(R525="","",IF(INDEX('Recurring Schedule'!$H$6:$H$45,R525)="","",INDEX('Recurring Schedule'!$H$6:$H$45,R525)))</f>
        <v/>
      </c>
      <c r="H525" s="77">
        <f>IF(R525="","",IF(INDEX('Recurring Schedule'!$I$6:$I$45,R525)="","",INDEX('Recurring Schedule'!$I$6:$I$45,R525)))</f>
        <v/>
      </c>
      <c r="I525" s="73">
        <f>IF(OR(G525="",H525=""),"",TRIM(IF(HOUR(H525-G525)&gt;0,HOUR(H525-G525)&amp;" hr ","")&amp;IF(MINUTE(H525-G525)&gt;0,MINUTE(H525-G525)&amp;" min","")))</f>
        <v/>
      </c>
      <c r="J525" s="66" t="n"/>
      <c r="K525" s="70" t="n"/>
      <c r="L525" s="73">
        <f>IF(R525="","",IF(INDEX('Recurring Schedule'!$J$6:$J$45,R525)="","",INDEX('Recurring Schedule'!$J$6:$J$45,R525)))</f>
        <v/>
      </c>
      <c r="M525" s="73">
        <f>IF(R525="","",IF(INDEX('Recurring Schedule'!$K$6:$K$45,R525)="","",INDEX('Recurring Schedule'!$K$6:$K$45,R525)))</f>
        <v/>
      </c>
      <c r="N525" s="73">
        <f>IF(R525="","",IF(INDEX('Recurring Schedule'!$L$6:$L$45,R525)="","",INDEX('Recurring Schedule'!$L$6:$L$45,R525)))</f>
        <v/>
      </c>
      <c r="O525" s="73">
        <f>IF(C525="","",IF(AND(OR(L525="1-Urgent",L525="2-High"),M525="✓"),"DO FIRST",IF(M525="✓","SCHEDULE",IF(OR(L525="1-Urgent",L525="2-High"),"DELEGATE","DELETE"))))</f>
        <v/>
      </c>
      <c r="P525" s="65" t="n"/>
      <c r="Q525">
        <f>IF(520&gt;Calc!$AQ$368,"",MATCH(519,Calc!$AQ$2:$AQ$367,1))</f>
        <v/>
      </c>
      <c r="R525">
        <f>IF(Q525="","",SMALL(INDEX(Calc!$B$2:$AO$367,Q525,0),520-INDEX(Calc!$AQ$2:$AQ$367,Q525)))</f>
        <v/>
      </c>
    </row>
    <row r="526">
      <c r="B526" s="64">
        <f>IF(R526="","",521)</f>
        <v/>
      </c>
      <c r="C526" s="37">
        <f>IF(R526="","",IF(INDEX('Recurring Schedule'!$C$6:$C$45,R526)="","",INDEX('Recurring Schedule'!$C$6:$C$45,R526)))</f>
        <v/>
      </c>
      <c r="D526" s="36">
        <f>IF(R526="","",IF(INDEX('Recurring Schedule'!$D$6:$D$45,R526)="","",INDEX('Recurring Schedule'!$D$6:$D$45,R526)))</f>
        <v/>
      </c>
      <c r="E526" s="38">
        <f>IF(Q526="","",INDEX(Calc!$A$2:$A$367,Q526))</f>
        <v/>
      </c>
      <c r="F526" s="68">
        <f>IF(OR(C526="",E526=""),"",E526-Setup!$D$7)</f>
        <v/>
      </c>
      <c r="G526" s="74">
        <f>IF(R526="","",IF(INDEX('Recurring Schedule'!$H$6:$H$45,R526)="","",INDEX('Recurring Schedule'!$H$6:$H$45,R526)))</f>
        <v/>
      </c>
      <c r="H526" s="74">
        <f>IF(R526="","",IF(INDEX('Recurring Schedule'!$I$6:$I$45,R526)="","",INDEX('Recurring Schedule'!$I$6:$I$45,R526)))</f>
        <v/>
      </c>
      <c r="I526" s="36">
        <f>IF(OR(G526="",H526=""),"",TRIM(IF(HOUR(H526-G526)&gt;0,HOUR(H526-G526)&amp;" hr ","")&amp;IF(MINUTE(H526-G526)&gt;0,MINUTE(H526-G526)&amp;" min","")))</f>
        <v/>
      </c>
      <c r="J526" s="66" t="n"/>
      <c r="K526" s="70" t="n"/>
      <c r="L526" s="36">
        <f>IF(R526="","",IF(INDEX('Recurring Schedule'!$J$6:$J$45,R526)="","",INDEX('Recurring Schedule'!$J$6:$J$45,R526)))</f>
        <v/>
      </c>
      <c r="M526" s="36">
        <f>IF(R526="","",IF(INDEX('Recurring Schedule'!$K$6:$K$45,R526)="","",INDEX('Recurring Schedule'!$K$6:$K$45,R526)))</f>
        <v/>
      </c>
      <c r="N526" s="36">
        <f>IF(R526="","",IF(INDEX('Recurring Schedule'!$L$6:$L$45,R526)="","",INDEX('Recurring Schedule'!$L$6:$L$45,R526)))</f>
        <v/>
      </c>
      <c r="O526" s="36">
        <f>IF(C526="","",IF(AND(OR(L526="1-Urgent",L526="2-High"),M526="✓"),"DO FIRST",IF(M526="✓","SCHEDULE",IF(OR(L526="1-Urgent",L526="2-High"),"DELEGATE","DELETE"))))</f>
        <v/>
      </c>
      <c r="P526" s="65" t="n"/>
      <c r="Q526">
        <f>IF(521&gt;Calc!$AQ$368,"",MATCH(520,Calc!$AQ$2:$AQ$367,1))</f>
        <v/>
      </c>
      <c r="R526">
        <f>IF(Q526="","",SMALL(INDEX(Calc!$B$2:$AO$367,Q526,0),521-INDEX(Calc!$AQ$2:$AQ$367,Q526)))</f>
        <v/>
      </c>
    </row>
    <row r="527">
      <c r="B527" s="71">
        <f>IF(R527="","",522)</f>
        <v/>
      </c>
      <c r="C527" s="75">
        <f>IF(R527="","",IF(INDEX('Recurring Schedule'!$C$6:$C$45,R527)="","",INDEX('Recurring Schedule'!$C$6:$C$45,R527)))</f>
        <v/>
      </c>
      <c r="D527" s="73">
        <f>IF(R527="","",IF(INDEX('Recurring Schedule'!$D$6:$D$45,R527)="","",INDEX('Recurring Schedule'!$D$6:$D$45,R527)))</f>
        <v/>
      </c>
      <c r="E527" s="76">
        <f>IF(Q527="","",INDEX(Calc!$A$2:$A$367,Q527))</f>
        <v/>
      </c>
      <c r="F527" s="72">
        <f>IF(OR(C527="",E527=""),"",E527-Setup!$D$7)</f>
        <v/>
      </c>
      <c r="G527" s="77">
        <f>IF(R527="","",IF(INDEX('Recurring Schedule'!$H$6:$H$45,R527)="","",INDEX('Recurring Schedule'!$H$6:$H$45,R527)))</f>
        <v/>
      </c>
      <c r="H527" s="77">
        <f>IF(R527="","",IF(INDEX('Recurring Schedule'!$I$6:$I$45,R527)="","",INDEX('Recurring Schedule'!$I$6:$I$45,R527)))</f>
        <v/>
      </c>
      <c r="I527" s="73">
        <f>IF(OR(G527="",H527=""),"",TRIM(IF(HOUR(H527-G527)&gt;0,HOUR(H527-G527)&amp;" hr ","")&amp;IF(MINUTE(H527-G527)&gt;0,MINUTE(H527-G527)&amp;" min","")))</f>
        <v/>
      </c>
      <c r="J527" s="66" t="n"/>
      <c r="K527" s="70" t="n"/>
      <c r="L527" s="73">
        <f>IF(R527="","",IF(INDEX('Recurring Schedule'!$J$6:$J$45,R527)="","",INDEX('Recurring Schedule'!$J$6:$J$45,R527)))</f>
        <v/>
      </c>
      <c r="M527" s="73">
        <f>IF(R527="","",IF(INDEX('Recurring Schedule'!$K$6:$K$45,R527)="","",INDEX('Recurring Schedule'!$K$6:$K$45,R527)))</f>
        <v/>
      </c>
      <c r="N527" s="73">
        <f>IF(R527="","",IF(INDEX('Recurring Schedule'!$L$6:$L$45,R527)="","",INDEX('Recurring Schedule'!$L$6:$L$45,R527)))</f>
        <v/>
      </c>
      <c r="O527" s="73">
        <f>IF(C527="","",IF(AND(OR(L527="1-Urgent",L527="2-High"),M527="✓"),"DO FIRST",IF(M527="✓","SCHEDULE",IF(OR(L527="1-Urgent",L527="2-High"),"DELEGATE","DELETE"))))</f>
        <v/>
      </c>
      <c r="P527" s="65" t="n"/>
      <c r="Q527">
        <f>IF(522&gt;Calc!$AQ$368,"",MATCH(521,Calc!$AQ$2:$AQ$367,1))</f>
        <v/>
      </c>
      <c r="R527">
        <f>IF(Q527="","",SMALL(INDEX(Calc!$B$2:$AO$367,Q527,0),522-INDEX(Calc!$AQ$2:$AQ$367,Q527)))</f>
        <v/>
      </c>
    </row>
    <row r="528">
      <c r="B528" s="64">
        <f>IF(R528="","",523)</f>
        <v/>
      </c>
      <c r="C528" s="37">
        <f>IF(R528="","",IF(INDEX('Recurring Schedule'!$C$6:$C$45,R528)="","",INDEX('Recurring Schedule'!$C$6:$C$45,R528)))</f>
        <v/>
      </c>
      <c r="D528" s="36">
        <f>IF(R528="","",IF(INDEX('Recurring Schedule'!$D$6:$D$45,R528)="","",INDEX('Recurring Schedule'!$D$6:$D$45,R528)))</f>
        <v/>
      </c>
      <c r="E528" s="38">
        <f>IF(Q528="","",INDEX(Calc!$A$2:$A$367,Q528))</f>
        <v/>
      </c>
      <c r="F528" s="68">
        <f>IF(OR(C528="",E528=""),"",E528-Setup!$D$7)</f>
        <v/>
      </c>
      <c r="G528" s="74">
        <f>IF(R528="","",IF(INDEX('Recurring Schedule'!$H$6:$H$45,R528)="","",INDEX('Recurring Schedule'!$H$6:$H$45,R528)))</f>
        <v/>
      </c>
      <c r="H528" s="74">
        <f>IF(R528="","",IF(INDEX('Recurring Schedule'!$I$6:$I$45,R528)="","",INDEX('Recurring Schedule'!$I$6:$I$45,R528)))</f>
        <v/>
      </c>
      <c r="I528" s="36">
        <f>IF(OR(G528="",H528=""),"",TRIM(IF(HOUR(H528-G528)&gt;0,HOUR(H528-G528)&amp;" hr ","")&amp;IF(MINUTE(H528-G528)&gt;0,MINUTE(H528-G528)&amp;" min","")))</f>
        <v/>
      </c>
      <c r="J528" s="66" t="n"/>
      <c r="K528" s="70" t="n"/>
      <c r="L528" s="36">
        <f>IF(R528="","",IF(INDEX('Recurring Schedule'!$J$6:$J$45,R528)="","",INDEX('Recurring Schedule'!$J$6:$J$45,R528)))</f>
        <v/>
      </c>
      <c r="M528" s="36">
        <f>IF(R528="","",IF(INDEX('Recurring Schedule'!$K$6:$K$45,R528)="","",INDEX('Recurring Schedule'!$K$6:$K$45,R528)))</f>
        <v/>
      </c>
      <c r="N528" s="36">
        <f>IF(R528="","",IF(INDEX('Recurring Schedule'!$L$6:$L$45,R528)="","",INDEX('Recurring Schedule'!$L$6:$L$45,R528)))</f>
        <v/>
      </c>
      <c r="O528" s="36">
        <f>IF(C528="","",IF(AND(OR(L528="1-Urgent",L528="2-High"),M528="✓"),"DO FIRST",IF(M528="✓","SCHEDULE",IF(OR(L528="1-Urgent",L528="2-High"),"DELEGATE","DELETE"))))</f>
        <v/>
      </c>
      <c r="P528" s="65" t="n"/>
      <c r="Q528">
        <f>IF(523&gt;Calc!$AQ$368,"",MATCH(522,Calc!$AQ$2:$AQ$367,1))</f>
        <v/>
      </c>
      <c r="R528">
        <f>IF(Q528="","",SMALL(INDEX(Calc!$B$2:$AO$367,Q528,0),523-INDEX(Calc!$AQ$2:$AQ$367,Q528)))</f>
        <v/>
      </c>
    </row>
    <row r="529">
      <c r="B529" s="71">
        <f>IF(R529="","",524)</f>
        <v/>
      </c>
      <c r="C529" s="75">
        <f>IF(R529="","",IF(INDEX('Recurring Schedule'!$C$6:$C$45,R529)="","",INDEX('Recurring Schedule'!$C$6:$C$45,R529)))</f>
        <v/>
      </c>
      <c r="D529" s="73">
        <f>IF(R529="","",IF(INDEX('Recurring Schedule'!$D$6:$D$45,R529)="","",INDEX('Recurring Schedule'!$D$6:$D$45,R529)))</f>
        <v/>
      </c>
      <c r="E529" s="76">
        <f>IF(Q529="","",INDEX(Calc!$A$2:$A$367,Q529))</f>
        <v/>
      </c>
      <c r="F529" s="72">
        <f>IF(OR(C529="",E529=""),"",E529-Setup!$D$7)</f>
        <v/>
      </c>
      <c r="G529" s="77">
        <f>IF(R529="","",IF(INDEX('Recurring Schedule'!$H$6:$H$45,R529)="","",INDEX('Recurring Schedule'!$H$6:$H$45,R529)))</f>
        <v/>
      </c>
      <c r="H529" s="77">
        <f>IF(R529="","",IF(INDEX('Recurring Schedule'!$I$6:$I$45,R529)="","",INDEX('Recurring Schedule'!$I$6:$I$45,R529)))</f>
        <v/>
      </c>
      <c r="I529" s="73">
        <f>IF(OR(G529="",H529=""),"",TRIM(IF(HOUR(H529-G529)&gt;0,HOUR(H529-G529)&amp;" hr ","")&amp;IF(MINUTE(H529-G529)&gt;0,MINUTE(H529-G529)&amp;" min","")))</f>
        <v/>
      </c>
      <c r="J529" s="66" t="n"/>
      <c r="K529" s="70" t="n"/>
      <c r="L529" s="73">
        <f>IF(R529="","",IF(INDEX('Recurring Schedule'!$J$6:$J$45,R529)="","",INDEX('Recurring Schedule'!$J$6:$J$45,R529)))</f>
        <v/>
      </c>
      <c r="M529" s="73">
        <f>IF(R529="","",IF(INDEX('Recurring Schedule'!$K$6:$K$45,R529)="","",INDEX('Recurring Schedule'!$K$6:$K$45,R529)))</f>
        <v/>
      </c>
      <c r="N529" s="73">
        <f>IF(R529="","",IF(INDEX('Recurring Schedule'!$L$6:$L$45,R529)="","",INDEX('Recurring Schedule'!$L$6:$L$45,R529)))</f>
        <v/>
      </c>
      <c r="O529" s="73">
        <f>IF(C529="","",IF(AND(OR(L529="1-Urgent",L529="2-High"),M529="✓"),"DO FIRST",IF(M529="✓","SCHEDULE",IF(OR(L529="1-Urgent",L529="2-High"),"DELEGATE","DELETE"))))</f>
        <v/>
      </c>
      <c r="P529" s="65" t="n"/>
      <c r="Q529">
        <f>IF(524&gt;Calc!$AQ$368,"",MATCH(523,Calc!$AQ$2:$AQ$367,1))</f>
        <v/>
      </c>
      <c r="R529">
        <f>IF(Q529="","",SMALL(INDEX(Calc!$B$2:$AO$367,Q529,0),524-INDEX(Calc!$AQ$2:$AQ$367,Q529)))</f>
        <v/>
      </c>
    </row>
    <row r="530">
      <c r="B530" s="64">
        <f>IF(R530="","",525)</f>
        <v/>
      </c>
      <c r="C530" s="37">
        <f>IF(R530="","",IF(INDEX('Recurring Schedule'!$C$6:$C$45,R530)="","",INDEX('Recurring Schedule'!$C$6:$C$45,R530)))</f>
        <v/>
      </c>
      <c r="D530" s="36">
        <f>IF(R530="","",IF(INDEX('Recurring Schedule'!$D$6:$D$45,R530)="","",INDEX('Recurring Schedule'!$D$6:$D$45,R530)))</f>
        <v/>
      </c>
      <c r="E530" s="38">
        <f>IF(Q530="","",INDEX(Calc!$A$2:$A$367,Q530))</f>
        <v/>
      </c>
      <c r="F530" s="68">
        <f>IF(OR(C530="",E530=""),"",E530-Setup!$D$7)</f>
        <v/>
      </c>
      <c r="G530" s="74">
        <f>IF(R530="","",IF(INDEX('Recurring Schedule'!$H$6:$H$45,R530)="","",INDEX('Recurring Schedule'!$H$6:$H$45,R530)))</f>
        <v/>
      </c>
      <c r="H530" s="74">
        <f>IF(R530="","",IF(INDEX('Recurring Schedule'!$I$6:$I$45,R530)="","",INDEX('Recurring Schedule'!$I$6:$I$45,R530)))</f>
        <v/>
      </c>
      <c r="I530" s="36">
        <f>IF(OR(G530="",H530=""),"",TRIM(IF(HOUR(H530-G530)&gt;0,HOUR(H530-G530)&amp;" hr ","")&amp;IF(MINUTE(H530-G530)&gt;0,MINUTE(H530-G530)&amp;" min","")))</f>
        <v/>
      </c>
      <c r="J530" s="66" t="n"/>
      <c r="K530" s="70" t="n"/>
      <c r="L530" s="36">
        <f>IF(R530="","",IF(INDEX('Recurring Schedule'!$J$6:$J$45,R530)="","",INDEX('Recurring Schedule'!$J$6:$J$45,R530)))</f>
        <v/>
      </c>
      <c r="M530" s="36">
        <f>IF(R530="","",IF(INDEX('Recurring Schedule'!$K$6:$K$45,R530)="","",INDEX('Recurring Schedule'!$K$6:$K$45,R530)))</f>
        <v/>
      </c>
      <c r="N530" s="36">
        <f>IF(R530="","",IF(INDEX('Recurring Schedule'!$L$6:$L$45,R530)="","",INDEX('Recurring Schedule'!$L$6:$L$45,R530)))</f>
        <v/>
      </c>
      <c r="O530" s="36">
        <f>IF(C530="","",IF(AND(OR(L530="1-Urgent",L530="2-High"),M530="✓"),"DO FIRST",IF(M530="✓","SCHEDULE",IF(OR(L530="1-Urgent",L530="2-High"),"DELEGATE","DELETE"))))</f>
        <v/>
      </c>
      <c r="P530" s="65" t="n"/>
      <c r="Q530">
        <f>IF(525&gt;Calc!$AQ$368,"",MATCH(524,Calc!$AQ$2:$AQ$367,1))</f>
        <v/>
      </c>
      <c r="R530">
        <f>IF(Q530="","",SMALL(INDEX(Calc!$B$2:$AO$367,Q530,0),525-INDEX(Calc!$AQ$2:$AQ$367,Q530)))</f>
        <v/>
      </c>
    </row>
    <row r="531">
      <c r="B531" s="71">
        <f>IF(R531="","",526)</f>
        <v/>
      </c>
      <c r="C531" s="75">
        <f>IF(R531="","",IF(INDEX('Recurring Schedule'!$C$6:$C$45,R531)="","",INDEX('Recurring Schedule'!$C$6:$C$45,R531)))</f>
        <v/>
      </c>
      <c r="D531" s="73">
        <f>IF(R531="","",IF(INDEX('Recurring Schedule'!$D$6:$D$45,R531)="","",INDEX('Recurring Schedule'!$D$6:$D$45,R531)))</f>
        <v/>
      </c>
      <c r="E531" s="76">
        <f>IF(Q531="","",INDEX(Calc!$A$2:$A$367,Q531))</f>
        <v/>
      </c>
      <c r="F531" s="72">
        <f>IF(OR(C531="",E531=""),"",E531-Setup!$D$7)</f>
        <v/>
      </c>
      <c r="G531" s="77">
        <f>IF(R531="","",IF(INDEX('Recurring Schedule'!$H$6:$H$45,R531)="","",INDEX('Recurring Schedule'!$H$6:$H$45,R531)))</f>
        <v/>
      </c>
      <c r="H531" s="77">
        <f>IF(R531="","",IF(INDEX('Recurring Schedule'!$I$6:$I$45,R531)="","",INDEX('Recurring Schedule'!$I$6:$I$45,R531)))</f>
        <v/>
      </c>
      <c r="I531" s="73">
        <f>IF(OR(G531="",H531=""),"",TRIM(IF(HOUR(H531-G531)&gt;0,HOUR(H531-G531)&amp;" hr ","")&amp;IF(MINUTE(H531-G531)&gt;0,MINUTE(H531-G531)&amp;" min","")))</f>
        <v/>
      </c>
      <c r="J531" s="66" t="n"/>
      <c r="K531" s="70" t="n"/>
      <c r="L531" s="73">
        <f>IF(R531="","",IF(INDEX('Recurring Schedule'!$J$6:$J$45,R531)="","",INDEX('Recurring Schedule'!$J$6:$J$45,R531)))</f>
        <v/>
      </c>
      <c r="M531" s="73">
        <f>IF(R531="","",IF(INDEX('Recurring Schedule'!$K$6:$K$45,R531)="","",INDEX('Recurring Schedule'!$K$6:$K$45,R531)))</f>
        <v/>
      </c>
      <c r="N531" s="73">
        <f>IF(R531="","",IF(INDEX('Recurring Schedule'!$L$6:$L$45,R531)="","",INDEX('Recurring Schedule'!$L$6:$L$45,R531)))</f>
        <v/>
      </c>
      <c r="O531" s="73">
        <f>IF(C531="","",IF(AND(OR(L531="1-Urgent",L531="2-High"),M531="✓"),"DO FIRST",IF(M531="✓","SCHEDULE",IF(OR(L531="1-Urgent",L531="2-High"),"DELEGATE","DELETE"))))</f>
        <v/>
      </c>
      <c r="P531" s="65" t="n"/>
      <c r="Q531">
        <f>IF(526&gt;Calc!$AQ$368,"",MATCH(525,Calc!$AQ$2:$AQ$367,1))</f>
        <v/>
      </c>
      <c r="R531">
        <f>IF(Q531="","",SMALL(INDEX(Calc!$B$2:$AO$367,Q531,0),526-INDEX(Calc!$AQ$2:$AQ$367,Q531)))</f>
        <v/>
      </c>
    </row>
    <row r="532">
      <c r="B532" s="64">
        <f>IF(R532="","",527)</f>
        <v/>
      </c>
      <c r="C532" s="37">
        <f>IF(R532="","",IF(INDEX('Recurring Schedule'!$C$6:$C$45,R532)="","",INDEX('Recurring Schedule'!$C$6:$C$45,R532)))</f>
        <v/>
      </c>
      <c r="D532" s="36">
        <f>IF(R532="","",IF(INDEX('Recurring Schedule'!$D$6:$D$45,R532)="","",INDEX('Recurring Schedule'!$D$6:$D$45,R532)))</f>
        <v/>
      </c>
      <c r="E532" s="38">
        <f>IF(Q532="","",INDEX(Calc!$A$2:$A$367,Q532))</f>
        <v/>
      </c>
      <c r="F532" s="68">
        <f>IF(OR(C532="",E532=""),"",E532-Setup!$D$7)</f>
        <v/>
      </c>
      <c r="G532" s="74">
        <f>IF(R532="","",IF(INDEX('Recurring Schedule'!$H$6:$H$45,R532)="","",INDEX('Recurring Schedule'!$H$6:$H$45,R532)))</f>
        <v/>
      </c>
      <c r="H532" s="74">
        <f>IF(R532="","",IF(INDEX('Recurring Schedule'!$I$6:$I$45,R532)="","",INDEX('Recurring Schedule'!$I$6:$I$45,R532)))</f>
        <v/>
      </c>
      <c r="I532" s="36">
        <f>IF(OR(G532="",H532=""),"",TRIM(IF(HOUR(H532-G532)&gt;0,HOUR(H532-G532)&amp;" hr ","")&amp;IF(MINUTE(H532-G532)&gt;0,MINUTE(H532-G532)&amp;" min","")))</f>
        <v/>
      </c>
      <c r="J532" s="66" t="n"/>
      <c r="K532" s="70" t="n"/>
      <c r="L532" s="36">
        <f>IF(R532="","",IF(INDEX('Recurring Schedule'!$J$6:$J$45,R532)="","",INDEX('Recurring Schedule'!$J$6:$J$45,R532)))</f>
        <v/>
      </c>
      <c r="M532" s="36">
        <f>IF(R532="","",IF(INDEX('Recurring Schedule'!$K$6:$K$45,R532)="","",INDEX('Recurring Schedule'!$K$6:$K$45,R532)))</f>
        <v/>
      </c>
      <c r="N532" s="36">
        <f>IF(R532="","",IF(INDEX('Recurring Schedule'!$L$6:$L$45,R532)="","",INDEX('Recurring Schedule'!$L$6:$L$45,R532)))</f>
        <v/>
      </c>
      <c r="O532" s="36">
        <f>IF(C532="","",IF(AND(OR(L532="1-Urgent",L532="2-High"),M532="✓"),"DO FIRST",IF(M532="✓","SCHEDULE",IF(OR(L532="1-Urgent",L532="2-High"),"DELEGATE","DELETE"))))</f>
        <v/>
      </c>
      <c r="P532" s="65" t="n"/>
      <c r="Q532">
        <f>IF(527&gt;Calc!$AQ$368,"",MATCH(526,Calc!$AQ$2:$AQ$367,1))</f>
        <v/>
      </c>
      <c r="R532">
        <f>IF(Q532="","",SMALL(INDEX(Calc!$B$2:$AO$367,Q532,0),527-INDEX(Calc!$AQ$2:$AQ$367,Q532)))</f>
        <v/>
      </c>
    </row>
    <row r="533">
      <c r="B533" s="71">
        <f>IF(R533="","",528)</f>
        <v/>
      </c>
      <c r="C533" s="75">
        <f>IF(R533="","",IF(INDEX('Recurring Schedule'!$C$6:$C$45,R533)="","",INDEX('Recurring Schedule'!$C$6:$C$45,R533)))</f>
        <v/>
      </c>
      <c r="D533" s="73">
        <f>IF(R533="","",IF(INDEX('Recurring Schedule'!$D$6:$D$45,R533)="","",INDEX('Recurring Schedule'!$D$6:$D$45,R533)))</f>
        <v/>
      </c>
      <c r="E533" s="76">
        <f>IF(Q533="","",INDEX(Calc!$A$2:$A$367,Q533))</f>
        <v/>
      </c>
      <c r="F533" s="72">
        <f>IF(OR(C533="",E533=""),"",E533-Setup!$D$7)</f>
        <v/>
      </c>
      <c r="G533" s="77">
        <f>IF(R533="","",IF(INDEX('Recurring Schedule'!$H$6:$H$45,R533)="","",INDEX('Recurring Schedule'!$H$6:$H$45,R533)))</f>
        <v/>
      </c>
      <c r="H533" s="77">
        <f>IF(R533="","",IF(INDEX('Recurring Schedule'!$I$6:$I$45,R533)="","",INDEX('Recurring Schedule'!$I$6:$I$45,R533)))</f>
        <v/>
      </c>
      <c r="I533" s="73">
        <f>IF(OR(G533="",H533=""),"",TRIM(IF(HOUR(H533-G533)&gt;0,HOUR(H533-G533)&amp;" hr ","")&amp;IF(MINUTE(H533-G533)&gt;0,MINUTE(H533-G533)&amp;" min","")))</f>
        <v/>
      </c>
      <c r="J533" s="66" t="n"/>
      <c r="K533" s="70" t="n"/>
      <c r="L533" s="73">
        <f>IF(R533="","",IF(INDEX('Recurring Schedule'!$J$6:$J$45,R533)="","",INDEX('Recurring Schedule'!$J$6:$J$45,R533)))</f>
        <v/>
      </c>
      <c r="M533" s="73">
        <f>IF(R533="","",IF(INDEX('Recurring Schedule'!$K$6:$K$45,R533)="","",INDEX('Recurring Schedule'!$K$6:$K$45,R533)))</f>
        <v/>
      </c>
      <c r="N533" s="73">
        <f>IF(R533="","",IF(INDEX('Recurring Schedule'!$L$6:$L$45,R533)="","",INDEX('Recurring Schedule'!$L$6:$L$45,R533)))</f>
        <v/>
      </c>
      <c r="O533" s="73">
        <f>IF(C533="","",IF(AND(OR(L533="1-Urgent",L533="2-High"),M533="✓"),"DO FIRST",IF(M533="✓","SCHEDULE",IF(OR(L533="1-Urgent",L533="2-High"),"DELEGATE","DELETE"))))</f>
        <v/>
      </c>
      <c r="P533" s="65" t="n"/>
      <c r="Q533">
        <f>IF(528&gt;Calc!$AQ$368,"",MATCH(527,Calc!$AQ$2:$AQ$367,1))</f>
        <v/>
      </c>
      <c r="R533">
        <f>IF(Q533="","",SMALL(INDEX(Calc!$B$2:$AO$367,Q533,0),528-INDEX(Calc!$AQ$2:$AQ$367,Q533)))</f>
        <v/>
      </c>
    </row>
    <row r="534">
      <c r="B534" s="64">
        <f>IF(R534="","",529)</f>
        <v/>
      </c>
      <c r="C534" s="37">
        <f>IF(R534="","",IF(INDEX('Recurring Schedule'!$C$6:$C$45,R534)="","",INDEX('Recurring Schedule'!$C$6:$C$45,R534)))</f>
        <v/>
      </c>
      <c r="D534" s="36">
        <f>IF(R534="","",IF(INDEX('Recurring Schedule'!$D$6:$D$45,R534)="","",INDEX('Recurring Schedule'!$D$6:$D$45,R534)))</f>
        <v/>
      </c>
      <c r="E534" s="38">
        <f>IF(Q534="","",INDEX(Calc!$A$2:$A$367,Q534))</f>
        <v/>
      </c>
      <c r="F534" s="68">
        <f>IF(OR(C534="",E534=""),"",E534-Setup!$D$7)</f>
        <v/>
      </c>
      <c r="G534" s="74">
        <f>IF(R534="","",IF(INDEX('Recurring Schedule'!$H$6:$H$45,R534)="","",INDEX('Recurring Schedule'!$H$6:$H$45,R534)))</f>
        <v/>
      </c>
      <c r="H534" s="74">
        <f>IF(R534="","",IF(INDEX('Recurring Schedule'!$I$6:$I$45,R534)="","",INDEX('Recurring Schedule'!$I$6:$I$45,R534)))</f>
        <v/>
      </c>
      <c r="I534" s="36">
        <f>IF(OR(G534="",H534=""),"",TRIM(IF(HOUR(H534-G534)&gt;0,HOUR(H534-G534)&amp;" hr ","")&amp;IF(MINUTE(H534-G534)&gt;0,MINUTE(H534-G534)&amp;" min","")))</f>
        <v/>
      </c>
      <c r="J534" s="66" t="n"/>
      <c r="K534" s="70" t="n"/>
      <c r="L534" s="36">
        <f>IF(R534="","",IF(INDEX('Recurring Schedule'!$J$6:$J$45,R534)="","",INDEX('Recurring Schedule'!$J$6:$J$45,R534)))</f>
        <v/>
      </c>
      <c r="M534" s="36">
        <f>IF(R534="","",IF(INDEX('Recurring Schedule'!$K$6:$K$45,R534)="","",INDEX('Recurring Schedule'!$K$6:$K$45,R534)))</f>
        <v/>
      </c>
      <c r="N534" s="36">
        <f>IF(R534="","",IF(INDEX('Recurring Schedule'!$L$6:$L$45,R534)="","",INDEX('Recurring Schedule'!$L$6:$L$45,R534)))</f>
        <v/>
      </c>
      <c r="O534" s="36">
        <f>IF(C534="","",IF(AND(OR(L534="1-Urgent",L534="2-High"),M534="✓"),"DO FIRST",IF(M534="✓","SCHEDULE",IF(OR(L534="1-Urgent",L534="2-High"),"DELEGATE","DELETE"))))</f>
        <v/>
      </c>
      <c r="P534" s="65" t="n"/>
      <c r="Q534">
        <f>IF(529&gt;Calc!$AQ$368,"",MATCH(528,Calc!$AQ$2:$AQ$367,1))</f>
        <v/>
      </c>
      <c r="R534">
        <f>IF(Q534="","",SMALL(INDEX(Calc!$B$2:$AO$367,Q534,0),529-INDEX(Calc!$AQ$2:$AQ$367,Q534)))</f>
        <v/>
      </c>
    </row>
    <row r="535">
      <c r="B535" s="71">
        <f>IF(R535="","",530)</f>
        <v/>
      </c>
      <c r="C535" s="75">
        <f>IF(R535="","",IF(INDEX('Recurring Schedule'!$C$6:$C$45,R535)="","",INDEX('Recurring Schedule'!$C$6:$C$45,R535)))</f>
        <v/>
      </c>
      <c r="D535" s="73">
        <f>IF(R535="","",IF(INDEX('Recurring Schedule'!$D$6:$D$45,R535)="","",INDEX('Recurring Schedule'!$D$6:$D$45,R535)))</f>
        <v/>
      </c>
      <c r="E535" s="76">
        <f>IF(Q535="","",INDEX(Calc!$A$2:$A$367,Q535))</f>
        <v/>
      </c>
      <c r="F535" s="72">
        <f>IF(OR(C535="",E535=""),"",E535-Setup!$D$7)</f>
        <v/>
      </c>
      <c r="G535" s="77">
        <f>IF(R535="","",IF(INDEX('Recurring Schedule'!$H$6:$H$45,R535)="","",INDEX('Recurring Schedule'!$H$6:$H$45,R535)))</f>
        <v/>
      </c>
      <c r="H535" s="77">
        <f>IF(R535="","",IF(INDEX('Recurring Schedule'!$I$6:$I$45,R535)="","",INDEX('Recurring Schedule'!$I$6:$I$45,R535)))</f>
        <v/>
      </c>
      <c r="I535" s="73">
        <f>IF(OR(G535="",H535=""),"",TRIM(IF(HOUR(H535-G535)&gt;0,HOUR(H535-G535)&amp;" hr ","")&amp;IF(MINUTE(H535-G535)&gt;0,MINUTE(H535-G535)&amp;" min","")))</f>
        <v/>
      </c>
      <c r="J535" s="66" t="n"/>
      <c r="K535" s="70" t="n"/>
      <c r="L535" s="73">
        <f>IF(R535="","",IF(INDEX('Recurring Schedule'!$J$6:$J$45,R535)="","",INDEX('Recurring Schedule'!$J$6:$J$45,R535)))</f>
        <v/>
      </c>
      <c r="M535" s="73">
        <f>IF(R535="","",IF(INDEX('Recurring Schedule'!$K$6:$K$45,R535)="","",INDEX('Recurring Schedule'!$K$6:$K$45,R535)))</f>
        <v/>
      </c>
      <c r="N535" s="73">
        <f>IF(R535="","",IF(INDEX('Recurring Schedule'!$L$6:$L$45,R535)="","",INDEX('Recurring Schedule'!$L$6:$L$45,R535)))</f>
        <v/>
      </c>
      <c r="O535" s="73">
        <f>IF(C535="","",IF(AND(OR(L535="1-Urgent",L535="2-High"),M535="✓"),"DO FIRST",IF(M535="✓","SCHEDULE",IF(OR(L535="1-Urgent",L535="2-High"),"DELEGATE","DELETE"))))</f>
        <v/>
      </c>
      <c r="P535" s="65" t="n"/>
      <c r="Q535">
        <f>IF(530&gt;Calc!$AQ$368,"",MATCH(529,Calc!$AQ$2:$AQ$367,1))</f>
        <v/>
      </c>
      <c r="R535">
        <f>IF(Q535="","",SMALL(INDEX(Calc!$B$2:$AO$367,Q535,0),530-INDEX(Calc!$AQ$2:$AQ$367,Q535)))</f>
        <v/>
      </c>
    </row>
    <row r="536">
      <c r="B536" s="64">
        <f>IF(R536="","",531)</f>
        <v/>
      </c>
      <c r="C536" s="37">
        <f>IF(R536="","",IF(INDEX('Recurring Schedule'!$C$6:$C$45,R536)="","",INDEX('Recurring Schedule'!$C$6:$C$45,R536)))</f>
        <v/>
      </c>
      <c r="D536" s="36">
        <f>IF(R536="","",IF(INDEX('Recurring Schedule'!$D$6:$D$45,R536)="","",INDEX('Recurring Schedule'!$D$6:$D$45,R536)))</f>
        <v/>
      </c>
      <c r="E536" s="38">
        <f>IF(Q536="","",INDEX(Calc!$A$2:$A$367,Q536))</f>
        <v/>
      </c>
      <c r="F536" s="68">
        <f>IF(OR(C536="",E536=""),"",E536-Setup!$D$7)</f>
        <v/>
      </c>
      <c r="G536" s="74">
        <f>IF(R536="","",IF(INDEX('Recurring Schedule'!$H$6:$H$45,R536)="","",INDEX('Recurring Schedule'!$H$6:$H$45,R536)))</f>
        <v/>
      </c>
      <c r="H536" s="74">
        <f>IF(R536="","",IF(INDEX('Recurring Schedule'!$I$6:$I$45,R536)="","",INDEX('Recurring Schedule'!$I$6:$I$45,R536)))</f>
        <v/>
      </c>
      <c r="I536" s="36">
        <f>IF(OR(G536="",H536=""),"",TRIM(IF(HOUR(H536-G536)&gt;0,HOUR(H536-G536)&amp;" hr ","")&amp;IF(MINUTE(H536-G536)&gt;0,MINUTE(H536-G536)&amp;" min","")))</f>
        <v/>
      </c>
      <c r="J536" s="66" t="n"/>
      <c r="K536" s="70" t="n"/>
      <c r="L536" s="36">
        <f>IF(R536="","",IF(INDEX('Recurring Schedule'!$J$6:$J$45,R536)="","",INDEX('Recurring Schedule'!$J$6:$J$45,R536)))</f>
        <v/>
      </c>
      <c r="M536" s="36">
        <f>IF(R536="","",IF(INDEX('Recurring Schedule'!$K$6:$K$45,R536)="","",INDEX('Recurring Schedule'!$K$6:$K$45,R536)))</f>
        <v/>
      </c>
      <c r="N536" s="36">
        <f>IF(R536="","",IF(INDEX('Recurring Schedule'!$L$6:$L$45,R536)="","",INDEX('Recurring Schedule'!$L$6:$L$45,R536)))</f>
        <v/>
      </c>
      <c r="O536" s="36">
        <f>IF(C536="","",IF(AND(OR(L536="1-Urgent",L536="2-High"),M536="✓"),"DO FIRST",IF(M536="✓","SCHEDULE",IF(OR(L536="1-Urgent",L536="2-High"),"DELEGATE","DELETE"))))</f>
        <v/>
      </c>
      <c r="P536" s="65" t="n"/>
      <c r="Q536">
        <f>IF(531&gt;Calc!$AQ$368,"",MATCH(530,Calc!$AQ$2:$AQ$367,1))</f>
        <v/>
      </c>
      <c r="R536">
        <f>IF(Q536="","",SMALL(INDEX(Calc!$B$2:$AO$367,Q536,0),531-INDEX(Calc!$AQ$2:$AQ$367,Q536)))</f>
        <v/>
      </c>
    </row>
    <row r="537">
      <c r="B537" s="71">
        <f>IF(R537="","",532)</f>
        <v/>
      </c>
      <c r="C537" s="75">
        <f>IF(R537="","",IF(INDEX('Recurring Schedule'!$C$6:$C$45,R537)="","",INDEX('Recurring Schedule'!$C$6:$C$45,R537)))</f>
        <v/>
      </c>
      <c r="D537" s="73">
        <f>IF(R537="","",IF(INDEX('Recurring Schedule'!$D$6:$D$45,R537)="","",INDEX('Recurring Schedule'!$D$6:$D$45,R537)))</f>
        <v/>
      </c>
      <c r="E537" s="76">
        <f>IF(Q537="","",INDEX(Calc!$A$2:$A$367,Q537))</f>
        <v/>
      </c>
      <c r="F537" s="72">
        <f>IF(OR(C537="",E537=""),"",E537-Setup!$D$7)</f>
        <v/>
      </c>
      <c r="G537" s="77">
        <f>IF(R537="","",IF(INDEX('Recurring Schedule'!$H$6:$H$45,R537)="","",INDEX('Recurring Schedule'!$H$6:$H$45,R537)))</f>
        <v/>
      </c>
      <c r="H537" s="77">
        <f>IF(R537="","",IF(INDEX('Recurring Schedule'!$I$6:$I$45,R537)="","",INDEX('Recurring Schedule'!$I$6:$I$45,R537)))</f>
        <v/>
      </c>
      <c r="I537" s="73">
        <f>IF(OR(G537="",H537=""),"",TRIM(IF(HOUR(H537-G537)&gt;0,HOUR(H537-G537)&amp;" hr ","")&amp;IF(MINUTE(H537-G537)&gt;0,MINUTE(H537-G537)&amp;" min","")))</f>
        <v/>
      </c>
      <c r="J537" s="66" t="n"/>
      <c r="K537" s="70" t="n"/>
      <c r="L537" s="73">
        <f>IF(R537="","",IF(INDEX('Recurring Schedule'!$J$6:$J$45,R537)="","",INDEX('Recurring Schedule'!$J$6:$J$45,R537)))</f>
        <v/>
      </c>
      <c r="M537" s="73">
        <f>IF(R537="","",IF(INDEX('Recurring Schedule'!$K$6:$K$45,R537)="","",INDEX('Recurring Schedule'!$K$6:$K$45,R537)))</f>
        <v/>
      </c>
      <c r="N537" s="73">
        <f>IF(R537="","",IF(INDEX('Recurring Schedule'!$L$6:$L$45,R537)="","",INDEX('Recurring Schedule'!$L$6:$L$45,R537)))</f>
        <v/>
      </c>
      <c r="O537" s="73">
        <f>IF(C537="","",IF(AND(OR(L537="1-Urgent",L537="2-High"),M537="✓"),"DO FIRST",IF(M537="✓","SCHEDULE",IF(OR(L537="1-Urgent",L537="2-High"),"DELEGATE","DELETE"))))</f>
        <v/>
      </c>
      <c r="P537" s="65" t="n"/>
      <c r="Q537">
        <f>IF(532&gt;Calc!$AQ$368,"",MATCH(531,Calc!$AQ$2:$AQ$367,1))</f>
        <v/>
      </c>
      <c r="R537">
        <f>IF(Q537="","",SMALL(INDEX(Calc!$B$2:$AO$367,Q537,0),532-INDEX(Calc!$AQ$2:$AQ$367,Q537)))</f>
        <v/>
      </c>
    </row>
    <row r="538">
      <c r="B538" s="64">
        <f>IF(R538="","",533)</f>
        <v/>
      </c>
      <c r="C538" s="37">
        <f>IF(R538="","",IF(INDEX('Recurring Schedule'!$C$6:$C$45,R538)="","",INDEX('Recurring Schedule'!$C$6:$C$45,R538)))</f>
        <v/>
      </c>
      <c r="D538" s="36">
        <f>IF(R538="","",IF(INDEX('Recurring Schedule'!$D$6:$D$45,R538)="","",INDEX('Recurring Schedule'!$D$6:$D$45,R538)))</f>
        <v/>
      </c>
      <c r="E538" s="38">
        <f>IF(Q538="","",INDEX(Calc!$A$2:$A$367,Q538))</f>
        <v/>
      </c>
      <c r="F538" s="68">
        <f>IF(OR(C538="",E538=""),"",E538-Setup!$D$7)</f>
        <v/>
      </c>
      <c r="G538" s="74">
        <f>IF(R538="","",IF(INDEX('Recurring Schedule'!$H$6:$H$45,R538)="","",INDEX('Recurring Schedule'!$H$6:$H$45,R538)))</f>
        <v/>
      </c>
      <c r="H538" s="74">
        <f>IF(R538="","",IF(INDEX('Recurring Schedule'!$I$6:$I$45,R538)="","",INDEX('Recurring Schedule'!$I$6:$I$45,R538)))</f>
        <v/>
      </c>
      <c r="I538" s="36">
        <f>IF(OR(G538="",H538=""),"",TRIM(IF(HOUR(H538-G538)&gt;0,HOUR(H538-G538)&amp;" hr ","")&amp;IF(MINUTE(H538-G538)&gt;0,MINUTE(H538-G538)&amp;" min","")))</f>
        <v/>
      </c>
      <c r="J538" s="66" t="n"/>
      <c r="K538" s="70" t="n"/>
      <c r="L538" s="36">
        <f>IF(R538="","",IF(INDEX('Recurring Schedule'!$J$6:$J$45,R538)="","",INDEX('Recurring Schedule'!$J$6:$J$45,R538)))</f>
        <v/>
      </c>
      <c r="M538" s="36">
        <f>IF(R538="","",IF(INDEX('Recurring Schedule'!$K$6:$K$45,R538)="","",INDEX('Recurring Schedule'!$K$6:$K$45,R538)))</f>
        <v/>
      </c>
      <c r="N538" s="36">
        <f>IF(R538="","",IF(INDEX('Recurring Schedule'!$L$6:$L$45,R538)="","",INDEX('Recurring Schedule'!$L$6:$L$45,R538)))</f>
        <v/>
      </c>
      <c r="O538" s="36">
        <f>IF(C538="","",IF(AND(OR(L538="1-Urgent",L538="2-High"),M538="✓"),"DO FIRST",IF(M538="✓","SCHEDULE",IF(OR(L538="1-Urgent",L538="2-High"),"DELEGATE","DELETE"))))</f>
        <v/>
      </c>
      <c r="P538" s="65" t="n"/>
      <c r="Q538">
        <f>IF(533&gt;Calc!$AQ$368,"",MATCH(532,Calc!$AQ$2:$AQ$367,1))</f>
        <v/>
      </c>
      <c r="R538">
        <f>IF(Q538="","",SMALL(INDEX(Calc!$B$2:$AO$367,Q538,0),533-INDEX(Calc!$AQ$2:$AQ$367,Q538)))</f>
        <v/>
      </c>
    </row>
    <row r="539">
      <c r="B539" s="71">
        <f>IF(R539="","",534)</f>
        <v/>
      </c>
      <c r="C539" s="75">
        <f>IF(R539="","",IF(INDEX('Recurring Schedule'!$C$6:$C$45,R539)="","",INDEX('Recurring Schedule'!$C$6:$C$45,R539)))</f>
        <v/>
      </c>
      <c r="D539" s="73">
        <f>IF(R539="","",IF(INDEX('Recurring Schedule'!$D$6:$D$45,R539)="","",INDEX('Recurring Schedule'!$D$6:$D$45,R539)))</f>
        <v/>
      </c>
      <c r="E539" s="76">
        <f>IF(Q539="","",INDEX(Calc!$A$2:$A$367,Q539))</f>
        <v/>
      </c>
      <c r="F539" s="72">
        <f>IF(OR(C539="",E539=""),"",E539-Setup!$D$7)</f>
        <v/>
      </c>
      <c r="G539" s="77">
        <f>IF(R539="","",IF(INDEX('Recurring Schedule'!$H$6:$H$45,R539)="","",INDEX('Recurring Schedule'!$H$6:$H$45,R539)))</f>
        <v/>
      </c>
      <c r="H539" s="77">
        <f>IF(R539="","",IF(INDEX('Recurring Schedule'!$I$6:$I$45,R539)="","",INDEX('Recurring Schedule'!$I$6:$I$45,R539)))</f>
        <v/>
      </c>
      <c r="I539" s="73">
        <f>IF(OR(G539="",H539=""),"",TRIM(IF(HOUR(H539-G539)&gt;0,HOUR(H539-G539)&amp;" hr ","")&amp;IF(MINUTE(H539-G539)&gt;0,MINUTE(H539-G539)&amp;" min","")))</f>
        <v/>
      </c>
      <c r="J539" s="66" t="n"/>
      <c r="K539" s="70" t="n"/>
      <c r="L539" s="73">
        <f>IF(R539="","",IF(INDEX('Recurring Schedule'!$J$6:$J$45,R539)="","",INDEX('Recurring Schedule'!$J$6:$J$45,R539)))</f>
        <v/>
      </c>
      <c r="M539" s="73">
        <f>IF(R539="","",IF(INDEX('Recurring Schedule'!$K$6:$K$45,R539)="","",INDEX('Recurring Schedule'!$K$6:$K$45,R539)))</f>
        <v/>
      </c>
      <c r="N539" s="73">
        <f>IF(R539="","",IF(INDEX('Recurring Schedule'!$L$6:$L$45,R539)="","",INDEX('Recurring Schedule'!$L$6:$L$45,R539)))</f>
        <v/>
      </c>
      <c r="O539" s="73">
        <f>IF(C539="","",IF(AND(OR(L539="1-Urgent",L539="2-High"),M539="✓"),"DO FIRST",IF(M539="✓","SCHEDULE",IF(OR(L539="1-Urgent",L539="2-High"),"DELEGATE","DELETE"))))</f>
        <v/>
      </c>
      <c r="P539" s="65" t="n"/>
      <c r="Q539">
        <f>IF(534&gt;Calc!$AQ$368,"",MATCH(533,Calc!$AQ$2:$AQ$367,1))</f>
        <v/>
      </c>
      <c r="R539">
        <f>IF(Q539="","",SMALL(INDEX(Calc!$B$2:$AO$367,Q539,0),534-INDEX(Calc!$AQ$2:$AQ$367,Q539)))</f>
        <v/>
      </c>
    </row>
    <row r="540">
      <c r="B540" s="64">
        <f>IF(R540="","",535)</f>
        <v/>
      </c>
      <c r="C540" s="37">
        <f>IF(R540="","",IF(INDEX('Recurring Schedule'!$C$6:$C$45,R540)="","",INDEX('Recurring Schedule'!$C$6:$C$45,R540)))</f>
        <v/>
      </c>
      <c r="D540" s="36">
        <f>IF(R540="","",IF(INDEX('Recurring Schedule'!$D$6:$D$45,R540)="","",INDEX('Recurring Schedule'!$D$6:$D$45,R540)))</f>
        <v/>
      </c>
      <c r="E540" s="38">
        <f>IF(Q540="","",INDEX(Calc!$A$2:$A$367,Q540))</f>
        <v/>
      </c>
      <c r="F540" s="68">
        <f>IF(OR(C540="",E540=""),"",E540-Setup!$D$7)</f>
        <v/>
      </c>
      <c r="G540" s="74">
        <f>IF(R540="","",IF(INDEX('Recurring Schedule'!$H$6:$H$45,R540)="","",INDEX('Recurring Schedule'!$H$6:$H$45,R540)))</f>
        <v/>
      </c>
      <c r="H540" s="74">
        <f>IF(R540="","",IF(INDEX('Recurring Schedule'!$I$6:$I$45,R540)="","",INDEX('Recurring Schedule'!$I$6:$I$45,R540)))</f>
        <v/>
      </c>
      <c r="I540" s="36">
        <f>IF(OR(G540="",H540=""),"",TRIM(IF(HOUR(H540-G540)&gt;0,HOUR(H540-G540)&amp;" hr ","")&amp;IF(MINUTE(H540-G540)&gt;0,MINUTE(H540-G540)&amp;" min","")))</f>
        <v/>
      </c>
      <c r="J540" s="66" t="n"/>
      <c r="K540" s="70" t="n"/>
      <c r="L540" s="36">
        <f>IF(R540="","",IF(INDEX('Recurring Schedule'!$J$6:$J$45,R540)="","",INDEX('Recurring Schedule'!$J$6:$J$45,R540)))</f>
        <v/>
      </c>
      <c r="M540" s="36">
        <f>IF(R540="","",IF(INDEX('Recurring Schedule'!$K$6:$K$45,R540)="","",INDEX('Recurring Schedule'!$K$6:$K$45,R540)))</f>
        <v/>
      </c>
      <c r="N540" s="36">
        <f>IF(R540="","",IF(INDEX('Recurring Schedule'!$L$6:$L$45,R540)="","",INDEX('Recurring Schedule'!$L$6:$L$45,R540)))</f>
        <v/>
      </c>
      <c r="O540" s="36">
        <f>IF(C540="","",IF(AND(OR(L540="1-Urgent",L540="2-High"),M540="✓"),"DO FIRST",IF(M540="✓","SCHEDULE",IF(OR(L540="1-Urgent",L540="2-High"),"DELEGATE","DELETE"))))</f>
        <v/>
      </c>
      <c r="P540" s="65" t="n"/>
      <c r="Q540">
        <f>IF(535&gt;Calc!$AQ$368,"",MATCH(534,Calc!$AQ$2:$AQ$367,1))</f>
        <v/>
      </c>
      <c r="R540">
        <f>IF(Q540="","",SMALL(INDEX(Calc!$B$2:$AO$367,Q540,0),535-INDEX(Calc!$AQ$2:$AQ$367,Q540)))</f>
        <v/>
      </c>
    </row>
    <row r="541">
      <c r="B541" s="71">
        <f>IF(R541="","",536)</f>
        <v/>
      </c>
      <c r="C541" s="75">
        <f>IF(R541="","",IF(INDEX('Recurring Schedule'!$C$6:$C$45,R541)="","",INDEX('Recurring Schedule'!$C$6:$C$45,R541)))</f>
        <v/>
      </c>
      <c r="D541" s="73">
        <f>IF(R541="","",IF(INDEX('Recurring Schedule'!$D$6:$D$45,R541)="","",INDEX('Recurring Schedule'!$D$6:$D$45,R541)))</f>
        <v/>
      </c>
      <c r="E541" s="76">
        <f>IF(Q541="","",INDEX(Calc!$A$2:$A$367,Q541))</f>
        <v/>
      </c>
      <c r="F541" s="72">
        <f>IF(OR(C541="",E541=""),"",E541-Setup!$D$7)</f>
        <v/>
      </c>
      <c r="G541" s="77">
        <f>IF(R541="","",IF(INDEX('Recurring Schedule'!$H$6:$H$45,R541)="","",INDEX('Recurring Schedule'!$H$6:$H$45,R541)))</f>
        <v/>
      </c>
      <c r="H541" s="77">
        <f>IF(R541="","",IF(INDEX('Recurring Schedule'!$I$6:$I$45,R541)="","",INDEX('Recurring Schedule'!$I$6:$I$45,R541)))</f>
        <v/>
      </c>
      <c r="I541" s="73">
        <f>IF(OR(G541="",H541=""),"",TRIM(IF(HOUR(H541-G541)&gt;0,HOUR(H541-G541)&amp;" hr ","")&amp;IF(MINUTE(H541-G541)&gt;0,MINUTE(H541-G541)&amp;" min","")))</f>
        <v/>
      </c>
      <c r="J541" s="66" t="n"/>
      <c r="K541" s="70" t="n"/>
      <c r="L541" s="73">
        <f>IF(R541="","",IF(INDEX('Recurring Schedule'!$J$6:$J$45,R541)="","",INDEX('Recurring Schedule'!$J$6:$J$45,R541)))</f>
        <v/>
      </c>
      <c r="M541" s="73">
        <f>IF(R541="","",IF(INDEX('Recurring Schedule'!$K$6:$K$45,R541)="","",INDEX('Recurring Schedule'!$K$6:$K$45,R541)))</f>
        <v/>
      </c>
      <c r="N541" s="73">
        <f>IF(R541="","",IF(INDEX('Recurring Schedule'!$L$6:$L$45,R541)="","",INDEX('Recurring Schedule'!$L$6:$L$45,R541)))</f>
        <v/>
      </c>
      <c r="O541" s="73">
        <f>IF(C541="","",IF(AND(OR(L541="1-Urgent",L541="2-High"),M541="✓"),"DO FIRST",IF(M541="✓","SCHEDULE",IF(OR(L541="1-Urgent",L541="2-High"),"DELEGATE","DELETE"))))</f>
        <v/>
      </c>
      <c r="P541" s="65" t="n"/>
      <c r="Q541">
        <f>IF(536&gt;Calc!$AQ$368,"",MATCH(535,Calc!$AQ$2:$AQ$367,1))</f>
        <v/>
      </c>
      <c r="R541">
        <f>IF(Q541="","",SMALL(INDEX(Calc!$B$2:$AO$367,Q541,0),536-INDEX(Calc!$AQ$2:$AQ$367,Q541)))</f>
        <v/>
      </c>
    </row>
    <row r="542">
      <c r="B542" s="64">
        <f>IF(R542="","",537)</f>
        <v/>
      </c>
      <c r="C542" s="37">
        <f>IF(R542="","",IF(INDEX('Recurring Schedule'!$C$6:$C$45,R542)="","",INDEX('Recurring Schedule'!$C$6:$C$45,R542)))</f>
        <v/>
      </c>
      <c r="D542" s="36">
        <f>IF(R542="","",IF(INDEX('Recurring Schedule'!$D$6:$D$45,R542)="","",INDEX('Recurring Schedule'!$D$6:$D$45,R542)))</f>
        <v/>
      </c>
      <c r="E542" s="38">
        <f>IF(Q542="","",INDEX(Calc!$A$2:$A$367,Q542))</f>
        <v/>
      </c>
      <c r="F542" s="68">
        <f>IF(OR(C542="",E542=""),"",E542-Setup!$D$7)</f>
        <v/>
      </c>
      <c r="G542" s="74">
        <f>IF(R542="","",IF(INDEX('Recurring Schedule'!$H$6:$H$45,R542)="","",INDEX('Recurring Schedule'!$H$6:$H$45,R542)))</f>
        <v/>
      </c>
      <c r="H542" s="74">
        <f>IF(R542="","",IF(INDEX('Recurring Schedule'!$I$6:$I$45,R542)="","",INDEX('Recurring Schedule'!$I$6:$I$45,R542)))</f>
        <v/>
      </c>
      <c r="I542" s="36">
        <f>IF(OR(G542="",H542=""),"",TRIM(IF(HOUR(H542-G542)&gt;0,HOUR(H542-G542)&amp;" hr ","")&amp;IF(MINUTE(H542-G542)&gt;0,MINUTE(H542-G542)&amp;" min","")))</f>
        <v/>
      </c>
      <c r="J542" s="66" t="n"/>
      <c r="K542" s="70" t="n"/>
      <c r="L542" s="36">
        <f>IF(R542="","",IF(INDEX('Recurring Schedule'!$J$6:$J$45,R542)="","",INDEX('Recurring Schedule'!$J$6:$J$45,R542)))</f>
        <v/>
      </c>
      <c r="M542" s="36">
        <f>IF(R542="","",IF(INDEX('Recurring Schedule'!$K$6:$K$45,R542)="","",INDEX('Recurring Schedule'!$K$6:$K$45,R542)))</f>
        <v/>
      </c>
      <c r="N542" s="36">
        <f>IF(R542="","",IF(INDEX('Recurring Schedule'!$L$6:$L$45,R542)="","",INDEX('Recurring Schedule'!$L$6:$L$45,R542)))</f>
        <v/>
      </c>
      <c r="O542" s="36">
        <f>IF(C542="","",IF(AND(OR(L542="1-Urgent",L542="2-High"),M542="✓"),"DO FIRST",IF(M542="✓","SCHEDULE",IF(OR(L542="1-Urgent",L542="2-High"),"DELEGATE","DELETE"))))</f>
        <v/>
      </c>
      <c r="P542" s="65" t="n"/>
      <c r="Q542">
        <f>IF(537&gt;Calc!$AQ$368,"",MATCH(536,Calc!$AQ$2:$AQ$367,1))</f>
        <v/>
      </c>
      <c r="R542">
        <f>IF(Q542="","",SMALL(INDEX(Calc!$B$2:$AO$367,Q542,0),537-INDEX(Calc!$AQ$2:$AQ$367,Q542)))</f>
        <v/>
      </c>
    </row>
    <row r="543">
      <c r="B543" s="71">
        <f>IF(R543="","",538)</f>
        <v/>
      </c>
      <c r="C543" s="75">
        <f>IF(R543="","",IF(INDEX('Recurring Schedule'!$C$6:$C$45,R543)="","",INDEX('Recurring Schedule'!$C$6:$C$45,R543)))</f>
        <v/>
      </c>
      <c r="D543" s="73">
        <f>IF(R543="","",IF(INDEX('Recurring Schedule'!$D$6:$D$45,R543)="","",INDEX('Recurring Schedule'!$D$6:$D$45,R543)))</f>
        <v/>
      </c>
      <c r="E543" s="76">
        <f>IF(Q543="","",INDEX(Calc!$A$2:$A$367,Q543))</f>
        <v/>
      </c>
      <c r="F543" s="72">
        <f>IF(OR(C543="",E543=""),"",E543-Setup!$D$7)</f>
        <v/>
      </c>
      <c r="G543" s="77">
        <f>IF(R543="","",IF(INDEX('Recurring Schedule'!$H$6:$H$45,R543)="","",INDEX('Recurring Schedule'!$H$6:$H$45,R543)))</f>
        <v/>
      </c>
      <c r="H543" s="77">
        <f>IF(R543="","",IF(INDEX('Recurring Schedule'!$I$6:$I$45,R543)="","",INDEX('Recurring Schedule'!$I$6:$I$45,R543)))</f>
        <v/>
      </c>
      <c r="I543" s="73">
        <f>IF(OR(G543="",H543=""),"",TRIM(IF(HOUR(H543-G543)&gt;0,HOUR(H543-G543)&amp;" hr ","")&amp;IF(MINUTE(H543-G543)&gt;0,MINUTE(H543-G543)&amp;" min","")))</f>
        <v/>
      </c>
      <c r="J543" s="66" t="n"/>
      <c r="K543" s="70" t="n"/>
      <c r="L543" s="73">
        <f>IF(R543="","",IF(INDEX('Recurring Schedule'!$J$6:$J$45,R543)="","",INDEX('Recurring Schedule'!$J$6:$J$45,R543)))</f>
        <v/>
      </c>
      <c r="M543" s="73">
        <f>IF(R543="","",IF(INDEX('Recurring Schedule'!$K$6:$K$45,R543)="","",INDEX('Recurring Schedule'!$K$6:$K$45,R543)))</f>
        <v/>
      </c>
      <c r="N543" s="73">
        <f>IF(R543="","",IF(INDEX('Recurring Schedule'!$L$6:$L$45,R543)="","",INDEX('Recurring Schedule'!$L$6:$L$45,R543)))</f>
        <v/>
      </c>
      <c r="O543" s="73">
        <f>IF(C543="","",IF(AND(OR(L543="1-Urgent",L543="2-High"),M543="✓"),"DO FIRST",IF(M543="✓","SCHEDULE",IF(OR(L543="1-Urgent",L543="2-High"),"DELEGATE","DELETE"))))</f>
        <v/>
      </c>
      <c r="P543" s="65" t="n"/>
      <c r="Q543">
        <f>IF(538&gt;Calc!$AQ$368,"",MATCH(537,Calc!$AQ$2:$AQ$367,1))</f>
        <v/>
      </c>
      <c r="R543">
        <f>IF(Q543="","",SMALL(INDEX(Calc!$B$2:$AO$367,Q543,0),538-INDEX(Calc!$AQ$2:$AQ$367,Q543)))</f>
        <v/>
      </c>
    </row>
    <row r="544">
      <c r="B544" s="64">
        <f>IF(R544="","",539)</f>
        <v/>
      </c>
      <c r="C544" s="37">
        <f>IF(R544="","",IF(INDEX('Recurring Schedule'!$C$6:$C$45,R544)="","",INDEX('Recurring Schedule'!$C$6:$C$45,R544)))</f>
        <v/>
      </c>
      <c r="D544" s="36">
        <f>IF(R544="","",IF(INDEX('Recurring Schedule'!$D$6:$D$45,R544)="","",INDEX('Recurring Schedule'!$D$6:$D$45,R544)))</f>
        <v/>
      </c>
      <c r="E544" s="38">
        <f>IF(Q544="","",INDEX(Calc!$A$2:$A$367,Q544))</f>
        <v/>
      </c>
      <c r="F544" s="68">
        <f>IF(OR(C544="",E544=""),"",E544-Setup!$D$7)</f>
        <v/>
      </c>
      <c r="G544" s="74">
        <f>IF(R544="","",IF(INDEX('Recurring Schedule'!$H$6:$H$45,R544)="","",INDEX('Recurring Schedule'!$H$6:$H$45,R544)))</f>
        <v/>
      </c>
      <c r="H544" s="74">
        <f>IF(R544="","",IF(INDEX('Recurring Schedule'!$I$6:$I$45,R544)="","",INDEX('Recurring Schedule'!$I$6:$I$45,R544)))</f>
        <v/>
      </c>
      <c r="I544" s="36">
        <f>IF(OR(G544="",H544=""),"",TRIM(IF(HOUR(H544-G544)&gt;0,HOUR(H544-G544)&amp;" hr ","")&amp;IF(MINUTE(H544-G544)&gt;0,MINUTE(H544-G544)&amp;" min","")))</f>
        <v/>
      </c>
      <c r="J544" s="66" t="n"/>
      <c r="K544" s="70" t="n"/>
      <c r="L544" s="36">
        <f>IF(R544="","",IF(INDEX('Recurring Schedule'!$J$6:$J$45,R544)="","",INDEX('Recurring Schedule'!$J$6:$J$45,R544)))</f>
        <v/>
      </c>
      <c r="M544" s="36">
        <f>IF(R544="","",IF(INDEX('Recurring Schedule'!$K$6:$K$45,R544)="","",INDEX('Recurring Schedule'!$K$6:$K$45,R544)))</f>
        <v/>
      </c>
      <c r="N544" s="36">
        <f>IF(R544="","",IF(INDEX('Recurring Schedule'!$L$6:$L$45,R544)="","",INDEX('Recurring Schedule'!$L$6:$L$45,R544)))</f>
        <v/>
      </c>
      <c r="O544" s="36">
        <f>IF(C544="","",IF(AND(OR(L544="1-Urgent",L544="2-High"),M544="✓"),"DO FIRST",IF(M544="✓","SCHEDULE",IF(OR(L544="1-Urgent",L544="2-High"),"DELEGATE","DELETE"))))</f>
        <v/>
      </c>
      <c r="P544" s="65" t="n"/>
      <c r="Q544">
        <f>IF(539&gt;Calc!$AQ$368,"",MATCH(538,Calc!$AQ$2:$AQ$367,1))</f>
        <v/>
      </c>
      <c r="R544">
        <f>IF(Q544="","",SMALL(INDEX(Calc!$B$2:$AO$367,Q544,0),539-INDEX(Calc!$AQ$2:$AQ$367,Q544)))</f>
        <v/>
      </c>
    </row>
    <row r="545">
      <c r="B545" s="71">
        <f>IF(R545="","",540)</f>
        <v/>
      </c>
      <c r="C545" s="75">
        <f>IF(R545="","",IF(INDEX('Recurring Schedule'!$C$6:$C$45,R545)="","",INDEX('Recurring Schedule'!$C$6:$C$45,R545)))</f>
        <v/>
      </c>
      <c r="D545" s="73">
        <f>IF(R545="","",IF(INDEX('Recurring Schedule'!$D$6:$D$45,R545)="","",INDEX('Recurring Schedule'!$D$6:$D$45,R545)))</f>
        <v/>
      </c>
      <c r="E545" s="76">
        <f>IF(Q545="","",INDEX(Calc!$A$2:$A$367,Q545))</f>
        <v/>
      </c>
      <c r="F545" s="72">
        <f>IF(OR(C545="",E545=""),"",E545-Setup!$D$7)</f>
        <v/>
      </c>
      <c r="G545" s="77">
        <f>IF(R545="","",IF(INDEX('Recurring Schedule'!$H$6:$H$45,R545)="","",INDEX('Recurring Schedule'!$H$6:$H$45,R545)))</f>
        <v/>
      </c>
      <c r="H545" s="77">
        <f>IF(R545="","",IF(INDEX('Recurring Schedule'!$I$6:$I$45,R545)="","",INDEX('Recurring Schedule'!$I$6:$I$45,R545)))</f>
        <v/>
      </c>
      <c r="I545" s="73">
        <f>IF(OR(G545="",H545=""),"",TRIM(IF(HOUR(H545-G545)&gt;0,HOUR(H545-G545)&amp;" hr ","")&amp;IF(MINUTE(H545-G545)&gt;0,MINUTE(H545-G545)&amp;" min","")))</f>
        <v/>
      </c>
      <c r="J545" s="66" t="n"/>
      <c r="K545" s="70" t="n"/>
      <c r="L545" s="73">
        <f>IF(R545="","",IF(INDEX('Recurring Schedule'!$J$6:$J$45,R545)="","",INDEX('Recurring Schedule'!$J$6:$J$45,R545)))</f>
        <v/>
      </c>
      <c r="M545" s="73">
        <f>IF(R545="","",IF(INDEX('Recurring Schedule'!$K$6:$K$45,R545)="","",INDEX('Recurring Schedule'!$K$6:$K$45,R545)))</f>
        <v/>
      </c>
      <c r="N545" s="73">
        <f>IF(R545="","",IF(INDEX('Recurring Schedule'!$L$6:$L$45,R545)="","",INDEX('Recurring Schedule'!$L$6:$L$45,R545)))</f>
        <v/>
      </c>
      <c r="O545" s="73">
        <f>IF(C545="","",IF(AND(OR(L545="1-Urgent",L545="2-High"),M545="✓"),"DO FIRST",IF(M545="✓","SCHEDULE",IF(OR(L545="1-Urgent",L545="2-High"),"DELEGATE","DELETE"))))</f>
        <v/>
      </c>
      <c r="P545" s="65" t="n"/>
      <c r="Q545">
        <f>IF(540&gt;Calc!$AQ$368,"",MATCH(539,Calc!$AQ$2:$AQ$367,1))</f>
        <v/>
      </c>
      <c r="R545">
        <f>IF(Q545="","",SMALL(INDEX(Calc!$B$2:$AO$367,Q545,0),540-INDEX(Calc!$AQ$2:$AQ$367,Q545)))</f>
        <v/>
      </c>
    </row>
    <row r="546">
      <c r="B546" s="64">
        <f>IF(R546="","",541)</f>
        <v/>
      </c>
      <c r="C546" s="37">
        <f>IF(R546="","",IF(INDEX('Recurring Schedule'!$C$6:$C$45,R546)="","",INDEX('Recurring Schedule'!$C$6:$C$45,R546)))</f>
        <v/>
      </c>
      <c r="D546" s="36">
        <f>IF(R546="","",IF(INDEX('Recurring Schedule'!$D$6:$D$45,R546)="","",INDEX('Recurring Schedule'!$D$6:$D$45,R546)))</f>
        <v/>
      </c>
      <c r="E546" s="38">
        <f>IF(Q546="","",INDEX(Calc!$A$2:$A$367,Q546))</f>
        <v/>
      </c>
      <c r="F546" s="68">
        <f>IF(OR(C546="",E546=""),"",E546-Setup!$D$7)</f>
        <v/>
      </c>
      <c r="G546" s="74">
        <f>IF(R546="","",IF(INDEX('Recurring Schedule'!$H$6:$H$45,R546)="","",INDEX('Recurring Schedule'!$H$6:$H$45,R546)))</f>
        <v/>
      </c>
      <c r="H546" s="74">
        <f>IF(R546="","",IF(INDEX('Recurring Schedule'!$I$6:$I$45,R546)="","",INDEX('Recurring Schedule'!$I$6:$I$45,R546)))</f>
        <v/>
      </c>
      <c r="I546" s="36">
        <f>IF(OR(G546="",H546=""),"",TRIM(IF(HOUR(H546-G546)&gt;0,HOUR(H546-G546)&amp;" hr ","")&amp;IF(MINUTE(H546-G546)&gt;0,MINUTE(H546-G546)&amp;" min","")))</f>
        <v/>
      </c>
      <c r="J546" s="66" t="n"/>
      <c r="K546" s="70" t="n"/>
      <c r="L546" s="36">
        <f>IF(R546="","",IF(INDEX('Recurring Schedule'!$J$6:$J$45,R546)="","",INDEX('Recurring Schedule'!$J$6:$J$45,R546)))</f>
        <v/>
      </c>
      <c r="M546" s="36">
        <f>IF(R546="","",IF(INDEX('Recurring Schedule'!$K$6:$K$45,R546)="","",INDEX('Recurring Schedule'!$K$6:$K$45,R546)))</f>
        <v/>
      </c>
      <c r="N546" s="36">
        <f>IF(R546="","",IF(INDEX('Recurring Schedule'!$L$6:$L$45,R546)="","",INDEX('Recurring Schedule'!$L$6:$L$45,R546)))</f>
        <v/>
      </c>
      <c r="O546" s="36">
        <f>IF(C546="","",IF(AND(OR(L546="1-Urgent",L546="2-High"),M546="✓"),"DO FIRST",IF(M546="✓","SCHEDULE",IF(OR(L546="1-Urgent",L546="2-High"),"DELEGATE","DELETE"))))</f>
        <v/>
      </c>
      <c r="P546" s="65" t="n"/>
      <c r="Q546">
        <f>IF(541&gt;Calc!$AQ$368,"",MATCH(540,Calc!$AQ$2:$AQ$367,1))</f>
        <v/>
      </c>
      <c r="R546">
        <f>IF(Q546="","",SMALL(INDEX(Calc!$B$2:$AO$367,Q546,0),541-INDEX(Calc!$AQ$2:$AQ$367,Q546)))</f>
        <v/>
      </c>
    </row>
    <row r="547">
      <c r="B547" s="71">
        <f>IF(R547="","",542)</f>
        <v/>
      </c>
      <c r="C547" s="75">
        <f>IF(R547="","",IF(INDEX('Recurring Schedule'!$C$6:$C$45,R547)="","",INDEX('Recurring Schedule'!$C$6:$C$45,R547)))</f>
        <v/>
      </c>
      <c r="D547" s="73">
        <f>IF(R547="","",IF(INDEX('Recurring Schedule'!$D$6:$D$45,R547)="","",INDEX('Recurring Schedule'!$D$6:$D$45,R547)))</f>
        <v/>
      </c>
      <c r="E547" s="76">
        <f>IF(Q547="","",INDEX(Calc!$A$2:$A$367,Q547))</f>
        <v/>
      </c>
      <c r="F547" s="72">
        <f>IF(OR(C547="",E547=""),"",E547-Setup!$D$7)</f>
        <v/>
      </c>
      <c r="G547" s="77">
        <f>IF(R547="","",IF(INDEX('Recurring Schedule'!$H$6:$H$45,R547)="","",INDEX('Recurring Schedule'!$H$6:$H$45,R547)))</f>
        <v/>
      </c>
      <c r="H547" s="77">
        <f>IF(R547="","",IF(INDEX('Recurring Schedule'!$I$6:$I$45,R547)="","",INDEX('Recurring Schedule'!$I$6:$I$45,R547)))</f>
        <v/>
      </c>
      <c r="I547" s="73">
        <f>IF(OR(G547="",H547=""),"",TRIM(IF(HOUR(H547-G547)&gt;0,HOUR(H547-G547)&amp;" hr ","")&amp;IF(MINUTE(H547-G547)&gt;0,MINUTE(H547-G547)&amp;" min","")))</f>
        <v/>
      </c>
      <c r="J547" s="66" t="n"/>
      <c r="K547" s="70" t="n"/>
      <c r="L547" s="73">
        <f>IF(R547="","",IF(INDEX('Recurring Schedule'!$J$6:$J$45,R547)="","",INDEX('Recurring Schedule'!$J$6:$J$45,R547)))</f>
        <v/>
      </c>
      <c r="M547" s="73">
        <f>IF(R547="","",IF(INDEX('Recurring Schedule'!$K$6:$K$45,R547)="","",INDEX('Recurring Schedule'!$K$6:$K$45,R547)))</f>
        <v/>
      </c>
      <c r="N547" s="73">
        <f>IF(R547="","",IF(INDEX('Recurring Schedule'!$L$6:$L$45,R547)="","",INDEX('Recurring Schedule'!$L$6:$L$45,R547)))</f>
        <v/>
      </c>
      <c r="O547" s="73">
        <f>IF(C547="","",IF(AND(OR(L547="1-Urgent",L547="2-High"),M547="✓"),"DO FIRST",IF(M547="✓","SCHEDULE",IF(OR(L547="1-Urgent",L547="2-High"),"DELEGATE","DELETE"))))</f>
        <v/>
      </c>
      <c r="P547" s="65" t="n"/>
      <c r="Q547">
        <f>IF(542&gt;Calc!$AQ$368,"",MATCH(541,Calc!$AQ$2:$AQ$367,1))</f>
        <v/>
      </c>
      <c r="R547">
        <f>IF(Q547="","",SMALL(INDEX(Calc!$B$2:$AO$367,Q547,0),542-INDEX(Calc!$AQ$2:$AQ$367,Q547)))</f>
        <v/>
      </c>
    </row>
    <row r="548">
      <c r="B548" s="64">
        <f>IF(R548="","",543)</f>
        <v/>
      </c>
      <c r="C548" s="37">
        <f>IF(R548="","",IF(INDEX('Recurring Schedule'!$C$6:$C$45,R548)="","",INDEX('Recurring Schedule'!$C$6:$C$45,R548)))</f>
        <v/>
      </c>
      <c r="D548" s="36">
        <f>IF(R548="","",IF(INDEX('Recurring Schedule'!$D$6:$D$45,R548)="","",INDEX('Recurring Schedule'!$D$6:$D$45,R548)))</f>
        <v/>
      </c>
      <c r="E548" s="38">
        <f>IF(Q548="","",INDEX(Calc!$A$2:$A$367,Q548))</f>
        <v/>
      </c>
      <c r="F548" s="68">
        <f>IF(OR(C548="",E548=""),"",E548-Setup!$D$7)</f>
        <v/>
      </c>
      <c r="G548" s="74">
        <f>IF(R548="","",IF(INDEX('Recurring Schedule'!$H$6:$H$45,R548)="","",INDEX('Recurring Schedule'!$H$6:$H$45,R548)))</f>
        <v/>
      </c>
      <c r="H548" s="74">
        <f>IF(R548="","",IF(INDEX('Recurring Schedule'!$I$6:$I$45,R548)="","",INDEX('Recurring Schedule'!$I$6:$I$45,R548)))</f>
        <v/>
      </c>
      <c r="I548" s="36">
        <f>IF(OR(G548="",H548=""),"",TRIM(IF(HOUR(H548-G548)&gt;0,HOUR(H548-G548)&amp;" hr ","")&amp;IF(MINUTE(H548-G548)&gt;0,MINUTE(H548-G548)&amp;" min","")))</f>
        <v/>
      </c>
      <c r="J548" s="66" t="n"/>
      <c r="K548" s="70" t="n"/>
      <c r="L548" s="36">
        <f>IF(R548="","",IF(INDEX('Recurring Schedule'!$J$6:$J$45,R548)="","",INDEX('Recurring Schedule'!$J$6:$J$45,R548)))</f>
        <v/>
      </c>
      <c r="M548" s="36">
        <f>IF(R548="","",IF(INDEX('Recurring Schedule'!$K$6:$K$45,R548)="","",INDEX('Recurring Schedule'!$K$6:$K$45,R548)))</f>
        <v/>
      </c>
      <c r="N548" s="36">
        <f>IF(R548="","",IF(INDEX('Recurring Schedule'!$L$6:$L$45,R548)="","",INDEX('Recurring Schedule'!$L$6:$L$45,R548)))</f>
        <v/>
      </c>
      <c r="O548" s="36">
        <f>IF(C548="","",IF(AND(OR(L548="1-Urgent",L548="2-High"),M548="✓"),"DO FIRST",IF(M548="✓","SCHEDULE",IF(OR(L548="1-Urgent",L548="2-High"),"DELEGATE","DELETE"))))</f>
        <v/>
      </c>
      <c r="P548" s="65" t="n"/>
      <c r="Q548">
        <f>IF(543&gt;Calc!$AQ$368,"",MATCH(542,Calc!$AQ$2:$AQ$367,1))</f>
        <v/>
      </c>
      <c r="R548">
        <f>IF(Q548="","",SMALL(INDEX(Calc!$B$2:$AO$367,Q548,0),543-INDEX(Calc!$AQ$2:$AQ$367,Q548)))</f>
        <v/>
      </c>
    </row>
    <row r="549">
      <c r="B549" s="71">
        <f>IF(R549="","",544)</f>
        <v/>
      </c>
      <c r="C549" s="75">
        <f>IF(R549="","",IF(INDEX('Recurring Schedule'!$C$6:$C$45,R549)="","",INDEX('Recurring Schedule'!$C$6:$C$45,R549)))</f>
        <v/>
      </c>
      <c r="D549" s="73">
        <f>IF(R549="","",IF(INDEX('Recurring Schedule'!$D$6:$D$45,R549)="","",INDEX('Recurring Schedule'!$D$6:$D$45,R549)))</f>
        <v/>
      </c>
      <c r="E549" s="76">
        <f>IF(Q549="","",INDEX(Calc!$A$2:$A$367,Q549))</f>
        <v/>
      </c>
      <c r="F549" s="72">
        <f>IF(OR(C549="",E549=""),"",E549-Setup!$D$7)</f>
        <v/>
      </c>
      <c r="G549" s="77">
        <f>IF(R549="","",IF(INDEX('Recurring Schedule'!$H$6:$H$45,R549)="","",INDEX('Recurring Schedule'!$H$6:$H$45,R549)))</f>
        <v/>
      </c>
      <c r="H549" s="77">
        <f>IF(R549="","",IF(INDEX('Recurring Schedule'!$I$6:$I$45,R549)="","",INDEX('Recurring Schedule'!$I$6:$I$45,R549)))</f>
        <v/>
      </c>
      <c r="I549" s="73">
        <f>IF(OR(G549="",H549=""),"",TRIM(IF(HOUR(H549-G549)&gt;0,HOUR(H549-G549)&amp;" hr ","")&amp;IF(MINUTE(H549-G549)&gt;0,MINUTE(H549-G549)&amp;" min","")))</f>
        <v/>
      </c>
      <c r="J549" s="66" t="n"/>
      <c r="K549" s="70" t="n"/>
      <c r="L549" s="73">
        <f>IF(R549="","",IF(INDEX('Recurring Schedule'!$J$6:$J$45,R549)="","",INDEX('Recurring Schedule'!$J$6:$J$45,R549)))</f>
        <v/>
      </c>
      <c r="M549" s="73">
        <f>IF(R549="","",IF(INDEX('Recurring Schedule'!$K$6:$K$45,R549)="","",INDEX('Recurring Schedule'!$K$6:$K$45,R549)))</f>
        <v/>
      </c>
      <c r="N549" s="73">
        <f>IF(R549="","",IF(INDEX('Recurring Schedule'!$L$6:$L$45,R549)="","",INDEX('Recurring Schedule'!$L$6:$L$45,R549)))</f>
        <v/>
      </c>
      <c r="O549" s="73">
        <f>IF(C549="","",IF(AND(OR(L549="1-Urgent",L549="2-High"),M549="✓"),"DO FIRST",IF(M549="✓","SCHEDULE",IF(OR(L549="1-Urgent",L549="2-High"),"DELEGATE","DELETE"))))</f>
        <v/>
      </c>
      <c r="P549" s="65" t="n"/>
      <c r="Q549">
        <f>IF(544&gt;Calc!$AQ$368,"",MATCH(543,Calc!$AQ$2:$AQ$367,1))</f>
        <v/>
      </c>
      <c r="R549">
        <f>IF(Q549="","",SMALL(INDEX(Calc!$B$2:$AO$367,Q549,0),544-INDEX(Calc!$AQ$2:$AQ$367,Q549)))</f>
        <v/>
      </c>
    </row>
    <row r="550">
      <c r="B550" s="64">
        <f>IF(R550="","",545)</f>
        <v/>
      </c>
      <c r="C550" s="37">
        <f>IF(R550="","",IF(INDEX('Recurring Schedule'!$C$6:$C$45,R550)="","",INDEX('Recurring Schedule'!$C$6:$C$45,R550)))</f>
        <v/>
      </c>
      <c r="D550" s="36">
        <f>IF(R550="","",IF(INDEX('Recurring Schedule'!$D$6:$D$45,R550)="","",INDEX('Recurring Schedule'!$D$6:$D$45,R550)))</f>
        <v/>
      </c>
      <c r="E550" s="38">
        <f>IF(Q550="","",INDEX(Calc!$A$2:$A$367,Q550))</f>
        <v/>
      </c>
      <c r="F550" s="68">
        <f>IF(OR(C550="",E550=""),"",E550-Setup!$D$7)</f>
        <v/>
      </c>
      <c r="G550" s="74">
        <f>IF(R550="","",IF(INDEX('Recurring Schedule'!$H$6:$H$45,R550)="","",INDEX('Recurring Schedule'!$H$6:$H$45,R550)))</f>
        <v/>
      </c>
      <c r="H550" s="74">
        <f>IF(R550="","",IF(INDEX('Recurring Schedule'!$I$6:$I$45,R550)="","",INDEX('Recurring Schedule'!$I$6:$I$45,R550)))</f>
        <v/>
      </c>
      <c r="I550" s="36">
        <f>IF(OR(G550="",H550=""),"",TRIM(IF(HOUR(H550-G550)&gt;0,HOUR(H550-G550)&amp;" hr ","")&amp;IF(MINUTE(H550-G550)&gt;0,MINUTE(H550-G550)&amp;" min","")))</f>
        <v/>
      </c>
      <c r="J550" s="66" t="n"/>
      <c r="K550" s="70" t="n"/>
      <c r="L550" s="36">
        <f>IF(R550="","",IF(INDEX('Recurring Schedule'!$J$6:$J$45,R550)="","",INDEX('Recurring Schedule'!$J$6:$J$45,R550)))</f>
        <v/>
      </c>
      <c r="M550" s="36">
        <f>IF(R550="","",IF(INDEX('Recurring Schedule'!$K$6:$K$45,R550)="","",INDEX('Recurring Schedule'!$K$6:$K$45,R550)))</f>
        <v/>
      </c>
      <c r="N550" s="36">
        <f>IF(R550="","",IF(INDEX('Recurring Schedule'!$L$6:$L$45,R550)="","",INDEX('Recurring Schedule'!$L$6:$L$45,R550)))</f>
        <v/>
      </c>
      <c r="O550" s="36">
        <f>IF(C550="","",IF(AND(OR(L550="1-Urgent",L550="2-High"),M550="✓"),"DO FIRST",IF(M550="✓","SCHEDULE",IF(OR(L550="1-Urgent",L550="2-High"),"DELEGATE","DELETE"))))</f>
        <v/>
      </c>
      <c r="P550" s="65" t="n"/>
      <c r="Q550">
        <f>IF(545&gt;Calc!$AQ$368,"",MATCH(544,Calc!$AQ$2:$AQ$367,1))</f>
        <v/>
      </c>
      <c r="R550">
        <f>IF(Q550="","",SMALL(INDEX(Calc!$B$2:$AO$367,Q550,0),545-INDEX(Calc!$AQ$2:$AQ$367,Q550)))</f>
        <v/>
      </c>
    </row>
    <row r="551">
      <c r="B551" s="71">
        <f>IF(R551="","",546)</f>
        <v/>
      </c>
      <c r="C551" s="75">
        <f>IF(R551="","",IF(INDEX('Recurring Schedule'!$C$6:$C$45,R551)="","",INDEX('Recurring Schedule'!$C$6:$C$45,R551)))</f>
        <v/>
      </c>
      <c r="D551" s="73">
        <f>IF(R551="","",IF(INDEX('Recurring Schedule'!$D$6:$D$45,R551)="","",INDEX('Recurring Schedule'!$D$6:$D$45,R551)))</f>
        <v/>
      </c>
      <c r="E551" s="76">
        <f>IF(Q551="","",INDEX(Calc!$A$2:$A$367,Q551))</f>
        <v/>
      </c>
      <c r="F551" s="72">
        <f>IF(OR(C551="",E551=""),"",E551-Setup!$D$7)</f>
        <v/>
      </c>
      <c r="G551" s="77">
        <f>IF(R551="","",IF(INDEX('Recurring Schedule'!$H$6:$H$45,R551)="","",INDEX('Recurring Schedule'!$H$6:$H$45,R551)))</f>
        <v/>
      </c>
      <c r="H551" s="77">
        <f>IF(R551="","",IF(INDEX('Recurring Schedule'!$I$6:$I$45,R551)="","",INDEX('Recurring Schedule'!$I$6:$I$45,R551)))</f>
        <v/>
      </c>
      <c r="I551" s="73">
        <f>IF(OR(G551="",H551=""),"",TRIM(IF(HOUR(H551-G551)&gt;0,HOUR(H551-G551)&amp;" hr ","")&amp;IF(MINUTE(H551-G551)&gt;0,MINUTE(H551-G551)&amp;" min","")))</f>
        <v/>
      </c>
      <c r="J551" s="66" t="n"/>
      <c r="K551" s="70" t="n"/>
      <c r="L551" s="73">
        <f>IF(R551="","",IF(INDEX('Recurring Schedule'!$J$6:$J$45,R551)="","",INDEX('Recurring Schedule'!$J$6:$J$45,R551)))</f>
        <v/>
      </c>
      <c r="M551" s="73">
        <f>IF(R551="","",IF(INDEX('Recurring Schedule'!$K$6:$K$45,R551)="","",INDEX('Recurring Schedule'!$K$6:$K$45,R551)))</f>
        <v/>
      </c>
      <c r="N551" s="73">
        <f>IF(R551="","",IF(INDEX('Recurring Schedule'!$L$6:$L$45,R551)="","",INDEX('Recurring Schedule'!$L$6:$L$45,R551)))</f>
        <v/>
      </c>
      <c r="O551" s="73">
        <f>IF(C551="","",IF(AND(OR(L551="1-Urgent",L551="2-High"),M551="✓"),"DO FIRST",IF(M551="✓","SCHEDULE",IF(OR(L551="1-Urgent",L551="2-High"),"DELEGATE","DELETE"))))</f>
        <v/>
      </c>
      <c r="P551" s="65" t="n"/>
      <c r="Q551">
        <f>IF(546&gt;Calc!$AQ$368,"",MATCH(545,Calc!$AQ$2:$AQ$367,1))</f>
        <v/>
      </c>
      <c r="R551">
        <f>IF(Q551="","",SMALL(INDEX(Calc!$B$2:$AO$367,Q551,0),546-INDEX(Calc!$AQ$2:$AQ$367,Q551)))</f>
        <v/>
      </c>
    </row>
    <row r="552">
      <c r="B552" s="64">
        <f>IF(R552="","",547)</f>
        <v/>
      </c>
      <c r="C552" s="37">
        <f>IF(R552="","",IF(INDEX('Recurring Schedule'!$C$6:$C$45,R552)="","",INDEX('Recurring Schedule'!$C$6:$C$45,R552)))</f>
        <v/>
      </c>
      <c r="D552" s="36">
        <f>IF(R552="","",IF(INDEX('Recurring Schedule'!$D$6:$D$45,R552)="","",INDEX('Recurring Schedule'!$D$6:$D$45,R552)))</f>
        <v/>
      </c>
      <c r="E552" s="38">
        <f>IF(Q552="","",INDEX(Calc!$A$2:$A$367,Q552))</f>
        <v/>
      </c>
      <c r="F552" s="68">
        <f>IF(OR(C552="",E552=""),"",E552-Setup!$D$7)</f>
        <v/>
      </c>
      <c r="G552" s="74">
        <f>IF(R552="","",IF(INDEX('Recurring Schedule'!$H$6:$H$45,R552)="","",INDEX('Recurring Schedule'!$H$6:$H$45,R552)))</f>
        <v/>
      </c>
      <c r="H552" s="74">
        <f>IF(R552="","",IF(INDEX('Recurring Schedule'!$I$6:$I$45,R552)="","",INDEX('Recurring Schedule'!$I$6:$I$45,R552)))</f>
        <v/>
      </c>
      <c r="I552" s="36">
        <f>IF(OR(G552="",H552=""),"",TRIM(IF(HOUR(H552-G552)&gt;0,HOUR(H552-G552)&amp;" hr ","")&amp;IF(MINUTE(H552-G552)&gt;0,MINUTE(H552-G552)&amp;" min","")))</f>
        <v/>
      </c>
      <c r="J552" s="66" t="n"/>
      <c r="K552" s="70" t="n"/>
      <c r="L552" s="36">
        <f>IF(R552="","",IF(INDEX('Recurring Schedule'!$J$6:$J$45,R552)="","",INDEX('Recurring Schedule'!$J$6:$J$45,R552)))</f>
        <v/>
      </c>
      <c r="M552" s="36">
        <f>IF(R552="","",IF(INDEX('Recurring Schedule'!$K$6:$K$45,R552)="","",INDEX('Recurring Schedule'!$K$6:$K$45,R552)))</f>
        <v/>
      </c>
      <c r="N552" s="36">
        <f>IF(R552="","",IF(INDEX('Recurring Schedule'!$L$6:$L$45,R552)="","",INDEX('Recurring Schedule'!$L$6:$L$45,R552)))</f>
        <v/>
      </c>
      <c r="O552" s="36">
        <f>IF(C552="","",IF(AND(OR(L552="1-Urgent",L552="2-High"),M552="✓"),"DO FIRST",IF(M552="✓","SCHEDULE",IF(OR(L552="1-Urgent",L552="2-High"),"DELEGATE","DELETE"))))</f>
        <v/>
      </c>
      <c r="P552" s="65" t="n"/>
      <c r="Q552">
        <f>IF(547&gt;Calc!$AQ$368,"",MATCH(546,Calc!$AQ$2:$AQ$367,1))</f>
        <v/>
      </c>
      <c r="R552">
        <f>IF(Q552="","",SMALL(INDEX(Calc!$B$2:$AO$367,Q552,0),547-INDEX(Calc!$AQ$2:$AQ$367,Q552)))</f>
        <v/>
      </c>
    </row>
    <row r="553">
      <c r="B553" s="71">
        <f>IF(R553="","",548)</f>
        <v/>
      </c>
      <c r="C553" s="75">
        <f>IF(R553="","",IF(INDEX('Recurring Schedule'!$C$6:$C$45,R553)="","",INDEX('Recurring Schedule'!$C$6:$C$45,R553)))</f>
        <v/>
      </c>
      <c r="D553" s="73">
        <f>IF(R553="","",IF(INDEX('Recurring Schedule'!$D$6:$D$45,R553)="","",INDEX('Recurring Schedule'!$D$6:$D$45,R553)))</f>
        <v/>
      </c>
      <c r="E553" s="76">
        <f>IF(Q553="","",INDEX(Calc!$A$2:$A$367,Q553))</f>
        <v/>
      </c>
      <c r="F553" s="72">
        <f>IF(OR(C553="",E553=""),"",E553-Setup!$D$7)</f>
        <v/>
      </c>
      <c r="G553" s="77">
        <f>IF(R553="","",IF(INDEX('Recurring Schedule'!$H$6:$H$45,R553)="","",INDEX('Recurring Schedule'!$H$6:$H$45,R553)))</f>
        <v/>
      </c>
      <c r="H553" s="77">
        <f>IF(R553="","",IF(INDEX('Recurring Schedule'!$I$6:$I$45,R553)="","",INDEX('Recurring Schedule'!$I$6:$I$45,R553)))</f>
        <v/>
      </c>
      <c r="I553" s="73">
        <f>IF(OR(G553="",H553=""),"",TRIM(IF(HOUR(H553-G553)&gt;0,HOUR(H553-G553)&amp;" hr ","")&amp;IF(MINUTE(H553-G553)&gt;0,MINUTE(H553-G553)&amp;" min","")))</f>
        <v/>
      </c>
      <c r="J553" s="66" t="n"/>
      <c r="K553" s="70" t="n"/>
      <c r="L553" s="73">
        <f>IF(R553="","",IF(INDEX('Recurring Schedule'!$J$6:$J$45,R553)="","",INDEX('Recurring Schedule'!$J$6:$J$45,R553)))</f>
        <v/>
      </c>
      <c r="M553" s="73">
        <f>IF(R553="","",IF(INDEX('Recurring Schedule'!$K$6:$K$45,R553)="","",INDEX('Recurring Schedule'!$K$6:$K$45,R553)))</f>
        <v/>
      </c>
      <c r="N553" s="73">
        <f>IF(R553="","",IF(INDEX('Recurring Schedule'!$L$6:$L$45,R553)="","",INDEX('Recurring Schedule'!$L$6:$L$45,R553)))</f>
        <v/>
      </c>
      <c r="O553" s="73">
        <f>IF(C553="","",IF(AND(OR(L553="1-Urgent",L553="2-High"),M553="✓"),"DO FIRST",IF(M553="✓","SCHEDULE",IF(OR(L553="1-Urgent",L553="2-High"),"DELEGATE","DELETE"))))</f>
        <v/>
      </c>
      <c r="P553" s="65" t="n"/>
      <c r="Q553">
        <f>IF(548&gt;Calc!$AQ$368,"",MATCH(547,Calc!$AQ$2:$AQ$367,1))</f>
        <v/>
      </c>
      <c r="R553">
        <f>IF(Q553="","",SMALL(INDEX(Calc!$B$2:$AO$367,Q553,0),548-INDEX(Calc!$AQ$2:$AQ$367,Q553)))</f>
        <v/>
      </c>
    </row>
    <row r="554">
      <c r="B554" s="64">
        <f>IF(R554="","",549)</f>
        <v/>
      </c>
      <c r="C554" s="37">
        <f>IF(R554="","",IF(INDEX('Recurring Schedule'!$C$6:$C$45,R554)="","",INDEX('Recurring Schedule'!$C$6:$C$45,R554)))</f>
        <v/>
      </c>
      <c r="D554" s="36">
        <f>IF(R554="","",IF(INDEX('Recurring Schedule'!$D$6:$D$45,R554)="","",INDEX('Recurring Schedule'!$D$6:$D$45,R554)))</f>
        <v/>
      </c>
      <c r="E554" s="38">
        <f>IF(Q554="","",INDEX(Calc!$A$2:$A$367,Q554))</f>
        <v/>
      </c>
      <c r="F554" s="68">
        <f>IF(OR(C554="",E554=""),"",E554-Setup!$D$7)</f>
        <v/>
      </c>
      <c r="G554" s="74">
        <f>IF(R554="","",IF(INDEX('Recurring Schedule'!$H$6:$H$45,R554)="","",INDEX('Recurring Schedule'!$H$6:$H$45,R554)))</f>
        <v/>
      </c>
      <c r="H554" s="74">
        <f>IF(R554="","",IF(INDEX('Recurring Schedule'!$I$6:$I$45,R554)="","",INDEX('Recurring Schedule'!$I$6:$I$45,R554)))</f>
        <v/>
      </c>
      <c r="I554" s="36">
        <f>IF(OR(G554="",H554=""),"",TRIM(IF(HOUR(H554-G554)&gt;0,HOUR(H554-G554)&amp;" hr ","")&amp;IF(MINUTE(H554-G554)&gt;0,MINUTE(H554-G554)&amp;" min","")))</f>
        <v/>
      </c>
      <c r="J554" s="66" t="n"/>
      <c r="K554" s="70" t="n"/>
      <c r="L554" s="36">
        <f>IF(R554="","",IF(INDEX('Recurring Schedule'!$J$6:$J$45,R554)="","",INDEX('Recurring Schedule'!$J$6:$J$45,R554)))</f>
        <v/>
      </c>
      <c r="M554" s="36">
        <f>IF(R554="","",IF(INDEX('Recurring Schedule'!$K$6:$K$45,R554)="","",INDEX('Recurring Schedule'!$K$6:$K$45,R554)))</f>
        <v/>
      </c>
      <c r="N554" s="36">
        <f>IF(R554="","",IF(INDEX('Recurring Schedule'!$L$6:$L$45,R554)="","",INDEX('Recurring Schedule'!$L$6:$L$45,R554)))</f>
        <v/>
      </c>
      <c r="O554" s="36">
        <f>IF(C554="","",IF(AND(OR(L554="1-Urgent",L554="2-High"),M554="✓"),"DO FIRST",IF(M554="✓","SCHEDULE",IF(OR(L554="1-Urgent",L554="2-High"),"DELEGATE","DELETE"))))</f>
        <v/>
      </c>
      <c r="P554" s="65" t="n"/>
      <c r="Q554">
        <f>IF(549&gt;Calc!$AQ$368,"",MATCH(548,Calc!$AQ$2:$AQ$367,1))</f>
        <v/>
      </c>
      <c r="R554">
        <f>IF(Q554="","",SMALL(INDEX(Calc!$B$2:$AO$367,Q554,0),549-INDEX(Calc!$AQ$2:$AQ$367,Q554)))</f>
        <v/>
      </c>
    </row>
    <row r="555">
      <c r="B555" s="71">
        <f>IF(R555="","",550)</f>
        <v/>
      </c>
      <c r="C555" s="75">
        <f>IF(R555="","",IF(INDEX('Recurring Schedule'!$C$6:$C$45,R555)="","",INDEX('Recurring Schedule'!$C$6:$C$45,R555)))</f>
        <v/>
      </c>
      <c r="D555" s="73">
        <f>IF(R555="","",IF(INDEX('Recurring Schedule'!$D$6:$D$45,R555)="","",INDEX('Recurring Schedule'!$D$6:$D$45,R555)))</f>
        <v/>
      </c>
      <c r="E555" s="76">
        <f>IF(Q555="","",INDEX(Calc!$A$2:$A$367,Q555))</f>
        <v/>
      </c>
      <c r="F555" s="72">
        <f>IF(OR(C555="",E555=""),"",E555-Setup!$D$7)</f>
        <v/>
      </c>
      <c r="G555" s="77">
        <f>IF(R555="","",IF(INDEX('Recurring Schedule'!$H$6:$H$45,R555)="","",INDEX('Recurring Schedule'!$H$6:$H$45,R555)))</f>
        <v/>
      </c>
      <c r="H555" s="77">
        <f>IF(R555="","",IF(INDEX('Recurring Schedule'!$I$6:$I$45,R555)="","",INDEX('Recurring Schedule'!$I$6:$I$45,R555)))</f>
        <v/>
      </c>
      <c r="I555" s="73">
        <f>IF(OR(G555="",H555=""),"",TRIM(IF(HOUR(H555-G555)&gt;0,HOUR(H555-G555)&amp;" hr ","")&amp;IF(MINUTE(H555-G555)&gt;0,MINUTE(H555-G555)&amp;" min","")))</f>
        <v/>
      </c>
      <c r="J555" s="66" t="n"/>
      <c r="K555" s="70" t="n"/>
      <c r="L555" s="73">
        <f>IF(R555="","",IF(INDEX('Recurring Schedule'!$J$6:$J$45,R555)="","",INDEX('Recurring Schedule'!$J$6:$J$45,R555)))</f>
        <v/>
      </c>
      <c r="M555" s="73">
        <f>IF(R555="","",IF(INDEX('Recurring Schedule'!$K$6:$K$45,R555)="","",INDEX('Recurring Schedule'!$K$6:$K$45,R555)))</f>
        <v/>
      </c>
      <c r="N555" s="73">
        <f>IF(R555="","",IF(INDEX('Recurring Schedule'!$L$6:$L$45,R555)="","",INDEX('Recurring Schedule'!$L$6:$L$45,R555)))</f>
        <v/>
      </c>
      <c r="O555" s="73">
        <f>IF(C555="","",IF(AND(OR(L555="1-Urgent",L555="2-High"),M555="✓"),"DO FIRST",IF(M555="✓","SCHEDULE",IF(OR(L555="1-Urgent",L555="2-High"),"DELEGATE","DELETE"))))</f>
        <v/>
      </c>
      <c r="P555" s="65" t="n"/>
      <c r="Q555">
        <f>IF(550&gt;Calc!$AQ$368,"",MATCH(549,Calc!$AQ$2:$AQ$367,1))</f>
        <v/>
      </c>
      <c r="R555">
        <f>IF(Q555="","",SMALL(INDEX(Calc!$B$2:$AO$367,Q555,0),550-INDEX(Calc!$AQ$2:$AQ$367,Q555)))</f>
        <v/>
      </c>
    </row>
    <row r="556">
      <c r="B556" s="64">
        <f>IF(R556="","",551)</f>
        <v/>
      </c>
      <c r="C556" s="37">
        <f>IF(R556="","",IF(INDEX('Recurring Schedule'!$C$6:$C$45,R556)="","",INDEX('Recurring Schedule'!$C$6:$C$45,R556)))</f>
        <v/>
      </c>
      <c r="D556" s="36">
        <f>IF(R556="","",IF(INDEX('Recurring Schedule'!$D$6:$D$45,R556)="","",INDEX('Recurring Schedule'!$D$6:$D$45,R556)))</f>
        <v/>
      </c>
      <c r="E556" s="38">
        <f>IF(Q556="","",INDEX(Calc!$A$2:$A$367,Q556))</f>
        <v/>
      </c>
      <c r="F556" s="68">
        <f>IF(OR(C556="",E556=""),"",E556-Setup!$D$7)</f>
        <v/>
      </c>
      <c r="G556" s="74">
        <f>IF(R556="","",IF(INDEX('Recurring Schedule'!$H$6:$H$45,R556)="","",INDEX('Recurring Schedule'!$H$6:$H$45,R556)))</f>
        <v/>
      </c>
      <c r="H556" s="74">
        <f>IF(R556="","",IF(INDEX('Recurring Schedule'!$I$6:$I$45,R556)="","",INDEX('Recurring Schedule'!$I$6:$I$45,R556)))</f>
        <v/>
      </c>
      <c r="I556" s="36">
        <f>IF(OR(G556="",H556=""),"",TRIM(IF(HOUR(H556-G556)&gt;0,HOUR(H556-G556)&amp;" hr ","")&amp;IF(MINUTE(H556-G556)&gt;0,MINUTE(H556-G556)&amp;" min","")))</f>
        <v/>
      </c>
      <c r="J556" s="66" t="n"/>
      <c r="K556" s="70" t="n"/>
      <c r="L556" s="36">
        <f>IF(R556="","",IF(INDEX('Recurring Schedule'!$J$6:$J$45,R556)="","",INDEX('Recurring Schedule'!$J$6:$J$45,R556)))</f>
        <v/>
      </c>
      <c r="M556" s="36">
        <f>IF(R556="","",IF(INDEX('Recurring Schedule'!$K$6:$K$45,R556)="","",INDEX('Recurring Schedule'!$K$6:$K$45,R556)))</f>
        <v/>
      </c>
      <c r="N556" s="36">
        <f>IF(R556="","",IF(INDEX('Recurring Schedule'!$L$6:$L$45,R556)="","",INDEX('Recurring Schedule'!$L$6:$L$45,R556)))</f>
        <v/>
      </c>
      <c r="O556" s="36">
        <f>IF(C556="","",IF(AND(OR(L556="1-Urgent",L556="2-High"),M556="✓"),"DO FIRST",IF(M556="✓","SCHEDULE",IF(OR(L556="1-Urgent",L556="2-High"),"DELEGATE","DELETE"))))</f>
        <v/>
      </c>
      <c r="P556" s="65" t="n"/>
      <c r="Q556">
        <f>IF(551&gt;Calc!$AQ$368,"",MATCH(550,Calc!$AQ$2:$AQ$367,1))</f>
        <v/>
      </c>
      <c r="R556">
        <f>IF(Q556="","",SMALL(INDEX(Calc!$B$2:$AO$367,Q556,0),551-INDEX(Calc!$AQ$2:$AQ$367,Q556)))</f>
        <v/>
      </c>
    </row>
    <row r="557">
      <c r="B557" s="71">
        <f>IF(R557="","",552)</f>
        <v/>
      </c>
      <c r="C557" s="75">
        <f>IF(R557="","",IF(INDEX('Recurring Schedule'!$C$6:$C$45,R557)="","",INDEX('Recurring Schedule'!$C$6:$C$45,R557)))</f>
        <v/>
      </c>
      <c r="D557" s="73">
        <f>IF(R557="","",IF(INDEX('Recurring Schedule'!$D$6:$D$45,R557)="","",INDEX('Recurring Schedule'!$D$6:$D$45,R557)))</f>
        <v/>
      </c>
      <c r="E557" s="76">
        <f>IF(Q557="","",INDEX(Calc!$A$2:$A$367,Q557))</f>
        <v/>
      </c>
      <c r="F557" s="72">
        <f>IF(OR(C557="",E557=""),"",E557-Setup!$D$7)</f>
        <v/>
      </c>
      <c r="G557" s="77">
        <f>IF(R557="","",IF(INDEX('Recurring Schedule'!$H$6:$H$45,R557)="","",INDEX('Recurring Schedule'!$H$6:$H$45,R557)))</f>
        <v/>
      </c>
      <c r="H557" s="77">
        <f>IF(R557="","",IF(INDEX('Recurring Schedule'!$I$6:$I$45,R557)="","",INDEX('Recurring Schedule'!$I$6:$I$45,R557)))</f>
        <v/>
      </c>
      <c r="I557" s="73">
        <f>IF(OR(G557="",H557=""),"",TRIM(IF(HOUR(H557-G557)&gt;0,HOUR(H557-G557)&amp;" hr ","")&amp;IF(MINUTE(H557-G557)&gt;0,MINUTE(H557-G557)&amp;" min","")))</f>
        <v/>
      </c>
      <c r="J557" s="66" t="n"/>
      <c r="K557" s="70" t="n"/>
      <c r="L557" s="73">
        <f>IF(R557="","",IF(INDEX('Recurring Schedule'!$J$6:$J$45,R557)="","",INDEX('Recurring Schedule'!$J$6:$J$45,R557)))</f>
        <v/>
      </c>
      <c r="M557" s="73">
        <f>IF(R557="","",IF(INDEX('Recurring Schedule'!$K$6:$K$45,R557)="","",INDEX('Recurring Schedule'!$K$6:$K$45,R557)))</f>
        <v/>
      </c>
      <c r="N557" s="73">
        <f>IF(R557="","",IF(INDEX('Recurring Schedule'!$L$6:$L$45,R557)="","",INDEX('Recurring Schedule'!$L$6:$L$45,R557)))</f>
        <v/>
      </c>
      <c r="O557" s="73">
        <f>IF(C557="","",IF(AND(OR(L557="1-Urgent",L557="2-High"),M557="✓"),"DO FIRST",IF(M557="✓","SCHEDULE",IF(OR(L557="1-Urgent",L557="2-High"),"DELEGATE","DELETE"))))</f>
        <v/>
      </c>
      <c r="P557" s="65" t="n"/>
      <c r="Q557">
        <f>IF(552&gt;Calc!$AQ$368,"",MATCH(551,Calc!$AQ$2:$AQ$367,1))</f>
        <v/>
      </c>
      <c r="R557">
        <f>IF(Q557="","",SMALL(INDEX(Calc!$B$2:$AO$367,Q557,0),552-INDEX(Calc!$AQ$2:$AQ$367,Q557)))</f>
        <v/>
      </c>
    </row>
    <row r="558">
      <c r="B558" s="64">
        <f>IF(R558="","",553)</f>
        <v/>
      </c>
      <c r="C558" s="37">
        <f>IF(R558="","",IF(INDEX('Recurring Schedule'!$C$6:$C$45,R558)="","",INDEX('Recurring Schedule'!$C$6:$C$45,R558)))</f>
        <v/>
      </c>
      <c r="D558" s="36">
        <f>IF(R558="","",IF(INDEX('Recurring Schedule'!$D$6:$D$45,R558)="","",INDEX('Recurring Schedule'!$D$6:$D$45,R558)))</f>
        <v/>
      </c>
      <c r="E558" s="38">
        <f>IF(Q558="","",INDEX(Calc!$A$2:$A$367,Q558))</f>
        <v/>
      </c>
      <c r="F558" s="68">
        <f>IF(OR(C558="",E558=""),"",E558-Setup!$D$7)</f>
        <v/>
      </c>
      <c r="G558" s="74">
        <f>IF(R558="","",IF(INDEX('Recurring Schedule'!$H$6:$H$45,R558)="","",INDEX('Recurring Schedule'!$H$6:$H$45,R558)))</f>
        <v/>
      </c>
      <c r="H558" s="74">
        <f>IF(R558="","",IF(INDEX('Recurring Schedule'!$I$6:$I$45,R558)="","",INDEX('Recurring Schedule'!$I$6:$I$45,R558)))</f>
        <v/>
      </c>
      <c r="I558" s="36">
        <f>IF(OR(G558="",H558=""),"",TRIM(IF(HOUR(H558-G558)&gt;0,HOUR(H558-G558)&amp;" hr ","")&amp;IF(MINUTE(H558-G558)&gt;0,MINUTE(H558-G558)&amp;" min","")))</f>
        <v/>
      </c>
      <c r="J558" s="66" t="n"/>
      <c r="K558" s="70" t="n"/>
      <c r="L558" s="36">
        <f>IF(R558="","",IF(INDEX('Recurring Schedule'!$J$6:$J$45,R558)="","",INDEX('Recurring Schedule'!$J$6:$J$45,R558)))</f>
        <v/>
      </c>
      <c r="M558" s="36">
        <f>IF(R558="","",IF(INDEX('Recurring Schedule'!$K$6:$K$45,R558)="","",INDEX('Recurring Schedule'!$K$6:$K$45,R558)))</f>
        <v/>
      </c>
      <c r="N558" s="36">
        <f>IF(R558="","",IF(INDEX('Recurring Schedule'!$L$6:$L$45,R558)="","",INDEX('Recurring Schedule'!$L$6:$L$45,R558)))</f>
        <v/>
      </c>
      <c r="O558" s="36">
        <f>IF(C558="","",IF(AND(OR(L558="1-Urgent",L558="2-High"),M558="✓"),"DO FIRST",IF(M558="✓","SCHEDULE",IF(OR(L558="1-Urgent",L558="2-High"),"DELEGATE","DELETE"))))</f>
        <v/>
      </c>
      <c r="P558" s="65" t="n"/>
      <c r="Q558">
        <f>IF(553&gt;Calc!$AQ$368,"",MATCH(552,Calc!$AQ$2:$AQ$367,1))</f>
        <v/>
      </c>
      <c r="R558">
        <f>IF(Q558="","",SMALL(INDEX(Calc!$B$2:$AO$367,Q558,0),553-INDEX(Calc!$AQ$2:$AQ$367,Q558)))</f>
        <v/>
      </c>
    </row>
    <row r="559">
      <c r="B559" s="71">
        <f>IF(R559="","",554)</f>
        <v/>
      </c>
      <c r="C559" s="75">
        <f>IF(R559="","",IF(INDEX('Recurring Schedule'!$C$6:$C$45,R559)="","",INDEX('Recurring Schedule'!$C$6:$C$45,R559)))</f>
        <v/>
      </c>
      <c r="D559" s="73">
        <f>IF(R559="","",IF(INDEX('Recurring Schedule'!$D$6:$D$45,R559)="","",INDEX('Recurring Schedule'!$D$6:$D$45,R559)))</f>
        <v/>
      </c>
      <c r="E559" s="76">
        <f>IF(Q559="","",INDEX(Calc!$A$2:$A$367,Q559))</f>
        <v/>
      </c>
      <c r="F559" s="72">
        <f>IF(OR(C559="",E559=""),"",E559-Setup!$D$7)</f>
        <v/>
      </c>
      <c r="G559" s="77">
        <f>IF(R559="","",IF(INDEX('Recurring Schedule'!$H$6:$H$45,R559)="","",INDEX('Recurring Schedule'!$H$6:$H$45,R559)))</f>
        <v/>
      </c>
      <c r="H559" s="77">
        <f>IF(R559="","",IF(INDEX('Recurring Schedule'!$I$6:$I$45,R559)="","",INDEX('Recurring Schedule'!$I$6:$I$45,R559)))</f>
        <v/>
      </c>
      <c r="I559" s="73">
        <f>IF(OR(G559="",H559=""),"",TRIM(IF(HOUR(H559-G559)&gt;0,HOUR(H559-G559)&amp;" hr ","")&amp;IF(MINUTE(H559-G559)&gt;0,MINUTE(H559-G559)&amp;" min","")))</f>
        <v/>
      </c>
      <c r="J559" s="66" t="n"/>
      <c r="K559" s="70" t="n"/>
      <c r="L559" s="73">
        <f>IF(R559="","",IF(INDEX('Recurring Schedule'!$J$6:$J$45,R559)="","",INDEX('Recurring Schedule'!$J$6:$J$45,R559)))</f>
        <v/>
      </c>
      <c r="M559" s="73">
        <f>IF(R559="","",IF(INDEX('Recurring Schedule'!$K$6:$K$45,R559)="","",INDEX('Recurring Schedule'!$K$6:$K$45,R559)))</f>
        <v/>
      </c>
      <c r="N559" s="73">
        <f>IF(R559="","",IF(INDEX('Recurring Schedule'!$L$6:$L$45,R559)="","",INDEX('Recurring Schedule'!$L$6:$L$45,R559)))</f>
        <v/>
      </c>
      <c r="O559" s="73">
        <f>IF(C559="","",IF(AND(OR(L559="1-Urgent",L559="2-High"),M559="✓"),"DO FIRST",IF(M559="✓","SCHEDULE",IF(OR(L559="1-Urgent",L559="2-High"),"DELEGATE","DELETE"))))</f>
        <v/>
      </c>
      <c r="P559" s="65" t="n"/>
      <c r="Q559">
        <f>IF(554&gt;Calc!$AQ$368,"",MATCH(553,Calc!$AQ$2:$AQ$367,1))</f>
        <v/>
      </c>
      <c r="R559">
        <f>IF(Q559="","",SMALL(INDEX(Calc!$B$2:$AO$367,Q559,0),554-INDEX(Calc!$AQ$2:$AQ$367,Q559)))</f>
        <v/>
      </c>
    </row>
    <row r="560">
      <c r="B560" s="64">
        <f>IF(R560="","",555)</f>
        <v/>
      </c>
      <c r="C560" s="37">
        <f>IF(R560="","",IF(INDEX('Recurring Schedule'!$C$6:$C$45,R560)="","",INDEX('Recurring Schedule'!$C$6:$C$45,R560)))</f>
        <v/>
      </c>
      <c r="D560" s="36">
        <f>IF(R560="","",IF(INDEX('Recurring Schedule'!$D$6:$D$45,R560)="","",INDEX('Recurring Schedule'!$D$6:$D$45,R560)))</f>
        <v/>
      </c>
      <c r="E560" s="38">
        <f>IF(Q560="","",INDEX(Calc!$A$2:$A$367,Q560))</f>
        <v/>
      </c>
      <c r="F560" s="68">
        <f>IF(OR(C560="",E560=""),"",E560-Setup!$D$7)</f>
        <v/>
      </c>
      <c r="G560" s="74">
        <f>IF(R560="","",IF(INDEX('Recurring Schedule'!$H$6:$H$45,R560)="","",INDEX('Recurring Schedule'!$H$6:$H$45,R560)))</f>
        <v/>
      </c>
      <c r="H560" s="74">
        <f>IF(R560="","",IF(INDEX('Recurring Schedule'!$I$6:$I$45,R560)="","",INDEX('Recurring Schedule'!$I$6:$I$45,R560)))</f>
        <v/>
      </c>
      <c r="I560" s="36">
        <f>IF(OR(G560="",H560=""),"",TRIM(IF(HOUR(H560-G560)&gt;0,HOUR(H560-G560)&amp;" hr ","")&amp;IF(MINUTE(H560-G560)&gt;0,MINUTE(H560-G560)&amp;" min","")))</f>
        <v/>
      </c>
      <c r="J560" s="66" t="n"/>
      <c r="K560" s="70" t="n"/>
      <c r="L560" s="36">
        <f>IF(R560="","",IF(INDEX('Recurring Schedule'!$J$6:$J$45,R560)="","",INDEX('Recurring Schedule'!$J$6:$J$45,R560)))</f>
        <v/>
      </c>
      <c r="M560" s="36">
        <f>IF(R560="","",IF(INDEX('Recurring Schedule'!$K$6:$K$45,R560)="","",INDEX('Recurring Schedule'!$K$6:$K$45,R560)))</f>
        <v/>
      </c>
      <c r="N560" s="36">
        <f>IF(R560="","",IF(INDEX('Recurring Schedule'!$L$6:$L$45,R560)="","",INDEX('Recurring Schedule'!$L$6:$L$45,R560)))</f>
        <v/>
      </c>
      <c r="O560" s="36">
        <f>IF(C560="","",IF(AND(OR(L560="1-Urgent",L560="2-High"),M560="✓"),"DO FIRST",IF(M560="✓","SCHEDULE",IF(OR(L560="1-Urgent",L560="2-High"),"DELEGATE","DELETE"))))</f>
        <v/>
      </c>
      <c r="P560" s="65" t="n"/>
      <c r="Q560">
        <f>IF(555&gt;Calc!$AQ$368,"",MATCH(554,Calc!$AQ$2:$AQ$367,1))</f>
        <v/>
      </c>
      <c r="R560">
        <f>IF(Q560="","",SMALL(INDEX(Calc!$B$2:$AO$367,Q560,0),555-INDEX(Calc!$AQ$2:$AQ$367,Q560)))</f>
        <v/>
      </c>
    </row>
    <row r="561">
      <c r="B561" s="71">
        <f>IF(R561="","",556)</f>
        <v/>
      </c>
      <c r="C561" s="75">
        <f>IF(R561="","",IF(INDEX('Recurring Schedule'!$C$6:$C$45,R561)="","",INDEX('Recurring Schedule'!$C$6:$C$45,R561)))</f>
        <v/>
      </c>
      <c r="D561" s="73">
        <f>IF(R561="","",IF(INDEX('Recurring Schedule'!$D$6:$D$45,R561)="","",INDEX('Recurring Schedule'!$D$6:$D$45,R561)))</f>
        <v/>
      </c>
      <c r="E561" s="76">
        <f>IF(Q561="","",INDEX(Calc!$A$2:$A$367,Q561))</f>
        <v/>
      </c>
      <c r="F561" s="72">
        <f>IF(OR(C561="",E561=""),"",E561-Setup!$D$7)</f>
        <v/>
      </c>
      <c r="G561" s="77">
        <f>IF(R561="","",IF(INDEX('Recurring Schedule'!$H$6:$H$45,R561)="","",INDEX('Recurring Schedule'!$H$6:$H$45,R561)))</f>
        <v/>
      </c>
      <c r="H561" s="77">
        <f>IF(R561="","",IF(INDEX('Recurring Schedule'!$I$6:$I$45,R561)="","",INDEX('Recurring Schedule'!$I$6:$I$45,R561)))</f>
        <v/>
      </c>
      <c r="I561" s="73">
        <f>IF(OR(G561="",H561=""),"",TRIM(IF(HOUR(H561-G561)&gt;0,HOUR(H561-G561)&amp;" hr ","")&amp;IF(MINUTE(H561-G561)&gt;0,MINUTE(H561-G561)&amp;" min","")))</f>
        <v/>
      </c>
      <c r="J561" s="66" t="n"/>
      <c r="K561" s="70" t="n"/>
      <c r="L561" s="73">
        <f>IF(R561="","",IF(INDEX('Recurring Schedule'!$J$6:$J$45,R561)="","",INDEX('Recurring Schedule'!$J$6:$J$45,R561)))</f>
        <v/>
      </c>
      <c r="M561" s="73">
        <f>IF(R561="","",IF(INDEX('Recurring Schedule'!$K$6:$K$45,R561)="","",INDEX('Recurring Schedule'!$K$6:$K$45,R561)))</f>
        <v/>
      </c>
      <c r="N561" s="73">
        <f>IF(R561="","",IF(INDEX('Recurring Schedule'!$L$6:$L$45,R561)="","",INDEX('Recurring Schedule'!$L$6:$L$45,R561)))</f>
        <v/>
      </c>
      <c r="O561" s="73">
        <f>IF(C561="","",IF(AND(OR(L561="1-Urgent",L561="2-High"),M561="✓"),"DO FIRST",IF(M561="✓","SCHEDULE",IF(OR(L561="1-Urgent",L561="2-High"),"DELEGATE","DELETE"))))</f>
        <v/>
      </c>
      <c r="P561" s="65" t="n"/>
      <c r="Q561">
        <f>IF(556&gt;Calc!$AQ$368,"",MATCH(555,Calc!$AQ$2:$AQ$367,1))</f>
        <v/>
      </c>
      <c r="R561">
        <f>IF(Q561="","",SMALL(INDEX(Calc!$B$2:$AO$367,Q561,0),556-INDEX(Calc!$AQ$2:$AQ$367,Q561)))</f>
        <v/>
      </c>
    </row>
    <row r="562">
      <c r="B562" s="64">
        <f>IF(R562="","",557)</f>
        <v/>
      </c>
      <c r="C562" s="37">
        <f>IF(R562="","",IF(INDEX('Recurring Schedule'!$C$6:$C$45,R562)="","",INDEX('Recurring Schedule'!$C$6:$C$45,R562)))</f>
        <v/>
      </c>
      <c r="D562" s="36">
        <f>IF(R562="","",IF(INDEX('Recurring Schedule'!$D$6:$D$45,R562)="","",INDEX('Recurring Schedule'!$D$6:$D$45,R562)))</f>
        <v/>
      </c>
      <c r="E562" s="38">
        <f>IF(Q562="","",INDEX(Calc!$A$2:$A$367,Q562))</f>
        <v/>
      </c>
      <c r="F562" s="68">
        <f>IF(OR(C562="",E562=""),"",E562-Setup!$D$7)</f>
        <v/>
      </c>
      <c r="G562" s="74">
        <f>IF(R562="","",IF(INDEX('Recurring Schedule'!$H$6:$H$45,R562)="","",INDEX('Recurring Schedule'!$H$6:$H$45,R562)))</f>
        <v/>
      </c>
      <c r="H562" s="74">
        <f>IF(R562="","",IF(INDEX('Recurring Schedule'!$I$6:$I$45,R562)="","",INDEX('Recurring Schedule'!$I$6:$I$45,R562)))</f>
        <v/>
      </c>
      <c r="I562" s="36">
        <f>IF(OR(G562="",H562=""),"",TRIM(IF(HOUR(H562-G562)&gt;0,HOUR(H562-G562)&amp;" hr ","")&amp;IF(MINUTE(H562-G562)&gt;0,MINUTE(H562-G562)&amp;" min","")))</f>
        <v/>
      </c>
      <c r="J562" s="66" t="n"/>
      <c r="K562" s="70" t="n"/>
      <c r="L562" s="36">
        <f>IF(R562="","",IF(INDEX('Recurring Schedule'!$J$6:$J$45,R562)="","",INDEX('Recurring Schedule'!$J$6:$J$45,R562)))</f>
        <v/>
      </c>
      <c r="M562" s="36">
        <f>IF(R562="","",IF(INDEX('Recurring Schedule'!$K$6:$K$45,R562)="","",INDEX('Recurring Schedule'!$K$6:$K$45,R562)))</f>
        <v/>
      </c>
      <c r="N562" s="36">
        <f>IF(R562="","",IF(INDEX('Recurring Schedule'!$L$6:$L$45,R562)="","",INDEX('Recurring Schedule'!$L$6:$L$45,R562)))</f>
        <v/>
      </c>
      <c r="O562" s="36">
        <f>IF(C562="","",IF(AND(OR(L562="1-Urgent",L562="2-High"),M562="✓"),"DO FIRST",IF(M562="✓","SCHEDULE",IF(OR(L562="1-Urgent",L562="2-High"),"DELEGATE","DELETE"))))</f>
        <v/>
      </c>
      <c r="P562" s="65" t="n"/>
      <c r="Q562">
        <f>IF(557&gt;Calc!$AQ$368,"",MATCH(556,Calc!$AQ$2:$AQ$367,1))</f>
        <v/>
      </c>
      <c r="R562">
        <f>IF(Q562="","",SMALL(INDEX(Calc!$B$2:$AO$367,Q562,0),557-INDEX(Calc!$AQ$2:$AQ$367,Q562)))</f>
        <v/>
      </c>
    </row>
    <row r="563">
      <c r="B563" s="71">
        <f>IF(R563="","",558)</f>
        <v/>
      </c>
      <c r="C563" s="75">
        <f>IF(R563="","",IF(INDEX('Recurring Schedule'!$C$6:$C$45,R563)="","",INDEX('Recurring Schedule'!$C$6:$C$45,R563)))</f>
        <v/>
      </c>
      <c r="D563" s="73">
        <f>IF(R563="","",IF(INDEX('Recurring Schedule'!$D$6:$D$45,R563)="","",INDEX('Recurring Schedule'!$D$6:$D$45,R563)))</f>
        <v/>
      </c>
      <c r="E563" s="76">
        <f>IF(Q563="","",INDEX(Calc!$A$2:$A$367,Q563))</f>
        <v/>
      </c>
      <c r="F563" s="72">
        <f>IF(OR(C563="",E563=""),"",E563-Setup!$D$7)</f>
        <v/>
      </c>
      <c r="G563" s="77">
        <f>IF(R563="","",IF(INDEX('Recurring Schedule'!$H$6:$H$45,R563)="","",INDEX('Recurring Schedule'!$H$6:$H$45,R563)))</f>
        <v/>
      </c>
      <c r="H563" s="77">
        <f>IF(R563="","",IF(INDEX('Recurring Schedule'!$I$6:$I$45,R563)="","",INDEX('Recurring Schedule'!$I$6:$I$45,R563)))</f>
        <v/>
      </c>
      <c r="I563" s="73">
        <f>IF(OR(G563="",H563=""),"",TRIM(IF(HOUR(H563-G563)&gt;0,HOUR(H563-G563)&amp;" hr ","")&amp;IF(MINUTE(H563-G563)&gt;0,MINUTE(H563-G563)&amp;" min","")))</f>
        <v/>
      </c>
      <c r="J563" s="66" t="n"/>
      <c r="K563" s="70" t="n"/>
      <c r="L563" s="73">
        <f>IF(R563="","",IF(INDEX('Recurring Schedule'!$J$6:$J$45,R563)="","",INDEX('Recurring Schedule'!$J$6:$J$45,R563)))</f>
        <v/>
      </c>
      <c r="M563" s="73">
        <f>IF(R563="","",IF(INDEX('Recurring Schedule'!$K$6:$K$45,R563)="","",INDEX('Recurring Schedule'!$K$6:$K$45,R563)))</f>
        <v/>
      </c>
      <c r="N563" s="73">
        <f>IF(R563="","",IF(INDEX('Recurring Schedule'!$L$6:$L$45,R563)="","",INDEX('Recurring Schedule'!$L$6:$L$45,R563)))</f>
        <v/>
      </c>
      <c r="O563" s="73">
        <f>IF(C563="","",IF(AND(OR(L563="1-Urgent",L563="2-High"),M563="✓"),"DO FIRST",IF(M563="✓","SCHEDULE",IF(OR(L563="1-Urgent",L563="2-High"),"DELEGATE","DELETE"))))</f>
        <v/>
      </c>
      <c r="P563" s="65" t="n"/>
      <c r="Q563">
        <f>IF(558&gt;Calc!$AQ$368,"",MATCH(557,Calc!$AQ$2:$AQ$367,1))</f>
        <v/>
      </c>
      <c r="R563">
        <f>IF(Q563="","",SMALL(INDEX(Calc!$B$2:$AO$367,Q563,0),558-INDEX(Calc!$AQ$2:$AQ$367,Q563)))</f>
        <v/>
      </c>
    </row>
    <row r="564">
      <c r="B564" s="64">
        <f>IF(R564="","",559)</f>
        <v/>
      </c>
      <c r="C564" s="37">
        <f>IF(R564="","",IF(INDEX('Recurring Schedule'!$C$6:$C$45,R564)="","",INDEX('Recurring Schedule'!$C$6:$C$45,R564)))</f>
        <v/>
      </c>
      <c r="D564" s="36">
        <f>IF(R564="","",IF(INDEX('Recurring Schedule'!$D$6:$D$45,R564)="","",INDEX('Recurring Schedule'!$D$6:$D$45,R564)))</f>
        <v/>
      </c>
      <c r="E564" s="38">
        <f>IF(Q564="","",INDEX(Calc!$A$2:$A$367,Q564))</f>
        <v/>
      </c>
      <c r="F564" s="68">
        <f>IF(OR(C564="",E564=""),"",E564-Setup!$D$7)</f>
        <v/>
      </c>
      <c r="G564" s="74">
        <f>IF(R564="","",IF(INDEX('Recurring Schedule'!$H$6:$H$45,R564)="","",INDEX('Recurring Schedule'!$H$6:$H$45,R564)))</f>
        <v/>
      </c>
      <c r="H564" s="74">
        <f>IF(R564="","",IF(INDEX('Recurring Schedule'!$I$6:$I$45,R564)="","",INDEX('Recurring Schedule'!$I$6:$I$45,R564)))</f>
        <v/>
      </c>
      <c r="I564" s="36">
        <f>IF(OR(G564="",H564=""),"",TRIM(IF(HOUR(H564-G564)&gt;0,HOUR(H564-G564)&amp;" hr ","")&amp;IF(MINUTE(H564-G564)&gt;0,MINUTE(H564-G564)&amp;" min","")))</f>
        <v/>
      </c>
      <c r="J564" s="66" t="n"/>
      <c r="K564" s="70" t="n"/>
      <c r="L564" s="36">
        <f>IF(R564="","",IF(INDEX('Recurring Schedule'!$J$6:$J$45,R564)="","",INDEX('Recurring Schedule'!$J$6:$J$45,R564)))</f>
        <v/>
      </c>
      <c r="M564" s="36">
        <f>IF(R564="","",IF(INDEX('Recurring Schedule'!$K$6:$K$45,R564)="","",INDEX('Recurring Schedule'!$K$6:$K$45,R564)))</f>
        <v/>
      </c>
      <c r="N564" s="36">
        <f>IF(R564="","",IF(INDEX('Recurring Schedule'!$L$6:$L$45,R564)="","",INDEX('Recurring Schedule'!$L$6:$L$45,R564)))</f>
        <v/>
      </c>
      <c r="O564" s="36">
        <f>IF(C564="","",IF(AND(OR(L564="1-Urgent",L564="2-High"),M564="✓"),"DO FIRST",IF(M564="✓","SCHEDULE",IF(OR(L564="1-Urgent",L564="2-High"),"DELEGATE","DELETE"))))</f>
        <v/>
      </c>
      <c r="P564" s="65" t="n"/>
      <c r="Q564">
        <f>IF(559&gt;Calc!$AQ$368,"",MATCH(558,Calc!$AQ$2:$AQ$367,1))</f>
        <v/>
      </c>
      <c r="R564">
        <f>IF(Q564="","",SMALL(INDEX(Calc!$B$2:$AO$367,Q564,0),559-INDEX(Calc!$AQ$2:$AQ$367,Q564)))</f>
        <v/>
      </c>
    </row>
    <row r="565">
      <c r="B565" s="71">
        <f>IF(R565="","",560)</f>
        <v/>
      </c>
      <c r="C565" s="75">
        <f>IF(R565="","",IF(INDEX('Recurring Schedule'!$C$6:$C$45,R565)="","",INDEX('Recurring Schedule'!$C$6:$C$45,R565)))</f>
        <v/>
      </c>
      <c r="D565" s="73">
        <f>IF(R565="","",IF(INDEX('Recurring Schedule'!$D$6:$D$45,R565)="","",INDEX('Recurring Schedule'!$D$6:$D$45,R565)))</f>
        <v/>
      </c>
      <c r="E565" s="76">
        <f>IF(Q565="","",INDEX(Calc!$A$2:$A$367,Q565))</f>
        <v/>
      </c>
      <c r="F565" s="72">
        <f>IF(OR(C565="",E565=""),"",E565-Setup!$D$7)</f>
        <v/>
      </c>
      <c r="G565" s="77">
        <f>IF(R565="","",IF(INDEX('Recurring Schedule'!$H$6:$H$45,R565)="","",INDEX('Recurring Schedule'!$H$6:$H$45,R565)))</f>
        <v/>
      </c>
      <c r="H565" s="77">
        <f>IF(R565="","",IF(INDEX('Recurring Schedule'!$I$6:$I$45,R565)="","",INDEX('Recurring Schedule'!$I$6:$I$45,R565)))</f>
        <v/>
      </c>
      <c r="I565" s="73">
        <f>IF(OR(G565="",H565=""),"",TRIM(IF(HOUR(H565-G565)&gt;0,HOUR(H565-G565)&amp;" hr ","")&amp;IF(MINUTE(H565-G565)&gt;0,MINUTE(H565-G565)&amp;" min","")))</f>
        <v/>
      </c>
      <c r="J565" s="66" t="n"/>
      <c r="K565" s="70" t="n"/>
      <c r="L565" s="73">
        <f>IF(R565="","",IF(INDEX('Recurring Schedule'!$J$6:$J$45,R565)="","",INDEX('Recurring Schedule'!$J$6:$J$45,R565)))</f>
        <v/>
      </c>
      <c r="M565" s="73">
        <f>IF(R565="","",IF(INDEX('Recurring Schedule'!$K$6:$K$45,R565)="","",INDEX('Recurring Schedule'!$K$6:$K$45,R565)))</f>
        <v/>
      </c>
      <c r="N565" s="73">
        <f>IF(R565="","",IF(INDEX('Recurring Schedule'!$L$6:$L$45,R565)="","",INDEX('Recurring Schedule'!$L$6:$L$45,R565)))</f>
        <v/>
      </c>
      <c r="O565" s="73">
        <f>IF(C565="","",IF(AND(OR(L565="1-Urgent",L565="2-High"),M565="✓"),"DO FIRST",IF(M565="✓","SCHEDULE",IF(OR(L565="1-Urgent",L565="2-High"),"DELEGATE","DELETE"))))</f>
        <v/>
      </c>
      <c r="P565" s="65" t="n"/>
      <c r="Q565">
        <f>IF(560&gt;Calc!$AQ$368,"",MATCH(559,Calc!$AQ$2:$AQ$367,1))</f>
        <v/>
      </c>
      <c r="R565">
        <f>IF(Q565="","",SMALL(INDEX(Calc!$B$2:$AO$367,Q565,0),560-INDEX(Calc!$AQ$2:$AQ$367,Q565)))</f>
        <v/>
      </c>
    </row>
    <row r="566">
      <c r="B566" s="64">
        <f>IF(R566="","",561)</f>
        <v/>
      </c>
      <c r="C566" s="37">
        <f>IF(R566="","",IF(INDEX('Recurring Schedule'!$C$6:$C$45,R566)="","",INDEX('Recurring Schedule'!$C$6:$C$45,R566)))</f>
        <v/>
      </c>
      <c r="D566" s="36">
        <f>IF(R566="","",IF(INDEX('Recurring Schedule'!$D$6:$D$45,R566)="","",INDEX('Recurring Schedule'!$D$6:$D$45,R566)))</f>
        <v/>
      </c>
      <c r="E566" s="38">
        <f>IF(Q566="","",INDEX(Calc!$A$2:$A$367,Q566))</f>
        <v/>
      </c>
      <c r="F566" s="68">
        <f>IF(OR(C566="",E566=""),"",E566-Setup!$D$7)</f>
        <v/>
      </c>
      <c r="G566" s="74">
        <f>IF(R566="","",IF(INDEX('Recurring Schedule'!$H$6:$H$45,R566)="","",INDEX('Recurring Schedule'!$H$6:$H$45,R566)))</f>
        <v/>
      </c>
      <c r="H566" s="74">
        <f>IF(R566="","",IF(INDEX('Recurring Schedule'!$I$6:$I$45,R566)="","",INDEX('Recurring Schedule'!$I$6:$I$45,R566)))</f>
        <v/>
      </c>
      <c r="I566" s="36">
        <f>IF(OR(G566="",H566=""),"",TRIM(IF(HOUR(H566-G566)&gt;0,HOUR(H566-G566)&amp;" hr ","")&amp;IF(MINUTE(H566-G566)&gt;0,MINUTE(H566-G566)&amp;" min","")))</f>
        <v/>
      </c>
      <c r="J566" s="66" t="n"/>
      <c r="K566" s="70" t="n"/>
      <c r="L566" s="36">
        <f>IF(R566="","",IF(INDEX('Recurring Schedule'!$J$6:$J$45,R566)="","",INDEX('Recurring Schedule'!$J$6:$J$45,R566)))</f>
        <v/>
      </c>
      <c r="M566" s="36">
        <f>IF(R566="","",IF(INDEX('Recurring Schedule'!$K$6:$K$45,R566)="","",INDEX('Recurring Schedule'!$K$6:$K$45,R566)))</f>
        <v/>
      </c>
      <c r="N566" s="36">
        <f>IF(R566="","",IF(INDEX('Recurring Schedule'!$L$6:$L$45,R566)="","",INDEX('Recurring Schedule'!$L$6:$L$45,R566)))</f>
        <v/>
      </c>
      <c r="O566" s="36">
        <f>IF(C566="","",IF(AND(OR(L566="1-Urgent",L566="2-High"),M566="✓"),"DO FIRST",IF(M566="✓","SCHEDULE",IF(OR(L566="1-Urgent",L566="2-High"),"DELEGATE","DELETE"))))</f>
        <v/>
      </c>
      <c r="P566" s="65" t="n"/>
      <c r="Q566">
        <f>IF(561&gt;Calc!$AQ$368,"",MATCH(560,Calc!$AQ$2:$AQ$367,1))</f>
        <v/>
      </c>
      <c r="R566">
        <f>IF(Q566="","",SMALL(INDEX(Calc!$B$2:$AO$367,Q566,0),561-INDEX(Calc!$AQ$2:$AQ$367,Q566)))</f>
        <v/>
      </c>
    </row>
    <row r="567">
      <c r="B567" s="71">
        <f>IF(R567="","",562)</f>
        <v/>
      </c>
      <c r="C567" s="75">
        <f>IF(R567="","",IF(INDEX('Recurring Schedule'!$C$6:$C$45,R567)="","",INDEX('Recurring Schedule'!$C$6:$C$45,R567)))</f>
        <v/>
      </c>
      <c r="D567" s="73">
        <f>IF(R567="","",IF(INDEX('Recurring Schedule'!$D$6:$D$45,R567)="","",INDEX('Recurring Schedule'!$D$6:$D$45,R567)))</f>
        <v/>
      </c>
      <c r="E567" s="76">
        <f>IF(Q567="","",INDEX(Calc!$A$2:$A$367,Q567))</f>
        <v/>
      </c>
      <c r="F567" s="72">
        <f>IF(OR(C567="",E567=""),"",E567-Setup!$D$7)</f>
        <v/>
      </c>
      <c r="G567" s="77">
        <f>IF(R567="","",IF(INDEX('Recurring Schedule'!$H$6:$H$45,R567)="","",INDEX('Recurring Schedule'!$H$6:$H$45,R567)))</f>
        <v/>
      </c>
      <c r="H567" s="77">
        <f>IF(R567="","",IF(INDEX('Recurring Schedule'!$I$6:$I$45,R567)="","",INDEX('Recurring Schedule'!$I$6:$I$45,R567)))</f>
        <v/>
      </c>
      <c r="I567" s="73">
        <f>IF(OR(G567="",H567=""),"",TRIM(IF(HOUR(H567-G567)&gt;0,HOUR(H567-G567)&amp;" hr ","")&amp;IF(MINUTE(H567-G567)&gt;0,MINUTE(H567-G567)&amp;" min","")))</f>
        <v/>
      </c>
      <c r="J567" s="66" t="n"/>
      <c r="K567" s="70" t="n"/>
      <c r="L567" s="73">
        <f>IF(R567="","",IF(INDEX('Recurring Schedule'!$J$6:$J$45,R567)="","",INDEX('Recurring Schedule'!$J$6:$J$45,R567)))</f>
        <v/>
      </c>
      <c r="M567" s="73">
        <f>IF(R567="","",IF(INDEX('Recurring Schedule'!$K$6:$K$45,R567)="","",INDEX('Recurring Schedule'!$K$6:$K$45,R567)))</f>
        <v/>
      </c>
      <c r="N567" s="73">
        <f>IF(R567="","",IF(INDEX('Recurring Schedule'!$L$6:$L$45,R567)="","",INDEX('Recurring Schedule'!$L$6:$L$45,R567)))</f>
        <v/>
      </c>
      <c r="O567" s="73">
        <f>IF(C567="","",IF(AND(OR(L567="1-Urgent",L567="2-High"),M567="✓"),"DO FIRST",IF(M567="✓","SCHEDULE",IF(OR(L567="1-Urgent",L567="2-High"),"DELEGATE","DELETE"))))</f>
        <v/>
      </c>
      <c r="P567" s="65" t="n"/>
      <c r="Q567">
        <f>IF(562&gt;Calc!$AQ$368,"",MATCH(561,Calc!$AQ$2:$AQ$367,1))</f>
        <v/>
      </c>
      <c r="R567">
        <f>IF(Q567="","",SMALL(INDEX(Calc!$B$2:$AO$367,Q567,0),562-INDEX(Calc!$AQ$2:$AQ$367,Q567)))</f>
        <v/>
      </c>
    </row>
    <row r="568">
      <c r="B568" s="64">
        <f>IF(R568="","",563)</f>
        <v/>
      </c>
      <c r="C568" s="37">
        <f>IF(R568="","",IF(INDEX('Recurring Schedule'!$C$6:$C$45,R568)="","",INDEX('Recurring Schedule'!$C$6:$C$45,R568)))</f>
        <v/>
      </c>
      <c r="D568" s="36">
        <f>IF(R568="","",IF(INDEX('Recurring Schedule'!$D$6:$D$45,R568)="","",INDEX('Recurring Schedule'!$D$6:$D$45,R568)))</f>
        <v/>
      </c>
      <c r="E568" s="38">
        <f>IF(Q568="","",INDEX(Calc!$A$2:$A$367,Q568))</f>
        <v/>
      </c>
      <c r="F568" s="68">
        <f>IF(OR(C568="",E568=""),"",E568-Setup!$D$7)</f>
        <v/>
      </c>
      <c r="G568" s="74">
        <f>IF(R568="","",IF(INDEX('Recurring Schedule'!$H$6:$H$45,R568)="","",INDEX('Recurring Schedule'!$H$6:$H$45,R568)))</f>
        <v/>
      </c>
      <c r="H568" s="74">
        <f>IF(R568="","",IF(INDEX('Recurring Schedule'!$I$6:$I$45,R568)="","",INDEX('Recurring Schedule'!$I$6:$I$45,R568)))</f>
        <v/>
      </c>
      <c r="I568" s="36">
        <f>IF(OR(G568="",H568=""),"",TRIM(IF(HOUR(H568-G568)&gt;0,HOUR(H568-G568)&amp;" hr ","")&amp;IF(MINUTE(H568-G568)&gt;0,MINUTE(H568-G568)&amp;" min","")))</f>
        <v/>
      </c>
      <c r="J568" s="66" t="n"/>
      <c r="K568" s="70" t="n"/>
      <c r="L568" s="36">
        <f>IF(R568="","",IF(INDEX('Recurring Schedule'!$J$6:$J$45,R568)="","",INDEX('Recurring Schedule'!$J$6:$J$45,R568)))</f>
        <v/>
      </c>
      <c r="M568" s="36">
        <f>IF(R568="","",IF(INDEX('Recurring Schedule'!$K$6:$K$45,R568)="","",INDEX('Recurring Schedule'!$K$6:$K$45,R568)))</f>
        <v/>
      </c>
      <c r="N568" s="36">
        <f>IF(R568="","",IF(INDEX('Recurring Schedule'!$L$6:$L$45,R568)="","",INDEX('Recurring Schedule'!$L$6:$L$45,R568)))</f>
        <v/>
      </c>
      <c r="O568" s="36">
        <f>IF(C568="","",IF(AND(OR(L568="1-Urgent",L568="2-High"),M568="✓"),"DO FIRST",IF(M568="✓","SCHEDULE",IF(OR(L568="1-Urgent",L568="2-High"),"DELEGATE","DELETE"))))</f>
        <v/>
      </c>
      <c r="P568" s="65" t="n"/>
      <c r="Q568">
        <f>IF(563&gt;Calc!$AQ$368,"",MATCH(562,Calc!$AQ$2:$AQ$367,1))</f>
        <v/>
      </c>
      <c r="R568">
        <f>IF(Q568="","",SMALL(INDEX(Calc!$B$2:$AO$367,Q568,0),563-INDEX(Calc!$AQ$2:$AQ$367,Q568)))</f>
        <v/>
      </c>
    </row>
    <row r="569">
      <c r="B569" s="71">
        <f>IF(R569="","",564)</f>
        <v/>
      </c>
      <c r="C569" s="75">
        <f>IF(R569="","",IF(INDEX('Recurring Schedule'!$C$6:$C$45,R569)="","",INDEX('Recurring Schedule'!$C$6:$C$45,R569)))</f>
        <v/>
      </c>
      <c r="D569" s="73">
        <f>IF(R569="","",IF(INDEX('Recurring Schedule'!$D$6:$D$45,R569)="","",INDEX('Recurring Schedule'!$D$6:$D$45,R569)))</f>
        <v/>
      </c>
      <c r="E569" s="76">
        <f>IF(Q569="","",INDEX(Calc!$A$2:$A$367,Q569))</f>
        <v/>
      </c>
      <c r="F569" s="72">
        <f>IF(OR(C569="",E569=""),"",E569-Setup!$D$7)</f>
        <v/>
      </c>
      <c r="G569" s="77">
        <f>IF(R569="","",IF(INDEX('Recurring Schedule'!$H$6:$H$45,R569)="","",INDEX('Recurring Schedule'!$H$6:$H$45,R569)))</f>
        <v/>
      </c>
      <c r="H569" s="77">
        <f>IF(R569="","",IF(INDEX('Recurring Schedule'!$I$6:$I$45,R569)="","",INDEX('Recurring Schedule'!$I$6:$I$45,R569)))</f>
        <v/>
      </c>
      <c r="I569" s="73">
        <f>IF(OR(G569="",H569=""),"",TRIM(IF(HOUR(H569-G569)&gt;0,HOUR(H569-G569)&amp;" hr ","")&amp;IF(MINUTE(H569-G569)&gt;0,MINUTE(H569-G569)&amp;" min","")))</f>
        <v/>
      </c>
      <c r="J569" s="66" t="n"/>
      <c r="K569" s="70" t="n"/>
      <c r="L569" s="73">
        <f>IF(R569="","",IF(INDEX('Recurring Schedule'!$J$6:$J$45,R569)="","",INDEX('Recurring Schedule'!$J$6:$J$45,R569)))</f>
        <v/>
      </c>
      <c r="M569" s="73">
        <f>IF(R569="","",IF(INDEX('Recurring Schedule'!$K$6:$K$45,R569)="","",INDEX('Recurring Schedule'!$K$6:$K$45,R569)))</f>
        <v/>
      </c>
      <c r="N569" s="73">
        <f>IF(R569="","",IF(INDEX('Recurring Schedule'!$L$6:$L$45,R569)="","",INDEX('Recurring Schedule'!$L$6:$L$45,R569)))</f>
        <v/>
      </c>
      <c r="O569" s="73">
        <f>IF(C569="","",IF(AND(OR(L569="1-Urgent",L569="2-High"),M569="✓"),"DO FIRST",IF(M569="✓","SCHEDULE",IF(OR(L569="1-Urgent",L569="2-High"),"DELEGATE","DELETE"))))</f>
        <v/>
      </c>
      <c r="P569" s="65" t="n"/>
      <c r="Q569">
        <f>IF(564&gt;Calc!$AQ$368,"",MATCH(563,Calc!$AQ$2:$AQ$367,1))</f>
        <v/>
      </c>
      <c r="R569">
        <f>IF(Q569="","",SMALL(INDEX(Calc!$B$2:$AO$367,Q569,0),564-INDEX(Calc!$AQ$2:$AQ$367,Q569)))</f>
        <v/>
      </c>
    </row>
    <row r="570">
      <c r="B570" s="64">
        <f>IF(R570="","",565)</f>
        <v/>
      </c>
      <c r="C570" s="37">
        <f>IF(R570="","",IF(INDEX('Recurring Schedule'!$C$6:$C$45,R570)="","",INDEX('Recurring Schedule'!$C$6:$C$45,R570)))</f>
        <v/>
      </c>
      <c r="D570" s="36">
        <f>IF(R570="","",IF(INDEX('Recurring Schedule'!$D$6:$D$45,R570)="","",INDEX('Recurring Schedule'!$D$6:$D$45,R570)))</f>
        <v/>
      </c>
      <c r="E570" s="38">
        <f>IF(Q570="","",INDEX(Calc!$A$2:$A$367,Q570))</f>
        <v/>
      </c>
      <c r="F570" s="68">
        <f>IF(OR(C570="",E570=""),"",E570-Setup!$D$7)</f>
        <v/>
      </c>
      <c r="G570" s="74">
        <f>IF(R570="","",IF(INDEX('Recurring Schedule'!$H$6:$H$45,R570)="","",INDEX('Recurring Schedule'!$H$6:$H$45,R570)))</f>
        <v/>
      </c>
      <c r="H570" s="74">
        <f>IF(R570="","",IF(INDEX('Recurring Schedule'!$I$6:$I$45,R570)="","",INDEX('Recurring Schedule'!$I$6:$I$45,R570)))</f>
        <v/>
      </c>
      <c r="I570" s="36">
        <f>IF(OR(G570="",H570=""),"",TRIM(IF(HOUR(H570-G570)&gt;0,HOUR(H570-G570)&amp;" hr ","")&amp;IF(MINUTE(H570-G570)&gt;0,MINUTE(H570-G570)&amp;" min","")))</f>
        <v/>
      </c>
      <c r="J570" s="66" t="n"/>
      <c r="K570" s="70" t="n"/>
      <c r="L570" s="36">
        <f>IF(R570="","",IF(INDEX('Recurring Schedule'!$J$6:$J$45,R570)="","",INDEX('Recurring Schedule'!$J$6:$J$45,R570)))</f>
        <v/>
      </c>
      <c r="M570" s="36">
        <f>IF(R570="","",IF(INDEX('Recurring Schedule'!$K$6:$K$45,R570)="","",INDEX('Recurring Schedule'!$K$6:$K$45,R570)))</f>
        <v/>
      </c>
      <c r="N570" s="36">
        <f>IF(R570="","",IF(INDEX('Recurring Schedule'!$L$6:$L$45,R570)="","",INDEX('Recurring Schedule'!$L$6:$L$45,R570)))</f>
        <v/>
      </c>
      <c r="O570" s="36">
        <f>IF(C570="","",IF(AND(OR(L570="1-Urgent",L570="2-High"),M570="✓"),"DO FIRST",IF(M570="✓","SCHEDULE",IF(OR(L570="1-Urgent",L570="2-High"),"DELEGATE","DELETE"))))</f>
        <v/>
      </c>
      <c r="P570" s="65" t="n"/>
      <c r="Q570">
        <f>IF(565&gt;Calc!$AQ$368,"",MATCH(564,Calc!$AQ$2:$AQ$367,1))</f>
        <v/>
      </c>
      <c r="R570">
        <f>IF(Q570="","",SMALL(INDEX(Calc!$B$2:$AO$367,Q570,0),565-INDEX(Calc!$AQ$2:$AQ$367,Q570)))</f>
        <v/>
      </c>
    </row>
    <row r="571">
      <c r="B571" s="71">
        <f>IF(R571="","",566)</f>
        <v/>
      </c>
      <c r="C571" s="75">
        <f>IF(R571="","",IF(INDEX('Recurring Schedule'!$C$6:$C$45,R571)="","",INDEX('Recurring Schedule'!$C$6:$C$45,R571)))</f>
        <v/>
      </c>
      <c r="D571" s="73">
        <f>IF(R571="","",IF(INDEX('Recurring Schedule'!$D$6:$D$45,R571)="","",INDEX('Recurring Schedule'!$D$6:$D$45,R571)))</f>
        <v/>
      </c>
      <c r="E571" s="76">
        <f>IF(Q571="","",INDEX(Calc!$A$2:$A$367,Q571))</f>
        <v/>
      </c>
      <c r="F571" s="72">
        <f>IF(OR(C571="",E571=""),"",E571-Setup!$D$7)</f>
        <v/>
      </c>
      <c r="G571" s="77">
        <f>IF(R571="","",IF(INDEX('Recurring Schedule'!$H$6:$H$45,R571)="","",INDEX('Recurring Schedule'!$H$6:$H$45,R571)))</f>
        <v/>
      </c>
      <c r="H571" s="77">
        <f>IF(R571="","",IF(INDEX('Recurring Schedule'!$I$6:$I$45,R571)="","",INDEX('Recurring Schedule'!$I$6:$I$45,R571)))</f>
        <v/>
      </c>
      <c r="I571" s="73">
        <f>IF(OR(G571="",H571=""),"",TRIM(IF(HOUR(H571-G571)&gt;0,HOUR(H571-G571)&amp;" hr ","")&amp;IF(MINUTE(H571-G571)&gt;0,MINUTE(H571-G571)&amp;" min","")))</f>
        <v/>
      </c>
      <c r="J571" s="66" t="n"/>
      <c r="K571" s="70" t="n"/>
      <c r="L571" s="73">
        <f>IF(R571="","",IF(INDEX('Recurring Schedule'!$J$6:$J$45,R571)="","",INDEX('Recurring Schedule'!$J$6:$J$45,R571)))</f>
        <v/>
      </c>
      <c r="M571" s="73">
        <f>IF(R571="","",IF(INDEX('Recurring Schedule'!$K$6:$K$45,R571)="","",INDEX('Recurring Schedule'!$K$6:$K$45,R571)))</f>
        <v/>
      </c>
      <c r="N571" s="73">
        <f>IF(R571="","",IF(INDEX('Recurring Schedule'!$L$6:$L$45,R571)="","",INDEX('Recurring Schedule'!$L$6:$L$45,R571)))</f>
        <v/>
      </c>
      <c r="O571" s="73">
        <f>IF(C571="","",IF(AND(OR(L571="1-Urgent",L571="2-High"),M571="✓"),"DO FIRST",IF(M571="✓","SCHEDULE",IF(OR(L571="1-Urgent",L571="2-High"),"DELEGATE","DELETE"))))</f>
        <v/>
      </c>
      <c r="P571" s="65" t="n"/>
      <c r="Q571">
        <f>IF(566&gt;Calc!$AQ$368,"",MATCH(565,Calc!$AQ$2:$AQ$367,1))</f>
        <v/>
      </c>
      <c r="R571">
        <f>IF(Q571="","",SMALL(INDEX(Calc!$B$2:$AO$367,Q571,0),566-INDEX(Calc!$AQ$2:$AQ$367,Q571)))</f>
        <v/>
      </c>
    </row>
    <row r="572">
      <c r="B572" s="64">
        <f>IF(R572="","",567)</f>
        <v/>
      </c>
      <c r="C572" s="37">
        <f>IF(R572="","",IF(INDEX('Recurring Schedule'!$C$6:$C$45,R572)="","",INDEX('Recurring Schedule'!$C$6:$C$45,R572)))</f>
        <v/>
      </c>
      <c r="D572" s="36">
        <f>IF(R572="","",IF(INDEX('Recurring Schedule'!$D$6:$D$45,R572)="","",INDEX('Recurring Schedule'!$D$6:$D$45,R572)))</f>
        <v/>
      </c>
      <c r="E572" s="38">
        <f>IF(Q572="","",INDEX(Calc!$A$2:$A$367,Q572))</f>
        <v/>
      </c>
      <c r="F572" s="68">
        <f>IF(OR(C572="",E572=""),"",E572-Setup!$D$7)</f>
        <v/>
      </c>
      <c r="G572" s="74">
        <f>IF(R572="","",IF(INDEX('Recurring Schedule'!$H$6:$H$45,R572)="","",INDEX('Recurring Schedule'!$H$6:$H$45,R572)))</f>
        <v/>
      </c>
      <c r="H572" s="74">
        <f>IF(R572="","",IF(INDEX('Recurring Schedule'!$I$6:$I$45,R572)="","",INDEX('Recurring Schedule'!$I$6:$I$45,R572)))</f>
        <v/>
      </c>
      <c r="I572" s="36">
        <f>IF(OR(G572="",H572=""),"",TRIM(IF(HOUR(H572-G572)&gt;0,HOUR(H572-G572)&amp;" hr ","")&amp;IF(MINUTE(H572-G572)&gt;0,MINUTE(H572-G572)&amp;" min","")))</f>
        <v/>
      </c>
      <c r="J572" s="66" t="n"/>
      <c r="K572" s="70" t="n"/>
      <c r="L572" s="36">
        <f>IF(R572="","",IF(INDEX('Recurring Schedule'!$J$6:$J$45,R572)="","",INDEX('Recurring Schedule'!$J$6:$J$45,R572)))</f>
        <v/>
      </c>
      <c r="M572" s="36">
        <f>IF(R572="","",IF(INDEX('Recurring Schedule'!$K$6:$K$45,R572)="","",INDEX('Recurring Schedule'!$K$6:$K$45,R572)))</f>
        <v/>
      </c>
      <c r="N572" s="36">
        <f>IF(R572="","",IF(INDEX('Recurring Schedule'!$L$6:$L$45,R572)="","",INDEX('Recurring Schedule'!$L$6:$L$45,R572)))</f>
        <v/>
      </c>
      <c r="O572" s="36">
        <f>IF(C572="","",IF(AND(OR(L572="1-Urgent",L572="2-High"),M572="✓"),"DO FIRST",IF(M572="✓","SCHEDULE",IF(OR(L572="1-Urgent",L572="2-High"),"DELEGATE","DELETE"))))</f>
        <v/>
      </c>
      <c r="P572" s="65" t="n"/>
      <c r="Q572">
        <f>IF(567&gt;Calc!$AQ$368,"",MATCH(566,Calc!$AQ$2:$AQ$367,1))</f>
        <v/>
      </c>
      <c r="R572">
        <f>IF(Q572="","",SMALL(INDEX(Calc!$B$2:$AO$367,Q572,0),567-INDEX(Calc!$AQ$2:$AQ$367,Q572)))</f>
        <v/>
      </c>
    </row>
    <row r="573">
      <c r="B573" s="71">
        <f>IF(R573="","",568)</f>
        <v/>
      </c>
      <c r="C573" s="75">
        <f>IF(R573="","",IF(INDEX('Recurring Schedule'!$C$6:$C$45,R573)="","",INDEX('Recurring Schedule'!$C$6:$C$45,R573)))</f>
        <v/>
      </c>
      <c r="D573" s="73">
        <f>IF(R573="","",IF(INDEX('Recurring Schedule'!$D$6:$D$45,R573)="","",INDEX('Recurring Schedule'!$D$6:$D$45,R573)))</f>
        <v/>
      </c>
      <c r="E573" s="76">
        <f>IF(Q573="","",INDEX(Calc!$A$2:$A$367,Q573))</f>
        <v/>
      </c>
      <c r="F573" s="72">
        <f>IF(OR(C573="",E573=""),"",E573-Setup!$D$7)</f>
        <v/>
      </c>
      <c r="G573" s="77">
        <f>IF(R573="","",IF(INDEX('Recurring Schedule'!$H$6:$H$45,R573)="","",INDEX('Recurring Schedule'!$H$6:$H$45,R573)))</f>
        <v/>
      </c>
      <c r="H573" s="77">
        <f>IF(R573="","",IF(INDEX('Recurring Schedule'!$I$6:$I$45,R573)="","",INDEX('Recurring Schedule'!$I$6:$I$45,R573)))</f>
        <v/>
      </c>
      <c r="I573" s="73">
        <f>IF(OR(G573="",H573=""),"",TRIM(IF(HOUR(H573-G573)&gt;0,HOUR(H573-G573)&amp;" hr ","")&amp;IF(MINUTE(H573-G573)&gt;0,MINUTE(H573-G573)&amp;" min","")))</f>
        <v/>
      </c>
      <c r="J573" s="66" t="n"/>
      <c r="K573" s="70" t="n"/>
      <c r="L573" s="73">
        <f>IF(R573="","",IF(INDEX('Recurring Schedule'!$J$6:$J$45,R573)="","",INDEX('Recurring Schedule'!$J$6:$J$45,R573)))</f>
        <v/>
      </c>
      <c r="M573" s="73">
        <f>IF(R573="","",IF(INDEX('Recurring Schedule'!$K$6:$K$45,R573)="","",INDEX('Recurring Schedule'!$K$6:$K$45,R573)))</f>
        <v/>
      </c>
      <c r="N573" s="73">
        <f>IF(R573="","",IF(INDEX('Recurring Schedule'!$L$6:$L$45,R573)="","",INDEX('Recurring Schedule'!$L$6:$L$45,R573)))</f>
        <v/>
      </c>
      <c r="O573" s="73">
        <f>IF(C573="","",IF(AND(OR(L573="1-Urgent",L573="2-High"),M573="✓"),"DO FIRST",IF(M573="✓","SCHEDULE",IF(OR(L573="1-Urgent",L573="2-High"),"DELEGATE","DELETE"))))</f>
        <v/>
      </c>
      <c r="P573" s="65" t="n"/>
      <c r="Q573">
        <f>IF(568&gt;Calc!$AQ$368,"",MATCH(567,Calc!$AQ$2:$AQ$367,1))</f>
        <v/>
      </c>
      <c r="R573">
        <f>IF(Q573="","",SMALL(INDEX(Calc!$B$2:$AO$367,Q573,0),568-INDEX(Calc!$AQ$2:$AQ$367,Q573)))</f>
        <v/>
      </c>
    </row>
    <row r="574">
      <c r="B574" s="64">
        <f>IF(R574="","",569)</f>
        <v/>
      </c>
      <c r="C574" s="37">
        <f>IF(R574="","",IF(INDEX('Recurring Schedule'!$C$6:$C$45,R574)="","",INDEX('Recurring Schedule'!$C$6:$C$45,R574)))</f>
        <v/>
      </c>
      <c r="D574" s="36">
        <f>IF(R574="","",IF(INDEX('Recurring Schedule'!$D$6:$D$45,R574)="","",INDEX('Recurring Schedule'!$D$6:$D$45,R574)))</f>
        <v/>
      </c>
      <c r="E574" s="38">
        <f>IF(Q574="","",INDEX(Calc!$A$2:$A$367,Q574))</f>
        <v/>
      </c>
      <c r="F574" s="68">
        <f>IF(OR(C574="",E574=""),"",E574-Setup!$D$7)</f>
        <v/>
      </c>
      <c r="G574" s="74">
        <f>IF(R574="","",IF(INDEX('Recurring Schedule'!$H$6:$H$45,R574)="","",INDEX('Recurring Schedule'!$H$6:$H$45,R574)))</f>
        <v/>
      </c>
      <c r="H574" s="74">
        <f>IF(R574="","",IF(INDEX('Recurring Schedule'!$I$6:$I$45,R574)="","",INDEX('Recurring Schedule'!$I$6:$I$45,R574)))</f>
        <v/>
      </c>
      <c r="I574" s="36">
        <f>IF(OR(G574="",H574=""),"",TRIM(IF(HOUR(H574-G574)&gt;0,HOUR(H574-G574)&amp;" hr ","")&amp;IF(MINUTE(H574-G574)&gt;0,MINUTE(H574-G574)&amp;" min","")))</f>
        <v/>
      </c>
      <c r="J574" s="66" t="n"/>
      <c r="K574" s="70" t="n"/>
      <c r="L574" s="36">
        <f>IF(R574="","",IF(INDEX('Recurring Schedule'!$J$6:$J$45,R574)="","",INDEX('Recurring Schedule'!$J$6:$J$45,R574)))</f>
        <v/>
      </c>
      <c r="M574" s="36">
        <f>IF(R574="","",IF(INDEX('Recurring Schedule'!$K$6:$K$45,R574)="","",INDEX('Recurring Schedule'!$K$6:$K$45,R574)))</f>
        <v/>
      </c>
      <c r="N574" s="36">
        <f>IF(R574="","",IF(INDEX('Recurring Schedule'!$L$6:$L$45,R574)="","",INDEX('Recurring Schedule'!$L$6:$L$45,R574)))</f>
        <v/>
      </c>
      <c r="O574" s="36">
        <f>IF(C574="","",IF(AND(OR(L574="1-Urgent",L574="2-High"),M574="✓"),"DO FIRST",IF(M574="✓","SCHEDULE",IF(OR(L574="1-Urgent",L574="2-High"),"DELEGATE","DELETE"))))</f>
        <v/>
      </c>
      <c r="P574" s="65" t="n"/>
      <c r="Q574">
        <f>IF(569&gt;Calc!$AQ$368,"",MATCH(568,Calc!$AQ$2:$AQ$367,1))</f>
        <v/>
      </c>
      <c r="R574">
        <f>IF(Q574="","",SMALL(INDEX(Calc!$B$2:$AO$367,Q574,0),569-INDEX(Calc!$AQ$2:$AQ$367,Q574)))</f>
        <v/>
      </c>
    </row>
    <row r="575">
      <c r="B575" s="71">
        <f>IF(R575="","",570)</f>
        <v/>
      </c>
      <c r="C575" s="75">
        <f>IF(R575="","",IF(INDEX('Recurring Schedule'!$C$6:$C$45,R575)="","",INDEX('Recurring Schedule'!$C$6:$C$45,R575)))</f>
        <v/>
      </c>
      <c r="D575" s="73">
        <f>IF(R575="","",IF(INDEX('Recurring Schedule'!$D$6:$D$45,R575)="","",INDEX('Recurring Schedule'!$D$6:$D$45,R575)))</f>
        <v/>
      </c>
      <c r="E575" s="76">
        <f>IF(Q575="","",INDEX(Calc!$A$2:$A$367,Q575))</f>
        <v/>
      </c>
      <c r="F575" s="72">
        <f>IF(OR(C575="",E575=""),"",E575-Setup!$D$7)</f>
        <v/>
      </c>
      <c r="G575" s="77">
        <f>IF(R575="","",IF(INDEX('Recurring Schedule'!$H$6:$H$45,R575)="","",INDEX('Recurring Schedule'!$H$6:$H$45,R575)))</f>
        <v/>
      </c>
      <c r="H575" s="77">
        <f>IF(R575="","",IF(INDEX('Recurring Schedule'!$I$6:$I$45,R575)="","",INDEX('Recurring Schedule'!$I$6:$I$45,R575)))</f>
        <v/>
      </c>
      <c r="I575" s="73">
        <f>IF(OR(G575="",H575=""),"",TRIM(IF(HOUR(H575-G575)&gt;0,HOUR(H575-G575)&amp;" hr ","")&amp;IF(MINUTE(H575-G575)&gt;0,MINUTE(H575-G575)&amp;" min","")))</f>
        <v/>
      </c>
      <c r="J575" s="66" t="n"/>
      <c r="K575" s="70" t="n"/>
      <c r="L575" s="73">
        <f>IF(R575="","",IF(INDEX('Recurring Schedule'!$J$6:$J$45,R575)="","",INDEX('Recurring Schedule'!$J$6:$J$45,R575)))</f>
        <v/>
      </c>
      <c r="M575" s="73">
        <f>IF(R575="","",IF(INDEX('Recurring Schedule'!$K$6:$K$45,R575)="","",INDEX('Recurring Schedule'!$K$6:$K$45,R575)))</f>
        <v/>
      </c>
      <c r="N575" s="73">
        <f>IF(R575="","",IF(INDEX('Recurring Schedule'!$L$6:$L$45,R575)="","",INDEX('Recurring Schedule'!$L$6:$L$45,R575)))</f>
        <v/>
      </c>
      <c r="O575" s="73">
        <f>IF(C575="","",IF(AND(OR(L575="1-Urgent",L575="2-High"),M575="✓"),"DO FIRST",IF(M575="✓","SCHEDULE",IF(OR(L575="1-Urgent",L575="2-High"),"DELEGATE","DELETE"))))</f>
        <v/>
      </c>
      <c r="P575" s="65" t="n"/>
      <c r="Q575">
        <f>IF(570&gt;Calc!$AQ$368,"",MATCH(569,Calc!$AQ$2:$AQ$367,1))</f>
        <v/>
      </c>
      <c r="R575">
        <f>IF(Q575="","",SMALL(INDEX(Calc!$B$2:$AO$367,Q575,0),570-INDEX(Calc!$AQ$2:$AQ$367,Q575)))</f>
        <v/>
      </c>
    </row>
    <row r="576">
      <c r="B576" s="64">
        <f>IF(R576="","",571)</f>
        <v/>
      </c>
      <c r="C576" s="37">
        <f>IF(R576="","",IF(INDEX('Recurring Schedule'!$C$6:$C$45,R576)="","",INDEX('Recurring Schedule'!$C$6:$C$45,R576)))</f>
        <v/>
      </c>
      <c r="D576" s="36">
        <f>IF(R576="","",IF(INDEX('Recurring Schedule'!$D$6:$D$45,R576)="","",INDEX('Recurring Schedule'!$D$6:$D$45,R576)))</f>
        <v/>
      </c>
      <c r="E576" s="38">
        <f>IF(Q576="","",INDEX(Calc!$A$2:$A$367,Q576))</f>
        <v/>
      </c>
      <c r="F576" s="68">
        <f>IF(OR(C576="",E576=""),"",E576-Setup!$D$7)</f>
        <v/>
      </c>
      <c r="G576" s="74">
        <f>IF(R576="","",IF(INDEX('Recurring Schedule'!$H$6:$H$45,R576)="","",INDEX('Recurring Schedule'!$H$6:$H$45,R576)))</f>
        <v/>
      </c>
      <c r="H576" s="74">
        <f>IF(R576="","",IF(INDEX('Recurring Schedule'!$I$6:$I$45,R576)="","",INDEX('Recurring Schedule'!$I$6:$I$45,R576)))</f>
        <v/>
      </c>
      <c r="I576" s="36">
        <f>IF(OR(G576="",H576=""),"",TRIM(IF(HOUR(H576-G576)&gt;0,HOUR(H576-G576)&amp;" hr ","")&amp;IF(MINUTE(H576-G576)&gt;0,MINUTE(H576-G576)&amp;" min","")))</f>
        <v/>
      </c>
      <c r="J576" s="66" t="n"/>
      <c r="K576" s="70" t="n"/>
      <c r="L576" s="36">
        <f>IF(R576="","",IF(INDEX('Recurring Schedule'!$J$6:$J$45,R576)="","",INDEX('Recurring Schedule'!$J$6:$J$45,R576)))</f>
        <v/>
      </c>
      <c r="M576" s="36">
        <f>IF(R576="","",IF(INDEX('Recurring Schedule'!$K$6:$K$45,R576)="","",INDEX('Recurring Schedule'!$K$6:$K$45,R576)))</f>
        <v/>
      </c>
      <c r="N576" s="36">
        <f>IF(R576="","",IF(INDEX('Recurring Schedule'!$L$6:$L$45,R576)="","",INDEX('Recurring Schedule'!$L$6:$L$45,R576)))</f>
        <v/>
      </c>
      <c r="O576" s="36">
        <f>IF(C576="","",IF(AND(OR(L576="1-Urgent",L576="2-High"),M576="✓"),"DO FIRST",IF(M576="✓","SCHEDULE",IF(OR(L576="1-Urgent",L576="2-High"),"DELEGATE","DELETE"))))</f>
        <v/>
      </c>
      <c r="P576" s="65" t="n"/>
      <c r="Q576">
        <f>IF(571&gt;Calc!$AQ$368,"",MATCH(570,Calc!$AQ$2:$AQ$367,1))</f>
        <v/>
      </c>
      <c r="R576">
        <f>IF(Q576="","",SMALL(INDEX(Calc!$B$2:$AO$367,Q576,0),571-INDEX(Calc!$AQ$2:$AQ$367,Q576)))</f>
        <v/>
      </c>
    </row>
    <row r="577">
      <c r="B577" s="71">
        <f>IF(R577="","",572)</f>
        <v/>
      </c>
      <c r="C577" s="75">
        <f>IF(R577="","",IF(INDEX('Recurring Schedule'!$C$6:$C$45,R577)="","",INDEX('Recurring Schedule'!$C$6:$C$45,R577)))</f>
        <v/>
      </c>
      <c r="D577" s="73">
        <f>IF(R577="","",IF(INDEX('Recurring Schedule'!$D$6:$D$45,R577)="","",INDEX('Recurring Schedule'!$D$6:$D$45,R577)))</f>
        <v/>
      </c>
      <c r="E577" s="76">
        <f>IF(Q577="","",INDEX(Calc!$A$2:$A$367,Q577))</f>
        <v/>
      </c>
      <c r="F577" s="72">
        <f>IF(OR(C577="",E577=""),"",E577-Setup!$D$7)</f>
        <v/>
      </c>
      <c r="G577" s="77">
        <f>IF(R577="","",IF(INDEX('Recurring Schedule'!$H$6:$H$45,R577)="","",INDEX('Recurring Schedule'!$H$6:$H$45,R577)))</f>
        <v/>
      </c>
      <c r="H577" s="77">
        <f>IF(R577="","",IF(INDEX('Recurring Schedule'!$I$6:$I$45,R577)="","",INDEX('Recurring Schedule'!$I$6:$I$45,R577)))</f>
        <v/>
      </c>
      <c r="I577" s="73">
        <f>IF(OR(G577="",H577=""),"",TRIM(IF(HOUR(H577-G577)&gt;0,HOUR(H577-G577)&amp;" hr ","")&amp;IF(MINUTE(H577-G577)&gt;0,MINUTE(H577-G577)&amp;" min","")))</f>
        <v/>
      </c>
      <c r="J577" s="66" t="n"/>
      <c r="K577" s="70" t="n"/>
      <c r="L577" s="73">
        <f>IF(R577="","",IF(INDEX('Recurring Schedule'!$J$6:$J$45,R577)="","",INDEX('Recurring Schedule'!$J$6:$J$45,R577)))</f>
        <v/>
      </c>
      <c r="M577" s="73">
        <f>IF(R577="","",IF(INDEX('Recurring Schedule'!$K$6:$K$45,R577)="","",INDEX('Recurring Schedule'!$K$6:$K$45,R577)))</f>
        <v/>
      </c>
      <c r="N577" s="73">
        <f>IF(R577="","",IF(INDEX('Recurring Schedule'!$L$6:$L$45,R577)="","",INDEX('Recurring Schedule'!$L$6:$L$45,R577)))</f>
        <v/>
      </c>
      <c r="O577" s="73">
        <f>IF(C577="","",IF(AND(OR(L577="1-Urgent",L577="2-High"),M577="✓"),"DO FIRST",IF(M577="✓","SCHEDULE",IF(OR(L577="1-Urgent",L577="2-High"),"DELEGATE","DELETE"))))</f>
        <v/>
      </c>
      <c r="P577" s="65" t="n"/>
      <c r="Q577">
        <f>IF(572&gt;Calc!$AQ$368,"",MATCH(571,Calc!$AQ$2:$AQ$367,1))</f>
        <v/>
      </c>
      <c r="R577">
        <f>IF(Q577="","",SMALL(INDEX(Calc!$B$2:$AO$367,Q577,0),572-INDEX(Calc!$AQ$2:$AQ$367,Q577)))</f>
        <v/>
      </c>
    </row>
    <row r="578">
      <c r="B578" s="64">
        <f>IF(R578="","",573)</f>
        <v/>
      </c>
      <c r="C578" s="37">
        <f>IF(R578="","",IF(INDEX('Recurring Schedule'!$C$6:$C$45,R578)="","",INDEX('Recurring Schedule'!$C$6:$C$45,R578)))</f>
        <v/>
      </c>
      <c r="D578" s="36">
        <f>IF(R578="","",IF(INDEX('Recurring Schedule'!$D$6:$D$45,R578)="","",INDEX('Recurring Schedule'!$D$6:$D$45,R578)))</f>
        <v/>
      </c>
      <c r="E578" s="38">
        <f>IF(Q578="","",INDEX(Calc!$A$2:$A$367,Q578))</f>
        <v/>
      </c>
      <c r="F578" s="68">
        <f>IF(OR(C578="",E578=""),"",E578-Setup!$D$7)</f>
        <v/>
      </c>
      <c r="G578" s="74">
        <f>IF(R578="","",IF(INDEX('Recurring Schedule'!$H$6:$H$45,R578)="","",INDEX('Recurring Schedule'!$H$6:$H$45,R578)))</f>
        <v/>
      </c>
      <c r="H578" s="74">
        <f>IF(R578="","",IF(INDEX('Recurring Schedule'!$I$6:$I$45,R578)="","",INDEX('Recurring Schedule'!$I$6:$I$45,R578)))</f>
        <v/>
      </c>
      <c r="I578" s="36">
        <f>IF(OR(G578="",H578=""),"",TRIM(IF(HOUR(H578-G578)&gt;0,HOUR(H578-G578)&amp;" hr ","")&amp;IF(MINUTE(H578-G578)&gt;0,MINUTE(H578-G578)&amp;" min","")))</f>
        <v/>
      </c>
      <c r="J578" s="66" t="n"/>
      <c r="K578" s="70" t="n"/>
      <c r="L578" s="36">
        <f>IF(R578="","",IF(INDEX('Recurring Schedule'!$J$6:$J$45,R578)="","",INDEX('Recurring Schedule'!$J$6:$J$45,R578)))</f>
        <v/>
      </c>
      <c r="M578" s="36">
        <f>IF(R578="","",IF(INDEX('Recurring Schedule'!$K$6:$K$45,R578)="","",INDEX('Recurring Schedule'!$K$6:$K$45,R578)))</f>
        <v/>
      </c>
      <c r="N578" s="36">
        <f>IF(R578="","",IF(INDEX('Recurring Schedule'!$L$6:$L$45,R578)="","",INDEX('Recurring Schedule'!$L$6:$L$45,R578)))</f>
        <v/>
      </c>
      <c r="O578" s="36">
        <f>IF(C578="","",IF(AND(OR(L578="1-Urgent",L578="2-High"),M578="✓"),"DO FIRST",IF(M578="✓","SCHEDULE",IF(OR(L578="1-Urgent",L578="2-High"),"DELEGATE","DELETE"))))</f>
        <v/>
      </c>
      <c r="P578" s="65" t="n"/>
      <c r="Q578">
        <f>IF(573&gt;Calc!$AQ$368,"",MATCH(572,Calc!$AQ$2:$AQ$367,1))</f>
        <v/>
      </c>
      <c r="R578">
        <f>IF(Q578="","",SMALL(INDEX(Calc!$B$2:$AO$367,Q578,0),573-INDEX(Calc!$AQ$2:$AQ$367,Q578)))</f>
        <v/>
      </c>
    </row>
    <row r="579">
      <c r="B579" s="71">
        <f>IF(R579="","",574)</f>
        <v/>
      </c>
      <c r="C579" s="75">
        <f>IF(R579="","",IF(INDEX('Recurring Schedule'!$C$6:$C$45,R579)="","",INDEX('Recurring Schedule'!$C$6:$C$45,R579)))</f>
        <v/>
      </c>
      <c r="D579" s="73">
        <f>IF(R579="","",IF(INDEX('Recurring Schedule'!$D$6:$D$45,R579)="","",INDEX('Recurring Schedule'!$D$6:$D$45,R579)))</f>
        <v/>
      </c>
      <c r="E579" s="76">
        <f>IF(Q579="","",INDEX(Calc!$A$2:$A$367,Q579))</f>
        <v/>
      </c>
      <c r="F579" s="72">
        <f>IF(OR(C579="",E579=""),"",E579-Setup!$D$7)</f>
        <v/>
      </c>
      <c r="G579" s="77">
        <f>IF(R579="","",IF(INDEX('Recurring Schedule'!$H$6:$H$45,R579)="","",INDEX('Recurring Schedule'!$H$6:$H$45,R579)))</f>
        <v/>
      </c>
      <c r="H579" s="77">
        <f>IF(R579="","",IF(INDEX('Recurring Schedule'!$I$6:$I$45,R579)="","",INDEX('Recurring Schedule'!$I$6:$I$45,R579)))</f>
        <v/>
      </c>
      <c r="I579" s="73">
        <f>IF(OR(G579="",H579=""),"",TRIM(IF(HOUR(H579-G579)&gt;0,HOUR(H579-G579)&amp;" hr ","")&amp;IF(MINUTE(H579-G579)&gt;0,MINUTE(H579-G579)&amp;" min","")))</f>
        <v/>
      </c>
      <c r="J579" s="66" t="n"/>
      <c r="K579" s="70" t="n"/>
      <c r="L579" s="73">
        <f>IF(R579="","",IF(INDEX('Recurring Schedule'!$J$6:$J$45,R579)="","",INDEX('Recurring Schedule'!$J$6:$J$45,R579)))</f>
        <v/>
      </c>
      <c r="M579" s="73">
        <f>IF(R579="","",IF(INDEX('Recurring Schedule'!$K$6:$K$45,R579)="","",INDEX('Recurring Schedule'!$K$6:$K$45,R579)))</f>
        <v/>
      </c>
      <c r="N579" s="73">
        <f>IF(R579="","",IF(INDEX('Recurring Schedule'!$L$6:$L$45,R579)="","",INDEX('Recurring Schedule'!$L$6:$L$45,R579)))</f>
        <v/>
      </c>
      <c r="O579" s="73">
        <f>IF(C579="","",IF(AND(OR(L579="1-Urgent",L579="2-High"),M579="✓"),"DO FIRST",IF(M579="✓","SCHEDULE",IF(OR(L579="1-Urgent",L579="2-High"),"DELEGATE","DELETE"))))</f>
        <v/>
      </c>
      <c r="P579" s="65" t="n"/>
      <c r="Q579">
        <f>IF(574&gt;Calc!$AQ$368,"",MATCH(573,Calc!$AQ$2:$AQ$367,1))</f>
        <v/>
      </c>
      <c r="R579">
        <f>IF(Q579="","",SMALL(INDEX(Calc!$B$2:$AO$367,Q579,0),574-INDEX(Calc!$AQ$2:$AQ$367,Q579)))</f>
        <v/>
      </c>
    </row>
    <row r="580">
      <c r="B580" s="64">
        <f>IF(R580="","",575)</f>
        <v/>
      </c>
      <c r="C580" s="37">
        <f>IF(R580="","",IF(INDEX('Recurring Schedule'!$C$6:$C$45,R580)="","",INDEX('Recurring Schedule'!$C$6:$C$45,R580)))</f>
        <v/>
      </c>
      <c r="D580" s="36">
        <f>IF(R580="","",IF(INDEX('Recurring Schedule'!$D$6:$D$45,R580)="","",INDEX('Recurring Schedule'!$D$6:$D$45,R580)))</f>
        <v/>
      </c>
      <c r="E580" s="38">
        <f>IF(Q580="","",INDEX(Calc!$A$2:$A$367,Q580))</f>
        <v/>
      </c>
      <c r="F580" s="68">
        <f>IF(OR(C580="",E580=""),"",E580-Setup!$D$7)</f>
        <v/>
      </c>
      <c r="G580" s="74">
        <f>IF(R580="","",IF(INDEX('Recurring Schedule'!$H$6:$H$45,R580)="","",INDEX('Recurring Schedule'!$H$6:$H$45,R580)))</f>
        <v/>
      </c>
      <c r="H580" s="74">
        <f>IF(R580="","",IF(INDEX('Recurring Schedule'!$I$6:$I$45,R580)="","",INDEX('Recurring Schedule'!$I$6:$I$45,R580)))</f>
        <v/>
      </c>
      <c r="I580" s="36">
        <f>IF(OR(G580="",H580=""),"",TRIM(IF(HOUR(H580-G580)&gt;0,HOUR(H580-G580)&amp;" hr ","")&amp;IF(MINUTE(H580-G580)&gt;0,MINUTE(H580-G580)&amp;" min","")))</f>
        <v/>
      </c>
      <c r="J580" s="66" t="n"/>
      <c r="K580" s="70" t="n"/>
      <c r="L580" s="36">
        <f>IF(R580="","",IF(INDEX('Recurring Schedule'!$J$6:$J$45,R580)="","",INDEX('Recurring Schedule'!$J$6:$J$45,R580)))</f>
        <v/>
      </c>
      <c r="M580" s="36">
        <f>IF(R580="","",IF(INDEX('Recurring Schedule'!$K$6:$K$45,R580)="","",INDEX('Recurring Schedule'!$K$6:$K$45,R580)))</f>
        <v/>
      </c>
      <c r="N580" s="36">
        <f>IF(R580="","",IF(INDEX('Recurring Schedule'!$L$6:$L$45,R580)="","",INDEX('Recurring Schedule'!$L$6:$L$45,R580)))</f>
        <v/>
      </c>
      <c r="O580" s="36">
        <f>IF(C580="","",IF(AND(OR(L580="1-Urgent",L580="2-High"),M580="✓"),"DO FIRST",IF(M580="✓","SCHEDULE",IF(OR(L580="1-Urgent",L580="2-High"),"DELEGATE","DELETE"))))</f>
        <v/>
      </c>
      <c r="P580" s="65" t="n"/>
      <c r="Q580">
        <f>IF(575&gt;Calc!$AQ$368,"",MATCH(574,Calc!$AQ$2:$AQ$367,1))</f>
        <v/>
      </c>
      <c r="R580">
        <f>IF(Q580="","",SMALL(INDEX(Calc!$B$2:$AO$367,Q580,0),575-INDEX(Calc!$AQ$2:$AQ$367,Q580)))</f>
        <v/>
      </c>
    </row>
    <row r="581">
      <c r="B581" s="71">
        <f>IF(R581="","",576)</f>
        <v/>
      </c>
      <c r="C581" s="75">
        <f>IF(R581="","",IF(INDEX('Recurring Schedule'!$C$6:$C$45,R581)="","",INDEX('Recurring Schedule'!$C$6:$C$45,R581)))</f>
        <v/>
      </c>
      <c r="D581" s="73">
        <f>IF(R581="","",IF(INDEX('Recurring Schedule'!$D$6:$D$45,R581)="","",INDEX('Recurring Schedule'!$D$6:$D$45,R581)))</f>
        <v/>
      </c>
      <c r="E581" s="76">
        <f>IF(Q581="","",INDEX(Calc!$A$2:$A$367,Q581))</f>
        <v/>
      </c>
      <c r="F581" s="72">
        <f>IF(OR(C581="",E581=""),"",E581-Setup!$D$7)</f>
        <v/>
      </c>
      <c r="G581" s="77">
        <f>IF(R581="","",IF(INDEX('Recurring Schedule'!$H$6:$H$45,R581)="","",INDEX('Recurring Schedule'!$H$6:$H$45,R581)))</f>
        <v/>
      </c>
      <c r="H581" s="77">
        <f>IF(R581="","",IF(INDEX('Recurring Schedule'!$I$6:$I$45,R581)="","",INDEX('Recurring Schedule'!$I$6:$I$45,R581)))</f>
        <v/>
      </c>
      <c r="I581" s="73">
        <f>IF(OR(G581="",H581=""),"",TRIM(IF(HOUR(H581-G581)&gt;0,HOUR(H581-G581)&amp;" hr ","")&amp;IF(MINUTE(H581-G581)&gt;0,MINUTE(H581-G581)&amp;" min","")))</f>
        <v/>
      </c>
      <c r="J581" s="66" t="n"/>
      <c r="K581" s="70" t="n"/>
      <c r="L581" s="73">
        <f>IF(R581="","",IF(INDEX('Recurring Schedule'!$J$6:$J$45,R581)="","",INDEX('Recurring Schedule'!$J$6:$J$45,R581)))</f>
        <v/>
      </c>
      <c r="M581" s="73">
        <f>IF(R581="","",IF(INDEX('Recurring Schedule'!$K$6:$K$45,R581)="","",INDEX('Recurring Schedule'!$K$6:$K$45,R581)))</f>
        <v/>
      </c>
      <c r="N581" s="73">
        <f>IF(R581="","",IF(INDEX('Recurring Schedule'!$L$6:$L$45,R581)="","",INDEX('Recurring Schedule'!$L$6:$L$45,R581)))</f>
        <v/>
      </c>
      <c r="O581" s="73">
        <f>IF(C581="","",IF(AND(OR(L581="1-Urgent",L581="2-High"),M581="✓"),"DO FIRST",IF(M581="✓","SCHEDULE",IF(OR(L581="1-Urgent",L581="2-High"),"DELEGATE","DELETE"))))</f>
        <v/>
      </c>
      <c r="P581" s="65" t="n"/>
      <c r="Q581">
        <f>IF(576&gt;Calc!$AQ$368,"",MATCH(575,Calc!$AQ$2:$AQ$367,1))</f>
        <v/>
      </c>
      <c r="R581">
        <f>IF(Q581="","",SMALL(INDEX(Calc!$B$2:$AO$367,Q581,0),576-INDEX(Calc!$AQ$2:$AQ$367,Q581)))</f>
        <v/>
      </c>
    </row>
    <row r="582">
      <c r="B582" s="64">
        <f>IF(R582="","",577)</f>
        <v/>
      </c>
      <c r="C582" s="37">
        <f>IF(R582="","",IF(INDEX('Recurring Schedule'!$C$6:$C$45,R582)="","",INDEX('Recurring Schedule'!$C$6:$C$45,R582)))</f>
        <v/>
      </c>
      <c r="D582" s="36">
        <f>IF(R582="","",IF(INDEX('Recurring Schedule'!$D$6:$D$45,R582)="","",INDEX('Recurring Schedule'!$D$6:$D$45,R582)))</f>
        <v/>
      </c>
      <c r="E582" s="38">
        <f>IF(Q582="","",INDEX(Calc!$A$2:$A$367,Q582))</f>
        <v/>
      </c>
      <c r="F582" s="68">
        <f>IF(OR(C582="",E582=""),"",E582-Setup!$D$7)</f>
        <v/>
      </c>
      <c r="G582" s="74">
        <f>IF(R582="","",IF(INDEX('Recurring Schedule'!$H$6:$H$45,R582)="","",INDEX('Recurring Schedule'!$H$6:$H$45,R582)))</f>
        <v/>
      </c>
      <c r="H582" s="74">
        <f>IF(R582="","",IF(INDEX('Recurring Schedule'!$I$6:$I$45,R582)="","",INDEX('Recurring Schedule'!$I$6:$I$45,R582)))</f>
        <v/>
      </c>
      <c r="I582" s="36">
        <f>IF(OR(G582="",H582=""),"",TRIM(IF(HOUR(H582-G582)&gt;0,HOUR(H582-G582)&amp;" hr ","")&amp;IF(MINUTE(H582-G582)&gt;0,MINUTE(H582-G582)&amp;" min","")))</f>
        <v/>
      </c>
      <c r="J582" s="66" t="n"/>
      <c r="K582" s="70" t="n"/>
      <c r="L582" s="36">
        <f>IF(R582="","",IF(INDEX('Recurring Schedule'!$J$6:$J$45,R582)="","",INDEX('Recurring Schedule'!$J$6:$J$45,R582)))</f>
        <v/>
      </c>
      <c r="M582" s="36">
        <f>IF(R582="","",IF(INDEX('Recurring Schedule'!$K$6:$K$45,R582)="","",INDEX('Recurring Schedule'!$K$6:$K$45,R582)))</f>
        <v/>
      </c>
      <c r="N582" s="36">
        <f>IF(R582="","",IF(INDEX('Recurring Schedule'!$L$6:$L$45,R582)="","",INDEX('Recurring Schedule'!$L$6:$L$45,R582)))</f>
        <v/>
      </c>
      <c r="O582" s="36">
        <f>IF(C582="","",IF(AND(OR(L582="1-Urgent",L582="2-High"),M582="✓"),"DO FIRST",IF(M582="✓","SCHEDULE",IF(OR(L582="1-Urgent",L582="2-High"),"DELEGATE","DELETE"))))</f>
        <v/>
      </c>
      <c r="P582" s="65" t="n"/>
      <c r="Q582">
        <f>IF(577&gt;Calc!$AQ$368,"",MATCH(576,Calc!$AQ$2:$AQ$367,1))</f>
        <v/>
      </c>
      <c r="R582">
        <f>IF(Q582="","",SMALL(INDEX(Calc!$B$2:$AO$367,Q582,0),577-INDEX(Calc!$AQ$2:$AQ$367,Q582)))</f>
        <v/>
      </c>
    </row>
    <row r="583">
      <c r="B583" s="71">
        <f>IF(R583="","",578)</f>
        <v/>
      </c>
      <c r="C583" s="75">
        <f>IF(R583="","",IF(INDEX('Recurring Schedule'!$C$6:$C$45,R583)="","",INDEX('Recurring Schedule'!$C$6:$C$45,R583)))</f>
        <v/>
      </c>
      <c r="D583" s="73">
        <f>IF(R583="","",IF(INDEX('Recurring Schedule'!$D$6:$D$45,R583)="","",INDEX('Recurring Schedule'!$D$6:$D$45,R583)))</f>
        <v/>
      </c>
      <c r="E583" s="76">
        <f>IF(Q583="","",INDEX(Calc!$A$2:$A$367,Q583))</f>
        <v/>
      </c>
      <c r="F583" s="72">
        <f>IF(OR(C583="",E583=""),"",E583-Setup!$D$7)</f>
        <v/>
      </c>
      <c r="G583" s="77">
        <f>IF(R583="","",IF(INDEX('Recurring Schedule'!$H$6:$H$45,R583)="","",INDEX('Recurring Schedule'!$H$6:$H$45,R583)))</f>
        <v/>
      </c>
      <c r="H583" s="77">
        <f>IF(R583="","",IF(INDEX('Recurring Schedule'!$I$6:$I$45,R583)="","",INDEX('Recurring Schedule'!$I$6:$I$45,R583)))</f>
        <v/>
      </c>
      <c r="I583" s="73">
        <f>IF(OR(G583="",H583=""),"",TRIM(IF(HOUR(H583-G583)&gt;0,HOUR(H583-G583)&amp;" hr ","")&amp;IF(MINUTE(H583-G583)&gt;0,MINUTE(H583-G583)&amp;" min","")))</f>
        <v/>
      </c>
      <c r="J583" s="66" t="n"/>
      <c r="K583" s="70" t="n"/>
      <c r="L583" s="73">
        <f>IF(R583="","",IF(INDEX('Recurring Schedule'!$J$6:$J$45,R583)="","",INDEX('Recurring Schedule'!$J$6:$J$45,R583)))</f>
        <v/>
      </c>
      <c r="M583" s="73">
        <f>IF(R583="","",IF(INDEX('Recurring Schedule'!$K$6:$K$45,R583)="","",INDEX('Recurring Schedule'!$K$6:$K$45,R583)))</f>
        <v/>
      </c>
      <c r="N583" s="73">
        <f>IF(R583="","",IF(INDEX('Recurring Schedule'!$L$6:$L$45,R583)="","",INDEX('Recurring Schedule'!$L$6:$L$45,R583)))</f>
        <v/>
      </c>
      <c r="O583" s="73">
        <f>IF(C583="","",IF(AND(OR(L583="1-Urgent",L583="2-High"),M583="✓"),"DO FIRST",IF(M583="✓","SCHEDULE",IF(OR(L583="1-Urgent",L583="2-High"),"DELEGATE","DELETE"))))</f>
        <v/>
      </c>
      <c r="P583" s="65" t="n"/>
      <c r="Q583">
        <f>IF(578&gt;Calc!$AQ$368,"",MATCH(577,Calc!$AQ$2:$AQ$367,1))</f>
        <v/>
      </c>
      <c r="R583">
        <f>IF(Q583="","",SMALL(INDEX(Calc!$B$2:$AO$367,Q583,0),578-INDEX(Calc!$AQ$2:$AQ$367,Q583)))</f>
        <v/>
      </c>
    </row>
    <row r="584">
      <c r="B584" s="64">
        <f>IF(R584="","",579)</f>
        <v/>
      </c>
      <c r="C584" s="37">
        <f>IF(R584="","",IF(INDEX('Recurring Schedule'!$C$6:$C$45,R584)="","",INDEX('Recurring Schedule'!$C$6:$C$45,R584)))</f>
        <v/>
      </c>
      <c r="D584" s="36">
        <f>IF(R584="","",IF(INDEX('Recurring Schedule'!$D$6:$D$45,R584)="","",INDEX('Recurring Schedule'!$D$6:$D$45,R584)))</f>
        <v/>
      </c>
      <c r="E584" s="38">
        <f>IF(Q584="","",INDEX(Calc!$A$2:$A$367,Q584))</f>
        <v/>
      </c>
      <c r="F584" s="68">
        <f>IF(OR(C584="",E584=""),"",E584-Setup!$D$7)</f>
        <v/>
      </c>
      <c r="G584" s="74">
        <f>IF(R584="","",IF(INDEX('Recurring Schedule'!$H$6:$H$45,R584)="","",INDEX('Recurring Schedule'!$H$6:$H$45,R584)))</f>
        <v/>
      </c>
      <c r="H584" s="74">
        <f>IF(R584="","",IF(INDEX('Recurring Schedule'!$I$6:$I$45,R584)="","",INDEX('Recurring Schedule'!$I$6:$I$45,R584)))</f>
        <v/>
      </c>
      <c r="I584" s="36">
        <f>IF(OR(G584="",H584=""),"",TRIM(IF(HOUR(H584-G584)&gt;0,HOUR(H584-G584)&amp;" hr ","")&amp;IF(MINUTE(H584-G584)&gt;0,MINUTE(H584-G584)&amp;" min","")))</f>
        <v/>
      </c>
      <c r="J584" s="66" t="n"/>
      <c r="K584" s="70" t="n"/>
      <c r="L584" s="36">
        <f>IF(R584="","",IF(INDEX('Recurring Schedule'!$J$6:$J$45,R584)="","",INDEX('Recurring Schedule'!$J$6:$J$45,R584)))</f>
        <v/>
      </c>
      <c r="M584" s="36">
        <f>IF(R584="","",IF(INDEX('Recurring Schedule'!$K$6:$K$45,R584)="","",INDEX('Recurring Schedule'!$K$6:$K$45,R584)))</f>
        <v/>
      </c>
      <c r="N584" s="36">
        <f>IF(R584="","",IF(INDEX('Recurring Schedule'!$L$6:$L$45,R584)="","",INDEX('Recurring Schedule'!$L$6:$L$45,R584)))</f>
        <v/>
      </c>
      <c r="O584" s="36">
        <f>IF(C584="","",IF(AND(OR(L584="1-Urgent",L584="2-High"),M584="✓"),"DO FIRST",IF(M584="✓","SCHEDULE",IF(OR(L584="1-Urgent",L584="2-High"),"DELEGATE","DELETE"))))</f>
        <v/>
      </c>
      <c r="P584" s="65" t="n"/>
      <c r="Q584">
        <f>IF(579&gt;Calc!$AQ$368,"",MATCH(578,Calc!$AQ$2:$AQ$367,1))</f>
        <v/>
      </c>
      <c r="R584">
        <f>IF(Q584="","",SMALL(INDEX(Calc!$B$2:$AO$367,Q584,0),579-INDEX(Calc!$AQ$2:$AQ$367,Q584)))</f>
        <v/>
      </c>
    </row>
    <row r="585">
      <c r="B585" s="71">
        <f>IF(R585="","",580)</f>
        <v/>
      </c>
      <c r="C585" s="75">
        <f>IF(R585="","",IF(INDEX('Recurring Schedule'!$C$6:$C$45,R585)="","",INDEX('Recurring Schedule'!$C$6:$C$45,R585)))</f>
        <v/>
      </c>
      <c r="D585" s="73">
        <f>IF(R585="","",IF(INDEX('Recurring Schedule'!$D$6:$D$45,R585)="","",INDEX('Recurring Schedule'!$D$6:$D$45,R585)))</f>
        <v/>
      </c>
      <c r="E585" s="76">
        <f>IF(Q585="","",INDEX(Calc!$A$2:$A$367,Q585))</f>
        <v/>
      </c>
      <c r="F585" s="72">
        <f>IF(OR(C585="",E585=""),"",E585-Setup!$D$7)</f>
        <v/>
      </c>
      <c r="G585" s="77">
        <f>IF(R585="","",IF(INDEX('Recurring Schedule'!$H$6:$H$45,R585)="","",INDEX('Recurring Schedule'!$H$6:$H$45,R585)))</f>
        <v/>
      </c>
      <c r="H585" s="77">
        <f>IF(R585="","",IF(INDEX('Recurring Schedule'!$I$6:$I$45,R585)="","",INDEX('Recurring Schedule'!$I$6:$I$45,R585)))</f>
        <v/>
      </c>
      <c r="I585" s="73">
        <f>IF(OR(G585="",H585=""),"",TRIM(IF(HOUR(H585-G585)&gt;0,HOUR(H585-G585)&amp;" hr ","")&amp;IF(MINUTE(H585-G585)&gt;0,MINUTE(H585-G585)&amp;" min","")))</f>
        <v/>
      </c>
      <c r="J585" s="66" t="n"/>
      <c r="K585" s="70" t="n"/>
      <c r="L585" s="73">
        <f>IF(R585="","",IF(INDEX('Recurring Schedule'!$J$6:$J$45,R585)="","",INDEX('Recurring Schedule'!$J$6:$J$45,R585)))</f>
        <v/>
      </c>
      <c r="M585" s="73">
        <f>IF(R585="","",IF(INDEX('Recurring Schedule'!$K$6:$K$45,R585)="","",INDEX('Recurring Schedule'!$K$6:$K$45,R585)))</f>
        <v/>
      </c>
      <c r="N585" s="73">
        <f>IF(R585="","",IF(INDEX('Recurring Schedule'!$L$6:$L$45,R585)="","",INDEX('Recurring Schedule'!$L$6:$L$45,R585)))</f>
        <v/>
      </c>
      <c r="O585" s="73">
        <f>IF(C585="","",IF(AND(OR(L585="1-Urgent",L585="2-High"),M585="✓"),"DO FIRST",IF(M585="✓","SCHEDULE",IF(OR(L585="1-Urgent",L585="2-High"),"DELEGATE","DELETE"))))</f>
        <v/>
      </c>
      <c r="P585" s="65" t="n"/>
      <c r="Q585">
        <f>IF(580&gt;Calc!$AQ$368,"",MATCH(579,Calc!$AQ$2:$AQ$367,1))</f>
        <v/>
      </c>
      <c r="R585">
        <f>IF(Q585="","",SMALL(INDEX(Calc!$B$2:$AO$367,Q585,0),580-INDEX(Calc!$AQ$2:$AQ$367,Q585)))</f>
        <v/>
      </c>
    </row>
    <row r="586">
      <c r="B586" s="64">
        <f>IF(R586="","",581)</f>
        <v/>
      </c>
      <c r="C586" s="37">
        <f>IF(R586="","",IF(INDEX('Recurring Schedule'!$C$6:$C$45,R586)="","",INDEX('Recurring Schedule'!$C$6:$C$45,R586)))</f>
        <v/>
      </c>
      <c r="D586" s="36">
        <f>IF(R586="","",IF(INDEX('Recurring Schedule'!$D$6:$D$45,R586)="","",INDEX('Recurring Schedule'!$D$6:$D$45,R586)))</f>
        <v/>
      </c>
      <c r="E586" s="38">
        <f>IF(Q586="","",INDEX(Calc!$A$2:$A$367,Q586))</f>
        <v/>
      </c>
      <c r="F586" s="68">
        <f>IF(OR(C586="",E586=""),"",E586-Setup!$D$7)</f>
        <v/>
      </c>
      <c r="G586" s="74">
        <f>IF(R586="","",IF(INDEX('Recurring Schedule'!$H$6:$H$45,R586)="","",INDEX('Recurring Schedule'!$H$6:$H$45,R586)))</f>
        <v/>
      </c>
      <c r="H586" s="74">
        <f>IF(R586="","",IF(INDEX('Recurring Schedule'!$I$6:$I$45,R586)="","",INDEX('Recurring Schedule'!$I$6:$I$45,R586)))</f>
        <v/>
      </c>
      <c r="I586" s="36">
        <f>IF(OR(G586="",H586=""),"",TRIM(IF(HOUR(H586-G586)&gt;0,HOUR(H586-G586)&amp;" hr ","")&amp;IF(MINUTE(H586-G586)&gt;0,MINUTE(H586-G586)&amp;" min","")))</f>
        <v/>
      </c>
      <c r="J586" s="66" t="n"/>
      <c r="K586" s="70" t="n"/>
      <c r="L586" s="36">
        <f>IF(R586="","",IF(INDEX('Recurring Schedule'!$J$6:$J$45,R586)="","",INDEX('Recurring Schedule'!$J$6:$J$45,R586)))</f>
        <v/>
      </c>
      <c r="M586" s="36">
        <f>IF(R586="","",IF(INDEX('Recurring Schedule'!$K$6:$K$45,R586)="","",INDEX('Recurring Schedule'!$K$6:$K$45,R586)))</f>
        <v/>
      </c>
      <c r="N586" s="36">
        <f>IF(R586="","",IF(INDEX('Recurring Schedule'!$L$6:$L$45,R586)="","",INDEX('Recurring Schedule'!$L$6:$L$45,R586)))</f>
        <v/>
      </c>
      <c r="O586" s="36">
        <f>IF(C586="","",IF(AND(OR(L586="1-Urgent",L586="2-High"),M586="✓"),"DO FIRST",IF(M586="✓","SCHEDULE",IF(OR(L586="1-Urgent",L586="2-High"),"DELEGATE","DELETE"))))</f>
        <v/>
      </c>
      <c r="P586" s="65" t="n"/>
      <c r="Q586">
        <f>IF(581&gt;Calc!$AQ$368,"",MATCH(580,Calc!$AQ$2:$AQ$367,1))</f>
        <v/>
      </c>
      <c r="R586">
        <f>IF(Q586="","",SMALL(INDEX(Calc!$B$2:$AO$367,Q586,0),581-INDEX(Calc!$AQ$2:$AQ$367,Q586)))</f>
        <v/>
      </c>
    </row>
    <row r="587">
      <c r="B587" s="71">
        <f>IF(R587="","",582)</f>
        <v/>
      </c>
      <c r="C587" s="75">
        <f>IF(R587="","",IF(INDEX('Recurring Schedule'!$C$6:$C$45,R587)="","",INDEX('Recurring Schedule'!$C$6:$C$45,R587)))</f>
        <v/>
      </c>
      <c r="D587" s="73">
        <f>IF(R587="","",IF(INDEX('Recurring Schedule'!$D$6:$D$45,R587)="","",INDEX('Recurring Schedule'!$D$6:$D$45,R587)))</f>
        <v/>
      </c>
      <c r="E587" s="76">
        <f>IF(Q587="","",INDEX(Calc!$A$2:$A$367,Q587))</f>
        <v/>
      </c>
      <c r="F587" s="72">
        <f>IF(OR(C587="",E587=""),"",E587-Setup!$D$7)</f>
        <v/>
      </c>
      <c r="G587" s="77">
        <f>IF(R587="","",IF(INDEX('Recurring Schedule'!$H$6:$H$45,R587)="","",INDEX('Recurring Schedule'!$H$6:$H$45,R587)))</f>
        <v/>
      </c>
      <c r="H587" s="77">
        <f>IF(R587="","",IF(INDEX('Recurring Schedule'!$I$6:$I$45,R587)="","",INDEX('Recurring Schedule'!$I$6:$I$45,R587)))</f>
        <v/>
      </c>
      <c r="I587" s="73">
        <f>IF(OR(G587="",H587=""),"",TRIM(IF(HOUR(H587-G587)&gt;0,HOUR(H587-G587)&amp;" hr ","")&amp;IF(MINUTE(H587-G587)&gt;0,MINUTE(H587-G587)&amp;" min","")))</f>
        <v/>
      </c>
      <c r="J587" s="66" t="n"/>
      <c r="K587" s="70" t="n"/>
      <c r="L587" s="73">
        <f>IF(R587="","",IF(INDEX('Recurring Schedule'!$J$6:$J$45,R587)="","",INDEX('Recurring Schedule'!$J$6:$J$45,R587)))</f>
        <v/>
      </c>
      <c r="M587" s="73">
        <f>IF(R587="","",IF(INDEX('Recurring Schedule'!$K$6:$K$45,R587)="","",INDEX('Recurring Schedule'!$K$6:$K$45,R587)))</f>
        <v/>
      </c>
      <c r="N587" s="73">
        <f>IF(R587="","",IF(INDEX('Recurring Schedule'!$L$6:$L$45,R587)="","",INDEX('Recurring Schedule'!$L$6:$L$45,R587)))</f>
        <v/>
      </c>
      <c r="O587" s="73">
        <f>IF(C587="","",IF(AND(OR(L587="1-Urgent",L587="2-High"),M587="✓"),"DO FIRST",IF(M587="✓","SCHEDULE",IF(OR(L587="1-Urgent",L587="2-High"),"DELEGATE","DELETE"))))</f>
        <v/>
      </c>
      <c r="P587" s="65" t="n"/>
      <c r="Q587">
        <f>IF(582&gt;Calc!$AQ$368,"",MATCH(581,Calc!$AQ$2:$AQ$367,1))</f>
        <v/>
      </c>
      <c r="R587">
        <f>IF(Q587="","",SMALL(INDEX(Calc!$B$2:$AO$367,Q587,0),582-INDEX(Calc!$AQ$2:$AQ$367,Q587)))</f>
        <v/>
      </c>
    </row>
    <row r="588">
      <c r="B588" s="64">
        <f>IF(R588="","",583)</f>
        <v/>
      </c>
      <c r="C588" s="37">
        <f>IF(R588="","",IF(INDEX('Recurring Schedule'!$C$6:$C$45,R588)="","",INDEX('Recurring Schedule'!$C$6:$C$45,R588)))</f>
        <v/>
      </c>
      <c r="D588" s="36">
        <f>IF(R588="","",IF(INDEX('Recurring Schedule'!$D$6:$D$45,R588)="","",INDEX('Recurring Schedule'!$D$6:$D$45,R588)))</f>
        <v/>
      </c>
      <c r="E588" s="38">
        <f>IF(Q588="","",INDEX(Calc!$A$2:$A$367,Q588))</f>
        <v/>
      </c>
      <c r="F588" s="68">
        <f>IF(OR(C588="",E588=""),"",E588-Setup!$D$7)</f>
        <v/>
      </c>
      <c r="G588" s="74">
        <f>IF(R588="","",IF(INDEX('Recurring Schedule'!$H$6:$H$45,R588)="","",INDEX('Recurring Schedule'!$H$6:$H$45,R588)))</f>
        <v/>
      </c>
      <c r="H588" s="74">
        <f>IF(R588="","",IF(INDEX('Recurring Schedule'!$I$6:$I$45,R588)="","",INDEX('Recurring Schedule'!$I$6:$I$45,R588)))</f>
        <v/>
      </c>
      <c r="I588" s="36">
        <f>IF(OR(G588="",H588=""),"",TRIM(IF(HOUR(H588-G588)&gt;0,HOUR(H588-G588)&amp;" hr ","")&amp;IF(MINUTE(H588-G588)&gt;0,MINUTE(H588-G588)&amp;" min","")))</f>
        <v/>
      </c>
      <c r="J588" s="66" t="n"/>
      <c r="K588" s="70" t="n"/>
      <c r="L588" s="36">
        <f>IF(R588="","",IF(INDEX('Recurring Schedule'!$J$6:$J$45,R588)="","",INDEX('Recurring Schedule'!$J$6:$J$45,R588)))</f>
        <v/>
      </c>
      <c r="M588" s="36">
        <f>IF(R588="","",IF(INDEX('Recurring Schedule'!$K$6:$K$45,R588)="","",INDEX('Recurring Schedule'!$K$6:$K$45,R588)))</f>
        <v/>
      </c>
      <c r="N588" s="36">
        <f>IF(R588="","",IF(INDEX('Recurring Schedule'!$L$6:$L$45,R588)="","",INDEX('Recurring Schedule'!$L$6:$L$45,R588)))</f>
        <v/>
      </c>
      <c r="O588" s="36">
        <f>IF(C588="","",IF(AND(OR(L588="1-Urgent",L588="2-High"),M588="✓"),"DO FIRST",IF(M588="✓","SCHEDULE",IF(OR(L588="1-Urgent",L588="2-High"),"DELEGATE","DELETE"))))</f>
        <v/>
      </c>
      <c r="P588" s="65" t="n"/>
      <c r="Q588">
        <f>IF(583&gt;Calc!$AQ$368,"",MATCH(582,Calc!$AQ$2:$AQ$367,1))</f>
        <v/>
      </c>
      <c r="R588">
        <f>IF(Q588="","",SMALL(INDEX(Calc!$B$2:$AO$367,Q588,0),583-INDEX(Calc!$AQ$2:$AQ$367,Q588)))</f>
        <v/>
      </c>
    </row>
    <row r="589">
      <c r="B589" s="71">
        <f>IF(R589="","",584)</f>
        <v/>
      </c>
      <c r="C589" s="75">
        <f>IF(R589="","",IF(INDEX('Recurring Schedule'!$C$6:$C$45,R589)="","",INDEX('Recurring Schedule'!$C$6:$C$45,R589)))</f>
        <v/>
      </c>
      <c r="D589" s="73">
        <f>IF(R589="","",IF(INDEX('Recurring Schedule'!$D$6:$D$45,R589)="","",INDEX('Recurring Schedule'!$D$6:$D$45,R589)))</f>
        <v/>
      </c>
      <c r="E589" s="76">
        <f>IF(Q589="","",INDEX(Calc!$A$2:$A$367,Q589))</f>
        <v/>
      </c>
      <c r="F589" s="72">
        <f>IF(OR(C589="",E589=""),"",E589-Setup!$D$7)</f>
        <v/>
      </c>
      <c r="G589" s="77">
        <f>IF(R589="","",IF(INDEX('Recurring Schedule'!$H$6:$H$45,R589)="","",INDEX('Recurring Schedule'!$H$6:$H$45,R589)))</f>
        <v/>
      </c>
      <c r="H589" s="77">
        <f>IF(R589="","",IF(INDEX('Recurring Schedule'!$I$6:$I$45,R589)="","",INDEX('Recurring Schedule'!$I$6:$I$45,R589)))</f>
        <v/>
      </c>
      <c r="I589" s="73">
        <f>IF(OR(G589="",H589=""),"",TRIM(IF(HOUR(H589-G589)&gt;0,HOUR(H589-G589)&amp;" hr ","")&amp;IF(MINUTE(H589-G589)&gt;0,MINUTE(H589-G589)&amp;" min","")))</f>
        <v/>
      </c>
      <c r="J589" s="66" t="n"/>
      <c r="K589" s="70" t="n"/>
      <c r="L589" s="73">
        <f>IF(R589="","",IF(INDEX('Recurring Schedule'!$J$6:$J$45,R589)="","",INDEX('Recurring Schedule'!$J$6:$J$45,R589)))</f>
        <v/>
      </c>
      <c r="M589" s="73">
        <f>IF(R589="","",IF(INDEX('Recurring Schedule'!$K$6:$K$45,R589)="","",INDEX('Recurring Schedule'!$K$6:$K$45,R589)))</f>
        <v/>
      </c>
      <c r="N589" s="73">
        <f>IF(R589="","",IF(INDEX('Recurring Schedule'!$L$6:$L$45,R589)="","",INDEX('Recurring Schedule'!$L$6:$L$45,R589)))</f>
        <v/>
      </c>
      <c r="O589" s="73">
        <f>IF(C589="","",IF(AND(OR(L589="1-Urgent",L589="2-High"),M589="✓"),"DO FIRST",IF(M589="✓","SCHEDULE",IF(OR(L589="1-Urgent",L589="2-High"),"DELEGATE","DELETE"))))</f>
        <v/>
      </c>
      <c r="P589" s="65" t="n"/>
      <c r="Q589">
        <f>IF(584&gt;Calc!$AQ$368,"",MATCH(583,Calc!$AQ$2:$AQ$367,1))</f>
        <v/>
      </c>
      <c r="R589">
        <f>IF(Q589="","",SMALL(INDEX(Calc!$B$2:$AO$367,Q589,0),584-INDEX(Calc!$AQ$2:$AQ$367,Q589)))</f>
        <v/>
      </c>
    </row>
    <row r="590">
      <c r="B590" s="64">
        <f>IF(R590="","",585)</f>
        <v/>
      </c>
      <c r="C590" s="37">
        <f>IF(R590="","",IF(INDEX('Recurring Schedule'!$C$6:$C$45,R590)="","",INDEX('Recurring Schedule'!$C$6:$C$45,R590)))</f>
        <v/>
      </c>
      <c r="D590" s="36">
        <f>IF(R590="","",IF(INDEX('Recurring Schedule'!$D$6:$D$45,R590)="","",INDEX('Recurring Schedule'!$D$6:$D$45,R590)))</f>
        <v/>
      </c>
      <c r="E590" s="38">
        <f>IF(Q590="","",INDEX(Calc!$A$2:$A$367,Q590))</f>
        <v/>
      </c>
      <c r="F590" s="68">
        <f>IF(OR(C590="",E590=""),"",E590-Setup!$D$7)</f>
        <v/>
      </c>
      <c r="G590" s="74">
        <f>IF(R590="","",IF(INDEX('Recurring Schedule'!$H$6:$H$45,R590)="","",INDEX('Recurring Schedule'!$H$6:$H$45,R590)))</f>
        <v/>
      </c>
      <c r="H590" s="74">
        <f>IF(R590="","",IF(INDEX('Recurring Schedule'!$I$6:$I$45,R590)="","",INDEX('Recurring Schedule'!$I$6:$I$45,R590)))</f>
        <v/>
      </c>
      <c r="I590" s="36">
        <f>IF(OR(G590="",H590=""),"",TRIM(IF(HOUR(H590-G590)&gt;0,HOUR(H590-G590)&amp;" hr ","")&amp;IF(MINUTE(H590-G590)&gt;0,MINUTE(H590-G590)&amp;" min","")))</f>
        <v/>
      </c>
      <c r="J590" s="66" t="n"/>
      <c r="K590" s="70" t="n"/>
      <c r="L590" s="36">
        <f>IF(R590="","",IF(INDEX('Recurring Schedule'!$J$6:$J$45,R590)="","",INDEX('Recurring Schedule'!$J$6:$J$45,R590)))</f>
        <v/>
      </c>
      <c r="M590" s="36">
        <f>IF(R590="","",IF(INDEX('Recurring Schedule'!$K$6:$K$45,R590)="","",INDEX('Recurring Schedule'!$K$6:$K$45,R590)))</f>
        <v/>
      </c>
      <c r="N590" s="36">
        <f>IF(R590="","",IF(INDEX('Recurring Schedule'!$L$6:$L$45,R590)="","",INDEX('Recurring Schedule'!$L$6:$L$45,R590)))</f>
        <v/>
      </c>
      <c r="O590" s="36">
        <f>IF(C590="","",IF(AND(OR(L590="1-Urgent",L590="2-High"),M590="✓"),"DO FIRST",IF(M590="✓","SCHEDULE",IF(OR(L590="1-Urgent",L590="2-High"),"DELEGATE","DELETE"))))</f>
        <v/>
      </c>
      <c r="P590" s="65" t="n"/>
      <c r="Q590">
        <f>IF(585&gt;Calc!$AQ$368,"",MATCH(584,Calc!$AQ$2:$AQ$367,1))</f>
        <v/>
      </c>
      <c r="R590">
        <f>IF(Q590="","",SMALL(INDEX(Calc!$B$2:$AO$367,Q590,0),585-INDEX(Calc!$AQ$2:$AQ$367,Q590)))</f>
        <v/>
      </c>
    </row>
    <row r="591">
      <c r="B591" s="71">
        <f>IF(R591="","",586)</f>
        <v/>
      </c>
      <c r="C591" s="75">
        <f>IF(R591="","",IF(INDEX('Recurring Schedule'!$C$6:$C$45,R591)="","",INDEX('Recurring Schedule'!$C$6:$C$45,R591)))</f>
        <v/>
      </c>
      <c r="D591" s="73">
        <f>IF(R591="","",IF(INDEX('Recurring Schedule'!$D$6:$D$45,R591)="","",INDEX('Recurring Schedule'!$D$6:$D$45,R591)))</f>
        <v/>
      </c>
      <c r="E591" s="76">
        <f>IF(Q591="","",INDEX(Calc!$A$2:$A$367,Q591))</f>
        <v/>
      </c>
      <c r="F591" s="72">
        <f>IF(OR(C591="",E591=""),"",E591-Setup!$D$7)</f>
        <v/>
      </c>
      <c r="G591" s="77">
        <f>IF(R591="","",IF(INDEX('Recurring Schedule'!$H$6:$H$45,R591)="","",INDEX('Recurring Schedule'!$H$6:$H$45,R591)))</f>
        <v/>
      </c>
      <c r="H591" s="77">
        <f>IF(R591="","",IF(INDEX('Recurring Schedule'!$I$6:$I$45,R591)="","",INDEX('Recurring Schedule'!$I$6:$I$45,R591)))</f>
        <v/>
      </c>
      <c r="I591" s="73">
        <f>IF(OR(G591="",H591=""),"",TRIM(IF(HOUR(H591-G591)&gt;0,HOUR(H591-G591)&amp;" hr ","")&amp;IF(MINUTE(H591-G591)&gt;0,MINUTE(H591-G591)&amp;" min","")))</f>
        <v/>
      </c>
      <c r="J591" s="66" t="n"/>
      <c r="K591" s="70" t="n"/>
      <c r="L591" s="73">
        <f>IF(R591="","",IF(INDEX('Recurring Schedule'!$J$6:$J$45,R591)="","",INDEX('Recurring Schedule'!$J$6:$J$45,R591)))</f>
        <v/>
      </c>
      <c r="M591" s="73">
        <f>IF(R591="","",IF(INDEX('Recurring Schedule'!$K$6:$K$45,R591)="","",INDEX('Recurring Schedule'!$K$6:$K$45,R591)))</f>
        <v/>
      </c>
      <c r="N591" s="73">
        <f>IF(R591="","",IF(INDEX('Recurring Schedule'!$L$6:$L$45,R591)="","",INDEX('Recurring Schedule'!$L$6:$L$45,R591)))</f>
        <v/>
      </c>
      <c r="O591" s="73">
        <f>IF(C591="","",IF(AND(OR(L591="1-Urgent",L591="2-High"),M591="✓"),"DO FIRST",IF(M591="✓","SCHEDULE",IF(OR(L591="1-Urgent",L591="2-High"),"DELEGATE","DELETE"))))</f>
        <v/>
      </c>
      <c r="P591" s="65" t="n"/>
      <c r="Q591">
        <f>IF(586&gt;Calc!$AQ$368,"",MATCH(585,Calc!$AQ$2:$AQ$367,1))</f>
        <v/>
      </c>
      <c r="R591">
        <f>IF(Q591="","",SMALL(INDEX(Calc!$B$2:$AO$367,Q591,0),586-INDEX(Calc!$AQ$2:$AQ$367,Q591)))</f>
        <v/>
      </c>
    </row>
    <row r="592">
      <c r="B592" s="64">
        <f>IF(R592="","",587)</f>
        <v/>
      </c>
      <c r="C592" s="37">
        <f>IF(R592="","",IF(INDEX('Recurring Schedule'!$C$6:$C$45,R592)="","",INDEX('Recurring Schedule'!$C$6:$C$45,R592)))</f>
        <v/>
      </c>
      <c r="D592" s="36">
        <f>IF(R592="","",IF(INDEX('Recurring Schedule'!$D$6:$D$45,R592)="","",INDEX('Recurring Schedule'!$D$6:$D$45,R592)))</f>
        <v/>
      </c>
      <c r="E592" s="38">
        <f>IF(Q592="","",INDEX(Calc!$A$2:$A$367,Q592))</f>
        <v/>
      </c>
      <c r="F592" s="68">
        <f>IF(OR(C592="",E592=""),"",E592-Setup!$D$7)</f>
        <v/>
      </c>
      <c r="G592" s="74">
        <f>IF(R592="","",IF(INDEX('Recurring Schedule'!$H$6:$H$45,R592)="","",INDEX('Recurring Schedule'!$H$6:$H$45,R592)))</f>
        <v/>
      </c>
      <c r="H592" s="74">
        <f>IF(R592="","",IF(INDEX('Recurring Schedule'!$I$6:$I$45,R592)="","",INDEX('Recurring Schedule'!$I$6:$I$45,R592)))</f>
        <v/>
      </c>
      <c r="I592" s="36">
        <f>IF(OR(G592="",H592=""),"",TRIM(IF(HOUR(H592-G592)&gt;0,HOUR(H592-G592)&amp;" hr ","")&amp;IF(MINUTE(H592-G592)&gt;0,MINUTE(H592-G592)&amp;" min","")))</f>
        <v/>
      </c>
      <c r="J592" s="66" t="n"/>
      <c r="K592" s="70" t="n"/>
      <c r="L592" s="36">
        <f>IF(R592="","",IF(INDEX('Recurring Schedule'!$J$6:$J$45,R592)="","",INDEX('Recurring Schedule'!$J$6:$J$45,R592)))</f>
        <v/>
      </c>
      <c r="M592" s="36">
        <f>IF(R592="","",IF(INDEX('Recurring Schedule'!$K$6:$K$45,R592)="","",INDEX('Recurring Schedule'!$K$6:$K$45,R592)))</f>
        <v/>
      </c>
      <c r="N592" s="36">
        <f>IF(R592="","",IF(INDEX('Recurring Schedule'!$L$6:$L$45,R592)="","",INDEX('Recurring Schedule'!$L$6:$L$45,R592)))</f>
        <v/>
      </c>
      <c r="O592" s="36">
        <f>IF(C592="","",IF(AND(OR(L592="1-Urgent",L592="2-High"),M592="✓"),"DO FIRST",IF(M592="✓","SCHEDULE",IF(OR(L592="1-Urgent",L592="2-High"),"DELEGATE","DELETE"))))</f>
        <v/>
      </c>
      <c r="P592" s="65" t="n"/>
      <c r="Q592">
        <f>IF(587&gt;Calc!$AQ$368,"",MATCH(586,Calc!$AQ$2:$AQ$367,1))</f>
        <v/>
      </c>
      <c r="R592">
        <f>IF(Q592="","",SMALL(INDEX(Calc!$B$2:$AO$367,Q592,0),587-INDEX(Calc!$AQ$2:$AQ$367,Q592)))</f>
        <v/>
      </c>
    </row>
    <row r="593">
      <c r="B593" s="71">
        <f>IF(R593="","",588)</f>
        <v/>
      </c>
      <c r="C593" s="75">
        <f>IF(R593="","",IF(INDEX('Recurring Schedule'!$C$6:$C$45,R593)="","",INDEX('Recurring Schedule'!$C$6:$C$45,R593)))</f>
        <v/>
      </c>
      <c r="D593" s="73">
        <f>IF(R593="","",IF(INDEX('Recurring Schedule'!$D$6:$D$45,R593)="","",INDEX('Recurring Schedule'!$D$6:$D$45,R593)))</f>
        <v/>
      </c>
      <c r="E593" s="76">
        <f>IF(Q593="","",INDEX(Calc!$A$2:$A$367,Q593))</f>
        <v/>
      </c>
      <c r="F593" s="72">
        <f>IF(OR(C593="",E593=""),"",E593-Setup!$D$7)</f>
        <v/>
      </c>
      <c r="G593" s="77">
        <f>IF(R593="","",IF(INDEX('Recurring Schedule'!$H$6:$H$45,R593)="","",INDEX('Recurring Schedule'!$H$6:$H$45,R593)))</f>
        <v/>
      </c>
      <c r="H593" s="77">
        <f>IF(R593="","",IF(INDEX('Recurring Schedule'!$I$6:$I$45,R593)="","",INDEX('Recurring Schedule'!$I$6:$I$45,R593)))</f>
        <v/>
      </c>
      <c r="I593" s="73">
        <f>IF(OR(G593="",H593=""),"",TRIM(IF(HOUR(H593-G593)&gt;0,HOUR(H593-G593)&amp;" hr ","")&amp;IF(MINUTE(H593-G593)&gt;0,MINUTE(H593-G593)&amp;" min","")))</f>
        <v/>
      </c>
      <c r="J593" s="66" t="n"/>
      <c r="K593" s="70" t="n"/>
      <c r="L593" s="73">
        <f>IF(R593="","",IF(INDEX('Recurring Schedule'!$J$6:$J$45,R593)="","",INDEX('Recurring Schedule'!$J$6:$J$45,R593)))</f>
        <v/>
      </c>
      <c r="M593" s="73">
        <f>IF(R593="","",IF(INDEX('Recurring Schedule'!$K$6:$K$45,R593)="","",INDEX('Recurring Schedule'!$K$6:$K$45,R593)))</f>
        <v/>
      </c>
      <c r="N593" s="73">
        <f>IF(R593="","",IF(INDEX('Recurring Schedule'!$L$6:$L$45,R593)="","",INDEX('Recurring Schedule'!$L$6:$L$45,R593)))</f>
        <v/>
      </c>
      <c r="O593" s="73">
        <f>IF(C593="","",IF(AND(OR(L593="1-Urgent",L593="2-High"),M593="✓"),"DO FIRST",IF(M593="✓","SCHEDULE",IF(OR(L593="1-Urgent",L593="2-High"),"DELEGATE","DELETE"))))</f>
        <v/>
      </c>
      <c r="P593" s="65" t="n"/>
      <c r="Q593">
        <f>IF(588&gt;Calc!$AQ$368,"",MATCH(587,Calc!$AQ$2:$AQ$367,1))</f>
        <v/>
      </c>
      <c r="R593">
        <f>IF(Q593="","",SMALL(INDEX(Calc!$B$2:$AO$367,Q593,0),588-INDEX(Calc!$AQ$2:$AQ$367,Q593)))</f>
        <v/>
      </c>
    </row>
    <row r="594">
      <c r="B594" s="64">
        <f>IF(R594="","",589)</f>
        <v/>
      </c>
      <c r="C594" s="37">
        <f>IF(R594="","",IF(INDEX('Recurring Schedule'!$C$6:$C$45,R594)="","",INDEX('Recurring Schedule'!$C$6:$C$45,R594)))</f>
        <v/>
      </c>
      <c r="D594" s="36">
        <f>IF(R594="","",IF(INDEX('Recurring Schedule'!$D$6:$D$45,R594)="","",INDEX('Recurring Schedule'!$D$6:$D$45,R594)))</f>
        <v/>
      </c>
      <c r="E594" s="38">
        <f>IF(Q594="","",INDEX(Calc!$A$2:$A$367,Q594))</f>
        <v/>
      </c>
      <c r="F594" s="68">
        <f>IF(OR(C594="",E594=""),"",E594-Setup!$D$7)</f>
        <v/>
      </c>
      <c r="G594" s="74">
        <f>IF(R594="","",IF(INDEX('Recurring Schedule'!$H$6:$H$45,R594)="","",INDEX('Recurring Schedule'!$H$6:$H$45,R594)))</f>
        <v/>
      </c>
      <c r="H594" s="74">
        <f>IF(R594="","",IF(INDEX('Recurring Schedule'!$I$6:$I$45,R594)="","",INDEX('Recurring Schedule'!$I$6:$I$45,R594)))</f>
        <v/>
      </c>
      <c r="I594" s="36">
        <f>IF(OR(G594="",H594=""),"",TRIM(IF(HOUR(H594-G594)&gt;0,HOUR(H594-G594)&amp;" hr ","")&amp;IF(MINUTE(H594-G594)&gt;0,MINUTE(H594-G594)&amp;" min","")))</f>
        <v/>
      </c>
      <c r="J594" s="66" t="n"/>
      <c r="K594" s="70" t="n"/>
      <c r="L594" s="36">
        <f>IF(R594="","",IF(INDEX('Recurring Schedule'!$J$6:$J$45,R594)="","",INDEX('Recurring Schedule'!$J$6:$J$45,R594)))</f>
        <v/>
      </c>
      <c r="M594" s="36">
        <f>IF(R594="","",IF(INDEX('Recurring Schedule'!$K$6:$K$45,R594)="","",INDEX('Recurring Schedule'!$K$6:$K$45,R594)))</f>
        <v/>
      </c>
      <c r="N594" s="36">
        <f>IF(R594="","",IF(INDEX('Recurring Schedule'!$L$6:$L$45,R594)="","",INDEX('Recurring Schedule'!$L$6:$L$45,R594)))</f>
        <v/>
      </c>
      <c r="O594" s="36">
        <f>IF(C594="","",IF(AND(OR(L594="1-Urgent",L594="2-High"),M594="✓"),"DO FIRST",IF(M594="✓","SCHEDULE",IF(OR(L594="1-Urgent",L594="2-High"),"DELEGATE","DELETE"))))</f>
        <v/>
      </c>
      <c r="P594" s="65" t="n"/>
      <c r="Q594">
        <f>IF(589&gt;Calc!$AQ$368,"",MATCH(588,Calc!$AQ$2:$AQ$367,1))</f>
        <v/>
      </c>
      <c r="R594">
        <f>IF(Q594="","",SMALL(INDEX(Calc!$B$2:$AO$367,Q594,0),589-INDEX(Calc!$AQ$2:$AQ$367,Q594)))</f>
        <v/>
      </c>
    </row>
    <row r="595">
      <c r="B595" s="71">
        <f>IF(R595="","",590)</f>
        <v/>
      </c>
      <c r="C595" s="75">
        <f>IF(R595="","",IF(INDEX('Recurring Schedule'!$C$6:$C$45,R595)="","",INDEX('Recurring Schedule'!$C$6:$C$45,R595)))</f>
        <v/>
      </c>
      <c r="D595" s="73">
        <f>IF(R595="","",IF(INDEX('Recurring Schedule'!$D$6:$D$45,R595)="","",INDEX('Recurring Schedule'!$D$6:$D$45,R595)))</f>
        <v/>
      </c>
      <c r="E595" s="76">
        <f>IF(Q595="","",INDEX(Calc!$A$2:$A$367,Q595))</f>
        <v/>
      </c>
      <c r="F595" s="72">
        <f>IF(OR(C595="",E595=""),"",E595-Setup!$D$7)</f>
        <v/>
      </c>
      <c r="G595" s="77">
        <f>IF(R595="","",IF(INDEX('Recurring Schedule'!$H$6:$H$45,R595)="","",INDEX('Recurring Schedule'!$H$6:$H$45,R595)))</f>
        <v/>
      </c>
      <c r="H595" s="77">
        <f>IF(R595="","",IF(INDEX('Recurring Schedule'!$I$6:$I$45,R595)="","",INDEX('Recurring Schedule'!$I$6:$I$45,R595)))</f>
        <v/>
      </c>
      <c r="I595" s="73">
        <f>IF(OR(G595="",H595=""),"",TRIM(IF(HOUR(H595-G595)&gt;0,HOUR(H595-G595)&amp;" hr ","")&amp;IF(MINUTE(H595-G595)&gt;0,MINUTE(H595-G595)&amp;" min","")))</f>
        <v/>
      </c>
      <c r="J595" s="66" t="n"/>
      <c r="K595" s="70" t="n"/>
      <c r="L595" s="73">
        <f>IF(R595="","",IF(INDEX('Recurring Schedule'!$J$6:$J$45,R595)="","",INDEX('Recurring Schedule'!$J$6:$J$45,R595)))</f>
        <v/>
      </c>
      <c r="M595" s="73">
        <f>IF(R595="","",IF(INDEX('Recurring Schedule'!$K$6:$K$45,R595)="","",INDEX('Recurring Schedule'!$K$6:$K$45,R595)))</f>
        <v/>
      </c>
      <c r="N595" s="73">
        <f>IF(R595="","",IF(INDEX('Recurring Schedule'!$L$6:$L$45,R595)="","",INDEX('Recurring Schedule'!$L$6:$L$45,R595)))</f>
        <v/>
      </c>
      <c r="O595" s="73">
        <f>IF(C595="","",IF(AND(OR(L595="1-Urgent",L595="2-High"),M595="✓"),"DO FIRST",IF(M595="✓","SCHEDULE",IF(OR(L595="1-Urgent",L595="2-High"),"DELEGATE","DELETE"))))</f>
        <v/>
      </c>
      <c r="P595" s="65" t="n"/>
      <c r="Q595">
        <f>IF(590&gt;Calc!$AQ$368,"",MATCH(589,Calc!$AQ$2:$AQ$367,1))</f>
        <v/>
      </c>
      <c r="R595">
        <f>IF(Q595="","",SMALL(INDEX(Calc!$B$2:$AO$367,Q595,0),590-INDEX(Calc!$AQ$2:$AQ$367,Q595)))</f>
        <v/>
      </c>
    </row>
    <row r="596">
      <c r="B596" s="64">
        <f>IF(R596="","",591)</f>
        <v/>
      </c>
      <c r="C596" s="37">
        <f>IF(R596="","",IF(INDEX('Recurring Schedule'!$C$6:$C$45,R596)="","",INDEX('Recurring Schedule'!$C$6:$C$45,R596)))</f>
        <v/>
      </c>
      <c r="D596" s="36">
        <f>IF(R596="","",IF(INDEX('Recurring Schedule'!$D$6:$D$45,R596)="","",INDEX('Recurring Schedule'!$D$6:$D$45,R596)))</f>
        <v/>
      </c>
      <c r="E596" s="38">
        <f>IF(Q596="","",INDEX(Calc!$A$2:$A$367,Q596))</f>
        <v/>
      </c>
      <c r="F596" s="68">
        <f>IF(OR(C596="",E596=""),"",E596-Setup!$D$7)</f>
        <v/>
      </c>
      <c r="G596" s="74">
        <f>IF(R596="","",IF(INDEX('Recurring Schedule'!$H$6:$H$45,R596)="","",INDEX('Recurring Schedule'!$H$6:$H$45,R596)))</f>
        <v/>
      </c>
      <c r="H596" s="74">
        <f>IF(R596="","",IF(INDEX('Recurring Schedule'!$I$6:$I$45,R596)="","",INDEX('Recurring Schedule'!$I$6:$I$45,R596)))</f>
        <v/>
      </c>
      <c r="I596" s="36">
        <f>IF(OR(G596="",H596=""),"",TRIM(IF(HOUR(H596-G596)&gt;0,HOUR(H596-G596)&amp;" hr ","")&amp;IF(MINUTE(H596-G596)&gt;0,MINUTE(H596-G596)&amp;" min","")))</f>
        <v/>
      </c>
      <c r="J596" s="66" t="n"/>
      <c r="K596" s="70" t="n"/>
      <c r="L596" s="36">
        <f>IF(R596="","",IF(INDEX('Recurring Schedule'!$J$6:$J$45,R596)="","",INDEX('Recurring Schedule'!$J$6:$J$45,R596)))</f>
        <v/>
      </c>
      <c r="M596" s="36">
        <f>IF(R596="","",IF(INDEX('Recurring Schedule'!$K$6:$K$45,R596)="","",INDEX('Recurring Schedule'!$K$6:$K$45,R596)))</f>
        <v/>
      </c>
      <c r="N596" s="36">
        <f>IF(R596="","",IF(INDEX('Recurring Schedule'!$L$6:$L$45,R596)="","",INDEX('Recurring Schedule'!$L$6:$L$45,R596)))</f>
        <v/>
      </c>
      <c r="O596" s="36">
        <f>IF(C596="","",IF(AND(OR(L596="1-Urgent",L596="2-High"),M596="✓"),"DO FIRST",IF(M596="✓","SCHEDULE",IF(OR(L596="1-Urgent",L596="2-High"),"DELEGATE","DELETE"))))</f>
        <v/>
      </c>
      <c r="P596" s="65" t="n"/>
      <c r="Q596">
        <f>IF(591&gt;Calc!$AQ$368,"",MATCH(590,Calc!$AQ$2:$AQ$367,1))</f>
        <v/>
      </c>
      <c r="R596">
        <f>IF(Q596="","",SMALL(INDEX(Calc!$B$2:$AO$367,Q596,0),591-INDEX(Calc!$AQ$2:$AQ$367,Q596)))</f>
        <v/>
      </c>
    </row>
    <row r="597">
      <c r="B597" s="71">
        <f>IF(R597="","",592)</f>
        <v/>
      </c>
      <c r="C597" s="75">
        <f>IF(R597="","",IF(INDEX('Recurring Schedule'!$C$6:$C$45,R597)="","",INDEX('Recurring Schedule'!$C$6:$C$45,R597)))</f>
        <v/>
      </c>
      <c r="D597" s="73">
        <f>IF(R597="","",IF(INDEX('Recurring Schedule'!$D$6:$D$45,R597)="","",INDEX('Recurring Schedule'!$D$6:$D$45,R597)))</f>
        <v/>
      </c>
      <c r="E597" s="76">
        <f>IF(Q597="","",INDEX(Calc!$A$2:$A$367,Q597))</f>
        <v/>
      </c>
      <c r="F597" s="72">
        <f>IF(OR(C597="",E597=""),"",E597-Setup!$D$7)</f>
        <v/>
      </c>
      <c r="G597" s="77">
        <f>IF(R597="","",IF(INDEX('Recurring Schedule'!$H$6:$H$45,R597)="","",INDEX('Recurring Schedule'!$H$6:$H$45,R597)))</f>
        <v/>
      </c>
      <c r="H597" s="77">
        <f>IF(R597="","",IF(INDEX('Recurring Schedule'!$I$6:$I$45,R597)="","",INDEX('Recurring Schedule'!$I$6:$I$45,R597)))</f>
        <v/>
      </c>
      <c r="I597" s="73">
        <f>IF(OR(G597="",H597=""),"",TRIM(IF(HOUR(H597-G597)&gt;0,HOUR(H597-G597)&amp;" hr ","")&amp;IF(MINUTE(H597-G597)&gt;0,MINUTE(H597-G597)&amp;" min","")))</f>
        <v/>
      </c>
      <c r="J597" s="66" t="n"/>
      <c r="K597" s="70" t="n"/>
      <c r="L597" s="73">
        <f>IF(R597="","",IF(INDEX('Recurring Schedule'!$J$6:$J$45,R597)="","",INDEX('Recurring Schedule'!$J$6:$J$45,R597)))</f>
        <v/>
      </c>
      <c r="M597" s="73">
        <f>IF(R597="","",IF(INDEX('Recurring Schedule'!$K$6:$K$45,R597)="","",INDEX('Recurring Schedule'!$K$6:$K$45,R597)))</f>
        <v/>
      </c>
      <c r="N597" s="73">
        <f>IF(R597="","",IF(INDEX('Recurring Schedule'!$L$6:$L$45,R597)="","",INDEX('Recurring Schedule'!$L$6:$L$45,R597)))</f>
        <v/>
      </c>
      <c r="O597" s="73">
        <f>IF(C597="","",IF(AND(OR(L597="1-Urgent",L597="2-High"),M597="✓"),"DO FIRST",IF(M597="✓","SCHEDULE",IF(OR(L597="1-Urgent",L597="2-High"),"DELEGATE","DELETE"))))</f>
        <v/>
      </c>
      <c r="P597" s="65" t="n"/>
      <c r="Q597">
        <f>IF(592&gt;Calc!$AQ$368,"",MATCH(591,Calc!$AQ$2:$AQ$367,1))</f>
        <v/>
      </c>
      <c r="R597">
        <f>IF(Q597="","",SMALL(INDEX(Calc!$B$2:$AO$367,Q597,0),592-INDEX(Calc!$AQ$2:$AQ$367,Q597)))</f>
        <v/>
      </c>
    </row>
    <row r="598">
      <c r="B598" s="64">
        <f>IF(R598="","",593)</f>
        <v/>
      </c>
      <c r="C598" s="37">
        <f>IF(R598="","",IF(INDEX('Recurring Schedule'!$C$6:$C$45,R598)="","",INDEX('Recurring Schedule'!$C$6:$C$45,R598)))</f>
        <v/>
      </c>
      <c r="D598" s="36">
        <f>IF(R598="","",IF(INDEX('Recurring Schedule'!$D$6:$D$45,R598)="","",INDEX('Recurring Schedule'!$D$6:$D$45,R598)))</f>
        <v/>
      </c>
      <c r="E598" s="38">
        <f>IF(Q598="","",INDEX(Calc!$A$2:$A$367,Q598))</f>
        <v/>
      </c>
      <c r="F598" s="68">
        <f>IF(OR(C598="",E598=""),"",E598-Setup!$D$7)</f>
        <v/>
      </c>
      <c r="G598" s="74">
        <f>IF(R598="","",IF(INDEX('Recurring Schedule'!$H$6:$H$45,R598)="","",INDEX('Recurring Schedule'!$H$6:$H$45,R598)))</f>
        <v/>
      </c>
      <c r="H598" s="74">
        <f>IF(R598="","",IF(INDEX('Recurring Schedule'!$I$6:$I$45,R598)="","",INDEX('Recurring Schedule'!$I$6:$I$45,R598)))</f>
        <v/>
      </c>
      <c r="I598" s="36">
        <f>IF(OR(G598="",H598=""),"",TRIM(IF(HOUR(H598-G598)&gt;0,HOUR(H598-G598)&amp;" hr ","")&amp;IF(MINUTE(H598-G598)&gt;0,MINUTE(H598-G598)&amp;" min","")))</f>
        <v/>
      </c>
      <c r="J598" s="66" t="n"/>
      <c r="K598" s="70" t="n"/>
      <c r="L598" s="36">
        <f>IF(R598="","",IF(INDEX('Recurring Schedule'!$J$6:$J$45,R598)="","",INDEX('Recurring Schedule'!$J$6:$J$45,R598)))</f>
        <v/>
      </c>
      <c r="M598" s="36">
        <f>IF(R598="","",IF(INDEX('Recurring Schedule'!$K$6:$K$45,R598)="","",INDEX('Recurring Schedule'!$K$6:$K$45,R598)))</f>
        <v/>
      </c>
      <c r="N598" s="36">
        <f>IF(R598="","",IF(INDEX('Recurring Schedule'!$L$6:$L$45,R598)="","",INDEX('Recurring Schedule'!$L$6:$L$45,R598)))</f>
        <v/>
      </c>
      <c r="O598" s="36">
        <f>IF(C598="","",IF(AND(OR(L598="1-Urgent",L598="2-High"),M598="✓"),"DO FIRST",IF(M598="✓","SCHEDULE",IF(OR(L598="1-Urgent",L598="2-High"),"DELEGATE","DELETE"))))</f>
        <v/>
      </c>
      <c r="P598" s="65" t="n"/>
      <c r="Q598">
        <f>IF(593&gt;Calc!$AQ$368,"",MATCH(592,Calc!$AQ$2:$AQ$367,1))</f>
        <v/>
      </c>
      <c r="R598">
        <f>IF(Q598="","",SMALL(INDEX(Calc!$B$2:$AO$367,Q598,0),593-INDEX(Calc!$AQ$2:$AQ$367,Q598)))</f>
        <v/>
      </c>
    </row>
    <row r="599">
      <c r="B599" s="71">
        <f>IF(R599="","",594)</f>
        <v/>
      </c>
      <c r="C599" s="75">
        <f>IF(R599="","",IF(INDEX('Recurring Schedule'!$C$6:$C$45,R599)="","",INDEX('Recurring Schedule'!$C$6:$C$45,R599)))</f>
        <v/>
      </c>
      <c r="D599" s="73">
        <f>IF(R599="","",IF(INDEX('Recurring Schedule'!$D$6:$D$45,R599)="","",INDEX('Recurring Schedule'!$D$6:$D$45,R599)))</f>
        <v/>
      </c>
      <c r="E599" s="76">
        <f>IF(Q599="","",INDEX(Calc!$A$2:$A$367,Q599))</f>
        <v/>
      </c>
      <c r="F599" s="72">
        <f>IF(OR(C599="",E599=""),"",E599-Setup!$D$7)</f>
        <v/>
      </c>
      <c r="G599" s="77">
        <f>IF(R599="","",IF(INDEX('Recurring Schedule'!$H$6:$H$45,R599)="","",INDEX('Recurring Schedule'!$H$6:$H$45,R599)))</f>
        <v/>
      </c>
      <c r="H599" s="77">
        <f>IF(R599="","",IF(INDEX('Recurring Schedule'!$I$6:$I$45,R599)="","",INDEX('Recurring Schedule'!$I$6:$I$45,R599)))</f>
        <v/>
      </c>
      <c r="I599" s="73">
        <f>IF(OR(G599="",H599=""),"",TRIM(IF(HOUR(H599-G599)&gt;0,HOUR(H599-G599)&amp;" hr ","")&amp;IF(MINUTE(H599-G599)&gt;0,MINUTE(H599-G599)&amp;" min","")))</f>
        <v/>
      </c>
      <c r="J599" s="66" t="n"/>
      <c r="K599" s="70" t="n"/>
      <c r="L599" s="73">
        <f>IF(R599="","",IF(INDEX('Recurring Schedule'!$J$6:$J$45,R599)="","",INDEX('Recurring Schedule'!$J$6:$J$45,R599)))</f>
        <v/>
      </c>
      <c r="M599" s="73">
        <f>IF(R599="","",IF(INDEX('Recurring Schedule'!$K$6:$K$45,R599)="","",INDEX('Recurring Schedule'!$K$6:$K$45,R599)))</f>
        <v/>
      </c>
      <c r="N599" s="73">
        <f>IF(R599="","",IF(INDEX('Recurring Schedule'!$L$6:$L$45,R599)="","",INDEX('Recurring Schedule'!$L$6:$L$45,R599)))</f>
        <v/>
      </c>
      <c r="O599" s="73">
        <f>IF(C599="","",IF(AND(OR(L599="1-Urgent",L599="2-High"),M599="✓"),"DO FIRST",IF(M599="✓","SCHEDULE",IF(OR(L599="1-Urgent",L599="2-High"),"DELEGATE","DELETE"))))</f>
        <v/>
      </c>
      <c r="P599" s="65" t="n"/>
      <c r="Q599">
        <f>IF(594&gt;Calc!$AQ$368,"",MATCH(593,Calc!$AQ$2:$AQ$367,1))</f>
        <v/>
      </c>
      <c r="R599">
        <f>IF(Q599="","",SMALL(INDEX(Calc!$B$2:$AO$367,Q599,0),594-INDEX(Calc!$AQ$2:$AQ$367,Q599)))</f>
        <v/>
      </c>
    </row>
    <row r="600">
      <c r="B600" s="64">
        <f>IF(R600="","",595)</f>
        <v/>
      </c>
      <c r="C600" s="37">
        <f>IF(R600="","",IF(INDEX('Recurring Schedule'!$C$6:$C$45,R600)="","",INDEX('Recurring Schedule'!$C$6:$C$45,R600)))</f>
        <v/>
      </c>
      <c r="D600" s="36">
        <f>IF(R600="","",IF(INDEX('Recurring Schedule'!$D$6:$D$45,R600)="","",INDEX('Recurring Schedule'!$D$6:$D$45,R600)))</f>
        <v/>
      </c>
      <c r="E600" s="38">
        <f>IF(Q600="","",INDEX(Calc!$A$2:$A$367,Q600))</f>
        <v/>
      </c>
      <c r="F600" s="68">
        <f>IF(OR(C600="",E600=""),"",E600-Setup!$D$7)</f>
        <v/>
      </c>
      <c r="G600" s="74">
        <f>IF(R600="","",IF(INDEX('Recurring Schedule'!$H$6:$H$45,R600)="","",INDEX('Recurring Schedule'!$H$6:$H$45,R600)))</f>
        <v/>
      </c>
      <c r="H600" s="74">
        <f>IF(R600="","",IF(INDEX('Recurring Schedule'!$I$6:$I$45,R600)="","",INDEX('Recurring Schedule'!$I$6:$I$45,R600)))</f>
        <v/>
      </c>
      <c r="I600" s="36">
        <f>IF(OR(G600="",H600=""),"",TRIM(IF(HOUR(H600-G600)&gt;0,HOUR(H600-G600)&amp;" hr ","")&amp;IF(MINUTE(H600-G600)&gt;0,MINUTE(H600-G600)&amp;" min","")))</f>
        <v/>
      </c>
      <c r="J600" s="66" t="n"/>
      <c r="K600" s="70" t="n"/>
      <c r="L600" s="36">
        <f>IF(R600="","",IF(INDEX('Recurring Schedule'!$J$6:$J$45,R600)="","",INDEX('Recurring Schedule'!$J$6:$J$45,R600)))</f>
        <v/>
      </c>
      <c r="M600" s="36">
        <f>IF(R600="","",IF(INDEX('Recurring Schedule'!$K$6:$K$45,R600)="","",INDEX('Recurring Schedule'!$K$6:$K$45,R600)))</f>
        <v/>
      </c>
      <c r="N600" s="36">
        <f>IF(R600="","",IF(INDEX('Recurring Schedule'!$L$6:$L$45,R600)="","",INDEX('Recurring Schedule'!$L$6:$L$45,R600)))</f>
        <v/>
      </c>
      <c r="O600" s="36">
        <f>IF(C600="","",IF(AND(OR(L600="1-Urgent",L600="2-High"),M600="✓"),"DO FIRST",IF(M600="✓","SCHEDULE",IF(OR(L600="1-Urgent",L600="2-High"),"DELEGATE","DELETE"))))</f>
        <v/>
      </c>
      <c r="P600" s="65" t="n"/>
      <c r="Q600">
        <f>IF(595&gt;Calc!$AQ$368,"",MATCH(594,Calc!$AQ$2:$AQ$367,1))</f>
        <v/>
      </c>
      <c r="R600">
        <f>IF(Q600="","",SMALL(INDEX(Calc!$B$2:$AO$367,Q600,0),595-INDEX(Calc!$AQ$2:$AQ$367,Q600)))</f>
        <v/>
      </c>
    </row>
    <row r="601">
      <c r="B601" s="71">
        <f>IF(R601="","",596)</f>
        <v/>
      </c>
      <c r="C601" s="75">
        <f>IF(R601="","",IF(INDEX('Recurring Schedule'!$C$6:$C$45,R601)="","",INDEX('Recurring Schedule'!$C$6:$C$45,R601)))</f>
        <v/>
      </c>
      <c r="D601" s="73">
        <f>IF(R601="","",IF(INDEX('Recurring Schedule'!$D$6:$D$45,R601)="","",INDEX('Recurring Schedule'!$D$6:$D$45,R601)))</f>
        <v/>
      </c>
      <c r="E601" s="76">
        <f>IF(Q601="","",INDEX(Calc!$A$2:$A$367,Q601))</f>
        <v/>
      </c>
      <c r="F601" s="72">
        <f>IF(OR(C601="",E601=""),"",E601-Setup!$D$7)</f>
        <v/>
      </c>
      <c r="G601" s="77">
        <f>IF(R601="","",IF(INDEX('Recurring Schedule'!$H$6:$H$45,R601)="","",INDEX('Recurring Schedule'!$H$6:$H$45,R601)))</f>
        <v/>
      </c>
      <c r="H601" s="77">
        <f>IF(R601="","",IF(INDEX('Recurring Schedule'!$I$6:$I$45,R601)="","",INDEX('Recurring Schedule'!$I$6:$I$45,R601)))</f>
        <v/>
      </c>
      <c r="I601" s="73">
        <f>IF(OR(G601="",H601=""),"",TRIM(IF(HOUR(H601-G601)&gt;0,HOUR(H601-G601)&amp;" hr ","")&amp;IF(MINUTE(H601-G601)&gt;0,MINUTE(H601-G601)&amp;" min","")))</f>
        <v/>
      </c>
      <c r="J601" s="66" t="n"/>
      <c r="K601" s="70" t="n"/>
      <c r="L601" s="73">
        <f>IF(R601="","",IF(INDEX('Recurring Schedule'!$J$6:$J$45,R601)="","",INDEX('Recurring Schedule'!$J$6:$J$45,R601)))</f>
        <v/>
      </c>
      <c r="M601" s="73">
        <f>IF(R601="","",IF(INDEX('Recurring Schedule'!$K$6:$K$45,R601)="","",INDEX('Recurring Schedule'!$K$6:$K$45,R601)))</f>
        <v/>
      </c>
      <c r="N601" s="73">
        <f>IF(R601="","",IF(INDEX('Recurring Schedule'!$L$6:$L$45,R601)="","",INDEX('Recurring Schedule'!$L$6:$L$45,R601)))</f>
        <v/>
      </c>
      <c r="O601" s="73">
        <f>IF(C601="","",IF(AND(OR(L601="1-Urgent",L601="2-High"),M601="✓"),"DO FIRST",IF(M601="✓","SCHEDULE",IF(OR(L601="1-Urgent",L601="2-High"),"DELEGATE","DELETE"))))</f>
        <v/>
      </c>
      <c r="P601" s="65" t="n"/>
      <c r="Q601">
        <f>IF(596&gt;Calc!$AQ$368,"",MATCH(595,Calc!$AQ$2:$AQ$367,1))</f>
        <v/>
      </c>
      <c r="R601">
        <f>IF(Q601="","",SMALL(INDEX(Calc!$B$2:$AO$367,Q601,0),596-INDEX(Calc!$AQ$2:$AQ$367,Q601)))</f>
        <v/>
      </c>
    </row>
    <row r="602">
      <c r="B602" s="64">
        <f>IF(R602="","",597)</f>
        <v/>
      </c>
      <c r="C602" s="37">
        <f>IF(R602="","",IF(INDEX('Recurring Schedule'!$C$6:$C$45,R602)="","",INDEX('Recurring Schedule'!$C$6:$C$45,R602)))</f>
        <v/>
      </c>
      <c r="D602" s="36">
        <f>IF(R602="","",IF(INDEX('Recurring Schedule'!$D$6:$D$45,R602)="","",INDEX('Recurring Schedule'!$D$6:$D$45,R602)))</f>
        <v/>
      </c>
      <c r="E602" s="38">
        <f>IF(Q602="","",INDEX(Calc!$A$2:$A$367,Q602))</f>
        <v/>
      </c>
      <c r="F602" s="68">
        <f>IF(OR(C602="",E602=""),"",E602-Setup!$D$7)</f>
        <v/>
      </c>
      <c r="G602" s="74">
        <f>IF(R602="","",IF(INDEX('Recurring Schedule'!$H$6:$H$45,R602)="","",INDEX('Recurring Schedule'!$H$6:$H$45,R602)))</f>
        <v/>
      </c>
      <c r="H602" s="74">
        <f>IF(R602="","",IF(INDEX('Recurring Schedule'!$I$6:$I$45,R602)="","",INDEX('Recurring Schedule'!$I$6:$I$45,R602)))</f>
        <v/>
      </c>
      <c r="I602" s="36">
        <f>IF(OR(G602="",H602=""),"",TRIM(IF(HOUR(H602-G602)&gt;0,HOUR(H602-G602)&amp;" hr ","")&amp;IF(MINUTE(H602-G602)&gt;0,MINUTE(H602-G602)&amp;" min","")))</f>
        <v/>
      </c>
      <c r="J602" s="66" t="n"/>
      <c r="K602" s="70" t="n"/>
      <c r="L602" s="36">
        <f>IF(R602="","",IF(INDEX('Recurring Schedule'!$J$6:$J$45,R602)="","",INDEX('Recurring Schedule'!$J$6:$J$45,R602)))</f>
        <v/>
      </c>
      <c r="M602" s="36">
        <f>IF(R602="","",IF(INDEX('Recurring Schedule'!$K$6:$K$45,R602)="","",INDEX('Recurring Schedule'!$K$6:$K$45,R602)))</f>
        <v/>
      </c>
      <c r="N602" s="36">
        <f>IF(R602="","",IF(INDEX('Recurring Schedule'!$L$6:$L$45,R602)="","",INDEX('Recurring Schedule'!$L$6:$L$45,R602)))</f>
        <v/>
      </c>
      <c r="O602" s="36">
        <f>IF(C602="","",IF(AND(OR(L602="1-Urgent",L602="2-High"),M602="✓"),"DO FIRST",IF(M602="✓","SCHEDULE",IF(OR(L602="1-Urgent",L602="2-High"),"DELEGATE","DELETE"))))</f>
        <v/>
      </c>
      <c r="P602" s="65" t="n"/>
      <c r="Q602">
        <f>IF(597&gt;Calc!$AQ$368,"",MATCH(596,Calc!$AQ$2:$AQ$367,1))</f>
        <v/>
      </c>
      <c r="R602">
        <f>IF(Q602="","",SMALL(INDEX(Calc!$B$2:$AO$367,Q602,0),597-INDEX(Calc!$AQ$2:$AQ$367,Q602)))</f>
        <v/>
      </c>
    </row>
    <row r="603">
      <c r="B603" s="71">
        <f>IF(R603="","",598)</f>
        <v/>
      </c>
      <c r="C603" s="75">
        <f>IF(R603="","",IF(INDEX('Recurring Schedule'!$C$6:$C$45,R603)="","",INDEX('Recurring Schedule'!$C$6:$C$45,R603)))</f>
        <v/>
      </c>
      <c r="D603" s="73">
        <f>IF(R603="","",IF(INDEX('Recurring Schedule'!$D$6:$D$45,R603)="","",INDEX('Recurring Schedule'!$D$6:$D$45,R603)))</f>
        <v/>
      </c>
      <c r="E603" s="76">
        <f>IF(Q603="","",INDEX(Calc!$A$2:$A$367,Q603))</f>
        <v/>
      </c>
      <c r="F603" s="72">
        <f>IF(OR(C603="",E603=""),"",E603-Setup!$D$7)</f>
        <v/>
      </c>
      <c r="G603" s="77">
        <f>IF(R603="","",IF(INDEX('Recurring Schedule'!$H$6:$H$45,R603)="","",INDEX('Recurring Schedule'!$H$6:$H$45,R603)))</f>
        <v/>
      </c>
      <c r="H603" s="77">
        <f>IF(R603="","",IF(INDEX('Recurring Schedule'!$I$6:$I$45,R603)="","",INDEX('Recurring Schedule'!$I$6:$I$45,R603)))</f>
        <v/>
      </c>
      <c r="I603" s="73">
        <f>IF(OR(G603="",H603=""),"",TRIM(IF(HOUR(H603-G603)&gt;0,HOUR(H603-G603)&amp;" hr ","")&amp;IF(MINUTE(H603-G603)&gt;0,MINUTE(H603-G603)&amp;" min","")))</f>
        <v/>
      </c>
      <c r="J603" s="66" t="n"/>
      <c r="K603" s="70" t="n"/>
      <c r="L603" s="73">
        <f>IF(R603="","",IF(INDEX('Recurring Schedule'!$J$6:$J$45,R603)="","",INDEX('Recurring Schedule'!$J$6:$J$45,R603)))</f>
        <v/>
      </c>
      <c r="M603" s="73">
        <f>IF(R603="","",IF(INDEX('Recurring Schedule'!$K$6:$K$45,R603)="","",INDEX('Recurring Schedule'!$K$6:$K$45,R603)))</f>
        <v/>
      </c>
      <c r="N603" s="73">
        <f>IF(R603="","",IF(INDEX('Recurring Schedule'!$L$6:$L$45,R603)="","",INDEX('Recurring Schedule'!$L$6:$L$45,R603)))</f>
        <v/>
      </c>
      <c r="O603" s="73">
        <f>IF(C603="","",IF(AND(OR(L603="1-Urgent",L603="2-High"),M603="✓"),"DO FIRST",IF(M603="✓","SCHEDULE",IF(OR(L603="1-Urgent",L603="2-High"),"DELEGATE","DELETE"))))</f>
        <v/>
      </c>
      <c r="P603" s="65" t="n"/>
      <c r="Q603">
        <f>IF(598&gt;Calc!$AQ$368,"",MATCH(597,Calc!$AQ$2:$AQ$367,1))</f>
        <v/>
      </c>
      <c r="R603">
        <f>IF(Q603="","",SMALL(INDEX(Calc!$B$2:$AO$367,Q603,0),598-INDEX(Calc!$AQ$2:$AQ$367,Q603)))</f>
        <v/>
      </c>
    </row>
    <row r="604">
      <c r="B604" s="64">
        <f>IF(R604="","",599)</f>
        <v/>
      </c>
      <c r="C604" s="37">
        <f>IF(R604="","",IF(INDEX('Recurring Schedule'!$C$6:$C$45,R604)="","",INDEX('Recurring Schedule'!$C$6:$C$45,R604)))</f>
        <v/>
      </c>
      <c r="D604" s="36">
        <f>IF(R604="","",IF(INDEX('Recurring Schedule'!$D$6:$D$45,R604)="","",INDEX('Recurring Schedule'!$D$6:$D$45,R604)))</f>
        <v/>
      </c>
      <c r="E604" s="38">
        <f>IF(Q604="","",INDEX(Calc!$A$2:$A$367,Q604))</f>
        <v/>
      </c>
      <c r="F604" s="68">
        <f>IF(OR(C604="",E604=""),"",E604-Setup!$D$7)</f>
        <v/>
      </c>
      <c r="G604" s="74">
        <f>IF(R604="","",IF(INDEX('Recurring Schedule'!$H$6:$H$45,R604)="","",INDEX('Recurring Schedule'!$H$6:$H$45,R604)))</f>
        <v/>
      </c>
      <c r="H604" s="74">
        <f>IF(R604="","",IF(INDEX('Recurring Schedule'!$I$6:$I$45,R604)="","",INDEX('Recurring Schedule'!$I$6:$I$45,R604)))</f>
        <v/>
      </c>
      <c r="I604" s="36">
        <f>IF(OR(G604="",H604=""),"",TRIM(IF(HOUR(H604-G604)&gt;0,HOUR(H604-G604)&amp;" hr ","")&amp;IF(MINUTE(H604-G604)&gt;0,MINUTE(H604-G604)&amp;" min","")))</f>
        <v/>
      </c>
      <c r="J604" s="66" t="n"/>
      <c r="K604" s="70" t="n"/>
      <c r="L604" s="36">
        <f>IF(R604="","",IF(INDEX('Recurring Schedule'!$J$6:$J$45,R604)="","",INDEX('Recurring Schedule'!$J$6:$J$45,R604)))</f>
        <v/>
      </c>
      <c r="M604" s="36">
        <f>IF(R604="","",IF(INDEX('Recurring Schedule'!$K$6:$K$45,R604)="","",INDEX('Recurring Schedule'!$K$6:$K$45,R604)))</f>
        <v/>
      </c>
      <c r="N604" s="36">
        <f>IF(R604="","",IF(INDEX('Recurring Schedule'!$L$6:$L$45,R604)="","",INDEX('Recurring Schedule'!$L$6:$L$45,R604)))</f>
        <v/>
      </c>
      <c r="O604" s="36">
        <f>IF(C604="","",IF(AND(OR(L604="1-Urgent",L604="2-High"),M604="✓"),"DO FIRST",IF(M604="✓","SCHEDULE",IF(OR(L604="1-Urgent",L604="2-High"),"DELEGATE","DELETE"))))</f>
        <v/>
      </c>
      <c r="P604" s="65" t="n"/>
      <c r="Q604">
        <f>IF(599&gt;Calc!$AQ$368,"",MATCH(598,Calc!$AQ$2:$AQ$367,1))</f>
        <v/>
      </c>
      <c r="R604">
        <f>IF(Q604="","",SMALL(INDEX(Calc!$B$2:$AO$367,Q604,0),599-INDEX(Calc!$AQ$2:$AQ$367,Q604)))</f>
        <v/>
      </c>
    </row>
    <row r="605">
      <c r="B605" s="71">
        <f>IF(R605="","",600)</f>
        <v/>
      </c>
      <c r="C605" s="75">
        <f>IF(R605="","",IF(INDEX('Recurring Schedule'!$C$6:$C$45,R605)="","",INDEX('Recurring Schedule'!$C$6:$C$45,R605)))</f>
        <v/>
      </c>
      <c r="D605" s="73">
        <f>IF(R605="","",IF(INDEX('Recurring Schedule'!$D$6:$D$45,R605)="","",INDEX('Recurring Schedule'!$D$6:$D$45,R605)))</f>
        <v/>
      </c>
      <c r="E605" s="76">
        <f>IF(Q605="","",INDEX(Calc!$A$2:$A$367,Q605))</f>
        <v/>
      </c>
      <c r="F605" s="72">
        <f>IF(OR(C605="",E605=""),"",E605-Setup!$D$7)</f>
        <v/>
      </c>
      <c r="G605" s="77">
        <f>IF(R605="","",IF(INDEX('Recurring Schedule'!$H$6:$H$45,R605)="","",INDEX('Recurring Schedule'!$H$6:$H$45,R605)))</f>
        <v/>
      </c>
      <c r="H605" s="77">
        <f>IF(R605="","",IF(INDEX('Recurring Schedule'!$I$6:$I$45,R605)="","",INDEX('Recurring Schedule'!$I$6:$I$45,R605)))</f>
        <v/>
      </c>
      <c r="I605" s="73">
        <f>IF(OR(G605="",H605=""),"",TRIM(IF(HOUR(H605-G605)&gt;0,HOUR(H605-G605)&amp;" hr ","")&amp;IF(MINUTE(H605-G605)&gt;0,MINUTE(H605-G605)&amp;" min","")))</f>
        <v/>
      </c>
      <c r="J605" s="66" t="n"/>
      <c r="K605" s="70" t="n"/>
      <c r="L605" s="73">
        <f>IF(R605="","",IF(INDEX('Recurring Schedule'!$J$6:$J$45,R605)="","",INDEX('Recurring Schedule'!$J$6:$J$45,R605)))</f>
        <v/>
      </c>
      <c r="M605" s="73">
        <f>IF(R605="","",IF(INDEX('Recurring Schedule'!$K$6:$K$45,R605)="","",INDEX('Recurring Schedule'!$K$6:$K$45,R605)))</f>
        <v/>
      </c>
      <c r="N605" s="73">
        <f>IF(R605="","",IF(INDEX('Recurring Schedule'!$L$6:$L$45,R605)="","",INDEX('Recurring Schedule'!$L$6:$L$45,R605)))</f>
        <v/>
      </c>
      <c r="O605" s="73">
        <f>IF(C605="","",IF(AND(OR(L605="1-Urgent",L605="2-High"),M605="✓"),"DO FIRST",IF(M605="✓","SCHEDULE",IF(OR(L605="1-Urgent",L605="2-High"),"DELEGATE","DELETE"))))</f>
        <v/>
      </c>
      <c r="P605" s="65" t="n"/>
      <c r="Q605">
        <f>IF(600&gt;Calc!$AQ$368,"",MATCH(599,Calc!$AQ$2:$AQ$367,1))</f>
        <v/>
      </c>
      <c r="R605">
        <f>IF(Q605="","",SMALL(INDEX(Calc!$B$2:$AO$367,Q605,0),600-INDEX(Calc!$AQ$2:$AQ$367,Q605)))</f>
        <v/>
      </c>
    </row>
    <row r="606">
      <c r="B606" s="64">
        <f>IF(R606="","",601)</f>
        <v/>
      </c>
      <c r="C606" s="37">
        <f>IF(R606="","",IF(INDEX('Recurring Schedule'!$C$6:$C$45,R606)="","",INDEX('Recurring Schedule'!$C$6:$C$45,R606)))</f>
        <v/>
      </c>
      <c r="D606" s="36">
        <f>IF(R606="","",IF(INDEX('Recurring Schedule'!$D$6:$D$45,R606)="","",INDEX('Recurring Schedule'!$D$6:$D$45,R606)))</f>
        <v/>
      </c>
      <c r="E606" s="38">
        <f>IF(Q606="","",INDEX(Calc!$A$2:$A$367,Q606))</f>
        <v/>
      </c>
      <c r="F606" s="68">
        <f>IF(OR(C606="",E606=""),"",E606-Setup!$D$7)</f>
        <v/>
      </c>
      <c r="G606" s="74">
        <f>IF(R606="","",IF(INDEX('Recurring Schedule'!$H$6:$H$45,R606)="","",INDEX('Recurring Schedule'!$H$6:$H$45,R606)))</f>
        <v/>
      </c>
      <c r="H606" s="74">
        <f>IF(R606="","",IF(INDEX('Recurring Schedule'!$I$6:$I$45,R606)="","",INDEX('Recurring Schedule'!$I$6:$I$45,R606)))</f>
        <v/>
      </c>
      <c r="I606" s="36">
        <f>IF(OR(G606="",H606=""),"",TRIM(IF(HOUR(H606-G606)&gt;0,HOUR(H606-G606)&amp;" hr ","")&amp;IF(MINUTE(H606-G606)&gt;0,MINUTE(H606-G606)&amp;" min","")))</f>
        <v/>
      </c>
      <c r="J606" s="66" t="n"/>
      <c r="K606" s="70" t="n"/>
      <c r="L606" s="36">
        <f>IF(R606="","",IF(INDEX('Recurring Schedule'!$J$6:$J$45,R606)="","",INDEX('Recurring Schedule'!$J$6:$J$45,R606)))</f>
        <v/>
      </c>
      <c r="M606" s="36">
        <f>IF(R606="","",IF(INDEX('Recurring Schedule'!$K$6:$K$45,R606)="","",INDEX('Recurring Schedule'!$K$6:$K$45,R606)))</f>
        <v/>
      </c>
      <c r="N606" s="36">
        <f>IF(R606="","",IF(INDEX('Recurring Schedule'!$L$6:$L$45,R606)="","",INDEX('Recurring Schedule'!$L$6:$L$45,R606)))</f>
        <v/>
      </c>
      <c r="O606" s="36">
        <f>IF(C606="","",IF(AND(OR(L606="1-Urgent",L606="2-High"),M606="✓"),"DO FIRST",IF(M606="✓","SCHEDULE",IF(OR(L606="1-Urgent",L606="2-High"),"DELEGATE","DELETE"))))</f>
        <v/>
      </c>
      <c r="P606" s="65" t="n"/>
      <c r="Q606">
        <f>IF(601&gt;Calc!$AQ$368,"",MATCH(600,Calc!$AQ$2:$AQ$367,1))</f>
        <v/>
      </c>
      <c r="R606">
        <f>IF(Q606="","",SMALL(INDEX(Calc!$B$2:$AO$367,Q606,0),601-INDEX(Calc!$AQ$2:$AQ$367,Q606)))</f>
        <v/>
      </c>
    </row>
    <row r="607">
      <c r="B607" s="71">
        <f>IF(R607="","",602)</f>
        <v/>
      </c>
      <c r="C607" s="75">
        <f>IF(R607="","",IF(INDEX('Recurring Schedule'!$C$6:$C$45,R607)="","",INDEX('Recurring Schedule'!$C$6:$C$45,R607)))</f>
        <v/>
      </c>
      <c r="D607" s="73">
        <f>IF(R607="","",IF(INDEX('Recurring Schedule'!$D$6:$D$45,R607)="","",INDEX('Recurring Schedule'!$D$6:$D$45,R607)))</f>
        <v/>
      </c>
      <c r="E607" s="76">
        <f>IF(Q607="","",INDEX(Calc!$A$2:$A$367,Q607))</f>
        <v/>
      </c>
      <c r="F607" s="72">
        <f>IF(OR(C607="",E607=""),"",E607-Setup!$D$7)</f>
        <v/>
      </c>
      <c r="G607" s="77">
        <f>IF(R607="","",IF(INDEX('Recurring Schedule'!$H$6:$H$45,R607)="","",INDEX('Recurring Schedule'!$H$6:$H$45,R607)))</f>
        <v/>
      </c>
      <c r="H607" s="77">
        <f>IF(R607="","",IF(INDEX('Recurring Schedule'!$I$6:$I$45,R607)="","",INDEX('Recurring Schedule'!$I$6:$I$45,R607)))</f>
        <v/>
      </c>
      <c r="I607" s="73">
        <f>IF(OR(G607="",H607=""),"",TRIM(IF(HOUR(H607-G607)&gt;0,HOUR(H607-G607)&amp;" hr ","")&amp;IF(MINUTE(H607-G607)&gt;0,MINUTE(H607-G607)&amp;" min","")))</f>
        <v/>
      </c>
      <c r="J607" s="66" t="n"/>
      <c r="K607" s="70" t="n"/>
      <c r="L607" s="73">
        <f>IF(R607="","",IF(INDEX('Recurring Schedule'!$J$6:$J$45,R607)="","",INDEX('Recurring Schedule'!$J$6:$J$45,R607)))</f>
        <v/>
      </c>
      <c r="M607" s="73">
        <f>IF(R607="","",IF(INDEX('Recurring Schedule'!$K$6:$K$45,R607)="","",INDEX('Recurring Schedule'!$K$6:$K$45,R607)))</f>
        <v/>
      </c>
      <c r="N607" s="73">
        <f>IF(R607="","",IF(INDEX('Recurring Schedule'!$L$6:$L$45,R607)="","",INDEX('Recurring Schedule'!$L$6:$L$45,R607)))</f>
        <v/>
      </c>
      <c r="O607" s="73">
        <f>IF(C607="","",IF(AND(OR(L607="1-Urgent",L607="2-High"),M607="✓"),"DO FIRST",IF(M607="✓","SCHEDULE",IF(OR(L607="1-Urgent",L607="2-High"),"DELEGATE","DELETE"))))</f>
        <v/>
      </c>
      <c r="P607" s="65" t="n"/>
      <c r="Q607">
        <f>IF(602&gt;Calc!$AQ$368,"",MATCH(601,Calc!$AQ$2:$AQ$367,1))</f>
        <v/>
      </c>
      <c r="R607">
        <f>IF(Q607="","",SMALL(INDEX(Calc!$B$2:$AO$367,Q607,0),602-INDEX(Calc!$AQ$2:$AQ$367,Q607)))</f>
        <v/>
      </c>
    </row>
    <row r="608">
      <c r="B608" s="64">
        <f>IF(R608="","",603)</f>
        <v/>
      </c>
      <c r="C608" s="37">
        <f>IF(R608="","",IF(INDEX('Recurring Schedule'!$C$6:$C$45,R608)="","",INDEX('Recurring Schedule'!$C$6:$C$45,R608)))</f>
        <v/>
      </c>
      <c r="D608" s="36">
        <f>IF(R608="","",IF(INDEX('Recurring Schedule'!$D$6:$D$45,R608)="","",INDEX('Recurring Schedule'!$D$6:$D$45,R608)))</f>
        <v/>
      </c>
      <c r="E608" s="38">
        <f>IF(Q608="","",INDEX(Calc!$A$2:$A$367,Q608))</f>
        <v/>
      </c>
      <c r="F608" s="68">
        <f>IF(OR(C608="",E608=""),"",E608-Setup!$D$7)</f>
        <v/>
      </c>
      <c r="G608" s="74">
        <f>IF(R608="","",IF(INDEX('Recurring Schedule'!$H$6:$H$45,R608)="","",INDEX('Recurring Schedule'!$H$6:$H$45,R608)))</f>
        <v/>
      </c>
      <c r="H608" s="74">
        <f>IF(R608="","",IF(INDEX('Recurring Schedule'!$I$6:$I$45,R608)="","",INDEX('Recurring Schedule'!$I$6:$I$45,R608)))</f>
        <v/>
      </c>
      <c r="I608" s="36">
        <f>IF(OR(G608="",H608=""),"",TRIM(IF(HOUR(H608-G608)&gt;0,HOUR(H608-G608)&amp;" hr ","")&amp;IF(MINUTE(H608-G608)&gt;0,MINUTE(H608-G608)&amp;" min","")))</f>
        <v/>
      </c>
      <c r="J608" s="66" t="n"/>
      <c r="K608" s="70" t="n"/>
      <c r="L608" s="36">
        <f>IF(R608="","",IF(INDEX('Recurring Schedule'!$J$6:$J$45,R608)="","",INDEX('Recurring Schedule'!$J$6:$J$45,R608)))</f>
        <v/>
      </c>
      <c r="M608" s="36">
        <f>IF(R608="","",IF(INDEX('Recurring Schedule'!$K$6:$K$45,R608)="","",INDEX('Recurring Schedule'!$K$6:$K$45,R608)))</f>
        <v/>
      </c>
      <c r="N608" s="36">
        <f>IF(R608="","",IF(INDEX('Recurring Schedule'!$L$6:$L$45,R608)="","",INDEX('Recurring Schedule'!$L$6:$L$45,R608)))</f>
        <v/>
      </c>
      <c r="O608" s="36">
        <f>IF(C608="","",IF(AND(OR(L608="1-Urgent",L608="2-High"),M608="✓"),"DO FIRST",IF(M608="✓","SCHEDULE",IF(OR(L608="1-Urgent",L608="2-High"),"DELEGATE","DELETE"))))</f>
        <v/>
      </c>
      <c r="P608" s="65" t="n"/>
      <c r="Q608">
        <f>IF(603&gt;Calc!$AQ$368,"",MATCH(602,Calc!$AQ$2:$AQ$367,1))</f>
        <v/>
      </c>
      <c r="R608">
        <f>IF(Q608="","",SMALL(INDEX(Calc!$B$2:$AO$367,Q608,0),603-INDEX(Calc!$AQ$2:$AQ$367,Q608)))</f>
        <v/>
      </c>
    </row>
    <row r="609">
      <c r="B609" s="71">
        <f>IF(R609="","",604)</f>
        <v/>
      </c>
      <c r="C609" s="75">
        <f>IF(R609="","",IF(INDEX('Recurring Schedule'!$C$6:$C$45,R609)="","",INDEX('Recurring Schedule'!$C$6:$C$45,R609)))</f>
        <v/>
      </c>
      <c r="D609" s="73">
        <f>IF(R609="","",IF(INDEX('Recurring Schedule'!$D$6:$D$45,R609)="","",INDEX('Recurring Schedule'!$D$6:$D$45,R609)))</f>
        <v/>
      </c>
      <c r="E609" s="76">
        <f>IF(Q609="","",INDEX(Calc!$A$2:$A$367,Q609))</f>
        <v/>
      </c>
      <c r="F609" s="72">
        <f>IF(OR(C609="",E609=""),"",E609-Setup!$D$7)</f>
        <v/>
      </c>
      <c r="G609" s="77">
        <f>IF(R609="","",IF(INDEX('Recurring Schedule'!$H$6:$H$45,R609)="","",INDEX('Recurring Schedule'!$H$6:$H$45,R609)))</f>
        <v/>
      </c>
      <c r="H609" s="77">
        <f>IF(R609="","",IF(INDEX('Recurring Schedule'!$I$6:$I$45,R609)="","",INDEX('Recurring Schedule'!$I$6:$I$45,R609)))</f>
        <v/>
      </c>
      <c r="I609" s="73">
        <f>IF(OR(G609="",H609=""),"",TRIM(IF(HOUR(H609-G609)&gt;0,HOUR(H609-G609)&amp;" hr ","")&amp;IF(MINUTE(H609-G609)&gt;0,MINUTE(H609-G609)&amp;" min","")))</f>
        <v/>
      </c>
      <c r="J609" s="66" t="n"/>
      <c r="K609" s="70" t="n"/>
      <c r="L609" s="73">
        <f>IF(R609="","",IF(INDEX('Recurring Schedule'!$J$6:$J$45,R609)="","",INDEX('Recurring Schedule'!$J$6:$J$45,R609)))</f>
        <v/>
      </c>
      <c r="M609" s="73">
        <f>IF(R609="","",IF(INDEX('Recurring Schedule'!$K$6:$K$45,R609)="","",INDEX('Recurring Schedule'!$K$6:$K$45,R609)))</f>
        <v/>
      </c>
      <c r="N609" s="73">
        <f>IF(R609="","",IF(INDEX('Recurring Schedule'!$L$6:$L$45,R609)="","",INDEX('Recurring Schedule'!$L$6:$L$45,R609)))</f>
        <v/>
      </c>
      <c r="O609" s="73">
        <f>IF(C609="","",IF(AND(OR(L609="1-Urgent",L609="2-High"),M609="✓"),"DO FIRST",IF(M609="✓","SCHEDULE",IF(OR(L609="1-Urgent",L609="2-High"),"DELEGATE","DELETE"))))</f>
        <v/>
      </c>
      <c r="P609" s="65" t="n"/>
      <c r="Q609">
        <f>IF(604&gt;Calc!$AQ$368,"",MATCH(603,Calc!$AQ$2:$AQ$367,1))</f>
        <v/>
      </c>
      <c r="R609">
        <f>IF(Q609="","",SMALL(INDEX(Calc!$B$2:$AO$367,Q609,0),604-INDEX(Calc!$AQ$2:$AQ$367,Q609)))</f>
        <v/>
      </c>
    </row>
    <row r="610">
      <c r="B610" s="64">
        <f>IF(R610="","",605)</f>
        <v/>
      </c>
      <c r="C610" s="37">
        <f>IF(R610="","",IF(INDEX('Recurring Schedule'!$C$6:$C$45,R610)="","",INDEX('Recurring Schedule'!$C$6:$C$45,R610)))</f>
        <v/>
      </c>
      <c r="D610" s="36">
        <f>IF(R610="","",IF(INDEX('Recurring Schedule'!$D$6:$D$45,R610)="","",INDEX('Recurring Schedule'!$D$6:$D$45,R610)))</f>
        <v/>
      </c>
      <c r="E610" s="38">
        <f>IF(Q610="","",INDEX(Calc!$A$2:$A$367,Q610))</f>
        <v/>
      </c>
      <c r="F610" s="68">
        <f>IF(OR(C610="",E610=""),"",E610-Setup!$D$7)</f>
        <v/>
      </c>
      <c r="G610" s="74">
        <f>IF(R610="","",IF(INDEX('Recurring Schedule'!$H$6:$H$45,R610)="","",INDEX('Recurring Schedule'!$H$6:$H$45,R610)))</f>
        <v/>
      </c>
      <c r="H610" s="74">
        <f>IF(R610="","",IF(INDEX('Recurring Schedule'!$I$6:$I$45,R610)="","",INDEX('Recurring Schedule'!$I$6:$I$45,R610)))</f>
        <v/>
      </c>
      <c r="I610" s="36">
        <f>IF(OR(G610="",H610=""),"",TRIM(IF(HOUR(H610-G610)&gt;0,HOUR(H610-G610)&amp;" hr ","")&amp;IF(MINUTE(H610-G610)&gt;0,MINUTE(H610-G610)&amp;" min","")))</f>
        <v/>
      </c>
      <c r="J610" s="66" t="n"/>
      <c r="K610" s="70" t="n"/>
      <c r="L610" s="36">
        <f>IF(R610="","",IF(INDEX('Recurring Schedule'!$J$6:$J$45,R610)="","",INDEX('Recurring Schedule'!$J$6:$J$45,R610)))</f>
        <v/>
      </c>
      <c r="M610" s="36">
        <f>IF(R610="","",IF(INDEX('Recurring Schedule'!$K$6:$K$45,R610)="","",INDEX('Recurring Schedule'!$K$6:$K$45,R610)))</f>
        <v/>
      </c>
      <c r="N610" s="36">
        <f>IF(R610="","",IF(INDEX('Recurring Schedule'!$L$6:$L$45,R610)="","",INDEX('Recurring Schedule'!$L$6:$L$45,R610)))</f>
        <v/>
      </c>
      <c r="O610" s="36">
        <f>IF(C610="","",IF(AND(OR(L610="1-Urgent",L610="2-High"),M610="✓"),"DO FIRST",IF(M610="✓","SCHEDULE",IF(OR(L610="1-Urgent",L610="2-High"),"DELEGATE","DELETE"))))</f>
        <v/>
      </c>
      <c r="P610" s="65" t="n"/>
      <c r="Q610">
        <f>IF(605&gt;Calc!$AQ$368,"",MATCH(604,Calc!$AQ$2:$AQ$367,1))</f>
        <v/>
      </c>
      <c r="R610">
        <f>IF(Q610="","",SMALL(INDEX(Calc!$B$2:$AO$367,Q610,0),605-INDEX(Calc!$AQ$2:$AQ$367,Q610)))</f>
        <v/>
      </c>
    </row>
    <row r="611">
      <c r="B611" s="71">
        <f>IF(R611="","",606)</f>
        <v/>
      </c>
      <c r="C611" s="75">
        <f>IF(R611="","",IF(INDEX('Recurring Schedule'!$C$6:$C$45,R611)="","",INDEX('Recurring Schedule'!$C$6:$C$45,R611)))</f>
        <v/>
      </c>
      <c r="D611" s="73">
        <f>IF(R611="","",IF(INDEX('Recurring Schedule'!$D$6:$D$45,R611)="","",INDEX('Recurring Schedule'!$D$6:$D$45,R611)))</f>
        <v/>
      </c>
      <c r="E611" s="76">
        <f>IF(Q611="","",INDEX(Calc!$A$2:$A$367,Q611))</f>
        <v/>
      </c>
      <c r="F611" s="72">
        <f>IF(OR(C611="",E611=""),"",E611-Setup!$D$7)</f>
        <v/>
      </c>
      <c r="G611" s="77">
        <f>IF(R611="","",IF(INDEX('Recurring Schedule'!$H$6:$H$45,R611)="","",INDEX('Recurring Schedule'!$H$6:$H$45,R611)))</f>
        <v/>
      </c>
      <c r="H611" s="77">
        <f>IF(R611="","",IF(INDEX('Recurring Schedule'!$I$6:$I$45,R611)="","",INDEX('Recurring Schedule'!$I$6:$I$45,R611)))</f>
        <v/>
      </c>
      <c r="I611" s="73">
        <f>IF(OR(G611="",H611=""),"",TRIM(IF(HOUR(H611-G611)&gt;0,HOUR(H611-G611)&amp;" hr ","")&amp;IF(MINUTE(H611-G611)&gt;0,MINUTE(H611-G611)&amp;" min","")))</f>
        <v/>
      </c>
      <c r="J611" s="66" t="n"/>
      <c r="K611" s="70" t="n"/>
      <c r="L611" s="73">
        <f>IF(R611="","",IF(INDEX('Recurring Schedule'!$J$6:$J$45,R611)="","",INDEX('Recurring Schedule'!$J$6:$J$45,R611)))</f>
        <v/>
      </c>
      <c r="M611" s="73">
        <f>IF(R611="","",IF(INDEX('Recurring Schedule'!$K$6:$K$45,R611)="","",INDEX('Recurring Schedule'!$K$6:$K$45,R611)))</f>
        <v/>
      </c>
      <c r="N611" s="73">
        <f>IF(R611="","",IF(INDEX('Recurring Schedule'!$L$6:$L$45,R611)="","",INDEX('Recurring Schedule'!$L$6:$L$45,R611)))</f>
        <v/>
      </c>
      <c r="O611" s="73">
        <f>IF(C611="","",IF(AND(OR(L611="1-Urgent",L611="2-High"),M611="✓"),"DO FIRST",IF(M611="✓","SCHEDULE",IF(OR(L611="1-Urgent",L611="2-High"),"DELEGATE","DELETE"))))</f>
        <v/>
      </c>
      <c r="P611" s="65" t="n"/>
      <c r="Q611">
        <f>IF(606&gt;Calc!$AQ$368,"",MATCH(605,Calc!$AQ$2:$AQ$367,1))</f>
        <v/>
      </c>
      <c r="R611">
        <f>IF(Q611="","",SMALL(INDEX(Calc!$B$2:$AO$367,Q611,0),606-INDEX(Calc!$AQ$2:$AQ$367,Q611)))</f>
        <v/>
      </c>
    </row>
    <row r="612">
      <c r="B612" s="64">
        <f>IF(R612="","",607)</f>
        <v/>
      </c>
      <c r="C612" s="37">
        <f>IF(R612="","",IF(INDEX('Recurring Schedule'!$C$6:$C$45,R612)="","",INDEX('Recurring Schedule'!$C$6:$C$45,R612)))</f>
        <v/>
      </c>
      <c r="D612" s="36">
        <f>IF(R612="","",IF(INDEX('Recurring Schedule'!$D$6:$D$45,R612)="","",INDEX('Recurring Schedule'!$D$6:$D$45,R612)))</f>
        <v/>
      </c>
      <c r="E612" s="38">
        <f>IF(Q612="","",INDEX(Calc!$A$2:$A$367,Q612))</f>
        <v/>
      </c>
      <c r="F612" s="68">
        <f>IF(OR(C612="",E612=""),"",E612-Setup!$D$7)</f>
        <v/>
      </c>
      <c r="G612" s="74">
        <f>IF(R612="","",IF(INDEX('Recurring Schedule'!$H$6:$H$45,R612)="","",INDEX('Recurring Schedule'!$H$6:$H$45,R612)))</f>
        <v/>
      </c>
      <c r="H612" s="74">
        <f>IF(R612="","",IF(INDEX('Recurring Schedule'!$I$6:$I$45,R612)="","",INDEX('Recurring Schedule'!$I$6:$I$45,R612)))</f>
        <v/>
      </c>
      <c r="I612" s="36">
        <f>IF(OR(G612="",H612=""),"",TRIM(IF(HOUR(H612-G612)&gt;0,HOUR(H612-G612)&amp;" hr ","")&amp;IF(MINUTE(H612-G612)&gt;0,MINUTE(H612-G612)&amp;" min","")))</f>
        <v/>
      </c>
      <c r="J612" s="66" t="n"/>
      <c r="K612" s="70" t="n"/>
      <c r="L612" s="36">
        <f>IF(R612="","",IF(INDEX('Recurring Schedule'!$J$6:$J$45,R612)="","",INDEX('Recurring Schedule'!$J$6:$J$45,R612)))</f>
        <v/>
      </c>
      <c r="M612" s="36">
        <f>IF(R612="","",IF(INDEX('Recurring Schedule'!$K$6:$K$45,R612)="","",INDEX('Recurring Schedule'!$K$6:$K$45,R612)))</f>
        <v/>
      </c>
      <c r="N612" s="36">
        <f>IF(R612="","",IF(INDEX('Recurring Schedule'!$L$6:$L$45,R612)="","",INDEX('Recurring Schedule'!$L$6:$L$45,R612)))</f>
        <v/>
      </c>
      <c r="O612" s="36">
        <f>IF(C612="","",IF(AND(OR(L612="1-Urgent",L612="2-High"),M612="✓"),"DO FIRST",IF(M612="✓","SCHEDULE",IF(OR(L612="1-Urgent",L612="2-High"),"DELEGATE","DELETE"))))</f>
        <v/>
      </c>
      <c r="P612" s="65" t="n"/>
      <c r="Q612">
        <f>IF(607&gt;Calc!$AQ$368,"",MATCH(606,Calc!$AQ$2:$AQ$367,1))</f>
        <v/>
      </c>
      <c r="R612">
        <f>IF(Q612="","",SMALL(INDEX(Calc!$B$2:$AO$367,Q612,0),607-INDEX(Calc!$AQ$2:$AQ$367,Q612)))</f>
        <v/>
      </c>
    </row>
    <row r="613">
      <c r="B613" s="71">
        <f>IF(R613="","",608)</f>
        <v/>
      </c>
      <c r="C613" s="75">
        <f>IF(R613="","",IF(INDEX('Recurring Schedule'!$C$6:$C$45,R613)="","",INDEX('Recurring Schedule'!$C$6:$C$45,R613)))</f>
        <v/>
      </c>
      <c r="D613" s="73">
        <f>IF(R613="","",IF(INDEX('Recurring Schedule'!$D$6:$D$45,R613)="","",INDEX('Recurring Schedule'!$D$6:$D$45,R613)))</f>
        <v/>
      </c>
      <c r="E613" s="76">
        <f>IF(Q613="","",INDEX(Calc!$A$2:$A$367,Q613))</f>
        <v/>
      </c>
      <c r="F613" s="72">
        <f>IF(OR(C613="",E613=""),"",E613-Setup!$D$7)</f>
        <v/>
      </c>
      <c r="G613" s="77">
        <f>IF(R613="","",IF(INDEX('Recurring Schedule'!$H$6:$H$45,R613)="","",INDEX('Recurring Schedule'!$H$6:$H$45,R613)))</f>
        <v/>
      </c>
      <c r="H613" s="77">
        <f>IF(R613="","",IF(INDEX('Recurring Schedule'!$I$6:$I$45,R613)="","",INDEX('Recurring Schedule'!$I$6:$I$45,R613)))</f>
        <v/>
      </c>
      <c r="I613" s="73">
        <f>IF(OR(G613="",H613=""),"",TRIM(IF(HOUR(H613-G613)&gt;0,HOUR(H613-G613)&amp;" hr ","")&amp;IF(MINUTE(H613-G613)&gt;0,MINUTE(H613-G613)&amp;" min","")))</f>
        <v/>
      </c>
      <c r="J613" s="66" t="n"/>
      <c r="K613" s="70" t="n"/>
      <c r="L613" s="73">
        <f>IF(R613="","",IF(INDEX('Recurring Schedule'!$J$6:$J$45,R613)="","",INDEX('Recurring Schedule'!$J$6:$J$45,R613)))</f>
        <v/>
      </c>
      <c r="M613" s="73">
        <f>IF(R613="","",IF(INDEX('Recurring Schedule'!$K$6:$K$45,R613)="","",INDEX('Recurring Schedule'!$K$6:$K$45,R613)))</f>
        <v/>
      </c>
      <c r="N613" s="73">
        <f>IF(R613="","",IF(INDEX('Recurring Schedule'!$L$6:$L$45,R613)="","",INDEX('Recurring Schedule'!$L$6:$L$45,R613)))</f>
        <v/>
      </c>
      <c r="O613" s="73">
        <f>IF(C613="","",IF(AND(OR(L613="1-Urgent",L613="2-High"),M613="✓"),"DO FIRST",IF(M613="✓","SCHEDULE",IF(OR(L613="1-Urgent",L613="2-High"),"DELEGATE","DELETE"))))</f>
        <v/>
      </c>
      <c r="P613" s="65" t="n"/>
      <c r="Q613">
        <f>IF(608&gt;Calc!$AQ$368,"",MATCH(607,Calc!$AQ$2:$AQ$367,1))</f>
        <v/>
      </c>
      <c r="R613">
        <f>IF(Q613="","",SMALL(INDEX(Calc!$B$2:$AO$367,Q613,0),608-INDEX(Calc!$AQ$2:$AQ$367,Q613)))</f>
        <v/>
      </c>
    </row>
    <row r="614">
      <c r="B614" s="64">
        <f>IF(R614="","",609)</f>
        <v/>
      </c>
      <c r="C614" s="37">
        <f>IF(R614="","",IF(INDEX('Recurring Schedule'!$C$6:$C$45,R614)="","",INDEX('Recurring Schedule'!$C$6:$C$45,R614)))</f>
        <v/>
      </c>
      <c r="D614" s="36">
        <f>IF(R614="","",IF(INDEX('Recurring Schedule'!$D$6:$D$45,R614)="","",INDEX('Recurring Schedule'!$D$6:$D$45,R614)))</f>
        <v/>
      </c>
      <c r="E614" s="38">
        <f>IF(Q614="","",INDEX(Calc!$A$2:$A$367,Q614))</f>
        <v/>
      </c>
      <c r="F614" s="68">
        <f>IF(OR(C614="",E614=""),"",E614-Setup!$D$7)</f>
        <v/>
      </c>
      <c r="G614" s="74">
        <f>IF(R614="","",IF(INDEX('Recurring Schedule'!$H$6:$H$45,R614)="","",INDEX('Recurring Schedule'!$H$6:$H$45,R614)))</f>
        <v/>
      </c>
      <c r="H614" s="74">
        <f>IF(R614="","",IF(INDEX('Recurring Schedule'!$I$6:$I$45,R614)="","",INDEX('Recurring Schedule'!$I$6:$I$45,R614)))</f>
        <v/>
      </c>
      <c r="I614" s="36">
        <f>IF(OR(G614="",H614=""),"",TRIM(IF(HOUR(H614-G614)&gt;0,HOUR(H614-G614)&amp;" hr ","")&amp;IF(MINUTE(H614-G614)&gt;0,MINUTE(H614-G614)&amp;" min","")))</f>
        <v/>
      </c>
      <c r="J614" s="66" t="n"/>
      <c r="K614" s="70" t="n"/>
      <c r="L614" s="36">
        <f>IF(R614="","",IF(INDEX('Recurring Schedule'!$J$6:$J$45,R614)="","",INDEX('Recurring Schedule'!$J$6:$J$45,R614)))</f>
        <v/>
      </c>
      <c r="M614" s="36">
        <f>IF(R614="","",IF(INDEX('Recurring Schedule'!$K$6:$K$45,R614)="","",INDEX('Recurring Schedule'!$K$6:$K$45,R614)))</f>
        <v/>
      </c>
      <c r="N614" s="36">
        <f>IF(R614="","",IF(INDEX('Recurring Schedule'!$L$6:$L$45,R614)="","",INDEX('Recurring Schedule'!$L$6:$L$45,R614)))</f>
        <v/>
      </c>
      <c r="O614" s="36">
        <f>IF(C614="","",IF(AND(OR(L614="1-Urgent",L614="2-High"),M614="✓"),"DO FIRST",IF(M614="✓","SCHEDULE",IF(OR(L614="1-Urgent",L614="2-High"),"DELEGATE","DELETE"))))</f>
        <v/>
      </c>
      <c r="P614" s="65" t="n"/>
      <c r="Q614">
        <f>IF(609&gt;Calc!$AQ$368,"",MATCH(608,Calc!$AQ$2:$AQ$367,1))</f>
        <v/>
      </c>
      <c r="R614">
        <f>IF(Q614="","",SMALL(INDEX(Calc!$B$2:$AO$367,Q614,0),609-INDEX(Calc!$AQ$2:$AQ$367,Q614)))</f>
        <v/>
      </c>
    </row>
    <row r="615">
      <c r="B615" s="71">
        <f>IF(R615="","",610)</f>
        <v/>
      </c>
      <c r="C615" s="75">
        <f>IF(R615="","",IF(INDEX('Recurring Schedule'!$C$6:$C$45,R615)="","",INDEX('Recurring Schedule'!$C$6:$C$45,R615)))</f>
        <v/>
      </c>
      <c r="D615" s="73">
        <f>IF(R615="","",IF(INDEX('Recurring Schedule'!$D$6:$D$45,R615)="","",INDEX('Recurring Schedule'!$D$6:$D$45,R615)))</f>
        <v/>
      </c>
      <c r="E615" s="76">
        <f>IF(Q615="","",INDEX(Calc!$A$2:$A$367,Q615))</f>
        <v/>
      </c>
      <c r="F615" s="72">
        <f>IF(OR(C615="",E615=""),"",E615-Setup!$D$7)</f>
        <v/>
      </c>
      <c r="G615" s="77">
        <f>IF(R615="","",IF(INDEX('Recurring Schedule'!$H$6:$H$45,R615)="","",INDEX('Recurring Schedule'!$H$6:$H$45,R615)))</f>
        <v/>
      </c>
      <c r="H615" s="77">
        <f>IF(R615="","",IF(INDEX('Recurring Schedule'!$I$6:$I$45,R615)="","",INDEX('Recurring Schedule'!$I$6:$I$45,R615)))</f>
        <v/>
      </c>
      <c r="I615" s="73">
        <f>IF(OR(G615="",H615=""),"",TRIM(IF(HOUR(H615-G615)&gt;0,HOUR(H615-G615)&amp;" hr ","")&amp;IF(MINUTE(H615-G615)&gt;0,MINUTE(H615-G615)&amp;" min","")))</f>
        <v/>
      </c>
      <c r="J615" s="66" t="n"/>
      <c r="K615" s="70" t="n"/>
      <c r="L615" s="73">
        <f>IF(R615="","",IF(INDEX('Recurring Schedule'!$J$6:$J$45,R615)="","",INDEX('Recurring Schedule'!$J$6:$J$45,R615)))</f>
        <v/>
      </c>
      <c r="M615" s="73">
        <f>IF(R615="","",IF(INDEX('Recurring Schedule'!$K$6:$K$45,R615)="","",INDEX('Recurring Schedule'!$K$6:$K$45,R615)))</f>
        <v/>
      </c>
      <c r="N615" s="73">
        <f>IF(R615="","",IF(INDEX('Recurring Schedule'!$L$6:$L$45,R615)="","",INDEX('Recurring Schedule'!$L$6:$L$45,R615)))</f>
        <v/>
      </c>
      <c r="O615" s="73">
        <f>IF(C615="","",IF(AND(OR(L615="1-Urgent",L615="2-High"),M615="✓"),"DO FIRST",IF(M615="✓","SCHEDULE",IF(OR(L615="1-Urgent",L615="2-High"),"DELEGATE","DELETE"))))</f>
        <v/>
      </c>
      <c r="P615" s="65" t="n"/>
      <c r="Q615">
        <f>IF(610&gt;Calc!$AQ$368,"",MATCH(609,Calc!$AQ$2:$AQ$367,1))</f>
        <v/>
      </c>
      <c r="R615">
        <f>IF(Q615="","",SMALL(INDEX(Calc!$B$2:$AO$367,Q615,0),610-INDEX(Calc!$AQ$2:$AQ$367,Q615)))</f>
        <v/>
      </c>
    </row>
    <row r="616">
      <c r="B616" s="64">
        <f>IF(R616="","",611)</f>
        <v/>
      </c>
      <c r="C616" s="37">
        <f>IF(R616="","",IF(INDEX('Recurring Schedule'!$C$6:$C$45,R616)="","",INDEX('Recurring Schedule'!$C$6:$C$45,R616)))</f>
        <v/>
      </c>
      <c r="D616" s="36">
        <f>IF(R616="","",IF(INDEX('Recurring Schedule'!$D$6:$D$45,R616)="","",INDEX('Recurring Schedule'!$D$6:$D$45,R616)))</f>
        <v/>
      </c>
      <c r="E616" s="38">
        <f>IF(Q616="","",INDEX(Calc!$A$2:$A$367,Q616))</f>
        <v/>
      </c>
      <c r="F616" s="68">
        <f>IF(OR(C616="",E616=""),"",E616-Setup!$D$7)</f>
        <v/>
      </c>
      <c r="G616" s="74">
        <f>IF(R616="","",IF(INDEX('Recurring Schedule'!$H$6:$H$45,R616)="","",INDEX('Recurring Schedule'!$H$6:$H$45,R616)))</f>
        <v/>
      </c>
      <c r="H616" s="74">
        <f>IF(R616="","",IF(INDEX('Recurring Schedule'!$I$6:$I$45,R616)="","",INDEX('Recurring Schedule'!$I$6:$I$45,R616)))</f>
        <v/>
      </c>
      <c r="I616" s="36">
        <f>IF(OR(G616="",H616=""),"",TRIM(IF(HOUR(H616-G616)&gt;0,HOUR(H616-G616)&amp;" hr ","")&amp;IF(MINUTE(H616-G616)&gt;0,MINUTE(H616-G616)&amp;" min","")))</f>
        <v/>
      </c>
      <c r="J616" s="66" t="n"/>
      <c r="K616" s="70" t="n"/>
      <c r="L616" s="36">
        <f>IF(R616="","",IF(INDEX('Recurring Schedule'!$J$6:$J$45,R616)="","",INDEX('Recurring Schedule'!$J$6:$J$45,R616)))</f>
        <v/>
      </c>
      <c r="M616" s="36">
        <f>IF(R616="","",IF(INDEX('Recurring Schedule'!$K$6:$K$45,R616)="","",INDEX('Recurring Schedule'!$K$6:$K$45,R616)))</f>
        <v/>
      </c>
      <c r="N616" s="36">
        <f>IF(R616="","",IF(INDEX('Recurring Schedule'!$L$6:$L$45,R616)="","",INDEX('Recurring Schedule'!$L$6:$L$45,R616)))</f>
        <v/>
      </c>
      <c r="O616" s="36">
        <f>IF(C616="","",IF(AND(OR(L616="1-Urgent",L616="2-High"),M616="✓"),"DO FIRST",IF(M616="✓","SCHEDULE",IF(OR(L616="1-Urgent",L616="2-High"),"DELEGATE","DELETE"))))</f>
        <v/>
      </c>
      <c r="P616" s="65" t="n"/>
      <c r="Q616">
        <f>IF(611&gt;Calc!$AQ$368,"",MATCH(610,Calc!$AQ$2:$AQ$367,1))</f>
        <v/>
      </c>
      <c r="R616">
        <f>IF(Q616="","",SMALL(INDEX(Calc!$B$2:$AO$367,Q616,0),611-INDEX(Calc!$AQ$2:$AQ$367,Q616)))</f>
        <v/>
      </c>
    </row>
    <row r="617">
      <c r="B617" s="71">
        <f>IF(R617="","",612)</f>
        <v/>
      </c>
      <c r="C617" s="75">
        <f>IF(R617="","",IF(INDEX('Recurring Schedule'!$C$6:$C$45,R617)="","",INDEX('Recurring Schedule'!$C$6:$C$45,R617)))</f>
        <v/>
      </c>
      <c r="D617" s="73">
        <f>IF(R617="","",IF(INDEX('Recurring Schedule'!$D$6:$D$45,R617)="","",INDEX('Recurring Schedule'!$D$6:$D$45,R617)))</f>
        <v/>
      </c>
      <c r="E617" s="76">
        <f>IF(Q617="","",INDEX(Calc!$A$2:$A$367,Q617))</f>
        <v/>
      </c>
      <c r="F617" s="72">
        <f>IF(OR(C617="",E617=""),"",E617-Setup!$D$7)</f>
        <v/>
      </c>
      <c r="G617" s="77">
        <f>IF(R617="","",IF(INDEX('Recurring Schedule'!$H$6:$H$45,R617)="","",INDEX('Recurring Schedule'!$H$6:$H$45,R617)))</f>
        <v/>
      </c>
      <c r="H617" s="77">
        <f>IF(R617="","",IF(INDEX('Recurring Schedule'!$I$6:$I$45,R617)="","",INDEX('Recurring Schedule'!$I$6:$I$45,R617)))</f>
        <v/>
      </c>
      <c r="I617" s="73">
        <f>IF(OR(G617="",H617=""),"",TRIM(IF(HOUR(H617-G617)&gt;0,HOUR(H617-G617)&amp;" hr ","")&amp;IF(MINUTE(H617-G617)&gt;0,MINUTE(H617-G617)&amp;" min","")))</f>
        <v/>
      </c>
      <c r="J617" s="66" t="n"/>
      <c r="K617" s="70" t="n"/>
      <c r="L617" s="73">
        <f>IF(R617="","",IF(INDEX('Recurring Schedule'!$J$6:$J$45,R617)="","",INDEX('Recurring Schedule'!$J$6:$J$45,R617)))</f>
        <v/>
      </c>
      <c r="M617" s="73">
        <f>IF(R617="","",IF(INDEX('Recurring Schedule'!$K$6:$K$45,R617)="","",INDEX('Recurring Schedule'!$K$6:$K$45,R617)))</f>
        <v/>
      </c>
      <c r="N617" s="73">
        <f>IF(R617="","",IF(INDEX('Recurring Schedule'!$L$6:$L$45,R617)="","",INDEX('Recurring Schedule'!$L$6:$L$45,R617)))</f>
        <v/>
      </c>
      <c r="O617" s="73">
        <f>IF(C617="","",IF(AND(OR(L617="1-Urgent",L617="2-High"),M617="✓"),"DO FIRST",IF(M617="✓","SCHEDULE",IF(OR(L617="1-Urgent",L617="2-High"),"DELEGATE","DELETE"))))</f>
        <v/>
      </c>
      <c r="P617" s="65" t="n"/>
      <c r="Q617">
        <f>IF(612&gt;Calc!$AQ$368,"",MATCH(611,Calc!$AQ$2:$AQ$367,1))</f>
        <v/>
      </c>
      <c r="R617">
        <f>IF(Q617="","",SMALL(INDEX(Calc!$B$2:$AO$367,Q617,0),612-INDEX(Calc!$AQ$2:$AQ$367,Q617)))</f>
        <v/>
      </c>
    </row>
    <row r="618">
      <c r="B618" s="64">
        <f>IF(R618="","",613)</f>
        <v/>
      </c>
      <c r="C618" s="37">
        <f>IF(R618="","",IF(INDEX('Recurring Schedule'!$C$6:$C$45,R618)="","",INDEX('Recurring Schedule'!$C$6:$C$45,R618)))</f>
        <v/>
      </c>
      <c r="D618" s="36">
        <f>IF(R618="","",IF(INDEX('Recurring Schedule'!$D$6:$D$45,R618)="","",INDEX('Recurring Schedule'!$D$6:$D$45,R618)))</f>
        <v/>
      </c>
      <c r="E618" s="38">
        <f>IF(Q618="","",INDEX(Calc!$A$2:$A$367,Q618))</f>
        <v/>
      </c>
      <c r="F618" s="68">
        <f>IF(OR(C618="",E618=""),"",E618-Setup!$D$7)</f>
        <v/>
      </c>
      <c r="G618" s="74">
        <f>IF(R618="","",IF(INDEX('Recurring Schedule'!$H$6:$H$45,R618)="","",INDEX('Recurring Schedule'!$H$6:$H$45,R618)))</f>
        <v/>
      </c>
      <c r="H618" s="74">
        <f>IF(R618="","",IF(INDEX('Recurring Schedule'!$I$6:$I$45,R618)="","",INDEX('Recurring Schedule'!$I$6:$I$45,R618)))</f>
        <v/>
      </c>
      <c r="I618" s="36">
        <f>IF(OR(G618="",H618=""),"",TRIM(IF(HOUR(H618-G618)&gt;0,HOUR(H618-G618)&amp;" hr ","")&amp;IF(MINUTE(H618-G618)&gt;0,MINUTE(H618-G618)&amp;" min","")))</f>
        <v/>
      </c>
      <c r="J618" s="66" t="n"/>
      <c r="K618" s="70" t="n"/>
      <c r="L618" s="36">
        <f>IF(R618="","",IF(INDEX('Recurring Schedule'!$J$6:$J$45,R618)="","",INDEX('Recurring Schedule'!$J$6:$J$45,R618)))</f>
        <v/>
      </c>
      <c r="M618" s="36">
        <f>IF(R618="","",IF(INDEX('Recurring Schedule'!$K$6:$K$45,R618)="","",INDEX('Recurring Schedule'!$K$6:$K$45,R618)))</f>
        <v/>
      </c>
      <c r="N618" s="36">
        <f>IF(R618="","",IF(INDEX('Recurring Schedule'!$L$6:$L$45,R618)="","",INDEX('Recurring Schedule'!$L$6:$L$45,R618)))</f>
        <v/>
      </c>
      <c r="O618" s="36">
        <f>IF(C618="","",IF(AND(OR(L618="1-Urgent",L618="2-High"),M618="✓"),"DO FIRST",IF(M618="✓","SCHEDULE",IF(OR(L618="1-Urgent",L618="2-High"),"DELEGATE","DELETE"))))</f>
        <v/>
      </c>
      <c r="P618" s="65" t="n"/>
      <c r="Q618">
        <f>IF(613&gt;Calc!$AQ$368,"",MATCH(612,Calc!$AQ$2:$AQ$367,1))</f>
        <v/>
      </c>
      <c r="R618">
        <f>IF(Q618="","",SMALL(INDEX(Calc!$B$2:$AO$367,Q618,0),613-INDEX(Calc!$AQ$2:$AQ$367,Q618)))</f>
        <v/>
      </c>
    </row>
    <row r="619">
      <c r="B619" s="71">
        <f>IF(R619="","",614)</f>
        <v/>
      </c>
      <c r="C619" s="75">
        <f>IF(R619="","",IF(INDEX('Recurring Schedule'!$C$6:$C$45,R619)="","",INDEX('Recurring Schedule'!$C$6:$C$45,R619)))</f>
        <v/>
      </c>
      <c r="D619" s="73">
        <f>IF(R619="","",IF(INDEX('Recurring Schedule'!$D$6:$D$45,R619)="","",INDEX('Recurring Schedule'!$D$6:$D$45,R619)))</f>
        <v/>
      </c>
      <c r="E619" s="76">
        <f>IF(Q619="","",INDEX(Calc!$A$2:$A$367,Q619))</f>
        <v/>
      </c>
      <c r="F619" s="72">
        <f>IF(OR(C619="",E619=""),"",E619-Setup!$D$7)</f>
        <v/>
      </c>
      <c r="G619" s="77">
        <f>IF(R619="","",IF(INDEX('Recurring Schedule'!$H$6:$H$45,R619)="","",INDEX('Recurring Schedule'!$H$6:$H$45,R619)))</f>
        <v/>
      </c>
      <c r="H619" s="77">
        <f>IF(R619="","",IF(INDEX('Recurring Schedule'!$I$6:$I$45,R619)="","",INDEX('Recurring Schedule'!$I$6:$I$45,R619)))</f>
        <v/>
      </c>
      <c r="I619" s="73">
        <f>IF(OR(G619="",H619=""),"",TRIM(IF(HOUR(H619-G619)&gt;0,HOUR(H619-G619)&amp;" hr ","")&amp;IF(MINUTE(H619-G619)&gt;0,MINUTE(H619-G619)&amp;" min","")))</f>
        <v/>
      </c>
      <c r="J619" s="66" t="n"/>
      <c r="K619" s="70" t="n"/>
      <c r="L619" s="73">
        <f>IF(R619="","",IF(INDEX('Recurring Schedule'!$J$6:$J$45,R619)="","",INDEX('Recurring Schedule'!$J$6:$J$45,R619)))</f>
        <v/>
      </c>
      <c r="M619" s="73">
        <f>IF(R619="","",IF(INDEX('Recurring Schedule'!$K$6:$K$45,R619)="","",INDEX('Recurring Schedule'!$K$6:$K$45,R619)))</f>
        <v/>
      </c>
      <c r="N619" s="73">
        <f>IF(R619="","",IF(INDEX('Recurring Schedule'!$L$6:$L$45,R619)="","",INDEX('Recurring Schedule'!$L$6:$L$45,R619)))</f>
        <v/>
      </c>
      <c r="O619" s="73">
        <f>IF(C619="","",IF(AND(OR(L619="1-Urgent",L619="2-High"),M619="✓"),"DO FIRST",IF(M619="✓","SCHEDULE",IF(OR(L619="1-Urgent",L619="2-High"),"DELEGATE","DELETE"))))</f>
        <v/>
      </c>
      <c r="P619" s="65" t="n"/>
      <c r="Q619">
        <f>IF(614&gt;Calc!$AQ$368,"",MATCH(613,Calc!$AQ$2:$AQ$367,1))</f>
        <v/>
      </c>
      <c r="R619">
        <f>IF(Q619="","",SMALL(INDEX(Calc!$B$2:$AO$367,Q619,0),614-INDEX(Calc!$AQ$2:$AQ$367,Q619)))</f>
        <v/>
      </c>
    </row>
    <row r="620">
      <c r="B620" s="64">
        <f>IF(R620="","",615)</f>
        <v/>
      </c>
      <c r="C620" s="37">
        <f>IF(R620="","",IF(INDEX('Recurring Schedule'!$C$6:$C$45,R620)="","",INDEX('Recurring Schedule'!$C$6:$C$45,R620)))</f>
        <v/>
      </c>
      <c r="D620" s="36">
        <f>IF(R620="","",IF(INDEX('Recurring Schedule'!$D$6:$D$45,R620)="","",INDEX('Recurring Schedule'!$D$6:$D$45,R620)))</f>
        <v/>
      </c>
      <c r="E620" s="38">
        <f>IF(Q620="","",INDEX(Calc!$A$2:$A$367,Q620))</f>
        <v/>
      </c>
      <c r="F620" s="68">
        <f>IF(OR(C620="",E620=""),"",E620-Setup!$D$7)</f>
        <v/>
      </c>
      <c r="G620" s="74">
        <f>IF(R620="","",IF(INDEX('Recurring Schedule'!$H$6:$H$45,R620)="","",INDEX('Recurring Schedule'!$H$6:$H$45,R620)))</f>
        <v/>
      </c>
      <c r="H620" s="74">
        <f>IF(R620="","",IF(INDEX('Recurring Schedule'!$I$6:$I$45,R620)="","",INDEX('Recurring Schedule'!$I$6:$I$45,R620)))</f>
        <v/>
      </c>
      <c r="I620" s="36">
        <f>IF(OR(G620="",H620=""),"",TRIM(IF(HOUR(H620-G620)&gt;0,HOUR(H620-G620)&amp;" hr ","")&amp;IF(MINUTE(H620-G620)&gt;0,MINUTE(H620-G620)&amp;" min","")))</f>
        <v/>
      </c>
      <c r="J620" s="66" t="n"/>
      <c r="K620" s="70" t="n"/>
      <c r="L620" s="36">
        <f>IF(R620="","",IF(INDEX('Recurring Schedule'!$J$6:$J$45,R620)="","",INDEX('Recurring Schedule'!$J$6:$J$45,R620)))</f>
        <v/>
      </c>
      <c r="M620" s="36">
        <f>IF(R620="","",IF(INDEX('Recurring Schedule'!$K$6:$K$45,R620)="","",INDEX('Recurring Schedule'!$K$6:$K$45,R620)))</f>
        <v/>
      </c>
      <c r="N620" s="36">
        <f>IF(R620="","",IF(INDEX('Recurring Schedule'!$L$6:$L$45,R620)="","",INDEX('Recurring Schedule'!$L$6:$L$45,R620)))</f>
        <v/>
      </c>
      <c r="O620" s="36">
        <f>IF(C620="","",IF(AND(OR(L620="1-Urgent",L620="2-High"),M620="✓"),"DO FIRST",IF(M620="✓","SCHEDULE",IF(OR(L620="1-Urgent",L620="2-High"),"DELEGATE","DELETE"))))</f>
        <v/>
      </c>
      <c r="P620" s="65" t="n"/>
      <c r="Q620">
        <f>IF(615&gt;Calc!$AQ$368,"",MATCH(614,Calc!$AQ$2:$AQ$367,1))</f>
        <v/>
      </c>
      <c r="R620">
        <f>IF(Q620="","",SMALL(INDEX(Calc!$B$2:$AO$367,Q620,0),615-INDEX(Calc!$AQ$2:$AQ$367,Q620)))</f>
        <v/>
      </c>
    </row>
    <row r="621">
      <c r="B621" s="71">
        <f>IF(R621="","",616)</f>
        <v/>
      </c>
      <c r="C621" s="75">
        <f>IF(R621="","",IF(INDEX('Recurring Schedule'!$C$6:$C$45,R621)="","",INDEX('Recurring Schedule'!$C$6:$C$45,R621)))</f>
        <v/>
      </c>
      <c r="D621" s="73">
        <f>IF(R621="","",IF(INDEX('Recurring Schedule'!$D$6:$D$45,R621)="","",INDEX('Recurring Schedule'!$D$6:$D$45,R621)))</f>
        <v/>
      </c>
      <c r="E621" s="76">
        <f>IF(Q621="","",INDEX(Calc!$A$2:$A$367,Q621))</f>
        <v/>
      </c>
      <c r="F621" s="72">
        <f>IF(OR(C621="",E621=""),"",E621-Setup!$D$7)</f>
        <v/>
      </c>
      <c r="G621" s="77">
        <f>IF(R621="","",IF(INDEX('Recurring Schedule'!$H$6:$H$45,R621)="","",INDEX('Recurring Schedule'!$H$6:$H$45,R621)))</f>
        <v/>
      </c>
      <c r="H621" s="77">
        <f>IF(R621="","",IF(INDEX('Recurring Schedule'!$I$6:$I$45,R621)="","",INDEX('Recurring Schedule'!$I$6:$I$45,R621)))</f>
        <v/>
      </c>
      <c r="I621" s="73">
        <f>IF(OR(G621="",H621=""),"",TRIM(IF(HOUR(H621-G621)&gt;0,HOUR(H621-G621)&amp;" hr ","")&amp;IF(MINUTE(H621-G621)&gt;0,MINUTE(H621-G621)&amp;" min","")))</f>
        <v/>
      </c>
      <c r="J621" s="66" t="n"/>
      <c r="K621" s="70" t="n"/>
      <c r="L621" s="73">
        <f>IF(R621="","",IF(INDEX('Recurring Schedule'!$J$6:$J$45,R621)="","",INDEX('Recurring Schedule'!$J$6:$J$45,R621)))</f>
        <v/>
      </c>
      <c r="M621" s="73">
        <f>IF(R621="","",IF(INDEX('Recurring Schedule'!$K$6:$K$45,R621)="","",INDEX('Recurring Schedule'!$K$6:$K$45,R621)))</f>
        <v/>
      </c>
      <c r="N621" s="73">
        <f>IF(R621="","",IF(INDEX('Recurring Schedule'!$L$6:$L$45,R621)="","",INDEX('Recurring Schedule'!$L$6:$L$45,R621)))</f>
        <v/>
      </c>
      <c r="O621" s="73">
        <f>IF(C621="","",IF(AND(OR(L621="1-Urgent",L621="2-High"),M621="✓"),"DO FIRST",IF(M621="✓","SCHEDULE",IF(OR(L621="1-Urgent",L621="2-High"),"DELEGATE","DELETE"))))</f>
        <v/>
      </c>
      <c r="P621" s="65" t="n"/>
      <c r="Q621">
        <f>IF(616&gt;Calc!$AQ$368,"",MATCH(615,Calc!$AQ$2:$AQ$367,1))</f>
        <v/>
      </c>
      <c r="R621">
        <f>IF(Q621="","",SMALL(INDEX(Calc!$B$2:$AO$367,Q621,0),616-INDEX(Calc!$AQ$2:$AQ$367,Q621)))</f>
        <v/>
      </c>
    </row>
    <row r="622">
      <c r="B622" s="64">
        <f>IF(R622="","",617)</f>
        <v/>
      </c>
      <c r="C622" s="37">
        <f>IF(R622="","",IF(INDEX('Recurring Schedule'!$C$6:$C$45,R622)="","",INDEX('Recurring Schedule'!$C$6:$C$45,R622)))</f>
        <v/>
      </c>
      <c r="D622" s="36">
        <f>IF(R622="","",IF(INDEX('Recurring Schedule'!$D$6:$D$45,R622)="","",INDEX('Recurring Schedule'!$D$6:$D$45,R622)))</f>
        <v/>
      </c>
      <c r="E622" s="38">
        <f>IF(Q622="","",INDEX(Calc!$A$2:$A$367,Q622))</f>
        <v/>
      </c>
      <c r="F622" s="68">
        <f>IF(OR(C622="",E622=""),"",E622-Setup!$D$7)</f>
        <v/>
      </c>
      <c r="G622" s="74">
        <f>IF(R622="","",IF(INDEX('Recurring Schedule'!$H$6:$H$45,R622)="","",INDEX('Recurring Schedule'!$H$6:$H$45,R622)))</f>
        <v/>
      </c>
      <c r="H622" s="74">
        <f>IF(R622="","",IF(INDEX('Recurring Schedule'!$I$6:$I$45,R622)="","",INDEX('Recurring Schedule'!$I$6:$I$45,R622)))</f>
        <v/>
      </c>
      <c r="I622" s="36">
        <f>IF(OR(G622="",H622=""),"",TRIM(IF(HOUR(H622-G622)&gt;0,HOUR(H622-G622)&amp;" hr ","")&amp;IF(MINUTE(H622-G622)&gt;0,MINUTE(H622-G622)&amp;" min","")))</f>
        <v/>
      </c>
      <c r="J622" s="66" t="n"/>
      <c r="K622" s="70" t="n"/>
      <c r="L622" s="36">
        <f>IF(R622="","",IF(INDEX('Recurring Schedule'!$J$6:$J$45,R622)="","",INDEX('Recurring Schedule'!$J$6:$J$45,R622)))</f>
        <v/>
      </c>
      <c r="M622" s="36">
        <f>IF(R622="","",IF(INDEX('Recurring Schedule'!$K$6:$K$45,R622)="","",INDEX('Recurring Schedule'!$K$6:$K$45,R622)))</f>
        <v/>
      </c>
      <c r="N622" s="36">
        <f>IF(R622="","",IF(INDEX('Recurring Schedule'!$L$6:$L$45,R622)="","",INDEX('Recurring Schedule'!$L$6:$L$45,R622)))</f>
        <v/>
      </c>
      <c r="O622" s="36">
        <f>IF(C622="","",IF(AND(OR(L622="1-Urgent",L622="2-High"),M622="✓"),"DO FIRST",IF(M622="✓","SCHEDULE",IF(OR(L622="1-Urgent",L622="2-High"),"DELEGATE","DELETE"))))</f>
        <v/>
      </c>
      <c r="P622" s="65" t="n"/>
      <c r="Q622">
        <f>IF(617&gt;Calc!$AQ$368,"",MATCH(616,Calc!$AQ$2:$AQ$367,1))</f>
        <v/>
      </c>
      <c r="R622">
        <f>IF(Q622="","",SMALL(INDEX(Calc!$B$2:$AO$367,Q622,0),617-INDEX(Calc!$AQ$2:$AQ$367,Q622)))</f>
        <v/>
      </c>
    </row>
    <row r="623">
      <c r="B623" s="71">
        <f>IF(R623="","",618)</f>
        <v/>
      </c>
      <c r="C623" s="75">
        <f>IF(R623="","",IF(INDEX('Recurring Schedule'!$C$6:$C$45,R623)="","",INDEX('Recurring Schedule'!$C$6:$C$45,R623)))</f>
        <v/>
      </c>
      <c r="D623" s="73">
        <f>IF(R623="","",IF(INDEX('Recurring Schedule'!$D$6:$D$45,R623)="","",INDEX('Recurring Schedule'!$D$6:$D$45,R623)))</f>
        <v/>
      </c>
      <c r="E623" s="76">
        <f>IF(Q623="","",INDEX(Calc!$A$2:$A$367,Q623))</f>
        <v/>
      </c>
      <c r="F623" s="72">
        <f>IF(OR(C623="",E623=""),"",E623-Setup!$D$7)</f>
        <v/>
      </c>
      <c r="G623" s="77">
        <f>IF(R623="","",IF(INDEX('Recurring Schedule'!$H$6:$H$45,R623)="","",INDEX('Recurring Schedule'!$H$6:$H$45,R623)))</f>
        <v/>
      </c>
      <c r="H623" s="77">
        <f>IF(R623="","",IF(INDEX('Recurring Schedule'!$I$6:$I$45,R623)="","",INDEX('Recurring Schedule'!$I$6:$I$45,R623)))</f>
        <v/>
      </c>
      <c r="I623" s="73">
        <f>IF(OR(G623="",H623=""),"",TRIM(IF(HOUR(H623-G623)&gt;0,HOUR(H623-G623)&amp;" hr ","")&amp;IF(MINUTE(H623-G623)&gt;0,MINUTE(H623-G623)&amp;" min","")))</f>
        <v/>
      </c>
      <c r="J623" s="66" t="n"/>
      <c r="K623" s="70" t="n"/>
      <c r="L623" s="73">
        <f>IF(R623="","",IF(INDEX('Recurring Schedule'!$J$6:$J$45,R623)="","",INDEX('Recurring Schedule'!$J$6:$J$45,R623)))</f>
        <v/>
      </c>
      <c r="M623" s="73">
        <f>IF(R623="","",IF(INDEX('Recurring Schedule'!$K$6:$K$45,R623)="","",INDEX('Recurring Schedule'!$K$6:$K$45,R623)))</f>
        <v/>
      </c>
      <c r="N623" s="73">
        <f>IF(R623="","",IF(INDEX('Recurring Schedule'!$L$6:$L$45,R623)="","",INDEX('Recurring Schedule'!$L$6:$L$45,R623)))</f>
        <v/>
      </c>
      <c r="O623" s="73">
        <f>IF(C623="","",IF(AND(OR(L623="1-Urgent",L623="2-High"),M623="✓"),"DO FIRST",IF(M623="✓","SCHEDULE",IF(OR(L623="1-Urgent",L623="2-High"),"DELEGATE","DELETE"))))</f>
        <v/>
      </c>
      <c r="P623" s="65" t="n"/>
      <c r="Q623">
        <f>IF(618&gt;Calc!$AQ$368,"",MATCH(617,Calc!$AQ$2:$AQ$367,1))</f>
        <v/>
      </c>
      <c r="R623">
        <f>IF(Q623="","",SMALL(INDEX(Calc!$B$2:$AO$367,Q623,0),618-INDEX(Calc!$AQ$2:$AQ$367,Q623)))</f>
        <v/>
      </c>
    </row>
    <row r="624">
      <c r="B624" s="64">
        <f>IF(R624="","",619)</f>
        <v/>
      </c>
      <c r="C624" s="37">
        <f>IF(R624="","",IF(INDEX('Recurring Schedule'!$C$6:$C$45,R624)="","",INDEX('Recurring Schedule'!$C$6:$C$45,R624)))</f>
        <v/>
      </c>
      <c r="D624" s="36">
        <f>IF(R624="","",IF(INDEX('Recurring Schedule'!$D$6:$D$45,R624)="","",INDEX('Recurring Schedule'!$D$6:$D$45,R624)))</f>
        <v/>
      </c>
      <c r="E624" s="38">
        <f>IF(Q624="","",INDEX(Calc!$A$2:$A$367,Q624))</f>
        <v/>
      </c>
      <c r="F624" s="68">
        <f>IF(OR(C624="",E624=""),"",E624-Setup!$D$7)</f>
        <v/>
      </c>
      <c r="G624" s="74">
        <f>IF(R624="","",IF(INDEX('Recurring Schedule'!$H$6:$H$45,R624)="","",INDEX('Recurring Schedule'!$H$6:$H$45,R624)))</f>
        <v/>
      </c>
      <c r="H624" s="74">
        <f>IF(R624="","",IF(INDEX('Recurring Schedule'!$I$6:$I$45,R624)="","",INDEX('Recurring Schedule'!$I$6:$I$45,R624)))</f>
        <v/>
      </c>
      <c r="I624" s="36">
        <f>IF(OR(G624="",H624=""),"",TRIM(IF(HOUR(H624-G624)&gt;0,HOUR(H624-G624)&amp;" hr ","")&amp;IF(MINUTE(H624-G624)&gt;0,MINUTE(H624-G624)&amp;" min","")))</f>
        <v/>
      </c>
      <c r="J624" s="66" t="n"/>
      <c r="K624" s="70" t="n"/>
      <c r="L624" s="36">
        <f>IF(R624="","",IF(INDEX('Recurring Schedule'!$J$6:$J$45,R624)="","",INDEX('Recurring Schedule'!$J$6:$J$45,R624)))</f>
        <v/>
      </c>
      <c r="M624" s="36">
        <f>IF(R624="","",IF(INDEX('Recurring Schedule'!$K$6:$K$45,R624)="","",INDEX('Recurring Schedule'!$K$6:$K$45,R624)))</f>
        <v/>
      </c>
      <c r="N624" s="36">
        <f>IF(R624="","",IF(INDEX('Recurring Schedule'!$L$6:$L$45,R624)="","",INDEX('Recurring Schedule'!$L$6:$L$45,R624)))</f>
        <v/>
      </c>
      <c r="O624" s="36">
        <f>IF(C624="","",IF(AND(OR(L624="1-Urgent",L624="2-High"),M624="✓"),"DO FIRST",IF(M624="✓","SCHEDULE",IF(OR(L624="1-Urgent",L624="2-High"),"DELEGATE","DELETE"))))</f>
        <v/>
      </c>
      <c r="P624" s="65" t="n"/>
      <c r="Q624">
        <f>IF(619&gt;Calc!$AQ$368,"",MATCH(618,Calc!$AQ$2:$AQ$367,1))</f>
        <v/>
      </c>
      <c r="R624">
        <f>IF(Q624="","",SMALL(INDEX(Calc!$B$2:$AO$367,Q624,0),619-INDEX(Calc!$AQ$2:$AQ$367,Q624)))</f>
        <v/>
      </c>
    </row>
    <row r="625">
      <c r="B625" s="71">
        <f>IF(R625="","",620)</f>
        <v/>
      </c>
      <c r="C625" s="75">
        <f>IF(R625="","",IF(INDEX('Recurring Schedule'!$C$6:$C$45,R625)="","",INDEX('Recurring Schedule'!$C$6:$C$45,R625)))</f>
        <v/>
      </c>
      <c r="D625" s="73">
        <f>IF(R625="","",IF(INDEX('Recurring Schedule'!$D$6:$D$45,R625)="","",INDEX('Recurring Schedule'!$D$6:$D$45,R625)))</f>
        <v/>
      </c>
      <c r="E625" s="76">
        <f>IF(Q625="","",INDEX(Calc!$A$2:$A$367,Q625))</f>
        <v/>
      </c>
      <c r="F625" s="72">
        <f>IF(OR(C625="",E625=""),"",E625-Setup!$D$7)</f>
        <v/>
      </c>
      <c r="G625" s="77">
        <f>IF(R625="","",IF(INDEX('Recurring Schedule'!$H$6:$H$45,R625)="","",INDEX('Recurring Schedule'!$H$6:$H$45,R625)))</f>
        <v/>
      </c>
      <c r="H625" s="77">
        <f>IF(R625="","",IF(INDEX('Recurring Schedule'!$I$6:$I$45,R625)="","",INDEX('Recurring Schedule'!$I$6:$I$45,R625)))</f>
        <v/>
      </c>
      <c r="I625" s="73">
        <f>IF(OR(G625="",H625=""),"",TRIM(IF(HOUR(H625-G625)&gt;0,HOUR(H625-G625)&amp;" hr ","")&amp;IF(MINUTE(H625-G625)&gt;0,MINUTE(H625-G625)&amp;" min","")))</f>
        <v/>
      </c>
      <c r="J625" s="66" t="n"/>
      <c r="K625" s="70" t="n"/>
      <c r="L625" s="73">
        <f>IF(R625="","",IF(INDEX('Recurring Schedule'!$J$6:$J$45,R625)="","",INDEX('Recurring Schedule'!$J$6:$J$45,R625)))</f>
        <v/>
      </c>
      <c r="M625" s="73">
        <f>IF(R625="","",IF(INDEX('Recurring Schedule'!$K$6:$K$45,R625)="","",INDEX('Recurring Schedule'!$K$6:$K$45,R625)))</f>
        <v/>
      </c>
      <c r="N625" s="73">
        <f>IF(R625="","",IF(INDEX('Recurring Schedule'!$L$6:$L$45,R625)="","",INDEX('Recurring Schedule'!$L$6:$L$45,R625)))</f>
        <v/>
      </c>
      <c r="O625" s="73">
        <f>IF(C625="","",IF(AND(OR(L625="1-Urgent",L625="2-High"),M625="✓"),"DO FIRST",IF(M625="✓","SCHEDULE",IF(OR(L625="1-Urgent",L625="2-High"),"DELEGATE","DELETE"))))</f>
        <v/>
      </c>
      <c r="P625" s="65" t="n"/>
      <c r="Q625">
        <f>IF(620&gt;Calc!$AQ$368,"",MATCH(619,Calc!$AQ$2:$AQ$367,1))</f>
        <v/>
      </c>
      <c r="R625">
        <f>IF(Q625="","",SMALL(INDEX(Calc!$B$2:$AO$367,Q625,0),620-INDEX(Calc!$AQ$2:$AQ$367,Q625)))</f>
        <v/>
      </c>
    </row>
    <row r="626">
      <c r="B626" s="64">
        <f>IF(R626="","",621)</f>
        <v/>
      </c>
      <c r="C626" s="37">
        <f>IF(R626="","",IF(INDEX('Recurring Schedule'!$C$6:$C$45,R626)="","",INDEX('Recurring Schedule'!$C$6:$C$45,R626)))</f>
        <v/>
      </c>
      <c r="D626" s="36">
        <f>IF(R626="","",IF(INDEX('Recurring Schedule'!$D$6:$D$45,R626)="","",INDEX('Recurring Schedule'!$D$6:$D$45,R626)))</f>
        <v/>
      </c>
      <c r="E626" s="38">
        <f>IF(Q626="","",INDEX(Calc!$A$2:$A$367,Q626))</f>
        <v/>
      </c>
      <c r="F626" s="68">
        <f>IF(OR(C626="",E626=""),"",E626-Setup!$D$7)</f>
        <v/>
      </c>
      <c r="G626" s="74">
        <f>IF(R626="","",IF(INDEX('Recurring Schedule'!$H$6:$H$45,R626)="","",INDEX('Recurring Schedule'!$H$6:$H$45,R626)))</f>
        <v/>
      </c>
      <c r="H626" s="74">
        <f>IF(R626="","",IF(INDEX('Recurring Schedule'!$I$6:$I$45,R626)="","",INDEX('Recurring Schedule'!$I$6:$I$45,R626)))</f>
        <v/>
      </c>
      <c r="I626" s="36">
        <f>IF(OR(G626="",H626=""),"",TRIM(IF(HOUR(H626-G626)&gt;0,HOUR(H626-G626)&amp;" hr ","")&amp;IF(MINUTE(H626-G626)&gt;0,MINUTE(H626-G626)&amp;" min","")))</f>
        <v/>
      </c>
      <c r="J626" s="66" t="n"/>
      <c r="K626" s="70" t="n"/>
      <c r="L626" s="36">
        <f>IF(R626="","",IF(INDEX('Recurring Schedule'!$J$6:$J$45,R626)="","",INDEX('Recurring Schedule'!$J$6:$J$45,R626)))</f>
        <v/>
      </c>
      <c r="M626" s="36">
        <f>IF(R626="","",IF(INDEX('Recurring Schedule'!$K$6:$K$45,R626)="","",INDEX('Recurring Schedule'!$K$6:$K$45,R626)))</f>
        <v/>
      </c>
      <c r="N626" s="36">
        <f>IF(R626="","",IF(INDEX('Recurring Schedule'!$L$6:$L$45,R626)="","",INDEX('Recurring Schedule'!$L$6:$L$45,R626)))</f>
        <v/>
      </c>
      <c r="O626" s="36">
        <f>IF(C626="","",IF(AND(OR(L626="1-Urgent",L626="2-High"),M626="✓"),"DO FIRST",IF(M626="✓","SCHEDULE",IF(OR(L626="1-Urgent",L626="2-High"),"DELEGATE","DELETE"))))</f>
        <v/>
      </c>
      <c r="P626" s="65" t="n"/>
      <c r="Q626">
        <f>IF(621&gt;Calc!$AQ$368,"",MATCH(620,Calc!$AQ$2:$AQ$367,1))</f>
        <v/>
      </c>
      <c r="R626">
        <f>IF(Q626="","",SMALL(INDEX(Calc!$B$2:$AO$367,Q626,0),621-INDEX(Calc!$AQ$2:$AQ$367,Q626)))</f>
        <v/>
      </c>
    </row>
    <row r="627">
      <c r="B627" s="71">
        <f>IF(R627="","",622)</f>
        <v/>
      </c>
      <c r="C627" s="75">
        <f>IF(R627="","",IF(INDEX('Recurring Schedule'!$C$6:$C$45,R627)="","",INDEX('Recurring Schedule'!$C$6:$C$45,R627)))</f>
        <v/>
      </c>
      <c r="D627" s="73">
        <f>IF(R627="","",IF(INDEX('Recurring Schedule'!$D$6:$D$45,R627)="","",INDEX('Recurring Schedule'!$D$6:$D$45,R627)))</f>
        <v/>
      </c>
      <c r="E627" s="76">
        <f>IF(Q627="","",INDEX(Calc!$A$2:$A$367,Q627))</f>
        <v/>
      </c>
      <c r="F627" s="72">
        <f>IF(OR(C627="",E627=""),"",E627-Setup!$D$7)</f>
        <v/>
      </c>
      <c r="G627" s="77">
        <f>IF(R627="","",IF(INDEX('Recurring Schedule'!$H$6:$H$45,R627)="","",INDEX('Recurring Schedule'!$H$6:$H$45,R627)))</f>
        <v/>
      </c>
      <c r="H627" s="77">
        <f>IF(R627="","",IF(INDEX('Recurring Schedule'!$I$6:$I$45,R627)="","",INDEX('Recurring Schedule'!$I$6:$I$45,R627)))</f>
        <v/>
      </c>
      <c r="I627" s="73">
        <f>IF(OR(G627="",H627=""),"",TRIM(IF(HOUR(H627-G627)&gt;0,HOUR(H627-G627)&amp;" hr ","")&amp;IF(MINUTE(H627-G627)&gt;0,MINUTE(H627-G627)&amp;" min","")))</f>
        <v/>
      </c>
      <c r="J627" s="66" t="n"/>
      <c r="K627" s="70" t="n"/>
      <c r="L627" s="73">
        <f>IF(R627="","",IF(INDEX('Recurring Schedule'!$J$6:$J$45,R627)="","",INDEX('Recurring Schedule'!$J$6:$J$45,R627)))</f>
        <v/>
      </c>
      <c r="M627" s="73">
        <f>IF(R627="","",IF(INDEX('Recurring Schedule'!$K$6:$K$45,R627)="","",INDEX('Recurring Schedule'!$K$6:$K$45,R627)))</f>
        <v/>
      </c>
      <c r="N627" s="73">
        <f>IF(R627="","",IF(INDEX('Recurring Schedule'!$L$6:$L$45,R627)="","",INDEX('Recurring Schedule'!$L$6:$L$45,R627)))</f>
        <v/>
      </c>
      <c r="O627" s="73">
        <f>IF(C627="","",IF(AND(OR(L627="1-Urgent",L627="2-High"),M627="✓"),"DO FIRST",IF(M627="✓","SCHEDULE",IF(OR(L627="1-Urgent",L627="2-High"),"DELEGATE","DELETE"))))</f>
        <v/>
      </c>
      <c r="P627" s="65" t="n"/>
      <c r="Q627">
        <f>IF(622&gt;Calc!$AQ$368,"",MATCH(621,Calc!$AQ$2:$AQ$367,1))</f>
        <v/>
      </c>
      <c r="R627">
        <f>IF(Q627="","",SMALL(INDEX(Calc!$B$2:$AO$367,Q627,0),622-INDEX(Calc!$AQ$2:$AQ$367,Q627)))</f>
        <v/>
      </c>
    </row>
    <row r="628">
      <c r="B628" s="64">
        <f>IF(R628="","",623)</f>
        <v/>
      </c>
      <c r="C628" s="37">
        <f>IF(R628="","",IF(INDEX('Recurring Schedule'!$C$6:$C$45,R628)="","",INDEX('Recurring Schedule'!$C$6:$C$45,R628)))</f>
        <v/>
      </c>
      <c r="D628" s="36">
        <f>IF(R628="","",IF(INDEX('Recurring Schedule'!$D$6:$D$45,R628)="","",INDEX('Recurring Schedule'!$D$6:$D$45,R628)))</f>
        <v/>
      </c>
      <c r="E628" s="38">
        <f>IF(Q628="","",INDEX(Calc!$A$2:$A$367,Q628))</f>
        <v/>
      </c>
      <c r="F628" s="68">
        <f>IF(OR(C628="",E628=""),"",E628-Setup!$D$7)</f>
        <v/>
      </c>
      <c r="G628" s="74">
        <f>IF(R628="","",IF(INDEX('Recurring Schedule'!$H$6:$H$45,R628)="","",INDEX('Recurring Schedule'!$H$6:$H$45,R628)))</f>
        <v/>
      </c>
      <c r="H628" s="74">
        <f>IF(R628="","",IF(INDEX('Recurring Schedule'!$I$6:$I$45,R628)="","",INDEX('Recurring Schedule'!$I$6:$I$45,R628)))</f>
        <v/>
      </c>
      <c r="I628" s="36">
        <f>IF(OR(G628="",H628=""),"",TRIM(IF(HOUR(H628-G628)&gt;0,HOUR(H628-G628)&amp;" hr ","")&amp;IF(MINUTE(H628-G628)&gt;0,MINUTE(H628-G628)&amp;" min","")))</f>
        <v/>
      </c>
      <c r="J628" s="66" t="n"/>
      <c r="K628" s="70" t="n"/>
      <c r="L628" s="36">
        <f>IF(R628="","",IF(INDEX('Recurring Schedule'!$J$6:$J$45,R628)="","",INDEX('Recurring Schedule'!$J$6:$J$45,R628)))</f>
        <v/>
      </c>
      <c r="M628" s="36">
        <f>IF(R628="","",IF(INDEX('Recurring Schedule'!$K$6:$K$45,R628)="","",INDEX('Recurring Schedule'!$K$6:$K$45,R628)))</f>
        <v/>
      </c>
      <c r="N628" s="36">
        <f>IF(R628="","",IF(INDEX('Recurring Schedule'!$L$6:$L$45,R628)="","",INDEX('Recurring Schedule'!$L$6:$L$45,R628)))</f>
        <v/>
      </c>
      <c r="O628" s="36">
        <f>IF(C628="","",IF(AND(OR(L628="1-Urgent",L628="2-High"),M628="✓"),"DO FIRST",IF(M628="✓","SCHEDULE",IF(OR(L628="1-Urgent",L628="2-High"),"DELEGATE","DELETE"))))</f>
        <v/>
      </c>
      <c r="P628" s="65" t="n"/>
      <c r="Q628">
        <f>IF(623&gt;Calc!$AQ$368,"",MATCH(622,Calc!$AQ$2:$AQ$367,1))</f>
        <v/>
      </c>
      <c r="R628">
        <f>IF(Q628="","",SMALL(INDEX(Calc!$B$2:$AO$367,Q628,0),623-INDEX(Calc!$AQ$2:$AQ$367,Q628)))</f>
        <v/>
      </c>
    </row>
    <row r="629">
      <c r="B629" s="71">
        <f>IF(R629="","",624)</f>
        <v/>
      </c>
      <c r="C629" s="75">
        <f>IF(R629="","",IF(INDEX('Recurring Schedule'!$C$6:$C$45,R629)="","",INDEX('Recurring Schedule'!$C$6:$C$45,R629)))</f>
        <v/>
      </c>
      <c r="D629" s="73">
        <f>IF(R629="","",IF(INDEX('Recurring Schedule'!$D$6:$D$45,R629)="","",INDEX('Recurring Schedule'!$D$6:$D$45,R629)))</f>
        <v/>
      </c>
      <c r="E629" s="76">
        <f>IF(Q629="","",INDEX(Calc!$A$2:$A$367,Q629))</f>
        <v/>
      </c>
      <c r="F629" s="72">
        <f>IF(OR(C629="",E629=""),"",E629-Setup!$D$7)</f>
        <v/>
      </c>
      <c r="G629" s="77">
        <f>IF(R629="","",IF(INDEX('Recurring Schedule'!$H$6:$H$45,R629)="","",INDEX('Recurring Schedule'!$H$6:$H$45,R629)))</f>
        <v/>
      </c>
      <c r="H629" s="77">
        <f>IF(R629="","",IF(INDEX('Recurring Schedule'!$I$6:$I$45,R629)="","",INDEX('Recurring Schedule'!$I$6:$I$45,R629)))</f>
        <v/>
      </c>
      <c r="I629" s="73">
        <f>IF(OR(G629="",H629=""),"",TRIM(IF(HOUR(H629-G629)&gt;0,HOUR(H629-G629)&amp;" hr ","")&amp;IF(MINUTE(H629-G629)&gt;0,MINUTE(H629-G629)&amp;" min","")))</f>
        <v/>
      </c>
      <c r="J629" s="66" t="n"/>
      <c r="K629" s="70" t="n"/>
      <c r="L629" s="73">
        <f>IF(R629="","",IF(INDEX('Recurring Schedule'!$J$6:$J$45,R629)="","",INDEX('Recurring Schedule'!$J$6:$J$45,R629)))</f>
        <v/>
      </c>
      <c r="M629" s="73">
        <f>IF(R629="","",IF(INDEX('Recurring Schedule'!$K$6:$K$45,R629)="","",INDEX('Recurring Schedule'!$K$6:$K$45,R629)))</f>
        <v/>
      </c>
      <c r="N629" s="73">
        <f>IF(R629="","",IF(INDEX('Recurring Schedule'!$L$6:$L$45,R629)="","",INDEX('Recurring Schedule'!$L$6:$L$45,R629)))</f>
        <v/>
      </c>
      <c r="O629" s="73">
        <f>IF(C629="","",IF(AND(OR(L629="1-Urgent",L629="2-High"),M629="✓"),"DO FIRST",IF(M629="✓","SCHEDULE",IF(OR(L629="1-Urgent",L629="2-High"),"DELEGATE","DELETE"))))</f>
        <v/>
      </c>
      <c r="P629" s="65" t="n"/>
      <c r="Q629">
        <f>IF(624&gt;Calc!$AQ$368,"",MATCH(623,Calc!$AQ$2:$AQ$367,1))</f>
        <v/>
      </c>
      <c r="R629">
        <f>IF(Q629="","",SMALL(INDEX(Calc!$B$2:$AO$367,Q629,0),624-INDEX(Calc!$AQ$2:$AQ$367,Q629)))</f>
        <v/>
      </c>
    </row>
    <row r="630">
      <c r="B630" s="64">
        <f>IF(R630="","",625)</f>
        <v/>
      </c>
      <c r="C630" s="37">
        <f>IF(R630="","",IF(INDEX('Recurring Schedule'!$C$6:$C$45,R630)="","",INDEX('Recurring Schedule'!$C$6:$C$45,R630)))</f>
        <v/>
      </c>
      <c r="D630" s="36">
        <f>IF(R630="","",IF(INDEX('Recurring Schedule'!$D$6:$D$45,R630)="","",INDEX('Recurring Schedule'!$D$6:$D$45,R630)))</f>
        <v/>
      </c>
      <c r="E630" s="38">
        <f>IF(Q630="","",INDEX(Calc!$A$2:$A$367,Q630))</f>
        <v/>
      </c>
      <c r="F630" s="68">
        <f>IF(OR(C630="",E630=""),"",E630-Setup!$D$7)</f>
        <v/>
      </c>
      <c r="G630" s="74">
        <f>IF(R630="","",IF(INDEX('Recurring Schedule'!$H$6:$H$45,R630)="","",INDEX('Recurring Schedule'!$H$6:$H$45,R630)))</f>
        <v/>
      </c>
      <c r="H630" s="74">
        <f>IF(R630="","",IF(INDEX('Recurring Schedule'!$I$6:$I$45,R630)="","",INDEX('Recurring Schedule'!$I$6:$I$45,R630)))</f>
        <v/>
      </c>
      <c r="I630" s="36">
        <f>IF(OR(G630="",H630=""),"",TRIM(IF(HOUR(H630-G630)&gt;0,HOUR(H630-G630)&amp;" hr ","")&amp;IF(MINUTE(H630-G630)&gt;0,MINUTE(H630-G630)&amp;" min","")))</f>
        <v/>
      </c>
      <c r="J630" s="66" t="n"/>
      <c r="K630" s="70" t="n"/>
      <c r="L630" s="36">
        <f>IF(R630="","",IF(INDEX('Recurring Schedule'!$J$6:$J$45,R630)="","",INDEX('Recurring Schedule'!$J$6:$J$45,R630)))</f>
        <v/>
      </c>
      <c r="M630" s="36">
        <f>IF(R630="","",IF(INDEX('Recurring Schedule'!$K$6:$K$45,R630)="","",INDEX('Recurring Schedule'!$K$6:$K$45,R630)))</f>
        <v/>
      </c>
      <c r="N630" s="36">
        <f>IF(R630="","",IF(INDEX('Recurring Schedule'!$L$6:$L$45,R630)="","",INDEX('Recurring Schedule'!$L$6:$L$45,R630)))</f>
        <v/>
      </c>
      <c r="O630" s="36">
        <f>IF(C630="","",IF(AND(OR(L630="1-Urgent",L630="2-High"),M630="✓"),"DO FIRST",IF(M630="✓","SCHEDULE",IF(OR(L630="1-Urgent",L630="2-High"),"DELEGATE","DELETE"))))</f>
        <v/>
      </c>
      <c r="P630" s="65" t="n"/>
      <c r="Q630">
        <f>IF(625&gt;Calc!$AQ$368,"",MATCH(624,Calc!$AQ$2:$AQ$367,1))</f>
        <v/>
      </c>
      <c r="R630">
        <f>IF(Q630="","",SMALL(INDEX(Calc!$B$2:$AO$367,Q630,0),625-INDEX(Calc!$AQ$2:$AQ$367,Q630)))</f>
        <v/>
      </c>
    </row>
    <row r="631">
      <c r="B631" s="71">
        <f>IF(R631="","",626)</f>
        <v/>
      </c>
      <c r="C631" s="75">
        <f>IF(R631="","",IF(INDEX('Recurring Schedule'!$C$6:$C$45,R631)="","",INDEX('Recurring Schedule'!$C$6:$C$45,R631)))</f>
        <v/>
      </c>
      <c r="D631" s="73">
        <f>IF(R631="","",IF(INDEX('Recurring Schedule'!$D$6:$D$45,R631)="","",INDEX('Recurring Schedule'!$D$6:$D$45,R631)))</f>
        <v/>
      </c>
      <c r="E631" s="76">
        <f>IF(Q631="","",INDEX(Calc!$A$2:$A$367,Q631))</f>
        <v/>
      </c>
      <c r="F631" s="72">
        <f>IF(OR(C631="",E631=""),"",E631-Setup!$D$7)</f>
        <v/>
      </c>
      <c r="G631" s="77">
        <f>IF(R631="","",IF(INDEX('Recurring Schedule'!$H$6:$H$45,R631)="","",INDEX('Recurring Schedule'!$H$6:$H$45,R631)))</f>
        <v/>
      </c>
      <c r="H631" s="77">
        <f>IF(R631="","",IF(INDEX('Recurring Schedule'!$I$6:$I$45,R631)="","",INDEX('Recurring Schedule'!$I$6:$I$45,R631)))</f>
        <v/>
      </c>
      <c r="I631" s="73">
        <f>IF(OR(G631="",H631=""),"",TRIM(IF(HOUR(H631-G631)&gt;0,HOUR(H631-G631)&amp;" hr ","")&amp;IF(MINUTE(H631-G631)&gt;0,MINUTE(H631-G631)&amp;" min","")))</f>
        <v/>
      </c>
      <c r="J631" s="66" t="n"/>
      <c r="K631" s="70" t="n"/>
      <c r="L631" s="73">
        <f>IF(R631="","",IF(INDEX('Recurring Schedule'!$J$6:$J$45,R631)="","",INDEX('Recurring Schedule'!$J$6:$J$45,R631)))</f>
        <v/>
      </c>
      <c r="M631" s="73">
        <f>IF(R631="","",IF(INDEX('Recurring Schedule'!$K$6:$K$45,R631)="","",INDEX('Recurring Schedule'!$K$6:$K$45,R631)))</f>
        <v/>
      </c>
      <c r="N631" s="73">
        <f>IF(R631="","",IF(INDEX('Recurring Schedule'!$L$6:$L$45,R631)="","",INDEX('Recurring Schedule'!$L$6:$L$45,R631)))</f>
        <v/>
      </c>
      <c r="O631" s="73">
        <f>IF(C631="","",IF(AND(OR(L631="1-Urgent",L631="2-High"),M631="✓"),"DO FIRST",IF(M631="✓","SCHEDULE",IF(OR(L631="1-Urgent",L631="2-High"),"DELEGATE","DELETE"))))</f>
        <v/>
      </c>
      <c r="P631" s="65" t="n"/>
      <c r="Q631">
        <f>IF(626&gt;Calc!$AQ$368,"",MATCH(625,Calc!$AQ$2:$AQ$367,1))</f>
        <v/>
      </c>
      <c r="R631">
        <f>IF(Q631="","",SMALL(INDEX(Calc!$B$2:$AO$367,Q631,0),626-INDEX(Calc!$AQ$2:$AQ$367,Q631)))</f>
        <v/>
      </c>
    </row>
    <row r="632">
      <c r="B632" s="64">
        <f>IF(R632="","",627)</f>
        <v/>
      </c>
      <c r="C632" s="37">
        <f>IF(R632="","",IF(INDEX('Recurring Schedule'!$C$6:$C$45,R632)="","",INDEX('Recurring Schedule'!$C$6:$C$45,R632)))</f>
        <v/>
      </c>
      <c r="D632" s="36">
        <f>IF(R632="","",IF(INDEX('Recurring Schedule'!$D$6:$D$45,R632)="","",INDEX('Recurring Schedule'!$D$6:$D$45,R632)))</f>
        <v/>
      </c>
      <c r="E632" s="38">
        <f>IF(Q632="","",INDEX(Calc!$A$2:$A$367,Q632))</f>
        <v/>
      </c>
      <c r="F632" s="68">
        <f>IF(OR(C632="",E632=""),"",E632-Setup!$D$7)</f>
        <v/>
      </c>
      <c r="G632" s="74">
        <f>IF(R632="","",IF(INDEX('Recurring Schedule'!$H$6:$H$45,R632)="","",INDEX('Recurring Schedule'!$H$6:$H$45,R632)))</f>
        <v/>
      </c>
      <c r="H632" s="74">
        <f>IF(R632="","",IF(INDEX('Recurring Schedule'!$I$6:$I$45,R632)="","",INDEX('Recurring Schedule'!$I$6:$I$45,R632)))</f>
        <v/>
      </c>
      <c r="I632" s="36">
        <f>IF(OR(G632="",H632=""),"",TRIM(IF(HOUR(H632-G632)&gt;0,HOUR(H632-G632)&amp;" hr ","")&amp;IF(MINUTE(H632-G632)&gt;0,MINUTE(H632-G632)&amp;" min","")))</f>
        <v/>
      </c>
      <c r="J632" s="66" t="n"/>
      <c r="K632" s="70" t="n"/>
      <c r="L632" s="36">
        <f>IF(R632="","",IF(INDEX('Recurring Schedule'!$J$6:$J$45,R632)="","",INDEX('Recurring Schedule'!$J$6:$J$45,R632)))</f>
        <v/>
      </c>
      <c r="M632" s="36">
        <f>IF(R632="","",IF(INDEX('Recurring Schedule'!$K$6:$K$45,R632)="","",INDEX('Recurring Schedule'!$K$6:$K$45,R632)))</f>
        <v/>
      </c>
      <c r="N632" s="36">
        <f>IF(R632="","",IF(INDEX('Recurring Schedule'!$L$6:$L$45,R632)="","",INDEX('Recurring Schedule'!$L$6:$L$45,R632)))</f>
        <v/>
      </c>
      <c r="O632" s="36">
        <f>IF(C632="","",IF(AND(OR(L632="1-Urgent",L632="2-High"),M632="✓"),"DO FIRST",IF(M632="✓","SCHEDULE",IF(OR(L632="1-Urgent",L632="2-High"),"DELEGATE","DELETE"))))</f>
        <v/>
      </c>
      <c r="P632" s="65" t="n"/>
      <c r="Q632">
        <f>IF(627&gt;Calc!$AQ$368,"",MATCH(626,Calc!$AQ$2:$AQ$367,1))</f>
        <v/>
      </c>
      <c r="R632">
        <f>IF(Q632="","",SMALL(INDEX(Calc!$B$2:$AO$367,Q632,0),627-INDEX(Calc!$AQ$2:$AQ$367,Q632)))</f>
        <v/>
      </c>
    </row>
    <row r="633">
      <c r="B633" s="71">
        <f>IF(R633="","",628)</f>
        <v/>
      </c>
      <c r="C633" s="75">
        <f>IF(R633="","",IF(INDEX('Recurring Schedule'!$C$6:$C$45,R633)="","",INDEX('Recurring Schedule'!$C$6:$C$45,R633)))</f>
        <v/>
      </c>
      <c r="D633" s="73">
        <f>IF(R633="","",IF(INDEX('Recurring Schedule'!$D$6:$D$45,R633)="","",INDEX('Recurring Schedule'!$D$6:$D$45,R633)))</f>
        <v/>
      </c>
      <c r="E633" s="76">
        <f>IF(Q633="","",INDEX(Calc!$A$2:$A$367,Q633))</f>
        <v/>
      </c>
      <c r="F633" s="72">
        <f>IF(OR(C633="",E633=""),"",E633-Setup!$D$7)</f>
        <v/>
      </c>
      <c r="G633" s="77">
        <f>IF(R633="","",IF(INDEX('Recurring Schedule'!$H$6:$H$45,R633)="","",INDEX('Recurring Schedule'!$H$6:$H$45,R633)))</f>
        <v/>
      </c>
      <c r="H633" s="77">
        <f>IF(R633="","",IF(INDEX('Recurring Schedule'!$I$6:$I$45,R633)="","",INDEX('Recurring Schedule'!$I$6:$I$45,R633)))</f>
        <v/>
      </c>
      <c r="I633" s="73">
        <f>IF(OR(G633="",H633=""),"",TRIM(IF(HOUR(H633-G633)&gt;0,HOUR(H633-G633)&amp;" hr ","")&amp;IF(MINUTE(H633-G633)&gt;0,MINUTE(H633-G633)&amp;" min","")))</f>
        <v/>
      </c>
      <c r="J633" s="66" t="n"/>
      <c r="K633" s="70" t="n"/>
      <c r="L633" s="73">
        <f>IF(R633="","",IF(INDEX('Recurring Schedule'!$J$6:$J$45,R633)="","",INDEX('Recurring Schedule'!$J$6:$J$45,R633)))</f>
        <v/>
      </c>
      <c r="M633" s="73">
        <f>IF(R633="","",IF(INDEX('Recurring Schedule'!$K$6:$K$45,R633)="","",INDEX('Recurring Schedule'!$K$6:$K$45,R633)))</f>
        <v/>
      </c>
      <c r="N633" s="73">
        <f>IF(R633="","",IF(INDEX('Recurring Schedule'!$L$6:$L$45,R633)="","",INDEX('Recurring Schedule'!$L$6:$L$45,R633)))</f>
        <v/>
      </c>
      <c r="O633" s="73">
        <f>IF(C633="","",IF(AND(OR(L633="1-Urgent",L633="2-High"),M633="✓"),"DO FIRST",IF(M633="✓","SCHEDULE",IF(OR(L633="1-Urgent",L633="2-High"),"DELEGATE","DELETE"))))</f>
        <v/>
      </c>
      <c r="P633" s="65" t="n"/>
      <c r="Q633">
        <f>IF(628&gt;Calc!$AQ$368,"",MATCH(627,Calc!$AQ$2:$AQ$367,1))</f>
        <v/>
      </c>
      <c r="R633">
        <f>IF(Q633="","",SMALL(INDEX(Calc!$B$2:$AO$367,Q633,0),628-INDEX(Calc!$AQ$2:$AQ$367,Q633)))</f>
        <v/>
      </c>
    </row>
    <row r="634">
      <c r="B634" s="64">
        <f>IF(R634="","",629)</f>
        <v/>
      </c>
      <c r="C634" s="37">
        <f>IF(R634="","",IF(INDEX('Recurring Schedule'!$C$6:$C$45,R634)="","",INDEX('Recurring Schedule'!$C$6:$C$45,R634)))</f>
        <v/>
      </c>
      <c r="D634" s="36">
        <f>IF(R634="","",IF(INDEX('Recurring Schedule'!$D$6:$D$45,R634)="","",INDEX('Recurring Schedule'!$D$6:$D$45,R634)))</f>
        <v/>
      </c>
      <c r="E634" s="38">
        <f>IF(Q634="","",INDEX(Calc!$A$2:$A$367,Q634))</f>
        <v/>
      </c>
      <c r="F634" s="68">
        <f>IF(OR(C634="",E634=""),"",E634-Setup!$D$7)</f>
        <v/>
      </c>
      <c r="G634" s="74">
        <f>IF(R634="","",IF(INDEX('Recurring Schedule'!$H$6:$H$45,R634)="","",INDEX('Recurring Schedule'!$H$6:$H$45,R634)))</f>
        <v/>
      </c>
      <c r="H634" s="74">
        <f>IF(R634="","",IF(INDEX('Recurring Schedule'!$I$6:$I$45,R634)="","",INDEX('Recurring Schedule'!$I$6:$I$45,R634)))</f>
        <v/>
      </c>
      <c r="I634" s="36">
        <f>IF(OR(G634="",H634=""),"",TRIM(IF(HOUR(H634-G634)&gt;0,HOUR(H634-G634)&amp;" hr ","")&amp;IF(MINUTE(H634-G634)&gt;0,MINUTE(H634-G634)&amp;" min","")))</f>
        <v/>
      </c>
      <c r="J634" s="66" t="n"/>
      <c r="K634" s="70" t="n"/>
      <c r="L634" s="36">
        <f>IF(R634="","",IF(INDEX('Recurring Schedule'!$J$6:$J$45,R634)="","",INDEX('Recurring Schedule'!$J$6:$J$45,R634)))</f>
        <v/>
      </c>
      <c r="M634" s="36">
        <f>IF(R634="","",IF(INDEX('Recurring Schedule'!$K$6:$K$45,R634)="","",INDEX('Recurring Schedule'!$K$6:$K$45,R634)))</f>
        <v/>
      </c>
      <c r="N634" s="36">
        <f>IF(R634="","",IF(INDEX('Recurring Schedule'!$L$6:$L$45,R634)="","",INDEX('Recurring Schedule'!$L$6:$L$45,R634)))</f>
        <v/>
      </c>
      <c r="O634" s="36">
        <f>IF(C634="","",IF(AND(OR(L634="1-Urgent",L634="2-High"),M634="✓"),"DO FIRST",IF(M634="✓","SCHEDULE",IF(OR(L634="1-Urgent",L634="2-High"),"DELEGATE","DELETE"))))</f>
        <v/>
      </c>
      <c r="P634" s="65" t="n"/>
      <c r="Q634">
        <f>IF(629&gt;Calc!$AQ$368,"",MATCH(628,Calc!$AQ$2:$AQ$367,1))</f>
        <v/>
      </c>
      <c r="R634">
        <f>IF(Q634="","",SMALL(INDEX(Calc!$B$2:$AO$367,Q634,0),629-INDEX(Calc!$AQ$2:$AQ$367,Q634)))</f>
        <v/>
      </c>
    </row>
    <row r="635">
      <c r="B635" s="71">
        <f>IF(R635="","",630)</f>
        <v/>
      </c>
      <c r="C635" s="75">
        <f>IF(R635="","",IF(INDEX('Recurring Schedule'!$C$6:$C$45,R635)="","",INDEX('Recurring Schedule'!$C$6:$C$45,R635)))</f>
        <v/>
      </c>
      <c r="D635" s="73">
        <f>IF(R635="","",IF(INDEX('Recurring Schedule'!$D$6:$D$45,R635)="","",INDEX('Recurring Schedule'!$D$6:$D$45,R635)))</f>
        <v/>
      </c>
      <c r="E635" s="76">
        <f>IF(Q635="","",INDEX(Calc!$A$2:$A$367,Q635))</f>
        <v/>
      </c>
      <c r="F635" s="72">
        <f>IF(OR(C635="",E635=""),"",E635-Setup!$D$7)</f>
        <v/>
      </c>
      <c r="G635" s="77">
        <f>IF(R635="","",IF(INDEX('Recurring Schedule'!$H$6:$H$45,R635)="","",INDEX('Recurring Schedule'!$H$6:$H$45,R635)))</f>
        <v/>
      </c>
      <c r="H635" s="77">
        <f>IF(R635="","",IF(INDEX('Recurring Schedule'!$I$6:$I$45,R635)="","",INDEX('Recurring Schedule'!$I$6:$I$45,R635)))</f>
        <v/>
      </c>
      <c r="I635" s="73">
        <f>IF(OR(G635="",H635=""),"",TRIM(IF(HOUR(H635-G635)&gt;0,HOUR(H635-G635)&amp;" hr ","")&amp;IF(MINUTE(H635-G635)&gt;0,MINUTE(H635-G635)&amp;" min","")))</f>
        <v/>
      </c>
      <c r="J635" s="66" t="n"/>
      <c r="K635" s="70" t="n"/>
      <c r="L635" s="73">
        <f>IF(R635="","",IF(INDEX('Recurring Schedule'!$J$6:$J$45,R635)="","",INDEX('Recurring Schedule'!$J$6:$J$45,R635)))</f>
        <v/>
      </c>
      <c r="M635" s="73">
        <f>IF(R635="","",IF(INDEX('Recurring Schedule'!$K$6:$K$45,R635)="","",INDEX('Recurring Schedule'!$K$6:$K$45,R635)))</f>
        <v/>
      </c>
      <c r="N635" s="73">
        <f>IF(R635="","",IF(INDEX('Recurring Schedule'!$L$6:$L$45,R635)="","",INDEX('Recurring Schedule'!$L$6:$L$45,R635)))</f>
        <v/>
      </c>
      <c r="O635" s="73">
        <f>IF(C635="","",IF(AND(OR(L635="1-Urgent",L635="2-High"),M635="✓"),"DO FIRST",IF(M635="✓","SCHEDULE",IF(OR(L635="1-Urgent",L635="2-High"),"DELEGATE","DELETE"))))</f>
        <v/>
      </c>
      <c r="P635" s="65" t="n"/>
      <c r="Q635">
        <f>IF(630&gt;Calc!$AQ$368,"",MATCH(629,Calc!$AQ$2:$AQ$367,1))</f>
        <v/>
      </c>
      <c r="R635">
        <f>IF(Q635="","",SMALL(INDEX(Calc!$B$2:$AO$367,Q635,0),630-INDEX(Calc!$AQ$2:$AQ$367,Q635)))</f>
        <v/>
      </c>
    </row>
    <row r="636">
      <c r="B636" s="64">
        <f>IF(R636="","",631)</f>
        <v/>
      </c>
      <c r="C636" s="37">
        <f>IF(R636="","",IF(INDEX('Recurring Schedule'!$C$6:$C$45,R636)="","",INDEX('Recurring Schedule'!$C$6:$C$45,R636)))</f>
        <v/>
      </c>
      <c r="D636" s="36">
        <f>IF(R636="","",IF(INDEX('Recurring Schedule'!$D$6:$D$45,R636)="","",INDEX('Recurring Schedule'!$D$6:$D$45,R636)))</f>
        <v/>
      </c>
      <c r="E636" s="38">
        <f>IF(Q636="","",INDEX(Calc!$A$2:$A$367,Q636))</f>
        <v/>
      </c>
      <c r="F636" s="68">
        <f>IF(OR(C636="",E636=""),"",E636-Setup!$D$7)</f>
        <v/>
      </c>
      <c r="G636" s="74">
        <f>IF(R636="","",IF(INDEX('Recurring Schedule'!$H$6:$H$45,R636)="","",INDEX('Recurring Schedule'!$H$6:$H$45,R636)))</f>
        <v/>
      </c>
      <c r="H636" s="74">
        <f>IF(R636="","",IF(INDEX('Recurring Schedule'!$I$6:$I$45,R636)="","",INDEX('Recurring Schedule'!$I$6:$I$45,R636)))</f>
        <v/>
      </c>
      <c r="I636" s="36">
        <f>IF(OR(G636="",H636=""),"",TRIM(IF(HOUR(H636-G636)&gt;0,HOUR(H636-G636)&amp;" hr ","")&amp;IF(MINUTE(H636-G636)&gt;0,MINUTE(H636-G636)&amp;" min","")))</f>
        <v/>
      </c>
      <c r="J636" s="66" t="n"/>
      <c r="K636" s="70" t="n"/>
      <c r="L636" s="36">
        <f>IF(R636="","",IF(INDEX('Recurring Schedule'!$J$6:$J$45,R636)="","",INDEX('Recurring Schedule'!$J$6:$J$45,R636)))</f>
        <v/>
      </c>
      <c r="M636" s="36">
        <f>IF(R636="","",IF(INDEX('Recurring Schedule'!$K$6:$K$45,R636)="","",INDEX('Recurring Schedule'!$K$6:$K$45,R636)))</f>
        <v/>
      </c>
      <c r="N636" s="36">
        <f>IF(R636="","",IF(INDEX('Recurring Schedule'!$L$6:$L$45,R636)="","",INDEX('Recurring Schedule'!$L$6:$L$45,R636)))</f>
        <v/>
      </c>
      <c r="O636" s="36">
        <f>IF(C636="","",IF(AND(OR(L636="1-Urgent",L636="2-High"),M636="✓"),"DO FIRST",IF(M636="✓","SCHEDULE",IF(OR(L636="1-Urgent",L636="2-High"),"DELEGATE","DELETE"))))</f>
        <v/>
      </c>
      <c r="P636" s="65" t="n"/>
      <c r="Q636">
        <f>IF(631&gt;Calc!$AQ$368,"",MATCH(630,Calc!$AQ$2:$AQ$367,1))</f>
        <v/>
      </c>
      <c r="R636">
        <f>IF(Q636="","",SMALL(INDEX(Calc!$B$2:$AO$367,Q636,0),631-INDEX(Calc!$AQ$2:$AQ$367,Q636)))</f>
        <v/>
      </c>
    </row>
    <row r="637">
      <c r="B637" s="71">
        <f>IF(R637="","",632)</f>
        <v/>
      </c>
      <c r="C637" s="75">
        <f>IF(R637="","",IF(INDEX('Recurring Schedule'!$C$6:$C$45,R637)="","",INDEX('Recurring Schedule'!$C$6:$C$45,R637)))</f>
        <v/>
      </c>
      <c r="D637" s="73">
        <f>IF(R637="","",IF(INDEX('Recurring Schedule'!$D$6:$D$45,R637)="","",INDEX('Recurring Schedule'!$D$6:$D$45,R637)))</f>
        <v/>
      </c>
      <c r="E637" s="76">
        <f>IF(Q637="","",INDEX(Calc!$A$2:$A$367,Q637))</f>
        <v/>
      </c>
      <c r="F637" s="72">
        <f>IF(OR(C637="",E637=""),"",E637-Setup!$D$7)</f>
        <v/>
      </c>
      <c r="G637" s="77">
        <f>IF(R637="","",IF(INDEX('Recurring Schedule'!$H$6:$H$45,R637)="","",INDEX('Recurring Schedule'!$H$6:$H$45,R637)))</f>
        <v/>
      </c>
      <c r="H637" s="77">
        <f>IF(R637="","",IF(INDEX('Recurring Schedule'!$I$6:$I$45,R637)="","",INDEX('Recurring Schedule'!$I$6:$I$45,R637)))</f>
        <v/>
      </c>
      <c r="I637" s="73">
        <f>IF(OR(G637="",H637=""),"",TRIM(IF(HOUR(H637-G637)&gt;0,HOUR(H637-G637)&amp;" hr ","")&amp;IF(MINUTE(H637-G637)&gt;0,MINUTE(H637-G637)&amp;" min","")))</f>
        <v/>
      </c>
      <c r="J637" s="66" t="n"/>
      <c r="K637" s="70" t="n"/>
      <c r="L637" s="73">
        <f>IF(R637="","",IF(INDEX('Recurring Schedule'!$J$6:$J$45,R637)="","",INDEX('Recurring Schedule'!$J$6:$J$45,R637)))</f>
        <v/>
      </c>
      <c r="M637" s="73">
        <f>IF(R637="","",IF(INDEX('Recurring Schedule'!$K$6:$K$45,R637)="","",INDEX('Recurring Schedule'!$K$6:$K$45,R637)))</f>
        <v/>
      </c>
      <c r="N637" s="73">
        <f>IF(R637="","",IF(INDEX('Recurring Schedule'!$L$6:$L$45,R637)="","",INDEX('Recurring Schedule'!$L$6:$L$45,R637)))</f>
        <v/>
      </c>
      <c r="O637" s="73">
        <f>IF(C637="","",IF(AND(OR(L637="1-Urgent",L637="2-High"),M637="✓"),"DO FIRST",IF(M637="✓","SCHEDULE",IF(OR(L637="1-Urgent",L637="2-High"),"DELEGATE","DELETE"))))</f>
        <v/>
      </c>
      <c r="P637" s="65" t="n"/>
      <c r="Q637">
        <f>IF(632&gt;Calc!$AQ$368,"",MATCH(631,Calc!$AQ$2:$AQ$367,1))</f>
        <v/>
      </c>
      <c r="R637">
        <f>IF(Q637="","",SMALL(INDEX(Calc!$B$2:$AO$367,Q637,0),632-INDEX(Calc!$AQ$2:$AQ$367,Q637)))</f>
        <v/>
      </c>
    </row>
    <row r="638">
      <c r="B638" s="64">
        <f>IF(R638="","",633)</f>
        <v/>
      </c>
      <c r="C638" s="37">
        <f>IF(R638="","",IF(INDEX('Recurring Schedule'!$C$6:$C$45,R638)="","",INDEX('Recurring Schedule'!$C$6:$C$45,R638)))</f>
        <v/>
      </c>
      <c r="D638" s="36">
        <f>IF(R638="","",IF(INDEX('Recurring Schedule'!$D$6:$D$45,R638)="","",INDEX('Recurring Schedule'!$D$6:$D$45,R638)))</f>
        <v/>
      </c>
      <c r="E638" s="38">
        <f>IF(Q638="","",INDEX(Calc!$A$2:$A$367,Q638))</f>
        <v/>
      </c>
      <c r="F638" s="68">
        <f>IF(OR(C638="",E638=""),"",E638-Setup!$D$7)</f>
        <v/>
      </c>
      <c r="G638" s="74">
        <f>IF(R638="","",IF(INDEX('Recurring Schedule'!$H$6:$H$45,R638)="","",INDEX('Recurring Schedule'!$H$6:$H$45,R638)))</f>
        <v/>
      </c>
      <c r="H638" s="74">
        <f>IF(R638="","",IF(INDEX('Recurring Schedule'!$I$6:$I$45,R638)="","",INDEX('Recurring Schedule'!$I$6:$I$45,R638)))</f>
        <v/>
      </c>
      <c r="I638" s="36">
        <f>IF(OR(G638="",H638=""),"",TRIM(IF(HOUR(H638-G638)&gt;0,HOUR(H638-G638)&amp;" hr ","")&amp;IF(MINUTE(H638-G638)&gt;0,MINUTE(H638-G638)&amp;" min","")))</f>
        <v/>
      </c>
      <c r="J638" s="66" t="n"/>
      <c r="K638" s="70" t="n"/>
      <c r="L638" s="36">
        <f>IF(R638="","",IF(INDEX('Recurring Schedule'!$J$6:$J$45,R638)="","",INDEX('Recurring Schedule'!$J$6:$J$45,R638)))</f>
        <v/>
      </c>
      <c r="M638" s="36">
        <f>IF(R638="","",IF(INDEX('Recurring Schedule'!$K$6:$K$45,R638)="","",INDEX('Recurring Schedule'!$K$6:$K$45,R638)))</f>
        <v/>
      </c>
      <c r="N638" s="36">
        <f>IF(R638="","",IF(INDEX('Recurring Schedule'!$L$6:$L$45,R638)="","",INDEX('Recurring Schedule'!$L$6:$L$45,R638)))</f>
        <v/>
      </c>
      <c r="O638" s="36">
        <f>IF(C638="","",IF(AND(OR(L638="1-Urgent",L638="2-High"),M638="✓"),"DO FIRST",IF(M638="✓","SCHEDULE",IF(OR(L638="1-Urgent",L638="2-High"),"DELEGATE","DELETE"))))</f>
        <v/>
      </c>
      <c r="P638" s="65" t="n"/>
      <c r="Q638">
        <f>IF(633&gt;Calc!$AQ$368,"",MATCH(632,Calc!$AQ$2:$AQ$367,1))</f>
        <v/>
      </c>
      <c r="R638">
        <f>IF(Q638="","",SMALL(INDEX(Calc!$B$2:$AO$367,Q638,0),633-INDEX(Calc!$AQ$2:$AQ$367,Q638)))</f>
        <v/>
      </c>
    </row>
    <row r="639">
      <c r="B639" s="71">
        <f>IF(R639="","",634)</f>
        <v/>
      </c>
      <c r="C639" s="75">
        <f>IF(R639="","",IF(INDEX('Recurring Schedule'!$C$6:$C$45,R639)="","",INDEX('Recurring Schedule'!$C$6:$C$45,R639)))</f>
        <v/>
      </c>
      <c r="D639" s="73">
        <f>IF(R639="","",IF(INDEX('Recurring Schedule'!$D$6:$D$45,R639)="","",INDEX('Recurring Schedule'!$D$6:$D$45,R639)))</f>
        <v/>
      </c>
      <c r="E639" s="76">
        <f>IF(Q639="","",INDEX(Calc!$A$2:$A$367,Q639))</f>
        <v/>
      </c>
      <c r="F639" s="72">
        <f>IF(OR(C639="",E639=""),"",E639-Setup!$D$7)</f>
        <v/>
      </c>
      <c r="G639" s="77">
        <f>IF(R639="","",IF(INDEX('Recurring Schedule'!$H$6:$H$45,R639)="","",INDEX('Recurring Schedule'!$H$6:$H$45,R639)))</f>
        <v/>
      </c>
      <c r="H639" s="77">
        <f>IF(R639="","",IF(INDEX('Recurring Schedule'!$I$6:$I$45,R639)="","",INDEX('Recurring Schedule'!$I$6:$I$45,R639)))</f>
        <v/>
      </c>
      <c r="I639" s="73">
        <f>IF(OR(G639="",H639=""),"",TRIM(IF(HOUR(H639-G639)&gt;0,HOUR(H639-G639)&amp;" hr ","")&amp;IF(MINUTE(H639-G639)&gt;0,MINUTE(H639-G639)&amp;" min","")))</f>
        <v/>
      </c>
      <c r="J639" s="66" t="n"/>
      <c r="K639" s="70" t="n"/>
      <c r="L639" s="73">
        <f>IF(R639="","",IF(INDEX('Recurring Schedule'!$J$6:$J$45,R639)="","",INDEX('Recurring Schedule'!$J$6:$J$45,R639)))</f>
        <v/>
      </c>
      <c r="M639" s="73">
        <f>IF(R639="","",IF(INDEX('Recurring Schedule'!$K$6:$K$45,R639)="","",INDEX('Recurring Schedule'!$K$6:$K$45,R639)))</f>
        <v/>
      </c>
      <c r="N639" s="73">
        <f>IF(R639="","",IF(INDEX('Recurring Schedule'!$L$6:$L$45,R639)="","",INDEX('Recurring Schedule'!$L$6:$L$45,R639)))</f>
        <v/>
      </c>
      <c r="O639" s="73">
        <f>IF(C639="","",IF(AND(OR(L639="1-Urgent",L639="2-High"),M639="✓"),"DO FIRST",IF(M639="✓","SCHEDULE",IF(OR(L639="1-Urgent",L639="2-High"),"DELEGATE","DELETE"))))</f>
        <v/>
      </c>
      <c r="P639" s="65" t="n"/>
      <c r="Q639">
        <f>IF(634&gt;Calc!$AQ$368,"",MATCH(633,Calc!$AQ$2:$AQ$367,1))</f>
        <v/>
      </c>
      <c r="R639">
        <f>IF(Q639="","",SMALL(INDEX(Calc!$B$2:$AO$367,Q639,0),634-INDEX(Calc!$AQ$2:$AQ$367,Q639)))</f>
        <v/>
      </c>
    </row>
    <row r="640">
      <c r="B640" s="64">
        <f>IF(R640="","",635)</f>
        <v/>
      </c>
      <c r="C640" s="37">
        <f>IF(R640="","",IF(INDEX('Recurring Schedule'!$C$6:$C$45,R640)="","",INDEX('Recurring Schedule'!$C$6:$C$45,R640)))</f>
        <v/>
      </c>
      <c r="D640" s="36">
        <f>IF(R640="","",IF(INDEX('Recurring Schedule'!$D$6:$D$45,R640)="","",INDEX('Recurring Schedule'!$D$6:$D$45,R640)))</f>
        <v/>
      </c>
      <c r="E640" s="38">
        <f>IF(Q640="","",INDEX(Calc!$A$2:$A$367,Q640))</f>
        <v/>
      </c>
      <c r="F640" s="68">
        <f>IF(OR(C640="",E640=""),"",E640-Setup!$D$7)</f>
        <v/>
      </c>
      <c r="G640" s="74">
        <f>IF(R640="","",IF(INDEX('Recurring Schedule'!$H$6:$H$45,R640)="","",INDEX('Recurring Schedule'!$H$6:$H$45,R640)))</f>
        <v/>
      </c>
      <c r="H640" s="74">
        <f>IF(R640="","",IF(INDEX('Recurring Schedule'!$I$6:$I$45,R640)="","",INDEX('Recurring Schedule'!$I$6:$I$45,R640)))</f>
        <v/>
      </c>
      <c r="I640" s="36">
        <f>IF(OR(G640="",H640=""),"",TRIM(IF(HOUR(H640-G640)&gt;0,HOUR(H640-G640)&amp;" hr ","")&amp;IF(MINUTE(H640-G640)&gt;0,MINUTE(H640-G640)&amp;" min","")))</f>
        <v/>
      </c>
      <c r="J640" s="66" t="n"/>
      <c r="K640" s="70" t="n"/>
      <c r="L640" s="36">
        <f>IF(R640="","",IF(INDEX('Recurring Schedule'!$J$6:$J$45,R640)="","",INDEX('Recurring Schedule'!$J$6:$J$45,R640)))</f>
        <v/>
      </c>
      <c r="M640" s="36">
        <f>IF(R640="","",IF(INDEX('Recurring Schedule'!$K$6:$K$45,R640)="","",INDEX('Recurring Schedule'!$K$6:$K$45,R640)))</f>
        <v/>
      </c>
      <c r="N640" s="36">
        <f>IF(R640="","",IF(INDEX('Recurring Schedule'!$L$6:$L$45,R640)="","",INDEX('Recurring Schedule'!$L$6:$L$45,R640)))</f>
        <v/>
      </c>
      <c r="O640" s="36">
        <f>IF(C640="","",IF(AND(OR(L640="1-Urgent",L640="2-High"),M640="✓"),"DO FIRST",IF(M640="✓","SCHEDULE",IF(OR(L640="1-Urgent",L640="2-High"),"DELEGATE","DELETE"))))</f>
        <v/>
      </c>
      <c r="P640" s="65" t="n"/>
      <c r="Q640">
        <f>IF(635&gt;Calc!$AQ$368,"",MATCH(634,Calc!$AQ$2:$AQ$367,1))</f>
        <v/>
      </c>
      <c r="R640">
        <f>IF(Q640="","",SMALL(INDEX(Calc!$B$2:$AO$367,Q640,0),635-INDEX(Calc!$AQ$2:$AQ$367,Q640)))</f>
        <v/>
      </c>
    </row>
    <row r="641">
      <c r="B641" s="71">
        <f>IF(R641="","",636)</f>
        <v/>
      </c>
      <c r="C641" s="75">
        <f>IF(R641="","",IF(INDEX('Recurring Schedule'!$C$6:$C$45,R641)="","",INDEX('Recurring Schedule'!$C$6:$C$45,R641)))</f>
        <v/>
      </c>
      <c r="D641" s="73">
        <f>IF(R641="","",IF(INDEX('Recurring Schedule'!$D$6:$D$45,R641)="","",INDEX('Recurring Schedule'!$D$6:$D$45,R641)))</f>
        <v/>
      </c>
      <c r="E641" s="76">
        <f>IF(Q641="","",INDEX(Calc!$A$2:$A$367,Q641))</f>
        <v/>
      </c>
      <c r="F641" s="72">
        <f>IF(OR(C641="",E641=""),"",E641-Setup!$D$7)</f>
        <v/>
      </c>
      <c r="G641" s="77">
        <f>IF(R641="","",IF(INDEX('Recurring Schedule'!$H$6:$H$45,R641)="","",INDEX('Recurring Schedule'!$H$6:$H$45,R641)))</f>
        <v/>
      </c>
      <c r="H641" s="77">
        <f>IF(R641="","",IF(INDEX('Recurring Schedule'!$I$6:$I$45,R641)="","",INDEX('Recurring Schedule'!$I$6:$I$45,R641)))</f>
        <v/>
      </c>
      <c r="I641" s="73">
        <f>IF(OR(G641="",H641=""),"",TRIM(IF(HOUR(H641-G641)&gt;0,HOUR(H641-G641)&amp;" hr ","")&amp;IF(MINUTE(H641-G641)&gt;0,MINUTE(H641-G641)&amp;" min","")))</f>
        <v/>
      </c>
      <c r="J641" s="66" t="n"/>
      <c r="K641" s="70" t="n"/>
      <c r="L641" s="73">
        <f>IF(R641="","",IF(INDEX('Recurring Schedule'!$J$6:$J$45,R641)="","",INDEX('Recurring Schedule'!$J$6:$J$45,R641)))</f>
        <v/>
      </c>
      <c r="M641" s="73">
        <f>IF(R641="","",IF(INDEX('Recurring Schedule'!$K$6:$K$45,R641)="","",INDEX('Recurring Schedule'!$K$6:$K$45,R641)))</f>
        <v/>
      </c>
      <c r="N641" s="73">
        <f>IF(R641="","",IF(INDEX('Recurring Schedule'!$L$6:$L$45,R641)="","",INDEX('Recurring Schedule'!$L$6:$L$45,R641)))</f>
        <v/>
      </c>
      <c r="O641" s="73">
        <f>IF(C641="","",IF(AND(OR(L641="1-Urgent",L641="2-High"),M641="✓"),"DO FIRST",IF(M641="✓","SCHEDULE",IF(OR(L641="1-Urgent",L641="2-High"),"DELEGATE","DELETE"))))</f>
        <v/>
      </c>
      <c r="P641" s="65" t="n"/>
      <c r="Q641">
        <f>IF(636&gt;Calc!$AQ$368,"",MATCH(635,Calc!$AQ$2:$AQ$367,1))</f>
        <v/>
      </c>
      <c r="R641">
        <f>IF(Q641="","",SMALL(INDEX(Calc!$B$2:$AO$367,Q641,0),636-INDEX(Calc!$AQ$2:$AQ$367,Q641)))</f>
        <v/>
      </c>
    </row>
    <row r="642">
      <c r="B642" s="64">
        <f>IF(R642="","",637)</f>
        <v/>
      </c>
      <c r="C642" s="37">
        <f>IF(R642="","",IF(INDEX('Recurring Schedule'!$C$6:$C$45,R642)="","",INDEX('Recurring Schedule'!$C$6:$C$45,R642)))</f>
        <v/>
      </c>
      <c r="D642" s="36">
        <f>IF(R642="","",IF(INDEX('Recurring Schedule'!$D$6:$D$45,R642)="","",INDEX('Recurring Schedule'!$D$6:$D$45,R642)))</f>
        <v/>
      </c>
      <c r="E642" s="38">
        <f>IF(Q642="","",INDEX(Calc!$A$2:$A$367,Q642))</f>
        <v/>
      </c>
      <c r="F642" s="68">
        <f>IF(OR(C642="",E642=""),"",E642-Setup!$D$7)</f>
        <v/>
      </c>
      <c r="G642" s="74">
        <f>IF(R642="","",IF(INDEX('Recurring Schedule'!$H$6:$H$45,R642)="","",INDEX('Recurring Schedule'!$H$6:$H$45,R642)))</f>
        <v/>
      </c>
      <c r="H642" s="74">
        <f>IF(R642="","",IF(INDEX('Recurring Schedule'!$I$6:$I$45,R642)="","",INDEX('Recurring Schedule'!$I$6:$I$45,R642)))</f>
        <v/>
      </c>
      <c r="I642" s="36">
        <f>IF(OR(G642="",H642=""),"",TRIM(IF(HOUR(H642-G642)&gt;0,HOUR(H642-G642)&amp;" hr ","")&amp;IF(MINUTE(H642-G642)&gt;0,MINUTE(H642-G642)&amp;" min","")))</f>
        <v/>
      </c>
      <c r="J642" s="66" t="n"/>
      <c r="K642" s="70" t="n"/>
      <c r="L642" s="36">
        <f>IF(R642="","",IF(INDEX('Recurring Schedule'!$J$6:$J$45,R642)="","",INDEX('Recurring Schedule'!$J$6:$J$45,R642)))</f>
        <v/>
      </c>
      <c r="M642" s="36">
        <f>IF(R642="","",IF(INDEX('Recurring Schedule'!$K$6:$K$45,R642)="","",INDEX('Recurring Schedule'!$K$6:$K$45,R642)))</f>
        <v/>
      </c>
      <c r="N642" s="36">
        <f>IF(R642="","",IF(INDEX('Recurring Schedule'!$L$6:$L$45,R642)="","",INDEX('Recurring Schedule'!$L$6:$L$45,R642)))</f>
        <v/>
      </c>
      <c r="O642" s="36">
        <f>IF(C642="","",IF(AND(OR(L642="1-Urgent",L642="2-High"),M642="✓"),"DO FIRST",IF(M642="✓","SCHEDULE",IF(OR(L642="1-Urgent",L642="2-High"),"DELEGATE","DELETE"))))</f>
        <v/>
      </c>
      <c r="P642" s="65" t="n"/>
      <c r="Q642">
        <f>IF(637&gt;Calc!$AQ$368,"",MATCH(636,Calc!$AQ$2:$AQ$367,1))</f>
        <v/>
      </c>
      <c r="R642">
        <f>IF(Q642="","",SMALL(INDEX(Calc!$B$2:$AO$367,Q642,0),637-INDEX(Calc!$AQ$2:$AQ$367,Q642)))</f>
        <v/>
      </c>
    </row>
    <row r="643">
      <c r="B643" s="71">
        <f>IF(R643="","",638)</f>
        <v/>
      </c>
      <c r="C643" s="75">
        <f>IF(R643="","",IF(INDEX('Recurring Schedule'!$C$6:$C$45,R643)="","",INDEX('Recurring Schedule'!$C$6:$C$45,R643)))</f>
        <v/>
      </c>
      <c r="D643" s="73">
        <f>IF(R643="","",IF(INDEX('Recurring Schedule'!$D$6:$D$45,R643)="","",INDEX('Recurring Schedule'!$D$6:$D$45,R643)))</f>
        <v/>
      </c>
      <c r="E643" s="76">
        <f>IF(Q643="","",INDEX(Calc!$A$2:$A$367,Q643))</f>
        <v/>
      </c>
      <c r="F643" s="72">
        <f>IF(OR(C643="",E643=""),"",E643-Setup!$D$7)</f>
        <v/>
      </c>
      <c r="G643" s="77">
        <f>IF(R643="","",IF(INDEX('Recurring Schedule'!$H$6:$H$45,R643)="","",INDEX('Recurring Schedule'!$H$6:$H$45,R643)))</f>
        <v/>
      </c>
      <c r="H643" s="77">
        <f>IF(R643="","",IF(INDEX('Recurring Schedule'!$I$6:$I$45,R643)="","",INDEX('Recurring Schedule'!$I$6:$I$45,R643)))</f>
        <v/>
      </c>
      <c r="I643" s="73">
        <f>IF(OR(G643="",H643=""),"",TRIM(IF(HOUR(H643-G643)&gt;0,HOUR(H643-G643)&amp;" hr ","")&amp;IF(MINUTE(H643-G643)&gt;0,MINUTE(H643-G643)&amp;" min","")))</f>
        <v/>
      </c>
      <c r="J643" s="66" t="n"/>
      <c r="K643" s="70" t="n"/>
      <c r="L643" s="73">
        <f>IF(R643="","",IF(INDEX('Recurring Schedule'!$J$6:$J$45,R643)="","",INDEX('Recurring Schedule'!$J$6:$J$45,R643)))</f>
        <v/>
      </c>
      <c r="M643" s="73">
        <f>IF(R643="","",IF(INDEX('Recurring Schedule'!$K$6:$K$45,R643)="","",INDEX('Recurring Schedule'!$K$6:$K$45,R643)))</f>
        <v/>
      </c>
      <c r="N643" s="73">
        <f>IF(R643="","",IF(INDEX('Recurring Schedule'!$L$6:$L$45,R643)="","",INDEX('Recurring Schedule'!$L$6:$L$45,R643)))</f>
        <v/>
      </c>
      <c r="O643" s="73">
        <f>IF(C643="","",IF(AND(OR(L643="1-Urgent",L643="2-High"),M643="✓"),"DO FIRST",IF(M643="✓","SCHEDULE",IF(OR(L643="1-Urgent",L643="2-High"),"DELEGATE","DELETE"))))</f>
        <v/>
      </c>
      <c r="P643" s="65" t="n"/>
      <c r="Q643">
        <f>IF(638&gt;Calc!$AQ$368,"",MATCH(637,Calc!$AQ$2:$AQ$367,1))</f>
        <v/>
      </c>
      <c r="R643">
        <f>IF(Q643="","",SMALL(INDEX(Calc!$B$2:$AO$367,Q643,0),638-INDEX(Calc!$AQ$2:$AQ$367,Q643)))</f>
        <v/>
      </c>
    </row>
    <row r="644">
      <c r="B644" s="64">
        <f>IF(R644="","",639)</f>
        <v/>
      </c>
      <c r="C644" s="37">
        <f>IF(R644="","",IF(INDEX('Recurring Schedule'!$C$6:$C$45,R644)="","",INDEX('Recurring Schedule'!$C$6:$C$45,R644)))</f>
        <v/>
      </c>
      <c r="D644" s="36">
        <f>IF(R644="","",IF(INDEX('Recurring Schedule'!$D$6:$D$45,R644)="","",INDEX('Recurring Schedule'!$D$6:$D$45,R644)))</f>
        <v/>
      </c>
      <c r="E644" s="38">
        <f>IF(Q644="","",INDEX(Calc!$A$2:$A$367,Q644))</f>
        <v/>
      </c>
      <c r="F644" s="68">
        <f>IF(OR(C644="",E644=""),"",E644-Setup!$D$7)</f>
        <v/>
      </c>
      <c r="G644" s="74">
        <f>IF(R644="","",IF(INDEX('Recurring Schedule'!$H$6:$H$45,R644)="","",INDEX('Recurring Schedule'!$H$6:$H$45,R644)))</f>
        <v/>
      </c>
      <c r="H644" s="74">
        <f>IF(R644="","",IF(INDEX('Recurring Schedule'!$I$6:$I$45,R644)="","",INDEX('Recurring Schedule'!$I$6:$I$45,R644)))</f>
        <v/>
      </c>
      <c r="I644" s="36">
        <f>IF(OR(G644="",H644=""),"",TRIM(IF(HOUR(H644-G644)&gt;0,HOUR(H644-G644)&amp;" hr ","")&amp;IF(MINUTE(H644-G644)&gt;0,MINUTE(H644-G644)&amp;" min","")))</f>
        <v/>
      </c>
      <c r="J644" s="66" t="n"/>
      <c r="K644" s="70" t="n"/>
      <c r="L644" s="36">
        <f>IF(R644="","",IF(INDEX('Recurring Schedule'!$J$6:$J$45,R644)="","",INDEX('Recurring Schedule'!$J$6:$J$45,R644)))</f>
        <v/>
      </c>
      <c r="M644" s="36">
        <f>IF(R644="","",IF(INDEX('Recurring Schedule'!$K$6:$K$45,R644)="","",INDEX('Recurring Schedule'!$K$6:$K$45,R644)))</f>
        <v/>
      </c>
      <c r="N644" s="36">
        <f>IF(R644="","",IF(INDEX('Recurring Schedule'!$L$6:$L$45,R644)="","",INDEX('Recurring Schedule'!$L$6:$L$45,R644)))</f>
        <v/>
      </c>
      <c r="O644" s="36">
        <f>IF(C644="","",IF(AND(OR(L644="1-Urgent",L644="2-High"),M644="✓"),"DO FIRST",IF(M644="✓","SCHEDULE",IF(OR(L644="1-Urgent",L644="2-High"),"DELEGATE","DELETE"))))</f>
        <v/>
      </c>
      <c r="P644" s="65" t="n"/>
      <c r="Q644">
        <f>IF(639&gt;Calc!$AQ$368,"",MATCH(638,Calc!$AQ$2:$AQ$367,1))</f>
        <v/>
      </c>
      <c r="R644">
        <f>IF(Q644="","",SMALL(INDEX(Calc!$B$2:$AO$367,Q644,0),639-INDEX(Calc!$AQ$2:$AQ$367,Q644)))</f>
        <v/>
      </c>
    </row>
    <row r="645">
      <c r="B645" s="71">
        <f>IF(R645="","",640)</f>
        <v/>
      </c>
      <c r="C645" s="75">
        <f>IF(R645="","",IF(INDEX('Recurring Schedule'!$C$6:$C$45,R645)="","",INDEX('Recurring Schedule'!$C$6:$C$45,R645)))</f>
        <v/>
      </c>
      <c r="D645" s="73">
        <f>IF(R645="","",IF(INDEX('Recurring Schedule'!$D$6:$D$45,R645)="","",INDEX('Recurring Schedule'!$D$6:$D$45,R645)))</f>
        <v/>
      </c>
      <c r="E645" s="76">
        <f>IF(Q645="","",INDEX(Calc!$A$2:$A$367,Q645))</f>
        <v/>
      </c>
      <c r="F645" s="72">
        <f>IF(OR(C645="",E645=""),"",E645-Setup!$D$7)</f>
        <v/>
      </c>
      <c r="G645" s="77">
        <f>IF(R645="","",IF(INDEX('Recurring Schedule'!$H$6:$H$45,R645)="","",INDEX('Recurring Schedule'!$H$6:$H$45,R645)))</f>
        <v/>
      </c>
      <c r="H645" s="77">
        <f>IF(R645="","",IF(INDEX('Recurring Schedule'!$I$6:$I$45,R645)="","",INDEX('Recurring Schedule'!$I$6:$I$45,R645)))</f>
        <v/>
      </c>
      <c r="I645" s="73">
        <f>IF(OR(G645="",H645=""),"",TRIM(IF(HOUR(H645-G645)&gt;0,HOUR(H645-G645)&amp;" hr ","")&amp;IF(MINUTE(H645-G645)&gt;0,MINUTE(H645-G645)&amp;" min","")))</f>
        <v/>
      </c>
      <c r="J645" s="66" t="n"/>
      <c r="K645" s="70" t="n"/>
      <c r="L645" s="73">
        <f>IF(R645="","",IF(INDEX('Recurring Schedule'!$J$6:$J$45,R645)="","",INDEX('Recurring Schedule'!$J$6:$J$45,R645)))</f>
        <v/>
      </c>
      <c r="M645" s="73">
        <f>IF(R645="","",IF(INDEX('Recurring Schedule'!$K$6:$K$45,R645)="","",INDEX('Recurring Schedule'!$K$6:$K$45,R645)))</f>
        <v/>
      </c>
      <c r="N645" s="73">
        <f>IF(R645="","",IF(INDEX('Recurring Schedule'!$L$6:$L$45,R645)="","",INDEX('Recurring Schedule'!$L$6:$L$45,R645)))</f>
        <v/>
      </c>
      <c r="O645" s="73">
        <f>IF(C645="","",IF(AND(OR(L645="1-Urgent",L645="2-High"),M645="✓"),"DO FIRST",IF(M645="✓","SCHEDULE",IF(OR(L645="1-Urgent",L645="2-High"),"DELEGATE","DELETE"))))</f>
        <v/>
      </c>
      <c r="P645" s="65" t="n"/>
      <c r="Q645">
        <f>IF(640&gt;Calc!$AQ$368,"",MATCH(639,Calc!$AQ$2:$AQ$367,1))</f>
        <v/>
      </c>
      <c r="R645">
        <f>IF(Q645="","",SMALL(INDEX(Calc!$B$2:$AO$367,Q645,0),640-INDEX(Calc!$AQ$2:$AQ$367,Q645)))</f>
        <v/>
      </c>
    </row>
    <row r="646">
      <c r="B646" s="64">
        <f>IF(R646="","",641)</f>
        <v/>
      </c>
      <c r="C646" s="37">
        <f>IF(R646="","",IF(INDEX('Recurring Schedule'!$C$6:$C$45,R646)="","",INDEX('Recurring Schedule'!$C$6:$C$45,R646)))</f>
        <v/>
      </c>
      <c r="D646" s="36">
        <f>IF(R646="","",IF(INDEX('Recurring Schedule'!$D$6:$D$45,R646)="","",INDEX('Recurring Schedule'!$D$6:$D$45,R646)))</f>
        <v/>
      </c>
      <c r="E646" s="38">
        <f>IF(Q646="","",INDEX(Calc!$A$2:$A$367,Q646))</f>
        <v/>
      </c>
      <c r="F646" s="68">
        <f>IF(OR(C646="",E646=""),"",E646-Setup!$D$7)</f>
        <v/>
      </c>
      <c r="G646" s="74">
        <f>IF(R646="","",IF(INDEX('Recurring Schedule'!$H$6:$H$45,R646)="","",INDEX('Recurring Schedule'!$H$6:$H$45,R646)))</f>
        <v/>
      </c>
      <c r="H646" s="74">
        <f>IF(R646="","",IF(INDEX('Recurring Schedule'!$I$6:$I$45,R646)="","",INDEX('Recurring Schedule'!$I$6:$I$45,R646)))</f>
        <v/>
      </c>
      <c r="I646" s="36">
        <f>IF(OR(G646="",H646=""),"",TRIM(IF(HOUR(H646-G646)&gt;0,HOUR(H646-G646)&amp;" hr ","")&amp;IF(MINUTE(H646-G646)&gt;0,MINUTE(H646-G646)&amp;" min","")))</f>
        <v/>
      </c>
      <c r="J646" s="66" t="n"/>
      <c r="K646" s="70" t="n"/>
      <c r="L646" s="36">
        <f>IF(R646="","",IF(INDEX('Recurring Schedule'!$J$6:$J$45,R646)="","",INDEX('Recurring Schedule'!$J$6:$J$45,R646)))</f>
        <v/>
      </c>
      <c r="M646" s="36">
        <f>IF(R646="","",IF(INDEX('Recurring Schedule'!$K$6:$K$45,R646)="","",INDEX('Recurring Schedule'!$K$6:$K$45,R646)))</f>
        <v/>
      </c>
      <c r="N646" s="36">
        <f>IF(R646="","",IF(INDEX('Recurring Schedule'!$L$6:$L$45,R646)="","",INDEX('Recurring Schedule'!$L$6:$L$45,R646)))</f>
        <v/>
      </c>
      <c r="O646" s="36">
        <f>IF(C646="","",IF(AND(OR(L646="1-Urgent",L646="2-High"),M646="✓"),"DO FIRST",IF(M646="✓","SCHEDULE",IF(OR(L646="1-Urgent",L646="2-High"),"DELEGATE","DELETE"))))</f>
        <v/>
      </c>
      <c r="P646" s="65" t="n"/>
      <c r="Q646">
        <f>IF(641&gt;Calc!$AQ$368,"",MATCH(640,Calc!$AQ$2:$AQ$367,1))</f>
        <v/>
      </c>
      <c r="R646">
        <f>IF(Q646="","",SMALL(INDEX(Calc!$B$2:$AO$367,Q646,0),641-INDEX(Calc!$AQ$2:$AQ$367,Q646)))</f>
        <v/>
      </c>
    </row>
    <row r="647">
      <c r="B647" s="71">
        <f>IF(R647="","",642)</f>
        <v/>
      </c>
      <c r="C647" s="75">
        <f>IF(R647="","",IF(INDEX('Recurring Schedule'!$C$6:$C$45,R647)="","",INDEX('Recurring Schedule'!$C$6:$C$45,R647)))</f>
        <v/>
      </c>
      <c r="D647" s="73">
        <f>IF(R647="","",IF(INDEX('Recurring Schedule'!$D$6:$D$45,R647)="","",INDEX('Recurring Schedule'!$D$6:$D$45,R647)))</f>
        <v/>
      </c>
      <c r="E647" s="76">
        <f>IF(Q647="","",INDEX(Calc!$A$2:$A$367,Q647))</f>
        <v/>
      </c>
      <c r="F647" s="72">
        <f>IF(OR(C647="",E647=""),"",E647-Setup!$D$7)</f>
        <v/>
      </c>
      <c r="G647" s="77">
        <f>IF(R647="","",IF(INDEX('Recurring Schedule'!$H$6:$H$45,R647)="","",INDEX('Recurring Schedule'!$H$6:$H$45,R647)))</f>
        <v/>
      </c>
      <c r="H647" s="77">
        <f>IF(R647="","",IF(INDEX('Recurring Schedule'!$I$6:$I$45,R647)="","",INDEX('Recurring Schedule'!$I$6:$I$45,R647)))</f>
        <v/>
      </c>
      <c r="I647" s="73">
        <f>IF(OR(G647="",H647=""),"",TRIM(IF(HOUR(H647-G647)&gt;0,HOUR(H647-G647)&amp;" hr ","")&amp;IF(MINUTE(H647-G647)&gt;0,MINUTE(H647-G647)&amp;" min","")))</f>
        <v/>
      </c>
      <c r="J647" s="66" t="n"/>
      <c r="K647" s="70" t="n"/>
      <c r="L647" s="73">
        <f>IF(R647="","",IF(INDEX('Recurring Schedule'!$J$6:$J$45,R647)="","",INDEX('Recurring Schedule'!$J$6:$J$45,R647)))</f>
        <v/>
      </c>
      <c r="M647" s="73">
        <f>IF(R647="","",IF(INDEX('Recurring Schedule'!$K$6:$K$45,R647)="","",INDEX('Recurring Schedule'!$K$6:$K$45,R647)))</f>
        <v/>
      </c>
      <c r="N647" s="73">
        <f>IF(R647="","",IF(INDEX('Recurring Schedule'!$L$6:$L$45,R647)="","",INDEX('Recurring Schedule'!$L$6:$L$45,R647)))</f>
        <v/>
      </c>
      <c r="O647" s="73">
        <f>IF(C647="","",IF(AND(OR(L647="1-Urgent",L647="2-High"),M647="✓"),"DO FIRST",IF(M647="✓","SCHEDULE",IF(OR(L647="1-Urgent",L647="2-High"),"DELEGATE","DELETE"))))</f>
        <v/>
      </c>
      <c r="P647" s="65" t="n"/>
      <c r="Q647">
        <f>IF(642&gt;Calc!$AQ$368,"",MATCH(641,Calc!$AQ$2:$AQ$367,1))</f>
        <v/>
      </c>
      <c r="R647">
        <f>IF(Q647="","",SMALL(INDEX(Calc!$B$2:$AO$367,Q647,0),642-INDEX(Calc!$AQ$2:$AQ$367,Q647)))</f>
        <v/>
      </c>
    </row>
    <row r="648">
      <c r="B648" s="64">
        <f>IF(R648="","",643)</f>
        <v/>
      </c>
      <c r="C648" s="37">
        <f>IF(R648="","",IF(INDEX('Recurring Schedule'!$C$6:$C$45,R648)="","",INDEX('Recurring Schedule'!$C$6:$C$45,R648)))</f>
        <v/>
      </c>
      <c r="D648" s="36">
        <f>IF(R648="","",IF(INDEX('Recurring Schedule'!$D$6:$D$45,R648)="","",INDEX('Recurring Schedule'!$D$6:$D$45,R648)))</f>
        <v/>
      </c>
      <c r="E648" s="38">
        <f>IF(Q648="","",INDEX(Calc!$A$2:$A$367,Q648))</f>
        <v/>
      </c>
      <c r="F648" s="68">
        <f>IF(OR(C648="",E648=""),"",E648-Setup!$D$7)</f>
        <v/>
      </c>
      <c r="G648" s="74">
        <f>IF(R648="","",IF(INDEX('Recurring Schedule'!$H$6:$H$45,R648)="","",INDEX('Recurring Schedule'!$H$6:$H$45,R648)))</f>
        <v/>
      </c>
      <c r="H648" s="74">
        <f>IF(R648="","",IF(INDEX('Recurring Schedule'!$I$6:$I$45,R648)="","",INDEX('Recurring Schedule'!$I$6:$I$45,R648)))</f>
        <v/>
      </c>
      <c r="I648" s="36">
        <f>IF(OR(G648="",H648=""),"",TRIM(IF(HOUR(H648-G648)&gt;0,HOUR(H648-G648)&amp;" hr ","")&amp;IF(MINUTE(H648-G648)&gt;0,MINUTE(H648-G648)&amp;" min","")))</f>
        <v/>
      </c>
      <c r="J648" s="66" t="n"/>
      <c r="K648" s="70" t="n"/>
      <c r="L648" s="36">
        <f>IF(R648="","",IF(INDEX('Recurring Schedule'!$J$6:$J$45,R648)="","",INDEX('Recurring Schedule'!$J$6:$J$45,R648)))</f>
        <v/>
      </c>
      <c r="M648" s="36">
        <f>IF(R648="","",IF(INDEX('Recurring Schedule'!$K$6:$K$45,R648)="","",INDEX('Recurring Schedule'!$K$6:$K$45,R648)))</f>
        <v/>
      </c>
      <c r="N648" s="36">
        <f>IF(R648="","",IF(INDEX('Recurring Schedule'!$L$6:$L$45,R648)="","",INDEX('Recurring Schedule'!$L$6:$L$45,R648)))</f>
        <v/>
      </c>
      <c r="O648" s="36">
        <f>IF(C648="","",IF(AND(OR(L648="1-Urgent",L648="2-High"),M648="✓"),"DO FIRST",IF(M648="✓","SCHEDULE",IF(OR(L648="1-Urgent",L648="2-High"),"DELEGATE","DELETE"))))</f>
        <v/>
      </c>
      <c r="P648" s="65" t="n"/>
      <c r="Q648">
        <f>IF(643&gt;Calc!$AQ$368,"",MATCH(642,Calc!$AQ$2:$AQ$367,1))</f>
        <v/>
      </c>
      <c r="R648">
        <f>IF(Q648="","",SMALL(INDEX(Calc!$B$2:$AO$367,Q648,0),643-INDEX(Calc!$AQ$2:$AQ$367,Q648)))</f>
        <v/>
      </c>
    </row>
    <row r="649">
      <c r="B649" s="71">
        <f>IF(R649="","",644)</f>
        <v/>
      </c>
      <c r="C649" s="75">
        <f>IF(R649="","",IF(INDEX('Recurring Schedule'!$C$6:$C$45,R649)="","",INDEX('Recurring Schedule'!$C$6:$C$45,R649)))</f>
        <v/>
      </c>
      <c r="D649" s="73">
        <f>IF(R649="","",IF(INDEX('Recurring Schedule'!$D$6:$D$45,R649)="","",INDEX('Recurring Schedule'!$D$6:$D$45,R649)))</f>
        <v/>
      </c>
      <c r="E649" s="76">
        <f>IF(Q649="","",INDEX(Calc!$A$2:$A$367,Q649))</f>
        <v/>
      </c>
      <c r="F649" s="72">
        <f>IF(OR(C649="",E649=""),"",E649-Setup!$D$7)</f>
        <v/>
      </c>
      <c r="G649" s="77">
        <f>IF(R649="","",IF(INDEX('Recurring Schedule'!$H$6:$H$45,R649)="","",INDEX('Recurring Schedule'!$H$6:$H$45,R649)))</f>
        <v/>
      </c>
      <c r="H649" s="77">
        <f>IF(R649="","",IF(INDEX('Recurring Schedule'!$I$6:$I$45,R649)="","",INDEX('Recurring Schedule'!$I$6:$I$45,R649)))</f>
        <v/>
      </c>
      <c r="I649" s="73">
        <f>IF(OR(G649="",H649=""),"",TRIM(IF(HOUR(H649-G649)&gt;0,HOUR(H649-G649)&amp;" hr ","")&amp;IF(MINUTE(H649-G649)&gt;0,MINUTE(H649-G649)&amp;" min","")))</f>
        <v/>
      </c>
      <c r="J649" s="66" t="n"/>
      <c r="K649" s="70" t="n"/>
      <c r="L649" s="73">
        <f>IF(R649="","",IF(INDEX('Recurring Schedule'!$J$6:$J$45,R649)="","",INDEX('Recurring Schedule'!$J$6:$J$45,R649)))</f>
        <v/>
      </c>
      <c r="M649" s="73">
        <f>IF(R649="","",IF(INDEX('Recurring Schedule'!$K$6:$K$45,R649)="","",INDEX('Recurring Schedule'!$K$6:$K$45,R649)))</f>
        <v/>
      </c>
      <c r="N649" s="73">
        <f>IF(R649="","",IF(INDEX('Recurring Schedule'!$L$6:$L$45,R649)="","",INDEX('Recurring Schedule'!$L$6:$L$45,R649)))</f>
        <v/>
      </c>
      <c r="O649" s="73">
        <f>IF(C649="","",IF(AND(OR(L649="1-Urgent",L649="2-High"),M649="✓"),"DO FIRST",IF(M649="✓","SCHEDULE",IF(OR(L649="1-Urgent",L649="2-High"),"DELEGATE","DELETE"))))</f>
        <v/>
      </c>
      <c r="P649" s="65" t="n"/>
      <c r="Q649">
        <f>IF(644&gt;Calc!$AQ$368,"",MATCH(643,Calc!$AQ$2:$AQ$367,1))</f>
        <v/>
      </c>
      <c r="R649">
        <f>IF(Q649="","",SMALL(INDEX(Calc!$B$2:$AO$367,Q649,0),644-INDEX(Calc!$AQ$2:$AQ$367,Q649)))</f>
        <v/>
      </c>
    </row>
    <row r="650">
      <c r="B650" s="64">
        <f>IF(R650="","",645)</f>
        <v/>
      </c>
      <c r="C650" s="37">
        <f>IF(R650="","",IF(INDEX('Recurring Schedule'!$C$6:$C$45,R650)="","",INDEX('Recurring Schedule'!$C$6:$C$45,R650)))</f>
        <v/>
      </c>
      <c r="D650" s="36">
        <f>IF(R650="","",IF(INDEX('Recurring Schedule'!$D$6:$D$45,R650)="","",INDEX('Recurring Schedule'!$D$6:$D$45,R650)))</f>
        <v/>
      </c>
      <c r="E650" s="38">
        <f>IF(Q650="","",INDEX(Calc!$A$2:$A$367,Q650))</f>
        <v/>
      </c>
      <c r="F650" s="68">
        <f>IF(OR(C650="",E650=""),"",E650-Setup!$D$7)</f>
        <v/>
      </c>
      <c r="G650" s="74">
        <f>IF(R650="","",IF(INDEX('Recurring Schedule'!$H$6:$H$45,R650)="","",INDEX('Recurring Schedule'!$H$6:$H$45,R650)))</f>
        <v/>
      </c>
      <c r="H650" s="74">
        <f>IF(R650="","",IF(INDEX('Recurring Schedule'!$I$6:$I$45,R650)="","",INDEX('Recurring Schedule'!$I$6:$I$45,R650)))</f>
        <v/>
      </c>
      <c r="I650" s="36">
        <f>IF(OR(G650="",H650=""),"",TRIM(IF(HOUR(H650-G650)&gt;0,HOUR(H650-G650)&amp;" hr ","")&amp;IF(MINUTE(H650-G650)&gt;0,MINUTE(H650-G650)&amp;" min","")))</f>
        <v/>
      </c>
      <c r="J650" s="66" t="n"/>
      <c r="K650" s="70" t="n"/>
      <c r="L650" s="36">
        <f>IF(R650="","",IF(INDEX('Recurring Schedule'!$J$6:$J$45,R650)="","",INDEX('Recurring Schedule'!$J$6:$J$45,R650)))</f>
        <v/>
      </c>
      <c r="M650" s="36">
        <f>IF(R650="","",IF(INDEX('Recurring Schedule'!$K$6:$K$45,R650)="","",INDEX('Recurring Schedule'!$K$6:$K$45,R650)))</f>
        <v/>
      </c>
      <c r="N650" s="36">
        <f>IF(R650="","",IF(INDEX('Recurring Schedule'!$L$6:$L$45,R650)="","",INDEX('Recurring Schedule'!$L$6:$L$45,R650)))</f>
        <v/>
      </c>
      <c r="O650" s="36">
        <f>IF(C650="","",IF(AND(OR(L650="1-Urgent",L650="2-High"),M650="✓"),"DO FIRST",IF(M650="✓","SCHEDULE",IF(OR(L650="1-Urgent",L650="2-High"),"DELEGATE","DELETE"))))</f>
        <v/>
      </c>
      <c r="P650" s="65" t="n"/>
      <c r="Q650">
        <f>IF(645&gt;Calc!$AQ$368,"",MATCH(644,Calc!$AQ$2:$AQ$367,1))</f>
        <v/>
      </c>
      <c r="R650">
        <f>IF(Q650="","",SMALL(INDEX(Calc!$B$2:$AO$367,Q650,0),645-INDEX(Calc!$AQ$2:$AQ$367,Q650)))</f>
        <v/>
      </c>
    </row>
    <row r="651">
      <c r="B651" s="71">
        <f>IF(R651="","",646)</f>
        <v/>
      </c>
      <c r="C651" s="75">
        <f>IF(R651="","",IF(INDEX('Recurring Schedule'!$C$6:$C$45,R651)="","",INDEX('Recurring Schedule'!$C$6:$C$45,R651)))</f>
        <v/>
      </c>
      <c r="D651" s="73">
        <f>IF(R651="","",IF(INDEX('Recurring Schedule'!$D$6:$D$45,R651)="","",INDEX('Recurring Schedule'!$D$6:$D$45,R651)))</f>
        <v/>
      </c>
      <c r="E651" s="76">
        <f>IF(Q651="","",INDEX(Calc!$A$2:$A$367,Q651))</f>
        <v/>
      </c>
      <c r="F651" s="72">
        <f>IF(OR(C651="",E651=""),"",E651-Setup!$D$7)</f>
        <v/>
      </c>
      <c r="G651" s="77">
        <f>IF(R651="","",IF(INDEX('Recurring Schedule'!$H$6:$H$45,R651)="","",INDEX('Recurring Schedule'!$H$6:$H$45,R651)))</f>
        <v/>
      </c>
      <c r="H651" s="77">
        <f>IF(R651="","",IF(INDEX('Recurring Schedule'!$I$6:$I$45,R651)="","",INDEX('Recurring Schedule'!$I$6:$I$45,R651)))</f>
        <v/>
      </c>
      <c r="I651" s="73">
        <f>IF(OR(G651="",H651=""),"",TRIM(IF(HOUR(H651-G651)&gt;0,HOUR(H651-G651)&amp;" hr ","")&amp;IF(MINUTE(H651-G651)&gt;0,MINUTE(H651-G651)&amp;" min","")))</f>
        <v/>
      </c>
      <c r="J651" s="66" t="n"/>
      <c r="K651" s="70" t="n"/>
      <c r="L651" s="73">
        <f>IF(R651="","",IF(INDEX('Recurring Schedule'!$J$6:$J$45,R651)="","",INDEX('Recurring Schedule'!$J$6:$J$45,R651)))</f>
        <v/>
      </c>
      <c r="M651" s="73">
        <f>IF(R651="","",IF(INDEX('Recurring Schedule'!$K$6:$K$45,R651)="","",INDEX('Recurring Schedule'!$K$6:$K$45,R651)))</f>
        <v/>
      </c>
      <c r="N651" s="73">
        <f>IF(R651="","",IF(INDEX('Recurring Schedule'!$L$6:$L$45,R651)="","",INDEX('Recurring Schedule'!$L$6:$L$45,R651)))</f>
        <v/>
      </c>
      <c r="O651" s="73">
        <f>IF(C651="","",IF(AND(OR(L651="1-Urgent",L651="2-High"),M651="✓"),"DO FIRST",IF(M651="✓","SCHEDULE",IF(OR(L651="1-Urgent",L651="2-High"),"DELEGATE","DELETE"))))</f>
        <v/>
      </c>
      <c r="P651" s="65" t="n"/>
      <c r="Q651">
        <f>IF(646&gt;Calc!$AQ$368,"",MATCH(645,Calc!$AQ$2:$AQ$367,1))</f>
        <v/>
      </c>
      <c r="R651">
        <f>IF(Q651="","",SMALL(INDEX(Calc!$B$2:$AO$367,Q651,0),646-INDEX(Calc!$AQ$2:$AQ$367,Q651)))</f>
        <v/>
      </c>
    </row>
    <row r="652">
      <c r="B652" s="64">
        <f>IF(R652="","",647)</f>
        <v/>
      </c>
      <c r="C652" s="37">
        <f>IF(R652="","",IF(INDEX('Recurring Schedule'!$C$6:$C$45,R652)="","",INDEX('Recurring Schedule'!$C$6:$C$45,R652)))</f>
        <v/>
      </c>
      <c r="D652" s="36">
        <f>IF(R652="","",IF(INDEX('Recurring Schedule'!$D$6:$D$45,R652)="","",INDEX('Recurring Schedule'!$D$6:$D$45,R652)))</f>
        <v/>
      </c>
      <c r="E652" s="38">
        <f>IF(Q652="","",INDEX(Calc!$A$2:$A$367,Q652))</f>
        <v/>
      </c>
      <c r="F652" s="68">
        <f>IF(OR(C652="",E652=""),"",E652-Setup!$D$7)</f>
        <v/>
      </c>
      <c r="G652" s="74">
        <f>IF(R652="","",IF(INDEX('Recurring Schedule'!$H$6:$H$45,R652)="","",INDEX('Recurring Schedule'!$H$6:$H$45,R652)))</f>
        <v/>
      </c>
      <c r="H652" s="74">
        <f>IF(R652="","",IF(INDEX('Recurring Schedule'!$I$6:$I$45,R652)="","",INDEX('Recurring Schedule'!$I$6:$I$45,R652)))</f>
        <v/>
      </c>
      <c r="I652" s="36">
        <f>IF(OR(G652="",H652=""),"",TRIM(IF(HOUR(H652-G652)&gt;0,HOUR(H652-G652)&amp;" hr ","")&amp;IF(MINUTE(H652-G652)&gt;0,MINUTE(H652-G652)&amp;" min","")))</f>
        <v/>
      </c>
      <c r="J652" s="66" t="n"/>
      <c r="K652" s="70" t="n"/>
      <c r="L652" s="36">
        <f>IF(R652="","",IF(INDEX('Recurring Schedule'!$J$6:$J$45,R652)="","",INDEX('Recurring Schedule'!$J$6:$J$45,R652)))</f>
        <v/>
      </c>
      <c r="M652" s="36">
        <f>IF(R652="","",IF(INDEX('Recurring Schedule'!$K$6:$K$45,R652)="","",INDEX('Recurring Schedule'!$K$6:$K$45,R652)))</f>
        <v/>
      </c>
      <c r="N652" s="36">
        <f>IF(R652="","",IF(INDEX('Recurring Schedule'!$L$6:$L$45,R652)="","",INDEX('Recurring Schedule'!$L$6:$L$45,R652)))</f>
        <v/>
      </c>
      <c r="O652" s="36">
        <f>IF(C652="","",IF(AND(OR(L652="1-Urgent",L652="2-High"),M652="✓"),"DO FIRST",IF(M652="✓","SCHEDULE",IF(OR(L652="1-Urgent",L652="2-High"),"DELEGATE","DELETE"))))</f>
        <v/>
      </c>
      <c r="P652" s="65" t="n"/>
      <c r="Q652">
        <f>IF(647&gt;Calc!$AQ$368,"",MATCH(646,Calc!$AQ$2:$AQ$367,1))</f>
        <v/>
      </c>
      <c r="R652">
        <f>IF(Q652="","",SMALL(INDEX(Calc!$B$2:$AO$367,Q652,0),647-INDEX(Calc!$AQ$2:$AQ$367,Q652)))</f>
        <v/>
      </c>
    </row>
    <row r="653">
      <c r="B653" s="71">
        <f>IF(R653="","",648)</f>
        <v/>
      </c>
      <c r="C653" s="75">
        <f>IF(R653="","",IF(INDEX('Recurring Schedule'!$C$6:$C$45,R653)="","",INDEX('Recurring Schedule'!$C$6:$C$45,R653)))</f>
        <v/>
      </c>
      <c r="D653" s="73">
        <f>IF(R653="","",IF(INDEX('Recurring Schedule'!$D$6:$D$45,R653)="","",INDEX('Recurring Schedule'!$D$6:$D$45,R653)))</f>
        <v/>
      </c>
      <c r="E653" s="76">
        <f>IF(Q653="","",INDEX(Calc!$A$2:$A$367,Q653))</f>
        <v/>
      </c>
      <c r="F653" s="72">
        <f>IF(OR(C653="",E653=""),"",E653-Setup!$D$7)</f>
        <v/>
      </c>
      <c r="G653" s="77">
        <f>IF(R653="","",IF(INDEX('Recurring Schedule'!$H$6:$H$45,R653)="","",INDEX('Recurring Schedule'!$H$6:$H$45,R653)))</f>
        <v/>
      </c>
      <c r="H653" s="77">
        <f>IF(R653="","",IF(INDEX('Recurring Schedule'!$I$6:$I$45,R653)="","",INDEX('Recurring Schedule'!$I$6:$I$45,R653)))</f>
        <v/>
      </c>
      <c r="I653" s="73">
        <f>IF(OR(G653="",H653=""),"",TRIM(IF(HOUR(H653-G653)&gt;0,HOUR(H653-G653)&amp;" hr ","")&amp;IF(MINUTE(H653-G653)&gt;0,MINUTE(H653-G653)&amp;" min","")))</f>
        <v/>
      </c>
      <c r="J653" s="66" t="n"/>
      <c r="K653" s="70" t="n"/>
      <c r="L653" s="73">
        <f>IF(R653="","",IF(INDEX('Recurring Schedule'!$J$6:$J$45,R653)="","",INDEX('Recurring Schedule'!$J$6:$J$45,R653)))</f>
        <v/>
      </c>
      <c r="M653" s="73">
        <f>IF(R653="","",IF(INDEX('Recurring Schedule'!$K$6:$K$45,R653)="","",INDEX('Recurring Schedule'!$K$6:$K$45,R653)))</f>
        <v/>
      </c>
      <c r="N653" s="73">
        <f>IF(R653="","",IF(INDEX('Recurring Schedule'!$L$6:$L$45,R653)="","",INDEX('Recurring Schedule'!$L$6:$L$45,R653)))</f>
        <v/>
      </c>
      <c r="O653" s="73">
        <f>IF(C653="","",IF(AND(OR(L653="1-Urgent",L653="2-High"),M653="✓"),"DO FIRST",IF(M653="✓","SCHEDULE",IF(OR(L653="1-Urgent",L653="2-High"),"DELEGATE","DELETE"))))</f>
        <v/>
      </c>
      <c r="P653" s="65" t="n"/>
      <c r="Q653">
        <f>IF(648&gt;Calc!$AQ$368,"",MATCH(647,Calc!$AQ$2:$AQ$367,1))</f>
        <v/>
      </c>
      <c r="R653">
        <f>IF(Q653="","",SMALL(INDEX(Calc!$B$2:$AO$367,Q653,0),648-INDEX(Calc!$AQ$2:$AQ$367,Q653)))</f>
        <v/>
      </c>
    </row>
    <row r="654">
      <c r="B654" s="64">
        <f>IF(R654="","",649)</f>
        <v/>
      </c>
      <c r="C654" s="37">
        <f>IF(R654="","",IF(INDEX('Recurring Schedule'!$C$6:$C$45,R654)="","",INDEX('Recurring Schedule'!$C$6:$C$45,R654)))</f>
        <v/>
      </c>
      <c r="D654" s="36">
        <f>IF(R654="","",IF(INDEX('Recurring Schedule'!$D$6:$D$45,R654)="","",INDEX('Recurring Schedule'!$D$6:$D$45,R654)))</f>
        <v/>
      </c>
      <c r="E654" s="38">
        <f>IF(Q654="","",INDEX(Calc!$A$2:$A$367,Q654))</f>
        <v/>
      </c>
      <c r="F654" s="68">
        <f>IF(OR(C654="",E654=""),"",E654-Setup!$D$7)</f>
        <v/>
      </c>
      <c r="G654" s="74">
        <f>IF(R654="","",IF(INDEX('Recurring Schedule'!$H$6:$H$45,R654)="","",INDEX('Recurring Schedule'!$H$6:$H$45,R654)))</f>
        <v/>
      </c>
      <c r="H654" s="74">
        <f>IF(R654="","",IF(INDEX('Recurring Schedule'!$I$6:$I$45,R654)="","",INDEX('Recurring Schedule'!$I$6:$I$45,R654)))</f>
        <v/>
      </c>
      <c r="I654" s="36">
        <f>IF(OR(G654="",H654=""),"",TRIM(IF(HOUR(H654-G654)&gt;0,HOUR(H654-G654)&amp;" hr ","")&amp;IF(MINUTE(H654-G654)&gt;0,MINUTE(H654-G654)&amp;" min","")))</f>
        <v/>
      </c>
      <c r="J654" s="66" t="n"/>
      <c r="K654" s="70" t="n"/>
      <c r="L654" s="36">
        <f>IF(R654="","",IF(INDEX('Recurring Schedule'!$J$6:$J$45,R654)="","",INDEX('Recurring Schedule'!$J$6:$J$45,R654)))</f>
        <v/>
      </c>
      <c r="M654" s="36">
        <f>IF(R654="","",IF(INDEX('Recurring Schedule'!$K$6:$K$45,R654)="","",INDEX('Recurring Schedule'!$K$6:$K$45,R654)))</f>
        <v/>
      </c>
      <c r="N654" s="36">
        <f>IF(R654="","",IF(INDEX('Recurring Schedule'!$L$6:$L$45,R654)="","",INDEX('Recurring Schedule'!$L$6:$L$45,R654)))</f>
        <v/>
      </c>
      <c r="O654" s="36">
        <f>IF(C654="","",IF(AND(OR(L654="1-Urgent",L654="2-High"),M654="✓"),"DO FIRST",IF(M654="✓","SCHEDULE",IF(OR(L654="1-Urgent",L654="2-High"),"DELEGATE","DELETE"))))</f>
        <v/>
      </c>
      <c r="P654" s="65" t="n"/>
      <c r="Q654">
        <f>IF(649&gt;Calc!$AQ$368,"",MATCH(648,Calc!$AQ$2:$AQ$367,1))</f>
        <v/>
      </c>
      <c r="R654">
        <f>IF(Q654="","",SMALL(INDEX(Calc!$B$2:$AO$367,Q654,0),649-INDEX(Calc!$AQ$2:$AQ$367,Q654)))</f>
        <v/>
      </c>
    </row>
    <row r="655">
      <c r="B655" s="71">
        <f>IF(R655="","",650)</f>
        <v/>
      </c>
      <c r="C655" s="75">
        <f>IF(R655="","",IF(INDEX('Recurring Schedule'!$C$6:$C$45,R655)="","",INDEX('Recurring Schedule'!$C$6:$C$45,R655)))</f>
        <v/>
      </c>
      <c r="D655" s="73">
        <f>IF(R655="","",IF(INDEX('Recurring Schedule'!$D$6:$D$45,R655)="","",INDEX('Recurring Schedule'!$D$6:$D$45,R655)))</f>
        <v/>
      </c>
      <c r="E655" s="76">
        <f>IF(Q655="","",INDEX(Calc!$A$2:$A$367,Q655))</f>
        <v/>
      </c>
      <c r="F655" s="72">
        <f>IF(OR(C655="",E655=""),"",E655-Setup!$D$7)</f>
        <v/>
      </c>
      <c r="G655" s="77">
        <f>IF(R655="","",IF(INDEX('Recurring Schedule'!$H$6:$H$45,R655)="","",INDEX('Recurring Schedule'!$H$6:$H$45,R655)))</f>
        <v/>
      </c>
      <c r="H655" s="77">
        <f>IF(R655="","",IF(INDEX('Recurring Schedule'!$I$6:$I$45,R655)="","",INDEX('Recurring Schedule'!$I$6:$I$45,R655)))</f>
        <v/>
      </c>
      <c r="I655" s="73">
        <f>IF(OR(G655="",H655=""),"",TRIM(IF(HOUR(H655-G655)&gt;0,HOUR(H655-G655)&amp;" hr ","")&amp;IF(MINUTE(H655-G655)&gt;0,MINUTE(H655-G655)&amp;" min","")))</f>
        <v/>
      </c>
      <c r="J655" s="66" t="n"/>
      <c r="K655" s="70" t="n"/>
      <c r="L655" s="73">
        <f>IF(R655="","",IF(INDEX('Recurring Schedule'!$J$6:$J$45,R655)="","",INDEX('Recurring Schedule'!$J$6:$J$45,R655)))</f>
        <v/>
      </c>
      <c r="M655" s="73">
        <f>IF(R655="","",IF(INDEX('Recurring Schedule'!$K$6:$K$45,R655)="","",INDEX('Recurring Schedule'!$K$6:$K$45,R655)))</f>
        <v/>
      </c>
      <c r="N655" s="73">
        <f>IF(R655="","",IF(INDEX('Recurring Schedule'!$L$6:$L$45,R655)="","",INDEX('Recurring Schedule'!$L$6:$L$45,R655)))</f>
        <v/>
      </c>
      <c r="O655" s="73">
        <f>IF(C655="","",IF(AND(OR(L655="1-Urgent",L655="2-High"),M655="✓"),"DO FIRST",IF(M655="✓","SCHEDULE",IF(OR(L655="1-Urgent",L655="2-High"),"DELEGATE","DELETE"))))</f>
        <v/>
      </c>
      <c r="P655" s="65" t="n"/>
      <c r="Q655">
        <f>IF(650&gt;Calc!$AQ$368,"",MATCH(649,Calc!$AQ$2:$AQ$367,1))</f>
        <v/>
      </c>
      <c r="R655">
        <f>IF(Q655="","",SMALL(INDEX(Calc!$B$2:$AO$367,Q655,0),650-INDEX(Calc!$AQ$2:$AQ$367,Q655)))</f>
        <v/>
      </c>
    </row>
    <row r="656">
      <c r="B656" s="64">
        <f>IF(R656="","",651)</f>
        <v/>
      </c>
      <c r="C656" s="37">
        <f>IF(R656="","",IF(INDEX('Recurring Schedule'!$C$6:$C$45,R656)="","",INDEX('Recurring Schedule'!$C$6:$C$45,R656)))</f>
        <v/>
      </c>
      <c r="D656" s="36">
        <f>IF(R656="","",IF(INDEX('Recurring Schedule'!$D$6:$D$45,R656)="","",INDEX('Recurring Schedule'!$D$6:$D$45,R656)))</f>
        <v/>
      </c>
      <c r="E656" s="38">
        <f>IF(Q656="","",INDEX(Calc!$A$2:$A$367,Q656))</f>
        <v/>
      </c>
      <c r="F656" s="68">
        <f>IF(OR(C656="",E656=""),"",E656-Setup!$D$7)</f>
        <v/>
      </c>
      <c r="G656" s="74">
        <f>IF(R656="","",IF(INDEX('Recurring Schedule'!$H$6:$H$45,R656)="","",INDEX('Recurring Schedule'!$H$6:$H$45,R656)))</f>
        <v/>
      </c>
      <c r="H656" s="74">
        <f>IF(R656="","",IF(INDEX('Recurring Schedule'!$I$6:$I$45,R656)="","",INDEX('Recurring Schedule'!$I$6:$I$45,R656)))</f>
        <v/>
      </c>
      <c r="I656" s="36">
        <f>IF(OR(G656="",H656=""),"",TRIM(IF(HOUR(H656-G656)&gt;0,HOUR(H656-G656)&amp;" hr ","")&amp;IF(MINUTE(H656-G656)&gt;0,MINUTE(H656-G656)&amp;" min","")))</f>
        <v/>
      </c>
      <c r="J656" s="66" t="n"/>
      <c r="K656" s="70" t="n"/>
      <c r="L656" s="36">
        <f>IF(R656="","",IF(INDEX('Recurring Schedule'!$J$6:$J$45,R656)="","",INDEX('Recurring Schedule'!$J$6:$J$45,R656)))</f>
        <v/>
      </c>
      <c r="M656" s="36">
        <f>IF(R656="","",IF(INDEX('Recurring Schedule'!$K$6:$K$45,R656)="","",INDEX('Recurring Schedule'!$K$6:$K$45,R656)))</f>
        <v/>
      </c>
      <c r="N656" s="36">
        <f>IF(R656="","",IF(INDEX('Recurring Schedule'!$L$6:$L$45,R656)="","",INDEX('Recurring Schedule'!$L$6:$L$45,R656)))</f>
        <v/>
      </c>
      <c r="O656" s="36">
        <f>IF(C656="","",IF(AND(OR(L656="1-Urgent",L656="2-High"),M656="✓"),"DO FIRST",IF(M656="✓","SCHEDULE",IF(OR(L656="1-Urgent",L656="2-High"),"DELEGATE","DELETE"))))</f>
        <v/>
      </c>
      <c r="P656" s="65" t="n"/>
      <c r="Q656">
        <f>IF(651&gt;Calc!$AQ$368,"",MATCH(650,Calc!$AQ$2:$AQ$367,1))</f>
        <v/>
      </c>
      <c r="R656">
        <f>IF(Q656="","",SMALL(INDEX(Calc!$B$2:$AO$367,Q656,0),651-INDEX(Calc!$AQ$2:$AQ$367,Q656)))</f>
        <v/>
      </c>
    </row>
    <row r="657">
      <c r="B657" s="71">
        <f>IF(R657="","",652)</f>
        <v/>
      </c>
      <c r="C657" s="75">
        <f>IF(R657="","",IF(INDEX('Recurring Schedule'!$C$6:$C$45,R657)="","",INDEX('Recurring Schedule'!$C$6:$C$45,R657)))</f>
        <v/>
      </c>
      <c r="D657" s="73">
        <f>IF(R657="","",IF(INDEX('Recurring Schedule'!$D$6:$D$45,R657)="","",INDEX('Recurring Schedule'!$D$6:$D$45,R657)))</f>
        <v/>
      </c>
      <c r="E657" s="76">
        <f>IF(Q657="","",INDEX(Calc!$A$2:$A$367,Q657))</f>
        <v/>
      </c>
      <c r="F657" s="72">
        <f>IF(OR(C657="",E657=""),"",E657-Setup!$D$7)</f>
        <v/>
      </c>
      <c r="G657" s="77">
        <f>IF(R657="","",IF(INDEX('Recurring Schedule'!$H$6:$H$45,R657)="","",INDEX('Recurring Schedule'!$H$6:$H$45,R657)))</f>
        <v/>
      </c>
      <c r="H657" s="77">
        <f>IF(R657="","",IF(INDEX('Recurring Schedule'!$I$6:$I$45,R657)="","",INDEX('Recurring Schedule'!$I$6:$I$45,R657)))</f>
        <v/>
      </c>
      <c r="I657" s="73">
        <f>IF(OR(G657="",H657=""),"",TRIM(IF(HOUR(H657-G657)&gt;0,HOUR(H657-G657)&amp;" hr ","")&amp;IF(MINUTE(H657-G657)&gt;0,MINUTE(H657-G657)&amp;" min","")))</f>
        <v/>
      </c>
      <c r="J657" s="66" t="n"/>
      <c r="K657" s="70" t="n"/>
      <c r="L657" s="73">
        <f>IF(R657="","",IF(INDEX('Recurring Schedule'!$J$6:$J$45,R657)="","",INDEX('Recurring Schedule'!$J$6:$J$45,R657)))</f>
        <v/>
      </c>
      <c r="M657" s="73">
        <f>IF(R657="","",IF(INDEX('Recurring Schedule'!$K$6:$K$45,R657)="","",INDEX('Recurring Schedule'!$K$6:$K$45,R657)))</f>
        <v/>
      </c>
      <c r="N657" s="73">
        <f>IF(R657="","",IF(INDEX('Recurring Schedule'!$L$6:$L$45,R657)="","",INDEX('Recurring Schedule'!$L$6:$L$45,R657)))</f>
        <v/>
      </c>
      <c r="O657" s="73">
        <f>IF(C657="","",IF(AND(OR(L657="1-Urgent",L657="2-High"),M657="✓"),"DO FIRST",IF(M657="✓","SCHEDULE",IF(OR(L657="1-Urgent",L657="2-High"),"DELEGATE","DELETE"))))</f>
        <v/>
      </c>
      <c r="P657" s="65" t="n"/>
      <c r="Q657">
        <f>IF(652&gt;Calc!$AQ$368,"",MATCH(651,Calc!$AQ$2:$AQ$367,1))</f>
        <v/>
      </c>
      <c r="R657">
        <f>IF(Q657="","",SMALL(INDEX(Calc!$B$2:$AO$367,Q657,0),652-INDEX(Calc!$AQ$2:$AQ$367,Q657)))</f>
        <v/>
      </c>
    </row>
    <row r="658">
      <c r="B658" s="64">
        <f>IF(R658="","",653)</f>
        <v/>
      </c>
      <c r="C658" s="37">
        <f>IF(R658="","",IF(INDEX('Recurring Schedule'!$C$6:$C$45,R658)="","",INDEX('Recurring Schedule'!$C$6:$C$45,R658)))</f>
        <v/>
      </c>
      <c r="D658" s="36">
        <f>IF(R658="","",IF(INDEX('Recurring Schedule'!$D$6:$D$45,R658)="","",INDEX('Recurring Schedule'!$D$6:$D$45,R658)))</f>
        <v/>
      </c>
      <c r="E658" s="38">
        <f>IF(Q658="","",INDEX(Calc!$A$2:$A$367,Q658))</f>
        <v/>
      </c>
      <c r="F658" s="68">
        <f>IF(OR(C658="",E658=""),"",E658-Setup!$D$7)</f>
        <v/>
      </c>
      <c r="G658" s="74">
        <f>IF(R658="","",IF(INDEX('Recurring Schedule'!$H$6:$H$45,R658)="","",INDEX('Recurring Schedule'!$H$6:$H$45,R658)))</f>
        <v/>
      </c>
      <c r="H658" s="74">
        <f>IF(R658="","",IF(INDEX('Recurring Schedule'!$I$6:$I$45,R658)="","",INDEX('Recurring Schedule'!$I$6:$I$45,R658)))</f>
        <v/>
      </c>
      <c r="I658" s="36">
        <f>IF(OR(G658="",H658=""),"",TRIM(IF(HOUR(H658-G658)&gt;0,HOUR(H658-G658)&amp;" hr ","")&amp;IF(MINUTE(H658-G658)&gt;0,MINUTE(H658-G658)&amp;" min","")))</f>
        <v/>
      </c>
      <c r="J658" s="66" t="n"/>
      <c r="K658" s="70" t="n"/>
      <c r="L658" s="36">
        <f>IF(R658="","",IF(INDEX('Recurring Schedule'!$J$6:$J$45,R658)="","",INDEX('Recurring Schedule'!$J$6:$J$45,R658)))</f>
        <v/>
      </c>
      <c r="M658" s="36">
        <f>IF(R658="","",IF(INDEX('Recurring Schedule'!$K$6:$K$45,R658)="","",INDEX('Recurring Schedule'!$K$6:$K$45,R658)))</f>
        <v/>
      </c>
      <c r="N658" s="36">
        <f>IF(R658="","",IF(INDEX('Recurring Schedule'!$L$6:$L$45,R658)="","",INDEX('Recurring Schedule'!$L$6:$L$45,R658)))</f>
        <v/>
      </c>
      <c r="O658" s="36">
        <f>IF(C658="","",IF(AND(OR(L658="1-Urgent",L658="2-High"),M658="✓"),"DO FIRST",IF(M658="✓","SCHEDULE",IF(OR(L658="1-Urgent",L658="2-High"),"DELEGATE","DELETE"))))</f>
        <v/>
      </c>
      <c r="P658" s="65" t="n"/>
      <c r="Q658">
        <f>IF(653&gt;Calc!$AQ$368,"",MATCH(652,Calc!$AQ$2:$AQ$367,1))</f>
        <v/>
      </c>
      <c r="R658">
        <f>IF(Q658="","",SMALL(INDEX(Calc!$B$2:$AO$367,Q658,0),653-INDEX(Calc!$AQ$2:$AQ$367,Q658)))</f>
        <v/>
      </c>
    </row>
    <row r="659">
      <c r="B659" s="71">
        <f>IF(R659="","",654)</f>
        <v/>
      </c>
      <c r="C659" s="75">
        <f>IF(R659="","",IF(INDEX('Recurring Schedule'!$C$6:$C$45,R659)="","",INDEX('Recurring Schedule'!$C$6:$C$45,R659)))</f>
        <v/>
      </c>
      <c r="D659" s="73">
        <f>IF(R659="","",IF(INDEX('Recurring Schedule'!$D$6:$D$45,R659)="","",INDEX('Recurring Schedule'!$D$6:$D$45,R659)))</f>
        <v/>
      </c>
      <c r="E659" s="76">
        <f>IF(Q659="","",INDEX(Calc!$A$2:$A$367,Q659))</f>
        <v/>
      </c>
      <c r="F659" s="72">
        <f>IF(OR(C659="",E659=""),"",E659-Setup!$D$7)</f>
        <v/>
      </c>
      <c r="G659" s="77">
        <f>IF(R659="","",IF(INDEX('Recurring Schedule'!$H$6:$H$45,R659)="","",INDEX('Recurring Schedule'!$H$6:$H$45,R659)))</f>
        <v/>
      </c>
      <c r="H659" s="77">
        <f>IF(R659="","",IF(INDEX('Recurring Schedule'!$I$6:$I$45,R659)="","",INDEX('Recurring Schedule'!$I$6:$I$45,R659)))</f>
        <v/>
      </c>
      <c r="I659" s="73">
        <f>IF(OR(G659="",H659=""),"",TRIM(IF(HOUR(H659-G659)&gt;0,HOUR(H659-G659)&amp;" hr ","")&amp;IF(MINUTE(H659-G659)&gt;0,MINUTE(H659-G659)&amp;" min","")))</f>
        <v/>
      </c>
      <c r="J659" s="66" t="n"/>
      <c r="K659" s="70" t="n"/>
      <c r="L659" s="73">
        <f>IF(R659="","",IF(INDEX('Recurring Schedule'!$J$6:$J$45,R659)="","",INDEX('Recurring Schedule'!$J$6:$J$45,R659)))</f>
        <v/>
      </c>
      <c r="M659" s="73">
        <f>IF(R659="","",IF(INDEX('Recurring Schedule'!$K$6:$K$45,R659)="","",INDEX('Recurring Schedule'!$K$6:$K$45,R659)))</f>
        <v/>
      </c>
      <c r="N659" s="73">
        <f>IF(R659="","",IF(INDEX('Recurring Schedule'!$L$6:$L$45,R659)="","",INDEX('Recurring Schedule'!$L$6:$L$45,R659)))</f>
        <v/>
      </c>
      <c r="O659" s="73">
        <f>IF(C659="","",IF(AND(OR(L659="1-Urgent",L659="2-High"),M659="✓"),"DO FIRST",IF(M659="✓","SCHEDULE",IF(OR(L659="1-Urgent",L659="2-High"),"DELEGATE","DELETE"))))</f>
        <v/>
      </c>
      <c r="P659" s="65" t="n"/>
      <c r="Q659">
        <f>IF(654&gt;Calc!$AQ$368,"",MATCH(653,Calc!$AQ$2:$AQ$367,1))</f>
        <v/>
      </c>
      <c r="R659">
        <f>IF(Q659="","",SMALL(INDEX(Calc!$B$2:$AO$367,Q659,0),654-INDEX(Calc!$AQ$2:$AQ$367,Q659)))</f>
        <v/>
      </c>
    </row>
    <row r="660">
      <c r="B660" s="64">
        <f>IF(R660="","",655)</f>
        <v/>
      </c>
      <c r="C660" s="37">
        <f>IF(R660="","",IF(INDEX('Recurring Schedule'!$C$6:$C$45,R660)="","",INDEX('Recurring Schedule'!$C$6:$C$45,R660)))</f>
        <v/>
      </c>
      <c r="D660" s="36">
        <f>IF(R660="","",IF(INDEX('Recurring Schedule'!$D$6:$D$45,R660)="","",INDEX('Recurring Schedule'!$D$6:$D$45,R660)))</f>
        <v/>
      </c>
      <c r="E660" s="38">
        <f>IF(Q660="","",INDEX(Calc!$A$2:$A$367,Q660))</f>
        <v/>
      </c>
      <c r="F660" s="68">
        <f>IF(OR(C660="",E660=""),"",E660-Setup!$D$7)</f>
        <v/>
      </c>
      <c r="G660" s="74">
        <f>IF(R660="","",IF(INDEX('Recurring Schedule'!$H$6:$H$45,R660)="","",INDEX('Recurring Schedule'!$H$6:$H$45,R660)))</f>
        <v/>
      </c>
      <c r="H660" s="74">
        <f>IF(R660="","",IF(INDEX('Recurring Schedule'!$I$6:$I$45,R660)="","",INDEX('Recurring Schedule'!$I$6:$I$45,R660)))</f>
        <v/>
      </c>
      <c r="I660" s="36">
        <f>IF(OR(G660="",H660=""),"",TRIM(IF(HOUR(H660-G660)&gt;0,HOUR(H660-G660)&amp;" hr ","")&amp;IF(MINUTE(H660-G660)&gt;0,MINUTE(H660-G660)&amp;" min","")))</f>
        <v/>
      </c>
      <c r="J660" s="66" t="n"/>
      <c r="K660" s="70" t="n"/>
      <c r="L660" s="36">
        <f>IF(R660="","",IF(INDEX('Recurring Schedule'!$J$6:$J$45,R660)="","",INDEX('Recurring Schedule'!$J$6:$J$45,R660)))</f>
        <v/>
      </c>
      <c r="M660" s="36">
        <f>IF(R660="","",IF(INDEX('Recurring Schedule'!$K$6:$K$45,R660)="","",INDEX('Recurring Schedule'!$K$6:$K$45,R660)))</f>
        <v/>
      </c>
      <c r="N660" s="36">
        <f>IF(R660="","",IF(INDEX('Recurring Schedule'!$L$6:$L$45,R660)="","",INDEX('Recurring Schedule'!$L$6:$L$45,R660)))</f>
        <v/>
      </c>
      <c r="O660" s="36">
        <f>IF(C660="","",IF(AND(OR(L660="1-Urgent",L660="2-High"),M660="✓"),"DO FIRST",IF(M660="✓","SCHEDULE",IF(OR(L660="1-Urgent",L660="2-High"),"DELEGATE","DELETE"))))</f>
        <v/>
      </c>
      <c r="P660" s="65" t="n"/>
      <c r="Q660">
        <f>IF(655&gt;Calc!$AQ$368,"",MATCH(654,Calc!$AQ$2:$AQ$367,1))</f>
        <v/>
      </c>
      <c r="R660">
        <f>IF(Q660="","",SMALL(INDEX(Calc!$B$2:$AO$367,Q660,0),655-INDEX(Calc!$AQ$2:$AQ$367,Q660)))</f>
        <v/>
      </c>
    </row>
    <row r="661">
      <c r="B661" s="71">
        <f>IF(R661="","",656)</f>
        <v/>
      </c>
      <c r="C661" s="75">
        <f>IF(R661="","",IF(INDEX('Recurring Schedule'!$C$6:$C$45,R661)="","",INDEX('Recurring Schedule'!$C$6:$C$45,R661)))</f>
        <v/>
      </c>
      <c r="D661" s="73">
        <f>IF(R661="","",IF(INDEX('Recurring Schedule'!$D$6:$D$45,R661)="","",INDEX('Recurring Schedule'!$D$6:$D$45,R661)))</f>
        <v/>
      </c>
      <c r="E661" s="76">
        <f>IF(Q661="","",INDEX(Calc!$A$2:$A$367,Q661))</f>
        <v/>
      </c>
      <c r="F661" s="72">
        <f>IF(OR(C661="",E661=""),"",E661-Setup!$D$7)</f>
        <v/>
      </c>
      <c r="G661" s="77">
        <f>IF(R661="","",IF(INDEX('Recurring Schedule'!$H$6:$H$45,R661)="","",INDEX('Recurring Schedule'!$H$6:$H$45,R661)))</f>
        <v/>
      </c>
      <c r="H661" s="77">
        <f>IF(R661="","",IF(INDEX('Recurring Schedule'!$I$6:$I$45,R661)="","",INDEX('Recurring Schedule'!$I$6:$I$45,R661)))</f>
        <v/>
      </c>
      <c r="I661" s="73">
        <f>IF(OR(G661="",H661=""),"",TRIM(IF(HOUR(H661-G661)&gt;0,HOUR(H661-G661)&amp;" hr ","")&amp;IF(MINUTE(H661-G661)&gt;0,MINUTE(H661-G661)&amp;" min","")))</f>
        <v/>
      </c>
      <c r="J661" s="66" t="n"/>
      <c r="K661" s="70" t="n"/>
      <c r="L661" s="73">
        <f>IF(R661="","",IF(INDEX('Recurring Schedule'!$J$6:$J$45,R661)="","",INDEX('Recurring Schedule'!$J$6:$J$45,R661)))</f>
        <v/>
      </c>
      <c r="M661" s="73">
        <f>IF(R661="","",IF(INDEX('Recurring Schedule'!$K$6:$K$45,R661)="","",INDEX('Recurring Schedule'!$K$6:$K$45,R661)))</f>
        <v/>
      </c>
      <c r="N661" s="73">
        <f>IF(R661="","",IF(INDEX('Recurring Schedule'!$L$6:$L$45,R661)="","",INDEX('Recurring Schedule'!$L$6:$L$45,R661)))</f>
        <v/>
      </c>
      <c r="O661" s="73">
        <f>IF(C661="","",IF(AND(OR(L661="1-Urgent",L661="2-High"),M661="✓"),"DO FIRST",IF(M661="✓","SCHEDULE",IF(OR(L661="1-Urgent",L661="2-High"),"DELEGATE","DELETE"))))</f>
        <v/>
      </c>
      <c r="P661" s="65" t="n"/>
      <c r="Q661">
        <f>IF(656&gt;Calc!$AQ$368,"",MATCH(655,Calc!$AQ$2:$AQ$367,1))</f>
        <v/>
      </c>
      <c r="R661">
        <f>IF(Q661="","",SMALL(INDEX(Calc!$B$2:$AO$367,Q661,0),656-INDEX(Calc!$AQ$2:$AQ$367,Q661)))</f>
        <v/>
      </c>
    </row>
    <row r="662">
      <c r="B662" s="64">
        <f>IF(R662="","",657)</f>
        <v/>
      </c>
      <c r="C662" s="37">
        <f>IF(R662="","",IF(INDEX('Recurring Schedule'!$C$6:$C$45,R662)="","",INDEX('Recurring Schedule'!$C$6:$C$45,R662)))</f>
        <v/>
      </c>
      <c r="D662" s="36">
        <f>IF(R662="","",IF(INDEX('Recurring Schedule'!$D$6:$D$45,R662)="","",INDEX('Recurring Schedule'!$D$6:$D$45,R662)))</f>
        <v/>
      </c>
      <c r="E662" s="38">
        <f>IF(Q662="","",INDEX(Calc!$A$2:$A$367,Q662))</f>
        <v/>
      </c>
      <c r="F662" s="68">
        <f>IF(OR(C662="",E662=""),"",E662-Setup!$D$7)</f>
        <v/>
      </c>
      <c r="G662" s="74">
        <f>IF(R662="","",IF(INDEX('Recurring Schedule'!$H$6:$H$45,R662)="","",INDEX('Recurring Schedule'!$H$6:$H$45,R662)))</f>
        <v/>
      </c>
      <c r="H662" s="74">
        <f>IF(R662="","",IF(INDEX('Recurring Schedule'!$I$6:$I$45,R662)="","",INDEX('Recurring Schedule'!$I$6:$I$45,R662)))</f>
        <v/>
      </c>
      <c r="I662" s="36">
        <f>IF(OR(G662="",H662=""),"",TRIM(IF(HOUR(H662-G662)&gt;0,HOUR(H662-G662)&amp;" hr ","")&amp;IF(MINUTE(H662-G662)&gt;0,MINUTE(H662-G662)&amp;" min","")))</f>
        <v/>
      </c>
      <c r="J662" s="66" t="n"/>
      <c r="K662" s="70" t="n"/>
      <c r="L662" s="36">
        <f>IF(R662="","",IF(INDEX('Recurring Schedule'!$J$6:$J$45,R662)="","",INDEX('Recurring Schedule'!$J$6:$J$45,R662)))</f>
        <v/>
      </c>
      <c r="M662" s="36">
        <f>IF(R662="","",IF(INDEX('Recurring Schedule'!$K$6:$K$45,R662)="","",INDEX('Recurring Schedule'!$K$6:$K$45,R662)))</f>
        <v/>
      </c>
      <c r="N662" s="36">
        <f>IF(R662="","",IF(INDEX('Recurring Schedule'!$L$6:$L$45,R662)="","",INDEX('Recurring Schedule'!$L$6:$L$45,R662)))</f>
        <v/>
      </c>
      <c r="O662" s="36">
        <f>IF(C662="","",IF(AND(OR(L662="1-Urgent",L662="2-High"),M662="✓"),"DO FIRST",IF(M662="✓","SCHEDULE",IF(OR(L662="1-Urgent",L662="2-High"),"DELEGATE","DELETE"))))</f>
        <v/>
      </c>
      <c r="P662" s="65" t="n"/>
      <c r="Q662">
        <f>IF(657&gt;Calc!$AQ$368,"",MATCH(656,Calc!$AQ$2:$AQ$367,1))</f>
        <v/>
      </c>
      <c r="R662">
        <f>IF(Q662="","",SMALL(INDEX(Calc!$B$2:$AO$367,Q662,0),657-INDEX(Calc!$AQ$2:$AQ$367,Q662)))</f>
        <v/>
      </c>
    </row>
    <row r="663">
      <c r="B663" s="71">
        <f>IF(R663="","",658)</f>
        <v/>
      </c>
      <c r="C663" s="75">
        <f>IF(R663="","",IF(INDEX('Recurring Schedule'!$C$6:$C$45,R663)="","",INDEX('Recurring Schedule'!$C$6:$C$45,R663)))</f>
        <v/>
      </c>
      <c r="D663" s="73">
        <f>IF(R663="","",IF(INDEX('Recurring Schedule'!$D$6:$D$45,R663)="","",INDEX('Recurring Schedule'!$D$6:$D$45,R663)))</f>
        <v/>
      </c>
      <c r="E663" s="76">
        <f>IF(Q663="","",INDEX(Calc!$A$2:$A$367,Q663))</f>
        <v/>
      </c>
      <c r="F663" s="72">
        <f>IF(OR(C663="",E663=""),"",E663-Setup!$D$7)</f>
        <v/>
      </c>
      <c r="G663" s="77">
        <f>IF(R663="","",IF(INDEX('Recurring Schedule'!$H$6:$H$45,R663)="","",INDEX('Recurring Schedule'!$H$6:$H$45,R663)))</f>
        <v/>
      </c>
      <c r="H663" s="77">
        <f>IF(R663="","",IF(INDEX('Recurring Schedule'!$I$6:$I$45,R663)="","",INDEX('Recurring Schedule'!$I$6:$I$45,R663)))</f>
        <v/>
      </c>
      <c r="I663" s="73">
        <f>IF(OR(G663="",H663=""),"",TRIM(IF(HOUR(H663-G663)&gt;0,HOUR(H663-G663)&amp;" hr ","")&amp;IF(MINUTE(H663-G663)&gt;0,MINUTE(H663-G663)&amp;" min","")))</f>
        <v/>
      </c>
      <c r="J663" s="66" t="n"/>
      <c r="K663" s="70" t="n"/>
      <c r="L663" s="73">
        <f>IF(R663="","",IF(INDEX('Recurring Schedule'!$J$6:$J$45,R663)="","",INDEX('Recurring Schedule'!$J$6:$J$45,R663)))</f>
        <v/>
      </c>
      <c r="M663" s="73">
        <f>IF(R663="","",IF(INDEX('Recurring Schedule'!$K$6:$K$45,R663)="","",INDEX('Recurring Schedule'!$K$6:$K$45,R663)))</f>
        <v/>
      </c>
      <c r="N663" s="73">
        <f>IF(R663="","",IF(INDEX('Recurring Schedule'!$L$6:$L$45,R663)="","",INDEX('Recurring Schedule'!$L$6:$L$45,R663)))</f>
        <v/>
      </c>
      <c r="O663" s="73">
        <f>IF(C663="","",IF(AND(OR(L663="1-Urgent",L663="2-High"),M663="✓"),"DO FIRST",IF(M663="✓","SCHEDULE",IF(OR(L663="1-Urgent",L663="2-High"),"DELEGATE","DELETE"))))</f>
        <v/>
      </c>
      <c r="P663" s="65" t="n"/>
      <c r="Q663">
        <f>IF(658&gt;Calc!$AQ$368,"",MATCH(657,Calc!$AQ$2:$AQ$367,1))</f>
        <v/>
      </c>
      <c r="R663">
        <f>IF(Q663="","",SMALL(INDEX(Calc!$B$2:$AO$367,Q663,0),658-INDEX(Calc!$AQ$2:$AQ$367,Q663)))</f>
        <v/>
      </c>
    </row>
    <row r="664">
      <c r="B664" s="64">
        <f>IF(R664="","",659)</f>
        <v/>
      </c>
      <c r="C664" s="37">
        <f>IF(R664="","",IF(INDEX('Recurring Schedule'!$C$6:$C$45,R664)="","",INDEX('Recurring Schedule'!$C$6:$C$45,R664)))</f>
        <v/>
      </c>
      <c r="D664" s="36">
        <f>IF(R664="","",IF(INDEX('Recurring Schedule'!$D$6:$D$45,R664)="","",INDEX('Recurring Schedule'!$D$6:$D$45,R664)))</f>
        <v/>
      </c>
      <c r="E664" s="38">
        <f>IF(Q664="","",INDEX(Calc!$A$2:$A$367,Q664))</f>
        <v/>
      </c>
      <c r="F664" s="68">
        <f>IF(OR(C664="",E664=""),"",E664-Setup!$D$7)</f>
        <v/>
      </c>
      <c r="G664" s="74">
        <f>IF(R664="","",IF(INDEX('Recurring Schedule'!$H$6:$H$45,R664)="","",INDEX('Recurring Schedule'!$H$6:$H$45,R664)))</f>
        <v/>
      </c>
      <c r="H664" s="74">
        <f>IF(R664="","",IF(INDEX('Recurring Schedule'!$I$6:$I$45,R664)="","",INDEX('Recurring Schedule'!$I$6:$I$45,R664)))</f>
        <v/>
      </c>
      <c r="I664" s="36">
        <f>IF(OR(G664="",H664=""),"",TRIM(IF(HOUR(H664-G664)&gt;0,HOUR(H664-G664)&amp;" hr ","")&amp;IF(MINUTE(H664-G664)&gt;0,MINUTE(H664-G664)&amp;" min","")))</f>
        <v/>
      </c>
      <c r="J664" s="66" t="n"/>
      <c r="K664" s="70" t="n"/>
      <c r="L664" s="36">
        <f>IF(R664="","",IF(INDEX('Recurring Schedule'!$J$6:$J$45,R664)="","",INDEX('Recurring Schedule'!$J$6:$J$45,R664)))</f>
        <v/>
      </c>
      <c r="M664" s="36">
        <f>IF(R664="","",IF(INDEX('Recurring Schedule'!$K$6:$K$45,R664)="","",INDEX('Recurring Schedule'!$K$6:$K$45,R664)))</f>
        <v/>
      </c>
      <c r="N664" s="36">
        <f>IF(R664="","",IF(INDEX('Recurring Schedule'!$L$6:$L$45,R664)="","",INDEX('Recurring Schedule'!$L$6:$L$45,R664)))</f>
        <v/>
      </c>
      <c r="O664" s="36">
        <f>IF(C664="","",IF(AND(OR(L664="1-Urgent",L664="2-High"),M664="✓"),"DO FIRST",IF(M664="✓","SCHEDULE",IF(OR(L664="1-Urgent",L664="2-High"),"DELEGATE","DELETE"))))</f>
        <v/>
      </c>
      <c r="P664" s="65" t="n"/>
      <c r="Q664">
        <f>IF(659&gt;Calc!$AQ$368,"",MATCH(658,Calc!$AQ$2:$AQ$367,1))</f>
        <v/>
      </c>
      <c r="R664">
        <f>IF(Q664="","",SMALL(INDEX(Calc!$B$2:$AO$367,Q664,0),659-INDEX(Calc!$AQ$2:$AQ$367,Q664)))</f>
        <v/>
      </c>
    </row>
    <row r="665">
      <c r="B665" s="71">
        <f>IF(R665="","",660)</f>
        <v/>
      </c>
      <c r="C665" s="75">
        <f>IF(R665="","",IF(INDEX('Recurring Schedule'!$C$6:$C$45,R665)="","",INDEX('Recurring Schedule'!$C$6:$C$45,R665)))</f>
        <v/>
      </c>
      <c r="D665" s="73">
        <f>IF(R665="","",IF(INDEX('Recurring Schedule'!$D$6:$D$45,R665)="","",INDEX('Recurring Schedule'!$D$6:$D$45,R665)))</f>
        <v/>
      </c>
      <c r="E665" s="76">
        <f>IF(Q665="","",INDEX(Calc!$A$2:$A$367,Q665))</f>
        <v/>
      </c>
      <c r="F665" s="72">
        <f>IF(OR(C665="",E665=""),"",E665-Setup!$D$7)</f>
        <v/>
      </c>
      <c r="G665" s="77">
        <f>IF(R665="","",IF(INDEX('Recurring Schedule'!$H$6:$H$45,R665)="","",INDEX('Recurring Schedule'!$H$6:$H$45,R665)))</f>
        <v/>
      </c>
      <c r="H665" s="77">
        <f>IF(R665="","",IF(INDEX('Recurring Schedule'!$I$6:$I$45,R665)="","",INDEX('Recurring Schedule'!$I$6:$I$45,R665)))</f>
        <v/>
      </c>
      <c r="I665" s="73">
        <f>IF(OR(G665="",H665=""),"",TRIM(IF(HOUR(H665-G665)&gt;0,HOUR(H665-G665)&amp;" hr ","")&amp;IF(MINUTE(H665-G665)&gt;0,MINUTE(H665-G665)&amp;" min","")))</f>
        <v/>
      </c>
      <c r="J665" s="66" t="n"/>
      <c r="K665" s="70" t="n"/>
      <c r="L665" s="73">
        <f>IF(R665="","",IF(INDEX('Recurring Schedule'!$J$6:$J$45,R665)="","",INDEX('Recurring Schedule'!$J$6:$J$45,R665)))</f>
        <v/>
      </c>
      <c r="M665" s="73">
        <f>IF(R665="","",IF(INDEX('Recurring Schedule'!$K$6:$K$45,R665)="","",INDEX('Recurring Schedule'!$K$6:$K$45,R665)))</f>
        <v/>
      </c>
      <c r="N665" s="73">
        <f>IF(R665="","",IF(INDEX('Recurring Schedule'!$L$6:$L$45,R665)="","",INDEX('Recurring Schedule'!$L$6:$L$45,R665)))</f>
        <v/>
      </c>
      <c r="O665" s="73">
        <f>IF(C665="","",IF(AND(OR(L665="1-Urgent",L665="2-High"),M665="✓"),"DO FIRST",IF(M665="✓","SCHEDULE",IF(OR(L665="1-Urgent",L665="2-High"),"DELEGATE","DELETE"))))</f>
        <v/>
      </c>
      <c r="P665" s="65" t="n"/>
      <c r="Q665">
        <f>IF(660&gt;Calc!$AQ$368,"",MATCH(659,Calc!$AQ$2:$AQ$367,1))</f>
        <v/>
      </c>
      <c r="R665">
        <f>IF(Q665="","",SMALL(INDEX(Calc!$B$2:$AO$367,Q665,0),660-INDEX(Calc!$AQ$2:$AQ$367,Q665)))</f>
        <v/>
      </c>
    </row>
    <row r="666">
      <c r="B666" s="64">
        <f>IF(R666="","",661)</f>
        <v/>
      </c>
      <c r="C666" s="37">
        <f>IF(R666="","",IF(INDEX('Recurring Schedule'!$C$6:$C$45,R666)="","",INDEX('Recurring Schedule'!$C$6:$C$45,R666)))</f>
        <v/>
      </c>
      <c r="D666" s="36">
        <f>IF(R666="","",IF(INDEX('Recurring Schedule'!$D$6:$D$45,R666)="","",INDEX('Recurring Schedule'!$D$6:$D$45,R666)))</f>
        <v/>
      </c>
      <c r="E666" s="38">
        <f>IF(Q666="","",INDEX(Calc!$A$2:$A$367,Q666))</f>
        <v/>
      </c>
      <c r="F666" s="68">
        <f>IF(OR(C666="",E666=""),"",E666-Setup!$D$7)</f>
        <v/>
      </c>
      <c r="G666" s="74">
        <f>IF(R666="","",IF(INDEX('Recurring Schedule'!$H$6:$H$45,R666)="","",INDEX('Recurring Schedule'!$H$6:$H$45,R666)))</f>
        <v/>
      </c>
      <c r="H666" s="74">
        <f>IF(R666="","",IF(INDEX('Recurring Schedule'!$I$6:$I$45,R666)="","",INDEX('Recurring Schedule'!$I$6:$I$45,R666)))</f>
        <v/>
      </c>
      <c r="I666" s="36">
        <f>IF(OR(G666="",H666=""),"",TRIM(IF(HOUR(H666-G666)&gt;0,HOUR(H666-G666)&amp;" hr ","")&amp;IF(MINUTE(H666-G666)&gt;0,MINUTE(H666-G666)&amp;" min","")))</f>
        <v/>
      </c>
      <c r="J666" s="66" t="n"/>
      <c r="K666" s="70" t="n"/>
      <c r="L666" s="36">
        <f>IF(R666="","",IF(INDEX('Recurring Schedule'!$J$6:$J$45,R666)="","",INDEX('Recurring Schedule'!$J$6:$J$45,R666)))</f>
        <v/>
      </c>
      <c r="M666" s="36">
        <f>IF(R666="","",IF(INDEX('Recurring Schedule'!$K$6:$K$45,R666)="","",INDEX('Recurring Schedule'!$K$6:$K$45,R666)))</f>
        <v/>
      </c>
      <c r="N666" s="36">
        <f>IF(R666="","",IF(INDEX('Recurring Schedule'!$L$6:$L$45,R666)="","",INDEX('Recurring Schedule'!$L$6:$L$45,R666)))</f>
        <v/>
      </c>
      <c r="O666" s="36">
        <f>IF(C666="","",IF(AND(OR(L666="1-Urgent",L666="2-High"),M666="✓"),"DO FIRST",IF(M666="✓","SCHEDULE",IF(OR(L666="1-Urgent",L666="2-High"),"DELEGATE","DELETE"))))</f>
        <v/>
      </c>
      <c r="P666" s="65" t="n"/>
      <c r="Q666">
        <f>IF(661&gt;Calc!$AQ$368,"",MATCH(660,Calc!$AQ$2:$AQ$367,1))</f>
        <v/>
      </c>
      <c r="R666">
        <f>IF(Q666="","",SMALL(INDEX(Calc!$B$2:$AO$367,Q666,0),661-INDEX(Calc!$AQ$2:$AQ$367,Q666)))</f>
        <v/>
      </c>
    </row>
    <row r="667">
      <c r="B667" s="71">
        <f>IF(R667="","",662)</f>
        <v/>
      </c>
      <c r="C667" s="75">
        <f>IF(R667="","",IF(INDEX('Recurring Schedule'!$C$6:$C$45,R667)="","",INDEX('Recurring Schedule'!$C$6:$C$45,R667)))</f>
        <v/>
      </c>
      <c r="D667" s="73">
        <f>IF(R667="","",IF(INDEX('Recurring Schedule'!$D$6:$D$45,R667)="","",INDEX('Recurring Schedule'!$D$6:$D$45,R667)))</f>
        <v/>
      </c>
      <c r="E667" s="76">
        <f>IF(Q667="","",INDEX(Calc!$A$2:$A$367,Q667))</f>
        <v/>
      </c>
      <c r="F667" s="72">
        <f>IF(OR(C667="",E667=""),"",E667-Setup!$D$7)</f>
        <v/>
      </c>
      <c r="G667" s="77">
        <f>IF(R667="","",IF(INDEX('Recurring Schedule'!$H$6:$H$45,R667)="","",INDEX('Recurring Schedule'!$H$6:$H$45,R667)))</f>
        <v/>
      </c>
      <c r="H667" s="77">
        <f>IF(R667="","",IF(INDEX('Recurring Schedule'!$I$6:$I$45,R667)="","",INDEX('Recurring Schedule'!$I$6:$I$45,R667)))</f>
        <v/>
      </c>
      <c r="I667" s="73">
        <f>IF(OR(G667="",H667=""),"",TRIM(IF(HOUR(H667-G667)&gt;0,HOUR(H667-G667)&amp;" hr ","")&amp;IF(MINUTE(H667-G667)&gt;0,MINUTE(H667-G667)&amp;" min","")))</f>
        <v/>
      </c>
      <c r="J667" s="66" t="n"/>
      <c r="K667" s="70" t="n"/>
      <c r="L667" s="73">
        <f>IF(R667="","",IF(INDEX('Recurring Schedule'!$J$6:$J$45,R667)="","",INDEX('Recurring Schedule'!$J$6:$J$45,R667)))</f>
        <v/>
      </c>
      <c r="M667" s="73">
        <f>IF(R667="","",IF(INDEX('Recurring Schedule'!$K$6:$K$45,R667)="","",INDEX('Recurring Schedule'!$K$6:$K$45,R667)))</f>
        <v/>
      </c>
      <c r="N667" s="73">
        <f>IF(R667="","",IF(INDEX('Recurring Schedule'!$L$6:$L$45,R667)="","",INDEX('Recurring Schedule'!$L$6:$L$45,R667)))</f>
        <v/>
      </c>
      <c r="O667" s="73">
        <f>IF(C667="","",IF(AND(OR(L667="1-Urgent",L667="2-High"),M667="✓"),"DO FIRST",IF(M667="✓","SCHEDULE",IF(OR(L667="1-Urgent",L667="2-High"),"DELEGATE","DELETE"))))</f>
        <v/>
      </c>
      <c r="P667" s="65" t="n"/>
      <c r="Q667">
        <f>IF(662&gt;Calc!$AQ$368,"",MATCH(661,Calc!$AQ$2:$AQ$367,1))</f>
        <v/>
      </c>
      <c r="R667">
        <f>IF(Q667="","",SMALL(INDEX(Calc!$B$2:$AO$367,Q667,0),662-INDEX(Calc!$AQ$2:$AQ$367,Q667)))</f>
        <v/>
      </c>
    </row>
    <row r="668">
      <c r="B668" s="64">
        <f>IF(R668="","",663)</f>
        <v/>
      </c>
      <c r="C668" s="37">
        <f>IF(R668="","",IF(INDEX('Recurring Schedule'!$C$6:$C$45,R668)="","",INDEX('Recurring Schedule'!$C$6:$C$45,R668)))</f>
        <v/>
      </c>
      <c r="D668" s="36">
        <f>IF(R668="","",IF(INDEX('Recurring Schedule'!$D$6:$D$45,R668)="","",INDEX('Recurring Schedule'!$D$6:$D$45,R668)))</f>
        <v/>
      </c>
      <c r="E668" s="38">
        <f>IF(Q668="","",INDEX(Calc!$A$2:$A$367,Q668))</f>
        <v/>
      </c>
      <c r="F668" s="68">
        <f>IF(OR(C668="",E668=""),"",E668-Setup!$D$7)</f>
        <v/>
      </c>
      <c r="G668" s="74">
        <f>IF(R668="","",IF(INDEX('Recurring Schedule'!$H$6:$H$45,R668)="","",INDEX('Recurring Schedule'!$H$6:$H$45,R668)))</f>
        <v/>
      </c>
      <c r="H668" s="74">
        <f>IF(R668="","",IF(INDEX('Recurring Schedule'!$I$6:$I$45,R668)="","",INDEX('Recurring Schedule'!$I$6:$I$45,R668)))</f>
        <v/>
      </c>
      <c r="I668" s="36">
        <f>IF(OR(G668="",H668=""),"",TRIM(IF(HOUR(H668-G668)&gt;0,HOUR(H668-G668)&amp;" hr ","")&amp;IF(MINUTE(H668-G668)&gt;0,MINUTE(H668-G668)&amp;" min","")))</f>
        <v/>
      </c>
      <c r="J668" s="66" t="n"/>
      <c r="K668" s="70" t="n"/>
      <c r="L668" s="36">
        <f>IF(R668="","",IF(INDEX('Recurring Schedule'!$J$6:$J$45,R668)="","",INDEX('Recurring Schedule'!$J$6:$J$45,R668)))</f>
        <v/>
      </c>
      <c r="M668" s="36">
        <f>IF(R668="","",IF(INDEX('Recurring Schedule'!$K$6:$K$45,R668)="","",INDEX('Recurring Schedule'!$K$6:$K$45,R668)))</f>
        <v/>
      </c>
      <c r="N668" s="36">
        <f>IF(R668="","",IF(INDEX('Recurring Schedule'!$L$6:$L$45,R668)="","",INDEX('Recurring Schedule'!$L$6:$L$45,R668)))</f>
        <v/>
      </c>
      <c r="O668" s="36">
        <f>IF(C668="","",IF(AND(OR(L668="1-Urgent",L668="2-High"),M668="✓"),"DO FIRST",IF(M668="✓","SCHEDULE",IF(OR(L668="1-Urgent",L668="2-High"),"DELEGATE","DELETE"))))</f>
        <v/>
      </c>
      <c r="P668" s="65" t="n"/>
      <c r="Q668">
        <f>IF(663&gt;Calc!$AQ$368,"",MATCH(662,Calc!$AQ$2:$AQ$367,1))</f>
        <v/>
      </c>
      <c r="R668">
        <f>IF(Q668="","",SMALL(INDEX(Calc!$B$2:$AO$367,Q668,0),663-INDEX(Calc!$AQ$2:$AQ$367,Q668)))</f>
        <v/>
      </c>
    </row>
    <row r="669">
      <c r="B669" s="71">
        <f>IF(R669="","",664)</f>
        <v/>
      </c>
      <c r="C669" s="75">
        <f>IF(R669="","",IF(INDEX('Recurring Schedule'!$C$6:$C$45,R669)="","",INDEX('Recurring Schedule'!$C$6:$C$45,R669)))</f>
        <v/>
      </c>
      <c r="D669" s="73">
        <f>IF(R669="","",IF(INDEX('Recurring Schedule'!$D$6:$D$45,R669)="","",INDEX('Recurring Schedule'!$D$6:$D$45,R669)))</f>
        <v/>
      </c>
      <c r="E669" s="76">
        <f>IF(Q669="","",INDEX(Calc!$A$2:$A$367,Q669))</f>
        <v/>
      </c>
      <c r="F669" s="72">
        <f>IF(OR(C669="",E669=""),"",E669-Setup!$D$7)</f>
        <v/>
      </c>
      <c r="G669" s="77">
        <f>IF(R669="","",IF(INDEX('Recurring Schedule'!$H$6:$H$45,R669)="","",INDEX('Recurring Schedule'!$H$6:$H$45,R669)))</f>
        <v/>
      </c>
      <c r="H669" s="77">
        <f>IF(R669="","",IF(INDEX('Recurring Schedule'!$I$6:$I$45,R669)="","",INDEX('Recurring Schedule'!$I$6:$I$45,R669)))</f>
        <v/>
      </c>
      <c r="I669" s="73">
        <f>IF(OR(G669="",H669=""),"",TRIM(IF(HOUR(H669-G669)&gt;0,HOUR(H669-G669)&amp;" hr ","")&amp;IF(MINUTE(H669-G669)&gt;0,MINUTE(H669-G669)&amp;" min","")))</f>
        <v/>
      </c>
      <c r="J669" s="66" t="n"/>
      <c r="K669" s="70" t="n"/>
      <c r="L669" s="73">
        <f>IF(R669="","",IF(INDEX('Recurring Schedule'!$J$6:$J$45,R669)="","",INDEX('Recurring Schedule'!$J$6:$J$45,R669)))</f>
        <v/>
      </c>
      <c r="M669" s="73">
        <f>IF(R669="","",IF(INDEX('Recurring Schedule'!$K$6:$K$45,R669)="","",INDEX('Recurring Schedule'!$K$6:$K$45,R669)))</f>
        <v/>
      </c>
      <c r="N669" s="73">
        <f>IF(R669="","",IF(INDEX('Recurring Schedule'!$L$6:$L$45,R669)="","",INDEX('Recurring Schedule'!$L$6:$L$45,R669)))</f>
        <v/>
      </c>
      <c r="O669" s="73">
        <f>IF(C669="","",IF(AND(OR(L669="1-Urgent",L669="2-High"),M669="✓"),"DO FIRST",IF(M669="✓","SCHEDULE",IF(OR(L669="1-Urgent",L669="2-High"),"DELEGATE","DELETE"))))</f>
        <v/>
      </c>
      <c r="P669" s="65" t="n"/>
      <c r="Q669">
        <f>IF(664&gt;Calc!$AQ$368,"",MATCH(663,Calc!$AQ$2:$AQ$367,1))</f>
        <v/>
      </c>
      <c r="R669">
        <f>IF(Q669="","",SMALL(INDEX(Calc!$B$2:$AO$367,Q669,0),664-INDEX(Calc!$AQ$2:$AQ$367,Q669)))</f>
        <v/>
      </c>
    </row>
    <row r="670">
      <c r="B670" s="64">
        <f>IF(R670="","",665)</f>
        <v/>
      </c>
      <c r="C670" s="37">
        <f>IF(R670="","",IF(INDEX('Recurring Schedule'!$C$6:$C$45,R670)="","",INDEX('Recurring Schedule'!$C$6:$C$45,R670)))</f>
        <v/>
      </c>
      <c r="D670" s="36">
        <f>IF(R670="","",IF(INDEX('Recurring Schedule'!$D$6:$D$45,R670)="","",INDEX('Recurring Schedule'!$D$6:$D$45,R670)))</f>
        <v/>
      </c>
      <c r="E670" s="38">
        <f>IF(Q670="","",INDEX(Calc!$A$2:$A$367,Q670))</f>
        <v/>
      </c>
      <c r="F670" s="68">
        <f>IF(OR(C670="",E670=""),"",E670-Setup!$D$7)</f>
        <v/>
      </c>
      <c r="G670" s="74">
        <f>IF(R670="","",IF(INDEX('Recurring Schedule'!$H$6:$H$45,R670)="","",INDEX('Recurring Schedule'!$H$6:$H$45,R670)))</f>
        <v/>
      </c>
      <c r="H670" s="74">
        <f>IF(R670="","",IF(INDEX('Recurring Schedule'!$I$6:$I$45,R670)="","",INDEX('Recurring Schedule'!$I$6:$I$45,R670)))</f>
        <v/>
      </c>
      <c r="I670" s="36">
        <f>IF(OR(G670="",H670=""),"",TRIM(IF(HOUR(H670-G670)&gt;0,HOUR(H670-G670)&amp;" hr ","")&amp;IF(MINUTE(H670-G670)&gt;0,MINUTE(H670-G670)&amp;" min","")))</f>
        <v/>
      </c>
      <c r="J670" s="66" t="n"/>
      <c r="K670" s="70" t="n"/>
      <c r="L670" s="36">
        <f>IF(R670="","",IF(INDEX('Recurring Schedule'!$J$6:$J$45,R670)="","",INDEX('Recurring Schedule'!$J$6:$J$45,R670)))</f>
        <v/>
      </c>
      <c r="M670" s="36">
        <f>IF(R670="","",IF(INDEX('Recurring Schedule'!$K$6:$K$45,R670)="","",INDEX('Recurring Schedule'!$K$6:$K$45,R670)))</f>
        <v/>
      </c>
      <c r="N670" s="36">
        <f>IF(R670="","",IF(INDEX('Recurring Schedule'!$L$6:$L$45,R670)="","",INDEX('Recurring Schedule'!$L$6:$L$45,R670)))</f>
        <v/>
      </c>
      <c r="O670" s="36">
        <f>IF(C670="","",IF(AND(OR(L670="1-Urgent",L670="2-High"),M670="✓"),"DO FIRST",IF(M670="✓","SCHEDULE",IF(OR(L670="1-Urgent",L670="2-High"),"DELEGATE","DELETE"))))</f>
        <v/>
      </c>
      <c r="P670" s="65" t="n"/>
      <c r="Q670">
        <f>IF(665&gt;Calc!$AQ$368,"",MATCH(664,Calc!$AQ$2:$AQ$367,1))</f>
        <v/>
      </c>
      <c r="R670">
        <f>IF(Q670="","",SMALL(INDEX(Calc!$B$2:$AO$367,Q670,0),665-INDEX(Calc!$AQ$2:$AQ$367,Q670)))</f>
        <v/>
      </c>
    </row>
    <row r="671">
      <c r="B671" s="71">
        <f>IF(R671="","",666)</f>
        <v/>
      </c>
      <c r="C671" s="75">
        <f>IF(R671="","",IF(INDEX('Recurring Schedule'!$C$6:$C$45,R671)="","",INDEX('Recurring Schedule'!$C$6:$C$45,R671)))</f>
        <v/>
      </c>
      <c r="D671" s="73">
        <f>IF(R671="","",IF(INDEX('Recurring Schedule'!$D$6:$D$45,R671)="","",INDEX('Recurring Schedule'!$D$6:$D$45,R671)))</f>
        <v/>
      </c>
      <c r="E671" s="76">
        <f>IF(Q671="","",INDEX(Calc!$A$2:$A$367,Q671))</f>
        <v/>
      </c>
      <c r="F671" s="72">
        <f>IF(OR(C671="",E671=""),"",E671-Setup!$D$7)</f>
        <v/>
      </c>
      <c r="G671" s="77">
        <f>IF(R671="","",IF(INDEX('Recurring Schedule'!$H$6:$H$45,R671)="","",INDEX('Recurring Schedule'!$H$6:$H$45,R671)))</f>
        <v/>
      </c>
      <c r="H671" s="77">
        <f>IF(R671="","",IF(INDEX('Recurring Schedule'!$I$6:$I$45,R671)="","",INDEX('Recurring Schedule'!$I$6:$I$45,R671)))</f>
        <v/>
      </c>
      <c r="I671" s="73">
        <f>IF(OR(G671="",H671=""),"",TRIM(IF(HOUR(H671-G671)&gt;0,HOUR(H671-G671)&amp;" hr ","")&amp;IF(MINUTE(H671-G671)&gt;0,MINUTE(H671-G671)&amp;" min","")))</f>
        <v/>
      </c>
      <c r="J671" s="66" t="n"/>
      <c r="K671" s="70" t="n"/>
      <c r="L671" s="73">
        <f>IF(R671="","",IF(INDEX('Recurring Schedule'!$J$6:$J$45,R671)="","",INDEX('Recurring Schedule'!$J$6:$J$45,R671)))</f>
        <v/>
      </c>
      <c r="M671" s="73">
        <f>IF(R671="","",IF(INDEX('Recurring Schedule'!$K$6:$K$45,R671)="","",INDEX('Recurring Schedule'!$K$6:$K$45,R671)))</f>
        <v/>
      </c>
      <c r="N671" s="73">
        <f>IF(R671="","",IF(INDEX('Recurring Schedule'!$L$6:$L$45,R671)="","",INDEX('Recurring Schedule'!$L$6:$L$45,R671)))</f>
        <v/>
      </c>
      <c r="O671" s="73">
        <f>IF(C671="","",IF(AND(OR(L671="1-Urgent",L671="2-High"),M671="✓"),"DO FIRST",IF(M671="✓","SCHEDULE",IF(OR(L671="1-Urgent",L671="2-High"),"DELEGATE","DELETE"))))</f>
        <v/>
      </c>
      <c r="P671" s="65" t="n"/>
      <c r="Q671">
        <f>IF(666&gt;Calc!$AQ$368,"",MATCH(665,Calc!$AQ$2:$AQ$367,1))</f>
        <v/>
      </c>
      <c r="R671">
        <f>IF(Q671="","",SMALL(INDEX(Calc!$B$2:$AO$367,Q671,0),666-INDEX(Calc!$AQ$2:$AQ$367,Q671)))</f>
        <v/>
      </c>
    </row>
    <row r="672">
      <c r="B672" s="64">
        <f>IF(R672="","",667)</f>
        <v/>
      </c>
      <c r="C672" s="37">
        <f>IF(R672="","",IF(INDEX('Recurring Schedule'!$C$6:$C$45,R672)="","",INDEX('Recurring Schedule'!$C$6:$C$45,R672)))</f>
        <v/>
      </c>
      <c r="D672" s="36">
        <f>IF(R672="","",IF(INDEX('Recurring Schedule'!$D$6:$D$45,R672)="","",INDEX('Recurring Schedule'!$D$6:$D$45,R672)))</f>
        <v/>
      </c>
      <c r="E672" s="38">
        <f>IF(Q672="","",INDEX(Calc!$A$2:$A$367,Q672))</f>
        <v/>
      </c>
      <c r="F672" s="68">
        <f>IF(OR(C672="",E672=""),"",E672-Setup!$D$7)</f>
        <v/>
      </c>
      <c r="G672" s="74">
        <f>IF(R672="","",IF(INDEX('Recurring Schedule'!$H$6:$H$45,R672)="","",INDEX('Recurring Schedule'!$H$6:$H$45,R672)))</f>
        <v/>
      </c>
      <c r="H672" s="74">
        <f>IF(R672="","",IF(INDEX('Recurring Schedule'!$I$6:$I$45,R672)="","",INDEX('Recurring Schedule'!$I$6:$I$45,R672)))</f>
        <v/>
      </c>
      <c r="I672" s="36">
        <f>IF(OR(G672="",H672=""),"",TRIM(IF(HOUR(H672-G672)&gt;0,HOUR(H672-G672)&amp;" hr ","")&amp;IF(MINUTE(H672-G672)&gt;0,MINUTE(H672-G672)&amp;" min","")))</f>
        <v/>
      </c>
      <c r="J672" s="66" t="n"/>
      <c r="K672" s="70" t="n"/>
      <c r="L672" s="36">
        <f>IF(R672="","",IF(INDEX('Recurring Schedule'!$J$6:$J$45,R672)="","",INDEX('Recurring Schedule'!$J$6:$J$45,R672)))</f>
        <v/>
      </c>
      <c r="M672" s="36">
        <f>IF(R672="","",IF(INDEX('Recurring Schedule'!$K$6:$K$45,R672)="","",INDEX('Recurring Schedule'!$K$6:$K$45,R672)))</f>
        <v/>
      </c>
      <c r="N672" s="36">
        <f>IF(R672="","",IF(INDEX('Recurring Schedule'!$L$6:$L$45,R672)="","",INDEX('Recurring Schedule'!$L$6:$L$45,R672)))</f>
        <v/>
      </c>
      <c r="O672" s="36">
        <f>IF(C672="","",IF(AND(OR(L672="1-Urgent",L672="2-High"),M672="✓"),"DO FIRST",IF(M672="✓","SCHEDULE",IF(OR(L672="1-Urgent",L672="2-High"),"DELEGATE","DELETE"))))</f>
        <v/>
      </c>
      <c r="P672" s="65" t="n"/>
      <c r="Q672">
        <f>IF(667&gt;Calc!$AQ$368,"",MATCH(666,Calc!$AQ$2:$AQ$367,1))</f>
        <v/>
      </c>
      <c r="R672">
        <f>IF(Q672="","",SMALL(INDEX(Calc!$B$2:$AO$367,Q672,0),667-INDEX(Calc!$AQ$2:$AQ$367,Q672)))</f>
        <v/>
      </c>
    </row>
    <row r="673">
      <c r="B673" s="71">
        <f>IF(R673="","",668)</f>
        <v/>
      </c>
      <c r="C673" s="75">
        <f>IF(R673="","",IF(INDEX('Recurring Schedule'!$C$6:$C$45,R673)="","",INDEX('Recurring Schedule'!$C$6:$C$45,R673)))</f>
        <v/>
      </c>
      <c r="D673" s="73">
        <f>IF(R673="","",IF(INDEX('Recurring Schedule'!$D$6:$D$45,R673)="","",INDEX('Recurring Schedule'!$D$6:$D$45,R673)))</f>
        <v/>
      </c>
      <c r="E673" s="76">
        <f>IF(Q673="","",INDEX(Calc!$A$2:$A$367,Q673))</f>
        <v/>
      </c>
      <c r="F673" s="72">
        <f>IF(OR(C673="",E673=""),"",E673-Setup!$D$7)</f>
        <v/>
      </c>
      <c r="G673" s="77">
        <f>IF(R673="","",IF(INDEX('Recurring Schedule'!$H$6:$H$45,R673)="","",INDEX('Recurring Schedule'!$H$6:$H$45,R673)))</f>
        <v/>
      </c>
      <c r="H673" s="77">
        <f>IF(R673="","",IF(INDEX('Recurring Schedule'!$I$6:$I$45,R673)="","",INDEX('Recurring Schedule'!$I$6:$I$45,R673)))</f>
        <v/>
      </c>
      <c r="I673" s="73">
        <f>IF(OR(G673="",H673=""),"",TRIM(IF(HOUR(H673-G673)&gt;0,HOUR(H673-G673)&amp;" hr ","")&amp;IF(MINUTE(H673-G673)&gt;0,MINUTE(H673-G673)&amp;" min","")))</f>
        <v/>
      </c>
      <c r="J673" s="66" t="n"/>
      <c r="K673" s="70" t="n"/>
      <c r="L673" s="73">
        <f>IF(R673="","",IF(INDEX('Recurring Schedule'!$J$6:$J$45,R673)="","",INDEX('Recurring Schedule'!$J$6:$J$45,R673)))</f>
        <v/>
      </c>
      <c r="M673" s="73">
        <f>IF(R673="","",IF(INDEX('Recurring Schedule'!$K$6:$K$45,R673)="","",INDEX('Recurring Schedule'!$K$6:$K$45,R673)))</f>
        <v/>
      </c>
      <c r="N673" s="73">
        <f>IF(R673="","",IF(INDEX('Recurring Schedule'!$L$6:$L$45,R673)="","",INDEX('Recurring Schedule'!$L$6:$L$45,R673)))</f>
        <v/>
      </c>
      <c r="O673" s="73">
        <f>IF(C673="","",IF(AND(OR(L673="1-Urgent",L673="2-High"),M673="✓"),"DO FIRST",IF(M673="✓","SCHEDULE",IF(OR(L673="1-Urgent",L673="2-High"),"DELEGATE","DELETE"))))</f>
        <v/>
      </c>
      <c r="P673" s="65" t="n"/>
      <c r="Q673">
        <f>IF(668&gt;Calc!$AQ$368,"",MATCH(667,Calc!$AQ$2:$AQ$367,1))</f>
        <v/>
      </c>
      <c r="R673">
        <f>IF(Q673="","",SMALL(INDEX(Calc!$B$2:$AO$367,Q673,0),668-INDEX(Calc!$AQ$2:$AQ$367,Q673)))</f>
        <v/>
      </c>
    </row>
    <row r="674">
      <c r="B674" s="64">
        <f>IF(R674="","",669)</f>
        <v/>
      </c>
      <c r="C674" s="37">
        <f>IF(R674="","",IF(INDEX('Recurring Schedule'!$C$6:$C$45,R674)="","",INDEX('Recurring Schedule'!$C$6:$C$45,R674)))</f>
        <v/>
      </c>
      <c r="D674" s="36">
        <f>IF(R674="","",IF(INDEX('Recurring Schedule'!$D$6:$D$45,R674)="","",INDEX('Recurring Schedule'!$D$6:$D$45,R674)))</f>
        <v/>
      </c>
      <c r="E674" s="38">
        <f>IF(Q674="","",INDEX(Calc!$A$2:$A$367,Q674))</f>
        <v/>
      </c>
      <c r="F674" s="68">
        <f>IF(OR(C674="",E674=""),"",E674-Setup!$D$7)</f>
        <v/>
      </c>
      <c r="G674" s="74">
        <f>IF(R674="","",IF(INDEX('Recurring Schedule'!$H$6:$H$45,R674)="","",INDEX('Recurring Schedule'!$H$6:$H$45,R674)))</f>
        <v/>
      </c>
      <c r="H674" s="74">
        <f>IF(R674="","",IF(INDEX('Recurring Schedule'!$I$6:$I$45,R674)="","",INDEX('Recurring Schedule'!$I$6:$I$45,R674)))</f>
        <v/>
      </c>
      <c r="I674" s="36">
        <f>IF(OR(G674="",H674=""),"",TRIM(IF(HOUR(H674-G674)&gt;0,HOUR(H674-G674)&amp;" hr ","")&amp;IF(MINUTE(H674-G674)&gt;0,MINUTE(H674-G674)&amp;" min","")))</f>
        <v/>
      </c>
      <c r="J674" s="66" t="n"/>
      <c r="K674" s="70" t="n"/>
      <c r="L674" s="36">
        <f>IF(R674="","",IF(INDEX('Recurring Schedule'!$J$6:$J$45,R674)="","",INDEX('Recurring Schedule'!$J$6:$J$45,R674)))</f>
        <v/>
      </c>
      <c r="M674" s="36">
        <f>IF(R674="","",IF(INDEX('Recurring Schedule'!$K$6:$K$45,R674)="","",INDEX('Recurring Schedule'!$K$6:$K$45,R674)))</f>
        <v/>
      </c>
      <c r="N674" s="36">
        <f>IF(R674="","",IF(INDEX('Recurring Schedule'!$L$6:$L$45,R674)="","",INDEX('Recurring Schedule'!$L$6:$L$45,R674)))</f>
        <v/>
      </c>
      <c r="O674" s="36">
        <f>IF(C674="","",IF(AND(OR(L674="1-Urgent",L674="2-High"),M674="✓"),"DO FIRST",IF(M674="✓","SCHEDULE",IF(OR(L674="1-Urgent",L674="2-High"),"DELEGATE","DELETE"))))</f>
        <v/>
      </c>
      <c r="P674" s="65" t="n"/>
      <c r="Q674">
        <f>IF(669&gt;Calc!$AQ$368,"",MATCH(668,Calc!$AQ$2:$AQ$367,1))</f>
        <v/>
      </c>
      <c r="R674">
        <f>IF(Q674="","",SMALL(INDEX(Calc!$B$2:$AO$367,Q674,0),669-INDEX(Calc!$AQ$2:$AQ$367,Q674)))</f>
        <v/>
      </c>
    </row>
    <row r="675">
      <c r="B675" s="71">
        <f>IF(R675="","",670)</f>
        <v/>
      </c>
      <c r="C675" s="75">
        <f>IF(R675="","",IF(INDEX('Recurring Schedule'!$C$6:$C$45,R675)="","",INDEX('Recurring Schedule'!$C$6:$C$45,R675)))</f>
        <v/>
      </c>
      <c r="D675" s="73">
        <f>IF(R675="","",IF(INDEX('Recurring Schedule'!$D$6:$D$45,R675)="","",INDEX('Recurring Schedule'!$D$6:$D$45,R675)))</f>
        <v/>
      </c>
      <c r="E675" s="76">
        <f>IF(Q675="","",INDEX(Calc!$A$2:$A$367,Q675))</f>
        <v/>
      </c>
      <c r="F675" s="72">
        <f>IF(OR(C675="",E675=""),"",E675-Setup!$D$7)</f>
        <v/>
      </c>
      <c r="G675" s="77">
        <f>IF(R675="","",IF(INDEX('Recurring Schedule'!$H$6:$H$45,R675)="","",INDEX('Recurring Schedule'!$H$6:$H$45,R675)))</f>
        <v/>
      </c>
      <c r="H675" s="77">
        <f>IF(R675="","",IF(INDEX('Recurring Schedule'!$I$6:$I$45,R675)="","",INDEX('Recurring Schedule'!$I$6:$I$45,R675)))</f>
        <v/>
      </c>
      <c r="I675" s="73">
        <f>IF(OR(G675="",H675=""),"",TRIM(IF(HOUR(H675-G675)&gt;0,HOUR(H675-G675)&amp;" hr ","")&amp;IF(MINUTE(H675-G675)&gt;0,MINUTE(H675-G675)&amp;" min","")))</f>
        <v/>
      </c>
      <c r="J675" s="66" t="n"/>
      <c r="K675" s="70" t="n"/>
      <c r="L675" s="73">
        <f>IF(R675="","",IF(INDEX('Recurring Schedule'!$J$6:$J$45,R675)="","",INDEX('Recurring Schedule'!$J$6:$J$45,R675)))</f>
        <v/>
      </c>
      <c r="M675" s="73">
        <f>IF(R675="","",IF(INDEX('Recurring Schedule'!$K$6:$K$45,R675)="","",INDEX('Recurring Schedule'!$K$6:$K$45,R675)))</f>
        <v/>
      </c>
      <c r="N675" s="73">
        <f>IF(R675="","",IF(INDEX('Recurring Schedule'!$L$6:$L$45,R675)="","",INDEX('Recurring Schedule'!$L$6:$L$45,R675)))</f>
        <v/>
      </c>
      <c r="O675" s="73">
        <f>IF(C675="","",IF(AND(OR(L675="1-Urgent",L675="2-High"),M675="✓"),"DO FIRST",IF(M675="✓","SCHEDULE",IF(OR(L675="1-Urgent",L675="2-High"),"DELEGATE","DELETE"))))</f>
        <v/>
      </c>
      <c r="P675" s="65" t="n"/>
      <c r="Q675">
        <f>IF(670&gt;Calc!$AQ$368,"",MATCH(669,Calc!$AQ$2:$AQ$367,1))</f>
        <v/>
      </c>
      <c r="R675">
        <f>IF(Q675="","",SMALL(INDEX(Calc!$B$2:$AO$367,Q675,0),670-INDEX(Calc!$AQ$2:$AQ$367,Q675)))</f>
        <v/>
      </c>
    </row>
    <row r="676">
      <c r="B676" s="64">
        <f>IF(R676="","",671)</f>
        <v/>
      </c>
      <c r="C676" s="37">
        <f>IF(R676="","",IF(INDEX('Recurring Schedule'!$C$6:$C$45,R676)="","",INDEX('Recurring Schedule'!$C$6:$C$45,R676)))</f>
        <v/>
      </c>
      <c r="D676" s="36">
        <f>IF(R676="","",IF(INDEX('Recurring Schedule'!$D$6:$D$45,R676)="","",INDEX('Recurring Schedule'!$D$6:$D$45,R676)))</f>
        <v/>
      </c>
      <c r="E676" s="38">
        <f>IF(Q676="","",INDEX(Calc!$A$2:$A$367,Q676))</f>
        <v/>
      </c>
      <c r="F676" s="68">
        <f>IF(OR(C676="",E676=""),"",E676-Setup!$D$7)</f>
        <v/>
      </c>
      <c r="G676" s="74">
        <f>IF(R676="","",IF(INDEX('Recurring Schedule'!$H$6:$H$45,R676)="","",INDEX('Recurring Schedule'!$H$6:$H$45,R676)))</f>
        <v/>
      </c>
      <c r="H676" s="74">
        <f>IF(R676="","",IF(INDEX('Recurring Schedule'!$I$6:$I$45,R676)="","",INDEX('Recurring Schedule'!$I$6:$I$45,R676)))</f>
        <v/>
      </c>
      <c r="I676" s="36">
        <f>IF(OR(G676="",H676=""),"",TRIM(IF(HOUR(H676-G676)&gt;0,HOUR(H676-G676)&amp;" hr ","")&amp;IF(MINUTE(H676-G676)&gt;0,MINUTE(H676-G676)&amp;" min","")))</f>
        <v/>
      </c>
      <c r="J676" s="66" t="n"/>
      <c r="K676" s="70" t="n"/>
      <c r="L676" s="36">
        <f>IF(R676="","",IF(INDEX('Recurring Schedule'!$J$6:$J$45,R676)="","",INDEX('Recurring Schedule'!$J$6:$J$45,R676)))</f>
        <v/>
      </c>
      <c r="M676" s="36">
        <f>IF(R676="","",IF(INDEX('Recurring Schedule'!$K$6:$K$45,R676)="","",INDEX('Recurring Schedule'!$K$6:$K$45,R676)))</f>
        <v/>
      </c>
      <c r="N676" s="36">
        <f>IF(R676="","",IF(INDEX('Recurring Schedule'!$L$6:$L$45,R676)="","",INDEX('Recurring Schedule'!$L$6:$L$45,R676)))</f>
        <v/>
      </c>
      <c r="O676" s="36">
        <f>IF(C676="","",IF(AND(OR(L676="1-Urgent",L676="2-High"),M676="✓"),"DO FIRST",IF(M676="✓","SCHEDULE",IF(OR(L676="1-Urgent",L676="2-High"),"DELEGATE","DELETE"))))</f>
        <v/>
      </c>
      <c r="P676" s="65" t="n"/>
      <c r="Q676">
        <f>IF(671&gt;Calc!$AQ$368,"",MATCH(670,Calc!$AQ$2:$AQ$367,1))</f>
        <v/>
      </c>
      <c r="R676">
        <f>IF(Q676="","",SMALL(INDEX(Calc!$B$2:$AO$367,Q676,0),671-INDEX(Calc!$AQ$2:$AQ$367,Q676)))</f>
        <v/>
      </c>
    </row>
    <row r="677">
      <c r="B677" s="71">
        <f>IF(R677="","",672)</f>
        <v/>
      </c>
      <c r="C677" s="75">
        <f>IF(R677="","",IF(INDEX('Recurring Schedule'!$C$6:$C$45,R677)="","",INDEX('Recurring Schedule'!$C$6:$C$45,R677)))</f>
        <v/>
      </c>
      <c r="D677" s="73">
        <f>IF(R677="","",IF(INDEX('Recurring Schedule'!$D$6:$D$45,R677)="","",INDEX('Recurring Schedule'!$D$6:$D$45,R677)))</f>
        <v/>
      </c>
      <c r="E677" s="76">
        <f>IF(Q677="","",INDEX(Calc!$A$2:$A$367,Q677))</f>
        <v/>
      </c>
      <c r="F677" s="72">
        <f>IF(OR(C677="",E677=""),"",E677-Setup!$D$7)</f>
        <v/>
      </c>
      <c r="G677" s="77">
        <f>IF(R677="","",IF(INDEX('Recurring Schedule'!$H$6:$H$45,R677)="","",INDEX('Recurring Schedule'!$H$6:$H$45,R677)))</f>
        <v/>
      </c>
      <c r="H677" s="77">
        <f>IF(R677="","",IF(INDEX('Recurring Schedule'!$I$6:$I$45,R677)="","",INDEX('Recurring Schedule'!$I$6:$I$45,R677)))</f>
        <v/>
      </c>
      <c r="I677" s="73">
        <f>IF(OR(G677="",H677=""),"",TRIM(IF(HOUR(H677-G677)&gt;0,HOUR(H677-G677)&amp;" hr ","")&amp;IF(MINUTE(H677-G677)&gt;0,MINUTE(H677-G677)&amp;" min","")))</f>
        <v/>
      </c>
      <c r="J677" s="66" t="n"/>
      <c r="K677" s="70" t="n"/>
      <c r="L677" s="73">
        <f>IF(R677="","",IF(INDEX('Recurring Schedule'!$J$6:$J$45,R677)="","",INDEX('Recurring Schedule'!$J$6:$J$45,R677)))</f>
        <v/>
      </c>
      <c r="M677" s="73">
        <f>IF(R677="","",IF(INDEX('Recurring Schedule'!$K$6:$K$45,R677)="","",INDEX('Recurring Schedule'!$K$6:$K$45,R677)))</f>
        <v/>
      </c>
      <c r="N677" s="73">
        <f>IF(R677="","",IF(INDEX('Recurring Schedule'!$L$6:$L$45,R677)="","",INDEX('Recurring Schedule'!$L$6:$L$45,R677)))</f>
        <v/>
      </c>
      <c r="O677" s="73">
        <f>IF(C677="","",IF(AND(OR(L677="1-Urgent",L677="2-High"),M677="✓"),"DO FIRST",IF(M677="✓","SCHEDULE",IF(OR(L677="1-Urgent",L677="2-High"),"DELEGATE","DELETE"))))</f>
        <v/>
      </c>
      <c r="P677" s="65" t="n"/>
      <c r="Q677">
        <f>IF(672&gt;Calc!$AQ$368,"",MATCH(671,Calc!$AQ$2:$AQ$367,1))</f>
        <v/>
      </c>
      <c r="R677">
        <f>IF(Q677="","",SMALL(INDEX(Calc!$B$2:$AO$367,Q677,0),672-INDEX(Calc!$AQ$2:$AQ$367,Q677)))</f>
        <v/>
      </c>
    </row>
    <row r="678">
      <c r="B678" s="64">
        <f>IF(R678="","",673)</f>
        <v/>
      </c>
      <c r="C678" s="37">
        <f>IF(R678="","",IF(INDEX('Recurring Schedule'!$C$6:$C$45,R678)="","",INDEX('Recurring Schedule'!$C$6:$C$45,R678)))</f>
        <v/>
      </c>
      <c r="D678" s="36">
        <f>IF(R678="","",IF(INDEX('Recurring Schedule'!$D$6:$D$45,R678)="","",INDEX('Recurring Schedule'!$D$6:$D$45,R678)))</f>
        <v/>
      </c>
      <c r="E678" s="38">
        <f>IF(Q678="","",INDEX(Calc!$A$2:$A$367,Q678))</f>
        <v/>
      </c>
      <c r="F678" s="68">
        <f>IF(OR(C678="",E678=""),"",E678-Setup!$D$7)</f>
        <v/>
      </c>
      <c r="G678" s="74">
        <f>IF(R678="","",IF(INDEX('Recurring Schedule'!$H$6:$H$45,R678)="","",INDEX('Recurring Schedule'!$H$6:$H$45,R678)))</f>
        <v/>
      </c>
      <c r="H678" s="74">
        <f>IF(R678="","",IF(INDEX('Recurring Schedule'!$I$6:$I$45,R678)="","",INDEX('Recurring Schedule'!$I$6:$I$45,R678)))</f>
        <v/>
      </c>
      <c r="I678" s="36">
        <f>IF(OR(G678="",H678=""),"",TRIM(IF(HOUR(H678-G678)&gt;0,HOUR(H678-G678)&amp;" hr ","")&amp;IF(MINUTE(H678-G678)&gt;0,MINUTE(H678-G678)&amp;" min","")))</f>
        <v/>
      </c>
      <c r="J678" s="66" t="n"/>
      <c r="K678" s="70" t="n"/>
      <c r="L678" s="36">
        <f>IF(R678="","",IF(INDEX('Recurring Schedule'!$J$6:$J$45,R678)="","",INDEX('Recurring Schedule'!$J$6:$J$45,R678)))</f>
        <v/>
      </c>
      <c r="M678" s="36">
        <f>IF(R678="","",IF(INDEX('Recurring Schedule'!$K$6:$K$45,R678)="","",INDEX('Recurring Schedule'!$K$6:$K$45,R678)))</f>
        <v/>
      </c>
      <c r="N678" s="36">
        <f>IF(R678="","",IF(INDEX('Recurring Schedule'!$L$6:$L$45,R678)="","",INDEX('Recurring Schedule'!$L$6:$L$45,R678)))</f>
        <v/>
      </c>
      <c r="O678" s="36">
        <f>IF(C678="","",IF(AND(OR(L678="1-Urgent",L678="2-High"),M678="✓"),"DO FIRST",IF(M678="✓","SCHEDULE",IF(OR(L678="1-Urgent",L678="2-High"),"DELEGATE","DELETE"))))</f>
        <v/>
      </c>
      <c r="P678" s="65" t="n"/>
      <c r="Q678">
        <f>IF(673&gt;Calc!$AQ$368,"",MATCH(672,Calc!$AQ$2:$AQ$367,1))</f>
        <v/>
      </c>
      <c r="R678">
        <f>IF(Q678="","",SMALL(INDEX(Calc!$B$2:$AO$367,Q678,0),673-INDEX(Calc!$AQ$2:$AQ$367,Q678)))</f>
        <v/>
      </c>
    </row>
    <row r="679">
      <c r="B679" s="71">
        <f>IF(R679="","",674)</f>
        <v/>
      </c>
      <c r="C679" s="75">
        <f>IF(R679="","",IF(INDEX('Recurring Schedule'!$C$6:$C$45,R679)="","",INDEX('Recurring Schedule'!$C$6:$C$45,R679)))</f>
        <v/>
      </c>
      <c r="D679" s="73">
        <f>IF(R679="","",IF(INDEX('Recurring Schedule'!$D$6:$D$45,R679)="","",INDEX('Recurring Schedule'!$D$6:$D$45,R679)))</f>
        <v/>
      </c>
      <c r="E679" s="76">
        <f>IF(Q679="","",INDEX(Calc!$A$2:$A$367,Q679))</f>
        <v/>
      </c>
      <c r="F679" s="72">
        <f>IF(OR(C679="",E679=""),"",E679-Setup!$D$7)</f>
        <v/>
      </c>
      <c r="G679" s="77">
        <f>IF(R679="","",IF(INDEX('Recurring Schedule'!$H$6:$H$45,R679)="","",INDEX('Recurring Schedule'!$H$6:$H$45,R679)))</f>
        <v/>
      </c>
      <c r="H679" s="77">
        <f>IF(R679="","",IF(INDEX('Recurring Schedule'!$I$6:$I$45,R679)="","",INDEX('Recurring Schedule'!$I$6:$I$45,R679)))</f>
        <v/>
      </c>
      <c r="I679" s="73">
        <f>IF(OR(G679="",H679=""),"",TRIM(IF(HOUR(H679-G679)&gt;0,HOUR(H679-G679)&amp;" hr ","")&amp;IF(MINUTE(H679-G679)&gt;0,MINUTE(H679-G679)&amp;" min","")))</f>
        <v/>
      </c>
      <c r="J679" s="66" t="n"/>
      <c r="K679" s="70" t="n"/>
      <c r="L679" s="73">
        <f>IF(R679="","",IF(INDEX('Recurring Schedule'!$J$6:$J$45,R679)="","",INDEX('Recurring Schedule'!$J$6:$J$45,R679)))</f>
        <v/>
      </c>
      <c r="M679" s="73">
        <f>IF(R679="","",IF(INDEX('Recurring Schedule'!$K$6:$K$45,R679)="","",INDEX('Recurring Schedule'!$K$6:$K$45,R679)))</f>
        <v/>
      </c>
      <c r="N679" s="73">
        <f>IF(R679="","",IF(INDEX('Recurring Schedule'!$L$6:$L$45,R679)="","",INDEX('Recurring Schedule'!$L$6:$L$45,R679)))</f>
        <v/>
      </c>
      <c r="O679" s="73">
        <f>IF(C679="","",IF(AND(OR(L679="1-Urgent",L679="2-High"),M679="✓"),"DO FIRST",IF(M679="✓","SCHEDULE",IF(OR(L679="1-Urgent",L679="2-High"),"DELEGATE","DELETE"))))</f>
        <v/>
      </c>
      <c r="P679" s="65" t="n"/>
      <c r="Q679">
        <f>IF(674&gt;Calc!$AQ$368,"",MATCH(673,Calc!$AQ$2:$AQ$367,1))</f>
        <v/>
      </c>
      <c r="R679">
        <f>IF(Q679="","",SMALL(INDEX(Calc!$B$2:$AO$367,Q679,0),674-INDEX(Calc!$AQ$2:$AQ$367,Q679)))</f>
        <v/>
      </c>
    </row>
    <row r="680">
      <c r="B680" s="64">
        <f>IF(R680="","",675)</f>
        <v/>
      </c>
      <c r="C680" s="37">
        <f>IF(R680="","",IF(INDEX('Recurring Schedule'!$C$6:$C$45,R680)="","",INDEX('Recurring Schedule'!$C$6:$C$45,R680)))</f>
        <v/>
      </c>
      <c r="D680" s="36">
        <f>IF(R680="","",IF(INDEX('Recurring Schedule'!$D$6:$D$45,R680)="","",INDEX('Recurring Schedule'!$D$6:$D$45,R680)))</f>
        <v/>
      </c>
      <c r="E680" s="38">
        <f>IF(Q680="","",INDEX(Calc!$A$2:$A$367,Q680))</f>
        <v/>
      </c>
      <c r="F680" s="68">
        <f>IF(OR(C680="",E680=""),"",E680-Setup!$D$7)</f>
        <v/>
      </c>
      <c r="G680" s="74">
        <f>IF(R680="","",IF(INDEX('Recurring Schedule'!$H$6:$H$45,R680)="","",INDEX('Recurring Schedule'!$H$6:$H$45,R680)))</f>
        <v/>
      </c>
      <c r="H680" s="74">
        <f>IF(R680="","",IF(INDEX('Recurring Schedule'!$I$6:$I$45,R680)="","",INDEX('Recurring Schedule'!$I$6:$I$45,R680)))</f>
        <v/>
      </c>
      <c r="I680" s="36">
        <f>IF(OR(G680="",H680=""),"",TRIM(IF(HOUR(H680-G680)&gt;0,HOUR(H680-G680)&amp;" hr ","")&amp;IF(MINUTE(H680-G680)&gt;0,MINUTE(H680-G680)&amp;" min","")))</f>
        <v/>
      </c>
      <c r="J680" s="66" t="n"/>
      <c r="K680" s="70" t="n"/>
      <c r="L680" s="36">
        <f>IF(R680="","",IF(INDEX('Recurring Schedule'!$J$6:$J$45,R680)="","",INDEX('Recurring Schedule'!$J$6:$J$45,R680)))</f>
        <v/>
      </c>
      <c r="M680" s="36">
        <f>IF(R680="","",IF(INDEX('Recurring Schedule'!$K$6:$K$45,R680)="","",INDEX('Recurring Schedule'!$K$6:$K$45,R680)))</f>
        <v/>
      </c>
      <c r="N680" s="36">
        <f>IF(R680="","",IF(INDEX('Recurring Schedule'!$L$6:$L$45,R680)="","",INDEX('Recurring Schedule'!$L$6:$L$45,R680)))</f>
        <v/>
      </c>
      <c r="O680" s="36">
        <f>IF(C680="","",IF(AND(OR(L680="1-Urgent",L680="2-High"),M680="✓"),"DO FIRST",IF(M680="✓","SCHEDULE",IF(OR(L680="1-Urgent",L680="2-High"),"DELEGATE","DELETE"))))</f>
        <v/>
      </c>
      <c r="P680" s="65" t="n"/>
      <c r="Q680">
        <f>IF(675&gt;Calc!$AQ$368,"",MATCH(674,Calc!$AQ$2:$AQ$367,1))</f>
        <v/>
      </c>
      <c r="R680">
        <f>IF(Q680="","",SMALL(INDEX(Calc!$B$2:$AO$367,Q680,0),675-INDEX(Calc!$AQ$2:$AQ$367,Q680)))</f>
        <v/>
      </c>
    </row>
    <row r="681">
      <c r="B681" s="71">
        <f>IF(R681="","",676)</f>
        <v/>
      </c>
      <c r="C681" s="75">
        <f>IF(R681="","",IF(INDEX('Recurring Schedule'!$C$6:$C$45,R681)="","",INDEX('Recurring Schedule'!$C$6:$C$45,R681)))</f>
        <v/>
      </c>
      <c r="D681" s="73">
        <f>IF(R681="","",IF(INDEX('Recurring Schedule'!$D$6:$D$45,R681)="","",INDEX('Recurring Schedule'!$D$6:$D$45,R681)))</f>
        <v/>
      </c>
      <c r="E681" s="76">
        <f>IF(Q681="","",INDEX(Calc!$A$2:$A$367,Q681))</f>
        <v/>
      </c>
      <c r="F681" s="72">
        <f>IF(OR(C681="",E681=""),"",E681-Setup!$D$7)</f>
        <v/>
      </c>
      <c r="G681" s="77">
        <f>IF(R681="","",IF(INDEX('Recurring Schedule'!$H$6:$H$45,R681)="","",INDEX('Recurring Schedule'!$H$6:$H$45,R681)))</f>
        <v/>
      </c>
      <c r="H681" s="77">
        <f>IF(R681="","",IF(INDEX('Recurring Schedule'!$I$6:$I$45,R681)="","",INDEX('Recurring Schedule'!$I$6:$I$45,R681)))</f>
        <v/>
      </c>
      <c r="I681" s="73">
        <f>IF(OR(G681="",H681=""),"",TRIM(IF(HOUR(H681-G681)&gt;0,HOUR(H681-G681)&amp;" hr ","")&amp;IF(MINUTE(H681-G681)&gt;0,MINUTE(H681-G681)&amp;" min","")))</f>
        <v/>
      </c>
      <c r="J681" s="66" t="n"/>
      <c r="K681" s="70" t="n"/>
      <c r="L681" s="73">
        <f>IF(R681="","",IF(INDEX('Recurring Schedule'!$J$6:$J$45,R681)="","",INDEX('Recurring Schedule'!$J$6:$J$45,R681)))</f>
        <v/>
      </c>
      <c r="M681" s="73">
        <f>IF(R681="","",IF(INDEX('Recurring Schedule'!$K$6:$K$45,R681)="","",INDEX('Recurring Schedule'!$K$6:$K$45,R681)))</f>
        <v/>
      </c>
      <c r="N681" s="73">
        <f>IF(R681="","",IF(INDEX('Recurring Schedule'!$L$6:$L$45,R681)="","",INDEX('Recurring Schedule'!$L$6:$L$45,R681)))</f>
        <v/>
      </c>
      <c r="O681" s="73">
        <f>IF(C681="","",IF(AND(OR(L681="1-Urgent",L681="2-High"),M681="✓"),"DO FIRST",IF(M681="✓","SCHEDULE",IF(OR(L681="1-Urgent",L681="2-High"),"DELEGATE","DELETE"))))</f>
        <v/>
      </c>
      <c r="P681" s="65" t="n"/>
      <c r="Q681">
        <f>IF(676&gt;Calc!$AQ$368,"",MATCH(675,Calc!$AQ$2:$AQ$367,1))</f>
        <v/>
      </c>
      <c r="R681">
        <f>IF(Q681="","",SMALL(INDEX(Calc!$B$2:$AO$367,Q681,0),676-INDEX(Calc!$AQ$2:$AQ$367,Q681)))</f>
        <v/>
      </c>
    </row>
    <row r="682">
      <c r="B682" s="64">
        <f>IF(R682="","",677)</f>
        <v/>
      </c>
      <c r="C682" s="37">
        <f>IF(R682="","",IF(INDEX('Recurring Schedule'!$C$6:$C$45,R682)="","",INDEX('Recurring Schedule'!$C$6:$C$45,R682)))</f>
        <v/>
      </c>
      <c r="D682" s="36">
        <f>IF(R682="","",IF(INDEX('Recurring Schedule'!$D$6:$D$45,R682)="","",INDEX('Recurring Schedule'!$D$6:$D$45,R682)))</f>
        <v/>
      </c>
      <c r="E682" s="38">
        <f>IF(Q682="","",INDEX(Calc!$A$2:$A$367,Q682))</f>
        <v/>
      </c>
      <c r="F682" s="68">
        <f>IF(OR(C682="",E682=""),"",E682-Setup!$D$7)</f>
        <v/>
      </c>
      <c r="G682" s="74">
        <f>IF(R682="","",IF(INDEX('Recurring Schedule'!$H$6:$H$45,R682)="","",INDEX('Recurring Schedule'!$H$6:$H$45,R682)))</f>
        <v/>
      </c>
      <c r="H682" s="74">
        <f>IF(R682="","",IF(INDEX('Recurring Schedule'!$I$6:$I$45,R682)="","",INDEX('Recurring Schedule'!$I$6:$I$45,R682)))</f>
        <v/>
      </c>
      <c r="I682" s="36">
        <f>IF(OR(G682="",H682=""),"",TRIM(IF(HOUR(H682-G682)&gt;0,HOUR(H682-G682)&amp;" hr ","")&amp;IF(MINUTE(H682-G682)&gt;0,MINUTE(H682-G682)&amp;" min","")))</f>
        <v/>
      </c>
      <c r="J682" s="66" t="n"/>
      <c r="K682" s="70" t="n"/>
      <c r="L682" s="36">
        <f>IF(R682="","",IF(INDEX('Recurring Schedule'!$J$6:$J$45,R682)="","",INDEX('Recurring Schedule'!$J$6:$J$45,R682)))</f>
        <v/>
      </c>
      <c r="M682" s="36">
        <f>IF(R682="","",IF(INDEX('Recurring Schedule'!$K$6:$K$45,R682)="","",INDEX('Recurring Schedule'!$K$6:$K$45,R682)))</f>
        <v/>
      </c>
      <c r="N682" s="36">
        <f>IF(R682="","",IF(INDEX('Recurring Schedule'!$L$6:$L$45,R682)="","",INDEX('Recurring Schedule'!$L$6:$L$45,R682)))</f>
        <v/>
      </c>
      <c r="O682" s="36">
        <f>IF(C682="","",IF(AND(OR(L682="1-Urgent",L682="2-High"),M682="✓"),"DO FIRST",IF(M682="✓","SCHEDULE",IF(OR(L682="1-Urgent",L682="2-High"),"DELEGATE","DELETE"))))</f>
        <v/>
      </c>
      <c r="P682" s="65" t="n"/>
      <c r="Q682">
        <f>IF(677&gt;Calc!$AQ$368,"",MATCH(676,Calc!$AQ$2:$AQ$367,1))</f>
        <v/>
      </c>
      <c r="R682">
        <f>IF(Q682="","",SMALL(INDEX(Calc!$B$2:$AO$367,Q682,0),677-INDEX(Calc!$AQ$2:$AQ$367,Q682)))</f>
        <v/>
      </c>
    </row>
    <row r="683">
      <c r="B683" s="71">
        <f>IF(R683="","",678)</f>
        <v/>
      </c>
      <c r="C683" s="75">
        <f>IF(R683="","",IF(INDEX('Recurring Schedule'!$C$6:$C$45,R683)="","",INDEX('Recurring Schedule'!$C$6:$C$45,R683)))</f>
        <v/>
      </c>
      <c r="D683" s="73">
        <f>IF(R683="","",IF(INDEX('Recurring Schedule'!$D$6:$D$45,R683)="","",INDEX('Recurring Schedule'!$D$6:$D$45,R683)))</f>
        <v/>
      </c>
      <c r="E683" s="76">
        <f>IF(Q683="","",INDEX(Calc!$A$2:$A$367,Q683))</f>
        <v/>
      </c>
      <c r="F683" s="72">
        <f>IF(OR(C683="",E683=""),"",E683-Setup!$D$7)</f>
        <v/>
      </c>
      <c r="G683" s="77">
        <f>IF(R683="","",IF(INDEX('Recurring Schedule'!$H$6:$H$45,R683)="","",INDEX('Recurring Schedule'!$H$6:$H$45,R683)))</f>
        <v/>
      </c>
      <c r="H683" s="77">
        <f>IF(R683="","",IF(INDEX('Recurring Schedule'!$I$6:$I$45,R683)="","",INDEX('Recurring Schedule'!$I$6:$I$45,R683)))</f>
        <v/>
      </c>
      <c r="I683" s="73">
        <f>IF(OR(G683="",H683=""),"",TRIM(IF(HOUR(H683-G683)&gt;0,HOUR(H683-G683)&amp;" hr ","")&amp;IF(MINUTE(H683-G683)&gt;0,MINUTE(H683-G683)&amp;" min","")))</f>
        <v/>
      </c>
      <c r="J683" s="66" t="n"/>
      <c r="K683" s="70" t="n"/>
      <c r="L683" s="73">
        <f>IF(R683="","",IF(INDEX('Recurring Schedule'!$J$6:$J$45,R683)="","",INDEX('Recurring Schedule'!$J$6:$J$45,R683)))</f>
        <v/>
      </c>
      <c r="M683" s="73">
        <f>IF(R683="","",IF(INDEX('Recurring Schedule'!$K$6:$K$45,R683)="","",INDEX('Recurring Schedule'!$K$6:$K$45,R683)))</f>
        <v/>
      </c>
      <c r="N683" s="73">
        <f>IF(R683="","",IF(INDEX('Recurring Schedule'!$L$6:$L$45,R683)="","",INDEX('Recurring Schedule'!$L$6:$L$45,R683)))</f>
        <v/>
      </c>
      <c r="O683" s="73">
        <f>IF(C683="","",IF(AND(OR(L683="1-Urgent",L683="2-High"),M683="✓"),"DO FIRST",IF(M683="✓","SCHEDULE",IF(OR(L683="1-Urgent",L683="2-High"),"DELEGATE","DELETE"))))</f>
        <v/>
      </c>
      <c r="P683" s="65" t="n"/>
      <c r="Q683">
        <f>IF(678&gt;Calc!$AQ$368,"",MATCH(677,Calc!$AQ$2:$AQ$367,1))</f>
        <v/>
      </c>
      <c r="R683">
        <f>IF(Q683="","",SMALL(INDEX(Calc!$B$2:$AO$367,Q683,0),678-INDEX(Calc!$AQ$2:$AQ$367,Q683)))</f>
        <v/>
      </c>
    </row>
    <row r="684">
      <c r="B684" s="64">
        <f>IF(R684="","",679)</f>
        <v/>
      </c>
      <c r="C684" s="37">
        <f>IF(R684="","",IF(INDEX('Recurring Schedule'!$C$6:$C$45,R684)="","",INDEX('Recurring Schedule'!$C$6:$C$45,R684)))</f>
        <v/>
      </c>
      <c r="D684" s="36">
        <f>IF(R684="","",IF(INDEX('Recurring Schedule'!$D$6:$D$45,R684)="","",INDEX('Recurring Schedule'!$D$6:$D$45,R684)))</f>
        <v/>
      </c>
      <c r="E684" s="38">
        <f>IF(Q684="","",INDEX(Calc!$A$2:$A$367,Q684))</f>
        <v/>
      </c>
      <c r="F684" s="68">
        <f>IF(OR(C684="",E684=""),"",E684-Setup!$D$7)</f>
        <v/>
      </c>
      <c r="G684" s="74">
        <f>IF(R684="","",IF(INDEX('Recurring Schedule'!$H$6:$H$45,R684)="","",INDEX('Recurring Schedule'!$H$6:$H$45,R684)))</f>
        <v/>
      </c>
      <c r="H684" s="74">
        <f>IF(R684="","",IF(INDEX('Recurring Schedule'!$I$6:$I$45,R684)="","",INDEX('Recurring Schedule'!$I$6:$I$45,R684)))</f>
        <v/>
      </c>
      <c r="I684" s="36">
        <f>IF(OR(G684="",H684=""),"",TRIM(IF(HOUR(H684-G684)&gt;0,HOUR(H684-G684)&amp;" hr ","")&amp;IF(MINUTE(H684-G684)&gt;0,MINUTE(H684-G684)&amp;" min","")))</f>
        <v/>
      </c>
      <c r="J684" s="66" t="n"/>
      <c r="K684" s="70" t="n"/>
      <c r="L684" s="36">
        <f>IF(R684="","",IF(INDEX('Recurring Schedule'!$J$6:$J$45,R684)="","",INDEX('Recurring Schedule'!$J$6:$J$45,R684)))</f>
        <v/>
      </c>
      <c r="M684" s="36">
        <f>IF(R684="","",IF(INDEX('Recurring Schedule'!$K$6:$K$45,R684)="","",INDEX('Recurring Schedule'!$K$6:$K$45,R684)))</f>
        <v/>
      </c>
      <c r="N684" s="36">
        <f>IF(R684="","",IF(INDEX('Recurring Schedule'!$L$6:$L$45,R684)="","",INDEX('Recurring Schedule'!$L$6:$L$45,R684)))</f>
        <v/>
      </c>
      <c r="O684" s="36">
        <f>IF(C684="","",IF(AND(OR(L684="1-Urgent",L684="2-High"),M684="✓"),"DO FIRST",IF(M684="✓","SCHEDULE",IF(OR(L684="1-Urgent",L684="2-High"),"DELEGATE","DELETE"))))</f>
        <v/>
      </c>
      <c r="P684" s="65" t="n"/>
      <c r="Q684">
        <f>IF(679&gt;Calc!$AQ$368,"",MATCH(678,Calc!$AQ$2:$AQ$367,1))</f>
        <v/>
      </c>
      <c r="R684">
        <f>IF(Q684="","",SMALL(INDEX(Calc!$B$2:$AO$367,Q684,0),679-INDEX(Calc!$AQ$2:$AQ$367,Q684)))</f>
        <v/>
      </c>
    </row>
    <row r="685">
      <c r="B685" s="71">
        <f>IF(R685="","",680)</f>
        <v/>
      </c>
      <c r="C685" s="75">
        <f>IF(R685="","",IF(INDEX('Recurring Schedule'!$C$6:$C$45,R685)="","",INDEX('Recurring Schedule'!$C$6:$C$45,R685)))</f>
        <v/>
      </c>
      <c r="D685" s="73">
        <f>IF(R685="","",IF(INDEX('Recurring Schedule'!$D$6:$D$45,R685)="","",INDEX('Recurring Schedule'!$D$6:$D$45,R685)))</f>
        <v/>
      </c>
      <c r="E685" s="76">
        <f>IF(Q685="","",INDEX(Calc!$A$2:$A$367,Q685))</f>
        <v/>
      </c>
      <c r="F685" s="72">
        <f>IF(OR(C685="",E685=""),"",E685-Setup!$D$7)</f>
        <v/>
      </c>
      <c r="G685" s="77">
        <f>IF(R685="","",IF(INDEX('Recurring Schedule'!$H$6:$H$45,R685)="","",INDEX('Recurring Schedule'!$H$6:$H$45,R685)))</f>
        <v/>
      </c>
      <c r="H685" s="77">
        <f>IF(R685="","",IF(INDEX('Recurring Schedule'!$I$6:$I$45,R685)="","",INDEX('Recurring Schedule'!$I$6:$I$45,R685)))</f>
        <v/>
      </c>
      <c r="I685" s="73">
        <f>IF(OR(G685="",H685=""),"",TRIM(IF(HOUR(H685-G685)&gt;0,HOUR(H685-G685)&amp;" hr ","")&amp;IF(MINUTE(H685-G685)&gt;0,MINUTE(H685-G685)&amp;" min","")))</f>
        <v/>
      </c>
      <c r="J685" s="66" t="n"/>
      <c r="K685" s="70" t="n"/>
      <c r="L685" s="73">
        <f>IF(R685="","",IF(INDEX('Recurring Schedule'!$J$6:$J$45,R685)="","",INDEX('Recurring Schedule'!$J$6:$J$45,R685)))</f>
        <v/>
      </c>
      <c r="M685" s="73">
        <f>IF(R685="","",IF(INDEX('Recurring Schedule'!$K$6:$K$45,R685)="","",INDEX('Recurring Schedule'!$K$6:$K$45,R685)))</f>
        <v/>
      </c>
      <c r="N685" s="73">
        <f>IF(R685="","",IF(INDEX('Recurring Schedule'!$L$6:$L$45,R685)="","",INDEX('Recurring Schedule'!$L$6:$L$45,R685)))</f>
        <v/>
      </c>
      <c r="O685" s="73">
        <f>IF(C685="","",IF(AND(OR(L685="1-Urgent",L685="2-High"),M685="✓"),"DO FIRST",IF(M685="✓","SCHEDULE",IF(OR(L685="1-Urgent",L685="2-High"),"DELEGATE","DELETE"))))</f>
        <v/>
      </c>
      <c r="P685" s="65" t="n"/>
      <c r="Q685">
        <f>IF(680&gt;Calc!$AQ$368,"",MATCH(679,Calc!$AQ$2:$AQ$367,1))</f>
        <v/>
      </c>
      <c r="R685">
        <f>IF(Q685="","",SMALL(INDEX(Calc!$B$2:$AO$367,Q685,0),680-INDEX(Calc!$AQ$2:$AQ$367,Q685)))</f>
        <v/>
      </c>
    </row>
    <row r="686">
      <c r="B686" s="64">
        <f>IF(R686="","",681)</f>
        <v/>
      </c>
      <c r="C686" s="37">
        <f>IF(R686="","",IF(INDEX('Recurring Schedule'!$C$6:$C$45,R686)="","",INDEX('Recurring Schedule'!$C$6:$C$45,R686)))</f>
        <v/>
      </c>
      <c r="D686" s="36">
        <f>IF(R686="","",IF(INDEX('Recurring Schedule'!$D$6:$D$45,R686)="","",INDEX('Recurring Schedule'!$D$6:$D$45,R686)))</f>
        <v/>
      </c>
      <c r="E686" s="38">
        <f>IF(Q686="","",INDEX(Calc!$A$2:$A$367,Q686))</f>
        <v/>
      </c>
      <c r="F686" s="68">
        <f>IF(OR(C686="",E686=""),"",E686-Setup!$D$7)</f>
        <v/>
      </c>
      <c r="G686" s="74">
        <f>IF(R686="","",IF(INDEX('Recurring Schedule'!$H$6:$H$45,R686)="","",INDEX('Recurring Schedule'!$H$6:$H$45,R686)))</f>
        <v/>
      </c>
      <c r="H686" s="74">
        <f>IF(R686="","",IF(INDEX('Recurring Schedule'!$I$6:$I$45,R686)="","",INDEX('Recurring Schedule'!$I$6:$I$45,R686)))</f>
        <v/>
      </c>
      <c r="I686" s="36">
        <f>IF(OR(G686="",H686=""),"",TRIM(IF(HOUR(H686-G686)&gt;0,HOUR(H686-G686)&amp;" hr ","")&amp;IF(MINUTE(H686-G686)&gt;0,MINUTE(H686-G686)&amp;" min","")))</f>
        <v/>
      </c>
      <c r="J686" s="66" t="n"/>
      <c r="K686" s="70" t="n"/>
      <c r="L686" s="36">
        <f>IF(R686="","",IF(INDEX('Recurring Schedule'!$J$6:$J$45,R686)="","",INDEX('Recurring Schedule'!$J$6:$J$45,R686)))</f>
        <v/>
      </c>
      <c r="M686" s="36">
        <f>IF(R686="","",IF(INDEX('Recurring Schedule'!$K$6:$K$45,R686)="","",INDEX('Recurring Schedule'!$K$6:$K$45,R686)))</f>
        <v/>
      </c>
      <c r="N686" s="36">
        <f>IF(R686="","",IF(INDEX('Recurring Schedule'!$L$6:$L$45,R686)="","",INDEX('Recurring Schedule'!$L$6:$L$45,R686)))</f>
        <v/>
      </c>
      <c r="O686" s="36">
        <f>IF(C686="","",IF(AND(OR(L686="1-Urgent",L686="2-High"),M686="✓"),"DO FIRST",IF(M686="✓","SCHEDULE",IF(OR(L686="1-Urgent",L686="2-High"),"DELEGATE","DELETE"))))</f>
        <v/>
      </c>
      <c r="P686" s="65" t="n"/>
      <c r="Q686">
        <f>IF(681&gt;Calc!$AQ$368,"",MATCH(680,Calc!$AQ$2:$AQ$367,1))</f>
        <v/>
      </c>
      <c r="R686">
        <f>IF(Q686="","",SMALL(INDEX(Calc!$B$2:$AO$367,Q686,0),681-INDEX(Calc!$AQ$2:$AQ$367,Q686)))</f>
        <v/>
      </c>
    </row>
    <row r="687">
      <c r="B687" s="71">
        <f>IF(R687="","",682)</f>
        <v/>
      </c>
      <c r="C687" s="75">
        <f>IF(R687="","",IF(INDEX('Recurring Schedule'!$C$6:$C$45,R687)="","",INDEX('Recurring Schedule'!$C$6:$C$45,R687)))</f>
        <v/>
      </c>
      <c r="D687" s="73">
        <f>IF(R687="","",IF(INDEX('Recurring Schedule'!$D$6:$D$45,R687)="","",INDEX('Recurring Schedule'!$D$6:$D$45,R687)))</f>
        <v/>
      </c>
      <c r="E687" s="76">
        <f>IF(Q687="","",INDEX(Calc!$A$2:$A$367,Q687))</f>
        <v/>
      </c>
      <c r="F687" s="72">
        <f>IF(OR(C687="",E687=""),"",E687-Setup!$D$7)</f>
        <v/>
      </c>
      <c r="G687" s="77">
        <f>IF(R687="","",IF(INDEX('Recurring Schedule'!$H$6:$H$45,R687)="","",INDEX('Recurring Schedule'!$H$6:$H$45,R687)))</f>
        <v/>
      </c>
      <c r="H687" s="77">
        <f>IF(R687="","",IF(INDEX('Recurring Schedule'!$I$6:$I$45,R687)="","",INDEX('Recurring Schedule'!$I$6:$I$45,R687)))</f>
        <v/>
      </c>
      <c r="I687" s="73">
        <f>IF(OR(G687="",H687=""),"",TRIM(IF(HOUR(H687-G687)&gt;0,HOUR(H687-G687)&amp;" hr ","")&amp;IF(MINUTE(H687-G687)&gt;0,MINUTE(H687-G687)&amp;" min","")))</f>
        <v/>
      </c>
      <c r="J687" s="66" t="n"/>
      <c r="K687" s="70" t="n"/>
      <c r="L687" s="73">
        <f>IF(R687="","",IF(INDEX('Recurring Schedule'!$J$6:$J$45,R687)="","",INDEX('Recurring Schedule'!$J$6:$J$45,R687)))</f>
        <v/>
      </c>
      <c r="M687" s="73">
        <f>IF(R687="","",IF(INDEX('Recurring Schedule'!$K$6:$K$45,R687)="","",INDEX('Recurring Schedule'!$K$6:$K$45,R687)))</f>
        <v/>
      </c>
      <c r="N687" s="73">
        <f>IF(R687="","",IF(INDEX('Recurring Schedule'!$L$6:$L$45,R687)="","",INDEX('Recurring Schedule'!$L$6:$L$45,R687)))</f>
        <v/>
      </c>
      <c r="O687" s="73">
        <f>IF(C687="","",IF(AND(OR(L687="1-Urgent",L687="2-High"),M687="✓"),"DO FIRST",IF(M687="✓","SCHEDULE",IF(OR(L687="1-Urgent",L687="2-High"),"DELEGATE","DELETE"))))</f>
        <v/>
      </c>
      <c r="P687" s="65" t="n"/>
      <c r="Q687">
        <f>IF(682&gt;Calc!$AQ$368,"",MATCH(681,Calc!$AQ$2:$AQ$367,1))</f>
        <v/>
      </c>
      <c r="R687">
        <f>IF(Q687="","",SMALL(INDEX(Calc!$B$2:$AO$367,Q687,0),682-INDEX(Calc!$AQ$2:$AQ$367,Q687)))</f>
        <v/>
      </c>
    </row>
    <row r="688">
      <c r="B688" s="64">
        <f>IF(R688="","",683)</f>
        <v/>
      </c>
      <c r="C688" s="37">
        <f>IF(R688="","",IF(INDEX('Recurring Schedule'!$C$6:$C$45,R688)="","",INDEX('Recurring Schedule'!$C$6:$C$45,R688)))</f>
        <v/>
      </c>
      <c r="D688" s="36">
        <f>IF(R688="","",IF(INDEX('Recurring Schedule'!$D$6:$D$45,R688)="","",INDEX('Recurring Schedule'!$D$6:$D$45,R688)))</f>
        <v/>
      </c>
      <c r="E688" s="38">
        <f>IF(Q688="","",INDEX(Calc!$A$2:$A$367,Q688))</f>
        <v/>
      </c>
      <c r="F688" s="68">
        <f>IF(OR(C688="",E688=""),"",E688-Setup!$D$7)</f>
        <v/>
      </c>
      <c r="G688" s="74">
        <f>IF(R688="","",IF(INDEX('Recurring Schedule'!$H$6:$H$45,R688)="","",INDEX('Recurring Schedule'!$H$6:$H$45,R688)))</f>
        <v/>
      </c>
      <c r="H688" s="74">
        <f>IF(R688="","",IF(INDEX('Recurring Schedule'!$I$6:$I$45,R688)="","",INDEX('Recurring Schedule'!$I$6:$I$45,R688)))</f>
        <v/>
      </c>
      <c r="I688" s="36">
        <f>IF(OR(G688="",H688=""),"",TRIM(IF(HOUR(H688-G688)&gt;0,HOUR(H688-G688)&amp;" hr ","")&amp;IF(MINUTE(H688-G688)&gt;0,MINUTE(H688-G688)&amp;" min","")))</f>
        <v/>
      </c>
      <c r="J688" s="66" t="n"/>
      <c r="K688" s="70" t="n"/>
      <c r="L688" s="36">
        <f>IF(R688="","",IF(INDEX('Recurring Schedule'!$J$6:$J$45,R688)="","",INDEX('Recurring Schedule'!$J$6:$J$45,R688)))</f>
        <v/>
      </c>
      <c r="M688" s="36">
        <f>IF(R688="","",IF(INDEX('Recurring Schedule'!$K$6:$K$45,R688)="","",INDEX('Recurring Schedule'!$K$6:$K$45,R688)))</f>
        <v/>
      </c>
      <c r="N688" s="36">
        <f>IF(R688="","",IF(INDEX('Recurring Schedule'!$L$6:$L$45,R688)="","",INDEX('Recurring Schedule'!$L$6:$L$45,R688)))</f>
        <v/>
      </c>
      <c r="O688" s="36">
        <f>IF(C688="","",IF(AND(OR(L688="1-Urgent",L688="2-High"),M688="✓"),"DO FIRST",IF(M688="✓","SCHEDULE",IF(OR(L688="1-Urgent",L688="2-High"),"DELEGATE","DELETE"))))</f>
        <v/>
      </c>
      <c r="P688" s="65" t="n"/>
      <c r="Q688">
        <f>IF(683&gt;Calc!$AQ$368,"",MATCH(682,Calc!$AQ$2:$AQ$367,1))</f>
        <v/>
      </c>
      <c r="R688">
        <f>IF(Q688="","",SMALL(INDEX(Calc!$B$2:$AO$367,Q688,0),683-INDEX(Calc!$AQ$2:$AQ$367,Q688)))</f>
        <v/>
      </c>
    </row>
    <row r="689">
      <c r="B689" s="71">
        <f>IF(R689="","",684)</f>
        <v/>
      </c>
      <c r="C689" s="75">
        <f>IF(R689="","",IF(INDEX('Recurring Schedule'!$C$6:$C$45,R689)="","",INDEX('Recurring Schedule'!$C$6:$C$45,R689)))</f>
        <v/>
      </c>
      <c r="D689" s="73">
        <f>IF(R689="","",IF(INDEX('Recurring Schedule'!$D$6:$D$45,R689)="","",INDEX('Recurring Schedule'!$D$6:$D$45,R689)))</f>
        <v/>
      </c>
      <c r="E689" s="76">
        <f>IF(Q689="","",INDEX(Calc!$A$2:$A$367,Q689))</f>
        <v/>
      </c>
      <c r="F689" s="72">
        <f>IF(OR(C689="",E689=""),"",E689-Setup!$D$7)</f>
        <v/>
      </c>
      <c r="G689" s="77">
        <f>IF(R689="","",IF(INDEX('Recurring Schedule'!$H$6:$H$45,R689)="","",INDEX('Recurring Schedule'!$H$6:$H$45,R689)))</f>
        <v/>
      </c>
      <c r="H689" s="77">
        <f>IF(R689="","",IF(INDEX('Recurring Schedule'!$I$6:$I$45,R689)="","",INDEX('Recurring Schedule'!$I$6:$I$45,R689)))</f>
        <v/>
      </c>
      <c r="I689" s="73">
        <f>IF(OR(G689="",H689=""),"",TRIM(IF(HOUR(H689-G689)&gt;0,HOUR(H689-G689)&amp;" hr ","")&amp;IF(MINUTE(H689-G689)&gt;0,MINUTE(H689-G689)&amp;" min","")))</f>
        <v/>
      </c>
      <c r="J689" s="66" t="n"/>
      <c r="K689" s="70" t="n"/>
      <c r="L689" s="73">
        <f>IF(R689="","",IF(INDEX('Recurring Schedule'!$J$6:$J$45,R689)="","",INDEX('Recurring Schedule'!$J$6:$J$45,R689)))</f>
        <v/>
      </c>
      <c r="M689" s="73">
        <f>IF(R689="","",IF(INDEX('Recurring Schedule'!$K$6:$K$45,R689)="","",INDEX('Recurring Schedule'!$K$6:$K$45,R689)))</f>
        <v/>
      </c>
      <c r="N689" s="73">
        <f>IF(R689="","",IF(INDEX('Recurring Schedule'!$L$6:$L$45,R689)="","",INDEX('Recurring Schedule'!$L$6:$L$45,R689)))</f>
        <v/>
      </c>
      <c r="O689" s="73">
        <f>IF(C689="","",IF(AND(OR(L689="1-Urgent",L689="2-High"),M689="✓"),"DO FIRST",IF(M689="✓","SCHEDULE",IF(OR(L689="1-Urgent",L689="2-High"),"DELEGATE","DELETE"))))</f>
        <v/>
      </c>
      <c r="P689" s="65" t="n"/>
      <c r="Q689">
        <f>IF(684&gt;Calc!$AQ$368,"",MATCH(683,Calc!$AQ$2:$AQ$367,1))</f>
        <v/>
      </c>
      <c r="R689">
        <f>IF(Q689="","",SMALL(INDEX(Calc!$B$2:$AO$367,Q689,0),684-INDEX(Calc!$AQ$2:$AQ$367,Q689)))</f>
        <v/>
      </c>
    </row>
    <row r="690">
      <c r="B690" s="64">
        <f>IF(R690="","",685)</f>
        <v/>
      </c>
      <c r="C690" s="37">
        <f>IF(R690="","",IF(INDEX('Recurring Schedule'!$C$6:$C$45,R690)="","",INDEX('Recurring Schedule'!$C$6:$C$45,R690)))</f>
        <v/>
      </c>
      <c r="D690" s="36">
        <f>IF(R690="","",IF(INDEX('Recurring Schedule'!$D$6:$D$45,R690)="","",INDEX('Recurring Schedule'!$D$6:$D$45,R690)))</f>
        <v/>
      </c>
      <c r="E690" s="38">
        <f>IF(Q690="","",INDEX(Calc!$A$2:$A$367,Q690))</f>
        <v/>
      </c>
      <c r="F690" s="68">
        <f>IF(OR(C690="",E690=""),"",E690-Setup!$D$7)</f>
        <v/>
      </c>
      <c r="G690" s="74">
        <f>IF(R690="","",IF(INDEX('Recurring Schedule'!$H$6:$H$45,R690)="","",INDEX('Recurring Schedule'!$H$6:$H$45,R690)))</f>
        <v/>
      </c>
      <c r="H690" s="74">
        <f>IF(R690="","",IF(INDEX('Recurring Schedule'!$I$6:$I$45,R690)="","",INDEX('Recurring Schedule'!$I$6:$I$45,R690)))</f>
        <v/>
      </c>
      <c r="I690" s="36">
        <f>IF(OR(G690="",H690=""),"",TRIM(IF(HOUR(H690-G690)&gt;0,HOUR(H690-G690)&amp;" hr ","")&amp;IF(MINUTE(H690-G690)&gt;0,MINUTE(H690-G690)&amp;" min","")))</f>
        <v/>
      </c>
      <c r="J690" s="66" t="n"/>
      <c r="K690" s="70" t="n"/>
      <c r="L690" s="36">
        <f>IF(R690="","",IF(INDEX('Recurring Schedule'!$J$6:$J$45,R690)="","",INDEX('Recurring Schedule'!$J$6:$J$45,R690)))</f>
        <v/>
      </c>
      <c r="M690" s="36">
        <f>IF(R690="","",IF(INDEX('Recurring Schedule'!$K$6:$K$45,R690)="","",INDEX('Recurring Schedule'!$K$6:$K$45,R690)))</f>
        <v/>
      </c>
      <c r="N690" s="36">
        <f>IF(R690="","",IF(INDEX('Recurring Schedule'!$L$6:$L$45,R690)="","",INDEX('Recurring Schedule'!$L$6:$L$45,R690)))</f>
        <v/>
      </c>
      <c r="O690" s="36">
        <f>IF(C690="","",IF(AND(OR(L690="1-Urgent",L690="2-High"),M690="✓"),"DO FIRST",IF(M690="✓","SCHEDULE",IF(OR(L690="1-Urgent",L690="2-High"),"DELEGATE","DELETE"))))</f>
        <v/>
      </c>
      <c r="P690" s="65" t="n"/>
      <c r="Q690">
        <f>IF(685&gt;Calc!$AQ$368,"",MATCH(684,Calc!$AQ$2:$AQ$367,1))</f>
        <v/>
      </c>
      <c r="R690">
        <f>IF(Q690="","",SMALL(INDEX(Calc!$B$2:$AO$367,Q690,0),685-INDEX(Calc!$AQ$2:$AQ$367,Q690)))</f>
        <v/>
      </c>
    </row>
    <row r="691">
      <c r="B691" s="71">
        <f>IF(R691="","",686)</f>
        <v/>
      </c>
      <c r="C691" s="75">
        <f>IF(R691="","",IF(INDEX('Recurring Schedule'!$C$6:$C$45,R691)="","",INDEX('Recurring Schedule'!$C$6:$C$45,R691)))</f>
        <v/>
      </c>
      <c r="D691" s="73">
        <f>IF(R691="","",IF(INDEX('Recurring Schedule'!$D$6:$D$45,R691)="","",INDEX('Recurring Schedule'!$D$6:$D$45,R691)))</f>
        <v/>
      </c>
      <c r="E691" s="76">
        <f>IF(Q691="","",INDEX(Calc!$A$2:$A$367,Q691))</f>
        <v/>
      </c>
      <c r="F691" s="72">
        <f>IF(OR(C691="",E691=""),"",E691-Setup!$D$7)</f>
        <v/>
      </c>
      <c r="G691" s="77">
        <f>IF(R691="","",IF(INDEX('Recurring Schedule'!$H$6:$H$45,R691)="","",INDEX('Recurring Schedule'!$H$6:$H$45,R691)))</f>
        <v/>
      </c>
      <c r="H691" s="77">
        <f>IF(R691="","",IF(INDEX('Recurring Schedule'!$I$6:$I$45,R691)="","",INDEX('Recurring Schedule'!$I$6:$I$45,R691)))</f>
        <v/>
      </c>
      <c r="I691" s="73">
        <f>IF(OR(G691="",H691=""),"",TRIM(IF(HOUR(H691-G691)&gt;0,HOUR(H691-G691)&amp;" hr ","")&amp;IF(MINUTE(H691-G691)&gt;0,MINUTE(H691-G691)&amp;" min","")))</f>
        <v/>
      </c>
      <c r="J691" s="66" t="n"/>
      <c r="K691" s="70" t="n"/>
      <c r="L691" s="73">
        <f>IF(R691="","",IF(INDEX('Recurring Schedule'!$J$6:$J$45,R691)="","",INDEX('Recurring Schedule'!$J$6:$J$45,R691)))</f>
        <v/>
      </c>
      <c r="M691" s="73">
        <f>IF(R691="","",IF(INDEX('Recurring Schedule'!$K$6:$K$45,R691)="","",INDEX('Recurring Schedule'!$K$6:$K$45,R691)))</f>
        <v/>
      </c>
      <c r="N691" s="73">
        <f>IF(R691="","",IF(INDEX('Recurring Schedule'!$L$6:$L$45,R691)="","",INDEX('Recurring Schedule'!$L$6:$L$45,R691)))</f>
        <v/>
      </c>
      <c r="O691" s="73">
        <f>IF(C691="","",IF(AND(OR(L691="1-Urgent",L691="2-High"),M691="✓"),"DO FIRST",IF(M691="✓","SCHEDULE",IF(OR(L691="1-Urgent",L691="2-High"),"DELEGATE","DELETE"))))</f>
        <v/>
      </c>
      <c r="P691" s="65" t="n"/>
      <c r="Q691">
        <f>IF(686&gt;Calc!$AQ$368,"",MATCH(685,Calc!$AQ$2:$AQ$367,1))</f>
        <v/>
      </c>
      <c r="R691">
        <f>IF(Q691="","",SMALL(INDEX(Calc!$B$2:$AO$367,Q691,0),686-INDEX(Calc!$AQ$2:$AQ$367,Q691)))</f>
        <v/>
      </c>
    </row>
    <row r="692">
      <c r="B692" s="64">
        <f>IF(R692="","",687)</f>
        <v/>
      </c>
      <c r="C692" s="37">
        <f>IF(R692="","",IF(INDEX('Recurring Schedule'!$C$6:$C$45,R692)="","",INDEX('Recurring Schedule'!$C$6:$C$45,R692)))</f>
        <v/>
      </c>
      <c r="D692" s="36">
        <f>IF(R692="","",IF(INDEX('Recurring Schedule'!$D$6:$D$45,R692)="","",INDEX('Recurring Schedule'!$D$6:$D$45,R692)))</f>
        <v/>
      </c>
      <c r="E692" s="38">
        <f>IF(Q692="","",INDEX(Calc!$A$2:$A$367,Q692))</f>
        <v/>
      </c>
      <c r="F692" s="68">
        <f>IF(OR(C692="",E692=""),"",E692-Setup!$D$7)</f>
        <v/>
      </c>
      <c r="G692" s="74">
        <f>IF(R692="","",IF(INDEX('Recurring Schedule'!$H$6:$H$45,R692)="","",INDEX('Recurring Schedule'!$H$6:$H$45,R692)))</f>
        <v/>
      </c>
      <c r="H692" s="74">
        <f>IF(R692="","",IF(INDEX('Recurring Schedule'!$I$6:$I$45,R692)="","",INDEX('Recurring Schedule'!$I$6:$I$45,R692)))</f>
        <v/>
      </c>
      <c r="I692" s="36">
        <f>IF(OR(G692="",H692=""),"",TRIM(IF(HOUR(H692-G692)&gt;0,HOUR(H692-G692)&amp;" hr ","")&amp;IF(MINUTE(H692-G692)&gt;0,MINUTE(H692-G692)&amp;" min","")))</f>
        <v/>
      </c>
      <c r="J692" s="66" t="n"/>
      <c r="K692" s="70" t="n"/>
      <c r="L692" s="36">
        <f>IF(R692="","",IF(INDEX('Recurring Schedule'!$J$6:$J$45,R692)="","",INDEX('Recurring Schedule'!$J$6:$J$45,R692)))</f>
        <v/>
      </c>
      <c r="M692" s="36">
        <f>IF(R692="","",IF(INDEX('Recurring Schedule'!$K$6:$K$45,R692)="","",INDEX('Recurring Schedule'!$K$6:$K$45,R692)))</f>
        <v/>
      </c>
      <c r="N692" s="36">
        <f>IF(R692="","",IF(INDEX('Recurring Schedule'!$L$6:$L$45,R692)="","",INDEX('Recurring Schedule'!$L$6:$L$45,R692)))</f>
        <v/>
      </c>
      <c r="O692" s="36">
        <f>IF(C692="","",IF(AND(OR(L692="1-Urgent",L692="2-High"),M692="✓"),"DO FIRST",IF(M692="✓","SCHEDULE",IF(OR(L692="1-Urgent",L692="2-High"),"DELEGATE","DELETE"))))</f>
        <v/>
      </c>
      <c r="P692" s="65" t="n"/>
      <c r="Q692">
        <f>IF(687&gt;Calc!$AQ$368,"",MATCH(686,Calc!$AQ$2:$AQ$367,1))</f>
        <v/>
      </c>
      <c r="R692">
        <f>IF(Q692="","",SMALL(INDEX(Calc!$B$2:$AO$367,Q692,0),687-INDEX(Calc!$AQ$2:$AQ$367,Q692)))</f>
        <v/>
      </c>
    </row>
    <row r="693">
      <c r="B693" s="71">
        <f>IF(R693="","",688)</f>
        <v/>
      </c>
      <c r="C693" s="75">
        <f>IF(R693="","",IF(INDEX('Recurring Schedule'!$C$6:$C$45,R693)="","",INDEX('Recurring Schedule'!$C$6:$C$45,R693)))</f>
        <v/>
      </c>
      <c r="D693" s="73">
        <f>IF(R693="","",IF(INDEX('Recurring Schedule'!$D$6:$D$45,R693)="","",INDEX('Recurring Schedule'!$D$6:$D$45,R693)))</f>
        <v/>
      </c>
      <c r="E693" s="76">
        <f>IF(Q693="","",INDEX(Calc!$A$2:$A$367,Q693))</f>
        <v/>
      </c>
      <c r="F693" s="72">
        <f>IF(OR(C693="",E693=""),"",E693-Setup!$D$7)</f>
        <v/>
      </c>
      <c r="G693" s="77">
        <f>IF(R693="","",IF(INDEX('Recurring Schedule'!$H$6:$H$45,R693)="","",INDEX('Recurring Schedule'!$H$6:$H$45,R693)))</f>
        <v/>
      </c>
      <c r="H693" s="77">
        <f>IF(R693="","",IF(INDEX('Recurring Schedule'!$I$6:$I$45,R693)="","",INDEX('Recurring Schedule'!$I$6:$I$45,R693)))</f>
        <v/>
      </c>
      <c r="I693" s="73">
        <f>IF(OR(G693="",H693=""),"",TRIM(IF(HOUR(H693-G693)&gt;0,HOUR(H693-G693)&amp;" hr ","")&amp;IF(MINUTE(H693-G693)&gt;0,MINUTE(H693-G693)&amp;" min","")))</f>
        <v/>
      </c>
      <c r="J693" s="66" t="n"/>
      <c r="K693" s="70" t="n"/>
      <c r="L693" s="73">
        <f>IF(R693="","",IF(INDEX('Recurring Schedule'!$J$6:$J$45,R693)="","",INDEX('Recurring Schedule'!$J$6:$J$45,R693)))</f>
        <v/>
      </c>
      <c r="M693" s="73">
        <f>IF(R693="","",IF(INDEX('Recurring Schedule'!$K$6:$K$45,R693)="","",INDEX('Recurring Schedule'!$K$6:$K$45,R693)))</f>
        <v/>
      </c>
      <c r="N693" s="73">
        <f>IF(R693="","",IF(INDEX('Recurring Schedule'!$L$6:$L$45,R693)="","",INDEX('Recurring Schedule'!$L$6:$L$45,R693)))</f>
        <v/>
      </c>
      <c r="O693" s="73">
        <f>IF(C693="","",IF(AND(OR(L693="1-Urgent",L693="2-High"),M693="✓"),"DO FIRST",IF(M693="✓","SCHEDULE",IF(OR(L693="1-Urgent",L693="2-High"),"DELEGATE","DELETE"))))</f>
        <v/>
      </c>
      <c r="P693" s="65" t="n"/>
      <c r="Q693">
        <f>IF(688&gt;Calc!$AQ$368,"",MATCH(687,Calc!$AQ$2:$AQ$367,1))</f>
        <v/>
      </c>
      <c r="R693">
        <f>IF(Q693="","",SMALL(INDEX(Calc!$B$2:$AO$367,Q693,0),688-INDEX(Calc!$AQ$2:$AQ$367,Q693)))</f>
        <v/>
      </c>
    </row>
    <row r="694">
      <c r="B694" s="64">
        <f>IF(R694="","",689)</f>
        <v/>
      </c>
      <c r="C694" s="37">
        <f>IF(R694="","",IF(INDEX('Recurring Schedule'!$C$6:$C$45,R694)="","",INDEX('Recurring Schedule'!$C$6:$C$45,R694)))</f>
        <v/>
      </c>
      <c r="D694" s="36">
        <f>IF(R694="","",IF(INDEX('Recurring Schedule'!$D$6:$D$45,R694)="","",INDEX('Recurring Schedule'!$D$6:$D$45,R694)))</f>
        <v/>
      </c>
      <c r="E694" s="38">
        <f>IF(Q694="","",INDEX(Calc!$A$2:$A$367,Q694))</f>
        <v/>
      </c>
      <c r="F694" s="68">
        <f>IF(OR(C694="",E694=""),"",E694-Setup!$D$7)</f>
        <v/>
      </c>
      <c r="G694" s="74">
        <f>IF(R694="","",IF(INDEX('Recurring Schedule'!$H$6:$H$45,R694)="","",INDEX('Recurring Schedule'!$H$6:$H$45,R694)))</f>
        <v/>
      </c>
      <c r="H694" s="74">
        <f>IF(R694="","",IF(INDEX('Recurring Schedule'!$I$6:$I$45,R694)="","",INDEX('Recurring Schedule'!$I$6:$I$45,R694)))</f>
        <v/>
      </c>
      <c r="I694" s="36">
        <f>IF(OR(G694="",H694=""),"",TRIM(IF(HOUR(H694-G694)&gt;0,HOUR(H694-G694)&amp;" hr ","")&amp;IF(MINUTE(H694-G694)&gt;0,MINUTE(H694-G694)&amp;" min","")))</f>
        <v/>
      </c>
      <c r="J694" s="66" t="n"/>
      <c r="K694" s="70" t="n"/>
      <c r="L694" s="36">
        <f>IF(R694="","",IF(INDEX('Recurring Schedule'!$J$6:$J$45,R694)="","",INDEX('Recurring Schedule'!$J$6:$J$45,R694)))</f>
        <v/>
      </c>
      <c r="M694" s="36">
        <f>IF(R694="","",IF(INDEX('Recurring Schedule'!$K$6:$K$45,R694)="","",INDEX('Recurring Schedule'!$K$6:$K$45,R694)))</f>
        <v/>
      </c>
      <c r="N694" s="36">
        <f>IF(R694="","",IF(INDEX('Recurring Schedule'!$L$6:$L$45,R694)="","",INDEX('Recurring Schedule'!$L$6:$L$45,R694)))</f>
        <v/>
      </c>
      <c r="O694" s="36">
        <f>IF(C694="","",IF(AND(OR(L694="1-Urgent",L694="2-High"),M694="✓"),"DO FIRST",IF(M694="✓","SCHEDULE",IF(OR(L694="1-Urgent",L694="2-High"),"DELEGATE","DELETE"))))</f>
        <v/>
      </c>
      <c r="P694" s="65" t="n"/>
      <c r="Q694">
        <f>IF(689&gt;Calc!$AQ$368,"",MATCH(688,Calc!$AQ$2:$AQ$367,1))</f>
        <v/>
      </c>
      <c r="R694">
        <f>IF(Q694="","",SMALL(INDEX(Calc!$B$2:$AO$367,Q694,0),689-INDEX(Calc!$AQ$2:$AQ$367,Q694)))</f>
        <v/>
      </c>
    </row>
    <row r="695">
      <c r="B695" s="71">
        <f>IF(R695="","",690)</f>
        <v/>
      </c>
      <c r="C695" s="75">
        <f>IF(R695="","",IF(INDEX('Recurring Schedule'!$C$6:$C$45,R695)="","",INDEX('Recurring Schedule'!$C$6:$C$45,R695)))</f>
        <v/>
      </c>
      <c r="D695" s="73">
        <f>IF(R695="","",IF(INDEX('Recurring Schedule'!$D$6:$D$45,R695)="","",INDEX('Recurring Schedule'!$D$6:$D$45,R695)))</f>
        <v/>
      </c>
      <c r="E695" s="76">
        <f>IF(Q695="","",INDEX(Calc!$A$2:$A$367,Q695))</f>
        <v/>
      </c>
      <c r="F695" s="72">
        <f>IF(OR(C695="",E695=""),"",E695-Setup!$D$7)</f>
        <v/>
      </c>
      <c r="G695" s="77">
        <f>IF(R695="","",IF(INDEX('Recurring Schedule'!$H$6:$H$45,R695)="","",INDEX('Recurring Schedule'!$H$6:$H$45,R695)))</f>
        <v/>
      </c>
      <c r="H695" s="77">
        <f>IF(R695="","",IF(INDEX('Recurring Schedule'!$I$6:$I$45,R695)="","",INDEX('Recurring Schedule'!$I$6:$I$45,R695)))</f>
        <v/>
      </c>
      <c r="I695" s="73">
        <f>IF(OR(G695="",H695=""),"",TRIM(IF(HOUR(H695-G695)&gt;0,HOUR(H695-G695)&amp;" hr ","")&amp;IF(MINUTE(H695-G695)&gt;0,MINUTE(H695-G695)&amp;" min","")))</f>
        <v/>
      </c>
      <c r="J695" s="66" t="n"/>
      <c r="K695" s="70" t="n"/>
      <c r="L695" s="73">
        <f>IF(R695="","",IF(INDEX('Recurring Schedule'!$J$6:$J$45,R695)="","",INDEX('Recurring Schedule'!$J$6:$J$45,R695)))</f>
        <v/>
      </c>
      <c r="M695" s="73">
        <f>IF(R695="","",IF(INDEX('Recurring Schedule'!$K$6:$K$45,R695)="","",INDEX('Recurring Schedule'!$K$6:$K$45,R695)))</f>
        <v/>
      </c>
      <c r="N695" s="73">
        <f>IF(R695="","",IF(INDEX('Recurring Schedule'!$L$6:$L$45,R695)="","",INDEX('Recurring Schedule'!$L$6:$L$45,R695)))</f>
        <v/>
      </c>
      <c r="O695" s="73">
        <f>IF(C695="","",IF(AND(OR(L695="1-Urgent",L695="2-High"),M695="✓"),"DO FIRST",IF(M695="✓","SCHEDULE",IF(OR(L695="1-Urgent",L695="2-High"),"DELEGATE","DELETE"))))</f>
        <v/>
      </c>
      <c r="P695" s="65" t="n"/>
      <c r="Q695">
        <f>IF(690&gt;Calc!$AQ$368,"",MATCH(689,Calc!$AQ$2:$AQ$367,1))</f>
        <v/>
      </c>
      <c r="R695">
        <f>IF(Q695="","",SMALL(INDEX(Calc!$B$2:$AO$367,Q695,0),690-INDEX(Calc!$AQ$2:$AQ$367,Q695)))</f>
        <v/>
      </c>
    </row>
    <row r="696">
      <c r="B696" s="64">
        <f>IF(R696="","",691)</f>
        <v/>
      </c>
      <c r="C696" s="37">
        <f>IF(R696="","",IF(INDEX('Recurring Schedule'!$C$6:$C$45,R696)="","",INDEX('Recurring Schedule'!$C$6:$C$45,R696)))</f>
        <v/>
      </c>
      <c r="D696" s="36">
        <f>IF(R696="","",IF(INDEX('Recurring Schedule'!$D$6:$D$45,R696)="","",INDEX('Recurring Schedule'!$D$6:$D$45,R696)))</f>
        <v/>
      </c>
      <c r="E696" s="38">
        <f>IF(Q696="","",INDEX(Calc!$A$2:$A$367,Q696))</f>
        <v/>
      </c>
      <c r="F696" s="68">
        <f>IF(OR(C696="",E696=""),"",E696-Setup!$D$7)</f>
        <v/>
      </c>
      <c r="G696" s="74">
        <f>IF(R696="","",IF(INDEX('Recurring Schedule'!$H$6:$H$45,R696)="","",INDEX('Recurring Schedule'!$H$6:$H$45,R696)))</f>
        <v/>
      </c>
      <c r="H696" s="74">
        <f>IF(R696="","",IF(INDEX('Recurring Schedule'!$I$6:$I$45,R696)="","",INDEX('Recurring Schedule'!$I$6:$I$45,R696)))</f>
        <v/>
      </c>
      <c r="I696" s="36">
        <f>IF(OR(G696="",H696=""),"",TRIM(IF(HOUR(H696-G696)&gt;0,HOUR(H696-G696)&amp;" hr ","")&amp;IF(MINUTE(H696-G696)&gt;0,MINUTE(H696-G696)&amp;" min","")))</f>
        <v/>
      </c>
      <c r="J696" s="66" t="n"/>
      <c r="K696" s="70" t="n"/>
      <c r="L696" s="36">
        <f>IF(R696="","",IF(INDEX('Recurring Schedule'!$J$6:$J$45,R696)="","",INDEX('Recurring Schedule'!$J$6:$J$45,R696)))</f>
        <v/>
      </c>
      <c r="M696" s="36">
        <f>IF(R696="","",IF(INDEX('Recurring Schedule'!$K$6:$K$45,R696)="","",INDEX('Recurring Schedule'!$K$6:$K$45,R696)))</f>
        <v/>
      </c>
      <c r="N696" s="36">
        <f>IF(R696="","",IF(INDEX('Recurring Schedule'!$L$6:$L$45,R696)="","",INDEX('Recurring Schedule'!$L$6:$L$45,R696)))</f>
        <v/>
      </c>
      <c r="O696" s="36">
        <f>IF(C696="","",IF(AND(OR(L696="1-Urgent",L696="2-High"),M696="✓"),"DO FIRST",IF(M696="✓","SCHEDULE",IF(OR(L696="1-Urgent",L696="2-High"),"DELEGATE","DELETE"))))</f>
        <v/>
      </c>
      <c r="P696" s="65" t="n"/>
      <c r="Q696">
        <f>IF(691&gt;Calc!$AQ$368,"",MATCH(690,Calc!$AQ$2:$AQ$367,1))</f>
        <v/>
      </c>
      <c r="R696">
        <f>IF(Q696="","",SMALL(INDEX(Calc!$B$2:$AO$367,Q696,0),691-INDEX(Calc!$AQ$2:$AQ$367,Q696)))</f>
        <v/>
      </c>
    </row>
    <row r="697">
      <c r="B697" s="71">
        <f>IF(R697="","",692)</f>
        <v/>
      </c>
      <c r="C697" s="75">
        <f>IF(R697="","",IF(INDEX('Recurring Schedule'!$C$6:$C$45,R697)="","",INDEX('Recurring Schedule'!$C$6:$C$45,R697)))</f>
        <v/>
      </c>
      <c r="D697" s="73">
        <f>IF(R697="","",IF(INDEX('Recurring Schedule'!$D$6:$D$45,R697)="","",INDEX('Recurring Schedule'!$D$6:$D$45,R697)))</f>
        <v/>
      </c>
      <c r="E697" s="76">
        <f>IF(Q697="","",INDEX(Calc!$A$2:$A$367,Q697))</f>
        <v/>
      </c>
      <c r="F697" s="72">
        <f>IF(OR(C697="",E697=""),"",E697-Setup!$D$7)</f>
        <v/>
      </c>
      <c r="G697" s="77">
        <f>IF(R697="","",IF(INDEX('Recurring Schedule'!$H$6:$H$45,R697)="","",INDEX('Recurring Schedule'!$H$6:$H$45,R697)))</f>
        <v/>
      </c>
      <c r="H697" s="77">
        <f>IF(R697="","",IF(INDEX('Recurring Schedule'!$I$6:$I$45,R697)="","",INDEX('Recurring Schedule'!$I$6:$I$45,R697)))</f>
        <v/>
      </c>
      <c r="I697" s="73">
        <f>IF(OR(G697="",H697=""),"",TRIM(IF(HOUR(H697-G697)&gt;0,HOUR(H697-G697)&amp;" hr ","")&amp;IF(MINUTE(H697-G697)&gt;0,MINUTE(H697-G697)&amp;" min","")))</f>
        <v/>
      </c>
      <c r="J697" s="66" t="n"/>
      <c r="K697" s="70" t="n"/>
      <c r="L697" s="73">
        <f>IF(R697="","",IF(INDEX('Recurring Schedule'!$J$6:$J$45,R697)="","",INDEX('Recurring Schedule'!$J$6:$J$45,R697)))</f>
        <v/>
      </c>
      <c r="M697" s="73">
        <f>IF(R697="","",IF(INDEX('Recurring Schedule'!$K$6:$K$45,R697)="","",INDEX('Recurring Schedule'!$K$6:$K$45,R697)))</f>
        <v/>
      </c>
      <c r="N697" s="73">
        <f>IF(R697="","",IF(INDEX('Recurring Schedule'!$L$6:$L$45,R697)="","",INDEX('Recurring Schedule'!$L$6:$L$45,R697)))</f>
        <v/>
      </c>
      <c r="O697" s="73">
        <f>IF(C697="","",IF(AND(OR(L697="1-Urgent",L697="2-High"),M697="✓"),"DO FIRST",IF(M697="✓","SCHEDULE",IF(OR(L697="1-Urgent",L697="2-High"),"DELEGATE","DELETE"))))</f>
        <v/>
      </c>
      <c r="P697" s="65" t="n"/>
      <c r="Q697">
        <f>IF(692&gt;Calc!$AQ$368,"",MATCH(691,Calc!$AQ$2:$AQ$367,1))</f>
        <v/>
      </c>
      <c r="R697">
        <f>IF(Q697="","",SMALL(INDEX(Calc!$B$2:$AO$367,Q697,0),692-INDEX(Calc!$AQ$2:$AQ$367,Q697)))</f>
        <v/>
      </c>
    </row>
    <row r="698">
      <c r="B698" s="64">
        <f>IF(R698="","",693)</f>
        <v/>
      </c>
      <c r="C698" s="37">
        <f>IF(R698="","",IF(INDEX('Recurring Schedule'!$C$6:$C$45,R698)="","",INDEX('Recurring Schedule'!$C$6:$C$45,R698)))</f>
        <v/>
      </c>
      <c r="D698" s="36">
        <f>IF(R698="","",IF(INDEX('Recurring Schedule'!$D$6:$D$45,R698)="","",INDEX('Recurring Schedule'!$D$6:$D$45,R698)))</f>
        <v/>
      </c>
      <c r="E698" s="38">
        <f>IF(Q698="","",INDEX(Calc!$A$2:$A$367,Q698))</f>
        <v/>
      </c>
      <c r="F698" s="68">
        <f>IF(OR(C698="",E698=""),"",E698-Setup!$D$7)</f>
        <v/>
      </c>
      <c r="G698" s="74">
        <f>IF(R698="","",IF(INDEX('Recurring Schedule'!$H$6:$H$45,R698)="","",INDEX('Recurring Schedule'!$H$6:$H$45,R698)))</f>
        <v/>
      </c>
      <c r="H698" s="74">
        <f>IF(R698="","",IF(INDEX('Recurring Schedule'!$I$6:$I$45,R698)="","",INDEX('Recurring Schedule'!$I$6:$I$45,R698)))</f>
        <v/>
      </c>
      <c r="I698" s="36">
        <f>IF(OR(G698="",H698=""),"",TRIM(IF(HOUR(H698-G698)&gt;0,HOUR(H698-G698)&amp;" hr ","")&amp;IF(MINUTE(H698-G698)&gt;0,MINUTE(H698-G698)&amp;" min","")))</f>
        <v/>
      </c>
      <c r="J698" s="66" t="n"/>
      <c r="K698" s="70" t="n"/>
      <c r="L698" s="36">
        <f>IF(R698="","",IF(INDEX('Recurring Schedule'!$J$6:$J$45,R698)="","",INDEX('Recurring Schedule'!$J$6:$J$45,R698)))</f>
        <v/>
      </c>
      <c r="M698" s="36">
        <f>IF(R698="","",IF(INDEX('Recurring Schedule'!$K$6:$K$45,R698)="","",INDEX('Recurring Schedule'!$K$6:$K$45,R698)))</f>
        <v/>
      </c>
      <c r="N698" s="36">
        <f>IF(R698="","",IF(INDEX('Recurring Schedule'!$L$6:$L$45,R698)="","",INDEX('Recurring Schedule'!$L$6:$L$45,R698)))</f>
        <v/>
      </c>
      <c r="O698" s="36">
        <f>IF(C698="","",IF(AND(OR(L698="1-Urgent",L698="2-High"),M698="✓"),"DO FIRST",IF(M698="✓","SCHEDULE",IF(OR(L698="1-Urgent",L698="2-High"),"DELEGATE","DELETE"))))</f>
        <v/>
      </c>
      <c r="P698" s="65" t="n"/>
      <c r="Q698">
        <f>IF(693&gt;Calc!$AQ$368,"",MATCH(692,Calc!$AQ$2:$AQ$367,1))</f>
        <v/>
      </c>
      <c r="R698">
        <f>IF(Q698="","",SMALL(INDEX(Calc!$B$2:$AO$367,Q698,0),693-INDEX(Calc!$AQ$2:$AQ$367,Q698)))</f>
        <v/>
      </c>
    </row>
    <row r="699">
      <c r="B699" s="71">
        <f>IF(R699="","",694)</f>
        <v/>
      </c>
      <c r="C699" s="75">
        <f>IF(R699="","",IF(INDEX('Recurring Schedule'!$C$6:$C$45,R699)="","",INDEX('Recurring Schedule'!$C$6:$C$45,R699)))</f>
        <v/>
      </c>
      <c r="D699" s="73">
        <f>IF(R699="","",IF(INDEX('Recurring Schedule'!$D$6:$D$45,R699)="","",INDEX('Recurring Schedule'!$D$6:$D$45,R699)))</f>
        <v/>
      </c>
      <c r="E699" s="76">
        <f>IF(Q699="","",INDEX(Calc!$A$2:$A$367,Q699))</f>
        <v/>
      </c>
      <c r="F699" s="72">
        <f>IF(OR(C699="",E699=""),"",E699-Setup!$D$7)</f>
        <v/>
      </c>
      <c r="G699" s="77">
        <f>IF(R699="","",IF(INDEX('Recurring Schedule'!$H$6:$H$45,R699)="","",INDEX('Recurring Schedule'!$H$6:$H$45,R699)))</f>
        <v/>
      </c>
      <c r="H699" s="77">
        <f>IF(R699="","",IF(INDEX('Recurring Schedule'!$I$6:$I$45,R699)="","",INDEX('Recurring Schedule'!$I$6:$I$45,R699)))</f>
        <v/>
      </c>
      <c r="I699" s="73">
        <f>IF(OR(G699="",H699=""),"",TRIM(IF(HOUR(H699-G699)&gt;0,HOUR(H699-G699)&amp;" hr ","")&amp;IF(MINUTE(H699-G699)&gt;0,MINUTE(H699-G699)&amp;" min","")))</f>
        <v/>
      </c>
      <c r="J699" s="66" t="n"/>
      <c r="K699" s="70" t="n"/>
      <c r="L699" s="73">
        <f>IF(R699="","",IF(INDEX('Recurring Schedule'!$J$6:$J$45,R699)="","",INDEX('Recurring Schedule'!$J$6:$J$45,R699)))</f>
        <v/>
      </c>
      <c r="M699" s="73">
        <f>IF(R699="","",IF(INDEX('Recurring Schedule'!$K$6:$K$45,R699)="","",INDEX('Recurring Schedule'!$K$6:$K$45,R699)))</f>
        <v/>
      </c>
      <c r="N699" s="73">
        <f>IF(R699="","",IF(INDEX('Recurring Schedule'!$L$6:$L$45,R699)="","",INDEX('Recurring Schedule'!$L$6:$L$45,R699)))</f>
        <v/>
      </c>
      <c r="O699" s="73">
        <f>IF(C699="","",IF(AND(OR(L699="1-Urgent",L699="2-High"),M699="✓"),"DO FIRST",IF(M699="✓","SCHEDULE",IF(OR(L699="1-Urgent",L699="2-High"),"DELEGATE","DELETE"))))</f>
        <v/>
      </c>
      <c r="P699" s="65" t="n"/>
      <c r="Q699">
        <f>IF(694&gt;Calc!$AQ$368,"",MATCH(693,Calc!$AQ$2:$AQ$367,1))</f>
        <v/>
      </c>
      <c r="R699">
        <f>IF(Q699="","",SMALL(INDEX(Calc!$B$2:$AO$367,Q699,0),694-INDEX(Calc!$AQ$2:$AQ$367,Q699)))</f>
        <v/>
      </c>
    </row>
    <row r="700">
      <c r="B700" s="64">
        <f>IF(R700="","",695)</f>
        <v/>
      </c>
      <c r="C700" s="37">
        <f>IF(R700="","",IF(INDEX('Recurring Schedule'!$C$6:$C$45,R700)="","",INDEX('Recurring Schedule'!$C$6:$C$45,R700)))</f>
        <v/>
      </c>
      <c r="D700" s="36">
        <f>IF(R700="","",IF(INDEX('Recurring Schedule'!$D$6:$D$45,R700)="","",INDEX('Recurring Schedule'!$D$6:$D$45,R700)))</f>
        <v/>
      </c>
      <c r="E700" s="38">
        <f>IF(Q700="","",INDEX(Calc!$A$2:$A$367,Q700))</f>
        <v/>
      </c>
      <c r="F700" s="68">
        <f>IF(OR(C700="",E700=""),"",E700-Setup!$D$7)</f>
        <v/>
      </c>
      <c r="G700" s="74">
        <f>IF(R700="","",IF(INDEX('Recurring Schedule'!$H$6:$H$45,R700)="","",INDEX('Recurring Schedule'!$H$6:$H$45,R700)))</f>
        <v/>
      </c>
      <c r="H700" s="74">
        <f>IF(R700="","",IF(INDEX('Recurring Schedule'!$I$6:$I$45,R700)="","",INDEX('Recurring Schedule'!$I$6:$I$45,R700)))</f>
        <v/>
      </c>
      <c r="I700" s="36">
        <f>IF(OR(G700="",H700=""),"",TRIM(IF(HOUR(H700-G700)&gt;0,HOUR(H700-G700)&amp;" hr ","")&amp;IF(MINUTE(H700-G700)&gt;0,MINUTE(H700-G700)&amp;" min","")))</f>
        <v/>
      </c>
      <c r="J700" s="66" t="n"/>
      <c r="K700" s="70" t="n"/>
      <c r="L700" s="36">
        <f>IF(R700="","",IF(INDEX('Recurring Schedule'!$J$6:$J$45,R700)="","",INDEX('Recurring Schedule'!$J$6:$J$45,R700)))</f>
        <v/>
      </c>
      <c r="M700" s="36">
        <f>IF(R700="","",IF(INDEX('Recurring Schedule'!$K$6:$K$45,R700)="","",INDEX('Recurring Schedule'!$K$6:$K$45,R700)))</f>
        <v/>
      </c>
      <c r="N700" s="36">
        <f>IF(R700="","",IF(INDEX('Recurring Schedule'!$L$6:$L$45,R700)="","",INDEX('Recurring Schedule'!$L$6:$L$45,R700)))</f>
        <v/>
      </c>
      <c r="O700" s="36">
        <f>IF(C700="","",IF(AND(OR(L700="1-Urgent",L700="2-High"),M700="✓"),"DO FIRST",IF(M700="✓","SCHEDULE",IF(OR(L700="1-Urgent",L700="2-High"),"DELEGATE","DELETE"))))</f>
        <v/>
      </c>
      <c r="P700" s="65" t="n"/>
      <c r="Q700">
        <f>IF(695&gt;Calc!$AQ$368,"",MATCH(694,Calc!$AQ$2:$AQ$367,1))</f>
        <v/>
      </c>
      <c r="R700">
        <f>IF(Q700="","",SMALL(INDEX(Calc!$B$2:$AO$367,Q700,0),695-INDEX(Calc!$AQ$2:$AQ$367,Q700)))</f>
        <v/>
      </c>
    </row>
    <row r="701">
      <c r="B701" s="71">
        <f>IF(R701="","",696)</f>
        <v/>
      </c>
      <c r="C701" s="75">
        <f>IF(R701="","",IF(INDEX('Recurring Schedule'!$C$6:$C$45,R701)="","",INDEX('Recurring Schedule'!$C$6:$C$45,R701)))</f>
        <v/>
      </c>
      <c r="D701" s="73">
        <f>IF(R701="","",IF(INDEX('Recurring Schedule'!$D$6:$D$45,R701)="","",INDEX('Recurring Schedule'!$D$6:$D$45,R701)))</f>
        <v/>
      </c>
      <c r="E701" s="76">
        <f>IF(Q701="","",INDEX(Calc!$A$2:$A$367,Q701))</f>
        <v/>
      </c>
      <c r="F701" s="72">
        <f>IF(OR(C701="",E701=""),"",E701-Setup!$D$7)</f>
        <v/>
      </c>
      <c r="G701" s="77">
        <f>IF(R701="","",IF(INDEX('Recurring Schedule'!$H$6:$H$45,R701)="","",INDEX('Recurring Schedule'!$H$6:$H$45,R701)))</f>
        <v/>
      </c>
      <c r="H701" s="77">
        <f>IF(R701="","",IF(INDEX('Recurring Schedule'!$I$6:$I$45,R701)="","",INDEX('Recurring Schedule'!$I$6:$I$45,R701)))</f>
        <v/>
      </c>
      <c r="I701" s="73">
        <f>IF(OR(G701="",H701=""),"",TRIM(IF(HOUR(H701-G701)&gt;0,HOUR(H701-G701)&amp;" hr ","")&amp;IF(MINUTE(H701-G701)&gt;0,MINUTE(H701-G701)&amp;" min","")))</f>
        <v/>
      </c>
      <c r="J701" s="66" t="n"/>
      <c r="K701" s="70" t="n"/>
      <c r="L701" s="73">
        <f>IF(R701="","",IF(INDEX('Recurring Schedule'!$J$6:$J$45,R701)="","",INDEX('Recurring Schedule'!$J$6:$J$45,R701)))</f>
        <v/>
      </c>
      <c r="M701" s="73">
        <f>IF(R701="","",IF(INDEX('Recurring Schedule'!$K$6:$K$45,R701)="","",INDEX('Recurring Schedule'!$K$6:$K$45,R701)))</f>
        <v/>
      </c>
      <c r="N701" s="73">
        <f>IF(R701="","",IF(INDEX('Recurring Schedule'!$L$6:$L$45,R701)="","",INDEX('Recurring Schedule'!$L$6:$L$45,R701)))</f>
        <v/>
      </c>
      <c r="O701" s="73">
        <f>IF(C701="","",IF(AND(OR(L701="1-Urgent",L701="2-High"),M701="✓"),"DO FIRST",IF(M701="✓","SCHEDULE",IF(OR(L701="1-Urgent",L701="2-High"),"DELEGATE","DELETE"))))</f>
        <v/>
      </c>
      <c r="P701" s="65" t="n"/>
      <c r="Q701">
        <f>IF(696&gt;Calc!$AQ$368,"",MATCH(695,Calc!$AQ$2:$AQ$367,1))</f>
        <v/>
      </c>
      <c r="R701">
        <f>IF(Q701="","",SMALL(INDEX(Calc!$B$2:$AO$367,Q701,0),696-INDEX(Calc!$AQ$2:$AQ$367,Q701)))</f>
        <v/>
      </c>
    </row>
    <row r="702">
      <c r="B702" s="64">
        <f>IF(R702="","",697)</f>
        <v/>
      </c>
      <c r="C702" s="37">
        <f>IF(R702="","",IF(INDEX('Recurring Schedule'!$C$6:$C$45,R702)="","",INDEX('Recurring Schedule'!$C$6:$C$45,R702)))</f>
        <v/>
      </c>
      <c r="D702" s="36">
        <f>IF(R702="","",IF(INDEX('Recurring Schedule'!$D$6:$D$45,R702)="","",INDEX('Recurring Schedule'!$D$6:$D$45,R702)))</f>
        <v/>
      </c>
      <c r="E702" s="38">
        <f>IF(Q702="","",INDEX(Calc!$A$2:$A$367,Q702))</f>
        <v/>
      </c>
      <c r="F702" s="68">
        <f>IF(OR(C702="",E702=""),"",E702-Setup!$D$7)</f>
        <v/>
      </c>
      <c r="G702" s="74">
        <f>IF(R702="","",IF(INDEX('Recurring Schedule'!$H$6:$H$45,R702)="","",INDEX('Recurring Schedule'!$H$6:$H$45,R702)))</f>
        <v/>
      </c>
      <c r="H702" s="74">
        <f>IF(R702="","",IF(INDEX('Recurring Schedule'!$I$6:$I$45,R702)="","",INDEX('Recurring Schedule'!$I$6:$I$45,R702)))</f>
        <v/>
      </c>
      <c r="I702" s="36">
        <f>IF(OR(G702="",H702=""),"",TRIM(IF(HOUR(H702-G702)&gt;0,HOUR(H702-G702)&amp;" hr ","")&amp;IF(MINUTE(H702-G702)&gt;0,MINUTE(H702-G702)&amp;" min","")))</f>
        <v/>
      </c>
      <c r="J702" s="66" t="n"/>
      <c r="K702" s="70" t="n"/>
      <c r="L702" s="36">
        <f>IF(R702="","",IF(INDEX('Recurring Schedule'!$J$6:$J$45,R702)="","",INDEX('Recurring Schedule'!$J$6:$J$45,R702)))</f>
        <v/>
      </c>
      <c r="M702" s="36">
        <f>IF(R702="","",IF(INDEX('Recurring Schedule'!$K$6:$K$45,R702)="","",INDEX('Recurring Schedule'!$K$6:$K$45,R702)))</f>
        <v/>
      </c>
      <c r="N702" s="36">
        <f>IF(R702="","",IF(INDEX('Recurring Schedule'!$L$6:$L$45,R702)="","",INDEX('Recurring Schedule'!$L$6:$L$45,R702)))</f>
        <v/>
      </c>
      <c r="O702" s="36">
        <f>IF(C702="","",IF(AND(OR(L702="1-Urgent",L702="2-High"),M702="✓"),"DO FIRST",IF(M702="✓","SCHEDULE",IF(OR(L702="1-Urgent",L702="2-High"),"DELEGATE","DELETE"))))</f>
        <v/>
      </c>
      <c r="P702" s="65" t="n"/>
      <c r="Q702">
        <f>IF(697&gt;Calc!$AQ$368,"",MATCH(696,Calc!$AQ$2:$AQ$367,1))</f>
        <v/>
      </c>
      <c r="R702">
        <f>IF(Q702="","",SMALL(INDEX(Calc!$B$2:$AO$367,Q702,0),697-INDEX(Calc!$AQ$2:$AQ$367,Q702)))</f>
        <v/>
      </c>
    </row>
    <row r="703">
      <c r="B703" s="71">
        <f>IF(R703="","",698)</f>
        <v/>
      </c>
      <c r="C703" s="75">
        <f>IF(R703="","",IF(INDEX('Recurring Schedule'!$C$6:$C$45,R703)="","",INDEX('Recurring Schedule'!$C$6:$C$45,R703)))</f>
        <v/>
      </c>
      <c r="D703" s="73">
        <f>IF(R703="","",IF(INDEX('Recurring Schedule'!$D$6:$D$45,R703)="","",INDEX('Recurring Schedule'!$D$6:$D$45,R703)))</f>
        <v/>
      </c>
      <c r="E703" s="76">
        <f>IF(Q703="","",INDEX(Calc!$A$2:$A$367,Q703))</f>
        <v/>
      </c>
      <c r="F703" s="72">
        <f>IF(OR(C703="",E703=""),"",E703-Setup!$D$7)</f>
        <v/>
      </c>
      <c r="G703" s="77">
        <f>IF(R703="","",IF(INDEX('Recurring Schedule'!$H$6:$H$45,R703)="","",INDEX('Recurring Schedule'!$H$6:$H$45,R703)))</f>
        <v/>
      </c>
      <c r="H703" s="77">
        <f>IF(R703="","",IF(INDEX('Recurring Schedule'!$I$6:$I$45,R703)="","",INDEX('Recurring Schedule'!$I$6:$I$45,R703)))</f>
        <v/>
      </c>
      <c r="I703" s="73">
        <f>IF(OR(G703="",H703=""),"",TRIM(IF(HOUR(H703-G703)&gt;0,HOUR(H703-G703)&amp;" hr ","")&amp;IF(MINUTE(H703-G703)&gt;0,MINUTE(H703-G703)&amp;" min","")))</f>
        <v/>
      </c>
      <c r="J703" s="66" t="n"/>
      <c r="K703" s="70" t="n"/>
      <c r="L703" s="73">
        <f>IF(R703="","",IF(INDEX('Recurring Schedule'!$J$6:$J$45,R703)="","",INDEX('Recurring Schedule'!$J$6:$J$45,R703)))</f>
        <v/>
      </c>
      <c r="M703" s="73">
        <f>IF(R703="","",IF(INDEX('Recurring Schedule'!$K$6:$K$45,R703)="","",INDEX('Recurring Schedule'!$K$6:$K$45,R703)))</f>
        <v/>
      </c>
      <c r="N703" s="73">
        <f>IF(R703="","",IF(INDEX('Recurring Schedule'!$L$6:$L$45,R703)="","",INDEX('Recurring Schedule'!$L$6:$L$45,R703)))</f>
        <v/>
      </c>
      <c r="O703" s="73">
        <f>IF(C703="","",IF(AND(OR(L703="1-Urgent",L703="2-High"),M703="✓"),"DO FIRST",IF(M703="✓","SCHEDULE",IF(OR(L703="1-Urgent",L703="2-High"),"DELEGATE","DELETE"))))</f>
        <v/>
      </c>
      <c r="P703" s="65" t="n"/>
      <c r="Q703">
        <f>IF(698&gt;Calc!$AQ$368,"",MATCH(697,Calc!$AQ$2:$AQ$367,1))</f>
        <v/>
      </c>
      <c r="R703">
        <f>IF(Q703="","",SMALL(INDEX(Calc!$B$2:$AO$367,Q703,0),698-INDEX(Calc!$AQ$2:$AQ$367,Q703)))</f>
        <v/>
      </c>
    </row>
    <row r="704">
      <c r="B704" s="64">
        <f>IF(R704="","",699)</f>
        <v/>
      </c>
      <c r="C704" s="37">
        <f>IF(R704="","",IF(INDEX('Recurring Schedule'!$C$6:$C$45,R704)="","",INDEX('Recurring Schedule'!$C$6:$C$45,R704)))</f>
        <v/>
      </c>
      <c r="D704" s="36">
        <f>IF(R704="","",IF(INDEX('Recurring Schedule'!$D$6:$D$45,R704)="","",INDEX('Recurring Schedule'!$D$6:$D$45,R704)))</f>
        <v/>
      </c>
      <c r="E704" s="38">
        <f>IF(Q704="","",INDEX(Calc!$A$2:$A$367,Q704))</f>
        <v/>
      </c>
      <c r="F704" s="68">
        <f>IF(OR(C704="",E704=""),"",E704-Setup!$D$7)</f>
        <v/>
      </c>
      <c r="G704" s="74">
        <f>IF(R704="","",IF(INDEX('Recurring Schedule'!$H$6:$H$45,R704)="","",INDEX('Recurring Schedule'!$H$6:$H$45,R704)))</f>
        <v/>
      </c>
      <c r="H704" s="74">
        <f>IF(R704="","",IF(INDEX('Recurring Schedule'!$I$6:$I$45,R704)="","",INDEX('Recurring Schedule'!$I$6:$I$45,R704)))</f>
        <v/>
      </c>
      <c r="I704" s="36">
        <f>IF(OR(G704="",H704=""),"",TRIM(IF(HOUR(H704-G704)&gt;0,HOUR(H704-G704)&amp;" hr ","")&amp;IF(MINUTE(H704-G704)&gt;0,MINUTE(H704-G704)&amp;" min","")))</f>
        <v/>
      </c>
      <c r="J704" s="66" t="n"/>
      <c r="K704" s="70" t="n"/>
      <c r="L704" s="36">
        <f>IF(R704="","",IF(INDEX('Recurring Schedule'!$J$6:$J$45,R704)="","",INDEX('Recurring Schedule'!$J$6:$J$45,R704)))</f>
        <v/>
      </c>
      <c r="M704" s="36">
        <f>IF(R704="","",IF(INDEX('Recurring Schedule'!$K$6:$K$45,R704)="","",INDEX('Recurring Schedule'!$K$6:$K$45,R704)))</f>
        <v/>
      </c>
      <c r="N704" s="36">
        <f>IF(R704="","",IF(INDEX('Recurring Schedule'!$L$6:$L$45,R704)="","",INDEX('Recurring Schedule'!$L$6:$L$45,R704)))</f>
        <v/>
      </c>
      <c r="O704" s="36">
        <f>IF(C704="","",IF(AND(OR(L704="1-Urgent",L704="2-High"),M704="✓"),"DO FIRST",IF(M704="✓","SCHEDULE",IF(OR(L704="1-Urgent",L704="2-High"),"DELEGATE","DELETE"))))</f>
        <v/>
      </c>
      <c r="P704" s="65" t="n"/>
      <c r="Q704">
        <f>IF(699&gt;Calc!$AQ$368,"",MATCH(698,Calc!$AQ$2:$AQ$367,1))</f>
        <v/>
      </c>
      <c r="R704">
        <f>IF(Q704="","",SMALL(INDEX(Calc!$B$2:$AO$367,Q704,0),699-INDEX(Calc!$AQ$2:$AQ$367,Q704)))</f>
        <v/>
      </c>
    </row>
    <row r="705">
      <c r="B705" s="71">
        <f>IF(R705="","",700)</f>
        <v/>
      </c>
      <c r="C705" s="75">
        <f>IF(R705="","",IF(INDEX('Recurring Schedule'!$C$6:$C$45,R705)="","",INDEX('Recurring Schedule'!$C$6:$C$45,R705)))</f>
        <v/>
      </c>
      <c r="D705" s="73">
        <f>IF(R705="","",IF(INDEX('Recurring Schedule'!$D$6:$D$45,R705)="","",INDEX('Recurring Schedule'!$D$6:$D$45,R705)))</f>
        <v/>
      </c>
      <c r="E705" s="76">
        <f>IF(Q705="","",INDEX(Calc!$A$2:$A$367,Q705))</f>
        <v/>
      </c>
      <c r="F705" s="72">
        <f>IF(OR(C705="",E705=""),"",E705-Setup!$D$7)</f>
        <v/>
      </c>
      <c r="G705" s="77">
        <f>IF(R705="","",IF(INDEX('Recurring Schedule'!$H$6:$H$45,R705)="","",INDEX('Recurring Schedule'!$H$6:$H$45,R705)))</f>
        <v/>
      </c>
      <c r="H705" s="77">
        <f>IF(R705="","",IF(INDEX('Recurring Schedule'!$I$6:$I$45,R705)="","",INDEX('Recurring Schedule'!$I$6:$I$45,R705)))</f>
        <v/>
      </c>
      <c r="I705" s="73">
        <f>IF(OR(G705="",H705=""),"",TRIM(IF(HOUR(H705-G705)&gt;0,HOUR(H705-G705)&amp;" hr ","")&amp;IF(MINUTE(H705-G705)&gt;0,MINUTE(H705-G705)&amp;" min","")))</f>
        <v/>
      </c>
      <c r="J705" s="66" t="n"/>
      <c r="K705" s="70" t="n"/>
      <c r="L705" s="73">
        <f>IF(R705="","",IF(INDEX('Recurring Schedule'!$J$6:$J$45,R705)="","",INDEX('Recurring Schedule'!$J$6:$J$45,R705)))</f>
        <v/>
      </c>
      <c r="M705" s="73">
        <f>IF(R705="","",IF(INDEX('Recurring Schedule'!$K$6:$K$45,R705)="","",INDEX('Recurring Schedule'!$K$6:$K$45,R705)))</f>
        <v/>
      </c>
      <c r="N705" s="73">
        <f>IF(R705="","",IF(INDEX('Recurring Schedule'!$L$6:$L$45,R705)="","",INDEX('Recurring Schedule'!$L$6:$L$45,R705)))</f>
        <v/>
      </c>
      <c r="O705" s="73">
        <f>IF(C705="","",IF(AND(OR(L705="1-Urgent",L705="2-High"),M705="✓"),"DO FIRST",IF(M705="✓","SCHEDULE",IF(OR(L705="1-Urgent",L705="2-High"),"DELEGATE","DELETE"))))</f>
        <v/>
      </c>
      <c r="P705" s="65" t="n"/>
      <c r="Q705">
        <f>IF(700&gt;Calc!$AQ$368,"",MATCH(699,Calc!$AQ$2:$AQ$367,1))</f>
        <v/>
      </c>
      <c r="R705">
        <f>IF(Q705="","",SMALL(INDEX(Calc!$B$2:$AO$367,Q705,0),700-INDEX(Calc!$AQ$2:$AQ$367,Q705)))</f>
        <v/>
      </c>
    </row>
    <row r="706">
      <c r="B706" s="64">
        <f>IF(R706="","",701)</f>
        <v/>
      </c>
      <c r="C706" s="37">
        <f>IF(R706="","",IF(INDEX('Recurring Schedule'!$C$6:$C$45,R706)="","",INDEX('Recurring Schedule'!$C$6:$C$45,R706)))</f>
        <v/>
      </c>
      <c r="D706" s="36">
        <f>IF(R706="","",IF(INDEX('Recurring Schedule'!$D$6:$D$45,R706)="","",INDEX('Recurring Schedule'!$D$6:$D$45,R706)))</f>
        <v/>
      </c>
      <c r="E706" s="38">
        <f>IF(Q706="","",INDEX(Calc!$A$2:$A$367,Q706))</f>
        <v/>
      </c>
      <c r="F706" s="68">
        <f>IF(OR(C706="",E706=""),"",E706-Setup!$D$7)</f>
        <v/>
      </c>
      <c r="G706" s="74">
        <f>IF(R706="","",IF(INDEX('Recurring Schedule'!$H$6:$H$45,R706)="","",INDEX('Recurring Schedule'!$H$6:$H$45,R706)))</f>
        <v/>
      </c>
      <c r="H706" s="74">
        <f>IF(R706="","",IF(INDEX('Recurring Schedule'!$I$6:$I$45,R706)="","",INDEX('Recurring Schedule'!$I$6:$I$45,R706)))</f>
        <v/>
      </c>
      <c r="I706" s="36">
        <f>IF(OR(G706="",H706=""),"",TRIM(IF(HOUR(H706-G706)&gt;0,HOUR(H706-G706)&amp;" hr ","")&amp;IF(MINUTE(H706-G706)&gt;0,MINUTE(H706-G706)&amp;" min","")))</f>
        <v/>
      </c>
      <c r="J706" s="66" t="n"/>
      <c r="K706" s="70" t="n"/>
      <c r="L706" s="36">
        <f>IF(R706="","",IF(INDEX('Recurring Schedule'!$J$6:$J$45,R706)="","",INDEX('Recurring Schedule'!$J$6:$J$45,R706)))</f>
        <v/>
      </c>
      <c r="M706" s="36">
        <f>IF(R706="","",IF(INDEX('Recurring Schedule'!$K$6:$K$45,R706)="","",INDEX('Recurring Schedule'!$K$6:$K$45,R706)))</f>
        <v/>
      </c>
      <c r="N706" s="36">
        <f>IF(R706="","",IF(INDEX('Recurring Schedule'!$L$6:$L$45,R706)="","",INDEX('Recurring Schedule'!$L$6:$L$45,R706)))</f>
        <v/>
      </c>
      <c r="O706" s="36">
        <f>IF(C706="","",IF(AND(OR(L706="1-Urgent",L706="2-High"),M706="✓"),"DO FIRST",IF(M706="✓","SCHEDULE",IF(OR(L706="1-Urgent",L706="2-High"),"DELEGATE","DELETE"))))</f>
        <v/>
      </c>
      <c r="P706" s="65" t="n"/>
      <c r="Q706">
        <f>IF(701&gt;Calc!$AQ$368,"",MATCH(700,Calc!$AQ$2:$AQ$367,1))</f>
        <v/>
      </c>
      <c r="R706">
        <f>IF(Q706="","",SMALL(INDEX(Calc!$B$2:$AO$367,Q706,0),701-INDEX(Calc!$AQ$2:$AQ$367,Q706)))</f>
        <v/>
      </c>
    </row>
    <row r="707">
      <c r="B707" s="71">
        <f>IF(R707="","",702)</f>
        <v/>
      </c>
      <c r="C707" s="75">
        <f>IF(R707="","",IF(INDEX('Recurring Schedule'!$C$6:$C$45,R707)="","",INDEX('Recurring Schedule'!$C$6:$C$45,R707)))</f>
        <v/>
      </c>
      <c r="D707" s="73">
        <f>IF(R707="","",IF(INDEX('Recurring Schedule'!$D$6:$D$45,R707)="","",INDEX('Recurring Schedule'!$D$6:$D$45,R707)))</f>
        <v/>
      </c>
      <c r="E707" s="76">
        <f>IF(Q707="","",INDEX(Calc!$A$2:$A$367,Q707))</f>
        <v/>
      </c>
      <c r="F707" s="72">
        <f>IF(OR(C707="",E707=""),"",E707-Setup!$D$7)</f>
        <v/>
      </c>
      <c r="G707" s="77">
        <f>IF(R707="","",IF(INDEX('Recurring Schedule'!$H$6:$H$45,R707)="","",INDEX('Recurring Schedule'!$H$6:$H$45,R707)))</f>
        <v/>
      </c>
      <c r="H707" s="77">
        <f>IF(R707="","",IF(INDEX('Recurring Schedule'!$I$6:$I$45,R707)="","",INDEX('Recurring Schedule'!$I$6:$I$45,R707)))</f>
        <v/>
      </c>
      <c r="I707" s="73">
        <f>IF(OR(G707="",H707=""),"",TRIM(IF(HOUR(H707-G707)&gt;0,HOUR(H707-G707)&amp;" hr ","")&amp;IF(MINUTE(H707-G707)&gt;0,MINUTE(H707-G707)&amp;" min","")))</f>
        <v/>
      </c>
      <c r="J707" s="66" t="n"/>
      <c r="K707" s="70" t="n"/>
      <c r="L707" s="73">
        <f>IF(R707="","",IF(INDEX('Recurring Schedule'!$J$6:$J$45,R707)="","",INDEX('Recurring Schedule'!$J$6:$J$45,R707)))</f>
        <v/>
      </c>
      <c r="M707" s="73">
        <f>IF(R707="","",IF(INDEX('Recurring Schedule'!$K$6:$K$45,R707)="","",INDEX('Recurring Schedule'!$K$6:$K$45,R707)))</f>
        <v/>
      </c>
      <c r="N707" s="73">
        <f>IF(R707="","",IF(INDEX('Recurring Schedule'!$L$6:$L$45,R707)="","",INDEX('Recurring Schedule'!$L$6:$L$45,R707)))</f>
        <v/>
      </c>
      <c r="O707" s="73">
        <f>IF(C707="","",IF(AND(OR(L707="1-Urgent",L707="2-High"),M707="✓"),"DO FIRST",IF(M707="✓","SCHEDULE",IF(OR(L707="1-Urgent",L707="2-High"),"DELEGATE","DELETE"))))</f>
        <v/>
      </c>
      <c r="P707" s="65" t="n"/>
      <c r="Q707">
        <f>IF(702&gt;Calc!$AQ$368,"",MATCH(701,Calc!$AQ$2:$AQ$367,1))</f>
        <v/>
      </c>
      <c r="R707">
        <f>IF(Q707="","",SMALL(INDEX(Calc!$B$2:$AO$367,Q707,0),702-INDEX(Calc!$AQ$2:$AQ$367,Q707)))</f>
        <v/>
      </c>
    </row>
    <row r="708">
      <c r="B708" s="64">
        <f>IF(R708="","",703)</f>
        <v/>
      </c>
      <c r="C708" s="37">
        <f>IF(R708="","",IF(INDEX('Recurring Schedule'!$C$6:$C$45,R708)="","",INDEX('Recurring Schedule'!$C$6:$C$45,R708)))</f>
        <v/>
      </c>
      <c r="D708" s="36">
        <f>IF(R708="","",IF(INDEX('Recurring Schedule'!$D$6:$D$45,R708)="","",INDEX('Recurring Schedule'!$D$6:$D$45,R708)))</f>
        <v/>
      </c>
      <c r="E708" s="38">
        <f>IF(Q708="","",INDEX(Calc!$A$2:$A$367,Q708))</f>
        <v/>
      </c>
      <c r="F708" s="68">
        <f>IF(OR(C708="",E708=""),"",E708-Setup!$D$7)</f>
        <v/>
      </c>
      <c r="G708" s="74">
        <f>IF(R708="","",IF(INDEX('Recurring Schedule'!$H$6:$H$45,R708)="","",INDEX('Recurring Schedule'!$H$6:$H$45,R708)))</f>
        <v/>
      </c>
      <c r="H708" s="74">
        <f>IF(R708="","",IF(INDEX('Recurring Schedule'!$I$6:$I$45,R708)="","",INDEX('Recurring Schedule'!$I$6:$I$45,R708)))</f>
        <v/>
      </c>
      <c r="I708" s="36">
        <f>IF(OR(G708="",H708=""),"",TRIM(IF(HOUR(H708-G708)&gt;0,HOUR(H708-G708)&amp;" hr ","")&amp;IF(MINUTE(H708-G708)&gt;0,MINUTE(H708-G708)&amp;" min","")))</f>
        <v/>
      </c>
      <c r="J708" s="66" t="n"/>
      <c r="K708" s="70" t="n"/>
      <c r="L708" s="36">
        <f>IF(R708="","",IF(INDEX('Recurring Schedule'!$J$6:$J$45,R708)="","",INDEX('Recurring Schedule'!$J$6:$J$45,R708)))</f>
        <v/>
      </c>
      <c r="M708" s="36">
        <f>IF(R708="","",IF(INDEX('Recurring Schedule'!$K$6:$K$45,R708)="","",INDEX('Recurring Schedule'!$K$6:$K$45,R708)))</f>
        <v/>
      </c>
      <c r="N708" s="36">
        <f>IF(R708="","",IF(INDEX('Recurring Schedule'!$L$6:$L$45,R708)="","",INDEX('Recurring Schedule'!$L$6:$L$45,R708)))</f>
        <v/>
      </c>
      <c r="O708" s="36">
        <f>IF(C708="","",IF(AND(OR(L708="1-Urgent",L708="2-High"),M708="✓"),"DO FIRST",IF(M708="✓","SCHEDULE",IF(OR(L708="1-Urgent",L708="2-High"),"DELEGATE","DELETE"))))</f>
        <v/>
      </c>
      <c r="P708" s="65" t="n"/>
      <c r="Q708">
        <f>IF(703&gt;Calc!$AQ$368,"",MATCH(702,Calc!$AQ$2:$AQ$367,1))</f>
        <v/>
      </c>
      <c r="R708">
        <f>IF(Q708="","",SMALL(INDEX(Calc!$B$2:$AO$367,Q708,0),703-INDEX(Calc!$AQ$2:$AQ$367,Q708)))</f>
        <v/>
      </c>
    </row>
    <row r="709">
      <c r="B709" s="71">
        <f>IF(R709="","",704)</f>
        <v/>
      </c>
      <c r="C709" s="75">
        <f>IF(R709="","",IF(INDEX('Recurring Schedule'!$C$6:$C$45,R709)="","",INDEX('Recurring Schedule'!$C$6:$C$45,R709)))</f>
        <v/>
      </c>
      <c r="D709" s="73">
        <f>IF(R709="","",IF(INDEX('Recurring Schedule'!$D$6:$D$45,R709)="","",INDEX('Recurring Schedule'!$D$6:$D$45,R709)))</f>
        <v/>
      </c>
      <c r="E709" s="76">
        <f>IF(Q709="","",INDEX(Calc!$A$2:$A$367,Q709))</f>
        <v/>
      </c>
      <c r="F709" s="72">
        <f>IF(OR(C709="",E709=""),"",E709-Setup!$D$7)</f>
        <v/>
      </c>
      <c r="G709" s="77">
        <f>IF(R709="","",IF(INDEX('Recurring Schedule'!$H$6:$H$45,R709)="","",INDEX('Recurring Schedule'!$H$6:$H$45,R709)))</f>
        <v/>
      </c>
      <c r="H709" s="77">
        <f>IF(R709="","",IF(INDEX('Recurring Schedule'!$I$6:$I$45,R709)="","",INDEX('Recurring Schedule'!$I$6:$I$45,R709)))</f>
        <v/>
      </c>
      <c r="I709" s="73">
        <f>IF(OR(G709="",H709=""),"",TRIM(IF(HOUR(H709-G709)&gt;0,HOUR(H709-G709)&amp;" hr ","")&amp;IF(MINUTE(H709-G709)&gt;0,MINUTE(H709-G709)&amp;" min","")))</f>
        <v/>
      </c>
      <c r="J709" s="66" t="n"/>
      <c r="K709" s="70" t="n"/>
      <c r="L709" s="73">
        <f>IF(R709="","",IF(INDEX('Recurring Schedule'!$J$6:$J$45,R709)="","",INDEX('Recurring Schedule'!$J$6:$J$45,R709)))</f>
        <v/>
      </c>
      <c r="M709" s="73">
        <f>IF(R709="","",IF(INDEX('Recurring Schedule'!$K$6:$K$45,R709)="","",INDEX('Recurring Schedule'!$K$6:$K$45,R709)))</f>
        <v/>
      </c>
      <c r="N709" s="73">
        <f>IF(R709="","",IF(INDEX('Recurring Schedule'!$L$6:$L$45,R709)="","",INDEX('Recurring Schedule'!$L$6:$L$45,R709)))</f>
        <v/>
      </c>
      <c r="O709" s="73">
        <f>IF(C709="","",IF(AND(OR(L709="1-Urgent",L709="2-High"),M709="✓"),"DO FIRST",IF(M709="✓","SCHEDULE",IF(OR(L709="1-Urgent",L709="2-High"),"DELEGATE","DELETE"))))</f>
        <v/>
      </c>
      <c r="P709" s="65" t="n"/>
      <c r="Q709">
        <f>IF(704&gt;Calc!$AQ$368,"",MATCH(703,Calc!$AQ$2:$AQ$367,1))</f>
        <v/>
      </c>
      <c r="R709">
        <f>IF(Q709="","",SMALL(INDEX(Calc!$B$2:$AO$367,Q709,0),704-INDEX(Calc!$AQ$2:$AQ$367,Q709)))</f>
        <v/>
      </c>
    </row>
    <row r="710">
      <c r="B710" s="64">
        <f>IF(R710="","",705)</f>
        <v/>
      </c>
      <c r="C710" s="37">
        <f>IF(R710="","",IF(INDEX('Recurring Schedule'!$C$6:$C$45,R710)="","",INDEX('Recurring Schedule'!$C$6:$C$45,R710)))</f>
        <v/>
      </c>
      <c r="D710" s="36">
        <f>IF(R710="","",IF(INDEX('Recurring Schedule'!$D$6:$D$45,R710)="","",INDEX('Recurring Schedule'!$D$6:$D$45,R710)))</f>
        <v/>
      </c>
      <c r="E710" s="38">
        <f>IF(Q710="","",INDEX(Calc!$A$2:$A$367,Q710))</f>
        <v/>
      </c>
      <c r="F710" s="68">
        <f>IF(OR(C710="",E710=""),"",E710-Setup!$D$7)</f>
        <v/>
      </c>
      <c r="G710" s="74">
        <f>IF(R710="","",IF(INDEX('Recurring Schedule'!$H$6:$H$45,R710)="","",INDEX('Recurring Schedule'!$H$6:$H$45,R710)))</f>
        <v/>
      </c>
      <c r="H710" s="74">
        <f>IF(R710="","",IF(INDEX('Recurring Schedule'!$I$6:$I$45,R710)="","",INDEX('Recurring Schedule'!$I$6:$I$45,R710)))</f>
        <v/>
      </c>
      <c r="I710" s="36">
        <f>IF(OR(G710="",H710=""),"",TRIM(IF(HOUR(H710-G710)&gt;0,HOUR(H710-G710)&amp;" hr ","")&amp;IF(MINUTE(H710-G710)&gt;0,MINUTE(H710-G710)&amp;" min","")))</f>
        <v/>
      </c>
      <c r="J710" s="66" t="n"/>
      <c r="K710" s="70" t="n"/>
      <c r="L710" s="36">
        <f>IF(R710="","",IF(INDEX('Recurring Schedule'!$J$6:$J$45,R710)="","",INDEX('Recurring Schedule'!$J$6:$J$45,R710)))</f>
        <v/>
      </c>
      <c r="M710" s="36">
        <f>IF(R710="","",IF(INDEX('Recurring Schedule'!$K$6:$K$45,R710)="","",INDEX('Recurring Schedule'!$K$6:$K$45,R710)))</f>
        <v/>
      </c>
      <c r="N710" s="36">
        <f>IF(R710="","",IF(INDEX('Recurring Schedule'!$L$6:$L$45,R710)="","",INDEX('Recurring Schedule'!$L$6:$L$45,R710)))</f>
        <v/>
      </c>
      <c r="O710" s="36">
        <f>IF(C710="","",IF(AND(OR(L710="1-Urgent",L710="2-High"),M710="✓"),"DO FIRST",IF(M710="✓","SCHEDULE",IF(OR(L710="1-Urgent",L710="2-High"),"DELEGATE","DELETE"))))</f>
        <v/>
      </c>
      <c r="P710" s="65" t="n"/>
      <c r="Q710">
        <f>IF(705&gt;Calc!$AQ$368,"",MATCH(704,Calc!$AQ$2:$AQ$367,1))</f>
        <v/>
      </c>
      <c r="R710">
        <f>IF(Q710="","",SMALL(INDEX(Calc!$B$2:$AO$367,Q710,0),705-INDEX(Calc!$AQ$2:$AQ$367,Q710)))</f>
        <v/>
      </c>
    </row>
    <row r="711">
      <c r="B711" s="71">
        <f>IF(R711="","",706)</f>
        <v/>
      </c>
      <c r="C711" s="75">
        <f>IF(R711="","",IF(INDEX('Recurring Schedule'!$C$6:$C$45,R711)="","",INDEX('Recurring Schedule'!$C$6:$C$45,R711)))</f>
        <v/>
      </c>
      <c r="D711" s="73">
        <f>IF(R711="","",IF(INDEX('Recurring Schedule'!$D$6:$D$45,R711)="","",INDEX('Recurring Schedule'!$D$6:$D$45,R711)))</f>
        <v/>
      </c>
      <c r="E711" s="76">
        <f>IF(Q711="","",INDEX(Calc!$A$2:$A$367,Q711))</f>
        <v/>
      </c>
      <c r="F711" s="72">
        <f>IF(OR(C711="",E711=""),"",E711-Setup!$D$7)</f>
        <v/>
      </c>
      <c r="G711" s="77">
        <f>IF(R711="","",IF(INDEX('Recurring Schedule'!$H$6:$H$45,R711)="","",INDEX('Recurring Schedule'!$H$6:$H$45,R711)))</f>
        <v/>
      </c>
      <c r="H711" s="77">
        <f>IF(R711="","",IF(INDEX('Recurring Schedule'!$I$6:$I$45,R711)="","",INDEX('Recurring Schedule'!$I$6:$I$45,R711)))</f>
        <v/>
      </c>
      <c r="I711" s="73">
        <f>IF(OR(G711="",H711=""),"",TRIM(IF(HOUR(H711-G711)&gt;0,HOUR(H711-G711)&amp;" hr ","")&amp;IF(MINUTE(H711-G711)&gt;0,MINUTE(H711-G711)&amp;" min","")))</f>
        <v/>
      </c>
      <c r="J711" s="66" t="n"/>
      <c r="K711" s="70" t="n"/>
      <c r="L711" s="73">
        <f>IF(R711="","",IF(INDEX('Recurring Schedule'!$J$6:$J$45,R711)="","",INDEX('Recurring Schedule'!$J$6:$J$45,R711)))</f>
        <v/>
      </c>
      <c r="M711" s="73">
        <f>IF(R711="","",IF(INDEX('Recurring Schedule'!$K$6:$K$45,R711)="","",INDEX('Recurring Schedule'!$K$6:$K$45,R711)))</f>
        <v/>
      </c>
      <c r="N711" s="73">
        <f>IF(R711="","",IF(INDEX('Recurring Schedule'!$L$6:$L$45,R711)="","",INDEX('Recurring Schedule'!$L$6:$L$45,R711)))</f>
        <v/>
      </c>
      <c r="O711" s="73">
        <f>IF(C711="","",IF(AND(OR(L711="1-Urgent",L711="2-High"),M711="✓"),"DO FIRST",IF(M711="✓","SCHEDULE",IF(OR(L711="1-Urgent",L711="2-High"),"DELEGATE","DELETE"))))</f>
        <v/>
      </c>
      <c r="P711" s="65" t="n"/>
      <c r="Q711">
        <f>IF(706&gt;Calc!$AQ$368,"",MATCH(705,Calc!$AQ$2:$AQ$367,1))</f>
        <v/>
      </c>
      <c r="R711">
        <f>IF(Q711="","",SMALL(INDEX(Calc!$B$2:$AO$367,Q711,0),706-INDEX(Calc!$AQ$2:$AQ$367,Q711)))</f>
        <v/>
      </c>
    </row>
    <row r="712">
      <c r="B712" s="64">
        <f>IF(R712="","",707)</f>
        <v/>
      </c>
      <c r="C712" s="37">
        <f>IF(R712="","",IF(INDEX('Recurring Schedule'!$C$6:$C$45,R712)="","",INDEX('Recurring Schedule'!$C$6:$C$45,R712)))</f>
        <v/>
      </c>
      <c r="D712" s="36">
        <f>IF(R712="","",IF(INDEX('Recurring Schedule'!$D$6:$D$45,R712)="","",INDEX('Recurring Schedule'!$D$6:$D$45,R712)))</f>
        <v/>
      </c>
      <c r="E712" s="38">
        <f>IF(Q712="","",INDEX(Calc!$A$2:$A$367,Q712))</f>
        <v/>
      </c>
      <c r="F712" s="68">
        <f>IF(OR(C712="",E712=""),"",E712-Setup!$D$7)</f>
        <v/>
      </c>
      <c r="G712" s="74">
        <f>IF(R712="","",IF(INDEX('Recurring Schedule'!$H$6:$H$45,R712)="","",INDEX('Recurring Schedule'!$H$6:$H$45,R712)))</f>
        <v/>
      </c>
      <c r="H712" s="74">
        <f>IF(R712="","",IF(INDEX('Recurring Schedule'!$I$6:$I$45,R712)="","",INDEX('Recurring Schedule'!$I$6:$I$45,R712)))</f>
        <v/>
      </c>
      <c r="I712" s="36">
        <f>IF(OR(G712="",H712=""),"",TRIM(IF(HOUR(H712-G712)&gt;0,HOUR(H712-G712)&amp;" hr ","")&amp;IF(MINUTE(H712-G712)&gt;0,MINUTE(H712-G712)&amp;" min","")))</f>
        <v/>
      </c>
      <c r="J712" s="66" t="n"/>
      <c r="K712" s="70" t="n"/>
      <c r="L712" s="36">
        <f>IF(R712="","",IF(INDEX('Recurring Schedule'!$J$6:$J$45,R712)="","",INDEX('Recurring Schedule'!$J$6:$J$45,R712)))</f>
        <v/>
      </c>
      <c r="M712" s="36">
        <f>IF(R712="","",IF(INDEX('Recurring Schedule'!$K$6:$K$45,R712)="","",INDEX('Recurring Schedule'!$K$6:$K$45,R712)))</f>
        <v/>
      </c>
      <c r="N712" s="36">
        <f>IF(R712="","",IF(INDEX('Recurring Schedule'!$L$6:$L$45,R712)="","",INDEX('Recurring Schedule'!$L$6:$L$45,R712)))</f>
        <v/>
      </c>
      <c r="O712" s="36">
        <f>IF(C712="","",IF(AND(OR(L712="1-Urgent",L712="2-High"),M712="✓"),"DO FIRST",IF(M712="✓","SCHEDULE",IF(OR(L712="1-Urgent",L712="2-High"),"DELEGATE","DELETE"))))</f>
        <v/>
      </c>
      <c r="P712" s="65" t="n"/>
      <c r="Q712">
        <f>IF(707&gt;Calc!$AQ$368,"",MATCH(706,Calc!$AQ$2:$AQ$367,1))</f>
        <v/>
      </c>
      <c r="R712">
        <f>IF(Q712="","",SMALL(INDEX(Calc!$B$2:$AO$367,Q712,0),707-INDEX(Calc!$AQ$2:$AQ$367,Q712)))</f>
        <v/>
      </c>
    </row>
    <row r="713">
      <c r="B713" s="71">
        <f>IF(R713="","",708)</f>
        <v/>
      </c>
      <c r="C713" s="75">
        <f>IF(R713="","",IF(INDEX('Recurring Schedule'!$C$6:$C$45,R713)="","",INDEX('Recurring Schedule'!$C$6:$C$45,R713)))</f>
        <v/>
      </c>
      <c r="D713" s="73">
        <f>IF(R713="","",IF(INDEX('Recurring Schedule'!$D$6:$D$45,R713)="","",INDEX('Recurring Schedule'!$D$6:$D$45,R713)))</f>
        <v/>
      </c>
      <c r="E713" s="76">
        <f>IF(Q713="","",INDEX(Calc!$A$2:$A$367,Q713))</f>
        <v/>
      </c>
      <c r="F713" s="72">
        <f>IF(OR(C713="",E713=""),"",E713-Setup!$D$7)</f>
        <v/>
      </c>
      <c r="G713" s="77">
        <f>IF(R713="","",IF(INDEX('Recurring Schedule'!$H$6:$H$45,R713)="","",INDEX('Recurring Schedule'!$H$6:$H$45,R713)))</f>
        <v/>
      </c>
      <c r="H713" s="77">
        <f>IF(R713="","",IF(INDEX('Recurring Schedule'!$I$6:$I$45,R713)="","",INDEX('Recurring Schedule'!$I$6:$I$45,R713)))</f>
        <v/>
      </c>
      <c r="I713" s="73">
        <f>IF(OR(G713="",H713=""),"",TRIM(IF(HOUR(H713-G713)&gt;0,HOUR(H713-G713)&amp;" hr ","")&amp;IF(MINUTE(H713-G713)&gt;0,MINUTE(H713-G713)&amp;" min","")))</f>
        <v/>
      </c>
      <c r="J713" s="66" t="n"/>
      <c r="K713" s="70" t="n"/>
      <c r="L713" s="73">
        <f>IF(R713="","",IF(INDEX('Recurring Schedule'!$J$6:$J$45,R713)="","",INDEX('Recurring Schedule'!$J$6:$J$45,R713)))</f>
        <v/>
      </c>
      <c r="M713" s="73">
        <f>IF(R713="","",IF(INDEX('Recurring Schedule'!$K$6:$K$45,R713)="","",INDEX('Recurring Schedule'!$K$6:$K$45,R713)))</f>
        <v/>
      </c>
      <c r="N713" s="73">
        <f>IF(R713="","",IF(INDEX('Recurring Schedule'!$L$6:$L$45,R713)="","",INDEX('Recurring Schedule'!$L$6:$L$45,R713)))</f>
        <v/>
      </c>
      <c r="O713" s="73">
        <f>IF(C713="","",IF(AND(OR(L713="1-Urgent",L713="2-High"),M713="✓"),"DO FIRST",IF(M713="✓","SCHEDULE",IF(OR(L713="1-Urgent",L713="2-High"),"DELEGATE","DELETE"))))</f>
        <v/>
      </c>
      <c r="P713" s="65" t="n"/>
      <c r="Q713">
        <f>IF(708&gt;Calc!$AQ$368,"",MATCH(707,Calc!$AQ$2:$AQ$367,1))</f>
        <v/>
      </c>
      <c r="R713">
        <f>IF(Q713="","",SMALL(INDEX(Calc!$B$2:$AO$367,Q713,0),708-INDEX(Calc!$AQ$2:$AQ$367,Q713)))</f>
        <v/>
      </c>
    </row>
    <row r="714">
      <c r="B714" s="64">
        <f>IF(R714="","",709)</f>
        <v/>
      </c>
      <c r="C714" s="37">
        <f>IF(R714="","",IF(INDEX('Recurring Schedule'!$C$6:$C$45,R714)="","",INDEX('Recurring Schedule'!$C$6:$C$45,R714)))</f>
        <v/>
      </c>
      <c r="D714" s="36">
        <f>IF(R714="","",IF(INDEX('Recurring Schedule'!$D$6:$D$45,R714)="","",INDEX('Recurring Schedule'!$D$6:$D$45,R714)))</f>
        <v/>
      </c>
      <c r="E714" s="38">
        <f>IF(Q714="","",INDEX(Calc!$A$2:$A$367,Q714))</f>
        <v/>
      </c>
      <c r="F714" s="68">
        <f>IF(OR(C714="",E714=""),"",E714-Setup!$D$7)</f>
        <v/>
      </c>
      <c r="G714" s="74">
        <f>IF(R714="","",IF(INDEX('Recurring Schedule'!$H$6:$H$45,R714)="","",INDEX('Recurring Schedule'!$H$6:$H$45,R714)))</f>
        <v/>
      </c>
      <c r="H714" s="74">
        <f>IF(R714="","",IF(INDEX('Recurring Schedule'!$I$6:$I$45,R714)="","",INDEX('Recurring Schedule'!$I$6:$I$45,R714)))</f>
        <v/>
      </c>
      <c r="I714" s="36">
        <f>IF(OR(G714="",H714=""),"",TRIM(IF(HOUR(H714-G714)&gt;0,HOUR(H714-G714)&amp;" hr ","")&amp;IF(MINUTE(H714-G714)&gt;0,MINUTE(H714-G714)&amp;" min","")))</f>
        <v/>
      </c>
      <c r="J714" s="66" t="n"/>
      <c r="K714" s="70" t="n"/>
      <c r="L714" s="36">
        <f>IF(R714="","",IF(INDEX('Recurring Schedule'!$J$6:$J$45,R714)="","",INDEX('Recurring Schedule'!$J$6:$J$45,R714)))</f>
        <v/>
      </c>
      <c r="M714" s="36">
        <f>IF(R714="","",IF(INDEX('Recurring Schedule'!$K$6:$K$45,R714)="","",INDEX('Recurring Schedule'!$K$6:$K$45,R714)))</f>
        <v/>
      </c>
      <c r="N714" s="36">
        <f>IF(R714="","",IF(INDEX('Recurring Schedule'!$L$6:$L$45,R714)="","",INDEX('Recurring Schedule'!$L$6:$L$45,R714)))</f>
        <v/>
      </c>
      <c r="O714" s="36">
        <f>IF(C714="","",IF(AND(OR(L714="1-Urgent",L714="2-High"),M714="✓"),"DO FIRST",IF(M714="✓","SCHEDULE",IF(OR(L714="1-Urgent",L714="2-High"),"DELEGATE","DELETE"))))</f>
        <v/>
      </c>
      <c r="P714" s="65" t="n"/>
      <c r="Q714">
        <f>IF(709&gt;Calc!$AQ$368,"",MATCH(708,Calc!$AQ$2:$AQ$367,1))</f>
        <v/>
      </c>
      <c r="R714">
        <f>IF(Q714="","",SMALL(INDEX(Calc!$B$2:$AO$367,Q714,0),709-INDEX(Calc!$AQ$2:$AQ$367,Q714)))</f>
        <v/>
      </c>
    </row>
    <row r="715">
      <c r="B715" s="71">
        <f>IF(R715="","",710)</f>
        <v/>
      </c>
      <c r="C715" s="75">
        <f>IF(R715="","",IF(INDEX('Recurring Schedule'!$C$6:$C$45,R715)="","",INDEX('Recurring Schedule'!$C$6:$C$45,R715)))</f>
        <v/>
      </c>
      <c r="D715" s="73">
        <f>IF(R715="","",IF(INDEX('Recurring Schedule'!$D$6:$D$45,R715)="","",INDEX('Recurring Schedule'!$D$6:$D$45,R715)))</f>
        <v/>
      </c>
      <c r="E715" s="76">
        <f>IF(Q715="","",INDEX(Calc!$A$2:$A$367,Q715))</f>
        <v/>
      </c>
      <c r="F715" s="72">
        <f>IF(OR(C715="",E715=""),"",E715-Setup!$D$7)</f>
        <v/>
      </c>
      <c r="G715" s="77">
        <f>IF(R715="","",IF(INDEX('Recurring Schedule'!$H$6:$H$45,R715)="","",INDEX('Recurring Schedule'!$H$6:$H$45,R715)))</f>
        <v/>
      </c>
      <c r="H715" s="77">
        <f>IF(R715="","",IF(INDEX('Recurring Schedule'!$I$6:$I$45,R715)="","",INDEX('Recurring Schedule'!$I$6:$I$45,R715)))</f>
        <v/>
      </c>
      <c r="I715" s="73">
        <f>IF(OR(G715="",H715=""),"",TRIM(IF(HOUR(H715-G715)&gt;0,HOUR(H715-G715)&amp;" hr ","")&amp;IF(MINUTE(H715-G715)&gt;0,MINUTE(H715-G715)&amp;" min","")))</f>
        <v/>
      </c>
      <c r="J715" s="66" t="n"/>
      <c r="K715" s="70" t="n"/>
      <c r="L715" s="73">
        <f>IF(R715="","",IF(INDEX('Recurring Schedule'!$J$6:$J$45,R715)="","",INDEX('Recurring Schedule'!$J$6:$J$45,R715)))</f>
        <v/>
      </c>
      <c r="M715" s="73">
        <f>IF(R715="","",IF(INDEX('Recurring Schedule'!$K$6:$K$45,R715)="","",INDEX('Recurring Schedule'!$K$6:$K$45,R715)))</f>
        <v/>
      </c>
      <c r="N715" s="73">
        <f>IF(R715="","",IF(INDEX('Recurring Schedule'!$L$6:$L$45,R715)="","",INDEX('Recurring Schedule'!$L$6:$L$45,R715)))</f>
        <v/>
      </c>
      <c r="O715" s="73">
        <f>IF(C715="","",IF(AND(OR(L715="1-Urgent",L715="2-High"),M715="✓"),"DO FIRST",IF(M715="✓","SCHEDULE",IF(OR(L715="1-Urgent",L715="2-High"),"DELEGATE","DELETE"))))</f>
        <v/>
      </c>
      <c r="P715" s="65" t="n"/>
      <c r="Q715">
        <f>IF(710&gt;Calc!$AQ$368,"",MATCH(709,Calc!$AQ$2:$AQ$367,1))</f>
        <v/>
      </c>
      <c r="R715">
        <f>IF(Q715="","",SMALL(INDEX(Calc!$B$2:$AO$367,Q715,0),710-INDEX(Calc!$AQ$2:$AQ$367,Q715)))</f>
        <v/>
      </c>
    </row>
    <row r="716">
      <c r="B716" s="64">
        <f>IF(R716="","",711)</f>
        <v/>
      </c>
      <c r="C716" s="37">
        <f>IF(R716="","",IF(INDEX('Recurring Schedule'!$C$6:$C$45,R716)="","",INDEX('Recurring Schedule'!$C$6:$C$45,R716)))</f>
        <v/>
      </c>
      <c r="D716" s="36">
        <f>IF(R716="","",IF(INDEX('Recurring Schedule'!$D$6:$D$45,R716)="","",INDEX('Recurring Schedule'!$D$6:$D$45,R716)))</f>
        <v/>
      </c>
      <c r="E716" s="38">
        <f>IF(Q716="","",INDEX(Calc!$A$2:$A$367,Q716))</f>
        <v/>
      </c>
      <c r="F716" s="68">
        <f>IF(OR(C716="",E716=""),"",E716-Setup!$D$7)</f>
        <v/>
      </c>
      <c r="G716" s="74">
        <f>IF(R716="","",IF(INDEX('Recurring Schedule'!$H$6:$H$45,R716)="","",INDEX('Recurring Schedule'!$H$6:$H$45,R716)))</f>
        <v/>
      </c>
      <c r="H716" s="74">
        <f>IF(R716="","",IF(INDEX('Recurring Schedule'!$I$6:$I$45,R716)="","",INDEX('Recurring Schedule'!$I$6:$I$45,R716)))</f>
        <v/>
      </c>
      <c r="I716" s="36">
        <f>IF(OR(G716="",H716=""),"",TRIM(IF(HOUR(H716-G716)&gt;0,HOUR(H716-G716)&amp;" hr ","")&amp;IF(MINUTE(H716-G716)&gt;0,MINUTE(H716-G716)&amp;" min","")))</f>
        <v/>
      </c>
      <c r="J716" s="66" t="n"/>
      <c r="K716" s="70" t="n"/>
      <c r="L716" s="36">
        <f>IF(R716="","",IF(INDEX('Recurring Schedule'!$J$6:$J$45,R716)="","",INDEX('Recurring Schedule'!$J$6:$J$45,R716)))</f>
        <v/>
      </c>
      <c r="M716" s="36">
        <f>IF(R716="","",IF(INDEX('Recurring Schedule'!$K$6:$K$45,R716)="","",INDEX('Recurring Schedule'!$K$6:$K$45,R716)))</f>
        <v/>
      </c>
      <c r="N716" s="36">
        <f>IF(R716="","",IF(INDEX('Recurring Schedule'!$L$6:$L$45,R716)="","",INDEX('Recurring Schedule'!$L$6:$L$45,R716)))</f>
        <v/>
      </c>
      <c r="O716" s="36">
        <f>IF(C716="","",IF(AND(OR(L716="1-Urgent",L716="2-High"),M716="✓"),"DO FIRST",IF(M716="✓","SCHEDULE",IF(OR(L716="1-Urgent",L716="2-High"),"DELEGATE","DELETE"))))</f>
        <v/>
      </c>
      <c r="P716" s="65" t="n"/>
      <c r="Q716">
        <f>IF(711&gt;Calc!$AQ$368,"",MATCH(710,Calc!$AQ$2:$AQ$367,1))</f>
        <v/>
      </c>
      <c r="R716">
        <f>IF(Q716="","",SMALL(INDEX(Calc!$B$2:$AO$367,Q716,0),711-INDEX(Calc!$AQ$2:$AQ$367,Q716)))</f>
        <v/>
      </c>
    </row>
    <row r="717">
      <c r="B717" s="71">
        <f>IF(R717="","",712)</f>
        <v/>
      </c>
      <c r="C717" s="75">
        <f>IF(R717="","",IF(INDEX('Recurring Schedule'!$C$6:$C$45,R717)="","",INDEX('Recurring Schedule'!$C$6:$C$45,R717)))</f>
        <v/>
      </c>
      <c r="D717" s="73">
        <f>IF(R717="","",IF(INDEX('Recurring Schedule'!$D$6:$D$45,R717)="","",INDEX('Recurring Schedule'!$D$6:$D$45,R717)))</f>
        <v/>
      </c>
      <c r="E717" s="76">
        <f>IF(Q717="","",INDEX(Calc!$A$2:$A$367,Q717))</f>
        <v/>
      </c>
      <c r="F717" s="72">
        <f>IF(OR(C717="",E717=""),"",E717-Setup!$D$7)</f>
        <v/>
      </c>
      <c r="G717" s="77">
        <f>IF(R717="","",IF(INDEX('Recurring Schedule'!$H$6:$H$45,R717)="","",INDEX('Recurring Schedule'!$H$6:$H$45,R717)))</f>
        <v/>
      </c>
      <c r="H717" s="77">
        <f>IF(R717="","",IF(INDEX('Recurring Schedule'!$I$6:$I$45,R717)="","",INDEX('Recurring Schedule'!$I$6:$I$45,R717)))</f>
        <v/>
      </c>
      <c r="I717" s="73">
        <f>IF(OR(G717="",H717=""),"",TRIM(IF(HOUR(H717-G717)&gt;0,HOUR(H717-G717)&amp;" hr ","")&amp;IF(MINUTE(H717-G717)&gt;0,MINUTE(H717-G717)&amp;" min","")))</f>
        <v/>
      </c>
      <c r="J717" s="66" t="n"/>
      <c r="K717" s="70" t="n"/>
      <c r="L717" s="73">
        <f>IF(R717="","",IF(INDEX('Recurring Schedule'!$J$6:$J$45,R717)="","",INDEX('Recurring Schedule'!$J$6:$J$45,R717)))</f>
        <v/>
      </c>
      <c r="M717" s="73">
        <f>IF(R717="","",IF(INDEX('Recurring Schedule'!$K$6:$K$45,R717)="","",INDEX('Recurring Schedule'!$K$6:$K$45,R717)))</f>
        <v/>
      </c>
      <c r="N717" s="73">
        <f>IF(R717="","",IF(INDEX('Recurring Schedule'!$L$6:$L$45,R717)="","",INDEX('Recurring Schedule'!$L$6:$L$45,R717)))</f>
        <v/>
      </c>
      <c r="O717" s="73">
        <f>IF(C717="","",IF(AND(OR(L717="1-Urgent",L717="2-High"),M717="✓"),"DO FIRST",IF(M717="✓","SCHEDULE",IF(OR(L717="1-Urgent",L717="2-High"),"DELEGATE","DELETE"))))</f>
        <v/>
      </c>
      <c r="P717" s="65" t="n"/>
      <c r="Q717">
        <f>IF(712&gt;Calc!$AQ$368,"",MATCH(711,Calc!$AQ$2:$AQ$367,1))</f>
        <v/>
      </c>
      <c r="R717">
        <f>IF(Q717="","",SMALL(INDEX(Calc!$B$2:$AO$367,Q717,0),712-INDEX(Calc!$AQ$2:$AQ$367,Q717)))</f>
        <v/>
      </c>
    </row>
    <row r="718">
      <c r="B718" s="64">
        <f>IF(R718="","",713)</f>
        <v/>
      </c>
      <c r="C718" s="37">
        <f>IF(R718="","",IF(INDEX('Recurring Schedule'!$C$6:$C$45,R718)="","",INDEX('Recurring Schedule'!$C$6:$C$45,R718)))</f>
        <v/>
      </c>
      <c r="D718" s="36">
        <f>IF(R718="","",IF(INDEX('Recurring Schedule'!$D$6:$D$45,R718)="","",INDEX('Recurring Schedule'!$D$6:$D$45,R718)))</f>
        <v/>
      </c>
      <c r="E718" s="38">
        <f>IF(Q718="","",INDEX(Calc!$A$2:$A$367,Q718))</f>
        <v/>
      </c>
      <c r="F718" s="68">
        <f>IF(OR(C718="",E718=""),"",E718-Setup!$D$7)</f>
        <v/>
      </c>
      <c r="G718" s="74">
        <f>IF(R718="","",IF(INDEX('Recurring Schedule'!$H$6:$H$45,R718)="","",INDEX('Recurring Schedule'!$H$6:$H$45,R718)))</f>
        <v/>
      </c>
      <c r="H718" s="74">
        <f>IF(R718="","",IF(INDEX('Recurring Schedule'!$I$6:$I$45,R718)="","",INDEX('Recurring Schedule'!$I$6:$I$45,R718)))</f>
        <v/>
      </c>
      <c r="I718" s="36">
        <f>IF(OR(G718="",H718=""),"",TRIM(IF(HOUR(H718-G718)&gt;0,HOUR(H718-G718)&amp;" hr ","")&amp;IF(MINUTE(H718-G718)&gt;0,MINUTE(H718-G718)&amp;" min","")))</f>
        <v/>
      </c>
      <c r="J718" s="66" t="n"/>
      <c r="K718" s="70" t="n"/>
      <c r="L718" s="36">
        <f>IF(R718="","",IF(INDEX('Recurring Schedule'!$J$6:$J$45,R718)="","",INDEX('Recurring Schedule'!$J$6:$J$45,R718)))</f>
        <v/>
      </c>
      <c r="M718" s="36">
        <f>IF(R718="","",IF(INDEX('Recurring Schedule'!$K$6:$K$45,R718)="","",INDEX('Recurring Schedule'!$K$6:$K$45,R718)))</f>
        <v/>
      </c>
      <c r="N718" s="36">
        <f>IF(R718="","",IF(INDEX('Recurring Schedule'!$L$6:$L$45,R718)="","",INDEX('Recurring Schedule'!$L$6:$L$45,R718)))</f>
        <v/>
      </c>
      <c r="O718" s="36">
        <f>IF(C718="","",IF(AND(OR(L718="1-Urgent",L718="2-High"),M718="✓"),"DO FIRST",IF(M718="✓","SCHEDULE",IF(OR(L718="1-Urgent",L718="2-High"),"DELEGATE","DELETE"))))</f>
        <v/>
      </c>
      <c r="P718" s="65" t="n"/>
      <c r="Q718">
        <f>IF(713&gt;Calc!$AQ$368,"",MATCH(712,Calc!$AQ$2:$AQ$367,1))</f>
        <v/>
      </c>
      <c r="R718">
        <f>IF(Q718="","",SMALL(INDEX(Calc!$B$2:$AO$367,Q718,0),713-INDEX(Calc!$AQ$2:$AQ$367,Q718)))</f>
        <v/>
      </c>
    </row>
    <row r="719">
      <c r="B719" s="71">
        <f>IF(R719="","",714)</f>
        <v/>
      </c>
      <c r="C719" s="75">
        <f>IF(R719="","",IF(INDEX('Recurring Schedule'!$C$6:$C$45,R719)="","",INDEX('Recurring Schedule'!$C$6:$C$45,R719)))</f>
        <v/>
      </c>
      <c r="D719" s="73">
        <f>IF(R719="","",IF(INDEX('Recurring Schedule'!$D$6:$D$45,R719)="","",INDEX('Recurring Schedule'!$D$6:$D$45,R719)))</f>
        <v/>
      </c>
      <c r="E719" s="76">
        <f>IF(Q719="","",INDEX(Calc!$A$2:$A$367,Q719))</f>
        <v/>
      </c>
      <c r="F719" s="72">
        <f>IF(OR(C719="",E719=""),"",E719-Setup!$D$7)</f>
        <v/>
      </c>
      <c r="G719" s="77">
        <f>IF(R719="","",IF(INDEX('Recurring Schedule'!$H$6:$H$45,R719)="","",INDEX('Recurring Schedule'!$H$6:$H$45,R719)))</f>
        <v/>
      </c>
      <c r="H719" s="77">
        <f>IF(R719="","",IF(INDEX('Recurring Schedule'!$I$6:$I$45,R719)="","",INDEX('Recurring Schedule'!$I$6:$I$45,R719)))</f>
        <v/>
      </c>
      <c r="I719" s="73">
        <f>IF(OR(G719="",H719=""),"",TRIM(IF(HOUR(H719-G719)&gt;0,HOUR(H719-G719)&amp;" hr ","")&amp;IF(MINUTE(H719-G719)&gt;0,MINUTE(H719-G719)&amp;" min","")))</f>
        <v/>
      </c>
      <c r="J719" s="66" t="n"/>
      <c r="K719" s="70" t="n"/>
      <c r="L719" s="73">
        <f>IF(R719="","",IF(INDEX('Recurring Schedule'!$J$6:$J$45,R719)="","",INDEX('Recurring Schedule'!$J$6:$J$45,R719)))</f>
        <v/>
      </c>
      <c r="M719" s="73">
        <f>IF(R719="","",IF(INDEX('Recurring Schedule'!$K$6:$K$45,R719)="","",INDEX('Recurring Schedule'!$K$6:$K$45,R719)))</f>
        <v/>
      </c>
      <c r="N719" s="73">
        <f>IF(R719="","",IF(INDEX('Recurring Schedule'!$L$6:$L$45,R719)="","",INDEX('Recurring Schedule'!$L$6:$L$45,R719)))</f>
        <v/>
      </c>
      <c r="O719" s="73">
        <f>IF(C719="","",IF(AND(OR(L719="1-Urgent",L719="2-High"),M719="✓"),"DO FIRST",IF(M719="✓","SCHEDULE",IF(OR(L719="1-Urgent",L719="2-High"),"DELEGATE","DELETE"))))</f>
        <v/>
      </c>
      <c r="P719" s="65" t="n"/>
      <c r="Q719">
        <f>IF(714&gt;Calc!$AQ$368,"",MATCH(713,Calc!$AQ$2:$AQ$367,1))</f>
        <v/>
      </c>
      <c r="R719">
        <f>IF(Q719="","",SMALL(INDEX(Calc!$B$2:$AO$367,Q719,0),714-INDEX(Calc!$AQ$2:$AQ$367,Q719)))</f>
        <v/>
      </c>
    </row>
    <row r="720">
      <c r="B720" s="64">
        <f>IF(R720="","",715)</f>
        <v/>
      </c>
      <c r="C720" s="37">
        <f>IF(R720="","",IF(INDEX('Recurring Schedule'!$C$6:$C$45,R720)="","",INDEX('Recurring Schedule'!$C$6:$C$45,R720)))</f>
        <v/>
      </c>
      <c r="D720" s="36">
        <f>IF(R720="","",IF(INDEX('Recurring Schedule'!$D$6:$D$45,R720)="","",INDEX('Recurring Schedule'!$D$6:$D$45,R720)))</f>
        <v/>
      </c>
      <c r="E720" s="38">
        <f>IF(Q720="","",INDEX(Calc!$A$2:$A$367,Q720))</f>
        <v/>
      </c>
      <c r="F720" s="68">
        <f>IF(OR(C720="",E720=""),"",E720-Setup!$D$7)</f>
        <v/>
      </c>
      <c r="G720" s="74">
        <f>IF(R720="","",IF(INDEX('Recurring Schedule'!$H$6:$H$45,R720)="","",INDEX('Recurring Schedule'!$H$6:$H$45,R720)))</f>
        <v/>
      </c>
      <c r="H720" s="74">
        <f>IF(R720="","",IF(INDEX('Recurring Schedule'!$I$6:$I$45,R720)="","",INDEX('Recurring Schedule'!$I$6:$I$45,R720)))</f>
        <v/>
      </c>
      <c r="I720" s="36">
        <f>IF(OR(G720="",H720=""),"",TRIM(IF(HOUR(H720-G720)&gt;0,HOUR(H720-G720)&amp;" hr ","")&amp;IF(MINUTE(H720-G720)&gt;0,MINUTE(H720-G720)&amp;" min","")))</f>
        <v/>
      </c>
      <c r="J720" s="66" t="n"/>
      <c r="K720" s="70" t="n"/>
      <c r="L720" s="36">
        <f>IF(R720="","",IF(INDEX('Recurring Schedule'!$J$6:$J$45,R720)="","",INDEX('Recurring Schedule'!$J$6:$J$45,R720)))</f>
        <v/>
      </c>
      <c r="M720" s="36">
        <f>IF(R720="","",IF(INDEX('Recurring Schedule'!$K$6:$K$45,R720)="","",INDEX('Recurring Schedule'!$K$6:$K$45,R720)))</f>
        <v/>
      </c>
      <c r="N720" s="36">
        <f>IF(R720="","",IF(INDEX('Recurring Schedule'!$L$6:$L$45,R720)="","",INDEX('Recurring Schedule'!$L$6:$L$45,R720)))</f>
        <v/>
      </c>
      <c r="O720" s="36">
        <f>IF(C720="","",IF(AND(OR(L720="1-Urgent",L720="2-High"),M720="✓"),"DO FIRST",IF(M720="✓","SCHEDULE",IF(OR(L720="1-Urgent",L720="2-High"),"DELEGATE","DELETE"))))</f>
        <v/>
      </c>
      <c r="P720" s="65" t="n"/>
      <c r="Q720">
        <f>IF(715&gt;Calc!$AQ$368,"",MATCH(714,Calc!$AQ$2:$AQ$367,1))</f>
        <v/>
      </c>
      <c r="R720">
        <f>IF(Q720="","",SMALL(INDEX(Calc!$B$2:$AO$367,Q720,0),715-INDEX(Calc!$AQ$2:$AQ$367,Q720)))</f>
        <v/>
      </c>
    </row>
    <row r="721">
      <c r="B721" s="71">
        <f>IF(R721="","",716)</f>
        <v/>
      </c>
      <c r="C721" s="75">
        <f>IF(R721="","",IF(INDEX('Recurring Schedule'!$C$6:$C$45,R721)="","",INDEX('Recurring Schedule'!$C$6:$C$45,R721)))</f>
        <v/>
      </c>
      <c r="D721" s="73">
        <f>IF(R721="","",IF(INDEX('Recurring Schedule'!$D$6:$D$45,R721)="","",INDEX('Recurring Schedule'!$D$6:$D$45,R721)))</f>
        <v/>
      </c>
      <c r="E721" s="76">
        <f>IF(Q721="","",INDEX(Calc!$A$2:$A$367,Q721))</f>
        <v/>
      </c>
      <c r="F721" s="72">
        <f>IF(OR(C721="",E721=""),"",E721-Setup!$D$7)</f>
        <v/>
      </c>
      <c r="G721" s="77">
        <f>IF(R721="","",IF(INDEX('Recurring Schedule'!$H$6:$H$45,R721)="","",INDEX('Recurring Schedule'!$H$6:$H$45,R721)))</f>
        <v/>
      </c>
      <c r="H721" s="77">
        <f>IF(R721="","",IF(INDEX('Recurring Schedule'!$I$6:$I$45,R721)="","",INDEX('Recurring Schedule'!$I$6:$I$45,R721)))</f>
        <v/>
      </c>
      <c r="I721" s="73">
        <f>IF(OR(G721="",H721=""),"",TRIM(IF(HOUR(H721-G721)&gt;0,HOUR(H721-G721)&amp;" hr ","")&amp;IF(MINUTE(H721-G721)&gt;0,MINUTE(H721-G721)&amp;" min","")))</f>
        <v/>
      </c>
      <c r="J721" s="66" t="n"/>
      <c r="K721" s="70" t="n"/>
      <c r="L721" s="73">
        <f>IF(R721="","",IF(INDEX('Recurring Schedule'!$J$6:$J$45,R721)="","",INDEX('Recurring Schedule'!$J$6:$J$45,R721)))</f>
        <v/>
      </c>
      <c r="M721" s="73">
        <f>IF(R721="","",IF(INDEX('Recurring Schedule'!$K$6:$K$45,R721)="","",INDEX('Recurring Schedule'!$K$6:$K$45,R721)))</f>
        <v/>
      </c>
      <c r="N721" s="73">
        <f>IF(R721="","",IF(INDEX('Recurring Schedule'!$L$6:$L$45,R721)="","",INDEX('Recurring Schedule'!$L$6:$L$45,R721)))</f>
        <v/>
      </c>
      <c r="O721" s="73">
        <f>IF(C721="","",IF(AND(OR(L721="1-Urgent",L721="2-High"),M721="✓"),"DO FIRST",IF(M721="✓","SCHEDULE",IF(OR(L721="1-Urgent",L721="2-High"),"DELEGATE","DELETE"))))</f>
        <v/>
      </c>
      <c r="P721" s="65" t="n"/>
      <c r="Q721">
        <f>IF(716&gt;Calc!$AQ$368,"",MATCH(715,Calc!$AQ$2:$AQ$367,1))</f>
        <v/>
      </c>
      <c r="R721">
        <f>IF(Q721="","",SMALL(INDEX(Calc!$B$2:$AO$367,Q721,0),716-INDEX(Calc!$AQ$2:$AQ$367,Q721)))</f>
        <v/>
      </c>
    </row>
    <row r="722">
      <c r="B722" s="64">
        <f>IF(R722="","",717)</f>
        <v/>
      </c>
      <c r="C722" s="37">
        <f>IF(R722="","",IF(INDEX('Recurring Schedule'!$C$6:$C$45,R722)="","",INDEX('Recurring Schedule'!$C$6:$C$45,R722)))</f>
        <v/>
      </c>
      <c r="D722" s="36">
        <f>IF(R722="","",IF(INDEX('Recurring Schedule'!$D$6:$D$45,R722)="","",INDEX('Recurring Schedule'!$D$6:$D$45,R722)))</f>
        <v/>
      </c>
      <c r="E722" s="38">
        <f>IF(Q722="","",INDEX(Calc!$A$2:$A$367,Q722))</f>
        <v/>
      </c>
      <c r="F722" s="68">
        <f>IF(OR(C722="",E722=""),"",E722-Setup!$D$7)</f>
        <v/>
      </c>
      <c r="G722" s="74">
        <f>IF(R722="","",IF(INDEX('Recurring Schedule'!$H$6:$H$45,R722)="","",INDEX('Recurring Schedule'!$H$6:$H$45,R722)))</f>
        <v/>
      </c>
      <c r="H722" s="74">
        <f>IF(R722="","",IF(INDEX('Recurring Schedule'!$I$6:$I$45,R722)="","",INDEX('Recurring Schedule'!$I$6:$I$45,R722)))</f>
        <v/>
      </c>
      <c r="I722" s="36">
        <f>IF(OR(G722="",H722=""),"",TRIM(IF(HOUR(H722-G722)&gt;0,HOUR(H722-G722)&amp;" hr ","")&amp;IF(MINUTE(H722-G722)&gt;0,MINUTE(H722-G722)&amp;" min","")))</f>
        <v/>
      </c>
      <c r="J722" s="66" t="n"/>
      <c r="K722" s="70" t="n"/>
      <c r="L722" s="36">
        <f>IF(R722="","",IF(INDEX('Recurring Schedule'!$J$6:$J$45,R722)="","",INDEX('Recurring Schedule'!$J$6:$J$45,R722)))</f>
        <v/>
      </c>
      <c r="M722" s="36">
        <f>IF(R722="","",IF(INDEX('Recurring Schedule'!$K$6:$K$45,R722)="","",INDEX('Recurring Schedule'!$K$6:$K$45,R722)))</f>
        <v/>
      </c>
      <c r="N722" s="36">
        <f>IF(R722="","",IF(INDEX('Recurring Schedule'!$L$6:$L$45,R722)="","",INDEX('Recurring Schedule'!$L$6:$L$45,R722)))</f>
        <v/>
      </c>
      <c r="O722" s="36">
        <f>IF(C722="","",IF(AND(OR(L722="1-Urgent",L722="2-High"),M722="✓"),"DO FIRST",IF(M722="✓","SCHEDULE",IF(OR(L722="1-Urgent",L722="2-High"),"DELEGATE","DELETE"))))</f>
        <v/>
      </c>
      <c r="P722" s="65" t="n"/>
      <c r="Q722">
        <f>IF(717&gt;Calc!$AQ$368,"",MATCH(716,Calc!$AQ$2:$AQ$367,1))</f>
        <v/>
      </c>
      <c r="R722">
        <f>IF(Q722="","",SMALL(INDEX(Calc!$B$2:$AO$367,Q722,0),717-INDEX(Calc!$AQ$2:$AQ$367,Q722)))</f>
        <v/>
      </c>
    </row>
    <row r="723">
      <c r="B723" s="71">
        <f>IF(R723="","",718)</f>
        <v/>
      </c>
      <c r="C723" s="75">
        <f>IF(R723="","",IF(INDEX('Recurring Schedule'!$C$6:$C$45,R723)="","",INDEX('Recurring Schedule'!$C$6:$C$45,R723)))</f>
        <v/>
      </c>
      <c r="D723" s="73">
        <f>IF(R723="","",IF(INDEX('Recurring Schedule'!$D$6:$D$45,R723)="","",INDEX('Recurring Schedule'!$D$6:$D$45,R723)))</f>
        <v/>
      </c>
      <c r="E723" s="76">
        <f>IF(Q723="","",INDEX(Calc!$A$2:$A$367,Q723))</f>
        <v/>
      </c>
      <c r="F723" s="72">
        <f>IF(OR(C723="",E723=""),"",E723-Setup!$D$7)</f>
        <v/>
      </c>
      <c r="G723" s="77">
        <f>IF(R723="","",IF(INDEX('Recurring Schedule'!$H$6:$H$45,R723)="","",INDEX('Recurring Schedule'!$H$6:$H$45,R723)))</f>
        <v/>
      </c>
      <c r="H723" s="77">
        <f>IF(R723="","",IF(INDEX('Recurring Schedule'!$I$6:$I$45,R723)="","",INDEX('Recurring Schedule'!$I$6:$I$45,R723)))</f>
        <v/>
      </c>
      <c r="I723" s="73">
        <f>IF(OR(G723="",H723=""),"",TRIM(IF(HOUR(H723-G723)&gt;0,HOUR(H723-G723)&amp;" hr ","")&amp;IF(MINUTE(H723-G723)&gt;0,MINUTE(H723-G723)&amp;" min","")))</f>
        <v/>
      </c>
      <c r="J723" s="66" t="n"/>
      <c r="K723" s="70" t="n"/>
      <c r="L723" s="73">
        <f>IF(R723="","",IF(INDEX('Recurring Schedule'!$J$6:$J$45,R723)="","",INDEX('Recurring Schedule'!$J$6:$J$45,R723)))</f>
        <v/>
      </c>
      <c r="M723" s="73">
        <f>IF(R723="","",IF(INDEX('Recurring Schedule'!$K$6:$K$45,R723)="","",INDEX('Recurring Schedule'!$K$6:$K$45,R723)))</f>
        <v/>
      </c>
      <c r="N723" s="73">
        <f>IF(R723="","",IF(INDEX('Recurring Schedule'!$L$6:$L$45,R723)="","",INDEX('Recurring Schedule'!$L$6:$L$45,R723)))</f>
        <v/>
      </c>
      <c r="O723" s="73">
        <f>IF(C723="","",IF(AND(OR(L723="1-Urgent",L723="2-High"),M723="✓"),"DO FIRST",IF(M723="✓","SCHEDULE",IF(OR(L723="1-Urgent",L723="2-High"),"DELEGATE","DELETE"))))</f>
        <v/>
      </c>
      <c r="P723" s="65" t="n"/>
      <c r="Q723">
        <f>IF(718&gt;Calc!$AQ$368,"",MATCH(717,Calc!$AQ$2:$AQ$367,1))</f>
        <v/>
      </c>
      <c r="R723">
        <f>IF(Q723="","",SMALL(INDEX(Calc!$B$2:$AO$367,Q723,0),718-INDEX(Calc!$AQ$2:$AQ$367,Q723)))</f>
        <v/>
      </c>
    </row>
    <row r="724">
      <c r="B724" s="64">
        <f>IF(R724="","",719)</f>
        <v/>
      </c>
      <c r="C724" s="37">
        <f>IF(R724="","",IF(INDEX('Recurring Schedule'!$C$6:$C$45,R724)="","",INDEX('Recurring Schedule'!$C$6:$C$45,R724)))</f>
        <v/>
      </c>
      <c r="D724" s="36">
        <f>IF(R724="","",IF(INDEX('Recurring Schedule'!$D$6:$D$45,R724)="","",INDEX('Recurring Schedule'!$D$6:$D$45,R724)))</f>
        <v/>
      </c>
      <c r="E724" s="38">
        <f>IF(Q724="","",INDEX(Calc!$A$2:$A$367,Q724))</f>
        <v/>
      </c>
      <c r="F724" s="68">
        <f>IF(OR(C724="",E724=""),"",E724-Setup!$D$7)</f>
        <v/>
      </c>
      <c r="G724" s="74">
        <f>IF(R724="","",IF(INDEX('Recurring Schedule'!$H$6:$H$45,R724)="","",INDEX('Recurring Schedule'!$H$6:$H$45,R724)))</f>
        <v/>
      </c>
      <c r="H724" s="74">
        <f>IF(R724="","",IF(INDEX('Recurring Schedule'!$I$6:$I$45,R724)="","",INDEX('Recurring Schedule'!$I$6:$I$45,R724)))</f>
        <v/>
      </c>
      <c r="I724" s="36">
        <f>IF(OR(G724="",H724=""),"",TRIM(IF(HOUR(H724-G724)&gt;0,HOUR(H724-G724)&amp;" hr ","")&amp;IF(MINUTE(H724-G724)&gt;0,MINUTE(H724-G724)&amp;" min","")))</f>
        <v/>
      </c>
      <c r="J724" s="66" t="n"/>
      <c r="K724" s="70" t="n"/>
      <c r="L724" s="36">
        <f>IF(R724="","",IF(INDEX('Recurring Schedule'!$J$6:$J$45,R724)="","",INDEX('Recurring Schedule'!$J$6:$J$45,R724)))</f>
        <v/>
      </c>
      <c r="M724" s="36">
        <f>IF(R724="","",IF(INDEX('Recurring Schedule'!$K$6:$K$45,R724)="","",INDEX('Recurring Schedule'!$K$6:$K$45,R724)))</f>
        <v/>
      </c>
      <c r="N724" s="36">
        <f>IF(R724="","",IF(INDEX('Recurring Schedule'!$L$6:$L$45,R724)="","",INDEX('Recurring Schedule'!$L$6:$L$45,R724)))</f>
        <v/>
      </c>
      <c r="O724" s="36">
        <f>IF(C724="","",IF(AND(OR(L724="1-Urgent",L724="2-High"),M724="✓"),"DO FIRST",IF(M724="✓","SCHEDULE",IF(OR(L724="1-Urgent",L724="2-High"),"DELEGATE","DELETE"))))</f>
        <v/>
      </c>
      <c r="P724" s="65" t="n"/>
      <c r="Q724">
        <f>IF(719&gt;Calc!$AQ$368,"",MATCH(718,Calc!$AQ$2:$AQ$367,1))</f>
        <v/>
      </c>
      <c r="R724">
        <f>IF(Q724="","",SMALL(INDEX(Calc!$B$2:$AO$367,Q724,0),719-INDEX(Calc!$AQ$2:$AQ$367,Q724)))</f>
        <v/>
      </c>
    </row>
    <row r="725">
      <c r="B725" s="71">
        <f>IF(R725="","",720)</f>
        <v/>
      </c>
      <c r="C725" s="75">
        <f>IF(R725="","",IF(INDEX('Recurring Schedule'!$C$6:$C$45,R725)="","",INDEX('Recurring Schedule'!$C$6:$C$45,R725)))</f>
        <v/>
      </c>
      <c r="D725" s="73">
        <f>IF(R725="","",IF(INDEX('Recurring Schedule'!$D$6:$D$45,R725)="","",INDEX('Recurring Schedule'!$D$6:$D$45,R725)))</f>
        <v/>
      </c>
      <c r="E725" s="76">
        <f>IF(Q725="","",INDEX(Calc!$A$2:$A$367,Q725))</f>
        <v/>
      </c>
      <c r="F725" s="72">
        <f>IF(OR(C725="",E725=""),"",E725-Setup!$D$7)</f>
        <v/>
      </c>
      <c r="G725" s="77">
        <f>IF(R725="","",IF(INDEX('Recurring Schedule'!$H$6:$H$45,R725)="","",INDEX('Recurring Schedule'!$H$6:$H$45,R725)))</f>
        <v/>
      </c>
      <c r="H725" s="77">
        <f>IF(R725="","",IF(INDEX('Recurring Schedule'!$I$6:$I$45,R725)="","",INDEX('Recurring Schedule'!$I$6:$I$45,R725)))</f>
        <v/>
      </c>
      <c r="I725" s="73">
        <f>IF(OR(G725="",H725=""),"",TRIM(IF(HOUR(H725-G725)&gt;0,HOUR(H725-G725)&amp;" hr ","")&amp;IF(MINUTE(H725-G725)&gt;0,MINUTE(H725-G725)&amp;" min","")))</f>
        <v/>
      </c>
      <c r="J725" s="66" t="n"/>
      <c r="K725" s="70" t="n"/>
      <c r="L725" s="73">
        <f>IF(R725="","",IF(INDEX('Recurring Schedule'!$J$6:$J$45,R725)="","",INDEX('Recurring Schedule'!$J$6:$J$45,R725)))</f>
        <v/>
      </c>
      <c r="M725" s="73">
        <f>IF(R725="","",IF(INDEX('Recurring Schedule'!$K$6:$K$45,R725)="","",INDEX('Recurring Schedule'!$K$6:$K$45,R725)))</f>
        <v/>
      </c>
      <c r="N725" s="73">
        <f>IF(R725="","",IF(INDEX('Recurring Schedule'!$L$6:$L$45,R725)="","",INDEX('Recurring Schedule'!$L$6:$L$45,R725)))</f>
        <v/>
      </c>
      <c r="O725" s="73">
        <f>IF(C725="","",IF(AND(OR(L725="1-Urgent",L725="2-High"),M725="✓"),"DO FIRST",IF(M725="✓","SCHEDULE",IF(OR(L725="1-Urgent",L725="2-High"),"DELEGATE","DELETE"))))</f>
        <v/>
      </c>
      <c r="P725" s="65" t="n"/>
      <c r="Q725">
        <f>IF(720&gt;Calc!$AQ$368,"",MATCH(719,Calc!$AQ$2:$AQ$367,1))</f>
        <v/>
      </c>
      <c r="R725">
        <f>IF(Q725="","",SMALL(INDEX(Calc!$B$2:$AO$367,Q725,0),720-INDEX(Calc!$AQ$2:$AQ$367,Q725)))</f>
        <v/>
      </c>
    </row>
    <row r="726">
      <c r="B726" s="64">
        <f>IF(R726="","",721)</f>
        <v/>
      </c>
      <c r="C726" s="37">
        <f>IF(R726="","",IF(INDEX('Recurring Schedule'!$C$6:$C$45,R726)="","",INDEX('Recurring Schedule'!$C$6:$C$45,R726)))</f>
        <v/>
      </c>
      <c r="D726" s="36">
        <f>IF(R726="","",IF(INDEX('Recurring Schedule'!$D$6:$D$45,R726)="","",INDEX('Recurring Schedule'!$D$6:$D$45,R726)))</f>
        <v/>
      </c>
      <c r="E726" s="38">
        <f>IF(Q726="","",INDEX(Calc!$A$2:$A$367,Q726))</f>
        <v/>
      </c>
      <c r="F726" s="68">
        <f>IF(OR(C726="",E726=""),"",E726-Setup!$D$7)</f>
        <v/>
      </c>
      <c r="G726" s="74">
        <f>IF(R726="","",IF(INDEX('Recurring Schedule'!$H$6:$H$45,R726)="","",INDEX('Recurring Schedule'!$H$6:$H$45,R726)))</f>
        <v/>
      </c>
      <c r="H726" s="74">
        <f>IF(R726="","",IF(INDEX('Recurring Schedule'!$I$6:$I$45,R726)="","",INDEX('Recurring Schedule'!$I$6:$I$45,R726)))</f>
        <v/>
      </c>
      <c r="I726" s="36">
        <f>IF(OR(G726="",H726=""),"",TRIM(IF(HOUR(H726-G726)&gt;0,HOUR(H726-G726)&amp;" hr ","")&amp;IF(MINUTE(H726-G726)&gt;0,MINUTE(H726-G726)&amp;" min","")))</f>
        <v/>
      </c>
      <c r="J726" s="66" t="n"/>
      <c r="K726" s="70" t="n"/>
      <c r="L726" s="36">
        <f>IF(R726="","",IF(INDEX('Recurring Schedule'!$J$6:$J$45,R726)="","",INDEX('Recurring Schedule'!$J$6:$J$45,R726)))</f>
        <v/>
      </c>
      <c r="M726" s="36">
        <f>IF(R726="","",IF(INDEX('Recurring Schedule'!$K$6:$K$45,R726)="","",INDEX('Recurring Schedule'!$K$6:$K$45,R726)))</f>
        <v/>
      </c>
      <c r="N726" s="36">
        <f>IF(R726="","",IF(INDEX('Recurring Schedule'!$L$6:$L$45,R726)="","",INDEX('Recurring Schedule'!$L$6:$L$45,R726)))</f>
        <v/>
      </c>
      <c r="O726" s="36">
        <f>IF(C726="","",IF(AND(OR(L726="1-Urgent",L726="2-High"),M726="✓"),"DO FIRST",IF(M726="✓","SCHEDULE",IF(OR(L726="1-Urgent",L726="2-High"),"DELEGATE","DELETE"))))</f>
        <v/>
      </c>
      <c r="P726" s="65" t="n"/>
      <c r="Q726">
        <f>IF(721&gt;Calc!$AQ$368,"",MATCH(720,Calc!$AQ$2:$AQ$367,1))</f>
        <v/>
      </c>
      <c r="R726">
        <f>IF(Q726="","",SMALL(INDEX(Calc!$B$2:$AO$367,Q726,0),721-INDEX(Calc!$AQ$2:$AQ$367,Q726)))</f>
        <v/>
      </c>
    </row>
    <row r="727">
      <c r="B727" s="71">
        <f>IF(R727="","",722)</f>
        <v/>
      </c>
      <c r="C727" s="75">
        <f>IF(R727="","",IF(INDEX('Recurring Schedule'!$C$6:$C$45,R727)="","",INDEX('Recurring Schedule'!$C$6:$C$45,R727)))</f>
        <v/>
      </c>
      <c r="D727" s="73">
        <f>IF(R727="","",IF(INDEX('Recurring Schedule'!$D$6:$D$45,R727)="","",INDEX('Recurring Schedule'!$D$6:$D$45,R727)))</f>
        <v/>
      </c>
      <c r="E727" s="76">
        <f>IF(Q727="","",INDEX(Calc!$A$2:$A$367,Q727))</f>
        <v/>
      </c>
      <c r="F727" s="72">
        <f>IF(OR(C727="",E727=""),"",E727-Setup!$D$7)</f>
        <v/>
      </c>
      <c r="G727" s="77">
        <f>IF(R727="","",IF(INDEX('Recurring Schedule'!$H$6:$H$45,R727)="","",INDEX('Recurring Schedule'!$H$6:$H$45,R727)))</f>
        <v/>
      </c>
      <c r="H727" s="77">
        <f>IF(R727="","",IF(INDEX('Recurring Schedule'!$I$6:$I$45,R727)="","",INDEX('Recurring Schedule'!$I$6:$I$45,R727)))</f>
        <v/>
      </c>
      <c r="I727" s="73">
        <f>IF(OR(G727="",H727=""),"",TRIM(IF(HOUR(H727-G727)&gt;0,HOUR(H727-G727)&amp;" hr ","")&amp;IF(MINUTE(H727-G727)&gt;0,MINUTE(H727-G727)&amp;" min","")))</f>
        <v/>
      </c>
      <c r="J727" s="66" t="n"/>
      <c r="K727" s="70" t="n"/>
      <c r="L727" s="73">
        <f>IF(R727="","",IF(INDEX('Recurring Schedule'!$J$6:$J$45,R727)="","",INDEX('Recurring Schedule'!$J$6:$J$45,R727)))</f>
        <v/>
      </c>
      <c r="M727" s="73">
        <f>IF(R727="","",IF(INDEX('Recurring Schedule'!$K$6:$K$45,R727)="","",INDEX('Recurring Schedule'!$K$6:$K$45,R727)))</f>
        <v/>
      </c>
      <c r="N727" s="73">
        <f>IF(R727="","",IF(INDEX('Recurring Schedule'!$L$6:$L$45,R727)="","",INDEX('Recurring Schedule'!$L$6:$L$45,R727)))</f>
        <v/>
      </c>
      <c r="O727" s="73">
        <f>IF(C727="","",IF(AND(OR(L727="1-Urgent",L727="2-High"),M727="✓"),"DO FIRST",IF(M727="✓","SCHEDULE",IF(OR(L727="1-Urgent",L727="2-High"),"DELEGATE","DELETE"))))</f>
        <v/>
      </c>
      <c r="P727" s="65" t="n"/>
      <c r="Q727">
        <f>IF(722&gt;Calc!$AQ$368,"",MATCH(721,Calc!$AQ$2:$AQ$367,1))</f>
        <v/>
      </c>
      <c r="R727">
        <f>IF(Q727="","",SMALL(INDEX(Calc!$B$2:$AO$367,Q727,0),722-INDEX(Calc!$AQ$2:$AQ$367,Q727)))</f>
        <v/>
      </c>
    </row>
    <row r="728">
      <c r="B728" s="64">
        <f>IF(R728="","",723)</f>
        <v/>
      </c>
      <c r="C728" s="37">
        <f>IF(R728="","",IF(INDEX('Recurring Schedule'!$C$6:$C$45,R728)="","",INDEX('Recurring Schedule'!$C$6:$C$45,R728)))</f>
        <v/>
      </c>
      <c r="D728" s="36">
        <f>IF(R728="","",IF(INDEX('Recurring Schedule'!$D$6:$D$45,R728)="","",INDEX('Recurring Schedule'!$D$6:$D$45,R728)))</f>
        <v/>
      </c>
      <c r="E728" s="38">
        <f>IF(Q728="","",INDEX(Calc!$A$2:$A$367,Q728))</f>
        <v/>
      </c>
      <c r="F728" s="68">
        <f>IF(OR(C728="",E728=""),"",E728-Setup!$D$7)</f>
        <v/>
      </c>
      <c r="G728" s="74">
        <f>IF(R728="","",IF(INDEX('Recurring Schedule'!$H$6:$H$45,R728)="","",INDEX('Recurring Schedule'!$H$6:$H$45,R728)))</f>
        <v/>
      </c>
      <c r="H728" s="74">
        <f>IF(R728="","",IF(INDEX('Recurring Schedule'!$I$6:$I$45,R728)="","",INDEX('Recurring Schedule'!$I$6:$I$45,R728)))</f>
        <v/>
      </c>
      <c r="I728" s="36">
        <f>IF(OR(G728="",H728=""),"",TRIM(IF(HOUR(H728-G728)&gt;0,HOUR(H728-G728)&amp;" hr ","")&amp;IF(MINUTE(H728-G728)&gt;0,MINUTE(H728-G728)&amp;" min","")))</f>
        <v/>
      </c>
      <c r="J728" s="66" t="n"/>
      <c r="K728" s="70" t="n"/>
      <c r="L728" s="36">
        <f>IF(R728="","",IF(INDEX('Recurring Schedule'!$J$6:$J$45,R728)="","",INDEX('Recurring Schedule'!$J$6:$J$45,R728)))</f>
        <v/>
      </c>
      <c r="M728" s="36">
        <f>IF(R728="","",IF(INDEX('Recurring Schedule'!$K$6:$K$45,R728)="","",INDEX('Recurring Schedule'!$K$6:$K$45,R728)))</f>
        <v/>
      </c>
      <c r="N728" s="36">
        <f>IF(R728="","",IF(INDEX('Recurring Schedule'!$L$6:$L$45,R728)="","",INDEX('Recurring Schedule'!$L$6:$L$45,R728)))</f>
        <v/>
      </c>
      <c r="O728" s="36">
        <f>IF(C728="","",IF(AND(OR(L728="1-Urgent",L728="2-High"),M728="✓"),"DO FIRST",IF(M728="✓","SCHEDULE",IF(OR(L728="1-Urgent",L728="2-High"),"DELEGATE","DELETE"))))</f>
        <v/>
      </c>
      <c r="P728" s="65" t="n"/>
      <c r="Q728">
        <f>IF(723&gt;Calc!$AQ$368,"",MATCH(722,Calc!$AQ$2:$AQ$367,1))</f>
        <v/>
      </c>
      <c r="R728">
        <f>IF(Q728="","",SMALL(INDEX(Calc!$B$2:$AO$367,Q728,0),723-INDEX(Calc!$AQ$2:$AQ$367,Q728)))</f>
        <v/>
      </c>
    </row>
    <row r="729">
      <c r="B729" s="71">
        <f>IF(R729="","",724)</f>
        <v/>
      </c>
      <c r="C729" s="75">
        <f>IF(R729="","",IF(INDEX('Recurring Schedule'!$C$6:$C$45,R729)="","",INDEX('Recurring Schedule'!$C$6:$C$45,R729)))</f>
        <v/>
      </c>
      <c r="D729" s="73">
        <f>IF(R729="","",IF(INDEX('Recurring Schedule'!$D$6:$D$45,R729)="","",INDEX('Recurring Schedule'!$D$6:$D$45,R729)))</f>
        <v/>
      </c>
      <c r="E729" s="76">
        <f>IF(Q729="","",INDEX(Calc!$A$2:$A$367,Q729))</f>
        <v/>
      </c>
      <c r="F729" s="72">
        <f>IF(OR(C729="",E729=""),"",E729-Setup!$D$7)</f>
        <v/>
      </c>
      <c r="G729" s="77">
        <f>IF(R729="","",IF(INDEX('Recurring Schedule'!$H$6:$H$45,R729)="","",INDEX('Recurring Schedule'!$H$6:$H$45,R729)))</f>
        <v/>
      </c>
      <c r="H729" s="77">
        <f>IF(R729="","",IF(INDEX('Recurring Schedule'!$I$6:$I$45,R729)="","",INDEX('Recurring Schedule'!$I$6:$I$45,R729)))</f>
        <v/>
      </c>
      <c r="I729" s="73">
        <f>IF(OR(G729="",H729=""),"",TRIM(IF(HOUR(H729-G729)&gt;0,HOUR(H729-G729)&amp;" hr ","")&amp;IF(MINUTE(H729-G729)&gt;0,MINUTE(H729-G729)&amp;" min","")))</f>
        <v/>
      </c>
      <c r="J729" s="66" t="n"/>
      <c r="K729" s="70" t="n"/>
      <c r="L729" s="73">
        <f>IF(R729="","",IF(INDEX('Recurring Schedule'!$J$6:$J$45,R729)="","",INDEX('Recurring Schedule'!$J$6:$J$45,R729)))</f>
        <v/>
      </c>
      <c r="M729" s="73">
        <f>IF(R729="","",IF(INDEX('Recurring Schedule'!$K$6:$K$45,R729)="","",INDEX('Recurring Schedule'!$K$6:$K$45,R729)))</f>
        <v/>
      </c>
      <c r="N729" s="73">
        <f>IF(R729="","",IF(INDEX('Recurring Schedule'!$L$6:$L$45,R729)="","",INDEX('Recurring Schedule'!$L$6:$L$45,R729)))</f>
        <v/>
      </c>
      <c r="O729" s="73">
        <f>IF(C729="","",IF(AND(OR(L729="1-Urgent",L729="2-High"),M729="✓"),"DO FIRST",IF(M729="✓","SCHEDULE",IF(OR(L729="1-Urgent",L729="2-High"),"DELEGATE","DELETE"))))</f>
        <v/>
      </c>
      <c r="P729" s="65" t="n"/>
      <c r="Q729">
        <f>IF(724&gt;Calc!$AQ$368,"",MATCH(723,Calc!$AQ$2:$AQ$367,1))</f>
        <v/>
      </c>
      <c r="R729">
        <f>IF(Q729="","",SMALL(INDEX(Calc!$B$2:$AO$367,Q729,0),724-INDEX(Calc!$AQ$2:$AQ$367,Q729)))</f>
        <v/>
      </c>
    </row>
    <row r="730">
      <c r="B730" s="64">
        <f>IF(R730="","",725)</f>
        <v/>
      </c>
      <c r="C730" s="37">
        <f>IF(R730="","",IF(INDEX('Recurring Schedule'!$C$6:$C$45,R730)="","",INDEX('Recurring Schedule'!$C$6:$C$45,R730)))</f>
        <v/>
      </c>
      <c r="D730" s="36">
        <f>IF(R730="","",IF(INDEX('Recurring Schedule'!$D$6:$D$45,R730)="","",INDEX('Recurring Schedule'!$D$6:$D$45,R730)))</f>
        <v/>
      </c>
      <c r="E730" s="38">
        <f>IF(Q730="","",INDEX(Calc!$A$2:$A$367,Q730))</f>
        <v/>
      </c>
      <c r="F730" s="68">
        <f>IF(OR(C730="",E730=""),"",E730-Setup!$D$7)</f>
        <v/>
      </c>
      <c r="G730" s="74">
        <f>IF(R730="","",IF(INDEX('Recurring Schedule'!$H$6:$H$45,R730)="","",INDEX('Recurring Schedule'!$H$6:$H$45,R730)))</f>
        <v/>
      </c>
      <c r="H730" s="74">
        <f>IF(R730="","",IF(INDEX('Recurring Schedule'!$I$6:$I$45,R730)="","",INDEX('Recurring Schedule'!$I$6:$I$45,R730)))</f>
        <v/>
      </c>
      <c r="I730" s="36">
        <f>IF(OR(G730="",H730=""),"",TRIM(IF(HOUR(H730-G730)&gt;0,HOUR(H730-G730)&amp;" hr ","")&amp;IF(MINUTE(H730-G730)&gt;0,MINUTE(H730-G730)&amp;" min","")))</f>
        <v/>
      </c>
      <c r="J730" s="66" t="n"/>
      <c r="K730" s="70" t="n"/>
      <c r="L730" s="36">
        <f>IF(R730="","",IF(INDEX('Recurring Schedule'!$J$6:$J$45,R730)="","",INDEX('Recurring Schedule'!$J$6:$J$45,R730)))</f>
        <v/>
      </c>
      <c r="M730" s="36">
        <f>IF(R730="","",IF(INDEX('Recurring Schedule'!$K$6:$K$45,R730)="","",INDEX('Recurring Schedule'!$K$6:$K$45,R730)))</f>
        <v/>
      </c>
      <c r="N730" s="36">
        <f>IF(R730="","",IF(INDEX('Recurring Schedule'!$L$6:$L$45,R730)="","",INDEX('Recurring Schedule'!$L$6:$L$45,R730)))</f>
        <v/>
      </c>
      <c r="O730" s="36">
        <f>IF(C730="","",IF(AND(OR(L730="1-Urgent",L730="2-High"),M730="✓"),"DO FIRST",IF(M730="✓","SCHEDULE",IF(OR(L730="1-Urgent",L730="2-High"),"DELEGATE","DELETE"))))</f>
        <v/>
      </c>
      <c r="P730" s="65" t="n"/>
      <c r="Q730">
        <f>IF(725&gt;Calc!$AQ$368,"",MATCH(724,Calc!$AQ$2:$AQ$367,1))</f>
        <v/>
      </c>
      <c r="R730">
        <f>IF(Q730="","",SMALL(INDEX(Calc!$B$2:$AO$367,Q730,0),725-INDEX(Calc!$AQ$2:$AQ$367,Q730)))</f>
        <v/>
      </c>
    </row>
    <row r="731">
      <c r="B731" s="71">
        <f>IF(R731="","",726)</f>
        <v/>
      </c>
      <c r="C731" s="75">
        <f>IF(R731="","",IF(INDEX('Recurring Schedule'!$C$6:$C$45,R731)="","",INDEX('Recurring Schedule'!$C$6:$C$45,R731)))</f>
        <v/>
      </c>
      <c r="D731" s="73">
        <f>IF(R731="","",IF(INDEX('Recurring Schedule'!$D$6:$D$45,R731)="","",INDEX('Recurring Schedule'!$D$6:$D$45,R731)))</f>
        <v/>
      </c>
      <c r="E731" s="76">
        <f>IF(Q731="","",INDEX(Calc!$A$2:$A$367,Q731))</f>
        <v/>
      </c>
      <c r="F731" s="72">
        <f>IF(OR(C731="",E731=""),"",E731-Setup!$D$7)</f>
        <v/>
      </c>
      <c r="G731" s="77">
        <f>IF(R731="","",IF(INDEX('Recurring Schedule'!$H$6:$H$45,R731)="","",INDEX('Recurring Schedule'!$H$6:$H$45,R731)))</f>
        <v/>
      </c>
      <c r="H731" s="77">
        <f>IF(R731="","",IF(INDEX('Recurring Schedule'!$I$6:$I$45,R731)="","",INDEX('Recurring Schedule'!$I$6:$I$45,R731)))</f>
        <v/>
      </c>
      <c r="I731" s="73">
        <f>IF(OR(G731="",H731=""),"",TRIM(IF(HOUR(H731-G731)&gt;0,HOUR(H731-G731)&amp;" hr ","")&amp;IF(MINUTE(H731-G731)&gt;0,MINUTE(H731-G731)&amp;" min","")))</f>
        <v/>
      </c>
      <c r="J731" s="66" t="n"/>
      <c r="K731" s="70" t="n"/>
      <c r="L731" s="73">
        <f>IF(R731="","",IF(INDEX('Recurring Schedule'!$J$6:$J$45,R731)="","",INDEX('Recurring Schedule'!$J$6:$J$45,R731)))</f>
        <v/>
      </c>
      <c r="M731" s="73">
        <f>IF(R731="","",IF(INDEX('Recurring Schedule'!$K$6:$K$45,R731)="","",INDEX('Recurring Schedule'!$K$6:$K$45,R731)))</f>
        <v/>
      </c>
      <c r="N731" s="73">
        <f>IF(R731="","",IF(INDEX('Recurring Schedule'!$L$6:$L$45,R731)="","",INDEX('Recurring Schedule'!$L$6:$L$45,R731)))</f>
        <v/>
      </c>
      <c r="O731" s="73">
        <f>IF(C731="","",IF(AND(OR(L731="1-Urgent",L731="2-High"),M731="✓"),"DO FIRST",IF(M731="✓","SCHEDULE",IF(OR(L731="1-Urgent",L731="2-High"),"DELEGATE","DELETE"))))</f>
        <v/>
      </c>
      <c r="P731" s="65" t="n"/>
      <c r="Q731">
        <f>IF(726&gt;Calc!$AQ$368,"",MATCH(725,Calc!$AQ$2:$AQ$367,1))</f>
        <v/>
      </c>
      <c r="R731">
        <f>IF(Q731="","",SMALL(INDEX(Calc!$B$2:$AO$367,Q731,0),726-INDEX(Calc!$AQ$2:$AQ$367,Q731)))</f>
        <v/>
      </c>
    </row>
    <row r="732">
      <c r="B732" s="64">
        <f>IF(R732="","",727)</f>
        <v/>
      </c>
      <c r="C732" s="37">
        <f>IF(R732="","",IF(INDEX('Recurring Schedule'!$C$6:$C$45,R732)="","",INDEX('Recurring Schedule'!$C$6:$C$45,R732)))</f>
        <v/>
      </c>
      <c r="D732" s="36">
        <f>IF(R732="","",IF(INDEX('Recurring Schedule'!$D$6:$D$45,R732)="","",INDEX('Recurring Schedule'!$D$6:$D$45,R732)))</f>
        <v/>
      </c>
      <c r="E732" s="38">
        <f>IF(Q732="","",INDEX(Calc!$A$2:$A$367,Q732))</f>
        <v/>
      </c>
      <c r="F732" s="68">
        <f>IF(OR(C732="",E732=""),"",E732-Setup!$D$7)</f>
        <v/>
      </c>
      <c r="G732" s="74">
        <f>IF(R732="","",IF(INDEX('Recurring Schedule'!$H$6:$H$45,R732)="","",INDEX('Recurring Schedule'!$H$6:$H$45,R732)))</f>
        <v/>
      </c>
      <c r="H732" s="74">
        <f>IF(R732="","",IF(INDEX('Recurring Schedule'!$I$6:$I$45,R732)="","",INDEX('Recurring Schedule'!$I$6:$I$45,R732)))</f>
        <v/>
      </c>
      <c r="I732" s="36">
        <f>IF(OR(G732="",H732=""),"",TRIM(IF(HOUR(H732-G732)&gt;0,HOUR(H732-G732)&amp;" hr ","")&amp;IF(MINUTE(H732-G732)&gt;0,MINUTE(H732-G732)&amp;" min","")))</f>
        <v/>
      </c>
      <c r="J732" s="66" t="n"/>
      <c r="K732" s="70" t="n"/>
      <c r="L732" s="36">
        <f>IF(R732="","",IF(INDEX('Recurring Schedule'!$J$6:$J$45,R732)="","",INDEX('Recurring Schedule'!$J$6:$J$45,R732)))</f>
        <v/>
      </c>
      <c r="M732" s="36">
        <f>IF(R732="","",IF(INDEX('Recurring Schedule'!$K$6:$K$45,R732)="","",INDEX('Recurring Schedule'!$K$6:$K$45,R732)))</f>
        <v/>
      </c>
      <c r="N732" s="36">
        <f>IF(R732="","",IF(INDEX('Recurring Schedule'!$L$6:$L$45,R732)="","",INDEX('Recurring Schedule'!$L$6:$L$45,R732)))</f>
        <v/>
      </c>
      <c r="O732" s="36">
        <f>IF(C732="","",IF(AND(OR(L732="1-Urgent",L732="2-High"),M732="✓"),"DO FIRST",IF(M732="✓","SCHEDULE",IF(OR(L732="1-Urgent",L732="2-High"),"DELEGATE","DELETE"))))</f>
        <v/>
      </c>
      <c r="P732" s="65" t="n"/>
      <c r="Q732">
        <f>IF(727&gt;Calc!$AQ$368,"",MATCH(726,Calc!$AQ$2:$AQ$367,1))</f>
        <v/>
      </c>
      <c r="R732">
        <f>IF(Q732="","",SMALL(INDEX(Calc!$B$2:$AO$367,Q732,0),727-INDEX(Calc!$AQ$2:$AQ$367,Q732)))</f>
        <v/>
      </c>
    </row>
    <row r="733">
      <c r="B733" s="71">
        <f>IF(R733="","",728)</f>
        <v/>
      </c>
      <c r="C733" s="75">
        <f>IF(R733="","",IF(INDEX('Recurring Schedule'!$C$6:$C$45,R733)="","",INDEX('Recurring Schedule'!$C$6:$C$45,R733)))</f>
        <v/>
      </c>
      <c r="D733" s="73">
        <f>IF(R733="","",IF(INDEX('Recurring Schedule'!$D$6:$D$45,R733)="","",INDEX('Recurring Schedule'!$D$6:$D$45,R733)))</f>
        <v/>
      </c>
      <c r="E733" s="76">
        <f>IF(Q733="","",INDEX(Calc!$A$2:$A$367,Q733))</f>
        <v/>
      </c>
      <c r="F733" s="72">
        <f>IF(OR(C733="",E733=""),"",E733-Setup!$D$7)</f>
        <v/>
      </c>
      <c r="G733" s="77">
        <f>IF(R733="","",IF(INDEX('Recurring Schedule'!$H$6:$H$45,R733)="","",INDEX('Recurring Schedule'!$H$6:$H$45,R733)))</f>
        <v/>
      </c>
      <c r="H733" s="77">
        <f>IF(R733="","",IF(INDEX('Recurring Schedule'!$I$6:$I$45,R733)="","",INDEX('Recurring Schedule'!$I$6:$I$45,R733)))</f>
        <v/>
      </c>
      <c r="I733" s="73">
        <f>IF(OR(G733="",H733=""),"",TRIM(IF(HOUR(H733-G733)&gt;0,HOUR(H733-G733)&amp;" hr ","")&amp;IF(MINUTE(H733-G733)&gt;0,MINUTE(H733-G733)&amp;" min","")))</f>
        <v/>
      </c>
      <c r="J733" s="66" t="n"/>
      <c r="K733" s="70" t="n"/>
      <c r="L733" s="73">
        <f>IF(R733="","",IF(INDEX('Recurring Schedule'!$J$6:$J$45,R733)="","",INDEX('Recurring Schedule'!$J$6:$J$45,R733)))</f>
        <v/>
      </c>
      <c r="M733" s="73">
        <f>IF(R733="","",IF(INDEX('Recurring Schedule'!$K$6:$K$45,R733)="","",INDEX('Recurring Schedule'!$K$6:$K$45,R733)))</f>
        <v/>
      </c>
      <c r="N733" s="73">
        <f>IF(R733="","",IF(INDEX('Recurring Schedule'!$L$6:$L$45,R733)="","",INDEX('Recurring Schedule'!$L$6:$L$45,R733)))</f>
        <v/>
      </c>
      <c r="O733" s="73">
        <f>IF(C733="","",IF(AND(OR(L733="1-Urgent",L733="2-High"),M733="✓"),"DO FIRST",IF(M733="✓","SCHEDULE",IF(OR(L733="1-Urgent",L733="2-High"),"DELEGATE","DELETE"))))</f>
        <v/>
      </c>
      <c r="P733" s="65" t="n"/>
      <c r="Q733">
        <f>IF(728&gt;Calc!$AQ$368,"",MATCH(727,Calc!$AQ$2:$AQ$367,1))</f>
        <v/>
      </c>
      <c r="R733">
        <f>IF(Q733="","",SMALL(INDEX(Calc!$B$2:$AO$367,Q733,0),728-INDEX(Calc!$AQ$2:$AQ$367,Q733)))</f>
        <v/>
      </c>
    </row>
    <row r="734">
      <c r="B734" s="64">
        <f>IF(R734="","",729)</f>
        <v/>
      </c>
      <c r="C734" s="37">
        <f>IF(R734="","",IF(INDEX('Recurring Schedule'!$C$6:$C$45,R734)="","",INDEX('Recurring Schedule'!$C$6:$C$45,R734)))</f>
        <v/>
      </c>
      <c r="D734" s="36">
        <f>IF(R734="","",IF(INDEX('Recurring Schedule'!$D$6:$D$45,R734)="","",INDEX('Recurring Schedule'!$D$6:$D$45,R734)))</f>
        <v/>
      </c>
      <c r="E734" s="38">
        <f>IF(Q734="","",INDEX(Calc!$A$2:$A$367,Q734))</f>
        <v/>
      </c>
      <c r="F734" s="68">
        <f>IF(OR(C734="",E734=""),"",E734-Setup!$D$7)</f>
        <v/>
      </c>
      <c r="G734" s="74">
        <f>IF(R734="","",IF(INDEX('Recurring Schedule'!$H$6:$H$45,R734)="","",INDEX('Recurring Schedule'!$H$6:$H$45,R734)))</f>
        <v/>
      </c>
      <c r="H734" s="74">
        <f>IF(R734="","",IF(INDEX('Recurring Schedule'!$I$6:$I$45,R734)="","",INDEX('Recurring Schedule'!$I$6:$I$45,R734)))</f>
        <v/>
      </c>
      <c r="I734" s="36">
        <f>IF(OR(G734="",H734=""),"",TRIM(IF(HOUR(H734-G734)&gt;0,HOUR(H734-G734)&amp;" hr ","")&amp;IF(MINUTE(H734-G734)&gt;0,MINUTE(H734-G734)&amp;" min","")))</f>
        <v/>
      </c>
      <c r="J734" s="66" t="n"/>
      <c r="K734" s="70" t="n"/>
      <c r="L734" s="36">
        <f>IF(R734="","",IF(INDEX('Recurring Schedule'!$J$6:$J$45,R734)="","",INDEX('Recurring Schedule'!$J$6:$J$45,R734)))</f>
        <v/>
      </c>
      <c r="M734" s="36">
        <f>IF(R734="","",IF(INDEX('Recurring Schedule'!$K$6:$K$45,R734)="","",INDEX('Recurring Schedule'!$K$6:$K$45,R734)))</f>
        <v/>
      </c>
      <c r="N734" s="36">
        <f>IF(R734="","",IF(INDEX('Recurring Schedule'!$L$6:$L$45,R734)="","",INDEX('Recurring Schedule'!$L$6:$L$45,R734)))</f>
        <v/>
      </c>
      <c r="O734" s="36">
        <f>IF(C734="","",IF(AND(OR(L734="1-Urgent",L734="2-High"),M734="✓"),"DO FIRST",IF(M734="✓","SCHEDULE",IF(OR(L734="1-Urgent",L734="2-High"),"DELEGATE","DELETE"))))</f>
        <v/>
      </c>
      <c r="P734" s="65" t="n"/>
      <c r="Q734">
        <f>IF(729&gt;Calc!$AQ$368,"",MATCH(728,Calc!$AQ$2:$AQ$367,1))</f>
        <v/>
      </c>
      <c r="R734">
        <f>IF(Q734="","",SMALL(INDEX(Calc!$B$2:$AO$367,Q734,0),729-INDEX(Calc!$AQ$2:$AQ$367,Q734)))</f>
        <v/>
      </c>
    </row>
    <row r="735">
      <c r="B735" s="71">
        <f>IF(R735="","",730)</f>
        <v/>
      </c>
      <c r="C735" s="75">
        <f>IF(R735="","",IF(INDEX('Recurring Schedule'!$C$6:$C$45,R735)="","",INDEX('Recurring Schedule'!$C$6:$C$45,R735)))</f>
        <v/>
      </c>
      <c r="D735" s="73">
        <f>IF(R735="","",IF(INDEX('Recurring Schedule'!$D$6:$D$45,R735)="","",INDEX('Recurring Schedule'!$D$6:$D$45,R735)))</f>
        <v/>
      </c>
      <c r="E735" s="76">
        <f>IF(Q735="","",INDEX(Calc!$A$2:$A$367,Q735))</f>
        <v/>
      </c>
      <c r="F735" s="72">
        <f>IF(OR(C735="",E735=""),"",E735-Setup!$D$7)</f>
        <v/>
      </c>
      <c r="G735" s="77">
        <f>IF(R735="","",IF(INDEX('Recurring Schedule'!$H$6:$H$45,R735)="","",INDEX('Recurring Schedule'!$H$6:$H$45,R735)))</f>
        <v/>
      </c>
      <c r="H735" s="77">
        <f>IF(R735="","",IF(INDEX('Recurring Schedule'!$I$6:$I$45,R735)="","",INDEX('Recurring Schedule'!$I$6:$I$45,R735)))</f>
        <v/>
      </c>
      <c r="I735" s="73">
        <f>IF(OR(G735="",H735=""),"",TRIM(IF(HOUR(H735-G735)&gt;0,HOUR(H735-G735)&amp;" hr ","")&amp;IF(MINUTE(H735-G735)&gt;0,MINUTE(H735-G735)&amp;" min","")))</f>
        <v/>
      </c>
      <c r="J735" s="66" t="n"/>
      <c r="K735" s="70" t="n"/>
      <c r="L735" s="73">
        <f>IF(R735="","",IF(INDEX('Recurring Schedule'!$J$6:$J$45,R735)="","",INDEX('Recurring Schedule'!$J$6:$J$45,R735)))</f>
        <v/>
      </c>
      <c r="M735" s="73">
        <f>IF(R735="","",IF(INDEX('Recurring Schedule'!$K$6:$K$45,R735)="","",INDEX('Recurring Schedule'!$K$6:$K$45,R735)))</f>
        <v/>
      </c>
      <c r="N735" s="73">
        <f>IF(R735="","",IF(INDEX('Recurring Schedule'!$L$6:$L$45,R735)="","",INDEX('Recurring Schedule'!$L$6:$L$45,R735)))</f>
        <v/>
      </c>
      <c r="O735" s="73">
        <f>IF(C735="","",IF(AND(OR(L735="1-Urgent",L735="2-High"),M735="✓"),"DO FIRST",IF(M735="✓","SCHEDULE",IF(OR(L735="1-Urgent",L735="2-High"),"DELEGATE","DELETE"))))</f>
        <v/>
      </c>
      <c r="P735" s="65" t="n"/>
      <c r="Q735">
        <f>IF(730&gt;Calc!$AQ$368,"",MATCH(729,Calc!$AQ$2:$AQ$367,1))</f>
        <v/>
      </c>
      <c r="R735">
        <f>IF(Q735="","",SMALL(INDEX(Calc!$B$2:$AO$367,Q735,0),730-INDEX(Calc!$AQ$2:$AQ$367,Q735)))</f>
        <v/>
      </c>
    </row>
    <row r="736">
      <c r="B736" s="64">
        <f>IF(R736="","",731)</f>
        <v/>
      </c>
      <c r="C736" s="37">
        <f>IF(R736="","",IF(INDEX('Recurring Schedule'!$C$6:$C$45,R736)="","",INDEX('Recurring Schedule'!$C$6:$C$45,R736)))</f>
        <v/>
      </c>
      <c r="D736" s="36">
        <f>IF(R736="","",IF(INDEX('Recurring Schedule'!$D$6:$D$45,R736)="","",INDEX('Recurring Schedule'!$D$6:$D$45,R736)))</f>
        <v/>
      </c>
      <c r="E736" s="38">
        <f>IF(Q736="","",INDEX(Calc!$A$2:$A$367,Q736))</f>
        <v/>
      </c>
      <c r="F736" s="68">
        <f>IF(OR(C736="",E736=""),"",E736-Setup!$D$7)</f>
        <v/>
      </c>
      <c r="G736" s="74">
        <f>IF(R736="","",IF(INDEX('Recurring Schedule'!$H$6:$H$45,R736)="","",INDEX('Recurring Schedule'!$H$6:$H$45,R736)))</f>
        <v/>
      </c>
      <c r="H736" s="74">
        <f>IF(R736="","",IF(INDEX('Recurring Schedule'!$I$6:$I$45,R736)="","",INDEX('Recurring Schedule'!$I$6:$I$45,R736)))</f>
        <v/>
      </c>
      <c r="I736" s="36">
        <f>IF(OR(G736="",H736=""),"",TRIM(IF(HOUR(H736-G736)&gt;0,HOUR(H736-G736)&amp;" hr ","")&amp;IF(MINUTE(H736-G736)&gt;0,MINUTE(H736-G736)&amp;" min","")))</f>
        <v/>
      </c>
      <c r="J736" s="66" t="n"/>
      <c r="K736" s="70" t="n"/>
      <c r="L736" s="36">
        <f>IF(R736="","",IF(INDEX('Recurring Schedule'!$J$6:$J$45,R736)="","",INDEX('Recurring Schedule'!$J$6:$J$45,R736)))</f>
        <v/>
      </c>
      <c r="M736" s="36">
        <f>IF(R736="","",IF(INDEX('Recurring Schedule'!$K$6:$K$45,R736)="","",INDEX('Recurring Schedule'!$K$6:$K$45,R736)))</f>
        <v/>
      </c>
      <c r="N736" s="36">
        <f>IF(R736="","",IF(INDEX('Recurring Schedule'!$L$6:$L$45,R736)="","",INDEX('Recurring Schedule'!$L$6:$L$45,R736)))</f>
        <v/>
      </c>
      <c r="O736" s="36">
        <f>IF(C736="","",IF(AND(OR(L736="1-Urgent",L736="2-High"),M736="✓"),"DO FIRST",IF(M736="✓","SCHEDULE",IF(OR(L736="1-Urgent",L736="2-High"),"DELEGATE","DELETE"))))</f>
        <v/>
      </c>
      <c r="P736" s="65" t="n"/>
      <c r="Q736">
        <f>IF(731&gt;Calc!$AQ$368,"",MATCH(730,Calc!$AQ$2:$AQ$367,1))</f>
        <v/>
      </c>
      <c r="R736">
        <f>IF(Q736="","",SMALL(INDEX(Calc!$B$2:$AO$367,Q736,0),731-INDEX(Calc!$AQ$2:$AQ$367,Q736)))</f>
        <v/>
      </c>
    </row>
    <row r="737">
      <c r="B737" s="71">
        <f>IF(R737="","",732)</f>
        <v/>
      </c>
      <c r="C737" s="75">
        <f>IF(R737="","",IF(INDEX('Recurring Schedule'!$C$6:$C$45,R737)="","",INDEX('Recurring Schedule'!$C$6:$C$45,R737)))</f>
        <v/>
      </c>
      <c r="D737" s="73">
        <f>IF(R737="","",IF(INDEX('Recurring Schedule'!$D$6:$D$45,R737)="","",INDEX('Recurring Schedule'!$D$6:$D$45,R737)))</f>
        <v/>
      </c>
      <c r="E737" s="76">
        <f>IF(Q737="","",INDEX(Calc!$A$2:$A$367,Q737))</f>
        <v/>
      </c>
      <c r="F737" s="72">
        <f>IF(OR(C737="",E737=""),"",E737-Setup!$D$7)</f>
        <v/>
      </c>
      <c r="G737" s="77">
        <f>IF(R737="","",IF(INDEX('Recurring Schedule'!$H$6:$H$45,R737)="","",INDEX('Recurring Schedule'!$H$6:$H$45,R737)))</f>
        <v/>
      </c>
      <c r="H737" s="77">
        <f>IF(R737="","",IF(INDEX('Recurring Schedule'!$I$6:$I$45,R737)="","",INDEX('Recurring Schedule'!$I$6:$I$45,R737)))</f>
        <v/>
      </c>
      <c r="I737" s="73">
        <f>IF(OR(G737="",H737=""),"",TRIM(IF(HOUR(H737-G737)&gt;0,HOUR(H737-G737)&amp;" hr ","")&amp;IF(MINUTE(H737-G737)&gt;0,MINUTE(H737-G737)&amp;" min","")))</f>
        <v/>
      </c>
      <c r="J737" s="66" t="n"/>
      <c r="K737" s="70" t="n"/>
      <c r="L737" s="73">
        <f>IF(R737="","",IF(INDEX('Recurring Schedule'!$J$6:$J$45,R737)="","",INDEX('Recurring Schedule'!$J$6:$J$45,R737)))</f>
        <v/>
      </c>
      <c r="M737" s="73">
        <f>IF(R737="","",IF(INDEX('Recurring Schedule'!$K$6:$K$45,R737)="","",INDEX('Recurring Schedule'!$K$6:$K$45,R737)))</f>
        <v/>
      </c>
      <c r="N737" s="73">
        <f>IF(R737="","",IF(INDEX('Recurring Schedule'!$L$6:$L$45,R737)="","",INDEX('Recurring Schedule'!$L$6:$L$45,R737)))</f>
        <v/>
      </c>
      <c r="O737" s="73">
        <f>IF(C737="","",IF(AND(OR(L737="1-Urgent",L737="2-High"),M737="✓"),"DO FIRST",IF(M737="✓","SCHEDULE",IF(OR(L737="1-Urgent",L737="2-High"),"DELEGATE","DELETE"))))</f>
        <v/>
      </c>
      <c r="P737" s="65" t="n"/>
      <c r="Q737">
        <f>IF(732&gt;Calc!$AQ$368,"",MATCH(731,Calc!$AQ$2:$AQ$367,1))</f>
        <v/>
      </c>
      <c r="R737">
        <f>IF(Q737="","",SMALL(INDEX(Calc!$B$2:$AO$367,Q737,0),732-INDEX(Calc!$AQ$2:$AQ$367,Q737)))</f>
        <v/>
      </c>
    </row>
    <row r="738">
      <c r="B738" s="64">
        <f>IF(R738="","",733)</f>
        <v/>
      </c>
      <c r="C738" s="37">
        <f>IF(R738="","",IF(INDEX('Recurring Schedule'!$C$6:$C$45,R738)="","",INDEX('Recurring Schedule'!$C$6:$C$45,R738)))</f>
        <v/>
      </c>
      <c r="D738" s="36">
        <f>IF(R738="","",IF(INDEX('Recurring Schedule'!$D$6:$D$45,R738)="","",INDEX('Recurring Schedule'!$D$6:$D$45,R738)))</f>
        <v/>
      </c>
      <c r="E738" s="38">
        <f>IF(Q738="","",INDEX(Calc!$A$2:$A$367,Q738))</f>
        <v/>
      </c>
      <c r="F738" s="68">
        <f>IF(OR(C738="",E738=""),"",E738-Setup!$D$7)</f>
        <v/>
      </c>
      <c r="G738" s="74">
        <f>IF(R738="","",IF(INDEX('Recurring Schedule'!$H$6:$H$45,R738)="","",INDEX('Recurring Schedule'!$H$6:$H$45,R738)))</f>
        <v/>
      </c>
      <c r="H738" s="74">
        <f>IF(R738="","",IF(INDEX('Recurring Schedule'!$I$6:$I$45,R738)="","",INDEX('Recurring Schedule'!$I$6:$I$45,R738)))</f>
        <v/>
      </c>
      <c r="I738" s="36">
        <f>IF(OR(G738="",H738=""),"",TRIM(IF(HOUR(H738-G738)&gt;0,HOUR(H738-G738)&amp;" hr ","")&amp;IF(MINUTE(H738-G738)&gt;0,MINUTE(H738-G738)&amp;" min","")))</f>
        <v/>
      </c>
      <c r="J738" s="66" t="n"/>
      <c r="K738" s="70" t="n"/>
      <c r="L738" s="36">
        <f>IF(R738="","",IF(INDEX('Recurring Schedule'!$J$6:$J$45,R738)="","",INDEX('Recurring Schedule'!$J$6:$J$45,R738)))</f>
        <v/>
      </c>
      <c r="M738" s="36">
        <f>IF(R738="","",IF(INDEX('Recurring Schedule'!$K$6:$K$45,R738)="","",INDEX('Recurring Schedule'!$K$6:$K$45,R738)))</f>
        <v/>
      </c>
      <c r="N738" s="36">
        <f>IF(R738="","",IF(INDEX('Recurring Schedule'!$L$6:$L$45,R738)="","",INDEX('Recurring Schedule'!$L$6:$L$45,R738)))</f>
        <v/>
      </c>
      <c r="O738" s="36">
        <f>IF(C738="","",IF(AND(OR(L738="1-Urgent",L738="2-High"),M738="✓"),"DO FIRST",IF(M738="✓","SCHEDULE",IF(OR(L738="1-Urgent",L738="2-High"),"DELEGATE","DELETE"))))</f>
        <v/>
      </c>
      <c r="P738" s="65" t="n"/>
      <c r="Q738">
        <f>IF(733&gt;Calc!$AQ$368,"",MATCH(732,Calc!$AQ$2:$AQ$367,1))</f>
        <v/>
      </c>
      <c r="R738">
        <f>IF(Q738="","",SMALL(INDEX(Calc!$B$2:$AO$367,Q738,0),733-INDEX(Calc!$AQ$2:$AQ$367,Q738)))</f>
        <v/>
      </c>
    </row>
    <row r="739">
      <c r="B739" s="71">
        <f>IF(R739="","",734)</f>
        <v/>
      </c>
      <c r="C739" s="75">
        <f>IF(R739="","",IF(INDEX('Recurring Schedule'!$C$6:$C$45,R739)="","",INDEX('Recurring Schedule'!$C$6:$C$45,R739)))</f>
        <v/>
      </c>
      <c r="D739" s="73">
        <f>IF(R739="","",IF(INDEX('Recurring Schedule'!$D$6:$D$45,R739)="","",INDEX('Recurring Schedule'!$D$6:$D$45,R739)))</f>
        <v/>
      </c>
      <c r="E739" s="76">
        <f>IF(Q739="","",INDEX(Calc!$A$2:$A$367,Q739))</f>
        <v/>
      </c>
      <c r="F739" s="72">
        <f>IF(OR(C739="",E739=""),"",E739-Setup!$D$7)</f>
        <v/>
      </c>
      <c r="G739" s="77">
        <f>IF(R739="","",IF(INDEX('Recurring Schedule'!$H$6:$H$45,R739)="","",INDEX('Recurring Schedule'!$H$6:$H$45,R739)))</f>
        <v/>
      </c>
      <c r="H739" s="77">
        <f>IF(R739="","",IF(INDEX('Recurring Schedule'!$I$6:$I$45,R739)="","",INDEX('Recurring Schedule'!$I$6:$I$45,R739)))</f>
        <v/>
      </c>
      <c r="I739" s="73">
        <f>IF(OR(G739="",H739=""),"",TRIM(IF(HOUR(H739-G739)&gt;0,HOUR(H739-G739)&amp;" hr ","")&amp;IF(MINUTE(H739-G739)&gt;0,MINUTE(H739-G739)&amp;" min","")))</f>
        <v/>
      </c>
      <c r="J739" s="66" t="n"/>
      <c r="K739" s="70" t="n"/>
      <c r="L739" s="73">
        <f>IF(R739="","",IF(INDEX('Recurring Schedule'!$J$6:$J$45,R739)="","",INDEX('Recurring Schedule'!$J$6:$J$45,R739)))</f>
        <v/>
      </c>
      <c r="M739" s="73">
        <f>IF(R739="","",IF(INDEX('Recurring Schedule'!$K$6:$K$45,R739)="","",INDEX('Recurring Schedule'!$K$6:$K$45,R739)))</f>
        <v/>
      </c>
      <c r="N739" s="73">
        <f>IF(R739="","",IF(INDEX('Recurring Schedule'!$L$6:$L$45,R739)="","",INDEX('Recurring Schedule'!$L$6:$L$45,R739)))</f>
        <v/>
      </c>
      <c r="O739" s="73">
        <f>IF(C739="","",IF(AND(OR(L739="1-Urgent",L739="2-High"),M739="✓"),"DO FIRST",IF(M739="✓","SCHEDULE",IF(OR(L739="1-Urgent",L739="2-High"),"DELEGATE","DELETE"))))</f>
        <v/>
      </c>
      <c r="P739" s="65" t="n"/>
      <c r="Q739">
        <f>IF(734&gt;Calc!$AQ$368,"",MATCH(733,Calc!$AQ$2:$AQ$367,1))</f>
        <v/>
      </c>
      <c r="R739">
        <f>IF(Q739="","",SMALL(INDEX(Calc!$B$2:$AO$367,Q739,0),734-INDEX(Calc!$AQ$2:$AQ$367,Q739)))</f>
        <v/>
      </c>
    </row>
    <row r="740">
      <c r="B740" s="64">
        <f>IF(R740="","",735)</f>
        <v/>
      </c>
      <c r="C740" s="37">
        <f>IF(R740="","",IF(INDEX('Recurring Schedule'!$C$6:$C$45,R740)="","",INDEX('Recurring Schedule'!$C$6:$C$45,R740)))</f>
        <v/>
      </c>
      <c r="D740" s="36">
        <f>IF(R740="","",IF(INDEX('Recurring Schedule'!$D$6:$D$45,R740)="","",INDEX('Recurring Schedule'!$D$6:$D$45,R740)))</f>
        <v/>
      </c>
      <c r="E740" s="38">
        <f>IF(Q740="","",INDEX(Calc!$A$2:$A$367,Q740))</f>
        <v/>
      </c>
      <c r="F740" s="68">
        <f>IF(OR(C740="",E740=""),"",E740-Setup!$D$7)</f>
        <v/>
      </c>
      <c r="G740" s="74">
        <f>IF(R740="","",IF(INDEX('Recurring Schedule'!$H$6:$H$45,R740)="","",INDEX('Recurring Schedule'!$H$6:$H$45,R740)))</f>
        <v/>
      </c>
      <c r="H740" s="74">
        <f>IF(R740="","",IF(INDEX('Recurring Schedule'!$I$6:$I$45,R740)="","",INDEX('Recurring Schedule'!$I$6:$I$45,R740)))</f>
        <v/>
      </c>
      <c r="I740" s="36">
        <f>IF(OR(G740="",H740=""),"",TRIM(IF(HOUR(H740-G740)&gt;0,HOUR(H740-G740)&amp;" hr ","")&amp;IF(MINUTE(H740-G740)&gt;0,MINUTE(H740-G740)&amp;" min","")))</f>
        <v/>
      </c>
      <c r="J740" s="66" t="n"/>
      <c r="K740" s="70" t="n"/>
      <c r="L740" s="36">
        <f>IF(R740="","",IF(INDEX('Recurring Schedule'!$J$6:$J$45,R740)="","",INDEX('Recurring Schedule'!$J$6:$J$45,R740)))</f>
        <v/>
      </c>
      <c r="M740" s="36">
        <f>IF(R740="","",IF(INDEX('Recurring Schedule'!$K$6:$K$45,R740)="","",INDEX('Recurring Schedule'!$K$6:$K$45,R740)))</f>
        <v/>
      </c>
      <c r="N740" s="36">
        <f>IF(R740="","",IF(INDEX('Recurring Schedule'!$L$6:$L$45,R740)="","",INDEX('Recurring Schedule'!$L$6:$L$45,R740)))</f>
        <v/>
      </c>
      <c r="O740" s="36">
        <f>IF(C740="","",IF(AND(OR(L740="1-Urgent",L740="2-High"),M740="✓"),"DO FIRST",IF(M740="✓","SCHEDULE",IF(OR(L740="1-Urgent",L740="2-High"),"DELEGATE","DELETE"))))</f>
        <v/>
      </c>
      <c r="P740" s="65" t="n"/>
      <c r="Q740">
        <f>IF(735&gt;Calc!$AQ$368,"",MATCH(734,Calc!$AQ$2:$AQ$367,1))</f>
        <v/>
      </c>
      <c r="R740">
        <f>IF(Q740="","",SMALL(INDEX(Calc!$B$2:$AO$367,Q740,0),735-INDEX(Calc!$AQ$2:$AQ$367,Q740)))</f>
        <v/>
      </c>
    </row>
    <row r="741">
      <c r="B741" s="71">
        <f>IF(R741="","",736)</f>
        <v/>
      </c>
      <c r="C741" s="75">
        <f>IF(R741="","",IF(INDEX('Recurring Schedule'!$C$6:$C$45,R741)="","",INDEX('Recurring Schedule'!$C$6:$C$45,R741)))</f>
        <v/>
      </c>
      <c r="D741" s="73">
        <f>IF(R741="","",IF(INDEX('Recurring Schedule'!$D$6:$D$45,R741)="","",INDEX('Recurring Schedule'!$D$6:$D$45,R741)))</f>
        <v/>
      </c>
      <c r="E741" s="76">
        <f>IF(Q741="","",INDEX(Calc!$A$2:$A$367,Q741))</f>
        <v/>
      </c>
      <c r="F741" s="72">
        <f>IF(OR(C741="",E741=""),"",E741-Setup!$D$7)</f>
        <v/>
      </c>
      <c r="G741" s="77">
        <f>IF(R741="","",IF(INDEX('Recurring Schedule'!$H$6:$H$45,R741)="","",INDEX('Recurring Schedule'!$H$6:$H$45,R741)))</f>
        <v/>
      </c>
      <c r="H741" s="77">
        <f>IF(R741="","",IF(INDEX('Recurring Schedule'!$I$6:$I$45,R741)="","",INDEX('Recurring Schedule'!$I$6:$I$45,R741)))</f>
        <v/>
      </c>
      <c r="I741" s="73">
        <f>IF(OR(G741="",H741=""),"",TRIM(IF(HOUR(H741-G741)&gt;0,HOUR(H741-G741)&amp;" hr ","")&amp;IF(MINUTE(H741-G741)&gt;0,MINUTE(H741-G741)&amp;" min","")))</f>
        <v/>
      </c>
      <c r="J741" s="66" t="n"/>
      <c r="K741" s="70" t="n"/>
      <c r="L741" s="73">
        <f>IF(R741="","",IF(INDEX('Recurring Schedule'!$J$6:$J$45,R741)="","",INDEX('Recurring Schedule'!$J$6:$J$45,R741)))</f>
        <v/>
      </c>
      <c r="M741" s="73">
        <f>IF(R741="","",IF(INDEX('Recurring Schedule'!$K$6:$K$45,R741)="","",INDEX('Recurring Schedule'!$K$6:$K$45,R741)))</f>
        <v/>
      </c>
      <c r="N741" s="73">
        <f>IF(R741="","",IF(INDEX('Recurring Schedule'!$L$6:$L$45,R741)="","",INDEX('Recurring Schedule'!$L$6:$L$45,R741)))</f>
        <v/>
      </c>
      <c r="O741" s="73">
        <f>IF(C741="","",IF(AND(OR(L741="1-Urgent",L741="2-High"),M741="✓"),"DO FIRST",IF(M741="✓","SCHEDULE",IF(OR(L741="1-Urgent",L741="2-High"),"DELEGATE","DELETE"))))</f>
        <v/>
      </c>
      <c r="P741" s="65" t="n"/>
      <c r="Q741">
        <f>IF(736&gt;Calc!$AQ$368,"",MATCH(735,Calc!$AQ$2:$AQ$367,1))</f>
        <v/>
      </c>
      <c r="R741">
        <f>IF(Q741="","",SMALL(INDEX(Calc!$B$2:$AO$367,Q741,0),736-INDEX(Calc!$AQ$2:$AQ$367,Q741)))</f>
        <v/>
      </c>
    </row>
    <row r="742">
      <c r="B742" s="64">
        <f>IF(R742="","",737)</f>
        <v/>
      </c>
      <c r="C742" s="37">
        <f>IF(R742="","",IF(INDEX('Recurring Schedule'!$C$6:$C$45,R742)="","",INDEX('Recurring Schedule'!$C$6:$C$45,R742)))</f>
        <v/>
      </c>
      <c r="D742" s="36">
        <f>IF(R742="","",IF(INDEX('Recurring Schedule'!$D$6:$D$45,R742)="","",INDEX('Recurring Schedule'!$D$6:$D$45,R742)))</f>
        <v/>
      </c>
      <c r="E742" s="38">
        <f>IF(Q742="","",INDEX(Calc!$A$2:$A$367,Q742))</f>
        <v/>
      </c>
      <c r="F742" s="68">
        <f>IF(OR(C742="",E742=""),"",E742-Setup!$D$7)</f>
        <v/>
      </c>
      <c r="G742" s="74">
        <f>IF(R742="","",IF(INDEX('Recurring Schedule'!$H$6:$H$45,R742)="","",INDEX('Recurring Schedule'!$H$6:$H$45,R742)))</f>
        <v/>
      </c>
      <c r="H742" s="74">
        <f>IF(R742="","",IF(INDEX('Recurring Schedule'!$I$6:$I$45,R742)="","",INDEX('Recurring Schedule'!$I$6:$I$45,R742)))</f>
        <v/>
      </c>
      <c r="I742" s="36">
        <f>IF(OR(G742="",H742=""),"",TRIM(IF(HOUR(H742-G742)&gt;0,HOUR(H742-G742)&amp;" hr ","")&amp;IF(MINUTE(H742-G742)&gt;0,MINUTE(H742-G742)&amp;" min","")))</f>
        <v/>
      </c>
      <c r="J742" s="66" t="n"/>
      <c r="K742" s="70" t="n"/>
      <c r="L742" s="36">
        <f>IF(R742="","",IF(INDEX('Recurring Schedule'!$J$6:$J$45,R742)="","",INDEX('Recurring Schedule'!$J$6:$J$45,R742)))</f>
        <v/>
      </c>
      <c r="M742" s="36">
        <f>IF(R742="","",IF(INDEX('Recurring Schedule'!$K$6:$K$45,R742)="","",INDEX('Recurring Schedule'!$K$6:$K$45,R742)))</f>
        <v/>
      </c>
      <c r="N742" s="36">
        <f>IF(R742="","",IF(INDEX('Recurring Schedule'!$L$6:$L$45,R742)="","",INDEX('Recurring Schedule'!$L$6:$L$45,R742)))</f>
        <v/>
      </c>
      <c r="O742" s="36">
        <f>IF(C742="","",IF(AND(OR(L742="1-Urgent",L742="2-High"),M742="✓"),"DO FIRST",IF(M742="✓","SCHEDULE",IF(OR(L742="1-Urgent",L742="2-High"),"DELEGATE","DELETE"))))</f>
        <v/>
      </c>
      <c r="P742" s="65" t="n"/>
      <c r="Q742">
        <f>IF(737&gt;Calc!$AQ$368,"",MATCH(736,Calc!$AQ$2:$AQ$367,1))</f>
        <v/>
      </c>
      <c r="R742">
        <f>IF(Q742="","",SMALL(INDEX(Calc!$B$2:$AO$367,Q742,0),737-INDEX(Calc!$AQ$2:$AQ$367,Q742)))</f>
        <v/>
      </c>
    </row>
    <row r="743">
      <c r="B743" s="71">
        <f>IF(R743="","",738)</f>
        <v/>
      </c>
      <c r="C743" s="75">
        <f>IF(R743="","",IF(INDEX('Recurring Schedule'!$C$6:$C$45,R743)="","",INDEX('Recurring Schedule'!$C$6:$C$45,R743)))</f>
        <v/>
      </c>
      <c r="D743" s="73">
        <f>IF(R743="","",IF(INDEX('Recurring Schedule'!$D$6:$D$45,R743)="","",INDEX('Recurring Schedule'!$D$6:$D$45,R743)))</f>
        <v/>
      </c>
      <c r="E743" s="76">
        <f>IF(Q743="","",INDEX(Calc!$A$2:$A$367,Q743))</f>
        <v/>
      </c>
      <c r="F743" s="72">
        <f>IF(OR(C743="",E743=""),"",E743-Setup!$D$7)</f>
        <v/>
      </c>
      <c r="G743" s="77">
        <f>IF(R743="","",IF(INDEX('Recurring Schedule'!$H$6:$H$45,R743)="","",INDEX('Recurring Schedule'!$H$6:$H$45,R743)))</f>
        <v/>
      </c>
      <c r="H743" s="77">
        <f>IF(R743="","",IF(INDEX('Recurring Schedule'!$I$6:$I$45,R743)="","",INDEX('Recurring Schedule'!$I$6:$I$45,R743)))</f>
        <v/>
      </c>
      <c r="I743" s="73">
        <f>IF(OR(G743="",H743=""),"",TRIM(IF(HOUR(H743-G743)&gt;0,HOUR(H743-G743)&amp;" hr ","")&amp;IF(MINUTE(H743-G743)&gt;0,MINUTE(H743-G743)&amp;" min","")))</f>
        <v/>
      </c>
      <c r="J743" s="66" t="n"/>
      <c r="K743" s="70" t="n"/>
      <c r="L743" s="73">
        <f>IF(R743="","",IF(INDEX('Recurring Schedule'!$J$6:$J$45,R743)="","",INDEX('Recurring Schedule'!$J$6:$J$45,R743)))</f>
        <v/>
      </c>
      <c r="M743" s="73">
        <f>IF(R743="","",IF(INDEX('Recurring Schedule'!$K$6:$K$45,R743)="","",INDEX('Recurring Schedule'!$K$6:$K$45,R743)))</f>
        <v/>
      </c>
      <c r="N743" s="73">
        <f>IF(R743="","",IF(INDEX('Recurring Schedule'!$L$6:$L$45,R743)="","",INDEX('Recurring Schedule'!$L$6:$L$45,R743)))</f>
        <v/>
      </c>
      <c r="O743" s="73">
        <f>IF(C743="","",IF(AND(OR(L743="1-Urgent",L743="2-High"),M743="✓"),"DO FIRST",IF(M743="✓","SCHEDULE",IF(OR(L743="1-Urgent",L743="2-High"),"DELEGATE","DELETE"))))</f>
        <v/>
      </c>
      <c r="P743" s="65" t="n"/>
      <c r="Q743">
        <f>IF(738&gt;Calc!$AQ$368,"",MATCH(737,Calc!$AQ$2:$AQ$367,1))</f>
        <v/>
      </c>
      <c r="R743">
        <f>IF(Q743="","",SMALL(INDEX(Calc!$B$2:$AO$367,Q743,0),738-INDEX(Calc!$AQ$2:$AQ$367,Q743)))</f>
        <v/>
      </c>
    </row>
    <row r="744">
      <c r="B744" s="64">
        <f>IF(R744="","",739)</f>
        <v/>
      </c>
      <c r="C744" s="37">
        <f>IF(R744="","",IF(INDEX('Recurring Schedule'!$C$6:$C$45,R744)="","",INDEX('Recurring Schedule'!$C$6:$C$45,R744)))</f>
        <v/>
      </c>
      <c r="D744" s="36">
        <f>IF(R744="","",IF(INDEX('Recurring Schedule'!$D$6:$D$45,R744)="","",INDEX('Recurring Schedule'!$D$6:$D$45,R744)))</f>
        <v/>
      </c>
      <c r="E744" s="38">
        <f>IF(Q744="","",INDEX(Calc!$A$2:$A$367,Q744))</f>
        <v/>
      </c>
      <c r="F744" s="68">
        <f>IF(OR(C744="",E744=""),"",E744-Setup!$D$7)</f>
        <v/>
      </c>
      <c r="G744" s="74">
        <f>IF(R744="","",IF(INDEX('Recurring Schedule'!$H$6:$H$45,R744)="","",INDEX('Recurring Schedule'!$H$6:$H$45,R744)))</f>
        <v/>
      </c>
      <c r="H744" s="74">
        <f>IF(R744="","",IF(INDEX('Recurring Schedule'!$I$6:$I$45,R744)="","",INDEX('Recurring Schedule'!$I$6:$I$45,R744)))</f>
        <v/>
      </c>
      <c r="I744" s="36">
        <f>IF(OR(G744="",H744=""),"",TRIM(IF(HOUR(H744-G744)&gt;0,HOUR(H744-G744)&amp;" hr ","")&amp;IF(MINUTE(H744-G744)&gt;0,MINUTE(H744-G744)&amp;" min","")))</f>
        <v/>
      </c>
      <c r="J744" s="66" t="n"/>
      <c r="K744" s="70" t="n"/>
      <c r="L744" s="36">
        <f>IF(R744="","",IF(INDEX('Recurring Schedule'!$J$6:$J$45,R744)="","",INDEX('Recurring Schedule'!$J$6:$J$45,R744)))</f>
        <v/>
      </c>
      <c r="M744" s="36">
        <f>IF(R744="","",IF(INDEX('Recurring Schedule'!$K$6:$K$45,R744)="","",INDEX('Recurring Schedule'!$K$6:$K$45,R744)))</f>
        <v/>
      </c>
      <c r="N744" s="36">
        <f>IF(R744="","",IF(INDEX('Recurring Schedule'!$L$6:$L$45,R744)="","",INDEX('Recurring Schedule'!$L$6:$L$45,R744)))</f>
        <v/>
      </c>
      <c r="O744" s="36">
        <f>IF(C744="","",IF(AND(OR(L744="1-Urgent",L744="2-High"),M744="✓"),"DO FIRST",IF(M744="✓","SCHEDULE",IF(OR(L744="1-Urgent",L744="2-High"),"DELEGATE","DELETE"))))</f>
        <v/>
      </c>
      <c r="P744" s="65" t="n"/>
      <c r="Q744">
        <f>IF(739&gt;Calc!$AQ$368,"",MATCH(738,Calc!$AQ$2:$AQ$367,1))</f>
        <v/>
      </c>
      <c r="R744">
        <f>IF(Q744="","",SMALL(INDEX(Calc!$B$2:$AO$367,Q744,0),739-INDEX(Calc!$AQ$2:$AQ$367,Q744)))</f>
        <v/>
      </c>
    </row>
    <row r="745">
      <c r="B745" s="71">
        <f>IF(R745="","",740)</f>
        <v/>
      </c>
      <c r="C745" s="75">
        <f>IF(R745="","",IF(INDEX('Recurring Schedule'!$C$6:$C$45,R745)="","",INDEX('Recurring Schedule'!$C$6:$C$45,R745)))</f>
        <v/>
      </c>
      <c r="D745" s="73">
        <f>IF(R745="","",IF(INDEX('Recurring Schedule'!$D$6:$D$45,R745)="","",INDEX('Recurring Schedule'!$D$6:$D$45,R745)))</f>
        <v/>
      </c>
      <c r="E745" s="76">
        <f>IF(Q745="","",INDEX(Calc!$A$2:$A$367,Q745))</f>
        <v/>
      </c>
      <c r="F745" s="72">
        <f>IF(OR(C745="",E745=""),"",E745-Setup!$D$7)</f>
        <v/>
      </c>
      <c r="G745" s="77">
        <f>IF(R745="","",IF(INDEX('Recurring Schedule'!$H$6:$H$45,R745)="","",INDEX('Recurring Schedule'!$H$6:$H$45,R745)))</f>
        <v/>
      </c>
      <c r="H745" s="77">
        <f>IF(R745="","",IF(INDEX('Recurring Schedule'!$I$6:$I$45,R745)="","",INDEX('Recurring Schedule'!$I$6:$I$45,R745)))</f>
        <v/>
      </c>
      <c r="I745" s="73">
        <f>IF(OR(G745="",H745=""),"",TRIM(IF(HOUR(H745-G745)&gt;0,HOUR(H745-G745)&amp;" hr ","")&amp;IF(MINUTE(H745-G745)&gt;0,MINUTE(H745-G745)&amp;" min","")))</f>
        <v/>
      </c>
      <c r="J745" s="66" t="n"/>
      <c r="K745" s="70" t="n"/>
      <c r="L745" s="73">
        <f>IF(R745="","",IF(INDEX('Recurring Schedule'!$J$6:$J$45,R745)="","",INDEX('Recurring Schedule'!$J$6:$J$45,R745)))</f>
        <v/>
      </c>
      <c r="M745" s="73">
        <f>IF(R745="","",IF(INDEX('Recurring Schedule'!$K$6:$K$45,R745)="","",INDEX('Recurring Schedule'!$K$6:$K$45,R745)))</f>
        <v/>
      </c>
      <c r="N745" s="73">
        <f>IF(R745="","",IF(INDEX('Recurring Schedule'!$L$6:$L$45,R745)="","",INDEX('Recurring Schedule'!$L$6:$L$45,R745)))</f>
        <v/>
      </c>
      <c r="O745" s="73">
        <f>IF(C745="","",IF(AND(OR(L745="1-Urgent",L745="2-High"),M745="✓"),"DO FIRST",IF(M745="✓","SCHEDULE",IF(OR(L745="1-Urgent",L745="2-High"),"DELEGATE","DELETE"))))</f>
        <v/>
      </c>
      <c r="P745" s="65" t="n"/>
      <c r="Q745">
        <f>IF(740&gt;Calc!$AQ$368,"",MATCH(739,Calc!$AQ$2:$AQ$367,1))</f>
        <v/>
      </c>
      <c r="R745">
        <f>IF(Q745="","",SMALL(INDEX(Calc!$B$2:$AO$367,Q745,0),740-INDEX(Calc!$AQ$2:$AQ$367,Q745)))</f>
        <v/>
      </c>
    </row>
    <row r="746">
      <c r="B746" s="64">
        <f>IF(R746="","",741)</f>
        <v/>
      </c>
      <c r="C746" s="37">
        <f>IF(R746="","",IF(INDEX('Recurring Schedule'!$C$6:$C$45,R746)="","",INDEX('Recurring Schedule'!$C$6:$C$45,R746)))</f>
        <v/>
      </c>
      <c r="D746" s="36">
        <f>IF(R746="","",IF(INDEX('Recurring Schedule'!$D$6:$D$45,R746)="","",INDEX('Recurring Schedule'!$D$6:$D$45,R746)))</f>
        <v/>
      </c>
      <c r="E746" s="38">
        <f>IF(Q746="","",INDEX(Calc!$A$2:$A$367,Q746))</f>
        <v/>
      </c>
      <c r="F746" s="68">
        <f>IF(OR(C746="",E746=""),"",E746-Setup!$D$7)</f>
        <v/>
      </c>
      <c r="G746" s="74">
        <f>IF(R746="","",IF(INDEX('Recurring Schedule'!$H$6:$H$45,R746)="","",INDEX('Recurring Schedule'!$H$6:$H$45,R746)))</f>
        <v/>
      </c>
      <c r="H746" s="74">
        <f>IF(R746="","",IF(INDEX('Recurring Schedule'!$I$6:$I$45,R746)="","",INDEX('Recurring Schedule'!$I$6:$I$45,R746)))</f>
        <v/>
      </c>
      <c r="I746" s="36">
        <f>IF(OR(G746="",H746=""),"",TRIM(IF(HOUR(H746-G746)&gt;0,HOUR(H746-G746)&amp;" hr ","")&amp;IF(MINUTE(H746-G746)&gt;0,MINUTE(H746-G746)&amp;" min","")))</f>
        <v/>
      </c>
      <c r="J746" s="66" t="n"/>
      <c r="K746" s="70" t="n"/>
      <c r="L746" s="36">
        <f>IF(R746="","",IF(INDEX('Recurring Schedule'!$J$6:$J$45,R746)="","",INDEX('Recurring Schedule'!$J$6:$J$45,R746)))</f>
        <v/>
      </c>
      <c r="M746" s="36">
        <f>IF(R746="","",IF(INDEX('Recurring Schedule'!$K$6:$K$45,R746)="","",INDEX('Recurring Schedule'!$K$6:$K$45,R746)))</f>
        <v/>
      </c>
      <c r="N746" s="36">
        <f>IF(R746="","",IF(INDEX('Recurring Schedule'!$L$6:$L$45,R746)="","",INDEX('Recurring Schedule'!$L$6:$L$45,R746)))</f>
        <v/>
      </c>
      <c r="O746" s="36">
        <f>IF(C746="","",IF(AND(OR(L746="1-Urgent",L746="2-High"),M746="✓"),"DO FIRST",IF(M746="✓","SCHEDULE",IF(OR(L746="1-Urgent",L746="2-High"),"DELEGATE","DELETE"))))</f>
        <v/>
      </c>
      <c r="P746" s="65" t="n"/>
      <c r="Q746">
        <f>IF(741&gt;Calc!$AQ$368,"",MATCH(740,Calc!$AQ$2:$AQ$367,1))</f>
        <v/>
      </c>
      <c r="R746">
        <f>IF(Q746="","",SMALL(INDEX(Calc!$B$2:$AO$367,Q746,0),741-INDEX(Calc!$AQ$2:$AQ$367,Q746)))</f>
        <v/>
      </c>
    </row>
    <row r="747">
      <c r="B747" s="71">
        <f>IF(R747="","",742)</f>
        <v/>
      </c>
      <c r="C747" s="75">
        <f>IF(R747="","",IF(INDEX('Recurring Schedule'!$C$6:$C$45,R747)="","",INDEX('Recurring Schedule'!$C$6:$C$45,R747)))</f>
        <v/>
      </c>
      <c r="D747" s="73">
        <f>IF(R747="","",IF(INDEX('Recurring Schedule'!$D$6:$D$45,R747)="","",INDEX('Recurring Schedule'!$D$6:$D$45,R747)))</f>
        <v/>
      </c>
      <c r="E747" s="76">
        <f>IF(Q747="","",INDEX(Calc!$A$2:$A$367,Q747))</f>
        <v/>
      </c>
      <c r="F747" s="72">
        <f>IF(OR(C747="",E747=""),"",E747-Setup!$D$7)</f>
        <v/>
      </c>
      <c r="G747" s="77">
        <f>IF(R747="","",IF(INDEX('Recurring Schedule'!$H$6:$H$45,R747)="","",INDEX('Recurring Schedule'!$H$6:$H$45,R747)))</f>
        <v/>
      </c>
      <c r="H747" s="77">
        <f>IF(R747="","",IF(INDEX('Recurring Schedule'!$I$6:$I$45,R747)="","",INDEX('Recurring Schedule'!$I$6:$I$45,R747)))</f>
        <v/>
      </c>
      <c r="I747" s="73">
        <f>IF(OR(G747="",H747=""),"",TRIM(IF(HOUR(H747-G747)&gt;0,HOUR(H747-G747)&amp;" hr ","")&amp;IF(MINUTE(H747-G747)&gt;0,MINUTE(H747-G747)&amp;" min","")))</f>
        <v/>
      </c>
      <c r="J747" s="66" t="n"/>
      <c r="K747" s="70" t="n"/>
      <c r="L747" s="73">
        <f>IF(R747="","",IF(INDEX('Recurring Schedule'!$J$6:$J$45,R747)="","",INDEX('Recurring Schedule'!$J$6:$J$45,R747)))</f>
        <v/>
      </c>
      <c r="M747" s="73">
        <f>IF(R747="","",IF(INDEX('Recurring Schedule'!$K$6:$K$45,R747)="","",INDEX('Recurring Schedule'!$K$6:$K$45,R747)))</f>
        <v/>
      </c>
      <c r="N747" s="73">
        <f>IF(R747="","",IF(INDEX('Recurring Schedule'!$L$6:$L$45,R747)="","",INDEX('Recurring Schedule'!$L$6:$L$45,R747)))</f>
        <v/>
      </c>
      <c r="O747" s="73">
        <f>IF(C747="","",IF(AND(OR(L747="1-Urgent",L747="2-High"),M747="✓"),"DO FIRST",IF(M747="✓","SCHEDULE",IF(OR(L747="1-Urgent",L747="2-High"),"DELEGATE","DELETE"))))</f>
        <v/>
      </c>
      <c r="P747" s="65" t="n"/>
      <c r="Q747">
        <f>IF(742&gt;Calc!$AQ$368,"",MATCH(741,Calc!$AQ$2:$AQ$367,1))</f>
        <v/>
      </c>
      <c r="R747">
        <f>IF(Q747="","",SMALL(INDEX(Calc!$B$2:$AO$367,Q747,0),742-INDEX(Calc!$AQ$2:$AQ$367,Q747)))</f>
        <v/>
      </c>
    </row>
    <row r="748">
      <c r="B748" s="64">
        <f>IF(R748="","",743)</f>
        <v/>
      </c>
      <c r="C748" s="37">
        <f>IF(R748="","",IF(INDEX('Recurring Schedule'!$C$6:$C$45,R748)="","",INDEX('Recurring Schedule'!$C$6:$C$45,R748)))</f>
        <v/>
      </c>
      <c r="D748" s="36">
        <f>IF(R748="","",IF(INDEX('Recurring Schedule'!$D$6:$D$45,R748)="","",INDEX('Recurring Schedule'!$D$6:$D$45,R748)))</f>
        <v/>
      </c>
      <c r="E748" s="38">
        <f>IF(Q748="","",INDEX(Calc!$A$2:$A$367,Q748))</f>
        <v/>
      </c>
      <c r="F748" s="68">
        <f>IF(OR(C748="",E748=""),"",E748-Setup!$D$7)</f>
        <v/>
      </c>
      <c r="G748" s="74">
        <f>IF(R748="","",IF(INDEX('Recurring Schedule'!$H$6:$H$45,R748)="","",INDEX('Recurring Schedule'!$H$6:$H$45,R748)))</f>
        <v/>
      </c>
      <c r="H748" s="74">
        <f>IF(R748="","",IF(INDEX('Recurring Schedule'!$I$6:$I$45,R748)="","",INDEX('Recurring Schedule'!$I$6:$I$45,R748)))</f>
        <v/>
      </c>
      <c r="I748" s="36">
        <f>IF(OR(G748="",H748=""),"",TRIM(IF(HOUR(H748-G748)&gt;0,HOUR(H748-G748)&amp;" hr ","")&amp;IF(MINUTE(H748-G748)&gt;0,MINUTE(H748-G748)&amp;" min","")))</f>
        <v/>
      </c>
      <c r="J748" s="66" t="n"/>
      <c r="K748" s="70" t="n"/>
      <c r="L748" s="36">
        <f>IF(R748="","",IF(INDEX('Recurring Schedule'!$J$6:$J$45,R748)="","",INDEX('Recurring Schedule'!$J$6:$J$45,R748)))</f>
        <v/>
      </c>
      <c r="M748" s="36">
        <f>IF(R748="","",IF(INDEX('Recurring Schedule'!$K$6:$K$45,R748)="","",INDEX('Recurring Schedule'!$K$6:$K$45,R748)))</f>
        <v/>
      </c>
      <c r="N748" s="36">
        <f>IF(R748="","",IF(INDEX('Recurring Schedule'!$L$6:$L$45,R748)="","",INDEX('Recurring Schedule'!$L$6:$L$45,R748)))</f>
        <v/>
      </c>
      <c r="O748" s="36">
        <f>IF(C748="","",IF(AND(OR(L748="1-Urgent",L748="2-High"),M748="✓"),"DO FIRST",IF(M748="✓","SCHEDULE",IF(OR(L748="1-Urgent",L748="2-High"),"DELEGATE","DELETE"))))</f>
        <v/>
      </c>
      <c r="P748" s="65" t="n"/>
      <c r="Q748">
        <f>IF(743&gt;Calc!$AQ$368,"",MATCH(742,Calc!$AQ$2:$AQ$367,1))</f>
        <v/>
      </c>
      <c r="R748">
        <f>IF(Q748="","",SMALL(INDEX(Calc!$B$2:$AO$367,Q748,0),743-INDEX(Calc!$AQ$2:$AQ$367,Q748)))</f>
        <v/>
      </c>
    </row>
    <row r="749">
      <c r="B749" s="71">
        <f>IF(R749="","",744)</f>
        <v/>
      </c>
      <c r="C749" s="75">
        <f>IF(R749="","",IF(INDEX('Recurring Schedule'!$C$6:$C$45,R749)="","",INDEX('Recurring Schedule'!$C$6:$C$45,R749)))</f>
        <v/>
      </c>
      <c r="D749" s="73">
        <f>IF(R749="","",IF(INDEX('Recurring Schedule'!$D$6:$D$45,R749)="","",INDEX('Recurring Schedule'!$D$6:$D$45,R749)))</f>
        <v/>
      </c>
      <c r="E749" s="76">
        <f>IF(Q749="","",INDEX(Calc!$A$2:$A$367,Q749))</f>
        <v/>
      </c>
      <c r="F749" s="72">
        <f>IF(OR(C749="",E749=""),"",E749-Setup!$D$7)</f>
        <v/>
      </c>
      <c r="G749" s="77">
        <f>IF(R749="","",IF(INDEX('Recurring Schedule'!$H$6:$H$45,R749)="","",INDEX('Recurring Schedule'!$H$6:$H$45,R749)))</f>
        <v/>
      </c>
      <c r="H749" s="77">
        <f>IF(R749="","",IF(INDEX('Recurring Schedule'!$I$6:$I$45,R749)="","",INDEX('Recurring Schedule'!$I$6:$I$45,R749)))</f>
        <v/>
      </c>
      <c r="I749" s="73">
        <f>IF(OR(G749="",H749=""),"",TRIM(IF(HOUR(H749-G749)&gt;0,HOUR(H749-G749)&amp;" hr ","")&amp;IF(MINUTE(H749-G749)&gt;0,MINUTE(H749-G749)&amp;" min","")))</f>
        <v/>
      </c>
      <c r="J749" s="66" t="n"/>
      <c r="K749" s="70" t="n"/>
      <c r="L749" s="73">
        <f>IF(R749="","",IF(INDEX('Recurring Schedule'!$J$6:$J$45,R749)="","",INDEX('Recurring Schedule'!$J$6:$J$45,R749)))</f>
        <v/>
      </c>
      <c r="M749" s="73">
        <f>IF(R749="","",IF(INDEX('Recurring Schedule'!$K$6:$K$45,R749)="","",INDEX('Recurring Schedule'!$K$6:$K$45,R749)))</f>
        <v/>
      </c>
      <c r="N749" s="73">
        <f>IF(R749="","",IF(INDEX('Recurring Schedule'!$L$6:$L$45,R749)="","",INDEX('Recurring Schedule'!$L$6:$L$45,R749)))</f>
        <v/>
      </c>
      <c r="O749" s="73">
        <f>IF(C749="","",IF(AND(OR(L749="1-Urgent",L749="2-High"),M749="✓"),"DO FIRST",IF(M749="✓","SCHEDULE",IF(OR(L749="1-Urgent",L749="2-High"),"DELEGATE","DELETE"))))</f>
        <v/>
      </c>
      <c r="P749" s="65" t="n"/>
      <c r="Q749">
        <f>IF(744&gt;Calc!$AQ$368,"",MATCH(743,Calc!$AQ$2:$AQ$367,1))</f>
        <v/>
      </c>
      <c r="R749">
        <f>IF(Q749="","",SMALL(INDEX(Calc!$B$2:$AO$367,Q749,0),744-INDEX(Calc!$AQ$2:$AQ$367,Q749)))</f>
        <v/>
      </c>
    </row>
    <row r="750">
      <c r="B750" s="64">
        <f>IF(R750="","",745)</f>
        <v/>
      </c>
      <c r="C750" s="37">
        <f>IF(R750="","",IF(INDEX('Recurring Schedule'!$C$6:$C$45,R750)="","",INDEX('Recurring Schedule'!$C$6:$C$45,R750)))</f>
        <v/>
      </c>
      <c r="D750" s="36">
        <f>IF(R750="","",IF(INDEX('Recurring Schedule'!$D$6:$D$45,R750)="","",INDEX('Recurring Schedule'!$D$6:$D$45,R750)))</f>
        <v/>
      </c>
      <c r="E750" s="38">
        <f>IF(Q750="","",INDEX(Calc!$A$2:$A$367,Q750))</f>
        <v/>
      </c>
      <c r="F750" s="68">
        <f>IF(OR(C750="",E750=""),"",E750-Setup!$D$7)</f>
        <v/>
      </c>
      <c r="G750" s="74">
        <f>IF(R750="","",IF(INDEX('Recurring Schedule'!$H$6:$H$45,R750)="","",INDEX('Recurring Schedule'!$H$6:$H$45,R750)))</f>
        <v/>
      </c>
      <c r="H750" s="74">
        <f>IF(R750="","",IF(INDEX('Recurring Schedule'!$I$6:$I$45,R750)="","",INDEX('Recurring Schedule'!$I$6:$I$45,R750)))</f>
        <v/>
      </c>
      <c r="I750" s="36">
        <f>IF(OR(G750="",H750=""),"",TRIM(IF(HOUR(H750-G750)&gt;0,HOUR(H750-G750)&amp;" hr ","")&amp;IF(MINUTE(H750-G750)&gt;0,MINUTE(H750-G750)&amp;" min","")))</f>
        <v/>
      </c>
      <c r="J750" s="66" t="n"/>
      <c r="K750" s="70" t="n"/>
      <c r="L750" s="36">
        <f>IF(R750="","",IF(INDEX('Recurring Schedule'!$J$6:$J$45,R750)="","",INDEX('Recurring Schedule'!$J$6:$J$45,R750)))</f>
        <v/>
      </c>
      <c r="M750" s="36">
        <f>IF(R750="","",IF(INDEX('Recurring Schedule'!$K$6:$K$45,R750)="","",INDEX('Recurring Schedule'!$K$6:$K$45,R750)))</f>
        <v/>
      </c>
      <c r="N750" s="36">
        <f>IF(R750="","",IF(INDEX('Recurring Schedule'!$L$6:$L$45,R750)="","",INDEX('Recurring Schedule'!$L$6:$L$45,R750)))</f>
        <v/>
      </c>
      <c r="O750" s="36">
        <f>IF(C750="","",IF(AND(OR(L750="1-Urgent",L750="2-High"),M750="✓"),"DO FIRST",IF(M750="✓","SCHEDULE",IF(OR(L750="1-Urgent",L750="2-High"),"DELEGATE","DELETE"))))</f>
        <v/>
      </c>
      <c r="P750" s="65" t="n"/>
      <c r="Q750">
        <f>IF(745&gt;Calc!$AQ$368,"",MATCH(744,Calc!$AQ$2:$AQ$367,1))</f>
        <v/>
      </c>
      <c r="R750">
        <f>IF(Q750="","",SMALL(INDEX(Calc!$B$2:$AO$367,Q750,0),745-INDEX(Calc!$AQ$2:$AQ$367,Q750)))</f>
        <v/>
      </c>
    </row>
    <row r="751">
      <c r="B751" s="71">
        <f>IF(R751="","",746)</f>
        <v/>
      </c>
      <c r="C751" s="75">
        <f>IF(R751="","",IF(INDEX('Recurring Schedule'!$C$6:$C$45,R751)="","",INDEX('Recurring Schedule'!$C$6:$C$45,R751)))</f>
        <v/>
      </c>
      <c r="D751" s="73">
        <f>IF(R751="","",IF(INDEX('Recurring Schedule'!$D$6:$D$45,R751)="","",INDEX('Recurring Schedule'!$D$6:$D$45,R751)))</f>
        <v/>
      </c>
      <c r="E751" s="76">
        <f>IF(Q751="","",INDEX(Calc!$A$2:$A$367,Q751))</f>
        <v/>
      </c>
      <c r="F751" s="72">
        <f>IF(OR(C751="",E751=""),"",E751-Setup!$D$7)</f>
        <v/>
      </c>
      <c r="G751" s="77">
        <f>IF(R751="","",IF(INDEX('Recurring Schedule'!$H$6:$H$45,R751)="","",INDEX('Recurring Schedule'!$H$6:$H$45,R751)))</f>
        <v/>
      </c>
      <c r="H751" s="77">
        <f>IF(R751="","",IF(INDEX('Recurring Schedule'!$I$6:$I$45,R751)="","",INDEX('Recurring Schedule'!$I$6:$I$45,R751)))</f>
        <v/>
      </c>
      <c r="I751" s="73">
        <f>IF(OR(G751="",H751=""),"",TRIM(IF(HOUR(H751-G751)&gt;0,HOUR(H751-G751)&amp;" hr ","")&amp;IF(MINUTE(H751-G751)&gt;0,MINUTE(H751-G751)&amp;" min","")))</f>
        <v/>
      </c>
      <c r="J751" s="66" t="n"/>
      <c r="K751" s="70" t="n"/>
      <c r="L751" s="73">
        <f>IF(R751="","",IF(INDEX('Recurring Schedule'!$J$6:$J$45,R751)="","",INDEX('Recurring Schedule'!$J$6:$J$45,R751)))</f>
        <v/>
      </c>
      <c r="M751" s="73">
        <f>IF(R751="","",IF(INDEX('Recurring Schedule'!$K$6:$K$45,R751)="","",INDEX('Recurring Schedule'!$K$6:$K$45,R751)))</f>
        <v/>
      </c>
      <c r="N751" s="73">
        <f>IF(R751="","",IF(INDEX('Recurring Schedule'!$L$6:$L$45,R751)="","",INDEX('Recurring Schedule'!$L$6:$L$45,R751)))</f>
        <v/>
      </c>
      <c r="O751" s="73">
        <f>IF(C751="","",IF(AND(OR(L751="1-Urgent",L751="2-High"),M751="✓"),"DO FIRST",IF(M751="✓","SCHEDULE",IF(OR(L751="1-Urgent",L751="2-High"),"DELEGATE","DELETE"))))</f>
        <v/>
      </c>
      <c r="P751" s="65" t="n"/>
      <c r="Q751">
        <f>IF(746&gt;Calc!$AQ$368,"",MATCH(745,Calc!$AQ$2:$AQ$367,1))</f>
        <v/>
      </c>
      <c r="R751">
        <f>IF(Q751="","",SMALL(INDEX(Calc!$B$2:$AO$367,Q751,0),746-INDEX(Calc!$AQ$2:$AQ$367,Q751)))</f>
        <v/>
      </c>
    </row>
    <row r="752">
      <c r="B752" s="64">
        <f>IF(R752="","",747)</f>
        <v/>
      </c>
      <c r="C752" s="37">
        <f>IF(R752="","",IF(INDEX('Recurring Schedule'!$C$6:$C$45,R752)="","",INDEX('Recurring Schedule'!$C$6:$C$45,R752)))</f>
        <v/>
      </c>
      <c r="D752" s="36">
        <f>IF(R752="","",IF(INDEX('Recurring Schedule'!$D$6:$D$45,R752)="","",INDEX('Recurring Schedule'!$D$6:$D$45,R752)))</f>
        <v/>
      </c>
      <c r="E752" s="38">
        <f>IF(Q752="","",INDEX(Calc!$A$2:$A$367,Q752))</f>
        <v/>
      </c>
      <c r="F752" s="68">
        <f>IF(OR(C752="",E752=""),"",E752-Setup!$D$7)</f>
        <v/>
      </c>
      <c r="G752" s="74">
        <f>IF(R752="","",IF(INDEX('Recurring Schedule'!$H$6:$H$45,R752)="","",INDEX('Recurring Schedule'!$H$6:$H$45,R752)))</f>
        <v/>
      </c>
      <c r="H752" s="74">
        <f>IF(R752="","",IF(INDEX('Recurring Schedule'!$I$6:$I$45,R752)="","",INDEX('Recurring Schedule'!$I$6:$I$45,R752)))</f>
        <v/>
      </c>
      <c r="I752" s="36">
        <f>IF(OR(G752="",H752=""),"",TRIM(IF(HOUR(H752-G752)&gt;0,HOUR(H752-G752)&amp;" hr ","")&amp;IF(MINUTE(H752-G752)&gt;0,MINUTE(H752-G752)&amp;" min","")))</f>
        <v/>
      </c>
      <c r="J752" s="66" t="n"/>
      <c r="K752" s="70" t="n"/>
      <c r="L752" s="36">
        <f>IF(R752="","",IF(INDEX('Recurring Schedule'!$J$6:$J$45,R752)="","",INDEX('Recurring Schedule'!$J$6:$J$45,R752)))</f>
        <v/>
      </c>
      <c r="M752" s="36">
        <f>IF(R752="","",IF(INDEX('Recurring Schedule'!$K$6:$K$45,R752)="","",INDEX('Recurring Schedule'!$K$6:$K$45,R752)))</f>
        <v/>
      </c>
      <c r="N752" s="36">
        <f>IF(R752="","",IF(INDEX('Recurring Schedule'!$L$6:$L$45,R752)="","",INDEX('Recurring Schedule'!$L$6:$L$45,R752)))</f>
        <v/>
      </c>
      <c r="O752" s="36">
        <f>IF(C752="","",IF(AND(OR(L752="1-Urgent",L752="2-High"),M752="✓"),"DO FIRST",IF(M752="✓","SCHEDULE",IF(OR(L752="1-Urgent",L752="2-High"),"DELEGATE","DELETE"))))</f>
        <v/>
      </c>
      <c r="P752" s="65" t="n"/>
      <c r="Q752">
        <f>IF(747&gt;Calc!$AQ$368,"",MATCH(746,Calc!$AQ$2:$AQ$367,1))</f>
        <v/>
      </c>
      <c r="R752">
        <f>IF(Q752="","",SMALL(INDEX(Calc!$B$2:$AO$367,Q752,0),747-INDEX(Calc!$AQ$2:$AQ$367,Q752)))</f>
        <v/>
      </c>
    </row>
    <row r="753">
      <c r="B753" s="71">
        <f>IF(R753="","",748)</f>
        <v/>
      </c>
      <c r="C753" s="75">
        <f>IF(R753="","",IF(INDEX('Recurring Schedule'!$C$6:$C$45,R753)="","",INDEX('Recurring Schedule'!$C$6:$C$45,R753)))</f>
        <v/>
      </c>
      <c r="D753" s="73">
        <f>IF(R753="","",IF(INDEX('Recurring Schedule'!$D$6:$D$45,R753)="","",INDEX('Recurring Schedule'!$D$6:$D$45,R753)))</f>
        <v/>
      </c>
      <c r="E753" s="76">
        <f>IF(Q753="","",INDEX(Calc!$A$2:$A$367,Q753))</f>
        <v/>
      </c>
      <c r="F753" s="72">
        <f>IF(OR(C753="",E753=""),"",E753-Setup!$D$7)</f>
        <v/>
      </c>
      <c r="G753" s="77">
        <f>IF(R753="","",IF(INDEX('Recurring Schedule'!$H$6:$H$45,R753)="","",INDEX('Recurring Schedule'!$H$6:$H$45,R753)))</f>
        <v/>
      </c>
      <c r="H753" s="77">
        <f>IF(R753="","",IF(INDEX('Recurring Schedule'!$I$6:$I$45,R753)="","",INDEX('Recurring Schedule'!$I$6:$I$45,R753)))</f>
        <v/>
      </c>
      <c r="I753" s="73">
        <f>IF(OR(G753="",H753=""),"",TRIM(IF(HOUR(H753-G753)&gt;0,HOUR(H753-G753)&amp;" hr ","")&amp;IF(MINUTE(H753-G753)&gt;0,MINUTE(H753-G753)&amp;" min","")))</f>
        <v/>
      </c>
      <c r="J753" s="66" t="n"/>
      <c r="K753" s="70" t="n"/>
      <c r="L753" s="73">
        <f>IF(R753="","",IF(INDEX('Recurring Schedule'!$J$6:$J$45,R753)="","",INDEX('Recurring Schedule'!$J$6:$J$45,R753)))</f>
        <v/>
      </c>
      <c r="M753" s="73">
        <f>IF(R753="","",IF(INDEX('Recurring Schedule'!$K$6:$K$45,R753)="","",INDEX('Recurring Schedule'!$K$6:$K$45,R753)))</f>
        <v/>
      </c>
      <c r="N753" s="73">
        <f>IF(R753="","",IF(INDEX('Recurring Schedule'!$L$6:$L$45,R753)="","",INDEX('Recurring Schedule'!$L$6:$L$45,R753)))</f>
        <v/>
      </c>
      <c r="O753" s="73">
        <f>IF(C753="","",IF(AND(OR(L753="1-Urgent",L753="2-High"),M753="✓"),"DO FIRST",IF(M753="✓","SCHEDULE",IF(OR(L753="1-Urgent",L753="2-High"),"DELEGATE","DELETE"))))</f>
        <v/>
      </c>
      <c r="P753" s="65" t="n"/>
      <c r="Q753">
        <f>IF(748&gt;Calc!$AQ$368,"",MATCH(747,Calc!$AQ$2:$AQ$367,1))</f>
        <v/>
      </c>
      <c r="R753">
        <f>IF(Q753="","",SMALL(INDEX(Calc!$B$2:$AO$367,Q753,0),748-INDEX(Calc!$AQ$2:$AQ$367,Q753)))</f>
        <v/>
      </c>
    </row>
    <row r="754">
      <c r="B754" s="64">
        <f>IF(R754="","",749)</f>
        <v/>
      </c>
      <c r="C754" s="37">
        <f>IF(R754="","",IF(INDEX('Recurring Schedule'!$C$6:$C$45,R754)="","",INDEX('Recurring Schedule'!$C$6:$C$45,R754)))</f>
        <v/>
      </c>
      <c r="D754" s="36">
        <f>IF(R754="","",IF(INDEX('Recurring Schedule'!$D$6:$D$45,R754)="","",INDEX('Recurring Schedule'!$D$6:$D$45,R754)))</f>
        <v/>
      </c>
      <c r="E754" s="38">
        <f>IF(Q754="","",INDEX(Calc!$A$2:$A$367,Q754))</f>
        <v/>
      </c>
      <c r="F754" s="68">
        <f>IF(OR(C754="",E754=""),"",E754-Setup!$D$7)</f>
        <v/>
      </c>
      <c r="G754" s="74">
        <f>IF(R754="","",IF(INDEX('Recurring Schedule'!$H$6:$H$45,R754)="","",INDEX('Recurring Schedule'!$H$6:$H$45,R754)))</f>
        <v/>
      </c>
      <c r="H754" s="74">
        <f>IF(R754="","",IF(INDEX('Recurring Schedule'!$I$6:$I$45,R754)="","",INDEX('Recurring Schedule'!$I$6:$I$45,R754)))</f>
        <v/>
      </c>
      <c r="I754" s="36">
        <f>IF(OR(G754="",H754=""),"",TRIM(IF(HOUR(H754-G754)&gt;0,HOUR(H754-G754)&amp;" hr ","")&amp;IF(MINUTE(H754-G754)&gt;0,MINUTE(H754-G754)&amp;" min","")))</f>
        <v/>
      </c>
      <c r="J754" s="66" t="n"/>
      <c r="K754" s="70" t="n"/>
      <c r="L754" s="36">
        <f>IF(R754="","",IF(INDEX('Recurring Schedule'!$J$6:$J$45,R754)="","",INDEX('Recurring Schedule'!$J$6:$J$45,R754)))</f>
        <v/>
      </c>
      <c r="M754" s="36">
        <f>IF(R754="","",IF(INDEX('Recurring Schedule'!$K$6:$K$45,R754)="","",INDEX('Recurring Schedule'!$K$6:$K$45,R754)))</f>
        <v/>
      </c>
      <c r="N754" s="36">
        <f>IF(R754="","",IF(INDEX('Recurring Schedule'!$L$6:$L$45,R754)="","",INDEX('Recurring Schedule'!$L$6:$L$45,R754)))</f>
        <v/>
      </c>
      <c r="O754" s="36">
        <f>IF(C754="","",IF(AND(OR(L754="1-Urgent",L754="2-High"),M754="✓"),"DO FIRST",IF(M754="✓","SCHEDULE",IF(OR(L754="1-Urgent",L754="2-High"),"DELEGATE","DELETE"))))</f>
        <v/>
      </c>
      <c r="P754" s="65" t="n"/>
      <c r="Q754">
        <f>IF(749&gt;Calc!$AQ$368,"",MATCH(748,Calc!$AQ$2:$AQ$367,1))</f>
        <v/>
      </c>
      <c r="R754">
        <f>IF(Q754="","",SMALL(INDEX(Calc!$B$2:$AO$367,Q754,0),749-INDEX(Calc!$AQ$2:$AQ$367,Q754)))</f>
        <v/>
      </c>
    </row>
    <row r="755">
      <c r="B755" s="71">
        <f>IF(R755="","",750)</f>
        <v/>
      </c>
      <c r="C755" s="75">
        <f>IF(R755="","",IF(INDEX('Recurring Schedule'!$C$6:$C$45,R755)="","",INDEX('Recurring Schedule'!$C$6:$C$45,R755)))</f>
        <v/>
      </c>
      <c r="D755" s="73">
        <f>IF(R755="","",IF(INDEX('Recurring Schedule'!$D$6:$D$45,R755)="","",INDEX('Recurring Schedule'!$D$6:$D$45,R755)))</f>
        <v/>
      </c>
      <c r="E755" s="76">
        <f>IF(Q755="","",INDEX(Calc!$A$2:$A$367,Q755))</f>
        <v/>
      </c>
      <c r="F755" s="72">
        <f>IF(OR(C755="",E755=""),"",E755-Setup!$D$7)</f>
        <v/>
      </c>
      <c r="G755" s="77">
        <f>IF(R755="","",IF(INDEX('Recurring Schedule'!$H$6:$H$45,R755)="","",INDEX('Recurring Schedule'!$H$6:$H$45,R755)))</f>
        <v/>
      </c>
      <c r="H755" s="77">
        <f>IF(R755="","",IF(INDEX('Recurring Schedule'!$I$6:$I$45,R755)="","",INDEX('Recurring Schedule'!$I$6:$I$45,R755)))</f>
        <v/>
      </c>
      <c r="I755" s="73">
        <f>IF(OR(G755="",H755=""),"",TRIM(IF(HOUR(H755-G755)&gt;0,HOUR(H755-G755)&amp;" hr ","")&amp;IF(MINUTE(H755-G755)&gt;0,MINUTE(H755-G755)&amp;" min","")))</f>
        <v/>
      </c>
      <c r="J755" s="66" t="n"/>
      <c r="K755" s="70" t="n"/>
      <c r="L755" s="73">
        <f>IF(R755="","",IF(INDEX('Recurring Schedule'!$J$6:$J$45,R755)="","",INDEX('Recurring Schedule'!$J$6:$J$45,R755)))</f>
        <v/>
      </c>
      <c r="M755" s="73">
        <f>IF(R755="","",IF(INDEX('Recurring Schedule'!$K$6:$K$45,R755)="","",INDEX('Recurring Schedule'!$K$6:$K$45,R755)))</f>
        <v/>
      </c>
      <c r="N755" s="73">
        <f>IF(R755="","",IF(INDEX('Recurring Schedule'!$L$6:$L$45,R755)="","",INDEX('Recurring Schedule'!$L$6:$L$45,R755)))</f>
        <v/>
      </c>
      <c r="O755" s="73">
        <f>IF(C755="","",IF(AND(OR(L755="1-Urgent",L755="2-High"),M755="✓"),"DO FIRST",IF(M755="✓","SCHEDULE",IF(OR(L755="1-Urgent",L755="2-High"),"DELEGATE","DELETE"))))</f>
        <v/>
      </c>
      <c r="P755" s="65" t="n"/>
      <c r="Q755">
        <f>IF(750&gt;Calc!$AQ$368,"",MATCH(749,Calc!$AQ$2:$AQ$367,1))</f>
        <v/>
      </c>
      <c r="R755">
        <f>IF(Q755="","",SMALL(INDEX(Calc!$B$2:$AO$367,Q755,0),750-INDEX(Calc!$AQ$2:$AQ$367,Q755)))</f>
        <v/>
      </c>
    </row>
    <row r="756">
      <c r="B756" s="64">
        <f>IF(R756="","",751)</f>
        <v/>
      </c>
      <c r="C756" s="37">
        <f>IF(R756="","",IF(INDEX('Recurring Schedule'!$C$6:$C$45,R756)="","",INDEX('Recurring Schedule'!$C$6:$C$45,R756)))</f>
        <v/>
      </c>
      <c r="D756" s="36">
        <f>IF(R756="","",IF(INDEX('Recurring Schedule'!$D$6:$D$45,R756)="","",INDEX('Recurring Schedule'!$D$6:$D$45,R756)))</f>
        <v/>
      </c>
      <c r="E756" s="38">
        <f>IF(Q756="","",INDEX(Calc!$A$2:$A$367,Q756))</f>
        <v/>
      </c>
      <c r="F756" s="68">
        <f>IF(OR(C756="",E756=""),"",E756-Setup!$D$7)</f>
        <v/>
      </c>
      <c r="G756" s="74">
        <f>IF(R756="","",IF(INDEX('Recurring Schedule'!$H$6:$H$45,R756)="","",INDEX('Recurring Schedule'!$H$6:$H$45,R756)))</f>
        <v/>
      </c>
      <c r="H756" s="74">
        <f>IF(R756="","",IF(INDEX('Recurring Schedule'!$I$6:$I$45,R756)="","",INDEX('Recurring Schedule'!$I$6:$I$45,R756)))</f>
        <v/>
      </c>
      <c r="I756" s="36">
        <f>IF(OR(G756="",H756=""),"",TRIM(IF(HOUR(H756-G756)&gt;0,HOUR(H756-G756)&amp;" hr ","")&amp;IF(MINUTE(H756-G756)&gt;0,MINUTE(H756-G756)&amp;" min","")))</f>
        <v/>
      </c>
      <c r="J756" s="66" t="n"/>
      <c r="K756" s="70" t="n"/>
      <c r="L756" s="36">
        <f>IF(R756="","",IF(INDEX('Recurring Schedule'!$J$6:$J$45,R756)="","",INDEX('Recurring Schedule'!$J$6:$J$45,R756)))</f>
        <v/>
      </c>
      <c r="M756" s="36">
        <f>IF(R756="","",IF(INDEX('Recurring Schedule'!$K$6:$K$45,R756)="","",INDEX('Recurring Schedule'!$K$6:$K$45,R756)))</f>
        <v/>
      </c>
      <c r="N756" s="36">
        <f>IF(R756="","",IF(INDEX('Recurring Schedule'!$L$6:$L$45,R756)="","",INDEX('Recurring Schedule'!$L$6:$L$45,R756)))</f>
        <v/>
      </c>
      <c r="O756" s="36">
        <f>IF(C756="","",IF(AND(OR(L756="1-Urgent",L756="2-High"),M756="✓"),"DO FIRST",IF(M756="✓","SCHEDULE",IF(OR(L756="1-Urgent",L756="2-High"),"DELEGATE","DELETE"))))</f>
        <v/>
      </c>
      <c r="P756" s="65" t="n"/>
      <c r="Q756">
        <f>IF(751&gt;Calc!$AQ$368,"",MATCH(750,Calc!$AQ$2:$AQ$367,1))</f>
        <v/>
      </c>
      <c r="R756">
        <f>IF(Q756="","",SMALL(INDEX(Calc!$B$2:$AO$367,Q756,0),751-INDEX(Calc!$AQ$2:$AQ$367,Q756)))</f>
        <v/>
      </c>
    </row>
    <row r="757">
      <c r="B757" s="71">
        <f>IF(R757="","",752)</f>
        <v/>
      </c>
      <c r="C757" s="75">
        <f>IF(R757="","",IF(INDEX('Recurring Schedule'!$C$6:$C$45,R757)="","",INDEX('Recurring Schedule'!$C$6:$C$45,R757)))</f>
        <v/>
      </c>
      <c r="D757" s="73">
        <f>IF(R757="","",IF(INDEX('Recurring Schedule'!$D$6:$D$45,R757)="","",INDEX('Recurring Schedule'!$D$6:$D$45,R757)))</f>
        <v/>
      </c>
      <c r="E757" s="76">
        <f>IF(Q757="","",INDEX(Calc!$A$2:$A$367,Q757))</f>
        <v/>
      </c>
      <c r="F757" s="72">
        <f>IF(OR(C757="",E757=""),"",E757-Setup!$D$7)</f>
        <v/>
      </c>
      <c r="G757" s="77">
        <f>IF(R757="","",IF(INDEX('Recurring Schedule'!$H$6:$H$45,R757)="","",INDEX('Recurring Schedule'!$H$6:$H$45,R757)))</f>
        <v/>
      </c>
      <c r="H757" s="77">
        <f>IF(R757="","",IF(INDEX('Recurring Schedule'!$I$6:$I$45,R757)="","",INDEX('Recurring Schedule'!$I$6:$I$45,R757)))</f>
        <v/>
      </c>
      <c r="I757" s="73">
        <f>IF(OR(G757="",H757=""),"",TRIM(IF(HOUR(H757-G757)&gt;0,HOUR(H757-G757)&amp;" hr ","")&amp;IF(MINUTE(H757-G757)&gt;0,MINUTE(H757-G757)&amp;" min","")))</f>
        <v/>
      </c>
      <c r="J757" s="66" t="n"/>
      <c r="K757" s="70" t="n"/>
      <c r="L757" s="73">
        <f>IF(R757="","",IF(INDEX('Recurring Schedule'!$J$6:$J$45,R757)="","",INDEX('Recurring Schedule'!$J$6:$J$45,R757)))</f>
        <v/>
      </c>
      <c r="M757" s="73">
        <f>IF(R757="","",IF(INDEX('Recurring Schedule'!$K$6:$K$45,R757)="","",INDEX('Recurring Schedule'!$K$6:$K$45,R757)))</f>
        <v/>
      </c>
      <c r="N757" s="73">
        <f>IF(R757="","",IF(INDEX('Recurring Schedule'!$L$6:$L$45,R757)="","",INDEX('Recurring Schedule'!$L$6:$L$45,R757)))</f>
        <v/>
      </c>
      <c r="O757" s="73">
        <f>IF(C757="","",IF(AND(OR(L757="1-Urgent",L757="2-High"),M757="✓"),"DO FIRST",IF(M757="✓","SCHEDULE",IF(OR(L757="1-Urgent",L757="2-High"),"DELEGATE","DELETE"))))</f>
        <v/>
      </c>
      <c r="P757" s="65" t="n"/>
      <c r="Q757">
        <f>IF(752&gt;Calc!$AQ$368,"",MATCH(751,Calc!$AQ$2:$AQ$367,1))</f>
        <v/>
      </c>
      <c r="R757">
        <f>IF(Q757="","",SMALL(INDEX(Calc!$B$2:$AO$367,Q757,0),752-INDEX(Calc!$AQ$2:$AQ$367,Q757)))</f>
        <v/>
      </c>
    </row>
    <row r="758">
      <c r="B758" s="64">
        <f>IF(R758="","",753)</f>
        <v/>
      </c>
      <c r="C758" s="37">
        <f>IF(R758="","",IF(INDEX('Recurring Schedule'!$C$6:$C$45,R758)="","",INDEX('Recurring Schedule'!$C$6:$C$45,R758)))</f>
        <v/>
      </c>
      <c r="D758" s="36">
        <f>IF(R758="","",IF(INDEX('Recurring Schedule'!$D$6:$D$45,R758)="","",INDEX('Recurring Schedule'!$D$6:$D$45,R758)))</f>
        <v/>
      </c>
      <c r="E758" s="38">
        <f>IF(Q758="","",INDEX(Calc!$A$2:$A$367,Q758))</f>
        <v/>
      </c>
      <c r="F758" s="68">
        <f>IF(OR(C758="",E758=""),"",E758-Setup!$D$7)</f>
        <v/>
      </c>
      <c r="G758" s="74">
        <f>IF(R758="","",IF(INDEX('Recurring Schedule'!$H$6:$H$45,R758)="","",INDEX('Recurring Schedule'!$H$6:$H$45,R758)))</f>
        <v/>
      </c>
      <c r="H758" s="74">
        <f>IF(R758="","",IF(INDEX('Recurring Schedule'!$I$6:$I$45,R758)="","",INDEX('Recurring Schedule'!$I$6:$I$45,R758)))</f>
        <v/>
      </c>
      <c r="I758" s="36">
        <f>IF(OR(G758="",H758=""),"",TRIM(IF(HOUR(H758-G758)&gt;0,HOUR(H758-G758)&amp;" hr ","")&amp;IF(MINUTE(H758-G758)&gt;0,MINUTE(H758-G758)&amp;" min","")))</f>
        <v/>
      </c>
      <c r="J758" s="66" t="n"/>
      <c r="K758" s="70" t="n"/>
      <c r="L758" s="36">
        <f>IF(R758="","",IF(INDEX('Recurring Schedule'!$J$6:$J$45,R758)="","",INDEX('Recurring Schedule'!$J$6:$J$45,R758)))</f>
        <v/>
      </c>
      <c r="M758" s="36">
        <f>IF(R758="","",IF(INDEX('Recurring Schedule'!$K$6:$K$45,R758)="","",INDEX('Recurring Schedule'!$K$6:$K$45,R758)))</f>
        <v/>
      </c>
      <c r="N758" s="36">
        <f>IF(R758="","",IF(INDEX('Recurring Schedule'!$L$6:$L$45,R758)="","",INDEX('Recurring Schedule'!$L$6:$L$45,R758)))</f>
        <v/>
      </c>
      <c r="O758" s="36">
        <f>IF(C758="","",IF(AND(OR(L758="1-Urgent",L758="2-High"),M758="✓"),"DO FIRST",IF(M758="✓","SCHEDULE",IF(OR(L758="1-Urgent",L758="2-High"),"DELEGATE","DELETE"))))</f>
        <v/>
      </c>
      <c r="P758" s="65" t="n"/>
      <c r="Q758">
        <f>IF(753&gt;Calc!$AQ$368,"",MATCH(752,Calc!$AQ$2:$AQ$367,1))</f>
        <v/>
      </c>
      <c r="R758">
        <f>IF(Q758="","",SMALL(INDEX(Calc!$B$2:$AO$367,Q758,0),753-INDEX(Calc!$AQ$2:$AQ$367,Q758)))</f>
        <v/>
      </c>
    </row>
    <row r="759">
      <c r="B759" s="71">
        <f>IF(R759="","",754)</f>
        <v/>
      </c>
      <c r="C759" s="75">
        <f>IF(R759="","",IF(INDEX('Recurring Schedule'!$C$6:$C$45,R759)="","",INDEX('Recurring Schedule'!$C$6:$C$45,R759)))</f>
        <v/>
      </c>
      <c r="D759" s="73">
        <f>IF(R759="","",IF(INDEX('Recurring Schedule'!$D$6:$D$45,R759)="","",INDEX('Recurring Schedule'!$D$6:$D$45,R759)))</f>
        <v/>
      </c>
      <c r="E759" s="76">
        <f>IF(Q759="","",INDEX(Calc!$A$2:$A$367,Q759))</f>
        <v/>
      </c>
      <c r="F759" s="72">
        <f>IF(OR(C759="",E759=""),"",E759-Setup!$D$7)</f>
        <v/>
      </c>
      <c r="G759" s="77">
        <f>IF(R759="","",IF(INDEX('Recurring Schedule'!$H$6:$H$45,R759)="","",INDEX('Recurring Schedule'!$H$6:$H$45,R759)))</f>
        <v/>
      </c>
      <c r="H759" s="77">
        <f>IF(R759="","",IF(INDEX('Recurring Schedule'!$I$6:$I$45,R759)="","",INDEX('Recurring Schedule'!$I$6:$I$45,R759)))</f>
        <v/>
      </c>
      <c r="I759" s="73">
        <f>IF(OR(G759="",H759=""),"",TRIM(IF(HOUR(H759-G759)&gt;0,HOUR(H759-G759)&amp;" hr ","")&amp;IF(MINUTE(H759-G759)&gt;0,MINUTE(H759-G759)&amp;" min","")))</f>
        <v/>
      </c>
      <c r="J759" s="66" t="n"/>
      <c r="K759" s="70" t="n"/>
      <c r="L759" s="73">
        <f>IF(R759="","",IF(INDEX('Recurring Schedule'!$J$6:$J$45,R759)="","",INDEX('Recurring Schedule'!$J$6:$J$45,R759)))</f>
        <v/>
      </c>
      <c r="M759" s="73">
        <f>IF(R759="","",IF(INDEX('Recurring Schedule'!$K$6:$K$45,R759)="","",INDEX('Recurring Schedule'!$K$6:$K$45,R759)))</f>
        <v/>
      </c>
      <c r="N759" s="73">
        <f>IF(R759="","",IF(INDEX('Recurring Schedule'!$L$6:$L$45,R759)="","",INDEX('Recurring Schedule'!$L$6:$L$45,R759)))</f>
        <v/>
      </c>
      <c r="O759" s="73">
        <f>IF(C759="","",IF(AND(OR(L759="1-Urgent",L759="2-High"),M759="✓"),"DO FIRST",IF(M759="✓","SCHEDULE",IF(OR(L759="1-Urgent",L759="2-High"),"DELEGATE","DELETE"))))</f>
        <v/>
      </c>
      <c r="P759" s="65" t="n"/>
      <c r="Q759">
        <f>IF(754&gt;Calc!$AQ$368,"",MATCH(753,Calc!$AQ$2:$AQ$367,1))</f>
        <v/>
      </c>
      <c r="R759">
        <f>IF(Q759="","",SMALL(INDEX(Calc!$B$2:$AO$367,Q759,0),754-INDEX(Calc!$AQ$2:$AQ$367,Q759)))</f>
        <v/>
      </c>
    </row>
    <row r="760">
      <c r="B760" s="64">
        <f>IF(R760="","",755)</f>
        <v/>
      </c>
      <c r="C760" s="37">
        <f>IF(R760="","",IF(INDEX('Recurring Schedule'!$C$6:$C$45,R760)="","",INDEX('Recurring Schedule'!$C$6:$C$45,R760)))</f>
        <v/>
      </c>
      <c r="D760" s="36">
        <f>IF(R760="","",IF(INDEX('Recurring Schedule'!$D$6:$D$45,R760)="","",INDEX('Recurring Schedule'!$D$6:$D$45,R760)))</f>
        <v/>
      </c>
      <c r="E760" s="38">
        <f>IF(Q760="","",INDEX(Calc!$A$2:$A$367,Q760))</f>
        <v/>
      </c>
      <c r="F760" s="68">
        <f>IF(OR(C760="",E760=""),"",E760-Setup!$D$7)</f>
        <v/>
      </c>
      <c r="G760" s="74">
        <f>IF(R760="","",IF(INDEX('Recurring Schedule'!$H$6:$H$45,R760)="","",INDEX('Recurring Schedule'!$H$6:$H$45,R760)))</f>
        <v/>
      </c>
      <c r="H760" s="74">
        <f>IF(R760="","",IF(INDEX('Recurring Schedule'!$I$6:$I$45,R760)="","",INDEX('Recurring Schedule'!$I$6:$I$45,R760)))</f>
        <v/>
      </c>
      <c r="I760" s="36">
        <f>IF(OR(G760="",H760=""),"",TRIM(IF(HOUR(H760-G760)&gt;0,HOUR(H760-G760)&amp;" hr ","")&amp;IF(MINUTE(H760-G760)&gt;0,MINUTE(H760-G760)&amp;" min","")))</f>
        <v/>
      </c>
      <c r="J760" s="66" t="n"/>
      <c r="K760" s="70" t="n"/>
      <c r="L760" s="36">
        <f>IF(R760="","",IF(INDEX('Recurring Schedule'!$J$6:$J$45,R760)="","",INDEX('Recurring Schedule'!$J$6:$J$45,R760)))</f>
        <v/>
      </c>
      <c r="M760" s="36">
        <f>IF(R760="","",IF(INDEX('Recurring Schedule'!$K$6:$K$45,R760)="","",INDEX('Recurring Schedule'!$K$6:$K$45,R760)))</f>
        <v/>
      </c>
      <c r="N760" s="36">
        <f>IF(R760="","",IF(INDEX('Recurring Schedule'!$L$6:$L$45,R760)="","",INDEX('Recurring Schedule'!$L$6:$L$45,R760)))</f>
        <v/>
      </c>
      <c r="O760" s="36">
        <f>IF(C760="","",IF(AND(OR(L760="1-Urgent",L760="2-High"),M760="✓"),"DO FIRST",IF(M760="✓","SCHEDULE",IF(OR(L760="1-Urgent",L760="2-High"),"DELEGATE","DELETE"))))</f>
        <v/>
      </c>
      <c r="P760" s="65" t="n"/>
      <c r="Q760">
        <f>IF(755&gt;Calc!$AQ$368,"",MATCH(754,Calc!$AQ$2:$AQ$367,1))</f>
        <v/>
      </c>
      <c r="R760">
        <f>IF(Q760="","",SMALL(INDEX(Calc!$B$2:$AO$367,Q760,0),755-INDEX(Calc!$AQ$2:$AQ$367,Q760)))</f>
        <v/>
      </c>
    </row>
    <row r="761">
      <c r="B761" s="71">
        <f>IF(R761="","",756)</f>
        <v/>
      </c>
      <c r="C761" s="75">
        <f>IF(R761="","",IF(INDEX('Recurring Schedule'!$C$6:$C$45,R761)="","",INDEX('Recurring Schedule'!$C$6:$C$45,R761)))</f>
        <v/>
      </c>
      <c r="D761" s="73">
        <f>IF(R761="","",IF(INDEX('Recurring Schedule'!$D$6:$D$45,R761)="","",INDEX('Recurring Schedule'!$D$6:$D$45,R761)))</f>
        <v/>
      </c>
      <c r="E761" s="76">
        <f>IF(Q761="","",INDEX(Calc!$A$2:$A$367,Q761))</f>
        <v/>
      </c>
      <c r="F761" s="72">
        <f>IF(OR(C761="",E761=""),"",E761-Setup!$D$7)</f>
        <v/>
      </c>
      <c r="G761" s="77">
        <f>IF(R761="","",IF(INDEX('Recurring Schedule'!$H$6:$H$45,R761)="","",INDEX('Recurring Schedule'!$H$6:$H$45,R761)))</f>
        <v/>
      </c>
      <c r="H761" s="77">
        <f>IF(R761="","",IF(INDEX('Recurring Schedule'!$I$6:$I$45,R761)="","",INDEX('Recurring Schedule'!$I$6:$I$45,R761)))</f>
        <v/>
      </c>
      <c r="I761" s="73">
        <f>IF(OR(G761="",H761=""),"",TRIM(IF(HOUR(H761-G761)&gt;0,HOUR(H761-G761)&amp;" hr ","")&amp;IF(MINUTE(H761-G761)&gt;0,MINUTE(H761-G761)&amp;" min","")))</f>
        <v/>
      </c>
      <c r="J761" s="66" t="n"/>
      <c r="K761" s="70" t="n"/>
      <c r="L761" s="73">
        <f>IF(R761="","",IF(INDEX('Recurring Schedule'!$J$6:$J$45,R761)="","",INDEX('Recurring Schedule'!$J$6:$J$45,R761)))</f>
        <v/>
      </c>
      <c r="M761" s="73">
        <f>IF(R761="","",IF(INDEX('Recurring Schedule'!$K$6:$K$45,R761)="","",INDEX('Recurring Schedule'!$K$6:$K$45,R761)))</f>
        <v/>
      </c>
      <c r="N761" s="73">
        <f>IF(R761="","",IF(INDEX('Recurring Schedule'!$L$6:$L$45,R761)="","",INDEX('Recurring Schedule'!$L$6:$L$45,R761)))</f>
        <v/>
      </c>
      <c r="O761" s="73">
        <f>IF(C761="","",IF(AND(OR(L761="1-Urgent",L761="2-High"),M761="✓"),"DO FIRST",IF(M761="✓","SCHEDULE",IF(OR(L761="1-Urgent",L761="2-High"),"DELEGATE","DELETE"))))</f>
        <v/>
      </c>
      <c r="P761" s="65" t="n"/>
      <c r="Q761">
        <f>IF(756&gt;Calc!$AQ$368,"",MATCH(755,Calc!$AQ$2:$AQ$367,1))</f>
        <v/>
      </c>
      <c r="R761">
        <f>IF(Q761="","",SMALL(INDEX(Calc!$B$2:$AO$367,Q761,0),756-INDEX(Calc!$AQ$2:$AQ$367,Q761)))</f>
        <v/>
      </c>
    </row>
    <row r="762">
      <c r="B762" s="64">
        <f>IF(R762="","",757)</f>
        <v/>
      </c>
      <c r="C762" s="37">
        <f>IF(R762="","",IF(INDEX('Recurring Schedule'!$C$6:$C$45,R762)="","",INDEX('Recurring Schedule'!$C$6:$C$45,R762)))</f>
        <v/>
      </c>
      <c r="D762" s="36">
        <f>IF(R762="","",IF(INDEX('Recurring Schedule'!$D$6:$D$45,R762)="","",INDEX('Recurring Schedule'!$D$6:$D$45,R762)))</f>
        <v/>
      </c>
      <c r="E762" s="38">
        <f>IF(Q762="","",INDEX(Calc!$A$2:$A$367,Q762))</f>
        <v/>
      </c>
      <c r="F762" s="68">
        <f>IF(OR(C762="",E762=""),"",E762-Setup!$D$7)</f>
        <v/>
      </c>
      <c r="G762" s="74">
        <f>IF(R762="","",IF(INDEX('Recurring Schedule'!$H$6:$H$45,R762)="","",INDEX('Recurring Schedule'!$H$6:$H$45,R762)))</f>
        <v/>
      </c>
      <c r="H762" s="74">
        <f>IF(R762="","",IF(INDEX('Recurring Schedule'!$I$6:$I$45,R762)="","",INDEX('Recurring Schedule'!$I$6:$I$45,R762)))</f>
        <v/>
      </c>
      <c r="I762" s="36">
        <f>IF(OR(G762="",H762=""),"",TRIM(IF(HOUR(H762-G762)&gt;0,HOUR(H762-G762)&amp;" hr ","")&amp;IF(MINUTE(H762-G762)&gt;0,MINUTE(H762-G762)&amp;" min","")))</f>
        <v/>
      </c>
      <c r="J762" s="66" t="n"/>
      <c r="K762" s="70" t="n"/>
      <c r="L762" s="36">
        <f>IF(R762="","",IF(INDEX('Recurring Schedule'!$J$6:$J$45,R762)="","",INDEX('Recurring Schedule'!$J$6:$J$45,R762)))</f>
        <v/>
      </c>
      <c r="M762" s="36">
        <f>IF(R762="","",IF(INDEX('Recurring Schedule'!$K$6:$K$45,R762)="","",INDEX('Recurring Schedule'!$K$6:$K$45,R762)))</f>
        <v/>
      </c>
      <c r="N762" s="36">
        <f>IF(R762="","",IF(INDEX('Recurring Schedule'!$L$6:$L$45,R762)="","",INDEX('Recurring Schedule'!$L$6:$L$45,R762)))</f>
        <v/>
      </c>
      <c r="O762" s="36">
        <f>IF(C762="","",IF(AND(OR(L762="1-Urgent",L762="2-High"),M762="✓"),"DO FIRST",IF(M762="✓","SCHEDULE",IF(OR(L762="1-Urgent",L762="2-High"),"DELEGATE","DELETE"))))</f>
        <v/>
      </c>
      <c r="P762" s="65" t="n"/>
      <c r="Q762">
        <f>IF(757&gt;Calc!$AQ$368,"",MATCH(756,Calc!$AQ$2:$AQ$367,1))</f>
        <v/>
      </c>
      <c r="R762">
        <f>IF(Q762="","",SMALL(INDEX(Calc!$B$2:$AO$367,Q762,0),757-INDEX(Calc!$AQ$2:$AQ$367,Q762)))</f>
        <v/>
      </c>
    </row>
    <row r="763">
      <c r="B763" s="71">
        <f>IF(R763="","",758)</f>
        <v/>
      </c>
      <c r="C763" s="75">
        <f>IF(R763="","",IF(INDEX('Recurring Schedule'!$C$6:$C$45,R763)="","",INDEX('Recurring Schedule'!$C$6:$C$45,R763)))</f>
        <v/>
      </c>
      <c r="D763" s="73">
        <f>IF(R763="","",IF(INDEX('Recurring Schedule'!$D$6:$D$45,R763)="","",INDEX('Recurring Schedule'!$D$6:$D$45,R763)))</f>
        <v/>
      </c>
      <c r="E763" s="76">
        <f>IF(Q763="","",INDEX(Calc!$A$2:$A$367,Q763))</f>
        <v/>
      </c>
      <c r="F763" s="72">
        <f>IF(OR(C763="",E763=""),"",E763-Setup!$D$7)</f>
        <v/>
      </c>
      <c r="G763" s="77">
        <f>IF(R763="","",IF(INDEX('Recurring Schedule'!$H$6:$H$45,R763)="","",INDEX('Recurring Schedule'!$H$6:$H$45,R763)))</f>
        <v/>
      </c>
      <c r="H763" s="77">
        <f>IF(R763="","",IF(INDEX('Recurring Schedule'!$I$6:$I$45,R763)="","",INDEX('Recurring Schedule'!$I$6:$I$45,R763)))</f>
        <v/>
      </c>
      <c r="I763" s="73">
        <f>IF(OR(G763="",H763=""),"",TRIM(IF(HOUR(H763-G763)&gt;0,HOUR(H763-G763)&amp;" hr ","")&amp;IF(MINUTE(H763-G763)&gt;0,MINUTE(H763-G763)&amp;" min","")))</f>
        <v/>
      </c>
      <c r="J763" s="66" t="n"/>
      <c r="K763" s="70" t="n"/>
      <c r="L763" s="73">
        <f>IF(R763="","",IF(INDEX('Recurring Schedule'!$J$6:$J$45,R763)="","",INDEX('Recurring Schedule'!$J$6:$J$45,R763)))</f>
        <v/>
      </c>
      <c r="M763" s="73">
        <f>IF(R763="","",IF(INDEX('Recurring Schedule'!$K$6:$K$45,R763)="","",INDEX('Recurring Schedule'!$K$6:$K$45,R763)))</f>
        <v/>
      </c>
      <c r="N763" s="73">
        <f>IF(R763="","",IF(INDEX('Recurring Schedule'!$L$6:$L$45,R763)="","",INDEX('Recurring Schedule'!$L$6:$L$45,R763)))</f>
        <v/>
      </c>
      <c r="O763" s="73">
        <f>IF(C763="","",IF(AND(OR(L763="1-Urgent",L763="2-High"),M763="✓"),"DO FIRST",IF(M763="✓","SCHEDULE",IF(OR(L763="1-Urgent",L763="2-High"),"DELEGATE","DELETE"))))</f>
        <v/>
      </c>
      <c r="P763" s="65" t="n"/>
      <c r="Q763">
        <f>IF(758&gt;Calc!$AQ$368,"",MATCH(757,Calc!$AQ$2:$AQ$367,1))</f>
        <v/>
      </c>
      <c r="R763">
        <f>IF(Q763="","",SMALL(INDEX(Calc!$B$2:$AO$367,Q763,0),758-INDEX(Calc!$AQ$2:$AQ$367,Q763)))</f>
        <v/>
      </c>
    </row>
    <row r="764">
      <c r="B764" s="64">
        <f>IF(R764="","",759)</f>
        <v/>
      </c>
      <c r="C764" s="37">
        <f>IF(R764="","",IF(INDEX('Recurring Schedule'!$C$6:$C$45,R764)="","",INDEX('Recurring Schedule'!$C$6:$C$45,R764)))</f>
        <v/>
      </c>
      <c r="D764" s="36">
        <f>IF(R764="","",IF(INDEX('Recurring Schedule'!$D$6:$D$45,R764)="","",INDEX('Recurring Schedule'!$D$6:$D$45,R764)))</f>
        <v/>
      </c>
      <c r="E764" s="38">
        <f>IF(Q764="","",INDEX(Calc!$A$2:$A$367,Q764))</f>
        <v/>
      </c>
      <c r="F764" s="68">
        <f>IF(OR(C764="",E764=""),"",E764-Setup!$D$7)</f>
        <v/>
      </c>
      <c r="G764" s="74">
        <f>IF(R764="","",IF(INDEX('Recurring Schedule'!$H$6:$H$45,R764)="","",INDEX('Recurring Schedule'!$H$6:$H$45,R764)))</f>
        <v/>
      </c>
      <c r="H764" s="74">
        <f>IF(R764="","",IF(INDEX('Recurring Schedule'!$I$6:$I$45,R764)="","",INDEX('Recurring Schedule'!$I$6:$I$45,R764)))</f>
        <v/>
      </c>
      <c r="I764" s="36">
        <f>IF(OR(G764="",H764=""),"",TRIM(IF(HOUR(H764-G764)&gt;0,HOUR(H764-G764)&amp;" hr ","")&amp;IF(MINUTE(H764-G764)&gt;0,MINUTE(H764-G764)&amp;" min","")))</f>
        <v/>
      </c>
      <c r="J764" s="66" t="n"/>
      <c r="K764" s="70" t="n"/>
      <c r="L764" s="36">
        <f>IF(R764="","",IF(INDEX('Recurring Schedule'!$J$6:$J$45,R764)="","",INDEX('Recurring Schedule'!$J$6:$J$45,R764)))</f>
        <v/>
      </c>
      <c r="M764" s="36">
        <f>IF(R764="","",IF(INDEX('Recurring Schedule'!$K$6:$K$45,R764)="","",INDEX('Recurring Schedule'!$K$6:$K$45,R764)))</f>
        <v/>
      </c>
      <c r="N764" s="36">
        <f>IF(R764="","",IF(INDEX('Recurring Schedule'!$L$6:$L$45,R764)="","",INDEX('Recurring Schedule'!$L$6:$L$45,R764)))</f>
        <v/>
      </c>
      <c r="O764" s="36">
        <f>IF(C764="","",IF(AND(OR(L764="1-Urgent",L764="2-High"),M764="✓"),"DO FIRST",IF(M764="✓","SCHEDULE",IF(OR(L764="1-Urgent",L764="2-High"),"DELEGATE","DELETE"))))</f>
        <v/>
      </c>
      <c r="P764" s="65" t="n"/>
      <c r="Q764">
        <f>IF(759&gt;Calc!$AQ$368,"",MATCH(758,Calc!$AQ$2:$AQ$367,1))</f>
        <v/>
      </c>
      <c r="R764">
        <f>IF(Q764="","",SMALL(INDEX(Calc!$B$2:$AO$367,Q764,0),759-INDEX(Calc!$AQ$2:$AQ$367,Q764)))</f>
        <v/>
      </c>
    </row>
    <row r="765">
      <c r="B765" s="71">
        <f>IF(R765="","",760)</f>
        <v/>
      </c>
      <c r="C765" s="75">
        <f>IF(R765="","",IF(INDEX('Recurring Schedule'!$C$6:$C$45,R765)="","",INDEX('Recurring Schedule'!$C$6:$C$45,R765)))</f>
        <v/>
      </c>
      <c r="D765" s="73">
        <f>IF(R765="","",IF(INDEX('Recurring Schedule'!$D$6:$D$45,R765)="","",INDEX('Recurring Schedule'!$D$6:$D$45,R765)))</f>
        <v/>
      </c>
      <c r="E765" s="76">
        <f>IF(Q765="","",INDEX(Calc!$A$2:$A$367,Q765))</f>
        <v/>
      </c>
      <c r="F765" s="72">
        <f>IF(OR(C765="",E765=""),"",E765-Setup!$D$7)</f>
        <v/>
      </c>
      <c r="G765" s="77">
        <f>IF(R765="","",IF(INDEX('Recurring Schedule'!$H$6:$H$45,R765)="","",INDEX('Recurring Schedule'!$H$6:$H$45,R765)))</f>
        <v/>
      </c>
      <c r="H765" s="77">
        <f>IF(R765="","",IF(INDEX('Recurring Schedule'!$I$6:$I$45,R765)="","",INDEX('Recurring Schedule'!$I$6:$I$45,R765)))</f>
        <v/>
      </c>
      <c r="I765" s="73">
        <f>IF(OR(G765="",H765=""),"",TRIM(IF(HOUR(H765-G765)&gt;0,HOUR(H765-G765)&amp;" hr ","")&amp;IF(MINUTE(H765-G765)&gt;0,MINUTE(H765-G765)&amp;" min","")))</f>
        <v/>
      </c>
      <c r="J765" s="66" t="n"/>
      <c r="K765" s="70" t="n"/>
      <c r="L765" s="73">
        <f>IF(R765="","",IF(INDEX('Recurring Schedule'!$J$6:$J$45,R765)="","",INDEX('Recurring Schedule'!$J$6:$J$45,R765)))</f>
        <v/>
      </c>
      <c r="M765" s="73">
        <f>IF(R765="","",IF(INDEX('Recurring Schedule'!$K$6:$K$45,R765)="","",INDEX('Recurring Schedule'!$K$6:$K$45,R765)))</f>
        <v/>
      </c>
      <c r="N765" s="73">
        <f>IF(R765="","",IF(INDEX('Recurring Schedule'!$L$6:$L$45,R765)="","",INDEX('Recurring Schedule'!$L$6:$L$45,R765)))</f>
        <v/>
      </c>
      <c r="O765" s="73">
        <f>IF(C765="","",IF(AND(OR(L765="1-Urgent",L765="2-High"),M765="✓"),"DO FIRST",IF(M765="✓","SCHEDULE",IF(OR(L765="1-Urgent",L765="2-High"),"DELEGATE","DELETE"))))</f>
        <v/>
      </c>
      <c r="P765" s="65" t="n"/>
      <c r="Q765">
        <f>IF(760&gt;Calc!$AQ$368,"",MATCH(759,Calc!$AQ$2:$AQ$367,1))</f>
        <v/>
      </c>
      <c r="R765">
        <f>IF(Q765="","",SMALL(INDEX(Calc!$B$2:$AO$367,Q765,0),760-INDEX(Calc!$AQ$2:$AQ$367,Q765)))</f>
        <v/>
      </c>
    </row>
    <row r="766">
      <c r="B766" s="64">
        <f>IF(R766="","",761)</f>
        <v/>
      </c>
      <c r="C766" s="37">
        <f>IF(R766="","",IF(INDEX('Recurring Schedule'!$C$6:$C$45,R766)="","",INDEX('Recurring Schedule'!$C$6:$C$45,R766)))</f>
        <v/>
      </c>
      <c r="D766" s="36">
        <f>IF(R766="","",IF(INDEX('Recurring Schedule'!$D$6:$D$45,R766)="","",INDEX('Recurring Schedule'!$D$6:$D$45,R766)))</f>
        <v/>
      </c>
      <c r="E766" s="38">
        <f>IF(Q766="","",INDEX(Calc!$A$2:$A$367,Q766))</f>
        <v/>
      </c>
      <c r="F766" s="68">
        <f>IF(OR(C766="",E766=""),"",E766-Setup!$D$7)</f>
        <v/>
      </c>
      <c r="G766" s="74">
        <f>IF(R766="","",IF(INDEX('Recurring Schedule'!$H$6:$H$45,R766)="","",INDEX('Recurring Schedule'!$H$6:$H$45,R766)))</f>
        <v/>
      </c>
      <c r="H766" s="74">
        <f>IF(R766="","",IF(INDEX('Recurring Schedule'!$I$6:$I$45,R766)="","",INDEX('Recurring Schedule'!$I$6:$I$45,R766)))</f>
        <v/>
      </c>
      <c r="I766" s="36">
        <f>IF(OR(G766="",H766=""),"",TRIM(IF(HOUR(H766-G766)&gt;0,HOUR(H766-G766)&amp;" hr ","")&amp;IF(MINUTE(H766-G766)&gt;0,MINUTE(H766-G766)&amp;" min","")))</f>
        <v/>
      </c>
      <c r="J766" s="66" t="n"/>
      <c r="K766" s="70" t="n"/>
      <c r="L766" s="36">
        <f>IF(R766="","",IF(INDEX('Recurring Schedule'!$J$6:$J$45,R766)="","",INDEX('Recurring Schedule'!$J$6:$J$45,R766)))</f>
        <v/>
      </c>
      <c r="M766" s="36">
        <f>IF(R766="","",IF(INDEX('Recurring Schedule'!$K$6:$K$45,R766)="","",INDEX('Recurring Schedule'!$K$6:$K$45,R766)))</f>
        <v/>
      </c>
      <c r="N766" s="36">
        <f>IF(R766="","",IF(INDEX('Recurring Schedule'!$L$6:$L$45,R766)="","",INDEX('Recurring Schedule'!$L$6:$L$45,R766)))</f>
        <v/>
      </c>
      <c r="O766" s="36">
        <f>IF(C766="","",IF(AND(OR(L766="1-Urgent",L766="2-High"),M766="✓"),"DO FIRST",IF(M766="✓","SCHEDULE",IF(OR(L766="1-Urgent",L766="2-High"),"DELEGATE","DELETE"))))</f>
        <v/>
      </c>
      <c r="P766" s="65" t="n"/>
      <c r="Q766">
        <f>IF(761&gt;Calc!$AQ$368,"",MATCH(760,Calc!$AQ$2:$AQ$367,1))</f>
        <v/>
      </c>
      <c r="R766">
        <f>IF(Q766="","",SMALL(INDEX(Calc!$B$2:$AO$367,Q766,0),761-INDEX(Calc!$AQ$2:$AQ$367,Q766)))</f>
        <v/>
      </c>
    </row>
    <row r="767">
      <c r="B767" s="71">
        <f>IF(R767="","",762)</f>
        <v/>
      </c>
      <c r="C767" s="75">
        <f>IF(R767="","",IF(INDEX('Recurring Schedule'!$C$6:$C$45,R767)="","",INDEX('Recurring Schedule'!$C$6:$C$45,R767)))</f>
        <v/>
      </c>
      <c r="D767" s="73">
        <f>IF(R767="","",IF(INDEX('Recurring Schedule'!$D$6:$D$45,R767)="","",INDEX('Recurring Schedule'!$D$6:$D$45,R767)))</f>
        <v/>
      </c>
      <c r="E767" s="76">
        <f>IF(Q767="","",INDEX(Calc!$A$2:$A$367,Q767))</f>
        <v/>
      </c>
      <c r="F767" s="72">
        <f>IF(OR(C767="",E767=""),"",E767-Setup!$D$7)</f>
        <v/>
      </c>
      <c r="G767" s="77">
        <f>IF(R767="","",IF(INDEX('Recurring Schedule'!$H$6:$H$45,R767)="","",INDEX('Recurring Schedule'!$H$6:$H$45,R767)))</f>
        <v/>
      </c>
      <c r="H767" s="77">
        <f>IF(R767="","",IF(INDEX('Recurring Schedule'!$I$6:$I$45,R767)="","",INDEX('Recurring Schedule'!$I$6:$I$45,R767)))</f>
        <v/>
      </c>
      <c r="I767" s="73">
        <f>IF(OR(G767="",H767=""),"",TRIM(IF(HOUR(H767-G767)&gt;0,HOUR(H767-G767)&amp;" hr ","")&amp;IF(MINUTE(H767-G767)&gt;0,MINUTE(H767-G767)&amp;" min","")))</f>
        <v/>
      </c>
      <c r="J767" s="66" t="n"/>
      <c r="K767" s="70" t="n"/>
      <c r="L767" s="73">
        <f>IF(R767="","",IF(INDEX('Recurring Schedule'!$J$6:$J$45,R767)="","",INDEX('Recurring Schedule'!$J$6:$J$45,R767)))</f>
        <v/>
      </c>
      <c r="M767" s="73">
        <f>IF(R767="","",IF(INDEX('Recurring Schedule'!$K$6:$K$45,R767)="","",INDEX('Recurring Schedule'!$K$6:$K$45,R767)))</f>
        <v/>
      </c>
      <c r="N767" s="73">
        <f>IF(R767="","",IF(INDEX('Recurring Schedule'!$L$6:$L$45,R767)="","",INDEX('Recurring Schedule'!$L$6:$L$45,R767)))</f>
        <v/>
      </c>
      <c r="O767" s="73">
        <f>IF(C767="","",IF(AND(OR(L767="1-Urgent",L767="2-High"),M767="✓"),"DO FIRST",IF(M767="✓","SCHEDULE",IF(OR(L767="1-Urgent",L767="2-High"),"DELEGATE","DELETE"))))</f>
        <v/>
      </c>
      <c r="P767" s="65" t="n"/>
      <c r="Q767">
        <f>IF(762&gt;Calc!$AQ$368,"",MATCH(761,Calc!$AQ$2:$AQ$367,1))</f>
        <v/>
      </c>
      <c r="R767">
        <f>IF(Q767="","",SMALL(INDEX(Calc!$B$2:$AO$367,Q767,0),762-INDEX(Calc!$AQ$2:$AQ$367,Q767)))</f>
        <v/>
      </c>
    </row>
    <row r="768">
      <c r="B768" s="64">
        <f>IF(R768="","",763)</f>
        <v/>
      </c>
      <c r="C768" s="37">
        <f>IF(R768="","",IF(INDEX('Recurring Schedule'!$C$6:$C$45,R768)="","",INDEX('Recurring Schedule'!$C$6:$C$45,R768)))</f>
        <v/>
      </c>
      <c r="D768" s="36">
        <f>IF(R768="","",IF(INDEX('Recurring Schedule'!$D$6:$D$45,R768)="","",INDEX('Recurring Schedule'!$D$6:$D$45,R768)))</f>
        <v/>
      </c>
      <c r="E768" s="38">
        <f>IF(Q768="","",INDEX(Calc!$A$2:$A$367,Q768))</f>
        <v/>
      </c>
      <c r="F768" s="68">
        <f>IF(OR(C768="",E768=""),"",E768-Setup!$D$7)</f>
        <v/>
      </c>
      <c r="G768" s="74">
        <f>IF(R768="","",IF(INDEX('Recurring Schedule'!$H$6:$H$45,R768)="","",INDEX('Recurring Schedule'!$H$6:$H$45,R768)))</f>
        <v/>
      </c>
      <c r="H768" s="74">
        <f>IF(R768="","",IF(INDEX('Recurring Schedule'!$I$6:$I$45,R768)="","",INDEX('Recurring Schedule'!$I$6:$I$45,R768)))</f>
        <v/>
      </c>
      <c r="I768" s="36">
        <f>IF(OR(G768="",H768=""),"",TRIM(IF(HOUR(H768-G768)&gt;0,HOUR(H768-G768)&amp;" hr ","")&amp;IF(MINUTE(H768-G768)&gt;0,MINUTE(H768-G768)&amp;" min","")))</f>
        <v/>
      </c>
      <c r="J768" s="66" t="n"/>
      <c r="K768" s="70" t="n"/>
      <c r="L768" s="36">
        <f>IF(R768="","",IF(INDEX('Recurring Schedule'!$J$6:$J$45,R768)="","",INDEX('Recurring Schedule'!$J$6:$J$45,R768)))</f>
        <v/>
      </c>
      <c r="M768" s="36">
        <f>IF(R768="","",IF(INDEX('Recurring Schedule'!$K$6:$K$45,R768)="","",INDEX('Recurring Schedule'!$K$6:$K$45,R768)))</f>
        <v/>
      </c>
      <c r="N768" s="36">
        <f>IF(R768="","",IF(INDEX('Recurring Schedule'!$L$6:$L$45,R768)="","",INDEX('Recurring Schedule'!$L$6:$L$45,R768)))</f>
        <v/>
      </c>
      <c r="O768" s="36">
        <f>IF(C768="","",IF(AND(OR(L768="1-Urgent",L768="2-High"),M768="✓"),"DO FIRST",IF(M768="✓","SCHEDULE",IF(OR(L768="1-Urgent",L768="2-High"),"DELEGATE","DELETE"))))</f>
        <v/>
      </c>
      <c r="P768" s="65" t="n"/>
      <c r="Q768">
        <f>IF(763&gt;Calc!$AQ$368,"",MATCH(762,Calc!$AQ$2:$AQ$367,1))</f>
        <v/>
      </c>
      <c r="R768">
        <f>IF(Q768="","",SMALL(INDEX(Calc!$B$2:$AO$367,Q768,0),763-INDEX(Calc!$AQ$2:$AQ$367,Q768)))</f>
        <v/>
      </c>
    </row>
    <row r="769">
      <c r="B769" s="71">
        <f>IF(R769="","",764)</f>
        <v/>
      </c>
      <c r="C769" s="75">
        <f>IF(R769="","",IF(INDEX('Recurring Schedule'!$C$6:$C$45,R769)="","",INDEX('Recurring Schedule'!$C$6:$C$45,R769)))</f>
        <v/>
      </c>
      <c r="D769" s="73">
        <f>IF(R769="","",IF(INDEX('Recurring Schedule'!$D$6:$D$45,R769)="","",INDEX('Recurring Schedule'!$D$6:$D$45,R769)))</f>
        <v/>
      </c>
      <c r="E769" s="76">
        <f>IF(Q769="","",INDEX(Calc!$A$2:$A$367,Q769))</f>
        <v/>
      </c>
      <c r="F769" s="72">
        <f>IF(OR(C769="",E769=""),"",E769-Setup!$D$7)</f>
        <v/>
      </c>
      <c r="G769" s="77">
        <f>IF(R769="","",IF(INDEX('Recurring Schedule'!$H$6:$H$45,R769)="","",INDEX('Recurring Schedule'!$H$6:$H$45,R769)))</f>
        <v/>
      </c>
      <c r="H769" s="77">
        <f>IF(R769="","",IF(INDEX('Recurring Schedule'!$I$6:$I$45,R769)="","",INDEX('Recurring Schedule'!$I$6:$I$45,R769)))</f>
        <v/>
      </c>
      <c r="I769" s="73">
        <f>IF(OR(G769="",H769=""),"",TRIM(IF(HOUR(H769-G769)&gt;0,HOUR(H769-G769)&amp;" hr ","")&amp;IF(MINUTE(H769-G769)&gt;0,MINUTE(H769-G769)&amp;" min","")))</f>
        <v/>
      </c>
      <c r="J769" s="66" t="n"/>
      <c r="K769" s="70" t="n"/>
      <c r="L769" s="73">
        <f>IF(R769="","",IF(INDEX('Recurring Schedule'!$J$6:$J$45,R769)="","",INDEX('Recurring Schedule'!$J$6:$J$45,R769)))</f>
        <v/>
      </c>
      <c r="M769" s="73">
        <f>IF(R769="","",IF(INDEX('Recurring Schedule'!$K$6:$K$45,R769)="","",INDEX('Recurring Schedule'!$K$6:$K$45,R769)))</f>
        <v/>
      </c>
      <c r="N769" s="73">
        <f>IF(R769="","",IF(INDEX('Recurring Schedule'!$L$6:$L$45,R769)="","",INDEX('Recurring Schedule'!$L$6:$L$45,R769)))</f>
        <v/>
      </c>
      <c r="O769" s="73">
        <f>IF(C769="","",IF(AND(OR(L769="1-Urgent",L769="2-High"),M769="✓"),"DO FIRST",IF(M769="✓","SCHEDULE",IF(OR(L769="1-Urgent",L769="2-High"),"DELEGATE","DELETE"))))</f>
        <v/>
      </c>
      <c r="P769" s="65" t="n"/>
      <c r="Q769">
        <f>IF(764&gt;Calc!$AQ$368,"",MATCH(763,Calc!$AQ$2:$AQ$367,1))</f>
        <v/>
      </c>
      <c r="R769">
        <f>IF(Q769="","",SMALL(INDEX(Calc!$B$2:$AO$367,Q769,0),764-INDEX(Calc!$AQ$2:$AQ$367,Q769)))</f>
        <v/>
      </c>
    </row>
    <row r="770">
      <c r="B770" s="64">
        <f>IF(R770="","",765)</f>
        <v/>
      </c>
      <c r="C770" s="37">
        <f>IF(R770="","",IF(INDEX('Recurring Schedule'!$C$6:$C$45,R770)="","",INDEX('Recurring Schedule'!$C$6:$C$45,R770)))</f>
        <v/>
      </c>
      <c r="D770" s="36">
        <f>IF(R770="","",IF(INDEX('Recurring Schedule'!$D$6:$D$45,R770)="","",INDEX('Recurring Schedule'!$D$6:$D$45,R770)))</f>
        <v/>
      </c>
      <c r="E770" s="38">
        <f>IF(Q770="","",INDEX(Calc!$A$2:$A$367,Q770))</f>
        <v/>
      </c>
      <c r="F770" s="68">
        <f>IF(OR(C770="",E770=""),"",E770-Setup!$D$7)</f>
        <v/>
      </c>
      <c r="G770" s="74">
        <f>IF(R770="","",IF(INDEX('Recurring Schedule'!$H$6:$H$45,R770)="","",INDEX('Recurring Schedule'!$H$6:$H$45,R770)))</f>
        <v/>
      </c>
      <c r="H770" s="74">
        <f>IF(R770="","",IF(INDEX('Recurring Schedule'!$I$6:$I$45,R770)="","",INDEX('Recurring Schedule'!$I$6:$I$45,R770)))</f>
        <v/>
      </c>
      <c r="I770" s="36">
        <f>IF(OR(G770="",H770=""),"",TRIM(IF(HOUR(H770-G770)&gt;0,HOUR(H770-G770)&amp;" hr ","")&amp;IF(MINUTE(H770-G770)&gt;0,MINUTE(H770-G770)&amp;" min","")))</f>
        <v/>
      </c>
      <c r="J770" s="66" t="n"/>
      <c r="K770" s="70" t="n"/>
      <c r="L770" s="36">
        <f>IF(R770="","",IF(INDEX('Recurring Schedule'!$J$6:$J$45,R770)="","",INDEX('Recurring Schedule'!$J$6:$J$45,R770)))</f>
        <v/>
      </c>
      <c r="M770" s="36">
        <f>IF(R770="","",IF(INDEX('Recurring Schedule'!$K$6:$K$45,R770)="","",INDEX('Recurring Schedule'!$K$6:$K$45,R770)))</f>
        <v/>
      </c>
      <c r="N770" s="36">
        <f>IF(R770="","",IF(INDEX('Recurring Schedule'!$L$6:$L$45,R770)="","",INDEX('Recurring Schedule'!$L$6:$L$45,R770)))</f>
        <v/>
      </c>
      <c r="O770" s="36">
        <f>IF(C770="","",IF(AND(OR(L770="1-Urgent",L770="2-High"),M770="✓"),"DO FIRST",IF(M770="✓","SCHEDULE",IF(OR(L770="1-Urgent",L770="2-High"),"DELEGATE","DELETE"))))</f>
        <v/>
      </c>
      <c r="P770" s="65" t="n"/>
      <c r="Q770">
        <f>IF(765&gt;Calc!$AQ$368,"",MATCH(764,Calc!$AQ$2:$AQ$367,1))</f>
        <v/>
      </c>
      <c r="R770">
        <f>IF(Q770="","",SMALL(INDEX(Calc!$B$2:$AO$367,Q770,0),765-INDEX(Calc!$AQ$2:$AQ$367,Q770)))</f>
        <v/>
      </c>
    </row>
    <row r="771">
      <c r="B771" s="71">
        <f>IF(R771="","",766)</f>
        <v/>
      </c>
      <c r="C771" s="75">
        <f>IF(R771="","",IF(INDEX('Recurring Schedule'!$C$6:$C$45,R771)="","",INDEX('Recurring Schedule'!$C$6:$C$45,R771)))</f>
        <v/>
      </c>
      <c r="D771" s="73">
        <f>IF(R771="","",IF(INDEX('Recurring Schedule'!$D$6:$D$45,R771)="","",INDEX('Recurring Schedule'!$D$6:$D$45,R771)))</f>
        <v/>
      </c>
      <c r="E771" s="76">
        <f>IF(Q771="","",INDEX(Calc!$A$2:$A$367,Q771))</f>
        <v/>
      </c>
      <c r="F771" s="72">
        <f>IF(OR(C771="",E771=""),"",E771-Setup!$D$7)</f>
        <v/>
      </c>
      <c r="G771" s="77">
        <f>IF(R771="","",IF(INDEX('Recurring Schedule'!$H$6:$H$45,R771)="","",INDEX('Recurring Schedule'!$H$6:$H$45,R771)))</f>
        <v/>
      </c>
      <c r="H771" s="77">
        <f>IF(R771="","",IF(INDEX('Recurring Schedule'!$I$6:$I$45,R771)="","",INDEX('Recurring Schedule'!$I$6:$I$45,R771)))</f>
        <v/>
      </c>
      <c r="I771" s="73">
        <f>IF(OR(G771="",H771=""),"",TRIM(IF(HOUR(H771-G771)&gt;0,HOUR(H771-G771)&amp;" hr ","")&amp;IF(MINUTE(H771-G771)&gt;0,MINUTE(H771-G771)&amp;" min","")))</f>
        <v/>
      </c>
      <c r="J771" s="66" t="n"/>
      <c r="K771" s="70" t="n"/>
      <c r="L771" s="73">
        <f>IF(R771="","",IF(INDEX('Recurring Schedule'!$J$6:$J$45,R771)="","",INDEX('Recurring Schedule'!$J$6:$J$45,R771)))</f>
        <v/>
      </c>
      <c r="M771" s="73">
        <f>IF(R771="","",IF(INDEX('Recurring Schedule'!$K$6:$K$45,R771)="","",INDEX('Recurring Schedule'!$K$6:$K$45,R771)))</f>
        <v/>
      </c>
      <c r="N771" s="73">
        <f>IF(R771="","",IF(INDEX('Recurring Schedule'!$L$6:$L$45,R771)="","",INDEX('Recurring Schedule'!$L$6:$L$45,R771)))</f>
        <v/>
      </c>
      <c r="O771" s="73">
        <f>IF(C771="","",IF(AND(OR(L771="1-Urgent",L771="2-High"),M771="✓"),"DO FIRST",IF(M771="✓","SCHEDULE",IF(OR(L771="1-Urgent",L771="2-High"),"DELEGATE","DELETE"))))</f>
        <v/>
      </c>
      <c r="P771" s="65" t="n"/>
      <c r="Q771">
        <f>IF(766&gt;Calc!$AQ$368,"",MATCH(765,Calc!$AQ$2:$AQ$367,1))</f>
        <v/>
      </c>
      <c r="R771">
        <f>IF(Q771="","",SMALL(INDEX(Calc!$B$2:$AO$367,Q771,0),766-INDEX(Calc!$AQ$2:$AQ$367,Q771)))</f>
        <v/>
      </c>
    </row>
    <row r="772">
      <c r="B772" s="64">
        <f>IF(R772="","",767)</f>
        <v/>
      </c>
      <c r="C772" s="37">
        <f>IF(R772="","",IF(INDEX('Recurring Schedule'!$C$6:$C$45,R772)="","",INDEX('Recurring Schedule'!$C$6:$C$45,R772)))</f>
        <v/>
      </c>
      <c r="D772" s="36">
        <f>IF(R772="","",IF(INDEX('Recurring Schedule'!$D$6:$D$45,R772)="","",INDEX('Recurring Schedule'!$D$6:$D$45,R772)))</f>
        <v/>
      </c>
      <c r="E772" s="38">
        <f>IF(Q772="","",INDEX(Calc!$A$2:$A$367,Q772))</f>
        <v/>
      </c>
      <c r="F772" s="68">
        <f>IF(OR(C772="",E772=""),"",E772-Setup!$D$7)</f>
        <v/>
      </c>
      <c r="G772" s="74">
        <f>IF(R772="","",IF(INDEX('Recurring Schedule'!$H$6:$H$45,R772)="","",INDEX('Recurring Schedule'!$H$6:$H$45,R772)))</f>
        <v/>
      </c>
      <c r="H772" s="74">
        <f>IF(R772="","",IF(INDEX('Recurring Schedule'!$I$6:$I$45,R772)="","",INDEX('Recurring Schedule'!$I$6:$I$45,R772)))</f>
        <v/>
      </c>
      <c r="I772" s="36">
        <f>IF(OR(G772="",H772=""),"",TRIM(IF(HOUR(H772-G772)&gt;0,HOUR(H772-G772)&amp;" hr ","")&amp;IF(MINUTE(H772-G772)&gt;0,MINUTE(H772-G772)&amp;" min","")))</f>
        <v/>
      </c>
      <c r="J772" s="66" t="n"/>
      <c r="K772" s="70" t="n"/>
      <c r="L772" s="36">
        <f>IF(R772="","",IF(INDEX('Recurring Schedule'!$J$6:$J$45,R772)="","",INDEX('Recurring Schedule'!$J$6:$J$45,R772)))</f>
        <v/>
      </c>
      <c r="M772" s="36">
        <f>IF(R772="","",IF(INDEX('Recurring Schedule'!$K$6:$K$45,R772)="","",INDEX('Recurring Schedule'!$K$6:$K$45,R772)))</f>
        <v/>
      </c>
      <c r="N772" s="36">
        <f>IF(R772="","",IF(INDEX('Recurring Schedule'!$L$6:$L$45,R772)="","",INDEX('Recurring Schedule'!$L$6:$L$45,R772)))</f>
        <v/>
      </c>
      <c r="O772" s="36">
        <f>IF(C772="","",IF(AND(OR(L772="1-Urgent",L772="2-High"),M772="✓"),"DO FIRST",IF(M772="✓","SCHEDULE",IF(OR(L772="1-Urgent",L772="2-High"),"DELEGATE","DELETE"))))</f>
        <v/>
      </c>
      <c r="P772" s="65" t="n"/>
      <c r="Q772">
        <f>IF(767&gt;Calc!$AQ$368,"",MATCH(766,Calc!$AQ$2:$AQ$367,1))</f>
        <v/>
      </c>
      <c r="R772">
        <f>IF(Q772="","",SMALL(INDEX(Calc!$B$2:$AO$367,Q772,0),767-INDEX(Calc!$AQ$2:$AQ$367,Q772)))</f>
        <v/>
      </c>
    </row>
    <row r="773">
      <c r="B773" s="71">
        <f>IF(R773="","",768)</f>
        <v/>
      </c>
      <c r="C773" s="75">
        <f>IF(R773="","",IF(INDEX('Recurring Schedule'!$C$6:$C$45,R773)="","",INDEX('Recurring Schedule'!$C$6:$C$45,R773)))</f>
        <v/>
      </c>
      <c r="D773" s="73">
        <f>IF(R773="","",IF(INDEX('Recurring Schedule'!$D$6:$D$45,R773)="","",INDEX('Recurring Schedule'!$D$6:$D$45,R773)))</f>
        <v/>
      </c>
      <c r="E773" s="76">
        <f>IF(Q773="","",INDEX(Calc!$A$2:$A$367,Q773))</f>
        <v/>
      </c>
      <c r="F773" s="72">
        <f>IF(OR(C773="",E773=""),"",E773-Setup!$D$7)</f>
        <v/>
      </c>
      <c r="G773" s="77">
        <f>IF(R773="","",IF(INDEX('Recurring Schedule'!$H$6:$H$45,R773)="","",INDEX('Recurring Schedule'!$H$6:$H$45,R773)))</f>
        <v/>
      </c>
      <c r="H773" s="77">
        <f>IF(R773="","",IF(INDEX('Recurring Schedule'!$I$6:$I$45,R773)="","",INDEX('Recurring Schedule'!$I$6:$I$45,R773)))</f>
        <v/>
      </c>
      <c r="I773" s="73">
        <f>IF(OR(G773="",H773=""),"",TRIM(IF(HOUR(H773-G773)&gt;0,HOUR(H773-G773)&amp;" hr ","")&amp;IF(MINUTE(H773-G773)&gt;0,MINUTE(H773-G773)&amp;" min","")))</f>
        <v/>
      </c>
      <c r="J773" s="66" t="n"/>
      <c r="K773" s="70" t="n"/>
      <c r="L773" s="73">
        <f>IF(R773="","",IF(INDEX('Recurring Schedule'!$J$6:$J$45,R773)="","",INDEX('Recurring Schedule'!$J$6:$J$45,R773)))</f>
        <v/>
      </c>
      <c r="M773" s="73">
        <f>IF(R773="","",IF(INDEX('Recurring Schedule'!$K$6:$K$45,R773)="","",INDEX('Recurring Schedule'!$K$6:$K$45,R773)))</f>
        <v/>
      </c>
      <c r="N773" s="73">
        <f>IF(R773="","",IF(INDEX('Recurring Schedule'!$L$6:$L$45,R773)="","",INDEX('Recurring Schedule'!$L$6:$L$45,R773)))</f>
        <v/>
      </c>
      <c r="O773" s="73">
        <f>IF(C773="","",IF(AND(OR(L773="1-Urgent",L773="2-High"),M773="✓"),"DO FIRST",IF(M773="✓","SCHEDULE",IF(OR(L773="1-Urgent",L773="2-High"),"DELEGATE","DELETE"))))</f>
        <v/>
      </c>
      <c r="P773" s="65" t="n"/>
      <c r="Q773">
        <f>IF(768&gt;Calc!$AQ$368,"",MATCH(767,Calc!$AQ$2:$AQ$367,1))</f>
        <v/>
      </c>
      <c r="R773">
        <f>IF(Q773="","",SMALL(INDEX(Calc!$B$2:$AO$367,Q773,0),768-INDEX(Calc!$AQ$2:$AQ$367,Q773)))</f>
        <v/>
      </c>
    </row>
    <row r="774">
      <c r="B774" s="64">
        <f>IF(R774="","",769)</f>
        <v/>
      </c>
      <c r="C774" s="37">
        <f>IF(R774="","",IF(INDEX('Recurring Schedule'!$C$6:$C$45,R774)="","",INDEX('Recurring Schedule'!$C$6:$C$45,R774)))</f>
        <v/>
      </c>
      <c r="D774" s="36">
        <f>IF(R774="","",IF(INDEX('Recurring Schedule'!$D$6:$D$45,R774)="","",INDEX('Recurring Schedule'!$D$6:$D$45,R774)))</f>
        <v/>
      </c>
      <c r="E774" s="38">
        <f>IF(Q774="","",INDEX(Calc!$A$2:$A$367,Q774))</f>
        <v/>
      </c>
      <c r="F774" s="68">
        <f>IF(OR(C774="",E774=""),"",E774-Setup!$D$7)</f>
        <v/>
      </c>
      <c r="G774" s="74">
        <f>IF(R774="","",IF(INDEX('Recurring Schedule'!$H$6:$H$45,R774)="","",INDEX('Recurring Schedule'!$H$6:$H$45,R774)))</f>
        <v/>
      </c>
      <c r="H774" s="74">
        <f>IF(R774="","",IF(INDEX('Recurring Schedule'!$I$6:$I$45,R774)="","",INDEX('Recurring Schedule'!$I$6:$I$45,R774)))</f>
        <v/>
      </c>
      <c r="I774" s="36">
        <f>IF(OR(G774="",H774=""),"",TRIM(IF(HOUR(H774-G774)&gt;0,HOUR(H774-G774)&amp;" hr ","")&amp;IF(MINUTE(H774-G774)&gt;0,MINUTE(H774-G774)&amp;" min","")))</f>
        <v/>
      </c>
      <c r="J774" s="66" t="n"/>
      <c r="K774" s="70" t="n"/>
      <c r="L774" s="36">
        <f>IF(R774="","",IF(INDEX('Recurring Schedule'!$J$6:$J$45,R774)="","",INDEX('Recurring Schedule'!$J$6:$J$45,R774)))</f>
        <v/>
      </c>
      <c r="M774" s="36">
        <f>IF(R774="","",IF(INDEX('Recurring Schedule'!$K$6:$K$45,R774)="","",INDEX('Recurring Schedule'!$K$6:$K$45,R774)))</f>
        <v/>
      </c>
      <c r="N774" s="36">
        <f>IF(R774="","",IF(INDEX('Recurring Schedule'!$L$6:$L$45,R774)="","",INDEX('Recurring Schedule'!$L$6:$L$45,R774)))</f>
        <v/>
      </c>
      <c r="O774" s="36">
        <f>IF(C774="","",IF(AND(OR(L774="1-Urgent",L774="2-High"),M774="✓"),"DO FIRST",IF(M774="✓","SCHEDULE",IF(OR(L774="1-Urgent",L774="2-High"),"DELEGATE","DELETE"))))</f>
        <v/>
      </c>
      <c r="P774" s="65" t="n"/>
      <c r="Q774">
        <f>IF(769&gt;Calc!$AQ$368,"",MATCH(768,Calc!$AQ$2:$AQ$367,1))</f>
        <v/>
      </c>
      <c r="R774">
        <f>IF(Q774="","",SMALL(INDEX(Calc!$B$2:$AO$367,Q774,0),769-INDEX(Calc!$AQ$2:$AQ$367,Q774)))</f>
        <v/>
      </c>
    </row>
    <row r="775">
      <c r="B775" s="71">
        <f>IF(R775="","",770)</f>
        <v/>
      </c>
      <c r="C775" s="75">
        <f>IF(R775="","",IF(INDEX('Recurring Schedule'!$C$6:$C$45,R775)="","",INDEX('Recurring Schedule'!$C$6:$C$45,R775)))</f>
        <v/>
      </c>
      <c r="D775" s="73">
        <f>IF(R775="","",IF(INDEX('Recurring Schedule'!$D$6:$D$45,R775)="","",INDEX('Recurring Schedule'!$D$6:$D$45,R775)))</f>
        <v/>
      </c>
      <c r="E775" s="76">
        <f>IF(Q775="","",INDEX(Calc!$A$2:$A$367,Q775))</f>
        <v/>
      </c>
      <c r="F775" s="72">
        <f>IF(OR(C775="",E775=""),"",E775-Setup!$D$7)</f>
        <v/>
      </c>
      <c r="G775" s="77">
        <f>IF(R775="","",IF(INDEX('Recurring Schedule'!$H$6:$H$45,R775)="","",INDEX('Recurring Schedule'!$H$6:$H$45,R775)))</f>
        <v/>
      </c>
      <c r="H775" s="77">
        <f>IF(R775="","",IF(INDEX('Recurring Schedule'!$I$6:$I$45,R775)="","",INDEX('Recurring Schedule'!$I$6:$I$45,R775)))</f>
        <v/>
      </c>
      <c r="I775" s="73">
        <f>IF(OR(G775="",H775=""),"",TRIM(IF(HOUR(H775-G775)&gt;0,HOUR(H775-G775)&amp;" hr ","")&amp;IF(MINUTE(H775-G775)&gt;0,MINUTE(H775-G775)&amp;" min","")))</f>
        <v/>
      </c>
      <c r="J775" s="66" t="n"/>
      <c r="K775" s="70" t="n"/>
      <c r="L775" s="73">
        <f>IF(R775="","",IF(INDEX('Recurring Schedule'!$J$6:$J$45,R775)="","",INDEX('Recurring Schedule'!$J$6:$J$45,R775)))</f>
        <v/>
      </c>
      <c r="M775" s="73">
        <f>IF(R775="","",IF(INDEX('Recurring Schedule'!$K$6:$K$45,R775)="","",INDEX('Recurring Schedule'!$K$6:$K$45,R775)))</f>
        <v/>
      </c>
      <c r="N775" s="73">
        <f>IF(R775="","",IF(INDEX('Recurring Schedule'!$L$6:$L$45,R775)="","",INDEX('Recurring Schedule'!$L$6:$L$45,R775)))</f>
        <v/>
      </c>
      <c r="O775" s="73">
        <f>IF(C775="","",IF(AND(OR(L775="1-Urgent",L775="2-High"),M775="✓"),"DO FIRST",IF(M775="✓","SCHEDULE",IF(OR(L775="1-Urgent",L775="2-High"),"DELEGATE","DELETE"))))</f>
        <v/>
      </c>
      <c r="P775" s="65" t="n"/>
      <c r="Q775">
        <f>IF(770&gt;Calc!$AQ$368,"",MATCH(769,Calc!$AQ$2:$AQ$367,1))</f>
        <v/>
      </c>
      <c r="R775">
        <f>IF(Q775="","",SMALL(INDEX(Calc!$B$2:$AO$367,Q775,0),770-INDEX(Calc!$AQ$2:$AQ$367,Q775)))</f>
        <v/>
      </c>
    </row>
    <row r="776">
      <c r="B776" s="64">
        <f>IF(R776="","",771)</f>
        <v/>
      </c>
      <c r="C776" s="37">
        <f>IF(R776="","",IF(INDEX('Recurring Schedule'!$C$6:$C$45,R776)="","",INDEX('Recurring Schedule'!$C$6:$C$45,R776)))</f>
        <v/>
      </c>
      <c r="D776" s="36">
        <f>IF(R776="","",IF(INDEX('Recurring Schedule'!$D$6:$D$45,R776)="","",INDEX('Recurring Schedule'!$D$6:$D$45,R776)))</f>
        <v/>
      </c>
      <c r="E776" s="38">
        <f>IF(Q776="","",INDEX(Calc!$A$2:$A$367,Q776))</f>
        <v/>
      </c>
      <c r="F776" s="68">
        <f>IF(OR(C776="",E776=""),"",E776-Setup!$D$7)</f>
        <v/>
      </c>
      <c r="G776" s="74">
        <f>IF(R776="","",IF(INDEX('Recurring Schedule'!$H$6:$H$45,R776)="","",INDEX('Recurring Schedule'!$H$6:$H$45,R776)))</f>
        <v/>
      </c>
      <c r="H776" s="74">
        <f>IF(R776="","",IF(INDEX('Recurring Schedule'!$I$6:$I$45,R776)="","",INDEX('Recurring Schedule'!$I$6:$I$45,R776)))</f>
        <v/>
      </c>
      <c r="I776" s="36">
        <f>IF(OR(G776="",H776=""),"",TRIM(IF(HOUR(H776-G776)&gt;0,HOUR(H776-G776)&amp;" hr ","")&amp;IF(MINUTE(H776-G776)&gt;0,MINUTE(H776-G776)&amp;" min","")))</f>
        <v/>
      </c>
      <c r="J776" s="66" t="n"/>
      <c r="K776" s="70" t="n"/>
      <c r="L776" s="36">
        <f>IF(R776="","",IF(INDEX('Recurring Schedule'!$J$6:$J$45,R776)="","",INDEX('Recurring Schedule'!$J$6:$J$45,R776)))</f>
        <v/>
      </c>
      <c r="M776" s="36">
        <f>IF(R776="","",IF(INDEX('Recurring Schedule'!$K$6:$K$45,R776)="","",INDEX('Recurring Schedule'!$K$6:$K$45,R776)))</f>
        <v/>
      </c>
      <c r="N776" s="36">
        <f>IF(R776="","",IF(INDEX('Recurring Schedule'!$L$6:$L$45,R776)="","",INDEX('Recurring Schedule'!$L$6:$L$45,R776)))</f>
        <v/>
      </c>
      <c r="O776" s="36">
        <f>IF(C776="","",IF(AND(OR(L776="1-Urgent",L776="2-High"),M776="✓"),"DO FIRST",IF(M776="✓","SCHEDULE",IF(OR(L776="1-Urgent",L776="2-High"),"DELEGATE","DELETE"))))</f>
        <v/>
      </c>
      <c r="P776" s="65" t="n"/>
      <c r="Q776">
        <f>IF(771&gt;Calc!$AQ$368,"",MATCH(770,Calc!$AQ$2:$AQ$367,1))</f>
        <v/>
      </c>
      <c r="R776">
        <f>IF(Q776="","",SMALL(INDEX(Calc!$B$2:$AO$367,Q776,0),771-INDEX(Calc!$AQ$2:$AQ$367,Q776)))</f>
        <v/>
      </c>
    </row>
    <row r="777">
      <c r="B777" s="71">
        <f>IF(R777="","",772)</f>
        <v/>
      </c>
      <c r="C777" s="75">
        <f>IF(R777="","",IF(INDEX('Recurring Schedule'!$C$6:$C$45,R777)="","",INDEX('Recurring Schedule'!$C$6:$C$45,R777)))</f>
        <v/>
      </c>
      <c r="D777" s="73">
        <f>IF(R777="","",IF(INDEX('Recurring Schedule'!$D$6:$D$45,R777)="","",INDEX('Recurring Schedule'!$D$6:$D$45,R777)))</f>
        <v/>
      </c>
      <c r="E777" s="76">
        <f>IF(Q777="","",INDEX(Calc!$A$2:$A$367,Q777))</f>
        <v/>
      </c>
      <c r="F777" s="72">
        <f>IF(OR(C777="",E777=""),"",E777-Setup!$D$7)</f>
        <v/>
      </c>
      <c r="G777" s="77">
        <f>IF(R777="","",IF(INDEX('Recurring Schedule'!$H$6:$H$45,R777)="","",INDEX('Recurring Schedule'!$H$6:$H$45,R777)))</f>
        <v/>
      </c>
      <c r="H777" s="77">
        <f>IF(R777="","",IF(INDEX('Recurring Schedule'!$I$6:$I$45,R777)="","",INDEX('Recurring Schedule'!$I$6:$I$45,R777)))</f>
        <v/>
      </c>
      <c r="I777" s="73">
        <f>IF(OR(G777="",H777=""),"",TRIM(IF(HOUR(H777-G777)&gt;0,HOUR(H777-G777)&amp;" hr ","")&amp;IF(MINUTE(H777-G777)&gt;0,MINUTE(H777-G777)&amp;" min","")))</f>
        <v/>
      </c>
      <c r="J777" s="66" t="n"/>
      <c r="K777" s="70" t="n"/>
      <c r="L777" s="73">
        <f>IF(R777="","",IF(INDEX('Recurring Schedule'!$J$6:$J$45,R777)="","",INDEX('Recurring Schedule'!$J$6:$J$45,R777)))</f>
        <v/>
      </c>
      <c r="M777" s="73">
        <f>IF(R777="","",IF(INDEX('Recurring Schedule'!$K$6:$K$45,R777)="","",INDEX('Recurring Schedule'!$K$6:$K$45,R777)))</f>
        <v/>
      </c>
      <c r="N777" s="73">
        <f>IF(R777="","",IF(INDEX('Recurring Schedule'!$L$6:$L$45,R777)="","",INDEX('Recurring Schedule'!$L$6:$L$45,R777)))</f>
        <v/>
      </c>
      <c r="O777" s="73">
        <f>IF(C777="","",IF(AND(OR(L777="1-Urgent",L777="2-High"),M777="✓"),"DO FIRST",IF(M777="✓","SCHEDULE",IF(OR(L777="1-Urgent",L777="2-High"),"DELEGATE","DELETE"))))</f>
        <v/>
      </c>
      <c r="P777" s="65" t="n"/>
      <c r="Q777">
        <f>IF(772&gt;Calc!$AQ$368,"",MATCH(771,Calc!$AQ$2:$AQ$367,1))</f>
        <v/>
      </c>
      <c r="R777">
        <f>IF(Q777="","",SMALL(INDEX(Calc!$B$2:$AO$367,Q777,0),772-INDEX(Calc!$AQ$2:$AQ$367,Q777)))</f>
        <v/>
      </c>
    </row>
    <row r="778">
      <c r="B778" s="64">
        <f>IF(R778="","",773)</f>
        <v/>
      </c>
      <c r="C778" s="37">
        <f>IF(R778="","",IF(INDEX('Recurring Schedule'!$C$6:$C$45,R778)="","",INDEX('Recurring Schedule'!$C$6:$C$45,R778)))</f>
        <v/>
      </c>
      <c r="D778" s="36">
        <f>IF(R778="","",IF(INDEX('Recurring Schedule'!$D$6:$D$45,R778)="","",INDEX('Recurring Schedule'!$D$6:$D$45,R778)))</f>
        <v/>
      </c>
      <c r="E778" s="38">
        <f>IF(Q778="","",INDEX(Calc!$A$2:$A$367,Q778))</f>
        <v/>
      </c>
      <c r="F778" s="68">
        <f>IF(OR(C778="",E778=""),"",E778-Setup!$D$7)</f>
        <v/>
      </c>
      <c r="G778" s="74">
        <f>IF(R778="","",IF(INDEX('Recurring Schedule'!$H$6:$H$45,R778)="","",INDEX('Recurring Schedule'!$H$6:$H$45,R778)))</f>
        <v/>
      </c>
      <c r="H778" s="74">
        <f>IF(R778="","",IF(INDEX('Recurring Schedule'!$I$6:$I$45,R778)="","",INDEX('Recurring Schedule'!$I$6:$I$45,R778)))</f>
        <v/>
      </c>
      <c r="I778" s="36">
        <f>IF(OR(G778="",H778=""),"",TRIM(IF(HOUR(H778-G778)&gt;0,HOUR(H778-G778)&amp;" hr ","")&amp;IF(MINUTE(H778-G778)&gt;0,MINUTE(H778-G778)&amp;" min","")))</f>
        <v/>
      </c>
      <c r="J778" s="66" t="n"/>
      <c r="K778" s="70" t="n"/>
      <c r="L778" s="36">
        <f>IF(R778="","",IF(INDEX('Recurring Schedule'!$J$6:$J$45,R778)="","",INDEX('Recurring Schedule'!$J$6:$J$45,R778)))</f>
        <v/>
      </c>
      <c r="M778" s="36">
        <f>IF(R778="","",IF(INDEX('Recurring Schedule'!$K$6:$K$45,R778)="","",INDEX('Recurring Schedule'!$K$6:$K$45,R778)))</f>
        <v/>
      </c>
      <c r="N778" s="36">
        <f>IF(R778="","",IF(INDEX('Recurring Schedule'!$L$6:$L$45,R778)="","",INDEX('Recurring Schedule'!$L$6:$L$45,R778)))</f>
        <v/>
      </c>
      <c r="O778" s="36">
        <f>IF(C778="","",IF(AND(OR(L778="1-Urgent",L778="2-High"),M778="✓"),"DO FIRST",IF(M778="✓","SCHEDULE",IF(OR(L778="1-Urgent",L778="2-High"),"DELEGATE","DELETE"))))</f>
        <v/>
      </c>
      <c r="P778" s="65" t="n"/>
      <c r="Q778">
        <f>IF(773&gt;Calc!$AQ$368,"",MATCH(772,Calc!$AQ$2:$AQ$367,1))</f>
        <v/>
      </c>
      <c r="R778">
        <f>IF(Q778="","",SMALL(INDEX(Calc!$B$2:$AO$367,Q778,0),773-INDEX(Calc!$AQ$2:$AQ$367,Q778)))</f>
        <v/>
      </c>
    </row>
    <row r="779">
      <c r="B779" s="71">
        <f>IF(R779="","",774)</f>
        <v/>
      </c>
      <c r="C779" s="75">
        <f>IF(R779="","",IF(INDEX('Recurring Schedule'!$C$6:$C$45,R779)="","",INDEX('Recurring Schedule'!$C$6:$C$45,R779)))</f>
        <v/>
      </c>
      <c r="D779" s="73">
        <f>IF(R779="","",IF(INDEX('Recurring Schedule'!$D$6:$D$45,R779)="","",INDEX('Recurring Schedule'!$D$6:$D$45,R779)))</f>
        <v/>
      </c>
      <c r="E779" s="76">
        <f>IF(Q779="","",INDEX(Calc!$A$2:$A$367,Q779))</f>
        <v/>
      </c>
      <c r="F779" s="72">
        <f>IF(OR(C779="",E779=""),"",E779-Setup!$D$7)</f>
        <v/>
      </c>
      <c r="G779" s="77">
        <f>IF(R779="","",IF(INDEX('Recurring Schedule'!$H$6:$H$45,R779)="","",INDEX('Recurring Schedule'!$H$6:$H$45,R779)))</f>
        <v/>
      </c>
      <c r="H779" s="77">
        <f>IF(R779="","",IF(INDEX('Recurring Schedule'!$I$6:$I$45,R779)="","",INDEX('Recurring Schedule'!$I$6:$I$45,R779)))</f>
        <v/>
      </c>
      <c r="I779" s="73">
        <f>IF(OR(G779="",H779=""),"",TRIM(IF(HOUR(H779-G779)&gt;0,HOUR(H779-G779)&amp;" hr ","")&amp;IF(MINUTE(H779-G779)&gt;0,MINUTE(H779-G779)&amp;" min","")))</f>
        <v/>
      </c>
      <c r="J779" s="66" t="n"/>
      <c r="K779" s="70" t="n"/>
      <c r="L779" s="73">
        <f>IF(R779="","",IF(INDEX('Recurring Schedule'!$J$6:$J$45,R779)="","",INDEX('Recurring Schedule'!$J$6:$J$45,R779)))</f>
        <v/>
      </c>
      <c r="M779" s="73">
        <f>IF(R779="","",IF(INDEX('Recurring Schedule'!$K$6:$K$45,R779)="","",INDEX('Recurring Schedule'!$K$6:$K$45,R779)))</f>
        <v/>
      </c>
      <c r="N779" s="73">
        <f>IF(R779="","",IF(INDEX('Recurring Schedule'!$L$6:$L$45,R779)="","",INDEX('Recurring Schedule'!$L$6:$L$45,R779)))</f>
        <v/>
      </c>
      <c r="O779" s="73">
        <f>IF(C779="","",IF(AND(OR(L779="1-Urgent",L779="2-High"),M779="✓"),"DO FIRST",IF(M779="✓","SCHEDULE",IF(OR(L779="1-Urgent",L779="2-High"),"DELEGATE","DELETE"))))</f>
        <v/>
      </c>
      <c r="P779" s="65" t="n"/>
      <c r="Q779">
        <f>IF(774&gt;Calc!$AQ$368,"",MATCH(773,Calc!$AQ$2:$AQ$367,1))</f>
        <v/>
      </c>
      <c r="R779">
        <f>IF(Q779="","",SMALL(INDEX(Calc!$B$2:$AO$367,Q779,0),774-INDEX(Calc!$AQ$2:$AQ$367,Q779)))</f>
        <v/>
      </c>
    </row>
    <row r="780">
      <c r="B780" s="64">
        <f>IF(R780="","",775)</f>
        <v/>
      </c>
      <c r="C780" s="37">
        <f>IF(R780="","",IF(INDEX('Recurring Schedule'!$C$6:$C$45,R780)="","",INDEX('Recurring Schedule'!$C$6:$C$45,R780)))</f>
        <v/>
      </c>
      <c r="D780" s="36">
        <f>IF(R780="","",IF(INDEX('Recurring Schedule'!$D$6:$D$45,R780)="","",INDEX('Recurring Schedule'!$D$6:$D$45,R780)))</f>
        <v/>
      </c>
      <c r="E780" s="38">
        <f>IF(Q780="","",INDEX(Calc!$A$2:$A$367,Q780))</f>
        <v/>
      </c>
      <c r="F780" s="68">
        <f>IF(OR(C780="",E780=""),"",E780-Setup!$D$7)</f>
        <v/>
      </c>
      <c r="G780" s="74">
        <f>IF(R780="","",IF(INDEX('Recurring Schedule'!$H$6:$H$45,R780)="","",INDEX('Recurring Schedule'!$H$6:$H$45,R780)))</f>
        <v/>
      </c>
      <c r="H780" s="74">
        <f>IF(R780="","",IF(INDEX('Recurring Schedule'!$I$6:$I$45,R780)="","",INDEX('Recurring Schedule'!$I$6:$I$45,R780)))</f>
        <v/>
      </c>
      <c r="I780" s="36">
        <f>IF(OR(G780="",H780=""),"",TRIM(IF(HOUR(H780-G780)&gt;0,HOUR(H780-G780)&amp;" hr ","")&amp;IF(MINUTE(H780-G780)&gt;0,MINUTE(H780-G780)&amp;" min","")))</f>
        <v/>
      </c>
      <c r="J780" s="66" t="n"/>
      <c r="K780" s="70" t="n"/>
      <c r="L780" s="36">
        <f>IF(R780="","",IF(INDEX('Recurring Schedule'!$J$6:$J$45,R780)="","",INDEX('Recurring Schedule'!$J$6:$J$45,R780)))</f>
        <v/>
      </c>
      <c r="M780" s="36">
        <f>IF(R780="","",IF(INDEX('Recurring Schedule'!$K$6:$K$45,R780)="","",INDEX('Recurring Schedule'!$K$6:$K$45,R780)))</f>
        <v/>
      </c>
      <c r="N780" s="36">
        <f>IF(R780="","",IF(INDEX('Recurring Schedule'!$L$6:$L$45,R780)="","",INDEX('Recurring Schedule'!$L$6:$L$45,R780)))</f>
        <v/>
      </c>
      <c r="O780" s="36">
        <f>IF(C780="","",IF(AND(OR(L780="1-Urgent",L780="2-High"),M780="✓"),"DO FIRST",IF(M780="✓","SCHEDULE",IF(OR(L780="1-Urgent",L780="2-High"),"DELEGATE","DELETE"))))</f>
        <v/>
      </c>
      <c r="P780" s="65" t="n"/>
      <c r="Q780">
        <f>IF(775&gt;Calc!$AQ$368,"",MATCH(774,Calc!$AQ$2:$AQ$367,1))</f>
        <v/>
      </c>
      <c r="R780">
        <f>IF(Q780="","",SMALL(INDEX(Calc!$B$2:$AO$367,Q780,0),775-INDEX(Calc!$AQ$2:$AQ$367,Q780)))</f>
        <v/>
      </c>
    </row>
    <row r="781">
      <c r="B781" s="71">
        <f>IF(R781="","",776)</f>
        <v/>
      </c>
      <c r="C781" s="75">
        <f>IF(R781="","",IF(INDEX('Recurring Schedule'!$C$6:$C$45,R781)="","",INDEX('Recurring Schedule'!$C$6:$C$45,R781)))</f>
        <v/>
      </c>
      <c r="D781" s="73">
        <f>IF(R781="","",IF(INDEX('Recurring Schedule'!$D$6:$D$45,R781)="","",INDEX('Recurring Schedule'!$D$6:$D$45,R781)))</f>
        <v/>
      </c>
      <c r="E781" s="76">
        <f>IF(Q781="","",INDEX(Calc!$A$2:$A$367,Q781))</f>
        <v/>
      </c>
      <c r="F781" s="72">
        <f>IF(OR(C781="",E781=""),"",E781-Setup!$D$7)</f>
        <v/>
      </c>
      <c r="G781" s="77">
        <f>IF(R781="","",IF(INDEX('Recurring Schedule'!$H$6:$H$45,R781)="","",INDEX('Recurring Schedule'!$H$6:$H$45,R781)))</f>
        <v/>
      </c>
      <c r="H781" s="77">
        <f>IF(R781="","",IF(INDEX('Recurring Schedule'!$I$6:$I$45,R781)="","",INDEX('Recurring Schedule'!$I$6:$I$45,R781)))</f>
        <v/>
      </c>
      <c r="I781" s="73">
        <f>IF(OR(G781="",H781=""),"",TRIM(IF(HOUR(H781-G781)&gt;0,HOUR(H781-G781)&amp;" hr ","")&amp;IF(MINUTE(H781-G781)&gt;0,MINUTE(H781-G781)&amp;" min","")))</f>
        <v/>
      </c>
      <c r="J781" s="66" t="n"/>
      <c r="K781" s="70" t="n"/>
      <c r="L781" s="73">
        <f>IF(R781="","",IF(INDEX('Recurring Schedule'!$J$6:$J$45,R781)="","",INDEX('Recurring Schedule'!$J$6:$J$45,R781)))</f>
        <v/>
      </c>
      <c r="M781" s="73">
        <f>IF(R781="","",IF(INDEX('Recurring Schedule'!$K$6:$K$45,R781)="","",INDEX('Recurring Schedule'!$K$6:$K$45,R781)))</f>
        <v/>
      </c>
      <c r="N781" s="73">
        <f>IF(R781="","",IF(INDEX('Recurring Schedule'!$L$6:$L$45,R781)="","",INDEX('Recurring Schedule'!$L$6:$L$45,R781)))</f>
        <v/>
      </c>
      <c r="O781" s="73">
        <f>IF(C781="","",IF(AND(OR(L781="1-Urgent",L781="2-High"),M781="✓"),"DO FIRST",IF(M781="✓","SCHEDULE",IF(OR(L781="1-Urgent",L781="2-High"),"DELEGATE","DELETE"))))</f>
        <v/>
      </c>
      <c r="P781" s="65" t="n"/>
      <c r="Q781">
        <f>IF(776&gt;Calc!$AQ$368,"",MATCH(775,Calc!$AQ$2:$AQ$367,1))</f>
        <v/>
      </c>
      <c r="R781">
        <f>IF(Q781="","",SMALL(INDEX(Calc!$B$2:$AO$367,Q781,0),776-INDEX(Calc!$AQ$2:$AQ$367,Q781)))</f>
        <v/>
      </c>
    </row>
    <row r="782">
      <c r="B782" s="64">
        <f>IF(R782="","",777)</f>
        <v/>
      </c>
      <c r="C782" s="37">
        <f>IF(R782="","",IF(INDEX('Recurring Schedule'!$C$6:$C$45,R782)="","",INDEX('Recurring Schedule'!$C$6:$C$45,R782)))</f>
        <v/>
      </c>
      <c r="D782" s="36">
        <f>IF(R782="","",IF(INDEX('Recurring Schedule'!$D$6:$D$45,R782)="","",INDEX('Recurring Schedule'!$D$6:$D$45,R782)))</f>
        <v/>
      </c>
      <c r="E782" s="38">
        <f>IF(Q782="","",INDEX(Calc!$A$2:$A$367,Q782))</f>
        <v/>
      </c>
      <c r="F782" s="68">
        <f>IF(OR(C782="",E782=""),"",E782-Setup!$D$7)</f>
        <v/>
      </c>
      <c r="G782" s="74">
        <f>IF(R782="","",IF(INDEX('Recurring Schedule'!$H$6:$H$45,R782)="","",INDEX('Recurring Schedule'!$H$6:$H$45,R782)))</f>
        <v/>
      </c>
      <c r="H782" s="74">
        <f>IF(R782="","",IF(INDEX('Recurring Schedule'!$I$6:$I$45,R782)="","",INDEX('Recurring Schedule'!$I$6:$I$45,R782)))</f>
        <v/>
      </c>
      <c r="I782" s="36">
        <f>IF(OR(G782="",H782=""),"",TRIM(IF(HOUR(H782-G782)&gt;0,HOUR(H782-G782)&amp;" hr ","")&amp;IF(MINUTE(H782-G782)&gt;0,MINUTE(H782-G782)&amp;" min","")))</f>
        <v/>
      </c>
      <c r="J782" s="66" t="n"/>
      <c r="K782" s="70" t="n"/>
      <c r="L782" s="36">
        <f>IF(R782="","",IF(INDEX('Recurring Schedule'!$J$6:$J$45,R782)="","",INDEX('Recurring Schedule'!$J$6:$J$45,R782)))</f>
        <v/>
      </c>
      <c r="M782" s="36">
        <f>IF(R782="","",IF(INDEX('Recurring Schedule'!$K$6:$K$45,R782)="","",INDEX('Recurring Schedule'!$K$6:$K$45,R782)))</f>
        <v/>
      </c>
      <c r="N782" s="36">
        <f>IF(R782="","",IF(INDEX('Recurring Schedule'!$L$6:$L$45,R782)="","",INDEX('Recurring Schedule'!$L$6:$L$45,R782)))</f>
        <v/>
      </c>
      <c r="O782" s="36">
        <f>IF(C782="","",IF(AND(OR(L782="1-Urgent",L782="2-High"),M782="✓"),"DO FIRST",IF(M782="✓","SCHEDULE",IF(OR(L782="1-Urgent",L782="2-High"),"DELEGATE","DELETE"))))</f>
        <v/>
      </c>
      <c r="P782" s="65" t="n"/>
      <c r="Q782">
        <f>IF(777&gt;Calc!$AQ$368,"",MATCH(776,Calc!$AQ$2:$AQ$367,1))</f>
        <v/>
      </c>
      <c r="R782">
        <f>IF(Q782="","",SMALL(INDEX(Calc!$B$2:$AO$367,Q782,0),777-INDEX(Calc!$AQ$2:$AQ$367,Q782)))</f>
        <v/>
      </c>
    </row>
    <row r="783">
      <c r="B783" s="71">
        <f>IF(R783="","",778)</f>
        <v/>
      </c>
      <c r="C783" s="75">
        <f>IF(R783="","",IF(INDEX('Recurring Schedule'!$C$6:$C$45,R783)="","",INDEX('Recurring Schedule'!$C$6:$C$45,R783)))</f>
        <v/>
      </c>
      <c r="D783" s="73">
        <f>IF(R783="","",IF(INDEX('Recurring Schedule'!$D$6:$D$45,R783)="","",INDEX('Recurring Schedule'!$D$6:$D$45,R783)))</f>
        <v/>
      </c>
      <c r="E783" s="76">
        <f>IF(Q783="","",INDEX(Calc!$A$2:$A$367,Q783))</f>
        <v/>
      </c>
      <c r="F783" s="72">
        <f>IF(OR(C783="",E783=""),"",E783-Setup!$D$7)</f>
        <v/>
      </c>
      <c r="G783" s="77">
        <f>IF(R783="","",IF(INDEX('Recurring Schedule'!$H$6:$H$45,R783)="","",INDEX('Recurring Schedule'!$H$6:$H$45,R783)))</f>
        <v/>
      </c>
      <c r="H783" s="77">
        <f>IF(R783="","",IF(INDEX('Recurring Schedule'!$I$6:$I$45,R783)="","",INDEX('Recurring Schedule'!$I$6:$I$45,R783)))</f>
        <v/>
      </c>
      <c r="I783" s="73">
        <f>IF(OR(G783="",H783=""),"",TRIM(IF(HOUR(H783-G783)&gt;0,HOUR(H783-G783)&amp;" hr ","")&amp;IF(MINUTE(H783-G783)&gt;0,MINUTE(H783-G783)&amp;" min","")))</f>
        <v/>
      </c>
      <c r="J783" s="66" t="n"/>
      <c r="K783" s="70" t="n"/>
      <c r="L783" s="73">
        <f>IF(R783="","",IF(INDEX('Recurring Schedule'!$J$6:$J$45,R783)="","",INDEX('Recurring Schedule'!$J$6:$J$45,R783)))</f>
        <v/>
      </c>
      <c r="M783" s="73">
        <f>IF(R783="","",IF(INDEX('Recurring Schedule'!$K$6:$K$45,R783)="","",INDEX('Recurring Schedule'!$K$6:$K$45,R783)))</f>
        <v/>
      </c>
      <c r="N783" s="73">
        <f>IF(R783="","",IF(INDEX('Recurring Schedule'!$L$6:$L$45,R783)="","",INDEX('Recurring Schedule'!$L$6:$L$45,R783)))</f>
        <v/>
      </c>
      <c r="O783" s="73">
        <f>IF(C783="","",IF(AND(OR(L783="1-Urgent",L783="2-High"),M783="✓"),"DO FIRST",IF(M783="✓","SCHEDULE",IF(OR(L783="1-Urgent",L783="2-High"),"DELEGATE","DELETE"))))</f>
        <v/>
      </c>
      <c r="P783" s="65" t="n"/>
      <c r="Q783">
        <f>IF(778&gt;Calc!$AQ$368,"",MATCH(777,Calc!$AQ$2:$AQ$367,1))</f>
        <v/>
      </c>
      <c r="R783">
        <f>IF(Q783="","",SMALL(INDEX(Calc!$B$2:$AO$367,Q783,0),778-INDEX(Calc!$AQ$2:$AQ$367,Q783)))</f>
        <v/>
      </c>
    </row>
    <row r="784">
      <c r="B784" s="64">
        <f>IF(R784="","",779)</f>
        <v/>
      </c>
      <c r="C784" s="37">
        <f>IF(R784="","",IF(INDEX('Recurring Schedule'!$C$6:$C$45,R784)="","",INDEX('Recurring Schedule'!$C$6:$C$45,R784)))</f>
        <v/>
      </c>
      <c r="D784" s="36">
        <f>IF(R784="","",IF(INDEX('Recurring Schedule'!$D$6:$D$45,R784)="","",INDEX('Recurring Schedule'!$D$6:$D$45,R784)))</f>
        <v/>
      </c>
      <c r="E784" s="38">
        <f>IF(Q784="","",INDEX(Calc!$A$2:$A$367,Q784))</f>
        <v/>
      </c>
      <c r="F784" s="68">
        <f>IF(OR(C784="",E784=""),"",E784-Setup!$D$7)</f>
        <v/>
      </c>
      <c r="G784" s="74">
        <f>IF(R784="","",IF(INDEX('Recurring Schedule'!$H$6:$H$45,R784)="","",INDEX('Recurring Schedule'!$H$6:$H$45,R784)))</f>
        <v/>
      </c>
      <c r="H784" s="74">
        <f>IF(R784="","",IF(INDEX('Recurring Schedule'!$I$6:$I$45,R784)="","",INDEX('Recurring Schedule'!$I$6:$I$45,R784)))</f>
        <v/>
      </c>
      <c r="I784" s="36">
        <f>IF(OR(G784="",H784=""),"",TRIM(IF(HOUR(H784-G784)&gt;0,HOUR(H784-G784)&amp;" hr ","")&amp;IF(MINUTE(H784-G784)&gt;0,MINUTE(H784-G784)&amp;" min","")))</f>
        <v/>
      </c>
      <c r="J784" s="66" t="n"/>
      <c r="K784" s="70" t="n"/>
      <c r="L784" s="36">
        <f>IF(R784="","",IF(INDEX('Recurring Schedule'!$J$6:$J$45,R784)="","",INDEX('Recurring Schedule'!$J$6:$J$45,R784)))</f>
        <v/>
      </c>
      <c r="M784" s="36">
        <f>IF(R784="","",IF(INDEX('Recurring Schedule'!$K$6:$K$45,R784)="","",INDEX('Recurring Schedule'!$K$6:$K$45,R784)))</f>
        <v/>
      </c>
      <c r="N784" s="36">
        <f>IF(R784="","",IF(INDEX('Recurring Schedule'!$L$6:$L$45,R784)="","",INDEX('Recurring Schedule'!$L$6:$L$45,R784)))</f>
        <v/>
      </c>
      <c r="O784" s="36">
        <f>IF(C784="","",IF(AND(OR(L784="1-Urgent",L784="2-High"),M784="✓"),"DO FIRST",IF(M784="✓","SCHEDULE",IF(OR(L784="1-Urgent",L784="2-High"),"DELEGATE","DELETE"))))</f>
        <v/>
      </c>
      <c r="P784" s="65" t="n"/>
      <c r="Q784">
        <f>IF(779&gt;Calc!$AQ$368,"",MATCH(778,Calc!$AQ$2:$AQ$367,1))</f>
        <v/>
      </c>
      <c r="R784">
        <f>IF(Q784="","",SMALL(INDEX(Calc!$B$2:$AO$367,Q784,0),779-INDEX(Calc!$AQ$2:$AQ$367,Q784)))</f>
        <v/>
      </c>
    </row>
    <row r="785">
      <c r="B785" s="71">
        <f>IF(R785="","",780)</f>
        <v/>
      </c>
      <c r="C785" s="75">
        <f>IF(R785="","",IF(INDEX('Recurring Schedule'!$C$6:$C$45,R785)="","",INDEX('Recurring Schedule'!$C$6:$C$45,R785)))</f>
        <v/>
      </c>
      <c r="D785" s="73">
        <f>IF(R785="","",IF(INDEX('Recurring Schedule'!$D$6:$D$45,R785)="","",INDEX('Recurring Schedule'!$D$6:$D$45,R785)))</f>
        <v/>
      </c>
      <c r="E785" s="76">
        <f>IF(Q785="","",INDEX(Calc!$A$2:$A$367,Q785))</f>
        <v/>
      </c>
      <c r="F785" s="72">
        <f>IF(OR(C785="",E785=""),"",E785-Setup!$D$7)</f>
        <v/>
      </c>
      <c r="G785" s="77">
        <f>IF(R785="","",IF(INDEX('Recurring Schedule'!$H$6:$H$45,R785)="","",INDEX('Recurring Schedule'!$H$6:$H$45,R785)))</f>
        <v/>
      </c>
      <c r="H785" s="77">
        <f>IF(R785="","",IF(INDEX('Recurring Schedule'!$I$6:$I$45,R785)="","",INDEX('Recurring Schedule'!$I$6:$I$45,R785)))</f>
        <v/>
      </c>
      <c r="I785" s="73">
        <f>IF(OR(G785="",H785=""),"",TRIM(IF(HOUR(H785-G785)&gt;0,HOUR(H785-G785)&amp;" hr ","")&amp;IF(MINUTE(H785-G785)&gt;0,MINUTE(H785-G785)&amp;" min","")))</f>
        <v/>
      </c>
      <c r="J785" s="66" t="n"/>
      <c r="K785" s="70" t="n"/>
      <c r="L785" s="73">
        <f>IF(R785="","",IF(INDEX('Recurring Schedule'!$J$6:$J$45,R785)="","",INDEX('Recurring Schedule'!$J$6:$J$45,R785)))</f>
        <v/>
      </c>
      <c r="M785" s="73">
        <f>IF(R785="","",IF(INDEX('Recurring Schedule'!$K$6:$K$45,R785)="","",INDEX('Recurring Schedule'!$K$6:$K$45,R785)))</f>
        <v/>
      </c>
      <c r="N785" s="73">
        <f>IF(R785="","",IF(INDEX('Recurring Schedule'!$L$6:$L$45,R785)="","",INDEX('Recurring Schedule'!$L$6:$L$45,R785)))</f>
        <v/>
      </c>
      <c r="O785" s="73">
        <f>IF(C785="","",IF(AND(OR(L785="1-Urgent",L785="2-High"),M785="✓"),"DO FIRST",IF(M785="✓","SCHEDULE",IF(OR(L785="1-Urgent",L785="2-High"),"DELEGATE","DELETE"))))</f>
        <v/>
      </c>
      <c r="P785" s="65" t="n"/>
      <c r="Q785">
        <f>IF(780&gt;Calc!$AQ$368,"",MATCH(779,Calc!$AQ$2:$AQ$367,1))</f>
        <v/>
      </c>
      <c r="R785">
        <f>IF(Q785="","",SMALL(INDEX(Calc!$B$2:$AO$367,Q785,0),780-INDEX(Calc!$AQ$2:$AQ$367,Q785)))</f>
        <v/>
      </c>
    </row>
    <row r="786">
      <c r="B786" s="64">
        <f>IF(R786="","",781)</f>
        <v/>
      </c>
      <c r="C786" s="37">
        <f>IF(R786="","",IF(INDEX('Recurring Schedule'!$C$6:$C$45,R786)="","",INDEX('Recurring Schedule'!$C$6:$C$45,R786)))</f>
        <v/>
      </c>
      <c r="D786" s="36">
        <f>IF(R786="","",IF(INDEX('Recurring Schedule'!$D$6:$D$45,R786)="","",INDEX('Recurring Schedule'!$D$6:$D$45,R786)))</f>
        <v/>
      </c>
      <c r="E786" s="38">
        <f>IF(Q786="","",INDEX(Calc!$A$2:$A$367,Q786))</f>
        <v/>
      </c>
      <c r="F786" s="68">
        <f>IF(OR(C786="",E786=""),"",E786-Setup!$D$7)</f>
        <v/>
      </c>
      <c r="G786" s="74">
        <f>IF(R786="","",IF(INDEX('Recurring Schedule'!$H$6:$H$45,R786)="","",INDEX('Recurring Schedule'!$H$6:$H$45,R786)))</f>
        <v/>
      </c>
      <c r="H786" s="74">
        <f>IF(R786="","",IF(INDEX('Recurring Schedule'!$I$6:$I$45,R786)="","",INDEX('Recurring Schedule'!$I$6:$I$45,R786)))</f>
        <v/>
      </c>
      <c r="I786" s="36">
        <f>IF(OR(G786="",H786=""),"",TRIM(IF(HOUR(H786-G786)&gt;0,HOUR(H786-G786)&amp;" hr ","")&amp;IF(MINUTE(H786-G786)&gt;0,MINUTE(H786-G786)&amp;" min","")))</f>
        <v/>
      </c>
      <c r="J786" s="66" t="n"/>
      <c r="K786" s="70" t="n"/>
      <c r="L786" s="36">
        <f>IF(R786="","",IF(INDEX('Recurring Schedule'!$J$6:$J$45,R786)="","",INDEX('Recurring Schedule'!$J$6:$J$45,R786)))</f>
        <v/>
      </c>
      <c r="M786" s="36">
        <f>IF(R786="","",IF(INDEX('Recurring Schedule'!$K$6:$K$45,R786)="","",INDEX('Recurring Schedule'!$K$6:$K$45,R786)))</f>
        <v/>
      </c>
      <c r="N786" s="36">
        <f>IF(R786="","",IF(INDEX('Recurring Schedule'!$L$6:$L$45,R786)="","",INDEX('Recurring Schedule'!$L$6:$L$45,R786)))</f>
        <v/>
      </c>
      <c r="O786" s="36">
        <f>IF(C786="","",IF(AND(OR(L786="1-Urgent",L786="2-High"),M786="✓"),"DO FIRST",IF(M786="✓","SCHEDULE",IF(OR(L786="1-Urgent",L786="2-High"),"DELEGATE","DELETE"))))</f>
        <v/>
      </c>
      <c r="P786" s="65" t="n"/>
      <c r="Q786">
        <f>IF(781&gt;Calc!$AQ$368,"",MATCH(780,Calc!$AQ$2:$AQ$367,1))</f>
        <v/>
      </c>
      <c r="R786">
        <f>IF(Q786="","",SMALL(INDEX(Calc!$B$2:$AO$367,Q786,0),781-INDEX(Calc!$AQ$2:$AQ$367,Q786)))</f>
        <v/>
      </c>
    </row>
    <row r="787">
      <c r="B787" s="71">
        <f>IF(R787="","",782)</f>
        <v/>
      </c>
      <c r="C787" s="75">
        <f>IF(R787="","",IF(INDEX('Recurring Schedule'!$C$6:$C$45,R787)="","",INDEX('Recurring Schedule'!$C$6:$C$45,R787)))</f>
        <v/>
      </c>
      <c r="D787" s="73">
        <f>IF(R787="","",IF(INDEX('Recurring Schedule'!$D$6:$D$45,R787)="","",INDEX('Recurring Schedule'!$D$6:$D$45,R787)))</f>
        <v/>
      </c>
      <c r="E787" s="76">
        <f>IF(Q787="","",INDEX(Calc!$A$2:$A$367,Q787))</f>
        <v/>
      </c>
      <c r="F787" s="72">
        <f>IF(OR(C787="",E787=""),"",E787-Setup!$D$7)</f>
        <v/>
      </c>
      <c r="G787" s="77">
        <f>IF(R787="","",IF(INDEX('Recurring Schedule'!$H$6:$H$45,R787)="","",INDEX('Recurring Schedule'!$H$6:$H$45,R787)))</f>
        <v/>
      </c>
      <c r="H787" s="77">
        <f>IF(R787="","",IF(INDEX('Recurring Schedule'!$I$6:$I$45,R787)="","",INDEX('Recurring Schedule'!$I$6:$I$45,R787)))</f>
        <v/>
      </c>
      <c r="I787" s="73">
        <f>IF(OR(G787="",H787=""),"",TRIM(IF(HOUR(H787-G787)&gt;0,HOUR(H787-G787)&amp;" hr ","")&amp;IF(MINUTE(H787-G787)&gt;0,MINUTE(H787-G787)&amp;" min","")))</f>
        <v/>
      </c>
      <c r="J787" s="66" t="n"/>
      <c r="K787" s="70" t="n"/>
      <c r="L787" s="73">
        <f>IF(R787="","",IF(INDEX('Recurring Schedule'!$J$6:$J$45,R787)="","",INDEX('Recurring Schedule'!$J$6:$J$45,R787)))</f>
        <v/>
      </c>
      <c r="M787" s="73">
        <f>IF(R787="","",IF(INDEX('Recurring Schedule'!$K$6:$K$45,R787)="","",INDEX('Recurring Schedule'!$K$6:$K$45,R787)))</f>
        <v/>
      </c>
      <c r="N787" s="73">
        <f>IF(R787="","",IF(INDEX('Recurring Schedule'!$L$6:$L$45,R787)="","",INDEX('Recurring Schedule'!$L$6:$L$45,R787)))</f>
        <v/>
      </c>
      <c r="O787" s="73">
        <f>IF(C787="","",IF(AND(OR(L787="1-Urgent",L787="2-High"),M787="✓"),"DO FIRST",IF(M787="✓","SCHEDULE",IF(OR(L787="1-Urgent",L787="2-High"),"DELEGATE","DELETE"))))</f>
        <v/>
      </c>
      <c r="P787" s="65" t="n"/>
      <c r="Q787">
        <f>IF(782&gt;Calc!$AQ$368,"",MATCH(781,Calc!$AQ$2:$AQ$367,1))</f>
        <v/>
      </c>
      <c r="R787">
        <f>IF(Q787="","",SMALL(INDEX(Calc!$B$2:$AO$367,Q787,0),782-INDEX(Calc!$AQ$2:$AQ$367,Q787)))</f>
        <v/>
      </c>
    </row>
    <row r="788">
      <c r="B788" s="64">
        <f>IF(R788="","",783)</f>
        <v/>
      </c>
      <c r="C788" s="37">
        <f>IF(R788="","",IF(INDEX('Recurring Schedule'!$C$6:$C$45,R788)="","",INDEX('Recurring Schedule'!$C$6:$C$45,R788)))</f>
        <v/>
      </c>
      <c r="D788" s="36">
        <f>IF(R788="","",IF(INDEX('Recurring Schedule'!$D$6:$D$45,R788)="","",INDEX('Recurring Schedule'!$D$6:$D$45,R788)))</f>
        <v/>
      </c>
      <c r="E788" s="38">
        <f>IF(Q788="","",INDEX(Calc!$A$2:$A$367,Q788))</f>
        <v/>
      </c>
      <c r="F788" s="68">
        <f>IF(OR(C788="",E788=""),"",E788-Setup!$D$7)</f>
        <v/>
      </c>
      <c r="G788" s="74">
        <f>IF(R788="","",IF(INDEX('Recurring Schedule'!$H$6:$H$45,R788)="","",INDEX('Recurring Schedule'!$H$6:$H$45,R788)))</f>
        <v/>
      </c>
      <c r="H788" s="74">
        <f>IF(R788="","",IF(INDEX('Recurring Schedule'!$I$6:$I$45,R788)="","",INDEX('Recurring Schedule'!$I$6:$I$45,R788)))</f>
        <v/>
      </c>
      <c r="I788" s="36">
        <f>IF(OR(G788="",H788=""),"",TRIM(IF(HOUR(H788-G788)&gt;0,HOUR(H788-G788)&amp;" hr ","")&amp;IF(MINUTE(H788-G788)&gt;0,MINUTE(H788-G788)&amp;" min","")))</f>
        <v/>
      </c>
      <c r="J788" s="66" t="n"/>
      <c r="K788" s="70" t="n"/>
      <c r="L788" s="36">
        <f>IF(R788="","",IF(INDEX('Recurring Schedule'!$J$6:$J$45,R788)="","",INDEX('Recurring Schedule'!$J$6:$J$45,R788)))</f>
        <v/>
      </c>
      <c r="M788" s="36">
        <f>IF(R788="","",IF(INDEX('Recurring Schedule'!$K$6:$K$45,R788)="","",INDEX('Recurring Schedule'!$K$6:$K$45,R788)))</f>
        <v/>
      </c>
      <c r="N788" s="36">
        <f>IF(R788="","",IF(INDEX('Recurring Schedule'!$L$6:$L$45,R788)="","",INDEX('Recurring Schedule'!$L$6:$L$45,R788)))</f>
        <v/>
      </c>
      <c r="O788" s="36">
        <f>IF(C788="","",IF(AND(OR(L788="1-Urgent",L788="2-High"),M788="✓"),"DO FIRST",IF(M788="✓","SCHEDULE",IF(OR(L788="1-Urgent",L788="2-High"),"DELEGATE","DELETE"))))</f>
        <v/>
      </c>
      <c r="P788" s="65" t="n"/>
      <c r="Q788">
        <f>IF(783&gt;Calc!$AQ$368,"",MATCH(782,Calc!$AQ$2:$AQ$367,1))</f>
        <v/>
      </c>
      <c r="R788">
        <f>IF(Q788="","",SMALL(INDEX(Calc!$B$2:$AO$367,Q788,0),783-INDEX(Calc!$AQ$2:$AQ$367,Q788)))</f>
        <v/>
      </c>
    </row>
    <row r="789">
      <c r="B789" s="71">
        <f>IF(R789="","",784)</f>
        <v/>
      </c>
      <c r="C789" s="75">
        <f>IF(R789="","",IF(INDEX('Recurring Schedule'!$C$6:$C$45,R789)="","",INDEX('Recurring Schedule'!$C$6:$C$45,R789)))</f>
        <v/>
      </c>
      <c r="D789" s="73">
        <f>IF(R789="","",IF(INDEX('Recurring Schedule'!$D$6:$D$45,R789)="","",INDEX('Recurring Schedule'!$D$6:$D$45,R789)))</f>
        <v/>
      </c>
      <c r="E789" s="76">
        <f>IF(Q789="","",INDEX(Calc!$A$2:$A$367,Q789))</f>
        <v/>
      </c>
      <c r="F789" s="72">
        <f>IF(OR(C789="",E789=""),"",E789-Setup!$D$7)</f>
        <v/>
      </c>
      <c r="G789" s="77">
        <f>IF(R789="","",IF(INDEX('Recurring Schedule'!$H$6:$H$45,R789)="","",INDEX('Recurring Schedule'!$H$6:$H$45,R789)))</f>
        <v/>
      </c>
      <c r="H789" s="77">
        <f>IF(R789="","",IF(INDEX('Recurring Schedule'!$I$6:$I$45,R789)="","",INDEX('Recurring Schedule'!$I$6:$I$45,R789)))</f>
        <v/>
      </c>
      <c r="I789" s="73">
        <f>IF(OR(G789="",H789=""),"",TRIM(IF(HOUR(H789-G789)&gt;0,HOUR(H789-G789)&amp;" hr ","")&amp;IF(MINUTE(H789-G789)&gt;0,MINUTE(H789-G789)&amp;" min","")))</f>
        <v/>
      </c>
      <c r="J789" s="66" t="n"/>
      <c r="K789" s="70" t="n"/>
      <c r="L789" s="73">
        <f>IF(R789="","",IF(INDEX('Recurring Schedule'!$J$6:$J$45,R789)="","",INDEX('Recurring Schedule'!$J$6:$J$45,R789)))</f>
        <v/>
      </c>
      <c r="M789" s="73">
        <f>IF(R789="","",IF(INDEX('Recurring Schedule'!$K$6:$K$45,R789)="","",INDEX('Recurring Schedule'!$K$6:$K$45,R789)))</f>
        <v/>
      </c>
      <c r="N789" s="73">
        <f>IF(R789="","",IF(INDEX('Recurring Schedule'!$L$6:$L$45,R789)="","",INDEX('Recurring Schedule'!$L$6:$L$45,R789)))</f>
        <v/>
      </c>
      <c r="O789" s="73">
        <f>IF(C789="","",IF(AND(OR(L789="1-Urgent",L789="2-High"),M789="✓"),"DO FIRST",IF(M789="✓","SCHEDULE",IF(OR(L789="1-Urgent",L789="2-High"),"DELEGATE","DELETE"))))</f>
        <v/>
      </c>
      <c r="P789" s="65" t="n"/>
      <c r="Q789">
        <f>IF(784&gt;Calc!$AQ$368,"",MATCH(783,Calc!$AQ$2:$AQ$367,1))</f>
        <v/>
      </c>
      <c r="R789">
        <f>IF(Q789="","",SMALL(INDEX(Calc!$B$2:$AO$367,Q789,0),784-INDEX(Calc!$AQ$2:$AQ$367,Q789)))</f>
        <v/>
      </c>
    </row>
    <row r="790">
      <c r="B790" s="64">
        <f>IF(R790="","",785)</f>
        <v/>
      </c>
      <c r="C790" s="37">
        <f>IF(R790="","",IF(INDEX('Recurring Schedule'!$C$6:$C$45,R790)="","",INDEX('Recurring Schedule'!$C$6:$C$45,R790)))</f>
        <v/>
      </c>
      <c r="D790" s="36">
        <f>IF(R790="","",IF(INDEX('Recurring Schedule'!$D$6:$D$45,R790)="","",INDEX('Recurring Schedule'!$D$6:$D$45,R790)))</f>
        <v/>
      </c>
      <c r="E790" s="38">
        <f>IF(Q790="","",INDEX(Calc!$A$2:$A$367,Q790))</f>
        <v/>
      </c>
      <c r="F790" s="68">
        <f>IF(OR(C790="",E790=""),"",E790-Setup!$D$7)</f>
        <v/>
      </c>
      <c r="G790" s="74">
        <f>IF(R790="","",IF(INDEX('Recurring Schedule'!$H$6:$H$45,R790)="","",INDEX('Recurring Schedule'!$H$6:$H$45,R790)))</f>
        <v/>
      </c>
      <c r="H790" s="74">
        <f>IF(R790="","",IF(INDEX('Recurring Schedule'!$I$6:$I$45,R790)="","",INDEX('Recurring Schedule'!$I$6:$I$45,R790)))</f>
        <v/>
      </c>
      <c r="I790" s="36">
        <f>IF(OR(G790="",H790=""),"",TRIM(IF(HOUR(H790-G790)&gt;0,HOUR(H790-G790)&amp;" hr ","")&amp;IF(MINUTE(H790-G790)&gt;0,MINUTE(H790-G790)&amp;" min","")))</f>
        <v/>
      </c>
      <c r="J790" s="66" t="n"/>
      <c r="K790" s="70" t="n"/>
      <c r="L790" s="36">
        <f>IF(R790="","",IF(INDEX('Recurring Schedule'!$J$6:$J$45,R790)="","",INDEX('Recurring Schedule'!$J$6:$J$45,R790)))</f>
        <v/>
      </c>
      <c r="M790" s="36">
        <f>IF(R790="","",IF(INDEX('Recurring Schedule'!$K$6:$K$45,R790)="","",INDEX('Recurring Schedule'!$K$6:$K$45,R790)))</f>
        <v/>
      </c>
      <c r="N790" s="36">
        <f>IF(R790="","",IF(INDEX('Recurring Schedule'!$L$6:$L$45,R790)="","",INDEX('Recurring Schedule'!$L$6:$L$45,R790)))</f>
        <v/>
      </c>
      <c r="O790" s="36">
        <f>IF(C790="","",IF(AND(OR(L790="1-Urgent",L790="2-High"),M790="✓"),"DO FIRST",IF(M790="✓","SCHEDULE",IF(OR(L790="1-Urgent",L790="2-High"),"DELEGATE","DELETE"))))</f>
        <v/>
      </c>
      <c r="P790" s="65" t="n"/>
      <c r="Q790">
        <f>IF(785&gt;Calc!$AQ$368,"",MATCH(784,Calc!$AQ$2:$AQ$367,1))</f>
        <v/>
      </c>
      <c r="R790">
        <f>IF(Q790="","",SMALL(INDEX(Calc!$B$2:$AO$367,Q790,0),785-INDEX(Calc!$AQ$2:$AQ$367,Q790)))</f>
        <v/>
      </c>
    </row>
    <row r="791">
      <c r="B791" s="71">
        <f>IF(R791="","",786)</f>
        <v/>
      </c>
      <c r="C791" s="75">
        <f>IF(R791="","",IF(INDEX('Recurring Schedule'!$C$6:$C$45,R791)="","",INDEX('Recurring Schedule'!$C$6:$C$45,R791)))</f>
        <v/>
      </c>
      <c r="D791" s="73">
        <f>IF(R791="","",IF(INDEX('Recurring Schedule'!$D$6:$D$45,R791)="","",INDEX('Recurring Schedule'!$D$6:$D$45,R791)))</f>
        <v/>
      </c>
      <c r="E791" s="76">
        <f>IF(Q791="","",INDEX(Calc!$A$2:$A$367,Q791))</f>
        <v/>
      </c>
      <c r="F791" s="72">
        <f>IF(OR(C791="",E791=""),"",E791-Setup!$D$7)</f>
        <v/>
      </c>
      <c r="G791" s="77">
        <f>IF(R791="","",IF(INDEX('Recurring Schedule'!$H$6:$H$45,R791)="","",INDEX('Recurring Schedule'!$H$6:$H$45,R791)))</f>
        <v/>
      </c>
      <c r="H791" s="77">
        <f>IF(R791="","",IF(INDEX('Recurring Schedule'!$I$6:$I$45,R791)="","",INDEX('Recurring Schedule'!$I$6:$I$45,R791)))</f>
        <v/>
      </c>
      <c r="I791" s="73">
        <f>IF(OR(G791="",H791=""),"",TRIM(IF(HOUR(H791-G791)&gt;0,HOUR(H791-G791)&amp;" hr ","")&amp;IF(MINUTE(H791-G791)&gt;0,MINUTE(H791-G791)&amp;" min","")))</f>
        <v/>
      </c>
      <c r="J791" s="66" t="n"/>
      <c r="K791" s="70" t="n"/>
      <c r="L791" s="73">
        <f>IF(R791="","",IF(INDEX('Recurring Schedule'!$J$6:$J$45,R791)="","",INDEX('Recurring Schedule'!$J$6:$J$45,R791)))</f>
        <v/>
      </c>
      <c r="M791" s="73">
        <f>IF(R791="","",IF(INDEX('Recurring Schedule'!$K$6:$K$45,R791)="","",INDEX('Recurring Schedule'!$K$6:$K$45,R791)))</f>
        <v/>
      </c>
      <c r="N791" s="73">
        <f>IF(R791="","",IF(INDEX('Recurring Schedule'!$L$6:$L$45,R791)="","",INDEX('Recurring Schedule'!$L$6:$L$45,R791)))</f>
        <v/>
      </c>
      <c r="O791" s="73">
        <f>IF(C791="","",IF(AND(OR(L791="1-Urgent",L791="2-High"),M791="✓"),"DO FIRST",IF(M791="✓","SCHEDULE",IF(OR(L791="1-Urgent",L791="2-High"),"DELEGATE","DELETE"))))</f>
        <v/>
      </c>
      <c r="P791" s="65" t="n"/>
      <c r="Q791">
        <f>IF(786&gt;Calc!$AQ$368,"",MATCH(785,Calc!$AQ$2:$AQ$367,1))</f>
        <v/>
      </c>
      <c r="R791">
        <f>IF(Q791="","",SMALL(INDEX(Calc!$B$2:$AO$367,Q791,0),786-INDEX(Calc!$AQ$2:$AQ$367,Q791)))</f>
        <v/>
      </c>
    </row>
    <row r="792">
      <c r="B792" s="64">
        <f>IF(R792="","",787)</f>
        <v/>
      </c>
      <c r="C792" s="37">
        <f>IF(R792="","",IF(INDEX('Recurring Schedule'!$C$6:$C$45,R792)="","",INDEX('Recurring Schedule'!$C$6:$C$45,R792)))</f>
        <v/>
      </c>
      <c r="D792" s="36">
        <f>IF(R792="","",IF(INDEX('Recurring Schedule'!$D$6:$D$45,R792)="","",INDEX('Recurring Schedule'!$D$6:$D$45,R792)))</f>
        <v/>
      </c>
      <c r="E792" s="38">
        <f>IF(Q792="","",INDEX(Calc!$A$2:$A$367,Q792))</f>
        <v/>
      </c>
      <c r="F792" s="68">
        <f>IF(OR(C792="",E792=""),"",E792-Setup!$D$7)</f>
        <v/>
      </c>
      <c r="G792" s="74">
        <f>IF(R792="","",IF(INDEX('Recurring Schedule'!$H$6:$H$45,R792)="","",INDEX('Recurring Schedule'!$H$6:$H$45,R792)))</f>
        <v/>
      </c>
      <c r="H792" s="74">
        <f>IF(R792="","",IF(INDEX('Recurring Schedule'!$I$6:$I$45,R792)="","",INDEX('Recurring Schedule'!$I$6:$I$45,R792)))</f>
        <v/>
      </c>
      <c r="I792" s="36">
        <f>IF(OR(G792="",H792=""),"",TRIM(IF(HOUR(H792-G792)&gt;0,HOUR(H792-G792)&amp;" hr ","")&amp;IF(MINUTE(H792-G792)&gt;0,MINUTE(H792-G792)&amp;" min","")))</f>
        <v/>
      </c>
      <c r="J792" s="66" t="n"/>
      <c r="K792" s="70" t="n"/>
      <c r="L792" s="36">
        <f>IF(R792="","",IF(INDEX('Recurring Schedule'!$J$6:$J$45,R792)="","",INDEX('Recurring Schedule'!$J$6:$J$45,R792)))</f>
        <v/>
      </c>
      <c r="M792" s="36">
        <f>IF(R792="","",IF(INDEX('Recurring Schedule'!$K$6:$K$45,R792)="","",INDEX('Recurring Schedule'!$K$6:$K$45,R792)))</f>
        <v/>
      </c>
      <c r="N792" s="36">
        <f>IF(R792="","",IF(INDEX('Recurring Schedule'!$L$6:$L$45,R792)="","",INDEX('Recurring Schedule'!$L$6:$L$45,R792)))</f>
        <v/>
      </c>
      <c r="O792" s="36">
        <f>IF(C792="","",IF(AND(OR(L792="1-Urgent",L792="2-High"),M792="✓"),"DO FIRST",IF(M792="✓","SCHEDULE",IF(OR(L792="1-Urgent",L792="2-High"),"DELEGATE","DELETE"))))</f>
        <v/>
      </c>
      <c r="P792" s="65" t="n"/>
      <c r="Q792">
        <f>IF(787&gt;Calc!$AQ$368,"",MATCH(786,Calc!$AQ$2:$AQ$367,1))</f>
        <v/>
      </c>
      <c r="R792">
        <f>IF(Q792="","",SMALL(INDEX(Calc!$B$2:$AO$367,Q792,0),787-INDEX(Calc!$AQ$2:$AQ$367,Q792)))</f>
        <v/>
      </c>
    </row>
    <row r="793">
      <c r="B793" s="71">
        <f>IF(R793="","",788)</f>
        <v/>
      </c>
      <c r="C793" s="75">
        <f>IF(R793="","",IF(INDEX('Recurring Schedule'!$C$6:$C$45,R793)="","",INDEX('Recurring Schedule'!$C$6:$C$45,R793)))</f>
        <v/>
      </c>
      <c r="D793" s="73">
        <f>IF(R793="","",IF(INDEX('Recurring Schedule'!$D$6:$D$45,R793)="","",INDEX('Recurring Schedule'!$D$6:$D$45,R793)))</f>
        <v/>
      </c>
      <c r="E793" s="76">
        <f>IF(Q793="","",INDEX(Calc!$A$2:$A$367,Q793))</f>
        <v/>
      </c>
      <c r="F793" s="72">
        <f>IF(OR(C793="",E793=""),"",E793-Setup!$D$7)</f>
        <v/>
      </c>
      <c r="G793" s="77">
        <f>IF(R793="","",IF(INDEX('Recurring Schedule'!$H$6:$H$45,R793)="","",INDEX('Recurring Schedule'!$H$6:$H$45,R793)))</f>
        <v/>
      </c>
      <c r="H793" s="77">
        <f>IF(R793="","",IF(INDEX('Recurring Schedule'!$I$6:$I$45,R793)="","",INDEX('Recurring Schedule'!$I$6:$I$45,R793)))</f>
        <v/>
      </c>
      <c r="I793" s="73">
        <f>IF(OR(G793="",H793=""),"",TRIM(IF(HOUR(H793-G793)&gt;0,HOUR(H793-G793)&amp;" hr ","")&amp;IF(MINUTE(H793-G793)&gt;0,MINUTE(H793-G793)&amp;" min","")))</f>
        <v/>
      </c>
      <c r="J793" s="66" t="n"/>
      <c r="K793" s="70" t="n"/>
      <c r="L793" s="73">
        <f>IF(R793="","",IF(INDEX('Recurring Schedule'!$J$6:$J$45,R793)="","",INDEX('Recurring Schedule'!$J$6:$J$45,R793)))</f>
        <v/>
      </c>
      <c r="M793" s="73">
        <f>IF(R793="","",IF(INDEX('Recurring Schedule'!$K$6:$K$45,R793)="","",INDEX('Recurring Schedule'!$K$6:$K$45,R793)))</f>
        <v/>
      </c>
      <c r="N793" s="73">
        <f>IF(R793="","",IF(INDEX('Recurring Schedule'!$L$6:$L$45,R793)="","",INDEX('Recurring Schedule'!$L$6:$L$45,R793)))</f>
        <v/>
      </c>
      <c r="O793" s="73">
        <f>IF(C793="","",IF(AND(OR(L793="1-Urgent",L793="2-High"),M793="✓"),"DO FIRST",IF(M793="✓","SCHEDULE",IF(OR(L793="1-Urgent",L793="2-High"),"DELEGATE","DELETE"))))</f>
        <v/>
      </c>
      <c r="P793" s="65" t="n"/>
      <c r="Q793">
        <f>IF(788&gt;Calc!$AQ$368,"",MATCH(787,Calc!$AQ$2:$AQ$367,1))</f>
        <v/>
      </c>
      <c r="R793">
        <f>IF(Q793="","",SMALL(INDEX(Calc!$B$2:$AO$367,Q793,0),788-INDEX(Calc!$AQ$2:$AQ$367,Q793)))</f>
        <v/>
      </c>
    </row>
    <row r="794">
      <c r="B794" s="64">
        <f>IF(R794="","",789)</f>
        <v/>
      </c>
      <c r="C794" s="37">
        <f>IF(R794="","",IF(INDEX('Recurring Schedule'!$C$6:$C$45,R794)="","",INDEX('Recurring Schedule'!$C$6:$C$45,R794)))</f>
        <v/>
      </c>
      <c r="D794" s="36">
        <f>IF(R794="","",IF(INDEX('Recurring Schedule'!$D$6:$D$45,R794)="","",INDEX('Recurring Schedule'!$D$6:$D$45,R794)))</f>
        <v/>
      </c>
      <c r="E794" s="38">
        <f>IF(Q794="","",INDEX(Calc!$A$2:$A$367,Q794))</f>
        <v/>
      </c>
      <c r="F794" s="68">
        <f>IF(OR(C794="",E794=""),"",E794-Setup!$D$7)</f>
        <v/>
      </c>
      <c r="G794" s="74">
        <f>IF(R794="","",IF(INDEX('Recurring Schedule'!$H$6:$H$45,R794)="","",INDEX('Recurring Schedule'!$H$6:$H$45,R794)))</f>
        <v/>
      </c>
      <c r="H794" s="74">
        <f>IF(R794="","",IF(INDEX('Recurring Schedule'!$I$6:$I$45,R794)="","",INDEX('Recurring Schedule'!$I$6:$I$45,R794)))</f>
        <v/>
      </c>
      <c r="I794" s="36">
        <f>IF(OR(G794="",H794=""),"",TRIM(IF(HOUR(H794-G794)&gt;0,HOUR(H794-G794)&amp;" hr ","")&amp;IF(MINUTE(H794-G794)&gt;0,MINUTE(H794-G794)&amp;" min","")))</f>
        <v/>
      </c>
      <c r="J794" s="66" t="n"/>
      <c r="K794" s="70" t="n"/>
      <c r="L794" s="36">
        <f>IF(R794="","",IF(INDEX('Recurring Schedule'!$J$6:$J$45,R794)="","",INDEX('Recurring Schedule'!$J$6:$J$45,R794)))</f>
        <v/>
      </c>
      <c r="M794" s="36">
        <f>IF(R794="","",IF(INDEX('Recurring Schedule'!$K$6:$K$45,R794)="","",INDEX('Recurring Schedule'!$K$6:$K$45,R794)))</f>
        <v/>
      </c>
      <c r="N794" s="36">
        <f>IF(R794="","",IF(INDEX('Recurring Schedule'!$L$6:$L$45,R794)="","",INDEX('Recurring Schedule'!$L$6:$L$45,R794)))</f>
        <v/>
      </c>
      <c r="O794" s="36">
        <f>IF(C794="","",IF(AND(OR(L794="1-Urgent",L794="2-High"),M794="✓"),"DO FIRST",IF(M794="✓","SCHEDULE",IF(OR(L794="1-Urgent",L794="2-High"),"DELEGATE","DELETE"))))</f>
        <v/>
      </c>
      <c r="P794" s="65" t="n"/>
      <c r="Q794">
        <f>IF(789&gt;Calc!$AQ$368,"",MATCH(788,Calc!$AQ$2:$AQ$367,1))</f>
        <v/>
      </c>
      <c r="R794">
        <f>IF(Q794="","",SMALL(INDEX(Calc!$B$2:$AO$367,Q794,0),789-INDEX(Calc!$AQ$2:$AQ$367,Q794)))</f>
        <v/>
      </c>
    </row>
    <row r="795">
      <c r="B795" s="71">
        <f>IF(R795="","",790)</f>
        <v/>
      </c>
      <c r="C795" s="75">
        <f>IF(R795="","",IF(INDEX('Recurring Schedule'!$C$6:$C$45,R795)="","",INDEX('Recurring Schedule'!$C$6:$C$45,R795)))</f>
        <v/>
      </c>
      <c r="D795" s="73">
        <f>IF(R795="","",IF(INDEX('Recurring Schedule'!$D$6:$D$45,R795)="","",INDEX('Recurring Schedule'!$D$6:$D$45,R795)))</f>
        <v/>
      </c>
      <c r="E795" s="76">
        <f>IF(Q795="","",INDEX(Calc!$A$2:$A$367,Q795))</f>
        <v/>
      </c>
      <c r="F795" s="72">
        <f>IF(OR(C795="",E795=""),"",E795-Setup!$D$7)</f>
        <v/>
      </c>
      <c r="G795" s="77">
        <f>IF(R795="","",IF(INDEX('Recurring Schedule'!$H$6:$H$45,R795)="","",INDEX('Recurring Schedule'!$H$6:$H$45,R795)))</f>
        <v/>
      </c>
      <c r="H795" s="77">
        <f>IF(R795="","",IF(INDEX('Recurring Schedule'!$I$6:$I$45,R795)="","",INDEX('Recurring Schedule'!$I$6:$I$45,R795)))</f>
        <v/>
      </c>
      <c r="I795" s="73">
        <f>IF(OR(G795="",H795=""),"",TRIM(IF(HOUR(H795-G795)&gt;0,HOUR(H795-G795)&amp;" hr ","")&amp;IF(MINUTE(H795-G795)&gt;0,MINUTE(H795-G795)&amp;" min","")))</f>
        <v/>
      </c>
      <c r="J795" s="66" t="n"/>
      <c r="K795" s="70" t="n"/>
      <c r="L795" s="73">
        <f>IF(R795="","",IF(INDEX('Recurring Schedule'!$J$6:$J$45,R795)="","",INDEX('Recurring Schedule'!$J$6:$J$45,R795)))</f>
        <v/>
      </c>
      <c r="M795" s="73">
        <f>IF(R795="","",IF(INDEX('Recurring Schedule'!$K$6:$K$45,R795)="","",INDEX('Recurring Schedule'!$K$6:$K$45,R795)))</f>
        <v/>
      </c>
      <c r="N795" s="73">
        <f>IF(R795="","",IF(INDEX('Recurring Schedule'!$L$6:$L$45,R795)="","",INDEX('Recurring Schedule'!$L$6:$L$45,R795)))</f>
        <v/>
      </c>
      <c r="O795" s="73">
        <f>IF(C795="","",IF(AND(OR(L795="1-Urgent",L795="2-High"),M795="✓"),"DO FIRST",IF(M795="✓","SCHEDULE",IF(OR(L795="1-Urgent",L795="2-High"),"DELEGATE","DELETE"))))</f>
        <v/>
      </c>
      <c r="P795" s="65" t="n"/>
      <c r="Q795">
        <f>IF(790&gt;Calc!$AQ$368,"",MATCH(789,Calc!$AQ$2:$AQ$367,1))</f>
        <v/>
      </c>
      <c r="R795">
        <f>IF(Q795="","",SMALL(INDEX(Calc!$B$2:$AO$367,Q795,0),790-INDEX(Calc!$AQ$2:$AQ$367,Q795)))</f>
        <v/>
      </c>
    </row>
    <row r="796">
      <c r="B796" s="64">
        <f>IF(R796="","",791)</f>
        <v/>
      </c>
      <c r="C796" s="37">
        <f>IF(R796="","",IF(INDEX('Recurring Schedule'!$C$6:$C$45,R796)="","",INDEX('Recurring Schedule'!$C$6:$C$45,R796)))</f>
        <v/>
      </c>
      <c r="D796" s="36">
        <f>IF(R796="","",IF(INDEX('Recurring Schedule'!$D$6:$D$45,R796)="","",INDEX('Recurring Schedule'!$D$6:$D$45,R796)))</f>
        <v/>
      </c>
      <c r="E796" s="38">
        <f>IF(Q796="","",INDEX(Calc!$A$2:$A$367,Q796))</f>
        <v/>
      </c>
      <c r="F796" s="68">
        <f>IF(OR(C796="",E796=""),"",E796-Setup!$D$7)</f>
        <v/>
      </c>
      <c r="G796" s="74">
        <f>IF(R796="","",IF(INDEX('Recurring Schedule'!$H$6:$H$45,R796)="","",INDEX('Recurring Schedule'!$H$6:$H$45,R796)))</f>
        <v/>
      </c>
      <c r="H796" s="74">
        <f>IF(R796="","",IF(INDEX('Recurring Schedule'!$I$6:$I$45,R796)="","",INDEX('Recurring Schedule'!$I$6:$I$45,R796)))</f>
        <v/>
      </c>
      <c r="I796" s="36">
        <f>IF(OR(G796="",H796=""),"",TRIM(IF(HOUR(H796-G796)&gt;0,HOUR(H796-G796)&amp;" hr ","")&amp;IF(MINUTE(H796-G796)&gt;0,MINUTE(H796-G796)&amp;" min","")))</f>
        <v/>
      </c>
      <c r="J796" s="66" t="n"/>
      <c r="K796" s="70" t="n"/>
      <c r="L796" s="36">
        <f>IF(R796="","",IF(INDEX('Recurring Schedule'!$J$6:$J$45,R796)="","",INDEX('Recurring Schedule'!$J$6:$J$45,R796)))</f>
        <v/>
      </c>
      <c r="M796" s="36">
        <f>IF(R796="","",IF(INDEX('Recurring Schedule'!$K$6:$K$45,R796)="","",INDEX('Recurring Schedule'!$K$6:$K$45,R796)))</f>
        <v/>
      </c>
      <c r="N796" s="36">
        <f>IF(R796="","",IF(INDEX('Recurring Schedule'!$L$6:$L$45,R796)="","",INDEX('Recurring Schedule'!$L$6:$L$45,R796)))</f>
        <v/>
      </c>
      <c r="O796" s="36">
        <f>IF(C796="","",IF(AND(OR(L796="1-Urgent",L796="2-High"),M796="✓"),"DO FIRST",IF(M796="✓","SCHEDULE",IF(OR(L796="1-Urgent",L796="2-High"),"DELEGATE","DELETE"))))</f>
        <v/>
      </c>
      <c r="P796" s="65" t="n"/>
      <c r="Q796">
        <f>IF(791&gt;Calc!$AQ$368,"",MATCH(790,Calc!$AQ$2:$AQ$367,1))</f>
        <v/>
      </c>
      <c r="R796">
        <f>IF(Q796="","",SMALL(INDEX(Calc!$B$2:$AO$367,Q796,0),791-INDEX(Calc!$AQ$2:$AQ$367,Q796)))</f>
        <v/>
      </c>
    </row>
    <row r="797">
      <c r="B797" s="71">
        <f>IF(R797="","",792)</f>
        <v/>
      </c>
      <c r="C797" s="75">
        <f>IF(R797="","",IF(INDEX('Recurring Schedule'!$C$6:$C$45,R797)="","",INDEX('Recurring Schedule'!$C$6:$C$45,R797)))</f>
        <v/>
      </c>
      <c r="D797" s="73">
        <f>IF(R797="","",IF(INDEX('Recurring Schedule'!$D$6:$D$45,R797)="","",INDEX('Recurring Schedule'!$D$6:$D$45,R797)))</f>
        <v/>
      </c>
      <c r="E797" s="76">
        <f>IF(Q797="","",INDEX(Calc!$A$2:$A$367,Q797))</f>
        <v/>
      </c>
      <c r="F797" s="72">
        <f>IF(OR(C797="",E797=""),"",E797-Setup!$D$7)</f>
        <v/>
      </c>
      <c r="G797" s="77">
        <f>IF(R797="","",IF(INDEX('Recurring Schedule'!$H$6:$H$45,R797)="","",INDEX('Recurring Schedule'!$H$6:$H$45,R797)))</f>
        <v/>
      </c>
      <c r="H797" s="77">
        <f>IF(R797="","",IF(INDEX('Recurring Schedule'!$I$6:$I$45,R797)="","",INDEX('Recurring Schedule'!$I$6:$I$45,R797)))</f>
        <v/>
      </c>
      <c r="I797" s="73">
        <f>IF(OR(G797="",H797=""),"",TRIM(IF(HOUR(H797-G797)&gt;0,HOUR(H797-G797)&amp;" hr ","")&amp;IF(MINUTE(H797-G797)&gt;0,MINUTE(H797-G797)&amp;" min","")))</f>
        <v/>
      </c>
      <c r="J797" s="66" t="n"/>
      <c r="K797" s="70" t="n"/>
      <c r="L797" s="73">
        <f>IF(R797="","",IF(INDEX('Recurring Schedule'!$J$6:$J$45,R797)="","",INDEX('Recurring Schedule'!$J$6:$J$45,R797)))</f>
        <v/>
      </c>
      <c r="M797" s="73">
        <f>IF(R797="","",IF(INDEX('Recurring Schedule'!$K$6:$K$45,R797)="","",INDEX('Recurring Schedule'!$K$6:$K$45,R797)))</f>
        <v/>
      </c>
      <c r="N797" s="73">
        <f>IF(R797="","",IF(INDEX('Recurring Schedule'!$L$6:$L$45,R797)="","",INDEX('Recurring Schedule'!$L$6:$L$45,R797)))</f>
        <v/>
      </c>
      <c r="O797" s="73">
        <f>IF(C797="","",IF(AND(OR(L797="1-Urgent",L797="2-High"),M797="✓"),"DO FIRST",IF(M797="✓","SCHEDULE",IF(OR(L797="1-Urgent",L797="2-High"),"DELEGATE","DELETE"))))</f>
        <v/>
      </c>
      <c r="P797" s="65" t="n"/>
      <c r="Q797">
        <f>IF(792&gt;Calc!$AQ$368,"",MATCH(791,Calc!$AQ$2:$AQ$367,1))</f>
        <v/>
      </c>
      <c r="R797">
        <f>IF(Q797="","",SMALL(INDEX(Calc!$B$2:$AO$367,Q797,0),792-INDEX(Calc!$AQ$2:$AQ$367,Q797)))</f>
        <v/>
      </c>
    </row>
    <row r="798">
      <c r="B798" s="64">
        <f>IF(R798="","",793)</f>
        <v/>
      </c>
      <c r="C798" s="37">
        <f>IF(R798="","",IF(INDEX('Recurring Schedule'!$C$6:$C$45,R798)="","",INDEX('Recurring Schedule'!$C$6:$C$45,R798)))</f>
        <v/>
      </c>
      <c r="D798" s="36">
        <f>IF(R798="","",IF(INDEX('Recurring Schedule'!$D$6:$D$45,R798)="","",INDEX('Recurring Schedule'!$D$6:$D$45,R798)))</f>
        <v/>
      </c>
      <c r="E798" s="38">
        <f>IF(Q798="","",INDEX(Calc!$A$2:$A$367,Q798))</f>
        <v/>
      </c>
      <c r="F798" s="68">
        <f>IF(OR(C798="",E798=""),"",E798-Setup!$D$7)</f>
        <v/>
      </c>
      <c r="G798" s="74">
        <f>IF(R798="","",IF(INDEX('Recurring Schedule'!$H$6:$H$45,R798)="","",INDEX('Recurring Schedule'!$H$6:$H$45,R798)))</f>
        <v/>
      </c>
      <c r="H798" s="74">
        <f>IF(R798="","",IF(INDEX('Recurring Schedule'!$I$6:$I$45,R798)="","",INDEX('Recurring Schedule'!$I$6:$I$45,R798)))</f>
        <v/>
      </c>
      <c r="I798" s="36">
        <f>IF(OR(G798="",H798=""),"",TRIM(IF(HOUR(H798-G798)&gt;0,HOUR(H798-G798)&amp;" hr ","")&amp;IF(MINUTE(H798-G798)&gt;0,MINUTE(H798-G798)&amp;" min","")))</f>
        <v/>
      </c>
      <c r="J798" s="66" t="n"/>
      <c r="K798" s="70" t="n"/>
      <c r="L798" s="36">
        <f>IF(R798="","",IF(INDEX('Recurring Schedule'!$J$6:$J$45,R798)="","",INDEX('Recurring Schedule'!$J$6:$J$45,R798)))</f>
        <v/>
      </c>
      <c r="M798" s="36">
        <f>IF(R798="","",IF(INDEX('Recurring Schedule'!$K$6:$K$45,R798)="","",INDEX('Recurring Schedule'!$K$6:$K$45,R798)))</f>
        <v/>
      </c>
      <c r="N798" s="36">
        <f>IF(R798="","",IF(INDEX('Recurring Schedule'!$L$6:$L$45,R798)="","",INDEX('Recurring Schedule'!$L$6:$L$45,R798)))</f>
        <v/>
      </c>
      <c r="O798" s="36">
        <f>IF(C798="","",IF(AND(OR(L798="1-Urgent",L798="2-High"),M798="✓"),"DO FIRST",IF(M798="✓","SCHEDULE",IF(OR(L798="1-Urgent",L798="2-High"),"DELEGATE","DELETE"))))</f>
        <v/>
      </c>
      <c r="P798" s="65" t="n"/>
      <c r="Q798">
        <f>IF(793&gt;Calc!$AQ$368,"",MATCH(792,Calc!$AQ$2:$AQ$367,1))</f>
        <v/>
      </c>
      <c r="R798">
        <f>IF(Q798="","",SMALL(INDEX(Calc!$B$2:$AO$367,Q798,0),793-INDEX(Calc!$AQ$2:$AQ$367,Q798)))</f>
        <v/>
      </c>
    </row>
    <row r="799">
      <c r="B799" s="71">
        <f>IF(R799="","",794)</f>
        <v/>
      </c>
      <c r="C799" s="75">
        <f>IF(R799="","",IF(INDEX('Recurring Schedule'!$C$6:$C$45,R799)="","",INDEX('Recurring Schedule'!$C$6:$C$45,R799)))</f>
        <v/>
      </c>
      <c r="D799" s="73">
        <f>IF(R799="","",IF(INDEX('Recurring Schedule'!$D$6:$D$45,R799)="","",INDEX('Recurring Schedule'!$D$6:$D$45,R799)))</f>
        <v/>
      </c>
      <c r="E799" s="76">
        <f>IF(Q799="","",INDEX(Calc!$A$2:$A$367,Q799))</f>
        <v/>
      </c>
      <c r="F799" s="72">
        <f>IF(OR(C799="",E799=""),"",E799-Setup!$D$7)</f>
        <v/>
      </c>
      <c r="G799" s="77">
        <f>IF(R799="","",IF(INDEX('Recurring Schedule'!$H$6:$H$45,R799)="","",INDEX('Recurring Schedule'!$H$6:$H$45,R799)))</f>
        <v/>
      </c>
      <c r="H799" s="77">
        <f>IF(R799="","",IF(INDEX('Recurring Schedule'!$I$6:$I$45,R799)="","",INDEX('Recurring Schedule'!$I$6:$I$45,R799)))</f>
        <v/>
      </c>
      <c r="I799" s="73">
        <f>IF(OR(G799="",H799=""),"",TRIM(IF(HOUR(H799-G799)&gt;0,HOUR(H799-G799)&amp;" hr ","")&amp;IF(MINUTE(H799-G799)&gt;0,MINUTE(H799-G799)&amp;" min","")))</f>
        <v/>
      </c>
      <c r="J799" s="66" t="n"/>
      <c r="K799" s="70" t="n"/>
      <c r="L799" s="73">
        <f>IF(R799="","",IF(INDEX('Recurring Schedule'!$J$6:$J$45,R799)="","",INDEX('Recurring Schedule'!$J$6:$J$45,R799)))</f>
        <v/>
      </c>
      <c r="M799" s="73">
        <f>IF(R799="","",IF(INDEX('Recurring Schedule'!$K$6:$K$45,R799)="","",INDEX('Recurring Schedule'!$K$6:$K$45,R799)))</f>
        <v/>
      </c>
      <c r="N799" s="73">
        <f>IF(R799="","",IF(INDEX('Recurring Schedule'!$L$6:$L$45,R799)="","",INDEX('Recurring Schedule'!$L$6:$L$45,R799)))</f>
        <v/>
      </c>
      <c r="O799" s="73">
        <f>IF(C799="","",IF(AND(OR(L799="1-Urgent",L799="2-High"),M799="✓"),"DO FIRST",IF(M799="✓","SCHEDULE",IF(OR(L799="1-Urgent",L799="2-High"),"DELEGATE","DELETE"))))</f>
        <v/>
      </c>
      <c r="P799" s="65" t="n"/>
      <c r="Q799">
        <f>IF(794&gt;Calc!$AQ$368,"",MATCH(793,Calc!$AQ$2:$AQ$367,1))</f>
        <v/>
      </c>
      <c r="R799">
        <f>IF(Q799="","",SMALL(INDEX(Calc!$B$2:$AO$367,Q799,0),794-INDEX(Calc!$AQ$2:$AQ$367,Q799)))</f>
        <v/>
      </c>
    </row>
    <row r="800">
      <c r="B800" s="64">
        <f>IF(R800="","",795)</f>
        <v/>
      </c>
      <c r="C800" s="37">
        <f>IF(R800="","",IF(INDEX('Recurring Schedule'!$C$6:$C$45,R800)="","",INDEX('Recurring Schedule'!$C$6:$C$45,R800)))</f>
        <v/>
      </c>
      <c r="D800" s="36">
        <f>IF(R800="","",IF(INDEX('Recurring Schedule'!$D$6:$D$45,R800)="","",INDEX('Recurring Schedule'!$D$6:$D$45,R800)))</f>
        <v/>
      </c>
      <c r="E800" s="38">
        <f>IF(Q800="","",INDEX(Calc!$A$2:$A$367,Q800))</f>
        <v/>
      </c>
      <c r="F800" s="68">
        <f>IF(OR(C800="",E800=""),"",E800-Setup!$D$7)</f>
        <v/>
      </c>
      <c r="G800" s="74">
        <f>IF(R800="","",IF(INDEX('Recurring Schedule'!$H$6:$H$45,R800)="","",INDEX('Recurring Schedule'!$H$6:$H$45,R800)))</f>
        <v/>
      </c>
      <c r="H800" s="74">
        <f>IF(R800="","",IF(INDEX('Recurring Schedule'!$I$6:$I$45,R800)="","",INDEX('Recurring Schedule'!$I$6:$I$45,R800)))</f>
        <v/>
      </c>
      <c r="I800" s="36">
        <f>IF(OR(G800="",H800=""),"",TRIM(IF(HOUR(H800-G800)&gt;0,HOUR(H800-G800)&amp;" hr ","")&amp;IF(MINUTE(H800-G800)&gt;0,MINUTE(H800-G800)&amp;" min","")))</f>
        <v/>
      </c>
      <c r="J800" s="66" t="n"/>
      <c r="K800" s="70" t="n"/>
      <c r="L800" s="36">
        <f>IF(R800="","",IF(INDEX('Recurring Schedule'!$J$6:$J$45,R800)="","",INDEX('Recurring Schedule'!$J$6:$J$45,R800)))</f>
        <v/>
      </c>
      <c r="M800" s="36">
        <f>IF(R800="","",IF(INDEX('Recurring Schedule'!$K$6:$K$45,R800)="","",INDEX('Recurring Schedule'!$K$6:$K$45,R800)))</f>
        <v/>
      </c>
      <c r="N800" s="36">
        <f>IF(R800="","",IF(INDEX('Recurring Schedule'!$L$6:$L$45,R800)="","",INDEX('Recurring Schedule'!$L$6:$L$45,R800)))</f>
        <v/>
      </c>
      <c r="O800" s="36">
        <f>IF(C800="","",IF(AND(OR(L800="1-Urgent",L800="2-High"),M800="✓"),"DO FIRST",IF(M800="✓","SCHEDULE",IF(OR(L800="1-Urgent",L800="2-High"),"DELEGATE","DELETE"))))</f>
        <v/>
      </c>
      <c r="P800" s="65" t="n"/>
      <c r="Q800">
        <f>IF(795&gt;Calc!$AQ$368,"",MATCH(794,Calc!$AQ$2:$AQ$367,1))</f>
        <v/>
      </c>
      <c r="R800">
        <f>IF(Q800="","",SMALL(INDEX(Calc!$B$2:$AO$367,Q800,0),795-INDEX(Calc!$AQ$2:$AQ$367,Q800)))</f>
        <v/>
      </c>
    </row>
    <row r="801">
      <c r="B801" s="71">
        <f>IF(R801="","",796)</f>
        <v/>
      </c>
      <c r="C801" s="75">
        <f>IF(R801="","",IF(INDEX('Recurring Schedule'!$C$6:$C$45,R801)="","",INDEX('Recurring Schedule'!$C$6:$C$45,R801)))</f>
        <v/>
      </c>
      <c r="D801" s="73">
        <f>IF(R801="","",IF(INDEX('Recurring Schedule'!$D$6:$D$45,R801)="","",INDEX('Recurring Schedule'!$D$6:$D$45,R801)))</f>
        <v/>
      </c>
      <c r="E801" s="76">
        <f>IF(Q801="","",INDEX(Calc!$A$2:$A$367,Q801))</f>
        <v/>
      </c>
      <c r="F801" s="72">
        <f>IF(OR(C801="",E801=""),"",E801-Setup!$D$7)</f>
        <v/>
      </c>
      <c r="G801" s="77">
        <f>IF(R801="","",IF(INDEX('Recurring Schedule'!$H$6:$H$45,R801)="","",INDEX('Recurring Schedule'!$H$6:$H$45,R801)))</f>
        <v/>
      </c>
      <c r="H801" s="77">
        <f>IF(R801="","",IF(INDEX('Recurring Schedule'!$I$6:$I$45,R801)="","",INDEX('Recurring Schedule'!$I$6:$I$45,R801)))</f>
        <v/>
      </c>
      <c r="I801" s="73">
        <f>IF(OR(G801="",H801=""),"",TRIM(IF(HOUR(H801-G801)&gt;0,HOUR(H801-G801)&amp;" hr ","")&amp;IF(MINUTE(H801-G801)&gt;0,MINUTE(H801-G801)&amp;" min","")))</f>
        <v/>
      </c>
      <c r="J801" s="66" t="n"/>
      <c r="K801" s="70" t="n"/>
      <c r="L801" s="73">
        <f>IF(R801="","",IF(INDEX('Recurring Schedule'!$J$6:$J$45,R801)="","",INDEX('Recurring Schedule'!$J$6:$J$45,R801)))</f>
        <v/>
      </c>
      <c r="M801" s="73">
        <f>IF(R801="","",IF(INDEX('Recurring Schedule'!$K$6:$K$45,R801)="","",INDEX('Recurring Schedule'!$K$6:$K$45,R801)))</f>
        <v/>
      </c>
      <c r="N801" s="73">
        <f>IF(R801="","",IF(INDEX('Recurring Schedule'!$L$6:$L$45,R801)="","",INDEX('Recurring Schedule'!$L$6:$L$45,R801)))</f>
        <v/>
      </c>
      <c r="O801" s="73">
        <f>IF(C801="","",IF(AND(OR(L801="1-Urgent",L801="2-High"),M801="✓"),"DO FIRST",IF(M801="✓","SCHEDULE",IF(OR(L801="1-Urgent",L801="2-High"),"DELEGATE","DELETE"))))</f>
        <v/>
      </c>
      <c r="P801" s="65" t="n"/>
      <c r="Q801">
        <f>IF(796&gt;Calc!$AQ$368,"",MATCH(795,Calc!$AQ$2:$AQ$367,1))</f>
        <v/>
      </c>
      <c r="R801">
        <f>IF(Q801="","",SMALL(INDEX(Calc!$B$2:$AO$367,Q801,0),796-INDEX(Calc!$AQ$2:$AQ$367,Q801)))</f>
        <v/>
      </c>
    </row>
    <row r="802">
      <c r="B802" s="64">
        <f>IF(R802="","",797)</f>
        <v/>
      </c>
      <c r="C802" s="37">
        <f>IF(R802="","",IF(INDEX('Recurring Schedule'!$C$6:$C$45,R802)="","",INDEX('Recurring Schedule'!$C$6:$C$45,R802)))</f>
        <v/>
      </c>
      <c r="D802" s="36">
        <f>IF(R802="","",IF(INDEX('Recurring Schedule'!$D$6:$D$45,R802)="","",INDEX('Recurring Schedule'!$D$6:$D$45,R802)))</f>
        <v/>
      </c>
      <c r="E802" s="38">
        <f>IF(Q802="","",INDEX(Calc!$A$2:$A$367,Q802))</f>
        <v/>
      </c>
      <c r="F802" s="68">
        <f>IF(OR(C802="",E802=""),"",E802-Setup!$D$7)</f>
        <v/>
      </c>
      <c r="G802" s="74">
        <f>IF(R802="","",IF(INDEX('Recurring Schedule'!$H$6:$H$45,R802)="","",INDEX('Recurring Schedule'!$H$6:$H$45,R802)))</f>
        <v/>
      </c>
      <c r="H802" s="74">
        <f>IF(R802="","",IF(INDEX('Recurring Schedule'!$I$6:$I$45,R802)="","",INDEX('Recurring Schedule'!$I$6:$I$45,R802)))</f>
        <v/>
      </c>
      <c r="I802" s="36">
        <f>IF(OR(G802="",H802=""),"",TRIM(IF(HOUR(H802-G802)&gt;0,HOUR(H802-G802)&amp;" hr ","")&amp;IF(MINUTE(H802-G802)&gt;0,MINUTE(H802-G802)&amp;" min","")))</f>
        <v/>
      </c>
      <c r="J802" s="66" t="n"/>
      <c r="K802" s="70" t="n"/>
      <c r="L802" s="36">
        <f>IF(R802="","",IF(INDEX('Recurring Schedule'!$J$6:$J$45,R802)="","",INDEX('Recurring Schedule'!$J$6:$J$45,R802)))</f>
        <v/>
      </c>
      <c r="M802" s="36">
        <f>IF(R802="","",IF(INDEX('Recurring Schedule'!$K$6:$K$45,R802)="","",INDEX('Recurring Schedule'!$K$6:$K$45,R802)))</f>
        <v/>
      </c>
      <c r="N802" s="36">
        <f>IF(R802="","",IF(INDEX('Recurring Schedule'!$L$6:$L$45,R802)="","",INDEX('Recurring Schedule'!$L$6:$L$45,R802)))</f>
        <v/>
      </c>
      <c r="O802" s="36">
        <f>IF(C802="","",IF(AND(OR(L802="1-Urgent",L802="2-High"),M802="✓"),"DO FIRST",IF(M802="✓","SCHEDULE",IF(OR(L802="1-Urgent",L802="2-High"),"DELEGATE","DELETE"))))</f>
        <v/>
      </c>
      <c r="P802" s="65" t="n"/>
      <c r="Q802">
        <f>IF(797&gt;Calc!$AQ$368,"",MATCH(796,Calc!$AQ$2:$AQ$367,1))</f>
        <v/>
      </c>
      <c r="R802">
        <f>IF(Q802="","",SMALL(INDEX(Calc!$B$2:$AO$367,Q802,0),797-INDEX(Calc!$AQ$2:$AQ$367,Q802)))</f>
        <v/>
      </c>
    </row>
    <row r="803">
      <c r="B803" s="71">
        <f>IF(R803="","",798)</f>
        <v/>
      </c>
      <c r="C803" s="75">
        <f>IF(R803="","",IF(INDEX('Recurring Schedule'!$C$6:$C$45,R803)="","",INDEX('Recurring Schedule'!$C$6:$C$45,R803)))</f>
        <v/>
      </c>
      <c r="D803" s="73">
        <f>IF(R803="","",IF(INDEX('Recurring Schedule'!$D$6:$D$45,R803)="","",INDEX('Recurring Schedule'!$D$6:$D$45,R803)))</f>
        <v/>
      </c>
      <c r="E803" s="76">
        <f>IF(Q803="","",INDEX(Calc!$A$2:$A$367,Q803))</f>
        <v/>
      </c>
      <c r="F803" s="72">
        <f>IF(OR(C803="",E803=""),"",E803-Setup!$D$7)</f>
        <v/>
      </c>
      <c r="G803" s="77">
        <f>IF(R803="","",IF(INDEX('Recurring Schedule'!$H$6:$H$45,R803)="","",INDEX('Recurring Schedule'!$H$6:$H$45,R803)))</f>
        <v/>
      </c>
      <c r="H803" s="77">
        <f>IF(R803="","",IF(INDEX('Recurring Schedule'!$I$6:$I$45,R803)="","",INDEX('Recurring Schedule'!$I$6:$I$45,R803)))</f>
        <v/>
      </c>
      <c r="I803" s="73">
        <f>IF(OR(G803="",H803=""),"",TRIM(IF(HOUR(H803-G803)&gt;0,HOUR(H803-G803)&amp;" hr ","")&amp;IF(MINUTE(H803-G803)&gt;0,MINUTE(H803-G803)&amp;" min","")))</f>
        <v/>
      </c>
      <c r="J803" s="66" t="n"/>
      <c r="K803" s="70" t="n"/>
      <c r="L803" s="73">
        <f>IF(R803="","",IF(INDEX('Recurring Schedule'!$J$6:$J$45,R803)="","",INDEX('Recurring Schedule'!$J$6:$J$45,R803)))</f>
        <v/>
      </c>
      <c r="M803" s="73">
        <f>IF(R803="","",IF(INDEX('Recurring Schedule'!$K$6:$K$45,R803)="","",INDEX('Recurring Schedule'!$K$6:$K$45,R803)))</f>
        <v/>
      </c>
      <c r="N803" s="73">
        <f>IF(R803="","",IF(INDEX('Recurring Schedule'!$L$6:$L$45,R803)="","",INDEX('Recurring Schedule'!$L$6:$L$45,R803)))</f>
        <v/>
      </c>
      <c r="O803" s="73">
        <f>IF(C803="","",IF(AND(OR(L803="1-Urgent",L803="2-High"),M803="✓"),"DO FIRST",IF(M803="✓","SCHEDULE",IF(OR(L803="1-Urgent",L803="2-High"),"DELEGATE","DELETE"))))</f>
        <v/>
      </c>
      <c r="P803" s="65" t="n"/>
      <c r="Q803">
        <f>IF(798&gt;Calc!$AQ$368,"",MATCH(797,Calc!$AQ$2:$AQ$367,1))</f>
        <v/>
      </c>
      <c r="R803">
        <f>IF(Q803="","",SMALL(INDEX(Calc!$B$2:$AO$367,Q803,0),798-INDEX(Calc!$AQ$2:$AQ$367,Q803)))</f>
        <v/>
      </c>
    </row>
    <row r="804">
      <c r="B804" s="64">
        <f>IF(R804="","",799)</f>
        <v/>
      </c>
      <c r="C804" s="37">
        <f>IF(R804="","",IF(INDEX('Recurring Schedule'!$C$6:$C$45,R804)="","",INDEX('Recurring Schedule'!$C$6:$C$45,R804)))</f>
        <v/>
      </c>
      <c r="D804" s="36">
        <f>IF(R804="","",IF(INDEX('Recurring Schedule'!$D$6:$D$45,R804)="","",INDEX('Recurring Schedule'!$D$6:$D$45,R804)))</f>
        <v/>
      </c>
      <c r="E804" s="38">
        <f>IF(Q804="","",INDEX(Calc!$A$2:$A$367,Q804))</f>
        <v/>
      </c>
      <c r="F804" s="68">
        <f>IF(OR(C804="",E804=""),"",E804-Setup!$D$7)</f>
        <v/>
      </c>
      <c r="G804" s="74">
        <f>IF(R804="","",IF(INDEX('Recurring Schedule'!$H$6:$H$45,R804)="","",INDEX('Recurring Schedule'!$H$6:$H$45,R804)))</f>
        <v/>
      </c>
      <c r="H804" s="74">
        <f>IF(R804="","",IF(INDEX('Recurring Schedule'!$I$6:$I$45,R804)="","",INDEX('Recurring Schedule'!$I$6:$I$45,R804)))</f>
        <v/>
      </c>
      <c r="I804" s="36">
        <f>IF(OR(G804="",H804=""),"",TRIM(IF(HOUR(H804-G804)&gt;0,HOUR(H804-G804)&amp;" hr ","")&amp;IF(MINUTE(H804-G804)&gt;0,MINUTE(H804-G804)&amp;" min","")))</f>
        <v/>
      </c>
      <c r="J804" s="66" t="n"/>
      <c r="K804" s="70" t="n"/>
      <c r="L804" s="36">
        <f>IF(R804="","",IF(INDEX('Recurring Schedule'!$J$6:$J$45,R804)="","",INDEX('Recurring Schedule'!$J$6:$J$45,R804)))</f>
        <v/>
      </c>
      <c r="M804" s="36">
        <f>IF(R804="","",IF(INDEX('Recurring Schedule'!$K$6:$K$45,R804)="","",INDEX('Recurring Schedule'!$K$6:$K$45,R804)))</f>
        <v/>
      </c>
      <c r="N804" s="36">
        <f>IF(R804="","",IF(INDEX('Recurring Schedule'!$L$6:$L$45,R804)="","",INDEX('Recurring Schedule'!$L$6:$L$45,R804)))</f>
        <v/>
      </c>
      <c r="O804" s="36">
        <f>IF(C804="","",IF(AND(OR(L804="1-Urgent",L804="2-High"),M804="✓"),"DO FIRST",IF(M804="✓","SCHEDULE",IF(OR(L804="1-Urgent",L804="2-High"),"DELEGATE","DELETE"))))</f>
        <v/>
      </c>
      <c r="P804" s="65" t="n"/>
      <c r="Q804">
        <f>IF(799&gt;Calc!$AQ$368,"",MATCH(798,Calc!$AQ$2:$AQ$367,1))</f>
        <v/>
      </c>
      <c r="R804">
        <f>IF(Q804="","",SMALL(INDEX(Calc!$B$2:$AO$367,Q804,0),799-INDEX(Calc!$AQ$2:$AQ$367,Q804)))</f>
        <v/>
      </c>
    </row>
    <row r="805">
      <c r="B805" s="71">
        <f>IF(R805="","",800)</f>
        <v/>
      </c>
      <c r="C805" s="75">
        <f>IF(R805="","",IF(INDEX('Recurring Schedule'!$C$6:$C$45,R805)="","",INDEX('Recurring Schedule'!$C$6:$C$45,R805)))</f>
        <v/>
      </c>
      <c r="D805" s="73">
        <f>IF(R805="","",IF(INDEX('Recurring Schedule'!$D$6:$D$45,R805)="","",INDEX('Recurring Schedule'!$D$6:$D$45,R805)))</f>
        <v/>
      </c>
      <c r="E805" s="76">
        <f>IF(Q805="","",INDEX(Calc!$A$2:$A$367,Q805))</f>
        <v/>
      </c>
      <c r="F805" s="72">
        <f>IF(OR(C805="",E805=""),"",E805-Setup!$D$7)</f>
        <v/>
      </c>
      <c r="G805" s="77">
        <f>IF(R805="","",IF(INDEX('Recurring Schedule'!$H$6:$H$45,R805)="","",INDEX('Recurring Schedule'!$H$6:$H$45,R805)))</f>
        <v/>
      </c>
      <c r="H805" s="77">
        <f>IF(R805="","",IF(INDEX('Recurring Schedule'!$I$6:$I$45,R805)="","",INDEX('Recurring Schedule'!$I$6:$I$45,R805)))</f>
        <v/>
      </c>
      <c r="I805" s="73">
        <f>IF(OR(G805="",H805=""),"",TRIM(IF(HOUR(H805-G805)&gt;0,HOUR(H805-G805)&amp;" hr ","")&amp;IF(MINUTE(H805-G805)&gt;0,MINUTE(H805-G805)&amp;" min","")))</f>
        <v/>
      </c>
      <c r="J805" s="66" t="n"/>
      <c r="K805" s="70" t="n"/>
      <c r="L805" s="73">
        <f>IF(R805="","",IF(INDEX('Recurring Schedule'!$J$6:$J$45,R805)="","",INDEX('Recurring Schedule'!$J$6:$J$45,R805)))</f>
        <v/>
      </c>
      <c r="M805" s="73">
        <f>IF(R805="","",IF(INDEX('Recurring Schedule'!$K$6:$K$45,R805)="","",INDEX('Recurring Schedule'!$K$6:$K$45,R805)))</f>
        <v/>
      </c>
      <c r="N805" s="73">
        <f>IF(R805="","",IF(INDEX('Recurring Schedule'!$L$6:$L$45,R805)="","",INDEX('Recurring Schedule'!$L$6:$L$45,R805)))</f>
        <v/>
      </c>
      <c r="O805" s="73">
        <f>IF(C805="","",IF(AND(OR(L805="1-Urgent",L805="2-High"),M805="✓"),"DO FIRST",IF(M805="✓","SCHEDULE",IF(OR(L805="1-Urgent",L805="2-High"),"DELEGATE","DELETE"))))</f>
        <v/>
      </c>
      <c r="P805" s="65" t="n"/>
      <c r="Q805">
        <f>IF(800&gt;Calc!$AQ$368,"",MATCH(799,Calc!$AQ$2:$AQ$367,1))</f>
        <v/>
      </c>
      <c r="R805">
        <f>IF(Q805="","",SMALL(INDEX(Calc!$B$2:$AO$367,Q805,0),800-INDEX(Calc!$AQ$2:$AQ$367,Q805)))</f>
        <v/>
      </c>
    </row>
    <row r="806">
      <c r="B806" s="64">
        <f>IF(R806="","",801)</f>
        <v/>
      </c>
      <c r="C806" s="37">
        <f>IF(R806="","",IF(INDEX('Recurring Schedule'!$C$6:$C$45,R806)="","",INDEX('Recurring Schedule'!$C$6:$C$45,R806)))</f>
        <v/>
      </c>
      <c r="D806" s="36">
        <f>IF(R806="","",IF(INDEX('Recurring Schedule'!$D$6:$D$45,R806)="","",INDEX('Recurring Schedule'!$D$6:$D$45,R806)))</f>
        <v/>
      </c>
      <c r="E806" s="38">
        <f>IF(Q806="","",INDEX(Calc!$A$2:$A$367,Q806))</f>
        <v/>
      </c>
      <c r="F806" s="68">
        <f>IF(OR(C806="",E806=""),"",E806-Setup!$D$7)</f>
        <v/>
      </c>
      <c r="G806" s="74">
        <f>IF(R806="","",IF(INDEX('Recurring Schedule'!$H$6:$H$45,R806)="","",INDEX('Recurring Schedule'!$H$6:$H$45,R806)))</f>
        <v/>
      </c>
      <c r="H806" s="74">
        <f>IF(R806="","",IF(INDEX('Recurring Schedule'!$I$6:$I$45,R806)="","",INDEX('Recurring Schedule'!$I$6:$I$45,R806)))</f>
        <v/>
      </c>
      <c r="I806" s="36">
        <f>IF(OR(G806="",H806=""),"",TRIM(IF(HOUR(H806-G806)&gt;0,HOUR(H806-G806)&amp;" hr ","")&amp;IF(MINUTE(H806-G806)&gt;0,MINUTE(H806-G806)&amp;" min","")))</f>
        <v/>
      </c>
      <c r="J806" s="66" t="n"/>
      <c r="K806" s="70" t="n"/>
      <c r="L806" s="36">
        <f>IF(R806="","",IF(INDEX('Recurring Schedule'!$J$6:$J$45,R806)="","",INDEX('Recurring Schedule'!$J$6:$J$45,R806)))</f>
        <v/>
      </c>
      <c r="M806" s="36">
        <f>IF(R806="","",IF(INDEX('Recurring Schedule'!$K$6:$K$45,R806)="","",INDEX('Recurring Schedule'!$K$6:$K$45,R806)))</f>
        <v/>
      </c>
      <c r="N806" s="36">
        <f>IF(R806="","",IF(INDEX('Recurring Schedule'!$L$6:$L$45,R806)="","",INDEX('Recurring Schedule'!$L$6:$L$45,R806)))</f>
        <v/>
      </c>
      <c r="O806" s="36">
        <f>IF(C806="","",IF(AND(OR(L806="1-Urgent",L806="2-High"),M806="✓"),"DO FIRST",IF(M806="✓","SCHEDULE",IF(OR(L806="1-Urgent",L806="2-High"),"DELEGATE","DELETE"))))</f>
        <v/>
      </c>
      <c r="P806" s="65" t="n"/>
      <c r="Q806">
        <f>IF(801&gt;Calc!$AQ$368,"",MATCH(800,Calc!$AQ$2:$AQ$367,1))</f>
        <v/>
      </c>
      <c r="R806">
        <f>IF(Q806="","",SMALL(INDEX(Calc!$B$2:$AO$367,Q806,0),801-INDEX(Calc!$AQ$2:$AQ$367,Q806)))</f>
        <v/>
      </c>
    </row>
    <row r="807">
      <c r="B807" s="71">
        <f>IF(R807="","",802)</f>
        <v/>
      </c>
      <c r="C807" s="75">
        <f>IF(R807="","",IF(INDEX('Recurring Schedule'!$C$6:$C$45,R807)="","",INDEX('Recurring Schedule'!$C$6:$C$45,R807)))</f>
        <v/>
      </c>
      <c r="D807" s="73">
        <f>IF(R807="","",IF(INDEX('Recurring Schedule'!$D$6:$D$45,R807)="","",INDEX('Recurring Schedule'!$D$6:$D$45,R807)))</f>
        <v/>
      </c>
      <c r="E807" s="76">
        <f>IF(Q807="","",INDEX(Calc!$A$2:$A$367,Q807))</f>
        <v/>
      </c>
      <c r="F807" s="72">
        <f>IF(OR(C807="",E807=""),"",E807-Setup!$D$7)</f>
        <v/>
      </c>
      <c r="G807" s="77">
        <f>IF(R807="","",IF(INDEX('Recurring Schedule'!$H$6:$H$45,R807)="","",INDEX('Recurring Schedule'!$H$6:$H$45,R807)))</f>
        <v/>
      </c>
      <c r="H807" s="77">
        <f>IF(R807="","",IF(INDEX('Recurring Schedule'!$I$6:$I$45,R807)="","",INDEX('Recurring Schedule'!$I$6:$I$45,R807)))</f>
        <v/>
      </c>
      <c r="I807" s="73">
        <f>IF(OR(G807="",H807=""),"",TRIM(IF(HOUR(H807-G807)&gt;0,HOUR(H807-G807)&amp;" hr ","")&amp;IF(MINUTE(H807-G807)&gt;0,MINUTE(H807-G807)&amp;" min","")))</f>
        <v/>
      </c>
      <c r="J807" s="66" t="n"/>
      <c r="K807" s="70" t="n"/>
      <c r="L807" s="73">
        <f>IF(R807="","",IF(INDEX('Recurring Schedule'!$J$6:$J$45,R807)="","",INDEX('Recurring Schedule'!$J$6:$J$45,R807)))</f>
        <v/>
      </c>
      <c r="M807" s="73">
        <f>IF(R807="","",IF(INDEX('Recurring Schedule'!$K$6:$K$45,R807)="","",INDEX('Recurring Schedule'!$K$6:$K$45,R807)))</f>
        <v/>
      </c>
      <c r="N807" s="73">
        <f>IF(R807="","",IF(INDEX('Recurring Schedule'!$L$6:$L$45,R807)="","",INDEX('Recurring Schedule'!$L$6:$L$45,R807)))</f>
        <v/>
      </c>
      <c r="O807" s="73">
        <f>IF(C807="","",IF(AND(OR(L807="1-Urgent",L807="2-High"),M807="✓"),"DO FIRST",IF(M807="✓","SCHEDULE",IF(OR(L807="1-Urgent",L807="2-High"),"DELEGATE","DELETE"))))</f>
        <v/>
      </c>
      <c r="P807" s="65" t="n"/>
      <c r="Q807">
        <f>IF(802&gt;Calc!$AQ$368,"",MATCH(801,Calc!$AQ$2:$AQ$367,1))</f>
        <v/>
      </c>
      <c r="R807">
        <f>IF(Q807="","",SMALL(INDEX(Calc!$B$2:$AO$367,Q807,0),802-INDEX(Calc!$AQ$2:$AQ$367,Q807)))</f>
        <v/>
      </c>
    </row>
    <row r="808">
      <c r="B808" s="64">
        <f>IF(R808="","",803)</f>
        <v/>
      </c>
      <c r="C808" s="37">
        <f>IF(R808="","",IF(INDEX('Recurring Schedule'!$C$6:$C$45,R808)="","",INDEX('Recurring Schedule'!$C$6:$C$45,R808)))</f>
        <v/>
      </c>
      <c r="D808" s="36">
        <f>IF(R808="","",IF(INDEX('Recurring Schedule'!$D$6:$D$45,R808)="","",INDEX('Recurring Schedule'!$D$6:$D$45,R808)))</f>
        <v/>
      </c>
      <c r="E808" s="38">
        <f>IF(Q808="","",INDEX(Calc!$A$2:$A$367,Q808))</f>
        <v/>
      </c>
      <c r="F808" s="68">
        <f>IF(OR(C808="",E808=""),"",E808-Setup!$D$7)</f>
        <v/>
      </c>
      <c r="G808" s="74">
        <f>IF(R808="","",IF(INDEX('Recurring Schedule'!$H$6:$H$45,R808)="","",INDEX('Recurring Schedule'!$H$6:$H$45,R808)))</f>
        <v/>
      </c>
      <c r="H808" s="74">
        <f>IF(R808="","",IF(INDEX('Recurring Schedule'!$I$6:$I$45,R808)="","",INDEX('Recurring Schedule'!$I$6:$I$45,R808)))</f>
        <v/>
      </c>
      <c r="I808" s="36">
        <f>IF(OR(G808="",H808=""),"",TRIM(IF(HOUR(H808-G808)&gt;0,HOUR(H808-G808)&amp;" hr ","")&amp;IF(MINUTE(H808-G808)&gt;0,MINUTE(H808-G808)&amp;" min","")))</f>
        <v/>
      </c>
      <c r="J808" s="66" t="n"/>
      <c r="K808" s="70" t="n"/>
      <c r="L808" s="36">
        <f>IF(R808="","",IF(INDEX('Recurring Schedule'!$J$6:$J$45,R808)="","",INDEX('Recurring Schedule'!$J$6:$J$45,R808)))</f>
        <v/>
      </c>
      <c r="M808" s="36">
        <f>IF(R808="","",IF(INDEX('Recurring Schedule'!$K$6:$K$45,R808)="","",INDEX('Recurring Schedule'!$K$6:$K$45,R808)))</f>
        <v/>
      </c>
      <c r="N808" s="36">
        <f>IF(R808="","",IF(INDEX('Recurring Schedule'!$L$6:$L$45,R808)="","",INDEX('Recurring Schedule'!$L$6:$L$45,R808)))</f>
        <v/>
      </c>
      <c r="O808" s="36">
        <f>IF(C808="","",IF(AND(OR(L808="1-Urgent",L808="2-High"),M808="✓"),"DO FIRST",IF(M808="✓","SCHEDULE",IF(OR(L808="1-Urgent",L808="2-High"),"DELEGATE","DELETE"))))</f>
        <v/>
      </c>
      <c r="P808" s="65" t="n"/>
      <c r="Q808">
        <f>IF(803&gt;Calc!$AQ$368,"",MATCH(802,Calc!$AQ$2:$AQ$367,1))</f>
        <v/>
      </c>
      <c r="R808">
        <f>IF(Q808="","",SMALL(INDEX(Calc!$B$2:$AO$367,Q808,0),803-INDEX(Calc!$AQ$2:$AQ$367,Q808)))</f>
        <v/>
      </c>
    </row>
    <row r="809">
      <c r="B809" s="71">
        <f>IF(R809="","",804)</f>
        <v/>
      </c>
      <c r="C809" s="75">
        <f>IF(R809="","",IF(INDEX('Recurring Schedule'!$C$6:$C$45,R809)="","",INDEX('Recurring Schedule'!$C$6:$C$45,R809)))</f>
        <v/>
      </c>
      <c r="D809" s="73">
        <f>IF(R809="","",IF(INDEX('Recurring Schedule'!$D$6:$D$45,R809)="","",INDEX('Recurring Schedule'!$D$6:$D$45,R809)))</f>
        <v/>
      </c>
      <c r="E809" s="76">
        <f>IF(Q809="","",INDEX(Calc!$A$2:$A$367,Q809))</f>
        <v/>
      </c>
      <c r="F809" s="72">
        <f>IF(OR(C809="",E809=""),"",E809-Setup!$D$7)</f>
        <v/>
      </c>
      <c r="G809" s="77">
        <f>IF(R809="","",IF(INDEX('Recurring Schedule'!$H$6:$H$45,R809)="","",INDEX('Recurring Schedule'!$H$6:$H$45,R809)))</f>
        <v/>
      </c>
      <c r="H809" s="77">
        <f>IF(R809="","",IF(INDEX('Recurring Schedule'!$I$6:$I$45,R809)="","",INDEX('Recurring Schedule'!$I$6:$I$45,R809)))</f>
        <v/>
      </c>
      <c r="I809" s="73">
        <f>IF(OR(G809="",H809=""),"",TRIM(IF(HOUR(H809-G809)&gt;0,HOUR(H809-G809)&amp;" hr ","")&amp;IF(MINUTE(H809-G809)&gt;0,MINUTE(H809-G809)&amp;" min","")))</f>
        <v/>
      </c>
      <c r="J809" s="66" t="n"/>
      <c r="K809" s="70" t="n"/>
      <c r="L809" s="73">
        <f>IF(R809="","",IF(INDEX('Recurring Schedule'!$J$6:$J$45,R809)="","",INDEX('Recurring Schedule'!$J$6:$J$45,R809)))</f>
        <v/>
      </c>
      <c r="M809" s="73">
        <f>IF(R809="","",IF(INDEX('Recurring Schedule'!$K$6:$K$45,R809)="","",INDEX('Recurring Schedule'!$K$6:$K$45,R809)))</f>
        <v/>
      </c>
      <c r="N809" s="73">
        <f>IF(R809="","",IF(INDEX('Recurring Schedule'!$L$6:$L$45,R809)="","",INDEX('Recurring Schedule'!$L$6:$L$45,R809)))</f>
        <v/>
      </c>
      <c r="O809" s="73">
        <f>IF(C809="","",IF(AND(OR(L809="1-Urgent",L809="2-High"),M809="✓"),"DO FIRST",IF(M809="✓","SCHEDULE",IF(OR(L809="1-Urgent",L809="2-High"),"DELEGATE","DELETE"))))</f>
        <v/>
      </c>
      <c r="P809" s="65" t="n"/>
      <c r="Q809">
        <f>IF(804&gt;Calc!$AQ$368,"",MATCH(803,Calc!$AQ$2:$AQ$367,1))</f>
        <v/>
      </c>
      <c r="R809">
        <f>IF(Q809="","",SMALL(INDEX(Calc!$B$2:$AO$367,Q809,0),804-INDEX(Calc!$AQ$2:$AQ$367,Q809)))</f>
        <v/>
      </c>
    </row>
    <row r="810">
      <c r="B810" s="64">
        <f>IF(R810="","",805)</f>
        <v/>
      </c>
      <c r="C810" s="37">
        <f>IF(R810="","",IF(INDEX('Recurring Schedule'!$C$6:$C$45,R810)="","",INDEX('Recurring Schedule'!$C$6:$C$45,R810)))</f>
        <v/>
      </c>
      <c r="D810" s="36">
        <f>IF(R810="","",IF(INDEX('Recurring Schedule'!$D$6:$D$45,R810)="","",INDEX('Recurring Schedule'!$D$6:$D$45,R810)))</f>
        <v/>
      </c>
      <c r="E810" s="38">
        <f>IF(Q810="","",INDEX(Calc!$A$2:$A$367,Q810))</f>
        <v/>
      </c>
      <c r="F810" s="68">
        <f>IF(OR(C810="",E810=""),"",E810-Setup!$D$7)</f>
        <v/>
      </c>
      <c r="G810" s="74">
        <f>IF(R810="","",IF(INDEX('Recurring Schedule'!$H$6:$H$45,R810)="","",INDEX('Recurring Schedule'!$H$6:$H$45,R810)))</f>
        <v/>
      </c>
      <c r="H810" s="74">
        <f>IF(R810="","",IF(INDEX('Recurring Schedule'!$I$6:$I$45,R810)="","",INDEX('Recurring Schedule'!$I$6:$I$45,R810)))</f>
        <v/>
      </c>
      <c r="I810" s="36">
        <f>IF(OR(G810="",H810=""),"",TRIM(IF(HOUR(H810-G810)&gt;0,HOUR(H810-G810)&amp;" hr ","")&amp;IF(MINUTE(H810-G810)&gt;0,MINUTE(H810-G810)&amp;" min","")))</f>
        <v/>
      </c>
      <c r="J810" s="66" t="n"/>
      <c r="K810" s="70" t="n"/>
      <c r="L810" s="36">
        <f>IF(R810="","",IF(INDEX('Recurring Schedule'!$J$6:$J$45,R810)="","",INDEX('Recurring Schedule'!$J$6:$J$45,R810)))</f>
        <v/>
      </c>
      <c r="M810" s="36">
        <f>IF(R810="","",IF(INDEX('Recurring Schedule'!$K$6:$K$45,R810)="","",INDEX('Recurring Schedule'!$K$6:$K$45,R810)))</f>
        <v/>
      </c>
      <c r="N810" s="36">
        <f>IF(R810="","",IF(INDEX('Recurring Schedule'!$L$6:$L$45,R810)="","",INDEX('Recurring Schedule'!$L$6:$L$45,R810)))</f>
        <v/>
      </c>
      <c r="O810" s="36">
        <f>IF(C810="","",IF(AND(OR(L810="1-Urgent",L810="2-High"),M810="✓"),"DO FIRST",IF(M810="✓","SCHEDULE",IF(OR(L810="1-Urgent",L810="2-High"),"DELEGATE","DELETE"))))</f>
        <v/>
      </c>
      <c r="P810" s="65" t="n"/>
      <c r="Q810">
        <f>IF(805&gt;Calc!$AQ$368,"",MATCH(804,Calc!$AQ$2:$AQ$367,1))</f>
        <v/>
      </c>
      <c r="R810">
        <f>IF(Q810="","",SMALL(INDEX(Calc!$B$2:$AO$367,Q810,0),805-INDEX(Calc!$AQ$2:$AQ$367,Q810)))</f>
        <v/>
      </c>
    </row>
    <row r="811">
      <c r="B811" s="71">
        <f>IF(R811="","",806)</f>
        <v/>
      </c>
      <c r="C811" s="75">
        <f>IF(R811="","",IF(INDEX('Recurring Schedule'!$C$6:$C$45,R811)="","",INDEX('Recurring Schedule'!$C$6:$C$45,R811)))</f>
        <v/>
      </c>
      <c r="D811" s="73">
        <f>IF(R811="","",IF(INDEX('Recurring Schedule'!$D$6:$D$45,R811)="","",INDEX('Recurring Schedule'!$D$6:$D$45,R811)))</f>
        <v/>
      </c>
      <c r="E811" s="76">
        <f>IF(Q811="","",INDEX(Calc!$A$2:$A$367,Q811))</f>
        <v/>
      </c>
      <c r="F811" s="72">
        <f>IF(OR(C811="",E811=""),"",E811-Setup!$D$7)</f>
        <v/>
      </c>
      <c r="G811" s="77">
        <f>IF(R811="","",IF(INDEX('Recurring Schedule'!$H$6:$H$45,R811)="","",INDEX('Recurring Schedule'!$H$6:$H$45,R811)))</f>
        <v/>
      </c>
      <c r="H811" s="77">
        <f>IF(R811="","",IF(INDEX('Recurring Schedule'!$I$6:$I$45,R811)="","",INDEX('Recurring Schedule'!$I$6:$I$45,R811)))</f>
        <v/>
      </c>
      <c r="I811" s="73">
        <f>IF(OR(G811="",H811=""),"",TRIM(IF(HOUR(H811-G811)&gt;0,HOUR(H811-G811)&amp;" hr ","")&amp;IF(MINUTE(H811-G811)&gt;0,MINUTE(H811-G811)&amp;" min","")))</f>
        <v/>
      </c>
      <c r="J811" s="66" t="n"/>
      <c r="K811" s="70" t="n"/>
      <c r="L811" s="73">
        <f>IF(R811="","",IF(INDEX('Recurring Schedule'!$J$6:$J$45,R811)="","",INDEX('Recurring Schedule'!$J$6:$J$45,R811)))</f>
        <v/>
      </c>
      <c r="M811" s="73">
        <f>IF(R811="","",IF(INDEX('Recurring Schedule'!$K$6:$K$45,R811)="","",INDEX('Recurring Schedule'!$K$6:$K$45,R811)))</f>
        <v/>
      </c>
      <c r="N811" s="73">
        <f>IF(R811="","",IF(INDEX('Recurring Schedule'!$L$6:$L$45,R811)="","",INDEX('Recurring Schedule'!$L$6:$L$45,R811)))</f>
        <v/>
      </c>
      <c r="O811" s="73">
        <f>IF(C811="","",IF(AND(OR(L811="1-Urgent",L811="2-High"),M811="✓"),"DO FIRST",IF(M811="✓","SCHEDULE",IF(OR(L811="1-Urgent",L811="2-High"),"DELEGATE","DELETE"))))</f>
        <v/>
      </c>
      <c r="P811" s="65" t="n"/>
      <c r="Q811">
        <f>IF(806&gt;Calc!$AQ$368,"",MATCH(805,Calc!$AQ$2:$AQ$367,1))</f>
        <v/>
      </c>
      <c r="R811">
        <f>IF(Q811="","",SMALL(INDEX(Calc!$B$2:$AO$367,Q811,0),806-INDEX(Calc!$AQ$2:$AQ$367,Q811)))</f>
        <v/>
      </c>
    </row>
    <row r="812">
      <c r="B812" s="64">
        <f>IF(R812="","",807)</f>
        <v/>
      </c>
      <c r="C812" s="37">
        <f>IF(R812="","",IF(INDEX('Recurring Schedule'!$C$6:$C$45,R812)="","",INDEX('Recurring Schedule'!$C$6:$C$45,R812)))</f>
        <v/>
      </c>
      <c r="D812" s="36">
        <f>IF(R812="","",IF(INDEX('Recurring Schedule'!$D$6:$D$45,R812)="","",INDEX('Recurring Schedule'!$D$6:$D$45,R812)))</f>
        <v/>
      </c>
      <c r="E812" s="38">
        <f>IF(Q812="","",INDEX(Calc!$A$2:$A$367,Q812))</f>
        <v/>
      </c>
      <c r="F812" s="68">
        <f>IF(OR(C812="",E812=""),"",E812-Setup!$D$7)</f>
        <v/>
      </c>
      <c r="G812" s="74">
        <f>IF(R812="","",IF(INDEX('Recurring Schedule'!$H$6:$H$45,R812)="","",INDEX('Recurring Schedule'!$H$6:$H$45,R812)))</f>
        <v/>
      </c>
      <c r="H812" s="74">
        <f>IF(R812="","",IF(INDEX('Recurring Schedule'!$I$6:$I$45,R812)="","",INDEX('Recurring Schedule'!$I$6:$I$45,R812)))</f>
        <v/>
      </c>
      <c r="I812" s="36">
        <f>IF(OR(G812="",H812=""),"",TRIM(IF(HOUR(H812-G812)&gt;0,HOUR(H812-G812)&amp;" hr ","")&amp;IF(MINUTE(H812-G812)&gt;0,MINUTE(H812-G812)&amp;" min","")))</f>
        <v/>
      </c>
      <c r="J812" s="66" t="n"/>
      <c r="K812" s="70" t="n"/>
      <c r="L812" s="36">
        <f>IF(R812="","",IF(INDEX('Recurring Schedule'!$J$6:$J$45,R812)="","",INDEX('Recurring Schedule'!$J$6:$J$45,R812)))</f>
        <v/>
      </c>
      <c r="M812" s="36">
        <f>IF(R812="","",IF(INDEX('Recurring Schedule'!$K$6:$K$45,R812)="","",INDEX('Recurring Schedule'!$K$6:$K$45,R812)))</f>
        <v/>
      </c>
      <c r="N812" s="36">
        <f>IF(R812="","",IF(INDEX('Recurring Schedule'!$L$6:$L$45,R812)="","",INDEX('Recurring Schedule'!$L$6:$L$45,R812)))</f>
        <v/>
      </c>
      <c r="O812" s="36">
        <f>IF(C812="","",IF(AND(OR(L812="1-Urgent",L812="2-High"),M812="✓"),"DO FIRST",IF(M812="✓","SCHEDULE",IF(OR(L812="1-Urgent",L812="2-High"),"DELEGATE","DELETE"))))</f>
        <v/>
      </c>
      <c r="P812" s="65" t="n"/>
      <c r="Q812">
        <f>IF(807&gt;Calc!$AQ$368,"",MATCH(806,Calc!$AQ$2:$AQ$367,1))</f>
        <v/>
      </c>
      <c r="R812">
        <f>IF(Q812="","",SMALL(INDEX(Calc!$B$2:$AO$367,Q812,0),807-INDEX(Calc!$AQ$2:$AQ$367,Q812)))</f>
        <v/>
      </c>
    </row>
    <row r="813">
      <c r="B813" s="71">
        <f>IF(R813="","",808)</f>
        <v/>
      </c>
      <c r="C813" s="75">
        <f>IF(R813="","",IF(INDEX('Recurring Schedule'!$C$6:$C$45,R813)="","",INDEX('Recurring Schedule'!$C$6:$C$45,R813)))</f>
        <v/>
      </c>
      <c r="D813" s="73">
        <f>IF(R813="","",IF(INDEX('Recurring Schedule'!$D$6:$D$45,R813)="","",INDEX('Recurring Schedule'!$D$6:$D$45,R813)))</f>
        <v/>
      </c>
      <c r="E813" s="76">
        <f>IF(Q813="","",INDEX(Calc!$A$2:$A$367,Q813))</f>
        <v/>
      </c>
      <c r="F813" s="72">
        <f>IF(OR(C813="",E813=""),"",E813-Setup!$D$7)</f>
        <v/>
      </c>
      <c r="G813" s="77">
        <f>IF(R813="","",IF(INDEX('Recurring Schedule'!$H$6:$H$45,R813)="","",INDEX('Recurring Schedule'!$H$6:$H$45,R813)))</f>
        <v/>
      </c>
      <c r="H813" s="77">
        <f>IF(R813="","",IF(INDEX('Recurring Schedule'!$I$6:$I$45,R813)="","",INDEX('Recurring Schedule'!$I$6:$I$45,R813)))</f>
        <v/>
      </c>
      <c r="I813" s="73">
        <f>IF(OR(G813="",H813=""),"",TRIM(IF(HOUR(H813-G813)&gt;0,HOUR(H813-G813)&amp;" hr ","")&amp;IF(MINUTE(H813-G813)&gt;0,MINUTE(H813-G813)&amp;" min","")))</f>
        <v/>
      </c>
      <c r="J813" s="66" t="n"/>
      <c r="K813" s="70" t="n"/>
      <c r="L813" s="73">
        <f>IF(R813="","",IF(INDEX('Recurring Schedule'!$J$6:$J$45,R813)="","",INDEX('Recurring Schedule'!$J$6:$J$45,R813)))</f>
        <v/>
      </c>
      <c r="M813" s="73">
        <f>IF(R813="","",IF(INDEX('Recurring Schedule'!$K$6:$K$45,R813)="","",INDEX('Recurring Schedule'!$K$6:$K$45,R813)))</f>
        <v/>
      </c>
      <c r="N813" s="73">
        <f>IF(R813="","",IF(INDEX('Recurring Schedule'!$L$6:$L$45,R813)="","",INDEX('Recurring Schedule'!$L$6:$L$45,R813)))</f>
        <v/>
      </c>
      <c r="O813" s="73">
        <f>IF(C813="","",IF(AND(OR(L813="1-Urgent",L813="2-High"),M813="✓"),"DO FIRST",IF(M813="✓","SCHEDULE",IF(OR(L813="1-Urgent",L813="2-High"),"DELEGATE","DELETE"))))</f>
        <v/>
      </c>
      <c r="P813" s="65" t="n"/>
      <c r="Q813">
        <f>IF(808&gt;Calc!$AQ$368,"",MATCH(807,Calc!$AQ$2:$AQ$367,1))</f>
        <v/>
      </c>
      <c r="R813">
        <f>IF(Q813="","",SMALL(INDEX(Calc!$B$2:$AO$367,Q813,0),808-INDEX(Calc!$AQ$2:$AQ$367,Q813)))</f>
        <v/>
      </c>
    </row>
    <row r="814">
      <c r="B814" s="64">
        <f>IF(R814="","",809)</f>
        <v/>
      </c>
      <c r="C814" s="37">
        <f>IF(R814="","",IF(INDEX('Recurring Schedule'!$C$6:$C$45,R814)="","",INDEX('Recurring Schedule'!$C$6:$C$45,R814)))</f>
        <v/>
      </c>
      <c r="D814" s="36">
        <f>IF(R814="","",IF(INDEX('Recurring Schedule'!$D$6:$D$45,R814)="","",INDEX('Recurring Schedule'!$D$6:$D$45,R814)))</f>
        <v/>
      </c>
      <c r="E814" s="38">
        <f>IF(Q814="","",INDEX(Calc!$A$2:$A$367,Q814))</f>
        <v/>
      </c>
      <c r="F814" s="68">
        <f>IF(OR(C814="",E814=""),"",E814-Setup!$D$7)</f>
        <v/>
      </c>
      <c r="G814" s="74">
        <f>IF(R814="","",IF(INDEX('Recurring Schedule'!$H$6:$H$45,R814)="","",INDEX('Recurring Schedule'!$H$6:$H$45,R814)))</f>
        <v/>
      </c>
      <c r="H814" s="74">
        <f>IF(R814="","",IF(INDEX('Recurring Schedule'!$I$6:$I$45,R814)="","",INDEX('Recurring Schedule'!$I$6:$I$45,R814)))</f>
        <v/>
      </c>
      <c r="I814" s="36">
        <f>IF(OR(G814="",H814=""),"",TRIM(IF(HOUR(H814-G814)&gt;0,HOUR(H814-G814)&amp;" hr ","")&amp;IF(MINUTE(H814-G814)&gt;0,MINUTE(H814-G814)&amp;" min","")))</f>
        <v/>
      </c>
      <c r="J814" s="66" t="n"/>
      <c r="K814" s="70" t="n"/>
      <c r="L814" s="36">
        <f>IF(R814="","",IF(INDEX('Recurring Schedule'!$J$6:$J$45,R814)="","",INDEX('Recurring Schedule'!$J$6:$J$45,R814)))</f>
        <v/>
      </c>
      <c r="M814" s="36">
        <f>IF(R814="","",IF(INDEX('Recurring Schedule'!$K$6:$K$45,R814)="","",INDEX('Recurring Schedule'!$K$6:$K$45,R814)))</f>
        <v/>
      </c>
      <c r="N814" s="36">
        <f>IF(R814="","",IF(INDEX('Recurring Schedule'!$L$6:$L$45,R814)="","",INDEX('Recurring Schedule'!$L$6:$L$45,R814)))</f>
        <v/>
      </c>
      <c r="O814" s="36">
        <f>IF(C814="","",IF(AND(OR(L814="1-Urgent",L814="2-High"),M814="✓"),"DO FIRST",IF(M814="✓","SCHEDULE",IF(OR(L814="1-Urgent",L814="2-High"),"DELEGATE","DELETE"))))</f>
        <v/>
      </c>
      <c r="P814" s="65" t="n"/>
      <c r="Q814">
        <f>IF(809&gt;Calc!$AQ$368,"",MATCH(808,Calc!$AQ$2:$AQ$367,1))</f>
        <v/>
      </c>
      <c r="R814">
        <f>IF(Q814="","",SMALL(INDEX(Calc!$B$2:$AO$367,Q814,0),809-INDEX(Calc!$AQ$2:$AQ$367,Q814)))</f>
        <v/>
      </c>
    </row>
    <row r="815">
      <c r="B815" s="71">
        <f>IF(R815="","",810)</f>
        <v/>
      </c>
      <c r="C815" s="75">
        <f>IF(R815="","",IF(INDEX('Recurring Schedule'!$C$6:$C$45,R815)="","",INDEX('Recurring Schedule'!$C$6:$C$45,R815)))</f>
        <v/>
      </c>
      <c r="D815" s="73">
        <f>IF(R815="","",IF(INDEX('Recurring Schedule'!$D$6:$D$45,R815)="","",INDEX('Recurring Schedule'!$D$6:$D$45,R815)))</f>
        <v/>
      </c>
      <c r="E815" s="76">
        <f>IF(Q815="","",INDEX(Calc!$A$2:$A$367,Q815))</f>
        <v/>
      </c>
      <c r="F815" s="72">
        <f>IF(OR(C815="",E815=""),"",E815-Setup!$D$7)</f>
        <v/>
      </c>
      <c r="G815" s="77">
        <f>IF(R815="","",IF(INDEX('Recurring Schedule'!$H$6:$H$45,R815)="","",INDEX('Recurring Schedule'!$H$6:$H$45,R815)))</f>
        <v/>
      </c>
      <c r="H815" s="77">
        <f>IF(R815="","",IF(INDEX('Recurring Schedule'!$I$6:$I$45,R815)="","",INDEX('Recurring Schedule'!$I$6:$I$45,R815)))</f>
        <v/>
      </c>
      <c r="I815" s="73">
        <f>IF(OR(G815="",H815=""),"",TRIM(IF(HOUR(H815-G815)&gt;0,HOUR(H815-G815)&amp;" hr ","")&amp;IF(MINUTE(H815-G815)&gt;0,MINUTE(H815-G815)&amp;" min","")))</f>
        <v/>
      </c>
      <c r="J815" s="66" t="n"/>
      <c r="K815" s="70" t="n"/>
      <c r="L815" s="73">
        <f>IF(R815="","",IF(INDEX('Recurring Schedule'!$J$6:$J$45,R815)="","",INDEX('Recurring Schedule'!$J$6:$J$45,R815)))</f>
        <v/>
      </c>
      <c r="M815" s="73">
        <f>IF(R815="","",IF(INDEX('Recurring Schedule'!$K$6:$K$45,R815)="","",INDEX('Recurring Schedule'!$K$6:$K$45,R815)))</f>
        <v/>
      </c>
      <c r="N815" s="73">
        <f>IF(R815="","",IF(INDEX('Recurring Schedule'!$L$6:$L$45,R815)="","",INDEX('Recurring Schedule'!$L$6:$L$45,R815)))</f>
        <v/>
      </c>
      <c r="O815" s="73">
        <f>IF(C815="","",IF(AND(OR(L815="1-Urgent",L815="2-High"),M815="✓"),"DO FIRST",IF(M815="✓","SCHEDULE",IF(OR(L815="1-Urgent",L815="2-High"),"DELEGATE","DELETE"))))</f>
        <v/>
      </c>
      <c r="P815" s="65" t="n"/>
      <c r="Q815">
        <f>IF(810&gt;Calc!$AQ$368,"",MATCH(809,Calc!$AQ$2:$AQ$367,1))</f>
        <v/>
      </c>
      <c r="R815">
        <f>IF(Q815="","",SMALL(INDEX(Calc!$B$2:$AO$367,Q815,0),810-INDEX(Calc!$AQ$2:$AQ$367,Q815)))</f>
        <v/>
      </c>
    </row>
    <row r="816">
      <c r="B816" s="64">
        <f>IF(R816="","",811)</f>
        <v/>
      </c>
      <c r="C816" s="37">
        <f>IF(R816="","",IF(INDEX('Recurring Schedule'!$C$6:$C$45,R816)="","",INDEX('Recurring Schedule'!$C$6:$C$45,R816)))</f>
        <v/>
      </c>
      <c r="D816" s="36">
        <f>IF(R816="","",IF(INDEX('Recurring Schedule'!$D$6:$D$45,R816)="","",INDEX('Recurring Schedule'!$D$6:$D$45,R816)))</f>
        <v/>
      </c>
      <c r="E816" s="38">
        <f>IF(Q816="","",INDEX(Calc!$A$2:$A$367,Q816))</f>
        <v/>
      </c>
      <c r="F816" s="68">
        <f>IF(OR(C816="",E816=""),"",E816-Setup!$D$7)</f>
        <v/>
      </c>
      <c r="G816" s="74">
        <f>IF(R816="","",IF(INDEX('Recurring Schedule'!$H$6:$H$45,R816)="","",INDEX('Recurring Schedule'!$H$6:$H$45,R816)))</f>
        <v/>
      </c>
      <c r="H816" s="74">
        <f>IF(R816="","",IF(INDEX('Recurring Schedule'!$I$6:$I$45,R816)="","",INDEX('Recurring Schedule'!$I$6:$I$45,R816)))</f>
        <v/>
      </c>
      <c r="I816" s="36">
        <f>IF(OR(G816="",H816=""),"",TRIM(IF(HOUR(H816-G816)&gt;0,HOUR(H816-G816)&amp;" hr ","")&amp;IF(MINUTE(H816-G816)&gt;0,MINUTE(H816-G816)&amp;" min","")))</f>
        <v/>
      </c>
      <c r="J816" s="66" t="n"/>
      <c r="K816" s="70" t="n"/>
      <c r="L816" s="36">
        <f>IF(R816="","",IF(INDEX('Recurring Schedule'!$J$6:$J$45,R816)="","",INDEX('Recurring Schedule'!$J$6:$J$45,R816)))</f>
        <v/>
      </c>
      <c r="M816" s="36">
        <f>IF(R816="","",IF(INDEX('Recurring Schedule'!$K$6:$K$45,R816)="","",INDEX('Recurring Schedule'!$K$6:$K$45,R816)))</f>
        <v/>
      </c>
      <c r="N816" s="36">
        <f>IF(R816="","",IF(INDEX('Recurring Schedule'!$L$6:$L$45,R816)="","",INDEX('Recurring Schedule'!$L$6:$L$45,R816)))</f>
        <v/>
      </c>
      <c r="O816" s="36">
        <f>IF(C816="","",IF(AND(OR(L816="1-Urgent",L816="2-High"),M816="✓"),"DO FIRST",IF(M816="✓","SCHEDULE",IF(OR(L816="1-Urgent",L816="2-High"),"DELEGATE","DELETE"))))</f>
        <v/>
      </c>
      <c r="P816" s="65" t="n"/>
      <c r="Q816">
        <f>IF(811&gt;Calc!$AQ$368,"",MATCH(810,Calc!$AQ$2:$AQ$367,1))</f>
        <v/>
      </c>
      <c r="R816">
        <f>IF(Q816="","",SMALL(INDEX(Calc!$B$2:$AO$367,Q816,0),811-INDEX(Calc!$AQ$2:$AQ$367,Q816)))</f>
        <v/>
      </c>
    </row>
    <row r="817">
      <c r="B817" s="71">
        <f>IF(R817="","",812)</f>
        <v/>
      </c>
      <c r="C817" s="75">
        <f>IF(R817="","",IF(INDEX('Recurring Schedule'!$C$6:$C$45,R817)="","",INDEX('Recurring Schedule'!$C$6:$C$45,R817)))</f>
        <v/>
      </c>
      <c r="D817" s="73">
        <f>IF(R817="","",IF(INDEX('Recurring Schedule'!$D$6:$D$45,R817)="","",INDEX('Recurring Schedule'!$D$6:$D$45,R817)))</f>
        <v/>
      </c>
      <c r="E817" s="76">
        <f>IF(Q817="","",INDEX(Calc!$A$2:$A$367,Q817))</f>
        <v/>
      </c>
      <c r="F817" s="72">
        <f>IF(OR(C817="",E817=""),"",E817-Setup!$D$7)</f>
        <v/>
      </c>
      <c r="G817" s="77">
        <f>IF(R817="","",IF(INDEX('Recurring Schedule'!$H$6:$H$45,R817)="","",INDEX('Recurring Schedule'!$H$6:$H$45,R817)))</f>
        <v/>
      </c>
      <c r="H817" s="77">
        <f>IF(R817="","",IF(INDEX('Recurring Schedule'!$I$6:$I$45,R817)="","",INDEX('Recurring Schedule'!$I$6:$I$45,R817)))</f>
        <v/>
      </c>
      <c r="I817" s="73">
        <f>IF(OR(G817="",H817=""),"",TRIM(IF(HOUR(H817-G817)&gt;0,HOUR(H817-G817)&amp;" hr ","")&amp;IF(MINUTE(H817-G817)&gt;0,MINUTE(H817-G817)&amp;" min","")))</f>
        <v/>
      </c>
      <c r="J817" s="66" t="n"/>
      <c r="K817" s="70" t="n"/>
      <c r="L817" s="73">
        <f>IF(R817="","",IF(INDEX('Recurring Schedule'!$J$6:$J$45,R817)="","",INDEX('Recurring Schedule'!$J$6:$J$45,R817)))</f>
        <v/>
      </c>
      <c r="M817" s="73">
        <f>IF(R817="","",IF(INDEX('Recurring Schedule'!$K$6:$K$45,R817)="","",INDEX('Recurring Schedule'!$K$6:$K$45,R817)))</f>
        <v/>
      </c>
      <c r="N817" s="73">
        <f>IF(R817="","",IF(INDEX('Recurring Schedule'!$L$6:$L$45,R817)="","",INDEX('Recurring Schedule'!$L$6:$L$45,R817)))</f>
        <v/>
      </c>
      <c r="O817" s="73">
        <f>IF(C817="","",IF(AND(OR(L817="1-Urgent",L817="2-High"),M817="✓"),"DO FIRST",IF(M817="✓","SCHEDULE",IF(OR(L817="1-Urgent",L817="2-High"),"DELEGATE","DELETE"))))</f>
        <v/>
      </c>
      <c r="P817" s="65" t="n"/>
      <c r="Q817">
        <f>IF(812&gt;Calc!$AQ$368,"",MATCH(811,Calc!$AQ$2:$AQ$367,1))</f>
        <v/>
      </c>
      <c r="R817">
        <f>IF(Q817="","",SMALL(INDEX(Calc!$B$2:$AO$367,Q817,0),812-INDEX(Calc!$AQ$2:$AQ$367,Q817)))</f>
        <v/>
      </c>
    </row>
    <row r="818">
      <c r="B818" s="64">
        <f>IF(R818="","",813)</f>
        <v/>
      </c>
      <c r="C818" s="37">
        <f>IF(R818="","",IF(INDEX('Recurring Schedule'!$C$6:$C$45,R818)="","",INDEX('Recurring Schedule'!$C$6:$C$45,R818)))</f>
        <v/>
      </c>
      <c r="D818" s="36">
        <f>IF(R818="","",IF(INDEX('Recurring Schedule'!$D$6:$D$45,R818)="","",INDEX('Recurring Schedule'!$D$6:$D$45,R818)))</f>
        <v/>
      </c>
      <c r="E818" s="38">
        <f>IF(Q818="","",INDEX(Calc!$A$2:$A$367,Q818))</f>
        <v/>
      </c>
      <c r="F818" s="68">
        <f>IF(OR(C818="",E818=""),"",E818-Setup!$D$7)</f>
        <v/>
      </c>
      <c r="G818" s="74">
        <f>IF(R818="","",IF(INDEX('Recurring Schedule'!$H$6:$H$45,R818)="","",INDEX('Recurring Schedule'!$H$6:$H$45,R818)))</f>
        <v/>
      </c>
      <c r="H818" s="74">
        <f>IF(R818="","",IF(INDEX('Recurring Schedule'!$I$6:$I$45,R818)="","",INDEX('Recurring Schedule'!$I$6:$I$45,R818)))</f>
        <v/>
      </c>
      <c r="I818" s="36">
        <f>IF(OR(G818="",H818=""),"",TRIM(IF(HOUR(H818-G818)&gt;0,HOUR(H818-G818)&amp;" hr ","")&amp;IF(MINUTE(H818-G818)&gt;0,MINUTE(H818-G818)&amp;" min","")))</f>
        <v/>
      </c>
      <c r="J818" s="66" t="n"/>
      <c r="K818" s="70" t="n"/>
      <c r="L818" s="36">
        <f>IF(R818="","",IF(INDEX('Recurring Schedule'!$J$6:$J$45,R818)="","",INDEX('Recurring Schedule'!$J$6:$J$45,R818)))</f>
        <v/>
      </c>
      <c r="M818" s="36">
        <f>IF(R818="","",IF(INDEX('Recurring Schedule'!$K$6:$K$45,R818)="","",INDEX('Recurring Schedule'!$K$6:$K$45,R818)))</f>
        <v/>
      </c>
      <c r="N818" s="36">
        <f>IF(R818="","",IF(INDEX('Recurring Schedule'!$L$6:$L$45,R818)="","",INDEX('Recurring Schedule'!$L$6:$L$45,R818)))</f>
        <v/>
      </c>
      <c r="O818" s="36">
        <f>IF(C818="","",IF(AND(OR(L818="1-Urgent",L818="2-High"),M818="✓"),"DO FIRST",IF(M818="✓","SCHEDULE",IF(OR(L818="1-Urgent",L818="2-High"),"DELEGATE","DELETE"))))</f>
        <v/>
      </c>
      <c r="P818" s="65" t="n"/>
      <c r="Q818">
        <f>IF(813&gt;Calc!$AQ$368,"",MATCH(812,Calc!$AQ$2:$AQ$367,1))</f>
        <v/>
      </c>
      <c r="R818">
        <f>IF(Q818="","",SMALL(INDEX(Calc!$B$2:$AO$367,Q818,0),813-INDEX(Calc!$AQ$2:$AQ$367,Q818)))</f>
        <v/>
      </c>
    </row>
    <row r="819">
      <c r="B819" s="71">
        <f>IF(R819="","",814)</f>
        <v/>
      </c>
      <c r="C819" s="75">
        <f>IF(R819="","",IF(INDEX('Recurring Schedule'!$C$6:$C$45,R819)="","",INDEX('Recurring Schedule'!$C$6:$C$45,R819)))</f>
        <v/>
      </c>
      <c r="D819" s="73">
        <f>IF(R819="","",IF(INDEX('Recurring Schedule'!$D$6:$D$45,R819)="","",INDEX('Recurring Schedule'!$D$6:$D$45,R819)))</f>
        <v/>
      </c>
      <c r="E819" s="76">
        <f>IF(Q819="","",INDEX(Calc!$A$2:$A$367,Q819))</f>
        <v/>
      </c>
      <c r="F819" s="72">
        <f>IF(OR(C819="",E819=""),"",E819-Setup!$D$7)</f>
        <v/>
      </c>
      <c r="G819" s="77">
        <f>IF(R819="","",IF(INDEX('Recurring Schedule'!$H$6:$H$45,R819)="","",INDEX('Recurring Schedule'!$H$6:$H$45,R819)))</f>
        <v/>
      </c>
      <c r="H819" s="77">
        <f>IF(R819="","",IF(INDEX('Recurring Schedule'!$I$6:$I$45,R819)="","",INDEX('Recurring Schedule'!$I$6:$I$45,R819)))</f>
        <v/>
      </c>
      <c r="I819" s="73">
        <f>IF(OR(G819="",H819=""),"",TRIM(IF(HOUR(H819-G819)&gt;0,HOUR(H819-G819)&amp;" hr ","")&amp;IF(MINUTE(H819-G819)&gt;0,MINUTE(H819-G819)&amp;" min","")))</f>
        <v/>
      </c>
      <c r="J819" s="66" t="n"/>
      <c r="K819" s="70" t="n"/>
      <c r="L819" s="73">
        <f>IF(R819="","",IF(INDEX('Recurring Schedule'!$J$6:$J$45,R819)="","",INDEX('Recurring Schedule'!$J$6:$J$45,R819)))</f>
        <v/>
      </c>
      <c r="M819" s="73">
        <f>IF(R819="","",IF(INDEX('Recurring Schedule'!$K$6:$K$45,R819)="","",INDEX('Recurring Schedule'!$K$6:$K$45,R819)))</f>
        <v/>
      </c>
      <c r="N819" s="73">
        <f>IF(R819="","",IF(INDEX('Recurring Schedule'!$L$6:$L$45,R819)="","",INDEX('Recurring Schedule'!$L$6:$L$45,R819)))</f>
        <v/>
      </c>
      <c r="O819" s="73">
        <f>IF(C819="","",IF(AND(OR(L819="1-Urgent",L819="2-High"),M819="✓"),"DO FIRST",IF(M819="✓","SCHEDULE",IF(OR(L819="1-Urgent",L819="2-High"),"DELEGATE","DELETE"))))</f>
        <v/>
      </c>
      <c r="P819" s="65" t="n"/>
      <c r="Q819">
        <f>IF(814&gt;Calc!$AQ$368,"",MATCH(813,Calc!$AQ$2:$AQ$367,1))</f>
        <v/>
      </c>
      <c r="R819">
        <f>IF(Q819="","",SMALL(INDEX(Calc!$B$2:$AO$367,Q819,0),814-INDEX(Calc!$AQ$2:$AQ$367,Q819)))</f>
        <v/>
      </c>
    </row>
    <row r="820">
      <c r="B820" s="64">
        <f>IF(R820="","",815)</f>
        <v/>
      </c>
      <c r="C820" s="37">
        <f>IF(R820="","",IF(INDEX('Recurring Schedule'!$C$6:$C$45,R820)="","",INDEX('Recurring Schedule'!$C$6:$C$45,R820)))</f>
        <v/>
      </c>
      <c r="D820" s="36">
        <f>IF(R820="","",IF(INDEX('Recurring Schedule'!$D$6:$D$45,R820)="","",INDEX('Recurring Schedule'!$D$6:$D$45,R820)))</f>
        <v/>
      </c>
      <c r="E820" s="38">
        <f>IF(Q820="","",INDEX(Calc!$A$2:$A$367,Q820))</f>
        <v/>
      </c>
      <c r="F820" s="68">
        <f>IF(OR(C820="",E820=""),"",E820-Setup!$D$7)</f>
        <v/>
      </c>
      <c r="G820" s="74">
        <f>IF(R820="","",IF(INDEX('Recurring Schedule'!$H$6:$H$45,R820)="","",INDEX('Recurring Schedule'!$H$6:$H$45,R820)))</f>
        <v/>
      </c>
      <c r="H820" s="74">
        <f>IF(R820="","",IF(INDEX('Recurring Schedule'!$I$6:$I$45,R820)="","",INDEX('Recurring Schedule'!$I$6:$I$45,R820)))</f>
        <v/>
      </c>
      <c r="I820" s="36">
        <f>IF(OR(G820="",H820=""),"",TRIM(IF(HOUR(H820-G820)&gt;0,HOUR(H820-G820)&amp;" hr ","")&amp;IF(MINUTE(H820-G820)&gt;0,MINUTE(H820-G820)&amp;" min","")))</f>
        <v/>
      </c>
      <c r="J820" s="66" t="n"/>
      <c r="K820" s="70" t="n"/>
      <c r="L820" s="36">
        <f>IF(R820="","",IF(INDEX('Recurring Schedule'!$J$6:$J$45,R820)="","",INDEX('Recurring Schedule'!$J$6:$J$45,R820)))</f>
        <v/>
      </c>
      <c r="M820" s="36">
        <f>IF(R820="","",IF(INDEX('Recurring Schedule'!$K$6:$K$45,R820)="","",INDEX('Recurring Schedule'!$K$6:$K$45,R820)))</f>
        <v/>
      </c>
      <c r="N820" s="36">
        <f>IF(R820="","",IF(INDEX('Recurring Schedule'!$L$6:$L$45,R820)="","",INDEX('Recurring Schedule'!$L$6:$L$45,R820)))</f>
        <v/>
      </c>
      <c r="O820" s="36">
        <f>IF(C820="","",IF(AND(OR(L820="1-Urgent",L820="2-High"),M820="✓"),"DO FIRST",IF(M820="✓","SCHEDULE",IF(OR(L820="1-Urgent",L820="2-High"),"DELEGATE","DELETE"))))</f>
        <v/>
      </c>
      <c r="P820" s="65" t="n"/>
      <c r="Q820">
        <f>IF(815&gt;Calc!$AQ$368,"",MATCH(814,Calc!$AQ$2:$AQ$367,1))</f>
        <v/>
      </c>
      <c r="R820">
        <f>IF(Q820="","",SMALL(INDEX(Calc!$B$2:$AO$367,Q820,0),815-INDEX(Calc!$AQ$2:$AQ$367,Q820)))</f>
        <v/>
      </c>
    </row>
    <row r="821">
      <c r="B821" s="71">
        <f>IF(R821="","",816)</f>
        <v/>
      </c>
      <c r="C821" s="75">
        <f>IF(R821="","",IF(INDEX('Recurring Schedule'!$C$6:$C$45,R821)="","",INDEX('Recurring Schedule'!$C$6:$C$45,R821)))</f>
        <v/>
      </c>
      <c r="D821" s="73">
        <f>IF(R821="","",IF(INDEX('Recurring Schedule'!$D$6:$D$45,R821)="","",INDEX('Recurring Schedule'!$D$6:$D$45,R821)))</f>
        <v/>
      </c>
      <c r="E821" s="76">
        <f>IF(Q821="","",INDEX(Calc!$A$2:$A$367,Q821))</f>
        <v/>
      </c>
      <c r="F821" s="72">
        <f>IF(OR(C821="",E821=""),"",E821-Setup!$D$7)</f>
        <v/>
      </c>
      <c r="G821" s="77">
        <f>IF(R821="","",IF(INDEX('Recurring Schedule'!$H$6:$H$45,R821)="","",INDEX('Recurring Schedule'!$H$6:$H$45,R821)))</f>
        <v/>
      </c>
      <c r="H821" s="77">
        <f>IF(R821="","",IF(INDEX('Recurring Schedule'!$I$6:$I$45,R821)="","",INDEX('Recurring Schedule'!$I$6:$I$45,R821)))</f>
        <v/>
      </c>
      <c r="I821" s="73">
        <f>IF(OR(G821="",H821=""),"",TRIM(IF(HOUR(H821-G821)&gt;0,HOUR(H821-G821)&amp;" hr ","")&amp;IF(MINUTE(H821-G821)&gt;0,MINUTE(H821-G821)&amp;" min","")))</f>
        <v/>
      </c>
      <c r="J821" s="66" t="n"/>
      <c r="K821" s="70" t="n"/>
      <c r="L821" s="73">
        <f>IF(R821="","",IF(INDEX('Recurring Schedule'!$J$6:$J$45,R821)="","",INDEX('Recurring Schedule'!$J$6:$J$45,R821)))</f>
        <v/>
      </c>
      <c r="M821" s="73">
        <f>IF(R821="","",IF(INDEX('Recurring Schedule'!$K$6:$K$45,R821)="","",INDEX('Recurring Schedule'!$K$6:$K$45,R821)))</f>
        <v/>
      </c>
      <c r="N821" s="73">
        <f>IF(R821="","",IF(INDEX('Recurring Schedule'!$L$6:$L$45,R821)="","",INDEX('Recurring Schedule'!$L$6:$L$45,R821)))</f>
        <v/>
      </c>
      <c r="O821" s="73">
        <f>IF(C821="","",IF(AND(OR(L821="1-Urgent",L821="2-High"),M821="✓"),"DO FIRST",IF(M821="✓","SCHEDULE",IF(OR(L821="1-Urgent",L821="2-High"),"DELEGATE","DELETE"))))</f>
        <v/>
      </c>
      <c r="P821" s="65" t="n"/>
      <c r="Q821">
        <f>IF(816&gt;Calc!$AQ$368,"",MATCH(815,Calc!$AQ$2:$AQ$367,1))</f>
        <v/>
      </c>
      <c r="R821">
        <f>IF(Q821="","",SMALL(INDEX(Calc!$B$2:$AO$367,Q821,0),816-INDEX(Calc!$AQ$2:$AQ$367,Q821)))</f>
        <v/>
      </c>
    </row>
    <row r="822">
      <c r="B822" s="64">
        <f>IF(R822="","",817)</f>
        <v/>
      </c>
      <c r="C822" s="37">
        <f>IF(R822="","",IF(INDEX('Recurring Schedule'!$C$6:$C$45,R822)="","",INDEX('Recurring Schedule'!$C$6:$C$45,R822)))</f>
        <v/>
      </c>
      <c r="D822" s="36">
        <f>IF(R822="","",IF(INDEX('Recurring Schedule'!$D$6:$D$45,R822)="","",INDEX('Recurring Schedule'!$D$6:$D$45,R822)))</f>
        <v/>
      </c>
      <c r="E822" s="38">
        <f>IF(Q822="","",INDEX(Calc!$A$2:$A$367,Q822))</f>
        <v/>
      </c>
      <c r="F822" s="68">
        <f>IF(OR(C822="",E822=""),"",E822-Setup!$D$7)</f>
        <v/>
      </c>
      <c r="G822" s="74">
        <f>IF(R822="","",IF(INDEX('Recurring Schedule'!$H$6:$H$45,R822)="","",INDEX('Recurring Schedule'!$H$6:$H$45,R822)))</f>
        <v/>
      </c>
      <c r="H822" s="74">
        <f>IF(R822="","",IF(INDEX('Recurring Schedule'!$I$6:$I$45,R822)="","",INDEX('Recurring Schedule'!$I$6:$I$45,R822)))</f>
        <v/>
      </c>
      <c r="I822" s="36">
        <f>IF(OR(G822="",H822=""),"",TRIM(IF(HOUR(H822-G822)&gt;0,HOUR(H822-G822)&amp;" hr ","")&amp;IF(MINUTE(H822-G822)&gt;0,MINUTE(H822-G822)&amp;" min","")))</f>
        <v/>
      </c>
      <c r="J822" s="66" t="n"/>
      <c r="K822" s="70" t="n"/>
      <c r="L822" s="36">
        <f>IF(R822="","",IF(INDEX('Recurring Schedule'!$J$6:$J$45,R822)="","",INDEX('Recurring Schedule'!$J$6:$J$45,R822)))</f>
        <v/>
      </c>
      <c r="M822" s="36">
        <f>IF(R822="","",IF(INDEX('Recurring Schedule'!$K$6:$K$45,R822)="","",INDEX('Recurring Schedule'!$K$6:$K$45,R822)))</f>
        <v/>
      </c>
      <c r="N822" s="36">
        <f>IF(R822="","",IF(INDEX('Recurring Schedule'!$L$6:$L$45,R822)="","",INDEX('Recurring Schedule'!$L$6:$L$45,R822)))</f>
        <v/>
      </c>
      <c r="O822" s="36">
        <f>IF(C822="","",IF(AND(OR(L822="1-Urgent",L822="2-High"),M822="✓"),"DO FIRST",IF(M822="✓","SCHEDULE",IF(OR(L822="1-Urgent",L822="2-High"),"DELEGATE","DELETE"))))</f>
        <v/>
      </c>
      <c r="P822" s="65" t="n"/>
      <c r="Q822">
        <f>IF(817&gt;Calc!$AQ$368,"",MATCH(816,Calc!$AQ$2:$AQ$367,1))</f>
        <v/>
      </c>
      <c r="R822">
        <f>IF(Q822="","",SMALL(INDEX(Calc!$B$2:$AO$367,Q822,0),817-INDEX(Calc!$AQ$2:$AQ$367,Q822)))</f>
        <v/>
      </c>
    </row>
    <row r="823">
      <c r="B823" s="71">
        <f>IF(R823="","",818)</f>
        <v/>
      </c>
      <c r="C823" s="75">
        <f>IF(R823="","",IF(INDEX('Recurring Schedule'!$C$6:$C$45,R823)="","",INDEX('Recurring Schedule'!$C$6:$C$45,R823)))</f>
        <v/>
      </c>
      <c r="D823" s="73">
        <f>IF(R823="","",IF(INDEX('Recurring Schedule'!$D$6:$D$45,R823)="","",INDEX('Recurring Schedule'!$D$6:$D$45,R823)))</f>
        <v/>
      </c>
      <c r="E823" s="76">
        <f>IF(Q823="","",INDEX(Calc!$A$2:$A$367,Q823))</f>
        <v/>
      </c>
      <c r="F823" s="72">
        <f>IF(OR(C823="",E823=""),"",E823-Setup!$D$7)</f>
        <v/>
      </c>
      <c r="G823" s="77">
        <f>IF(R823="","",IF(INDEX('Recurring Schedule'!$H$6:$H$45,R823)="","",INDEX('Recurring Schedule'!$H$6:$H$45,R823)))</f>
        <v/>
      </c>
      <c r="H823" s="77">
        <f>IF(R823="","",IF(INDEX('Recurring Schedule'!$I$6:$I$45,R823)="","",INDEX('Recurring Schedule'!$I$6:$I$45,R823)))</f>
        <v/>
      </c>
      <c r="I823" s="73">
        <f>IF(OR(G823="",H823=""),"",TRIM(IF(HOUR(H823-G823)&gt;0,HOUR(H823-G823)&amp;" hr ","")&amp;IF(MINUTE(H823-G823)&gt;0,MINUTE(H823-G823)&amp;" min","")))</f>
        <v/>
      </c>
      <c r="J823" s="66" t="n"/>
      <c r="K823" s="70" t="n"/>
      <c r="L823" s="73">
        <f>IF(R823="","",IF(INDEX('Recurring Schedule'!$J$6:$J$45,R823)="","",INDEX('Recurring Schedule'!$J$6:$J$45,R823)))</f>
        <v/>
      </c>
      <c r="M823" s="73">
        <f>IF(R823="","",IF(INDEX('Recurring Schedule'!$K$6:$K$45,R823)="","",INDEX('Recurring Schedule'!$K$6:$K$45,R823)))</f>
        <v/>
      </c>
      <c r="N823" s="73">
        <f>IF(R823="","",IF(INDEX('Recurring Schedule'!$L$6:$L$45,R823)="","",INDEX('Recurring Schedule'!$L$6:$L$45,R823)))</f>
        <v/>
      </c>
      <c r="O823" s="73">
        <f>IF(C823="","",IF(AND(OR(L823="1-Urgent",L823="2-High"),M823="✓"),"DO FIRST",IF(M823="✓","SCHEDULE",IF(OR(L823="1-Urgent",L823="2-High"),"DELEGATE","DELETE"))))</f>
        <v/>
      </c>
      <c r="P823" s="65" t="n"/>
      <c r="Q823">
        <f>IF(818&gt;Calc!$AQ$368,"",MATCH(817,Calc!$AQ$2:$AQ$367,1))</f>
        <v/>
      </c>
      <c r="R823">
        <f>IF(Q823="","",SMALL(INDEX(Calc!$B$2:$AO$367,Q823,0),818-INDEX(Calc!$AQ$2:$AQ$367,Q823)))</f>
        <v/>
      </c>
    </row>
    <row r="824">
      <c r="B824" s="64">
        <f>IF(R824="","",819)</f>
        <v/>
      </c>
      <c r="C824" s="37">
        <f>IF(R824="","",IF(INDEX('Recurring Schedule'!$C$6:$C$45,R824)="","",INDEX('Recurring Schedule'!$C$6:$C$45,R824)))</f>
        <v/>
      </c>
      <c r="D824" s="36">
        <f>IF(R824="","",IF(INDEX('Recurring Schedule'!$D$6:$D$45,R824)="","",INDEX('Recurring Schedule'!$D$6:$D$45,R824)))</f>
        <v/>
      </c>
      <c r="E824" s="38">
        <f>IF(Q824="","",INDEX(Calc!$A$2:$A$367,Q824))</f>
        <v/>
      </c>
      <c r="F824" s="68">
        <f>IF(OR(C824="",E824=""),"",E824-Setup!$D$7)</f>
        <v/>
      </c>
      <c r="G824" s="74">
        <f>IF(R824="","",IF(INDEX('Recurring Schedule'!$H$6:$H$45,R824)="","",INDEX('Recurring Schedule'!$H$6:$H$45,R824)))</f>
        <v/>
      </c>
      <c r="H824" s="74">
        <f>IF(R824="","",IF(INDEX('Recurring Schedule'!$I$6:$I$45,R824)="","",INDEX('Recurring Schedule'!$I$6:$I$45,R824)))</f>
        <v/>
      </c>
      <c r="I824" s="36">
        <f>IF(OR(G824="",H824=""),"",TRIM(IF(HOUR(H824-G824)&gt;0,HOUR(H824-G824)&amp;" hr ","")&amp;IF(MINUTE(H824-G824)&gt;0,MINUTE(H824-G824)&amp;" min","")))</f>
        <v/>
      </c>
      <c r="J824" s="66" t="n"/>
      <c r="K824" s="70" t="n"/>
      <c r="L824" s="36">
        <f>IF(R824="","",IF(INDEX('Recurring Schedule'!$J$6:$J$45,R824)="","",INDEX('Recurring Schedule'!$J$6:$J$45,R824)))</f>
        <v/>
      </c>
      <c r="M824" s="36">
        <f>IF(R824="","",IF(INDEX('Recurring Schedule'!$K$6:$K$45,R824)="","",INDEX('Recurring Schedule'!$K$6:$K$45,R824)))</f>
        <v/>
      </c>
      <c r="N824" s="36">
        <f>IF(R824="","",IF(INDEX('Recurring Schedule'!$L$6:$L$45,R824)="","",INDEX('Recurring Schedule'!$L$6:$L$45,R824)))</f>
        <v/>
      </c>
      <c r="O824" s="36">
        <f>IF(C824="","",IF(AND(OR(L824="1-Urgent",L824="2-High"),M824="✓"),"DO FIRST",IF(M824="✓","SCHEDULE",IF(OR(L824="1-Urgent",L824="2-High"),"DELEGATE","DELETE"))))</f>
        <v/>
      </c>
      <c r="P824" s="65" t="n"/>
      <c r="Q824">
        <f>IF(819&gt;Calc!$AQ$368,"",MATCH(818,Calc!$AQ$2:$AQ$367,1))</f>
        <v/>
      </c>
      <c r="R824">
        <f>IF(Q824="","",SMALL(INDEX(Calc!$B$2:$AO$367,Q824,0),819-INDEX(Calc!$AQ$2:$AQ$367,Q824)))</f>
        <v/>
      </c>
    </row>
    <row r="825">
      <c r="B825" s="71">
        <f>IF(R825="","",820)</f>
        <v/>
      </c>
      <c r="C825" s="75">
        <f>IF(R825="","",IF(INDEX('Recurring Schedule'!$C$6:$C$45,R825)="","",INDEX('Recurring Schedule'!$C$6:$C$45,R825)))</f>
        <v/>
      </c>
      <c r="D825" s="73">
        <f>IF(R825="","",IF(INDEX('Recurring Schedule'!$D$6:$D$45,R825)="","",INDEX('Recurring Schedule'!$D$6:$D$45,R825)))</f>
        <v/>
      </c>
      <c r="E825" s="76">
        <f>IF(Q825="","",INDEX(Calc!$A$2:$A$367,Q825))</f>
        <v/>
      </c>
      <c r="F825" s="72">
        <f>IF(OR(C825="",E825=""),"",E825-Setup!$D$7)</f>
        <v/>
      </c>
      <c r="G825" s="77">
        <f>IF(R825="","",IF(INDEX('Recurring Schedule'!$H$6:$H$45,R825)="","",INDEX('Recurring Schedule'!$H$6:$H$45,R825)))</f>
        <v/>
      </c>
      <c r="H825" s="77">
        <f>IF(R825="","",IF(INDEX('Recurring Schedule'!$I$6:$I$45,R825)="","",INDEX('Recurring Schedule'!$I$6:$I$45,R825)))</f>
        <v/>
      </c>
      <c r="I825" s="73">
        <f>IF(OR(G825="",H825=""),"",TRIM(IF(HOUR(H825-G825)&gt;0,HOUR(H825-G825)&amp;" hr ","")&amp;IF(MINUTE(H825-G825)&gt;0,MINUTE(H825-G825)&amp;" min","")))</f>
        <v/>
      </c>
      <c r="J825" s="66" t="n"/>
      <c r="K825" s="70" t="n"/>
      <c r="L825" s="73">
        <f>IF(R825="","",IF(INDEX('Recurring Schedule'!$J$6:$J$45,R825)="","",INDEX('Recurring Schedule'!$J$6:$J$45,R825)))</f>
        <v/>
      </c>
      <c r="M825" s="73">
        <f>IF(R825="","",IF(INDEX('Recurring Schedule'!$K$6:$K$45,R825)="","",INDEX('Recurring Schedule'!$K$6:$K$45,R825)))</f>
        <v/>
      </c>
      <c r="N825" s="73">
        <f>IF(R825="","",IF(INDEX('Recurring Schedule'!$L$6:$L$45,R825)="","",INDEX('Recurring Schedule'!$L$6:$L$45,R825)))</f>
        <v/>
      </c>
      <c r="O825" s="73">
        <f>IF(C825="","",IF(AND(OR(L825="1-Urgent",L825="2-High"),M825="✓"),"DO FIRST",IF(M825="✓","SCHEDULE",IF(OR(L825="1-Urgent",L825="2-High"),"DELEGATE","DELETE"))))</f>
        <v/>
      </c>
      <c r="P825" s="65" t="n"/>
      <c r="Q825">
        <f>IF(820&gt;Calc!$AQ$368,"",MATCH(819,Calc!$AQ$2:$AQ$367,1))</f>
        <v/>
      </c>
      <c r="R825">
        <f>IF(Q825="","",SMALL(INDEX(Calc!$B$2:$AO$367,Q825,0),820-INDEX(Calc!$AQ$2:$AQ$367,Q825)))</f>
        <v/>
      </c>
    </row>
    <row r="826">
      <c r="B826" s="64">
        <f>IF(R826="","",821)</f>
        <v/>
      </c>
      <c r="C826" s="37">
        <f>IF(R826="","",IF(INDEX('Recurring Schedule'!$C$6:$C$45,R826)="","",INDEX('Recurring Schedule'!$C$6:$C$45,R826)))</f>
        <v/>
      </c>
      <c r="D826" s="36">
        <f>IF(R826="","",IF(INDEX('Recurring Schedule'!$D$6:$D$45,R826)="","",INDEX('Recurring Schedule'!$D$6:$D$45,R826)))</f>
        <v/>
      </c>
      <c r="E826" s="38">
        <f>IF(Q826="","",INDEX(Calc!$A$2:$A$367,Q826))</f>
        <v/>
      </c>
      <c r="F826" s="68">
        <f>IF(OR(C826="",E826=""),"",E826-Setup!$D$7)</f>
        <v/>
      </c>
      <c r="G826" s="74">
        <f>IF(R826="","",IF(INDEX('Recurring Schedule'!$H$6:$H$45,R826)="","",INDEX('Recurring Schedule'!$H$6:$H$45,R826)))</f>
        <v/>
      </c>
      <c r="H826" s="74">
        <f>IF(R826="","",IF(INDEX('Recurring Schedule'!$I$6:$I$45,R826)="","",INDEX('Recurring Schedule'!$I$6:$I$45,R826)))</f>
        <v/>
      </c>
      <c r="I826" s="36">
        <f>IF(OR(G826="",H826=""),"",TRIM(IF(HOUR(H826-G826)&gt;0,HOUR(H826-G826)&amp;" hr ","")&amp;IF(MINUTE(H826-G826)&gt;0,MINUTE(H826-G826)&amp;" min","")))</f>
        <v/>
      </c>
      <c r="J826" s="66" t="n"/>
      <c r="K826" s="70" t="n"/>
      <c r="L826" s="36">
        <f>IF(R826="","",IF(INDEX('Recurring Schedule'!$J$6:$J$45,R826)="","",INDEX('Recurring Schedule'!$J$6:$J$45,R826)))</f>
        <v/>
      </c>
      <c r="M826" s="36">
        <f>IF(R826="","",IF(INDEX('Recurring Schedule'!$K$6:$K$45,R826)="","",INDEX('Recurring Schedule'!$K$6:$K$45,R826)))</f>
        <v/>
      </c>
      <c r="N826" s="36">
        <f>IF(R826="","",IF(INDEX('Recurring Schedule'!$L$6:$L$45,R826)="","",INDEX('Recurring Schedule'!$L$6:$L$45,R826)))</f>
        <v/>
      </c>
      <c r="O826" s="36">
        <f>IF(C826="","",IF(AND(OR(L826="1-Urgent",L826="2-High"),M826="✓"),"DO FIRST",IF(M826="✓","SCHEDULE",IF(OR(L826="1-Urgent",L826="2-High"),"DELEGATE","DELETE"))))</f>
        <v/>
      </c>
      <c r="P826" s="65" t="n"/>
      <c r="Q826">
        <f>IF(821&gt;Calc!$AQ$368,"",MATCH(820,Calc!$AQ$2:$AQ$367,1))</f>
        <v/>
      </c>
      <c r="R826">
        <f>IF(Q826="","",SMALL(INDEX(Calc!$B$2:$AO$367,Q826,0),821-INDEX(Calc!$AQ$2:$AQ$367,Q826)))</f>
        <v/>
      </c>
    </row>
    <row r="827">
      <c r="B827" s="71">
        <f>IF(R827="","",822)</f>
        <v/>
      </c>
      <c r="C827" s="75">
        <f>IF(R827="","",IF(INDEX('Recurring Schedule'!$C$6:$C$45,R827)="","",INDEX('Recurring Schedule'!$C$6:$C$45,R827)))</f>
        <v/>
      </c>
      <c r="D827" s="73">
        <f>IF(R827="","",IF(INDEX('Recurring Schedule'!$D$6:$D$45,R827)="","",INDEX('Recurring Schedule'!$D$6:$D$45,R827)))</f>
        <v/>
      </c>
      <c r="E827" s="76">
        <f>IF(Q827="","",INDEX(Calc!$A$2:$A$367,Q827))</f>
        <v/>
      </c>
      <c r="F827" s="72">
        <f>IF(OR(C827="",E827=""),"",E827-Setup!$D$7)</f>
        <v/>
      </c>
      <c r="G827" s="77">
        <f>IF(R827="","",IF(INDEX('Recurring Schedule'!$H$6:$H$45,R827)="","",INDEX('Recurring Schedule'!$H$6:$H$45,R827)))</f>
        <v/>
      </c>
      <c r="H827" s="77">
        <f>IF(R827="","",IF(INDEX('Recurring Schedule'!$I$6:$I$45,R827)="","",INDEX('Recurring Schedule'!$I$6:$I$45,R827)))</f>
        <v/>
      </c>
      <c r="I827" s="73">
        <f>IF(OR(G827="",H827=""),"",TRIM(IF(HOUR(H827-G827)&gt;0,HOUR(H827-G827)&amp;" hr ","")&amp;IF(MINUTE(H827-G827)&gt;0,MINUTE(H827-G827)&amp;" min","")))</f>
        <v/>
      </c>
      <c r="J827" s="66" t="n"/>
      <c r="K827" s="70" t="n"/>
      <c r="L827" s="73">
        <f>IF(R827="","",IF(INDEX('Recurring Schedule'!$J$6:$J$45,R827)="","",INDEX('Recurring Schedule'!$J$6:$J$45,R827)))</f>
        <v/>
      </c>
      <c r="M827" s="73">
        <f>IF(R827="","",IF(INDEX('Recurring Schedule'!$K$6:$K$45,R827)="","",INDEX('Recurring Schedule'!$K$6:$K$45,R827)))</f>
        <v/>
      </c>
      <c r="N827" s="73">
        <f>IF(R827="","",IF(INDEX('Recurring Schedule'!$L$6:$L$45,R827)="","",INDEX('Recurring Schedule'!$L$6:$L$45,R827)))</f>
        <v/>
      </c>
      <c r="O827" s="73">
        <f>IF(C827="","",IF(AND(OR(L827="1-Urgent",L827="2-High"),M827="✓"),"DO FIRST",IF(M827="✓","SCHEDULE",IF(OR(L827="1-Urgent",L827="2-High"),"DELEGATE","DELETE"))))</f>
        <v/>
      </c>
      <c r="P827" s="65" t="n"/>
      <c r="Q827">
        <f>IF(822&gt;Calc!$AQ$368,"",MATCH(821,Calc!$AQ$2:$AQ$367,1))</f>
        <v/>
      </c>
      <c r="R827">
        <f>IF(Q827="","",SMALL(INDEX(Calc!$B$2:$AO$367,Q827,0),822-INDEX(Calc!$AQ$2:$AQ$367,Q827)))</f>
        <v/>
      </c>
    </row>
    <row r="828">
      <c r="B828" s="64">
        <f>IF(R828="","",823)</f>
        <v/>
      </c>
      <c r="C828" s="37">
        <f>IF(R828="","",IF(INDEX('Recurring Schedule'!$C$6:$C$45,R828)="","",INDEX('Recurring Schedule'!$C$6:$C$45,R828)))</f>
        <v/>
      </c>
      <c r="D828" s="36">
        <f>IF(R828="","",IF(INDEX('Recurring Schedule'!$D$6:$D$45,R828)="","",INDEX('Recurring Schedule'!$D$6:$D$45,R828)))</f>
        <v/>
      </c>
      <c r="E828" s="38">
        <f>IF(Q828="","",INDEX(Calc!$A$2:$A$367,Q828))</f>
        <v/>
      </c>
      <c r="F828" s="68">
        <f>IF(OR(C828="",E828=""),"",E828-Setup!$D$7)</f>
        <v/>
      </c>
      <c r="G828" s="74">
        <f>IF(R828="","",IF(INDEX('Recurring Schedule'!$H$6:$H$45,R828)="","",INDEX('Recurring Schedule'!$H$6:$H$45,R828)))</f>
        <v/>
      </c>
      <c r="H828" s="74">
        <f>IF(R828="","",IF(INDEX('Recurring Schedule'!$I$6:$I$45,R828)="","",INDEX('Recurring Schedule'!$I$6:$I$45,R828)))</f>
        <v/>
      </c>
      <c r="I828" s="36">
        <f>IF(OR(G828="",H828=""),"",TRIM(IF(HOUR(H828-G828)&gt;0,HOUR(H828-G828)&amp;" hr ","")&amp;IF(MINUTE(H828-G828)&gt;0,MINUTE(H828-G828)&amp;" min","")))</f>
        <v/>
      </c>
      <c r="J828" s="66" t="n"/>
      <c r="K828" s="70" t="n"/>
      <c r="L828" s="36">
        <f>IF(R828="","",IF(INDEX('Recurring Schedule'!$J$6:$J$45,R828)="","",INDEX('Recurring Schedule'!$J$6:$J$45,R828)))</f>
        <v/>
      </c>
      <c r="M828" s="36">
        <f>IF(R828="","",IF(INDEX('Recurring Schedule'!$K$6:$K$45,R828)="","",INDEX('Recurring Schedule'!$K$6:$K$45,R828)))</f>
        <v/>
      </c>
      <c r="N828" s="36">
        <f>IF(R828="","",IF(INDEX('Recurring Schedule'!$L$6:$L$45,R828)="","",INDEX('Recurring Schedule'!$L$6:$L$45,R828)))</f>
        <v/>
      </c>
      <c r="O828" s="36">
        <f>IF(C828="","",IF(AND(OR(L828="1-Urgent",L828="2-High"),M828="✓"),"DO FIRST",IF(M828="✓","SCHEDULE",IF(OR(L828="1-Urgent",L828="2-High"),"DELEGATE","DELETE"))))</f>
        <v/>
      </c>
      <c r="P828" s="65" t="n"/>
      <c r="Q828">
        <f>IF(823&gt;Calc!$AQ$368,"",MATCH(822,Calc!$AQ$2:$AQ$367,1))</f>
        <v/>
      </c>
      <c r="R828">
        <f>IF(Q828="","",SMALL(INDEX(Calc!$B$2:$AO$367,Q828,0),823-INDEX(Calc!$AQ$2:$AQ$367,Q828)))</f>
        <v/>
      </c>
    </row>
    <row r="829">
      <c r="B829" s="71">
        <f>IF(R829="","",824)</f>
        <v/>
      </c>
      <c r="C829" s="75">
        <f>IF(R829="","",IF(INDEX('Recurring Schedule'!$C$6:$C$45,R829)="","",INDEX('Recurring Schedule'!$C$6:$C$45,R829)))</f>
        <v/>
      </c>
      <c r="D829" s="73">
        <f>IF(R829="","",IF(INDEX('Recurring Schedule'!$D$6:$D$45,R829)="","",INDEX('Recurring Schedule'!$D$6:$D$45,R829)))</f>
        <v/>
      </c>
      <c r="E829" s="76">
        <f>IF(Q829="","",INDEX(Calc!$A$2:$A$367,Q829))</f>
        <v/>
      </c>
      <c r="F829" s="72">
        <f>IF(OR(C829="",E829=""),"",E829-Setup!$D$7)</f>
        <v/>
      </c>
      <c r="G829" s="77">
        <f>IF(R829="","",IF(INDEX('Recurring Schedule'!$H$6:$H$45,R829)="","",INDEX('Recurring Schedule'!$H$6:$H$45,R829)))</f>
        <v/>
      </c>
      <c r="H829" s="77">
        <f>IF(R829="","",IF(INDEX('Recurring Schedule'!$I$6:$I$45,R829)="","",INDEX('Recurring Schedule'!$I$6:$I$45,R829)))</f>
        <v/>
      </c>
      <c r="I829" s="73">
        <f>IF(OR(G829="",H829=""),"",TRIM(IF(HOUR(H829-G829)&gt;0,HOUR(H829-G829)&amp;" hr ","")&amp;IF(MINUTE(H829-G829)&gt;0,MINUTE(H829-G829)&amp;" min","")))</f>
        <v/>
      </c>
      <c r="J829" s="66" t="n"/>
      <c r="K829" s="70" t="n"/>
      <c r="L829" s="73">
        <f>IF(R829="","",IF(INDEX('Recurring Schedule'!$J$6:$J$45,R829)="","",INDEX('Recurring Schedule'!$J$6:$J$45,R829)))</f>
        <v/>
      </c>
      <c r="M829" s="73">
        <f>IF(R829="","",IF(INDEX('Recurring Schedule'!$K$6:$K$45,R829)="","",INDEX('Recurring Schedule'!$K$6:$K$45,R829)))</f>
        <v/>
      </c>
      <c r="N829" s="73">
        <f>IF(R829="","",IF(INDEX('Recurring Schedule'!$L$6:$L$45,R829)="","",INDEX('Recurring Schedule'!$L$6:$L$45,R829)))</f>
        <v/>
      </c>
      <c r="O829" s="73">
        <f>IF(C829="","",IF(AND(OR(L829="1-Urgent",L829="2-High"),M829="✓"),"DO FIRST",IF(M829="✓","SCHEDULE",IF(OR(L829="1-Urgent",L829="2-High"),"DELEGATE","DELETE"))))</f>
        <v/>
      </c>
      <c r="P829" s="65" t="n"/>
      <c r="Q829">
        <f>IF(824&gt;Calc!$AQ$368,"",MATCH(823,Calc!$AQ$2:$AQ$367,1))</f>
        <v/>
      </c>
      <c r="R829">
        <f>IF(Q829="","",SMALL(INDEX(Calc!$B$2:$AO$367,Q829,0),824-INDEX(Calc!$AQ$2:$AQ$367,Q829)))</f>
        <v/>
      </c>
    </row>
    <row r="830">
      <c r="B830" s="64">
        <f>IF(R830="","",825)</f>
        <v/>
      </c>
      <c r="C830" s="37">
        <f>IF(R830="","",IF(INDEX('Recurring Schedule'!$C$6:$C$45,R830)="","",INDEX('Recurring Schedule'!$C$6:$C$45,R830)))</f>
        <v/>
      </c>
      <c r="D830" s="36">
        <f>IF(R830="","",IF(INDEX('Recurring Schedule'!$D$6:$D$45,R830)="","",INDEX('Recurring Schedule'!$D$6:$D$45,R830)))</f>
        <v/>
      </c>
      <c r="E830" s="38">
        <f>IF(Q830="","",INDEX(Calc!$A$2:$A$367,Q830))</f>
        <v/>
      </c>
      <c r="F830" s="68">
        <f>IF(OR(C830="",E830=""),"",E830-Setup!$D$7)</f>
        <v/>
      </c>
      <c r="G830" s="74">
        <f>IF(R830="","",IF(INDEX('Recurring Schedule'!$H$6:$H$45,R830)="","",INDEX('Recurring Schedule'!$H$6:$H$45,R830)))</f>
        <v/>
      </c>
      <c r="H830" s="74">
        <f>IF(R830="","",IF(INDEX('Recurring Schedule'!$I$6:$I$45,R830)="","",INDEX('Recurring Schedule'!$I$6:$I$45,R830)))</f>
        <v/>
      </c>
      <c r="I830" s="36">
        <f>IF(OR(G830="",H830=""),"",TRIM(IF(HOUR(H830-G830)&gt;0,HOUR(H830-G830)&amp;" hr ","")&amp;IF(MINUTE(H830-G830)&gt;0,MINUTE(H830-G830)&amp;" min","")))</f>
        <v/>
      </c>
      <c r="J830" s="66" t="n"/>
      <c r="K830" s="70" t="n"/>
      <c r="L830" s="36">
        <f>IF(R830="","",IF(INDEX('Recurring Schedule'!$J$6:$J$45,R830)="","",INDEX('Recurring Schedule'!$J$6:$J$45,R830)))</f>
        <v/>
      </c>
      <c r="M830" s="36">
        <f>IF(R830="","",IF(INDEX('Recurring Schedule'!$K$6:$K$45,R830)="","",INDEX('Recurring Schedule'!$K$6:$K$45,R830)))</f>
        <v/>
      </c>
      <c r="N830" s="36">
        <f>IF(R830="","",IF(INDEX('Recurring Schedule'!$L$6:$L$45,R830)="","",INDEX('Recurring Schedule'!$L$6:$L$45,R830)))</f>
        <v/>
      </c>
      <c r="O830" s="36">
        <f>IF(C830="","",IF(AND(OR(L830="1-Urgent",L830="2-High"),M830="✓"),"DO FIRST",IF(M830="✓","SCHEDULE",IF(OR(L830="1-Urgent",L830="2-High"),"DELEGATE","DELETE"))))</f>
        <v/>
      </c>
      <c r="P830" s="65" t="n"/>
      <c r="Q830">
        <f>IF(825&gt;Calc!$AQ$368,"",MATCH(824,Calc!$AQ$2:$AQ$367,1))</f>
        <v/>
      </c>
      <c r="R830">
        <f>IF(Q830="","",SMALL(INDEX(Calc!$B$2:$AO$367,Q830,0),825-INDEX(Calc!$AQ$2:$AQ$367,Q830)))</f>
        <v/>
      </c>
    </row>
    <row r="831">
      <c r="B831" s="71">
        <f>IF(R831="","",826)</f>
        <v/>
      </c>
      <c r="C831" s="75">
        <f>IF(R831="","",IF(INDEX('Recurring Schedule'!$C$6:$C$45,R831)="","",INDEX('Recurring Schedule'!$C$6:$C$45,R831)))</f>
        <v/>
      </c>
      <c r="D831" s="73">
        <f>IF(R831="","",IF(INDEX('Recurring Schedule'!$D$6:$D$45,R831)="","",INDEX('Recurring Schedule'!$D$6:$D$45,R831)))</f>
        <v/>
      </c>
      <c r="E831" s="76">
        <f>IF(Q831="","",INDEX(Calc!$A$2:$A$367,Q831))</f>
        <v/>
      </c>
      <c r="F831" s="72">
        <f>IF(OR(C831="",E831=""),"",E831-Setup!$D$7)</f>
        <v/>
      </c>
      <c r="G831" s="77">
        <f>IF(R831="","",IF(INDEX('Recurring Schedule'!$H$6:$H$45,R831)="","",INDEX('Recurring Schedule'!$H$6:$H$45,R831)))</f>
        <v/>
      </c>
      <c r="H831" s="77">
        <f>IF(R831="","",IF(INDEX('Recurring Schedule'!$I$6:$I$45,R831)="","",INDEX('Recurring Schedule'!$I$6:$I$45,R831)))</f>
        <v/>
      </c>
      <c r="I831" s="73">
        <f>IF(OR(G831="",H831=""),"",TRIM(IF(HOUR(H831-G831)&gt;0,HOUR(H831-G831)&amp;" hr ","")&amp;IF(MINUTE(H831-G831)&gt;0,MINUTE(H831-G831)&amp;" min","")))</f>
        <v/>
      </c>
      <c r="J831" s="66" t="n"/>
      <c r="K831" s="70" t="n"/>
      <c r="L831" s="73">
        <f>IF(R831="","",IF(INDEX('Recurring Schedule'!$J$6:$J$45,R831)="","",INDEX('Recurring Schedule'!$J$6:$J$45,R831)))</f>
        <v/>
      </c>
      <c r="M831" s="73">
        <f>IF(R831="","",IF(INDEX('Recurring Schedule'!$K$6:$K$45,R831)="","",INDEX('Recurring Schedule'!$K$6:$K$45,R831)))</f>
        <v/>
      </c>
      <c r="N831" s="73">
        <f>IF(R831="","",IF(INDEX('Recurring Schedule'!$L$6:$L$45,R831)="","",INDEX('Recurring Schedule'!$L$6:$L$45,R831)))</f>
        <v/>
      </c>
      <c r="O831" s="73">
        <f>IF(C831="","",IF(AND(OR(L831="1-Urgent",L831="2-High"),M831="✓"),"DO FIRST",IF(M831="✓","SCHEDULE",IF(OR(L831="1-Urgent",L831="2-High"),"DELEGATE","DELETE"))))</f>
        <v/>
      </c>
      <c r="P831" s="65" t="n"/>
      <c r="Q831">
        <f>IF(826&gt;Calc!$AQ$368,"",MATCH(825,Calc!$AQ$2:$AQ$367,1))</f>
        <v/>
      </c>
      <c r="R831">
        <f>IF(Q831="","",SMALL(INDEX(Calc!$B$2:$AO$367,Q831,0),826-INDEX(Calc!$AQ$2:$AQ$367,Q831)))</f>
        <v/>
      </c>
    </row>
    <row r="832">
      <c r="B832" s="64">
        <f>IF(R832="","",827)</f>
        <v/>
      </c>
      <c r="C832" s="37">
        <f>IF(R832="","",IF(INDEX('Recurring Schedule'!$C$6:$C$45,R832)="","",INDEX('Recurring Schedule'!$C$6:$C$45,R832)))</f>
        <v/>
      </c>
      <c r="D832" s="36">
        <f>IF(R832="","",IF(INDEX('Recurring Schedule'!$D$6:$D$45,R832)="","",INDEX('Recurring Schedule'!$D$6:$D$45,R832)))</f>
        <v/>
      </c>
      <c r="E832" s="38">
        <f>IF(Q832="","",INDEX(Calc!$A$2:$A$367,Q832))</f>
        <v/>
      </c>
      <c r="F832" s="68">
        <f>IF(OR(C832="",E832=""),"",E832-Setup!$D$7)</f>
        <v/>
      </c>
      <c r="G832" s="74">
        <f>IF(R832="","",IF(INDEX('Recurring Schedule'!$H$6:$H$45,R832)="","",INDEX('Recurring Schedule'!$H$6:$H$45,R832)))</f>
        <v/>
      </c>
      <c r="H832" s="74">
        <f>IF(R832="","",IF(INDEX('Recurring Schedule'!$I$6:$I$45,R832)="","",INDEX('Recurring Schedule'!$I$6:$I$45,R832)))</f>
        <v/>
      </c>
      <c r="I832" s="36">
        <f>IF(OR(G832="",H832=""),"",TRIM(IF(HOUR(H832-G832)&gt;0,HOUR(H832-G832)&amp;" hr ","")&amp;IF(MINUTE(H832-G832)&gt;0,MINUTE(H832-G832)&amp;" min","")))</f>
        <v/>
      </c>
      <c r="J832" s="66" t="n"/>
      <c r="K832" s="70" t="n"/>
      <c r="L832" s="36">
        <f>IF(R832="","",IF(INDEX('Recurring Schedule'!$J$6:$J$45,R832)="","",INDEX('Recurring Schedule'!$J$6:$J$45,R832)))</f>
        <v/>
      </c>
      <c r="M832" s="36">
        <f>IF(R832="","",IF(INDEX('Recurring Schedule'!$K$6:$K$45,R832)="","",INDEX('Recurring Schedule'!$K$6:$K$45,R832)))</f>
        <v/>
      </c>
      <c r="N832" s="36">
        <f>IF(R832="","",IF(INDEX('Recurring Schedule'!$L$6:$L$45,R832)="","",INDEX('Recurring Schedule'!$L$6:$L$45,R832)))</f>
        <v/>
      </c>
      <c r="O832" s="36">
        <f>IF(C832="","",IF(AND(OR(L832="1-Urgent",L832="2-High"),M832="✓"),"DO FIRST",IF(M832="✓","SCHEDULE",IF(OR(L832="1-Urgent",L832="2-High"),"DELEGATE","DELETE"))))</f>
        <v/>
      </c>
      <c r="P832" s="65" t="n"/>
      <c r="Q832">
        <f>IF(827&gt;Calc!$AQ$368,"",MATCH(826,Calc!$AQ$2:$AQ$367,1))</f>
        <v/>
      </c>
      <c r="R832">
        <f>IF(Q832="","",SMALL(INDEX(Calc!$B$2:$AO$367,Q832,0),827-INDEX(Calc!$AQ$2:$AQ$367,Q832)))</f>
        <v/>
      </c>
    </row>
    <row r="833">
      <c r="B833" s="71">
        <f>IF(R833="","",828)</f>
        <v/>
      </c>
      <c r="C833" s="75">
        <f>IF(R833="","",IF(INDEX('Recurring Schedule'!$C$6:$C$45,R833)="","",INDEX('Recurring Schedule'!$C$6:$C$45,R833)))</f>
        <v/>
      </c>
      <c r="D833" s="73">
        <f>IF(R833="","",IF(INDEX('Recurring Schedule'!$D$6:$D$45,R833)="","",INDEX('Recurring Schedule'!$D$6:$D$45,R833)))</f>
        <v/>
      </c>
      <c r="E833" s="76">
        <f>IF(Q833="","",INDEX(Calc!$A$2:$A$367,Q833))</f>
        <v/>
      </c>
      <c r="F833" s="72">
        <f>IF(OR(C833="",E833=""),"",E833-Setup!$D$7)</f>
        <v/>
      </c>
      <c r="G833" s="77">
        <f>IF(R833="","",IF(INDEX('Recurring Schedule'!$H$6:$H$45,R833)="","",INDEX('Recurring Schedule'!$H$6:$H$45,R833)))</f>
        <v/>
      </c>
      <c r="H833" s="77">
        <f>IF(R833="","",IF(INDEX('Recurring Schedule'!$I$6:$I$45,R833)="","",INDEX('Recurring Schedule'!$I$6:$I$45,R833)))</f>
        <v/>
      </c>
      <c r="I833" s="73">
        <f>IF(OR(G833="",H833=""),"",TRIM(IF(HOUR(H833-G833)&gt;0,HOUR(H833-G833)&amp;" hr ","")&amp;IF(MINUTE(H833-G833)&gt;0,MINUTE(H833-G833)&amp;" min","")))</f>
        <v/>
      </c>
      <c r="J833" s="66" t="n"/>
      <c r="K833" s="70" t="n"/>
      <c r="L833" s="73">
        <f>IF(R833="","",IF(INDEX('Recurring Schedule'!$J$6:$J$45,R833)="","",INDEX('Recurring Schedule'!$J$6:$J$45,R833)))</f>
        <v/>
      </c>
      <c r="M833" s="73">
        <f>IF(R833="","",IF(INDEX('Recurring Schedule'!$K$6:$K$45,R833)="","",INDEX('Recurring Schedule'!$K$6:$K$45,R833)))</f>
        <v/>
      </c>
      <c r="N833" s="73">
        <f>IF(R833="","",IF(INDEX('Recurring Schedule'!$L$6:$L$45,R833)="","",INDEX('Recurring Schedule'!$L$6:$L$45,R833)))</f>
        <v/>
      </c>
      <c r="O833" s="73">
        <f>IF(C833="","",IF(AND(OR(L833="1-Urgent",L833="2-High"),M833="✓"),"DO FIRST",IF(M833="✓","SCHEDULE",IF(OR(L833="1-Urgent",L833="2-High"),"DELEGATE","DELETE"))))</f>
        <v/>
      </c>
      <c r="P833" s="65" t="n"/>
      <c r="Q833">
        <f>IF(828&gt;Calc!$AQ$368,"",MATCH(827,Calc!$AQ$2:$AQ$367,1))</f>
        <v/>
      </c>
      <c r="R833">
        <f>IF(Q833="","",SMALL(INDEX(Calc!$B$2:$AO$367,Q833,0),828-INDEX(Calc!$AQ$2:$AQ$367,Q833)))</f>
        <v/>
      </c>
    </row>
    <row r="834">
      <c r="B834" s="64">
        <f>IF(R834="","",829)</f>
        <v/>
      </c>
      <c r="C834" s="37">
        <f>IF(R834="","",IF(INDEX('Recurring Schedule'!$C$6:$C$45,R834)="","",INDEX('Recurring Schedule'!$C$6:$C$45,R834)))</f>
        <v/>
      </c>
      <c r="D834" s="36">
        <f>IF(R834="","",IF(INDEX('Recurring Schedule'!$D$6:$D$45,R834)="","",INDEX('Recurring Schedule'!$D$6:$D$45,R834)))</f>
        <v/>
      </c>
      <c r="E834" s="38">
        <f>IF(Q834="","",INDEX(Calc!$A$2:$A$367,Q834))</f>
        <v/>
      </c>
      <c r="F834" s="68">
        <f>IF(OR(C834="",E834=""),"",E834-Setup!$D$7)</f>
        <v/>
      </c>
      <c r="G834" s="74">
        <f>IF(R834="","",IF(INDEX('Recurring Schedule'!$H$6:$H$45,R834)="","",INDEX('Recurring Schedule'!$H$6:$H$45,R834)))</f>
        <v/>
      </c>
      <c r="H834" s="74">
        <f>IF(R834="","",IF(INDEX('Recurring Schedule'!$I$6:$I$45,R834)="","",INDEX('Recurring Schedule'!$I$6:$I$45,R834)))</f>
        <v/>
      </c>
      <c r="I834" s="36">
        <f>IF(OR(G834="",H834=""),"",TRIM(IF(HOUR(H834-G834)&gt;0,HOUR(H834-G834)&amp;" hr ","")&amp;IF(MINUTE(H834-G834)&gt;0,MINUTE(H834-G834)&amp;" min","")))</f>
        <v/>
      </c>
      <c r="J834" s="66" t="n"/>
      <c r="K834" s="70" t="n"/>
      <c r="L834" s="36">
        <f>IF(R834="","",IF(INDEX('Recurring Schedule'!$J$6:$J$45,R834)="","",INDEX('Recurring Schedule'!$J$6:$J$45,R834)))</f>
        <v/>
      </c>
      <c r="M834" s="36">
        <f>IF(R834="","",IF(INDEX('Recurring Schedule'!$K$6:$K$45,R834)="","",INDEX('Recurring Schedule'!$K$6:$K$45,R834)))</f>
        <v/>
      </c>
      <c r="N834" s="36">
        <f>IF(R834="","",IF(INDEX('Recurring Schedule'!$L$6:$L$45,R834)="","",INDEX('Recurring Schedule'!$L$6:$L$45,R834)))</f>
        <v/>
      </c>
      <c r="O834" s="36">
        <f>IF(C834="","",IF(AND(OR(L834="1-Urgent",L834="2-High"),M834="✓"),"DO FIRST",IF(M834="✓","SCHEDULE",IF(OR(L834="1-Urgent",L834="2-High"),"DELEGATE","DELETE"))))</f>
        <v/>
      </c>
      <c r="P834" s="65" t="n"/>
      <c r="Q834">
        <f>IF(829&gt;Calc!$AQ$368,"",MATCH(828,Calc!$AQ$2:$AQ$367,1))</f>
        <v/>
      </c>
      <c r="R834">
        <f>IF(Q834="","",SMALL(INDEX(Calc!$B$2:$AO$367,Q834,0),829-INDEX(Calc!$AQ$2:$AQ$367,Q834)))</f>
        <v/>
      </c>
    </row>
    <row r="835">
      <c r="B835" s="71">
        <f>IF(R835="","",830)</f>
        <v/>
      </c>
      <c r="C835" s="75">
        <f>IF(R835="","",IF(INDEX('Recurring Schedule'!$C$6:$C$45,R835)="","",INDEX('Recurring Schedule'!$C$6:$C$45,R835)))</f>
        <v/>
      </c>
      <c r="D835" s="73">
        <f>IF(R835="","",IF(INDEX('Recurring Schedule'!$D$6:$D$45,R835)="","",INDEX('Recurring Schedule'!$D$6:$D$45,R835)))</f>
        <v/>
      </c>
      <c r="E835" s="76">
        <f>IF(Q835="","",INDEX(Calc!$A$2:$A$367,Q835))</f>
        <v/>
      </c>
      <c r="F835" s="72">
        <f>IF(OR(C835="",E835=""),"",E835-Setup!$D$7)</f>
        <v/>
      </c>
      <c r="G835" s="77">
        <f>IF(R835="","",IF(INDEX('Recurring Schedule'!$H$6:$H$45,R835)="","",INDEX('Recurring Schedule'!$H$6:$H$45,R835)))</f>
        <v/>
      </c>
      <c r="H835" s="77">
        <f>IF(R835="","",IF(INDEX('Recurring Schedule'!$I$6:$I$45,R835)="","",INDEX('Recurring Schedule'!$I$6:$I$45,R835)))</f>
        <v/>
      </c>
      <c r="I835" s="73">
        <f>IF(OR(G835="",H835=""),"",TRIM(IF(HOUR(H835-G835)&gt;0,HOUR(H835-G835)&amp;" hr ","")&amp;IF(MINUTE(H835-G835)&gt;0,MINUTE(H835-G835)&amp;" min","")))</f>
        <v/>
      </c>
      <c r="J835" s="66" t="n"/>
      <c r="K835" s="70" t="n"/>
      <c r="L835" s="73">
        <f>IF(R835="","",IF(INDEX('Recurring Schedule'!$J$6:$J$45,R835)="","",INDEX('Recurring Schedule'!$J$6:$J$45,R835)))</f>
        <v/>
      </c>
      <c r="M835" s="73">
        <f>IF(R835="","",IF(INDEX('Recurring Schedule'!$K$6:$K$45,R835)="","",INDEX('Recurring Schedule'!$K$6:$K$45,R835)))</f>
        <v/>
      </c>
      <c r="N835" s="73">
        <f>IF(R835="","",IF(INDEX('Recurring Schedule'!$L$6:$L$45,R835)="","",INDEX('Recurring Schedule'!$L$6:$L$45,R835)))</f>
        <v/>
      </c>
      <c r="O835" s="73">
        <f>IF(C835="","",IF(AND(OR(L835="1-Urgent",L835="2-High"),M835="✓"),"DO FIRST",IF(M835="✓","SCHEDULE",IF(OR(L835="1-Urgent",L835="2-High"),"DELEGATE","DELETE"))))</f>
        <v/>
      </c>
      <c r="P835" s="65" t="n"/>
      <c r="Q835">
        <f>IF(830&gt;Calc!$AQ$368,"",MATCH(829,Calc!$AQ$2:$AQ$367,1))</f>
        <v/>
      </c>
      <c r="R835">
        <f>IF(Q835="","",SMALL(INDEX(Calc!$B$2:$AO$367,Q835,0),830-INDEX(Calc!$AQ$2:$AQ$367,Q835)))</f>
        <v/>
      </c>
    </row>
    <row r="836">
      <c r="B836" s="64">
        <f>IF(R836="","",831)</f>
        <v/>
      </c>
      <c r="C836" s="37">
        <f>IF(R836="","",IF(INDEX('Recurring Schedule'!$C$6:$C$45,R836)="","",INDEX('Recurring Schedule'!$C$6:$C$45,R836)))</f>
        <v/>
      </c>
      <c r="D836" s="36">
        <f>IF(R836="","",IF(INDEX('Recurring Schedule'!$D$6:$D$45,R836)="","",INDEX('Recurring Schedule'!$D$6:$D$45,R836)))</f>
        <v/>
      </c>
      <c r="E836" s="38">
        <f>IF(Q836="","",INDEX(Calc!$A$2:$A$367,Q836))</f>
        <v/>
      </c>
      <c r="F836" s="68">
        <f>IF(OR(C836="",E836=""),"",E836-Setup!$D$7)</f>
        <v/>
      </c>
      <c r="G836" s="74">
        <f>IF(R836="","",IF(INDEX('Recurring Schedule'!$H$6:$H$45,R836)="","",INDEX('Recurring Schedule'!$H$6:$H$45,R836)))</f>
        <v/>
      </c>
      <c r="H836" s="74">
        <f>IF(R836="","",IF(INDEX('Recurring Schedule'!$I$6:$I$45,R836)="","",INDEX('Recurring Schedule'!$I$6:$I$45,R836)))</f>
        <v/>
      </c>
      <c r="I836" s="36">
        <f>IF(OR(G836="",H836=""),"",TRIM(IF(HOUR(H836-G836)&gt;0,HOUR(H836-G836)&amp;" hr ","")&amp;IF(MINUTE(H836-G836)&gt;0,MINUTE(H836-G836)&amp;" min","")))</f>
        <v/>
      </c>
      <c r="J836" s="66" t="n"/>
      <c r="K836" s="70" t="n"/>
      <c r="L836" s="36">
        <f>IF(R836="","",IF(INDEX('Recurring Schedule'!$J$6:$J$45,R836)="","",INDEX('Recurring Schedule'!$J$6:$J$45,R836)))</f>
        <v/>
      </c>
      <c r="M836" s="36">
        <f>IF(R836="","",IF(INDEX('Recurring Schedule'!$K$6:$K$45,R836)="","",INDEX('Recurring Schedule'!$K$6:$K$45,R836)))</f>
        <v/>
      </c>
      <c r="N836" s="36">
        <f>IF(R836="","",IF(INDEX('Recurring Schedule'!$L$6:$L$45,R836)="","",INDEX('Recurring Schedule'!$L$6:$L$45,R836)))</f>
        <v/>
      </c>
      <c r="O836" s="36">
        <f>IF(C836="","",IF(AND(OR(L836="1-Urgent",L836="2-High"),M836="✓"),"DO FIRST",IF(M836="✓","SCHEDULE",IF(OR(L836="1-Urgent",L836="2-High"),"DELEGATE","DELETE"))))</f>
        <v/>
      </c>
      <c r="P836" s="65" t="n"/>
      <c r="Q836">
        <f>IF(831&gt;Calc!$AQ$368,"",MATCH(830,Calc!$AQ$2:$AQ$367,1))</f>
        <v/>
      </c>
      <c r="R836">
        <f>IF(Q836="","",SMALL(INDEX(Calc!$B$2:$AO$367,Q836,0),831-INDEX(Calc!$AQ$2:$AQ$367,Q836)))</f>
        <v/>
      </c>
    </row>
    <row r="837">
      <c r="B837" s="71">
        <f>IF(R837="","",832)</f>
        <v/>
      </c>
      <c r="C837" s="75">
        <f>IF(R837="","",IF(INDEX('Recurring Schedule'!$C$6:$C$45,R837)="","",INDEX('Recurring Schedule'!$C$6:$C$45,R837)))</f>
        <v/>
      </c>
      <c r="D837" s="73">
        <f>IF(R837="","",IF(INDEX('Recurring Schedule'!$D$6:$D$45,R837)="","",INDEX('Recurring Schedule'!$D$6:$D$45,R837)))</f>
        <v/>
      </c>
      <c r="E837" s="76">
        <f>IF(Q837="","",INDEX(Calc!$A$2:$A$367,Q837))</f>
        <v/>
      </c>
      <c r="F837" s="72">
        <f>IF(OR(C837="",E837=""),"",E837-Setup!$D$7)</f>
        <v/>
      </c>
      <c r="G837" s="77">
        <f>IF(R837="","",IF(INDEX('Recurring Schedule'!$H$6:$H$45,R837)="","",INDEX('Recurring Schedule'!$H$6:$H$45,R837)))</f>
        <v/>
      </c>
      <c r="H837" s="77">
        <f>IF(R837="","",IF(INDEX('Recurring Schedule'!$I$6:$I$45,R837)="","",INDEX('Recurring Schedule'!$I$6:$I$45,R837)))</f>
        <v/>
      </c>
      <c r="I837" s="73">
        <f>IF(OR(G837="",H837=""),"",TRIM(IF(HOUR(H837-G837)&gt;0,HOUR(H837-G837)&amp;" hr ","")&amp;IF(MINUTE(H837-G837)&gt;0,MINUTE(H837-G837)&amp;" min","")))</f>
        <v/>
      </c>
      <c r="J837" s="66" t="n"/>
      <c r="K837" s="70" t="n"/>
      <c r="L837" s="73">
        <f>IF(R837="","",IF(INDEX('Recurring Schedule'!$J$6:$J$45,R837)="","",INDEX('Recurring Schedule'!$J$6:$J$45,R837)))</f>
        <v/>
      </c>
      <c r="M837" s="73">
        <f>IF(R837="","",IF(INDEX('Recurring Schedule'!$K$6:$K$45,R837)="","",INDEX('Recurring Schedule'!$K$6:$K$45,R837)))</f>
        <v/>
      </c>
      <c r="N837" s="73">
        <f>IF(R837="","",IF(INDEX('Recurring Schedule'!$L$6:$L$45,R837)="","",INDEX('Recurring Schedule'!$L$6:$L$45,R837)))</f>
        <v/>
      </c>
      <c r="O837" s="73">
        <f>IF(C837="","",IF(AND(OR(L837="1-Urgent",L837="2-High"),M837="✓"),"DO FIRST",IF(M837="✓","SCHEDULE",IF(OR(L837="1-Urgent",L837="2-High"),"DELEGATE","DELETE"))))</f>
        <v/>
      </c>
      <c r="P837" s="65" t="n"/>
      <c r="Q837">
        <f>IF(832&gt;Calc!$AQ$368,"",MATCH(831,Calc!$AQ$2:$AQ$367,1))</f>
        <v/>
      </c>
      <c r="R837">
        <f>IF(Q837="","",SMALL(INDEX(Calc!$B$2:$AO$367,Q837,0),832-INDEX(Calc!$AQ$2:$AQ$367,Q837)))</f>
        <v/>
      </c>
    </row>
    <row r="838">
      <c r="B838" s="64">
        <f>IF(R838="","",833)</f>
        <v/>
      </c>
      <c r="C838" s="37">
        <f>IF(R838="","",IF(INDEX('Recurring Schedule'!$C$6:$C$45,R838)="","",INDEX('Recurring Schedule'!$C$6:$C$45,R838)))</f>
        <v/>
      </c>
      <c r="D838" s="36">
        <f>IF(R838="","",IF(INDEX('Recurring Schedule'!$D$6:$D$45,R838)="","",INDEX('Recurring Schedule'!$D$6:$D$45,R838)))</f>
        <v/>
      </c>
      <c r="E838" s="38">
        <f>IF(Q838="","",INDEX(Calc!$A$2:$A$367,Q838))</f>
        <v/>
      </c>
      <c r="F838" s="68">
        <f>IF(OR(C838="",E838=""),"",E838-Setup!$D$7)</f>
        <v/>
      </c>
      <c r="G838" s="74">
        <f>IF(R838="","",IF(INDEX('Recurring Schedule'!$H$6:$H$45,R838)="","",INDEX('Recurring Schedule'!$H$6:$H$45,R838)))</f>
        <v/>
      </c>
      <c r="H838" s="74">
        <f>IF(R838="","",IF(INDEX('Recurring Schedule'!$I$6:$I$45,R838)="","",INDEX('Recurring Schedule'!$I$6:$I$45,R838)))</f>
        <v/>
      </c>
      <c r="I838" s="36">
        <f>IF(OR(G838="",H838=""),"",TRIM(IF(HOUR(H838-G838)&gt;0,HOUR(H838-G838)&amp;" hr ","")&amp;IF(MINUTE(H838-G838)&gt;0,MINUTE(H838-G838)&amp;" min","")))</f>
        <v/>
      </c>
      <c r="J838" s="66" t="n"/>
      <c r="K838" s="70" t="n"/>
      <c r="L838" s="36">
        <f>IF(R838="","",IF(INDEX('Recurring Schedule'!$J$6:$J$45,R838)="","",INDEX('Recurring Schedule'!$J$6:$J$45,R838)))</f>
        <v/>
      </c>
      <c r="M838" s="36">
        <f>IF(R838="","",IF(INDEX('Recurring Schedule'!$K$6:$K$45,R838)="","",INDEX('Recurring Schedule'!$K$6:$K$45,R838)))</f>
        <v/>
      </c>
      <c r="N838" s="36">
        <f>IF(R838="","",IF(INDEX('Recurring Schedule'!$L$6:$L$45,R838)="","",INDEX('Recurring Schedule'!$L$6:$L$45,R838)))</f>
        <v/>
      </c>
      <c r="O838" s="36">
        <f>IF(C838="","",IF(AND(OR(L838="1-Urgent",L838="2-High"),M838="✓"),"DO FIRST",IF(M838="✓","SCHEDULE",IF(OR(L838="1-Urgent",L838="2-High"),"DELEGATE","DELETE"))))</f>
        <v/>
      </c>
      <c r="P838" s="65" t="n"/>
      <c r="Q838">
        <f>IF(833&gt;Calc!$AQ$368,"",MATCH(832,Calc!$AQ$2:$AQ$367,1))</f>
        <v/>
      </c>
      <c r="R838">
        <f>IF(Q838="","",SMALL(INDEX(Calc!$B$2:$AO$367,Q838,0),833-INDEX(Calc!$AQ$2:$AQ$367,Q838)))</f>
        <v/>
      </c>
    </row>
    <row r="839">
      <c r="B839" s="71">
        <f>IF(R839="","",834)</f>
        <v/>
      </c>
      <c r="C839" s="75">
        <f>IF(R839="","",IF(INDEX('Recurring Schedule'!$C$6:$C$45,R839)="","",INDEX('Recurring Schedule'!$C$6:$C$45,R839)))</f>
        <v/>
      </c>
      <c r="D839" s="73">
        <f>IF(R839="","",IF(INDEX('Recurring Schedule'!$D$6:$D$45,R839)="","",INDEX('Recurring Schedule'!$D$6:$D$45,R839)))</f>
        <v/>
      </c>
      <c r="E839" s="76">
        <f>IF(Q839="","",INDEX(Calc!$A$2:$A$367,Q839))</f>
        <v/>
      </c>
      <c r="F839" s="72">
        <f>IF(OR(C839="",E839=""),"",E839-Setup!$D$7)</f>
        <v/>
      </c>
      <c r="G839" s="77">
        <f>IF(R839="","",IF(INDEX('Recurring Schedule'!$H$6:$H$45,R839)="","",INDEX('Recurring Schedule'!$H$6:$H$45,R839)))</f>
        <v/>
      </c>
      <c r="H839" s="77">
        <f>IF(R839="","",IF(INDEX('Recurring Schedule'!$I$6:$I$45,R839)="","",INDEX('Recurring Schedule'!$I$6:$I$45,R839)))</f>
        <v/>
      </c>
      <c r="I839" s="73">
        <f>IF(OR(G839="",H839=""),"",TRIM(IF(HOUR(H839-G839)&gt;0,HOUR(H839-G839)&amp;" hr ","")&amp;IF(MINUTE(H839-G839)&gt;0,MINUTE(H839-G839)&amp;" min","")))</f>
        <v/>
      </c>
      <c r="J839" s="66" t="n"/>
      <c r="K839" s="70" t="n"/>
      <c r="L839" s="73">
        <f>IF(R839="","",IF(INDEX('Recurring Schedule'!$J$6:$J$45,R839)="","",INDEX('Recurring Schedule'!$J$6:$J$45,R839)))</f>
        <v/>
      </c>
      <c r="M839" s="73">
        <f>IF(R839="","",IF(INDEX('Recurring Schedule'!$K$6:$K$45,R839)="","",INDEX('Recurring Schedule'!$K$6:$K$45,R839)))</f>
        <v/>
      </c>
      <c r="N839" s="73">
        <f>IF(R839="","",IF(INDEX('Recurring Schedule'!$L$6:$L$45,R839)="","",INDEX('Recurring Schedule'!$L$6:$L$45,R839)))</f>
        <v/>
      </c>
      <c r="O839" s="73">
        <f>IF(C839="","",IF(AND(OR(L839="1-Urgent",L839="2-High"),M839="✓"),"DO FIRST",IF(M839="✓","SCHEDULE",IF(OR(L839="1-Urgent",L839="2-High"),"DELEGATE","DELETE"))))</f>
        <v/>
      </c>
      <c r="P839" s="65" t="n"/>
      <c r="Q839">
        <f>IF(834&gt;Calc!$AQ$368,"",MATCH(833,Calc!$AQ$2:$AQ$367,1))</f>
        <v/>
      </c>
      <c r="R839">
        <f>IF(Q839="","",SMALL(INDEX(Calc!$B$2:$AO$367,Q839,0),834-INDEX(Calc!$AQ$2:$AQ$367,Q839)))</f>
        <v/>
      </c>
    </row>
    <row r="840">
      <c r="B840" s="64">
        <f>IF(R840="","",835)</f>
        <v/>
      </c>
      <c r="C840" s="37">
        <f>IF(R840="","",IF(INDEX('Recurring Schedule'!$C$6:$C$45,R840)="","",INDEX('Recurring Schedule'!$C$6:$C$45,R840)))</f>
        <v/>
      </c>
      <c r="D840" s="36">
        <f>IF(R840="","",IF(INDEX('Recurring Schedule'!$D$6:$D$45,R840)="","",INDEX('Recurring Schedule'!$D$6:$D$45,R840)))</f>
        <v/>
      </c>
      <c r="E840" s="38">
        <f>IF(Q840="","",INDEX(Calc!$A$2:$A$367,Q840))</f>
        <v/>
      </c>
      <c r="F840" s="68">
        <f>IF(OR(C840="",E840=""),"",E840-Setup!$D$7)</f>
        <v/>
      </c>
      <c r="G840" s="74">
        <f>IF(R840="","",IF(INDEX('Recurring Schedule'!$H$6:$H$45,R840)="","",INDEX('Recurring Schedule'!$H$6:$H$45,R840)))</f>
        <v/>
      </c>
      <c r="H840" s="74">
        <f>IF(R840="","",IF(INDEX('Recurring Schedule'!$I$6:$I$45,R840)="","",INDEX('Recurring Schedule'!$I$6:$I$45,R840)))</f>
        <v/>
      </c>
      <c r="I840" s="36">
        <f>IF(OR(G840="",H840=""),"",TRIM(IF(HOUR(H840-G840)&gt;0,HOUR(H840-G840)&amp;" hr ","")&amp;IF(MINUTE(H840-G840)&gt;0,MINUTE(H840-G840)&amp;" min","")))</f>
        <v/>
      </c>
      <c r="J840" s="66" t="n"/>
      <c r="K840" s="70" t="n"/>
      <c r="L840" s="36">
        <f>IF(R840="","",IF(INDEX('Recurring Schedule'!$J$6:$J$45,R840)="","",INDEX('Recurring Schedule'!$J$6:$J$45,R840)))</f>
        <v/>
      </c>
      <c r="M840" s="36">
        <f>IF(R840="","",IF(INDEX('Recurring Schedule'!$K$6:$K$45,R840)="","",INDEX('Recurring Schedule'!$K$6:$K$45,R840)))</f>
        <v/>
      </c>
      <c r="N840" s="36">
        <f>IF(R840="","",IF(INDEX('Recurring Schedule'!$L$6:$L$45,R840)="","",INDEX('Recurring Schedule'!$L$6:$L$45,R840)))</f>
        <v/>
      </c>
      <c r="O840" s="36">
        <f>IF(C840="","",IF(AND(OR(L840="1-Urgent",L840="2-High"),M840="✓"),"DO FIRST",IF(M840="✓","SCHEDULE",IF(OR(L840="1-Urgent",L840="2-High"),"DELEGATE","DELETE"))))</f>
        <v/>
      </c>
      <c r="P840" s="65" t="n"/>
      <c r="Q840">
        <f>IF(835&gt;Calc!$AQ$368,"",MATCH(834,Calc!$AQ$2:$AQ$367,1))</f>
        <v/>
      </c>
      <c r="R840">
        <f>IF(Q840="","",SMALL(INDEX(Calc!$B$2:$AO$367,Q840,0),835-INDEX(Calc!$AQ$2:$AQ$367,Q840)))</f>
        <v/>
      </c>
    </row>
    <row r="841">
      <c r="B841" s="71">
        <f>IF(R841="","",836)</f>
        <v/>
      </c>
      <c r="C841" s="75">
        <f>IF(R841="","",IF(INDEX('Recurring Schedule'!$C$6:$C$45,R841)="","",INDEX('Recurring Schedule'!$C$6:$C$45,R841)))</f>
        <v/>
      </c>
      <c r="D841" s="73">
        <f>IF(R841="","",IF(INDEX('Recurring Schedule'!$D$6:$D$45,R841)="","",INDEX('Recurring Schedule'!$D$6:$D$45,R841)))</f>
        <v/>
      </c>
      <c r="E841" s="76">
        <f>IF(Q841="","",INDEX(Calc!$A$2:$A$367,Q841))</f>
        <v/>
      </c>
      <c r="F841" s="72">
        <f>IF(OR(C841="",E841=""),"",E841-Setup!$D$7)</f>
        <v/>
      </c>
      <c r="G841" s="77">
        <f>IF(R841="","",IF(INDEX('Recurring Schedule'!$H$6:$H$45,R841)="","",INDEX('Recurring Schedule'!$H$6:$H$45,R841)))</f>
        <v/>
      </c>
      <c r="H841" s="77">
        <f>IF(R841="","",IF(INDEX('Recurring Schedule'!$I$6:$I$45,R841)="","",INDEX('Recurring Schedule'!$I$6:$I$45,R841)))</f>
        <v/>
      </c>
      <c r="I841" s="73">
        <f>IF(OR(G841="",H841=""),"",TRIM(IF(HOUR(H841-G841)&gt;0,HOUR(H841-G841)&amp;" hr ","")&amp;IF(MINUTE(H841-G841)&gt;0,MINUTE(H841-G841)&amp;" min","")))</f>
        <v/>
      </c>
      <c r="J841" s="66" t="n"/>
      <c r="K841" s="70" t="n"/>
      <c r="L841" s="73">
        <f>IF(R841="","",IF(INDEX('Recurring Schedule'!$J$6:$J$45,R841)="","",INDEX('Recurring Schedule'!$J$6:$J$45,R841)))</f>
        <v/>
      </c>
      <c r="M841" s="73">
        <f>IF(R841="","",IF(INDEX('Recurring Schedule'!$K$6:$K$45,R841)="","",INDEX('Recurring Schedule'!$K$6:$K$45,R841)))</f>
        <v/>
      </c>
      <c r="N841" s="73">
        <f>IF(R841="","",IF(INDEX('Recurring Schedule'!$L$6:$L$45,R841)="","",INDEX('Recurring Schedule'!$L$6:$L$45,R841)))</f>
        <v/>
      </c>
      <c r="O841" s="73">
        <f>IF(C841="","",IF(AND(OR(L841="1-Urgent",L841="2-High"),M841="✓"),"DO FIRST",IF(M841="✓","SCHEDULE",IF(OR(L841="1-Urgent",L841="2-High"),"DELEGATE","DELETE"))))</f>
        <v/>
      </c>
      <c r="P841" s="65" t="n"/>
      <c r="Q841">
        <f>IF(836&gt;Calc!$AQ$368,"",MATCH(835,Calc!$AQ$2:$AQ$367,1))</f>
        <v/>
      </c>
      <c r="R841">
        <f>IF(Q841="","",SMALL(INDEX(Calc!$B$2:$AO$367,Q841,0),836-INDEX(Calc!$AQ$2:$AQ$367,Q841)))</f>
        <v/>
      </c>
    </row>
    <row r="842">
      <c r="B842" s="64">
        <f>IF(R842="","",837)</f>
        <v/>
      </c>
      <c r="C842" s="37">
        <f>IF(R842="","",IF(INDEX('Recurring Schedule'!$C$6:$C$45,R842)="","",INDEX('Recurring Schedule'!$C$6:$C$45,R842)))</f>
        <v/>
      </c>
      <c r="D842" s="36">
        <f>IF(R842="","",IF(INDEX('Recurring Schedule'!$D$6:$D$45,R842)="","",INDEX('Recurring Schedule'!$D$6:$D$45,R842)))</f>
        <v/>
      </c>
      <c r="E842" s="38">
        <f>IF(Q842="","",INDEX(Calc!$A$2:$A$367,Q842))</f>
        <v/>
      </c>
      <c r="F842" s="68">
        <f>IF(OR(C842="",E842=""),"",E842-Setup!$D$7)</f>
        <v/>
      </c>
      <c r="G842" s="74">
        <f>IF(R842="","",IF(INDEX('Recurring Schedule'!$H$6:$H$45,R842)="","",INDEX('Recurring Schedule'!$H$6:$H$45,R842)))</f>
        <v/>
      </c>
      <c r="H842" s="74">
        <f>IF(R842="","",IF(INDEX('Recurring Schedule'!$I$6:$I$45,R842)="","",INDEX('Recurring Schedule'!$I$6:$I$45,R842)))</f>
        <v/>
      </c>
      <c r="I842" s="36">
        <f>IF(OR(G842="",H842=""),"",TRIM(IF(HOUR(H842-G842)&gt;0,HOUR(H842-G842)&amp;" hr ","")&amp;IF(MINUTE(H842-G842)&gt;0,MINUTE(H842-G842)&amp;" min","")))</f>
        <v/>
      </c>
      <c r="J842" s="66" t="n"/>
      <c r="K842" s="70" t="n"/>
      <c r="L842" s="36">
        <f>IF(R842="","",IF(INDEX('Recurring Schedule'!$J$6:$J$45,R842)="","",INDEX('Recurring Schedule'!$J$6:$J$45,R842)))</f>
        <v/>
      </c>
      <c r="M842" s="36">
        <f>IF(R842="","",IF(INDEX('Recurring Schedule'!$K$6:$K$45,R842)="","",INDEX('Recurring Schedule'!$K$6:$K$45,R842)))</f>
        <v/>
      </c>
      <c r="N842" s="36">
        <f>IF(R842="","",IF(INDEX('Recurring Schedule'!$L$6:$L$45,R842)="","",INDEX('Recurring Schedule'!$L$6:$L$45,R842)))</f>
        <v/>
      </c>
      <c r="O842" s="36">
        <f>IF(C842="","",IF(AND(OR(L842="1-Urgent",L842="2-High"),M842="✓"),"DO FIRST",IF(M842="✓","SCHEDULE",IF(OR(L842="1-Urgent",L842="2-High"),"DELEGATE","DELETE"))))</f>
        <v/>
      </c>
      <c r="P842" s="65" t="n"/>
      <c r="Q842">
        <f>IF(837&gt;Calc!$AQ$368,"",MATCH(836,Calc!$AQ$2:$AQ$367,1))</f>
        <v/>
      </c>
      <c r="R842">
        <f>IF(Q842="","",SMALL(INDEX(Calc!$B$2:$AO$367,Q842,0),837-INDEX(Calc!$AQ$2:$AQ$367,Q842)))</f>
        <v/>
      </c>
    </row>
    <row r="843">
      <c r="B843" s="71">
        <f>IF(R843="","",838)</f>
        <v/>
      </c>
      <c r="C843" s="75">
        <f>IF(R843="","",IF(INDEX('Recurring Schedule'!$C$6:$C$45,R843)="","",INDEX('Recurring Schedule'!$C$6:$C$45,R843)))</f>
        <v/>
      </c>
      <c r="D843" s="73">
        <f>IF(R843="","",IF(INDEX('Recurring Schedule'!$D$6:$D$45,R843)="","",INDEX('Recurring Schedule'!$D$6:$D$45,R843)))</f>
        <v/>
      </c>
      <c r="E843" s="76">
        <f>IF(Q843="","",INDEX(Calc!$A$2:$A$367,Q843))</f>
        <v/>
      </c>
      <c r="F843" s="72">
        <f>IF(OR(C843="",E843=""),"",E843-Setup!$D$7)</f>
        <v/>
      </c>
      <c r="G843" s="77">
        <f>IF(R843="","",IF(INDEX('Recurring Schedule'!$H$6:$H$45,R843)="","",INDEX('Recurring Schedule'!$H$6:$H$45,R843)))</f>
        <v/>
      </c>
      <c r="H843" s="77">
        <f>IF(R843="","",IF(INDEX('Recurring Schedule'!$I$6:$I$45,R843)="","",INDEX('Recurring Schedule'!$I$6:$I$45,R843)))</f>
        <v/>
      </c>
      <c r="I843" s="73">
        <f>IF(OR(G843="",H843=""),"",TRIM(IF(HOUR(H843-G843)&gt;0,HOUR(H843-G843)&amp;" hr ","")&amp;IF(MINUTE(H843-G843)&gt;0,MINUTE(H843-G843)&amp;" min","")))</f>
        <v/>
      </c>
      <c r="J843" s="66" t="n"/>
      <c r="K843" s="70" t="n"/>
      <c r="L843" s="73">
        <f>IF(R843="","",IF(INDEX('Recurring Schedule'!$J$6:$J$45,R843)="","",INDEX('Recurring Schedule'!$J$6:$J$45,R843)))</f>
        <v/>
      </c>
      <c r="M843" s="73">
        <f>IF(R843="","",IF(INDEX('Recurring Schedule'!$K$6:$K$45,R843)="","",INDEX('Recurring Schedule'!$K$6:$K$45,R843)))</f>
        <v/>
      </c>
      <c r="N843" s="73">
        <f>IF(R843="","",IF(INDEX('Recurring Schedule'!$L$6:$L$45,R843)="","",INDEX('Recurring Schedule'!$L$6:$L$45,R843)))</f>
        <v/>
      </c>
      <c r="O843" s="73">
        <f>IF(C843="","",IF(AND(OR(L843="1-Urgent",L843="2-High"),M843="✓"),"DO FIRST",IF(M843="✓","SCHEDULE",IF(OR(L843="1-Urgent",L843="2-High"),"DELEGATE","DELETE"))))</f>
        <v/>
      </c>
      <c r="P843" s="65" t="n"/>
      <c r="Q843">
        <f>IF(838&gt;Calc!$AQ$368,"",MATCH(837,Calc!$AQ$2:$AQ$367,1))</f>
        <v/>
      </c>
      <c r="R843">
        <f>IF(Q843="","",SMALL(INDEX(Calc!$B$2:$AO$367,Q843,0),838-INDEX(Calc!$AQ$2:$AQ$367,Q843)))</f>
        <v/>
      </c>
    </row>
    <row r="844">
      <c r="B844" s="64">
        <f>IF(R844="","",839)</f>
        <v/>
      </c>
      <c r="C844" s="37">
        <f>IF(R844="","",IF(INDEX('Recurring Schedule'!$C$6:$C$45,R844)="","",INDEX('Recurring Schedule'!$C$6:$C$45,R844)))</f>
        <v/>
      </c>
      <c r="D844" s="36">
        <f>IF(R844="","",IF(INDEX('Recurring Schedule'!$D$6:$D$45,R844)="","",INDEX('Recurring Schedule'!$D$6:$D$45,R844)))</f>
        <v/>
      </c>
      <c r="E844" s="38">
        <f>IF(Q844="","",INDEX(Calc!$A$2:$A$367,Q844))</f>
        <v/>
      </c>
      <c r="F844" s="68">
        <f>IF(OR(C844="",E844=""),"",E844-Setup!$D$7)</f>
        <v/>
      </c>
      <c r="G844" s="74">
        <f>IF(R844="","",IF(INDEX('Recurring Schedule'!$H$6:$H$45,R844)="","",INDEX('Recurring Schedule'!$H$6:$H$45,R844)))</f>
        <v/>
      </c>
      <c r="H844" s="74">
        <f>IF(R844="","",IF(INDEX('Recurring Schedule'!$I$6:$I$45,R844)="","",INDEX('Recurring Schedule'!$I$6:$I$45,R844)))</f>
        <v/>
      </c>
      <c r="I844" s="36">
        <f>IF(OR(G844="",H844=""),"",TRIM(IF(HOUR(H844-G844)&gt;0,HOUR(H844-G844)&amp;" hr ","")&amp;IF(MINUTE(H844-G844)&gt;0,MINUTE(H844-G844)&amp;" min","")))</f>
        <v/>
      </c>
      <c r="J844" s="66" t="n"/>
      <c r="K844" s="70" t="n"/>
      <c r="L844" s="36">
        <f>IF(R844="","",IF(INDEX('Recurring Schedule'!$J$6:$J$45,R844)="","",INDEX('Recurring Schedule'!$J$6:$J$45,R844)))</f>
        <v/>
      </c>
      <c r="M844" s="36">
        <f>IF(R844="","",IF(INDEX('Recurring Schedule'!$K$6:$K$45,R844)="","",INDEX('Recurring Schedule'!$K$6:$K$45,R844)))</f>
        <v/>
      </c>
      <c r="N844" s="36">
        <f>IF(R844="","",IF(INDEX('Recurring Schedule'!$L$6:$L$45,R844)="","",INDEX('Recurring Schedule'!$L$6:$L$45,R844)))</f>
        <v/>
      </c>
      <c r="O844" s="36">
        <f>IF(C844="","",IF(AND(OR(L844="1-Urgent",L844="2-High"),M844="✓"),"DO FIRST",IF(M844="✓","SCHEDULE",IF(OR(L844="1-Urgent",L844="2-High"),"DELEGATE","DELETE"))))</f>
        <v/>
      </c>
      <c r="P844" s="65" t="n"/>
      <c r="Q844">
        <f>IF(839&gt;Calc!$AQ$368,"",MATCH(838,Calc!$AQ$2:$AQ$367,1))</f>
        <v/>
      </c>
      <c r="R844">
        <f>IF(Q844="","",SMALL(INDEX(Calc!$B$2:$AO$367,Q844,0),839-INDEX(Calc!$AQ$2:$AQ$367,Q844)))</f>
        <v/>
      </c>
    </row>
    <row r="845">
      <c r="B845" s="71">
        <f>IF(R845="","",840)</f>
        <v/>
      </c>
      <c r="C845" s="75">
        <f>IF(R845="","",IF(INDEX('Recurring Schedule'!$C$6:$C$45,R845)="","",INDEX('Recurring Schedule'!$C$6:$C$45,R845)))</f>
        <v/>
      </c>
      <c r="D845" s="73">
        <f>IF(R845="","",IF(INDEX('Recurring Schedule'!$D$6:$D$45,R845)="","",INDEX('Recurring Schedule'!$D$6:$D$45,R845)))</f>
        <v/>
      </c>
      <c r="E845" s="76">
        <f>IF(Q845="","",INDEX(Calc!$A$2:$A$367,Q845))</f>
        <v/>
      </c>
      <c r="F845" s="72">
        <f>IF(OR(C845="",E845=""),"",E845-Setup!$D$7)</f>
        <v/>
      </c>
      <c r="G845" s="77">
        <f>IF(R845="","",IF(INDEX('Recurring Schedule'!$H$6:$H$45,R845)="","",INDEX('Recurring Schedule'!$H$6:$H$45,R845)))</f>
        <v/>
      </c>
      <c r="H845" s="77">
        <f>IF(R845="","",IF(INDEX('Recurring Schedule'!$I$6:$I$45,R845)="","",INDEX('Recurring Schedule'!$I$6:$I$45,R845)))</f>
        <v/>
      </c>
      <c r="I845" s="73">
        <f>IF(OR(G845="",H845=""),"",TRIM(IF(HOUR(H845-G845)&gt;0,HOUR(H845-G845)&amp;" hr ","")&amp;IF(MINUTE(H845-G845)&gt;0,MINUTE(H845-G845)&amp;" min","")))</f>
        <v/>
      </c>
      <c r="J845" s="66" t="n"/>
      <c r="K845" s="70" t="n"/>
      <c r="L845" s="73">
        <f>IF(R845="","",IF(INDEX('Recurring Schedule'!$J$6:$J$45,R845)="","",INDEX('Recurring Schedule'!$J$6:$J$45,R845)))</f>
        <v/>
      </c>
      <c r="M845" s="73">
        <f>IF(R845="","",IF(INDEX('Recurring Schedule'!$K$6:$K$45,R845)="","",INDEX('Recurring Schedule'!$K$6:$K$45,R845)))</f>
        <v/>
      </c>
      <c r="N845" s="73">
        <f>IF(R845="","",IF(INDEX('Recurring Schedule'!$L$6:$L$45,R845)="","",INDEX('Recurring Schedule'!$L$6:$L$45,R845)))</f>
        <v/>
      </c>
      <c r="O845" s="73">
        <f>IF(C845="","",IF(AND(OR(L845="1-Urgent",L845="2-High"),M845="✓"),"DO FIRST",IF(M845="✓","SCHEDULE",IF(OR(L845="1-Urgent",L845="2-High"),"DELEGATE","DELETE"))))</f>
        <v/>
      </c>
      <c r="P845" s="65" t="n"/>
      <c r="Q845">
        <f>IF(840&gt;Calc!$AQ$368,"",MATCH(839,Calc!$AQ$2:$AQ$367,1))</f>
        <v/>
      </c>
      <c r="R845">
        <f>IF(Q845="","",SMALL(INDEX(Calc!$B$2:$AO$367,Q845,0),840-INDEX(Calc!$AQ$2:$AQ$367,Q845)))</f>
        <v/>
      </c>
    </row>
    <row r="846">
      <c r="B846" s="64">
        <f>IF(R846="","",841)</f>
        <v/>
      </c>
      <c r="C846" s="37">
        <f>IF(R846="","",IF(INDEX('Recurring Schedule'!$C$6:$C$45,R846)="","",INDEX('Recurring Schedule'!$C$6:$C$45,R846)))</f>
        <v/>
      </c>
      <c r="D846" s="36">
        <f>IF(R846="","",IF(INDEX('Recurring Schedule'!$D$6:$D$45,R846)="","",INDEX('Recurring Schedule'!$D$6:$D$45,R846)))</f>
        <v/>
      </c>
      <c r="E846" s="38">
        <f>IF(Q846="","",INDEX(Calc!$A$2:$A$367,Q846))</f>
        <v/>
      </c>
      <c r="F846" s="68">
        <f>IF(OR(C846="",E846=""),"",E846-Setup!$D$7)</f>
        <v/>
      </c>
      <c r="G846" s="74">
        <f>IF(R846="","",IF(INDEX('Recurring Schedule'!$H$6:$H$45,R846)="","",INDEX('Recurring Schedule'!$H$6:$H$45,R846)))</f>
        <v/>
      </c>
      <c r="H846" s="74">
        <f>IF(R846="","",IF(INDEX('Recurring Schedule'!$I$6:$I$45,R846)="","",INDEX('Recurring Schedule'!$I$6:$I$45,R846)))</f>
        <v/>
      </c>
      <c r="I846" s="36">
        <f>IF(OR(G846="",H846=""),"",TRIM(IF(HOUR(H846-G846)&gt;0,HOUR(H846-G846)&amp;" hr ","")&amp;IF(MINUTE(H846-G846)&gt;0,MINUTE(H846-G846)&amp;" min","")))</f>
        <v/>
      </c>
      <c r="J846" s="66" t="n"/>
      <c r="K846" s="70" t="n"/>
      <c r="L846" s="36">
        <f>IF(R846="","",IF(INDEX('Recurring Schedule'!$J$6:$J$45,R846)="","",INDEX('Recurring Schedule'!$J$6:$J$45,R846)))</f>
        <v/>
      </c>
      <c r="M846" s="36">
        <f>IF(R846="","",IF(INDEX('Recurring Schedule'!$K$6:$K$45,R846)="","",INDEX('Recurring Schedule'!$K$6:$K$45,R846)))</f>
        <v/>
      </c>
      <c r="N846" s="36">
        <f>IF(R846="","",IF(INDEX('Recurring Schedule'!$L$6:$L$45,R846)="","",INDEX('Recurring Schedule'!$L$6:$L$45,R846)))</f>
        <v/>
      </c>
      <c r="O846" s="36">
        <f>IF(C846="","",IF(AND(OR(L846="1-Urgent",L846="2-High"),M846="✓"),"DO FIRST",IF(M846="✓","SCHEDULE",IF(OR(L846="1-Urgent",L846="2-High"),"DELEGATE","DELETE"))))</f>
        <v/>
      </c>
      <c r="P846" s="65" t="n"/>
      <c r="Q846">
        <f>IF(841&gt;Calc!$AQ$368,"",MATCH(840,Calc!$AQ$2:$AQ$367,1))</f>
        <v/>
      </c>
      <c r="R846">
        <f>IF(Q846="","",SMALL(INDEX(Calc!$B$2:$AO$367,Q846,0),841-INDEX(Calc!$AQ$2:$AQ$367,Q846)))</f>
        <v/>
      </c>
    </row>
    <row r="847">
      <c r="B847" s="71">
        <f>IF(R847="","",842)</f>
        <v/>
      </c>
      <c r="C847" s="75">
        <f>IF(R847="","",IF(INDEX('Recurring Schedule'!$C$6:$C$45,R847)="","",INDEX('Recurring Schedule'!$C$6:$C$45,R847)))</f>
        <v/>
      </c>
      <c r="D847" s="73">
        <f>IF(R847="","",IF(INDEX('Recurring Schedule'!$D$6:$D$45,R847)="","",INDEX('Recurring Schedule'!$D$6:$D$45,R847)))</f>
        <v/>
      </c>
      <c r="E847" s="76">
        <f>IF(Q847="","",INDEX(Calc!$A$2:$A$367,Q847))</f>
        <v/>
      </c>
      <c r="F847" s="72">
        <f>IF(OR(C847="",E847=""),"",E847-Setup!$D$7)</f>
        <v/>
      </c>
      <c r="G847" s="77">
        <f>IF(R847="","",IF(INDEX('Recurring Schedule'!$H$6:$H$45,R847)="","",INDEX('Recurring Schedule'!$H$6:$H$45,R847)))</f>
        <v/>
      </c>
      <c r="H847" s="77">
        <f>IF(R847="","",IF(INDEX('Recurring Schedule'!$I$6:$I$45,R847)="","",INDEX('Recurring Schedule'!$I$6:$I$45,R847)))</f>
        <v/>
      </c>
      <c r="I847" s="73">
        <f>IF(OR(G847="",H847=""),"",TRIM(IF(HOUR(H847-G847)&gt;0,HOUR(H847-G847)&amp;" hr ","")&amp;IF(MINUTE(H847-G847)&gt;0,MINUTE(H847-G847)&amp;" min","")))</f>
        <v/>
      </c>
      <c r="J847" s="66" t="n"/>
      <c r="K847" s="70" t="n"/>
      <c r="L847" s="73">
        <f>IF(R847="","",IF(INDEX('Recurring Schedule'!$J$6:$J$45,R847)="","",INDEX('Recurring Schedule'!$J$6:$J$45,R847)))</f>
        <v/>
      </c>
      <c r="M847" s="73">
        <f>IF(R847="","",IF(INDEX('Recurring Schedule'!$K$6:$K$45,R847)="","",INDEX('Recurring Schedule'!$K$6:$K$45,R847)))</f>
        <v/>
      </c>
      <c r="N847" s="73">
        <f>IF(R847="","",IF(INDEX('Recurring Schedule'!$L$6:$L$45,R847)="","",INDEX('Recurring Schedule'!$L$6:$L$45,R847)))</f>
        <v/>
      </c>
      <c r="O847" s="73">
        <f>IF(C847="","",IF(AND(OR(L847="1-Urgent",L847="2-High"),M847="✓"),"DO FIRST",IF(M847="✓","SCHEDULE",IF(OR(L847="1-Urgent",L847="2-High"),"DELEGATE","DELETE"))))</f>
        <v/>
      </c>
      <c r="P847" s="65" t="n"/>
      <c r="Q847">
        <f>IF(842&gt;Calc!$AQ$368,"",MATCH(841,Calc!$AQ$2:$AQ$367,1))</f>
        <v/>
      </c>
      <c r="R847">
        <f>IF(Q847="","",SMALL(INDEX(Calc!$B$2:$AO$367,Q847,0),842-INDEX(Calc!$AQ$2:$AQ$367,Q847)))</f>
        <v/>
      </c>
    </row>
    <row r="848">
      <c r="B848" s="64">
        <f>IF(R848="","",843)</f>
        <v/>
      </c>
      <c r="C848" s="37">
        <f>IF(R848="","",IF(INDEX('Recurring Schedule'!$C$6:$C$45,R848)="","",INDEX('Recurring Schedule'!$C$6:$C$45,R848)))</f>
        <v/>
      </c>
      <c r="D848" s="36">
        <f>IF(R848="","",IF(INDEX('Recurring Schedule'!$D$6:$D$45,R848)="","",INDEX('Recurring Schedule'!$D$6:$D$45,R848)))</f>
        <v/>
      </c>
      <c r="E848" s="38">
        <f>IF(Q848="","",INDEX(Calc!$A$2:$A$367,Q848))</f>
        <v/>
      </c>
      <c r="F848" s="68">
        <f>IF(OR(C848="",E848=""),"",E848-Setup!$D$7)</f>
        <v/>
      </c>
      <c r="G848" s="74">
        <f>IF(R848="","",IF(INDEX('Recurring Schedule'!$H$6:$H$45,R848)="","",INDEX('Recurring Schedule'!$H$6:$H$45,R848)))</f>
        <v/>
      </c>
      <c r="H848" s="74">
        <f>IF(R848="","",IF(INDEX('Recurring Schedule'!$I$6:$I$45,R848)="","",INDEX('Recurring Schedule'!$I$6:$I$45,R848)))</f>
        <v/>
      </c>
      <c r="I848" s="36">
        <f>IF(OR(G848="",H848=""),"",TRIM(IF(HOUR(H848-G848)&gt;0,HOUR(H848-G848)&amp;" hr ","")&amp;IF(MINUTE(H848-G848)&gt;0,MINUTE(H848-G848)&amp;" min","")))</f>
        <v/>
      </c>
      <c r="J848" s="66" t="n"/>
      <c r="K848" s="70" t="n"/>
      <c r="L848" s="36">
        <f>IF(R848="","",IF(INDEX('Recurring Schedule'!$J$6:$J$45,R848)="","",INDEX('Recurring Schedule'!$J$6:$J$45,R848)))</f>
        <v/>
      </c>
      <c r="M848" s="36">
        <f>IF(R848="","",IF(INDEX('Recurring Schedule'!$K$6:$K$45,R848)="","",INDEX('Recurring Schedule'!$K$6:$K$45,R848)))</f>
        <v/>
      </c>
      <c r="N848" s="36">
        <f>IF(R848="","",IF(INDEX('Recurring Schedule'!$L$6:$L$45,R848)="","",INDEX('Recurring Schedule'!$L$6:$L$45,R848)))</f>
        <v/>
      </c>
      <c r="O848" s="36">
        <f>IF(C848="","",IF(AND(OR(L848="1-Urgent",L848="2-High"),M848="✓"),"DO FIRST",IF(M848="✓","SCHEDULE",IF(OR(L848="1-Urgent",L848="2-High"),"DELEGATE","DELETE"))))</f>
        <v/>
      </c>
      <c r="P848" s="65" t="n"/>
      <c r="Q848">
        <f>IF(843&gt;Calc!$AQ$368,"",MATCH(842,Calc!$AQ$2:$AQ$367,1))</f>
        <v/>
      </c>
      <c r="R848">
        <f>IF(Q848="","",SMALL(INDEX(Calc!$B$2:$AO$367,Q848,0),843-INDEX(Calc!$AQ$2:$AQ$367,Q848)))</f>
        <v/>
      </c>
    </row>
    <row r="849">
      <c r="B849" s="71">
        <f>IF(R849="","",844)</f>
        <v/>
      </c>
      <c r="C849" s="75">
        <f>IF(R849="","",IF(INDEX('Recurring Schedule'!$C$6:$C$45,R849)="","",INDEX('Recurring Schedule'!$C$6:$C$45,R849)))</f>
        <v/>
      </c>
      <c r="D849" s="73">
        <f>IF(R849="","",IF(INDEX('Recurring Schedule'!$D$6:$D$45,R849)="","",INDEX('Recurring Schedule'!$D$6:$D$45,R849)))</f>
        <v/>
      </c>
      <c r="E849" s="76">
        <f>IF(Q849="","",INDEX(Calc!$A$2:$A$367,Q849))</f>
        <v/>
      </c>
      <c r="F849" s="72">
        <f>IF(OR(C849="",E849=""),"",E849-Setup!$D$7)</f>
        <v/>
      </c>
      <c r="G849" s="77">
        <f>IF(R849="","",IF(INDEX('Recurring Schedule'!$H$6:$H$45,R849)="","",INDEX('Recurring Schedule'!$H$6:$H$45,R849)))</f>
        <v/>
      </c>
      <c r="H849" s="77">
        <f>IF(R849="","",IF(INDEX('Recurring Schedule'!$I$6:$I$45,R849)="","",INDEX('Recurring Schedule'!$I$6:$I$45,R849)))</f>
        <v/>
      </c>
      <c r="I849" s="73">
        <f>IF(OR(G849="",H849=""),"",TRIM(IF(HOUR(H849-G849)&gt;0,HOUR(H849-G849)&amp;" hr ","")&amp;IF(MINUTE(H849-G849)&gt;0,MINUTE(H849-G849)&amp;" min","")))</f>
        <v/>
      </c>
      <c r="J849" s="66" t="n"/>
      <c r="K849" s="70" t="n"/>
      <c r="L849" s="73">
        <f>IF(R849="","",IF(INDEX('Recurring Schedule'!$J$6:$J$45,R849)="","",INDEX('Recurring Schedule'!$J$6:$J$45,R849)))</f>
        <v/>
      </c>
      <c r="M849" s="73">
        <f>IF(R849="","",IF(INDEX('Recurring Schedule'!$K$6:$K$45,R849)="","",INDEX('Recurring Schedule'!$K$6:$K$45,R849)))</f>
        <v/>
      </c>
      <c r="N849" s="73">
        <f>IF(R849="","",IF(INDEX('Recurring Schedule'!$L$6:$L$45,R849)="","",INDEX('Recurring Schedule'!$L$6:$L$45,R849)))</f>
        <v/>
      </c>
      <c r="O849" s="73">
        <f>IF(C849="","",IF(AND(OR(L849="1-Urgent",L849="2-High"),M849="✓"),"DO FIRST",IF(M849="✓","SCHEDULE",IF(OR(L849="1-Urgent",L849="2-High"),"DELEGATE","DELETE"))))</f>
        <v/>
      </c>
      <c r="P849" s="65" t="n"/>
      <c r="Q849">
        <f>IF(844&gt;Calc!$AQ$368,"",MATCH(843,Calc!$AQ$2:$AQ$367,1))</f>
        <v/>
      </c>
      <c r="R849">
        <f>IF(Q849="","",SMALL(INDEX(Calc!$B$2:$AO$367,Q849,0),844-INDEX(Calc!$AQ$2:$AQ$367,Q849)))</f>
        <v/>
      </c>
    </row>
    <row r="850">
      <c r="B850" s="64">
        <f>IF(R850="","",845)</f>
        <v/>
      </c>
      <c r="C850" s="37">
        <f>IF(R850="","",IF(INDEX('Recurring Schedule'!$C$6:$C$45,R850)="","",INDEX('Recurring Schedule'!$C$6:$C$45,R850)))</f>
        <v/>
      </c>
      <c r="D850" s="36">
        <f>IF(R850="","",IF(INDEX('Recurring Schedule'!$D$6:$D$45,R850)="","",INDEX('Recurring Schedule'!$D$6:$D$45,R850)))</f>
        <v/>
      </c>
      <c r="E850" s="38">
        <f>IF(Q850="","",INDEX(Calc!$A$2:$A$367,Q850))</f>
        <v/>
      </c>
      <c r="F850" s="68">
        <f>IF(OR(C850="",E850=""),"",E850-Setup!$D$7)</f>
        <v/>
      </c>
      <c r="G850" s="74">
        <f>IF(R850="","",IF(INDEX('Recurring Schedule'!$H$6:$H$45,R850)="","",INDEX('Recurring Schedule'!$H$6:$H$45,R850)))</f>
        <v/>
      </c>
      <c r="H850" s="74">
        <f>IF(R850="","",IF(INDEX('Recurring Schedule'!$I$6:$I$45,R850)="","",INDEX('Recurring Schedule'!$I$6:$I$45,R850)))</f>
        <v/>
      </c>
      <c r="I850" s="36">
        <f>IF(OR(G850="",H850=""),"",TRIM(IF(HOUR(H850-G850)&gt;0,HOUR(H850-G850)&amp;" hr ","")&amp;IF(MINUTE(H850-G850)&gt;0,MINUTE(H850-G850)&amp;" min","")))</f>
        <v/>
      </c>
      <c r="J850" s="66" t="n"/>
      <c r="K850" s="70" t="n"/>
      <c r="L850" s="36">
        <f>IF(R850="","",IF(INDEX('Recurring Schedule'!$J$6:$J$45,R850)="","",INDEX('Recurring Schedule'!$J$6:$J$45,R850)))</f>
        <v/>
      </c>
      <c r="M850" s="36">
        <f>IF(R850="","",IF(INDEX('Recurring Schedule'!$K$6:$K$45,R850)="","",INDEX('Recurring Schedule'!$K$6:$K$45,R850)))</f>
        <v/>
      </c>
      <c r="N850" s="36">
        <f>IF(R850="","",IF(INDEX('Recurring Schedule'!$L$6:$L$45,R850)="","",INDEX('Recurring Schedule'!$L$6:$L$45,R850)))</f>
        <v/>
      </c>
      <c r="O850" s="36">
        <f>IF(C850="","",IF(AND(OR(L850="1-Urgent",L850="2-High"),M850="✓"),"DO FIRST",IF(M850="✓","SCHEDULE",IF(OR(L850="1-Urgent",L850="2-High"),"DELEGATE","DELETE"))))</f>
        <v/>
      </c>
      <c r="P850" s="65" t="n"/>
      <c r="Q850">
        <f>IF(845&gt;Calc!$AQ$368,"",MATCH(844,Calc!$AQ$2:$AQ$367,1))</f>
        <v/>
      </c>
      <c r="R850">
        <f>IF(Q850="","",SMALL(INDEX(Calc!$B$2:$AO$367,Q850,0),845-INDEX(Calc!$AQ$2:$AQ$367,Q850)))</f>
        <v/>
      </c>
    </row>
    <row r="851">
      <c r="B851" s="71">
        <f>IF(R851="","",846)</f>
        <v/>
      </c>
      <c r="C851" s="75">
        <f>IF(R851="","",IF(INDEX('Recurring Schedule'!$C$6:$C$45,R851)="","",INDEX('Recurring Schedule'!$C$6:$C$45,R851)))</f>
        <v/>
      </c>
      <c r="D851" s="73">
        <f>IF(R851="","",IF(INDEX('Recurring Schedule'!$D$6:$D$45,R851)="","",INDEX('Recurring Schedule'!$D$6:$D$45,R851)))</f>
        <v/>
      </c>
      <c r="E851" s="76">
        <f>IF(Q851="","",INDEX(Calc!$A$2:$A$367,Q851))</f>
        <v/>
      </c>
      <c r="F851" s="72">
        <f>IF(OR(C851="",E851=""),"",E851-Setup!$D$7)</f>
        <v/>
      </c>
      <c r="G851" s="77">
        <f>IF(R851="","",IF(INDEX('Recurring Schedule'!$H$6:$H$45,R851)="","",INDEX('Recurring Schedule'!$H$6:$H$45,R851)))</f>
        <v/>
      </c>
      <c r="H851" s="77">
        <f>IF(R851="","",IF(INDEX('Recurring Schedule'!$I$6:$I$45,R851)="","",INDEX('Recurring Schedule'!$I$6:$I$45,R851)))</f>
        <v/>
      </c>
      <c r="I851" s="73">
        <f>IF(OR(G851="",H851=""),"",TRIM(IF(HOUR(H851-G851)&gt;0,HOUR(H851-G851)&amp;" hr ","")&amp;IF(MINUTE(H851-G851)&gt;0,MINUTE(H851-G851)&amp;" min","")))</f>
        <v/>
      </c>
      <c r="J851" s="66" t="n"/>
      <c r="K851" s="70" t="n"/>
      <c r="L851" s="73">
        <f>IF(R851="","",IF(INDEX('Recurring Schedule'!$J$6:$J$45,R851)="","",INDEX('Recurring Schedule'!$J$6:$J$45,R851)))</f>
        <v/>
      </c>
      <c r="M851" s="73">
        <f>IF(R851="","",IF(INDEX('Recurring Schedule'!$K$6:$K$45,R851)="","",INDEX('Recurring Schedule'!$K$6:$K$45,R851)))</f>
        <v/>
      </c>
      <c r="N851" s="73">
        <f>IF(R851="","",IF(INDEX('Recurring Schedule'!$L$6:$L$45,R851)="","",INDEX('Recurring Schedule'!$L$6:$L$45,R851)))</f>
        <v/>
      </c>
      <c r="O851" s="73">
        <f>IF(C851="","",IF(AND(OR(L851="1-Urgent",L851="2-High"),M851="✓"),"DO FIRST",IF(M851="✓","SCHEDULE",IF(OR(L851="1-Urgent",L851="2-High"),"DELEGATE","DELETE"))))</f>
        <v/>
      </c>
      <c r="P851" s="65" t="n"/>
      <c r="Q851">
        <f>IF(846&gt;Calc!$AQ$368,"",MATCH(845,Calc!$AQ$2:$AQ$367,1))</f>
        <v/>
      </c>
      <c r="R851">
        <f>IF(Q851="","",SMALL(INDEX(Calc!$B$2:$AO$367,Q851,0),846-INDEX(Calc!$AQ$2:$AQ$367,Q851)))</f>
        <v/>
      </c>
    </row>
    <row r="852">
      <c r="B852" s="64">
        <f>IF(R852="","",847)</f>
        <v/>
      </c>
      <c r="C852" s="37">
        <f>IF(R852="","",IF(INDEX('Recurring Schedule'!$C$6:$C$45,R852)="","",INDEX('Recurring Schedule'!$C$6:$C$45,R852)))</f>
        <v/>
      </c>
      <c r="D852" s="36">
        <f>IF(R852="","",IF(INDEX('Recurring Schedule'!$D$6:$D$45,R852)="","",INDEX('Recurring Schedule'!$D$6:$D$45,R852)))</f>
        <v/>
      </c>
      <c r="E852" s="38">
        <f>IF(Q852="","",INDEX(Calc!$A$2:$A$367,Q852))</f>
        <v/>
      </c>
      <c r="F852" s="68">
        <f>IF(OR(C852="",E852=""),"",E852-Setup!$D$7)</f>
        <v/>
      </c>
      <c r="G852" s="74">
        <f>IF(R852="","",IF(INDEX('Recurring Schedule'!$H$6:$H$45,R852)="","",INDEX('Recurring Schedule'!$H$6:$H$45,R852)))</f>
        <v/>
      </c>
      <c r="H852" s="74">
        <f>IF(R852="","",IF(INDEX('Recurring Schedule'!$I$6:$I$45,R852)="","",INDEX('Recurring Schedule'!$I$6:$I$45,R852)))</f>
        <v/>
      </c>
      <c r="I852" s="36">
        <f>IF(OR(G852="",H852=""),"",TRIM(IF(HOUR(H852-G852)&gt;0,HOUR(H852-G852)&amp;" hr ","")&amp;IF(MINUTE(H852-G852)&gt;0,MINUTE(H852-G852)&amp;" min","")))</f>
        <v/>
      </c>
      <c r="J852" s="66" t="n"/>
      <c r="K852" s="70" t="n"/>
      <c r="L852" s="36">
        <f>IF(R852="","",IF(INDEX('Recurring Schedule'!$J$6:$J$45,R852)="","",INDEX('Recurring Schedule'!$J$6:$J$45,R852)))</f>
        <v/>
      </c>
      <c r="M852" s="36">
        <f>IF(R852="","",IF(INDEX('Recurring Schedule'!$K$6:$K$45,R852)="","",INDEX('Recurring Schedule'!$K$6:$K$45,R852)))</f>
        <v/>
      </c>
      <c r="N852" s="36">
        <f>IF(R852="","",IF(INDEX('Recurring Schedule'!$L$6:$L$45,R852)="","",INDEX('Recurring Schedule'!$L$6:$L$45,R852)))</f>
        <v/>
      </c>
      <c r="O852" s="36">
        <f>IF(C852="","",IF(AND(OR(L852="1-Urgent",L852="2-High"),M852="✓"),"DO FIRST",IF(M852="✓","SCHEDULE",IF(OR(L852="1-Urgent",L852="2-High"),"DELEGATE","DELETE"))))</f>
        <v/>
      </c>
      <c r="P852" s="65" t="n"/>
      <c r="Q852">
        <f>IF(847&gt;Calc!$AQ$368,"",MATCH(846,Calc!$AQ$2:$AQ$367,1))</f>
        <v/>
      </c>
      <c r="R852">
        <f>IF(Q852="","",SMALL(INDEX(Calc!$B$2:$AO$367,Q852,0),847-INDEX(Calc!$AQ$2:$AQ$367,Q852)))</f>
        <v/>
      </c>
    </row>
    <row r="853">
      <c r="B853" s="71">
        <f>IF(R853="","",848)</f>
        <v/>
      </c>
      <c r="C853" s="75">
        <f>IF(R853="","",IF(INDEX('Recurring Schedule'!$C$6:$C$45,R853)="","",INDEX('Recurring Schedule'!$C$6:$C$45,R853)))</f>
        <v/>
      </c>
      <c r="D853" s="73">
        <f>IF(R853="","",IF(INDEX('Recurring Schedule'!$D$6:$D$45,R853)="","",INDEX('Recurring Schedule'!$D$6:$D$45,R853)))</f>
        <v/>
      </c>
      <c r="E853" s="76">
        <f>IF(Q853="","",INDEX(Calc!$A$2:$A$367,Q853))</f>
        <v/>
      </c>
      <c r="F853" s="72">
        <f>IF(OR(C853="",E853=""),"",E853-Setup!$D$7)</f>
        <v/>
      </c>
      <c r="G853" s="77">
        <f>IF(R853="","",IF(INDEX('Recurring Schedule'!$H$6:$H$45,R853)="","",INDEX('Recurring Schedule'!$H$6:$H$45,R853)))</f>
        <v/>
      </c>
      <c r="H853" s="77">
        <f>IF(R853="","",IF(INDEX('Recurring Schedule'!$I$6:$I$45,R853)="","",INDEX('Recurring Schedule'!$I$6:$I$45,R853)))</f>
        <v/>
      </c>
      <c r="I853" s="73">
        <f>IF(OR(G853="",H853=""),"",TRIM(IF(HOUR(H853-G853)&gt;0,HOUR(H853-G853)&amp;" hr ","")&amp;IF(MINUTE(H853-G853)&gt;0,MINUTE(H853-G853)&amp;" min","")))</f>
        <v/>
      </c>
      <c r="J853" s="66" t="n"/>
      <c r="K853" s="70" t="n"/>
      <c r="L853" s="73">
        <f>IF(R853="","",IF(INDEX('Recurring Schedule'!$J$6:$J$45,R853)="","",INDEX('Recurring Schedule'!$J$6:$J$45,R853)))</f>
        <v/>
      </c>
      <c r="M853" s="73">
        <f>IF(R853="","",IF(INDEX('Recurring Schedule'!$K$6:$K$45,R853)="","",INDEX('Recurring Schedule'!$K$6:$K$45,R853)))</f>
        <v/>
      </c>
      <c r="N853" s="73">
        <f>IF(R853="","",IF(INDEX('Recurring Schedule'!$L$6:$L$45,R853)="","",INDEX('Recurring Schedule'!$L$6:$L$45,R853)))</f>
        <v/>
      </c>
      <c r="O853" s="73">
        <f>IF(C853="","",IF(AND(OR(L853="1-Urgent",L853="2-High"),M853="✓"),"DO FIRST",IF(M853="✓","SCHEDULE",IF(OR(L853="1-Urgent",L853="2-High"),"DELEGATE","DELETE"))))</f>
        <v/>
      </c>
      <c r="P853" s="65" t="n"/>
      <c r="Q853">
        <f>IF(848&gt;Calc!$AQ$368,"",MATCH(847,Calc!$AQ$2:$AQ$367,1))</f>
        <v/>
      </c>
      <c r="R853">
        <f>IF(Q853="","",SMALL(INDEX(Calc!$B$2:$AO$367,Q853,0),848-INDEX(Calc!$AQ$2:$AQ$367,Q853)))</f>
        <v/>
      </c>
    </row>
    <row r="854">
      <c r="B854" s="64">
        <f>IF(R854="","",849)</f>
        <v/>
      </c>
      <c r="C854" s="37">
        <f>IF(R854="","",IF(INDEX('Recurring Schedule'!$C$6:$C$45,R854)="","",INDEX('Recurring Schedule'!$C$6:$C$45,R854)))</f>
        <v/>
      </c>
      <c r="D854" s="36">
        <f>IF(R854="","",IF(INDEX('Recurring Schedule'!$D$6:$D$45,R854)="","",INDEX('Recurring Schedule'!$D$6:$D$45,R854)))</f>
        <v/>
      </c>
      <c r="E854" s="38">
        <f>IF(Q854="","",INDEX(Calc!$A$2:$A$367,Q854))</f>
        <v/>
      </c>
      <c r="F854" s="68">
        <f>IF(OR(C854="",E854=""),"",E854-Setup!$D$7)</f>
        <v/>
      </c>
      <c r="G854" s="74">
        <f>IF(R854="","",IF(INDEX('Recurring Schedule'!$H$6:$H$45,R854)="","",INDEX('Recurring Schedule'!$H$6:$H$45,R854)))</f>
        <v/>
      </c>
      <c r="H854" s="74">
        <f>IF(R854="","",IF(INDEX('Recurring Schedule'!$I$6:$I$45,R854)="","",INDEX('Recurring Schedule'!$I$6:$I$45,R854)))</f>
        <v/>
      </c>
      <c r="I854" s="36">
        <f>IF(OR(G854="",H854=""),"",TRIM(IF(HOUR(H854-G854)&gt;0,HOUR(H854-G854)&amp;" hr ","")&amp;IF(MINUTE(H854-G854)&gt;0,MINUTE(H854-G854)&amp;" min","")))</f>
        <v/>
      </c>
      <c r="J854" s="66" t="n"/>
      <c r="K854" s="70" t="n"/>
      <c r="L854" s="36">
        <f>IF(R854="","",IF(INDEX('Recurring Schedule'!$J$6:$J$45,R854)="","",INDEX('Recurring Schedule'!$J$6:$J$45,R854)))</f>
        <v/>
      </c>
      <c r="M854" s="36">
        <f>IF(R854="","",IF(INDEX('Recurring Schedule'!$K$6:$K$45,R854)="","",INDEX('Recurring Schedule'!$K$6:$K$45,R854)))</f>
        <v/>
      </c>
      <c r="N854" s="36">
        <f>IF(R854="","",IF(INDEX('Recurring Schedule'!$L$6:$L$45,R854)="","",INDEX('Recurring Schedule'!$L$6:$L$45,R854)))</f>
        <v/>
      </c>
      <c r="O854" s="36">
        <f>IF(C854="","",IF(AND(OR(L854="1-Urgent",L854="2-High"),M854="✓"),"DO FIRST",IF(M854="✓","SCHEDULE",IF(OR(L854="1-Urgent",L854="2-High"),"DELEGATE","DELETE"))))</f>
        <v/>
      </c>
      <c r="P854" s="65" t="n"/>
      <c r="Q854">
        <f>IF(849&gt;Calc!$AQ$368,"",MATCH(848,Calc!$AQ$2:$AQ$367,1))</f>
        <v/>
      </c>
      <c r="R854">
        <f>IF(Q854="","",SMALL(INDEX(Calc!$B$2:$AO$367,Q854,0),849-INDEX(Calc!$AQ$2:$AQ$367,Q854)))</f>
        <v/>
      </c>
    </row>
    <row r="855">
      <c r="B855" s="71">
        <f>IF(R855="","",850)</f>
        <v/>
      </c>
      <c r="C855" s="75">
        <f>IF(R855="","",IF(INDEX('Recurring Schedule'!$C$6:$C$45,R855)="","",INDEX('Recurring Schedule'!$C$6:$C$45,R855)))</f>
        <v/>
      </c>
      <c r="D855" s="73">
        <f>IF(R855="","",IF(INDEX('Recurring Schedule'!$D$6:$D$45,R855)="","",INDEX('Recurring Schedule'!$D$6:$D$45,R855)))</f>
        <v/>
      </c>
      <c r="E855" s="76">
        <f>IF(Q855="","",INDEX(Calc!$A$2:$A$367,Q855))</f>
        <v/>
      </c>
      <c r="F855" s="72">
        <f>IF(OR(C855="",E855=""),"",E855-Setup!$D$7)</f>
        <v/>
      </c>
      <c r="G855" s="77">
        <f>IF(R855="","",IF(INDEX('Recurring Schedule'!$H$6:$H$45,R855)="","",INDEX('Recurring Schedule'!$H$6:$H$45,R855)))</f>
        <v/>
      </c>
      <c r="H855" s="77">
        <f>IF(R855="","",IF(INDEX('Recurring Schedule'!$I$6:$I$45,R855)="","",INDEX('Recurring Schedule'!$I$6:$I$45,R855)))</f>
        <v/>
      </c>
      <c r="I855" s="73">
        <f>IF(OR(G855="",H855=""),"",TRIM(IF(HOUR(H855-G855)&gt;0,HOUR(H855-G855)&amp;" hr ","")&amp;IF(MINUTE(H855-G855)&gt;0,MINUTE(H855-G855)&amp;" min","")))</f>
        <v/>
      </c>
      <c r="J855" s="66" t="n"/>
      <c r="K855" s="70" t="n"/>
      <c r="L855" s="73">
        <f>IF(R855="","",IF(INDEX('Recurring Schedule'!$J$6:$J$45,R855)="","",INDEX('Recurring Schedule'!$J$6:$J$45,R855)))</f>
        <v/>
      </c>
      <c r="M855" s="73">
        <f>IF(R855="","",IF(INDEX('Recurring Schedule'!$K$6:$K$45,R855)="","",INDEX('Recurring Schedule'!$K$6:$K$45,R855)))</f>
        <v/>
      </c>
      <c r="N855" s="73">
        <f>IF(R855="","",IF(INDEX('Recurring Schedule'!$L$6:$L$45,R855)="","",INDEX('Recurring Schedule'!$L$6:$L$45,R855)))</f>
        <v/>
      </c>
      <c r="O855" s="73">
        <f>IF(C855="","",IF(AND(OR(L855="1-Urgent",L855="2-High"),M855="✓"),"DO FIRST",IF(M855="✓","SCHEDULE",IF(OR(L855="1-Urgent",L855="2-High"),"DELEGATE","DELETE"))))</f>
        <v/>
      </c>
      <c r="P855" s="65" t="n"/>
      <c r="Q855">
        <f>IF(850&gt;Calc!$AQ$368,"",MATCH(849,Calc!$AQ$2:$AQ$367,1))</f>
        <v/>
      </c>
      <c r="R855">
        <f>IF(Q855="","",SMALL(INDEX(Calc!$B$2:$AO$367,Q855,0),850-INDEX(Calc!$AQ$2:$AQ$367,Q855)))</f>
        <v/>
      </c>
    </row>
    <row r="856">
      <c r="B856" s="64">
        <f>IF(R856="","",851)</f>
        <v/>
      </c>
      <c r="C856" s="37">
        <f>IF(R856="","",IF(INDEX('Recurring Schedule'!$C$6:$C$45,R856)="","",INDEX('Recurring Schedule'!$C$6:$C$45,R856)))</f>
        <v/>
      </c>
      <c r="D856" s="36">
        <f>IF(R856="","",IF(INDEX('Recurring Schedule'!$D$6:$D$45,R856)="","",INDEX('Recurring Schedule'!$D$6:$D$45,R856)))</f>
        <v/>
      </c>
      <c r="E856" s="38">
        <f>IF(Q856="","",INDEX(Calc!$A$2:$A$367,Q856))</f>
        <v/>
      </c>
      <c r="F856" s="68">
        <f>IF(OR(C856="",E856=""),"",E856-Setup!$D$7)</f>
        <v/>
      </c>
      <c r="G856" s="74">
        <f>IF(R856="","",IF(INDEX('Recurring Schedule'!$H$6:$H$45,R856)="","",INDEX('Recurring Schedule'!$H$6:$H$45,R856)))</f>
        <v/>
      </c>
      <c r="H856" s="74">
        <f>IF(R856="","",IF(INDEX('Recurring Schedule'!$I$6:$I$45,R856)="","",INDEX('Recurring Schedule'!$I$6:$I$45,R856)))</f>
        <v/>
      </c>
      <c r="I856" s="36">
        <f>IF(OR(G856="",H856=""),"",TRIM(IF(HOUR(H856-G856)&gt;0,HOUR(H856-G856)&amp;" hr ","")&amp;IF(MINUTE(H856-G856)&gt;0,MINUTE(H856-G856)&amp;" min","")))</f>
        <v/>
      </c>
      <c r="J856" s="66" t="n"/>
      <c r="K856" s="70" t="n"/>
      <c r="L856" s="36">
        <f>IF(R856="","",IF(INDEX('Recurring Schedule'!$J$6:$J$45,R856)="","",INDEX('Recurring Schedule'!$J$6:$J$45,R856)))</f>
        <v/>
      </c>
      <c r="M856" s="36">
        <f>IF(R856="","",IF(INDEX('Recurring Schedule'!$K$6:$K$45,R856)="","",INDEX('Recurring Schedule'!$K$6:$K$45,R856)))</f>
        <v/>
      </c>
      <c r="N856" s="36">
        <f>IF(R856="","",IF(INDEX('Recurring Schedule'!$L$6:$L$45,R856)="","",INDEX('Recurring Schedule'!$L$6:$L$45,R856)))</f>
        <v/>
      </c>
      <c r="O856" s="36">
        <f>IF(C856="","",IF(AND(OR(L856="1-Urgent",L856="2-High"),M856="✓"),"DO FIRST",IF(M856="✓","SCHEDULE",IF(OR(L856="1-Urgent",L856="2-High"),"DELEGATE","DELETE"))))</f>
        <v/>
      </c>
      <c r="P856" s="65" t="n"/>
      <c r="Q856">
        <f>IF(851&gt;Calc!$AQ$368,"",MATCH(850,Calc!$AQ$2:$AQ$367,1))</f>
        <v/>
      </c>
      <c r="R856">
        <f>IF(Q856="","",SMALL(INDEX(Calc!$B$2:$AO$367,Q856,0),851-INDEX(Calc!$AQ$2:$AQ$367,Q856)))</f>
        <v/>
      </c>
    </row>
    <row r="857">
      <c r="B857" s="71">
        <f>IF(R857="","",852)</f>
        <v/>
      </c>
      <c r="C857" s="75">
        <f>IF(R857="","",IF(INDEX('Recurring Schedule'!$C$6:$C$45,R857)="","",INDEX('Recurring Schedule'!$C$6:$C$45,R857)))</f>
        <v/>
      </c>
      <c r="D857" s="73">
        <f>IF(R857="","",IF(INDEX('Recurring Schedule'!$D$6:$D$45,R857)="","",INDEX('Recurring Schedule'!$D$6:$D$45,R857)))</f>
        <v/>
      </c>
      <c r="E857" s="76">
        <f>IF(Q857="","",INDEX(Calc!$A$2:$A$367,Q857))</f>
        <v/>
      </c>
      <c r="F857" s="72">
        <f>IF(OR(C857="",E857=""),"",E857-Setup!$D$7)</f>
        <v/>
      </c>
      <c r="G857" s="77">
        <f>IF(R857="","",IF(INDEX('Recurring Schedule'!$H$6:$H$45,R857)="","",INDEX('Recurring Schedule'!$H$6:$H$45,R857)))</f>
        <v/>
      </c>
      <c r="H857" s="77">
        <f>IF(R857="","",IF(INDEX('Recurring Schedule'!$I$6:$I$45,R857)="","",INDEX('Recurring Schedule'!$I$6:$I$45,R857)))</f>
        <v/>
      </c>
      <c r="I857" s="73">
        <f>IF(OR(G857="",H857=""),"",TRIM(IF(HOUR(H857-G857)&gt;0,HOUR(H857-G857)&amp;" hr ","")&amp;IF(MINUTE(H857-G857)&gt;0,MINUTE(H857-G857)&amp;" min","")))</f>
        <v/>
      </c>
      <c r="J857" s="66" t="n"/>
      <c r="K857" s="70" t="n"/>
      <c r="L857" s="73">
        <f>IF(R857="","",IF(INDEX('Recurring Schedule'!$J$6:$J$45,R857)="","",INDEX('Recurring Schedule'!$J$6:$J$45,R857)))</f>
        <v/>
      </c>
      <c r="M857" s="73">
        <f>IF(R857="","",IF(INDEX('Recurring Schedule'!$K$6:$K$45,R857)="","",INDEX('Recurring Schedule'!$K$6:$K$45,R857)))</f>
        <v/>
      </c>
      <c r="N857" s="73">
        <f>IF(R857="","",IF(INDEX('Recurring Schedule'!$L$6:$L$45,R857)="","",INDEX('Recurring Schedule'!$L$6:$L$45,R857)))</f>
        <v/>
      </c>
      <c r="O857" s="73">
        <f>IF(C857="","",IF(AND(OR(L857="1-Urgent",L857="2-High"),M857="✓"),"DO FIRST",IF(M857="✓","SCHEDULE",IF(OR(L857="1-Urgent",L857="2-High"),"DELEGATE","DELETE"))))</f>
        <v/>
      </c>
      <c r="P857" s="65" t="n"/>
      <c r="Q857">
        <f>IF(852&gt;Calc!$AQ$368,"",MATCH(851,Calc!$AQ$2:$AQ$367,1))</f>
        <v/>
      </c>
      <c r="R857">
        <f>IF(Q857="","",SMALL(INDEX(Calc!$B$2:$AO$367,Q857,0),852-INDEX(Calc!$AQ$2:$AQ$367,Q857)))</f>
        <v/>
      </c>
    </row>
    <row r="858">
      <c r="B858" s="64">
        <f>IF(R858="","",853)</f>
        <v/>
      </c>
      <c r="C858" s="37">
        <f>IF(R858="","",IF(INDEX('Recurring Schedule'!$C$6:$C$45,R858)="","",INDEX('Recurring Schedule'!$C$6:$C$45,R858)))</f>
        <v/>
      </c>
      <c r="D858" s="36">
        <f>IF(R858="","",IF(INDEX('Recurring Schedule'!$D$6:$D$45,R858)="","",INDEX('Recurring Schedule'!$D$6:$D$45,R858)))</f>
        <v/>
      </c>
      <c r="E858" s="38">
        <f>IF(Q858="","",INDEX(Calc!$A$2:$A$367,Q858))</f>
        <v/>
      </c>
      <c r="F858" s="68">
        <f>IF(OR(C858="",E858=""),"",E858-Setup!$D$7)</f>
        <v/>
      </c>
      <c r="G858" s="74">
        <f>IF(R858="","",IF(INDEX('Recurring Schedule'!$H$6:$H$45,R858)="","",INDEX('Recurring Schedule'!$H$6:$H$45,R858)))</f>
        <v/>
      </c>
      <c r="H858" s="74">
        <f>IF(R858="","",IF(INDEX('Recurring Schedule'!$I$6:$I$45,R858)="","",INDEX('Recurring Schedule'!$I$6:$I$45,R858)))</f>
        <v/>
      </c>
      <c r="I858" s="36">
        <f>IF(OR(G858="",H858=""),"",TRIM(IF(HOUR(H858-G858)&gt;0,HOUR(H858-G858)&amp;" hr ","")&amp;IF(MINUTE(H858-G858)&gt;0,MINUTE(H858-G858)&amp;" min","")))</f>
        <v/>
      </c>
      <c r="J858" s="66" t="n"/>
      <c r="K858" s="70" t="n"/>
      <c r="L858" s="36">
        <f>IF(R858="","",IF(INDEX('Recurring Schedule'!$J$6:$J$45,R858)="","",INDEX('Recurring Schedule'!$J$6:$J$45,R858)))</f>
        <v/>
      </c>
      <c r="M858" s="36">
        <f>IF(R858="","",IF(INDEX('Recurring Schedule'!$K$6:$K$45,R858)="","",INDEX('Recurring Schedule'!$K$6:$K$45,R858)))</f>
        <v/>
      </c>
      <c r="N858" s="36">
        <f>IF(R858="","",IF(INDEX('Recurring Schedule'!$L$6:$L$45,R858)="","",INDEX('Recurring Schedule'!$L$6:$L$45,R858)))</f>
        <v/>
      </c>
      <c r="O858" s="36">
        <f>IF(C858="","",IF(AND(OR(L858="1-Urgent",L858="2-High"),M858="✓"),"DO FIRST",IF(M858="✓","SCHEDULE",IF(OR(L858="1-Urgent",L858="2-High"),"DELEGATE","DELETE"))))</f>
        <v/>
      </c>
      <c r="P858" s="65" t="n"/>
      <c r="Q858">
        <f>IF(853&gt;Calc!$AQ$368,"",MATCH(852,Calc!$AQ$2:$AQ$367,1))</f>
        <v/>
      </c>
      <c r="R858">
        <f>IF(Q858="","",SMALL(INDEX(Calc!$B$2:$AO$367,Q858,0),853-INDEX(Calc!$AQ$2:$AQ$367,Q858)))</f>
        <v/>
      </c>
    </row>
    <row r="859">
      <c r="B859" s="71">
        <f>IF(R859="","",854)</f>
        <v/>
      </c>
      <c r="C859" s="75">
        <f>IF(R859="","",IF(INDEX('Recurring Schedule'!$C$6:$C$45,R859)="","",INDEX('Recurring Schedule'!$C$6:$C$45,R859)))</f>
        <v/>
      </c>
      <c r="D859" s="73">
        <f>IF(R859="","",IF(INDEX('Recurring Schedule'!$D$6:$D$45,R859)="","",INDEX('Recurring Schedule'!$D$6:$D$45,R859)))</f>
        <v/>
      </c>
      <c r="E859" s="76">
        <f>IF(Q859="","",INDEX(Calc!$A$2:$A$367,Q859))</f>
        <v/>
      </c>
      <c r="F859" s="72">
        <f>IF(OR(C859="",E859=""),"",E859-Setup!$D$7)</f>
        <v/>
      </c>
      <c r="G859" s="77">
        <f>IF(R859="","",IF(INDEX('Recurring Schedule'!$H$6:$H$45,R859)="","",INDEX('Recurring Schedule'!$H$6:$H$45,R859)))</f>
        <v/>
      </c>
      <c r="H859" s="77">
        <f>IF(R859="","",IF(INDEX('Recurring Schedule'!$I$6:$I$45,R859)="","",INDEX('Recurring Schedule'!$I$6:$I$45,R859)))</f>
        <v/>
      </c>
      <c r="I859" s="73">
        <f>IF(OR(G859="",H859=""),"",TRIM(IF(HOUR(H859-G859)&gt;0,HOUR(H859-G859)&amp;" hr ","")&amp;IF(MINUTE(H859-G859)&gt;0,MINUTE(H859-G859)&amp;" min","")))</f>
        <v/>
      </c>
      <c r="J859" s="66" t="n"/>
      <c r="K859" s="70" t="n"/>
      <c r="L859" s="73">
        <f>IF(R859="","",IF(INDEX('Recurring Schedule'!$J$6:$J$45,R859)="","",INDEX('Recurring Schedule'!$J$6:$J$45,R859)))</f>
        <v/>
      </c>
      <c r="M859" s="73">
        <f>IF(R859="","",IF(INDEX('Recurring Schedule'!$K$6:$K$45,R859)="","",INDEX('Recurring Schedule'!$K$6:$K$45,R859)))</f>
        <v/>
      </c>
      <c r="N859" s="73">
        <f>IF(R859="","",IF(INDEX('Recurring Schedule'!$L$6:$L$45,R859)="","",INDEX('Recurring Schedule'!$L$6:$L$45,R859)))</f>
        <v/>
      </c>
      <c r="O859" s="73">
        <f>IF(C859="","",IF(AND(OR(L859="1-Urgent",L859="2-High"),M859="✓"),"DO FIRST",IF(M859="✓","SCHEDULE",IF(OR(L859="1-Urgent",L859="2-High"),"DELEGATE","DELETE"))))</f>
        <v/>
      </c>
      <c r="P859" s="65" t="n"/>
      <c r="Q859">
        <f>IF(854&gt;Calc!$AQ$368,"",MATCH(853,Calc!$AQ$2:$AQ$367,1))</f>
        <v/>
      </c>
      <c r="R859">
        <f>IF(Q859="","",SMALL(INDEX(Calc!$B$2:$AO$367,Q859,0),854-INDEX(Calc!$AQ$2:$AQ$367,Q859)))</f>
        <v/>
      </c>
    </row>
    <row r="860">
      <c r="B860" s="64">
        <f>IF(R860="","",855)</f>
        <v/>
      </c>
      <c r="C860" s="37">
        <f>IF(R860="","",IF(INDEX('Recurring Schedule'!$C$6:$C$45,R860)="","",INDEX('Recurring Schedule'!$C$6:$C$45,R860)))</f>
        <v/>
      </c>
      <c r="D860" s="36">
        <f>IF(R860="","",IF(INDEX('Recurring Schedule'!$D$6:$D$45,R860)="","",INDEX('Recurring Schedule'!$D$6:$D$45,R860)))</f>
        <v/>
      </c>
      <c r="E860" s="38">
        <f>IF(Q860="","",INDEX(Calc!$A$2:$A$367,Q860))</f>
        <v/>
      </c>
      <c r="F860" s="68">
        <f>IF(OR(C860="",E860=""),"",E860-Setup!$D$7)</f>
        <v/>
      </c>
      <c r="G860" s="74">
        <f>IF(R860="","",IF(INDEX('Recurring Schedule'!$H$6:$H$45,R860)="","",INDEX('Recurring Schedule'!$H$6:$H$45,R860)))</f>
        <v/>
      </c>
      <c r="H860" s="74">
        <f>IF(R860="","",IF(INDEX('Recurring Schedule'!$I$6:$I$45,R860)="","",INDEX('Recurring Schedule'!$I$6:$I$45,R860)))</f>
        <v/>
      </c>
      <c r="I860" s="36">
        <f>IF(OR(G860="",H860=""),"",TRIM(IF(HOUR(H860-G860)&gt;0,HOUR(H860-G860)&amp;" hr ","")&amp;IF(MINUTE(H860-G860)&gt;0,MINUTE(H860-G860)&amp;" min","")))</f>
        <v/>
      </c>
      <c r="J860" s="66" t="n"/>
      <c r="K860" s="70" t="n"/>
      <c r="L860" s="36">
        <f>IF(R860="","",IF(INDEX('Recurring Schedule'!$J$6:$J$45,R860)="","",INDEX('Recurring Schedule'!$J$6:$J$45,R860)))</f>
        <v/>
      </c>
      <c r="M860" s="36">
        <f>IF(R860="","",IF(INDEX('Recurring Schedule'!$K$6:$K$45,R860)="","",INDEX('Recurring Schedule'!$K$6:$K$45,R860)))</f>
        <v/>
      </c>
      <c r="N860" s="36">
        <f>IF(R860="","",IF(INDEX('Recurring Schedule'!$L$6:$L$45,R860)="","",INDEX('Recurring Schedule'!$L$6:$L$45,R860)))</f>
        <v/>
      </c>
      <c r="O860" s="36">
        <f>IF(C860="","",IF(AND(OR(L860="1-Urgent",L860="2-High"),M860="✓"),"DO FIRST",IF(M860="✓","SCHEDULE",IF(OR(L860="1-Urgent",L860="2-High"),"DELEGATE","DELETE"))))</f>
        <v/>
      </c>
      <c r="P860" s="65" t="n"/>
      <c r="Q860">
        <f>IF(855&gt;Calc!$AQ$368,"",MATCH(854,Calc!$AQ$2:$AQ$367,1))</f>
        <v/>
      </c>
      <c r="R860">
        <f>IF(Q860="","",SMALL(INDEX(Calc!$B$2:$AO$367,Q860,0),855-INDEX(Calc!$AQ$2:$AQ$367,Q860)))</f>
        <v/>
      </c>
    </row>
    <row r="861">
      <c r="B861" s="71">
        <f>IF(R861="","",856)</f>
        <v/>
      </c>
      <c r="C861" s="75">
        <f>IF(R861="","",IF(INDEX('Recurring Schedule'!$C$6:$C$45,R861)="","",INDEX('Recurring Schedule'!$C$6:$C$45,R861)))</f>
        <v/>
      </c>
      <c r="D861" s="73">
        <f>IF(R861="","",IF(INDEX('Recurring Schedule'!$D$6:$D$45,R861)="","",INDEX('Recurring Schedule'!$D$6:$D$45,R861)))</f>
        <v/>
      </c>
      <c r="E861" s="76">
        <f>IF(Q861="","",INDEX(Calc!$A$2:$A$367,Q861))</f>
        <v/>
      </c>
      <c r="F861" s="72">
        <f>IF(OR(C861="",E861=""),"",E861-Setup!$D$7)</f>
        <v/>
      </c>
      <c r="G861" s="77">
        <f>IF(R861="","",IF(INDEX('Recurring Schedule'!$H$6:$H$45,R861)="","",INDEX('Recurring Schedule'!$H$6:$H$45,R861)))</f>
        <v/>
      </c>
      <c r="H861" s="77">
        <f>IF(R861="","",IF(INDEX('Recurring Schedule'!$I$6:$I$45,R861)="","",INDEX('Recurring Schedule'!$I$6:$I$45,R861)))</f>
        <v/>
      </c>
      <c r="I861" s="73">
        <f>IF(OR(G861="",H861=""),"",TRIM(IF(HOUR(H861-G861)&gt;0,HOUR(H861-G861)&amp;" hr ","")&amp;IF(MINUTE(H861-G861)&gt;0,MINUTE(H861-G861)&amp;" min","")))</f>
        <v/>
      </c>
      <c r="J861" s="66" t="n"/>
      <c r="K861" s="70" t="n"/>
      <c r="L861" s="73">
        <f>IF(R861="","",IF(INDEX('Recurring Schedule'!$J$6:$J$45,R861)="","",INDEX('Recurring Schedule'!$J$6:$J$45,R861)))</f>
        <v/>
      </c>
      <c r="M861" s="73">
        <f>IF(R861="","",IF(INDEX('Recurring Schedule'!$K$6:$K$45,R861)="","",INDEX('Recurring Schedule'!$K$6:$K$45,R861)))</f>
        <v/>
      </c>
      <c r="N861" s="73">
        <f>IF(R861="","",IF(INDEX('Recurring Schedule'!$L$6:$L$45,R861)="","",INDEX('Recurring Schedule'!$L$6:$L$45,R861)))</f>
        <v/>
      </c>
      <c r="O861" s="73">
        <f>IF(C861="","",IF(AND(OR(L861="1-Urgent",L861="2-High"),M861="✓"),"DO FIRST",IF(M861="✓","SCHEDULE",IF(OR(L861="1-Urgent",L861="2-High"),"DELEGATE","DELETE"))))</f>
        <v/>
      </c>
      <c r="P861" s="65" t="n"/>
      <c r="Q861">
        <f>IF(856&gt;Calc!$AQ$368,"",MATCH(855,Calc!$AQ$2:$AQ$367,1))</f>
        <v/>
      </c>
      <c r="R861">
        <f>IF(Q861="","",SMALL(INDEX(Calc!$B$2:$AO$367,Q861,0),856-INDEX(Calc!$AQ$2:$AQ$367,Q861)))</f>
        <v/>
      </c>
    </row>
    <row r="862">
      <c r="B862" s="64">
        <f>IF(R862="","",857)</f>
        <v/>
      </c>
      <c r="C862" s="37">
        <f>IF(R862="","",IF(INDEX('Recurring Schedule'!$C$6:$C$45,R862)="","",INDEX('Recurring Schedule'!$C$6:$C$45,R862)))</f>
        <v/>
      </c>
      <c r="D862" s="36">
        <f>IF(R862="","",IF(INDEX('Recurring Schedule'!$D$6:$D$45,R862)="","",INDEX('Recurring Schedule'!$D$6:$D$45,R862)))</f>
        <v/>
      </c>
      <c r="E862" s="38">
        <f>IF(Q862="","",INDEX(Calc!$A$2:$A$367,Q862))</f>
        <v/>
      </c>
      <c r="F862" s="68">
        <f>IF(OR(C862="",E862=""),"",E862-Setup!$D$7)</f>
        <v/>
      </c>
      <c r="G862" s="74">
        <f>IF(R862="","",IF(INDEX('Recurring Schedule'!$H$6:$H$45,R862)="","",INDEX('Recurring Schedule'!$H$6:$H$45,R862)))</f>
        <v/>
      </c>
      <c r="H862" s="74">
        <f>IF(R862="","",IF(INDEX('Recurring Schedule'!$I$6:$I$45,R862)="","",INDEX('Recurring Schedule'!$I$6:$I$45,R862)))</f>
        <v/>
      </c>
      <c r="I862" s="36">
        <f>IF(OR(G862="",H862=""),"",TRIM(IF(HOUR(H862-G862)&gt;0,HOUR(H862-G862)&amp;" hr ","")&amp;IF(MINUTE(H862-G862)&gt;0,MINUTE(H862-G862)&amp;" min","")))</f>
        <v/>
      </c>
      <c r="J862" s="66" t="n"/>
      <c r="K862" s="70" t="n"/>
      <c r="L862" s="36">
        <f>IF(R862="","",IF(INDEX('Recurring Schedule'!$J$6:$J$45,R862)="","",INDEX('Recurring Schedule'!$J$6:$J$45,R862)))</f>
        <v/>
      </c>
      <c r="M862" s="36">
        <f>IF(R862="","",IF(INDEX('Recurring Schedule'!$K$6:$K$45,R862)="","",INDEX('Recurring Schedule'!$K$6:$K$45,R862)))</f>
        <v/>
      </c>
      <c r="N862" s="36">
        <f>IF(R862="","",IF(INDEX('Recurring Schedule'!$L$6:$L$45,R862)="","",INDEX('Recurring Schedule'!$L$6:$L$45,R862)))</f>
        <v/>
      </c>
      <c r="O862" s="36">
        <f>IF(C862="","",IF(AND(OR(L862="1-Urgent",L862="2-High"),M862="✓"),"DO FIRST",IF(M862="✓","SCHEDULE",IF(OR(L862="1-Urgent",L862="2-High"),"DELEGATE","DELETE"))))</f>
        <v/>
      </c>
      <c r="P862" s="65" t="n"/>
      <c r="Q862">
        <f>IF(857&gt;Calc!$AQ$368,"",MATCH(856,Calc!$AQ$2:$AQ$367,1))</f>
        <v/>
      </c>
      <c r="R862">
        <f>IF(Q862="","",SMALL(INDEX(Calc!$B$2:$AO$367,Q862,0),857-INDEX(Calc!$AQ$2:$AQ$367,Q862)))</f>
        <v/>
      </c>
    </row>
    <row r="863">
      <c r="B863" s="71">
        <f>IF(R863="","",858)</f>
        <v/>
      </c>
      <c r="C863" s="75">
        <f>IF(R863="","",IF(INDEX('Recurring Schedule'!$C$6:$C$45,R863)="","",INDEX('Recurring Schedule'!$C$6:$C$45,R863)))</f>
        <v/>
      </c>
      <c r="D863" s="73">
        <f>IF(R863="","",IF(INDEX('Recurring Schedule'!$D$6:$D$45,R863)="","",INDEX('Recurring Schedule'!$D$6:$D$45,R863)))</f>
        <v/>
      </c>
      <c r="E863" s="76">
        <f>IF(Q863="","",INDEX(Calc!$A$2:$A$367,Q863))</f>
        <v/>
      </c>
      <c r="F863" s="72">
        <f>IF(OR(C863="",E863=""),"",E863-Setup!$D$7)</f>
        <v/>
      </c>
      <c r="G863" s="77">
        <f>IF(R863="","",IF(INDEX('Recurring Schedule'!$H$6:$H$45,R863)="","",INDEX('Recurring Schedule'!$H$6:$H$45,R863)))</f>
        <v/>
      </c>
      <c r="H863" s="77">
        <f>IF(R863="","",IF(INDEX('Recurring Schedule'!$I$6:$I$45,R863)="","",INDEX('Recurring Schedule'!$I$6:$I$45,R863)))</f>
        <v/>
      </c>
      <c r="I863" s="73">
        <f>IF(OR(G863="",H863=""),"",TRIM(IF(HOUR(H863-G863)&gt;0,HOUR(H863-G863)&amp;" hr ","")&amp;IF(MINUTE(H863-G863)&gt;0,MINUTE(H863-G863)&amp;" min","")))</f>
        <v/>
      </c>
      <c r="J863" s="66" t="n"/>
      <c r="K863" s="70" t="n"/>
      <c r="L863" s="73">
        <f>IF(R863="","",IF(INDEX('Recurring Schedule'!$J$6:$J$45,R863)="","",INDEX('Recurring Schedule'!$J$6:$J$45,R863)))</f>
        <v/>
      </c>
      <c r="M863" s="73">
        <f>IF(R863="","",IF(INDEX('Recurring Schedule'!$K$6:$K$45,R863)="","",INDEX('Recurring Schedule'!$K$6:$K$45,R863)))</f>
        <v/>
      </c>
      <c r="N863" s="73">
        <f>IF(R863="","",IF(INDEX('Recurring Schedule'!$L$6:$L$45,R863)="","",INDEX('Recurring Schedule'!$L$6:$L$45,R863)))</f>
        <v/>
      </c>
      <c r="O863" s="73">
        <f>IF(C863="","",IF(AND(OR(L863="1-Urgent",L863="2-High"),M863="✓"),"DO FIRST",IF(M863="✓","SCHEDULE",IF(OR(L863="1-Urgent",L863="2-High"),"DELEGATE","DELETE"))))</f>
        <v/>
      </c>
      <c r="P863" s="65" t="n"/>
      <c r="Q863">
        <f>IF(858&gt;Calc!$AQ$368,"",MATCH(857,Calc!$AQ$2:$AQ$367,1))</f>
        <v/>
      </c>
      <c r="R863">
        <f>IF(Q863="","",SMALL(INDEX(Calc!$B$2:$AO$367,Q863,0),858-INDEX(Calc!$AQ$2:$AQ$367,Q863)))</f>
        <v/>
      </c>
    </row>
    <row r="864">
      <c r="B864" s="64">
        <f>IF(R864="","",859)</f>
        <v/>
      </c>
      <c r="C864" s="37">
        <f>IF(R864="","",IF(INDEX('Recurring Schedule'!$C$6:$C$45,R864)="","",INDEX('Recurring Schedule'!$C$6:$C$45,R864)))</f>
        <v/>
      </c>
      <c r="D864" s="36">
        <f>IF(R864="","",IF(INDEX('Recurring Schedule'!$D$6:$D$45,R864)="","",INDEX('Recurring Schedule'!$D$6:$D$45,R864)))</f>
        <v/>
      </c>
      <c r="E864" s="38">
        <f>IF(Q864="","",INDEX(Calc!$A$2:$A$367,Q864))</f>
        <v/>
      </c>
      <c r="F864" s="68">
        <f>IF(OR(C864="",E864=""),"",E864-Setup!$D$7)</f>
        <v/>
      </c>
      <c r="G864" s="74">
        <f>IF(R864="","",IF(INDEX('Recurring Schedule'!$H$6:$H$45,R864)="","",INDEX('Recurring Schedule'!$H$6:$H$45,R864)))</f>
        <v/>
      </c>
      <c r="H864" s="74">
        <f>IF(R864="","",IF(INDEX('Recurring Schedule'!$I$6:$I$45,R864)="","",INDEX('Recurring Schedule'!$I$6:$I$45,R864)))</f>
        <v/>
      </c>
      <c r="I864" s="36">
        <f>IF(OR(G864="",H864=""),"",TRIM(IF(HOUR(H864-G864)&gt;0,HOUR(H864-G864)&amp;" hr ","")&amp;IF(MINUTE(H864-G864)&gt;0,MINUTE(H864-G864)&amp;" min","")))</f>
        <v/>
      </c>
      <c r="J864" s="66" t="n"/>
      <c r="K864" s="70" t="n"/>
      <c r="L864" s="36">
        <f>IF(R864="","",IF(INDEX('Recurring Schedule'!$J$6:$J$45,R864)="","",INDEX('Recurring Schedule'!$J$6:$J$45,R864)))</f>
        <v/>
      </c>
      <c r="M864" s="36">
        <f>IF(R864="","",IF(INDEX('Recurring Schedule'!$K$6:$K$45,R864)="","",INDEX('Recurring Schedule'!$K$6:$K$45,R864)))</f>
        <v/>
      </c>
      <c r="N864" s="36">
        <f>IF(R864="","",IF(INDEX('Recurring Schedule'!$L$6:$L$45,R864)="","",INDEX('Recurring Schedule'!$L$6:$L$45,R864)))</f>
        <v/>
      </c>
      <c r="O864" s="36">
        <f>IF(C864="","",IF(AND(OR(L864="1-Urgent",L864="2-High"),M864="✓"),"DO FIRST",IF(M864="✓","SCHEDULE",IF(OR(L864="1-Urgent",L864="2-High"),"DELEGATE","DELETE"))))</f>
        <v/>
      </c>
      <c r="P864" s="65" t="n"/>
      <c r="Q864">
        <f>IF(859&gt;Calc!$AQ$368,"",MATCH(858,Calc!$AQ$2:$AQ$367,1))</f>
        <v/>
      </c>
      <c r="R864">
        <f>IF(Q864="","",SMALL(INDEX(Calc!$B$2:$AO$367,Q864,0),859-INDEX(Calc!$AQ$2:$AQ$367,Q864)))</f>
        <v/>
      </c>
    </row>
    <row r="865">
      <c r="B865" s="71">
        <f>IF(R865="","",860)</f>
        <v/>
      </c>
      <c r="C865" s="75">
        <f>IF(R865="","",IF(INDEX('Recurring Schedule'!$C$6:$C$45,R865)="","",INDEX('Recurring Schedule'!$C$6:$C$45,R865)))</f>
        <v/>
      </c>
      <c r="D865" s="73">
        <f>IF(R865="","",IF(INDEX('Recurring Schedule'!$D$6:$D$45,R865)="","",INDEX('Recurring Schedule'!$D$6:$D$45,R865)))</f>
        <v/>
      </c>
      <c r="E865" s="76">
        <f>IF(Q865="","",INDEX(Calc!$A$2:$A$367,Q865))</f>
        <v/>
      </c>
      <c r="F865" s="72">
        <f>IF(OR(C865="",E865=""),"",E865-Setup!$D$7)</f>
        <v/>
      </c>
      <c r="G865" s="77">
        <f>IF(R865="","",IF(INDEX('Recurring Schedule'!$H$6:$H$45,R865)="","",INDEX('Recurring Schedule'!$H$6:$H$45,R865)))</f>
        <v/>
      </c>
      <c r="H865" s="77">
        <f>IF(R865="","",IF(INDEX('Recurring Schedule'!$I$6:$I$45,R865)="","",INDEX('Recurring Schedule'!$I$6:$I$45,R865)))</f>
        <v/>
      </c>
      <c r="I865" s="73">
        <f>IF(OR(G865="",H865=""),"",TRIM(IF(HOUR(H865-G865)&gt;0,HOUR(H865-G865)&amp;" hr ","")&amp;IF(MINUTE(H865-G865)&gt;0,MINUTE(H865-G865)&amp;" min","")))</f>
        <v/>
      </c>
      <c r="J865" s="66" t="n"/>
      <c r="K865" s="70" t="n"/>
      <c r="L865" s="73">
        <f>IF(R865="","",IF(INDEX('Recurring Schedule'!$J$6:$J$45,R865)="","",INDEX('Recurring Schedule'!$J$6:$J$45,R865)))</f>
        <v/>
      </c>
      <c r="M865" s="73">
        <f>IF(R865="","",IF(INDEX('Recurring Schedule'!$K$6:$K$45,R865)="","",INDEX('Recurring Schedule'!$K$6:$K$45,R865)))</f>
        <v/>
      </c>
      <c r="N865" s="73">
        <f>IF(R865="","",IF(INDEX('Recurring Schedule'!$L$6:$L$45,R865)="","",INDEX('Recurring Schedule'!$L$6:$L$45,R865)))</f>
        <v/>
      </c>
      <c r="O865" s="73">
        <f>IF(C865="","",IF(AND(OR(L865="1-Urgent",L865="2-High"),M865="✓"),"DO FIRST",IF(M865="✓","SCHEDULE",IF(OR(L865="1-Urgent",L865="2-High"),"DELEGATE","DELETE"))))</f>
        <v/>
      </c>
      <c r="P865" s="65" t="n"/>
      <c r="Q865">
        <f>IF(860&gt;Calc!$AQ$368,"",MATCH(859,Calc!$AQ$2:$AQ$367,1))</f>
        <v/>
      </c>
      <c r="R865">
        <f>IF(Q865="","",SMALL(INDEX(Calc!$B$2:$AO$367,Q865,0),860-INDEX(Calc!$AQ$2:$AQ$367,Q865)))</f>
        <v/>
      </c>
    </row>
    <row r="866">
      <c r="B866" s="64">
        <f>IF(R866="","",861)</f>
        <v/>
      </c>
      <c r="C866" s="37">
        <f>IF(R866="","",IF(INDEX('Recurring Schedule'!$C$6:$C$45,R866)="","",INDEX('Recurring Schedule'!$C$6:$C$45,R866)))</f>
        <v/>
      </c>
      <c r="D866" s="36">
        <f>IF(R866="","",IF(INDEX('Recurring Schedule'!$D$6:$D$45,R866)="","",INDEX('Recurring Schedule'!$D$6:$D$45,R866)))</f>
        <v/>
      </c>
      <c r="E866" s="38">
        <f>IF(Q866="","",INDEX(Calc!$A$2:$A$367,Q866))</f>
        <v/>
      </c>
      <c r="F866" s="68">
        <f>IF(OR(C866="",E866=""),"",E866-Setup!$D$7)</f>
        <v/>
      </c>
      <c r="G866" s="74">
        <f>IF(R866="","",IF(INDEX('Recurring Schedule'!$H$6:$H$45,R866)="","",INDEX('Recurring Schedule'!$H$6:$H$45,R866)))</f>
        <v/>
      </c>
      <c r="H866" s="74">
        <f>IF(R866="","",IF(INDEX('Recurring Schedule'!$I$6:$I$45,R866)="","",INDEX('Recurring Schedule'!$I$6:$I$45,R866)))</f>
        <v/>
      </c>
      <c r="I866" s="36">
        <f>IF(OR(G866="",H866=""),"",TRIM(IF(HOUR(H866-G866)&gt;0,HOUR(H866-G866)&amp;" hr ","")&amp;IF(MINUTE(H866-G866)&gt;0,MINUTE(H866-G866)&amp;" min","")))</f>
        <v/>
      </c>
      <c r="J866" s="66" t="n"/>
      <c r="K866" s="70" t="n"/>
      <c r="L866" s="36">
        <f>IF(R866="","",IF(INDEX('Recurring Schedule'!$J$6:$J$45,R866)="","",INDEX('Recurring Schedule'!$J$6:$J$45,R866)))</f>
        <v/>
      </c>
      <c r="M866" s="36">
        <f>IF(R866="","",IF(INDEX('Recurring Schedule'!$K$6:$K$45,R866)="","",INDEX('Recurring Schedule'!$K$6:$K$45,R866)))</f>
        <v/>
      </c>
      <c r="N866" s="36">
        <f>IF(R866="","",IF(INDEX('Recurring Schedule'!$L$6:$L$45,R866)="","",INDEX('Recurring Schedule'!$L$6:$L$45,R866)))</f>
        <v/>
      </c>
      <c r="O866" s="36">
        <f>IF(C866="","",IF(AND(OR(L866="1-Urgent",L866="2-High"),M866="✓"),"DO FIRST",IF(M866="✓","SCHEDULE",IF(OR(L866="1-Urgent",L866="2-High"),"DELEGATE","DELETE"))))</f>
        <v/>
      </c>
      <c r="P866" s="65" t="n"/>
      <c r="Q866">
        <f>IF(861&gt;Calc!$AQ$368,"",MATCH(860,Calc!$AQ$2:$AQ$367,1))</f>
        <v/>
      </c>
      <c r="R866">
        <f>IF(Q866="","",SMALL(INDEX(Calc!$B$2:$AO$367,Q866,0),861-INDEX(Calc!$AQ$2:$AQ$367,Q866)))</f>
        <v/>
      </c>
    </row>
    <row r="867">
      <c r="B867" s="71">
        <f>IF(R867="","",862)</f>
        <v/>
      </c>
      <c r="C867" s="75">
        <f>IF(R867="","",IF(INDEX('Recurring Schedule'!$C$6:$C$45,R867)="","",INDEX('Recurring Schedule'!$C$6:$C$45,R867)))</f>
        <v/>
      </c>
      <c r="D867" s="73">
        <f>IF(R867="","",IF(INDEX('Recurring Schedule'!$D$6:$D$45,R867)="","",INDEX('Recurring Schedule'!$D$6:$D$45,R867)))</f>
        <v/>
      </c>
      <c r="E867" s="76">
        <f>IF(Q867="","",INDEX(Calc!$A$2:$A$367,Q867))</f>
        <v/>
      </c>
      <c r="F867" s="72">
        <f>IF(OR(C867="",E867=""),"",E867-Setup!$D$7)</f>
        <v/>
      </c>
      <c r="G867" s="77">
        <f>IF(R867="","",IF(INDEX('Recurring Schedule'!$H$6:$H$45,R867)="","",INDEX('Recurring Schedule'!$H$6:$H$45,R867)))</f>
        <v/>
      </c>
      <c r="H867" s="77">
        <f>IF(R867="","",IF(INDEX('Recurring Schedule'!$I$6:$I$45,R867)="","",INDEX('Recurring Schedule'!$I$6:$I$45,R867)))</f>
        <v/>
      </c>
      <c r="I867" s="73">
        <f>IF(OR(G867="",H867=""),"",TRIM(IF(HOUR(H867-G867)&gt;0,HOUR(H867-G867)&amp;" hr ","")&amp;IF(MINUTE(H867-G867)&gt;0,MINUTE(H867-G867)&amp;" min","")))</f>
        <v/>
      </c>
      <c r="J867" s="66" t="n"/>
      <c r="K867" s="70" t="n"/>
      <c r="L867" s="73">
        <f>IF(R867="","",IF(INDEX('Recurring Schedule'!$J$6:$J$45,R867)="","",INDEX('Recurring Schedule'!$J$6:$J$45,R867)))</f>
        <v/>
      </c>
      <c r="M867" s="73">
        <f>IF(R867="","",IF(INDEX('Recurring Schedule'!$K$6:$K$45,R867)="","",INDEX('Recurring Schedule'!$K$6:$K$45,R867)))</f>
        <v/>
      </c>
      <c r="N867" s="73">
        <f>IF(R867="","",IF(INDEX('Recurring Schedule'!$L$6:$L$45,R867)="","",INDEX('Recurring Schedule'!$L$6:$L$45,R867)))</f>
        <v/>
      </c>
      <c r="O867" s="73">
        <f>IF(C867="","",IF(AND(OR(L867="1-Urgent",L867="2-High"),M867="✓"),"DO FIRST",IF(M867="✓","SCHEDULE",IF(OR(L867="1-Urgent",L867="2-High"),"DELEGATE","DELETE"))))</f>
        <v/>
      </c>
      <c r="P867" s="65" t="n"/>
      <c r="Q867">
        <f>IF(862&gt;Calc!$AQ$368,"",MATCH(861,Calc!$AQ$2:$AQ$367,1))</f>
        <v/>
      </c>
      <c r="R867">
        <f>IF(Q867="","",SMALL(INDEX(Calc!$B$2:$AO$367,Q867,0),862-INDEX(Calc!$AQ$2:$AQ$367,Q867)))</f>
        <v/>
      </c>
    </row>
    <row r="868">
      <c r="B868" s="64">
        <f>IF(R868="","",863)</f>
        <v/>
      </c>
      <c r="C868" s="37">
        <f>IF(R868="","",IF(INDEX('Recurring Schedule'!$C$6:$C$45,R868)="","",INDEX('Recurring Schedule'!$C$6:$C$45,R868)))</f>
        <v/>
      </c>
      <c r="D868" s="36">
        <f>IF(R868="","",IF(INDEX('Recurring Schedule'!$D$6:$D$45,R868)="","",INDEX('Recurring Schedule'!$D$6:$D$45,R868)))</f>
        <v/>
      </c>
      <c r="E868" s="38">
        <f>IF(Q868="","",INDEX(Calc!$A$2:$A$367,Q868))</f>
        <v/>
      </c>
      <c r="F868" s="68">
        <f>IF(OR(C868="",E868=""),"",E868-Setup!$D$7)</f>
        <v/>
      </c>
      <c r="G868" s="74">
        <f>IF(R868="","",IF(INDEX('Recurring Schedule'!$H$6:$H$45,R868)="","",INDEX('Recurring Schedule'!$H$6:$H$45,R868)))</f>
        <v/>
      </c>
      <c r="H868" s="74">
        <f>IF(R868="","",IF(INDEX('Recurring Schedule'!$I$6:$I$45,R868)="","",INDEX('Recurring Schedule'!$I$6:$I$45,R868)))</f>
        <v/>
      </c>
      <c r="I868" s="36">
        <f>IF(OR(G868="",H868=""),"",TRIM(IF(HOUR(H868-G868)&gt;0,HOUR(H868-G868)&amp;" hr ","")&amp;IF(MINUTE(H868-G868)&gt;0,MINUTE(H868-G868)&amp;" min","")))</f>
        <v/>
      </c>
      <c r="J868" s="66" t="n"/>
      <c r="K868" s="70" t="n"/>
      <c r="L868" s="36">
        <f>IF(R868="","",IF(INDEX('Recurring Schedule'!$J$6:$J$45,R868)="","",INDEX('Recurring Schedule'!$J$6:$J$45,R868)))</f>
        <v/>
      </c>
      <c r="M868" s="36">
        <f>IF(R868="","",IF(INDEX('Recurring Schedule'!$K$6:$K$45,R868)="","",INDEX('Recurring Schedule'!$K$6:$K$45,R868)))</f>
        <v/>
      </c>
      <c r="N868" s="36">
        <f>IF(R868="","",IF(INDEX('Recurring Schedule'!$L$6:$L$45,R868)="","",INDEX('Recurring Schedule'!$L$6:$L$45,R868)))</f>
        <v/>
      </c>
      <c r="O868" s="36">
        <f>IF(C868="","",IF(AND(OR(L868="1-Urgent",L868="2-High"),M868="✓"),"DO FIRST",IF(M868="✓","SCHEDULE",IF(OR(L868="1-Urgent",L868="2-High"),"DELEGATE","DELETE"))))</f>
        <v/>
      </c>
      <c r="P868" s="65" t="n"/>
      <c r="Q868">
        <f>IF(863&gt;Calc!$AQ$368,"",MATCH(862,Calc!$AQ$2:$AQ$367,1))</f>
        <v/>
      </c>
      <c r="R868">
        <f>IF(Q868="","",SMALL(INDEX(Calc!$B$2:$AO$367,Q868,0),863-INDEX(Calc!$AQ$2:$AQ$367,Q868)))</f>
        <v/>
      </c>
    </row>
    <row r="869">
      <c r="B869" s="71">
        <f>IF(R869="","",864)</f>
        <v/>
      </c>
      <c r="C869" s="75">
        <f>IF(R869="","",IF(INDEX('Recurring Schedule'!$C$6:$C$45,R869)="","",INDEX('Recurring Schedule'!$C$6:$C$45,R869)))</f>
        <v/>
      </c>
      <c r="D869" s="73">
        <f>IF(R869="","",IF(INDEX('Recurring Schedule'!$D$6:$D$45,R869)="","",INDEX('Recurring Schedule'!$D$6:$D$45,R869)))</f>
        <v/>
      </c>
      <c r="E869" s="76">
        <f>IF(Q869="","",INDEX(Calc!$A$2:$A$367,Q869))</f>
        <v/>
      </c>
      <c r="F869" s="72">
        <f>IF(OR(C869="",E869=""),"",E869-Setup!$D$7)</f>
        <v/>
      </c>
      <c r="G869" s="77">
        <f>IF(R869="","",IF(INDEX('Recurring Schedule'!$H$6:$H$45,R869)="","",INDEX('Recurring Schedule'!$H$6:$H$45,R869)))</f>
        <v/>
      </c>
      <c r="H869" s="77">
        <f>IF(R869="","",IF(INDEX('Recurring Schedule'!$I$6:$I$45,R869)="","",INDEX('Recurring Schedule'!$I$6:$I$45,R869)))</f>
        <v/>
      </c>
      <c r="I869" s="73">
        <f>IF(OR(G869="",H869=""),"",TRIM(IF(HOUR(H869-G869)&gt;0,HOUR(H869-G869)&amp;" hr ","")&amp;IF(MINUTE(H869-G869)&gt;0,MINUTE(H869-G869)&amp;" min","")))</f>
        <v/>
      </c>
      <c r="J869" s="66" t="n"/>
      <c r="K869" s="70" t="n"/>
      <c r="L869" s="73">
        <f>IF(R869="","",IF(INDEX('Recurring Schedule'!$J$6:$J$45,R869)="","",INDEX('Recurring Schedule'!$J$6:$J$45,R869)))</f>
        <v/>
      </c>
      <c r="M869" s="73">
        <f>IF(R869="","",IF(INDEX('Recurring Schedule'!$K$6:$K$45,R869)="","",INDEX('Recurring Schedule'!$K$6:$K$45,R869)))</f>
        <v/>
      </c>
      <c r="N869" s="73">
        <f>IF(R869="","",IF(INDEX('Recurring Schedule'!$L$6:$L$45,R869)="","",INDEX('Recurring Schedule'!$L$6:$L$45,R869)))</f>
        <v/>
      </c>
      <c r="O869" s="73">
        <f>IF(C869="","",IF(AND(OR(L869="1-Urgent",L869="2-High"),M869="✓"),"DO FIRST",IF(M869="✓","SCHEDULE",IF(OR(L869="1-Urgent",L869="2-High"),"DELEGATE","DELETE"))))</f>
        <v/>
      </c>
      <c r="P869" s="65" t="n"/>
      <c r="Q869">
        <f>IF(864&gt;Calc!$AQ$368,"",MATCH(863,Calc!$AQ$2:$AQ$367,1))</f>
        <v/>
      </c>
      <c r="R869">
        <f>IF(Q869="","",SMALL(INDEX(Calc!$B$2:$AO$367,Q869,0),864-INDEX(Calc!$AQ$2:$AQ$367,Q869)))</f>
        <v/>
      </c>
    </row>
    <row r="870">
      <c r="B870" s="64">
        <f>IF(R870="","",865)</f>
        <v/>
      </c>
      <c r="C870" s="37">
        <f>IF(R870="","",IF(INDEX('Recurring Schedule'!$C$6:$C$45,R870)="","",INDEX('Recurring Schedule'!$C$6:$C$45,R870)))</f>
        <v/>
      </c>
      <c r="D870" s="36">
        <f>IF(R870="","",IF(INDEX('Recurring Schedule'!$D$6:$D$45,R870)="","",INDEX('Recurring Schedule'!$D$6:$D$45,R870)))</f>
        <v/>
      </c>
      <c r="E870" s="38">
        <f>IF(Q870="","",INDEX(Calc!$A$2:$A$367,Q870))</f>
        <v/>
      </c>
      <c r="F870" s="68">
        <f>IF(OR(C870="",E870=""),"",E870-Setup!$D$7)</f>
        <v/>
      </c>
      <c r="G870" s="74">
        <f>IF(R870="","",IF(INDEX('Recurring Schedule'!$H$6:$H$45,R870)="","",INDEX('Recurring Schedule'!$H$6:$H$45,R870)))</f>
        <v/>
      </c>
      <c r="H870" s="74">
        <f>IF(R870="","",IF(INDEX('Recurring Schedule'!$I$6:$I$45,R870)="","",INDEX('Recurring Schedule'!$I$6:$I$45,R870)))</f>
        <v/>
      </c>
      <c r="I870" s="36">
        <f>IF(OR(G870="",H870=""),"",TRIM(IF(HOUR(H870-G870)&gt;0,HOUR(H870-G870)&amp;" hr ","")&amp;IF(MINUTE(H870-G870)&gt;0,MINUTE(H870-G870)&amp;" min","")))</f>
        <v/>
      </c>
      <c r="J870" s="66" t="n"/>
      <c r="K870" s="70" t="n"/>
      <c r="L870" s="36">
        <f>IF(R870="","",IF(INDEX('Recurring Schedule'!$J$6:$J$45,R870)="","",INDEX('Recurring Schedule'!$J$6:$J$45,R870)))</f>
        <v/>
      </c>
      <c r="M870" s="36">
        <f>IF(R870="","",IF(INDEX('Recurring Schedule'!$K$6:$K$45,R870)="","",INDEX('Recurring Schedule'!$K$6:$K$45,R870)))</f>
        <v/>
      </c>
      <c r="N870" s="36">
        <f>IF(R870="","",IF(INDEX('Recurring Schedule'!$L$6:$L$45,R870)="","",INDEX('Recurring Schedule'!$L$6:$L$45,R870)))</f>
        <v/>
      </c>
      <c r="O870" s="36">
        <f>IF(C870="","",IF(AND(OR(L870="1-Urgent",L870="2-High"),M870="✓"),"DO FIRST",IF(M870="✓","SCHEDULE",IF(OR(L870="1-Urgent",L870="2-High"),"DELEGATE","DELETE"))))</f>
        <v/>
      </c>
      <c r="P870" s="65" t="n"/>
      <c r="Q870">
        <f>IF(865&gt;Calc!$AQ$368,"",MATCH(864,Calc!$AQ$2:$AQ$367,1))</f>
        <v/>
      </c>
      <c r="R870">
        <f>IF(Q870="","",SMALL(INDEX(Calc!$B$2:$AO$367,Q870,0),865-INDEX(Calc!$AQ$2:$AQ$367,Q870)))</f>
        <v/>
      </c>
    </row>
    <row r="871">
      <c r="B871" s="71">
        <f>IF(R871="","",866)</f>
        <v/>
      </c>
      <c r="C871" s="75">
        <f>IF(R871="","",IF(INDEX('Recurring Schedule'!$C$6:$C$45,R871)="","",INDEX('Recurring Schedule'!$C$6:$C$45,R871)))</f>
        <v/>
      </c>
      <c r="D871" s="73">
        <f>IF(R871="","",IF(INDEX('Recurring Schedule'!$D$6:$D$45,R871)="","",INDEX('Recurring Schedule'!$D$6:$D$45,R871)))</f>
        <v/>
      </c>
      <c r="E871" s="76">
        <f>IF(Q871="","",INDEX(Calc!$A$2:$A$367,Q871))</f>
        <v/>
      </c>
      <c r="F871" s="72">
        <f>IF(OR(C871="",E871=""),"",E871-Setup!$D$7)</f>
        <v/>
      </c>
      <c r="G871" s="77">
        <f>IF(R871="","",IF(INDEX('Recurring Schedule'!$H$6:$H$45,R871)="","",INDEX('Recurring Schedule'!$H$6:$H$45,R871)))</f>
        <v/>
      </c>
      <c r="H871" s="77">
        <f>IF(R871="","",IF(INDEX('Recurring Schedule'!$I$6:$I$45,R871)="","",INDEX('Recurring Schedule'!$I$6:$I$45,R871)))</f>
        <v/>
      </c>
      <c r="I871" s="73">
        <f>IF(OR(G871="",H871=""),"",TRIM(IF(HOUR(H871-G871)&gt;0,HOUR(H871-G871)&amp;" hr ","")&amp;IF(MINUTE(H871-G871)&gt;0,MINUTE(H871-G871)&amp;" min","")))</f>
        <v/>
      </c>
      <c r="J871" s="66" t="n"/>
      <c r="K871" s="70" t="n"/>
      <c r="L871" s="73">
        <f>IF(R871="","",IF(INDEX('Recurring Schedule'!$J$6:$J$45,R871)="","",INDEX('Recurring Schedule'!$J$6:$J$45,R871)))</f>
        <v/>
      </c>
      <c r="M871" s="73">
        <f>IF(R871="","",IF(INDEX('Recurring Schedule'!$K$6:$K$45,R871)="","",INDEX('Recurring Schedule'!$K$6:$K$45,R871)))</f>
        <v/>
      </c>
      <c r="N871" s="73">
        <f>IF(R871="","",IF(INDEX('Recurring Schedule'!$L$6:$L$45,R871)="","",INDEX('Recurring Schedule'!$L$6:$L$45,R871)))</f>
        <v/>
      </c>
      <c r="O871" s="73">
        <f>IF(C871="","",IF(AND(OR(L871="1-Urgent",L871="2-High"),M871="✓"),"DO FIRST",IF(M871="✓","SCHEDULE",IF(OR(L871="1-Urgent",L871="2-High"),"DELEGATE","DELETE"))))</f>
        <v/>
      </c>
      <c r="P871" s="65" t="n"/>
      <c r="Q871">
        <f>IF(866&gt;Calc!$AQ$368,"",MATCH(865,Calc!$AQ$2:$AQ$367,1))</f>
        <v/>
      </c>
      <c r="R871">
        <f>IF(Q871="","",SMALL(INDEX(Calc!$B$2:$AO$367,Q871,0),866-INDEX(Calc!$AQ$2:$AQ$367,Q871)))</f>
        <v/>
      </c>
    </row>
    <row r="872">
      <c r="B872" s="64">
        <f>IF(R872="","",867)</f>
        <v/>
      </c>
      <c r="C872" s="37">
        <f>IF(R872="","",IF(INDEX('Recurring Schedule'!$C$6:$C$45,R872)="","",INDEX('Recurring Schedule'!$C$6:$C$45,R872)))</f>
        <v/>
      </c>
      <c r="D872" s="36">
        <f>IF(R872="","",IF(INDEX('Recurring Schedule'!$D$6:$D$45,R872)="","",INDEX('Recurring Schedule'!$D$6:$D$45,R872)))</f>
        <v/>
      </c>
      <c r="E872" s="38">
        <f>IF(Q872="","",INDEX(Calc!$A$2:$A$367,Q872))</f>
        <v/>
      </c>
      <c r="F872" s="68">
        <f>IF(OR(C872="",E872=""),"",E872-Setup!$D$7)</f>
        <v/>
      </c>
      <c r="G872" s="74">
        <f>IF(R872="","",IF(INDEX('Recurring Schedule'!$H$6:$H$45,R872)="","",INDEX('Recurring Schedule'!$H$6:$H$45,R872)))</f>
        <v/>
      </c>
      <c r="H872" s="74">
        <f>IF(R872="","",IF(INDEX('Recurring Schedule'!$I$6:$I$45,R872)="","",INDEX('Recurring Schedule'!$I$6:$I$45,R872)))</f>
        <v/>
      </c>
      <c r="I872" s="36">
        <f>IF(OR(G872="",H872=""),"",TRIM(IF(HOUR(H872-G872)&gt;0,HOUR(H872-G872)&amp;" hr ","")&amp;IF(MINUTE(H872-G872)&gt;0,MINUTE(H872-G872)&amp;" min","")))</f>
        <v/>
      </c>
      <c r="J872" s="66" t="n"/>
      <c r="K872" s="70" t="n"/>
      <c r="L872" s="36">
        <f>IF(R872="","",IF(INDEX('Recurring Schedule'!$J$6:$J$45,R872)="","",INDEX('Recurring Schedule'!$J$6:$J$45,R872)))</f>
        <v/>
      </c>
      <c r="M872" s="36">
        <f>IF(R872="","",IF(INDEX('Recurring Schedule'!$K$6:$K$45,R872)="","",INDEX('Recurring Schedule'!$K$6:$K$45,R872)))</f>
        <v/>
      </c>
      <c r="N872" s="36">
        <f>IF(R872="","",IF(INDEX('Recurring Schedule'!$L$6:$L$45,R872)="","",INDEX('Recurring Schedule'!$L$6:$L$45,R872)))</f>
        <v/>
      </c>
      <c r="O872" s="36">
        <f>IF(C872="","",IF(AND(OR(L872="1-Urgent",L872="2-High"),M872="✓"),"DO FIRST",IF(M872="✓","SCHEDULE",IF(OR(L872="1-Urgent",L872="2-High"),"DELEGATE","DELETE"))))</f>
        <v/>
      </c>
      <c r="P872" s="65" t="n"/>
      <c r="Q872">
        <f>IF(867&gt;Calc!$AQ$368,"",MATCH(866,Calc!$AQ$2:$AQ$367,1))</f>
        <v/>
      </c>
      <c r="R872">
        <f>IF(Q872="","",SMALL(INDEX(Calc!$B$2:$AO$367,Q872,0),867-INDEX(Calc!$AQ$2:$AQ$367,Q872)))</f>
        <v/>
      </c>
    </row>
    <row r="873">
      <c r="B873" s="71">
        <f>IF(R873="","",868)</f>
        <v/>
      </c>
      <c r="C873" s="75">
        <f>IF(R873="","",IF(INDEX('Recurring Schedule'!$C$6:$C$45,R873)="","",INDEX('Recurring Schedule'!$C$6:$C$45,R873)))</f>
        <v/>
      </c>
      <c r="D873" s="73">
        <f>IF(R873="","",IF(INDEX('Recurring Schedule'!$D$6:$D$45,R873)="","",INDEX('Recurring Schedule'!$D$6:$D$45,R873)))</f>
        <v/>
      </c>
      <c r="E873" s="76">
        <f>IF(Q873="","",INDEX(Calc!$A$2:$A$367,Q873))</f>
        <v/>
      </c>
      <c r="F873" s="72">
        <f>IF(OR(C873="",E873=""),"",E873-Setup!$D$7)</f>
        <v/>
      </c>
      <c r="G873" s="77">
        <f>IF(R873="","",IF(INDEX('Recurring Schedule'!$H$6:$H$45,R873)="","",INDEX('Recurring Schedule'!$H$6:$H$45,R873)))</f>
        <v/>
      </c>
      <c r="H873" s="77">
        <f>IF(R873="","",IF(INDEX('Recurring Schedule'!$I$6:$I$45,R873)="","",INDEX('Recurring Schedule'!$I$6:$I$45,R873)))</f>
        <v/>
      </c>
      <c r="I873" s="73">
        <f>IF(OR(G873="",H873=""),"",TRIM(IF(HOUR(H873-G873)&gt;0,HOUR(H873-G873)&amp;" hr ","")&amp;IF(MINUTE(H873-G873)&gt;0,MINUTE(H873-G873)&amp;" min","")))</f>
        <v/>
      </c>
      <c r="J873" s="66" t="n"/>
      <c r="K873" s="70" t="n"/>
      <c r="L873" s="73">
        <f>IF(R873="","",IF(INDEX('Recurring Schedule'!$J$6:$J$45,R873)="","",INDEX('Recurring Schedule'!$J$6:$J$45,R873)))</f>
        <v/>
      </c>
      <c r="M873" s="73">
        <f>IF(R873="","",IF(INDEX('Recurring Schedule'!$K$6:$K$45,R873)="","",INDEX('Recurring Schedule'!$K$6:$K$45,R873)))</f>
        <v/>
      </c>
      <c r="N873" s="73">
        <f>IF(R873="","",IF(INDEX('Recurring Schedule'!$L$6:$L$45,R873)="","",INDEX('Recurring Schedule'!$L$6:$L$45,R873)))</f>
        <v/>
      </c>
      <c r="O873" s="73">
        <f>IF(C873="","",IF(AND(OR(L873="1-Urgent",L873="2-High"),M873="✓"),"DO FIRST",IF(M873="✓","SCHEDULE",IF(OR(L873="1-Urgent",L873="2-High"),"DELEGATE","DELETE"))))</f>
        <v/>
      </c>
      <c r="P873" s="65" t="n"/>
      <c r="Q873">
        <f>IF(868&gt;Calc!$AQ$368,"",MATCH(867,Calc!$AQ$2:$AQ$367,1))</f>
        <v/>
      </c>
      <c r="R873">
        <f>IF(Q873="","",SMALL(INDEX(Calc!$B$2:$AO$367,Q873,0),868-INDEX(Calc!$AQ$2:$AQ$367,Q873)))</f>
        <v/>
      </c>
    </row>
    <row r="874">
      <c r="B874" s="64">
        <f>IF(R874="","",869)</f>
        <v/>
      </c>
      <c r="C874" s="37">
        <f>IF(R874="","",IF(INDEX('Recurring Schedule'!$C$6:$C$45,R874)="","",INDEX('Recurring Schedule'!$C$6:$C$45,R874)))</f>
        <v/>
      </c>
      <c r="D874" s="36">
        <f>IF(R874="","",IF(INDEX('Recurring Schedule'!$D$6:$D$45,R874)="","",INDEX('Recurring Schedule'!$D$6:$D$45,R874)))</f>
        <v/>
      </c>
      <c r="E874" s="38">
        <f>IF(Q874="","",INDEX(Calc!$A$2:$A$367,Q874))</f>
        <v/>
      </c>
      <c r="F874" s="68">
        <f>IF(OR(C874="",E874=""),"",E874-Setup!$D$7)</f>
        <v/>
      </c>
      <c r="G874" s="74">
        <f>IF(R874="","",IF(INDEX('Recurring Schedule'!$H$6:$H$45,R874)="","",INDEX('Recurring Schedule'!$H$6:$H$45,R874)))</f>
        <v/>
      </c>
      <c r="H874" s="74">
        <f>IF(R874="","",IF(INDEX('Recurring Schedule'!$I$6:$I$45,R874)="","",INDEX('Recurring Schedule'!$I$6:$I$45,R874)))</f>
        <v/>
      </c>
      <c r="I874" s="36">
        <f>IF(OR(G874="",H874=""),"",TRIM(IF(HOUR(H874-G874)&gt;0,HOUR(H874-G874)&amp;" hr ","")&amp;IF(MINUTE(H874-G874)&gt;0,MINUTE(H874-G874)&amp;" min","")))</f>
        <v/>
      </c>
      <c r="J874" s="66" t="n"/>
      <c r="K874" s="70" t="n"/>
      <c r="L874" s="36">
        <f>IF(R874="","",IF(INDEX('Recurring Schedule'!$J$6:$J$45,R874)="","",INDEX('Recurring Schedule'!$J$6:$J$45,R874)))</f>
        <v/>
      </c>
      <c r="M874" s="36">
        <f>IF(R874="","",IF(INDEX('Recurring Schedule'!$K$6:$K$45,R874)="","",INDEX('Recurring Schedule'!$K$6:$K$45,R874)))</f>
        <v/>
      </c>
      <c r="N874" s="36">
        <f>IF(R874="","",IF(INDEX('Recurring Schedule'!$L$6:$L$45,R874)="","",INDEX('Recurring Schedule'!$L$6:$L$45,R874)))</f>
        <v/>
      </c>
      <c r="O874" s="36">
        <f>IF(C874="","",IF(AND(OR(L874="1-Urgent",L874="2-High"),M874="✓"),"DO FIRST",IF(M874="✓","SCHEDULE",IF(OR(L874="1-Urgent",L874="2-High"),"DELEGATE","DELETE"))))</f>
        <v/>
      </c>
      <c r="P874" s="65" t="n"/>
      <c r="Q874">
        <f>IF(869&gt;Calc!$AQ$368,"",MATCH(868,Calc!$AQ$2:$AQ$367,1))</f>
        <v/>
      </c>
      <c r="R874">
        <f>IF(Q874="","",SMALL(INDEX(Calc!$B$2:$AO$367,Q874,0),869-INDEX(Calc!$AQ$2:$AQ$367,Q874)))</f>
        <v/>
      </c>
    </row>
    <row r="875">
      <c r="B875" s="71">
        <f>IF(R875="","",870)</f>
        <v/>
      </c>
      <c r="C875" s="75">
        <f>IF(R875="","",IF(INDEX('Recurring Schedule'!$C$6:$C$45,R875)="","",INDEX('Recurring Schedule'!$C$6:$C$45,R875)))</f>
        <v/>
      </c>
      <c r="D875" s="73">
        <f>IF(R875="","",IF(INDEX('Recurring Schedule'!$D$6:$D$45,R875)="","",INDEX('Recurring Schedule'!$D$6:$D$45,R875)))</f>
        <v/>
      </c>
      <c r="E875" s="76">
        <f>IF(Q875="","",INDEX(Calc!$A$2:$A$367,Q875))</f>
        <v/>
      </c>
      <c r="F875" s="72">
        <f>IF(OR(C875="",E875=""),"",E875-Setup!$D$7)</f>
        <v/>
      </c>
      <c r="G875" s="77">
        <f>IF(R875="","",IF(INDEX('Recurring Schedule'!$H$6:$H$45,R875)="","",INDEX('Recurring Schedule'!$H$6:$H$45,R875)))</f>
        <v/>
      </c>
      <c r="H875" s="77">
        <f>IF(R875="","",IF(INDEX('Recurring Schedule'!$I$6:$I$45,R875)="","",INDEX('Recurring Schedule'!$I$6:$I$45,R875)))</f>
        <v/>
      </c>
      <c r="I875" s="73">
        <f>IF(OR(G875="",H875=""),"",TRIM(IF(HOUR(H875-G875)&gt;0,HOUR(H875-G875)&amp;" hr ","")&amp;IF(MINUTE(H875-G875)&gt;0,MINUTE(H875-G875)&amp;" min","")))</f>
        <v/>
      </c>
      <c r="J875" s="66" t="n"/>
      <c r="K875" s="70" t="n"/>
      <c r="L875" s="73">
        <f>IF(R875="","",IF(INDEX('Recurring Schedule'!$J$6:$J$45,R875)="","",INDEX('Recurring Schedule'!$J$6:$J$45,R875)))</f>
        <v/>
      </c>
      <c r="M875" s="73">
        <f>IF(R875="","",IF(INDEX('Recurring Schedule'!$K$6:$K$45,R875)="","",INDEX('Recurring Schedule'!$K$6:$K$45,R875)))</f>
        <v/>
      </c>
      <c r="N875" s="73">
        <f>IF(R875="","",IF(INDEX('Recurring Schedule'!$L$6:$L$45,R875)="","",INDEX('Recurring Schedule'!$L$6:$L$45,R875)))</f>
        <v/>
      </c>
      <c r="O875" s="73">
        <f>IF(C875="","",IF(AND(OR(L875="1-Urgent",L875="2-High"),M875="✓"),"DO FIRST",IF(M875="✓","SCHEDULE",IF(OR(L875="1-Urgent",L875="2-High"),"DELEGATE","DELETE"))))</f>
        <v/>
      </c>
      <c r="P875" s="65" t="n"/>
      <c r="Q875">
        <f>IF(870&gt;Calc!$AQ$368,"",MATCH(869,Calc!$AQ$2:$AQ$367,1))</f>
        <v/>
      </c>
      <c r="R875">
        <f>IF(Q875="","",SMALL(INDEX(Calc!$B$2:$AO$367,Q875,0),870-INDEX(Calc!$AQ$2:$AQ$367,Q875)))</f>
        <v/>
      </c>
    </row>
    <row r="876">
      <c r="B876" s="64">
        <f>IF(R876="","",871)</f>
        <v/>
      </c>
      <c r="C876" s="37">
        <f>IF(R876="","",IF(INDEX('Recurring Schedule'!$C$6:$C$45,R876)="","",INDEX('Recurring Schedule'!$C$6:$C$45,R876)))</f>
        <v/>
      </c>
      <c r="D876" s="36">
        <f>IF(R876="","",IF(INDEX('Recurring Schedule'!$D$6:$D$45,R876)="","",INDEX('Recurring Schedule'!$D$6:$D$45,R876)))</f>
        <v/>
      </c>
      <c r="E876" s="38">
        <f>IF(Q876="","",INDEX(Calc!$A$2:$A$367,Q876))</f>
        <v/>
      </c>
      <c r="F876" s="68">
        <f>IF(OR(C876="",E876=""),"",E876-Setup!$D$7)</f>
        <v/>
      </c>
      <c r="G876" s="74">
        <f>IF(R876="","",IF(INDEX('Recurring Schedule'!$H$6:$H$45,R876)="","",INDEX('Recurring Schedule'!$H$6:$H$45,R876)))</f>
        <v/>
      </c>
      <c r="H876" s="74">
        <f>IF(R876="","",IF(INDEX('Recurring Schedule'!$I$6:$I$45,R876)="","",INDEX('Recurring Schedule'!$I$6:$I$45,R876)))</f>
        <v/>
      </c>
      <c r="I876" s="36">
        <f>IF(OR(G876="",H876=""),"",TRIM(IF(HOUR(H876-G876)&gt;0,HOUR(H876-G876)&amp;" hr ","")&amp;IF(MINUTE(H876-G876)&gt;0,MINUTE(H876-G876)&amp;" min","")))</f>
        <v/>
      </c>
      <c r="J876" s="66" t="n"/>
      <c r="K876" s="70" t="n"/>
      <c r="L876" s="36">
        <f>IF(R876="","",IF(INDEX('Recurring Schedule'!$J$6:$J$45,R876)="","",INDEX('Recurring Schedule'!$J$6:$J$45,R876)))</f>
        <v/>
      </c>
      <c r="M876" s="36">
        <f>IF(R876="","",IF(INDEX('Recurring Schedule'!$K$6:$K$45,R876)="","",INDEX('Recurring Schedule'!$K$6:$K$45,R876)))</f>
        <v/>
      </c>
      <c r="N876" s="36">
        <f>IF(R876="","",IF(INDEX('Recurring Schedule'!$L$6:$L$45,R876)="","",INDEX('Recurring Schedule'!$L$6:$L$45,R876)))</f>
        <v/>
      </c>
      <c r="O876" s="36">
        <f>IF(C876="","",IF(AND(OR(L876="1-Urgent",L876="2-High"),M876="✓"),"DO FIRST",IF(M876="✓","SCHEDULE",IF(OR(L876="1-Urgent",L876="2-High"),"DELEGATE","DELETE"))))</f>
        <v/>
      </c>
      <c r="P876" s="65" t="n"/>
      <c r="Q876">
        <f>IF(871&gt;Calc!$AQ$368,"",MATCH(870,Calc!$AQ$2:$AQ$367,1))</f>
        <v/>
      </c>
      <c r="R876">
        <f>IF(Q876="","",SMALL(INDEX(Calc!$B$2:$AO$367,Q876,0),871-INDEX(Calc!$AQ$2:$AQ$367,Q876)))</f>
        <v/>
      </c>
    </row>
    <row r="877">
      <c r="B877" s="71">
        <f>IF(R877="","",872)</f>
        <v/>
      </c>
      <c r="C877" s="75">
        <f>IF(R877="","",IF(INDEX('Recurring Schedule'!$C$6:$C$45,R877)="","",INDEX('Recurring Schedule'!$C$6:$C$45,R877)))</f>
        <v/>
      </c>
      <c r="D877" s="73">
        <f>IF(R877="","",IF(INDEX('Recurring Schedule'!$D$6:$D$45,R877)="","",INDEX('Recurring Schedule'!$D$6:$D$45,R877)))</f>
        <v/>
      </c>
      <c r="E877" s="76">
        <f>IF(Q877="","",INDEX(Calc!$A$2:$A$367,Q877))</f>
        <v/>
      </c>
      <c r="F877" s="72">
        <f>IF(OR(C877="",E877=""),"",E877-Setup!$D$7)</f>
        <v/>
      </c>
      <c r="G877" s="77">
        <f>IF(R877="","",IF(INDEX('Recurring Schedule'!$H$6:$H$45,R877)="","",INDEX('Recurring Schedule'!$H$6:$H$45,R877)))</f>
        <v/>
      </c>
      <c r="H877" s="77">
        <f>IF(R877="","",IF(INDEX('Recurring Schedule'!$I$6:$I$45,R877)="","",INDEX('Recurring Schedule'!$I$6:$I$45,R877)))</f>
        <v/>
      </c>
      <c r="I877" s="73">
        <f>IF(OR(G877="",H877=""),"",TRIM(IF(HOUR(H877-G877)&gt;0,HOUR(H877-G877)&amp;" hr ","")&amp;IF(MINUTE(H877-G877)&gt;0,MINUTE(H877-G877)&amp;" min","")))</f>
        <v/>
      </c>
      <c r="J877" s="66" t="n"/>
      <c r="K877" s="70" t="n"/>
      <c r="L877" s="73">
        <f>IF(R877="","",IF(INDEX('Recurring Schedule'!$J$6:$J$45,R877)="","",INDEX('Recurring Schedule'!$J$6:$J$45,R877)))</f>
        <v/>
      </c>
      <c r="M877" s="73">
        <f>IF(R877="","",IF(INDEX('Recurring Schedule'!$K$6:$K$45,R877)="","",INDEX('Recurring Schedule'!$K$6:$K$45,R877)))</f>
        <v/>
      </c>
      <c r="N877" s="73">
        <f>IF(R877="","",IF(INDEX('Recurring Schedule'!$L$6:$L$45,R877)="","",INDEX('Recurring Schedule'!$L$6:$L$45,R877)))</f>
        <v/>
      </c>
      <c r="O877" s="73">
        <f>IF(C877="","",IF(AND(OR(L877="1-Urgent",L877="2-High"),M877="✓"),"DO FIRST",IF(M877="✓","SCHEDULE",IF(OR(L877="1-Urgent",L877="2-High"),"DELEGATE","DELETE"))))</f>
        <v/>
      </c>
      <c r="P877" s="65" t="n"/>
      <c r="Q877">
        <f>IF(872&gt;Calc!$AQ$368,"",MATCH(871,Calc!$AQ$2:$AQ$367,1))</f>
        <v/>
      </c>
      <c r="R877">
        <f>IF(Q877="","",SMALL(INDEX(Calc!$B$2:$AO$367,Q877,0),872-INDEX(Calc!$AQ$2:$AQ$367,Q877)))</f>
        <v/>
      </c>
    </row>
    <row r="878">
      <c r="B878" s="64">
        <f>IF(R878="","",873)</f>
        <v/>
      </c>
      <c r="C878" s="37">
        <f>IF(R878="","",IF(INDEX('Recurring Schedule'!$C$6:$C$45,R878)="","",INDEX('Recurring Schedule'!$C$6:$C$45,R878)))</f>
        <v/>
      </c>
      <c r="D878" s="36">
        <f>IF(R878="","",IF(INDEX('Recurring Schedule'!$D$6:$D$45,R878)="","",INDEX('Recurring Schedule'!$D$6:$D$45,R878)))</f>
        <v/>
      </c>
      <c r="E878" s="38">
        <f>IF(Q878="","",INDEX(Calc!$A$2:$A$367,Q878))</f>
        <v/>
      </c>
      <c r="F878" s="68">
        <f>IF(OR(C878="",E878=""),"",E878-Setup!$D$7)</f>
        <v/>
      </c>
      <c r="G878" s="74">
        <f>IF(R878="","",IF(INDEX('Recurring Schedule'!$H$6:$H$45,R878)="","",INDEX('Recurring Schedule'!$H$6:$H$45,R878)))</f>
        <v/>
      </c>
      <c r="H878" s="74">
        <f>IF(R878="","",IF(INDEX('Recurring Schedule'!$I$6:$I$45,R878)="","",INDEX('Recurring Schedule'!$I$6:$I$45,R878)))</f>
        <v/>
      </c>
      <c r="I878" s="36">
        <f>IF(OR(G878="",H878=""),"",TRIM(IF(HOUR(H878-G878)&gt;0,HOUR(H878-G878)&amp;" hr ","")&amp;IF(MINUTE(H878-G878)&gt;0,MINUTE(H878-G878)&amp;" min","")))</f>
        <v/>
      </c>
      <c r="J878" s="66" t="n"/>
      <c r="K878" s="70" t="n"/>
      <c r="L878" s="36">
        <f>IF(R878="","",IF(INDEX('Recurring Schedule'!$J$6:$J$45,R878)="","",INDEX('Recurring Schedule'!$J$6:$J$45,R878)))</f>
        <v/>
      </c>
      <c r="M878" s="36">
        <f>IF(R878="","",IF(INDEX('Recurring Schedule'!$K$6:$K$45,R878)="","",INDEX('Recurring Schedule'!$K$6:$K$45,R878)))</f>
        <v/>
      </c>
      <c r="N878" s="36">
        <f>IF(R878="","",IF(INDEX('Recurring Schedule'!$L$6:$L$45,R878)="","",INDEX('Recurring Schedule'!$L$6:$L$45,R878)))</f>
        <v/>
      </c>
      <c r="O878" s="36">
        <f>IF(C878="","",IF(AND(OR(L878="1-Urgent",L878="2-High"),M878="✓"),"DO FIRST",IF(M878="✓","SCHEDULE",IF(OR(L878="1-Urgent",L878="2-High"),"DELEGATE","DELETE"))))</f>
        <v/>
      </c>
      <c r="P878" s="65" t="n"/>
      <c r="Q878">
        <f>IF(873&gt;Calc!$AQ$368,"",MATCH(872,Calc!$AQ$2:$AQ$367,1))</f>
        <v/>
      </c>
      <c r="R878">
        <f>IF(Q878="","",SMALL(INDEX(Calc!$B$2:$AO$367,Q878,0),873-INDEX(Calc!$AQ$2:$AQ$367,Q878)))</f>
        <v/>
      </c>
    </row>
    <row r="879">
      <c r="B879" s="71">
        <f>IF(R879="","",874)</f>
        <v/>
      </c>
      <c r="C879" s="75">
        <f>IF(R879="","",IF(INDEX('Recurring Schedule'!$C$6:$C$45,R879)="","",INDEX('Recurring Schedule'!$C$6:$C$45,R879)))</f>
        <v/>
      </c>
      <c r="D879" s="73">
        <f>IF(R879="","",IF(INDEX('Recurring Schedule'!$D$6:$D$45,R879)="","",INDEX('Recurring Schedule'!$D$6:$D$45,R879)))</f>
        <v/>
      </c>
      <c r="E879" s="76">
        <f>IF(Q879="","",INDEX(Calc!$A$2:$A$367,Q879))</f>
        <v/>
      </c>
      <c r="F879" s="72">
        <f>IF(OR(C879="",E879=""),"",E879-Setup!$D$7)</f>
        <v/>
      </c>
      <c r="G879" s="77">
        <f>IF(R879="","",IF(INDEX('Recurring Schedule'!$H$6:$H$45,R879)="","",INDEX('Recurring Schedule'!$H$6:$H$45,R879)))</f>
        <v/>
      </c>
      <c r="H879" s="77">
        <f>IF(R879="","",IF(INDEX('Recurring Schedule'!$I$6:$I$45,R879)="","",INDEX('Recurring Schedule'!$I$6:$I$45,R879)))</f>
        <v/>
      </c>
      <c r="I879" s="73">
        <f>IF(OR(G879="",H879=""),"",TRIM(IF(HOUR(H879-G879)&gt;0,HOUR(H879-G879)&amp;" hr ","")&amp;IF(MINUTE(H879-G879)&gt;0,MINUTE(H879-G879)&amp;" min","")))</f>
        <v/>
      </c>
      <c r="J879" s="66" t="n"/>
      <c r="K879" s="70" t="n"/>
      <c r="L879" s="73">
        <f>IF(R879="","",IF(INDEX('Recurring Schedule'!$J$6:$J$45,R879)="","",INDEX('Recurring Schedule'!$J$6:$J$45,R879)))</f>
        <v/>
      </c>
      <c r="M879" s="73">
        <f>IF(R879="","",IF(INDEX('Recurring Schedule'!$K$6:$K$45,R879)="","",INDEX('Recurring Schedule'!$K$6:$K$45,R879)))</f>
        <v/>
      </c>
      <c r="N879" s="73">
        <f>IF(R879="","",IF(INDEX('Recurring Schedule'!$L$6:$L$45,R879)="","",INDEX('Recurring Schedule'!$L$6:$L$45,R879)))</f>
        <v/>
      </c>
      <c r="O879" s="73">
        <f>IF(C879="","",IF(AND(OR(L879="1-Urgent",L879="2-High"),M879="✓"),"DO FIRST",IF(M879="✓","SCHEDULE",IF(OR(L879="1-Urgent",L879="2-High"),"DELEGATE","DELETE"))))</f>
        <v/>
      </c>
      <c r="P879" s="65" t="n"/>
      <c r="Q879">
        <f>IF(874&gt;Calc!$AQ$368,"",MATCH(873,Calc!$AQ$2:$AQ$367,1))</f>
        <v/>
      </c>
      <c r="R879">
        <f>IF(Q879="","",SMALL(INDEX(Calc!$B$2:$AO$367,Q879,0),874-INDEX(Calc!$AQ$2:$AQ$367,Q879)))</f>
        <v/>
      </c>
    </row>
    <row r="880">
      <c r="B880" s="64">
        <f>IF(R880="","",875)</f>
        <v/>
      </c>
      <c r="C880" s="37">
        <f>IF(R880="","",IF(INDEX('Recurring Schedule'!$C$6:$C$45,R880)="","",INDEX('Recurring Schedule'!$C$6:$C$45,R880)))</f>
        <v/>
      </c>
      <c r="D880" s="36">
        <f>IF(R880="","",IF(INDEX('Recurring Schedule'!$D$6:$D$45,R880)="","",INDEX('Recurring Schedule'!$D$6:$D$45,R880)))</f>
        <v/>
      </c>
      <c r="E880" s="38">
        <f>IF(Q880="","",INDEX(Calc!$A$2:$A$367,Q880))</f>
        <v/>
      </c>
      <c r="F880" s="68">
        <f>IF(OR(C880="",E880=""),"",E880-Setup!$D$7)</f>
        <v/>
      </c>
      <c r="G880" s="74">
        <f>IF(R880="","",IF(INDEX('Recurring Schedule'!$H$6:$H$45,R880)="","",INDEX('Recurring Schedule'!$H$6:$H$45,R880)))</f>
        <v/>
      </c>
      <c r="H880" s="74">
        <f>IF(R880="","",IF(INDEX('Recurring Schedule'!$I$6:$I$45,R880)="","",INDEX('Recurring Schedule'!$I$6:$I$45,R880)))</f>
        <v/>
      </c>
      <c r="I880" s="36">
        <f>IF(OR(G880="",H880=""),"",TRIM(IF(HOUR(H880-G880)&gt;0,HOUR(H880-G880)&amp;" hr ","")&amp;IF(MINUTE(H880-G880)&gt;0,MINUTE(H880-G880)&amp;" min","")))</f>
        <v/>
      </c>
      <c r="J880" s="66" t="n"/>
      <c r="K880" s="70" t="n"/>
      <c r="L880" s="36">
        <f>IF(R880="","",IF(INDEX('Recurring Schedule'!$J$6:$J$45,R880)="","",INDEX('Recurring Schedule'!$J$6:$J$45,R880)))</f>
        <v/>
      </c>
      <c r="M880" s="36">
        <f>IF(R880="","",IF(INDEX('Recurring Schedule'!$K$6:$K$45,R880)="","",INDEX('Recurring Schedule'!$K$6:$K$45,R880)))</f>
        <v/>
      </c>
      <c r="N880" s="36">
        <f>IF(R880="","",IF(INDEX('Recurring Schedule'!$L$6:$L$45,R880)="","",INDEX('Recurring Schedule'!$L$6:$L$45,R880)))</f>
        <v/>
      </c>
      <c r="O880" s="36">
        <f>IF(C880="","",IF(AND(OR(L880="1-Urgent",L880="2-High"),M880="✓"),"DO FIRST",IF(M880="✓","SCHEDULE",IF(OR(L880="1-Urgent",L880="2-High"),"DELEGATE","DELETE"))))</f>
        <v/>
      </c>
      <c r="P880" s="65" t="n"/>
      <c r="Q880">
        <f>IF(875&gt;Calc!$AQ$368,"",MATCH(874,Calc!$AQ$2:$AQ$367,1))</f>
        <v/>
      </c>
      <c r="R880">
        <f>IF(Q880="","",SMALL(INDEX(Calc!$B$2:$AO$367,Q880,0),875-INDEX(Calc!$AQ$2:$AQ$367,Q880)))</f>
        <v/>
      </c>
    </row>
    <row r="881">
      <c r="B881" s="71">
        <f>IF(R881="","",876)</f>
        <v/>
      </c>
      <c r="C881" s="75">
        <f>IF(R881="","",IF(INDEX('Recurring Schedule'!$C$6:$C$45,R881)="","",INDEX('Recurring Schedule'!$C$6:$C$45,R881)))</f>
        <v/>
      </c>
      <c r="D881" s="73">
        <f>IF(R881="","",IF(INDEX('Recurring Schedule'!$D$6:$D$45,R881)="","",INDEX('Recurring Schedule'!$D$6:$D$45,R881)))</f>
        <v/>
      </c>
      <c r="E881" s="76">
        <f>IF(Q881="","",INDEX(Calc!$A$2:$A$367,Q881))</f>
        <v/>
      </c>
      <c r="F881" s="72">
        <f>IF(OR(C881="",E881=""),"",E881-Setup!$D$7)</f>
        <v/>
      </c>
      <c r="G881" s="77">
        <f>IF(R881="","",IF(INDEX('Recurring Schedule'!$H$6:$H$45,R881)="","",INDEX('Recurring Schedule'!$H$6:$H$45,R881)))</f>
        <v/>
      </c>
      <c r="H881" s="77">
        <f>IF(R881="","",IF(INDEX('Recurring Schedule'!$I$6:$I$45,R881)="","",INDEX('Recurring Schedule'!$I$6:$I$45,R881)))</f>
        <v/>
      </c>
      <c r="I881" s="73">
        <f>IF(OR(G881="",H881=""),"",TRIM(IF(HOUR(H881-G881)&gt;0,HOUR(H881-G881)&amp;" hr ","")&amp;IF(MINUTE(H881-G881)&gt;0,MINUTE(H881-G881)&amp;" min","")))</f>
        <v/>
      </c>
      <c r="J881" s="66" t="n"/>
      <c r="K881" s="70" t="n"/>
      <c r="L881" s="73">
        <f>IF(R881="","",IF(INDEX('Recurring Schedule'!$J$6:$J$45,R881)="","",INDEX('Recurring Schedule'!$J$6:$J$45,R881)))</f>
        <v/>
      </c>
      <c r="M881" s="73">
        <f>IF(R881="","",IF(INDEX('Recurring Schedule'!$K$6:$K$45,R881)="","",INDEX('Recurring Schedule'!$K$6:$K$45,R881)))</f>
        <v/>
      </c>
      <c r="N881" s="73">
        <f>IF(R881="","",IF(INDEX('Recurring Schedule'!$L$6:$L$45,R881)="","",INDEX('Recurring Schedule'!$L$6:$L$45,R881)))</f>
        <v/>
      </c>
      <c r="O881" s="73">
        <f>IF(C881="","",IF(AND(OR(L881="1-Urgent",L881="2-High"),M881="✓"),"DO FIRST",IF(M881="✓","SCHEDULE",IF(OR(L881="1-Urgent",L881="2-High"),"DELEGATE","DELETE"))))</f>
        <v/>
      </c>
      <c r="P881" s="65" t="n"/>
      <c r="Q881">
        <f>IF(876&gt;Calc!$AQ$368,"",MATCH(875,Calc!$AQ$2:$AQ$367,1))</f>
        <v/>
      </c>
      <c r="R881">
        <f>IF(Q881="","",SMALL(INDEX(Calc!$B$2:$AO$367,Q881,0),876-INDEX(Calc!$AQ$2:$AQ$367,Q881)))</f>
        <v/>
      </c>
    </row>
    <row r="882">
      <c r="B882" s="64">
        <f>IF(R882="","",877)</f>
        <v/>
      </c>
      <c r="C882" s="37">
        <f>IF(R882="","",IF(INDEX('Recurring Schedule'!$C$6:$C$45,R882)="","",INDEX('Recurring Schedule'!$C$6:$C$45,R882)))</f>
        <v/>
      </c>
      <c r="D882" s="36">
        <f>IF(R882="","",IF(INDEX('Recurring Schedule'!$D$6:$D$45,R882)="","",INDEX('Recurring Schedule'!$D$6:$D$45,R882)))</f>
        <v/>
      </c>
      <c r="E882" s="38">
        <f>IF(Q882="","",INDEX(Calc!$A$2:$A$367,Q882))</f>
        <v/>
      </c>
      <c r="F882" s="68">
        <f>IF(OR(C882="",E882=""),"",E882-Setup!$D$7)</f>
        <v/>
      </c>
      <c r="G882" s="74">
        <f>IF(R882="","",IF(INDEX('Recurring Schedule'!$H$6:$H$45,R882)="","",INDEX('Recurring Schedule'!$H$6:$H$45,R882)))</f>
        <v/>
      </c>
      <c r="H882" s="74">
        <f>IF(R882="","",IF(INDEX('Recurring Schedule'!$I$6:$I$45,R882)="","",INDEX('Recurring Schedule'!$I$6:$I$45,R882)))</f>
        <v/>
      </c>
      <c r="I882" s="36">
        <f>IF(OR(G882="",H882=""),"",TRIM(IF(HOUR(H882-G882)&gt;0,HOUR(H882-G882)&amp;" hr ","")&amp;IF(MINUTE(H882-G882)&gt;0,MINUTE(H882-G882)&amp;" min","")))</f>
        <v/>
      </c>
      <c r="J882" s="66" t="n"/>
      <c r="K882" s="70" t="n"/>
      <c r="L882" s="36">
        <f>IF(R882="","",IF(INDEX('Recurring Schedule'!$J$6:$J$45,R882)="","",INDEX('Recurring Schedule'!$J$6:$J$45,R882)))</f>
        <v/>
      </c>
      <c r="M882" s="36">
        <f>IF(R882="","",IF(INDEX('Recurring Schedule'!$K$6:$K$45,R882)="","",INDEX('Recurring Schedule'!$K$6:$K$45,R882)))</f>
        <v/>
      </c>
      <c r="N882" s="36">
        <f>IF(R882="","",IF(INDEX('Recurring Schedule'!$L$6:$L$45,R882)="","",INDEX('Recurring Schedule'!$L$6:$L$45,R882)))</f>
        <v/>
      </c>
      <c r="O882" s="36">
        <f>IF(C882="","",IF(AND(OR(L882="1-Urgent",L882="2-High"),M882="✓"),"DO FIRST",IF(M882="✓","SCHEDULE",IF(OR(L882="1-Urgent",L882="2-High"),"DELEGATE","DELETE"))))</f>
        <v/>
      </c>
      <c r="P882" s="65" t="n"/>
      <c r="Q882">
        <f>IF(877&gt;Calc!$AQ$368,"",MATCH(876,Calc!$AQ$2:$AQ$367,1))</f>
        <v/>
      </c>
      <c r="R882">
        <f>IF(Q882="","",SMALL(INDEX(Calc!$B$2:$AO$367,Q882,0),877-INDEX(Calc!$AQ$2:$AQ$367,Q882)))</f>
        <v/>
      </c>
    </row>
    <row r="883">
      <c r="B883" s="71">
        <f>IF(R883="","",878)</f>
        <v/>
      </c>
      <c r="C883" s="75">
        <f>IF(R883="","",IF(INDEX('Recurring Schedule'!$C$6:$C$45,R883)="","",INDEX('Recurring Schedule'!$C$6:$C$45,R883)))</f>
        <v/>
      </c>
      <c r="D883" s="73">
        <f>IF(R883="","",IF(INDEX('Recurring Schedule'!$D$6:$D$45,R883)="","",INDEX('Recurring Schedule'!$D$6:$D$45,R883)))</f>
        <v/>
      </c>
      <c r="E883" s="76">
        <f>IF(Q883="","",INDEX(Calc!$A$2:$A$367,Q883))</f>
        <v/>
      </c>
      <c r="F883" s="72">
        <f>IF(OR(C883="",E883=""),"",E883-Setup!$D$7)</f>
        <v/>
      </c>
      <c r="G883" s="77">
        <f>IF(R883="","",IF(INDEX('Recurring Schedule'!$H$6:$H$45,R883)="","",INDEX('Recurring Schedule'!$H$6:$H$45,R883)))</f>
        <v/>
      </c>
      <c r="H883" s="77">
        <f>IF(R883="","",IF(INDEX('Recurring Schedule'!$I$6:$I$45,R883)="","",INDEX('Recurring Schedule'!$I$6:$I$45,R883)))</f>
        <v/>
      </c>
      <c r="I883" s="73">
        <f>IF(OR(G883="",H883=""),"",TRIM(IF(HOUR(H883-G883)&gt;0,HOUR(H883-G883)&amp;" hr ","")&amp;IF(MINUTE(H883-G883)&gt;0,MINUTE(H883-G883)&amp;" min","")))</f>
        <v/>
      </c>
      <c r="J883" s="66" t="n"/>
      <c r="K883" s="70" t="n"/>
      <c r="L883" s="73">
        <f>IF(R883="","",IF(INDEX('Recurring Schedule'!$J$6:$J$45,R883)="","",INDEX('Recurring Schedule'!$J$6:$J$45,R883)))</f>
        <v/>
      </c>
      <c r="M883" s="73">
        <f>IF(R883="","",IF(INDEX('Recurring Schedule'!$K$6:$K$45,R883)="","",INDEX('Recurring Schedule'!$K$6:$K$45,R883)))</f>
        <v/>
      </c>
      <c r="N883" s="73">
        <f>IF(R883="","",IF(INDEX('Recurring Schedule'!$L$6:$L$45,R883)="","",INDEX('Recurring Schedule'!$L$6:$L$45,R883)))</f>
        <v/>
      </c>
      <c r="O883" s="73">
        <f>IF(C883="","",IF(AND(OR(L883="1-Urgent",L883="2-High"),M883="✓"),"DO FIRST",IF(M883="✓","SCHEDULE",IF(OR(L883="1-Urgent",L883="2-High"),"DELEGATE","DELETE"))))</f>
        <v/>
      </c>
      <c r="P883" s="65" t="n"/>
      <c r="Q883">
        <f>IF(878&gt;Calc!$AQ$368,"",MATCH(877,Calc!$AQ$2:$AQ$367,1))</f>
        <v/>
      </c>
      <c r="R883">
        <f>IF(Q883="","",SMALL(INDEX(Calc!$B$2:$AO$367,Q883,0),878-INDEX(Calc!$AQ$2:$AQ$367,Q883)))</f>
        <v/>
      </c>
    </row>
    <row r="884">
      <c r="B884" s="64">
        <f>IF(R884="","",879)</f>
        <v/>
      </c>
      <c r="C884" s="37">
        <f>IF(R884="","",IF(INDEX('Recurring Schedule'!$C$6:$C$45,R884)="","",INDEX('Recurring Schedule'!$C$6:$C$45,R884)))</f>
        <v/>
      </c>
      <c r="D884" s="36">
        <f>IF(R884="","",IF(INDEX('Recurring Schedule'!$D$6:$D$45,R884)="","",INDEX('Recurring Schedule'!$D$6:$D$45,R884)))</f>
        <v/>
      </c>
      <c r="E884" s="38">
        <f>IF(Q884="","",INDEX(Calc!$A$2:$A$367,Q884))</f>
        <v/>
      </c>
      <c r="F884" s="68">
        <f>IF(OR(C884="",E884=""),"",E884-Setup!$D$7)</f>
        <v/>
      </c>
      <c r="G884" s="74">
        <f>IF(R884="","",IF(INDEX('Recurring Schedule'!$H$6:$H$45,R884)="","",INDEX('Recurring Schedule'!$H$6:$H$45,R884)))</f>
        <v/>
      </c>
      <c r="H884" s="74">
        <f>IF(R884="","",IF(INDEX('Recurring Schedule'!$I$6:$I$45,R884)="","",INDEX('Recurring Schedule'!$I$6:$I$45,R884)))</f>
        <v/>
      </c>
      <c r="I884" s="36">
        <f>IF(OR(G884="",H884=""),"",TRIM(IF(HOUR(H884-G884)&gt;0,HOUR(H884-G884)&amp;" hr ","")&amp;IF(MINUTE(H884-G884)&gt;0,MINUTE(H884-G884)&amp;" min","")))</f>
        <v/>
      </c>
      <c r="J884" s="66" t="n"/>
      <c r="K884" s="70" t="n"/>
      <c r="L884" s="36">
        <f>IF(R884="","",IF(INDEX('Recurring Schedule'!$J$6:$J$45,R884)="","",INDEX('Recurring Schedule'!$J$6:$J$45,R884)))</f>
        <v/>
      </c>
      <c r="M884" s="36">
        <f>IF(R884="","",IF(INDEX('Recurring Schedule'!$K$6:$K$45,R884)="","",INDEX('Recurring Schedule'!$K$6:$K$45,R884)))</f>
        <v/>
      </c>
      <c r="N884" s="36">
        <f>IF(R884="","",IF(INDEX('Recurring Schedule'!$L$6:$L$45,R884)="","",INDEX('Recurring Schedule'!$L$6:$L$45,R884)))</f>
        <v/>
      </c>
      <c r="O884" s="36">
        <f>IF(C884="","",IF(AND(OR(L884="1-Urgent",L884="2-High"),M884="✓"),"DO FIRST",IF(M884="✓","SCHEDULE",IF(OR(L884="1-Urgent",L884="2-High"),"DELEGATE","DELETE"))))</f>
        <v/>
      </c>
      <c r="P884" s="65" t="n"/>
      <c r="Q884">
        <f>IF(879&gt;Calc!$AQ$368,"",MATCH(878,Calc!$AQ$2:$AQ$367,1))</f>
        <v/>
      </c>
      <c r="R884">
        <f>IF(Q884="","",SMALL(INDEX(Calc!$B$2:$AO$367,Q884,0),879-INDEX(Calc!$AQ$2:$AQ$367,Q884)))</f>
        <v/>
      </c>
    </row>
    <row r="885">
      <c r="B885" s="71">
        <f>IF(R885="","",880)</f>
        <v/>
      </c>
      <c r="C885" s="75">
        <f>IF(R885="","",IF(INDEX('Recurring Schedule'!$C$6:$C$45,R885)="","",INDEX('Recurring Schedule'!$C$6:$C$45,R885)))</f>
        <v/>
      </c>
      <c r="D885" s="73">
        <f>IF(R885="","",IF(INDEX('Recurring Schedule'!$D$6:$D$45,R885)="","",INDEX('Recurring Schedule'!$D$6:$D$45,R885)))</f>
        <v/>
      </c>
      <c r="E885" s="76">
        <f>IF(Q885="","",INDEX(Calc!$A$2:$A$367,Q885))</f>
        <v/>
      </c>
      <c r="F885" s="72">
        <f>IF(OR(C885="",E885=""),"",E885-Setup!$D$7)</f>
        <v/>
      </c>
      <c r="G885" s="77">
        <f>IF(R885="","",IF(INDEX('Recurring Schedule'!$H$6:$H$45,R885)="","",INDEX('Recurring Schedule'!$H$6:$H$45,R885)))</f>
        <v/>
      </c>
      <c r="H885" s="77">
        <f>IF(R885="","",IF(INDEX('Recurring Schedule'!$I$6:$I$45,R885)="","",INDEX('Recurring Schedule'!$I$6:$I$45,R885)))</f>
        <v/>
      </c>
      <c r="I885" s="73">
        <f>IF(OR(G885="",H885=""),"",TRIM(IF(HOUR(H885-G885)&gt;0,HOUR(H885-G885)&amp;" hr ","")&amp;IF(MINUTE(H885-G885)&gt;0,MINUTE(H885-G885)&amp;" min","")))</f>
        <v/>
      </c>
      <c r="J885" s="66" t="n"/>
      <c r="K885" s="70" t="n"/>
      <c r="L885" s="73">
        <f>IF(R885="","",IF(INDEX('Recurring Schedule'!$J$6:$J$45,R885)="","",INDEX('Recurring Schedule'!$J$6:$J$45,R885)))</f>
        <v/>
      </c>
      <c r="M885" s="73">
        <f>IF(R885="","",IF(INDEX('Recurring Schedule'!$K$6:$K$45,R885)="","",INDEX('Recurring Schedule'!$K$6:$K$45,R885)))</f>
        <v/>
      </c>
      <c r="N885" s="73">
        <f>IF(R885="","",IF(INDEX('Recurring Schedule'!$L$6:$L$45,R885)="","",INDEX('Recurring Schedule'!$L$6:$L$45,R885)))</f>
        <v/>
      </c>
      <c r="O885" s="73">
        <f>IF(C885="","",IF(AND(OR(L885="1-Urgent",L885="2-High"),M885="✓"),"DO FIRST",IF(M885="✓","SCHEDULE",IF(OR(L885="1-Urgent",L885="2-High"),"DELEGATE","DELETE"))))</f>
        <v/>
      </c>
      <c r="P885" s="65" t="n"/>
      <c r="Q885">
        <f>IF(880&gt;Calc!$AQ$368,"",MATCH(879,Calc!$AQ$2:$AQ$367,1))</f>
        <v/>
      </c>
      <c r="R885">
        <f>IF(Q885="","",SMALL(INDEX(Calc!$B$2:$AO$367,Q885,0),880-INDEX(Calc!$AQ$2:$AQ$367,Q885)))</f>
        <v/>
      </c>
    </row>
    <row r="886">
      <c r="B886" s="64">
        <f>IF(R886="","",881)</f>
        <v/>
      </c>
      <c r="C886" s="37">
        <f>IF(R886="","",IF(INDEX('Recurring Schedule'!$C$6:$C$45,R886)="","",INDEX('Recurring Schedule'!$C$6:$C$45,R886)))</f>
        <v/>
      </c>
      <c r="D886" s="36">
        <f>IF(R886="","",IF(INDEX('Recurring Schedule'!$D$6:$D$45,R886)="","",INDEX('Recurring Schedule'!$D$6:$D$45,R886)))</f>
        <v/>
      </c>
      <c r="E886" s="38">
        <f>IF(Q886="","",INDEX(Calc!$A$2:$A$367,Q886))</f>
        <v/>
      </c>
      <c r="F886" s="68">
        <f>IF(OR(C886="",E886=""),"",E886-Setup!$D$7)</f>
        <v/>
      </c>
      <c r="G886" s="74">
        <f>IF(R886="","",IF(INDEX('Recurring Schedule'!$H$6:$H$45,R886)="","",INDEX('Recurring Schedule'!$H$6:$H$45,R886)))</f>
        <v/>
      </c>
      <c r="H886" s="74">
        <f>IF(R886="","",IF(INDEX('Recurring Schedule'!$I$6:$I$45,R886)="","",INDEX('Recurring Schedule'!$I$6:$I$45,R886)))</f>
        <v/>
      </c>
      <c r="I886" s="36">
        <f>IF(OR(G886="",H886=""),"",TRIM(IF(HOUR(H886-G886)&gt;0,HOUR(H886-G886)&amp;" hr ","")&amp;IF(MINUTE(H886-G886)&gt;0,MINUTE(H886-G886)&amp;" min","")))</f>
        <v/>
      </c>
      <c r="J886" s="66" t="n"/>
      <c r="K886" s="70" t="n"/>
      <c r="L886" s="36">
        <f>IF(R886="","",IF(INDEX('Recurring Schedule'!$J$6:$J$45,R886)="","",INDEX('Recurring Schedule'!$J$6:$J$45,R886)))</f>
        <v/>
      </c>
      <c r="M886" s="36">
        <f>IF(R886="","",IF(INDEX('Recurring Schedule'!$K$6:$K$45,R886)="","",INDEX('Recurring Schedule'!$K$6:$K$45,R886)))</f>
        <v/>
      </c>
      <c r="N886" s="36">
        <f>IF(R886="","",IF(INDEX('Recurring Schedule'!$L$6:$L$45,R886)="","",INDEX('Recurring Schedule'!$L$6:$L$45,R886)))</f>
        <v/>
      </c>
      <c r="O886" s="36">
        <f>IF(C886="","",IF(AND(OR(L886="1-Urgent",L886="2-High"),M886="✓"),"DO FIRST",IF(M886="✓","SCHEDULE",IF(OR(L886="1-Urgent",L886="2-High"),"DELEGATE","DELETE"))))</f>
        <v/>
      </c>
      <c r="P886" s="65" t="n"/>
      <c r="Q886">
        <f>IF(881&gt;Calc!$AQ$368,"",MATCH(880,Calc!$AQ$2:$AQ$367,1))</f>
        <v/>
      </c>
      <c r="R886">
        <f>IF(Q886="","",SMALL(INDEX(Calc!$B$2:$AO$367,Q886,0),881-INDEX(Calc!$AQ$2:$AQ$367,Q886)))</f>
        <v/>
      </c>
    </row>
    <row r="887">
      <c r="B887" s="71">
        <f>IF(R887="","",882)</f>
        <v/>
      </c>
      <c r="C887" s="75">
        <f>IF(R887="","",IF(INDEX('Recurring Schedule'!$C$6:$C$45,R887)="","",INDEX('Recurring Schedule'!$C$6:$C$45,R887)))</f>
        <v/>
      </c>
      <c r="D887" s="73">
        <f>IF(R887="","",IF(INDEX('Recurring Schedule'!$D$6:$D$45,R887)="","",INDEX('Recurring Schedule'!$D$6:$D$45,R887)))</f>
        <v/>
      </c>
      <c r="E887" s="76">
        <f>IF(Q887="","",INDEX(Calc!$A$2:$A$367,Q887))</f>
        <v/>
      </c>
      <c r="F887" s="72">
        <f>IF(OR(C887="",E887=""),"",E887-Setup!$D$7)</f>
        <v/>
      </c>
      <c r="G887" s="77">
        <f>IF(R887="","",IF(INDEX('Recurring Schedule'!$H$6:$H$45,R887)="","",INDEX('Recurring Schedule'!$H$6:$H$45,R887)))</f>
        <v/>
      </c>
      <c r="H887" s="77">
        <f>IF(R887="","",IF(INDEX('Recurring Schedule'!$I$6:$I$45,R887)="","",INDEX('Recurring Schedule'!$I$6:$I$45,R887)))</f>
        <v/>
      </c>
      <c r="I887" s="73">
        <f>IF(OR(G887="",H887=""),"",TRIM(IF(HOUR(H887-G887)&gt;0,HOUR(H887-G887)&amp;" hr ","")&amp;IF(MINUTE(H887-G887)&gt;0,MINUTE(H887-G887)&amp;" min","")))</f>
        <v/>
      </c>
      <c r="J887" s="66" t="n"/>
      <c r="K887" s="70" t="n"/>
      <c r="L887" s="73">
        <f>IF(R887="","",IF(INDEX('Recurring Schedule'!$J$6:$J$45,R887)="","",INDEX('Recurring Schedule'!$J$6:$J$45,R887)))</f>
        <v/>
      </c>
      <c r="M887" s="73">
        <f>IF(R887="","",IF(INDEX('Recurring Schedule'!$K$6:$K$45,R887)="","",INDEX('Recurring Schedule'!$K$6:$K$45,R887)))</f>
        <v/>
      </c>
      <c r="N887" s="73">
        <f>IF(R887="","",IF(INDEX('Recurring Schedule'!$L$6:$L$45,R887)="","",INDEX('Recurring Schedule'!$L$6:$L$45,R887)))</f>
        <v/>
      </c>
      <c r="O887" s="73">
        <f>IF(C887="","",IF(AND(OR(L887="1-Urgent",L887="2-High"),M887="✓"),"DO FIRST",IF(M887="✓","SCHEDULE",IF(OR(L887="1-Urgent",L887="2-High"),"DELEGATE","DELETE"))))</f>
        <v/>
      </c>
      <c r="P887" s="65" t="n"/>
      <c r="Q887">
        <f>IF(882&gt;Calc!$AQ$368,"",MATCH(881,Calc!$AQ$2:$AQ$367,1))</f>
        <v/>
      </c>
      <c r="R887">
        <f>IF(Q887="","",SMALL(INDEX(Calc!$B$2:$AO$367,Q887,0),882-INDEX(Calc!$AQ$2:$AQ$367,Q887)))</f>
        <v/>
      </c>
    </row>
    <row r="888">
      <c r="B888" s="64">
        <f>IF(R888="","",883)</f>
        <v/>
      </c>
      <c r="C888" s="37">
        <f>IF(R888="","",IF(INDEX('Recurring Schedule'!$C$6:$C$45,R888)="","",INDEX('Recurring Schedule'!$C$6:$C$45,R888)))</f>
        <v/>
      </c>
      <c r="D888" s="36">
        <f>IF(R888="","",IF(INDEX('Recurring Schedule'!$D$6:$D$45,R888)="","",INDEX('Recurring Schedule'!$D$6:$D$45,R888)))</f>
        <v/>
      </c>
      <c r="E888" s="38">
        <f>IF(Q888="","",INDEX(Calc!$A$2:$A$367,Q888))</f>
        <v/>
      </c>
      <c r="F888" s="68">
        <f>IF(OR(C888="",E888=""),"",E888-Setup!$D$7)</f>
        <v/>
      </c>
      <c r="G888" s="74">
        <f>IF(R888="","",IF(INDEX('Recurring Schedule'!$H$6:$H$45,R888)="","",INDEX('Recurring Schedule'!$H$6:$H$45,R888)))</f>
        <v/>
      </c>
      <c r="H888" s="74">
        <f>IF(R888="","",IF(INDEX('Recurring Schedule'!$I$6:$I$45,R888)="","",INDEX('Recurring Schedule'!$I$6:$I$45,R888)))</f>
        <v/>
      </c>
      <c r="I888" s="36">
        <f>IF(OR(G888="",H888=""),"",TRIM(IF(HOUR(H888-G888)&gt;0,HOUR(H888-G888)&amp;" hr ","")&amp;IF(MINUTE(H888-G888)&gt;0,MINUTE(H888-G888)&amp;" min","")))</f>
        <v/>
      </c>
      <c r="J888" s="66" t="n"/>
      <c r="K888" s="70" t="n"/>
      <c r="L888" s="36">
        <f>IF(R888="","",IF(INDEX('Recurring Schedule'!$J$6:$J$45,R888)="","",INDEX('Recurring Schedule'!$J$6:$J$45,R888)))</f>
        <v/>
      </c>
      <c r="M888" s="36">
        <f>IF(R888="","",IF(INDEX('Recurring Schedule'!$K$6:$K$45,R888)="","",INDEX('Recurring Schedule'!$K$6:$K$45,R888)))</f>
        <v/>
      </c>
      <c r="N888" s="36">
        <f>IF(R888="","",IF(INDEX('Recurring Schedule'!$L$6:$L$45,R888)="","",INDEX('Recurring Schedule'!$L$6:$L$45,R888)))</f>
        <v/>
      </c>
      <c r="O888" s="36">
        <f>IF(C888="","",IF(AND(OR(L888="1-Urgent",L888="2-High"),M888="✓"),"DO FIRST",IF(M888="✓","SCHEDULE",IF(OR(L888="1-Urgent",L888="2-High"),"DELEGATE","DELETE"))))</f>
        <v/>
      </c>
      <c r="P888" s="65" t="n"/>
      <c r="Q888">
        <f>IF(883&gt;Calc!$AQ$368,"",MATCH(882,Calc!$AQ$2:$AQ$367,1))</f>
        <v/>
      </c>
      <c r="R888">
        <f>IF(Q888="","",SMALL(INDEX(Calc!$B$2:$AO$367,Q888,0),883-INDEX(Calc!$AQ$2:$AQ$367,Q888)))</f>
        <v/>
      </c>
    </row>
    <row r="889">
      <c r="B889" s="71">
        <f>IF(R889="","",884)</f>
        <v/>
      </c>
      <c r="C889" s="75">
        <f>IF(R889="","",IF(INDEX('Recurring Schedule'!$C$6:$C$45,R889)="","",INDEX('Recurring Schedule'!$C$6:$C$45,R889)))</f>
        <v/>
      </c>
      <c r="D889" s="73">
        <f>IF(R889="","",IF(INDEX('Recurring Schedule'!$D$6:$D$45,R889)="","",INDEX('Recurring Schedule'!$D$6:$D$45,R889)))</f>
        <v/>
      </c>
      <c r="E889" s="76">
        <f>IF(Q889="","",INDEX(Calc!$A$2:$A$367,Q889))</f>
        <v/>
      </c>
      <c r="F889" s="72">
        <f>IF(OR(C889="",E889=""),"",E889-Setup!$D$7)</f>
        <v/>
      </c>
      <c r="G889" s="77">
        <f>IF(R889="","",IF(INDEX('Recurring Schedule'!$H$6:$H$45,R889)="","",INDEX('Recurring Schedule'!$H$6:$H$45,R889)))</f>
        <v/>
      </c>
      <c r="H889" s="77">
        <f>IF(R889="","",IF(INDEX('Recurring Schedule'!$I$6:$I$45,R889)="","",INDEX('Recurring Schedule'!$I$6:$I$45,R889)))</f>
        <v/>
      </c>
      <c r="I889" s="73">
        <f>IF(OR(G889="",H889=""),"",TRIM(IF(HOUR(H889-G889)&gt;0,HOUR(H889-G889)&amp;" hr ","")&amp;IF(MINUTE(H889-G889)&gt;0,MINUTE(H889-G889)&amp;" min","")))</f>
        <v/>
      </c>
      <c r="J889" s="66" t="n"/>
      <c r="K889" s="70" t="n"/>
      <c r="L889" s="73">
        <f>IF(R889="","",IF(INDEX('Recurring Schedule'!$J$6:$J$45,R889)="","",INDEX('Recurring Schedule'!$J$6:$J$45,R889)))</f>
        <v/>
      </c>
      <c r="M889" s="73">
        <f>IF(R889="","",IF(INDEX('Recurring Schedule'!$K$6:$K$45,R889)="","",INDEX('Recurring Schedule'!$K$6:$K$45,R889)))</f>
        <v/>
      </c>
      <c r="N889" s="73">
        <f>IF(R889="","",IF(INDEX('Recurring Schedule'!$L$6:$L$45,R889)="","",INDEX('Recurring Schedule'!$L$6:$L$45,R889)))</f>
        <v/>
      </c>
      <c r="O889" s="73">
        <f>IF(C889="","",IF(AND(OR(L889="1-Urgent",L889="2-High"),M889="✓"),"DO FIRST",IF(M889="✓","SCHEDULE",IF(OR(L889="1-Urgent",L889="2-High"),"DELEGATE","DELETE"))))</f>
        <v/>
      </c>
      <c r="P889" s="65" t="n"/>
      <c r="Q889">
        <f>IF(884&gt;Calc!$AQ$368,"",MATCH(883,Calc!$AQ$2:$AQ$367,1))</f>
        <v/>
      </c>
      <c r="R889">
        <f>IF(Q889="","",SMALL(INDEX(Calc!$B$2:$AO$367,Q889,0),884-INDEX(Calc!$AQ$2:$AQ$367,Q889)))</f>
        <v/>
      </c>
    </row>
    <row r="890">
      <c r="B890" s="64">
        <f>IF(R890="","",885)</f>
        <v/>
      </c>
      <c r="C890" s="37">
        <f>IF(R890="","",IF(INDEX('Recurring Schedule'!$C$6:$C$45,R890)="","",INDEX('Recurring Schedule'!$C$6:$C$45,R890)))</f>
        <v/>
      </c>
      <c r="D890" s="36">
        <f>IF(R890="","",IF(INDEX('Recurring Schedule'!$D$6:$D$45,R890)="","",INDEX('Recurring Schedule'!$D$6:$D$45,R890)))</f>
        <v/>
      </c>
      <c r="E890" s="38">
        <f>IF(Q890="","",INDEX(Calc!$A$2:$A$367,Q890))</f>
        <v/>
      </c>
      <c r="F890" s="68">
        <f>IF(OR(C890="",E890=""),"",E890-Setup!$D$7)</f>
        <v/>
      </c>
      <c r="G890" s="74">
        <f>IF(R890="","",IF(INDEX('Recurring Schedule'!$H$6:$H$45,R890)="","",INDEX('Recurring Schedule'!$H$6:$H$45,R890)))</f>
        <v/>
      </c>
      <c r="H890" s="74">
        <f>IF(R890="","",IF(INDEX('Recurring Schedule'!$I$6:$I$45,R890)="","",INDEX('Recurring Schedule'!$I$6:$I$45,R890)))</f>
        <v/>
      </c>
      <c r="I890" s="36">
        <f>IF(OR(G890="",H890=""),"",TRIM(IF(HOUR(H890-G890)&gt;0,HOUR(H890-G890)&amp;" hr ","")&amp;IF(MINUTE(H890-G890)&gt;0,MINUTE(H890-G890)&amp;" min","")))</f>
        <v/>
      </c>
      <c r="J890" s="66" t="n"/>
      <c r="K890" s="70" t="n"/>
      <c r="L890" s="36">
        <f>IF(R890="","",IF(INDEX('Recurring Schedule'!$J$6:$J$45,R890)="","",INDEX('Recurring Schedule'!$J$6:$J$45,R890)))</f>
        <v/>
      </c>
      <c r="M890" s="36">
        <f>IF(R890="","",IF(INDEX('Recurring Schedule'!$K$6:$K$45,R890)="","",INDEX('Recurring Schedule'!$K$6:$K$45,R890)))</f>
        <v/>
      </c>
      <c r="N890" s="36">
        <f>IF(R890="","",IF(INDEX('Recurring Schedule'!$L$6:$L$45,R890)="","",INDEX('Recurring Schedule'!$L$6:$L$45,R890)))</f>
        <v/>
      </c>
      <c r="O890" s="36">
        <f>IF(C890="","",IF(AND(OR(L890="1-Urgent",L890="2-High"),M890="✓"),"DO FIRST",IF(M890="✓","SCHEDULE",IF(OR(L890="1-Urgent",L890="2-High"),"DELEGATE","DELETE"))))</f>
        <v/>
      </c>
      <c r="P890" s="65" t="n"/>
      <c r="Q890">
        <f>IF(885&gt;Calc!$AQ$368,"",MATCH(884,Calc!$AQ$2:$AQ$367,1))</f>
        <v/>
      </c>
      <c r="R890">
        <f>IF(Q890="","",SMALL(INDEX(Calc!$B$2:$AO$367,Q890,0),885-INDEX(Calc!$AQ$2:$AQ$367,Q890)))</f>
        <v/>
      </c>
    </row>
    <row r="891">
      <c r="B891" s="71">
        <f>IF(R891="","",886)</f>
        <v/>
      </c>
      <c r="C891" s="75">
        <f>IF(R891="","",IF(INDEX('Recurring Schedule'!$C$6:$C$45,R891)="","",INDEX('Recurring Schedule'!$C$6:$C$45,R891)))</f>
        <v/>
      </c>
      <c r="D891" s="73">
        <f>IF(R891="","",IF(INDEX('Recurring Schedule'!$D$6:$D$45,R891)="","",INDEX('Recurring Schedule'!$D$6:$D$45,R891)))</f>
        <v/>
      </c>
      <c r="E891" s="76">
        <f>IF(Q891="","",INDEX(Calc!$A$2:$A$367,Q891))</f>
        <v/>
      </c>
      <c r="F891" s="72">
        <f>IF(OR(C891="",E891=""),"",E891-Setup!$D$7)</f>
        <v/>
      </c>
      <c r="G891" s="77">
        <f>IF(R891="","",IF(INDEX('Recurring Schedule'!$H$6:$H$45,R891)="","",INDEX('Recurring Schedule'!$H$6:$H$45,R891)))</f>
        <v/>
      </c>
      <c r="H891" s="77">
        <f>IF(R891="","",IF(INDEX('Recurring Schedule'!$I$6:$I$45,R891)="","",INDEX('Recurring Schedule'!$I$6:$I$45,R891)))</f>
        <v/>
      </c>
      <c r="I891" s="73">
        <f>IF(OR(G891="",H891=""),"",TRIM(IF(HOUR(H891-G891)&gt;0,HOUR(H891-G891)&amp;" hr ","")&amp;IF(MINUTE(H891-G891)&gt;0,MINUTE(H891-G891)&amp;" min","")))</f>
        <v/>
      </c>
      <c r="J891" s="66" t="n"/>
      <c r="K891" s="70" t="n"/>
      <c r="L891" s="73">
        <f>IF(R891="","",IF(INDEX('Recurring Schedule'!$J$6:$J$45,R891)="","",INDEX('Recurring Schedule'!$J$6:$J$45,R891)))</f>
        <v/>
      </c>
      <c r="M891" s="73">
        <f>IF(R891="","",IF(INDEX('Recurring Schedule'!$K$6:$K$45,R891)="","",INDEX('Recurring Schedule'!$K$6:$K$45,R891)))</f>
        <v/>
      </c>
      <c r="N891" s="73">
        <f>IF(R891="","",IF(INDEX('Recurring Schedule'!$L$6:$L$45,R891)="","",INDEX('Recurring Schedule'!$L$6:$L$45,R891)))</f>
        <v/>
      </c>
      <c r="O891" s="73">
        <f>IF(C891="","",IF(AND(OR(L891="1-Urgent",L891="2-High"),M891="✓"),"DO FIRST",IF(M891="✓","SCHEDULE",IF(OR(L891="1-Urgent",L891="2-High"),"DELEGATE","DELETE"))))</f>
        <v/>
      </c>
      <c r="P891" s="65" t="n"/>
      <c r="Q891">
        <f>IF(886&gt;Calc!$AQ$368,"",MATCH(885,Calc!$AQ$2:$AQ$367,1))</f>
        <v/>
      </c>
      <c r="R891">
        <f>IF(Q891="","",SMALL(INDEX(Calc!$B$2:$AO$367,Q891,0),886-INDEX(Calc!$AQ$2:$AQ$367,Q891)))</f>
        <v/>
      </c>
    </row>
    <row r="892">
      <c r="B892" s="64">
        <f>IF(R892="","",887)</f>
        <v/>
      </c>
      <c r="C892" s="37">
        <f>IF(R892="","",IF(INDEX('Recurring Schedule'!$C$6:$C$45,R892)="","",INDEX('Recurring Schedule'!$C$6:$C$45,R892)))</f>
        <v/>
      </c>
      <c r="D892" s="36">
        <f>IF(R892="","",IF(INDEX('Recurring Schedule'!$D$6:$D$45,R892)="","",INDEX('Recurring Schedule'!$D$6:$D$45,R892)))</f>
        <v/>
      </c>
      <c r="E892" s="38">
        <f>IF(Q892="","",INDEX(Calc!$A$2:$A$367,Q892))</f>
        <v/>
      </c>
      <c r="F892" s="68">
        <f>IF(OR(C892="",E892=""),"",E892-Setup!$D$7)</f>
        <v/>
      </c>
      <c r="G892" s="74">
        <f>IF(R892="","",IF(INDEX('Recurring Schedule'!$H$6:$H$45,R892)="","",INDEX('Recurring Schedule'!$H$6:$H$45,R892)))</f>
        <v/>
      </c>
      <c r="H892" s="74">
        <f>IF(R892="","",IF(INDEX('Recurring Schedule'!$I$6:$I$45,R892)="","",INDEX('Recurring Schedule'!$I$6:$I$45,R892)))</f>
        <v/>
      </c>
      <c r="I892" s="36">
        <f>IF(OR(G892="",H892=""),"",TRIM(IF(HOUR(H892-G892)&gt;0,HOUR(H892-G892)&amp;" hr ","")&amp;IF(MINUTE(H892-G892)&gt;0,MINUTE(H892-G892)&amp;" min","")))</f>
        <v/>
      </c>
      <c r="J892" s="66" t="n"/>
      <c r="K892" s="70" t="n"/>
      <c r="L892" s="36">
        <f>IF(R892="","",IF(INDEX('Recurring Schedule'!$J$6:$J$45,R892)="","",INDEX('Recurring Schedule'!$J$6:$J$45,R892)))</f>
        <v/>
      </c>
      <c r="M892" s="36">
        <f>IF(R892="","",IF(INDEX('Recurring Schedule'!$K$6:$K$45,R892)="","",INDEX('Recurring Schedule'!$K$6:$K$45,R892)))</f>
        <v/>
      </c>
      <c r="N892" s="36">
        <f>IF(R892="","",IF(INDEX('Recurring Schedule'!$L$6:$L$45,R892)="","",INDEX('Recurring Schedule'!$L$6:$L$45,R892)))</f>
        <v/>
      </c>
      <c r="O892" s="36">
        <f>IF(C892="","",IF(AND(OR(L892="1-Urgent",L892="2-High"),M892="✓"),"DO FIRST",IF(M892="✓","SCHEDULE",IF(OR(L892="1-Urgent",L892="2-High"),"DELEGATE","DELETE"))))</f>
        <v/>
      </c>
      <c r="P892" s="65" t="n"/>
      <c r="Q892">
        <f>IF(887&gt;Calc!$AQ$368,"",MATCH(886,Calc!$AQ$2:$AQ$367,1))</f>
        <v/>
      </c>
      <c r="R892">
        <f>IF(Q892="","",SMALL(INDEX(Calc!$B$2:$AO$367,Q892,0),887-INDEX(Calc!$AQ$2:$AQ$367,Q892)))</f>
        <v/>
      </c>
    </row>
    <row r="893">
      <c r="B893" s="71">
        <f>IF(R893="","",888)</f>
        <v/>
      </c>
      <c r="C893" s="75">
        <f>IF(R893="","",IF(INDEX('Recurring Schedule'!$C$6:$C$45,R893)="","",INDEX('Recurring Schedule'!$C$6:$C$45,R893)))</f>
        <v/>
      </c>
      <c r="D893" s="73">
        <f>IF(R893="","",IF(INDEX('Recurring Schedule'!$D$6:$D$45,R893)="","",INDEX('Recurring Schedule'!$D$6:$D$45,R893)))</f>
        <v/>
      </c>
      <c r="E893" s="76">
        <f>IF(Q893="","",INDEX(Calc!$A$2:$A$367,Q893))</f>
        <v/>
      </c>
      <c r="F893" s="72">
        <f>IF(OR(C893="",E893=""),"",E893-Setup!$D$7)</f>
        <v/>
      </c>
      <c r="G893" s="77">
        <f>IF(R893="","",IF(INDEX('Recurring Schedule'!$H$6:$H$45,R893)="","",INDEX('Recurring Schedule'!$H$6:$H$45,R893)))</f>
        <v/>
      </c>
      <c r="H893" s="77">
        <f>IF(R893="","",IF(INDEX('Recurring Schedule'!$I$6:$I$45,R893)="","",INDEX('Recurring Schedule'!$I$6:$I$45,R893)))</f>
        <v/>
      </c>
      <c r="I893" s="73">
        <f>IF(OR(G893="",H893=""),"",TRIM(IF(HOUR(H893-G893)&gt;0,HOUR(H893-G893)&amp;" hr ","")&amp;IF(MINUTE(H893-G893)&gt;0,MINUTE(H893-G893)&amp;" min","")))</f>
        <v/>
      </c>
      <c r="J893" s="66" t="n"/>
      <c r="K893" s="70" t="n"/>
      <c r="L893" s="73">
        <f>IF(R893="","",IF(INDEX('Recurring Schedule'!$J$6:$J$45,R893)="","",INDEX('Recurring Schedule'!$J$6:$J$45,R893)))</f>
        <v/>
      </c>
      <c r="M893" s="73">
        <f>IF(R893="","",IF(INDEX('Recurring Schedule'!$K$6:$K$45,R893)="","",INDEX('Recurring Schedule'!$K$6:$K$45,R893)))</f>
        <v/>
      </c>
      <c r="N893" s="73">
        <f>IF(R893="","",IF(INDEX('Recurring Schedule'!$L$6:$L$45,R893)="","",INDEX('Recurring Schedule'!$L$6:$L$45,R893)))</f>
        <v/>
      </c>
      <c r="O893" s="73">
        <f>IF(C893="","",IF(AND(OR(L893="1-Urgent",L893="2-High"),M893="✓"),"DO FIRST",IF(M893="✓","SCHEDULE",IF(OR(L893="1-Urgent",L893="2-High"),"DELEGATE","DELETE"))))</f>
        <v/>
      </c>
      <c r="P893" s="65" t="n"/>
      <c r="Q893">
        <f>IF(888&gt;Calc!$AQ$368,"",MATCH(887,Calc!$AQ$2:$AQ$367,1))</f>
        <v/>
      </c>
      <c r="R893">
        <f>IF(Q893="","",SMALL(INDEX(Calc!$B$2:$AO$367,Q893,0),888-INDEX(Calc!$AQ$2:$AQ$367,Q893)))</f>
        <v/>
      </c>
    </row>
    <row r="894">
      <c r="B894" s="64">
        <f>IF(R894="","",889)</f>
        <v/>
      </c>
      <c r="C894" s="37">
        <f>IF(R894="","",IF(INDEX('Recurring Schedule'!$C$6:$C$45,R894)="","",INDEX('Recurring Schedule'!$C$6:$C$45,R894)))</f>
        <v/>
      </c>
      <c r="D894" s="36">
        <f>IF(R894="","",IF(INDEX('Recurring Schedule'!$D$6:$D$45,R894)="","",INDEX('Recurring Schedule'!$D$6:$D$45,R894)))</f>
        <v/>
      </c>
      <c r="E894" s="38">
        <f>IF(Q894="","",INDEX(Calc!$A$2:$A$367,Q894))</f>
        <v/>
      </c>
      <c r="F894" s="68">
        <f>IF(OR(C894="",E894=""),"",E894-Setup!$D$7)</f>
        <v/>
      </c>
      <c r="G894" s="74">
        <f>IF(R894="","",IF(INDEX('Recurring Schedule'!$H$6:$H$45,R894)="","",INDEX('Recurring Schedule'!$H$6:$H$45,R894)))</f>
        <v/>
      </c>
      <c r="H894" s="74">
        <f>IF(R894="","",IF(INDEX('Recurring Schedule'!$I$6:$I$45,R894)="","",INDEX('Recurring Schedule'!$I$6:$I$45,R894)))</f>
        <v/>
      </c>
      <c r="I894" s="36">
        <f>IF(OR(G894="",H894=""),"",TRIM(IF(HOUR(H894-G894)&gt;0,HOUR(H894-G894)&amp;" hr ","")&amp;IF(MINUTE(H894-G894)&gt;0,MINUTE(H894-G894)&amp;" min","")))</f>
        <v/>
      </c>
      <c r="J894" s="66" t="n"/>
      <c r="K894" s="70" t="n"/>
      <c r="L894" s="36">
        <f>IF(R894="","",IF(INDEX('Recurring Schedule'!$J$6:$J$45,R894)="","",INDEX('Recurring Schedule'!$J$6:$J$45,R894)))</f>
        <v/>
      </c>
      <c r="M894" s="36">
        <f>IF(R894="","",IF(INDEX('Recurring Schedule'!$K$6:$K$45,R894)="","",INDEX('Recurring Schedule'!$K$6:$K$45,R894)))</f>
        <v/>
      </c>
      <c r="N894" s="36">
        <f>IF(R894="","",IF(INDEX('Recurring Schedule'!$L$6:$L$45,R894)="","",INDEX('Recurring Schedule'!$L$6:$L$45,R894)))</f>
        <v/>
      </c>
      <c r="O894" s="36">
        <f>IF(C894="","",IF(AND(OR(L894="1-Urgent",L894="2-High"),M894="✓"),"DO FIRST",IF(M894="✓","SCHEDULE",IF(OR(L894="1-Urgent",L894="2-High"),"DELEGATE","DELETE"))))</f>
        <v/>
      </c>
      <c r="P894" s="65" t="n"/>
      <c r="Q894">
        <f>IF(889&gt;Calc!$AQ$368,"",MATCH(888,Calc!$AQ$2:$AQ$367,1))</f>
        <v/>
      </c>
      <c r="R894">
        <f>IF(Q894="","",SMALL(INDEX(Calc!$B$2:$AO$367,Q894,0),889-INDEX(Calc!$AQ$2:$AQ$367,Q894)))</f>
        <v/>
      </c>
    </row>
    <row r="895">
      <c r="B895" s="71">
        <f>IF(R895="","",890)</f>
        <v/>
      </c>
      <c r="C895" s="75">
        <f>IF(R895="","",IF(INDEX('Recurring Schedule'!$C$6:$C$45,R895)="","",INDEX('Recurring Schedule'!$C$6:$C$45,R895)))</f>
        <v/>
      </c>
      <c r="D895" s="73">
        <f>IF(R895="","",IF(INDEX('Recurring Schedule'!$D$6:$D$45,R895)="","",INDEX('Recurring Schedule'!$D$6:$D$45,R895)))</f>
        <v/>
      </c>
      <c r="E895" s="76">
        <f>IF(Q895="","",INDEX(Calc!$A$2:$A$367,Q895))</f>
        <v/>
      </c>
      <c r="F895" s="72">
        <f>IF(OR(C895="",E895=""),"",E895-Setup!$D$7)</f>
        <v/>
      </c>
      <c r="G895" s="77">
        <f>IF(R895="","",IF(INDEX('Recurring Schedule'!$H$6:$H$45,R895)="","",INDEX('Recurring Schedule'!$H$6:$H$45,R895)))</f>
        <v/>
      </c>
      <c r="H895" s="77">
        <f>IF(R895="","",IF(INDEX('Recurring Schedule'!$I$6:$I$45,R895)="","",INDEX('Recurring Schedule'!$I$6:$I$45,R895)))</f>
        <v/>
      </c>
      <c r="I895" s="73">
        <f>IF(OR(G895="",H895=""),"",TRIM(IF(HOUR(H895-G895)&gt;0,HOUR(H895-G895)&amp;" hr ","")&amp;IF(MINUTE(H895-G895)&gt;0,MINUTE(H895-G895)&amp;" min","")))</f>
        <v/>
      </c>
      <c r="J895" s="66" t="n"/>
      <c r="K895" s="70" t="n"/>
      <c r="L895" s="73">
        <f>IF(R895="","",IF(INDEX('Recurring Schedule'!$J$6:$J$45,R895)="","",INDEX('Recurring Schedule'!$J$6:$J$45,R895)))</f>
        <v/>
      </c>
      <c r="M895" s="73">
        <f>IF(R895="","",IF(INDEX('Recurring Schedule'!$K$6:$K$45,R895)="","",INDEX('Recurring Schedule'!$K$6:$K$45,R895)))</f>
        <v/>
      </c>
      <c r="N895" s="73">
        <f>IF(R895="","",IF(INDEX('Recurring Schedule'!$L$6:$L$45,R895)="","",INDEX('Recurring Schedule'!$L$6:$L$45,R895)))</f>
        <v/>
      </c>
      <c r="O895" s="73">
        <f>IF(C895="","",IF(AND(OR(L895="1-Urgent",L895="2-High"),M895="✓"),"DO FIRST",IF(M895="✓","SCHEDULE",IF(OR(L895="1-Urgent",L895="2-High"),"DELEGATE","DELETE"))))</f>
        <v/>
      </c>
      <c r="P895" s="65" t="n"/>
      <c r="Q895">
        <f>IF(890&gt;Calc!$AQ$368,"",MATCH(889,Calc!$AQ$2:$AQ$367,1))</f>
        <v/>
      </c>
      <c r="R895">
        <f>IF(Q895="","",SMALL(INDEX(Calc!$B$2:$AO$367,Q895,0),890-INDEX(Calc!$AQ$2:$AQ$367,Q895)))</f>
        <v/>
      </c>
    </row>
    <row r="896">
      <c r="B896" s="64">
        <f>IF(R896="","",891)</f>
        <v/>
      </c>
      <c r="C896" s="37">
        <f>IF(R896="","",IF(INDEX('Recurring Schedule'!$C$6:$C$45,R896)="","",INDEX('Recurring Schedule'!$C$6:$C$45,R896)))</f>
        <v/>
      </c>
      <c r="D896" s="36">
        <f>IF(R896="","",IF(INDEX('Recurring Schedule'!$D$6:$D$45,R896)="","",INDEX('Recurring Schedule'!$D$6:$D$45,R896)))</f>
        <v/>
      </c>
      <c r="E896" s="38">
        <f>IF(Q896="","",INDEX(Calc!$A$2:$A$367,Q896))</f>
        <v/>
      </c>
      <c r="F896" s="68">
        <f>IF(OR(C896="",E896=""),"",E896-Setup!$D$7)</f>
        <v/>
      </c>
      <c r="G896" s="74">
        <f>IF(R896="","",IF(INDEX('Recurring Schedule'!$H$6:$H$45,R896)="","",INDEX('Recurring Schedule'!$H$6:$H$45,R896)))</f>
        <v/>
      </c>
      <c r="H896" s="74">
        <f>IF(R896="","",IF(INDEX('Recurring Schedule'!$I$6:$I$45,R896)="","",INDEX('Recurring Schedule'!$I$6:$I$45,R896)))</f>
        <v/>
      </c>
      <c r="I896" s="36">
        <f>IF(OR(G896="",H896=""),"",TRIM(IF(HOUR(H896-G896)&gt;0,HOUR(H896-G896)&amp;" hr ","")&amp;IF(MINUTE(H896-G896)&gt;0,MINUTE(H896-G896)&amp;" min","")))</f>
        <v/>
      </c>
      <c r="J896" s="66" t="n"/>
      <c r="K896" s="70" t="n"/>
      <c r="L896" s="36">
        <f>IF(R896="","",IF(INDEX('Recurring Schedule'!$J$6:$J$45,R896)="","",INDEX('Recurring Schedule'!$J$6:$J$45,R896)))</f>
        <v/>
      </c>
      <c r="M896" s="36">
        <f>IF(R896="","",IF(INDEX('Recurring Schedule'!$K$6:$K$45,R896)="","",INDEX('Recurring Schedule'!$K$6:$K$45,R896)))</f>
        <v/>
      </c>
      <c r="N896" s="36">
        <f>IF(R896="","",IF(INDEX('Recurring Schedule'!$L$6:$L$45,R896)="","",INDEX('Recurring Schedule'!$L$6:$L$45,R896)))</f>
        <v/>
      </c>
      <c r="O896" s="36">
        <f>IF(C896="","",IF(AND(OR(L896="1-Urgent",L896="2-High"),M896="✓"),"DO FIRST",IF(M896="✓","SCHEDULE",IF(OR(L896="1-Urgent",L896="2-High"),"DELEGATE","DELETE"))))</f>
        <v/>
      </c>
      <c r="P896" s="65" t="n"/>
      <c r="Q896">
        <f>IF(891&gt;Calc!$AQ$368,"",MATCH(890,Calc!$AQ$2:$AQ$367,1))</f>
        <v/>
      </c>
      <c r="R896">
        <f>IF(Q896="","",SMALL(INDEX(Calc!$B$2:$AO$367,Q896,0),891-INDEX(Calc!$AQ$2:$AQ$367,Q896)))</f>
        <v/>
      </c>
    </row>
    <row r="897">
      <c r="B897" s="71">
        <f>IF(R897="","",892)</f>
        <v/>
      </c>
      <c r="C897" s="75">
        <f>IF(R897="","",IF(INDEX('Recurring Schedule'!$C$6:$C$45,R897)="","",INDEX('Recurring Schedule'!$C$6:$C$45,R897)))</f>
        <v/>
      </c>
      <c r="D897" s="73">
        <f>IF(R897="","",IF(INDEX('Recurring Schedule'!$D$6:$D$45,R897)="","",INDEX('Recurring Schedule'!$D$6:$D$45,R897)))</f>
        <v/>
      </c>
      <c r="E897" s="76">
        <f>IF(Q897="","",INDEX(Calc!$A$2:$A$367,Q897))</f>
        <v/>
      </c>
      <c r="F897" s="72">
        <f>IF(OR(C897="",E897=""),"",E897-Setup!$D$7)</f>
        <v/>
      </c>
      <c r="G897" s="77">
        <f>IF(R897="","",IF(INDEX('Recurring Schedule'!$H$6:$H$45,R897)="","",INDEX('Recurring Schedule'!$H$6:$H$45,R897)))</f>
        <v/>
      </c>
      <c r="H897" s="77">
        <f>IF(R897="","",IF(INDEX('Recurring Schedule'!$I$6:$I$45,R897)="","",INDEX('Recurring Schedule'!$I$6:$I$45,R897)))</f>
        <v/>
      </c>
      <c r="I897" s="73">
        <f>IF(OR(G897="",H897=""),"",TRIM(IF(HOUR(H897-G897)&gt;0,HOUR(H897-G897)&amp;" hr ","")&amp;IF(MINUTE(H897-G897)&gt;0,MINUTE(H897-G897)&amp;" min","")))</f>
        <v/>
      </c>
      <c r="J897" s="66" t="n"/>
      <c r="K897" s="70" t="n"/>
      <c r="L897" s="73">
        <f>IF(R897="","",IF(INDEX('Recurring Schedule'!$J$6:$J$45,R897)="","",INDEX('Recurring Schedule'!$J$6:$J$45,R897)))</f>
        <v/>
      </c>
      <c r="M897" s="73">
        <f>IF(R897="","",IF(INDEX('Recurring Schedule'!$K$6:$K$45,R897)="","",INDEX('Recurring Schedule'!$K$6:$K$45,R897)))</f>
        <v/>
      </c>
      <c r="N897" s="73">
        <f>IF(R897="","",IF(INDEX('Recurring Schedule'!$L$6:$L$45,R897)="","",INDEX('Recurring Schedule'!$L$6:$L$45,R897)))</f>
        <v/>
      </c>
      <c r="O897" s="73">
        <f>IF(C897="","",IF(AND(OR(L897="1-Urgent",L897="2-High"),M897="✓"),"DO FIRST",IF(M897="✓","SCHEDULE",IF(OR(L897="1-Urgent",L897="2-High"),"DELEGATE","DELETE"))))</f>
        <v/>
      </c>
      <c r="P897" s="65" t="n"/>
      <c r="Q897">
        <f>IF(892&gt;Calc!$AQ$368,"",MATCH(891,Calc!$AQ$2:$AQ$367,1))</f>
        <v/>
      </c>
      <c r="R897">
        <f>IF(Q897="","",SMALL(INDEX(Calc!$B$2:$AO$367,Q897,0),892-INDEX(Calc!$AQ$2:$AQ$367,Q897)))</f>
        <v/>
      </c>
    </row>
    <row r="898">
      <c r="B898" s="64">
        <f>IF(R898="","",893)</f>
        <v/>
      </c>
      <c r="C898" s="37">
        <f>IF(R898="","",IF(INDEX('Recurring Schedule'!$C$6:$C$45,R898)="","",INDEX('Recurring Schedule'!$C$6:$C$45,R898)))</f>
        <v/>
      </c>
      <c r="D898" s="36">
        <f>IF(R898="","",IF(INDEX('Recurring Schedule'!$D$6:$D$45,R898)="","",INDEX('Recurring Schedule'!$D$6:$D$45,R898)))</f>
        <v/>
      </c>
      <c r="E898" s="38">
        <f>IF(Q898="","",INDEX(Calc!$A$2:$A$367,Q898))</f>
        <v/>
      </c>
      <c r="F898" s="68">
        <f>IF(OR(C898="",E898=""),"",E898-Setup!$D$7)</f>
        <v/>
      </c>
      <c r="G898" s="74">
        <f>IF(R898="","",IF(INDEX('Recurring Schedule'!$H$6:$H$45,R898)="","",INDEX('Recurring Schedule'!$H$6:$H$45,R898)))</f>
        <v/>
      </c>
      <c r="H898" s="74">
        <f>IF(R898="","",IF(INDEX('Recurring Schedule'!$I$6:$I$45,R898)="","",INDEX('Recurring Schedule'!$I$6:$I$45,R898)))</f>
        <v/>
      </c>
      <c r="I898" s="36">
        <f>IF(OR(G898="",H898=""),"",TRIM(IF(HOUR(H898-G898)&gt;0,HOUR(H898-G898)&amp;" hr ","")&amp;IF(MINUTE(H898-G898)&gt;0,MINUTE(H898-G898)&amp;" min","")))</f>
        <v/>
      </c>
      <c r="J898" s="66" t="n"/>
      <c r="K898" s="70" t="n"/>
      <c r="L898" s="36">
        <f>IF(R898="","",IF(INDEX('Recurring Schedule'!$J$6:$J$45,R898)="","",INDEX('Recurring Schedule'!$J$6:$J$45,R898)))</f>
        <v/>
      </c>
      <c r="M898" s="36">
        <f>IF(R898="","",IF(INDEX('Recurring Schedule'!$K$6:$K$45,R898)="","",INDEX('Recurring Schedule'!$K$6:$K$45,R898)))</f>
        <v/>
      </c>
      <c r="N898" s="36">
        <f>IF(R898="","",IF(INDEX('Recurring Schedule'!$L$6:$L$45,R898)="","",INDEX('Recurring Schedule'!$L$6:$L$45,R898)))</f>
        <v/>
      </c>
      <c r="O898" s="36">
        <f>IF(C898="","",IF(AND(OR(L898="1-Urgent",L898="2-High"),M898="✓"),"DO FIRST",IF(M898="✓","SCHEDULE",IF(OR(L898="1-Urgent",L898="2-High"),"DELEGATE","DELETE"))))</f>
        <v/>
      </c>
      <c r="P898" s="65" t="n"/>
      <c r="Q898">
        <f>IF(893&gt;Calc!$AQ$368,"",MATCH(892,Calc!$AQ$2:$AQ$367,1))</f>
        <v/>
      </c>
      <c r="R898">
        <f>IF(Q898="","",SMALL(INDEX(Calc!$B$2:$AO$367,Q898,0),893-INDEX(Calc!$AQ$2:$AQ$367,Q898)))</f>
        <v/>
      </c>
    </row>
    <row r="899">
      <c r="B899" s="71">
        <f>IF(R899="","",894)</f>
        <v/>
      </c>
      <c r="C899" s="75">
        <f>IF(R899="","",IF(INDEX('Recurring Schedule'!$C$6:$C$45,R899)="","",INDEX('Recurring Schedule'!$C$6:$C$45,R899)))</f>
        <v/>
      </c>
      <c r="D899" s="73">
        <f>IF(R899="","",IF(INDEX('Recurring Schedule'!$D$6:$D$45,R899)="","",INDEX('Recurring Schedule'!$D$6:$D$45,R899)))</f>
        <v/>
      </c>
      <c r="E899" s="76">
        <f>IF(Q899="","",INDEX(Calc!$A$2:$A$367,Q899))</f>
        <v/>
      </c>
      <c r="F899" s="72">
        <f>IF(OR(C899="",E899=""),"",E899-Setup!$D$7)</f>
        <v/>
      </c>
      <c r="G899" s="77">
        <f>IF(R899="","",IF(INDEX('Recurring Schedule'!$H$6:$H$45,R899)="","",INDEX('Recurring Schedule'!$H$6:$H$45,R899)))</f>
        <v/>
      </c>
      <c r="H899" s="77">
        <f>IF(R899="","",IF(INDEX('Recurring Schedule'!$I$6:$I$45,R899)="","",INDEX('Recurring Schedule'!$I$6:$I$45,R899)))</f>
        <v/>
      </c>
      <c r="I899" s="73">
        <f>IF(OR(G899="",H899=""),"",TRIM(IF(HOUR(H899-G899)&gt;0,HOUR(H899-G899)&amp;" hr ","")&amp;IF(MINUTE(H899-G899)&gt;0,MINUTE(H899-G899)&amp;" min","")))</f>
        <v/>
      </c>
      <c r="J899" s="66" t="n"/>
      <c r="K899" s="70" t="n"/>
      <c r="L899" s="73">
        <f>IF(R899="","",IF(INDEX('Recurring Schedule'!$J$6:$J$45,R899)="","",INDEX('Recurring Schedule'!$J$6:$J$45,R899)))</f>
        <v/>
      </c>
      <c r="M899" s="73">
        <f>IF(R899="","",IF(INDEX('Recurring Schedule'!$K$6:$K$45,R899)="","",INDEX('Recurring Schedule'!$K$6:$K$45,R899)))</f>
        <v/>
      </c>
      <c r="N899" s="73">
        <f>IF(R899="","",IF(INDEX('Recurring Schedule'!$L$6:$L$45,R899)="","",INDEX('Recurring Schedule'!$L$6:$L$45,R899)))</f>
        <v/>
      </c>
      <c r="O899" s="73">
        <f>IF(C899="","",IF(AND(OR(L899="1-Urgent",L899="2-High"),M899="✓"),"DO FIRST",IF(M899="✓","SCHEDULE",IF(OR(L899="1-Urgent",L899="2-High"),"DELEGATE","DELETE"))))</f>
        <v/>
      </c>
      <c r="P899" s="65" t="n"/>
      <c r="Q899">
        <f>IF(894&gt;Calc!$AQ$368,"",MATCH(893,Calc!$AQ$2:$AQ$367,1))</f>
        <v/>
      </c>
      <c r="R899">
        <f>IF(Q899="","",SMALL(INDEX(Calc!$B$2:$AO$367,Q899,0),894-INDEX(Calc!$AQ$2:$AQ$367,Q899)))</f>
        <v/>
      </c>
    </row>
    <row r="900">
      <c r="B900" s="64">
        <f>IF(R900="","",895)</f>
        <v/>
      </c>
      <c r="C900" s="37">
        <f>IF(R900="","",IF(INDEX('Recurring Schedule'!$C$6:$C$45,R900)="","",INDEX('Recurring Schedule'!$C$6:$C$45,R900)))</f>
        <v/>
      </c>
      <c r="D900" s="36">
        <f>IF(R900="","",IF(INDEX('Recurring Schedule'!$D$6:$D$45,R900)="","",INDEX('Recurring Schedule'!$D$6:$D$45,R900)))</f>
        <v/>
      </c>
      <c r="E900" s="38">
        <f>IF(Q900="","",INDEX(Calc!$A$2:$A$367,Q900))</f>
        <v/>
      </c>
      <c r="F900" s="68">
        <f>IF(OR(C900="",E900=""),"",E900-Setup!$D$7)</f>
        <v/>
      </c>
      <c r="G900" s="74">
        <f>IF(R900="","",IF(INDEX('Recurring Schedule'!$H$6:$H$45,R900)="","",INDEX('Recurring Schedule'!$H$6:$H$45,R900)))</f>
        <v/>
      </c>
      <c r="H900" s="74">
        <f>IF(R900="","",IF(INDEX('Recurring Schedule'!$I$6:$I$45,R900)="","",INDEX('Recurring Schedule'!$I$6:$I$45,R900)))</f>
        <v/>
      </c>
      <c r="I900" s="36">
        <f>IF(OR(G900="",H900=""),"",TRIM(IF(HOUR(H900-G900)&gt;0,HOUR(H900-G900)&amp;" hr ","")&amp;IF(MINUTE(H900-G900)&gt;0,MINUTE(H900-G900)&amp;" min","")))</f>
        <v/>
      </c>
      <c r="J900" s="66" t="n"/>
      <c r="K900" s="70" t="n"/>
      <c r="L900" s="36">
        <f>IF(R900="","",IF(INDEX('Recurring Schedule'!$J$6:$J$45,R900)="","",INDEX('Recurring Schedule'!$J$6:$J$45,R900)))</f>
        <v/>
      </c>
      <c r="M900" s="36">
        <f>IF(R900="","",IF(INDEX('Recurring Schedule'!$K$6:$K$45,R900)="","",INDEX('Recurring Schedule'!$K$6:$K$45,R900)))</f>
        <v/>
      </c>
      <c r="N900" s="36">
        <f>IF(R900="","",IF(INDEX('Recurring Schedule'!$L$6:$L$45,R900)="","",INDEX('Recurring Schedule'!$L$6:$L$45,R900)))</f>
        <v/>
      </c>
      <c r="O900" s="36">
        <f>IF(C900="","",IF(AND(OR(L900="1-Urgent",L900="2-High"),M900="✓"),"DO FIRST",IF(M900="✓","SCHEDULE",IF(OR(L900="1-Urgent",L900="2-High"),"DELEGATE","DELETE"))))</f>
        <v/>
      </c>
      <c r="P900" s="65" t="n"/>
      <c r="Q900">
        <f>IF(895&gt;Calc!$AQ$368,"",MATCH(894,Calc!$AQ$2:$AQ$367,1))</f>
        <v/>
      </c>
      <c r="R900">
        <f>IF(Q900="","",SMALL(INDEX(Calc!$B$2:$AO$367,Q900,0),895-INDEX(Calc!$AQ$2:$AQ$367,Q900)))</f>
        <v/>
      </c>
    </row>
    <row r="901">
      <c r="B901" s="71">
        <f>IF(R901="","",896)</f>
        <v/>
      </c>
      <c r="C901" s="75">
        <f>IF(R901="","",IF(INDEX('Recurring Schedule'!$C$6:$C$45,R901)="","",INDEX('Recurring Schedule'!$C$6:$C$45,R901)))</f>
        <v/>
      </c>
      <c r="D901" s="73">
        <f>IF(R901="","",IF(INDEX('Recurring Schedule'!$D$6:$D$45,R901)="","",INDEX('Recurring Schedule'!$D$6:$D$45,R901)))</f>
        <v/>
      </c>
      <c r="E901" s="76">
        <f>IF(Q901="","",INDEX(Calc!$A$2:$A$367,Q901))</f>
        <v/>
      </c>
      <c r="F901" s="72">
        <f>IF(OR(C901="",E901=""),"",E901-Setup!$D$7)</f>
        <v/>
      </c>
      <c r="G901" s="77">
        <f>IF(R901="","",IF(INDEX('Recurring Schedule'!$H$6:$H$45,R901)="","",INDEX('Recurring Schedule'!$H$6:$H$45,R901)))</f>
        <v/>
      </c>
      <c r="H901" s="77">
        <f>IF(R901="","",IF(INDEX('Recurring Schedule'!$I$6:$I$45,R901)="","",INDEX('Recurring Schedule'!$I$6:$I$45,R901)))</f>
        <v/>
      </c>
      <c r="I901" s="73">
        <f>IF(OR(G901="",H901=""),"",TRIM(IF(HOUR(H901-G901)&gt;0,HOUR(H901-G901)&amp;" hr ","")&amp;IF(MINUTE(H901-G901)&gt;0,MINUTE(H901-G901)&amp;" min","")))</f>
        <v/>
      </c>
      <c r="J901" s="66" t="n"/>
      <c r="K901" s="70" t="n"/>
      <c r="L901" s="73">
        <f>IF(R901="","",IF(INDEX('Recurring Schedule'!$J$6:$J$45,R901)="","",INDEX('Recurring Schedule'!$J$6:$J$45,R901)))</f>
        <v/>
      </c>
      <c r="M901" s="73">
        <f>IF(R901="","",IF(INDEX('Recurring Schedule'!$K$6:$K$45,R901)="","",INDEX('Recurring Schedule'!$K$6:$K$45,R901)))</f>
        <v/>
      </c>
      <c r="N901" s="73">
        <f>IF(R901="","",IF(INDEX('Recurring Schedule'!$L$6:$L$45,R901)="","",INDEX('Recurring Schedule'!$L$6:$L$45,R901)))</f>
        <v/>
      </c>
      <c r="O901" s="73">
        <f>IF(C901="","",IF(AND(OR(L901="1-Urgent",L901="2-High"),M901="✓"),"DO FIRST",IF(M901="✓","SCHEDULE",IF(OR(L901="1-Urgent",L901="2-High"),"DELEGATE","DELETE"))))</f>
        <v/>
      </c>
      <c r="P901" s="65" t="n"/>
      <c r="Q901">
        <f>IF(896&gt;Calc!$AQ$368,"",MATCH(895,Calc!$AQ$2:$AQ$367,1))</f>
        <v/>
      </c>
      <c r="R901">
        <f>IF(Q901="","",SMALL(INDEX(Calc!$B$2:$AO$367,Q901,0),896-INDEX(Calc!$AQ$2:$AQ$367,Q901)))</f>
        <v/>
      </c>
    </row>
    <row r="902">
      <c r="B902" s="64">
        <f>IF(R902="","",897)</f>
        <v/>
      </c>
      <c r="C902" s="37">
        <f>IF(R902="","",IF(INDEX('Recurring Schedule'!$C$6:$C$45,R902)="","",INDEX('Recurring Schedule'!$C$6:$C$45,R902)))</f>
        <v/>
      </c>
      <c r="D902" s="36">
        <f>IF(R902="","",IF(INDEX('Recurring Schedule'!$D$6:$D$45,R902)="","",INDEX('Recurring Schedule'!$D$6:$D$45,R902)))</f>
        <v/>
      </c>
      <c r="E902" s="38">
        <f>IF(Q902="","",INDEX(Calc!$A$2:$A$367,Q902))</f>
        <v/>
      </c>
      <c r="F902" s="68">
        <f>IF(OR(C902="",E902=""),"",E902-Setup!$D$7)</f>
        <v/>
      </c>
      <c r="G902" s="74">
        <f>IF(R902="","",IF(INDEX('Recurring Schedule'!$H$6:$H$45,R902)="","",INDEX('Recurring Schedule'!$H$6:$H$45,R902)))</f>
        <v/>
      </c>
      <c r="H902" s="74">
        <f>IF(R902="","",IF(INDEX('Recurring Schedule'!$I$6:$I$45,R902)="","",INDEX('Recurring Schedule'!$I$6:$I$45,R902)))</f>
        <v/>
      </c>
      <c r="I902" s="36">
        <f>IF(OR(G902="",H902=""),"",TRIM(IF(HOUR(H902-G902)&gt;0,HOUR(H902-G902)&amp;" hr ","")&amp;IF(MINUTE(H902-G902)&gt;0,MINUTE(H902-G902)&amp;" min","")))</f>
        <v/>
      </c>
      <c r="J902" s="66" t="n"/>
      <c r="K902" s="70" t="n"/>
      <c r="L902" s="36">
        <f>IF(R902="","",IF(INDEX('Recurring Schedule'!$J$6:$J$45,R902)="","",INDEX('Recurring Schedule'!$J$6:$J$45,R902)))</f>
        <v/>
      </c>
      <c r="M902" s="36">
        <f>IF(R902="","",IF(INDEX('Recurring Schedule'!$K$6:$K$45,R902)="","",INDEX('Recurring Schedule'!$K$6:$K$45,R902)))</f>
        <v/>
      </c>
      <c r="N902" s="36">
        <f>IF(R902="","",IF(INDEX('Recurring Schedule'!$L$6:$L$45,R902)="","",INDEX('Recurring Schedule'!$L$6:$L$45,R902)))</f>
        <v/>
      </c>
      <c r="O902" s="36">
        <f>IF(C902="","",IF(AND(OR(L902="1-Urgent",L902="2-High"),M902="✓"),"DO FIRST",IF(M902="✓","SCHEDULE",IF(OR(L902="1-Urgent",L902="2-High"),"DELEGATE","DELETE"))))</f>
        <v/>
      </c>
      <c r="P902" s="65" t="n"/>
      <c r="Q902">
        <f>IF(897&gt;Calc!$AQ$368,"",MATCH(896,Calc!$AQ$2:$AQ$367,1))</f>
        <v/>
      </c>
      <c r="R902">
        <f>IF(Q902="","",SMALL(INDEX(Calc!$B$2:$AO$367,Q902,0),897-INDEX(Calc!$AQ$2:$AQ$367,Q902)))</f>
        <v/>
      </c>
    </row>
    <row r="903">
      <c r="B903" s="71">
        <f>IF(R903="","",898)</f>
        <v/>
      </c>
      <c r="C903" s="75">
        <f>IF(R903="","",IF(INDEX('Recurring Schedule'!$C$6:$C$45,R903)="","",INDEX('Recurring Schedule'!$C$6:$C$45,R903)))</f>
        <v/>
      </c>
      <c r="D903" s="73">
        <f>IF(R903="","",IF(INDEX('Recurring Schedule'!$D$6:$D$45,R903)="","",INDEX('Recurring Schedule'!$D$6:$D$45,R903)))</f>
        <v/>
      </c>
      <c r="E903" s="76">
        <f>IF(Q903="","",INDEX(Calc!$A$2:$A$367,Q903))</f>
        <v/>
      </c>
      <c r="F903" s="72">
        <f>IF(OR(C903="",E903=""),"",E903-Setup!$D$7)</f>
        <v/>
      </c>
      <c r="G903" s="77">
        <f>IF(R903="","",IF(INDEX('Recurring Schedule'!$H$6:$H$45,R903)="","",INDEX('Recurring Schedule'!$H$6:$H$45,R903)))</f>
        <v/>
      </c>
      <c r="H903" s="77">
        <f>IF(R903="","",IF(INDEX('Recurring Schedule'!$I$6:$I$45,R903)="","",INDEX('Recurring Schedule'!$I$6:$I$45,R903)))</f>
        <v/>
      </c>
      <c r="I903" s="73">
        <f>IF(OR(G903="",H903=""),"",TRIM(IF(HOUR(H903-G903)&gt;0,HOUR(H903-G903)&amp;" hr ","")&amp;IF(MINUTE(H903-G903)&gt;0,MINUTE(H903-G903)&amp;" min","")))</f>
        <v/>
      </c>
      <c r="J903" s="66" t="n"/>
      <c r="K903" s="70" t="n"/>
      <c r="L903" s="73">
        <f>IF(R903="","",IF(INDEX('Recurring Schedule'!$J$6:$J$45,R903)="","",INDEX('Recurring Schedule'!$J$6:$J$45,R903)))</f>
        <v/>
      </c>
      <c r="M903" s="73">
        <f>IF(R903="","",IF(INDEX('Recurring Schedule'!$K$6:$K$45,R903)="","",INDEX('Recurring Schedule'!$K$6:$K$45,R903)))</f>
        <v/>
      </c>
      <c r="N903" s="73">
        <f>IF(R903="","",IF(INDEX('Recurring Schedule'!$L$6:$L$45,R903)="","",INDEX('Recurring Schedule'!$L$6:$L$45,R903)))</f>
        <v/>
      </c>
      <c r="O903" s="73">
        <f>IF(C903="","",IF(AND(OR(L903="1-Urgent",L903="2-High"),M903="✓"),"DO FIRST",IF(M903="✓","SCHEDULE",IF(OR(L903="1-Urgent",L903="2-High"),"DELEGATE","DELETE"))))</f>
        <v/>
      </c>
      <c r="P903" s="65" t="n"/>
      <c r="Q903">
        <f>IF(898&gt;Calc!$AQ$368,"",MATCH(897,Calc!$AQ$2:$AQ$367,1))</f>
        <v/>
      </c>
      <c r="R903">
        <f>IF(Q903="","",SMALL(INDEX(Calc!$B$2:$AO$367,Q903,0),898-INDEX(Calc!$AQ$2:$AQ$367,Q903)))</f>
        <v/>
      </c>
    </row>
    <row r="904">
      <c r="B904" s="64">
        <f>IF(R904="","",899)</f>
        <v/>
      </c>
      <c r="C904" s="37">
        <f>IF(R904="","",IF(INDEX('Recurring Schedule'!$C$6:$C$45,R904)="","",INDEX('Recurring Schedule'!$C$6:$C$45,R904)))</f>
        <v/>
      </c>
      <c r="D904" s="36">
        <f>IF(R904="","",IF(INDEX('Recurring Schedule'!$D$6:$D$45,R904)="","",INDEX('Recurring Schedule'!$D$6:$D$45,R904)))</f>
        <v/>
      </c>
      <c r="E904" s="38">
        <f>IF(Q904="","",INDEX(Calc!$A$2:$A$367,Q904))</f>
        <v/>
      </c>
      <c r="F904" s="68">
        <f>IF(OR(C904="",E904=""),"",E904-Setup!$D$7)</f>
        <v/>
      </c>
      <c r="G904" s="74">
        <f>IF(R904="","",IF(INDEX('Recurring Schedule'!$H$6:$H$45,R904)="","",INDEX('Recurring Schedule'!$H$6:$H$45,R904)))</f>
        <v/>
      </c>
      <c r="H904" s="74">
        <f>IF(R904="","",IF(INDEX('Recurring Schedule'!$I$6:$I$45,R904)="","",INDEX('Recurring Schedule'!$I$6:$I$45,R904)))</f>
        <v/>
      </c>
      <c r="I904" s="36">
        <f>IF(OR(G904="",H904=""),"",TRIM(IF(HOUR(H904-G904)&gt;0,HOUR(H904-G904)&amp;" hr ","")&amp;IF(MINUTE(H904-G904)&gt;0,MINUTE(H904-G904)&amp;" min","")))</f>
        <v/>
      </c>
      <c r="J904" s="66" t="n"/>
      <c r="K904" s="70" t="n"/>
      <c r="L904" s="36">
        <f>IF(R904="","",IF(INDEX('Recurring Schedule'!$J$6:$J$45,R904)="","",INDEX('Recurring Schedule'!$J$6:$J$45,R904)))</f>
        <v/>
      </c>
      <c r="M904" s="36">
        <f>IF(R904="","",IF(INDEX('Recurring Schedule'!$K$6:$K$45,R904)="","",INDEX('Recurring Schedule'!$K$6:$K$45,R904)))</f>
        <v/>
      </c>
      <c r="N904" s="36">
        <f>IF(R904="","",IF(INDEX('Recurring Schedule'!$L$6:$L$45,R904)="","",INDEX('Recurring Schedule'!$L$6:$L$45,R904)))</f>
        <v/>
      </c>
      <c r="O904" s="36">
        <f>IF(C904="","",IF(AND(OR(L904="1-Urgent",L904="2-High"),M904="✓"),"DO FIRST",IF(M904="✓","SCHEDULE",IF(OR(L904="1-Urgent",L904="2-High"),"DELEGATE","DELETE"))))</f>
        <v/>
      </c>
      <c r="P904" s="65" t="n"/>
      <c r="Q904">
        <f>IF(899&gt;Calc!$AQ$368,"",MATCH(898,Calc!$AQ$2:$AQ$367,1))</f>
        <v/>
      </c>
      <c r="R904">
        <f>IF(Q904="","",SMALL(INDEX(Calc!$B$2:$AO$367,Q904,0),899-INDEX(Calc!$AQ$2:$AQ$367,Q904)))</f>
        <v/>
      </c>
    </row>
    <row r="905">
      <c r="B905" s="71">
        <f>IF(R905="","",900)</f>
        <v/>
      </c>
      <c r="C905" s="75">
        <f>IF(R905="","",IF(INDEX('Recurring Schedule'!$C$6:$C$45,R905)="","",INDEX('Recurring Schedule'!$C$6:$C$45,R905)))</f>
        <v/>
      </c>
      <c r="D905" s="73">
        <f>IF(R905="","",IF(INDEX('Recurring Schedule'!$D$6:$D$45,R905)="","",INDEX('Recurring Schedule'!$D$6:$D$45,R905)))</f>
        <v/>
      </c>
      <c r="E905" s="76">
        <f>IF(Q905="","",INDEX(Calc!$A$2:$A$367,Q905))</f>
        <v/>
      </c>
      <c r="F905" s="72">
        <f>IF(OR(C905="",E905=""),"",E905-Setup!$D$7)</f>
        <v/>
      </c>
      <c r="G905" s="77">
        <f>IF(R905="","",IF(INDEX('Recurring Schedule'!$H$6:$H$45,R905)="","",INDEX('Recurring Schedule'!$H$6:$H$45,R905)))</f>
        <v/>
      </c>
      <c r="H905" s="77">
        <f>IF(R905="","",IF(INDEX('Recurring Schedule'!$I$6:$I$45,R905)="","",INDEX('Recurring Schedule'!$I$6:$I$45,R905)))</f>
        <v/>
      </c>
      <c r="I905" s="73">
        <f>IF(OR(G905="",H905=""),"",TRIM(IF(HOUR(H905-G905)&gt;0,HOUR(H905-G905)&amp;" hr ","")&amp;IF(MINUTE(H905-G905)&gt;0,MINUTE(H905-G905)&amp;" min","")))</f>
        <v/>
      </c>
      <c r="J905" s="66" t="n"/>
      <c r="K905" s="70" t="n"/>
      <c r="L905" s="73">
        <f>IF(R905="","",IF(INDEX('Recurring Schedule'!$J$6:$J$45,R905)="","",INDEX('Recurring Schedule'!$J$6:$J$45,R905)))</f>
        <v/>
      </c>
      <c r="M905" s="73">
        <f>IF(R905="","",IF(INDEX('Recurring Schedule'!$K$6:$K$45,R905)="","",INDEX('Recurring Schedule'!$K$6:$K$45,R905)))</f>
        <v/>
      </c>
      <c r="N905" s="73">
        <f>IF(R905="","",IF(INDEX('Recurring Schedule'!$L$6:$L$45,R905)="","",INDEX('Recurring Schedule'!$L$6:$L$45,R905)))</f>
        <v/>
      </c>
      <c r="O905" s="73">
        <f>IF(C905="","",IF(AND(OR(L905="1-Urgent",L905="2-High"),M905="✓"),"DO FIRST",IF(M905="✓","SCHEDULE",IF(OR(L905="1-Urgent",L905="2-High"),"DELEGATE","DELETE"))))</f>
        <v/>
      </c>
      <c r="P905" s="65" t="n"/>
      <c r="Q905">
        <f>IF(900&gt;Calc!$AQ$368,"",MATCH(899,Calc!$AQ$2:$AQ$367,1))</f>
        <v/>
      </c>
      <c r="R905">
        <f>IF(Q905="","",SMALL(INDEX(Calc!$B$2:$AO$367,Q905,0),900-INDEX(Calc!$AQ$2:$AQ$367,Q905)))</f>
        <v/>
      </c>
    </row>
    <row r="906">
      <c r="B906" s="64">
        <f>IF(R906="","",901)</f>
        <v/>
      </c>
      <c r="C906" s="37">
        <f>IF(R906="","",IF(INDEX('Recurring Schedule'!$C$6:$C$45,R906)="","",INDEX('Recurring Schedule'!$C$6:$C$45,R906)))</f>
        <v/>
      </c>
      <c r="D906" s="36">
        <f>IF(R906="","",IF(INDEX('Recurring Schedule'!$D$6:$D$45,R906)="","",INDEX('Recurring Schedule'!$D$6:$D$45,R906)))</f>
        <v/>
      </c>
      <c r="E906" s="38">
        <f>IF(Q906="","",INDEX(Calc!$A$2:$A$367,Q906))</f>
        <v/>
      </c>
      <c r="F906" s="68">
        <f>IF(OR(C906="",E906=""),"",E906-Setup!$D$7)</f>
        <v/>
      </c>
      <c r="G906" s="74">
        <f>IF(R906="","",IF(INDEX('Recurring Schedule'!$H$6:$H$45,R906)="","",INDEX('Recurring Schedule'!$H$6:$H$45,R906)))</f>
        <v/>
      </c>
      <c r="H906" s="74">
        <f>IF(R906="","",IF(INDEX('Recurring Schedule'!$I$6:$I$45,R906)="","",INDEX('Recurring Schedule'!$I$6:$I$45,R906)))</f>
        <v/>
      </c>
      <c r="I906" s="36">
        <f>IF(OR(G906="",H906=""),"",TRIM(IF(HOUR(H906-G906)&gt;0,HOUR(H906-G906)&amp;" hr ","")&amp;IF(MINUTE(H906-G906)&gt;0,MINUTE(H906-G906)&amp;" min","")))</f>
        <v/>
      </c>
      <c r="J906" s="66" t="n"/>
      <c r="K906" s="70" t="n"/>
      <c r="L906" s="36">
        <f>IF(R906="","",IF(INDEX('Recurring Schedule'!$J$6:$J$45,R906)="","",INDEX('Recurring Schedule'!$J$6:$J$45,R906)))</f>
        <v/>
      </c>
      <c r="M906" s="36">
        <f>IF(R906="","",IF(INDEX('Recurring Schedule'!$K$6:$K$45,R906)="","",INDEX('Recurring Schedule'!$K$6:$K$45,R906)))</f>
        <v/>
      </c>
      <c r="N906" s="36">
        <f>IF(R906="","",IF(INDEX('Recurring Schedule'!$L$6:$L$45,R906)="","",INDEX('Recurring Schedule'!$L$6:$L$45,R906)))</f>
        <v/>
      </c>
      <c r="O906" s="36">
        <f>IF(C906="","",IF(AND(OR(L906="1-Urgent",L906="2-High"),M906="✓"),"DO FIRST",IF(M906="✓","SCHEDULE",IF(OR(L906="1-Urgent",L906="2-High"),"DELEGATE","DELETE"))))</f>
        <v/>
      </c>
      <c r="P906" s="65" t="n"/>
      <c r="Q906">
        <f>IF(901&gt;Calc!$AQ$368,"",MATCH(900,Calc!$AQ$2:$AQ$367,1))</f>
        <v/>
      </c>
      <c r="R906">
        <f>IF(Q906="","",SMALL(INDEX(Calc!$B$2:$AO$367,Q906,0),901-INDEX(Calc!$AQ$2:$AQ$367,Q906)))</f>
        <v/>
      </c>
    </row>
    <row r="907">
      <c r="B907" s="71">
        <f>IF(R907="","",902)</f>
        <v/>
      </c>
      <c r="C907" s="75">
        <f>IF(R907="","",IF(INDEX('Recurring Schedule'!$C$6:$C$45,R907)="","",INDEX('Recurring Schedule'!$C$6:$C$45,R907)))</f>
        <v/>
      </c>
      <c r="D907" s="73">
        <f>IF(R907="","",IF(INDEX('Recurring Schedule'!$D$6:$D$45,R907)="","",INDEX('Recurring Schedule'!$D$6:$D$45,R907)))</f>
        <v/>
      </c>
      <c r="E907" s="76">
        <f>IF(Q907="","",INDEX(Calc!$A$2:$A$367,Q907))</f>
        <v/>
      </c>
      <c r="F907" s="72">
        <f>IF(OR(C907="",E907=""),"",E907-Setup!$D$7)</f>
        <v/>
      </c>
      <c r="G907" s="77">
        <f>IF(R907="","",IF(INDEX('Recurring Schedule'!$H$6:$H$45,R907)="","",INDEX('Recurring Schedule'!$H$6:$H$45,R907)))</f>
        <v/>
      </c>
      <c r="H907" s="77">
        <f>IF(R907="","",IF(INDEX('Recurring Schedule'!$I$6:$I$45,R907)="","",INDEX('Recurring Schedule'!$I$6:$I$45,R907)))</f>
        <v/>
      </c>
      <c r="I907" s="73">
        <f>IF(OR(G907="",H907=""),"",TRIM(IF(HOUR(H907-G907)&gt;0,HOUR(H907-G907)&amp;" hr ","")&amp;IF(MINUTE(H907-G907)&gt;0,MINUTE(H907-G907)&amp;" min","")))</f>
        <v/>
      </c>
      <c r="J907" s="66" t="n"/>
      <c r="K907" s="70" t="n"/>
      <c r="L907" s="73">
        <f>IF(R907="","",IF(INDEX('Recurring Schedule'!$J$6:$J$45,R907)="","",INDEX('Recurring Schedule'!$J$6:$J$45,R907)))</f>
        <v/>
      </c>
      <c r="M907" s="73">
        <f>IF(R907="","",IF(INDEX('Recurring Schedule'!$K$6:$K$45,R907)="","",INDEX('Recurring Schedule'!$K$6:$K$45,R907)))</f>
        <v/>
      </c>
      <c r="N907" s="73">
        <f>IF(R907="","",IF(INDEX('Recurring Schedule'!$L$6:$L$45,R907)="","",INDEX('Recurring Schedule'!$L$6:$L$45,R907)))</f>
        <v/>
      </c>
      <c r="O907" s="73">
        <f>IF(C907="","",IF(AND(OR(L907="1-Urgent",L907="2-High"),M907="✓"),"DO FIRST",IF(M907="✓","SCHEDULE",IF(OR(L907="1-Urgent",L907="2-High"),"DELEGATE","DELETE"))))</f>
        <v/>
      </c>
      <c r="P907" s="65" t="n"/>
      <c r="Q907">
        <f>IF(902&gt;Calc!$AQ$368,"",MATCH(901,Calc!$AQ$2:$AQ$367,1))</f>
        <v/>
      </c>
      <c r="R907">
        <f>IF(Q907="","",SMALL(INDEX(Calc!$B$2:$AO$367,Q907,0),902-INDEX(Calc!$AQ$2:$AQ$367,Q907)))</f>
        <v/>
      </c>
    </row>
    <row r="908">
      <c r="B908" s="64">
        <f>IF(R908="","",903)</f>
        <v/>
      </c>
      <c r="C908" s="37">
        <f>IF(R908="","",IF(INDEX('Recurring Schedule'!$C$6:$C$45,R908)="","",INDEX('Recurring Schedule'!$C$6:$C$45,R908)))</f>
        <v/>
      </c>
      <c r="D908" s="36">
        <f>IF(R908="","",IF(INDEX('Recurring Schedule'!$D$6:$D$45,R908)="","",INDEX('Recurring Schedule'!$D$6:$D$45,R908)))</f>
        <v/>
      </c>
      <c r="E908" s="38">
        <f>IF(Q908="","",INDEX(Calc!$A$2:$A$367,Q908))</f>
        <v/>
      </c>
      <c r="F908" s="68">
        <f>IF(OR(C908="",E908=""),"",E908-Setup!$D$7)</f>
        <v/>
      </c>
      <c r="G908" s="74">
        <f>IF(R908="","",IF(INDEX('Recurring Schedule'!$H$6:$H$45,R908)="","",INDEX('Recurring Schedule'!$H$6:$H$45,R908)))</f>
        <v/>
      </c>
      <c r="H908" s="74">
        <f>IF(R908="","",IF(INDEX('Recurring Schedule'!$I$6:$I$45,R908)="","",INDEX('Recurring Schedule'!$I$6:$I$45,R908)))</f>
        <v/>
      </c>
      <c r="I908" s="36">
        <f>IF(OR(G908="",H908=""),"",TRIM(IF(HOUR(H908-G908)&gt;0,HOUR(H908-G908)&amp;" hr ","")&amp;IF(MINUTE(H908-G908)&gt;0,MINUTE(H908-G908)&amp;" min","")))</f>
        <v/>
      </c>
      <c r="J908" s="66" t="n"/>
      <c r="K908" s="70" t="n"/>
      <c r="L908" s="36">
        <f>IF(R908="","",IF(INDEX('Recurring Schedule'!$J$6:$J$45,R908)="","",INDEX('Recurring Schedule'!$J$6:$J$45,R908)))</f>
        <v/>
      </c>
      <c r="M908" s="36">
        <f>IF(R908="","",IF(INDEX('Recurring Schedule'!$K$6:$K$45,R908)="","",INDEX('Recurring Schedule'!$K$6:$K$45,R908)))</f>
        <v/>
      </c>
      <c r="N908" s="36">
        <f>IF(R908="","",IF(INDEX('Recurring Schedule'!$L$6:$L$45,R908)="","",INDEX('Recurring Schedule'!$L$6:$L$45,R908)))</f>
        <v/>
      </c>
      <c r="O908" s="36">
        <f>IF(C908="","",IF(AND(OR(L908="1-Urgent",L908="2-High"),M908="✓"),"DO FIRST",IF(M908="✓","SCHEDULE",IF(OR(L908="1-Urgent",L908="2-High"),"DELEGATE","DELETE"))))</f>
        <v/>
      </c>
      <c r="P908" s="65" t="n"/>
      <c r="Q908">
        <f>IF(903&gt;Calc!$AQ$368,"",MATCH(902,Calc!$AQ$2:$AQ$367,1))</f>
        <v/>
      </c>
      <c r="R908">
        <f>IF(Q908="","",SMALL(INDEX(Calc!$B$2:$AO$367,Q908,0),903-INDEX(Calc!$AQ$2:$AQ$367,Q908)))</f>
        <v/>
      </c>
    </row>
    <row r="909">
      <c r="B909" s="71">
        <f>IF(R909="","",904)</f>
        <v/>
      </c>
      <c r="C909" s="75">
        <f>IF(R909="","",IF(INDEX('Recurring Schedule'!$C$6:$C$45,R909)="","",INDEX('Recurring Schedule'!$C$6:$C$45,R909)))</f>
        <v/>
      </c>
      <c r="D909" s="73">
        <f>IF(R909="","",IF(INDEX('Recurring Schedule'!$D$6:$D$45,R909)="","",INDEX('Recurring Schedule'!$D$6:$D$45,R909)))</f>
        <v/>
      </c>
      <c r="E909" s="76">
        <f>IF(Q909="","",INDEX(Calc!$A$2:$A$367,Q909))</f>
        <v/>
      </c>
      <c r="F909" s="72">
        <f>IF(OR(C909="",E909=""),"",E909-Setup!$D$7)</f>
        <v/>
      </c>
      <c r="G909" s="77">
        <f>IF(R909="","",IF(INDEX('Recurring Schedule'!$H$6:$H$45,R909)="","",INDEX('Recurring Schedule'!$H$6:$H$45,R909)))</f>
        <v/>
      </c>
      <c r="H909" s="77">
        <f>IF(R909="","",IF(INDEX('Recurring Schedule'!$I$6:$I$45,R909)="","",INDEX('Recurring Schedule'!$I$6:$I$45,R909)))</f>
        <v/>
      </c>
      <c r="I909" s="73">
        <f>IF(OR(G909="",H909=""),"",TRIM(IF(HOUR(H909-G909)&gt;0,HOUR(H909-G909)&amp;" hr ","")&amp;IF(MINUTE(H909-G909)&gt;0,MINUTE(H909-G909)&amp;" min","")))</f>
        <v/>
      </c>
      <c r="J909" s="66" t="n"/>
      <c r="K909" s="70" t="n"/>
      <c r="L909" s="73">
        <f>IF(R909="","",IF(INDEX('Recurring Schedule'!$J$6:$J$45,R909)="","",INDEX('Recurring Schedule'!$J$6:$J$45,R909)))</f>
        <v/>
      </c>
      <c r="M909" s="73">
        <f>IF(R909="","",IF(INDEX('Recurring Schedule'!$K$6:$K$45,R909)="","",INDEX('Recurring Schedule'!$K$6:$K$45,R909)))</f>
        <v/>
      </c>
      <c r="N909" s="73">
        <f>IF(R909="","",IF(INDEX('Recurring Schedule'!$L$6:$L$45,R909)="","",INDEX('Recurring Schedule'!$L$6:$L$45,R909)))</f>
        <v/>
      </c>
      <c r="O909" s="73">
        <f>IF(C909="","",IF(AND(OR(L909="1-Urgent",L909="2-High"),M909="✓"),"DO FIRST",IF(M909="✓","SCHEDULE",IF(OR(L909="1-Urgent",L909="2-High"),"DELEGATE","DELETE"))))</f>
        <v/>
      </c>
      <c r="P909" s="65" t="n"/>
      <c r="Q909">
        <f>IF(904&gt;Calc!$AQ$368,"",MATCH(903,Calc!$AQ$2:$AQ$367,1))</f>
        <v/>
      </c>
      <c r="R909">
        <f>IF(Q909="","",SMALL(INDEX(Calc!$B$2:$AO$367,Q909,0),904-INDEX(Calc!$AQ$2:$AQ$367,Q909)))</f>
        <v/>
      </c>
    </row>
    <row r="910">
      <c r="B910" s="64">
        <f>IF(R910="","",905)</f>
        <v/>
      </c>
      <c r="C910" s="37">
        <f>IF(R910="","",IF(INDEX('Recurring Schedule'!$C$6:$C$45,R910)="","",INDEX('Recurring Schedule'!$C$6:$C$45,R910)))</f>
        <v/>
      </c>
      <c r="D910" s="36">
        <f>IF(R910="","",IF(INDEX('Recurring Schedule'!$D$6:$D$45,R910)="","",INDEX('Recurring Schedule'!$D$6:$D$45,R910)))</f>
        <v/>
      </c>
      <c r="E910" s="38">
        <f>IF(Q910="","",INDEX(Calc!$A$2:$A$367,Q910))</f>
        <v/>
      </c>
      <c r="F910" s="68">
        <f>IF(OR(C910="",E910=""),"",E910-Setup!$D$7)</f>
        <v/>
      </c>
      <c r="G910" s="74">
        <f>IF(R910="","",IF(INDEX('Recurring Schedule'!$H$6:$H$45,R910)="","",INDEX('Recurring Schedule'!$H$6:$H$45,R910)))</f>
        <v/>
      </c>
      <c r="H910" s="74">
        <f>IF(R910="","",IF(INDEX('Recurring Schedule'!$I$6:$I$45,R910)="","",INDEX('Recurring Schedule'!$I$6:$I$45,R910)))</f>
        <v/>
      </c>
      <c r="I910" s="36">
        <f>IF(OR(G910="",H910=""),"",TRIM(IF(HOUR(H910-G910)&gt;0,HOUR(H910-G910)&amp;" hr ","")&amp;IF(MINUTE(H910-G910)&gt;0,MINUTE(H910-G910)&amp;" min","")))</f>
        <v/>
      </c>
      <c r="J910" s="66" t="n"/>
      <c r="K910" s="70" t="n"/>
      <c r="L910" s="36">
        <f>IF(R910="","",IF(INDEX('Recurring Schedule'!$J$6:$J$45,R910)="","",INDEX('Recurring Schedule'!$J$6:$J$45,R910)))</f>
        <v/>
      </c>
      <c r="M910" s="36">
        <f>IF(R910="","",IF(INDEX('Recurring Schedule'!$K$6:$K$45,R910)="","",INDEX('Recurring Schedule'!$K$6:$K$45,R910)))</f>
        <v/>
      </c>
      <c r="N910" s="36">
        <f>IF(R910="","",IF(INDEX('Recurring Schedule'!$L$6:$L$45,R910)="","",INDEX('Recurring Schedule'!$L$6:$L$45,R910)))</f>
        <v/>
      </c>
      <c r="O910" s="36">
        <f>IF(C910="","",IF(AND(OR(L910="1-Urgent",L910="2-High"),M910="✓"),"DO FIRST",IF(M910="✓","SCHEDULE",IF(OR(L910="1-Urgent",L910="2-High"),"DELEGATE","DELETE"))))</f>
        <v/>
      </c>
      <c r="P910" s="65" t="n"/>
      <c r="Q910">
        <f>IF(905&gt;Calc!$AQ$368,"",MATCH(904,Calc!$AQ$2:$AQ$367,1))</f>
        <v/>
      </c>
      <c r="R910">
        <f>IF(Q910="","",SMALL(INDEX(Calc!$B$2:$AO$367,Q910,0),905-INDEX(Calc!$AQ$2:$AQ$367,Q910)))</f>
        <v/>
      </c>
    </row>
    <row r="911">
      <c r="B911" s="71">
        <f>IF(R911="","",906)</f>
        <v/>
      </c>
      <c r="C911" s="75">
        <f>IF(R911="","",IF(INDEX('Recurring Schedule'!$C$6:$C$45,R911)="","",INDEX('Recurring Schedule'!$C$6:$C$45,R911)))</f>
        <v/>
      </c>
      <c r="D911" s="73">
        <f>IF(R911="","",IF(INDEX('Recurring Schedule'!$D$6:$D$45,R911)="","",INDEX('Recurring Schedule'!$D$6:$D$45,R911)))</f>
        <v/>
      </c>
      <c r="E911" s="76">
        <f>IF(Q911="","",INDEX(Calc!$A$2:$A$367,Q911))</f>
        <v/>
      </c>
      <c r="F911" s="72">
        <f>IF(OR(C911="",E911=""),"",E911-Setup!$D$7)</f>
        <v/>
      </c>
      <c r="G911" s="77">
        <f>IF(R911="","",IF(INDEX('Recurring Schedule'!$H$6:$H$45,R911)="","",INDEX('Recurring Schedule'!$H$6:$H$45,R911)))</f>
        <v/>
      </c>
      <c r="H911" s="77">
        <f>IF(R911="","",IF(INDEX('Recurring Schedule'!$I$6:$I$45,R911)="","",INDEX('Recurring Schedule'!$I$6:$I$45,R911)))</f>
        <v/>
      </c>
      <c r="I911" s="73">
        <f>IF(OR(G911="",H911=""),"",TRIM(IF(HOUR(H911-G911)&gt;0,HOUR(H911-G911)&amp;" hr ","")&amp;IF(MINUTE(H911-G911)&gt;0,MINUTE(H911-G911)&amp;" min","")))</f>
        <v/>
      </c>
      <c r="J911" s="66" t="n"/>
      <c r="K911" s="70" t="n"/>
      <c r="L911" s="73">
        <f>IF(R911="","",IF(INDEX('Recurring Schedule'!$J$6:$J$45,R911)="","",INDEX('Recurring Schedule'!$J$6:$J$45,R911)))</f>
        <v/>
      </c>
      <c r="M911" s="73">
        <f>IF(R911="","",IF(INDEX('Recurring Schedule'!$K$6:$K$45,R911)="","",INDEX('Recurring Schedule'!$K$6:$K$45,R911)))</f>
        <v/>
      </c>
      <c r="N911" s="73">
        <f>IF(R911="","",IF(INDEX('Recurring Schedule'!$L$6:$L$45,R911)="","",INDEX('Recurring Schedule'!$L$6:$L$45,R911)))</f>
        <v/>
      </c>
      <c r="O911" s="73">
        <f>IF(C911="","",IF(AND(OR(L911="1-Urgent",L911="2-High"),M911="✓"),"DO FIRST",IF(M911="✓","SCHEDULE",IF(OR(L911="1-Urgent",L911="2-High"),"DELEGATE","DELETE"))))</f>
        <v/>
      </c>
      <c r="P911" s="65" t="n"/>
      <c r="Q911">
        <f>IF(906&gt;Calc!$AQ$368,"",MATCH(905,Calc!$AQ$2:$AQ$367,1))</f>
        <v/>
      </c>
      <c r="R911">
        <f>IF(Q911="","",SMALL(INDEX(Calc!$B$2:$AO$367,Q911,0),906-INDEX(Calc!$AQ$2:$AQ$367,Q911)))</f>
        <v/>
      </c>
    </row>
    <row r="912">
      <c r="B912" s="64">
        <f>IF(R912="","",907)</f>
        <v/>
      </c>
      <c r="C912" s="37">
        <f>IF(R912="","",IF(INDEX('Recurring Schedule'!$C$6:$C$45,R912)="","",INDEX('Recurring Schedule'!$C$6:$C$45,R912)))</f>
        <v/>
      </c>
      <c r="D912" s="36">
        <f>IF(R912="","",IF(INDEX('Recurring Schedule'!$D$6:$D$45,R912)="","",INDEX('Recurring Schedule'!$D$6:$D$45,R912)))</f>
        <v/>
      </c>
      <c r="E912" s="38">
        <f>IF(Q912="","",INDEX(Calc!$A$2:$A$367,Q912))</f>
        <v/>
      </c>
      <c r="F912" s="68">
        <f>IF(OR(C912="",E912=""),"",E912-Setup!$D$7)</f>
        <v/>
      </c>
      <c r="G912" s="74">
        <f>IF(R912="","",IF(INDEX('Recurring Schedule'!$H$6:$H$45,R912)="","",INDEX('Recurring Schedule'!$H$6:$H$45,R912)))</f>
        <v/>
      </c>
      <c r="H912" s="74">
        <f>IF(R912="","",IF(INDEX('Recurring Schedule'!$I$6:$I$45,R912)="","",INDEX('Recurring Schedule'!$I$6:$I$45,R912)))</f>
        <v/>
      </c>
      <c r="I912" s="36">
        <f>IF(OR(G912="",H912=""),"",TRIM(IF(HOUR(H912-G912)&gt;0,HOUR(H912-G912)&amp;" hr ","")&amp;IF(MINUTE(H912-G912)&gt;0,MINUTE(H912-G912)&amp;" min","")))</f>
        <v/>
      </c>
      <c r="J912" s="66" t="n"/>
      <c r="K912" s="70" t="n"/>
      <c r="L912" s="36">
        <f>IF(R912="","",IF(INDEX('Recurring Schedule'!$J$6:$J$45,R912)="","",INDEX('Recurring Schedule'!$J$6:$J$45,R912)))</f>
        <v/>
      </c>
      <c r="M912" s="36">
        <f>IF(R912="","",IF(INDEX('Recurring Schedule'!$K$6:$K$45,R912)="","",INDEX('Recurring Schedule'!$K$6:$K$45,R912)))</f>
        <v/>
      </c>
      <c r="N912" s="36">
        <f>IF(R912="","",IF(INDEX('Recurring Schedule'!$L$6:$L$45,R912)="","",INDEX('Recurring Schedule'!$L$6:$L$45,R912)))</f>
        <v/>
      </c>
      <c r="O912" s="36">
        <f>IF(C912="","",IF(AND(OR(L912="1-Urgent",L912="2-High"),M912="✓"),"DO FIRST",IF(M912="✓","SCHEDULE",IF(OR(L912="1-Urgent",L912="2-High"),"DELEGATE","DELETE"))))</f>
        <v/>
      </c>
      <c r="P912" s="65" t="n"/>
      <c r="Q912">
        <f>IF(907&gt;Calc!$AQ$368,"",MATCH(906,Calc!$AQ$2:$AQ$367,1))</f>
        <v/>
      </c>
      <c r="R912">
        <f>IF(Q912="","",SMALL(INDEX(Calc!$B$2:$AO$367,Q912,0),907-INDEX(Calc!$AQ$2:$AQ$367,Q912)))</f>
        <v/>
      </c>
    </row>
    <row r="913">
      <c r="B913" s="71">
        <f>IF(R913="","",908)</f>
        <v/>
      </c>
      <c r="C913" s="75">
        <f>IF(R913="","",IF(INDEX('Recurring Schedule'!$C$6:$C$45,R913)="","",INDEX('Recurring Schedule'!$C$6:$C$45,R913)))</f>
        <v/>
      </c>
      <c r="D913" s="73">
        <f>IF(R913="","",IF(INDEX('Recurring Schedule'!$D$6:$D$45,R913)="","",INDEX('Recurring Schedule'!$D$6:$D$45,R913)))</f>
        <v/>
      </c>
      <c r="E913" s="76">
        <f>IF(Q913="","",INDEX(Calc!$A$2:$A$367,Q913))</f>
        <v/>
      </c>
      <c r="F913" s="72">
        <f>IF(OR(C913="",E913=""),"",E913-Setup!$D$7)</f>
        <v/>
      </c>
      <c r="G913" s="77">
        <f>IF(R913="","",IF(INDEX('Recurring Schedule'!$H$6:$H$45,R913)="","",INDEX('Recurring Schedule'!$H$6:$H$45,R913)))</f>
        <v/>
      </c>
      <c r="H913" s="77">
        <f>IF(R913="","",IF(INDEX('Recurring Schedule'!$I$6:$I$45,R913)="","",INDEX('Recurring Schedule'!$I$6:$I$45,R913)))</f>
        <v/>
      </c>
      <c r="I913" s="73">
        <f>IF(OR(G913="",H913=""),"",TRIM(IF(HOUR(H913-G913)&gt;0,HOUR(H913-G913)&amp;" hr ","")&amp;IF(MINUTE(H913-G913)&gt;0,MINUTE(H913-G913)&amp;" min","")))</f>
        <v/>
      </c>
      <c r="J913" s="66" t="n"/>
      <c r="K913" s="70" t="n"/>
      <c r="L913" s="73">
        <f>IF(R913="","",IF(INDEX('Recurring Schedule'!$J$6:$J$45,R913)="","",INDEX('Recurring Schedule'!$J$6:$J$45,R913)))</f>
        <v/>
      </c>
      <c r="M913" s="73">
        <f>IF(R913="","",IF(INDEX('Recurring Schedule'!$K$6:$K$45,R913)="","",INDEX('Recurring Schedule'!$K$6:$K$45,R913)))</f>
        <v/>
      </c>
      <c r="N913" s="73">
        <f>IF(R913="","",IF(INDEX('Recurring Schedule'!$L$6:$L$45,R913)="","",INDEX('Recurring Schedule'!$L$6:$L$45,R913)))</f>
        <v/>
      </c>
      <c r="O913" s="73">
        <f>IF(C913="","",IF(AND(OR(L913="1-Urgent",L913="2-High"),M913="✓"),"DO FIRST",IF(M913="✓","SCHEDULE",IF(OR(L913="1-Urgent",L913="2-High"),"DELEGATE","DELETE"))))</f>
        <v/>
      </c>
      <c r="P913" s="65" t="n"/>
      <c r="Q913">
        <f>IF(908&gt;Calc!$AQ$368,"",MATCH(907,Calc!$AQ$2:$AQ$367,1))</f>
        <v/>
      </c>
      <c r="R913">
        <f>IF(Q913="","",SMALL(INDEX(Calc!$B$2:$AO$367,Q913,0),908-INDEX(Calc!$AQ$2:$AQ$367,Q913)))</f>
        <v/>
      </c>
    </row>
    <row r="914">
      <c r="B914" s="64">
        <f>IF(R914="","",909)</f>
        <v/>
      </c>
      <c r="C914" s="37">
        <f>IF(R914="","",IF(INDEX('Recurring Schedule'!$C$6:$C$45,R914)="","",INDEX('Recurring Schedule'!$C$6:$C$45,R914)))</f>
        <v/>
      </c>
      <c r="D914" s="36">
        <f>IF(R914="","",IF(INDEX('Recurring Schedule'!$D$6:$D$45,R914)="","",INDEX('Recurring Schedule'!$D$6:$D$45,R914)))</f>
        <v/>
      </c>
      <c r="E914" s="38">
        <f>IF(Q914="","",INDEX(Calc!$A$2:$A$367,Q914))</f>
        <v/>
      </c>
      <c r="F914" s="68">
        <f>IF(OR(C914="",E914=""),"",E914-Setup!$D$7)</f>
        <v/>
      </c>
      <c r="G914" s="74">
        <f>IF(R914="","",IF(INDEX('Recurring Schedule'!$H$6:$H$45,R914)="","",INDEX('Recurring Schedule'!$H$6:$H$45,R914)))</f>
        <v/>
      </c>
      <c r="H914" s="74">
        <f>IF(R914="","",IF(INDEX('Recurring Schedule'!$I$6:$I$45,R914)="","",INDEX('Recurring Schedule'!$I$6:$I$45,R914)))</f>
        <v/>
      </c>
      <c r="I914" s="36">
        <f>IF(OR(G914="",H914=""),"",TRIM(IF(HOUR(H914-G914)&gt;0,HOUR(H914-G914)&amp;" hr ","")&amp;IF(MINUTE(H914-G914)&gt;0,MINUTE(H914-G914)&amp;" min","")))</f>
        <v/>
      </c>
      <c r="J914" s="66" t="n"/>
      <c r="K914" s="70" t="n"/>
      <c r="L914" s="36">
        <f>IF(R914="","",IF(INDEX('Recurring Schedule'!$J$6:$J$45,R914)="","",INDEX('Recurring Schedule'!$J$6:$J$45,R914)))</f>
        <v/>
      </c>
      <c r="M914" s="36">
        <f>IF(R914="","",IF(INDEX('Recurring Schedule'!$K$6:$K$45,R914)="","",INDEX('Recurring Schedule'!$K$6:$K$45,R914)))</f>
        <v/>
      </c>
      <c r="N914" s="36">
        <f>IF(R914="","",IF(INDEX('Recurring Schedule'!$L$6:$L$45,R914)="","",INDEX('Recurring Schedule'!$L$6:$L$45,R914)))</f>
        <v/>
      </c>
      <c r="O914" s="36">
        <f>IF(C914="","",IF(AND(OR(L914="1-Urgent",L914="2-High"),M914="✓"),"DO FIRST",IF(M914="✓","SCHEDULE",IF(OR(L914="1-Urgent",L914="2-High"),"DELEGATE","DELETE"))))</f>
        <v/>
      </c>
      <c r="P914" s="65" t="n"/>
      <c r="Q914">
        <f>IF(909&gt;Calc!$AQ$368,"",MATCH(908,Calc!$AQ$2:$AQ$367,1))</f>
        <v/>
      </c>
      <c r="R914">
        <f>IF(Q914="","",SMALL(INDEX(Calc!$B$2:$AO$367,Q914,0),909-INDEX(Calc!$AQ$2:$AQ$367,Q914)))</f>
        <v/>
      </c>
    </row>
    <row r="915">
      <c r="B915" s="71">
        <f>IF(R915="","",910)</f>
        <v/>
      </c>
      <c r="C915" s="75">
        <f>IF(R915="","",IF(INDEX('Recurring Schedule'!$C$6:$C$45,R915)="","",INDEX('Recurring Schedule'!$C$6:$C$45,R915)))</f>
        <v/>
      </c>
      <c r="D915" s="73">
        <f>IF(R915="","",IF(INDEX('Recurring Schedule'!$D$6:$D$45,R915)="","",INDEX('Recurring Schedule'!$D$6:$D$45,R915)))</f>
        <v/>
      </c>
      <c r="E915" s="76">
        <f>IF(Q915="","",INDEX(Calc!$A$2:$A$367,Q915))</f>
        <v/>
      </c>
      <c r="F915" s="72">
        <f>IF(OR(C915="",E915=""),"",E915-Setup!$D$7)</f>
        <v/>
      </c>
      <c r="G915" s="77">
        <f>IF(R915="","",IF(INDEX('Recurring Schedule'!$H$6:$H$45,R915)="","",INDEX('Recurring Schedule'!$H$6:$H$45,R915)))</f>
        <v/>
      </c>
      <c r="H915" s="77">
        <f>IF(R915="","",IF(INDEX('Recurring Schedule'!$I$6:$I$45,R915)="","",INDEX('Recurring Schedule'!$I$6:$I$45,R915)))</f>
        <v/>
      </c>
      <c r="I915" s="73">
        <f>IF(OR(G915="",H915=""),"",TRIM(IF(HOUR(H915-G915)&gt;0,HOUR(H915-G915)&amp;" hr ","")&amp;IF(MINUTE(H915-G915)&gt;0,MINUTE(H915-G915)&amp;" min","")))</f>
        <v/>
      </c>
      <c r="J915" s="66" t="n"/>
      <c r="K915" s="70" t="n"/>
      <c r="L915" s="73">
        <f>IF(R915="","",IF(INDEX('Recurring Schedule'!$J$6:$J$45,R915)="","",INDEX('Recurring Schedule'!$J$6:$J$45,R915)))</f>
        <v/>
      </c>
      <c r="M915" s="73">
        <f>IF(R915="","",IF(INDEX('Recurring Schedule'!$K$6:$K$45,R915)="","",INDEX('Recurring Schedule'!$K$6:$K$45,R915)))</f>
        <v/>
      </c>
      <c r="N915" s="73">
        <f>IF(R915="","",IF(INDEX('Recurring Schedule'!$L$6:$L$45,R915)="","",INDEX('Recurring Schedule'!$L$6:$L$45,R915)))</f>
        <v/>
      </c>
      <c r="O915" s="73">
        <f>IF(C915="","",IF(AND(OR(L915="1-Urgent",L915="2-High"),M915="✓"),"DO FIRST",IF(M915="✓","SCHEDULE",IF(OR(L915="1-Urgent",L915="2-High"),"DELEGATE","DELETE"))))</f>
        <v/>
      </c>
      <c r="P915" s="65" t="n"/>
      <c r="Q915">
        <f>IF(910&gt;Calc!$AQ$368,"",MATCH(909,Calc!$AQ$2:$AQ$367,1))</f>
        <v/>
      </c>
      <c r="R915">
        <f>IF(Q915="","",SMALL(INDEX(Calc!$B$2:$AO$367,Q915,0),910-INDEX(Calc!$AQ$2:$AQ$367,Q915)))</f>
        <v/>
      </c>
    </row>
    <row r="916">
      <c r="B916" s="64">
        <f>IF(R916="","",911)</f>
        <v/>
      </c>
      <c r="C916" s="37">
        <f>IF(R916="","",IF(INDEX('Recurring Schedule'!$C$6:$C$45,R916)="","",INDEX('Recurring Schedule'!$C$6:$C$45,R916)))</f>
        <v/>
      </c>
      <c r="D916" s="36">
        <f>IF(R916="","",IF(INDEX('Recurring Schedule'!$D$6:$D$45,R916)="","",INDEX('Recurring Schedule'!$D$6:$D$45,R916)))</f>
        <v/>
      </c>
      <c r="E916" s="38">
        <f>IF(Q916="","",INDEX(Calc!$A$2:$A$367,Q916))</f>
        <v/>
      </c>
      <c r="F916" s="68">
        <f>IF(OR(C916="",E916=""),"",E916-Setup!$D$7)</f>
        <v/>
      </c>
      <c r="G916" s="74">
        <f>IF(R916="","",IF(INDEX('Recurring Schedule'!$H$6:$H$45,R916)="","",INDEX('Recurring Schedule'!$H$6:$H$45,R916)))</f>
        <v/>
      </c>
      <c r="H916" s="74">
        <f>IF(R916="","",IF(INDEX('Recurring Schedule'!$I$6:$I$45,R916)="","",INDEX('Recurring Schedule'!$I$6:$I$45,R916)))</f>
        <v/>
      </c>
      <c r="I916" s="36">
        <f>IF(OR(G916="",H916=""),"",TRIM(IF(HOUR(H916-G916)&gt;0,HOUR(H916-G916)&amp;" hr ","")&amp;IF(MINUTE(H916-G916)&gt;0,MINUTE(H916-G916)&amp;" min","")))</f>
        <v/>
      </c>
      <c r="J916" s="66" t="n"/>
      <c r="K916" s="70" t="n"/>
      <c r="L916" s="36">
        <f>IF(R916="","",IF(INDEX('Recurring Schedule'!$J$6:$J$45,R916)="","",INDEX('Recurring Schedule'!$J$6:$J$45,R916)))</f>
        <v/>
      </c>
      <c r="M916" s="36">
        <f>IF(R916="","",IF(INDEX('Recurring Schedule'!$K$6:$K$45,R916)="","",INDEX('Recurring Schedule'!$K$6:$K$45,R916)))</f>
        <v/>
      </c>
      <c r="N916" s="36">
        <f>IF(R916="","",IF(INDEX('Recurring Schedule'!$L$6:$L$45,R916)="","",INDEX('Recurring Schedule'!$L$6:$L$45,R916)))</f>
        <v/>
      </c>
      <c r="O916" s="36">
        <f>IF(C916="","",IF(AND(OR(L916="1-Urgent",L916="2-High"),M916="✓"),"DO FIRST",IF(M916="✓","SCHEDULE",IF(OR(L916="1-Urgent",L916="2-High"),"DELEGATE","DELETE"))))</f>
        <v/>
      </c>
      <c r="P916" s="65" t="n"/>
      <c r="Q916">
        <f>IF(911&gt;Calc!$AQ$368,"",MATCH(910,Calc!$AQ$2:$AQ$367,1))</f>
        <v/>
      </c>
      <c r="R916">
        <f>IF(Q916="","",SMALL(INDEX(Calc!$B$2:$AO$367,Q916,0),911-INDEX(Calc!$AQ$2:$AQ$367,Q916)))</f>
        <v/>
      </c>
    </row>
    <row r="917">
      <c r="B917" s="71">
        <f>IF(R917="","",912)</f>
        <v/>
      </c>
      <c r="C917" s="75">
        <f>IF(R917="","",IF(INDEX('Recurring Schedule'!$C$6:$C$45,R917)="","",INDEX('Recurring Schedule'!$C$6:$C$45,R917)))</f>
        <v/>
      </c>
      <c r="D917" s="73">
        <f>IF(R917="","",IF(INDEX('Recurring Schedule'!$D$6:$D$45,R917)="","",INDEX('Recurring Schedule'!$D$6:$D$45,R917)))</f>
        <v/>
      </c>
      <c r="E917" s="76">
        <f>IF(Q917="","",INDEX(Calc!$A$2:$A$367,Q917))</f>
        <v/>
      </c>
      <c r="F917" s="72">
        <f>IF(OR(C917="",E917=""),"",E917-Setup!$D$7)</f>
        <v/>
      </c>
      <c r="G917" s="77">
        <f>IF(R917="","",IF(INDEX('Recurring Schedule'!$H$6:$H$45,R917)="","",INDEX('Recurring Schedule'!$H$6:$H$45,R917)))</f>
        <v/>
      </c>
      <c r="H917" s="77">
        <f>IF(R917="","",IF(INDEX('Recurring Schedule'!$I$6:$I$45,R917)="","",INDEX('Recurring Schedule'!$I$6:$I$45,R917)))</f>
        <v/>
      </c>
      <c r="I917" s="73">
        <f>IF(OR(G917="",H917=""),"",TRIM(IF(HOUR(H917-G917)&gt;0,HOUR(H917-G917)&amp;" hr ","")&amp;IF(MINUTE(H917-G917)&gt;0,MINUTE(H917-G917)&amp;" min","")))</f>
        <v/>
      </c>
      <c r="J917" s="66" t="n"/>
      <c r="K917" s="70" t="n"/>
      <c r="L917" s="73">
        <f>IF(R917="","",IF(INDEX('Recurring Schedule'!$J$6:$J$45,R917)="","",INDEX('Recurring Schedule'!$J$6:$J$45,R917)))</f>
        <v/>
      </c>
      <c r="M917" s="73">
        <f>IF(R917="","",IF(INDEX('Recurring Schedule'!$K$6:$K$45,R917)="","",INDEX('Recurring Schedule'!$K$6:$K$45,R917)))</f>
        <v/>
      </c>
      <c r="N917" s="73">
        <f>IF(R917="","",IF(INDEX('Recurring Schedule'!$L$6:$L$45,R917)="","",INDEX('Recurring Schedule'!$L$6:$L$45,R917)))</f>
        <v/>
      </c>
      <c r="O917" s="73">
        <f>IF(C917="","",IF(AND(OR(L917="1-Urgent",L917="2-High"),M917="✓"),"DO FIRST",IF(M917="✓","SCHEDULE",IF(OR(L917="1-Urgent",L917="2-High"),"DELEGATE","DELETE"))))</f>
        <v/>
      </c>
      <c r="P917" s="65" t="n"/>
      <c r="Q917">
        <f>IF(912&gt;Calc!$AQ$368,"",MATCH(911,Calc!$AQ$2:$AQ$367,1))</f>
        <v/>
      </c>
      <c r="R917">
        <f>IF(Q917="","",SMALL(INDEX(Calc!$B$2:$AO$367,Q917,0),912-INDEX(Calc!$AQ$2:$AQ$367,Q917)))</f>
        <v/>
      </c>
    </row>
    <row r="918">
      <c r="B918" s="64">
        <f>IF(R918="","",913)</f>
        <v/>
      </c>
      <c r="C918" s="37">
        <f>IF(R918="","",IF(INDEX('Recurring Schedule'!$C$6:$C$45,R918)="","",INDEX('Recurring Schedule'!$C$6:$C$45,R918)))</f>
        <v/>
      </c>
      <c r="D918" s="36">
        <f>IF(R918="","",IF(INDEX('Recurring Schedule'!$D$6:$D$45,R918)="","",INDEX('Recurring Schedule'!$D$6:$D$45,R918)))</f>
        <v/>
      </c>
      <c r="E918" s="38">
        <f>IF(Q918="","",INDEX(Calc!$A$2:$A$367,Q918))</f>
        <v/>
      </c>
      <c r="F918" s="68">
        <f>IF(OR(C918="",E918=""),"",E918-Setup!$D$7)</f>
        <v/>
      </c>
      <c r="G918" s="74">
        <f>IF(R918="","",IF(INDEX('Recurring Schedule'!$H$6:$H$45,R918)="","",INDEX('Recurring Schedule'!$H$6:$H$45,R918)))</f>
        <v/>
      </c>
      <c r="H918" s="74">
        <f>IF(R918="","",IF(INDEX('Recurring Schedule'!$I$6:$I$45,R918)="","",INDEX('Recurring Schedule'!$I$6:$I$45,R918)))</f>
        <v/>
      </c>
      <c r="I918" s="36">
        <f>IF(OR(G918="",H918=""),"",TRIM(IF(HOUR(H918-G918)&gt;0,HOUR(H918-G918)&amp;" hr ","")&amp;IF(MINUTE(H918-G918)&gt;0,MINUTE(H918-G918)&amp;" min","")))</f>
        <v/>
      </c>
      <c r="J918" s="66" t="n"/>
      <c r="K918" s="70" t="n"/>
      <c r="L918" s="36">
        <f>IF(R918="","",IF(INDEX('Recurring Schedule'!$J$6:$J$45,R918)="","",INDEX('Recurring Schedule'!$J$6:$J$45,R918)))</f>
        <v/>
      </c>
      <c r="M918" s="36">
        <f>IF(R918="","",IF(INDEX('Recurring Schedule'!$K$6:$K$45,R918)="","",INDEX('Recurring Schedule'!$K$6:$K$45,R918)))</f>
        <v/>
      </c>
      <c r="N918" s="36">
        <f>IF(R918="","",IF(INDEX('Recurring Schedule'!$L$6:$L$45,R918)="","",INDEX('Recurring Schedule'!$L$6:$L$45,R918)))</f>
        <v/>
      </c>
      <c r="O918" s="36">
        <f>IF(C918="","",IF(AND(OR(L918="1-Urgent",L918="2-High"),M918="✓"),"DO FIRST",IF(M918="✓","SCHEDULE",IF(OR(L918="1-Urgent",L918="2-High"),"DELEGATE","DELETE"))))</f>
        <v/>
      </c>
      <c r="P918" s="65" t="n"/>
      <c r="Q918">
        <f>IF(913&gt;Calc!$AQ$368,"",MATCH(912,Calc!$AQ$2:$AQ$367,1))</f>
        <v/>
      </c>
      <c r="R918">
        <f>IF(Q918="","",SMALL(INDEX(Calc!$B$2:$AO$367,Q918,0),913-INDEX(Calc!$AQ$2:$AQ$367,Q918)))</f>
        <v/>
      </c>
    </row>
    <row r="919">
      <c r="B919" s="71">
        <f>IF(R919="","",914)</f>
        <v/>
      </c>
      <c r="C919" s="75">
        <f>IF(R919="","",IF(INDEX('Recurring Schedule'!$C$6:$C$45,R919)="","",INDEX('Recurring Schedule'!$C$6:$C$45,R919)))</f>
        <v/>
      </c>
      <c r="D919" s="73">
        <f>IF(R919="","",IF(INDEX('Recurring Schedule'!$D$6:$D$45,R919)="","",INDEX('Recurring Schedule'!$D$6:$D$45,R919)))</f>
        <v/>
      </c>
      <c r="E919" s="76">
        <f>IF(Q919="","",INDEX(Calc!$A$2:$A$367,Q919))</f>
        <v/>
      </c>
      <c r="F919" s="72">
        <f>IF(OR(C919="",E919=""),"",E919-Setup!$D$7)</f>
        <v/>
      </c>
      <c r="G919" s="77">
        <f>IF(R919="","",IF(INDEX('Recurring Schedule'!$H$6:$H$45,R919)="","",INDEX('Recurring Schedule'!$H$6:$H$45,R919)))</f>
        <v/>
      </c>
      <c r="H919" s="77">
        <f>IF(R919="","",IF(INDEX('Recurring Schedule'!$I$6:$I$45,R919)="","",INDEX('Recurring Schedule'!$I$6:$I$45,R919)))</f>
        <v/>
      </c>
      <c r="I919" s="73">
        <f>IF(OR(G919="",H919=""),"",TRIM(IF(HOUR(H919-G919)&gt;0,HOUR(H919-G919)&amp;" hr ","")&amp;IF(MINUTE(H919-G919)&gt;0,MINUTE(H919-G919)&amp;" min","")))</f>
        <v/>
      </c>
      <c r="J919" s="66" t="n"/>
      <c r="K919" s="70" t="n"/>
      <c r="L919" s="73">
        <f>IF(R919="","",IF(INDEX('Recurring Schedule'!$J$6:$J$45,R919)="","",INDEX('Recurring Schedule'!$J$6:$J$45,R919)))</f>
        <v/>
      </c>
      <c r="M919" s="73">
        <f>IF(R919="","",IF(INDEX('Recurring Schedule'!$K$6:$K$45,R919)="","",INDEX('Recurring Schedule'!$K$6:$K$45,R919)))</f>
        <v/>
      </c>
      <c r="N919" s="73">
        <f>IF(R919="","",IF(INDEX('Recurring Schedule'!$L$6:$L$45,R919)="","",INDEX('Recurring Schedule'!$L$6:$L$45,R919)))</f>
        <v/>
      </c>
      <c r="O919" s="73">
        <f>IF(C919="","",IF(AND(OR(L919="1-Urgent",L919="2-High"),M919="✓"),"DO FIRST",IF(M919="✓","SCHEDULE",IF(OR(L919="1-Urgent",L919="2-High"),"DELEGATE","DELETE"))))</f>
        <v/>
      </c>
      <c r="P919" s="65" t="n"/>
      <c r="Q919">
        <f>IF(914&gt;Calc!$AQ$368,"",MATCH(913,Calc!$AQ$2:$AQ$367,1))</f>
        <v/>
      </c>
      <c r="R919">
        <f>IF(Q919="","",SMALL(INDEX(Calc!$B$2:$AO$367,Q919,0),914-INDEX(Calc!$AQ$2:$AQ$367,Q919)))</f>
        <v/>
      </c>
    </row>
    <row r="920">
      <c r="B920" s="64">
        <f>IF(R920="","",915)</f>
        <v/>
      </c>
      <c r="C920" s="37">
        <f>IF(R920="","",IF(INDEX('Recurring Schedule'!$C$6:$C$45,R920)="","",INDEX('Recurring Schedule'!$C$6:$C$45,R920)))</f>
        <v/>
      </c>
      <c r="D920" s="36">
        <f>IF(R920="","",IF(INDEX('Recurring Schedule'!$D$6:$D$45,R920)="","",INDEX('Recurring Schedule'!$D$6:$D$45,R920)))</f>
        <v/>
      </c>
      <c r="E920" s="38">
        <f>IF(Q920="","",INDEX(Calc!$A$2:$A$367,Q920))</f>
        <v/>
      </c>
      <c r="F920" s="68">
        <f>IF(OR(C920="",E920=""),"",E920-Setup!$D$7)</f>
        <v/>
      </c>
      <c r="G920" s="74">
        <f>IF(R920="","",IF(INDEX('Recurring Schedule'!$H$6:$H$45,R920)="","",INDEX('Recurring Schedule'!$H$6:$H$45,R920)))</f>
        <v/>
      </c>
      <c r="H920" s="74">
        <f>IF(R920="","",IF(INDEX('Recurring Schedule'!$I$6:$I$45,R920)="","",INDEX('Recurring Schedule'!$I$6:$I$45,R920)))</f>
        <v/>
      </c>
      <c r="I920" s="36">
        <f>IF(OR(G920="",H920=""),"",TRIM(IF(HOUR(H920-G920)&gt;0,HOUR(H920-G920)&amp;" hr ","")&amp;IF(MINUTE(H920-G920)&gt;0,MINUTE(H920-G920)&amp;" min","")))</f>
        <v/>
      </c>
      <c r="J920" s="66" t="n"/>
      <c r="K920" s="70" t="n"/>
      <c r="L920" s="36">
        <f>IF(R920="","",IF(INDEX('Recurring Schedule'!$J$6:$J$45,R920)="","",INDEX('Recurring Schedule'!$J$6:$J$45,R920)))</f>
        <v/>
      </c>
      <c r="M920" s="36">
        <f>IF(R920="","",IF(INDEX('Recurring Schedule'!$K$6:$K$45,R920)="","",INDEX('Recurring Schedule'!$K$6:$K$45,R920)))</f>
        <v/>
      </c>
      <c r="N920" s="36">
        <f>IF(R920="","",IF(INDEX('Recurring Schedule'!$L$6:$L$45,R920)="","",INDEX('Recurring Schedule'!$L$6:$L$45,R920)))</f>
        <v/>
      </c>
      <c r="O920" s="36">
        <f>IF(C920="","",IF(AND(OR(L920="1-Urgent",L920="2-High"),M920="✓"),"DO FIRST",IF(M920="✓","SCHEDULE",IF(OR(L920="1-Urgent",L920="2-High"),"DELEGATE","DELETE"))))</f>
        <v/>
      </c>
      <c r="P920" s="65" t="n"/>
      <c r="Q920">
        <f>IF(915&gt;Calc!$AQ$368,"",MATCH(914,Calc!$AQ$2:$AQ$367,1))</f>
        <v/>
      </c>
      <c r="R920">
        <f>IF(Q920="","",SMALL(INDEX(Calc!$B$2:$AO$367,Q920,0),915-INDEX(Calc!$AQ$2:$AQ$367,Q920)))</f>
        <v/>
      </c>
    </row>
    <row r="921">
      <c r="B921" s="71">
        <f>IF(R921="","",916)</f>
        <v/>
      </c>
      <c r="C921" s="75">
        <f>IF(R921="","",IF(INDEX('Recurring Schedule'!$C$6:$C$45,R921)="","",INDEX('Recurring Schedule'!$C$6:$C$45,R921)))</f>
        <v/>
      </c>
      <c r="D921" s="73">
        <f>IF(R921="","",IF(INDEX('Recurring Schedule'!$D$6:$D$45,R921)="","",INDEX('Recurring Schedule'!$D$6:$D$45,R921)))</f>
        <v/>
      </c>
      <c r="E921" s="76">
        <f>IF(Q921="","",INDEX(Calc!$A$2:$A$367,Q921))</f>
        <v/>
      </c>
      <c r="F921" s="72">
        <f>IF(OR(C921="",E921=""),"",E921-Setup!$D$7)</f>
        <v/>
      </c>
      <c r="G921" s="77">
        <f>IF(R921="","",IF(INDEX('Recurring Schedule'!$H$6:$H$45,R921)="","",INDEX('Recurring Schedule'!$H$6:$H$45,R921)))</f>
        <v/>
      </c>
      <c r="H921" s="77">
        <f>IF(R921="","",IF(INDEX('Recurring Schedule'!$I$6:$I$45,R921)="","",INDEX('Recurring Schedule'!$I$6:$I$45,R921)))</f>
        <v/>
      </c>
      <c r="I921" s="73">
        <f>IF(OR(G921="",H921=""),"",TRIM(IF(HOUR(H921-G921)&gt;0,HOUR(H921-G921)&amp;" hr ","")&amp;IF(MINUTE(H921-G921)&gt;0,MINUTE(H921-G921)&amp;" min","")))</f>
        <v/>
      </c>
      <c r="J921" s="66" t="n"/>
      <c r="K921" s="70" t="n"/>
      <c r="L921" s="73">
        <f>IF(R921="","",IF(INDEX('Recurring Schedule'!$J$6:$J$45,R921)="","",INDEX('Recurring Schedule'!$J$6:$J$45,R921)))</f>
        <v/>
      </c>
      <c r="M921" s="73">
        <f>IF(R921="","",IF(INDEX('Recurring Schedule'!$K$6:$K$45,R921)="","",INDEX('Recurring Schedule'!$K$6:$K$45,R921)))</f>
        <v/>
      </c>
      <c r="N921" s="73">
        <f>IF(R921="","",IF(INDEX('Recurring Schedule'!$L$6:$L$45,R921)="","",INDEX('Recurring Schedule'!$L$6:$L$45,R921)))</f>
        <v/>
      </c>
      <c r="O921" s="73">
        <f>IF(C921="","",IF(AND(OR(L921="1-Urgent",L921="2-High"),M921="✓"),"DO FIRST",IF(M921="✓","SCHEDULE",IF(OR(L921="1-Urgent",L921="2-High"),"DELEGATE","DELETE"))))</f>
        <v/>
      </c>
      <c r="P921" s="65" t="n"/>
      <c r="Q921">
        <f>IF(916&gt;Calc!$AQ$368,"",MATCH(915,Calc!$AQ$2:$AQ$367,1))</f>
        <v/>
      </c>
      <c r="R921">
        <f>IF(Q921="","",SMALL(INDEX(Calc!$B$2:$AO$367,Q921,0),916-INDEX(Calc!$AQ$2:$AQ$367,Q921)))</f>
        <v/>
      </c>
    </row>
    <row r="922">
      <c r="B922" s="64">
        <f>IF(R922="","",917)</f>
        <v/>
      </c>
      <c r="C922" s="37">
        <f>IF(R922="","",IF(INDEX('Recurring Schedule'!$C$6:$C$45,R922)="","",INDEX('Recurring Schedule'!$C$6:$C$45,R922)))</f>
        <v/>
      </c>
      <c r="D922" s="36">
        <f>IF(R922="","",IF(INDEX('Recurring Schedule'!$D$6:$D$45,R922)="","",INDEX('Recurring Schedule'!$D$6:$D$45,R922)))</f>
        <v/>
      </c>
      <c r="E922" s="38">
        <f>IF(Q922="","",INDEX(Calc!$A$2:$A$367,Q922))</f>
        <v/>
      </c>
      <c r="F922" s="68">
        <f>IF(OR(C922="",E922=""),"",E922-Setup!$D$7)</f>
        <v/>
      </c>
      <c r="G922" s="74">
        <f>IF(R922="","",IF(INDEX('Recurring Schedule'!$H$6:$H$45,R922)="","",INDEX('Recurring Schedule'!$H$6:$H$45,R922)))</f>
        <v/>
      </c>
      <c r="H922" s="74">
        <f>IF(R922="","",IF(INDEX('Recurring Schedule'!$I$6:$I$45,R922)="","",INDEX('Recurring Schedule'!$I$6:$I$45,R922)))</f>
        <v/>
      </c>
      <c r="I922" s="36">
        <f>IF(OR(G922="",H922=""),"",TRIM(IF(HOUR(H922-G922)&gt;0,HOUR(H922-G922)&amp;" hr ","")&amp;IF(MINUTE(H922-G922)&gt;0,MINUTE(H922-G922)&amp;" min","")))</f>
        <v/>
      </c>
      <c r="J922" s="66" t="n"/>
      <c r="K922" s="70" t="n"/>
      <c r="L922" s="36">
        <f>IF(R922="","",IF(INDEX('Recurring Schedule'!$J$6:$J$45,R922)="","",INDEX('Recurring Schedule'!$J$6:$J$45,R922)))</f>
        <v/>
      </c>
      <c r="M922" s="36">
        <f>IF(R922="","",IF(INDEX('Recurring Schedule'!$K$6:$K$45,R922)="","",INDEX('Recurring Schedule'!$K$6:$K$45,R922)))</f>
        <v/>
      </c>
      <c r="N922" s="36">
        <f>IF(R922="","",IF(INDEX('Recurring Schedule'!$L$6:$L$45,R922)="","",INDEX('Recurring Schedule'!$L$6:$L$45,R922)))</f>
        <v/>
      </c>
      <c r="O922" s="36">
        <f>IF(C922="","",IF(AND(OR(L922="1-Urgent",L922="2-High"),M922="✓"),"DO FIRST",IF(M922="✓","SCHEDULE",IF(OR(L922="1-Urgent",L922="2-High"),"DELEGATE","DELETE"))))</f>
        <v/>
      </c>
      <c r="P922" s="65" t="n"/>
      <c r="Q922">
        <f>IF(917&gt;Calc!$AQ$368,"",MATCH(916,Calc!$AQ$2:$AQ$367,1))</f>
        <v/>
      </c>
      <c r="R922">
        <f>IF(Q922="","",SMALL(INDEX(Calc!$B$2:$AO$367,Q922,0),917-INDEX(Calc!$AQ$2:$AQ$367,Q922)))</f>
        <v/>
      </c>
    </row>
    <row r="923">
      <c r="B923" s="71">
        <f>IF(R923="","",918)</f>
        <v/>
      </c>
      <c r="C923" s="75">
        <f>IF(R923="","",IF(INDEX('Recurring Schedule'!$C$6:$C$45,R923)="","",INDEX('Recurring Schedule'!$C$6:$C$45,R923)))</f>
        <v/>
      </c>
      <c r="D923" s="73">
        <f>IF(R923="","",IF(INDEX('Recurring Schedule'!$D$6:$D$45,R923)="","",INDEX('Recurring Schedule'!$D$6:$D$45,R923)))</f>
        <v/>
      </c>
      <c r="E923" s="76">
        <f>IF(Q923="","",INDEX(Calc!$A$2:$A$367,Q923))</f>
        <v/>
      </c>
      <c r="F923" s="72">
        <f>IF(OR(C923="",E923=""),"",E923-Setup!$D$7)</f>
        <v/>
      </c>
      <c r="G923" s="77">
        <f>IF(R923="","",IF(INDEX('Recurring Schedule'!$H$6:$H$45,R923)="","",INDEX('Recurring Schedule'!$H$6:$H$45,R923)))</f>
        <v/>
      </c>
      <c r="H923" s="77">
        <f>IF(R923="","",IF(INDEX('Recurring Schedule'!$I$6:$I$45,R923)="","",INDEX('Recurring Schedule'!$I$6:$I$45,R923)))</f>
        <v/>
      </c>
      <c r="I923" s="73">
        <f>IF(OR(G923="",H923=""),"",TRIM(IF(HOUR(H923-G923)&gt;0,HOUR(H923-G923)&amp;" hr ","")&amp;IF(MINUTE(H923-G923)&gt;0,MINUTE(H923-G923)&amp;" min","")))</f>
        <v/>
      </c>
      <c r="J923" s="66" t="n"/>
      <c r="K923" s="70" t="n"/>
      <c r="L923" s="73">
        <f>IF(R923="","",IF(INDEX('Recurring Schedule'!$J$6:$J$45,R923)="","",INDEX('Recurring Schedule'!$J$6:$J$45,R923)))</f>
        <v/>
      </c>
      <c r="M923" s="73">
        <f>IF(R923="","",IF(INDEX('Recurring Schedule'!$K$6:$K$45,R923)="","",INDEX('Recurring Schedule'!$K$6:$K$45,R923)))</f>
        <v/>
      </c>
      <c r="N923" s="73">
        <f>IF(R923="","",IF(INDEX('Recurring Schedule'!$L$6:$L$45,R923)="","",INDEX('Recurring Schedule'!$L$6:$L$45,R923)))</f>
        <v/>
      </c>
      <c r="O923" s="73">
        <f>IF(C923="","",IF(AND(OR(L923="1-Urgent",L923="2-High"),M923="✓"),"DO FIRST",IF(M923="✓","SCHEDULE",IF(OR(L923="1-Urgent",L923="2-High"),"DELEGATE","DELETE"))))</f>
        <v/>
      </c>
      <c r="P923" s="65" t="n"/>
      <c r="Q923">
        <f>IF(918&gt;Calc!$AQ$368,"",MATCH(917,Calc!$AQ$2:$AQ$367,1))</f>
        <v/>
      </c>
      <c r="R923">
        <f>IF(Q923="","",SMALL(INDEX(Calc!$B$2:$AO$367,Q923,0),918-INDEX(Calc!$AQ$2:$AQ$367,Q923)))</f>
        <v/>
      </c>
    </row>
    <row r="924">
      <c r="B924" s="64">
        <f>IF(R924="","",919)</f>
        <v/>
      </c>
      <c r="C924" s="37">
        <f>IF(R924="","",IF(INDEX('Recurring Schedule'!$C$6:$C$45,R924)="","",INDEX('Recurring Schedule'!$C$6:$C$45,R924)))</f>
        <v/>
      </c>
      <c r="D924" s="36">
        <f>IF(R924="","",IF(INDEX('Recurring Schedule'!$D$6:$D$45,R924)="","",INDEX('Recurring Schedule'!$D$6:$D$45,R924)))</f>
        <v/>
      </c>
      <c r="E924" s="38">
        <f>IF(Q924="","",INDEX(Calc!$A$2:$A$367,Q924))</f>
        <v/>
      </c>
      <c r="F924" s="68">
        <f>IF(OR(C924="",E924=""),"",E924-Setup!$D$7)</f>
        <v/>
      </c>
      <c r="G924" s="74">
        <f>IF(R924="","",IF(INDEX('Recurring Schedule'!$H$6:$H$45,R924)="","",INDEX('Recurring Schedule'!$H$6:$H$45,R924)))</f>
        <v/>
      </c>
      <c r="H924" s="74">
        <f>IF(R924="","",IF(INDEX('Recurring Schedule'!$I$6:$I$45,R924)="","",INDEX('Recurring Schedule'!$I$6:$I$45,R924)))</f>
        <v/>
      </c>
      <c r="I924" s="36">
        <f>IF(OR(G924="",H924=""),"",TRIM(IF(HOUR(H924-G924)&gt;0,HOUR(H924-G924)&amp;" hr ","")&amp;IF(MINUTE(H924-G924)&gt;0,MINUTE(H924-G924)&amp;" min","")))</f>
        <v/>
      </c>
      <c r="J924" s="66" t="n"/>
      <c r="K924" s="70" t="n"/>
      <c r="L924" s="36">
        <f>IF(R924="","",IF(INDEX('Recurring Schedule'!$J$6:$J$45,R924)="","",INDEX('Recurring Schedule'!$J$6:$J$45,R924)))</f>
        <v/>
      </c>
      <c r="M924" s="36">
        <f>IF(R924="","",IF(INDEX('Recurring Schedule'!$K$6:$K$45,R924)="","",INDEX('Recurring Schedule'!$K$6:$K$45,R924)))</f>
        <v/>
      </c>
      <c r="N924" s="36">
        <f>IF(R924="","",IF(INDEX('Recurring Schedule'!$L$6:$L$45,R924)="","",INDEX('Recurring Schedule'!$L$6:$L$45,R924)))</f>
        <v/>
      </c>
      <c r="O924" s="36">
        <f>IF(C924="","",IF(AND(OR(L924="1-Urgent",L924="2-High"),M924="✓"),"DO FIRST",IF(M924="✓","SCHEDULE",IF(OR(L924="1-Urgent",L924="2-High"),"DELEGATE","DELETE"))))</f>
        <v/>
      </c>
      <c r="P924" s="65" t="n"/>
      <c r="Q924">
        <f>IF(919&gt;Calc!$AQ$368,"",MATCH(918,Calc!$AQ$2:$AQ$367,1))</f>
        <v/>
      </c>
      <c r="R924">
        <f>IF(Q924="","",SMALL(INDEX(Calc!$B$2:$AO$367,Q924,0),919-INDEX(Calc!$AQ$2:$AQ$367,Q924)))</f>
        <v/>
      </c>
    </row>
    <row r="925">
      <c r="B925" s="71">
        <f>IF(R925="","",920)</f>
        <v/>
      </c>
      <c r="C925" s="75">
        <f>IF(R925="","",IF(INDEX('Recurring Schedule'!$C$6:$C$45,R925)="","",INDEX('Recurring Schedule'!$C$6:$C$45,R925)))</f>
        <v/>
      </c>
      <c r="D925" s="73">
        <f>IF(R925="","",IF(INDEX('Recurring Schedule'!$D$6:$D$45,R925)="","",INDEX('Recurring Schedule'!$D$6:$D$45,R925)))</f>
        <v/>
      </c>
      <c r="E925" s="76">
        <f>IF(Q925="","",INDEX(Calc!$A$2:$A$367,Q925))</f>
        <v/>
      </c>
      <c r="F925" s="72">
        <f>IF(OR(C925="",E925=""),"",E925-Setup!$D$7)</f>
        <v/>
      </c>
      <c r="G925" s="77">
        <f>IF(R925="","",IF(INDEX('Recurring Schedule'!$H$6:$H$45,R925)="","",INDEX('Recurring Schedule'!$H$6:$H$45,R925)))</f>
        <v/>
      </c>
      <c r="H925" s="77">
        <f>IF(R925="","",IF(INDEX('Recurring Schedule'!$I$6:$I$45,R925)="","",INDEX('Recurring Schedule'!$I$6:$I$45,R925)))</f>
        <v/>
      </c>
      <c r="I925" s="73">
        <f>IF(OR(G925="",H925=""),"",TRIM(IF(HOUR(H925-G925)&gt;0,HOUR(H925-G925)&amp;" hr ","")&amp;IF(MINUTE(H925-G925)&gt;0,MINUTE(H925-G925)&amp;" min","")))</f>
        <v/>
      </c>
      <c r="J925" s="66" t="n"/>
      <c r="K925" s="70" t="n"/>
      <c r="L925" s="73">
        <f>IF(R925="","",IF(INDEX('Recurring Schedule'!$J$6:$J$45,R925)="","",INDEX('Recurring Schedule'!$J$6:$J$45,R925)))</f>
        <v/>
      </c>
      <c r="M925" s="73">
        <f>IF(R925="","",IF(INDEX('Recurring Schedule'!$K$6:$K$45,R925)="","",INDEX('Recurring Schedule'!$K$6:$K$45,R925)))</f>
        <v/>
      </c>
      <c r="N925" s="73">
        <f>IF(R925="","",IF(INDEX('Recurring Schedule'!$L$6:$L$45,R925)="","",INDEX('Recurring Schedule'!$L$6:$L$45,R925)))</f>
        <v/>
      </c>
      <c r="O925" s="73">
        <f>IF(C925="","",IF(AND(OR(L925="1-Urgent",L925="2-High"),M925="✓"),"DO FIRST",IF(M925="✓","SCHEDULE",IF(OR(L925="1-Urgent",L925="2-High"),"DELEGATE","DELETE"))))</f>
        <v/>
      </c>
      <c r="P925" s="65" t="n"/>
      <c r="Q925">
        <f>IF(920&gt;Calc!$AQ$368,"",MATCH(919,Calc!$AQ$2:$AQ$367,1))</f>
        <v/>
      </c>
      <c r="R925">
        <f>IF(Q925="","",SMALL(INDEX(Calc!$B$2:$AO$367,Q925,0),920-INDEX(Calc!$AQ$2:$AQ$367,Q925)))</f>
        <v/>
      </c>
    </row>
    <row r="926">
      <c r="B926" s="64">
        <f>IF(R926="","",921)</f>
        <v/>
      </c>
      <c r="C926" s="37">
        <f>IF(R926="","",IF(INDEX('Recurring Schedule'!$C$6:$C$45,R926)="","",INDEX('Recurring Schedule'!$C$6:$C$45,R926)))</f>
        <v/>
      </c>
      <c r="D926" s="36">
        <f>IF(R926="","",IF(INDEX('Recurring Schedule'!$D$6:$D$45,R926)="","",INDEX('Recurring Schedule'!$D$6:$D$45,R926)))</f>
        <v/>
      </c>
      <c r="E926" s="38">
        <f>IF(Q926="","",INDEX(Calc!$A$2:$A$367,Q926))</f>
        <v/>
      </c>
      <c r="F926" s="68">
        <f>IF(OR(C926="",E926=""),"",E926-Setup!$D$7)</f>
        <v/>
      </c>
      <c r="G926" s="74">
        <f>IF(R926="","",IF(INDEX('Recurring Schedule'!$H$6:$H$45,R926)="","",INDEX('Recurring Schedule'!$H$6:$H$45,R926)))</f>
        <v/>
      </c>
      <c r="H926" s="74">
        <f>IF(R926="","",IF(INDEX('Recurring Schedule'!$I$6:$I$45,R926)="","",INDEX('Recurring Schedule'!$I$6:$I$45,R926)))</f>
        <v/>
      </c>
      <c r="I926" s="36">
        <f>IF(OR(G926="",H926=""),"",TRIM(IF(HOUR(H926-G926)&gt;0,HOUR(H926-G926)&amp;" hr ","")&amp;IF(MINUTE(H926-G926)&gt;0,MINUTE(H926-G926)&amp;" min","")))</f>
        <v/>
      </c>
      <c r="J926" s="66" t="n"/>
      <c r="K926" s="70" t="n"/>
      <c r="L926" s="36">
        <f>IF(R926="","",IF(INDEX('Recurring Schedule'!$J$6:$J$45,R926)="","",INDEX('Recurring Schedule'!$J$6:$J$45,R926)))</f>
        <v/>
      </c>
      <c r="M926" s="36">
        <f>IF(R926="","",IF(INDEX('Recurring Schedule'!$K$6:$K$45,R926)="","",INDEX('Recurring Schedule'!$K$6:$K$45,R926)))</f>
        <v/>
      </c>
      <c r="N926" s="36">
        <f>IF(R926="","",IF(INDEX('Recurring Schedule'!$L$6:$L$45,R926)="","",INDEX('Recurring Schedule'!$L$6:$L$45,R926)))</f>
        <v/>
      </c>
      <c r="O926" s="36">
        <f>IF(C926="","",IF(AND(OR(L926="1-Urgent",L926="2-High"),M926="✓"),"DO FIRST",IF(M926="✓","SCHEDULE",IF(OR(L926="1-Urgent",L926="2-High"),"DELEGATE","DELETE"))))</f>
        <v/>
      </c>
      <c r="P926" s="65" t="n"/>
      <c r="Q926">
        <f>IF(921&gt;Calc!$AQ$368,"",MATCH(920,Calc!$AQ$2:$AQ$367,1))</f>
        <v/>
      </c>
      <c r="R926">
        <f>IF(Q926="","",SMALL(INDEX(Calc!$B$2:$AO$367,Q926,0),921-INDEX(Calc!$AQ$2:$AQ$367,Q926)))</f>
        <v/>
      </c>
    </row>
    <row r="927">
      <c r="B927" s="71">
        <f>IF(R927="","",922)</f>
        <v/>
      </c>
      <c r="C927" s="75">
        <f>IF(R927="","",IF(INDEX('Recurring Schedule'!$C$6:$C$45,R927)="","",INDEX('Recurring Schedule'!$C$6:$C$45,R927)))</f>
        <v/>
      </c>
      <c r="D927" s="73">
        <f>IF(R927="","",IF(INDEX('Recurring Schedule'!$D$6:$D$45,R927)="","",INDEX('Recurring Schedule'!$D$6:$D$45,R927)))</f>
        <v/>
      </c>
      <c r="E927" s="76">
        <f>IF(Q927="","",INDEX(Calc!$A$2:$A$367,Q927))</f>
        <v/>
      </c>
      <c r="F927" s="72">
        <f>IF(OR(C927="",E927=""),"",E927-Setup!$D$7)</f>
        <v/>
      </c>
      <c r="G927" s="77">
        <f>IF(R927="","",IF(INDEX('Recurring Schedule'!$H$6:$H$45,R927)="","",INDEX('Recurring Schedule'!$H$6:$H$45,R927)))</f>
        <v/>
      </c>
      <c r="H927" s="77">
        <f>IF(R927="","",IF(INDEX('Recurring Schedule'!$I$6:$I$45,R927)="","",INDEX('Recurring Schedule'!$I$6:$I$45,R927)))</f>
        <v/>
      </c>
      <c r="I927" s="73">
        <f>IF(OR(G927="",H927=""),"",TRIM(IF(HOUR(H927-G927)&gt;0,HOUR(H927-G927)&amp;" hr ","")&amp;IF(MINUTE(H927-G927)&gt;0,MINUTE(H927-G927)&amp;" min","")))</f>
        <v/>
      </c>
      <c r="J927" s="66" t="n"/>
      <c r="K927" s="70" t="n"/>
      <c r="L927" s="73">
        <f>IF(R927="","",IF(INDEX('Recurring Schedule'!$J$6:$J$45,R927)="","",INDEX('Recurring Schedule'!$J$6:$J$45,R927)))</f>
        <v/>
      </c>
      <c r="M927" s="73">
        <f>IF(R927="","",IF(INDEX('Recurring Schedule'!$K$6:$K$45,R927)="","",INDEX('Recurring Schedule'!$K$6:$K$45,R927)))</f>
        <v/>
      </c>
      <c r="N927" s="73">
        <f>IF(R927="","",IF(INDEX('Recurring Schedule'!$L$6:$L$45,R927)="","",INDEX('Recurring Schedule'!$L$6:$L$45,R927)))</f>
        <v/>
      </c>
      <c r="O927" s="73">
        <f>IF(C927="","",IF(AND(OR(L927="1-Urgent",L927="2-High"),M927="✓"),"DO FIRST",IF(M927="✓","SCHEDULE",IF(OR(L927="1-Urgent",L927="2-High"),"DELEGATE","DELETE"))))</f>
        <v/>
      </c>
      <c r="P927" s="65" t="n"/>
      <c r="Q927">
        <f>IF(922&gt;Calc!$AQ$368,"",MATCH(921,Calc!$AQ$2:$AQ$367,1))</f>
        <v/>
      </c>
      <c r="R927">
        <f>IF(Q927="","",SMALL(INDEX(Calc!$B$2:$AO$367,Q927,0),922-INDEX(Calc!$AQ$2:$AQ$367,Q927)))</f>
        <v/>
      </c>
    </row>
    <row r="928">
      <c r="B928" s="64">
        <f>IF(R928="","",923)</f>
        <v/>
      </c>
      <c r="C928" s="37">
        <f>IF(R928="","",IF(INDEX('Recurring Schedule'!$C$6:$C$45,R928)="","",INDEX('Recurring Schedule'!$C$6:$C$45,R928)))</f>
        <v/>
      </c>
      <c r="D928" s="36">
        <f>IF(R928="","",IF(INDEX('Recurring Schedule'!$D$6:$D$45,R928)="","",INDEX('Recurring Schedule'!$D$6:$D$45,R928)))</f>
        <v/>
      </c>
      <c r="E928" s="38">
        <f>IF(Q928="","",INDEX(Calc!$A$2:$A$367,Q928))</f>
        <v/>
      </c>
      <c r="F928" s="68">
        <f>IF(OR(C928="",E928=""),"",E928-Setup!$D$7)</f>
        <v/>
      </c>
      <c r="G928" s="74">
        <f>IF(R928="","",IF(INDEX('Recurring Schedule'!$H$6:$H$45,R928)="","",INDEX('Recurring Schedule'!$H$6:$H$45,R928)))</f>
        <v/>
      </c>
      <c r="H928" s="74">
        <f>IF(R928="","",IF(INDEX('Recurring Schedule'!$I$6:$I$45,R928)="","",INDEX('Recurring Schedule'!$I$6:$I$45,R928)))</f>
        <v/>
      </c>
      <c r="I928" s="36">
        <f>IF(OR(G928="",H928=""),"",TRIM(IF(HOUR(H928-G928)&gt;0,HOUR(H928-G928)&amp;" hr ","")&amp;IF(MINUTE(H928-G928)&gt;0,MINUTE(H928-G928)&amp;" min","")))</f>
        <v/>
      </c>
      <c r="J928" s="66" t="n"/>
      <c r="K928" s="70" t="n"/>
      <c r="L928" s="36">
        <f>IF(R928="","",IF(INDEX('Recurring Schedule'!$J$6:$J$45,R928)="","",INDEX('Recurring Schedule'!$J$6:$J$45,R928)))</f>
        <v/>
      </c>
      <c r="M928" s="36">
        <f>IF(R928="","",IF(INDEX('Recurring Schedule'!$K$6:$K$45,R928)="","",INDEX('Recurring Schedule'!$K$6:$K$45,R928)))</f>
        <v/>
      </c>
      <c r="N928" s="36">
        <f>IF(R928="","",IF(INDEX('Recurring Schedule'!$L$6:$L$45,R928)="","",INDEX('Recurring Schedule'!$L$6:$L$45,R928)))</f>
        <v/>
      </c>
      <c r="O928" s="36">
        <f>IF(C928="","",IF(AND(OR(L928="1-Urgent",L928="2-High"),M928="✓"),"DO FIRST",IF(M928="✓","SCHEDULE",IF(OR(L928="1-Urgent",L928="2-High"),"DELEGATE","DELETE"))))</f>
        <v/>
      </c>
      <c r="P928" s="65" t="n"/>
      <c r="Q928">
        <f>IF(923&gt;Calc!$AQ$368,"",MATCH(922,Calc!$AQ$2:$AQ$367,1))</f>
        <v/>
      </c>
      <c r="R928">
        <f>IF(Q928="","",SMALL(INDEX(Calc!$B$2:$AO$367,Q928,0),923-INDEX(Calc!$AQ$2:$AQ$367,Q928)))</f>
        <v/>
      </c>
    </row>
    <row r="929">
      <c r="B929" s="71">
        <f>IF(R929="","",924)</f>
        <v/>
      </c>
      <c r="C929" s="75">
        <f>IF(R929="","",IF(INDEX('Recurring Schedule'!$C$6:$C$45,R929)="","",INDEX('Recurring Schedule'!$C$6:$C$45,R929)))</f>
        <v/>
      </c>
      <c r="D929" s="73">
        <f>IF(R929="","",IF(INDEX('Recurring Schedule'!$D$6:$D$45,R929)="","",INDEX('Recurring Schedule'!$D$6:$D$45,R929)))</f>
        <v/>
      </c>
      <c r="E929" s="76">
        <f>IF(Q929="","",INDEX(Calc!$A$2:$A$367,Q929))</f>
        <v/>
      </c>
      <c r="F929" s="72">
        <f>IF(OR(C929="",E929=""),"",E929-Setup!$D$7)</f>
        <v/>
      </c>
      <c r="G929" s="77">
        <f>IF(R929="","",IF(INDEX('Recurring Schedule'!$H$6:$H$45,R929)="","",INDEX('Recurring Schedule'!$H$6:$H$45,R929)))</f>
        <v/>
      </c>
      <c r="H929" s="77">
        <f>IF(R929="","",IF(INDEX('Recurring Schedule'!$I$6:$I$45,R929)="","",INDEX('Recurring Schedule'!$I$6:$I$45,R929)))</f>
        <v/>
      </c>
      <c r="I929" s="73">
        <f>IF(OR(G929="",H929=""),"",TRIM(IF(HOUR(H929-G929)&gt;0,HOUR(H929-G929)&amp;" hr ","")&amp;IF(MINUTE(H929-G929)&gt;0,MINUTE(H929-G929)&amp;" min","")))</f>
        <v/>
      </c>
      <c r="J929" s="66" t="n"/>
      <c r="K929" s="70" t="n"/>
      <c r="L929" s="73">
        <f>IF(R929="","",IF(INDEX('Recurring Schedule'!$J$6:$J$45,R929)="","",INDEX('Recurring Schedule'!$J$6:$J$45,R929)))</f>
        <v/>
      </c>
      <c r="M929" s="73">
        <f>IF(R929="","",IF(INDEX('Recurring Schedule'!$K$6:$K$45,R929)="","",INDEX('Recurring Schedule'!$K$6:$K$45,R929)))</f>
        <v/>
      </c>
      <c r="N929" s="73">
        <f>IF(R929="","",IF(INDEX('Recurring Schedule'!$L$6:$L$45,R929)="","",INDEX('Recurring Schedule'!$L$6:$L$45,R929)))</f>
        <v/>
      </c>
      <c r="O929" s="73">
        <f>IF(C929="","",IF(AND(OR(L929="1-Urgent",L929="2-High"),M929="✓"),"DO FIRST",IF(M929="✓","SCHEDULE",IF(OR(L929="1-Urgent",L929="2-High"),"DELEGATE","DELETE"))))</f>
        <v/>
      </c>
      <c r="P929" s="65" t="n"/>
      <c r="Q929">
        <f>IF(924&gt;Calc!$AQ$368,"",MATCH(923,Calc!$AQ$2:$AQ$367,1))</f>
        <v/>
      </c>
      <c r="R929">
        <f>IF(Q929="","",SMALL(INDEX(Calc!$B$2:$AO$367,Q929,0),924-INDEX(Calc!$AQ$2:$AQ$367,Q929)))</f>
        <v/>
      </c>
    </row>
    <row r="930">
      <c r="B930" s="64">
        <f>IF(R930="","",925)</f>
        <v/>
      </c>
      <c r="C930" s="37">
        <f>IF(R930="","",IF(INDEX('Recurring Schedule'!$C$6:$C$45,R930)="","",INDEX('Recurring Schedule'!$C$6:$C$45,R930)))</f>
        <v/>
      </c>
      <c r="D930" s="36">
        <f>IF(R930="","",IF(INDEX('Recurring Schedule'!$D$6:$D$45,R930)="","",INDEX('Recurring Schedule'!$D$6:$D$45,R930)))</f>
        <v/>
      </c>
      <c r="E930" s="38">
        <f>IF(Q930="","",INDEX(Calc!$A$2:$A$367,Q930))</f>
        <v/>
      </c>
      <c r="F930" s="68">
        <f>IF(OR(C930="",E930=""),"",E930-Setup!$D$7)</f>
        <v/>
      </c>
      <c r="G930" s="74">
        <f>IF(R930="","",IF(INDEX('Recurring Schedule'!$H$6:$H$45,R930)="","",INDEX('Recurring Schedule'!$H$6:$H$45,R930)))</f>
        <v/>
      </c>
      <c r="H930" s="74">
        <f>IF(R930="","",IF(INDEX('Recurring Schedule'!$I$6:$I$45,R930)="","",INDEX('Recurring Schedule'!$I$6:$I$45,R930)))</f>
        <v/>
      </c>
      <c r="I930" s="36">
        <f>IF(OR(G930="",H930=""),"",TRIM(IF(HOUR(H930-G930)&gt;0,HOUR(H930-G930)&amp;" hr ","")&amp;IF(MINUTE(H930-G930)&gt;0,MINUTE(H930-G930)&amp;" min","")))</f>
        <v/>
      </c>
      <c r="J930" s="66" t="n"/>
      <c r="K930" s="70" t="n"/>
      <c r="L930" s="36">
        <f>IF(R930="","",IF(INDEX('Recurring Schedule'!$J$6:$J$45,R930)="","",INDEX('Recurring Schedule'!$J$6:$J$45,R930)))</f>
        <v/>
      </c>
      <c r="M930" s="36">
        <f>IF(R930="","",IF(INDEX('Recurring Schedule'!$K$6:$K$45,R930)="","",INDEX('Recurring Schedule'!$K$6:$K$45,R930)))</f>
        <v/>
      </c>
      <c r="N930" s="36">
        <f>IF(R930="","",IF(INDEX('Recurring Schedule'!$L$6:$L$45,R930)="","",INDEX('Recurring Schedule'!$L$6:$L$45,R930)))</f>
        <v/>
      </c>
      <c r="O930" s="36">
        <f>IF(C930="","",IF(AND(OR(L930="1-Urgent",L930="2-High"),M930="✓"),"DO FIRST",IF(M930="✓","SCHEDULE",IF(OR(L930="1-Urgent",L930="2-High"),"DELEGATE","DELETE"))))</f>
        <v/>
      </c>
      <c r="P930" s="65" t="n"/>
      <c r="Q930">
        <f>IF(925&gt;Calc!$AQ$368,"",MATCH(924,Calc!$AQ$2:$AQ$367,1))</f>
        <v/>
      </c>
      <c r="R930">
        <f>IF(Q930="","",SMALL(INDEX(Calc!$B$2:$AO$367,Q930,0),925-INDEX(Calc!$AQ$2:$AQ$367,Q930)))</f>
        <v/>
      </c>
    </row>
    <row r="931">
      <c r="B931" s="71">
        <f>IF(R931="","",926)</f>
        <v/>
      </c>
      <c r="C931" s="75">
        <f>IF(R931="","",IF(INDEX('Recurring Schedule'!$C$6:$C$45,R931)="","",INDEX('Recurring Schedule'!$C$6:$C$45,R931)))</f>
        <v/>
      </c>
      <c r="D931" s="73">
        <f>IF(R931="","",IF(INDEX('Recurring Schedule'!$D$6:$D$45,R931)="","",INDEX('Recurring Schedule'!$D$6:$D$45,R931)))</f>
        <v/>
      </c>
      <c r="E931" s="76">
        <f>IF(Q931="","",INDEX(Calc!$A$2:$A$367,Q931))</f>
        <v/>
      </c>
      <c r="F931" s="72">
        <f>IF(OR(C931="",E931=""),"",E931-Setup!$D$7)</f>
        <v/>
      </c>
      <c r="G931" s="77">
        <f>IF(R931="","",IF(INDEX('Recurring Schedule'!$H$6:$H$45,R931)="","",INDEX('Recurring Schedule'!$H$6:$H$45,R931)))</f>
        <v/>
      </c>
      <c r="H931" s="77">
        <f>IF(R931="","",IF(INDEX('Recurring Schedule'!$I$6:$I$45,R931)="","",INDEX('Recurring Schedule'!$I$6:$I$45,R931)))</f>
        <v/>
      </c>
      <c r="I931" s="73">
        <f>IF(OR(G931="",H931=""),"",TRIM(IF(HOUR(H931-G931)&gt;0,HOUR(H931-G931)&amp;" hr ","")&amp;IF(MINUTE(H931-G931)&gt;0,MINUTE(H931-G931)&amp;" min","")))</f>
        <v/>
      </c>
      <c r="J931" s="66" t="n"/>
      <c r="K931" s="70" t="n"/>
      <c r="L931" s="73">
        <f>IF(R931="","",IF(INDEX('Recurring Schedule'!$J$6:$J$45,R931)="","",INDEX('Recurring Schedule'!$J$6:$J$45,R931)))</f>
        <v/>
      </c>
      <c r="M931" s="73">
        <f>IF(R931="","",IF(INDEX('Recurring Schedule'!$K$6:$K$45,R931)="","",INDEX('Recurring Schedule'!$K$6:$K$45,R931)))</f>
        <v/>
      </c>
      <c r="N931" s="73">
        <f>IF(R931="","",IF(INDEX('Recurring Schedule'!$L$6:$L$45,R931)="","",INDEX('Recurring Schedule'!$L$6:$L$45,R931)))</f>
        <v/>
      </c>
      <c r="O931" s="73">
        <f>IF(C931="","",IF(AND(OR(L931="1-Urgent",L931="2-High"),M931="✓"),"DO FIRST",IF(M931="✓","SCHEDULE",IF(OR(L931="1-Urgent",L931="2-High"),"DELEGATE","DELETE"))))</f>
        <v/>
      </c>
      <c r="P931" s="65" t="n"/>
      <c r="Q931">
        <f>IF(926&gt;Calc!$AQ$368,"",MATCH(925,Calc!$AQ$2:$AQ$367,1))</f>
        <v/>
      </c>
      <c r="R931">
        <f>IF(Q931="","",SMALL(INDEX(Calc!$B$2:$AO$367,Q931,0),926-INDEX(Calc!$AQ$2:$AQ$367,Q931)))</f>
        <v/>
      </c>
    </row>
    <row r="932">
      <c r="B932" s="64">
        <f>IF(R932="","",927)</f>
        <v/>
      </c>
      <c r="C932" s="37">
        <f>IF(R932="","",IF(INDEX('Recurring Schedule'!$C$6:$C$45,R932)="","",INDEX('Recurring Schedule'!$C$6:$C$45,R932)))</f>
        <v/>
      </c>
      <c r="D932" s="36">
        <f>IF(R932="","",IF(INDEX('Recurring Schedule'!$D$6:$D$45,R932)="","",INDEX('Recurring Schedule'!$D$6:$D$45,R932)))</f>
        <v/>
      </c>
      <c r="E932" s="38">
        <f>IF(Q932="","",INDEX(Calc!$A$2:$A$367,Q932))</f>
        <v/>
      </c>
      <c r="F932" s="68">
        <f>IF(OR(C932="",E932=""),"",E932-Setup!$D$7)</f>
        <v/>
      </c>
      <c r="G932" s="74">
        <f>IF(R932="","",IF(INDEX('Recurring Schedule'!$H$6:$H$45,R932)="","",INDEX('Recurring Schedule'!$H$6:$H$45,R932)))</f>
        <v/>
      </c>
      <c r="H932" s="74">
        <f>IF(R932="","",IF(INDEX('Recurring Schedule'!$I$6:$I$45,R932)="","",INDEX('Recurring Schedule'!$I$6:$I$45,R932)))</f>
        <v/>
      </c>
      <c r="I932" s="36">
        <f>IF(OR(G932="",H932=""),"",TRIM(IF(HOUR(H932-G932)&gt;0,HOUR(H932-G932)&amp;" hr ","")&amp;IF(MINUTE(H932-G932)&gt;0,MINUTE(H932-G932)&amp;" min","")))</f>
        <v/>
      </c>
      <c r="J932" s="66" t="n"/>
      <c r="K932" s="70" t="n"/>
      <c r="L932" s="36">
        <f>IF(R932="","",IF(INDEX('Recurring Schedule'!$J$6:$J$45,R932)="","",INDEX('Recurring Schedule'!$J$6:$J$45,R932)))</f>
        <v/>
      </c>
      <c r="M932" s="36">
        <f>IF(R932="","",IF(INDEX('Recurring Schedule'!$K$6:$K$45,R932)="","",INDEX('Recurring Schedule'!$K$6:$K$45,R932)))</f>
        <v/>
      </c>
      <c r="N932" s="36">
        <f>IF(R932="","",IF(INDEX('Recurring Schedule'!$L$6:$L$45,R932)="","",INDEX('Recurring Schedule'!$L$6:$L$45,R932)))</f>
        <v/>
      </c>
      <c r="O932" s="36">
        <f>IF(C932="","",IF(AND(OR(L932="1-Urgent",L932="2-High"),M932="✓"),"DO FIRST",IF(M932="✓","SCHEDULE",IF(OR(L932="1-Urgent",L932="2-High"),"DELEGATE","DELETE"))))</f>
        <v/>
      </c>
      <c r="P932" s="65" t="n"/>
      <c r="Q932">
        <f>IF(927&gt;Calc!$AQ$368,"",MATCH(926,Calc!$AQ$2:$AQ$367,1))</f>
        <v/>
      </c>
      <c r="R932">
        <f>IF(Q932="","",SMALL(INDEX(Calc!$B$2:$AO$367,Q932,0),927-INDEX(Calc!$AQ$2:$AQ$367,Q932)))</f>
        <v/>
      </c>
    </row>
    <row r="933">
      <c r="B933" s="71">
        <f>IF(R933="","",928)</f>
        <v/>
      </c>
      <c r="C933" s="75">
        <f>IF(R933="","",IF(INDEX('Recurring Schedule'!$C$6:$C$45,R933)="","",INDEX('Recurring Schedule'!$C$6:$C$45,R933)))</f>
        <v/>
      </c>
      <c r="D933" s="73">
        <f>IF(R933="","",IF(INDEX('Recurring Schedule'!$D$6:$D$45,R933)="","",INDEX('Recurring Schedule'!$D$6:$D$45,R933)))</f>
        <v/>
      </c>
      <c r="E933" s="76">
        <f>IF(Q933="","",INDEX(Calc!$A$2:$A$367,Q933))</f>
        <v/>
      </c>
      <c r="F933" s="72">
        <f>IF(OR(C933="",E933=""),"",E933-Setup!$D$7)</f>
        <v/>
      </c>
      <c r="G933" s="77">
        <f>IF(R933="","",IF(INDEX('Recurring Schedule'!$H$6:$H$45,R933)="","",INDEX('Recurring Schedule'!$H$6:$H$45,R933)))</f>
        <v/>
      </c>
      <c r="H933" s="77">
        <f>IF(R933="","",IF(INDEX('Recurring Schedule'!$I$6:$I$45,R933)="","",INDEX('Recurring Schedule'!$I$6:$I$45,R933)))</f>
        <v/>
      </c>
      <c r="I933" s="73">
        <f>IF(OR(G933="",H933=""),"",TRIM(IF(HOUR(H933-G933)&gt;0,HOUR(H933-G933)&amp;" hr ","")&amp;IF(MINUTE(H933-G933)&gt;0,MINUTE(H933-G933)&amp;" min","")))</f>
        <v/>
      </c>
      <c r="J933" s="66" t="n"/>
      <c r="K933" s="70" t="n"/>
      <c r="L933" s="73">
        <f>IF(R933="","",IF(INDEX('Recurring Schedule'!$J$6:$J$45,R933)="","",INDEX('Recurring Schedule'!$J$6:$J$45,R933)))</f>
        <v/>
      </c>
      <c r="M933" s="73">
        <f>IF(R933="","",IF(INDEX('Recurring Schedule'!$K$6:$K$45,R933)="","",INDEX('Recurring Schedule'!$K$6:$K$45,R933)))</f>
        <v/>
      </c>
      <c r="N933" s="73">
        <f>IF(R933="","",IF(INDEX('Recurring Schedule'!$L$6:$L$45,R933)="","",INDEX('Recurring Schedule'!$L$6:$L$45,R933)))</f>
        <v/>
      </c>
      <c r="O933" s="73">
        <f>IF(C933="","",IF(AND(OR(L933="1-Urgent",L933="2-High"),M933="✓"),"DO FIRST",IF(M933="✓","SCHEDULE",IF(OR(L933="1-Urgent",L933="2-High"),"DELEGATE","DELETE"))))</f>
        <v/>
      </c>
      <c r="P933" s="65" t="n"/>
      <c r="Q933">
        <f>IF(928&gt;Calc!$AQ$368,"",MATCH(927,Calc!$AQ$2:$AQ$367,1))</f>
        <v/>
      </c>
      <c r="R933">
        <f>IF(Q933="","",SMALL(INDEX(Calc!$B$2:$AO$367,Q933,0),928-INDEX(Calc!$AQ$2:$AQ$367,Q933)))</f>
        <v/>
      </c>
    </row>
    <row r="934">
      <c r="B934" s="64">
        <f>IF(R934="","",929)</f>
        <v/>
      </c>
      <c r="C934" s="37">
        <f>IF(R934="","",IF(INDEX('Recurring Schedule'!$C$6:$C$45,R934)="","",INDEX('Recurring Schedule'!$C$6:$C$45,R934)))</f>
        <v/>
      </c>
      <c r="D934" s="36">
        <f>IF(R934="","",IF(INDEX('Recurring Schedule'!$D$6:$D$45,R934)="","",INDEX('Recurring Schedule'!$D$6:$D$45,R934)))</f>
        <v/>
      </c>
      <c r="E934" s="38">
        <f>IF(Q934="","",INDEX(Calc!$A$2:$A$367,Q934))</f>
        <v/>
      </c>
      <c r="F934" s="68">
        <f>IF(OR(C934="",E934=""),"",E934-Setup!$D$7)</f>
        <v/>
      </c>
      <c r="G934" s="74">
        <f>IF(R934="","",IF(INDEX('Recurring Schedule'!$H$6:$H$45,R934)="","",INDEX('Recurring Schedule'!$H$6:$H$45,R934)))</f>
        <v/>
      </c>
      <c r="H934" s="74">
        <f>IF(R934="","",IF(INDEX('Recurring Schedule'!$I$6:$I$45,R934)="","",INDEX('Recurring Schedule'!$I$6:$I$45,R934)))</f>
        <v/>
      </c>
      <c r="I934" s="36">
        <f>IF(OR(G934="",H934=""),"",TRIM(IF(HOUR(H934-G934)&gt;0,HOUR(H934-G934)&amp;" hr ","")&amp;IF(MINUTE(H934-G934)&gt;0,MINUTE(H934-G934)&amp;" min","")))</f>
        <v/>
      </c>
      <c r="J934" s="66" t="n"/>
      <c r="K934" s="70" t="n"/>
      <c r="L934" s="36">
        <f>IF(R934="","",IF(INDEX('Recurring Schedule'!$J$6:$J$45,R934)="","",INDEX('Recurring Schedule'!$J$6:$J$45,R934)))</f>
        <v/>
      </c>
      <c r="M934" s="36">
        <f>IF(R934="","",IF(INDEX('Recurring Schedule'!$K$6:$K$45,R934)="","",INDEX('Recurring Schedule'!$K$6:$K$45,R934)))</f>
        <v/>
      </c>
      <c r="N934" s="36">
        <f>IF(R934="","",IF(INDEX('Recurring Schedule'!$L$6:$L$45,R934)="","",INDEX('Recurring Schedule'!$L$6:$L$45,R934)))</f>
        <v/>
      </c>
      <c r="O934" s="36">
        <f>IF(C934="","",IF(AND(OR(L934="1-Urgent",L934="2-High"),M934="✓"),"DO FIRST",IF(M934="✓","SCHEDULE",IF(OR(L934="1-Urgent",L934="2-High"),"DELEGATE","DELETE"))))</f>
        <v/>
      </c>
      <c r="P934" s="65" t="n"/>
      <c r="Q934">
        <f>IF(929&gt;Calc!$AQ$368,"",MATCH(928,Calc!$AQ$2:$AQ$367,1))</f>
        <v/>
      </c>
      <c r="R934">
        <f>IF(Q934="","",SMALL(INDEX(Calc!$B$2:$AO$367,Q934,0),929-INDEX(Calc!$AQ$2:$AQ$367,Q934)))</f>
        <v/>
      </c>
    </row>
    <row r="935">
      <c r="B935" s="71">
        <f>IF(R935="","",930)</f>
        <v/>
      </c>
      <c r="C935" s="75">
        <f>IF(R935="","",IF(INDEX('Recurring Schedule'!$C$6:$C$45,R935)="","",INDEX('Recurring Schedule'!$C$6:$C$45,R935)))</f>
        <v/>
      </c>
      <c r="D935" s="73">
        <f>IF(R935="","",IF(INDEX('Recurring Schedule'!$D$6:$D$45,R935)="","",INDEX('Recurring Schedule'!$D$6:$D$45,R935)))</f>
        <v/>
      </c>
      <c r="E935" s="76">
        <f>IF(Q935="","",INDEX(Calc!$A$2:$A$367,Q935))</f>
        <v/>
      </c>
      <c r="F935" s="72">
        <f>IF(OR(C935="",E935=""),"",E935-Setup!$D$7)</f>
        <v/>
      </c>
      <c r="G935" s="77">
        <f>IF(R935="","",IF(INDEX('Recurring Schedule'!$H$6:$H$45,R935)="","",INDEX('Recurring Schedule'!$H$6:$H$45,R935)))</f>
        <v/>
      </c>
      <c r="H935" s="77">
        <f>IF(R935="","",IF(INDEX('Recurring Schedule'!$I$6:$I$45,R935)="","",INDEX('Recurring Schedule'!$I$6:$I$45,R935)))</f>
        <v/>
      </c>
      <c r="I935" s="73">
        <f>IF(OR(G935="",H935=""),"",TRIM(IF(HOUR(H935-G935)&gt;0,HOUR(H935-G935)&amp;" hr ","")&amp;IF(MINUTE(H935-G935)&gt;0,MINUTE(H935-G935)&amp;" min","")))</f>
        <v/>
      </c>
      <c r="J935" s="66" t="n"/>
      <c r="K935" s="70" t="n"/>
      <c r="L935" s="73">
        <f>IF(R935="","",IF(INDEX('Recurring Schedule'!$J$6:$J$45,R935)="","",INDEX('Recurring Schedule'!$J$6:$J$45,R935)))</f>
        <v/>
      </c>
      <c r="M935" s="73">
        <f>IF(R935="","",IF(INDEX('Recurring Schedule'!$K$6:$K$45,R935)="","",INDEX('Recurring Schedule'!$K$6:$K$45,R935)))</f>
        <v/>
      </c>
      <c r="N935" s="73">
        <f>IF(R935="","",IF(INDEX('Recurring Schedule'!$L$6:$L$45,R935)="","",INDEX('Recurring Schedule'!$L$6:$L$45,R935)))</f>
        <v/>
      </c>
      <c r="O935" s="73">
        <f>IF(C935="","",IF(AND(OR(L935="1-Urgent",L935="2-High"),M935="✓"),"DO FIRST",IF(M935="✓","SCHEDULE",IF(OR(L935="1-Urgent",L935="2-High"),"DELEGATE","DELETE"))))</f>
        <v/>
      </c>
      <c r="P935" s="65" t="n"/>
      <c r="Q935">
        <f>IF(930&gt;Calc!$AQ$368,"",MATCH(929,Calc!$AQ$2:$AQ$367,1))</f>
        <v/>
      </c>
      <c r="R935">
        <f>IF(Q935="","",SMALL(INDEX(Calc!$B$2:$AO$367,Q935,0),930-INDEX(Calc!$AQ$2:$AQ$367,Q935)))</f>
        <v/>
      </c>
    </row>
    <row r="936">
      <c r="B936" s="64">
        <f>IF(R936="","",931)</f>
        <v/>
      </c>
      <c r="C936" s="37">
        <f>IF(R936="","",IF(INDEX('Recurring Schedule'!$C$6:$C$45,R936)="","",INDEX('Recurring Schedule'!$C$6:$C$45,R936)))</f>
        <v/>
      </c>
      <c r="D936" s="36">
        <f>IF(R936="","",IF(INDEX('Recurring Schedule'!$D$6:$D$45,R936)="","",INDEX('Recurring Schedule'!$D$6:$D$45,R936)))</f>
        <v/>
      </c>
      <c r="E936" s="38">
        <f>IF(Q936="","",INDEX(Calc!$A$2:$A$367,Q936))</f>
        <v/>
      </c>
      <c r="F936" s="68">
        <f>IF(OR(C936="",E936=""),"",E936-Setup!$D$7)</f>
        <v/>
      </c>
      <c r="G936" s="74">
        <f>IF(R936="","",IF(INDEX('Recurring Schedule'!$H$6:$H$45,R936)="","",INDEX('Recurring Schedule'!$H$6:$H$45,R936)))</f>
        <v/>
      </c>
      <c r="H936" s="74">
        <f>IF(R936="","",IF(INDEX('Recurring Schedule'!$I$6:$I$45,R936)="","",INDEX('Recurring Schedule'!$I$6:$I$45,R936)))</f>
        <v/>
      </c>
      <c r="I936" s="36">
        <f>IF(OR(G936="",H936=""),"",TRIM(IF(HOUR(H936-G936)&gt;0,HOUR(H936-G936)&amp;" hr ","")&amp;IF(MINUTE(H936-G936)&gt;0,MINUTE(H936-G936)&amp;" min","")))</f>
        <v/>
      </c>
      <c r="J936" s="66" t="n"/>
      <c r="K936" s="70" t="n"/>
      <c r="L936" s="36">
        <f>IF(R936="","",IF(INDEX('Recurring Schedule'!$J$6:$J$45,R936)="","",INDEX('Recurring Schedule'!$J$6:$J$45,R936)))</f>
        <v/>
      </c>
      <c r="M936" s="36">
        <f>IF(R936="","",IF(INDEX('Recurring Schedule'!$K$6:$K$45,R936)="","",INDEX('Recurring Schedule'!$K$6:$K$45,R936)))</f>
        <v/>
      </c>
      <c r="N936" s="36">
        <f>IF(R936="","",IF(INDEX('Recurring Schedule'!$L$6:$L$45,R936)="","",INDEX('Recurring Schedule'!$L$6:$L$45,R936)))</f>
        <v/>
      </c>
      <c r="O936" s="36">
        <f>IF(C936="","",IF(AND(OR(L936="1-Urgent",L936="2-High"),M936="✓"),"DO FIRST",IF(M936="✓","SCHEDULE",IF(OR(L936="1-Urgent",L936="2-High"),"DELEGATE","DELETE"))))</f>
        <v/>
      </c>
      <c r="P936" s="65" t="n"/>
      <c r="Q936">
        <f>IF(931&gt;Calc!$AQ$368,"",MATCH(930,Calc!$AQ$2:$AQ$367,1))</f>
        <v/>
      </c>
      <c r="R936">
        <f>IF(Q936="","",SMALL(INDEX(Calc!$B$2:$AO$367,Q936,0),931-INDEX(Calc!$AQ$2:$AQ$367,Q936)))</f>
        <v/>
      </c>
    </row>
    <row r="937">
      <c r="B937" s="71">
        <f>IF(R937="","",932)</f>
        <v/>
      </c>
      <c r="C937" s="75">
        <f>IF(R937="","",IF(INDEX('Recurring Schedule'!$C$6:$C$45,R937)="","",INDEX('Recurring Schedule'!$C$6:$C$45,R937)))</f>
        <v/>
      </c>
      <c r="D937" s="73">
        <f>IF(R937="","",IF(INDEX('Recurring Schedule'!$D$6:$D$45,R937)="","",INDEX('Recurring Schedule'!$D$6:$D$45,R937)))</f>
        <v/>
      </c>
      <c r="E937" s="76">
        <f>IF(Q937="","",INDEX(Calc!$A$2:$A$367,Q937))</f>
        <v/>
      </c>
      <c r="F937" s="72">
        <f>IF(OR(C937="",E937=""),"",E937-Setup!$D$7)</f>
        <v/>
      </c>
      <c r="G937" s="77">
        <f>IF(R937="","",IF(INDEX('Recurring Schedule'!$H$6:$H$45,R937)="","",INDEX('Recurring Schedule'!$H$6:$H$45,R937)))</f>
        <v/>
      </c>
      <c r="H937" s="77">
        <f>IF(R937="","",IF(INDEX('Recurring Schedule'!$I$6:$I$45,R937)="","",INDEX('Recurring Schedule'!$I$6:$I$45,R937)))</f>
        <v/>
      </c>
      <c r="I937" s="73">
        <f>IF(OR(G937="",H937=""),"",TRIM(IF(HOUR(H937-G937)&gt;0,HOUR(H937-G937)&amp;" hr ","")&amp;IF(MINUTE(H937-G937)&gt;0,MINUTE(H937-G937)&amp;" min","")))</f>
        <v/>
      </c>
      <c r="J937" s="66" t="n"/>
      <c r="K937" s="70" t="n"/>
      <c r="L937" s="73">
        <f>IF(R937="","",IF(INDEX('Recurring Schedule'!$J$6:$J$45,R937)="","",INDEX('Recurring Schedule'!$J$6:$J$45,R937)))</f>
        <v/>
      </c>
      <c r="M937" s="73">
        <f>IF(R937="","",IF(INDEX('Recurring Schedule'!$K$6:$K$45,R937)="","",INDEX('Recurring Schedule'!$K$6:$K$45,R937)))</f>
        <v/>
      </c>
      <c r="N937" s="73">
        <f>IF(R937="","",IF(INDEX('Recurring Schedule'!$L$6:$L$45,R937)="","",INDEX('Recurring Schedule'!$L$6:$L$45,R937)))</f>
        <v/>
      </c>
      <c r="O937" s="73">
        <f>IF(C937="","",IF(AND(OR(L937="1-Urgent",L937="2-High"),M937="✓"),"DO FIRST",IF(M937="✓","SCHEDULE",IF(OR(L937="1-Urgent",L937="2-High"),"DELEGATE","DELETE"))))</f>
        <v/>
      </c>
      <c r="P937" s="65" t="n"/>
      <c r="Q937">
        <f>IF(932&gt;Calc!$AQ$368,"",MATCH(931,Calc!$AQ$2:$AQ$367,1))</f>
        <v/>
      </c>
      <c r="R937">
        <f>IF(Q937="","",SMALL(INDEX(Calc!$B$2:$AO$367,Q937,0),932-INDEX(Calc!$AQ$2:$AQ$367,Q937)))</f>
        <v/>
      </c>
    </row>
    <row r="938">
      <c r="B938" s="64">
        <f>IF(R938="","",933)</f>
        <v/>
      </c>
      <c r="C938" s="37">
        <f>IF(R938="","",IF(INDEX('Recurring Schedule'!$C$6:$C$45,R938)="","",INDEX('Recurring Schedule'!$C$6:$C$45,R938)))</f>
        <v/>
      </c>
      <c r="D938" s="36">
        <f>IF(R938="","",IF(INDEX('Recurring Schedule'!$D$6:$D$45,R938)="","",INDEX('Recurring Schedule'!$D$6:$D$45,R938)))</f>
        <v/>
      </c>
      <c r="E938" s="38">
        <f>IF(Q938="","",INDEX(Calc!$A$2:$A$367,Q938))</f>
        <v/>
      </c>
      <c r="F938" s="68">
        <f>IF(OR(C938="",E938=""),"",E938-Setup!$D$7)</f>
        <v/>
      </c>
      <c r="G938" s="74">
        <f>IF(R938="","",IF(INDEX('Recurring Schedule'!$H$6:$H$45,R938)="","",INDEX('Recurring Schedule'!$H$6:$H$45,R938)))</f>
        <v/>
      </c>
      <c r="H938" s="74">
        <f>IF(R938="","",IF(INDEX('Recurring Schedule'!$I$6:$I$45,R938)="","",INDEX('Recurring Schedule'!$I$6:$I$45,R938)))</f>
        <v/>
      </c>
      <c r="I938" s="36">
        <f>IF(OR(G938="",H938=""),"",TRIM(IF(HOUR(H938-G938)&gt;0,HOUR(H938-G938)&amp;" hr ","")&amp;IF(MINUTE(H938-G938)&gt;0,MINUTE(H938-G938)&amp;" min","")))</f>
        <v/>
      </c>
      <c r="J938" s="66" t="n"/>
      <c r="K938" s="70" t="n"/>
      <c r="L938" s="36">
        <f>IF(R938="","",IF(INDEX('Recurring Schedule'!$J$6:$J$45,R938)="","",INDEX('Recurring Schedule'!$J$6:$J$45,R938)))</f>
        <v/>
      </c>
      <c r="M938" s="36">
        <f>IF(R938="","",IF(INDEX('Recurring Schedule'!$K$6:$K$45,R938)="","",INDEX('Recurring Schedule'!$K$6:$K$45,R938)))</f>
        <v/>
      </c>
      <c r="N938" s="36">
        <f>IF(R938="","",IF(INDEX('Recurring Schedule'!$L$6:$L$45,R938)="","",INDEX('Recurring Schedule'!$L$6:$L$45,R938)))</f>
        <v/>
      </c>
      <c r="O938" s="36">
        <f>IF(C938="","",IF(AND(OR(L938="1-Urgent",L938="2-High"),M938="✓"),"DO FIRST",IF(M938="✓","SCHEDULE",IF(OR(L938="1-Urgent",L938="2-High"),"DELEGATE","DELETE"))))</f>
        <v/>
      </c>
      <c r="P938" s="65" t="n"/>
      <c r="Q938">
        <f>IF(933&gt;Calc!$AQ$368,"",MATCH(932,Calc!$AQ$2:$AQ$367,1))</f>
        <v/>
      </c>
      <c r="R938">
        <f>IF(Q938="","",SMALL(INDEX(Calc!$B$2:$AO$367,Q938,0),933-INDEX(Calc!$AQ$2:$AQ$367,Q938)))</f>
        <v/>
      </c>
    </row>
    <row r="939">
      <c r="B939" s="71">
        <f>IF(R939="","",934)</f>
        <v/>
      </c>
      <c r="C939" s="75">
        <f>IF(R939="","",IF(INDEX('Recurring Schedule'!$C$6:$C$45,R939)="","",INDEX('Recurring Schedule'!$C$6:$C$45,R939)))</f>
        <v/>
      </c>
      <c r="D939" s="73">
        <f>IF(R939="","",IF(INDEX('Recurring Schedule'!$D$6:$D$45,R939)="","",INDEX('Recurring Schedule'!$D$6:$D$45,R939)))</f>
        <v/>
      </c>
      <c r="E939" s="76">
        <f>IF(Q939="","",INDEX(Calc!$A$2:$A$367,Q939))</f>
        <v/>
      </c>
      <c r="F939" s="72">
        <f>IF(OR(C939="",E939=""),"",E939-Setup!$D$7)</f>
        <v/>
      </c>
      <c r="G939" s="77">
        <f>IF(R939="","",IF(INDEX('Recurring Schedule'!$H$6:$H$45,R939)="","",INDEX('Recurring Schedule'!$H$6:$H$45,R939)))</f>
        <v/>
      </c>
      <c r="H939" s="77">
        <f>IF(R939="","",IF(INDEX('Recurring Schedule'!$I$6:$I$45,R939)="","",INDEX('Recurring Schedule'!$I$6:$I$45,R939)))</f>
        <v/>
      </c>
      <c r="I939" s="73">
        <f>IF(OR(G939="",H939=""),"",TRIM(IF(HOUR(H939-G939)&gt;0,HOUR(H939-G939)&amp;" hr ","")&amp;IF(MINUTE(H939-G939)&gt;0,MINUTE(H939-G939)&amp;" min","")))</f>
        <v/>
      </c>
      <c r="J939" s="66" t="n"/>
      <c r="K939" s="70" t="n"/>
      <c r="L939" s="73">
        <f>IF(R939="","",IF(INDEX('Recurring Schedule'!$J$6:$J$45,R939)="","",INDEX('Recurring Schedule'!$J$6:$J$45,R939)))</f>
        <v/>
      </c>
      <c r="M939" s="73">
        <f>IF(R939="","",IF(INDEX('Recurring Schedule'!$K$6:$K$45,R939)="","",INDEX('Recurring Schedule'!$K$6:$K$45,R939)))</f>
        <v/>
      </c>
      <c r="N939" s="73">
        <f>IF(R939="","",IF(INDEX('Recurring Schedule'!$L$6:$L$45,R939)="","",INDEX('Recurring Schedule'!$L$6:$L$45,R939)))</f>
        <v/>
      </c>
      <c r="O939" s="73">
        <f>IF(C939="","",IF(AND(OR(L939="1-Urgent",L939="2-High"),M939="✓"),"DO FIRST",IF(M939="✓","SCHEDULE",IF(OR(L939="1-Urgent",L939="2-High"),"DELEGATE","DELETE"))))</f>
        <v/>
      </c>
      <c r="P939" s="65" t="n"/>
      <c r="Q939">
        <f>IF(934&gt;Calc!$AQ$368,"",MATCH(933,Calc!$AQ$2:$AQ$367,1))</f>
        <v/>
      </c>
      <c r="R939">
        <f>IF(Q939="","",SMALL(INDEX(Calc!$B$2:$AO$367,Q939,0),934-INDEX(Calc!$AQ$2:$AQ$367,Q939)))</f>
        <v/>
      </c>
    </row>
    <row r="940">
      <c r="B940" s="64">
        <f>IF(R940="","",935)</f>
        <v/>
      </c>
      <c r="C940" s="37">
        <f>IF(R940="","",IF(INDEX('Recurring Schedule'!$C$6:$C$45,R940)="","",INDEX('Recurring Schedule'!$C$6:$C$45,R940)))</f>
        <v/>
      </c>
      <c r="D940" s="36">
        <f>IF(R940="","",IF(INDEX('Recurring Schedule'!$D$6:$D$45,R940)="","",INDEX('Recurring Schedule'!$D$6:$D$45,R940)))</f>
        <v/>
      </c>
      <c r="E940" s="38">
        <f>IF(Q940="","",INDEX(Calc!$A$2:$A$367,Q940))</f>
        <v/>
      </c>
      <c r="F940" s="68">
        <f>IF(OR(C940="",E940=""),"",E940-Setup!$D$7)</f>
        <v/>
      </c>
      <c r="G940" s="74">
        <f>IF(R940="","",IF(INDEX('Recurring Schedule'!$H$6:$H$45,R940)="","",INDEX('Recurring Schedule'!$H$6:$H$45,R940)))</f>
        <v/>
      </c>
      <c r="H940" s="74">
        <f>IF(R940="","",IF(INDEX('Recurring Schedule'!$I$6:$I$45,R940)="","",INDEX('Recurring Schedule'!$I$6:$I$45,R940)))</f>
        <v/>
      </c>
      <c r="I940" s="36">
        <f>IF(OR(G940="",H940=""),"",TRIM(IF(HOUR(H940-G940)&gt;0,HOUR(H940-G940)&amp;" hr ","")&amp;IF(MINUTE(H940-G940)&gt;0,MINUTE(H940-G940)&amp;" min","")))</f>
        <v/>
      </c>
      <c r="J940" s="66" t="n"/>
      <c r="K940" s="70" t="n"/>
      <c r="L940" s="36">
        <f>IF(R940="","",IF(INDEX('Recurring Schedule'!$J$6:$J$45,R940)="","",INDEX('Recurring Schedule'!$J$6:$J$45,R940)))</f>
        <v/>
      </c>
      <c r="M940" s="36">
        <f>IF(R940="","",IF(INDEX('Recurring Schedule'!$K$6:$K$45,R940)="","",INDEX('Recurring Schedule'!$K$6:$K$45,R940)))</f>
        <v/>
      </c>
      <c r="N940" s="36">
        <f>IF(R940="","",IF(INDEX('Recurring Schedule'!$L$6:$L$45,R940)="","",INDEX('Recurring Schedule'!$L$6:$L$45,R940)))</f>
        <v/>
      </c>
      <c r="O940" s="36">
        <f>IF(C940="","",IF(AND(OR(L940="1-Urgent",L940="2-High"),M940="✓"),"DO FIRST",IF(M940="✓","SCHEDULE",IF(OR(L940="1-Urgent",L940="2-High"),"DELEGATE","DELETE"))))</f>
        <v/>
      </c>
      <c r="P940" s="65" t="n"/>
      <c r="Q940">
        <f>IF(935&gt;Calc!$AQ$368,"",MATCH(934,Calc!$AQ$2:$AQ$367,1))</f>
        <v/>
      </c>
      <c r="R940">
        <f>IF(Q940="","",SMALL(INDEX(Calc!$B$2:$AO$367,Q940,0),935-INDEX(Calc!$AQ$2:$AQ$367,Q940)))</f>
        <v/>
      </c>
    </row>
    <row r="941">
      <c r="B941" s="71">
        <f>IF(R941="","",936)</f>
        <v/>
      </c>
      <c r="C941" s="75">
        <f>IF(R941="","",IF(INDEX('Recurring Schedule'!$C$6:$C$45,R941)="","",INDEX('Recurring Schedule'!$C$6:$C$45,R941)))</f>
        <v/>
      </c>
      <c r="D941" s="73">
        <f>IF(R941="","",IF(INDEX('Recurring Schedule'!$D$6:$D$45,R941)="","",INDEX('Recurring Schedule'!$D$6:$D$45,R941)))</f>
        <v/>
      </c>
      <c r="E941" s="76">
        <f>IF(Q941="","",INDEX(Calc!$A$2:$A$367,Q941))</f>
        <v/>
      </c>
      <c r="F941" s="72">
        <f>IF(OR(C941="",E941=""),"",E941-Setup!$D$7)</f>
        <v/>
      </c>
      <c r="G941" s="77">
        <f>IF(R941="","",IF(INDEX('Recurring Schedule'!$H$6:$H$45,R941)="","",INDEX('Recurring Schedule'!$H$6:$H$45,R941)))</f>
        <v/>
      </c>
      <c r="H941" s="77">
        <f>IF(R941="","",IF(INDEX('Recurring Schedule'!$I$6:$I$45,R941)="","",INDEX('Recurring Schedule'!$I$6:$I$45,R941)))</f>
        <v/>
      </c>
      <c r="I941" s="73">
        <f>IF(OR(G941="",H941=""),"",TRIM(IF(HOUR(H941-G941)&gt;0,HOUR(H941-G941)&amp;" hr ","")&amp;IF(MINUTE(H941-G941)&gt;0,MINUTE(H941-G941)&amp;" min","")))</f>
        <v/>
      </c>
      <c r="J941" s="66" t="n"/>
      <c r="K941" s="70" t="n"/>
      <c r="L941" s="73">
        <f>IF(R941="","",IF(INDEX('Recurring Schedule'!$J$6:$J$45,R941)="","",INDEX('Recurring Schedule'!$J$6:$J$45,R941)))</f>
        <v/>
      </c>
      <c r="M941" s="73">
        <f>IF(R941="","",IF(INDEX('Recurring Schedule'!$K$6:$K$45,R941)="","",INDEX('Recurring Schedule'!$K$6:$K$45,R941)))</f>
        <v/>
      </c>
      <c r="N941" s="73">
        <f>IF(R941="","",IF(INDEX('Recurring Schedule'!$L$6:$L$45,R941)="","",INDEX('Recurring Schedule'!$L$6:$L$45,R941)))</f>
        <v/>
      </c>
      <c r="O941" s="73">
        <f>IF(C941="","",IF(AND(OR(L941="1-Urgent",L941="2-High"),M941="✓"),"DO FIRST",IF(M941="✓","SCHEDULE",IF(OR(L941="1-Urgent",L941="2-High"),"DELEGATE","DELETE"))))</f>
        <v/>
      </c>
      <c r="P941" s="65" t="n"/>
      <c r="Q941">
        <f>IF(936&gt;Calc!$AQ$368,"",MATCH(935,Calc!$AQ$2:$AQ$367,1))</f>
        <v/>
      </c>
      <c r="R941">
        <f>IF(Q941="","",SMALL(INDEX(Calc!$B$2:$AO$367,Q941,0),936-INDEX(Calc!$AQ$2:$AQ$367,Q941)))</f>
        <v/>
      </c>
    </row>
    <row r="942">
      <c r="B942" s="64">
        <f>IF(R942="","",937)</f>
        <v/>
      </c>
      <c r="C942" s="37">
        <f>IF(R942="","",IF(INDEX('Recurring Schedule'!$C$6:$C$45,R942)="","",INDEX('Recurring Schedule'!$C$6:$C$45,R942)))</f>
        <v/>
      </c>
      <c r="D942" s="36">
        <f>IF(R942="","",IF(INDEX('Recurring Schedule'!$D$6:$D$45,R942)="","",INDEX('Recurring Schedule'!$D$6:$D$45,R942)))</f>
        <v/>
      </c>
      <c r="E942" s="38">
        <f>IF(Q942="","",INDEX(Calc!$A$2:$A$367,Q942))</f>
        <v/>
      </c>
      <c r="F942" s="68">
        <f>IF(OR(C942="",E942=""),"",E942-Setup!$D$7)</f>
        <v/>
      </c>
      <c r="G942" s="74">
        <f>IF(R942="","",IF(INDEX('Recurring Schedule'!$H$6:$H$45,R942)="","",INDEX('Recurring Schedule'!$H$6:$H$45,R942)))</f>
        <v/>
      </c>
      <c r="H942" s="74">
        <f>IF(R942="","",IF(INDEX('Recurring Schedule'!$I$6:$I$45,R942)="","",INDEX('Recurring Schedule'!$I$6:$I$45,R942)))</f>
        <v/>
      </c>
      <c r="I942" s="36">
        <f>IF(OR(G942="",H942=""),"",TRIM(IF(HOUR(H942-G942)&gt;0,HOUR(H942-G942)&amp;" hr ","")&amp;IF(MINUTE(H942-G942)&gt;0,MINUTE(H942-G942)&amp;" min","")))</f>
        <v/>
      </c>
      <c r="J942" s="66" t="n"/>
      <c r="K942" s="70" t="n"/>
      <c r="L942" s="36">
        <f>IF(R942="","",IF(INDEX('Recurring Schedule'!$J$6:$J$45,R942)="","",INDEX('Recurring Schedule'!$J$6:$J$45,R942)))</f>
        <v/>
      </c>
      <c r="M942" s="36">
        <f>IF(R942="","",IF(INDEX('Recurring Schedule'!$K$6:$K$45,R942)="","",INDEX('Recurring Schedule'!$K$6:$K$45,R942)))</f>
        <v/>
      </c>
      <c r="N942" s="36">
        <f>IF(R942="","",IF(INDEX('Recurring Schedule'!$L$6:$L$45,R942)="","",INDEX('Recurring Schedule'!$L$6:$L$45,R942)))</f>
        <v/>
      </c>
      <c r="O942" s="36">
        <f>IF(C942="","",IF(AND(OR(L942="1-Urgent",L942="2-High"),M942="✓"),"DO FIRST",IF(M942="✓","SCHEDULE",IF(OR(L942="1-Urgent",L942="2-High"),"DELEGATE","DELETE"))))</f>
        <v/>
      </c>
      <c r="P942" s="65" t="n"/>
      <c r="Q942">
        <f>IF(937&gt;Calc!$AQ$368,"",MATCH(936,Calc!$AQ$2:$AQ$367,1))</f>
        <v/>
      </c>
      <c r="R942">
        <f>IF(Q942="","",SMALL(INDEX(Calc!$B$2:$AO$367,Q942,0),937-INDEX(Calc!$AQ$2:$AQ$367,Q942)))</f>
        <v/>
      </c>
    </row>
    <row r="943">
      <c r="B943" s="71">
        <f>IF(R943="","",938)</f>
        <v/>
      </c>
      <c r="C943" s="75">
        <f>IF(R943="","",IF(INDEX('Recurring Schedule'!$C$6:$C$45,R943)="","",INDEX('Recurring Schedule'!$C$6:$C$45,R943)))</f>
        <v/>
      </c>
      <c r="D943" s="73">
        <f>IF(R943="","",IF(INDEX('Recurring Schedule'!$D$6:$D$45,R943)="","",INDEX('Recurring Schedule'!$D$6:$D$45,R943)))</f>
        <v/>
      </c>
      <c r="E943" s="76">
        <f>IF(Q943="","",INDEX(Calc!$A$2:$A$367,Q943))</f>
        <v/>
      </c>
      <c r="F943" s="72">
        <f>IF(OR(C943="",E943=""),"",E943-Setup!$D$7)</f>
        <v/>
      </c>
      <c r="G943" s="77">
        <f>IF(R943="","",IF(INDEX('Recurring Schedule'!$H$6:$H$45,R943)="","",INDEX('Recurring Schedule'!$H$6:$H$45,R943)))</f>
        <v/>
      </c>
      <c r="H943" s="77">
        <f>IF(R943="","",IF(INDEX('Recurring Schedule'!$I$6:$I$45,R943)="","",INDEX('Recurring Schedule'!$I$6:$I$45,R943)))</f>
        <v/>
      </c>
      <c r="I943" s="73">
        <f>IF(OR(G943="",H943=""),"",TRIM(IF(HOUR(H943-G943)&gt;0,HOUR(H943-G943)&amp;" hr ","")&amp;IF(MINUTE(H943-G943)&gt;0,MINUTE(H943-G943)&amp;" min","")))</f>
        <v/>
      </c>
      <c r="J943" s="66" t="n"/>
      <c r="K943" s="70" t="n"/>
      <c r="L943" s="73">
        <f>IF(R943="","",IF(INDEX('Recurring Schedule'!$J$6:$J$45,R943)="","",INDEX('Recurring Schedule'!$J$6:$J$45,R943)))</f>
        <v/>
      </c>
      <c r="M943" s="73">
        <f>IF(R943="","",IF(INDEX('Recurring Schedule'!$K$6:$K$45,R943)="","",INDEX('Recurring Schedule'!$K$6:$K$45,R943)))</f>
        <v/>
      </c>
      <c r="N943" s="73">
        <f>IF(R943="","",IF(INDEX('Recurring Schedule'!$L$6:$L$45,R943)="","",INDEX('Recurring Schedule'!$L$6:$L$45,R943)))</f>
        <v/>
      </c>
      <c r="O943" s="73">
        <f>IF(C943="","",IF(AND(OR(L943="1-Urgent",L943="2-High"),M943="✓"),"DO FIRST",IF(M943="✓","SCHEDULE",IF(OR(L943="1-Urgent",L943="2-High"),"DELEGATE","DELETE"))))</f>
        <v/>
      </c>
      <c r="P943" s="65" t="n"/>
      <c r="Q943">
        <f>IF(938&gt;Calc!$AQ$368,"",MATCH(937,Calc!$AQ$2:$AQ$367,1))</f>
        <v/>
      </c>
      <c r="R943">
        <f>IF(Q943="","",SMALL(INDEX(Calc!$B$2:$AO$367,Q943,0),938-INDEX(Calc!$AQ$2:$AQ$367,Q943)))</f>
        <v/>
      </c>
    </row>
    <row r="944">
      <c r="B944" s="64">
        <f>IF(R944="","",939)</f>
        <v/>
      </c>
      <c r="C944" s="37">
        <f>IF(R944="","",IF(INDEX('Recurring Schedule'!$C$6:$C$45,R944)="","",INDEX('Recurring Schedule'!$C$6:$C$45,R944)))</f>
        <v/>
      </c>
      <c r="D944" s="36">
        <f>IF(R944="","",IF(INDEX('Recurring Schedule'!$D$6:$D$45,R944)="","",INDEX('Recurring Schedule'!$D$6:$D$45,R944)))</f>
        <v/>
      </c>
      <c r="E944" s="38">
        <f>IF(Q944="","",INDEX(Calc!$A$2:$A$367,Q944))</f>
        <v/>
      </c>
      <c r="F944" s="68">
        <f>IF(OR(C944="",E944=""),"",E944-Setup!$D$7)</f>
        <v/>
      </c>
      <c r="G944" s="74">
        <f>IF(R944="","",IF(INDEX('Recurring Schedule'!$H$6:$H$45,R944)="","",INDEX('Recurring Schedule'!$H$6:$H$45,R944)))</f>
        <v/>
      </c>
      <c r="H944" s="74">
        <f>IF(R944="","",IF(INDEX('Recurring Schedule'!$I$6:$I$45,R944)="","",INDEX('Recurring Schedule'!$I$6:$I$45,R944)))</f>
        <v/>
      </c>
      <c r="I944" s="36">
        <f>IF(OR(G944="",H944=""),"",TRIM(IF(HOUR(H944-G944)&gt;0,HOUR(H944-G944)&amp;" hr ","")&amp;IF(MINUTE(H944-G944)&gt;0,MINUTE(H944-G944)&amp;" min","")))</f>
        <v/>
      </c>
      <c r="J944" s="66" t="n"/>
      <c r="K944" s="70" t="n"/>
      <c r="L944" s="36">
        <f>IF(R944="","",IF(INDEX('Recurring Schedule'!$J$6:$J$45,R944)="","",INDEX('Recurring Schedule'!$J$6:$J$45,R944)))</f>
        <v/>
      </c>
      <c r="M944" s="36">
        <f>IF(R944="","",IF(INDEX('Recurring Schedule'!$K$6:$K$45,R944)="","",INDEX('Recurring Schedule'!$K$6:$K$45,R944)))</f>
        <v/>
      </c>
      <c r="N944" s="36">
        <f>IF(R944="","",IF(INDEX('Recurring Schedule'!$L$6:$L$45,R944)="","",INDEX('Recurring Schedule'!$L$6:$L$45,R944)))</f>
        <v/>
      </c>
      <c r="O944" s="36">
        <f>IF(C944="","",IF(AND(OR(L944="1-Urgent",L944="2-High"),M944="✓"),"DO FIRST",IF(M944="✓","SCHEDULE",IF(OR(L944="1-Urgent",L944="2-High"),"DELEGATE","DELETE"))))</f>
        <v/>
      </c>
      <c r="P944" s="65" t="n"/>
      <c r="Q944">
        <f>IF(939&gt;Calc!$AQ$368,"",MATCH(938,Calc!$AQ$2:$AQ$367,1))</f>
        <v/>
      </c>
      <c r="R944">
        <f>IF(Q944="","",SMALL(INDEX(Calc!$B$2:$AO$367,Q944,0),939-INDEX(Calc!$AQ$2:$AQ$367,Q944)))</f>
        <v/>
      </c>
    </row>
    <row r="945">
      <c r="B945" s="71">
        <f>IF(R945="","",940)</f>
        <v/>
      </c>
      <c r="C945" s="75">
        <f>IF(R945="","",IF(INDEX('Recurring Schedule'!$C$6:$C$45,R945)="","",INDEX('Recurring Schedule'!$C$6:$C$45,R945)))</f>
        <v/>
      </c>
      <c r="D945" s="73">
        <f>IF(R945="","",IF(INDEX('Recurring Schedule'!$D$6:$D$45,R945)="","",INDEX('Recurring Schedule'!$D$6:$D$45,R945)))</f>
        <v/>
      </c>
      <c r="E945" s="76">
        <f>IF(Q945="","",INDEX(Calc!$A$2:$A$367,Q945))</f>
        <v/>
      </c>
      <c r="F945" s="72">
        <f>IF(OR(C945="",E945=""),"",E945-Setup!$D$7)</f>
        <v/>
      </c>
      <c r="G945" s="77">
        <f>IF(R945="","",IF(INDEX('Recurring Schedule'!$H$6:$H$45,R945)="","",INDEX('Recurring Schedule'!$H$6:$H$45,R945)))</f>
        <v/>
      </c>
      <c r="H945" s="77">
        <f>IF(R945="","",IF(INDEX('Recurring Schedule'!$I$6:$I$45,R945)="","",INDEX('Recurring Schedule'!$I$6:$I$45,R945)))</f>
        <v/>
      </c>
      <c r="I945" s="73">
        <f>IF(OR(G945="",H945=""),"",TRIM(IF(HOUR(H945-G945)&gt;0,HOUR(H945-G945)&amp;" hr ","")&amp;IF(MINUTE(H945-G945)&gt;0,MINUTE(H945-G945)&amp;" min","")))</f>
        <v/>
      </c>
      <c r="J945" s="66" t="n"/>
      <c r="K945" s="70" t="n"/>
      <c r="L945" s="73">
        <f>IF(R945="","",IF(INDEX('Recurring Schedule'!$J$6:$J$45,R945)="","",INDEX('Recurring Schedule'!$J$6:$J$45,R945)))</f>
        <v/>
      </c>
      <c r="M945" s="73">
        <f>IF(R945="","",IF(INDEX('Recurring Schedule'!$K$6:$K$45,R945)="","",INDEX('Recurring Schedule'!$K$6:$K$45,R945)))</f>
        <v/>
      </c>
      <c r="N945" s="73">
        <f>IF(R945="","",IF(INDEX('Recurring Schedule'!$L$6:$L$45,R945)="","",INDEX('Recurring Schedule'!$L$6:$L$45,R945)))</f>
        <v/>
      </c>
      <c r="O945" s="73">
        <f>IF(C945="","",IF(AND(OR(L945="1-Urgent",L945="2-High"),M945="✓"),"DO FIRST",IF(M945="✓","SCHEDULE",IF(OR(L945="1-Urgent",L945="2-High"),"DELEGATE","DELETE"))))</f>
        <v/>
      </c>
      <c r="P945" s="65" t="n"/>
      <c r="Q945">
        <f>IF(940&gt;Calc!$AQ$368,"",MATCH(939,Calc!$AQ$2:$AQ$367,1))</f>
        <v/>
      </c>
      <c r="R945">
        <f>IF(Q945="","",SMALL(INDEX(Calc!$B$2:$AO$367,Q945,0),940-INDEX(Calc!$AQ$2:$AQ$367,Q945)))</f>
        <v/>
      </c>
    </row>
    <row r="946">
      <c r="B946" s="64">
        <f>IF(R946="","",941)</f>
        <v/>
      </c>
      <c r="C946" s="37">
        <f>IF(R946="","",IF(INDEX('Recurring Schedule'!$C$6:$C$45,R946)="","",INDEX('Recurring Schedule'!$C$6:$C$45,R946)))</f>
        <v/>
      </c>
      <c r="D946" s="36">
        <f>IF(R946="","",IF(INDEX('Recurring Schedule'!$D$6:$D$45,R946)="","",INDEX('Recurring Schedule'!$D$6:$D$45,R946)))</f>
        <v/>
      </c>
      <c r="E946" s="38">
        <f>IF(Q946="","",INDEX(Calc!$A$2:$A$367,Q946))</f>
        <v/>
      </c>
      <c r="F946" s="68">
        <f>IF(OR(C946="",E946=""),"",E946-Setup!$D$7)</f>
        <v/>
      </c>
      <c r="G946" s="74">
        <f>IF(R946="","",IF(INDEX('Recurring Schedule'!$H$6:$H$45,R946)="","",INDEX('Recurring Schedule'!$H$6:$H$45,R946)))</f>
        <v/>
      </c>
      <c r="H946" s="74">
        <f>IF(R946="","",IF(INDEX('Recurring Schedule'!$I$6:$I$45,R946)="","",INDEX('Recurring Schedule'!$I$6:$I$45,R946)))</f>
        <v/>
      </c>
      <c r="I946" s="36">
        <f>IF(OR(G946="",H946=""),"",TRIM(IF(HOUR(H946-G946)&gt;0,HOUR(H946-G946)&amp;" hr ","")&amp;IF(MINUTE(H946-G946)&gt;0,MINUTE(H946-G946)&amp;" min","")))</f>
        <v/>
      </c>
      <c r="J946" s="66" t="n"/>
      <c r="K946" s="70" t="n"/>
      <c r="L946" s="36">
        <f>IF(R946="","",IF(INDEX('Recurring Schedule'!$J$6:$J$45,R946)="","",INDEX('Recurring Schedule'!$J$6:$J$45,R946)))</f>
        <v/>
      </c>
      <c r="M946" s="36">
        <f>IF(R946="","",IF(INDEX('Recurring Schedule'!$K$6:$K$45,R946)="","",INDEX('Recurring Schedule'!$K$6:$K$45,R946)))</f>
        <v/>
      </c>
      <c r="N946" s="36">
        <f>IF(R946="","",IF(INDEX('Recurring Schedule'!$L$6:$L$45,R946)="","",INDEX('Recurring Schedule'!$L$6:$L$45,R946)))</f>
        <v/>
      </c>
      <c r="O946" s="36">
        <f>IF(C946="","",IF(AND(OR(L946="1-Urgent",L946="2-High"),M946="✓"),"DO FIRST",IF(M946="✓","SCHEDULE",IF(OR(L946="1-Urgent",L946="2-High"),"DELEGATE","DELETE"))))</f>
        <v/>
      </c>
      <c r="P946" s="65" t="n"/>
      <c r="Q946">
        <f>IF(941&gt;Calc!$AQ$368,"",MATCH(940,Calc!$AQ$2:$AQ$367,1))</f>
        <v/>
      </c>
      <c r="R946">
        <f>IF(Q946="","",SMALL(INDEX(Calc!$B$2:$AO$367,Q946,0),941-INDEX(Calc!$AQ$2:$AQ$367,Q946)))</f>
        <v/>
      </c>
    </row>
    <row r="947">
      <c r="B947" s="71">
        <f>IF(R947="","",942)</f>
        <v/>
      </c>
      <c r="C947" s="75">
        <f>IF(R947="","",IF(INDEX('Recurring Schedule'!$C$6:$C$45,R947)="","",INDEX('Recurring Schedule'!$C$6:$C$45,R947)))</f>
        <v/>
      </c>
      <c r="D947" s="73">
        <f>IF(R947="","",IF(INDEX('Recurring Schedule'!$D$6:$D$45,R947)="","",INDEX('Recurring Schedule'!$D$6:$D$45,R947)))</f>
        <v/>
      </c>
      <c r="E947" s="76">
        <f>IF(Q947="","",INDEX(Calc!$A$2:$A$367,Q947))</f>
        <v/>
      </c>
      <c r="F947" s="72">
        <f>IF(OR(C947="",E947=""),"",E947-Setup!$D$7)</f>
        <v/>
      </c>
      <c r="G947" s="77">
        <f>IF(R947="","",IF(INDEX('Recurring Schedule'!$H$6:$H$45,R947)="","",INDEX('Recurring Schedule'!$H$6:$H$45,R947)))</f>
        <v/>
      </c>
      <c r="H947" s="77">
        <f>IF(R947="","",IF(INDEX('Recurring Schedule'!$I$6:$I$45,R947)="","",INDEX('Recurring Schedule'!$I$6:$I$45,R947)))</f>
        <v/>
      </c>
      <c r="I947" s="73">
        <f>IF(OR(G947="",H947=""),"",TRIM(IF(HOUR(H947-G947)&gt;0,HOUR(H947-G947)&amp;" hr ","")&amp;IF(MINUTE(H947-G947)&gt;0,MINUTE(H947-G947)&amp;" min","")))</f>
        <v/>
      </c>
      <c r="J947" s="66" t="n"/>
      <c r="K947" s="70" t="n"/>
      <c r="L947" s="73">
        <f>IF(R947="","",IF(INDEX('Recurring Schedule'!$J$6:$J$45,R947)="","",INDEX('Recurring Schedule'!$J$6:$J$45,R947)))</f>
        <v/>
      </c>
      <c r="M947" s="73">
        <f>IF(R947="","",IF(INDEX('Recurring Schedule'!$K$6:$K$45,R947)="","",INDEX('Recurring Schedule'!$K$6:$K$45,R947)))</f>
        <v/>
      </c>
      <c r="N947" s="73">
        <f>IF(R947="","",IF(INDEX('Recurring Schedule'!$L$6:$L$45,R947)="","",INDEX('Recurring Schedule'!$L$6:$L$45,R947)))</f>
        <v/>
      </c>
      <c r="O947" s="73">
        <f>IF(C947="","",IF(AND(OR(L947="1-Urgent",L947="2-High"),M947="✓"),"DO FIRST",IF(M947="✓","SCHEDULE",IF(OR(L947="1-Urgent",L947="2-High"),"DELEGATE","DELETE"))))</f>
        <v/>
      </c>
      <c r="P947" s="65" t="n"/>
      <c r="Q947">
        <f>IF(942&gt;Calc!$AQ$368,"",MATCH(941,Calc!$AQ$2:$AQ$367,1))</f>
        <v/>
      </c>
      <c r="R947">
        <f>IF(Q947="","",SMALL(INDEX(Calc!$B$2:$AO$367,Q947,0),942-INDEX(Calc!$AQ$2:$AQ$367,Q947)))</f>
        <v/>
      </c>
    </row>
    <row r="948">
      <c r="B948" s="64">
        <f>IF(R948="","",943)</f>
        <v/>
      </c>
      <c r="C948" s="37">
        <f>IF(R948="","",IF(INDEX('Recurring Schedule'!$C$6:$C$45,R948)="","",INDEX('Recurring Schedule'!$C$6:$C$45,R948)))</f>
        <v/>
      </c>
      <c r="D948" s="36">
        <f>IF(R948="","",IF(INDEX('Recurring Schedule'!$D$6:$D$45,R948)="","",INDEX('Recurring Schedule'!$D$6:$D$45,R948)))</f>
        <v/>
      </c>
      <c r="E948" s="38">
        <f>IF(Q948="","",INDEX(Calc!$A$2:$A$367,Q948))</f>
        <v/>
      </c>
      <c r="F948" s="68">
        <f>IF(OR(C948="",E948=""),"",E948-Setup!$D$7)</f>
        <v/>
      </c>
      <c r="G948" s="74">
        <f>IF(R948="","",IF(INDEX('Recurring Schedule'!$H$6:$H$45,R948)="","",INDEX('Recurring Schedule'!$H$6:$H$45,R948)))</f>
        <v/>
      </c>
      <c r="H948" s="74">
        <f>IF(R948="","",IF(INDEX('Recurring Schedule'!$I$6:$I$45,R948)="","",INDEX('Recurring Schedule'!$I$6:$I$45,R948)))</f>
        <v/>
      </c>
      <c r="I948" s="36">
        <f>IF(OR(G948="",H948=""),"",TRIM(IF(HOUR(H948-G948)&gt;0,HOUR(H948-G948)&amp;" hr ","")&amp;IF(MINUTE(H948-G948)&gt;0,MINUTE(H948-G948)&amp;" min","")))</f>
        <v/>
      </c>
      <c r="J948" s="66" t="n"/>
      <c r="K948" s="70" t="n"/>
      <c r="L948" s="36">
        <f>IF(R948="","",IF(INDEX('Recurring Schedule'!$J$6:$J$45,R948)="","",INDEX('Recurring Schedule'!$J$6:$J$45,R948)))</f>
        <v/>
      </c>
      <c r="M948" s="36">
        <f>IF(R948="","",IF(INDEX('Recurring Schedule'!$K$6:$K$45,R948)="","",INDEX('Recurring Schedule'!$K$6:$K$45,R948)))</f>
        <v/>
      </c>
      <c r="N948" s="36">
        <f>IF(R948="","",IF(INDEX('Recurring Schedule'!$L$6:$L$45,R948)="","",INDEX('Recurring Schedule'!$L$6:$L$45,R948)))</f>
        <v/>
      </c>
      <c r="O948" s="36">
        <f>IF(C948="","",IF(AND(OR(L948="1-Urgent",L948="2-High"),M948="✓"),"DO FIRST",IF(M948="✓","SCHEDULE",IF(OR(L948="1-Urgent",L948="2-High"),"DELEGATE","DELETE"))))</f>
        <v/>
      </c>
      <c r="P948" s="65" t="n"/>
      <c r="Q948">
        <f>IF(943&gt;Calc!$AQ$368,"",MATCH(942,Calc!$AQ$2:$AQ$367,1))</f>
        <v/>
      </c>
      <c r="R948">
        <f>IF(Q948="","",SMALL(INDEX(Calc!$B$2:$AO$367,Q948,0),943-INDEX(Calc!$AQ$2:$AQ$367,Q948)))</f>
        <v/>
      </c>
    </row>
    <row r="949">
      <c r="B949" s="71">
        <f>IF(R949="","",944)</f>
        <v/>
      </c>
      <c r="C949" s="75">
        <f>IF(R949="","",IF(INDEX('Recurring Schedule'!$C$6:$C$45,R949)="","",INDEX('Recurring Schedule'!$C$6:$C$45,R949)))</f>
        <v/>
      </c>
      <c r="D949" s="73">
        <f>IF(R949="","",IF(INDEX('Recurring Schedule'!$D$6:$D$45,R949)="","",INDEX('Recurring Schedule'!$D$6:$D$45,R949)))</f>
        <v/>
      </c>
      <c r="E949" s="76">
        <f>IF(Q949="","",INDEX(Calc!$A$2:$A$367,Q949))</f>
        <v/>
      </c>
      <c r="F949" s="72">
        <f>IF(OR(C949="",E949=""),"",E949-Setup!$D$7)</f>
        <v/>
      </c>
      <c r="G949" s="77">
        <f>IF(R949="","",IF(INDEX('Recurring Schedule'!$H$6:$H$45,R949)="","",INDEX('Recurring Schedule'!$H$6:$H$45,R949)))</f>
        <v/>
      </c>
      <c r="H949" s="77">
        <f>IF(R949="","",IF(INDEX('Recurring Schedule'!$I$6:$I$45,R949)="","",INDEX('Recurring Schedule'!$I$6:$I$45,R949)))</f>
        <v/>
      </c>
      <c r="I949" s="73">
        <f>IF(OR(G949="",H949=""),"",TRIM(IF(HOUR(H949-G949)&gt;0,HOUR(H949-G949)&amp;" hr ","")&amp;IF(MINUTE(H949-G949)&gt;0,MINUTE(H949-G949)&amp;" min","")))</f>
        <v/>
      </c>
      <c r="J949" s="66" t="n"/>
      <c r="K949" s="70" t="n"/>
      <c r="L949" s="73">
        <f>IF(R949="","",IF(INDEX('Recurring Schedule'!$J$6:$J$45,R949)="","",INDEX('Recurring Schedule'!$J$6:$J$45,R949)))</f>
        <v/>
      </c>
      <c r="M949" s="73">
        <f>IF(R949="","",IF(INDEX('Recurring Schedule'!$K$6:$K$45,R949)="","",INDEX('Recurring Schedule'!$K$6:$K$45,R949)))</f>
        <v/>
      </c>
      <c r="N949" s="73">
        <f>IF(R949="","",IF(INDEX('Recurring Schedule'!$L$6:$L$45,R949)="","",INDEX('Recurring Schedule'!$L$6:$L$45,R949)))</f>
        <v/>
      </c>
      <c r="O949" s="73">
        <f>IF(C949="","",IF(AND(OR(L949="1-Urgent",L949="2-High"),M949="✓"),"DO FIRST",IF(M949="✓","SCHEDULE",IF(OR(L949="1-Urgent",L949="2-High"),"DELEGATE","DELETE"))))</f>
        <v/>
      </c>
      <c r="P949" s="65" t="n"/>
      <c r="Q949">
        <f>IF(944&gt;Calc!$AQ$368,"",MATCH(943,Calc!$AQ$2:$AQ$367,1))</f>
        <v/>
      </c>
      <c r="R949">
        <f>IF(Q949="","",SMALL(INDEX(Calc!$B$2:$AO$367,Q949,0),944-INDEX(Calc!$AQ$2:$AQ$367,Q949)))</f>
        <v/>
      </c>
    </row>
    <row r="950">
      <c r="B950" s="64">
        <f>IF(R950="","",945)</f>
        <v/>
      </c>
      <c r="C950" s="37">
        <f>IF(R950="","",IF(INDEX('Recurring Schedule'!$C$6:$C$45,R950)="","",INDEX('Recurring Schedule'!$C$6:$C$45,R950)))</f>
        <v/>
      </c>
      <c r="D950" s="36">
        <f>IF(R950="","",IF(INDEX('Recurring Schedule'!$D$6:$D$45,R950)="","",INDEX('Recurring Schedule'!$D$6:$D$45,R950)))</f>
        <v/>
      </c>
      <c r="E950" s="38">
        <f>IF(Q950="","",INDEX(Calc!$A$2:$A$367,Q950))</f>
        <v/>
      </c>
      <c r="F950" s="68">
        <f>IF(OR(C950="",E950=""),"",E950-Setup!$D$7)</f>
        <v/>
      </c>
      <c r="G950" s="74">
        <f>IF(R950="","",IF(INDEX('Recurring Schedule'!$H$6:$H$45,R950)="","",INDEX('Recurring Schedule'!$H$6:$H$45,R950)))</f>
        <v/>
      </c>
      <c r="H950" s="74">
        <f>IF(R950="","",IF(INDEX('Recurring Schedule'!$I$6:$I$45,R950)="","",INDEX('Recurring Schedule'!$I$6:$I$45,R950)))</f>
        <v/>
      </c>
      <c r="I950" s="36">
        <f>IF(OR(G950="",H950=""),"",TRIM(IF(HOUR(H950-G950)&gt;0,HOUR(H950-G950)&amp;" hr ","")&amp;IF(MINUTE(H950-G950)&gt;0,MINUTE(H950-G950)&amp;" min","")))</f>
        <v/>
      </c>
      <c r="J950" s="66" t="n"/>
      <c r="K950" s="70" t="n"/>
      <c r="L950" s="36">
        <f>IF(R950="","",IF(INDEX('Recurring Schedule'!$J$6:$J$45,R950)="","",INDEX('Recurring Schedule'!$J$6:$J$45,R950)))</f>
        <v/>
      </c>
      <c r="M950" s="36">
        <f>IF(R950="","",IF(INDEX('Recurring Schedule'!$K$6:$K$45,R950)="","",INDEX('Recurring Schedule'!$K$6:$K$45,R950)))</f>
        <v/>
      </c>
      <c r="N950" s="36">
        <f>IF(R950="","",IF(INDEX('Recurring Schedule'!$L$6:$L$45,R950)="","",INDEX('Recurring Schedule'!$L$6:$L$45,R950)))</f>
        <v/>
      </c>
      <c r="O950" s="36">
        <f>IF(C950="","",IF(AND(OR(L950="1-Urgent",L950="2-High"),M950="✓"),"DO FIRST",IF(M950="✓","SCHEDULE",IF(OR(L950="1-Urgent",L950="2-High"),"DELEGATE","DELETE"))))</f>
        <v/>
      </c>
      <c r="P950" s="65" t="n"/>
      <c r="Q950">
        <f>IF(945&gt;Calc!$AQ$368,"",MATCH(944,Calc!$AQ$2:$AQ$367,1))</f>
        <v/>
      </c>
      <c r="R950">
        <f>IF(Q950="","",SMALL(INDEX(Calc!$B$2:$AO$367,Q950,0),945-INDEX(Calc!$AQ$2:$AQ$367,Q950)))</f>
        <v/>
      </c>
    </row>
    <row r="951">
      <c r="B951" s="71">
        <f>IF(R951="","",946)</f>
        <v/>
      </c>
      <c r="C951" s="75">
        <f>IF(R951="","",IF(INDEX('Recurring Schedule'!$C$6:$C$45,R951)="","",INDEX('Recurring Schedule'!$C$6:$C$45,R951)))</f>
        <v/>
      </c>
      <c r="D951" s="73">
        <f>IF(R951="","",IF(INDEX('Recurring Schedule'!$D$6:$D$45,R951)="","",INDEX('Recurring Schedule'!$D$6:$D$45,R951)))</f>
        <v/>
      </c>
      <c r="E951" s="76">
        <f>IF(Q951="","",INDEX(Calc!$A$2:$A$367,Q951))</f>
        <v/>
      </c>
      <c r="F951" s="72">
        <f>IF(OR(C951="",E951=""),"",E951-Setup!$D$7)</f>
        <v/>
      </c>
      <c r="G951" s="77">
        <f>IF(R951="","",IF(INDEX('Recurring Schedule'!$H$6:$H$45,R951)="","",INDEX('Recurring Schedule'!$H$6:$H$45,R951)))</f>
        <v/>
      </c>
      <c r="H951" s="77">
        <f>IF(R951="","",IF(INDEX('Recurring Schedule'!$I$6:$I$45,R951)="","",INDEX('Recurring Schedule'!$I$6:$I$45,R951)))</f>
        <v/>
      </c>
      <c r="I951" s="73">
        <f>IF(OR(G951="",H951=""),"",TRIM(IF(HOUR(H951-G951)&gt;0,HOUR(H951-G951)&amp;" hr ","")&amp;IF(MINUTE(H951-G951)&gt;0,MINUTE(H951-G951)&amp;" min","")))</f>
        <v/>
      </c>
      <c r="J951" s="66" t="n"/>
      <c r="K951" s="70" t="n"/>
      <c r="L951" s="73">
        <f>IF(R951="","",IF(INDEX('Recurring Schedule'!$J$6:$J$45,R951)="","",INDEX('Recurring Schedule'!$J$6:$J$45,R951)))</f>
        <v/>
      </c>
      <c r="M951" s="73">
        <f>IF(R951="","",IF(INDEX('Recurring Schedule'!$K$6:$K$45,R951)="","",INDEX('Recurring Schedule'!$K$6:$K$45,R951)))</f>
        <v/>
      </c>
      <c r="N951" s="73">
        <f>IF(R951="","",IF(INDEX('Recurring Schedule'!$L$6:$L$45,R951)="","",INDEX('Recurring Schedule'!$L$6:$L$45,R951)))</f>
        <v/>
      </c>
      <c r="O951" s="73">
        <f>IF(C951="","",IF(AND(OR(L951="1-Urgent",L951="2-High"),M951="✓"),"DO FIRST",IF(M951="✓","SCHEDULE",IF(OR(L951="1-Urgent",L951="2-High"),"DELEGATE","DELETE"))))</f>
        <v/>
      </c>
      <c r="P951" s="65" t="n"/>
      <c r="Q951">
        <f>IF(946&gt;Calc!$AQ$368,"",MATCH(945,Calc!$AQ$2:$AQ$367,1))</f>
        <v/>
      </c>
      <c r="R951">
        <f>IF(Q951="","",SMALL(INDEX(Calc!$B$2:$AO$367,Q951,0),946-INDEX(Calc!$AQ$2:$AQ$367,Q951)))</f>
        <v/>
      </c>
    </row>
    <row r="952">
      <c r="B952" s="64">
        <f>IF(R952="","",947)</f>
        <v/>
      </c>
      <c r="C952" s="37">
        <f>IF(R952="","",IF(INDEX('Recurring Schedule'!$C$6:$C$45,R952)="","",INDEX('Recurring Schedule'!$C$6:$C$45,R952)))</f>
        <v/>
      </c>
      <c r="D952" s="36">
        <f>IF(R952="","",IF(INDEX('Recurring Schedule'!$D$6:$D$45,R952)="","",INDEX('Recurring Schedule'!$D$6:$D$45,R952)))</f>
        <v/>
      </c>
      <c r="E952" s="38">
        <f>IF(Q952="","",INDEX(Calc!$A$2:$A$367,Q952))</f>
        <v/>
      </c>
      <c r="F952" s="68">
        <f>IF(OR(C952="",E952=""),"",E952-Setup!$D$7)</f>
        <v/>
      </c>
      <c r="G952" s="74">
        <f>IF(R952="","",IF(INDEX('Recurring Schedule'!$H$6:$H$45,R952)="","",INDEX('Recurring Schedule'!$H$6:$H$45,R952)))</f>
        <v/>
      </c>
      <c r="H952" s="74">
        <f>IF(R952="","",IF(INDEX('Recurring Schedule'!$I$6:$I$45,R952)="","",INDEX('Recurring Schedule'!$I$6:$I$45,R952)))</f>
        <v/>
      </c>
      <c r="I952" s="36">
        <f>IF(OR(G952="",H952=""),"",TRIM(IF(HOUR(H952-G952)&gt;0,HOUR(H952-G952)&amp;" hr ","")&amp;IF(MINUTE(H952-G952)&gt;0,MINUTE(H952-G952)&amp;" min","")))</f>
        <v/>
      </c>
      <c r="J952" s="66" t="n"/>
      <c r="K952" s="70" t="n"/>
      <c r="L952" s="36">
        <f>IF(R952="","",IF(INDEX('Recurring Schedule'!$J$6:$J$45,R952)="","",INDEX('Recurring Schedule'!$J$6:$J$45,R952)))</f>
        <v/>
      </c>
      <c r="M952" s="36">
        <f>IF(R952="","",IF(INDEX('Recurring Schedule'!$K$6:$K$45,R952)="","",INDEX('Recurring Schedule'!$K$6:$K$45,R952)))</f>
        <v/>
      </c>
      <c r="N952" s="36">
        <f>IF(R952="","",IF(INDEX('Recurring Schedule'!$L$6:$L$45,R952)="","",INDEX('Recurring Schedule'!$L$6:$L$45,R952)))</f>
        <v/>
      </c>
      <c r="O952" s="36">
        <f>IF(C952="","",IF(AND(OR(L952="1-Urgent",L952="2-High"),M952="✓"),"DO FIRST",IF(M952="✓","SCHEDULE",IF(OR(L952="1-Urgent",L952="2-High"),"DELEGATE","DELETE"))))</f>
        <v/>
      </c>
      <c r="P952" s="65" t="n"/>
      <c r="Q952">
        <f>IF(947&gt;Calc!$AQ$368,"",MATCH(946,Calc!$AQ$2:$AQ$367,1))</f>
        <v/>
      </c>
      <c r="R952">
        <f>IF(Q952="","",SMALL(INDEX(Calc!$B$2:$AO$367,Q952,0),947-INDEX(Calc!$AQ$2:$AQ$367,Q952)))</f>
        <v/>
      </c>
    </row>
    <row r="953">
      <c r="B953" s="71">
        <f>IF(R953="","",948)</f>
        <v/>
      </c>
      <c r="C953" s="75">
        <f>IF(R953="","",IF(INDEX('Recurring Schedule'!$C$6:$C$45,R953)="","",INDEX('Recurring Schedule'!$C$6:$C$45,R953)))</f>
        <v/>
      </c>
      <c r="D953" s="73">
        <f>IF(R953="","",IF(INDEX('Recurring Schedule'!$D$6:$D$45,R953)="","",INDEX('Recurring Schedule'!$D$6:$D$45,R953)))</f>
        <v/>
      </c>
      <c r="E953" s="76">
        <f>IF(Q953="","",INDEX(Calc!$A$2:$A$367,Q953))</f>
        <v/>
      </c>
      <c r="F953" s="72">
        <f>IF(OR(C953="",E953=""),"",E953-Setup!$D$7)</f>
        <v/>
      </c>
      <c r="G953" s="77">
        <f>IF(R953="","",IF(INDEX('Recurring Schedule'!$H$6:$H$45,R953)="","",INDEX('Recurring Schedule'!$H$6:$H$45,R953)))</f>
        <v/>
      </c>
      <c r="H953" s="77">
        <f>IF(R953="","",IF(INDEX('Recurring Schedule'!$I$6:$I$45,R953)="","",INDEX('Recurring Schedule'!$I$6:$I$45,R953)))</f>
        <v/>
      </c>
      <c r="I953" s="73">
        <f>IF(OR(G953="",H953=""),"",TRIM(IF(HOUR(H953-G953)&gt;0,HOUR(H953-G953)&amp;" hr ","")&amp;IF(MINUTE(H953-G953)&gt;0,MINUTE(H953-G953)&amp;" min","")))</f>
        <v/>
      </c>
      <c r="J953" s="66" t="n"/>
      <c r="K953" s="70" t="n"/>
      <c r="L953" s="73">
        <f>IF(R953="","",IF(INDEX('Recurring Schedule'!$J$6:$J$45,R953)="","",INDEX('Recurring Schedule'!$J$6:$J$45,R953)))</f>
        <v/>
      </c>
      <c r="M953" s="73">
        <f>IF(R953="","",IF(INDEX('Recurring Schedule'!$K$6:$K$45,R953)="","",INDEX('Recurring Schedule'!$K$6:$K$45,R953)))</f>
        <v/>
      </c>
      <c r="N953" s="73">
        <f>IF(R953="","",IF(INDEX('Recurring Schedule'!$L$6:$L$45,R953)="","",INDEX('Recurring Schedule'!$L$6:$L$45,R953)))</f>
        <v/>
      </c>
      <c r="O953" s="73">
        <f>IF(C953="","",IF(AND(OR(L953="1-Urgent",L953="2-High"),M953="✓"),"DO FIRST",IF(M953="✓","SCHEDULE",IF(OR(L953="1-Urgent",L953="2-High"),"DELEGATE","DELETE"))))</f>
        <v/>
      </c>
      <c r="P953" s="65" t="n"/>
      <c r="Q953">
        <f>IF(948&gt;Calc!$AQ$368,"",MATCH(947,Calc!$AQ$2:$AQ$367,1))</f>
        <v/>
      </c>
      <c r="R953">
        <f>IF(Q953="","",SMALL(INDEX(Calc!$B$2:$AO$367,Q953,0),948-INDEX(Calc!$AQ$2:$AQ$367,Q953)))</f>
        <v/>
      </c>
    </row>
    <row r="954">
      <c r="B954" s="64">
        <f>IF(R954="","",949)</f>
        <v/>
      </c>
      <c r="C954" s="37">
        <f>IF(R954="","",IF(INDEX('Recurring Schedule'!$C$6:$C$45,R954)="","",INDEX('Recurring Schedule'!$C$6:$C$45,R954)))</f>
        <v/>
      </c>
      <c r="D954" s="36">
        <f>IF(R954="","",IF(INDEX('Recurring Schedule'!$D$6:$D$45,R954)="","",INDEX('Recurring Schedule'!$D$6:$D$45,R954)))</f>
        <v/>
      </c>
      <c r="E954" s="38">
        <f>IF(Q954="","",INDEX(Calc!$A$2:$A$367,Q954))</f>
        <v/>
      </c>
      <c r="F954" s="68">
        <f>IF(OR(C954="",E954=""),"",E954-Setup!$D$7)</f>
        <v/>
      </c>
      <c r="G954" s="74">
        <f>IF(R954="","",IF(INDEX('Recurring Schedule'!$H$6:$H$45,R954)="","",INDEX('Recurring Schedule'!$H$6:$H$45,R954)))</f>
        <v/>
      </c>
      <c r="H954" s="74">
        <f>IF(R954="","",IF(INDEX('Recurring Schedule'!$I$6:$I$45,R954)="","",INDEX('Recurring Schedule'!$I$6:$I$45,R954)))</f>
        <v/>
      </c>
      <c r="I954" s="36">
        <f>IF(OR(G954="",H954=""),"",TRIM(IF(HOUR(H954-G954)&gt;0,HOUR(H954-G954)&amp;" hr ","")&amp;IF(MINUTE(H954-G954)&gt;0,MINUTE(H954-G954)&amp;" min","")))</f>
        <v/>
      </c>
      <c r="J954" s="66" t="n"/>
      <c r="K954" s="70" t="n"/>
      <c r="L954" s="36">
        <f>IF(R954="","",IF(INDEX('Recurring Schedule'!$J$6:$J$45,R954)="","",INDEX('Recurring Schedule'!$J$6:$J$45,R954)))</f>
        <v/>
      </c>
      <c r="M954" s="36">
        <f>IF(R954="","",IF(INDEX('Recurring Schedule'!$K$6:$K$45,R954)="","",INDEX('Recurring Schedule'!$K$6:$K$45,R954)))</f>
        <v/>
      </c>
      <c r="N954" s="36">
        <f>IF(R954="","",IF(INDEX('Recurring Schedule'!$L$6:$L$45,R954)="","",INDEX('Recurring Schedule'!$L$6:$L$45,R954)))</f>
        <v/>
      </c>
      <c r="O954" s="36">
        <f>IF(C954="","",IF(AND(OR(L954="1-Urgent",L954="2-High"),M954="✓"),"DO FIRST",IF(M954="✓","SCHEDULE",IF(OR(L954="1-Urgent",L954="2-High"),"DELEGATE","DELETE"))))</f>
        <v/>
      </c>
      <c r="P954" s="65" t="n"/>
      <c r="Q954">
        <f>IF(949&gt;Calc!$AQ$368,"",MATCH(948,Calc!$AQ$2:$AQ$367,1))</f>
        <v/>
      </c>
      <c r="R954">
        <f>IF(Q954="","",SMALL(INDEX(Calc!$B$2:$AO$367,Q954,0),949-INDEX(Calc!$AQ$2:$AQ$367,Q954)))</f>
        <v/>
      </c>
    </row>
    <row r="955">
      <c r="B955" s="71">
        <f>IF(R955="","",950)</f>
        <v/>
      </c>
      <c r="C955" s="75">
        <f>IF(R955="","",IF(INDEX('Recurring Schedule'!$C$6:$C$45,R955)="","",INDEX('Recurring Schedule'!$C$6:$C$45,R955)))</f>
        <v/>
      </c>
      <c r="D955" s="73">
        <f>IF(R955="","",IF(INDEX('Recurring Schedule'!$D$6:$D$45,R955)="","",INDEX('Recurring Schedule'!$D$6:$D$45,R955)))</f>
        <v/>
      </c>
      <c r="E955" s="76">
        <f>IF(Q955="","",INDEX(Calc!$A$2:$A$367,Q955))</f>
        <v/>
      </c>
      <c r="F955" s="72">
        <f>IF(OR(C955="",E955=""),"",E955-Setup!$D$7)</f>
        <v/>
      </c>
      <c r="G955" s="77">
        <f>IF(R955="","",IF(INDEX('Recurring Schedule'!$H$6:$H$45,R955)="","",INDEX('Recurring Schedule'!$H$6:$H$45,R955)))</f>
        <v/>
      </c>
      <c r="H955" s="77">
        <f>IF(R955="","",IF(INDEX('Recurring Schedule'!$I$6:$I$45,R955)="","",INDEX('Recurring Schedule'!$I$6:$I$45,R955)))</f>
        <v/>
      </c>
      <c r="I955" s="73">
        <f>IF(OR(G955="",H955=""),"",TRIM(IF(HOUR(H955-G955)&gt;0,HOUR(H955-G955)&amp;" hr ","")&amp;IF(MINUTE(H955-G955)&gt;0,MINUTE(H955-G955)&amp;" min","")))</f>
        <v/>
      </c>
      <c r="J955" s="66" t="n"/>
      <c r="K955" s="70" t="n"/>
      <c r="L955" s="73">
        <f>IF(R955="","",IF(INDEX('Recurring Schedule'!$J$6:$J$45,R955)="","",INDEX('Recurring Schedule'!$J$6:$J$45,R955)))</f>
        <v/>
      </c>
      <c r="M955" s="73">
        <f>IF(R955="","",IF(INDEX('Recurring Schedule'!$K$6:$K$45,R955)="","",INDEX('Recurring Schedule'!$K$6:$K$45,R955)))</f>
        <v/>
      </c>
      <c r="N955" s="73">
        <f>IF(R955="","",IF(INDEX('Recurring Schedule'!$L$6:$L$45,R955)="","",INDEX('Recurring Schedule'!$L$6:$L$45,R955)))</f>
        <v/>
      </c>
      <c r="O955" s="73">
        <f>IF(C955="","",IF(AND(OR(L955="1-Urgent",L955="2-High"),M955="✓"),"DO FIRST",IF(M955="✓","SCHEDULE",IF(OR(L955="1-Urgent",L955="2-High"),"DELEGATE","DELETE"))))</f>
        <v/>
      </c>
      <c r="P955" s="65" t="n"/>
      <c r="Q955">
        <f>IF(950&gt;Calc!$AQ$368,"",MATCH(949,Calc!$AQ$2:$AQ$367,1))</f>
        <v/>
      </c>
      <c r="R955">
        <f>IF(Q955="","",SMALL(INDEX(Calc!$B$2:$AO$367,Q955,0),950-INDEX(Calc!$AQ$2:$AQ$367,Q955)))</f>
        <v/>
      </c>
    </row>
    <row r="956">
      <c r="B956" s="64">
        <f>IF(R956="","",951)</f>
        <v/>
      </c>
      <c r="C956" s="37">
        <f>IF(R956="","",IF(INDEX('Recurring Schedule'!$C$6:$C$45,R956)="","",INDEX('Recurring Schedule'!$C$6:$C$45,R956)))</f>
        <v/>
      </c>
      <c r="D956" s="36">
        <f>IF(R956="","",IF(INDEX('Recurring Schedule'!$D$6:$D$45,R956)="","",INDEX('Recurring Schedule'!$D$6:$D$45,R956)))</f>
        <v/>
      </c>
      <c r="E956" s="38">
        <f>IF(Q956="","",INDEX(Calc!$A$2:$A$367,Q956))</f>
        <v/>
      </c>
      <c r="F956" s="68">
        <f>IF(OR(C956="",E956=""),"",E956-Setup!$D$7)</f>
        <v/>
      </c>
      <c r="G956" s="74">
        <f>IF(R956="","",IF(INDEX('Recurring Schedule'!$H$6:$H$45,R956)="","",INDEX('Recurring Schedule'!$H$6:$H$45,R956)))</f>
        <v/>
      </c>
      <c r="H956" s="74">
        <f>IF(R956="","",IF(INDEX('Recurring Schedule'!$I$6:$I$45,R956)="","",INDEX('Recurring Schedule'!$I$6:$I$45,R956)))</f>
        <v/>
      </c>
      <c r="I956" s="36">
        <f>IF(OR(G956="",H956=""),"",TRIM(IF(HOUR(H956-G956)&gt;0,HOUR(H956-G956)&amp;" hr ","")&amp;IF(MINUTE(H956-G956)&gt;0,MINUTE(H956-G956)&amp;" min","")))</f>
        <v/>
      </c>
      <c r="J956" s="66" t="n"/>
      <c r="K956" s="70" t="n"/>
      <c r="L956" s="36">
        <f>IF(R956="","",IF(INDEX('Recurring Schedule'!$J$6:$J$45,R956)="","",INDEX('Recurring Schedule'!$J$6:$J$45,R956)))</f>
        <v/>
      </c>
      <c r="M956" s="36">
        <f>IF(R956="","",IF(INDEX('Recurring Schedule'!$K$6:$K$45,R956)="","",INDEX('Recurring Schedule'!$K$6:$K$45,R956)))</f>
        <v/>
      </c>
      <c r="N956" s="36">
        <f>IF(R956="","",IF(INDEX('Recurring Schedule'!$L$6:$L$45,R956)="","",INDEX('Recurring Schedule'!$L$6:$L$45,R956)))</f>
        <v/>
      </c>
      <c r="O956" s="36">
        <f>IF(C956="","",IF(AND(OR(L956="1-Urgent",L956="2-High"),M956="✓"),"DO FIRST",IF(M956="✓","SCHEDULE",IF(OR(L956="1-Urgent",L956="2-High"),"DELEGATE","DELETE"))))</f>
        <v/>
      </c>
      <c r="P956" s="65" t="n"/>
      <c r="Q956">
        <f>IF(951&gt;Calc!$AQ$368,"",MATCH(950,Calc!$AQ$2:$AQ$367,1))</f>
        <v/>
      </c>
      <c r="R956">
        <f>IF(Q956="","",SMALL(INDEX(Calc!$B$2:$AO$367,Q956,0),951-INDEX(Calc!$AQ$2:$AQ$367,Q956)))</f>
        <v/>
      </c>
    </row>
    <row r="957">
      <c r="B957" s="71">
        <f>IF(R957="","",952)</f>
        <v/>
      </c>
      <c r="C957" s="75">
        <f>IF(R957="","",IF(INDEX('Recurring Schedule'!$C$6:$C$45,R957)="","",INDEX('Recurring Schedule'!$C$6:$C$45,R957)))</f>
        <v/>
      </c>
      <c r="D957" s="73">
        <f>IF(R957="","",IF(INDEX('Recurring Schedule'!$D$6:$D$45,R957)="","",INDEX('Recurring Schedule'!$D$6:$D$45,R957)))</f>
        <v/>
      </c>
      <c r="E957" s="76">
        <f>IF(Q957="","",INDEX(Calc!$A$2:$A$367,Q957))</f>
        <v/>
      </c>
      <c r="F957" s="72">
        <f>IF(OR(C957="",E957=""),"",E957-Setup!$D$7)</f>
        <v/>
      </c>
      <c r="G957" s="77">
        <f>IF(R957="","",IF(INDEX('Recurring Schedule'!$H$6:$H$45,R957)="","",INDEX('Recurring Schedule'!$H$6:$H$45,R957)))</f>
        <v/>
      </c>
      <c r="H957" s="77">
        <f>IF(R957="","",IF(INDEX('Recurring Schedule'!$I$6:$I$45,R957)="","",INDEX('Recurring Schedule'!$I$6:$I$45,R957)))</f>
        <v/>
      </c>
      <c r="I957" s="73">
        <f>IF(OR(G957="",H957=""),"",TRIM(IF(HOUR(H957-G957)&gt;0,HOUR(H957-G957)&amp;" hr ","")&amp;IF(MINUTE(H957-G957)&gt;0,MINUTE(H957-G957)&amp;" min","")))</f>
        <v/>
      </c>
      <c r="J957" s="66" t="n"/>
      <c r="K957" s="70" t="n"/>
      <c r="L957" s="73">
        <f>IF(R957="","",IF(INDEX('Recurring Schedule'!$J$6:$J$45,R957)="","",INDEX('Recurring Schedule'!$J$6:$J$45,R957)))</f>
        <v/>
      </c>
      <c r="M957" s="73">
        <f>IF(R957="","",IF(INDEX('Recurring Schedule'!$K$6:$K$45,R957)="","",INDEX('Recurring Schedule'!$K$6:$K$45,R957)))</f>
        <v/>
      </c>
      <c r="N957" s="73">
        <f>IF(R957="","",IF(INDEX('Recurring Schedule'!$L$6:$L$45,R957)="","",INDEX('Recurring Schedule'!$L$6:$L$45,R957)))</f>
        <v/>
      </c>
      <c r="O957" s="73">
        <f>IF(C957="","",IF(AND(OR(L957="1-Urgent",L957="2-High"),M957="✓"),"DO FIRST",IF(M957="✓","SCHEDULE",IF(OR(L957="1-Urgent",L957="2-High"),"DELEGATE","DELETE"))))</f>
        <v/>
      </c>
      <c r="P957" s="65" t="n"/>
      <c r="Q957">
        <f>IF(952&gt;Calc!$AQ$368,"",MATCH(951,Calc!$AQ$2:$AQ$367,1))</f>
        <v/>
      </c>
      <c r="R957">
        <f>IF(Q957="","",SMALL(INDEX(Calc!$B$2:$AO$367,Q957,0),952-INDEX(Calc!$AQ$2:$AQ$367,Q957)))</f>
        <v/>
      </c>
    </row>
    <row r="958">
      <c r="B958" s="64">
        <f>IF(R958="","",953)</f>
        <v/>
      </c>
      <c r="C958" s="37">
        <f>IF(R958="","",IF(INDEX('Recurring Schedule'!$C$6:$C$45,R958)="","",INDEX('Recurring Schedule'!$C$6:$C$45,R958)))</f>
        <v/>
      </c>
      <c r="D958" s="36">
        <f>IF(R958="","",IF(INDEX('Recurring Schedule'!$D$6:$D$45,R958)="","",INDEX('Recurring Schedule'!$D$6:$D$45,R958)))</f>
        <v/>
      </c>
      <c r="E958" s="38">
        <f>IF(Q958="","",INDEX(Calc!$A$2:$A$367,Q958))</f>
        <v/>
      </c>
      <c r="F958" s="68">
        <f>IF(OR(C958="",E958=""),"",E958-Setup!$D$7)</f>
        <v/>
      </c>
      <c r="G958" s="74">
        <f>IF(R958="","",IF(INDEX('Recurring Schedule'!$H$6:$H$45,R958)="","",INDEX('Recurring Schedule'!$H$6:$H$45,R958)))</f>
        <v/>
      </c>
      <c r="H958" s="74">
        <f>IF(R958="","",IF(INDEX('Recurring Schedule'!$I$6:$I$45,R958)="","",INDEX('Recurring Schedule'!$I$6:$I$45,R958)))</f>
        <v/>
      </c>
      <c r="I958" s="36">
        <f>IF(OR(G958="",H958=""),"",TRIM(IF(HOUR(H958-G958)&gt;0,HOUR(H958-G958)&amp;" hr ","")&amp;IF(MINUTE(H958-G958)&gt;0,MINUTE(H958-G958)&amp;" min","")))</f>
        <v/>
      </c>
      <c r="J958" s="66" t="n"/>
      <c r="K958" s="70" t="n"/>
      <c r="L958" s="36">
        <f>IF(R958="","",IF(INDEX('Recurring Schedule'!$J$6:$J$45,R958)="","",INDEX('Recurring Schedule'!$J$6:$J$45,R958)))</f>
        <v/>
      </c>
      <c r="M958" s="36">
        <f>IF(R958="","",IF(INDEX('Recurring Schedule'!$K$6:$K$45,R958)="","",INDEX('Recurring Schedule'!$K$6:$K$45,R958)))</f>
        <v/>
      </c>
      <c r="N958" s="36">
        <f>IF(R958="","",IF(INDEX('Recurring Schedule'!$L$6:$L$45,R958)="","",INDEX('Recurring Schedule'!$L$6:$L$45,R958)))</f>
        <v/>
      </c>
      <c r="O958" s="36">
        <f>IF(C958="","",IF(AND(OR(L958="1-Urgent",L958="2-High"),M958="✓"),"DO FIRST",IF(M958="✓","SCHEDULE",IF(OR(L958="1-Urgent",L958="2-High"),"DELEGATE","DELETE"))))</f>
        <v/>
      </c>
      <c r="P958" s="65" t="n"/>
      <c r="Q958">
        <f>IF(953&gt;Calc!$AQ$368,"",MATCH(952,Calc!$AQ$2:$AQ$367,1))</f>
        <v/>
      </c>
      <c r="R958">
        <f>IF(Q958="","",SMALL(INDEX(Calc!$B$2:$AO$367,Q958,0),953-INDEX(Calc!$AQ$2:$AQ$367,Q958)))</f>
        <v/>
      </c>
    </row>
    <row r="959">
      <c r="B959" s="71">
        <f>IF(R959="","",954)</f>
        <v/>
      </c>
      <c r="C959" s="75">
        <f>IF(R959="","",IF(INDEX('Recurring Schedule'!$C$6:$C$45,R959)="","",INDEX('Recurring Schedule'!$C$6:$C$45,R959)))</f>
        <v/>
      </c>
      <c r="D959" s="73">
        <f>IF(R959="","",IF(INDEX('Recurring Schedule'!$D$6:$D$45,R959)="","",INDEX('Recurring Schedule'!$D$6:$D$45,R959)))</f>
        <v/>
      </c>
      <c r="E959" s="76">
        <f>IF(Q959="","",INDEX(Calc!$A$2:$A$367,Q959))</f>
        <v/>
      </c>
      <c r="F959" s="72">
        <f>IF(OR(C959="",E959=""),"",E959-Setup!$D$7)</f>
        <v/>
      </c>
      <c r="G959" s="77">
        <f>IF(R959="","",IF(INDEX('Recurring Schedule'!$H$6:$H$45,R959)="","",INDEX('Recurring Schedule'!$H$6:$H$45,R959)))</f>
        <v/>
      </c>
      <c r="H959" s="77">
        <f>IF(R959="","",IF(INDEX('Recurring Schedule'!$I$6:$I$45,R959)="","",INDEX('Recurring Schedule'!$I$6:$I$45,R959)))</f>
        <v/>
      </c>
      <c r="I959" s="73">
        <f>IF(OR(G959="",H959=""),"",TRIM(IF(HOUR(H959-G959)&gt;0,HOUR(H959-G959)&amp;" hr ","")&amp;IF(MINUTE(H959-G959)&gt;0,MINUTE(H959-G959)&amp;" min","")))</f>
        <v/>
      </c>
      <c r="J959" s="66" t="n"/>
      <c r="K959" s="70" t="n"/>
      <c r="L959" s="73">
        <f>IF(R959="","",IF(INDEX('Recurring Schedule'!$J$6:$J$45,R959)="","",INDEX('Recurring Schedule'!$J$6:$J$45,R959)))</f>
        <v/>
      </c>
      <c r="M959" s="73">
        <f>IF(R959="","",IF(INDEX('Recurring Schedule'!$K$6:$K$45,R959)="","",INDEX('Recurring Schedule'!$K$6:$K$45,R959)))</f>
        <v/>
      </c>
      <c r="N959" s="73">
        <f>IF(R959="","",IF(INDEX('Recurring Schedule'!$L$6:$L$45,R959)="","",INDEX('Recurring Schedule'!$L$6:$L$45,R959)))</f>
        <v/>
      </c>
      <c r="O959" s="73">
        <f>IF(C959="","",IF(AND(OR(L959="1-Urgent",L959="2-High"),M959="✓"),"DO FIRST",IF(M959="✓","SCHEDULE",IF(OR(L959="1-Urgent",L959="2-High"),"DELEGATE","DELETE"))))</f>
        <v/>
      </c>
      <c r="P959" s="65" t="n"/>
      <c r="Q959">
        <f>IF(954&gt;Calc!$AQ$368,"",MATCH(953,Calc!$AQ$2:$AQ$367,1))</f>
        <v/>
      </c>
      <c r="R959">
        <f>IF(Q959="","",SMALL(INDEX(Calc!$B$2:$AO$367,Q959,0),954-INDEX(Calc!$AQ$2:$AQ$367,Q959)))</f>
        <v/>
      </c>
    </row>
    <row r="960">
      <c r="B960" s="64">
        <f>IF(R960="","",955)</f>
        <v/>
      </c>
      <c r="C960" s="37">
        <f>IF(R960="","",IF(INDEX('Recurring Schedule'!$C$6:$C$45,R960)="","",INDEX('Recurring Schedule'!$C$6:$C$45,R960)))</f>
        <v/>
      </c>
      <c r="D960" s="36">
        <f>IF(R960="","",IF(INDEX('Recurring Schedule'!$D$6:$D$45,R960)="","",INDEX('Recurring Schedule'!$D$6:$D$45,R960)))</f>
        <v/>
      </c>
      <c r="E960" s="38">
        <f>IF(Q960="","",INDEX(Calc!$A$2:$A$367,Q960))</f>
        <v/>
      </c>
      <c r="F960" s="68">
        <f>IF(OR(C960="",E960=""),"",E960-Setup!$D$7)</f>
        <v/>
      </c>
      <c r="G960" s="74">
        <f>IF(R960="","",IF(INDEX('Recurring Schedule'!$H$6:$H$45,R960)="","",INDEX('Recurring Schedule'!$H$6:$H$45,R960)))</f>
        <v/>
      </c>
      <c r="H960" s="74">
        <f>IF(R960="","",IF(INDEX('Recurring Schedule'!$I$6:$I$45,R960)="","",INDEX('Recurring Schedule'!$I$6:$I$45,R960)))</f>
        <v/>
      </c>
      <c r="I960" s="36">
        <f>IF(OR(G960="",H960=""),"",TRIM(IF(HOUR(H960-G960)&gt;0,HOUR(H960-G960)&amp;" hr ","")&amp;IF(MINUTE(H960-G960)&gt;0,MINUTE(H960-G960)&amp;" min","")))</f>
        <v/>
      </c>
      <c r="J960" s="66" t="n"/>
      <c r="K960" s="70" t="n"/>
      <c r="L960" s="36">
        <f>IF(R960="","",IF(INDEX('Recurring Schedule'!$J$6:$J$45,R960)="","",INDEX('Recurring Schedule'!$J$6:$J$45,R960)))</f>
        <v/>
      </c>
      <c r="M960" s="36">
        <f>IF(R960="","",IF(INDEX('Recurring Schedule'!$K$6:$K$45,R960)="","",INDEX('Recurring Schedule'!$K$6:$K$45,R960)))</f>
        <v/>
      </c>
      <c r="N960" s="36">
        <f>IF(R960="","",IF(INDEX('Recurring Schedule'!$L$6:$L$45,R960)="","",INDEX('Recurring Schedule'!$L$6:$L$45,R960)))</f>
        <v/>
      </c>
      <c r="O960" s="36">
        <f>IF(C960="","",IF(AND(OR(L960="1-Urgent",L960="2-High"),M960="✓"),"DO FIRST",IF(M960="✓","SCHEDULE",IF(OR(L960="1-Urgent",L960="2-High"),"DELEGATE","DELETE"))))</f>
        <v/>
      </c>
      <c r="P960" s="65" t="n"/>
      <c r="Q960">
        <f>IF(955&gt;Calc!$AQ$368,"",MATCH(954,Calc!$AQ$2:$AQ$367,1))</f>
        <v/>
      </c>
      <c r="R960">
        <f>IF(Q960="","",SMALL(INDEX(Calc!$B$2:$AO$367,Q960,0),955-INDEX(Calc!$AQ$2:$AQ$367,Q960)))</f>
        <v/>
      </c>
    </row>
    <row r="961">
      <c r="B961" s="71">
        <f>IF(R961="","",956)</f>
        <v/>
      </c>
      <c r="C961" s="75">
        <f>IF(R961="","",IF(INDEX('Recurring Schedule'!$C$6:$C$45,R961)="","",INDEX('Recurring Schedule'!$C$6:$C$45,R961)))</f>
        <v/>
      </c>
      <c r="D961" s="73">
        <f>IF(R961="","",IF(INDEX('Recurring Schedule'!$D$6:$D$45,R961)="","",INDEX('Recurring Schedule'!$D$6:$D$45,R961)))</f>
        <v/>
      </c>
      <c r="E961" s="76">
        <f>IF(Q961="","",INDEX(Calc!$A$2:$A$367,Q961))</f>
        <v/>
      </c>
      <c r="F961" s="72">
        <f>IF(OR(C961="",E961=""),"",E961-Setup!$D$7)</f>
        <v/>
      </c>
      <c r="G961" s="77">
        <f>IF(R961="","",IF(INDEX('Recurring Schedule'!$H$6:$H$45,R961)="","",INDEX('Recurring Schedule'!$H$6:$H$45,R961)))</f>
        <v/>
      </c>
      <c r="H961" s="77">
        <f>IF(R961="","",IF(INDEX('Recurring Schedule'!$I$6:$I$45,R961)="","",INDEX('Recurring Schedule'!$I$6:$I$45,R961)))</f>
        <v/>
      </c>
      <c r="I961" s="73">
        <f>IF(OR(G961="",H961=""),"",TRIM(IF(HOUR(H961-G961)&gt;0,HOUR(H961-G961)&amp;" hr ","")&amp;IF(MINUTE(H961-G961)&gt;0,MINUTE(H961-G961)&amp;" min","")))</f>
        <v/>
      </c>
      <c r="J961" s="66" t="n"/>
      <c r="K961" s="70" t="n"/>
      <c r="L961" s="73">
        <f>IF(R961="","",IF(INDEX('Recurring Schedule'!$J$6:$J$45,R961)="","",INDEX('Recurring Schedule'!$J$6:$J$45,R961)))</f>
        <v/>
      </c>
      <c r="M961" s="73">
        <f>IF(R961="","",IF(INDEX('Recurring Schedule'!$K$6:$K$45,R961)="","",INDEX('Recurring Schedule'!$K$6:$K$45,R961)))</f>
        <v/>
      </c>
      <c r="N961" s="73">
        <f>IF(R961="","",IF(INDEX('Recurring Schedule'!$L$6:$L$45,R961)="","",INDEX('Recurring Schedule'!$L$6:$L$45,R961)))</f>
        <v/>
      </c>
      <c r="O961" s="73">
        <f>IF(C961="","",IF(AND(OR(L961="1-Urgent",L961="2-High"),M961="✓"),"DO FIRST",IF(M961="✓","SCHEDULE",IF(OR(L961="1-Urgent",L961="2-High"),"DELEGATE","DELETE"))))</f>
        <v/>
      </c>
      <c r="P961" s="65" t="n"/>
      <c r="Q961">
        <f>IF(956&gt;Calc!$AQ$368,"",MATCH(955,Calc!$AQ$2:$AQ$367,1))</f>
        <v/>
      </c>
      <c r="R961">
        <f>IF(Q961="","",SMALL(INDEX(Calc!$B$2:$AO$367,Q961,0),956-INDEX(Calc!$AQ$2:$AQ$367,Q961)))</f>
        <v/>
      </c>
    </row>
    <row r="962">
      <c r="B962" s="64">
        <f>IF(R962="","",957)</f>
        <v/>
      </c>
      <c r="C962" s="37">
        <f>IF(R962="","",IF(INDEX('Recurring Schedule'!$C$6:$C$45,R962)="","",INDEX('Recurring Schedule'!$C$6:$C$45,R962)))</f>
        <v/>
      </c>
      <c r="D962" s="36">
        <f>IF(R962="","",IF(INDEX('Recurring Schedule'!$D$6:$D$45,R962)="","",INDEX('Recurring Schedule'!$D$6:$D$45,R962)))</f>
        <v/>
      </c>
      <c r="E962" s="38">
        <f>IF(Q962="","",INDEX(Calc!$A$2:$A$367,Q962))</f>
        <v/>
      </c>
      <c r="F962" s="68">
        <f>IF(OR(C962="",E962=""),"",E962-Setup!$D$7)</f>
        <v/>
      </c>
      <c r="G962" s="74">
        <f>IF(R962="","",IF(INDEX('Recurring Schedule'!$H$6:$H$45,R962)="","",INDEX('Recurring Schedule'!$H$6:$H$45,R962)))</f>
        <v/>
      </c>
      <c r="H962" s="74">
        <f>IF(R962="","",IF(INDEX('Recurring Schedule'!$I$6:$I$45,R962)="","",INDEX('Recurring Schedule'!$I$6:$I$45,R962)))</f>
        <v/>
      </c>
      <c r="I962" s="36">
        <f>IF(OR(G962="",H962=""),"",TRIM(IF(HOUR(H962-G962)&gt;0,HOUR(H962-G962)&amp;" hr ","")&amp;IF(MINUTE(H962-G962)&gt;0,MINUTE(H962-G962)&amp;" min","")))</f>
        <v/>
      </c>
      <c r="J962" s="66" t="n"/>
      <c r="K962" s="70" t="n"/>
      <c r="L962" s="36">
        <f>IF(R962="","",IF(INDEX('Recurring Schedule'!$J$6:$J$45,R962)="","",INDEX('Recurring Schedule'!$J$6:$J$45,R962)))</f>
        <v/>
      </c>
      <c r="M962" s="36">
        <f>IF(R962="","",IF(INDEX('Recurring Schedule'!$K$6:$K$45,R962)="","",INDEX('Recurring Schedule'!$K$6:$K$45,R962)))</f>
        <v/>
      </c>
      <c r="N962" s="36">
        <f>IF(R962="","",IF(INDEX('Recurring Schedule'!$L$6:$L$45,R962)="","",INDEX('Recurring Schedule'!$L$6:$L$45,R962)))</f>
        <v/>
      </c>
      <c r="O962" s="36">
        <f>IF(C962="","",IF(AND(OR(L962="1-Urgent",L962="2-High"),M962="✓"),"DO FIRST",IF(M962="✓","SCHEDULE",IF(OR(L962="1-Urgent",L962="2-High"),"DELEGATE","DELETE"))))</f>
        <v/>
      </c>
      <c r="P962" s="65" t="n"/>
      <c r="Q962">
        <f>IF(957&gt;Calc!$AQ$368,"",MATCH(956,Calc!$AQ$2:$AQ$367,1))</f>
        <v/>
      </c>
      <c r="R962">
        <f>IF(Q962="","",SMALL(INDEX(Calc!$B$2:$AO$367,Q962,0),957-INDEX(Calc!$AQ$2:$AQ$367,Q962)))</f>
        <v/>
      </c>
    </row>
    <row r="963">
      <c r="B963" s="71">
        <f>IF(R963="","",958)</f>
        <v/>
      </c>
      <c r="C963" s="75">
        <f>IF(R963="","",IF(INDEX('Recurring Schedule'!$C$6:$C$45,R963)="","",INDEX('Recurring Schedule'!$C$6:$C$45,R963)))</f>
        <v/>
      </c>
      <c r="D963" s="73">
        <f>IF(R963="","",IF(INDEX('Recurring Schedule'!$D$6:$D$45,R963)="","",INDEX('Recurring Schedule'!$D$6:$D$45,R963)))</f>
        <v/>
      </c>
      <c r="E963" s="76">
        <f>IF(Q963="","",INDEX(Calc!$A$2:$A$367,Q963))</f>
        <v/>
      </c>
      <c r="F963" s="72">
        <f>IF(OR(C963="",E963=""),"",E963-Setup!$D$7)</f>
        <v/>
      </c>
      <c r="G963" s="77">
        <f>IF(R963="","",IF(INDEX('Recurring Schedule'!$H$6:$H$45,R963)="","",INDEX('Recurring Schedule'!$H$6:$H$45,R963)))</f>
        <v/>
      </c>
      <c r="H963" s="77">
        <f>IF(R963="","",IF(INDEX('Recurring Schedule'!$I$6:$I$45,R963)="","",INDEX('Recurring Schedule'!$I$6:$I$45,R963)))</f>
        <v/>
      </c>
      <c r="I963" s="73">
        <f>IF(OR(G963="",H963=""),"",TRIM(IF(HOUR(H963-G963)&gt;0,HOUR(H963-G963)&amp;" hr ","")&amp;IF(MINUTE(H963-G963)&gt;0,MINUTE(H963-G963)&amp;" min","")))</f>
        <v/>
      </c>
      <c r="J963" s="66" t="n"/>
      <c r="K963" s="70" t="n"/>
      <c r="L963" s="73">
        <f>IF(R963="","",IF(INDEX('Recurring Schedule'!$J$6:$J$45,R963)="","",INDEX('Recurring Schedule'!$J$6:$J$45,R963)))</f>
        <v/>
      </c>
      <c r="M963" s="73">
        <f>IF(R963="","",IF(INDEX('Recurring Schedule'!$K$6:$K$45,R963)="","",INDEX('Recurring Schedule'!$K$6:$K$45,R963)))</f>
        <v/>
      </c>
      <c r="N963" s="73">
        <f>IF(R963="","",IF(INDEX('Recurring Schedule'!$L$6:$L$45,R963)="","",INDEX('Recurring Schedule'!$L$6:$L$45,R963)))</f>
        <v/>
      </c>
      <c r="O963" s="73">
        <f>IF(C963="","",IF(AND(OR(L963="1-Urgent",L963="2-High"),M963="✓"),"DO FIRST",IF(M963="✓","SCHEDULE",IF(OR(L963="1-Urgent",L963="2-High"),"DELEGATE","DELETE"))))</f>
        <v/>
      </c>
      <c r="P963" s="65" t="n"/>
      <c r="Q963">
        <f>IF(958&gt;Calc!$AQ$368,"",MATCH(957,Calc!$AQ$2:$AQ$367,1))</f>
        <v/>
      </c>
      <c r="R963">
        <f>IF(Q963="","",SMALL(INDEX(Calc!$B$2:$AO$367,Q963,0),958-INDEX(Calc!$AQ$2:$AQ$367,Q963)))</f>
        <v/>
      </c>
    </row>
    <row r="964">
      <c r="B964" s="64">
        <f>IF(R964="","",959)</f>
        <v/>
      </c>
      <c r="C964" s="37">
        <f>IF(R964="","",IF(INDEX('Recurring Schedule'!$C$6:$C$45,R964)="","",INDEX('Recurring Schedule'!$C$6:$C$45,R964)))</f>
        <v/>
      </c>
      <c r="D964" s="36">
        <f>IF(R964="","",IF(INDEX('Recurring Schedule'!$D$6:$D$45,R964)="","",INDEX('Recurring Schedule'!$D$6:$D$45,R964)))</f>
        <v/>
      </c>
      <c r="E964" s="38">
        <f>IF(Q964="","",INDEX(Calc!$A$2:$A$367,Q964))</f>
        <v/>
      </c>
      <c r="F964" s="68">
        <f>IF(OR(C964="",E964=""),"",E964-Setup!$D$7)</f>
        <v/>
      </c>
      <c r="G964" s="74">
        <f>IF(R964="","",IF(INDEX('Recurring Schedule'!$H$6:$H$45,R964)="","",INDEX('Recurring Schedule'!$H$6:$H$45,R964)))</f>
        <v/>
      </c>
      <c r="H964" s="74">
        <f>IF(R964="","",IF(INDEX('Recurring Schedule'!$I$6:$I$45,R964)="","",INDEX('Recurring Schedule'!$I$6:$I$45,R964)))</f>
        <v/>
      </c>
      <c r="I964" s="36">
        <f>IF(OR(G964="",H964=""),"",TRIM(IF(HOUR(H964-G964)&gt;0,HOUR(H964-G964)&amp;" hr ","")&amp;IF(MINUTE(H964-G964)&gt;0,MINUTE(H964-G964)&amp;" min","")))</f>
        <v/>
      </c>
      <c r="J964" s="66" t="n"/>
      <c r="K964" s="70" t="n"/>
      <c r="L964" s="36">
        <f>IF(R964="","",IF(INDEX('Recurring Schedule'!$J$6:$J$45,R964)="","",INDEX('Recurring Schedule'!$J$6:$J$45,R964)))</f>
        <v/>
      </c>
      <c r="M964" s="36">
        <f>IF(R964="","",IF(INDEX('Recurring Schedule'!$K$6:$K$45,R964)="","",INDEX('Recurring Schedule'!$K$6:$K$45,R964)))</f>
        <v/>
      </c>
      <c r="N964" s="36">
        <f>IF(R964="","",IF(INDEX('Recurring Schedule'!$L$6:$L$45,R964)="","",INDEX('Recurring Schedule'!$L$6:$L$45,R964)))</f>
        <v/>
      </c>
      <c r="O964" s="36">
        <f>IF(C964="","",IF(AND(OR(L964="1-Urgent",L964="2-High"),M964="✓"),"DO FIRST",IF(M964="✓","SCHEDULE",IF(OR(L964="1-Urgent",L964="2-High"),"DELEGATE","DELETE"))))</f>
        <v/>
      </c>
      <c r="P964" s="65" t="n"/>
      <c r="Q964">
        <f>IF(959&gt;Calc!$AQ$368,"",MATCH(958,Calc!$AQ$2:$AQ$367,1))</f>
        <v/>
      </c>
      <c r="R964">
        <f>IF(Q964="","",SMALL(INDEX(Calc!$B$2:$AO$367,Q964,0),959-INDEX(Calc!$AQ$2:$AQ$367,Q964)))</f>
        <v/>
      </c>
    </row>
    <row r="965">
      <c r="B965" s="71">
        <f>IF(R965="","",960)</f>
        <v/>
      </c>
      <c r="C965" s="75">
        <f>IF(R965="","",IF(INDEX('Recurring Schedule'!$C$6:$C$45,R965)="","",INDEX('Recurring Schedule'!$C$6:$C$45,R965)))</f>
        <v/>
      </c>
      <c r="D965" s="73">
        <f>IF(R965="","",IF(INDEX('Recurring Schedule'!$D$6:$D$45,R965)="","",INDEX('Recurring Schedule'!$D$6:$D$45,R965)))</f>
        <v/>
      </c>
      <c r="E965" s="76">
        <f>IF(Q965="","",INDEX(Calc!$A$2:$A$367,Q965))</f>
        <v/>
      </c>
      <c r="F965" s="72">
        <f>IF(OR(C965="",E965=""),"",E965-Setup!$D$7)</f>
        <v/>
      </c>
      <c r="G965" s="77">
        <f>IF(R965="","",IF(INDEX('Recurring Schedule'!$H$6:$H$45,R965)="","",INDEX('Recurring Schedule'!$H$6:$H$45,R965)))</f>
        <v/>
      </c>
      <c r="H965" s="77">
        <f>IF(R965="","",IF(INDEX('Recurring Schedule'!$I$6:$I$45,R965)="","",INDEX('Recurring Schedule'!$I$6:$I$45,R965)))</f>
        <v/>
      </c>
      <c r="I965" s="73">
        <f>IF(OR(G965="",H965=""),"",TRIM(IF(HOUR(H965-G965)&gt;0,HOUR(H965-G965)&amp;" hr ","")&amp;IF(MINUTE(H965-G965)&gt;0,MINUTE(H965-G965)&amp;" min","")))</f>
        <v/>
      </c>
      <c r="J965" s="66" t="n"/>
      <c r="K965" s="70" t="n"/>
      <c r="L965" s="73">
        <f>IF(R965="","",IF(INDEX('Recurring Schedule'!$J$6:$J$45,R965)="","",INDEX('Recurring Schedule'!$J$6:$J$45,R965)))</f>
        <v/>
      </c>
      <c r="M965" s="73">
        <f>IF(R965="","",IF(INDEX('Recurring Schedule'!$K$6:$K$45,R965)="","",INDEX('Recurring Schedule'!$K$6:$K$45,R965)))</f>
        <v/>
      </c>
      <c r="N965" s="73">
        <f>IF(R965="","",IF(INDEX('Recurring Schedule'!$L$6:$L$45,R965)="","",INDEX('Recurring Schedule'!$L$6:$L$45,R965)))</f>
        <v/>
      </c>
      <c r="O965" s="73">
        <f>IF(C965="","",IF(AND(OR(L965="1-Urgent",L965="2-High"),M965="✓"),"DO FIRST",IF(M965="✓","SCHEDULE",IF(OR(L965="1-Urgent",L965="2-High"),"DELEGATE","DELETE"))))</f>
        <v/>
      </c>
      <c r="P965" s="65" t="n"/>
      <c r="Q965">
        <f>IF(960&gt;Calc!$AQ$368,"",MATCH(959,Calc!$AQ$2:$AQ$367,1))</f>
        <v/>
      </c>
      <c r="R965">
        <f>IF(Q965="","",SMALL(INDEX(Calc!$B$2:$AO$367,Q965,0),960-INDEX(Calc!$AQ$2:$AQ$367,Q965)))</f>
        <v/>
      </c>
    </row>
    <row r="966">
      <c r="B966" s="64">
        <f>IF(R966="","",961)</f>
        <v/>
      </c>
      <c r="C966" s="37">
        <f>IF(R966="","",IF(INDEX('Recurring Schedule'!$C$6:$C$45,R966)="","",INDEX('Recurring Schedule'!$C$6:$C$45,R966)))</f>
        <v/>
      </c>
      <c r="D966" s="36">
        <f>IF(R966="","",IF(INDEX('Recurring Schedule'!$D$6:$D$45,R966)="","",INDEX('Recurring Schedule'!$D$6:$D$45,R966)))</f>
        <v/>
      </c>
      <c r="E966" s="38">
        <f>IF(Q966="","",INDEX(Calc!$A$2:$A$367,Q966))</f>
        <v/>
      </c>
      <c r="F966" s="68">
        <f>IF(OR(C966="",E966=""),"",E966-Setup!$D$7)</f>
        <v/>
      </c>
      <c r="G966" s="74">
        <f>IF(R966="","",IF(INDEX('Recurring Schedule'!$H$6:$H$45,R966)="","",INDEX('Recurring Schedule'!$H$6:$H$45,R966)))</f>
        <v/>
      </c>
      <c r="H966" s="74">
        <f>IF(R966="","",IF(INDEX('Recurring Schedule'!$I$6:$I$45,R966)="","",INDEX('Recurring Schedule'!$I$6:$I$45,R966)))</f>
        <v/>
      </c>
      <c r="I966" s="36">
        <f>IF(OR(G966="",H966=""),"",TRIM(IF(HOUR(H966-G966)&gt;0,HOUR(H966-G966)&amp;" hr ","")&amp;IF(MINUTE(H966-G966)&gt;0,MINUTE(H966-G966)&amp;" min","")))</f>
        <v/>
      </c>
      <c r="J966" s="66" t="n"/>
      <c r="K966" s="70" t="n"/>
      <c r="L966" s="36">
        <f>IF(R966="","",IF(INDEX('Recurring Schedule'!$J$6:$J$45,R966)="","",INDEX('Recurring Schedule'!$J$6:$J$45,R966)))</f>
        <v/>
      </c>
      <c r="M966" s="36">
        <f>IF(R966="","",IF(INDEX('Recurring Schedule'!$K$6:$K$45,R966)="","",INDEX('Recurring Schedule'!$K$6:$K$45,R966)))</f>
        <v/>
      </c>
      <c r="N966" s="36">
        <f>IF(R966="","",IF(INDEX('Recurring Schedule'!$L$6:$L$45,R966)="","",INDEX('Recurring Schedule'!$L$6:$L$45,R966)))</f>
        <v/>
      </c>
      <c r="O966" s="36">
        <f>IF(C966="","",IF(AND(OR(L966="1-Urgent",L966="2-High"),M966="✓"),"DO FIRST",IF(M966="✓","SCHEDULE",IF(OR(L966="1-Urgent",L966="2-High"),"DELEGATE","DELETE"))))</f>
        <v/>
      </c>
      <c r="P966" s="65" t="n"/>
      <c r="Q966">
        <f>IF(961&gt;Calc!$AQ$368,"",MATCH(960,Calc!$AQ$2:$AQ$367,1))</f>
        <v/>
      </c>
      <c r="R966">
        <f>IF(Q966="","",SMALL(INDEX(Calc!$B$2:$AO$367,Q966,0),961-INDEX(Calc!$AQ$2:$AQ$367,Q966)))</f>
        <v/>
      </c>
    </row>
    <row r="967">
      <c r="B967" s="71">
        <f>IF(R967="","",962)</f>
        <v/>
      </c>
      <c r="C967" s="75">
        <f>IF(R967="","",IF(INDEX('Recurring Schedule'!$C$6:$C$45,R967)="","",INDEX('Recurring Schedule'!$C$6:$C$45,R967)))</f>
        <v/>
      </c>
      <c r="D967" s="73">
        <f>IF(R967="","",IF(INDEX('Recurring Schedule'!$D$6:$D$45,R967)="","",INDEX('Recurring Schedule'!$D$6:$D$45,R967)))</f>
        <v/>
      </c>
      <c r="E967" s="76">
        <f>IF(Q967="","",INDEX(Calc!$A$2:$A$367,Q967))</f>
        <v/>
      </c>
      <c r="F967" s="72">
        <f>IF(OR(C967="",E967=""),"",E967-Setup!$D$7)</f>
        <v/>
      </c>
      <c r="G967" s="77">
        <f>IF(R967="","",IF(INDEX('Recurring Schedule'!$H$6:$H$45,R967)="","",INDEX('Recurring Schedule'!$H$6:$H$45,R967)))</f>
        <v/>
      </c>
      <c r="H967" s="77">
        <f>IF(R967="","",IF(INDEX('Recurring Schedule'!$I$6:$I$45,R967)="","",INDEX('Recurring Schedule'!$I$6:$I$45,R967)))</f>
        <v/>
      </c>
      <c r="I967" s="73">
        <f>IF(OR(G967="",H967=""),"",TRIM(IF(HOUR(H967-G967)&gt;0,HOUR(H967-G967)&amp;" hr ","")&amp;IF(MINUTE(H967-G967)&gt;0,MINUTE(H967-G967)&amp;" min","")))</f>
        <v/>
      </c>
      <c r="J967" s="66" t="n"/>
      <c r="K967" s="70" t="n"/>
      <c r="L967" s="73">
        <f>IF(R967="","",IF(INDEX('Recurring Schedule'!$J$6:$J$45,R967)="","",INDEX('Recurring Schedule'!$J$6:$J$45,R967)))</f>
        <v/>
      </c>
      <c r="M967" s="73">
        <f>IF(R967="","",IF(INDEX('Recurring Schedule'!$K$6:$K$45,R967)="","",INDEX('Recurring Schedule'!$K$6:$K$45,R967)))</f>
        <v/>
      </c>
      <c r="N967" s="73">
        <f>IF(R967="","",IF(INDEX('Recurring Schedule'!$L$6:$L$45,R967)="","",INDEX('Recurring Schedule'!$L$6:$L$45,R967)))</f>
        <v/>
      </c>
      <c r="O967" s="73">
        <f>IF(C967="","",IF(AND(OR(L967="1-Urgent",L967="2-High"),M967="✓"),"DO FIRST",IF(M967="✓","SCHEDULE",IF(OR(L967="1-Urgent",L967="2-High"),"DELEGATE","DELETE"))))</f>
        <v/>
      </c>
      <c r="P967" s="65" t="n"/>
      <c r="Q967">
        <f>IF(962&gt;Calc!$AQ$368,"",MATCH(961,Calc!$AQ$2:$AQ$367,1))</f>
        <v/>
      </c>
      <c r="R967">
        <f>IF(Q967="","",SMALL(INDEX(Calc!$B$2:$AO$367,Q967,0),962-INDEX(Calc!$AQ$2:$AQ$367,Q967)))</f>
        <v/>
      </c>
    </row>
    <row r="968">
      <c r="B968" s="64">
        <f>IF(R968="","",963)</f>
        <v/>
      </c>
      <c r="C968" s="37">
        <f>IF(R968="","",IF(INDEX('Recurring Schedule'!$C$6:$C$45,R968)="","",INDEX('Recurring Schedule'!$C$6:$C$45,R968)))</f>
        <v/>
      </c>
      <c r="D968" s="36">
        <f>IF(R968="","",IF(INDEX('Recurring Schedule'!$D$6:$D$45,R968)="","",INDEX('Recurring Schedule'!$D$6:$D$45,R968)))</f>
        <v/>
      </c>
      <c r="E968" s="38">
        <f>IF(Q968="","",INDEX(Calc!$A$2:$A$367,Q968))</f>
        <v/>
      </c>
      <c r="F968" s="68">
        <f>IF(OR(C968="",E968=""),"",E968-Setup!$D$7)</f>
        <v/>
      </c>
      <c r="G968" s="74">
        <f>IF(R968="","",IF(INDEX('Recurring Schedule'!$H$6:$H$45,R968)="","",INDEX('Recurring Schedule'!$H$6:$H$45,R968)))</f>
        <v/>
      </c>
      <c r="H968" s="74">
        <f>IF(R968="","",IF(INDEX('Recurring Schedule'!$I$6:$I$45,R968)="","",INDEX('Recurring Schedule'!$I$6:$I$45,R968)))</f>
        <v/>
      </c>
      <c r="I968" s="36">
        <f>IF(OR(G968="",H968=""),"",TRIM(IF(HOUR(H968-G968)&gt;0,HOUR(H968-G968)&amp;" hr ","")&amp;IF(MINUTE(H968-G968)&gt;0,MINUTE(H968-G968)&amp;" min","")))</f>
        <v/>
      </c>
      <c r="J968" s="66" t="n"/>
      <c r="K968" s="70" t="n"/>
      <c r="L968" s="36">
        <f>IF(R968="","",IF(INDEX('Recurring Schedule'!$J$6:$J$45,R968)="","",INDEX('Recurring Schedule'!$J$6:$J$45,R968)))</f>
        <v/>
      </c>
      <c r="M968" s="36">
        <f>IF(R968="","",IF(INDEX('Recurring Schedule'!$K$6:$K$45,R968)="","",INDEX('Recurring Schedule'!$K$6:$K$45,R968)))</f>
        <v/>
      </c>
      <c r="N968" s="36">
        <f>IF(R968="","",IF(INDEX('Recurring Schedule'!$L$6:$L$45,R968)="","",INDEX('Recurring Schedule'!$L$6:$L$45,R968)))</f>
        <v/>
      </c>
      <c r="O968" s="36">
        <f>IF(C968="","",IF(AND(OR(L968="1-Urgent",L968="2-High"),M968="✓"),"DO FIRST",IF(M968="✓","SCHEDULE",IF(OR(L968="1-Urgent",L968="2-High"),"DELEGATE","DELETE"))))</f>
        <v/>
      </c>
      <c r="P968" s="65" t="n"/>
      <c r="Q968">
        <f>IF(963&gt;Calc!$AQ$368,"",MATCH(962,Calc!$AQ$2:$AQ$367,1))</f>
        <v/>
      </c>
      <c r="R968">
        <f>IF(Q968="","",SMALL(INDEX(Calc!$B$2:$AO$367,Q968,0),963-INDEX(Calc!$AQ$2:$AQ$367,Q968)))</f>
        <v/>
      </c>
    </row>
    <row r="969">
      <c r="B969" s="71">
        <f>IF(R969="","",964)</f>
        <v/>
      </c>
      <c r="C969" s="75">
        <f>IF(R969="","",IF(INDEX('Recurring Schedule'!$C$6:$C$45,R969)="","",INDEX('Recurring Schedule'!$C$6:$C$45,R969)))</f>
        <v/>
      </c>
      <c r="D969" s="73">
        <f>IF(R969="","",IF(INDEX('Recurring Schedule'!$D$6:$D$45,R969)="","",INDEX('Recurring Schedule'!$D$6:$D$45,R969)))</f>
        <v/>
      </c>
      <c r="E969" s="76">
        <f>IF(Q969="","",INDEX(Calc!$A$2:$A$367,Q969))</f>
        <v/>
      </c>
      <c r="F969" s="72">
        <f>IF(OR(C969="",E969=""),"",E969-Setup!$D$7)</f>
        <v/>
      </c>
      <c r="G969" s="77">
        <f>IF(R969="","",IF(INDEX('Recurring Schedule'!$H$6:$H$45,R969)="","",INDEX('Recurring Schedule'!$H$6:$H$45,R969)))</f>
        <v/>
      </c>
      <c r="H969" s="77">
        <f>IF(R969="","",IF(INDEX('Recurring Schedule'!$I$6:$I$45,R969)="","",INDEX('Recurring Schedule'!$I$6:$I$45,R969)))</f>
        <v/>
      </c>
      <c r="I969" s="73">
        <f>IF(OR(G969="",H969=""),"",TRIM(IF(HOUR(H969-G969)&gt;0,HOUR(H969-G969)&amp;" hr ","")&amp;IF(MINUTE(H969-G969)&gt;0,MINUTE(H969-G969)&amp;" min","")))</f>
        <v/>
      </c>
      <c r="J969" s="66" t="n"/>
      <c r="K969" s="70" t="n"/>
      <c r="L969" s="73">
        <f>IF(R969="","",IF(INDEX('Recurring Schedule'!$J$6:$J$45,R969)="","",INDEX('Recurring Schedule'!$J$6:$J$45,R969)))</f>
        <v/>
      </c>
      <c r="M969" s="73">
        <f>IF(R969="","",IF(INDEX('Recurring Schedule'!$K$6:$K$45,R969)="","",INDEX('Recurring Schedule'!$K$6:$K$45,R969)))</f>
        <v/>
      </c>
      <c r="N969" s="73">
        <f>IF(R969="","",IF(INDEX('Recurring Schedule'!$L$6:$L$45,R969)="","",INDEX('Recurring Schedule'!$L$6:$L$45,R969)))</f>
        <v/>
      </c>
      <c r="O969" s="73">
        <f>IF(C969="","",IF(AND(OR(L969="1-Urgent",L969="2-High"),M969="✓"),"DO FIRST",IF(M969="✓","SCHEDULE",IF(OR(L969="1-Urgent",L969="2-High"),"DELEGATE","DELETE"))))</f>
        <v/>
      </c>
      <c r="P969" s="65" t="n"/>
      <c r="Q969">
        <f>IF(964&gt;Calc!$AQ$368,"",MATCH(963,Calc!$AQ$2:$AQ$367,1))</f>
        <v/>
      </c>
      <c r="R969">
        <f>IF(Q969="","",SMALL(INDEX(Calc!$B$2:$AO$367,Q969,0),964-INDEX(Calc!$AQ$2:$AQ$367,Q969)))</f>
        <v/>
      </c>
    </row>
    <row r="970">
      <c r="B970" s="64">
        <f>IF(R970="","",965)</f>
        <v/>
      </c>
      <c r="C970" s="37">
        <f>IF(R970="","",IF(INDEX('Recurring Schedule'!$C$6:$C$45,R970)="","",INDEX('Recurring Schedule'!$C$6:$C$45,R970)))</f>
        <v/>
      </c>
      <c r="D970" s="36">
        <f>IF(R970="","",IF(INDEX('Recurring Schedule'!$D$6:$D$45,R970)="","",INDEX('Recurring Schedule'!$D$6:$D$45,R970)))</f>
        <v/>
      </c>
      <c r="E970" s="38">
        <f>IF(Q970="","",INDEX(Calc!$A$2:$A$367,Q970))</f>
        <v/>
      </c>
      <c r="F970" s="68">
        <f>IF(OR(C970="",E970=""),"",E970-Setup!$D$7)</f>
        <v/>
      </c>
      <c r="G970" s="74">
        <f>IF(R970="","",IF(INDEX('Recurring Schedule'!$H$6:$H$45,R970)="","",INDEX('Recurring Schedule'!$H$6:$H$45,R970)))</f>
        <v/>
      </c>
      <c r="H970" s="74">
        <f>IF(R970="","",IF(INDEX('Recurring Schedule'!$I$6:$I$45,R970)="","",INDEX('Recurring Schedule'!$I$6:$I$45,R970)))</f>
        <v/>
      </c>
      <c r="I970" s="36">
        <f>IF(OR(G970="",H970=""),"",TRIM(IF(HOUR(H970-G970)&gt;0,HOUR(H970-G970)&amp;" hr ","")&amp;IF(MINUTE(H970-G970)&gt;0,MINUTE(H970-G970)&amp;" min","")))</f>
        <v/>
      </c>
      <c r="J970" s="66" t="n"/>
      <c r="K970" s="70" t="n"/>
      <c r="L970" s="36">
        <f>IF(R970="","",IF(INDEX('Recurring Schedule'!$J$6:$J$45,R970)="","",INDEX('Recurring Schedule'!$J$6:$J$45,R970)))</f>
        <v/>
      </c>
      <c r="M970" s="36">
        <f>IF(R970="","",IF(INDEX('Recurring Schedule'!$K$6:$K$45,R970)="","",INDEX('Recurring Schedule'!$K$6:$K$45,R970)))</f>
        <v/>
      </c>
      <c r="N970" s="36">
        <f>IF(R970="","",IF(INDEX('Recurring Schedule'!$L$6:$L$45,R970)="","",INDEX('Recurring Schedule'!$L$6:$L$45,R970)))</f>
        <v/>
      </c>
      <c r="O970" s="36">
        <f>IF(C970="","",IF(AND(OR(L970="1-Urgent",L970="2-High"),M970="✓"),"DO FIRST",IF(M970="✓","SCHEDULE",IF(OR(L970="1-Urgent",L970="2-High"),"DELEGATE","DELETE"))))</f>
        <v/>
      </c>
      <c r="P970" s="65" t="n"/>
      <c r="Q970">
        <f>IF(965&gt;Calc!$AQ$368,"",MATCH(964,Calc!$AQ$2:$AQ$367,1))</f>
        <v/>
      </c>
      <c r="R970">
        <f>IF(Q970="","",SMALL(INDEX(Calc!$B$2:$AO$367,Q970,0),965-INDEX(Calc!$AQ$2:$AQ$367,Q970)))</f>
        <v/>
      </c>
    </row>
    <row r="971">
      <c r="B971" s="71">
        <f>IF(R971="","",966)</f>
        <v/>
      </c>
      <c r="C971" s="75">
        <f>IF(R971="","",IF(INDEX('Recurring Schedule'!$C$6:$C$45,R971)="","",INDEX('Recurring Schedule'!$C$6:$C$45,R971)))</f>
        <v/>
      </c>
      <c r="D971" s="73">
        <f>IF(R971="","",IF(INDEX('Recurring Schedule'!$D$6:$D$45,R971)="","",INDEX('Recurring Schedule'!$D$6:$D$45,R971)))</f>
        <v/>
      </c>
      <c r="E971" s="76">
        <f>IF(Q971="","",INDEX(Calc!$A$2:$A$367,Q971))</f>
        <v/>
      </c>
      <c r="F971" s="72">
        <f>IF(OR(C971="",E971=""),"",E971-Setup!$D$7)</f>
        <v/>
      </c>
      <c r="G971" s="77">
        <f>IF(R971="","",IF(INDEX('Recurring Schedule'!$H$6:$H$45,R971)="","",INDEX('Recurring Schedule'!$H$6:$H$45,R971)))</f>
        <v/>
      </c>
      <c r="H971" s="77">
        <f>IF(R971="","",IF(INDEX('Recurring Schedule'!$I$6:$I$45,R971)="","",INDEX('Recurring Schedule'!$I$6:$I$45,R971)))</f>
        <v/>
      </c>
      <c r="I971" s="73">
        <f>IF(OR(G971="",H971=""),"",TRIM(IF(HOUR(H971-G971)&gt;0,HOUR(H971-G971)&amp;" hr ","")&amp;IF(MINUTE(H971-G971)&gt;0,MINUTE(H971-G971)&amp;" min","")))</f>
        <v/>
      </c>
      <c r="J971" s="66" t="n"/>
      <c r="K971" s="70" t="n"/>
      <c r="L971" s="73">
        <f>IF(R971="","",IF(INDEX('Recurring Schedule'!$J$6:$J$45,R971)="","",INDEX('Recurring Schedule'!$J$6:$J$45,R971)))</f>
        <v/>
      </c>
      <c r="M971" s="73">
        <f>IF(R971="","",IF(INDEX('Recurring Schedule'!$K$6:$K$45,R971)="","",INDEX('Recurring Schedule'!$K$6:$K$45,R971)))</f>
        <v/>
      </c>
      <c r="N971" s="73">
        <f>IF(R971="","",IF(INDEX('Recurring Schedule'!$L$6:$L$45,R971)="","",INDEX('Recurring Schedule'!$L$6:$L$45,R971)))</f>
        <v/>
      </c>
      <c r="O971" s="73">
        <f>IF(C971="","",IF(AND(OR(L971="1-Urgent",L971="2-High"),M971="✓"),"DO FIRST",IF(M971="✓","SCHEDULE",IF(OR(L971="1-Urgent",L971="2-High"),"DELEGATE","DELETE"))))</f>
        <v/>
      </c>
      <c r="P971" s="65" t="n"/>
      <c r="Q971">
        <f>IF(966&gt;Calc!$AQ$368,"",MATCH(965,Calc!$AQ$2:$AQ$367,1))</f>
        <v/>
      </c>
      <c r="R971">
        <f>IF(Q971="","",SMALL(INDEX(Calc!$B$2:$AO$367,Q971,0),966-INDEX(Calc!$AQ$2:$AQ$367,Q971)))</f>
        <v/>
      </c>
    </row>
    <row r="972">
      <c r="B972" s="64">
        <f>IF(R972="","",967)</f>
        <v/>
      </c>
      <c r="C972" s="37">
        <f>IF(R972="","",IF(INDEX('Recurring Schedule'!$C$6:$C$45,R972)="","",INDEX('Recurring Schedule'!$C$6:$C$45,R972)))</f>
        <v/>
      </c>
      <c r="D972" s="36">
        <f>IF(R972="","",IF(INDEX('Recurring Schedule'!$D$6:$D$45,R972)="","",INDEX('Recurring Schedule'!$D$6:$D$45,R972)))</f>
        <v/>
      </c>
      <c r="E972" s="38">
        <f>IF(Q972="","",INDEX(Calc!$A$2:$A$367,Q972))</f>
        <v/>
      </c>
      <c r="F972" s="68">
        <f>IF(OR(C972="",E972=""),"",E972-Setup!$D$7)</f>
        <v/>
      </c>
      <c r="G972" s="74">
        <f>IF(R972="","",IF(INDEX('Recurring Schedule'!$H$6:$H$45,R972)="","",INDEX('Recurring Schedule'!$H$6:$H$45,R972)))</f>
        <v/>
      </c>
      <c r="H972" s="74">
        <f>IF(R972="","",IF(INDEX('Recurring Schedule'!$I$6:$I$45,R972)="","",INDEX('Recurring Schedule'!$I$6:$I$45,R972)))</f>
        <v/>
      </c>
      <c r="I972" s="36">
        <f>IF(OR(G972="",H972=""),"",TRIM(IF(HOUR(H972-G972)&gt;0,HOUR(H972-G972)&amp;" hr ","")&amp;IF(MINUTE(H972-G972)&gt;0,MINUTE(H972-G972)&amp;" min","")))</f>
        <v/>
      </c>
      <c r="J972" s="66" t="n"/>
      <c r="K972" s="70" t="n"/>
      <c r="L972" s="36">
        <f>IF(R972="","",IF(INDEX('Recurring Schedule'!$J$6:$J$45,R972)="","",INDEX('Recurring Schedule'!$J$6:$J$45,R972)))</f>
        <v/>
      </c>
      <c r="M972" s="36">
        <f>IF(R972="","",IF(INDEX('Recurring Schedule'!$K$6:$K$45,R972)="","",INDEX('Recurring Schedule'!$K$6:$K$45,R972)))</f>
        <v/>
      </c>
      <c r="N972" s="36">
        <f>IF(R972="","",IF(INDEX('Recurring Schedule'!$L$6:$L$45,R972)="","",INDEX('Recurring Schedule'!$L$6:$L$45,R972)))</f>
        <v/>
      </c>
      <c r="O972" s="36">
        <f>IF(C972="","",IF(AND(OR(L972="1-Urgent",L972="2-High"),M972="✓"),"DO FIRST",IF(M972="✓","SCHEDULE",IF(OR(L972="1-Urgent",L972="2-High"),"DELEGATE","DELETE"))))</f>
        <v/>
      </c>
      <c r="P972" s="65" t="n"/>
      <c r="Q972">
        <f>IF(967&gt;Calc!$AQ$368,"",MATCH(966,Calc!$AQ$2:$AQ$367,1))</f>
        <v/>
      </c>
      <c r="R972">
        <f>IF(Q972="","",SMALL(INDEX(Calc!$B$2:$AO$367,Q972,0),967-INDEX(Calc!$AQ$2:$AQ$367,Q972)))</f>
        <v/>
      </c>
    </row>
    <row r="973">
      <c r="B973" s="71">
        <f>IF(R973="","",968)</f>
        <v/>
      </c>
      <c r="C973" s="75">
        <f>IF(R973="","",IF(INDEX('Recurring Schedule'!$C$6:$C$45,R973)="","",INDEX('Recurring Schedule'!$C$6:$C$45,R973)))</f>
        <v/>
      </c>
      <c r="D973" s="73">
        <f>IF(R973="","",IF(INDEX('Recurring Schedule'!$D$6:$D$45,R973)="","",INDEX('Recurring Schedule'!$D$6:$D$45,R973)))</f>
        <v/>
      </c>
      <c r="E973" s="76">
        <f>IF(Q973="","",INDEX(Calc!$A$2:$A$367,Q973))</f>
        <v/>
      </c>
      <c r="F973" s="72">
        <f>IF(OR(C973="",E973=""),"",E973-Setup!$D$7)</f>
        <v/>
      </c>
      <c r="G973" s="77">
        <f>IF(R973="","",IF(INDEX('Recurring Schedule'!$H$6:$H$45,R973)="","",INDEX('Recurring Schedule'!$H$6:$H$45,R973)))</f>
        <v/>
      </c>
      <c r="H973" s="77">
        <f>IF(R973="","",IF(INDEX('Recurring Schedule'!$I$6:$I$45,R973)="","",INDEX('Recurring Schedule'!$I$6:$I$45,R973)))</f>
        <v/>
      </c>
      <c r="I973" s="73">
        <f>IF(OR(G973="",H973=""),"",TRIM(IF(HOUR(H973-G973)&gt;0,HOUR(H973-G973)&amp;" hr ","")&amp;IF(MINUTE(H973-G973)&gt;0,MINUTE(H973-G973)&amp;" min","")))</f>
        <v/>
      </c>
      <c r="J973" s="66" t="n"/>
      <c r="K973" s="70" t="n"/>
      <c r="L973" s="73">
        <f>IF(R973="","",IF(INDEX('Recurring Schedule'!$J$6:$J$45,R973)="","",INDEX('Recurring Schedule'!$J$6:$J$45,R973)))</f>
        <v/>
      </c>
      <c r="M973" s="73">
        <f>IF(R973="","",IF(INDEX('Recurring Schedule'!$K$6:$K$45,R973)="","",INDEX('Recurring Schedule'!$K$6:$K$45,R973)))</f>
        <v/>
      </c>
      <c r="N973" s="73">
        <f>IF(R973="","",IF(INDEX('Recurring Schedule'!$L$6:$L$45,R973)="","",INDEX('Recurring Schedule'!$L$6:$L$45,R973)))</f>
        <v/>
      </c>
      <c r="O973" s="73">
        <f>IF(C973="","",IF(AND(OR(L973="1-Urgent",L973="2-High"),M973="✓"),"DO FIRST",IF(M973="✓","SCHEDULE",IF(OR(L973="1-Urgent",L973="2-High"),"DELEGATE","DELETE"))))</f>
        <v/>
      </c>
      <c r="P973" s="65" t="n"/>
      <c r="Q973">
        <f>IF(968&gt;Calc!$AQ$368,"",MATCH(967,Calc!$AQ$2:$AQ$367,1))</f>
        <v/>
      </c>
      <c r="R973">
        <f>IF(Q973="","",SMALL(INDEX(Calc!$B$2:$AO$367,Q973,0),968-INDEX(Calc!$AQ$2:$AQ$367,Q973)))</f>
        <v/>
      </c>
    </row>
    <row r="974">
      <c r="B974" s="64">
        <f>IF(R974="","",969)</f>
        <v/>
      </c>
      <c r="C974" s="37">
        <f>IF(R974="","",IF(INDEX('Recurring Schedule'!$C$6:$C$45,R974)="","",INDEX('Recurring Schedule'!$C$6:$C$45,R974)))</f>
        <v/>
      </c>
      <c r="D974" s="36">
        <f>IF(R974="","",IF(INDEX('Recurring Schedule'!$D$6:$D$45,R974)="","",INDEX('Recurring Schedule'!$D$6:$D$45,R974)))</f>
        <v/>
      </c>
      <c r="E974" s="38">
        <f>IF(Q974="","",INDEX(Calc!$A$2:$A$367,Q974))</f>
        <v/>
      </c>
      <c r="F974" s="68">
        <f>IF(OR(C974="",E974=""),"",E974-Setup!$D$7)</f>
        <v/>
      </c>
      <c r="G974" s="74">
        <f>IF(R974="","",IF(INDEX('Recurring Schedule'!$H$6:$H$45,R974)="","",INDEX('Recurring Schedule'!$H$6:$H$45,R974)))</f>
        <v/>
      </c>
      <c r="H974" s="74">
        <f>IF(R974="","",IF(INDEX('Recurring Schedule'!$I$6:$I$45,R974)="","",INDEX('Recurring Schedule'!$I$6:$I$45,R974)))</f>
        <v/>
      </c>
      <c r="I974" s="36">
        <f>IF(OR(G974="",H974=""),"",TRIM(IF(HOUR(H974-G974)&gt;0,HOUR(H974-G974)&amp;" hr ","")&amp;IF(MINUTE(H974-G974)&gt;0,MINUTE(H974-G974)&amp;" min","")))</f>
        <v/>
      </c>
      <c r="J974" s="66" t="n"/>
      <c r="K974" s="70" t="n"/>
      <c r="L974" s="36">
        <f>IF(R974="","",IF(INDEX('Recurring Schedule'!$J$6:$J$45,R974)="","",INDEX('Recurring Schedule'!$J$6:$J$45,R974)))</f>
        <v/>
      </c>
      <c r="M974" s="36">
        <f>IF(R974="","",IF(INDEX('Recurring Schedule'!$K$6:$K$45,R974)="","",INDEX('Recurring Schedule'!$K$6:$K$45,R974)))</f>
        <v/>
      </c>
      <c r="N974" s="36">
        <f>IF(R974="","",IF(INDEX('Recurring Schedule'!$L$6:$L$45,R974)="","",INDEX('Recurring Schedule'!$L$6:$L$45,R974)))</f>
        <v/>
      </c>
      <c r="O974" s="36">
        <f>IF(C974="","",IF(AND(OR(L974="1-Urgent",L974="2-High"),M974="✓"),"DO FIRST",IF(M974="✓","SCHEDULE",IF(OR(L974="1-Urgent",L974="2-High"),"DELEGATE","DELETE"))))</f>
        <v/>
      </c>
      <c r="P974" s="65" t="n"/>
      <c r="Q974">
        <f>IF(969&gt;Calc!$AQ$368,"",MATCH(968,Calc!$AQ$2:$AQ$367,1))</f>
        <v/>
      </c>
      <c r="R974">
        <f>IF(Q974="","",SMALL(INDEX(Calc!$B$2:$AO$367,Q974,0),969-INDEX(Calc!$AQ$2:$AQ$367,Q974)))</f>
        <v/>
      </c>
    </row>
    <row r="975">
      <c r="B975" s="71">
        <f>IF(R975="","",970)</f>
        <v/>
      </c>
      <c r="C975" s="75">
        <f>IF(R975="","",IF(INDEX('Recurring Schedule'!$C$6:$C$45,R975)="","",INDEX('Recurring Schedule'!$C$6:$C$45,R975)))</f>
        <v/>
      </c>
      <c r="D975" s="73">
        <f>IF(R975="","",IF(INDEX('Recurring Schedule'!$D$6:$D$45,R975)="","",INDEX('Recurring Schedule'!$D$6:$D$45,R975)))</f>
        <v/>
      </c>
      <c r="E975" s="76">
        <f>IF(Q975="","",INDEX(Calc!$A$2:$A$367,Q975))</f>
        <v/>
      </c>
      <c r="F975" s="72">
        <f>IF(OR(C975="",E975=""),"",E975-Setup!$D$7)</f>
        <v/>
      </c>
      <c r="G975" s="77">
        <f>IF(R975="","",IF(INDEX('Recurring Schedule'!$H$6:$H$45,R975)="","",INDEX('Recurring Schedule'!$H$6:$H$45,R975)))</f>
        <v/>
      </c>
      <c r="H975" s="77">
        <f>IF(R975="","",IF(INDEX('Recurring Schedule'!$I$6:$I$45,R975)="","",INDEX('Recurring Schedule'!$I$6:$I$45,R975)))</f>
        <v/>
      </c>
      <c r="I975" s="73">
        <f>IF(OR(G975="",H975=""),"",TRIM(IF(HOUR(H975-G975)&gt;0,HOUR(H975-G975)&amp;" hr ","")&amp;IF(MINUTE(H975-G975)&gt;0,MINUTE(H975-G975)&amp;" min","")))</f>
        <v/>
      </c>
      <c r="J975" s="66" t="n"/>
      <c r="K975" s="70" t="n"/>
      <c r="L975" s="73">
        <f>IF(R975="","",IF(INDEX('Recurring Schedule'!$J$6:$J$45,R975)="","",INDEX('Recurring Schedule'!$J$6:$J$45,R975)))</f>
        <v/>
      </c>
      <c r="M975" s="73">
        <f>IF(R975="","",IF(INDEX('Recurring Schedule'!$K$6:$K$45,R975)="","",INDEX('Recurring Schedule'!$K$6:$K$45,R975)))</f>
        <v/>
      </c>
      <c r="N975" s="73">
        <f>IF(R975="","",IF(INDEX('Recurring Schedule'!$L$6:$L$45,R975)="","",INDEX('Recurring Schedule'!$L$6:$L$45,R975)))</f>
        <v/>
      </c>
      <c r="O975" s="73">
        <f>IF(C975="","",IF(AND(OR(L975="1-Urgent",L975="2-High"),M975="✓"),"DO FIRST",IF(M975="✓","SCHEDULE",IF(OR(L975="1-Urgent",L975="2-High"),"DELEGATE","DELETE"))))</f>
        <v/>
      </c>
      <c r="P975" s="65" t="n"/>
      <c r="Q975">
        <f>IF(970&gt;Calc!$AQ$368,"",MATCH(969,Calc!$AQ$2:$AQ$367,1))</f>
        <v/>
      </c>
      <c r="R975">
        <f>IF(Q975="","",SMALL(INDEX(Calc!$B$2:$AO$367,Q975,0),970-INDEX(Calc!$AQ$2:$AQ$367,Q975)))</f>
        <v/>
      </c>
    </row>
    <row r="976">
      <c r="B976" s="64">
        <f>IF(R976="","",971)</f>
        <v/>
      </c>
      <c r="C976" s="37">
        <f>IF(R976="","",IF(INDEX('Recurring Schedule'!$C$6:$C$45,R976)="","",INDEX('Recurring Schedule'!$C$6:$C$45,R976)))</f>
        <v/>
      </c>
      <c r="D976" s="36">
        <f>IF(R976="","",IF(INDEX('Recurring Schedule'!$D$6:$D$45,R976)="","",INDEX('Recurring Schedule'!$D$6:$D$45,R976)))</f>
        <v/>
      </c>
      <c r="E976" s="38">
        <f>IF(Q976="","",INDEX(Calc!$A$2:$A$367,Q976))</f>
        <v/>
      </c>
      <c r="F976" s="68">
        <f>IF(OR(C976="",E976=""),"",E976-Setup!$D$7)</f>
        <v/>
      </c>
      <c r="G976" s="74">
        <f>IF(R976="","",IF(INDEX('Recurring Schedule'!$H$6:$H$45,R976)="","",INDEX('Recurring Schedule'!$H$6:$H$45,R976)))</f>
        <v/>
      </c>
      <c r="H976" s="74">
        <f>IF(R976="","",IF(INDEX('Recurring Schedule'!$I$6:$I$45,R976)="","",INDEX('Recurring Schedule'!$I$6:$I$45,R976)))</f>
        <v/>
      </c>
      <c r="I976" s="36">
        <f>IF(OR(G976="",H976=""),"",TRIM(IF(HOUR(H976-G976)&gt;0,HOUR(H976-G976)&amp;" hr ","")&amp;IF(MINUTE(H976-G976)&gt;0,MINUTE(H976-G976)&amp;" min","")))</f>
        <v/>
      </c>
      <c r="J976" s="66" t="n"/>
      <c r="K976" s="70" t="n"/>
      <c r="L976" s="36">
        <f>IF(R976="","",IF(INDEX('Recurring Schedule'!$J$6:$J$45,R976)="","",INDEX('Recurring Schedule'!$J$6:$J$45,R976)))</f>
        <v/>
      </c>
      <c r="M976" s="36">
        <f>IF(R976="","",IF(INDEX('Recurring Schedule'!$K$6:$K$45,R976)="","",INDEX('Recurring Schedule'!$K$6:$K$45,R976)))</f>
        <v/>
      </c>
      <c r="N976" s="36">
        <f>IF(R976="","",IF(INDEX('Recurring Schedule'!$L$6:$L$45,R976)="","",INDEX('Recurring Schedule'!$L$6:$L$45,R976)))</f>
        <v/>
      </c>
      <c r="O976" s="36">
        <f>IF(C976="","",IF(AND(OR(L976="1-Urgent",L976="2-High"),M976="✓"),"DO FIRST",IF(M976="✓","SCHEDULE",IF(OR(L976="1-Urgent",L976="2-High"),"DELEGATE","DELETE"))))</f>
        <v/>
      </c>
      <c r="P976" s="65" t="n"/>
      <c r="Q976">
        <f>IF(971&gt;Calc!$AQ$368,"",MATCH(970,Calc!$AQ$2:$AQ$367,1))</f>
        <v/>
      </c>
      <c r="R976">
        <f>IF(Q976="","",SMALL(INDEX(Calc!$B$2:$AO$367,Q976,0),971-INDEX(Calc!$AQ$2:$AQ$367,Q976)))</f>
        <v/>
      </c>
    </row>
    <row r="977">
      <c r="B977" s="71">
        <f>IF(R977="","",972)</f>
        <v/>
      </c>
      <c r="C977" s="75">
        <f>IF(R977="","",IF(INDEX('Recurring Schedule'!$C$6:$C$45,R977)="","",INDEX('Recurring Schedule'!$C$6:$C$45,R977)))</f>
        <v/>
      </c>
      <c r="D977" s="73">
        <f>IF(R977="","",IF(INDEX('Recurring Schedule'!$D$6:$D$45,R977)="","",INDEX('Recurring Schedule'!$D$6:$D$45,R977)))</f>
        <v/>
      </c>
      <c r="E977" s="76">
        <f>IF(Q977="","",INDEX(Calc!$A$2:$A$367,Q977))</f>
        <v/>
      </c>
      <c r="F977" s="72">
        <f>IF(OR(C977="",E977=""),"",E977-Setup!$D$7)</f>
        <v/>
      </c>
      <c r="G977" s="77">
        <f>IF(R977="","",IF(INDEX('Recurring Schedule'!$H$6:$H$45,R977)="","",INDEX('Recurring Schedule'!$H$6:$H$45,R977)))</f>
        <v/>
      </c>
      <c r="H977" s="77">
        <f>IF(R977="","",IF(INDEX('Recurring Schedule'!$I$6:$I$45,R977)="","",INDEX('Recurring Schedule'!$I$6:$I$45,R977)))</f>
        <v/>
      </c>
      <c r="I977" s="73">
        <f>IF(OR(G977="",H977=""),"",TRIM(IF(HOUR(H977-G977)&gt;0,HOUR(H977-G977)&amp;" hr ","")&amp;IF(MINUTE(H977-G977)&gt;0,MINUTE(H977-G977)&amp;" min","")))</f>
        <v/>
      </c>
      <c r="J977" s="66" t="n"/>
      <c r="K977" s="70" t="n"/>
      <c r="L977" s="73">
        <f>IF(R977="","",IF(INDEX('Recurring Schedule'!$J$6:$J$45,R977)="","",INDEX('Recurring Schedule'!$J$6:$J$45,R977)))</f>
        <v/>
      </c>
      <c r="M977" s="73">
        <f>IF(R977="","",IF(INDEX('Recurring Schedule'!$K$6:$K$45,R977)="","",INDEX('Recurring Schedule'!$K$6:$K$45,R977)))</f>
        <v/>
      </c>
      <c r="N977" s="73">
        <f>IF(R977="","",IF(INDEX('Recurring Schedule'!$L$6:$L$45,R977)="","",INDEX('Recurring Schedule'!$L$6:$L$45,R977)))</f>
        <v/>
      </c>
      <c r="O977" s="73">
        <f>IF(C977="","",IF(AND(OR(L977="1-Urgent",L977="2-High"),M977="✓"),"DO FIRST",IF(M977="✓","SCHEDULE",IF(OR(L977="1-Urgent",L977="2-High"),"DELEGATE","DELETE"))))</f>
        <v/>
      </c>
      <c r="P977" s="65" t="n"/>
      <c r="Q977">
        <f>IF(972&gt;Calc!$AQ$368,"",MATCH(971,Calc!$AQ$2:$AQ$367,1))</f>
        <v/>
      </c>
      <c r="R977">
        <f>IF(Q977="","",SMALL(INDEX(Calc!$B$2:$AO$367,Q977,0),972-INDEX(Calc!$AQ$2:$AQ$367,Q977)))</f>
        <v/>
      </c>
    </row>
    <row r="978">
      <c r="B978" s="64">
        <f>IF(R978="","",973)</f>
        <v/>
      </c>
      <c r="C978" s="37">
        <f>IF(R978="","",IF(INDEX('Recurring Schedule'!$C$6:$C$45,R978)="","",INDEX('Recurring Schedule'!$C$6:$C$45,R978)))</f>
        <v/>
      </c>
      <c r="D978" s="36">
        <f>IF(R978="","",IF(INDEX('Recurring Schedule'!$D$6:$D$45,R978)="","",INDEX('Recurring Schedule'!$D$6:$D$45,R978)))</f>
        <v/>
      </c>
      <c r="E978" s="38">
        <f>IF(Q978="","",INDEX(Calc!$A$2:$A$367,Q978))</f>
        <v/>
      </c>
      <c r="F978" s="68">
        <f>IF(OR(C978="",E978=""),"",E978-Setup!$D$7)</f>
        <v/>
      </c>
      <c r="G978" s="74">
        <f>IF(R978="","",IF(INDEX('Recurring Schedule'!$H$6:$H$45,R978)="","",INDEX('Recurring Schedule'!$H$6:$H$45,R978)))</f>
        <v/>
      </c>
      <c r="H978" s="74">
        <f>IF(R978="","",IF(INDEX('Recurring Schedule'!$I$6:$I$45,R978)="","",INDEX('Recurring Schedule'!$I$6:$I$45,R978)))</f>
        <v/>
      </c>
      <c r="I978" s="36">
        <f>IF(OR(G978="",H978=""),"",TRIM(IF(HOUR(H978-G978)&gt;0,HOUR(H978-G978)&amp;" hr ","")&amp;IF(MINUTE(H978-G978)&gt;0,MINUTE(H978-G978)&amp;" min","")))</f>
        <v/>
      </c>
      <c r="J978" s="66" t="n"/>
      <c r="K978" s="70" t="n"/>
      <c r="L978" s="36">
        <f>IF(R978="","",IF(INDEX('Recurring Schedule'!$J$6:$J$45,R978)="","",INDEX('Recurring Schedule'!$J$6:$J$45,R978)))</f>
        <v/>
      </c>
      <c r="M978" s="36">
        <f>IF(R978="","",IF(INDEX('Recurring Schedule'!$K$6:$K$45,R978)="","",INDEX('Recurring Schedule'!$K$6:$K$45,R978)))</f>
        <v/>
      </c>
      <c r="N978" s="36">
        <f>IF(R978="","",IF(INDEX('Recurring Schedule'!$L$6:$L$45,R978)="","",INDEX('Recurring Schedule'!$L$6:$L$45,R978)))</f>
        <v/>
      </c>
      <c r="O978" s="36">
        <f>IF(C978="","",IF(AND(OR(L978="1-Urgent",L978="2-High"),M978="✓"),"DO FIRST",IF(M978="✓","SCHEDULE",IF(OR(L978="1-Urgent",L978="2-High"),"DELEGATE","DELETE"))))</f>
        <v/>
      </c>
      <c r="P978" s="65" t="n"/>
      <c r="Q978">
        <f>IF(973&gt;Calc!$AQ$368,"",MATCH(972,Calc!$AQ$2:$AQ$367,1))</f>
        <v/>
      </c>
      <c r="R978">
        <f>IF(Q978="","",SMALL(INDEX(Calc!$B$2:$AO$367,Q978,0),973-INDEX(Calc!$AQ$2:$AQ$367,Q978)))</f>
        <v/>
      </c>
    </row>
    <row r="979">
      <c r="B979" s="71">
        <f>IF(R979="","",974)</f>
        <v/>
      </c>
      <c r="C979" s="75">
        <f>IF(R979="","",IF(INDEX('Recurring Schedule'!$C$6:$C$45,R979)="","",INDEX('Recurring Schedule'!$C$6:$C$45,R979)))</f>
        <v/>
      </c>
      <c r="D979" s="73">
        <f>IF(R979="","",IF(INDEX('Recurring Schedule'!$D$6:$D$45,R979)="","",INDEX('Recurring Schedule'!$D$6:$D$45,R979)))</f>
        <v/>
      </c>
      <c r="E979" s="76">
        <f>IF(Q979="","",INDEX(Calc!$A$2:$A$367,Q979))</f>
        <v/>
      </c>
      <c r="F979" s="72">
        <f>IF(OR(C979="",E979=""),"",E979-Setup!$D$7)</f>
        <v/>
      </c>
      <c r="G979" s="77">
        <f>IF(R979="","",IF(INDEX('Recurring Schedule'!$H$6:$H$45,R979)="","",INDEX('Recurring Schedule'!$H$6:$H$45,R979)))</f>
        <v/>
      </c>
      <c r="H979" s="77">
        <f>IF(R979="","",IF(INDEX('Recurring Schedule'!$I$6:$I$45,R979)="","",INDEX('Recurring Schedule'!$I$6:$I$45,R979)))</f>
        <v/>
      </c>
      <c r="I979" s="73">
        <f>IF(OR(G979="",H979=""),"",TRIM(IF(HOUR(H979-G979)&gt;0,HOUR(H979-G979)&amp;" hr ","")&amp;IF(MINUTE(H979-G979)&gt;0,MINUTE(H979-G979)&amp;" min","")))</f>
        <v/>
      </c>
      <c r="J979" s="66" t="n"/>
      <c r="K979" s="70" t="n"/>
      <c r="L979" s="73">
        <f>IF(R979="","",IF(INDEX('Recurring Schedule'!$J$6:$J$45,R979)="","",INDEX('Recurring Schedule'!$J$6:$J$45,R979)))</f>
        <v/>
      </c>
      <c r="M979" s="73">
        <f>IF(R979="","",IF(INDEX('Recurring Schedule'!$K$6:$K$45,R979)="","",INDEX('Recurring Schedule'!$K$6:$K$45,R979)))</f>
        <v/>
      </c>
      <c r="N979" s="73">
        <f>IF(R979="","",IF(INDEX('Recurring Schedule'!$L$6:$L$45,R979)="","",INDEX('Recurring Schedule'!$L$6:$L$45,R979)))</f>
        <v/>
      </c>
      <c r="O979" s="73">
        <f>IF(C979="","",IF(AND(OR(L979="1-Urgent",L979="2-High"),M979="✓"),"DO FIRST",IF(M979="✓","SCHEDULE",IF(OR(L979="1-Urgent",L979="2-High"),"DELEGATE","DELETE"))))</f>
        <v/>
      </c>
      <c r="P979" s="65" t="n"/>
      <c r="Q979">
        <f>IF(974&gt;Calc!$AQ$368,"",MATCH(973,Calc!$AQ$2:$AQ$367,1))</f>
        <v/>
      </c>
      <c r="R979">
        <f>IF(Q979="","",SMALL(INDEX(Calc!$B$2:$AO$367,Q979,0),974-INDEX(Calc!$AQ$2:$AQ$367,Q979)))</f>
        <v/>
      </c>
    </row>
    <row r="980">
      <c r="B980" s="64">
        <f>IF(R980="","",975)</f>
        <v/>
      </c>
      <c r="C980" s="37">
        <f>IF(R980="","",IF(INDEX('Recurring Schedule'!$C$6:$C$45,R980)="","",INDEX('Recurring Schedule'!$C$6:$C$45,R980)))</f>
        <v/>
      </c>
      <c r="D980" s="36">
        <f>IF(R980="","",IF(INDEX('Recurring Schedule'!$D$6:$D$45,R980)="","",INDEX('Recurring Schedule'!$D$6:$D$45,R980)))</f>
        <v/>
      </c>
      <c r="E980" s="38">
        <f>IF(Q980="","",INDEX(Calc!$A$2:$A$367,Q980))</f>
        <v/>
      </c>
      <c r="F980" s="68">
        <f>IF(OR(C980="",E980=""),"",E980-Setup!$D$7)</f>
        <v/>
      </c>
      <c r="G980" s="74">
        <f>IF(R980="","",IF(INDEX('Recurring Schedule'!$H$6:$H$45,R980)="","",INDEX('Recurring Schedule'!$H$6:$H$45,R980)))</f>
        <v/>
      </c>
      <c r="H980" s="74">
        <f>IF(R980="","",IF(INDEX('Recurring Schedule'!$I$6:$I$45,R980)="","",INDEX('Recurring Schedule'!$I$6:$I$45,R980)))</f>
        <v/>
      </c>
      <c r="I980" s="36">
        <f>IF(OR(G980="",H980=""),"",TRIM(IF(HOUR(H980-G980)&gt;0,HOUR(H980-G980)&amp;" hr ","")&amp;IF(MINUTE(H980-G980)&gt;0,MINUTE(H980-G980)&amp;" min","")))</f>
        <v/>
      </c>
      <c r="J980" s="66" t="n"/>
      <c r="K980" s="70" t="n"/>
      <c r="L980" s="36">
        <f>IF(R980="","",IF(INDEX('Recurring Schedule'!$J$6:$J$45,R980)="","",INDEX('Recurring Schedule'!$J$6:$J$45,R980)))</f>
        <v/>
      </c>
      <c r="M980" s="36">
        <f>IF(R980="","",IF(INDEX('Recurring Schedule'!$K$6:$K$45,R980)="","",INDEX('Recurring Schedule'!$K$6:$K$45,R980)))</f>
        <v/>
      </c>
      <c r="N980" s="36">
        <f>IF(R980="","",IF(INDEX('Recurring Schedule'!$L$6:$L$45,R980)="","",INDEX('Recurring Schedule'!$L$6:$L$45,R980)))</f>
        <v/>
      </c>
      <c r="O980" s="36">
        <f>IF(C980="","",IF(AND(OR(L980="1-Urgent",L980="2-High"),M980="✓"),"DO FIRST",IF(M980="✓","SCHEDULE",IF(OR(L980="1-Urgent",L980="2-High"),"DELEGATE","DELETE"))))</f>
        <v/>
      </c>
      <c r="P980" s="65" t="n"/>
      <c r="Q980">
        <f>IF(975&gt;Calc!$AQ$368,"",MATCH(974,Calc!$AQ$2:$AQ$367,1))</f>
        <v/>
      </c>
      <c r="R980">
        <f>IF(Q980="","",SMALL(INDEX(Calc!$B$2:$AO$367,Q980,0),975-INDEX(Calc!$AQ$2:$AQ$367,Q980)))</f>
        <v/>
      </c>
    </row>
    <row r="981">
      <c r="B981" s="71">
        <f>IF(R981="","",976)</f>
        <v/>
      </c>
      <c r="C981" s="75">
        <f>IF(R981="","",IF(INDEX('Recurring Schedule'!$C$6:$C$45,R981)="","",INDEX('Recurring Schedule'!$C$6:$C$45,R981)))</f>
        <v/>
      </c>
      <c r="D981" s="73">
        <f>IF(R981="","",IF(INDEX('Recurring Schedule'!$D$6:$D$45,R981)="","",INDEX('Recurring Schedule'!$D$6:$D$45,R981)))</f>
        <v/>
      </c>
      <c r="E981" s="76">
        <f>IF(Q981="","",INDEX(Calc!$A$2:$A$367,Q981))</f>
        <v/>
      </c>
      <c r="F981" s="72">
        <f>IF(OR(C981="",E981=""),"",E981-Setup!$D$7)</f>
        <v/>
      </c>
      <c r="G981" s="77">
        <f>IF(R981="","",IF(INDEX('Recurring Schedule'!$H$6:$H$45,R981)="","",INDEX('Recurring Schedule'!$H$6:$H$45,R981)))</f>
        <v/>
      </c>
      <c r="H981" s="77">
        <f>IF(R981="","",IF(INDEX('Recurring Schedule'!$I$6:$I$45,R981)="","",INDEX('Recurring Schedule'!$I$6:$I$45,R981)))</f>
        <v/>
      </c>
      <c r="I981" s="73">
        <f>IF(OR(G981="",H981=""),"",TRIM(IF(HOUR(H981-G981)&gt;0,HOUR(H981-G981)&amp;" hr ","")&amp;IF(MINUTE(H981-G981)&gt;0,MINUTE(H981-G981)&amp;" min","")))</f>
        <v/>
      </c>
      <c r="J981" s="66" t="n"/>
      <c r="K981" s="70" t="n"/>
      <c r="L981" s="73">
        <f>IF(R981="","",IF(INDEX('Recurring Schedule'!$J$6:$J$45,R981)="","",INDEX('Recurring Schedule'!$J$6:$J$45,R981)))</f>
        <v/>
      </c>
      <c r="M981" s="73">
        <f>IF(R981="","",IF(INDEX('Recurring Schedule'!$K$6:$K$45,R981)="","",INDEX('Recurring Schedule'!$K$6:$K$45,R981)))</f>
        <v/>
      </c>
      <c r="N981" s="73">
        <f>IF(R981="","",IF(INDEX('Recurring Schedule'!$L$6:$L$45,R981)="","",INDEX('Recurring Schedule'!$L$6:$L$45,R981)))</f>
        <v/>
      </c>
      <c r="O981" s="73">
        <f>IF(C981="","",IF(AND(OR(L981="1-Urgent",L981="2-High"),M981="✓"),"DO FIRST",IF(M981="✓","SCHEDULE",IF(OR(L981="1-Urgent",L981="2-High"),"DELEGATE","DELETE"))))</f>
        <v/>
      </c>
      <c r="P981" s="65" t="n"/>
      <c r="Q981">
        <f>IF(976&gt;Calc!$AQ$368,"",MATCH(975,Calc!$AQ$2:$AQ$367,1))</f>
        <v/>
      </c>
      <c r="R981">
        <f>IF(Q981="","",SMALL(INDEX(Calc!$B$2:$AO$367,Q981,0),976-INDEX(Calc!$AQ$2:$AQ$367,Q981)))</f>
        <v/>
      </c>
    </row>
    <row r="982">
      <c r="B982" s="64">
        <f>IF(R982="","",977)</f>
        <v/>
      </c>
      <c r="C982" s="37">
        <f>IF(R982="","",IF(INDEX('Recurring Schedule'!$C$6:$C$45,R982)="","",INDEX('Recurring Schedule'!$C$6:$C$45,R982)))</f>
        <v/>
      </c>
      <c r="D982" s="36">
        <f>IF(R982="","",IF(INDEX('Recurring Schedule'!$D$6:$D$45,R982)="","",INDEX('Recurring Schedule'!$D$6:$D$45,R982)))</f>
        <v/>
      </c>
      <c r="E982" s="38">
        <f>IF(Q982="","",INDEX(Calc!$A$2:$A$367,Q982))</f>
        <v/>
      </c>
      <c r="F982" s="68">
        <f>IF(OR(C982="",E982=""),"",E982-Setup!$D$7)</f>
        <v/>
      </c>
      <c r="G982" s="74">
        <f>IF(R982="","",IF(INDEX('Recurring Schedule'!$H$6:$H$45,R982)="","",INDEX('Recurring Schedule'!$H$6:$H$45,R982)))</f>
        <v/>
      </c>
      <c r="H982" s="74">
        <f>IF(R982="","",IF(INDEX('Recurring Schedule'!$I$6:$I$45,R982)="","",INDEX('Recurring Schedule'!$I$6:$I$45,R982)))</f>
        <v/>
      </c>
      <c r="I982" s="36">
        <f>IF(OR(G982="",H982=""),"",TRIM(IF(HOUR(H982-G982)&gt;0,HOUR(H982-G982)&amp;" hr ","")&amp;IF(MINUTE(H982-G982)&gt;0,MINUTE(H982-G982)&amp;" min","")))</f>
        <v/>
      </c>
      <c r="J982" s="66" t="n"/>
      <c r="K982" s="70" t="n"/>
      <c r="L982" s="36">
        <f>IF(R982="","",IF(INDEX('Recurring Schedule'!$J$6:$J$45,R982)="","",INDEX('Recurring Schedule'!$J$6:$J$45,R982)))</f>
        <v/>
      </c>
      <c r="M982" s="36">
        <f>IF(R982="","",IF(INDEX('Recurring Schedule'!$K$6:$K$45,R982)="","",INDEX('Recurring Schedule'!$K$6:$K$45,R982)))</f>
        <v/>
      </c>
      <c r="N982" s="36">
        <f>IF(R982="","",IF(INDEX('Recurring Schedule'!$L$6:$L$45,R982)="","",INDEX('Recurring Schedule'!$L$6:$L$45,R982)))</f>
        <v/>
      </c>
      <c r="O982" s="36">
        <f>IF(C982="","",IF(AND(OR(L982="1-Urgent",L982="2-High"),M982="✓"),"DO FIRST",IF(M982="✓","SCHEDULE",IF(OR(L982="1-Urgent",L982="2-High"),"DELEGATE","DELETE"))))</f>
        <v/>
      </c>
      <c r="P982" s="65" t="n"/>
      <c r="Q982">
        <f>IF(977&gt;Calc!$AQ$368,"",MATCH(976,Calc!$AQ$2:$AQ$367,1))</f>
        <v/>
      </c>
      <c r="R982">
        <f>IF(Q982="","",SMALL(INDEX(Calc!$B$2:$AO$367,Q982,0),977-INDEX(Calc!$AQ$2:$AQ$367,Q982)))</f>
        <v/>
      </c>
    </row>
    <row r="983">
      <c r="B983" s="71">
        <f>IF(R983="","",978)</f>
        <v/>
      </c>
      <c r="C983" s="75">
        <f>IF(R983="","",IF(INDEX('Recurring Schedule'!$C$6:$C$45,R983)="","",INDEX('Recurring Schedule'!$C$6:$C$45,R983)))</f>
        <v/>
      </c>
      <c r="D983" s="73">
        <f>IF(R983="","",IF(INDEX('Recurring Schedule'!$D$6:$D$45,R983)="","",INDEX('Recurring Schedule'!$D$6:$D$45,R983)))</f>
        <v/>
      </c>
      <c r="E983" s="76">
        <f>IF(Q983="","",INDEX(Calc!$A$2:$A$367,Q983))</f>
        <v/>
      </c>
      <c r="F983" s="72">
        <f>IF(OR(C983="",E983=""),"",E983-Setup!$D$7)</f>
        <v/>
      </c>
      <c r="G983" s="77">
        <f>IF(R983="","",IF(INDEX('Recurring Schedule'!$H$6:$H$45,R983)="","",INDEX('Recurring Schedule'!$H$6:$H$45,R983)))</f>
        <v/>
      </c>
      <c r="H983" s="77">
        <f>IF(R983="","",IF(INDEX('Recurring Schedule'!$I$6:$I$45,R983)="","",INDEX('Recurring Schedule'!$I$6:$I$45,R983)))</f>
        <v/>
      </c>
      <c r="I983" s="73">
        <f>IF(OR(G983="",H983=""),"",TRIM(IF(HOUR(H983-G983)&gt;0,HOUR(H983-G983)&amp;" hr ","")&amp;IF(MINUTE(H983-G983)&gt;0,MINUTE(H983-G983)&amp;" min","")))</f>
        <v/>
      </c>
      <c r="J983" s="66" t="n"/>
      <c r="K983" s="70" t="n"/>
      <c r="L983" s="73">
        <f>IF(R983="","",IF(INDEX('Recurring Schedule'!$J$6:$J$45,R983)="","",INDEX('Recurring Schedule'!$J$6:$J$45,R983)))</f>
        <v/>
      </c>
      <c r="M983" s="73">
        <f>IF(R983="","",IF(INDEX('Recurring Schedule'!$K$6:$K$45,R983)="","",INDEX('Recurring Schedule'!$K$6:$K$45,R983)))</f>
        <v/>
      </c>
      <c r="N983" s="73">
        <f>IF(R983="","",IF(INDEX('Recurring Schedule'!$L$6:$L$45,R983)="","",INDEX('Recurring Schedule'!$L$6:$L$45,R983)))</f>
        <v/>
      </c>
      <c r="O983" s="73">
        <f>IF(C983="","",IF(AND(OR(L983="1-Urgent",L983="2-High"),M983="✓"),"DO FIRST",IF(M983="✓","SCHEDULE",IF(OR(L983="1-Urgent",L983="2-High"),"DELEGATE","DELETE"))))</f>
        <v/>
      </c>
      <c r="P983" s="65" t="n"/>
      <c r="Q983">
        <f>IF(978&gt;Calc!$AQ$368,"",MATCH(977,Calc!$AQ$2:$AQ$367,1))</f>
        <v/>
      </c>
      <c r="R983">
        <f>IF(Q983="","",SMALL(INDEX(Calc!$B$2:$AO$367,Q983,0),978-INDEX(Calc!$AQ$2:$AQ$367,Q983)))</f>
        <v/>
      </c>
    </row>
    <row r="984">
      <c r="B984" s="64">
        <f>IF(R984="","",979)</f>
        <v/>
      </c>
      <c r="C984" s="37">
        <f>IF(R984="","",IF(INDEX('Recurring Schedule'!$C$6:$C$45,R984)="","",INDEX('Recurring Schedule'!$C$6:$C$45,R984)))</f>
        <v/>
      </c>
      <c r="D984" s="36">
        <f>IF(R984="","",IF(INDEX('Recurring Schedule'!$D$6:$D$45,R984)="","",INDEX('Recurring Schedule'!$D$6:$D$45,R984)))</f>
        <v/>
      </c>
      <c r="E984" s="38">
        <f>IF(Q984="","",INDEX(Calc!$A$2:$A$367,Q984))</f>
        <v/>
      </c>
      <c r="F984" s="68">
        <f>IF(OR(C984="",E984=""),"",E984-Setup!$D$7)</f>
        <v/>
      </c>
      <c r="G984" s="74">
        <f>IF(R984="","",IF(INDEX('Recurring Schedule'!$H$6:$H$45,R984)="","",INDEX('Recurring Schedule'!$H$6:$H$45,R984)))</f>
        <v/>
      </c>
      <c r="H984" s="74">
        <f>IF(R984="","",IF(INDEX('Recurring Schedule'!$I$6:$I$45,R984)="","",INDEX('Recurring Schedule'!$I$6:$I$45,R984)))</f>
        <v/>
      </c>
      <c r="I984" s="36">
        <f>IF(OR(G984="",H984=""),"",TRIM(IF(HOUR(H984-G984)&gt;0,HOUR(H984-G984)&amp;" hr ","")&amp;IF(MINUTE(H984-G984)&gt;0,MINUTE(H984-G984)&amp;" min","")))</f>
        <v/>
      </c>
      <c r="J984" s="66" t="n"/>
      <c r="K984" s="70" t="n"/>
      <c r="L984" s="36">
        <f>IF(R984="","",IF(INDEX('Recurring Schedule'!$J$6:$J$45,R984)="","",INDEX('Recurring Schedule'!$J$6:$J$45,R984)))</f>
        <v/>
      </c>
      <c r="M984" s="36">
        <f>IF(R984="","",IF(INDEX('Recurring Schedule'!$K$6:$K$45,R984)="","",INDEX('Recurring Schedule'!$K$6:$K$45,R984)))</f>
        <v/>
      </c>
      <c r="N984" s="36">
        <f>IF(R984="","",IF(INDEX('Recurring Schedule'!$L$6:$L$45,R984)="","",INDEX('Recurring Schedule'!$L$6:$L$45,R984)))</f>
        <v/>
      </c>
      <c r="O984" s="36">
        <f>IF(C984="","",IF(AND(OR(L984="1-Urgent",L984="2-High"),M984="✓"),"DO FIRST",IF(M984="✓","SCHEDULE",IF(OR(L984="1-Urgent",L984="2-High"),"DELEGATE","DELETE"))))</f>
        <v/>
      </c>
      <c r="P984" s="65" t="n"/>
      <c r="Q984">
        <f>IF(979&gt;Calc!$AQ$368,"",MATCH(978,Calc!$AQ$2:$AQ$367,1))</f>
        <v/>
      </c>
      <c r="R984">
        <f>IF(Q984="","",SMALL(INDEX(Calc!$B$2:$AO$367,Q984,0),979-INDEX(Calc!$AQ$2:$AQ$367,Q984)))</f>
        <v/>
      </c>
    </row>
    <row r="985">
      <c r="B985" s="71">
        <f>IF(R985="","",980)</f>
        <v/>
      </c>
      <c r="C985" s="75">
        <f>IF(R985="","",IF(INDEX('Recurring Schedule'!$C$6:$C$45,R985)="","",INDEX('Recurring Schedule'!$C$6:$C$45,R985)))</f>
        <v/>
      </c>
      <c r="D985" s="73">
        <f>IF(R985="","",IF(INDEX('Recurring Schedule'!$D$6:$D$45,R985)="","",INDEX('Recurring Schedule'!$D$6:$D$45,R985)))</f>
        <v/>
      </c>
      <c r="E985" s="76">
        <f>IF(Q985="","",INDEX(Calc!$A$2:$A$367,Q985))</f>
        <v/>
      </c>
      <c r="F985" s="72">
        <f>IF(OR(C985="",E985=""),"",E985-Setup!$D$7)</f>
        <v/>
      </c>
      <c r="G985" s="77">
        <f>IF(R985="","",IF(INDEX('Recurring Schedule'!$H$6:$H$45,R985)="","",INDEX('Recurring Schedule'!$H$6:$H$45,R985)))</f>
        <v/>
      </c>
      <c r="H985" s="77">
        <f>IF(R985="","",IF(INDEX('Recurring Schedule'!$I$6:$I$45,R985)="","",INDEX('Recurring Schedule'!$I$6:$I$45,R985)))</f>
        <v/>
      </c>
      <c r="I985" s="73">
        <f>IF(OR(G985="",H985=""),"",TRIM(IF(HOUR(H985-G985)&gt;0,HOUR(H985-G985)&amp;" hr ","")&amp;IF(MINUTE(H985-G985)&gt;0,MINUTE(H985-G985)&amp;" min","")))</f>
        <v/>
      </c>
      <c r="J985" s="66" t="n"/>
      <c r="K985" s="70" t="n"/>
      <c r="L985" s="73">
        <f>IF(R985="","",IF(INDEX('Recurring Schedule'!$J$6:$J$45,R985)="","",INDEX('Recurring Schedule'!$J$6:$J$45,R985)))</f>
        <v/>
      </c>
      <c r="M985" s="73">
        <f>IF(R985="","",IF(INDEX('Recurring Schedule'!$K$6:$K$45,R985)="","",INDEX('Recurring Schedule'!$K$6:$K$45,R985)))</f>
        <v/>
      </c>
      <c r="N985" s="73">
        <f>IF(R985="","",IF(INDEX('Recurring Schedule'!$L$6:$L$45,R985)="","",INDEX('Recurring Schedule'!$L$6:$L$45,R985)))</f>
        <v/>
      </c>
      <c r="O985" s="73">
        <f>IF(C985="","",IF(AND(OR(L985="1-Urgent",L985="2-High"),M985="✓"),"DO FIRST",IF(M985="✓","SCHEDULE",IF(OR(L985="1-Urgent",L985="2-High"),"DELEGATE","DELETE"))))</f>
        <v/>
      </c>
      <c r="P985" s="65" t="n"/>
      <c r="Q985">
        <f>IF(980&gt;Calc!$AQ$368,"",MATCH(979,Calc!$AQ$2:$AQ$367,1))</f>
        <v/>
      </c>
      <c r="R985">
        <f>IF(Q985="","",SMALL(INDEX(Calc!$B$2:$AO$367,Q985,0),980-INDEX(Calc!$AQ$2:$AQ$367,Q985)))</f>
        <v/>
      </c>
    </row>
    <row r="986">
      <c r="B986" s="64">
        <f>IF(R986="","",981)</f>
        <v/>
      </c>
      <c r="C986" s="37">
        <f>IF(R986="","",IF(INDEX('Recurring Schedule'!$C$6:$C$45,R986)="","",INDEX('Recurring Schedule'!$C$6:$C$45,R986)))</f>
        <v/>
      </c>
      <c r="D986" s="36">
        <f>IF(R986="","",IF(INDEX('Recurring Schedule'!$D$6:$D$45,R986)="","",INDEX('Recurring Schedule'!$D$6:$D$45,R986)))</f>
        <v/>
      </c>
      <c r="E986" s="38">
        <f>IF(Q986="","",INDEX(Calc!$A$2:$A$367,Q986))</f>
        <v/>
      </c>
      <c r="F986" s="68">
        <f>IF(OR(C986="",E986=""),"",E986-Setup!$D$7)</f>
        <v/>
      </c>
      <c r="G986" s="74">
        <f>IF(R986="","",IF(INDEX('Recurring Schedule'!$H$6:$H$45,R986)="","",INDEX('Recurring Schedule'!$H$6:$H$45,R986)))</f>
        <v/>
      </c>
      <c r="H986" s="74">
        <f>IF(R986="","",IF(INDEX('Recurring Schedule'!$I$6:$I$45,R986)="","",INDEX('Recurring Schedule'!$I$6:$I$45,R986)))</f>
        <v/>
      </c>
      <c r="I986" s="36">
        <f>IF(OR(G986="",H986=""),"",TRIM(IF(HOUR(H986-G986)&gt;0,HOUR(H986-G986)&amp;" hr ","")&amp;IF(MINUTE(H986-G986)&gt;0,MINUTE(H986-G986)&amp;" min","")))</f>
        <v/>
      </c>
      <c r="J986" s="66" t="n"/>
      <c r="K986" s="70" t="n"/>
      <c r="L986" s="36">
        <f>IF(R986="","",IF(INDEX('Recurring Schedule'!$J$6:$J$45,R986)="","",INDEX('Recurring Schedule'!$J$6:$J$45,R986)))</f>
        <v/>
      </c>
      <c r="M986" s="36">
        <f>IF(R986="","",IF(INDEX('Recurring Schedule'!$K$6:$K$45,R986)="","",INDEX('Recurring Schedule'!$K$6:$K$45,R986)))</f>
        <v/>
      </c>
      <c r="N986" s="36">
        <f>IF(R986="","",IF(INDEX('Recurring Schedule'!$L$6:$L$45,R986)="","",INDEX('Recurring Schedule'!$L$6:$L$45,R986)))</f>
        <v/>
      </c>
      <c r="O986" s="36">
        <f>IF(C986="","",IF(AND(OR(L986="1-Urgent",L986="2-High"),M986="✓"),"DO FIRST",IF(M986="✓","SCHEDULE",IF(OR(L986="1-Urgent",L986="2-High"),"DELEGATE","DELETE"))))</f>
        <v/>
      </c>
      <c r="P986" s="65" t="n"/>
      <c r="Q986">
        <f>IF(981&gt;Calc!$AQ$368,"",MATCH(980,Calc!$AQ$2:$AQ$367,1))</f>
        <v/>
      </c>
      <c r="R986">
        <f>IF(Q986="","",SMALL(INDEX(Calc!$B$2:$AO$367,Q986,0),981-INDEX(Calc!$AQ$2:$AQ$367,Q986)))</f>
        <v/>
      </c>
    </row>
    <row r="987">
      <c r="B987" s="71">
        <f>IF(R987="","",982)</f>
        <v/>
      </c>
      <c r="C987" s="75">
        <f>IF(R987="","",IF(INDEX('Recurring Schedule'!$C$6:$C$45,R987)="","",INDEX('Recurring Schedule'!$C$6:$C$45,R987)))</f>
        <v/>
      </c>
      <c r="D987" s="73">
        <f>IF(R987="","",IF(INDEX('Recurring Schedule'!$D$6:$D$45,R987)="","",INDEX('Recurring Schedule'!$D$6:$D$45,R987)))</f>
        <v/>
      </c>
      <c r="E987" s="76">
        <f>IF(Q987="","",INDEX(Calc!$A$2:$A$367,Q987))</f>
        <v/>
      </c>
      <c r="F987" s="72">
        <f>IF(OR(C987="",E987=""),"",E987-Setup!$D$7)</f>
        <v/>
      </c>
      <c r="G987" s="77">
        <f>IF(R987="","",IF(INDEX('Recurring Schedule'!$H$6:$H$45,R987)="","",INDEX('Recurring Schedule'!$H$6:$H$45,R987)))</f>
        <v/>
      </c>
      <c r="H987" s="77">
        <f>IF(R987="","",IF(INDEX('Recurring Schedule'!$I$6:$I$45,R987)="","",INDEX('Recurring Schedule'!$I$6:$I$45,R987)))</f>
        <v/>
      </c>
      <c r="I987" s="73">
        <f>IF(OR(G987="",H987=""),"",TRIM(IF(HOUR(H987-G987)&gt;0,HOUR(H987-G987)&amp;" hr ","")&amp;IF(MINUTE(H987-G987)&gt;0,MINUTE(H987-G987)&amp;" min","")))</f>
        <v/>
      </c>
      <c r="J987" s="66" t="n"/>
      <c r="K987" s="70" t="n"/>
      <c r="L987" s="73">
        <f>IF(R987="","",IF(INDEX('Recurring Schedule'!$J$6:$J$45,R987)="","",INDEX('Recurring Schedule'!$J$6:$J$45,R987)))</f>
        <v/>
      </c>
      <c r="M987" s="73">
        <f>IF(R987="","",IF(INDEX('Recurring Schedule'!$K$6:$K$45,R987)="","",INDEX('Recurring Schedule'!$K$6:$K$45,R987)))</f>
        <v/>
      </c>
      <c r="N987" s="73">
        <f>IF(R987="","",IF(INDEX('Recurring Schedule'!$L$6:$L$45,R987)="","",INDEX('Recurring Schedule'!$L$6:$L$45,R987)))</f>
        <v/>
      </c>
      <c r="O987" s="73">
        <f>IF(C987="","",IF(AND(OR(L987="1-Urgent",L987="2-High"),M987="✓"),"DO FIRST",IF(M987="✓","SCHEDULE",IF(OR(L987="1-Urgent",L987="2-High"),"DELEGATE","DELETE"))))</f>
        <v/>
      </c>
      <c r="P987" s="65" t="n"/>
      <c r="Q987">
        <f>IF(982&gt;Calc!$AQ$368,"",MATCH(981,Calc!$AQ$2:$AQ$367,1))</f>
        <v/>
      </c>
      <c r="R987">
        <f>IF(Q987="","",SMALL(INDEX(Calc!$B$2:$AO$367,Q987,0),982-INDEX(Calc!$AQ$2:$AQ$367,Q987)))</f>
        <v/>
      </c>
    </row>
    <row r="988">
      <c r="B988" s="64">
        <f>IF(R988="","",983)</f>
        <v/>
      </c>
      <c r="C988" s="37">
        <f>IF(R988="","",IF(INDEX('Recurring Schedule'!$C$6:$C$45,R988)="","",INDEX('Recurring Schedule'!$C$6:$C$45,R988)))</f>
        <v/>
      </c>
      <c r="D988" s="36">
        <f>IF(R988="","",IF(INDEX('Recurring Schedule'!$D$6:$D$45,R988)="","",INDEX('Recurring Schedule'!$D$6:$D$45,R988)))</f>
        <v/>
      </c>
      <c r="E988" s="38">
        <f>IF(Q988="","",INDEX(Calc!$A$2:$A$367,Q988))</f>
        <v/>
      </c>
      <c r="F988" s="68">
        <f>IF(OR(C988="",E988=""),"",E988-Setup!$D$7)</f>
        <v/>
      </c>
      <c r="G988" s="74">
        <f>IF(R988="","",IF(INDEX('Recurring Schedule'!$H$6:$H$45,R988)="","",INDEX('Recurring Schedule'!$H$6:$H$45,R988)))</f>
        <v/>
      </c>
      <c r="H988" s="74">
        <f>IF(R988="","",IF(INDEX('Recurring Schedule'!$I$6:$I$45,R988)="","",INDEX('Recurring Schedule'!$I$6:$I$45,R988)))</f>
        <v/>
      </c>
      <c r="I988" s="36">
        <f>IF(OR(G988="",H988=""),"",TRIM(IF(HOUR(H988-G988)&gt;0,HOUR(H988-G988)&amp;" hr ","")&amp;IF(MINUTE(H988-G988)&gt;0,MINUTE(H988-G988)&amp;" min","")))</f>
        <v/>
      </c>
      <c r="J988" s="66" t="n"/>
      <c r="K988" s="70" t="n"/>
      <c r="L988" s="36">
        <f>IF(R988="","",IF(INDEX('Recurring Schedule'!$J$6:$J$45,R988)="","",INDEX('Recurring Schedule'!$J$6:$J$45,R988)))</f>
        <v/>
      </c>
      <c r="M988" s="36">
        <f>IF(R988="","",IF(INDEX('Recurring Schedule'!$K$6:$K$45,R988)="","",INDEX('Recurring Schedule'!$K$6:$K$45,R988)))</f>
        <v/>
      </c>
      <c r="N988" s="36">
        <f>IF(R988="","",IF(INDEX('Recurring Schedule'!$L$6:$L$45,R988)="","",INDEX('Recurring Schedule'!$L$6:$L$45,R988)))</f>
        <v/>
      </c>
      <c r="O988" s="36">
        <f>IF(C988="","",IF(AND(OR(L988="1-Urgent",L988="2-High"),M988="✓"),"DO FIRST",IF(M988="✓","SCHEDULE",IF(OR(L988="1-Urgent",L988="2-High"),"DELEGATE","DELETE"))))</f>
        <v/>
      </c>
      <c r="P988" s="65" t="n"/>
      <c r="Q988">
        <f>IF(983&gt;Calc!$AQ$368,"",MATCH(982,Calc!$AQ$2:$AQ$367,1))</f>
        <v/>
      </c>
      <c r="R988">
        <f>IF(Q988="","",SMALL(INDEX(Calc!$B$2:$AO$367,Q988,0),983-INDEX(Calc!$AQ$2:$AQ$367,Q988)))</f>
        <v/>
      </c>
    </row>
    <row r="989">
      <c r="B989" s="71">
        <f>IF(R989="","",984)</f>
        <v/>
      </c>
      <c r="C989" s="75">
        <f>IF(R989="","",IF(INDEX('Recurring Schedule'!$C$6:$C$45,R989)="","",INDEX('Recurring Schedule'!$C$6:$C$45,R989)))</f>
        <v/>
      </c>
      <c r="D989" s="73">
        <f>IF(R989="","",IF(INDEX('Recurring Schedule'!$D$6:$D$45,R989)="","",INDEX('Recurring Schedule'!$D$6:$D$45,R989)))</f>
        <v/>
      </c>
      <c r="E989" s="76">
        <f>IF(Q989="","",INDEX(Calc!$A$2:$A$367,Q989))</f>
        <v/>
      </c>
      <c r="F989" s="72">
        <f>IF(OR(C989="",E989=""),"",E989-Setup!$D$7)</f>
        <v/>
      </c>
      <c r="G989" s="77">
        <f>IF(R989="","",IF(INDEX('Recurring Schedule'!$H$6:$H$45,R989)="","",INDEX('Recurring Schedule'!$H$6:$H$45,R989)))</f>
        <v/>
      </c>
      <c r="H989" s="77">
        <f>IF(R989="","",IF(INDEX('Recurring Schedule'!$I$6:$I$45,R989)="","",INDEX('Recurring Schedule'!$I$6:$I$45,R989)))</f>
        <v/>
      </c>
      <c r="I989" s="73">
        <f>IF(OR(G989="",H989=""),"",TRIM(IF(HOUR(H989-G989)&gt;0,HOUR(H989-G989)&amp;" hr ","")&amp;IF(MINUTE(H989-G989)&gt;0,MINUTE(H989-G989)&amp;" min","")))</f>
        <v/>
      </c>
      <c r="J989" s="66" t="n"/>
      <c r="K989" s="70" t="n"/>
      <c r="L989" s="73">
        <f>IF(R989="","",IF(INDEX('Recurring Schedule'!$J$6:$J$45,R989)="","",INDEX('Recurring Schedule'!$J$6:$J$45,R989)))</f>
        <v/>
      </c>
      <c r="M989" s="73">
        <f>IF(R989="","",IF(INDEX('Recurring Schedule'!$K$6:$K$45,R989)="","",INDEX('Recurring Schedule'!$K$6:$K$45,R989)))</f>
        <v/>
      </c>
      <c r="N989" s="73">
        <f>IF(R989="","",IF(INDEX('Recurring Schedule'!$L$6:$L$45,R989)="","",INDEX('Recurring Schedule'!$L$6:$L$45,R989)))</f>
        <v/>
      </c>
      <c r="O989" s="73">
        <f>IF(C989="","",IF(AND(OR(L989="1-Urgent",L989="2-High"),M989="✓"),"DO FIRST",IF(M989="✓","SCHEDULE",IF(OR(L989="1-Urgent",L989="2-High"),"DELEGATE","DELETE"))))</f>
        <v/>
      </c>
      <c r="P989" s="65" t="n"/>
      <c r="Q989">
        <f>IF(984&gt;Calc!$AQ$368,"",MATCH(983,Calc!$AQ$2:$AQ$367,1))</f>
        <v/>
      </c>
      <c r="R989">
        <f>IF(Q989="","",SMALL(INDEX(Calc!$B$2:$AO$367,Q989,0),984-INDEX(Calc!$AQ$2:$AQ$367,Q989)))</f>
        <v/>
      </c>
    </row>
    <row r="990">
      <c r="B990" s="64">
        <f>IF(R990="","",985)</f>
        <v/>
      </c>
      <c r="C990" s="37">
        <f>IF(R990="","",IF(INDEX('Recurring Schedule'!$C$6:$C$45,R990)="","",INDEX('Recurring Schedule'!$C$6:$C$45,R990)))</f>
        <v/>
      </c>
      <c r="D990" s="36">
        <f>IF(R990="","",IF(INDEX('Recurring Schedule'!$D$6:$D$45,R990)="","",INDEX('Recurring Schedule'!$D$6:$D$45,R990)))</f>
        <v/>
      </c>
      <c r="E990" s="38">
        <f>IF(Q990="","",INDEX(Calc!$A$2:$A$367,Q990))</f>
        <v/>
      </c>
      <c r="F990" s="68">
        <f>IF(OR(C990="",E990=""),"",E990-Setup!$D$7)</f>
        <v/>
      </c>
      <c r="G990" s="74">
        <f>IF(R990="","",IF(INDEX('Recurring Schedule'!$H$6:$H$45,R990)="","",INDEX('Recurring Schedule'!$H$6:$H$45,R990)))</f>
        <v/>
      </c>
      <c r="H990" s="74">
        <f>IF(R990="","",IF(INDEX('Recurring Schedule'!$I$6:$I$45,R990)="","",INDEX('Recurring Schedule'!$I$6:$I$45,R990)))</f>
        <v/>
      </c>
      <c r="I990" s="36">
        <f>IF(OR(G990="",H990=""),"",TRIM(IF(HOUR(H990-G990)&gt;0,HOUR(H990-G990)&amp;" hr ","")&amp;IF(MINUTE(H990-G990)&gt;0,MINUTE(H990-G990)&amp;" min","")))</f>
        <v/>
      </c>
      <c r="J990" s="66" t="n"/>
      <c r="K990" s="70" t="n"/>
      <c r="L990" s="36">
        <f>IF(R990="","",IF(INDEX('Recurring Schedule'!$J$6:$J$45,R990)="","",INDEX('Recurring Schedule'!$J$6:$J$45,R990)))</f>
        <v/>
      </c>
      <c r="M990" s="36">
        <f>IF(R990="","",IF(INDEX('Recurring Schedule'!$K$6:$K$45,R990)="","",INDEX('Recurring Schedule'!$K$6:$K$45,R990)))</f>
        <v/>
      </c>
      <c r="N990" s="36">
        <f>IF(R990="","",IF(INDEX('Recurring Schedule'!$L$6:$L$45,R990)="","",INDEX('Recurring Schedule'!$L$6:$L$45,R990)))</f>
        <v/>
      </c>
      <c r="O990" s="36">
        <f>IF(C990="","",IF(AND(OR(L990="1-Urgent",L990="2-High"),M990="✓"),"DO FIRST",IF(M990="✓","SCHEDULE",IF(OR(L990="1-Urgent",L990="2-High"),"DELEGATE","DELETE"))))</f>
        <v/>
      </c>
      <c r="P990" s="65" t="n"/>
      <c r="Q990">
        <f>IF(985&gt;Calc!$AQ$368,"",MATCH(984,Calc!$AQ$2:$AQ$367,1))</f>
        <v/>
      </c>
      <c r="R990">
        <f>IF(Q990="","",SMALL(INDEX(Calc!$B$2:$AO$367,Q990,0),985-INDEX(Calc!$AQ$2:$AQ$367,Q990)))</f>
        <v/>
      </c>
    </row>
    <row r="991">
      <c r="B991" s="71">
        <f>IF(R991="","",986)</f>
        <v/>
      </c>
      <c r="C991" s="75">
        <f>IF(R991="","",IF(INDEX('Recurring Schedule'!$C$6:$C$45,R991)="","",INDEX('Recurring Schedule'!$C$6:$C$45,R991)))</f>
        <v/>
      </c>
      <c r="D991" s="73">
        <f>IF(R991="","",IF(INDEX('Recurring Schedule'!$D$6:$D$45,R991)="","",INDEX('Recurring Schedule'!$D$6:$D$45,R991)))</f>
        <v/>
      </c>
      <c r="E991" s="76">
        <f>IF(Q991="","",INDEX(Calc!$A$2:$A$367,Q991))</f>
        <v/>
      </c>
      <c r="F991" s="72">
        <f>IF(OR(C991="",E991=""),"",E991-Setup!$D$7)</f>
        <v/>
      </c>
      <c r="G991" s="77">
        <f>IF(R991="","",IF(INDEX('Recurring Schedule'!$H$6:$H$45,R991)="","",INDEX('Recurring Schedule'!$H$6:$H$45,R991)))</f>
        <v/>
      </c>
      <c r="H991" s="77">
        <f>IF(R991="","",IF(INDEX('Recurring Schedule'!$I$6:$I$45,R991)="","",INDEX('Recurring Schedule'!$I$6:$I$45,R991)))</f>
        <v/>
      </c>
      <c r="I991" s="73">
        <f>IF(OR(G991="",H991=""),"",TRIM(IF(HOUR(H991-G991)&gt;0,HOUR(H991-G991)&amp;" hr ","")&amp;IF(MINUTE(H991-G991)&gt;0,MINUTE(H991-G991)&amp;" min","")))</f>
        <v/>
      </c>
      <c r="J991" s="66" t="n"/>
      <c r="K991" s="70" t="n"/>
      <c r="L991" s="73">
        <f>IF(R991="","",IF(INDEX('Recurring Schedule'!$J$6:$J$45,R991)="","",INDEX('Recurring Schedule'!$J$6:$J$45,R991)))</f>
        <v/>
      </c>
      <c r="M991" s="73">
        <f>IF(R991="","",IF(INDEX('Recurring Schedule'!$K$6:$K$45,R991)="","",INDEX('Recurring Schedule'!$K$6:$K$45,R991)))</f>
        <v/>
      </c>
      <c r="N991" s="73">
        <f>IF(R991="","",IF(INDEX('Recurring Schedule'!$L$6:$L$45,R991)="","",INDEX('Recurring Schedule'!$L$6:$L$45,R991)))</f>
        <v/>
      </c>
      <c r="O991" s="73">
        <f>IF(C991="","",IF(AND(OR(L991="1-Urgent",L991="2-High"),M991="✓"),"DO FIRST",IF(M991="✓","SCHEDULE",IF(OR(L991="1-Urgent",L991="2-High"),"DELEGATE","DELETE"))))</f>
        <v/>
      </c>
      <c r="P991" s="65" t="n"/>
      <c r="Q991">
        <f>IF(986&gt;Calc!$AQ$368,"",MATCH(985,Calc!$AQ$2:$AQ$367,1))</f>
        <v/>
      </c>
      <c r="R991">
        <f>IF(Q991="","",SMALL(INDEX(Calc!$B$2:$AO$367,Q991,0),986-INDEX(Calc!$AQ$2:$AQ$367,Q991)))</f>
        <v/>
      </c>
    </row>
    <row r="992">
      <c r="B992" s="64">
        <f>IF(R992="","",987)</f>
        <v/>
      </c>
      <c r="C992" s="37">
        <f>IF(R992="","",IF(INDEX('Recurring Schedule'!$C$6:$C$45,R992)="","",INDEX('Recurring Schedule'!$C$6:$C$45,R992)))</f>
        <v/>
      </c>
      <c r="D992" s="36">
        <f>IF(R992="","",IF(INDEX('Recurring Schedule'!$D$6:$D$45,R992)="","",INDEX('Recurring Schedule'!$D$6:$D$45,R992)))</f>
        <v/>
      </c>
      <c r="E992" s="38">
        <f>IF(Q992="","",INDEX(Calc!$A$2:$A$367,Q992))</f>
        <v/>
      </c>
      <c r="F992" s="68">
        <f>IF(OR(C992="",E992=""),"",E992-Setup!$D$7)</f>
        <v/>
      </c>
      <c r="G992" s="74">
        <f>IF(R992="","",IF(INDEX('Recurring Schedule'!$H$6:$H$45,R992)="","",INDEX('Recurring Schedule'!$H$6:$H$45,R992)))</f>
        <v/>
      </c>
      <c r="H992" s="74">
        <f>IF(R992="","",IF(INDEX('Recurring Schedule'!$I$6:$I$45,R992)="","",INDEX('Recurring Schedule'!$I$6:$I$45,R992)))</f>
        <v/>
      </c>
      <c r="I992" s="36">
        <f>IF(OR(G992="",H992=""),"",TRIM(IF(HOUR(H992-G992)&gt;0,HOUR(H992-G992)&amp;" hr ","")&amp;IF(MINUTE(H992-G992)&gt;0,MINUTE(H992-G992)&amp;" min","")))</f>
        <v/>
      </c>
      <c r="J992" s="66" t="n"/>
      <c r="K992" s="70" t="n"/>
      <c r="L992" s="36">
        <f>IF(R992="","",IF(INDEX('Recurring Schedule'!$J$6:$J$45,R992)="","",INDEX('Recurring Schedule'!$J$6:$J$45,R992)))</f>
        <v/>
      </c>
      <c r="M992" s="36">
        <f>IF(R992="","",IF(INDEX('Recurring Schedule'!$K$6:$K$45,R992)="","",INDEX('Recurring Schedule'!$K$6:$K$45,R992)))</f>
        <v/>
      </c>
      <c r="N992" s="36">
        <f>IF(R992="","",IF(INDEX('Recurring Schedule'!$L$6:$L$45,R992)="","",INDEX('Recurring Schedule'!$L$6:$L$45,R992)))</f>
        <v/>
      </c>
      <c r="O992" s="36">
        <f>IF(C992="","",IF(AND(OR(L992="1-Urgent",L992="2-High"),M992="✓"),"DO FIRST",IF(M992="✓","SCHEDULE",IF(OR(L992="1-Urgent",L992="2-High"),"DELEGATE","DELETE"))))</f>
        <v/>
      </c>
      <c r="P992" s="65" t="n"/>
      <c r="Q992">
        <f>IF(987&gt;Calc!$AQ$368,"",MATCH(986,Calc!$AQ$2:$AQ$367,1))</f>
        <v/>
      </c>
      <c r="R992">
        <f>IF(Q992="","",SMALL(INDEX(Calc!$B$2:$AO$367,Q992,0),987-INDEX(Calc!$AQ$2:$AQ$367,Q992)))</f>
        <v/>
      </c>
    </row>
    <row r="993">
      <c r="B993" s="71">
        <f>IF(R993="","",988)</f>
        <v/>
      </c>
      <c r="C993" s="75">
        <f>IF(R993="","",IF(INDEX('Recurring Schedule'!$C$6:$C$45,R993)="","",INDEX('Recurring Schedule'!$C$6:$C$45,R993)))</f>
        <v/>
      </c>
      <c r="D993" s="73">
        <f>IF(R993="","",IF(INDEX('Recurring Schedule'!$D$6:$D$45,R993)="","",INDEX('Recurring Schedule'!$D$6:$D$45,R993)))</f>
        <v/>
      </c>
      <c r="E993" s="76">
        <f>IF(Q993="","",INDEX(Calc!$A$2:$A$367,Q993))</f>
        <v/>
      </c>
      <c r="F993" s="72">
        <f>IF(OR(C993="",E993=""),"",E993-Setup!$D$7)</f>
        <v/>
      </c>
      <c r="G993" s="77">
        <f>IF(R993="","",IF(INDEX('Recurring Schedule'!$H$6:$H$45,R993)="","",INDEX('Recurring Schedule'!$H$6:$H$45,R993)))</f>
        <v/>
      </c>
      <c r="H993" s="77">
        <f>IF(R993="","",IF(INDEX('Recurring Schedule'!$I$6:$I$45,R993)="","",INDEX('Recurring Schedule'!$I$6:$I$45,R993)))</f>
        <v/>
      </c>
      <c r="I993" s="73">
        <f>IF(OR(G993="",H993=""),"",TRIM(IF(HOUR(H993-G993)&gt;0,HOUR(H993-G993)&amp;" hr ","")&amp;IF(MINUTE(H993-G993)&gt;0,MINUTE(H993-G993)&amp;" min","")))</f>
        <v/>
      </c>
      <c r="J993" s="66" t="n"/>
      <c r="K993" s="70" t="n"/>
      <c r="L993" s="73">
        <f>IF(R993="","",IF(INDEX('Recurring Schedule'!$J$6:$J$45,R993)="","",INDEX('Recurring Schedule'!$J$6:$J$45,R993)))</f>
        <v/>
      </c>
      <c r="M993" s="73">
        <f>IF(R993="","",IF(INDEX('Recurring Schedule'!$K$6:$K$45,R993)="","",INDEX('Recurring Schedule'!$K$6:$K$45,R993)))</f>
        <v/>
      </c>
      <c r="N993" s="73">
        <f>IF(R993="","",IF(INDEX('Recurring Schedule'!$L$6:$L$45,R993)="","",INDEX('Recurring Schedule'!$L$6:$L$45,R993)))</f>
        <v/>
      </c>
      <c r="O993" s="73">
        <f>IF(C993="","",IF(AND(OR(L993="1-Urgent",L993="2-High"),M993="✓"),"DO FIRST",IF(M993="✓","SCHEDULE",IF(OR(L993="1-Urgent",L993="2-High"),"DELEGATE","DELETE"))))</f>
        <v/>
      </c>
      <c r="P993" s="65" t="n"/>
      <c r="Q993">
        <f>IF(988&gt;Calc!$AQ$368,"",MATCH(987,Calc!$AQ$2:$AQ$367,1))</f>
        <v/>
      </c>
      <c r="R993">
        <f>IF(Q993="","",SMALL(INDEX(Calc!$B$2:$AO$367,Q993,0),988-INDEX(Calc!$AQ$2:$AQ$367,Q993)))</f>
        <v/>
      </c>
    </row>
    <row r="994">
      <c r="B994" s="64">
        <f>IF(R994="","",989)</f>
        <v/>
      </c>
      <c r="C994" s="37">
        <f>IF(R994="","",IF(INDEX('Recurring Schedule'!$C$6:$C$45,R994)="","",INDEX('Recurring Schedule'!$C$6:$C$45,R994)))</f>
        <v/>
      </c>
      <c r="D994" s="36">
        <f>IF(R994="","",IF(INDEX('Recurring Schedule'!$D$6:$D$45,R994)="","",INDEX('Recurring Schedule'!$D$6:$D$45,R994)))</f>
        <v/>
      </c>
      <c r="E994" s="38">
        <f>IF(Q994="","",INDEX(Calc!$A$2:$A$367,Q994))</f>
        <v/>
      </c>
      <c r="F994" s="68">
        <f>IF(OR(C994="",E994=""),"",E994-Setup!$D$7)</f>
        <v/>
      </c>
      <c r="G994" s="74">
        <f>IF(R994="","",IF(INDEX('Recurring Schedule'!$H$6:$H$45,R994)="","",INDEX('Recurring Schedule'!$H$6:$H$45,R994)))</f>
        <v/>
      </c>
      <c r="H994" s="74">
        <f>IF(R994="","",IF(INDEX('Recurring Schedule'!$I$6:$I$45,R994)="","",INDEX('Recurring Schedule'!$I$6:$I$45,R994)))</f>
        <v/>
      </c>
      <c r="I994" s="36">
        <f>IF(OR(G994="",H994=""),"",TRIM(IF(HOUR(H994-G994)&gt;0,HOUR(H994-G994)&amp;" hr ","")&amp;IF(MINUTE(H994-G994)&gt;0,MINUTE(H994-G994)&amp;" min","")))</f>
        <v/>
      </c>
      <c r="J994" s="66" t="n"/>
      <c r="K994" s="70" t="n"/>
      <c r="L994" s="36">
        <f>IF(R994="","",IF(INDEX('Recurring Schedule'!$J$6:$J$45,R994)="","",INDEX('Recurring Schedule'!$J$6:$J$45,R994)))</f>
        <v/>
      </c>
      <c r="M994" s="36">
        <f>IF(R994="","",IF(INDEX('Recurring Schedule'!$K$6:$K$45,R994)="","",INDEX('Recurring Schedule'!$K$6:$K$45,R994)))</f>
        <v/>
      </c>
      <c r="N994" s="36">
        <f>IF(R994="","",IF(INDEX('Recurring Schedule'!$L$6:$L$45,R994)="","",INDEX('Recurring Schedule'!$L$6:$L$45,R994)))</f>
        <v/>
      </c>
      <c r="O994" s="36">
        <f>IF(C994="","",IF(AND(OR(L994="1-Urgent",L994="2-High"),M994="✓"),"DO FIRST",IF(M994="✓","SCHEDULE",IF(OR(L994="1-Urgent",L994="2-High"),"DELEGATE","DELETE"))))</f>
        <v/>
      </c>
      <c r="P994" s="65" t="n"/>
      <c r="Q994">
        <f>IF(989&gt;Calc!$AQ$368,"",MATCH(988,Calc!$AQ$2:$AQ$367,1))</f>
        <v/>
      </c>
      <c r="R994">
        <f>IF(Q994="","",SMALL(INDEX(Calc!$B$2:$AO$367,Q994,0),989-INDEX(Calc!$AQ$2:$AQ$367,Q994)))</f>
        <v/>
      </c>
    </row>
    <row r="995">
      <c r="B995" s="71">
        <f>IF(R995="","",990)</f>
        <v/>
      </c>
      <c r="C995" s="75">
        <f>IF(R995="","",IF(INDEX('Recurring Schedule'!$C$6:$C$45,R995)="","",INDEX('Recurring Schedule'!$C$6:$C$45,R995)))</f>
        <v/>
      </c>
      <c r="D995" s="73">
        <f>IF(R995="","",IF(INDEX('Recurring Schedule'!$D$6:$D$45,R995)="","",INDEX('Recurring Schedule'!$D$6:$D$45,R995)))</f>
        <v/>
      </c>
      <c r="E995" s="76">
        <f>IF(Q995="","",INDEX(Calc!$A$2:$A$367,Q995))</f>
        <v/>
      </c>
      <c r="F995" s="72">
        <f>IF(OR(C995="",E995=""),"",E995-Setup!$D$7)</f>
        <v/>
      </c>
      <c r="G995" s="77">
        <f>IF(R995="","",IF(INDEX('Recurring Schedule'!$H$6:$H$45,R995)="","",INDEX('Recurring Schedule'!$H$6:$H$45,R995)))</f>
        <v/>
      </c>
      <c r="H995" s="77">
        <f>IF(R995="","",IF(INDEX('Recurring Schedule'!$I$6:$I$45,R995)="","",INDEX('Recurring Schedule'!$I$6:$I$45,R995)))</f>
        <v/>
      </c>
      <c r="I995" s="73">
        <f>IF(OR(G995="",H995=""),"",TRIM(IF(HOUR(H995-G995)&gt;0,HOUR(H995-G995)&amp;" hr ","")&amp;IF(MINUTE(H995-G995)&gt;0,MINUTE(H995-G995)&amp;" min","")))</f>
        <v/>
      </c>
      <c r="J995" s="66" t="n"/>
      <c r="K995" s="70" t="n"/>
      <c r="L995" s="73">
        <f>IF(R995="","",IF(INDEX('Recurring Schedule'!$J$6:$J$45,R995)="","",INDEX('Recurring Schedule'!$J$6:$J$45,R995)))</f>
        <v/>
      </c>
      <c r="M995" s="73">
        <f>IF(R995="","",IF(INDEX('Recurring Schedule'!$K$6:$K$45,R995)="","",INDEX('Recurring Schedule'!$K$6:$K$45,R995)))</f>
        <v/>
      </c>
      <c r="N995" s="73">
        <f>IF(R995="","",IF(INDEX('Recurring Schedule'!$L$6:$L$45,R995)="","",INDEX('Recurring Schedule'!$L$6:$L$45,R995)))</f>
        <v/>
      </c>
      <c r="O995" s="73">
        <f>IF(C995="","",IF(AND(OR(L995="1-Urgent",L995="2-High"),M995="✓"),"DO FIRST",IF(M995="✓","SCHEDULE",IF(OR(L995="1-Urgent",L995="2-High"),"DELEGATE","DELETE"))))</f>
        <v/>
      </c>
      <c r="P995" s="65" t="n"/>
      <c r="Q995">
        <f>IF(990&gt;Calc!$AQ$368,"",MATCH(989,Calc!$AQ$2:$AQ$367,1))</f>
        <v/>
      </c>
      <c r="R995">
        <f>IF(Q995="","",SMALL(INDEX(Calc!$B$2:$AO$367,Q995,0),990-INDEX(Calc!$AQ$2:$AQ$367,Q995)))</f>
        <v/>
      </c>
    </row>
    <row r="996">
      <c r="B996" s="64">
        <f>IF(R996="","",991)</f>
        <v/>
      </c>
      <c r="C996" s="37">
        <f>IF(R996="","",IF(INDEX('Recurring Schedule'!$C$6:$C$45,R996)="","",INDEX('Recurring Schedule'!$C$6:$C$45,R996)))</f>
        <v/>
      </c>
      <c r="D996" s="36">
        <f>IF(R996="","",IF(INDEX('Recurring Schedule'!$D$6:$D$45,R996)="","",INDEX('Recurring Schedule'!$D$6:$D$45,R996)))</f>
        <v/>
      </c>
      <c r="E996" s="38">
        <f>IF(Q996="","",INDEX(Calc!$A$2:$A$367,Q996))</f>
        <v/>
      </c>
      <c r="F996" s="68">
        <f>IF(OR(C996="",E996=""),"",E996-Setup!$D$7)</f>
        <v/>
      </c>
      <c r="G996" s="74">
        <f>IF(R996="","",IF(INDEX('Recurring Schedule'!$H$6:$H$45,R996)="","",INDEX('Recurring Schedule'!$H$6:$H$45,R996)))</f>
        <v/>
      </c>
      <c r="H996" s="74">
        <f>IF(R996="","",IF(INDEX('Recurring Schedule'!$I$6:$I$45,R996)="","",INDEX('Recurring Schedule'!$I$6:$I$45,R996)))</f>
        <v/>
      </c>
      <c r="I996" s="36">
        <f>IF(OR(G996="",H996=""),"",TRIM(IF(HOUR(H996-G996)&gt;0,HOUR(H996-G996)&amp;" hr ","")&amp;IF(MINUTE(H996-G996)&gt;0,MINUTE(H996-G996)&amp;" min","")))</f>
        <v/>
      </c>
      <c r="J996" s="66" t="n"/>
      <c r="K996" s="70" t="n"/>
      <c r="L996" s="36">
        <f>IF(R996="","",IF(INDEX('Recurring Schedule'!$J$6:$J$45,R996)="","",INDEX('Recurring Schedule'!$J$6:$J$45,R996)))</f>
        <v/>
      </c>
      <c r="M996" s="36">
        <f>IF(R996="","",IF(INDEX('Recurring Schedule'!$K$6:$K$45,R996)="","",INDEX('Recurring Schedule'!$K$6:$K$45,R996)))</f>
        <v/>
      </c>
      <c r="N996" s="36">
        <f>IF(R996="","",IF(INDEX('Recurring Schedule'!$L$6:$L$45,R996)="","",INDEX('Recurring Schedule'!$L$6:$L$45,R996)))</f>
        <v/>
      </c>
      <c r="O996" s="36">
        <f>IF(C996="","",IF(AND(OR(L996="1-Urgent",L996="2-High"),M996="✓"),"DO FIRST",IF(M996="✓","SCHEDULE",IF(OR(L996="1-Urgent",L996="2-High"),"DELEGATE","DELETE"))))</f>
        <v/>
      </c>
      <c r="P996" s="65" t="n"/>
      <c r="Q996">
        <f>IF(991&gt;Calc!$AQ$368,"",MATCH(990,Calc!$AQ$2:$AQ$367,1))</f>
        <v/>
      </c>
      <c r="R996">
        <f>IF(Q996="","",SMALL(INDEX(Calc!$B$2:$AO$367,Q996,0),991-INDEX(Calc!$AQ$2:$AQ$367,Q996)))</f>
        <v/>
      </c>
    </row>
    <row r="997">
      <c r="B997" s="71">
        <f>IF(R997="","",992)</f>
        <v/>
      </c>
      <c r="C997" s="75">
        <f>IF(R997="","",IF(INDEX('Recurring Schedule'!$C$6:$C$45,R997)="","",INDEX('Recurring Schedule'!$C$6:$C$45,R997)))</f>
        <v/>
      </c>
      <c r="D997" s="73">
        <f>IF(R997="","",IF(INDEX('Recurring Schedule'!$D$6:$D$45,R997)="","",INDEX('Recurring Schedule'!$D$6:$D$45,R997)))</f>
        <v/>
      </c>
      <c r="E997" s="76">
        <f>IF(Q997="","",INDEX(Calc!$A$2:$A$367,Q997))</f>
        <v/>
      </c>
      <c r="F997" s="72">
        <f>IF(OR(C997="",E997=""),"",E997-Setup!$D$7)</f>
        <v/>
      </c>
      <c r="G997" s="77">
        <f>IF(R997="","",IF(INDEX('Recurring Schedule'!$H$6:$H$45,R997)="","",INDEX('Recurring Schedule'!$H$6:$H$45,R997)))</f>
        <v/>
      </c>
      <c r="H997" s="77">
        <f>IF(R997="","",IF(INDEX('Recurring Schedule'!$I$6:$I$45,R997)="","",INDEX('Recurring Schedule'!$I$6:$I$45,R997)))</f>
        <v/>
      </c>
      <c r="I997" s="73">
        <f>IF(OR(G997="",H997=""),"",TRIM(IF(HOUR(H997-G997)&gt;0,HOUR(H997-G997)&amp;" hr ","")&amp;IF(MINUTE(H997-G997)&gt;0,MINUTE(H997-G997)&amp;" min","")))</f>
        <v/>
      </c>
      <c r="J997" s="66" t="n"/>
      <c r="K997" s="70" t="n"/>
      <c r="L997" s="73">
        <f>IF(R997="","",IF(INDEX('Recurring Schedule'!$J$6:$J$45,R997)="","",INDEX('Recurring Schedule'!$J$6:$J$45,R997)))</f>
        <v/>
      </c>
      <c r="M997" s="73">
        <f>IF(R997="","",IF(INDEX('Recurring Schedule'!$K$6:$K$45,R997)="","",INDEX('Recurring Schedule'!$K$6:$K$45,R997)))</f>
        <v/>
      </c>
      <c r="N997" s="73">
        <f>IF(R997="","",IF(INDEX('Recurring Schedule'!$L$6:$L$45,R997)="","",INDEX('Recurring Schedule'!$L$6:$L$45,R997)))</f>
        <v/>
      </c>
      <c r="O997" s="73">
        <f>IF(C997="","",IF(AND(OR(L997="1-Urgent",L997="2-High"),M997="✓"),"DO FIRST",IF(M997="✓","SCHEDULE",IF(OR(L997="1-Urgent",L997="2-High"),"DELEGATE","DELETE"))))</f>
        <v/>
      </c>
      <c r="P997" s="65" t="n"/>
      <c r="Q997">
        <f>IF(992&gt;Calc!$AQ$368,"",MATCH(991,Calc!$AQ$2:$AQ$367,1))</f>
        <v/>
      </c>
      <c r="R997">
        <f>IF(Q997="","",SMALL(INDEX(Calc!$B$2:$AO$367,Q997,0),992-INDEX(Calc!$AQ$2:$AQ$367,Q997)))</f>
        <v/>
      </c>
    </row>
    <row r="998">
      <c r="B998" s="64">
        <f>IF(R998="","",993)</f>
        <v/>
      </c>
      <c r="C998" s="37">
        <f>IF(R998="","",IF(INDEX('Recurring Schedule'!$C$6:$C$45,R998)="","",INDEX('Recurring Schedule'!$C$6:$C$45,R998)))</f>
        <v/>
      </c>
      <c r="D998" s="36">
        <f>IF(R998="","",IF(INDEX('Recurring Schedule'!$D$6:$D$45,R998)="","",INDEX('Recurring Schedule'!$D$6:$D$45,R998)))</f>
        <v/>
      </c>
      <c r="E998" s="38">
        <f>IF(Q998="","",INDEX(Calc!$A$2:$A$367,Q998))</f>
        <v/>
      </c>
      <c r="F998" s="68">
        <f>IF(OR(C998="",E998=""),"",E998-Setup!$D$7)</f>
        <v/>
      </c>
      <c r="G998" s="74">
        <f>IF(R998="","",IF(INDEX('Recurring Schedule'!$H$6:$H$45,R998)="","",INDEX('Recurring Schedule'!$H$6:$H$45,R998)))</f>
        <v/>
      </c>
      <c r="H998" s="74">
        <f>IF(R998="","",IF(INDEX('Recurring Schedule'!$I$6:$I$45,R998)="","",INDEX('Recurring Schedule'!$I$6:$I$45,R998)))</f>
        <v/>
      </c>
      <c r="I998" s="36">
        <f>IF(OR(G998="",H998=""),"",TRIM(IF(HOUR(H998-G998)&gt;0,HOUR(H998-G998)&amp;" hr ","")&amp;IF(MINUTE(H998-G998)&gt;0,MINUTE(H998-G998)&amp;" min","")))</f>
        <v/>
      </c>
      <c r="J998" s="66" t="n"/>
      <c r="K998" s="70" t="n"/>
      <c r="L998" s="36">
        <f>IF(R998="","",IF(INDEX('Recurring Schedule'!$J$6:$J$45,R998)="","",INDEX('Recurring Schedule'!$J$6:$J$45,R998)))</f>
        <v/>
      </c>
      <c r="M998" s="36">
        <f>IF(R998="","",IF(INDEX('Recurring Schedule'!$K$6:$K$45,R998)="","",INDEX('Recurring Schedule'!$K$6:$K$45,R998)))</f>
        <v/>
      </c>
      <c r="N998" s="36">
        <f>IF(R998="","",IF(INDEX('Recurring Schedule'!$L$6:$L$45,R998)="","",INDEX('Recurring Schedule'!$L$6:$L$45,R998)))</f>
        <v/>
      </c>
      <c r="O998" s="36">
        <f>IF(C998="","",IF(AND(OR(L998="1-Urgent",L998="2-High"),M998="✓"),"DO FIRST",IF(M998="✓","SCHEDULE",IF(OR(L998="1-Urgent",L998="2-High"),"DELEGATE","DELETE"))))</f>
        <v/>
      </c>
      <c r="P998" s="65" t="n"/>
      <c r="Q998">
        <f>IF(993&gt;Calc!$AQ$368,"",MATCH(992,Calc!$AQ$2:$AQ$367,1))</f>
        <v/>
      </c>
      <c r="R998">
        <f>IF(Q998="","",SMALL(INDEX(Calc!$B$2:$AO$367,Q998,0),993-INDEX(Calc!$AQ$2:$AQ$367,Q998)))</f>
        <v/>
      </c>
    </row>
    <row r="999">
      <c r="B999" s="71">
        <f>IF(R999="","",994)</f>
        <v/>
      </c>
      <c r="C999" s="75">
        <f>IF(R999="","",IF(INDEX('Recurring Schedule'!$C$6:$C$45,R999)="","",INDEX('Recurring Schedule'!$C$6:$C$45,R999)))</f>
        <v/>
      </c>
      <c r="D999" s="73">
        <f>IF(R999="","",IF(INDEX('Recurring Schedule'!$D$6:$D$45,R999)="","",INDEX('Recurring Schedule'!$D$6:$D$45,R999)))</f>
        <v/>
      </c>
      <c r="E999" s="76">
        <f>IF(Q999="","",INDEX(Calc!$A$2:$A$367,Q999))</f>
        <v/>
      </c>
      <c r="F999" s="72">
        <f>IF(OR(C999="",E999=""),"",E999-Setup!$D$7)</f>
        <v/>
      </c>
      <c r="G999" s="77">
        <f>IF(R999="","",IF(INDEX('Recurring Schedule'!$H$6:$H$45,R999)="","",INDEX('Recurring Schedule'!$H$6:$H$45,R999)))</f>
        <v/>
      </c>
      <c r="H999" s="77">
        <f>IF(R999="","",IF(INDEX('Recurring Schedule'!$I$6:$I$45,R999)="","",INDEX('Recurring Schedule'!$I$6:$I$45,R999)))</f>
        <v/>
      </c>
      <c r="I999" s="73">
        <f>IF(OR(G999="",H999=""),"",TRIM(IF(HOUR(H999-G999)&gt;0,HOUR(H999-G999)&amp;" hr ","")&amp;IF(MINUTE(H999-G999)&gt;0,MINUTE(H999-G999)&amp;" min","")))</f>
        <v/>
      </c>
      <c r="J999" s="66" t="n"/>
      <c r="K999" s="70" t="n"/>
      <c r="L999" s="73">
        <f>IF(R999="","",IF(INDEX('Recurring Schedule'!$J$6:$J$45,R999)="","",INDEX('Recurring Schedule'!$J$6:$J$45,R999)))</f>
        <v/>
      </c>
      <c r="M999" s="73">
        <f>IF(R999="","",IF(INDEX('Recurring Schedule'!$K$6:$K$45,R999)="","",INDEX('Recurring Schedule'!$K$6:$K$45,R999)))</f>
        <v/>
      </c>
      <c r="N999" s="73">
        <f>IF(R999="","",IF(INDEX('Recurring Schedule'!$L$6:$L$45,R999)="","",INDEX('Recurring Schedule'!$L$6:$L$45,R999)))</f>
        <v/>
      </c>
      <c r="O999" s="73">
        <f>IF(C999="","",IF(AND(OR(L999="1-Urgent",L999="2-High"),M999="✓"),"DO FIRST",IF(M999="✓","SCHEDULE",IF(OR(L999="1-Urgent",L999="2-High"),"DELEGATE","DELETE"))))</f>
        <v/>
      </c>
      <c r="P999" s="65" t="n"/>
      <c r="Q999">
        <f>IF(994&gt;Calc!$AQ$368,"",MATCH(993,Calc!$AQ$2:$AQ$367,1))</f>
        <v/>
      </c>
      <c r="R999">
        <f>IF(Q999="","",SMALL(INDEX(Calc!$B$2:$AO$367,Q999,0),994-INDEX(Calc!$AQ$2:$AQ$367,Q999)))</f>
        <v/>
      </c>
    </row>
    <row r="1000">
      <c r="B1000" s="64">
        <f>IF(R1000="","",995)</f>
        <v/>
      </c>
      <c r="C1000" s="37">
        <f>IF(R1000="","",IF(INDEX('Recurring Schedule'!$C$6:$C$45,R1000)="","",INDEX('Recurring Schedule'!$C$6:$C$45,R1000)))</f>
        <v/>
      </c>
      <c r="D1000" s="36">
        <f>IF(R1000="","",IF(INDEX('Recurring Schedule'!$D$6:$D$45,R1000)="","",INDEX('Recurring Schedule'!$D$6:$D$45,R1000)))</f>
        <v/>
      </c>
      <c r="E1000" s="38">
        <f>IF(Q1000="","",INDEX(Calc!$A$2:$A$367,Q1000))</f>
        <v/>
      </c>
      <c r="F1000" s="68">
        <f>IF(OR(C1000="",E1000=""),"",E1000-Setup!$D$7)</f>
        <v/>
      </c>
      <c r="G1000" s="74">
        <f>IF(R1000="","",IF(INDEX('Recurring Schedule'!$H$6:$H$45,R1000)="","",INDEX('Recurring Schedule'!$H$6:$H$45,R1000)))</f>
        <v/>
      </c>
      <c r="H1000" s="74">
        <f>IF(R1000="","",IF(INDEX('Recurring Schedule'!$I$6:$I$45,R1000)="","",INDEX('Recurring Schedule'!$I$6:$I$45,R1000)))</f>
        <v/>
      </c>
      <c r="I1000" s="36">
        <f>IF(OR(G1000="",H1000=""),"",TRIM(IF(HOUR(H1000-G1000)&gt;0,HOUR(H1000-G1000)&amp;" hr ","")&amp;IF(MINUTE(H1000-G1000)&gt;0,MINUTE(H1000-G1000)&amp;" min","")))</f>
        <v/>
      </c>
      <c r="J1000" s="66" t="n"/>
      <c r="K1000" s="70" t="n"/>
      <c r="L1000" s="36">
        <f>IF(R1000="","",IF(INDEX('Recurring Schedule'!$J$6:$J$45,R1000)="","",INDEX('Recurring Schedule'!$J$6:$J$45,R1000)))</f>
        <v/>
      </c>
      <c r="M1000" s="36">
        <f>IF(R1000="","",IF(INDEX('Recurring Schedule'!$K$6:$K$45,R1000)="","",INDEX('Recurring Schedule'!$K$6:$K$45,R1000)))</f>
        <v/>
      </c>
      <c r="N1000" s="36">
        <f>IF(R1000="","",IF(INDEX('Recurring Schedule'!$L$6:$L$45,R1000)="","",INDEX('Recurring Schedule'!$L$6:$L$45,R1000)))</f>
        <v/>
      </c>
      <c r="O1000" s="36">
        <f>IF(C1000="","",IF(AND(OR(L1000="1-Urgent",L1000="2-High"),M1000="✓"),"DO FIRST",IF(M1000="✓","SCHEDULE",IF(OR(L1000="1-Urgent",L1000="2-High"),"DELEGATE","DELETE"))))</f>
        <v/>
      </c>
      <c r="P1000" s="65" t="n"/>
      <c r="Q1000">
        <f>IF(995&gt;Calc!$AQ$368,"",MATCH(994,Calc!$AQ$2:$AQ$367,1))</f>
        <v/>
      </c>
      <c r="R1000">
        <f>IF(Q1000="","",SMALL(INDEX(Calc!$B$2:$AO$367,Q1000,0),995-INDEX(Calc!$AQ$2:$AQ$367,Q1000)))</f>
        <v/>
      </c>
    </row>
    <row r="1001">
      <c r="B1001" s="71">
        <f>IF(R1001="","",996)</f>
        <v/>
      </c>
      <c r="C1001" s="75">
        <f>IF(R1001="","",IF(INDEX('Recurring Schedule'!$C$6:$C$45,R1001)="","",INDEX('Recurring Schedule'!$C$6:$C$45,R1001)))</f>
        <v/>
      </c>
      <c r="D1001" s="73">
        <f>IF(R1001="","",IF(INDEX('Recurring Schedule'!$D$6:$D$45,R1001)="","",INDEX('Recurring Schedule'!$D$6:$D$45,R1001)))</f>
        <v/>
      </c>
      <c r="E1001" s="76">
        <f>IF(Q1001="","",INDEX(Calc!$A$2:$A$367,Q1001))</f>
        <v/>
      </c>
      <c r="F1001" s="72">
        <f>IF(OR(C1001="",E1001=""),"",E1001-Setup!$D$7)</f>
        <v/>
      </c>
      <c r="G1001" s="77">
        <f>IF(R1001="","",IF(INDEX('Recurring Schedule'!$H$6:$H$45,R1001)="","",INDEX('Recurring Schedule'!$H$6:$H$45,R1001)))</f>
        <v/>
      </c>
      <c r="H1001" s="77">
        <f>IF(R1001="","",IF(INDEX('Recurring Schedule'!$I$6:$I$45,R1001)="","",INDEX('Recurring Schedule'!$I$6:$I$45,R1001)))</f>
        <v/>
      </c>
      <c r="I1001" s="73">
        <f>IF(OR(G1001="",H1001=""),"",TRIM(IF(HOUR(H1001-G1001)&gt;0,HOUR(H1001-G1001)&amp;" hr ","")&amp;IF(MINUTE(H1001-G1001)&gt;0,MINUTE(H1001-G1001)&amp;" min","")))</f>
        <v/>
      </c>
      <c r="J1001" s="66" t="n"/>
      <c r="K1001" s="70" t="n"/>
      <c r="L1001" s="73">
        <f>IF(R1001="","",IF(INDEX('Recurring Schedule'!$J$6:$J$45,R1001)="","",INDEX('Recurring Schedule'!$J$6:$J$45,R1001)))</f>
        <v/>
      </c>
      <c r="M1001" s="73">
        <f>IF(R1001="","",IF(INDEX('Recurring Schedule'!$K$6:$K$45,R1001)="","",INDEX('Recurring Schedule'!$K$6:$K$45,R1001)))</f>
        <v/>
      </c>
      <c r="N1001" s="73">
        <f>IF(R1001="","",IF(INDEX('Recurring Schedule'!$L$6:$L$45,R1001)="","",INDEX('Recurring Schedule'!$L$6:$L$45,R1001)))</f>
        <v/>
      </c>
      <c r="O1001" s="73">
        <f>IF(C1001="","",IF(AND(OR(L1001="1-Urgent",L1001="2-High"),M1001="✓"),"DO FIRST",IF(M1001="✓","SCHEDULE",IF(OR(L1001="1-Urgent",L1001="2-High"),"DELEGATE","DELETE"))))</f>
        <v/>
      </c>
      <c r="P1001" s="65" t="n"/>
      <c r="Q1001">
        <f>IF(996&gt;Calc!$AQ$368,"",MATCH(995,Calc!$AQ$2:$AQ$367,1))</f>
        <v/>
      </c>
      <c r="R1001">
        <f>IF(Q1001="","",SMALL(INDEX(Calc!$B$2:$AO$367,Q1001,0),996-INDEX(Calc!$AQ$2:$AQ$367,Q1001)))</f>
        <v/>
      </c>
    </row>
    <row r="1002">
      <c r="B1002" s="64">
        <f>IF(R1002="","",997)</f>
        <v/>
      </c>
      <c r="C1002" s="37">
        <f>IF(R1002="","",IF(INDEX('Recurring Schedule'!$C$6:$C$45,R1002)="","",INDEX('Recurring Schedule'!$C$6:$C$45,R1002)))</f>
        <v/>
      </c>
      <c r="D1002" s="36">
        <f>IF(R1002="","",IF(INDEX('Recurring Schedule'!$D$6:$D$45,R1002)="","",INDEX('Recurring Schedule'!$D$6:$D$45,R1002)))</f>
        <v/>
      </c>
      <c r="E1002" s="38">
        <f>IF(Q1002="","",INDEX(Calc!$A$2:$A$367,Q1002))</f>
        <v/>
      </c>
      <c r="F1002" s="68">
        <f>IF(OR(C1002="",E1002=""),"",E1002-Setup!$D$7)</f>
        <v/>
      </c>
      <c r="G1002" s="74">
        <f>IF(R1002="","",IF(INDEX('Recurring Schedule'!$H$6:$H$45,R1002)="","",INDEX('Recurring Schedule'!$H$6:$H$45,R1002)))</f>
        <v/>
      </c>
      <c r="H1002" s="74">
        <f>IF(R1002="","",IF(INDEX('Recurring Schedule'!$I$6:$I$45,R1002)="","",INDEX('Recurring Schedule'!$I$6:$I$45,R1002)))</f>
        <v/>
      </c>
      <c r="I1002" s="36">
        <f>IF(OR(G1002="",H1002=""),"",TRIM(IF(HOUR(H1002-G1002)&gt;0,HOUR(H1002-G1002)&amp;" hr ","")&amp;IF(MINUTE(H1002-G1002)&gt;0,MINUTE(H1002-G1002)&amp;" min","")))</f>
        <v/>
      </c>
      <c r="J1002" s="66" t="n"/>
      <c r="K1002" s="70" t="n"/>
      <c r="L1002" s="36">
        <f>IF(R1002="","",IF(INDEX('Recurring Schedule'!$J$6:$J$45,R1002)="","",INDEX('Recurring Schedule'!$J$6:$J$45,R1002)))</f>
        <v/>
      </c>
      <c r="M1002" s="36">
        <f>IF(R1002="","",IF(INDEX('Recurring Schedule'!$K$6:$K$45,R1002)="","",INDEX('Recurring Schedule'!$K$6:$K$45,R1002)))</f>
        <v/>
      </c>
      <c r="N1002" s="36">
        <f>IF(R1002="","",IF(INDEX('Recurring Schedule'!$L$6:$L$45,R1002)="","",INDEX('Recurring Schedule'!$L$6:$L$45,R1002)))</f>
        <v/>
      </c>
      <c r="O1002" s="36">
        <f>IF(C1002="","",IF(AND(OR(L1002="1-Urgent",L1002="2-High"),M1002="✓"),"DO FIRST",IF(M1002="✓","SCHEDULE",IF(OR(L1002="1-Urgent",L1002="2-High"),"DELEGATE","DELETE"))))</f>
        <v/>
      </c>
      <c r="P1002" s="65" t="n"/>
      <c r="Q1002">
        <f>IF(997&gt;Calc!$AQ$368,"",MATCH(996,Calc!$AQ$2:$AQ$367,1))</f>
        <v/>
      </c>
      <c r="R1002">
        <f>IF(Q1002="","",SMALL(INDEX(Calc!$B$2:$AO$367,Q1002,0),997-INDEX(Calc!$AQ$2:$AQ$367,Q1002)))</f>
        <v/>
      </c>
    </row>
    <row r="1003">
      <c r="B1003" s="71">
        <f>IF(R1003="","",998)</f>
        <v/>
      </c>
      <c r="C1003" s="75">
        <f>IF(R1003="","",IF(INDEX('Recurring Schedule'!$C$6:$C$45,R1003)="","",INDEX('Recurring Schedule'!$C$6:$C$45,R1003)))</f>
        <v/>
      </c>
      <c r="D1003" s="73">
        <f>IF(R1003="","",IF(INDEX('Recurring Schedule'!$D$6:$D$45,R1003)="","",INDEX('Recurring Schedule'!$D$6:$D$45,R1003)))</f>
        <v/>
      </c>
      <c r="E1003" s="76">
        <f>IF(Q1003="","",INDEX(Calc!$A$2:$A$367,Q1003))</f>
        <v/>
      </c>
      <c r="F1003" s="72">
        <f>IF(OR(C1003="",E1003=""),"",E1003-Setup!$D$7)</f>
        <v/>
      </c>
      <c r="G1003" s="77">
        <f>IF(R1003="","",IF(INDEX('Recurring Schedule'!$H$6:$H$45,R1003)="","",INDEX('Recurring Schedule'!$H$6:$H$45,R1003)))</f>
        <v/>
      </c>
      <c r="H1003" s="77">
        <f>IF(R1003="","",IF(INDEX('Recurring Schedule'!$I$6:$I$45,R1003)="","",INDEX('Recurring Schedule'!$I$6:$I$45,R1003)))</f>
        <v/>
      </c>
      <c r="I1003" s="73">
        <f>IF(OR(G1003="",H1003=""),"",TRIM(IF(HOUR(H1003-G1003)&gt;0,HOUR(H1003-G1003)&amp;" hr ","")&amp;IF(MINUTE(H1003-G1003)&gt;0,MINUTE(H1003-G1003)&amp;" min","")))</f>
        <v/>
      </c>
      <c r="J1003" s="66" t="n"/>
      <c r="K1003" s="70" t="n"/>
      <c r="L1003" s="73">
        <f>IF(R1003="","",IF(INDEX('Recurring Schedule'!$J$6:$J$45,R1003)="","",INDEX('Recurring Schedule'!$J$6:$J$45,R1003)))</f>
        <v/>
      </c>
      <c r="M1003" s="73">
        <f>IF(R1003="","",IF(INDEX('Recurring Schedule'!$K$6:$K$45,R1003)="","",INDEX('Recurring Schedule'!$K$6:$K$45,R1003)))</f>
        <v/>
      </c>
      <c r="N1003" s="73">
        <f>IF(R1003="","",IF(INDEX('Recurring Schedule'!$L$6:$L$45,R1003)="","",INDEX('Recurring Schedule'!$L$6:$L$45,R1003)))</f>
        <v/>
      </c>
      <c r="O1003" s="73">
        <f>IF(C1003="","",IF(AND(OR(L1003="1-Urgent",L1003="2-High"),M1003="✓"),"DO FIRST",IF(M1003="✓","SCHEDULE",IF(OR(L1003="1-Urgent",L1003="2-High"),"DELEGATE","DELETE"))))</f>
        <v/>
      </c>
      <c r="P1003" s="65" t="n"/>
      <c r="Q1003">
        <f>IF(998&gt;Calc!$AQ$368,"",MATCH(997,Calc!$AQ$2:$AQ$367,1))</f>
        <v/>
      </c>
      <c r="R1003">
        <f>IF(Q1003="","",SMALL(INDEX(Calc!$B$2:$AO$367,Q1003,0),998-INDEX(Calc!$AQ$2:$AQ$367,Q1003)))</f>
        <v/>
      </c>
    </row>
    <row r="1004">
      <c r="B1004" s="64">
        <f>IF(R1004="","",999)</f>
        <v/>
      </c>
      <c r="C1004" s="37">
        <f>IF(R1004="","",IF(INDEX('Recurring Schedule'!$C$6:$C$45,R1004)="","",INDEX('Recurring Schedule'!$C$6:$C$45,R1004)))</f>
        <v/>
      </c>
      <c r="D1004" s="36">
        <f>IF(R1004="","",IF(INDEX('Recurring Schedule'!$D$6:$D$45,R1004)="","",INDEX('Recurring Schedule'!$D$6:$D$45,R1004)))</f>
        <v/>
      </c>
      <c r="E1004" s="38">
        <f>IF(Q1004="","",INDEX(Calc!$A$2:$A$367,Q1004))</f>
        <v/>
      </c>
      <c r="F1004" s="68">
        <f>IF(OR(C1004="",E1004=""),"",E1004-Setup!$D$7)</f>
        <v/>
      </c>
      <c r="G1004" s="74">
        <f>IF(R1004="","",IF(INDEX('Recurring Schedule'!$H$6:$H$45,R1004)="","",INDEX('Recurring Schedule'!$H$6:$H$45,R1004)))</f>
        <v/>
      </c>
      <c r="H1004" s="74">
        <f>IF(R1004="","",IF(INDEX('Recurring Schedule'!$I$6:$I$45,R1004)="","",INDEX('Recurring Schedule'!$I$6:$I$45,R1004)))</f>
        <v/>
      </c>
      <c r="I1004" s="36">
        <f>IF(OR(G1004="",H1004=""),"",TRIM(IF(HOUR(H1004-G1004)&gt;0,HOUR(H1004-G1004)&amp;" hr ","")&amp;IF(MINUTE(H1004-G1004)&gt;0,MINUTE(H1004-G1004)&amp;" min","")))</f>
        <v/>
      </c>
      <c r="J1004" s="66" t="n"/>
      <c r="K1004" s="70" t="n"/>
      <c r="L1004" s="36">
        <f>IF(R1004="","",IF(INDEX('Recurring Schedule'!$J$6:$J$45,R1004)="","",INDEX('Recurring Schedule'!$J$6:$J$45,R1004)))</f>
        <v/>
      </c>
      <c r="M1004" s="36">
        <f>IF(R1004="","",IF(INDEX('Recurring Schedule'!$K$6:$K$45,R1004)="","",INDEX('Recurring Schedule'!$K$6:$K$45,R1004)))</f>
        <v/>
      </c>
      <c r="N1004" s="36">
        <f>IF(R1004="","",IF(INDEX('Recurring Schedule'!$L$6:$L$45,R1004)="","",INDEX('Recurring Schedule'!$L$6:$L$45,R1004)))</f>
        <v/>
      </c>
      <c r="O1004" s="36">
        <f>IF(C1004="","",IF(AND(OR(L1004="1-Urgent",L1004="2-High"),M1004="✓"),"DO FIRST",IF(M1004="✓","SCHEDULE",IF(OR(L1004="1-Urgent",L1004="2-High"),"DELEGATE","DELETE"))))</f>
        <v/>
      </c>
      <c r="P1004" s="65" t="n"/>
      <c r="Q1004">
        <f>IF(999&gt;Calc!$AQ$368,"",MATCH(998,Calc!$AQ$2:$AQ$367,1))</f>
        <v/>
      </c>
      <c r="R1004">
        <f>IF(Q1004="","",SMALL(INDEX(Calc!$B$2:$AO$367,Q1004,0),999-INDEX(Calc!$AQ$2:$AQ$367,Q1004)))</f>
        <v/>
      </c>
    </row>
    <row r="1005">
      <c r="B1005" s="71">
        <f>IF(R1005="","",1000)</f>
        <v/>
      </c>
      <c r="C1005" s="75">
        <f>IF(R1005="","",IF(INDEX('Recurring Schedule'!$C$6:$C$45,R1005)="","",INDEX('Recurring Schedule'!$C$6:$C$45,R1005)))</f>
        <v/>
      </c>
      <c r="D1005" s="73">
        <f>IF(R1005="","",IF(INDEX('Recurring Schedule'!$D$6:$D$45,R1005)="","",INDEX('Recurring Schedule'!$D$6:$D$45,R1005)))</f>
        <v/>
      </c>
      <c r="E1005" s="76">
        <f>IF(Q1005="","",INDEX(Calc!$A$2:$A$367,Q1005))</f>
        <v/>
      </c>
      <c r="F1005" s="72">
        <f>IF(OR(C1005="",E1005=""),"",E1005-Setup!$D$7)</f>
        <v/>
      </c>
      <c r="G1005" s="77">
        <f>IF(R1005="","",IF(INDEX('Recurring Schedule'!$H$6:$H$45,R1005)="","",INDEX('Recurring Schedule'!$H$6:$H$45,R1005)))</f>
        <v/>
      </c>
      <c r="H1005" s="77">
        <f>IF(R1005="","",IF(INDEX('Recurring Schedule'!$I$6:$I$45,R1005)="","",INDEX('Recurring Schedule'!$I$6:$I$45,R1005)))</f>
        <v/>
      </c>
      <c r="I1005" s="73">
        <f>IF(OR(G1005="",H1005=""),"",TRIM(IF(HOUR(H1005-G1005)&gt;0,HOUR(H1005-G1005)&amp;" hr ","")&amp;IF(MINUTE(H1005-G1005)&gt;0,MINUTE(H1005-G1005)&amp;" min","")))</f>
        <v/>
      </c>
      <c r="J1005" s="66" t="n"/>
      <c r="K1005" s="70" t="n"/>
      <c r="L1005" s="73">
        <f>IF(R1005="","",IF(INDEX('Recurring Schedule'!$J$6:$J$45,R1005)="","",INDEX('Recurring Schedule'!$J$6:$J$45,R1005)))</f>
        <v/>
      </c>
      <c r="M1005" s="73">
        <f>IF(R1005="","",IF(INDEX('Recurring Schedule'!$K$6:$K$45,R1005)="","",INDEX('Recurring Schedule'!$K$6:$K$45,R1005)))</f>
        <v/>
      </c>
      <c r="N1005" s="73">
        <f>IF(R1005="","",IF(INDEX('Recurring Schedule'!$L$6:$L$45,R1005)="","",INDEX('Recurring Schedule'!$L$6:$L$45,R1005)))</f>
        <v/>
      </c>
      <c r="O1005" s="73">
        <f>IF(C1005="","",IF(AND(OR(L1005="1-Urgent",L1005="2-High"),M1005="✓"),"DO FIRST",IF(M1005="✓","SCHEDULE",IF(OR(L1005="1-Urgent",L1005="2-High"),"DELEGATE","DELETE"))))</f>
        <v/>
      </c>
      <c r="P1005" s="65" t="n"/>
      <c r="Q1005">
        <f>IF(1000&gt;Calc!$AQ$368,"",MATCH(999,Calc!$AQ$2:$AQ$367,1))</f>
        <v/>
      </c>
      <c r="R1005">
        <f>IF(Q1005="","",SMALL(INDEX(Calc!$B$2:$AO$367,Q1005,0),1000-INDEX(Calc!$AQ$2:$AQ$367,Q1005)))</f>
        <v/>
      </c>
    </row>
    <row r="1006">
      <c r="B1006" s="64">
        <f>IF(R1006="","",1001)</f>
        <v/>
      </c>
      <c r="C1006" s="37">
        <f>IF(R1006="","",IF(INDEX('Recurring Schedule'!$C$6:$C$45,R1006)="","",INDEX('Recurring Schedule'!$C$6:$C$45,R1006)))</f>
        <v/>
      </c>
      <c r="D1006" s="36">
        <f>IF(R1006="","",IF(INDEX('Recurring Schedule'!$D$6:$D$45,R1006)="","",INDEX('Recurring Schedule'!$D$6:$D$45,R1006)))</f>
        <v/>
      </c>
      <c r="E1006" s="38">
        <f>IF(Q1006="","",INDEX(Calc!$A$2:$A$367,Q1006))</f>
        <v/>
      </c>
      <c r="F1006" s="68">
        <f>IF(OR(C1006="",E1006=""),"",E1006-Setup!$D$7)</f>
        <v/>
      </c>
      <c r="G1006" s="74">
        <f>IF(R1006="","",IF(INDEX('Recurring Schedule'!$H$6:$H$45,R1006)="","",INDEX('Recurring Schedule'!$H$6:$H$45,R1006)))</f>
        <v/>
      </c>
      <c r="H1006" s="74">
        <f>IF(R1006="","",IF(INDEX('Recurring Schedule'!$I$6:$I$45,R1006)="","",INDEX('Recurring Schedule'!$I$6:$I$45,R1006)))</f>
        <v/>
      </c>
      <c r="I1006" s="36">
        <f>IF(OR(G1006="",H1006=""),"",TRIM(IF(HOUR(H1006-G1006)&gt;0,HOUR(H1006-G1006)&amp;" hr ","")&amp;IF(MINUTE(H1006-G1006)&gt;0,MINUTE(H1006-G1006)&amp;" min","")))</f>
        <v/>
      </c>
      <c r="J1006" s="66" t="n"/>
      <c r="K1006" s="70" t="n"/>
      <c r="L1006" s="36">
        <f>IF(R1006="","",IF(INDEX('Recurring Schedule'!$J$6:$J$45,R1006)="","",INDEX('Recurring Schedule'!$J$6:$J$45,R1006)))</f>
        <v/>
      </c>
      <c r="M1006" s="36">
        <f>IF(R1006="","",IF(INDEX('Recurring Schedule'!$K$6:$K$45,R1006)="","",INDEX('Recurring Schedule'!$K$6:$K$45,R1006)))</f>
        <v/>
      </c>
      <c r="N1006" s="36">
        <f>IF(R1006="","",IF(INDEX('Recurring Schedule'!$L$6:$L$45,R1006)="","",INDEX('Recurring Schedule'!$L$6:$L$45,R1006)))</f>
        <v/>
      </c>
      <c r="O1006" s="36">
        <f>IF(C1006="","",IF(AND(OR(L1006="1-Urgent",L1006="2-High"),M1006="✓"),"DO FIRST",IF(M1006="✓","SCHEDULE",IF(OR(L1006="1-Urgent",L1006="2-High"),"DELEGATE","DELETE"))))</f>
        <v/>
      </c>
      <c r="P1006" s="65" t="n"/>
      <c r="Q1006">
        <f>IF(1001&gt;Calc!$AQ$368,"",MATCH(1000,Calc!$AQ$2:$AQ$367,1))</f>
        <v/>
      </c>
      <c r="R1006">
        <f>IF(Q1006="","",SMALL(INDEX(Calc!$B$2:$AO$367,Q1006,0),1001-INDEX(Calc!$AQ$2:$AQ$367,Q1006)))</f>
        <v/>
      </c>
    </row>
    <row r="1007">
      <c r="B1007" s="71">
        <f>IF(R1007="","",1002)</f>
        <v/>
      </c>
      <c r="C1007" s="75">
        <f>IF(R1007="","",IF(INDEX('Recurring Schedule'!$C$6:$C$45,R1007)="","",INDEX('Recurring Schedule'!$C$6:$C$45,R1007)))</f>
        <v/>
      </c>
      <c r="D1007" s="73">
        <f>IF(R1007="","",IF(INDEX('Recurring Schedule'!$D$6:$D$45,R1007)="","",INDEX('Recurring Schedule'!$D$6:$D$45,R1007)))</f>
        <v/>
      </c>
      <c r="E1007" s="76">
        <f>IF(Q1007="","",INDEX(Calc!$A$2:$A$367,Q1007))</f>
        <v/>
      </c>
      <c r="F1007" s="72">
        <f>IF(OR(C1007="",E1007=""),"",E1007-Setup!$D$7)</f>
        <v/>
      </c>
      <c r="G1007" s="77">
        <f>IF(R1007="","",IF(INDEX('Recurring Schedule'!$H$6:$H$45,R1007)="","",INDEX('Recurring Schedule'!$H$6:$H$45,R1007)))</f>
        <v/>
      </c>
      <c r="H1007" s="77">
        <f>IF(R1007="","",IF(INDEX('Recurring Schedule'!$I$6:$I$45,R1007)="","",INDEX('Recurring Schedule'!$I$6:$I$45,R1007)))</f>
        <v/>
      </c>
      <c r="I1007" s="73">
        <f>IF(OR(G1007="",H1007=""),"",TRIM(IF(HOUR(H1007-G1007)&gt;0,HOUR(H1007-G1007)&amp;" hr ","")&amp;IF(MINUTE(H1007-G1007)&gt;0,MINUTE(H1007-G1007)&amp;" min","")))</f>
        <v/>
      </c>
      <c r="J1007" s="66" t="n"/>
      <c r="K1007" s="70" t="n"/>
      <c r="L1007" s="73">
        <f>IF(R1007="","",IF(INDEX('Recurring Schedule'!$J$6:$J$45,R1007)="","",INDEX('Recurring Schedule'!$J$6:$J$45,R1007)))</f>
        <v/>
      </c>
      <c r="M1007" s="73">
        <f>IF(R1007="","",IF(INDEX('Recurring Schedule'!$K$6:$K$45,R1007)="","",INDEX('Recurring Schedule'!$K$6:$K$45,R1007)))</f>
        <v/>
      </c>
      <c r="N1007" s="73">
        <f>IF(R1007="","",IF(INDEX('Recurring Schedule'!$L$6:$L$45,R1007)="","",INDEX('Recurring Schedule'!$L$6:$L$45,R1007)))</f>
        <v/>
      </c>
      <c r="O1007" s="73">
        <f>IF(C1007="","",IF(AND(OR(L1007="1-Urgent",L1007="2-High"),M1007="✓"),"DO FIRST",IF(M1007="✓","SCHEDULE",IF(OR(L1007="1-Urgent",L1007="2-High"),"DELEGATE","DELETE"))))</f>
        <v/>
      </c>
      <c r="P1007" s="65" t="n"/>
      <c r="Q1007">
        <f>IF(1002&gt;Calc!$AQ$368,"",MATCH(1001,Calc!$AQ$2:$AQ$367,1))</f>
        <v/>
      </c>
      <c r="R1007">
        <f>IF(Q1007="","",SMALL(INDEX(Calc!$B$2:$AO$367,Q1007,0),1002-INDEX(Calc!$AQ$2:$AQ$367,Q1007)))</f>
        <v/>
      </c>
    </row>
    <row r="1008">
      <c r="B1008" s="64">
        <f>IF(R1008="","",1003)</f>
        <v/>
      </c>
      <c r="C1008" s="37">
        <f>IF(R1008="","",IF(INDEX('Recurring Schedule'!$C$6:$C$45,R1008)="","",INDEX('Recurring Schedule'!$C$6:$C$45,R1008)))</f>
        <v/>
      </c>
      <c r="D1008" s="36">
        <f>IF(R1008="","",IF(INDEX('Recurring Schedule'!$D$6:$D$45,R1008)="","",INDEX('Recurring Schedule'!$D$6:$D$45,R1008)))</f>
        <v/>
      </c>
      <c r="E1008" s="38">
        <f>IF(Q1008="","",INDEX(Calc!$A$2:$A$367,Q1008))</f>
        <v/>
      </c>
      <c r="F1008" s="68">
        <f>IF(OR(C1008="",E1008=""),"",E1008-Setup!$D$7)</f>
        <v/>
      </c>
      <c r="G1008" s="74">
        <f>IF(R1008="","",IF(INDEX('Recurring Schedule'!$H$6:$H$45,R1008)="","",INDEX('Recurring Schedule'!$H$6:$H$45,R1008)))</f>
        <v/>
      </c>
      <c r="H1008" s="74">
        <f>IF(R1008="","",IF(INDEX('Recurring Schedule'!$I$6:$I$45,R1008)="","",INDEX('Recurring Schedule'!$I$6:$I$45,R1008)))</f>
        <v/>
      </c>
      <c r="I1008" s="36">
        <f>IF(OR(G1008="",H1008=""),"",TRIM(IF(HOUR(H1008-G1008)&gt;0,HOUR(H1008-G1008)&amp;" hr ","")&amp;IF(MINUTE(H1008-G1008)&gt;0,MINUTE(H1008-G1008)&amp;" min","")))</f>
        <v/>
      </c>
      <c r="J1008" s="66" t="n"/>
      <c r="K1008" s="70" t="n"/>
      <c r="L1008" s="36">
        <f>IF(R1008="","",IF(INDEX('Recurring Schedule'!$J$6:$J$45,R1008)="","",INDEX('Recurring Schedule'!$J$6:$J$45,R1008)))</f>
        <v/>
      </c>
      <c r="M1008" s="36">
        <f>IF(R1008="","",IF(INDEX('Recurring Schedule'!$K$6:$K$45,R1008)="","",INDEX('Recurring Schedule'!$K$6:$K$45,R1008)))</f>
        <v/>
      </c>
      <c r="N1008" s="36">
        <f>IF(R1008="","",IF(INDEX('Recurring Schedule'!$L$6:$L$45,R1008)="","",INDEX('Recurring Schedule'!$L$6:$L$45,R1008)))</f>
        <v/>
      </c>
      <c r="O1008" s="36">
        <f>IF(C1008="","",IF(AND(OR(L1008="1-Urgent",L1008="2-High"),M1008="✓"),"DO FIRST",IF(M1008="✓","SCHEDULE",IF(OR(L1008="1-Urgent",L1008="2-High"),"DELEGATE","DELETE"))))</f>
        <v/>
      </c>
      <c r="P1008" s="65" t="n"/>
      <c r="Q1008">
        <f>IF(1003&gt;Calc!$AQ$368,"",MATCH(1002,Calc!$AQ$2:$AQ$367,1))</f>
        <v/>
      </c>
      <c r="R1008">
        <f>IF(Q1008="","",SMALL(INDEX(Calc!$B$2:$AO$367,Q1008,0),1003-INDEX(Calc!$AQ$2:$AQ$367,Q1008)))</f>
        <v/>
      </c>
    </row>
    <row r="1009">
      <c r="B1009" s="71">
        <f>IF(R1009="","",1004)</f>
        <v/>
      </c>
      <c r="C1009" s="75">
        <f>IF(R1009="","",IF(INDEX('Recurring Schedule'!$C$6:$C$45,R1009)="","",INDEX('Recurring Schedule'!$C$6:$C$45,R1009)))</f>
        <v/>
      </c>
      <c r="D1009" s="73">
        <f>IF(R1009="","",IF(INDEX('Recurring Schedule'!$D$6:$D$45,R1009)="","",INDEX('Recurring Schedule'!$D$6:$D$45,R1009)))</f>
        <v/>
      </c>
      <c r="E1009" s="76">
        <f>IF(Q1009="","",INDEX(Calc!$A$2:$A$367,Q1009))</f>
        <v/>
      </c>
      <c r="F1009" s="72">
        <f>IF(OR(C1009="",E1009=""),"",E1009-Setup!$D$7)</f>
        <v/>
      </c>
      <c r="G1009" s="77">
        <f>IF(R1009="","",IF(INDEX('Recurring Schedule'!$H$6:$H$45,R1009)="","",INDEX('Recurring Schedule'!$H$6:$H$45,R1009)))</f>
        <v/>
      </c>
      <c r="H1009" s="77">
        <f>IF(R1009="","",IF(INDEX('Recurring Schedule'!$I$6:$I$45,R1009)="","",INDEX('Recurring Schedule'!$I$6:$I$45,R1009)))</f>
        <v/>
      </c>
      <c r="I1009" s="73">
        <f>IF(OR(G1009="",H1009=""),"",TRIM(IF(HOUR(H1009-G1009)&gt;0,HOUR(H1009-G1009)&amp;" hr ","")&amp;IF(MINUTE(H1009-G1009)&gt;0,MINUTE(H1009-G1009)&amp;" min","")))</f>
        <v/>
      </c>
      <c r="J1009" s="66" t="n"/>
      <c r="K1009" s="70" t="n"/>
      <c r="L1009" s="73">
        <f>IF(R1009="","",IF(INDEX('Recurring Schedule'!$J$6:$J$45,R1009)="","",INDEX('Recurring Schedule'!$J$6:$J$45,R1009)))</f>
        <v/>
      </c>
      <c r="M1009" s="73">
        <f>IF(R1009="","",IF(INDEX('Recurring Schedule'!$K$6:$K$45,R1009)="","",INDEX('Recurring Schedule'!$K$6:$K$45,R1009)))</f>
        <v/>
      </c>
      <c r="N1009" s="73">
        <f>IF(R1009="","",IF(INDEX('Recurring Schedule'!$L$6:$L$45,R1009)="","",INDEX('Recurring Schedule'!$L$6:$L$45,R1009)))</f>
        <v/>
      </c>
      <c r="O1009" s="73">
        <f>IF(C1009="","",IF(AND(OR(L1009="1-Urgent",L1009="2-High"),M1009="✓"),"DO FIRST",IF(M1009="✓","SCHEDULE",IF(OR(L1009="1-Urgent",L1009="2-High"),"DELEGATE","DELETE"))))</f>
        <v/>
      </c>
      <c r="P1009" s="65" t="n"/>
      <c r="Q1009">
        <f>IF(1004&gt;Calc!$AQ$368,"",MATCH(1003,Calc!$AQ$2:$AQ$367,1))</f>
        <v/>
      </c>
      <c r="R1009">
        <f>IF(Q1009="","",SMALL(INDEX(Calc!$B$2:$AO$367,Q1009,0),1004-INDEX(Calc!$AQ$2:$AQ$367,Q1009)))</f>
        <v/>
      </c>
    </row>
    <row r="1010">
      <c r="B1010" s="64">
        <f>IF(R1010="","",1005)</f>
        <v/>
      </c>
      <c r="C1010" s="37">
        <f>IF(R1010="","",IF(INDEX('Recurring Schedule'!$C$6:$C$45,R1010)="","",INDEX('Recurring Schedule'!$C$6:$C$45,R1010)))</f>
        <v/>
      </c>
      <c r="D1010" s="36">
        <f>IF(R1010="","",IF(INDEX('Recurring Schedule'!$D$6:$D$45,R1010)="","",INDEX('Recurring Schedule'!$D$6:$D$45,R1010)))</f>
        <v/>
      </c>
      <c r="E1010" s="38">
        <f>IF(Q1010="","",INDEX(Calc!$A$2:$A$367,Q1010))</f>
        <v/>
      </c>
      <c r="F1010" s="68">
        <f>IF(OR(C1010="",E1010=""),"",E1010-Setup!$D$7)</f>
        <v/>
      </c>
      <c r="G1010" s="74">
        <f>IF(R1010="","",IF(INDEX('Recurring Schedule'!$H$6:$H$45,R1010)="","",INDEX('Recurring Schedule'!$H$6:$H$45,R1010)))</f>
        <v/>
      </c>
      <c r="H1010" s="74">
        <f>IF(R1010="","",IF(INDEX('Recurring Schedule'!$I$6:$I$45,R1010)="","",INDEX('Recurring Schedule'!$I$6:$I$45,R1010)))</f>
        <v/>
      </c>
      <c r="I1010" s="36">
        <f>IF(OR(G1010="",H1010=""),"",TRIM(IF(HOUR(H1010-G1010)&gt;0,HOUR(H1010-G1010)&amp;" hr ","")&amp;IF(MINUTE(H1010-G1010)&gt;0,MINUTE(H1010-G1010)&amp;" min","")))</f>
        <v/>
      </c>
      <c r="J1010" s="66" t="n"/>
      <c r="K1010" s="70" t="n"/>
      <c r="L1010" s="36">
        <f>IF(R1010="","",IF(INDEX('Recurring Schedule'!$J$6:$J$45,R1010)="","",INDEX('Recurring Schedule'!$J$6:$J$45,R1010)))</f>
        <v/>
      </c>
      <c r="M1010" s="36">
        <f>IF(R1010="","",IF(INDEX('Recurring Schedule'!$K$6:$K$45,R1010)="","",INDEX('Recurring Schedule'!$K$6:$K$45,R1010)))</f>
        <v/>
      </c>
      <c r="N1010" s="36">
        <f>IF(R1010="","",IF(INDEX('Recurring Schedule'!$L$6:$L$45,R1010)="","",INDEX('Recurring Schedule'!$L$6:$L$45,R1010)))</f>
        <v/>
      </c>
      <c r="O1010" s="36">
        <f>IF(C1010="","",IF(AND(OR(L1010="1-Urgent",L1010="2-High"),M1010="✓"),"DO FIRST",IF(M1010="✓","SCHEDULE",IF(OR(L1010="1-Urgent",L1010="2-High"),"DELEGATE","DELETE"))))</f>
        <v/>
      </c>
      <c r="P1010" s="65" t="n"/>
      <c r="Q1010">
        <f>IF(1005&gt;Calc!$AQ$368,"",MATCH(1004,Calc!$AQ$2:$AQ$367,1))</f>
        <v/>
      </c>
      <c r="R1010">
        <f>IF(Q1010="","",SMALL(INDEX(Calc!$B$2:$AO$367,Q1010,0),1005-INDEX(Calc!$AQ$2:$AQ$367,Q1010)))</f>
        <v/>
      </c>
    </row>
    <row r="1011">
      <c r="B1011" s="71">
        <f>IF(R1011="","",1006)</f>
        <v/>
      </c>
      <c r="C1011" s="75">
        <f>IF(R1011="","",IF(INDEX('Recurring Schedule'!$C$6:$C$45,R1011)="","",INDEX('Recurring Schedule'!$C$6:$C$45,R1011)))</f>
        <v/>
      </c>
      <c r="D1011" s="73">
        <f>IF(R1011="","",IF(INDEX('Recurring Schedule'!$D$6:$D$45,R1011)="","",INDEX('Recurring Schedule'!$D$6:$D$45,R1011)))</f>
        <v/>
      </c>
      <c r="E1011" s="76">
        <f>IF(Q1011="","",INDEX(Calc!$A$2:$A$367,Q1011))</f>
        <v/>
      </c>
      <c r="F1011" s="72">
        <f>IF(OR(C1011="",E1011=""),"",E1011-Setup!$D$7)</f>
        <v/>
      </c>
      <c r="G1011" s="77">
        <f>IF(R1011="","",IF(INDEX('Recurring Schedule'!$H$6:$H$45,R1011)="","",INDEX('Recurring Schedule'!$H$6:$H$45,R1011)))</f>
        <v/>
      </c>
      <c r="H1011" s="77">
        <f>IF(R1011="","",IF(INDEX('Recurring Schedule'!$I$6:$I$45,R1011)="","",INDEX('Recurring Schedule'!$I$6:$I$45,R1011)))</f>
        <v/>
      </c>
      <c r="I1011" s="73">
        <f>IF(OR(G1011="",H1011=""),"",TRIM(IF(HOUR(H1011-G1011)&gt;0,HOUR(H1011-G1011)&amp;" hr ","")&amp;IF(MINUTE(H1011-G1011)&gt;0,MINUTE(H1011-G1011)&amp;" min","")))</f>
        <v/>
      </c>
      <c r="J1011" s="66" t="n"/>
      <c r="K1011" s="70" t="n"/>
      <c r="L1011" s="73">
        <f>IF(R1011="","",IF(INDEX('Recurring Schedule'!$J$6:$J$45,R1011)="","",INDEX('Recurring Schedule'!$J$6:$J$45,R1011)))</f>
        <v/>
      </c>
      <c r="M1011" s="73">
        <f>IF(R1011="","",IF(INDEX('Recurring Schedule'!$K$6:$K$45,R1011)="","",INDEX('Recurring Schedule'!$K$6:$K$45,R1011)))</f>
        <v/>
      </c>
      <c r="N1011" s="73">
        <f>IF(R1011="","",IF(INDEX('Recurring Schedule'!$L$6:$L$45,R1011)="","",INDEX('Recurring Schedule'!$L$6:$L$45,R1011)))</f>
        <v/>
      </c>
      <c r="O1011" s="73">
        <f>IF(C1011="","",IF(AND(OR(L1011="1-Urgent",L1011="2-High"),M1011="✓"),"DO FIRST",IF(M1011="✓","SCHEDULE",IF(OR(L1011="1-Urgent",L1011="2-High"),"DELEGATE","DELETE"))))</f>
        <v/>
      </c>
      <c r="P1011" s="65" t="n"/>
      <c r="Q1011">
        <f>IF(1006&gt;Calc!$AQ$368,"",MATCH(1005,Calc!$AQ$2:$AQ$367,1))</f>
        <v/>
      </c>
      <c r="R1011">
        <f>IF(Q1011="","",SMALL(INDEX(Calc!$B$2:$AO$367,Q1011,0),1006-INDEX(Calc!$AQ$2:$AQ$367,Q1011)))</f>
        <v/>
      </c>
    </row>
    <row r="1012">
      <c r="B1012" s="64">
        <f>IF(R1012="","",1007)</f>
        <v/>
      </c>
      <c r="C1012" s="37">
        <f>IF(R1012="","",IF(INDEX('Recurring Schedule'!$C$6:$C$45,R1012)="","",INDEX('Recurring Schedule'!$C$6:$C$45,R1012)))</f>
        <v/>
      </c>
      <c r="D1012" s="36">
        <f>IF(R1012="","",IF(INDEX('Recurring Schedule'!$D$6:$D$45,R1012)="","",INDEX('Recurring Schedule'!$D$6:$D$45,R1012)))</f>
        <v/>
      </c>
      <c r="E1012" s="38">
        <f>IF(Q1012="","",INDEX(Calc!$A$2:$A$367,Q1012))</f>
        <v/>
      </c>
      <c r="F1012" s="68">
        <f>IF(OR(C1012="",E1012=""),"",E1012-Setup!$D$7)</f>
        <v/>
      </c>
      <c r="G1012" s="74">
        <f>IF(R1012="","",IF(INDEX('Recurring Schedule'!$H$6:$H$45,R1012)="","",INDEX('Recurring Schedule'!$H$6:$H$45,R1012)))</f>
        <v/>
      </c>
      <c r="H1012" s="74">
        <f>IF(R1012="","",IF(INDEX('Recurring Schedule'!$I$6:$I$45,R1012)="","",INDEX('Recurring Schedule'!$I$6:$I$45,R1012)))</f>
        <v/>
      </c>
      <c r="I1012" s="36">
        <f>IF(OR(G1012="",H1012=""),"",TRIM(IF(HOUR(H1012-G1012)&gt;0,HOUR(H1012-G1012)&amp;" hr ","")&amp;IF(MINUTE(H1012-G1012)&gt;0,MINUTE(H1012-G1012)&amp;" min","")))</f>
        <v/>
      </c>
      <c r="J1012" s="66" t="n"/>
      <c r="K1012" s="70" t="n"/>
      <c r="L1012" s="36">
        <f>IF(R1012="","",IF(INDEX('Recurring Schedule'!$J$6:$J$45,R1012)="","",INDEX('Recurring Schedule'!$J$6:$J$45,R1012)))</f>
        <v/>
      </c>
      <c r="M1012" s="36">
        <f>IF(R1012="","",IF(INDEX('Recurring Schedule'!$K$6:$K$45,R1012)="","",INDEX('Recurring Schedule'!$K$6:$K$45,R1012)))</f>
        <v/>
      </c>
      <c r="N1012" s="36">
        <f>IF(R1012="","",IF(INDEX('Recurring Schedule'!$L$6:$L$45,R1012)="","",INDEX('Recurring Schedule'!$L$6:$L$45,R1012)))</f>
        <v/>
      </c>
      <c r="O1012" s="36">
        <f>IF(C1012="","",IF(AND(OR(L1012="1-Urgent",L1012="2-High"),M1012="✓"),"DO FIRST",IF(M1012="✓","SCHEDULE",IF(OR(L1012="1-Urgent",L1012="2-High"),"DELEGATE","DELETE"))))</f>
        <v/>
      </c>
      <c r="P1012" s="65" t="n"/>
      <c r="Q1012">
        <f>IF(1007&gt;Calc!$AQ$368,"",MATCH(1006,Calc!$AQ$2:$AQ$367,1))</f>
        <v/>
      </c>
      <c r="R1012">
        <f>IF(Q1012="","",SMALL(INDEX(Calc!$B$2:$AO$367,Q1012,0),1007-INDEX(Calc!$AQ$2:$AQ$367,Q1012)))</f>
        <v/>
      </c>
    </row>
    <row r="1013">
      <c r="B1013" s="71">
        <f>IF(R1013="","",1008)</f>
        <v/>
      </c>
      <c r="C1013" s="75">
        <f>IF(R1013="","",IF(INDEX('Recurring Schedule'!$C$6:$C$45,R1013)="","",INDEX('Recurring Schedule'!$C$6:$C$45,R1013)))</f>
        <v/>
      </c>
      <c r="D1013" s="73">
        <f>IF(R1013="","",IF(INDEX('Recurring Schedule'!$D$6:$D$45,R1013)="","",INDEX('Recurring Schedule'!$D$6:$D$45,R1013)))</f>
        <v/>
      </c>
      <c r="E1013" s="76">
        <f>IF(Q1013="","",INDEX(Calc!$A$2:$A$367,Q1013))</f>
        <v/>
      </c>
      <c r="F1013" s="72">
        <f>IF(OR(C1013="",E1013=""),"",E1013-Setup!$D$7)</f>
        <v/>
      </c>
      <c r="G1013" s="77">
        <f>IF(R1013="","",IF(INDEX('Recurring Schedule'!$H$6:$H$45,R1013)="","",INDEX('Recurring Schedule'!$H$6:$H$45,R1013)))</f>
        <v/>
      </c>
      <c r="H1013" s="77">
        <f>IF(R1013="","",IF(INDEX('Recurring Schedule'!$I$6:$I$45,R1013)="","",INDEX('Recurring Schedule'!$I$6:$I$45,R1013)))</f>
        <v/>
      </c>
      <c r="I1013" s="73">
        <f>IF(OR(G1013="",H1013=""),"",TRIM(IF(HOUR(H1013-G1013)&gt;0,HOUR(H1013-G1013)&amp;" hr ","")&amp;IF(MINUTE(H1013-G1013)&gt;0,MINUTE(H1013-G1013)&amp;" min","")))</f>
        <v/>
      </c>
      <c r="J1013" s="66" t="n"/>
      <c r="K1013" s="70" t="n"/>
      <c r="L1013" s="73">
        <f>IF(R1013="","",IF(INDEX('Recurring Schedule'!$J$6:$J$45,R1013)="","",INDEX('Recurring Schedule'!$J$6:$J$45,R1013)))</f>
        <v/>
      </c>
      <c r="M1013" s="73">
        <f>IF(R1013="","",IF(INDEX('Recurring Schedule'!$K$6:$K$45,R1013)="","",INDEX('Recurring Schedule'!$K$6:$K$45,R1013)))</f>
        <v/>
      </c>
      <c r="N1013" s="73">
        <f>IF(R1013="","",IF(INDEX('Recurring Schedule'!$L$6:$L$45,R1013)="","",INDEX('Recurring Schedule'!$L$6:$L$45,R1013)))</f>
        <v/>
      </c>
      <c r="O1013" s="73">
        <f>IF(C1013="","",IF(AND(OR(L1013="1-Urgent",L1013="2-High"),M1013="✓"),"DO FIRST",IF(M1013="✓","SCHEDULE",IF(OR(L1013="1-Urgent",L1013="2-High"),"DELEGATE","DELETE"))))</f>
        <v/>
      </c>
      <c r="P1013" s="65" t="n"/>
      <c r="Q1013">
        <f>IF(1008&gt;Calc!$AQ$368,"",MATCH(1007,Calc!$AQ$2:$AQ$367,1))</f>
        <v/>
      </c>
      <c r="R1013">
        <f>IF(Q1013="","",SMALL(INDEX(Calc!$B$2:$AO$367,Q1013,0),1008-INDEX(Calc!$AQ$2:$AQ$367,Q1013)))</f>
        <v/>
      </c>
    </row>
    <row r="1014">
      <c r="B1014" s="64">
        <f>IF(R1014="","",1009)</f>
        <v/>
      </c>
      <c r="C1014" s="37">
        <f>IF(R1014="","",IF(INDEX('Recurring Schedule'!$C$6:$C$45,R1014)="","",INDEX('Recurring Schedule'!$C$6:$C$45,R1014)))</f>
        <v/>
      </c>
      <c r="D1014" s="36">
        <f>IF(R1014="","",IF(INDEX('Recurring Schedule'!$D$6:$D$45,R1014)="","",INDEX('Recurring Schedule'!$D$6:$D$45,R1014)))</f>
        <v/>
      </c>
      <c r="E1014" s="38">
        <f>IF(Q1014="","",INDEX(Calc!$A$2:$A$367,Q1014))</f>
        <v/>
      </c>
      <c r="F1014" s="68">
        <f>IF(OR(C1014="",E1014=""),"",E1014-Setup!$D$7)</f>
        <v/>
      </c>
      <c r="G1014" s="74">
        <f>IF(R1014="","",IF(INDEX('Recurring Schedule'!$H$6:$H$45,R1014)="","",INDEX('Recurring Schedule'!$H$6:$H$45,R1014)))</f>
        <v/>
      </c>
      <c r="H1014" s="74">
        <f>IF(R1014="","",IF(INDEX('Recurring Schedule'!$I$6:$I$45,R1014)="","",INDEX('Recurring Schedule'!$I$6:$I$45,R1014)))</f>
        <v/>
      </c>
      <c r="I1014" s="36">
        <f>IF(OR(G1014="",H1014=""),"",TRIM(IF(HOUR(H1014-G1014)&gt;0,HOUR(H1014-G1014)&amp;" hr ","")&amp;IF(MINUTE(H1014-G1014)&gt;0,MINUTE(H1014-G1014)&amp;" min","")))</f>
        <v/>
      </c>
      <c r="J1014" s="66" t="n"/>
      <c r="K1014" s="70" t="n"/>
      <c r="L1014" s="36">
        <f>IF(R1014="","",IF(INDEX('Recurring Schedule'!$J$6:$J$45,R1014)="","",INDEX('Recurring Schedule'!$J$6:$J$45,R1014)))</f>
        <v/>
      </c>
      <c r="M1014" s="36">
        <f>IF(R1014="","",IF(INDEX('Recurring Schedule'!$K$6:$K$45,R1014)="","",INDEX('Recurring Schedule'!$K$6:$K$45,R1014)))</f>
        <v/>
      </c>
      <c r="N1014" s="36">
        <f>IF(R1014="","",IF(INDEX('Recurring Schedule'!$L$6:$L$45,R1014)="","",INDEX('Recurring Schedule'!$L$6:$L$45,R1014)))</f>
        <v/>
      </c>
      <c r="O1014" s="36">
        <f>IF(C1014="","",IF(AND(OR(L1014="1-Urgent",L1014="2-High"),M1014="✓"),"DO FIRST",IF(M1014="✓","SCHEDULE",IF(OR(L1014="1-Urgent",L1014="2-High"),"DELEGATE","DELETE"))))</f>
        <v/>
      </c>
      <c r="P1014" s="65" t="n"/>
      <c r="Q1014">
        <f>IF(1009&gt;Calc!$AQ$368,"",MATCH(1008,Calc!$AQ$2:$AQ$367,1))</f>
        <v/>
      </c>
      <c r="R1014">
        <f>IF(Q1014="","",SMALL(INDEX(Calc!$B$2:$AO$367,Q1014,0),1009-INDEX(Calc!$AQ$2:$AQ$367,Q1014)))</f>
        <v/>
      </c>
    </row>
    <row r="1015">
      <c r="B1015" s="71">
        <f>IF(R1015="","",1010)</f>
        <v/>
      </c>
      <c r="C1015" s="75">
        <f>IF(R1015="","",IF(INDEX('Recurring Schedule'!$C$6:$C$45,R1015)="","",INDEX('Recurring Schedule'!$C$6:$C$45,R1015)))</f>
        <v/>
      </c>
      <c r="D1015" s="73">
        <f>IF(R1015="","",IF(INDEX('Recurring Schedule'!$D$6:$D$45,R1015)="","",INDEX('Recurring Schedule'!$D$6:$D$45,R1015)))</f>
        <v/>
      </c>
      <c r="E1015" s="76">
        <f>IF(Q1015="","",INDEX(Calc!$A$2:$A$367,Q1015))</f>
        <v/>
      </c>
      <c r="F1015" s="72">
        <f>IF(OR(C1015="",E1015=""),"",E1015-Setup!$D$7)</f>
        <v/>
      </c>
      <c r="G1015" s="77">
        <f>IF(R1015="","",IF(INDEX('Recurring Schedule'!$H$6:$H$45,R1015)="","",INDEX('Recurring Schedule'!$H$6:$H$45,R1015)))</f>
        <v/>
      </c>
      <c r="H1015" s="77">
        <f>IF(R1015="","",IF(INDEX('Recurring Schedule'!$I$6:$I$45,R1015)="","",INDEX('Recurring Schedule'!$I$6:$I$45,R1015)))</f>
        <v/>
      </c>
      <c r="I1015" s="73">
        <f>IF(OR(G1015="",H1015=""),"",TRIM(IF(HOUR(H1015-G1015)&gt;0,HOUR(H1015-G1015)&amp;" hr ","")&amp;IF(MINUTE(H1015-G1015)&gt;0,MINUTE(H1015-G1015)&amp;" min","")))</f>
        <v/>
      </c>
      <c r="J1015" s="66" t="n"/>
      <c r="K1015" s="70" t="n"/>
      <c r="L1015" s="73">
        <f>IF(R1015="","",IF(INDEX('Recurring Schedule'!$J$6:$J$45,R1015)="","",INDEX('Recurring Schedule'!$J$6:$J$45,R1015)))</f>
        <v/>
      </c>
      <c r="M1015" s="73">
        <f>IF(R1015="","",IF(INDEX('Recurring Schedule'!$K$6:$K$45,R1015)="","",INDEX('Recurring Schedule'!$K$6:$K$45,R1015)))</f>
        <v/>
      </c>
      <c r="N1015" s="73">
        <f>IF(R1015="","",IF(INDEX('Recurring Schedule'!$L$6:$L$45,R1015)="","",INDEX('Recurring Schedule'!$L$6:$L$45,R1015)))</f>
        <v/>
      </c>
      <c r="O1015" s="73">
        <f>IF(C1015="","",IF(AND(OR(L1015="1-Urgent",L1015="2-High"),M1015="✓"),"DO FIRST",IF(M1015="✓","SCHEDULE",IF(OR(L1015="1-Urgent",L1015="2-High"),"DELEGATE","DELETE"))))</f>
        <v/>
      </c>
      <c r="P1015" s="65" t="n"/>
      <c r="Q1015">
        <f>IF(1010&gt;Calc!$AQ$368,"",MATCH(1009,Calc!$AQ$2:$AQ$367,1))</f>
        <v/>
      </c>
      <c r="R1015">
        <f>IF(Q1015="","",SMALL(INDEX(Calc!$B$2:$AO$367,Q1015,0),1010-INDEX(Calc!$AQ$2:$AQ$367,Q1015)))</f>
        <v/>
      </c>
    </row>
    <row r="1016">
      <c r="B1016" s="64">
        <f>IF(R1016="","",1011)</f>
        <v/>
      </c>
      <c r="C1016" s="37">
        <f>IF(R1016="","",IF(INDEX('Recurring Schedule'!$C$6:$C$45,R1016)="","",INDEX('Recurring Schedule'!$C$6:$C$45,R1016)))</f>
        <v/>
      </c>
      <c r="D1016" s="36">
        <f>IF(R1016="","",IF(INDEX('Recurring Schedule'!$D$6:$D$45,R1016)="","",INDEX('Recurring Schedule'!$D$6:$D$45,R1016)))</f>
        <v/>
      </c>
      <c r="E1016" s="38">
        <f>IF(Q1016="","",INDEX(Calc!$A$2:$A$367,Q1016))</f>
        <v/>
      </c>
      <c r="F1016" s="68">
        <f>IF(OR(C1016="",E1016=""),"",E1016-Setup!$D$7)</f>
        <v/>
      </c>
      <c r="G1016" s="74">
        <f>IF(R1016="","",IF(INDEX('Recurring Schedule'!$H$6:$H$45,R1016)="","",INDEX('Recurring Schedule'!$H$6:$H$45,R1016)))</f>
        <v/>
      </c>
      <c r="H1016" s="74">
        <f>IF(R1016="","",IF(INDEX('Recurring Schedule'!$I$6:$I$45,R1016)="","",INDEX('Recurring Schedule'!$I$6:$I$45,R1016)))</f>
        <v/>
      </c>
      <c r="I1016" s="36">
        <f>IF(OR(G1016="",H1016=""),"",TRIM(IF(HOUR(H1016-G1016)&gt;0,HOUR(H1016-G1016)&amp;" hr ","")&amp;IF(MINUTE(H1016-G1016)&gt;0,MINUTE(H1016-G1016)&amp;" min","")))</f>
        <v/>
      </c>
      <c r="J1016" s="66" t="n"/>
      <c r="K1016" s="70" t="n"/>
      <c r="L1016" s="36">
        <f>IF(R1016="","",IF(INDEX('Recurring Schedule'!$J$6:$J$45,R1016)="","",INDEX('Recurring Schedule'!$J$6:$J$45,R1016)))</f>
        <v/>
      </c>
      <c r="M1016" s="36">
        <f>IF(R1016="","",IF(INDEX('Recurring Schedule'!$K$6:$K$45,R1016)="","",INDEX('Recurring Schedule'!$K$6:$K$45,R1016)))</f>
        <v/>
      </c>
      <c r="N1016" s="36">
        <f>IF(R1016="","",IF(INDEX('Recurring Schedule'!$L$6:$L$45,R1016)="","",INDEX('Recurring Schedule'!$L$6:$L$45,R1016)))</f>
        <v/>
      </c>
      <c r="O1016" s="36">
        <f>IF(C1016="","",IF(AND(OR(L1016="1-Urgent",L1016="2-High"),M1016="✓"),"DO FIRST",IF(M1016="✓","SCHEDULE",IF(OR(L1016="1-Urgent",L1016="2-High"),"DELEGATE","DELETE"))))</f>
        <v/>
      </c>
      <c r="P1016" s="65" t="n"/>
      <c r="Q1016">
        <f>IF(1011&gt;Calc!$AQ$368,"",MATCH(1010,Calc!$AQ$2:$AQ$367,1))</f>
        <v/>
      </c>
      <c r="R1016">
        <f>IF(Q1016="","",SMALL(INDEX(Calc!$B$2:$AO$367,Q1016,0),1011-INDEX(Calc!$AQ$2:$AQ$367,Q1016)))</f>
        <v/>
      </c>
    </row>
    <row r="1017">
      <c r="B1017" s="71">
        <f>IF(R1017="","",1012)</f>
        <v/>
      </c>
      <c r="C1017" s="75">
        <f>IF(R1017="","",IF(INDEX('Recurring Schedule'!$C$6:$C$45,R1017)="","",INDEX('Recurring Schedule'!$C$6:$C$45,R1017)))</f>
        <v/>
      </c>
      <c r="D1017" s="73">
        <f>IF(R1017="","",IF(INDEX('Recurring Schedule'!$D$6:$D$45,R1017)="","",INDEX('Recurring Schedule'!$D$6:$D$45,R1017)))</f>
        <v/>
      </c>
      <c r="E1017" s="76">
        <f>IF(Q1017="","",INDEX(Calc!$A$2:$A$367,Q1017))</f>
        <v/>
      </c>
      <c r="F1017" s="72">
        <f>IF(OR(C1017="",E1017=""),"",E1017-Setup!$D$7)</f>
        <v/>
      </c>
      <c r="G1017" s="77">
        <f>IF(R1017="","",IF(INDEX('Recurring Schedule'!$H$6:$H$45,R1017)="","",INDEX('Recurring Schedule'!$H$6:$H$45,R1017)))</f>
        <v/>
      </c>
      <c r="H1017" s="77">
        <f>IF(R1017="","",IF(INDEX('Recurring Schedule'!$I$6:$I$45,R1017)="","",INDEX('Recurring Schedule'!$I$6:$I$45,R1017)))</f>
        <v/>
      </c>
      <c r="I1017" s="73">
        <f>IF(OR(G1017="",H1017=""),"",TRIM(IF(HOUR(H1017-G1017)&gt;0,HOUR(H1017-G1017)&amp;" hr ","")&amp;IF(MINUTE(H1017-G1017)&gt;0,MINUTE(H1017-G1017)&amp;" min","")))</f>
        <v/>
      </c>
      <c r="J1017" s="66" t="n"/>
      <c r="K1017" s="70" t="n"/>
      <c r="L1017" s="73">
        <f>IF(R1017="","",IF(INDEX('Recurring Schedule'!$J$6:$J$45,R1017)="","",INDEX('Recurring Schedule'!$J$6:$J$45,R1017)))</f>
        <v/>
      </c>
      <c r="M1017" s="73">
        <f>IF(R1017="","",IF(INDEX('Recurring Schedule'!$K$6:$K$45,R1017)="","",INDEX('Recurring Schedule'!$K$6:$K$45,R1017)))</f>
        <v/>
      </c>
      <c r="N1017" s="73">
        <f>IF(R1017="","",IF(INDEX('Recurring Schedule'!$L$6:$L$45,R1017)="","",INDEX('Recurring Schedule'!$L$6:$L$45,R1017)))</f>
        <v/>
      </c>
      <c r="O1017" s="73">
        <f>IF(C1017="","",IF(AND(OR(L1017="1-Urgent",L1017="2-High"),M1017="✓"),"DO FIRST",IF(M1017="✓","SCHEDULE",IF(OR(L1017="1-Urgent",L1017="2-High"),"DELEGATE","DELETE"))))</f>
        <v/>
      </c>
      <c r="P1017" s="65" t="n"/>
      <c r="Q1017">
        <f>IF(1012&gt;Calc!$AQ$368,"",MATCH(1011,Calc!$AQ$2:$AQ$367,1))</f>
        <v/>
      </c>
      <c r="R1017">
        <f>IF(Q1017="","",SMALL(INDEX(Calc!$B$2:$AO$367,Q1017,0),1012-INDEX(Calc!$AQ$2:$AQ$367,Q1017)))</f>
        <v/>
      </c>
    </row>
    <row r="1018">
      <c r="B1018" s="64">
        <f>IF(R1018="","",1013)</f>
        <v/>
      </c>
      <c r="C1018" s="37">
        <f>IF(R1018="","",IF(INDEX('Recurring Schedule'!$C$6:$C$45,R1018)="","",INDEX('Recurring Schedule'!$C$6:$C$45,R1018)))</f>
        <v/>
      </c>
      <c r="D1018" s="36">
        <f>IF(R1018="","",IF(INDEX('Recurring Schedule'!$D$6:$D$45,R1018)="","",INDEX('Recurring Schedule'!$D$6:$D$45,R1018)))</f>
        <v/>
      </c>
      <c r="E1018" s="38">
        <f>IF(Q1018="","",INDEX(Calc!$A$2:$A$367,Q1018))</f>
        <v/>
      </c>
      <c r="F1018" s="68">
        <f>IF(OR(C1018="",E1018=""),"",E1018-Setup!$D$7)</f>
        <v/>
      </c>
      <c r="G1018" s="74">
        <f>IF(R1018="","",IF(INDEX('Recurring Schedule'!$H$6:$H$45,R1018)="","",INDEX('Recurring Schedule'!$H$6:$H$45,R1018)))</f>
        <v/>
      </c>
      <c r="H1018" s="74">
        <f>IF(R1018="","",IF(INDEX('Recurring Schedule'!$I$6:$I$45,R1018)="","",INDEX('Recurring Schedule'!$I$6:$I$45,R1018)))</f>
        <v/>
      </c>
      <c r="I1018" s="36">
        <f>IF(OR(G1018="",H1018=""),"",TRIM(IF(HOUR(H1018-G1018)&gt;0,HOUR(H1018-G1018)&amp;" hr ","")&amp;IF(MINUTE(H1018-G1018)&gt;0,MINUTE(H1018-G1018)&amp;" min","")))</f>
        <v/>
      </c>
      <c r="J1018" s="66" t="n"/>
      <c r="K1018" s="70" t="n"/>
      <c r="L1018" s="36">
        <f>IF(R1018="","",IF(INDEX('Recurring Schedule'!$J$6:$J$45,R1018)="","",INDEX('Recurring Schedule'!$J$6:$J$45,R1018)))</f>
        <v/>
      </c>
      <c r="M1018" s="36">
        <f>IF(R1018="","",IF(INDEX('Recurring Schedule'!$K$6:$K$45,R1018)="","",INDEX('Recurring Schedule'!$K$6:$K$45,R1018)))</f>
        <v/>
      </c>
      <c r="N1018" s="36">
        <f>IF(R1018="","",IF(INDEX('Recurring Schedule'!$L$6:$L$45,R1018)="","",INDEX('Recurring Schedule'!$L$6:$L$45,R1018)))</f>
        <v/>
      </c>
      <c r="O1018" s="36">
        <f>IF(C1018="","",IF(AND(OR(L1018="1-Urgent",L1018="2-High"),M1018="✓"),"DO FIRST",IF(M1018="✓","SCHEDULE",IF(OR(L1018="1-Urgent",L1018="2-High"),"DELEGATE","DELETE"))))</f>
        <v/>
      </c>
      <c r="P1018" s="65" t="n"/>
      <c r="Q1018">
        <f>IF(1013&gt;Calc!$AQ$368,"",MATCH(1012,Calc!$AQ$2:$AQ$367,1))</f>
        <v/>
      </c>
      <c r="R1018">
        <f>IF(Q1018="","",SMALL(INDEX(Calc!$B$2:$AO$367,Q1018,0),1013-INDEX(Calc!$AQ$2:$AQ$367,Q1018)))</f>
        <v/>
      </c>
    </row>
    <row r="1019">
      <c r="B1019" s="71">
        <f>IF(R1019="","",1014)</f>
        <v/>
      </c>
      <c r="C1019" s="75">
        <f>IF(R1019="","",IF(INDEX('Recurring Schedule'!$C$6:$C$45,R1019)="","",INDEX('Recurring Schedule'!$C$6:$C$45,R1019)))</f>
        <v/>
      </c>
      <c r="D1019" s="73">
        <f>IF(R1019="","",IF(INDEX('Recurring Schedule'!$D$6:$D$45,R1019)="","",INDEX('Recurring Schedule'!$D$6:$D$45,R1019)))</f>
        <v/>
      </c>
      <c r="E1019" s="76">
        <f>IF(Q1019="","",INDEX(Calc!$A$2:$A$367,Q1019))</f>
        <v/>
      </c>
      <c r="F1019" s="72">
        <f>IF(OR(C1019="",E1019=""),"",E1019-Setup!$D$7)</f>
        <v/>
      </c>
      <c r="G1019" s="77">
        <f>IF(R1019="","",IF(INDEX('Recurring Schedule'!$H$6:$H$45,R1019)="","",INDEX('Recurring Schedule'!$H$6:$H$45,R1019)))</f>
        <v/>
      </c>
      <c r="H1019" s="77">
        <f>IF(R1019="","",IF(INDEX('Recurring Schedule'!$I$6:$I$45,R1019)="","",INDEX('Recurring Schedule'!$I$6:$I$45,R1019)))</f>
        <v/>
      </c>
      <c r="I1019" s="73">
        <f>IF(OR(G1019="",H1019=""),"",TRIM(IF(HOUR(H1019-G1019)&gt;0,HOUR(H1019-G1019)&amp;" hr ","")&amp;IF(MINUTE(H1019-G1019)&gt;0,MINUTE(H1019-G1019)&amp;" min","")))</f>
        <v/>
      </c>
      <c r="J1019" s="66" t="n"/>
      <c r="K1019" s="70" t="n"/>
      <c r="L1019" s="73">
        <f>IF(R1019="","",IF(INDEX('Recurring Schedule'!$J$6:$J$45,R1019)="","",INDEX('Recurring Schedule'!$J$6:$J$45,R1019)))</f>
        <v/>
      </c>
      <c r="M1019" s="73">
        <f>IF(R1019="","",IF(INDEX('Recurring Schedule'!$K$6:$K$45,R1019)="","",INDEX('Recurring Schedule'!$K$6:$K$45,R1019)))</f>
        <v/>
      </c>
      <c r="N1019" s="73">
        <f>IF(R1019="","",IF(INDEX('Recurring Schedule'!$L$6:$L$45,R1019)="","",INDEX('Recurring Schedule'!$L$6:$L$45,R1019)))</f>
        <v/>
      </c>
      <c r="O1019" s="73">
        <f>IF(C1019="","",IF(AND(OR(L1019="1-Urgent",L1019="2-High"),M1019="✓"),"DO FIRST",IF(M1019="✓","SCHEDULE",IF(OR(L1019="1-Urgent",L1019="2-High"),"DELEGATE","DELETE"))))</f>
        <v/>
      </c>
      <c r="P1019" s="65" t="n"/>
      <c r="Q1019">
        <f>IF(1014&gt;Calc!$AQ$368,"",MATCH(1013,Calc!$AQ$2:$AQ$367,1))</f>
        <v/>
      </c>
      <c r="R1019">
        <f>IF(Q1019="","",SMALL(INDEX(Calc!$B$2:$AO$367,Q1019,0),1014-INDEX(Calc!$AQ$2:$AQ$367,Q1019)))</f>
        <v/>
      </c>
    </row>
    <row r="1020">
      <c r="B1020" s="64">
        <f>IF(R1020="","",1015)</f>
        <v/>
      </c>
      <c r="C1020" s="37">
        <f>IF(R1020="","",IF(INDEX('Recurring Schedule'!$C$6:$C$45,R1020)="","",INDEX('Recurring Schedule'!$C$6:$C$45,R1020)))</f>
        <v/>
      </c>
      <c r="D1020" s="36">
        <f>IF(R1020="","",IF(INDEX('Recurring Schedule'!$D$6:$D$45,R1020)="","",INDEX('Recurring Schedule'!$D$6:$D$45,R1020)))</f>
        <v/>
      </c>
      <c r="E1020" s="38">
        <f>IF(Q1020="","",INDEX(Calc!$A$2:$A$367,Q1020))</f>
        <v/>
      </c>
      <c r="F1020" s="68">
        <f>IF(OR(C1020="",E1020=""),"",E1020-Setup!$D$7)</f>
        <v/>
      </c>
      <c r="G1020" s="74">
        <f>IF(R1020="","",IF(INDEX('Recurring Schedule'!$H$6:$H$45,R1020)="","",INDEX('Recurring Schedule'!$H$6:$H$45,R1020)))</f>
        <v/>
      </c>
      <c r="H1020" s="74">
        <f>IF(R1020="","",IF(INDEX('Recurring Schedule'!$I$6:$I$45,R1020)="","",INDEX('Recurring Schedule'!$I$6:$I$45,R1020)))</f>
        <v/>
      </c>
      <c r="I1020" s="36">
        <f>IF(OR(G1020="",H1020=""),"",TRIM(IF(HOUR(H1020-G1020)&gt;0,HOUR(H1020-G1020)&amp;" hr ","")&amp;IF(MINUTE(H1020-G1020)&gt;0,MINUTE(H1020-G1020)&amp;" min","")))</f>
        <v/>
      </c>
      <c r="J1020" s="66" t="n"/>
      <c r="K1020" s="70" t="n"/>
      <c r="L1020" s="36">
        <f>IF(R1020="","",IF(INDEX('Recurring Schedule'!$J$6:$J$45,R1020)="","",INDEX('Recurring Schedule'!$J$6:$J$45,R1020)))</f>
        <v/>
      </c>
      <c r="M1020" s="36">
        <f>IF(R1020="","",IF(INDEX('Recurring Schedule'!$K$6:$K$45,R1020)="","",INDEX('Recurring Schedule'!$K$6:$K$45,R1020)))</f>
        <v/>
      </c>
      <c r="N1020" s="36">
        <f>IF(R1020="","",IF(INDEX('Recurring Schedule'!$L$6:$L$45,R1020)="","",INDEX('Recurring Schedule'!$L$6:$L$45,R1020)))</f>
        <v/>
      </c>
      <c r="O1020" s="36">
        <f>IF(C1020="","",IF(AND(OR(L1020="1-Urgent",L1020="2-High"),M1020="✓"),"DO FIRST",IF(M1020="✓","SCHEDULE",IF(OR(L1020="1-Urgent",L1020="2-High"),"DELEGATE","DELETE"))))</f>
        <v/>
      </c>
      <c r="P1020" s="65" t="n"/>
      <c r="Q1020">
        <f>IF(1015&gt;Calc!$AQ$368,"",MATCH(1014,Calc!$AQ$2:$AQ$367,1))</f>
        <v/>
      </c>
      <c r="R1020">
        <f>IF(Q1020="","",SMALL(INDEX(Calc!$B$2:$AO$367,Q1020,0),1015-INDEX(Calc!$AQ$2:$AQ$367,Q1020)))</f>
        <v/>
      </c>
    </row>
    <row r="1021">
      <c r="B1021" s="71">
        <f>IF(R1021="","",1016)</f>
        <v/>
      </c>
      <c r="C1021" s="75">
        <f>IF(R1021="","",IF(INDEX('Recurring Schedule'!$C$6:$C$45,R1021)="","",INDEX('Recurring Schedule'!$C$6:$C$45,R1021)))</f>
        <v/>
      </c>
      <c r="D1021" s="73">
        <f>IF(R1021="","",IF(INDEX('Recurring Schedule'!$D$6:$D$45,R1021)="","",INDEX('Recurring Schedule'!$D$6:$D$45,R1021)))</f>
        <v/>
      </c>
      <c r="E1021" s="76">
        <f>IF(Q1021="","",INDEX(Calc!$A$2:$A$367,Q1021))</f>
        <v/>
      </c>
      <c r="F1021" s="72">
        <f>IF(OR(C1021="",E1021=""),"",E1021-Setup!$D$7)</f>
        <v/>
      </c>
      <c r="G1021" s="77">
        <f>IF(R1021="","",IF(INDEX('Recurring Schedule'!$H$6:$H$45,R1021)="","",INDEX('Recurring Schedule'!$H$6:$H$45,R1021)))</f>
        <v/>
      </c>
      <c r="H1021" s="77">
        <f>IF(R1021="","",IF(INDEX('Recurring Schedule'!$I$6:$I$45,R1021)="","",INDEX('Recurring Schedule'!$I$6:$I$45,R1021)))</f>
        <v/>
      </c>
      <c r="I1021" s="73">
        <f>IF(OR(G1021="",H1021=""),"",TRIM(IF(HOUR(H1021-G1021)&gt;0,HOUR(H1021-G1021)&amp;" hr ","")&amp;IF(MINUTE(H1021-G1021)&gt;0,MINUTE(H1021-G1021)&amp;" min","")))</f>
        <v/>
      </c>
      <c r="J1021" s="66" t="n"/>
      <c r="K1021" s="70" t="n"/>
      <c r="L1021" s="73">
        <f>IF(R1021="","",IF(INDEX('Recurring Schedule'!$J$6:$J$45,R1021)="","",INDEX('Recurring Schedule'!$J$6:$J$45,R1021)))</f>
        <v/>
      </c>
      <c r="M1021" s="73">
        <f>IF(R1021="","",IF(INDEX('Recurring Schedule'!$K$6:$K$45,R1021)="","",INDEX('Recurring Schedule'!$K$6:$K$45,R1021)))</f>
        <v/>
      </c>
      <c r="N1021" s="73">
        <f>IF(R1021="","",IF(INDEX('Recurring Schedule'!$L$6:$L$45,R1021)="","",INDEX('Recurring Schedule'!$L$6:$L$45,R1021)))</f>
        <v/>
      </c>
      <c r="O1021" s="73">
        <f>IF(C1021="","",IF(AND(OR(L1021="1-Urgent",L1021="2-High"),M1021="✓"),"DO FIRST",IF(M1021="✓","SCHEDULE",IF(OR(L1021="1-Urgent",L1021="2-High"),"DELEGATE","DELETE"))))</f>
        <v/>
      </c>
      <c r="P1021" s="65" t="n"/>
      <c r="Q1021">
        <f>IF(1016&gt;Calc!$AQ$368,"",MATCH(1015,Calc!$AQ$2:$AQ$367,1))</f>
        <v/>
      </c>
      <c r="R1021">
        <f>IF(Q1021="","",SMALL(INDEX(Calc!$B$2:$AO$367,Q1021,0),1016-INDEX(Calc!$AQ$2:$AQ$367,Q1021)))</f>
        <v/>
      </c>
    </row>
    <row r="1022">
      <c r="B1022" s="64">
        <f>IF(R1022="","",1017)</f>
        <v/>
      </c>
      <c r="C1022" s="37">
        <f>IF(R1022="","",IF(INDEX('Recurring Schedule'!$C$6:$C$45,R1022)="","",INDEX('Recurring Schedule'!$C$6:$C$45,R1022)))</f>
        <v/>
      </c>
      <c r="D1022" s="36">
        <f>IF(R1022="","",IF(INDEX('Recurring Schedule'!$D$6:$D$45,R1022)="","",INDEX('Recurring Schedule'!$D$6:$D$45,R1022)))</f>
        <v/>
      </c>
      <c r="E1022" s="38">
        <f>IF(Q1022="","",INDEX(Calc!$A$2:$A$367,Q1022))</f>
        <v/>
      </c>
      <c r="F1022" s="68">
        <f>IF(OR(C1022="",E1022=""),"",E1022-Setup!$D$7)</f>
        <v/>
      </c>
      <c r="G1022" s="74">
        <f>IF(R1022="","",IF(INDEX('Recurring Schedule'!$H$6:$H$45,R1022)="","",INDEX('Recurring Schedule'!$H$6:$H$45,R1022)))</f>
        <v/>
      </c>
      <c r="H1022" s="74">
        <f>IF(R1022="","",IF(INDEX('Recurring Schedule'!$I$6:$I$45,R1022)="","",INDEX('Recurring Schedule'!$I$6:$I$45,R1022)))</f>
        <v/>
      </c>
      <c r="I1022" s="36">
        <f>IF(OR(G1022="",H1022=""),"",TRIM(IF(HOUR(H1022-G1022)&gt;0,HOUR(H1022-G1022)&amp;" hr ","")&amp;IF(MINUTE(H1022-G1022)&gt;0,MINUTE(H1022-G1022)&amp;" min","")))</f>
        <v/>
      </c>
      <c r="J1022" s="66" t="n"/>
      <c r="K1022" s="70" t="n"/>
      <c r="L1022" s="36">
        <f>IF(R1022="","",IF(INDEX('Recurring Schedule'!$J$6:$J$45,R1022)="","",INDEX('Recurring Schedule'!$J$6:$J$45,R1022)))</f>
        <v/>
      </c>
      <c r="M1022" s="36">
        <f>IF(R1022="","",IF(INDEX('Recurring Schedule'!$K$6:$K$45,R1022)="","",INDEX('Recurring Schedule'!$K$6:$K$45,R1022)))</f>
        <v/>
      </c>
      <c r="N1022" s="36">
        <f>IF(R1022="","",IF(INDEX('Recurring Schedule'!$L$6:$L$45,R1022)="","",INDEX('Recurring Schedule'!$L$6:$L$45,R1022)))</f>
        <v/>
      </c>
      <c r="O1022" s="36">
        <f>IF(C1022="","",IF(AND(OR(L1022="1-Urgent",L1022="2-High"),M1022="✓"),"DO FIRST",IF(M1022="✓","SCHEDULE",IF(OR(L1022="1-Urgent",L1022="2-High"),"DELEGATE","DELETE"))))</f>
        <v/>
      </c>
      <c r="P1022" s="65" t="n"/>
      <c r="Q1022">
        <f>IF(1017&gt;Calc!$AQ$368,"",MATCH(1016,Calc!$AQ$2:$AQ$367,1))</f>
        <v/>
      </c>
      <c r="R1022">
        <f>IF(Q1022="","",SMALL(INDEX(Calc!$B$2:$AO$367,Q1022,0),1017-INDEX(Calc!$AQ$2:$AQ$367,Q1022)))</f>
        <v/>
      </c>
    </row>
    <row r="1023">
      <c r="B1023" s="71">
        <f>IF(R1023="","",1018)</f>
        <v/>
      </c>
      <c r="C1023" s="75">
        <f>IF(R1023="","",IF(INDEX('Recurring Schedule'!$C$6:$C$45,R1023)="","",INDEX('Recurring Schedule'!$C$6:$C$45,R1023)))</f>
        <v/>
      </c>
      <c r="D1023" s="73">
        <f>IF(R1023="","",IF(INDEX('Recurring Schedule'!$D$6:$D$45,R1023)="","",INDEX('Recurring Schedule'!$D$6:$D$45,R1023)))</f>
        <v/>
      </c>
      <c r="E1023" s="76">
        <f>IF(Q1023="","",INDEX(Calc!$A$2:$A$367,Q1023))</f>
        <v/>
      </c>
      <c r="F1023" s="72">
        <f>IF(OR(C1023="",E1023=""),"",E1023-Setup!$D$7)</f>
        <v/>
      </c>
      <c r="G1023" s="77">
        <f>IF(R1023="","",IF(INDEX('Recurring Schedule'!$H$6:$H$45,R1023)="","",INDEX('Recurring Schedule'!$H$6:$H$45,R1023)))</f>
        <v/>
      </c>
      <c r="H1023" s="77">
        <f>IF(R1023="","",IF(INDEX('Recurring Schedule'!$I$6:$I$45,R1023)="","",INDEX('Recurring Schedule'!$I$6:$I$45,R1023)))</f>
        <v/>
      </c>
      <c r="I1023" s="73">
        <f>IF(OR(G1023="",H1023=""),"",TRIM(IF(HOUR(H1023-G1023)&gt;0,HOUR(H1023-G1023)&amp;" hr ","")&amp;IF(MINUTE(H1023-G1023)&gt;0,MINUTE(H1023-G1023)&amp;" min","")))</f>
        <v/>
      </c>
      <c r="J1023" s="66" t="n"/>
      <c r="K1023" s="70" t="n"/>
      <c r="L1023" s="73">
        <f>IF(R1023="","",IF(INDEX('Recurring Schedule'!$J$6:$J$45,R1023)="","",INDEX('Recurring Schedule'!$J$6:$J$45,R1023)))</f>
        <v/>
      </c>
      <c r="M1023" s="73">
        <f>IF(R1023="","",IF(INDEX('Recurring Schedule'!$K$6:$K$45,R1023)="","",INDEX('Recurring Schedule'!$K$6:$K$45,R1023)))</f>
        <v/>
      </c>
      <c r="N1023" s="73">
        <f>IF(R1023="","",IF(INDEX('Recurring Schedule'!$L$6:$L$45,R1023)="","",INDEX('Recurring Schedule'!$L$6:$L$45,R1023)))</f>
        <v/>
      </c>
      <c r="O1023" s="73">
        <f>IF(C1023="","",IF(AND(OR(L1023="1-Urgent",L1023="2-High"),M1023="✓"),"DO FIRST",IF(M1023="✓","SCHEDULE",IF(OR(L1023="1-Urgent",L1023="2-High"),"DELEGATE","DELETE"))))</f>
        <v/>
      </c>
      <c r="P1023" s="65" t="n"/>
      <c r="Q1023">
        <f>IF(1018&gt;Calc!$AQ$368,"",MATCH(1017,Calc!$AQ$2:$AQ$367,1))</f>
        <v/>
      </c>
      <c r="R1023">
        <f>IF(Q1023="","",SMALL(INDEX(Calc!$B$2:$AO$367,Q1023,0),1018-INDEX(Calc!$AQ$2:$AQ$367,Q1023)))</f>
        <v/>
      </c>
    </row>
    <row r="1024">
      <c r="B1024" s="64">
        <f>IF(R1024="","",1019)</f>
        <v/>
      </c>
      <c r="C1024" s="37">
        <f>IF(R1024="","",IF(INDEX('Recurring Schedule'!$C$6:$C$45,R1024)="","",INDEX('Recurring Schedule'!$C$6:$C$45,R1024)))</f>
        <v/>
      </c>
      <c r="D1024" s="36">
        <f>IF(R1024="","",IF(INDEX('Recurring Schedule'!$D$6:$D$45,R1024)="","",INDEX('Recurring Schedule'!$D$6:$D$45,R1024)))</f>
        <v/>
      </c>
      <c r="E1024" s="38">
        <f>IF(Q1024="","",INDEX(Calc!$A$2:$A$367,Q1024))</f>
        <v/>
      </c>
      <c r="F1024" s="68">
        <f>IF(OR(C1024="",E1024=""),"",E1024-Setup!$D$7)</f>
        <v/>
      </c>
      <c r="G1024" s="74">
        <f>IF(R1024="","",IF(INDEX('Recurring Schedule'!$H$6:$H$45,R1024)="","",INDEX('Recurring Schedule'!$H$6:$H$45,R1024)))</f>
        <v/>
      </c>
      <c r="H1024" s="74">
        <f>IF(R1024="","",IF(INDEX('Recurring Schedule'!$I$6:$I$45,R1024)="","",INDEX('Recurring Schedule'!$I$6:$I$45,R1024)))</f>
        <v/>
      </c>
      <c r="I1024" s="36">
        <f>IF(OR(G1024="",H1024=""),"",TRIM(IF(HOUR(H1024-G1024)&gt;0,HOUR(H1024-G1024)&amp;" hr ","")&amp;IF(MINUTE(H1024-G1024)&gt;0,MINUTE(H1024-G1024)&amp;" min","")))</f>
        <v/>
      </c>
      <c r="J1024" s="66" t="n"/>
      <c r="K1024" s="70" t="n"/>
      <c r="L1024" s="36">
        <f>IF(R1024="","",IF(INDEX('Recurring Schedule'!$J$6:$J$45,R1024)="","",INDEX('Recurring Schedule'!$J$6:$J$45,R1024)))</f>
        <v/>
      </c>
      <c r="M1024" s="36">
        <f>IF(R1024="","",IF(INDEX('Recurring Schedule'!$K$6:$K$45,R1024)="","",INDEX('Recurring Schedule'!$K$6:$K$45,R1024)))</f>
        <v/>
      </c>
      <c r="N1024" s="36">
        <f>IF(R1024="","",IF(INDEX('Recurring Schedule'!$L$6:$L$45,R1024)="","",INDEX('Recurring Schedule'!$L$6:$L$45,R1024)))</f>
        <v/>
      </c>
      <c r="O1024" s="36">
        <f>IF(C1024="","",IF(AND(OR(L1024="1-Urgent",L1024="2-High"),M1024="✓"),"DO FIRST",IF(M1024="✓","SCHEDULE",IF(OR(L1024="1-Urgent",L1024="2-High"),"DELEGATE","DELETE"))))</f>
        <v/>
      </c>
      <c r="P1024" s="65" t="n"/>
      <c r="Q1024">
        <f>IF(1019&gt;Calc!$AQ$368,"",MATCH(1018,Calc!$AQ$2:$AQ$367,1))</f>
        <v/>
      </c>
      <c r="R1024">
        <f>IF(Q1024="","",SMALL(INDEX(Calc!$B$2:$AO$367,Q1024,0),1019-INDEX(Calc!$AQ$2:$AQ$367,Q1024)))</f>
        <v/>
      </c>
    </row>
    <row r="1025">
      <c r="B1025" s="71">
        <f>IF(R1025="","",1020)</f>
        <v/>
      </c>
      <c r="C1025" s="75">
        <f>IF(R1025="","",IF(INDEX('Recurring Schedule'!$C$6:$C$45,R1025)="","",INDEX('Recurring Schedule'!$C$6:$C$45,R1025)))</f>
        <v/>
      </c>
      <c r="D1025" s="73">
        <f>IF(R1025="","",IF(INDEX('Recurring Schedule'!$D$6:$D$45,R1025)="","",INDEX('Recurring Schedule'!$D$6:$D$45,R1025)))</f>
        <v/>
      </c>
      <c r="E1025" s="76">
        <f>IF(Q1025="","",INDEX(Calc!$A$2:$A$367,Q1025))</f>
        <v/>
      </c>
      <c r="F1025" s="72">
        <f>IF(OR(C1025="",E1025=""),"",E1025-Setup!$D$7)</f>
        <v/>
      </c>
      <c r="G1025" s="77">
        <f>IF(R1025="","",IF(INDEX('Recurring Schedule'!$H$6:$H$45,R1025)="","",INDEX('Recurring Schedule'!$H$6:$H$45,R1025)))</f>
        <v/>
      </c>
      <c r="H1025" s="77">
        <f>IF(R1025="","",IF(INDEX('Recurring Schedule'!$I$6:$I$45,R1025)="","",INDEX('Recurring Schedule'!$I$6:$I$45,R1025)))</f>
        <v/>
      </c>
      <c r="I1025" s="73">
        <f>IF(OR(G1025="",H1025=""),"",TRIM(IF(HOUR(H1025-G1025)&gt;0,HOUR(H1025-G1025)&amp;" hr ","")&amp;IF(MINUTE(H1025-G1025)&gt;0,MINUTE(H1025-G1025)&amp;" min","")))</f>
        <v/>
      </c>
      <c r="J1025" s="66" t="n"/>
      <c r="K1025" s="70" t="n"/>
      <c r="L1025" s="73">
        <f>IF(R1025="","",IF(INDEX('Recurring Schedule'!$J$6:$J$45,R1025)="","",INDEX('Recurring Schedule'!$J$6:$J$45,R1025)))</f>
        <v/>
      </c>
      <c r="M1025" s="73">
        <f>IF(R1025="","",IF(INDEX('Recurring Schedule'!$K$6:$K$45,R1025)="","",INDEX('Recurring Schedule'!$K$6:$K$45,R1025)))</f>
        <v/>
      </c>
      <c r="N1025" s="73">
        <f>IF(R1025="","",IF(INDEX('Recurring Schedule'!$L$6:$L$45,R1025)="","",INDEX('Recurring Schedule'!$L$6:$L$45,R1025)))</f>
        <v/>
      </c>
      <c r="O1025" s="73">
        <f>IF(C1025="","",IF(AND(OR(L1025="1-Urgent",L1025="2-High"),M1025="✓"),"DO FIRST",IF(M1025="✓","SCHEDULE",IF(OR(L1025="1-Urgent",L1025="2-High"),"DELEGATE","DELETE"))))</f>
        <v/>
      </c>
      <c r="P1025" s="65" t="n"/>
      <c r="Q1025">
        <f>IF(1020&gt;Calc!$AQ$368,"",MATCH(1019,Calc!$AQ$2:$AQ$367,1))</f>
        <v/>
      </c>
      <c r="R1025">
        <f>IF(Q1025="","",SMALL(INDEX(Calc!$B$2:$AO$367,Q1025,0),1020-INDEX(Calc!$AQ$2:$AQ$367,Q1025)))</f>
        <v/>
      </c>
    </row>
    <row r="1026">
      <c r="B1026" s="64">
        <f>IF(R1026="","",1021)</f>
        <v/>
      </c>
      <c r="C1026" s="37">
        <f>IF(R1026="","",IF(INDEX('Recurring Schedule'!$C$6:$C$45,R1026)="","",INDEX('Recurring Schedule'!$C$6:$C$45,R1026)))</f>
        <v/>
      </c>
      <c r="D1026" s="36">
        <f>IF(R1026="","",IF(INDEX('Recurring Schedule'!$D$6:$D$45,R1026)="","",INDEX('Recurring Schedule'!$D$6:$D$45,R1026)))</f>
        <v/>
      </c>
      <c r="E1026" s="38">
        <f>IF(Q1026="","",INDEX(Calc!$A$2:$A$367,Q1026))</f>
        <v/>
      </c>
      <c r="F1026" s="68">
        <f>IF(OR(C1026="",E1026=""),"",E1026-Setup!$D$7)</f>
        <v/>
      </c>
      <c r="G1026" s="74">
        <f>IF(R1026="","",IF(INDEX('Recurring Schedule'!$H$6:$H$45,R1026)="","",INDEX('Recurring Schedule'!$H$6:$H$45,R1026)))</f>
        <v/>
      </c>
      <c r="H1026" s="74">
        <f>IF(R1026="","",IF(INDEX('Recurring Schedule'!$I$6:$I$45,R1026)="","",INDEX('Recurring Schedule'!$I$6:$I$45,R1026)))</f>
        <v/>
      </c>
      <c r="I1026" s="36">
        <f>IF(OR(G1026="",H1026=""),"",TRIM(IF(HOUR(H1026-G1026)&gt;0,HOUR(H1026-G1026)&amp;" hr ","")&amp;IF(MINUTE(H1026-G1026)&gt;0,MINUTE(H1026-G1026)&amp;" min","")))</f>
        <v/>
      </c>
      <c r="J1026" s="66" t="n"/>
      <c r="K1026" s="70" t="n"/>
      <c r="L1026" s="36">
        <f>IF(R1026="","",IF(INDEX('Recurring Schedule'!$J$6:$J$45,R1026)="","",INDEX('Recurring Schedule'!$J$6:$J$45,R1026)))</f>
        <v/>
      </c>
      <c r="M1026" s="36">
        <f>IF(R1026="","",IF(INDEX('Recurring Schedule'!$K$6:$K$45,R1026)="","",INDEX('Recurring Schedule'!$K$6:$K$45,R1026)))</f>
        <v/>
      </c>
      <c r="N1026" s="36">
        <f>IF(R1026="","",IF(INDEX('Recurring Schedule'!$L$6:$L$45,R1026)="","",INDEX('Recurring Schedule'!$L$6:$L$45,R1026)))</f>
        <v/>
      </c>
      <c r="O1026" s="36">
        <f>IF(C1026="","",IF(AND(OR(L1026="1-Urgent",L1026="2-High"),M1026="✓"),"DO FIRST",IF(M1026="✓","SCHEDULE",IF(OR(L1026="1-Urgent",L1026="2-High"),"DELEGATE","DELETE"))))</f>
        <v/>
      </c>
      <c r="P1026" s="65" t="n"/>
      <c r="Q1026">
        <f>IF(1021&gt;Calc!$AQ$368,"",MATCH(1020,Calc!$AQ$2:$AQ$367,1))</f>
        <v/>
      </c>
      <c r="R1026">
        <f>IF(Q1026="","",SMALL(INDEX(Calc!$B$2:$AO$367,Q1026,0),1021-INDEX(Calc!$AQ$2:$AQ$367,Q1026)))</f>
        <v/>
      </c>
    </row>
    <row r="1027">
      <c r="B1027" s="71">
        <f>IF(R1027="","",1022)</f>
        <v/>
      </c>
      <c r="C1027" s="75">
        <f>IF(R1027="","",IF(INDEX('Recurring Schedule'!$C$6:$C$45,R1027)="","",INDEX('Recurring Schedule'!$C$6:$C$45,R1027)))</f>
        <v/>
      </c>
      <c r="D1027" s="73">
        <f>IF(R1027="","",IF(INDEX('Recurring Schedule'!$D$6:$D$45,R1027)="","",INDEX('Recurring Schedule'!$D$6:$D$45,R1027)))</f>
        <v/>
      </c>
      <c r="E1027" s="76">
        <f>IF(Q1027="","",INDEX(Calc!$A$2:$A$367,Q1027))</f>
        <v/>
      </c>
      <c r="F1027" s="72">
        <f>IF(OR(C1027="",E1027=""),"",E1027-Setup!$D$7)</f>
        <v/>
      </c>
      <c r="G1027" s="77">
        <f>IF(R1027="","",IF(INDEX('Recurring Schedule'!$H$6:$H$45,R1027)="","",INDEX('Recurring Schedule'!$H$6:$H$45,R1027)))</f>
        <v/>
      </c>
      <c r="H1027" s="77">
        <f>IF(R1027="","",IF(INDEX('Recurring Schedule'!$I$6:$I$45,R1027)="","",INDEX('Recurring Schedule'!$I$6:$I$45,R1027)))</f>
        <v/>
      </c>
      <c r="I1027" s="73">
        <f>IF(OR(G1027="",H1027=""),"",TRIM(IF(HOUR(H1027-G1027)&gt;0,HOUR(H1027-G1027)&amp;" hr ","")&amp;IF(MINUTE(H1027-G1027)&gt;0,MINUTE(H1027-G1027)&amp;" min","")))</f>
        <v/>
      </c>
      <c r="J1027" s="66" t="n"/>
      <c r="K1027" s="70" t="n"/>
      <c r="L1027" s="73">
        <f>IF(R1027="","",IF(INDEX('Recurring Schedule'!$J$6:$J$45,R1027)="","",INDEX('Recurring Schedule'!$J$6:$J$45,R1027)))</f>
        <v/>
      </c>
      <c r="M1027" s="73">
        <f>IF(R1027="","",IF(INDEX('Recurring Schedule'!$K$6:$K$45,R1027)="","",INDEX('Recurring Schedule'!$K$6:$K$45,R1027)))</f>
        <v/>
      </c>
      <c r="N1027" s="73">
        <f>IF(R1027="","",IF(INDEX('Recurring Schedule'!$L$6:$L$45,R1027)="","",INDEX('Recurring Schedule'!$L$6:$L$45,R1027)))</f>
        <v/>
      </c>
      <c r="O1027" s="73">
        <f>IF(C1027="","",IF(AND(OR(L1027="1-Urgent",L1027="2-High"),M1027="✓"),"DO FIRST",IF(M1027="✓","SCHEDULE",IF(OR(L1027="1-Urgent",L1027="2-High"),"DELEGATE","DELETE"))))</f>
        <v/>
      </c>
      <c r="P1027" s="65" t="n"/>
      <c r="Q1027">
        <f>IF(1022&gt;Calc!$AQ$368,"",MATCH(1021,Calc!$AQ$2:$AQ$367,1))</f>
        <v/>
      </c>
      <c r="R1027">
        <f>IF(Q1027="","",SMALL(INDEX(Calc!$B$2:$AO$367,Q1027,0),1022-INDEX(Calc!$AQ$2:$AQ$367,Q1027)))</f>
        <v/>
      </c>
    </row>
    <row r="1028">
      <c r="B1028" s="64">
        <f>IF(R1028="","",1023)</f>
        <v/>
      </c>
      <c r="C1028" s="37">
        <f>IF(R1028="","",IF(INDEX('Recurring Schedule'!$C$6:$C$45,R1028)="","",INDEX('Recurring Schedule'!$C$6:$C$45,R1028)))</f>
        <v/>
      </c>
      <c r="D1028" s="36">
        <f>IF(R1028="","",IF(INDEX('Recurring Schedule'!$D$6:$D$45,R1028)="","",INDEX('Recurring Schedule'!$D$6:$D$45,R1028)))</f>
        <v/>
      </c>
      <c r="E1028" s="38">
        <f>IF(Q1028="","",INDEX(Calc!$A$2:$A$367,Q1028))</f>
        <v/>
      </c>
      <c r="F1028" s="68">
        <f>IF(OR(C1028="",E1028=""),"",E1028-Setup!$D$7)</f>
        <v/>
      </c>
      <c r="G1028" s="74">
        <f>IF(R1028="","",IF(INDEX('Recurring Schedule'!$H$6:$H$45,R1028)="","",INDEX('Recurring Schedule'!$H$6:$H$45,R1028)))</f>
        <v/>
      </c>
      <c r="H1028" s="74">
        <f>IF(R1028="","",IF(INDEX('Recurring Schedule'!$I$6:$I$45,R1028)="","",INDEX('Recurring Schedule'!$I$6:$I$45,R1028)))</f>
        <v/>
      </c>
      <c r="I1028" s="36">
        <f>IF(OR(G1028="",H1028=""),"",TRIM(IF(HOUR(H1028-G1028)&gt;0,HOUR(H1028-G1028)&amp;" hr ","")&amp;IF(MINUTE(H1028-G1028)&gt;0,MINUTE(H1028-G1028)&amp;" min","")))</f>
        <v/>
      </c>
      <c r="J1028" s="66" t="n"/>
      <c r="K1028" s="70" t="n"/>
      <c r="L1028" s="36">
        <f>IF(R1028="","",IF(INDEX('Recurring Schedule'!$J$6:$J$45,R1028)="","",INDEX('Recurring Schedule'!$J$6:$J$45,R1028)))</f>
        <v/>
      </c>
      <c r="M1028" s="36">
        <f>IF(R1028="","",IF(INDEX('Recurring Schedule'!$K$6:$K$45,R1028)="","",INDEX('Recurring Schedule'!$K$6:$K$45,R1028)))</f>
        <v/>
      </c>
      <c r="N1028" s="36">
        <f>IF(R1028="","",IF(INDEX('Recurring Schedule'!$L$6:$L$45,R1028)="","",INDEX('Recurring Schedule'!$L$6:$L$45,R1028)))</f>
        <v/>
      </c>
      <c r="O1028" s="36">
        <f>IF(C1028="","",IF(AND(OR(L1028="1-Urgent",L1028="2-High"),M1028="✓"),"DO FIRST",IF(M1028="✓","SCHEDULE",IF(OR(L1028="1-Urgent",L1028="2-High"),"DELEGATE","DELETE"))))</f>
        <v/>
      </c>
      <c r="P1028" s="65" t="n"/>
      <c r="Q1028">
        <f>IF(1023&gt;Calc!$AQ$368,"",MATCH(1022,Calc!$AQ$2:$AQ$367,1))</f>
        <v/>
      </c>
      <c r="R1028">
        <f>IF(Q1028="","",SMALL(INDEX(Calc!$B$2:$AO$367,Q1028,0),1023-INDEX(Calc!$AQ$2:$AQ$367,Q1028)))</f>
        <v/>
      </c>
    </row>
    <row r="1029">
      <c r="B1029" s="71">
        <f>IF(R1029="","",1024)</f>
        <v/>
      </c>
      <c r="C1029" s="75">
        <f>IF(R1029="","",IF(INDEX('Recurring Schedule'!$C$6:$C$45,R1029)="","",INDEX('Recurring Schedule'!$C$6:$C$45,R1029)))</f>
        <v/>
      </c>
      <c r="D1029" s="73">
        <f>IF(R1029="","",IF(INDEX('Recurring Schedule'!$D$6:$D$45,R1029)="","",INDEX('Recurring Schedule'!$D$6:$D$45,R1029)))</f>
        <v/>
      </c>
      <c r="E1029" s="76">
        <f>IF(Q1029="","",INDEX(Calc!$A$2:$A$367,Q1029))</f>
        <v/>
      </c>
      <c r="F1029" s="72">
        <f>IF(OR(C1029="",E1029=""),"",E1029-Setup!$D$7)</f>
        <v/>
      </c>
      <c r="G1029" s="77">
        <f>IF(R1029="","",IF(INDEX('Recurring Schedule'!$H$6:$H$45,R1029)="","",INDEX('Recurring Schedule'!$H$6:$H$45,R1029)))</f>
        <v/>
      </c>
      <c r="H1029" s="77">
        <f>IF(R1029="","",IF(INDEX('Recurring Schedule'!$I$6:$I$45,R1029)="","",INDEX('Recurring Schedule'!$I$6:$I$45,R1029)))</f>
        <v/>
      </c>
      <c r="I1029" s="73">
        <f>IF(OR(G1029="",H1029=""),"",TRIM(IF(HOUR(H1029-G1029)&gt;0,HOUR(H1029-G1029)&amp;" hr ","")&amp;IF(MINUTE(H1029-G1029)&gt;0,MINUTE(H1029-G1029)&amp;" min","")))</f>
        <v/>
      </c>
      <c r="J1029" s="66" t="n"/>
      <c r="K1029" s="70" t="n"/>
      <c r="L1029" s="73">
        <f>IF(R1029="","",IF(INDEX('Recurring Schedule'!$J$6:$J$45,R1029)="","",INDEX('Recurring Schedule'!$J$6:$J$45,R1029)))</f>
        <v/>
      </c>
      <c r="M1029" s="73">
        <f>IF(R1029="","",IF(INDEX('Recurring Schedule'!$K$6:$K$45,R1029)="","",INDEX('Recurring Schedule'!$K$6:$K$45,R1029)))</f>
        <v/>
      </c>
      <c r="N1029" s="73">
        <f>IF(R1029="","",IF(INDEX('Recurring Schedule'!$L$6:$L$45,R1029)="","",INDEX('Recurring Schedule'!$L$6:$L$45,R1029)))</f>
        <v/>
      </c>
      <c r="O1029" s="73">
        <f>IF(C1029="","",IF(AND(OR(L1029="1-Urgent",L1029="2-High"),M1029="✓"),"DO FIRST",IF(M1029="✓","SCHEDULE",IF(OR(L1029="1-Urgent",L1029="2-High"),"DELEGATE","DELETE"))))</f>
        <v/>
      </c>
      <c r="P1029" s="65" t="n"/>
      <c r="Q1029">
        <f>IF(1024&gt;Calc!$AQ$368,"",MATCH(1023,Calc!$AQ$2:$AQ$367,1))</f>
        <v/>
      </c>
      <c r="R1029">
        <f>IF(Q1029="","",SMALL(INDEX(Calc!$B$2:$AO$367,Q1029,0),1024-INDEX(Calc!$AQ$2:$AQ$367,Q1029)))</f>
        <v/>
      </c>
    </row>
    <row r="1030">
      <c r="B1030" s="64">
        <f>IF(R1030="","",1025)</f>
        <v/>
      </c>
      <c r="C1030" s="37">
        <f>IF(R1030="","",IF(INDEX('Recurring Schedule'!$C$6:$C$45,R1030)="","",INDEX('Recurring Schedule'!$C$6:$C$45,R1030)))</f>
        <v/>
      </c>
      <c r="D1030" s="36">
        <f>IF(R1030="","",IF(INDEX('Recurring Schedule'!$D$6:$D$45,R1030)="","",INDEX('Recurring Schedule'!$D$6:$D$45,R1030)))</f>
        <v/>
      </c>
      <c r="E1030" s="38">
        <f>IF(Q1030="","",INDEX(Calc!$A$2:$A$367,Q1030))</f>
        <v/>
      </c>
      <c r="F1030" s="68">
        <f>IF(OR(C1030="",E1030=""),"",E1030-Setup!$D$7)</f>
        <v/>
      </c>
      <c r="G1030" s="74">
        <f>IF(R1030="","",IF(INDEX('Recurring Schedule'!$H$6:$H$45,R1030)="","",INDEX('Recurring Schedule'!$H$6:$H$45,R1030)))</f>
        <v/>
      </c>
      <c r="H1030" s="74">
        <f>IF(R1030="","",IF(INDEX('Recurring Schedule'!$I$6:$I$45,R1030)="","",INDEX('Recurring Schedule'!$I$6:$I$45,R1030)))</f>
        <v/>
      </c>
      <c r="I1030" s="36">
        <f>IF(OR(G1030="",H1030=""),"",TRIM(IF(HOUR(H1030-G1030)&gt;0,HOUR(H1030-G1030)&amp;" hr ","")&amp;IF(MINUTE(H1030-G1030)&gt;0,MINUTE(H1030-G1030)&amp;" min","")))</f>
        <v/>
      </c>
      <c r="J1030" s="66" t="n"/>
      <c r="K1030" s="70" t="n"/>
      <c r="L1030" s="36">
        <f>IF(R1030="","",IF(INDEX('Recurring Schedule'!$J$6:$J$45,R1030)="","",INDEX('Recurring Schedule'!$J$6:$J$45,R1030)))</f>
        <v/>
      </c>
      <c r="M1030" s="36">
        <f>IF(R1030="","",IF(INDEX('Recurring Schedule'!$K$6:$K$45,R1030)="","",INDEX('Recurring Schedule'!$K$6:$K$45,R1030)))</f>
        <v/>
      </c>
      <c r="N1030" s="36">
        <f>IF(R1030="","",IF(INDEX('Recurring Schedule'!$L$6:$L$45,R1030)="","",INDEX('Recurring Schedule'!$L$6:$L$45,R1030)))</f>
        <v/>
      </c>
      <c r="O1030" s="36">
        <f>IF(C1030="","",IF(AND(OR(L1030="1-Urgent",L1030="2-High"),M1030="✓"),"DO FIRST",IF(M1030="✓","SCHEDULE",IF(OR(L1030="1-Urgent",L1030="2-High"),"DELEGATE","DELETE"))))</f>
        <v/>
      </c>
      <c r="P1030" s="65" t="n"/>
      <c r="Q1030">
        <f>IF(1025&gt;Calc!$AQ$368,"",MATCH(1024,Calc!$AQ$2:$AQ$367,1))</f>
        <v/>
      </c>
      <c r="R1030">
        <f>IF(Q1030="","",SMALL(INDEX(Calc!$B$2:$AO$367,Q1030,0),1025-INDEX(Calc!$AQ$2:$AQ$367,Q1030)))</f>
        <v/>
      </c>
    </row>
    <row r="1031">
      <c r="B1031" s="71">
        <f>IF(R1031="","",1026)</f>
        <v/>
      </c>
      <c r="C1031" s="75">
        <f>IF(R1031="","",IF(INDEX('Recurring Schedule'!$C$6:$C$45,R1031)="","",INDEX('Recurring Schedule'!$C$6:$C$45,R1031)))</f>
        <v/>
      </c>
      <c r="D1031" s="73">
        <f>IF(R1031="","",IF(INDEX('Recurring Schedule'!$D$6:$D$45,R1031)="","",INDEX('Recurring Schedule'!$D$6:$D$45,R1031)))</f>
        <v/>
      </c>
      <c r="E1031" s="76">
        <f>IF(Q1031="","",INDEX(Calc!$A$2:$A$367,Q1031))</f>
        <v/>
      </c>
      <c r="F1031" s="72">
        <f>IF(OR(C1031="",E1031=""),"",E1031-Setup!$D$7)</f>
        <v/>
      </c>
      <c r="G1031" s="77">
        <f>IF(R1031="","",IF(INDEX('Recurring Schedule'!$H$6:$H$45,R1031)="","",INDEX('Recurring Schedule'!$H$6:$H$45,R1031)))</f>
        <v/>
      </c>
      <c r="H1031" s="77">
        <f>IF(R1031="","",IF(INDEX('Recurring Schedule'!$I$6:$I$45,R1031)="","",INDEX('Recurring Schedule'!$I$6:$I$45,R1031)))</f>
        <v/>
      </c>
      <c r="I1031" s="73">
        <f>IF(OR(G1031="",H1031=""),"",TRIM(IF(HOUR(H1031-G1031)&gt;0,HOUR(H1031-G1031)&amp;" hr ","")&amp;IF(MINUTE(H1031-G1031)&gt;0,MINUTE(H1031-G1031)&amp;" min","")))</f>
        <v/>
      </c>
      <c r="J1031" s="66" t="n"/>
      <c r="K1031" s="70" t="n"/>
      <c r="L1031" s="73">
        <f>IF(R1031="","",IF(INDEX('Recurring Schedule'!$J$6:$J$45,R1031)="","",INDEX('Recurring Schedule'!$J$6:$J$45,R1031)))</f>
        <v/>
      </c>
      <c r="M1031" s="73">
        <f>IF(R1031="","",IF(INDEX('Recurring Schedule'!$K$6:$K$45,R1031)="","",INDEX('Recurring Schedule'!$K$6:$K$45,R1031)))</f>
        <v/>
      </c>
      <c r="N1031" s="73">
        <f>IF(R1031="","",IF(INDEX('Recurring Schedule'!$L$6:$L$45,R1031)="","",INDEX('Recurring Schedule'!$L$6:$L$45,R1031)))</f>
        <v/>
      </c>
      <c r="O1031" s="73">
        <f>IF(C1031="","",IF(AND(OR(L1031="1-Urgent",L1031="2-High"),M1031="✓"),"DO FIRST",IF(M1031="✓","SCHEDULE",IF(OR(L1031="1-Urgent",L1031="2-High"),"DELEGATE","DELETE"))))</f>
        <v/>
      </c>
      <c r="P1031" s="65" t="n"/>
      <c r="Q1031">
        <f>IF(1026&gt;Calc!$AQ$368,"",MATCH(1025,Calc!$AQ$2:$AQ$367,1))</f>
        <v/>
      </c>
      <c r="R1031">
        <f>IF(Q1031="","",SMALL(INDEX(Calc!$B$2:$AO$367,Q1031,0),1026-INDEX(Calc!$AQ$2:$AQ$367,Q1031)))</f>
        <v/>
      </c>
    </row>
    <row r="1032">
      <c r="B1032" s="64">
        <f>IF(R1032="","",1027)</f>
        <v/>
      </c>
      <c r="C1032" s="37">
        <f>IF(R1032="","",IF(INDEX('Recurring Schedule'!$C$6:$C$45,R1032)="","",INDEX('Recurring Schedule'!$C$6:$C$45,R1032)))</f>
        <v/>
      </c>
      <c r="D1032" s="36">
        <f>IF(R1032="","",IF(INDEX('Recurring Schedule'!$D$6:$D$45,R1032)="","",INDEX('Recurring Schedule'!$D$6:$D$45,R1032)))</f>
        <v/>
      </c>
      <c r="E1032" s="38">
        <f>IF(Q1032="","",INDEX(Calc!$A$2:$A$367,Q1032))</f>
        <v/>
      </c>
      <c r="F1032" s="68">
        <f>IF(OR(C1032="",E1032=""),"",E1032-Setup!$D$7)</f>
        <v/>
      </c>
      <c r="G1032" s="74">
        <f>IF(R1032="","",IF(INDEX('Recurring Schedule'!$H$6:$H$45,R1032)="","",INDEX('Recurring Schedule'!$H$6:$H$45,R1032)))</f>
        <v/>
      </c>
      <c r="H1032" s="74">
        <f>IF(R1032="","",IF(INDEX('Recurring Schedule'!$I$6:$I$45,R1032)="","",INDEX('Recurring Schedule'!$I$6:$I$45,R1032)))</f>
        <v/>
      </c>
      <c r="I1032" s="36">
        <f>IF(OR(G1032="",H1032=""),"",TRIM(IF(HOUR(H1032-G1032)&gt;0,HOUR(H1032-G1032)&amp;" hr ","")&amp;IF(MINUTE(H1032-G1032)&gt;0,MINUTE(H1032-G1032)&amp;" min","")))</f>
        <v/>
      </c>
      <c r="J1032" s="66" t="n"/>
      <c r="K1032" s="70" t="n"/>
      <c r="L1032" s="36">
        <f>IF(R1032="","",IF(INDEX('Recurring Schedule'!$J$6:$J$45,R1032)="","",INDEX('Recurring Schedule'!$J$6:$J$45,R1032)))</f>
        <v/>
      </c>
      <c r="M1032" s="36">
        <f>IF(R1032="","",IF(INDEX('Recurring Schedule'!$K$6:$K$45,R1032)="","",INDEX('Recurring Schedule'!$K$6:$K$45,R1032)))</f>
        <v/>
      </c>
      <c r="N1032" s="36">
        <f>IF(R1032="","",IF(INDEX('Recurring Schedule'!$L$6:$L$45,R1032)="","",INDEX('Recurring Schedule'!$L$6:$L$45,R1032)))</f>
        <v/>
      </c>
      <c r="O1032" s="36">
        <f>IF(C1032="","",IF(AND(OR(L1032="1-Urgent",L1032="2-High"),M1032="✓"),"DO FIRST",IF(M1032="✓","SCHEDULE",IF(OR(L1032="1-Urgent",L1032="2-High"),"DELEGATE","DELETE"))))</f>
        <v/>
      </c>
      <c r="P1032" s="65" t="n"/>
      <c r="Q1032">
        <f>IF(1027&gt;Calc!$AQ$368,"",MATCH(1026,Calc!$AQ$2:$AQ$367,1))</f>
        <v/>
      </c>
      <c r="R1032">
        <f>IF(Q1032="","",SMALL(INDEX(Calc!$B$2:$AO$367,Q1032,0),1027-INDEX(Calc!$AQ$2:$AQ$367,Q1032)))</f>
        <v/>
      </c>
    </row>
    <row r="1033">
      <c r="B1033" s="71">
        <f>IF(R1033="","",1028)</f>
        <v/>
      </c>
      <c r="C1033" s="75">
        <f>IF(R1033="","",IF(INDEX('Recurring Schedule'!$C$6:$C$45,R1033)="","",INDEX('Recurring Schedule'!$C$6:$C$45,R1033)))</f>
        <v/>
      </c>
      <c r="D1033" s="73">
        <f>IF(R1033="","",IF(INDEX('Recurring Schedule'!$D$6:$D$45,R1033)="","",INDEX('Recurring Schedule'!$D$6:$D$45,R1033)))</f>
        <v/>
      </c>
      <c r="E1033" s="76">
        <f>IF(Q1033="","",INDEX(Calc!$A$2:$A$367,Q1033))</f>
        <v/>
      </c>
      <c r="F1033" s="72">
        <f>IF(OR(C1033="",E1033=""),"",E1033-Setup!$D$7)</f>
        <v/>
      </c>
      <c r="G1033" s="77">
        <f>IF(R1033="","",IF(INDEX('Recurring Schedule'!$H$6:$H$45,R1033)="","",INDEX('Recurring Schedule'!$H$6:$H$45,R1033)))</f>
        <v/>
      </c>
      <c r="H1033" s="77">
        <f>IF(R1033="","",IF(INDEX('Recurring Schedule'!$I$6:$I$45,R1033)="","",INDEX('Recurring Schedule'!$I$6:$I$45,R1033)))</f>
        <v/>
      </c>
      <c r="I1033" s="73">
        <f>IF(OR(G1033="",H1033=""),"",TRIM(IF(HOUR(H1033-G1033)&gt;0,HOUR(H1033-G1033)&amp;" hr ","")&amp;IF(MINUTE(H1033-G1033)&gt;0,MINUTE(H1033-G1033)&amp;" min","")))</f>
        <v/>
      </c>
      <c r="J1033" s="66" t="n"/>
      <c r="K1033" s="70" t="n"/>
      <c r="L1033" s="73">
        <f>IF(R1033="","",IF(INDEX('Recurring Schedule'!$J$6:$J$45,R1033)="","",INDEX('Recurring Schedule'!$J$6:$J$45,R1033)))</f>
        <v/>
      </c>
      <c r="M1033" s="73">
        <f>IF(R1033="","",IF(INDEX('Recurring Schedule'!$K$6:$K$45,R1033)="","",INDEX('Recurring Schedule'!$K$6:$K$45,R1033)))</f>
        <v/>
      </c>
      <c r="N1033" s="73">
        <f>IF(R1033="","",IF(INDEX('Recurring Schedule'!$L$6:$L$45,R1033)="","",INDEX('Recurring Schedule'!$L$6:$L$45,R1033)))</f>
        <v/>
      </c>
      <c r="O1033" s="73">
        <f>IF(C1033="","",IF(AND(OR(L1033="1-Urgent",L1033="2-High"),M1033="✓"),"DO FIRST",IF(M1033="✓","SCHEDULE",IF(OR(L1033="1-Urgent",L1033="2-High"),"DELEGATE","DELETE"))))</f>
        <v/>
      </c>
      <c r="P1033" s="65" t="n"/>
      <c r="Q1033">
        <f>IF(1028&gt;Calc!$AQ$368,"",MATCH(1027,Calc!$AQ$2:$AQ$367,1))</f>
        <v/>
      </c>
      <c r="R1033">
        <f>IF(Q1033="","",SMALL(INDEX(Calc!$B$2:$AO$367,Q1033,0),1028-INDEX(Calc!$AQ$2:$AQ$367,Q1033)))</f>
        <v/>
      </c>
    </row>
    <row r="1034">
      <c r="B1034" s="64">
        <f>IF(R1034="","",1029)</f>
        <v/>
      </c>
      <c r="C1034" s="37">
        <f>IF(R1034="","",IF(INDEX('Recurring Schedule'!$C$6:$C$45,R1034)="","",INDEX('Recurring Schedule'!$C$6:$C$45,R1034)))</f>
        <v/>
      </c>
      <c r="D1034" s="36">
        <f>IF(R1034="","",IF(INDEX('Recurring Schedule'!$D$6:$D$45,R1034)="","",INDEX('Recurring Schedule'!$D$6:$D$45,R1034)))</f>
        <v/>
      </c>
      <c r="E1034" s="38">
        <f>IF(Q1034="","",INDEX(Calc!$A$2:$A$367,Q1034))</f>
        <v/>
      </c>
      <c r="F1034" s="68">
        <f>IF(OR(C1034="",E1034=""),"",E1034-Setup!$D$7)</f>
        <v/>
      </c>
      <c r="G1034" s="74">
        <f>IF(R1034="","",IF(INDEX('Recurring Schedule'!$H$6:$H$45,R1034)="","",INDEX('Recurring Schedule'!$H$6:$H$45,R1034)))</f>
        <v/>
      </c>
      <c r="H1034" s="74">
        <f>IF(R1034="","",IF(INDEX('Recurring Schedule'!$I$6:$I$45,R1034)="","",INDEX('Recurring Schedule'!$I$6:$I$45,R1034)))</f>
        <v/>
      </c>
      <c r="I1034" s="36">
        <f>IF(OR(G1034="",H1034=""),"",TRIM(IF(HOUR(H1034-G1034)&gt;0,HOUR(H1034-G1034)&amp;" hr ","")&amp;IF(MINUTE(H1034-G1034)&gt;0,MINUTE(H1034-G1034)&amp;" min","")))</f>
        <v/>
      </c>
      <c r="J1034" s="66" t="n"/>
      <c r="K1034" s="70" t="n"/>
      <c r="L1034" s="36">
        <f>IF(R1034="","",IF(INDEX('Recurring Schedule'!$J$6:$J$45,R1034)="","",INDEX('Recurring Schedule'!$J$6:$J$45,R1034)))</f>
        <v/>
      </c>
      <c r="M1034" s="36">
        <f>IF(R1034="","",IF(INDEX('Recurring Schedule'!$K$6:$K$45,R1034)="","",INDEX('Recurring Schedule'!$K$6:$K$45,R1034)))</f>
        <v/>
      </c>
      <c r="N1034" s="36">
        <f>IF(R1034="","",IF(INDEX('Recurring Schedule'!$L$6:$L$45,R1034)="","",INDEX('Recurring Schedule'!$L$6:$L$45,R1034)))</f>
        <v/>
      </c>
      <c r="O1034" s="36">
        <f>IF(C1034="","",IF(AND(OR(L1034="1-Urgent",L1034="2-High"),M1034="✓"),"DO FIRST",IF(M1034="✓","SCHEDULE",IF(OR(L1034="1-Urgent",L1034="2-High"),"DELEGATE","DELETE"))))</f>
        <v/>
      </c>
      <c r="P1034" s="65" t="n"/>
      <c r="Q1034">
        <f>IF(1029&gt;Calc!$AQ$368,"",MATCH(1028,Calc!$AQ$2:$AQ$367,1))</f>
        <v/>
      </c>
      <c r="R1034">
        <f>IF(Q1034="","",SMALL(INDEX(Calc!$B$2:$AO$367,Q1034,0),1029-INDEX(Calc!$AQ$2:$AQ$367,Q1034)))</f>
        <v/>
      </c>
    </row>
    <row r="1035">
      <c r="B1035" s="71">
        <f>IF(R1035="","",1030)</f>
        <v/>
      </c>
      <c r="C1035" s="75">
        <f>IF(R1035="","",IF(INDEX('Recurring Schedule'!$C$6:$C$45,R1035)="","",INDEX('Recurring Schedule'!$C$6:$C$45,R1035)))</f>
        <v/>
      </c>
      <c r="D1035" s="73">
        <f>IF(R1035="","",IF(INDEX('Recurring Schedule'!$D$6:$D$45,R1035)="","",INDEX('Recurring Schedule'!$D$6:$D$45,R1035)))</f>
        <v/>
      </c>
      <c r="E1035" s="76">
        <f>IF(Q1035="","",INDEX(Calc!$A$2:$A$367,Q1035))</f>
        <v/>
      </c>
      <c r="F1035" s="72">
        <f>IF(OR(C1035="",E1035=""),"",E1035-Setup!$D$7)</f>
        <v/>
      </c>
      <c r="G1035" s="77">
        <f>IF(R1035="","",IF(INDEX('Recurring Schedule'!$H$6:$H$45,R1035)="","",INDEX('Recurring Schedule'!$H$6:$H$45,R1035)))</f>
        <v/>
      </c>
      <c r="H1035" s="77">
        <f>IF(R1035="","",IF(INDEX('Recurring Schedule'!$I$6:$I$45,R1035)="","",INDEX('Recurring Schedule'!$I$6:$I$45,R1035)))</f>
        <v/>
      </c>
      <c r="I1035" s="73">
        <f>IF(OR(G1035="",H1035=""),"",TRIM(IF(HOUR(H1035-G1035)&gt;0,HOUR(H1035-G1035)&amp;" hr ","")&amp;IF(MINUTE(H1035-G1035)&gt;0,MINUTE(H1035-G1035)&amp;" min","")))</f>
        <v/>
      </c>
      <c r="J1035" s="66" t="n"/>
      <c r="K1035" s="70" t="n"/>
      <c r="L1035" s="73">
        <f>IF(R1035="","",IF(INDEX('Recurring Schedule'!$J$6:$J$45,R1035)="","",INDEX('Recurring Schedule'!$J$6:$J$45,R1035)))</f>
        <v/>
      </c>
      <c r="M1035" s="73">
        <f>IF(R1035="","",IF(INDEX('Recurring Schedule'!$K$6:$K$45,R1035)="","",INDEX('Recurring Schedule'!$K$6:$K$45,R1035)))</f>
        <v/>
      </c>
      <c r="N1035" s="73">
        <f>IF(R1035="","",IF(INDEX('Recurring Schedule'!$L$6:$L$45,R1035)="","",INDEX('Recurring Schedule'!$L$6:$L$45,R1035)))</f>
        <v/>
      </c>
      <c r="O1035" s="73">
        <f>IF(C1035="","",IF(AND(OR(L1035="1-Urgent",L1035="2-High"),M1035="✓"),"DO FIRST",IF(M1035="✓","SCHEDULE",IF(OR(L1035="1-Urgent",L1035="2-High"),"DELEGATE","DELETE"))))</f>
        <v/>
      </c>
      <c r="P1035" s="65" t="n"/>
      <c r="Q1035">
        <f>IF(1030&gt;Calc!$AQ$368,"",MATCH(1029,Calc!$AQ$2:$AQ$367,1))</f>
        <v/>
      </c>
      <c r="R1035">
        <f>IF(Q1035="","",SMALL(INDEX(Calc!$B$2:$AO$367,Q1035,0),1030-INDEX(Calc!$AQ$2:$AQ$367,Q1035)))</f>
        <v/>
      </c>
    </row>
    <row r="1036">
      <c r="B1036" s="64">
        <f>IF(R1036="","",1031)</f>
        <v/>
      </c>
      <c r="C1036" s="37">
        <f>IF(R1036="","",IF(INDEX('Recurring Schedule'!$C$6:$C$45,R1036)="","",INDEX('Recurring Schedule'!$C$6:$C$45,R1036)))</f>
        <v/>
      </c>
      <c r="D1036" s="36">
        <f>IF(R1036="","",IF(INDEX('Recurring Schedule'!$D$6:$D$45,R1036)="","",INDEX('Recurring Schedule'!$D$6:$D$45,R1036)))</f>
        <v/>
      </c>
      <c r="E1036" s="38">
        <f>IF(Q1036="","",INDEX(Calc!$A$2:$A$367,Q1036))</f>
        <v/>
      </c>
      <c r="F1036" s="68">
        <f>IF(OR(C1036="",E1036=""),"",E1036-Setup!$D$7)</f>
        <v/>
      </c>
      <c r="G1036" s="74">
        <f>IF(R1036="","",IF(INDEX('Recurring Schedule'!$H$6:$H$45,R1036)="","",INDEX('Recurring Schedule'!$H$6:$H$45,R1036)))</f>
        <v/>
      </c>
      <c r="H1036" s="74">
        <f>IF(R1036="","",IF(INDEX('Recurring Schedule'!$I$6:$I$45,R1036)="","",INDEX('Recurring Schedule'!$I$6:$I$45,R1036)))</f>
        <v/>
      </c>
      <c r="I1036" s="36">
        <f>IF(OR(G1036="",H1036=""),"",TRIM(IF(HOUR(H1036-G1036)&gt;0,HOUR(H1036-G1036)&amp;" hr ","")&amp;IF(MINUTE(H1036-G1036)&gt;0,MINUTE(H1036-G1036)&amp;" min","")))</f>
        <v/>
      </c>
      <c r="J1036" s="66" t="n"/>
      <c r="K1036" s="70" t="n"/>
      <c r="L1036" s="36">
        <f>IF(R1036="","",IF(INDEX('Recurring Schedule'!$J$6:$J$45,R1036)="","",INDEX('Recurring Schedule'!$J$6:$J$45,R1036)))</f>
        <v/>
      </c>
      <c r="M1036" s="36">
        <f>IF(R1036="","",IF(INDEX('Recurring Schedule'!$K$6:$K$45,R1036)="","",INDEX('Recurring Schedule'!$K$6:$K$45,R1036)))</f>
        <v/>
      </c>
      <c r="N1036" s="36">
        <f>IF(R1036="","",IF(INDEX('Recurring Schedule'!$L$6:$L$45,R1036)="","",INDEX('Recurring Schedule'!$L$6:$L$45,R1036)))</f>
        <v/>
      </c>
      <c r="O1036" s="36">
        <f>IF(C1036="","",IF(AND(OR(L1036="1-Urgent",L1036="2-High"),M1036="✓"),"DO FIRST",IF(M1036="✓","SCHEDULE",IF(OR(L1036="1-Urgent",L1036="2-High"),"DELEGATE","DELETE"))))</f>
        <v/>
      </c>
      <c r="P1036" s="65" t="n"/>
      <c r="Q1036">
        <f>IF(1031&gt;Calc!$AQ$368,"",MATCH(1030,Calc!$AQ$2:$AQ$367,1))</f>
        <v/>
      </c>
      <c r="R1036">
        <f>IF(Q1036="","",SMALL(INDEX(Calc!$B$2:$AO$367,Q1036,0),1031-INDEX(Calc!$AQ$2:$AQ$367,Q1036)))</f>
        <v/>
      </c>
    </row>
    <row r="1037">
      <c r="B1037" s="71">
        <f>IF(R1037="","",1032)</f>
        <v/>
      </c>
      <c r="C1037" s="75">
        <f>IF(R1037="","",IF(INDEX('Recurring Schedule'!$C$6:$C$45,R1037)="","",INDEX('Recurring Schedule'!$C$6:$C$45,R1037)))</f>
        <v/>
      </c>
      <c r="D1037" s="73">
        <f>IF(R1037="","",IF(INDEX('Recurring Schedule'!$D$6:$D$45,R1037)="","",INDEX('Recurring Schedule'!$D$6:$D$45,R1037)))</f>
        <v/>
      </c>
      <c r="E1037" s="76">
        <f>IF(Q1037="","",INDEX(Calc!$A$2:$A$367,Q1037))</f>
        <v/>
      </c>
      <c r="F1037" s="72">
        <f>IF(OR(C1037="",E1037=""),"",E1037-Setup!$D$7)</f>
        <v/>
      </c>
      <c r="G1037" s="77">
        <f>IF(R1037="","",IF(INDEX('Recurring Schedule'!$H$6:$H$45,R1037)="","",INDEX('Recurring Schedule'!$H$6:$H$45,R1037)))</f>
        <v/>
      </c>
      <c r="H1037" s="77">
        <f>IF(R1037="","",IF(INDEX('Recurring Schedule'!$I$6:$I$45,R1037)="","",INDEX('Recurring Schedule'!$I$6:$I$45,R1037)))</f>
        <v/>
      </c>
      <c r="I1037" s="73">
        <f>IF(OR(G1037="",H1037=""),"",TRIM(IF(HOUR(H1037-G1037)&gt;0,HOUR(H1037-G1037)&amp;" hr ","")&amp;IF(MINUTE(H1037-G1037)&gt;0,MINUTE(H1037-G1037)&amp;" min","")))</f>
        <v/>
      </c>
      <c r="J1037" s="66" t="n"/>
      <c r="K1037" s="70" t="n"/>
      <c r="L1037" s="73">
        <f>IF(R1037="","",IF(INDEX('Recurring Schedule'!$J$6:$J$45,R1037)="","",INDEX('Recurring Schedule'!$J$6:$J$45,R1037)))</f>
        <v/>
      </c>
      <c r="M1037" s="73">
        <f>IF(R1037="","",IF(INDEX('Recurring Schedule'!$K$6:$K$45,R1037)="","",INDEX('Recurring Schedule'!$K$6:$K$45,R1037)))</f>
        <v/>
      </c>
      <c r="N1037" s="73">
        <f>IF(R1037="","",IF(INDEX('Recurring Schedule'!$L$6:$L$45,R1037)="","",INDEX('Recurring Schedule'!$L$6:$L$45,R1037)))</f>
        <v/>
      </c>
      <c r="O1037" s="73">
        <f>IF(C1037="","",IF(AND(OR(L1037="1-Urgent",L1037="2-High"),M1037="✓"),"DO FIRST",IF(M1037="✓","SCHEDULE",IF(OR(L1037="1-Urgent",L1037="2-High"),"DELEGATE","DELETE"))))</f>
        <v/>
      </c>
      <c r="P1037" s="65" t="n"/>
      <c r="Q1037">
        <f>IF(1032&gt;Calc!$AQ$368,"",MATCH(1031,Calc!$AQ$2:$AQ$367,1))</f>
        <v/>
      </c>
      <c r="R1037">
        <f>IF(Q1037="","",SMALL(INDEX(Calc!$B$2:$AO$367,Q1037,0),1032-INDEX(Calc!$AQ$2:$AQ$367,Q1037)))</f>
        <v/>
      </c>
    </row>
    <row r="1038">
      <c r="B1038" s="64">
        <f>IF(R1038="","",1033)</f>
        <v/>
      </c>
      <c r="C1038" s="37">
        <f>IF(R1038="","",IF(INDEX('Recurring Schedule'!$C$6:$C$45,R1038)="","",INDEX('Recurring Schedule'!$C$6:$C$45,R1038)))</f>
        <v/>
      </c>
      <c r="D1038" s="36">
        <f>IF(R1038="","",IF(INDEX('Recurring Schedule'!$D$6:$D$45,R1038)="","",INDEX('Recurring Schedule'!$D$6:$D$45,R1038)))</f>
        <v/>
      </c>
      <c r="E1038" s="38">
        <f>IF(Q1038="","",INDEX(Calc!$A$2:$A$367,Q1038))</f>
        <v/>
      </c>
      <c r="F1038" s="68">
        <f>IF(OR(C1038="",E1038=""),"",E1038-Setup!$D$7)</f>
        <v/>
      </c>
      <c r="G1038" s="74">
        <f>IF(R1038="","",IF(INDEX('Recurring Schedule'!$H$6:$H$45,R1038)="","",INDEX('Recurring Schedule'!$H$6:$H$45,R1038)))</f>
        <v/>
      </c>
      <c r="H1038" s="74">
        <f>IF(R1038="","",IF(INDEX('Recurring Schedule'!$I$6:$I$45,R1038)="","",INDEX('Recurring Schedule'!$I$6:$I$45,R1038)))</f>
        <v/>
      </c>
      <c r="I1038" s="36">
        <f>IF(OR(G1038="",H1038=""),"",TRIM(IF(HOUR(H1038-G1038)&gt;0,HOUR(H1038-G1038)&amp;" hr ","")&amp;IF(MINUTE(H1038-G1038)&gt;0,MINUTE(H1038-G1038)&amp;" min","")))</f>
        <v/>
      </c>
      <c r="J1038" s="66" t="n"/>
      <c r="K1038" s="70" t="n"/>
      <c r="L1038" s="36">
        <f>IF(R1038="","",IF(INDEX('Recurring Schedule'!$J$6:$J$45,R1038)="","",INDEX('Recurring Schedule'!$J$6:$J$45,R1038)))</f>
        <v/>
      </c>
      <c r="M1038" s="36">
        <f>IF(R1038="","",IF(INDEX('Recurring Schedule'!$K$6:$K$45,R1038)="","",INDEX('Recurring Schedule'!$K$6:$K$45,R1038)))</f>
        <v/>
      </c>
      <c r="N1038" s="36">
        <f>IF(R1038="","",IF(INDEX('Recurring Schedule'!$L$6:$L$45,R1038)="","",INDEX('Recurring Schedule'!$L$6:$L$45,R1038)))</f>
        <v/>
      </c>
      <c r="O1038" s="36">
        <f>IF(C1038="","",IF(AND(OR(L1038="1-Urgent",L1038="2-High"),M1038="✓"),"DO FIRST",IF(M1038="✓","SCHEDULE",IF(OR(L1038="1-Urgent",L1038="2-High"),"DELEGATE","DELETE"))))</f>
        <v/>
      </c>
      <c r="P1038" s="65" t="n"/>
      <c r="Q1038">
        <f>IF(1033&gt;Calc!$AQ$368,"",MATCH(1032,Calc!$AQ$2:$AQ$367,1))</f>
        <v/>
      </c>
      <c r="R1038">
        <f>IF(Q1038="","",SMALL(INDEX(Calc!$B$2:$AO$367,Q1038,0),1033-INDEX(Calc!$AQ$2:$AQ$367,Q1038)))</f>
        <v/>
      </c>
    </row>
    <row r="1039">
      <c r="B1039" s="71">
        <f>IF(R1039="","",1034)</f>
        <v/>
      </c>
      <c r="C1039" s="75">
        <f>IF(R1039="","",IF(INDEX('Recurring Schedule'!$C$6:$C$45,R1039)="","",INDEX('Recurring Schedule'!$C$6:$C$45,R1039)))</f>
        <v/>
      </c>
      <c r="D1039" s="73">
        <f>IF(R1039="","",IF(INDEX('Recurring Schedule'!$D$6:$D$45,R1039)="","",INDEX('Recurring Schedule'!$D$6:$D$45,R1039)))</f>
        <v/>
      </c>
      <c r="E1039" s="76">
        <f>IF(Q1039="","",INDEX(Calc!$A$2:$A$367,Q1039))</f>
        <v/>
      </c>
      <c r="F1039" s="72">
        <f>IF(OR(C1039="",E1039=""),"",E1039-Setup!$D$7)</f>
        <v/>
      </c>
      <c r="G1039" s="77">
        <f>IF(R1039="","",IF(INDEX('Recurring Schedule'!$H$6:$H$45,R1039)="","",INDEX('Recurring Schedule'!$H$6:$H$45,R1039)))</f>
        <v/>
      </c>
      <c r="H1039" s="77">
        <f>IF(R1039="","",IF(INDEX('Recurring Schedule'!$I$6:$I$45,R1039)="","",INDEX('Recurring Schedule'!$I$6:$I$45,R1039)))</f>
        <v/>
      </c>
      <c r="I1039" s="73">
        <f>IF(OR(G1039="",H1039=""),"",TRIM(IF(HOUR(H1039-G1039)&gt;0,HOUR(H1039-G1039)&amp;" hr ","")&amp;IF(MINUTE(H1039-G1039)&gt;0,MINUTE(H1039-G1039)&amp;" min","")))</f>
        <v/>
      </c>
      <c r="J1039" s="66" t="n"/>
      <c r="K1039" s="70" t="n"/>
      <c r="L1039" s="73">
        <f>IF(R1039="","",IF(INDEX('Recurring Schedule'!$J$6:$J$45,R1039)="","",INDEX('Recurring Schedule'!$J$6:$J$45,R1039)))</f>
        <v/>
      </c>
      <c r="M1039" s="73">
        <f>IF(R1039="","",IF(INDEX('Recurring Schedule'!$K$6:$K$45,R1039)="","",INDEX('Recurring Schedule'!$K$6:$K$45,R1039)))</f>
        <v/>
      </c>
      <c r="N1039" s="73">
        <f>IF(R1039="","",IF(INDEX('Recurring Schedule'!$L$6:$L$45,R1039)="","",INDEX('Recurring Schedule'!$L$6:$L$45,R1039)))</f>
        <v/>
      </c>
      <c r="O1039" s="73">
        <f>IF(C1039="","",IF(AND(OR(L1039="1-Urgent",L1039="2-High"),M1039="✓"),"DO FIRST",IF(M1039="✓","SCHEDULE",IF(OR(L1039="1-Urgent",L1039="2-High"),"DELEGATE","DELETE"))))</f>
        <v/>
      </c>
      <c r="P1039" s="65" t="n"/>
      <c r="Q1039">
        <f>IF(1034&gt;Calc!$AQ$368,"",MATCH(1033,Calc!$AQ$2:$AQ$367,1))</f>
        <v/>
      </c>
      <c r="R1039">
        <f>IF(Q1039="","",SMALL(INDEX(Calc!$B$2:$AO$367,Q1039,0),1034-INDEX(Calc!$AQ$2:$AQ$367,Q1039)))</f>
        <v/>
      </c>
    </row>
    <row r="1040">
      <c r="B1040" s="64">
        <f>IF(R1040="","",1035)</f>
        <v/>
      </c>
      <c r="C1040" s="37">
        <f>IF(R1040="","",IF(INDEX('Recurring Schedule'!$C$6:$C$45,R1040)="","",INDEX('Recurring Schedule'!$C$6:$C$45,R1040)))</f>
        <v/>
      </c>
      <c r="D1040" s="36">
        <f>IF(R1040="","",IF(INDEX('Recurring Schedule'!$D$6:$D$45,R1040)="","",INDEX('Recurring Schedule'!$D$6:$D$45,R1040)))</f>
        <v/>
      </c>
      <c r="E1040" s="38">
        <f>IF(Q1040="","",INDEX(Calc!$A$2:$A$367,Q1040))</f>
        <v/>
      </c>
      <c r="F1040" s="68">
        <f>IF(OR(C1040="",E1040=""),"",E1040-Setup!$D$7)</f>
        <v/>
      </c>
      <c r="G1040" s="74">
        <f>IF(R1040="","",IF(INDEX('Recurring Schedule'!$H$6:$H$45,R1040)="","",INDEX('Recurring Schedule'!$H$6:$H$45,R1040)))</f>
        <v/>
      </c>
      <c r="H1040" s="74">
        <f>IF(R1040="","",IF(INDEX('Recurring Schedule'!$I$6:$I$45,R1040)="","",INDEX('Recurring Schedule'!$I$6:$I$45,R1040)))</f>
        <v/>
      </c>
      <c r="I1040" s="36">
        <f>IF(OR(G1040="",H1040=""),"",TRIM(IF(HOUR(H1040-G1040)&gt;0,HOUR(H1040-G1040)&amp;" hr ","")&amp;IF(MINUTE(H1040-G1040)&gt;0,MINUTE(H1040-G1040)&amp;" min","")))</f>
        <v/>
      </c>
      <c r="J1040" s="66" t="n"/>
      <c r="K1040" s="70" t="n"/>
      <c r="L1040" s="36">
        <f>IF(R1040="","",IF(INDEX('Recurring Schedule'!$J$6:$J$45,R1040)="","",INDEX('Recurring Schedule'!$J$6:$J$45,R1040)))</f>
        <v/>
      </c>
      <c r="M1040" s="36">
        <f>IF(R1040="","",IF(INDEX('Recurring Schedule'!$K$6:$K$45,R1040)="","",INDEX('Recurring Schedule'!$K$6:$K$45,R1040)))</f>
        <v/>
      </c>
      <c r="N1040" s="36">
        <f>IF(R1040="","",IF(INDEX('Recurring Schedule'!$L$6:$L$45,R1040)="","",INDEX('Recurring Schedule'!$L$6:$L$45,R1040)))</f>
        <v/>
      </c>
      <c r="O1040" s="36">
        <f>IF(C1040="","",IF(AND(OR(L1040="1-Urgent",L1040="2-High"),M1040="✓"),"DO FIRST",IF(M1040="✓","SCHEDULE",IF(OR(L1040="1-Urgent",L1040="2-High"),"DELEGATE","DELETE"))))</f>
        <v/>
      </c>
      <c r="P1040" s="65" t="n"/>
      <c r="Q1040">
        <f>IF(1035&gt;Calc!$AQ$368,"",MATCH(1034,Calc!$AQ$2:$AQ$367,1))</f>
        <v/>
      </c>
      <c r="R1040">
        <f>IF(Q1040="","",SMALL(INDEX(Calc!$B$2:$AO$367,Q1040,0),1035-INDEX(Calc!$AQ$2:$AQ$367,Q1040)))</f>
        <v/>
      </c>
    </row>
    <row r="1041">
      <c r="B1041" s="71">
        <f>IF(R1041="","",1036)</f>
        <v/>
      </c>
      <c r="C1041" s="75">
        <f>IF(R1041="","",IF(INDEX('Recurring Schedule'!$C$6:$C$45,R1041)="","",INDEX('Recurring Schedule'!$C$6:$C$45,R1041)))</f>
        <v/>
      </c>
      <c r="D1041" s="73">
        <f>IF(R1041="","",IF(INDEX('Recurring Schedule'!$D$6:$D$45,R1041)="","",INDEX('Recurring Schedule'!$D$6:$D$45,R1041)))</f>
        <v/>
      </c>
      <c r="E1041" s="76">
        <f>IF(Q1041="","",INDEX(Calc!$A$2:$A$367,Q1041))</f>
        <v/>
      </c>
      <c r="F1041" s="72">
        <f>IF(OR(C1041="",E1041=""),"",E1041-Setup!$D$7)</f>
        <v/>
      </c>
      <c r="G1041" s="77">
        <f>IF(R1041="","",IF(INDEX('Recurring Schedule'!$H$6:$H$45,R1041)="","",INDEX('Recurring Schedule'!$H$6:$H$45,R1041)))</f>
        <v/>
      </c>
      <c r="H1041" s="77">
        <f>IF(R1041="","",IF(INDEX('Recurring Schedule'!$I$6:$I$45,R1041)="","",INDEX('Recurring Schedule'!$I$6:$I$45,R1041)))</f>
        <v/>
      </c>
      <c r="I1041" s="73">
        <f>IF(OR(G1041="",H1041=""),"",TRIM(IF(HOUR(H1041-G1041)&gt;0,HOUR(H1041-G1041)&amp;" hr ","")&amp;IF(MINUTE(H1041-G1041)&gt;0,MINUTE(H1041-G1041)&amp;" min","")))</f>
        <v/>
      </c>
      <c r="J1041" s="66" t="n"/>
      <c r="K1041" s="70" t="n"/>
      <c r="L1041" s="73">
        <f>IF(R1041="","",IF(INDEX('Recurring Schedule'!$J$6:$J$45,R1041)="","",INDEX('Recurring Schedule'!$J$6:$J$45,R1041)))</f>
        <v/>
      </c>
      <c r="M1041" s="73">
        <f>IF(R1041="","",IF(INDEX('Recurring Schedule'!$K$6:$K$45,R1041)="","",INDEX('Recurring Schedule'!$K$6:$K$45,R1041)))</f>
        <v/>
      </c>
      <c r="N1041" s="73">
        <f>IF(R1041="","",IF(INDEX('Recurring Schedule'!$L$6:$L$45,R1041)="","",INDEX('Recurring Schedule'!$L$6:$L$45,R1041)))</f>
        <v/>
      </c>
      <c r="O1041" s="73">
        <f>IF(C1041="","",IF(AND(OR(L1041="1-Urgent",L1041="2-High"),M1041="✓"),"DO FIRST",IF(M1041="✓","SCHEDULE",IF(OR(L1041="1-Urgent",L1041="2-High"),"DELEGATE","DELETE"))))</f>
        <v/>
      </c>
      <c r="P1041" s="65" t="n"/>
      <c r="Q1041">
        <f>IF(1036&gt;Calc!$AQ$368,"",MATCH(1035,Calc!$AQ$2:$AQ$367,1))</f>
        <v/>
      </c>
      <c r="R1041">
        <f>IF(Q1041="","",SMALL(INDEX(Calc!$B$2:$AO$367,Q1041,0),1036-INDEX(Calc!$AQ$2:$AQ$367,Q1041)))</f>
        <v/>
      </c>
    </row>
    <row r="1042">
      <c r="B1042" s="64">
        <f>IF(R1042="","",1037)</f>
        <v/>
      </c>
      <c r="C1042" s="37">
        <f>IF(R1042="","",IF(INDEX('Recurring Schedule'!$C$6:$C$45,R1042)="","",INDEX('Recurring Schedule'!$C$6:$C$45,R1042)))</f>
        <v/>
      </c>
      <c r="D1042" s="36">
        <f>IF(R1042="","",IF(INDEX('Recurring Schedule'!$D$6:$D$45,R1042)="","",INDEX('Recurring Schedule'!$D$6:$D$45,R1042)))</f>
        <v/>
      </c>
      <c r="E1042" s="38">
        <f>IF(Q1042="","",INDEX(Calc!$A$2:$A$367,Q1042))</f>
        <v/>
      </c>
      <c r="F1042" s="68">
        <f>IF(OR(C1042="",E1042=""),"",E1042-Setup!$D$7)</f>
        <v/>
      </c>
      <c r="G1042" s="74">
        <f>IF(R1042="","",IF(INDEX('Recurring Schedule'!$H$6:$H$45,R1042)="","",INDEX('Recurring Schedule'!$H$6:$H$45,R1042)))</f>
        <v/>
      </c>
      <c r="H1042" s="74">
        <f>IF(R1042="","",IF(INDEX('Recurring Schedule'!$I$6:$I$45,R1042)="","",INDEX('Recurring Schedule'!$I$6:$I$45,R1042)))</f>
        <v/>
      </c>
      <c r="I1042" s="36">
        <f>IF(OR(G1042="",H1042=""),"",TRIM(IF(HOUR(H1042-G1042)&gt;0,HOUR(H1042-G1042)&amp;" hr ","")&amp;IF(MINUTE(H1042-G1042)&gt;0,MINUTE(H1042-G1042)&amp;" min","")))</f>
        <v/>
      </c>
      <c r="J1042" s="66" t="n"/>
      <c r="K1042" s="70" t="n"/>
      <c r="L1042" s="36">
        <f>IF(R1042="","",IF(INDEX('Recurring Schedule'!$J$6:$J$45,R1042)="","",INDEX('Recurring Schedule'!$J$6:$J$45,R1042)))</f>
        <v/>
      </c>
      <c r="M1042" s="36">
        <f>IF(R1042="","",IF(INDEX('Recurring Schedule'!$K$6:$K$45,R1042)="","",INDEX('Recurring Schedule'!$K$6:$K$45,R1042)))</f>
        <v/>
      </c>
      <c r="N1042" s="36">
        <f>IF(R1042="","",IF(INDEX('Recurring Schedule'!$L$6:$L$45,R1042)="","",INDEX('Recurring Schedule'!$L$6:$L$45,R1042)))</f>
        <v/>
      </c>
      <c r="O1042" s="36">
        <f>IF(C1042="","",IF(AND(OR(L1042="1-Urgent",L1042="2-High"),M1042="✓"),"DO FIRST",IF(M1042="✓","SCHEDULE",IF(OR(L1042="1-Urgent",L1042="2-High"),"DELEGATE","DELETE"))))</f>
        <v/>
      </c>
      <c r="P1042" s="65" t="n"/>
      <c r="Q1042">
        <f>IF(1037&gt;Calc!$AQ$368,"",MATCH(1036,Calc!$AQ$2:$AQ$367,1))</f>
        <v/>
      </c>
      <c r="R1042">
        <f>IF(Q1042="","",SMALL(INDEX(Calc!$B$2:$AO$367,Q1042,0),1037-INDEX(Calc!$AQ$2:$AQ$367,Q1042)))</f>
        <v/>
      </c>
    </row>
    <row r="1043">
      <c r="B1043" s="71">
        <f>IF(R1043="","",1038)</f>
        <v/>
      </c>
      <c r="C1043" s="75">
        <f>IF(R1043="","",IF(INDEX('Recurring Schedule'!$C$6:$C$45,R1043)="","",INDEX('Recurring Schedule'!$C$6:$C$45,R1043)))</f>
        <v/>
      </c>
      <c r="D1043" s="73">
        <f>IF(R1043="","",IF(INDEX('Recurring Schedule'!$D$6:$D$45,R1043)="","",INDEX('Recurring Schedule'!$D$6:$D$45,R1043)))</f>
        <v/>
      </c>
      <c r="E1043" s="76">
        <f>IF(Q1043="","",INDEX(Calc!$A$2:$A$367,Q1043))</f>
        <v/>
      </c>
      <c r="F1043" s="72">
        <f>IF(OR(C1043="",E1043=""),"",E1043-Setup!$D$7)</f>
        <v/>
      </c>
      <c r="G1043" s="77">
        <f>IF(R1043="","",IF(INDEX('Recurring Schedule'!$H$6:$H$45,R1043)="","",INDEX('Recurring Schedule'!$H$6:$H$45,R1043)))</f>
        <v/>
      </c>
      <c r="H1043" s="77">
        <f>IF(R1043="","",IF(INDEX('Recurring Schedule'!$I$6:$I$45,R1043)="","",INDEX('Recurring Schedule'!$I$6:$I$45,R1043)))</f>
        <v/>
      </c>
      <c r="I1043" s="73">
        <f>IF(OR(G1043="",H1043=""),"",TRIM(IF(HOUR(H1043-G1043)&gt;0,HOUR(H1043-G1043)&amp;" hr ","")&amp;IF(MINUTE(H1043-G1043)&gt;0,MINUTE(H1043-G1043)&amp;" min","")))</f>
        <v/>
      </c>
      <c r="J1043" s="66" t="n"/>
      <c r="K1043" s="70" t="n"/>
      <c r="L1043" s="73">
        <f>IF(R1043="","",IF(INDEX('Recurring Schedule'!$J$6:$J$45,R1043)="","",INDEX('Recurring Schedule'!$J$6:$J$45,R1043)))</f>
        <v/>
      </c>
      <c r="M1043" s="73">
        <f>IF(R1043="","",IF(INDEX('Recurring Schedule'!$K$6:$K$45,R1043)="","",INDEX('Recurring Schedule'!$K$6:$K$45,R1043)))</f>
        <v/>
      </c>
      <c r="N1043" s="73">
        <f>IF(R1043="","",IF(INDEX('Recurring Schedule'!$L$6:$L$45,R1043)="","",INDEX('Recurring Schedule'!$L$6:$L$45,R1043)))</f>
        <v/>
      </c>
      <c r="O1043" s="73">
        <f>IF(C1043="","",IF(AND(OR(L1043="1-Urgent",L1043="2-High"),M1043="✓"),"DO FIRST",IF(M1043="✓","SCHEDULE",IF(OR(L1043="1-Urgent",L1043="2-High"),"DELEGATE","DELETE"))))</f>
        <v/>
      </c>
      <c r="P1043" s="65" t="n"/>
      <c r="Q1043">
        <f>IF(1038&gt;Calc!$AQ$368,"",MATCH(1037,Calc!$AQ$2:$AQ$367,1))</f>
        <v/>
      </c>
      <c r="R1043">
        <f>IF(Q1043="","",SMALL(INDEX(Calc!$B$2:$AO$367,Q1043,0),1038-INDEX(Calc!$AQ$2:$AQ$367,Q1043)))</f>
        <v/>
      </c>
    </row>
    <row r="1044">
      <c r="B1044" s="64">
        <f>IF(R1044="","",1039)</f>
        <v/>
      </c>
      <c r="C1044" s="37">
        <f>IF(R1044="","",IF(INDEX('Recurring Schedule'!$C$6:$C$45,R1044)="","",INDEX('Recurring Schedule'!$C$6:$C$45,R1044)))</f>
        <v/>
      </c>
      <c r="D1044" s="36">
        <f>IF(R1044="","",IF(INDEX('Recurring Schedule'!$D$6:$D$45,R1044)="","",INDEX('Recurring Schedule'!$D$6:$D$45,R1044)))</f>
        <v/>
      </c>
      <c r="E1044" s="38">
        <f>IF(Q1044="","",INDEX(Calc!$A$2:$A$367,Q1044))</f>
        <v/>
      </c>
      <c r="F1044" s="68">
        <f>IF(OR(C1044="",E1044=""),"",E1044-Setup!$D$7)</f>
        <v/>
      </c>
      <c r="G1044" s="74">
        <f>IF(R1044="","",IF(INDEX('Recurring Schedule'!$H$6:$H$45,R1044)="","",INDEX('Recurring Schedule'!$H$6:$H$45,R1044)))</f>
        <v/>
      </c>
      <c r="H1044" s="74">
        <f>IF(R1044="","",IF(INDEX('Recurring Schedule'!$I$6:$I$45,R1044)="","",INDEX('Recurring Schedule'!$I$6:$I$45,R1044)))</f>
        <v/>
      </c>
      <c r="I1044" s="36">
        <f>IF(OR(G1044="",H1044=""),"",TRIM(IF(HOUR(H1044-G1044)&gt;0,HOUR(H1044-G1044)&amp;" hr ","")&amp;IF(MINUTE(H1044-G1044)&gt;0,MINUTE(H1044-G1044)&amp;" min","")))</f>
        <v/>
      </c>
      <c r="J1044" s="66" t="n"/>
      <c r="K1044" s="70" t="n"/>
      <c r="L1044" s="36">
        <f>IF(R1044="","",IF(INDEX('Recurring Schedule'!$J$6:$J$45,R1044)="","",INDEX('Recurring Schedule'!$J$6:$J$45,R1044)))</f>
        <v/>
      </c>
      <c r="M1044" s="36">
        <f>IF(R1044="","",IF(INDEX('Recurring Schedule'!$K$6:$K$45,R1044)="","",INDEX('Recurring Schedule'!$K$6:$K$45,R1044)))</f>
        <v/>
      </c>
      <c r="N1044" s="36">
        <f>IF(R1044="","",IF(INDEX('Recurring Schedule'!$L$6:$L$45,R1044)="","",INDEX('Recurring Schedule'!$L$6:$L$45,R1044)))</f>
        <v/>
      </c>
      <c r="O1044" s="36">
        <f>IF(C1044="","",IF(AND(OR(L1044="1-Urgent",L1044="2-High"),M1044="✓"),"DO FIRST",IF(M1044="✓","SCHEDULE",IF(OR(L1044="1-Urgent",L1044="2-High"),"DELEGATE","DELETE"))))</f>
        <v/>
      </c>
      <c r="P1044" s="65" t="n"/>
      <c r="Q1044">
        <f>IF(1039&gt;Calc!$AQ$368,"",MATCH(1038,Calc!$AQ$2:$AQ$367,1))</f>
        <v/>
      </c>
      <c r="R1044">
        <f>IF(Q1044="","",SMALL(INDEX(Calc!$B$2:$AO$367,Q1044,0),1039-INDEX(Calc!$AQ$2:$AQ$367,Q1044)))</f>
        <v/>
      </c>
    </row>
    <row r="1045">
      <c r="B1045" s="71">
        <f>IF(R1045="","",1040)</f>
        <v/>
      </c>
      <c r="C1045" s="75">
        <f>IF(R1045="","",IF(INDEX('Recurring Schedule'!$C$6:$C$45,R1045)="","",INDEX('Recurring Schedule'!$C$6:$C$45,R1045)))</f>
        <v/>
      </c>
      <c r="D1045" s="73">
        <f>IF(R1045="","",IF(INDEX('Recurring Schedule'!$D$6:$D$45,R1045)="","",INDEX('Recurring Schedule'!$D$6:$D$45,R1045)))</f>
        <v/>
      </c>
      <c r="E1045" s="76">
        <f>IF(Q1045="","",INDEX(Calc!$A$2:$A$367,Q1045))</f>
        <v/>
      </c>
      <c r="F1045" s="72">
        <f>IF(OR(C1045="",E1045=""),"",E1045-Setup!$D$7)</f>
        <v/>
      </c>
      <c r="G1045" s="77">
        <f>IF(R1045="","",IF(INDEX('Recurring Schedule'!$H$6:$H$45,R1045)="","",INDEX('Recurring Schedule'!$H$6:$H$45,R1045)))</f>
        <v/>
      </c>
      <c r="H1045" s="77">
        <f>IF(R1045="","",IF(INDEX('Recurring Schedule'!$I$6:$I$45,R1045)="","",INDEX('Recurring Schedule'!$I$6:$I$45,R1045)))</f>
        <v/>
      </c>
      <c r="I1045" s="73">
        <f>IF(OR(G1045="",H1045=""),"",TRIM(IF(HOUR(H1045-G1045)&gt;0,HOUR(H1045-G1045)&amp;" hr ","")&amp;IF(MINUTE(H1045-G1045)&gt;0,MINUTE(H1045-G1045)&amp;" min","")))</f>
        <v/>
      </c>
      <c r="J1045" s="66" t="n"/>
      <c r="K1045" s="70" t="n"/>
      <c r="L1045" s="73">
        <f>IF(R1045="","",IF(INDEX('Recurring Schedule'!$J$6:$J$45,R1045)="","",INDEX('Recurring Schedule'!$J$6:$J$45,R1045)))</f>
        <v/>
      </c>
      <c r="M1045" s="73">
        <f>IF(R1045="","",IF(INDEX('Recurring Schedule'!$K$6:$K$45,R1045)="","",INDEX('Recurring Schedule'!$K$6:$K$45,R1045)))</f>
        <v/>
      </c>
      <c r="N1045" s="73">
        <f>IF(R1045="","",IF(INDEX('Recurring Schedule'!$L$6:$L$45,R1045)="","",INDEX('Recurring Schedule'!$L$6:$L$45,R1045)))</f>
        <v/>
      </c>
      <c r="O1045" s="73">
        <f>IF(C1045="","",IF(AND(OR(L1045="1-Urgent",L1045="2-High"),M1045="✓"),"DO FIRST",IF(M1045="✓","SCHEDULE",IF(OR(L1045="1-Urgent",L1045="2-High"),"DELEGATE","DELETE"))))</f>
        <v/>
      </c>
      <c r="P1045" s="65" t="n"/>
      <c r="Q1045">
        <f>IF(1040&gt;Calc!$AQ$368,"",MATCH(1039,Calc!$AQ$2:$AQ$367,1))</f>
        <v/>
      </c>
      <c r="R1045">
        <f>IF(Q1045="","",SMALL(INDEX(Calc!$B$2:$AO$367,Q1045,0),1040-INDEX(Calc!$AQ$2:$AQ$367,Q1045)))</f>
        <v/>
      </c>
    </row>
    <row r="1046">
      <c r="B1046" s="64">
        <f>IF(R1046="","",1041)</f>
        <v/>
      </c>
      <c r="C1046" s="37">
        <f>IF(R1046="","",IF(INDEX('Recurring Schedule'!$C$6:$C$45,R1046)="","",INDEX('Recurring Schedule'!$C$6:$C$45,R1046)))</f>
        <v/>
      </c>
      <c r="D1046" s="36">
        <f>IF(R1046="","",IF(INDEX('Recurring Schedule'!$D$6:$D$45,R1046)="","",INDEX('Recurring Schedule'!$D$6:$D$45,R1046)))</f>
        <v/>
      </c>
      <c r="E1046" s="38">
        <f>IF(Q1046="","",INDEX(Calc!$A$2:$A$367,Q1046))</f>
        <v/>
      </c>
      <c r="F1046" s="68">
        <f>IF(OR(C1046="",E1046=""),"",E1046-Setup!$D$7)</f>
        <v/>
      </c>
      <c r="G1046" s="74">
        <f>IF(R1046="","",IF(INDEX('Recurring Schedule'!$H$6:$H$45,R1046)="","",INDEX('Recurring Schedule'!$H$6:$H$45,R1046)))</f>
        <v/>
      </c>
      <c r="H1046" s="74">
        <f>IF(R1046="","",IF(INDEX('Recurring Schedule'!$I$6:$I$45,R1046)="","",INDEX('Recurring Schedule'!$I$6:$I$45,R1046)))</f>
        <v/>
      </c>
      <c r="I1046" s="36">
        <f>IF(OR(G1046="",H1046=""),"",TRIM(IF(HOUR(H1046-G1046)&gt;0,HOUR(H1046-G1046)&amp;" hr ","")&amp;IF(MINUTE(H1046-G1046)&gt;0,MINUTE(H1046-G1046)&amp;" min","")))</f>
        <v/>
      </c>
      <c r="J1046" s="66" t="n"/>
      <c r="K1046" s="70" t="n"/>
      <c r="L1046" s="36">
        <f>IF(R1046="","",IF(INDEX('Recurring Schedule'!$J$6:$J$45,R1046)="","",INDEX('Recurring Schedule'!$J$6:$J$45,R1046)))</f>
        <v/>
      </c>
      <c r="M1046" s="36">
        <f>IF(R1046="","",IF(INDEX('Recurring Schedule'!$K$6:$K$45,R1046)="","",INDEX('Recurring Schedule'!$K$6:$K$45,R1046)))</f>
        <v/>
      </c>
      <c r="N1046" s="36">
        <f>IF(R1046="","",IF(INDEX('Recurring Schedule'!$L$6:$L$45,R1046)="","",INDEX('Recurring Schedule'!$L$6:$L$45,R1046)))</f>
        <v/>
      </c>
      <c r="O1046" s="36">
        <f>IF(C1046="","",IF(AND(OR(L1046="1-Urgent",L1046="2-High"),M1046="✓"),"DO FIRST",IF(M1046="✓","SCHEDULE",IF(OR(L1046="1-Urgent",L1046="2-High"),"DELEGATE","DELETE"))))</f>
        <v/>
      </c>
      <c r="P1046" s="65" t="n"/>
      <c r="Q1046">
        <f>IF(1041&gt;Calc!$AQ$368,"",MATCH(1040,Calc!$AQ$2:$AQ$367,1))</f>
        <v/>
      </c>
      <c r="R1046">
        <f>IF(Q1046="","",SMALL(INDEX(Calc!$B$2:$AO$367,Q1046,0),1041-INDEX(Calc!$AQ$2:$AQ$367,Q1046)))</f>
        <v/>
      </c>
    </row>
    <row r="1047">
      <c r="B1047" s="71">
        <f>IF(R1047="","",1042)</f>
        <v/>
      </c>
      <c r="C1047" s="75">
        <f>IF(R1047="","",IF(INDEX('Recurring Schedule'!$C$6:$C$45,R1047)="","",INDEX('Recurring Schedule'!$C$6:$C$45,R1047)))</f>
        <v/>
      </c>
      <c r="D1047" s="73">
        <f>IF(R1047="","",IF(INDEX('Recurring Schedule'!$D$6:$D$45,R1047)="","",INDEX('Recurring Schedule'!$D$6:$D$45,R1047)))</f>
        <v/>
      </c>
      <c r="E1047" s="76">
        <f>IF(Q1047="","",INDEX(Calc!$A$2:$A$367,Q1047))</f>
        <v/>
      </c>
      <c r="F1047" s="72">
        <f>IF(OR(C1047="",E1047=""),"",E1047-Setup!$D$7)</f>
        <v/>
      </c>
      <c r="G1047" s="77">
        <f>IF(R1047="","",IF(INDEX('Recurring Schedule'!$H$6:$H$45,R1047)="","",INDEX('Recurring Schedule'!$H$6:$H$45,R1047)))</f>
        <v/>
      </c>
      <c r="H1047" s="77">
        <f>IF(R1047="","",IF(INDEX('Recurring Schedule'!$I$6:$I$45,R1047)="","",INDEX('Recurring Schedule'!$I$6:$I$45,R1047)))</f>
        <v/>
      </c>
      <c r="I1047" s="73">
        <f>IF(OR(G1047="",H1047=""),"",TRIM(IF(HOUR(H1047-G1047)&gt;0,HOUR(H1047-G1047)&amp;" hr ","")&amp;IF(MINUTE(H1047-G1047)&gt;0,MINUTE(H1047-G1047)&amp;" min","")))</f>
        <v/>
      </c>
      <c r="J1047" s="66" t="n"/>
      <c r="K1047" s="70" t="n"/>
      <c r="L1047" s="73">
        <f>IF(R1047="","",IF(INDEX('Recurring Schedule'!$J$6:$J$45,R1047)="","",INDEX('Recurring Schedule'!$J$6:$J$45,R1047)))</f>
        <v/>
      </c>
      <c r="M1047" s="73">
        <f>IF(R1047="","",IF(INDEX('Recurring Schedule'!$K$6:$K$45,R1047)="","",INDEX('Recurring Schedule'!$K$6:$K$45,R1047)))</f>
        <v/>
      </c>
      <c r="N1047" s="73">
        <f>IF(R1047="","",IF(INDEX('Recurring Schedule'!$L$6:$L$45,R1047)="","",INDEX('Recurring Schedule'!$L$6:$L$45,R1047)))</f>
        <v/>
      </c>
      <c r="O1047" s="73">
        <f>IF(C1047="","",IF(AND(OR(L1047="1-Urgent",L1047="2-High"),M1047="✓"),"DO FIRST",IF(M1047="✓","SCHEDULE",IF(OR(L1047="1-Urgent",L1047="2-High"),"DELEGATE","DELETE"))))</f>
        <v/>
      </c>
      <c r="P1047" s="65" t="n"/>
      <c r="Q1047">
        <f>IF(1042&gt;Calc!$AQ$368,"",MATCH(1041,Calc!$AQ$2:$AQ$367,1))</f>
        <v/>
      </c>
      <c r="R1047">
        <f>IF(Q1047="","",SMALL(INDEX(Calc!$B$2:$AO$367,Q1047,0),1042-INDEX(Calc!$AQ$2:$AQ$367,Q1047)))</f>
        <v/>
      </c>
    </row>
    <row r="1048">
      <c r="B1048" s="64">
        <f>IF(R1048="","",1043)</f>
        <v/>
      </c>
      <c r="C1048" s="37">
        <f>IF(R1048="","",IF(INDEX('Recurring Schedule'!$C$6:$C$45,R1048)="","",INDEX('Recurring Schedule'!$C$6:$C$45,R1048)))</f>
        <v/>
      </c>
      <c r="D1048" s="36">
        <f>IF(R1048="","",IF(INDEX('Recurring Schedule'!$D$6:$D$45,R1048)="","",INDEX('Recurring Schedule'!$D$6:$D$45,R1048)))</f>
        <v/>
      </c>
      <c r="E1048" s="38">
        <f>IF(Q1048="","",INDEX(Calc!$A$2:$A$367,Q1048))</f>
        <v/>
      </c>
      <c r="F1048" s="68">
        <f>IF(OR(C1048="",E1048=""),"",E1048-Setup!$D$7)</f>
        <v/>
      </c>
      <c r="G1048" s="74">
        <f>IF(R1048="","",IF(INDEX('Recurring Schedule'!$H$6:$H$45,R1048)="","",INDEX('Recurring Schedule'!$H$6:$H$45,R1048)))</f>
        <v/>
      </c>
      <c r="H1048" s="74">
        <f>IF(R1048="","",IF(INDEX('Recurring Schedule'!$I$6:$I$45,R1048)="","",INDEX('Recurring Schedule'!$I$6:$I$45,R1048)))</f>
        <v/>
      </c>
      <c r="I1048" s="36">
        <f>IF(OR(G1048="",H1048=""),"",TRIM(IF(HOUR(H1048-G1048)&gt;0,HOUR(H1048-G1048)&amp;" hr ","")&amp;IF(MINUTE(H1048-G1048)&gt;0,MINUTE(H1048-G1048)&amp;" min","")))</f>
        <v/>
      </c>
      <c r="J1048" s="66" t="n"/>
      <c r="K1048" s="70" t="n"/>
      <c r="L1048" s="36">
        <f>IF(R1048="","",IF(INDEX('Recurring Schedule'!$J$6:$J$45,R1048)="","",INDEX('Recurring Schedule'!$J$6:$J$45,R1048)))</f>
        <v/>
      </c>
      <c r="M1048" s="36">
        <f>IF(R1048="","",IF(INDEX('Recurring Schedule'!$K$6:$K$45,R1048)="","",INDEX('Recurring Schedule'!$K$6:$K$45,R1048)))</f>
        <v/>
      </c>
      <c r="N1048" s="36">
        <f>IF(R1048="","",IF(INDEX('Recurring Schedule'!$L$6:$L$45,R1048)="","",INDEX('Recurring Schedule'!$L$6:$L$45,R1048)))</f>
        <v/>
      </c>
      <c r="O1048" s="36">
        <f>IF(C1048="","",IF(AND(OR(L1048="1-Urgent",L1048="2-High"),M1048="✓"),"DO FIRST",IF(M1048="✓","SCHEDULE",IF(OR(L1048="1-Urgent",L1048="2-High"),"DELEGATE","DELETE"))))</f>
        <v/>
      </c>
      <c r="P1048" s="65" t="n"/>
      <c r="Q1048">
        <f>IF(1043&gt;Calc!$AQ$368,"",MATCH(1042,Calc!$AQ$2:$AQ$367,1))</f>
        <v/>
      </c>
      <c r="R1048">
        <f>IF(Q1048="","",SMALL(INDEX(Calc!$B$2:$AO$367,Q1048,0),1043-INDEX(Calc!$AQ$2:$AQ$367,Q1048)))</f>
        <v/>
      </c>
    </row>
    <row r="1049">
      <c r="B1049" s="71">
        <f>IF(R1049="","",1044)</f>
        <v/>
      </c>
      <c r="C1049" s="75">
        <f>IF(R1049="","",IF(INDEX('Recurring Schedule'!$C$6:$C$45,R1049)="","",INDEX('Recurring Schedule'!$C$6:$C$45,R1049)))</f>
        <v/>
      </c>
      <c r="D1049" s="73">
        <f>IF(R1049="","",IF(INDEX('Recurring Schedule'!$D$6:$D$45,R1049)="","",INDEX('Recurring Schedule'!$D$6:$D$45,R1049)))</f>
        <v/>
      </c>
      <c r="E1049" s="76">
        <f>IF(Q1049="","",INDEX(Calc!$A$2:$A$367,Q1049))</f>
        <v/>
      </c>
      <c r="F1049" s="72">
        <f>IF(OR(C1049="",E1049=""),"",E1049-Setup!$D$7)</f>
        <v/>
      </c>
      <c r="G1049" s="77">
        <f>IF(R1049="","",IF(INDEX('Recurring Schedule'!$H$6:$H$45,R1049)="","",INDEX('Recurring Schedule'!$H$6:$H$45,R1049)))</f>
        <v/>
      </c>
      <c r="H1049" s="77">
        <f>IF(R1049="","",IF(INDEX('Recurring Schedule'!$I$6:$I$45,R1049)="","",INDEX('Recurring Schedule'!$I$6:$I$45,R1049)))</f>
        <v/>
      </c>
      <c r="I1049" s="73">
        <f>IF(OR(G1049="",H1049=""),"",TRIM(IF(HOUR(H1049-G1049)&gt;0,HOUR(H1049-G1049)&amp;" hr ","")&amp;IF(MINUTE(H1049-G1049)&gt;0,MINUTE(H1049-G1049)&amp;" min","")))</f>
        <v/>
      </c>
      <c r="J1049" s="66" t="n"/>
      <c r="K1049" s="70" t="n"/>
      <c r="L1049" s="73">
        <f>IF(R1049="","",IF(INDEX('Recurring Schedule'!$J$6:$J$45,R1049)="","",INDEX('Recurring Schedule'!$J$6:$J$45,R1049)))</f>
        <v/>
      </c>
      <c r="M1049" s="73">
        <f>IF(R1049="","",IF(INDEX('Recurring Schedule'!$K$6:$K$45,R1049)="","",INDEX('Recurring Schedule'!$K$6:$K$45,R1049)))</f>
        <v/>
      </c>
      <c r="N1049" s="73">
        <f>IF(R1049="","",IF(INDEX('Recurring Schedule'!$L$6:$L$45,R1049)="","",INDEX('Recurring Schedule'!$L$6:$L$45,R1049)))</f>
        <v/>
      </c>
      <c r="O1049" s="73">
        <f>IF(C1049="","",IF(AND(OR(L1049="1-Urgent",L1049="2-High"),M1049="✓"),"DO FIRST",IF(M1049="✓","SCHEDULE",IF(OR(L1049="1-Urgent",L1049="2-High"),"DELEGATE","DELETE"))))</f>
        <v/>
      </c>
      <c r="P1049" s="65" t="n"/>
      <c r="Q1049">
        <f>IF(1044&gt;Calc!$AQ$368,"",MATCH(1043,Calc!$AQ$2:$AQ$367,1))</f>
        <v/>
      </c>
      <c r="R1049">
        <f>IF(Q1049="","",SMALL(INDEX(Calc!$B$2:$AO$367,Q1049,0),1044-INDEX(Calc!$AQ$2:$AQ$367,Q1049)))</f>
        <v/>
      </c>
    </row>
    <row r="1050">
      <c r="B1050" s="64">
        <f>IF(R1050="","",1045)</f>
        <v/>
      </c>
      <c r="C1050" s="37">
        <f>IF(R1050="","",IF(INDEX('Recurring Schedule'!$C$6:$C$45,R1050)="","",INDEX('Recurring Schedule'!$C$6:$C$45,R1050)))</f>
        <v/>
      </c>
      <c r="D1050" s="36">
        <f>IF(R1050="","",IF(INDEX('Recurring Schedule'!$D$6:$D$45,R1050)="","",INDEX('Recurring Schedule'!$D$6:$D$45,R1050)))</f>
        <v/>
      </c>
      <c r="E1050" s="38">
        <f>IF(Q1050="","",INDEX(Calc!$A$2:$A$367,Q1050))</f>
        <v/>
      </c>
      <c r="F1050" s="68">
        <f>IF(OR(C1050="",E1050=""),"",E1050-Setup!$D$7)</f>
        <v/>
      </c>
      <c r="G1050" s="74">
        <f>IF(R1050="","",IF(INDEX('Recurring Schedule'!$H$6:$H$45,R1050)="","",INDEX('Recurring Schedule'!$H$6:$H$45,R1050)))</f>
        <v/>
      </c>
      <c r="H1050" s="74">
        <f>IF(R1050="","",IF(INDEX('Recurring Schedule'!$I$6:$I$45,R1050)="","",INDEX('Recurring Schedule'!$I$6:$I$45,R1050)))</f>
        <v/>
      </c>
      <c r="I1050" s="36">
        <f>IF(OR(G1050="",H1050=""),"",TRIM(IF(HOUR(H1050-G1050)&gt;0,HOUR(H1050-G1050)&amp;" hr ","")&amp;IF(MINUTE(H1050-G1050)&gt;0,MINUTE(H1050-G1050)&amp;" min","")))</f>
        <v/>
      </c>
      <c r="J1050" s="66" t="n"/>
      <c r="K1050" s="70" t="n"/>
      <c r="L1050" s="36">
        <f>IF(R1050="","",IF(INDEX('Recurring Schedule'!$J$6:$J$45,R1050)="","",INDEX('Recurring Schedule'!$J$6:$J$45,R1050)))</f>
        <v/>
      </c>
      <c r="M1050" s="36">
        <f>IF(R1050="","",IF(INDEX('Recurring Schedule'!$K$6:$K$45,R1050)="","",INDEX('Recurring Schedule'!$K$6:$K$45,R1050)))</f>
        <v/>
      </c>
      <c r="N1050" s="36">
        <f>IF(R1050="","",IF(INDEX('Recurring Schedule'!$L$6:$L$45,R1050)="","",INDEX('Recurring Schedule'!$L$6:$L$45,R1050)))</f>
        <v/>
      </c>
      <c r="O1050" s="36">
        <f>IF(C1050="","",IF(AND(OR(L1050="1-Urgent",L1050="2-High"),M1050="✓"),"DO FIRST",IF(M1050="✓","SCHEDULE",IF(OR(L1050="1-Urgent",L1050="2-High"),"DELEGATE","DELETE"))))</f>
        <v/>
      </c>
      <c r="P1050" s="65" t="n"/>
      <c r="Q1050">
        <f>IF(1045&gt;Calc!$AQ$368,"",MATCH(1044,Calc!$AQ$2:$AQ$367,1))</f>
        <v/>
      </c>
      <c r="R1050">
        <f>IF(Q1050="","",SMALL(INDEX(Calc!$B$2:$AO$367,Q1050,0),1045-INDEX(Calc!$AQ$2:$AQ$367,Q1050)))</f>
        <v/>
      </c>
    </row>
    <row r="1051">
      <c r="B1051" s="71">
        <f>IF(R1051="","",1046)</f>
        <v/>
      </c>
      <c r="C1051" s="75">
        <f>IF(R1051="","",IF(INDEX('Recurring Schedule'!$C$6:$C$45,R1051)="","",INDEX('Recurring Schedule'!$C$6:$C$45,R1051)))</f>
        <v/>
      </c>
      <c r="D1051" s="73">
        <f>IF(R1051="","",IF(INDEX('Recurring Schedule'!$D$6:$D$45,R1051)="","",INDEX('Recurring Schedule'!$D$6:$D$45,R1051)))</f>
        <v/>
      </c>
      <c r="E1051" s="76">
        <f>IF(Q1051="","",INDEX(Calc!$A$2:$A$367,Q1051))</f>
        <v/>
      </c>
      <c r="F1051" s="72">
        <f>IF(OR(C1051="",E1051=""),"",E1051-Setup!$D$7)</f>
        <v/>
      </c>
      <c r="G1051" s="77">
        <f>IF(R1051="","",IF(INDEX('Recurring Schedule'!$H$6:$H$45,R1051)="","",INDEX('Recurring Schedule'!$H$6:$H$45,R1051)))</f>
        <v/>
      </c>
      <c r="H1051" s="77">
        <f>IF(R1051="","",IF(INDEX('Recurring Schedule'!$I$6:$I$45,R1051)="","",INDEX('Recurring Schedule'!$I$6:$I$45,R1051)))</f>
        <v/>
      </c>
      <c r="I1051" s="73">
        <f>IF(OR(G1051="",H1051=""),"",TRIM(IF(HOUR(H1051-G1051)&gt;0,HOUR(H1051-G1051)&amp;" hr ","")&amp;IF(MINUTE(H1051-G1051)&gt;0,MINUTE(H1051-G1051)&amp;" min","")))</f>
        <v/>
      </c>
      <c r="J1051" s="66" t="n"/>
      <c r="K1051" s="70" t="n"/>
      <c r="L1051" s="73">
        <f>IF(R1051="","",IF(INDEX('Recurring Schedule'!$J$6:$J$45,R1051)="","",INDEX('Recurring Schedule'!$J$6:$J$45,R1051)))</f>
        <v/>
      </c>
      <c r="M1051" s="73">
        <f>IF(R1051="","",IF(INDEX('Recurring Schedule'!$K$6:$K$45,R1051)="","",INDEX('Recurring Schedule'!$K$6:$K$45,R1051)))</f>
        <v/>
      </c>
      <c r="N1051" s="73">
        <f>IF(R1051="","",IF(INDEX('Recurring Schedule'!$L$6:$L$45,R1051)="","",INDEX('Recurring Schedule'!$L$6:$L$45,R1051)))</f>
        <v/>
      </c>
      <c r="O1051" s="73">
        <f>IF(C1051="","",IF(AND(OR(L1051="1-Urgent",L1051="2-High"),M1051="✓"),"DO FIRST",IF(M1051="✓","SCHEDULE",IF(OR(L1051="1-Urgent",L1051="2-High"),"DELEGATE","DELETE"))))</f>
        <v/>
      </c>
      <c r="P1051" s="65" t="n"/>
      <c r="Q1051">
        <f>IF(1046&gt;Calc!$AQ$368,"",MATCH(1045,Calc!$AQ$2:$AQ$367,1))</f>
        <v/>
      </c>
      <c r="R1051">
        <f>IF(Q1051="","",SMALL(INDEX(Calc!$B$2:$AO$367,Q1051,0),1046-INDEX(Calc!$AQ$2:$AQ$367,Q1051)))</f>
        <v/>
      </c>
    </row>
    <row r="1052">
      <c r="B1052" s="64">
        <f>IF(R1052="","",1047)</f>
        <v/>
      </c>
      <c r="C1052" s="37">
        <f>IF(R1052="","",IF(INDEX('Recurring Schedule'!$C$6:$C$45,R1052)="","",INDEX('Recurring Schedule'!$C$6:$C$45,R1052)))</f>
        <v/>
      </c>
      <c r="D1052" s="36">
        <f>IF(R1052="","",IF(INDEX('Recurring Schedule'!$D$6:$D$45,R1052)="","",INDEX('Recurring Schedule'!$D$6:$D$45,R1052)))</f>
        <v/>
      </c>
      <c r="E1052" s="38">
        <f>IF(Q1052="","",INDEX(Calc!$A$2:$A$367,Q1052))</f>
        <v/>
      </c>
      <c r="F1052" s="68">
        <f>IF(OR(C1052="",E1052=""),"",E1052-Setup!$D$7)</f>
        <v/>
      </c>
      <c r="G1052" s="74">
        <f>IF(R1052="","",IF(INDEX('Recurring Schedule'!$H$6:$H$45,R1052)="","",INDEX('Recurring Schedule'!$H$6:$H$45,R1052)))</f>
        <v/>
      </c>
      <c r="H1052" s="74">
        <f>IF(R1052="","",IF(INDEX('Recurring Schedule'!$I$6:$I$45,R1052)="","",INDEX('Recurring Schedule'!$I$6:$I$45,R1052)))</f>
        <v/>
      </c>
      <c r="I1052" s="36">
        <f>IF(OR(G1052="",H1052=""),"",TRIM(IF(HOUR(H1052-G1052)&gt;0,HOUR(H1052-G1052)&amp;" hr ","")&amp;IF(MINUTE(H1052-G1052)&gt;0,MINUTE(H1052-G1052)&amp;" min","")))</f>
        <v/>
      </c>
      <c r="J1052" s="66" t="n"/>
      <c r="K1052" s="70" t="n"/>
      <c r="L1052" s="36">
        <f>IF(R1052="","",IF(INDEX('Recurring Schedule'!$J$6:$J$45,R1052)="","",INDEX('Recurring Schedule'!$J$6:$J$45,R1052)))</f>
        <v/>
      </c>
      <c r="M1052" s="36">
        <f>IF(R1052="","",IF(INDEX('Recurring Schedule'!$K$6:$K$45,R1052)="","",INDEX('Recurring Schedule'!$K$6:$K$45,R1052)))</f>
        <v/>
      </c>
      <c r="N1052" s="36">
        <f>IF(R1052="","",IF(INDEX('Recurring Schedule'!$L$6:$L$45,R1052)="","",INDEX('Recurring Schedule'!$L$6:$L$45,R1052)))</f>
        <v/>
      </c>
      <c r="O1052" s="36">
        <f>IF(C1052="","",IF(AND(OR(L1052="1-Urgent",L1052="2-High"),M1052="✓"),"DO FIRST",IF(M1052="✓","SCHEDULE",IF(OR(L1052="1-Urgent",L1052="2-High"),"DELEGATE","DELETE"))))</f>
        <v/>
      </c>
      <c r="P1052" s="65" t="n"/>
      <c r="Q1052">
        <f>IF(1047&gt;Calc!$AQ$368,"",MATCH(1046,Calc!$AQ$2:$AQ$367,1))</f>
        <v/>
      </c>
      <c r="R1052">
        <f>IF(Q1052="","",SMALL(INDEX(Calc!$B$2:$AO$367,Q1052,0),1047-INDEX(Calc!$AQ$2:$AQ$367,Q1052)))</f>
        <v/>
      </c>
    </row>
    <row r="1053">
      <c r="B1053" s="71">
        <f>IF(R1053="","",1048)</f>
        <v/>
      </c>
      <c r="C1053" s="75">
        <f>IF(R1053="","",IF(INDEX('Recurring Schedule'!$C$6:$C$45,R1053)="","",INDEX('Recurring Schedule'!$C$6:$C$45,R1053)))</f>
        <v/>
      </c>
      <c r="D1053" s="73">
        <f>IF(R1053="","",IF(INDEX('Recurring Schedule'!$D$6:$D$45,R1053)="","",INDEX('Recurring Schedule'!$D$6:$D$45,R1053)))</f>
        <v/>
      </c>
      <c r="E1053" s="76">
        <f>IF(Q1053="","",INDEX(Calc!$A$2:$A$367,Q1053))</f>
        <v/>
      </c>
      <c r="F1053" s="72">
        <f>IF(OR(C1053="",E1053=""),"",E1053-Setup!$D$7)</f>
        <v/>
      </c>
      <c r="G1053" s="77">
        <f>IF(R1053="","",IF(INDEX('Recurring Schedule'!$H$6:$H$45,R1053)="","",INDEX('Recurring Schedule'!$H$6:$H$45,R1053)))</f>
        <v/>
      </c>
      <c r="H1053" s="77">
        <f>IF(R1053="","",IF(INDEX('Recurring Schedule'!$I$6:$I$45,R1053)="","",INDEX('Recurring Schedule'!$I$6:$I$45,R1053)))</f>
        <v/>
      </c>
      <c r="I1053" s="73">
        <f>IF(OR(G1053="",H1053=""),"",TRIM(IF(HOUR(H1053-G1053)&gt;0,HOUR(H1053-G1053)&amp;" hr ","")&amp;IF(MINUTE(H1053-G1053)&gt;0,MINUTE(H1053-G1053)&amp;" min","")))</f>
        <v/>
      </c>
      <c r="J1053" s="66" t="n"/>
      <c r="K1053" s="70" t="n"/>
      <c r="L1053" s="73">
        <f>IF(R1053="","",IF(INDEX('Recurring Schedule'!$J$6:$J$45,R1053)="","",INDEX('Recurring Schedule'!$J$6:$J$45,R1053)))</f>
        <v/>
      </c>
      <c r="M1053" s="73">
        <f>IF(R1053="","",IF(INDEX('Recurring Schedule'!$K$6:$K$45,R1053)="","",INDEX('Recurring Schedule'!$K$6:$K$45,R1053)))</f>
        <v/>
      </c>
      <c r="N1053" s="73">
        <f>IF(R1053="","",IF(INDEX('Recurring Schedule'!$L$6:$L$45,R1053)="","",INDEX('Recurring Schedule'!$L$6:$L$45,R1053)))</f>
        <v/>
      </c>
      <c r="O1053" s="73">
        <f>IF(C1053="","",IF(AND(OR(L1053="1-Urgent",L1053="2-High"),M1053="✓"),"DO FIRST",IF(M1053="✓","SCHEDULE",IF(OR(L1053="1-Urgent",L1053="2-High"),"DELEGATE","DELETE"))))</f>
        <v/>
      </c>
      <c r="P1053" s="65" t="n"/>
      <c r="Q1053">
        <f>IF(1048&gt;Calc!$AQ$368,"",MATCH(1047,Calc!$AQ$2:$AQ$367,1))</f>
        <v/>
      </c>
      <c r="R1053">
        <f>IF(Q1053="","",SMALL(INDEX(Calc!$B$2:$AO$367,Q1053,0),1048-INDEX(Calc!$AQ$2:$AQ$367,Q1053)))</f>
        <v/>
      </c>
    </row>
    <row r="1054">
      <c r="B1054" s="64">
        <f>IF(R1054="","",1049)</f>
        <v/>
      </c>
      <c r="C1054" s="37">
        <f>IF(R1054="","",IF(INDEX('Recurring Schedule'!$C$6:$C$45,R1054)="","",INDEX('Recurring Schedule'!$C$6:$C$45,R1054)))</f>
        <v/>
      </c>
      <c r="D1054" s="36">
        <f>IF(R1054="","",IF(INDEX('Recurring Schedule'!$D$6:$D$45,R1054)="","",INDEX('Recurring Schedule'!$D$6:$D$45,R1054)))</f>
        <v/>
      </c>
      <c r="E1054" s="38">
        <f>IF(Q1054="","",INDEX(Calc!$A$2:$A$367,Q1054))</f>
        <v/>
      </c>
      <c r="F1054" s="68">
        <f>IF(OR(C1054="",E1054=""),"",E1054-Setup!$D$7)</f>
        <v/>
      </c>
      <c r="G1054" s="74">
        <f>IF(R1054="","",IF(INDEX('Recurring Schedule'!$H$6:$H$45,R1054)="","",INDEX('Recurring Schedule'!$H$6:$H$45,R1054)))</f>
        <v/>
      </c>
      <c r="H1054" s="74">
        <f>IF(R1054="","",IF(INDEX('Recurring Schedule'!$I$6:$I$45,R1054)="","",INDEX('Recurring Schedule'!$I$6:$I$45,R1054)))</f>
        <v/>
      </c>
      <c r="I1054" s="36">
        <f>IF(OR(G1054="",H1054=""),"",TRIM(IF(HOUR(H1054-G1054)&gt;0,HOUR(H1054-G1054)&amp;" hr ","")&amp;IF(MINUTE(H1054-G1054)&gt;0,MINUTE(H1054-G1054)&amp;" min","")))</f>
        <v/>
      </c>
      <c r="J1054" s="66" t="n"/>
      <c r="K1054" s="70" t="n"/>
      <c r="L1054" s="36">
        <f>IF(R1054="","",IF(INDEX('Recurring Schedule'!$J$6:$J$45,R1054)="","",INDEX('Recurring Schedule'!$J$6:$J$45,R1054)))</f>
        <v/>
      </c>
      <c r="M1054" s="36">
        <f>IF(R1054="","",IF(INDEX('Recurring Schedule'!$K$6:$K$45,R1054)="","",INDEX('Recurring Schedule'!$K$6:$K$45,R1054)))</f>
        <v/>
      </c>
      <c r="N1054" s="36">
        <f>IF(R1054="","",IF(INDEX('Recurring Schedule'!$L$6:$L$45,R1054)="","",INDEX('Recurring Schedule'!$L$6:$L$45,R1054)))</f>
        <v/>
      </c>
      <c r="O1054" s="36">
        <f>IF(C1054="","",IF(AND(OR(L1054="1-Urgent",L1054="2-High"),M1054="✓"),"DO FIRST",IF(M1054="✓","SCHEDULE",IF(OR(L1054="1-Urgent",L1054="2-High"),"DELEGATE","DELETE"))))</f>
        <v/>
      </c>
      <c r="P1054" s="65" t="n"/>
      <c r="Q1054">
        <f>IF(1049&gt;Calc!$AQ$368,"",MATCH(1048,Calc!$AQ$2:$AQ$367,1))</f>
        <v/>
      </c>
      <c r="R1054">
        <f>IF(Q1054="","",SMALL(INDEX(Calc!$B$2:$AO$367,Q1054,0),1049-INDEX(Calc!$AQ$2:$AQ$367,Q1054)))</f>
        <v/>
      </c>
    </row>
    <row r="1055">
      <c r="B1055" s="71">
        <f>IF(R1055="","",1050)</f>
        <v/>
      </c>
      <c r="C1055" s="75">
        <f>IF(R1055="","",IF(INDEX('Recurring Schedule'!$C$6:$C$45,R1055)="","",INDEX('Recurring Schedule'!$C$6:$C$45,R1055)))</f>
        <v/>
      </c>
      <c r="D1055" s="73">
        <f>IF(R1055="","",IF(INDEX('Recurring Schedule'!$D$6:$D$45,R1055)="","",INDEX('Recurring Schedule'!$D$6:$D$45,R1055)))</f>
        <v/>
      </c>
      <c r="E1055" s="76">
        <f>IF(Q1055="","",INDEX(Calc!$A$2:$A$367,Q1055))</f>
        <v/>
      </c>
      <c r="F1055" s="72">
        <f>IF(OR(C1055="",E1055=""),"",E1055-Setup!$D$7)</f>
        <v/>
      </c>
      <c r="G1055" s="77">
        <f>IF(R1055="","",IF(INDEX('Recurring Schedule'!$H$6:$H$45,R1055)="","",INDEX('Recurring Schedule'!$H$6:$H$45,R1055)))</f>
        <v/>
      </c>
      <c r="H1055" s="77">
        <f>IF(R1055="","",IF(INDEX('Recurring Schedule'!$I$6:$I$45,R1055)="","",INDEX('Recurring Schedule'!$I$6:$I$45,R1055)))</f>
        <v/>
      </c>
      <c r="I1055" s="73">
        <f>IF(OR(G1055="",H1055=""),"",TRIM(IF(HOUR(H1055-G1055)&gt;0,HOUR(H1055-G1055)&amp;" hr ","")&amp;IF(MINUTE(H1055-G1055)&gt;0,MINUTE(H1055-G1055)&amp;" min","")))</f>
        <v/>
      </c>
      <c r="J1055" s="66" t="n"/>
      <c r="K1055" s="70" t="n"/>
      <c r="L1055" s="73">
        <f>IF(R1055="","",IF(INDEX('Recurring Schedule'!$J$6:$J$45,R1055)="","",INDEX('Recurring Schedule'!$J$6:$J$45,R1055)))</f>
        <v/>
      </c>
      <c r="M1055" s="73">
        <f>IF(R1055="","",IF(INDEX('Recurring Schedule'!$K$6:$K$45,R1055)="","",INDEX('Recurring Schedule'!$K$6:$K$45,R1055)))</f>
        <v/>
      </c>
      <c r="N1055" s="73">
        <f>IF(R1055="","",IF(INDEX('Recurring Schedule'!$L$6:$L$45,R1055)="","",INDEX('Recurring Schedule'!$L$6:$L$45,R1055)))</f>
        <v/>
      </c>
      <c r="O1055" s="73">
        <f>IF(C1055="","",IF(AND(OR(L1055="1-Urgent",L1055="2-High"),M1055="✓"),"DO FIRST",IF(M1055="✓","SCHEDULE",IF(OR(L1055="1-Urgent",L1055="2-High"),"DELEGATE","DELETE"))))</f>
        <v/>
      </c>
      <c r="P1055" s="65" t="n"/>
      <c r="Q1055">
        <f>IF(1050&gt;Calc!$AQ$368,"",MATCH(1049,Calc!$AQ$2:$AQ$367,1))</f>
        <v/>
      </c>
      <c r="R1055">
        <f>IF(Q1055="","",SMALL(INDEX(Calc!$B$2:$AO$367,Q1055,0),1050-INDEX(Calc!$AQ$2:$AQ$367,Q1055)))</f>
        <v/>
      </c>
    </row>
    <row r="1056">
      <c r="B1056" s="64">
        <f>IF(R1056="","",1051)</f>
        <v/>
      </c>
      <c r="C1056" s="37">
        <f>IF(R1056="","",IF(INDEX('Recurring Schedule'!$C$6:$C$45,R1056)="","",INDEX('Recurring Schedule'!$C$6:$C$45,R1056)))</f>
        <v/>
      </c>
      <c r="D1056" s="36">
        <f>IF(R1056="","",IF(INDEX('Recurring Schedule'!$D$6:$D$45,R1056)="","",INDEX('Recurring Schedule'!$D$6:$D$45,R1056)))</f>
        <v/>
      </c>
      <c r="E1056" s="38">
        <f>IF(Q1056="","",INDEX(Calc!$A$2:$A$367,Q1056))</f>
        <v/>
      </c>
      <c r="F1056" s="68">
        <f>IF(OR(C1056="",E1056=""),"",E1056-Setup!$D$7)</f>
        <v/>
      </c>
      <c r="G1056" s="74">
        <f>IF(R1056="","",IF(INDEX('Recurring Schedule'!$H$6:$H$45,R1056)="","",INDEX('Recurring Schedule'!$H$6:$H$45,R1056)))</f>
        <v/>
      </c>
      <c r="H1056" s="74">
        <f>IF(R1056="","",IF(INDEX('Recurring Schedule'!$I$6:$I$45,R1056)="","",INDEX('Recurring Schedule'!$I$6:$I$45,R1056)))</f>
        <v/>
      </c>
      <c r="I1056" s="36">
        <f>IF(OR(G1056="",H1056=""),"",TRIM(IF(HOUR(H1056-G1056)&gt;0,HOUR(H1056-G1056)&amp;" hr ","")&amp;IF(MINUTE(H1056-G1056)&gt;0,MINUTE(H1056-G1056)&amp;" min","")))</f>
        <v/>
      </c>
      <c r="J1056" s="66" t="n"/>
      <c r="K1056" s="70" t="n"/>
      <c r="L1056" s="36">
        <f>IF(R1056="","",IF(INDEX('Recurring Schedule'!$J$6:$J$45,R1056)="","",INDEX('Recurring Schedule'!$J$6:$J$45,R1056)))</f>
        <v/>
      </c>
      <c r="M1056" s="36">
        <f>IF(R1056="","",IF(INDEX('Recurring Schedule'!$K$6:$K$45,R1056)="","",INDEX('Recurring Schedule'!$K$6:$K$45,R1056)))</f>
        <v/>
      </c>
      <c r="N1056" s="36">
        <f>IF(R1056="","",IF(INDEX('Recurring Schedule'!$L$6:$L$45,R1056)="","",INDEX('Recurring Schedule'!$L$6:$L$45,R1056)))</f>
        <v/>
      </c>
      <c r="O1056" s="36">
        <f>IF(C1056="","",IF(AND(OR(L1056="1-Urgent",L1056="2-High"),M1056="✓"),"DO FIRST",IF(M1056="✓","SCHEDULE",IF(OR(L1056="1-Urgent",L1056="2-High"),"DELEGATE","DELETE"))))</f>
        <v/>
      </c>
      <c r="P1056" s="65" t="n"/>
      <c r="Q1056">
        <f>IF(1051&gt;Calc!$AQ$368,"",MATCH(1050,Calc!$AQ$2:$AQ$367,1))</f>
        <v/>
      </c>
      <c r="R1056">
        <f>IF(Q1056="","",SMALL(INDEX(Calc!$B$2:$AO$367,Q1056,0),1051-INDEX(Calc!$AQ$2:$AQ$367,Q1056)))</f>
        <v/>
      </c>
    </row>
    <row r="1057">
      <c r="B1057" s="71">
        <f>IF(R1057="","",1052)</f>
        <v/>
      </c>
      <c r="C1057" s="75">
        <f>IF(R1057="","",IF(INDEX('Recurring Schedule'!$C$6:$C$45,R1057)="","",INDEX('Recurring Schedule'!$C$6:$C$45,R1057)))</f>
        <v/>
      </c>
      <c r="D1057" s="73">
        <f>IF(R1057="","",IF(INDEX('Recurring Schedule'!$D$6:$D$45,R1057)="","",INDEX('Recurring Schedule'!$D$6:$D$45,R1057)))</f>
        <v/>
      </c>
      <c r="E1057" s="76">
        <f>IF(Q1057="","",INDEX(Calc!$A$2:$A$367,Q1057))</f>
        <v/>
      </c>
      <c r="F1057" s="72">
        <f>IF(OR(C1057="",E1057=""),"",E1057-Setup!$D$7)</f>
        <v/>
      </c>
      <c r="G1057" s="77">
        <f>IF(R1057="","",IF(INDEX('Recurring Schedule'!$H$6:$H$45,R1057)="","",INDEX('Recurring Schedule'!$H$6:$H$45,R1057)))</f>
        <v/>
      </c>
      <c r="H1057" s="77">
        <f>IF(R1057="","",IF(INDEX('Recurring Schedule'!$I$6:$I$45,R1057)="","",INDEX('Recurring Schedule'!$I$6:$I$45,R1057)))</f>
        <v/>
      </c>
      <c r="I1057" s="73">
        <f>IF(OR(G1057="",H1057=""),"",TRIM(IF(HOUR(H1057-G1057)&gt;0,HOUR(H1057-G1057)&amp;" hr ","")&amp;IF(MINUTE(H1057-G1057)&gt;0,MINUTE(H1057-G1057)&amp;" min","")))</f>
        <v/>
      </c>
      <c r="J1057" s="66" t="n"/>
      <c r="K1057" s="70" t="n"/>
      <c r="L1057" s="73">
        <f>IF(R1057="","",IF(INDEX('Recurring Schedule'!$J$6:$J$45,R1057)="","",INDEX('Recurring Schedule'!$J$6:$J$45,R1057)))</f>
        <v/>
      </c>
      <c r="M1057" s="73">
        <f>IF(R1057="","",IF(INDEX('Recurring Schedule'!$K$6:$K$45,R1057)="","",INDEX('Recurring Schedule'!$K$6:$K$45,R1057)))</f>
        <v/>
      </c>
      <c r="N1057" s="73">
        <f>IF(R1057="","",IF(INDEX('Recurring Schedule'!$L$6:$L$45,R1057)="","",INDEX('Recurring Schedule'!$L$6:$L$45,R1057)))</f>
        <v/>
      </c>
      <c r="O1057" s="73">
        <f>IF(C1057="","",IF(AND(OR(L1057="1-Urgent",L1057="2-High"),M1057="✓"),"DO FIRST",IF(M1057="✓","SCHEDULE",IF(OR(L1057="1-Urgent",L1057="2-High"),"DELEGATE","DELETE"))))</f>
        <v/>
      </c>
      <c r="P1057" s="65" t="n"/>
      <c r="Q1057">
        <f>IF(1052&gt;Calc!$AQ$368,"",MATCH(1051,Calc!$AQ$2:$AQ$367,1))</f>
        <v/>
      </c>
      <c r="R1057">
        <f>IF(Q1057="","",SMALL(INDEX(Calc!$B$2:$AO$367,Q1057,0),1052-INDEX(Calc!$AQ$2:$AQ$367,Q1057)))</f>
        <v/>
      </c>
    </row>
    <row r="1058">
      <c r="B1058" s="64">
        <f>IF(R1058="","",1053)</f>
        <v/>
      </c>
      <c r="C1058" s="37">
        <f>IF(R1058="","",IF(INDEX('Recurring Schedule'!$C$6:$C$45,R1058)="","",INDEX('Recurring Schedule'!$C$6:$C$45,R1058)))</f>
        <v/>
      </c>
      <c r="D1058" s="36">
        <f>IF(R1058="","",IF(INDEX('Recurring Schedule'!$D$6:$D$45,R1058)="","",INDEX('Recurring Schedule'!$D$6:$D$45,R1058)))</f>
        <v/>
      </c>
      <c r="E1058" s="38">
        <f>IF(Q1058="","",INDEX(Calc!$A$2:$A$367,Q1058))</f>
        <v/>
      </c>
      <c r="F1058" s="68">
        <f>IF(OR(C1058="",E1058=""),"",E1058-Setup!$D$7)</f>
        <v/>
      </c>
      <c r="G1058" s="74">
        <f>IF(R1058="","",IF(INDEX('Recurring Schedule'!$H$6:$H$45,R1058)="","",INDEX('Recurring Schedule'!$H$6:$H$45,R1058)))</f>
        <v/>
      </c>
      <c r="H1058" s="74">
        <f>IF(R1058="","",IF(INDEX('Recurring Schedule'!$I$6:$I$45,R1058)="","",INDEX('Recurring Schedule'!$I$6:$I$45,R1058)))</f>
        <v/>
      </c>
      <c r="I1058" s="36">
        <f>IF(OR(G1058="",H1058=""),"",TRIM(IF(HOUR(H1058-G1058)&gt;0,HOUR(H1058-G1058)&amp;" hr ","")&amp;IF(MINUTE(H1058-G1058)&gt;0,MINUTE(H1058-G1058)&amp;" min","")))</f>
        <v/>
      </c>
      <c r="J1058" s="66" t="n"/>
      <c r="K1058" s="70" t="n"/>
      <c r="L1058" s="36">
        <f>IF(R1058="","",IF(INDEX('Recurring Schedule'!$J$6:$J$45,R1058)="","",INDEX('Recurring Schedule'!$J$6:$J$45,R1058)))</f>
        <v/>
      </c>
      <c r="M1058" s="36">
        <f>IF(R1058="","",IF(INDEX('Recurring Schedule'!$K$6:$K$45,R1058)="","",INDEX('Recurring Schedule'!$K$6:$K$45,R1058)))</f>
        <v/>
      </c>
      <c r="N1058" s="36">
        <f>IF(R1058="","",IF(INDEX('Recurring Schedule'!$L$6:$L$45,R1058)="","",INDEX('Recurring Schedule'!$L$6:$L$45,R1058)))</f>
        <v/>
      </c>
      <c r="O1058" s="36">
        <f>IF(C1058="","",IF(AND(OR(L1058="1-Urgent",L1058="2-High"),M1058="✓"),"DO FIRST",IF(M1058="✓","SCHEDULE",IF(OR(L1058="1-Urgent",L1058="2-High"),"DELEGATE","DELETE"))))</f>
        <v/>
      </c>
      <c r="P1058" s="65" t="n"/>
      <c r="Q1058">
        <f>IF(1053&gt;Calc!$AQ$368,"",MATCH(1052,Calc!$AQ$2:$AQ$367,1))</f>
        <v/>
      </c>
      <c r="R1058">
        <f>IF(Q1058="","",SMALL(INDEX(Calc!$B$2:$AO$367,Q1058,0),1053-INDEX(Calc!$AQ$2:$AQ$367,Q1058)))</f>
        <v/>
      </c>
    </row>
    <row r="1059">
      <c r="B1059" s="71">
        <f>IF(R1059="","",1054)</f>
        <v/>
      </c>
      <c r="C1059" s="75">
        <f>IF(R1059="","",IF(INDEX('Recurring Schedule'!$C$6:$C$45,R1059)="","",INDEX('Recurring Schedule'!$C$6:$C$45,R1059)))</f>
        <v/>
      </c>
      <c r="D1059" s="73">
        <f>IF(R1059="","",IF(INDEX('Recurring Schedule'!$D$6:$D$45,R1059)="","",INDEX('Recurring Schedule'!$D$6:$D$45,R1059)))</f>
        <v/>
      </c>
      <c r="E1059" s="76">
        <f>IF(Q1059="","",INDEX(Calc!$A$2:$A$367,Q1059))</f>
        <v/>
      </c>
      <c r="F1059" s="72">
        <f>IF(OR(C1059="",E1059=""),"",E1059-Setup!$D$7)</f>
        <v/>
      </c>
      <c r="G1059" s="77">
        <f>IF(R1059="","",IF(INDEX('Recurring Schedule'!$H$6:$H$45,R1059)="","",INDEX('Recurring Schedule'!$H$6:$H$45,R1059)))</f>
        <v/>
      </c>
      <c r="H1059" s="77">
        <f>IF(R1059="","",IF(INDEX('Recurring Schedule'!$I$6:$I$45,R1059)="","",INDEX('Recurring Schedule'!$I$6:$I$45,R1059)))</f>
        <v/>
      </c>
      <c r="I1059" s="73">
        <f>IF(OR(G1059="",H1059=""),"",TRIM(IF(HOUR(H1059-G1059)&gt;0,HOUR(H1059-G1059)&amp;" hr ","")&amp;IF(MINUTE(H1059-G1059)&gt;0,MINUTE(H1059-G1059)&amp;" min","")))</f>
        <v/>
      </c>
      <c r="J1059" s="66" t="n"/>
      <c r="K1059" s="70" t="n"/>
      <c r="L1059" s="73">
        <f>IF(R1059="","",IF(INDEX('Recurring Schedule'!$J$6:$J$45,R1059)="","",INDEX('Recurring Schedule'!$J$6:$J$45,R1059)))</f>
        <v/>
      </c>
      <c r="M1059" s="73">
        <f>IF(R1059="","",IF(INDEX('Recurring Schedule'!$K$6:$K$45,R1059)="","",INDEX('Recurring Schedule'!$K$6:$K$45,R1059)))</f>
        <v/>
      </c>
      <c r="N1059" s="73">
        <f>IF(R1059="","",IF(INDEX('Recurring Schedule'!$L$6:$L$45,R1059)="","",INDEX('Recurring Schedule'!$L$6:$L$45,R1059)))</f>
        <v/>
      </c>
      <c r="O1059" s="73">
        <f>IF(C1059="","",IF(AND(OR(L1059="1-Urgent",L1059="2-High"),M1059="✓"),"DO FIRST",IF(M1059="✓","SCHEDULE",IF(OR(L1059="1-Urgent",L1059="2-High"),"DELEGATE","DELETE"))))</f>
        <v/>
      </c>
      <c r="P1059" s="65" t="n"/>
      <c r="Q1059">
        <f>IF(1054&gt;Calc!$AQ$368,"",MATCH(1053,Calc!$AQ$2:$AQ$367,1))</f>
        <v/>
      </c>
      <c r="R1059">
        <f>IF(Q1059="","",SMALL(INDEX(Calc!$B$2:$AO$367,Q1059,0),1054-INDEX(Calc!$AQ$2:$AQ$367,Q1059)))</f>
        <v/>
      </c>
    </row>
    <row r="1060">
      <c r="B1060" s="64">
        <f>IF(R1060="","",1055)</f>
        <v/>
      </c>
      <c r="C1060" s="37">
        <f>IF(R1060="","",IF(INDEX('Recurring Schedule'!$C$6:$C$45,R1060)="","",INDEX('Recurring Schedule'!$C$6:$C$45,R1060)))</f>
        <v/>
      </c>
      <c r="D1060" s="36">
        <f>IF(R1060="","",IF(INDEX('Recurring Schedule'!$D$6:$D$45,R1060)="","",INDEX('Recurring Schedule'!$D$6:$D$45,R1060)))</f>
        <v/>
      </c>
      <c r="E1060" s="38">
        <f>IF(Q1060="","",INDEX(Calc!$A$2:$A$367,Q1060))</f>
        <v/>
      </c>
      <c r="F1060" s="68">
        <f>IF(OR(C1060="",E1060=""),"",E1060-Setup!$D$7)</f>
        <v/>
      </c>
      <c r="G1060" s="74">
        <f>IF(R1060="","",IF(INDEX('Recurring Schedule'!$H$6:$H$45,R1060)="","",INDEX('Recurring Schedule'!$H$6:$H$45,R1060)))</f>
        <v/>
      </c>
      <c r="H1060" s="74">
        <f>IF(R1060="","",IF(INDEX('Recurring Schedule'!$I$6:$I$45,R1060)="","",INDEX('Recurring Schedule'!$I$6:$I$45,R1060)))</f>
        <v/>
      </c>
      <c r="I1060" s="36">
        <f>IF(OR(G1060="",H1060=""),"",TRIM(IF(HOUR(H1060-G1060)&gt;0,HOUR(H1060-G1060)&amp;" hr ","")&amp;IF(MINUTE(H1060-G1060)&gt;0,MINUTE(H1060-G1060)&amp;" min","")))</f>
        <v/>
      </c>
      <c r="J1060" s="66" t="n"/>
      <c r="K1060" s="70" t="n"/>
      <c r="L1060" s="36">
        <f>IF(R1060="","",IF(INDEX('Recurring Schedule'!$J$6:$J$45,R1060)="","",INDEX('Recurring Schedule'!$J$6:$J$45,R1060)))</f>
        <v/>
      </c>
      <c r="M1060" s="36">
        <f>IF(R1060="","",IF(INDEX('Recurring Schedule'!$K$6:$K$45,R1060)="","",INDEX('Recurring Schedule'!$K$6:$K$45,R1060)))</f>
        <v/>
      </c>
      <c r="N1060" s="36">
        <f>IF(R1060="","",IF(INDEX('Recurring Schedule'!$L$6:$L$45,R1060)="","",INDEX('Recurring Schedule'!$L$6:$L$45,R1060)))</f>
        <v/>
      </c>
      <c r="O1060" s="36">
        <f>IF(C1060="","",IF(AND(OR(L1060="1-Urgent",L1060="2-High"),M1060="✓"),"DO FIRST",IF(M1060="✓","SCHEDULE",IF(OR(L1060="1-Urgent",L1060="2-High"),"DELEGATE","DELETE"))))</f>
        <v/>
      </c>
      <c r="P1060" s="65" t="n"/>
      <c r="Q1060">
        <f>IF(1055&gt;Calc!$AQ$368,"",MATCH(1054,Calc!$AQ$2:$AQ$367,1))</f>
        <v/>
      </c>
      <c r="R1060">
        <f>IF(Q1060="","",SMALL(INDEX(Calc!$B$2:$AO$367,Q1060,0),1055-INDEX(Calc!$AQ$2:$AQ$367,Q1060)))</f>
        <v/>
      </c>
    </row>
    <row r="1061">
      <c r="B1061" s="71">
        <f>IF(R1061="","",1056)</f>
        <v/>
      </c>
      <c r="C1061" s="75">
        <f>IF(R1061="","",IF(INDEX('Recurring Schedule'!$C$6:$C$45,R1061)="","",INDEX('Recurring Schedule'!$C$6:$C$45,R1061)))</f>
        <v/>
      </c>
      <c r="D1061" s="73">
        <f>IF(R1061="","",IF(INDEX('Recurring Schedule'!$D$6:$D$45,R1061)="","",INDEX('Recurring Schedule'!$D$6:$D$45,R1061)))</f>
        <v/>
      </c>
      <c r="E1061" s="76">
        <f>IF(Q1061="","",INDEX(Calc!$A$2:$A$367,Q1061))</f>
        <v/>
      </c>
      <c r="F1061" s="72">
        <f>IF(OR(C1061="",E1061=""),"",E1061-Setup!$D$7)</f>
        <v/>
      </c>
      <c r="G1061" s="77">
        <f>IF(R1061="","",IF(INDEX('Recurring Schedule'!$H$6:$H$45,R1061)="","",INDEX('Recurring Schedule'!$H$6:$H$45,R1061)))</f>
        <v/>
      </c>
      <c r="H1061" s="77">
        <f>IF(R1061="","",IF(INDEX('Recurring Schedule'!$I$6:$I$45,R1061)="","",INDEX('Recurring Schedule'!$I$6:$I$45,R1061)))</f>
        <v/>
      </c>
      <c r="I1061" s="73">
        <f>IF(OR(G1061="",H1061=""),"",TRIM(IF(HOUR(H1061-G1061)&gt;0,HOUR(H1061-G1061)&amp;" hr ","")&amp;IF(MINUTE(H1061-G1061)&gt;0,MINUTE(H1061-G1061)&amp;" min","")))</f>
        <v/>
      </c>
      <c r="J1061" s="66" t="n"/>
      <c r="K1061" s="70" t="n"/>
      <c r="L1061" s="73">
        <f>IF(R1061="","",IF(INDEX('Recurring Schedule'!$J$6:$J$45,R1061)="","",INDEX('Recurring Schedule'!$J$6:$J$45,R1061)))</f>
        <v/>
      </c>
      <c r="M1061" s="73">
        <f>IF(R1061="","",IF(INDEX('Recurring Schedule'!$K$6:$K$45,R1061)="","",INDEX('Recurring Schedule'!$K$6:$K$45,R1061)))</f>
        <v/>
      </c>
      <c r="N1061" s="73">
        <f>IF(R1061="","",IF(INDEX('Recurring Schedule'!$L$6:$L$45,R1061)="","",INDEX('Recurring Schedule'!$L$6:$L$45,R1061)))</f>
        <v/>
      </c>
      <c r="O1061" s="73">
        <f>IF(C1061="","",IF(AND(OR(L1061="1-Urgent",L1061="2-High"),M1061="✓"),"DO FIRST",IF(M1061="✓","SCHEDULE",IF(OR(L1061="1-Urgent",L1061="2-High"),"DELEGATE","DELETE"))))</f>
        <v/>
      </c>
      <c r="P1061" s="65" t="n"/>
      <c r="Q1061">
        <f>IF(1056&gt;Calc!$AQ$368,"",MATCH(1055,Calc!$AQ$2:$AQ$367,1))</f>
        <v/>
      </c>
      <c r="R1061">
        <f>IF(Q1061="","",SMALL(INDEX(Calc!$B$2:$AO$367,Q1061,0),1056-INDEX(Calc!$AQ$2:$AQ$367,Q1061)))</f>
        <v/>
      </c>
    </row>
    <row r="1062">
      <c r="B1062" s="64">
        <f>IF(R1062="","",1057)</f>
        <v/>
      </c>
      <c r="C1062" s="37">
        <f>IF(R1062="","",IF(INDEX('Recurring Schedule'!$C$6:$C$45,R1062)="","",INDEX('Recurring Schedule'!$C$6:$C$45,R1062)))</f>
        <v/>
      </c>
      <c r="D1062" s="36">
        <f>IF(R1062="","",IF(INDEX('Recurring Schedule'!$D$6:$D$45,R1062)="","",INDEX('Recurring Schedule'!$D$6:$D$45,R1062)))</f>
        <v/>
      </c>
      <c r="E1062" s="38">
        <f>IF(Q1062="","",INDEX(Calc!$A$2:$A$367,Q1062))</f>
        <v/>
      </c>
      <c r="F1062" s="68">
        <f>IF(OR(C1062="",E1062=""),"",E1062-Setup!$D$7)</f>
        <v/>
      </c>
      <c r="G1062" s="74">
        <f>IF(R1062="","",IF(INDEX('Recurring Schedule'!$H$6:$H$45,R1062)="","",INDEX('Recurring Schedule'!$H$6:$H$45,R1062)))</f>
        <v/>
      </c>
      <c r="H1062" s="74">
        <f>IF(R1062="","",IF(INDEX('Recurring Schedule'!$I$6:$I$45,R1062)="","",INDEX('Recurring Schedule'!$I$6:$I$45,R1062)))</f>
        <v/>
      </c>
      <c r="I1062" s="36">
        <f>IF(OR(G1062="",H1062=""),"",TRIM(IF(HOUR(H1062-G1062)&gt;0,HOUR(H1062-G1062)&amp;" hr ","")&amp;IF(MINUTE(H1062-G1062)&gt;0,MINUTE(H1062-G1062)&amp;" min","")))</f>
        <v/>
      </c>
      <c r="J1062" s="66" t="n"/>
      <c r="K1062" s="70" t="n"/>
      <c r="L1062" s="36">
        <f>IF(R1062="","",IF(INDEX('Recurring Schedule'!$J$6:$J$45,R1062)="","",INDEX('Recurring Schedule'!$J$6:$J$45,R1062)))</f>
        <v/>
      </c>
      <c r="M1062" s="36">
        <f>IF(R1062="","",IF(INDEX('Recurring Schedule'!$K$6:$K$45,R1062)="","",INDEX('Recurring Schedule'!$K$6:$K$45,R1062)))</f>
        <v/>
      </c>
      <c r="N1062" s="36">
        <f>IF(R1062="","",IF(INDEX('Recurring Schedule'!$L$6:$L$45,R1062)="","",INDEX('Recurring Schedule'!$L$6:$L$45,R1062)))</f>
        <v/>
      </c>
      <c r="O1062" s="36">
        <f>IF(C1062="","",IF(AND(OR(L1062="1-Urgent",L1062="2-High"),M1062="✓"),"DO FIRST",IF(M1062="✓","SCHEDULE",IF(OR(L1062="1-Urgent",L1062="2-High"),"DELEGATE","DELETE"))))</f>
        <v/>
      </c>
      <c r="P1062" s="65" t="n"/>
      <c r="Q1062">
        <f>IF(1057&gt;Calc!$AQ$368,"",MATCH(1056,Calc!$AQ$2:$AQ$367,1))</f>
        <v/>
      </c>
      <c r="R1062">
        <f>IF(Q1062="","",SMALL(INDEX(Calc!$B$2:$AO$367,Q1062,0),1057-INDEX(Calc!$AQ$2:$AQ$367,Q1062)))</f>
        <v/>
      </c>
    </row>
    <row r="1063">
      <c r="B1063" s="71">
        <f>IF(R1063="","",1058)</f>
        <v/>
      </c>
      <c r="C1063" s="75">
        <f>IF(R1063="","",IF(INDEX('Recurring Schedule'!$C$6:$C$45,R1063)="","",INDEX('Recurring Schedule'!$C$6:$C$45,R1063)))</f>
        <v/>
      </c>
      <c r="D1063" s="73">
        <f>IF(R1063="","",IF(INDEX('Recurring Schedule'!$D$6:$D$45,R1063)="","",INDEX('Recurring Schedule'!$D$6:$D$45,R1063)))</f>
        <v/>
      </c>
      <c r="E1063" s="76">
        <f>IF(Q1063="","",INDEX(Calc!$A$2:$A$367,Q1063))</f>
        <v/>
      </c>
      <c r="F1063" s="72">
        <f>IF(OR(C1063="",E1063=""),"",E1063-Setup!$D$7)</f>
        <v/>
      </c>
      <c r="G1063" s="77">
        <f>IF(R1063="","",IF(INDEX('Recurring Schedule'!$H$6:$H$45,R1063)="","",INDEX('Recurring Schedule'!$H$6:$H$45,R1063)))</f>
        <v/>
      </c>
      <c r="H1063" s="77">
        <f>IF(R1063="","",IF(INDEX('Recurring Schedule'!$I$6:$I$45,R1063)="","",INDEX('Recurring Schedule'!$I$6:$I$45,R1063)))</f>
        <v/>
      </c>
      <c r="I1063" s="73">
        <f>IF(OR(G1063="",H1063=""),"",TRIM(IF(HOUR(H1063-G1063)&gt;0,HOUR(H1063-G1063)&amp;" hr ","")&amp;IF(MINUTE(H1063-G1063)&gt;0,MINUTE(H1063-G1063)&amp;" min","")))</f>
        <v/>
      </c>
      <c r="J1063" s="66" t="n"/>
      <c r="K1063" s="70" t="n"/>
      <c r="L1063" s="73">
        <f>IF(R1063="","",IF(INDEX('Recurring Schedule'!$J$6:$J$45,R1063)="","",INDEX('Recurring Schedule'!$J$6:$J$45,R1063)))</f>
        <v/>
      </c>
      <c r="M1063" s="73">
        <f>IF(R1063="","",IF(INDEX('Recurring Schedule'!$K$6:$K$45,R1063)="","",INDEX('Recurring Schedule'!$K$6:$K$45,R1063)))</f>
        <v/>
      </c>
      <c r="N1063" s="73">
        <f>IF(R1063="","",IF(INDEX('Recurring Schedule'!$L$6:$L$45,R1063)="","",INDEX('Recurring Schedule'!$L$6:$L$45,R1063)))</f>
        <v/>
      </c>
      <c r="O1063" s="73">
        <f>IF(C1063="","",IF(AND(OR(L1063="1-Urgent",L1063="2-High"),M1063="✓"),"DO FIRST",IF(M1063="✓","SCHEDULE",IF(OR(L1063="1-Urgent",L1063="2-High"),"DELEGATE","DELETE"))))</f>
        <v/>
      </c>
      <c r="P1063" s="65" t="n"/>
      <c r="Q1063">
        <f>IF(1058&gt;Calc!$AQ$368,"",MATCH(1057,Calc!$AQ$2:$AQ$367,1))</f>
        <v/>
      </c>
      <c r="R1063">
        <f>IF(Q1063="","",SMALL(INDEX(Calc!$B$2:$AO$367,Q1063,0),1058-INDEX(Calc!$AQ$2:$AQ$367,Q1063)))</f>
        <v/>
      </c>
    </row>
    <row r="1064">
      <c r="B1064" s="64">
        <f>IF(R1064="","",1059)</f>
        <v/>
      </c>
      <c r="C1064" s="37">
        <f>IF(R1064="","",IF(INDEX('Recurring Schedule'!$C$6:$C$45,R1064)="","",INDEX('Recurring Schedule'!$C$6:$C$45,R1064)))</f>
        <v/>
      </c>
      <c r="D1064" s="36">
        <f>IF(R1064="","",IF(INDEX('Recurring Schedule'!$D$6:$D$45,R1064)="","",INDEX('Recurring Schedule'!$D$6:$D$45,R1064)))</f>
        <v/>
      </c>
      <c r="E1064" s="38">
        <f>IF(Q1064="","",INDEX(Calc!$A$2:$A$367,Q1064))</f>
        <v/>
      </c>
      <c r="F1064" s="68">
        <f>IF(OR(C1064="",E1064=""),"",E1064-Setup!$D$7)</f>
        <v/>
      </c>
      <c r="G1064" s="74">
        <f>IF(R1064="","",IF(INDEX('Recurring Schedule'!$H$6:$H$45,R1064)="","",INDEX('Recurring Schedule'!$H$6:$H$45,R1064)))</f>
        <v/>
      </c>
      <c r="H1064" s="74">
        <f>IF(R1064="","",IF(INDEX('Recurring Schedule'!$I$6:$I$45,R1064)="","",INDEX('Recurring Schedule'!$I$6:$I$45,R1064)))</f>
        <v/>
      </c>
      <c r="I1064" s="36">
        <f>IF(OR(G1064="",H1064=""),"",TRIM(IF(HOUR(H1064-G1064)&gt;0,HOUR(H1064-G1064)&amp;" hr ","")&amp;IF(MINUTE(H1064-G1064)&gt;0,MINUTE(H1064-G1064)&amp;" min","")))</f>
        <v/>
      </c>
      <c r="J1064" s="66" t="n"/>
      <c r="K1064" s="70" t="n"/>
      <c r="L1064" s="36">
        <f>IF(R1064="","",IF(INDEX('Recurring Schedule'!$J$6:$J$45,R1064)="","",INDEX('Recurring Schedule'!$J$6:$J$45,R1064)))</f>
        <v/>
      </c>
      <c r="M1064" s="36">
        <f>IF(R1064="","",IF(INDEX('Recurring Schedule'!$K$6:$K$45,R1064)="","",INDEX('Recurring Schedule'!$K$6:$K$45,R1064)))</f>
        <v/>
      </c>
      <c r="N1064" s="36">
        <f>IF(R1064="","",IF(INDEX('Recurring Schedule'!$L$6:$L$45,R1064)="","",INDEX('Recurring Schedule'!$L$6:$L$45,R1064)))</f>
        <v/>
      </c>
      <c r="O1064" s="36">
        <f>IF(C1064="","",IF(AND(OR(L1064="1-Urgent",L1064="2-High"),M1064="✓"),"DO FIRST",IF(M1064="✓","SCHEDULE",IF(OR(L1064="1-Urgent",L1064="2-High"),"DELEGATE","DELETE"))))</f>
        <v/>
      </c>
      <c r="P1064" s="65" t="n"/>
      <c r="Q1064">
        <f>IF(1059&gt;Calc!$AQ$368,"",MATCH(1058,Calc!$AQ$2:$AQ$367,1))</f>
        <v/>
      </c>
      <c r="R1064">
        <f>IF(Q1064="","",SMALL(INDEX(Calc!$B$2:$AO$367,Q1064,0),1059-INDEX(Calc!$AQ$2:$AQ$367,Q1064)))</f>
        <v/>
      </c>
    </row>
    <row r="1065">
      <c r="B1065" s="71">
        <f>IF(R1065="","",1060)</f>
        <v/>
      </c>
      <c r="C1065" s="75">
        <f>IF(R1065="","",IF(INDEX('Recurring Schedule'!$C$6:$C$45,R1065)="","",INDEX('Recurring Schedule'!$C$6:$C$45,R1065)))</f>
        <v/>
      </c>
      <c r="D1065" s="73">
        <f>IF(R1065="","",IF(INDEX('Recurring Schedule'!$D$6:$D$45,R1065)="","",INDEX('Recurring Schedule'!$D$6:$D$45,R1065)))</f>
        <v/>
      </c>
      <c r="E1065" s="76">
        <f>IF(Q1065="","",INDEX(Calc!$A$2:$A$367,Q1065))</f>
        <v/>
      </c>
      <c r="F1065" s="72">
        <f>IF(OR(C1065="",E1065=""),"",E1065-Setup!$D$7)</f>
        <v/>
      </c>
      <c r="G1065" s="77">
        <f>IF(R1065="","",IF(INDEX('Recurring Schedule'!$H$6:$H$45,R1065)="","",INDEX('Recurring Schedule'!$H$6:$H$45,R1065)))</f>
        <v/>
      </c>
      <c r="H1065" s="77">
        <f>IF(R1065="","",IF(INDEX('Recurring Schedule'!$I$6:$I$45,R1065)="","",INDEX('Recurring Schedule'!$I$6:$I$45,R1065)))</f>
        <v/>
      </c>
      <c r="I1065" s="73">
        <f>IF(OR(G1065="",H1065=""),"",TRIM(IF(HOUR(H1065-G1065)&gt;0,HOUR(H1065-G1065)&amp;" hr ","")&amp;IF(MINUTE(H1065-G1065)&gt;0,MINUTE(H1065-G1065)&amp;" min","")))</f>
        <v/>
      </c>
      <c r="J1065" s="66" t="n"/>
      <c r="K1065" s="70" t="n"/>
      <c r="L1065" s="73">
        <f>IF(R1065="","",IF(INDEX('Recurring Schedule'!$J$6:$J$45,R1065)="","",INDEX('Recurring Schedule'!$J$6:$J$45,R1065)))</f>
        <v/>
      </c>
      <c r="M1065" s="73">
        <f>IF(R1065="","",IF(INDEX('Recurring Schedule'!$K$6:$K$45,R1065)="","",INDEX('Recurring Schedule'!$K$6:$K$45,R1065)))</f>
        <v/>
      </c>
      <c r="N1065" s="73">
        <f>IF(R1065="","",IF(INDEX('Recurring Schedule'!$L$6:$L$45,R1065)="","",INDEX('Recurring Schedule'!$L$6:$L$45,R1065)))</f>
        <v/>
      </c>
      <c r="O1065" s="73">
        <f>IF(C1065="","",IF(AND(OR(L1065="1-Urgent",L1065="2-High"),M1065="✓"),"DO FIRST",IF(M1065="✓","SCHEDULE",IF(OR(L1065="1-Urgent",L1065="2-High"),"DELEGATE","DELETE"))))</f>
        <v/>
      </c>
      <c r="P1065" s="65" t="n"/>
      <c r="Q1065">
        <f>IF(1060&gt;Calc!$AQ$368,"",MATCH(1059,Calc!$AQ$2:$AQ$367,1))</f>
        <v/>
      </c>
      <c r="R1065">
        <f>IF(Q1065="","",SMALL(INDEX(Calc!$B$2:$AO$367,Q1065,0),1060-INDEX(Calc!$AQ$2:$AQ$367,Q1065)))</f>
        <v/>
      </c>
    </row>
    <row r="1066">
      <c r="B1066" s="64">
        <f>IF(R1066="","",1061)</f>
        <v/>
      </c>
      <c r="C1066" s="37">
        <f>IF(R1066="","",IF(INDEX('Recurring Schedule'!$C$6:$C$45,R1066)="","",INDEX('Recurring Schedule'!$C$6:$C$45,R1066)))</f>
        <v/>
      </c>
      <c r="D1066" s="36">
        <f>IF(R1066="","",IF(INDEX('Recurring Schedule'!$D$6:$D$45,R1066)="","",INDEX('Recurring Schedule'!$D$6:$D$45,R1066)))</f>
        <v/>
      </c>
      <c r="E1066" s="38">
        <f>IF(Q1066="","",INDEX(Calc!$A$2:$A$367,Q1066))</f>
        <v/>
      </c>
      <c r="F1066" s="68">
        <f>IF(OR(C1066="",E1066=""),"",E1066-Setup!$D$7)</f>
        <v/>
      </c>
      <c r="G1066" s="74">
        <f>IF(R1066="","",IF(INDEX('Recurring Schedule'!$H$6:$H$45,R1066)="","",INDEX('Recurring Schedule'!$H$6:$H$45,R1066)))</f>
        <v/>
      </c>
      <c r="H1066" s="74">
        <f>IF(R1066="","",IF(INDEX('Recurring Schedule'!$I$6:$I$45,R1066)="","",INDEX('Recurring Schedule'!$I$6:$I$45,R1066)))</f>
        <v/>
      </c>
      <c r="I1066" s="36">
        <f>IF(OR(G1066="",H1066=""),"",TRIM(IF(HOUR(H1066-G1066)&gt;0,HOUR(H1066-G1066)&amp;" hr ","")&amp;IF(MINUTE(H1066-G1066)&gt;0,MINUTE(H1066-G1066)&amp;" min","")))</f>
        <v/>
      </c>
      <c r="J1066" s="66" t="n"/>
      <c r="K1066" s="70" t="n"/>
      <c r="L1066" s="36">
        <f>IF(R1066="","",IF(INDEX('Recurring Schedule'!$J$6:$J$45,R1066)="","",INDEX('Recurring Schedule'!$J$6:$J$45,R1066)))</f>
        <v/>
      </c>
      <c r="M1066" s="36">
        <f>IF(R1066="","",IF(INDEX('Recurring Schedule'!$K$6:$K$45,R1066)="","",INDEX('Recurring Schedule'!$K$6:$K$45,R1066)))</f>
        <v/>
      </c>
      <c r="N1066" s="36">
        <f>IF(R1066="","",IF(INDEX('Recurring Schedule'!$L$6:$L$45,R1066)="","",INDEX('Recurring Schedule'!$L$6:$L$45,R1066)))</f>
        <v/>
      </c>
      <c r="O1066" s="36">
        <f>IF(C1066="","",IF(AND(OR(L1066="1-Urgent",L1066="2-High"),M1066="✓"),"DO FIRST",IF(M1066="✓","SCHEDULE",IF(OR(L1066="1-Urgent",L1066="2-High"),"DELEGATE","DELETE"))))</f>
        <v/>
      </c>
      <c r="P1066" s="65" t="n"/>
      <c r="Q1066">
        <f>IF(1061&gt;Calc!$AQ$368,"",MATCH(1060,Calc!$AQ$2:$AQ$367,1))</f>
        <v/>
      </c>
      <c r="R1066">
        <f>IF(Q1066="","",SMALL(INDEX(Calc!$B$2:$AO$367,Q1066,0),1061-INDEX(Calc!$AQ$2:$AQ$367,Q1066)))</f>
        <v/>
      </c>
    </row>
    <row r="1067">
      <c r="B1067" s="71">
        <f>IF(R1067="","",1062)</f>
        <v/>
      </c>
      <c r="C1067" s="75">
        <f>IF(R1067="","",IF(INDEX('Recurring Schedule'!$C$6:$C$45,R1067)="","",INDEX('Recurring Schedule'!$C$6:$C$45,R1067)))</f>
        <v/>
      </c>
      <c r="D1067" s="73">
        <f>IF(R1067="","",IF(INDEX('Recurring Schedule'!$D$6:$D$45,R1067)="","",INDEX('Recurring Schedule'!$D$6:$D$45,R1067)))</f>
        <v/>
      </c>
      <c r="E1067" s="76">
        <f>IF(Q1067="","",INDEX(Calc!$A$2:$A$367,Q1067))</f>
        <v/>
      </c>
      <c r="F1067" s="72">
        <f>IF(OR(C1067="",E1067=""),"",E1067-Setup!$D$7)</f>
        <v/>
      </c>
      <c r="G1067" s="77">
        <f>IF(R1067="","",IF(INDEX('Recurring Schedule'!$H$6:$H$45,R1067)="","",INDEX('Recurring Schedule'!$H$6:$H$45,R1067)))</f>
        <v/>
      </c>
      <c r="H1067" s="77">
        <f>IF(R1067="","",IF(INDEX('Recurring Schedule'!$I$6:$I$45,R1067)="","",INDEX('Recurring Schedule'!$I$6:$I$45,R1067)))</f>
        <v/>
      </c>
      <c r="I1067" s="73">
        <f>IF(OR(G1067="",H1067=""),"",TRIM(IF(HOUR(H1067-G1067)&gt;0,HOUR(H1067-G1067)&amp;" hr ","")&amp;IF(MINUTE(H1067-G1067)&gt;0,MINUTE(H1067-G1067)&amp;" min","")))</f>
        <v/>
      </c>
      <c r="J1067" s="66" t="n"/>
      <c r="K1067" s="70" t="n"/>
      <c r="L1067" s="73">
        <f>IF(R1067="","",IF(INDEX('Recurring Schedule'!$J$6:$J$45,R1067)="","",INDEX('Recurring Schedule'!$J$6:$J$45,R1067)))</f>
        <v/>
      </c>
      <c r="M1067" s="73">
        <f>IF(R1067="","",IF(INDEX('Recurring Schedule'!$K$6:$K$45,R1067)="","",INDEX('Recurring Schedule'!$K$6:$K$45,R1067)))</f>
        <v/>
      </c>
      <c r="N1067" s="73">
        <f>IF(R1067="","",IF(INDEX('Recurring Schedule'!$L$6:$L$45,R1067)="","",INDEX('Recurring Schedule'!$L$6:$L$45,R1067)))</f>
        <v/>
      </c>
      <c r="O1067" s="73">
        <f>IF(C1067="","",IF(AND(OR(L1067="1-Urgent",L1067="2-High"),M1067="✓"),"DO FIRST",IF(M1067="✓","SCHEDULE",IF(OR(L1067="1-Urgent",L1067="2-High"),"DELEGATE","DELETE"))))</f>
        <v/>
      </c>
      <c r="P1067" s="65" t="n"/>
      <c r="Q1067">
        <f>IF(1062&gt;Calc!$AQ$368,"",MATCH(1061,Calc!$AQ$2:$AQ$367,1))</f>
        <v/>
      </c>
      <c r="R1067">
        <f>IF(Q1067="","",SMALL(INDEX(Calc!$B$2:$AO$367,Q1067,0),1062-INDEX(Calc!$AQ$2:$AQ$367,Q1067)))</f>
        <v/>
      </c>
    </row>
    <row r="1068">
      <c r="B1068" s="64">
        <f>IF(R1068="","",1063)</f>
        <v/>
      </c>
      <c r="C1068" s="37">
        <f>IF(R1068="","",IF(INDEX('Recurring Schedule'!$C$6:$C$45,R1068)="","",INDEX('Recurring Schedule'!$C$6:$C$45,R1068)))</f>
        <v/>
      </c>
      <c r="D1068" s="36">
        <f>IF(R1068="","",IF(INDEX('Recurring Schedule'!$D$6:$D$45,R1068)="","",INDEX('Recurring Schedule'!$D$6:$D$45,R1068)))</f>
        <v/>
      </c>
      <c r="E1068" s="38">
        <f>IF(Q1068="","",INDEX(Calc!$A$2:$A$367,Q1068))</f>
        <v/>
      </c>
      <c r="F1068" s="68">
        <f>IF(OR(C1068="",E1068=""),"",E1068-Setup!$D$7)</f>
        <v/>
      </c>
      <c r="G1068" s="74">
        <f>IF(R1068="","",IF(INDEX('Recurring Schedule'!$H$6:$H$45,R1068)="","",INDEX('Recurring Schedule'!$H$6:$H$45,R1068)))</f>
        <v/>
      </c>
      <c r="H1068" s="74">
        <f>IF(R1068="","",IF(INDEX('Recurring Schedule'!$I$6:$I$45,R1068)="","",INDEX('Recurring Schedule'!$I$6:$I$45,R1068)))</f>
        <v/>
      </c>
      <c r="I1068" s="36">
        <f>IF(OR(G1068="",H1068=""),"",TRIM(IF(HOUR(H1068-G1068)&gt;0,HOUR(H1068-G1068)&amp;" hr ","")&amp;IF(MINUTE(H1068-G1068)&gt;0,MINUTE(H1068-G1068)&amp;" min","")))</f>
        <v/>
      </c>
      <c r="J1068" s="66" t="n"/>
      <c r="K1068" s="70" t="n"/>
      <c r="L1068" s="36">
        <f>IF(R1068="","",IF(INDEX('Recurring Schedule'!$J$6:$J$45,R1068)="","",INDEX('Recurring Schedule'!$J$6:$J$45,R1068)))</f>
        <v/>
      </c>
      <c r="M1068" s="36">
        <f>IF(R1068="","",IF(INDEX('Recurring Schedule'!$K$6:$K$45,R1068)="","",INDEX('Recurring Schedule'!$K$6:$K$45,R1068)))</f>
        <v/>
      </c>
      <c r="N1068" s="36">
        <f>IF(R1068="","",IF(INDEX('Recurring Schedule'!$L$6:$L$45,R1068)="","",INDEX('Recurring Schedule'!$L$6:$L$45,R1068)))</f>
        <v/>
      </c>
      <c r="O1068" s="36">
        <f>IF(C1068="","",IF(AND(OR(L1068="1-Urgent",L1068="2-High"),M1068="✓"),"DO FIRST",IF(M1068="✓","SCHEDULE",IF(OR(L1068="1-Urgent",L1068="2-High"),"DELEGATE","DELETE"))))</f>
        <v/>
      </c>
      <c r="P1068" s="65" t="n"/>
      <c r="Q1068">
        <f>IF(1063&gt;Calc!$AQ$368,"",MATCH(1062,Calc!$AQ$2:$AQ$367,1))</f>
        <v/>
      </c>
      <c r="R1068">
        <f>IF(Q1068="","",SMALL(INDEX(Calc!$B$2:$AO$367,Q1068,0),1063-INDEX(Calc!$AQ$2:$AQ$367,Q1068)))</f>
        <v/>
      </c>
    </row>
    <row r="1069">
      <c r="B1069" s="71">
        <f>IF(R1069="","",1064)</f>
        <v/>
      </c>
      <c r="C1069" s="75">
        <f>IF(R1069="","",IF(INDEX('Recurring Schedule'!$C$6:$C$45,R1069)="","",INDEX('Recurring Schedule'!$C$6:$C$45,R1069)))</f>
        <v/>
      </c>
      <c r="D1069" s="73">
        <f>IF(R1069="","",IF(INDEX('Recurring Schedule'!$D$6:$D$45,R1069)="","",INDEX('Recurring Schedule'!$D$6:$D$45,R1069)))</f>
        <v/>
      </c>
      <c r="E1069" s="76">
        <f>IF(Q1069="","",INDEX(Calc!$A$2:$A$367,Q1069))</f>
        <v/>
      </c>
      <c r="F1069" s="72">
        <f>IF(OR(C1069="",E1069=""),"",E1069-Setup!$D$7)</f>
        <v/>
      </c>
      <c r="G1069" s="77">
        <f>IF(R1069="","",IF(INDEX('Recurring Schedule'!$H$6:$H$45,R1069)="","",INDEX('Recurring Schedule'!$H$6:$H$45,R1069)))</f>
        <v/>
      </c>
      <c r="H1069" s="77">
        <f>IF(R1069="","",IF(INDEX('Recurring Schedule'!$I$6:$I$45,R1069)="","",INDEX('Recurring Schedule'!$I$6:$I$45,R1069)))</f>
        <v/>
      </c>
      <c r="I1069" s="73">
        <f>IF(OR(G1069="",H1069=""),"",TRIM(IF(HOUR(H1069-G1069)&gt;0,HOUR(H1069-G1069)&amp;" hr ","")&amp;IF(MINUTE(H1069-G1069)&gt;0,MINUTE(H1069-G1069)&amp;" min","")))</f>
        <v/>
      </c>
      <c r="J1069" s="66" t="n"/>
      <c r="K1069" s="70" t="n"/>
      <c r="L1069" s="73">
        <f>IF(R1069="","",IF(INDEX('Recurring Schedule'!$J$6:$J$45,R1069)="","",INDEX('Recurring Schedule'!$J$6:$J$45,R1069)))</f>
        <v/>
      </c>
      <c r="M1069" s="73">
        <f>IF(R1069="","",IF(INDEX('Recurring Schedule'!$K$6:$K$45,R1069)="","",INDEX('Recurring Schedule'!$K$6:$K$45,R1069)))</f>
        <v/>
      </c>
      <c r="N1069" s="73">
        <f>IF(R1069="","",IF(INDEX('Recurring Schedule'!$L$6:$L$45,R1069)="","",INDEX('Recurring Schedule'!$L$6:$L$45,R1069)))</f>
        <v/>
      </c>
      <c r="O1069" s="73">
        <f>IF(C1069="","",IF(AND(OR(L1069="1-Urgent",L1069="2-High"),M1069="✓"),"DO FIRST",IF(M1069="✓","SCHEDULE",IF(OR(L1069="1-Urgent",L1069="2-High"),"DELEGATE","DELETE"))))</f>
        <v/>
      </c>
      <c r="P1069" s="65" t="n"/>
      <c r="Q1069">
        <f>IF(1064&gt;Calc!$AQ$368,"",MATCH(1063,Calc!$AQ$2:$AQ$367,1))</f>
        <v/>
      </c>
      <c r="R1069">
        <f>IF(Q1069="","",SMALL(INDEX(Calc!$B$2:$AO$367,Q1069,0),1064-INDEX(Calc!$AQ$2:$AQ$367,Q1069)))</f>
        <v/>
      </c>
    </row>
    <row r="1070">
      <c r="B1070" s="64">
        <f>IF(R1070="","",1065)</f>
        <v/>
      </c>
      <c r="C1070" s="37">
        <f>IF(R1070="","",IF(INDEX('Recurring Schedule'!$C$6:$C$45,R1070)="","",INDEX('Recurring Schedule'!$C$6:$C$45,R1070)))</f>
        <v/>
      </c>
      <c r="D1070" s="36">
        <f>IF(R1070="","",IF(INDEX('Recurring Schedule'!$D$6:$D$45,R1070)="","",INDEX('Recurring Schedule'!$D$6:$D$45,R1070)))</f>
        <v/>
      </c>
      <c r="E1070" s="38">
        <f>IF(Q1070="","",INDEX(Calc!$A$2:$A$367,Q1070))</f>
        <v/>
      </c>
      <c r="F1070" s="68">
        <f>IF(OR(C1070="",E1070=""),"",E1070-Setup!$D$7)</f>
        <v/>
      </c>
      <c r="G1070" s="74">
        <f>IF(R1070="","",IF(INDEX('Recurring Schedule'!$H$6:$H$45,R1070)="","",INDEX('Recurring Schedule'!$H$6:$H$45,R1070)))</f>
        <v/>
      </c>
      <c r="H1070" s="74">
        <f>IF(R1070="","",IF(INDEX('Recurring Schedule'!$I$6:$I$45,R1070)="","",INDEX('Recurring Schedule'!$I$6:$I$45,R1070)))</f>
        <v/>
      </c>
      <c r="I1070" s="36">
        <f>IF(OR(G1070="",H1070=""),"",TRIM(IF(HOUR(H1070-G1070)&gt;0,HOUR(H1070-G1070)&amp;" hr ","")&amp;IF(MINUTE(H1070-G1070)&gt;0,MINUTE(H1070-G1070)&amp;" min","")))</f>
        <v/>
      </c>
      <c r="J1070" s="66" t="n"/>
      <c r="K1070" s="70" t="n"/>
      <c r="L1070" s="36">
        <f>IF(R1070="","",IF(INDEX('Recurring Schedule'!$J$6:$J$45,R1070)="","",INDEX('Recurring Schedule'!$J$6:$J$45,R1070)))</f>
        <v/>
      </c>
      <c r="M1070" s="36">
        <f>IF(R1070="","",IF(INDEX('Recurring Schedule'!$K$6:$K$45,R1070)="","",INDEX('Recurring Schedule'!$K$6:$K$45,R1070)))</f>
        <v/>
      </c>
      <c r="N1070" s="36">
        <f>IF(R1070="","",IF(INDEX('Recurring Schedule'!$L$6:$L$45,R1070)="","",INDEX('Recurring Schedule'!$L$6:$L$45,R1070)))</f>
        <v/>
      </c>
      <c r="O1070" s="36">
        <f>IF(C1070="","",IF(AND(OR(L1070="1-Urgent",L1070="2-High"),M1070="✓"),"DO FIRST",IF(M1070="✓","SCHEDULE",IF(OR(L1070="1-Urgent",L1070="2-High"),"DELEGATE","DELETE"))))</f>
        <v/>
      </c>
      <c r="P1070" s="65" t="n"/>
      <c r="Q1070">
        <f>IF(1065&gt;Calc!$AQ$368,"",MATCH(1064,Calc!$AQ$2:$AQ$367,1))</f>
        <v/>
      </c>
      <c r="R1070">
        <f>IF(Q1070="","",SMALL(INDEX(Calc!$B$2:$AO$367,Q1070,0),1065-INDEX(Calc!$AQ$2:$AQ$367,Q1070)))</f>
        <v/>
      </c>
    </row>
    <row r="1071">
      <c r="B1071" s="71">
        <f>IF(R1071="","",1066)</f>
        <v/>
      </c>
      <c r="C1071" s="75">
        <f>IF(R1071="","",IF(INDEX('Recurring Schedule'!$C$6:$C$45,R1071)="","",INDEX('Recurring Schedule'!$C$6:$C$45,R1071)))</f>
        <v/>
      </c>
      <c r="D1071" s="73">
        <f>IF(R1071="","",IF(INDEX('Recurring Schedule'!$D$6:$D$45,R1071)="","",INDEX('Recurring Schedule'!$D$6:$D$45,R1071)))</f>
        <v/>
      </c>
      <c r="E1071" s="76">
        <f>IF(Q1071="","",INDEX(Calc!$A$2:$A$367,Q1071))</f>
        <v/>
      </c>
      <c r="F1071" s="72">
        <f>IF(OR(C1071="",E1071=""),"",E1071-Setup!$D$7)</f>
        <v/>
      </c>
      <c r="G1071" s="77">
        <f>IF(R1071="","",IF(INDEX('Recurring Schedule'!$H$6:$H$45,R1071)="","",INDEX('Recurring Schedule'!$H$6:$H$45,R1071)))</f>
        <v/>
      </c>
      <c r="H1071" s="77">
        <f>IF(R1071="","",IF(INDEX('Recurring Schedule'!$I$6:$I$45,R1071)="","",INDEX('Recurring Schedule'!$I$6:$I$45,R1071)))</f>
        <v/>
      </c>
      <c r="I1071" s="73">
        <f>IF(OR(G1071="",H1071=""),"",TRIM(IF(HOUR(H1071-G1071)&gt;0,HOUR(H1071-G1071)&amp;" hr ","")&amp;IF(MINUTE(H1071-G1071)&gt;0,MINUTE(H1071-G1071)&amp;" min","")))</f>
        <v/>
      </c>
      <c r="J1071" s="66" t="n"/>
      <c r="K1071" s="70" t="n"/>
      <c r="L1071" s="73">
        <f>IF(R1071="","",IF(INDEX('Recurring Schedule'!$J$6:$J$45,R1071)="","",INDEX('Recurring Schedule'!$J$6:$J$45,R1071)))</f>
        <v/>
      </c>
      <c r="M1071" s="73">
        <f>IF(R1071="","",IF(INDEX('Recurring Schedule'!$K$6:$K$45,R1071)="","",INDEX('Recurring Schedule'!$K$6:$K$45,R1071)))</f>
        <v/>
      </c>
      <c r="N1071" s="73">
        <f>IF(R1071="","",IF(INDEX('Recurring Schedule'!$L$6:$L$45,R1071)="","",INDEX('Recurring Schedule'!$L$6:$L$45,R1071)))</f>
        <v/>
      </c>
      <c r="O1071" s="73">
        <f>IF(C1071="","",IF(AND(OR(L1071="1-Urgent",L1071="2-High"),M1071="✓"),"DO FIRST",IF(M1071="✓","SCHEDULE",IF(OR(L1071="1-Urgent",L1071="2-High"),"DELEGATE","DELETE"))))</f>
        <v/>
      </c>
      <c r="P1071" s="65" t="n"/>
      <c r="Q1071">
        <f>IF(1066&gt;Calc!$AQ$368,"",MATCH(1065,Calc!$AQ$2:$AQ$367,1))</f>
        <v/>
      </c>
      <c r="R1071">
        <f>IF(Q1071="","",SMALL(INDEX(Calc!$B$2:$AO$367,Q1071,0),1066-INDEX(Calc!$AQ$2:$AQ$367,Q1071)))</f>
        <v/>
      </c>
    </row>
    <row r="1072">
      <c r="B1072" s="64">
        <f>IF(R1072="","",1067)</f>
        <v/>
      </c>
      <c r="C1072" s="37">
        <f>IF(R1072="","",IF(INDEX('Recurring Schedule'!$C$6:$C$45,R1072)="","",INDEX('Recurring Schedule'!$C$6:$C$45,R1072)))</f>
        <v/>
      </c>
      <c r="D1072" s="36">
        <f>IF(R1072="","",IF(INDEX('Recurring Schedule'!$D$6:$D$45,R1072)="","",INDEX('Recurring Schedule'!$D$6:$D$45,R1072)))</f>
        <v/>
      </c>
      <c r="E1072" s="38">
        <f>IF(Q1072="","",INDEX(Calc!$A$2:$A$367,Q1072))</f>
        <v/>
      </c>
      <c r="F1072" s="68">
        <f>IF(OR(C1072="",E1072=""),"",E1072-Setup!$D$7)</f>
        <v/>
      </c>
      <c r="G1072" s="74">
        <f>IF(R1072="","",IF(INDEX('Recurring Schedule'!$H$6:$H$45,R1072)="","",INDEX('Recurring Schedule'!$H$6:$H$45,R1072)))</f>
        <v/>
      </c>
      <c r="H1072" s="74">
        <f>IF(R1072="","",IF(INDEX('Recurring Schedule'!$I$6:$I$45,R1072)="","",INDEX('Recurring Schedule'!$I$6:$I$45,R1072)))</f>
        <v/>
      </c>
      <c r="I1072" s="36">
        <f>IF(OR(G1072="",H1072=""),"",TRIM(IF(HOUR(H1072-G1072)&gt;0,HOUR(H1072-G1072)&amp;" hr ","")&amp;IF(MINUTE(H1072-G1072)&gt;0,MINUTE(H1072-G1072)&amp;" min","")))</f>
        <v/>
      </c>
      <c r="J1072" s="66" t="n"/>
      <c r="K1072" s="70" t="n"/>
      <c r="L1072" s="36">
        <f>IF(R1072="","",IF(INDEX('Recurring Schedule'!$J$6:$J$45,R1072)="","",INDEX('Recurring Schedule'!$J$6:$J$45,R1072)))</f>
        <v/>
      </c>
      <c r="M1072" s="36">
        <f>IF(R1072="","",IF(INDEX('Recurring Schedule'!$K$6:$K$45,R1072)="","",INDEX('Recurring Schedule'!$K$6:$K$45,R1072)))</f>
        <v/>
      </c>
      <c r="N1072" s="36">
        <f>IF(R1072="","",IF(INDEX('Recurring Schedule'!$L$6:$L$45,R1072)="","",INDEX('Recurring Schedule'!$L$6:$L$45,R1072)))</f>
        <v/>
      </c>
      <c r="O1072" s="36">
        <f>IF(C1072="","",IF(AND(OR(L1072="1-Urgent",L1072="2-High"),M1072="✓"),"DO FIRST",IF(M1072="✓","SCHEDULE",IF(OR(L1072="1-Urgent",L1072="2-High"),"DELEGATE","DELETE"))))</f>
        <v/>
      </c>
      <c r="P1072" s="65" t="n"/>
      <c r="Q1072">
        <f>IF(1067&gt;Calc!$AQ$368,"",MATCH(1066,Calc!$AQ$2:$AQ$367,1))</f>
        <v/>
      </c>
      <c r="R1072">
        <f>IF(Q1072="","",SMALL(INDEX(Calc!$B$2:$AO$367,Q1072,0),1067-INDEX(Calc!$AQ$2:$AQ$367,Q1072)))</f>
        <v/>
      </c>
    </row>
    <row r="1073">
      <c r="B1073" s="71">
        <f>IF(R1073="","",1068)</f>
        <v/>
      </c>
      <c r="C1073" s="75">
        <f>IF(R1073="","",IF(INDEX('Recurring Schedule'!$C$6:$C$45,R1073)="","",INDEX('Recurring Schedule'!$C$6:$C$45,R1073)))</f>
        <v/>
      </c>
      <c r="D1073" s="73">
        <f>IF(R1073="","",IF(INDEX('Recurring Schedule'!$D$6:$D$45,R1073)="","",INDEX('Recurring Schedule'!$D$6:$D$45,R1073)))</f>
        <v/>
      </c>
      <c r="E1073" s="76">
        <f>IF(Q1073="","",INDEX(Calc!$A$2:$A$367,Q1073))</f>
        <v/>
      </c>
      <c r="F1073" s="72">
        <f>IF(OR(C1073="",E1073=""),"",E1073-Setup!$D$7)</f>
        <v/>
      </c>
      <c r="G1073" s="77">
        <f>IF(R1073="","",IF(INDEX('Recurring Schedule'!$H$6:$H$45,R1073)="","",INDEX('Recurring Schedule'!$H$6:$H$45,R1073)))</f>
        <v/>
      </c>
      <c r="H1073" s="77">
        <f>IF(R1073="","",IF(INDEX('Recurring Schedule'!$I$6:$I$45,R1073)="","",INDEX('Recurring Schedule'!$I$6:$I$45,R1073)))</f>
        <v/>
      </c>
      <c r="I1073" s="73">
        <f>IF(OR(G1073="",H1073=""),"",TRIM(IF(HOUR(H1073-G1073)&gt;0,HOUR(H1073-G1073)&amp;" hr ","")&amp;IF(MINUTE(H1073-G1073)&gt;0,MINUTE(H1073-G1073)&amp;" min","")))</f>
        <v/>
      </c>
      <c r="J1073" s="66" t="n"/>
      <c r="K1073" s="70" t="n"/>
      <c r="L1073" s="73">
        <f>IF(R1073="","",IF(INDEX('Recurring Schedule'!$J$6:$J$45,R1073)="","",INDEX('Recurring Schedule'!$J$6:$J$45,R1073)))</f>
        <v/>
      </c>
      <c r="M1073" s="73">
        <f>IF(R1073="","",IF(INDEX('Recurring Schedule'!$K$6:$K$45,R1073)="","",INDEX('Recurring Schedule'!$K$6:$K$45,R1073)))</f>
        <v/>
      </c>
      <c r="N1073" s="73">
        <f>IF(R1073="","",IF(INDEX('Recurring Schedule'!$L$6:$L$45,R1073)="","",INDEX('Recurring Schedule'!$L$6:$L$45,R1073)))</f>
        <v/>
      </c>
      <c r="O1073" s="73">
        <f>IF(C1073="","",IF(AND(OR(L1073="1-Urgent",L1073="2-High"),M1073="✓"),"DO FIRST",IF(M1073="✓","SCHEDULE",IF(OR(L1073="1-Urgent",L1073="2-High"),"DELEGATE","DELETE"))))</f>
        <v/>
      </c>
      <c r="P1073" s="65" t="n"/>
      <c r="Q1073">
        <f>IF(1068&gt;Calc!$AQ$368,"",MATCH(1067,Calc!$AQ$2:$AQ$367,1))</f>
        <v/>
      </c>
      <c r="R1073">
        <f>IF(Q1073="","",SMALL(INDEX(Calc!$B$2:$AO$367,Q1073,0),1068-INDEX(Calc!$AQ$2:$AQ$367,Q1073)))</f>
        <v/>
      </c>
    </row>
    <row r="1074">
      <c r="B1074" s="64">
        <f>IF(R1074="","",1069)</f>
        <v/>
      </c>
      <c r="C1074" s="37">
        <f>IF(R1074="","",IF(INDEX('Recurring Schedule'!$C$6:$C$45,R1074)="","",INDEX('Recurring Schedule'!$C$6:$C$45,R1074)))</f>
        <v/>
      </c>
      <c r="D1074" s="36">
        <f>IF(R1074="","",IF(INDEX('Recurring Schedule'!$D$6:$D$45,R1074)="","",INDEX('Recurring Schedule'!$D$6:$D$45,R1074)))</f>
        <v/>
      </c>
      <c r="E1074" s="38">
        <f>IF(Q1074="","",INDEX(Calc!$A$2:$A$367,Q1074))</f>
        <v/>
      </c>
      <c r="F1074" s="68">
        <f>IF(OR(C1074="",E1074=""),"",E1074-Setup!$D$7)</f>
        <v/>
      </c>
      <c r="G1074" s="74">
        <f>IF(R1074="","",IF(INDEX('Recurring Schedule'!$H$6:$H$45,R1074)="","",INDEX('Recurring Schedule'!$H$6:$H$45,R1074)))</f>
        <v/>
      </c>
      <c r="H1074" s="74">
        <f>IF(R1074="","",IF(INDEX('Recurring Schedule'!$I$6:$I$45,R1074)="","",INDEX('Recurring Schedule'!$I$6:$I$45,R1074)))</f>
        <v/>
      </c>
      <c r="I1074" s="36">
        <f>IF(OR(G1074="",H1074=""),"",TRIM(IF(HOUR(H1074-G1074)&gt;0,HOUR(H1074-G1074)&amp;" hr ","")&amp;IF(MINUTE(H1074-G1074)&gt;0,MINUTE(H1074-G1074)&amp;" min","")))</f>
        <v/>
      </c>
      <c r="J1074" s="66" t="n"/>
      <c r="K1074" s="70" t="n"/>
      <c r="L1074" s="36">
        <f>IF(R1074="","",IF(INDEX('Recurring Schedule'!$J$6:$J$45,R1074)="","",INDEX('Recurring Schedule'!$J$6:$J$45,R1074)))</f>
        <v/>
      </c>
      <c r="M1074" s="36">
        <f>IF(R1074="","",IF(INDEX('Recurring Schedule'!$K$6:$K$45,R1074)="","",INDEX('Recurring Schedule'!$K$6:$K$45,R1074)))</f>
        <v/>
      </c>
      <c r="N1074" s="36">
        <f>IF(R1074="","",IF(INDEX('Recurring Schedule'!$L$6:$L$45,R1074)="","",INDEX('Recurring Schedule'!$L$6:$L$45,R1074)))</f>
        <v/>
      </c>
      <c r="O1074" s="36">
        <f>IF(C1074="","",IF(AND(OR(L1074="1-Urgent",L1074="2-High"),M1074="✓"),"DO FIRST",IF(M1074="✓","SCHEDULE",IF(OR(L1074="1-Urgent",L1074="2-High"),"DELEGATE","DELETE"))))</f>
        <v/>
      </c>
      <c r="P1074" s="65" t="n"/>
      <c r="Q1074">
        <f>IF(1069&gt;Calc!$AQ$368,"",MATCH(1068,Calc!$AQ$2:$AQ$367,1))</f>
        <v/>
      </c>
      <c r="R1074">
        <f>IF(Q1074="","",SMALL(INDEX(Calc!$B$2:$AO$367,Q1074,0),1069-INDEX(Calc!$AQ$2:$AQ$367,Q1074)))</f>
        <v/>
      </c>
    </row>
    <row r="1075">
      <c r="B1075" s="71">
        <f>IF(R1075="","",1070)</f>
        <v/>
      </c>
      <c r="C1075" s="75">
        <f>IF(R1075="","",IF(INDEX('Recurring Schedule'!$C$6:$C$45,R1075)="","",INDEX('Recurring Schedule'!$C$6:$C$45,R1075)))</f>
        <v/>
      </c>
      <c r="D1075" s="73">
        <f>IF(R1075="","",IF(INDEX('Recurring Schedule'!$D$6:$D$45,R1075)="","",INDEX('Recurring Schedule'!$D$6:$D$45,R1075)))</f>
        <v/>
      </c>
      <c r="E1075" s="76">
        <f>IF(Q1075="","",INDEX(Calc!$A$2:$A$367,Q1075))</f>
        <v/>
      </c>
      <c r="F1075" s="72">
        <f>IF(OR(C1075="",E1075=""),"",E1075-Setup!$D$7)</f>
        <v/>
      </c>
      <c r="G1075" s="77">
        <f>IF(R1075="","",IF(INDEX('Recurring Schedule'!$H$6:$H$45,R1075)="","",INDEX('Recurring Schedule'!$H$6:$H$45,R1075)))</f>
        <v/>
      </c>
      <c r="H1075" s="77">
        <f>IF(R1075="","",IF(INDEX('Recurring Schedule'!$I$6:$I$45,R1075)="","",INDEX('Recurring Schedule'!$I$6:$I$45,R1075)))</f>
        <v/>
      </c>
      <c r="I1075" s="73">
        <f>IF(OR(G1075="",H1075=""),"",TRIM(IF(HOUR(H1075-G1075)&gt;0,HOUR(H1075-G1075)&amp;" hr ","")&amp;IF(MINUTE(H1075-G1075)&gt;0,MINUTE(H1075-G1075)&amp;" min","")))</f>
        <v/>
      </c>
      <c r="J1075" s="66" t="n"/>
      <c r="K1075" s="70" t="n"/>
      <c r="L1075" s="73">
        <f>IF(R1075="","",IF(INDEX('Recurring Schedule'!$J$6:$J$45,R1075)="","",INDEX('Recurring Schedule'!$J$6:$J$45,R1075)))</f>
        <v/>
      </c>
      <c r="M1075" s="73">
        <f>IF(R1075="","",IF(INDEX('Recurring Schedule'!$K$6:$K$45,R1075)="","",INDEX('Recurring Schedule'!$K$6:$K$45,R1075)))</f>
        <v/>
      </c>
      <c r="N1075" s="73">
        <f>IF(R1075="","",IF(INDEX('Recurring Schedule'!$L$6:$L$45,R1075)="","",INDEX('Recurring Schedule'!$L$6:$L$45,R1075)))</f>
        <v/>
      </c>
      <c r="O1075" s="73">
        <f>IF(C1075="","",IF(AND(OR(L1075="1-Urgent",L1075="2-High"),M1075="✓"),"DO FIRST",IF(M1075="✓","SCHEDULE",IF(OR(L1075="1-Urgent",L1075="2-High"),"DELEGATE","DELETE"))))</f>
        <v/>
      </c>
      <c r="P1075" s="65" t="n"/>
      <c r="Q1075">
        <f>IF(1070&gt;Calc!$AQ$368,"",MATCH(1069,Calc!$AQ$2:$AQ$367,1))</f>
        <v/>
      </c>
      <c r="R1075">
        <f>IF(Q1075="","",SMALL(INDEX(Calc!$B$2:$AO$367,Q1075,0),1070-INDEX(Calc!$AQ$2:$AQ$367,Q1075)))</f>
        <v/>
      </c>
    </row>
    <row r="1076">
      <c r="B1076" s="64">
        <f>IF(R1076="","",1071)</f>
        <v/>
      </c>
      <c r="C1076" s="37">
        <f>IF(R1076="","",IF(INDEX('Recurring Schedule'!$C$6:$C$45,R1076)="","",INDEX('Recurring Schedule'!$C$6:$C$45,R1076)))</f>
        <v/>
      </c>
      <c r="D1076" s="36">
        <f>IF(R1076="","",IF(INDEX('Recurring Schedule'!$D$6:$D$45,R1076)="","",INDEX('Recurring Schedule'!$D$6:$D$45,R1076)))</f>
        <v/>
      </c>
      <c r="E1076" s="38">
        <f>IF(Q1076="","",INDEX(Calc!$A$2:$A$367,Q1076))</f>
        <v/>
      </c>
      <c r="F1076" s="68">
        <f>IF(OR(C1076="",E1076=""),"",E1076-Setup!$D$7)</f>
        <v/>
      </c>
      <c r="G1076" s="74">
        <f>IF(R1076="","",IF(INDEX('Recurring Schedule'!$H$6:$H$45,R1076)="","",INDEX('Recurring Schedule'!$H$6:$H$45,R1076)))</f>
        <v/>
      </c>
      <c r="H1076" s="74">
        <f>IF(R1076="","",IF(INDEX('Recurring Schedule'!$I$6:$I$45,R1076)="","",INDEX('Recurring Schedule'!$I$6:$I$45,R1076)))</f>
        <v/>
      </c>
      <c r="I1076" s="36">
        <f>IF(OR(G1076="",H1076=""),"",TRIM(IF(HOUR(H1076-G1076)&gt;0,HOUR(H1076-G1076)&amp;" hr ","")&amp;IF(MINUTE(H1076-G1076)&gt;0,MINUTE(H1076-G1076)&amp;" min","")))</f>
        <v/>
      </c>
      <c r="J1076" s="66" t="n"/>
      <c r="K1076" s="70" t="n"/>
      <c r="L1076" s="36">
        <f>IF(R1076="","",IF(INDEX('Recurring Schedule'!$J$6:$J$45,R1076)="","",INDEX('Recurring Schedule'!$J$6:$J$45,R1076)))</f>
        <v/>
      </c>
      <c r="M1076" s="36">
        <f>IF(R1076="","",IF(INDEX('Recurring Schedule'!$K$6:$K$45,R1076)="","",INDEX('Recurring Schedule'!$K$6:$K$45,R1076)))</f>
        <v/>
      </c>
      <c r="N1076" s="36">
        <f>IF(R1076="","",IF(INDEX('Recurring Schedule'!$L$6:$L$45,R1076)="","",INDEX('Recurring Schedule'!$L$6:$L$45,R1076)))</f>
        <v/>
      </c>
      <c r="O1076" s="36">
        <f>IF(C1076="","",IF(AND(OR(L1076="1-Urgent",L1076="2-High"),M1076="✓"),"DO FIRST",IF(M1076="✓","SCHEDULE",IF(OR(L1076="1-Urgent",L1076="2-High"),"DELEGATE","DELETE"))))</f>
        <v/>
      </c>
      <c r="P1076" s="65" t="n"/>
      <c r="Q1076">
        <f>IF(1071&gt;Calc!$AQ$368,"",MATCH(1070,Calc!$AQ$2:$AQ$367,1))</f>
        <v/>
      </c>
      <c r="R1076">
        <f>IF(Q1076="","",SMALL(INDEX(Calc!$B$2:$AO$367,Q1076,0),1071-INDEX(Calc!$AQ$2:$AQ$367,Q1076)))</f>
        <v/>
      </c>
    </row>
    <row r="1077">
      <c r="B1077" s="71">
        <f>IF(R1077="","",1072)</f>
        <v/>
      </c>
      <c r="C1077" s="75">
        <f>IF(R1077="","",IF(INDEX('Recurring Schedule'!$C$6:$C$45,R1077)="","",INDEX('Recurring Schedule'!$C$6:$C$45,R1077)))</f>
        <v/>
      </c>
      <c r="D1077" s="73">
        <f>IF(R1077="","",IF(INDEX('Recurring Schedule'!$D$6:$D$45,R1077)="","",INDEX('Recurring Schedule'!$D$6:$D$45,R1077)))</f>
        <v/>
      </c>
      <c r="E1077" s="76">
        <f>IF(Q1077="","",INDEX(Calc!$A$2:$A$367,Q1077))</f>
        <v/>
      </c>
      <c r="F1077" s="72">
        <f>IF(OR(C1077="",E1077=""),"",E1077-Setup!$D$7)</f>
        <v/>
      </c>
      <c r="G1077" s="77">
        <f>IF(R1077="","",IF(INDEX('Recurring Schedule'!$H$6:$H$45,R1077)="","",INDEX('Recurring Schedule'!$H$6:$H$45,R1077)))</f>
        <v/>
      </c>
      <c r="H1077" s="77">
        <f>IF(R1077="","",IF(INDEX('Recurring Schedule'!$I$6:$I$45,R1077)="","",INDEX('Recurring Schedule'!$I$6:$I$45,R1077)))</f>
        <v/>
      </c>
      <c r="I1077" s="73">
        <f>IF(OR(G1077="",H1077=""),"",TRIM(IF(HOUR(H1077-G1077)&gt;0,HOUR(H1077-G1077)&amp;" hr ","")&amp;IF(MINUTE(H1077-G1077)&gt;0,MINUTE(H1077-G1077)&amp;" min","")))</f>
        <v/>
      </c>
      <c r="J1077" s="66" t="n"/>
      <c r="K1077" s="70" t="n"/>
      <c r="L1077" s="73">
        <f>IF(R1077="","",IF(INDEX('Recurring Schedule'!$J$6:$J$45,R1077)="","",INDEX('Recurring Schedule'!$J$6:$J$45,R1077)))</f>
        <v/>
      </c>
      <c r="M1077" s="73">
        <f>IF(R1077="","",IF(INDEX('Recurring Schedule'!$K$6:$K$45,R1077)="","",INDEX('Recurring Schedule'!$K$6:$K$45,R1077)))</f>
        <v/>
      </c>
      <c r="N1077" s="73">
        <f>IF(R1077="","",IF(INDEX('Recurring Schedule'!$L$6:$L$45,R1077)="","",INDEX('Recurring Schedule'!$L$6:$L$45,R1077)))</f>
        <v/>
      </c>
      <c r="O1077" s="73">
        <f>IF(C1077="","",IF(AND(OR(L1077="1-Urgent",L1077="2-High"),M1077="✓"),"DO FIRST",IF(M1077="✓","SCHEDULE",IF(OR(L1077="1-Urgent",L1077="2-High"),"DELEGATE","DELETE"))))</f>
        <v/>
      </c>
      <c r="P1077" s="65" t="n"/>
      <c r="Q1077">
        <f>IF(1072&gt;Calc!$AQ$368,"",MATCH(1071,Calc!$AQ$2:$AQ$367,1))</f>
        <v/>
      </c>
      <c r="R1077">
        <f>IF(Q1077="","",SMALL(INDEX(Calc!$B$2:$AO$367,Q1077,0),1072-INDEX(Calc!$AQ$2:$AQ$367,Q1077)))</f>
        <v/>
      </c>
    </row>
    <row r="1078">
      <c r="B1078" s="64">
        <f>IF(R1078="","",1073)</f>
        <v/>
      </c>
      <c r="C1078" s="37">
        <f>IF(R1078="","",IF(INDEX('Recurring Schedule'!$C$6:$C$45,R1078)="","",INDEX('Recurring Schedule'!$C$6:$C$45,R1078)))</f>
        <v/>
      </c>
      <c r="D1078" s="36">
        <f>IF(R1078="","",IF(INDEX('Recurring Schedule'!$D$6:$D$45,R1078)="","",INDEX('Recurring Schedule'!$D$6:$D$45,R1078)))</f>
        <v/>
      </c>
      <c r="E1078" s="38">
        <f>IF(Q1078="","",INDEX(Calc!$A$2:$A$367,Q1078))</f>
        <v/>
      </c>
      <c r="F1078" s="68">
        <f>IF(OR(C1078="",E1078=""),"",E1078-Setup!$D$7)</f>
        <v/>
      </c>
      <c r="G1078" s="74">
        <f>IF(R1078="","",IF(INDEX('Recurring Schedule'!$H$6:$H$45,R1078)="","",INDEX('Recurring Schedule'!$H$6:$H$45,R1078)))</f>
        <v/>
      </c>
      <c r="H1078" s="74">
        <f>IF(R1078="","",IF(INDEX('Recurring Schedule'!$I$6:$I$45,R1078)="","",INDEX('Recurring Schedule'!$I$6:$I$45,R1078)))</f>
        <v/>
      </c>
      <c r="I1078" s="36">
        <f>IF(OR(G1078="",H1078=""),"",TRIM(IF(HOUR(H1078-G1078)&gt;0,HOUR(H1078-G1078)&amp;" hr ","")&amp;IF(MINUTE(H1078-G1078)&gt;0,MINUTE(H1078-G1078)&amp;" min","")))</f>
        <v/>
      </c>
      <c r="J1078" s="66" t="n"/>
      <c r="K1078" s="70" t="n"/>
      <c r="L1078" s="36">
        <f>IF(R1078="","",IF(INDEX('Recurring Schedule'!$J$6:$J$45,R1078)="","",INDEX('Recurring Schedule'!$J$6:$J$45,R1078)))</f>
        <v/>
      </c>
      <c r="M1078" s="36">
        <f>IF(R1078="","",IF(INDEX('Recurring Schedule'!$K$6:$K$45,R1078)="","",INDEX('Recurring Schedule'!$K$6:$K$45,R1078)))</f>
        <v/>
      </c>
      <c r="N1078" s="36">
        <f>IF(R1078="","",IF(INDEX('Recurring Schedule'!$L$6:$L$45,R1078)="","",INDEX('Recurring Schedule'!$L$6:$L$45,R1078)))</f>
        <v/>
      </c>
      <c r="O1078" s="36">
        <f>IF(C1078="","",IF(AND(OR(L1078="1-Urgent",L1078="2-High"),M1078="✓"),"DO FIRST",IF(M1078="✓","SCHEDULE",IF(OR(L1078="1-Urgent",L1078="2-High"),"DELEGATE","DELETE"))))</f>
        <v/>
      </c>
      <c r="P1078" s="65" t="n"/>
      <c r="Q1078">
        <f>IF(1073&gt;Calc!$AQ$368,"",MATCH(1072,Calc!$AQ$2:$AQ$367,1))</f>
        <v/>
      </c>
      <c r="R1078">
        <f>IF(Q1078="","",SMALL(INDEX(Calc!$B$2:$AO$367,Q1078,0),1073-INDEX(Calc!$AQ$2:$AQ$367,Q1078)))</f>
        <v/>
      </c>
    </row>
    <row r="1079">
      <c r="B1079" s="71">
        <f>IF(R1079="","",1074)</f>
        <v/>
      </c>
      <c r="C1079" s="75">
        <f>IF(R1079="","",IF(INDEX('Recurring Schedule'!$C$6:$C$45,R1079)="","",INDEX('Recurring Schedule'!$C$6:$C$45,R1079)))</f>
        <v/>
      </c>
      <c r="D1079" s="73">
        <f>IF(R1079="","",IF(INDEX('Recurring Schedule'!$D$6:$D$45,R1079)="","",INDEX('Recurring Schedule'!$D$6:$D$45,R1079)))</f>
        <v/>
      </c>
      <c r="E1079" s="76">
        <f>IF(Q1079="","",INDEX(Calc!$A$2:$A$367,Q1079))</f>
        <v/>
      </c>
      <c r="F1079" s="72">
        <f>IF(OR(C1079="",E1079=""),"",E1079-Setup!$D$7)</f>
        <v/>
      </c>
      <c r="G1079" s="77">
        <f>IF(R1079="","",IF(INDEX('Recurring Schedule'!$H$6:$H$45,R1079)="","",INDEX('Recurring Schedule'!$H$6:$H$45,R1079)))</f>
        <v/>
      </c>
      <c r="H1079" s="77">
        <f>IF(R1079="","",IF(INDEX('Recurring Schedule'!$I$6:$I$45,R1079)="","",INDEX('Recurring Schedule'!$I$6:$I$45,R1079)))</f>
        <v/>
      </c>
      <c r="I1079" s="73">
        <f>IF(OR(G1079="",H1079=""),"",TRIM(IF(HOUR(H1079-G1079)&gt;0,HOUR(H1079-G1079)&amp;" hr ","")&amp;IF(MINUTE(H1079-G1079)&gt;0,MINUTE(H1079-G1079)&amp;" min","")))</f>
        <v/>
      </c>
      <c r="J1079" s="66" t="n"/>
      <c r="K1079" s="70" t="n"/>
      <c r="L1079" s="73">
        <f>IF(R1079="","",IF(INDEX('Recurring Schedule'!$J$6:$J$45,R1079)="","",INDEX('Recurring Schedule'!$J$6:$J$45,R1079)))</f>
        <v/>
      </c>
      <c r="M1079" s="73">
        <f>IF(R1079="","",IF(INDEX('Recurring Schedule'!$K$6:$K$45,R1079)="","",INDEX('Recurring Schedule'!$K$6:$K$45,R1079)))</f>
        <v/>
      </c>
      <c r="N1079" s="73">
        <f>IF(R1079="","",IF(INDEX('Recurring Schedule'!$L$6:$L$45,R1079)="","",INDEX('Recurring Schedule'!$L$6:$L$45,R1079)))</f>
        <v/>
      </c>
      <c r="O1079" s="73">
        <f>IF(C1079="","",IF(AND(OR(L1079="1-Urgent",L1079="2-High"),M1079="✓"),"DO FIRST",IF(M1079="✓","SCHEDULE",IF(OR(L1079="1-Urgent",L1079="2-High"),"DELEGATE","DELETE"))))</f>
        <v/>
      </c>
      <c r="P1079" s="65" t="n"/>
      <c r="Q1079">
        <f>IF(1074&gt;Calc!$AQ$368,"",MATCH(1073,Calc!$AQ$2:$AQ$367,1))</f>
        <v/>
      </c>
      <c r="R1079">
        <f>IF(Q1079="","",SMALL(INDEX(Calc!$B$2:$AO$367,Q1079,0),1074-INDEX(Calc!$AQ$2:$AQ$367,Q1079)))</f>
        <v/>
      </c>
    </row>
    <row r="1080">
      <c r="B1080" s="64">
        <f>IF(R1080="","",1075)</f>
        <v/>
      </c>
      <c r="C1080" s="37">
        <f>IF(R1080="","",IF(INDEX('Recurring Schedule'!$C$6:$C$45,R1080)="","",INDEX('Recurring Schedule'!$C$6:$C$45,R1080)))</f>
        <v/>
      </c>
      <c r="D1080" s="36">
        <f>IF(R1080="","",IF(INDEX('Recurring Schedule'!$D$6:$D$45,R1080)="","",INDEX('Recurring Schedule'!$D$6:$D$45,R1080)))</f>
        <v/>
      </c>
      <c r="E1080" s="38">
        <f>IF(Q1080="","",INDEX(Calc!$A$2:$A$367,Q1080))</f>
        <v/>
      </c>
      <c r="F1080" s="68">
        <f>IF(OR(C1080="",E1080=""),"",E1080-Setup!$D$7)</f>
        <v/>
      </c>
      <c r="G1080" s="74">
        <f>IF(R1080="","",IF(INDEX('Recurring Schedule'!$H$6:$H$45,R1080)="","",INDEX('Recurring Schedule'!$H$6:$H$45,R1080)))</f>
        <v/>
      </c>
      <c r="H1080" s="74">
        <f>IF(R1080="","",IF(INDEX('Recurring Schedule'!$I$6:$I$45,R1080)="","",INDEX('Recurring Schedule'!$I$6:$I$45,R1080)))</f>
        <v/>
      </c>
      <c r="I1080" s="36">
        <f>IF(OR(G1080="",H1080=""),"",TRIM(IF(HOUR(H1080-G1080)&gt;0,HOUR(H1080-G1080)&amp;" hr ","")&amp;IF(MINUTE(H1080-G1080)&gt;0,MINUTE(H1080-G1080)&amp;" min","")))</f>
        <v/>
      </c>
      <c r="J1080" s="66" t="n"/>
      <c r="K1080" s="70" t="n"/>
      <c r="L1080" s="36">
        <f>IF(R1080="","",IF(INDEX('Recurring Schedule'!$J$6:$J$45,R1080)="","",INDEX('Recurring Schedule'!$J$6:$J$45,R1080)))</f>
        <v/>
      </c>
      <c r="M1080" s="36">
        <f>IF(R1080="","",IF(INDEX('Recurring Schedule'!$K$6:$K$45,R1080)="","",INDEX('Recurring Schedule'!$K$6:$K$45,R1080)))</f>
        <v/>
      </c>
      <c r="N1080" s="36">
        <f>IF(R1080="","",IF(INDEX('Recurring Schedule'!$L$6:$L$45,R1080)="","",INDEX('Recurring Schedule'!$L$6:$L$45,R1080)))</f>
        <v/>
      </c>
      <c r="O1080" s="36">
        <f>IF(C1080="","",IF(AND(OR(L1080="1-Urgent",L1080="2-High"),M1080="✓"),"DO FIRST",IF(M1080="✓","SCHEDULE",IF(OR(L1080="1-Urgent",L1080="2-High"),"DELEGATE","DELETE"))))</f>
        <v/>
      </c>
      <c r="P1080" s="65" t="n"/>
      <c r="Q1080">
        <f>IF(1075&gt;Calc!$AQ$368,"",MATCH(1074,Calc!$AQ$2:$AQ$367,1))</f>
        <v/>
      </c>
      <c r="R1080">
        <f>IF(Q1080="","",SMALL(INDEX(Calc!$B$2:$AO$367,Q1080,0),1075-INDEX(Calc!$AQ$2:$AQ$367,Q1080)))</f>
        <v/>
      </c>
    </row>
    <row r="1081">
      <c r="B1081" s="71">
        <f>IF(R1081="","",1076)</f>
        <v/>
      </c>
      <c r="C1081" s="75">
        <f>IF(R1081="","",IF(INDEX('Recurring Schedule'!$C$6:$C$45,R1081)="","",INDEX('Recurring Schedule'!$C$6:$C$45,R1081)))</f>
        <v/>
      </c>
      <c r="D1081" s="73">
        <f>IF(R1081="","",IF(INDEX('Recurring Schedule'!$D$6:$D$45,R1081)="","",INDEX('Recurring Schedule'!$D$6:$D$45,R1081)))</f>
        <v/>
      </c>
      <c r="E1081" s="76">
        <f>IF(Q1081="","",INDEX(Calc!$A$2:$A$367,Q1081))</f>
        <v/>
      </c>
      <c r="F1081" s="72">
        <f>IF(OR(C1081="",E1081=""),"",E1081-Setup!$D$7)</f>
        <v/>
      </c>
      <c r="G1081" s="77">
        <f>IF(R1081="","",IF(INDEX('Recurring Schedule'!$H$6:$H$45,R1081)="","",INDEX('Recurring Schedule'!$H$6:$H$45,R1081)))</f>
        <v/>
      </c>
      <c r="H1081" s="77">
        <f>IF(R1081="","",IF(INDEX('Recurring Schedule'!$I$6:$I$45,R1081)="","",INDEX('Recurring Schedule'!$I$6:$I$45,R1081)))</f>
        <v/>
      </c>
      <c r="I1081" s="73">
        <f>IF(OR(G1081="",H1081=""),"",TRIM(IF(HOUR(H1081-G1081)&gt;0,HOUR(H1081-G1081)&amp;" hr ","")&amp;IF(MINUTE(H1081-G1081)&gt;0,MINUTE(H1081-G1081)&amp;" min","")))</f>
        <v/>
      </c>
      <c r="J1081" s="66" t="n"/>
      <c r="K1081" s="70" t="n"/>
      <c r="L1081" s="73">
        <f>IF(R1081="","",IF(INDEX('Recurring Schedule'!$J$6:$J$45,R1081)="","",INDEX('Recurring Schedule'!$J$6:$J$45,R1081)))</f>
        <v/>
      </c>
      <c r="M1081" s="73">
        <f>IF(R1081="","",IF(INDEX('Recurring Schedule'!$K$6:$K$45,R1081)="","",INDEX('Recurring Schedule'!$K$6:$K$45,R1081)))</f>
        <v/>
      </c>
      <c r="N1081" s="73">
        <f>IF(R1081="","",IF(INDEX('Recurring Schedule'!$L$6:$L$45,R1081)="","",INDEX('Recurring Schedule'!$L$6:$L$45,R1081)))</f>
        <v/>
      </c>
      <c r="O1081" s="73">
        <f>IF(C1081="","",IF(AND(OR(L1081="1-Urgent",L1081="2-High"),M1081="✓"),"DO FIRST",IF(M1081="✓","SCHEDULE",IF(OR(L1081="1-Urgent",L1081="2-High"),"DELEGATE","DELETE"))))</f>
        <v/>
      </c>
      <c r="P1081" s="65" t="n"/>
      <c r="Q1081">
        <f>IF(1076&gt;Calc!$AQ$368,"",MATCH(1075,Calc!$AQ$2:$AQ$367,1))</f>
        <v/>
      </c>
      <c r="R1081">
        <f>IF(Q1081="","",SMALL(INDEX(Calc!$B$2:$AO$367,Q1081,0),1076-INDEX(Calc!$AQ$2:$AQ$367,Q1081)))</f>
        <v/>
      </c>
    </row>
    <row r="1082">
      <c r="B1082" s="64">
        <f>IF(R1082="","",1077)</f>
        <v/>
      </c>
      <c r="C1082" s="37">
        <f>IF(R1082="","",IF(INDEX('Recurring Schedule'!$C$6:$C$45,R1082)="","",INDEX('Recurring Schedule'!$C$6:$C$45,R1082)))</f>
        <v/>
      </c>
      <c r="D1082" s="36">
        <f>IF(R1082="","",IF(INDEX('Recurring Schedule'!$D$6:$D$45,R1082)="","",INDEX('Recurring Schedule'!$D$6:$D$45,R1082)))</f>
        <v/>
      </c>
      <c r="E1082" s="38">
        <f>IF(Q1082="","",INDEX(Calc!$A$2:$A$367,Q1082))</f>
        <v/>
      </c>
      <c r="F1082" s="68">
        <f>IF(OR(C1082="",E1082=""),"",E1082-Setup!$D$7)</f>
        <v/>
      </c>
      <c r="G1082" s="74">
        <f>IF(R1082="","",IF(INDEX('Recurring Schedule'!$H$6:$H$45,R1082)="","",INDEX('Recurring Schedule'!$H$6:$H$45,R1082)))</f>
        <v/>
      </c>
      <c r="H1082" s="74">
        <f>IF(R1082="","",IF(INDEX('Recurring Schedule'!$I$6:$I$45,R1082)="","",INDEX('Recurring Schedule'!$I$6:$I$45,R1082)))</f>
        <v/>
      </c>
      <c r="I1082" s="36">
        <f>IF(OR(G1082="",H1082=""),"",TRIM(IF(HOUR(H1082-G1082)&gt;0,HOUR(H1082-G1082)&amp;" hr ","")&amp;IF(MINUTE(H1082-G1082)&gt;0,MINUTE(H1082-G1082)&amp;" min","")))</f>
        <v/>
      </c>
      <c r="J1082" s="66" t="n"/>
      <c r="K1082" s="70" t="n"/>
      <c r="L1082" s="36">
        <f>IF(R1082="","",IF(INDEX('Recurring Schedule'!$J$6:$J$45,R1082)="","",INDEX('Recurring Schedule'!$J$6:$J$45,R1082)))</f>
        <v/>
      </c>
      <c r="M1082" s="36">
        <f>IF(R1082="","",IF(INDEX('Recurring Schedule'!$K$6:$K$45,R1082)="","",INDEX('Recurring Schedule'!$K$6:$K$45,R1082)))</f>
        <v/>
      </c>
      <c r="N1082" s="36">
        <f>IF(R1082="","",IF(INDEX('Recurring Schedule'!$L$6:$L$45,R1082)="","",INDEX('Recurring Schedule'!$L$6:$L$45,R1082)))</f>
        <v/>
      </c>
      <c r="O1082" s="36">
        <f>IF(C1082="","",IF(AND(OR(L1082="1-Urgent",L1082="2-High"),M1082="✓"),"DO FIRST",IF(M1082="✓","SCHEDULE",IF(OR(L1082="1-Urgent",L1082="2-High"),"DELEGATE","DELETE"))))</f>
        <v/>
      </c>
      <c r="P1082" s="65" t="n"/>
      <c r="Q1082">
        <f>IF(1077&gt;Calc!$AQ$368,"",MATCH(1076,Calc!$AQ$2:$AQ$367,1))</f>
        <v/>
      </c>
      <c r="R1082">
        <f>IF(Q1082="","",SMALL(INDEX(Calc!$B$2:$AO$367,Q1082,0),1077-INDEX(Calc!$AQ$2:$AQ$367,Q1082)))</f>
        <v/>
      </c>
    </row>
    <row r="1083">
      <c r="B1083" s="71">
        <f>IF(R1083="","",1078)</f>
        <v/>
      </c>
      <c r="C1083" s="75">
        <f>IF(R1083="","",IF(INDEX('Recurring Schedule'!$C$6:$C$45,R1083)="","",INDEX('Recurring Schedule'!$C$6:$C$45,R1083)))</f>
        <v/>
      </c>
      <c r="D1083" s="73">
        <f>IF(R1083="","",IF(INDEX('Recurring Schedule'!$D$6:$D$45,R1083)="","",INDEX('Recurring Schedule'!$D$6:$D$45,R1083)))</f>
        <v/>
      </c>
      <c r="E1083" s="76">
        <f>IF(Q1083="","",INDEX(Calc!$A$2:$A$367,Q1083))</f>
        <v/>
      </c>
      <c r="F1083" s="72">
        <f>IF(OR(C1083="",E1083=""),"",E1083-Setup!$D$7)</f>
        <v/>
      </c>
      <c r="G1083" s="77">
        <f>IF(R1083="","",IF(INDEX('Recurring Schedule'!$H$6:$H$45,R1083)="","",INDEX('Recurring Schedule'!$H$6:$H$45,R1083)))</f>
        <v/>
      </c>
      <c r="H1083" s="77">
        <f>IF(R1083="","",IF(INDEX('Recurring Schedule'!$I$6:$I$45,R1083)="","",INDEX('Recurring Schedule'!$I$6:$I$45,R1083)))</f>
        <v/>
      </c>
      <c r="I1083" s="73">
        <f>IF(OR(G1083="",H1083=""),"",TRIM(IF(HOUR(H1083-G1083)&gt;0,HOUR(H1083-G1083)&amp;" hr ","")&amp;IF(MINUTE(H1083-G1083)&gt;0,MINUTE(H1083-G1083)&amp;" min","")))</f>
        <v/>
      </c>
      <c r="J1083" s="66" t="n"/>
      <c r="K1083" s="70" t="n"/>
      <c r="L1083" s="73">
        <f>IF(R1083="","",IF(INDEX('Recurring Schedule'!$J$6:$J$45,R1083)="","",INDEX('Recurring Schedule'!$J$6:$J$45,R1083)))</f>
        <v/>
      </c>
      <c r="M1083" s="73">
        <f>IF(R1083="","",IF(INDEX('Recurring Schedule'!$K$6:$K$45,R1083)="","",INDEX('Recurring Schedule'!$K$6:$K$45,R1083)))</f>
        <v/>
      </c>
      <c r="N1083" s="73">
        <f>IF(R1083="","",IF(INDEX('Recurring Schedule'!$L$6:$L$45,R1083)="","",INDEX('Recurring Schedule'!$L$6:$L$45,R1083)))</f>
        <v/>
      </c>
      <c r="O1083" s="73">
        <f>IF(C1083="","",IF(AND(OR(L1083="1-Urgent",L1083="2-High"),M1083="✓"),"DO FIRST",IF(M1083="✓","SCHEDULE",IF(OR(L1083="1-Urgent",L1083="2-High"),"DELEGATE","DELETE"))))</f>
        <v/>
      </c>
      <c r="P1083" s="65" t="n"/>
      <c r="Q1083">
        <f>IF(1078&gt;Calc!$AQ$368,"",MATCH(1077,Calc!$AQ$2:$AQ$367,1))</f>
        <v/>
      </c>
      <c r="R1083">
        <f>IF(Q1083="","",SMALL(INDEX(Calc!$B$2:$AO$367,Q1083,0),1078-INDEX(Calc!$AQ$2:$AQ$367,Q1083)))</f>
        <v/>
      </c>
    </row>
    <row r="1084">
      <c r="B1084" s="64">
        <f>IF(R1084="","",1079)</f>
        <v/>
      </c>
      <c r="C1084" s="37">
        <f>IF(R1084="","",IF(INDEX('Recurring Schedule'!$C$6:$C$45,R1084)="","",INDEX('Recurring Schedule'!$C$6:$C$45,R1084)))</f>
        <v/>
      </c>
      <c r="D1084" s="36">
        <f>IF(R1084="","",IF(INDEX('Recurring Schedule'!$D$6:$D$45,R1084)="","",INDEX('Recurring Schedule'!$D$6:$D$45,R1084)))</f>
        <v/>
      </c>
      <c r="E1084" s="38">
        <f>IF(Q1084="","",INDEX(Calc!$A$2:$A$367,Q1084))</f>
        <v/>
      </c>
      <c r="F1084" s="68">
        <f>IF(OR(C1084="",E1084=""),"",E1084-Setup!$D$7)</f>
        <v/>
      </c>
      <c r="G1084" s="74">
        <f>IF(R1084="","",IF(INDEX('Recurring Schedule'!$H$6:$H$45,R1084)="","",INDEX('Recurring Schedule'!$H$6:$H$45,R1084)))</f>
        <v/>
      </c>
      <c r="H1084" s="74">
        <f>IF(R1084="","",IF(INDEX('Recurring Schedule'!$I$6:$I$45,R1084)="","",INDEX('Recurring Schedule'!$I$6:$I$45,R1084)))</f>
        <v/>
      </c>
      <c r="I1084" s="36">
        <f>IF(OR(G1084="",H1084=""),"",TRIM(IF(HOUR(H1084-G1084)&gt;0,HOUR(H1084-G1084)&amp;" hr ","")&amp;IF(MINUTE(H1084-G1084)&gt;0,MINUTE(H1084-G1084)&amp;" min","")))</f>
        <v/>
      </c>
      <c r="J1084" s="66" t="n"/>
      <c r="K1084" s="70" t="n"/>
      <c r="L1084" s="36">
        <f>IF(R1084="","",IF(INDEX('Recurring Schedule'!$J$6:$J$45,R1084)="","",INDEX('Recurring Schedule'!$J$6:$J$45,R1084)))</f>
        <v/>
      </c>
      <c r="M1084" s="36">
        <f>IF(R1084="","",IF(INDEX('Recurring Schedule'!$K$6:$K$45,R1084)="","",INDEX('Recurring Schedule'!$K$6:$K$45,R1084)))</f>
        <v/>
      </c>
      <c r="N1084" s="36">
        <f>IF(R1084="","",IF(INDEX('Recurring Schedule'!$L$6:$L$45,R1084)="","",INDEX('Recurring Schedule'!$L$6:$L$45,R1084)))</f>
        <v/>
      </c>
      <c r="O1084" s="36">
        <f>IF(C1084="","",IF(AND(OR(L1084="1-Urgent",L1084="2-High"),M1084="✓"),"DO FIRST",IF(M1084="✓","SCHEDULE",IF(OR(L1084="1-Urgent",L1084="2-High"),"DELEGATE","DELETE"))))</f>
        <v/>
      </c>
      <c r="P1084" s="65" t="n"/>
      <c r="Q1084">
        <f>IF(1079&gt;Calc!$AQ$368,"",MATCH(1078,Calc!$AQ$2:$AQ$367,1))</f>
        <v/>
      </c>
      <c r="R1084">
        <f>IF(Q1084="","",SMALL(INDEX(Calc!$B$2:$AO$367,Q1084,0),1079-INDEX(Calc!$AQ$2:$AQ$367,Q1084)))</f>
        <v/>
      </c>
    </row>
    <row r="1085">
      <c r="B1085" s="71">
        <f>IF(R1085="","",1080)</f>
        <v/>
      </c>
      <c r="C1085" s="75">
        <f>IF(R1085="","",IF(INDEX('Recurring Schedule'!$C$6:$C$45,R1085)="","",INDEX('Recurring Schedule'!$C$6:$C$45,R1085)))</f>
        <v/>
      </c>
      <c r="D1085" s="73">
        <f>IF(R1085="","",IF(INDEX('Recurring Schedule'!$D$6:$D$45,R1085)="","",INDEX('Recurring Schedule'!$D$6:$D$45,R1085)))</f>
        <v/>
      </c>
      <c r="E1085" s="76">
        <f>IF(Q1085="","",INDEX(Calc!$A$2:$A$367,Q1085))</f>
        <v/>
      </c>
      <c r="F1085" s="72">
        <f>IF(OR(C1085="",E1085=""),"",E1085-Setup!$D$7)</f>
        <v/>
      </c>
      <c r="G1085" s="77">
        <f>IF(R1085="","",IF(INDEX('Recurring Schedule'!$H$6:$H$45,R1085)="","",INDEX('Recurring Schedule'!$H$6:$H$45,R1085)))</f>
        <v/>
      </c>
      <c r="H1085" s="77">
        <f>IF(R1085="","",IF(INDEX('Recurring Schedule'!$I$6:$I$45,R1085)="","",INDEX('Recurring Schedule'!$I$6:$I$45,R1085)))</f>
        <v/>
      </c>
      <c r="I1085" s="73">
        <f>IF(OR(G1085="",H1085=""),"",TRIM(IF(HOUR(H1085-G1085)&gt;0,HOUR(H1085-G1085)&amp;" hr ","")&amp;IF(MINUTE(H1085-G1085)&gt;0,MINUTE(H1085-G1085)&amp;" min","")))</f>
        <v/>
      </c>
      <c r="J1085" s="66" t="n"/>
      <c r="K1085" s="70" t="n"/>
      <c r="L1085" s="73">
        <f>IF(R1085="","",IF(INDEX('Recurring Schedule'!$J$6:$J$45,R1085)="","",INDEX('Recurring Schedule'!$J$6:$J$45,R1085)))</f>
        <v/>
      </c>
      <c r="M1085" s="73">
        <f>IF(R1085="","",IF(INDEX('Recurring Schedule'!$K$6:$K$45,R1085)="","",INDEX('Recurring Schedule'!$K$6:$K$45,R1085)))</f>
        <v/>
      </c>
      <c r="N1085" s="73">
        <f>IF(R1085="","",IF(INDEX('Recurring Schedule'!$L$6:$L$45,R1085)="","",INDEX('Recurring Schedule'!$L$6:$L$45,R1085)))</f>
        <v/>
      </c>
      <c r="O1085" s="73">
        <f>IF(C1085="","",IF(AND(OR(L1085="1-Urgent",L1085="2-High"),M1085="✓"),"DO FIRST",IF(M1085="✓","SCHEDULE",IF(OR(L1085="1-Urgent",L1085="2-High"),"DELEGATE","DELETE"))))</f>
        <v/>
      </c>
      <c r="P1085" s="65" t="n"/>
      <c r="Q1085">
        <f>IF(1080&gt;Calc!$AQ$368,"",MATCH(1079,Calc!$AQ$2:$AQ$367,1))</f>
        <v/>
      </c>
      <c r="R1085">
        <f>IF(Q1085="","",SMALL(INDEX(Calc!$B$2:$AO$367,Q1085,0),1080-INDEX(Calc!$AQ$2:$AQ$367,Q1085)))</f>
        <v/>
      </c>
    </row>
    <row r="1086">
      <c r="B1086" s="64">
        <f>IF(R1086="","",1081)</f>
        <v/>
      </c>
      <c r="C1086" s="37">
        <f>IF(R1086="","",IF(INDEX('Recurring Schedule'!$C$6:$C$45,R1086)="","",INDEX('Recurring Schedule'!$C$6:$C$45,R1086)))</f>
        <v/>
      </c>
      <c r="D1086" s="36">
        <f>IF(R1086="","",IF(INDEX('Recurring Schedule'!$D$6:$D$45,R1086)="","",INDEX('Recurring Schedule'!$D$6:$D$45,R1086)))</f>
        <v/>
      </c>
      <c r="E1086" s="38">
        <f>IF(Q1086="","",INDEX(Calc!$A$2:$A$367,Q1086))</f>
        <v/>
      </c>
      <c r="F1086" s="68">
        <f>IF(OR(C1086="",E1086=""),"",E1086-Setup!$D$7)</f>
        <v/>
      </c>
      <c r="G1086" s="74">
        <f>IF(R1086="","",IF(INDEX('Recurring Schedule'!$H$6:$H$45,R1086)="","",INDEX('Recurring Schedule'!$H$6:$H$45,R1086)))</f>
        <v/>
      </c>
      <c r="H1086" s="74">
        <f>IF(R1086="","",IF(INDEX('Recurring Schedule'!$I$6:$I$45,R1086)="","",INDEX('Recurring Schedule'!$I$6:$I$45,R1086)))</f>
        <v/>
      </c>
      <c r="I1086" s="36">
        <f>IF(OR(G1086="",H1086=""),"",TRIM(IF(HOUR(H1086-G1086)&gt;0,HOUR(H1086-G1086)&amp;" hr ","")&amp;IF(MINUTE(H1086-G1086)&gt;0,MINUTE(H1086-G1086)&amp;" min","")))</f>
        <v/>
      </c>
      <c r="J1086" s="66" t="n"/>
      <c r="K1086" s="70" t="n"/>
      <c r="L1086" s="36">
        <f>IF(R1086="","",IF(INDEX('Recurring Schedule'!$J$6:$J$45,R1086)="","",INDEX('Recurring Schedule'!$J$6:$J$45,R1086)))</f>
        <v/>
      </c>
      <c r="M1086" s="36">
        <f>IF(R1086="","",IF(INDEX('Recurring Schedule'!$K$6:$K$45,R1086)="","",INDEX('Recurring Schedule'!$K$6:$K$45,R1086)))</f>
        <v/>
      </c>
      <c r="N1086" s="36">
        <f>IF(R1086="","",IF(INDEX('Recurring Schedule'!$L$6:$L$45,R1086)="","",INDEX('Recurring Schedule'!$L$6:$L$45,R1086)))</f>
        <v/>
      </c>
      <c r="O1086" s="36">
        <f>IF(C1086="","",IF(AND(OR(L1086="1-Urgent",L1086="2-High"),M1086="✓"),"DO FIRST",IF(M1086="✓","SCHEDULE",IF(OR(L1086="1-Urgent",L1086="2-High"),"DELEGATE","DELETE"))))</f>
        <v/>
      </c>
      <c r="P1086" s="65" t="n"/>
      <c r="Q1086">
        <f>IF(1081&gt;Calc!$AQ$368,"",MATCH(1080,Calc!$AQ$2:$AQ$367,1))</f>
        <v/>
      </c>
      <c r="R1086">
        <f>IF(Q1086="","",SMALL(INDEX(Calc!$B$2:$AO$367,Q1086,0),1081-INDEX(Calc!$AQ$2:$AQ$367,Q1086)))</f>
        <v/>
      </c>
    </row>
    <row r="1087">
      <c r="B1087" s="71">
        <f>IF(R1087="","",1082)</f>
        <v/>
      </c>
      <c r="C1087" s="75">
        <f>IF(R1087="","",IF(INDEX('Recurring Schedule'!$C$6:$C$45,R1087)="","",INDEX('Recurring Schedule'!$C$6:$C$45,R1087)))</f>
        <v/>
      </c>
      <c r="D1087" s="73">
        <f>IF(R1087="","",IF(INDEX('Recurring Schedule'!$D$6:$D$45,R1087)="","",INDEX('Recurring Schedule'!$D$6:$D$45,R1087)))</f>
        <v/>
      </c>
      <c r="E1087" s="76">
        <f>IF(Q1087="","",INDEX(Calc!$A$2:$A$367,Q1087))</f>
        <v/>
      </c>
      <c r="F1087" s="72">
        <f>IF(OR(C1087="",E1087=""),"",E1087-Setup!$D$7)</f>
        <v/>
      </c>
      <c r="G1087" s="77">
        <f>IF(R1087="","",IF(INDEX('Recurring Schedule'!$H$6:$H$45,R1087)="","",INDEX('Recurring Schedule'!$H$6:$H$45,R1087)))</f>
        <v/>
      </c>
      <c r="H1087" s="77">
        <f>IF(R1087="","",IF(INDEX('Recurring Schedule'!$I$6:$I$45,R1087)="","",INDEX('Recurring Schedule'!$I$6:$I$45,R1087)))</f>
        <v/>
      </c>
      <c r="I1087" s="73">
        <f>IF(OR(G1087="",H1087=""),"",TRIM(IF(HOUR(H1087-G1087)&gt;0,HOUR(H1087-G1087)&amp;" hr ","")&amp;IF(MINUTE(H1087-G1087)&gt;0,MINUTE(H1087-G1087)&amp;" min","")))</f>
        <v/>
      </c>
      <c r="J1087" s="66" t="n"/>
      <c r="K1087" s="70" t="n"/>
      <c r="L1087" s="73">
        <f>IF(R1087="","",IF(INDEX('Recurring Schedule'!$J$6:$J$45,R1087)="","",INDEX('Recurring Schedule'!$J$6:$J$45,R1087)))</f>
        <v/>
      </c>
      <c r="M1087" s="73">
        <f>IF(R1087="","",IF(INDEX('Recurring Schedule'!$K$6:$K$45,R1087)="","",INDEX('Recurring Schedule'!$K$6:$K$45,R1087)))</f>
        <v/>
      </c>
      <c r="N1087" s="73">
        <f>IF(R1087="","",IF(INDEX('Recurring Schedule'!$L$6:$L$45,R1087)="","",INDEX('Recurring Schedule'!$L$6:$L$45,R1087)))</f>
        <v/>
      </c>
      <c r="O1087" s="73">
        <f>IF(C1087="","",IF(AND(OR(L1087="1-Urgent",L1087="2-High"),M1087="✓"),"DO FIRST",IF(M1087="✓","SCHEDULE",IF(OR(L1087="1-Urgent",L1087="2-High"),"DELEGATE","DELETE"))))</f>
        <v/>
      </c>
      <c r="P1087" s="65" t="n"/>
      <c r="Q1087">
        <f>IF(1082&gt;Calc!$AQ$368,"",MATCH(1081,Calc!$AQ$2:$AQ$367,1))</f>
        <v/>
      </c>
      <c r="R1087">
        <f>IF(Q1087="","",SMALL(INDEX(Calc!$B$2:$AO$367,Q1087,0),1082-INDEX(Calc!$AQ$2:$AQ$367,Q1087)))</f>
        <v/>
      </c>
    </row>
    <row r="1088">
      <c r="B1088" s="64">
        <f>IF(R1088="","",1083)</f>
        <v/>
      </c>
      <c r="C1088" s="37">
        <f>IF(R1088="","",IF(INDEX('Recurring Schedule'!$C$6:$C$45,R1088)="","",INDEX('Recurring Schedule'!$C$6:$C$45,R1088)))</f>
        <v/>
      </c>
      <c r="D1088" s="36">
        <f>IF(R1088="","",IF(INDEX('Recurring Schedule'!$D$6:$D$45,R1088)="","",INDEX('Recurring Schedule'!$D$6:$D$45,R1088)))</f>
        <v/>
      </c>
      <c r="E1088" s="38">
        <f>IF(Q1088="","",INDEX(Calc!$A$2:$A$367,Q1088))</f>
        <v/>
      </c>
      <c r="F1088" s="68">
        <f>IF(OR(C1088="",E1088=""),"",E1088-Setup!$D$7)</f>
        <v/>
      </c>
      <c r="G1088" s="74">
        <f>IF(R1088="","",IF(INDEX('Recurring Schedule'!$H$6:$H$45,R1088)="","",INDEX('Recurring Schedule'!$H$6:$H$45,R1088)))</f>
        <v/>
      </c>
      <c r="H1088" s="74">
        <f>IF(R1088="","",IF(INDEX('Recurring Schedule'!$I$6:$I$45,R1088)="","",INDEX('Recurring Schedule'!$I$6:$I$45,R1088)))</f>
        <v/>
      </c>
      <c r="I1088" s="36">
        <f>IF(OR(G1088="",H1088=""),"",TRIM(IF(HOUR(H1088-G1088)&gt;0,HOUR(H1088-G1088)&amp;" hr ","")&amp;IF(MINUTE(H1088-G1088)&gt;0,MINUTE(H1088-G1088)&amp;" min","")))</f>
        <v/>
      </c>
      <c r="J1088" s="66" t="n"/>
      <c r="K1088" s="70" t="n"/>
      <c r="L1088" s="36">
        <f>IF(R1088="","",IF(INDEX('Recurring Schedule'!$J$6:$J$45,R1088)="","",INDEX('Recurring Schedule'!$J$6:$J$45,R1088)))</f>
        <v/>
      </c>
      <c r="M1088" s="36">
        <f>IF(R1088="","",IF(INDEX('Recurring Schedule'!$K$6:$K$45,R1088)="","",INDEX('Recurring Schedule'!$K$6:$K$45,R1088)))</f>
        <v/>
      </c>
      <c r="N1088" s="36">
        <f>IF(R1088="","",IF(INDEX('Recurring Schedule'!$L$6:$L$45,R1088)="","",INDEX('Recurring Schedule'!$L$6:$L$45,R1088)))</f>
        <v/>
      </c>
      <c r="O1088" s="36">
        <f>IF(C1088="","",IF(AND(OR(L1088="1-Urgent",L1088="2-High"),M1088="✓"),"DO FIRST",IF(M1088="✓","SCHEDULE",IF(OR(L1088="1-Urgent",L1088="2-High"),"DELEGATE","DELETE"))))</f>
        <v/>
      </c>
      <c r="P1088" s="65" t="n"/>
      <c r="Q1088">
        <f>IF(1083&gt;Calc!$AQ$368,"",MATCH(1082,Calc!$AQ$2:$AQ$367,1))</f>
        <v/>
      </c>
      <c r="R1088">
        <f>IF(Q1088="","",SMALL(INDEX(Calc!$B$2:$AO$367,Q1088,0),1083-INDEX(Calc!$AQ$2:$AQ$367,Q1088)))</f>
        <v/>
      </c>
    </row>
    <row r="1089">
      <c r="B1089" s="71">
        <f>IF(R1089="","",1084)</f>
        <v/>
      </c>
      <c r="C1089" s="75">
        <f>IF(R1089="","",IF(INDEX('Recurring Schedule'!$C$6:$C$45,R1089)="","",INDEX('Recurring Schedule'!$C$6:$C$45,R1089)))</f>
        <v/>
      </c>
      <c r="D1089" s="73">
        <f>IF(R1089="","",IF(INDEX('Recurring Schedule'!$D$6:$D$45,R1089)="","",INDEX('Recurring Schedule'!$D$6:$D$45,R1089)))</f>
        <v/>
      </c>
      <c r="E1089" s="76">
        <f>IF(Q1089="","",INDEX(Calc!$A$2:$A$367,Q1089))</f>
        <v/>
      </c>
      <c r="F1089" s="72">
        <f>IF(OR(C1089="",E1089=""),"",E1089-Setup!$D$7)</f>
        <v/>
      </c>
      <c r="G1089" s="77">
        <f>IF(R1089="","",IF(INDEX('Recurring Schedule'!$H$6:$H$45,R1089)="","",INDEX('Recurring Schedule'!$H$6:$H$45,R1089)))</f>
        <v/>
      </c>
      <c r="H1089" s="77">
        <f>IF(R1089="","",IF(INDEX('Recurring Schedule'!$I$6:$I$45,R1089)="","",INDEX('Recurring Schedule'!$I$6:$I$45,R1089)))</f>
        <v/>
      </c>
      <c r="I1089" s="73">
        <f>IF(OR(G1089="",H1089=""),"",TRIM(IF(HOUR(H1089-G1089)&gt;0,HOUR(H1089-G1089)&amp;" hr ","")&amp;IF(MINUTE(H1089-G1089)&gt;0,MINUTE(H1089-G1089)&amp;" min","")))</f>
        <v/>
      </c>
      <c r="J1089" s="66" t="n"/>
      <c r="K1089" s="70" t="n"/>
      <c r="L1089" s="73">
        <f>IF(R1089="","",IF(INDEX('Recurring Schedule'!$J$6:$J$45,R1089)="","",INDEX('Recurring Schedule'!$J$6:$J$45,R1089)))</f>
        <v/>
      </c>
      <c r="M1089" s="73">
        <f>IF(R1089="","",IF(INDEX('Recurring Schedule'!$K$6:$K$45,R1089)="","",INDEX('Recurring Schedule'!$K$6:$K$45,R1089)))</f>
        <v/>
      </c>
      <c r="N1089" s="73">
        <f>IF(R1089="","",IF(INDEX('Recurring Schedule'!$L$6:$L$45,R1089)="","",INDEX('Recurring Schedule'!$L$6:$L$45,R1089)))</f>
        <v/>
      </c>
      <c r="O1089" s="73">
        <f>IF(C1089="","",IF(AND(OR(L1089="1-Urgent",L1089="2-High"),M1089="✓"),"DO FIRST",IF(M1089="✓","SCHEDULE",IF(OR(L1089="1-Urgent",L1089="2-High"),"DELEGATE","DELETE"))))</f>
        <v/>
      </c>
      <c r="P1089" s="65" t="n"/>
      <c r="Q1089">
        <f>IF(1084&gt;Calc!$AQ$368,"",MATCH(1083,Calc!$AQ$2:$AQ$367,1))</f>
        <v/>
      </c>
      <c r="R1089">
        <f>IF(Q1089="","",SMALL(INDEX(Calc!$B$2:$AO$367,Q1089,0),1084-INDEX(Calc!$AQ$2:$AQ$367,Q1089)))</f>
        <v/>
      </c>
    </row>
    <row r="1090">
      <c r="B1090" s="64">
        <f>IF(R1090="","",1085)</f>
        <v/>
      </c>
      <c r="C1090" s="37">
        <f>IF(R1090="","",IF(INDEX('Recurring Schedule'!$C$6:$C$45,R1090)="","",INDEX('Recurring Schedule'!$C$6:$C$45,R1090)))</f>
        <v/>
      </c>
      <c r="D1090" s="36">
        <f>IF(R1090="","",IF(INDEX('Recurring Schedule'!$D$6:$D$45,R1090)="","",INDEX('Recurring Schedule'!$D$6:$D$45,R1090)))</f>
        <v/>
      </c>
      <c r="E1090" s="38">
        <f>IF(Q1090="","",INDEX(Calc!$A$2:$A$367,Q1090))</f>
        <v/>
      </c>
      <c r="F1090" s="68">
        <f>IF(OR(C1090="",E1090=""),"",E1090-Setup!$D$7)</f>
        <v/>
      </c>
      <c r="G1090" s="74">
        <f>IF(R1090="","",IF(INDEX('Recurring Schedule'!$H$6:$H$45,R1090)="","",INDEX('Recurring Schedule'!$H$6:$H$45,R1090)))</f>
        <v/>
      </c>
      <c r="H1090" s="74">
        <f>IF(R1090="","",IF(INDEX('Recurring Schedule'!$I$6:$I$45,R1090)="","",INDEX('Recurring Schedule'!$I$6:$I$45,R1090)))</f>
        <v/>
      </c>
      <c r="I1090" s="36">
        <f>IF(OR(G1090="",H1090=""),"",TRIM(IF(HOUR(H1090-G1090)&gt;0,HOUR(H1090-G1090)&amp;" hr ","")&amp;IF(MINUTE(H1090-G1090)&gt;0,MINUTE(H1090-G1090)&amp;" min","")))</f>
        <v/>
      </c>
      <c r="J1090" s="66" t="n"/>
      <c r="K1090" s="70" t="n"/>
      <c r="L1090" s="36">
        <f>IF(R1090="","",IF(INDEX('Recurring Schedule'!$J$6:$J$45,R1090)="","",INDEX('Recurring Schedule'!$J$6:$J$45,R1090)))</f>
        <v/>
      </c>
      <c r="M1090" s="36">
        <f>IF(R1090="","",IF(INDEX('Recurring Schedule'!$K$6:$K$45,R1090)="","",INDEX('Recurring Schedule'!$K$6:$K$45,R1090)))</f>
        <v/>
      </c>
      <c r="N1090" s="36">
        <f>IF(R1090="","",IF(INDEX('Recurring Schedule'!$L$6:$L$45,R1090)="","",INDEX('Recurring Schedule'!$L$6:$L$45,R1090)))</f>
        <v/>
      </c>
      <c r="O1090" s="36">
        <f>IF(C1090="","",IF(AND(OR(L1090="1-Urgent",L1090="2-High"),M1090="✓"),"DO FIRST",IF(M1090="✓","SCHEDULE",IF(OR(L1090="1-Urgent",L1090="2-High"),"DELEGATE","DELETE"))))</f>
        <v/>
      </c>
      <c r="P1090" s="65" t="n"/>
      <c r="Q1090">
        <f>IF(1085&gt;Calc!$AQ$368,"",MATCH(1084,Calc!$AQ$2:$AQ$367,1))</f>
        <v/>
      </c>
      <c r="R1090">
        <f>IF(Q1090="","",SMALL(INDEX(Calc!$B$2:$AO$367,Q1090,0),1085-INDEX(Calc!$AQ$2:$AQ$367,Q1090)))</f>
        <v/>
      </c>
    </row>
    <row r="1091">
      <c r="B1091" s="71">
        <f>IF(R1091="","",1086)</f>
        <v/>
      </c>
      <c r="C1091" s="75">
        <f>IF(R1091="","",IF(INDEX('Recurring Schedule'!$C$6:$C$45,R1091)="","",INDEX('Recurring Schedule'!$C$6:$C$45,R1091)))</f>
        <v/>
      </c>
      <c r="D1091" s="73">
        <f>IF(R1091="","",IF(INDEX('Recurring Schedule'!$D$6:$D$45,R1091)="","",INDEX('Recurring Schedule'!$D$6:$D$45,R1091)))</f>
        <v/>
      </c>
      <c r="E1091" s="76">
        <f>IF(Q1091="","",INDEX(Calc!$A$2:$A$367,Q1091))</f>
        <v/>
      </c>
      <c r="F1091" s="72">
        <f>IF(OR(C1091="",E1091=""),"",E1091-Setup!$D$7)</f>
        <v/>
      </c>
      <c r="G1091" s="77">
        <f>IF(R1091="","",IF(INDEX('Recurring Schedule'!$H$6:$H$45,R1091)="","",INDEX('Recurring Schedule'!$H$6:$H$45,R1091)))</f>
        <v/>
      </c>
      <c r="H1091" s="77">
        <f>IF(R1091="","",IF(INDEX('Recurring Schedule'!$I$6:$I$45,R1091)="","",INDEX('Recurring Schedule'!$I$6:$I$45,R1091)))</f>
        <v/>
      </c>
      <c r="I1091" s="73">
        <f>IF(OR(G1091="",H1091=""),"",TRIM(IF(HOUR(H1091-G1091)&gt;0,HOUR(H1091-G1091)&amp;" hr ","")&amp;IF(MINUTE(H1091-G1091)&gt;0,MINUTE(H1091-G1091)&amp;" min","")))</f>
        <v/>
      </c>
      <c r="J1091" s="66" t="n"/>
      <c r="K1091" s="70" t="n"/>
      <c r="L1091" s="73">
        <f>IF(R1091="","",IF(INDEX('Recurring Schedule'!$J$6:$J$45,R1091)="","",INDEX('Recurring Schedule'!$J$6:$J$45,R1091)))</f>
        <v/>
      </c>
      <c r="M1091" s="73">
        <f>IF(R1091="","",IF(INDEX('Recurring Schedule'!$K$6:$K$45,R1091)="","",INDEX('Recurring Schedule'!$K$6:$K$45,R1091)))</f>
        <v/>
      </c>
      <c r="N1091" s="73">
        <f>IF(R1091="","",IF(INDEX('Recurring Schedule'!$L$6:$L$45,R1091)="","",INDEX('Recurring Schedule'!$L$6:$L$45,R1091)))</f>
        <v/>
      </c>
      <c r="O1091" s="73">
        <f>IF(C1091="","",IF(AND(OR(L1091="1-Urgent",L1091="2-High"),M1091="✓"),"DO FIRST",IF(M1091="✓","SCHEDULE",IF(OR(L1091="1-Urgent",L1091="2-High"),"DELEGATE","DELETE"))))</f>
        <v/>
      </c>
      <c r="P1091" s="65" t="n"/>
      <c r="Q1091">
        <f>IF(1086&gt;Calc!$AQ$368,"",MATCH(1085,Calc!$AQ$2:$AQ$367,1))</f>
        <v/>
      </c>
      <c r="R1091">
        <f>IF(Q1091="","",SMALL(INDEX(Calc!$B$2:$AO$367,Q1091,0),1086-INDEX(Calc!$AQ$2:$AQ$367,Q1091)))</f>
        <v/>
      </c>
    </row>
    <row r="1092">
      <c r="B1092" s="64">
        <f>IF(R1092="","",1087)</f>
        <v/>
      </c>
      <c r="C1092" s="37">
        <f>IF(R1092="","",IF(INDEX('Recurring Schedule'!$C$6:$C$45,R1092)="","",INDEX('Recurring Schedule'!$C$6:$C$45,R1092)))</f>
        <v/>
      </c>
      <c r="D1092" s="36">
        <f>IF(R1092="","",IF(INDEX('Recurring Schedule'!$D$6:$D$45,R1092)="","",INDEX('Recurring Schedule'!$D$6:$D$45,R1092)))</f>
        <v/>
      </c>
      <c r="E1092" s="38">
        <f>IF(Q1092="","",INDEX(Calc!$A$2:$A$367,Q1092))</f>
        <v/>
      </c>
      <c r="F1092" s="68">
        <f>IF(OR(C1092="",E1092=""),"",E1092-Setup!$D$7)</f>
        <v/>
      </c>
      <c r="G1092" s="74">
        <f>IF(R1092="","",IF(INDEX('Recurring Schedule'!$H$6:$H$45,R1092)="","",INDEX('Recurring Schedule'!$H$6:$H$45,R1092)))</f>
        <v/>
      </c>
      <c r="H1092" s="74">
        <f>IF(R1092="","",IF(INDEX('Recurring Schedule'!$I$6:$I$45,R1092)="","",INDEX('Recurring Schedule'!$I$6:$I$45,R1092)))</f>
        <v/>
      </c>
      <c r="I1092" s="36">
        <f>IF(OR(G1092="",H1092=""),"",TRIM(IF(HOUR(H1092-G1092)&gt;0,HOUR(H1092-G1092)&amp;" hr ","")&amp;IF(MINUTE(H1092-G1092)&gt;0,MINUTE(H1092-G1092)&amp;" min","")))</f>
        <v/>
      </c>
      <c r="J1092" s="66" t="n"/>
      <c r="K1092" s="70" t="n"/>
      <c r="L1092" s="36">
        <f>IF(R1092="","",IF(INDEX('Recurring Schedule'!$J$6:$J$45,R1092)="","",INDEX('Recurring Schedule'!$J$6:$J$45,R1092)))</f>
        <v/>
      </c>
      <c r="M1092" s="36">
        <f>IF(R1092="","",IF(INDEX('Recurring Schedule'!$K$6:$K$45,R1092)="","",INDEX('Recurring Schedule'!$K$6:$K$45,R1092)))</f>
        <v/>
      </c>
      <c r="N1092" s="36">
        <f>IF(R1092="","",IF(INDEX('Recurring Schedule'!$L$6:$L$45,R1092)="","",INDEX('Recurring Schedule'!$L$6:$L$45,R1092)))</f>
        <v/>
      </c>
      <c r="O1092" s="36">
        <f>IF(C1092="","",IF(AND(OR(L1092="1-Urgent",L1092="2-High"),M1092="✓"),"DO FIRST",IF(M1092="✓","SCHEDULE",IF(OR(L1092="1-Urgent",L1092="2-High"),"DELEGATE","DELETE"))))</f>
        <v/>
      </c>
      <c r="P1092" s="65" t="n"/>
      <c r="Q1092">
        <f>IF(1087&gt;Calc!$AQ$368,"",MATCH(1086,Calc!$AQ$2:$AQ$367,1))</f>
        <v/>
      </c>
      <c r="R1092">
        <f>IF(Q1092="","",SMALL(INDEX(Calc!$B$2:$AO$367,Q1092,0),1087-INDEX(Calc!$AQ$2:$AQ$367,Q1092)))</f>
        <v/>
      </c>
    </row>
    <row r="1093">
      <c r="B1093" s="71">
        <f>IF(R1093="","",1088)</f>
        <v/>
      </c>
      <c r="C1093" s="75">
        <f>IF(R1093="","",IF(INDEX('Recurring Schedule'!$C$6:$C$45,R1093)="","",INDEX('Recurring Schedule'!$C$6:$C$45,R1093)))</f>
        <v/>
      </c>
      <c r="D1093" s="73">
        <f>IF(R1093="","",IF(INDEX('Recurring Schedule'!$D$6:$D$45,R1093)="","",INDEX('Recurring Schedule'!$D$6:$D$45,R1093)))</f>
        <v/>
      </c>
      <c r="E1093" s="76">
        <f>IF(Q1093="","",INDEX(Calc!$A$2:$A$367,Q1093))</f>
        <v/>
      </c>
      <c r="F1093" s="72">
        <f>IF(OR(C1093="",E1093=""),"",E1093-Setup!$D$7)</f>
        <v/>
      </c>
      <c r="G1093" s="77">
        <f>IF(R1093="","",IF(INDEX('Recurring Schedule'!$H$6:$H$45,R1093)="","",INDEX('Recurring Schedule'!$H$6:$H$45,R1093)))</f>
        <v/>
      </c>
      <c r="H1093" s="77">
        <f>IF(R1093="","",IF(INDEX('Recurring Schedule'!$I$6:$I$45,R1093)="","",INDEX('Recurring Schedule'!$I$6:$I$45,R1093)))</f>
        <v/>
      </c>
      <c r="I1093" s="73">
        <f>IF(OR(G1093="",H1093=""),"",TRIM(IF(HOUR(H1093-G1093)&gt;0,HOUR(H1093-G1093)&amp;" hr ","")&amp;IF(MINUTE(H1093-G1093)&gt;0,MINUTE(H1093-G1093)&amp;" min","")))</f>
        <v/>
      </c>
      <c r="J1093" s="66" t="n"/>
      <c r="K1093" s="70" t="n"/>
      <c r="L1093" s="73">
        <f>IF(R1093="","",IF(INDEX('Recurring Schedule'!$J$6:$J$45,R1093)="","",INDEX('Recurring Schedule'!$J$6:$J$45,R1093)))</f>
        <v/>
      </c>
      <c r="M1093" s="73">
        <f>IF(R1093="","",IF(INDEX('Recurring Schedule'!$K$6:$K$45,R1093)="","",INDEX('Recurring Schedule'!$K$6:$K$45,R1093)))</f>
        <v/>
      </c>
      <c r="N1093" s="73">
        <f>IF(R1093="","",IF(INDEX('Recurring Schedule'!$L$6:$L$45,R1093)="","",INDEX('Recurring Schedule'!$L$6:$L$45,R1093)))</f>
        <v/>
      </c>
      <c r="O1093" s="73">
        <f>IF(C1093="","",IF(AND(OR(L1093="1-Urgent",L1093="2-High"),M1093="✓"),"DO FIRST",IF(M1093="✓","SCHEDULE",IF(OR(L1093="1-Urgent",L1093="2-High"),"DELEGATE","DELETE"))))</f>
        <v/>
      </c>
      <c r="P1093" s="65" t="n"/>
      <c r="Q1093">
        <f>IF(1088&gt;Calc!$AQ$368,"",MATCH(1087,Calc!$AQ$2:$AQ$367,1))</f>
        <v/>
      </c>
      <c r="R1093">
        <f>IF(Q1093="","",SMALL(INDEX(Calc!$B$2:$AO$367,Q1093,0),1088-INDEX(Calc!$AQ$2:$AQ$367,Q1093)))</f>
        <v/>
      </c>
    </row>
    <row r="1094">
      <c r="B1094" s="64">
        <f>IF(R1094="","",1089)</f>
        <v/>
      </c>
      <c r="C1094" s="37">
        <f>IF(R1094="","",IF(INDEX('Recurring Schedule'!$C$6:$C$45,R1094)="","",INDEX('Recurring Schedule'!$C$6:$C$45,R1094)))</f>
        <v/>
      </c>
      <c r="D1094" s="36">
        <f>IF(R1094="","",IF(INDEX('Recurring Schedule'!$D$6:$D$45,R1094)="","",INDEX('Recurring Schedule'!$D$6:$D$45,R1094)))</f>
        <v/>
      </c>
      <c r="E1094" s="38">
        <f>IF(Q1094="","",INDEX(Calc!$A$2:$A$367,Q1094))</f>
        <v/>
      </c>
      <c r="F1094" s="68">
        <f>IF(OR(C1094="",E1094=""),"",E1094-Setup!$D$7)</f>
        <v/>
      </c>
      <c r="G1094" s="74">
        <f>IF(R1094="","",IF(INDEX('Recurring Schedule'!$H$6:$H$45,R1094)="","",INDEX('Recurring Schedule'!$H$6:$H$45,R1094)))</f>
        <v/>
      </c>
      <c r="H1094" s="74">
        <f>IF(R1094="","",IF(INDEX('Recurring Schedule'!$I$6:$I$45,R1094)="","",INDEX('Recurring Schedule'!$I$6:$I$45,R1094)))</f>
        <v/>
      </c>
      <c r="I1094" s="36">
        <f>IF(OR(G1094="",H1094=""),"",TRIM(IF(HOUR(H1094-G1094)&gt;0,HOUR(H1094-G1094)&amp;" hr ","")&amp;IF(MINUTE(H1094-G1094)&gt;0,MINUTE(H1094-G1094)&amp;" min","")))</f>
        <v/>
      </c>
      <c r="J1094" s="66" t="n"/>
      <c r="K1094" s="70" t="n"/>
      <c r="L1094" s="36">
        <f>IF(R1094="","",IF(INDEX('Recurring Schedule'!$J$6:$J$45,R1094)="","",INDEX('Recurring Schedule'!$J$6:$J$45,R1094)))</f>
        <v/>
      </c>
      <c r="M1094" s="36">
        <f>IF(R1094="","",IF(INDEX('Recurring Schedule'!$K$6:$K$45,R1094)="","",INDEX('Recurring Schedule'!$K$6:$K$45,R1094)))</f>
        <v/>
      </c>
      <c r="N1094" s="36">
        <f>IF(R1094="","",IF(INDEX('Recurring Schedule'!$L$6:$L$45,R1094)="","",INDEX('Recurring Schedule'!$L$6:$L$45,R1094)))</f>
        <v/>
      </c>
      <c r="O1094" s="36">
        <f>IF(C1094="","",IF(AND(OR(L1094="1-Urgent",L1094="2-High"),M1094="✓"),"DO FIRST",IF(M1094="✓","SCHEDULE",IF(OR(L1094="1-Urgent",L1094="2-High"),"DELEGATE","DELETE"))))</f>
        <v/>
      </c>
      <c r="P1094" s="65" t="n"/>
      <c r="Q1094">
        <f>IF(1089&gt;Calc!$AQ$368,"",MATCH(1088,Calc!$AQ$2:$AQ$367,1))</f>
        <v/>
      </c>
      <c r="R1094">
        <f>IF(Q1094="","",SMALL(INDEX(Calc!$B$2:$AO$367,Q1094,0),1089-INDEX(Calc!$AQ$2:$AQ$367,Q1094)))</f>
        <v/>
      </c>
    </row>
    <row r="1095">
      <c r="B1095" s="71">
        <f>IF(R1095="","",1090)</f>
        <v/>
      </c>
      <c r="C1095" s="75">
        <f>IF(R1095="","",IF(INDEX('Recurring Schedule'!$C$6:$C$45,R1095)="","",INDEX('Recurring Schedule'!$C$6:$C$45,R1095)))</f>
        <v/>
      </c>
      <c r="D1095" s="73">
        <f>IF(R1095="","",IF(INDEX('Recurring Schedule'!$D$6:$D$45,R1095)="","",INDEX('Recurring Schedule'!$D$6:$D$45,R1095)))</f>
        <v/>
      </c>
      <c r="E1095" s="76">
        <f>IF(Q1095="","",INDEX(Calc!$A$2:$A$367,Q1095))</f>
        <v/>
      </c>
      <c r="F1095" s="72">
        <f>IF(OR(C1095="",E1095=""),"",E1095-Setup!$D$7)</f>
        <v/>
      </c>
      <c r="G1095" s="77">
        <f>IF(R1095="","",IF(INDEX('Recurring Schedule'!$H$6:$H$45,R1095)="","",INDEX('Recurring Schedule'!$H$6:$H$45,R1095)))</f>
        <v/>
      </c>
      <c r="H1095" s="77">
        <f>IF(R1095="","",IF(INDEX('Recurring Schedule'!$I$6:$I$45,R1095)="","",INDEX('Recurring Schedule'!$I$6:$I$45,R1095)))</f>
        <v/>
      </c>
      <c r="I1095" s="73">
        <f>IF(OR(G1095="",H1095=""),"",TRIM(IF(HOUR(H1095-G1095)&gt;0,HOUR(H1095-G1095)&amp;" hr ","")&amp;IF(MINUTE(H1095-G1095)&gt;0,MINUTE(H1095-G1095)&amp;" min","")))</f>
        <v/>
      </c>
      <c r="J1095" s="66" t="n"/>
      <c r="K1095" s="70" t="n"/>
      <c r="L1095" s="73">
        <f>IF(R1095="","",IF(INDEX('Recurring Schedule'!$J$6:$J$45,R1095)="","",INDEX('Recurring Schedule'!$J$6:$J$45,R1095)))</f>
        <v/>
      </c>
      <c r="M1095" s="73">
        <f>IF(R1095="","",IF(INDEX('Recurring Schedule'!$K$6:$K$45,R1095)="","",INDEX('Recurring Schedule'!$K$6:$K$45,R1095)))</f>
        <v/>
      </c>
      <c r="N1095" s="73">
        <f>IF(R1095="","",IF(INDEX('Recurring Schedule'!$L$6:$L$45,R1095)="","",INDEX('Recurring Schedule'!$L$6:$L$45,R1095)))</f>
        <v/>
      </c>
      <c r="O1095" s="73">
        <f>IF(C1095="","",IF(AND(OR(L1095="1-Urgent",L1095="2-High"),M1095="✓"),"DO FIRST",IF(M1095="✓","SCHEDULE",IF(OR(L1095="1-Urgent",L1095="2-High"),"DELEGATE","DELETE"))))</f>
        <v/>
      </c>
      <c r="P1095" s="65" t="n"/>
      <c r="Q1095">
        <f>IF(1090&gt;Calc!$AQ$368,"",MATCH(1089,Calc!$AQ$2:$AQ$367,1))</f>
        <v/>
      </c>
      <c r="R1095">
        <f>IF(Q1095="","",SMALL(INDEX(Calc!$B$2:$AO$367,Q1095,0),1090-INDEX(Calc!$AQ$2:$AQ$367,Q1095)))</f>
        <v/>
      </c>
    </row>
    <row r="1096">
      <c r="B1096" s="64">
        <f>IF(R1096="","",1091)</f>
        <v/>
      </c>
      <c r="C1096" s="37">
        <f>IF(R1096="","",IF(INDEX('Recurring Schedule'!$C$6:$C$45,R1096)="","",INDEX('Recurring Schedule'!$C$6:$C$45,R1096)))</f>
        <v/>
      </c>
      <c r="D1096" s="36">
        <f>IF(R1096="","",IF(INDEX('Recurring Schedule'!$D$6:$D$45,R1096)="","",INDEX('Recurring Schedule'!$D$6:$D$45,R1096)))</f>
        <v/>
      </c>
      <c r="E1096" s="38">
        <f>IF(Q1096="","",INDEX(Calc!$A$2:$A$367,Q1096))</f>
        <v/>
      </c>
      <c r="F1096" s="68">
        <f>IF(OR(C1096="",E1096=""),"",E1096-Setup!$D$7)</f>
        <v/>
      </c>
      <c r="G1096" s="74">
        <f>IF(R1096="","",IF(INDEX('Recurring Schedule'!$H$6:$H$45,R1096)="","",INDEX('Recurring Schedule'!$H$6:$H$45,R1096)))</f>
        <v/>
      </c>
      <c r="H1096" s="74">
        <f>IF(R1096="","",IF(INDEX('Recurring Schedule'!$I$6:$I$45,R1096)="","",INDEX('Recurring Schedule'!$I$6:$I$45,R1096)))</f>
        <v/>
      </c>
      <c r="I1096" s="36">
        <f>IF(OR(G1096="",H1096=""),"",TRIM(IF(HOUR(H1096-G1096)&gt;0,HOUR(H1096-G1096)&amp;" hr ","")&amp;IF(MINUTE(H1096-G1096)&gt;0,MINUTE(H1096-G1096)&amp;" min","")))</f>
        <v/>
      </c>
      <c r="J1096" s="66" t="n"/>
      <c r="K1096" s="70" t="n"/>
      <c r="L1096" s="36">
        <f>IF(R1096="","",IF(INDEX('Recurring Schedule'!$J$6:$J$45,R1096)="","",INDEX('Recurring Schedule'!$J$6:$J$45,R1096)))</f>
        <v/>
      </c>
      <c r="M1096" s="36">
        <f>IF(R1096="","",IF(INDEX('Recurring Schedule'!$K$6:$K$45,R1096)="","",INDEX('Recurring Schedule'!$K$6:$K$45,R1096)))</f>
        <v/>
      </c>
      <c r="N1096" s="36">
        <f>IF(R1096="","",IF(INDEX('Recurring Schedule'!$L$6:$L$45,R1096)="","",INDEX('Recurring Schedule'!$L$6:$L$45,R1096)))</f>
        <v/>
      </c>
      <c r="O1096" s="36">
        <f>IF(C1096="","",IF(AND(OR(L1096="1-Urgent",L1096="2-High"),M1096="✓"),"DO FIRST",IF(M1096="✓","SCHEDULE",IF(OR(L1096="1-Urgent",L1096="2-High"),"DELEGATE","DELETE"))))</f>
        <v/>
      </c>
      <c r="P1096" s="65" t="n"/>
      <c r="Q1096">
        <f>IF(1091&gt;Calc!$AQ$368,"",MATCH(1090,Calc!$AQ$2:$AQ$367,1))</f>
        <v/>
      </c>
      <c r="R1096">
        <f>IF(Q1096="","",SMALL(INDEX(Calc!$B$2:$AO$367,Q1096,0),1091-INDEX(Calc!$AQ$2:$AQ$367,Q1096)))</f>
        <v/>
      </c>
    </row>
    <row r="1097">
      <c r="B1097" s="71">
        <f>IF(R1097="","",1092)</f>
        <v/>
      </c>
      <c r="C1097" s="75">
        <f>IF(R1097="","",IF(INDEX('Recurring Schedule'!$C$6:$C$45,R1097)="","",INDEX('Recurring Schedule'!$C$6:$C$45,R1097)))</f>
        <v/>
      </c>
      <c r="D1097" s="73">
        <f>IF(R1097="","",IF(INDEX('Recurring Schedule'!$D$6:$D$45,R1097)="","",INDEX('Recurring Schedule'!$D$6:$D$45,R1097)))</f>
        <v/>
      </c>
      <c r="E1097" s="76">
        <f>IF(Q1097="","",INDEX(Calc!$A$2:$A$367,Q1097))</f>
        <v/>
      </c>
      <c r="F1097" s="72">
        <f>IF(OR(C1097="",E1097=""),"",E1097-Setup!$D$7)</f>
        <v/>
      </c>
      <c r="G1097" s="77">
        <f>IF(R1097="","",IF(INDEX('Recurring Schedule'!$H$6:$H$45,R1097)="","",INDEX('Recurring Schedule'!$H$6:$H$45,R1097)))</f>
        <v/>
      </c>
      <c r="H1097" s="77">
        <f>IF(R1097="","",IF(INDEX('Recurring Schedule'!$I$6:$I$45,R1097)="","",INDEX('Recurring Schedule'!$I$6:$I$45,R1097)))</f>
        <v/>
      </c>
      <c r="I1097" s="73">
        <f>IF(OR(G1097="",H1097=""),"",TRIM(IF(HOUR(H1097-G1097)&gt;0,HOUR(H1097-G1097)&amp;" hr ","")&amp;IF(MINUTE(H1097-G1097)&gt;0,MINUTE(H1097-G1097)&amp;" min","")))</f>
        <v/>
      </c>
      <c r="J1097" s="66" t="n"/>
      <c r="K1097" s="70" t="n"/>
      <c r="L1097" s="73">
        <f>IF(R1097="","",IF(INDEX('Recurring Schedule'!$J$6:$J$45,R1097)="","",INDEX('Recurring Schedule'!$J$6:$J$45,R1097)))</f>
        <v/>
      </c>
      <c r="M1097" s="73">
        <f>IF(R1097="","",IF(INDEX('Recurring Schedule'!$K$6:$K$45,R1097)="","",INDEX('Recurring Schedule'!$K$6:$K$45,R1097)))</f>
        <v/>
      </c>
      <c r="N1097" s="73">
        <f>IF(R1097="","",IF(INDEX('Recurring Schedule'!$L$6:$L$45,R1097)="","",INDEX('Recurring Schedule'!$L$6:$L$45,R1097)))</f>
        <v/>
      </c>
      <c r="O1097" s="73">
        <f>IF(C1097="","",IF(AND(OR(L1097="1-Urgent",L1097="2-High"),M1097="✓"),"DO FIRST",IF(M1097="✓","SCHEDULE",IF(OR(L1097="1-Urgent",L1097="2-High"),"DELEGATE","DELETE"))))</f>
        <v/>
      </c>
      <c r="P1097" s="65" t="n"/>
      <c r="Q1097">
        <f>IF(1092&gt;Calc!$AQ$368,"",MATCH(1091,Calc!$AQ$2:$AQ$367,1))</f>
        <v/>
      </c>
      <c r="R1097">
        <f>IF(Q1097="","",SMALL(INDEX(Calc!$B$2:$AO$367,Q1097,0),1092-INDEX(Calc!$AQ$2:$AQ$367,Q1097)))</f>
        <v/>
      </c>
    </row>
    <row r="1098">
      <c r="B1098" s="64">
        <f>IF(R1098="","",1093)</f>
        <v/>
      </c>
      <c r="C1098" s="37">
        <f>IF(R1098="","",IF(INDEX('Recurring Schedule'!$C$6:$C$45,R1098)="","",INDEX('Recurring Schedule'!$C$6:$C$45,R1098)))</f>
        <v/>
      </c>
      <c r="D1098" s="36">
        <f>IF(R1098="","",IF(INDEX('Recurring Schedule'!$D$6:$D$45,R1098)="","",INDEX('Recurring Schedule'!$D$6:$D$45,R1098)))</f>
        <v/>
      </c>
      <c r="E1098" s="38">
        <f>IF(Q1098="","",INDEX(Calc!$A$2:$A$367,Q1098))</f>
        <v/>
      </c>
      <c r="F1098" s="68">
        <f>IF(OR(C1098="",E1098=""),"",E1098-Setup!$D$7)</f>
        <v/>
      </c>
      <c r="G1098" s="74">
        <f>IF(R1098="","",IF(INDEX('Recurring Schedule'!$H$6:$H$45,R1098)="","",INDEX('Recurring Schedule'!$H$6:$H$45,R1098)))</f>
        <v/>
      </c>
      <c r="H1098" s="74">
        <f>IF(R1098="","",IF(INDEX('Recurring Schedule'!$I$6:$I$45,R1098)="","",INDEX('Recurring Schedule'!$I$6:$I$45,R1098)))</f>
        <v/>
      </c>
      <c r="I1098" s="36">
        <f>IF(OR(G1098="",H1098=""),"",TRIM(IF(HOUR(H1098-G1098)&gt;0,HOUR(H1098-G1098)&amp;" hr ","")&amp;IF(MINUTE(H1098-G1098)&gt;0,MINUTE(H1098-G1098)&amp;" min","")))</f>
        <v/>
      </c>
      <c r="J1098" s="66" t="n"/>
      <c r="K1098" s="70" t="n"/>
      <c r="L1098" s="36">
        <f>IF(R1098="","",IF(INDEX('Recurring Schedule'!$J$6:$J$45,R1098)="","",INDEX('Recurring Schedule'!$J$6:$J$45,R1098)))</f>
        <v/>
      </c>
      <c r="M1098" s="36">
        <f>IF(R1098="","",IF(INDEX('Recurring Schedule'!$K$6:$K$45,R1098)="","",INDEX('Recurring Schedule'!$K$6:$K$45,R1098)))</f>
        <v/>
      </c>
      <c r="N1098" s="36">
        <f>IF(R1098="","",IF(INDEX('Recurring Schedule'!$L$6:$L$45,R1098)="","",INDEX('Recurring Schedule'!$L$6:$L$45,R1098)))</f>
        <v/>
      </c>
      <c r="O1098" s="36">
        <f>IF(C1098="","",IF(AND(OR(L1098="1-Urgent",L1098="2-High"),M1098="✓"),"DO FIRST",IF(M1098="✓","SCHEDULE",IF(OR(L1098="1-Urgent",L1098="2-High"),"DELEGATE","DELETE"))))</f>
        <v/>
      </c>
      <c r="P1098" s="65" t="n"/>
      <c r="Q1098">
        <f>IF(1093&gt;Calc!$AQ$368,"",MATCH(1092,Calc!$AQ$2:$AQ$367,1))</f>
        <v/>
      </c>
      <c r="R1098">
        <f>IF(Q1098="","",SMALL(INDEX(Calc!$B$2:$AO$367,Q1098,0),1093-INDEX(Calc!$AQ$2:$AQ$367,Q1098)))</f>
        <v/>
      </c>
    </row>
    <row r="1099">
      <c r="B1099" s="71">
        <f>IF(R1099="","",1094)</f>
        <v/>
      </c>
      <c r="C1099" s="75">
        <f>IF(R1099="","",IF(INDEX('Recurring Schedule'!$C$6:$C$45,R1099)="","",INDEX('Recurring Schedule'!$C$6:$C$45,R1099)))</f>
        <v/>
      </c>
      <c r="D1099" s="73">
        <f>IF(R1099="","",IF(INDEX('Recurring Schedule'!$D$6:$D$45,R1099)="","",INDEX('Recurring Schedule'!$D$6:$D$45,R1099)))</f>
        <v/>
      </c>
      <c r="E1099" s="76">
        <f>IF(Q1099="","",INDEX(Calc!$A$2:$A$367,Q1099))</f>
        <v/>
      </c>
      <c r="F1099" s="72">
        <f>IF(OR(C1099="",E1099=""),"",E1099-Setup!$D$7)</f>
        <v/>
      </c>
      <c r="G1099" s="77">
        <f>IF(R1099="","",IF(INDEX('Recurring Schedule'!$H$6:$H$45,R1099)="","",INDEX('Recurring Schedule'!$H$6:$H$45,R1099)))</f>
        <v/>
      </c>
      <c r="H1099" s="77">
        <f>IF(R1099="","",IF(INDEX('Recurring Schedule'!$I$6:$I$45,R1099)="","",INDEX('Recurring Schedule'!$I$6:$I$45,R1099)))</f>
        <v/>
      </c>
      <c r="I1099" s="73">
        <f>IF(OR(G1099="",H1099=""),"",TRIM(IF(HOUR(H1099-G1099)&gt;0,HOUR(H1099-G1099)&amp;" hr ","")&amp;IF(MINUTE(H1099-G1099)&gt;0,MINUTE(H1099-G1099)&amp;" min","")))</f>
        <v/>
      </c>
      <c r="J1099" s="66" t="n"/>
      <c r="K1099" s="70" t="n"/>
      <c r="L1099" s="73">
        <f>IF(R1099="","",IF(INDEX('Recurring Schedule'!$J$6:$J$45,R1099)="","",INDEX('Recurring Schedule'!$J$6:$J$45,R1099)))</f>
        <v/>
      </c>
      <c r="M1099" s="73">
        <f>IF(R1099="","",IF(INDEX('Recurring Schedule'!$K$6:$K$45,R1099)="","",INDEX('Recurring Schedule'!$K$6:$K$45,R1099)))</f>
        <v/>
      </c>
      <c r="N1099" s="73">
        <f>IF(R1099="","",IF(INDEX('Recurring Schedule'!$L$6:$L$45,R1099)="","",INDEX('Recurring Schedule'!$L$6:$L$45,R1099)))</f>
        <v/>
      </c>
      <c r="O1099" s="73">
        <f>IF(C1099="","",IF(AND(OR(L1099="1-Urgent",L1099="2-High"),M1099="✓"),"DO FIRST",IF(M1099="✓","SCHEDULE",IF(OR(L1099="1-Urgent",L1099="2-High"),"DELEGATE","DELETE"))))</f>
        <v/>
      </c>
      <c r="P1099" s="65" t="n"/>
      <c r="Q1099">
        <f>IF(1094&gt;Calc!$AQ$368,"",MATCH(1093,Calc!$AQ$2:$AQ$367,1))</f>
        <v/>
      </c>
      <c r="R1099">
        <f>IF(Q1099="","",SMALL(INDEX(Calc!$B$2:$AO$367,Q1099,0),1094-INDEX(Calc!$AQ$2:$AQ$367,Q1099)))</f>
        <v/>
      </c>
    </row>
    <row r="1100">
      <c r="B1100" s="64">
        <f>IF(R1100="","",1095)</f>
        <v/>
      </c>
      <c r="C1100" s="37">
        <f>IF(R1100="","",IF(INDEX('Recurring Schedule'!$C$6:$C$45,R1100)="","",INDEX('Recurring Schedule'!$C$6:$C$45,R1100)))</f>
        <v/>
      </c>
      <c r="D1100" s="36">
        <f>IF(R1100="","",IF(INDEX('Recurring Schedule'!$D$6:$D$45,R1100)="","",INDEX('Recurring Schedule'!$D$6:$D$45,R1100)))</f>
        <v/>
      </c>
      <c r="E1100" s="38">
        <f>IF(Q1100="","",INDEX(Calc!$A$2:$A$367,Q1100))</f>
        <v/>
      </c>
      <c r="F1100" s="68">
        <f>IF(OR(C1100="",E1100=""),"",E1100-Setup!$D$7)</f>
        <v/>
      </c>
      <c r="G1100" s="74">
        <f>IF(R1100="","",IF(INDEX('Recurring Schedule'!$H$6:$H$45,R1100)="","",INDEX('Recurring Schedule'!$H$6:$H$45,R1100)))</f>
        <v/>
      </c>
      <c r="H1100" s="74">
        <f>IF(R1100="","",IF(INDEX('Recurring Schedule'!$I$6:$I$45,R1100)="","",INDEX('Recurring Schedule'!$I$6:$I$45,R1100)))</f>
        <v/>
      </c>
      <c r="I1100" s="36">
        <f>IF(OR(G1100="",H1100=""),"",TRIM(IF(HOUR(H1100-G1100)&gt;0,HOUR(H1100-G1100)&amp;" hr ","")&amp;IF(MINUTE(H1100-G1100)&gt;0,MINUTE(H1100-G1100)&amp;" min","")))</f>
        <v/>
      </c>
      <c r="J1100" s="66" t="n"/>
      <c r="K1100" s="70" t="n"/>
      <c r="L1100" s="36">
        <f>IF(R1100="","",IF(INDEX('Recurring Schedule'!$J$6:$J$45,R1100)="","",INDEX('Recurring Schedule'!$J$6:$J$45,R1100)))</f>
        <v/>
      </c>
      <c r="M1100" s="36">
        <f>IF(R1100="","",IF(INDEX('Recurring Schedule'!$K$6:$K$45,R1100)="","",INDEX('Recurring Schedule'!$K$6:$K$45,R1100)))</f>
        <v/>
      </c>
      <c r="N1100" s="36">
        <f>IF(R1100="","",IF(INDEX('Recurring Schedule'!$L$6:$L$45,R1100)="","",INDEX('Recurring Schedule'!$L$6:$L$45,R1100)))</f>
        <v/>
      </c>
      <c r="O1100" s="36">
        <f>IF(C1100="","",IF(AND(OR(L1100="1-Urgent",L1100="2-High"),M1100="✓"),"DO FIRST",IF(M1100="✓","SCHEDULE",IF(OR(L1100="1-Urgent",L1100="2-High"),"DELEGATE","DELETE"))))</f>
        <v/>
      </c>
      <c r="P1100" s="65" t="n"/>
      <c r="Q1100">
        <f>IF(1095&gt;Calc!$AQ$368,"",MATCH(1094,Calc!$AQ$2:$AQ$367,1))</f>
        <v/>
      </c>
      <c r="R1100">
        <f>IF(Q1100="","",SMALL(INDEX(Calc!$B$2:$AO$367,Q1100,0),1095-INDEX(Calc!$AQ$2:$AQ$367,Q1100)))</f>
        <v/>
      </c>
    </row>
    <row r="1101">
      <c r="B1101" s="71">
        <f>IF(R1101="","",1096)</f>
        <v/>
      </c>
      <c r="C1101" s="75">
        <f>IF(R1101="","",IF(INDEX('Recurring Schedule'!$C$6:$C$45,R1101)="","",INDEX('Recurring Schedule'!$C$6:$C$45,R1101)))</f>
        <v/>
      </c>
      <c r="D1101" s="73">
        <f>IF(R1101="","",IF(INDEX('Recurring Schedule'!$D$6:$D$45,R1101)="","",INDEX('Recurring Schedule'!$D$6:$D$45,R1101)))</f>
        <v/>
      </c>
      <c r="E1101" s="76">
        <f>IF(Q1101="","",INDEX(Calc!$A$2:$A$367,Q1101))</f>
        <v/>
      </c>
      <c r="F1101" s="72">
        <f>IF(OR(C1101="",E1101=""),"",E1101-Setup!$D$7)</f>
        <v/>
      </c>
      <c r="G1101" s="77">
        <f>IF(R1101="","",IF(INDEX('Recurring Schedule'!$H$6:$H$45,R1101)="","",INDEX('Recurring Schedule'!$H$6:$H$45,R1101)))</f>
        <v/>
      </c>
      <c r="H1101" s="77">
        <f>IF(R1101="","",IF(INDEX('Recurring Schedule'!$I$6:$I$45,R1101)="","",INDEX('Recurring Schedule'!$I$6:$I$45,R1101)))</f>
        <v/>
      </c>
      <c r="I1101" s="73">
        <f>IF(OR(G1101="",H1101=""),"",TRIM(IF(HOUR(H1101-G1101)&gt;0,HOUR(H1101-G1101)&amp;" hr ","")&amp;IF(MINUTE(H1101-G1101)&gt;0,MINUTE(H1101-G1101)&amp;" min","")))</f>
        <v/>
      </c>
      <c r="J1101" s="66" t="n"/>
      <c r="K1101" s="70" t="n"/>
      <c r="L1101" s="73">
        <f>IF(R1101="","",IF(INDEX('Recurring Schedule'!$J$6:$J$45,R1101)="","",INDEX('Recurring Schedule'!$J$6:$J$45,R1101)))</f>
        <v/>
      </c>
      <c r="M1101" s="73">
        <f>IF(R1101="","",IF(INDEX('Recurring Schedule'!$K$6:$K$45,R1101)="","",INDEX('Recurring Schedule'!$K$6:$K$45,R1101)))</f>
        <v/>
      </c>
      <c r="N1101" s="73">
        <f>IF(R1101="","",IF(INDEX('Recurring Schedule'!$L$6:$L$45,R1101)="","",INDEX('Recurring Schedule'!$L$6:$L$45,R1101)))</f>
        <v/>
      </c>
      <c r="O1101" s="73">
        <f>IF(C1101="","",IF(AND(OR(L1101="1-Urgent",L1101="2-High"),M1101="✓"),"DO FIRST",IF(M1101="✓","SCHEDULE",IF(OR(L1101="1-Urgent",L1101="2-High"),"DELEGATE","DELETE"))))</f>
        <v/>
      </c>
      <c r="P1101" s="65" t="n"/>
      <c r="Q1101">
        <f>IF(1096&gt;Calc!$AQ$368,"",MATCH(1095,Calc!$AQ$2:$AQ$367,1))</f>
        <v/>
      </c>
      <c r="R1101">
        <f>IF(Q1101="","",SMALL(INDEX(Calc!$B$2:$AO$367,Q1101,0),1096-INDEX(Calc!$AQ$2:$AQ$367,Q1101)))</f>
        <v/>
      </c>
    </row>
    <row r="1102">
      <c r="B1102" s="64">
        <f>IF(R1102="","",1097)</f>
        <v/>
      </c>
      <c r="C1102" s="37">
        <f>IF(R1102="","",IF(INDEX('Recurring Schedule'!$C$6:$C$45,R1102)="","",INDEX('Recurring Schedule'!$C$6:$C$45,R1102)))</f>
        <v/>
      </c>
      <c r="D1102" s="36">
        <f>IF(R1102="","",IF(INDEX('Recurring Schedule'!$D$6:$D$45,R1102)="","",INDEX('Recurring Schedule'!$D$6:$D$45,R1102)))</f>
        <v/>
      </c>
      <c r="E1102" s="38">
        <f>IF(Q1102="","",INDEX(Calc!$A$2:$A$367,Q1102))</f>
        <v/>
      </c>
      <c r="F1102" s="68">
        <f>IF(OR(C1102="",E1102=""),"",E1102-Setup!$D$7)</f>
        <v/>
      </c>
      <c r="G1102" s="74">
        <f>IF(R1102="","",IF(INDEX('Recurring Schedule'!$H$6:$H$45,R1102)="","",INDEX('Recurring Schedule'!$H$6:$H$45,R1102)))</f>
        <v/>
      </c>
      <c r="H1102" s="74">
        <f>IF(R1102="","",IF(INDEX('Recurring Schedule'!$I$6:$I$45,R1102)="","",INDEX('Recurring Schedule'!$I$6:$I$45,R1102)))</f>
        <v/>
      </c>
      <c r="I1102" s="36">
        <f>IF(OR(G1102="",H1102=""),"",TRIM(IF(HOUR(H1102-G1102)&gt;0,HOUR(H1102-G1102)&amp;" hr ","")&amp;IF(MINUTE(H1102-G1102)&gt;0,MINUTE(H1102-G1102)&amp;" min","")))</f>
        <v/>
      </c>
      <c r="J1102" s="66" t="n"/>
      <c r="K1102" s="70" t="n"/>
      <c r="L1102" s="36">
        <f>IF(R1102="","",IF(INDEX('Recurring Schedule'!$J$6:$J$45,R1102)="","",INDEX('Recurring Schedule'!$J$6:$J$45,R1102)))</f>
        <v/>
      </c>
      <c r="M1102" s="36">
        <f>IF(R1102="","",IF(INDEX('Recurring Schedule'!$K$6:$K$45,R1102)="","",INDEX('Recurring Schedule'!$K$6:$K$45,R1102)))</f>
        <v/>
      </c>
      <c r="N1102" s="36">
        <f>IF(R1102="","",IF(INDEX('Recurring Schedule'!$L$6:$L$45,R1102)="","",INDEX('Recurring Schedule'!$L$6:$L$45,R1102)))</f>
        <v/>
      </c>
      <c r="O1102" s="36">
        <f>IF(C1102="","",IF(AND(OR(L1102="1-Urgent",L1102="2-High"),M1102="✓"),"DO FIRST",IF(M1102="✓","SCHEDULE",IF(OR(L1102="1-Urgent",L1102="2-High"),"DELEGATE","DELETE"))))</f>
        <v/>
      </c>
      <c r="P1102" s="65" t="n"/>
      <c r="Q1102">
        <f>IF(1097&gt;Calc!$AQ$368,"",MATCH(1096,Calc!$AQ$2:$AQ$367,1))</f>
        <v/>
      </c>
      <c r="R1102">
        <f>IF(Q1102="","",SMALL(INDEX(Calc!$B$2:$AO$367,Q1102,0),1097-INDEX(Calc!$AQ$2:$AQ$367,Q1102)))</f>
        <v/>
      </c>
    </row>
    <row r="1103">
      <c r="B1103" s="71">
        <f>IF(R1103="","",1098)</f>
        <v/>
      </c>
      <c r="C1103" s="75">
        <f>IF(R1103="","",IF(INDEX('Recurring Schedule'!$C$6:$C$45,R1103)="","",INDEX('Recurring Schedule'!$C$6:$C$45,R1103)))</f>
        <v/>
      </c>
      <c r="D1103" s="73">
        <f>IF(R1103="","",IF(INDEX('Recurring Schedule'!$D$6:$D$45,R1103)="","",INDEX('Recurring Schedule'!$D$6:$D$45,R1103)))</f>
        <v/>
      </c>
      <c r="E1103" s="76">
        <f>IF(Q1103="","",INDEX(Calc!$A$2:$A$367,Q1103))</f>
        <v/>
      </c>
      <c r="F1103" s="72">
        <f>IF(OR(C1103="",E1103=""),"",E1103-Setup!$D$7)</f>
        <v/>
      </c>
      <c r="G1103" s="77">
        <f>IF(R1103="","",IF(INDEX('Recurring Schedule'!$H$6:$H$45,R1103)="","",INDEX('Recurring Schedule'!$H$6:$H$45,R1103)))</f>
        <v/>
      </c>
      <c r="H1103" s="77">
        <f>IF(R1103="","",IF(INDEX('Recurring Schedule'!$I$6:$I$45,R1103)="","",INDEX('Recurring Schedule'!$I$6:$I$45,R1103)))</f>
        <v/>
      </c>
      <c r="I1103" s="73">
        <f>IF(OR(G1103="",H1103=""),"",TRIM(IF(HOUR(H1103-G1103)&gt;0,HOUR(H1103-G1103)&amp;" hr ","")&amp;IF(MINUTE(H1103-G1103)&gt;0,MINUTE(H1103-G1103)&amp;" min","")))</f>
        <v/>
      </c>
      <c r="J1103" s="66" t="n"/>
      <c r="K1103" s="70" t="n"/>
      <c r="L1103" s="73">
        <f>IF(R1103="","",IF(INDEX('Recurring Schedule'!$J$6:$J$45,R1103)="","",INDEX('Recurring Schedule'!$J$6:$J$45,R1103)))</f>
        <v/>
      </c>
      <c r="M1103" s="73">
        <f>IF(R1103="","",IF(INDEX('Recurring Schedule'!$K$6:$K$45,R1103)="","",INDEX('Recurring Schedule'!$K$6:$K$45,R1103)))</f>
        <v/>
      </c>
      <c r="N1103" s="73">
        <f>IF(R1103="","",IF(INDEX('Recurring Schedule'!$L$6:$L$45,R1103)="","",INDEX('Recurring Schedule'!$L$6:$L$45,R1103)))</f>
        <v/>
      </c>
      <c r="O1103" s="73">
        <f>IF(C1103="","",IF(AND(OR(L1103="1-Urgent",L1103="2-High"),M1103="✓"),"DO FIRST",IF(M1103="✓","SCHEDULE",IF(OR(L1103="1-Urgent",L1103="2-High"),"DELEGATE","DELETE"))))</f>
        <v/>
      </c>
      <c r="P1103" s="65" t="n"/>
      <c r="Q1103">
        <f>IF(1098&gt;Calc!$AQ$368,"",MATCH(1097,Calc!$AQ$2:$AQ$367,1))</f>
        <v/>
      </c>
      <c r="R1103">
        <f>IF(Q1103="","",SMALL(INDEX(Calc!$B$2:$AO$367,Q1103,0),1098-INDEX(Calc!$AQ$2:$AQ$367,Q1103)))</f>
        <v/>
      </c>
    </row>
    <row r="1104">
      <c r="B1104" s="64">
        <f>IF(R1104="","",1099)</f>
        <v/>
      </c>
      <c r="C1104" s="37">
        <f>IF(R1104="","",IF(INDEX('Recurring Schedule'!$C$6:$C$45,R1104)="","",INDEX('Recurring Schedule'!$C$6:$C$45,R1104)))</f>
        <v/>
      </c>
      <c r="D1104" s="36">
        <f>IF(R1104="","",IF(INDEX('Recurring Schedule'!$D$6:$D$45,R1104)="","",INDEX('Recurring Schedule'!$D$6:$D$45,R1104)))</f>
        <v/>
      </c>
      <c r="E1104" s="38">
        <f>IF(Q1104="","",INDEX(Calc!$A$2:$A$367,Q1104))</f>
        <v/>
      </c>
      <c r="F1104" s="68">
        <f>IF(OR(C1104="",E1104=""),"",E1104-Setup!$D$7)</f>
        <v/>
      </c>
      <c r="G1104" s="74">
        <f>IF(R1104="","",IF(INDEX('Recurring Schedule'!$H$6:$H$45,R1104)="","",INDEX('Recurring Schedule'!$H$6:$H$45,R1104)))</f>
        <v/>
      </c>
      <c r="H1104" s="74">
        <f>IF(R1104="","",IF(INDEX('Recurring Schedule'!$I$6:$I$45,R1104)="","",INDEX('Recurring Schedule'!$I$6:$I$45,R1104)))</f>
        <v/>
      </c>
      <c r="I1104" s="36">
        <f>IF(OR(G1104="",H1104=""),"",TRIM(IF(HOUR(H1104-G1104)&gt;0,HOUR(H1104-G1104)&amp;" hr ","")&amp;IF(MINUTE(H1104-G1104)&gt;0,MINUTE(H1104-G1104)&amp;" min","")))</f>
        <v/>
      </c>
      <c r="J1104" s="66" t="n"/>
      <c r="K1104" s="70" t="n"/>
      <c r="L1104" s="36">
        <f>IF(R1104="","",IF(INDEX('Recurring Schedule'!$J$6:$J$45,R1104)="","",INDEX('Recurring Schedule'!$J$6:$J$45,R1104)))</f>
        <v/>
      </c>
      <c r="M1104" s="36">
        <f>IF(R1104="","",IF(INDEX('Recurring Schedule'!$K$6:$K$45,R1104)="","",INDEX('Recurring Schedule'!$K$6:$K$45,R1104)))</f>
        <v/>
      </c>
      <c r="N1104" s="36">
        <f>IF(R1104="","",IF(INDEX('Recurring Schedule'!$L$6:$L$45,R1104)="","",INDEX('Recurring Schedule'!$L$6:$L$45,R1104)))</f>
        <v/>
      </c>
      <c r="O1104" s="36">
        <f>IF(C1104="","",IF(AND(OR(L1104="1-Urgent",L1104="2-High"),M1104="✓"),"DO FIRST",IF(M1104="✓","SCHEDULE",IF(OR(L1104="1-Urgent",L1104="2-High"),"DELEGATE","DELETE"))))</f>
        <v/>
      </c>
      <c r="P1104" s="65" t="n"/>
      <c r="Q1104">
        <f>IF(1099&gt;Calc!$AQ$368,"",MATCH(1098,Calc!$AQ$2:$AQ$367,1))</f>
        <v/>
      </c>
      <c r="R1104">
        <f>IF(Q1104="","",SMALL(INDEX(Calc!$B$2:$AO$367,Q1104,0),1099-INDEX(Calc!$AQ$2:$AQ$367,Q1104)))</f>
        <v/>
      </c>
    </row>
    <row r="1105">
      <c r="B1105" s="71">
        <f>IF(R1105="","",1100)</f>
        <v/>
      </c>
      <c r="C1105" s="75">
        <f>IF(R1105="","",IF(INDEX('Recurring Schedule'!$C$6:$C$45,R1105)="","",INDEX('Recurring Schedule'!$C$6:$C$45,R1105)))</f>
        <v/>
      </c>
      <c r="D1105" s="73">
        <f>IF(R1105="","",IF(INDEX('Recurring Schedule'!$D$6:$D$45,R1105)="","",INDEX('Recurring Schedule'!$D$6:$D$45,R1105)))</f>
        <v/>
      </c>
      <c r="E1105" s="76">
        <f>IF(Q1105="","",INDEX(Calc!$A$2:$A$367,Q1105))</f>
        <v/>
      </c>
      <c r="F1105" s="72">
        <f>IF(OR(C1105="",E1105=""),"",E1105-Setup!$D$7)</f>
        <v/>
      </c>
      <c r="G1105" s="77">
        <f>IF(R1105="","",IF(INDEX('Recurring Schedule'!$H$6:$H$45,R1105)="","",INDEX('Recurring Schedule'!$H$6:$H$45,R1105)))</f>
        <v/>
      </c>
      <c r="H1105" s="77">
        <f>IF(R1105="","",IF(INDEX('Recurring Schedule'!$I$6:$I$45,R1105)="","",INDEX('Recurring Schedule'!$I$6:$I$45,R1105)))</f>
        <v/>
      </c>
      <c r="I1105" s="73">
        <f>IF(OR(G1105="",H1105=""),"",TRIM(IF(HOUR(H1105-G1105)&gt;0,HOUR(H1105-G1105)&amp;" hr ","")&amp;IF(MINUTE(H1105-G1105)&gt;0,MINUTE(H1105-G1105)&amp;" min","")))</f>
        <v/>
      </c>
      <c r="J1105" s="66" t="n"/>
      <c r="K1105" s="70" t="n"/>
      <c r="L1105" s="73">
        <f>IF(R1105="","",IF(INDEX('Recurring Schedule'!$J$6:$J$45,R1105)="","",INDEX('Recurring Schedule'!$J$6:$J$45,R1105)))</f>
        <v/>
      </c>
      <c r="M1105" s="73">
        <f>IF(R1105="","",IF(INDEX('Recurring Schedule'!$K$6:$K$45,R1105)="","",INDEX('Recurring Schedule'!$K$6:$K$45,R1105)))</f>
        <v/>
      </c>
      <c r="N1105" s="73">
        <f>IF(R1105="","",IF(INDEX('Recurring Schedule'!$L$6:$L$45,R1105)="","",INDEX('Recurring Schedule'!$L$6:$L$45,R1105)))</f>
        <v/>
      </c>
      <c r="O1105" s="73">
        <f>IF(C1105="","",IF(AND(OR(L1105="1-Urgent",L1105="2-High"),M1105="✓"),"DO FIRST",IF(M1105="✓","SCHEDULE",IF(OR(L1105="1-Urgent",L1105="2-High"),"DELEGATE","DELETE"))))</f>
        <v/>
      </c>
      <c r="P1105" s="65" t="n"/>
      <c r="Q1105">
        <f>IF(1100&gt;Calc!$AQ$368,"",MATCH(1099,Calc!$AQ$2:$AQ$367,1))</f>
        <v/>
      </c>
      <c r="R1105">
        <f>IF(Q1105="","",SMALL(INDEX(Calc!$B$2:$AO$367,Q1105,0),1100-INDEX(Calc!$AQ$2:$AQ$367,Q1105)))</f>
        <v/>
      </c>
    </row>
    <row r="1106">
      <c r="B1106" s="64">
        <f>IF(R1106="","",1101)</f>
        <v/>
      </c>
      <c r="C1106" s="37">
        <f>IF(R1106="","",IF(INDEX('Recurring Schedule'!$C$6:$C$45,R1106)="","",INDEX('Recurring Schedule'!$C$6:$C$45,R1106)))</f>
        <v/>
      </c>
      <c r="D1106" s="36">
        <f>IF(R1106="","",IF(INDEX('Recurring Schedule'!$D$6:$D$45,R1106)="","",INDEX('Recurring Schedule'!$D$6:$D$45,R1106)))</f>
        <v/>
      </c>
      <c r="E1106" s="38">
        <f>IF(Q1106="","",INDEX(Calc!$A$2:$A$367,Q1106))</f>
        <v/>
      </c>
      <c r="F1106" s="68">
        <f>IF(OR(C1106="",E1106=""),"",E1106-Setup!$D$7)</f>
        <v/>
      </c>
      <c r="G1106" s="74">
        <f>IF(R1106="","",IF(INDEX('Recurring Schedule'!$H$6:$H$45,R1106)="","",INDEX('Recurring Schedule'!$H$6:$H$45,R1106)))</f>
        <v/>
      </c>
      <c r="H1106" s="74">
        <f>IF(R1106="","",IF(INDEX('Recurring Schedule'!$I$6:$I$45,R1106)="","",INDEX('Recurring Schedule'!$I$6:$I$45,R1106)))</f>
        <v/>
      </c>
      <c r="I1106" s="36">
        <f>IF(OR(G1106="",H1106=""),"",TRIM(IF(HOUR(H1106-G1106)&gt;0,HOUR(H1106-G1106)&amp;" hr ","")&amp;IF(MINUTE(H1106-G1106)&gt;0,MINUTE(H1106-G1106)&amp;" min","")))</f>
        <v/>
      </c>
      <c r="J1106" s="66" t="n"/>
      <c r="K1106" s="70" t="n"/>
      <c r="L1106" s="36">
        <f>IF(R1106="","",IF(INDEX('Recurring Schedule'!$J$6:$J$45,R1106)="","",INDEX('Recurring Schedule'!$J$6:$J$45,R1106)))</f>
        <v/>
      </c>
      <c r="M1106" s="36">
        <f>IF(R1106="","",IF(INDEX('Recurring Schedule'!$K$6:$K$45,R1106)="","",INDEX('Recurring Schedule'!$K$6:$K$45,R1106)))</f>
        <v/>
      </c>
      <c r="N1106" s="36">
        <f>IF(R1106="","",IF(INDEX('Recurring Schedule'!$L$6:$L$45,R1106)="","",INDEX('Recurring Schedule'!$L$6:$L$45,R1106)))</f>
        <v/>
      </c>
      <c r="O1106" s="36">
        <f>IF(C1106="","",IF(AND(OR(L1106="1-Urgent",L1106="2-High"),M1106="✓"),"DO FIRST",IF(M1106="✓","SCHEDULE",IF(OR(L1106="1-Urgent",L1106="2-High"),"DELEGATE","DELETE"))))</f>
        <v/>
      </c>
      <c r="P1106" s="65" t="n"/>
      <c r="Q1106">
        <f>IF(1101&gt;Calc!$AQ$368,"",MATCH(1100,Calc!$AQ$2:$AQ$367,1))</f>
        <v/>
      </c>
      <c r="R1106">
        <f>IF(Q1106="","",SMALL(INDEX(Calc!$B$2:$AO$367,Q1106,0),1101-INDEX(Calc!$AQ$2:$AQ$367,Q1106)))</f>
        <v/>
      </c>
    </row>
    <row r="1107">
      <c r="B1107" s="71">
        <f>IF(R1107="","",1102)</f>
        <v/>
      </c>
      <c r="C1107" s="75">
        <f>IF(R1107="","",IF(INDEX('Recurring Schedule'!$C$6:$C$45,R1107)="","",INDEX('Recurring Schedule'!$C$6:$C$45,R1107)))</f>
        <v/>
      </c>
      <c r="D1107" s="73">
        <f>IF(R1107="","",IF(INDEX('Recurring Schedule'!$D$6:$D$45,R1107)="","",INDEX('Recurring Schedule'!$D$6:$D$45,R1107)))</f>
        <v/>
      </c>
      <c r="E1107" s="76">
        <f>IF(Q1107="","",INDEX(Calc!$A$2:$A$367,Q1107))</f>
        <v/>
      </c>
      <c r="F1107" s="72">
        <f>IF(OR(C1107="",E1107=""),"",E1107-Setup!$D$7)</f>
        <v/>
      </c>
      <c r="G1107" s="77">
        <f>IF(R1107="","",IF(INDEX('Recurring Schedule'!$H$6:$H$45,R1107)="","",INDEX('Recurring Schedule'!$H$6:$H$45,R1107)))</f>
        <v/>
      </c>
      <c r="H1107" s="77">
        <f>IF(R1107="","",IF(INDEX('Recurring Schedule'!$I$6:$I$45,R1107)="","",INDEX('Recurring Schedule'!$I$6:$I$45,R1107)))</f>
        <v/>
      </c>
      <c r="I1107" s="73">
        <f>IF(OR(G1107="",H1107=""),"",TRIM(IF(HOUR(H1107-G1107)&gt;0,HOUR(H1107-G1107)&amp;" hr ","")&amp;IF(MINUTE(H1107-G1107)&gt;0,MINUTE(H1107-G1107)&amp;" min","")))</f>
        <v/>
      </c>
      <c r="J1107" s="66" t="n"/>
      <c r="K1107" s="70" t="n"/>
      <c r="L1107" s="73">
        <f>IF(R1107="","",IF(INDEX('Recurring Schedule'!$J$6:$J$45,R1107)="","",INDEX('Recurring Schedule'!$J$6:$J$45,R1107)))</f>
        <v/>
      </c>
      <c r="M1107" s="73">
        <f>IF(R1107="","",IF(INDEX('Recurring Schedule'!$K$6:$K$45,R1107)="","",INDEX('Recurring Schedule'!$K$6:$K$45,R1107)))</f>
        <v/>
      </c>
      <c r="N1107" s="73">
        <f>IF(R1107="","",IF(INDEX('Recurring Schedule'!$L$6:$L$45,R1107)="","",INDEX('Recurring Schedule'!$L$6:$L$45,R1107)))</f>
        <v/>
      </c>
      <c r="O1107" s="73">
        <f>IF(C1107="","",IF(AND(OR(L1107="1-Urgent",L1107="2-High"),M1107="✓"),"DO FIRST",IF(M1107="✓","SCHEDULE",IF(OR(L1107="1-Urgent",L1107="2-High"),"DELEGATE","DELETE"))))</f>
        <v/>
      </c>
      <c r="P1107" s="65" t="n"/>
      <c r="Q1107">
        <f>IF(1102&gt;Calc!$AQ$368,"",MATCH(1101,Calc!$AQ$2:$AQ$367,1))</f>
        <v/>
      </c>
      <c r="R1107">
        <f>IF(Q1107="","",SMALL(INDEX(Calc!$B$2:$AO$367,Q1107,0),1102-INDEX(Calc!$AQ$2:$AQ$367,Q1107)))</f>
        <v/>
      </c>
    </row>
    <row r="1108">
      <c r="B1108" s="64">
        <f>IF(R1108="","",1103)</f>
        <v/>
      </c>
      <c r="C1108" s="37">
        <f>IF(R1108="","",IF(INDEX('Recurring Schedule'!$C$6:$C$45,R1108)="","",INDEX('Recurring Schedule'!$C$6:$C$45,R1108)))</f>
        <v/>
      </c>
      <c r="D1108" s="36">
        <f>IF(R1108="","",IF(INDEX('Recurring Schedule'!$D$6:$D$45,R1108)="","",INDEX('Recurring Schedule'!$D$6:$D$45,R1108)))</f>
        <v/>
      </c>
      <c r="E1108" s="38">
        <f>IF(Q1108="","",INDEX(Calc!$A$2:$A$367,Q1108))</f>
        <v/>
      </c>
      <c r="F1108" s="68">
        <f>IF(OR(C1108="",E1108=""),"",E1108-Setup!$D$7)</f>
        <v/>
      </c>
      <c r="G1108" s="74">
        <f>IF(R1108="","",IF(INDEX('Recurring Schedule'!$H$6:$H$45,R1108)="","",INDEX('Recurring Schedule'!$H$6:$H$45,R1108)))</f>
        <v/>
      </c>
      <c r="H1108" s="74">
        <f>IF(R1108="","",IF(INDEX('Recurring Schedule'!$I$6:$I$45,R1108)="","",INDEX('Recurring Schedule'!$I$6:$I$45,R1108)))</f>
        <v/>
      </c>
      <c r="I1108" s="36">
        <f>IF(OR(G1108="",H1108=""),"",TRIM(IF(HOUR(H1108-G1108)&gt;0,HOUR(H1108-G1108)&amp;" hr ","")&amp;IF(MINUTE(H1108-G1108)&gt;0,MINUTE(H1108-G1108)&amp;" min","")))</f>
        <v/>
      </c>
      <c r="J1108" s="66" t="n"/>
      <c r="K1108" s="70" t="n"/>
      <c r="L1108" s="36">
        <f>IF(R1108="","",IF(INDEX('Recurring Schedule'!$J$6:$J$45,R1108)="","",INDEX('Recurring Schedule'!$J$6:$J$45,R1108)))</f>
        <v/>
      </c>
      <c r="M1108" s="36">
        <f>IF(R1108="","",IF(INDEX('Recurring Schedule'!$K$6:$K$45,R1108)="","",INDEX('Recurring Schedule'!$K$6:$K$45,R1108)))</f>
        <v/>
      </c>
      <c r="N1108" s="36">
        <f>IF(R1108="","",IF(INDEX('Recurring Schedule'!$L$6:$L$45,R1108)="","",INDEX('Recurring Schedule'!$L$6:$L$45,R1108)))</f>
        <v/>
      </c>
      <c r="O1108" s="36">
        <f>IF(C1108="","",IF(AND(OR(L1108="1-Urgent",L1108="2-High"),M1108="✓"),"DO FIRST",IF(M1108="✓","SCHEDULE",IF(OR(L1108="1-Urgent",L1108="2-High"),"DELEGATE","DELETE"))))</f>
        <v/>
      </c>
      <c r="P1108" s="65" t="n"/>
      <c r="Q1108">
        <f>IF(1103&gt;Calc!$AQ$368,"",MATCH(1102,Calc!$AQ$2:$AQ$367,1))</f>
        <v/>
      </c>
      <c r="R1108">
        <f>IF(Q1108="","",SMALL(INDEX(Calc!$B$2:$AO$367,Q1108,0),1103-INDEX(Calc!$AQ$2:$AQ$367,Q1108)))</f>
        <v/>
      </c>
    </row>
    <row r="1109">
      <c r="B1109" s="71">
        <f>IF(R1109="","",1104)</f>
        <v/>
      </c>
      <c r="C1109" s="75">
        <f>IF(R1109="","",IF(INDEX('Recurring Schedule'!$C$6:$C$45,R1109)="","",INDEX('Recurring Schedule'!$C$6:$C$45,R1109)))</f>
        <v/>
      </c>
      <c r="D1109" s="73">
        <f>IF(R1109="","",IF(INDEX('Recurring Schedule'!$D$6:$D$45,R1109)="","",INDEX('Recurring Schedule'!$D$6:$D$45,R1109)))</f>
        <v/>
      </c>
      <c r="E1109" s="76">
        <f>IF(Q1109="","",INDEX(Calc!$A$2:$A$367,Q1109))</f>
        <v/>
      </c>
      <c r="F1109" s="72">
        <f>IF(OR(C1109="",E1109=""),"",E1109-Setup!$D$7)</f>
        <v/>
      </c>
      <c r="G1109" s="77">
        <f>IF(R1109="","",IF(INDEX('Recurring Schedule'!$H$6:$H$45,R1109)="","",INDEX('Recurring Schedule'!$H$6:$H$45,R1109)))</f>
        <v/>
      </c>
      <c r="H1109" s="77">
        <f>IF(R1109="","",IF(INDEX('Recurring Schedule'!$I$6:$I$45,R1109)="","",INDEX('Recurring Schedule'!$I$6:$I$45,R1109)))</f>
        <v/>
      </c>
      <c r="I1109" s="73">
        <f>IF(OR(G1109="",H1109=""),"",TRIM(IF(HOUR(H1109-G1109)&gt;0,HOUR(H1109-G1109)&amp;" hr ","")&amp;IF(MINUTE(H1109-G1109)&gt;0,MINUTE(H1109-G1109)&amp;" min","")))</f>
        <v/>
      </c>
      <c r="J1109" s="66" t="n"/>
      <c r="K1109" s="70" t="n"/>
      <c r="L1109" s="73">
        <f>IF(R1109="","",IF(INDEX('Recurring Schedule'!$J$6:$J$45,R1109)="","",INDEX('Recurring Schedule'!$J$6:$J$45,R1109)))</f>
        <v/>
      </c>
      <c r="M1109" s="73">
        <f>IF(R1109="","",IF(INDEX('Recurring Schedule'!$K$6:$K$45,R1109)="","",INDEX('Recurring Schedule'!$K$6:$K$45,R1109)))</f>
        <v/>
      </c>
      <c r="N1109" s="73">
        <f>IF(R1109="","",IF(INDEX('Recurring Schedule'!$L$6:$L$45,R1109)="","",INDEX('Recurring Schedule'!$L$6:$L$45,R1109)))</f>
        <v/>
      </c>
      <c r="O1109" s="73">
        <f>IF(C1109="","",IF(AND(OR(L1109="1-Urgent",L1109="2-High"),M1109="✓"),"DO FIRST",IF(M1109="✓","SCHEDULE",IF(OR(L1109="1-Urgent",L1109="2-High"),"DELEGATE","DELETE"))))</f>
        <v/>
      </c>
      <c r="P1109" s="65" t="n"/>
      <c r="Q1109">
        <f>IF(1104&gt;Calc!$AQ$368,"",MATCH(1103,Calc!$AQ$2:$AQ$367,1))</f>
        <v/>
      </c>
      <c r="R1109">
        <f>IF(Q1109="","",SMALL(INDEX(Calc!$B$2:$AO$367,Q1109,0),1104-INDEX(Calc!$AQ$2:$AQ$367,Q1109)))</f>
        <v/>
      </c>
    </row>
    <row r="1110">
      <c r="B1110" s="64">
        <f>IF(R1110="","",1105)</f>
        <v/>
      </c>
      <c r="C1110" s="37">
        <f>IF(R1110="","",IF(INDEX('Recurring Schedule'!$C$6:$C$45,R1110)="","",INDEX('Recurring Schedule'!$C$6:$C$45,R1110)))</f>
        <v/>
      </c>
      <c r="D1110" s="36">
        <f>IF(R1110="","",IF(INDEX('Recurring Schedule'!$D$6:$D$45,R1110)="","",INDEX('Recurring Schedule'!$D$6:$D$45,R1110)))</f>
        <v/>
      </c>
      <c r="E1110" s="38">
        <f>IF(Q1110="","",INDEX(Calc!$A$2:$A$367,Q1110))</f>
        <v/>
      </c>
      <c r="F1110" s="68">
        <f>IF(OR(C1110="",E1110=""),"",E1110-Setup!$D$7)</f>
        <v/>
      </c>
      <c r="G1110" s="74">
        <f>IF(R1110="","",IF(INDEX('Recurring Schedule'!$H$6:$H$45,R1110)="","",INDEX('Recurring Schedule'!$H$6:$H$45,R1110)))</f>
        <v/>
      </c>
      <c r="H1110" s="74">
        <f>IF(R1110="","",IF(INDEX('Recurring Schedule'!$I$6:$I$45,R1110)="","",INDEX('Recurring Schedule'!$I$6:$I$45,R1110)))</f>
        <v/>
      </c>
      <c r="I1110" s="36">
        <f>IF(OR(G1110="",H1110=""),"",TRIM(IF(HOUR(H1110-G1110)&gt;0,HOUR(H1110-G1110)&amp;" hr ","")&amp;IF(MINUTE(H1110-G1110)&gt;0,MINUTE(H1110-G1110)&amp;" min","")))</f>
        <v/>
      </c>
      <c r="J1110" s="66" t="n"/>
      <c r="K1110" s="70" t="n"/>
      <c r="L1110" s="36">
        <f>IF(R1110="","",IF(INDEX('Recurring Schedule'!$J$6:$J$45,R1110)="","",INDEX('Recurring Schedule'!$J$6:$J$45,R1110)))</f>
        <v/>
      </c>
      <c r="M1110" s="36">
        <f>IF(R1110="","",IF(INDEX('Recurring Schedule'!$K$6:$K$45,R1110)="","",INDEX('Recurring Schedule'!$K$6:$K$45,R1110)))</f>
        <v/>
      </c>
      <c r="N1110" s="36">
        <f>IF(R1110="","",IF(INDEX('Recurring Schedule'!$L$6:$L$45,R1110)="","",INDEX('Recurring Schedule'!$L$6:$L$45,R1110)))</f>
        <v/>
      </c>
      <c r="O1110" s="36">
        <f>IF(C1110="","",IF(AND(OR(L1110="1-Urgent",L1110="2-High"),M1110="✓"),"DO FIRST",IF(M1110="✓","SCHEDULE",IF(OR(L1110="1-Urgent",L1110="2-High"),"DELEGATE","DELETE"))))</f>
        <v/>
      </c>
      <c r="P1110" s="65" t="n"/>
      <c r="Q1110">
        <f>IF(1105&gt;Calc!$AQ$368,"",MATCH(1104,Calc!$AQ$2:$AQ$367,1))</f>
        <v/>
      </c>
      <c r="R1110">
        <f>IF(Q1110="","",SMALL(INDEX(Calc!$B$2:$AO$367,Q1110,0),1105-INDEX(Calc!$AQ$2:$AQ$367,Q1110)))</f>
        <v/>
      </c>
    </row>
    <row r="1111">
      <c r="B1111" s="71">
        <f>IF(R1111="","",1106)</f>
        <v/>
      </c>
      <c r="C1111" s="75">
        <f>IF(R1111="","",IF(INDEX('Recurring Schedule'!$C$6:$C$45,R1111)="","",INDEX('Recurring Schedule'!$C$6:$C$45,R1111)))</f>
        <v/>
      </c>
      <c r="D1111" s="73">
        <f>IF(R1111="","",IF(INDEX('Recurring Schedule'!$D$6:$D$45,R1111)="","",INDEX('Recurring Schedule'!$D$6:$D$45,R1111)))</f>
        <v/>
      </c>
      <c r="E1111" s="76">
        <f>IF(Q1111="","",INDEX(Calc!$A$2:$A$367,Q1111))</f>
        <v/>
      </c>
      <c r="F1111" s="72">
        <f>IF(OR(C1111="",E1111=""),"",E1111-Setup!$D$7)</f>
        <v/>
      </c>
      <c r="G1111" s="77">
        <f>IF(R1111="","",IF(INDEX('Recurring Schedule'!$H$6:$H$45,R1111)="","",INDEX('Recurring Schedule'!$H$6:$H$45,R1111)))</f>
        <v/>
      </c>
      <c r="H1111" s="77">
        <f>IF(R1111="","",IF(INDEX('Recurring Schedule'!$I$6:$I$45,R1111)="","",INDEX('Recurring Schedule'!$I$6:$I$45,R1111)))</f>
        <v/>
      </c>
      <c r="I1111" s="73">
        <f>IF(OR(G1111="",H1111=""),"",TRIM(IF(HOUR(H1111-G1111)&gt;0,HOUR(H1111-G1111)&amp;" hr ","")&amp;IF(MINUTE(H1111-G1111)&gt;0,MINUTE(H1111-G1111)&amp;" min","")))</f>
        <v/>
      </c>
      <c r="J1111" s="66" t="n"/>
      <c r="K1111" s="70" t="n"/>
      <c r="L1111" s="73">
        <f>IF(R1111="","",IF(INDEX('Recurring Schedule'!$J$6:$J$45,R1111)="","",INDEX('Recurring Schedule'!$J$6:$J$45,R1111)))</f>
        <v/>
      </c>
      <c r="M1111" s="73">
        <f>IF(R1111="","",IF(INDEX('Recurring Schedule'!$K$6:$K$45,R1111)="","",INDEX('Recurring Schedule'!$K$6:$K$45,R1111)))</f>
        <v/>
      </c>
      <c r="N1111" s="73">
        <f>IF(R1111="","",IF(INDEX('Recurring Schedule'!$L$6:$L$45,R1111)="","",INDEX('Recurring Schedule'!$L$6:$L$45,R1111)))</f>
        <v/>
      </c>
      <c r="O1111" s="73">
        <f>IF(C1111="","",IF(AND(OR(L1111="1-Urgent",L1111="2-High"),M1111="✓"),"DO FIRST",IF(M1111="✓","SCHEDULE",IF(OR(L1111="1-Urgent",L1111="2-High"),"DELEGATE","DELETE"))))</f>
        <v/>
      </c>
      <c r="P1111" s="65" t="n"/>
      <c r="Q1111">
        <f>IF(1106&gt;Calc!$AQ$368,"",MATCH(1105,Calc!$AQ$2:$AQ$367,1))</f>
        <v/>
      </c>
      <c r="R1111">
        <f>IF(Q1111="","",SMALL(INDEX(Calc!$B$2:$AO$367,Q1111,0),1106-INDEX(Calc!$AQ$2:$AQ$367,Q1111)))</f>
        <v/>
      </c>
    </row>
    <row r="1112">
      <c r="B1112" s="64">
        <f>IF(R1112="","",1107)</f>
        <v/>
      </c>
      <c r="C1112" s="37">
        <f>IF(R1112="","",IF(INDEX('Recurring Schedule'!$C$6:$C$45,R1112)="","",INDEX('Recurring Schedule'!$C$6:$C$45,R1112)))</f>
        <v/>
      </c>
      <c r="D1112" s="36">
        <f>IF(R1112="","",IF(INDEX('Recurring Schedule'!$D$6:$D$45,R1112)="","",INDEX('Recurring Schedule'!$D$6:$D$45,R1112)))</f>
        <v/>
      </c>
      <c r="E1112" s="38">
        <f>IF(Q1112="","",INDEX(Calc!$A$2:$A$367,Q1112))</f>
        <v/>
      </c>
      <c r="F1112" s="68">
        <f>IF(OR(C1112="",E1112=""),"",E1112-Setup!$D$7)</f>
        <v/>
      </c>
      <c r="G1112" s="74">
        <f>IF(R1112="","",IF(INDEX('Recurring Schedule'!$H$6:$H$45,R1112)="","",INDEX('Recurring Schedule'!$H$6:$H$45,R1112)))</f>
        <v/>
      </c>
      <c r="H1112" s="74">
        <f>IF(R1112="","",IF(INDEX('Recurring Schedule'!$I$6:$I$45,R1112)="","",INDEX('Recurring Schedule'!$I$6:$I$45,R1112)))</f>
        <v/>
      </c>
      <c r="I1112" s="36">
        <f>IF(OR(G1112="",H1112=""),"",TRIM(IF(HOUR(H1112-G1112)&gt;0,HOUR(H1112-G1112)&amp;" hr ","")&amp;IF(MINUTE(H1112-G1112)&gt;0,MINUTE(H1112-G1112)&amp;" min","")))</f>
        <v/>
      </c>
      <c r="J1112" s="66" t="n"/>
      <c r="K1112" s="70" t="n"/>
      <c r="L1112" s="36">
        <f>IF(R1112="","",IF(INDEX('Recurring Schedule'!$J$6:$J$45,R1112)="","",INDEX('Recurring Schedule'!$J$6:$J$45,R1112)))</f>
        <v/>
      </c>
      <c r="M1112" s="36">
        <f>IF(R1112="","",IF(INDEX('Recurring Schedule'!$K$6:$K$45,R1112)="","",INDEX('Recurring Schedule'!$K$6:$K$45,R1112)))</f>
        <v/>
      </c>
      <c r="N1112" s="36">
        <f>IF(R1112="","",IF(INDEX('Recurring Schedule'!$L$6:$L$45,R1112)="","",INDEX('Recurring Schedule'!$L$6:$L$45,R1112)))</f>
        <v/>
      </c>
      <c r="O1112" s="36">
        <f>IF(C1112="","",IF(AND(OR(L1112="1-Urgent",L1112="2-High"),M1112="✓"),"DO FIRST",IF(M1112="✓","SCHEDULE",IF(OR(L1112="1-Urgent",L1112="2-High"),"DELEGATE","DELETE"))))</f>
        <v/>
      </c>
      <c r="P1112" s="65" t="n"/>
      <c r="Q1112">
        <f>IF(1107&gt;Calc!$AQ$368,"",MATCH(1106,Calc!$AQ$2:$AQ$367,1))</f>
        <v/>
      </c>
      <c r="R1112">
        <f>IF(Q1112="","",SMALL(INDEX(Calc!$B$2:$AO$367,Q1112,0),1107-INDEX(Calc!$AQ$2:$AQ$367,Q1112)))</f>
        <v/>
      </c>
    </row>
    <row r="1113">
      <c r="B1113" s="71">
        <f>IF(R1113="","",1108)</f>
        <v/>
      </c>
      <c r="C1113" s="75">
        <f>IF(R1113="","",IF(INDEX('Recurring Schedule'!$C$6:$C$45,R1113)="","",INDEX('Recurring Schedule'!$C$6:$C$45,R1113)))</f>
        <v/>
      </c>
      <c r="D1113" s="73">
        <f>IF(R1113="","",IF(INDEX('Recurring Schedule'!$D$6:$D$45,R1113)="","",INDEX('Recurring Schedule'!$D$6:$D$45,R1113)))</f>
        <v/>
      </c>
      <c r="E1113" s="76">
        <f>IF(Q1113="","",INDEX(Calc!$A$2:$A$367,Q1113))</f>
        <v/>
      </c>
      <c r="F1113" s="72">
        <f>IF(OR(C1113="",E1113=""),"",E1113-Setup!$D$7)</f>
        <v/>
      </c>
      <c r="G1113" s="77">
        <f>IF(R1113="","",IF(INDEX('Recurring Schedule'!$H$6:$H$45,R1113)="","",INDEX('Recurring Schedule'!$H$6:$H$45,R1113)))</f>
        <v/>
      </c>
      <c r="H1113" s="77">
        <f>IF(R1113="","",IF(INDEX('Recurring Schedule'!$I$6:$I$45,R1113)="","",INDEX('Recurring Schedule'!$I$6:$I$45,R1113)))</f>
        <v/>
      </c>
      <c r="I1113" s="73">
        <f>IF(OR(G1113="",H1113=""),"",TRIM(IF(HOUR(H1113-G1113)&gt;0,HOUR(H1113-G1113)&amp;" hr ","")&amp;IF(MINUTE(H1113-G1113)&gt;0,MINUTE(H1113-G1113)&amp;" min","")))</f>
        <v/>
      </c>
      <c r="J1113" s="66" t="n"/>
      <c r="K1113" s="70" t="n"/>
      <c r="L1113" s="73">
        <f>IF(R1113="","",IF(INDEX('Recurring Schedule'!$J$6:$J$45,R1113)="","",INDEX('Recurring Schedule'!$J$6:$J$45,R1113)))</f>
        <v/>
      </c>
      <c r="M1113" s="73">
        <f>IF(R1113="","",IF(INDEX('Recurring Schedule'!$K$6:$K$45,R1113)="","",INDEX('Recurring Schedule'!$K$6:$K$45,R1113)))</f>
        <v/>
      </c>
      <c r="N1113" s="73">
        <f>IF(R1113="","",IF(INDEX('Recurring Schedule'!$L$6:$L$45,R1113)="","",INDEX('Recurring Schedule'!$L$6:$L$45,R1113)))</f>
        <v/>
      </c>
      <c r="O1113" s="73">
        <f>IF(C1113="","",IF(AND(OR(L1113="1-Urgent",L1113="2-High"),M1113="✓"),"DO FIRST",IF(M1113="✓","SCHEDULE",IF(OR(L1113="1-Urgent",L1113="2-High"),"DELEGATE","DELETE"))))</f>
        <v/>
      </c>
      <c r="P1113" s="65" t="n"/>
      <c r="Q1113">
        <f>IF(1108&gt;Calc!$AQ$368,"",MATCH(1107,Calc!$AQ$2:$AQ$367,1))</f>
        <v/>
      </c>
      <c r="R1113">
        <f>IF(Q1113="","",SMALL(INDEX(Calc!$B$2:$AO$367,Q1113,0),1108-INDEX(Calc!$AQ$2:$AQ$367,Q1113)))</f>
        <v/>
      </c>
    </row>
    <row r="1114">
      <c r="B1114" s="64">
        <f>IF(R1114="","",1109)</f>
        <v/>
      </c>
      <c r="C1114" s="37">
        <f>IF(R1114="","",IF(INDEX('Recurring Schedule'!$C$6:$C$45,R1114)="","",INDEX('Recurring Schedule'!$C$6:$C$45,R1114)))</f>
        <v/>
      </c>
      <c r="D1114" s="36">
        <f>IF(R1114="","",IF(INDEX('Recurring Schedule'!$D$6:$D$45,R1114)="","",INDEX('Recurring Schedule'!$D$6:$D$45,R1114)))</f>
        <v/>
      </c>
      <c r="E1114" s="38">
        <f>IF(Q1114="","",INDEX(Calc!$A$2:$A$367,Q1114))</f>
        <v/>
      </c>
      <c r="F1114" s="68">
        <f>IF(OR(C1114="",E1114=""),"",E1114-Setup!$D$7)</f>
        <v/>
      </c>
      <c r="G1114" s="74">
        <f>IF(R1114="","",IF(INDEX('Recurring Schedule'!$H$6:$H$45,R1114)="","",INDEX('Recurring Schedule'!$H$6:$H$45,R1114)))</f>
        <v/>
      </c>
      <c r="H1114" s="74">
        <f>IF(R1114="","",IF(INDEX('Recurring Schedule'!$I$6:$I$45,R1114)="","",INDEX('Recurring Schedule'!$I$6:$I$45,R1114)))</f>
        <v/>
      </c>
      <c r="I1114" s="36">
        <f>IF(OR(G1114="",H1114=""),"",TRIM(IF(HOUR(H1114-G1114)&gt;0,HOUR(H1114-G1114)&amp;" hr ","")&amp;IF(MINUTE(H1114-G1114)&gt;0,MINUTE(H1114-G1114)&amp;" min","")))</f>
        <v/>
      </c>
      <c r="J1114" s="66" t="n"/>
      <c r="K1114" s="70" t="n"/>
      <c r="L1114" s="36">
        <f>IF(R1114="","",IF(INDEX('Recurring Schedule'!$J$6:$J$45,R1114)="","",INDEX('Recurring Schedule'!$J$6:$J$45,R1114)))</f>
        <v/>
      </c>
      <c r="M1114" s="36">
        <f>IF(R1114="","",IF(INDEX('Recurring Schedule'!$K$6:$K$45,R1114)="","",INDEX('Recurring Schedule'!$K$6:$K$45,R1114)))</f>
        <v/>
      </c>
      <c r="N1114" s="36">
        <f>IF(R1114="","",IF(INDEX('Recurring Schedule'!$L$6:$L$45,R1114)="","",INDEX('Recurring Schedule'!$L$6:$L$45,R1114)))</f>
        <v/>
      </c>
      <c r="O1114" s="36">
        <f>IF(C1114="","",IF(AND(OR(L1114="1-Urgent",L1114="2-High"),M1114="✓"),"DO FIRST",IF(M1114="✓","SCHEDULE",IF(OR(L1114="1-Urgent",L1114="2-High"),"DELEGATE","DELETE"))))</f>
        <v/>
      </c>
      <c r="P1114" s="65" t="n"/>
      <c r="Q1114">
        <f>IF(1109&gt;Calc!$AQ$368,"",MATCH(1108,Calc!$AQ$2:$AQ$367,1))</f>
        <v/>
      </c>
      <c r="R1114">
        <f>IF(Q1114="","",SMALL(INDEX(Calc!$B$2:$AO$367,Q1114,0),1109-INDEX(Calc!$AQ$2:$AQ$367,Q1114)))</f>
        <v/>
      </c>
    </row>
    <row r="1115">
      <c r="B1115" s="71">
        <f>IF(R1115="","",1110)</f>
        <v/>
      </c>
      <c r="C1115" s="75">
        <f>IF(R1115="","",IF(INDEX('Recurring Schedule'!$C$6:$C$45,R1115)="","",INDEX('Recurring Schedule'!$C$6:$C$45,R1115)))</f>
        <v/>
      </c>
      <c r="D1115" s="73">
        <f>IF(R1115="","",IF(INDEX('Recurring Schedule'!$D$6:$D$45,R1115)="","",INDEX('Recurring Schedule'!$D$6:$D$45,R1115)))</f>
        <v/>
      </c>
      <c r="E1115" s="76">
        <f>IF(Q1115="","",INDEX(Calc!$A$2:$A$367,Q1115))</f>
        <v/>
      </c>
      <c r="F1115" s="72">
        <f>IF(OR(C1115="",E1115=""),"",E1115-Setup!$D$7)</f>
        <v/>
      </c>
      <c r="G1115" s="77">
        <f>IF(R1115="","",IF(INDEX('Recurring Schedule'!$H$6:$H$45,R1115)="","",INDEX('Recurring Schedule'!$H$6:$H$45,R1115)))</f>
        <v/>
      </c>
      <c r="H1115" s="77">
        <f>IF(R1115="","",IF(INDEX('Recurring Schedule'!$I$6:$I$45,R1115)="","",INDEX('Recurring Schedule'!$I$6:$I$45,R1115)))</f>
        <v/>
      </c>
      <c r="I1115" s="73">
        <f>IF(OR(G1115="",H1115=""),"",TRIM(IF(HOUR(H1115-G1115)&gt;0,HOUR(H1115-G1115)&amp;" hr ","")&amp;IF(MINUTE(H1115-G1115)&gt;0,MINUTE(H1115-G1115)&amp;" min","")))</f>
        <v/>
      </c>
      <c r="J1115" s="66" t="n"/>
      <c r="K1115" s="70" t="n"/>
      <c r="L1115" s="73">
        <f>IF(R1115="","",IF(INDEX('Recurring Schedule'!$J$6:$J$45,R1115)="","",INDEX('Recurring Schedule'!$J$6:$J$45,R1115)))</f>
        <v/>
      </c>
      <c r="M1115" s="73">
        <f>IF(R1115="","",IF(INDEX('Recurring Schedule'!$K$6:$K$45,R1115)="","",INDEX('Recurring Schedule'!$K$6:$K$45,R1115)))</f>
        <v/>
      </c>
      <c r="N1115" s="73">
        <f>IF(R1115="","",IF(INDEX('Recurring Schedule'!$L$6:$L$45,R1115)="","",INDEX('Recurring Schedule'!$L$6:$L$45,R1115)))</f>
        <v/>
      </c>
      <c r="O1115" s="73">
        <f>IF(C1115="","",IF(AND(OR(L1115="1-Urgent",L1115="2-High"),M1115="✓"),"DO FIRST",IF(M1115="✓","SCHEDULE",IF(OR(L1115="1-Urgent",L1115="2-High"),"DELEGATE","DELETE"))))</f>
        <v/>
      </c>
      <c r="P1115" s="65" t="n"/>
      <c r="Q1115">
        <f>IF(1110&gt;Calc!$AQ$368,"",MATCH(1109,Calc!$AQ$2:$AQ$367,1))</f>
        <v/>
      </c>
      <c r="R1115">
        <f>IF(Q1115="","",SMALL(INDEX(Calc!$B$2:$AO$367,Q1115,0),1110-INDEX(Calc!$AQ$2:$AQ$367,Q1115)))</f>
        <v/>
      </c>
    </row>
    <row r="1116">
      <c r="B1116" s="64">
        <f>IF(R1116="","",1111)</f>
        <v/>
      </c>
      <c r="C1116" s="37">
        <f>IF(R1116="","",IF(INDEX('Recurring Schedule'!$C$6:$C$45,R1116)="","",INDEX('Recurring Schedule'!$C$6:$C$45,R1116)))</f>
        <v/>
      </c>
      <c r="D1116" s="36">
        <f>IF(R1116="","",IF(INDEX('Recurring Schedule'!$D$6:$D$45,R1116)="","",INDEX('Recurring Schedule'!$D$6:$D$45,R1116)))</f>
        <v/>
      </c>
      <c r="E1116" s="38">
        <f>IF(Q1116="","",INDEX(Calc!$A$2:$A$367,Q1116))</f>
        <v/>
      </c>
      <c r="F1116" s="68">
        <f>IF(OR(C1116="",E1116=""),"",E1116-Setup!$D$7)</f>
        <v/>
      </c>
      <c r="G1116" s="74">
        <f>IF(R1116="","",IF(INDEX('Recurring Schedule'!$H$6:$H$45,R1116)="","",INDEX('Recurring Schedule'!$H$6:$H$45,R1116)))</f>
        <v/>
      </c>
      <c r="H1116" s="74">
        <f>IF(R1116="","",IF(INDEX('Recurring Schedule'!$I$6:$I$45,R1116)="","",INDEX('Recurring Schedule'!$I$6:$I$45,R1116)))</f>
        <v/>
      </c>
      <c r="I1116" s="36">
        <f>IF(OR(G1116="",H1116=""),"",TRIM(IF(HOUR(H1116-G1116)&gt;0,HOUR(H1116-G1116)&amp;" hr ","")&amp;IF(MINUTE(H1116-G1116)&gt;0,MINUTE(H1116-G1116)&amp;" min","")))</f>
        <v/>
      </c>
      <c r="J1116" s="66" t="n"/>
      <c r="K1116" s="70" t="n"/>
      <c r="L1116" s="36">
        <f>IF(R1116="","",IF(INDEX('Recurring Schedule'!$J$6:$J$45,R1116)="","",INDEX('Recurring Schedule'!$J$6:$J$45,R1116)))</f>
        <v/>
      </c>
      <c r="M1116" s="36">
        <f>IF(R1116="","",IF(INDEX('Recurring Schedule'!$K$6:$K$45,R1116)="","",INDEX('Recurring Schedule'!$K$6:$K$45,R1116)))</f>
        <v/>
      </c>
      <c r="N1116" s="36">
        <f>IF(R1116="","",IF(INDEX('Recurring Schedule'!$L$6:$L$45,R1116)="","",INDEX('Recurring Schedule'!$L$6:$L$45,R1116)))</f>
        <v/>
      </c>
      <c r="O1116" s="36">
        <f>IF(C1116="","",IF(AND(OR(L1116="1-Urgent",L1116="2-High"),M1116="✓"),"DO FIRST",IF(M1116="✓","SCHEDULE",IF(OR(L1116="1-Urgent",L1116="2-High"),"DELEGATE","DELETE"))))</f>
        <v/>
      </c>
      <c r="P1116" s="65" t="n"/>
      <c r="Q1116">
        <f>IF(1111&gt;Calc!$AQ$368,"",MATCH(1110,Calc!$AQ$2:$AQ$367,1))</f>
        <v/>
      </c>
      <c r="R1116">
        <f>IF(Q1116="","",SMALL(INDEX(Calc!$B$2:$AO$367,Q1116,0),1111-INDEX(Calc!$AQ$2:$AQ$367,Q1116)))</f>
        <v/>
      </c>
    </row>
    <row r="1117">
      <c r="B1117" s="71">
        <f>IF(R1117="","",1112)</f>
        <v/>
      </c>
      <c r="C1117" s="75">
        <f>IF(R1117="","",IF(INDEX('Recurring Schedule'!$C$6:$C$45,R1117)="","",INDEX('Recurring Schedule'!$C$6:$C$45,R1117)))</f>
        <v/>
      </c>
      <c r="D1117" s="73">
        <f>IF(R1117="","",IF(INDEX('Recurring Schedule'!$D$6:$D$45,R1117)="","",INDEX('Recurring Schedule'!$D$6:$D$45,R1117)))</f>
        <v/>
      </c>
      <c r="E1117" s="76">
        <f>IF(Q1117="","",INDEX(Calc!$A$2:$A$367,Q1117))</f>
        <v/>
      </c>
      <c r="F1117" s="72">
        <f>IF(OR(C1117="",E1117=""),"",E1117-Setup!$D$7)</f>
        <v/>
      </c>
      <c r="G1117" s="77">
        <f>IF(R1117="","",IF(INDEX('Recurring Schedule'!$H$6:$H$45,R1117)="","",INDEX('Recurring Schedule'!$H$6:$H$45,R1117)))</f>
        <v/>
      </c>
      <c r="H1117" s="77">
        <f>IF(R1117="","",IF(INDEX('Recurring Schedule'!$I$6:$I$45,R1117)="","",INDEX('Recurring Schedule'!$I$6:$I$45,R1117)))</f>
        <v/>
      </c>
      <c r="I1117" s="73">
        <f>IF(OR(G1117="",H1117=""),"",TRIM(IF(HOUR(H1117-G1117)&gt;0,HOUR(H1117-G1117)&amp;" hr ","")&amp;IF(MINUTE(H1117-G1117)&gt;0,MINUTE(H1117-G1117)&amp;" min","")))</f>
        <v/>
      </c>
      <c r="J1117" s="66" t="n"/>
      <c r="K1117" s="70" t="n"/>
      <c r="L1117" s="73">
        <f>IF(R1117="","",IF(INDEX('Recurring Schedule'!$J$6:$J$45,R1117)="","",INDEX('Recurring Schedule'!$J$6:$J$45,R1117)))</f>
        <v/>
      </c>
      <c r="M1117" s="73">
        <f>IF(R1117="","",IF(INDEX('Recurring Schedule'!$K$6:$K$45,R1117)="","",INDEX('Recurring Schedule'!$K$6:$K$45,R1117)))</f>
        <v/>
      </c>
      <c r="N1117" s="73">
        <f>IF(R1117="","",IF(INDEX('Recurring Schedule'!$L$6:$L$45,R1117)="","",INDEX('Recurring Schedule'!$L$6:$L$45,R1117)))</f>
        <v/>
      </c>
      <c r="O1117" s="73">
        <f>IF(C1117="","",IF(AND(OR(L1117="1-Urgent",L1117="2-High"),M1117="✓"),"DO FIRST",IF(M1117="✓","SCHEDULE",IF(OR(L1117="1-Urgent",L1117="2-High"),"DELEGATE","DELETE"))))</f>
        <v/>
      </c>
      <c r="P1117" s="65" t="n"/>
      <c r="Q1117">
        <f>IF(1112&gt;Calc!$AQ$368,"",MATCH(1111,Calc!$AQ$2:$AQ$367,1))</f>
        <v/>
      </c>
      <c r="R1117">
        <f>IF(Q1117="","",SMALL(INDEX(Calc!$B$2:$AO$367,Q1117,0),1112-INDEX(Calc!$AQ$2:$AQ$367,Q1117)))</f>
        <v/>
      </c>
    </row>
    <row r="1118">
      <c r="B1118" s="64">
        <f>IF(R1118="","",1113)</f>
        <v/>
      </c>
      <c r="C1118" s="37">
        <f>IF(R1118="","",IF(INDEX('Recurring Schedule'!$C$6:$C$45,R1118)="","",INDEX('Recurring Schedule'!$C$6:$C$45,R1118)))</f>
        <v/>
      </c>
      <c r="D1118" s="36">
        <f>IF(R1118="","",IF(INDEX('Recurring Schedule'!$D$6:$D$45,R1118)="","",INDEX('Recurring Schedule'!$D$6:$D$45,R1118)))</f>
        <v/>
      </c>
      <c r="E1118" s="38">
        <f>IF(Q1118="","",INDEX(Calc!$A$2:$A$367,Q1118))</f>
        <v/>
      </c>
      <c r="F1118" s="68">
        <f>IF(OR(C1118="",E1118=""),"",E1118-Setup!$D$7)</f>
        <v/>
      </c>
      <c r="G1118" s="74">
        <f>IF(R1118="","",IF(INDEX('Recurring Schedule'!$H$6:$H$45,R1118)="","",INDEX('Recurring Schedule'!$H$6:$H$45,R1118)))</f>
        <v/>
      </c>
      <c r="H1118" s="74">
        <f>IF(R1118="","",IF(INDEX('Recurring Schedule'!$I$6:$I$45,R1118)="","",INDEX('Recurring Schedule'!$I$6:$I$45,R1118)))</f>
        <v/>
      </c>
      <c r="I1118" s="36">
        <f>IF(OR(G1118="",H1118=""),"",TRIM(IF(HOUR(H1118-G1118)&gt;0,HOUR(H1118-G1118)&amp;" hr ","")&amp;IF(MINUTE(H1118-G1118)&gt;0,MINUTE(H1118-G1118)&amp;" min","")))</f>
        <v/>
      </c>
      <c r="J1118" s="66" t="n"/>
      <c r="K1118" s="70" t="n"/>
      <c r="L1118" s="36">
        <f>IF(R1118="","",IF(INDEX('Recurring Schedule'!$J$6:$J$45,R1118)="","",INDEX('Recurring Schedule'!$J$6:$J$45,R1118)))</f>
        <v/>
      </c>
      <c r="M1118" s="36">
        <f>IF(R1118="","",IF(INDEX('Recurring Schedule'!$K$6:$K$45,R1118)="","",INDEX('Recurring Schedule'!$K$6:$K$45,R1118)))</f>
        <v/>
      </c>
      <c r="N1118" s="36">
        <f>IF(R1118="","",IF(INDEX('Recurring Schedule'!$L$6:$L$45,R1118)="","",INDEX('Recurring Schedule'!$L$6:$L$45,R1118)))</f>
        <v/>
      </c>
      <c r="O1118" s="36">
        <f>IF(C1118="","",IF(AND(OR(L1118="1-Urgent",L1118="2-High"),M1118="✓"),"DO FIRST",IF(M1118="✓","SCHEDULE",IF(OR(L1118="1-Urgent",L1118="2-High"),"DELEGATE","DELETE"))))</f>
        <v/>
      </c>
      <c r="P1118" s="65" t="n"/>
      <c r="Q1118">
        <f>IF(1113&gt;Calc!$AQ$368,"",MATCH(1112,Calc!$AQ$2:$AQ$367,1))</f>
        <v/>
      </c>
      <c r="R1118">
        <f>IF(Q1118="","",SMALL(INDEX(Calc!$B$2:$AO$367,Q1118,0),1113-INDEX(Calc!$AQ$2:$AQ$367,Q1118)))</f>
        <v/>
      </c>
    </row>
    <row r="1119">
      <c r="B1119" s="71">
        <f>IF(R1119="","",1114)</f>
        <v/>
      </c>
      <c r="C1119" s="75">
        <f>IF(R1119="","",IF(INDEX('Recurring Schedule'!$C$6:$C$45,R1119)="","",INDEX('Recurring Schedule'!$C$6:$C$45,R1119)))</f>
        <v/>
      </c>
      <c r="D1119" s="73">
        <f>IF(R1119="","",IF(INDEX('Recurring Schedule'!$D$6:$D$45,R1119)="","",INDEX('Recurring Schedule'!$D$6:$D$45,R1119)))</f>
        <v/>
      </c>
      <c r="E1119" s="76">
        <f>IF(Q1119="","",INDEX(Calc!$A$2:$A$367,Q1119))</f>
        <v/>
      </c>
      <c r="F1119" s="72">
        <f>IF(OR(C1119="",E1119=""),"",E1119-Setup!$D$7)</f>
        <v/>
      </c>
      <c r="G1119" s="77">
        <f>IF(R1119="","",IF(INDEX('Recurring Schedule'!$H$6:$H$45,R1119)="","",INDEX('Recurring Schedule'!$H$6:$H$45,R1119)))</f>
        <v/>
      </c>
      <c r="H1119" s="77">
        <f>IF(R1119="","",IF(INDEX('Recurring Schedule'!$I$6:$I$45,R1119)="","",INDEX('Recurring Schedule'!$I$6:$I$45,R1119)))</f>
        <v/>
      </c>
      <c r="I1119" s="73">
        <f>IF(OR(G1119="",H1119=""),"",TRIM(IF(HOUR(H1119-G1119)&gt;0,HOUR(H1119-G1119)&amp;" hr ","")&amp;IF(MINUTE(H1119-G1119)&gt;0,MINUTE(H1119-G1119)&amp;" min","")))</f>
        <v/>
      </c>
      <c r="J1119" s="66" t="n"/>
      <c r="K1119" s="70" t="n"/>
      <c r="L1119" s="73">
        <f>IF(R1119="","",IF(INDEX('Recurring Schedule'!$J$6:$J$45,R1119)="","",INDEX('Recurring Schedule'!$J$6:$J$45,R1119)))</f>
        <v/>
      </c>
      <c r="M1119" s="73">
        <f>IF(R1119="","",IF(INDEX('Recurring Schedule'!$K$6:$K$45,R1119)="","",INDEX('Recurring Schedule'!$K$6:$K$45,R1119)))</f>
        <v/>
      </c>
      <c r="N1119" s="73">
        <f>IF(R1119="","",IF(INDEX('Recurring Schedule'!$L$6:$L$45,R1119)="","",INDEX('Recurring Schedule'!$L$6:$L$45,R1119)))</f>
        <v/>
      </c>
      <c r="O1119" s="73">
        <f>IF(C1119="","",IF(AND(OR(L1119="1-Urgent",L1119="2-High"),M1119="✓"),"DO FIRST",IF(M1119="✓","SCHEDULE",IF(OR(L1119="1-Urgent",L1119="2-High"),"DELEGATE","DELETE"))))</f>
        <v/>
      </c>
      <c r="P1119" s="65" t="n"/>
      <c r="Q1119">
        <f>IF(1114&gt;Calc!$AQ$368,"",MATCH(1113,Calc!$AQ$2:$AQ$367,1))</f>
        <v/>
      </c>
      <c r="R1119">
        <f>IF(Q1119="","",SMALL(INDEX(Calc!$B$2:$AO$367,Q1119,0),1114-INDEX(Calc!$AQ$2:$AQ$367,Q1119)))</f>
        <v/>
      </c>
    </row>
    <row r="1120">
      <c r="B1120" s="64">
        <f>IF(R1120="","",1115)</f>
        <v/>
      </c>
      <c r="C1120" s="37">
        <f>IF(R1120="","",IF(INDEX('Recurring Schedule'!$C$6:$C$45,R1120)="","",INDEX('Recurring Schedule'!$C$6:$C$45,R1120)))</f>
        <v/>
      </c>
      <c r="D1120" s="36">
        <f>IF(R1120="","",IF(INDEX('Recurring Schedule'!$D$6:$D$45,R1120)="","",INDEX('Recurring Schedule'!$D$6:$D$45,R1120)))</f>
        <v/>
      </c>
      <c r="E1120" s="38">
        <f>IF(Q1120="","",INDEX(Calc!$A$2:$A$367,Q1120))</f>
        <v/>
      </c>
      <c r="F1120" s="68">
        <f>IF(OR(C1120="",E1120=""),"",E1120-Setup!$D$7)</f>
        <v/>
      </c>
      <c r="G1120" s="74">
        <f>IF(R1120="","",IF(INDEX('Recurring Schedule'!$H$6:$H$45,R1120)="","",INDEX('Recurring Schedule'!$H$6:$H$45,R1120)))</f>
        <v/>
      </c>
      <c r="H1120" s="74">
        <f>IF(R1120="","",IF(INDEX('Recurring Schedule'!$I$6:$I$45,R1120)="","",INDEX('Recurring Schedule'!$I$6:$I$45,R1120)))</f>
        <v/>
      </c>
      <c r="I1120" s="36">
        <f>IF(OR(G1120="",H1120=""),"",TRIM(IF(HOUR(H1120-G1120)&gt;0,HOUR(H1120-G1120)&amp;" hr ","")&amp;IF(MINUTE(H1120-G1120)&gt;0,MINUTE(H1120-G1120)&amp;" min","")))</f>
        <v/>
      </c>
      <c r="J1120" s="66" t="n"/>
      <c r="K1120" s="70" t="n"/>
      <c r="L1120" s="36">
        <f>IF(R1120="","",IF(INDEX('Recurring Schedule'!$J$6:$J$45,R1120)="","",INDEX('Recurring Schedule'!$J$6:$J$45,R1120)))</f>
        <v/>
      </c>
      <c r="M1120" s="36">
        <f>IF(R1120="","",IF(INDEX('Recurring Schedule'!$K$6:$K$45,R1120)="","",INDEX('Recurring Schedule'!$K$6:$K$45,R1120)))</f>
        <v/>
      </c>
      <c r="N1120" s="36">
        <f>IF(R1120="","",IF(INDEX('Recurring Schedule'!$L$6:$L$45,R1120)="","",INDEX('Recurring Schedule'!$L$6:$L$45,R1120)))</f>
        <v/>
      </c>
      <c r="O1120" s="36">
        <f>IF(C1120="","",IF(AND(OR(L1120="1-Urgent",L1120="2-High"),M1120="✓"),"DO FIRST",IF(M1120="✓","SCHEDULE",IF(OR(L1120="1-Urgent",L1120="2-High"),"DELEGATE","DELETE"))))</f>
        <v/>
      </c>
      <c r="P1120" s="65" t="n"/>
      <c r="Q1120">
        <f>IF(1115&gt;Calc!$AQ$368,"",MATCH(1114,Calc!$AQ$2:$AQ$367,1))</f>
        <v/>
      </c>
      <c r="R1120">
        <f>IF(Q1120="","",SMALL(INDEX(Calc!$B$2:$AO$367,Q1120,0),1115-INDEX(Calc!$AQ$2:$AQ$367,Q1120)))</f>
        <v/>
      </c>
    </row>
    <row r="1121">
      <c r="B1121" s="71">
        <f>IF(R1121="","",1116)</f>
        <v/>
      </c>
      <c r="C1121" s="75">
        <f>IF(R1121="","",IF(INDEX('Recurring Schedule'!$C$6:$C$45,R1121)="","",INDEX('Recurring Schedule'!$C$6:$C$45,R1121)))</f>
        <v/>
      </c>
      <c r="D1121" s="73">
        <f>IF(R1121="","",IF(INDEX('Recurring Schedule'!$D$6:$D$45,R1121)="","",INDEX('Recurring Schedule'!$D$6:$D$45,R1121)))</f>
        <v/>
      </c>
      <c r="E1121" s="76">
        <f>IF(Q1121="","",INDEX(Calc!$A$2:$A$367,Q1121))</f>
        <v/>
      </c>
      <c r="F1121" s="72">
        <f>IF(OR(C1121="",E1121=""),"",E1121-Setup!$D$7)</f>
        <v/>
      </c>
      <c r="G1121" s="77">
        <f>IF(R1121="","",IF(INDEX('Recurring Schedule'!$H$6:$H$45,R1121)="","",INDEX('Recurring Schedule'!$H$6:$H$45,R1121)))</f>
        <v/>
      </c>
      <c r="H1121" s="77">
        <f>IF(R1121="","",IF(INDEX('Recurring Schedule'!$I$6:$I$45,R1121)="","",INDEX('Recurring Schedule'!$I$6:$I$45,R1121)))</f>
        <v/>
      </c>
      <c r="I1121" s="73">
        <f>IF(OR(G1121="",H1121=""),"",TRIM(IF(HOUR(H1121-G1121)&gt;0,HOUR(H1121-G1121)&amp;" hr ","")&amp;IF(MINUTE(H1121-G1121)&gt;0,MINUTE(H1121-G1121)&amp;" min","")))</f>
        <v/>
      </c>
      <c r="J1121" s="66" t="n"/>
      <c r="K1121" s="70" t="n"/>
      <c r="L1121" s="73">
        <f>IF(R1121="","",IF(INDEX('Recurring Schedule'!$J$6:$J$45,R1121)="","",INDEX('Recurring Schedule'!$J$6:$J$45,R1121)))</f>
        <v/>
      </c>
      <c r="M1121" s="73">
        <f>IF(R1121="","",IF(INDEX('Recurring Schedule'!$K$6:$K$45,R1121)="","",INDEX('Recurring Schedule'!$K$6:$K$45,R1121)))</f>
        <v/>
      </c>
      <c r="N1121" s="73">
        <f>IF(R1121="","",IF(INDEX('Recurring Schedule'!$L$6:$L$45,R1121)="","",INDEX('Recurring Schedule'!$L$6:$L$45,R1121)))</f>
        <v/>
      </c>
      <c r="O1121" s="73">
        <f>IF(C1121="","",IF(AND(OR(L1121="1-Urgent",L1121="2-High"),M1121="✓"),"DO FIRST",IF(M1121="✓","SCHEDULE",IF(OR(L1121="1-Urgent",L1121="2-High"),"DELEGATE","DELETE"))))</f>
        <v/>
      </c>
      <c r="P1121" s="65" t="n"/>
      <c r="Q1121">
        <f>IF(1116&gt;Calc!$AQ$368,"",MATCH(1115,Calc!$AQ$2:$AQ$367,1))</f>
        <v/>
      </c>
      <c r="R1121">
        <f>IF(Q1121="","",SMALL(INDEX(Calc!$B$2:$AO$367,Q1121,0),1116-INDEX(Calc!$AQ$2:$AQ$367,Q1121)))</f>
        <v/>
      </c>
    </row>
    <row r="1122">
      <c r="B1122" s="64">
        <f>IF(R1122="","",1117)</f>
        <v/>
      </c>
      <c r="C1122" s="37">
        <f>IF(R1122="","",IF(INDEX('Recurring Schedule'!$C$6:$C$45,R1122)="","",INDEX('Recurring Schedule'!$C$6:$C$45,R1122)))</f>
        <v/>
      </c>
      <c r="D1122" s="36">
        <f>IF(R1122="","",IF(INDEX('Recurring Schedule'!$D$6:$D$45,R1122)="","",INDEX('Recurring Schedule'!$D$6:$D$45,R1122)))</f>
        <v/>
      </c>
      <c r="E1122" s="38">
        <f>IF(Q1122="","",INDEX(Calc!$A$2:$A$367,Q1122))</f>
        <v/>
      </c>
      <c r="F1122" s="68">
        <f>IF(OR(C1122="",E1122=""),"",E1122-Setup!$D$7)</f>
        <v/>
      </c>
      <c r="G1122" s="74">
        <f>IF(R1122="","",IF(INDEX('Recurring Schedule'!$H$6:$H$45,R1122)="","",INDEX('Recurring Schedule'!$H$6:$H$45,R1122)))</f>
        <v/>
      </c>
      <c r="H1122" s="74">
        <f>IF(R1122="","",IF(INDEX('Recurring Schedule'!$I$6:$I$45,R1122)="","",INDEX('Recurring Schedule'!$I$6:$I$45,R1122)))</f>
        <v/>
      </c>
      <c r="I1122" s="36">
        <f>IF(OR(G1122="",H1122=""),"",TRIM(IF(HOUR(H1122-G1122)&gt;0,HOUR(H1122-G1122)&amp;" hr ","")&amp;IF(MINUTE(H1122-G1122)&gt;0,MINUTE(H1122-G1122)&amp;" min","")))</f>
        <v/>
      </c>
      <c r="J1122" s="66" t="n"/>
      <c r="K1122" s="70" t="n"/>
      <c r="L1122" s="36">
        <f>IF(R1122="","",IF(INDEX('Recurring Schedule'!$J$6:$J$45,R1122)="","",INDEX('Recurring Schedule'!$J$6:$J$45,R1122)))</f>
        <v/>
      </c>
      <c r="M1122" s="36">
        <f>IF(R1122="","",IF(INDEX('Recurring Schedule'!$K$6:$K$45,R1122)="","",INDEX('Recurring Schedule'!$K$6:$K$45,R1122)))</f>
        <v/>
      </c>
      <c r="N1122" s="36">
        <f>IF(R1122="","",IF(INDEX('Recurring Schedule'!$L$6:$L$45,R1122)="","",INDEX('Recurring Schedule'!$L$6:$L$45,R1122)))</f>
        <v/>
      </c>
      <c r="O1122" s="36">
        <f>IF(C1122="","",IF(AND(OR(L1122="1-Urgent",L1122="2-High"),M1122="✓"),"DO FIRST",IF(M1122="✓","SCHEDULE",IF(OR(L1122="1-Urgent",L1122="2-High"),"DELEGATE","DELETE"))))</f>
        <v/>
      </c>
      <c r="P1122" s="65" t="n"/>
      <c r="Q1122">
        <f>IF(1117&gt;Calc!$AQ$368,"",MATCH(1116,Calc!$AQ$2:$AQ$367,1))</f>
        <v/>
      </c>
      <c r="R1122">
        <f>IF(Q1122="","",SMALL(INDEX(Calc!$B$2:$AO$367,Q1122,0),1117-INDEX(Calc!$AQ$2:$AQ$367,Q1122)))</f>
        <v/>
      </c>
    </row>
    <row r="1123">
      <c r="B1123" s="71">
        <f>IF(R1123="","",1118)</f>
        <v/>
      </c>
      <c r="C1123" s="75">
        <f>IF(R1123="","",IF(INDEX('Recurring Schedule'!$C$6:$C$45,R1123)="","",INDEX('Recurring Schedule'!$C$6:$C$45,R1123)))</f>
        <v/>
      </c>
      <c r="D1123" s="73">
        <f>IF(R1123="","",IF(INDEX('Recurring Schedule'!$D$6:$D$45,R1123)="","",INDEX('Recurring Schedule'!$D$6:$D$45,R1123)))</f>
        <v/>
      </c>
      <c r="E1123" s="76">
        <f>IF(Q1123="","",INDEX(Calc!$A$2:$A$367,Q1123))</f>
        <v/>
      </c>
      <c r="F1123" s="72">
        <f>IF(OR(C1123="",E1123=""),"",E1123-Setup!$D$7)</f>
        <v/>
      </c>
      <c r="G1123" s="77">
        <f>IF(R1123="","",IF(INDEX('Recurring Schedule'!$H$6:$H$45,R1123)="","",INDEX('Recurring Schedule'!$H$6:$H$45,R1123)))</f>
        <v/>
      </c>
      <c r="H1123" s="77">
        <f>IF(R1123="","",IF(INDEX('Recurring Schedule'!$I$6:$I$45,R1123)="","",INDEX('Recurring Schedule'!$I$6:$I$45,R1123)))</f>
        <v/>
      </c>
      <c r="I1123" s="73">
        <f>IF(OR(G1123="",H1123=""),"",TRIM(IF(HOUR(H1123-G1123)&gt;0,HOUR(H1123-G1123)&amp;" hr ","")&amp;IF(MINUTE(H1123-G1123)&gt;0,MINUTE(H1123-G1123)&amp;" min","")))</f>
        <v/>
      </c>
      <c r="J1123" s="66" t="n"/>
      <c r="K1123" s="70" t="n"/>
      <c r="L1123" s="73">
        <f>IF(R1123="","",IF(INDEX('Recurring Schedule'!$J$6:$J$45,R1123)="","",INDEX('Recurring Schedule'!$J$6:$J$45,R1123)))</f>
        <v/>
      </c>
      <c r="M1123" s="73">
        <f>IF(R1123="","",IF(INDEX('Recurring Schedule'!$K$6:$K$45,R1123)="","",INDEX('Recurring Schedule'!$K$6:$K$45,R1123)))</f>
        <v/>
      </c>
      <c r="N1123" s="73">
        <f>IF(R1123="","",IF(INDEX('Recurring Schedule'!$L$6:$L$45,R1123)="","",INDEX('Recurring Schedule'!$L$6:$L$45,R1123)))</f>
        <v/>
      </c>
      <c r="O1123" s="73">
        <f>IF(C1123="","",IF(AND(OR(L1123="1-Urgent",L1123="2-High"),M1123="✓"),"DO FIRST",IF(M1123="✓","SCHEDULE",IF(OR(L1123="1-Urgent",L1123="2-High"),"DELEGATE","DELETE"))))</f>
        <v/>
      </c>
      <c r="P1123" s="65" t="n"/>
      <c r="Q1123">
        <f>IF(1118&gt;Calc!$AQ$368,"",MATCH(1117,Calc!$AQ$2:$AQ$367,1))</f>
        <v/>
      </c>
      <c r="R1123">
        <f>IF(Q1123="","",SMALL(INDEX(Calc!$B$2:$AO$367,Q1123,0),1118-INDEX(Calc!$AQ$2:$AQ$367,Q1123)))</f>
        <v/>
      </c>
    </row>
    <row r="1124">
      <c r="B1124" s="64">
        <f>IF(R1124="","",1119)</f>
        <v/>
      </c>
      <c r="C1124" s="37">
        <f>IF(R1124="","",IF(INDEX('Recurring Schedule'!$C$6:$C$45,R1124)="","",INDEX('Recurring Schedule'!$C$6:$C$45,R1124)))</f>
        <v/>
      </c>
      <c r="D1124" s="36">
        <f>IF(R1124="","",IF(INDEX('Recurring Schedule'!$D$6:$D$45,R1124)="","",INDEX('Recurring Schedule'!$D$6:$D$45,R1124)))</f>
        <v/>
      </c>
      <c r="E1124" s="38">
        <f>IF(Q1124="","",INDEX(Calc!$A$2:$A$367,Q1124))</f>
        <v/>
      </c>
      <c r="F1124" s="68">
        <f>IF(OR(C1124="",E1124=""),"",E1124-Setup!$D$7)</f>
        <v/>
      </c>
      <c r="G1124" s="74">
        <f>IF(R1124="","",IF(INDEX('Recurring Schedule'!$H$6:$H$45,R1124)="","",INDEX('Recurring Schedule'!$H$6:$H$45,R1124)))</f>
        <v/>
      </c>
      <c r="H1124" s="74">
        <f>IF(R1124="","",IF(INDEX('Recurring Schedule'!$I$6:$I$45,R1124)="","",INDEX('Recurring Schedule'!$I$6:$I$45,R1124)))</f>
        <v/>
      </c>
      <c r="I1124" s="36">
        <f>IF(OR(G1124="",H1124=""),"",TRIM(IF(HOUR(H1124-G1124)&gt;0,HOUR(H1124-G1124)&amp;" hr ","")&amp;IF(MINUTE(H1124-G1124)&gt;0,MINUTE(H1124-G1124)&amp;" min","")))</f>
        <v/>
      </c>
      <c r="J1124" s="66" t="n"/>
      <c r="K1124" s="70" t="n"/>
      <c r="L1124" s="36">
        <f>IF(R1124="","",IF(INDEX('Recurring Schedule'!$J$6:$J$45,R1124)="","",INDEX('Recurring Schedule'!$J$6:$J$45,R1124)))</f>
        <v/>
      </c>
      <c r="M1124" s="36">
        <f>IF(R1124="","",IF(INDEX('Recurring Schedule'!$K$6:$K$45,R1124)="","",INDEX('Recurring Schedule'!$K$6:$K$45,R1124)))</f>
        <v/>
      </c>
      <c r="N1124" s="36">
        <f>IF(R1124="","",IF(INDEX('Recurring Schedule'!$L$6:$L$45,R1124)="","",INDEX('Recurring Schedule'!$L$6:$L$45,R1124)))</f>
        <v/>
      </c>
      <c r="O1124" s="36">
        <f>IF(C1124="","",IF(AND(OR(L1124="1-Urgent",L1124="2-High"),M1124="✓"),"DO FIRST",IF(M1124="✓","SCHEDULE",IF(OR(L1124="1-Urgent",L1124="2-High"),"DELEGATE","DELETE"))))</f>
        <v/>
      </c>
      <c r="P1124" s="65" t="n"/>
      <c r="Q1124">
        <f>IF(1119&gt;Calc!$AQ$368,"",MATCH(1118,Calc!$AQ$2:$AQ$367,1))</f>
        <v/>
      </c>
      <c r="R1124">
        <f>IF(Q1124="","",SMALL(INDEX(Calc!$B$2:$AO$367,Q1124,0),1119-INDEX(Calc!$AQ$2:$AQ$367,Q1124)))</f>
        <v/>
      </c>
    </row>
    <row r="1125">
      <c r="B1125" s="71">
        <f>IF(R1125="","",1120)</f>
        <v/>
      </c>
      <c r="C1125" s="75">
        <f>IF(R1125="","",IF(INDEX('Recurring Schedule'!$C$6:$C$45,R1125)="","",INDEX('Recurring Schedule'!$C$6:$C$45,R1125)))</f>
        <v/>
      </c>
      <c r="D1125" s="73">
        <f>IF(R1125="","",IF(INDEX('Recurring Schedule'!$D$6:$D$45,R1125)="","",INDEX('Recurring Schedule'!$D$6:$D$45,R1125)))</f>
        <v/>
      </c>
      <c r="E1125" s="76">
        <f>IF(Q1125="","",INDEX(Calc!$A$2:$A$367,Q1125))</f>
        <v/>
      </c>
      <c r="F1125" s="72">
        <f>IF(OR(C1125="",E1125=""),"",E1125-Setup!$D$7)</f>
        <v/>
      </c>
      <c r="G1125" s="77">
        <f>IF(R1125="","",IF(INDEX('Recurring Schedule'!$H$6:$H$45,R1125)="","",INDEX('Recurring Schedule'!$H$6:$H$45,R1125)))</f>
        <v/>
      </c>
      <c r="H1125" s="77">
        <f>IF(R1125="","",IF(INDEX('Recurring Schedule'!$I$6:$I$45,R1125)="","",INDEX('Recurring Schedule'!$I$6:$I$45,R1125)))</f>
        <v/>
      </c>
      <c r="I1125" s="73">
        <f>IF(OR(G1125="",H1125=""),"",TRIM(IF(HOUR(H1125-G1125)&gt;0,HOUR(H1125-G1125)&amp;" hr ","")&amp;IF(MINUTE(H1125-G1125)&gt;0,MINUTE(H1125-G1125)&amp;" min","")))</f>
        <v/>
      </c>
      <c r="J1125" s="66" t="n"/>
      <c r="K1125" s="70" t="n"/>
      <c r="L1125" s="73">
        <f>IF(R1125="","",IF(INDEX('Recurring Schedule'!$J$6:$J$45,R1125)="","",INDEX('Recurring Schedule'!$J$6:$J$45,R1125)))</f>
        <v/>
      </c>
      <c r="M1125" s="73">
        <f>IF(R1125="","",IF(INDEX('Recurring Schedule'!$K$6:$K$45,R1125)="","",INDEX('Recurring Schedule'!$K$6:$K$45,R1125)))</f>
        <v/>
      </c>
      <c r="N1125" s="73">
        <f>IF(R1125="","",IF(INDEX('Recurring Schedule'!$L$6:$L$45,R1125)="","",INDEX('Recurring Schedule'!$L$6:$L$45,R1125)))</f>
        <v/>
      </c>
      <c r="O1125" s="73">
        <f>IF(C1125="","",IF(AND(OR(L1125="1-Urgent",L1125="2-High"),M1125="✓"),"DO FIRST",IF(M1125="✓","SCHEDULE",IF(OR(L1125="1-Urgent",L1125="2-High"),"DELEGATE","DELETE"))))</f>
        <v/>
      </c>
      <c r="P1125" s="65" t="n"/>
      <c r="Q1125">
        <f>IF(1120&gt;Calc!$AQ$368,"",MATCH(1119,Calc!$AQ$2:$AQ$367,1))</f>
        <v/>
      </c>
      <c r="R1125">
        <f>IF(Q1125="","",SMALL(INDEX(Calc!$B$2:$AO$367,Q1125,0),1120-INDEX(Calc!$AQ$2:$AQ$367,Q1125)))</f>
        <v/>
      </c>
    </row>
    <row r="1126">
      <c r="B1126" s="64">
        <f>IF(R1126="","",1121)</f>
        <v/>
      </c>
      <c r="C1126" s="37">
        <f>IF(R1126="","",IF(INDEX('Recurring Schedule'!$C$6:$C$45,R1126)="","",INDEX('Recurring Schedule'!$C$6:$C$45,R1126)))</f>
        <v/>
      </c>
      <c r="D1126" s="36">
        <f>IF(R1126="","",IF(INDEX('Recurring Schedule'!$D$6:$D$45,R1126)="","",INDEX('Recurring Schedule'!$D$6:$D$45,R1126)))</f>
        <v/>
      </c>
      <c r="E1126" s="38">
        <f>IF(Q1126="","",INDEX(Calc!$A$2:$A$367,Q1126))</f>
        <v/>
      </c>
      <c r="F1126" s="68">
        <f>IF(OR(C1126="",E1126=""),"",E1126-Setup!$D$7)</f>
        <v/>
      </c>
      <c r="G1126" s="74">
        <f>IF(R1126="","",IF(INDEX('Recurring Schedule'!$H$6:$H$45,R1126)="","",INDEX('Recurring Schedule'!$H$6:$H$45,R1126)))</f>
        <v/>
      </c>
      <c r="H1126" s="74">
        <f>IF(R1126="","",IF(INDEX('Recurring Schedule'!$I$6:$I$45,R1126)="","",INDEX('Recurring Schedule'!$I$6:$I$45,R1126)))</f>
        <v/>
      </c>
      <c r="I1126" s="36">
        <f>IF(OR(G1126="",H1126=""),"",TRIM(IF(HOUR(H1126-G1126)&gt;0,HOUR(H1126-G1126)&amp;" hr ","")&amp;IF(MINUTE(H1126-G1126)&gt;0,MINUTE(H1126-G1126)&amp;" min","")))</f>
        <v/>
      </c>
      <c r="J1126" s="66" t="n"/>
      <c r="K1126" s="70" t="n"/>
      <c r="L1126" s="36">
        <f>IF(R1126="","",IF(INDEX('Recurring Schedule'!$J$6:$J$45,R1126)="","",INDEX('Recurring Schedule'!$J$6:$J$45,R1126)))</f>
        <v/>
      </c>
      <c r="M1126" s="36">
        <f>IF(R1126="","",IF(INDEX('Recurring Schedule'!$K$6:$K$45,R1126)="","",INDEX('Recurring Schedule'!$K$6:$K$45,R1126)))</f>
        <v/>
      </c>
      <c r="N1126" s="36">
        <f>IF(R1126="","",IF(INDEX('Recurring Schedule'!$L$6:$L$45,R1126)="","",INDEX('Recurring Schedule'!$L$6:$L$45,R1126)))</f>
        <v/>
      </c>
      <c r="O1126" s="36">
        <f>IF(C1126="","",IF(AND(OR(L1126="1-Urgent",L1126="2-High"),M1126="✓"),"DO FIRST",IF(M1126="✓","SCHEDULE",IF(OR(L1126="1-Urgent",L1126="2-High"),"DELEGATE","DELETE"))))</f>
        <v/>
      </c>
      <c r="P1126" s="65" t="n"/>
      <c r="Q1126">
        <f>IF(1121&gt;Calc!$AQ$368,"",MATCH(1120,Calc!$AQ$2:$AQ$367,1))</f>
        <v/>
      </c>
      <c r="R1126">
        <f>IF(Q1126="","",SMALL(INDEX(Calc!$B$2:$AO$367,Q1126,0),1121-INDEX(Calc!$AQ$2:$AQ$367,Q1126)))</f>
        <v/>
      </c>
    </row>
    <row r="1127">
      <c r="B1127" s="71">
        <f>IF(R1127="","",1122)</f>
        <v/>
      </c>
      <c r="C1127" s="75">
        <f>IF(R1127="","",IF(INDEX('Recurring Schedule'!$C$6:$C$45,R1127)="","",INDEX('Recurring Schedule'!$C$6:$C$45,R1127)))</f>
        <v/>
      </c>
      <c r="D1127" s="73">
        <f>IF(R1127="","",IF(INDEX('Recurring Schedule'!$D$6:$D$45,R1127)="","",INDEX('Recurring Schedule'!$D$6:$D$45,R1127)))</f>
        <v/>
      </c>
      <c r="E1127" s="76">
        <f>IF(Q1127="","",INDEX(Calc!$A$2:$A$367,Q1127))</f>
        <v/>
      </c>
      <c r="F1127" s="72">
        <f>IF(OR(C1127="",E1127=""),"",E1127-Setup!$D$7)</f>
        <v/>
      </c>
      <c r="G1127" s="77">
        <f>IF(R1127="","",IF(INDEX('Recurring Schedule'!$H$6:$H$45,R1127)="","",INDEX('Recurring Schedule'!$H$6:$H$45,R1127)))</f>
        <v/>
      </c>
      <c r="H1127" s="77">
        <f>IF(R1127="","",IF(INDEX('Recurring Schedule'!$I$6:$I$45,R1127)="","",INDEX('Recurring Schedule'!$I$6:$I$45,R1127)))</f>
        <v/>
      </c>
      <c r="I1127" s="73">
        <f>IF(OR(G1127="",H1127=""),"",TRIM(IF(HOUR(H1127-G1127)&gt;0,HOUR(H1127-G1127)&amp;" hr ","")&amp;IF(MINUTE(H1127-G1127)&gt;0,MINUTE(H1127-G1127)&amp;" min","")))</f>
        <v/>
      </c>
      <c r="J1127" s="66" t="n"/>
      <c r="K1127" s="70" t="n"/>
      <c r="L1127" s="73">
        <f>IF(R1127="","",IF(INDEX('Recurring Schedule'!$J$6:$J$45,R1127)="","",INDEX('Recurring Schedule'!$J$6:$J$45,R1127)))</f>
        <v/>
      </c>
      <c r="M1127" s="73">
        <f>IF(R1127="","",IF(INDEX('Recurring Schedule'!$K$6:$K$45,R1127)="","",INDEX('Recurring Schedule'!$K$6:$K$45,R1127)))</f>
        <v/>
      </c>
      <c r="N1127" s="73">
        <f>IF(R1127="","",IF(INDEX('Recurring Schedule'!$L$6:$L$45,R1127)="","",INDEX('Recurring Schedule'!$L$6:$L$45,R1127)))</f>
        <v/>
      </c>
      <c r="O1127" s="73">
        <f>IF(C1127="","",IF(AND(OR(L1127="1-Urgent",L1127="2-High"),M1127="✓"),"DO FIRST",IF(M1127="✓","SCHEDULE",IF(OR(L1127="1-Urgent",L1127="2-High"),"DELEGATE","DELETE"))))</f>
        <v/>
      </c>
      <c r="P1127" s="65" t="n"/>
      <c r="Q1127">
        <f>IF(1122&gt;Calc!$AQ$368,"",MATCH(1121,Calc!$AQ$2:$AQ$367,1))</f>
        <v/>
      </c>
      <c r="R1127">
        <f>IF(Q1127="","",SMALL(INDEX(Calc!$B$2:$AO$367,Q1127,0),1122-INDEX(Calc!$AQ$2:$AQ$367,Q1127)))</f>
        <v/>
      </c>
    </row>
    <row r="1128">
      <c r="B1128" s="64">
        <f>IF(R1128="","",1123)</f>
        <v/>
      </c>
      <c r="C1128" s="37">
        <f>IF(R1128="","",IF(INDEX('Recurring Schedule'!$C$6:$C$45,R1128)="","",INDEX('Recurring Schedule'!$C$6:$C$45,R1128)))</f>
        <v/>
      </c>
      <c r="D1128" s="36">
        <f>IF(R1128="","",IF(INDEX('Recurring Schedule'!$D$6:$D$45,R1128)="","",INDEX('Recurring Schedule'!$D$6:$D$45,R1128)))</f>
        <v/>
      </c>
      <c r="E1128" s="38">
        <f>IF(Q1128="","",INDEX(Calc!$A$2:$A$367,Q1128))</f>
        <v/>
      </c>
      <c r="F1128" s="68">
        <f>IF(OR(C1128="",E1128=""),"",E1128-Setup!$D$7)</f>
        <v/>
      </c>
      <c r="G1128" s="74">
        <f>IF(R1128="","",IF(INDEX('Recurring Schedule'!$H$6:$H$45,R1128)="","",INDEX('Recurring Schedule'!$H$6:$H$45,R1128)))</f>
        <v/>
      </c>
      <c r="H1128" s="74">
        <f>IF(R1128="","",IF(INDEX('Recurring Schedule'!$I$6:$I$45,R1128)="","",INDEX('Recurring Schedule'!$I$6:$I$45,R1128)))</f>
        <v/>
      </c>
      <c r="I1128" s="36">
        <f>IF(OR(G1128="",H1128=""),"",TRIM(IF(HOUR(H1128-G1128)&gt;0,HOUR(H1128-G1128)&amp;" hr ","")&amp;IF(MINUTE(H1128-G1128)&gt;0,MINUTE(H1128-G1128)&amp;" min","")))</f>
        <v/>
      </c>
      <c r="J1128" s="66" t="n"/>
      <c r="K1128" s="70" t="n"/>
      <c r="L1128" s="36">
        <f>IF(R1128="","",IF(INDEX('Recurring Schedule'!$J$6:$J$45,R1128)="","",INDEX('Recurring Schedule'!$J$6:$J$45,R1128)))</f>
        <v/>
      </c>
      <c r="M1128" s="36">
        <f>IF(R1128="","",IF(INDEX('Recurring Schedule'!$K$6:$K$45,R1128)="","",INDEX('Recurring Schedule'!$K$6:$K$45,R1128)))</f>
        <v/>
      </c>
      <c r="N1128" s="36">
        <f>IF(R1128="","",IF(INDEX('Recurring Schedule'!$L$6:$L$45,R1128)="","",INDEX('Recurring Schedule'!$L$6:$L$45,R1128)))</f>
        <v/>
      </c>
      <c r="O1128" s="36">
        <f>IF(C1128="","",IF(AND(OR(L1128="1-Urgent",L1128="2-High"),M1128="✓"),"DO FIRST",IF(M1128="✓","SCHEDULE",IF(OR(L1128="1-Urgent",L1128="2-High"),"DELEGATE","DELETE"))))</f>
        <v/>
      </c>
      <c r="P1128" s="65" t="n"/>
      <c r="Q1128">
        <f>IF(1123&gt;Calc!$AQ$368,"",MATCH(1122,Calc!$AQ$2:$AQ$367,1))</f>
        <v/>
      </c>
      <c r="R1128">
        <f>IF(Q1128="","",SMALL(INDEX(Calc!$B$2:$AO$367,Q1128,0),1123-INDEX(Calc!$AQ$2:$AQ$367,Q1128)))</f>
        <v/>
      </c>
    </row>
    <row r="1129">
      <c r="B1129" s="71">
        <f>IF(R1129="","",1124)</f>
        <v/>
      </c>
      <c r="C1129" s="75">
        <f>IF(R1129="","",IF(INDEX('Recurring Schedule'!$C$6:$C$45,R1129)="","",INDEX('Recurring Schedule'!$C$6:$C$45,R1129)))</f>
        <v/>
      </c>
      <c r="D1129" s="73">
        <f>IF(R1129="","",IF(INDEX('Recurring Schedule'!$D$6:$D$45,R1129)="","",INDEX('Recurring Schedule'!$D$6:$D$45,R1129)))</f>
        <v/>
      </c>
      <c r="E1129" s="76">
        <f>IF(Q1129="","",INDEX(Calc!$A$2:$A$367,Q1129))</f>
        <v/>
      </c>
      <c r="F1129" s="72">
        <f>IF(OR(C1129="",E1129=""),"",E1129-Setup!$D$7)</f>
        <v/>
      </c>
      <c r="G1129" s="77">
        <f>IF(R1129="","",IF(INDEX('Recurring Schedule'!$H$6:$H$45,R1129)="","",INDEX('Recurring Schedule'!$H$6:$H$45,R1129)))</f>
        <v/>
      </c>
      <c r="H1129" s="77">
        <f>IF(R1129="","",IF(INDEX('Recurring Schedule'!$I$6:$I$45,R1129)="","",INDEX('Recurring Schedule'!$I$6:$I$45,R1129)))</f>
        <v/>
      </c>
      <c r="I1129" s="73">
        <f>IF(OR(G1129="",H1129=""),"",TRIM(IF(HOUR(H1129-G1129)&gt;0,HOUR(H1129-G1129)&amp;" hr ","")&amp;IF(MINUTE(H1129-G1129)&gt;0,MINUTE(H1129-G1129)&amp;" min","")))</f>
        <v/>
      </c>
      <c r="J1129" s="66" t="n"/>
      <c r="K1129" s="70" t="n"/>
      <c r="L1129" s="73">
        <f>IF(R1129="","",IF(INDEX('Recurring Schedule'!$J$6:$J$45,R1129)="","",INDEX('Recurring Schedule'!$J$6:$J$45,R1129)))</f>
        <v/>
      </c>
      <c r="M1129" s="73">
        <f>IF(R1129="","",IF(INDEX('Recurring Schedule'!$K$6:$K$45,R1129)="","",INDEX('Recurring Schedule'!$K$6:$K$45,R1129)))</f>
        <v/>
      </c>
      <c r="N1129" s="73">
        <f>IF(R1129="","",IF(INDEX('Recurring Schedule'!$L$6:$L$45,R1129)="","",INDEX('Recurring Schedule'!$L$6:$L$45,R1129)))</f>
        <v/>
      </c>
      <c r="O1129" s="73">
        <f>IF(C1129="","",IF(AND(OR(L1129="1-Urgent",L1129="2-High"),M1129="✓"),"DO FIRST",IF(M1129="✓","SCHEDULE",IF(OR(L1129="1-Urgent",L1129="2-High"),"DELEGATE","DELETE"))))</f>
        <v/>
      </c>
      <c r="P1129" s="65" t="n"/>
      <c r="Q1129">
        <f>IF(1124&gt;Calc!$AQ$368,"",MATCH(1123,Calc!$AQ$2:$AQ$367,1))</f>
        <v/>
      </c>
      <c r="R1129">
        <f>IF(Q1129="","",SMALL(INDEX(Calc!$B$2:$AO$367,Q1129,0),1124-INDEX(Calc!$AQ$2:$AQ$367,Q1129)))</f>
        <v/>
      </c>
    </row>
    <row r="1130">
      <c r="B1130" s="64">
        <f>IF(R1130="","",1125)</f>
        <v/>
      </c>
      <c r="C1130" s="37">
        <f>IF(R1130="","",IF(INDEX('Recurring Schedule'!$C$6:$C$45,R1130)="","",INDEX('Recurring Schedule'!$C$6:$C$45,R1130)))</f>
        <v/>
      </c>
      <c r="D1130" s="36">
        <f>IF(R1130="","",IF(INDEX('Recurring Schedule'!$D$6:$D$45,R1130)="","",INDEX('Recurring Schedule'!$D$6:$D$45,R1130)))</f>
        <v/>
      </c>
      <c r="E1130" s="38">
        <f>IF(Q1130="","",INDEX(Calc!$A$2:$A$367,Q1130))</f>
        <v/>
      </c>
      <c r="F1130" s="68">
        <f>IF(OR(C1130="",E1130=""),"",E1130-Setup!$D$7)</f>
        <v/>
      </c>
      <c r="G1130" s="74">
        <f>IF(R1130="","",IF(INDEX('Recurring Schedule'!$H$6:$H$45,R1130)="","",INDEX('Recurring Schedule'!$H$6:$H$45,R1130)))</f>
        <v/>
      </c>
      <c r="H1130" s="74">
        <f>IF(R1130="","",IF(INDEX('Recurring Schedule'!$I$6:$I$45,R1130)="","",INDEX('Recurring Schedule'!$I$6:$I$45,R1130)))</f>
        <v/>
      </c>
      <c r="I1130" s="36">
        <f>IF(OR(G1130="",H1130=""),"",TRIM(IF(HOUR(H1130-G1130)&gt;0,HOUR(H1130-G1130)&amp;" hr ","")&amp;IF(MINUTE(H1130-G1130)&gt;0,MINUTE(H1130-G1130)&amp;" min","")))</f>
        <v/>
      </c>
      <c r="J1130" s="66" t="n"/>
      <c r="K1130" s="70" t="n"/>
      <c r="L1130" s="36">
        <f>IF(R1130="","",IF(INDEX('Recurring Schedule'!$J$6:$J$45,R1130)="","",INDEX('Recurring Schedule'!$J$6:$J$45,R1130)))</f>
        <v/>
      </c>
      <c r="M1130" s="36">
        <f>IF(R1130="","",IF(INDEX('Recurring Schedule'!$K$6:$K$45,R1130)="","",INDEX('Recurring Schedule'!$K$6:$K$45,R1130)))</f>
        <v/>
      </c>
      <c r="N1130" s="36">
        <f>IF(R1130="","",IF(INDEX('Recurring Schedule'!$L$6:$L$45,R1130)="","",INDEX('Recurring Schedule'!$L$6:$L$45,R1130)))</f>
        <v/>
      </c>
      <c r="O1130" s="36">
        <f>IF(C1130="","",IF(AND(OR(L1130="1-Urgent",L1130="2-High"),M1130="✓"),"DO FIRST",IF(M1130="✓","SCHEDULE",IF(OR(L1130="1-Urgent",L1130="2-High"),"DELEGATE","DELETE"))))</f>
        <v/>
      </c>
      <c r="P1130" s="65" t="n"/>
      <c r="Q1130">
        <f>IF(1125&gt;Calc!$AQ$368,"",MATCH(1124,Calc!$AQ$2:$AQ$367,1))</f>
        <v/>
      </c>
      <c r="R1130">
        <f>IF(Q1130="","",SMALL(INDEX(Calc!$B$2:$AO$367,Q1130,0),1125-INDEX(Calc!$AQ$2:$AQ$367,Q1130)))</f>
        <v/>
      </c>
    </row>
    <row r="1131">
      <c r="B1131" s="71">
        <f>IF(R1131="","",1126)</f>
        <v/>
      </c>
      <c r="C1131" s="75">
        <f>IF(R1131="","",IF(INDEX('Recurring Schedule'!$C$6:$C$45,R1131)="","",INDEX('Recurring Schedule'!$C$6:$C$45,R1131)))</f>
        <v/>
      </c>
      <c r="D1131" s="73">
        <f>IF(R1131="","",IF(INDEX('Recurring Schedule'!$D$6:$D$45,R1131)="","",INDEX('Recurring Schedule'!$D$6:$D$45,R1131)))</f>
        <v/>
      </c>
      <c r="E1131" s="76">
        <f>IF(Q1131="","",INDEX(Calc!$A$2:$A$367,Q1131))</f>
        <v/>
      </c>
      <c r="F1131" s="72">
        <f>IF(OR(C1131="",E1131=""),"",E1131-Setup!$D$7)</f>
        <v/>
      </c>
      <c r="G1131" s="77">
        <f>IF(R1131="","",IF(INDEX('Recurring Schedule'!$H$6:$H$45,R1131)="","",INDEX('Recurring Schedule'!$H$6:$H$45,R1131)))</f>
        <v/>
      </c>
      <c r="H1131" s="77">
        <f>IF(R1131="","",IF(INDEX('Recurring Schedule'!$I$6:$I$45,R1131)="","",INDEX('Recurring Schedule'!$I$6:$I$45,R1131)))</f>
        <v/>
      </c>
      <c r="I1131" s="73">
        <f>IF(OR(G1131="",H1131=""),"",TRIM(IF(HOUR(H1131-G1131)&gt;0,HOUR(H1131-G1131)&amp;" hr ","")&amp;IF(MINUTE(H1131-G1131)&gt;0,MINUTE(H1131-G1131)&amp;" min","")))</f>
        <v/>
      </c>
      <c r="J1131" s="66" t="n"/>
      <c r="K1131" s="70" t="n"/>
      <c r="L1131" s="73">
        <f>IF(R1131="","",IF(INDEX('Recurring Schedule'!$J$6:$J$45,R1131)="","",INDEX('Recurring Schedule'!$J$6:$J$45,R1131)))</f>
        <v/>
      </c>
      <c r="M1131" s="73">
        <f>IF(R1131="","",IF(INDEX('Recurring Schedule'!$K$6:$K$45,R1131)="","",INDEX('Recurring Schedule'!$K$6:$K$45,R1131)))</f>
        <v/>
      </c>
      <c r="N1131" s="73">
        <f>IF(R1131="","",IF(INDEX('Recurring Schedule'!$L$6:$L$45,R1131)="","",INDEX('Recurring Schedule'!$L$6:$L$45,R1131)))</f>
        <v/>
      </c>
      <c r="O1131" s="73">
        <f>IF(C1131="","",IF(AND(OR(L1131="1-Urgent",L1131="2-High"),M1131="✓"),"DO FIRST",IF(M1131="✓","SCHEDULE",IF(OR(L1131="1-Urgent",L1131="2-High"),"DELEGATE","DELETE"))))</f>
        <v/>
      </c>
      <c r="P1131" s="65" t="n"/>
      <c r="Q1131">
        <f>IF(1126&gt;Calc!$AQ$368,"",MATCH(1125,Calc!$AQ$2:$AQ$367,1))</f>
        <v/>
      </c>
      <c r="R1131">
        <f>IF(Q1131="","",SMALL(INDEX(Calc!$B$2:$AO$367,Q1131,0),1126-INDEX(Calc!$AQ$2:$AQ$367,Q1131)))</f>
        <v/>
      </c>
    </row>
    <row r="1132">
      <c r="B1132" s="64">
        <f>IF(R1132="","",1127)</f>
        <v/>
      </c>
      <c r="C1132" s="37">
        <f>IF(R1132="","",IF(INDEX('Recurring Schedule'!$C$6:$C$45,R1132)="","",INDEX('Recurring Schedule'!$C$6:$C$45,R1132)))</f>
        <v/>
      </c>
      <c r="D1132" s="36">
        <f>IF(R1132="","",IF(INDEX('Recurring Schedule'!$D$6:$D$45,R1132)="","",INDEX('Recurring Schedule'!$D$6:$D$45,R1132)))</f>
        <v/>
      </c>
      <c r="E1132" s="38">
        <f>IF(Q1132="","",INDEX(Calc!$A$2:$A$367,Q1132))</f>
        <v/>
      </c>
      <c r="F1132" s="68">
        <f>IF(OR(C1132="",E1132=""),"",E1132-Setup!$D$7)</f>
        <v/>
      </c>
      <c r="G1132" s="74">
        <f>IF(R1132="","",IF(INDEX('Recurring Schedule'!$H$6:$H$45,R1132)="","",INDEX('Recurring Schedule'!$H$6:$H$45,R1132)))</f>
        <v/>
      </c>
      <c r="H1132" s="74">
        <f>IF(R1132="","",IF(INDEX('Recurring Schedule'!$I$6:$I$45,R1132)="","",INDEX('Recurring Schedule'!$I$6:$I$45,R1132)))</f>
        <v/>
      </c>
      <c r="I1132" s="36">
        <f>IF(OR(G1132="",H1132=""),"",TRIM(IF(HOUR(H1132-G1132)&gt;0,HOUR(H1132-G1132)&amp;" hr ","")&amp;IF(MINUTE(H1132-G1132)&gt;0,MINUTE(H1132-G1132)&amp;" min","")))</f>
        <v/>
      </c>
      <c r="J1132" s="66" t="n"/>
      <c r="K1132" s="70" t="n"/>
      <c r="L1132" s="36">
        <f>IF(R1132="","",IF(INDEX('Recurring Schedule'!$J$6:$J$45,R1132)="","",INDEX('Recurring Schedule'!$J$6:$J$45,R1132)))</f>
        <v/>
      </c>
      <c r="M1132" s="36">
        <f>IF(R1132="","",IF(INDEX('Recurring Schedule'!$K$6:$K$45,R1132)="","",INDEX('Recurring Schedule'!$K$6:$K$45,R1132)))</f>
        <v/>
      </c>
      <c r="N1132" s="36">
        <f>IF(R1132="","",IF(INDEX('Recurring Schedule'!$L$6:$L$45,R1132)="","",INDEX('Recurring Schedule'!$L$6:$L$45,R1132)))</f>
        <v/>
      </c>
      <c r="O1132" s="36">
        <f>IF(C1132="","",IF(AND(OR(L1132="1-Urgent",L1132="2-High"),M1132="✓"),"DO FIRST",IF(M1132="✓","SCHEDULE",IF(OR(L1132="1-Urgent",L1132="2-High"),"DELEGATE","DELETE"))))</f>
        <v/>
      </c>
      <c r="P1132" s="65" t="n"/>
      <c r="Q1132">
        <f>IF(1127&gt;Calc!$AQ$368,"",MATCH(1126,Calc!$AQ$2:$AQ$367,1))</f>
        <v/>
      </c>
      <c r="R1132">
        <f>IF(Q1132="","",SMALL(INDEX(Calc!$B$2:$AO$367,Q1132,0),1127-INDEX(Calc!$AQ$2:$AQ$367,Q1132)))</f>
        <v/>
      </c>
    </row>
    <row r="1133">
      <c r="B1133" s="71">
        <f>IF(R1133="","",1128)</f>
        <v/>
      </c>
      <c r="C1133" s="75">
        <f>IF(R1133="","",IF(INDEX('Recurring Schedule'!$C$6:$C$45,R1133)="","",INDEX('Recurring Schedule'!$C$6:$C$45,R1133)))</f>
        <v/>
      </c>
      <c r="D1133" s="73">
        <f>IF(R1133="","",IF(INDEX('Recurring Schedule'!$D$6:$D$45,R1133)="","",INDEX('Recurring Schedule'!$D$6:$D$45,R1133)))</f>
        <v/>
      </c>
      <c r="E1133" s="76">
        <f>IF(Q1133="","",INDEX(Calc!$A$2:$A$367,Q1133))</f>
        <v/>
      </c>
      <c r="F1133" s="72">
        <f>IF(OR(C1133="",E1133=""),"",E1133-Setup!$D$7)</f>
        <v/>
      </c>
      <c r="G1133" s="77">
        <f>IF(R1133="","",IF(INDEX('Recurring Schedule'!$H$6:$H$45,R1133)="","",INDEX('Recurring Schedule'!$H$6:$H$45,R1133)))</f>
        <v/>
      </c>
      <c r="H1133" s="77">
        <f>IF(R1133="","",IF(INDEX('Recurring Schedule'!$I$6:$I$45,R1133)="","",INDEX('Recurring Schedule'!$I$6:$I$45,R1133)))</f>
        <v/>
      </c>
      <c r="I1133" s="73">
        <f>IF(OR(G1133="",H1133=""),"",TRIM(IF(HOUR(H1133-G1133)&gt;0,HOUR(H1133-G1133)&amp;" hr ","")&amp;IF(MINUTE(H1133-G1133)&gt;0,MINUTE(H1133-G1133)&amp;" min","")))</f>
        <v/>
      </c>
      <c r="J1133" s="66" t="n"/>
      <c r="K1133" s="70" t="n"/>
      <c r="L1133" s="73">
        <f>IF(R1133="","",IF(INDEX('Recurring Schedule'!$J$6:$J$45,R1133)="","",INDEX('Recurring Schedule'!$J$6:$J$45,R1133)))</f>
        <v/>
      </c>
      <c r="M1133" s="73">
        <f>IF(R1133="","",IF(INDEX('Recurring Schedule'!$K$6:$K$45,R1133)="","",INDEX('Recurring Schedule'!$K$6:$K$45,R1133)))</f>
        <v/>
      </c>
      <c r="N1133" s="73">
        <f>IF(R1133="","",IF(INDEX('Recurring Schedule'!$L$6:$L$45,R1133)="","",INDEX('Recurring Schedule'!$L$6:$L$45,R1133)))</f>
        <v/>
      </c>
      <c r="O1133" s="73">
        <f>IF(C1133="","",IF(AND(OR(L1133="1-Urgent",L1133="2-High"),M1133="✓"),"DO FIRST",IF(M1133="✓","SCHEDULE",IF(OR(L1133="1-Urgent",L1133="2-High"),"DELEGATE","DELETE"))))</f>
        <v/>
      </c>
      <c r="P1133" s="65" t="n"/>
      <c r="Q1133">
        <f>IF(1128&gt;Calc!$AQ$368,"",MATCH(1127,Calc!$AQ$2:$AQ$367,1))</f>
        <v/>
      </c>
      <c r="R1133">
        <f>IF(Q1133="","",SMALL(INDEX(Calc!$B$2:$AO$367,Q1133,0),1128-INDEX(Calc!$AQ$2:$AQ$367,Q1133)))</f>
        <v/>
      </c>
    </row>
    <row r="1134">
      <c r="B1134" s="64">
        <f>IF(R1134="","",1129)</f>
        <v/>
      </c>
      <c r="C1134" s="37">
        <f>IF(R1134="","",IF(INDEX('Recurring Schedule'!$C$6:$C$45,R1134)="","",INDEX('Recurring Schedule'!$C$6:$C$45,R1134)))</f>
        <v/>
      </c>
      <c r="D1134" s="36">
        <f>IF(R1134="","",IF(INDEX('Recurring Schedule'!$D$6:$D$45,R1134)="","",INDEX('Recurring Schedule'!$D$6:$D$45,R1134)))</f>
        <v/>
      </c>
      <c r="E1134" s="38">
        <f>IF(Q1134="","",INDEX(Calc!$A$2:$A$367,Q1134))</f>
        <v/>
      </c>
      <c r="F1134" s="68">
        <f>IF(OR(C1134="",E1134=""),"",E1134-Setup!$D$7)</f>
        <v/>
      </c>
      <c r="G1134" s="74">
        <f>IF(R1134="","",IF(INDEX('Recurring Schedule'!$H$6:$H$45,R1134)="","",INDEX('Recurring Schedule'!$H$6:$H$45,R1134)))</f>
        <v/>
      </c>
      <c r="H1134" s="74">
        <f>IF(R1134="","",IF(INDEX('Recurring Schedule'!$I$6:$I$45,R1134)="","",INDEX('Recurring Schedule'!$I$6:$I$45,R1134)))</f>
        <v/>
      </c>
      <c r="I1134" s="36">
        <f>IF(OR(G1134="",H1134=""),"",TRIM(IF(HOUR(H1134-G1134)&gt;0,HOUR(H1134-G1134)&amp;" hr ","")&amp;IF(MINUTE(H1134-G1134)&gt;0,MINUTE(H1134-G1134)&amp;" min","")))</f>
        <v/>
      </c>
      <c r="J1134" s="66" t="n"/>
      <c r="K1134" s="70" t="n"/>
      <c r="L1134" s="36">
        <f>IF(R1134="","",IF(INDEX('Recurring Schedule'!$J$6:$J$45,R1134)="","",INDEX('Recurring Schedule'!$J$6:$J$45,R1134)))</f>
        <v/>
      </c>
      <c r="M1134" s="36">
        <f>IF(R1134="","",IF(INDEX('Recurring Schedule'!$K$6:$K$45,R1134)="","",INDEX('Recurring Schedule'!$K$6:$K$45,R1134)))</f>
        <v/>
      </c>
      <c r="N1134" s="36">
        <f>IF(R1134="","",IF(INDEX('Recurring Schedule'!$L$6:$L$45,R1134)="","",INDEX('Recurring Schedule'!$L$6:$L$45,R1134)))</f>
        <v/>
      </c>
      <c r="O1134" s="36">
        <f>IF(C1134="","",IF(AND(OR(L1134="1-Urgent",L1134="2-High"),M1134="✓"),"DO FIRST",IF(M1134="✓","SCHEDULE",IF(OR(L1134="1-Urgent",L1134="2-High"),"DELEGATE","DELETE"))))</f>
        <v/>
      </c>
      <c r="P1134" s="65" t="n"/>
      <c r="Q1134">
        <f>IF(1129&gt;Calc!$AQ$368,"",MATCH(1128,Calc!$AQ$2:$AQ$367,1))</f>
        <v/>
      </c>
      <c r="R1134">
        <f>IF(Q1134="","",SMALL(INDEX(Calc!$B$2:$AO$367,Q1134,0),1129-INDEX(Calc!$AQ$2:$AQ$367,Q1134)))</f>
        <v/>
      </c>
    </row>
    <row r="1135">
      <c r="B1135" s="71">
        <f>IF(R1135="","",1130)</f>
        <v/>
      </c>
      <c r="C1135" s="75">
        <f>IF(R1135="","",IF(INDEX('Recurring Schedule'!$C$6:$C$45,R1135)="","",INDEX('Recurring Schedule'!$C$6:$C$45,R1135)))</f>
        <v/>
      </c>
      <c r="D1135" s="73">
        <f>IF(R1135="","",IF(INDEX('Recurring Schedule'!$D$6:$D$45,R1135)="","",INDEX('Recurring Schedule'!$D$6:$D$45,R1135)))</f>
        <v/>
      </c>
      <c r="E1135" s="76">
        <f>IF(Q1135="","",INDEX(Calc!$A$2:$A$367,Q1135))</f>
        <v/>
      </c>
      <c r="F1135" s="72">
        <f>IF(OR(C1135="",E1135=""),"",E1135-Setup!$D$7)</f>
        <v/>
      </c>
      <c r="G1135" s="77">
        <f>IF(R1135="","",IF(INDEX('Recurring Schedule'!$H$6:$H$45,R1135)="","",INDEX('Recurring Schedule'!$H$6:$H$45,R1135)))</f>
        <v/>
      </c>
      <c r="H1135" s="77">
        <f>IF(R1135="","",IF(INDEX('Recurring Schedule'!$I$6:$I$45,R1135)="","",INDEX('Recurring Schedule'!$I$6:$I$45,R1135)))</f>
        <v/>
      </c>
      <c r="I1135" s="73">
        <f>IF(OR(G1135="",H1135=""),"",TRIM(IF(HOUR(H1135-G1135)&gt;0,HOUR(H1135-G1135)&amp;" hr ","")&amp;IF(MINUTE(H1135-G1135)&gt;0,MINUTE(H1135-G1135)&amp;" min","")))</f>
        <v/>
      </c>
      <c r="J1135" s="66" t="n"/>
      <c r="K1135" s="70" t="n"/>
      <c r="L1135" s="73">
        <f>IF(R1135="","",IF(INDEX('Recurring Schedule'!$J$6:$J$45,R1135)="","",INDEX('Recurring Schedule'!$J$6:$J$45,R1135)))</f>
        <v/>
      </c>
      <c r="M1135" s="73">
        <f>IF(R1135="","",IF(INDEX('Recurring Schedule'!$K$6:$K$45,R1135)="","",INDEX('Recurring Schedule'!$K$6:$K$45,R1135)))</f>
        <v/>
      </c>
      <c r="N1135" s="73">
        <f>IF(R1135="","",IF(INDEX('Recurring Schedule'!$L$6:$L$45,R1135)="","",INDEX('Recurring Schedule'!$L$6:$L$45,R1135)))</f>
        <v/>
      </c>
      <c r="O1135" s="73">
        <f>IF(C1135="","",IF(AND(OR(L1135="1-Urgent",L1135="2-High"),M1135="✓"),"DO FIRST",IF(M1135="✓","SCHEDULE",IF(OR(L1135="1-Urgent",L1135="2-High"),"DELEGATE","DELETE"))))</f>
        <v/>
      </c>
      <c r="P1135" s="65" t="n"/>
      <c r="Q1135">
        <f>IF(1130&gt;Calc!$AQ$368,"",MATCH(1129,Calc!$AQ$2:$AQ$367,1))</f>
        <v/>
      </c>
      <c r="R1135">
        <f>IF(Q1135="","",SMALL(INDEX(Calc!$B$2:$AO$367,Q1135,0),1130-INDEX(Calc!$AQ$2:$AQ$367,Q1135)))</f>
        <v/>
      </c>
    </row>
    <row r="1136">
      <c r="B1136" s="64">
        <f>IF(R1136="","",1131)</f>
        <v/>
      </c>
      <c r="C1136" s="37">
        <f>IF(R1136="","",IF(INDEX('Recurring Schedule'!$C$6:$C$45,R1136)="","",INDEX('Recurring Schedule'!$C$6:$C$45,R1136)))</f>
        <v/>
      </c>
      <c r="D1136" s="36">
        <f>IF(R1136="","",IF(INDEX('Recurring Schedule'!$D$6:$D$45,R1136)="","",INDEX('Recurring Schedule'!$D$6:$D$45,R1136)))</f>
        <v/>
      </c>
      <c r="E1136" s="38">
        <f>IF(Q1136="","",INDEX(Calc!$A$2:$A$367,Q1136))</f>
        <v/>
      </c>
      <c r="F1136" s="68">
        <f>IF(OR(C1136="",E1136=""),"",E1136-Setup!$D$7)</f>
        <v/>
      </c>
      <c r="G1136" s="74">
        <f>IF(R1136="","",IF(INDEX('Recurring Schedule'!$H$6:$H$45,R1136)="","",INDEX('Recurring Schedule'!$H$6:$H$45,R1136)))</f>
        <v/>
      </c>
      <c r="H1136" s="74">
        <f>IF(R1136="","",IF(INDEX('Recurring Schedule'!$I$6:$I$45,R1136)="","",INDEX('Recurring Schedule'!$I$6:$I$45,R1136)))</f>
        <v/>
      </c>
      <c r="I1136" s="36">
        <f>IF(OR(G1136="",H1136=""),"",TRIM(IF(HOUR(H1136-G1136)&gt;0,HOUR(H1136-G1136)&amp;" hr ","")&amp;IF(MINUTE(H1136-G1136)&gt;0,MINUTE(H1136-G1136)&amp;" min","")))</f>
        <v/>
      </c>
      <c r="J1136" s="66" t="n"/>
      <c r="K1136" s="70" t="n"/>
      <c r="L1136" s="36">
        <f>IF(R1136="","",IF(INDEX('Recurring Schedule'!$J$6:$J$45,R1136)="","",INDEX('Recurring Schedule'!$J$6:$J$45,R1136)))</f>
        <v/>
      </c>
      <c r="M1136" s="36">
        <f>IF(R1136="","",IF(INDEX('Recurring Schedule'!$K$6:$K$45,R1136)="","",INDEX('Recurring Schedule'!$K$6:$K$45,R1136)))</f>
        <v/>
      </c>
      <c r="N1136" s="36">
        <f>IF(R1136="","",IF(INDEX('Recurring Schedule'!$L$6:$L$45,R1136)="","",INDEX('Recurring Schedule'!$L$6:$L$45,R1136)))</f>
        <v/>
      </c>
      <c r="O1136" s="36">
        <f>IF(C1136="","",IF(AND(OR(L1136="1-Urgent",L1136="2-High"),M1136="✓"),"DO FIRST",IF(M1136="✓","SCHEDULE",IF(OR(L1136="1-Urgent",L1136="2-High"),"DELEGATE","DELETE"))))</f>
        <v/>
      </c>
      <c r="P1136" s="65" t="n"/>
      <c r="Q1136">
        <f>IF(1131&gt;Calc!$AQ$368,"",MATCH(1130,Calc!$AQ$2:$AQ$367,1))</f>
        <v/>
      </c>
      <c r="R1136">
        <f>IF(Q1136="","",SMALL(INDEX(Calc!$B$2:$AO$367,Q1136,0),1131-INDEX(Calc!$AQ$2:$AQ$367,Q1136)))</f>
        <v/>
      </c>
    </row>
    <row r="1137">
      <c r="B1137" s="71">
        <f>IF(R1137="","",1132)</f>
        <v/>
      </c>
      <c r="C1137" s="75">
        <f>IF(R1137="","",IF(INDEX('Recurring Schedule'!$C$6:$C$45,R1137)="","",INDEX('Recurring Schedule'!$C$6:$C$45,R1137)))</f>
        <v/>
      </c>
      <c r="D1137" s="73">
        <f>IF(R1137="","",IF(INDEX('Recurring Schedule'!$D$6:$D$45,R1137)="","",INDEX('Recurring Schedule'!$D$6:$D$45,R1137)))</f>
        <v/>
      </c>
      <c r="E1137" s="76">
        <f>IF(Q1137="","",INDEX(Calc!$A$2:$A$367,Q1137))</f>
        <v/>
      </c>
      <c r="F1137" s="72">
        <f>IF(OR(C1137="",E1137=""),"",E1137-Setup!$D$7)</f>
        <v/>
      </c>
      <c r="G1137" s="77">
        <f>IF(R1137="","",IF(INDEX('Recurring Schedule'!$H$6:$H$45,R1137)="","",INDEX('Recurring Schedule'!$H$6:$H$45,R1137)))</f>
        <v/>
      </c>
      <c r="H1137" s="77">
        <f>IF(R1137="","",IF(INDEX('Recurring Schedule'!$I$6:$I$45,R1137)="","",INDEX('Recurring Schedule'!$I$6:$I$45,R1137)))</f>
        <v/>
      </c>
      <c r="I1137" s="73">
        <f>IF(OR(G1137="",H1137=""),"",TRIM(IF(HOUR(H1137-G1137)&gt;0,HOUR(H1137-G1137)&amp;" hr ","")&amp;IF(MINUTE(H1137-G1137)&gt;0,MINUTE(H1137-G1137)&amp;" min","")))</f>
        <v/>
      </c>
      <c r="J1137" s="66" t="n"/>
      <c r="K1137" s="70" t="n"/>
      <c r="L1137" s="73">
        <f>IF(R1137="","",IF(INDEX('Recurring Schedule'!$J$6:$J$45,R1137)="","",INDEX('Recurring Schedule'!$J$6:$J$45,R1137)))</f>
        <v/>
      </c>
      <c r="M1137" s="73">
        <f>IF(R1137="","",IF(INDEX('Recurring Schedule'!$K$6:$K$45,R1137)="","",INDEX('Recurring Schedule'!$K$6:$K$45,R1137)))</f>
        <v/>
      </c>
      <c r="N1137" s="73">
        <f>IF(R1137="","",IF(INDEX('Recurring Schedule'!$L$6:$L$45,R1137)="","",INDEX('Recurring Schedule'!$L$6:$L$45,R1137)))</f>
        <v/>
      </c>
      <c r="O1137" s="73">
        <f>IF(C1137="","",IF(AND(OR(L1137="1-Urgent",L1137="2-High"),M1137="✓"),"DO FIRST",IF(M1137="✓","SCHEDULE",IF(OR(L1137="1-Urgent",L1137="2-High"),"DELEGATE","DELETE"))))</f>
        <v/>
      </c>
      <c r="P1137" s="65" t="n"/>
      <c r="Q1137">
        <f>IF(1132&gt;Calc!$AQ$368,"",MATCH(1131,Calc!$AQ$2:$AQ$367,1))</f>
        <v/>
      </c>
      <c r="R1137">
        <f>IF(Q1137="","",SMALL(INDEX(Calc!$B$2:$AO$367,Q1137,0),1132-INDEX(Calc!$AQ$2:$AQ$367,Q1137)))</f>
        <v/>
      </c>
    </row>
    <row r="1138">
      <c r="B1138" s="64">
        <f>IF(R1138="","",1133)</f>
        <v/>
      </c>
      <c r="C1138" s="37">
        <f>IF(R1138="","",IF(INDEX('Recurring Schedule'!$C$6:$C$45,R1138)="","",INDEX('Recurring Schedule'!$C$6:$C$45,R1138)))</f>
        <v/>
      </c>
      <c r="D1138" s="36">
        <f>IF(R1138="","",IF(INDEX('Recurring Schedule'!$D$6:$D$45,R1138)="","",INDEX('Recurring Schedule'!$D$6:$D$45,R1138)))</f>
        <v/>
      </c>
      <c r="E1138" s="38">
        <f>IF(Q1138="","",INDEX(Calc!$A$2:$A$367,Q1138))</f>
        <v/>
      </c>
      <c r="F1138" s="68">
        <f>IF(OR(C1138="",E1138=""),"",E1138-Setup!$D$7)</f>
        <v/>
      </c>
      <c r="G1138" s="74">
        <f>IF(R1138="","",IF(INDEX('Recurring Schedule'!$H$6:$H$45,R1138)="","",INDEX('Recurring Schedule'!$H$6:$H$45,R1138)))</f>
        <v/>
      </c>
      <c r="H1138" s="74">
        <f>IF(R1138="","",IF(INDEX('Recurring Schedule'!$I$6:$I$45,R1138)="","",INDEX('Recurring Schedule'!$I$6:$I$45,R1138)))</f>
        <v/>
      </c>
      <c r="I1138" s="36">
        <f>IF(OR(G1138="",H1138=""),"",TRIM(IF(HOUR(H1138-G1138)&gt;0,HOUR(H1138-G1138)&amp;" hr ","")&amp;IF(MINUTE(H1138-G1138)&gt;0,MINUTE(H1138-G1138)&amp;" min","")))</f>
        <v/>
      </c>
      <c r="J1138" s="66" t="n"/>
      <c r="K1138" s="70" t="n"/>
      <c r="L1138" s="36">
        <f>IF(R1138="","",IF(INDEX('Recurring Schedule'!$J$6:$J$45,R1138)="","",INDEX('Recurring Schedule'!$J$6:$J$45,R1138)))</f>
        <v/>
      </c>
      <c r="M1138" s="36">
        <f>IF(R1138="","",IF(INDEX('Recurring Schedule'!$K$6:$K$45,R1138)="","",INDEX('Recurring Schedule'!$K$6:$K$45,R1138)))</f>
        <v/>
      </c>
      <c r="N1138" s="36">
        <f>IF(R1138="","",IF(INDEX('Recurring Schedule'!$L$6:$L$45,R1138)="","",INDEX('Recurring Schedule'!$L$6:$L$45,R1138)))</f>
        <v/>
      </c>
      <c r="O1138" s="36">
        <f>IF(C1138="","",IF(AND(OR(L1138="1-Urgent",L1138="2-High"),M1138="✓"),"DO FIRST",IF(M1138="✓","SCHEDULE",IF(OR(L1138="1-Urgent",L1138="2-High"),"DELEGATE","DELETE"))))</f>
        <v/>
      </c>
      <c r="P1138" s="65" t="n"/>
      <c r="Q1138">
        <f>IF(1133&gt;Calc!$AQ$368,"",MATCH(1132,Calc!$AQ$2:$AQ$367,1))</f>
        <v/>
      </c>
      <c r="R1138">
        <f>IF(Q1138="","",SMALL(INDEX(Calc!$B$2:$AO$367,Q1138,0),1133-INDEX(Calc!$AQ$2:$AQ$367,Q1138)))</f>
        <v/>
      </c>
    </row>
    <row r="1139">
      <c r="B1139" s="71">
        <f>IF(R1139="","",1134)</f>
        <v/>
      </c>
      <c r="C1139" s="75">
        <f>IF(R1139="","",IF(INDEX('Recurring Schedule'!$C$6:$C$45,R1139)="","",INDEX('Recurring Schedule'!$C$6:$C$45,R1139)))</f>
        <v/>
      </c>
      <c r="D1139" s="73">
        <f>IF(R1139="","",IF(INDEX('Recurring Schedule'!$D$6:$D$45,R1139)="","",INDEX('Recurring Schedule'!$D$6:$D$45,R1139)))</f>
        <v/>
      </c>
      <c r="E1139" s="76">
        <f>IF(Q1139="","",INDEX(Calc!$A$2:$A$367,Q1139))</f>
        <v/>
      </c>
      <c r="F1139" s="72">
        <f>IF(OR(C1139="",E1139=""),"",E1139-Setup!$D$7)</f>
        <v/>
      </c>
      <c r="G1139" s="77">
        <f>IF(R1139="","",IF(INDEX('Recurring Schedule'!$H$6:$H$45,R1139)="","",INDEX('Recurring Schedule'!$H$6:$H$45,R1139)))</f>
        <v/>
      </c>
      <c r="H1139" s="77">
        <f>IF(R1139="","",IF(INDEX('Recurring Schedule'!$I$6:$I$45,R1139)="","",INDEX('Recurring Schedule'!$I$6:$I$45,R1139)))</f>
        <v/>
      </c>
      <c r="I1139" s="73">
        <f>IF(OR(G1139="",H1139=""),"",TRIM(IF(HOUR(H1139-G1139)&gt;0,HOUR(H1139-G1139)&amp;" hr ","")&amp;IF(MINUTE(H1139-G1139)&gt;0,MINUTE(H1139-G1139)&amp;" min","")))</f>
        <v/>
      </c>
      <c r="J1139" s="66" t="n"/>
      <c r="K1139" s="70" t="n"/>
      <c r="L1139" s="73">
        <f>IF(R1139="","",IF(INDEX('Recurring Schedule'!$J$6:$J$45,R1139)="","",INDEX('Recurring Schedule'!$J$6:$J$45,R1139)))</f>
        <v/>
      </c>
      <c r="M1139" s="73">
        <f>IF(R1139="","",IF(INDEX('Recurring Schedule'!$K$6:$K$45,R1139)="","",INDEX('Recurring Schedule'!$K$6:$K$45,R1139)))</f>
        <v/>
      </c>
      <c r="N1139" s="73">
        <f>IF(R1139="","",IF(INDEX('Recurring Schedule'!$L$6:$L$45,R1139)="","",INDEX('Recurring Schedule'!$L$6:$L$45,R1139)))</f>
        <v/>
      </c>
      <c r="O1139" s="73">
        <f>IF(C1139="","",IF(AND(OR(L1139="1-Urgent",L1139="2-High"),M1139="✓"),"DO FIRST",IF(M1139="✓","SCHEDULE",IF(OR(L1139="1-Urgent",L1139="2-High"),"DELEGATE","DELETE"))))</f>
        <v/>
      </c>
      <c r="P1139" s="65" t="n"/>
      <c r="Q1139">
        <f>IF(1134&gt;Calc!$AQ$368,"",MATCH(1133,Calc!$AQ$2:$AQ$367,1))</f>
        <v/>
      </c>
      <c r="R1139">
        <f>IF(Q1139="","",SMALL(INDEX(Calc!$B$2:$AO$367,Q1139,0),1134-INDEX(Calc!$AQ$2:$AQ$367,Q1139)))</f>
        <v/>
      </c>
    </row>
    <row r="1140">
      <c r="B1140" s="64">
        <f>IF(R1140="","",1135)</f>
        <v/>
      </c>
      <c r="C1140" s="37">
        <f>IF(R1140="","",IF(INDEX('Recurring Schedule'!$C$6:$C$45,R1140)="","",INDEX('Recurring Schedule'!$C$6:$C$45,R1140)))</f>
        <v/>
      </c>
      <c r="D1140" s="36">
        <f>IF(R1140="","",IF(INDEX('Recurring Schedule'!$D$6:$D$45,R1140)="","",INDEX('Recurring Schedule'!$D$6:$D$45,R1140)))</f>
        <v/>
      </c>
      <c r="E1140" s="38">
        <f>IF(Q1140="","",INDEX(Calc!$A$2:$A$367,Q1140))</f>
        <v/>
      </c>
      <c r="F1140" s="68">
        <f>IF(OR(C1140="",E1140=""),"",E1140-Setup!$D$7)</f>
        <v/>
      </c>
      <c r="G1140" s="74">
        <f>IF(R1140="","",IF(INDEX('Recurring Schedule'!$H$6:$H$45,R1140)="","",INDEX('Recurring Schedule'!$H$6:$H$45,R1140)))</f>
        <v/>
      </c>
      <c r="H1140" s="74">
        <f>IF(R1140="","",IF(INDEX('Recurring Schedule'!$I$6:$I$45,R1140)="","",INDEX('Recurring Schedule'!$I$6:$I$45,R1140)))</f>
        <v/>
      </c>
      <c r="I1140" s="36">
        <f>IF(OR(G1140="",H1140=""),"",TRIM(IF(HOUR(H1140-G1140)&gt;0,HOUR(H1140-G1140)&amp;" hr ","")&amp;IF(MINUTE(H1140-G1140)&gt;0,MINUTE(H1140-G1140)&amp;" min","")))</f>
        <v/>
      </c>
      <c r="J1140" s="66" t="n"/>
      <c r="K1140" s="70" t="n"/>
      <c r="L1140" s="36">
        <f>IF(R1140="","",IF(INDEX('Recurring Schedule'!$J$6:$J$45,R1140)="","",INDEX('Recurring Schedule'!$J$6:$J$45,R1140)))</f>
        <v/>
      </c>
      <c r="M1140" s="36">
        <f>IF(R1140="","",IF(INDEX('Recurring Schedule'!$K$6:$K$45,R1140)="","",INDEX('Recurring Schedule'!$K$6:$K$45,R1140)))</f>
        <v/>
      </c>
      <c r="N1140" s="36">
        <f>IF(R1140="","",IF(INDEX('Recurring Schedule'!$L$6:$L$45,R1140)="","",INDEX('Recurring Schedule'!$L$6:$L$45,R1140)))</f>
        <v/>
      </c>
      <c r="O1140" s="36">
        <f>IF(C1140="","",IF(AND(OR(L1140="1-Urgent",L1140="2-High"),M1140="✓"),"DO FIRST",IF(M1140="✓","SCHEDULE",IF(OR(L1140="1-Urgent",L1140="2-High"),"DELEGATE","DELETE"))))</f>
        <v/>
      </c>
      <c r="P1140" s="65" t="n"/>
      <c r="Q1140">
        <f>IF(1135&gt;Calc!$AQ$368,"",MATCH(1134,Calc!$AQ$2:$AQ$367,1))</f>
        <v/>
      </c>
      <c r="R1140">
        <f>IF(Q1140="","",SMALL(INDEX(Calc!$B$2:$AO$367,Q1140,0),1135-INDEX(Calc!$AQ$2:$AQ$367,Q1140)))</f>
        <v/>
      </c>
    </row>
    <row r="1141">
      <c r="B1141" s="71">
        <f>IF(R1141="","",1136)</f>
        <v/>
      </c>
      <c r="C1141" s="75">
        <f>IF(R1141="","",IF(INDEX('Recurring Schedule'!$C$6:$C$45,R1141)="","",INDEX('Recurring Schedule'!$C$6:$C$45,R1141)))</f>
        <v/>
      </c>
      <c r="D1141" s="73">
        <f>IF(R1141="","",IF(INDEX('Recurring Schedule'!$D$6:$D$45,R1141)="","",INDEX('Recurring Schedule'!$D$6:$D$45,R1141)))</f>
        <v/>
      </c>
      <c r="E1141" s="76">
        <f>IF(Q1141="","",INDEX(Calc!$A$2:$A$367,Q1141))</f>
        <v/>
      </c>
      <c r="F1141" s="72">
        <f>IF(OR(C1141="",E1141=""),"",E1141-Setup!$D$7)</f>
        <v/>
      </c>
      <c r="G1141" s="77">
        <f>IF(R1141="","",IF(INDEX('Recurring Schedule'!$H$6:$H$45,R1141)="","",INDEX('Recurring Schedule'!$H$6:$H$45,R1141)))</f>
        <v/>
      </c>
      <c r="H1141" s="77">
        <f>IF(R1141="","",IF(INDEX('Recurring Schedule'!$I$6:$I$45,R1141)="","",INDEX('Recurring Schedule'!$I$6:$I$45,R1141)))</f>
        <v/>
      </c>
      <c r="I1141" s="73">
        <f>IF(OR(G1141="",H1141=""),"",TRIM(IF(HOUR(H1141-G1141)&gt;0,HOUR(H1141-G1141)&amp;" hr ","")&amp;IF(MINUTE(H1141-G1141)&gt;0,MINUTE(H1141-G1141)&amp;" min","")))</f>
        <v/>
      </c>
      <c r="J1141" s="66" t="n"/>
      <c r="K1141" s="70" t="n"/>
      <c r="L1141" s="73">
        <f>IF(R1141="","",IF(INDEX('Recurring Schedule'!$J$6:$J$45,R1141)="","",INDEX('Recurring Schedule'!$J$6:$J$45,R1141)))</f>
        <v/>
      </c>
      <c r="M1141" s="73">
        <f>IF(R1141="","",IF(INDEX('Recurring Schedule'!$K$6:$K$45,R1141)="","",INDEX('Recurring Schedule'!$K$6:$K$45,R1141)))</f>
        <v/>
      </c>
      <c r="N1141" s="73">
        <f>IF(R1141="","",IF(INDEX('Recurring Schedule'!$L$6:$L$45,R1141)="","",INDEX('Recurring Schedule'!$L$6:$L$45,R1141)))</f>
        <v/>
      </c>
      <c r="O1141" s="73">
        <f>IF(C1141="","",IF(AND(OR(L1141="1-Urgent",L1141="2-High"),M1141="✓"),"DO FIRST",IF(M1141="✓","SCHEDULE",IF(OR(L1141="1-Urgent",L1141="2-High"),"DELEGATE","DELETE"))))</f>
        <v/>
      </c>
      <c r="P1141" s="65" t="n"/>
      <c r="Q1141">
        <f>IF(1136&gt;Calc!$AQ$368,"",MATCH(1135,Calc!$AQ$2:$AQ$367,1))</f>
        <v/>
      </c>
      <c r="R1141">
        <f>IF(Q1141="","",SMALL(INDEX(Calc!$B$2:$AO$367,Q1141,0),1136-INDEX(Calc!$AQ$2:$AQ$367,Q1141)))</f>
        <v/>
      </c>
    </row>
    <row r="1142">
      <c r="B1142" s="64">
        <f>IF(R1142="","",1137)</f>
        <v/>
      </c>
      <c r="C1142" s="37">
        <f>IF(R1142="","",IF(INDEX('Recurring Schedule'!$C$6:$C$45,R1142)="","",INDEX('Recurring Schedule'!$C$6:$C$45,R1142)))</f>
        <v/>
      </c>
      <c r="D1142" s="36">
        <f>IF(R1142="","",IF(INDEX('Recurring Schedule'!$D$6:$D$45,R1142)="","",INDEX('Recurring Schedule'!$D$6:$D$45,R1142)))</f>
        <v/>
      </c>
      <c r="E1142" s="38">
        <f>IF(Q1142="","",INDEX(Calc!$A$2:$A$367,Q1142))</f>
        <v/>
      </c>
      <c r="F1142" s="68">
        <f>IF(OR(C1142="",E1142=""),"",E1142-Setup!$D$7)</f>
        <v/>
      </c>
      <c r="G1142" s="74">
        <f>IF(R1142="","",IF(INDEX('Recurring Schedule'!$H$6:$H$45,R1142)="","",INDEX('Recurring Schedule'!$H$6:$H$45,R1142)))</f>
        <v/>
      </c>
      <c r="H1142" s="74">
        <f>IF(R1142="","",IF(INDEX('Recurring Schedule'!$I$6:$I$45,R1142)="","",INDEX('Recurring Schedule'!$I$6:$I$45,R1142)))</f>
        <v/>
      </c>
      <c r="I1142" s="36">
        <f>IF(OR(G1142="",H1142=""),"",TRIM(IF(HOUR(H1142-G1142)&gt;0,HOUR(H1142-G1142)&amp;" hr ","")&amp;IF(MINUTE(H1142-G1142)&gt;0,MINUTE(H1142-G1142)&amp;" min","")))</f>
        <v/>
      </c>
      <c r="J1142" s="66" t="n"/>
      <c r="K1142" s="70" t="n"/>
      <c r="L1142" s="36">
        <f>IF(R1142="","",IF(INDEX('Recurring Schedule'!$J$6:$J$45,R1142)="","",INDEX('Recurring Schedule'!$J$6:$J$45,R1142)))</f>
        <v/>
      </c>
      <c r="M1142" s="36">
        <f>IF(R1142="","",IF(INDEX('Recurring Schedule'!$K$6:$K$45,R1142)="","",INDEX('Recurring Schedule'!$K$6:$K$45,R1142)))</f>
        <v/>
      </c>
      <c r="N1142" s="36">
        <f>IF(R1142="","",IF(INDEX('Recurring Schedule'!$L$6:$L$45,R1142)="","",INDEX('Recurring Schedule'!$L$6:$L$45,R1142)))</f>
        <v/>
      </c>
      <c r="O1142" s="36">
        <f>IF(C1142="","",IF(AND(OR(L1142="1-Urgent",L1142="2-High"),M1142="✓"),"DO FIRST",IF(M1142="✓","SCHEDULE",IF(OR(L1142="1-Urgent",L1142="2-High"),"DELEGATE","DELETE"))))</f>
        <v/>
      </c>
      <c r="P1142" s="65" t="n"/>
      <c r="Q1142">
        <f>IF(1137&gt;Calc!$AQ$368,"",MATCH(1136,Calc!$AQ$2:$AQ$367,1))</f>
        <v/>
      </c>
      <c r="R1142">
        <f>IF(Q1142="","",SMALL(INDEX(Calc!$B$2:$AO$367,Q1142,0),1137-INDEX(Calc!$AQ$2:$AQ$367,Q1142)))</f>
        <v/>
      </c>
    </row>
    <row r="1143">
      <c r="B1143" s="71">
        <f>IF(R1143="","",1138)</f>
        <v/>
      </c>
      <c r="C1143" s="75">
        <f>IF(R1143="","",IF(INDEX('Recurring Schedule'!$C$6:$C$45,R1143)="","",INDEX('Recurring Schedule'!$C$6:$C$45,R1143)))</f>
        <v/>
      </c>
      <c r="D1143" s="73">
        <f>IF(R1143="","",IF(INDEX('Recurring Schedule'!$D$6:$D$45,R1143)="","",INDEX('Recurring Schedule'!$D$6:$D$45,R1143)))</f>
        <v/>
      </c>
      <c r="E1143" s="76">
        <f>IF(Q1143="","",INDEX(Calc!$A$2:$A$367,Q1143))</f>
        <v/>
      </c>
      <c r="F1143" s="72">
        <f>IF(OR(C1143="",E1143=""),"",E1143-Setup!$D$7)</f>
        <v/>
      </c>
      <c r="G1143" s="77">
        <f>IF(R1143="","",IF(INDEX('Recurring Schedule'!$H$6:$H$45,R1143)="","",INDEX('Recurring Schedule'!$H$6:$H$45,R1143)))</f>
        <v/>
      </c>
      <c r="H1143" s="77">
        <f>IF(R1143="","",IF(INDEX('Recurring Schedule'!$I$6:$I$45,R1143)="","",INDEX('Recurring Schedule'!$I$6:$I$45,R1143)))</f>
        <v/>
      </c>
      <c r="I1143" s="73">
        <f>IF(OR(G1143="",H1143=""),"",TRIM(IF(HOUR(H1143-G1143)&gt;0,HOUR(H1143-G1143)&amp;" hr ","")&amp;IF(MINUTE(H1143-G1143)&gt;0,MINUTE(H1143-G1143)&amp;" min","")))</f>
        <v/>
      </c>
      <c r="J1143" s="66" t="n"/>
      <c r="K1143" s="70" t="n"/>
      <c r="L1143" s="73">
        <f>IF(R1143="","",IF(INDEX('Recurring Schedule'!$J$6:$J$45,R1143)="","",INDEX('Recurring Schedule'!$J$6:$J$45,R1143)))</f>
        <v/>
      </c>
      <c r="M1143" s="73">
        <f>IF(R1143="","",IF(INDEX('Recurring Schedule'!$K$6:$K$45,R1143)="","",INDEX('Recurring Schedule'!$K$6:$K$45,R1143)))</f>
        <v/>
      </c>
      <c r="N1143" s="73">
        <f>IF(R1143="","",IF(INDEX('Recurring Schedule'!$L$6:$L$45,R1143)="","",INDEX('Recurring Schedule'!$L$6:$L$45,R1143)))</f>
        <v/>
      </c>
      <c r="O1143" s="73">
        <f>IF(C1143="","",IF(AND(OR(L1143="1-Urgent",L1143="2-High"),M1143="✓"),"DO FIRST",IF(M1143="✓","SCHEDULE",IF(OR(L1143="1-Urgent",L1143="2-High"),"DELEGATE","DELETE"))))</f>
        <v/>
      </c>
      <c r="P1143" s="65" t="n"/>
      <c r="Q1143">
        <f>IF(1138&gt;Calc!$AQ$368,"",MATCH(1137,Calc!$AQ$2:$AQ$367,1))</f>
        <v/>
      </c>
      <c r="R1143">
        <f>IF(Q1143="","",SMALL(INDEX(Calc!$B$2:$AO$367,Q1143,0),1138-INDEX(Calc!$AQ$2:$AQ$367,Q1143)))</f>
        <v/>
      </c>
    </row>
    <row r="1144">
      <c r="B1144" s="64">
        <f>IF(R1144="","",1139)</f>
        <v/>
      </c>
      <c r="C1144" s="37">
        <f>IF(R1144="","",IF(INDEX('Recurring Schedule'!$C$6:$C$45,R1144)="","",INDEX('Recurring Schedule'!$C$6:$C$45,R1144)))</f>
        <v/>
      </c>
      <c r="D1144" s="36">
        <f>IF(R1144="","",IF(INDEX('Recurring Schedule'!$D$6:$D$45,R1144)="","",INDEX('Recurring Schedule'!$D$6:$D$45,R1144)))</f>
        <v/>
      </c>
      <c r="E1144" s="38">
        <f>IF(Q1144="","",INDEX(Calc!$A$2:$A$367,Q1144))</f>
        <v/>
      </c>
      <c r="F1144" s="68">
        <f>IF(OR(C1144="",E1144=""),"",E1144-Setup!$D$7)</f>
        <v/>
      </c>
      <c r="G1144" s="74">
        <f>IF(R1144="","",IF(INDEX('Recurring Schedule'!$H$6:$H$45,R1144)="","",INDEX('Recurring Schedule'!$H$6:$H$45,R1144)))</f>
        <v/>
      </c>
      <c r="H1144" s="74">
        <f>IF(R1144="","",IF(INDEX('Recurring Schedule'!$I$6:$I$45,R1144)="","",INDEX('Recurring Schedule'!$I$6:$I$45,R1144)))</f>
        <v/>
      </c>
      <c r="I1144" s="36">
        <f>IF(OR(G1144="",H1144=""),"",TRIM(IF(HOUR(H1144-G1144)&gt;0,HOUR(H1144-G1144)&amp;" hr ","")&amp;IF(MINUTE(H1144-G1144)&gt;0,MINUTE(H1144-G1144)&amp;" min","")))</f>
        <v/>
      </c>
      <c r="J1144" s="66" t="n"/>
      <c r="K1144" s="70" t="n"/>
      <c r="L1144" s="36">
        <f>IF(R1144="","",IF(INDEX('Recurring Schedule'!$J$6:$J$45,R1144)="","",INDEX('Recurring Schedule'!$J$6:$J$45,R1144)))</f>
        <v/>
      </c>
      <c r="M1144" s="36">
        <f>IF(R1144="","",IF(INDEX('Recurring Schedule'!$K$6:$K$45,R1144)="","",INDEX('Recurring Schedule'!$K$6:$K$45,R1144)))</f>
        <v/>
      </c>
      <c r="N1144" s="36">
        <f>IF(R1144="","",IF(INDEX('Recurring Schedule'!$L$6:$L$45,R1144)="","",INDEX('Recurring Schedule'!$L$6:$L$45,R1144)))</f>
        <v/>
      </c>
      <c r="O1144" s="36">
        <f>IF(C1144="","",IF(AND(OR(L1144="1-Urgent",L1144="2-High"),M1144="✓"),"DO FIRST",IF(M1144="✓","SCHEDULE",IF(OR(L1144="1-Urgent",L1144="2-High"),"DELEGATE","DELETE"))))</f>
        <v/>
      </c>
      <c r="P1144" s="65" t="n"/>
      <c r="Q1144">
        <f>IF(1139&gt;Calc!$AQ$368,"",MATCH(1138,Calc!$AQ$2:$AQ$367,1))</f>
        <v/>
      </c>
      <c r="R1144">
        <f>IF(Q1144="","",SMALL(INDEX(Calc!$B$2:$AO$367,Q1144,0),1139-INDEX(Calc!$AQ$2:$AQ$367,Q1144)))</f>
        <v/>
      </c>
    </row>
    <row r="1145">
      <c r="B1145" s="71">
        <f>IF(R1145="","",1140)</f>
        <v/>
      </c>
      <c r="C1145" s="75">
        <f>IF(R1145="","",IF(INDEX('Recurring Schedule'!$C$6:$C$45,R1145)="","",INDEX('Recurring Schedule'!$C$6:$C$45,R1145)))</f>
        <v/>
      </c>
      <c r="D1145" s="73">
        <f>IF(R1145="","",IF(INDEX('Recurring Schedule'!$D$6:$D$45,R1145)="","",INDEX('Recurring Schedule'!$D$6:$D$45,R1145)))</f>
        <v/>
      </c>
      <c r="E1145" s="76">
        <f>IF(Q1145="","",INDEX(Calc!$A$2:$A$367,Q1145))</f>
        <v/>
      </c>
      <c r="F1145" s="72">
        <f>IF(OR(C1145="",E1145=""),"",E1145-Setup!$D$7)</f>
        <v/>
      </c>
      <c r="G1145" s="77">
        <f>IF(R1145="","",IF(INDEX('Recurring Schedule'!$H$6:$H$45,R1145)="","",INDEX('Recurring Schedule'!$H$6:$H$45,R1145)))</f>
        <v/>
      </c>
      <c r="H1145" s="77">
        <f>IF(R1145="","",IF(INDEX('Recurring Schedule'!$I$6:$I$45,R1145)="","",INDEX('Recurring Schedule'!$I$6:$I$45,R1145)))</f>
        <v/>
      </c>
      <c r="I1145" s="73">
        <f>IF(OR(G1145="",H1145=""),"",TRIM(IF(HOUR(H1145-G1145)&gt;0,HOUR(H1145-G1145)&amp;" hr ","")&amp;IF(MINUTE(H1145-G1145)&gt;0,MINUTE(H1145-G1145)&amp;" min","")))</f>
        <v/>
      </c>
      <c r="J1145" s="66" t="n"/>
      <c r="K1145" s="70" t="n"/>
      <c r="L1145" s="73">
        <f>IF(R1145="","",IF(INDEX('Recurring Schedule'!$J$6:$J$45,R1145)="","",INDEX('Recurring Schedule'!$J$6:$J$45,R1145)))</f>
        <v/>
      </c>
      <c r="M1145" s="73">
        <f>IF(R1145="","",IF(INDEX('Recurring Schedule'!$K$6:$K$45,R1145)="","",INDEX('Recurring Schedule'!$K$6:$K$45,R1145)))</f>
        <v/>
      </c>
      <c r="N1145" s="73">
        <f>IF(R1145="","",IF(INDEX('Recurring Schedule'!$L$6:$L$45,R1145)="","",INDEX('Recurring Schedule'!$L$6:$L$45,R1145)))</f>
        <v/>
      </c>
      <c r="O1145" s="73">
        <f>IF(C1145="","",IF(AND(OR(L1145="1-Urgent",L1145="2-High"),M1145="✓"),"DO FIRST",IF(M1145="✓","SCHEDULE",IF(OR(L1145="1-Urgent",L1145="2-High"),"DELEGATE","DELETE"))))</f>
        <v/>
      </c>
      <c r="P1145" s="65" t="n"/>
      <c r="Q1145">
        <f>IF(1140&gt;Calc!$AQ$368,"",MATCH(1139,Calc!$AQ$2:$AQ$367,1))</f>
        <v/>
      </c>
      <c r="R1145">
        <f>IF(Q1145="","",SMALL(INDEX(Calc!$B$2:$AO$367,Q1145,0),1140-INDEX(Calc!$AQ$2:$AQ$367,Q1145)))</f>
        <v/>
      </c>
    </row>
    <row r="1146">
      <c r="B1146" s="64">
        <f>IF(R1146="","",1141)</f>
        <v/>
      </c>
      <c r="C1146" s="37">
        <f>IF(R1146="","",IF(INDEX('Recurring Schedule'!$C$6:$C$45,R1146)="","",INDEX('Recurring Schedule'!$C$6:$C$45,R1146)))</f>
        <v/>
      </c>
      <c r="D1146" s="36">
        <f>IF(R1146="","",IF(INDEX('Recurring Schedule'!$D$6:$D$45,R1146)="","",INDEX('Recurring Schedule'!$D$6:$D$45,R1146)))</f>
        <v/>
      </c>
      <c r="E1146" s="38">
        <f>IF(Q1146="","",INDEX(Calc!$A$2:$A$367,Q1146))</f>
        <v/>
      </c>
      <c r="F1146" s="68">
        <f>IF(OR(C1146="",E1146=""),"",E1146-Setup!$D$7)</f>
        <v/>
      </c>
      <c r="G1146" s="74">
        <f>IF(R1146="","",IF(INDEX('Recurring Schedule'!$H$6:$H$45,R1146)="","",INDEX('Recurring Schedule'!$H$6:$H$45,R1146)))</f>
        <v/>
      </c>
      <c r="H1146" s="74">
        <f>IF(R1146="","",IF(INDEX('Recurring Schedule'!$I$6:$I$45,R1146)="","",INDEX('Recurring Schedule'!$I$6:$I$45,R1146)))</f>
        <v/>
      </c>
      <c r="I1146" s="36">
        <f>IF(OR(G1146="",H1146=""),"",TRIM(IF(HOUR(H1146-G1146)&gt;0,HOUR(H1146-G1146)&amp;" hr ","")&amp;IF(MINUTE(H1146-G1146)&gt;0,MINUTE(H1146-G1146)&amp;" min","")))</f>
        <v/>
      </c>
      <c r="J1146" s="66" t="n"/>
      <c r="K1146" s="70" t="n"/>
      <c r="L1146" s="36">
        <f>IF(R1146="","",IF(INDEX('Recurring Schedule'!$J$6:$J$45,R1146)="","",INDEX('Recurring Schedule'!$J$6:$J$45,R1146)))</f>
        <v/>
      </c>
      <c r="M1146" s="36">
        <f>IF(R1146="","",IF(INDEX('Recurring Schedule'!$K$6:$K$45,R1146)="","",INDEX('Recurring Schedule'!$K$6:$K$45,R1146)))</f>
        <v/>
      </c>
      <c r="N1146" s="36">
        <f>IF(R1146="","",IF(INDEX('Recurring Schedule'!$L$6:$L$45,R1146)="","",INDEX('Recurring Schedule'!$L$6:$L$45,R1146)))</f>
        <v/>
      </c>
      <c r="O1146" s="36">
        <f>IF(C1146="","",IF(AND(OR(L1146="1-Urgent",L1146="2-High"),M1146="✓"),"DO FIRST",IF(M1146="✓","SCHEDULE",IF(OR(L1146="1-Urgent",L1146="2-High"),"DELEGATE","DELETE"))))</f>
        <v/>
      </c>
      <c r="P1146" s="65" t="n"/>
      <c r="Q1146">
        <f>IF(1141&gt;Calc!$AQ$368,"",MATCH(1140,Calc!$AQ$2:$AQ$367,1))</f>
        <v/>
      </c>
      <c r="R1146">
        <f>IF(Q1146="","",SMALL(INDEX(Calc!$B$2:$AO$367,Q1146,0),1141-INDEX(Calc!$AQ$2:$AQ$367,Q1146)))</f>
        <v/>
      </c>
    </row>
    <row r="1147">
      <c r="B1147" s="71">
        <f>IF(R1147="","",1142)</f>
        <v/>
      </c>
      <c r="C1147" s="75">
        <f>IF(R1147="","",IF(INDEX('Recurring Schedule'!$C$6:$C$45,R1147)="","",INDEX('Recurring Schedule'!$C$6:$C$45,R1147)))</f>
        <v/>
      </c>
      <c r="D1147" s="73">
        <f>IF(R1147="","",IF(INDEX('Recurring Schedule'!$D$6:$D$45,R1147)="","",INDEX('Recurring Schedule'!$D$6:$D$45,R1147)))</f>
        <v/>
      </c>
      <c r="E1147" s="76">
        <f>IF(Q1147="","",INDEX(Calc!$A$2:$A$367,Q1147))</f>
        <v/>
      </c>
      <c r="F1147" s="72">
        <f>IF(OR(C1147="",E1147=""),"",E1147-Setup!$D$7)</f>
        <v/>
      </c>
      <c r="G1147" s="77">
        <f>IF(R1147="","",IF(INDEX('Recurring Schedule'!$H$6:$H$45,R1147)="","",INDEX('Recurring Schedule'!$H$6:$H$45,R1147)))</f>
        <v/>
      </c>
      <c r="H1147" s="77">
        <f>IF(R1147="","",IF(INDEX('Recurring Schedule'!$I$6:$I$45,R1147)="","",INDEX('Recurring Schedule'!$I$6:$I$45,R1147)))</f>
        <v/>
      </c>
      <c r="I1147" s="73">
        <f>IF(OR(G1147="",H1147=""),"",TRIM(IF(HOUR(H1147-G1147)&gt;0,HOUR(H1147-G1147)&amp;" hr ","")&amp;IF(MINUTE(H1147-G1147)&gt;0,MINUTE(H1147-G1147)&amp;" min","")))</f>
        <v/>
      </c>
      <c r="J1147" s="66" t="n"/>
      <c r="K1147" s="70" t="n"/>
      <c r="L1147" s="73">
        <f>IF(R1147="","",IF(INDEX('Recurring Schedule'!$J$6:$J$45,R1147)="","",INDEX('Recurring Schedule'!$J$6:$J$45,R1147)))</f>
        <v/>
      </c>
      <c r="M1147" s="73">
        <f>IF(R1147="","",IF(INDEX('Recurring Schedule'!$K$6:$K$45,R1147)="","",INDEX('Recurring Schedule'!$K$6:$K$45,R1147)))</f>
        <v/>
      </c>
      <c r="N1147" s="73">
        <f>IF(R1147="","",IF(INDEX('Recurring Schedule'!$L$6:$L$45,R1147)="","",INDEX('Recurring Schedule'!$L$6:$L$45,R1147)))</f>
        <v/>
      </c>
      <c r="O1147" s="73">
        <f>IF(C1147="","",IF(AND(OR(L1147="1-Urgent",L1147="2-High"),M1147="✓"),"DO FIRST",IF(M1147="✓","SCHEDULE",IF(OR(L1147="1-Urgent",L1147="2-High"),"DELEGATE","DELETE"))))</f>
        <v/>
      </c>
      <c r="P1147" s="65" t="n"/>
      <c r="Q1147">
        <f>IF(1142&gt;Calc!$AQ$368,"",MATCH(1141,Calc!$AQ$2:$AQ$367,1))</f>
        <v/>
      </c>
      <c r="R1147">
        <f>IF(Q1147="","",SMALL(INDEX(Calc!$B$2:$AO$367,Q1147,0),1142-INDEX(Calc!$AQ$2:$AQ$367,Q1147)))</f>
        <v/>
      </c>
    </row>
    <row r="1148">
      <c r="B1148" s="64">
        <f>IF(R1148="","",1143)</f>
        <v/>
      </c>
      <c r="C1148" s="37">
        <f>IF(R1148="","",IF(INDEX('Recurring Schedule'!$C$6:$C$45,R1148)="","",INDEX('Recurring Schedule'!$C$6:$C$45,R1148)))</f>
        <v/>
      </c>
      <c r="D1148" s="36">
        <f>IF(R1148="","",IF(INDEX('Recurring Schedule'!$D$6:$D$45,R1148)="","",INDEX('Recurring Schedule'!$D$6:$D$45,R1148)))</f>
        <v/>
      </c>
      <c r="E1148" s="38">
        <f>IF(Q1148="","",INDEX(Calc!$A$2:$A$367,Q1148))</f>
        <v/>
      </c>
      <c r="F1148" s="68">
        <f>IF(OR(C1148="",E1148=""),"",E1148-Setup!$D$7)</f>
        <v/>
      </c>
      <c r="G1148" s="74">
        <f>IF(R1148="","",IF(INDEX('Recurring Schedule'!$H$6:$H$45,R1148)="","",INDEX('Recurring Schedule'!$H$6:$H$45,R1148)))</f>
        <v/>
      </c>
      <c r="H1148" s="74">
        <f>IF(R1148="","",IF(INDEX('Recurring Schedule'!$I$6:$I$45,R1148)="","",INDEX('Recurring Schedule'!$I$6:$I$45,R1148)))</f>
        <v/>
      </c>
      <c r="I1148" s="36">
        <f>IF(OR(G1148="",H1148=""),"",TRIM(IF(HOUR(H1148-G1148)&gt;0,HOUR(H1148-G1148)&amp;" hr ","")&amp;IF(MINUTE(H1148-G1148)&gt;0,MINUTE(H1148-G1148)&amp;" min","")))</f>
        <v/>
      </c>
      <c r="J1148" s="66" t="n"/>
      <c r="K1148" s="70" t="n"/>
      <c r="L1148" s="36">
        <f>IF(R1148="","",IF(INDEX('Recurring Schedule'!$J$6:$J$45,R1148)="","",INDEX('Recurring Schedule'!$J$6:$J$45,R1148)))</f>
        <v/>
      </c>
      <c r="M1148" s="36">
        <f>IF(R1148="","",IF(INDEX('Recurring Schedule'!$K$6:$K$45,R1148)="","",INDEX('Recurring Schedule'!$K$6:$K$45,R1148)))</f>
        <v/>
      </c>
      <c r="N1148" s="36">
        <f>IF(R1148="","",IF(INDEX('Recurring Schedule'!$L$6:$L$45,R1148)="","",INDEX('Recurring Schedule'!$L$6:$L$45,R1148)))</f>
        <v/>
      </c>
      <c r="O1148" s="36">
        <f>IF(C1148="","",IF(AND(OR(L1148="1-Urgent",L1148="2-High"),M1148="✓"),"DO FIRST",IF(M1148="✓","SCHEDULE",IF(OR(L1148="1-Urgent",L1148="2-High"),"DELEGATE","DELETE"))))</f>
        <v/>
      </c>
      <c r="P1148" s="65" t="n"/>
      <c r="Q1148">
        <f>IF(1143&gt;Calc!$AQ$368,"",MATCH(1142,Calc!$AQ$2:$AQ$367,1))</f>
        <v/>
      </c>
      <c r="R1148">
        <f>IF(Q1148="","",SMALL(INDEX(Calc!$B$2:$AO$367,Q1148,0),1143-INDEX(Calc!$AQ$2:$AQ$367,Q1148)))</f>
        <v/>
      </c>
    </row>
    <row r="1149">
      <c r="B1149" s="71">
        <f>IF(R1149="","",1144)</f>
        <v/>
      </c>
      <c r="C1149" s="75">
        <f>IF(R1149="","",IF(INDEX('Recurring Schedule'!$C$6:$C$45,R1149)="","",INDEX('Recurring Schedule'!$C$6:$C$45,R1149)))</f>
        <v/>
      </c>
      <c r="D1149" s="73">
        <f>IF(R1149="","",IF(INDEX('Recurring Schedule'!$D$6:$D$45,R1149)="","",INDEX('Recurring Schedule'!$D$6:$D$45,R1149)))</f>
        <v/>
      </c>
      <c r="E1149" s="76">
        <f>IF(Q1149="","",INDEX(Calc!$A$2:$A$367,Q1149))</f>
        <v/>
      </c>
      <c r="F1149" s="72">
        <f>IF(OR(C1149="",E1149=""),"",E1149-Setup!$D$7)</f>
        <v/>
      </c>
      <c r="G1149" s="77">
        <f>IF(R1149="","",IF(INDEX('Recurring Schedule'!$H$6:$H$45,R1149)="","",INDEX('Recurring Schedule'!$H$6:$H$45,R1149)))</f>
        <v/>
      </c>
      <c r="H1149" s="77">
        <f>IF(R1149="","",IF(INDEX('Recurring Schedule'!$I$6:$I$45,R1149)="","",INDEX('Recurring Schedule'!$I$6:$I$45,R1149)))</f>
        <v/>
      </c>
      <c r="I1149" s="73">
        <f>IF(OR(G1149="",H1149=""),"",TRIM(IF(HOUR(H1149-G1149)&gt;0,HOUR(H1149-G1149)&amp;" hr ","")&amp;IF(MINUTE(H1149-G1149)&gt;0,MINUTE(H1149-G1149)&amp;" min","")))</f>
        <v/>
      </c>
      <c r="J1149" s="66" t="n"/>
      <c r="K1149" s="70" t="n"/>
      <c r="L1149" s="73">
        <f>IF(R1149="","",IF(INDEX('Recurring Schedule'!$J$6:$J$45,R1149)="","",INDEX('Recurring Schedule'!$J$6:$J$45,R1149)))</f>
        <v/>
      </c>
      <c r="M1149" s="73">
        <f>IF(R1149="","",IF(INDEX('Recurring Schedule'!$K$6:$K$45,R1149)="","",INDEX('Recurring Schedule'!$K$6:$K$45,R1149)))</f>
        <v/>
      </c>
      <c r="N1149" s="73">
        <f>IF(R1149="","",IF(INDEX('Recurring Schedule'!$L$6:$L$45,R1149)="","",INDEX('Recurring Schedule'!$L$6:$L$45,R1149)))</f>
        <v/>
      </c>
      <c r="O1149" s="73">
        <f>IF(C1149="","",IF(AND(OR(L1149="1-Urgent",L1149="2-High"),M1149="✓"),"DO FIRST",IF(M1149="✓","SCHEDULE",IF(OR(L1149="1-Urgent",L1149="2-High"),"DELEGATE","DELETE"))))</f>
        <v/>
      </c>
      <c r="P1149" s="65" t="n"/>
      <c r="Q1149">
        <f>IF(1144&gt;Calc!$AQ$368,"",MATCH(1143,Calc!$AQ$2:$AQ$367,1))</f>
        <v/>
      </c>
      <c r="R1149">
        <f>IF(Q1149="","",SMALL(INDEX(Calc!$B$2:$AO$367,Q1149,0),1144-INDEX(Calc!$AQ$2:$AQ$367,Q1149)))</f>
        <v/>
      </c>
    </row>
    <row r="1150">
      <c r="B1150" s="64">
        <f>IF(R1150="","",1145)</f>
        <v/>
      </c>
      <c r="C1150" s="37">
        <f>IF(R1150="","",IF(INDEX('Recurring Schedule'!$C$6:$C$45,R1150)="","",INDEX('Recurring Schedule'!$C$6:$C$45,R1150)))</f>
        <v/>
      </c>
      <c r="D1150" s="36">
        <f>IF(R1150="","",IF(INDEX('Recurring Schedule'!$D$6:$D$45,R1150)="","",INDEX('Recurring Schedule'!$D$6:$D$45,R1150)))</f>
        <v/>
      </c>
      <c r="E1150" s="38">
        <f>IF(Q1150="","",INDEX(Calc!$A$2:$A$367,Q1150))</f>
        <v/>
      </c>
      <c r="F1150" s="68">
        <f>IF(OR(C1150="",E1150=""),"",E1150-Setup!$D$7)</f>
        <v/>
      </c>
      <c r="G1150" s="74">
        <f>IF(R1150="","",IF(INDEX('Recurring Schedule'!$H$6:$H$45,R1150)="","",INDEX('Recurring Schedule'!$H$6:$H$45,R1150)))</f>
        <v/>
      </c>
      <c r="H1150" s="74">
        <f>IF(R1150="","",IF(INDEX('Recurring Schedule'!$I$6:$I$45,R1150)="","",INDEX('Recurring Schedule'!$I$6:$I$45,R1150)))</f>
        <v/>
      </c>
      <c r="I1150" s="36">
        <f>IF(OR(G1150="",H1150=""),"",TRIM(IF(HOUR(H1150-G1150)&gt;0,HOUR(H1150-G1150)&amp;" hr ","")&amp;IF(MINUTE(H1150-G1150)&gt;0,MINUTE(H1150-G1150)&amp;" min","")))</f>
        <v/>
      </c>
      <c r="J1150" s="66" t="n"/>
      <c r="K1150" s="70" t="n"/>
      <c r="L1150" s="36">
        <f>IF(R1150="","",IF(INDEX('Recurring Schedule'!$J$6:$J$45,R1150)="","",INDEX('Recurring Schedule'!$J$6:$J$45,R1150)))</f>
        <v/>
      </c>
      <c r="M1150" s="36">
        <f>IF(R1150="","",IF(INDEX('Recurring Schedule'!$K$6:$K$45,R1150)="","",INDEX('Recurring Schedule'!$K$6:$K$45,R1150)))</f>
        <v/>
      </c>
      <c r="N1150" s="36">
        <f>IF(R1150="","",IF(INDEX('Recurring Schedule'!$L$6:$L$45,R1150)="","",INDEX('Recurring Schedule'!$L$6:$L$45,R1150)))</f>
        <v/>
      </c>
      <c r="O1150" s="36">
        <f>IF(C1150="","",IF(AND(OR(L1150="1-Urgent",L1150="2-High"),M1150="✓"),"DO FIRST",IF(M1150="✓","SCHEDULE",IF(OR(L1150="1-Urgent",L1150="2-High"),"DELEGATE","DELETE"))))</f>
        <v/>
      </c>
      <c r="P1150" s="65" t="n"/>
      <c r="Q1150">
        <f>IF(1145&gt;Calc!$AQ$368,"",MATCH(1144,Calc!$AQ$2:$AQ$367,1))</f>
        <v/>
      </c>
      <c r="R1150">
        <f>IF(Q1150="","",SMALL(INDEX(Calc!$B$2:$AO$367,Q1150,0),1145-INDEX(Calc!$AQ$2:$AQ$367,Q1150)))</f>
        <v/>
      </c>
    </row>
    <row r="1151">
      <c r="B1151" s="71">
        <f>IF(R1151="","",1146)</f>
        <v/>
      </c>
      <c r="C1151" s="75">
        <f>IF(R1151="","",IF(INDEX('Recurring Schedule'!$C$6:$C$45,R1151)="","",INDEX('Recurring Schedule'!$C$6:$C$45,R1151)))</f>
        <v/>
      </c>
      <c r="D1151" s="73">
        <f>IF(R1151="","",IF(INDEX('Recurring Schedule'!$D$6:$D$45,R1151)="","",INDEX('Recurring Schedule'!$D$6:$D$45,R1151)))</f>
        <v/>
      </c>
      <c r="E1151" s="76">
        <f>IF(Q1151="","",INDEX(Calc!$A$2:$A$367,Q1151))</f>
        <v/>
      </c>
      <c r="F1151" s="72">
        <f>IF(OR(C1151="",E1151=""),"",E1151-Setup!$D$7)</f>
        <v/>
      </c>
      <c r="G1151" s="77">
        <f>IF(R1151="","",IF(INDEX('Recurring Schedule'!$H$6:$H$45,R1151)="","",INDEX('Recurring Schedule'!$H$6:$H$45,R1151)))</f>
        <v/>
      </c>
      <c r="H1151" s="77">
        <f>IF(R1151="","",IF(INDEX('Recurring Schedule'!$I$6:$I$45,R1151)="","",INDEX('Recurring Schedule'!$I$6:$I$45,R1151)))</f>
        <v/>
      </c>
      <c r="I1151" s="73">
        <f>IF(OR(G1151="",H1151=""),"",TRIM(IF(HOUR(H1151-G1151)&gt;0,HOUR(H1151-G1151)&amp;" hr ","")&amp;IF(MINUTE(H1151-G1151)&gt;0,MINUTE(H1151-G1151)&amp;" min","")))</f>
        <v/>
      </c>
      <c r="J1151" s="66" t="n"/>
      <c r="K1151" s="70" t="n"/>
      <c r="L1151" s="73">
        <f>IF(R1151="","",IF(INDEX('Recurring Schedule'!$J$6:$J$45,R1151)="","",INDEX('Recurring Schedule'!$J$6:$J$45,R1151)))</f>
        <v/>
      </c>
      <c r="M1151" s="73">
        <f>IF(R1151="","",IF(INDEX('Recurring Schedule'!$K$6:$K$45,R1151)="","",INDEX('Recurring Schedule'!$K$6:$K$45,R1151)))</f>
        <v/>
      </c>
      <c r="N1151" s="73">
        <f>IF(R1151="","",IF(INDEX('Recurring Schedule'!$L$6:$L$45,R1151)="","",INDEX('Recurring Schedule'!$L$6:$L$45,R1151)))</f>
        <v/>
      </c>
      <c r="O1151" s="73">
        <f>IF(C1151="","",IF(AND(OR(L1151="1-Urgent",L1151="2-High"),M1151="✓"),"DO FIRST",IF(M1151="✓","SCHEDULE",IF(OR(L1151="1-Urgent",L1151="2-High"),"DELEGATE","DELETE"))))</f>
        <v/>
      </c>
      <c r="P1151" s="65" t="n"/>
      <c r="Q1151">
        <f>IF(1146&gt;Calc!$AQ$368,"",MATCH(1145,Calc!$AQ$2:$AQ$367,1))</f>
        <v/>
      </c>
      <c r="R1151">
        <f>IF(Q1151="","",SMALL(INDEX(Calc!$B$2:$AO$367,Q1151,0),1146-INDEX(Calc!$AQ$2:$AQ$367,Q1151)))</f>
        <v/>
      </c>
    </row>
    <row r="1152">
      <c r="B1152" s="64">
        <f>IF(R1152="","",1147)</f>
        <v/>
      </c>
      <c r="C1152" s="37">
        <f>IF(R1152="","",IF(INDEX('Recurring Schedule'!$C$6:$C$45,R1152)="","",INDEX('Recurring Schedule'!$C$6:$C$45,R1152)))</f>
        <v/>
      </c>
      <c r="D1152" s="36">
        <f>IF(R1152="","",IF(INDEX('Recurring Schedule'!$D$6:$D$45,R1152)="","",INDEX('Recurring Schedule'!$D$6:$D$45,R1152)))</f>
        <v/>
      </c>
      <c r="E1152" s="38">
        <f>IF(Q1152="","",INDEX(Calc!$A$2:$A$367,Q1152))</f>
        <v/>
      </c>
      <c r="F1152" s="68">
        <f>IF(OR(C1152="",E1152=""),"",E1152-Setup!$D$7)</f>
        <v/>
      </c>
      <c r="G1152" s="74">
        <f>IF(R1152="","",IF(INDEX('Recurring Schedule'!$H$6:$H$45,R1152)="","",INDEX('Recurring Schedule'!$H$6:$H$45,R1152)))</f>
        <v/>
      </c>
      <c r="H1152" s="74">
        <f>IF(R1152="","",IF(INDEX('Recurring Schedule'!$I$6:$I$45,R1152)="","",INDEX('Recurring Schedule'!$I$6:$I$45,R1152)))</f>
        <v/>
      </c>
      <c r="I1152" s="36">
        <f>IF(OR(G1152="",H1152=""),"",TRIM(IF(HOUR(H1152-G1152)&gt;0,HOUR(H1152-G1152)&amp;" hr ","")&amp;IF(MINUTE(H1152-G1152)&gt;0,MINUTE(H1152-G1152)&amp;" min","")))</f>
        <v/>
      </c>
      <c r="J1152" s="66" t="n"/>
      <c r="K1152" s="70" t="n"/>
      <c r="L1152" s="36">
        <f>IF(R1152="","",IF(INDEX('Recurring Schedule'!$J$6:$J$45,R1152)="","",INDEX('Recurring Schedule'!$J$6:$J$45,R1152)))</f>
        <v/>
      </c>
      <c r="M1152" s="36">
        <f>IF(R1152="","",IF(INDEX('Recurring Schedule'!$K$6:$K$45,R1152)="","",INDEX('Recurring Schedule'!$K$6:$K$45,R1152)))</f>
        <v/>
      </c>
      <c r="N1152" s="36">
        <f>IF(R1152="","",IF(INDEX('Recurring Schedule'!$L$6:$L$45,R1152)="","",INDEX('Recurring Schedule'!$L$6:$L$45,R1152)))</f>
        <v/>
      </c>
      <c r="O1152" s="36">
        <f>IF(C1152="","",IF(AND(OR(L1152="1-Urgent",L1152="2-High"),M1152="✓"),"DO FIRST",IF(M1152="✓","SCHEDULE",IF(OR(L1152="1-Urgent",L1152="2-High"),"DELEGATE","DELETE"))))</f>
        <v/>
      </c>
      <c r="P1152" s="65" t="n"/>
      <c r="Q1152">
        <f>IF(1147&gt;Calc!$AQ$368,"",MATCH(1146,Calc!$AQ$2:$AQ$367,1))</f>
        <v/>
      </c>
      <c r="R1152">
        <f>IF(Q1152="","",SMALL(INDEX(Calc!$B$2:$AO$367,Q1152,0),1147-INDEX(Calc!$AQ$2:$AQ$367,Q1152)))</f>
        <v/>
      </c>
    </row>
    <row r="1153">
      <c r="B1153" s="71">
        <f>IF(R1153="","",1148)</f>
        <v/>
      </c>
      <c r="C1153" s="75">
        <f>IF(R1153="","",IF(INDEX('Recurring Schedule'!$C$6:$C$45,R1153)="","",INDEX('Recurring Schedule'!$C$6:$C$45,R1153)))</f>
        <v/>
      </c>
      <c r="D1153" s="73">
        <f>IF(R1153="","",IF(INDEX('Recurring Schedule'!$D$6:$D$45,R1153)="","",INDEX('Recurring Schedule'!$D$6:$D$45,R1153)))</f>
        <v/>
      </c>
      <c r="E1153" s="76">
        <f>IF(Q1153="","",INDEX(Calc!$A$2:$A$367,Q1153))</f>
        <v/>
      </c>
      <c r="F1153" s="72">
        <f>IF(OR(C1153="",E1153=""),"",E1153-Setup!$D$7)</f>
        <v/>
      </c>
      <c r="G1153" s="77">
        <f>IF(R1153="","",IF(INDEX('Recurring Schedule'!$H$6:$H$45,R1153)="","",INDEX('Recurring Schedule'!$H$6:$H$45,R1153)))</f>
        <v/>
      </c>
      <c r="H1153" s="77">
        <f>IF(R1153="","",IF(INDEX('Recurring Schedule'!$I$6:$I$45,R1153)="","",INDEX('Recurring Schedule'!$I$6:$I$45,R1153)))</f>
        <v/>
      </c>
      <c r="I1153" s="73">
        <f>IF(OR(G1153="",H1153=""),"",TRIM(IF(HOUR(H1153-G1153)&gt;0,HOUR(H1153-G1153)&amp;" hr ","")&amp;IF(MINUTE(H1153-G1153)&gt;0,MINUTE(H1153-G1153)&amp;" min","")))</f>
        <v/>
      </c>
      <c r="J1153" s="66" t="n"/>
      <c r="K1153" s="70" t="n"/>
      <c r="L1153" s="73">
        <f>IF(R1153="","",IF(INDEX('Recurring Schedule'!$J$6:$J$45,R1153)="","",INDEX('Recurring Schedule'!$J$6:$J$45,R1153)))</f>
        <v/>
      </c>
      <c r="M1153" s="73">
        <f>IF(R1153="","",IF(INDEX('Recurring Schedule'!$K$6:$K$45,R1153)="","",INDEX('Recurring Schedule'!$K$6:$K$45,R1153)))</f>
        <v/>
      </c>
      <c r="N1153" s="73">
        <f>IF(R1153="","",IF(INDEX('Recurring Schedule'!$L$6:$L$45,R1153)="","",INDEX('Recurring Schedule'!$L$6:$L$45,R1153)))</f>
        <v/>
      </c>
      <c r="O1153" s="73">
        <f>IF(C1153="","",IF(AND(OR(L1153="1-Urgent",L1153="2-High"),M1153="✓"),"DO FIRST",IF(M1153="✓","SCHEDULE",IF(OR(L1153="1-Urgent",L1153="2-High"),"DELEGATE","DELETE"))))</f>
        <v/>
      </c>
      <c r="P1153" s="65" t="n"/>
      <c r="Q1153">
        <f>IF(1148&gt;Calc!$AQ$368,"",MATCH(1147,Calc!$AQ$2:$AQ$367,1))</f>
        <v/>
      </c>
      <c r="R1153">
        <f>IF(Q1153="","",SMALL(INDEX(Calc!$B$2:$AO$367,Q1153,0),1148-INDEX(Calc!$AQ$2:$AQ$367,Q1153)))</f>
        <v/>
      </c>
    </row>
    <row r="1154">
      <c r="B1154" s="64">
        <f>IF(R1154="","",1149)</f>
        <v/>
      </c>
      <c r="C1154" s="37">
        <f>IF(R1154="","",IF(INDEX('Recurring Schedule'!$C$6:$C$45,R1154)="","",INDEX('Recurring Schedule'!$C$6:$C$45,R1154)))</f>
        <v/>
      </c>
      <c r="D1154" s="36">
        <f>IF(R1154="","",IF(INDEX('Recurring Schedule'!$D$6:$D$45,R1154)="","",INDEX('Recurring Schedule'!$D$6:$D$45,R1154)))</f>
        <v/>
      </c>
      <c r="E1154" s="38">
        <f>IF(Q1154="","",INDEX(Calc!$A$2:$A$367,Q1154))</f>
        <v/>
      </c>
      <c r="F1154" s="68">
        <f>IF(OR(C1154="",E1154=""),"",E1154-Setup!$D$7)</f>
        <v/>
      </c>
      <c r="G1154" s="74">
        <f>IF(R1154="","",IF(INDEX('Recurring Schedule'!$H$6:$H$45,R1154)="","",INDEX('Recurring Schedule'!$H$6:$H$45,R1154)))</f>
        <v/>
      </c>
      <c r="H1154" s="74">
        <f>IF(R1154="","",IF(INDEX('Recurring Schedule'!$I$6:$I$45,R1154)="","",INDEX('Recurring Schedule'!$I$6:$I$45,R1154)))</f>
        <v/>
      </c>
      <c r="I1154" s="36">
        <f>IF(OR(G1154="",H1154=""),"",TRIM(IF(HOUR(H1154-G1154)&gt;0,HOUR(H1154-G1154)&amp;" hr ","")&amp;IF(MINUTE(H1154-G1154)&gt;0,MINUTE(H1154-G1154)&amp;" min","")))</f>
        <v/>
      </c>
      <c r="J1154" s="66" t="n"/>
      <c r="K1154" s="70" t="n"/>
      <c r="L1154" s="36">
        <f>IF(R1154="","",IF(INDEX('Recurring Schedule'!$J$6:$J$45,R1154)="","",INDEX('Recurring Schedule'!$J$6:$J$45,R1154)))</f>
        <v/>
      </c>
      <c r="M1154" s="36">
        <f>IF(R1154="","",IF(INDEX('Recurring Schedule'!$K$6:$K$45,R1154)="","",INDEX('Recurring Schedule'!$K$6:$K$45,R1154)))</f>
        <v/>
      </c>
      <c r="N1154" s="36">
        <f>IF(R1154="","",IF(INDEX('Recurring Schedule'!$L$6:$L$45,R1154)="","",INDEX('Recurring Schedule'!$L$6:$L$45,R1154)))</f>
        <v/>
      </c>
      <c r="O1154" s="36">
        <f>IF(C1154="","",IF(AND(OR(L1154="1-Urgent",L1154="2-High"),M1154="✓"),"DO FIRST",IF(M1154="✓","SCHEDULE",IF(OR(L1154="1-Urgent",L1154="2-High"),"DELEGATE","DELETE"))))</f>
        <v/>
      </c>
      <c r="P1154" s="65" t="n"/>
      <c r="Q1154">
        <f>IF(1149&gt;Calc!$AQ$368,"",MATCH(1148,Calc!$AQ$2:$AQ$367,1))</f>
        <v/>
      </c>
      <c r="R1154">
        <f>IF(Q1154="","",SMALL(INDEX(Calc!$B$2:$AO$367,Q1154,0),1149-INDEX(Calc!$AQ$2:$AQ$367,Q1154)))</f>
        <v/>
      </c>
    </row>
    <row r="1155">
      <c r="B1155" s="71">
        <f>IF(R1155="","",1150)</f>
        <v/>
      </c>
      <c r="C1155" s="75">
        <f>IF(R1155="","",IF(INDEX('Recurring Schedule'!$C$6:$C$45,R1155)="","",INDEX('Recurring Schedule'!$C$6:$C$45,R1155)))</f>
        <v/>
      </c>
      <c r="D1155" s="73">
        <f>IF(R1155="","",IF(INDEX('Recurring Schedule'!$D$6:$D$45,R1155)="","",INDEX('Recurring Schedule'!$D$6:$D$45,R1155)))</f>
        <v/>
      </c>
      <c r="E1155" s="76">
        <f>IF(Q1155="","",INDEX(Calc!$A$2:$A$367,Q1155))</f>
        <v/>
      </c>
      <c r="F1155" s="72">
        <f>IF(OR(C1155="",E1155=""),"",E1155-Setup!$D$7)</f>
        <v/>
      </c>
      <c r="G1155" s="77">
        <f>IF(R1155="","",IF(INDEX('Recurring Schedule'!$H$6:$H$45,R1155)="","",INDEX('Recurring Schedule'!$H$6:$H$45,R1155)))</f>
        <v/>
      </c>
      <c r="H1155" s="77">
        <f>IF(R1155="","",IF(INDEX('Recurring Schedule'!$I$6:$I$45,R1155)="","",INDEX('Recurring Schedule'!$I$6:$I$45,R1155)))</f>
        <v/>
      </c>
      <c r="I1155" s="73">
        <f>IF(OR(G1155="",H1155=""),"",TRIM(IF(HOUR(H1155-G1155)&gt;0,HOUR(H1155-G1155)&amp;" hr ","")&amp;IF(MINUTE(H1155-G1155)&gt;0,MINUTE(H1155-G1155)&amp;" min","")))</f>
        <v/>
      </c>
      <c r="J1155" s="66" t="n"/>
      <c r="K1155" s="70" t="n"/>
      <c r="L1155" s="73">
        <f>IF(R1155="","",IF(INDEX('Recurring Schedule'!$J$6:$J$45,R1155)="","",INDEX('Recurring Schedule'!$J$6:$J$45,R1155)))</f>
        <v/>
      </c>
      <c r="M1155" s="73">
        <f>IF(R1155="","",IF(INDEX('Recurring Schedule'!$K$6:$K$45,R1155)="","",INDEX('Recurring Schedule'!$K$6:$K$45,R1155)))</f>
        <v/>
      </c>
      <c r="N1155" s="73">
        <f>IF(R1155="","",IF(INDEX('Recurring Schedule'!$L$6:$L$45,R1155)="","",INDEX('Recurring Schedule'!$L$6:$L$45,R1155)))</f>
        <v/>
      </c>
      <c r="O1155" s="73">
        <f>IF(C1155="","",IF(AND(OR(L1155="1-Urgent",L1155="2-High"),M1155="✓"),"DO FIRST",IF(M1155="✓","SCHEDULE",IF(OR(L1155="1-Urgent",L1155="2-High"),"DELEGATE","DELETE"))))</f>
        <v/>
      </c>
      <c r="P1155" s="65" t="n"/>
      <c r="Q1155">
        <f>IF(1150&gt;Calc!$AQ$368,"",MATCH(1149,Calc!$AQ$2:$AQ$367,1))</f>
        <v/>
      </c>
      <c r="R1155">
        <f>IF(Q1155="","",SMALL(INDEX(Calc!$B$2:$AO$367,Q1155,0),1150-INDEX(Calc!$AQ$2:$AQ$367,Q1155)))</f>
        <v/>
      </c>
    </row>
    <row r="1156">
      <c r="B1156" s="64">
        <f>IF(R1156="","",1151)</f>
        <v/>
      </c>
      <c r="C1156" s="37">
        <f>IF(R1156="","",IF(INDEX('Recurring Schedule'!$C$6:$C$45,R1156)="","",INDEX('Recurring Schedule'!$C$6:$C$45,R1156)))</f>
        <v/>
      </c>
      <c r="D1156" s="36">
        <f>IF(R1156="","",IF(INDEX('Recurring Schedule'!$D$6:$D$45,R1156)="","",INDEX('Recurring Schedule'!$D$6:$D$45,R1156)))</f>
        <v/>
      </c>
      <c r="E1156" s="38">
        <f>IF(Q1156="","",INDEX(Calc!$A$2:$A$367,Q1156))</f>
        <v/>
      </c>
      <c r="F1156" s="68">
        <f>IF(OR(C1156="",E1156=""),"",E1156-Setup!$D$7)</f>
        <v/>
      </c>
      <c r="G1156" s="74">
        <f>IF(R1156="","",IF(INDEX('Recurring Schedule'!$H$6:$H$45,R1156)="","",INDEX('Recurring Schedule'!$H$6:$H$45,R1156)))</f>
        <v/>
      </c>
      <c r="H1156" s="74">
        <f>IF(R1156="","",IF(INDEX('Recurring Schedule'!$I$6:$I$45,R1156)="","",INDEX('Recurring Schedule'!$I$6:$I$45,R1156)))</f>
        <v/>
      </c>
      <c r="I1156" s="36">
        <f>IF(OR(G1156="",H1156=""),"",TRIM(IF(HOUR(H1156-G1156)&gt;0,HOUR(H1156-G1156)&amp;" hr ","")&amp;IF(MINUTE(H1156-G1156)&gt;0,MINUTE(H1156-G1156)&amp;" min","")))</f>
        <v/>
      </c>
      <c r="J1156" s="66" t="n"/>
      <c r="K1156" s="70" t="n"/>
      <c r="L1156" s="36">
        <f>IF(R1156="","",IF(INDEX('Recurring Schedule'!$J$6:$J$45,R1156)="","",INDEX('Recurring Schedule'!$J$6:$J$45,R1156)))</f>
        <v/>
      </c>
      <c r="M1156" s="36">
        <f>IF(R1156="","",IF(INDEX('Recurring Schedule'!$K$6:$K$45,R1156)="","",INDEX('Recurring Schedule'!$K$6:$K$45,R1156)))</f>
        <v/>
      </c>
      <c r="N1156" s="36">
        <f>IF(R1156="","",IF(INDEX('Recurring Schedule'!$L$6:$L$45,R1156)="","",INDEX('Recurring Schedule'!$L$6:$L$45,R1156)))</f>
        <v/>
      </c>
      <c r="O1156" s="36">
        <f>IF(C1156="","",IF(AND(OR(L1156="1-Urgent",L1156="2-High"),M1156="✓"),"DO FIRST",IF(M1156="✓","SCHEDULE",IF(OR(L1156="1-Urgent",L1156="2-High"),"DELEGATE","DELETE"))))</f>
        <v/>
      </c>
      <c r="P1156" s="65" t="n"/>
      <c r="Q1156">
        <f>IF(1151&gt;Calc!$AQ$368,"",MATCH(1150,Calc!$AQ$2:$AQ$367,1))</f>
        <v/>
      </c>
      <c r="R1156">
        <f>IF(Q1156="","",SMALL(INDEX(Calc!$B$2:$AO$367,Q1156,0),1151-INDEX(Calc!$AQ$2:$AQ$367,Q1156)))</f>
        <v/>
      </c>
    </row>
    <row r="1157">
      <c r="B1157" s="71">
        <f>IF(R1157="","",1152)</f>
        <v/>
      </c>
      <c r="C1157" s="75">
        <f>IF(R1157="","",IF(INDEX('Recurring Schedule'!$C$6:$C$45,R1157)="","",INDEX('Recurring Schedule'!$C$6:$C$45,R1157)))</f>
        <v/>
      </c>
      <c r="D1157" s="73">
        <f>IF(R1157="","",IF(INDEX('Recurring Schedule'!$D$6:$D$45,R1157)="","",INDEX('Recurring Schedule'!$D$6:$D$45,R1157)))</f>
        <v/>
      </c>
      <c r="E1157" s="76">
        <f>IF(Q1157="","",INDEX(Calc!$A$2:$A$367,Q1157))</f>
        <v/>
      </c>
      <c r="F1157" s="72">
        <f>IF(OR(C1157="",E1157=""),"",E1157-Setup!$D$7)</f>
        <v/>
      </c>
      <c r="G1157" s="77">
        <f>IF(R1157="","",IF(INDEX('Recurring Schedule'!$H$6:$H$45,R1157)="","",INDEX('Recurring Schedule'!$H$6:$H$45,R1157)))</f>
        <v/>
      </c>
      <c r="H1157" s="77">
        <f>IF(R1157="","",IF(INDEX('Recurring Schedule'!$I$6:$I$45,R1157)="","",INDEX('Recurring Schedule'!$I$6:$I$45,R1157)))</f>
        <v/>
      </c>
      <c r="I1157" s="73">
        <f>IF(OR(G1157="",H1157=""),"",TRIM(IF(HOUR(H1157-G1157)&gt;0,HOUR(H1157-G1157)&amp;" hr ","")&amp;IF(MINUTE(H1157-G1157)&gt;0,MINUTE(H1157-G1157)&amp;" min","")))</f>
        <v/>
      </c>
      <c r="J1157" s="66" t="n"/>
      <c r="K1157" s="70" t="n"/>
      <c r="L1157" s="73">
        <f>IF(R1157="","",IF(INDEX('Recurring Schedule'!$J$6:$J$45,R1157)="","",INDEX('Recurring Schedule'!$J$6:$J$45,R1157)))</f>
        <v/>
      </c>
      <c r="M1157" s="73">
        <f>IF(R1157="","",IF(INDEX('Recurring Schedule'!$K$6:$K$45,R1157)="","",INDEX('Recurring Schedule'!$K$6:$K$45,R1157)))</f>
        <v/>
      </c>
      <c r="N1157" s="73">
        <f>IF(R1157="","",IF(INDEX('Recurring Schedule'!$L$6:$L$45,R1157)="","",INDEX('Recurring Schedule'!$L$6:$L$45,R1157)))</f>
        <v/>
      </c>
      <c r="O1157" s="73">
        <f>IF(C1157="","",IF(AND(OR(L1157="1-Urgent",L1157="2-High"),M1157="✓"),"DO FIRST",IF(M1157="✓","SCHEDULE",IF(OR(L1157="1-Urgent",L1157="2-High"),"DELEGATE","DELETE"))))</f>
        <v/>
      </c>
      <c r="P1157" s="65" t="n"/>
      <c r="Q1157">
        <f>IF(1152&gt;Calc!$AQ$368,"",MATCH(1151,Calc!$AQ$2:$AQ$367,1))</f>
        <v/>
      </c>
      <c r="R1157">
        <f>IF(Q1157="","",SMALL(INDEX(Calc!$B$2:$AO$367,Q1157,0),1152-INDEX(Calc!$AQ$2:$AQ$367,Q1157)))</f>
        <v/>
      </c>
    </row>
    <row r="1158">
      <c r="B1158" s="64">
        <f>IF(R1158="","",1153)</f>
        <v/>
      </c>
      <c r="C1158" s="37">
        <f>IF(R1158="","",IF(INDEX('Recurring Schedule'!$C$6:$C$45,R1158)="","",INDEX('Recurring Schedule'!$C$6:$C$45,R1158)))</f>
        <v/>
      </c>
      <c r="D1158" s="36">
        <f>IF(R1158="","",IF(INDEX('Recurring Schedule'!$D$6:$D$45,R1158)="","",INDEX('Recurring Schedule'!$D$6:$D$45,R1158)))</f>
        <v/>
      </c>
      <c r="E1158" s="38">
        <f>IF(Q1158="","",INDEX(Calc!$A$2:$A$367,Q1158))</f>
        <v/>
      </c>
      <c r="F1158" s="68">
        <f>IF(OR(C1158="",E1158=""),"",E1158-Setup!$D$7)</f>
        <v/>
      </c>
      <c r="G1158" s="74">
        <f>IF(R1158="","",IF(INDEX('Recurring Schedule'!$H$6:$H$45,R1158)="","",INDEX('Recurring Schedule'!$H$6:$H$45,R1158)))</f>
        <v/>
      </c>
      <c r="H1158" s="74">
        <f>IF(R1158="","",IF(INDEX('Recurring Schedule'!$I$6:$I$45,R1158)="","",INDEX('Recurring Schedule'!$I$6:$I$45,R1158)))</f>
        <v/>
      </c>
      <c r="I1158" s="36">
        <f>IF(OR(G1158="",H1158=""),"",TRIM(IF(HOUR(H1158-G1158)&gt;0,HOUR(H1158-G1158)&amp;" hr ","")&amp;IF(MINUTE(H1158-G1158)&gt;0,MINUTE(H1158-G1158)&amp;" min","")))</f>
        <v/>
      </c>
      <c r="J1158" s="66" t="n"/>
      <c r="K1158" s="70" t="n"/>
      <c r="L1158" s="36">
        <f>IF(R1158="","",IF(INDEX('Recurring Schedule'!$J$6:$J$45,R1158)="","",INDEX('Recurring Schedule'!$J$6:$J$45,R1158)))</f>
        <v/>
      </c>
      <c r="M1158" s="36">
        <f>IF(R1158="","",IF(INDEX('Recurring Schedule'!$K$6:$K$45,R1158)="","",INDEX('Recurring Schedule'!$K$6:$K$45,R1158)))</f>
        <v/>
      </c>
      <c r="N1158" s="36">
        <f>IF(R1158="","",IF(INDEX('Recurring Schedule'!$L$6:$L$45,R1158)="","",INDEX('Recurring Schedule'!$L$6:$L$45,R1158)))</f>
        <v/>
      </c>
      <c r="O1158" s="36">
        <f>IF(C1158="","",IF(AND(OR(L1158="1-Urgent",L1158="2-High"),M1158="✓"),"DO FIRST",IF(M1158="✓","SCHEDULE",IF(OR(L1158="1-Urgent",L1158="2-High"),"DELEGATE","DELETE"))))</f>
        <v/>
      </c>
      <c r="P1158" s="65" t="n"/>
      <c r="Q1158">
        <f>IF(1153&gt;Calc!$AQ$368,"",MATCH(1152,Calc!$AQ$2:$AQ$367,1))</f>
        <v/>
      </c>
      <c r="R1158">
        <f>IF(Q1158="","",SMALL(INDEX(Calc!$B$2:$AO$367,Q1158,0),1153-INDEX(Calc!$AQ$2:$AQ$367,Q1158)))</f>
        <v/>
      </c>
    </row>
    <row r="1159">
      <c r="B1159" s="71">
        <f>IF(R1159="","",1154)</f>
        <v/>
      </c>
      <c r="C1159" s="75">
        <f>IF(R1159="","",IF(INDEX('Recurring Schedule'!$C$6:$C$45,R1159)="","",INDEX('Recurring Schedule'!$C$6:$C$45,R1159)))</f>
        <v/>
      </c>
      <c r="D1159" s="73">
        <f>IF(R1159="","",IF(INDEX('Recurring Schedule'!$D$6:$D$45,R1159)="","",INDEX('Recurring Schedule'!$D$6:$D$45,R1159)))</f>
        <v/>
      </c>
      <c r="E1159" s="76">
        <f>IF(Q1159="","",INDEX(Calc!$A$2:$A$367,Q1159))</f>
        <v/>
      </c>
      <c r="F1159" s="72">
        <f>IF(OR(C1159="",E1159=""),"",E1159-Setup!$D$7)</f>
        <v/>
      </c>
      <c r="G1159" s="77">
        <f>IF(R1159="","",IF(INDEX('Recurring Schedule'!$H$6:$H$45,R1159)="","",INDEX('Recurring Schedule'!$H$6:$H$45,R1159)))</f>
        <v/>
      </c>
      <c r="H1159" s="77">
        <f>IF(R1159="","",IF(INDEX('Recurring Schedule'!$I$6:$I$45,R1159)="","",INDEX('Recurring Schedule'!$I$6:$I$45,R1159)))</f>
        <v/>
      </c>
      <c r="I1159" s="73">
        <f>IF(OR(G1159="",H1159=""),"",TRIM(IF(HOUR(H1159-G1159)&gt;0,HOUR(H1159-G1159)&amp;" hr ","")&amp;IF(MINUTE(H1159-G1159)&gt;0,MINUTE(H1159-G1159)&amp;" min","")))</f>
        <v/>
      </c>
      <c r="J1159" s="66" t="n"/>
      <c r="K1159" s="70" t="n"/>
      <c r="L1159" s="73">
        <f>IF(R1159="","",IF(INDEX('Recurring Schedule'!$J$6:$J$45,R1159)="","",INDEX('Recurring Schedule'!$J$6:$J$45,R1159)))</f>
        <v/>
      </c>
      <c r="M1159" s="73">
        <f>IF(R1159="","",IF(INDEX('Recurring Schedule'!$K$6:$K$45,R1159)="","",INDEX('Recurring Schedule'!$K$6:$K$45,R1159)))</f>
        <v/>
      </c>
      <c r="N1159" s="73">
        <f>IF(R1159="","",IF(INDEX('Recurring Schedule'!$L$6:$L$45,R1159)="","",INDEX('Recurring Schedule'!$L$6:$L$45,R1159)))</f>
        <v/>
      </c>
      <c r="O1159" s="73">
        <f>IF(C1159="","",IF(AND(OR(L1159="1-Urgent",L1159="2-High"),M1159="✓"),"DO FIRST",IF(M1159="✓","SCHEDULE",IF(OR(L1159="1-Urgent",L1159="2-High"),"DELEGATE","DELETE"))))</f>
        <v/>
      </c>
      <c r="P1159" s="65" t="n"/>
      <c r="Q1159">
        <f>IF(1154&gt;Calc!$AQ$368,"",MATCH(1153,Calc!$AQ$2:$AQ$367,1))</f>
        <v/>
      </c>
      <c r="R1159">
        <f>IF(Q1159="","",SMALL(INDEX(Calc!$B$2:$AO$367,Q1159,0),1154-INDEX(Calc!$AQ$2:$AQ$367,Q1159)))</f>
        <v/>
      </c>
    </row>
    <row r="1160">
      <c r="B1160" s="64">
        <f>IF(R1160="","",1155)</f>
        <v/>
      </c>
      <c r="C1160" s="37">
        <f>IF(R1160="","",IF(INDEX('Recurring Schedule'!$C$6:$C$45,R1160)="","",INDEX('Recurring Schedule'!$C$6:$C$45,R1160)))</f>
        <v/>
      </c>
      <c r="D1160" s="36">
        <f>IF(R1160="","",IF(INDEX('Recurring Schedule'!$D$6:$D$45,R1160)="","",INDEX('Recurring Schedule'!$D$6:$D$45,R1160)))</f>
        <v/>
      </c>
      <c r="E1160" s="38">
        <f>IF(Q1160="","",INDEX(Calc!$A$2:$A$367,Q1160))</f>
        <v/>
      </c>
      <c r="F1160" s="68">
        <f>IF(OR(C1160="",E1160=""),"",E1160-Setup!$D$7)</f>
        <v/>
      </c>
      <c r="G1160" s="74">
        <f>IF(R1160="","",IF(INDEX('Recurring Schedule'!$H$6:$H$45,R1160)="","",INDEX('Recurring Schedule'!$H$6:$H$45,R1160)))</f>
        <v/>
      </c>
      <c r="H1160" s="74">
        <f>IF(R1160="","",IF(INDEX('Recurring Schedule'!$I$6:$I$45,R1160)="","",INDEX('Recurring Schedule'!$I$6:$I$45,R1160)))</f>
        <v/>
      </c>
      <c r="I1160" s="36">
        <f>IF(OR(G1160="",H1160=""),"",TRIM(IF(HOUR(H1160-G1160)&gt;0,HOUR(H1160-G1160)&amp;" hr ","")&amp;IF(MINUTE(H1160-G1160)&gt;0,MINUTE(H1160-G1160)&amp;" min","")))</f>
        <v/>
      </c>
      <c r="J1160" s="66" t="n"/>
      <c r="K1160" s="70" t="n"/>
      <c r="L1160" s="36">
        <f>IF(R1160="","",IF(INDEX('Recurring Schedule'!$J$6:$J$45,R1160)="","",INDEX('Recurring Schedule'!$J$6:$J$45,R1160)))</f>
        <v/>
      </c>
      <c r="M1160" s="36">
        <f>IF(R1160="","",IF(INDEX('Recurring Schedule'!$K$6:$K$45,R1160)="","",INDEX('Recurring Schedule'!$K$6:$K$45,R1160)))</f>
        <v/>
      </c>
      <c r="N1160" s="36">
        <f>IF(R1160="","",IF(INDEX('Recurring Schedule'!$L$6:$L$45,R1160)="","",INDEX('Recurring Schedule'!$L$6:$L$45,R1160)))</f>
        <v/>
      </c>
      <c r="O1160" s="36">
        <f>IF(C1160="","",IF(AND(OR(L1160="1-Urgent",L1160="2-High"),M1160="✓"),"DO FIRST",IF(M1160="✓","SCHEDULE",IF(OR(L1160="1-Urgent",L1160="2-High"),"DELEGATE","DELETE"))))</f>
        <v/>
      </c>
      <c r="P1160" s="65" t="n"/>
      <c r="Q1160">
        <f>IF(1155&gt;Calc!$AQ$368,"",MATCH(1154,Calc!$AQ$2:$AQ$367,1))</f>
        <v/>
      </c>
      <c r="R1160">
        <f>IF(Q1160="","",SMALL(INDEX(Calc!$B$2:$AO$367,Q1160,0),1155-INDEX(Calc!$AQ$2:$AQ$367,Q1160)))</f>
        <v/>
      </c>
    </row>
    <row r="1161">
      <c r="B1161" s="71">
        <f>IF(R1161="","",1156)</f>
        <v/>
      </c>
      <c r="C1161" s="75">
        <f>IF(R1161="","",IF(INDEX('Recurring Schedule'!$C$6:$C$45,R1161)="","",INDEX('Recurring Schedule'!$C$6:$C$45,R1161)))</f>
        <v/>
      </c>
      <c r="D1161" s="73">
        <f>IF(R1161="","",IF(INDEX('Recurring Schedule'!$D$6:$D$45,R1161)="","",INDEX('Recurring Schedule'!$D$6:$D$45,R1161)))</f>
        <v/>
      </c>
      <c r="E1161" s="76">
        <f>IF(Q1161="","",INDEX(Calc!$A$2:$A$367,Q1161))</f>
        <v/>
      </c>
      <c r="F1161" s="72">
        <f>IF(OR(C1161="",E1161=""),"",E1161-Setup!$D$7)</f>
        <v/>
      </c>
      <c r="G1161" s="77">
        <f>IF(R1161="","",IF(INDEX('Recurring Schedule'!$H$6:$H$45,R1161)="","",INDEX('Recurring Schedule'!$H$6:$H$45,R1161)))</f>
        <v/>
      </c>
      <c r="H1161" s="77">
        <f>IF(R1161="","",IF(INDEX('Recurring Schedule'!$I$6:$I$45,R1161)="","",INDEX('Recurring Schedule'!$I$6:$I$45,R1161)))</f>
        <v/>
      </c>
      <c r="I1161" s="73">
        <f>IF(OR(G1161="",H1161=""),"",TRIM(IF(HOUR(H1161-G1161)&gt;0,HOUR(H1161-G1161)&amp;" hr ","")&amp;IF(MINUTE(H1161-G1161)&gt;0,MINUTE(H1161-G1161)&amp;" min","")))</f>
        <v/>
      </c>
      <c r="J1161" s="66" t="n"/>
      <c r="K1161" s="70" t="n"/>
      <c r="L1161" s="73">
        <f>IF(R1161="","",IF(INDEX('Recurring Schedule'!$J$6:$J$45,R1161)="","",INDEX('Recurring Schedule'!$J$6:$J$45,R1161)))</f>
        <v/>
      </c>
      <c r="M1161" s="73">
        <f>IF(R1161="","",IF(INDEX('Recurring Schedule'!$K$6:$K$45,R1161)="","",INDEX('Recurring Schedule'!$K$6:$K$45,R1161)))</f>
        <v/>
      </c>
      <c r="N1161" s="73">
        <f>IF(R1161="","",IF(INDEX('Recurring Schedule'!$L$6:$L$45,R1161)="","",INDEX('Recurring Schedule'!$L$6:$L$45,R1161)))</f>
        <v/>
      </c>
      <c r="O1161" s="73">
        <f>IF(C1161="","",IF(AND(OR(L1161="1-Urgent",L1161="2-High"),M1161="✓"),"DO FIRST",IF(M1161="✓","SCHEDULE",IF(OR(L1161="1-Urgent",L1161="2-High"),"DELEGATE","DELETE"))))</f>
        <v/>
      </c>
      <c r="P1161" s="65" t="n"/>
      <c r="Q1161">
        <f>IF(1156&gt;Calc!$AQ$368,"",MATCH(1155,Calc!$AQ$2:$AQ$367,1))</f>
        <v/>
      </c>
      <c r="R1161">
        <f>IF(Q1161="","",SMALL(INDEX(Calc!$B$2:$AO$367,Q1161,0),1156-INDEX(Calc!$AQ$2:$AQ$367,Q1161)))</f>
        <v/>
      </c>
    </row>
    <row r="1162">
      <c r="B1162" s="64">
        <f>IF(R1162="","",1157)</f>
        <v/>
      </c>
      <c r="C1162" s="37">
        <f>IF(R1162="","",IF(INDEX('Recurring Schedule'!$C$6:$C$45,R1162)="","",INDEX('Recurring Schedule'!$C$6:$C$45,R1162)))</f>
        <v/>
      </c>
      <c r="D1162" s="36">
        <f>IF(R1162="","",IF(INDEX('Recurring Schedule'!$D$6:$D$45,R1162)="","",INDEX('Recurring Schedule'!$D$6:$D$45,R1162)))</f>
        <v/>
      </c>
      <c r="E1162" s="38">
        <f>IF(Q1162="","",INDEX(Calc!$A$2:$A$367,Q1162))</f>
        <v/>
      </c>
      <c r="F1162" s="68">
        <f>IF(OR(C1162="",E1162=""),"",E1162-Setup!$D$7)</f>
        <v/>
      </c>
      <c r="G1162" s="74">
        <f>IF(R1162="","",IF(INDEX('Recurring Schedule'!$H$6:$H$45,R1162)="","",INDEX('Recurring Schedule'!$H$6:$H$45,R1162)))</f>
        <v/>
      </c>
      <c r="H1162" s="74">
        <f>IF(R1162="","",IF(INDEX('Recurring Schedule'!$I$6:$I$45,R1162)="","",INDEX('Recurring Schedule'!$I$6:$I$45,R1162)))</f>
        <v/>
      </c>
      <c r="I1162" s="36">
        <f>IF(OR(G1162="",H1162=""),"",TRIM(IF(HOUR(H1162-G1162)&gt;0,HOUR(H1162-G1162)&amp;" hr ","")&amp;IF(MINUTE(H1162-G1162)&gt;0,MINUTE(H1162-G1162)&amp;" min","")))</f>
        <v/>
      </c>
      <c r="J1162" s="66" t="n"/>
      <c r="K1162" s="70" t="n"/>
      <c r="L1162" s="36">
        <f>IF(R1162="","",IF(INDEX('Recurring Schedule'!$J$6:$J$45,R1162)="","",INDEX('Recurring Schedule'!$J$6:$J$45,R1162)))</f>
        <v/>
      </c>
      <c r="M1162" s="36">
        <f>IF(R1162="","",IF(INDEX('Recurring Schedule'!$K$6:$K$45,R1162)="","",INDEX('Recurring Schedule'!$K$6:$K$45,R1162)))</f>
        <v/>
      </c>
      <c r="N1162" s="36">
        <f>IF(R1162="","",IF(INDEX('Recurring Schedule'!$L$6:$L$45,R1162)="","",INDEX('Recurring Schedule'!$L$6:$L$45,R1162)))</f>
        <v/>
      </c>
      <c r="O1162" s="36">
        <f>IF(C1162="","",IF(AND(OR(L1162="1-Urgent",L1162="2-High"),M1162="✓"),"DO FIRST",IF(M1162="✓","SCHEDULE",IF(OR(L1162="1-Urgent",L1162="2-High"),"DELEGATE","DELETE"))))</f>
        <v/>
      </c>
      <c r="P1162" s="65" t="n"/>
      <c r="Q1162">
        <f>IF(1157&gt;Calc!$AQ$368,"",MATCH(1156,Calc!$AQ$2:$AQ$367,1))</f>
        <v/>
      </c>
      <c r="R1162">
        <f>IF(Q1162="","",SMALL(INDEX(Calc!$B$2:$AO$367,Q1162,0),1157-INDEX(Calc!$AQ$2:$AQ$367,Q1162)))</f>
        <v/>
      </c>
    </row>
    <row r="1163">
      <c r="B1163" s="71">
        <f>IF(R1163="","",1158)</f>
        <v/>
      </c>
      <c r="C1163" s="75">
        <f>IF(R1163="","",IF(INDEX('Recurring Schedule'!$C$6:$C$45,R1163)="","",INDEX('Recurring Schedule'!$C$6:$C$45,R1163)))</f>
        <v/>
      </c>
      <c r="D1163" s="73">
        <f>IF(R1163="","",IF(INDEX('Recurring Schedule'!$D$6:$D$45,R1163)="","",INDEX('Recurring Schedule'!$D$6:$D$45,R1163)))</f>
        <v/>
      </c>
      <c r="E1163" s="76">
        <f>IF(Q1163="","",INDEX(Calc!$A$2:$A$367,Q1163))</f>
        <v/>
      </c>
      <c r="F1163" s="72">
        <f>IF(OR(C1163="",E1163=""),"",E1163-Setup!$D$7)</f>
        <v/>
      </c>
      <c r="G1163" s="77">
        <f>IF(R1163="","",IF(INDEX('Recurring Schedule'!$H$6:$H$45,R1163)="","",INDEX('Recurring Schedule'!$H$6:$H$45,R1163)))</f>
        <v/>
      </c>
      <c r="H1163" s="77">
        <f>IF(R1163="","",IF(INDEX('Recurring Schedule'!$I$6:$I$45,R1163)="","",INDEX('Recurring Schedule'!$I$6:$I$45,R1163)))</f>
        <v/>
      </c>
      <c r="I1163" s="73">
        <f>IF(OR(G1163="",H1163=""),"",TRIM(IF(HOUR(H1163-G1163)&gt;0,HOUR(H1163-G1163)&amp;" hr ","")&amp;IF(MINUTE(H1163-G1163)&gt;0,MINUTE(H1163-G1163)&amp;" min","")))</f>
        <v/>
      </c>
      <c r="J1163" s="66" t="n"/>
      <c r="K1163" s="70" t="n"/>
      <c r="L1163" s="73">
        <f>IF(R1163="","",IF(INDEX('Recurring Schedule'!$J$6:$J$45,R1163)="","",INDEX('Recurring Schedule'!$J$6:$J$45,R1163)))</f>
        <v/>
      </c>
      <c r="M1163" s="73">
        <f>IF(R1163="","",IF(INDEX('Recurring Schedule'!$K$6:$K$45,R1163)="","",INDEX('Recurring Schedule'!$K$6:$K$45,R1163)))</f>
        <v/>
      </c>
      <c r="N1163" s="73">
        <f>IF(R1163="","",IF(INDEX('Recurring Schedule'!$L$6:$L$45,R1163)="","",INDEX('Recurring Schedule'!$L$6:$L$45,R1163)))</f>
        <v/>
      </c>
      <c r="O1163" s="73">
        <f>IF(C1163="","",IF(AND(OR(L1163="1-Urgent",L1163="2-High"),M1163="✓"),"DO FIRST",IF(M1163="✓","SCHEDULE",IF(OR(L1163="1-Urgent",L1163="2-High"),"DELEGATE","DELETE"))))</f>
        <v/>
      </c>
      <c r="P1163" s="65" t="n"/>
      <c r="Q1163">
        <f>IF(1158&gt;Calc!$AQ$368,"",MATCH(1157,Calc!$AQ$2:$AQ$367,1))</f>
        <v/>
      </c>
      <c r="R1163">
        <f>IF(Q1163="","",SMALL(INDEX(Calc!$B$2:$AO$367,Q1163,0),1158-INDEX(Calc!$AQ$2:$AQ$367,Q1163)))</f>
        <v/>
      </c>
    </row>
    <row r="1164">
      <c r="B1164" s="64">
        <f>IF(R1164="","",1159)</f>
        <v/>
      </c>
      <c r="C1164" s="37">
        <f>IF(R1164="","",IF(INDEX('Recurring Schedule'!$C$6:$C$45,R1164)="","",INDEX('Recurring Schedule'!$C$6:$C$45,R1164)))</f>
        <v/>
      </c>
      <c r="D1164" s="36">
        <f>IF(R1164="","",IF(INDEX('Recurring Schedule'!$D$6:$D$45,R1164)="","",INDEX('Recurring Schedule'!$D$6:$D$45,R1164)))</f>
        <v/>
      </c>
      <c r="E1164" s="38">
        <f>IF(Q1164="","",INDEX(Calc!$A$2:$A$367,Q1164))</f>
        <v/>
      </c>
      <c r="F1164" s="68">
        <f>IF(OR(C1164="",E1164=""),"",E1164-Setup!$D$7)</f>
        <v/>
      </c>
      <c r="G1164" s="74">
        <f>IF(R1164="","",IF(INDEX('Recurring Schedule'!$H$6:$H$45,R1164)="","",INDEX('Recurring Schedule'!$H$6:$H$45,R1164)))</f>
        <v/>
      </c>
      <c r="H1164" s="74">
        <f>IF(R1164="","",IF(INDEX('Recurring Schedule'!$I$6:$I$45,R1164)="","",INDEX('Recurring Schedule'!$I$6:$I$45,R1164)))</f>
        <v/>
      </c>
      <c r="I1164" s="36">
        <f>IF(OR(G1164="",H1164=""),"",TRIM(IF(HOUR(H1164-G1164)&gt;0,HOUR(H1164-G1164)&amp;" hr ","")&amp;IF(MINUTE(H1164-G1164)&gt;0,MINUTE(H1164-G1164)&amp;" min","")))</f>
        <v/>
      </c>
      <c r="J1164" s="66" t="n"/>
      <c r="K1164" s="70" t="n"/>
      <c r="L1164" s="36">
        <f>IF(R1164="","",IF(INDEX('Recurring Schedule'!$J$6:$J$45,R1164)="","",INDEX('Recurring Schedule'!$J$6:$J$45,R1164)))</f>
        <v/>
      </c>
      <c r="M1164" s="36">
        <f>IF(R1164="","",IF(INDEX('Recurring Schedule'!$K$6:$K$45,R1164)="","",INDEX('Recurring Schedule'!$K$6:$K$45,R1164)))</f>
        <v/>
      </c>
      <c r="N1164" s="36">
        <f>IF(R1164="","",IF(INDEX('Recurring Schedule'!$L$6:$L$45,R1164)="","",INDEX('Recurring Schedule'!$L$6:$L$45,R1164)))</f>
        <v/>
      </c>
      <c r="O1164" s="36">
        <f>IF(C1164="","",IF(AND(OR(L1164="1-Urgent",L1164="2-High"),M1164="✓"),"DO FIRST",IF(M1164="✓","SCHEDULE",IF(OR(L1164="1-Urgent",L1164="2-High"),"DELEGATE","DELETE"))))</f>
        <v/>
      </c>
      <c r="P1164" s="65" t="n"/>
      <c r="Q1164">
        <f>IF(1159&gt;Calc!$AQ$368,"",MATCH(1158,Calc!$AQ$2:$AQ$367,1))</f>
        <v/>
      </c>
      <c r="R1164">
        <f>IF(Q1164="","",SMALL(INDEX(Calc!$B$2:$AO$367,Q1164,0),1159-INDEX(Calc!$AQ$2:$AQ$367,Q1164)))</f>
        <v/>
      </c>
    </row>
    <row r="1165">
      <c r="B1165" s="71">
        <f>IF(R1165="","",1160)</f>
        <v/>
      </c>
      <c r="C1165" s="75">
        <f>IF(R1165="","",IF(INDEX('Recurring Schedule'!$C$6:$C$45,R1165)="","",INDEX('Recurring Schedule'!$C$6:$C$45,R1165)))</f>
        <v/>
      </c>
      <c r="D1165" s="73">
        <f>IF(R1165="","",IF(INDEX('Recurring Schedule'!$D$6:$D$45,R1165)="","",INDEX('Recurring Schedule'!$D$6:$D$45,R1165)))</f>
        <v/>
      </c>
      <c r="E1165" s="76">
        <f>IF(Q1165="","",INDEX(Calc!$A$2:$A$367,Q1165))</f>
        <v/>
      </c>
      <c r="F1165" s="72">
        <f>IF(OR(C1165="",E1165=""),"",E1165-Setup!$D$7)</f>
        <v/>
      </c>
      <c r="G1165" s="77">
        <f>IF(R1165="","",IF(INDEX('Recurring Schedule'!$H$6:$H$45,R1165)="","",INDEX('Recurring Schedule'!$H$6:$H$45,R1165)))</f>
        <v/>
      </c>
      <c r="H1165" s="77">
        <f>IF(R1165="","",IF(INDEX('Recurring Schedule'!$I$6:$I$45,R1165)="","",INDEX('Recurring Schedule'!$I$6:$I$45,R1165)))</f>
        <v/>
      </c>
      <c r="I1165" s="73">
        <f>IF(OR(G1165="",H1165=""),"",TRIM(IF(HOUR(H1165-G1165)&gt;0,HOUR(H1165-G1165)&amp;" hr ","")&amp;IF(MINUTE(H1165-G1165)&gt;0,MINUTE(H1165-G1165)&amp;" min","")))</f>
        <v/>
      </c>
      <c r="J1165" s="66" t="n"/>
      <c r="K1165" s="70" t="n"/>
      <c r="L1165" s="73">
        <f>IF(R1165="","",IF(INDEX('Recurring Schedule'!$J$6:$J$45,R1165)="","",INDEX('Recurring Schedule'!$J$6:$J$45,R1165)))</f>
        <v/>
      </c>
      <c r="M1165" s="73">
        <f>IF(R1165="","",IF(INDEX('Recurring Schedule'!$K$6:$K$45,R1165)="","",INDEX('Recurring Schedule'!$K$6:$K$45,R1165)))</f>
        <v/>
      </c>
      <c r="N1165" s="73">
        <f>IF(R1165="","",IF(INDEX('Recurring Schedule'!$L$6:$L$45,R1165)="","",INDEX('Recurring Schedule'!$L$6:$L$45,R1165)))</f>
        <v/>
      </c>
      <c r="O1165" s="73">
        <f>IF(C1165="","",IF(AND(OR(L1165="1-Urgent",L1165="2-High"),M1165="✓"),"DO FIRST",IF(M1165="✓","SCHEDULE",IF(OR(L1165="1-Urgent",L1165="2-High"),"DELEGATE","DELETE"))))</f>
        <v/>
      </c>
      <c r="P1165" s="65" t="n"/>
      <c r="Q1165">
        <f>IF(1160&gt;Calc!$AQ$368,"",MATCH(1159,Calc!$AQ$2:$AQ$367,1))</f>
        <v/>
      </c>
      <c r="R1165">
        <f>IF(Q1165="","",SMALL(INDEX(Calc!$B$2:$AO$367,Q1165,0),1160-INDEX(Calc!$AQ$2:$AQ$367,Q1165)))</f>
        <v/>
      </c>
    </row>
    <row r="1166">
      <c r="B1166" s="64">
        <f>IF(R1166="","",1161)</f>
        <v/>
      </c>
      <c r="C1166" s="37">
        <f>IF(R1166="","",IF(INDEX('Recurring Schedule'!$C$6:$C$45,R1166)="","",INDEX('Recurring Schedule'!$C$6:$C$45,R1166)))</f>
        <v/>
      </c>
      <c r="D1166" s="36">
        <f>IF(R1166="","",IF(INDEX('Recurring Schedule'!$D$6:$D$45,R1166)="","",INDEX('Recurring Schedule'!$D$6:$D$45,R1166)))</f>
        <v/>
      </c>
      <c r="E1166" s="38">
        <f>IF(Q1166="","",INDEX(Calc!$A$2:$A$367,Q1166))</f>
        <v/>
      </c>
      <c r="F1166" s="68">
        <f>IF(OR(C1166="",E1166=""),"",E1166-Setup!$D$7)</f>
        <v/>
      </c>
      <c r="G1166" s="74">
        <f>IF(R1166="","",IF(INDEX('Recurring Schedule'!$H$6:$H$45,R1166)="","",INDEX('Recurring Schedule'!$H$6:$H$45,R1166)))</f>
        <v/>
      </c>
      <c r="H1166" s="74">
        <f>IF(R1166="","",IF(INDEX('Recurring Schedule'!$I$6:$I$45,R1166)="","",INDEX('Recurring Schedule'!$I$6:$I$45,R1166)))</f>
        <v/>
      </c>
      <c r="I1166" s="36">
        <f>IF(OR(G1166="",H1166=""),"",TRIM(IF(HOUR(H1166-G1166)&gt;0,HOUR(H1166-G1166)&amp;" hr ","")&amp;IF(MINUTE(H1166-G1166)&gt;0,MINUTE(H1166-G1166)&amp;" min","")))</f>
        <v/>
      </c>
      <c r="J1166" s="66" t="n"/>
      <c r="K1166" s="70" t="n"/>
      <c r="L1166" s="36">
        <f>IF(R1166="","",IF(INDEX('Recurring Schedule'!$J$6:$J$45,R1166)="","",INDEX('Recurring Schedule'!$J$6:$J$45,R1166)))</f>
        <v/>
      </c>
      <c r="M1166" s="36">
        <f>IF(R1166="","",IF(INDEX('Recurring Schedule'!$K$6:$K$45,R1166)="","",INDEX('Recurring Schedule'!$K$6:$K$45,R1166)))</f>
        <v/>
      </c>
      <c r="N1166" s="36">
        <f>IF(R1166="","",IF(INDEX('Recurring Schedule'!$L$6:$L$45,R1166)="","",INDEX('Recurring Schedule'!$L$6:$L$45,R1166)))</f>
        <v/>
      </c>
      <c r="O1166" s="36">
        <f>IF(C1166="","",IF(AND(OR(L1166="1-Urgent",L1166="2-High"),M1166="✓"),"DO FIRST",IF(M1166="✓","SCHEDULE",IF(OR(L1166="1-Urgent",L1166="2-High"),"DELEGATE","DELETE"))))</f>
        <v/>
      </c>
      <c r="P1166" s="65" t="n"/>
      <c r="Q1166">
        <f>IF(1161&gt;Calc!$AQ$368,"",MATCH(1160,Calc!$AQ$2:$AQ$367,1))</f>
        <v/>
      </c>
      <c r="R1166">
        <f>IF(Q1166="","",SMALL(INDEX(Calc!$B$2:$AO$367,Q1166,0),1161-INDEX(Calc!$AQ$2:$AQ$367,Q1166)))</f>
        <v/>
      </c>
    </row>
    <row r="1167">
      <c r="B1167" s="71">
        <f>IF(R1167="","",1162)</f>
        <v/>
      </c>
      <c r="C1167" s="75">
        <f>IF(R1167="","",IF(INDEX('Recurring Schedule'!$C$6:$C$45,R1167)="","",INDEX('Recurring Schedule'!$C$6:$C$45,R1167)))</f>
        <v/>
      </c>
      <c r="D1167" s="73">
        <f>IF(R1167="","",IF(INDEX('Recurring Schedule'!$D$6:$D$45,R1167)="","",INDEX('Recurring Schedule'!$D$6:$D$45,R1167)))</f>
        <v/>
      </c>
      <c r="E1167" s="76">
        <f>IF(Q1167="","",INDEX(Calc!$A$2:$A$367,Q1167))</f>
        <v/>
      </c>
      <c r="F1167" s="72">
        <f>IF(OR(C1167="",E1167=""),"",E1167-Setup!$D$7)</f>
        <v/>
      </c>
      <c r="G1167" s="77">
        <f>IF(R1167="","",IF(INDEX('Recurring Schedule'!$H$6:$H$45,R1167)="","",INDEX('Recurring Schedule'!$H$6:$H$45,R1167)))</f>
        <v/>
      </c>
      <c r="H1167" s="77">
        <f>IF(R1167="","",IF(INDEX('Recurring Schedule'!$I$6:$I$45,R1167)="","",INDEX('Recurring Schedule'!$I$6:$I$45,R1167)))</f>
        <v/>
      </c>
      <c r="I1167" s="73">
        <f>IF(OR(G1167="",H1167=""),"",TRIM(IF(HOUR(H1167-G1167)&gt;0,HOUR(H1167-G1167)&amp;" hr ","")&amp;IF(MINUTE(H1167-G1167)&gt;0,MINUTE(H1167-G1167)&amp;" min","")))</f>
        <v/>
      </c>
      <c r="J1167" s="66" t="n"/>
      <c r="K1167" s="70" t="n"/>
      <c r="L1167" s="73">
        <f>IF(R1167="","",IF(INDEX('Recurring Schedule'!$J$6:$J$45,R1167)="","",INDEX('Recurring Schedule'!$J$6:$J$45,R1167)))</f>
        <v/>
      </c>
      <c r="M1167" s="73">
        <f>IF(R1167="","",IF(INDEX('Recurring Schedule'!$K$6:$K$45,R1167)="","",INDEX('Recurring Schedule'!$K$6:$K$45,R1167)))</f>
        <v/>
      </c>
      <c r="N1167" s="73">
        <f>IF(R1167="","",IF(INDEX('Recurring Schedule'!$L$6:$L$45,R1167)="","",INDEX('Recurring Schedule'!$L$6:$L$45,R1167)))</f>
        <v/>
      </c>
      <c r="O1167" s="73">
        <f>IF(C1167="","",IF(AND(OR(L1167="1-Urgent",L1167="2-High"),M1167="✓"),"DO FIRST",IF(M1167="✓","SCHEDULE",IF(OR(L1167="1-Urgent",L1167="2-High"),"DELEGATE","DELETE"))))</f>
        <v/>
      </c>
      <c r="P1167" s="65" t="n"/>
      <c r="Q1167">
        <f>IF(1162&gt;Calc!$AQ$368,"",MATCH(1161,Calc!$AQ$2:$AQ$367,1))</f>
        <v/>
      </c>
      <c r="R1167">
        <f>IF(Q1167="","",SMALL(INDEX(Calc!$B$2:$AO$367,Q1167,0),1162-INDEX(Calc!$AQ$2:$AQ$367,Q1167)))</f>
        <v/>
      </c>
    </row>
    <row r="1168">
      <c r="B1168" s="64">
        <f>IF(R1168="","",1163)</f>
        <v/>
      </c>
      <c r="C1168" s="37">
        <f>IF(R1168="","",IF(INDEX('Recurring Schedule'!$C$6:$C$45,R1168)="","",INDEX('Recurring Schedule'!$C$6:$C$45,R1168)))</f>
        <v/>
      </c>
      <c r="D1168" s="36">
        <f>IF(R1168="","",IF(INDEX('Recurring Schedule'!$D$6:$D$45,R1168)="","",INDEX('Recurring Schedule'!$D$6:$D$45,R1168)))</f>
        <v/>
      </c>
      <c r="E1168" s="38">
        <f>IF(Q1168="","",INDEX(Calc!$A$2:$A$367,Q1168))</f>
        <v/>
      </c>
      <c r="F1168" s="68">
        <f>IF(OR(C1168="",E1168=""),"",E1168-Setup!$D$7)</f>
        <v/>
      </c>
      <c r="G1168" s="74">
        <f>IF(R1168="","",IF(INDEX('Recurring Schedule'!$H$6:$H$45,R1168)="","",INDEX('Recurring Schedule'!$H$6:$H$45,R1168)))</f>
        <v/>
      </c>
      <c r="H1168" s="74">
        <f>IF(R1168="","",IF(INDEX('Recurring Schedule'!$I$6:$I$45,R1168)="","",INDEX('Recurring Schedule'!$I$6:$I$45,R1168)))</f>
        <v/>
      </c>
      <c r="I1168" s="36">
        <f>IF(OR(G1168="",H1168=""),"",TRIM(IF(HOUR(H1168-G1168)&gt;0,HOUR(H1168-G1168)&amp;" hr ","")&amp;IF(MINUTE(H1168-G1168)&gt;0,MINUTE(H1168-G1168)&amp;" min","")))</f>
        <v/>
      </c>
      <c r="J1168" s="66" t="n"/>
      <c r="K1168" s="70" t="n"/>
      <c r="L1168" s="36">
        <f>IF(R1168="","",IF(INDEX('Recurring Schedule'!$J$6:$J$45,R1168)="","",INDEX('Recurring Schedule'!$J$6:$J$45,R1168)))</f>
        <v/>
      </c>
      <c r="M1168" s="36">
        <f>IF(R1168="","",IF(INDEX('Recurring Schedule'!$K$6:$K$45,R1168)="","",INDEX('Recurring Schedule'!$K$6:$K$45,R1168)))</f>
        <v/>
      </c>
      <c r="N1168" s="36">
        <f>IF(R1168="","",IF(INDEX('Recurring Schedule'!$L$6:$L$45,R1168)="","",INDEX('Recurring Schedule'!$L$6:$L$45,R1168)))</f>
        <v/>
      </c>
      <c r="O1168" s="36">
        <f>IF(C1168="","",IF(AND(OR(L1168="1-Urgent",L1168="2-High"),M1168="✓"),"DO FIRST",IF(M1168="✓","SCHEDULE",IF(OR(L1168="1-Urgent",L1168="2-High"),"DELEGATE","DELETE"))))</f>
        <v/>
      </c>
      <c r="P1168" s="65" t="n"/>
      <c r="Q1168">
        <f>IF(1163&gt;Calc!$AQ$368,"",MATCH(1162,Calc!$AQ$2:$AQ$367,1))</f>
        <v/>
      </c>
      <c r="R1168">
        <f>IF(Q1168="","",SMALL(INDEX(Calc!$B$2:$AO$367,Q1168,0),1163-INDEX(Calc!$AQ$2:$AQ$367,Q1168)))</f>
        <v/>
      </c>
    </row>
    <row r="1169">
      <c r="B1169" s="71">
        <f>IF(R1169="","",1164)</f>
        <v/>
      </c>
      <c r="C1169" s="75">
        <f>IF(R1169="","",IF(INDEX('Recurring Schedule'!$C$6:$C$45,R1169)="","",INDEX('Recurring Schedule'!$C$6:$C$45,R1169)))</f>
        <v/>
      </c>
      <c r="D1169" s="73">
        <f>IF(R1169="","",IF(INDEX('Recurring Schedule'!$D$6:$D$45,R1169)="","",INDEX('Recurring Schedule'!$D$6:$D$45,R1169)))</f>
        <v/>
      </c>
      <c r="E1169" s="76">
        <f>IF(Q1169="","",INDEX(Calc!$A$2:$A$367,Q1169))</f>
        <v/>
      </c>
      <c r="F1169" s="72">
        <f>IF(OR(C1169="",E1169=""),"",E1169-Setup!$D$7)</f>
        <v/>
      </c>
      <c r="G1169" s="77">
        <f>IF(R1169="","",IF(INDEX('Recurring Schedule'!$H$6:$H$45,R1169)="","",INDEX('Recurring Schedule'!$H$6:$H$45,R1169)))</f>
        <v/>
      </c>
      <c r="H1169" s="77">
        <f>IF(R1169="","",IF(INDEX('Recurring Schedule'!$I$6:$I$45,R1169)="","",INDEX('Recurring Schedule'!$I$6:$I$45,R1169)))</f>
        <v/>
      </c>
      <c r="I1169" s="73">
        <f>IF(OR(G1169="",H1169=""),"",TRIM(IF(HOUR(H1169-G1169)&gt;0,HOUR(H1169-G1169)&amp;" hr ","")&amp;IF(MINUTE(H1169-G1169)&gt;0,MINUTE(H1169-G1169)&amp;" min","")))</f>
        <v/>
      </c>
      <c r="J1169" s="66" t="n"/>
      <c r="K1169" s="70" t="n"/>
      <c r="L1169" s="73">
        <f>IF(R1169="","",IF(INDEX('Recurring Schedule'!$J$6:$J$45,R1169)="","",INDEX('Recurring Schedule'!$J$6:$J$45,R1169)))</f>
        <v/>
      </c>
      <c r="M1169" s="73">
        <f>IF(R1169="","",IF(INDEX('Recurring Schedule'!$K$6:$K$45,R1169)="","",INDEX('Recurring Schedule'!$K$6:$K$45,R1169)))</f>
        <v/>
      </c>
      <c r="N1169" s="73">
        <f>IF(R1169="","",IF(INDEX('Recurring Schedule'!$L$6:$L$45,R1169)="","",INDEX('Recurring Schedule'!$L$6:$L$45,R1169)))</f>
        <v/>
      </c>
      <c r="O1169" s="73">
        <f>IF(C1169="","",IF(AND(OR(L1169="1-Urgent",L1169="2-High"),M1169="✓"),"DO FIRST",IF(M1169="✓","SCHEDULE",IF(OR(L1169="1-Urgent",L1169="2-High"),"DELEGATE","DELETE"))))</f>
        <v/>
      </c>
      <c r="P1169" s="65" t="n"/>
      <c r="Q1169">
        <f>IF(1164&gt;Calc!$AQ$368,"",MATCH(1163,Calc!$AQ$2:$AQ$367,1))</f>
        <v/>
      </c>
      <c r="R1169">
        <f>IF(Q1169="","",SMALL(INDEX(Calc!$B$2:$AO$367,Q1169,0),1164-INDEX(Calc!$AQ$2:$AQ$367,Q1169)))</f>
        <v/>
      </c>
    </row>
    <row r="1170">
      <c r="B1170" s="64">
        <f>IF(R1170="","",1165)</f>
        <v/>
      </c>
      <c r="C1170" s="37">
        <f>IF(R1170="","",IF(INDEX('Recurring Schedule'!$C$6:$C$45,R1170)="","",INDEX('Recurring Schedule'!$C$6:$C$45,R1170)))</f>
        <v/>
      </c>
      <c r="D1170" s="36">
        <f>IF(R1170="","",IF(INDEX('Recurring Schedule'!$D$6:$D$45,R1170)="","",INDEX('Recurring Schedule'!$D$6:$D$45,R1170)))</f>
        <v/>
      </c>
      <c r="E1170" s="38">
        <f>IF(Q1170="","",INDEX(Calc!$A$2:$A$367,Q1170))</f>
        <v/>
      </c>
      <c r="F1170" s="68">
        <f>IF(OR(C1170="",E1170=""),"",E1170-Setup!$D$7)</f>
        <v/>
      </c>
      <c r="G1170" s="74">
        <f>IF(R1170="","",IF(INDEX('Recurring Schedule'!$H$6:$H$45,R1170)="","",INDEX('Recurring Schedule'!$H$6:$H$45,R1170)))</f>
        <v/>
      </c>
      <c r="H1170" s="74">
        <f>IF(R1170="","",IF(INDEX('Recurring Schedule'!$I$6:$I$45,R1170)="","",INDEX('Recurring Schedule'!$I$6:$I$45,R1170)))</f>
        <v/>
      </c>
      <c r="I1170" s="36">
        <f>IF(OR(G1170="",H1170=""),"",TRIM(IF(HOUR(H1170-G1170)&gt;0,HOUR(H1170-G1170)&amp;" hr ","")&amp;IF(MINUTE(H1170-G1170)&gt;0,MINUTE(H1170-G1170)&amp;" min","")))</f>
        <v/>
      </c>
      <c r="J1170" s="66" t="n"/>
      <c r="K1170" s="70" t="n"/>
      <c r="L1170" s="36">
        <f>IF(R1170="","",IF(INDEX('Recurring Schedule'!$J$6:$J$45,R1170)="","",INDEX('Recurring Schedule'!$J$6:$J$45,R1170)))</f>
        <v/>
      </c>
      <c r="M1170" s="36">
        <f>IF(R1170="","",IF(INDEX('Recurring Schedule'!$K$6:$K$45,R1170)="","",INDEX('Recurring Schedule'!$K$6:$K$45,R1170)))</f>
        <v/>
      </c>
      <c r="N1170" s="36">
        <f>IF(R1170="","",IF(INDEX('Recurring Schedule'!$L$6:$L$45,R1170)="","",INDEX('Recurring Schedule'!$L$6:$L$45,R1170)))</f>
        <v/>
      </c>
      <c r="O1170" s="36">
        <f>IF(C1170="","",IF(AND(OR(L1170="1-Urgent",L1170="2-High"),M1170="✓"),"DO FIRST",IF(M1170="✓","SCHEDULE",IF(OR(L1170="1-Urgent",L1170="2-High"),"DELEGATE","DELETE"))))</f>
        <v/>
      </c>
      <c r="P1170" s="65" t="n"/>
      <c r="Q1170">
        <f>IF(1165&gt;Calc!$AQ$368,"",MATCH(1164,Calc!$AQ$2:$AQ$367,1))</f>
        <v/>
      </c>
      <c r="R1170">
        <f>IF(Q1170="","",SMALL(INDEX(Calc!$B$2:$AO$367,Q1170,0),1165-INDEX(Calc!$AQ$2:$AQ$367,Q1170)))</f>
        <v/>
      </c>
    </row>
    <row r="1171">
      <c r="B1171" s="71">
        <f>IF(R1171="","",1166)</f>
        <v/>
      </c>
      <c r="C1171" s="75">
        <f>IF(R1171="","",IF(INDEX('Recurring Schedule'!$C$6:$C$45,R1171)="","",INDEX('Recurring Schedule'!$C$6:$C$45,R1171)))</f>
        <v/>
      </c>
      <c r="D1171" s="73">
        <f>IF(R1171="","",IF(INDEX('Recurring Schedule'!$D$6:$D$45,R1171)="","",INDEX('Recurring Schedule'!$D$6:$D$45,R1171)))</f>
        <v/>
      </c>
      <c r="E1171" s="76">
        <f>IF(Q1171="","",INDEX(Calc!$A$2:$A$367,Q1171))</f>
        <v/>
      </c>
      <c r="F1171" s="72">
        <f>IF(OR(C1171="",E1171=""),"",E1171-Setup!$D$7)</f>
        <v/>
      </c>
      <c r="G1171" s="77">
        <f>IF(R1171="","",IF(INDEX('Recurring Schedule'!$H$6:$H$45,R1171)="","",INDEX('Recurring Schedule'!$H$6:$H$45,R1171)))</f>
        <v/>
      </c>
      <c r="H1171" s="77">
        <f>IF(R1171="","",IF(INDEX('Recurring Schedule'!$I$6:$I$45,R1171)="","",INDEX('Recurring Schedule'!$I$6:$I$45,R1171)))</f>
        <v/>
      </c>
      <c r="I1171" s="73">
        <f>IF(OR(G1171="",H1171=""),"",TRIM(IF(HOUR(H1171-G1171)&gt;0,HOUR(H1171-G1171)&amp;" hr ","")&amp;IF(MINUTE(H1171-G1171)&gt;0,MINUTE(H1171-G1171)&amp;" min","")))</f>
        <v/>
      </c>
      <c r="J1171" s="66" t="n"/>
      <c r="K1171" s="70" t="n"/>
      <c r="L1171" s="73">
        <f>IF(R1171="","",IF(INDEX('Recurring Schedule'!$J$6:$J$45,R1171)="","",INDEX('Recurring Schedule'!$J$6:$J$45,R1171)))</f>
        <v/>
      </c>
      <c r="M1171" s="73">
        <f>IF(R1171="","",IF(INDEX('Recurring Schedule'!$K$6:$K$45,R1171)="","",INDEX('Recurring Schedule'!$K$6:$K$45,R1171)))</f>
        <v/>
      </c>
      <c r="N1171" s="73">
        <f>IF(R1171="","",IF(INDEX('Recurring Schedule'!$L$6:$L$45,R1171)="","",INDEX('Recurring Schedule'!$L$6:$L$45,R1171)))</f>
        <v/>
      </c>
      <c r="O1171" s="73">
        <f>IF(C1171="","",IF(AND(OR(L1171="1-Urgent",L1171="2-High"),M1171="✓"),"DO FIRST",IF(M1171="✓","SCHEDULE",IF(OR(L1171="1-Urgent",L1171="2-High"),"DELEGATE","DELETE"))))</f>
        <v/>
      </c>
      <c r="P1171" s="65" t="n"/>
      <c r="Q1171">
        <f>IF(1166&gt;Calc!$AQ$368,"",MATCH(1165,Calc!$AQ$2:$AQ$367,1))</f>
        <v/>
      </c>
      <c r="R1171">
        <f>IF(Q1171="","",SMALL(INDEX(Calc!$B$2:$AO$367,Q1171,0),1166-INDEX(Calc!$AQ$2:$AQ$367,Q1171)))</f>
        <v/>
      </c>
    </row>
    <row r="1172">
      <c r="B1172" s="64">
        <f>IF(R1172="","",1167)</f>
        <v/>
      </c>
      <c r="C1172" s="37">
        <f>IF(R1172="","",IF(INDEX('Recurring Schedule'!$C$6:$C$45,R1172)="","",INDEX('Recurring Schedule'!$C$6:$C$45,R1172)))</f>
        <v/>
      </c>
      <c r="D1172" s="36">
        <f>IF(R1172="","",IF(INDEX('Recurring Schedule'!$D$6:$D$45,R1172)="","",INDEX('Recurring Schedule'!$D$6:$D$45,R1172)))</f>
        <v/>
      </c>
      <c r="E1172" s="38">
        <f>IF(Q1172="","",INDEX(Calc!$A$2:$A$367,Q1172))</f>
        <v/>
      </c>
      <c r="F1172" s="68">
        <f>IF(OR(C1172="",E1172=""),"",E1172-Setup!$D$7)</f>
        <v/>
      </c>
      <c r="G1172" s="74">
        <f>IF(R1172="","",IF(INDEX('Recurring Schedule'!$H$6:$H$45,R1172)="","",INDEX('Recurring Schedule'!$H$6:$H$45,R1172)))</f>
        <v/>
      </c>
      <c r="H1172" s="74">
        <f>IF(R1172="","",IF(INDEX('Recurring Schedule'!$I$6:$I$45,R1172)="","",INDEX('Recurring Schedule'!$I$6:$I$45,R1172)))</f>
        <v/>
      </c>
      <c r="I1172" s="36">
        <f>IF(OR(G1172="",H1172=""),"",TRIM(IF(HOUR(H1172-G1172)&gt;0,HOUR(H1172-G1172)&amp;" hr ","")&amp;IF(MINUTE(H1172-G1172)&gt;0,MINUTE(H1172-G1172)&amp;" min","")))</f>
        <v/>
      </c>
      <c r="J1172" s="66" t="n"/>
      <c r="K1172" s="70" t="n"/>
      <c r="L1172" s="36">
        <f>IF(R1172="","",IF(INDEX('Recurring Schedule'!$J$6:$J$45,R1172)="","",INDEX('Recurring Schedule'!$J$6:$J$45,R1172)))</f>
        <v/>
      </c>
      <c r="M1172" s="36">
        <f>IF(R1172="","",IF(INDEX('Recurring Schedule'!$K$6:$K$45,R1172)="","",INDEX('Recurring Schedule'!$K$6:$K$45,R1172)))</f>
        <v/>
      </c>
      <c r="N1172" s="36">
        <f>IF(R1172="","",IF(INDEX('Recurring Schedule'!$L$6:$L$45,R1172)="","",INDEX('Recurring Schedule'!$L$6:$L$45,R1172)))</f>
        <v/>
      </c>
      <c r="O1172" s="36">
        <f>IF(C1172="","",IF(AND(OR(L1172="1-Urgent",L1172="2-High"),M1172="✓"),"DO FIRST",IF(M1172="✓","SCHEDULE",IF(OR(L1172="1-Urgent",L1172="2-High"),"DELEGATE","DELETE"))))</f>
        <v/>
      </c>
      <c r="P1172" s="65" t="n"/>
      <c r="Q1172">
        <f>IF(1167&gt;Calc!$AQ$368,"",MATCH(1166,Calc!$AQ$2:$AQ$367,1))</f>
        <v/>
      </c>
      <c r="R1172">
        <f>IF(Q1172="","",SMALL(INDEX(Calc!$B$2:$AO$367,Q1172,0),1167-INDEX(Calc!$AQ$2:$AQ$367,Q1172)))</f>
        <v/>
      </c>
    </row>
    <row r="1173">
      <c r="B1173" s="71">
        <f>IF(R1173="","",1168)</f>
        <v/>
      </c>
      <c r="C1173" s="75">
        <f>IF(R1173="","",IF(INDEX('Recurring Schedule'!$C$6:$C$45,R1173)="","",INDEX('Recurring Schedule'!$C$6:$C$45,R1173)))</f>
        <v/>
      </c>
      <c r="D1173" s="73">
        <f>IF(R1173="","",IF(INDEX('Recurring Schedule'!$D$6:$D$45,R1173)="","",INDEX('Recurring Schedule'!$D$6:$D$45,R1173)))</f>
        <v/>
      </c>
      <c r="E1173" s="76">
        <f>IF(Q1173="","",INDEX(Calc!$A$2:$A$367,Q1173))</f>
        <v/>
      </c>
      <c r="F1173" s="72">
        <f>IF(OR(C1173="",E1173=""),"",E1173-Setup!$D$7)</f>
        <v/>
      </c>
      <c r="G1173" s="77">
        <f>IF(R1173="","",IF(INDEX('Recurring Schedule'!$H$6:$H$45,R1173)="","",INDEX('Recurring Schedule'!$H$6:$H$45,R1173)))</f>
        <v/>
      </c>
      <c r="H1173" s="77">
        <f>IF(R1173="","",IF(INDEX('Recurring Schedule'!$I$6:$I$45,R1173)="","",INDEX('Recurring Schedule'!$I$6:$I$45,R1173)))</f>
        <v/>
      </c>
      <c r="I1173" s="73">
        <f>IF(OR(G1173="",H1173=""),"",TRIM(IF(HOUR(H1173-G1173)&gt;0,HOUR(H1173-G1173)&amp;" hr ","")&amp;IF(MINUTE(H1173-G1173)&gt;0,MINUTE(H1173-G1173)&amp;" min","")))</f>
        <v/>
      </c>
      <c r="J1173" s="66" t="n"/>
      <c r="K1173" s="70" t="n"/>
      <c r="L1173" s="73">
        <f>IF(R1173="","",IF(INDEX('Recurring Schedule'!$J$6:$J$45,R1173)="","",INDEX('Recurring Schedule'!$J$6:$J$45,R1173)))</f>
        <v/>
      </c>
      <c r="M1173" s="73">
        <f>IF(R1173="","",IF(INDEX('Recurring Schedule'!$K$6:$K$45,R1173)="","",INDEX('Recurring Schedule'!$K$6:$K$45,R1173)))</f>
        <v/>
      </c>
      <c r="N1173" s="73">
        <f>IF(R1173="","",IF(INDEX('Recurring Schedule'!$L$6:$L$45,R1173)="","",INDEX('Recurring Schedule'!$L$6:$L$45,R1173)))</f>
        <v/>
      </c>
      <c r="O1173" s="73">
        <f>IF(C1173="","",IF(AND(OR(L1173="1-Urgent",L1173="2-High"),M1173="✓"),"DO FIRST",IF(M1173="✓","SCHEDULE",IF(OR(L1173="1-Urgent",L1173="2-High"),"DELEGATE","DELETE"))))</f>
        <v/>
      </c>
      <c r="P1173" s="65" t="n"/>
      <c r="Q1173">
        <f>IF(1168&gt;Calc!$AQ$368,"",MATCH(1167,Calc!$AQ$2:$AQ$367,1))</f>
        <v/>
      </c>
      <c r="R1173">
        <f>IF(Q1173="","",SMALL(INDEX(Calc!$B$2:$AO$367,Q1173,0),1168-INDEX(Calc!$AQ$2:$AQ$367,Q1173)))</f>
        <v/>
      </c>
    </row>
    <row r="1174">
      <c r="B1174" s="64">
        <f>IF(R1174="","",1169)</f>
        <v/>
      </c>
      <c r="C1174" s="37">
        <f>IF(R1174="","",IF(INDEX('Recurring Schedule'!$C$6:$C$45,R1174)="","",INDEX('Recurring Schedule'!$C$6:$C$45,R1174)))</f>
        <v/>
      </c>
      <c r="D1174" s="36">
        <f>IF(R1174="","",IF(INDEX('Recurring Schedule'!$D$6:$D$45,R1174)="","",INDEX('Recurring Schedule'!$D$6:$D$45,R1174)))</f>
        <v/>
      </c>
      <c r="E1174" s="38">
        <f>IF(Q1174="","",INDEX(Calc!$A$2:$A$367,Q1174))</f>
        <v/>
      </c>
      <c r="F1174" s="68">
        <f>IF(OR(C1174="",E1174=""),"",E1174-Setup!$D$7)</f>
        <v/>
      </c>
      <c r="G1174" s="74">
        <f>IF(R1174="","",IF(INDEX('Recurring Schedule'!$H$6:$H$45,R1174)="","",INDEX('Recurring Schedule'!$H$6:$H$45,R1174)))</f>
        <v/>
      </c>
      <c r="H1174" s="74">
        <f>IF(R1174="","",IF(INDEX('Recurring Schedule'!$I$6:$I$45,R1174)="","",INDEX('Recurring Schedule'!$I$6:$I$45,R1174)))</f>
        <v/>
      </c>
      <c r="I1174" s="36">
        <f>IF(OR(G1174="",H1174=""),"",TRIM(IF(HOUR(H1174-G1174)&gt;0,HOUR(H1174-G1174)&amp;" hr ","")&amp;IF(MINUTE(H1174-G1174)&gt;0,MINUTE(H1174-G1174)&amp;" min","")))</f>
        <v/>
      </c>
      <c r="J1174" s="66" t="n"/>
      <c r="K1174" s="70" t="n"/>
      <c r="L1174" s="36">
        <f>IF(R1174="","",IF(INDEX('Recurring Schedule'!$J$6:$J$45,R1174)="","",INDEX('Recurring Schedule'!$J$6:$J$45,R1174)))</f>
        <v/>
      </c>
      <c r="M1174" s="36">
        <f>IF(R1174="","",IF(INDEX('Recurring Schedule'!$K$6:$K$45,R1174)="","",INDEX('Recurring Schedule'!$K$6:$K$45,R1174)))</f>
        <v/>
      </c>
      <c r="N1174" s="36">
        <f>IF(R1174="","",IF(INDEX('Recurring Schedule'!$L$6:$L$45,R1174)="","",INDEX('Recurring Schedule'!$L$6:$L$45,R1174)))</f>
        <v/>
      </c>
      <c r="O1174" s="36">
        <f>IF(C1174="","",IF(AND(OR(L1174="1-Urgent",L1174="2-High"),M1174="✓"),"DO FIRST",IF(M1174="✓","SCHEDULE",IF(OR(L1174="1-Urgent",L1174="2-High"),"DELEGATE","DELETE"))))</f>
        <v/>
      </c>
      <c r="P1174" s="65" t="n"/>
      <c r="Q1174">
        <f>IF(1169&gt;Calc!$AQ$368,"",MATCH(1168,Calc!$AQ$2:$AQ$367,1))</f>
        <v/>
      </c>
      <c r="R1174">
        <f>IF(Q1174="","",SMALL(INDEX(Calc!$B$2:$AO$367,Q1174,0),1169-INDEX(Calc!$AQ$2:$AQ$367,Q1174)))</f>
        <v/>
      </c>
    </row>
    <row r="1175">
      <c r="B1175" s="71">
        <f>IF(R1175="","",1170)</f>
        <v/>
      </c>
      <c r="C1175" s="75">
        <f>IF(R1175="","",IF(INDEX('Recurring Schedule'!$C$6:$C$45,R1175)="","",INDEX('Recurring Schedule'!$C$6:$C$45,R1175)))</f>
        <v/>
      </c>
      <c r="D1175" s="73">
        <f>IF(R1175="","",IF(INDEX('Recurring Schedule'!$D$6:$D$45,R1175)="","",INDEX('Recurring Schedule'!$D$6:$D$45,R1175)))</f>
        <v/>
      </c>
      <c r="E1175" s="76">
        <f>IF(Q1175="","",INDEX(Calc!$A$2:$A$367,Q1175))</f>
        <v/>
      </c>
      <c r="F1175" s="72">
        <f>IF(OR(C1175="",E1175=""),"",E1175-Setup!$D$7)</f>
        <v/>
      </c>
      <c r="G1175" s="77">
        <f>IF(R1175="","",IF(INDEX('Recurring Schedule'!$H$6:$H$45,R1175)="","",INDEX('Recurring Schedule'!$H$6:$H$45,R1175)))</f>
        <v/>
      </c>
      <c r="H1175" s="77">
        <f>IF(R1175="","",IF(INDEX('Recurring Schedule'!$I$6:$I$45,R1175)="","",INDEX('Recurring Schedule'!$I$6:$I$45,R1175)))</f>
        <v/>
      </c>
      <c r="I1175" s="73">
        <f>IF(OR(G1175="",H1175=""),"",TRIM(IF(HOUR(H1175-G1175)&gt;0,HOUR(H1175-G1175)&amp;" hr ","")&amp;IF(MINUTE(H1175-G1175)&gt;0,MINUTE(H1175-G1175)&amp;" min","")))</f>
        <v/>
      </c>
      <c r="J1175" s="66" t="n"/>
      <c r="K1175" s="70" t="n"/>
      <c r="L1175" s="73">
        <f>IF(R1175="","",IF(INDEX('Recurring Schedule'!$J$6:$J$45,R1175)="","",INDEX('Recurring Schedule'!$J$6:$J$45,R1175)))</f>
        <v/>
      </c>
      <c r="M1175" s="73">
        <f>IF(R1175="","",IF(INDEX('Recurring Schedule'!$K$6:$K$45,R1175)="","",INDEX('Recurring Schedule'!$K$6:$K$45,R1175)))</f>
        <v/>
      </c>
      <c r="N1175" s="73">
        <f>IF(R1175="","",IF(INDEX('Recurring Schedule'!$L$6:$L$45,R1175)="","",INDEX('Recurring Schedule'!$L$6:$L$45,R1175)))</f>
        <v/>
      </c>
      <c r="O1175" s="73">
        <f>IF(C1175="","",IF(AND(OR(L1175="1-Urgent",L1175="2-High"),M1175="✓"),"DO FIRST",IF(M1175="✓","SCHEDULE",IF(OR(L1175="1-Urgent",L1175="2-High"),"DELEGATE","DELETE"))))</f>
        <v/>
      </c>
      <c r="P1175" s="65" t="n"/>
      <c r="Q1175">
        <f>IF(1170&gt;Calc!$AQ$368,"",MATCH(1169,Calc!$AQ$2:$AQ$367,1))</f>
        <v/>
      </c>
      <c r="R1175">
        <f>IF(Q1175="","",SMALL(INDEX(Calc!$B$2:$AO$367,Q1175,0),1170-INDEX(Calc!$AQ$2:$AQ$367,Q1175)))</f>
        <v/>
      </c>
    </row>
    <row r="1176">
      <c r="B1176" s="64">
        <f>IF(R1176="","",1171)</f>
        <v/>
      </c>
      <c r="C1176" s="37">
        <f>IF(R1176="","",IF(INDEX('Recurring Schedule'!$C$6:$C$45,R1176)="","",INDEX('Recurring Schedule'!$C$6:$C$45,R1176)))</f>
        <v/>
      </c>
      <c r="D1176" s="36">
        <f>IF(R1176="","",IF(INDEX('Recurring Schedule'!$D$6:$D$45,R1176)="","",INDEX('Recurring Schedule'!$D$6:$D$45,R1176)))</f>
        <v/>
      </c>
      <c r="E1176" s="38">
        <f>IF(Q1176="","",INDEX(Calc!$A$2:$A$367,Q1176))</f>
        <v/>
      </c>
      <c r="F1176" s="68">
        <f>IF(OR(C1176="",E1176=""),"",E1176-Setup!$D$7)</f>
        <v/>
      </c>
      <c r="G1176" s="74">
        <f>IF(R1176="","",IF(INDEX('Recurring Schedule'!$H$6:$H$45,R1176)="","",INDEX('Recurring Schedule'!$H$6:$H$45,R1176)))</f>
        <v/>
      </c>
      <c r="H1176" s="74">
        <f>IF(R1176="","",IF(INDEX('Recurring Schedule'!$I$6:$I$45,R1176)="","",INDEX('Recurring Schedule'!$I$6:$I$45,R1176)))</f>
        <v/>
      </c>
      <c r="I1176" s="36">
        <f>IF(OR(G1176="",H1176=""),"",TRIM(IF(HOUR(H1176-G1176)&gt;0,HOUR(H1176-G1176)&amp;" hr ","")&amp;IF(MINUTE(H1176-G1176)&gt;0,MINUTE(H1176-G1176)&amp;" min","")))</f>
        <v/>
      </c>
      <c r="J1176" s="66" t="n"/>
      <c r="K1176" s="70" t="n"/>
      <c r="L1176" s="36">
        <f>IF(R1176="","",IF(INDEX('Recurring Schedule'!$J$6:$J$45,R1176)="","",INDEX('Recurring Schedule'!$J$6:$J$45,R1176)))</f>
        <v/>
      </c>
      <c r="M1176" s="36">
        <f>IF(R1176="","",IF(INDEX('Recurring Schedule'!$K$6:$K$45,R1176)="","",INDEX('Recurring Schedule'!$K$6:$K$45,R1176)))</f>
        <v/>
      </c>
      <c r="N1176" s="36">
        <f>IF(R1176="","",IF(INDEX('Recurring Schedule'!$L$6:$L$45,R1176)="","",INDEX('Recurring Schedule'!$L$6:$L$45,R1176)))</f>
        <v/>
      </c>
      <c r="O1176" s="36">
        <f>IF(C1176="","",IF(AND(OR(L1176="1-Urgent",L1176="2-High"),M1176="✓"),"DO FIRST",IF(M1176="✓","SCHEDULE",IF(OR(L1176="1-Urgent",L1176="2-High"),"DELEGATE","DELETE"))))</f>
        <v/>
      </c>
      <c r="P1176" s="65" t="n"/>
      <c r="Q1176">
        <f>IF(1171&gt;Calc!$AQ$368,"",MATCH(1170,Calc!$AQ$2:$AQ$367,1))</f>
        <v/>
      </c>
      <c r="R1176">
        <f>IF(Q1176="","",SMALL(INDEX(Calc!$B$2:$AO$367,Q1176,0),1171-INDEX(Calc!$AQ$2:$AQ$367,Q1176)))</f>
        <v/>
      </c>
    </row>
    <row r="1177">
      <c r="B1177" s="71">
        <f>IF(R1177="","",1172)</f>
        <v/>
      </c>
      <c r="C1177" s="75">
        <f>IF(R1177="","",IF(INDEX('Recurring Schedule'!$C$6:$C$45,R1177)="","",INDEX('Recurring Schedule'!$C$6:$C$45,R1177)))</f>
        <v/>
      </c>
      <c r="D1177" s="73">
        <f>IF(R1177="","",IF(INDEX('Recurring Schedule'!$D$6:$D$45,R1177)="","",INDEX('Recurring Schedule'!$D$6:$D$45,R1177)))</f>
        <v/>
      </c>
      <c r="E1177" s="76">
        <f>IF(Q1177="","",INDEX(Calc!$A$2:$A$367,Q1177))</f>
        <v/>
      </c>
      <c r="F1177" s="72">
        <f>IF(OR(C1177="",E1177=""),"",E1177-Setup!$D$7)</f>
        <v/>
      </c>
      <c r="G1177" s="77">
        <f>IF(R1177="","",IF(INDEX('Recurring Schedule'!$H$6:$H$45,R1177)="","",INDEX('Recurring Schedule'!$H$6:$H$45,R1177)))</f>
        <v/>
      </c>
      <c r="H1177" s="77">
        <f>IF(R1177="","",IF(INDEX('Recurring Schedule'!$I$6:$I$45,R1177)="","",INDEX('Recurring Schedule'!$I$6:$I$45,R1177)))</f>
        <v/>
      </c>
      <c r="I1177" s="73">
        <f>IF(OR(G1177="",H1177=""),"",TRIM(IF(HOUR(H1177-G1177)&gt;0,HOUR(H1177-G1177)&amp;" hr ","")&amp;IF(MINUTE(H1177-G1177)&gt;0,MINUTE(H1177-G1177)&amp;" min","")))</f>
        <v/>
      </c>
      <c r="J1177" s="66" t="n"/>
      <c r="K1177" s="70" t="n"/>
      <c r="L1177" s="73">
        <f>IF(R1177="","",IF(INDEX('Recurring Schedule'!$J$6:$J$45,R1177)="","",INDEX('Recurring Schedule'!$J$6:$J$45,R1177)))</f>
        <v/>
      </c>
      <c r="M1177" s="73">
        <f>IF(R1177="","",IF(INDEX('Recurring Schedule'!$K$6:$K$45,R1177)="","",INDEX('Recurring Schedule'!$K$6:$K$45,R1177)))</f>
        <v/>
      </c>
      <c r="N1177" s="73">
        <f>IF(R1177="","",IF(INDEX('Recurring Schedule'!$L$6:$L$45,R1177)="","",INDEX('Recurring Schedule'!$L$6:$L$45,R1177)))</f>
        <v/>
      </c>
      <c r="O1177" s="73">
        <f>IF(C1177="","",IF(AND(OR(L1177="1-Urgent",L1177="2-High"),M1177="✓"),"DO FIRST",IF(M1177="✓","SCHEDULE",IF(OR(L1177="1-Urgent",L1177="2-High"),"DELEGATE","DELETE"))))</f>
        <v/>
      </c>
      <c r="P1177" s="65" t="n"/>
      <c r="Q1177">
        <f>IF(1172&gt;Calc!$AQ$368,"",MATCH(1171,Calc!$AQ$2:$AQ$367,1))</f>
        <v/>
      </c>
      <c r="R1177">
        <f>IF(Q1177="","",SMALL(INDEX(Calc!$B$2:$AO$367,Q1177,0),1172-INDEX(Calc!$AQ$2:$AQ$367,Q1177)))</f>
        <v/>
      </c>
    </row>
    <row r="1178">
      <c r="B1178" s="64">
        <f>IF(R1178="","",1173)</f>
        <v/>
      </c>
      <c r="C1178" s="37">
        <f>IF(R1178="","",IF(INDEX('Recurring Schedule'!$C$6:$C$45,R1178)="","",INDEX('Recurring Schedule'!$C$6:$C$45,R1178)))</f>
        <v/>
      </c>
      <c r="D1178" s="36">
        <f>IF(R1178="","",IF(INDEX('Recurring Schedule'!$D$6:$D$45,R1178)="","",INDEX('Recurring Schedule'!$D$6:$D$45,R1178)))</f>
        <v/>
      </c>
      <c r="E1178" s="38">
        <f>IF(Q1178="","",INDEX(Calc!$A$2:$A$367,Q1178))</f>
        <v/>
      </c>
      <c r="F1178" s="68">
        <f>IF(OR(C1178="",E1178=""),"",E1178-Setup!$D$7)</f>
        <v/>
      </c>
      <c r="G1178" s="74">
        <f>IF(R1178="","",IF(INDEX('Recurring Schedule'!$H$6:$H$45,R1178)="","",INDEX('Recurring Schedule'!$H$6:$H$45,R1178)))</f>
        <v/>
      </c>
      <c r="H1178" s="74">
        <f>IF(R1178="","",IF(INDEX('Recurring Schedule'!$I$6:$I$45,R1178)="","",INDEX('Recurring Schedule'!$I$6:$I$45,R1178)))</f>
        <v/>
      </c>
      <c r="I1178" s="36">
        <f>IF(OR(G1178="",H1178=""),"",TRIM(IF(HOUR(H1178-G1178)&gt;0,HOUR(H1178-G1178)&amp;" hr ","")&amp;IF(MINUTE(H1178-G1178)&gt;0,MINUTE(H1178-G1178)&amp;" min","")))</f>
        <v/>
      </c>
      <c r="J1178" s="66" t="n"/>
      <c r="K1178" s="70" t="n"/>
      <c r="L1178" s="36">
        <f>IF(R1178="","",IF(INDEX('Recurring Schedule'!$J$6:$J$45,R1178)="","",INDEX('Recurring Schedule'!$J$6:$J$45,R1178)))</f>
        <v/>
      </c>
      <c r="M1178" s="36">
        <f>IF(R1178="","",IF(INDEX('Recurring Schedule'!$K$6:$K$45,R1178)="","",INDEX('Recurring Schedule'!$K$6:$K$45,R1178)))</f>
        <v/>
      </c>
      <c r="N1178" s="36">
        <f>IF(R1178="","",IF(INDEX('Recurring Schedule'!$L$6:$L$45,R1178)="","",INDEX('Recurring Schedule'!$L$6:$L$45,R1178)))</f>
        <v/>
      </c>
      <c r="O1178" s="36">
        <f>IF(C1178="","",IF(AND(OR(L1178="1-Urgent",L1178="2-High"),M1178="✓"),"DO FIRST",IF(M1178="✓","SCHEDULE",IF(OR(L1178="1-Urgent",L1178="2-High"),"DELEGATE","DELETE"))))</f>
        <v/>
      </c>
      <c r="P1178" s="65" t="n"/>
      <c r="Q1178">
        <f>IF(1173&gt;Calc!$AQ$368,"",MATCH(1172,Calc!$AQ$2:$AQ$367,1))</f>
        <v/>
      </c>
      <c r="R1178">
        <f>IF(Q1178="","",SMALL(INDEX(Calc!$B$2:$AO$367,Q1178,0),1173-INDEX(Calc!$AQ$2:$AQ$367,Q1178)))</f>
        <v/>
      </c>
    </row>
    <row r="1179">
      <c r="B1179" s="71">
        <f>IF(R1179="","",1174)</f>
        <v/>
      </c>
      <c r="C1179" s="75">
        <f>IF(R1179="","",IF(INDEX('Recurring Schedule'!$C$6:$C$45,R1179)="","",INDEX('Recurring Schedule'!$C$6:$C$45,R1179)))</f>
        <v/>
      </c>
      <c r="D1179" s="73">
        <f>IF(R1179="","",IF(INDEX('Recurring Schedule'!$D$6:$D$45,R1179)="","",INDEX('Recurring Schedule'!$D$6:$D$45,R1179)))</f>
        <v/>
      </c>
      <c r="E1179" s="76">
        <f>IF(Q1179="","",INDEX(Calc!$A$2:$A$367,Q1179))</f>
        <v/>
      </c>
      <c r="F1179" s="72">
        <f>IF(OR(C1179="",E1179=""),"",E1179-Setup!$D$7)</f>
        <v/>
      </c>
      <c r="G1179" s="77">
        <f>IF(R1179="","",IF(INDEX('Recurring Schedule'!$H$6:$H$45,R1179)="","",INDEX('Recurring Schedule'!$H$6:$H$45,R1179)))</f>
        <v/>
      </c>
      <c r="H1179" s="77">
        <f>IF(R1179="","",IF(INDEX('Recurring Schedule'!$I$6:$I$45,R1179)="","",INDEX('Recurring Schedule'!$I$6:$I$45,R1179)))</f>
        <v/>
      </c>
      <c r="I1179" s="73">
        <f>IF(OR(G1179="",H1179=""),"",TRIM(IF(HOUR(H1179-G1179)&gt;0,HOUR(H1179-G1179)&amp;" hr ","")&amp;IF(MINUTE(H1179-G1179)&gt;0,MINUTE(H1179-G1179)&amp;" min","")))</f>
        <v/>
      </c>
      <c r="J1179" s="66" t="n"/>
      <c r="K1179" s="70" t="n"/>
      <c r="L1179" s="73">
        <f>IF(R1179="","",IF(INDEX('Recurring Schedule'!$J$6:$J$45,R1179)="","",INDEX('Recurring Schedule'!$J$6:$J$45,R1179)))</f>
        <v/>
      </c>
      <c r="M1179" s="73">
        <f>IF(R1179="","",IF(INDEX('Recurring Schedule'!$K$6:$K$45,R1179)="","",INDEX('Recurring Schedule'!$K$6:$K$45,R1179)))</f>
        <v/>
      </c>
      <c r="N1179" s="73">
        <f>IF(R1179="","",IF(INDEX('Recurring Schedule'!$L$6:$L$45,R1179)="","",INDEX('Recurring Schedule'!$L$6:$L$45,R1179)))</f>
        <v/>
      </c>
      <c r="O1179" s="73">
        <f>IF(C1179="","",IF(AND(OR(L1179="1-Urgent",L1179="2-High"),M1179="✓"),"DO FIRST",IF(M1179="✓","SCHEDULE",IF(OR(L1179="1-Urgent",L1179="2-High"),"DELEGATE","DELETE"))))</f>
        <v/>
      </c>
      <c r="P1179" s="65" t="n"/>
      <c r="Q1179">
        <f>IF(1174&gt;Calc!$AQ$368,"",MATCH(1173,Calc!$AQ$2:$AQ$367,1))</f>
        <v/>
      </c>
      <c r="R1179">
        <f>IF(Q1179="","",SMALL(INDEX(Calc!$B$2:$AO$367,Q1179,0),1174-INDEX(Calc!$AQ$2:$AQ$367,Q1179)))</f>
        <v/>
      </c>
    </row>
    <row r="1180">
      <c r="B1180" s="64">
        <f>IF(R1180="","",1175)</f>
        <v/>
      </c>
      <c r="C1180" s="37">
        <f>IF(R1180="","",IF(INDEX('Recurring Schedule'!$C$6:$C$45,R1180)="","",INDEX('Recurring Schedule'!$C$6:$C$45,R1180)))</f>
        <v/>
      </c>
      <c r="D1180" s="36">
        <f>IF(R1180="","",IF(INDEX('Recurring Schedule'!$D$6:$D$45,R1180)="","",INDEX('Recurring Schedule'!$D$6:$D$45,R1180)))</f>
        <v/>
      </c>
      <c r="E1180" s="38">
        <f>IF(Q1180="","",INDEX(Calc!$A$2:$A$367,Q1180))</f>
        <v/>
      </c>
      <c r="F1180" s="68">
        <f>IF(OR(C1180="",E1180=""),"",E1180-Setup!$D$7)</f>
        <v/>
      </c>
      <c r="G1180" s="74">
        <f>IF(R1180="","",IF(INDEX('Recurring Schedule'!$H$6:$H$45,R1180)="","",INDEX('Recurring Schedule'!$H$6:$H$45,R1180)))</f>
        <v/>
      </c>
      <c r="H1180" s="74">
        <f>IF(R1180="","",IF(INDEX('Recurring Schedule'!$I$6:$I$45,R1180)="","",INDEX('Recurring Schedule'!$I$6:$I$45,R1180)))</f>
        <v/>
      </c>
      <c r="I1180" s="36">
        <f>IF(OR(G1180="",H1180=""),"",TRIM(IF(HOUR(H1180-G1180)&gt;0,HOUR(H1180-G1180)&amp;" hr ","")&amp;IF(MINUTE(H1180-G1180)&gt;0,MINUTE(H1180-G1180)&amp;" min","")))</f>
        <v/>
      </c>
      <c r="J1180" s="66" t="n"/>
      <c r="K1180" s="70" t="n"/>
      <c r="L1180" s="36">
        <f>IF(R1180="","",IF(INDEX('Recurring Schedule'!$J$6:$J$45,R1180)="","",INDEX('Recurring Schedule'!$J$6:$J$45,R1180)))</f>
        <v/>
      </c>
      <c r="M1180" s="36">
        <f>IF(R1180="","",IF(INDEX('Recurring Schedule'!$K$6:$K$45,R1180)="","",INDEX('Recurring Schedule'!$K$6:$K$45,R1180)))</f>
        <v/>
      </c>
      <c r="N1180" s="36">
        <f>IF(R1180="","",IF(INDEX('Recurring Schedule'!$L$6:$L$45,R1180)="","",INDEX('Recurring Schedule'!$L$6:$L$45,R1180)))</f>
        <v/>
      </c>
      <c r="O1180" s="36">
        <f>IF(C1180="","",IF(AND(OR(L1180="1-Urgent",L1180="2-High"),M1180="✓"),"DO FIRST",IF(M1180="✓","SCHEDULE",IF(OR(L1180="1-Urgent",L1180="2-High"),"DELEGATE","DELETE"))))</f>
        <v/>
      </c>
      <c r="P1180" s="65" t="n"/>
      <c r="Q1180">
        <f>IF(1175&gt;Calc!$AQ$368,"",MATCH(1174,Calc!$AQ$2:$AQ$367,1))</f>
        <v/>
      </c>
      <c r="R1180">
        <f>IF(Q1180="","",SMALL(INDEX(Calc!$B$2:$AO$367,Q1180,0),1175-INDEX(Calc!$AQ$2:$AQ$367,Q1180)))</f>
        <v/>
      </c>
    </row>
    <row r="1181">
      <c r="B1181" s="71">
        <f>IF(R1181="","",1176)</f>
        <v/>
      </c>
      <c r="C1181" s="75">
        <f>IF(R1181="","",IF(INDEX('Recurring Schedule'!$C$6:$C$45,R1181)="","",INDEX('Recurring Schedule'!$C$6:$C$45,R1181)))</f>
        <v/>
      </c>
      <c r="D1181" s="73">
        <f>IF(R1181="","",IF(INDEX('Recurring Schedule'!$D$6:$D$45,R1181)="","",INDEX('Recurring Schedule'!$D$6:$D$45,R1181)))</f>
        <v/>
      </c>
      <c r="E1181" s="76">
        <f>IF(Q1181="","",INDEX(Calc!$A$2:$A$367,Q1181))</f>
        <v/>
      </c>
      <c r="F1181" s="72">
        <f>IF(OR(C1181="",E1181=""),"",E1181-Setup!$D$7)</f>
        <v/>
      </c>
      <c r="G1181" s="77">
        <f>IF(R1181="","",IF(INDEX('Recurring Schedule'!$H$6:$H$45,R1181)="","",INDEX('Recurring Schedule'!$H$6:$H$45,R1181)))</f>
        <v/>
      </c>
      <c r="H1181" s="77">
        <f>IF(R1181="","",IF(INDEX('Recurring Schedule'!$I$6:$I$45,R1181)="","",INDEX('Recurring Schedule'!$I$6:$I$45,R1181)))</f>
        <v/>
      </c>
      <c r="I1181" s="73">
        <f>IF(OR(G1181="",H1181=""),"",TRIM(IF(HOUR(H1181-G1181)&gt;0,HOUR(H1181-G1181)&amp;" hr ","")&amp;IF(MINUTE(H1181-G1181)&gt;0,MINUTE(H1181-G1181)&amp;" min","")))</f>
        <v/>
      </c>
      <c r="J1181" s="66" t="n"/>
      <c r="K1181" s="70" t="n"/>
      <c r="L1181" s="73">
        <f>IF(R1181="","",IF(INDEX('Recurring Schedule'!$J$6:$J$45,R1181)="","",INDEX('Recurring Schedule'!$J$6:$J$45,R1181)))</f>
        <v/>
      </c>
      <c r="M1181" s="73">
        <f>IF(R1181="","",IF(INDEX('Recurring Schedule'!$K$6:$K$45,R1181)="","",INDEX('Recurring Schedule'!$K$6:$K$45,R1181)))</f>
        <v/>
      </c>
      <c r="N1181" s="73">
        <f>IF(R1181="","",IF(INDEX('Recurring Schedule'!$L$6:$L$45,R1181)="","",INDEX('Recurring Schedule'!$L$6:$L$45,R1181)))</f>
        <v/>
      </c>
      <c r="O1181" s="73">
        <f>IF(C1181="","",IF(AND(OR(L1181="1-Urgent",L1181="2-High"),M1181="✓"),"DO FIRST",IF(M1181="✓","SCHEDULE",IF(OR(L1181="1-Urgent",L1181="2-High"),"DELEGATE","DELETE"))))</f>
        <v/>
      </c>
      <c r="P1181" s="65" t="n"/>
      <c r="Q1181">
        <f>IF(1176&gt;Calc!$AQ$368,"",MATCH(1175,Calc!$AQ$2:$AQ$367,1))</f>
        <v/>
      </c>
      <c r="R1181">
        <f>IF(Q1181="","",SMALL(INDEX(Calc!$B$2:$AO$367,Q1181,0),1176-INDEX(Calc!$AQ$2:$AQ$367,Q1181)))</f>
        <v/>
      </c>
    </row>
    <row r="1182">
      <c r="B1182" s="64">
        <f>IF(R1182="","",1177)</f>
        <v/>
      </c>
      <c r="C1182" s="37">
        <f>IF(R1182="","",IF(INDEX('Recurring Schedule'!$C$6:$C$45,R1182)="","",INDEX('Recurring Schedule'!$C$6:$C$45,R1182)))</f>
        <v/>
      </c>
      <c r="D1182" s="36">
        <f>IF(R1182="","",IF(INDEX('Recurring Schedule'!$D$6:$D$45,R1182)="","",INDEX('Recurring Schedule'!$D$6:$D$45,R1182)))</f>
        <v/>
      </c>
      <c r="E1182" s="38">
        <f>IF(Q1182="","",INDEX(Calc!$A$2:$A$367,Q1182))</f>
        <v/>
      </c>
      <c r="F1182" s="68">
        <f>IF(OR(C1182="",E1182=""),"",E1182-Setup!$D$7)</f>
        <v/>
      </c>
      <c r="G1182" s="74">
        <f>IF(R1182="","",IF(INDEX('Recurring Schedule'!$H$6:$H$45,R1182)="","",INDEX('Recurring Schedule'!$H$6:$H$45,R1182)))</f>
        <v/>
      </c>
      <c r="H1182" s="74">
        <f>IF(R1182="","",IF(INDEX('Recurring Schedule'!$I$6:$I$45,R1182)="","",INDEX('Recurring Schedule'!$I$6:$I$45,R1182)))</f>
        <v/>
      </c>
      <c r="I1182" s="36">
        <f>IF(OR(G1182="",H1182=""),"",TRIM(IF(HOUR(H1182-G1182)&gt;0,HOUR(H1182-G1182)&amp;" hr ","")&amp;IF(MINUTE(H1182-G1182)&gt;0,MINUTE(H1182-G1182)&amp;" min","")))</f>
        <v/>
      </c>
      <c r="J1182" s="66" t="n"/>
      <c r="K1182" s="70" t="n"/>
      <c r="L1182" s="36">
        <f>IF(R1182="","",IF(INDEX('Recurring Schedule'!$J$6:$J$45,R1182)="","",INDEX('Recurring Schedule'!$J$6:$J$45,R1182)))</f>
        <v/>
      </c>
      <c r="M1182" s="36">
        <f>IF(R1182="","",IF(INDEX('Recurring Schedule'!$K$6:$K$45,R1182)="","",INDEX('Recurring Schedule'!$K$6:$K$45,R1182)))</f>
        <v/>
      </c>
      <c r="N1182" s="36">
        <f>IF(R1182="","",IF(INDEX('Recurring Schedule'!$L$6:$L$45,R1182)="","",INDEX('Recurring Schedule'!$L$6:$L$45,R1182)))</f>
        <v/>
      </c>
      <c r="O1182" s="36">
        <f>IF(C1182="","",IF(AND(OR(L1182="1-Urgent",L1182="2-High"),M1182="✓"),"DO FIRST",IF(M1182="✓","SCHEDULE",IF(OR(L1182="1-Urgent",L1182="2-High"),"DELEGATE","DELETE"))))</f>
        <v/>
      </c>
      <c r="P1182" s="65" t="n"/>
      <c r="Q1182">
        <f>IF(1177&gt;Calc!$AQ$368,"",MATCH(1176,Calc!$AQ$2:$AQ$367,1))</f>
        <v/>
      </c>
      <c r="R1182">
        <f>IF(Q1182="","",SMALL(INDEX(Calc!$B$2:$AO$367,Q1182,0),1177-INDEX(Calc!$AQ$2:$AQ$367,Q1182)))</f>
        <v/>
      </c>
    </row>
    <row r="1183">
      <c r="B1183" s="71">
        <f>IF(R1183="","",1178)</f>
        <v/>
      </c>
      <c r="C1183" s="75">
        <f>IF(R1183="","",IF(INDEX('Recurring Schedule'!$C$6:$C$45,R1183)="","",INDEX('Recurring Schedule'!$C$6:$C$45,R1183)))</f>
        <v/>
      </c>
      <c r="D1183" s="73">
        <f>IF(R1183="","",IF(INDEX('Recurring Schedule'!$D$6:$D$45,R1183)="","",INDEX('Recurring Schedule'!$D$6:$D$45,R1183)))</f>
        <v/>
      </c>
      <c r="E1183" s="76">
        <f>IF(Q1183="","",INDEX(Calc!$A$2:$A$367,Q1183))</f>
        <v/>
      </c>
      <c r="F1183" s="72">
        <f>IF(OR(C1183="",E1183=""),"",E1183-Setup!$D$7)</f>
        <v/>
      </c>
      <c r="G1183" s="77">
        <f>IF(R1183="","",IF(INDEX('Recurring Schedule'!$H$6:$H$45,R1183)="","",INDEX('Recurring Schedule'!$H$6:$H$45,R1183)))</f>
        <v/>
      </c>
      <c r="H1183" s="77">
        <f>IF(R1183="","",IF(INDEX('Recurring Schedule'!$I$6:$I$45,R1183)="","",INDEX('Recurring Schedule'!$I$6:$I$45,R1183)))</f>
        <v/>
      </c>
      <c r="I1183" s="73">
        <f>IF(OR(G1183="",H1183=""),"",TRIM(IF(HOUR(H1183-G1183)&gt;0,HOUR(H1183-G1183)&amp;" hr ","")&amp;IF(MINUTE(H1183-G1183)&gt;0,MINUTE(H1183-G1183)&amp;" min","")))</f>
        <v/>
      </c>
      <c r="J1183" s="66" t="n"/>
      <c r="K1183" s="70" t="n"/>
      <c r="L1183" s="73">
        <f>IF(R1183="","",IF(INDEX('Recurring Schedule'!$J$6:$J$45,R1183)="","",INDEX('Recurring Schedule'!$J$6:$J$45,R1183)))</f>
        <v/>
      </c>
      <c r="M1183" s="73">
        <f>IF(R1183="","",IF(INDEX('Recurring Schedule'!$K$6:$K$45,R1183)="","",INDEX('Recurring Schedule'!$K$6:$K$45,R1183)))</f>
        <v/>
      </c>
      <c r="N1183" s="73">
        <f>IF(R1183="","",IF(INDEX('Recurring Schedule'!$L$6:$L$45,R1183)="","",INDEX('Recurring Schedule'!$L$6:$L$45,R1183)))</f>
        <v/>
      </c>
      <c r="O1183" s="73">
        <f>IF(C1183="","",IF(AND(OR(L1183="1-Urgent",L1183="2-High"),M1183="✓"),"DO FIRST",IF(M1183="✓","SCHEDULE",IF(OR(L1183="1-Urgent",L1183="2-High"),"DELEGATE","DELETE"))))</f>
        <v/>
      </c>
      <c r="P1183" s="65" t="n"/>
      <c r="Q1183">
        <f>IF(1178&gt;Calc!$AQ$368,"",MATCH(1177,Calc!$AQ$2:$AQ$367,1))</f>
        <v/>
      </c>
      <c r="R1183">
        <f>IF(Q1183="","",SMALL(INDEX(Calc!$B$2:$AO$367,Q1183,0),1178-INDEX(Calc!$AQ$2:$AQ$367,Q1183)))</f>
        <v/>
      </c>
    </row>
    <row r="1184">
      <c r="B1184" s="64">
        <f>IF(R1184="","",1179)</f>
        <v/>
      </c>
      <c r="C1184" s="37">
        <f>IF(R1184="","",IF(INDEX('Recurring Schedule'!$C$6:$C$45,R1184)="","",INDEX('Recurring Schedule'!$C$6:$C$45,R1184)))</f>
        <v/>
      </c>
      <c r="D1184" s="36">
        <f>IF(R1184="","",IF(INDEX('Recurring Schedule'!$D$6:$D$45,R1184)="","",INDEX('Recurring Schedule'!$D$6:$D$45,R1184)))</f>
        <v/>
      </c>
      <c r="E1184" s="38">
        <f>IF(Q1184="","",INDEX(Calc!$A$2:$A$367,Q1184))</f>
        <v/>
      </c>
      <c r="F1184" s="68">
        <f>IF(OR(C1184="",E1184=""),"",E1184-Setup!$D$7)</f>
        <v/>
      </c>
      <c r="G1184" s="74">
        <f>IF(R1184="","",IF(INDEX('Recurring Schedule'!$H$6:$H$45,R1184)="","",INDEX('Recurring Schedule'!$H$6:$H$45,R1184)))</f>
        <v/>
      </c>
      <c r="H1184" s="74">
        <f>IF(R1184="","",IF(INDEX('Recurring Schedule'!$I$6:$I$45,R1184)="","",INDEX('Recurring Schedule'!$I$6:$I$45,R1184)))</f>
        <v/>
      </c>
      <c r="I1184" s="36">
        <f>IF(OR(G1184="",H1184=""),"",TRIM(IF(HOUR(H1184-G1184)&gt;0,HOUR(H1184-G1184)&amp;" hr ","")&amp;IF(MINUTE(H1184-G1184)&gt;0,MINUTE(H1184-G1184)&amp;" min","")))</f>
        <v/>
      </c>
      <c r="J1184" s="66" t="n"/>
      <c r="K1184" s="70" t="n"/>
      <c r="L1184" s="36">
        <f>IF(R1184="","",IF(INDEX('Recurring Schedule'!$J$6:$J$45,R1184)="","",INDEX('Recurring Schedule'!$J$6:$J$45,R1184)))</f>
        <v/>
      </c>
      <c r="M1184" s="36">
        <f>IF(R1184="","",IF(INDEX('Recurring Schedule'!$K$6:$K$45,R1184)="","",INDEX('Recurring Schedule'!$K$6:$K$45,R1184)))</f>
        <v/>
      </c>
      <c r="N1184" s="36">
        <f>IF(R1184="","",IF(INDEX('Recurring Schedule'!$L$6:$L$45,R1184)="","",INDEX('Recurring Schedule'!$L$6:$L$45,R1184)))</f>
        <v/>
      </c>
      <c r="O1184" s="36">
        <f>IF(C1184="","",IF(AND(OR(L1184="1-Urgent",L1184="2-High"),M1184="✓"),"DO FIRST",IF(M1184="✓","SCHEDULE",IF(OR(L1184="1-Urgent",L1184="2-High"),"DELEGATE","DELETE"))))</f>
        <v/>
      </c>
      <c r="P1184" s="65" t="n"/>
      <c r="Q1184">
        <f>IF(1179&gt;Calc!$AQ$368,"",MATCH(1178,Calc!$AQ$2:$AQ$367,1))</f>
        <v/>
      </c>
      <c r="R1184">
        <f>IF(Q1184="","",SMALL(INDEX(Calc!$B$2:$AO$367,Q1184,0),1179-INDEX(Calc!$AQ$2:$AQ$367,Q1184)))</f>
        <v/>
      </c>
    </row>
    <row r="1185">
      <c r="B1185" s="71">
        <f>IF(R1185="","",1180)</f>
        <v/>
      </c>
      <c r="C1185" s="75">
        <f>IF(R1185="","",IF(INDEX('Recurring Schedule'!$C$6:$C$45,R1185)="","",INDEX('Recurring Schedule'!$C$6:$C$45,R1185)))</f>
        <v/>
      </c>
      <c r="D1185" s="73">
        <f>IF(R1185="","",IF(INDEX('Recurring Schedule'!$D$6:$D$45,R1185)="","",INDEX('Recurring Schedule'!$D$6:$D$45,R1185)))</f>
        <v/>
      </c>
      <c r="E1185" s="76">
        <f>IF(Q1185="","",INDEX(Calc!$A$2:$A$367,Q1185))</f>
        <v/>
      </c>
      <c r="F1185" s="72">
        <f>IF(OR(C1185="",E1185=""),"",E1185-Setup!$D$7)</f>
        <v/>
      </c>
      <c r="G1185" s="77">
        <f>IF(R1185="","",IF(INDEX('Recurring Schedule'!$H$6:$H$45,R1185)="","",INDEX('Recurring Schedule'!$H$6:$H$45,R1185)))</f>
        <v/>
      </c>
      <c r="H1185" s="77">
        <f>IF(R1185="","",IF(INDEX('Recurring Schedule'!$I$6:$I$45,R1185)="","",INDEX('Recurring Schedule'!$I$6:$I$45,R1185)))</f>
        <v/>
      </c>
      <c r="I1185" s="73">
        <f>IF(OR(G1185="",H1185=""),"",TRIM(IF(HOUR(H1185-G1185)&gt;0,HOUR(H1185-G1185)&amp;" hr ","")&amp;IF(MINUTE(H1185-G1185)&gt;0,MINUTE(H1185-G1185)&amp;" min","")))</f>
        <v/>
      </c>
      <c r="J1185" s="66" t="n"/>
      <c r="K1185" s="70" t="n"/>
      <c r="L1185" s="73">
        <f>IF(R1185="","",IF(INDEX('Recurring Schedule'!$J$6:$J$45,R1185)="","",INDEX('Recurring Schedule'!$J$6:$J$45,R1185)))</f>
        <v/>
      </c>
      <c r="M1185" s="73">
        <f>IF(R1185="","",IF(INDEX('Recurring Schedule'!$K$6:$K$45,R1185)="","",INDEX('Recurring Schedule'!$K$6:$K$45,R1185)))</f>
        <v/>
      </c>
      <c r="N1185" s="73">
        <f>IF(R1185="","",IF(INDEX('Recurring Schedule'!$L$6:$L$45,R1185)="","",INDEX('Recurring Schedule'!$L$6:$L$45,R1185)))</f>
        <v/>
      </c>
      <c r="O1185" s="73">
        <f>IF(C1185="","",IF(AND(OR(L1185="1-Urgent",L1185="2-High"),M1185="✓"),"DO FIRST",IF(M1185="✓","SCHEDULE",IF(OR(L1185="1-Urgent",L1185="2-High"),"DELEGATE","DELETE"))))</f>
        <v/>
      </c>
      <c r="P1185" s="65" t="n"/>
      <c r="Q1185">
        <f>IF(1180&gt;Calc!$AQ$368,"",MATCH(1179,Calc!$AQ$2:$AQ$367,1))</f>
        <v/>
      </c>
      <c r="R1185">
        <f>IF(Q1185="","",SMALL(INDEX(Calc!$B$2:$AO$367,Q1185,0),1180-INDEX(Calc!$AQ$2:$AQ$367,Q1185)))</f>
        <v/>
      </c>
    </row>
    <row r="1186">
      <c r="B1186" s="64">
        <f>IF(R1186="","",1181)</f>
        <v/>
      </c>
      <c r="C1186" s="37">
        <f>IF(R1186="","",IF(INDEX('Recurring Schedule'!$C$6:$C$45,R1186)="","",INDEX('Recurring Schedule'!$C$6:$C$45,R1186)))</f>
        <v/>
      </c>
      <c r="D1186" s="36">
        <f>IF(R1186="","",IF(INDEX('Recurring Schedule'!$D$6:$D$45,R1186)="","",INDEX('Recurring Schedule'!$D$6:$D$45,R1186)))</f>
        <v/>
      </c>
      <c r="E1186" s="38">
        <f>IF(Q1186="","",INDEX(Calc!$A$2:$A$367,Q1186))</f>
        <v/>
      </c>
      <c r="F1186" s="68">
        <f>IF(OR(C1186="",E1186=""),"",E1186-Setup!$D$7)</f>
        <v/>
      </c>
      <c r="G1186" s="74">
        <f>IF(R1186="","",IF(INDEX('Recurring Schedule'!$H$6:$H$45,R1186)="","",INDEX('Recurring Schedule'!$H$6:$H$45,R1186)))</f>
        <v/>
      </c>
      <c r="H1186" s="74">
        <f>IF(R1186="","",IF(INDEX('Recurring Schedule'!$I$6:$I$45,R1186)="","",INDEX('Recurring Schedule'!$I$6:$I$45,R1186)))</f>
        <v/>
      </c>
      <c r="I1186" s="36">
        <f>IF(OR(G1186="",H1186=""),"",TRIM(IF(HOUR(H1186-G1186)&gt;0,HOUR(H1186-G1186)&amp;" hr ","")&amp;IF(MINUTE(H1186-G1186)&gt;0,MINUTE(H1186-G1186)&amp;" min","")))</f>
        <v/>
      </c>
      <c r="J1186" s="66" t="n"/>
      <c r="K1186" s="70" t="n"/>
      <c r="L1186" s="36">
        <f>IF(R1186="","",IF(INDEX('Recurring Schedule'!$J$6:$J$45,R1186)="","",INDEX('Recurring Schedule'!$J$6:$J$45,R1186)))</f>
        <v/>
      </c>
      <c r="M1186" s="36">
        <f>IF(R1186="","",IF(INDEX('Recurring Schedule'!$K$6:$K$45,R1186)="","",INDEX('Recurring Schedule'!$K$6:$K$45,R1186)))</f>
        <v/>
      </c>
      <c r="N1186" s="36">
        <f>IF(R1186="","",IF(INDEX('Recurring Schedule'!$L$6:$L$45,R1186)="","",INDEX('Recurring Schedule'!$L$6:$L$45,R1186)))</f>
        <v/>
      </c>
      <c r="O1186" s="36">
        <f>IF(C1186="","",IF(AND(OR(L1186="1-Urgent",L1186="2-High"),M1186="✓"),"DO FIRST",IF(M1186="✓","SCHEDULE",IF(OR(L1186="1-Urgent",L1186="2-High"),"DELEGATE","DELETE"))))</f>
        <v/>
      </c>
      <c r="P1186" s="65" t="n"/>
      <c r="Q1186">
        <f>IF(1181&gt;Calc!$AQ$368,"",MATCH(1180,Calc!$AQ$2:$AQ$367,1))</f>
        <v/>
      </c>
      <c r="R1186">
        <f>IF(Q1186="","",SMALL(INDEX(Calc!$B$2:$AO$367,Q1186,0),1181-INDEX(Calc!$AQ$2:$AQ$367,Q1186)))</f>
        <v/>
      </c>
    </row>
    <row r="1187">
      <c r="B1187" s="71">
        <f>IF(R1187="","",1182)</f>
        <v/>
      </c>
      <c r="C1187" s="75">
        <f>IF(R1187="","",IF(INDEX('Recurring Schedule'!$C$6:$C$45,R1187)="","",INDEX('Recurring Schedule'!$C$6:$C$45,R1187)))</f>
        <v/>
      </c>
      <c r="D1187" s="73">
        <f>IF(R1187="","",IF(INDEX('Recurring Schedule'!$D$6:$D$45,R1187)="","",INDEX('Recurring Schedule'!$D$6:$D$45,R1187)))</f>
        <v/>
      </c>
      <c r="E1187" s="76">
        <f>IF(Q1187="","",INDEX(Calc!$A$2:$A$367,Q1187))</f>
        <v/>
      </c>
      <c r="F1187" s="72">
        <f>IF(OR(C1187="",E1187=""),"",E1187-Setup!$D$7)</f>
        <v/>
      </c>
      <c r="G1187" s="77">
        <f>IF(R1187="","",IF(INDEX('Recurring Schedule'!$H$6:$H$45,R1187)="","",INDEX('Recurring Schedule'!$H$6:$H$45,R1187)))</f>
        <v/>
      </c>
      <c r="H1187" s="77">
        <f>IF(R1187="","",IF(INDEX('Recurring Schedule'!$I$6:$I$45,R1187)="","",INDEX('Recurring Schedule'!$I$6:$I$45,R1187)))</f>
        <v/>
      </c>
      <c r="I1187" s="73">
        <f>IF(OR(G1187="",H1187=""),"",TRIM(IF(HOUR(H1187-G1187)&gt;0,HOUR(H1187-G1187)&amp;" hr ","")&amp;IF(MINUTE(H1187-G1187)&gt;0,MINUTE(H1187-G1187)&amp;" min","")))</f>
        <v/>
      </c>
      <c r="J1187" s="66" t="n"/>
      <c r="K1187" s="70" t="n"/>
      <c r="L1187" s="73">
        <f>IF(R1187="","",IF(INDEX('Recurring Schedule'!$J$6:$J$45,R1187)="","",INDEX('Recurring Schedule'!$J$6:$J$45,R1187)))</f>
        <v/>
      </c>
      <c r="M1187" s="73">
        <f>IF(R1187="","",IF(INDEX('Recurring Schedule'!$K$6:$K$45,R1187)="","",INDEX('Recurring Schedule'!$K$6:$K$45,R1187)))</f>
        <v/>
      </c>
      <c r="N1187" s="73">
        <f>IF(R1187="","",IF(INDEX('Recurring Schedule'!$L$6:$L$45,R1187)="","",INDEX('Recurring Schedule'!$L$6:$L$45,R1187)))</f>
        <v/>
      </c>
      <c r="O1187" s="73">
        <f>IF(C1187="","",IF(AND(OR(L1187="1-Urgent",L1187="2-High"),M1187="✓"),"DO FIRST",IF(M1187="✓","SCHEDULE",IF(OR(L1187="1-Urgent",L1187="2-High"),"DELEGATE","DELETE"))))</f>
        <v/>
      </c>
      <c r="P1187" s="65" t="n"/>
      <c r="Q1187">
        <f>IF(1182&gt;Calc!$AQ$368,"",MATCH(1181,Calc!$AQ$2:$AQ$367,1))</f>
        <v/>
      </c>
      <c r="R1187">
        <f>IF(Q1187="","",SMALL(INDEX(Calc!$B$2:$AO$367,Q1187,0),1182-INDEX(Calc!$AQ$2:$AQ$367,Q1187)))</f>
        <v/>
      </c>
    </row>
    <row r="1188">
      <c r="B1188" s="64">
        <f>IF(R1188="","",1183)</f>
        <v/>
      </c>
      <c r="C1188" s="37">
        <f>IF(R1188="","",IF(INDEX('Recurring Schedule'!$C$6:$C$45,R1188)="","",INDEX('Recurring Schedule'!$C$6:$C$45,R1188)))</f>
        <v/>
      </c>
      <c r="D1188" s="36">
        <f>IF(R1188="","",IF(INDEX('Recurring Schedule'!$D$6:$D$45,R1188)="","",INDEX('Recurring Schedule'!$D$6:$D$45,R1188)))</f>
        <v/>
      </c>
      <c r="E1188" s="38">
        <f>IF(Q1188="","",INDEX(Calc!$A$2:$A$367,Q1188))</f>
        <v/>
      </c>
      <c r="F1188" s="68">
        <f>IF(OR(C1188="",E1188=""),"",E1188-Setup!$D$7)</f>
        <v/>
      </c>
      <c r="G1188" s="74">
        <f>IF(R1188="","",IF(INDEX('Recurring Schedule'!$H$6:$H$45,R1188)="","",INDEX('Recurring Schedule'!$H$6:$H$45,R1188)))</f>
        <v/>
      </c>
      <c r="H1188" s="74">
        <f>IF(R1188="","",IF(INDEX('Recurring Schedule'!$I$6:$I$45,R1188)="","",INDEX('Recurring Schedule'!$I$6:$I$45,R1188)))</f>
        <v/>
      </c>
      <c r="I1188" s="36">
        <f>IF(OR(G1188="",H1188=""),"",TRIM(IF(HOUR(H1188-G1188)&gt;0,HOUR(H1188-G1188)&amp;" hr ","")&amp;IF(MINUTE(H1188-G1188)&gt;0,MINUTE(H1188-G1188)&amp;" min","")))</f>
        <v/>
      </c>
      <c r="J1188" s="66" t="n"/>
      <c r="K1188" s="70" t="n"/>
      <c r="L1188" s="36">
        <f>IF(R1188="","",IF(INDEX('Recurring Schedule'!$J$6:$J$45,R1188)="","",INDEX('Recurring Schedule'!$J$6:$J$45,R1188)))</f>
        <v/>
      </c>
      <c r="M1188" s="36">
        <f>IF(R1188="","",IF(INDEX('Recurring Schedule'!$K$6:$K$45,R1188)="","",INDEX('Recurring Schedule'!$K$6:$K$45,R1188)))</f>
        <v/>
      </c>
      <c r="N1188" s="36">
        <f>IF(R1188="","",IF(INDEX('Recurring Schedule'!$L$6:$L$45,R1188)="","",INDEX('Recurring Schedule'!$L$6:$L$45,R1188)))</f>
        <v/>
      </c>
      <c r="O1188" s="36">
        <f>IF(C1188="","",IF(AND(OR(L1188="1-Urgent",L1188="2-High"),M1188="✓"),"DO FIRST",IF(M1188="✓","SCHEDULE",IF(OR(L1188="1-Urgent",L1188="2-High"),"DELEGATE","DELETE"))))</f>
        <v/>
      </c>
      <c r="P1188" s="65" t="n"/>
      <c r="Q1188">
        <f>IF(1183&gt;Calc!$AQ$368,"",MATCH(1182,Calc!$AQ$2:$AQ$367,1))</f>
        <v/>
      </c>
      <c r="R1188">
        <f>IF(Q1188="","",SMALL(INDEX(Calc!$B$2:$AO$367,Q1188,0),1183-INDEX(Calc!$AQ$2:$AQ$367,Q1188)))</f>
        <v/>
      </c>
    </row>
    <row r="1189">
      <c r="B1189" s="71">
        <f>IF(R1189="","",1184)</f>
        <v/>
      </c>
      <c r="C1189" s="75">
        <f>IF(R1189="","",IF(INDEX('Recurring Schedule'!$C$6:$C$45,R1189)="","",INDEX('Recurring Schedule'!$C$6:$C$45,R1189)))</f>
        <v/>
      </c>
      <c r="D1189" s="73">
        <f>IF(R1189="","",IF(INDEX('Recurring Schedule'!$D$6:$D$45,R1189)="","",INDEX('Recurring Schedule'!$D$6:$D$45,R1189)))</f>
        <v/>
      </c>
      <c r="E1189" s="76">
        <f>IF(Q1189="","",INDEX(Calc!$A$2:$A$367,Q1189))</f>
        <v/>
      </c>
      <c r="F1189" s="72">
        <f>IF(OR(C1189="",E1189=""),"",E1189-Setup!$D$7)</f>
        <v/>
      </c>
      <c r="G1189" s="77">
        <f>IF(R1189="","",IF(INDEX('Recurring Schedule'!$H$6:$H$45,R1189)="","",INDEX('Recurring Schedule'!$H$6:$H$45,R1189)))</f>
        <v/>
      </c>
      <c r="H1189" s="77">
        <f>IF(R1189="","",IF(INDEX('Recurring Schedule'!$I$6:$I$45,R1189)="","",INDEX('Recurring Schedule'!$I$6:$I$45,R1189)))</f>
        <v/>
      </c>
      <c r="I1189" s="73">
        <f>IF(OR(G1189="",H1189=""),"",TRIM(IF(HOUR(H1189-G1189)&gt;0,HOUR(H1189-G1189)&amp;" hr ","")&amp;IF(MINUTE(H1189-G1189)&gt;0,MINUTE(H1189-G1189)&amp;" min","")))</f>
        <v/>
      </c>
      <c r="J1189" s="66" t="n"/>
      <c r="K1189" s="70" t="n"/>
      <c r="L1189" s="73">
        <f>IF(R1189="","",IF(INDEX('Recurring Schedule'!$J$6:$J$45,R1189)="","",INDEX('Recurring Schedule'!$J$6:$J$45,R1189)))</f>
        <v/>
      </c>
      <c r="M1189" s="73">
        <f>IF(R1189="","",IF(INDEX('Recurring Schedule'!$K$6:$K$45,R1189)="","",INDEX('Recurring Schedule'!$K$6:$K$45,R1189)))</f>
        <v/>
      </c>
      <c r="N1189" s="73">
        <f>IF(R1189="","",IF(INDEX('Recurring Schedule'!$L$6:$L$45,R1189)="","",INDEX('Recurring Schedule'!$L$6:$L$45,R1189)))</f>
        <v/>
      </c>
      <c r="O1189" s="73">
        <f>IF(C1189="","",IF(AND(OR(L1189="1-Urgent",L1189="2-High"),M1189="✓"),"DO FIRST",IF(M1189="✓","SCHEDULE",IF(OR(L1189="1-Urgent",L1189="2-High"),"DELEGATE","DELETE"))))</f>
        <v/>
      </c>
      <c r="P1189" s="65" t="n"/>
      <c r="Q1189">
        <f>IF(1184&gt;Calc!$AQ$368,"",MATCH(1183,Calc!$AQ$2:$AQ$367,1))</f>
        <v/>
      </c>
      <c r="R1189">
        <f>IF(Q1189="","",SMALL(INDEX(Calc!$B$2:$AO$367,Q1189,0),1184-INDEX(Calc!$AQ$2:$AQ$367,Q1189)))</f>
        <v/>
      </c>
    </row>
    <row r="1190">
      <c r="B1190" s="64">
        <f>IF(R1190="","",1185)</f>
        <v/>
      </c>
      <c r="C1190" s="37">
        <f>IF(R1190="","",IF(INDEX('Recurring Schedule'!$C$6:$C$45,R1190)="","",INDEX('Recurring Schedule'!$C$6:$C$45,R1190)))</f>
        <v/>
      </c>
      <c r="D1190" s="36">
        <f>IF(R1190="","",IF(INDEX('Recurring Schedule'!$D$6:$D$45,R1190)="","",INDEX('Recurring Schedule'!$D$6:$D$45,R1190)))</f>
        <v/>
      </c>
      <c r="E1190" s="38">
        <f>IF(Q1190="","",INDEX(Calc!$A$2:$A$367,Q1190))</f>
        <v/>
      </c>
      <c r="F1190" s="68">
        <f>IF(OR(C1190="",E1190=""),"",E1190-Setup!$D$7)</f>
        <v/>
      </c>
      <c r="G1190" s="74">
        <f>IF(R1190="","",IF(INDEX('Recurring Schedule'!$H$6:$H$45,R1190)="","",INDEX('Recurring Schedule'!$H$6:$H$45,R1190)))</f>
        <v/>
      </c>
      <c r="H1190" s="74">
        <f>IF(R1190="","",IF(INDEX('Recurring Schedule'!$I$6:$I$45,R1190)="","",INDEX('Recurring Schedule'!$I$6:$I$45,R1190)))</f>
        <v/>
      </c>
      <c r="I1190" s="36">
        <f>IF(OR(G1190="",H1190=""),"",TRIM(IF(HOUR(H1190-G1190)&gt;0,HOUR(H1190-G1190)&amp;" hr ","")&amp;IF(MINUTE(H1190-G1190)&gt;0,MINUTE(H1190-G1190)&amp;" min","")))</f>
        <v/>
      </c>
      <c r="J1190" s="66" t="n"/>
      <c r="K1190" s="70" t="n"/>
      <c r="L1190" s="36">
        <f>IF(R1190="","",IF(INDEX('Recurring Schedule'!$J$6:$J$45,R1190)="","",INDEX('Recurring Schedule'!$J$6:$J$45,R1190)))</f>
        <v/>
      </c>
      <c r="M1190" s="36">
        <f>IF(R1190="","",IF(INDEX('Recurring Schedule'!$K$6:$K$45,R1190)="","",INDEX('Recurring Schedule'!$K$6:$K$45,R1190)))</f>
        <v/>
      </c>
      <c r="N1190" s="36">
        <f>IF(R1190="","",IF(INDEX('Recurring Schedule'!$L$6:$L$45,R1190)="","",INDEX('Recurring Schedule'!$L$6:$L$45,R1190)))</f>
        <v/>
      </c>
      <c r="O1190" s="36">
        <f>IF(C1190="","",IF(AND(OR(L1190="1-Urgent",L1190="2-High"),M1190="✓"),"DO FIRST",IF(M1190="✓","SCHEDULE",IF(OR(L1190="1-Urgent",L1190="2-High"),"DELEGATE","DELETE"))))</f>
        <v/>
      </c>
      <c r="P1190" s="65" t="n"/>
      <c r="Q1190">
        <f>IF(1185&gt;Calc!$AQ$368,"",MATCH(1184,Calc!$AQ$2:$AQ$367,1))</f>
        <v/>
      </c>
      <c r="R1190">
        <f>IF(Q1190="","",SMALL(INDEX(Calc!$B$2:$AO$367,Q1190,0),1185-INDEX(Calc!$AQ$2:$AQ$367,Q1190)))</f>
        <v/>
      </c>
    </row>
    <row r="1191">
      <c r="B1191" s="71">
        <f>IF(R1191="","",1186)</f>
        <v/>
      </c>
      <c r="C1191" s="75">
        <f>IF(R1191="","",IF(INDEX('Recurring Schedule'!$C$6:$C$45,R1191)="","",INDEX('Recurring Schedule'!$C$6:$C$45,R1191)))</f>
        <v/>
      </c>
      <c r="D1191" s="73">
        <f>IF(R1191="","",IF(INDEX('Recurring Schedule'!$D$6:$D$45,R1191)="","",INDEX('Recurring Schedule'!$D$6:$D$45,R1191)))</f>
        <v/>
      </c>
      <c r="E1191" s="76">
        <f>IF(Q1191="","",INDEX(Calc!$A$2:$A$367,Q1191))</f>
        <v/>
      </c>
      <c r="F1191" s="72">
        <f>IF(OR(C1191="",E1191=""),"",E1191-Setup!$D$7)</f>
        <v/>
      </c>
      <c r="G1191" s="77">
        <f>IF(R1191="","",IF(INDEX('Recurring Schedule'!$H$6:$H$45,R1191)="","",INDEX('Recurring Schedule'!$H$6:$H$45,R1191)))</f>
        <v/>
      </c>
      <c r="H1191" s="77">
        <f>IF(R1191="","",IF(INDEX('Recurring Schedule'!$I$6:$I$45,R1191)="","",INDEX('Recurring Schedule'!$I$6:$I$45,R1191)))</f>
        <v/>
      </c>
      <c r="I1191" s="73">
        <f>IF(OR(G1191="",H1191=""),"",TRIM(IF(HOUR(H1191-G1191)&gt;0,HOUR(H1191-G1191)&amp;" hr ","")&amp;IF(MINUTE(H1191-G1191)&gt;0,MINUTE(H1191-G1191)&amp;" min","")))</f>
        <v/>
      </c>
      <c r="J1191" s="66" t="n"/>
      <c r="K1191" s="70" t="n"/>
      <c r="L1191" s="73">
        <f>IF(R1191="","",IF(INDEX('Recurring Schedule'!$J$6:$J$45,R1191)="","",INDEX('Recurring Schedule'!$J$6:$J$45,R1191)))</f>
        <v/>
      </c>
      <c r="M1191" s="73">
        <f>IF(R1191="","",IF(INDEX('Recurring Schedule'!$K$6:$K$45,R1191)="","",INDEX('Recurring Schedule'!$K$6:$K$45,R1191)))</f>
        <v/>
      </c>
      <c r="N1191" s="73">
        <f>IF(R1191="","",IF(INDEX('Recurring Schedule'!$L$6:$L$45,R1191)="","",INDEX('Recurring Schedule'!$L$6:$L$45,R1191)))</f>
        <v/>
      </c>
      <c r="O1191" s="73">
        <f>IF(C1191="","",IF(AND(OR(L1191="1-Urgent",L1191="2-High"),M1191="✓"),"DO FIRST",IF(M1191="✓","SCHEDULE",IF(OR(L1191="1-Urgent",L1191="2-High"),"DELEGATE","DELETE"))))</f>
        <v/>
      </c>
      <c r="P1191" s="65" t="n"/>
      <c r="Q1191">
        <f>IF(1186&gt;Calc!$AQ$368,"",MATCH(1185,Calc!$AQ$2:$AQ$367,1))</f>
        <v/>
      </c>
      <c r="R1191">
        <f>IF(Q1191="","",SMALL(INDEX(Calc!$B$2:$AO$367,Q1191,0),1186-INDEX(Calc!$AQ$2:$AQ$367,Q1191)))</f>
        <v/>
      </c>
    </row>
    <row r="1192">
      <c r="B1192" s="64">
        <f>IF(R1192="","",1187)</f>
        <v/>
      </c>
      <c r="C1192" s="37">
        <f>IF(R1192="","",IF(INDEX('Recurring Schedule'!$C$6:$C$45,R1192)="","",INDEX('Recurring Schedule'!$C$6:$C$45,R1192)))</f>
        <v/>
      </c>
      <c r="D1192" s="36">
        <f>IF(R1192="","",IF(INDEX('Recurring Schedule'!$D$6:$D$45,R1192)="","",INDEX('Recurring Schedule'!$D$6:$D$45,R1192)))</f>
        <v/>
      </c>
      <c r="E1192" s="38">
        <f>IF(Q1192="","",INDEX(Calc!$A$2:$A$367,Q1192))</f>
        <v/>
      </c>
      <c r="F1192" s="68">
        <f>IF(OR(C1192="",E1192=""),"",E1192-Setup!$D$7)</f>
        <v/>
      </c>
      <c r="G1192" s="74">
        <f>IF(R1192="","",IF(INDEX('Recurring Schedule'!$H$6:$H$45,R1192)="","",INDEX('Recurring Schedule'!$H$6:$H$45,R1192)))</f>
        <v/>
      </c>
      <c r="H1192" s="74">
        <f>IF(R1192="","",IF(INDEX('Recurring Schedule'!$I$6:$I$45,R1192)="","",INDEX('Recurring Schedule'!$I$6:$I$45,R1192)))</f>
        <v/>
      </c>
      <c r="I1192" s="36">
        <f>IF(OR(G1192="",H1192=""),"",TRIM(IF(HOUR(H1192-G1192)&gt;0,HOUR(H1192-G1192)&amp;" hr ","")&amp;IF(MINUTE(H1192-G1192)&gt;0,MINUTE(H1192-G1192)&amp;" min","")))</f>
        <v/>
      </c>
      <c r="J1192" s="66" t="n"/>
      <c r="K1192" s="70" t="n"/>
      <c r="L1192" s="36">
        <f>IF(R1192="","",IF(INDEX('Recurring Schedule'!$J$6:$J$45,R1192)="","",INDEX('Recurring Schedule'!$J$6:$J$45,R1192)))</f>
        <v/>
      </c>
      <c r="M1192" s="36">
        <f>IF(R1192="","",IF(INDEX('Recurring Schedule'!$K$6:$K$45,R1192)="","",INDEX('Recurring Schedule'!$K$6:$K$45,R1192)))</f>
        <v/>
      </c>
      <c r="N1192" s="36">
        <f>IF(R1192="","",IF(INDEX('Recurring Schedule'!$L$6:$L$45,R1192)="","",INDEX('Recurring Schedule'!$L$6:$L$45,R1192)))</f>
        <v/>
      </c>
      <c r="O1192" s="36">
        <f>IF(C1192="","",IF(AND(OR(L1192="1-Urgent",L1192="2-High"),M1192="✓"),"DO FIRST",IF(M1192="✓","SCHEDULE",IF(OR(L1192="1-Urgent",L1192="2-High"),"DELEGATE","DELETE"))))</f>
        <v/>
      </c>
      <c r="P1192" s="65" t="n"/>
      <c r="Q1192">
        <f>IF(1187&gt;Calc!$AQ$368,"",MATCH(1186,Calc!$AQ$2:$AQ$367,1))</f>
        <v/>
      </c>
      <c r="R1192">
        <f>IF(Q1192="","",SMALL(INDEX(Calc!$B$2:$AO$367,Q1192,0),1187-INDEX(Calc!$AQ$2:$AQ$367,Q1192)))</f>
        <v/>
      </c>
    </row>
    <row r="1193">
      <c r="B1193" s="71">
        <f>IF(R1193="","",1188)</f>
        <v/>
      </c>
      <c r="C1193" s="75">
        <f>IF(R1193="","",IF(INDEX('Recurring Schedule'!$C$6:$C$45,R1193)="","",INDEX('Recurring Schedule'!$C$6:$C$45,R1193)))</f>
        <v/>
      </c>
      <c r="D1193" s="73">
        <f>IF(R1193="","",IF(INDEX('Recurring Schedule'!$D$6:$D$45,R1193)="","",INDEX('Recurring Schedule'!$D$6:$D$45,R1193)))</f>
        <v/>
      </c>
      <c r="E1193" s="76">
        <f>IF(Q1193="","",INDEX(Calc!$A$2:$A$367,Q1193))</f>
        <v/>
      </c>
      <c r="F1193" s="72">
        <f>IF(OR(C1193="",E1193=""),"",E1193-Setup!$D$7)</f>
        <v/>
      </c>
      <c r="G1193" s="77">
        <f>IF(R1193="","",IF(INDEX('Recurring Schedule'!$H$6:$H$45,R1193)="","",INDEX('Recurring Schedule'!$H$6:$H$45,R1193)))</f>
        <v/>
      </c>
      <c r="H1193" s="77">
        <f>IF(R1193="","",IF(INDEX('Recurring Schedule'!$I$6:$I$45,R1193)="","",INDEX('Recurring Schedule'!$I$6:$I$45,R1193)))</f>
        <v/>
      </c>
      <c r="I1193" s="73">
        <f>IF(OR(G1193="",H1193=""),"",TRIM(IF(HOUR(H1193-G1193)&gt;0,HOUR(H1193-G1193)&amp;" hr ","")&amp;IF(MINUTE(H1193-G1193)&gt;0,MINUTE(H1193-G1193)&amp;" min","")))</f>
        <v/>
      </c>
      <c r="J1193" s="66" t="n"/>
      <c r="K1193" s="70" t="n"/>
      <c r="L1193" s="73">
        <f>IF(R1193="","",IF(INDEX('Recurring Schedule'!$J$6:$J$45,R1193)="","",INDEX('Recurring Schedule'!$J$6:$J$45,R1193)))</f>
        <v/>
      </c>
      <c r="M1193" s="73">
        <f>IF(R1193="","",IF(INDEX('Recurring Schedule'!$K$6:$K$45,R1193)="","",INDEX('Recurring Schedule'!$K$6:$K$45,R1193)))</f>
        <v/>
      </c>
      <c r="N1193" s="73">
        <f>IF(R1193="","",IF(INDEX('Recurring Schedule'!$L$6:$L$45,R1193)="","",INDEX('Recurring Schedule'!$L$6:$L$45,R1193)))</f>
        <v/>
      </c>
      <c r="O1193" s="73">
        <f>IF(C1193="","",IF(AND(OR(L1193="1-Urgent",L1193="2-High"),M1193="✓"),"DO FIRST",IF(M1193="✓","SCHEDULE",IF(OR(L1193="1-Urgent",L1193="2-High"),"DELEGATE","DELETE"))))</f>
        <v/>
      </c>
      <c r="P1193" s="65" t="n"/>
      <c r="Q1193">
        <f>IF(1188&gt;Calc!$AQ$368,"",MATCH(1187,Calc!$AQ$2:$AQ$367,1))</f>
        <v/>
      </c>
      <c r="R1193">
        <f>IF(Q1193="","",SMALL(INDEX(Calc!$B$2:$AO$367,Q1193,0),1188-INDEX(Calc!$AQ$2:$AQ$367,Q1193)))</f>
        <v/>
      </c>
    </row>
    <row r="1194">
      <c r="B1194" s="64">
        <f>IF(R1194="","",1189)</f>
        <v/>
      </c>
      <c r="C1194" s="37">
        <f>IF(R1194="","",IF(INDEX('Recurring Schedule'!$C$6:$C$45,R1194)="","",INDEX('Recurring Schedule'!$C$6:$C$45,R1194)))</f>
        <v/>
      </c>
      <c r="D1194" s="36">
        <f>IF(R1194="","",IF(INDEX('Recurring Schedule'!$D$6:$D$45,R1194)="","",INDEX('Recurring Schedule'!$D$6:$D$45,R1194)))</f>
        <v/>
      </c>
      <c r="E1194" s="38">
        <f>IF(Q1194="","",INDEX(Calc!$A$2:$A$367,Q1194))</f>
        <v/>
      </c>
      <c r="F1194" s="68">
        <f>IF(OR(C1194="",E1194=""),"",E1194-Setup!$D$7)</f>
        <v/>
      </c>
      <c r="G1194" s="74">
        <f>IF(R1194="","",IF(INDEX('Recurring Schedule'!$H$6:$H$45,R1194)="","",INDEX('Recurring Schedule'!$H$6:$H$45,R1194)))</f>
        <v/>
      </c>
      <c r="H1194" s="74">
        <f>IF(R1194="","",IF(INDEX('Recurring Schedule'!$I$6:$I$45,R1194)="","",INDEX('Recurring Schedule'!$I$6:$I$45,R1194)))</f>
        <v/>
      </c>
      <c r="I1194" s="36">
        <f>IF(OR(G1194="",H1194=""),"",TRIM(IF(HOUR(H1194-G1194)&gt;0,HOUR(H1194-G1194)&amp;" hr ","")&amp;IF(MINUTE(H1194-G1194)&gt;0,MINUTE(H1194-G1194)&amp;" min","")))</f>
        <v/>
      </c>
      <c r="J1194" s="66" t="n"/>
      <c r="K1194" s="70" t="n"/>
      <c r="L1194" s="36">
        <f>IF(R1194="","",IF(INDEX('Recurring Schedule'!$J$6:$J$45,R1194)="","",INDEX('Recurring Schedule'!$J$6:$J$45,R1194)))</f>
        <v/>
      </c>
      <c r="M1194" s="36">
        <f>IF(R1194="","",IF(INDEX('Recurring Schedule'!$K$6:$K$45,R1194)="","",INDEX('Recurring Schedule'!$K$6:$K$45,R1194)))</f>
        <v/>
      </c>
      <c r="N1194" s="36">
        <f>IF(R1194="","",IF(INDEX('Recurring Schedule'!$L$6:$L$45,R1194)="","",INDEX('Recurring Schedule'!$L$6:$L$45,R1194)))</f>
        <v/>
      </c>
      <c r="O1194" s="36">
        <f>IF(C1194="","",IF(AND(OR(L1194="1-Urgent",L1194="2-High"),M1194="✓"),"DO FIRST",IF(M1194="✓","SCHEDULE",IF(OR(L1194="1-Urgent",L1194="2-High"),"DELEGATE","DELETE"))))</f>
        <v/>
      </c>
      <c r="P1194" s="65" t="n"/>
      <c r="Q1194">
        <f>IF(1189&gt;Calc!$AQ$368,"",MATCH(1188,Calc!$AQ$2:$AQ$367,1))</f>
        <v/>
      </c>
      <c r="R1194">
        <f>IF(Q1194="","",SMALL(INDEX(Calc!$B$2:$AO$367,Q1194,0),1189-INDEX(Calc!$AQ$2:$AQ$367,Q1194)))</f>
        <v/>
      </c>
    </row>
    <row r="1195">
      <c r="B1195" s="71">
        <f>IF(R1195="","",1190)</f>
        <v/>
      </c>
      <c r="C1195" s="75">
        <f>IF(R1195="","",IF(INDEX('Recurring Schedule'!$C$6:$C$45,R1195)="","",INDEX('Recurring Schedule'!$C$6:$C$45,R1195)))</f>
        <v/>
      </c>
      <c r="D1195" s="73">
        <f>IF(R1195="","",IF(INDEX('Recurring Schedule'!$D$6:$D$45,R1195)="","",INDEX('Recurring Schedule'!$D$6:$D$45,R1195)))</f>
        <v/>
      </c>
      <c r="E1195" s="76">
        <f>IF(Q1195="","",INDEX(Calc!$A$2:$A$367,Q1195))</f>
        <v/>
      </c>
      <c r="F1195" s="72">
        <f>IF(OR(C1195="",E1195=""),"",E1195-Setup!$D$7)</f>
        <v/>
      </c>
      <c r="G1195" s="77">
        <f>IF(R1195="","",IF(INDEX('Recurring Schedule'!$H$6:$H$45,R1195)="","",INDEX('Recurring Schedule'!$H$6:$H$45,R1195)))</f>
        <v/>
      </c>
      <c r="H1195" s="77">
        <f>IF(R1195="","",IF(INDEX('Recurring Schedule'!$I$6:$I$45,R1195)="","",INDEX('Recurring Schedule'!$I$6:$I$45,R1195)))</f>
        <v/>
      </c>
      <c r="I1195" s="73">
        <f>IF(OR(G1195="",H1195=""),"",TRIM(IF(HOUR(H1195-G1195)&gt;0,HOUR(H1195-G1195)&amp;" hr ","")&amp;IF(MINUTE(H1195-G1195)&gt;0,MINUTE(H1195-G1195)&amp;" min","")))</f>
        <v/>
      </c>
      <c r="J1195" s="66" t="n"/>
      <c r="K1195" s="70" t="n"/>
      <c r="L1195" s="73">
        <f>IF(R1195="","",IF(INDEX('Recurring Schedule'!$J$6:$J$45,R1195)="","",INDEX('Recurring Schedule'!$J$6:$J$45,R1195)))</f>
        <v/>
      </c>
      <c r="M1195" s="73">
        <f>IF(R1195="","",IF(INDEX('Recurring Schedule'!$K$6:$K$45,R1195)="","",INDEX('Recurring Schedule'!$K$6:$K$45,R1195)))</f>
        <v/>
      </c>
      <c r="N1195" s="73">
        <f>IF(R1195="","",IF(INDEX('Recurring Schedule'!$L$6:$L$45,R1195)="","",INDEX('Recurring Schedule'!$L$6:$L$45,R1195)))</f>
        <v/>
      </c>
      <c r="O1195" s="73">
        <f>IF(C1195="","",IF(AND(OR(L1195="1-Urgent",L1195="2-High"),M1195="✓"),"DO FIRST",IF(M1195="✓","SCHEDULE",IF(OR(L1195="1-Urgent",L1195="2-High"),"DELEGATE","DELETE"))))</f>
        <v/>
      </c>
      <c r="P1195" s="65" t="n"/>
      <c r="Q1195">
        <f>IF(1190&gt;Calc!$AQ$368,"",MATCH(1189,Calc!$AQ$2:$AQ$367,1))</f>
        <v/>
      </c>
      <c r="R1195">
        <f>IF(Q1195="","",SMALL(INDEX(Calc!$B$2:$AO$367,Q1195,0),1190-INDEX(Calc!$AQ$2:$AQ$367,Q1195)))</f>
        <v/>
      </c>
    </row>
    <row r="1196">
      <c r="B1196" s="64">
        <f>IF(R1196="","",1191)</f>
        <v/>
      </c>
      <c r="C1196" s="37">
        <f>IF(R1196="","",IF(INDEX('Recurring Schedule'!$C$6:$C$45,R1196)="","",INDEX('Recurring Schedule'!$C$6:$C$45,R1196)))</f>
        <v/>
      </c>
      <c r="D1196" s="36">
        <f>IF(R1196="","",IF(INDEX('Recurring Schedule'!$D$6:$D$45,R1196)="","",INDEX('Recurring Schedule'!$D$6:$D$45,R1196)))</f>
        <v/>
      </c>
      <c r="E1196" s="38">
        <f>IF(Q1196="","",INDEX(Calc!$A$2:$A$367,Q1196))</f>
        <v/>
      </c>
      <c r="F1196" s="68">
        <f>IF(OR(C1196="",E1196=""),"",E1196-Setup!$D$7)</f>
        <v/>
      </c>
      <c r="G1196" s="74">
        <f>IF(R1196="","",IF(INDEX('Recurring Schedule'!$H$6:$H$45,R1196)="","",INDEX('Recurring Schedule'!$H$6:$H$45,R1196)))</f>
        <v/>
      </c>
      <c r="H1196" s="74">
        <f>IF(R1196="","",IF(INDEX('Recurring Schedule'!$I$6:$I$45,R1196)="","",INDEX('Recurring Schedule'!$I$6:$I$45,R1196)))</f>
        <v/>
      </c>
      <c r="I1196" s="36">
        <f>IF(OR(G1196="",H1196=""),"",TRIM(IF(HOUR(H1196-G1196)&gt;0,HOUR(H1196-G1196)&amp;" hr ","")&amp;IF(MINUTE(H1196-G1196)&gt;0,MINUTE(H1196-G1196)&amp;" min","")))</f>
        <v/>
      </c>
      <c r="J1196" s="66" t="n"/>
      <c r="K1196" s="70" t="n"/>
      <c r="L1196" s="36">
        <f>IF(R1196="","",IF(INDEX('Recurring Schedule'!$J$6:$J$45,R1196)="","",INDEX('Recurring Schedule'!$J$6:$J$45,R1196)))</f>
        <v/>
      </c>
      <c r="M1196" s="36">
        <f>IF(R1196="","",IF(INDEX('Recurring Schedule'!$K$6:$K$45,R1196)="","",INDEX('Recurring Schedule'!$K$6:$K$45,R1196)))</f>
        <v/>
      </c>
      <c r="N1196" s="36">
        <f>IF(R1196="","",IF(INDEX('Recurring Schedule'!$L$6:$L$45,R1196)="","",INDEX('Recurring Schedule'!$L$6:$L$45,R1196)))</f>
        <v/>
      </c>
      <c r="O1196" s="36">
        <f>IF(C1196="","",IF(AND(OR(L1196="1-Urgent",L1196="2-High"),M1196="✓"),"DO FIRST",IF(M1196="✓","SCHEDULE",IF(OR(L1196="1-Urgent",L1196="2-High"),"DELEGATE","DELETE"))))</f>
        <v/>
      </c>
      <c r="P1196" s="65" t="n"/>
      <c r="Q1196">
        <f>IF(1191&gt;Calc!$AQ$368,"",MATCH(1190,Calc!$AQ$2:$AQ$367,1))</f>
        <v/>
      </c>
      <c r="R1196">
        <f>IF(Q1196="","",SMALL(INDEX(Calc!$B$2:$AO$367,Q1196,0),1191-INDEX(Calc!$AQ$2:$AQ$367,Q1196)))</f>
        <v/>
      </c>
    </row>
    <row r="1197">
      <c r="B1197" s="71">
        <f>IF(R1197="","",1192)</f>
        <v/>
      </c>
      <c r="C1197" s="75">
        <f>IF(R1197="","",IF(INDEX('Recurring Schedule'!$C$6:$C$45,R1197)="","",INDEX('Recurring Schedule'!$C$6:$C$45,R1197)))</f>
        <v/>
      </c>
      <c r="D1197" s="73">
        <f>IF(R1197="","",IF(INDEX('Recurring Schedule'!$D$6:$D$45,R1197)="","",INDEX('Recurring Schedule'!$D$6:$D$45,R1197)))</f>
        <v/>
      </c>
      <c r="E1197" s="76">
        <f>IF(Q1197="","",INDEX(Calc!$A$2:$A$367,Q1197))</f>
        <v/>
      </c>
      <c r="F1197" s="72">
        <f>IF(OR(C1197="",E1197=""),"",E1197-Setup!$D$7)</f>
        <v/>
      </c>
      <c r="G1197" s="77">
        <f>IF(R1197="","",IF(INDEX('Recurring Schedule'!$H$6:$H$45,R1197)="","",INDEX('Recurring Schedule'!$H$6:$H$45,R1197)))</f>
        <v/>
      </c>
      <c r="H1197" s="77">
        <f>IF(R1197="","",IF(INDEX('Recurring Schedule'!$I$6:$I$45,R1197)="","",INDEX('Recurring Schedule'!$I$6:$I$45,R1197)))</f>
        <v/>
      </c>
      <c r="I1197" s="73">
        <f>IF(OR(G1197="",H1197=""),"",TRIM(IF(HOUR(H1197-G1197)&gt;0,HOUR(H1197-G1197)&amp;" hr ","")&amp;IF(MINUTE(H1197-G1197)&gt;0,MINUTE(H1197-G1197)&amp;" min","")))</f>
        <v/>
      </c>
      <c r="J1197" s="66" t="n"/>
      <c r="K1197" s="70" t="n"/>
      <c r="L1197" s="73">
        <f>IF(R1197="","",IF(INDEX('Recurring Schedule'!$J$6:$J$45,R1197)="","",INDEX('Recurring Schedule'!$J$6:$J$45,R1197)))</f>
        <v/>
      </c>
      <c r="M1197" s="73">
        <f>IF(R1197="","",IF(INDEX('Recurring Schedule'!$K$6:$K$45,R1197)="","",INDEX('Recurring Schedule'!$K$6:$K$45,R1197)))</f>
        <v/>
      </c>
      <c r="N1197" s="73">
        <f>IF(R1197="","",IF(INDEX('Recurring Schedule'!$L$6:$L$45,R1197)="","",INDEX('Recurring Schedule'!$L$6:$L$45,R1197)))</f>
        <v/>
      </c>
      <c r="O1197" s="73">
        <f>IF(C1197="","",IF(AND(OR(L1197="1-Urgent",L1197="2-High"),M1197="✓"),"DO FIRST",IF(M1197="✓","SCHEDULE",IF(OR(L1197="1-Urgent",L1197="2-High"),"DELEGATE","DELETE"))))</f>
        <v/>
      </c>
      <c r="P1197" s="65" t="n"/>
      <c r="Q1197">
        <f>IF(1192&gt;Calc!$AQ$368,"",MATCH(1191,Calc!$AQ$2:$AQ$367,1))</f>
        <v/>
      </c>
      <c r="R1197">
        <f>IF(Q1197="","",SMALL(INDEX(Calc!$B$2:$AO$367,Q1197,0),1192-INDEX(Calc!$AQ$2:$AQ$367,Q1197)))</f>
        <v/>
      </c>
    </row>
    <row r="1198">
      <c r="B1198" s="64">
        <f>IF(R1198="","",1193)</f>
        <v/>
      </c>
      <c r="C1198" s="37">
        <f>IF(R1198="","",IF(INDEX('Recurring Schedule'!$C$6:$C$45,R1198)="","",INDEX('Recurring Schedule'!$C$6:$C$45,R1198)))</f>
        <v/>
      </c>
      <c r="D1198" s="36">
        <f>IF(R1198="","",IF(INDEX('Recurring Schedule'!$D$6:$D$45,R1198)="","",INDEX('Recurring Schedule'!$D$6:$D$45,R1198)))</f>
        <v/>
      </c>
      <c r="E1198" s="38">
        <f>IF(Q1198="","",INDEX(Calc!$A$2:$A$367,Q1198))</f>
        <v/>
      </c>
      <c r="F1198" s="68">
        <f>IF(OR(C1198="",E1198=""),"",E1198-Setup!$D$7)</f>
        <v/>
      </c>
      <c r="G1198" s="74">
        <f>IF(R1198="","",IF(INDEX('Recurring Schedule'!$H$6:$H$45,R1198)="","",INDEX('Recurring Schedule'!$H$6:$H$45,R1198)))</f>
        <v/>
      </c>
      <c r="H1198" s="74">
        <f>IF(R1198="","",IF(INDEX('Recurring Schedule'!$I$6:$I$45,R1198)="","",INDEX('Recurring Schedule'!$I$6:$I$45,R1198)))</f>
        <v/>
      </c>
      <c r="I1198" s="36">
        <f>IF(OR(G1198="",H1198=""),"",TRIM(IF(HOUR(H1198-G1198)&gt;0,HOUR(H1198-G1198)&amp;" hr ","")&amp;IF(MINUTE(H1198-G1198)&gt;0,MINUTE(H1198-G1198)&amp;" min","")))</f>
        <v/>
      </c>
      <c r="J1198" s="66" t="n"/>
      <c r="K1198" s="70" t="n"/>
      <c r="L1198" s="36">
        <f>IF(R1198="","",IF(INDEX('Recurring Schedule'!$J$6:$J$45,R1198)="","",INDEX('Recurring Schedule'!$J$6:$J$45,R1198)))</f>
        <v/>
      </c>
      <c r="M1198" s="36">
        <f>IF(R1198="","",IF(INDEX('Recurring Schedule'!$K$6:$K$45,R1198)="","",INDEX('Recurring Schedule'!$K$6:$K$45,R1198)))</f>
        <v/>
      </c>
      <c r="N1198" s="36">
        <f>IF(R1198="","",IF(INDEX('Recurring Schedule'!$L$6:$L$45,R1198)="","",INDEX('Recurring Schedule'!$L$6:$L$45,R1198)))</f>
        <v/>
      </c>
      <c r="O1198" s="36">
        <f>IF(C1198="","",IF(AND(OR(L1198="1-Urgent",L1198="2-High"),M1198="✓"),"DO FIRST",IF(M1198="✓","SCHEDULE",IF(OR(L1198="1-Urgent",L1198="2-High"),"DELEGATE","DELETE"))))</f>
        <v/>
      </c>
      <c r="P1198" s="65" t="n"/>
      <c r="Q1198">
        <f>IF(1193&gt;Calc!$AQ$368,"",MATCH(1192,Calc!$AQ$2:$AQ$367,1))</f>
        <v/>
      </c>
      <c r="R1198">
        <f>IF(Q1198="","",SMALL(INDEX(Calc!$B$2:$AO$367,Q1198,0),1193-INDEX(Calc!$AQ$2:$AQ$367,Q1198)))</f>
        <v/>
      </c>
    </row>
    <row r="1199">
      <c r="B1199" s="71">
        <f>IF(R1199="","",1194)</f>
        <v/>
      </c>
      <c r="C1199" s="75">
        <f>IF(R1199="","",IF(INDEX('Recurring Schedule'!$C$6:$C$45,R1199)="","",INDEX('Recurring Schedule'!$C$6:$C$45,R1199)))</f>
        <v/>
      </c>
      <c r="D1199" s="73">
        <f>IF(R1199="","",IF(INDEX('Recurring Schedule'!$D$6:$D$45,R1199)="","",INDEX('Recurring Schedule'!$D$6:$D$45,R1199)))</f>
        <v/>
      </c>
      <c r="E1199" s="76">
        <f>IF(Q1199="","",INDEX(Calc!$A$2:$A$367,Q1199))</f>
        <v/>
      </c>
      <c r="F1199" s="72">
        <f>IF(OR(C1199="",E1199=""),"",E1199-Setup!$D$7)</f>
        <v/>
      </c>
      <c r="G1199" s="77">
        <f>IF(R1199="","",IF(INDEX('Recurring Schedule'!$H$6:$H$45,R1199)="","",INDEX('Recurring Schedule'!$H$6:$H$45,R1199)))</f>
        <v/>
      </c>
      <c r="H1199" s="77">
        <f>IF(R1199="","",IF(INDEX('Recurring Schedule'!$I$6:$I$45,R1199)="","",INDEX('Recurring Schedule'!$I$6:$I$45,R1199)))</f>
        <v/>
      </c>
      <c r="I1199" s="73">
        <f>IF(OR(G1199="",H1199=""),"",TRIM(IF(HOUR(H1199-G1199)&gt;0,HOUR(H1199-G1199)&amp;" hr ","")&amp;IF(MINUTE(H1199-G1199)&gt;0,MINUTE(H1199-G1199)&amp;" min","")))</f>
        <v/>
      </c>
      <c r="J1199" s="66" t="n"/>
      <c r="K1199" s="70" t="n"/>
      <c r="L1199" s="73">
        <f>IF(R1199="","",IF(INDEX('Recurring Schedule'!$J$6:$J$45,R1199)="","",INDEX('Recurring Schedule'!$J$6:$J$45,R1199)))</f>
        <v/>
      </c>
      <c r="M1199" s="73">
        <f>IF(R1199="","",IF(INDEX('Recurring Schedule'!$K$6:$K$45,R1199)="","",INDEX('Recurring Schedule'!$K$6:$K$45,R1199)))</f>
        <v/>
      </c>
      <c r="N1199" s="73">
        <f>IF(R1199="","",IF(INDEX('Recurring Schedule'!$L$6:$L$45,R1199)="","",INDEX('Recurring Schedule'!$L$6:$L$45,R1199)))</f>
        <v/>
      </c>
      <c r="O1199" s="73">
        <f>IF(C1199="","",IF(AND(OR(L1199="1-Urgent",L1199="2-High"),M1199="✓"),"DO FIRST",IF(M1199="✓","SCHEDULE",IF(OR(L1199="1-Urgent",L1199="2-High"),"DELEGATE","DELETE"))))</f>
        <v/>
      </c>
      <c r="P1199" s="65" t="n"/>
      <c r="Q1199">
        <f>IF(1194&gt;Calc!$AQ$368,"",MATCH(1193,Calc!$AQ$2:$AQ$367,1))</f>
        <v/>
      </c>
      <c r="R1199">
        <f>IF(Q1199="","",SMALL(INDEX(Calc!$B$2:$AO$367,Q1199,0),1194-INDEX(Calc!$AQ$2:$AQ$367,Q1199)))</f>
        <v/>
      </c>
    </row>
    <row r="1200">
      <c r="B1200" s="64">
        <f>IF(R1200="","",1195)</f>
        <v/>
      </c>
      <c r="C1200" s="37">
        <f>IF(R1200="","",IF(INDEX('Recurring Schedule'!$C$6:$C$45,R1200)="","",INDEX('Recurring Schedule'!$C$6:$C$45,R1200)))</f>
        <v/>
      </c>
      <c r="D1200" s="36">
        <f>IF(R1200="","",IF(INDEX('Recurring Schedule'!$D$6:$D$45,R1200)="","",INDEX('Recurring Schedule'!$D$6:$D$45,R1200)))</f>
        <v/>
      </c>
      <c r="E1200" s="38">
        <f>IF(Q1200="","",INDEX(Calc!$A$2:$A$367,Q1200))</f>
        <v/>
      </c>
      <c r="F1200" s="68">
        <f>IF(OR(C1200="",E1200=""),"",E1200-Setup!$D$7)</f>
        <v/>
      </c>
      <c r="G1200" s="74">
        <f>IF(R1200="","",IF(INDEX('Recurring Schedule'!$H$6:$H$45,R1200)="","",INDEX('Recurring Schedule'!$H$6:$H$45,R1200)))</f>
        <v/>
      </c>
      <c r="H1200" s="74">
        <f>IF(R1200="","",IF(INDEX('Recurring Schedule'!$I$6:$I$45,R1200)="","",INDEX('Recurring Schedule'!$I$6:$I$45,R1200)))</f>
        <v/>
      </c>
      <c r="I1200" s="36">
        <f>IF(OR(G1200="",H1200=""),"",TRIM(IF(HOUR(H1200-G1200)&gt;0,HOUR(H1200-G1200)&amp;" hr ","")&amp;IF(MINUTE(H1200-G1200)&gt;0,MINUTE(H1200-G1200)&amp;" min","")))</f>
        <v/>
      </c>
      <c r="J1200" s="66" t="n"/>
      <c r="K1200" s="70" t="n"/>
      <c r="L1200" s="36">
        <f>IF(R1200="","",IF(INDEX('Recurring Schedule'!$J$6:$J$45,R1200)="","",INDEX('Recurring Schedule'!$J$6:$J$45,R1200)))</f>
        <v/>
      </c>
      <c r="M1200" s="36">
        <f>IF(R1200="","",IF(INDEX('Recurring Schedule'!$K$6:$K$45,R1200)="","",INDEX('Recurring Schedule'!$K$6:$K$45,R1200)))</f>
        <v/>
      </c>
      <c r="N1200" s="36">
        <f>IF(R1200="","",IF(INDEX('Recurring Schedule'!$L$6:$L$45,R1200)="","",INDEX('Recurring Schedule'!$L$6:$L$45,R1200)))</f>
        <v/>
      </c>
      <c r="O1200" s="36">
        <f>IF(C1200="","",IF(AND(OR(L1200="1-Urgent",L1200="2-High"),M1200="✓"),"DO FIRST",IF(M1200="✓","SCHEDULE",IF(OR(L1200="1-Urgent",L1200="2-High"),"DELEGATE","DELETE"))))</f>
        <v/>
      </c>
      <c r="P1200" s="65" t="n"/>
      <c r="Q1200">
        <f>IF(1195&gt;Calc!$AQ$368,"",MATCH(1194,Calc!$AQ$2:$AQ$367,1))</f>
        <v/>
      </c>
      <c r="R1200">
        <f>IF(Q1200="","",SMALL(INDEX(Calc!$B$2:$AO$367,Q1200,0),1195-INDEX(Calc!$AQ$2:$AQ$367,Q1200)))</f>
        <v/>
      </c>
    </row>
    <row r="1201">
      <c r="B1201" s="71">
        <f>IF(R1201="","",1196)</f>
        <v/>
      </c>
      <c r="C1201" s="75">
        <f>IF(R1201="","",IF(INDEX('Recurring Schedule'!$C$6:$C$45,R1201)="","",INDEX('Recurring Schedule'!$C$6:$C$45,R1201)))</f>
        <v/>
      </c>
      <c r="D1201" s="73">
        <f>IF(R1201="","",IF(INDEX('Recurring Schedule'!$D$6:$D$45,R1201)="","",INDEX('Recurring Schedule'!$D$6:$D$45,R1201)))</f>
        <v/>
      </c>
      <c r="E1201" s="76">
        <f>IF(Q1201="","",INDEX(Calc!$A$2:$A$367,Q1201))</f>
        <v/>
      </c>
      <c r="F1201" s="72">
        <f>IF(OR(C1201="",E1201=""),"",E1201-Setup!$D$7)</f>
        <v/>
      </c>
      <c r="G1201" s="77">
        <f>IF(R1201="","",IF(INDEX('Recurring Schedule'!$H$6:$H$45,R1201)="","",INDEX('Recurring Schedule'!$H$6:$H$45,R1201)))</f>
        <v/>
      </c>
      <c r="H1201" s="77">
        <f>IF(R1201="","",IF(INDEX('Recurring Schedule'!$I$6:$I$45,R1201)="","",INDEX('Recurring Schedule'!$I$6:$I$45,R1201)))</f>
        <v/>
      </c>
      <c r="I1201" s="73">
        <f>IF(OR(G1201="",H1201=""),"",TRIM(IF(HOUR(H1201-G1201)&gt;0,HOUR(H1201-G1201)&amp;" hr ","")&amp;IF(MINUTE(H1201-G1201)&gt;0,MINUTE(H1201-G1201)&amp;" min","")))</f>
        <v/>
      </c>
      <c r="J1201" s="66" t="n"/>
      <c r="K1201" s="70" t="n"/>
      <c r="L1201" s="73">
        <f>IF(R1201="","",IF(INDEX('Recurring Schedule'!$J$6:$J$45,R1201)="","",INDEX('Recurring Schedule'!$J$6:$J$45,R1201)))</f>
        <v/>
      </c>
      <c r="M1201" s="73">
        <f>IF(R1201="","",IF(INDEX('Recurring Schedule'!$K$6:$K$45,R1201)="","",INDEX('Recurring Schedule'!$K$6:$K$45,R1201)))</f>
        <v/>
      </c>
      <c r="N1201" s="73">
        <f>IF(R1201="","",IF(INDEX('Recurring Schedule'!$L$6:$L$45,R1201)="","",INDEX('Recurring Schedule'!$L$6:$L$45,R1201)))</f>
        <v/>
      </c>
      <c r="O1201" s="73">
        <f>IF(C1201="","",IF(AND(OR(L1201="1-Urgent",L1201="2-High"),M1201="✓"),"DO FIRST",IF(M1201="✓","SCHEDULE",IF(OR(L1201="1-Urgent",L1201="2-High"),"DELEGATE","DELETE"))))</f>
        <v/>
      </c>
      <c r="P1201" s="65" t="n"/>
      <c r="Q1201">
        <f>IF(1196&gt;Calc!$AQ$368,"",MATCH(1195,Calc!$AQ$2:$AQ$367,1))</f>
        <v/>
      </c>
      <c r="R1201">
        <f>IF(Q1201="","",SMALL(INDEX(Calc!$B$2:$AO$367,Q1201,0),1196-INDEX(Calc!$AQ$2:$AQ$367,Q1201)))</f>
        <v/>
      </c>
    </row>
    <row r="1202">
      <c r="B1202" s="64">
        <f>IF(R1202="","",1197)</f>
        <v/>
      </c>
      <c r="C1202" s="37">
        <f>IF(R1202="","",IF(INDEX('Recurring Schedule'!$C$6:$C$45,R1202)="","",INDEX('Recurring Schedule'!$C$6:$C$45,R1202)))</f>
        <v/>
      </c>
      <c r="D1202" s="36">
        <f>IF(R1202="","",IF(INDEX('Recurring Schedule'!$D$6:$D$45,R1202)="","",INDEX('Recurring Schedule'!$D$6:$D$45,R1202)))</f>
        <v/>
      </c>
      <c r="E1202" s="38">
        <f>IF(Q1202="","",INDEX(Calc!$A$2:$A$367,Q1202))</f>
        <v/>
      </c>
      <c r="F1202" s="68">
        <f>IF(OR(C1202="",E1202=""),"",E1202-Setup!$D$7)</f>
        <v/>
      </c>
      <c r="G1202" s="74">
        <f>IF(R1202="","",IF(INDEX('Recurring Schedule'!$H$6:$H$45,R1202)="","",INDEX('Recurring Schedule'!$H$6:$H$45,R1202)))</f>
        <v/>
      </c>
      <c r="H1202" s="74">
        <f>IF(R1202="","",IF(INDEX('Recurring Schedule'!$I$6:$I$45,R1202)="","",INDEX('Recurring Schedule'!$I$6:$I$45,R1202)))</f>
        <v/>
      </c>
      <c r="I1202" s="36">
        <f>IF(OR(G1202="",H1202=""),"",TRIM(IF(HOUR(H1202-G1202)&gt;0,HOUR(H1202-G1202)&amp;" hr ","")&amp;IF(MINUTE(H1202-G1202)&gt;0,MINUTE(H1202-G1202)&amp;" min","")))</f>
        <v/>
      </c>
      <c r="J1202" s="66" t="n"/>
      <c r="K1202" s="70" t="n"/>
      <c r="L1202" s="36">
        <f>IF(R1202="","",IF(INDEX('Recurring Schedule'!$J$6:$J$45,R1202)="","",INDEX('Recurring Schedule'!$J$6:$J$45,R1202)))</f>
        <v/>
      </c>
      <c r="M1202" s="36">
        <f>IF(R1202="","",IF(INDEX('Recurring Schedule'!$K$6:$K$45,R1202)="","",INDEX('Recurring Schedule'!$K$6:$K$45,R1202)))</f>
        <v/>
      </c>
      <c r="N1202" s="36">
        <f>IF(R1202="","",IF(INDEX('Recurring Schedule'!$L$6:$L$45,R1202)="","",INDEX('Recurring Schedule'!$L$6:$L$45,R1202)))</f>
        <v/>
      </c>
      <c r="O1202" s="36">
        <f>IF(C1202="","",IF(AND(OR(L1202="1-Urgent",L1202="2-High"),M1202="✓"),"DO FIRST",IF(M1202="✓","SCHEDULE",IF(OR(L1202="1-Urgent",L1202="2-High"),"DELEGATE","DELETE"))))</f>
        <v/>
      </c>
      <c r="P1202" s="65" t="n"/>
      <c r="Q1202">
        <f>IF(1197&gt;Calc!$AQ$368,"",MATCH(1196,Calc!$AQ$2:$AQ$367,1))</f>
        <v/>
      </c>
      <c r="R1202">
        <f>IF(Q1202="","",SMALL(INDEX(Calc!$B$2:$AO$367,Q1202,0),1197-INDEX(Calc!$AQ$2:$AQ$367,Q1202)))</f>
        <v/>
      </c>
    </row>
    <row r="1203">
      <c r="B1203" s="71">
        <f>IF(R1203="","",1198)</f>
        <v/>
      </c>
      <c r="C1203" s="75">
        <f>IF(R1203="","",IF(INDEX('Recurring Schedule'!$C$6:$C$45,R1203)="","",INDEX('Recurring Schedule'!$C$6:$C$45,R1203)))</f>
        <v/>
      </c>
      <c r="D1203" s="73">
        <f>IF(R1203="","",IF(INDEX('Recurring Schedule'!$D$6:$D$45,R1203)="","",INDEX('Recurring Schedule'!$D$6:$D$45,R1203)))</f>
        <v/>
      </c>
      <c r="E1203" s="76">
        <f>IF(Q1203="","",INDEX(Calc!$A$2:$A$367,Q1203))</f>
        <v/>
      </c>
      <c r="F1203" s="72">
        <f>IF(OR(C1203="",E1203=""),"",E1203-Setup!$D$7)</f>
        <v/>
      </c>
      <c r="G1203" s="77">
        <f>IF(R1203="","",IF(INDEX('Recurring Schedule'!$H$6:$H$45,R1203)="","",INDEX('Recurring Schedule'!$H$6:$H$45,R1203)))</f>
        <v/>
      </c>
      <c r="H1203" s="77">
        <f>IF(R1203="","",IF(INDEX('Recurring Schedule'!$I$6:$I$45,R1203)="","",INDEX('Recurring Schedule'!$I$6:$I$45,R1203)))</f>
        <v/>
      </c>
      <c r="I1203" s="73">
        <f>IF(OR(G1203="",H1203=""),"",TRIM(IF(HOUR(H1203-G1203)&gt;0,HOUR(H1203-G1203)&amp;" hr ","")&amp;IF(MINUTE(H1203-G1203)&gt;0,MINUTE(H1203-G1203)&amp;" min","")))</f>
        <v/>
      </c>
      <c r="J1203" s="66" t="n"/>
      <c r="K1203" s="70" t="n"/>
      <c r="L1203" s="73">
        <f>IF(R1203="","",IF(INDEX('Recurring Schedule'!$J$6:$J$45,R1203)="","",INDEX('Recurring Schedule'!$J$6:$J$45,R1203)))</f>
        <v/>
      </c>
      <c r="M1203" s="73">
        <f>IF(R1203="","",IF(INDEX('Recurring Schedule'!$K$6:$K$45,R1203)="","",INDEX('Recurring Schedule'!$K$6:$K$45,R1203)))</f>
        <v/>
      </c>
      <c r="N1203" s="73">
        <f>IF(R1203="","",IF(INDEX('Recurring Schedule'!$L$6:$L$45,R1203)="","",INDEX('Recurring Schedule'!$L$6:$L$45,R1203)))</f>
        <v/>
      </c>
      <c r="O1203" s="73">
        <f>IF(C1203="","",IF(AND(OR(L1203="1-Urgent",L1203="2-High"),M1203="✓"),"DO FIRST",IF(M1203="✓","SCHEDULE",IF(OR(L1203="1-Urgent",L1203="2-High"),"DELEGATE","DELETE"))))</f>
        <v/>
      </c>
      <c r="P1203" s="65" t="n"/>
      <c r="Q1203">
        <f>IF(1198&gt;Calc!$AQ$368,"",MATCH(1197,Calc!$AQ$2:$AQ$367,1))</f>
        <v/>
      </c>
      <c r="R1203">
        <f>IF(Q1203="","",SMALL(INDEX(Calc!$B$2:$AO$367,Q1203,0),1198-INDEX(Calc!$AQ$2:$AQ$367,Q1203)))</f>
        <v/>
      </c>
    </row>
    <row r="1204">
      <c r="B1204" s="64">
        <f>IF(R1204="","",1199)</f>
        <v/>
      </c>
      <c r="C1204" s="37">
        <f>IF(R1204="","",IF(INDEX('Recurring Schedule'!$C$6:$C$45,R1204)="","",INDEX('Recurring Schedule'!$C$6:$C$45,R1204)))</f>
        <v/>
      </c>
      <c r="D1204" s="36">
        <f>IF(R1204="","",IF(INDEX('Recurring Schedule'!$D$6:$D$45,R1204)="","",INDEX('Recurring Schedule'!$D$6:$D$45,R1204)))</f>
        <v/>
      </c>
      <c r="E1204" s="38">
        <f>IF(Q1204="","",INDEX(Calc!$A$2:$A$367,Q1204))</f>
        <v/>
      </c>
      <c r="F1204" s="68">
        <f>IF(OR(C1204="",E1204=""),"",E1204-Setup!$D$7)</f>
        <v/>
      </c>
      <c r="G1204" s="74">
        <f>IF(R1204="","",IF(INDEX('Recurring Schedule'!$H$6:$H$45,R1204)="","",INDEX('Recurring Schedule'!$H$6:$H$45,R1204)))</f>
        <v/>
      </c>
      <c r="H1204" s="74">
        <f>IF(R1204="","",IF(INDEX('Recurring Schedule'!$I$6:$I$45,R1204)="","",INDEX('Recurring Schedule'!$I$6:$I$45,R1204)))</f>
        <v/>
      </c>
      <c r="I1204" s="36">
        <f>IF(OR(G1204="",H1204=""),"",TRIM(IF(HOUR(H1204-G1204)&gt;0,HOUR(H1204-G1204)&amp;" hr ","")&amp;IF(MINUTE(H1204-G1204)&gt;0,MINUTE(H1204-G1204)&amp;" min","")))</f>
        <v/>
      </c>
      <c r="J1204" s="66" t="n"/>
      <c r="K1204" s="70" t="n"/>
      <c r="L1204" s="36">
        <f>IF(R1204="","",IF(INDEX('Recurring Schedule'!$J$6:$J$45,R1204)="","",INDEX('Recurring Schedule'!$J$6:$J$45,R1204)))</f>
        <v/>
      </c>
      <c r="M1204" s="36">
        <f>IF(R1204="","",IF(INDEX('Recurring Schedule'!$K$6:$K$45,R1204)="","",INDEX('Recurring Schedule'!$K$6:$K$45,R1204)))</f>
        <v/>
      </c>
      <c r="N1204" s="36">
        <f>IF(R1204="","",IF(INDEX('Recurring Schedule'!$L$6:$L$45,R1204)="","",INDEX('Recurring Schedule'!$L$6:$L$45,R1204)))</f>
        <v/>
      </c>
      <c r="O1204" s="36">
        <f>IF(C1204="","",IF(AND(OR(L1204="1-Urgent",L1204="2-High"),M1204="✓"),"DO FIRST",IF(M1204="✓","SCHEDULE",IF(OR(L1204="1-Urgent",L1204="2-High"),"DELEGATE","DELETE"))))</f>
        <v/>
      </c>
      <c r="P1204" s="65" t="n"/>
      <c r="Q1204">
        <f>IF(1199&gt;Calc!$AQ$368,"",MATCH(1198,Calc!$AQ$2:$AQ$367,1))</f>
        <v/>
      </c>
      <c r="R1204">
        <f>IF(Q1204="","",SMALL(INDEX(Calc!$B$2:$AO$367,Q1204,0),1199-INDEX(Calc!$AQ$2:$AQ$367,Q1204)))</f>
        <v/>
      </c>
    </row>
    <row r="1205">
      <c r="B1205" s="71">
        <f>IF(R1205="","",1200)</f>
        <v/>
      </c>
      <c r="C1205" s="75">
        <f>IF(R1205="","",IF(INDEX('Recurring Schedule'!$C$6:$C$45,R1205)="","",INDEX('Recurring Schedule'!$C$6:$C$45,R1205)))</f>
        <v/>
      </c>
      <c r="D1205" s="73">
        <f>IF(R1205="","",IF(INDEX('Recurring Schedule'!$D$6:$D$45,R1205)="","",INDEX('Recurring Schedule'!$D$6:$D$45,R1205)))</f>
        <v/>
      </c>
      <c r="E1205" s="76">
        <f>IF(Q1205="","",INDEX(Calc!$A$2:$A$367,Q1205))</f>
        <v/>
      </c>
      <c r="F1205" s="72">
        <f>IF(OR(C1205="",E1205=""),"",E1205-Setup!$D$7)</f>
        <v/>
      </c>
      <c r="G1205" s="77">
        <f>IF(R1205="","",IF(INDEX('Recurring Schedule'!$H$6:$H$45,R1205)="","",INDEX('Recurring Schedule'!$H$6:$H$45,R1205)))</f>
        <v/>
      </c>
      <c r="H1205" s="77">
        <f>IF(R1205="","",IF(INDEX('Recurring Schedule'!$I$6:$I$45,R1205)="","",INDEX('Recurring Schedule'!$I$6:$I$45,R1205)))</f>
        <v/>
      </c>
      <c r="I1205" s="73">
        <f>IF(OR(G1205="",H1205=""),"",TRIM(IF(HOUR(H1205-G1205)&gt;0,HOUR(H1205-G1205)&amp;" hr ","")&amp;IF(MINUTE(H1205-G1205)&gt;0,MINUTE(H1205-G1205)&amp;" min","")))</f>
        <v/>
      </c>
      <c r="J1205" s="66" t="n"/>
      <c r="K1205" s="70" t="n"/>
      <c r="L1205" s="73">
        <f>IF(R1205="","",IF(INDEX('Recurring Schedule'!$J$6:$J$45,R1205)="","",INDEX('Recurring Schedule'!$J$6:$J$45,R1205)))</f>
        <v/>
      </c>
      <c r="M1205" s="73">
        <f>IF(R1205="","",IF(INDEX('Recurring Schedule'!$K$6:$K$45,R1205)="","",INDEX('Recurring Schedule'!$K$6:$K$45,R1205)))</f>
        <v/>
      </c>
      <c r="N1205" s="73">
        <f>IF(R1205="","",IF(INDEX('Recurring Schedule'!$L$6:$L$45,R1205)="","",INDEX('Recurring Schedule'!$L$6:$L$45,R1205)))</f>
        <v/>
      </c>
      <c r="O1205" s="73">
        <f>IF(C1205="","",IF(AND(OR(L1205="1-Urgent",L1205="2-High"),M1205="✓"),"DO FIRST",IF(M1205="✓","SCHEDULE",IF(OR(L1205="1-Urgent",L1205="2-High"),"DELEGATE","DELETE"))))</f>
        <v/>
      </c>
      <c r="P1205" s="65" t="n"/>
      <c r="Q1205">
        <f>IF(1200&gt;Calc!$AQ$368,"",MATCH(1199,Calc!$AQ$2:$AQ$367,1))</f>
        <v/>
      </c>
      <c r="R1205">
        <f>IF(Q1205="","",SMALL(INDEX(Calc!$B$2:$AO$367,Q1205,0),1200-INDEX(Calc!$AQ$2:$AQ$367,Q1205)))</f>
        <v/>
      </c>
    </row>
    <row r="1206">
      <c r="B1206" s="64">
        <f>IF(R1206="","",1201)</f>
        <v/>
      </c>
      <c r="C1206" s="37">
        <f>IF(R1206="","",IF(INDEX('Recurring Schedule'!$C$6:$C$45,R1206)="","",INDEX('Recurring Schedule'!$C$6:$C$45,R1206)))</f>
        <v/>
      </c>
      <c r="D1206" s="36">
        <f>IF(R1206="","",IF(INDEX('Recurring Schedule'!$D$6:$D$45,R1206)="","",INDEX('Recurring Schedule'!$D$6:$D$45,R1206)))</f>
        <v/>
      </c>
      <c r="E1206" s="38">
        <f>IF(Q1206="","",INDEX(Calc!$A$2:$A$367,Q1206))</f>
        <v/>
      </c>
      <c r="F1206" s="68">
        <f>IF(OR(C1206="",E1206=""),"",E1206-Setup!$D$7)</f>
        <v/>
      </c>
      <c r="G1206" s="74">
        <f>IF(R1206="","",IF(INDEX('Recurring Schedule'!$H$6:$H$45,R1206)="","",INDEX('Recurring Schedule'!$H$6:$H$45,R1206)))</f>
        <v/>
      </c>
      <c r="H1206" s="74">
        <f>IF(R1206="","",IF(INDEX('Recurring Schedule'!$I$6:$I$45,R1206)="","",INDEX('Recurring Schedule'!$I$6:$I$45,R1206)))</f>
        <v/>
      </c>
      <c r="I1206" s="36">
        <f>IF(OR(G1206="",H1206=""),"",TRIM(IF(HOUR(H1206-G1206)&gt;0,HOUR(H1206-G1206)&amp;" hr ","")&amp;IF(MINUTE(H1206-G1206)&gt;0,MINUTE(H1206-G1206)&amp;" min","")))</f>
        <v/>
      </c>
      <c r="J1206" s="66" t="n"/>
      <c r="K1206" s="70" t="n"/>
      <c r="L1206" s="36">
        <f>IF(R1206="","",IF(INDEX('Recurring Schedule'!$J$6:$J$45,R1206)="","",INDEX('Recurring Schedule'!$J$6:$J$45,R1206)))</f>
        <v/>
      </c>
      <c r="M1206" s="36">
        <f>IF(R1206="","",IF(INDEX('Recurring Schedule'!$K$6:$K$45,R1206)="","",INDEX('Recurring Schedule'!$K$6:$K$45,R1206)))</f>
        <v/>
      </c>
      <c r="N1206" s="36">
        <f>IF(R1206="","",IF(INDEX('Recurring Schedule'!$L$6:$L$45,R1206)="","",INDEX('Recurring Schedule'!$L$6:$L$45,R1206)))</f>
        <v/>
      </c>
      <c r="O1206" s="36">
        <f>IF(C1206="","",IF(AND(OR(L1206="1-Urgent",L1206="2-High"),M1206="✓"),"DO FIRST",IF(M1206="✓","SCHEDULE",IF(OR(L1206="1-Urgent",L1206="2-High"),"DELEGATE","DELETE"))))</f>
        <v/>
      </c>
      <c r="P1206" s="65" t="n"/>
      <c r="Q1206">
        <f>IF(1201&gt;Calc!$AQ$368,"",MATCH(1200,Calc!$AQ$2:$AQ$367,1))</f>
        <v/>
      </c>
      <c r="R1206">
        <f>IF(Q1206="","",SMALL(INDEX(Calc!$B$2:$AO$367,Q1206,0),1201-INDEX(Calc!$AQ$2:$AQ$367,Q1206)))</f>
        <v/>
      </c>
    </row>
    <row r="1207">
      <c r="B1207" s="71">
        <f>IF(R1207="","",1202)</f>
        <v/>
      </c>
      <c r="C1207" s="75">
        <f>IF(R1207="","",IF(INDEX('Recurring Schedule'!$C$6:$C$45,R1207)="","",INDEX('Recurring Schedule'!$C$6:$C$45,R1207)))</f>
        <v/>
      </c>
      <c r="D1207" s="73">
        <f>IF(R1207="","",IF(INDEX('Recurring Schedule'!$D$6:$D$45,R1207)="","",INDEX('Recurring Schedule'!$D$6:$D$45,R1207)))</f>
        <v/>
      </c>
      <c r="E1207" s="76">
        <f>IF(Q1207="","",INDEX(Calc!$A$2:$A$367,Q1207))</f>
        <v/>
      </c>
      <c r="F1207" s="72">
        <f>IF(OR(C1207="",E1207=""),"",E1207-Setup!$D$7)</f>
        <v/>
      </c>
      <c r="G1207" s="77">
        <f>IF(R1207="","",IF(INDEX('Recurring Schedule'!$H$6:$H$45,R1207)="","",INDEX('Recurring Schedule'!$H$6:$H$45,R1207)))</f>
        <v/>
      </c>
      <c r="H1207" s="77">
        <f>IF(R1207="","",IF(INDEX('Recurring Schedule'!$I$6:$I$45,R1207)="","",INDEX('Recurring Schedule'!$I$6:$I$45,R1207)))</f>
        <v/>
      </c>
      <c r="I1207" s="73">
        <f>IF(OR(G1207="",H1207=""),"",TRIM(IF(HOUR(H1207-G1207)&gt;0,HOUR(H1207-G1207)&amp;" hr ","")&amp;IF(MINUTE(H1207-G1207)&gt;0,MINUTE(H1207-G1207)&amp;" min","")))</f>
        <v/>
      </c>
      <c r="J1207" s="66" t="n"/>
      <c r="K1207" s="70" t="n"/>
      <c r="L1207" s="73">
        <f>IF(R1207="","",IF(INDEX('Recurring Schedule'!$J$6:$J$45,R1207)="","",INDEX('Recurring Schedule'!$J$6:$J$45,R1207)))</f>
        <v/>
      </c>
      <c r="M1207" s="73">
        <f>IF(R1207="","",IF(INDEX('Recurring Schedule'!$K$6:$K$45,R1207)="","",INDEX('Recurring Schedule'!$K$6:$K$45,R1207)))</f>
        <v/>
      </c>
      <c r="N1207" s="73">
        <f>IF(R1207="","",IF(INDEX('Recurring Schedule'!$L$6:$L$45,R1207)="","",INDEX('Recurring Schedule'!$L$6:$L$45,R1207)))</f>
        <v/>
      </c>
      <c r="O1207" s="73">
        <f>IF(C1207="","",IF(AND(OR(L1207="1-Urgent",L1207="2-High"),M1207="✓"),"DO FIRST",IF(M1207="✓","SCHEDULE",IF(OR(L1207="1-Urgent",L1207="2-High"),"DELEGATE","DELETE"))))</f>
        <v/>
      </c>
      <c r="P1207" s="65" t="n"/>
      <c r="Q1207">
        <f>IF(1202&gt;Calc!$AQ$368,"",MATCH(1201,Calc!$AQ$2:$AQ$367,1))</f>
        <v/>
      </c>
      <c r="R1207">
        <f>IF(Q1207="","",SMALL(INDEX(Calc!$B$2:$AO$367,Q1207,0),1202-INDEX(Calc!$AQ$2:$AQ$367,Q1207)))</f>
        <v/>
      </c>
    </row>
    <row r="1208">
      <c r="B1208" s="64">
        <f>IF(R1208="","",1203)</f>
        <v/>
      </c>
      <c r="C1208" s="37">
        <f>IF(R1208="","",IF(INDEX('Recurring Schedule'!$C$6:$C$45,R1208)="","",INDEX('Recurring Schedule'!$C$6:$C$45,R1208)))</f>
        <v/>
      </c>
      <c r="D1208" s="36">
        <f>IF(R1208="","",IF(INDEX('Recurring Schedule'!$D$6:$D$45,R1208)="","",INDEX('Recurring Schedule'!$D$6:$D$45,R1208)))</f>
        <v/>
      </c>
      <c r="E1208" s="38">
        <f>IF(Q1208="","",INDEX(Calc!$A$2:$A$367,Q1208))</f>
        <v/>
      </c>
      <c r="F1208" s="68">
        <f>IF(OR(C1208="",E1208=""),"",E1208-Setup!$D$7)</f>
        <v/>
      </c>
      <c r="G1208" s="74">
        <f>IF(R1208="","",IF(INDEX('Recurring Schedule'!$H$6:$H$45,R1208)="","",INDEX('Recurring Schedule'!$H$6:$H$45,R1208)))</f>
        <v/>
      </c>
      <c r="H1208" s="74">
        <f>IF(R1208="","",IF(INDEX('Recurring Schedule'!$I$6:$I$45,R1208)="","",INDEX('Recurring Schedule'!$I$6:$I$45,R1208)))</f>
        <v/>
      </c>
      <c r="I1208" s="36">
        <f>IF(OR(G1208="",H1208=""),"",TRIM(IF(HOUR(H1208-G1208)&gt;0,HOUR(H1208-G1208)&amp;" hr ","")&amp;IF(MINUTE(H1208-G1208)&gt;0,MINUTE(H1208-G1208)&amp;" min","")))</f>
        <v/>
      </c>
      <c r="J1208" s="66" t="n"/>
      <c r="K1208" s="70" t="n"/>
      <c r="L1208" s="36">
        <f>IF(R1208="","",IF(INDEX('Recurring Schedule'!$J$6:$J$45,R1208)="","",INDEX('Recurring Schedule'!$J$6:$J$45,R1208)))</f>
        <v/>
      </c>
      <c r="M1208" s="36">
        <f>IF(R1208="","",IF(INDEX('Recurring Schedule'!$K$6:$K$45,R1208)="","",INDEX('Recurring Schedule'!$K$6:$K$45,R1208)))</f>
        <v/>
      </c>
      <c r="N1208" s="36">
        <f>IF(R1208="","",IF(INDEX('Recurring Schedule'!$L$6:$L$45,R1208)="","",INDEX('Recurring Schedule'!$L$6:$L$45,R1208)))</f>
        <v/>
      </c>
      <c r="O1208" s="36">
        <f>IF(C1208="","",IF(AND(OR(L1208="1-Urgent",L1208="2-High"),M1208="✓"),"DO FIRST",IF(M1208="✓","SCHEDULE",IF(OR(L1208="1-Urgent",L1208="2-High"),"DELEGATE","DELETE"))))</f>
        <v/>
      </c>
      <c r="P1208" s="65" t="n"/>
      <c r="Q1208">
        <f>IF(1203&gt;Calc!$AQ$368,"",MATCH(1202,Calc!$AQ$2:$AQ$367,1))</f>
        <v/>
      </c>
      <c r="R1208">
        <f>IF(Q1208="","",SMALL(INDEX(Calc!$B$2:$AO$367,Q1208,0),1203-INDEX(Calc!$AQ$2:$AQ$367,Q1208)))</f>
        <v/>
      </c>
    </row>
    <row r="1209">
      <c r="B1209" s="71">
        <f>IF(R1209="","",1204)</f>
        <v/>
      </c>
      <c r="C1209" s="75">
        <f>IF(R1209="","",IF(INDEX('Recurring Schedule'!$C$6:$C$45,R1209)="","",INDEX('Recurring Schedule'!$C$6:$C$45,R1209)))</f>
        <v/>
      </c>
      <c r="D1209" s="73">
        <f>IF(R1209="","",IF(INDEX('Recurring Schedule'!$D$6:$D$45,R1209)="","",INDEX('Recurring Schedule'!$D$6:$D$45,R1209)))</f>
        <v/>
      </c>
      <c r="E1209" s="76">
        <f>IF(Q1209="","",INDEX(Calc!$A$2:$A$367,Q1209))</f>
        <v/>
      </c>
      <c r="F1209" s="72">
        <f>IF(OR(C1209="",E1209=""),"",E1209-Setup!$D$7)</f>
        <v/>
      </c>
      <c r="G1209" s="77">
        <f>IF(R1209="","",IF(INDEX('Recurring Schedule'!$H$6:$H$45,R1209)="","",INDEX('Recurring Schedule'!$H$6:$H$45,R1209)))</f>
        <v/>
      </c>
      <c r="H1209" s="77">
        <f>IF(R1209="","",IF(INDEX('Recurring Schedule'!$I$6:$I$45,R1209)="","",INDEX('Recurring Schedule'!$I$6:$I$45,R1209)))</f>
        <v/>
      </c>
      <c r="I1209" s="73">
        <f>IF(OR(G1209="",H1209=""),"",TRIM(IF(HOUR(H1209-G1209)&gt;0,HOUR(H1209-G1209)&amp;" hr ","")&amp;IF(MINUTE(H1209-G1209)&gt;0,MINUTE(H1209-G1209)&amp;" min","")))</f>
        <v/>
      </c>
      <c r="J1209" s="66" t="n"/>
      <c r="K1209" s="70" t="n"/>
      <c r="L1209" s="73">
        <f>IF(R1209="","",IF(INDEX('Recurring Schedule'!$J$6:$J$45,R1209)="","",INDEX('Recurring Schedule'!$J$6:$J$45,R1209)))</f>
        <v/>
      </c>
      <c r="M1209" s="73">
        <f>IF(R1209="","",IF(INDEX('Recurring Schedule'!$K$6:$K$45,R1209)="","",INDEX('Recurring Schedule'!$K$6:$K$45,R1209)))</f>
        <v/>
      </c>
      <c r="N1209" s="73">
        <f>IF(R1209="","",IF(INDEX('Recurring Schedule'!$L$6:$L$45,R1209)="","",INDEX('Recurring Schedule'!$L$6:$L$45,R1209)))</f>
        <v/>
      </c>
      <c r="O1209" s="73">
        <f>IF(C1209="","",IF(AND(OR(L1209="1-Urgent",L1209="2-High"),M1209="✓"),"DO FIRST",IF(M1209="✓","SCHEDULE",IF(OR(L1209="1-Urgent",L1209="2-High"),"DELEGATE","DELETE"))))</f>
        <v/>
      </c>
      <c r="P1209" s="65" t="n"/>
      <c r="Q1209">
        <f>IF(1204&gt;Calc!$AQ$368,"",MATCH(1203,Calc!$AQ$2:$AQ$367,1))</f>
        <v/>
      </c>
      <c r="R1209">
        <f>IF(Q1209="","",SMALL(INDEX(Calc!$B$2:$AO$367,Q1209,0),1204-INDEX(Calc!$AQ$2:$AQ$367,Q1209)))</f>
        <v/>
      </c>
    </row>
    <row r="1210">
      <c r="B1210" s="64">
        <f>IF(R1210="","",1205)</f>
        <v/>
      </c>
      <c r="C1210" s="37">
        <f>IF(R1210="","",IF(INDEX('Recurring Schedule'!$C$6:$C$45,R1210)="","",INDEX('Recurring Schedule'!$C$6:$C$45,R1210)))</f>
        <v/>
      </c>
      <c r="D1210" s="36">
        <f>IF(R1210="","",IF(INDEX('Recurring Schedule'!$D$6:$D$45,R1210)="","",INDEX('Recurring Schedule'!$D$6:$D$45,R1210)))</f>
        <v/>
      </c>
      <c r="E1210" s="38">
        <f>IF(Q1210="","",INDEX(Calc!$A$2:$A$367,Q1210))</f>
        <v/>
      </c>
      <c r="F1210" s="68">
        <f>IF(OR(C1210="",E1210=""),"",E1210-Setup!$D$7)</f>
        <v/>
      </c>
      <c r="G1210" s="74">
        <f>IF(R1210="","",IF(INDEX('Recurring Schedule'!$H$6:$H$45,R1210)="","",INDEX('Recurring Schedule'!$H$6:$H$45,R1210)))</f>
        <v/>
      </c>
      <c r="H1210" s="74">
        <f>IF(R1210="","",IF(INDEX('Recurring Schedule'!$I$6:$I$45,R1210)="","",INDEX('Recurring Schedule'!$I$6:$I$45,R1210)))</f>
        <v/>
      </c>
      <c r="I1210" s="36">
        <f>IF(OR(G1210="",H1210=""),"",TRIM(IF(HOUR(H1210-G1210)&gt;0,HOUR(H1210-G1210)&amp;" hr ","")&amp;IF(MINUTE(H1210-G1210)&gt;0,MINUTE(H1210-G1210)&amp;" min","")))</f>
        <v/>
      </c>
      <c r="J1210" s="66" t="n"/>
      <c r="K1210" s="70" t="n"/>
      <c r="L1210" s="36">
        <f>IF(R1210="","",IF(INDEX('Recurring Schedule'!$J$6:$J$45,R1210)="","",INDEX('Recurring Schedule'!$J$6:$J$45,R1210)))</f>
        <v/>
      </c>
      <c r="M1210" s="36">
        <f>IF(R1210="","",IF(INDEX('Recurring Schedule'!$K$6:$K$45,R1210)="","",INDEX('Recurring Schedule'!$K$6:$K$45,R1210)))</f>
        <v/>
      </c>
      <c r="N1210" s="36">
        <f>IF(R1210="","",IF(INDEX('Recurring Schedule'!$L$6:$L$45,R1210)="","",INDEX('Recurring Schedule'!$L$6:$L$45,R1210)))</f>
        <v/>
      </c>
      <c r="O1210" s="36">
        <f>IF(C1210="","",IF(AND(OR(L1210="1-Urgent",L1210="2-High"),M1210="✓"),"DO FIRST",IF(M1210="✓","SCHEDULE",IF(OR(L1210="1-Urgent",L1210="2-High"),"DELEGATE","DELETE"))))</f>
        <v/>
      </c>
      <c r="P1210" s="65" t="n"/>
      <c r="Q1210">
        <f>IF(1205&gt;Calc!$AQ$368,"",MATCH(1204,Calc!$AQ$2:$AQ$367,1))</f>
        <v/>
      </c>
      <c r="R1210">
        <f>IF(Q1210="","",SMALL(INDEX(Calc!$B$2:$AO$367,Q1210,0),1205-INDEX(Calc!$AQ$2:$AQ$367,Q1210)))</f>
        <v/>
      </c>
    </row>
    <row r="1211">
      <c r="B1211" s="71">
        <f>IF(R1211="","",1206)</f>
        <v/>
      </c>
      <c r="C1211" s="75">
        <f>IF(R1211="","",IF(INDEX('Recurring Schedule'!$C$6:$C$45,R1211)="","",INDEX('Recurring Schedule'!$C$6:$C$45,R1211)))</f>
        <v/>
      </c>
      <c r="D1211" s="73">
        <f>IF(R1211="","",IF(INDEX('Recurring Schedule'!$D$6:$D$45,R1211)="","",INDEX('Recurring Schedule'!$D$6:$D$45,R1211)))</f>
        <v/>
      </c>
      <c r="E1211" s="76">
        <f>IF(Q1211="","",INDEX(Calc!$A$2:$A$367,Q1211))</f>
        <v/>
      </c>
      <c r="F1211" s="72">
        <f>IF(OR(C1211="",E1211=""),"",E1211-Setup!$D$7)</f>
        <v/>
      </c>
      <c r="G1211" s="77">
        <f>IF(R1211="","",IF(INDEX('Recurring Schedule'!$H$6:$H$45,R1211)="","",INDEX('Recurring Schedule'!$H$6:$H$45,R1211)))</f>
        <v/>
      </c>
      <c r="H1211" s="77">
        <f>IF(R1211="","",IF(INDEX('Recurring Schedule'!$I$6:$I$45,R1211)="","",INDEX('Recurring Schedule'!$I$6:$I$45,R1211)))</f>
        <v/>
      </c>
      <c r="I1211" s="73">
        <f>IF(OR(G1211="",H1211=""),"",TRIM(IF(HOUR(H1211-G1211)&gt;0,HOUR(H1211-G1211)&amp;" hr ","")&amp;IF(MINUTE(H1211-G1211)&gt;0,MINUTE(H1211-G1211)&amp;" min","")))</f>
        <v/>
      </c>
      <c r="J1211" s="66" t="n"/>
      <c r="K1211" s="70" t="n"/>
      <c r="L1211" s="73">
        <f>IF(R1211="","",IF(INDEX('Recurring Schedule'!$J$6:$J$45,R1211)="","",INDEX('Recurring Schedule'!$J$6:$J$45,R1211)))</f>
        <v/>
      </c>
      <c r="M1211" s="73">
        <f>IF(R1211="","",IF(INDEX('Recurring Schedule'!$K$6:$K$45,R1211)="","",INDEX('Recurring Schedule'!$K$6:$K$45,R1211)))</f>
        <v/>
      </c>
      <c r="N1211" s="73">
        <f>IF(R1211="","",IF(INDEX('Recurring Schedule'!$L$6:$L$45,R1211)="","",INDEX('Recurring Schedule'!$L$6:$L$45,R1211)))</f>
        <v/>
      </c>
      <c r="O1211" s="73">
        <f>IF(C1211="","",IF(AND(OR(L1211="1-Urgent",L1211="2-High"),M1211="✓"),"DO FIRST",IF(M1211="✓","SCHEDULE",IF(OR(L1211="1-Urgent",L1211="2-High"),"DELEGATE","DELETE"))))</f>
        <v/>
      </c>
      <c r="P1211" s="65" t="n"/>
      <c r="Q1211">
        <f>IF(1206&gt;Calc!$AQ$368,"",MATCH(1205,Calc!$AQ$2:$AQ$367,1))</f>
        <v/>
      </c>
      <c r="R1211">
        <f>IF(Q1211="","",SMALL(INDEX(Calc!$B$2:$AO$367,Q1211,0),1206-INDEX(Calc!$AQ$2:$AQ$367,Q1211)))</f>
        <v/>
      </c>
    </row>
    <row r="1212">
      <c r="B1212" s="64">
        <f>IF(R1212="","",1207)</f>
        <v/>
      </c>
      <c r="C1212" s="37">
        <f>IF(R1212="","",IF(INDEX('Recurring Schedule'!$C$6:$C$45,R1212)="","",INDEX('Recurring Schedule'!$C$6:$C$45,R1212)))</f>
        <v/>
      </c>
      <c r="D1212" s="36">
        <f>IF(R1212="","",IF(INDEX('Recurring Schedule'!$D$6:$D$45,R1212)="","",INDEX('Recurring Schedule'!$D$6:$D$45,R1212)))</f>
        <v/>
      </c>
      <c r="E1212" s="38">
        <f>IF(Q1212="","",INDEX(Calc!$A$2:$A$367,Q1212))</f>
        <v/>
      </c>
      <c r="F1212" s="68">
        <f>IF(OR(C1212="",E1212=""),"",E1212-Setup!$D$7)</f>
        <v/>
      </c>
      <c r="G1212" s="74">
        <f>IF(R1212="","",IF(INDEX('Recurring Schedule'!$H$6:$H$45,R1212)="","",INDEX('Recurring Schedule'!$H$6:$H$45,R1212)))</f>
        <v/>
      </c>
      <c r="H1212" s="74">
        <f>IF(R1212="","",IF(INDEX('Recurring Schedule'!$I$6:$I$45,R1212)="","",INDEX('Recurring Schedule'!$I$6:$I$45,R1212)))</f>
        <v/>
      </c>
      <c r="I1212" s="36">
        <f>IF(OR(G1212="",H1212=""),"",TRIM(IF(HOUR(H1212-G1212)&gt;0,HOUR(H1212-G1212)&amp;" hr ","")&amp;IF(MINUTE(H1212-G1212)&gt;0,MINUTE(H1212-G1212)&amp;" min","")))</f>
        <v/>
      </c>
      <c r="J1212" s="66" t="n"/>
      <c r="K1212" s="70" t="n"/>
      <c r="L1212" s="36">
        <f>IF(R1212="","",IF(INDEX('Recurring Schedule'!$J$6:$J$45,R1212)="","",INDEX('Recurring Schedule'!$J$6:$J$45,R1212)))</f>
        <v/>
      </c>
      <c r="M1212" s="36">
        <f>IF(R1212="","",IF(INDEX('Recurring Schedule'!$K$6:$K$45,R1212)="","",INDEX('Recurring Schedule'!$K$6:$K$45,R1212)))</f>
        <v/>
      </c>
      <c r="N1212" s="36">
        <f>IF(R1212="","",IF(INDEX('Recurring Schedule'!$L$6:$L$45,R1212)="","",INDEX('Recurring Schedule'!$L$6:$L$45,R1212)))</f>
        <v/>
      </c>
      <c r="O1212" s="36">
        <f>IF(C1212="","",IF(AND(OR(L1212="1-Urgent",L1212="2-High"),M1212="✓"),"DO FIRST",IF(M1212="✓","SCHEDULE",IF(OR(L1212="1-Urgent",L1212="2-High"),"DELEGATE","DELETE"))))</f>
        <v/>
      </c>
      <c r="P1212" s="65" t="n"/>
      <c r="Q1212">
        <f>IF(1207&gt;Calc!$AQ$368,"",MATCH(1206,Calc!$AQ$2:$AQ$367,1))</f>
        <v/>
      </c>
      <c r="R1212">
        <f>IF(Q1212="","",SMALL(INDEX(Calc!$B$2:$AO$367,Q1212,0),1207-INDEX(Calc!$AQ$2:$AQ$367,Q1212)))</f>
        <v/>
      </c>
    </row>
    <row r="1213">
      <c r="B1213" s="71">
        <f>IF(R1213="","",1208)</f>
        <v/>
      </c>
      <c r="C1213" s="75">
        <f>IF(R1213="","",IF(INDEX('Recurring Schedule'!$C$6:$C$45,R1213)="","",INDEX('Recurring Schedule'!$C$6:$C$45,R1213)))</f>
        <v/>
      </c>
      <c r="D1213" s="73">
        <f>IF(R1213="","",IF(INDEX('Recurring Schedule'!$D$6:$D$45,R1213)="","",INDEX('Recurring Schedule'!$D$6:$D$45,R1213)))</f>
        <v/>
      </c>
      <c r="E1213" s="76">
        <f>IF(Q1213="","",INDEX(Calc!$A$2:$A$367,Q1213))</f>
        <v/>
      </c>
      <c r="F1213" s="72">
        <f>IF(OR(C1213="",E1213=""),"",E1213-Setup!$D$7)</f>
        <v/>
      </c>
      <c r="G1213" s="77">
        <f>IF(R1213="","",IF(INDEX('Recurring Schedule'!$H$6:$H$45,R1213)="","",INDEX('Recurring Schedule'!$H$6:$H$45,R1213)))</f>
        <v/>
      </c>
      <c r="H1213" s="77">
        <f>IF(R1213="","",IF(INDEX('Recurring Schedule'!$I$6:$I$45,R1213)="","",INDEX('Recurring Schedule'!$I$6:$I$45,R1213)))</f>
        <v/>
      </c>
      <c r="I1213" s="73">
        <f>IF(OR(G1213="",H1213=""),"",TRIM(IF(HOUR(H1213-G1213)&gt;0,HOUR(H1213-G1213)&amp;" hr ","")&amp;IF(MINUTE(H1213-G1213)&gt;0,MINUTE(H1213-G1213)&amp;" min","")))</f>
        <v/>
      </c>
      <c r="J1213" s="66" t="n"/>
      <c r="K1213" s="70" t="n"/>
      <c r="L1213" s="73">
        <f>IF(R1213="","",IF(INDEX('Recurring Schedule'!$J$6:$J$45,R1213)="","",INDEX('Recurring Schedule'!$J$6:$J$45,R1213)))</f>
        <v/>
      </c>
      <c r="M1213" s="73">
        <f>IF(R1213="","",IF(INDEX('Recurring Schedule'!$K$6:$K$45,R1213)="","",INDEX('Recurring Schedule'!$K$6:$K$45,R1213)))</f>
        <v/>
      </c>
      <c r="N1213" s="73">
        <f>IF(R1213="","",IF(INDEX('Recurring Schedule'!$L$6:$L$45,R1213)="","",INDEX('Recurring Schedule'!$L$6:$L$45,R1213)))</f>
        <v/>
      </c>
      <c r="O1213" s="73">
        <f>IF(C1213="","",IF(AND(OR(L1213="1-Urgent",L1213="2-High"),M1213="✓"),"DO FIRST",IF(M1213="✓","SCHEDULE",IF(OR(L1213="1-Urgent",L1213="2-High"),"DELEGATE","DELETE"))))</f>
        <v/>
      </c>
      <c r="P1213" s="65" t="n"/>
      <c r="Q1213">
        <f>IF(1208&gt;Calc!$AQ$368,"",MATCH(1207,Calc!$AQ$2:$AQ$367,1))</f>
        <v/>
      </c>
      <c r="R1213">
        <f>IF(Q1213="","",SMALL(INDEX(Calc!$B$2:$AO$367,Q1213,0),1208-INDEX(Calc!$AQ$2:$AQ$367,Q1213)))</f>
        <v/>
      </c>
    </row>
    <row r="1214">
      <c r="B1214" s="64">
        <f>IF(R1214="","",1209)</f>
        <v/>
      </c>
      <c r="C1214" s="37">
        <f>IF(R1214="","",IF(INDEX('Recurring Schedule'!$C$6:$C$45,R1214)="","",INDEX('Recurring Schedule'!$C$6:$C$45,R1214)))</f>
        <v/>
      </c>
      <c r="D1214" s="36">
        <f>IF(R1214="","",IF(INDEX('Recurring Schedule'!$D$6:$D$45,R1214)="","",INDEX('Recurring Schedule'!$D$6:$D$45,R1214)))</f>
        <v/>
      </c>
      <c r="E1214" s="38">
        <f>IF(Q1214="","",INDEX(Calc!$A$2:$A$367,Q1214))</f>
        <v/>
      </c>
      <c r="F1214" s="68">
        <f>IF(OR(C1214="",E1214=""),"",E1214-Setup!$D$7)</f>
        <v/>
      </c>
      <c r="G1214" s="74">
        <f>IF(R1214="","",IF(INDEX('Recurring Schedule'!$H$6:$H$45,R1214)="","",INDEX('Recurring Schedule'!$H$6:$H$45,R1214)))</f>
        <v/>
      </c>
      <c r="H1214" s="74">
        <f>IF(R1214="","",IF(INDEX('Recurring Schedule'!$I$6:$I$45,R1214)="","",INDEX('Recurring Schedule'!$I$6:$I$45,R1214)))</f>
        <v/>
      </c>
      <c r="I1214" s="36">
        <f>IF(OR(G1214="",H1214=""),"",TRIM(IF(HOUR(H1214-G1214)&gt;0,HOUR(H1214-G1214)&amp;" hr ","")&amp;IF(MINUTE(H1214-G1214)&gt;0,MINUTE(H1214-G1214)&amp;" min","")))</f>
        <v/>
      </c>
      <c r="J1214" s="66" t="n"/>
      <c r="K1214" s="70" t="n"/>
      <c r="L1214" s="36">
        <f>IF(R1214="","",IF(INDEX('Recurring Schedule'!$J$6:$J$45,R1214)="","",INDEX('Recurring Schedule'!$J$6:$J$45,R1214)))</f>
        <v/>
      </c>
      <c r="M1214" s="36">
        <f>IF(R1214="","",IF(INDEX('Recurring Schedule'!$K$6:$K$45,R1214)="","",INDEX('Recurring Schedule'!$K$6:$K$45,R1214)))</f>
        <v/>
      </c>
      <c r="N1214" s="36">
        <f>IF(R1214="","",IF(INDEX('Recurring Schedule'!$L$6:$L$45,R1214)="","",INDEX('Recurring Schedule'!$L$6:$L$45,R1214)))</f>
        <v/>
      </c>
      <c r="O1214" s="36">
        <f>IF(C1214="","",IF(AND(OR(L1214="1-Urgent",L1214="2-High"),M1214="✓"),"DO FIRST",IF(M1214="✓","SCHEDULE",IF(OR(L1214="1-Urgent",L1214="2-High"),"DELEGATE","DELETE"))))</f>
        <v/>
      </c>
      <c r="P1214" s="65" t="n"/>
      <c r="Q1214">
        <f>IF(1209&gt;Calc!$AQ$368,"",MATCH(1208,Calc!$AQ$2:$AQ$367,1))</f>
        <v/>
      </c>
      <c r="R1214">
        <f>IF(Q1214="","",SMALL(INDEX(Calc!$B$2:$AO$367,Q1214,0),1209-INDEX(Calc!$AQ$2:$AQ$367,Q1214)))</f>
        <v/>
      </c>
    </row>
    <row r="1215">
      <c r="B1215" s="71">
        <f>IF(R1215="","",1210)</f>
        <v/>
      </c>
      <c r="C1215" s="75">
        <f>IF(R1215="","",IF(INDEX('Recurring Schedule'!$C$6:$C$45,R1215)="","",INDEX('Recurring Schedule'!$C$6:$C$45,R1215)))</f>
        <v/>
      </c>
      <c r="D1215" s="73">
        <f>IF(R1215="","",IF(INDEX('Recurring Schedule'!$D$6:$D$45,R1215)="","",INDEX('Recurring Schedule'!$D$6:$D$45,R1215)))</f>
        <v/>
      </c>
      <c r="E1215" s="76">
        <f>IF(Q1215="","",INDEX(Calc!$A$2:$A$367,Q1215))</f>
        <v/>
      </c>
      <c r="F1215" s="72">
        <f>IF(OR(C1215="",E1215=""),"",E1215-Setup!$D$7)</f>
        <v/>
      </c>
      <c r="G1215" s="77">
        <f>IF(R1215="","",IF(INDEX('Recurring Schedule'!$H$6:$H$45,R1215)="","",INDEX('Recurring Schedule'!$H$6:$H$45,R1215)))</f>
        <v/>
      </c>
      <c r="H1215" s="77">
        <f>IF(R1215="","",IF(INDEX('Recurring Schedule'!$I$6:$I$45,R1215)="","",INDEX('Recurring Schedule'!$I$6:$I$45,R1215)))</f>
        <v/>
      </c>
      <c r="I1215" s="73">
        <f>IF(OR(G1215="",H1215=""),"",TRIM(IF(HOUR(H1215-G1215)&gt;0,HOUR(H1215-G1215)&amp;" hr ","")&amp;IF(MINUTE(H1215-G1215)&gt;0,MINUTE(H1215-G1215)&amp;" min","")))</f>
        <v/>
      </c>
      <c r="J1215" s="66" t="n"/>
      <c r="K1215" s="70" t="n"/>
      <c r="L1215" s="73">
        <f>IF(R1215="","",IF(INDEX('Recurring Schedule'!$J$6:$J$45,R1215)="","",INDEX('Recurring Schedule'!$J$6:$J$45,R1215)))</f>
        <v/>
      </c>
      <c r="M1215" s="73">
        <f>IF(R1215="","",IF(INDEX('Recurring Schedule'!$K$6:$K$45,R1215)="","",INDEX('Recurring Schedule'!$K$6:$K$45,R1215)))</f>
        <v/>
      </c>
      <c r="N1215" s="73">
        <f>IF(R1215="","",IF(INDEX('Recurring Schedule'!$L$6:$L$45,R1215)="","",INDEX('Recurring Schedule'!$L$6:$L$45,R1215)))</f>
        <v/>
      </c>
      <c r="O1215" s="73">
        <f>IF(C1215="","",IF(AND(OR(L1215="1-Urgent",L1215="2-High"),M1215="✓"),"DO FIRST",IF(M1215="✓","SCHEDULE",IF(OR(L1215="1-Urgent",L1215="2-High"),"DELEGATE","DELETE"))))</f>
        <v/>
      </c>
      <c r="P1215" s="65" t="n"/>
      <c r="Q1215">
        <f>IF(1210&gt;Calc!$AQ$368,"",MATCH(1209,Calc!$AQ$2:$AQ$367,1))</f>
        <v/>
      </c>
      <c r="R1215">
        <f>IF(Q1215="","",SMALL(INDEX(Calc!$B$2:$AO$367,Q1215,0),1210-INDEX(Calc!$AQ$2:$AQ$367,Q1215)))</f>
        <v/>
      </c>
    </row>
    <row r="1216">
      <c r="B1216" s="64">
        <f>IF(R1216="","",1211)</f>
        <v/>
      </c>
      <c r="C1216" s="37">
        <f>IF(R1216="","",IF(INDEX('Recurring Schedule'!$C$6:$C$45,R1216)="","",INDEX('Recurring Schedule'!$C$6:$C$45,R1216)))</f>
        <v/>
      </c>
      <c r="D1216" s="36">
        <f>IF(R1216="","",IF(INDEX('Recurring Schedule'!$D$6:$D$45,R1216)="","",INDEX('Recurring Schedule'!$D$6:$D$45,R1216)))</f>
        <v/>
      </c>
      <c r="E1216" s="38">
        <f>IF(Q1216="","",INDEX(Calc!$A$2:$A$367,Q1216))</f>
        <v/>
      </c>
      <c r="F1216" s="68">
        <f>IF(OR(C1216="",E1216=""),"",E1216-Setup!$D$7)</f>
        <v/>
      </c>
      <c r="G1216" s="74">
        <f>IF(R1216="","",IF(INDEX('Recurring Schedule'!$H$6:$H$45,R1216)="","",INDEX('Recurring Schedule'!$H$6:$H$45,R1216)))</f>
        <v/>
      </c>
      <c r="H1216" s="74">
        <f>IF(R1216="","",IF(INDEX('Recurring Schedule'!$I$6:$I$45,R1216)="","",INDEX('Recurring Schedule'!$I$6:$I$45,R1216)))</f>
        <v/>
      </c>
      <c r="I1216" s="36">
        <f>IF(OR(G1216="",H1216=""),"",TRIM(IF(HOUR(H1216-G1216)&gt;0,HOUR(H1216-G1216)&amp;" hr ","")&amp;IF(MINUTE(H1216-G1216)&gt;0,MINUTE(H1216-G1216)&amp;" min","")))</f>
        <v/>
      </c>
      <c r="J1216" s="66" t="n"/>
      <c r="K1216" s="70" t="n"/>
      <c r="L1216" s="36">
        <f>IF(R1216="","",IF(INDEX('Recurring Schedule'!$J$6:$J$45,R1216)="","",INDEX('Recurring Schedule'!$J$6:$J$45,R1216)))</f>
        <v/>
      </c>
      <c r="M1216" s="36">
        <f>IF(R1216="","",IF(INDEX('Recurring Schedule'!$K$6:$K$45,R1216)="","",INDEX('Recurring Schedule'!$K$6:$K$45,R1216)))</f>
        <v/>
      </c>
      <c r="N1216" s="36">
        <f>IF(R1216="","",IF(INDEX('Recurring Schedule'!$L$6:$L$45,R1216)="","",INDEX('Recurring Schedule'!$L$6:$L$45,R1216)))</f>
        <v/>
      </c>
      <c r="O1216" s="36">
        <f>IF(C1216="","",IF(AND(OR(L1216="1-Urgent",L1216="2-High"),M1216="✓"),"DO FIRST",IF(M1216="✓","SCHEDULE",IF(OR(L1216="1-Urgent",L1216="2-High"),"DELEGATE","DELETE"))))</f>
        <v/>
      </c>
      <c r="P1216" s="65" t="n"/>
      <c r="Q1216">
        <f>IF(1211&gt;Calc!$AQ$368,"",MATCH(1210,Calc!$AQ$2:$AQ$367,1))</f>
        <v/>
      </c>
      <c r="R1216">
        <f>IF(Q1216="","",SMALL(INDEX(Calc!$B$2:$AO$367,Q1216,0),1211-INDEX(Calc!$AQ$2:$AQ$367,Q1216)))</f>
        <v/>
      </c>
    </row>
    <row r="1217">
      <c r="B1217" s="71">
        <f>IF(R1217="","",1212)</f>
        <v/>
      </c>
      <c r="C1217" s="75">
        <f>IF(R1217="","",IF(INDEX('Recurring Schedule'!$C$6:$C$45,R1217)="","",INDEX('Recurring Schedule'!$C$6:$C$45,R1217)))</f>
        <v/>
      </c>
      <c r="D1217" s="73">
        <f>IF(R1217="","",IF(INDEX('Recurring Schedule'!$D$6:$D$45,R1217)="","",INDEX('Recurring Schedule'!$D$6:$D$45,R1217)))</f>
        <v/>
      </c>
      <c r="E1217" s="76">
        <f>IF(Q1217="","",INDEX(Calc!$A$2:$A$367,Q1217))</f>
        <v/>
      </c>
      <c r="F1217" s="72">
        <f>IF(OR(C1217="",E1217=""),"",E1217-Setup!$D$7)</f>
        <v/>
      </c>
      <c r="G1217" s="77">
        <f>IF(R1217="","",IF(INDEX('Recurring Schedule'!$H$6:$H$45,R1217)="","",INDEX('Recurring Schedule'!$H$6:$H$45,R1217)))</f>
        <v/>
      </c>
      <c r="H1217" s="77">
        <f>IF(R1217="","",IF(INDEX('Recurring Schedule'!$I$6:$I$45,R1217)="","",INDEX('Recurring Schedule'!$I$6:$I$45,R1217)))</f>
        <v/>
      </c>
      <c r="I1217" s="73">
        <f>IF(OR(G1217="",H1217=""),"",TRIM(IF(HOUR(H1217-G1217)&gt;0,HOUR(H1217-G1217)&amp;" hr ","")&amp;IF(MINUTE(H1217-G1217)&gt;0,MINUTE(H1217-G1217)&amp;" min","")))</f>
        <v/>
      </c>
      <c r="J1217" s="66" t="n"/>
      <c r="K1217" s="70" t="n"/>
      <c r="L1217" s="73">
        <f>IF(R1217="","",IF(INDEX('Recurring Schedule'!$J$6:$J$45,R1217)="","",INDEX('Recurring Schedule'!$J$6:$J$45,R1217)))</f>
        <v/>
      </c>
      <c r="M1217" s="73">
        <f>IF(R1217="","",IF(INDEX('Recurring Schedule'!$K$6:$K$45,R1217)="","",INDEX('Recurring Schedule'!$K$6:$K$45,R1217)))</f>
        <v/>
      </c>
      <c r="N1217" s="73">
        <f>IF(R1217="","",IF(INDEX('Recurring Schedule'!$L$6:$L$45,R1217)="","",INDEX('Recurring Schedule'!$L$6:$L$45,R1217)))</f>
        <v/>
      </c>
      <c r="O1217" s="73">
        <f>IF(C1217="","",IF(AND(OR(L1217="1-Urgent",L1217="2-High"),M1217="✓"),"DO FIRST",IF(M1217="✓","SCHEDULE",IF(OR(L1217="1-Urgent",L1217="2-High"),"DELEGATE","DELETE"))))</f>
        <v/>
      </c>
      <c r="P1217" s="65" t="n"/>
      <c r="Q1217">
        <f>IF(1212&gt;Calc!$AQ$368,"",MATCH(1211,Calc!$AQ$2:$AQ$367,1))</f>
        <v/>
      </c>
      <c r="R1217">
        <f>IF(Q1217="","",SMALL(INDEX(Calc!$B$2:$AO$367,Q1217,0),1212-INDEX(Calc!$AQ$2:$AQ$367,Q1217)))</f>
        <v/>
      </c>
    </row>
    <row r="1218">
      <c r="B1218" s="64">
        <f>IF(R1218="","",1213)</f>
        <v/>
      </c>
      <c r="C1218" s="37">
        <f>IF(R1218="","",IF(INDEX('Recurring Schedule'!$C$6:$C$45,R1218)="","",INDEX('Recurring Schedule'!$C$6:$C$45,R1218)))</f>
        <v/>
      </c>
      <c r="D1218" s="36">
        <f>IF(R1218="","",IF(INDEX('Recurring Schedule'!$D$6:$D$45,R1218)="","",INDEX('Recurring Schedule'!$D$6:$D$45,R1218)))</f>
        <v/>
      </c>
      <c r="E1218" s="38">
        <f>IF(Q1218="","",INDEX(Calc!$A$2:$A$367,Q1218))</f>
        <v/>
      </c>
      <c r="F1218" s="68">
        <f>IF(OR(C1218="",E1218=""),"",E1218-Setup!$D$7)</f>
        <v/>
      </c>
      <c r="G1218" s="74">
        <f>IF(R1218="","",IF(INDEX('Recurring Schedule'!$H$6:$H$45,R1218)="","",INDEX('Recurring Schedule'!$H$6:$H$45,R1218)))</f>
        <v/>
      </c>
      <c r="H1218" s="74">
        <f>IF(R1218="","",IF(INDEX('Recurring Schedule'!$I$6:$I$45,R1218)="","",INDEX('Recurring Schedule'!$I$6:$I$45,R1218)))</f>
        <v/>
      </c>
      <c r="I1218" s="36">
        <f>IF(OR(G1218="",H1218=""),"",TRIM(IF(HOUR(H1218-G1218)&gt;0,HOUR(H1218-G1218)&amp;" hr ","")&amp;IF(MINUTE(H1218-G1218)&gt;0,MINUTE(H1218-G1218)&amp;" min","")))</f>
        <v/>
      </c>
      <c r="J1218" s="66" t="n"/>
      <c r="K1218" s="70" t="n"/>
      <c r="L1218" s="36">
        <f>IF(R1218="","",IF(INDEX('Recurring Schedule'!$J$6:$J$45,R1218)="","",INDEX('Recurring Schedule'!$J$6:$J$45,R1218)))</f>
        <v/>
      </c>
      <c r="M1218" s="36">
        <f>IF(R1218="","",IF(INDEX('Recurring Schedule'!$K$6:$K$45,R1218)="","",INDEX('Recurring Schedule'!$K$6:$K$45,R1218)))</f>
        <v/>
      </c>
      <c r="N1218" s="36">
        <f>IF(R1218="","",IF(INDEX('Recurring Schedule'!$L$6:$L$45,R1218)="","",INDEX('Recurring Schedule'!$L$6:$L$45,R1218)))</f>
        <v/>
      </c>
      <c r="O1218" s="36">
        <f>IF(C1218="","",IF(AND(OR(L1218="1-Urgent",L1218="2-High"),M1218="✓"),"DO FIRST",IF(M1218="✓","SCHEDULE",IF(OR(L1218="1-Urgent",L1218="2-High"),"DELEGATE","DELETE"))))</f>
        <v/>
      </c>
      <c r="P1218" s="65" t="n"/>
      <c r="Q1218">
        <f>IF(1213&gt;Calc!$AQ$368,"",MATCH(1212,Calc!$AQ$2:$AQ$367,1))</f>
        <v/>
      </c>
      <c r="R1218">
        <f>IF(Q1218="","",SMALL(INDEX(Calc!$B$2:$AO$367,Q1218,0),1213-INDEX(Calc!$AQ$2:$AQ$367,Q1218)))</f>
        <v/>
      </c>
    </row>
    <row r="1219">
      <c r="B1219" s="71">
        <f>IF(R1219="","",1214)</f>
        <v/>
      </c>
      <c r="C1219" s="75">
        <f>IF(R1219="","",IF(INDEX('Recurring Schedule'!$C$6:$C$45,R1219)="","",INDEX('Recurring Schedule'!$C$6:$C$45,R1219)))</f>
        <v/>
      </c>
      <c r="D1219" s="73">
        <f>IF(R1219="","",IF(INDEX('Recurring Schedule'!$D$6:$D$45,R1219)="","",INDEX('Recurring Schedule'!$D$6:$D$45,R1219)))</f>
        <v/>
      </c>
      <c r="E1219" s="76">
        <f>IF(Q1219="","",INDEX(Calc!$A$2:$A$367,Q1219))</f>
        <v/>
      </c>
      <c r="F1219" s="72">
        <f>IF(OR(C1219="",E1219=""),"",E1219-Setup!$D$7)</f>
        <v/>
      </c>
      <c r="G1219" s="77">
        <f>IF(R1219="","",IF(INDEX('Recurring Schedule'!$H$6:$H$45,R1219)="","",INDEX('Recurring Schedule'!$H$6:$H$45,R1219)))</f>
        <v/>
      </c>
      <c r="H1219" s="77">
        <f>IF(R1219="","",IF(INDEX('Recurring Schedule'!$I$6:$I$45,R1219)="","",INDEX('Recurring Schedule'!$I$6:$I$45,R1219)))</f>
        <v/>
      </c>
      <c r="I1219" s="73">
        <f>IF(OR(G1219="",H1219=""),"",TRIM(IF(HOUR(H1219-G1219)&gt;0,HOUR(H1219-G1219)&amp;" hr ","")&amp;IF(MINUTE(H1219-G1219)&gt;0,MINUTE(H1219-G1219)&amp;" min","")))</f>
        <v/>
      </c>
      <c r="J1219" s="66" t="n"/>
      <c r="K1219" s="70" t="n"/>
      <c r="L1219" s="73">
        <f>IF(R1219="","",IF(INDEX('Recurring Schedule'!$J$6:$J$45,R1219)="","",INDEX('Recurring Schedule'!$J$6:$J$45,R1219)))</f>
        <v/>
      </c>
      <c r="M1219" s="73">
        <f>IF(R1219="","",IF(INDEX('Recurring Schedule'!$K$6:$K$45,R1219)="","",INDEX('Recurring Schedule'!$K$6:$K$45,R1219)))</f>
        <v/>
      </c>
      <c r="N1219" s="73">
        <f>IF(R1219="","",IF(INDEX('Recurring Schedule'!$L$6:$L$45,R1219)="","",INDEX('Recurring Schedule'!$L$6:$L$45,R1219)))</f>
        <v/>
      </c>
      <c r="O1219" s="73">
        <f>IF(C1219="","",IF(AND(OR(L1219="1-Urgent",L1219="2-High"),M1219="✓"),"DO FIRST",IF(M1219="✓","SCHEDULE",IF(OR(L1219="1-Urgent",L1219="2-High"),"DELEGATE","DELETE"))))</f>
        <v/>
      </c>
      <c r="P1219" s="65" t="n"/>
      <c r="Q1219">
        <f>IF(1214&gt;Calc!$AQ$368,"",MATCH(1213,Calc!$AQ$2:$AQ$367,1))</f>
        <v/>
      </c>
      <c r="R1219">
        <f>IF(Q1219="","",SMALL(INDEX(Calc!$B$2:$AO$367,Q1219,0),1214-INDEX(Calc!$AQ$2:$AQ$367,Q1219)))</f>
        <v/>
      </c>
    </row>
    <row r="1220">
      <c r="B1220" s="64">
        <f>IF(R1220="","",1215)</f>
        <v/>
      </c>
      <c r="C1220" s="37">
        <f>IF(R1220="","",IF(INDEX('Recurring Schedule'!$C$6:$C$45,R1220)="","",INDEX('Recurring Schedule'!$C$6:$C$45,R1220)))</f>
        <v/>
      </c>
      <c r="D1220" s="36">
        <f>IF(R1220="","",IF(INDEX('Recurring Schedule'!$D$6:$D$45,R1220)="","",INDEX('Recurring Schedule'!$D$6:$D$45,R1220)))</f>
        <v/>
      </c>
      <c r="E1220" s="38">
        <f>IF(Q1220="","",INDEX(Calc!$A$2:$A$367,Q1220))</f>
        <v/>
      </c>
      <c r="F1220" s="68">
        <f>IF(OR(C1220="",E1220=""),"",E1220-Setup!$D$7)</f>
        <v/>
      </c>
      <c r="G1220" s="74">
        <f>IF(R1220="","",IF(INDEX('Recurring Schedule'!$H$6:$H$45,R1220)="","",INDEX('Recurring Schedule'!$H$6:$H$45,R1220)))</f>
        <v/>
      </c>
      <c r="H1220" s="74">
        <f>IF(R1220="","",IF(INDEX('Recurring Schedule'!$I$6:$I$45,R1220)="","",INDEX('Recurring Schedule'!$I$6:$I$45,R1220)))</f>
        <v/>
      </c>
      <c r="I1220" s="36">
        <f>IF(OR(G1220="",H1220=""),"",TRIM(IF(HOUR(H1220-G1220)&gt;0,HOUR(H1220-G1220)&amp;" hr ","")&amp;IF(MINUTE(H1220-G1220)&gt;0,MINUTE(H1220-G1220)&amp;" min","")))</f>
        <v/>
      </c>
      <c r="J1220" s="66" t="n"/>
      <c r="K1220" s="70" t="n"/>
      <c r="L1220" s="36">
        <f>IF(R1220="","",IF(INDEX('Recurring Schedule'!$J$6:$J$45,R1220)="","",INDEX('Recurring Schedule'!$J$6:$J$45,R1220)))</f>
        <v/>
      </c>
      <c r="M1220" s="36">
        <f>IF(R1220="","",IF(INDEX('Recurring Schedule'!$K$6:$K$45,R1220)="","",INDEX('Recurring Schedule'!$K$6:$K$45,R1220)))</f>
        <v/>
      </c>
      <c r="N1220" s="36">
        <f>IF(R1220="","",IF(INDEX('Recurring Schedule'!$L$6:$L$45,R1220)="","",INDEX('Recurring Schedule'!$L$6:$L$45,R1220)))</f>
        <v/>
      </c>
      <c r="O1220" s="36">
        <f>IF(C1220="","",IF(AND(OR(L1220="1-Urgent",L1220="2-High"),M1220="✓"),"DO FIRST",IF(M1220="✓","SCHEDULE",IF(OR(L1220="1-Urgent",L1220="2-High"),"DELEGATE","DELETE"))))</f>
        <v/>
      </c>
      <c r="P1220" s="65" t="n"/>
      <c r="Q1220">
        <f>IF(1215&gt;Calc!$AQ$368,"",MATCH(1214,Calc!$AQ$2:$AQ$367,1))</f>
        <v/>
      </c>
      <c r="R1220">
        <f>IF(Q1220="","",SMALL(INDEX(Calc!$B$2:$AO$367,Q1220,0),1215-INDEX(Calc!$AQ$2:$AQ$367,Q1220)))</f>
        <v/>
      </c>
    </row>
    <row r="1221">
      <c r="B1221" s="71">
        <f>IF(R1221="","",1216)</f>
        <v/>
      </c>
      <c r="C1221" s="75">
        <f>IF(R1221="","",IF(INDEX('Recurring Schedule'!$C$6:$C$45,R1221)="","",INDEX('Recurring Schedule'!$C$6:$C$45,R1221)))</f>
        <v/>
      </c>
      <c r="D1221" s="73">
        <f>IF(R1221="","",IF(INDEX('Recurring Schedule'!$D$6:$D$45,R1221)="","",INDEX('Recurring Schedule'!$D$6:$D$45,R1221)))</f>
        <v/>
      </c>
      <c r="E1221" s="76">
        <f>IF(Q1221="","",INDEX(Calc!$A$2:$A$367,Q1221))</f>
        <v/>
      </c>
      <c r="F1221" s="72">
        <f>IF(OR(C1221="",E1221=""),"",E1221-Setup!$D$7)</f>
        <v/>
      </c>
      <c r="G1221" s="77">
        <f>IF(R1221="","",IF(INDEX('Recurring Schedule'!$H$6:$H$45,R1221)="","",INDEX('Recurring Schedule'!$H$6:$H$45,R1221)))</f>
        <v/>
      </c>
      <c r="H1221" s="77">
        <f>IF(R1221="","",IF(INDEX('Recurring Schedule'!$I$6:$I$45,R1221)="","",INDEX('Recurring Schedule'!$I$6:$I$45,R1221)))</f>
        <v/>
      </c>
      <c r="I1221" s="73">
        <f>IF(OR(G1221="",H1221=""),"",TRIM(IF(HOUR(H1221-G1221)&gt;0,HOUR(H1221-G1221)&amp;" hr ","")&amp;IF(MINUTE(H1221-G1221)&gt;0,MINUTE(H1221-G1221)&amp;" min","")))</f>
        <v/>
      </c>
      <c r="J1221" s="66" t="n"/>
      <c r="K1221" s="70" t="n"/>
      <c r="L1221" s="73">
        <f>IF(R1221="","",IF(INDEX('Recurring Schedule'!$J$6:$J$45,R1221)="","",INDEX('Recurring Schedule'!$J$6:$J$45,R1221)))</f>
        <v/>
      </c>
      <c r="M1221" s="73">
        <f>IF(R1221="","",IF(INDEX('Recurring Schedule'!$K$6:$K$45,R1221)="","",INDEX('Recurring Schedule'!$K$6:$K$45,R1221)))</f>
        <v/>
      </c>
      <c r="N1221" s="73">
        <f>IF(R1221="","",IF(INDEX('Recurring Schedule'!$L$6:$L$45,R1221)="","",INDEX('Recurring Schedule'!$L$6:$L$45,R1221)))</f>
        <v/>
      </c>
      <c r="O1221" s="73">
        <f>IF(C1221="","",IF(AND(OR(L1221="1-Urgent",L1221="2-High"),M1221="✓"),"DO FIRST",IF(M1221="✓","SCHEDULE",IF(OR(L1221="1-Urgent",L1221="2-High"),"DELEGATE","DELETE"))))</f>
        <v/>
      </c>
      <c r="P1221" s="65" t="n"/>
      <c r="Q1221">
        <f>IF(1216&gt;Calc!$AQ$368,"",MATCH(1215,Calc!$AQ$2:$AQ$367,1))</f>
        <v/>
      </c>
      <c r="R1221">
        <f>IF(Q1221="","",SMALL(INDEX(Calc!$B$2:$AO$367,Q1221,0),1216-INDEX(Calc!$AQ$2:$AQ$367,Q1221)))</f>
        <v/>
      </c>
    </row>
    <row r="1222">
      <c r="B1222" s="64">
        <f>IF(R1222="","",1217)</f>
        <v/>
      </c>
      <c r="C1222" s="37">
        <f>IF(R1222="","",IF(INDEX('Recurring Schedule'!$C$6:$C$45,R1222)="","",INDEX('Recurring Schedule'!$C$6:$C$45,R1222)))</f>
        <v/>
      </c>
      <c r="D1222" s="36">
        <f>IF(R1222="","",IF(INDEX('Recurring Schedule'!$D$6:$D$45,R1222)="","",INDEX('Recurring Schedule'!$D$6:$D$45,R1222)))</f>
        <v/>
      </c>
      <c r="E1222" s="38">
        <f>IF(Q1222="","",INDEX(Calc!$A$2:$A$367,Q1222))</f>
        <v/>
      </c>
      <c r="F1222" s="68">
        <f>IF(OR(C1222="",E1222=""),"",E1222-Setup!$D$7)</f>
        <v/>
      </c>
      <c r="G1222" s="74">
        <f>IF(R1222="","",IF(INDEX('Recurring Schedule'!$H$6:$H$45,R1222)="","",INDEX('Recurring Schedule'!$H$6:$H$45,R1222)))</f>
        <v/>
      </c>
      <c r="H1222" s="74">
        <f>IF(R1222="","",IF(INDEX('Recurring Schedule'!$I$6:$I$45,R1222)="","",INDEX('Recurring Schedule'!$I$6:$I$45,R1222)))</f>
        <v/>
      </c>
      <c r="I1222" s="36">
        <f>IF(OR(G1222="",H1222=""),"",TRIM(IF(HOUR(H1222-G1222)&gt;0,HOUR(H1222-G1222)&amp;" hr ","")&amp;IF(MINUTE(H1222-G1222)&gt;0,MINUTE(H1222-G1222)&amp;" min","")))</f>
        <v/>
      </c>
      <c r="J1222" s="66" t="n"/>
      <c r="K1222" s="70" t="n"/>
      <c r="L1222" s="36">
        <f>IF(R1222="","",IF(INDEX('Recurring Schedule'!$J$6:$J$45,R1222)="","",INDEX('Recurring Schedule'!$J$6:$J$45,R1222)))</f>
        <v/>
      </c>
      <c r="M1222" s="36">
        <f>IF(R1222="","",IF(INDEX('Recurring Schedule'!$K$6:$K$45,R1222)="","",INDEX('Recurring Schedule'!$K$6:$K$45,R1222)))</f>
        <v/>
      </c>
      <c r="N1222" s="36">
        <f>IF(R1222="","",IF(INDEX('Recurring Schedule'!$L$6:$L$45,R1222)="","",INDEX('Recurring Schedule'!$L$6:$L$45,R1222)))</f>
        <v/>
      </c>
      <c r="O1222" s="36">
        <f>IF(C1222="","",IF(AND(OR(L1222="1-Urgent",L1222="2-High"),M1222="✓"),"DO FIRST",IF(M1222="✓","SCHEDULE",IF(OR(L1222="1-Urgent",L1222="2-High"),"DELEGATE","DELETE"))))</f>
        <v/>
      </c>
      <c r="P1222" s="65" t="n"/>
      <c r="Q1222">
        <f>IF(1217&gt;Calc!$AQ$368,"",MATCH(1216,Calc!$AQ$2:$AQ$367,1))</f>
        <v/>
      </c>
      <c r="R1222">
        <f>IF(Q1222="","",SMALL(INDEX(Calc!$B$2:$AO$367,Q1222,0),1217-INDEX(Calc!$AQ$2:$AQ$367,Q1222)))</f>
        <v/>
      </c>
    </row>
    <row r="1223">
      <c r="B1223" s="71">
        <f>IF(R1223="","",1218)</f>
        <v/>
      </c>
      <c r="C1223" s="75">
        <f>IF(R1223="","",IF(INDEX('Recurring Schedule'!$C$6:$C$45,R1223)="","",INDEX('Recurring Schedule'!$C$6:$C$45,R1223)))</f>
        <v/>
      </c>
      <c r="D1223" s="73">
        <f>IF(R1223="","",IF(INDEX('Recurring Schedule'!$D$6:$D$45,R1223)="","",INDEX('Recurring Schedule'!$D$6:$D$45,R1223)))</f>
        <v/>
      </c>
      <c r="E1223" s="76">
        <f>IF(Q1223="","",INDEX(Calc!$A$2:$A$367,Q1223))</f>
        <v/>
      </c>
      <c r="F1223" s="72">
        <f>IF(OR(C1223="",E1223=""),"",E1223-Setup!$D$7)</f>
        <v/>
      </c>
      <c r="G1223" s="77">
        <f>IF(R1223="","",IF(INDEX('Recurring Schedule'!$H$6:$H$45,R1223)="","",INDEX('Recurring Schedule'!$H$6:$H$45,R1223)))</f>
        <v/>
      </c>
      <c r="H1223" s="77">
        <f>IF(R1223="","",IF(INDEX('Recurring Schedule'!$I$6:$I$45,R1223)="","",INDEX('Recurring Schedule'!$I$6:$I$45,R1223)))</f>
        <v/>
      </c>
      <c r="I1223" s="73">
        <f>IF(OR(G1223="",H1223=""),"",TRIM(IF(HOUR(H1223-G1223)&gt;0,HOUR(H1223-G1223)&amp;" hr ","")&amp;IF(MINUTE(H1223-G1223)&gt;0,MINUTE(H1223-G1223)&amp;" min","")))</f>
        <v/>
      </c>
      <c r="J1223" s="66" t="n"/>
      <c r="K1223" s="70" t="n"/>
      <c r="L1223" s="73">
        <f>IF(R1223="","",IF(INDEX('Recurring Schedule'!$J$6:$J$45,R1223)="","",INDEX('Recurring Schedule'!$J$6:$J$45,R1223)))</f>
        <v/>
      </c>
      <c r="M1223" s="73">
        <f>IF(R1223="","",IF(INDEX('Recurring Schedule'!$K$6:$K$45,R1223)="","",INDEX('Recurring Schedule'!$K$6:$K$45,R1223)))</f>
        <v/>
      </c>
      <c r="N1223" s="73">
        <f>IF(R1223="","",IF(INDEX('Recurring Schedule'!$L$6:$L$45,R1223)="","",INDEX('Recurring Schedule'!$L$6:$L$45,R1223)))</f>
        <v/>
      </c>
      <c r="O1223" s="73">
        <f>IF(C1223="","",IF(AND(OR(L1223="1-Urgent",L1223="2-High"),M1223="✓"),"DO FIRST",IF(M1223="✓","SCHEDULE",IF(OR(L1223="1-Urgent",L1223="2-High"),"DELEGATE","DELETE"))))</f>
        <v/>
      </c>
      <c r="P1223" s="65" t="n"/>
      <c r="Q1223">
        <f>IF(1218&gt;Calc!$AQ$368,"",MATCH(1217,Calc!$AQ$2:$AQ$367,1))</f>
        <v/>
      </c>
      <c r="R1223">
        <f>IF(Q1223="","",SMALL(INDEX(Calc!$B$2:$AO$367,Q1223,0),1218-INDEX(Calc!$AQ$2:$AQ$367,Q1223)))</f>
        <v/>
      </c>
    </row>
    <row r="1224">
      <c r="B1224" s="64">
        <f>IF(R1224="","",1219)</f>
        <v/>
      </c>
      <c r="C1224" s="37">
        <f>IF(R1224="","",IF(INDEX('Recurring Schedule'!$C$6:$C$45,R1224)="","",INDEX('Recurring Schedule'!$C$6:$C$45,R1224)))</f>
        <v/>
      </c>
      <c r="D1224" s="36">
        <f>IF(R1224="","",IF(INDEX('Recurring Schedule'!$D$6:$D$45,R1224)="","",INDEX('Recurring Schedule'!$D$6:$D$45,R1224)))</f>
        <v/>
      </c>
      <c r="E1224" s="38">
        <f>IF(Q1224="","",INDEX(Calc!$A$2:$A$367,Q1224))</f>
        <v/>
      </c>
      <c r="F1224" s="68">
        <f>IF(OR(C1224="",E1224=""),"",E1224-Setup!$D$7)</f>
        <v/>
      </c>
      <c r="G1224" s="74">
        <f>IF(R1224="","",IF(INDEX('Recurring Schedule'!$H$6:$H$45,R1224)="","",INDEX('Recurring Schedule'!$H$6:$H$45,R1224)))</f>
        <v/>
      </c>
      <c r="H1224" s="74">
        <f>IF(R1224="","",IF(INDEX('Recurring Schedule'!$I$6:$I$45,R1224)="","",INDEX('Recurring Schedule'!$I$6:$I$45,R1224)))</f>
        <v/>
      </c>
      <c r="I1224" s="36">
        <f>IF(OR(G1224="",H1224=""),"",TRIM(IF(HOUR(H1224-G1224)&gt;0,HOUR(H1224-G1224)&amp;" hr ","")&amp;IF(MINUTE(H1224-G1224)&gt;0,MINUTE(H1224-G1224)&amp;" min","")))</f>
        <v/>
      </c>
      <c r="J1224" s="66" t="n"/>
      <c r="K1224" s="70" t="n"/>
      <c r="L1224" s="36">
        <f>IF(R1224="","",IF(INDEX('Recurring Schedule'!$J$6:$J$45,R1224)="","",INDEX('Recurring Schedule'!$J$6:$J$45,R1224)))</f>
        <v/>
      </c>
      <c r="M1224" s="36">
        <f>IF(R1224="","",IF(INDEX('Recurring Schedule'!$K$6:$K$45,R1224)="","",INDEX('Recurring Schedule'!$K$6:$K$45,R1224)))</f>
        <v/>
      </c>
      <c r="N1224" s="36">
        <f>IF(R1224="","",IF(INDEX('Recurring Schedule'!$L$6:$L$45,R1224)="","",INDEX('Recurring Schedule'!$L$6:$L$45,R1224)))</f>
        <v/>
      </c>
      <c r="O1224" s="36">
        <f>IF(C1224="","",IF(AND(OR(L1224="1-Urgent",L1224="2-High"),M1224="✓"),"DO FIRST",IF(M1224="✓","SCHEDULE",IF(OR(L1224="1-Urgent",L1224="2-High"),"DELEGATE","DELETE"))))</f>
        <v/>
      </c>
      <c r="P1224" s="65" t="n"/>
      <c r="Q1224">
        <f>IF(1219&gt;Calc!$AQ$368,"",MATCH(1218,Calc!$AQ$2:$AQ$367,1))</f>
        <v/>
      </c>
      <c r="R1224">
        <f>IF(Q1224="","",SMALL(INDEX(Calc!$B$2:$AO$367,Q1224,0),1219-INDEX(Calc!$AQ$2:$AQ$367,Q1224)))</f>
        <v/>
      </c>
    </row>
    <row r="1225">
      <c r="B1225" s="71">
        <f>IF(R1225="","",1220)</f>
        <v/>
      </c>
      <c r="C1225" s="75">
        <f>IF(R1225="","",IF(INDEX('Recurring Schedule'!$C$6:$C$45,R1225)="","",INDEX('Recurring Schedule'!$C$6:$C$45,R1225)))</f>
        <v/>
      </c>
      <c r="D1225" s="73">
        <f>IF(R1225="","",IF(INDEX('Recurring Schedule'!$D$6:$D$45,R1225)="","",INDEX('Recurring Schedule'!$D$6:$D$45,R1225)))</f>
        <v/>
      </c>
      <c r="E1225" s="76">
        <f>IF(Q1225="","",INDEX(Calc!$A$2:$A$367,Q1225))</f>
        <v/>
      </c>
      <c r="F1225" s="72">
        <f>IF(OR(C1225="",E1225=""),"",E1225-Setup!$D$7)</f>
        <v/>
      </c>
      <c r="G1225" s="77">
        <f>IF(R1225="","",IF(INDEX('Recurring Schedule'!$H$6:$H$45,R1225)="","",INDEX('Recurring Schedule'!$H$6:$H$45,R1225)))</f>
        <v/>
      </c>
      <c r="H1225" s="77">
        <f>IF(R1225="","",IF(INDEX('Recurring Schedule'!$I$6:$I$45,R1225)="","",INDEX('Recurring Schedule'!$I$6:$I$45,R1225)))</f>
        <v/>
      </c>
      <c r="I1225" s="73">
        <f>IF(OR(G1225="",H1225=""),"",TRIM(IF(HOUR(H1225-G1225)&gt;0,HOUR(H1225-G1225)&amp;" hr ","")&amp;IF(MINUTE(H1225-G1225)&gt;0,MINUTE(H1225-G1225)&amp;" min","")))</f>
        <v/>
      </c>
      <c r="J1225" s="66" t="n"/>
      <c r="K1225" s="70" t="n"/>
      <c r="L1225" s="73">
        <f>IF(R1225="","",IF(INDEX('Recurring Schedule'!$J$6:$J$45,R1225)="","",INDEX('Recurring Schedule'!$J$6:$J$45,R1225)))</f>
        <v/>
      </c>
      <c r="M1225" s="73">
        <f>IF(R1225="","",IF(INDEX('Recurring Schedule'!$K$6:$K$45,R1225)="","",INDEX('Recurring Schedule'!$K$6:$K$45,R1225)))</f>
        <v/>
      </c>
      <c r="N1225" s="73">
        <f>IF(R1225="","",IF(INDEX('Recurring Schedule'!$L$6:$L$45,R1225)="","",INDEX('Recurring Schedule'!$L$6:$L$45,R1225)))</f>
        <v/>
      </c>
      <c r="O1225" s="73">
        <f>IF(C1225="","",IF(AND(OR(L1225="1-Urgent",L1225="2-High"),M1225="✓"),"DO FIRST",IF(M1225="✓","SCHEDULE",IF(OR(L1225="1-Urgent",L1225="2-High"),"DELEGATE","DELETE"))))</f>
        <v/>
      </c>
      <c r="P1225" s="65" t="n"/>
      <c r="Q1225">
        <f>IF(1220&gt;Calc!$AQ$368,"",MATCH(1219,Calc!$AQ$2:$AQ$367,1))</f>
        <v/>
      </c>
      <c r="R1225">
        <f>IF(Q1225="","",SMALL(INDEX(Calc!$B$2:$AO$367,Q1225,0),1220-INDEX(Calc!$AQ$2:$AQ$367,Q1225)))</f>
        <v/>
      </c>
    </row>
    <row r="1226">
      <c r="B1226" s="64">
        <f>IF(R1226="","",1221)</f>
        <v/>
      </c>
      <c r="C1226" s="37">
        <f>IF(R1226="","",IF(INDEX('Recurring Schedule'!$C$6:$C$45,R1226)="","",INDEX('Recurring Schedule'!$C$6:$C$45,R1226)))</f>
        <v/>
      </c>
      <c r="D1226" s="36">
        <f>IF(R1226="","",IF(INDEX('Recurring Schedule'!$D$6:$D$45,R1226)="","",INDEX('Recurring Schedule'!$D$6:$D$45,R1226)))</f>
        <v/>
      </c>
      <c r="E1226" s="38">
        <f>IF(Q1226="","",INDEX(Calc!$A$2:$A$367,Q1226))</f>
        <v/>
      </c>
      <c r="F1226" s="68">
        <f>IF(OR(C1226="",E1226=""),"",E1226-Setup!$D$7)</f>
        <v/>
      </c>
      <c r="G1226" s="74">
        <f>IF(R1226="","",IF(INDEX('Recurring Schedule'!$H$6:$H$45,R1226)="","",INDEX('Recurring Schedule'!$H$6:$H$45,R1226)))</f>
        <v/>
      </c>
      <c r="H1226" s="74">
        <f>IF(R1226="","",IF(INDEX('Recurring Schedule'!$I$6:$I$45,R1226)="","",INDEX('Recurring Schedule'!$I$6:$I$45,R1226)))</f>
        <v/>
      </c>
      <c r="I1226" s="36">
        <f>IF(OR(G1226="",H1226=""),"",TRIM(IF(HOUR(H1226-G1226)&gt;0,HOUR(H1226-G1226)&amp;" hr ","")&amp;IF(MINUTE(H1226-G1226)&gt;0,MINUTE(H1226-G1226)&amp;" min","")))</f>
        <v/>
      </c>
      <c r="J1226" s="66" t="n"/>
      <c r="K1226" s="70" t="n"/>
      <c r="L1226" s="36">
        <f>IF(R1226="","",IF(INDEX('Recurring Schedule'!$J$6:$J$45,R1226)="","",INDEX('Recurring Schedule'!$J$6:$J$45,R1226)))</f>
        <v/>
      </c>
      <c r="M1226" s="36">
        <f>IF(R1226="","",IF(INDEX('Recurring Schedule'!$K$6:$K$45,R1226)="","",INDEX('Recurring Schedule'!$K$6:$K$45,R1226)))</f>
        <v/>
      </c>
      <c r="N1226" s="36">
        <f>IF(R1226="","",IF(INDEX('Recurring Schedule'!$L$6:$L$45,R1226)="","",INDEX('Recurring Schedule'!$L$6:$L$45,R1226)))</f>
        <v/>
      </c>
      <c r="O1226" s="36">
        <f>IF(C1226="","",IF(AND(OR(L1226="1-Urgent",L1226="2-High"),M1226="✓"),"DO FIRST",IF(M1226="✓","SCHEDULE",IF(OR(L1226="1-Urgent",L1226="2-High"),"DELEGATE","DELETE"))))</f>
        <v/>
      </c>
      <c r="P1226" s="65" t="n"/>
      <c r="Q1226">
        <f>IF(1221&gt;Calc!$AQ$368,"",MATCH(1220,Calc!$AQ$2:$AQ$367,1))</f>
        <v/>
      </c>
      <c r="R1226">
        <f>IF(Q1226="","",SMALL(INDEX(Calc!$B$2:$AO$367,Q1226,0),1221-INDEX(Calc!$AQ$2:$AQ$367,Q1226)))</f>
        <v/>
      </c>
    </row>
    <row r="1227">
      <c r="B1227" s="71">
        <f>IF(R1227="","",1222)</f>
        <v/>
      </c>
      <c r="C1227" s="75">
        <f>IF(R1227="","",IF(INDEX('Recurring Schedule'!$C$6:$C$45,R1227)="","",INDEX('Recurring Schedule'!$C$6:$C$45,R1227)))</f>
        <v/>
      </c>
      <c r="D1227" s="73">
        <f>IF(R1227="","",IF(INDEX('Recurring Schedule'!$D$6:$D$45,R1227)="","",INDEX('Recurring Schedule'!$D$6:$D$45,R1227)))</f>
        <v/>
      </c>
      <c r="E1227" s="76">
        <f>IF(Q1227="","",INDEX(Calc!$A$2:$A$367,Q1227))</f>
        <v/>
      </c>
      <c r="F1227" s="72">
        <f>IF(OR(C1227="",E1227=""),"",E1227-Setup!$D$7)</f>
        <v/>
      </c>
      <c r="G1227" s="77">
        <f>IF(R1227="","",IF(INDEX('Recurring Schedule'!$H$6:$H$45,R1227)="","",INDEX('Recurring Schedule'!$H$6:$H$45,R1227)))</f>
        <v/>
      </c>
      <c r="H1227" s="77">
        <f>IF(R1227="","",IF(INDEX('Recurring Schedule'!$I$6:$I$45,R1227)="","",INDEX('Recurring Schedule'!$I$6:$I$45,R1227)))</f>
        <v/>
      </c>
      <c r="I1227" s="73">
        <f>IF(OR(G1227="",H1227=""),"",TRIM(IF(HOUR(H1227-G1227)&gt;0,HOUR(H1227-G1227)&amp;" hr ","")&amp;IF(MINUTE(H1227-G1227)&gt;0,MINUTE(H1227-G1227)&amp;" min","")))</f>
        <v/>
      </c>
      <c r="J1227" s="66" t="n"/>
      <c r="K1227" s="70" t="n"/>
      <c r="L1227" s="73">
        <f>IF(R1227="","",IF(INDEX('Recurring Schedule'!$J$6:$J$45,R1227)="","",INDEX('Recurring Schedule'!$J$6:$J$45,R1227)))</f>
        <v/>
      </c>
      <c r="M1227" s="73">
        <f>IF(R1227="","",IF(INDEX('Recurring Schedule'!$K$6:$K$45,R1227)="","",INDEX('Recurring Schedule'!$K$6:$K$45,R1227)))</f>
        <v/>
      </c>
      <c r="N1227" s="73">
        <f>IF(R1227="","",IF(INDEX('Recurring Schedule'!$L$6:$L$45,R1227)="","",INDEX('Recurring Schedule'!$L$6:$L$45,R1227)))</f>
        <v/>
      </c>
      <c r="O1227" s="73">
        <f>IF(C1227="","",IF(AND(OR(L1227="1-Urgent",L1227="2-High"),M1227="✓"),"DO FIRST",IF(M1227="✓","SCHEDULE",IF(OR(L1227="1-Urgent",L1227="2-High"),"DELEGATE","DELETE"))))</f>
        <v/>
      </c>
      <c r="P1227" s="65" t="n"/>
      <c r="Q1227">
        <f>IF(1222&gt;Calc!$AQ$368,"",MATCH(1221,Calc!$AQ$2:$AQ$367,1))</f>
        <v/>
      </c>
      <c r="R1227">
        <f>IF(Q1227="","",SMALL(INDEX(Calc!$B$2:$AO$367,Q1227,0),1222-INDEX(Calc!$AQ$2:$AQ$367,Q1227)))</f>
        <v/>
      </c>
    </row>
    <row r="1228">
      <c r="B1228" s="64">
        <f>IF(R1228="","",1223)</f>
        <v/>
      </c>
      <c r="C1228" s="37">
        <f>IF(R1228="","",IF(INDEX('Recurring Schedule'!$C$6:$C$45,R1228)="","",INDEX('Recurring Schedule'!$C$6:$C$45,R1228)))</f>
        <v/>
      </c>
      <c r="D1228" s="36">
        <f>IF(R1228="","",IF(INDEX('Recurring Schedule'!$D$6:$D$45,R1228)="","",INDEX('Recurring Schedule'!$D$6:$D$45,R1228)))</f>
        <v/>
      </c>
      <c r="E1228" s="38">
        <f>IF(Q1228="","",INDEX(Calc!$A$2:$A$367,Q1228))</f>
        <v/>
      </c>
      <c r="F1228" s="68">
        <f>IF(OR(C1228="",E1228=""),"",E1228-Setup!$D$7)</f>
        <v/>
      </c>
      <c r="G1228" s="74">
        <f>IF(R1228="","",IF(INDEX('Recurring Schedule'!$H$6:$H$45,R1228)="","",INDEX('Recurring Schedule'!$H$6:$H$45,R1228)))</f>
        <v/>
      </c>
      <c r="H1228" s="74">
        <f>IF(R1228="","",IF(INDEX('Recurring Schedule'!$I$6:$I$45,R1228)="","",INDEX('Recurring Schedule'!$I$6:$I$45,R1228)))</f>
        <v/>
      </c>
      <c r="I1228" s="36">
        <f>IF(OR(G1228="",H1228=""),"",TRIM(IF(HOUR(H1228-G1228)&gt;0,HOUR(H1228-G1228)&amp;" hr ","")&amp;IF(MINUTE(H1228-G1228)&gt;0,MINUTE(H1228-G1228)&amp;" min","")))</f>
        <v/>
      </c>
      <c r="J1228" s="66" t="n"/>
      <c r="K1228" s="70" t="n"/>
      <c r="L1228" s="36">
        <f>IF(R1228="","",IF(INDEX('Recurring Schedule'!$J$6:$J$45,R1228)="","",INDEX('Recurring Schedule'!$J$6:$J$45,R1228)))</f>
        <v/>
      </c>
      <c r="M1228" s="36">
        <f>IF(R1228="","",IF(INDEX('Recurring Schedule'!$K$6:$K$45,R1228)="","",INDEX('Recurring Schedule'!$K$6:$K$45,R1228)))</f>
        <v/>
      </c>
      <c r="N1228" s="36">
        <f>IF(R1228="","",IF(INDEX('Recurring Schedule'!$L$6:$L$45,R1228)="","",INDEX('Recurring Schedule'!$L$6:$L$45,R1228)))</f>
        <v/>
      </c>
      <c r="O1228" s="36">
        <f>IF(C1228="","",IF(AND(OR(L1228="1-Urgent",L1228="2-High"),M1228="✓"),"DO FIRST",IF(M1228="✓","SCHEDULE",IF(OR(L1228="1-Urgent",L1228="2-High"),"DELEGATE","DELETE"))))</f>
        <v/>
      </c>
      <c r="P1228" s="65" t="n"/>
      <c r="Q1228">
        <f>IF(1223&gt;Calc!$AQ$368,"",MATCH(1222,Calc!$AQ$2:$AQ$367,1))</f>
        <v/>
      </c>
      <c r="R1228">
        <f>IF(Q1228="","",SMALL(INDEX(Calc!$B$2:$AO$367,Q1228,0),1223-INDEX(Calc!$AQ$2:$AQ$367,Q1228)))</f>
        <v/>
      </c>
    </row>
    <row r="1229">
      <c r="B1229" s="71">
        <f>IF(R1229="","",1224)</f>
        <v/>
      </c>
      <c r="C1229" s="75">
        <f>IF(R1229="","",IF(INDEX('Recurring Schedule'!$C$6:$C$45,R1229)="","",INDEX('Recurring Schedule'!$C$6:$C$45,R1229)))</f>
        <v/>
      </c>
      <c r="D1229" s="73">
        <f>IF(R1229="","",IF(INDEX('Recurring Schedule'!$D$6:$D$45,R1229)="","",INDEX('Recurring Schedule'!$D$6:$D$45,R1229)))</f>
        <v/>
      </c>
      <c r="E1229" s="76">
        <f>IF(Q1229="","",INDEX(Calc!$A$2:$A$367,Q1229))</f>
        <v/>
      </c>
      <c r="F1229" s="72">
        <f>IF(OR(C1229="",E1229=""),"",E1229-Setup!$D$7)</f>
        <v/>
      </c>
      <c r="G1229" s="77">
        <f>IF(R1229="","",IF(INDEX('Recurring Schedule'!$H$6:$H$45,R1229)="","",INDEX('Recurring Schedule'!$H$6:$H$45,R1229)))</f>
        <v/>
      </c>
      <c r="H1229" s="77">
        <f>IF(R1229="","",IF(INDEX('Recurring Schedule'!$I$6:$I$45,R1229)="","",INDEX('Recurring Schedule'!$I$6:$I$45,R1229)))</f>
        <v/>
      </c>
      <c r="I1229" s="73">
        <f>IF(OR(G1229="",H1229=""),"",TRIM(IF(HOUR(H1229-G1229)&gt;0,HOUR(H1229-G1229)&amp;" hr ","")&amp;IF(MINUTE(H1229-G1229)&gt;0,MINUTE(H1229-G1229)&amp;" min","")))</f>
        <v/>
      </c>
      <c r="J1229" s="66" t="n"/>
      <c r="K1229" s="70" t="n"/>
      <c r="L1229" s="73">
        <f>IF(R1229="","",IF(INDEX('Recurring Schedule'!$J$6:$J$45,R1229)="","",INDEX('Recurring Schedule'!$J$6:$J$45,R1229)))</f>
        <v/>
      </c>
      <c r="M1229" s="73">
        <f>IF(R1229="","",IF(INDEX('Recurring Schedule'!$K$6:$K$45,R1229)="","",INDEX('Recurring Schedule'!$K$6:$K$45,R1229)))</f>
        <v/>
      </c>
      <c r="N1229" s="73">
        <f>IF(R1229="","",IF(INDEX('Recurring Schedule'!$L$6:$L$45,R1229)="","",INDEX('Recurring Schedule'!$L$6:$L$45,R1229)))</f>
        <v/>
      </c>
      <c r="O1229" s="73">
        <f>IF(C1229="","",IF(AND(OR(L1229="1-Urgent",L1229="2-High"),M1229="✓"),"DO FIRST",IF(M1229="✓","SCHEDULE",IF(OR(L1229="1-Urgent",L1229="2-High"),"DELEGATE","DELETE"))))</f>
        <v/>
      </c>
      <c r="P1229" s="65" t="n"/>
      <c r="Q1229">
        <f>IF(1224&gt;Calc!$AQ$368,"",MATCH(1223,Calc!$AQ$2:$AQ$367,1))</f>
        <v/>
      </c>
      <c r="R1229">
        <f>IF(Q1229="","",SMALL(INDEX(Calc!$B$2:$AO$367,Q1229,0),1224-INDEX(Calc!$AQ$2:$AQ$367,Q1229)))</f>
        <v/>
      </c>
    </row>
    <row r="1230">
      <c r="B1230" s="64">
        <f>IF(R1230="","",1225)</f>
        <v/>
      </c>
      <c r="C1230" s="37">
        <f>IF(R1230="","",IF(INDEX('Recurring Schedule'!$C$6:$C$45,R1230)="","",INDEX('Recurring Schedule'!$C$6:$C$45,R1230)))</f>
        <v/>
      </c>
      <c r="D1230" s="36">
        <f>IF(R1230="","",IF(INDEX('Recurring Schedule'!$D$6:$D$45,R1230)="","",INDEX('Recurring Schedule'!$D$6:$D$45,R1230)))</f>
        <v/>
      </c>
      <c r="E1230" s="38">
        <f>IF(Q1230="","",INDEX(Calc!$A$2:$A$367,Q1230))</f>
        <v/>
      </c>
      <c r="F1230" s="68">
        <f>IF(OR(C1230="",E1230=""),"",E1230-Setup!$D$7)</f>
        <v/>
      </c>
      <c r="G1230" s="74">
        <f>IF(R1230="","",IF(INDEX('Recurring Schedule'!$H$6:$H$45,R1230)="","",INDEX('Recurring Schedule'!$H$6:$H$45,R1230)))</f>
        <v/>
      </c>
      <c r="H1230" s="74">
        <f>IF(R1230="","",IF(INDEX('Recurring Schedule'!$I$6:$I$45,R1230)="","",INDEX('Recurring Schedule'!$I$6:$I$45,R1230)))</f>
        <v/>
      </c>
      <c r="I1230" s="36">
        <f>IF(OR(G1230="",H1230=""),"",TRIM(IF(HOUR(H1230-G1230)&gt;0,HOUR(H1230-G1230)&amp;" hr ","")&amp;IF(MINUTE(H1230-G1230)&gt;0,MINUTE(H1230-G1230)&amp;" min","")))</f>
        <v/>
      </c>
      <c r="J1230" s="66" t="n"/>
      <c r="K1230" s="70" t="n"/>
      <c r="L1230" s="36">
        <f>IF(R1230="","",IF(INDEX('Recurring Schedule'!$J$6:$J$45,R1230)="","",INDEX('Recurring Schedule'!$J$6:$J$45,R1230)))</f>
        <v/>
      </c>
      <c r="M1230" s="36">
        <f>IF(R1230="","",IF(INDEX('Recurring Schedule'!$K$6:$K$45,R1230)="","",INDEX('Recurring Schedule'!$K$6:$K$45,R1230)))</f>
        <v/>
      </c>
      <c r="N1230" s="36">
        <f>IF(R1230="","",IF(INDEX('Recurring Schedule'!$L$6:$L$45,R1230)="","",INDEX('Recurring Schedule'!$L$6:$L$45,R1230)))</f>
        <v/>
      </c>
      <c r="O1230" s="36">
        <f>IF(C1230="","",IF(AND(OR(L1230="1-Urgent",L1230="2-High"),M1230="✓"),"DO FIRST",IF(M1230="✓","SCHEDULE",IF(OR(L1230="1-Urgent",L1230="2-High"),"DELEGATE","DELETE"))))</f>
        <v/>
      </c>
      <c r="P1230" s="65" t="n"/>
      <c r="Q1230">
        <f>IF(1225&gt;Calc!$AQ$368,"",MATCH(1224,Calc!$AQ$2:$AQ$367,1))</f>
        <v/>
      </c>
      <c r="R1230">
        <f>IF(Q1230="","",SMALL(INDEX(Calc!$B$2:$AO$367,Q1230,0),1225-INDEX(Calc!$AQ$2:$AQ$367,Q1230)))</f>
        <v/>
      </c>
    </row>
    <row r="1231">
      <c r="B1231" s="71">
        <f>IF(R1231="","",1226)</f>
        <v/>
      </c>
      <c r="C1231" s="75">
        <f>IF(R1231="","",IF(INDEX('Recurring Schedule'!$C$6:$C$45,R1231)="","",INDEX('Recurring Schedule'!$C$6:$C$45,R1231)))</f>
        <v/>
      </c>
      <c r="D1231" s="73">
        <f>IF(R1231="","",IF(INDEX('Recurring Schedule'!$D$6:$D$45,R1231)="","",INDEX('Recurring Schedule'!$D$6:$D$45,R1231)))</f>
        <v/>
      </c>
      <c r="E1231" s="76">
        <f>IF(Q1231="","",INDEX(Calc!$A$2:$A$367,Q1231))</f>
        <v/>
      </c>
      <c r="F1231" s="72">
        <f>IF(OR(C1231="",E1231=""),"",E1231-Setup!$D$7)</f>
        <v/>
      </c>
      <c r="G1231" s="77">
        <f>IF(R1231="","",IF(INDEX('Recurring Schedule'!$H$6:$H$45,R1231)="","",INDEX('Recurring Schedule'!$H$6:$H$45,R1231)))</f>
        <v/>
      </c>
      <c r="H1231" s="77">
        <f>IF(R1231="","",IF(INDEX('Recurring Schedule'!$I$6:$I$45,R1231)="","",INDEX('Recurring Schedule'!$I$6:$I$45,R1231)))</f>
        <v/>
      </c>
      <c r="I1231" s="73">
        <f>IF(OR(G1231="",H1231=""),"",TRIM(IF(HOUR(H1231-G1231)&gt;0,HOUR(H1231-G1231)&amp;" hr ","")&amp;IF(MINUTE(H1231-G1231)&gt;0,MINUTE(H1231-G1231)&amp;" min","")))</f>
        <v/>
      </c>
      <c r="J1231" s="66" t="n"/>
      <c r="K1231" s="70" t="n"/>
      <c r="L1231" s="73">
        <f>IF(R1231="","",IF(INDEX('Recurring Schedule'!$J$6:$J$45,R1231)="","",INDEX('Recurring Schedule'!$J$6:$J$45,R1231)))</f>
        <v/>
      </c>
      <c r="M1231" s="73">
        <f>IF(R1231="","",IF(INDEX('Recurring Schedule'!$K$6:$K$45,R1231)="","",INDEX('Recurring Schedule'!$K$6:$K$45,R1231)))</f>
        <v/>
      </c>
      <c r="N1231" s="73">
        <f>IF(R1231="","",IF(INDEX('Recurring Schedule'!$L$6:$L$45,R1231)="","",INDEX('Recurring Schedule'!$L$6:$L$45,R1231)))</f>
        <v/>
      </c>
      <c r="O1231" s="73">
        <f>IF(C1231="","",IF(AND(OR(L1231="1-Urgent",L1231="2-High"),M1231="✓"),"DO FIRST",IF(M1231="✓","SCHEDULE",IF(OR(L1231="1-Urgent",L1231="2-High"),"DELEGATE","DELETE"))))</f>
        <v/>
      </c>
      <c r="P1231" s="65" t="n"/>
      <c r="Q1231">
        <f>IF(1226&gt;Calc!$AQ$368,"",MATCH(1225,Calc!$AQ$2:$AQ$367,1))</f>
        <v/>
      </c>
      <c r="R1231">
        <f>IF(Q1231="","",SMALL(INDEX(Calc!$B$2:$AO$367,Q1231,0),1226-INDEX(Calc!$AQ$2:$AQ$367,Q1231)))</f>
        <v/>
      </c>
    </row>
    <row r="1232">
      <c r="B1232" s="64">
        <f>IF(R1232="","",1227)</f>
        <v/>
      </c>
      <c r="C1232" s="37">
        <f>IF(R1232="","",IF(INDEX('Recurring Schedule'!$C$6:$C$45,R1232)="","",INDEX('Recurring Schedule'!$C$6:$C$45,R1232)))</f>
        <v/>
      </c>
      <c r="D1232" s="36">
        <f>IF(R1232="","",IF(INDEX('Recurring Schedule'!$D$6:$D$45,R1232)="","",INDEX('Recurring Schedule'!$D$6:$D$45,R1232)))</f>
        <v/>
      </c>
      <c r="E1232" s="38">
        <f>IF(Q1232="","",INDEX(Calc!$A$2:$A$367,Q1232))</f>
        <v/>
      </c>
      <c r="F1232" s="68">
        <f>IF(OR(C1232="",E1232=""),"",E1232-Setup!$D$7)</f>
        <v/>
      </c>
      <c r="G1232" s="74">
        <f>IF(R1232="","",IF(INDEX('Recurring Schedule'!$H$6:$H$45,R1232)="","",INDEX('Recurring Schedule'!$H$6:$H$45,R1232)))</f>
        <v/>
      </c>
      <c r="H1232" s="74">
        <f>IF(R1232="","",IF(INDEX('Recurring Schedule'!$I$6:$I$45,R1232)="","",INDEX('Recurring Schedule'!$I$6:$I$45,R1232)))</f>
        <v/>
      </c>
      <c r="I1232" s="36">
        <f>IF(OR(G1232="",H1232=""),"",TRIM(IF(HOUR(H1232-G1232)&gt;0,HOUR(H1232-G1232)&amp;" hr ","")&amp;IF(MINUTE(H1232-G1232)&gt;0,MINUTE(H1232-G1232)&amp;" min","")))</f>
        <v/>
      </c>
      <c r="J1232" s="66" t="n"/>
      <c r="K1232" s="70" t="n"/>
      <c r="L1232" s="36">
        <f>IF(R1232="","",IF(INDEX('Recurring Schedule'!$J$6:$J$45,R1232)="","",INDEX('Recurring Schedule'!$J$6:$J$45,R1232)))</f>
        <v/>
      </c>
      <c r="M1232" s="36">
        <f>IF(R1232="","",IF(INDEX('Recurring Schedule'!$K$6:$K$45,R1232)="","",INDEX('Recurring Schedule'!$K$6:$K$45,R1232)))</f>
        <v/>
      </c>
      <c r="N1232" s="36">
        <f>IF(R1232="","",IF(INDEX('Recurring Schedule'!$L$6:$L$45,R1232)="","",INDEX('Recurring Schedule'!$L$6:$L$45,R1232)))</f>
        <v/>
      </c>
      <c r="O1232" s="36">
        <f>IF(C1232="","",IF(AND(OR(L1232="1-Urgent",L1232="2-High"),M1232="✓"),"DO FIRST",IF(M1232="✓","SCHEDULE",IF(OR(L1232="1-Urgent",L1232="2-High"),"DELEGATE","DELETE"))))</f>
        <v/>
      </c>
      <c r="P1232" s="65" t="n"/>
      <c r="Q1232">
        <f>IF(1227&gt;Calc!$AQ$368,"",MATCH(1226,Calc!$AQ$2:$AQ$367,1))</f>
        <v/>
      </c>
      <c r="R1232">
        <f>IF(Q1232="","",SMALL(INDEX(Calc!$B$2:$AO$367,Q1232,0),1227-INDEX(Calc!$AQ$2:$AQ$367,Q1232)))</f>
        <v/>
      </c>
    </row>
    <row r="1233">
      <c r="B1233" s="71">
        <f>IF(R1233="","",1228)</f>
        <v/>
      </c>
      <c r="C1233" s="75">
        <f>IF(R1233="","",IF(INDEX('Recurring Schedule'!$C$6:$C$45,R1233)="","",INDEX('Recurring Schedule'!$C$6:$C$45,R1233)))</f>
        <v/>
      </c>
      <c r="D1233" s="73">
        <f>IF(R1233="","",IF(INDEX('Recurring Schedule'!$D$6:$D$45,R1233)="","",INDEX('Recurring Schedule'!$D$6:$D$45,R1233)))</f>
        <v/>
      </c>
      <c r="E1233" s="76">
        <f>IF(Q1233="","",INDEX(Calc!$A$2:$A$367,Q1233))</f>
        <v/>
      </c>
      <c r="F1233" s="72">
        <f>IF(OR(C1233="",E1233=""),"",E1233-Setup!$D$7)</f>
        <v/>
      </c>
      <c r="G1233" s="77">
        <f>IF(R1233="","",IF(INDEX('Recurring Schedule'!$H$6:$H$45,R1233)="","",INDEX('Recurring Schedule'!$H$6:$H$45,R1233)))</f>
        <v/>
      </c>
      <c r="H1233" s="77">
        <f>IF(R1233="","",IF(INDEX('Recurring Schedule'!$I$6:$I$45,R1233)="","",INDEX('Recurring Schedule'!$I$6:$I$45,R1233)))</f>
        <v/>
      </c>
      <c r="I1233" s="73">
        <f>IF(OR(G1233="",H1233=""),"",TRIM(IF(HOUR(H1233-G1233)&gt;0,HOUR(H1233-G1233)&amp;" hr ","")&amp;IF(MINUTE(H1233-G1233)&gt;0,MINUTE(H1233-G1233)&amp;" min","")))</f>
        <v/>
      </c>
      <c r="J1233" s="66" t="n"/>
      <c r="K1233" s="70" t="n"/>
      <c r="L1233" s="73">
        <f>IF(R1233="","",IF(INDEX('Recurring Schedule'!$J$6:$J$45,R1233)="","",INDEX('Recurring Schedule'!$J$6:$J$45,R1233)))</f>
        <v/>
      </c>
      <c r="M1233" s="73">
        <f>IF(R1233="","",IF(INDEX('Recurring Schedule'!$K$6:$K$45,R1233)="","",INDEX('Recurring Schedule'!$K$6:$K$45,R1233)))</f>
        <v/>
      </c>
      <c r="N1233" s="73">
        <f>IF(R1233="","",IF(INDEX('Recurring Schedule'!$L$6:$L$45,R1233)="","",INDEX('Recurring Schedule'!$L$6:$L$45,R1233)))</f>
        <v/>
      </c>
      <c r="O1233" s="73">
        <f>IF(C1233="","",IF(AND(OR(L1233="1-Urgent",L1233="2-High"),M1233="✓"),"DO FIRST",IF(M1233="✓","SCHEDULE",IF(OR(L1233="1-Urgent",L1233="2-High"),"DELEGATE","DELETE"))))</f>
        <v/>
      </c>
      <c r="P1233" s="65" t="n"/>
      <c r="Q1233">
        <f>IF(1228&gt;Calc!$AQ$368,"",MATCH(1227,Calc!$AQ$2:$AQ$367,1))</f>
        <v/>
      </c>
      <c r="R1233">
        <f>IF(Q1233="","",SMALL(INDEX(Calc!$B$2:$AO$367,Q1233,0),1228-INDEX(Calc!$AQ$2:$AQ$367,Q1233)))</f>
        <v/>
      </c>
    </row>
    <row r="1234">
      <c r="B1234" s="64">
        <f>IF(R1234="","",1229)</f>
        <v/>
      </c>
      <c r="C1234" s="37">
        <f>IF(R1234="","",IF(INDEX('Recurring Schedule'!$C$6:$C$45,R1234)="","",INDEX('Recurring Schedule'!$C$6:$C$45,R1234)))</f>
        <v/>
      </c>
      <c r="D1234" s="36">
        <f>IF(R1234="","",IF(INDEX('Recurring Schedule'!$D$6:$D$45,R1234)="","",INDEX('Recurring Schedule'!$D$6:$D$45,R1234)))</f>
        <v/>
      </c>
      <c r="E1234" s="38">
        <f>IF(Q1234="","",INDEX(Calc!$A$2:$A$367,Q1234))</f>
        <v/>
      </c>
      <c r="F1234" s="68">
        <f>IF(OR(C1234="",E1234=""),"",E1234-Setup!$D$7)</f>
        <v/>
      </c>
      <c r="G1234" s="74">
        <f>IF(R1234="","",IF(INDEX('Recurring Schedule'!$H$6:$H$45,R1234)="","",INDEX('Recurring Schedule'!$H$6:$H$45,R1234)))</f>
        <v/>
      </c>
      <c r="H1234" s="74">
        <f>IF(R1234="","",IF(INDEX('Recurring Schedule'!$I$6:$I$45,R1234)="","",INDEX('Recurring Schedule'!$I$6:$I$45,R1234)))</f>
        <v/>
      </c>
      <c r="I1234" s="36">
        <f>IF(OR(G1234="",H1234=""),"",TRIM(IF(HOUR(H1234-G1234)&gt;0,HOUR(H1234-G1234)&amp;" hr ","")&amp;IF(MINUTE(H1234-G1234)&gt;0,MINUTE(H1234-G1234)&amp;" min","")))</f>
        <v/>
      </c>
      <c r="J1234" s="66" t="n"/>
      <c r="K1234" s="70" t="n"/>
      <c r="L1234" s="36">
        <f>IF(R1234="","",IF(INDEX('Recurring Schedule'!$J$6:$J$45,R1234)="","",INDEX('Recurring Schedule'!$J$6:$J$45,R1234)))</f>
        <v/>
      </c>
      <c r="M1234" s="36">
        <f>IF(R1234="","",IF(INDEX('Recurring Schedule'!$K$6:$K$45,R1234)="","",INDEX('Recurring Schedule'!$K$6:$K$45,R1234)))</f>
        <v/>
      </c>
      <c r="N1234" s="36">
        <f>IF(R1234="","",IF(INDEX('Recurring Schedule'!$L$6:$L$45,R1234)="","",INDEX('Recurring Schedule'!$L$6:$L$45,R1234)))</f>
        <v/>
      </c>
      <c r="O1234" s="36">
        <f>IF(C1234="","",IF(AND(OR(L1234="1-Urgent",L1234="2-High"),M1234="✓"),"DO FIRST",IF(M1234="✓","SCHEDULE",IF(OR(L1234="1-Urgent",L1234="2-High"),"DELEGATE","DELETE"))))</f>
        <v/>
      </c>
      <c r="P1234" s="65" t="n"/>
      <c r="Q1234">
        <f>IF(1229&gt;Calc!$AQ$368,"",MATCH(1228,Calc!$AQ$2:$AQ$367,1))</f>
        <v/>
      </c>
      <c r="R1234">
        <f>IF(Q1234="","",SMALL(INDEX(Calc!$B$2:$AO$367,Q1234,0),1229-INDEX(Calc!$AQ$2:$AQ$367,Q1234)))</f>
        <v/>
      </c>
    </row>
    <row r="1235">
      <c r="B1235" s="71">
        <f>IF(R1235="","",1230)</f>
        <v/>
      </c>
      <c r="C1235" s="75">
        <f>IF(R1235="","",IF(INDEX('Recurring Schedule'!$C$6:$C$45,R1235)="","",INDEX('Recurring Schedule'!$C$6:$C$45,R1235)))</f>
        <v/>
      </c>
      <c r="D1235" s="73">
        <f>IF(R1235="","",IF(INDEX('Recurring Schedule'!$D$6:$D$45,R1235)="","",INDEX('Recurring Schedule'!$D$6:$D$45,R1235)))</f>
        <v/>
      </c>
      <c r="E1235" s="76">
        <f>IF(Q1235="","",INDEX(Calc!$A$2:$A$367,Q1235))</f>
        <v/>
      </c>
      <c r="F1235" s="72">
        <f>IF(OR(C1235="",E1235=""),"",E1235-Setup!$D$7)</f>
        <v/>
      </c>
      <c r="G1235" s="77">
        <f>IF(R1235="","",IF(INDEX('Recurring Schedule'!$H$6:$H$45,R1235)="","",INDEX('Recurring Schedule'!$H$6:$H$45,R1235)))</f>
        <v/>
      </c>
      <c r="H1235" s="77">
        <f>IF(R1235="","",IF(INDEX('Recurring Schedule'!$I$6:$I$45,R1235)="","",INDEX('Recurring Schedule'!$I$6:$I$45,R1235)))</f>
        <v/>
      </c>
      <c r="I1235" s="73">
        <f>IF(OR(G1235="",H1235=""),"",TRIM(IF(HOUR(H1235-G1235)&gt;0,HOUR(H1235-G1235)&amp;" hr ","")&amp;IF(MINUTE(H1235-G1235)&gt;0,MINUTE(H1235-G1235)&amp;" min","")))</f>
        <v/>
      </c>
      <c r="J1235" s="66" t="n"/>
      <c r="K1235" s="70" t="n"/>
      <c r="L1235" s="73">
        <f>IF(R1235="","",IF(INDEX('Recurring Schedule'!$J$6:$J$45,R1235)="","",INDEX('Recurring Schedule'!$J$6:$J$45,R1235)))</f>
        <v/>
      </c>
      <c r="M1235" s="73">
        <f>IF(R1235="","",IF(INDEX('Recurring Schedule'!$K$6:$K$45,R1235)="","",INDEX('Recurring Schedule'!$K$6:$K$45,R1235)))</f>
        <v/>
      </c>
      <c r="N1235" s="73">
        <f>IF(R1235="","",IF(INDEX('Recurring Schedule'!$L$6:$L$45,R1235)="","",INDEX('Recurring Schedule'!$L$6:$L$45,R1235)))</f>
        <v/>
      </c>
      <c r="O1235" s="73">
        <f>IF(C1235="","",IF(AND(OR(L1235="1-Urgent",L1235="2-High"),M1235="✓"),"DO FIRST",IF(M1235="✓","SCHEDULE",IF(OR(L1235="1-Urgent",L1235="2-High"),"DELEGATE","DELETE"))))</f>
        <v/>
      </c>
      <c r="P1235" s="65" t="n"/>
      <c r="Q1235">
        <f>IF(1230&gt;Calc!$AQ$368,"",MATCH(1229,Calc!$AQ$2:$AQ$367,1))</f>
        <v/>
      </c>
      <c r="R1235">
        <f>IF(Q1235="","",SMALL(INDEX(Calc!$B$2:$AO$367,Q1235,0),1230-INDEX(Calc!$AQ$2:$AQ$367,Q1235)))</f>
        <v/>
      </c>
    </row>
    <row r="1236">
      <c r="B1236" s="64">
        <f>IF(R1236="","",1231)</f>
        <v/>
      </c>
      <c r="C1236" s="37">
        <f>IF(R1236="","",IF(INDEX('Recurring Schedule'!$C$6:$C$45,R1236)="","",INDEX('Recurring Schedule'!$C$6:$C$45,R1236)))</f>
        <v/>
      </c>
      <c r="D1236" s="36">
        <f>IF(R1236="","",IF(INDEX('Recurring Schedule'!$D$6:$D$45,R1236)="","",INDEX('Recurring Schedule'!$D$6:$D$45,R1236)))</f>
        <v/>
      </c>
      <c r="E1236" s="38">
        <f>IF(Q1236="","",INDEX(Calc!$A$2:$A$367,Q1236))</f>
        <v/>
      </c>
      <c r="F1236" s="68">
        <f>IF(OR(C1236="",E1236=""),"",E1236-Setup!$D$7)</f>
        <v/>
      </c>
      <c r="G1236" s="74">
        <f>IF(R1236="","",IF(INDEX('Recurring Schedule'!$H$6:$H$45,R1236)="","",INDEX('Recurring Schedule'!$H$6:$H$45,R1236)))</f>
        <v/>
      </c>
      <c r="H1236" s="74">
        <f>IF(R1236="","",IF(INDEX('Recurring Schedule'!$I$6:$I$45,R1236)="","",INDEX('Recurring Schedule'!$I$6:$I$45,R1236)))</f>
        <v/>
      </c>
      <c r="I1236" s="36">
        <f>IF(OR(G1236="",H1236=""),"",TRIM(IF(HOUR(H1236-G1236)&gt;0,HOUR(H1236-G1236)&amp;" hr ","")&amp;IF(MINUTE(H1236-G1236)&gt;0,MINUTE(H1236-G1236)&amp;" min","")))</f>
        <v/>
      </c>
      <c r="J1236" s="66" t="n"/>
      <c r="K1236" s="70" t="n"/>
      <c r="L1236" s="36">
        <f>IF(R1236="","",IF(INDEX('Recurring Schedule'!$J$6:$J$45,R1236)="","",INDEX('Recurring Schedule'!$J$6:$J$45,R1236)))</f>
        <v/>
      </c>
      <c r="M1236" s="36">
        <f>IF(R1236="","",IF(INDEX('Recurring Schedule'!$K$6:$K$45,R1236)="","",INDEX('Recurring Schedule'!$K$6:$K$45,R1236)))</f>
        <v/>
      </c>
      <c r="N1236" s="36">
        <f>IF(R1236="","",IF(INDEX('Recurring Schedule'!$L$6:$L$45,R1236)="","",INDEX('Recurring Schedule'!$L$6:$L$45,R1236)))</f>
        <v/>
      </c>
      <c r="O1236" s="36">
        <f>IF(C1236="","",IF(AND(OR(L1236="1-Urgent",L1236="2-High"),M1236="✓"),"DO FIRST",IF(M1236="✓","SCHEDULE",IF(OR(L1236="1-Urgent",L1236="2-High"),"DELEGATE","DELETE"))))</f>
        <v/>
      </c>
      <c r="P1236" s="65" t="n"/>
      <c r="Q1236">
        <f>IF(1231&gt;Calc!$AQ$368,"",MATCH(1230,Calc!$AQ$2:$AQ$367,1))</f>
        <v/>
      </c>
      <c r="R1236">
        <f>IF(Q1236="","",SMALL(INDEX(Calc!$B$2:$AO$367,Q1236,0),1231-INDEX(Calc!$AQ$2:$AQ$367,Q1236)))</f>
        <v/>
      </c>
    </row>
    <row r="1237">
      <c r="B1237" s="71">
        <f>IF(R1237="","",1232)</f>
        <v/>
      </c>
      <c r="C1237" s="75">
        <f>IF(R1237="","",IF(INDEX('Recurring Schedule'!$C$6:$C$45,R1237)="","",INDEX('Recurring Schedule'!$C$6:$C$45,R1237)))</f>
        <v/>
      </c>
      <c r="D1237" s="73">
        <f>IF(R1237="","",IF(INDEX('Recurring Schedule'!$D$6:$D$45,R1237)="","",INDEX('Recurring Schedule'!$D$6:$D$45,R1237)))</f>
        <v/>
      </c>
      <c r="E1237" s="76">
        <f>IF(Q1237="","",INDEX(Calc!$A$2:$A$367,Q1237))</f>
        <v/>
      </c>
      <c r="F1237" s="72">
        <f>IF(OR(C1237="",E1237=""),"",E1237-Setup!$D$7)</f>
        <v/>
      </c>
      <c r="G1237" s="77">
        <f>IF(R1237="","",IF(INDEX('Recurring Schedule'!$H$6:$H$45,R1237)="","",INDEX('Recurring Schedule'!$H$6:$H$45,R1237)))</f>
        <v/>
      </c>
      <c r="H1237" s="77">
        <f>IF(R1237="","",IF(INDEX('Recurring Schedule'!$I$6:$I$45,R1237)="","",INDEX('Recurring Schedule'!$I$6:$I$45,R1237)))</f>
        <v/>
      </c>
      <c r="I1237" s="73">
        <f>IF(OR(G1237="",H1237=""),"",TRIM(IF(HOUR(H1237-G1237)&gt;0,HOUR(H1237-G1237)&amp;" hr ","")&amp;IF(MINUTE(H1237-G1237)&gt;0,MINUTE(H1237-G1237)&amp;" min","")))</f>
        <v/>
      </c>
      <c r="J1237" s="66" t="n"/>
      <c r="K1237" s="70" t="n"/>
      <c r="L1237" s="73">
        <f>IF(R1237="","",IF(INDEX('Recurring Schedule'!$J$6:$J$45,R1237)="","",INDEX('Recurring Schedule'!$J$6:$J$45,R1237)))</f>
        <v/>
      </c>
      <c r="M1237" s="73">
        <f>IF(R1237="","",IF(INDEX('Recurring Schedule'!$K$6:$K$45,R1237)="","",INDEX('Recurring Schedule'!$K$6:$K$45,R1237)))</f>
        <v/>
      </c>
      <c r="N1237" s="73">
        <f>IF(R1237="","",IF(INDEX('Recurring Schedule'!$L$6:$L$45,R1237)="","",INDEX('Recurring Schedule'!$L$6:$L$45,R1237)))</f>
        <v/>
      </c>
      <c r="O1237" s="73">
        <f>IF(C1237="","",IF(AND(OR(L1237="1-Urgent",L1237="2-High"),M1237="✓"),"DO FIRST",IF(M1237="✓","SCHEDULE",IF(OR(L1237="1-Urgent",L1237="2-High"),"DELEGATE","DELETE"))))</f>
        <v/>
      </c>
      <c r="P1237" s="65" t="n"/>
      <c r="Q1237">
        <f>IF(1232&gt;Calc!$AQ$368,"",MATCH(1231,Calc!$AQ$2:$AQ$367,1))</f>
        <v/>
      </c>
      <c r="R1237">
        <f>IF(Q1237="","",SMALL(INDEX(Calc!$B$2:$AO$367,Q1237,0),1232-INDEX(Calc!$AQ$2:$AQ$367,Q1237)))</f>
        <v/>
      </c>
    </row>
    <row r="1238">
      <c r="B1238" s="64">
        <f>IF(R1238="","",1233)</f>
        <v/>
      </c>
      <c r="C1238" s="37">
        <f>IF(R1238="","",IF(INDEX('Recurring Schedule'!$C$6:$C$45,R1238)="","",INDEX('Recurring Schedule'!$C$6:$C$45,R1238)))</f>
        <v/>
      </c>
      <c r="D1238" s="36">
        <f>IF(R1238="","",IF(INDEX('Recurring Schedule'!$D$6:$D$45,R1238)="","",INDEX('Recurring Schedule'!$D$6:$D$45,R1238)))</f>
        <v/>
      </c>
      <c r="E1238" s="38">
        <f>IF(Q1238="","",INDEX(Calc!$A$2:$A$367,Q1238))</f>
        <v/>
      </c>
      <c r="F1238" s="68">
        <f>IF(OR(C1238="",E1238=""),"",E1238-Setup!$D$7)</f>
        <v/>
      </c>
      <c r="G1238" s="74">
        <f>IF(R1238="","",IF(INDEX('Recurring Schedule'!$H$6:$H$45,R1238)="","",INDEX('Recurring Schedule'!$H$6:$H$45,R1238)))</f>
        <v/>
      </c>
      <c r="H1238" s="74">
        <f>IF(R1238="","",IF(INDEX('Recurring Schedule'!$I$6:$I$45,R1238)="","",INDEX('Recurring Schedule'!$I$6:$I$45,R1238)))</f>
        <v/>
      </c>
      <c r="I1238" s="36">
        <f>IF(OR(G1238="",H1238=""),"",TRIM(IF(HOUR(H1238-G1238)&gt;0,HOUR(H1238-G1238)&amp;" hr ","")&amp;IF(MINUTE(H1238-G1238)&gt;0,MINUTE(H1238-G1238)&amp;" min","")))</f>
        <v/>
      </c>
      <c r="J1238" s="66" t="n"/>
      <c r="K1238" s="70" t="n"/>
      <c r="L1238" s="36">
        <f>IF(R1238="","",IF(INDEX('Recurring Schedule'!$J$6:$J$45,R1238)="","",INDEX('Recurring Schedule'!$J$6:$J$45,R1238)))</f>
        <v/>
      </c>
      <c r="M1238" s="36">
        <f>IF(R1238="","",IF(INDEX('Recurring Schedule'!$K$6:$K$45,R1238)="","",INDEX('Recurring Schedule'!$K$6:$K$45,R1238)))</f>
        <v/>
      </c>
      <c r="N1238" s="36">
        <f>IF(R1238="","",IF(INDEX('Recurring Schedule'!$L$6:$L$45,R1238)="","",INDEX('Recurring Schedule'!$L$6:$L$45,R1238)))</f>
        <v/>
      </c>
      <c r="O1238" s="36">
        <f>IF(C1238="","",IF(AND(OR(L1238="1-Urgent",L1238="2-High"),M1238="✓"),"DO FIRST",IF(M1238="✓","SCHEDULE",IF(OR(L1238="1-Urgent",L1238="2-High"),"DELEGATE","DELETE"))))</f>
        <v/>
      </c>
      <c r="P1238" s="65" t="n"/>
      <c r="Q1238">
        <f>IF(1233&gt;Calc!$AQ$368,"",MATCH(1232,Calc!$AQ$2:$AQ$367,1))</f>
        <v/>
      </c>
      <c r="R1238">
        <f>IF(Q1238="","",SMALL(INDEX(Calc!$B$2:$AO$367,Q1238,0),1233-INDEX(Calc!$AQ$2:$AQ$367,Q1238)))</f>
        <v/>
      </c>
    </row>
    <row r="1239">
      <c r="B1239" s="71">
        <f>IF(R1239="","",1234)</f>
        <v/>
      </c>
      <c r="C1239" s="75">
        <f>IF(R1239="","",IF(INDEX('Recurring Schedule'!$C$6:$C$45,R1239)="","",INDEX('Recurring Schedule'!$C$6:$C$45,R1239)))</f>
        <v/>
      </c>
      <c r="D1239" s="73">
        <f>IF(R1239="","",IF(INDEX('Recurring Schedule'!$D$6:$D$45,R1239)="","",INDEX('Recurring Schedule'!$D$6:$D$45,R1239)))</f>
        <v/>
      </c>
      <c r="E1239" s="76">
        <f>IF(Q1239="","",INDEX(Calc!$A$2:$A$367,Q1239))</f>
        <v/>
      </c>
      <c r="F1239" s="72">
        <f>IF(OR(C1239="",E1239=""),"",E1239-Setup!$D$7)</f>
        <v/>
      </c>
      <c r="G1239" s="77">
        <f>IF(R1239="","",IF(INDEX('Recurring Schedule'!$H$6:$H$45,R1239)="","",INDEX('Recurring Schedule'!$H$6:$H$45,R1239)))</f>
        <v/>
      </c>
      <c r="H1239" s="77">
        <f>IF(R1239="","",IF(INDEX('Recurring Schedule'!$I$6:$I$45,R1239)="","",INDEX('Recurring Schedule'!$I$6:$I$45,R1239)))</f>
        <v/>
      </c>
      <c r="I1239" s="73">
        <f>IF(OR(G1239="",H1239=""),"",TRIM(IF(HOUR(H1239-G1239)&gt;0,HOUR(H1239-G1239)&amp;" hr ","")&amp;IF(MINUTE(H1239-G1239)&gt;0,MINUTE(H1239-G1239)&amp;" min","")))</f>
        <v/>
      </c>
      <c r="J1239" s="66" t="n"/>
      <c r="K1239" s="70" t="n"/>
      <c r="L1239" s="73">
        <f>IF(R1239="","",IF(INDEX('Recurring Schedule'!$J$6:$J$45,R1239)="","",INDEX('Recurring Schedule'!$J$6:$J$45,R1239)))</f>
        <v/>
      </c>
      <c r="M1239" s="73">
        <f>IF(R1239="","",IF(INDEX('Recurring Schedule'!$K$6:$K$45,R1239)="","",INDEX('Recurring Schedule'!$K$6:$K$45,R1239)))</f>
        <v/>
      </c>
      <c r="N1239" s="73">
        <f>IF(R1239="","",IF(INDEX('Recurring Schedule'!$L$6:$L$45,R1239)="","",INDEX('Recurring Schedule'!$L$6:$L$45,R1239)))</f>
        <v/>
      </c>
      <c r="O1239" s="73">
        <f>IF(C1239="","",IF(AND(OR(L1239="1-Urgent",L1239="2-High"),M1239="✓"),"DO FIRST",IF(M1239="✓","SCHEDULE",IF(OR(L1239="1-Urgent",L1239="2-High"),"DELEGATE","DELETE"))))</f>
        <v/>
      </c>
      <c r="P1239" s="65" t="n"/>
      <c r="Q1239">
        <f>IF(1234&gt;Calc!$AQ$368,"",MATCH(1233,Calc!$AQ$2:$AQ$367,1))</f>
        <v/>
      </c>
      <c r="R1239">
        <f>IF(Q1239="","",SMALL(INDEX(Calc!$B$2:$AO$367,Q1239,0),1234-INDEX(Calc!$AQ$2:$AQ$367,Q1239)))</f>
        <v/>
      </c>
    </row>
    <row r="1240">
      <c r="B1240" s="64">
        <f>IF(R1240="","",1235)</f>
        <v/>
      </c>
      <c r="C1240" s="37">
        <f>IF(R1240="","",IF(INDEX('Recurring Schedule'!$C$6:$C$45,R1240)="","",INDEX('Recurring Schedule'!$C$6:$C$45,R1240)))</f>
        <v/>
      </c>
      <c r="D1240" s="36">
        <f>IF(R1240="","",IF(INDEX('Recurring Schedule'!$D$6:$D$45,R1240)="","",INDEX('Recurring Schedule'!$D$6:$D$45,R1240)))</f>
        <v/>
      </c>
      <c r="E1240" s="38">
        <f>IF(Q1240="","",INDEX(Calc!$A$2:$A$367,Q1240))</f>
        <v/>
      </c>
      <c r="F1240" s="68">
        <f>IF(OR(C1240="",E1240=""),"",E1240-Setup!$D$7)</f>
        <v/>
      </c>
      <c r="G1240" s="74">
        <f>IF(R1240="","",IF(INDEX('Recurring Schedule'!$H$6:$H$45,R1240)="","",INDEX('Recurring Schedule'!$H$6:$H$45,R1240)))</f>
        <v/>
      </c>
      <c r="H1240" s="74">
        <f>IF(R1240="","",IF(INDEX('Recurring Schedule'!$I$6:$I$45,R1240)="","",INDEX('Recurring Schedule'!$I$6:$I$45,R1240)))</f>
        <v/>
      </c>
      <c r="I1240" s="36">
        <f>IF(OR(G1240="",H1240=""),"",TRIM(IF(HOUR(H1240-G1240)&gt;0,HOUR(H1240-G1240)&amp;" hr ","")&amp;IF(MINUTE(H1240-G1240)&gt;0,MINUTE(H1240-G1240)&amp;" min","")))</f>
        <v/>
      </c>
      <c r="J1240" s="66" t="n"/>
      <c r="K1240" s="70" t="n"/>
      <c r="L1240" s="36">
        <f>IF(R1240="","",IF(INDEX('Recurring Schedule'!$J$6:$J$45,R1240)="","",INDEX('Recurring Schedule'!$J$6:$J$45,R1240)))</f>
        <v/>
      </c>
      <c r="M1240" s="36">
        <f>IF(R1240="","",IF(INDEX('Recurring Schedule'!$K$6:$K$45,R1240)="","",INDEX('Recurring Schedule'!$K$6:$K$45,R1240)))</f>
        <v/>
      </c>
      <c r="N1240" s="36">
        <f>IF(R1240="","",IF(INDEX('Recurring Schedule'!$L$6:$L$45,R1240)="","",INDEX('Recurring Schedule'!$L$6:$L$45,R1240)))</f>
        <v/>
      </c>
      <c r="O1240" s="36">
        <f>IF(C1240="","",IF(AND(OR(L1240="1-Urgent",L1240="2-High"),M1240="✓"),"DO FIRST",IF(M1240="✓","SCHEDULE",IF(OR(L1240="1-Urgent",L1240="2-High"),"DELEGATE","DELETE"))))</f>
        <v/>
      </c>
      <c r="P1240" s="65" t="n"/>
      <c r="Q1240">
        <f>IF(1235&gt;Calc!$AQ$368,"",MATCH(1234,Calc!$AQ$2:$AQ$367,1))</f>
        <v/>
      </c>
      <c r="R1240">
        <f>IF(Q1240="","",SMALL(INDEX(Calc!$B$2:$AO$367,Q1240,0),1235-INDEX(Calc!$AQ$2:$AQ$367,Q1240)))</f>
        <v/>
      </c>
    </row>
    <row r="1241">
      <c r="B1241" s="71">
        <f>IF(R1241="","",1236)</f>
        <v/>
      </c>
      <c r="C1241" s="75">
        <f>IF(R1241="","",IF(INDEX('Recurring Schedule'!$C$6:$C$45,R1241)="","",INDEX('Recurring Schedule'!$C$6:$C$45,R1241)))</f>
        <v/>
      </c>
      <c r="D1241" s="73">
        <f>IF(R1241="","",IF(INDEX('Recurring Schedule'!$D$6:$D$45,R1241)="","",INDEX('Recurring Schedule'!$D$6:$D$45,R1241)))</f>
        <v/>
      </c>
      <c r="E1241" s="76">
        <f>IF(Q1241="","",INDEX(Calc!$A$2:$A$367,Q1241))</f>
        <v/>
      </c>
      <c r="F1241" s="72">
        <f>IF(OR(C1241="",E1241=""),"",E1241-Setup!$D$7)</f>
        <v/>
      </c>
      <c r="G1241" s="77">
        <f>IF(R1241="","",IF(INDEX('Recurring Schedule'!$H$6:$H$45,R1241)="","",INDEX('Recurring Schedule'!$H$6:$H$45,R1241)))</f>
        <v/>
      </c>
      <c r="H1241" s="77">
        <f>IF(R1241="","",IF(INDEX('Recurring Schedule'!$I$6:$I$45,R1241)="","",INDEX('Recurring Schedule'!$I$6:$I$45,R1241)))</f>
        <v/>
      </c>
      <c r="I1241" s="73">
        <f>IF(OR(G1241="",H1241=""),"",TRIM(IF(HOUR(H1241-G1241)&gt;0,HOUR(H1241-G1241)&amp;" hr ","")&amp;IF(MINUTE(H1241-G1241)&gt;0,MINUTE(H1241-G1241)&amp;" min","")))</f>
        <v/>
      </c>
      <c r="J1241" s="66" t="n"/>
      <c r="K1241" s="70" t="n"/>
      <c r="L1241" s="73">
        <f>IF(R1241="","",IF(INDEX('Recurring Schedule'!$J$6:$J$45,R1241)="","",INDEX('Recurring Schedule'!$J$6:$J$45,R1241)))</f>
        <v/>
      </c>
      <c r="M1241" s="73">
        <f>IF(R1241="","",IF(INDEX('Recurring Schedule'!$K$6:$K$45,R1241)="","",INDEX('Recurring Schedule'!$K$6:$K$45,R1241)))</f>
        <v/>
      </c>
      <c r="N1241" s="73">
        <f>IF(R1241="","",IF(INDEX('Recurring Schedule'!$L$6:$L$45,R1241)="","",INDEX('Recurring Schedule'!$L$6:$L$45,R1241)))</f>
        <v/>
      </c>
      <c r="O1241" s="73">
        <f>IF(C1241="","",IF(AND(OR(L1241="1-Urgent",L1241="2-High"),M1241="✓"),"DO FIRST",IF(M1241="✓","SCHEDULE",IF(OR(L1241="1-Urgent",L1241="2-High"),"DELEGATE","DELETE"))))</f>
        <v/>
      </c>
      <c r="P1241" s="65" t="n"/>
      <c r="Q1241">
        <f>IF(1236&gt;Calc!$AQ$368,"",MATCH(1235,Calc!$AQ$2:$AQ$367,1))</f>
        <v/>
      </c>
      <c r="R1241">
        <f>IF(Q1241="","",SMALL(INDEX(Calc!$B$2:$AO$367,Q1241,0),1236-INDEX(Calc!$AQ$2:$AQ$367,Q1241)))</f>
        <v/>
      </c>
    </row>
    <row r="1242">
      <c r="B1242" s="64">
        <f>IF(R1242="","",1237)</f>
        <v/>
      </c>
      <c r="C1242" s="37">
        <f>IF(R1242="","",IF(INDEX('Recurring Schedule'!$C$6:$C$45,R1242)="","",INDEX('Recurring Schedule'!$C$6:$C$45,R1242)))</f>
        <v/>
      </c>
      <c r="D1242" s="36">
        <f>IF(R1242="","",IF(INDEX('Recurring Schedule'!$D$6:$D$45,R1242)="","",INDEX('Recurring Schedule'!$D$6:$D$45,R1242)))</f>
        <v/>
      </c>
      <c r="E1242" s="38">
        <f>IF(Q1242="","",INDEX(Calc!$A$2:$A$367,Q1242))</f>
        <v/>
      </c>
      <c r="F1242" s="68">
        <f>IF(OR(C1242="",E1242=""),"",E1242-Setup!$D$7)</f>
        <v/>
      </c>
      <c r="G1242" s="74">
        <f>IF(R1242="","",IF(INDEX('Recurring Schedule'!$H$6:$H$45,R1242)="","",INDEX('Recurring Schedule'!$H$6:$H$45,R1242)))</f>
        <v/>
      </c>
      <c r="H1242" s="74">
        <f>IF(R1242="","",IF(INDEX('Recurring Schedule'!$I$6:$I$45,R1242)="","",INDEX('Recurring Schedule'!$I$6:$I$45,R1242)))</f>
        <v/>
      </c>
      <c r="I1242" s="36">
        <f>IF(OR(G1242="",H1242=""),"",TRIM(IF(HOUR(H1242-G1242)&gt;0,HOUR(H1242-G1242)&amp;" hr ","")&amp;IF(MINUTE(H1242-G1242)&gt;0,MINUTE(H1242-G1242)&amp;" min","")))</f>
        <v/>
      </c>
      <c r="J1242" s="66" t="n"/>
      <c r="K1242" s="70" t="n"/>
      <c r="L1242" s="36">
        <f>IF(R1242="","",IF(INDEX('Recurring Schedule'!$J$6:$J$45,R1242)="","",INDEX('Recurring Schedule'!$J$6:$J$45,R1242)))</f>
        <v/>
      </c>
      <c r="M1242" s="36">
        <f>IF(R1242="","",IF(INDEX('Recurring Schedule'!$K$6:$K$45,R1242)="","",INDEX('Recurring Schedule'!$K$6:$K$45,R1242)))</f>
        <v/>
      </c>
      <c r="N1242" s="36">
        <f>IF(R1242="","",IF(INDEX('Recurring Schedule'!$L$6:$L$45,R1242)="","",INDEX('Recurring Schedule'!$L$6:$L$45,R1242)))</f>
        <v/>
      </c>
      <c r="O1242" s="36">
        <f>IF(C1242="","",IF(AND(OR(L1242="1-Urgent",L1242="2-High"),M1242="✓"),"DO FIRST",IF(M1242="✓","SCHEDULE",IF(OR(L1242="1-Urgent",L1242="2-High"),"DELEGATE","DELETE"))))</f>
        <v/>
      </c>
      <c r="P1242" s="65" t="n"/>
      <c r="Q1242">
        <f>IF(1237&gt;Calc!$AQ$368,"",MATCH(1236,Calc!$AQ$2:$AQ$367,1))</f>
        <v/>
      </c>
      <c r="R1242">
        <f>IF(Q1242="","",SMALL(INDEX(Calc!$B$2:$AO$367,Q1242,0),1237-INDEX(Calc!$AQ$2:$AQ$367,Q1242)))</f>
        <v/>
      </c>
    </row>
    <row r="1243">
      <c r="B1243" s="71">
        <f>IF(R1243="","",1238)</f>
        <v/>
      </c>
      <c r="C1243" s="75">
        <f>IF(R1243="","",IF(INDEX('Recurring Schedule'!$C$6:$C$45,R1243)="","",INDEX('Recurring Schedule'!$C$6:$C$45,R1243)))</f>
        <v/>
      </c>
      <c r="D1243" s="73">
        <f>IF(R1243="","",IF(INDEX('Recurring Schedule'!$D$6:$D$45,R1243)="","",INDEX('Recurring Schedule'!$D$6:$D$45,R1243)))</f>
        <v/>
      </c>
      <c r="E1243" s="76">
        <f>IF(Q1243="","",INDEX(Calc!$A$2:$A$367,Q1243))</f>
        <v/>
      </c>
      <c r="F1243" s="72">
        <f>IF(OR(C1243="",E1243=""),"",E1243-Setup!$D$7)</f>
        <v/>
      </c>
      <c r="G1243" s="77">
        <f>IF(R1243="","",IF(INDEX('Recurring Schedule'!$H$6:$H$45,R1243)="","",INDEX('Recurring Schedule'!$H$6:$H$45,R1243)))</f>
        <v/>
      </c>
      <c r="H1243" s="77">
        <f>IF(R1243="","",IF(INDEX('Recurring Schedule'!$I$6:$I$45,R1243)="","",INDEX('Recurring Schedule'!$I$6:$I$45,R1243)))</f>
        <v/>
      </c>
      <c r="I1243" s="73">
        <f>IF(OR(G1243="",H1243=""),"",TRIM(IF(HOUR(H1243-G1243)&gt;0,HOUR(H1243-G1243)&amp;" hr ","")&amp;IF(MINUTE(H1243-G1243)&gt;0,MINUTE(H1243-G1243)&amp;" min","")))</f>
        <v/>
      </c>
      <c r="J1243" s="66" t="n"/>
      <c r="K1243" s="70" t="n"/>
      <c r="L1243" s="73">
        <f>IF(R1243="","",IF(INDEX('Recurring Schedule'!$J$6:$J$45,R1243)="","",INDEX('Recurring Schedule'!$J$6:$J$45,R1243)))</f>
        <v/>
      </c>
      <c r="M1243" s="73">
        <f>IF(R1243="","",IF(INDEX('Recurring Schedule'!$K$6:$K$45,R1243)="","",INDEX('Recurring Schedule'!$K$6:$K$45,R1243)))</f>
        <v/>
      </c>
      <c r="N1243" s="73">
        <f>IF(R1243="","",IF(INDEX('Recurring Schedule'!$L$6:$L$45,R1243)="","",INDEX('Recurring Schedule'!$L$6:$L$45,R1243)))</f>
        <v/>
      </c>
      <c r="O1243" s="73">
        <f>IF(C1243="","",IF(AND(OR(L1243="1-Urgent",L1243="2-High"),M1243="✓"),"DO FIRST",IF(M1243="✓","SCHEDULE",IF(OR(L1243="1-Urgent",L1243="2-High"),"DELEGATE","DELETE"))))</f>
        <v/>
      </c>
      <c r="P1243" s="65" t="n"/>
      <c r="Q1243">
        <f>IF(1238&gt;Calc!$AQ$368,"",MATCH(1237,Calc!$AQ$2:$AQ$367,1))</f>
        <v/>
      </c>
      <c r="R1243">
        <f>IF(Q1243="","",SMALL(INDEX(Calc!$B$2:$AO$367,Q1243,0),1238-INDEX(Calc!$AQ$2:$AQ$367,Q1243)))</f>
        <v/>
      </c>
    </row>
    <row r="1244">
      <c r="B1244" s="64">
        <f>IF(R1244="","",1239)</f>
        <v/>
      </c>
      <c r="C1244" s="37">
        <f>IF(R1244="","",IF(INDEX('Recurring Schedule'!$C$6:$C$45,R1244)="","",INDEX('Recurring Schedule'!$C$6:$C$45,R1244)))</f>
        <v/>
      </c>
      <c r="D1244" s="36">
        <f>IF(R1244="","",IF(INDEX('Recurring Schedule'!$D$6:$D$45,R1244)="","",INDEX('Recurring Schedule'!$D$6:$D$45,R1244)))</f>
        <v/>
      </c>
      <c r="E1244" s="38">
        <f>IF(Q1244="","",INDEX(Calc!$A$2:$A$367,Q1244))</f>
        <v/>
      </c>
      <c r="F1244" s="68">
        <f>IF(OR(C1244="",E1244=""),"",E1244-Setup!$D$7)</f>
        <v/>
      </c>
      <c r="G1244" s="74">
        <f>IF(R1244="","",IF(INDEX('Recurring Schedule'!$H$6:$H$45,R1244)="","",INDEX('Recurring Schedule'!$H$6:$H$45,R1244)))</f>
        <v/>
      </c>
      <c r="H1244" s="74">
        <f>IF(R1244="","",IF(INDEX('Recurring Schedule'!$I$6:$I$45,R1244)="","",INDEX('Recurring Schedule'!$I$6:$I$45,R1244)))</f>
        <v/>
      </c>
      <c r="I1244" s="36">
        <f>IF(OR(G1244="",H1244=""),"",TRIM(IF(HOUR(H1244-G1244)&gt;0,HOUR(H1244-G1244)&amp;" hr ","")&amp;IF(MINUTE(H1244-G1244)&gt;0,MINUTE(H1244-G1244)&amp;" min","")))</f>
        <v/>
      </c>
      <c r="J1244" s="66" t="n"/>
      <c r="K1244" s="70" t="n"/>
      <c r="L1244" s="36">
        <f>IF(R1244="","",IF(INDEX('Recurring Schedule'!$J$6:$J$45,R1244)="","",INDEX('Recurring Schedule'!$J$6:$J$45,R1244)))</f>
        <v/>
      </c>
      <c r="M1244" s="36">
        <f>IF(R1244="","",IF(INDEX('Recurring Schedule'!$K$6:$K$45,R1244)="","",INDEX('Recurring Schedule'!$K$6:$K$45,R1244)))</f>
        <v/>
      </c>
      <c r="N1244" s="36">
        <f>IF(R1244="","",IF(INDEX('Recurring Schedule'!$L$6:$L$45,R1244)="","",INDEX('Recurring Schedule'!$L$6:$L$45,R1244)))</f>
        <v/>
      </c>
      <c r="O1244" s="36">
        <f>IF(C1244="","",IF(AND(OR(L1244="1-Urgent",L1244="2-High"),M1244="✓"),"DO FIRST",IF(M1244="✓","SCHEDULE",IF(OR(L1244="1-Urgent",L1244="2-High"),"DELEGATE","DELETE"))))</f>
        <v/>
      </c>
      <c r="P1244" s="65" t="n"/>
      <c r="Q1244">
        <f>IF(1239&gt;Calc!$AQ$368,"",MATCH(1238,Calc!$AQ$2:$AQ$367,1))</f>
        <v/>
      </c>
      <c r="R1244">
        <f>IF(Q1244="","",SMALL(INDEX(Calc!$B$2:$AO$367,Q1244,0),1239-INDEX(Calc!$AQ$2:$AQ$367,Q1244)))</f>
        <v/>
      </c>
    </row>
    <row r="1245">
      <c r="B1245" s="71">
        <f>IF(R1245="","",1240)</f>
        <v/>
      </c>
      <c r="C1245" s="75">
        <f>IF(R1245="","",IF(INDEX('Recurring Schedule'!$C$6:$C$45,R1245)="","",INDEX('Recurring Schedule'!$C$6:$C$45,R1245)))</f>
        <v/>
      </c>
      <c r="D1245" s="73">
        <f>IF(R1245="","",IF(INDEX('Recurring Schedule'!$D$6:$D$45,R1245)="","",INDEX('Recurring Schedule'!$D$6:$D$45,R1245)))</f>
        <v/>
      </c>
      <c r="E1245" s="76">
        <f>IF(Q1245="","",INDEX(Calc!$A$2:$A$367,Q1245))</f>
        <v/>
      </c>
      <c r="F1245" s="72">
        <f>IF(OR(C1245="",E1245=""),"",E1245-Setup!$D$7)</f>
        <v/>
      </c>
      <c r="G1245" s="77">
        <f>IF(R1245="","",IF(INDEX('Recurring Schedule'!$H$6:$H$45,R1245)="","",INDEX('Recurring Schedule'!$H$6:$H$45,R1245)))</f>
        <v/>
      </c>
      <c r="H1245" s="77">
        <f>IF(R1245="","",IF(INDEX('Recurring Schedule'!$I$6:$I$45,R1245)="","",INDEX('Recurring Schedule'!$I$6:$I$45,R1245)))</f>
        <v/>
      </c>
      <c r="I1245" s="73">
        <f>IF(OR(G1245="",H1245=""),"",TRIM(IF(HOUR(H1245-G1245)&gt;0,HOUR(H1245-G1245)&amp;" hr ","")&amp;IF(MINUTE(H1245-G1245)&gt;0,MINUTE(H1245-G1245)&amp;" min","")))</f>
        <v/>
      </c>
      <c r="J1245" s="66" t="n"/>
      <c r="K1245" s="70" t="n"/>
      <c r="L1245" s="73">
        <f>IF(R1245="","",IF(INDEX('Recurring Schedule'!$J$6:$J$45,R1245)="","",INDEX('Recurring Schedule'!$J$6:$J$45,R1245)))</f>
        <v/>
      </c>
      <c r="M1245" s="73">
        <f>IF(R1245="","",IF(INDEX('Recurring Schedule'!$K$6:$K$45,R1245)="","",INDEX('Recurring Schedule'!$K$6:$K$45,R1245)))</f>
        <v/>
      </c>
      <c r="N1245" s="73">
        <f>IF(R1245="","",IF(INDEX('Recurring Schedule'!$L$6:$L$45,R1245)="","",INDEX('Recurring Schedule'!$L$6:$L$45,R1245)))</f>
        <v/>
      </c>
      <c r="O1245" s="73">
        <f>IF(C1245="","",IF(AND(OR(L1245="1-Urgent",L1245="2-High"),M1245="✓"),"DO FIRST",IF(M1245="✓","SCHEDULE",IF(OR(L1245="1-Urgent",L1245="2-High"),"DELEGATE","DELETE"))))</f>
        <v/>
      </c>
      <c r="P1245" s="65" t="n"/>
      <c r="Q1245">
        <f>IF(1240&gt;Calc!$AQ$368,"",MATCH(1239,Calc!$AQ$2:$AQ$367,1))</f>
        <v/>
      </c>
      <c r="R1245">
        <f>IF(Q1245="","",SMALL(INDEX(Calc!$B$2:$AO$367,Q1245,0),1240-INDEX(Calc!$AQ$2:$AQ$367,Q1245)))</f>
        <v/>
      </c>
    </row>
    <row r="1246">
      <c r="B1246" s="64">
        <f>IF(R1246="","",1241)</f>
        <v/>
      </c>
      <c r="C1246" s="37">
        <f>IF(R1246="","",IF(INDEX('Recurring Schedule'!$C$6:$C$45,R1246)="","",INDEX('Recurring Schedule'!$C$6:$C$45,R1246)))</f>
        <v/>
      </c>
      <c r="D1246" s="36">
        <f>IF(R1246="","",IF(INDEX('Recurring Schedule'!$D$6:$D$45,R1246)="","",INDEX('Recurring Schedule'!$D$6:$D$45,R1246)))</f>
        <v/>
      </c>
      <c r="E1246" s="38">
        <f>IF(Q1246="","",INDEX(Calc!$A$2:$A$367,Q1246))</f>
        <v/>
      </c>
      <c r="F1246" s="68">
        <f>IF(OR(C1246="",E1246=""),"",E1246-Setup!$D$7)</f>
        <v/>
      </c>
      <c r="G1246" s="74">
        <f>IF(R1246="","",IF(INDEX('Recurring Schedule'!$H$6:$H$45,R1246)="","",INDEX('Recurring Schedule'!$H$6:$H$45,R1246)))</f>
        <v/>
      </c>
      <c r="H1246" s="74">
        <f>IF(R1246="","",IF(INDEX('Recurring Schedule'!$I$6:$I$45,R1246)="","",INDEX('Recurring Schedule'!$I$6:$I$45,R1246)))</f>
        <v/>
      </c>
      <c r="I1246" s="36">
        <f>IF(OR(G1246="",H1246=""),"",TRIM(IF(HOUR(H1246-G1246)&gt;0,HOUR(H1246-G1246)&amp;" hr ","")&amp;IF(MINUTE(H1246-G1246)&gt;0,MINUTE(H1246-G1246)&amp;" min","")))</f>
        <v/>
      </c>
      <c r="J1246" s="66" t="n"/>
      <c r="K1246" s="70" t="n"/>
      <c r="L1246" s="36">
        <f>IF(R1246="","",IF(INDEX('Recurring Schedule'!$J$6:$J$45,R1246)="","",INDEX('Recurring Schedule'!$J$6:$J$45,R1246)))</f>
        <v/>
      </c>
      <c r="M1246" s="36">
        <f>IF(R1246="","",IF(INDEX('Recurring Schedule'!$K$6:$K$45,R1246)="","",INDEX('Recurring Schedule'!$K$6:$K$45,R1246)))</f>
        <v/>
      </c>
      <c r="N1246" s="36">
        <f>IF(R1246="","",IF(INDEX('Recurring Schedule'!$L$6:$L$45,R1246)="","",INDEX('Recurring Schedule'!$L$6:$L$45,R1246)))</f>
        <v/>
      </c>
      <c r="O1246" s="36">
        <f>IF(C1246="","",IF(AND(OR(L1246="1-Urgent",L1246="2-High"),M1246="✓"),"DO FIRST",IF(M1246="✓","SCHEDULE",IF(OR(L1246="1-Urgent",L1246="2-High"),"DELEGATE","DELETE"))))</f>
        <v/>
      </c>
      <c r="P1246" s="65" t="n"/>
      <c r="Q1246">
        <f>IF(1241&gt;Calc!$AQ$368,"",MATCH(1240,Calc!$AQ$2:$AQ$367,1))</f>
        <v/>
      </c>
      <c r="R1246">
        <f>IF(Q1246="","",SMALL(INDEX(Calc!$B$2:$AO$367,Q1246,0),1241-INDEX(Calc!$AQ$2:$AQ$367,Q1246)))</f>
        <v/>
      </c>
    </row>
    <row r="1247">
      <c r="B1247" s="71">
        <f>IF(R1247="","",1242)</f>
        <v/>
      </c>
      <c r="C1247" s="75">
        <f>IF(R1247="","",IF(INDEX('Recurring Schedule'!$C$6:$C$45,R1247)="","",INDEX('Recurring Schedule'!$C$6:$C$45,R1247)))</f>
        <v/>
      </c>
      <c r="D1247" s="73">
        <f>IF(R1247="","",IF(INDEX('Recurring Schedule'!$D$6:$D$45,R1247)="","",INDEX('Recurring Schedule'!$D$6:$D$45,R1247)))</f>
        <v/>
      </c>
      <c r="E1247" s="76">
        <f>IF(Q1247="","",INDEX(Calc!$A$2:$A$367,Q1247))</f>
        <v/>
      </c>
      <c r="F1247" s="72">
        <f>IF(OR(C1247="",E1247=""),"",E1247-Setup!$D$7)</f>
        <v/>
      </c>
      <c r="G1247" s="77">
        <f>IF(R1247="","",IF(INDEX('Recurring Schedule'!$H$6:$H$45,R1247)="","",INDEX('Recurring Schedule'!$H$6:$H$45,R1247)))</f>
        <v/>
      </c>
      <c r="H1247" s="77">
        <f>IF(R1247="","",IF(INDEX('Recurring Schedule'!$I$6:$I$45,R1247)="","",INDEX('Recurring Schedule'!$I$6:$I$45,R1247)))</f>
        <v/>
      </c>
      <c r="I1247" s="73">
        <f>IF(OR(G1247="",H1247=""),"",TRIM(IF(HOUR(H1247-G1247)&gt;0,HOUR(H1247-G1247)&amp;" hr ","")&amp;IF(MINUTE(H1247-G1247)&gt;0,MINUTE(H1247-G1247)&amp;" min","")))</f>
        <v/>
      </c>
      <c r="J1247" s="66" t="n"/>
      <c r="K1247" s="70" t="n"/>
      <c r="L1247" s="73">
        <f>IF(R1247="","",IF(INDEX('Recurring Schedule'!$J$6:$J$45,R1247)="","",INDEX('Recurring Schedule'!$J$6:$J$45,R1247)))</f>
        <v/>
      </c>
      <c r="M1247" s="73">
        <f>IF(R1247="","",IF(INDEX('Recurring Schedule'!$K$6:$K$45,R1247)="","",INDEX('Recurring Schedule'!$K$6:$K$45,R1247)))</f>
        <v/>
      </c>
      <c r="N1247" s="73">
        <f>IF(R1247="","",IF(INDEX('Recurring Schedule'!$L$6:$L$45,R1247)="","",INDEX('Recurring Schedule'!$L$6:$L$45,R1247)))</f>
        <v/>
      </c>
      <c r="O1247" s="73">
        <f>IF(C1247="","",IF(AND(OR(L1247="1-Urgent",L1247="2-High"),M1247="✓"),"DO FIRST",IF(M1247="✓","SCHEDULE",IF(OR(L1247="1-Urgent",L1247="2-High"),"DELEGATE","DELETE"))))</f>
        <v/>
      </c>
      <c r="P1247" s="65" t="n"/>
      <c r="Q1247">
        <f>IF(1242&gt;Calc!$AQ$368,"",MATCH(1241,Calc!$AQ$2:$AQ$367,1))</f>
        <v/>
      </c>
      <c r="R1247">
        <f>IF(Q1247="","",SMALL(INDEX(Calc!$B$2:$AO$367,Q1247,0),1242-INDEX(Calc!$AQ$2:$AQ$367,Q1247)))</f>
        <v/>
      </c>
    </row>
    <row r="1248">
      <c r="B1248" s="64">
        <f>IF(R1248="","",1243)</f>
        <v/>
      </c>
      <c r="C1248" s="37">
        <f>IF(R1248="","",IF(INDEX('Recurring Schedule'!$C$6:$C$45,R1248)="","",INDEX('Recurring Schedule'!$C$6:$C$45,R1248)))</f>
        <v/>
      </c>
      <c r="D1248" s="36">
        <f>IF(R1248="","",IF(INDEX('Recurring Schedule'!$D$6:$D$45,R1248)="","",INDEX('Recurring Schedule'!$D$6:$D$45,R1248)))</f>
        <v/>
      </c>
      <c r="E1248" s="38">
        <f>IF(Q1248="","",INDEX(Calc!$A$2:$A$367,Q1248))</f>
        <v/>
      </c>
      <c r="F1248" s="68">
        <f>IF(OR(C1248="",E1248=""),"",E1248-Setup!$D$7)</f>
        <v/>
      </c>
      <c r="G1248" s="74">
        <f>IF(R1248="","",IF(INDEX('Recurring Schedule'!$H$6:$H$45,R1248)="","",INDEX('Recurring Schedule'!$H$6:$H$45,R1248)))</f>
        <v/>
      </c>
      <c r="H1248" s="74">
        <f>IF(R1248="","",IF(INDEX('Recurring Schedule'!$I$6:$I$45,R1248)="","",INDEX('Recurring Schedule'!$I$6:$I$45,R1248)))</f>
        <v/>
      </c>
      <c r="I1248" s="36">
        <f>IF(OR(G1248="",H1248=""),"",TRIM(IF(HOUR(H1248-G1248)&gt;0,HOUR(H1248-G1248)&amp;" hr ","")&amp;IF(MINUTE(H1248-G1248)&gt;0,MINUTE(H1248-G1248)&amp;" min","")))</f>
        <v/>
      </c>
      <c r="J1248" s="66" t="n"/>
      <c r="K1248" s="70" t="n"/>
      <c r="L1248" s="36">
        <f>IF(R1248="","",IF(INDEX('Recurring Schedule'!$J$6:$J$45,R1248)="","",INDEX('Recurring Schedule'!$J$6:$J$45,R1248)))</f>
        <v/>
      </c>
      <c r="M1248" s="36">
        <f>IF(R1248="","",IF(INDEX('Recurring Schedule'!$K$6:$K$45,R1248)="","",INDEX('Recurring Schedule'!$K$6:$K$45,R1248)))</f>
        <v/>
      </c>
      <c r="N1248" s="36">
        <f>IF(R1248="","",IF(INDEX('Recurring Schedule'!$L$6:$L$45,R1248)="","",INDEX('Recurring Schedule'!$L$6:$L$45,R1248)))</f>
        <v/>
      </c>
      <c r="O1248" s="36">
        <f>IF(C1248="","",IF(AND(OR(L1248="1-Urgent",L1248="2-High"),M1248="✓"),"DO FIRST",IF(M1248="✓","SCHEDULE",IF(OR(L1248="1-Urgent",L1248="2-High"),"DELEGATE","DELETE"))))</f>
        <v/>
      </c>
      <c r="P1248" s="65" t="n"/>
      <c r="Q1248">
        <f>IF(1243&gt;Calc!$AQ$368,"",MATCH(1242,Calc!$AQ$2:$AQ$367,1))</f>
        <v/>
      </c>
      <c r="R1248">
        <f>IF(Q1248="","",SMALL(INDEX(Calc!$B$2:$AO$367,Q1248,0),1243-INDEX(Calc!$AQ$2:$AQ$367,Q1248)))</f>
        <v/>
      </c>
    </row>
    <row r="1249">
      <c r="B1249" s="71">
        <f>IF(R1249="","",1244)</f>
        <v/>
      </c>
      <c r="C1249" s="75">
        <f>IF(R1249="","",IF(INDEX('Recurring Schedule'!$C$6:$C$45,R1249)="","",INDEX('Recurring Schedule'!$C$6:$C$45,R1249)))</f>
        <v/>
      </c>
      <c r="D1249" s="73">
        <f>IF(R1249="","",IF(INDEX('Recurring Schedule'!$D$6:$D$45,R1249)="","",INDEX('Recurring Schedule'!$D$6:$D$45,R1249)))</f>
        <v/>
      </c>
      <c r="E1249" s="76">
        <f>IF(Q1249="","",INDEX(Calc!$A$2:$A$367,Q1249))</f>
        <v/>
      </c>
      <c r="F1249" s="72">
        <f>IF(OR(C1249="",E1249=""),"",E1249-Setup!$D$7)</f>
        <v/>
      </c>
      <c r="G1249" s="77">
        <f>IF(R1249="","",IF(INDEX('Recurring Schedule'!$H$6:$H$45,R1249)="","",INDEX('Recurring Schedule'!$H$6:$H$45,R1249)))</f>
        <v/>
      </c>
      <c r="H1249" s="77">
        <f>IF(R1249="","",IF(INDEX('Recurring Schedule'!$I$6:$I$45,R1249)="","",INDEX('Recurring Schedule'!$I$6:$I$45,R1249)))</f>
        <v/>
      </c>
      <c r="I1249" s="73">
        <f>IF(OR(G1249="",H1249=""),"",TRIM(IF(HOUR(H1249-G1249)&gt;0,HOUR(H1249-G1249)&amp;" hr ","")&amp;IF(MINUTE(H1249-G1249)&gt;0,MINUTE(H1249-G1249)&amp;" min","")))</f>
        <v/>
      </c>
      <c r="J1249" s="66" t="n"/>
      <c r="K1249" s="70" t="n"/>
      <c r="L1249" s="73">
        <f>IF(R1249="","",IF(INDEX('Recurring Schedule'!$J$6:$J$45,R1249)="","",INDEX('Recurring Schedule'!$J$6:$J$45,R1249)))</f>
        <v/>
      </c>
      <c r="M1249" s="73">
        <f>IF(R1249="","",IF(INDEX('Recurring Schedule'!$K$6:$K$45,R1249)="","",INDEX('Recurring Schedule'!$K$6:$K$45,R1249)))</f>
        <v/>
      </c>
      <c r="N1249" s="73">
        <f>IF(R1249="","",IF(INDEX('Recurring Schedule'!$L$6:$L$45,R1249)="","",INDEX('Recurring Schedule'!$L$6:$L$45,R1249)))</f>
        <v/>
      </c>
      <c r="O1249" s="73">
        <f>IF(C1249="","",IF(AND(OR(L1249="1-Urgent",L1249="2-High"),M1249="✓"),"DO FIRST",IF(M1249="✓","SCHEDULE",IF(OR(L1249="1-Urgent",L1249="2-High"),"DELEGATE","DELETE"))))</f>
        <v/>
      </c>
      <c r="P1249" s="65" t="n"/>
      <c r="Q1249">
        <f>IF(1244&gt;Calc!$AQ$368,"",MATCH(1243,Calc!$AQ$2:$AQ$367,1))</f>
        <v/>
      </c>
      <c r="R1249">
        <f>IF(Q1249="","",SMALL(INDEX(Calc!$B$2:$AO$367,Q1249,0),1244-INDEX(Calc!$AQ$2:$AQ$367,Q1249)))</f>
        <v/>
      </c>
    </row>
    <row r="1250">
      <c r="B1250" s="64">
        <f>IF(R1250="","",1245)</f>
        <v/>
      </c>
      <c r="C1250" s="37">
        <f>IF(R1250="","",IF(INDEX('Recurring Schedule'!$C$6:$C$45,R1250)="","",INDEX('Recurring Schedule'!$C$6:$C$45,R1250)))</f>
        <v/>
      </c>
      <c r="D1250" s="36">
        <f>IF(R1250="","",IF(INDEX('Recurring Schedule'!$D$6:$D$45,R1250)="","",INDEX('Recurring Schedule'!$D$6:$D$45,R1250)))</f>
        <v/>
      </c>
      <c r="E1250" s="38">
        <f>IF(Q1250="","",INDEX(Calc!$A$2:$A$367,Q1250))</f>
        <v/>
      </c>
      <c r="F1250" s="68">
        <f>IF(OR(C1250="",E1250=""),"",E1250-Setup!$D$7)</f>
        <v/>
      </c>
      <c r="G1250" s="74">
        <f>IF(R1250="","",IF(INDEX('Recurring Schedule'!$H$6:$H$45,R1250)="","",INDEX('Recurring Schedule'!$H$6:$H$45,R1250)))</f>
        <v/>
      </c>
      <c r="H1250" s="74">
        <f>IF(R1250="","",IF(INDEX('Recurring Schedule'!$I$6:$I$45,R1250)="","",INDEX('Recurring Schedule'!$I$6:$I$45,R1250)))</f>
        <v/>
      </c>
      <c r="I1250" s="36">
        <f>IF(OR(G1250="",H1250=""),"",TRIM(IF(HOUR(H1250-G1250)&gt;0,HOUR(H1250-G1250)&amp;" hr ","")&amp;IF(MINUTE(H1250-G1250)&gt;0,MINUTE(H1250-G1250)&amp;" min","")))</f>
        <v/>
      </c>
      <c r="J1250" s="66" t="n"/>
      <c r="K1250" s="70" t="n"/>
      <c r="L1250" s="36">
        <f>IF(R1250="","",IF(INDEX('Recurring Schedule'!$J$6:$J$45,R1250)="","",INDEX('Recurring Schedule'!$J$6:$J$45,R1250)))</f>
        <v/>
      </c>
      <c r="M1250" s="36">
        <f>IF(R1250="","",IF(INDEX('Recurring Schedule'!$K$6:$K$45,R1250)="","",INDEX('Recurring Schedule'!$K$6:$K$45,R1250)))</f>
        <v/>
      </c>
      <c r="N1250" s="36">
        <f>IF(R1250="","",IF(INDEX('Recurring Schedule'!$L$6:$L$45,R1250)="","",INDEX('Recurring Schedule'!$L$6:$L$45,R1250)))</f>
        <v/>
      </c>
      <c r="O1250" s="36">
        <f>IF(C1250="","",IF(AND(OR(L1250="1-Urgent",L1250="2-High"),M1250="✓"),"DO FIRST",IF(M1250="✓","SCHEDULE",IF(OR(L1250="1-Urgent",L1250="2-High"),"DELEGATE","DELETE"))))</f>
        <v/>
      </c>
      <c r="P1250" s="65" t="n"/>
      <c r="Q1250">
        <f>IF(1245&gt;Calc!$AQ$368,"",MATCH(1244,Calc!$AQ$2:$AQ$367,1))</f>
        <v/>
      </c>
      <c r="R1250">
        <f>IF(Q1250="","",SMALL(INDEX(Calc!$B$2:$AO$367,Q1250,0),1245-INDEX(Calc!$AQ$2:$AQ$367,Q1250)))</f>
        <v/>
      </c>
    </row>
    <row r="1251">
      <c r="B1251" s="71">
        <f>IF(R1251="","",1246)</f>
        <v/>
      </c>
      <c r="C1251" s="75">
        <f>IF(R1251="","",IF(INDEX('Recurring Schedule'!$C$6:$C$45,R1251)="","",INDEX('Recurring Schedule'!$C$6:$C$45,R1251)))</f>
        <v/>
      </c>
      <c r="D1251" s="73">
        <f>IF(R1251="","",IF(INDEX('Recurring Schedule'!$D$6:$D$45,R1251)="","",INDEX('Recurring Schedule'!$D$6:$D$45,R1251)))</f>
        <v/>
      </c>
      <c r="E1251" s="76">
        <f>IF(Q1251="","",INDEX(Calc!$A$2:$A$367,Q1251))</f>
        <v/>
      </c>
      <c r="F1251" s="72">
        <f>IF(OR(C1251="",E1251=""),"",E1251-Setup!$D$7)</f>
        <v/>
      </c>
      <c r="G1251" s="77">
        <f>IF(R1251="","",IF(INDEX('Recurring Schedule'!$H$6:$H$45,R1251)="","",INDEX('Recurring Schedule'!$H$6:$H$45,R1251)))</f>
        <v/>
      </c>
      <c r="H1251" s="77">
        <f>IF(R1251="","",IF(INDEX('Recurring Schedule'!$I$6:$I$45,R1251)="","",INDEX('Recurring Schedule'!$I$6:$I$45,R1251)))</f>
        <v/>
      </c>
      <c r="I1251" s="73">
        <f>IF(OR(G1251="",H1251=""),"",TRIM(IF(HOUR(H1251-G1251)&gt;0,HOUR(H1251-G1251)&amp;" hr ","")&amp;IF(MINUTE(H1251-G1251)&gt;0,MINUTE(H1251-G1251)&amp;" min","")))</f>
        <v/>
      </c>
      <c r="J1251" s="66" t="n"/>
      <c r="K1251" s="70" t="n"/>
      <c r="L1251" s="73">
        <f>IF(R1251="","",IF(INDEX('Recurring Schedule'!$J$6:$J$45,R1251)="","",INDEX('Recurring Schedule'!$J$6:$J$45,R1251)))</f>
        <v/>
      </c>
      <c r="M1251" s="73">
        <f>IF(R1251="","",IF(INDEX('Recurring Schedule'!$K$6:$K$45,R1251)="","",INDEX('Recurring Schedule'!$K$6:$K$45,R1251)))</f>
        <v/>
      </c>
      <c r="N1251" s="73">
        <f>IF(R1251="","",IF(INDEX('Recurring Schedule'!$L$6:$L$45,R1251)="","",INDEX('Recurring Schedule'!$L$6:$L$45,R1251)))</f>
        <v/>
      </c>
      <c r="O1251" s="73">
        <f>IF(C1251="","",IF(AND(OR(L1251="1-Urgent",L1251="2-High"),M1251="✓"),"DO FIRST",IF(M1251="✓","SCHEDULE",IF(OR(L1251="1-Urgent",L1251="2-High"),"DELEGATE","DELETE"))))</f>
        <v/>
      </c>
      <c r="P1251" s="65" t="n"/>
      <c r="Q1251">
        <f>IF(1246&gt;Calc!$AQ$368,"",MATCH(1245,Calc!$AQ$2:$AQ$367,1))</f>
        <v/>
      </c>
      <c r="R1251">
        <f>IF(Q1251="","",SMALL(INDEX(Calc!$B$2:$AO$367,Q1251,0),1246-INDEX(Calc!$AQ$2:$AQ$367,Q1251)))</f>
        <v/>
      </c>
    </row>
    <row r="1252">
      <c r="B1252" s="64">
        <f>IF(R1252="","",1247)</f>
        <v/>
      </c>
      <c r="C1252" s="37">
        <f>IF(R1252="","",IF(INDEX('Recurring Schedule'!$C$6:$C$45,R1252)="","",INDEX('Recurring Schedule'!$C$6:$C$45,R1252)))</f>
        <v/>
      </c>
      <c r="D1252" s="36">
        <f>IF(R1252="","",IF(INDEX('Recurring Schedule'!$D$6:$D$45,R1252)="","",INDEX('Recurring Schedule'!$D$6:$D$45,R1252)))</f>
        <v/>
      </c>
      <c r="E1252" s="38">
        <f>IF(Q1252="","",INDEX(Calc!$A$2:$A$367,Q1252))</f>
        <v/>
      </c>
      <c r="F1252" s="68">
        <f>IF(OR(C1252="",E1252=""),"",E1252-Setup!$D$7)</f>
        <v/>
      </c>
      <c r="G1252" s="74">
        <f>IF(R1252="","",IF(INDEX('Recurring Schedule'!$H$6:$H$45,R1252)="","",INDEX('Recurring Schedule'!$H$6:$H$45,R1252)))</f>
        <v/>
      </c>
      <c r="H1252" s="74">
        <f>IF(R1252="","",IF(INDEX('Recurring Schedule'!$I$6:$I$45,R1252)="","",INDEX('Recurring Schedule'!$I$6:$I$45,R1252)))</f>
        <v/>
      </c>
      <c r="I1252" s="36">
        <f>IF(OR(G1252="",H1252=""),"",TRIM(IF(HOUR(H1252-G1252)&gt;0,HOUR(H1252-G1252)&amp;" hr ","")&amp;IF(MINUTE(H1252-G1252)&gt;0,MINUTE(H1252-G1252)&amp;" min","")))</f>
        <v/>
      </c>
      <c r="J1252" s="66" t="n"/>
      <c r="K1252" s="70" t="n"/>
      <c r="L1252" s="36">
        <f>IF(R1252="","",IF(INDEX('Recurring Schedule'!$J$6:$J$45,R1252)="","",INDEX('Recurring Schedule'!$J$6:$J$45,R1252)))</f>
        <v/>
      </c>
      <c r="M1252" s="36">
        <f>IF(R1252="","",IF(INDEX('Recurring Schedule'!$K$6:$K$45,R1252)="","",INDEX('Recurring Schedule'!$K$6:$K$45,R1252)))</f>
        <v/>
      </c>
      <c r="N1252" s="36">
        <f>IF(R1252="","",IF(INDEX('Recurring Schedule'!$L$6:$L$45,R1252)="","",INDEX('Recurring Schedule'!$L$6:$L$45,R1252)))</f>
        <v/>
      </c>
      <c r="O1252" s="36">
        <f>IF(C1252="","",IF(AND(OR(L1252="1-Urgent",L1252="2-High"),M1252="✓"),"DO FIRST",IF(M1252="✓","SCHEDULE",IF(OR(L1252="1-Urgent",L1252="2-High"),"DELEGATE","DELETE"))))</f>
        <v/>
      </c>
      <c r="P1252" s="65" t="n"/>
      <c r="Q1252">
        <f>IF(1247&gt;Calc!$AQ$368,"",MATCH(1246,Calc!$AQ$2:$AQ$367,1))</f>
        <v/>
      </c>
      <c r="R1252">
        <f>IF(Q1252="","",SMALL(INDEX(Calc!$B$2:$AO$367,Q1252,0),1247-INDEX(Calc!$AQ$2:$AQ$367,Q1252)))</f>
        <v/>
      </c>
    </row>
    <row r="1253">
      <c r="B1253" s="71">
        <f>IF(R1253="","",1248)</f>
        <v/>
      </c>
      <c r="C1253" s="75">
        <f>IF(R1253="","",IF(INDEX('Recurring Schedule'!$C$6:$C$45,R1253)="","",INDEX('Recurring Schedule'!$C$6:$C$45,R1253)))</f>
        <v/>
      </c>
      <c r="D1253" s="73">
        <f>IF(R1253="","",IF(INDEX('Recurring Schedule'!$D$6:$D$45,R1253)="","",INDEX('Recurring Schedule'!$D$6:$D$45,R1253)))</f>
        <v/>
      </c>
      <c r="E1253" s="76">
        <f>IF(Q1253="","",INDEX(Calc!$A$2:$A$367,Q1253))</f>
        <v/>
      </c>
      <c r="F1253" s="72">
        <f>IF(OR(C1253="",E1253=""),"",E1253-Setup!$D$7)</f>
        <v/>
      </c>
      <c r="G1253" s="77">
        <f>IF(R1253="","",IF(INDEX('Recurring Schedule'!$H$6:$H$45,R1253)="","",INDEX('Recurring Schedule'!$H$6:$H$45,R1253)))</f>
        <v/>
      </c>
      <c r="H1253" s="77">
        <f>IF(R1253="","",IF(INDEX('Recurring Schedule'!$I$6:$I$45,R1253)="","",INDEX('Recurring Schedule'!$I$6:$I$45,R1253)))</f>
        <v/>
      </c>
      <c r="I1253" s="73">
        <f>IF(OR(G1253="",H1253=""),"",TRIM(IF(HOUR(H1253-G1253)&gt;0,HOUR(H1253-G1253)&amp;" hr ","")&amp;IF(MINUTE(H1253-G1253)&gt;0,MINUTE(H1253-G1253)&amp;" min","")))</f>
        <v/>
      </c>
      <c r="J1253" s="66" t="n"/>
      <c r="K1253" s="70" t="n"/>
      <c r="L1253" s="73">
        <f>IF(R1253="","",IF(INDEX('Recurring Schedule'!$J$6:$J$45,R1253)="","",INDEX('Recurring Schedule'!$J$6:$J$45,R1253)))</f>
        <v/>
      </c>
      <c r="M1253" s="73">
        <f>IF(R1253="","",IF(INDEX('Recurring Schedule'!$K$6:$K$45,R1253)="","",INDEX('Recurring Schedule'!$K$6:$K$45,R1253)))</f>
        <v/>
      </c>
      <c r="N1253" s="73">
        <f>IF(R1253="","",IF(INDEX('Recurring Schedule'!$L$6:$L$45,R1253)="","",INDEX('Recurring Schedule'!$L$6:$L$45,R1253)))</f>
        <v/>
      </c>
      <c r="O1253" s="73">
        <f>IF(C1253="","",IF(AND(OR(L1253="1-Urgent",L1253="2-High"),M1253="✓"),"DO FIRST",IF(M1253="✓","SCHEDULE",IF(OR(L1253="1-Urgent",L1253="2-High"),"DELEGATE","DELETE"))))</f>
        <v/>
      </c>
      <c r="P1253" s="65" t="n"/>
      <c r="Q1253">
        <f>IF(1248&gt;Calc!$AQ$368,"",MATCH(1247,Calc!$AQ$2:$AQ$367,1))</f>
        <v/>
      </c>
      <c r="R1253">
        <f>IF(Q1253="","",SMALL(INDEX(Calc!$B$2:$AO$367,Q1253,0),1248-INDEX(Calc!$AQ$2:$AQ$367,Q1253)))</f>
        <v/>
      </c>
    </row>
    <row r="1254">
      <c r="B1254" s="64">
        <f>IF(R1254="","",1249)</f>
        <v/>
      </c>
      <c r="C1254" s="37">
        <f>IF(R1254="","",IF(INDEX('Recurring Schedule'!$C$6:$C$45,R1254)="","",INDEX('Recurring Schedule'!$C$6:$C$45,R1254)))</f>
        <v/>
      </c>
      <c r="D1254" s="36">
        <f>IF(R1254="","",IF(INDEX('Recurring Schedule'!$D$6:$D$45,R1254)="","",INDEX('Recurring Schedule'!$D$6:$D$45,R1254)))</f>
        <v/>
      </c>
      <c r="E1254" s="38">
        <f>IF(Q1254="","",INDEX(Calc!$A$2:$A$367,Q1254))</f>
        <v/>
      </c>
      <c r="F1254" s="68">
        <f>IF(OR(C1254="",E1254=""),"",E1254-Setup!$D$7)</f>
        <v/>
      </c>
      <c r="G1254" s="74">
        <f>IF(R1254="","",IF(INDEX('Recurring Schedule'!$H$6:$H$45,R1254)="","",INDEX('Recurring Schedule'!$H$6:$H$45,R1254)))</f>
        <v/>
      </c>
      <c r="H1254" s="74">
        <f>IF(R1254="","",IF(INDEX('Recurring Schedule'!$I$6:$I$45,R1254)="","",INDEX('Recurring Schedule'!$I$6:$I$45,R1254)))</f>
        <v/>
      </c>
      <c r="I1254" s="36">
        <f>IF(OR(G1254="",H1254=""),"",TRIM(IF(HOUR(H1254-G1254)&gt;0,HOUR(H1254-G1254)&amp;" hr ","")&amp;IF(MINUTE(H1254-G1254)&gt;0,MINUTE(H1254-G1254)&amp;" min","")))</f>
        <v/>
      </c>
      <c r="J1254" s="66" t="n"/>
      <c r="K1254" s="70" t="n"/>
      <c r="L1254" s="36">
        <f>IF(R1254="","",IF(INDEX('Recurring Schedule'!$J$6:$J$45,R1254)="","",INDEX('Recurring Schedule'!$J$6:$J$45,R1254)))</f>
        <v/>
      </c>
      <c r="M1254" s="36">
        <f>IF(R1254="","",IF(INDEX('Recurring Schedule'!$K$6:$K$45,R1254)="","",INDEX('Recurring Schedule'!$K$6:$K$45,R1254)))</f>
        <v/>
      </c>
      <c r="N1254" s="36">
        <f>IF(R1254="","",IF(INDEX('Recurring Schedule'!$L$6:$L$45,R1254)="","",INDEX('Recurring Schedule'!$L$6:$L$45,R1254)))</f>
        <v/>
      </c>
      <c r="O1254" s="36">
        <f>IF(C1254="","",IF(AND(OR(L1254="1-Urgent",L1254="2-High"),M1254="✓"),"DO FIRST",IF(M1254="✓","SCHEDULE",IF(OR(L1254="1-Urgent",L1254="2-High"),"DELEGATE","DELETE"))))</f>
        <v/>
      </c>
      <c r="P1254" s="65" t="n"/>
      <c r="Q1254">
        <f>IF(1249&gt;Calc!$AQ$368,"",MATCH(1248,Calc!$AQ$2:$AQ$367,1))</f>
        <v/>
      </c>
      <c r="R1254">
        <f>IF(Q1254="","",SMALL(INDEX(Calc!$B$2:$AO$367,Q1254,0),1249-INDEX(Calc!$AQ$2:$AQ$367,Q1254)))</f>
        <v/>
      </c>
    </row>
    <row r="1255">
      <c r="B1255" s="71">
        <f>IF(R1255="","",1250)</f>
        <v/>
      </c>
      <c r="C1255" s="75">
        <f>IF(R1255="","",IF(INDEX('Recurring Schedule'!$C$6:$C$45,R1255)="","",INDEX('Recurring Schedule'!$C$6:$C$45,R1255)))</f>
        <v/>
      </c>
      <c r="D1255" s="73">
        <f>IF(R1255="","",IF(INDEX('Recurring Schedule'!$D$6:$D$45,R1255)="","",INDEX('Recurring Schedule'!$D$6:$D$45,R1255)))</f>
        <v/>
      </c>
      <c r="E1255" s="76">
        <f>IF(Q1255="","",INDEX(Calc!$A$2:$A$367,Q1255))</f>
        <v/>
      </c>
      <c r="F1255" s="72">
        <f>IF(OR(C1255="",E1255=""),"",E1255-Setup!$D$7)</f>
        <v/>
      </c>
      <c r="G1255" s="77">
        <f>IF(R1255="","",IF(INDEX('Recurring Schedule'!$H$6:$H$45,R1255)="","",INDEX('Recurring Schedule'!$H$6:$H$45,R1255)))</f>
        <v/>
      </c>
      <c r="H1255" s="77">
        <f>IF(R1255="","",IF(INDEX('Recurring Schedule'!$I$6:$I$45,R1255)="","",INDEX('Recurring Schedule'!$I$6:$I$45,R1255)))</f>
        <v/>
      </c>
      <c r="I1255" s="73">
        <f>IF(OR(G1255="",H1255=""),"",TRIM(IF(HOUR(H1255-G1255)&gt;0,HOUR(H1255-G1255)&amp;" hr ","")&amp;IF(MINUTE(H1255-G1255)&gt;0,MINUTE(H1255-G1255)&amp;" min","")))</f>
        <v/>
      </c>
      <c r="J1255" s="66" t="n"/>
      <c r="K1255" s="70" t="n"/>
      <c r="L1255" s="73">
        <f>IF(R1255="","",IF(INDEX('Recurring Schedule'!$J$6:$J$45,R1255)="","",INDEX('Recurring Schedule'!$J$6:$J$45,R1255)))</f>
        <v/>
      </c>
      <c r="M1255" s="73">
        <f>IF(R1255="","",IF(INDEX('Recurring Schedule'!$K$6:$K$45,R1255)="","",INDEX('Recurring Schedule'!$K$6:$K$45,R1255)))</f>
        <v/>
      </c>
      <c r="N1255" s="73">
        <f>IF(R1255="","",IF(INDEX('Recurring Schedule'!$L$6:$L$45,R1255)="","",INDEX('Recurring Schedule'!$L$6:$L$45,R1255)))</f>
        <v/>
      </c>
      <c r="O1255" s="73">
        <f>IF(C1255="","",IF(AND(OR(L1255="1-Urgent",L1255="2-High"),M1255="✓"),"DO FIRST",IF(M1255="✓","SCHEDULE",IF(OR(L1255="1-Urgent",L1255="2-High"),"DELEGATE","DELETE"))))</f>
        <v/>
      </c>
      <c r="P1255" s="65" t="n"/>
      <c r="Q1255">
        <f>IF(1250&gt;Calc!$AQ$368,"",MATCH(1249,Calc!$AQ$2:$AQ$367,1))</f>
        <v/>
      </c>
      <c r="R1255">
        <f>IF(Q1255="","",SMALL(INDEX(Calc!$B$2:$AO$367,Q1255,0),1250-INDEX(Calc!$AQ$2:$AQ$367,Q1255)))</f>
        <v/>
      </c>
    </row>
    <row r="1256">
      <c r="B1256" s="64">
        <f>IF(R1256="","",1251)</f>
        <v/>
      </c>
      <c r="C1256" s="37">
        <f>IF(R1256="","",IF(INDEX('Recurring Schedule'!$C$6:$C$45,R1256)="","",INDEX('Recurring Schedule'!$C$6:$C$45,R1256)))</f>
        <v/>
      </c>
      <c r="D1256" s="36">
        <f>IF(R1256="","",IF(INDEX('Recurring Schedule'!$D$6:$D$45,R1256)="","",INDEX('Recurring Schedule'!$D$6:$D$45,R1256)))</f>
        <v/>
      </c>
      <c r="E1256" s="38">
        <f>IF(Q1256="","",INDEX(Calc!$A$2:$A$367,Q1256))</f>
        <v/>
      </c>
      <c r="F1256" s="68">
        <f>IF(OR(C1256="",E1256=""),"",E1256-Setup!$D$7)</f>
        <v/>
      </c>
      <c r="G1256" s="74">
        <f>IF(R1256="","",IF(INDEX('Recurring Schedule'!$H$6:$H$45,R1256)="","",INDEX('Recurring Schedule'!$H$6:$H$45,R1256)))</f>
        <v/>
      </c>
      <c r="H1256" s="74">
        <f>IF(R1256="","",IF(INDEX('Recurring Schedule'!$I$6:$I$45,R1256)="","",INDEX('Recurring Schedule'!$I$6:$I$45,R1256)))</f>
        <v/>
      </c>
      <c r="I1256" s="36">
        <f>IF(OR(G1256="",H1256=""),"",TRIM(IF(HOUR(H1256-G1256)&gt;0,HOUR(H1256-G1256)&amp;" hr ","")&amp;IF(MINUTE(H1256-G1256)&gt;0,MINUTE(H1256-G1256)&amp;" min","")))</f>
        <v/>
      </c>
      <c r="J1256" s="66" t="n"/>
      <c r="K1256" s="70" t="n"/>
      <c r="L1256" s="36">
        <f>IF(R1256="","",IF(INDEX('Recurring Schedule'!$J$6:$J$45,R1256)="","",INDEX('Recurring Schedule'!$J$6:$J$45,R1256)))</f>
        <v/>
      </c>
      <c r="M1256" s="36">
        <f>IF(R1256="","",IF(INDEX('Recurring Schedule'!$K$6:$K$45,R1256)="","",INDEX('Recurring Schedule'!$K$6:$K$45,R1256)))</f>
        <v/>
      </c>
      <c r="N1256" s="36">
        <f>IF(R1256="","",IF(INDEX('Recurring Schedule'!$L$6:$L$45,R1256)="","",INDEX('Recurring Schedule'!$L$6:$L$45,R1256)))</f>
        <v/>
      </c>
      <c r="O1256" s="36">
        <f>IF(C1256="","",IF(AND(OR(L1256="1-Urgent",L1256="2-High"),M1256="✓"),"DO FIRST",IF(M1256="✓","SCHEDULE",IF(OR(L1256="1-Urgent",L1256="2-High"),"DELEGATE","DELETE"))))</f>
        <v/>
      </c>
      <c r="P1256" s="65" t="n"/>
      <c r="Q1256">
        <f>IF(1251&gt;Calc!$AQ$368,"",MATCH(1250,Calc!$AQ$2:$AQ$367,1))</f>
        <v/>
      </c>
      <c r="R1256">
        <f>IF(Q1256="","",SMALL(INDEX(Calc!$B$2:$AO$367,Q1256,0),1251-INDEX(Calc!$AQ$2:$AQ$367,Q1256)))</f>
        <v/>
      </c>
    </row>
    <row r="1257">
      <c r="B1257" s="71">
        <f>IF(R1257="","",1252)</f>
        <v/>
      </c>
      <c r="C1257" s="75">
        <f>IF(R1257="","",IF(INDEX('Recurring Schedule'!$C$6:$C$45,R1257)="","",INDEX('Recurring Schedule'!$C$6:$C$45,R1257)))</f>
        <v/>
      </c>
      <c r="D1257" s="73">
        <f>IF(R1257="","",IF(INDEX('Recurring Schedule'!$D$6:$D$45,R1257)="","",INDEX('Recurring Schedule'!$D$6:$D$45,R1257)))</f>
        <v/>
      </c>
      <c r="E1257" s="76">
        <f>IF(Q1257="","",INDEX(Calc!$A$2:$A$367,Q1257))</f>
        <v/>
      </c>
      <c r="F1257" s="72">
        <f>IF(OR(C1257="",E1257=""),"",E1257-Setup!$D$7)</f>
        <v/>
      </c>
      <c r="G1257" s="77">
        <f>IF(R1257="","",IF(INDEX('Recurring Schedule'!$H$6:$H$45,R1257)="","",INDEX('Recurring Schedule'!$H$6:$H$45,R1257)))</f>
        <v/>
      </c>
      <c r="H1257" s="77">
        <f>IF(R1257="","",IF(INDEX('Recurring Schedule'!$I$6:$I$45,R1257)="","",INDEX('Recurring Schedule'!$I$6:$I$45,R1257)))</f>
        <v/>
      </c>
      <c r="I1257" s="73">
        <f>IF(OR(G1257="",H1257=""),"",TRIM(IF(HOUR(H1257-G1257)&gt;0,HOUR(H1257-G1257)&amp;" hr ","")&amp;IF(MINUTE(H1257-G1257)&gt;0,MINUTE(H1257-G1257)&amp;" min","")))</f>
        <v/>
      </c>
      <c r="J1257" s="66" t="n"/>
      <c r="K1257" s="70" t="n"/>
      <c r="L1257" s="73">
        <f>IF(R1257="","",IF(INDEX('Recurring Schedule'!$J$6:$J$45,R1257)="","",INDEX('Recurring Schedule'!$J$6:$J$45,R1257)))</f>
        <v/>
      </c>
      <c r="M1257" s="73">
        <f>IF(R1257="","",IF(INDEX('Recurring Schedule'!$K$6:$K$45,R1257)="","",INDEX('Recurring Schedule'!$K$6:$K$45,R1257)))</f>
        <v/>
      </c>
      <c r="N1257" s="73">
        <f>IF(R1257="","",IF(INDEX('Recurring Schedule'!$L$6:$L$45,R1257)="","",INDEX('Recurring Schedule'!$L$6:$L$45,R1257)))</f>
        <v/>
      </c>
      <c r="O1257" s="73">
        <f>IF(C1257="","",IF(AND(OR(L1257="1-Urgent",L1257="2-High"),M1257="✓"),"DO FIRST",IF(M1257="✓","SCHEDULE",IF(OR(L1257="1-Urgent",L1257="2-High"),"DELEGATE","DELETE"))))</f>
        <v/>
      </c>
      <c r="P1257" s="65" t="n"/>
      <c r="Q1257">
        <f>IF(1252&gt;Calc!$AQ$368,"",MATCH(1251,Calc!$AQ$2:$AQ$367,1))</f>
        <v/>
      </c>
      <c r="R1257">
        <f>IF(Q1257="","",SMALL(INDEX(Calc!$B$2:$AO$367,Q1257,0),1252-INDEX(Calc!$AQ$2:$AQ$367,Q1257)))</f>
        <v/>
      </c>
    </row>
    <row r="1258">
      <c r="B1258" s="64">
        <f>IF(R1258="","",1253)</f>
        <v/>
      </c>
      <c r="C1258" s="37">
        <f>IF(R1258="","",IF(INDEX('Recurring Schedule'!$C$6:$C$45,R1258)="","",INDEX('Recurring Schedule'!$C$6:$C$45,R1258)))</f>
        <v/>
      </c>
      <c r="D1258" s="36">
        <f>IF(R1258="","",IF(INDEX('Recurring Schedule'!$D$6:$D$45,R1258)="","",INDEX('Recurring Schedule'!$D$6:$D$45,R1258)))</f>
        <v/>
      </c>
      <c r="E1258" s="38">
        <f>IF(Q1258="","",INDEX(Calc!$A$2:$A$367,Q1258))</f>
        <v/>
      </c>
      <c r="F1258" s="68">
        <f>IF(OR(C1258="",E1258=""),"",E1258-Setup!$D$7)</f>
        <v/>
      </c>
      <c r="G1258" s="74">
        <f>IF(R1258="","",IF(INDEX('Recurring Schedule'!$H$6:$H$45,R1258)="","",INDEX('Recurring Schedule'!$H$6:$H$45,R1258)))</f>
        <v/>
      </c>
      <c r="H1258" s="74">
        <f>IF(R1258="","",IF(INDEX('Recurring Schedule'!$I$6:$I$45,R1258)="","",INDEX('Recurring Schedule'!$I$6:$I$45,R1258)))</f>
        <v/>
      </c>
      <c r="I1258" s="36">
        <f>IF(OR(G1258="",H1258=""),"",TRIM(IF(HOUR(H1258-G1258)&gt;0,HOUR(H1258-G1258)&amp;" hr ","")&amp;IF(MINUTE(H1258-G1258)&gt;0,MINUTE(H1258-G1258)&amp;" min","")))</f>
        <v/>
      </c>
      <c r="J1258" s="66" t="n"/>
      <c r="K1258" s="70" t="n"/>
      <c r="L1258" s="36">
        <f>IF(R1258="","",IF(INDEX('Recurring Schedule'!$J$6:$J$45,R1258)="","",INDEX('Recurring Schedule'!$J$6:$J$45,R1258)))</f>
        <v/>
      </c>
      <c r="M1258" s="36">
        <f>IF(R1258="","",IF(INDEX('Recurring Schedule'!$K$6:$K$45,R1258)="","",INDEX('Recurring Schedule'!$K$6:$K$45,R1258)))</f>
        <v/>
      </c>
      <c r="N1258" s="36">
        <f>IF(R1258="","",IF(INDEX('Recurring Schedule'!$L$6:$L$45,R1258)="","",INDEX('Recurring Schedule'!$L$6:$L$45,R1258)))</f>
        <v/>
      </c>
      <c r="O1258" s="36">
        <f>IF(C1258="","",IF(AND(OR(L1258="1-Urgent",L1258="2-High"),M1258="✓"),"DO FIRST",IF(M1258="✓","SCHEDULE",IF(OR(L1258="1-Urgent",L1258="2-High"),"DELEGATE","DELETE"))))</f>
        <v/>
      </c>
      <c r="P1258" s="65" t="n"/>
      <c r="Q1258">
        <f>IF(1253&gt;Calc!$AQ$368,"",MATCH(1252,Calc!$AQ$2:$AQ$367,1))</f>
        <v/>
      </c>
      <c r="R1258">
        <f>IF(Q1258="","",SMALL(INDEX(Calc!$B$2:$AO$367,Q1258,0),1253-INDEX(Calc!$AQ$2:$AQ$367,Q1258)))</f>
        <v/>
      </c>
    </row>
    <row r="1259">
      <c r="B1259" s="71">
        <f>IF(R1259="","",1254)</f>
        <v/>
      </c>
      <c r="C1259" s="75">
        <f>IF(R1259="","",IF(INDEX('Recurring Schedule'!$C$6:$C$45,R1259)="","",INDEX('Recurring Schedule'!$C$6:$C$45,R1259)))</f>
        <v/>
      </c>
      <c r="D1259" s="73">
        <f>IF(R1259="","",IF(INDEX('Recurring Schedule'!$D$6:$D$45,R1259)="","",INDEX('Recurring Schedule'!$D$6:$D$45,R1259)))</f>
        <v/>
      </c>
      <c r="E1259" s="76">
        <f>IF(Q1259="","",INDEX(Calc!$A$2:$A$367,Q1259))</f>
        <v/>
      </c>
      <c r="F1259" s="72">
        <f>IF(OR(C1259="",E1259=""),"",E1259-Setup!$D$7)</f>
        <v/>
      </c>
      <c r="G1259" s="77">
        <f>IF(R1259="","",IF(INDEX('Recurring Schedule'!$H$6:$H$45,R1259)="","",INDEX('Recurring Schedule'!$H$6:$H$45,R1259)))</f>
        <v/>
      </c>
      <c r="H1259" s="77">
        <f>IF(R1259="","",IF(INDEX('Recurring Schedule'!$I$6:$I$45,R1259)="","",INDEX('Recurring Schedule'!$I$6:$I$45,R1259)))</f>
        <v/>
      </c>
      <c r="I1259" s="73">
        <f>IF(OR(G1259="",H1259=""),"",TRIM(IF(HOUR(H1259-G1259)&gt;0,HOUR(H1259-G1259)&amp;" hr ","")&amp;IF(MINUTE(H1259-G1259)&gt;0,MINUTE(H1259-G1259)&amp;" min","")))</f>
        <v/>
      </c>
      <c r="J1259" s="66" t="n"/>
      <c r="K1259" s="70" t="n"/>
      <c r="L1259" s="73">
        <f>IF(R1259="","",IF(INDEX('Recurring Schedule'!$J$6:$J$45,R1259)="","",INDEX('Recurring Schedule'!$J$6:$J$45,R1259)))</f>
        <v/>
      </c>
      <c r="M1259" s="73">
        <f>IF(R1259="","",IF(INDEX('Recurring Schedule'!$K$6:$K$45,R1259)="","",INDEX('Recurring Schedule'!$K$6:$K$45,R1259)))</f>
        <v/>
      </c>
      <c r="N1259" s="73">
        <f>IF(R1259="","",IF(INDEX('Recurring Schedule'!$L$6:$L$45,R1259)="","",INDEX('Recurring Schedule'!$L$6:$L$45,R1259)))</f>
        <v/>
      </c>
      <c r="O1259" s="73">
        <f>IF(C1259="","",IF(AND(OR(L1259="1-Urgent",L1259="2-High"),M1259="✓"),"DO FIRST",IF(M1259="✓","SCHEDULE",IF(OR(L1259="1-Urgent",L1259="2-High"),"DELEGATE","DELETE"))))</f>
        <v/>
      </c>
      <c r="P1259" s="65" t="n"/>
      <c r="Q1259">
        <f>IF(1254&gt;Calc!$AQ$368,"",MATCH(1253,Calc!$AQ$2:$AQ$367,1))</f>
        <v/>
      </c>
      <c r="R1259">
        <f>IF(Q1259="","",SMALL(INDEX(Calc!$B$2:$AO$367,Q1259,0),1254-INDEX(Calc!$AQ$2:$AQ$367,Q1259)))</f>
        <v/>
      </c>
    </row>
    <row r="1260">
      <c r="B1260" s="64">
        <f>IF(R1260="","",1255)</f>
        <v/>
      </c>
      <c r="C1260" s="37">
        <f>IF(R1260="","",IF(INDEX('Recurring Schedule'!$C$6:$C$45,R1260)="","",INDEX('Recurring Schedule'!$C$6:$C$45,R1260)))</f>
        <v/>
      </c>
      <c r="D1260" s="36">
        <f>IF(R1260="","",IF(INDEX('Recurring Schedule'!$D$6:$D$45,R1260)="","",INDEX('Recurring Schedule'!$D$6:$D$45,R1260)))</f>
        <v/>
      </c>
      <c r="E1260" s="38">
        <f>IF(Q1260="","",INDEX(Calc!$A$2:$A$367,Q1260))</f>
        <v/>
      </c>
      <c r="F1260" s="68">
        <f>IF(OR(C1260="",E1260=""),"",E1260-Setup!$D$7)</f>
        <v/>
      </c>
      <c r="G1260" s="74">
        <f>IF(R1260="","",IF(INDEX('Recurring Schedule'!$H$6:$H$45,R1260)="","",INDEX('Recurring Schedule'!$H$6:$H$45,R1260)))</f>
        <v/>
      </c>
      <c r="H1260" s="74">
        <f>IF(R1260="","",IF(INDEX('Recurring Schedule'!$I$6:$I$45,R1260)="","",INDEX('Recurring Schedule'!$I$6:$I$45,R1260)))</f>
        <v/>
      </c>
      <c r="I1260" s="36">
        <f>IF(OR(G1260="",H1260=""),"",TRIM(IF(HOUR(H1260-G1260)&gt;0,HOUR(H1260-G1260)&amp;" hr ","")&amp;IF(MINUTE(H1260-G1260)&gt;0,MINUTE(H1260-G1260)&amp;" min","")))</f>
        <v/>
      </c>
      <c r="J1260" s="66" t="n"/>
      <c r="K1260" s="70" t="n"/>
      <c r="L1260" s="36">
        <f>IF(R1260="","",IF(INDEX('Recurring Schedule'!$J$6:$J$45,R1260)="","",INDEX('Recurring Schedule'!$J$6:$J$45,R1260)))</f>
        <v/>
      </c>
      <c r="M1260" s="36">
        <f>IF(R1260="","",IF(INDEX('Recurring Schedule'!$K$6:$K$45,R1260)="","",INDEX('Recurring Schedule'!$K$6:$K$45,R1260)))</f>
        <v/>
      </c>
      <c r="N1260" s="36">
        <f>IF(R1260="","",IF(INDEX('Recurring Schedule'!$L$6:$L$45,R1260)="","",INDEX('Recurring Schedule'!$L$6:$L$45,R1260)))</f>
        <v/>
      </c>
      <c r="O1260" s="36">
        <f>IF(C1260="","",IF(AND(OR(L1260="1-Urgent",L1260="2-High"),M1260="✓"),"DO FIRST",IF(M1260="✓","SCHEDULE",IF(OR(L1260="1-Urgent",L1260="2-High"),"DELEGATE","DELETE"))))</f>
        <v/>
      </c>
      <c r="P1260" s="65" t="n"/>
      <c r="Q1260">
        <f>IF(1255&gt;Calc!$AQ$368,"",MATCH(1254,Calc!$AQ$2:$AQ$367,1))</f>
        <v/>
      </c>
      <c r="R1260">
        <f>IF(Q1260="","",SMALL(INDEX(Calc!$B$2:$AO$367,Q1260,0),1255-INDEX(Calc!$AQ$2:$AQ$367,Q1260)))</f>
        <v/>
      </c>
    </row>
    <row r="1261">
      <c r="B1261" s="71">
        <f>IF(R1261="","",1256)</f>
        <v/>
      </c>
      <c r="C1261" s="75">
        <f>IF(R1261="","",IF(INDEX('Recurring Schedule'!$C$6:$C$45,R1261)="","",INDEX('Recurring Schedule'!$C$6:$C$45,R1261)))</f>
        <v/>
      </c>
      <c r="D1261" s="73">
        <f>IF(R1261="","",IF(INDEX('Recurring Schedule'!$D$6:$D$45,R1261)="","",INDEX('Recurring Schedule'!$D$6:$D$45,R1261)))</f>
        <v/>
      </c>
      <c r="E1261" s="76">
        <f>IF(Q1261="","",INDEX(Calc!$A$2:$A$367,Q1261))</f>
        <v/>
      </c>
      <c r="F1261" s="72">
        <f>IF(OR(C1261="",E1261=""),"",E1261-Setup!$D$7)</f>
        <v/>
      </c>
      <c r="G1261" s="77">
        <f>IF(R1261="","",IF(INDEX('Recurring Schedule'!$H$6:$H$45,R1261)="","",INDEX('Recurring Schedule'!$H$6:$H$45,R1261)))</f>
        <v/>
      </c>
      <c r="H1261" s="77">
        <f>IF(R1261="","",IF(INDEX('Recurring Schedule'!$I$6:$I$45,R1261)="","",INDEX('Recurring Schedule'!$I$6:$I$45,R1261)))</f>
        <v/>
      </c>
      <c r="I1261" s="73">
        <f>IF(OR(G1261="",H1261=""),"",TRIM(IF(HOUR(H1261-G1261)&gt;0,HOUR(H1261-G1261)&amp;" hr ","")&amp;IF(MINUTE(H1261-G1261)&gt;0,MINUTE(H1261-G1261)&amp;" min","")))</f>
        <v/>
      </c>
      <c r="J1261" s="66" t="n"/>
      <c r="K1261" s="70" t="n"/>
      <c r="L1261" s="73">
        <f>IF(R1261="","",IF(INDEX('Recurring Schedule'!$J$6:$J$45,R1261)="","",INDEX('Recurring Schedule'!$J$6:$J$45,R1261)))</f>
        <v/>
      </c>
      <c r="M1261" s="73">
        <f>IF(R1261="","",IF(INDEX('Recurring Schedule'!$K$6:$K$45,R1261)="","",INDEX('Recurring Schedule'!$K$6:$K$45,R1261)))</f>
        <v/>
      </c>
      <c r="N1261" s="73">
        <f>IF(R1261="","",IF(INDEX('Recurring Schedule'!$L$6:$L$45,R1261)="","",INDEX('Recurring Schedule'!$L$6:$L$45,R1261)))</f>
        <v/>
      </c>
      <c r="O1261" s="73">
        <f>IF(C1261="","",IF(AND(OR(L1261="1-Urgent",L1261="2-High"),M1261="✓"),"DO FIRST",IF(M1261="✓","SCHEDULE",IF(OR(L1261="1-Urgent",L1261="2-High"),"DELEGATE","DELETE"))))</f>
        <v/>
      </c>
      <c r="P1261" s="65" t="n"/>
      <c r="Q1261">
        <f>IF(1256&gt;Calc!$AQ$368,"",MATCH(1255,Calc!$AQ$2:$AQ$367,1))</f>
        <v/>
      </c>
      <c r="R1261">
        <f>IF(Q1261="","",SMALL(INDEX(Calc!$B$2:$AO$367,Q1261,0),1256-INDEX(Calc!$AQ$2:$AQ$367,Q1261)))</f>
        <v/>
      </c>
    </row>
    <row r="1262">
      <c r="B1262" s="64">
        <f>IF(R1262="","",1257)</f>
        <v/>
      </c>
      <c r="C1262" s="37">
        <f>IF(R1262="","",IF(INDEX('Recurring Schedule'!$C$6:$C$45,R1262)="","",INDEX('Recurring Schedule'!$C$6:$C$45,R1262)))</f>
        <v/>
      </c>
      <c r="D1262" s="36">
        <f>IF(R1262="","",IF(INDEX('Recurring Schedule'!$D$6:$D$45,R1262)="","",INDEX('Recurring Schedule'!$D$6:$D$45,R1262)))</f>
        <v/>
      </c>
      <c r="E1262" s="38">
        <f>IF(Q1262="","",INDEX(Calc!$A$2:$A$367,Q1262))</f>
        <v/>
      </c>
      <c r="F1262" s="68">
        <f>IF(OR(C1262="",E1262=""),"",E1262-Setup!$D$7)</f>
        <v/>
      </c>
      <c r="G1262" s="74">
        <f>IF(R1262="","",IF(INDEX('Recurring Schedule'!$H$6:$H$45,R1262)="","",INDEX('Recurring Schedule'!$H$6:$H$45,R1262)))</f>
        <v/>
      </c>
      <c r="H1262" s="74">
        <f>IF(R1262="","",IF(INDEX('Recurring Schedule'!$I$6:$I$45,R1262)="","",INDEX('Recurring Schedule'!$I$6:$I$45,R1262)))</f>
        <v/>
      </c>
      <c r="I1262" s="36">
        <f>IF(OR(G1262="",H1262=""),"",TRIM(IF(HOUR(H1262-G1262)&gt;0,HOUR(H1262-G1262)&amp;" hr ","")&amp;IF(MINUTE(H1262-G1262)&gt;0,MINUTE(H1262-G1262)&amp;" min","")))</f>
        <v/>
      </c>
      <c r="J1262" s="66" t="n"/>
      <c r="K1262" s="70" t="n"/>
      <c r="L1262" s="36">
        <f>IF(R1262="","",IF(INDEX('Recurring Schedule'!$J$6:$J$45,R1262)="","",INDEX('Recurring Schedule'!$J$6:$J$45,R1262)))</f>
        <v/>
      </c>
      <c r="M1262" s="36">
        <f>IF(R1262="","",IF(INDEX('Recurring Schedule'!$K$6:$K$45,R1262)="","",INDEX('Recurring Schedule'!$K$6:$K$45,R1262)))</f>
        <v/>
      </c>
      <c r="N1262" s="36">
        <f>IF(R1262="","",IF(INDEX('Recurring Schedule'!$L$6:$L$45,R1262)="","",INDEX('Recurring Schedule'!$L$6:$L$45,R1262)))</f>
        <v/>
      </c>
      <c r="O1262" s="36">
        <f>IF(C1262="","",IF(AND(OR(L1262="1-Urgent",L1262="2-High"),M1262="✓"),"DO FIRST",IF(M1262="✓","SCHEDULE",IF(OR(L1262="1-Urgent",L1262="2-High"),"DELEGATE","DELETE"))))</f>
        <v/>
      </c>
      <c r="P1262" s="65" t="n"/>
      <c r="Q1262">
        <f>IF(1257&gt;Calc!$AQ$368,"",MATCH(1256,Calc!$AQ$2:$AQ$367,1))</f>
        <v/>
      </c>
      <c r="R1262">
        <f>IF(Q1262="","",SMALL(INDEX(Calc!$B$2:$AO$367,Q1262,0),1257-INDEX(Calc!$AQ$2:$AQ$367,Q1262)))</f>
        <v/>
      </c>
    </row>
    <row r="1263">
      <c r="B1263" s="71">
        <f>IF(R1263="","",1258)</f>
        <v/>
      </c>
      <c r="C1263" s="75">
        <f>IF(R1263="","",IF(INDEX('Recurring Schedule'!$C$6:$C$45,R1263)="","",INDEX('Recurring Schedule'!$C$6:$C$45,R1263)))</f>
        <v/>
      </c>
      <c r="D1263" s="73">
        <f>IF(R1263="","",IF(INDEX('Recurring Schedule'!$D$6:$D$45,R1263)="","",INDEX('Recurring Schedule'!$D$6:$D$45,R1263)))</f>
        <v/>
      </c>
      <c r="E1263" s="76">
        <f>IF(Q1263="","",INDEX(Calc!$A$2:$A$367,Q1263))</f>
        <v/>
      </c>
      <c r="F1263" s="72">
        <f>IF(OR(C1263="",E1263=""),"",E1263-Setup!$D$7)</f>
        <v/>
      </c>
      <c r="G1263" s="77">
        <f>IF(R1263="","",IF(INDEX('Recurring Schedule'!$H$6:$H$45,R1263)="","",INDEX('Recurring Schedule'!$H$6:$H$45,R1263)))</f>
        <v/>
      </c>
      <c r="H1263" s="77">
        <f>IF(R1263="","",IF(INDEX('Recurring Schedule'!$I$6:$I$45,R1263)="","",INDEX('Recurring Schedule'!$I$6:$I$45,R1263)))</f>
        <v/>
      </c>
      <c r="I1263" s="73">
        <f>IF(OR(G1263="",H1263=""),"",TRIM(IF(HOUR(H1263-G1263)&gt;0,HOUR(H1263-G1263)&amp;" hr ","")&amp;IF(MINUTE(H1263-G1263)&gt;0,MINUTE(H1263-G1263)&amp;" min","")))</f>
        <v/>
      </c>
      <c r="J1263" s="66" t="n"/>
      <c r="K1263" s="70" t="n"/>
      <c r="L1263" s="73">
        <f>IF(R1263="","",IF(INDEX('Recurring Schedule'!$J$6:$J$45,R1263)="","",INDEX('Recurring Schedule'!$J$6:$J$45,R1263)))</f>
        <v/>
      </c>
      <c r="M1263" s="73">
        <f>IF(R1263="","",IF(INDEX('Recurring Schedule'!$K$6:$K$45,R1263)="","",INDEX('Recurring Schedule'!$K$6:$K$45,R1263)))</f>
        <v/>
      </c>
      <c r="N1263" s="73">
        <f>IF(R1263="","",IF(INDEX('Recurring Schedule'!$L$6:$L$45,R1263)="","",INDEX('Recurring Schedule'!$L$6:$L$45,R1263)))</f>
        <v/>
      </c>
      <c r="O1263" s="73">
        <f>IF(C1263="","",IF(AND(OR(L1263="1-Urgent",L1263="2-High"),M1263="✓"),"DO FIRST",IF(M1263="✓","SCHEDULE",IF(OR(L1263="1-Urgent",L1263="2-High"),"DELEGATE","DELETE"))))</f>
        <v/>
      </c>
      <c r="P1263" s="65" t="n"/>
      <c r="Q1263">
        <f>IF(1258&gt;Calc!$AQ$368,"",MATCH(1257,Calc!$AQ$2:$AQ$367,1))</f>
        <v/>
      </c>
      <c r="R1263">
        <f>IF(Q1263="","",SMALL(INDEX(Calc!$B$2:$AO$367,Q1263,0),1258-INDEX(Calc!$AQ$2:$AQ$367,Q1263)))</f>
        <v/>
      </c>
    </row>
    <row r="1264">
      <c r="B1264" s="64">
        <f>IF(R1264="","",1259)</f>
        <v/>
      </c>
      <c r="C1264" s="37">
        <f>IF(R1264="","",IF(INDEX('Recurring Schedule'!$C$6:$C$45,R1264)="","",INDEX('Recurring Schedule'!$C$6:$C$45,R1264)))</f>
        <v/>
      </c>
      <c r="D1264" s="36">
        <f>IF(R1264="","",IF(INDEX('Recurring Schedule'!$D$6:$D$45,R1264)="","",INDEX('Recurring Schedule'!$D$6:$D$45,R1264)))</f>
        <v/>
      </c>
      <c r="E1264" s="38">
        <f>IF(Q1264="","",INDEX(Calc!$A$2:$A$367,Q1264))</f>
        <v/>
      </c>
      <c r="F1264" s="68">
        <f>IF(OR(C1264="",E1264=""),"",E1264-Setup!$D$7)</f>
        <v/>
      </c>
      <c r="G1264" s="74">
        <f>IF(R1264="","",IF(INDEX('Recurring Schedule'!$H$6:$H$45,R1264)="","",INDEX('Recurring Schedule'!$H$6:$H$45,R1264)))</f>
        <v/>
      </c>
      <c r="H1264" s="74">
        <f>IF(R1264="","",IF(INDEX('Recurring Schedule'!$I$6:$I$45,R1264)="","",INDEX('Recurring Schedule'!$I$6:$I$45,R1264)))</f>
        <v/>
      </c>
      <c r="I1264" s="36">
        <f>IF(OR(G1264="",H1264=""),"",TRIM(IF(HOUR(H1264-G1264)&gt;0,HOUR(H1264-G1264)&amp;" hr ","")&amp;IF(MINUTE(H1264-G1264)&gt;0,MINUTE(H1264-G1264)&amp;" min","")))</f>
        <v/>
      </c>
      <c r="J1264" s="66" t="n"/>
      <c r="K1264" s="70" t="n"/>
      <c r="L1264" s="36">
        <f>IF(R1264="","",IF(INDEX('Recurring Schedule'!$J$6:$J$45,R1264)="","",INDEX('Recurring Schedule'!$J$6:$J$45,R1264)))</f>
        <v/>
      </c>
      <c r="M1264" s="36">
        <f>IF(R1264="","",IF(INDEX('Recurring Schedule'!$K$6:$K$45,R1264)="","",INDEX('Recurring Schedule'!$K$6:$K$45,R1264)))</f>
        <v/>
      </c>
      <c r="N1264" s="36">
        <f>IF(R1264="","",IF(INDEX('Recurring Schedule'!$L$6:$L$45,R1264)="","",INDEX('Recurring Schedule'!$L$6:$L$45,R1264)))</f>
        <v/>
      </c>
      <c r="O1264" s="36">
        <f>IF(C1264="","",IF(AND(OR(L1264="1-Urgent",L1264="2-High"),M1264="✓"),"DO FIRST",IF(M1264="✓","SCHEDULE",IF(OR(L1264="1-Urgent",L1264="2-High"),"DELEGATE","DELETE"))))</f>
        <v/>
      </c>
      <c r="P1264" s="65" t="n"/>
      <c r="Q1264">
        <f>IF(1259&gt;Calc!$AQ$368,"",MATCH(1258,Calc!$AQ$2:$AQ$367,1))</f>
        <v/>
      </c>
      <c r="R1264">
        <f>IF(Q1264="","",SMALL(INDEX(Calc!$B$2:$AO$367,Q1264,0),1259-INDEX(Calc!$AQ$2:$AQ$367,Q1264)))</f>
        <v/>
      </c>
    </row>
    <row r="1265">
      <c r="B1265" s="71">
        <f>IF(R1265="","",1260)</f>
        <v/>
      </c>
      <c r="C1265" s="75">
        <f>IF(R1265="","",IF(INDEX('Recurring Schedule'!$C$6:$C$45,R1265)="","",INDEX('Recurring Schedule'!$C$6:$C$45,R1265)))</f>
        <v/>
      </c>
      <c r="D1265" s="73">
        <f>IF(R1265="","",IF(INDEX('Recurring Schedule'!$D$6:$D$45,R1265)="","",INDEX('Recurring Schedule'!$D$6:$D$45,R1265)))</f>
        <v/>
      </c>
      <c r="E1265" s="76">
        <f>IF(Q1265="","",INDEX(Calc!$A$2:$A$367,Q1265))</f>
        <v/>
      </c>
      <c r="F1265" s="72">
        <f>IF(OR(C1265="",E1265=""),"",E1265-Setup!$D$7)</f>
        <v/>
      </c>
      <c r="G1265" s="77">
        <f>IF(R1265="","",IF(INDEX('Recurring Schedule'!$H$6:$H$45,R1265)="","",INDEX('Recurring Schedule'!$H$6:$H$45,R1265)))</f>
        <v/>
      </c>
      <c r="H1265" s="77">
        <f>IF(R1265="","",IF(INDEX('Recurring Schedule'!$I$6:$I$45,R1265)="","",INDEX('Recurring Schedule'!$I$6:$I$45,R1265)))</f>
        <v/>
      </c>
      <c r="I1265" s="73">
        <f>IF(OR(G1265="",H1265=""),"",TRIM(IF(HOUR(H1265-G1265)&gt;0,HOUR(H1265-G1265)&amp;" hr ","")&amp;IF(MINUTE(H1265-G1265)&gt;0,MINUTE(H1265-G1265)&amp;" min","")))</f>
        <v/>
      </c>
      <c r="J1265" s="66" t="n"/>
      <c r="K1265" s="70" t="n"/>
      <c r="L1265" s="73">
        <f>IF(R1265="","",IF(INDEX('Recurring Schedule'!$J$6:$J$45,R1265)="","",INDEX('Recurring Schedule'!$J$6:$J$45,R1265)))</f>
        <v/>
      </c>
      <c r="M1265" s="73">
        <f>IF(R1265="","",IF(INDEX('Recurring Schedule'!$K$6:$K$45,R1265)="","",INDEX('Recurring Schedule'!$K$6:$K$45,R1265)))</f>
        <v/>
      </c>
      <c r="N1265" s="73">
        <f>IF(R1265="","",IF(INDEX('Recurring Schedule'!$L$6:$L$45,R1265)="","",INDEX('Recurring Schedule'!$L$6:$L$45,R1265)))</f>
        <v/>
      </c>
      <c r="O1265" s="73">
        <f>IF(C1265="","",IF(AND(OR(L1265="1-Urgent",L1265="2-High"),M1265="✓"),"DO FIRST",IF(M1265="✓","SCHEDULE",IF(OR(L1265="1-Urgent",L1265="2-High"),"DELEGATE","DELETE"))))</f>
        <v/>
      </c>
      <c r="P1265" s="65" t="n"/>
      <c r="Q1265">
        <f>IF(1260&gt;Calc!$AQ$368,"",MATCH(1259,Calc!$AQ$2:$AQ$367,1))</f>
        <v/>
      </c>
      <c r="R1265">
        <f>IF(Q1265="","",SMALL(INDEX(Calc!$B$2:$AO$367,Q1265,0),1260-INDEX(Calc!$AQ$2:$AQ$367,Q1265)))</f>
        <v/>
      </c>
    </row>
    <row r="1266">
      <c r="B1266" s="64">
        <f>IF(R1266="","",1261)</f>
        <v/>
      </c>
      <c r="C1266" s="37">
        <f>IF(R1266="","",IF(INDEX('Recurring Schedule'!$C$6:$C$45,R1266)="","",INDEX('Recurring Schedule'!$C$6:$C$45,R1266)))</f>
        <v/>
      </c>
      <c r="D1266" s="36">
        <f>IF(R1266="","",IF(INDEX('Recurring Schedule'!$D$6:$D$45,R1266)="","",INDEX('Recurring Schedule'!$D$6:$D$45,R1266)))</f>
        <v/>
      </c>
      <c r="E1266" s="38">
        <f>IF(Q1266="","",INDEX(Calc!$A$2:$A$367,Q1266))</f>
        <v/>
      </c>
      <c r="F1266" s="68">
        <f>IF(OR(C1266="",E1266=""),"",E1266-Setup!$D$7)</f>
        <v/>
      </c>
      <c r="G1266" s="74">
        <f>IF(R1266="","",IF(INDEX('Recurring Schedule'!$H$6:$H$45,R1266)="","",INDEX('Recurring Schedule'!$H$6:$H$45,R1266)))</f>
        <v/>
      </c>
      <c r="H1266" s="74">
        <f>IF(R1266="","",IF(INDEX('Recurring Schedule'!$I$6:$I$45,R1266)="","",INDEX('Recurring Schedule'!$I$6:$I$45,R1266)))</f>
        <v/>
      </c>
      <c r="I1266" s="36">
        <f>IF(OR(G1266="",H1266=""),"",TRIM(IF(HOUR(H1266-G1266)&gt;0,HOUR(H1266-G1266)&amp;" hr ","")&amp;IF(MINUTE(H1266-G1266)&gt;0,MINUTE(H1266-G1266)&amp;" min","")))</f>
        <v/>
      </c>
      <c r="J1266" s="66" t="n"/>
      <c r="K1266" s="70" t="n"/>
      <c r="L1266" s="36">
        <f>IF(R1266="","",IF(INDEX('Recurring Schedule'!$J$6:$J$45,R1266)="","",INDEX('Recurring Schedule'!$J$6:$J$45,R1266)))</f>
        <v/>
      </c>
      <c r="M1266" s="36">
        <f>IF(R1266="","",IF(INDEX('Recurring Schedule'!$K$6:$K$45,R1266)="","",INDEX('Recurring Schedule'!$K$6:$K$45,R1266)))</f>
        <v/>
      </c>
      <c r="N1266" s="36">
        <f>IF(R1266="","",IF(INDEX('Recurring Schedule'!$L$6:$L$45,R1266)="","",INDEX('Recurring Schedule'!$L$6:$L$45,R1266)))</f>
        <v/>
      </c>
      <c r="O1266" s="36">
        <f>IF(C1266="","",IF(AND(OR(L1266="1-Urgent",L1266="2-High"),M1266="✓"),"DO FIRST",IF(M1266="✓","SCHEDULE",IF(OR(L1266="1-Urgent",L1266="2-High"),"DELEGATE","DELETE"))))</f>
        <v/>
      </c>
      <c r="P1266" s="65" t="n"/>
      <c r="Q1266">
        <f>IF(1261&gt;Calc!$AQ$368,"",MATCH(1260,Calc!$AQ$2:$AQ$367,1))</f>
        <v/>
      </c>
      <c r="R1266">
        <f>IF(Q1266="","",SMALL(INDEX(Calc!$B$2:$AO$367,Q1266,0),1261-INDEX(Calc!$AQ$2:$AQ$367,Q1266)))</f>
        <v/>
      </c>
    </row>
    <row r="1267">
      <c r="B1267" s="71">
        <f>IF(R1267="","",1262)</f>
        <v/>
      </c>
      <c r="C1267" s="75">
        <f>IF(R1267="","",IF(INDEX('Recurring Schedule'!$C$6:$C$45,R1267)="","",INDEX('Recurring Schedule'!$C$6:$C$45,R1267)))</f>
        <v/>
      </c>
      <c r="D1267" s="73">
        <f>IF(R1267="","",IF(INDEX('Recurring Schedule'!$D$6:$D$45,R1267)="","",INDEX('Recurring Schedule'!$D$6:$D$45,R1267)))</f>
        <v/>
      </c>
      <c r="E1267" s="76">
        <f>IF(Q1267="","",INDEX(Calc!$A$2:$A$367,Q1267))</f>
        <v/>
      </c>
      <c r="F1267" s="72">
        <f>IF(OR(C1267="",E1267=""),"",E1267-Setup!$D$7)</f>
        <v/>
      </c>
      <c r="G1267" s="77">
        <f>IF(R1267="","",IF(INDEX('Recurring Schedule'!$H$6:$H$45,R1267)="","",INDEX('Recurring Schedule'!$H$6:$H$45,R1267)))</f>
        <v/>
      </c>
      <c r="H1267" s="77">
        <f>IF(R1267="","",IF(INDEX('Recurring Schedule'!$I$6:$I$45,R1267)="","",INDEX('Recurring Schedule'!$I$6:$I$45,R1267)))</f>
        <v/>
      </c>
      <c r="I1267" s="73">
        <f>IF(OR(G1267="",H1267=""),"",TRIM(IF(HOUR(H1267-G1267)&gt;0,HOUR(H1267-G1267)&amp;" hr ","")&amp;IF(MINUTE(H1267-G1267)&gt;0,MINUTE(H1267-G1267)&amp;" min","")))</f>
        <v/>
      </c>
      <c r="J1267" s="66" t="n"/>
      <c r="K1267" s="70" t="n"/>
      <c r="L1267" s="73">
        <f>IF(R1267="","",IF(INDEX('Recurring Schedule'!$J$6:$J$45,R1267)="","",INDEX('Recurring Schedule'!$J$6:$J$45,R1267)))</f>
        <v/>
      </c>
      <c r="M1267" s="73">
        <f>IF(R1267="","",IF(INDEX('Recurring Schedule'!$K$6:$K$45,R1267)="","",INDEX('Recurring Schedule'!$K$6:$K$45,R1267)))</f>
        <v/>
      </c>
      <c r="N1267" s="73">
        <f>IF(R1267="","",IF(INDEX('Recurring Schedule'!$L$6:$L$45,R1267)="","",INDEX('Recurring Schedule'!$L$6:$L$45,R1267)))</f>
        <v/>
      </c>
      <c r="O1267" s="73">
        <f>IF(C1267="","",IF(AND(OR(L1267="1-Urgent",L1267="2-High"),M1267="✓"),"DO FIRST",IF(M1267="✓","SCHEDULE",IF(OR(L1267="1-Urgent",L1267="2-High"),"DELEGATE","DELETE"))))</f>
        <v/>
      </c>
      <c r="P1267" s="65" t="n"/>
      <c r="Q1267">
        <f>IF(1262&gt;Calc!$AQ$368,"",MATCH(1261,Calc!$AQ$2:$AQ$367,1))</f>
        <v/>
      </c>
      <c r="R1267">
        <f>IF(Q1267="","",SMALL(INDEX(Calc!$B$2:$AO$367,Q1267,0),1262-INDEX(Calc!$AQ$2:$AQ$367,Q1267)))</f>
        <v/>
      </c>
    </row>
    <row r="1268">
      <c r="B1268" s="64">
        <f>IF(R1268="","",1263)</f>
        <v/>
      </c>
      <c r="C1268" s="37">
        <f>IF(R1268="","",IF(INDEX('Recurring Schedule'!$C$6:$C$45,R1268)="","",INDEX('Recurring Schedule'!$C$6:$C$45,R1268)))</f>
        <v/>
      </c>
      <c r="D1268" s="36">
        <f>IF(R1268="","",IF(INDEX('Recurring Schedule'!$D$6:$D$45,R1268)="","",INDEX('Recurring Schedule'!$D$6:$D$45,R1268)))</f>
        <v/>
      </c>
      <c r="E1268" s="38">
        <f>IF(Q1268="","",INDEX(Calc!$A$2:$A$367,Q1268))</f>
        <v/>
      </c>
      <c r="F1268" s="68">
        <f>IF(OR(C1268="",E1268=""),"",E1268-Setup!$D$7)</f>
        <v/>
      </c>
      <c r="G1268" s="74">
        <f>IF(R1268="","",IF(INDEX('Recurring Schedule'!$H$6:$H$45,R1268)="","",INDEX('Recurring Schedule'!$H$6:$H$45,R1268)))</f>
        <v/>
      </c>
      <c r="H1268" s="74">
        <f>IF(R1268="","",IF(INDEX('Recurring Schedule'!$I$6:$I$45,R1268)="","",INDEX('Recurring Schedule'!$I$6:$I$45,R1268)))</f>
        <v/>
      </c>
      <c r="I1268" s="36">
        <f>IF(OR(G1268="",H1268=""),"",TRIM(IF(HOUR(H1268-G1268)&gt;0,HOUR(H1268-G1268)&amp;" hr ","")&amp;IF(MINUTE(H1268-G1268)&gt;0,MINUTE(H1268-G1268)&amp;" min","")))</f>
        <v/>
      </c>
      <c r="J1268" s="66" t="n"/>
      <c r="K1268" s="70" t="n"/>
      <c r="L1268" s="36">
        <f>IF(R1268="","",IF(INDEX('Recurring Schedule'!$J$6:$J$45,R1268)="","",INDEX('Recurring Schedule'!$J$6:$J$45,R1268)))</f>
        <v/>
      </c>
      <c r="M1268" s="36">
        <f>IF(R1268="","",IF(INDEX('Recurring Schedule'!$K$6:$K$45,R1268)="","",INDEX('Recurring Schedule'!$K$6:$K$45,R1268)))</f>
        <v/>
      </c>
      <c r="N1268" s="36">
        <f>IF(R1268="","",IF(INDEX('Recurring Schedule'!$L$6:$L$45,R1268)="","",INDEX('Recurring Schedule'!$L$6:$L$45,R1268)))</f>
        <v/>
      </c>
      <c r="O1268" s="36">
        <f>IF(C1268="","",IF(AND(OR(L1268="1-Urgent",L1268="2-High"),M1268="✓"),"DO FIRST",IF(M1268="✓","SCHEDULE",IF(OR(L1268="1-Urgent",L1268="2-High"),"DELEGATE","DELETE"))))</f>
        <v/>
      </c>
      <c r="P1268" s="65" t="n"/>
      <c r="Q1268">
        <f>IF(1263&gt;Calc!$AQ$368,"",MATCH(1262,Calc!$AQ$2:$AQ$367,1))</f>
        <v/>
      </c>
      <c r="R1268">
        <f>IF(Q1268="","",SMALL(INDEX(Calc!$B$2:$AO$367,Q1268,0),1263-INDEX(Calc!$AQ$2:$AQ$367,Q1268)))</f>
        <v/>
      </c>
    </row>
    <row r="1269">
      <c r="B1269" s="71">
        <f>IF(R1269="","",1264)</f>
        <v/>
      </c>
      <c r="C1269" s="75">
        <f>IF(R1269="","",IF(INDEX('Recurring Schedule'!$C$6:$C$45,R1269)="","",INDEX('Recurring Schedule'!$C$6:$C$45,R1269)))</f>
        <v/>
      </c>
      <c r="D1269" s="73">
        <f>IF(R1269="","",IF(INDEX('Recurring Schedule'!$D$6:$D$45,R1269)="","",INDEX('Recurring Schedule'!$D$6:$D$45,R1269)))</f>
        <v/>
      </c>
      <c r="E1269" s="76">
        <f>IF(Q1269="","",INDEX(Calc!$A$2:$A$367,Q1269))</f>
        <v/>
      </c>
      <c r="F1269" s="72">
        <f>IF(OR(C1269="",E1269=""),"",E1269-Setup!$D$7)</f>
        <v/>
      </c>
      <c r="G1269" s="77">
        <f>IF(R1269="","",IF(INDEX('Recurring Schedule'!$H$6:$H$45,R1269)="","",INDEX('Recurring Schedule'!$H$6:$H$45,R1269)))</f>
        <v/>
      </c>
      <c r="H1269" s="77">
        <f>IF(R1269="","",IF(INDEX('Recurring Schedule'!$I$6:$I$45,R1269)="","",INDEX('Recurring Schedule'!$I$6:$I$45,R1269)))</f>
        <v/>
      </c>
      <c r="I1269" s="73">
        <f>IF(OR(G1269="",H1269=""),"",TRIM(IF(HOUR(H1269-G1269)&gt;0,HOUR(H1269-G1269)&amp;" hr ","")&amp;IF(MINUTE(H1269-G1269)&gt;0,MINUTE(H1269-G1269)&amp;" min","")))</f>
        <v/>
      </c>
      <c r="J1269" s="66" t="n"/>
      <c r="K1269" s="70" t="n"/>
      <c r="L1269" s="73">
        <f>IF(R1269="","",IF(INDEX('Recurring Schedule'!$J$6:$J$45,R1269)="","",INDEX('Recurring Schedule'!$J$6:$J$45,R1269)))</f>
        <v/>
      </c>
      <c r="M1269" s="73">
        <f>IF(R1269="","",IF(INDEX('Recurring Schedule'!$K$6:$K$45,R1269)="","",INDEX('Recurring Schedule'!$K$6:$K$45,R1269)))</f>
        <v/>
      </c>
      <c r="N1269" s="73">
        <f>IF(R1269="","",IF(INDEX('Recurring Schedule'!$L$6:$L$45,R1269)="","",INDEX('Recurring Schedule'!$L$6:$L$45,R1269)))</f>
        <v/>
      </c>
      <c r="O1269" s="73">
        <f>IF(C1269="","",IF(AND(OR(L1269="1-Urgent",L1269="2-High"),M1269="✓"),"DO FIRST",IF(M1269="✓","SCHEDULE",IF(OR(L1269="1-Urgent",L1269="2-High"),"DELEGATE","DELETE"))))</f>
        <v/>
      </c>
      <c r="P1269" s="65" t="n"/>
      <c r="Q1269">
        <f>IF(1264&gt;Calc!$AQ$368,"",MATCH(1263,Calc!$AQ$2:$AQ$367,1))</f>
        <v/>
      </c>
      <c r="R1269">
        <f>IF(Q1269="","",SMALL(INDEX(Calc!$B$2:$AO$367,Q1269,0),1264-INDEX(Calc!$AQ$2:$AQ$367,Q1269)))</f>
        <v/>
      </c>
    </row>
    <row r="1270">
      <c r="B1270" s="64">
        <f>IF(R1270="","",1265)</f>
        <v/>
      </c>
      <c r="C1270" s="37">
        <f>IF(R1270="","",IF(INDEX('Recurring Schedule'!$C$6:$C$45,R1270)="","",INDEX('Recurring Schedule'!$C$6:$C$45,R1270)))</f>
        <v/>
      </c>
      <c r="D1270" s="36">
        <f>IF(R1270="","",IF(INDEX('Recurring Schedule'!$D$6:$D$45,R1270)="","",INDEX('Recurring Schedule'!$D$6:$D$45,R1270)))</f>
        <v/>
      </c>
      <c r="E1270" s="38">
        <f>IF(Q1270="","",INDEX(Calc!$A$2:$A$367,Q1270))</f>
        <v/>
      </c>
      <c r="F1270" s="68">
        <f>IF(OR(C1270="",E1270=""),"",E1270-Setup!$D$7)</f>
        <v/>
      </c>
      <c r="G1270" s="74">
        <f>IF(R1270="","",IF(INDEX('Recurring Schedule'!$H$6:$H$45,R1270)="","",INDEX('Recurring Schedule'!$H$6:$H$45,R1270)))</f>
        <v/>
      </c>
      <c r="H1270" s="74">
        <f>IF(R1270="","",IF(INDEX('Recurring Schedule'!$I$6:$I$45,R1270)="","",INDEX('Recurring Schedule'!$I$6:$I$45,R1270)))</f>
        <v/>
      </c>
      <c r="I1270" s="36">
        <f>IF(OR(G1270="",H1270=""),"",TRIM(IF(HOUR(H1270-G1270)&gt;0,HOUR(H1270-G1270)&amp;" hr ","")&amp;IF(MINUTE(H1270-G1270)&gt;0,MINUTE(H1270-G1270)&amp;" min","")))</f>
        <v/>
      </c>
      <c r="J1270" s="66" t="n"/>
      <c r="K1270" s="70" t="n"/>
      <c r="L1270" s="36">
        <f>IF(R1270="","",IF(INDEX('Recurring Schedule'!$J$6:$J$45,R1270)="","",INDEX('Recurring Schedule'!$J$6:$J$45,R1270)))</f>
        <v/>
      </c>
      <c r="M1270" s="36">
        <f>IF(R1270="","",IF(INDEX('Recurring Schedule'!$K$6:$K$45,R1270)="","",INDEX('Recurring Schedule'!$K$6:$K$45,R1270)))</f>
        <v/>
      </c>
      <c r="N1270" s="36">
        <f>IF(R1270="","",IF(INDEX('Recurring Schedule'!$L$6:$L$45,R1270)="","",INDEX('Recurring Schedule'!$L$6:$L$45,R1270)))</f>
        <v/>
      </c>
      <c r="O1270" s="36">
        <f>IF(C1270="","",IF(AND(OR(L1270="1-Urgent",L1270="2-High"),M1270="✓"),"DO FIRST",IF(M1270="✓","SCHEDULE",IF(OR(L1270="1-Urgent",L1270="2-High"),"DELEGATE","DELETE"))))</f>
        <v/>
      </c>
      <c r="P1270" s="65" t="n"/>
      <c r="Q1270">
        <f>IF(1265&gt;Calc!$AQ$368,"",MATCH(1264,Calc!$AQ$2:$AQ$367,1))</f>
        <v/>
      </c>
      <c r="R1270">
        <f>IF(Q1270="","",SMALL(INDEX(Calc!$B$2:$AO$367,Q1270,0),1265-INDEX(Calc!$AQ$2:$AQ$367,Q1270)))</f>
        <v/>
      </c>
    </row>
    <row r="1271">
      <c r="B1271" s="71">
        <f>IF(R1271="","",1266)</f>
        <v/>
      </c>
      <c r="C1271" s="75">
        <f>IF(R1271="","",IF(INDEX('Recurring Schedule'!$C$6:$C$45,R1271)="","",INDEX('Recurring Schedule'!$C$6:$C$45,R1271)))</f>
        <v/>
      </c>
      <c r="D1271" s="73">
        <f>IF(R1271="","",IF(INDEX('Recurring Schedule'!$D$6:$D$45,R1271)="","",INDEX('Recurring Schedule'!$D$6:$D$45,R1271)))</f>
        <v/>
      </c>
      <c r="E1271" s="76">
        <f>IF(Q1271="","",INDEX(Calc!$A$2:$A$367,Q1271))</f>
        <v/>
      </c>
      <c r="F1271" s="72">
        <f>IF(OR(C1271="",E1271=""),"",E1271-Setup!$D$7)</f>
        <v/>
      </c>
      <c r="G1271" s="77">
        <f>IF(R1271="","",IF(INDEX('Recurring Schedule'!$H$6:$H$45,R1271)="","",INDEX('Recurring Schedule'!$H$6:$H$45,R1271)))</f>
        <v/>
      </c>
      <c r="H1271" s="77">
        <f>IF(R1271="","",IF(INDEX('Recurring Schedule'!$I$6:$I$45,R1271)="","",INDEX('Recurring Schedule'!$I$6:$I$45,R1271)))</f>
        <v/>
      </c>
      <c r="I1271" s="73">
        <f>IF(OR(G1271="",H1271=""),"",TRIM(IF(HOUR(H1271-G1271)&gt;0,HOUR(H1271-G1271)&amp;" hr ","")&amp;IF(MINUTE(H1271-G1271)&gt;0,MINUTE(H1271-G1271)&amp;" min","")))</f>
        <v/>
      </c>
      <c r="J1271" s="66" t="n"/>
      <c r="K1271" s="70" t="n"/>
      <c r="L1271" s="73">
        <f>IF(R1271="","",IF(INDEX('Recurring Schedule'!$J$6:$J$45,R1271)="","",INDEX('Recurring Schedule'!$J$6:$J$45,R1271)))</f>
        <v/>
      </c>
      <c r="M1271" s="73">
        <f>IF(R1271="","",IF(INDEX('Recurring Schedule'!$K$6:$K$45,R1271)="","",INDEX('Recurring Schedule'!$K$6:$K$45,R1271)))</f>
        <v/>
      </c>
      <c r="N1271" s="73">
        <f>IF(R1271="","",IF(INDEX('Recurring Schedule'!$L$6:$L$45,R1271)="","",INDEX('Recurring Schedule'!$L$6:$L$45,R1271)))</f>
        <v/>
      </c>
      <c r="O1271" s="73">
        <f>IF(C1271="","",IF(AND(OR(L1271="1-Urgent",L1271="2-High"),M1271="✓"),"DO FIRST",IF(M1271="✓","SCHEDULE",IF(OR(L1271="1-Urgent",L1271="2-High"),"DELEGATE","DELETE"))))</f>
        <v/>
      </c>
      <c r="P1271" s="65" t="n"/>
      <c r="Q1271">
        <f>IF(1266&gt;Calc!$AQ$368,"",MATCH(1265,Calc!$AQ$2:$AQ$367,1))</f>
        <v/>
      </c>
      <c r="R1271">
        <f>IF(Q1271="","",SMALL(INDEX(Calc!$B$2:$AO$367,Q1271,0),1266-INDEX(Calc!$AQ$2:$AQ$367,Q1271)))</f>
        <v/>
      </c>
    </row>
    <row r="1272">
      <c r="B1272" s="64">
        <f>IF(R1272="","",1267)</f>
        <v/>
      </c>
      <c r="C1272" s="37">
        <f>IF(R1272="","",IF(INDEX('Recurring Schedule'!$C$6:$C$45,R1272)="","",INDEX('Recurring Schedule'!$C$6:$C$45,R1272)))</f>
        <v/>
      </c>
      <c r="D1272" s="36">
        <f>IF(R1272="","",IF(INDEX('Recurring Schedule'!$D$6:$D$45,R1272)="","",INDEX('Recurring Schedule'!$D$6:$D$45,R1272)))</f>
        <v/>
      </c>
      <c r="E1272" s="38">
        <f>IF(Q1272="","",INDEX(Calc!$A$2:$A$367,Q1272))</f>
        <v/>
      </c>
      <c r="F1272" s="68">
        <f>IF(OR(C1272="",E1272=""),"",E1272-Setup!$D$7)</f>
        <v/>
      </c>
      <c r="G1272" s="74">
        <f>IF(R1272="","",IF(INDEX('Recurring Schedule'!$H$6:$H$45,R1272)="","",INDEX('Recurring Schedule'!$H$6:$H$45,R1272)))</f>
        <v/>
      </c>
      <c r="H1272" s="74">
        <f>IF(R1272="","",IF(INDEX('Recurring Schedule'!$I$6:$I$45,R1272)="","",INDEX('Recurring Schedule'!$I$6:$I$45,R1272)))</f>
        <v/>
      </c>
      <c r="I1272" s="36">
        <f>IF(OR(G1272="",H1272=""),"",TRIM(IF(HOUR(H1272-G1272)&gt;0,HOUR(H1272-G1272)&amp;" hr ","")&amp;IF(MINUTE(H1272-G1272)&gt;0,MINUTE(H1272-G1272)&amp;" min","")))</f>
        <v/>
      </c>
      <c r="J1272" s="66" t="n"/>
      <c r="K1272" s="70" t="n"/>
      <c r="L1272" s="36">
        <f>IF(R1272="","",IF(INDEX('Recurring Schedule'!$J$6:$J$45,R1272)="","",INDEX('Recurring Schedule'!$J$6:$J$45,R1272)))</f>
        <v/>
      </c>
      <c r="M1272" s="36">
        <f>IF(R1272="","",IF(INDEX('Recurring Schedule'!$K$6:$K$45,R1272)="","",INDEX('Recurring Schedule'!$K$6:$K$45,R1272)))</f>
        <v/>
      </c>
      <c r="N1272" s="36">
        <f>IF(R1272="","",IF(INDEX('Recurring Schedule'!$L$6:$L$45,R1272)="","",INDEX('Recurring Schedule'!$L$6:$L$45,R1272)))</f>
        <v/>
      </c>
      <c r="O1272" s="36">
        <f>IF(C1272="","",IF(AND(OR(L1272="1-Urgent",L1272="2-High"),M1272="✓"),"DO FIRST",IF(M1272="✓","SCHEDULE",IF(OR(L1272="1-Urgent",L1272="2-High"),"DELEGATE","DELETE"))))</f>
        <v/>
      </c>
      <c r="P1272" s="65" t="n"/>
      <c r="Q1272">
        <f>IF(1267&gt;Calc!$AQ$368,"",MATCH(1266,Calc!$AQ$2:$AQ$367,1))</f>
        <v/>
      </c>
      <c r="R1272">
        <f>IF(Q1272="","",SMALL(INDEX(Calc!$B$2:$AO$367,Q1272,0),1267-INDEX(Calc!$AQ$2:$AQ$367,Q1272)))</f>
        <v/>
      </c>
    </row>
    <row r="1273">
      <c r="B1273" s="71">
        <f>IF(R1273="","",1268)</f>
        <v/>
      </c>
      <c r="C1273" s="75">
        <f>IF(R1273="","",IF(INDEX('Recurring Schedule'!$C$6:$C$45,R1273)="","",INDEX('Recurring Schedule'!$C$6:$C$45,R1273)))</f>
        <v/>
      </c>
      <c r="D1273" s="73">
        <f>IF(R1273="","",IF(INDEX('Recurring Schedule'!$D$6:$D$45,R1273)="","",INDEX('Recurring Schedule'!$D$6:$D$45,R1273)))</f>
        <v/>
      </c>
      <c r="E1273" s="76">
        <f>IF(Q1273="","",INDEX(Calc!$A$2:$A$367,Q1273))</f>
        <v/>
      </c>
      <c r="F1273" s="72">
        <f>IF(OR(C1273="",E1273=""),"",E1273-Setup!$D$7)</f>
        <v/>
      </c>
      <c r="G1273" s="77">
        <f>IF(R1273="","",IF(INDEX('Recurring Schedule'!$H$6:$H$45,R1273)="","",INDEX('Recurring Schedule'!$H$6:$H$45,R1273)))</f>
        <v/>
      </c>
      <c r="H1273" s="77">
        <f>IF(R1273="","",IF(INDEX('Recurring Schedule'!$I$6:$I$45,R1273)="","",INDEX('Recurring Schedule'!$I$6:$I$45,R1273)))</f>
        <v/>
      </c>
      <c r="I1273" s="73">
        <f>IF(OR(G1273="",H1273=""),"",TRIM(IF(HOUR(H1273-G1273)&gt;0,HOUR(H1273-G1273)&amp;" hr ","")&amp;IF(MINUTE(H1273-G1273)&gt;0,MINUTE(H1273-G1273)&amp;" min","")))</f>
        <v/>
      </c>
      <c r="J1273" s="66" t="n"/>
      <c r="K1273" s="70" t="n"/>
      <c r="L1273" s="73">
        <f>IF(R1273="","",IF(INDEX('Recurring Schedule'!$J$6:$J$45,R1273)="","",INDEX('Recurring Schedule'!$J$6:$J$45,R1273)))</f>
        <v/>
      </c>
      <c r="M1273" s="73">
        <f>IF(R1273="","",IF(INDEX('Recurring Schedule'!$K$6:$K$45,R1273)="","",INDEX('Recurring Schedule'!$K$6:$K$45,R1273)))</f>
        <v/>
      </c>
      <c r="N1273" s="73">
        <f>IF(R1273="","",IF(INDEX('Recurring Schedule'!$L$6:$L$45,R1273)="","",INDEX('Recurring Schedule'!$L$6:$L$45,R1273)))</f>
        <v/>
      </c>
      <c r="O1273" s="73">
        <f>IF(C1273="","",IF(AND(OR(L1273="1-Urgent",L1273="2-High"),M1273="✓"),"DO FIRST",IF(M1273="✓","SCHEDULE",IF(OR(L1273="1-Urgent",L1273="2-High"),"DELEGATE","DELETE"))))</f>
        <v/>
      </c>
      <c r="P1273" s="65" t="n"/>
      <c r="Q1273">
        <f>IF(1268&gt;Calc!$AQ$368,"",MATCH(1267,Calc!$AQ$2:$AQ$367,1))</f>
        <v/>
      </c>
      <c r="R1273">
        <f>IF(Q1273="","",SMALL(INDEX(Calc!$B$2:$AO$367,Q1273,0),1268-INDEX(Calc!$AQ$2:$AQ$367,Q1273)))</f>
        <v/>
      </c>
    </row>
    <row r="1274">
      <c r="B1274" s="64">
        <f>IF(R1274="","",1269)</f>
        <v/>
      </c>
      <c r="C1274" s="37">
        <f>IF(R1274="","",IF(INDEX('Recurring Schedule'!$C$6:$C$45,R1274)="","",INDEX('Recurring Schedule'!$C$6:$C$45,R1274)))</f>
        <v/>
      </c>
      <c r="D1274" s="36">
        <f>IF(R1274="","",IF(INDEX('Recurring Schedule'!$D$6:$D$45,R1274)="","",INDEX('Recurring Schedule'!$D$6:$D$45,R1274)))</f>
        <v/>
      </c>
      <c r="E1274" s="38">
        <f>IF(Q1274="","",INDEX(Calc!$A$2:$A$367,Q1274))</f>
        <v/>
      </c>
      <c r="F1274" s="68">
        <f>IF(OR(C1274="",E1274=""),"",E1274-Setup!$D$7)</f>
        <v/>
      </c>
      <c r="G1274" s="74">
        <f>IF(R1274="","",IF(INDEX('Recurring Schedule'!$H$6:$H$45,R1274)="","",INDEX('Recurring Schedule'!$H$6:$H$45,R1274)))</f>
        <v/>
      </c>
      <c r="H1274" s="74">
        <f>IF(R1274="","",IF(INDEX('Recurring Schedule'!$I$6:$I$45,R1274)="","",INDEX('Recurring Schedule'!$I$6:$I$45,R1274)))</f>
        <v/>
      </c>
      <c r="I1274" s="36">
        <f>IF(OR(G1274="",H1274=""),"",TRIM(IF(HOUR(H1274-G1274)&gt;0,HOUR(H1274-G1274)&amp;" hr ","")&amp;IF(MINUTE(H1274-G1274)&gt;0,MINUTE(H1274-G1274)&amp;" min","")))</f>
        <v/>
      </c>
      <c r="J1274" s="66" t="n"/>
      <c r="K1274" s="70" t="n"/>
      <c r="L1274" s="36">
        <f>IF(R1274="","",IF(INDEX('Recurring Schedule'!$J$6:$J$45,R1274)="","",INDEX('Recurring Schedule'!$J$6:$J$45,R1274)))</f>
        <v/>
      </c>
      <c r="M1274" s="36">
        <f>IF(R1274="","",IF(INDEX('Recurring Schedule'!$K$6:$K$45,R1274)="","",INDEX('Recurring Schedule'!$K$6:$K$45,R1274)))</f>
        <v/>
      </c>
      <c r="N1274" s="36">
        <f>IF(R1274="","",IF(INDEX('Recurring Schedule'!$L$6:$L$45,R1274)="","",INDEX('Recurring Schedule'!$L$6:$L$45,R1274)))</f>
        <v/>
      </c>
      <c r="O1274" s="36">
        <f>IF(C1274="","",IF(AND(OR(L1274="1-Urgent",L1274="2-High"),M1274="✓"),"DO FIRST",IF(M1274="✓","SCHEDULE",IF(OR(L1274="1-Urgent",L1274="2-High"),"DELEGATE","DELETE"))))</f>
        <v/>
      </c>
      <c r="P1274" s="65" t="n"/>
      <c r="Q1274">
        <f>IF(1269&gt;Calc!$AQ$368,"",MATCH(1268,Calc!$AQ$2:$AQ$367,1))</f>
        <v/>
      </c>
      <c r="R1274">
        <f>IF(Q1274="","",SMALL(INDEX(Calc!$B$2:$AO$367,Q1274,0),1269-INDEX(Calc!$AQ$2:$AQ$367,Q1274)))</f>
        <v/>
      </c>
    </row>
    <row r="1275">
      <c r="B1275" s="71">
        <f>IF(R1275="","",1270)</f>
        <v/>
      </c>
      <c r="C1275" s="75">
        <f>IF(R1275="","",IF(INDEX('Recurring Schedule'!$C$6:$C$45,R1275)="","",INDEX('Recurring Schedule'!$C$6:$C$45,R1275)))</f>
        <v/>
      </c>
      <c r="D1275" s="73">
        <f>IF(R1275="","",IF(INDEX('Recurring Schedule'!$D$6:$D$45,R1275)="","",INDEX('Recurring Schedule'!$D$6:$D$45,R1275)))</f>
        <v/>
      </c>
      <c r="E1275" s="76">
        <f>IF(Q1275="","",INDEX(Calc!$A$2:$A$367,Q1275))</f>
        <v/>
      </c>
      <c r="F1275" s="72">
        <f>IF(OR(C1275="",E1275=""),"",E1275-Setup!$D$7)</f>
        <v/>
      </c>
      <c r="G1275" s="77">
        <f>IF(R1275="","",IF(INDEX('Recurring Schedule'!$H$6:$H$45,R1275)="","",INDEX('Recurring Schedule'!$H$6:$H$45,R1275)))</f>
        <v/>
      </c>
      <c r="H1275" s="77">
        <f>IF(R1275="","",IF(INDEX('Recurring Schedule'!$I$6:$I$45,R1275)="","",INDEX('Recurring Schedule'!$I$6:$I$45,R1275)))</f>
        <v/>
      </c>
      <c r="I1275" s="73">
        <f>IF(OR(G1275="",H1275=""),"",TRIM(IF(HOUR(H1275-G1275)&gt;0,HOUR(H1275-G1275)&amp;" hr ","")&amp;IF(MINUTE(H1275-G1275)&gt;0,MINUTE(H1275-G1275)&amp;" min","")))</f>
        <v/>
      </c>
      <c r="J1275" s="66" t="n"/>
      <c r="K1275" s="70" t="n"/>
      <c r="L1275" s="73">
        <f>IF(R1275="","",IF(INDEX('Recurring Schedule'!$J$6:$J$45,R1275)="","",INDEX('Recurring Schedule'!$J$6:$J$45,R1275)))</f>
        <v/>
      </c>
      <c r="M1275" s="73">
        <f>IF(R1275="","",IF(INDEX('Recurring Schedule'!$K$6:$K$45,R1275)="","",INDEX('Recurring Schedule'!$K$6:$K$45,R1275)))</f>
        <v/>
      </c>
      <c r="N1275" s="73">
        <f>IF(R1275="","",IF(INDEX('Recurring Schedule'!$L$6:$L$45,R1275)="","",INDEX('Recurring Schedule'!$L$6:$L$45,R1275)))</f>
        <v/>
      </c>
      <c r="O1275" s="73">
        <f>IF(C1275="","",IF(AND(OR(L1275="1-Urgent",L1275="2-High"),M1275="✓"),"DO FIRST",IF(M1275="✓","SCHEDULE",IF(OR(L1275="1-Urgent",L1275="2-High"),"DELEGATE","DELETE"))))</f>
        <v/>
      </c>
      <c r="P1275" s="65" t="n"/>
      <c r="Q1275">
        <f>IF(1270&gt;Calc!$AQ$368,"",MATCH(1269,Calc!$AQ$2:$AQ$367,1))</f>
        <v/>
      </c>
      <c r="R1275">
        <f>IF(Q1275="","",SMALL(INDEX(Calc!$B$2:$AO$367,Q1275,0),1270-INDEX(Calc!$AQ$2:$AQ$367,Q1275)))</f>
        <v/>
      </c>
    </row>
    <row r="1276">
      <c r="B1276" s="64">
        <f>IF(R1276="","",1271)</f>
        <v/>
      </c>
      <c r="C1276" s="37">
        <f>IF(R1276="","",IF(INDEX('Recurring Schedule'!$C$6:$C$45,R1276)="","",INDEX('Recurring Schedule'!$C$6:$C$45,R1276)))</f>
        <v/>
      </c>
      <c r="D1276" s="36">
        <f>IF(R1276="","",IF(INDEX('Recurring Schedule'!$D$6:$D$45,R1276)="","",INDEX('Recurring Schedule'!$D$6:$D$45,R1276)))</f>
        <v/>
      </c>
      <c r="E1276" s="38">
        <f>IF(Q1276="","",INDEX(Calc!$A$2:$A$367,Q1276))</f>
        <v/>
      </c>
      <c r="F1276" s="68">
        <f>IF(OR(C1276="",E1276=""),"",E1276-Setup!$D$7)</f>
        <v/>
      </c>
      <c r="G1276" s="74">
        <f>IF(R1276="","",IF(INDEX('Recurring Schedule'!$H$6:$H$45,R1276)="","",INDEX('Recurring Schedule'!$H$6:$H$45,R1276)))</f>
        <v/>
      </c>
      <c r="H1276" s="74">
        <f>IF(R1276="","",IF(INDEX('Recurring Schedule'!$I$6:$I$45,R1276)="","",INDEX('Recurring Schedule'!$I$6:$I$45,R1276)))</f>
        <v/>
      </c>
      <c r="I1276" s="36">
        <f>IF(OR(G1276="",H1276=""),"",TRIM(IF(HOUR(H1276-G1276)&gt;0,HOUR(H1276-G1276)&amp;" hr ","")&amp;IF(MINUTE(H1276-G1276)&gt;0,MINUTE(H1276-G1276)&amp;" min","")))</f>
        <v/>
      </c>
      <c r="J1276" s="66" t="n"/>
      <c r="K1276" s="70" t="n"/>
      <c r="L1276" s="36">
        <f>IF(R1276="","",IF(INDEX('Recurring Schedule'!$J$6:$J$45,R1276)="","",INDEX('Recurring Schedule'!$J$6:$J$45,R1276)))</f>
        <v/>
      </c>
      <c r="M1276" s="36">
        <f>IF(R1276="","",IF(INDEX('Recurring Schedule'!$K$6:$K$45,R1276)="","",INDEX('Recurring Schedule'!$K$6:$K$45,R1276)))</f>
        <v/>
      </c>
      <c r="N1276" s="36">
        <f>IF(R1276="","",IF(INDEX('Recurring Schedule'!$L$6:$L$45,R1276)="","",INDEX('Recurring Schedule'!$L$6:$L$45,R1276)))</f>
        <v/>
      </c>
      <c r="O1276" s="36">
        <f>IF(C1276="","",IF(AND(OR(L1276="1-Urgent",L1276="2-High"),M1276="✓"),"DO FIRST",IF(M1276="✓","SCHEDULE",IF(OR(L1276="1-Urgent",L1276="2-High"),"DELEGATE","DELETE"))))</f>
        <v/>
      </c>
      <c r="P1276" s="65" t="n"/>
      <c r="Q1276">
        <f>IF(1271&gt;Calc!$AQ$368,"",MATCH(1270,Calc!$AQ$2:$AQ$367,1))</f>
        <v/>
      </c>
      <c r="R1276">
        <f>IF(Q1276="","",SMALL(INDEX(Calc!$B$2:$AO$367,Q1276,0),1271-INDEX(Calc!$AQ$2:$AQ$367,Q1276)))</f>
        <v/>
      </c>
    </row>
    <row r="1277">
      <c r="B1277" s="71">
        <f>IF(R1277="","",1272)</f>
        <v/>
      </c>
      <c r="C1277" s="75">
        <f>IF(R1277="","",IF(INDEX('Recurring Schedule'!$C$6:$C$45,R1277)="","",INDEX('Recurring Schedule'!$C$6:$C$45,R1277)))</f>
        <v/>
      </c>
      <c r="D1277" s="73">
        <f>IF(R1277="","",IF(INDEX('Recurring Schedule'!$D$6:$D$45,R1277)="","",INDEX('Recurring Schedule'!$D$6:$D$45,R1277)))</f>
        <v/>
      </c>
      <c r="E1277" s="76">
        <f>IF(Q1277="","",INDEX(Calc!$A$2:$A$367,Q1277))</f>
        <v/>
      </c>
      <c r="F1277" s="72">
        <f>IF(OR(C1277="",E1277=""),"",E1277-Setup!$D$7)</f>
        <v/>
      </c>
      <c r="G1277" s="77">
        <f>IF(R1277="","",IF(INDEX('Recurring Schedule'!$H$6:$H$45,R1277)="","",INDEX('Recurring Schedule'!$H$6:$H$45,R1277)))</f>
        <v/>
      </c>
      <c r="H1277" s="77">
        <f>IF(R1277="","",IF(INDEX('Recurring Schedule'!$I$6:$I$45,R1277)="","",INDEX('Recurring Schedule'!$I$6:$I$45,R1277)))</f>
        <v/>
      </c>
      <c r="I1277" s="73">
        <f>IF(OR(G1277="",H1277=""),"",TRIM(IF(HOUR(H1277-G1277)&gt;0,HOUR(H1277-G1277)&amp;" hr ","")&amp;IF(MINUTE(H1277-G1277)&gt;0,MINUTE(H1277-G1277)&amp;" min","")))</f>
        <v/>
      </c>
      <c r="J1277" s="66" t="n"/>
      <c r="K1277" s="70" t="n"/>
      <c r="L1277" s="73">
        <f>IF(R1277="","",IF(INDEX('Recurring Schedule'!$J$6:$J$45,R1277)="","",INDEX('Recurring Schedule'!$J$6:$J$45,R1277)))</f>
        <v/>
      </c>
      <c r="M1277" s="73">
        <f>IF(R1277="","",IF(INDEX('Recurring Schedule'!$K$6:$K$45,R1277)="","",INDEX('Recurring Schedule'!$K$6:$K$45,R1277)))</f>
        <v/>
      </c>
      <c r="N1277" s="73">
        <f>IF(R1277="","",IF(INDEX('Recurring Schedule'!$L$6:$L$45,R1277)="","",INDEX('Recurring Schedule'!$L$6:$L$45,R1277)))</f>
        <v/>
      </c>
      <c r="O1277" s="73">
        <f>IF(C1277="","",IF(AND(OR(L1277="1-Urgent",L1277="2-High"),M1277="✓"),"DO FIRST",IF(M1277="✓","SCHEDULE",IF(OR(L1277="1-Urgent",L1277="2-High"),"DELEGATE","DELETE"))))</f>
        <v/>
      </c>
      <c r="P1277" s="65" t="n"/>
      <c r="Q1277">
        <f>IF(1272&gt;Calc!$AQ$368,"",MATCH(1271,Calc!$AQ$2:$AQ$367,1))</f>
        <v/>
      </c>
      <c r="R1277">
        <f>IF(Q1277="","",SMALL(INDEX(Calc!$B$2:$AO$367,Q1277,0),1272-INDEX(Calc!$AQ$2:$AQ$367,Q1277)))</f>
        <v/>
      </c>
    </row>
    <row r="1278">
      <c r="B1278" s="64">
        <f>IF(R1278="","",1273)</f>
        <v/>
      </c>
      <c r="C1278" s="37">
        <f>IF(R1278="","",IF(INDEX('Recurring Schedule'!$C$6:$C$45,R1278)="","",INDEX('Recurring Schedule'!$C$6:$C$45,R1278)))</f>
        <v/>
      </c>
      <c r="D1278" s="36">
        <f>IF(R1278="","",IF(INDEX('Recurring Schedule'!$D$6:$D$45,R1278)="","",INDEX('Recurring Schedule'!$D$6:$D$45,R1278)))</f>
        <v/>
      </c>
      <c r="E1278" s="38">
        <f>IF(Q1278="","",INDEX(Calc!$A$2:$A$367,Q1278))</f>
        <v/>
      </c>
      <c r="F1278" s="68">
        <f>IF(OR(C1278="",E1278=""),"",E1278-Setup!$D$7)</f>
        <v/>
      </c>
      <c r="G1278" s="74">
        <f>IF(R1278="","",IF(INDEX('Recurring Schedule'!$H$6:$H$45,R1278)="","",INDEX('Recurring Schedule'!$H$6:$H$45,R1278)))</f>
        <v/>
      </c>
      <c r="H1278" s="74">
        <f>IF(R1278="","",IF(INDEX('Recurring Schedule'!$I$6:$I$45,R1278)="","",INDEX('Recurring Schedule'!$I$6:$I$45,R1278)))</f>
        <v/>
      </c>
      <c r="I1278" s="36">
        <f>IF(OR(G1278="",H1278=""),"",TRIM(IF(HOUR(H1278-G1278)&gt;0,HOUR(H1278-G1278)&amp;" hr ","")&amp;IF(MINUTE(H1278-G1278)&gt;0,MINUTE(H1278-G1278)&amp;" min","")))</f>
        <v/>
      </c>
      <c r="J1278" s="66" t="n"/>
      <c r="K1278" s="70" t="n"/>
      <c r="L1278" s="36">
        <f>IF(R1278="","",IF(INDEX('Recurring Schedule'!$J$6:$J$45,R1278)="","",INDEX('Recurring Schedule'!$J$6:$J$45,R1278)))</f>
        <v/>
      </c>
      <c r="M1278" s="36">
        <f>IF(R1278="","",IF(INDEX('Recurring Schedule'!$K$6:$K$45,R1278)="","",INDEX('Recurring Schedule'!$K$6:$K$45,R1278)))</f>
        <v/>
      </c>
      <c r="N1278" s="36">
        <f>IF(R1278="","",IF(INDEX('Recurring Schedule'!$L$6:$L$45,R1278)="","",INDEX('Recurring Schedule'!$L$6:$L$45,R1278)))</f>
        <v/>
      </c>
      <c r="O1278" s="36">
        <f>IF(C1278="","",IF(AND(OR(L1278="1-Urgent",L1278="2-High"),M1278="✓"),"DO FIRST",IF(M1278="✓","SCHEDULE",IF(OR(L1278="1-Urgent",L1278="2-High"),"DELEGATE","DELETE"))))</f>
        <v/>
      </c>
      <c r="P1278" s="65" t="n"/>
      <c r="Q1278">
        <f>IF(1273&gt;Calc!$AQ$368,"",MATCH(1272,Calc!$AQ$2:$AQ$367,1))</f>
        <v/>
      </c>
      <c r="R1278">
        <f>IF(Q1278="","",SMALL(INDEX(Calc!$B$2:$AO$367,Q1278,0),1273-INDEX(Calc!$AQ$2:$AQ$367,Q1278)))</f>
        <v/>
      </c>
    </row>
    <row r="1279">
      <c r="B1279" s="71">
        <f>IF(R1279="","",1274)</f>
        <v/>
      </c>
      <c r="C1279" s="75">
        <f>IF(R1279="","",IF(INDEX('Recurring Schedule'!$C$6:$C$45,R1279)="","",INDEX('Recurring Schedule'!$C$6:$C$45,R1279)))</f>
        <v/>
      </c>
      <c r="D1279" s="73">
        <f>IF(R1279="","",IF(INDEX('Recurring Schedule'!$D$6:$D$45,R1279)="","",INDEX('Recurring Schedule'!$D$6:$D$45,R1279)))</f>
        <v/>
      </c>
      <c r="E1279" s="76">
        <f>IF(Q1279="","",INDEX(Calc!$A$2:$A$367,Q1279))</f>
        <v/>
      </c>
      <c r="F1279" s="72">
        <f>IF(OR(C1279="",E1279=""),"",E1279-Setup!$D$7)</f>
        <v/>
      </c>
      <c r="G1279" s="77">
        <f>IF(R1279="","",IF(INDEX('Recurring Schedule'!$H$6:$H$45,R1279)="","",INDEX('Recurring Schedule'!$H$6:$H$45,R1279)))</f>
        <v/>
      </c>
      <c r="H1279" s="77">
        <f>IF(R1279="","",IF(INDEX('Recurring Schedule'!$I$6:$I$45,R1279)="","",INDEX('Recurring Schedule'!$I$6:$I$45,R1279)))</f>
        <v/>
      </c>
      <c r="I1279" s="73">
        <f>IF(OR(G1279="",H1279=""),"",TRIM(IF(HOUR(H1279-G1279)&gt;0,HOUR(H1279-G1279)&amp;" hr ","")&amp;IF(MINUTE(H1279-G1279)&gt;0,MINUTE(H1279-G1279)&amp;" min","")))</f>
        <v/>
      </c>
      <c r="J1279" s="66" t="n"/>
      <c r="K1279" s="70" t="n"/>
      <c r="L1279" s="73">
        <f>IF(R1279="","",IF(INDEX('Recurring Schedule'!$J$6:$J$45,R1279)="","",INDEX('Recurring Schedule'!$J$6:$J$45,R1279)))</f>
        <v/>
      </c>
      <c r="M1279" s="73">
        <f>IF(R1279="","",IF(INDEX('Recurring Schedule'!$K$6:$K$45,R1279)="","",INDEX('Recurring Schedule'!$K$6:$K$45,R1279)))</f>
        <v/>
      </c>
      <c r="N1279" s="73">
        <f>IF(R1279="","",IF(INDEX('Recurring Schedule'!$L$6:$L$45,R1279)="","",INDEX('Recurring Schedule'!$L$6:$L$45,R1279)))</f>
        <v/>
      </c>
      <c r="O1279" s="73">
        <f>IF(C1279="","",IF(AND(OR(L1279="1-Urgent",L1279="2-High"),M1279="✓"),"DO FIRST",IF(M1279="✓","SCHEDULE",IF(OR(L1279="1-Urgent",L1279="2-High"),"DELEGATE","DELETE"))))</f>
        <v/>
      </c>
      <c r="P1279" s="65" t="n"/>
      <c r="Q1279">
        <f>IF(1274&gt;Calc!$AQ$368,"",MATCH(1273,Calc!$AQ$2:$AQ$367,1))</f>
        <v/>
      </c>
      <c r="R1279">
        <f>IF(Q1279="","",SMALL(INDEX(Calc!$B$2:$AO$367,Q1279,0),1274-INDEX(Calc!$AQ$2:$AQ$367,Q1279)))</f>
        <v/>
      </c>
    </row>
    <row r="1280">
      <c r="B1280" s="64">
        <f>IF(R1280="","",1275)</f>
        <v/>
      </c>
      <c r="C1280" s="37">
        <f>IF(R1280="","",IF(INDEX('Recurring Schedule'!$C$6:$C$45,R1280)="","",INDEX('Recurring Schedule'!$C$6:$C$45,R1280)))</f>
        <v/>
      </c>
      <c r="D1280" s="36">
        <f>IF(R1280="","",IF(INDEX('Recurring Schedule'!$D$6:$D$45,R1280)="","",INDEX('Recurring Schedule'!$D$6:$D$45,R1280)))</f>
        <v/>
      </c>
      <c r="E1280" s="38">
        <f>IF(Q1280="","",INDEX(Calc!$A$2:$A$367,Q1280))</f>
        <v/>
      </c>
      <c r="F1280" s="68">
        <f>IF(OR(C1280="",E1280=""),"",E1280-Setup!$D$7)</f>
        <v/>
      </c>
      <c r="G1280" s="74">
        <f>IF(R1280="","",IF(INDEX('Recurring Schedule'!$H$6:$H$45,R1280)="","",INDEX('Recurring Schedule'!$H$6:$H$45,R1280)))</f>
        <v/>
      </c>
      <c r="H1280" s="74">
        <f>IF(R1280="","",IF(INDEX('Recurring Schedule'!$I$6:$I$45,R1280)="","",INDEX('Recurring Schedule'!$I$6:$I$45,R1280)))</f>
        <v/>
      </c>
      <c r="I1280" s="36">
        <f>IF(OR(G1280="",H1280=""),"",TRIM(IF(HOUR(H1280-G1280)&gt;0,HOUR(H1280-G1280)&amp;" hr ","")&amp;IF(MINUTE(H1280-G1280)&gt;0,MINUTE(H1280-G1280)&amp;" min","")))</f>
        <v/>
      </c>
      <c r="J1280" s="66" t="n"/>
      <c r="K1280" s="70" t="n"/>
      <c r="L1280" s="36">
        <f>IF(R1280="","",IF(INDEX('Recurring Schedule'!$J$6:$J$45,R1280)="","",INDEX('Recurring Schedule'!$J$6:$J$45,R1280)))</f>
        <v/>
      </c>
      <c r="M1280" s="36">
        <f>IF(R1280="","",IF(INDEX('Recurring Schedule'!$K$6:$K$45,R1280)="","",INDEX('Recurring Schedule'!$K$6:$K$45,R1280)))</f>
        <v/>
      </c>
      <c r="N1280" s="36">
        <f>IF(R1280="","",IF(INDEX('Recurring Schedule'!$L$6:$L$45,R1280)="","",INDEX('Recurring Schedule'!$L$6:$L$45,R1280)))</f>
        <v/>
      </c>
      <c r="O1280" s="36">
        <f>IF(C1280="","",IF(AND(OR(L1280="1-Urgent",L1280="2-High"),M1280="✓"),"DO FIRST",IF(M1280="✓","SCHEDULE",IF(OR(L1280="1-Urgent",L1280="2-High"),"DELEGATE","DELETE"))))</f>
        <v/>
      </c>
      <c r="P1280" s="65" t="n"/>
      <c r="Q1280">
        <f>IF(1275&gt;Calc!$AQ$368,"",MATCH(1274,Calc!$AQ$2:$AQ$367,1))</f>
        <v/>
      </c>
      <c r="R1280">
        <f>IF(Q1280="","",SMALL(INDEX(Calc!$B$2:$AO$367,Q1280,0),1275-INDEX(Calc!$AQ$2:$AQ$367,Q1280)))</f>
        <v/>
      </c>
    </row>
    <row r="1281">
      <c r="B1281" s="71">
        <f>IF(R1281="","",1276)</f>
        <v/>
      </c>
      <c r="C1281" s="75">
        <f>IF(R1281="","",IF(INDEX('Recurring Schedule'!$C$6:$C$45,R1281)="","",INDEX('Recurring Schedule'!$C$6:$C$45,R1281)))</f>
        <v/>
      </c>
      <c r="D1281" s="73">
        <f>IF(R1281="","",IF(INDEX('Recurring Schedule'!$D$6:$D$45,R1281)="","",INDEX('Recurring Schedule'!$D$6:$D$45,R1281)))</f>
        <v/>
      </c>
      <c r="E1281" s="76">
        <f>IF(Q1281="","",INDEX(Calc!$A$2:$A$367,Q1281))</f>
        <v/>
      </c>
      <c r="F1281" s="72">
        <f>IF(OR(C1281="",E1281=""),"",E1281-Setup!$D$7)</f>
        <v/>
      </c>
      <c r="G1281" s="77">
        <f>IF(R1281="","",IF(INDEX('Recurring Schedule'!$H$6:$H$45,R1281)="","",INDEX('Recurring Schedule'!$H$6:$H$45,R1281)))</f>
        <v/>
      </c>
      <c r="H1281" s="77">
        <f>IF(R1281="","",IF(INDEX('Recurring Schedule'!$I$6:$I$45,R1281)="","",INDEX('Recurring Schedule'!$I$6:$I$45,R1281)))</f>
        <v/>
      </c>
      <c r="I1281" s="73">
        <f>IF(OR(G1281="",H1281=""),"",TRIM(IF(HOUR(H1281-G1281)&gt;0,HOUR(H1281-G1281)&amp;" hr ","")&amp;IF(MINUTE(H1281-G1281)&gt;0,MINUTE(H1281-G1281)&amp;" min","")))</f>
        <v/>
      </c>
      <c r="J1281" s="66" t="n"/>
      <c r="K1281" s="70" t="n"/>
      <c r="L1281" s="73">
        <f>IF(R1281="","",IF(INDEX('Recurring Schedule'!$J$6:$J$45,R1281)="","",INDEX('Recurring Schedule'!$J$6:$J$45,R1281)))</f>
        <v/>
      </c>
      <c r="M1281" s="73">
        <f>IF(R1281="","",IF(INDEX('Recurring Schedule'!$K$6:$K$45,R1281)="","",INDEX('Recurring Schedule'!$K$6:$K$45,R1281)))</f>
        <v/>
      </c>
      <c r="N1281" s="73">
        <f>IF(R1281="","",IF(INDEX('Recurring Schedule'!$L$6:$L$45,R1281)="","",INDEX('Recurring Schedule'!$L$6:$L$45,R1281)))</f>
        <v/>
      </c>
      <c r="O1281" s="73">
        <f>IF(C1281="","",IF(AND(OR(L1281="1-Urgent",L1281="2-High"),M1281="✓"),"DO FIRST",IF(M1281="✓","SCHEDULE",IF(OR(L1281="1-Urgent",L1281="2-High"),"DELEGATE","DELETE"))))</f>
        <v/>
      </c>
      <c r="P1281" s="65" t="n"/>
      <c r="Q1281">
        <f>IF(1276&gt;Calc!$AQ$368,"",MATCH(1275,Calc!$AQ$2:$AQ$367,1))</f>
        <v/>
      </c>
      <c r="R1281">
        <f>IF(Q1281="","",SMALL(INDEX(Calc!$B$2:$AO$367,Q1281,0),1276-INDEX(Calc!$AQ$2:$AQ$367,Q1281)))</f>
        <v/>
      </c>
    </row>
    <row r="1282">
      <c r="B1282" s="64">
        <f>IF(R1282="","",1277)</f>
        <v/>
      </c>
      <c r="C1282" s="37">
        <f>IF(R1282="","",IF(INDEX('Recurring Schedule'!$C$6:$C$45,R1282)="","",INDEX('Recurring Schedule'!$C$6:$C$45,R1282)))</f>
        <v/>
      </c>
      <c r="D1282" s="36">
        <f>IF(R1282="","",IF(INDEX('Recurring Schedule'!$D$6:$D$45,R1282)="","",INDEX('Recurring Schedule'!$D$6:$D$45,R1282)))</f>
        <v/>
      </c>
      <c r="E1282" s="38">
        <f>IF(Q1282="","",INDEX(Calc!$A$2:$A$367,Q1282))</f>
        <v/>
      </c>
      <c r="F1282" s="68">
        <f>IF(OR(C1282="",E1282=""),"",E1282-Setup!$D$7)</f>
        <v/>
      </c>
      <c r="G1282" s="74">
        <f>IF(R1282="","",IF(INDEX('Recurring Schedule'!$H$6:$H$45,R1282)="","",INDEX('Recurring Schedule'!$H$6:$H$45,R1282)))</f>
        <v/>
      </c>
      <c r="H1282" s="74">
        <f>IF(R1282="","",IF(INDEX('Recurring Schedule'!$I$6:$I$45,R1282)="","",INDEX('Recurring Schedule'!$I$6:$I$45,R1282)))</f>
        <v/>
      </c>
      <c r="I1282" s="36">
        <f>IF(OR(G1282="",H1282=""),"",TRIM(IF(HOUR(H1282-G1282)&gt;0,HOUR(H1282-G1282)&amp;" hr ","")&amp;IF(MINUTE(H1282-G1282)&gt;0,MINUTE(H1282-G1282)&amp;" min","")))</f>
        <v/>
      </c>
      <c r="J1282" s="66" t="n"/>
      <c r="K1282" s="70" t="n"/>
      <c r="L1282" s="36">
        <f>IF(R1282="","",IF(INDEX('Recurring Schedule'!$J$6:$J$45,R1282)="","",INDEX('Recurring Schedule'!$J$6:$J$45,R1282)))</f>
        <v/>
      </c>
      <c r="M1282" s="36">
        <f>IF(R1282="","",IF(INDEX('Recurring Schedule'!$K$6:$K$45,R1282)="","",INDEX('Recurring Schedule'!$K$6:$K$45,R1282)))</f>
        <v/>
      </c>
      <c r="N1282" s="36">
        <f>IF(R1282="","",IF(INDEX('Recurring Schedule'!$L$6:$L$45,R1282)="","",INDEX('Recurring Schedule'!$L$6:$L$45,R1282)))</f>
        <v/>
      </c>
      <c r="O1282" s="36">
        <f>IF(C1282="","",IF(AND(OR(L1282="1-Urgent",L1282="2-High"),M1282="✓"),"DO FIRST",IF(M1282="✓","SCHEDULE",IF(OR(L1282="1-Urgent",L1282="2-High"),"DELEGATE","DELETE"))))</f>
        <v/>
      </c>
      <c r="P1282" s="65" t="n"/>
      <c r="Q1282">
        <f>IF(1277&gt;Calc!$AQ$368,"",MATCH(1276,Calc!$AQ$2:$AQ$367,1))</f>
        <v/>
      </c>
      <c r="R1282">
        <f>IF(Q1282="","",SMALL(INDEX(Calc!$B$2:$AO$367,Q1282,0),1277-INDEX(Calc!$AQ$2:$AQ$367,Q1282)))</f>
        <v/>
      </c>
    </row>
    <row r="1283">
      <c r="B1283" s="71">
        <f>IF(R1283="","",1278)</f>
        <v/>
      </c>
      <c r="C1283" s="75">
        <f>IF(R1283="","",IF(INDEX('Recurring Schedule'!$C$6:$C$45,R1283)="","",INDEX('Recurring Schedule'!$C$6:$C$45,R1283)))</f>
        <v/>
      </c>
      <c r="D1283" s="73">
        <f>IF(R1283="","",IF(INDEX('Recurring Schedule'!$D$6:$D$45,R1283)="","",INDEX('Recurring Schedule'!$D$6:$D$45,R1283)))</f>
        <v/>
      </c>
      <c r="E1283" s="76">
        <f>IF(Q1283="","",INDEX(Calc!$A$2:$A$367,Q1283))</f>
        <v/>
      </c>
      <c r="F1283" s="72">
        <f>IF(OR(C1283="",E1283=""),"",E1283-Setup!$D$7)</f>
        <v/>
      </c>
      <c r="G1283" s="77">
        <f>IF(R1283="","",IF(INDEX('Recurring Schedule'!$H$6:$H$45,R1283)="","",INDEX('Recurring Schedule'!$H$6:$H$45,R1283)))</f>
        <v/>
      </c>
      <c r="H1283" s="77">
        <f>IF(R1283="","",IF(INDEX('Recurring Schedule'!$I$6:$I$45,R1283)="","",INDEX('Recurring Schedule'!$I$6:$I$45,R1283)))</f>
        <v/>
      </c>
      <c r="I1283" s="73">
        <f>IF(OR(G1283="",H1283=""),"",TRIM(IF(HOUR(H1283-G1283)&gt;0,HOUR(H1283-G1283)&amp;" hr ","")&amp;IF(MINUTE(H1283-G1283)&gt;0,MINUTE(H1283-G1283)&amp;" min","")))</f>
        <v/>
      </c>
      <c r="J1283" s="66" t="n"/>
      <c r="K1283" s="70" t="n"/>
      <c r="L1283" s="73">
        <f>IF(R1283="","",IF(INDEX('Recurring Schedule'!$J$6:$J$45,R1283)="","",INDEX('Recurring Schedule'!$J$6:$J$45,R1283)))</f>
        <v/>
      </c>
      <c r="M1283" s="73">
        <f>IF(R1283="","",IF(INDEX('Recurring Schedule'!$K$6:$K$45,R1283)="","",INDEX('Recurring Schedule'!$K$6:$K$45,R1283)))</f>
        <v/>
      </c>
      <c r="N1283" s="73">
        <f>IF(R1283="","",IF(INDEX('Recurring Schedule'!$L$6:$L$45,R1283)="","",INDEX('Recurring Schedule'!$L$6:$L$45,R1283)))</f>
        <v/>
      </c>
      <c r="O1283" s="73">
        <f>IF(C1283="","",IF(AND(OR(L1283="1-Urgent",L1283="2-High"),M1283="✓"),"DO FIRST",IF(M1283="✓","SCHEDULE",IF(OR(L1283="1-Urgent",L1283="2-High"),"DELEGATE","DELETE"))))</f>
        <v/>
      </c>
      <c r="P1283" s="65" t="n"/>
      <c r="Q1283">
        <f>IF(1278&gt;Calc!$AQ$368,"",MATCH(1277,Calc!$AQ$2:$AQ$367,1))</f>
        <v/>
      </c>
      <c r="R1283">
        <f>IF(Q1283="","",SMALL(INDEX(Calc!$B$2:$AO$367,Q1283,0),1278-INDEX(Calc!$AQ$2:$AQ$367,Q1283)))</f>
        <v/>
      </c>
    </row>
    <row r="1284">
      <c r="B1284" s="64">
        <f>IF(R1284="","",1279)</f>
        <v/>
      </c>
      <c r="C1284" s="37">
        <f>IF(R1284="","",IF(INDEX('Recurring Schedule'!$C$6:$C$45,R1284)="","",INDEX('Recurring Schedule'!$C$6:$C$45,R1284)))</f>
        <v/>
      </c>
      <c r="D1284" s="36">
        <f>IF(R1284="","",IF(INDEX('Recurring Schedule'!$D$6:$D$45,R1284)="","",INDEX('Recurring Schedule'!$D$6:$D$45,R1284)))</f>
        <v/>
      </c>
      <c r="E1284" s="38">
        <f>IF(Q1284="","",INDEX(Calc!$A$2:$A$367,Q1284))</f>
        <v/>
      </c>
      <c r="F1284" s="68">
        <f>IF(OR(C1284="",E1284=""),"",E1284-Setup!$D$7)</f>
        <v/>
      </c>
      <c r="G1284" s="74">
        <f>IF(R1284="","",IF(INDEX('Recurring Schedule'!$H$6:$H$45,R1284)="","",INDEX('Recurring Schedule'!$H$6:$H$45,R1284)))</f>
        <v/>
      </c>
      <c r="H1284" s="74">
        <f>IF(R1284="","",IF(INDEX('Recurring Schedule'!$I$6:$I$45,R1284)="","",INDEX('Recurring Schedule'!$I$6:$I$45,R1284)))</f>
        <v/>
      </c>
      <c r="I1284" s="36">
        <f>IF(OR(G1284="",H1284=""),"",TRIM(IF(HOUR(H1284-G1284)&gt;0,HOUR(H1284-G1284)&amp;" hr ","")&amp;IF(MINUTE(H1284-G1284)&gt;0,MINUTE(H1284-G1284)&amp;" min","")))</f>
        <v/>
      </c>
      <c r="J1284" s="66" t="n"/>
      <c r="K1284" s="70" t="n"/>
      <c r="L1284" s="36">
        <f>IF(R1284="","",IF(INDEX('Recurring Schedule'!$J$6:$J$45,R1284)="","",INDEX('Recurring Schedule'!$J$6:$J$45,R1284)))</f>
        <v/>
      </c>
      <c r="M1284" s="36">
        <f>IF(R1284="","",IF(INDEX('Recurring Schedule'!$K$6:$K$45,R1284)="","",INDEX('Recurring Schedule'!$K$6:$K$45,R1284)))</f>
        <v/>
      </c>
      <c r="N1284" s="36">
        <f>IF(R1284="","",IF(INDEX('Recurring Schedule'!$L$6:$L$45,R1284)="","",INDEX('Recurring Schedule'!$L$6:$L$45,R1284)))</f>
        <v/>
      </c>
      <c r="O1284" s="36">
        <f>IF(C1284="","",IF(AND(OR(L1284="1-Urgent",L1284="2-High"),M1284="✓"),"DO FIRST",IF(M1284="✓","SCHEDULE",IF(OR(L1284="1-Urgent",L1284="2-High"),"DELEGATE","DELETE"))))</f>
        <v/>
      </c>
      <c r="P1284" s="65" t="n"/>
      <c r="Q1284">
        <f>IF(1279&gt;Calc!$AQ$368,"",MATCH(1278,Calc!$AQ$2:$AQ$367,1))</f>
        <v/>
      </c>
      <c r="R1284">
        <f>IF(Q1284="","",SMALL(INDEX(Calc!$B$2:$AO$367,Q1284,0),1279-INDEX(Calc!$AQ$2:$AQ$367,Q1284)))</f>
        <v/>
      </c>
    </row>
    <row r="1285">
      <c r="B1285" s="71">
        <f>IF(R1285="","",1280)</f>
        <v/>
      </c>
      <c r="C1285" s="75">
        <f>IF(R1285="","",IF(INDEX('Recurring Schedule'!$C$6:$C$45,R1285)="","",INDEX('Recurring Schedule'!$C$6:$C$45,R1285)))</f>
        <v/>
      </c>
      <c r="D1285" s="73">
        <f>IF(R1285="","",IF(INDEX('Recurring Schedule'!$D$6:$D$45,R1285)="","",INDEX('Recurring Schedule'!$D$6:$D$45,R1285)))</f>
        <v/>
      </c>
      <c r="E1285" s="76">
        <f>IF(Q1285="","",INDEX(Calc!$A$2:$A$367,Q1285))</f>
        <v/>
      </c>
      <c r="F1285" s="72">
        <f>IF(OR(C1285="",E1285=""),"",E1285-Setup!$D$7)</f>
        <v/>
      </c>
      <c r="G1285" s="77">
        <f>IF(R1285="","",IF(INDEX('Recurring Schedule'!$H$6:$H$45,R1285)="","",INDEX('Recurring Schedule'!$H$6:$H$45,R1285)))</f>
        <v/>
      </c>
      <c r="H1285" s="77">
        <f>IF(R1285="","",IF(INDEX('Recurring Schedule'!$I$6:$I$45,R1285)="","",INDEX('Recurring Schedule'!$I$6:$I$45,R1285)))</f>
        <v/>
      </c>
      <c r="I1285" s="73">
        <f>IF(OR(G1285="",H1285=""),"",TRIM(IF(HOUR(H1285-G1285)&gt;0,HOUR(H1285-G1285)&amp;" hr ","")&amp;IF(MINUTE(H1285-G1285)&gt;0,MINUTE(H1285-G1285)&amp;" min","")))</f>
        <v/>
      </c>
      <c r="J1285" s="66" t="n"/>
      <c r="K1285" s="70" t="n"/>
      <c r="L1285" s="73">
        <f>IF(R1285="","",IF(INDEX('Recurring Schedule'!$J$6:$J$45,R1285)="","",INDEX('Recurring Schedule'!$J$6:$J$45,R1285)))</f>
        <v/>
      </c>
      <c r="M1285" s="73">
        <f>IF(R1285="","",IF(INDEX('Recurring Schedule'!$K$6:$K$45,R1285)="","",INDEX('Recurring Schedule'!$K$6:$K$45,R1285)))</f>
        <v/>
      </c>
      <c r="N1285" s="73">
        <f>IF(R1285="","",IF(INDEX('Recurring Schedule'!$L$6:$L$45,R1285)="","",INDEX('Recurring Schedule'!$L$6:$L$45,R1285)))</f>
        <v/>
      </c>
      <c r="O1285" s="73">
        <f>IF(C1285="","",IF(AND(OR(L1285="1-Urgent",L1285="2-High"),M1285="✓"),"DO FIRST",IF(M1285="✓","SCHEDULE",IF(OR(L1285="1-Urgent",L1285="2-High"),"DELEGATE","DELETE"))))</f>
        <v/>
      </c>
      <c r="P1285" s="65" t="n"/>
      <c r="Q1285">
        <f>IF(1280&gt;Calc!$AQ$368,"",MATCH(1279,Calc!$AQ$2:$AQ$367,1))</f>
        <v/>
      </c>
      <c r="R1285">
        <f>IF(Q1285="","",SMALL(INDEX(Calc!$B$2:$AO$367,Q1285,0),1280-INDEX(Calc!$AQ$2:$AQ$367,Q1285)))</f>
        <v/>
      </c>
    </row>
    <row r="1286">
      <c r="B1286" s="64">
        <f>IF(R1286="","",1281)</f>
        <v/>
      </c>
      <c r="C1286" s="37">
        <f>IF(R1286="","",IF(INDEX('Recurring Schedule'!$C$6:$C$45,R1286)="","",INDEX('Recurring Schedule'!$C$6:$C$45,R1286)))</f>
        <v/>
      </c>
      <c r="D1286" s="36">
        <f>IF(R1286="","",IF(INDEX('Recurring Schedule'!$D$6:$D$45,R1286)="","",INDEX('Recurring Schedule'!$D$6:$D$45,R1286)))</f>
        <v/>
      </c>
      <c r="E1286" s="38">
        <f>IF(Q1286="","",INDEX(Calc!$A$2:$A$367,Q1286))</f>
        <v/>
      </c>
      <c r="F1286" s="68">
        <f>IF(OR(C1286="",E1286=""),"",E1286-Setup!$D$7)</f>
        <v/>
      </c>
      <c r="G1286" s="74">
        <f>IF(R1286="","",IF(INDEX('Recurring Schedule'!$H$6:$H$45,R1286)="","",INDEX('Recurring Schedule'!$H$6:$H$45,R1286)))</f>
        <v/>
      </c>
      <c r="H1286" s="74">
        <f>IF(R1286="","",IF(INDEX('Recurring Schedule'!$I$6:$I$45,R1286)="","",INDEX('Recurring Schedule'!$I$6:$I$45,R1286)))</f>
        <v/>
      </c>
      <c r="I1286" s="36">
        <f>IF(OR(G1286="",H1286=""),"",TRIM(IF(HOUR(H1286-G1286)&gt;0,HOUR(H1286-G1286)&amp;" hr ","")&amp;IF(MINUTE(H1286-G1286)&gt;0,MINUTE(H1286-G1286)&amp;" min","")))</f>
        <v/>
      </c>
      <c r="J1286" s="66" t="n"/>
      <c r="K1286" s="70" t="n"/>
      <c r="L1286" s="36">
        <f>IF(R1286="","",IF(INDEX('Recurring Schedule'!$J$6:$J$45,R1286)="","",INDEX('Recurring Schedule'!$J$6:$J$45,R1286)))</f>
        <v/>
      </c>
      <c r="M1286" s="36">
        <f>IF(R1286="","",IF(INDEX('Recurring Schedule'!$K$6:$K$45,R1286)="","",INDEX('Recurring Schedule'!$K$6:$K$45,R1286)))</f>
        <v/>
      </c>
      <c r="N1286" s="36">
        <f>IF(R1286="","",IF(INDEX('Recurring Schedule'!$L$6:$L$45,R1286)="","",INDEX('Recurring Schedule'!$L$6:$L$45,R1286)))</f>
        <v/>
      </c>
      <c r="O1286" s="36">
        <f>IF(C1286="","",IF(AND(OR(L1286="1-Urgent",L1286="2-High"),M1286="✓"),"DO FIRST",IF(M1286="✓","SCHEDULE",IF(OR(L1286="1-Urgent",L1286="2-High"),"DELEGATE","DELETE"))))</f>
        <v/>
      </c>
      <c r="P1286" s="65" t="n"/>
      <c r="Q1286">
        <f>IF(1281&gt;Calc!$AQ$368,"",MATCH(1280,Calc!$AQ$2:$AQ$367,1))</f>
        <v/>
      </c>
      <c r="R1286">
        <f>IF(Q1286="","",SMALL(INDEX(Calc!$B$2:$AO$367,Q1286,0),1281-INDEX(Calc!$AQ$2:$AQ$367,Q1286)))</f>
        <v/>
      </c>
    </row>
    <row r="1287">
      <c r="B1287" s="71">
        <f>IF(R1287="","",1282)</f>
        <v/>
      </c>
      <c r="C1287" s="75">
        <f>IF(R1287="","",IF(INDEX('Recurring Schedule'!$C$6:$C$45,R1287)="","",INDEX('Recurring Schedule'!$C$6:$C$45,R1287)))</f>
        <v/>
      </c>
      <c r="D1287" s="73">
        <f>IF(R1287="","",IF(INDEX('Recurring Schedule'!$D$6:$D$45,R1287)="","",INDEX('Recurring Schedule'!$D$6:$D$45,R1287)))</f>
        <v/>
      </c>
      <c r="E1287" s="76">
        <f>IF(Q1287="","",INDEX(Calc!$A$2:$A$367,Q1287))</f>
        <v/>
      </c>
      <c r="F1287" s="72">
        <f>IF(OR(C1287="",E1287=""),"",E1287-Setup!$D$7)</f>
        <v/>
      </c>
      <c r="G1287" s="77">
        <f>IF(R1287="","",IF(INDEX('Recurring Schedule'!$H$6:$H$45,R1287)="","",INDEX('Recurring Schedule'!$H$6:$H$45,R1287)))</f>
        <v/>
      </c>
      <c r="H1287" s="77">
        <f>IF(R1287="","",IF(INDEX('Recurring Schedule'!$I$6:$I$45,R1287)="","",INDEX('Recurring Schedule'!$I$6:$I$45,R1287)))</f>
        <v/>
      </c>
      <c r="I1287" s="73">
        <f>IF(OR(G1287="",H1287=""),"",TRIM(IF(HOUR(H1287-G1287)&gt;0,HOUR(H1287-G1287)&amp;" hr ","")&amp;IF(MINUTE(H1287-G1287)&gt;0,MINUTE(H1287-G1287)&amp;" min","")))</f>
        <v/>
      </c>
      <c r="J1287" s="66" t="n"/>
      <c r="K1287" s="70" t="n"/>
      <c r="L1287" s="73">
        <f>IF(R1287="","",IF(INDEX('Recurring Schedule'!$J$6:$J$45,R1287)="","",INDEX('Recurring Schedule'!$J$6:$J$45,R1287)))</f>
        <v/>
      </c>
      <c r="M1287" s="73">
        <f>IF(R1287="","",IF(INDEX('Recurring Schedule'!$K$6:$K$45,R1287)="","",INDEX('Recurring Schedule'!$K$6:$K$45,R1287)))</f>
        <v/>
      </c>
      <c r="N1287" s="73">
        <f>IF(R1287="","",IF(INDEX('Recurring Schedule'!$L$6:$L$45,R1287)="","",INDEX('Recurring Schedule'!$L$6:$L$45,R1287)))</f>
        <v/>
      </c>
      <c r="O1287" s="73">
        <f>IF(C1287="","",IF(AND(OR(L1287="1-Urgent",L1287="2-High"),M1287="✓"),"DO FIRST",IF(M1287="✓","SCHEDULE",IF(OR(L1287="1-Urgent",L1287="2-High"),"DELEGATE","DELETE"))))</f>
        <v/>
      </c>
      <c r="P1287" s="65" t="n"/>
      <c r="Q1287">
        <f>IF(1282&gt;Calc!$AQ$368,"",MATCH(1281,Calc!$AQ$2:$AQ$367,1))</f>
        <v/>
      </c>
      <c r="R1287">
        <f>IF(Q1287="","",SMALL(INDEX(Calc!$B$2:$AO$367,Q1287,0),1282-INDEX(Calc!$AQ$2:$AQ$367,Q1287)))</f>
        <v/>
      </c>
    </row>
    <row r="1288">
      <c r="B1288" s="64">
        <f>IF(R1288="","",1283)</f>
        <v/>
      </c>
      <c r="C1288" s="37">
        <f>IF(R1288="","",IF(INDEX('Recurring Schedule'!$C$6:$C$45,R1288)="","",INDEX('Recurring Schedule'!$C$6:$C$45,R1288)))</f>
        <v/>
      </c>
      <c r="D1288" s="36">
        <f>IF(R1288="","",IF(INDEX('Recurring Schedule'!$D$6:$D$45,R1288)="","",INDEX('Recurring Schedule'!$D$6:$D$45,R1288)))</f>
        <v/>
      </c>
      <c r="E1288" s="38">
        <f>IF(Q1288="","",INDEX(Calc!$A$2:$A$367,Q1288))</f>
        <v/>
      </c>
      <c r="F1288" s="68">
        <f>IF(OR(C1288="",E1288=""),"",E1288-Setup!$D$7)</f>
        <v/>
      </c>
      <c r="G1288" s="74">
        <f>IF(R1288="","",IF(INDEX('Recurring Schedule'!$H$6:$H$45,R1288)="","",INDEX('Recurring Schedule'!$H$6:$H$45,R1288)))</f>
        <v/>
      </c>
      <c r="H1288" s="74">
        <f>IF(R1288="","",IF(INDEX('Recurring Schedule'!$I$6:$I$45,R1288)="","",INDEX('Recurring Schedule'!$I$6:$I$45,R1288)))</f>
        <v/>
      </c>
      <c r="I1288" s="36">
        <f>IF(OR(G1288="",H1288=""),"",TRIM(IF(HOUR(H1288-G1288)&gt;0,HOUR(H1288-G1288)&amp;" hr ","")&amp;IF(MINUTE(H1288-G1288)&gt;0,MINUTE(H1288-G1288)&amp;" min","")))</f>
        <v/>
      </c>
      <c r="J1288" s="66" t="n"/>
      <c r="K1288" s="70" t="n"/>
      <c r="L1288" s="36">
        <f>IF(R1288="","",IF(INDEX('Recurring Schedule'!$J$6:$J$45,R1288)="","",INDEX('Recurring Schedule'!$J$6:$J$45,R1288)))</f>
        <v/>
      </c>
      <c r="M1288" s="36">
        <f>IF(R1288="","",IF(INDEX('Recurring Schedule'!$K$6:$K$45,R1288)="","",INDEX('Recurring Schedule'!$K$6:$K$45,R1288)))</f>
        <v/>
      </c>
      <c r="N1288" s="36">
        <f>IF(R1288="","",IF(INDEX('Recurring Schedule'!$L$6:$L$45,R1288)="","",INDEX('Recurring Schedule'!$L$6:$L$45,R1288)))</f>
        <v/>
      </c>
      <c r="O1288" s="36">
        <f>IF(C1288="","",IF(AND(OR(L1288="1-Urgent",L1288="2-High"),M1288="✓"),"DO FIRST",IF(M1288="✓","SCHEDULE",IF(OR(L1288="1-Urgent",L1288="2-High"),"DELEGATE","DELETE"))))</f>
        <v/>
      </c>
      <c r="P1288" s="65" t="n"/>
      <c r="Q1288">
        <f>IF(1283&gt;Calc!$AQ$368,"",MATCH(1282,Calc!$AQ$2:$AQ$367,1))</f>
        <v/>
      </c>
      <c r="R1288">
        <f>IF(Q1288="","",SMALL(INDEX(Calc!$B$2:$AO$367,Q1288,0),1283-INDEX(Calc!$AQ$2:$AQ$367,Q1288)))</f>
        <v/>
      </c>
    </row>
    <row r="1289">
      <c r="B1289" s="71">
        <f>IF(R1289="","",1284)</f>
        <v/>
      </c>
      <c r="C1289" s="75">
        <f>IF(R1289="","",IF(INDEX('Recurring Schedule'!$C$6:$C$45,R1289)="","",INDEX('Recurring Schedule'!$C$6:$C$45,R1289)))</f>
        <v/>
      </c>
      <c r="D1289" s="73">
        <f>IF(R1289="","",IF(INDEX('Recurring Schedule'!$D$6:$D$45,R1289)="","",INDEX('Recurring Schedule'!$D$6:$D$45,R1289)))</f>
        <v/>
      </c>
      <c r="E1289" s="76">
        <f>IF(Q1289="","",INDEX(Calc!$A$2:$A$367,Q1289))</f>
        <v/>
      </c>
      <c r="F1289" s="72">
        <f>IF(OR(C1289="",E1289=""),"",E1289-Setup!$D$7)</f>
        <v/>
      </c>
      <c r="G1289" s="77">
        <f>IF(R1289="","",IF(INDEX('Recurring Schedule'!$H$6:$H$45,R1289)="","",INDEX('Recurring Schedule'!$H$6:$H$45,R1289)))</f>
        <v/>
      </c>
      <c r="H1289" s="77">
        <f>IF(R1289="","",IF(INDEX('Recurring Schedule'!$I$6:$I$45,R1289)="","",INDEX('Recurring Schedule'!$I$6:$I$45,R1289)))</f>
        <v/>
      </c>
      <c r="I1289" s="73">
        <f>IF(OR(G1289="",H1289=""),"",TRIM(IF(HOUR(H1289-G1289)&gt;0,HOUR(H1289-G1289)&amp;" hr ","")&amp;IF(MINUTE(H1289-G1289)&gt;0,MINUTE(H1289-G1289)&amp;" min","")))</f>
        <v/>
      </c>
      <c r="J1289" s="66" t="n"/>
      <c r="K1289" s="70" t="n"/>
      <c r="L1289" s="73">
        <f>IF(R1289="","",IF(INDEX('Recurring Schedule'!$J$6:$J$45,R1289)="","",INDEX('Recurring Schedule'!$J$6:$J$45,R1289)))</f>
        <v/>
      </c>
      <c r="M1289" s="73">
        <f>IF(R1289="","",IF(INDEX('Recurring Schedule'!$K$6:$K$45,R1289)="","",INDEX('Recurring Schedule'!$K$6:$K$45,R1289)))</f>
        <v/>
      </c>
      <c r="N1289" s="73">
        <f>IF(R1289="","",IF(INDEX('Recurring Schedule'!$L$6:$L$45,R1289)="","",INDEX('Recurring Schedule'!$L$6:$L$45,R1289)))</f>
        <v/>
      </c>
      <c r="O1289" s="73">
        <f>IF(C1289="","",IF(AND(OR(L1289="1-Urgent",L1289="2-High"),M1289="✓"),"DO FIRST",IF(M1289="✓","SCHEDULE",IF(OR(L1289="1-Urgent",L1289="2-High"),"DELEGATE","DELETE"))))</f>
        <v/>
      </c>
      <c r="P1289" s="65" t="n"/>
      <c r="Q1289">
        <f>IF(1284&gt;Calc!$AQ$368,"",MATCH(1283,Calc!$AQ$2:$AQ$367,1))</f>
        <v/>
      </c>
      <c r="R1289">
        <f>IF(Q1289="","",SMALL(INDEX(Calc!$B$2:$AO$367,Q1289,0),1284-INDEX(Calc!$AQ$2:$AQ$367,Q1289)))</f>
        <v/>
      </c>
    </row>
    <row r="1290">
      <c r="B1290" s="64">
        <f>IF(R1290="","",1285)</f>
        <v/>
      </c>
      <c r="C1290" s="37">
        <f>IF(R1290="","",IF(INDEX('Recurring Schedule'!$C$6:$C$45,R1290)="","",INDEX('Recurring Schedule'!$C$6:$C$45,R1290)))</f>
        <v/>
      </c>
      <c r="D1290" s="36">
        <f>IF(R1290="","",IF(INDEX('Recurring Schedule'!$D$6:$D$45,R1290)="","",INDEX('Recurring Schedule'!$D$6:$D$45,R1290)))</f>
        <v/>
      </c>
      <c r="E1290" s="38">
        <f>IF(Q1290="","",INDEX(Calc!$A$2:$A$367,Q1290))</f>
        <v/>
      </c>
      <c r="F1290" s="68">
        <f>IF(OR(C1290="",E1290=""),"",E1290-Setup!$D$7)</f>
        <v/>
      </c>
      <c r="G1290" s="74">
        <f>IF(R1290="","",IF(INDEX('Recurring Schedule'!$H$6:$H$45,R1290)="","",INDEX('Recurring Schedule'!$H$6:$H$45,R1290)))</f>
        <v/>
      </c>
      <c r="H1290" s="74">
        <f>IF(R1290="","",IF(INDEX('Recurring Schedule'!$I$6:$I$45,R1290)="","",INDEX('Recurring Schedule'!$I$6:$I$45,R1290)))</f>
        <v/>
      </c>
      <c r="I1290" s="36">
        <f>IF(OR(G1290="",H1290=""),"",TRIM(IF(HOUR(H1290-G1290)&gt;0,HOUR(H1290-G1290)&amp;" hr ","")&amp;IF(MINUTE(H1290-G1290)&gt;0,MINUTE(H1290-G1290)&amp;" min","")))</f>
        <v/>
      </c>
      <c r="J1290" s="66" t="n"/>
      <c r="K1290" s="70" t="n"/>
      <c r="L1290" s="36">
        <f>IF(R1290="","",IF(INDEX('Recurring Schedule'!$J$6:$J$45,R1290)="","",INDEX('Recurring Schedule'!$J$6:$J$45,R1290)))</f>
        <v/>
      </c>
      <c r="M1290" s="36">
        <f>IF(R1290="","",IF(INDEX('Recurring Schedule'!$K$6:$K$45,R1290)="","",INDEX('Recurring Schedule'!$K$6:$K$45,R1290)))</f>
        <v/>
      </c>
      <c r="N1290" s="36">
        <f>IF(R1290="","",IF(INDEX('Recurring Schedule'!$L$6:$L$45,R1290)="","",INDEX('Recurring Schedule'!$L$6:$L$45,R1290)))</f>
        <v/>
      </c>
      <c r="O1290" s="36">
        <f>IF(C1290="","",IF(AND(OR(L1290="1-Urgent",L1290="2-High"),M1290="✓"),"DO FIRST",IF(M1290="✓","SCHEDULE",IF(OR(L1290="1-Urgent",L1290="2-High"),"DELEGATE","DELETE"))))</f>
        <v/>
      </c>
      <c r="P1290" s="65" t="n"/>
      <c r="Q1290">
        <f>IF(1285&gt;Calc!$AQ$368,"",MATCH(1284,Calc!$AQ$2:$AQ$367,1))</f>
        <v/>
      </c>
      <c r="R1290">
        <f>IF(Q1290="","",SMALL(INDEX(Calc!$B$2:$AO$367,Q1290,0),1285-INDEX(Calc!$AQ$2:$AQ$367,Q1290)))</f>
        <v/>
      </c>
    </row>
    <row r="1291">
      <c r="B1291" s="71">
        <f>IF(R1291="","",1286)</f>
        <v/>
      </c>
      <c r="C1291" s="75">
        <f>IF(R1291="","",IF(INDEX('Recurring Schedule'!$C$6:$C$45,R1291)="","",INDEX('Recurring Schedule'!$C$6:$C$45,R1291)))</f>
        <v/>
      </c>
      <c r="D1291" s="73">
        <f>IF(R1291="","",IF(INDEX('Recurring Schedule'!$D$6:$D$45,R1291)="","",INDEX('Recurring Schedule'!$D$6:$D$45,R1291)))</f>
        <v/>
      </c>
      <c r="E1291" s="76">
        <f>IF(Q1291="","",INDEX(Calc!$A$2:$A$367,Q1291))</f>
        <v/>
      </c>
      <c r="F1291" s="72">
        <f>IF(OR(C1291="",E1291=""),"",E1291-Setup!$D$7)</f>
        <v/>
      </c>
      <c r="G1291" s="77">
        <f>IF(R1291="","",IF(INDEX('Recurring Schedule'!$H$6:$H$45,R1291)="","",INDEX('Recurring Schedule'!$H$6:$H$45,R1291)))</f>
        <v/>
      </c>
      <c r="H1291" s="77">
        <f>IF(R1291="","",IF(INDEX('Recurring Schedule'!$I$6:$I$45,R1291)="","",INDEX('Recurring Schedule'!$I$6:$I$45,R1291)))</f>
        <v/>
      </c>
      <c r="I1291" s="73">
        <f>IF(OR(G1291="",H1291=""),"",TRIM(IF(HOUR(H1291-G1291)&gt;0,HOUR(H1291-G1291)&amp;" hr ","")&amp;IF(MINUTE(H1291-G1291)&gt;0,MINUTE(H1291-G1291)&amp;" min","")))</f>
        <v/>
      </c>
      <c r="J1291" s="66" t="n"/>
      <c r="K1291" s="70" t="n"/>
      <c r="L1291" s="73">
        <f>IF(R1291="","",IF(INDEX('Recurring Schedule'!$J$6:$J$45,R1291)="","",INDEX('Recurring Schedule'!$J$6:$J$45,R1291)))</f>
        <v/>
      </c>
      <c r="M1291" s="73">
        <f>IF(R1291="","",IF(INDEX('Recurring Schedule'!$K$6:$K$45,R1291)="","",INDEX('Recurring Schedule'!$K$6:$K$45,R1291)))</f>
        <v/>
      </c>
      <c r="N1291" s="73">
        <f>IF(R1291="","",IF(INDEX('Recurring Schedule'!$L$6:$L$45,R1291)="","",INDEX('Recurring Schedule'!$L$6:$L$45,R1291)))</f>
        <v/>
      </c>
      <c r="O1291" s="73">
        <f>IF(C1291="","",IF(AND(OR(L1291="1-Urgent",L1291="2-High"),M1291="✓"),"DO FIRST",IF(M1291="✓","SCHEDULE",IF(OR(L1291="1-Urgent",L1291="2-High"),"DELEGATE","DELETE"))))</f>
        <v/>
      </c>
      <c r="P1291" s="65" t="n"/>
      <c r="Q1291">
        <f>IF(1286&gt;Calc!$AQ$368,"",MATCH(1285,Calc!$AQ$2:$AQ$367,1))</f>
        <v/>
      </c>
      <c r="R1291">
        <f>IF(Q1291="","",SMALL(INDEX(Calc!$B$2:$AO$367,Q1291,0),1286-INDEX(Calc!$AQ$2:$AQ$367,Q1291)))</f>
        <v/>
      </c>
    </row>
    <row r="1292">
      <c r="B1292" s="64">
        <f>IF(R1292="","",1287)</f>
        <v/>
      </c>
      <c r="C1292" s="37">
        <f>IF(R1292="","",IF(INDEX('Recurring Schedule'!$C$6:$C$45,R1292)="","",INDEX('Recurring Schedule'!$C$6:$C$45,R1292)))</f>
        <v/>
      </c>
      <c r="D1292" s="36">
        <f>IF(R1292="","",IF(INDEX('Recurring Schedule'!$D$6:$D$45,R1292)="","",INDEX('Recurring Schedule'!$D$6:$D$45,R1292)))</f>
        <v/>
      </c>
      <c r="E1292" s="38">
        <f>IF(Q1292="","",INDEX(Calc!$A$2:$A$367,Q1292))</f>
        <v/>
      </c>
      <c r="F1292" s="68">
        <f>IF(OR(C1292="",E1292=""),"",E1292-Setup!$D$7)</f>
        <v/>
      </c>
      <c r="G1292" s="74">
        <f>IF(R1292="","",IF(INDEX('Recurring Schedule'!$H$6:$H$45,R1292)="","",INDEX('Recurring Schedule'!$H$6:$H$45,R1292)))</f>
        <v/>
      </c>
      <c r="H1292" s="74">
        <f>IF(R1292="","",IF(INDEX('Recurring Schedule'!$I$6:$I$45,R1292)="","",INDEX('Recurring Schedule'!$I$6:$I$45,R1292)))</f>
        <v/>
      </c>
      <c r="I1292" s="36">
        <f>IF(OR(G1292="",H1292=""),"",TRIM(IF(HOUR(H1292-G1292)&gt;0,HOUR(H1292-G1292)&amp;" hr ","")&amp;IF(MINUTE(H1292-G1292)&gt;0,MINUTE(H1292-G1292)&amp;" min","")))</f>
        <v/>
      </c>
      <c r="J1292" s="66" t="n"/>
      <c r="K1292" s="70" t="n"/>
      <c r="L1292" s="36">
        <f>IF(R1292="","",IF(INDEX('Recurring Schedule'!$J$6:$J$45,R1292)="","",INDEX('Recurring Schedule'!$J$6:$J$45,R1292)))</f>
        <v/>
      </c>
      <c r="M1292" s="36">
        <f>IF(R1292="","",IF(INDEX('Recurring Schedule'!$K$6:$K$45,R1292)="","",INDEX('Recurring Schedule'!$K$6:$K$45,R1292)))</f>
        <v/>
      </c>
      <c r="N1292" s="36">
        <f>IF(R1292="","",IF(INDEX('Recurring Schedule'!$L$6:$L$45,R1292)="","",INDEX('Recurring Schedule'!$L$6:$L$45,R1292)))</f>
        <v/>
      </c>
      <c r="O1292" s="36">
        <f>IF(C1292="","",IF(AND(OR(L1292="1-Urgent",L1292="2-High"),M1292="✓"),"DO FIRST",IF(M1292="✓","SCHEDULE",IF(OR(L1292="1-Urgent",L1292="2-High"),"DELEGATE","DELETE"))))</f>
        <v/>
      </c>
      <c r="P1292" s="65" t="n"/>
      <c r="Q1292">
        <f>IF(1287&gt;Calc!$AQ$368,"",MATCH(1286,Calc!$AQ$2:$AQ$367,1))</f>
        <v/>
      </c>
      <c r="R1292">
        <f>IF(Q1292="","",SMALL(INDEX(Calc!$B$2:$AO$367,Q1292,0),1287-INDEX(Calc!$AQ$2:$AQ$367,Q1292)))</f>
        <v/>
      </c>
    </row>
    <row r="1293">
      <c r="B1293" s="71">
        <f>IF(R1293="","",1288)</f>
        <v/>
      </c>
      <c r="C1293" s="75">
        <f>IF(R1293="","",IF(INDEX('Recurring Schedule'!$C$6:$C$45,R1293)="","",INDEX('Recurring Schedule'!$C$6:$C$45,R1293)))</f>
        <v/>
      </c>
      <c r="D1293" s="73">
        <f>IF(R1293="","",IF(INDEX('Recurring Schedule'!$D$6:$D$45,R1293)="","",INDEX('Recurring Schedule'!$D$6:$D$45,R1293)))</f>
        <v/>
      </c>
      <c r="E1293" s="76">
        <f>IF(Q1293="","",INDEX(Calc!$A$2:$A$367,Q1293))</f>
        <v/>
      </c>
      <c r="F1293" s="72">
        <f>IF(OR(C1293="",E1293=""),"",E1293-Setup!$D$7)</f>
        <v/>
      </c>
      <c r="G1293" s="77">
        <f>IF(R1293="","",IF(INDEX('Recurring Schedule'!$H$6:$H$45,R1293)="","",INDEX('Recurring Schedule'!$H$6:$H$45,R1293)))</f>
        <v/>
      </c>
      <c r="H1293" s="77">
        <f>IF(R1293="","",IF(INDEX('Recurring Schedule'!$I$6:$I$45,R1293)="","",INDEX('Recurring Schedule'!$I$6:$I$45,R1293)))</f>
        <v/>
      </c>
      <c r="I1293" s="73">
        <f>IF(OR(G1293="",H1293=""),"",TRIM(IF(HOUR(H1293-G1293)&gt;0,HOUR(H1293-G1293)&amp;" hr ","")&amp;IF(MINUTE(H1293-G1293)&gt;0,MINUTE(H1293-G1293)&amp;" min","")))</f>
        <v/>
      </c>
      <c r="J1293" s="66" t="n"/>
      <c r="K1293" s="70" t="n"/>
      <c r="L1293" s="73">
        <f>IF(R1293="","",IF(INDEX('Recurring Schedule'!$J$6:$J$45,R1293)="","",INDEX('Recurring Schedule'!$J$6:$J$45,R1293)))</f>
        <v/>
      </c>
      <c r="M1293" s="73">
        <f>IF(R1293="","",IF(INDEX('Recurring Schedule'!$K$6:$K$45,R1293)="","",INDEX('Recurring Schedule'!$K$6:$K$45,R1293)))</f>
        <v/>
      </c>
      <c r="N1293" s="73">
        <f>IF(R1293="","",IF(INDEX('Recurring Schedule'!$L$6:$L$45,R1293)="","",INDEX('Recurring Schedule'!$L$6:$L$45,R1293)))</f>
        <v/>
      </c>
      <c r="O1293" s="73">
        <f>IF(C1293="","",IF(AND(OR(L1293="1-Urgent",L1293="2-High"),M1293="✓"),"DO FIRST",IF(M1293="✓","SCHEDULE",IF(OR(L1293="1-Urgent",L1293="2-High"),"DELEGATE","DELETE"))))</f>
        <v/>
      </c>
      <c r="P1293" s="65" t="n"/>
      <c r="Q1293">
        <f>IF(1288&gt;Calc!$AQ$368,"",MATCH(1287,Calc!$AQ$2:$AQ$367,1))</f>
        <v/>
      </c>
      <c r="R1293">
        <f>IF(Q1293="","",SMALL(INDEX(Calc!$B$2:$AO$367,Q1293,0),1288-INDEX(Calc!$AQ$2:$AQ$367,Q1293)))</f>
        <v/>
      </c>
    </row>
    <row r="1294">
      <c r="B1294" s="64">
        <f>IF(R1294="","",1289)</f>
        <v/>
      </c>
      <c r="C1294" s="37">
        <f>IF(R1294="","",IF(INDEX('Recurring Schedule'!$C$6:$C$45,R1294)="","",INDEX('Recurring Schedule'!$C$6:$C$45,R1294)))</f>
        <v/>
      </c>
      <c r="D1294" s="36">
        <f>IF(R1294="","",IF(INDEX('Recurring Schedule'!$D$6:$D$45,R1294)="","",INDEX('Recurring Schedule'!$D$6:$D$45,R1294)))</f>
        <v/>
      </c>
      <c r="E1294" s="38">
        <f>IF(Q1294="","",INDEX(Calc!$A$2:$A$367,Q1294))</f>
        <v/>
      </c>
      <c r="F1294" s="68">
        <f>IF(OR(C1294="",E1294=""),"",E1294-Setup!$D$7)</f>
        <v/>
      </c>
      <c r="G1294" s="74">
        <f>IF(R1294="","",IF(INDEX('Recurring Schedule'!$H$6:$H$45,R1294)="","",INDEX('Recurring Schedule'!$H$6:$H$45,R1294)))</f>
        <v/>
      </c>
      <c r="H1294" s="74">
        <f>IF(R1294="","",IF(INDEX('Recurring Schedule'!$I$6:$I$45,R1294)="","",INDEX('Recurring Schedule'!$I$6:$I$45,R1294)))</f>
        <v/>
      </c>
      <c r="I1294" s="36">
        <f>IF(OR(G1294="",H1294=""),"",TRIM(IF(HOUR(H1294-G1294)&gt;0,HOUR(H1294-G1294)&amp;" hr ","")&amp;IF(MINUTE(H1294-G1294)&gt;0,MINUTE(H1294-G1294)&amp;" min","")))</f>
        <v/>
      </c>
      <c r="J1294" s="66" t="n"/>
      <c r="K1294" s="70" t="n"/>
      <c r="L1294" s="36">
        <f>IF(R1294="","",IF(INDEX('Recurring Schedule'!$J$6:$J$45,R1294)="","",INDEX('Recurring Schedule'!$J$6:$J$45,R1294)))</f>
        <v/>
      </c>
      <c r="M1294" s="36">
        <f>IF(R1294="","",IF(INDEX('Recurring Schedule'!$K$6:$K$45,R1294)="","",INDEX('Recurring Schedule'!$K$6:$K$45,R1294)))</f>
        <v/>
      </c>
      <c r="N1294" s="36">
        <f>IF(R1294="","",IF(INDEX('Recurring Schedule'!$L$6:$L$45,R1294)="","",INDEX('Recurring Schedule'!$L$6:$L$45,R1294)))</f>
        <v/>
      </c>
      <c r="O1294" s="36">
        <f>IF(C1294="","",IF(AND(OR(L1294="1-Urgent",L1294="2-High"),M1294="✓"),"DO FIRST",IF(M1294="✓","SCHEDULE",IF(OR(L1294="1-Urgent",L1294="2-High"),"DELEGATE","DELETE"))))</f>
        <v/>
      </c>
      <c r="P1294" s="65" t="n"/>
      <c r="Q1294">
        <f>IF(1289&gt;Calc!$AQ$368,"",MATCH(1288,Calc!$AQ$2:$AQ$367,1))</f>
        <v/>
      </c>
      <c r="R1294">
        <f>IF(Q1294="","",SMALL(INDEX(Calc!$B$2:$AO$367,Q1294,0),1289-INDEX(Calc!$AQ$2:$AQ$367,Q1294)))</f>
        <v/>
      </c>
    </row>
    <row r="1295">
      <c r="B1295" s="71">
        <f>IF(R1295="","",1290)</f>
        <v/>
      </c>
      <c r="C1295" s="75">
        <f>IF(R1295="","",IF(INDEX('Recurring Schedule'!$C$6:$C$45,R1295)="","",INDEX('Recurring Schedule'!$C$6:$C$45,R1295)))</f>
        <v/>
      </c>
      <c r="D1295" s="73">
        <f>IF(R1295="","",IF(INDEX('Recurring Schedule'!$D$6:$D$45,R1295)="","",INDEX('Recurring Schedule'!$D$6:$D$45,R1295)))</f>
        <v/>
      </c>
      <c r="E1295" s="76">
        <f>IF(Q1295="","",INDEX(Calc!$A$2:$A$367,Q1295))</f>
        <v/>
      </c>
      <c r="F1295" s="72">
        <f>IF(OR(C1295="",E1295=""),"",E1295-Setup!$D$7)</f>
        <v/>
      </c>
      <c r="G1295" s="77">
        <f>IF(R1295="","",IF(INDEX('Recurring Schedule'!$H$6:$H$45,R1295)="","",INDEX('Recurring Schedule'!$H$6:$H$45,R1295)))</f>
        <v/>
      </c>
      <c r="H1295" s="77">
        <f>IF(R1295="","",IF(INDEX('Recurring Schedule'!$I$6:$I$45,R1295)="","",INDEX('Recurring Schedule'!$I$6:$I$45,R1295)))</f>
        <v/>
      </c>
      <c r="I1295" s="73">
        <f>IF(OR(G1295="",H1295=""),"",TRIM(IF(HOUR(H1295-G1295)&gt;0,HOUR(H1295-G1295)&amp;" hr ","")&amp;IF(MINUTE(H1295-G1295)&gt;0,MINUTE(H1295-G1295)&amp;" min","")))</f>
        <v/>
      </c>
      <c r="J1295" s="66" t="n"/>
      <c r="K1295" s="70" t="n"/>
      <c r="L1295" s="73">
        <f>IF(R1295="","",IF(INDEX('Recurring Schedule'!$J$6:$J$45,R1295)="","",INDEX('Recurring Schedule'!$J$6:$J$45,R1295)))</f>
        <v/>
      </c>
      <c r="M1295" s="73">
        <f>IF(R1295="","",IF(INDEX('Recurring Schedule'!$K$6:$K$45,R1295)="","",INDEX('Recurring Schedule'!$K$6:$K$45,R1295)))</f>
        <v/>
      </c>
      <c r="N1295" s="73">
        <f>IF(R1295="","",IF(INDEX('Recurring Schedule'!$L$6:$L$45,R1295)="","",INDEX('Recurring Schedule'!$L$6:$L$45,R1295)))</f>
        <v/>
      </c>
      <c r="O1295" s="73">
        <f>IF(C1295="","",IF(AND(OR(L1295="1-Urgent",L1295="2-High"),M1295="✓"),"DO FIRST",IF(M1295="✓","SCHEDULE",IF(OR(L1295="1-Urgent",L1295="2-High"),"DELEGATE","DELETE"))))</f>
        <v/>
      </c>
      <c r="P1295" s="65" t="n"/>
      <c r="Q1295">
        <f>IF(1290&gt;Calc!$AQ$368,"",MATCH(1289,Calc!$AQ$2:$AQ$367,1))</f>
        <v/>
      </c>
      <c r="R1295">
        <f>IF(Q1295="","",SMALL(INDEX(Calc!$B$2:$AO$367,Q1295,0),1290-INDEX(Calc!$AQ$2:$AQ$367,Q1295)))</f>
        <v/>
      </c>
    </row>
    <row r="1296">
      <c r="B1296" s="64">
        <f>IF(R1296="","",1291)</f>
        <v/>
      </c>
      <c r="C1296" s="37">
        <f>IF(R1296="","",IF(INDEX('Recurring Schedule'!$C$6:$C$45,R1296)="","",INDEX('Recurring Schedule'!$C$6:$C$45,R1296)))</f>
        <v/>
      </c>
      <c r="D1296" s="36">
        <f>IF(R1296="","",IF(INDEX('Recurring Schedule'!$D$6:$D$45,R1296)="","",INDEX('Recurring Schedule'!$D$6:$D$45,R1296)))</f>
        <v/>
      </c>
      <c r="E1296" s="38">
        <f>IF(Q1296="","",INDEX(Calc!$A$2:$A$367,Q1296))</f>
        <v/>
      </c>
      <c r="F1296" s="68">
        <f>IF(OR(C1296="",E1296=""),"",E1296-Setup!$D$7)</f>
        <v/>
      </c>
      <c r="G1296" s="74">
        <f>IF(R1296="","",IF(INDEX('Recurring Schedule'!$H$6:$H$45,R1296)="","",INDEX('Recurring Schedule'!$H$6:$H$45,R1296)))</f>
        <v/>
      </c>
      <c r="H1296" s="74">
        <f>IF(R1296="","",IF(INDEX('Recurring Schedule'!$I$6:$I$45,R1296)="","",INDEX('Recurring Schedule'!$I$6:$I$45,R1296)))</f>
        <v/>
      </c>
      <c r="I1296" s="36">
        <f>IF(OR(G1296="",H1296=""),"",TRIM(IF(HOUR(H1296-G1296)&gt;0,HOUR(H1296-G1296)&amp;" hr ","")&amp;IF(MINUTE(H1296-G1296)&gt;0,MINUTE(H1296-G1296)&amp;" min","")))</f>
        <v/>
      </c>
      <c r="J1296" s="66" t="n"/>
      <c r="K1296" s="70" t="n"/>
      <c r="L1296" s="36">
        <f>IF(R1296="","",IF(INDEX('Recurring Schedule'!$J$6:$J$45,R1296)="","",INDEX('Recurring Schedule'!$J$6:$J$45,R1296)))</f>
        <v/>
      </c>
      <c r="M1296" s="36">
        <f>IF(R1296="","",IF(INDEX('Recurring Schedule'!$K$6:$K$45,R1296)="","",INDEX('Recurring Schedule'!$K$6:$K$45,R1296)))</f>
        <v/>
      </c>
      <c r="N1296" s="36">
        <f>IF(R1296="","",IF(INDEX('Recurring Schedule'!$L$6:$L$45,R1296)="","",INDEX('Recurring Schedule'!$L$6:$L$45,R1296)))</f>
        <v/>
      </c>
      <c r="O1296" s="36">
        <f>IF(C1296="","",IF(AND(OR(L1296="1-Urgent",L1296="2-High"),M1296="✓"),"DO FIRST",IF(M1296="✓","SCHEDULE",IF(OR(L1296="1-Urgent",L1296="2-High"),"DELEGATE","DELETE"))))</f>
        <v/>
      </c>
      <c r="P1296" s="65" t="n"/>
      <c r="Q1296">
        <f>IF(1291&gt;Calc!$AQ$368,"",MATCH(1290,Calc!$AQ$2:$AQ$367,1))</f>
        <v/>
      </c>
      <c r="R1296">
        <f>IF(Q1296="","",SMALL(INDEX(Calc!$B$2:$AO$367,Q1296,0),1291-INDEX(Calc!$AQ$2:$AQ$367,Q1296)))</f>
        <v/>
      </c>
    </row>
    <row r="1297">
      <c r="B1297" s="71">
        <f>IF(R1297="","",1292)</f>
        <v/>
      </c>
      <c r="C1297" s="75">
        <f>IF(R1297="","",IF(INDEX('Recurring Schedule'!$C$6:$C$45,R1297)="","",INDEX('Recurring Schedule'!$C$6:$C$45,R1297)))</f>
        <v/>
      </c>
      <c r="D1297" s="73">
        <f>IF(R1297="","",IF(INDEX('Recurring Schedule'!$D$6:$D$45,R1297)="","",INDEX('Recurring Schedule'!$D$6:$D$45,R1297)))</f>
        <v/>
      </c>
      <c r="E1297" s="76">
        <f>IF(Q1297="","",INDEX(Calc!$A$2:$A$367,Q1297))</f>
        <v/>
      </c>
      <c r="F1297" s="72">
        <f>IF(OR(C1297="",E1297=""),"",E1297-Setup!$D$7)</f>
        <v/>
      </c>
      <c r="G1297" s="77">
        <f>IF(R1297="","",IF(INDEX('Recurring Schedule'!$H$6:$H$45,R1297)="","",INDEX('Recurring Schedule'!$H$6:$H$45,R1297)))</f>
        <v/>
      </c>
      <c r="H1297" s="77">
        <f>IF(R1297="","",IF(INDEX('Recurring Schedule'!$I$6:$I$45,R1297)="","",INDEX('Recurring Schedule'!$I$6:$I$45,R1297)))</f>
        <v/>
      </c>
      <c r="I1297" s="73">
        <f>IF(OR(G1297="",H1297=""),"",TRIM(IF(HOUR(H1297-G1297)&gt;0,HOUR(H1297-G1297)&amp;" hr ","")&amp;IF(MINUTE(H1297-G1297)&gt;0,MINUTE(H1297-G1297)&amp;" min","")))</f>
        <v/>
      </c>
      <c r="J1297" s="66" t="n"/>
      <c r="K1297" s="70" t="n"/>
      <c r="L1297" s="73">
        <f>IF(R1297="","",IF(INDEX('Recurring Schedule'!$J$6:$J$45,R1297)="","",INDEX('Recurring Schedule'!$J$6:$J$45,R1297)))</f>
        <v/>
      </c>
      <c r="M1297" s="73">
        <f>IF(R1297="","",IF(INDEX('Recurring Schedule'!$K$6:$K$45,R1297)="","",INDEX('Recurring Schedule'!$K$6:$K$45,R1297)))</f>
        <v/>
      </c>
      <c r="N1297" s="73">
        <f>IF(R1297="","",IF(INDEX('Recurring Schedule'!$L$6:$L$45,R1297)="","",INDEX('Recurring Schedule'!$L$6:$L$45,R1297)))</f>
        <v/>
      </c>
      <c r="O1297" s="73">
        <f>IF(C1297="","",IF(AND(OR(L1297="1-Urgent",L1297="2-High"),M1297="✓"),"DO FIRST",IF(M1297="✓","SCHEDULE",IF(OR(L1297="1-Urgent",L1297="2-High"),"DELEGATE","DELETE"))))</f>
        <v/>
      </c>
      <c r="P1297" s="65" t="n"/>
      <c r="Q1297">
        <f>IF(1292&gt;Calc!$AQ$368,"",MATCH(1291,Calc!$AQ$2:$AQ$367,1))</f>
        <v/>
      </c>
      <c r="R1297">
        <f>IF(Q1297="","",SMALL(INDEX(Calc!$B$2:$AO$367,Q1297,0),1292-INDEX(Calc!$AQ$2:$AQ$367,Q1297)))</f>
        <v/>
      </c>
    </row>
    <row r="1298">
      <c r="B1298" s="64">
        <f>IF(R1298="","",1293)</f>
        <v/>
      </c>
      <c r="C1298" s="37">
        <f>IF(R1298="","",IF(INDEX('Recurring Schedule'!$C$6:$C$45,R1298)="","",INDEX('Recurring Schedule'!$C$6:$C$45,R1298)))</f>
        <v/>
      </c>
      <c r="D1298" s="36">
        <f>IF(R1298="","",IF(INDEX('Recurring Schedule'!$D$6:$D$45,R1298)="","",INDEX('Recurring Schedule'!$D$6:$D$45,R1298)))</f>
        <v/>
      </c>
      <c r="E1298" s="38">
        <f>IF(Q1298="","",INDEX(Calc!$A$2:$A$367,Q1298))</f>
        <v/>
      </c>
      <c r="F1298" s="68">
        <f>IF(OR(C1298="",E1298=""),"",E1298-Setup!$D$7)</f>
        <v/>
      </c>
      <c r="G1298" s="74">
        <f>IF(R1298="","",IF(INDEX('Recurring Schedule'!$H$6:$H$45,R1298)="","",INDEX('Recurring Schedule'!$H$6:$H$45,R1298)))</f>
        <v/>
      </c>
      <c r="H1298" s="74">
        <f>IF(R1298="","",IF(INDEX('Recurring Schedule'!$I$6:$I$45,R1298)="","",INDEX('Recurring Schedule'!$I$6:$I$45,R1298)))</f>
        <v/>
      </c>
      <c r="I1298" s="36">
        <f>IF(OR(G1298="",H1298=""),"",TRIM(IF(HOUR(H1298-G1298)&gt;0,HOUR(H1298-G1298)&amp;" hr ","")&amp;IF(MINUTE(H1298-G1298)&gt;0,MINUTE(H1298-G1298)&amp;" min","")))</f>
        <v/>
      </c>
      <c r="J1298" s="66" t="n"/>
      <c r="K1298" s="70" t="n"/>
      <c r="L1298" s="36">
        <f>IF(R1298="","",IF(INDEX('Recurring Schedule'!$J$6:$J$45,R1298)="","",INDEX('Recurring Schedule'!$J$6:$J$45,R1298)))</f>
        <v/>
      </c>
      <c r="M1298" s="36">
        <f>IF(R1298="","",IF(INDEX('Recurring Schedule'!$K$6:$K$45,R1298)="","",INDEX('Recurring Schedule'!$K$6:$K$45,R1298)))</f>
        <v/>
      </c>
      <c r="N1298" s="36">
        <f>IF(R1298="","",IF(INDEX('Recurring Schedule'!$L$6:$L$45,R1298)="","",INDEX('Recurring Schedule'!$L$6:$L$45,R1298)))</f>
        <v/>
      </c>
      <c r="O1298" s="36">
        <f>IF(C1298="","",IF(AND(OR(L1298="1-Urgent",L1298="2-High"),M1298="✓"),"DO FIRST",IF(M1298="✓","SCHEDULE",IF(OR(L1298="1-Urgent",L1298="2-High"),"DELEGATE","DELETE"))))</f>
        <v/>
      </c>
      <c r="P1298" s="65" t="n"/>
      <c r="Q1298">
        <f>IF(1293&gt;Calc!$AQ$368,"",MATCH(1292,Calc!$AQ$2:$AQ$367,1))</f>
        <v/>
      </c>
      <c r="R1298">
        <f>IF(Q1298="","",SMALL(INDEX(Calc!$B$2:$AO$367,Q1298,0),1293-INDEX(Calc!$AQ$2:$AQ$367,Q1298)))</f>
        <v/>
      </c>
    </row>
    <row r="1299">
      <c r="B1299" s="71">
        <f>IF(R1299="","",1294)</f>
        <v/>
      </c>
      <c r="C1299" s="75">
        <f>IF(R1299="","",IF(INDEX('Recurring Schedule'!$C$6:$C$45,R1299)="","",INDEX('Recurring Schedule'!$C$6:$C$45,R1299)))</f>
        <v/>
      </c>
      <c r="D1299" s="73">
        <f>IF(R1299="","",IF(INDEX('Recurring Schedule'!$D$6:$D$45,R1299)="","",INDEX('Recurring Schedule'!$D$6:$D$45,R1299)))</f>
        <v/>
      </c>
      <c r="E1299" s="76">
        <f>IF(Q1299="","",INDEX(Calc!$A$2:$A$367,Q1299))</f>
        <v/>
      </c>
      <c r="F1299" s="72">
        <f>IF(OR(C1299="",E1299=""),"",E1299-Setup!$D$7)</f>
        <v/>
      </c>
      <c r="G1299" s="77">
        <f>IF(R1299="","",IF(INDEX('Recurring Schedule'!$H$6:$H$45,R1299)="","",INDEX('Recurring Schedule'!$H$6:$H$45,R1299)))</f>
        <v/>
      </c>
      <c r="H1299" s="77">
        <f>IF(R1299="","",IF(INDEX('Recurring Schedule'!$I$6:$I$45,R1299)="","",INDEX('Recurring Schedule'!$I$6:$I$45,R1299)))</f>
        <v/>
      </c>
      <c r="I1299" s="73">
        <f>IF(OR(G1299="",H1299=""),"",TRIM(IF(HOUR(H1299-G1299)&gt;0,HOUR(H1299-G1299)&amp;" hr ","")&amp;IF(MINUTE(H1299-G1299)&gt;0,MINUTE(H1299-G1299)&amp;" min","")))</f>
        <v/>
      </c>
      <c r="J1299" s="66" t="n"/>
      <c r="K1299" s="70" t="n"/>
      <c r="L1299" s="73">
        <f>IF(R1299="","",IF(INDEX('Recurring Schedule'!$J$6:$J$45,R1299)="","",INDEX('Recurring Schedule'!$J$6:$J$45,R1299)))</f>
        <v/>
      </c>
      <c r="M1299" s="73">
        <f>IF(R1299="","",IF(INDEX('Recurring Schedule'!$K$6:$K$45,R1299)="","",INDEX('Recurring Schedule'!$K$6:$K$45,R1299)))</f>
        <v/>
      </c>
      <c r="N1299" s="73">
        <f>IF(R1299="","",IF(INDEX('Recurring Schedule'!$L$6:$L$45,R1299)="","",INDEX('Recurring Schedule'!$L$6:$L$45,R1299)))</f>
        <v/>
      </c>
      <c r="O1299" s="73">
        <f>IF(C1299="","",IF(AND(OR(L1299="1-Urgent",L1299="2-High"),M1299="✓"),"DO FIRST",IF(M1299="✓","SCHEDULE",IF(OR(L1299="1-Urgent",L1299="2-High"),"DELEGATE","DELETE"))))</f>
        <v/>
      </c>
      <c r="P1299" s="65" t="n"/>
      <c r="Q1299">
        <f>IF(1294&gt;Calc!$AQ$368,"",MATCH(1293,Calc!$AQ$2:$AQ$367,1))</f>
        <v/>
      </c>
      <c r="R1299">
        <f>IF(Q1299="","",SMALL(INDEX(Calc!$B$2:$AO$367,Q1299,0),1294-INDEX(Calc!$AQ$2:$AQ$367,Q1299)))</f>
        <v/>
      </c>
    </row>
    <row r="1300">
      <c r="B1300" s="64">
        <f>IF(R1300="","",1295)</f>
        <v/>
      </c>
      <c r="C1300" s="37">
        <f>IF(R1300="","",IF(INDEX('Recurring Schedule'!$C$6:$C$45,R1300)="","",INDEX('Recurring Schedule'!$C$6:$C$45,R1300)))</f>
        <v/>
      </c>
      <c r="D1300" s="36">
        <f>IF(R1300="","",IF(INDEX('Recurring Schedule'!$D$6:$D$45,R1300)="","",INDEX('Recurring Schedule'!$D$6:$D$45,R1300)))</f>
        <v/>
      </c>
      <c r="E1300" s="38">
        <f>IF(Q1300="","",INDEX(Calc!$A$2:$A$367,Q1300))</f>
        <v/>
      </c>
      <c r="F1300" s="68">
        <f>IF(OR(C1300="",E1300=""),"",E1300-Setup!$D$7)</f>
        <v/>
      </c>
      <c r="G1300" s="74">
        <f>IF(R1300="","",IF(INDEX('Recurring Schedule'!$H$6:$H$45,R1300)="","",INDEX('Recurring Schedule'!$H$6:$H$45,R1300)))</f>
        <v/>
      </c>
      <c r="H1300" s="74">
        <f>IF(R1300="","",IF(INDEX('Recurring Schedule'!$I$6:$I$45,R1300)="","",INDEX('Recurring Schedule'!$I$6:$I$45,R1300)))</f>
        <v/>
      </c>
      <c r="I1300" s="36">
        <f>IF(OR(G1300="",H1300=""),"",TRIM(IF(HOUR(H1300-G1300)&gt;0,HOUR(H1300-G1300)&amp;" hr ","")&amp;IF(MINUTE(H1300-G1300)&gt;0,MINUTE(H1300-G1300)&amp;" min","")))</f>
        <v/>
      </c>
      <c r="J1300" s="66" t="n"/>
      <c r="K1300" s="70" t="n"/>
      <c r="L1300" s="36">
        <f>IF(R1300="","",IF(INDEX('Recurring Schedule'!$J$6:$J$45,R1300)="","",INDEX('Recurring Schedule'!$J$6:$J$45,R1300)))</f>
        <v/>
      </c>
      <c r="M1300" s="36">
        <f>IF(R1300="","",IF(INDEX('Recurring Schedule'!$K$6:$K$45,R1300)="","",INDEX('Recurring Schedule'!$K$6:$K$45,R1300)))</f>
        <v/>
      </c>
      <c r="N1300" s="36">
        <f>IF(R1300="","",IF(INDEX('Recurring Schedule'!$L$6:$L$45,R1300)="","",INDEX('Recurring Schedule'!$L$6:$L$45,R1300)))</f>
        <v/>
      </c>
      <c r="O1300" s="36">
        <f>IF(C1300="","",IF(AND(OR(L1300="1-Urgent",L1300="2-High"),M1300="✓"),"DO FIRST",IF(M1300="✓","SCHEDULE",IF(OR(L1300="1-Urgent",L1300="2-High"),"DELEGATE","DELETE"))))</f>
        <v/>
      </c>
      <c r="P1300" s="65" t="n"/>
      <c r="Q1300">
        <f>IF(1295&gt;Calc!$AQ$368,"",MATCH(1294,Calc!$AQ$2:$AQ$367,1))</f>
        <v/>
      </c>
      <c r="R1300">
        <f>IF(Q1300="","",SMALL(INDEX(Calc!$B$2:$AO$367,Q1300,0),1295-INDEX(Calc!$AQ$2:$AQ$367,Q1300)))</f>
        <v/>
      </c>
    </row>
    <row r="1301">
      <c r="B1301" s="71">
        <f>IF(R1301="","",1296)</f>
        <v/>
      </c>
      <c r="C1301" s="75">
        <f>IF(R1301="","",IF(INDEX('Recurring Schedule'!$C$6:$C$45,R1301)="","",INDEX('Recurring Schedule'!$C$6:$C$45,R1301)))</f>
        <v/>
      </c>
      <c r="D1301" s="73">
        <f>IF(R1301="","",IF(INDEX('Recurring Schedule'!$D$6:$D$45,R1301)="","",INDEX('Recurring Schedule'!$D$6:$D$45,R1301)))</f>
        <v/>
      </c>
      <c r="E1301" s="76">
        <f>IF(Q1301="","",INDEX(Calc!$A$2:$A$367,Q1301))</f>
        <v/>
      </c>
      <c r="F1301" s="72">
        <f>IF(OR(C1301="",E1301=""),"",E1301-Setup!$D$7)</f>
        <v/>
      </c>
      <c r="G1301" s="77">
        <f>IF(R1301="","",IF(INDEX('Recurring Schedule'!$H$6:$H$45,R1301)="","",INDEX('Recurring Schedule'!$H$6:$H$45,R1301)))</f>
        <v/>
      </c>
      <c r="H1301" s="77">
        <f>IF(R1301="","",IF(INDEX('Recurring Schedule'!$I$6:$I$45,R1301)="","",INDEX('Recurring Schedule'!$I$6:$I$45,R1301)))</f>
        <v/>
      </c>
      <c r="I1301" s="73">
        <f>IF(OR(G1301="",H1301=""),"",TRIM(IF(HOUR(H1301-G1301)&gt;0,HOUR(H1301-G1301)&amp;" hr ","")&amp;IF(MINUTE(H1301-G1301)&gt;0,MINUTE(H1301-G1301)&amp;" min","")))</f>
        <v/>
      </c>
      <c r="J1301" s="66" t="n"/>
      <c r="K1301" s="70" t="n"/>
      <c r="L1301" s="73">
        <f>IF(R1301="","",IF(INDEX('Recurring Schedule'!$J$6:$J$45,R1301)="","",INDEX('Recurring Schedule'!$J$6:$J$45,R1301)))</f>
        <v/>
      </c>
      <c r="M1301" s="73">
        <f>IF(R1301="","",IF(INDEX('Recurring Schedule'!$K$6:$K$45,R1301)="","",INDEX('Recurring Schedule'!$K$6:$K$45,R1301)))</f>
        <v/>
      </c>
      <c r="N1301" s="73">
        <f>IF(R1301="","",IF(INDEX('Recurring Schedule'!$L$6:$L$45,R1301)="","",INDEX('Recurring Schedule'!$L$6:$L$45,R1301)))</f>
        <v/>
      </c>
      <c r="O1301" s="73">
        <f>IF(C1301="","",IF(AND(OR(L1301="1-Urgent",L1301="2-High"),M1301="✓"),"DO FIRST",IF(M1301="✓","SCHEDULE",IF(OR(L1301="1-Urgent",L1301="2-High"),"DELEGATE","DELETE"))))</f>
        <v/>
      </c>
      <c r="P1301" s="65" t="n"/>
      <c r="Q1301">
        <f>IF(1296&gt;Calc!$AQ$368,"",MATCH(1295,Calc!$AQ$2:$AQ$367,1))</f>
        <v/>
      </c>
      <c r="R1301">
        <f>IF(Q1301="","",SMALL(INDEX(Calc!$B$2:$AO$367,Q1301,0),1296-INDEX(Calc!$AQ$2:$AQ$367,Q1301)))</f>
        <v/>
      </c>
    </row>
    <row r="1302">
      <c r="B1302" s="64">
        <f>IF(R1302="","",1297)</f>
        <v/>
      </c>
      <c r="C1302" s="37">
        <f>IF(R1302="","",IF(INDEX('Recurring Schedule'!$C$6:$C$45,R1302)="","",INDEX('Recurring Schedule'!$C$6:$C$45,R1302)))</f>
        <v/>
      </c>
      <c r="D1302" s="36">
        <f>IF(R1302="","",IF(INDEX('Recurring Schedule'!$D$6:$D$45,R1302)="","",INDEX('Recurring Schedule'!$D$6:$D$45,R1302)))</f>
        <v/>
      </c>
      <c r="E1302" s="38">
        <f>IF(Q1302="","",INDEX(Calc!$A$2:$A$367,Q1302))</f>
        <v/>
      </c>
      <c r="F1302" s="68">
        <f>IF(OR(C1302="",E1302=""),"",E1302-Setup!$D$7)</f>
        <v/>
      </c>
      <c r="G1302" s="74">
        <f>IF(R1302="","",IF(INDEX('Recurring Schedule'!$H$6:$H$45,R1302)="","",INDEX('Recurring Schedule'!$H$6:$H$45,R1302)))</f>
        <v/>
      </c>
      <c r="H1302" s="74">
        <f>IF(R1302="","",IF(INDEX('Recurring Schedule'!$I$6:$I$45,R1302)="","",INDEX('Recurring Schedule'!$I$6:$I$45,R1302)))</f>
        <v/>
      </c>
      <c r="I1302" s="36">
        <f>IF(OR(G1302="",H1302=""),"",TRIM(IF(HOUR(H1302-G1302)&gt;0,HOUR(H1302-G1302)&amp;" hr ","")&amp;IF(MINUTE(H1302-G1302)&gt;0,MINUTE(H1302-G1302)&amp;" min","")))</f>
        <v/>
      </c>
      <c r="J1302" s="66" t="n"/>
      <c r="K1302" s="70" t="n"/>
      <c r="L1302" s="36">
        <f>IF(R1302="","",IF(INDEX('Recurring Schedule'!$J$6:$J$45,R1302)="","",INDEX('Recurring Schedule'!$J$6:$J$45,R1302)))</f>
        <v/>
      </c>
      <c r="M1302" s="36">
        <f>IF(R1302="","",IF(INDEX('Recurring Schedule'!$K$6:$K$45,R1302)="","",INDEX('Recurring Schedule'!$K$6:$K$45,R1302)))</f>
        <v/>
      </c>
      <c r="N1302" s="36">
        <f>IF(R1302="","",IF(INDEX('Recurring Schedule'!$L$6:$L$45,R1302)="","",INDEX('Recurring Schedule'!$L$6:$L$45,R1302)))</f>
        <v/>
      </c>
      <c r="O1302" s="36">
        <f>IF(C1302="","",IF(AND(OR(L1302="1-Urgent",L1302="2-High"),M1302="✓"),"DO FIRST",IF(M1302="✓","SCHEDULE",IF(OR(L1302="1-Urgent",L1302="2-High"),"DELEGATE","DELETE"))))</f>
        <v/>
      </c>
      <c r="P1302" s="65" t="n"/>
      <c r="Q1302">
        <f>IF(1297&gt;Calc!$AQ$368,"",MATCH(1296,Calc!$AQ$2:$AQ$367,1))</f>
        <v/>
      </c>
      <c r="R1302">
        <f>IF(Q1302="","",SMALL(INDEX(Calc!$B$2:$AO$367,Q1302,0),1297-INDEX(Calc!$AQ$2:$AQ$367,Q1302)))</f>
        <v/>
      </c>
    </row>
    <row r="1303">
      <c r="B1303" s="71">
        <f>IF(R1303="","",1298)</f>
        <v/>
      </c>
      <c r="C1303" s="75">
        <f>IF(R1303="","",IF(INDEX('Recurring Schedule'!$C$6:$C$45,R1303)="","",INDEX('Recurring Schedule'!$C$6:$C$45,R1303)))</f>
        <v/>
      </c>
      <c r="D1303" s="73">
        <f>IF(R1303="","",IF(INDEX('Recurring Schedule'!$D$6:$D$45,R1303)="","",INDEX('Recurring Schedule'!$D$6:$D$45,R1303)))</f>
        <v/>
      </c>
      <c r="E1303" s="76">
        <f>IF(Q1303="","",INDEX(Calc!$A$2:$A$367,Q1303))</f>
        <v/>
      </c>
      <c r="F1303" s="72">
        <f>IF(OR(C1303="",E1303=""),"",E1303-Setup!$D$7)</f>
        <v/>
      </c>
      <c r="G1303" s="77">
        <f>IF(R1303="","",IF(INDEX('Recurring Schedule'!$H$6:$H$45,R1303)="","",INDEX('Recurring Schedule'!$H$6:$H$45,R1303)))</f>
        <v/>
      </c>
      <c r="H1303" s="77">
        <f>IF(R1303="","",IF(INDEX('Recurring Schedule'!$I$6:$I$45,R1303)="","",INDEX('Recurring Schedule'!$I$6:$I$45,R1303)))</f>
        <v/>
      </c>
      <c r="I1303" s="73">
        <f>IF(OR(G1303="",H1303=""),"",TRIM(IF(HOUR(H1303-G1303)&gt;0,HOUR(H1303-G1303)&amp;" hr ","")&amp;IF(MINUTE(H1303-G1303)&gt;0,MINUTE(H1303-G1303)&amp;" min","")))</f>
        <v/>
      </c>
      <c r="J1303" s="66" t="n"/>
      <c r="K1303" s="70" t="n"/>
      <c r="L1303" s="73">
        <f>IF(R1303="","",IF(INDEX('Recurring Schedule'!$J$6:$J$45,R1303)="","",INDEX('Recurring Schedule'!$J$6:$J$45,R1303)))</f>
        <v/>
      </c>
      <c r="M1303" s="73">
        <f>IF(R1303="","",IF(INDEX('Recurring Schedule'!$K$6:$K$45,R1303)="","",INDEX('Recurring Schedule'!$K$6:$K$45,R1303)))</f>
        <v/>
      </c>
      <c r="N1303" s="73">
        <f>IF(R1303="","",IF(INDEX('Recurring Schedule'!$L$6:$L$45,R1303)="","",INDEX('Recurring Schedule'!$L$6:$L$45,R1303)))</f>
        <v/>
      </c>
      <c r="O1303" s="73">
        <f>IF(C1303="","",IF(AND(OR(L1303="1-Urgent",L1303="2-High"),M1303="✓"),"DO FIRST",IF(M1303="✓","SCHEDULE",IF(OR(L1303="1-Urgent",L1303="2-High"),"DELEGATE","DELETE"))))</f>
        <v/>
      </c>
      <c r="P1303" s="65" t="n"/>
      <c r="Q1303">
        <f>IF(1298&gt;Calc!$AQ$368,"",MATCH(1297,Calc!$AQ$2:$AQ$367,1))</f>
        <v/>
      </c>
      <c r="R1303">
        <f>IF(Q1303="","",SMALL(INDEX(Calc!$B$2:$AO$367,Q1303,0),1298-INDEX(Calc!$AQ$2:$AQ$367,Q1303)))</f>
        <v/>
      </c>
    </row>
    <row r="1304">
      <c r="B1304" s="64">
        <f>IF(R1304="","",1299)</f>
        <v/>
      </c>
      <c r="C1304" s="37">
        <f>IF(R1304="","",IF(INDEX('Recurring Schedule'!$C$6:$C$45,R1304)="","",INDEX('Recurring Schedule'!$C$6:$C$45,R1304)))</f>
        <v/>
      </c>
      <c r="D1304" s="36">
        <f>IF(R1304="","",IF(INDEX('Recurring Schedule'!$D$6:$D$45,R1304)="","",INDEX('Recurring Schedule'!$D$6:$D$45,R1304)))</f>
        <v/>
      </c>
      <c r="E1304" s="38">
        <f>IF(Q1304="","",INDEX(Calc!$A$2:$A$367,Q1304))</f>
        <v/>
      </c>
      <c r="F1304" s="68">
        <f>IF(OR(C1304="",E1304=""),"",E1304-Setup!$D$7)</f>
        <v/>
      </c>
      <c r="G1304" s="74">
        <f>IF(R1304="","",IF(INDEX('Recurring Schedule'!$H$6:$H$45,R1304)="","",INDEX('Recurring Schedule'!$H$6:$H$45,R1304)))</f>
        <v/>
      </c>
      <c r="H1304" s="74">
        <f>IF(R1304="","",IF(INDEX('Recurring Schedule'!$I$6:$I$45,R1304)="","",INDEX('Recurring Schedule'!$I$6:$I$45,R1304)))</f>
        <v/>
      </c>
      <c r="I1304" s="36">
        <f>IF(OR(G1304="",H1304=""),"",TRIM(IF(HOUR(H1304-G1304)&gt;0,HOUR(H1304-G1304)&amp;" hr ","")&amp;IF(MINUTE(H1304-G1304)&gt;0,MINUTE(H1304-G1304)&amp;" min","")))</f>
        <v/>
      </c>
      <c r="J1304" s="66" t="n"/>
      <c r="K1304" s="70" t="n"/>
      <c r="L1304" s="36">
        <f>IF(R1304="","",IF(INDEX('Recurring Schedule'!$J$6:$J$45,R1304)="","",INDEX('Recurring Schedule'!$J$6:$J$45,R1304)))</f>
        <v/>
      </c>
      <c r="M1304" s="36">
        <f>IF(R1304="","",IF(INDEX('Recurring Schedule'!$K$6:$K$45,R1304)="","",INDEX('Recurring Schedule'!$K$6:$K$45,R1304)))</f>
        <v/>
      </c>
      <c r="N1304" s="36">
        <f>IF(R1304="","",IF(INDEX('Recurring Schedule'!$L$6:$L$45,R1304)="","",INDEX('Recurring Schedule'!$L$6:$L$45,R1304)))</f>
        <v/>
      </c>
      <c r="O1304" s="36">
        <f>IF(C1304="","",IF(AND(OR(L1304="1-Urgent",L1304="2-High"),M1304="✓"),"DO FIRST",IF(M1304="✓","SCHEDULE",IF(OR(L1304="1-Urgent",L1304="2-High"),"DELEGATE","DELETE"))))</f>
        <v/>
      </c>
      <c r="P1304" s="65" t="n"/>
      <c r="Q1304">
        <f>IF(1299&gt;Calc!$AQ$368,"",MATCH(1298,Calc!$AQ$2:$AQ$367,1))</f>
        <v/>
      </c>
      <c r="R1304">
        <f>IF(Q1304="","",SMALL(INDEX(Calc!$B$2:$AO$367,Q1304,0),1299-INDEX(Calc!$AQ$2:$AQ$367,Q1304)))</f>
        <v/>
      </c>
    </row>
    <row r="1305">
      <c r="B1305" s="71">
        <f>IF(R1305="","",1300)</f>
        <v/>
      </c>
      <c r="C1305" s="75">
        <f>IF(R1305="","",IF(INDEX('Recurring Schedule'!$C$6:$C$45,R1305)="","",INDEX('Recurring Schedule'!$C$6:$C$45,R1305)))</f>
        <v/>
      </c>
      <c r="D1305" s="73">
        <f>IF(R1305="","",IF(INDEX('Recurring Schedule'!$D$6:$D$45,R1305)="","",INDEX('Recurring Schedule'!$D$6:$D$45,R1305)))</f>
        <v/>
      </c>
      <c r="E1305" s="76">
        <f>IF(Q1305="","",INDEX(Calc!$A$2:$A$367,Q1305))</f>
        <v/>
      </c>
      <c r="F1305" s="72">
        <f>IF(OR(C1305="",E1305=""),"",E1305-Setup!$D$7)</f>
        <v/>
      </c>
      <c r="G1305" s="77">
        <f>IF(R1305="","",IF(INDEX('Recurring Schedule'!$H$6:$H$45,R1305)="","",INDEX('Recurring Schedule'!$H$6:$H$45,R1305)))</f>
        <v/>
      </c>
      <c r="H1305" s="77">
        <f>IF(R1305="","",IF(INDEX('Recurring Schedule'!$I$6:$I$45,R1305)="","",INDEX('Recurring Schedule'!$I$6:$I$45,R1305)))</f>
        <v/>
      </c>
      <c r="I1305" s="73">
        <f>IF(OR(G1305="",H1305=""),"",TRIM(IF(HOUR(H1305-G1305)&gt;0,HOUR(H1305-G1305)&amp;" hr ","")&amp;IF(MINUTE(H1305-G1305)&gt;0,MINUTE(H1305-G1305)&amp;" min","")))</f>
        <v/>
      </c>
      <c r="J1305" s="66" t="n"/>
      <c r="K1305" s="70" t="n"/>
      <c r="L1305" s="73">
        <f>IF(R1305="","",IF(INDEX('Recurring Schedule'!$J$6:$J$45,R1305)="","",INDEX('Recurring Schedule'!$J$6:$J$45,R1305)))</f>
        <v/>
      </c>
      <c r="M1305" s="73">
        <f>IF(R1305="","",IF(INDEX('Recurring Schedule'!$K$6:$K$45,R1305)="","",INDEX('Recurring Schedule'!$K$6:$K$45,R1305)))</f>
        <v/>
      </c>
      <c r="N1305" s="73">
        <f>IF(R1305="","",IF(INDEX('Recurring Schedule'!$L$6:$L$45,R1305)="","",INDEX('Recurring Schedule'!$L$6:$L$45,R1305)))</f>
        <v/>
      </c>
      <c r="O1305" s="73">
        <f>IF(C1305="","",IF(AND(OR(L1305="1-Urgent",L1305="2-High"),M1305="✓"),"DO FIRST",IF(M1305="✓","SCHEDULE",IF(OR(L1305="1-Urgent",L1305="2-High"),"DELEGATE","DELETE"))))</f>
        <v/>
      </c>
      <c r="P1305" s="65" t="n"/>
      <c r="Q1305">
        <f>IF(1300&gt;Calc!$AQ$368,"",MATCH(1299,Calc!$AQ$2:$AQ$367,1))</f>
        <v/>
      </c>
      <c r="R1305">
        <f>IF(Q1305="","",SMALL(INDEX(Calc!$B$2:$AO$367,Q1305,0),1300-INDEX(Calc!$AQ$2:$AQ$367,Q1305)))</f>
        <v/>
      </c>
    </row>
    <row r="1306">
      <c r="B1306" s="64">
        <f>IF(R1306="","",1301)</f>
        <v/>
      </c>
      <c r="C1306" s="37">
        <f>IF(R1306="","",IF(INDEX('Recurring Schedule'!$C$6:$C$45,R1306)="","",INDEX('Recurring Schedule'!$C$6:$C$45,R1306)))</f>
        <v/>
      </c>
      <c r="D1306" s="36">
        <f>IF(R1306="","",IF(INDEX('Recurring Schedule'!$D$6:$D$45,R1306)="","",INDEX('Recurring Schedule'!$D$6:$D$45,R1306)))</f>
        <v/>
      </c>
      <c r="E1306" s="38">
        <f>IF(Q1306="","",INDEX(Calc!$A$2:$A$367,Q1306))</f>
        <v/>
      </c>
      <c r="F1306" s="68">
        <f>IF(OR(C1306="",E1306=""),"",E1306-Setup!$D$7)</f>
        <v/>
      </c>
      <c r="G1306" s="74">
        <f>IF(R1306="","",IF(INDEX('Recurring Schedule'!$H$6:$H$45,R1306)="","",INDEX('Recurring Schedule'!$H$6:$H$45,R1306)))</f>
        <v/>
      </c>
      <c r="H1306" s="74">
        <f>IF(R1306="","",IF(INDEX('Recurring Schedule'!$I$6:$I$45,R1306)="","",INDEX('Recurring Schedule'!$I$6:$I$45,R1306)))</f>
        <v/>
      </c>
      <c r="I1306" s="36">
        <f>IF(OR(G1306="",H1306=""),"",TRIM(IF(HOUR(H1306-G1306)&gt;0,HOUR(H1306-G1306)&amp;" hr ","")&amp;IF(MINUTE(H1306-G1306)&gt;0,MINUTE(H1306-G1306)&amp;" min","")))</f>
        <v/>
      </c>
      <c r="J1306" s="66" t="n"/>
      <c r="K1306" s="70" t="n"/>
      <c r="L1306" s="36">
        <f>IF(R1306="","",IF(INDEX('Recurring Schedule'!$J$6:$J$45,R1306)="","",INDEX('Recurring Schedule'!$J$6:$J$45,R1306)))</f>
        <v/>
      </c>
      <c r="M1306" s="36">
        <f>IF(R1306="","",IF(INDEX('Recurring Schedule'!$K$6:$K$45,R1306)="","",INDEX('Recurring Schedule'!$K$6:$K$45,R1306)))</f>
        <v/>
      </c>
      <c r="N1306" s="36">
        <f>IF(R1306="","",IF(INDEX('Recurring Schedule'!$L$6:$L$45,R1306)="","",INDEX('Recurring Schedule'!$L$6:$L$45,R1306)))</f>
        <v/>
      </c>
      <c r="O1306" s="36">
        <f>IF(C1306="","",IF(AND(OR(L1306="1-Urgent",L1306="2-High"),M1306="✓"),"DO FIRST",IF(M1306="✓","SCHEDULE",IF(OR(L1306="1-Urgent",L1306="2-High"),"DELEGATE","DELETE"))))</f>
        <v/>
      </c>
      <c r="P1306" s="65" t="n"/>
      <c r="Q1306">
        <f>IF(1301&gt;Calc!$AQ$368,"",MATCH(1300,Calc!$AQ$2:$AQ$367,1))</f>
        <v/>
      </c>
      <c r="R1306">
        <f>IF(Q1306="","",SMALL(INDEX(Calc!$B$2:$AO$367,Q1306,0),1301-INDEX(Calc!$AQ$2:$AQ$367,Q1306)))</f>
        <v/>
      </c>
    </row>
    <row r="1307">
      <c r="B1307" s="71">
        <f>IF(R1307="","",1302)</f>
        <v/>
      </c>
      <c r="C1307" s="75">
        <f>IF(R1307="","",IF(INDEX('Recurring Schedule'!$C$6:$C$45,R1307)="","",INDEX('Recurring Schedule'!$C$6:$C$45,R1307)))</f>
        <v/>
      </c>
      <c r="D1307" s="73">
        <f>IF(R1307="","",IF(INDEX('Recurring Schedule'!$D$6:$D$45,R1307)="","",INDEX('Recurring Schedule'!$D$6:$D$45,R1307)))</f>
        <v/>
      </c>
      <c r="E1307" s="76">
        <f>IF(Q1307="","",INDEX(Calc!$A$2:$A$367,Q1307))</f>
        <v/>
      </c>
      <c r="F1307" s="72">
        <f>IF(OR(C1307="",E1307=""),"",E1307-Setup!$D$7)</f>
        <v/>
      </c>
      <c r="G1307" s="77">
        <f>IF(R1307="","",IF(INDEX('Recurring Schedule'!$H$6:$H$45,R1307)="","",INDEX('Recurring Schedule'!$H$6:$H$45,R1307)))</f>
        <v/>
      </c>
      <c r="H1307" s="77">
        <f>IF(R1307="","",IF(INDEX('Recurring Schedule'!$I$6:$I$45,R1307)="","",INDEX('Recurring Schedule'!$I$6:$I$45,R1307)))</f>
        <v/>
      </c>
      <c r="I1307" s="73">
        <f>IF(OR(G1307="",H1307=""),"",TRIM(IF(HOUR(H1307-G1307)&gt;0,HOUR(H1307-G1307)&amp;" hr ","")&amp;IF(MINUTE(H1307-G1307)&gt;0,MINUTE(H1307-G1307)&amp;" min","")))</f>
        <v/>
      </c>
      <c r="J1307" s="66" t="n"/>
      <c r="K1307" s="70" t="n"/>
      <c r="L1307" s="73">
        <f>IF(R1307="","",IF(INDEX('Recurring Schedule'!$J$6:$J$45,R1307)="","",INDEX('Recurring Schedule'!$J$6:$J$45,R1307)))</f>
        <v/>
      </c>
      <c r="M1307" s="73">
        <f>IF(R1307="","",IF(INDEX('Recurring Schedule'!$K$6:$K$45,R1307)="","",INDEX('Recurring Schedule'!$K$6:$K$45,R1307)))</f>
        <v/>
      </c>
      <c r="N1307" s="73">
        <f>IF(R1307="","",IF(INDEX('Recurring Schedule'!$L$6:$L$45,R1307)="","",INDEX('Recurring Schedule'!$L$6:$L$45,R1307)))</f>
        <v/>
      </c>
      <c r="O1307" s="73">
        <f>IF(C1307="","",IF(AND(OR(L1307="1-Urgent",L1307="2-High"),M1307="✓"),"DO FIRST",IF(M1307="✓","SCHEDULE",IF(OR(L1307="1-Urgent",L1307="2-High"),"DELEGATE","DELETE"))))</f>
        <v/>
      </c>
      <c r="P1307" s="65" t="n"/>
      <c r="Q1307">
        <f>IF(1302&gt;Calc!$AQ$368,"",MATCH(1301,Calc!$AQ$2:$AQ$367,1))</f>
        <v/>
      </c>
      <c r="R1307">
        <f>IF(Q1307="","",SMALL(INDEX(Calc!$B$2:$AO$367,Q1307,0),1302-INDEX(Calc!$AQ$2:$AQ$367,Q1307)))</f>
        <v/>
      </c>
    </row>
    <row r="1308">
      <c r="B1308" s="64">
        <f>IF(R1308="","",1303)</f>
        <v/>
      </c>
      <c r="C1308" s="37">
        <f>IF(R1308="","",IF(INDEX('Recurring Schedule'!$C$6:$C$45,R1308)="","",INDEX('Recurring Schedule'!$C$6:$C$45,R1308)))</f>
        <v/>
      </c>
      <c r="D1308" s="36">
        <f>IF(R1308="","",IF(INDEX('Recurring Schedule'!$D$6:$D$45,R1308)="","",INDEX('Recurring Schedule'!$D$6:$D$45,R1308)))</f>
        <v/>
      </c>
      <c r="E1308" s="38">
        <f>IF(Q1308="","",INDEX(Calc!$A$2:$A$367,Q1308))</f>
        <v/>
      </c>
      <c r="F1308" s="68">
        <f>IF(OR(C1308="",E1308=""),"",E1308-Setup!$D$7)</f>
        <v/>
      </c>
      <c r="G1308" s="74">
        <f>IF(R1308="","",IF(INDEX('Recurring Schedule'!$H$6:$H$45,R1308)="","",INDEX('Recurring Schedule'!$H$6:$H$45,R1308)))</f>
        <v/>
      </c>
      <c r="H1308" s="74">
        <f>IF(R1308="","",IF(INDEX('Recurring Schedule'!$I$6:$I$45,R1308)="","",INDEX('Recurring Schedule'!$I$6:$I$45,R1308)))</f>
        <v/>
      </c>
      <c r="I1308" s="36">
        <f>IF(OR(G1308="",H1308=""),"",TRIM(IF(HOUR(H1308-G1308)&gt;0,HOUR(H1308-G1308)&amp;" hr ","")&amp;IF(MINUTE(H1308-G1308)&gt;0,MINUTE(H1308-G1308)&amp;" min","")))</f>
        <v/>
      </c>
      <c r="J1308" s="66" t="n"/>
      <c r="K1308" s="70" t="n"/>
      <c r="L1308" s="36">
        <f>IF(R1308="","",IF(INDEX('Recurring Schedule'!$J$6:$J$45,R1308)="","",INDEX('Recurring Schedule'!$J$6:$J$45,R1308)))</f>
        <v/>
      </c>
      <c r="M1308" s="36">
        <f>IF(R1308="","",IF(INDEX('Recurring Schedule'!$K$6:$K$45,R1308)="","",INDEX('Recurring Schedule'!$K$6:$K$45,R1308)))</f>
        <v/>
      </c>
      <c r="N1308" s="36">
        <f>IF(R1308="","",IF(INDEX('Recurring Schedule'!$L$6:$L$45,R1308)="","",INDEX('Recurring Schedule'!$L$6:$L$45,R1308)))</f>
        <v/>
      </c>
      <c r="O1308" s="36">
        <f>IF(C1308="","",IF(AND(OR(L1308="1-Urgent",L1308="2-High"),M1308="✓"),"DO FIRST",IF(M1308="✓","SCHEDULE",IF(OR(L1308="1-Urgent",L1308="2-High"),"DELEGATE","DELETE"))))</f>
        <v/>
      </c>
      <c r="P1308" s="65" t="n"/>
      <c r="Q1308">
        <f>IF(1303&gt;Calc!$AQ$368,"",MATCH(1302,Calc!$AQ$2:$AQ$367,1))</f>
        <v/>
      </c>
      <c r="R1308">
        <f>IF(Q1308="","",SMALL(INDEX(Calc!$B$2:$AO$367,Q1308,0),1303-INDEX(Calc!$AQ$2:$AQ$367,Q1308)))</f>
        <v/>
      </c>
    </row>
    <row r="1309">
      <c r="B1309" s="71">
        <f>IF(R1309="","",1304)</f>
        <v/>
      </c>
      <c r="C1309" s="75">
        <f>IF(R1309="","",IF(INDEX('Recurring Schedule'!$C$6:$C$45,R1309)="","",INDEX('Recurring Schedule'!$C$6:$C$45,R1309)))</f>
        <v/>
      </c>
      <c r="D1309" s="73">
        <f>IF(R1309="","",IF(INDEX('Recurring Schedule'!$D$6:$D$45,R1309)="","",INDEX('Recurring Schedule'!$D$6:$D$45,R1309)))</f>
        <v/>
      </c>
      <c r="E1309" s="76">
        <f>IF(Q1309="","",INDEX(Calc!$A$2:$A$367,Q1309))</f>
        <v/>
      </c>
      <c r="F1309" s="72">
        <f>IF(OR(C1309="",E1309=""),"",E1309-Setup!$D$7)</f>
        <v/>
      </c>
      <c r="G1309" s="77">
        <f>IF(R1309="","",IF(INDEX('Recurring Schedule'!$H$6:$H$45,R1309)="","",INDEX('Recurring Schedule'!$H$6:$H$45,R1309)))</f>
        <v/>
      </c>
      <c r="H1309" s="77">
        <f>IF(R1309="","",IF(INDEX('Recurring Schedule'!$I$6:$I$45,R1309)="","",INDEX('Recurring Schedule'!$I$6:$I$45,R1309)))</f>
        <v/>
      </c>
      <c r="I1309" s="73">
        <f>IF(OR(G1309="",H1309=""),"",TRIM(IF(HOUR(H1309-G1309)&gt;0,HOUR(H1309-G1309)&amp;" hr ","")&amp;IF(MINUTE(H1309-G1309)&gt;0,MINUTE(H1309-G1309)&amp;" min","")))</f>
        <v/>
      </c>
      <c r="J1309" s="66" t="n"/>
      <c r="K1309" s="70" t="n"/>
      <c r="L1309" s="73">
        <f>IF(R1309="","",IF(INDEX('Recurring Schedule'!$J$6:$J$45,R1309)="","",INDEX('Recurring Schedule'!$J$6:$J$45,R1309)))</f>
        <v/>
      </c>
      <c r="M1309" s="73">
        <f>IF(R1309="","",IF(INDEX('Recurring Schedule'!$K$6:$K$45,R1309)="","",INDEX('Recurring Schedule'!$K$6:$K$45,R1309)))</f>
        <v/>
      </c>
      <c r="N1309" s="73">
        <f>IF(R1309="","",IF(INDEX('Recurring Schedule'!$L$6:$L$45,R1309)="","",INDEX('Recurring Schedule'!$L$6:$L$45,R1309)))</f>
        <v/>
      </c>
      <c r="O1309" s="73">
        <f>IF(C1309="","",IF(AND(OR(L1309="1-Urgent",L1309="2-High"),M1309="✓"),"DO FIRST",IF(M1309="✓","SCHEDULE",IF(OR(L1309="1-Urgent",L1309="2-High"),"DELEGATE","DELETE"))))</f>
        <v/>
      </c>
      <c r="P1309" s="65" t="n"/>
      <c r="Q1309">
        <f>IF(1304&gt;Calc!$AQ$368,"",MATCH(1303,Calc!$AQ$2:$AQ$367,1))</f>
        <v/>
      </c>
      <c r="R1309">
        <f>IF(Q1309="","",SMALL(INDEX(Calc!$B$2:$AO$367,Q1309,0),1304-INDEX(Calc!$AQ$2:$AQ$367,Q1309)))</f>
        <v/>
      </c>
    </row>
    <row r="1310">
      <c r="B1310" s="64">
        <f>IF(R1310="","",1305)</f>
        <v/>
      </c>
      <c r="C1310" s="37">
        <f>IF(R1310="","",IF(INDEX('Recurring Schedule'!$C$6:$C$45,R1310)="","",INDEX('Recurring Schedule'!$C$6:$C$45,R1310)))</f>
        <v/>
      </c>
      <c r="D1310" s="36">
        <f>IF(R1310="","",IF(INDEX('Recurring Schedule'!$D$6:$D$45,R1310)="","",INDEX('Recurring Schedule'!$D$6:$D$45,R1310)))</f>
        <v/>
      </c>
      <c r="E1310" s="38">
        <f>IF(Q1310="","",INDEX(Calc!$A$2:$A$367,Q1310))</f>
        <v/>
      </c>
      <c r="F1310" s="68">
        <f>IF(OR(C1310="",E1310=""),"",E1310-Setup!$D$7)</f>
        <v/>
      </c>
      <c r="G1310" s="74">
        <f>IF(R1310="","",IF(INDEX('Recurring Schedule'!$H$6:$H$45,R1310)="","",INDEX('Recurring Schedule'!$H$6:$H$45,R1310)))</f>
        <v/>
      </c>
      <c r="H1310" s="74">
        <f>IF(R1310="","",IF(INDEX('Recurring Schedule'!$I$6:$I$45,R1310)="","",INDEX('Recurring Schedule'!$I$6:$I$45,R1310)))</f>
        <v/>
      </c>
      <c r="I1310" s="36">
        <f>IF(OR(G1310="",H1310=""),"",TRIM(IF(HOUR(H1310-G1310)&gt;0,HOUR(H1310-G1310)&amp;" hr ","")&amp;IF(MINUTE(H1310-G1310)&gt;0,MINUTE(H1310-G1310)&amp;" min","")))</f>
        <v/>
      </c>
      <c r="J1310" s="66" t="n"/>
      <c r="K1310" s="70" t="n"/>
      <c r="L1310" s="36">
        <f>IF(R1310="","",IF(INDEX('Recurring Schedule'!$J$6:$J$45,R1310)="","",INDEX('Recurring Schedule'!$J$6:$J$45,R1310)))</f>
        <v/>
      </c>
      <c r="M1310" s="36">
        <f>IF(R1310="","",IF(INDEX('Recurring Schedule'!$K$6:$K$45,R1310)="","",INDEX('Recurring Schedule'!$K$6:$K$45,R1310)))</f>
        <v/>
      </c>
      <c r="N1310" s="36">
        <f>IF(R1310="","",IF(INDEX('Recurring Schedule'!$L$6:$L$45,R1310)="","",INDEX('Recurring Schedule'!$L$6:$L$45,R1310)))</f>
        <v/>
      </c>
      <c r="O1310" s="36">
        <f>IF(C1310="","",IF(AND(OR(L1310="1-Urgent",L1310="2-High"),M1310="✓"),"DO FIRST",IF(M1310="✓","SCHEDULE",IF(OR(L1310="1-Urgent",L1310="2-High"),"DELEGATE","DELETE"))))</f>
        <v/>
      </c>
      <c r="P1310" s="65" t="n"/>
      <c r="Q1310">
        <f>IF(1305&gt;Calc!$AQ$368,"",MATCH(1304,Calc!$AQ$2:$AQ$367,1))</f>
        <v/>
      </c>
      <c r="R1310">
        <f>IF(Q1310="","",SMALL(INDEX(Calc!$B$2:$AO$367,Q1310,0),1305-INDEX(Calc!$AQ$2:$AQ$367,Q1310)))</f>
        <v/>
      </c>
    </row>
    <row r="1311">
      <c r="B1311" s="71">
        <f>IF(R1311="","",1306)</f>
        <v/>
      </c>
      <c r="C1311" s="75">
        <f>IF(R1311="","",IF(INDEX('Recurring Schedule'!$C$6:$C$45,R1311)="","",INDEX('Recurring Schedule'!$C$6:$C$45,R1311)))</f>
        <v/>
      </c>
      <c r="D1311" s="73">
        <f>IF(R1311="","",IF(INDEX('Recurring Schedule'!$D$6:$D$45,R1311)="","",INDEX('Recurring Schedule'!$D$6:$D$45,R1311)))</f>
        <v/>
      </c>
      <c r="E1311" s="76">
        <f>IF(Q1311="","",INDEX(Calc!$A$2:$A$367,Q1311))</f>
        <v/>
      </c>
      <c r="F1311" s="72">
        <f>IF(OR(C1311="",E1311=""),"",E1311-Setup!$D$7)</f>
        <v/>
      </c>
      <c r="G1311" s="77">
        <f>IF(R1311="","",IF(INDEX('Recurring Schedule'!$H$6:$H$45,R1311)="","",INDEX('Recurring Schedule'!$H$6:$H$45,R1311)))</f>
        <v/>
      </c>
      <c r="H1311" s="77">
        <f>IF(R1311="","",IF(INDEX('Recurring Schedule'!$I$6:$I$45,R1311)="","",INDEX('Recurring Schedule'!$I$6:$I$45,R1311)))</f>
        <v/>
      </c>
      <c r="I1311" s="73">
        <f>IF(OR(G1311="",H1311=""),"",TRIM(IF(HOUR(H1311-G1311)&gt;0,HOUR(H1311-G1311)&amp;" hr ","")&amp;IF(MINUTE(H1311-G1311)&gt;0,MINUTE(H1311-G1311)&amp;" min","")))</f>
        <v/>
      </c>
      <c r="J1311" s="66" t="n"/>
      <c r="K1311" s="70" t="n"/>
      <c r="L1311" s="73">
        <f>IF(R1311="","",IF(INDEX('Recurring Schedule'!$J$6:$J$45,R1311)="","",INDEX('Recurring Schedule'!$J$6:$J$45,R1311)))</f>
        <v/>
      </c>
      <c r="M1311" s="73">
        <f>IF(R1311="","",IF(INDEX('Recurring Schedule'!$K$6:$K$45,R1311)="","",INDEX('Recurring Schedule'!$K$6:$K$45,R1311)))</f>
        <v/>
      </c>
      <c r="N1311" s="73">
        <f>IF(R1311="","",IF(INDEX('Recurring Schedule'!$L$6:$L$45,R1311)="","",INDEX('Recurring Schedule'!$L$6:$L$45,R1311)))</f>
        <v/>
      </c>
      <c r="O1311" s="73">
        <f>IF(C1311="","",IF(AND(OR(L1311="1-Urgent",L1311="2-High"),M1311="✓"),"DO FIRST",IF(M1311="✓","SCHEDULE",IF(OR(L1311="1-Urgent",L1311="2-High"),"DELEGATE","DELETE"))))</f>
        <v/>
      </c>
      <c r="P1311" s="65" t="n"/>
      <c r="Q1311">
        <f>IF(1306&gt;Calc!$AQ$368,"",MATCH(1305,Calc!$AQ$2:$AQ$367,1))</f>
        <v/>
      </c>
      <c r="R1311">
        <f>IF(Q1311="","",SMALL(INDEX(Calc!$B$2:$AO$367,Q1311,0),1306-INDEX(Calc!$AQ$2:$AQ$367,Q1311)))</f>
        <v/>
      </c>
    </row>
    <row r="1312">
      <c r="B1312" s="64">
        <f>IF(R1312="","",1307)</f>
        <v/>
      </c>
      <c r="C1312" s="37">
        <f>IF(R1312="","",IF(INDEX('Recurring Schedule'!$C$6:$C$45,R1312)="","",INDEX('Recurring Schedule'!$C$6:$C$45,R1312)))</f>
        <v/>
      </c>
      <c r="D1312" s="36">
        <f>IF(R1312="","",IF(INDEX('Recurring Schedule'!$D$6:$D$45,R1312)="","",INDEX('Recurring Schedule'!$D$6:$D$45,R1312)))</f>
        <v/>
      </c>
      <c r="E1312" s="38">
        <f>IF(Q1312="","",INDEX(Calc!$A$2:$A$367,Q1312))</f>
        <v/>
      </c>
      <c r="F1312" s="68">
        <f>IF(OR(C1312="",E1312=""),"",E1312-Setup!$D$7)</f>
        <v/>
      </c>
      <c r="G1312" s="74">
        <f>IF(R1312="","",IF(INDEX('Recurring Schedule'!$H$6:$H$45,R1312)="","",INDEX('Recurring Schedule'!$H$6:$H$45,R1312)))</f>
        <v/>
      </c>
      <c r="H1312" s="74">
        <f>IF(R1312="","",IF(INDEX('Recurring Schedule'!$I$6:$I$45,R1312)="","",INDEX('Recurring Schedule'!$I$6:$I$45,R1312)))</f>
        <v/>
      </c>
      <c r="I1312" s="36">
        <f>IF(OR(G1312="",H1312=""),"",TRIM(IF(HOUR(H1312-G1312)&gt;0,HOUR(H1312-G1312)&amp;" hr ","")&amp;IF(MINUTE(H1312-G1312)&gt;0,MINUTE(H1312-G1312)&amp;" min","")))</f>
        <v/>
      </c>
      <c r="J1312" s="66" t="n"/>
      <c r="K1312" s="70" t="n"/>
      <c r="L1312" s="36">
        <f>IF(R1312="","",IF(INDEX('Recurring Schedule'!$J$6:$J$45,R1312)="","",INDEX('Recurring Schedule'!$J$6:$J$45,R1312)))</f>
        <v/>
      </c>
      <c r="M1312" s="36">
        <f>IF(R1312="","",IF(INDEX('Recurring Schedule'!$K$6:$K$45,R1312)="","",INDEX('Recurring Schedule'!$K$6:$K$45,R1312)))</f>
        <v/>
      </c>
      <c r="N1312" s="36">
        <f>IF(R1312="","",IF(INDEX('Recurring Schedule'!$L$6:$L$45,R1312)="","",INDEX('Recurring Schedule'!$L$6:$L$45,R1312)))</f>
        <v/>
      </c>
      <c r="O1312" s="36">
        <f>IF(C1312="","",IF(AND(OR(L1312="1-Urgent",L1312="2-High"),M1312="✓"),"DO FIRST",IF(M1312="✓","SCHEDULE",IF(OR(L1312="1-Urgent",L1312="2-High"),"DELEGATE","DELETE"))))</f>
        <v/>
      </c>
      <c r="P1312" s="65" t="n"/>
      <c r="Q1312">
        <f>IF(1307&gt;Calc!$AQ$368,"",MATCH(1306,Calc!$AQ$2:$AQ$367,1))</f>
        <v/>
      </c>
      <c r="R1312">
        <f>IF(Q1312="","",SMALL(INDEX(Calc!$B$2:$AO$367,Q1312,0),1307-INDEX(Calc!$AQ$2:$AQ$367,Q1312)))</f>
        <v/>
      </c>
    </row>
    <row r="1313">
      <c r="B1313" s="71">
        <f>IF(R1313="","",1308)</f>
        <v/>
      </c>
      <c r="C1313" s="75">
        <f>IF(R1313="","",IF(INDEX('Recurring Schedule'!$C$6:$C$45,R1313)="","",INDEX('Recurring Schedule'!$C$6:$C$45,R1313)))</f>
        <v/>
      </c>
      <c r="D1313" s="73">
        <f>IF(R1313="","",IF(INDEX('Recurring Schedule'!$D$6:$D$45,R1313)="","",INDEX('Recurring Schedule'!$D$6:$D$45,R1313)))</f>
        <v/>
      </c>
      <c r="E1313" s="76">
        <f>IF(Q1313="","",INDEX(Calc!$A$2:$A$367,Q1313))</f>
        <v/>
      </c>
      <c r="F1313" s="72">
        <f>IF(OR(C1313="",E1313=""),"",E1313-Setup!$D$7)</f>
        <v/>
      </c>
      <c r="G1313" s="77">
        <f>IF(R1313="","",IF(INDEX('Recurring Schedule'!$H$6:$H$45,R1313)="","",INDEX('Recurring Schedule'!$H$6:$H$45,R1313)))</f>
        <v/>
      </c>
      <c r="H1313" s="77">
        <f>IF(R1313="","",IF(INDEX('Recurring Schedule'!$I$6:$I$45,R1313)="","",INDEX('Recurring Schedule'!$I$6:$I$45,R1313)))</f>
        <v/>
      </c>
      <c r="I1313" s="73">
        <f>IF(OR(G1313="",H1313=""),"",TRIM(IF(HOUR(H1313-G1313)&gt;0,HOUR(H1313-G1313)&amp;" hr ","")&amp;IF(MINUTE(H1313-G1313)&gt;0,MINUTE(H1313-G1313)&amp;" min","")))</f>
        <v/>
      </c>
      <c r="J1313" s="66" t="n"/>
      <c r="K1313" s="70" t="n"/>
      <c r="L1313" s="73">
        <f>IF(R1313="","",IF(INDEX('Recurring Schedule'!$J$6:$J$45,R1313)="","",INDEX('Recurring Schedule'!$J$6:$J$45,R1313)))</f>
        <v/>
      </c>
      <c r="M1313" s="73">
        <f>IF(R1313="","",IF(INDEX('Recurring Schedule'!$K$6:$K$45,R1313)="","",INDEX('Recurring Schedule'!$K$6:$K$45,R1313)))</f>
        <v/>
      </c>
      <c r="N1313" s="73">
        <f>IF(R1313="","",IF(INDEX('Recurring Schedule'!$L$6:$L$45,R1313)="","",INDEX('Recurring Schedule'!$L$6:$L$45,R1313)))</f>
        <v/>
      </c>
      <c r="O1313" s="73">
        <f>IF(C1313="","",IF(AND(OR(L1313="1-Urgent",L1313="2-High"),M1313="✓"),"DO FIRST",IF(M1313="✓","SCHEDULE",IF(OR(L1313="1-Urgent",L1313="2-High"),"DELEGATE","DELETE"))))</f>
        <v/>
      </c>
      <c r="P1313" s="65" t="n"/>
      <c r="Q1313">
        <f>IF(1308&gt;Calc!$AQ$368,"",MATCH(1307,Calc!$AQ$2:$AQ$367,1))</f>
        <v/>
      </c>
      <c r="R1313">
        <f>IF(Q1313="","",SMALL(INDEX(Calc!$B$2:$AO$367,Q1313,0),1308-INDEX(Calc!$AQ$2:$AQ$367,Q1313)))</f>
        <v/>
      </c>
    </row>
    <row r="1314">
      <c r="B1314" s="64">
        <f>IF(R1314="","",1309)</f>
        <v/>
      </c>
      <c r="C1314" s="37">
        <f>IF(R1314="","",IF(INDEX('Recurring Schedule'!$C$6:$C$45,R1314)="","",INDEX('Recurring Schedule'!$C$6:$C$45,R1314)))</f>
        <v/>
      </c>
      <c r="D1314" s="36">
        <f>IF(R1314="","",IF(INDEX('Recurring Schedule'!$D$6:$D$45,R1314)="","",INDEX('Recurring Schedule'!$D$6:$D$45,R1314)))</f>
        <v/>
      </c>
      <c r="E1314" s="38">
        <f>IF(Q1314="","",INDEX(Calc!$A$2:$A$367,Q1314))</f>
        <v/>
      </c>
      <c r="F1314" s="68">
        <f>IF(OR(C1314="",E1314=""),"",E1314-Setup!$D$7)</f>
        <v/>
      </c>
      <c r="G1314" s="74">
        <f>IF(R1314="","",IF(INDEX('Recurring Schedule'!$H$6:$H$45,R1314)="","",INDEX('Recurring Schedule'!$H$6:$H$45,R1314)))</f>
        <v/>
      </c>
      <c r="H1314" s="74">
        <f>IF(R1314="","",IF(INDEX('Recurring Schedule'!$I$6:$I$45,R1314)="","",INDEX('Recurring Schedule'!$I$6:$I$45,R1314)))</f>
        <v/>
      </c>
      <c r="I1314" s="36">
        <f>IF(OR(G1314="",H1314=""),"",TRIM(IF(HOUR(H1314-G1314)&gt;0,HOUR(H1314-G1314)&amp;" hr ","")&amp;IF(MINUTE(H1314-G1314)&gt;0,MINUTE(H1314-G1314)&amp;" min","")))</f>
        <v/>
      </c>
      <c r="J1314" s="66" t="n"/>
      <c r="K1314" s="70" t="n"/>
      <c r="L1314" s="36">
        <f>IF(R1314="","",IF(INDEX('Recurring Schedule'!$J$6:$J$45,R1314)="","",INDEX('Recurring Schedule'!$J$6:$J$45,R1314)))</f>
        <v/>
      </c>
      <c r="M1314" s="36">
        <f>IF(R1314="","",IF(INDEX('Recurring Schedule'!$K$6:$K$45,R1314)="","",INDEX('Recurring Schedule'!$K$6:$K$45,R1314)))</f>
        <v/>
      </c>
      <c r="N1314" s="36">
        <f>IF(R1314="","",IF(INDEX('Recurring Schedule'!$L$6:$L$45,R1314)="","",INDEX('Recurring Schedule'!$L$6:$L$45,R1314)))</f>
        <v/>
      </c>
      <c r="O1314" s="36">
        <f>IF(C1314="","",IF(AND(OR(L1314="1-Urgent",L1314="2-High"),M1314="✓"),"DO FIRST",IF(M1314="✓","SCHEDULE",IF(OR(L1314="1-Urgent",L1314="2-High"),"DELEGATE","DELETE"))))</f>
        <v/>
      </c>
      <c r="P1314" s="65" t="n"/>
      <c r="Q1314">
        <f>IF(1309&gt;Calc!$AQ$368,"",MATCH(1308,Calc!$AQ$2:$AQ$367,1))</f>
        <v/>
      </c>
      <c r="R1314">
        <f>IF(Q1314="","",SMALL(INDEX(Calc!$B$2:$AO$367,Q1314,0),1309-INDEX(Calc!$AQ$2:$AQ$367,Q1314)))</f>
        <v/>
      </c>
    </row>
    <row r="1315">
      <c r="B1315" s="71">
        <f>IF(R1315="","",1310)</f>
        <v/>
      </c>
      <c r="C1315" s="75">
        <f>IF(R1315="","",IF(INDEX('Recurring Schedule'!$C$6:$C$45,R1315)="","",INDEX('Recurring Schedule'!$C$6:$C$45,R1315)))</f>
        <v/>
      </c>
      <c r="D1315" s="73">
        <f>IF(R1315="","",IF(INDEX('Recurring Schedule'!$D$6:$D$45,R1315)="","",INDEX('Recurring Schedule'!$D$6:$D$45,R1315)))</f>
        <v/>
      </c>
      <c r="E1315" s="76">
        <f>IF(Q1315="","",INDEX(Calc!$A$2:$A$367,Q1315))</f>
        <v/>
      </c>
      <c r="F1315" s="72">
        <f>IF(OR(C1315="",E1315=""),"",E1315-Setup!$D$7)</f>
        <v/>
      </c>
      <c r="G1315" s="77">
        <f>IF(R1315="","",IF(INDEX('Recurring Schedule'!$H$6:$H$45,R1315)="","",INDEX('Recurring Schedule'!$H$6:$H$45,R1315)))</f>
        <v/>
      </c>
      <c r="H1315" s="77">
        <f>IF(R1315="","",IF(INDEX('Recurring Schedule'!$I$6:$I$45,R1315)="","",INDEX('Recurring Schedule'!$I$6:$I$45,R1315)))</f>
        <v/>
      </c>
      <c r="I1315" s="73">
        <f>IF(OR(G1315="",H1315=""),"",TRIM(IF(HOUR(H1315-G1315)&gt;0,HOUR(H1315-G1315)&amp;" hr ","")&amp;IF(MINUTE(H1315-G1315)&gt;0,MINUTE(H1315-G1315)&amp;" min","")))</f>
        <v/>
      </c>
      <c r="J1315" s="66" t="n"/>
      <c r="K1315" s="70" t="n"/>
      <c r="L1315" s="73">
        <f>IF(R1315="","",IF(INDEX('Recurring Schedule'!$J$6:$J$45,R1315)="","",INDEX('Recurring Schedule'!$J$6:$J$45,R1315)))</f>
        <v/>
      </c>
      <c r="M1315" s="73">
        <f>IF(R1315="","",IF(INDEX('Recurring Schedule'!$K$6:$K$45,R1315)="","",INDEX('Recurring Schedule'!$K$6:$K$45,R1315)))</f>
        <v/>
      </c>
      <c r="N1315" s="73">
        <f>IF(R1315="","",IF(INDEX('Recurring Schedule'!$L$6:$L$45,R1315)="","",INDEX('Recurring Schedule'!$L$6:$L$45,R1315)))</f>
        <v/>
      </c>
      <c r="O1315" s="73">
        <f>IF(C1315="","",IF(AND(OR(L1315="1-Urgent",L1315="2-High"),M1315="✓"),"DO FIRST",IF(M1315="✓","SCHEDULE",IF(OR(L1315="1-Urgent",L1315="2-High"),"DELEGATE","DELETE"))))</f>
        <v/>
      </c>
      <c r="P1315" s="65" t="n"/>
      <c r="Q1315">
        <f>IF(1310&gt;Calc!$AQ$368,"",MATCH(1309,Calc!$AQ$2:$AQ$367,1))</f>
        <v/>
      </c>
      <c r="R1315">
        <f>IF(Q1315="","",SMALL(INDEX(Calc!$B$2:$AO$367,Q1315,0),1310-INDEX(Calc!$AQ$2:$AQ$367,Q1315)))</f>
        <v/>
      </c>
    </row>
    <row r="1316">
      <c r="B1316" s="64">
        <f>IF(R1316="","",1311)</f>
        <v/>
      </c>
      <c r="C1316" s="37">
        <f>IF(R1316="","",IF(INDEX('Recurring Schedule'!$C$6:$C$45,R1316)="","",INDEX('Recurring Schedule'!$C$6:$C$45,R1316)))</f>
        <v/>
      </c>
      <c r="D1316" s="36">
        <f>IF(R1316="","",IF(INDEX('Recurring Schedule'!$D$6:$D$45,R1316)="","",INDEX('Recurring Schedule'!$D$6:$D$45,R1316)))</f>
        <v/>
      </c>
      <c r="E1316" s="38">
        <f>IF(Q1316="","",INDEX(Calc!$A$2:$A$367,Q1316))</f>
        <v/>
      </c>
      <c r="F1316" s="68">
        <f>IF(OR(C1316="",E1316=""),"",E1316-Setup!$D$7)</f>
        <v/>
      </c>
      <c r="G1316" s="74">
        <f>IF(R1316="","",IF(INDEX('Recurring Schedule'!$H$6:$H$45,R1316)="","",INDEX('Recurring Schedule'!$H$6:$H$45,R1316)))</f>
        <v/>
      </c>
      <c r="H1316" s="74">
        <f>IF(R1316="","",IF(INDEX('Recurring Schedule'!$I$6:$I$45,R1316)="","",INDEX('Recurring Schedule'!$I$6:$I$45,R1316)))</f>
        <v/>
      </c>
      <c r="I1316" s="36">
        <f>IF(OR(G1316="",H1316=""),"",TRIM(IF(HOUR(H1316-G1316)&gt;0,HOUR(H1316-G1316)&amp;" hr ","")&amp;IF(MINUTE(H1316-G1316)&gt;0,MINUTE(H1316-G1316)&amp;" min","")))</f>
        <v/>
      </c>
      <c r="J1316" s="66" t="n"/>
      <c r="K1316" s="70" t="n"/>
      <c r="L1316" s="36">
        <f>IF(R1316="","",IF(INDEX('Recurring Schedule'!$J$6:$J$45,R1316)="","",INDEX('Recurring Schedule'!$J$6:$J$45,R1316)))</f>
        <v/>
      </c>
      <c r="M1316" s="36">
        <f>IF(R1316="","",IF(INDEX('Recurring Schedule'!$K$6:$K$45,R1316)="","",INDEX('Recurring Schedule'!$K$6:$K$45,R1316)))</f>
        <v/>
      </c>
      <c r="N1316" s="36">
        <f>IF(R1316="","",IF(INDEX('Recurring Schedule'!$L$6:$L$45,R1316)="","",INDEX('Recurring Schedule'!$L$6:$L$45,R1316)))</f>
        <v/>
      </c>
      <c r="O1316" s="36">
        <f>IF(C1316="","",IF(AND(OR(L1316="1-Urgent",L1316="2-High"),M1316="✓"),"DO FIRST",IF(M1316="✓","SCHEDULE",IF(OR(L1316="1-Urgent",L1316="2-High"),"DELEGATE","DELETE"))))</f>
        <v/>
      </c>
      <c r="P1316" s="65" t="n"/>
      <c r="Q1316">
        <f>IF(1311&gt;Calc!$AQ$368,"",MATCH(1310,Calc!$AQ$2:$AQ$367,1))</f>
        <v/>
      </c>
      <c r="R1316">
        <f>IF(Q1316="","",SMALL(INDEX(Calc!$B$2:$AO$367,Q1316,0),1311-INDEX(Calc!$AQ$2:$AQ$367,Q1316)))</f>
        <v/>
      </c>
    </row>
    <row r="1317">
      <c r="B1317" s="71">
        <f>IF(R1317="","",1312)</f>
        <v/>
      </c>
      <c r="C1317" s="75">
        <f>IF(R1317="","",IF(INDEX('Recurring Schedule'!$C$6:$C$45,R1317)="","",INDEX('Recurring Schedule'!$C$6:$C$45,R1317)))</f>
        <v/>
      </c>
      <c r="D1317" s="73">
        <f>IF(R1317="","",IF(INDEX('Recurring Schedule'!$D$6:$D$45,R1317)="","",INDEX('Recurring Schedule'!$D$6:$D$45,R1317)))</f>
        <v/>
      </c>
      <c r="E1317" s="76">
        <f>IF(Q1317="","",INDEX(Calc!$A$2:$A$367,Q1317))</f>
        <v/>
      </c>
      <c r="F1317" s="72">
        <f>IF(OR(C1317="",E1317=""),"",E1317-Setup!$D$7)</f>
        <v/>
      </c>
      <c r="G1317" s="77">
        <f>IF(R1317="","",IF(INDEX('Recurring Schedule'!$H$6:$H$45,R1317)="","",INDEX('Recurring Schedule'!$H$6:$H$45,R1317)))</f>
        <v/>
      </c>
      <c r="H1317" s="77">
        <f>IF(R1317="","",IF(INDEX('Recurring Schedule'!$I$6:$I$45,R1317)="","",INDEX('Recurring Schedule'!$I$6:$I$45,R1317)))</f>
        <v/>
      </c>
      <c r="I1317" s="73">
        <f>IF(OR(G1317="",H1317=""),"",TRIM(IF(HOUR(H1317-G1317)&gt;0,HOUR(H1317-G1317)&amp;" hr ","")&amp;IF(MINUTE(H1317-G1317)&gt;0,MINUTE(H1317-G1317)&amp;" min","")))</f>
        <v/>
      </c>
      <c r="J1317" s="66" t="n"/>
      <c r="K1317" s="70" t="n"/>
      <c r="L1317" s="73">
        <f>IF(R1317="","",IF(INDEX('Recurring Schedule'!$J$6:$J$45,R1317)="","",INDEX('Recurring Schedule'!$J$6:$J$45,R1317)))</f>
        <v/>
      </c>
      <c r="M1317" s="73">
        <f>IF(R1317="","",IF(INDEX('Recurring Schedule'!$K$6:$K$45,R1317)="","",INDEX('Recurring Schedule'!$K$6:$K$45,R1317)))</f>
        <v/>
      </c>
      <c r="N1317" s="73">
        <f>IF(R1317="","",IF(INDEX('Recurring Schedule'!$L$6:$L$45,R1317)="","",INDEX('Recurring Schedule'!$L$6:$L$45,R1317)))</f>
        <v/>
      </c>
      <c r="O1317" s="73">
        <f>IF(C1317="","",IF(AND(OR(L1317="1-Urgent",L1317="2-High"),M1317="✓"),"DO FIRST",IF(M1317="✓","SCHEDULE",IF(OR(L1317="1-Urgent",L1317="2-High"),"DELEGATE","DELETE"))))</f>
        <v/>
      </c>
      <c r="P1317" s="65" t="n"/>
      <c r="Q1317">
        <f>IF(1312&gt;Calc!$AQ$368,"",MATCH(1311,Calc!$AQ$2:$AQ$367,1))</f>
        <v/>
      </c>
      <c r="R1317">
        <f>IF(Q1317="","",SMALL(INDEX(Calc!$B$2:$AO$367,Q1317,0),1312-INDEX(Calc!$AQ$2:$AQ$367,Q1317)))</f>
        <v/>
      </c>
    </row>
    <row r="1318">
      <c r="B1318" s="64">
        <f>IF(R1318="","",1313)</f>
        <v/>
      </c>
      <c r="C1318" s="37">
        <f>IF(R1318="","",IF(INDEX('Recurring Schedule'!$C$6:$C$45,R1318)="","",INDEX('Recurring Schedule'!$C$6:$C$45,R1318)))</f>
        <v/>
      </c>
      <c r="D1318" s="36">
        <f>IF(R1318="","",IF(INDEX('Recurring Schedule'!$D$6:$D$45,R1318)="","",INDEX('Recurring Schedule'!$D$6:$D$45,R1318)))</f>
        <v/>
      </c>
      <c r="E1318" s="38">
        <f>IF(Q1318="","",INDEX(Calc!$A$2:$A$367,Q1318))</f>
        <v/>
      </c>
      <c r="F1318" s="68">
        <f>IF(OR(C1318="",E1318=""),"",E1318-Setup!$D$7)</f>
        <v/>
      </c>
      <c r="G1318" s="74">
        <f>IF(R1318="","",IF(INDEX('Recurring Schedule'!$H$6:$H$45,R1318)="","",INDEX('Recurring Schedule'!$H$6:$H$45,R1318)))</f>
        <v/>
      </c>
      <c r="H1318" s="74">
        <f>IF(R1318="","",IF(INDEX('Recurring Schedule'!$I$6:$I$45,R1318)="","",INDEX('Recurring Schedule'!$I$6:$I$45,R1318)))</f>
        <v/>
      </c>
      <c r="I1318" s="36">
        <f>IF(OR(G1318="",H1318=""),"",TRIM(IF(HOUR(H1318-G1318)&gt;0,HOUR(H1318-G1318)&amp;" hr ","")&amp;IF(MINUTE(H1318-G1318)&gt;0,MINUTE(H1318-G1318)&amp;" min","")))</f>
        <v/>
      </c>
      <c r="J1318" s="66" t="n"/>
      <c r="K1318" s="70" t="n"/>
      <c r="L1318" s="36">
        <f>IF(R1318="","",IF(INDEX('Recurring Schedule'!$J$6:$J$45,R1318)="","",INDEX('Recurring Schedule'!$J$6:$J$45,R1318)))</f>
        <v/>
      </c>
      <c r="M1318" s="36">
        <f>IF(R1318="","",IF(INDEX('Recurring Schedule'!$K$6:$K$45,R1318)="","",INDEX('Recurring Schedule'!$K$6:$K$45,R1318)))</f>
        <v/>
      </c>
      <c r="N1318" s="36">
        <f>IF(R1318="","",IF(INDEX('Recurring Schedule'!$L$6:$L$45,R1318)="","",INDEX('Recurring Schedule'!$L$6:$L$45,R1318)))</f>
        <v/>
      </c>
      <c r="O1318" s="36">
        <f>IF(C1318="","",IF(AND(OR(L1318="1-Urgent",L1318="2-High"),M1318="✓"),"DO FIRST",IF(M1318="✓","SCHEDULE",IF(OR(L1318="1-Urgent",L1318="2-High"),"DELEGATE","DELETE"))))</f>
        <v/>
      </c>
      <c r="P1318" s="65" t="n"/>
      <c r="Q1318">
        <f>IF(1313&gt;Calc!$AQ$368,"",MATCH(1312,Calc!$AQ$2:$AQ$367,1))</f>
        <v/>
      </c>
      <c r="R1318">
        <f>IF(Q1318="","",SMALL(INDEX(Calc!$B$2:$AO$367,Q1318,0),1313-INDEX(Calc!$AQ$2:$AQ$367,Q1318)))</f>
        <v/>
      </c>
    </row>
    <row r="1319">
      <c r="B1319" s="71">
        <f>IF(R1319="","",1314)</f>
        <v/>
      </c>
      <c r="C1319" s="75">
        <f>IF(R1319="","",IF(INDEX('Recurring Schedule'!$C$6:$C$45,R1319)="","",INDEX('Recurring Schedule'!$C$6:$C$45,R1319)))</f>
        <v/>
      </c>
      <c r="D1319" s="73">
        <f>IF(R1319="","",IF(INDEX('Recurring Schedule'!$D$6:$D$45,R1319)="","",INDEX('Recurring Schedule'!$D$6:$D$45,R1319)))</f>
        <v/>
      </c>
      <c r="E1319" s="76">
        <f>IF(Q1319="","",INDEX(Calc!$A$2:$A$367,Q1319))</f>
        <v/>
      </c>
      <c r="F1319" s="72">
        <f>IF(OR(C1319="",E1319=""),"",E1319-Setup!$D$7)</f>
        <v/>
      </c>
      <c r="G1319" s="77">
        <f>IF(R1319="","",IF(INDEX('Recurring Schedule'!$H$6:$H$45,R1319)="","",INDEX('Recurring Schedule'!$H$6:$H$45,R1319)))</f>
        <v/>
      </c>
      <c r="H1319" s="77">
        <f>IF(R1319="","",IF(INDEX('Recurring Schedule'!$I$6:$I$45,R1319)="","",INDEX('Recurring Schedule'!$I$6:$I$45,R1319)))</f>
        <v/>
      </c>
      <c r="I1319" s="73">
        <f>IF(OR(G1319="",H1319=""),"",TRIM(IF(HOUR(H1319-G1319)&gt;0,HOUR(H1319-G1319)&amp;" hr ","")&amp;IF(MINUTE(H1319-G1319)&gt;0,MINUTE(H1319-G1319)&amp;" min","")))</f>
        <v/>
      </c>
      <c r="J1319" s="66" t="n"/>
      <c r="K1319" s="70" t="n"/>
      <c r="L1319" s="73">
        <f>IF(R1319="","",IF(INDEX('Recurring Schedule'!$J$6:$J$45,R1319)="","",INDEX('Recurring Schedule'!$J$6:$J$45,R1319)))</f>
        <v/>
      </c>
      <c r="M1319" s="73">
        <f>IF(R1319="","",IF(INDEX('Recurring Schedule'!$K$6:$K$45,R1319)="","",INDEX('Recurring Schedule'!$K$6:$K$45,R1319)))</f>
        <v/>
      </c>
      <c r="N1319" s="73">
        <f>IF(R1319="","",IF(INDEX('Recurring Schedule'!$L$6:$L$45,R1319)="","",INDEX('Recurring Schedule'!$L$6:$L$45,R1319)))</f>
        <v/>
      </c>
      <c r="O1319" s="73">
        <f>IF(C1319="","",IF(AND(OR(L1319="1-Urgent",L1319="2-High"),M1319="✓"),"DO FIRST",IF(M1319="✓","SCHEDULE",IF(OR(L1319="1-Urgent",L1319="2-High"),"DELEGATE","DELETE"))))</f>
        <v/>
      </c>
      <c r="P1319" s="65" t="n"/>
      <c r="Q1319">
        <f>IF(1314&gt;Calc!$AQ$368,"",MATCH(1313,Calc!$AQ$2:$AQ$367,1))</f>
        <v/>
      </c>
      <c r="R1319">
        <f>IF(Q1319="","",SMALL(INDEX(Calc!$B$2:$AO$367,Q1319,0),1314-INDEX(Calc!$AQ$2:$AQ$367,Q1319)))</f>
        <v/>
      </c>
    </row>
    <row r="1320">
      <c r="B1320" s="64">
        <f>IF(R1320="","",1315)</f>
        <v/>
      </c>
      <c r="C1320" s="37">
        <f>IF(R1320="","",IF(INDEX('Recurring Schedule'!$C$6:$C$45,R1320)="","",INDEX('Recurring Schedule'!$C$6:$C$45,R1320)))</f>
        <v/>
      </c>
      <c r="D1320" s="36">
        <f>IF(R1320="","",IF(INDEX('Recurring Schedule'!$D$6:$D$45,R1320)="","",INDEX('Recurring Schedule'!$D$6:$D$45,R1320)))</f>
        <v/>
      </c>
      <c r="E1320" s="38">
        <f>IF(Q1320="","",INDEX(Calc!$A$2:$A$367,Q1320))</f>
        <v/>
      </c>
      <c r="F1320" s="68">
        <f>IF(OR(C1320="",E1320=""),"",E1320-Setup!$D$7)</f>
        <v/>
      </c>
      <c r="G1320" s="74">
        <f>IF(R1320="","",IF(INDEX('Recurring Schedule'!$H$6:$H$45,R1320)="","",INDEX('Recurring Schedule'!$H$6:$H$45,R1320)))</f>
        <v/>
      </c>
      <c r="H1320" s="74">
        <f>IF(R1320="","",IF(INDEX('Recurring Schedule'!$I$6:$I$45,R1320)="","",INDEX('Recurring Schedule'!$I$6:$I$45,R1320)))</f>
        <v/>
      </c>
      <c r="I1320" s="36">
        <f>IF(OR(G1320="",H1320=""),"",TRIM(IF(HOUR(H1320-G1320)&gt;0,HOUR(H1320-G1320)&amp;" hr ","")&amp;IF(MINUTE(H1320-G1320)&gt;0,MINUTE(H1320-G1320)&amp;" min","")))</f>
        <v/>
      </c>
      <c r="J1320" s="66" t="n"/>
      <c r="K1320" s="70" t="n"/>
      <c r="L1320" s="36">
        <f>IF(R1320="","",IF(INDEX('Recurring Schedule'!$J$6:$J$45,R1320)="","",INDEX('Recurring Schedule'!$J$6:$J$45,R1320)))</f>
        <v/>
      </c>
      <c r="M1320" s="36">
        <f>IF(R1320="","",IF(INDEX('Recurring Schedule'!$K$6:$K$45,R1320)="","",INDEX('Recurring Schedule'!$K$6:$K$45,R1320)))</f>
        <v/>
      </c>
      <c r="N1320" s="36">
        <f>IF(R1320="","",IF(INDEX('Recurring Schedule'!$L$6:$L$45,R1320)="","",INDEX('Recurring Schedule'!$L$6:$L$45,R1320)))</f>
        <v/>
      </c>
      <c r="O1320" s="36">
        <f>IF(C1320="","",IF(AND(OR(L1320="1-Urgent",L1320="2-High"),M1320="✓"),"DO FIRST",IF(M1320="✓","SCHEDULE",IF(OR(L1320="1-Urgent",L1320="2-High"),"DELEGATE","DELETE"))))</f>
        <v/>
      </c>
      <c r="P1320" s="65" t="n"/>
      <c r="Q1320">
        <f>IF(1315&gt;Calc!$AQ$368,"",MATCH(1314,Calc!$AQ$2:$AQ$367,1))</f>
        <v/>
      </c>
      <c r="R1320">
        <f>IF(Q1320="","",SMALL(INDEX(Calc!$B$2:$AO$367,Q1320,0),1315-INDEX(Calc!$AQ$2:$AQ$367,Q1320)))</f>
        <v/>
      </c>
    </row>
    <row r="1321">
      <c r="B1321" s="71">
        <f>IF(R1321="","",1316)</f>
        <v/>
      </c>
      <c r="C1321" s="75">
        <f>IF(R1321="","",IF(INDEX('Recurring Schedule'!$C$6:$C$45,R1321)="","",INDEX('Recurring Schedule'!$C$6:$C$45,R1321)))</f>
        <v/>
      </c>
      <c r="D1321" s="73">
        <f>IF(R1321="","",IF(INDEX('Recurring Schedule'!$D$6:$D$45,R1321)="","",INDEX('Recurring Schedule'!$D$6:$D$45,R1321)))</f>
        <v/>
      </c>
      <c r="E1321" s="76">
        <f>IF(Q1321="","",INDEX(Calc!$A$2:$A$367,Q1321))</f>
        <v/>
      </c>
      <c r="F1321" s="72">
        <f>IF(OR(C1321="",E1321=""),"",E1321-Setup!$D$7)</f>
        <v/>
      </c>
      <c r="G1321" s="77">
        <f>IF(R1321="","",IF(INDEX('Recurring Schedule'!$H$6:$H$45,R1321)="","",INDEX('Recurring Schedule'!$H$6:$H$45,R1321)))</f>
        <v/>
      </c>
      <c r="H1321" s="77">
        <f>IF(R1321="","",IF(INDEX('Recurring Schedule'!$I$6:$I$45,R1321)="","",INDEX('Recurring Schedule'!$I$6:$I$45,R1321)))</f>
        <v/>
      </c>
      <c r="I1321" s="73">
        <f>IF(OR(G1321="",H1321=""),"",TRIM(IF(HOUR(H1321-G1321)&gt;0,HOUR(H1321-G1321)&amp;" hr ","")&amp;IF(MINUTE(H1321-G1321)&gt;0,MINUTE(H1321-G1321)&amp;" min","")))</f>
        <v/>
      </c>
      <c r="J1321" s="66" t="n"/>
      <c r="K1321" s="70" t="n"/>
      <c r="L1321" s="73">
        <f>IF(R1321="","",IF(INDEX('Recurring Schedule'!$J$6:$J$45,R1321)="","",INDEX('Recurring Schedule'!$J$6:$J$45,R1321)))</f>
        <v/>
      </c>
      <c r="M1321" s="73">
        <f>IF(R1321="","",IF(INDEX('Recurring Schedule'!$K$6:$K$45,R1321)="","",INDEX('Recurring Schedule'!$K$6:$K$45,R1321)))</f>
        <v/>
      </c>
      <c r="N1321" s="73">
        <f>IF(R1321="","",IF(INDEX('Recurring Schedule'!$L$6:$L$45,R1321)="","",INDEX('Recurring Schedule'!$L$6:$L$45,R1321)))</f>
        <v/>
      </c>
      <c r="O1321" s="73">
        <f>IF(C1321="","",IF(AND(OR(L1321="1-Urgent",L1321="2-High"),M1321="✓"),"DO FIRST",IF(M1321="✓","SCHEDULE",IF(OR(L1321="1-Urgent",L1321="2-High"),"DELEGATE","DELETE"))))</f>
        <v/>
      </c>
      <c r="P1321" s="65" t="n"/>
      <c r="Q1321">
        <f>IF(1316&gt;Calc!$AQ$368,"",MATCH(1315,Calc!$AQ$2:$AQ$367,1))</f>
        <v/>
      </c>
      <c r="R1321">
        <f>IF(Q1321="","",SMALL(INDEX(Calc!$B$2:$AO$367,Q1321,0),1316-INDEX(Calc!$AQ$2:$AQ$367,Q1321)))</f>
        <v/>
      </c>
    </row>
    <row r="1322">
      <c r="B1322" s="64">
        <f>IF(R1322="","",1317)</f>
        <v/>
      </c>
      <c r="C1322" s="37">
        <f>IF(R1322="","",IF(INDEX('Recurring Schedule'!$C$6:$C$45,R1322)="","",INDEX('Recurring Schedule'!$C$6:$C$45,R1322)))</f>
        <v/>
      </c>
      <c r="D1322" s="36">
        <f>IF(R1322="","",IF(INDEX('Recurring Schedule'!$D$6:$D$45,R1322)="","",INDEX('Recurring Schedule'!$D$6:$D$45,R1322)))</f>
        <v/>
      </c>
      <c r="E1322" s="38">
        <f>IF(Q1322="","",INDEX(Calc!$A$2:$A$367,Q1322))</f>
        <v/>
      </c>
      <c r="F1322" s="68">
        <f>IF(OR(C1322="",E1322=""),"",E1322-Setup!$D$7)</f>
        <v/>
      </c>
      <c r="G1322" s="74">
        <f>IF(R1322="","",IF(INDEX('Recurring Schedule'!$H$6:$H$45,R1322)="","",INDEX('Recurring Schedule'!$H$6:$H$45,R1322)))</f>
        <v/>
      </c>
      <c r="H1322" s="74">
        <f>IF(R1322="","",IF(INDEX('Recurring Schedule'!$I$6:$I$45,R1322)="","",INDEX('Recurring Schedule'!$I$6:$I$45,R1322)))</f>
        <v/>
      </c>
      <c r="I1322" s="36">
        <f>IF(OR(G1322="",H1322=""),"",TRIM(IF(HOUR(H1322-G1322)&gt;0,HOUR(H1322-G1322)&amp;" hr ","")&amp;IF(MINUTE(H1322-G1322)&gt;0,MINUTE(H1322-G1322)&amp;" min","")))</f>
        <v/>
      </c>
      <c r="J1322" s="66" t="n"/>
      <c r="K1322" s="70" t="n"/>
      <c r="L1322" s="36">
        <f>IF(R1322="","",IF(INDEX('Recurring Schedule'!$J$6:$J$45,R1322)="","",INDEX('Recurring Schedule'!$J$6:$J$45,R1322)))</f>
        <v/>
      </c>
      <c r="M1322" s="36">
        <f>IF(R1322="","",IF(INDEX('Recurring Schedule'!$K$6:$K$45,R1322)="","",INDEX('Recurring Schedule'!$K$6:$K$45,R1322)))</f>
        <v/>
      </c>
      <c r="N1322" s="36">
        <f>IF(R1322="","",IF(INDEX('Recurring Schedule'!$L$6:$L$45,R1322)="","",INDEX('Recurring Schedule'!$L$6:$L$45,R1322)))</f>
        <v/>
      </c>
      <c r="O1322" s="36">
        <f>IF(C1322="","",IF(AND(OR(L1322="1-Urgent",L1322="2-High"),M1322="✓"),"DO FIRST",IF(M1322="✓","SCHEDULE",IF(OR(L1322="1-Urgent",L1322="2-High"),"DELEGATE","DELETE"))))</f>
        <v/>
      </c>
      <c r="P1322" s="65" t="n"/>
      <c r="Q1322">
        <f>IF(1317&gt;Calc!$AQ$368,"",MATCH(1316,Calc!$AQ$2:$AQ$367,1))</f>
        <v/>
      </c>
      <c r="R1322">
        <f>IF(Q1322="","",SMALL(INDEX(Calc!$B$2:$AO$367,Q1322,0),1317-INDEX(Calc!$AQ$2:$AQ$367,Q1322)))</f>
        <v/>
      </c>
    </row>
    <row r="1323">
      <c r="B1323" s="71">
        <f>IF(R1323="","",1318)</f>
        <v/>
      </c>
      <c r="C1323" s="75">
        <f>IF(R1323="","",IF(INDEX('Recurring Schedule'!$C$6:$C$45,R1323)="","",INDEX('Recurring Schedule'!$C$6:$C$45,R1323)))</f>
        <v/>
      </c>
      <c r="D1323" s="73">
        <f>IF(R1323="","",IF(INDEX('Recurring Schedule'!$D$6:$D$45,R1323)="","",INDEX('Recurring Schedule'!$D$6:$D$45,R1323)))</f>
        <v/>
      </c>
      <c r="E1323" s="76">
        <f>IF(Q1323="","",INDEX(Calc!$A$2:$A$367,Q1323))</f>
        <v/>
      </c>
      <c r="F1323" s="72">
        <f>IF(OR(C1323="",E1323=""),"",E1323-Setup!$D$7)</f>
        <v/>
      </c>
      <c r="G1323" s="77">
        <f>IF(R1323="","",IF(INDEX('Recurring Schedule'!$H$6:$H$45,R1323)="","",INDEX('Recurring Schedule'!$H$6:$H$45,R1323)))</f>
        <v/>
      </c>
      <c r="H1323" s="77">
        <f>IF(R1323="","",IF(INDEX('Recurring Schedule'!$I$6:$I$45,R1323)="","",INDEX('Recurring Schedule'!$I$6:$I$45,R1323)))</f>
        <v/>
      </c>
      <c r="I1323" s="73">
        <f>IF(OR(G1323="",H1323=""),"",TRIM(IF(HOUR(H1323-G1323)&gt;0,HOUR(H1323-G1323)&amp;" hr ","")&amp;IF(MINUTE(H1323-G1323)&gt;0,MINUTE(H1323-G1323)&amp;" min","")))</f>
        <v/>
      </c>
      <c r="J1323" s="66" t="n"/>
      <c r="K1323" s="70" t="n"/>
      <c r="L1323" s="73">
        <f>IF(R1323="","",IF(INDEX('Recurring Schedule'!$J$6:$J$45,R1323)="","",INDEX('Recurring Schedule'!$J$6:$J$45,R1323)))</f>
        <v/>
      </c>
      <c r="M1323" s="73">
        <f>IF(R1323="","",IF(INDEX('Recurring Schedule'!$K$6:$K$45,R1323)="","",INDEX('Recurring Schedule'!$K$6:$K$45,R1323)))</f>
        <v/>
      </c>
      <c r="N1323" s="73">
        <f>IF(R1323="","",IF(INDEX('Recurring Schedule'!$L$6:$L$45,R1323)="","",INDEX('Recurring Schedule'!$L$6:$L$45,R1323)))</f>
        <v/>
      </c>
      <c r="O1323" s="73">
        <f>IF(C1323="","",IF(AND(OR(L1323="1-Urgent",L1323="2-High"),M1323="✓"),"DO FIRST",IF(M1323="✓","SCHEDULE",IF(OR(L1323="1-Urgent",L1323="2-High"),"DELEGATE","DELETE"))))</f>
        <v/>
      </c>
      <c r="P1323" s="65" t="n"/>
      <c r="Q1323">
        <f>IF(1318&gt;Calc!$AQ$368,"",MATCH(1317,Calc!$AQ$2:$AQ$367,1))</f>
        <v/>
      </c>
      <c r="R1323">
        <f>IF(Q1323="","",SMALL(INDEX(Calc!$B$2:$AO$367,Q1323,0),1318-INDEX(Calc!$AQ$2:$AQ$367,Q1323)))</f>
        <v/>
      </c>
    </row>
    <row r="1324">
      <c r="B1324" s="64">
        <f>IF(R1324="","",1319)</f>
        <v/>
      </c>
      <c r="C1324" s="37">
        <f>IF(R1324="","",IF(INDEX('Recurring Schedule'!$C$6:$C$45,R1324)="","",INDEX('Recurring Schedule'!$C$6:$C$45,R1324)))</f>
        <v/>
      </c>
      <c r="D1324" s="36">
        <f>IF(R1324="","",IF(INDEX('Recurring Schedule'!$D$6:$D$45,R1324)="","",INDEX('Recurring Schedule'!$D$6:$D$45,R1324)))</f>
        <v/>
      </c>
      <c r="E1324" s="38">
        <f>IF(Q1324="","",INDEX(Calc!$A$2:$A$367,Q1324))</f>
        <v/>
      </c>
      <c r="F1324" s="68">
        <f>IF(OR(C1324="",E1324=""),"",E1324-Setup!$D$7)</f>
        <v/>
      </c>
      <c r="G1324" s="74">
        <f>IF(R1324="","",IF(INDEX('Recurring Schedule'!$H$6:$H$45,R1324)="","",INDEX('Recurring Schedule'!$H$6:$H$45,R1324)))</f>
        <v/>
      </c>
      <c r="H1324" s="74">
        <f>IF(R1324="","",IF(INDEX('Recurring Schedule'!$I$6:$I$45,R1324)="","",INDEX('Recurring Schedule'!$I$6:$I$45,R1324)))</f>
        <v/>
      </c>
      <c r="I1324" s="36">
        <f>IF(OR(G1324="",H1324=""),"",TRIM(IF(HOUR(H1324-G1324)&gt;0,HOUR(H1324-G1324)&amp;" hr ","")&amp;IF(MINUTE(H1324-G1324)&gt;0,MINUTE(H1324-G1324)&amp;" min","")))</f>
        <v/>
      </c>
      <c r="J1324" s="66" t="n"/>
      <c r="K1324" s="70" t="n"/>
      <c r="L1324" s="36">
        <f>IF(R1324="","",IF(INDEX('Recurring Schedule'!$J$6:$J$45,R1324)="","",INDEX('Recurring Schedule'!$J$6:$J$45,R1324)))</f>
        <v/>
      </c>
      <c r="M1324" s="36">
        <f>IF(R1324="","",IF(INDEX('Recurring Schedule'!$K$6:$K$45,R1324)="","",INDEX('Recurring Schedule'!$K$6:$K$45,R1324)))</f>
        <v/>
      </c>
      <c r="N1324" s="36">
        <f>IF(R1324="","",IF(INDEX('Recurring Schedule'!$L$6:$L$45,R1324)="","",INDEX('Recurring Schedule'!$L$6:$L$45,R1324)))</f>
        <v/>
      </c>
      <c r="O1324" s="36">
        <f>IF(C1324="","",IF(AND(OR(L1324="1-Urgent",L1324="2-High"),M1324="✓"),"DO FIRST",IF(M1324="✓","SCHEDULE",IF(OR(L1324="1-Urgent",L1324="2-High"),"DELEGATE","DELETE"))))</f>
        <v/>
      </c>
      <c r="P1324" s="65" t="n"/>
      <c r="Q1324">
        <f>IF(1319&gt;Calc!$AQ$368,"",MATCH(1318,Calc!$AQ$2:$AQ$367,1))</f>
        <v/>
      </c>
      <c r="R1324">
        <f>IF(Q1324="","",SMALL(INDEX(Calc!$B$2:$AO$367,Q1324,0),1319-INDEX(Calc!$AQ$2:$AQ$367,Q1324)))</f>
        <v/>
      </c>
    </row>
    <row r="1325">
      <c r="B1325" s="71">
        <f>IF(R1325="","",1320)</f>
        <v/>
      </c>
      <c r="C1325" s="75">
        <f>IF(R1325="","",IF(INDEX('Recurring Schedule'!$C$6:$C$45,R1325)="","",INDEX('Recurring Schedule'!$C$6:$C$45,R1325)))</f>
        <v/>
      </c>
      <c r="D1325" s="73">
        <f>IF(R1325="","",IF(INDEX('Recurring Schedule'!$D$6:$D$45,R1325)="","",INDEX('Recurring Schedule'!$D$6:$D$45,R1325)))</f>
        <v/>
      </c>
      <c r="E1325" s="76">
        <f>IF(Q1325="","",INDEX(Calc!$A$2:$A$367,Q1325))</f>
        <v/>
      </c>
      <c r="F1325" s="72">
        <f>IF(OR(C1325="",E1325=""),"",E1325-Setup!$D$7)</f>
        <v/>
      </c>
      <c r="G1325" s="77">
        <f>IF(R1325="","",IF(INDEX('Recurring Schedule'!$H$6:$H$45,R1325)="","",INDEX('Recurring Schedule'!$H$6:$H$45,R1325)))</f>
        <v/>
      </c>
      <c r="H1325" s="77">
        <f>IF(R1325="","",IF(INDEX('Recurring Schedule'!$I$6:$I$45,R1325)="","",INDEX('Recurring Schedule'!$I$6:$I$45,R1325)))</f>
        <v/>
      </c>
      <c r="I1325" s="73">
        <f>IF(OR(G1325="",H1325=""),"",TRIM(IF(HOUR(H1325-G1325)&gt;0,HOUR(H1325-G1325)&amp;" hr ","")&amp;IF(MINUTE(H1325-G1325)&gt;0,MINUTE(H1325-G1325)&amp;" min","")))</f>
        <v/>
      </c>
      <c r="J1325" s="66" t="n"/>
      <c r="K1325" s="70" t="n"/>
      <c r="L1325" s="73">
        <f>IF(R1325="","",IF(INDEX('Recurring Schedule'!$J$6:$J$45,R1325)="","",INDEX('Recurring Schedule'!$J$6:$J$45,R1325)))</f>
        <v/>
      </c>
      <c r="M1325" s="73">
        <f>IF(R1325="","",IF(INDEX('Recurring Schedule'!$K$6:$K$45,R1325)="","",INDEX('Recurring Schedule'!$K$6:$K$45,R1325)))</f>
        <v/>
      </c>
      <c r="N1325" s="73">
        <f>IF(R1325="","",IF(INDEX('Recurring Schedule'!$L$6:$L$45,R1325)="","",INDEX('Recurring Schedule'!$L$6:$L$45,R1325)))</f>
        <v/>
      </c>
      <c r="O1325" s="73">
        <f>IF(C1325="","",IF(AND(OR(L1325="1-Urgent",L1325="2-High"),M1325="✓"),"DO FIRST",IF(M1325="✓","SCHEDULE",IF(OR(L1325="1-Urgent",L1325="2-High"),"DELEGATE","DELETE"))))</f>
        <v/>
      </c>
      <c r="P1325" s="65" t="n"/>
      <c r="Q1325">
        <f>IF(1320&gt;Calc!$AQ$368,"",MATCH(1319,Calc!$AQ$2:$AQ$367,1))</f>
        <v/>
      </c>
      <c r="R1325">
        <f>IF(Q1325="","",SMALL(INDEX(Calc!$B$2:$AO$367,Q1325,0),1320-INDEX(Calc!$AQ$2:$AQ$367,Q1325)))</f>
        <v/>
      </c>
    </row>
    <row r="1326">
      <c r="B1326" s="64">
        <f>IF(R1326="","",1321)</f>
        <v/>
      </c>
      <c r="C1326" s="37">
        <f>IF(R1326="","",IF(INDEX('Recurring Schedule'!$C$6:$C$45,R1326)="","",INDEX('Recurring Schedule'!$C$6:$C$45,R1326)))</f>
        <v/>
      </c>
      <c r="D1326" s="36">
        <f>IF(R1326="","",IF(INDEX('Recurring Schedule'!$D$6:$D$45,R1326)="","",INDEX('Recurring Schedule'!$D$6:$D$45,R1326)))</f>
        <v/>
      </c>
      <c r="E1326" s="38">
        <f>IF(Q1326="","",INDEX(Calc!$A$2:$A$367,Q1326))</f>
        <v/>
      </c>
      <c r="F1326" s="68">
        <f>IF(OR(C1326="",E1326=""),"",E1326-Setup!$D$7)</f>
        <v/>
      </c>
      <c r="G1326" s="74">
        <f>IF(R1326="","",IF(INDEX('Recurring Schedule'!$H$6:$H$45,R1326)="","",INDEX('Recurring Schedule'!$H$6:$H$45,R1326)))</f>
        <v/>
      </c>
      <c r="H1326" s="74">
        <f>IF(R1326="","",IF(INDEX('Recurring Schedule'!$I$6:$I$45,R1326)="","",INDEX('Recurring Schedule'!$I$6:$I$45,R1326)))</f>
        <v/>
      </c>
      <c r="I1326" s="36">
        <f>IF(OR(G1326="",H1326=""),"",TRIM(IF(HOUR(H1326-G1326)&gt;0,HOUR(H1326-G1326)&amp;" hr ","")&amp;IF(MINUTE(H1326-G1326)&gt;0,MINUTE(H1326-G1326)&amp;" min","")))</f>
        <v/>
      </c>
      <c r="J1326" s="66" t="n"/>
      <c r="K1326" s="70" t="n"/>
      <c r="L1326" s="36">
        <f>IF(R1326="","",IF(INDEX('Recurring Schedule'!$J$6:$J$45,R1326)="","",INDEX('Recurring Schedule'!$J$6:$J$45,R1326)))</f>
        <v/>
      </c>
      <c r="M1326" s="36">
        <f>IF(R1326="","",IF(INDEX('Recurring Schedule'!$K$6:$K$45,R1326)="","",INDEX('Recurring Schedule'!$K$6:$K$45,R1326)))</f>
        <v/>
      </c>
      <c r="N1326" s="36">
        <f>IF(R1326="","",IF(INDEX('Recurring Schedule'!$L$6:$L$45,R1326)="","",INDEX('Recurring Schedule'!$L$6:$L$45,R1326)))</f>
        <v/>
      </c>
      <c r="O1326" s="36">
        <f>IF(C1326="","",IF(AND(OR(L1326="1-Urgent",L1326="2-High"),M1326="✓"),"DO FIRST",IF(M1326="✓","SCHEDULE",IF(OR(L1326="1-Urgent",L1326="2-High"),"DELEGATE","DELETE"))))</f>
        <v/>
      </c>
      <c r="P1326" s="65" t="n"/>
      <c r="Q1326">
        <f>IF(1321&gt;Calc!$AQ$368,"",MATCH(1320,Calc!$AQ$2:$AQ$367,1))</f>
        <v/>
      </c>
      <c r="R1326">
        <f>IF(Q1326="","",SMALL(INDEX(Calc!$B$2:$AO$367,Q1326,0),1321-INDEX(Calc!$AQ$2:$AQ$367,Q1326)))</f>
        <v/>
      </c>
    </row>
    <row r="1327">
      <c r="B1327" s="71">
        <f>IF(R1327="","",1322)</f>
        <v/>
      </c>
      <c r="C1327" s="75">
        <f>IF(R1327="","",IF(INDEX('Recurring Schedule'!$C$6:$C$45,R1327)="","",INDEX('Recurring Schedule'!$C$6:$C$45,R1327)))</f>
        <v/>
      </c>
      <c r="D1327" s="73">
        <f>IF(R1327="","",IF(INDEX('Recurring Schedule'!$D$6:$D$45,R1327)="","",INDEX('Recurring Schedule'!$D$6:$D$45,R1327)))</f>
        <v/>
      </c>
      <c r="E1327" s="76">
        <f>IF(Q1327="","",INDEX(Calc!$A$2:$A$367,Q1327))</f>
        <v/>
      </c>
      <c r="F1327" s="72">
        <f>IF(OR(C1327="",E1327=""),"",E1327-Setup!$D$7)</f>
        <v/>
      </c>
      <c r="G1327" s="77">
        <f>IF(R1327="","",IF(INDEX('Recurring Schedule'!$H$6:$H$45,R1327)="","",INDEX('Recurring Schedule'!$H$6:$H$45,R1327)))</f>
        <v/>
      </c>
      <c r="H1327" s="77">
        <f>IF(R1327="","",IF(INDEX('Recurring Schedule'!$I$6:$I$45,R1327)="","",INDEX('Recurring Schedule'!$I$6:$I$45,R1327)))</f>
        <v/>
      </c>
      <c r="I1327" s="73">
        <f>IF(OR(G1327="",H1327=""),"",TRIM(IF(HOUR(H1327-G1327)&gt;0,HOUR(H1327-G1327)&amp;" hr ","")&amp;IF(MINUTE(H1327-G1327)&gt;0,MINUTE(H1327-G1327)&amp;" min","")))</f>
        <v/>
      </c>
      <c r="J1327" s="66" t="n"/>
      <c r="K1327" s="70" t="n"/>
      <c r="L1327" s="73">
        <f>IF(R1327="","",IF(INDEX('Recurring Schedule'!$J$6:$J$45,R1327)="","",INDEX('Recurring Schedule'!$J$6:$J$45,R1327)))</f>
        <v/>
      </c>
      <c r="M1327" s="73">
        <f>IF(R1327="","",IF(INDEX('Recurring Schedule'!$K$6:$K$45,R1327)="","",INDEX('Recurring Schedule'!$K$6:$K$45,R1327)))</f>
        <v/>
      </c>
      <c r="N1327" s="73">
        <f>IF(R1327="","",IF(INDEX('Recurring Schedule'!$L$6:$L$45,R1327)="","",INDEX('Recurring Schedule'!$L$6:$L$45,R1327)))</f>
        <v/>
      </c>
      <c r="O1327" s="73">
        <f>IF(C1327="","",IF(AND(OR(L1327="1-Urgent",L1327="2-High"),M1327="✓"),"DO FIRST",IF(M1327="✓","SCHEDULE",IF(OR(L1327="1-Urgent",L1327="2-High"),"DELEGATE","DELETE"))))</f>
        <v/>
      </c>
      <c r="P1327" s="65" t="n"/>
      <c r="Q1327">
        <f>IF(1322&gt;Calc!$AQ$368,"",MATCH(1321,Calc!$AQ$2:$AQ$367,1))</f>
        <v/>
      </c>
      <c r="R1327">
        <f>IF(Q1327="","",SMALL(INDEX(Calc!$B$2:$AO$367,Q1327,0),1322-INDEX(Calc!$AQ$2:$AQ$367,Q1327)))</f>
        <v/>
      </c>
    </row>
    <row r="1328">
      <c r="B1328" s="64">
        <f>IF(R1328="","",1323)</f>
        <v/>
      </c>
      <c r="C1328" s="37">
        <f>IF(R1328="","",IF(INDEX('Recurring Schedule'!$C$6:$C$45,R1328)="","",INDEX('Recurring Schedule'!$C$6:$C$45,R1328)))</f>
        <v/>
      </c>
      <c r="D1328" s="36">
        <f>IF(R1328="","",IF(INDEX('Recurring Schedule'!$D$6:$D$45,R1328)="","",INDEX('Recurring Schedule'!$D$6:$D$45,R1328)))</f>
        <v/>
      </c>
      <c r="E1328" s="38">
        <f>IF(Q1328="","",INDEX(Calc!$A$2:$A$367,Q1328))</f>
        <v/>
      </c>
      <c r="F1328" s="68">
        <f>IF(OR(C1328="",E1328=""),"",E1328-Setup!$D$7)</f>
        <v/>
      </c>
      <c r="G1328" s="74">
        <f>IF(R1328="","",IF(INDEX('Recurring Schedule'!$H$6:$H$45,R1328)="","",INDEX('Recurring Schedule'!$H$6:$H$45,R1328)))</f>
        <v/>
      </c>
      <c r="H1328" s="74">
        <f>IF(R1328="","",IF(INDEX('Recurring Schedule'!$I$6:$I$45,R1328)="","",INDEX('Recurring Schedule'!$I$6:$I$45,R1328)))</f>
        <v/>
      </c>
      <c r="I1328" s="36">
        <f>IF(OR(G1328="",H1328=""),"",TRIM(IF(HOUR(H1328-G1328)&gt;0,HOUR(H1328-G1328)&amp;" hr ","")&amp;IF(MINUTE(H1328-G1328)&gt;0,MINUTE(H1328-G1328)&amp;" min","")))</f>
        <v/>
      </c>
      <c r="J1328" s="66" t="n"/>
      <c r="K1328" s="70" t="n"/>
      <c r="L1328" s="36">
        <f>IF(R1328="","",IF(INDEX('Recurring Schedule'!$J$6:$J$45,R1328)="","",INDEX('Recurring Schedule'!$J$6:$J$45,R1328)))</f>
        <v/>
      </c>
      <c r="M1328" s="36">
        <f>IF(R1328="","",IF(INDEX('Recurring Schedule'!$K$6:$K$45,R1328)="","",INDEX('Recurring Schedule'!$K$6:$K$45,R1328)))</f>
        <v/>
      </c>
      <c r="N1328" s="36">
        <f>IF(R1328="","",IF(INDEX('Recurring Schedule'!$L$6:$L$45,R1328)="","",INDEX('Recurring Schedule'!$L$6:$L$45,R1328)))</f>
        <v/>
      </c>
      <c r="O1328" s="36">
        <f>IF(C1328="","",IF(AND(OR(L1328="1-Urgent",L1328="2-High"),M1328="✓"),"DO FIRST",IF(M1328="✓","SCHEDULE",IF(OR(L1328="1-Urgent",L1328="2-High"),"DELEGATE","DELETE"))))</f>
        <v/>
      </c>
      <c r="P1328" s="65" t="n"/>
      <c r="Q1328">
        <f>IF(1323&gt;Calc!$AQ$368,"",MATCH(1322,Calc!$AQ$2:$AQ$367,1))</f>
        <v/>
      </c>
      <c r="R1328">
        <f>IF(Q1328="","",SMALL(INDEX(Calc!$B$2:$AO$367,Q1328,0),1323-INDEX(Calc!$AQ$2:$AQ$367,Q1328)))</f>
        <v/>
      </c>
    </row>
    <row r="1329">
      <c r="B1329" s="71">
        <f>IF(R1329="","",1324)</f>
        <v/>
      </c>
      <c r="C1329" s="75">
        <f>IF(R1329="","",IF(INDEX('Recurring Schedule'!$C$6:$C$45,R1329)="","",INDEX('Recurring Schedule'!$C$6:$C$45,R1329)))</f>
        <v/>
      </c>
      <c r="D1329" s="73">
        <f>IF(R1329="","",IF(INDEX('Recurring Schedule'!$D$6:$D$45,R1329)="","",INDEX('Recurring Schedule'!$D$6:$D$45,R1329)))</f>
        <v/>
      </c>
      <c r="E1329" s="76">
        <f>IF(Q1329="","",INDEX(Calc!$A$2:$A$367,Q1329))</f>
        <v/>
      </c>
      <c r="F1329" s="72">
        <f>IF(OR(C1329="",E1329=""),"",E1329-Setup!$D$7)</f>
        <v/>
      </c>
      <c r="G1329" s="77">
        <f>IF(R1329="","",IF(INDEX('Recurring Schedule'!$H$6:$H$45,R1329)="","",INDEX('Recurring Schedule'!$H$6:$H$45,R1329)))</f>
        <v/>
      </c>
      <c r="H1329" s="77">
        <f>IF(R1329="","",IF(INDEX('Recurring Schedule'!$I$6:$I$45,R1329)="","",INDEX('Recurring Schedule'!$I$6:$I$45,R1329)))</f>
        <v/>
      </c>
      <c r="I1329" s="73">
        <f>IF(OR(G1329="",H1329=""),"",TRIM(IF(HOUR(H1329-G1329)&gt;0,HOUR(H1329-G1329)&amp;" hr ","")&amp;IF(MINUTE(H1329-G1329)&gt;0,MINUTE(H1329-G1329)&amp;" min","")))</f>
        <v/>
      </c>
      <c r="J1329" s="66" t="n"/>
      <c r="K1329" s="70" t="n"/>
      <c r="L1329" s="73">
        <f>IF(R1329="","",IF(INDEX('Recurring Schedule'!$J$6:$J$45,R1329)="","",INDEX('Recurring Schedule'!$J$6:$J$45,R1329)))</f>
        <v/>
      </c>
      <c r="M1329" s="73">
        <f>IF(R1329="","",IF(INDEX('Recurring Schedule'!$K$6:$K$45,R1329)="","",INDEX('Recurring Schedule'!$K$6:$K$45,R1329)))</f>
        <v/>
      </c>
      <c r="N1329" s="73">
        <f>IF(R1329="","",IF(INDEX('Recurring Schedule'!$L$6:$L$45,R1329)="","",INDEX('Recurring Schedule'!$L$6:$L$45,R1329)))</f>
        <v/>
      </c>
      <c r="O1329" s="73">
        <f>IF(C1329="","",IF(AND(OR(L1329="1-Urgent",L1329="2-High"),M1329="✓"),"DO FIRST",IF(M1329="✓","SCHEDULE",IF(OR(L1329="1-Urgent",L1329="2-High"),"DELEGATE","DELETE"))))</f>
        <v/>
      </c>
      <c r="P1329" s="65" t="n"/>
      <c r="Q1329">
        <f>IF(1324&gt;Calc!$AQ$368,"",MATCH(1323,Calc!$AQ$2:$AQ$367,1))</f>
        <v/>
      </c>
      <c r="R1329">
        <f>IF(Q1329="","",SMALL(INDEX(Calc!$B$2:$AO$367,Q1329,0),1324-INDEX(Calc!$AQ$2:$AQ$367,Q1329)))</f>
        <v/>
      </c>
    </row>
    <row r="1330">
      <c r="B1330" s="64">
        <f>IF(R1330="","",1325)</f>
        <v/>
      </c>
      <c r="C1330" s="37">
        <f>IF(R1330="","",IF(INDEX('Recurring Schedule'!$C$6:$C$45,R1330)="","",INDEX('Recurring Schedule'!$C$6:$C$45,R1330)))</f>
        <v/>
      </c>
      <c r="D1330" s="36">
        <f>IF(R1330="","",IF(INDEX('Recurring Schedule'!$D$6:$D$45,R1330)="","",INDEX('Recurring Schedule'!$D$6:$D$45,R1330)))</f>
        <v/>
      </c>
      <c r="E1330" s="38">
        <f>IF(Q1330="","",INDEX(Calc!$A$2:$A$367,Q1330))</f>
        <v/>
      </c>
      <c r="F1330" s="68">
        <f>IF(OR(C1330="",E1330=""),"",E1330-Setup!$D$7)</f>
        <v/>
      </c>
      <c r="G1330" s="74">
        <f>IF(R1330="","",IF(INDEX('Recurring Schedule'!$H$6:$H$45,R1330)="","",INDEX('Recurring Schedule'!$H$6:$H$45,R1330)))</f>
        <v/>
      </c>
      <c r="H1330" s="74">
        <f>IF(R1330="","",IF(INDEX('Recurring Schedule'!$I$6:$I$45,R1330)="","",INDEX('Recurring Schedule'!$I$6:$I$45,R1330)))</f>
        <v/>
      </c>
      <c r="I1330" s="36">
        <f>IF(OR(G1330="",H1330=""),"",TRIM(IF(HOUR(H1330-G1330)&gt;0,HOUR(H1330-G1330)&amp;" hr ","")&amp;IF(MINUTE(H1330-G1330)&gt;0,MINUTE(H1330-G1330)&amp;" min","")))</f>
        <v/>
      </c>
      <c r="J1330" s="66" t="n"/>
      <c r="K1330" s="70" t="n"/>
      <c r="L1330" s="36">
        <f>IF(R1330="","",IF(INDEX('Recurring Schedule'!$J$6:$J$45,R1330)="","",INDEX('Recurring Schedule'!$J$6:$J$45,R1330)))</f>
        <v/>
      </c>
      <c r="M1330" s="36">
        <f>IF(R1330="","",IF(INDEX('Recurring Schedule'!$K$6:$K$45,R1330)="","",INDEX('Recurring Schedule'!$K$6:$K$45,R1330)))</f>
        <v/>
      </c>
      <c r="N1330" s="36">
        <f>IF(R1330="","",IF(INDEX('Recurring Schedule'!$L$6:$L$45,R1330)="","",INDEX('Recurring Schedule'!$L$6:$L$45,R1330)))</f>
        <v/>
      </c>
      <c r="O1330" s="36">
        <f>IF(C1330="","",IF(AND(OR(L1330="1-Urgent",L1330="2-High"),M1330="✓"),"DO FIRST",IF(M1330="✓","SCHEDULE",IF(OR(L1330="1-Urgent",L1330="2-High"),"DELEGATE","DELETE"))))</f>
        <v/>
      </c>
      <c r="P1330" s="65" t="n"/>
      <c r="Q1330">
        <f>IF(1325&gt;Calc!$AQ$368,"",MATCH(1324,Calc!$AQ$2:$AQ$367,1))</f>
        <v/>
      </c>
      <c r="R1330">
        <f>IF(Q1330="","",SMALL(INDEX(Calc!$B$2:$AO$367,Q1330,0),1325-INDEX(Calc!$AQ$2:$AQ$367,Q1330)))</f>
        <v/>
      </c>
    </row>
    <row r="1331">
      <c r="B1331" s="71">
        <f>IF(R1331="","",1326)</f>
        <v/>
      </c>
      <c r="C1331" s="75">
        <f>IF(R1331="","",IF(INDEX('Recurring Schedule'!$C$6:$C$45,R1331)="","",INDEX('Recurring Schedule'!$C$6:$C$45,R1331)))</f>
        <v/>
      </c>
      <c r="D1331" s="73">
        <f>IF(R1331="","",IF(INDEX('Recurring Schedule'!$D$6:$D$45,R1331)="","",INDEX('Recurring Schedule'!$D$6:$D$45,R1331)))</f>
        <v/>
      </c>
      <c r="E1331" s="76">
        <f>IF(Q1331="","",INDEX(Calc!$A$2:$A$367,Q1331))</f>
        <v/>
      </c>
      <c r="F1331" s="72">
        <f>IF(OR(C1331="",E1331=""),"",E1331-Setup!$D$7)</f>
        <v/>
      </c>
      <c r="G1331" s="77">
        <f>IF(R1331="","",IF(INDEX('Recurring Schedule'!$H$6:$H$45,R1331)="","",INDEX('Recurring Schedule'!$H$6:$H$45,R1331)))</f>
        <v/>
      </c>
      <c r="H1331" s="77">
        <f>IF(R1331="","",IF(INDEX('Recurring Schedule'!$I$6:$I$45,R1331)="","",INDEX('Recurring Schedule'!$I$6:$I$45,R1331)))</f>
        <v/>
      </c>
      <c r="I1331" s="73">
        <f>IF(OR(G1331="",H1331=""),"",TRIM(IF(HOUR(H1331-G1331)&gt;0,HOUR(H1331-G1331)&amp;" hr ","")&amp;IF(MINUTE(H1331-G1331)&gt;0,MINUTE(H1331-G1331)&amp;" min","")))</f>
        <v/>
      </c>
      <c r="J1331" s="66" t="n"/>
      <c r="K1331" s="70" t="n"/>
      <c r="L1331" s="73">
        <f>IF(R1331="","",IF(INDEX('Recurring Schedule'!$J$6:$J$45,R1331)="","",INDEX('Recurring Schedule'!$J$6:$J$45,R1331)))</f>
        <v/>
      </c>
      <c r="M1331" s="73">
        <f>IF(R1331="","",IF(INDEX('Recurring Schedule'!$K$6:$K$45,R1331)="","",INDEX('Recurring Schedule'!$K$6:$K$45,R1331)))</f>
        <v/>
      </c>
      <c r="N1331" s="73">
        <f>IF(R1331="","",IF(INDEX('Recurring Schedule'!$L$6:$L$45,R1331)="","",INDEX('Recurring Schedule'!$L$6:$L$45,R1331)))</f>
        <v/>
      </c>
      <c r="O1331" s="73">
        <f>IF(C1331="","",IF(AND(OR(L1331="1-Urgent",L1331="2-High"),M1331="✓"),"DO FIRST",IF(M1331="✓","SCHEDULE",IF(OR(L1331="1-Urgent",L1331="2-High"),"DELEGATE","DELETE"))))</f>
        <v/>
      </c>
      <c r="P1331" s="65" t="n"/>
      <c r="Q1331">
        <f>IF(1326&gt;Calc!$AQ$368,"",MATCH(1325,Calc!$AQ$2:$AQ$367,1))</f>
        <v/>
      </c>
      <c r="R1331">
        <f>IF(Q1331="","",SMALL(INDEX(Calc!$B$2:$AO$367,Q1331,0),1326-INDEX(Calc!$AQ$2:$AQ$367,Q1331)))</f>
        <v/>
      </c>
    </row>
    <row r="1332">
      <c r="B1332" s="64">
        <f>IF(R1332="","",1327)</f>
        <v/>
      </c>
      <c r="C1332" s="37">
        <f>IF(R1332="","",IF(INDEX('Recurring Schedule'!$C$6:$C$45,R1332)="","",INDEX('Recurring Schedule'!$C$6:$C$45,R1332)))</f>
        <v/>
      </c>
      <c r="D1332" s="36">
        <f>IF(R1332="","",IF(INDEX('Recurring Schedule'!$D$6:$D$45,R1332)="","",INDEX('Recurring Schedule'!$D$6:$D$45,R1332)))</f>
        <v/>
      </c>
      <c r="E1332" s="38">
        <f>IF(Q1332="","",INDEX(Calc!$A$2:$A$367,Q1332))</f>
        <v/>
      </c>
      <c r="F1332" s="68">
        <f>IF(OR(C1332="",E1332=""),"",E1332-Setup!$D$7)</f>
        <v/>
      </c>
      <c r="G1332" s="74">
        <f>IF(R1332="","",IF(INDEX('Recurring Schedule'!$H$6:$H$45,R1332)="","",INDEX('Recurring Schedule'!$H$6:$H$45,R1332)))</f>
        <v/>
      </c>
      <c r="H1332" s="74">
        <f>IF(R1332="","",IF(INDEX('Recurring Schedule'!$I$6:$I$45,R1332)="","",INDEX('Recurring Schedule'!$I$6:$I$45,R1332)))</f>
        <v/>
      </c>
      <c r="I1332" s="36">
        <f>IF(OR(G1332="",H1332=""),"",TRIM(IF(HOUR(H1332-G1332)&gt;0,HOUR(H1332-G1332)&amp;" hr ","")&amp;IF(MINUTE(H1332-G1332)&gt;0,MINUTE(H1332-G1332)&amp;" min","")))</f>
        <v/>
      </c>
      <c r="J1332" s="66" t="n"/>
      <c r="K1332" s="70" t="n"/>
      <c r="L1332" s="36">
        <f>IF(R1332="","",IF(INDEX('Recurring Schedule'!$J$6:$J$45,R1332)="","",INDEX('Recurring Schedule'!$J$6:$J$45,R1332)))</f>
        <v/>
      </c>
      <c r="M1332" s="36">
        <f>IF(R1332="","",IF(INDEX('Recurring Schedule'!$K$6:$K$45,R1332)="","",INDEX('Recurring Schedule'!$K$6:$K$45,R1332)))</f>
        <v/>
      </c>
      <c r="N1332" s="36">
        <f>IF(R1332="","",IF(INDEX('Recurring Schedule'!$L$6:$L$45,R1332)="","",INDEX('Recurring Schedule'!$L$6:$L$45,R1332)))</f>
        <v/>
      </c>
      <c r="O1332" s="36">
        <f>IF(C1332="","",IF(AND(OR(L1332="1-Urgent",L1332="2-High"),M1332="✓"),"DO FIRST",IF(M1332="✓","SCHEDULE",IF(OR(L1332="1-Urgent",L1332="2-High"),"DELEGATE","DELETE"))))</f>
        <v/>
      </c>
      <c r="P1332" s="65" t="n"/>
      <c r="Q1332">
        <f>IF(1327&gt;Calc!$AQ$368,"",MATCH(1326,Calc!$AQ$2:$AQ$367,1))</f>
        <v/>
      </c>
      <c r="R1332">
        <f>IF(Q1332="","",SMALL(INDEX(Calc!$B$2:$AO$367,Q1332,0),1327-INDEX(Calc!$AQ$2:$AQ$367,Q1332)))</f>
        <v/>
      </c>
    </row>
    <row r="1333">
      <c r="B1333" s="71">
        <f>IF(R1333="","",1328)</f>
        <v/>
      </c>
      <c r="C1333" s="75">
        <f>IF(R1333="","",IF(INDEX('Recurring Schedule'!$C$6:$C$45,R1333)="","",INDEX('Recurring Schedule'!$C$6:$C$45,R1333)))</f>
        <v/>
      </c>
      <c r="D1333" s="73">
        <f>IF(R1333="","",IF(INDEX('Recurring Schedule'!$D$6:$D$45,R1333)="","",INDEX('Recurring Schedule'!$D$6:$D$45,R1333)))</f>
        <v/>
      </c>
      <c r="E1333" s="76">
        <f>IF(Q1333="","",INDEX(Calc!$A$2:$A$367,Q1333))</f>
        <v/>
      </c>
      <c r="F1333" s="72">
        <f>IF(OR(C1333="",E1333=""),"",E1333-Setup!$D$7)</f>
        <v/>
      </c>
      <c r="G1333" s="77">
        <f>IF(R1333="","",IF(INDEX('Recurring Schedule'!$H$6:$H$45,R1333)="","",INDEX('Recurring Schedule'!$H$6:$H$45,R1333)))</f>
        <v/>
      </c>
      <c r="H1333" s="77">
        <f>IF(R1333="","",IF(INDEX('Recurring Schedule'!$I$6:$I$45,R1333)="","",INDEX('Recurring Schedule'!$I$6:$I$45,R1333)))</f>
        <v/>
      </c>
      <c r="I1333" s="73">
        <f>IF(OR(G1333="",H1333=""),"",TRIM(IF(HOUR(H1333-G1333)&gt;0,HOUR(H1333-G1333)&amp;" hr ","")&amp;IF(MINUTE(H1333-G1333)&gt;0,MINUTE(H1333-G1333)&amp;" min","")))</f>
        <v/>
      </c>
      <c r="J1333" s="66" t="n"/>
      <c r="K1333" s="70" t="n"/>
      <c r="L1333" s="73">
        <f>IF(R1333="","",IF(INDEX('Recurring Schedule'!$J$6:$J$45,R1333)="","",INDEX('Recurring Schedule'!$J$6:$J$45,R1333)))</f>
        <v/>
      </c>
      <c r="M1333" s="73">
        <f>IF(R1333="","",IF(INDEX('Recurring Schedule'!$K$6:$K$45,R1333)="","",INDEX('Recurring Schedule'!$K$6:$K$45,R1333)))</f>
        <v/>
      </c>
      <c r="N1333" s="73">
        <f>IF(R1333="","",IF(INDEX('Recurring Schedule'!$L$6:$L$45,R1333)="","",INDEX('Recurring Schedule'!$L$6:$L$45,R1333)))</f>
        <v/>
      </c>
      <c r="O1333" s="73">
        <f>IF(C1333="","",IF(AND(OR(L1333="1-Urgent",L1333="2-High"),M1333="✓"),"DO FIRST",IF(M1333="✓","SCHEDULE",IF(OR(L1333="1-Urgent",L1333="2-High"),"DELEGATE","DELETE"))))</f>
        <v/>
      </c>
      <c r="P1333" s="65" t="n"/>
      <c r="Q1333">
        <f>IF(1328&gt;Calc!$AQ$368,"",MATCH(1327,Calc!$AQ$2:$AQ$367,1))</f>
        <v/>
      </c>
      <c r="R1333">
        <f>IF(Q1333="","",SMALL(INDEX(Calc!$B$2:$AO$367,Q1333,0),1328-INDEX(Calc!$AQ$2:$AQ$367,Q1333)))</f>
        <v/>
      </c>
    </row>
    <row r="1334">
      <c r="B1334" s="64">
        <f>IF(R1334="","",1329)</f>
        <v/>
      </c>
      <c r="C1334" s="37">
        <f>IF(R1334="","",IF(INDEX('Recurring Schedule'!$C$6:$C$45,R1334)="","",INDEX('Recurring Schedule'!$C$6:$C$45,R1334)))</f>
        <v/>
      </c>
      <c r="D1334" s="36">
        <f>IF(R1334="","",IF(INDEX('Recurring Schedule'!$D$6:$D$45,R1334)="","",INDEX('Recurring Schedule'!$D$6:$D$45,R1334)))</f>
        <v/>
      </c>
      <c r="E1334" s="38">
        <f>IF(Q1334="","",INDEX(Calc!$A$2:$A$367,Q1334))</f>
        <v/>
      </c>
      <c r="F1334" s="68">
        <f>IF(OR(C1334="",E1334=""),"",E1334-Setup!$D$7)</f>
        <v/>
      </c>
      <c r="G1334" s="74">
        <f>IF(R1334="","",IF(INDEX('Recurring Schedule'!$H$6:$H$45,R1334)="","",INDEX('Recurring Schedule'!$H$6:$H$45,R1334)))</f>
        <v/>
      </c>
      <c r="H1334" s="74">
        <f>IF(R1334="","",IF(INDEX('Recurring Schedule'!$I$6:$I$45,R1334)="","",INDEX('Recurring Schedule'!$I$6:$I$45,R1334)))</f>
        <v/>
      </c>
      <c r="I1334" s="36">
        <f>IF(OR(G1334="",H1334=""),"",TRIM(IF(HOUR(H1334-G1334)&gt;0,HOUR(H1334-G1334)&amp;" hr ","")&amp;IF(MINUTE(H1334-G1334)&gt;0,MINUTE(H1334-G1334)&amp;" min","")))</f>
        <v/>
      </c>
      <c r="J1334" s="66" t="n"/>
      <c r="K1334" s="70" t="n"/>
      <c r="L1334" s="36">
        <f>IF(R1334="","",IF(INDEX('Recurring Schedule'!$J$6:$J$45,R1334)="","",INDEX('Recurring Schedule'!$J$6:$J$45,R1334)))</f>
        <v/>
      </c>
      <c r="M1334" s="36">
        <f>IF(R1334="","",IF(INDEX('Recurring Schedule'!$K$6:$K$45,R1334)="","",INDEX('Recurring Schedule'!$K$6:$K$45,R1334)))</f>
        <v/>
      </c>
      <c r="N1334" s="36">
        <f>IF(R1334="","",IF(INDEX('Recurring Schedule'!$L$6:$L$45,R1334)="","",INDEX('Recurring Schedule'!$L$6:$L$45,R1334)))</f>
        <v/>
      </c>
      <c r="O1334" s="36">
        <f>IF(C1334="","",IF(AND(OR(L1334="1-Urgent",L1334="2-High"),M1334="✓"),"DO FIRST",IF(M1334="✓","SCHEDULE",IF(OR(L1334="1-Urgent",L1334="2-High"),"DELEGATE","DELETE"))))</f>
        <v/>
      </c>
      <c r="P1334" s="65" t="n"/>
      <c r="Q1334">
        <f>IF(1329&gt;Calc!$AQ$368,"",MATCH(1328,Calc!$AQ$2:$AQ$367,1))</f>
        <v/>
      </c>
      <c r="R1334">
        <f>IF(Q1334="","",SMALL(INDEX(Calc!$B$2:$AO$367,Q1334,0),1329-INDEX(Calc!$AQ$2:$AQ$367,Q1334)))</f>
        <v/>
      </c>
    </row>
    <row r="1335">
      <c r="B1335" s="71">
        <f>IF(R1335="","",1330)</f>
        <v/>
      </c>
      <c r="C1335" s="75">
        <f>IF(R1335="","",IF(INDEX('Recurring Schedule'!$C$6:$C$45,R1335)="","",INDEX('Recurring Schedule'!$C$6:$C$45,R1335)))</f>
        <v/>
      </c>
      <c r="D1335" s="73">
        <f>IF(R1335="","",IF(INDEX('Recurring Schedule'!$D$6:$D$45,R1335)="","",INDEX('Recurring Schedule'!$D$6:$D$45,R1335)))</f>
        <v/>
      </c>
      <c r="E1335" s="76">
        <f>IF(Q1335="","",INDEX(Calc!$A$2:$A$367,Q1335))</f>
        <v/>
      </c>
      <c r="F1335" s="72">
        <f>IF(OR(C1335="",E1335=""),"",E1335-Setup!$D$7)</f>
        <v/>
      </c>
      <c r="G1335" s="77">
        <f>IF(R1335="","",IF(INDEX('Recurring Schedule'!$H$6:$H$45,R1335)="","",INDEX('Recurring Schedule'!$H$6:$H$45,R1335)))</f>
        <v/>
      </c>
      <c r="H1335" s="77">
        <f>IF(R1335="","",IF(INDEX('Recurring Schedule'!$I$6:$I$45,R1335)="","",INDEX('Recurring Schedule'!$I$6:$I$45,R1335)))</f>
        <v/>
      </c>
      <c r="I1335" s="73">
        <f>IF(OR(G1335="",H1335=""),"",TRIM(IF(HOUR(H1335-G1335)&gt;0,HOUR(H1335-G1335)&amp;" hr ","")&amp;IF(MINUTE(H1335-G1335)&gt;0,MINUTE(H1335-G1335)&amp;" min","")))</f>
        <v/>
      </c>
      <c r="J1335" s="66" t="n"/>
      <c r="K1335" s="70" t="n"/>
      <c r="L1335" s="73">
        <f>IF(R1335="","",IF(INDEX('Recurring Schedule'!$J$6:$J$45,R1335)="","",INDEX('Recurring Schedule'!$J$6:$J$45,R1335)))</f>
        <v/>
      </c>
      <c r="M1335" s="73">
        <f>IF(R1335="","",IF(INDEX('Recurring Schedule'!$K$6:$K$45,R1335)="","",INDEX('Recurring Schedule'!$K$6:$K$45,R1335)))</f>
        <v/>
      </c>
      <c r="N1335" s="73">
        <f>IF(R1335="","",IF(INDEX('Recurring Schedule'!$L$6:$L$45,R1335)="","",INDEX('Recurring Schedule'!$L$6:$L$45,R1335)))</f>
        <v/>
      </c>
      <c r="O1335" s="73">
        <f>IF(C1335="","",IF(AND(OR(L1335="1-Urgent",L1335="2-High"),M1335="✓"),"DO FIRST",IF(M1335="✓","SCHEDULE",IF(OR(L1335="1-Urgent",L1335="2-High"),"DELEGATE","DELETE"))))</f>
        <v/>
      </c>
      <c r="P1335" s="65" t="n"/>
      <c r="Q1335">
        <f>IF(1330&gt;Calc!$AQ$368,"",MATCH(1329,Calc!$AQ$2:$AQ$367,1))</f>
        <v/>
      </c>
      <c r="R1335">
        <f>IF(Q1335="","",SMALL(INDEX(Calc!$B$2:$AO$367,Q1335,0),1330-INDEX(Calc!$AQ$2:$AQ$367,Q1335)))</f>
        <v/>
      </c>
    </row>
    <row r="1336">
      <c r="B1336" s="64">
        <f>IF(R1336="","",1331)</f>
        <v/>
      </c>
      <c r="C1336" s="37">
        <f>IF(R1336="","",IF(INDEX('Recurring Schedule'!$C$6:$C$45,R1336)="","",INDEX('Recurring Schedule'!$C$6:$C$45,R1336)))</f>
        <v/>
      </c>
      <c r="D1336" s="36">
        <f>IF(R1336="","",IF(INDEX('Recurring Schedule'!$D$6:$D$45,R1336)="","",INDEX('Recurring Schedule'!$D$6:$D$45,R1336)))</f>
        <v/>
      </c>
      <c r="E1336" s="38">
        <f>IF(Q1336="","",INDEX(Calc!$A$2:$A$367,Q1336))</f>
        <v/>
      </c>
      <c r="F1336" s="68">
        <f>IF(OR(C1336="",E1336=""),"",E1336-Setup!$D$7)</f>
        <v/>
      </c>
      <c r="G1336" s="74">
        <f>IF(R1336="","",IF(INDEX('Recurring Schedule'!$H$6:$H$45,R1336)="","",INDEX('Recurring Schedule'!$H$6:$H$45,R1336)))</f>
        <v/>
      </c>
      <c r="H1336" s="74">
        <f>IF(R1336="","",IF(INDEX('Recurring Schedule'!$I$6:$I$45,R1336)="","",INDEX('Recurring Schedule'!$I$6:$I$45,R1336)))</f>
        <v/>
      </c>
      <c r="I1336" s="36">
        <f>IF(OR(G1336="",H1336=""),"",TRIM(IF(HOUR(H1336-G1336)&gt;0,HOUR(H1336-G1336)&amp;" hr ","")&amp;IF(MINUTE(H1336-G1336)&gt;0,MINUTE(H1336-G1336)&amp;" min","")))</f>
        <v/>
      </c>
      <c r="J1336" s="66" t="n"/>
      <c r="K1336" s="70" t="n"/>
      <c r="L1336" s="36">
        <f>IF(R1336="","",IF(INDEX('Recurring Schedule'!$J$6:$J$45,R1336)="","",INDEX('Recurring Schedule'!$J$6:$J$45,R1336)))</f>
        <v/>
      </c>
      <c r="M1336" s="36">
        <f>IF(R1336="","",IF(INDEX('Recurring Schedule'!$K$6:$K$45,R1336)="","",INDEX('Recurring Schedule'!$K$6:$K$45,R1336)))</f>
        <v/>
      </c>
      <c r="N1336" s="36">
        <f>IF(R1336="","",IF(INDEX('Recurring Schedule'!$L$6:$L$45,R1336)="","",INDEX('Recurring Schedule'!$L$6:$L$45,R1336)))</f>
        <v/>
      </c>
      <c r="O1336" s="36">
        <f>IF(C1336="","",IF(AND(OR(L1336="1-Urgent",L1336="2-High"),M1336="✓"),"DO FIRST",IF(M1336="✓","SCHEDULE",IF(OR(L1336="1-Urgent",L1336="2-High"),"DELEGATE","DELETE"))))</f>
        <v/>
      </c>
      <c r="P1336" s="65" t="n"/>
      <c r="Q1336">
        <f>IF(1331&gt;Calc!$AQ$368,"",MATCH(1330,Calc!$AQ$2:$AQ$367,1))</f>
        <v/>
      </c>
      <c r="R1336">
        <f>IF(Q1336="","",SMALL(INDEX(Calc!$B$2:$AO$367,Q1336,0),1331-INDEX(Calc!$AQ$2:$AQ$367,Q1336)))</f>
        <v/>
      </c>
    </row>
    <row r="1337">
      <c r="B1337" s="71">
        <f>IF(R1337="","",1332)</f>
        <v/>
      </c>
      <c r="C1337" s="75">
        <f>IF(R1337="","",IF(INDEX('Recurring Schedule'!$C$6:$C$45,R1337)="","",INDEX('Recurring Schedule'!$C$6:$C$45,R1337)))</f>
        <v/>
      </c>
      <c r="D1337" s="73">
        <f>IF(R1337="","",IF(INDEX('Recurring Schedule'!$D$6:$D$45,R1337)="","",INDEX('Recurring Schedule'!$D$6:$D$45,R1337)))</f>
        <v/>
      </c>
      <c r="E1337" s="76">
        <f>IF(Q1337="","",INDEX(Calc!$A$2:$A$367,Q1337))</f>
        <v/>
      </c>
      <c r="F1337" s="72">
        <f>IF(OR(C1337="",E1337=""),"",E1337-Setup!$D$7)</f>
        <v/>
      </c>
      <c r="G1337" s="77">
        <f>IF(R1337="","",IF(INDEX('Recurring Schedule'!$H$6:$H$45,R1337)="","",INDEX('Recurring Schedule'!$H$6:$H$45,R1337)))</f>
        <v/>
      </c>
      <c r="H1337" s="77">
        <f>IF(R1337="","",IF(INDEX('Recurring Schedule'!$I$6:$I$45,R1337)="","",INDEX('Recurring Schedule'!$I$6:$I$45,R1337)))</f>
        <v/>
      </c>
      <c r="I1337" s="73">
        <f>IF(OR(G1337="",H1337=""),"",TRIM(IF(HOUR(H1337-G1337)&gt;0,HOUR(H1337-G1337)&amp;" hr ","")&amp;IF(MINUTE(H1337-G1337)&gt;0,MINUTE(H1337-G1337)&amp;" min","")))</f>
        <v/>
      </c>
      <c r="J1337" s="66" t="n"/>
      <c r="K1337" s="70" t="n"/>
      <c r="L1337" s="73">
        <f>IF(R1337="","",IF(INDEX('Recurring Schedule'!$J$6:$J$45,R1337)="","",INDEX('Recurring Schedule'!$J$6:$J$45,R1337)))</f>
        <v/>
      </c>
      <c r="M1337" s="73">
        <f>IF(R1337="","",IF(INDEX('Recurring Schedule'!$K$6:$K$45,R1337)="","",INDEX('Recurring Schedule'!$K$6:$K$45,R1337)))</f>
        <v/>
      </c>
      <c r="N1337" s="73">
        <f>IF(R1337="","",IF(INDEX('Recurring Schedule'!$L$6:$L$45,R1337)="","",INDEX('Recurring Schedule'!$L$6:$L$45,R1337)))</f>
        <v/>
      </c>
      <c r="O1337" s="73">
        <f>IF(C1337="","",IF(AND(OR(L1337="1-Urgent",L1337="2-High"),M1337="✓"),"DO FIRST",IF(M1337="✓","SCHEDULE",IF(OR(L1337="1-Urgent",L1337="2-High"),"DELEGATE","DELETE"))))</f>
        <v/>
      </c>
      <c r="P1337" s="65" t="n"/>
      <c r="Q1337">
        <f>IF(1332&gt;Calc!$AQ$368,"",MATCH(1331,Calc!$AQ$2:$AQ$367,1))</f>
        <v/>
      </c>
      <c r="R1337">
        <f>IF(Q1337="","",SMALL(INDEX(Calc!$B$2:$AO$367,Q1337,0),1332-INDEX(Calc!$AQ$2:$AQ$367,Q1337)))</f>
        <v/>
      </c>
    </row>
    <row r="1338">
      <c r="B1338" s="64">
        <f>IF(R1338="","",1333)</f>
        <v/>
      </c>
      <c r="C1338" s="37">
        <f>IF(R1338="","",IF(INDEX('Recurring Schedule'!$C$6:$C$45,R1338)="","",INDEX('Recurring Schedule'!$C$6:$C$45,R1338)))</f>
        <v/>
      </c>
      <c r="D1338" s="36">
        <f>IF(R1338="","",IF(INDEX('Recurring Schedule'!$D$6:$D$45,R1338)="","",INDEX('Recurring Schedule'!$D$6:$D$45,R1338)))</f>
        <v/>
      </c>
      <c r="E1338" s="38">
        <f>IF(Q1338="","",INDEX(Calc!$A$2:$A$367,Q1338))</f>
        <v/>
      </c>
      <c r="F1338" s="68">
        <f>IF(OR(C1338="",E1338=""),"",E1338-Setup!$D$7)</f>
        <v/>
      </c>
      <c r="G1338" s="74">
        <f>IF(R1338="","",IF(INDEX('Recurring Schedule'!$H$6:$H$45,R1338)="","",INDEX('Recurring Schedule'!$H$6:$H$45,R1338)))</f>
        <v/>
      </c>
      <c r="H1338" s="74">
        <f>IF(R1338="","",IF(INDEX('Recurring Schedule'!$I$6:$I$45,R1338)="","",INDEX('Recurring Schedule'!$I$6:$I$45,R1338)))</f>
        <v/>
      </c>
      <c r="I1338" s="36">
        <f>IF(OR(G1338="",H1338=""),"",TRIM(IF(HOUR(H1338-G1338)&gt;0,HOUR(H1338-G1338)&amp;" hr ","")&amp;IF(MINUTE(H1338-G1338)&gt;0,MINUTE(H1338-G1338)&amp;" min","")))</f>
        <v/>
      </c>
      <c r="J1338" s="66" t="n"/>
      <c r="K1338" s="70" t="n"/>
      <c r="L1338" s="36">
        <f>IF(R1338="","",IF(INDEX('Recurring Schedule'!$J$6:$J$45,R1338)="","",INDEX('Recurring Schedule'!$J$6:$J$45,R1338)))</f>
        <v/>
      </c>
      <c r="M1338" s="36">
        <f>IF(R1338="","",IF(INDEX('Recurring Schedule'!$K$6:$K$45,R1338)="","",INDEX('Recurring Schedule'!$K$6:$K$45,R1338)))</f>
        <v/>
      </c>
      <c r="N1338" s="36">
        <f>IF(R1338="","",IF(INDEX('Recurring Schedule'!$L$6:$L$45,R1338)="","",INDEX('Recurring Schedule'!$L$6:$L$45,R1338)))</f>
        <v/>
      </c>
      <c r="O1338" s="36">
        <f>IF(C1338="","",IF(AND(OR(L1338="1-Urgent",L1338="2-High"),M1338="✓"),"DO FIRST",IF(M1338="✓","SCHEDULE",IF(OR(L1338="1-Urgent",L1338="2-High"),"DELEGATE","DELETE"))))</f>
        <v/>
      </c>
      <c r="P1338" s="65" t="n"/>
      <c r="Q1338">
        <f>IF(1333&gt;Calc!$AQ$368,"",MATCH(1332,Calc!$AQ$2:$AQ$367,1))</f>
        <v/>
      </c>
      <c r="R1338">
        <f>IF(Q1338="","",SMALL(INDEX(Calc!$B$2:$AO$367,Q1338,0),1333-INDEX(Calc!$AQ$2:$AQ$367,Q1338)))</f>
        <v/>
      </c>
    </row>
    <row r="1339">
      <c r="B1339" s="71">
        <f>IF(R1339="","",1334)</f>
        <v/>
      </c>
      <c r="C1339" s="75">
        <f>IF(R1339="","",IF(INDEX('Recurring Schedule'!$C$6:$C$45,R1339)="","",INDEX('Recurring Schedule'!$C$6:$C$45,R1339)))</f>
        <v/>
      </c>
      <c r="D1339" s="73">
        <f>IF(R1339="","",IF(INDEX('Recurring Schedule'!$D$6:$D$45,R1339)="","",INDEX('Recurring Schedule'!$D$6:$D$45,R1339)))</f>
        <v/>
      </c>
      <c r="E1339" s="76">
        <f>IF(Q1339="","",INDEX(Calc!$A$2:$A$367,Q1339))</f>
        <v/>
      </c>
      <c r="F1339" s="72">
        <f>IF(OR(C1339="",E1339=""),"",E1339-Setup!$D$7)</f>
        <v/>
      </c>
      <c r="G1339" s="77">
        <f>IF(R1339="","",IF(INDEX('Recurring Schedule'!$H$6:$H$45,R1339)="","",INDEX('Recurring Schedule'!$H$6:$H$45,R1339)))</f>
        <v/>
      </c>
      <c r="H1339" s="77">
        <f>IF(R1339="","",IF(INDEX('Recurring Schedule'!$I$6:$I$45,R1339)="","",INDEX('Recurring Schedule'!$I$6:$I$45,R1339)))</f>
        <v/>
      </c>
      <c r="I1339" s="73">
        <f>IF(OR(G1339="",H1339=""),"",TRIM(IF(HOUR(H1339-G1339)&gt;0,HOUR(H1339-G1339)&amp;" hr ","")&amp;IF(MINUTE(H1339-G1339)&gt;0,MINUTE(H1339-G1339)&amp;" min","")))</f>
        <v/>
      </c>
      <c r="J1339" s="66" t="n"/>
      <c r="K1339" s="70" t="n"/>
      <c r="L1339" s="73">
        <f>IF(R1339="","",IF(INDEX('Recurring Schedule'!$J$6:$J$45,R1339)="","",INDEX('Recurring Schedule'!$J$6:$J$45,R1339)))</f>
        <v/>
      </c>
      <c r="M1339" s="73">
        <f>IF(R1339="","",IF(INDEX('Recurring Schedule'!$K$6:$K$45,R1339)="","",INDEX('Recurring Schedule'!$K$6:$K$45,R1339)))</f>
        <v/>
      </c>
      <c r="N1339" s="73">
        <f>IF(R1339="","",IF(INDEX('Recurring Schedule'!$L$6:$L$45,R1339)="","",INDEX('Recurring Schedule'!$L$6:$L$45,R1339)))</f>
        <v/>
      </c>
      <c r="O1339" s="73">
        <f>IF(C1339="","",IF(AND(OR(L1339="1-Urgent",L1339="2-High"),M1339="✓"),"DO FIRST",IF(M1339="✓","SCHEDULE",IF(OR(L1339="1-Urgent",L1339="2-High"),"DELEGATE","DELETE"))))</f>
        <v/>
      </c>
      <c r="P1339" s="65" t="n"/>
      <c r="Q1339">
        <f>IF(1334&gt;Calc!$AQ$368,"",MATCH(1333,Calc!$AQ$2:$AQ$367,1))</f>
        <v/>
      </c>
      <c r="R1339">
        <f>IF(Q1339="","",SMALL(INDEX(Calc!$B$2:$AO$367,Q1339,0),1334-INDEX(Calc!$AQ$2:$AQ$367,Q1339)))</f>
        <v/>
      </c>
    </row>
    <row r="1340">
      <c r="B1340" s="64">
        <f>IF(R1340="","",1335)</f>
        <v/>
      </c>
      <c r="C1340" s="37">
        <f>IF(R1340="","",IF(INDEX('Recurring Schedule'!$C$6:$C$45,R1340)="","",INDEX('Recurring Schedule'!$C$6:$C$45,R1340)))</f>
        <v/>
      </c>
      <c r="D1340" s="36">
        <f>IF(R1340="","",IF(INDEX('Recurring Schedule'!$D$6:$D$45,R1340)="","",INDEX('Recurring Schedule'!$D$6:$D$45,R1340)))</f>
        <v/>
      </c>
      <c r="E1340" s="38">
        <f>IF(Q1340="","",INDEX(Calc!$A$2:$A$367,Q1340))</f>
        <v/>
      </c>
      <c r="F1340" s="68">
        <f>IF(OR(C1340="",E1340=""),"",E1340-Setup!$D$7)</f>
        <v/>
      </c>
      <c r="G1340" s="74">
        <f>IF(R1340="","",IF(INDEX('Recurring Schedule'!$H$6:$H$45,R1340)="","",INDEX('Recurring Schedule'!$H$6:$H$45,R1340)))</f>
        <v/>
      </c>
      <c r="H1340" s="74">
        <f>IF(R1340="","",IF(INDEX('Recurring Schedule'!$I$6:$I$45,R1340)="","",INDEX('Recurring Schedule'!$I$6:$I$45,R1340)))</f>
        <v/>
      </c>
      <c r="I1340" s="36">
        <f>IF(OR(G1340="",H1340=""),"",TRIM(IF(HOUR(H1340-G1340)&gt;0,HOUR(H1340-G1340)&amp;" hr ","")&amp;IF(MINUTE(H1340-G1340)&gt;0,MINUTE(H1340-G1340)&amp;" min","")))</f>
        <v/>
      </c>
      <c r="J1340" s="66" t="n"/>
      <c r="K1340" s="70" t="n"/>
      <c r="L1340" s="36">
        <f>IF(R1340="","",IF(INDEX('Recurring Schedule'!$J$6:$J$45,R1340)="","",INDEX('Recurring Schedule'!$J$6:$J$45,R1340)))</f>
        <v/>
      </c>
      <c r="M1340" s="36">
        <f>IF(R1340="","",IF(INDEX('Recurring Schedule'!$K$6:$K$45,R1340)="","",INDEX('Recurring Schedule'!$K$6:$K$45,R1340)))</f>
        <v/>
      </c>
      <c r="N1340" s="36">
        <f>IF(R1340="","",IF(INDEX('Recurring Schedule'!$L$6:$L$45,R1340)="","",INDEX('Recurring Schedule'!$L$6:$L$45,R1340)))</f>
        <v/>
      </c>
      <c r="O1340" s="36">
        <f>IF(C1340="","",IF(AND(OR(L1340="1-Urgent",L1340="2-High"),M1340="✓"),"DO FIRST",IF(M1340="✓","SCHEDULE",IF(OR(L1340="1-Urgent",L1340="2-High"),"DELEGATE","DELETE"))))</f>
        <v/>
      </c>
      <c r="P1340" s="65" t="n"/>
      <c r="Q1340">
        <f>IF(1335&gt;Calc!$AQ$368,"",MATCH(1334,Calc!$AQ$2:$AQ$367,1))</f>
        <v/>
      </c>
      <c r="R1340">
        <f>IF(Q1340="","",SMALL(INDEX(Calc!$B$2:$AO$367,Q1340,0),1335-INDEX(Calc!$AQ$2:$AQ$367,Q1340)))</f>
        <v/>
      </c>
    </row>
    <row r="1341">
      <c r="B1341" s="71">
        <f>IF(R1341="","",1336)</f>
        <v/>
      </c>
      <c r="C1341" s="75">
        <f>IF(R1341="","",IF(INDEX('Recurring Schedule'!$C$6:$C$45,R1341)="","",INDEX('Recurring Schedule'!$C$6:$C$45,R1341)))</f>
        <v/>
      </c>
      <c r="D1341" s="73">
        <f>IF(R1341="","",IF(INDEX('Recurring Schedule'!$D$6:$D$45,R1341)="","",INDEX('Recurring Schedule'!$D$6:$D$45,R1341)))</f>
        <v/>
      </c>
      <c r="E1341" s="76">
        <f>IF(Q1341="","",INDEX(Calc!$A$2:$A$367,Q1341))</f>
        <v/>
      </c>
      <c r="F1341" s="72">
        <f>IF(OR(C1341="",E1341=""),"",E1341-Setup!$D$7)</f>
        <v/>
      </c>
      <c r="G1341" s="77">
        <f>IF(R1341="","",IF(INDEX('Recurring Schedule'!$H$6:$H$45,R1341)="","",INDEX('Recurring Schedule'!$H$6:$H$45,R1341)))</f>
        <v/>
      </c>
      <c r="H1341" s="77">
        <f>IF(R1341="","",IF(INDEX('Recurring Schedule'!$I$6:$I$45,R1341)="","",INDEX('Recurring Schedule'!$I$6:$I$45,R1341)))</f>
        <v/>
      </c>
      <c r="I1341" s="73">
        <f>IF(OR(G1341="",H1341=""),"",TRIM(IF(HOUR(H1341-G1341)&gt;0,HOUR(H1341-G1341)&amp;" hr ","")&amp;IF(MINUTE(H1341-G1341)&gt;0,MINUTE(H1341-G1341)&amp;" min","")))</f>
        <v/>
      </c>
      <c r="J1341" s="66" t="n"/>
      <c r="K1341" s="70" t="n"/>
      <c r="L1341" s="73">
        <f>IF(R1341="","",IF(INDEX('Recurring Schedule'!$J$6:$J$45,R1341)="","",INDEX('Recurring Schedule'!$J$6:$J$45,R1341)))</f>
        <v/>
      </c>
      <c r="M1341" s="73">
        <f>IF(R1341="","",IF(INDEX('Recurring Schedule'!$K$6:$K$45,R1341)="","",INDEX('Recurring Schedule'!$K$6:$K$45,R1341)))</f>
        <v/>
      </c>
      <c r="N1341" s="73">
        <f>IF(R1341="","",IF(INDEX('Recurring Schedule'!$L$6:$L$45,R1341)="","",INDEX('Recurring Schedule'!$L$6:$L$45,R1341)))</f>
        <v/>
      </c>
      <c r="O1341" s="73">
        <f>IF(C1341="","",IF(AND(OR(L1341="1-Urgent",L1341="2-High"),M1341="✓"),"DO FIRST",IF(M1341="✓","SCHEDULE",IF(OR(L1341="1-Urgent",L1341="2-High"),"DELEGATE","DELETE"))))</f>
        <v/>
      </c>
      <c r="P1341" s="65" t="n"/>
      <c r="Q1341">
        <f>IF(1336&gt;Calc!$AQ$368,"",MATCH(1335,Calc!$AQ$2:$AQ$367,1))</f>
        <v/>
      </c>
      <c r="R1341">
        <f>IF(Q1341="","",SMALL(INDEX(Calc!$B$2:$AO$367,Q1341,0),1336-INDEX(Calc!$AQ$2:$AQ$367,Q1341)))</f>
        <v/>
      </c>
    </row>
    <row r="1342">
      <c r="B1342" s="64">
        <f>IF(R1342="","",1337)</f>
        <v/>
      </c>
      <c r="C1342" s="37">
        <f>IF(R1342="","",IF(INDEX('Recurring Schedule'!$C$6:$C$45,R1342)="","",INDEX('Recurring Schedule'!$C$6:$C$45,R1342)))</f>
        <v/>
      </c>
      <c r="D1342" s="36">
        <f>IF(R1342="","",IF(INDEX('Recurring Schedule'!$D$6:$D$45,R1342)="","",INDEX('Recurring Schedule'!$D$6:$D$45,R1342)))</f>
        <v/>
      </c>
      <c r="E1342" s="38">
        <f>IF(Q1342="","",INDEX(Calc!$A$2:$A$367,Q1342))</f>
        <v/>
      </c>
      <c r="F1342" s="68">
        <f>IF(OR(C1342="",E1342=""),"",E1342-Setup!$D$7)</f>
        <v/>
      </c>
      <c r="G1342" s="74">
        <f>IF(R1342="","",IF(INDEX('Recurring Schedule'!$H$6:$H$45,R1342)="","",INDEX('Recurring Schedule'!$H$6:$H$45,R1342)))</f>
        <v/>
      </c>
      <c r="H1342" s="74">
        <f>IF(R1342="","",IF(INDEX('Recurring Schedule'!$I$6:$I$45,R1342)="","",INDEX('Recurring Schedule'!$I$6:$I$45,R1342)))</f>
        <v/>
      </c>
      <c r="I1342" s="36">
        <f>IF(OR(G1342="",H1342=""),"",TRIM(IF(HOUR(H1342-G1342)&gt;0,HOUR(H1342-G1342)&amp;" hr ","")&amp;IF(MINUTE(H1342-G1342)&gt;0,MINUTE(H1342-G1342)&amp;" min","")))</f>
        <v/>
      </c>
      <c r="J1342" s="66" t="n"/>
      <c r="K1342" s="70" t="n"/>
      <c r="L1342" s="36">
        <f>IF(R1342="","",IF(INDEX('Recurring Schedule'!$J$6:$J$45,R1342)="","",INDEX('Recurring Schedule'!$J$6:$J$45,R1342)))</f>
        <v/>
      </c>
      <c r="M1342" s="36">
        <f>IF(R1342="","",IF(INDEX('Recurring Schedule'!$K$6:$K$45,R1342)="","",INDEX('Recurring Schedule'!$K$6:$K$45,R1342)))</f>
        <v/>
      </c>
      <c r="N1342" s="36">
        <f>IF(R1342="","",IF(INDEX('Recurring Schedule'!$L$6:$L$45,R1342)="","",INDEX('Recurring Schedule'!$L$6:$L$45,R1342)))</f>
        <v/>
      </c>
      <c r="O1342" s="36">
        <f>IF(C1342="","",IF(AND(OR(L1342="1-Urgent",L1342="2-High"),M1342="✓"),"DO FIRST",IF(M1342="✓","SCHEDULE",IF(OR(L1342="1-Urgent",L1342="2-High"),"DELEGATE","DELETE"))))</f>
        <v/>
      </c>
      <c r="P1342" s="65" t="n"/>
      <c r="Q1342">
        <f>IF(1337&gt;Calc!$AQ$368,"",MATCH(1336,Calc!$AQ$2:$AQ$367,1))</f>
        <v/>
      </c>
      <c r="R1342">
        <f>IF(Q1342="","",SMALL(INDEX(Calc!$B$2:$AO$367,Q1342,0),1337-INDEX(Calc!$AQ$2:$AQ$367,Q1342)))</f>
        <v/>
      </c>
    </row>
    <row r="1343">
      <c r="B1343" s="71">
        <f>IF(R1343="","",1338)</f>
        <v/>
      </c>
      <c r="C1343" s="75">
        <f>IF(R1343="","",IF(INDEX('Recurring Schedule'!$C$6:$C$45,R1343)="","",INDEX('Recurring Schedule'!$C$6:$C$45,R1343)))</f>
        <v/>
      </c>
      <c r="D1343" s="73">
        <f>IF(R1343="","",IF(INDEX('Recurring Schedule'!$D$6:$D$45,R1343)="","",INDEX('Recurring Schedule'!$D$6:$D$45,R1343)))</f>
        <v/>
      </c>
      <c r="E1343" s="76">
        <f>IF(Q1343="","",INDEX(Calc!$A$2:$A$367,Q1343))</f>
        <v/>
      </c>
      <c r="F1343" s="72">
        <f>IF(OR(C1343="",E1343=""),"",E1343-Setup!$D$7)</f>
        <v/>
      </c>
      <c r="G1343" s="77">
        <f>IF(R1343="","",IF(INDEX('Recurring Schedule'!$H$6:$H$45,R1343)="","",INDEX('Recurring Schedule'!$H$6:$H$45,R1343)))</f>
        <v/>
      </c>
      <c r="H1343" s="77">
        <f>IF(R1343="","",IF(INDEX('Recurring Schedule'!$I$6:$I$45,R1343)="","",INDEX('Recurring Schedule'!$I$6:$I$45,R1343)))</f>
        <v/>
      </c>
      <c r="I1343" s="73">
        <f>IF(OR(G1343="",H1343=""),"",TRIM(IF(HOUR(H1343-G1343)&gt;0,HOUR(H1343-G1343)&amp;" hr ","")&amp;IF(MINUTE(H1343-G1343)&gt;0,MINUTE(H1343-G1343)&amp;" min","")))</f>
        <v/>
      </c>
      <c r="J1343" s="66" t="n"/>
      <c r="K1343" s="70" t="n"/>
      <c r="L1343" s="73">
        <f>IF(R1343="","",IF(INDEX('Recurring Schedule'!$J$6:$J$45,R1343)="","",INDEX('Recurring Schedule'!$J$6:$J$45,R1343)))</f>
        <v/>
      </c>
      <c r="M1343" s="73">
        <f>IF(R1343="","",IF(INDEX('Recurring Schedule'!$K$6:$K$45,R1343)="","",INDEX('Recurring Schedule'!$K$6:$K$45,R1343)))</f>
        <v/>
      </c>
      <c r="N1343" s="73">
        <f>IF(R1343="","",IF(INDEX('Recurring Schedule'!$L$6:$L$45,R1343)="","",INDEX('Recurring Schedule'!$L$6:$L$45,R1343)))</f>
        <v/>
      </c>
      <c r="O1343" s="73">
        <f>IF(C1343="","",IF(AND(OR(L1343="1-Urgent",L1343="2-High"),M1343="✓"),"DO FIRST",IF(M1343="✓","SCHEDULE",IF(OR(L1343="1-Urgent",L1343="2-High"),"DELEGATE","DELETE"))))</f>
        <v/>
      </c>
      <c r="P1343" s="65" t="n"/>
      <c r="Q1343">
        <f>IF(1338&gt;Calc!$AQ$368,"",MATCH(1337,Calc!$AQ$2:$AQ$367,1))</f>
        <v/>
      </c>
      <c r="R1343">
        <f>IF(Q1343="","",SMALL(INDEX(Calc!$B$2:$AO$367,Q1343,0),1338-INDEX(Calc!$AQ$2:$AQ$367,Q1343)))</f>
        <v/>
      </c>
    </row>
    <row r="1344">
      <c r="B1344" s="64">
        <f>IF(R1344="","",1339)</f>
        <v/>
      </c>
      <c r="C1344" s="37">
        <f>IF(R1344="","",IF(INDEX('Recurring Schedule'!$C$6:$C$45,R1344)="","",INDEX('Recurring Schedule'!$C$6:$C$45,R1344)))</f>
        <v/>
      </c>
      <c r="D1344" s="36">
        <f>IF(R1344="","",IF(INDEX('Recurring Schedule'!$D$6:$D$45,R1344)="","",INDEX('Recurring Schedule'!$D$6:$D$45,R1344)))</f>
        <v/>
      </c>
      <c r="E1344" s="38">
        <f>IF(Q1344="","",INDEX(Calc!$A$2:$A$367,Q1344))</f>
        <v/>
      </c>
      <c r="F1344" s="68">
        <f>IF(OR(C1344="",E1344=""),"",E1344-Setup!$D$7)</f>
        <v/>
      </c>
      <c r="G1344" s="74">
        <f>IF(R1344="","",IF(INDEX('Recurring Schedule'!$H$6:$H$45,R1344)="","",INDEX('Recurring Schedule'!$H$6:$H$45,R1344)))</f>
        <v/>
      </c>
      <c r="H1344" s="74">
        <f>IF(R1344="","",IF(INDEX('Recurring Schedule'!$I$6:$I$45,R1344)="","",INDEX('Recurring Schedule'!$I$6:$I$45,R1344)))</f>
        <v/>
      </c>
      <c r="I1344" s="36">
        <f>IF(OR(G1344="",H1344=""),"",TRIM(IF(HOUR(H1344-G1344)&gt;0,HOUR(H1344-G1344)&amp;" hr ","")&amp;IF(MINUTE(H1344-G1344)&gt;0,MINUTE(H1344-G1344)&amp;" min","")))</f>
        <v/>
      </c>
      <c r="J1344" s="66" t="n"/>
      <c r="K1344" s="70" t="n"/>
      <c r="L1344" s="36">
        <f>IF(R1344="","",IF(INDEX('Recurring Schedule'!$J$6:$J$45,R1344)="","",INDEX('Recurring Schedule'!$J$6:$J$45,R1344)))</f>
        <v/>
      </c>
      <c r="M1344" s="36">
        <f>IF(R1344="","",IF(INDEX('Recurring Schedule'!$K$6:$K$45,R1344)="","",INDEX('Recurring Schedule'!$K$6:$K$45,R1344)))</f>
        <v/>
      </c>
      <c r="N1344" s="36">
        <f>IF(R1344="","",IF(INDEX('Recurring Schedule'!$L$6:$L$45,R1344)="","",INDEX('Recurring Schedule'!$L$6:$L$45,R1344)))</f>
        <v/>
      </c>
      <c r="O1344" s="36">
        <f>IF(C1344="","",IF(AND(OR(L1344="1-Urgent",L1344="2-High"),M1344="✓"),"DO FIRST",IF(M1344="✓","SCHEDULE",IF(OR(L1344="1-Urgent",L1344="2-High"),"DELEGATE","DELETE"))))</f>
        <v/>
      </c>
      <c r="P1344" s="65" t="n"/>
      <c r="Q1344">
        <f>IF(1339&gt;Calc!$AQ$368,"",MATCH(1338,Calc!$AQ$2:$AQ$367,1))</f>
        <v/>
      </c>
      <c r="R1344">
        <f>IF(Q1344="","",SMALL(INDEX(Calc!$B$2:$AO$367,Q1344,0),1339-INDEX(Calc!$AQ$2:$AQ$367,Q1344)))</f>
        <v/>
      </c>
    </row>
    <row r="1345">
      <c r="B1345" s="71">
        <f>IF(R1345="","",1340)</f>
        <v/>
      </c>
      <c r="C1345" s="75">
        <f>IF(R1345="","",IF(INDEX('Recurring Schedule'!$C$6:$C$45,R1345)="","",INDEX('Recurring Schedule'!$C$6:$C$45,R1345)))</f>
        <v/>
      </c>
      <c r="D1345" s="73">
        <f>IF(R1345="","",IF(INDEX('Recurring Schedule'!$D$6:$D$45,R1345)="","",INDEX('Recurring Schedule'!$D$6:$D$45,R1345)))</f>
        <v/>
      </c>
      <c r="E1345" s="76">
        <f>IF(Q1345="","",INDEX(Calc!$A$2:$A$367,Q1345))</f>
        <v/>
      </c>
      <c r="F1345" s="72">
        <f>IF(OR(C1345="",E1345=""),"",E1345-Setup!$D$7)</f>
        <v/>
      </c>
      <c r="G1345" s="77">
        <f>IF(R1345="","",IF(INDEX('Recurring Schedule'!$H$6:$H$45,R1345)="","",INDEX('Recurring Schedule'!$H$6:$H$45,R1345)))</f>
        <v/>
      </c>
      <c r="H1345" s="77">
        <f>IF(R1345="","",IF(INDEX('Recurring Schedule'!$I$6:$I$45,R1345)="","",INDEX('Recurring Schedule'!$I$6:$I$45,R1345)))</f>
        <v/>
      </c>
      <c r="I1345" s="73">
        <f>IF(OR(G1345="",H1345=""),"",TRIM(IF(HOUR(H1345-G1345)&gt;0,HOUR(H1345-G1345)&amp;" hr ","")&amp;IF(MINUTE(H1345-G1345)&gt;0,MINUTE(H1345-G1345)&amp;" min","")))</f>
        <v/>
      </c>
      <c r="J1345" s="66" t="n"/>
      <c r="K1345" s="70" t="n"/>
      <c r="L1345" s="73">
        <f>IF(R1345="","",IF(INDEX('Recurring Schedule'!$J$6:$J$45,R1345)="","",INDEX('Recurring Schedule'!$J$6:$J$45,R1345)))</f>
        <v/>
      </c>
      <c r="M1345" s="73">
        <f>IF(R1345="","",IF(INDEX('Recurring Schedule'!$K$6:$K$45,R1345)="","",INDEX('Recurring Schedule'!$K$6:$K$45,R1345)))</f>
        <v/>
      </c>
      <c r="N1345" s="73">
        <f>IF(R1345="","",IF(INDEX('Recurring Schedule'!$L$6:$L$45,R1345)="","",INDEX('Recurring Schedule'!$L$6:$L$45,R1345)))</f>
        <v/>
      </c>
      <c r="O1345" s="73">
        <f>IF(C1345="","",IF(AND(OR(L1345="1-Urgent",L1345="2-High"),M1345="✓"),"DO FIRST",IF(M1345="✓","SCHEDULE",IF(OR(L1345="1-Urgent",L1345="2-High"),"DELEGATE","DELETE"))))</f>
        <v/>
      </c>
      <c r="P1345" s="65" t="n"/>
      <c r="Q1345">
        <f>IF(1340&gt;Calc!$AQ$368,"",MATCH(1339,Calc!$AQ$2:$AQ$367,1))</f>
        <v/>
      </c>
      <c r="R1345">
        <f>IF(Q1345="","",SMALL(INDEX(Calc!$B$2:$AO$367,Q1345,0),1340-INDEX(Calc!$AQ$2:$AQ$367,Q1345)))</f>
        <v/>
      </c>
    </row>
    <row r="1346">
      <c r="B1346" s="64">
        <f>IF(R1346="","",1341)</f>
        <v/>
      </c>
      <c r="C1346" s="37">
        <f>IF(R1346="","",IF(INDEX('Recurring Schedule'!$C$6:$C$45,R1346)="","",INDEX('Recurring Schedule'!$C$6:$C$45,R1346)))</f>
        <v/>
      </c>
      <c r="D1346" s="36">
        <f>IF(R1346="","",IF(INDEX('Recurring Schedule'!$D$6:$D$45,R1346)="","",INDEX('Recurring Schedule'!$D$6:$D$45,R1346)))</f>
        <v/>
      </c>
      <c r="E1346" s="38">
        <f>IF(Q1346="","",INDEX(Calc!$A$2:$A$367,Q1346))</f>
        <v/>
      </c>
      <c r="F1346" s="68">
        <f>IF(OR(C1346="",E1346=""),"",E1346-Setup!$D$7)</f>
        <v/>
      </c>
      <c r="G1346" s="74">
        <f>IF(R1346="","",IF(INDEX('Recurring Schedule'!$H$6:$H$45,R1346)="","",INDEX('Recurring Schedule'!$H$6:$H$45,R1346)))</f>
        <v/>
      </c>
      <c r="H1346" s="74">
        <f>IF(R1346="","",IF(INDEX('Recurring Schedule'!$I$6:$I$45,R1346)="","",INDEX('Recurring Schedule'!$I$6:$I$45,R1346)))</f>
        <v/>
      </c>
      <c r="I1346" s="36">
        <f>IF(OR(G1346="",H1346=""),"",TRIM(IF(HOUR(H1346-G1346)&gt;0,HOUR(H1346-G1346)&amp;" hr ","")&amp;IF(MINUTE(H1346-G1346)&gt;0,MINUTE(H1346-G1346)&amp;" min","")))</f>
        <v/>
      </c>
      <c r="J1346" s="66" t="n"/>
      <c r="K1346" s="70" t="n"/>
      <c r="L1346" s="36">
        <f>IF(R1346="","",IF(INDEX('Recurring Schedule'!$J$6:$J$45,R1346)="","",INDEX('Recurring Schedule'!$J$6:$J$45,R1346)))</f>
        <v/>
      </c>
      <c r="M1346" s="36">
        <f>IF(R1346="","",IF(INDEX('Recurring Schedule'!$K$6:$K$45,R1346)="","",INDEX('Recurring Schedule'!$K$6:$K$45,R1346)))</f>
        <v/>
      </c>
      <c r="N1346" s="36">
        <f>IF(R1346="","",IF(INDEX('Recurring Schedule'!$L$6:$L$45,R1346)="","",INDEX('Recurring Schedule'!$L$6:$L$45,R1346)))</f>
        <v/>
      </c>
      <c r="O1346" s="36">
        <f>IF(C1346="","",IF(AND(OR(L1346="1-Urgent",L1346="2-High"),M1346="✓"),"DO FIRST",IF(M1346="✓","SCHEDULE",IF(OR(L1346="1-Urgent",L1346="2-High"),"DELEGATE","DELETE"))))</f>
        <v/>
      </c>
      <c r="P1346" s="65" t="n"/>
      <c r="Q1346">
        <f>IF(1341&gt;Calc!$AQ$368,"",MATCH(1340,Calc!$AQ$2:$AQ$367,1))</f>
        <v/>
      </c>
      <c r="R1346">
        <f>IF(Q1346="","",SMALL(INDEX(Calc!$B$2:$AO$367,Q1346,0),1341-INDEX(Calc!$AQ$2:$AQ$367,Q1346)))</f>
        <v/>
      </c>
    </row>
    <row r="1347">
      <c r="B1347" s="71">
        <f>IF(R1347="","",1342)</f>
        <v/>
      </c>
      <c r="C1347" s="75">
        <f>IF(R1347="","",IF(INDEX('Recurring Schedule'!$C$6:$C$45,R1347)="","",INDEX('Recurring Schedule'!$C$6:$C$45,R1347)))</f>
        <v/>
      </c>
      <c r="D1347" s="73">
        <f>IF(R1347="","",IF(INDEX('Recurring Schedule'!$D$6:$D$45,R1347)="","",INDEX('Recurring Schedule'!$D$6:$D$45,R1347)))</f>
        <v/>
      </c>
      <c r="E1347" s="76">
        <f>IF(Q1347="","",INDEX(Calc!$A$2:$A$367,Q1347))</f>
        <v/>
      </c>
      <c r="F1347" s="72">
        <f>IF(OR(C1347="",E1347=""),"",E1347-Setup!$D$7)</f>
        <v/>
      </c>
      <c r="G1347" s="77">
        <f>IF(R1347="","",IF(INDEX('Recurring Schedule'!$H$6:$H$45,R1347)="","",INDEX('Recurring Schedule'!$H$6:$H$45,R1347)))</f>
        <v/>
      </c>
      <c r="H1347" s="77">
        <f>IF(R1347="","",IF(INDEX('Recurring Schedule'!$I$6:$I$45,R1347)="","",INDEX('Recurring Schedule'!$I$6:$I$45,R1347)))</f>
        <v/>
      </c>
      <c r="I1347" s="73">
        <f>IF(OR(G1347="",H1347=""),"",TRIM(IF(HOUR(H1347-G1347)&gt;0,HOUR(H1347-G1347)&amp;" hr ","")&amp;IF(MINUTE(H1347-G1347)&gt;0,MINUTE(H1347-G1347)&amp;" min","")))</f>
        <v/>
      </c>
      <c r="J1347" s="66" t="n"/>
      <c r="K1347" s="70" t="n"/>
      <c r="L1347" s="73">
        <f>IF(R1347="","",IF(INDEX('Recurring Schedule'!$J$6:$J$45,R1347)="","",INDEX('Recurring Schedule'!$J$6:$J$45,R1347)))</f>
        <v/>
      </c>
      <c r="M1347" s="73">
        <f>IF(R1347="","",IF(INDEX('Recurring Schedule'!$K$6:$K$45,R1347)="","",INDEX('Recurring Schedule'!$K$6:$K$45,R1347)))</f>
        <v/>
      </c>
      <c r="N1347" s="73">
        <f>IF(R1347="","",IF(INDEX('Recurring Schedule'!$L$6:$L$45,R1347)="","",INDEX('Recurring Schedule'!$L$6:$L$45,R1347)))</f>
        <v/>
      </c>
      <c r="O1347" s="73">
        <f>IF(C1347="","",IF(AND(OR(L1347="1-Urgent",L1347="2-High"),M1347="✓"),"DO FIRST",IF(M1347="✓","SCHEDULE",IF(OR(L1347="1-Urgent",L1347="2-High"),"DELEGATE","DELETE"))))</f>
        <v/>
      </c>
      <c r="P1347" s="65" t="n"/>
      <c r="Q1347">
        <f>IF(1342&gt;Calc!$AQ$368,"",MATCH(1341,Calc!$AQ$2:$AQ$367,1))</f>
        <v/>
      </c>
      <c r="R1347">
        <f>IF(Q1347="","",SMALL(INDEX(Calc!$B$2:$AO$367,Q1347,0),1342-INDEX(Calc!$AQ$2:$AQ$367,Q1347)))</f>
        <v/>
      </c>
    </row>
    <row r="1348">
      <c r="B1348" s="64">
        <f>IF(R1348="","",1343)</f>
        <v/>
      </c>
      <c r="C1348" s="37">
        <f>IF(R1348="","",IF(INDEX('Recurring Schedule'!$C$6:$C$45,R1348)="","",INDEX('Recurring Schedule'!$C$6:$C$45,R1348)))</f>
        <v/>
      </c>
      <c r="D1348" s="36">
        <f>IF(R1348="","",IF(INDEX('Recurring Schedule'!$D$6:$D$45,R1348)="","",INDEX('Recurring Schedule'!$D$6:$D$45,R1348)))</f>
        <v/>
      </c>
      <c r="E1348" s="38">
        <f>IF(Q1348="","",INDEX(Calc!$A$2:$A$367,Q1348))</f>
        <v/>
      </c>
      <c r="F1348" s="68">
        <f>IF(OR(C1348="",E1348=""),"",E1348-Setup!$D$7)</f>
        <v/>
      </c>
      <c r="G1348" s="74">
        <f>IF(R1348="","",IF(INDEX('Recurring Schedule'!$H$6:$H$45,R1348)="","",INDEX('Recurring Schedule'!$H$6:$H$45,R1348)))</f>
        <v/>
      </c>
      <c r="H1348" s="74">
        <f>IF(R1348="","",IF(INDEX('Recurring Schedule'!$I$6:$I$45,R1348)="","",INDEX('Recurring Schedule'!$I$6:$I$45,R1348)))</f>
        <v/>
      </c>
      <c r="I1348" s="36">
        <f>IF(OR(G1348="",H1348=""),"",TRIM(IF(HOUR(H1348-G1348)&gt;0,HOUR(H1348-G1348)&amp;" hr ","")&amp;IF(MINUTE(H1348-G1348)&gt;0,MINUTE(H1348-G1348)&amp;" min","")))</f>
        <v/>
      </c>
      <c r="J1348" s="66" t="n"/>
      <c r="K1348" s="70" t="n"/>
      <c r="L1348" s="36">
        <f>IF(R1348="","",IF(INDEX('Recurring Schedule'!$J$6:$J$45,R1348)="","",INDEX('Recurring Schedule'!$J$6:$J$45,R1348)))</f>
        <v/>
      </c>
      <c r="M1348" s="36">
        <f>IF(R1348="","",IF(INDEX('Recurring Schedule'!$K$6:$K$45,R1348)="","",INDEX('Recurring Schedule'!$K$6:$K$45,R1348)))</f>
        <v/>
      </c>
      <c r="N1348" s="36">
        <f>IF(R1348="","",IF(INDEX('Recurring Schedule'!$L$6:$L$45,R1348)="","",INDEX('Recurring Schedule'!$L$6:$L$45,R1348)))</f>
        <v/>
      </c>
      <c r="O1348" s="36">
        <f>IF(C1348="","",IF(AND(OR(L1348="1-Urgent",L1348="2-High"),M1348="✓"),"DO FIRST",IF(M1348="✓","SCHEDULE",IF(OR(L1348="1-Urgent",L1348="2-High"),"DELEGATE","DELETE"))))</f>
        <v/>
      </c>
      <c r="P1348" s="65" t="n"/>
      <c r="Q1348">
        <f>IF(1343&gt;Calc!$AQ$368,"",MATCH(1342,Calc!$AQ$2:$AQ$367,1))</f>
        <v/>
      </c>
      <c r="R1348">
        <f>IF(Q1348="","",SMALL(INDEX(Calc!$B$2:$AO$367,Q1348,0),1343-INDEX(Calc!$AQ$2:$AQ$367,Q1348)))</f>
        <v/>
      </c>
    </row>
    <row r="1349">
      <c r="B1349" s="71">
        <f>IF(R1349="","",1344)</f>
        <v/>
      </c>
      <c r="C1349" s="75">
        <f>IF(R1349="","",IF(INDEX('Recurring Schedule'!$C$6:$C$45,R1349)="","",INDEX('Recurring Schedule'!$C$6:$C$45,R1349)))</f>
        <v/>
      </c>
      <c r="D1349" s="73">
        <f>IF(R1349="","",IF(INDEX('Recurring Schedule'!$D$6:$D$45,R1349)="","",INDEX('Recurring Schedule'!$D$6:$D$45,R1349)))</f>
        <v/>
      </c>
      <c r="E1349" s="76">
        <f>IF(Q1349="","",INDEX(Calc!$A$2:$A$367,Q1349))</f>
        <v/>
      </c>
      <c r="F1349" s="72">
        <f>IF(OR(C1349="",E1349=""),"",E1349-Setup!$D$7)</f>
        <v/>
      </c>
      <c r="G1349" s="77">
        <f>IF(R1349="","",IF(INDEX('Recurring Schedule'!$H$6:$H$45,R1349)="","",INDEX('Recurring Schedule'!$H$6:$H$45,R1349)))</f>
        <v/>
      </c>
      <c r="H1349" s="77">
        <f>IF(R1349="","",IF(INDEX('Recurring Schedule'!$I$6:$I$45,R1349)="","",INDEX('Recurring Schedule'!$I$6:$I$45,R1349)))</f>
        <v/>
      </c>
      <c r="I1349" s="73">
        <f>IF(OR(G1349="",H1349=""),"",TRIM(IF(HOUR(H1349-G1349)&gt;0,HOUR(H1349-G1349)&amp;" hr ","")&amp;IF(MINUTE(H1349-G1349)&gt;0,MINUTE(H1349-G1349)&amp;" min","")))</f>
        <v/>
      </c>
      <c r="J1349" s="66" t="n"/>
      <c r="K1349" s="70" t="n"/>
      <c r="L1349" s="73">
        <f>IF(R1349="","",IF(INDEX('Recurring Schedule'!$J$6:$J$45,R1349)="","",INDEX('Recurring Schedule'!$J$6:$J$45,R1349)))</f>
        <v/>
      </c>
      <c r="M1349" s="73">
        <f>IF(R1349="","",IF(INDEX('Recurring Schedule'!$K$6:$K$45,R1349)="","",INDEX('Recurring Schedule'!$K$6:$K$45,R1349)))</f>
        <v/>
      </c>
      <c r="N1349" s="73">
        <f>IF(R1349="","",IF(INDEX('Recurring Schedule'!$L$6:$L$45,R1349)="","",INDEX('Recurring Schedule'!$L$6:$L$45,R1349)))</f>
        <v/>
      </c>
      <c r="O1349" s="73">
        <f>IF(C1349="","",IF(AND(OR(L1349="1-Urgent",L1349="2-High"),M1349="✓"),"DO FIRST",IF(M1349="✓","SCHEDULE",IF(OR(L1349="1-Urgent",L1349="2-High"),"DELEGATE","DELETE"))))</f>
        <v/>
      </c>
      <c r="P1349" s="65" t="n"/>
      <c r="Q1349">
        <f>IF(1344&gt;Calc!$AQ$368,"",MATCH(1343,Calc!$AQ$2:$AQ$367,1))</f>
        <v/>
      </c>
      <c r="R1349">
        <f>IF(Q1349="","",SMALL(INDEX(Calc!$B$2:$AO$367,Q1349,0),1344-INDEX(Calc!$AQ$2:$AQ$367,Q1349)))</f>
        <v/>
      </c>
    </row>
    <row r="1350">
      <c r="B1350" s="64">
        <f>IF(R1350="","",1345)</f>
        <v/>
      </c>
      <c r="C1350" s="37">
        <f>IF(R1350="","",IF(INDEX('Recurring Schedule'!$C$6:$C$45,R1350)="","",INDEX('Recurring Schedule'!$C$6:$C$45,R1350)))</f>
        <v/>
      </c>
      <c r="D1350" s="36">
        <f>IF(R1350="","",IF(INDEX('Recurring Schedule'!$D$6:$D$45,R1350)="","",INDEX('Recurring Schedule'!$D$6:$D$45,R1350)))</f>
        <v/>
      </c>
      <c r="E1350" s="38">
        <f>IF(Q1350="","",INDEX(Calc!$A$2:$A$367,Q1350))</f>
        <v/>
      </c>
      <c r="F1350" s="68">
        <f>IF(OR(C1350="",E1350=""),"",E1350-Setup!$D$7)</f>
        <v/>
      </c>
      <c r="G1350" s="74">
        <f>IF(R1350="","",IF(INDEX('Recurring Schedule'!$H$6:$H$45,R1350)="","",INDEX('Recurring Schedule'!$H$6:$H$45,R1350)))</f>
        <v/>
      </c>
      <c r="H1350" s="74">
        <f>IF(R1350="","",IF(INDEX('Recurring Schedule'!$I$6:$I$45,R1350)="","",INDEX('Recurring Schedule'!$I$6:$I$45,R1350)))</f>
        <v/>
      </c>
      <c r="I1350" s="36">
        <f>IF(OR(G1350="",H1350=""),"",TRIM(IF(HOUR(H1350-G1350)&gt;0,HOUR(H1350-G1350)&amp;" hr ","")&amp;IF(MINUTE(H1350-G1350)&gt;0,MINUTE(H1350-G1350)&amp;" min","")))</f>
        <v/>
      </c>
      <c r="J1350" s="66" t="n"/>
      <c r="K1350" s="70" t="n"/>
      <c r="L1350" s="36">
        <f>IF(R1350="","",IF(INDEX('Recurring Schedule'!$J$6:$J$45,R1350)="","",INDEX('Recurring Schedule'!$J$6:$J$45,R1350)))</f>
        <v/>
      </c>
      <c r="M1350" s="36">
        <f>IF(R1350="","",IF(INDEX('Recurring Schedule'!$K$6:$K$45,R1350)="","",INDEX('Recurring Schedule'!$K$6:$K$45,R1350)))</f>
        <v/>
      </c>
      <c r="N1350" s="36">
        <f>IF(R1350="","",IF(INDEX('Recurring Schedule'!$L$6:$L$45,R1350)="","",INDEX('Recurring Schedule'!$L$6:$L$45,R1350)))</f>
        <v/>
      </c>
      <c r="O1350" s="36">
        <f>IF(C1350="","",IF(AND(OR(L1350="1-Urgent",L1350="2-High"),M1350="✓"),"DO FIRST",IF(M1350="✓","SCHEDULE",IF(OR(L1350="1-Urgent",L1350="2-High"),"DELEGATE","DELETE"))))</f>
        <v/>
      </c>
      <c r="P1350" s="65" t="n"/>
      <c r="Q1350">
        <f>IF(1345&gt;Calc!$AQ$368,"",MATCH(1344,Calc!$AQ$2:$AQ$367,1))</f>
        <v/>
      </c>
      <c r="R1350">
        <f>IF(Q1350="","",SMALL(INDEX(Calc!$B$2:$AO$367,Q1350,0),1345-INDEX(Calc!$AQ$2:$AQ$367,Q1350)))</f>
        <v/>
      </c>
    </row>
    <row r="1351">
      <c r="B1351" s="71">
        <f>IF(R1351="","",1346)</f>
        <v/>
      </c>
      <c r="C1351" s="75">
        <f>IF(R1351="","",IF(INDEX('Recurring Schedule'!$C$6:$C$45,R1351)="","",INDEX('Recurring Schedule'!$C$6:$C$45,R1351)))</f>
        <v/>
      </c>
      <c r="D1351" s="73">
        <f>IF(R1351="","",IF(INDEX('Recurring Schedule'!$D$6:$D$45,R1351)="","",INDEX('Recurring Schedule'!$D$6:$D$45,R1351)))</f>
        <v/>
      </c>
      <c r="E1351" s="76">
        <f>IF(Q1351="","",INDEX(Calc!$A$2:$A$367,Q1351))</f>
        <v/>
      </c>
      <c r="F1351" s="72">
        <f>IF(OR(C1351="",E1351=""),"",E1351-Setup!$D$7)</f>
        <v/>
      </c>
      <c r="G1351" s="77">
        <f>IF(R1351="","",IF(INDEX('Recurring Schedule'!$H$6:$H$45,R1351)="","",INDEX('Recurring Schedule'!$H$6:$H$45,R1351)))</f>
        <v/>
      </c>
      <c r="H1351" s="77">
        <f>IF(R1351="","",IF(INDEX('Recurring Schedule'!$I$6:$I$45,R1351)="","",INDEX('Recurring Schedule'!$I$6:$I$45,R1351)))</f>
        <v/>
      </c>
      <c r="I1351" s="73">
        <f>IF(OR(G1351="",H1351=""),"",TRIM(IF(HOUR(H1351-G1351)&gt;0,HOUR(H1351-G1351)&amp;" hr ","")&amp;IF(MINUTE(H1351-G1351)&gt;0,MINUTE(H1351-G1351)&amp;" min","")))</f>
        <v/>
      </c>
      <c r="J1351" s="66" t="n"/>
      <c r="K1351" s="70" t="n"/>
      <c r="L1351" s="73">
        <f>IF(R1351="","",IF(INDEX('Recurring Schedule'!$J$6:$J$45,R1351)="","",INDEX('Recurring Schedule'!$J$6:$J$45,R1351)))</f>
        <v/>
      </c>
      <c r="M1351" s="73">
        <f>IF(R1351="","",IF(INDEX('Recurring Schedule'!$K$6:$K$45,R1351)="","",INDEX('Recurring Schedule'!$K$6:$K$45,R1351)))</f>
        <v/>
      </c>
      <c r="N1351" s="73">
        <f>IF(R1351="","",IF(INDEX('Recurring Schedule'!$L$6:$L$45,R1351)="","",INDEX('Recurring Schedule'!$L$6:$L$45,R1351)))</f>
        <v/>
      </c>
      <c r="O1351" s="73">
        <f>IF(C1351="","",IF(AND(OR(L1351="1-Urgent",L1351="2-High"),M1351="✓"),"DO FIRST",IF(M1351="✓","SCHEDULE",IF(OR(L1351="1-Urgent",L1351="2-High"),"DELEGATE","DELETE"))))</f>
        <v/>
      </c>
      <c r="P1351" s="65" t="n"/>
      <c r="Q1351">
        <f>IF(1346&gt;Calc!$AQ$368,"",MATCH(1345,Calc!$AQ$2:$AQ$367,1))</f>
        <v/>
      </c>
      <c r="R1351">
        <f>IF(Q1351="","",SMALL(INDEX(Calc!$B$2:$AO$367,Q1351,0),1346-INDEX(Calc!$AQ$2:$AQ$367,Q1351)))</f>
        <v/>
      </c>
    </row>
    <row r="1352">
      <c r="B1352" s="64">
        <f>IF(R1352="","",1347)</f>
        <v/>
      </c>
      <c r="C1352" s="37">
        <f>IF(R1352="","",IF(INDEX('Recurring Schedule'!$C$6:$C$45,R1352)="","",INDEX('Recurring Schedule'!$C$6:$C$45,R1352)))</f>
        <v/>
      </c>
      <c r="D1352" s="36">
        <f>IF(R1352="","",IF(INDEX('Recurring Schedule'!$D$6:$D$45,R1352)="","",INDEX('Recurring Schedule'!$D$6:$D$45,R1352)))</f>
        <v/>
      </c>
      <c r="E1352" s="38">
        <f>IF(Q1352="","",INDEX(Calc!$A$2:$A$367,Q1352))</f>
        <v/>
      </c>
      <c r="F1352" s="68">
        <f>IF(OR(C1352="",E1352=""),"",E1352-Setup!$D$7)</f>
        <v/>
      </c>
      <c r="G1352" s="74">
        <f>IF(R1352="","",IF(INDEX('Recurring Schedule'!$H$6:$H$45,R1352)="","",INDEX('Recurring Schedule'!$H$6:$H$45,R1352)))</f>
        <v/>
      </c>
      <c r="H1352" s="74">
        <f>IF(R1352="","",IF(INDEX('Recurring Schedule'!$I$6:$I$45,R1352)="","",INDEX('Recurring Schedule'!$I$6:$I$45,R1352)))</f>
        <v/>
      </c>
      <c r="I1352" s="36">
        <f>IF(OR(G1352="",H1352=""),"",TRIM(IF(HOUR(H1352-G1352)&gt;0,HOUR(H1352-G1352)&amp;" hr ","")&amp;IF(MINUTE(H1352-G1352)&gt;0,MINUTE(H1352-G1352)&amp;" min","")))</f>
        <v/>
      </c>
      <c r="J1352" s="66" t="n"/>
      <c r="K1352" s="70" t="n"/>
      <c r="L1352" s="36">
        <f>IF(R1352="","",IF(INDEX('Recurring Schedule'!$J$6:$J$45,R1352)="","",INDEX('Recurring Schedule'!$J$6:$J$45,R1352)))</f>
        <v/>
      </c>
      <c r="M1352" s="36">
        <f>IF(R1352="","",IF(INDEX('Recurring Schedule'!$K$6:$K$45,R1352)="","",INDEX('Recurring Schedule'!$K$6:$K$45,R1352)))</f>
        <v/>
      </c>
      <c r="N1352" s="36">
        <f>IF(R1352="","",IF(INDEX('Recurring Schedule'!$L$6:$L$45,R1352)="","",INDEX('Recurring Schedule'!$L$6:$L$45,R1352)))</f>
        <v/>
      </c>
      <c r="O1352" s="36">
        <f>IF(C1352="","",IF(AND(OR(L1352="1-Urgent",L1352="2-High"),M1352="✓"),"DO FIRST",IF(M1352="✓","SCHEDULE",IF(OR(L1352="1-Urgent",L1352="2-High"),"DELEGATE","DELETE"))))</f>
        <v/>
      </c>
      <c r="P1352" s="65" t="n"/>
      <c r="Q1352">
        <f>IF(1347&gt;Calc!$AQ$368,"",MATCH(1346,Calc!$AQ$2:$AQ$367,1))</f>
        <v/>
      </c>
      <c r="R1352">
        <f>IF(Q1352="","",SMALL(INDEX(Calc!$B$2:$AO$367,Q1352,0),1347-INDEX(Calc!$AQ$2:$AQ$367,Q1352)))</f>
        <v/>
      </c>
    </row>
    <row r="1353">
      <c r="B1353" s="71">
        <f>IF(R1353="","",1348)</f>
        <v/>
      </c>
      <c r="C1353" s="75">
        <f>IF(R1353="","",IF(INDEX('Recurring Schedule'!$C$6:$C$45,R1353)="","",INDEX('Recurring Schedule'!$C$6:$C$45,R1353)))</f>
        <v/>
      </c>
      <c r="D1353" s="73">
        <f>IF(R1353="","",IF(INDEX('Recurring Schedule'!$D$6:$D$45,R1353)="","",INDEX('Recurring Schedule'!$D$6:$D$45,R1353)))</f>
        <v/>
      </c>
      <c r="E1353" s="76">
        <f>IF(Q1353="","",INDEX(Calc!$A$2:$A$367,Q1353))</f>
        <v/>
      </c>
      <c r="F1353" s="72">
        <f>IF(OR(C1353="",E1353=""),"",E1353-Setup!$D$7)</f>
        <v/>
      </c>
      <c r="G1353" s="77">
        <f>IF(R1353="","",IF(INDEX('Recurring Schedule'!$H$6:$H$45,R1353)="","",INDEX('Recurring Schedule'!$H$6:$H$45,R1353)))</f>
        <v/>
      </c>
      <c r="H1353" s="77">
        <f>IF(R1353="","",IF(INDEX('Recurring Schedule'!$I$6:$I$45,R1353)="","",INDEX('Recurring Schedule'!$I$6:$I$45,R1353)))</f>
        <v/>
      </c>
      <c r="I1353" s="73">
        <f>IF(OR(G1353="",H1353=""),"",TRIM(IF(HOUR(H1353-G1353)&gt;0,HOUR(H1353-G1353)&amp;" hr ","")&amp;IF(MINUTE(H1353-G1353)&gt;0,MINUTE(H1353-G1353)&amp;" min","")))</f>
        <v/>
      </c>
      <c r="J1353" s="66" t="n"/>
      <c r="K1353" s="70" t="n"/>
      <c r="L1353" s="73">
        <f>IF(R1353="","",IF(INDEX('Recurring Schedule'!$J$6:$J$45,R1353)="","",INDEX('Recurring Schedule'!$J$6:$J$45,R1353)))</f>
        <v/>
      </c>
      <c r="M1353" s="73">
        <f>IF(R1353="","",IF(INDEX('Recurring Schedule'!$K$6:$K$45,R1353)="","",INDEX('Recurring Schedule'!$K$6:$K$45,R1353)))</f>
        <v/>
      </c>
      <c r="N1353" s="73">
        <f>IF(R1353="","",IF(INDEX('Recurring Schedule'!$L$6:$L$45,R1353)="","",INDEX('Recurring Schedule'!$L$6:$L$45,R1353)))</f>
        <v/>
      </c>
      <c r="O1353" s="73">
        <f>IF(C1353="","",IF(AND(OR(L1353="1-Urgent",L1353="2-High"),M1353="✓"),"DO FIRST",IF(M1353="✓","SCHEDULE",IF(OR(L1353="1-Urgent",L1353="2-High"),"DELEGATE","DELETE"))))</f>
        <v/>
      </c>
      <c r="P1353" s="65" t="n"/>
      <c r="Q1353">
        <f>IF(1348&gt;Calc!$AQ$368,"",MATCH(1347,Calc!$AQ$2:$AQ$367,1))</f>
        <v/>
      </c>
      <c r="R1353">
        <f>IF(Q1353="","",SMALL(INDEX(Calc!$B$2:$AO$367,Q1353,0),1348-INDEX(Calc!$AQ$2:$AQ$367,Q1353)))</f>
        <v/>
      </c>
    </row>
    <row r="1354">
      <c r="B1354" s="64">
        <f>IF(R1354="","",1349)</f>
        <v/>
      </c>
      <c r="C1354" s="37">
        <f>IF(R1354="","",IF(INDEX('Recurring Schedule'!$C$6:$C$45,R1354)="","",INDEX('Recurring Schedule'!$C$6:$C$45,R1354)))</f>
        <v/>
      </c>
      <c r="D1354" s="36">
        <f>IF(R1354="","",IF(INDEX('Recurring Schedule'!$D$6:$D$45,R1354)="","",INDEX('Recurring Schedule'!$D$6:$D$45,R1354)))</f>
        <v/>
      </c>
      <c r="E1354" s="38">
        <f>IF(Q1354="","",INDEX(Calc!$A$2:$A$367,Q1354))</f>
        <v/>
      </c>
      <c r="F1354" s="68">
        <f>IF(OR(C1354="",E1354=""),"",E1354-Setup!$D$7)</f>
        <v/>
      </c>
      <c r="G1354" s="74">
        <f>IF(R1354="","",IF(INDEX('Recurring Schedule'!$H$6:$H$45,R1354)="","",INDEX('Recurring Schedule'!$H$6:$H$45,R1354)))</f>
        <v/>
      </c>
      <c r="H1354" s="74">
        <f>IF(R1354="","",IF(INDEX('Recurring Schedule'!$I$6:$I$45,R1354)="","",INDEX('Recurring Schedule'!$I$6:$I$45,R1354)))</f>
        <v/>
      </c>
      <c r="I1354" s="36">
        <f>IF(OR(G1354="",H1354=""),"",TRIM(IF(HOUR(H1354-G1354)&gt;0,HOUR(H1354-G1354)&amp;" hr ","")&amp;IF(MINUTE(H1354-G1354)&gt;0,MINUTE(H1354-G1354)&amp;" min","")))</f>
        <v/>
      </c>
      <c r="J1354" s="66" t="n"/>
      <c r="K1354" s="70" t="n"/>
      <c r="L1354" s="36">
        <f>IF(R1354="","",IF(INDEX('Recurring Schedule'!$J$6:$J$45,R1354)="","",INDEX('Recurring Schedule'!$J$6:$J$45,R1354)))</f>
        <v/>
      </c>
      <c r="M1354" s="36">
        <f>IF(R1354="","",IF(INDEX('Recurring Schedule'!$K$6:$K$45,R1354)="","",INDEX('Recurring Schedule'!$K$6:$K$45,R1354)))</f>
        <v/>
      </c>
      <c r="N1354" s="36">
        <f>IF(R1354="","",IF(INDEX('Recurring Schedule'!$L$6:$L$45,R1354)="","",INDEX('Recurring Schedule'!$L$6:$L$45,R1354)))</f>
        <v/>
      </c>
      <c r="O1354" s="36">
        <f>IF(C1354="","",IF(AND(OR(L1354="1-Urgent",L1354="2-High"),M1354="✓"),"DO FIRST",IF(M1354="✓","SCHEDULE",IF(OR(L1354="1-Urgent",L1354="2-High"),"DELEGATE","DELETE"))))</f>
        <v/>
      </c>
      <c r="P1354" s="65" t="n"/>
      <c r="Q1354">
        <f>IF(1349&gt;Calc!$AQ$368,"",MATCH(1348,Calc!$AQ$2:$AQ$367,1))</f>
        <v/>
      </c>
      <c r="R1354">
        <f>IF(Q1354="","",SMALL(INDEX(Calc!$B$2:$AO$367,Q1354,0),1349-INDEX(Calc!$AQ$2:$AQ$367,Q1354)))</f>
        <v/>
      </c>
    </row>
    <row r="1355">
      <c r="B1355" s="71">
        <f>IF(R1355="","",1350)</f>
        <v/>
      </c>
      <c r="C1355" s="75">
        <f>IF(R1355="","",IF(INDEX('Recurring Schedule'!$C$6:$C$45,R1355)="","",INDEX('Recurring Schedule'!$C$6:$C$45,R1355)))</f>
        <v/>
      </c>
      <c r="D1355" s="73">
        <f>IF(R1355="","",IF(INDEX('Recurring Schedule'!$D$6:$D$45,R1355)="","",INDEX('Recurring Schedule'!$D$6:$D$45,R1355)))</f>
        <v/>
      </c>
      <c r="E1355" s="76">
        <f>IF(Q1355="","",INDEX(Calc!$A$2:$A$367,Q1355))</f>
        <v/>
      </c>
      <c r="F1355" s="72">
        <f>IF(OR(C1355="",E1355=""),"",E1355-Setup!$D$7)</f>
        <v/>
      </c>
      <c r="G1355" s="77">
        <f>IF(R1355="","",IF(INDEX('Recurring Schedule'!$H$6:$H$45,R1355)="","",INDEX('Recurring Schedule'!$H$6:$H$45,R1355)))</f>
        <v/>
      </c>
      <c r="H1355" s="77">
        <f>IF(R1355="","",IF(INDEX('Recurring Schedule'!$I$6:$I$45,R1355)="","",INDEX('Recurring Schedule'!$I$6:$I$45,R1355)))</f>
        <v/>
      </c>
      <c r="I1355" s="73">
        <f>IF(OR(G1355="",H1355=""),"",TRIM(IF(HOUR(H1355-G1355)&gt;0,HOUR(H1355-G1355)&amp;" hr ","")&amp;IF(MINUTE(H1355-G1355)&gt;0,MINUTE(H1355-G1355)&amp;" min","")))</f>
        <v/>
      </c>
      <c r="J1355" s="66" t="n"/>
      <c r="K1355" s="70" t="n"/>
      <c r="L1355" s="73">
        <f>IF(R1355="","",IF(INDEX('Recurring Schedule'!$J$6:$J$45,R1355)="","",INDEX('Recurring Schedule'!$J$6:$J$45,R1355)))</f>
        <v/>
      </c>
      <c r="M1355" s="73">
        <f>IF(R1355="","",IF(INDEX('Recurring Schedule'!$K$6:$K$45,R1355)="","",INDEX('Recurring Schedule'!$K$6:$K$45,R1355)))</f>
        <v/>
      </c>
      <c r="N1355" s="73">
        <f>IF(R1355="","",IF(INDEX('Recurring Schedule'!$L$6:$L$45,R1355)="","",INDEX('Recurring Schedule'!$L$6:$L$45,R1355)))</f>
        <v/>
      </c>
      <c r="O1355" s="73">
        <f>IF(C1355="","",IF(AND(OR(L1355="1-Urgent",L1355="2-High"),M1355="✓"),"DO FIRST",IF(M1355="✓","SCHEDULE",IF(OR(L1355="1-Urgent",L1355="2-High"),"DELEGATE","DELETE"))))</f>
        <v/>
      </c>
      <c r="P1355" s="65" t="n"/>
      <c r="Q1355">
        <f>IF(1350&gt;Calc!$AQ$368,"",MATCH(1349,Calc!$AQ$2:$AQ$367,1))</f>
        <v/>
      </c>
      <c r="R1355">
        <f>IF(Q1355="","",SMALL(INDEX(Calc!$B$2:$AO$367,Q1355,0),1350-INDEX(Calc!$AQ$2:$AQ$367,Q1355)))</f>
        <v/>
      </c>
    </row>
    <row r="1356">
      <c r="B1356" s="64">
        <f>IF(R1356="","",1351)</f>
        <v/>
      </c>
      <c r="C1356" s="37">
        <f>IF(R1356="","",IF(INDEX('Recurring Schedule'!$C$6:$C$45,R1356)="","",INDEX('Recurring Schedule'!$C$6:$C$45,R1356)))</f>
        <v/>
      </c>
      <c r="D1356" s="36">
        <f>IF(R1356="","",IF(INDEX('Recurring Schedule'!$D$6:$D$45,R1356)="","",INDEX('Recurring Schedule'!$D$6:$D$45,R1356)))</f>
        <v/>
      </c>
      <c r="E1356" s="38">
        <f>IF(Q1356="","",INDEX(Calc!$A$2:$A$367,Q1356))</f>
        <v/>
      </c>
      <c r="F1356" s="68">
        <f>IF(OR(C1356="",E1356=""),"",E1356-Setup!$D$7)</f>
        <v/>
      </c>
      <c r="G1356" s="74">
        <f>IF(R1356="","",IF(INDEX('Recurring Schedule'!$H$6:$H$45,R1356)="","",INDEX('Recurring Schedule'!$H$6:$H$45,R1356)))</f>
        <v/>
      </c>
      <c r="H1356" s="74">
        <f>IF(R1356="","",IF(INDEX('Recurring Schedule'!$I$6:$I$45,R1356)="","",INDEX('Recurring Schedule'!$I$6:$I$45,R1356)))</f>
        <v/>
      </c>
      <c r="I1356" s="36">
        <f>IF(OR(G1356="",H1356=""),"",TRIM(IF(HOUR(H1356-G1356)&gt;0,HOUR(H1356-G1356)&amp;" hr ","")&amp;IF(MINUTE(H1356-G1356)&gt;0,MINUTE(H1356-G1356)&amp;" min","")))</f>
        <v/>
      </c>
      <c r="J1356" s="66" t="n"/>
      <c r="K1356" s="70" t="n"/>
      <c r="L1356" s="36">
        <f>IF(R1356="","",IF(INDEX('Recurring Schedule'!$J$6:$J$45,R1356)="","",INDEX('Recurring Schedule'!$J$6:$J$45,R1356)))</f>
        <v/>
      </c>
      <c r="M1356" s="36">
        <f>IF(R1356="","",IF(INDEX('Recurring Schedule'!$K$6:$K$45,R1356)="","",INDEX('Recurring Schedule'!$K$6:$K$45,R1356)))</f>
        <v/>
      </c>
      <c r="N1356" s="36">
        <f>IF(R1356="","",IF(INDEX('Recurring Schedule'!$L$6:$L$45,R1356)="","",INDEX('Recurring Schedule'!$L$6:$L$45,R1356)))</f>
        <v/>
      </c>
      <c r="O1356" s="36">
        <f>IF(C1356="","",IF(AND(OR(L1356="1-Urgent",L1356="2-High"),M1356="✓"),"DO FIRST",IF(M1356="✓","SCHEDULE",IF(OR(L1356="1-Urgent",L1356="2-High"),"DELEGATE","DELETE"))))</f>
        <v/>
      </c>
      <c r="P1356" s="65" t="n"/>
      <c r="Q1356">
        <f>IF(1351&gt;Calc!$AQ$368,"",MATCH(1350,Calc!$AQ$2:$AQ$367,1))</f>
        <v/>
      </c>
      <c r="R1356">
        <f>IF(Q1356="","",SMALL(INDEX(Calc!$B$2:$AO$367,Q1356,0),1351-INDEX(Calc!$AQ$2:$AQ$367,Q1356)))</f>
        <v/>
      </c>
    </row>
    <row r="1357">
      <c r="B1357" s="71">
        <f>IF(R1357="","",1352)</f>
        <v/>
      </c>
      <c r="C1357" s="75">
        <f>IF(R1357="","",IF(INDEX('Recurring Schedule'!$C$6:$C$45,R1357)="","",INDEX('Recurring Schedule'!$C$6:$C$45,R1357)))</f>
        <v/>
      </c>
      <c r="D1357" s="73">
        <f>IF(R1357="","",IF(INDEX('Recurring Schedule'!$D$6:$D$45,R1357)="","",INDEX('Recurring Schedule'!$D$6:$D$45,R1357)))</f>
        <v/>
      </c>
      <c r="E1357" s="76">
        <f>IF(Q1357="","",INDEX(Calc!$A$2:$A$367,Q1357))</f>
        <v/>
      </c>
      <c r="F1357" s="72">
        <f>IF(OR(C1357="",E1357=""),"",E1357-Setup!$D$7)</f>
        <v/>
      </c>
      <c r="G1357" s="77">
        <f>IF(R1357="","",IF(INDEX('Recurring Schedule'!$H$6:$H$45,R1357)="","",INDEX('Recurring Schedule'!$H$6:$H$45,R1357)))</f>
        <v/>
      </c>
      <c r="H1357" s="77">
        <f>IF(R1357="","",IF(INDEX('Recurring Schedule'!$I$6:$I$45,R1357)="","",INDEX('Recurring Schedule'!$I$6:$I$45,R1357)))</f>
        <v/>
      </c>
      <c r="I1357" s="73">
        <f>IF(OR(G1357="",H1357=""),"",TRIM(IF(HOUR(H1357-G1357)&gt;0,HOUR(H1357-G1357)&amp;" hr ","")&amp;IF(MINUTE(H1357-G1357)&gt;0,MINUTE(H1357-G1357)&amp;" min","")))</f>
        <v/>
      </c>
      <c r="J1357" s="66" t="n"/>
      <c r="K1357" s="70" t="n"/>
      <c r="L1357" s="73">
        <f>IF(R1357="","",IF(INDEX('Recurring Schedule'!$J$6:$J$45,R1357)="","",INDEX('Recurring Schedule'!$J$6:$J$45,R1357)))</f>
        <v/>
      </c>
      <c r="M1357" s="73">
        <f>IF(R1357="","",IF(INDEX('Recurring Schedule'!$K$6:$K$45,R1357)="","",INDEX('Recurring Schedule'!$K$6:$K$45,R1357)))</f>
        <v/>
      </c>
      <c r="N1357" s="73">
        <f>IF(R1357="","",IF(INDEX('Recurring Schedule'!$L$6:$L$45,R1357)="","",INDEX('Recurring Schedule'!$L$6:$L$45,R1357)))</f>
        <v/>
      </c>
      <c r="O1357" s="73">
        <f>IF(C1357="","",IF(AND(OR(L1357="1-Urgent",L1357="2-High"),M1357="✓"),"DO FIRST",IF(M1357="✓","SCHEDULE",IF(OR(L1357="1-Urgent",L1357="2-High"),"DELEGATE","DELETE"))))</f>
        <v/>
      </c>
      <c r="P1357" s="65" t="n"/>
      <c r="Q1357">
        <f>IF(1352&gt;Calc!$AQ$368,"",MATCH(1351,Calc!$AQ$2:$AQ$367,1))</f>
        <v/>
      </c>
      <c r="R1357">
        <f>IF(Q1357="","",SMALL(INDEX(Calc!$B$2:$AO$367,Q1357,0),1352-INDEX(Calc!$AQ$2:$AQ$367,Q1357)))</f>
        <v/>
      </c>
    </row>
    <row r="1358">
      <c r="B1358" s="64">
        <f>IF(R1358="","",1353)</f>
        <v/>
      </c>
      <c r="C1358" s="37">
        <f>IF(R1358="","",IF(INDEX('Recurring Schedule'!$C$6:$C$45,R1358)="","",INDEX('Recurring Schedule'!$C$6:$C$45,R1358)))</f>
        <v/>
      </c>
      <c r="D1358" s="36">
        <f>IF(R1358="","",IF(INDEX('Recurring Schedule'!$D$6:$D$45,R1358)="","",INDEX('Recurring Schedule'!$D$6:$D$45,R1358)))</f>
        <v/>
      </c>
      <c r="E1358" s="38">
        <f>IF(Q1358="","",INDEX(Calc!$A$2:$A$367,Q1358))</f>
        <v/>
      </c>
      <c r="F1358" s="68">
        <f>IF(OR(C1358="",E1358=""),"",E1358-Setup!$D$7)</f>
        <v/>
      </c>
      <c r="G1358" s="74">
        <f>IF(R1358="","",IF(INDEX('Recurring Schedule'!$H$6:$H$45,R1358)="","",INDEX('Recurring Schedule'!$H$6:$H$45,R1358)))</f>
        <v/>
      </c>
      <c r="H1358" s="74">
        <f>IF(R1358="","",IF(INDEX('Recurring Schedule'!$I$6:$I$45,R1358)="","",INDEX('Recurring Schedule'!$I$6:$I$45,R1358)))</f>
        <v/>
      </c>
      <c r="I1358" s="36">
        <f>IF(OR(G1358="",H1358=""),"",TRIM(IF(HOUR(H1358-G1358)&gt;0,HOUR(H1358-G1358)&amp;" hr ","")&amp;IF(MINUTE(H1358-G1358)&gt;0,MINUTE(H1358-G1358)&amp;" min","")))</f>
        <v/>
      </c>
      <c r="J1358" s="66" t="n"/>
      <c r="K1358" s="70" t="n"/>
      <c r="L1358" s="36">
        <f>IF(R1358="","",IF(INDEX('Recurring Schedule'!$J$6:$J$45,R1358)="","",INDEX('Recurring Schedule'!$J$6:$J$45,R1358)))</f>
        <v/>
      </c>
      <c r="M1358" s="36">
        <f>IF(R1358="","",IF(INDEX('Recurring Schedule'!$K$6:$K$45,R1358)="","",INDEX('Recurring Schedule'!$K$6:$K$45,R1358)))</f>
        <v/>
      </c>
      <c r="N1358" s="36">
        <f>IF(R1358="","",IF(INDEX('Recurring Schedule'!$L$6:$L$45,R1358)="","",INDEX('Recurring Schedule'!$L$6:$L$45,R1358)))</f>
        <v/>
      </c>
      <c r="O1358" s="36">
        <f>IF(C1358="","",IF(AND(OR(L1358="1-Urgent",L1358="2-High"),M1358="✓"),"DO FIRST",IF(M1358="✓","SCHEDULE",IF(OR(L1358="1-Urgent",L1358="2-High"),"DELEGATE","DELETE"))))</f>
        <v/>
      </c>
      <c r="P1358" s="65" t="n"/>
      <c r="Q1358">
        <f>IF(1353&gt;Calc!$AQ$368,"",MATCH(1352,Calc!$AQ$2:$AQ$367,1))</f>
        <v/>
      </c>
      <c r="R1358">
        <f>IF(Q1358="","",SMALL(INDEX(Calc!$B$2:$AO$367,Q1358,0),1353-INDEX(Calc!$AQ$2:$AQ$367,Q1358)))</f>
        <v/>
      </c>
    </row>
    <row r="1359">
      <c r="B1359" s="71">
        <f>IF(R1359="","",1354)</f>
        <v/>
      </c>
      <c r="C1359" s="75">
        <f>IF(R1359="","",IF(INDEX('Recurring Schedule'!$C$6:$C$45,R1359)="","",INDEX('Recurring Schedule'!$C$6:$C$45,R1359)))</f>
        <v/>
      </c>
      <c r="D1359" s="73">
        <f>IF(R1359="","",IF(INDEX('Recurring Schedule'!$D$6:$D$45,R1359)="","",INDEX('Recurring Schedule'!$D$6:$D$45,R1359)))</f>
        <v/>
      </c>
      <c r="E1359" s="76">
        <f>IF(Q1359="","",INDEX(Calc!$A$2:$A$367,Q1359))</f>
        <v/>
      </c>
      <c r="F1359" s="72">
        <f>IF(OR(C1359="",E1359=""),"",E1359-Setup!$D$7)</f>
        <v/>
      </c>
      <c r="G1359" s="77">
        <f>IF(R1359="","",IF(INDEX('Recurring Schedule'!$H$6:$H$45,R1359)="","",INDEX('Recurring Schedule'!$H$6:$H$45,R1359)))</f>
        <v/>
      </c>
      <c r="H1359" s="77">
        <f>IF(R1359="","",IF(INDEX('Recurring Schedule'!$I$6:$I$45,R1359)="","",INDEX('Recurring Schedule'!$I$6:$I$45,R1359)))</f>
        <v/>
      </c>
      <c r="I1359" s="73">
        <f>IF(OR(G1359="",H1359=""),"",TRIM(IF(HOUR(H1359-G1359)&gt;0,HOUR(H1359-G1359)&amp;" hr ","")&amp;IF(MINUTE(H1359-G1359)&gt;0,MINUTE(H1359-G1359)&amp;" min","")))</f>
        <v/>
      </c>
      <c r="J1359" s="66" t="n"/>
      <c r="K1359" s="70" t="n"/>
      <c r="L1359" s="73">
        <f>IF(R1359="","",IF(INDEX('Recurring Schedule'!$J$6:$J$45,R1359)="","",INDEX('Recurring Schedule'!$J$6:$J$45,R1359)))</f>
        <v/>
      </c>
      <c r="M1359" s="73">
        <f>IF(R1359="","",IF(INDEX('Recurring Schedule'!$K$6:$K$45,R1359)="","",INDEX('Recurring Schedule'!$K$6:$K$45,R1359)))</f>
        <v/>
      </c>
      <c r="N1359" s="73">
        <f>IF(R1359="","",IF(INDEX('Recurring Schedule'!$L$6:$L$45,R1359)="","",INDEX('Recurring Schedule'!$L$6:$L$45,R1359)))</f>
        <v/>
      </c>
      <c r="O1359" s="73">
        <f>IF(C1359="","",IF(AND(OR(L1359="1-Urgent",L1359="2-High"),M1359="✓"),"DO FIRST",IF(M1359="✓","SCHEDULE",IF(OR(L1359="1-Urgent",L1359="2-High"),"DELEGATE","DELETE"))))</f>
        <v/>
      </c>
      <c r="P1359" s="65" t="n"/>
      <c r="Q1359">
        <f>IF(1354&gt;Calc!$AQ$368,"",MATCH(1353,Calc!$AQ$2:$AQ$367,1))</f>
        <v/>
      </c>
      <c r="R1359">
        <f>IF(Q1359="","",SMALL(INDEX(Calc!$B$2:$AO$367,Q1359,0),1354-INDEX(Calc!$AQ$2:$AQ$367,Q1359)))</f>
        <v/>
      </c>
    </row>
    <row r="1360">
      <c r="B1360" s="64">
        <f>IF(R1360="","",1355)</f>
        <v/>
      </c>
      <c r="C1360" s="37">
        <f>IF(R1360="","",IF(INDEX('Recurring Schedule'!$C$6:$C$45,R1360)="","",INDEX('Recurring Schedule'!$C$6:$C$45,R1360)))</f>
        <v/>
      </c>
      <c r="D1360" s="36">
        <f>IF(R1360="","",IF(INDEX('Recurring Schedule'!$D$6:$D$45,R1360)="","",INDEX('Recurring Schedule'!$D$6:$D$45,R1360)))</f>
        <v/>
      </c>
      <c r="E1360" s="38">
        <f>IF(Q1360="","",INDEX(Calc!$A$2:$A$367,Q1360))</f>
        <v/>
      </c>
      <c r="F1360" s="68">
        <f>IF(OR(C1360="",E1360=""),"",E1360-Setup!$D$7)</f>
        <v/>
      </c>
      <c r="G1360" s="74">
        <f>IF(R1360="","",IF(INDEX('Recurring Schedule'!$H$6:$H$45,R1360)="","",INDEX('Recurring Schedule'!$H$6:$H$45,R1360)))</f>
        <v/>
      </c>
      <c r="H1360" s="74">
        <f>IF(R1360="","",IF(INDEX('Recurring Schedule'!$I$6:$I$45,R1360)="","",INDEX('Recurring Schedule'!$I$6:$I$45,R1360)))</f>
        <v/>
      </c>
      <c r="I1360" s="36">
        <f>IF(OR(G1360="",H1360=""),"",TRIM(IF(HOUR(H1360-G1360)&gt;0,HOUR(H1360-G1360)&amp;" hr ","")&amp;IF(MINUTE(H1360-G1360)&gt;0,MINUTE(H1360-G1360)&amp;" min","")))</f>
        <v/>
      </c>
      <c r="J1360" s="66" t="n"/>
      <c r="K1360" s="70" t="n"/>
      <c r="L1360" s="36">
        <f>IF(R1360="","",IF(INDEX('Recurring Schedule'!$J$6:$J$45,R1360)="","",INDEX('Recurring Schedule'!$J$6:$J$45,R1360)))</f>
        <v/>
      </c>
      <c r="M1360" s="36">
        <f>IF(R1360="","",IF(INDEX('Recurring Schedule'!$K$6:$K$45,R1360)="","",INDEX('Recurring Schedule'!$K$6:$K$45,R1360)))</f>
        <v/>
      </c>
      <c r="N1360" s="36">
        <f>IF(R1360="","",IF(INDEX('Recurring Schedule'!$L$6:$L$45,R1360)="","",INDEX('Recurring Schedule'!$L$6:$L$45,R1360)))</f>
        <v/>
      </c>
      <c r="O1360" s="36">
        <f>IF(C1360="","",IF(AND(OR(L1360="1-Urgent",L1360="2-High"),M1360="✓"),"DO FIRST",IF(M1360="✓","SCHEDULE",IF(OR(L1360="1-Urgent",L1360="2-High"),"DELEGATE","DELETE"))))</f>
        <v/>
      </c>
      <c r="P1360" s="65" t="n"/>
      <c r="Q1360">
        <f>IF(1355&gt;Calc!$AQ$368,"",MATCH(1354,Calc!$AQ$2:$AQ$367,1))</f>
        <v/>
      </c>
      <c r="R1360">
        <f>IF(Q1360="","",SMALL(INDEX(Calc!$B$2:$AO$367,Q1360,0),1355-INDEX(Calc!$AQ$2:$AQ$367,Q1360)))</f>
        <v/>
      </c>
    </row>
    <row r="1361">
      <c r="B1361" s="71">
        <f>IF(R1361="","",1356)</f>
        <v/>
      </c>
      <c r="C1361" s="75">
        <f>IF(R1361="","",IF(INDEX('Recurring Schedule'!$C$6:$C$45,R1361)="","",INDEX('Recurring Schedule'!$C$6:$C$45,R1361)))</f>
        <v/>
      </c>
      <c r="D1361" s="73">
        <f>IF(R1361="","",IF(INDEX('Recurring Schedule'!$D$6:$D$45,R1361)="","",INDEX('Recurring Schedule'!$D$6:$D$45,R1361)))</f>
        <v/>
      </c>
      <c r="E1361" s="76">
        <f>IF(Q1361="","",INDEX(Calc!$A$2:$A$367,Q1361))</f>
        <v/>
      </c>
      <c r="F1361" s="72">
        <f>IF(OR(C1361="",E1361=""),"",E1361-Setup!$D$7)</f>
        <v/>
      </c>
      <c r="G1361" s="77">
        <f>IF(R1361="","",IF(INDEX('Recurring Schedule'!$H$6:$H$45,R1361)="","",INDEX('Recurring Schedule'!$H$6:$H$45,R1361)))</f>
        <v/>
      </c>
      <c r="H1361" s="77">
        <f>IF(R1361="","",IF(INDEX('Recurring Schedule'!$I$6:$I$45,R1361)="","",INDEX('Recurring Schedule'!$I$6:$I$45,R1361)))</f>
        <v/>
      </c>
      <c r="I1361" s="73">
        <f>IF(OR(G1361="",H1361=""),"",TRIM(IF(HOUR(H1361-G1361)&gt;0,HOUR(H1361-G1361)&amp;" hr ","")&amp;IF(MINUTE(H1361-G1361)&gt;0,MINUTE(H1361-G1361)&amp;" min","")))</f>
        <v/>
      </c>
      <c r="J1361" s="66" t="n"/>
      <c r="K1361" s="70" t="n"/>
      <c r="L1361" s="73">
        <f>IF(R1361="","",IF(INDEX('Recurring Schedule'!$J$6:$J$45,R1361)="","",INDEX('Recurring Schedule'!$J$6:$J$45,R1361)))</f>
        <v/>
      </c>
      <c r="M1361" s="73">
        <f>IF(R1361="","",IF(INDEX('Recurring Schedule'!$K$6:$K$45,R1361)="","",INDEX('Recurring Schedule'!$K$6:$K$45,R1361)))</f>
        <v/>
      </c>
      <c r="N1361" s="73">
        <f>IF(R1361="","",IF(INDEX('Recurring Schedule'!$L$6:$L$45,R1361)="","",INDEX('Recurring Schedule'!$L$6:$L$45,R1361)))</f>
        <v/>
      </c>
      <c r="O1361" s="73">
        <f>IF(C1361="","",IF(AND(OR(L1361="1-Urgent",L1361="2-High"),M1361="✓"),"DO FIRST",IF(M1361="✓","SCHEDULE",IF(OR(L1361="1-Urgent",L1361="2-High"),"DELEGATE","DELETE"))))</f>
        <v/>
      </c>
      <c r="P1361" s="65" t="n"/>
      <c r="Q1361">
        <f>IF(1356&gt;Calc!$AQ$368,"",MATCH(1355,Calc!$AQ$2:$AQ$367,1))</f>
        <v/>
      </c>
      <c r="R1361">
        <f>IF(Q1361="","",SMALL(INDEX(Calc!$B$2:$AO$367,Q1361,0),1356-INDEX(Calc!$AQ$2:$AQ$367,Q1361)))</f>
        <v/>
      </c>
    </row>
    <row r="1362">
      <c r="B1362" s="64">
        <f>IF(R1362="","",1357)</f>
        <v/>
      </c>
      <c r="C1362" s="37">
        <f>IF(R1362="","",IF(INDEX('Recurring Schedule'!$C$6:$C$45,R1362)="","",INDEX('Recurring Schedule'!$C$6:$C$45,R1362)))</f>
        <v/>
      </c>
      <c r="D1362" s="36">
        <f>IF(R1362="","",IF(INDEX('Recurring Schedule'!$D$6:$D$45,R1362)="","",INDEX('Recurring Schedule'!$D$6:$D$45,R1362)))</f>
        <v/>
      </c>
      <c r="E1362" s="38">
        <f>IF(Q1362="","",INDEX(Calc!$A$2:$A$367,Q1362))</f>
        <v/>
      </c>
      <c r="F1362" s="68">
        <f>IF(OR(C1362="",E1362=""),"",E1362-Setup!$D$7)</f>
        <v/>
      </c>
      <c r="G1362" s="74">
        <f>IF(R1362="","",IF(INDEX('Recurring Schedule'!$H$6:$H$45,R1362)="","",INDEX('Recurring Schedule'!$H$6:$H$45,R1362)))</f>
        <v/>
      </c>
      <c r="H1362" s="74">
        <f>IF(R1362="","",IF(INDEX('Recurring Schedule'!$I$6:$I$45,R1362)="","",INDEX('Recurring Schedule'!$I$6:$I$45,R1362)))</f>
        <v/>
      </c>
      <c r="I1362" s="36">
        <f>IF(OR(G1362="",H1362=""),"",TRIM(IF(HOUR(H1362-G1362)&gt;0,HOUR(H1362-G1362)&amp;" hr ","")&amp;IF(MINUTE(H1362-G1362)&gt;0,MINUTE(H1362-G1362)&amp;" min","")))</f>
        <v/>
      </c>
      <c r="J1362" s="66" t="n"/>
      <c r="K1362" s="70" t="n"/>
      <c r="L1362" s="36">
        <f>IF(R1362="","",IF(INDEX('Recurring Schedule'!$J$6:$J$45,R1362)="","",INDEX('Recurring Schedule'!$J$6:$J$45,R1362)))</f>
        <v/>
      </c>
      <c r="M1362" s="36">
        <f>IF(R1362="","",IF(INDEX('Recurring Schedule'!$K$6:$K$45,R1362)="","",INDEX('Recurring Schedule'!$K$6:$K$45,R1362)))</f>
        <v/>
      </c>
      <c r="N1362" s="36">
        <f>IF(R1362="","",IF(INDEX('Recurring Schedule'!$L$6:$L$45,R1362)="","",INDEX('Recurring Schedule'!$L$6:$L$45,R1362)))</f>
        <v/>
      </c>
      <c r="O1362" s="36">
        <f>IF(C1362="","",IF(AND(OR(L1362="1-Urgent",L1362="2-High"),M1362="✓"),"DO FIRST",IF(M1362="✓","SCHEDULE",IF(OR(L1362="1-Urgent",L1362="2-High"),"DELEGATE","DELETE"))))</f>
        <v/>
      </c>
      <c r="P1362" s="65" t="n"/>
      <c r="Q1362">
        <f>IF(1357&gt;Calc!$AQ$368,"",MATCH(1356,Calc!$AQ$2:$AQ$367,1))</f>
        <v/>
      </c>
      <c r="R1362">
        <f>IF(Q1362="","",SMALL(INDEX(Calc!$B$2:$AO$367,Q1362,0),1357-INDEX(Calc!$AQ$2:$AQ$367,Q1362)))</f>
        <v/>
      </c>
    </row>
    <row r="1363">
      <c r="B1363" s="71">
        <f>IF(R1363="","",1358)</f>
        <v/>
      </c>
      <c r="C1363" s="75">
        <f>IF(R1363="","",IF(INDEX('Recurring Schedule'!$C$6:$C$45,R1363)="","",INDEX('Recurring Schedule'!$C$6:$C$45,R1363)))</f>
        <v/>
      </c>
      <c r="D1363" s="73">
        <f>IF(R1363="","",IF(INDEX('Recurring Schedule'!$D$6:$D$45,R1363)="","",INDEX('Recurring Schedule'!$D$6:$D$45,R1363)))</f>
        <v/>
      </c>
      <c r="E1363" s="76">
        <f>IF(Q1363="","",INDEX(Calc!$A$2:$A$367,Q1363))</f>
        <v/>
      </c>
      <c r="F1363" s="72">
        <f>IF(OR(C1363="",E1363=""),"",E1363-Setup!$D$7)</f>
        <v/>
      </c>
      <c r="G1363" s="77">
        <f>IF(R1363="","",IF(INDEX('Recurring Schedule'!$H$6:$H$45,R1363)="","",INDEX('Recurring Schedule'!$H$6:$H$45,R1363)))</f>
        <v/>
      </c>
      <c r="H1363" s="77">
        <f>IF(R1363="","",IF(INDEX('Recurring Schedule'!$I$6:$I$45,R1363)="","",INDEX('Recurring Schedule'!$I$6:$I$45,R1363)))</f>
        <v/>
      </c>
      <c r="I1363" s="73">
        <f>IF(OR(G1363="",H1363=""),"",TRIM(IF(HOUR(H1363-G1363)&gt;0,HOUR(H1363-G1363)&amp;" hr ","")&amp;IF(MINUTE(H1363-G1363)&gt;0,MINUTE(H1363-G1363)&amp;" min","")))</f>
        <v/>
      </c>
      <c r="J1363" s="66" t="n"/>
      <c r="K1363" s="70" t="n"/>
      <c r="L1363" s="73">
        <f>IF(R1363="","",IF(INDEX('Recurring Schedule'!$J$6:$J$45,R1363)="","",INDEX('Recurring Schedule'!$J$6:$J$45,R1363)))</f>
        <v/>
      </c>
      <c r="M1363" s="73">
        <f>IF(R1363="","",IF(INDEX('Recurring Schedule'!$K$6:$K$45,R1363)="","",INDEX('Recurring Schedule'!$K$6:$K$45,R1363)))</f>
        <v/>
      </c>
      <c r="N1363" s="73">
        <f>IF(R1363="","",IF(INDEX('Recurring Schedule'!$L$6:$L$45,R1363)="","",INDEX('Recurring Schedule'!$L$6:$L$45,R1363)))</f>
        <v/>
      </c>
      <c r="O1363" s="73">
        <f>IF(C1363="","",IF(AND(OR(L1363="1-Urgent",L1363="2-High"),M1363="✓"),"DO FIRST",IF(M1363="✓","SCHEDULE",IF(OR(L1363="1-Urgent",L1363="2-High"),"DELEGATE","DELETE"))))</f>
        <v/>
      </c>
      <c r="P1363" s="65" t="n"/>
      <c r="Q1363">
        <f>IF(1358&gt;Calc!$AQ$368,"",MATCH(1357,Calc!$AQ$2:$AQ$367,1))</f>
        <v/>
      </c>
      <c r="R1363">
        <f>IF(Q1363="","",SMALL(INDEX(Calc!$B$2:$AO$367,Q1363,0),1358-INDEX(Calc!$AQ$2:$AQ$367,Q1363)))</f>
        <v/>
      </c>
    </row>
    <row r="1364">
      <c r="B1364" s="64">
        <f>IF(R1364="","",1359)</f>
        <v/>
      </c>
      <c r="C1364" s="37">
        <f>IF(R1364="","",IF(INDEX('Recurring Schedule'!$C$6:$C$45,R1364)="","",INDEX('Recurring Schedule'!$C$6:$C$45,R1364)))</f>
        <v/>
      </c>
      <c r="D1364" s="36">
        <f>IF(R1364="","",IF(INDEX('Recurring Schedule'!$D$6:$D$45,R1364)="","",INDEX('Recurring Schedule'!$D$6:$D$45,R1364)))</f>
        <v/>
      </c>
      <c r="E1364" s="38">
        <f>IF(Q1364="","",INDEX(Calc!$A$2:$A$367,Q1364))</f>
        <v/>
      </c>
      <c r="F1364" s="68">
        <f>IF(OR(C1364="",E1364=""),"",E1364-Setup!$D$7)</f>
        <v/>
      </c>
      <c r="G1364" s="74">
        <f>IF(R1364="","",IF(INDEX('Recurring Schedule'!$H$6:$H$45,R1364)="","",INDEX('Recurring Schedule'!$H$6:$H$45,R1364)))</f>
        <v/>
      </c>
      <c r="H1364" s="74">
        <f>IF(R1364="","",IF(INDEX('Recurring Schedule'!$I$6:$I$45,R1364)="","",INDEX('Recurring Schedule'!$I$6:$I$45,R1364)))</f>
        <v/>
      </c>
      <c r="I1364" s="36">
        <f>IF(OR(G1364="",H1364=""),"",TRIM(IF(HOUR(H1364-G1364)&gt;0,HOUR(H1364-G1364)&amp;" hr ","")&amp;IF(MINUTE(H1364-G1364)&gt;0,MINUTE(H1364-G1364)&amp;" min","")))</f>
        <v/>
      </c>
      <c r="J1364" s="66" t="n"/>
      <c r="K1364" s="70" t="n"/>
      <c r="L1364" s="36">
        <f>IF(R1364="","",IF(INDEX('Recurring Schedule'!$J$6:$J$45,R1364)="","",INDEX('Recurring Schedule'!$J$6:$J$45,R1364)))</f>
        <v/>
      </c>
      <c r="M1364" s="36">
        <f>IF(R1364="","",IF(INDEX('Recurring Schedule'!$K$6:$K$45,R1364)="","",INDEX('Recurring Schedule'!$K$6:$K$45,R1364)))</f>
        <v/>
      </c>
      <c r="N1364" s="36">
        <f>IF(R1364="","",IF(INDEX('Recurring Schedule'!$L$6:$L$45,R1364)="","",INDEX('Recurring Schedule'!$L$6:$L$45,R1364)))</f>
        <v/>
      </c>
      <c r="O1364" s="36">
        <f>IF(C1364="","",IF(AND(OR(L1364="1-Urgent",L1364="2-High"),M1364="✓"),"DO FIRST",IF(M1364="✓","SCHEDULE",IF(OR(L1364="1-Urgent",L1364="2-High"),"DELEGATE","DELETE"))))</f>
        <v/>
      </c>
      <c r="P1364" s="65" t="n"/>
      <c r="Q1364">
        <f>IF(1359&gt;Calc!$AQ$368,"",MATCH(1358,Calc!$AQ$2:$AQ$367,1))</f>
        <v/>
      </c>
      <c r="R1364">
        <f>IF(Q1364="","",SMALL(INDEX(Calc!$B$2:$AO$367,Q1364,0),1359-INDEX(Calc!$AQ$2:$AQ$367,Q1364)))</f>
        <v/>
      </c>
    </row>
    <row r="1365">
      <c r="B1365" s="71">
        <f>IF(R1365="","",1360)</f>
        <v/>
      </c>
      <c r="C1365" s="75">
        <f>IF(R1365="","",IF(INDEX('Recurring Schedule'!$C$6:$C$45,R1365)="","",INDEX('Recurring Schedule'!$C$6:$C$45,R1365)))</f>
        <v/>
      </c>
      <c r="D1365" s="73">
        <f>IF(R1365="","",IF(INDEX('Recurring Schedule'!$D$6:$D$45,R1365)="","",INDEX('Recurring Schedule'!$D$6:$D$45,R1365)))</f>
        <v/>
      </c>
      <c r="E1365" s="76">
        <f>IF(Q1365="","",INDEX(Calc!$A$2:$A$367,Q1365))</f>
        <v/>
      </c>
      <c r="F1365" s="72">
        <f>IF(OR(C1365="",E1365=""),"",E1365-Setup!$D$7)</f>
        <v/>
      </c>
      <c r="G1365" s="77">
        <f>IF(R1365="","",IF(INDEX('Recurring Schedule'!$H$6:$H$45,R1365)="","",INDEX('Recurring Schedule'!$H$6:$H$45,R1365)))</f>
        <v/>
      </c>
      <c r="H1365" s="77">
        <f>IF(R1365="","",IF(INDEX('Recurring Schedule'!$I$6:$I$45,R1365)="","",INDEX('Recurring Schedule'!$I$6:$I$45,R1365)))</f>
        <v/>
      </c>
      <c r="I1365" s="73">
        <f>IF(OR(G1365="",H1365=""),"",TRIM(IF(HOUR(H1365-G1365)&gt;0,HOUR(H1365-G1365)&amp;" hr ","")&amp;IF(MINUTE(H1365-G1365)&gt;0,MINUTE(H1365-G1365)&amp;" min","")))</f>
        <v/>
      </c>
      <c r="J1365" s="66" t="n"/>
      <c r="K1365" s="70" t="n"/>
      <c r="L1365" s="73">
        <f>IF(R1365="","",IF(INDEX('Recurring Schedule'!$J$6:$J$45,R1365)="","",INDEX('Recurring Schedule'!$J$6:$J$45,R1365)))</f>
        <v/>
      </c>
      <c r="M1365" s="73">
        <f>IF(R1365="","",IF(INDEX('Recurring Schedule'!$K$6:$K$45,R1365)="","",INDEX('Recurring Schedule'!$K$6:$K$45,R1365)))</f>
        <v/>
      </c>
      <c r="N1365" s="73">
        <f>IF(R1365="","",IF(INDEX('Recurring Schedule'!$L$6:$L$45,R1365)="","",INDEX('Recurring Schedule'!$L$6:$L$45,R1365)))</f>
        <v/>
      </c>
      <c r="O1365" s="73">
        <f>IF(C1365="","",IF(AND(OR(L1365="1-Urgent",L1365="2-High"),M1365="✓"),"DO FIRST",IF(M1365="✓","SCHEDULE",IF(OR(L1365="1-Urgent",L1365="2-High"),"DELEGATE","DELETE"))))</f>
        <v/>
      </c>
      <c r="P1365" s="65" t="n"/>
      <c r="Q1365">
        <f>IF(1360&gt;Calc!$AQ$368,"",MATCH(1359,Calc!$AQ$2:$AQ$367,1))</f>
        <v/>
      </c>
      <c r="R1365">
        <f>IF(Q1365="","",SMALL(INDEX(Calc!$B$2:$AO$367,Q1365,0),1360-INDEX(Calc!$AQ$2:$AQ$367,Q1365)))</f>
        <v/>
      </c>
    </row>
    <row r="1366">
      <c r="B1366" s="64">
        <f>IF(R1366="","",1361)</f>
        <v/>
      </c>
      <c r="C1366" s="37">
        <f>IF(R1366="","",IF(INDEX('Recurring Schedule'!$C$6:$C$45,R1366)="","",INDEX('Recurring Schedule'!$C$6:$C$45,R1366)))</f>
        <v/>
      </c>
      <c r="D1366" s="36">
        <f>IF(R1366="","",IF(INDEX('Recurring Schedule'!$D$6:$D$45,R1366)="","",INDEX('Recurring Schedule'!$D$6:$D$45,R1366)))</f>
        <v/>
      </c>
      <c r="E1366" s="38">
        <f>IF(Q1366="","",INDEX(Calc!$A$2:$A$367,Q1366))</f>
        <v/>
      </c>
      <c r="F1366" s="68">
        <f>IF(OR(C1366="",E1366=""),"",E1366-Setup!$D$7)</f>
        <v/>
      </c>
      <c r="G1366" s="74">
        <f>IF(R1366="","",IF(INDEX('Recurring Schedule'!$H$6:$H$45,R1366)="","",INDEX('Recurring Schedule'!$H$6:$H$45,R1366)))</f>
        <v/>
      </c>
      <c r="H1366" s="74">
        <f>IF(R1366="","",IF(INDEX('Recurring Schedule'!$I$6:$I$45,R1366)="","",INDEX('Recurring Schedule'!$I$6:$I$45,R1366)))</f>
        <v/>
      </c>
      <c r="I1366" s="36">
        <f>IF(OR(G1366="",H1366=""),"",TRIM(IF(HOUR(H1366-G1366)&gt;0,HOUR(H1366-G1366)&amp;" hr ","")&amp;IF(MINUTE(H1366-G1366)&gt;0,MINUTE(H1366-G1366)&amp;" min","")))</f>
        <v/>
      </c>
      <c r="J1366" s="66" t="n"/>
      <c r="K1366" s="70" t="n"/>
      <c r="L1366" s="36">
        <f>IF(R1366="","",IF(INDEX('Recurring Schedule'!$J$6:$J$45,R1366)="","",INDEX('Recurring Schedule'!$J$6:$J$45,R1366)))</f>
        <v/>
      </c>
      <c r="M1366" s="36">
        <f>IF(R1366="","",IF(INDEX('Recurring Schedule'!$K$6:$K$45,R1366)="","",INDEX('Recurring Schedule'!$K$6:$K$45,R1366)))</f>
        <v/>
      </c>
      <c r="N1366" s="36">
        <f>IF(R1366="","",IF(INDEX('Recurring Schedule'!$L$6:$L$45,R1366)="","",INDEX('Recurring Schedule'!$L$6:$L$45,R1366)))</f>
        <v/>
      </c>
      <c r="O1366" s="36">
        <f>IF(C1366="","",IF(AND(OR(L1366="1-Urgent",L1366="2-High"),M1366="✓"),"DO FIRST",IF(M1366="✓","SCHEDULE",IF(OR(L1366="1-Urgent",L1366="2-High"),"DELEGATE","DELETE"))))</f>
        <v/>
      </c>
      <c r="P1366" s="65" t="n"/>
      <c r="Q1366">
        <f>IF(1361&gt;Calc!$AQ$368,"",MATCH(1360,Calc!$AQ$2:$AQ$367,1))</f>
        <v/>
      </c>
      <c r="R1366">
        <f>IF(Q1366="","",SMALL(INDEX(Calc!$B$2:$AO$367,Q1366,0),1361-INDEX(Calc!$AQ$2:$AQ$367,Q1366)))</f>
        <v/>
      </c>
    </row>
    <row r="1367">
      <c r="B1367" s="71">
        <f>IF(R1367="","",1362)</f>
        <v/>
      </c>
      <c r="C1367" s="75">
        <f>IF(R1367="","",IF(INDEX('Recurring Schedule'!$C$6:$C$45,R1367)="","",INDEX('Recurring Schedule'!$C$6:$C$45,R1367)))</f>
        <v/>
      </c>
      <c r="D1367" s="73">
        <f>IF(R1367="","",IF(INDEX('Recurring Schedule'!$D$6:$D$45,R1367)="","",INDEX('Recurring Schedule'!$D$6:$D$45,R1367)))</f>
        <v/>
      </c>
      <c r="E1367" s="76">
        <f>IF(Q1367="","",INDEX(Calc!$A$2:$A$367,Q1367))</f>
        <v/>
      </c>
      <c r="F1367" s="72">
        <f>IF(OR(C1367="",E1367=""),"",E1367-Setup!$D$7)</f>
        <v/>
      </c>
      <c r="G1367" s="77">
        <f>IF(R1367="","",IF(INDEX('Recurring Schedule'!$H$6:$H$45,R1367)="","",INDEX('Recurring Schedule'!$H$6:$H$45,R1367)))</f>
        <v/>
      </c>
      <c r="H1367" s="77">
        <f>IF(R1367="","",IF(INDEX('Recurring Schedule'!$I$6:$I$45,R1367)="","",INDEX('Recurring Schedule'!$I$6:$I$45,R1367)))</f>
        <v/>
      </c>
      <c r="I1367" s="73">
        <f>IF(OR(G1367="",H1367=""),"",TRIM(IF(HOUR(H1367-G1367)&gt;0,HOUR(H1367-G1367)&amp;" hr ","")&amp;IF(MINUTE(H1367-G1367)&gt;0,MINUTE(H1367-G1367)&amp;" min","")))</f>
        <v/>
      </c>
      <c r="J1367" s="66" t="n"/>
      <c r="K1367" s="70" t="n"/>
      <c r="L1367" s="73">
        <f>IF(R1367="","",IF(INDEX('Recurring Schedule'!$J$6:$J$45,R1367)="","",INDEX('Recurring Schedule'!$J$6:$J$45,R1367)))</f>
        <v/>
      </c>
      <c r="M1367" s="73">
        <f>IF(R1367="","",IF(INDEX('Recurring Schedule'!$K$6:$K$45,R1367)="","",INDEX('Recurring Schedule'!$K$6:$K$45,R1367)))</f>
        <v/>
      </c>
      <c r="N1367" s="73">
        <f>IF(R1367="","",IF(INDEX('Recurring Schedule'!$L$6:$L$45,R1367)="","",INDEX('Recurring Schedule'!$L$6:$L$45,R1367)))</f>
        <v/>
      </c>
      <c r="O1367" s="73">
        <f>IF(C1367="","",IF(AND(OR(L1367="1-Urgent",L1367="2-High"),M1367="✓"),"DO FIRST",IF(M1367="✓","SCHEDULE",IF(OR(L1367="1-Urgent",L1367="2-High"),"DELEGATE","DELETE"))))</f>
        <v/>
      </c>
      <c r="P1367" s="65" t="n"/>
      <c r="Q1367">
        <f>IF(1362&gt;Calc!$AQ$368,"",MATCH(1361,Calc!$AQ$2:$AQ$367,1))</f>
        <v/>
      </c>
      <c r="R1367">
        <f>IF(Q1367="","",SMALL(INDEX(Calc!$B$2:$AO$367,Q1367,0),1362-INDEX(Calc!$AQ$2:$AQ$367,Q1367)))</f>
        <v/>
      </c>
    </row>
    <row r="1368">
      <c r="B1368" s="64">
        <f>IF(R1368="","",1363)</f>
        <v/>
      </c>
      <c r="C1368" s="37">
        <f>IF(R1368="","",IF(INDEX('Recurring Schedule'!$C$6:$C$45,R1368)="","",INDEX('Recurring Schedule'!$C$6:$C$45,R1368)))</f>
        <v/>
      </c>
      <c r="D1368" s="36">
        <f>IF(R1368="","",IF(INDEX('Recurring Schedule'!$D$6:$D$45,R1368)="","",INDEX('Recurring Schedule'!$D$6:$D$45,R1368)))</f>
        <v/>
      </c>
      <c r="E1368" s="38">
        <f>IF(Q1368="","",INDEX(Calc!$A$2:$A$367,Q1368))</f>
        <v/>
      </c>
      <c r="F1368" s="68">
        <f>IF(OR(C1368="",E1368=""),"",E1368-Setup!$D$7)</f>
        <v/>
      </c>
      <c r="G1368" s="74">
        <f>IF(R1368="","",IF(INDEX('Recurring Schedule'!$H$6:$H$45,R1368)="","",INDEX('Recurring Schedule'!$H$6:$H$45,R1368)))</f>
        <v/>
      </c>
      <c r="H1368" s="74">
        <f>IF(R1368="","",IF(INDEX('Recurring Schedule'!$I$6:$I$45,R1368)="","",INDEX('Recurring Schedule'!$I$6:$I$45,R1368)))</f>
        <v/>
      </c>
      <c r="I1368" s="36">
        <f>IF(OR(G1368="",H1368=""),"",TRIM(IF(HOUR(H1368-G1368)&gt;0,HOUR(H1368-G1368)&amp;" hr ","")&amp;IF(MINUTE(H1368-G1368)&gt;0,MINUTE(H1368-G1368)&amp;" min","")))</f>
        <v/>
      </c>
      <c r="J1368" s="66" t="n"/>
      <c r="K1368" s="70" t="n"/>
      <c r="L1368" s="36">
        <f>IF(R1368="","",IF(INDEX('Recurring Schedule'!$J$6:$J$45,R1368)="","",INDEX('Recurring Schedule'!$J$6:$J$45,R1368)))</f>
        <v/>
      </c>
      <c r="M1368" s="36">
        <f>IF(R1368="","",IF(INDEX('Recurring Schedule'!$K$6:$K$45,R1368)="","",INDEX('Recurring Schedule'!$K$6:$K$45,R1368)))</f>
        <v/>
      </c>
      <c r="N1368" s="36">
        <f>IF(R1368="","",IF(INDEX('Recurring Schedule'!$L$6:$L$45,R1368)="","",INDEX('Recurring Schedule'!$L$6:$L$45,R1368)))</f>
        <v/>
      </c>
      <c r="O1368" s="36">
        <f>IF(C1368="","",IF(AND(OR(L1368="1-Urgent",L1368="2-High"),M1368="✓"),"DO FIRST",IF(M1368="✓","SCHEDULE",IF(OR(L1368="1-Urgent",L1368="2-High"),"DELEGATE","DELETE"))))</f>
        <v/>
      </c>
      <c r="P1368" s="65" t="n"/>
      <c r="Q1368">
        <f>IF(1363&gt;Calc!$AQ$368,"",MATCH(1362,Calc!$AQ$2:$AQ$367,1))</f>
        <v/>
      </c>
      <c r="R1368">
        <f>IF(Q1368="","",SMALL(INDEX(Calc!$B$2:$AO$367,Q1368,0),1363-INDEX(Calc!$AQ$2:$AQ$367,Q1368)))</f>
        <v/>
      </c>
    </row>
    <row r="1369">
      <c r="B1369" s="71">
        <f>IF(R1369="","",1364)</f>
        <v/>
      </c>
      <c r="C1369" s="75">
        <f>IF(R1369="","",IF(INDEX('Recurring Schedule'!$C$6:$C$45,R1369)="","",INDEX('Recurring Schedule'!$C$6:$C$45,R1369)))</f>
        <v/>
      </c>
      <c r="D1369" s="73">
        <f>IF(R1369="","",IF(INDEX('Recurring Schedule'!$D$6:$D$45,R1369)="","",INDEX('Recurring Schedule'!$D$6:$D$45,R1369)))</f>
        <v/>
      </c>
      <c r="E1369" s="76">
        <f>IF(Q1369="","",INDEX(Calc!$A$2:$A$367,Q1369))</f>
        <v/>
      </c>
      <c r="F1369" s="72">
        <f>IF(OR(C1369="",E1369=""),"",E1369-Setup!$D$7)</f>
        <v/>
      </c>
      <c r="G1369" s="77">
        <f>IF(R1369="","",IF(INDEX('Recurring Schedule'!$H$6:$H$45,R1369)="","",INDEX('Recurring Schedule'!$H$6:$H$45,R1369)))</f>
        <v/>
      </c>
      <c r="H1369" s="77">
        <f>IF(R1369="","",IF(INDEX('Recurring Schedule'!$I$6:$I$45,R1369)="","",INDEX('Recurring Schedule'!$I$6:$I$45,R1369)))</f>
        <v/>
      </c>
      <c r="I1369" s="73">
        <f>IF(OR(G1369="",H1369=""),"",TRIM(IF(HOUR(H1369-G1369)&gt;0,HOUR(H1369-G1369)&amp;" hr ","")&amp;IF(MINUTE(H1369-G1369)&gt;0,MINUTE(H1369-G1369)&amp;" min","")))</f>
        <v/>
      </c>
      <c r="J1369" s="66" t="n"/>
      <c r="K1369" s="70" t="n"/>
      <c r="L1369" s="73">
        <f>IF(R1369="","",IF(INDEX('Recurring Schedule'!$J$6:$J$45,R1369)="","",INDEX('Recurring Schedule'!$J$6:$J$45,R1369)))</f>
        <v/>
      </c>
      <c r="M1369" s="73">
        <f>IF(R1369="","",IF(INDEX('Recurring Schedule'!$K$6:$K$45,R1369)="","",INDEX('Recurring Schedule'!$K$6:$K$45,R1369)))</f>
        <v/>
      </c>
      <c r="N1369" s="73">
        <f>IF(R1369="","",IF(INDEX('Recurring Schedule'!$L$6:$L$45,R1369)="","",INDEX('Recurring Schedule'!$L$6:$L$45,R1369)))</f>
        <v/>
      </c>
      <c r="O1369" s="73">
        <f>IF(C1369="","",IF(AND(OR(L1369="1-Urgent",L1369="2-High"),M1369="✓"),"DO FIRST",IF(M1369="✓","SCHEDULE",IF(OR(L1369="1-Urgent",L1369="2-High"),"DELEGATE","DELETE"))))</f>
        <v/>
      </c>
      <c r="P1369" s="65" t="n"/>
      <c r="Q1369">
        <f>IF(1364&gt;Calc!$AQ$368,"",MATCH(1363,Calc!$AQ$2:$AQ$367,1))</f>
        <v/>
      </c>
      <c r="R1369">
        <f>IF(Q1369="","",SMALL(INDEX(Calc!$B$2:$AO$367,Q1369,0),1364-INDEX(Calc!$AQ$2:$AQ$367,Q1369)))</f>
        <v/>
      </c>
    </row>
    <row r="1370">
      <c r="B1370" s="64">
        <f>IF(R1370="","",1365)</f>
        <v/>
      </c>
      <c r="C1370" s="37">
        <f>IF(R1370="","",IF(INDEX('Recurring Schedule'!$C$6:$C$45,R1370)="","",INDEX('Recurring Schedule'!$C$6:$C$45,R1370)))</f>
        <v/>
      </c>
      <c r="D1370" s="36">
        <f>IF(R1370="","",IF(INDEX('Recurring Schedule'!$D$6:$D$45,R1370)="","",INDEX('Recurring Schedule'!$D$6:$D$45,R1370)))</f>
        <v/>
      </c>
      <c r="E1370" s="38">
        <f>IF(Q1370="","",INDEX(Calc!$A$2:$A$367,Q1370))</f>
        <v/>
      </c>
      <c r="F1370" s="68">
        <f>IF(OR(C1370="",E1370=""),"",E1370-Setup!$D$7)</f>
        <v/>
      </c>
      <c r="G1370" s="74">
        <f>IF(R1370="","",IF(INDEX('Recurring Schedule'!$H$6:$H$45,R1370)="","",INDEX('Recurring Schedule'!$H$6:$H$45,R1370)))</f>
        <v/>
      </c>
      <c r="H1370" s="74">
        <f>IF(R1370="","",IF(INDEX('Recurring Schedule'!$I$6:$I$45,R1370)="","",INDEX('Recurring Schedule'!$I$6:$I$45,R1370)))</f>
        <v/>
      </c>
      <c r="I1370" s="36">
        <f>IF(OR(G1370="",H1370=""),"",TRIM(IF(HOUR(H1370-G1370)&gt;0,HOUR(H1370-G1370)&amp;" hr ","")&amp;IF(MINUTE(H1370-G1370)&gt;0,MINUTE(H1370-G1370)&amp;" min","")))</f>
        <v/>
      </c>
      <c r="J1370" s="66" t="n"/>
      <c r="K1370" s="70" t="n"/>
      <c r="L1370" s="36">
        <f>IF(R1370="","",IF(INDEX('Recurring Schedule'!$J$6:$J$45,R1370)="","",INDEX('Recurring Schedule'!$J$6:$J$45,R1370)))</f>
        <v/>
      </c>
      <c r="M1370" s="36">
        <f>IF(R1370="","",IF(INDEX('Recurring Schedule'!$K$6:$K$45,R1370)="","",INDEX('Recurring Schedule'!$K$6:$K$45,R1370)))</f>
        <v/>
      </c>
      <c r="N1370" s="36">
        <f>IF(R1370="","",IF(INDEX('Recurring Schedule'!$L$6:$L$45,R1370)="","",INDEX('Recurring Schedule'!$L$6:$L$45,R1370)))</f>
        <v/>
      </c>
      <c r="O1370" s="36">
        <f>IF(C1370="","",IF(AND(OR(L1370="1-Urgent",L1370="2-High"),M1370="✓"),"DO FIRST",IF(M1370="✓","SCHEDULE",IF(OR(L1370="1-Urgent",L1370="2-High"),"DELEGATE","DELETE"))))</f>
        <v/>
      </c>
      <c r="P1370" s="65" t="n"/>
      <c r="Q1370">
        <f>IF(1365&gt;Calc!$AQ$368,"",MATCH(1364,Calc!$AQ$2:$AQ$367,1))</f>
        <v/>
      </c>
      <c r="R1370">
        <f>IF(Q1370="","",SMALL(INDEX(Calc!$B$2:$AO$367,Q1370,0),1365-INDEX(Calc!$AQ$2:$AQ$367,Q1370)))</f>
        <v/>
      </c>
    </row>
    <row r="1371">
      <c r="B1371" s="71">
        <f>IF(R1371="","",1366)</f>
        <v/>
      </c>
      <c r="C1371" s="75">
        <f>IF(R1371="","",IF(INDEX('Recurring Schedule'!$C$6:$C$45,R1371)="","",INDEX('Recurring Schedule'!$C$6:$C$45,R1371)))</f>
        <v/>
      </c>
      <c r="D1371" s="73">
        <f>IF(R1371="","",IF(INDEX('Recurring Schedule'!$D$6:$D$45,R1371)="","",INDEX('Recurring Schedule'!$D$6:$D$45,R1371)))</f>
        <v/>
      </c>
      <c r="E1371" s="76">
        <f>IF(Q1371="","",INDEX(Calc!$A$2:$A$367,Q1371))</f>
        <v/>
      </c>
      <c r="F1371" s="72">
        <f>IF(OR(C1371="",E1371=""),"",E1371-Setup!$D$7)</f>
        <v/>
      </c>
      <c r="G1371" s="77">
        <f>IF(R1371="","",IF(INDEX('Recurring Schedule'!$H$6:$H$45,R1371)="","",INDEX('Recurring Schedule'!$H$6:$H$45,R1371)))</f>
        <v/>
      </c>
      <c r="H1371" s="77">
        <f>IF(R1371="","",IF(INDEX('Recurring Schedule'!$I$6:$I$45,R1371)="","",INDEX('Recurring Schedule'!$I$6:$I$45,R1371)))</f>
        <v/>
      </c>
      <c r="I1371" s="73">
        <f>IF(OR(G1371="",H1371=""),"",TRIM(IF(HOUR(H1371-G1371)&gt;0,HOUR(H1371-G1371)&amp;" hr ","")&amp;IF(MINUTE(H1371-G1371)&gt;0,MINUTE(H1371-G1371)&amp;" min","")))</f>
        <v/>
      </c>
      <c r="J1371" s="66" t="n"/>
      <c r="K1371" s="70" t="n"/>
      <c r="L1371" s="73">
        <f>IF(R1371="","",IF(INDEX('Recurring Schedule'!$J$6:$J$45,R1371)="","",INDEX('Recurring Schedule'!$J$6:$J$45,R1371)))</f>
        <v/>
      </c>
      <c r="M1371" s="73">
        <f>IF(R1371="","",IF(INDEX('Recurring Schedule'!$K$6:$K$45,R1371)="","",INDEX('Recurring Schedule'!$K$6:$K$45,R1371)))</f>
        <v/>
      </c>
      <c r="N1371" s="73">
        <f>IF(R1371="","",IF(INDEX('Recurring Schedule'!$L$6:$L$45,R1371)="","",INDEX('Recurring Schedule'!$L$6:$L$45,R1371)))</f>
        <v/>
      </c>
      <c r="O1371" s="73">
        <f>IF(C1371="","",IF(AND(OR(L1371="1-Urgent",L1371="2-High"),M1371="✓"),"DO FIRST",IF(M1371="✓","SCHEDULE",IF(OR(L1371="1-Urgent",L1371="2-High"),"DELEGATE","DELETE"))))</f>
        <v/>
      </c>
      <c r="P1371" s="65" t="n"/>
      <c r="Q1371">
        <f>IF(1366&gt;Calc!$AQ$368,"",MATCH(1365,Calc!$AQ$2:$AQ$367,1))</f>
        <v/>
      </c>
      <c r="R1371">
        <f>IF(Q1371="","",SMALL(INDEX(Calc!$B$2:$AO$367,Q1371,0),1366-INDEX(Calc!$AQ$2:$AQ$367,Q1371)))</f>
        <v/>
      </c>
    </row>
    <row r="1372">
      <c r="B1372" s="64">
        <f>IF(R1372="","",1367)</f>
        <v/>
      </c>
      <c r="C1372" s="37">
        <f>IF(R1372="","",IF(INDEX('Recurring Schedule'!$C$6:$C$45,R1372)="","",INDEX('Recurring Schedule'!$C$6:$C$45,R1372)))</f>
        <v/>
      </c>
      <c r="D1372" s="36">
        <f>IF(R1372="","",IF(INDEX('Recurring Schedule'!$D$6:$D$45,R1372)="","",INDEX('Recurring Schedule'!$D$6:$D$45,R1372)))</f>
        <v/>
      </c>
      <c r="E1372" s="38">
        <f>IF(Q1372="","",INDEX(Calc!$A$2:$A$367,Q1372))</f>
        <v/>
      </c>
      <c r="F1372" s="68">
        <f>IF(OR(C1372="",E1372=""),"",E1372-Setup!$D$7)</f>
        <v/>
      </c>
      <c r="G1372" s="74">
        <f>IF(R1372="","",IF(INDEX('Recurring Schedule'!$H$6:$H$45,R1372)="","",INDEX('Recurring Schedule'!$H$6:$H$45,R1372)))</f>
        <v/>
      </c>
      <c r="H1372" s="74">
        <f>IF(R1372="","",IF(INDEX('Recurring Schedule'!$I$6:$I$45,R1372)="","",INDEX('Recurring Schedule'!$I$6:$I$45,R1372)))</f>
        <v/>
      </c>
      <c r="I1372" s="36">
        <f>IF(OR(G1372="",H1372=""),"",TRIM(IF(HOUR(H1372-G1372)&gt;0,HOUR(H1372-G1372)&amp;" hr ","")&amp;IF(MINUTE(H1372-G1372)&gt;0,MINUTE(H1372-G1372)&amp;" min","")))</f>
        <v/>
      </c>
      <c r="J1372" s="66" t="n"/>
      <c r="K1372" s="70" t="n"/>
      <c r="L1372" s="36">
        <f>IF(R1372="","",IF(INDEX('Recurring Schedule'!$J$6:$J$45,R1372)="","",INDEX('Recurring Schedule'!$J$6:$J$45,R1372)))</f>
        <v/>
      </c>
      <c r="M1372" s="36">
        <f>IF(R1372="","",IF(INDEX('Recurring Schedule'!$K$6:$K$45,R1372)="","",INDEX('Recurring Schedule'!$K$6:$K$45,R1372)))</f>
        <v/>
      </c>
      <c r="N1372" s="36">
        <f>IF(R1372="","",IF(INDEX('Recurring Schedule'!$L$6:$L$45,R1372)="","",INDEX('Recurring Schedule'!$L$6:$L$45,R1372)))</f>
        <v/>
      </c>
      <c r="O1372" s="36">
        <f>IF(C1372="","",IF(AND(OR(L1372="1-Urgent",L1372="2-High"),M1372="✓"),"DO FIRST",IF(M1372="✓","SCHEDULE",IF(OR(L1372="1-Urgent",L1372="2-High"),"DELEGATE","DELETE"))))</f>
        <v/>
      </c>
      <c r="P1372" s="65" t="n"/>
      <c r="Q1372">
        <f>IF(1367&gt;Calc!$AQ$368,"",MATCH(1366,Calc!$AQ$2:$AQ$367,1))</f>
        <v/>
      </c>
      <c r="R1372">
        <f>IF(Q1372="","",SMALL(INDEX(Calc!$B$2:$AO$367,Q1372,0),1367-INDEX(Calc!$AQ$2:$AQ$367,Q1372)))</f>
        <v/>
      </c>
    </row>
    <row r="1373">
      <c r="B1373" s="71">
        <f>IF(R1373="","",1368)</f>
        <v/>
      </c>
      <c r="C1373" s="75">
        <f>IF(R1373="","",IF(INDEX('Recurring Schedule'!$C$6:$C$45,R1373)="","",INDEX('Recurring Schedule'!$C$6:$C$45,R1373)))</f>
        <v/>
      </c>
      <c r="D1373" s="73">
        <f>IF(R1373="","",IF(INDEX('Recurring Schedule'!$D$6:$D$45,R1373)="","",INDEX('Recurring Schedule'!$D$6:$D$45,R1373)))</f>
        <v/>
      </c>
      <c r="E1373" s="76">
        <f>IF(Q1373="","",INDEX(Calc!$A$2:$A$367,Q1373))</f>
        <v/>
      </c>
      <c r="F1373" s="72">
        <f>IF(OR(C1373="",E1373=""),"",E1373-Setup!$D$7)</f>
        <v/>
      </c>
      <c r="G1373" s="77">
        <f>IF(R1373="","",IF(INDEX('Recurring Schedule'!$H$6:$H$45,R1373)="","",INDEX('Recurring Schedule'!$H$6:$H$45,R1373)))</f>
        <v/>
      </c>
      <c r="H1373" s="77">
        <f>IF(R1373="","",IF(INDEX('Recurring Schedule'!$I$6:$I$45,R1373)="","",INDEX('Recurring Schedule'!$I$6:$I$45,R1373)))</f>
        <v/>
      </c>
      <c r="I1373" s="73">
        <f>IF(OR(G1373="",H1373=""),"",TRIM(IF(HOUR(H1373-G1373)&gt;0,HOUR(H1373-G1373)&amp;" hr ","")&amp;IF(MINUTE(H1373-G1373)&gt;0,MINUTE(H1373-G1373)&amp;" min","")))</f>
        <v/>
      </c>
      <c r="J1373" s="66" t="n"/>
      <c r="K1373" s="70" t="n"/>
      <c r="L1373" s="73">
        <f>IF(R1373="","",IF(INDEX('Recurring Schedule'!$J$6:$J$45,R1373)="","",INDEX('Recurring Schedule'!$J$6:$J$45,R1373)))</f>
        <v/>
      </c>
      <c r="M1373" s="73">
        <f>IF(R1373="","",IF(INDEX('Recurring Schedule'!$K$6:$K$45,R1373)="","",INDEX('Recurring Schedule'!$K$6:$K$45,R1373)))</f>
        <v/>
      </c>
      <c r="N1373" s="73">
        <f>IF(R1373="","",IF(INDEX('Recurring Schedule'!$L$6:$L$45,R1373)="","",INDEX('Recurring Schedule'!$L$6:$L$45,R1373)))</f>
        <v/>
      </c>
      <c r="O1373" s="73">
        <f>IF(C1373="","",IF(AND(OR(L1373="1-Urgent",L1373="2-High"),M1373="✓"),"DO FIRST",IF(M1373="✓","SCHEDULE",IF(OR(L1373="1-Urgent",L1373="2-High"),"DELEGATE","DELETE"))))</f>
        <v/>
      </c>
      <c r="P1373" s="65" t="n"/>
      <c r="Q1373">
        <f>IF(1368&gt;Calc!$AQ$368,"",MATCH(1367,Calc!$AQ$2:$AQ$367,1))</f>
        <v/>
      </c>
      <c r="R1373">
        <f>IF(Q1373="","",SMALL(INDEX(Calc!$B$2:$AO$367,Q1373,0),1368-INDEX(Calc!$AQ$2:$AQ$367,Q1373)))</f>
        <v/>
      </c>
    </row>
    <row r="1374">
      <c r="B1374" s="64">
        <f>IF(R1374="","",1369)</f>
        <v/>
      </c>
      <c r="C1374" s="37">
        <f>IF(R1374="","",IF(INDEX('Recurring Schedule'!$C$6:$C$45,R1374)="","",INDEX('Recurring Schedule'!$C$6:$C$45,R1374)))</f>
        <v/>
      </c>
      <c r="D1374" s="36">
        <f>IF(R1374="","",IF(INDEX('Recurring Schedule'!$D$6:$D$45,R1374)="","",INDEX('Recurring Schedule'!$D$6:$D$45,R1374)))</f>
        <v/>
      </c>
      <c r="E1374" s="38">
        <f>IF(Q1374="","",INDEX(Calc!$A$2:$A$367,Q1374))</f>
        <v/>
      </c>
      <c r="F1374" s="68">
        <f>IF(OR(C1374="",E1374=""),"",E1374-Setup!$D$7)</f>
        <v/>
      </c>
      <c r="G1374" s="74">
        <f>IF(R1374="","",IF(INDEX('Recurring Schedule'!$H$6:$H$45,R1374)="","",INDEX('Recurring Schedule'!$H$6:$H$45,R1374)))</f>
        <v/>
      </c>
      <c r="H1374" s="74">
        <f>IF(R1374="","",IF(INDEX('Recurring Schedule'!$I$6:$I$45,R1374)="","",INDEX('Recurring Schedule'!$I$6:$I$45,R1374)))</f>
        <v/>
      </c>
      <c r="I1374" s="36">
        <f>IF(OR(G1374="",H1374=""),"",TRIM(IF(HOUR(H1374-G1374)&gt;0,HOUR(H1374-G1374)&amp;" hr ","")&amp;IF(MINUTE(H1374-G1374)&gt;0,MINUTE(H1374-G1374)&amp;" min","")))</f>
        <v/>
      </c>
      <c r="J1374" s="66" t="n"/>
      <c r="K1374" s="70" t="n"/>
      <c r="L1374" s="36">
        <f>IF(R1374="","",IF(INDEX('Recurring Schedule'!$J$6:$J$45,R1374)="","",INDEX('Recurring Schedule'!$J$6:$J$45,R1374)))</f>
        <v/>
      </c>
      <c r="M1374" s="36">
        <f>IF(R1374="","",IF(INDEX('Recurring Schedule'!$K$6:$K$45,R1374)="","",INDEX('Recurring Schedule'!$K$6:$K$45,R1374)))</f>
        <v/>
      </c>
      <c r="N1374" s="36">
        <f>IF(R1374="","",IF(INDEX('Recurring Schedule'!$L$6:$L$45,R1374)="","",INDEX('Recurring Schedule'!$L$6:$L$45,R1374)))</f>
        <v/>
      </c>
      <c r="O1374" s="36">
        <f>IF(C1374="","",IF(AND(OR(L1374="1-Urgent",L1374="2-High"),M1374="✓"),"DO FIRST",IF(M1374="✓","SCHEDULE",IF(OR(L1374="1-Urgent",L1374="2-High"),"DELEGATE","DELETE"))))</f>
        <v/>
      </c>
      <c r="P1374" s="65" t="n"/>
      <c r="Q1374">
        <f>IF(1369&gt;Calc!$AQ$368,"",MATCH(1368,Calc!$AQ$2:$AQ$367,1))</f>
        <v/>
      </c>
      <c r="R1374">
        <f>IF(Q1374="","",SMALL(INDEX(Calc!$B$2:$AO$367,Q1374,0),1369-INDEX(Calc!$AQ$2:$AQ$367,Q1374)))</f>
        <v/>
      </c>
    </row>
    <row r="1375">
      <c r="B1375" s="71">
        <f>IF(R1375="","",1370)</f>
        <v/>
      </c>
      <c r="C1375" s="75">
        <f>IF(R1375="","",IF(INDEX('Recurring Schedule'!$C$6:$C$45,R1375)="","",INDEX('Recurring Schedule'!$C$6:$C$45,R1375)))</f>
        <v/>
      </c>
      <c r="D1375" s="73">
        <f>IF(R1375="","",IF(INDEX('Recurring Schedule'!$D$6:$D$45,R1375)="","",INDEX('Recurring Schedule'!$D$6:$D$45,R1375)))</f>
        <v/>
      </c>
      <c r="E1375" s="76">
        <f>IF(Q1375="","",INDEX(Calc!$A$2:$A$367,Q1375))</f>
        <v/>
      </c>
      <c r="F1375" s="72">
        <f>IF(OR(C1375="",E1375=""),"",E1375-Setup!$D$7)</f>
        <v/>
      </c>
      <c r="G1375" s="77">
        <f>IF(R1375="","",IF(INDEX('Recurring Schedule'!$H$6:$H$45,R1375)="","",INDEX('Recurring Schedule'!$H$6:$H$45,R1375)))</f>
        <v/>
      </c>
      <c r="H1375" s="77">
        <f>IF(R1375="","",IF(INDEX('Recurring Schedule'!$I$6:$I$45,R1375)="","",INDEX('Recurring Schedule'!$I$6:$I$45,R1375)))</f>
        <v/>
      </c>
      <c r="I1375" s="73">
        <f>IF(OR(G1375="",H1375=""),"",TRIM(IF(HOUR(H1375-G1375)&gt;0,HOUR(H1375-G1375)&amp;" hr ","")&amp;IF(MINUTE(H1375-G1375)&gt;0,MINUTE(H1375-G1375)&amp;" min","")))</f>
        <v/>
      </c>
      <c r="J1375" s="66" t="n"/>
      <c r="K1375" s="70" t="n"/>
      <c r="L1375" s="73">
        <f>IF(R1375="","",IF(INDEX('Recurring Schedule'!$J$6:$J$45,R1375)="","",INDEX('Recurring Schedule'!$J$6:$J$45,R1375)))</f>
        <v/>
      </c>
      <c r="M1375" s="73">
        <f>IF(R1375="","",IF(INDEX('Recurring Schedule'!$K$6:$K$45,R1375)="","",INDEX('Recurring Schedule'!$K$6:$K$45,R1375)))</f>
        <v/>
      </c>
      <c r="N1375" s="73">
        <f>IF(R1375="","",IF(INDEX('Recurring Schedule'!$L$6:$L$45,R1375)="","",INDEX('Recurring Schedule'!$L$6:$L$45,R1375)))</f>
        <v/>
      </c>
      <c r="O1375" s="73">
        <f>IF(C1375="","",IF(AND(OR(L1375="1-Urgent",L1375="2-High"),M1375="✓"),"DO FIRST",IF(M1375="✓","SCHEDULE",IF(OR(L1375="1-Urgent",L1375="2-High"),"DELEGATE","DELETE"))))</f>
        <v/>
      </c>
      <c r="P1375" s="65" t="n"/>
      <c r="Q1375">
        <f>IF(1370&gt;Calc!$AQ$368,"",MATCH(1369,Calc!$AQ$2:$AQ$367,1))</f>
        <v/>
      </c>
      <c r="R1375">
        <f>IF(Q1375="","",SMALL(INDEX(Calc!$B$2:$AO$367,Q1375,0),1370-INDEX(Calc!$AQ$2:$AQ$367,Q1375)))</f>
        <v/>
      </c>
    </row>
    <row r="1376">
      <c r="B1376" s="64">
        <f>IF(R1376="","",1371)</f>
        <v/>
      </c>
      <c r="C1376" s="37">
        <f>IF(R1376="","",IF(INDEX('Recurring Schedule'!$C$6:$C$45,R1376)="","",INDEX('Recurring Schedule'!$C$6:$C$45,R1376)))</f>
        <v/>
      </c>
      <c r="D1376" s="36">
        <f>IF(R1376="","",IF(INDEX('Recurring Schedule'!$D$6:$D$45,R1376)="","",INDEX('Recurring Schedule'!$D$6:$D$45,R1376)))</f>
        <v/>
      </c>
      <c r="E1376" s="38">
        <f>IF(Q1376="","",INDEX(Calc!$A$2:$A$367,Q1376))</f>
        <v/>
      </c>
      <c r="F1376" s="68">
        <f>IF(OR(C1376="",E1376=""),"",E1376-Setup!$D$7)</f>
        <v/>
      </c>
      <c r="G1376" s="74">
        <f>IF(R1376="","",IF(INDEX('Recurring Schedule'!$H$6:$H$45,R1376)="","",INDEX('Recurring Schedule'!$H$6:$H$45,R1376)))</f>
        <v/>
      </c>
      <c r="H1376" s="74">
        <f>IF(R1376="","",IF(INDEX('Recurring Schedule'!$I$6:$I$45,R1376)="","",INDEX('Recurring Schedule'!$I$6:$I$45,R1376)))</f>
        <v/>
      </c>
      <c r="I1376" s="36">
        <f>IF(OR(G1376="",H1376=""),"",TRIM(IF(HOUR(H1376-G1376)&gt;0,HOUR(H1376-G1376)&amp;" hr ","")&amp;IF(MINUTE(H1376-G1376)&gt;0,MINUTE(H1376-G1376)&amp;" min","")))</f>
        <v/>
      </c>
      <c r="J1376" s="66" t="n"/>
      <c r="K1376" s="70" t="n"/>
      <c r="L1376" s="36">
        <f>IF(R1376="","",IF(INDEX('Recurring Schedule'!$J$6:$J$45,R1376)="","",INDEX('Recurring Schedule'!$J$6:$J$45,R1376)))</f>
        <v/>
      </c>
      <c r="M1376" s="36">
        <f>IF(R1376="","",IF(INDEX('Recurring Schedule'!$K$6:$K$45,R1376)="","",INDEX('Recurring Schedule'!$K$6:$K$45,R1376)))</f>
        <v/>
      </c>
      <c r="N1376" s="36">
        <f>IF(R1376="","",IF(INDEX('Recurring Schedule'!$L$6:$L$45,R1376)="","",INDEX('Recurring Schedule'!$L$6:$L$45,R1376)))</f>
        <v/>
      </c>
      <c r="O1376" s="36">
        <f>IF(C1376="","",IF(AND(OR(L1376="1-Urgent",L1376="2-High"),M1376="✓"),"DO FIRST",IF(M1376="✓","SCHEDULE",IF(OR(L1376="1-Urgent",L1376="2-High"),"DELEGATE","DELETE"))))</f>
        <v/>
      </c>
      <c r="P1376" s="65" t="n"/>
      <c r="Q1376">
        <f>IF(1371&gt;Calc!$AQ$368,"",MATCH(1370,Calc!$AQ$2:$AQ$367,1))</f>
        <v/>
      </c>
      <c r="R1376">
        <f>IF(Q1376="","",SMALL(INDEX(Calc!$B$2:$AO$367,Q1376,0),1371-INDEX(Calc!$AQ$2:$AQ$367,Q1376)))</f>
        <v/>
      </c>
    </row>
    <row r="1377">
      <c r="B1377" s="71">
        <f>IF(R1377="","",1372)</f>
        <v/>
      </c>
      <c r="C1377" s="75">
        <f>IF(R1377="","",IF(INDEX('Recurring Schedule'!$C$6:$C$45,R1377)="","",INDEX('Recurring Schedule'!$C$6:$C$45,R1377)))</f>
        <v/>
      </c>
      <c r="D1377" s="73">
        <f>IF(R1377="","",IF(INDEX('Recurring Schedule'!$D$6:$D$45,R1377)="","",INDEX('Recurring Schedule'!$D$6:$D$45,R1377)))</f>
        <v/>
      </c>
      <c r="E1377" s="76">
        <f>IF(Q1377="","",INDEX(Calc!$A$2:$A$367,Q1377))</f>
        <v/>
      </c>
      <c r="F1377" s="72">
        <f>IF(OR(C1377="",E1377=""),"",E1377-Setup!$D$7)</f>
        <v/>
      </c>
      <c r="G1377" s="77">
        <f>IF(R1377="","",IF(INDEX('Recurring Schedule'!$H$6:$H$45,R1377)="","",INDEX('Recurring Schedule'!$H$6:$H$45,R1377)))</f>
        <v/>
      </c>
      <c r="H1377" s="77">
        <f>IF(R1377="","",IF(INDEX('Recurring Schedule'!$I$6:$I$45,R1377)="","",INDEX('Recurring Schedule'!$I$6:$I$45,R1377)))</f>
        <v/>
      </c>
      <c r="I1377" s="73">
        <f>IF(OR(G1377="",H1377=""),"",TRIM(IF(HOUR(H1377-G1377)&gt;0,HOUR(H1377-G1377)&amp;" hr ","")&amp;IF(MINUTE(H1377-G1377)&gt;0,MINUTE(H1377-G1377)&amp;" min","")))</f>
        <v/>
      </c>
      <c r="J1377" s="66" t="n"/>
      <c r="K1377" s="70" t="n"/>
      <c r="L1377" s="73">
        <f>IF(R1377="","",IF(INDEX('Recurring Schedule'!$J$6:$J$45,R1377)="","",INDEX('Recurring Schedule'!$J$6:$J$45,R1377)))</f>
        <v/>
      </c>
      <c r="M1377" s="73">
        <f>IF(R1377="","",IF(INDEX('Recurring Schedule'!$K$6:$K$45,R1377)="","",INDEX('Recurring Schedule'!$K$6:$K$45,R1377)))</f>
        <v/>
      </c>
      <c r="N1377" s="73">
        <f>IF(R1377="","",IF(INDEX('Recurring Schedule'!$L$6:$L$45,R1377)="","",INDEX('Recurring Schedule'!$L$6:$L$45,R1377)))</f>
        <v/>
      </c>
      <c r="O1377" s="73">
        <f>IF(C1377="","",IF(AND(OR(L1377="1-Urgent",L1377="2-High"),M1377="✓"),"DO FIRST",IF(M1377="✓","SCHEDULE",IF(OR(L1377="1-Urgent",L1377="2-High"),"DELEGATE","DELETE"))))</f>
        <v/>
      </c>
      <c r="P1377" s="65" t="n"/>
      <c r="Q1377">
        <f>IF(1372&gt;Calc!$AQ$368,"",MATCH(1371,Calc!$AQ$2:$AQ$367,1))</f>
        <v/>
      </c>
      <c r="R1377">
        <f>IF(Q1377="","",SMALL(INDEX(Calc!$B$2:$AO$367,Q1377,0),1372-INDEX(Calc!$AQ$2:$AQ$367,Q1377)))</f>
        <v/>
      </c>
    </row>
    <row r="1378">
      <c r="B1378" s="64">
        <f>IF(R1378="","",1373)</f>
        <v/>
      </c>
      <c r="C1378" s="37">
        <f>IF(R1378="","",IF(INDEX('Recurring Schedule'!$C$6:$C$45,R1378)="","",INDEX('Recurring Schedule'!$C$6:$C$45,R1378)))</f>
        <v/>
      </c>
      <c r="D1378" s="36">
        <f>IF(R1378="","",IF(INDEX('Recurring Schedule'!$D$6:$D$45,R1378)="","",INDEX('Recurring Schedule'!$D$6:$D$45,R1378)))</f>
        <v/>
      </c>
      <c r="E1378" s="38">
        <f>IF(Q1378="","",INDEX(Calc!$A$2:$A$367,Q1378))</f>
        <v/>
      </c>
      <c r="F1378" s="68">
        <f>IF(OR(C1378="",E1378=""),"",E1378-Setup!$D$7)</f>
        <v/>
      </c>
      <c r="G1378" s="74">
        <f>IF(R1378="","",IF(INDEX('Recurring Schedule'!$H$6:$H$45,R1378)="","",INDEX('Recurring Schedule'!$H$6:$H$45,R1378)))</f>
        <v/>
      </c>
      <c r="H1378" s="74">
        <f>IF(R1378="","",IF(INDEX('Recurring Schedule'!$I$6:$I$45,R1378)="","",INDEX('Recurring Schedule'!$I$6:$I$45,R1378)))</f>
        <v/>
      </c>
      <c r="I1378" s="36">
        <f>IF(OR(G1378="",H1378=""),"",TRIM(IF(HOUR(H1378-G1378)&gt;0,HOUR(H1378-G1378)&amp;" hr ","")&amp;IF(MINUTE(H1378-G1378)&gt;0,MINUTE(H1378-G1378)&amp;" min","")))</f>
        <v/>
      </c>
      <c r="J1378" s="66" t="n"/>
      <c r="K1378" s="70" t="n"/>
      <c r="L1378" s="36">
        <f>IF(R1378="","",IF(INDEX('Recurring Schedule'!$J$6:$J$45,R1378)="","",INDEX('Recurring Schedule'!$J$6:$J$45,R1378)))</f>
        <v/>
      </c>
      <c r="M1378" s="36">
        <f>IF(R1378="","",IF(INDEX('Recurring Schedule'!$K$6:$K$45,R1378)="","",INDEX('Recurring Schedule'!$K$6:$K$45,R1378)))</f>
        <v/>
      </c>
      <c r="N1378" s="36">
        <f>IF(R1378="","",IF(INDEX('Recurring Schedule'!$L$6:$L$45,R1378)="","",INDEX('Recurring Schedule'!$L$6:$L$45,R1378)))</f>
        <v/>
      </c>
      <c r="O1378" s="36">
        <f>IF(C1378="","",IF(AND(OR(L1378="1-Urgent",L1378="2-High"),M1378="✓"),"DO FIRST",IF(M1378="✓","SCHEDULE",IF(OR(L1378="1-Urgent",L1378="2-High"),"DELEGATE","DELETE"))))</f>
        <v/>
      </c>
      <c r="P1378" s="65" t="n"/>
      <c r="Q1378">
        <f>IF(1373&gt;Calc!$AQ$368,"",MATCH(1372,Calc!$AQ$2:$AQ$367,1))</f>
        <v/>
      </c>
      <c r="R1378">
        <f>IF(Q1378="","",SMALL(INDEX(Calc!$B$2:$AO$367,Q1378,0),1373-INDEX(Calc!$AQ$2:$AQ$367,Q1378)))</f>
        <v/>
      </c>
    </row>
    <row r="1379">
      <c r="B1379" s="71">
        <f>IF(R1379="","",1374)</f>
        <v/>
      </c>
      <c r="C1379" s="75">
        <f>IF(R1379="","",IF(INDEX('Recurring Schedule'!$C$6:$C$45,R1379)="","",INDEX('Recurring Schedule'!$C$6:$C$45,R1379)))</f>
        <v/>
      </c>
      <c r="D1379" s="73">
        <f>IF(R1379="","",IF(INDEX('Recurring Schedule'!$D$6:$D$45,R1379)="","",INDEX('Recurring Schedule'!$D$6:$D$45,R1379)))</f>
        <v/>
      </c>
      <c r="E1379" s="76">
        <f>IF(Q1379="","",INDEX(Calc!$A$2:$A$367,Q1379))</f>
        <v/>
      </c>
      <c r="F1379" s="72">
        <f>IF(OR(C1379="",E1379=""),"",E1379-Setup!$D$7)</f>
        <v/>
      </c>
      <c r="G1379" s="77">
        <f>IF(R1379="","",IF(INDEX('Recurring Schedule'!$H$6:$H$45,R1379)="","",INDEX('Recurring Schedule'!$H$6:$H$45,R1379)))</f>
        <v/>
      </c>
      <c r="H1379" s="77">
        <f>IF(R1379="","",IF(INDEX('Recurring Schedule'!$I$6:$I$45,R1379)="","",INDEX('Recurring Schedule'!$I$6:$I$45,R1379)))</f>
        <v/>
      </c>
      <c r="I1379" s="73">
        <f>IF(OR(G1379="",H1379=""),"",TRIM(IF(HOUR(H1379-G1379)&gt;0,HOUR(H1379-G1379)&amp;" hr ","")&amp;IF(MINUTE(H1379-G1379)&gt;0,MINUTE(H1379-G1379)&amp;" min","")))</f>
        <v/>
      </c>
      <c r="J1379" s="66" t="n"/>
      <c r="K1379" s="70" t="n"/>
      <c r="L1379" s="73">
        <f>IF(R1379="","",IF(INDEX('Recurring Schedule'!$J$6:$J$45,R1379)="","",INDEX('Recurring Schedule'!$J$6:$J$45,R1379)))</f>
        <v/>
      </c>
      <c r="M1379" s="73">
        <f>IF(R1379="","",IF(INDEX('Recurring Schedule'!$K$6:$K$45,R1379)="","",INDEX('Recurring Schedule'!$K$6:$K$45,R1379)))</f>
        <v/>
      </c>
      <c r="N1379" s="73">
        <f>IF(R1379="","",IF(INDEX('Recurring Schedule'!$L$6:$L$45,R1379)="","",INDEX('Recurring Schedule'!$L$6:$L$45,R1379)))</f>
        <v/>
      </c>
      <c r="O1379" s="73">
        <f>IF(C1379="","",IF(AND(OR(L1379="1-Urgent",L1379="2-High"),M1379="✓"),"DO FIRST",IF(M1379="✓","SCHEDULE",IF(OR(L1379="1-Urgent",L1379="2-High"),"DELEGATE","DELETE"))))</f>
        <v/>
      </c>
      <c r="P1379" s="65" t="n"/>
      <c r="Q1379">
        <f>IF(1374&gt;Calc!$AQ$368,"",MATCH(1373,Calc!$AQ$2:$AQ$367,1))</f>
        <v/>
      </c>
      <c r="R1379">
        <f>IF(Q1379="","",SMALL(INDEX(Calc!$B$2:$AO$367,Q1379,0),1374-INDEX(Calc!$AQ$2:$AQ$367,Q1379)))</f>
        <v/>
      </c>
    </row>
    <row r="1380">
      <c r="B1380" s="64">
        <f>IF(R1380="","",1375)</f>
        <v/>
      </c>
      <c r="C1380" s="37">
        <f>IF(R1380="","",IF(INDEX('Recurring Schedule'!$C$6:$C$45,R1380)="","",INDEX('Recurring Schedule'!$C$6:$C$45,R1380)))</f>
        <v/>
      </c>
      <c r="D1380" s="36">
        <f>IF(R1380="","",IF(INDEX('Recurring Schedule'!$D$6:$D$45,R1380)="","",INDEX('Recurring Schedule'!$D$6:$D$45,R1380)))</f>
        <v/>
      </c>
      <c r="E1380" s="38">
        <f>IF(Q1380="","",INDEX(Calc!$A$2:$A$367,Q1380))</f>
        <v/>
      </c>
      <c r="F1380" s="68">
        <f>IF(OR(C1380="",E1380=""),"",E1380-Setup!$D$7)</f>
        <v/>
      </c>
      <c r="G1380" s="74">
        <f>IF(R1380="","",IF(INDEX('Recurring Schedule'!$H$6:$H$45,R1380)="","",INDEX('Recurring Schedule'!$H$6:$H$45,R1380)))</f>
        <v/>
      </c>
      <c r="H1380" s="74">
        <f>IF(R1380="","",IF(INDEX('Recurring Schedule'!$I$6:$I$45,R1380)="","",INDEX('Recurring Schedule'!$I$6:$I$45,R1380)))</f>
        <v/>
      </c>
      <c r="I1380" s="36">
        <f>IF(OR(G1380="",H1380=""),"",TRIM(IF(HOUR(H1380-G1380)&gt;0,HOUR(H1380-G1380)&amp;" hr ","")&amp;IF(MINUTE(H1380-G1380)&gt;0,MINUTE(H1380-G1380)&amp;" min","")))</f>
        <v/>
      </c>
      <c r="J1380" s="66" t="n"/>
      <c r="K1380" s="70" t="n"/>
      <c r="L1380" s="36">
        <f>IF(R1380="","",IF(INDEX('Recurring Schedule'!$J$6:$J$45,R1380)="","",INDEX('Recurring Schedule'!$J$6:$J$45,R1380)))</f>
        <v/>
      </c>
      <c r="M1380" s="36">
        <f>IF(R1380="","",IF(INDEX('Recurring Schedule'!$K$6:$K$45,R1380)="","",INDEX('Recurring Schedule'!$K$6:$K$45,R1380)))</f>
        <v/>
      </c>
      <c r="N1380" s="36">
        <f>IF(R1380="","",IF(INDEX('Recurring Schedule'!$L$6:$L$45,R1380)="","",INDEX('Recurring Schedule'!$L$6:$L$45,R1380)))</f>
        <v/>
      </c>
      <c r="O1380" s="36">
        <f>IF(C1380="","",IF(AND(OR(L1380="1-Urgent",L1380="2-High"),M1380="✓"),"DO FIRST",IF(M1380="✓","SCHEDULE",IF(OR(L1380="1-Urgent",L1380="2-High"),"DELEGATE","DELETE"))))</f>
        <v/>
      </c>
      <c r="P1380" s="65" t="n"/>
      <c r="Q1380">
        <f>IF(1375&gt;Calc!$AQ$368,"",MATCH(1374,Calc!$AQ$2:$AQ$367,1))</f>
        <v/>
      </c>
      <c r="R1380">
        <f>IF(Q1380="","",SMALL(INDEX(Calc!$B$2:$AO$367,Q1380,0),1375-INDEX(Calc!$AQ$2:$AQ$367,Q1380)))</f>
        <v/>
      </c>
    </row>
    <row r="1381">
      <c r="B1381" s="71">
        <f>IF(R1381="","",1376)</f>
        <v/>
      </c>
      <c r="C1381" s="75">
        <f>IF(R1381="","",IF(INDEX('Recurring Schedule'!$C$6:$C$45,R1381)="","",INDEX('Recurring Schedule'!$C$6:$C$45,R1381)))</f>
        <v/>
      </c>
      <c r="D1381" s="73">
        <f>IF(R1381="","",IF(INDEX('Recurring Schedule'!$D$6:$D$45,R1381)="","",INDEX('Recurring Schedule'!$D$6:$D$45,R1381)))</f>
        <v/>
      </c>
      <c r="E1381" s="76">
        <f>IF(Q1381="","",INDEX(Calc!$A$2:$A$367,Q1381))</f>
        <v/>
      </c>
      <c r="F1381" s="72">
        <f>IF(OR(C1381="",E1381=""),"",E1381-Setup!$D$7)</f>
        <v/>
      </c>
      <c r="G1381" s="77">
        <f>IF(R1381="","",IF(INDEX('Recurring Schedule'!$H$6:$H$45,R1381)="","",INDEX('Recurring Schedule'!$H$6:$H$45,R1381)))</f>
        <v/>
      </c>
      <c r="H1381" s="77">
        <f>IF(R1381="","",IF(INDEX('Recurring Schedule'!$I$6:$I$45,R1381)="","",INDEX('Recurring Schedule'!$I$6:$I$45,R1381)))</f>
        <v/>
      </c>
      <c r="I1381" s="73">
        <f>IF(OR(G1381="",H1381=""),"",TRIM(IF(HOUR(H1381-G1381)&gt;0,HOUR(H1381-G1381)&amp;" hr ","")&amp;IF(MINUTE(H1381-G1381)&gt;0,MINUTE(H1381-G1381)&amp;" min","")))</f>
        <v/>
      </c>
      <c r="J1381" s="66" t="n"/>
      <c r="K1381" s="70" t="n"/>
      <c r="L1381" s="73">
        <f>IF(R1381="","",IF(INDEX('Recurring Schedule'!$J$6:$J$45,R1381)="","",INDEX('Recurring Schedule'!$J$6:$J$45,R1381)))</f>
        <v/>
      </c>
      <c r="M1381" s="73">
        <f>IF(R1381="","",IF(INDEX('Recurring Schedule'!$K$6:$K$45,R1381)="","",INDEX('Recurring Schedule'!$K$6:$K$45,R1381)))</f>
        <v/>
      </c>
      <c r="N1381" s="73">
        <f>IF(R1381="","",IF(INDEX('Recurring Schedule'!$L$6:$L$45,R1381)="","",INDEX('Recurring Schedule'!$L$6:$L$45,R1381)))</f>
        <v/>
      </c>
      <c r="O1381" s="73">
        <f>IF(C1381="","",IF(AND(OR(L1381="1-Urgent",L1381="2-High"),M1381="✓"),"DO FIRST",IF(M1381="✓","SCHEDULE",IF(OR(L1381="1-Urgent",L1381="2-High"),"DELEGATE","DELETE"))))</f>
        <v/>
      </c>
      <c r="P1381" s="65" t="n"/>
      <c r="Q1381">
        <f>IF(1376&gt;Calc!$AQ$368,"",MATCH(1375,Calc!$AQ$2:$AQ$367,1))</f>
        <v/>
      </c>
      <c r="R1381">
        <f>IF(Q1381="","",SMALL(INDEX(Calc!$B$2:$AO$367,Q1381,0),1376-INDEX(Calc!$AQ$2:$AQ$367,Q1381)))</f>
        <v/>
      </c>
    </row>
    <row r="1382">
      <c r="B1382" s="64">
        <f>IF(R1382="","",1377)</f>
        <v/>
      </c>
      <c r="C1382" s="37">
        <f>IF(R1382="","",IF(INDEX('Recurring Schedule'!$C$6:$C$45,R1382)="","",INDEX('Recurring Schedule'!$C$6:$C$45,R1382)))</f>
        <v/>
      </c>
      <c r="D1382" s="36">
        <f>IF(R1382="","",IF(INDEX('Recurring Schedule'!$D$6:$D$45,R1382)="","",INDEX('Recurring Schedule'!$D$6:$D$45,R1382)))</f>
        <v/>
      </c>
      <c r="E1382" s="38">
        <f>IF(Q1382="","",INDEX(Calc!$A$2:$A$367,Q1382))</f>
        <v/>
      </c>
      <c r="F1382" s="68">
        <f>IF(OR(C1382="",E1382=""),"",E1382-Setup!$D$7)</f>
        <v/>
      </c>
      <c r="G1382" s="74">
        <f>IF(R1382="","",IF(INDEX('Recurring Schedule'!$H$6:$H$45,R1382)="","",INDEX('Recurring Schedule'!$H$6:$H$45,R1382)))</f>
        <v/>
      </c>
      <c r="H1382" s="74">
        <f>IF(R1382="","",IF(INDEX('Recurring Schedule'!$I$6:$I$45,R1382)="","",INDEX('Recurring Schedule'!$I$6:$I$45,R1382)))</f>
        <v/>
      </c>
      <c r="I1382" s="36">
        <f>IF(OR(G1382="",H1382=""),"",TRIM(IF(HOUR(H1382-G1382)&gt;0,HOUR(H1382-G1382)&amp;" hr ","")&amp;IF(MINUTE(H1382-G1382)&gt;0,MINUTE(H1382-G1382)&amp;" min","")))</f>
        <v/>
      </c>
      <c r="J1382" s="66" t="n"/>
      <c r="K1382" s="70" t="n"/>
      <c r="L1382" s="36">
        <f>IF(R1382="","",IF(INDEX('Recurring Schedule'!$J$6:$J$45,R1382)="","",INDEX('Recurring Schedule'!$J$6:$J$45,R1382)))</f>
        <v/>
      </c>
      <c r="M1382" s="36">
        <f>IF(R1382="","",IF(INDEX('Recurring Schedule'!$K$6:$K$45,R1382)="","",INDEX('Recurring Schedule'!$K$6:$K$45,R1382)))</f>
        <v/>
      </c>
      <c r="N1382" s="36">
        <f>IF(R1382="","",IF(INDEX('Recurring Schedule'!$L$6:$L$45,R1382)="","",INDEX('Recurring Schedule'!$L$6:$L$45,R1382)))</f>
        <v/>
      </c>
      <c r="O1382" s="36">
        <f>IF(C1382="","",IF(AND(OR(L1382="1-Urgent",L1382="2-High"),M1382="✓"),"DO FIRST",IF(M1382="✓","SCHEDULE",IF(OR(L1382="1-Urgent",L1382="2-High"),"DELEGATE","DELETE"))))</f>
        <v/>
      </c>
      <c r="P1382" s="65" t="n"/>
      <c r="Q1382">
        <f>IF(1377&gt;Calc!$AQ$368,"",MATCH(1376,Calc!$AQ$2:$AQ$367,1))</f>
        <v/>
      </c>
      <c r="R1382">
        <f>IF(Q1382="","",SMALL(INDEX(Calc!$B$2:$AO$367,Q1382,0),1377-INDEX(Calc!$AQ$2:$AQ$367,Q1382)))</f>
        <v/>
      </c>
    </row>
    <row r="1383">
      <c r="B1383" s="71">
        <f>IF(R1383="","",1378)</f>
        <v/>
      </c>
      <c r="C1383" s="75">
        <f>IF(R1383="","",IF(INDEX('Recurring Schedule'!$C$6:$C$45,R1383)="","",INDEX('Recurring Schedule'!$C$6:$C$45,R1383)))</f>
        <v/>
      </c>
      <c r="D1383" s="73">
        <f>IF(R1383="","",IF(INDEX('Recurring Schedule'!$D$6:$D$45,R1383)="","",INDEX('Recurring Schedule'!$D$6:$D$45,R1383)))</f>
        <v/>
      </c>
      <c r="E1383" s="76">
        <f>IF(Q1383="","",INDEX(Calc!$A$2:$A$367,Q1383))</f>
        <v/>
      </c>
      <c r="F1383" s="72">
        <f>IF(OR(C1383="",E1383=""),"",E1383-Setup!$D$7)</f>
        <v/>
      </c>
      <c r="G1383" s="77">
        <f>IF(R1383="","",IF(INDEX('Recurring Schedule'!$H$6:$H$45,R1383)="","",INDEX('Recurring Schedule'!$H$6:$H$45,R1383)))</f>
        <v/>
      </c>
      <c r="H1383" s="77">
        <f>IF(R1383="","",IF(INDEX('Recurring Schedule'!$I$6:$I$45,R1383)="","",INDEX('Recurring Schedule'!$I$6:$I$45,R1383)))</f>
        <v/>
      </c>
      <c r="I1383" s="73">
        <f>IF(OR(G1383="",H1383=""),"",TRIM(IF(HOUR(H1383-G1383)&gt;0,HOUR(H1383-G1383)&amp;" hr ","")&amp;IF(MINUTE(H1383-G1383)&gt;0,MINUTE(H1383-G1383)&amp;" min","")))</f>
        <v/>
      </c>
      <c r="J1383" s="66" t="n"/>
      <c r="K1383" s="70" t="n"/>
      <c r="L1383" s="73">
        <f>IF(R1383="","",IF(INDEX('Recurring Schedule'!$J$6:$J$45,R1383)="","",INDEX('Recurring Schedule'!$J$6:$J$45,R1383)))</f>
        <v/>
      </c>
      <c r="M1383" s="73">
        <f>IF(R1383="","",IF(INDEX('Recurring Schedule'!$K$6:$K$45,R1383)="","",INDEX('Recurring Schedule'!$K$6:$K$45,R1383)))</f>
        <v/>
      </c>
      <c r="N1383" s="73">
        <f>IF(R1383="","",IF(INDEX('Recurring Schedule'!$L$6:$L$45,R1383)="","",INDEX('Recurring Schedule'!$L$6:$L$45,R1383)))</f>
        <v/>
      </c>
      <c r="O1383" s="73">
        <f>IF(C1383="","",IF(AND(OR(L1383="1-Urgent",L1383="2-High"),M1383="✓"),"DO FIRST",IF(M1383="✓","SCHEDULE",IF(OR(L1383="1-Urgent",L1383="2-High"),"DELEGATE","DELETE"))))</f>
        <v/>
      </c>
      <c r="P1383" s="65" t="n"/>
      <c r="Q1383">
        <f>IF(1378&gt;Calc!$AQ$368,"",MATCH(1377,Calc!$AQ$2:$AQ$367,1))</f>
        <v/>
      </c>
      <c r="R1383">
        <f>IF(Q1383="","",SMALL(INDEX(Calc!$B$2:$AO$367,Q1383,0),1378-INDEX(Calc!$AQ$2:$AQ$367,Q1383)))</f>
        <v/>
      </c>
    </row>
    <row r="1384">
      <c r="B1384" s="64">
        <f>IF(R1384="","",1379)</f>
        <v/>
      </c>
      <c r="C1384" s="37">
        <f>IF(R1384="","",IF(INDEX('Recurring Schedule'!$C$6:$C$45,R1384)="","",INDEX('Recurring Schedule'!$C$6:$C$45,R1384)))</f>
        <v/>
      </c>
      <c r="D1384" s="36">
        <f>IF(R1384="","",IF(INDEX('Recurring Schedule'!$D$6:$D$45,R1384)="","",INDEX('Recurring Schedule'!$D$6:$D$45,R1384)))</f>
        <v/>
      </c>
      <c r="E1384" s="38">
        <f>IF(Q1384="","",INDEX(Calc!$A$2:$A$367,Q1384))</f>
        <v/>
      </c>
      <c r="F1384" s="68">
        <f>IF(OR(C1384="",E1384=""),"",E1384-Setup!$D$7)</f>
        <v/>
      </c>
      <c r="G1384" s="74">
        <f>IF(R1384="","",IF(INDEX('Recurring Schedule'!$H$6:$H$45,R1384)="","",INDEX('Recurring Schedule'!$H$6:$H$45,R1384)))</f>
        <v/>
      </c>
      <c r="H1384" s="74">
        <f>IF(R1384="","",IF(INDEX('Recurring Schedule'!$I$6:$I$45,R1384)="","",INDEX('Recurring Schedule'!$I$6:$I$45,R1384)))</f>
        <v/>
      </c>
      <c r="I1384" s="36">
        <f>IF(OR(G1384="",H1384=""),"",TRIM(IF(HOUR(H1384-G1384)&gt;0,HOUR(H1384-G1384)&amp;" hr ","")&amp;IF(MINUTE(H1384-G1384)&gt;0,MINUTE(H1384-G1384)&amp;" min","")))</f>
        <v/>
      </c>
      <c r="J1384" s="66" t="n"/>
      <c r="K1384" s="70" t="n"/>
      <c r="L1384" s="36">
        <f>IF(R1384="","",IF(INDEX('Recurring Schedule'!$J$6:$J$45,R1384)="","",INDEX('Recurring Schedule'!$J$6:$J$45,R1384)))</f>
        <v/>
      </c>
      <c r="M1384" s="36">
        <f>IF(R1384="","",IF(INDEX('Recurring Schedule'!$K$6:$K$45,R1384)="","",INDEX('Recurring Schedule'!$K$6:$K$45,R1384)))</f>
        <v/>
      </c>
      <c r="N1384" s="36">
        <f>IF(R1384="","",IF(INDEX('Recurring Schedule'!$L$6:$L$45,R1384)="","",INDEX('Recurring Schedule'!$L$6:$L$45,R1384)))</f>
        <v/>
      </c>
      <c r="O1384" s="36">
        <f>IF(C1384="","",IF(AND(OR(L1384="1-Urgent",L1384="2-High"),M1384="✓"),"DO FIRST",IF(M1384="✓","SCHEDULE",IF(OR(L1384="1-Urgent",L1384="2-High"),"DELEGATE","DELETE"))))</f>
        <v/>
      </c>
      <c r="P1384" s="65" t="n"/>
      <c r="Q1384">
        <f>IF(1379&gt;Calc!$AQ$368,"",MATCH(1378,Calc!$AQ$2:$AQ$367,1))</f>
        <v/>
      </c>
      <c r="R1384">
        <f>IF(Q1384="","",SMALL(INDEX(Calc!$B$2:$AO$367,Q1384,0),1379-INDEX(Calc!$AQ$2:$AQ$367,Q1384)))</f>
        <v/>
      </c>
    </row>
    <row r="1385">
      <c r="B1385" s="71">
        <f>IF(R1385="","",1380)</f>
        <v/>
      </c>
      <c r="C1385" s="75">
        <f>IF(R1385="","",IF(INDEX('Recurring Schedule'!$C$6:$C$45,R1385)="","",INDEX('Recurring Schedule'!$C$6:$C$45,R1385)))</f>
        <v/>
      </c>
      <c r="D1385" s="73">
        <f>IF(R1385="","",IF(INDEX('Recurring Schedule'!$D$6:$D$45,R1385)="","",INDEX('Recurring Schedule'!$D$6:$D$45,R1385)))</f>
        <v/>
      </c>
      <c r="E1385" s="76">
        <f>IF(Q1385="","",INDEX(Calc!$A$2:$A$367,Q1385))</f>
        <v/>
      </c>
      <c r="F1385" s="72">
        <f>IF(OR(C1385="",E1385=""),"",E1385-Setup!$D$7)</f>
        <v/>
      </c>
      <c r="G1385" s="77">
        <f>IF(R1385="","",IF(INDEX('Recurring Schedule'!$H$6:$H$45,R1385)="","",INDEX('Recurring Schedule'!$H$6:$H$45,R1385)))</f>
        <v/>
      </c>
      <c r="H1385" s="77">
        <f>IF(R1385="","",IF(INDEX('Recurring Schedule'!$I$6:$I$45,R1385)="","",INDEX('Recurring Schedule'!$I$6:$I$45,R1385)))</f>
        <v/>
      </c>
      <c r="I1385" s="73">
        <f>IF(OR(G1385="",H1385=""),"",TRIM(IF(HOUR(H1385-G1385)&gt;0,HOUR(H1385-G1385)&amp;" hr ","")&amp;IF(MINUTE(H1385-G1385)&gt;0,MINUTE(H1385-G1385)&amp;" min","")))</f>
        <v/>
      </c>
      <c r="J1385" s="66" t="n"/>
      <c r="K1385" s="70" t="n"/>
      <c r="L1385" s="73">
        <f>IF(R1385="","",IF(INDEX('Recurring Schedule'!$J$6:$J$45,R1385)="","",INDEX('Recurring Schedule'!$J$6:$J$45,R1385)))</f>
        <v/>
      </c>
      <c r="M1385" s="73">
        <f>IF(R1385="","",IF(INDEX('Recurring Schedule'!$K$6:$K$45,R1385)="","",INDEX('Recurring Schedule'!$K$6:$K$45,R1385)))</f>
        <v/>
      </c>
      <c r="N1385" s="73">
        <f>IF(R1385="","",IF(INDEX('Recurring Schedule'!$L$6:$L$45,R1385)="","",INDEX('Recurring Schedule'!$L$6:$L$45,R1385)))</f>
        <v/>
      </c>
      <c r="O1385" s="73">
        <f>IF(C1385="","",IF(AND(OR(L1385="1-Urgent",L1385="2-High"),M1385="✓"),"DO FIRST",IF(M1385="✓","SCHEDULE",IF(OR(L1385="1-Urgent",L1385="2-High"),"DELEGATE","DELETE"))))</f>
        <v/>
      </c>
      <c r="P1385" s="65" t="n"/>
      <c r="Q1385">
        <f>IF(1380&gt;Calc!$AQ$368,"",MATCH(1379,Calc!$AQ$2:$AQ$367,1))</f>
        <v/>
      </c>
      <c r="R1385">
        <f>IF(Q1385="","",SMALL(INDEX(Calc!$B$2:$AO$367,Q1385,0),1380-INDEX(Calc!$AQ$2:$AQ$367,Q1385)))</f>
        <v/>
      </c>
    </row>
    <row r="1386">
      <c r="B1386" s="64">
        <f>IF(R1386="","",1381)</f>
        <v/>
      </c>
      <c r="C1386" s="37">
        <f>IF(R1386="","",IF(INDEX('Recurring Schedule'!$C$6:$C$45,R1386)="","",INDEX('Recurring Schedule'!$C$6:$C$45,R1386)))</f>
        <v/>
      </c>
      <c r="D1386" s="36">
        <f>IF(R1386="","",IF(INDEX('Recurring Schedule'!$D$6:$D$45,R1386)="","",INDEX('Recurring Schedule'!$D$6:$D$45,R1386)))</f>
        <v/>
      </c>
      <c r="E1386" s="38">
        <f>IF(Q1386="","",INDEX(Calc!$A$2:$A$367,Q1386))</f>
        <v/>
      </c>
      <c r="F1386" s="68">
        <f>IF(OR(C1386="",E1386=""),"",E1386-Setup!$D$7)</f>
        <v/>
      </c>
      <c r="G1386" s="74">
        <f>IF(R1386="","",IF(INDEX('Recurring Schedule'!$H$6:$H$45,R1386)="","",INDEX('Recurring Schedule'!$H$6:$H$45,R1386)))</f>
        <v/>
      </c>
      <c r="H1386" s="74">
        <f>IF(R1386="","",IF(INDEX('Recurring Schedule'!$I$6:$I$45,R1386)="","",INDEX('Recurring Schedule'!$I$6:$I$45,R1386)))</f>
        <v/>
      </c>
      <c r="I1386" s="36">
        <f>IF(OR(G1386="",H1386=""),"",TRIM(IF(HOUR(H1386-G1386)&gt;0,HOUR(H1386-G1386)&amp;" hr ","")&amp;IF(MINUTE(H1386-G1386)&gt;0,MINUTE(H1386-G1386)&amp;" min","")))</f>
        <v/>
      </c>
      <c r="J1386" s="66" t="n"/>
      <c r="K1386" s="70" t="n"/>
      <c r="L1386" s="36">
        <f>IF(R1386="","",IF(INDEX('Recurring Schedule'!$J$6:$J$45,R1386)="","",INDEX('Recurring Schedule'!$J$6:$J$45,R1386)))</f>
        <v/>
      </c>
      <c r="M1386" s="36">
        <f>IF(R1386="","",IF(INDEX('Recurring Schedule'!$K$6:$K$45,R1386)="","",INDEX('Recurring Schedule'!$K$6:$K$45,R1386)))</f>
        <v/>
      </c>
      <c r="N1386" s="36">
        <f>IF(R1386="","",IF(INDEX('Recurring Schedule'!$L$6:$L$45,R1386)="","",INDEX('Recurring Schedule'!$L$6:$L$45,R1386)))</f>
        <v/>
      </c>
      <c r="O1386" s="36">
        <f>IF(C1386="","",IF(AND(OR(L1386="1-Urgent",L1386="2-High"),M1386="✓"),"DO FIRST",IF(M1386="✓","SCHEDULE",IF(OR(L1386="1-Urgent",L1386="2-High"),"DELEGATE","DELETE"))))</f>
        <v/>
      </c>
      <c r="P1386" s="65" t="n"/>
      <c r="Q1386">
        <f>IF(1381&gt;Calc!$AQ$368,"",MATCH(1380,Calc!$AQ$2:$AQ$367,1))</f>
        <v/>
      </c>
      <c r="R1386">
        <f>IF(Q1386="","",SMALL(INDEX(Calc!$B$2:$AO$367,Q1386,0),1381-INDEX(Calc!$AQ$2:$AQ$367,Q1386)))</f>
        <v/>
      </c>
    </row>
    <row r="1387">
      <c r="B1387" s="71">
        <f>IF(R1387="","",1382)</f>
        <v/>
      </c>
      <c r="C1387" s="75">
        <f>IF(R1387="","",IF(INDEX('Recurring Schedule'!$C$6:$C$45,R1387)="","",INDEX('Recurring Schedule'!$C$6:$C$45,R1387)))</f>
        <v/>
      </c>
      <c r="D1387" s="73">
        <f>IF(R1387="","",IF(INDEX('Recurring Schedule'!$D$6:$D$45,R1387)="","",INDEX('Recurring Schedule'!$D$6:$D$45,R1387)))</f>
        <v/>
      </c>
      <c r="E1387" s="76">
        <f>IF(Q1387="","",INDEX(Calc!$A$2:$A$367,Q1387))</f>
        <v/>
      </c>
      <c r="F1387" s="72">
        <f>IF(OR(C1387="",E1387=""),"",E1387-Setup!$D$7)</f>
        <v/>
      </c>
      <c r="G1387" s="77">
        <f>IF(R1387="","",IF(INDEX('Recurring Schedule'!$H$6:$H$45,R1387)="","",INDEX('Recurring Schedule'!$H$6:$H$45,R1387)))</f>
        <v/>
      </c>
      <c r="H1387" s="77">
        <f>IF(R1387="","",IF(INDEX('Recurring Schedule'!$I$6:$I$45,R1387)="","",INDEX('Recurring Schedule'!$I$6:$I$45,R1387)))</f>
        <v/>
      </c>
      <c r="I1387" s="73">
        <f>IF(OR(G1387="",H1387=""),"",TRIM(IF(HOUR(H1387-G1387)&gt;0,HOUR(H1387-G1387)&amp;" hr ","")&amp;IF(MINUTE(H1387-G1387)&gt;0,MINUTE(H1387-G1387)&amp;" min","")))</f>
        <v/>
      </c>
      <c r="J1387" s="66" t="n"/>
      <c r="K1387" s="70" t="n"/>
      <c r="L1387" s="73">
        <f>IF(R1387="","",IF(INDEX('Recurring Schedule'!$J$6:$J$45,R1387)="","",INDEX('Recurring Schedule'!$J$6:$J$45,R1387)))</f>
        <v/>
      </c>
      <c r="M1387" s="73">
        <f>IF(R1387="","",IF(INDEX('Recurring Schedule'!$K$6:$K$45,R1387)="","",INDEX('Recurring Schedule'!$K$6:$K$45,R1387)))</f>
        <v/>
      </c>
      <c r="N1387" s="73">
        <f>IF(R1387="","",IF(INDEX('Recurring Schedule'!$L$6:$L$45,R1387)="","",INDEX('Recurring Schedule'!$L$6:$L$45,R1387)))</f>
        <v/>
      </c>
      <c r="O1387" s="73">
        <f>IF(C1387="","",IF(AND(OR(L1387="1-Urgent",L1387="2-High"),M1387="✓"),"DO FIRST",IF(M1387="✓","SCHEDULE",IF(OR(L1387="1-Urgent",L1387="2-High"),"DELEGATE","DELETE"))))</f>
        <v/>
      </c>
      <c r="P1387" s="65" t="n"/>
      <c r="Q1387">
        <f>IF(1382&gt;Calc!$AQ$368,"",MATCH(1381,Calc!$AQ$2:$AQ$367,1))</f>
        <v/>
      </c>
      <c r="R1387">
        <f>IF(Q1387="","",SMALL(INDEX(Calc!$B$2:$AO$367,Q1387,0),1382-INDEX(Calc!$AQ$2:$AQ$367,Q1387)))</f>
        <v/>
      </c>
    </row>
    <row r="1388">
      <c r="B1388" s="64">
        <f>IF(R1388="","",1383)</f>
        <v/>
      </c>
      <c r="C1388" s="37">
        <f>IF(R1388="","",IF(INDEX('Recurring Schedule'!$C$6:$C$45,R1388)="","",INDEX('Recurring Schedule'!$C$6:$C$45,R1388)))</f>
        <v/>
      </c>
      <c r="D1388" s="36">
        <f>IF(R1388="","",IF(INDEX('Recurring Schedule'!$D$6:$D$45,R1388)="","",INDEX('Recurring Schedule'!$D$6:$D$45,R1388)))</f>
        <v/>
      </c>
      <c r="E1388" s="38">
        <f>IF(Q1388="","",INDEX(Calc!$A$2:$A$367,Q1388))</f>
        <v/>
      </c>
      <c r="F1388" s="68">
        <f>IF(OR(C1388="",E1388=""),"",E1388-Setup!$D$7)</f>
        <v/>
      </c>
      <c r="G1388" s="74">
        <f>IF(R1388="","",IF(INDEX('Recurring Schedule'!$H$6:$H$45,R1388)="","",INDEX('Recurring Schedule'!$H$6:$H$45,R1388)))</f>
        <v/>
      </c>
      <c r="H1388" s="74">
        <f>IF(R1388="","",IF(INDEX('Recurring Schedule'!$I$6:$I$45,R1388)="","",INDEX('Recurring Schedule'!$I$6:$I$45,R1388)))</f>
        <v/>
      </c>
      <c r="I1388" s="36">
        <f>IF(OR(G1388="",H1388=""),"",TRIM(IF(HOUR(H1388-G1388)&gt;0,HOUR(H1388-G1388)&amp;" hr ","")&amp;IF(MINUTE(H1388-G1388)&gt;0,MINUTE(H1388-G1388)&amp;" min","")))</f>
        <v/>
      </c>
      <c r="J1388" s="66" t="n"/>
      <c r="K1388" s="70" t="n"/>
      <c r="L1388" s="36">
        <f>IF(R1388="","",IF(INDEX('Recurring Schedule'!$J$6:$J$45,R1388)="","",INDEX('Recurring Schedule'!$J$6:$J$45,R1388)))</f>
        <v/>
      </c>
      <c r="M1388" s="36">
        <f>IF(R1388="","",IF(INDEX('Recurring Schedule'!$K$6:$K$45,R1388)="","",INDEX('Recurring Schedule'!$K$6:$K$45,R1388)))</f>
        <v/>
      </c>
      <c r="N1388" s="36">
        <f>IF(R1388="","",IF(INDEX('Recurring Schedule'!$L$6:$L$45,R1388)="","",INDEX('Recurring Schedule'!$L$6:$L$45,R1388)))</f>
        <v/>
      </c>
      <c r="O1388" s="36">
        <f>IF(C1388="","",IF(AND(OR(L1388="1-Urgent",L1388="2-High"),M1388="✓"),"DO FIRST",IF(M1388="✓","SCHEDULE",IF(OR(L1388="1-Urgent",L1388="2-High"),"DELEGATE","DELETE"))))</f>
        <v/>
      </c>
      <c r="P1388" s="65" t="n"/>
      <c r="Q1388">
        <f>IF(1383&gt;Calc!$AQ$368,"",MATCH(1382,Calc!$AQ$2:$AQ$367,1))</f>
        <v/>
      </c>
      <c r="R1388">
        <f>IF(Q1388="","",SMALL(INDEX(Calc!$B$2:$AO$367,Q1388,0),1383-INDEX(Calc!$AQ$2:$AQ$367,Q1388)))</f>
        <v/>
      </c>
    </row>
    <row r="1389">
      <c r="B1389" s="71">
        <f>IF(R1389="","",1384)</f>
        <v/>
      </c>
      <c r="C1389" s="75">
        <f>IF(R1389="","",IF(INDEX('Recurring Schedule'!$C$6:$C$45,R1389)="","",INDEX('Recurring Schedule'!$C$6:$C$45,R1389)))</f>
        <v/>
      </c>
      <c r="D1389" s="73">
        <f>IF(R1389="","",IF(INDEX('Recurring Schedule'!$D$6:$D$45,R1389)="","",INDEX('Recurring Schedule'!$D$6:$D$45,R1389)))</f>
        <v/>
      </c>
      <c r="E1389" s="76">
        <f>IF(Q1389="","",INDEX(Calc!$A$2:$A$367,Q1389))</f>
        <v/>
      </c>
      <c r="F1389" s="72">
        <f>IF(OR(C1389="",E1389=""),"",E1389-Setup!$D$7)</f>
        <v/>
      </c>
      <c r="G1389" s="77">
        <f>IF(R1389="","",IF(INDEX('Recurring Schedule'!$H$6:$H$45,R1389)="","",INDEX('Recurring Schedule'!$H$6:$H$45,R1389)))</f>
        <v/>
      </c>
      <c r="H1389" s="77">
        <f>IF(R1389="","",IF(INDEX('Recurring Schedule'!$I$6:$I$45,R1389)="","",INDEX('Recurring Schedule'!$I$6:$I$45,R1389)))</f>
        <v/>
      </c>
      <c r="I1389" s="73">
        <f>IF(OR(G1389="",H1389=""),"",TRIM(IF(HOUR(H1389-G1389)&gt;0,HOUR(H1389-G1389)&amp;" hr ","")&amp;IF(MINUTE(H1389-G1389)&gt;0,MINUTE(H1389-G1389)&amp;" min","")))</f>
        <v/>
      </c>
      <c r="J1389" s="66" t="n"/>
      <c r="K1389" s="70" t="n"/>
      <c r="L1389" s="73">
        <f>IF(R1389="","",IF(INDEX('Recurring Schedule'!$J$6:$J$45,R1389)="","",INDEX('Recurring Schedule'!$J$6:$J$45,R1389)))</f>
        <v/>
      </c>
      <c r="M1389" s="73">
        <f>IF(R1389="","",IF(INDEX('Recurring Schedule'!$K$6:$K$45,R1389)="","",INDEX('Recurring Schedule'!$K$6:$K$45,R1389)))</f>
        <v/>
      </c>
      <c r="N1389" s="73">
        <f>IF(R1389="","",IF(INDEX('Recurring Schedule'!$L$6:$L$45,R1389)="","",INDEX('Recurring Schedule'!$L$6:$L$45,R1389)))</f>
        <v/>
      </c>
      <c r="O1389" s="73">
        <f>IF(C1389="","",IF(AND(OR(L1389="1-Urgent",L1389="2-High"),M1389="✓"),"DO FIRST",IF(M1389="✓","SCHEDULE",IF(OR(L1389="1-Urgent",L1389="2-High"),"DELEGATE","DELETE"))))</f>
        <v/>
      </c>
      <c r="P1389" s="65" t="n"/>
      <c r="Q1389">
        <f>IF(1384&gt;Calc!$AQ$368,"",MATCH(1383,Calc!$AQ$2:$AQ$367,1))</f>
        <v/>
      </c>
      <c r="R1389">
        <f>IF(Q1389="","",SMALL(INDEX(Calc!$B$2:$AO$367,Q1389,0),1384-INDEX(Calc!$AQ$2:$AQ$367,Q1389)))</f>
        <v/>
      </c>
    </row>
    <row r="1390">
      <c r="B1390" s="64">
        <f>IF(R1390="","",1385)</f>
        <v/>
      </c>
      <c r="C1390" s="37">
        <f>IF(R1390="","",IF(INDEX('Recurring Schedule'!$C$6:$C$45,R1390)="","",INDEX('Recurring Schedule'!$C$6:$C$45,R1390)))</f>
        <v/>
      </c>
      <c r="D1390" s="36">
        <f>IF(R1390="","",IF(INDEX('Recurring Schedule'!$D$6:$D$45,R1390)="","",INDEX('Recurring Schedule'!$D$6:$D$45,R1390)))</f>
        <v/>
      </c>
      <c r="E1390" s="38">
        <f>IF(Q1390="","",INDEX(Calc!$A$2:$A$367,Q1390))</f>
        <v/>
      </c>
      <c r="F1390" s="68">
        <f>IF(OR(C1390="",E1390=""),"",E1390-Setup!$D$7)</f>
        <v/>
      </c>
      <c r="G1390" s="74">
        <f>IF(R1390="","",IF(INDEX('Recurring Schedule'!$H$6:$H$45,R1390)="","",INDEX('Recurring Schedule'!$H$6:$H$45,R1390)))</f>
        <v/>
      </c>
      <c r="H1390" s="74">
        <f>IF(R1390="","",IF(INDEX('Recurring Schedule'!$I$6:$I$45,R1390)="","",INDEX('Recurring Schedule'!$I$6:$I$45,R1390)))</f>
        <v/>
      </c>
      <c r="I1390" s="36">
        <f>IF(OR(G1390="",H1390=""),"",TRIM(IF(HOUR(H1390-G1390)&gt;0,HOUR(H1390-G1390)&amp;" hr ","")&amp;IF(MINUTE(H1390-G1390)&gt;0,MINUTE(H1390-G1390)&amp;" min","")))</f>
        <v/>
      </c>
      <c r="J1390" s="66" t="n"/>
      <c r="K1390" s="70" t="n"/>
      <c r="L1390" s="36">
        <f>IF(R1390="","",IF(INDEX('Recurring Schedule'!$J$6:$J$45,R1390)="","",INDEX('Recurring Schedule'!$J$6:$J$45,R1390)))</f>
        <v/>
      </c>
      <c r="M1390" s="36">
        <f>IF(R1390="","",IF(INDEX('Recurring Schedule'!$K$6:$K$45,R1390)="","",INDEX('Recurring Schedule'!$K$6:$K$45,R1390)))</f>
        <v/>
      </c>
      <c r="N1390" s="36">
        <f>IF(R1390="","",IF(INDEX('Recurring Schedule'!$L$6:$L$45,R1390)="","",INDEX('Recurring Schedule'!$L$6:$L$45,R1390)))</f>
        <v/>
      </c>
      <c r="O1390" s="36">
        <f>IF(C1390="","",IF(AND(OR(L1390="1-Urgent",L1390="2-High"),M1390="✓"),"DO FIRST",IF(M1390="✓","SCHEDULE",IF(OR(L1390="1-Urgent",L1390="2-High"),"DELEGATE","DELETE"))))</f>
        <v/>
      </c>
      <c r="P1390" s="65" t="n"/>
      <c r="Q1390">
        <f>IF(1385&gt;Calc!$AQ$368,"",MATCH(1384,Calc!$AQ$2:$AQ$367,1))</f>
        <v/>
      </c>
      <c r="R1390">
        <f>IF(Q1390="","",SMALL(INDEX(Calc!$B$2:$AO$367,Q1390,0),1385-INDEX(Calc!$AQ$2:$AQ$367,Q1390)))</f>
        <v/>
      </c>
    </row>
    <row r="1391">
      <c r="B1391" s="71">
        <f>IF(R1391="","",1386)</f>
        <v/>
      </c>
      <c r="C1391" s="75">
        <f>IF(R1391="","",IF(INDEX('Recurring Schedule'!$C$6:$C$45,R1391)="","",INDEX('Recurring Schedule'!$C$6:$C$45,R1391)))</f>
        <v/>
      </c>
      <c r="D1391" s="73">
        <f>IF(R1391="","",IF(INDEX('Recurring Schedule'!$D$6:$D$45,R1391)="","",INDEX('Recurring Schedule'!$D$6:$D$45,R1391)))</f>
        <v/>
      </c>
      <c r="E1391" s="76">
        <f>IF(Q1391="","",INDEX(Calc!$A$2:$A$367,Q1391))</f>
        <v/>
      </c>
      <c r="F1391" s="72">
        <f>IF(OR(C1391="",E1391=""),"",E1391-Setup!$D$7)</f>
        <v/>
      </c>
      <c r="G1391" s="77">
        <f>IF(R1391="","",IF(INDEX('Recurring Schedule'!$H$6:$H$45,R1391)="","",INDEX('Recurring Schedule'!$H$6:$H$45,R1391)))</f>
        <v/>
      </c>
      <c r="H1391" s="77">
        <f>IF(R1391="","",IF(INDEX('Recurring Schedule'!$I$6:$I$45,R1391)="","",INDEX('Recurring Schedule'!$I$6:$I$45,R1391)))</f>
        <v/>
      </c>
      <c r="I1391" s="73">
        <f>IF(OR(G1391="",H1391=""),"",TRIM(IF(HOUR(H1391-G1391)&gt;0,HOUR(H1391-G1391)&amp;" hr ","")&amp;IF(MINUTE(H1391-G1391)&gt;0,MINUTE(H1391-G1391)&amp;" min","")))</f>
        <v/>
      </c>
      <c r="J1391" s="66" t="n"/>
      <c r="K1391" s="70" t="n"/>
      <c r="L1391" s="73">
        <f>IF(R1391="","",IF(INDEX('Recurring Schedule'!$J$6:$J$45,R1391)="","",INDEX('Recurring Schedule'!$J$6:$J$45,R1391)))</f>
        <v/>
      </c>
      <c r="M1391" s="73">
        <f>IF(R1391="","",IF(INDEX('Recurring Schedule'!$K$6:$K$45,R1391)="","",INDEX('Recurring Schedule'!$K$6:$K$45,R1391)))</f>
        <v/>
      </c>
      <c r="N1391" s="73">
        <f>IF(R1391="","",IF(INDEX('Recurring Schedule'!$L$6:$L$45,R1391)="","",INDEX('Recurring Schedule'!$L$6:$L$45,R1391)))</f>
        <v/>
      </c>
      <c r="O1391" s="73">
        <f>IF(C1391="","",IF(AND(OR(L1391="1-Urgent",L1391="2-High"),M1391="✓"),"DO FIRST",IF(M1391="✓","SCHEDULE",IF(OR(L1391="1-Urgent",L1391="2-High"),"DELEGATE","DELETE"))))</f>
        <v/>
      </c>
      <c r="P1391" s="65" t="n"/>
      <c r="Q1391">
        <f>IF(1386&gt;Calc!$AQ$368,"",MATCH(1385,Calc!$AQ$2:$AQ$367,1))</f>
        <v/>
      </c>
      <c r="R1391">
        <f>IF(Q1391="","",SMALL(INDEX(Calc!$B$2:$AO$367,Q1391,0),1386-INDEX(Calc!$AQ$2:$AQ$367,Q1391)))</f>
        <v/>
      </c>
    </row>
    <row r="1392">
      <c r="B1392" s="64">
        <f>IF(R1392="","",1387)</f>
        <v/>
      </c>
      <c r="C1392" s="37">
        <f>IF(R1392="","",IF(INDEX('Recurring Schedule'!$C$6:$C$45,R1392)="","",INDEX('Recurring Schedule'!$C$6:$C$45,R1392)))</f>
        <v/>
      </c>
      <c r="D1392" s="36">
        <f>IF(R1392="","",IF(INDEX('Recurring Schedule'!$D$6:$D$45,R1392)="","",INDEX('Recurring Schedule'!$D$6:$D$45,R1392)))</f>
        <v/>
      </c>
      <c r="E1392" s="38">
        <f>IF(Q1392="","",INDEX(Calc!$A$2:$A$367,Q1392))</f>
        <v/>
      </c>
      <c r="F1392" s="68">
        <f>IF(OR(C1392="",E1392=""),"",E1392-Setup!$D$7)</f>
        <v/>
      </c>
      <c r="G1392" s="74">
        <f>IF(R1392="","",IF(INDEX('Recurring Schedule'!$H$6:$H$45,R1392)="","",INDEX('Recurring Schedule'!$H$6:$H$45,R1392)))</f>
        <v/>
      </c>
      <c r="H1392" s="74">
        <f>IF(R1392="","",IF(INDEX('Recurring Schedule'!$I$6:$I$45,R1392)="","",INDEX('Recurring Schedule'!$I$6:$I$45,R1392)))</f>
        <v/>
      </c>
      <c r="I1392" s="36">
        <f>IF(OR(G1392="",H1392=""),"",TRIM(IF(HOUR(H1392-G1392)&gt;0,HOUR(H1392-G1392)&amp;" hr ","")&amp;IF(MINUTE(H1392-G1392)&gt;0,MINUTE(H1392-G1392)&amp;" min","")))</f>
        <v/>
      </c>
      <c r="J1392" s="66" t="n"/>
      <c r="K1392" s="70" t="n"/>
      <c r="L1392" s="36">
        <f>IF(R1392="","",IF(INDEX('Recurring Schedule'!$J$6:$J$45,R1392)="","",INDEX('Recurring Schedule'!$J$6:$J$45,R1392)))</f>
        <v/>
      </c>
      <c r="M1392" s="36">
        <f>IF(R1392="","",IF(INDEX('Recurring Schedule'!$K$6:$K$45,R1392)="","",INDEX('Recurring Schedule'!$K$6:$K$45,R1392)))</f>
        <v/>
      </c>
      <c r="N1392" s="36">
        <f>IF(R1392="","",IF(INDEX('Recurring Schedule'!$L$6:$L$45,R1392)="","",INDEX('Recurring Schedule'!$L$6:$L$45,R1392)))</f>
        <v/>
      </c>
      <c r="O1392" s="36">
        <f>IF(C1392="","",IF(AND(OR(L1392="1-Urgent",L1392="2-High"),M1392="✓"),"DO FIRST",IF(M1392="✓","SCHEDULE",IF(OR(L1392="1-Urgent",L1392="2-High"),"DELEGATE","DELETE"))))</f>
        <v/>
      </c>
      <c r="P1392" s="65" t="n"/>
      <c r="Q1392">
        <f>IF(1387&gt;Calc!$AQ$368,"",MATCH(1386,Calc!$AQ$2:$AQ$367,1))</f>
        <v/>
      </c>
      <c r="R1392">
        <f>IF(Q1392="","",SMALL(INDEX(Calc!$B$2:$AO$367,Q1392,0),1387-INDEX(Calc!$AQ$2:$AQ$367,Q1392)))</f>
        <v/>
      </c>
    </row>
    <row r="1393">
      <c r="B1393" s="71">
        <f>IF(R1393="","",1388)</f>
        <v/>
      </c>
      <c r="C1393" s="75">
        <f>IF(R1393="","",IF(INDEX('Recurring Schedule'!$C$6:$C$45,R1393)="","",INDEX('Recurring Schedule'!$C$6:$C$45,R1393)))</f>
        <v/>
      </c>
      <c r="D1393" s="73">
        <f>IF(R1393="","",IF(INDEX('Recurring Schedule'!$D$6:$D$45,R1393)="","",INDEX('Recurring Schedule'!$D$6:$D$45,R1393)))</f>
        <v/>
      </c>
      <c r="E1393" s="76">
        <f>IF(Q1393="","",INDEX(Calc!$A$2:$A$367,Q1393))</f>
        <v/>
      </c>
      <c r="F1393" s="72">
        <f>IF(OR(C1393="",E1393=""),"",E1393-Setup!$D$7)</f>
        <v/>
      </c>
      <c r="G1393" s="77">
        <f>IF(R1393="","",IF(INDEX('Recurring Schedule'!$H$6:$H$45,R1393)="","",INDEX('Recurring Schedule'!$H$6:$H$45,R1393)))</f>
        <v/>
      </c>
      <c r="H1393" s="77">
        <f>IF(R1393="","",IF(INDEX('Recurring Schedule'!$I$6:$I$45,R1393)="","",INDEX('Recurring Schedule'!$I$6:$I$45,R1393)))</f>
        <v/>
      </c>
      <c r="I1393" s="73">
        <f>IF(OR(G1393="",H1393=""),"",TRIM(IF(HOUR(H1393-G1393)&gt;0,HOUR(H1393-G1393)&amp;" hr ","")&amp;IF(MINUTE(H1393-G1393)&gt;0,MINUTE(H1393-G1393)&amp;" min","")))</f>
        <v/>
      </c>
      <c r="J1393" s="66" t="n"/>
      <c r="K1393" s="70" t="n"/>
      <c r="L1393" s="73">
        <f>IF(R1393="","",IF(INDEX('Recurring Schedule'!$J$6:$J$45,R1393)="","",INDEX('Recurring Schedule'!$J$6:$J$45,R1393)))</f>
        <v/>
      </c>
      <c r="M1393" s="73">
        <f>IF(R1393="","",IF(INDEX('Recurring Schedule'!$K$6:$K$45,R1393)="","",INDEX('Recurring Schedule'!$K$6:$K$45,R1393)))</f>
        <v/>
      </c>
      <c r="N1393" s="73">
        <f>IF(R1393="","",IF(INDEX('Recurring Schedule'!$L$6:$L$45,R1393)="","",INDEX('Recurring Schedule'!$L$6:$L$45,R1393)))</f>
        <v/>
      </c>
      <c r="O1393" s="73">
        <f>IF(C1393="","",IF(AND(OR(L1393="1-Urgent",L1393="2-High"),M1393="✓"),"DO FIRST",IF(M1393="✓","SCHEDULE",IF(OR(L1393="1-Urgent",L1393="2-High"),"DELEGATE","DELETE"))))</f>
        <v/>
      </c>
      <c r="P1393" s="65" t="n"/>
      <c r="Q1393">
        <f>IF(1388&gt;Calc!$AQ$368,"",MATCH(1387,Calc!$AQ$2:$AQ$367,1))</f>
        <v/>
      </c>
      <c r="R1393">
        <f>IF(Q1393="","",SMALL(INDEX(Calc!$B$2:$AO$367,Q1393,0),1388-INDEX(Calc!$AQ$2:$AQ$367,Q1393)))</f>
        <v/>
      </c>
    </row>
    <row r="1394">
      <c r="B1394" s="64">
        <f>IF(R1394="","",1389)</f>
        <v/>
      </c>
      <c r="C1394" s="37">
        <f>IF(R1394="","",IF(INDEX('Recurring Schedule'!$C$6:$C$45,R1394)="","",INDEX('Recurring Schedule'!$C$6:$C$45,R1394)))</f>
        <v/>
      </c>
      <c r="D1394" s="36">
        <f>IF(R1394="","",IF(INDEX('Recurring Schedule'!$D$6:$D$45,R1394)="","",INDEX('Recurring Schedule'!$D$6:$D$45,R1394)))</f>
        <v/>
      </c>
      <c r="E1394" s="38">
        <f>IF(Q1394="","",INDEX(Calc!$A$2:$A$367,Q1394))</f>
        <v/>
      </c>
      <c r="F1394" s="68">
        <f>IF(OR(C1394="",E1394=""),"",E1394-Setup!$D$7)</f>
        <v/>
      </c>
      <c r="G1394" s="74">
        <f>IF(R1394="","",IF(INDEX('Recurring Schedule'!$H$6:$H$45,R1394)="","",INDEX('Recurring Schedule'!$H$6:$H$45,R1394)))</f>
        <v/>
      </c>
      <c r="H1394" s="74">
        <f>IF(R1394="","",IF(INDEX('Recurring Schedule'!$I$6:$I$45,R1394)="","",INDEX('Recurring Schedule'!$I$6:$I$45,R1394)))</f>
        <v/>
      </c>
      <c r="I1394" s="36">
        <f>IF(OR(G1394="",H1394=""),"",TRIM(IF(HOUR(H1394-G1394)&gt;0,HOUR(H1394-G1394)&amp;" hr ","")&amp;IF(MINUTE(H1394-G1394)&gt;0,MINUTE(H1394-G1394)&amp;" min","")))</f>
        <v/>
      </c>
      <c r="J1394" s="66" t="n"/>
      <c r="K1394" s="70" t="n"/>
      <c r="L1394" s="36">
        <f>IF(R1394="","",IF(INDEX('Recurring Schedule'!$J$6:$J$45,R1394)="","",INDEX('Recurring Schedule'!$J$6:$J$45,R1394)))</f>
        <v/>
      </c>
      <c r="M1394" s="36">
        <f>IF(R1394="","",IF(INDEX('Recurring Schedule'!$K$6:$K$45,R1394)="","",INDEX('Recurring Schedule'!$K$6:$K$45,R1394)))</f>
        <v/>
      </c>
      <c r="N1394" s="36">
        <f>IF(R1394="","",IF(INDEX('Recurring Schedule'!$L$6:$L$45,R1394)="","",INDEX('Recurring Schedule'!$L$6:$L$45,R1394)))</f>
        <v/>
      </c>
      <c r="O1394" s="36">
        <f>IF(C1394="","",IF(AND(OR(L1394="1-Urgent",L1394="2-High"),M1394="✓"),"DO FIRST",IF(M1394="✓","SCHEDULE",IF(OR(L1394="1-Urgent",L1394="2-High"),"DELEGATE","DELETE"))))</f>
        <v/>
      </c>
      <c r="P1394" s="65" t="n"/>
      <c r="Q1394">
        <f>IF(1389&gt;Calc!$AQ$368,"",MATCH(1388,Calc!$AQ$2:$AQ$367,1))</f>
        <v/>
      </c>
      <c r="R1394">
        <f>IF(Q1394="","",SMALL(INDEX(Calc!$B$2:$AO$367,Q1394,0),1389-INDEX(Calc!$AQ$2:$AQ$367,Q1394)))</f>
        <v/>
      </c>
    </row>
    <row r="1395">
      <c r="B1395" s="71">
        <f>IF(R1395="","",1390)</f>
        <v/>
      </c>
      <c r="C1395" s="75">
        <f>IF(R1395="","",IF(INDEX('Recurring Schedule'!$C$6:$C$45,R1395)="","",INDEX('Recurring Schedule'!$C$6:$C$45,R1395)))</f>
        <v/>
      </c>
      <c r="D1395" s="73">
        <f>IF(R1395="","",IF(INDEX('Recurring Schedule'!$D$6:$D$45,R1395)="","",INDEX('Recurring Schedule'!$D$6:$D$45,R1395)))</f>
        <v/>
      </c>
      <c r="E1395" s="76">
        <f>IF(Q1395="","",INDEX(Calc!$A$2:$A$367,Q1395))</f>
        <v/>
      </c>
      <c r="F1395" s="72">
        <f>IF(OR(C1395="",E1395=""),"",E1395-Setup!$D$7)</f>
        <v/>
      </c>
      <c r="G1395" s="77">
        <f>IF(R1395="","",IF(INDEX('Recurring Schedule'!$H$6:$H$45,R1395)="","",INDEX('Recurring Schedule'!$H$6:$H$45,R1395)))</f>
        <v/>
      </c>
      <c r="H1395" s="77">
        <f>IF(R1395="","",IF(INDEX('Recurring Schedule'!$I$6:$I$45,R1395)="","",INDEX('Recurring Schedule'!$I$6:$I$45,R1395)))</f>
        <v/>
      </c>
      <c r="I1395" s="73">
        <f>IF(OR(G1395="",H1395=""),"",TRIM(IF(HOUR(H1395-G1395)&gt;0,HOUR(H1395-G1395)&amp;" hr ","")&amp;IF(MINUTE(H1395-G1395)&gt;0,MINUTE(H1395-G1395)&amp;" min","")))</f>
        <v/>
      </c>
      <c r="J1395" s="66" t="n"/>
      <c r="K1395" s="70" t="n"/>
      <c r="L1395" s="73">
        <f>IF(R1395="","",IF(INDEX('Recurring Schedule'!$J$6:$J$45,R1395)="","",INDEX('Recurring Schedule'!$J$6:$J$45,R1395)))</f>
        <v/>
      </c>
      <c r="M1395" s="73">
        <f>IF(R1395="","",IF(INDEX('Recurring Schedule'!$K$6:$K$45,R1395)="","",INDEX('Recurring Schedule'!$K$6:$K$45,R1395)))</f>
        <v/>
      </c>
      <c r="N1395" s="73">
        <f>IF(R1395="","",IF(INDEX('Recurring Schedule'!$L$6:$L$45,R1395)="","",INDEX('Recurring Schedule'!$L$6:$L$45,R1395)))</f>
        <v/>
      </c>
      <c r="O1395" s="73">
        <f>IF(C1395="","",IF(AND(OR(L1395="1-Urgent",L1395="2-High"),M1395="✓"),"DO FIRST",IF(M1395="✓","SCHEDULE",IF(OR(L1395="1-Urgent",L1395="2-High"),"DELEGATE","DELETE"))))</f>
        <v/>
      </c>
      <c r="P1395" s="65" t="n"/>
      <c r="Q1395">
        <f>IF(1390&gt;Calc!$AQ$368,"",MATCH(1389,Calc!$AQ$2:$AQ$367,1))</f>
        <v/>
      </c>
      <c r="R1395">
        <f>IF(Q1395="","",SMALL(INDEX(Calc!$B$2:$AO$367,Q1395,0),1390-INDEX(Calc!$AQ$2:$AQ$367,Q1395)))</f>
        <v/>
      </c>
    </row>
    <row r="1396">
      <c r="B1396" s="64">
        <f>IF(R1396="","",1391)</f>
        <v/>
      </c>
      <c r="C1396" s="37">
        <f>IF(R1396="","",IF(INDEX('Recurring Schedule'!$C$6:$C$45,R1396)="","",INDEX('Recurring Schedule'!$C$6:$C$45,R1396)))</f>
        <v/>
      </c>
      <c r="D1396" s="36">
        <f>IF(R1396="","",IF(INDEX('Recurring Schedule'!$D$6:$D$45,R1396)="","",INDEX('Recurring Schedule'!$D$6:$D$45,R1396)))</f>
        <v/>
      </c>
      <c r="E1396" s="38">
        <f>IF(Q1396="","",INDEX(Calc!$A$2:$A$367,Q1396))</f>
        <v/>
      </c>
      <c r="F1396" s="68">
        <f>IF(OR(C1396="",E1396=""),"",E1396-Setup!$D$7)</f>
        <v/>
      </c>
      <c r="G1396" s="74">
        <f>IF(R1396="","",IF(INDEX('Recurring Schedule'!$H$6:$H$45,R1396)="","",INDEX('Recurring Schedule'!$H$6:$H$45,R1396)))</f>
        <v/>
      </c>
      <c r="H1396" s="74">
        <f>IF(R1396="","",IF(INDEX('Recurring Schedule'!$I$6:$I$45,R1396)="","",INDEX('Recurring Schedule'!$I$6:$I$45,R1396)))</f>
        <v/>
      </c>
      <c r="I1396" s="36">
        <f>IF(OR(G1396="",H1396=""),"",TRIM(IF(HOUR(H1396-G1396)&gt;0,HOUR(H1396-G1396)&amp;" hr ","")&amp;IF(MINUTE(H1396-G1396)&gt;0,MINUTE(H1396-G1396)&amp;" min","")))</f>
        <v/>
      </c>
      <c r="J1396" s="66" t="n"/>
      <c r="K1396" s="70" t="n"/>
      <c r="L1396" s="36">
        <f>IF(R1396="","",IF(INDEX('Recurring Schedule'!$J$6:$J$45,R1396)="","",INDEX('Recurring Schedule'!$J$6:$J$45,R1396)))</f>
        <v/>
      </c>
      <c r="M1396" s="36">
        <f>IF(R1396="","",IF(INDEX('Recurring Schedule'!$K$6:$K$45,R1396)="","",INDEX('Recurring Schedule'!$K$6:$K$45,R1396)))</f>
        <v/>
      </c>
      <c r="N1396" s="36">
        <f>IF(R1396="","",IF(INDEX('Recurring Schedule'!$L$6:$L$45,R1396)="","",INDEX('Recurring Schedule'!$L$6:$L$45,R1396)))</f>
        <v/>
      </c>
      <c r="O1396" s="36">
        <f>IF(C1396="","",IF(AND(OR(L1396="1-Urgent",L1396="2-High"),M1396="✓"),"DO FIRST",IF(M1396="✓","SCHEDULE",IF(OR(L1396="1-Urgent",L1396="2-High"),"DELEGATE","DELETE"))))</f>
        <v/>
      </c>
      <c r="P1396" s="65" t="n"/>
      <c r="Q1396">
        <f>IF(1391&gt;Calc!$AQ$368,"",MATCH(1390,Calc!$AQ$2:$AQ$367,1))</f>
        <v/>
      </c>
      <c r="R1396">
        <f>IF(Q1396="","",SMALL(INDEX(Calc!$B$2:$AO$367,Q1396,0),1391-INDEX(Calc!$AQ$2:$AQ$367,Q1396)))</f>
        <v/>
      </c>
    </row>
    <row r="1397">
      <c r="B1397" s="71">
        <f>IF(R1397="","",1392)</f>
        <v/>
      </c>
      <c r="C1397" s="75">
        <f>IF(R1397="","",IF(INDEX('Recurring Schedule'!$C$6:$C$45,R1397)="","",INDEX('Recurring Schedule'!$C$6:$C$45,R1397)))</f>
        <v/>
      </c>
      <c r="D1397" s="73">
        <f>IF(R1397="","",IF(INDEX('Recurring Schedule'!$D$6:$D$45,R1397)="","",INDEX('Recurring Schedule'!$D$6:$D$45,R1397)))</f>
        <v/>
      </c>
      <c r="E1397" s="76">
        <f>IF(Q1397="","",INDEX(Calc!$A$2:$A$367,Q1397))</f>
        <v/>
      </c>
      <c r="F1397" s="72">
        <f>IF(OR(C1397="",E1397=""),"",E1397-Setup!$D$7)</f>
        <v/>
      </c>
      <c r="G1397" s="77">
        <f>IF(R1397="","",IF(INDEX('Recurring Schedule'!$H$6:$H$45,R1397)="","",INDEX('Recurring Schedule'!$H$6:$H$45,R1397)))</f>
        <v/>
      </c>
      <c r="H1397" s="77">
        <f>IF(R1397="","",IF(INDEX('Recurring Schedule'!$I$6:$I$45,R1397)="","",INDEX('Recurring Schedule'!$I$6:$I$45,R1397)))</f>
        <v/>
      </c>
      <c r="I1397" s="73">
        <f>IF(OR(G1397="",H1397=""),"",TRIM(IF(HOUR(H1397-G1397)&gt;0,HOUR(H1397-G1397)&amp;" hr ","")&amp;IF(MINUTE(H1397-G1397)&gt;0,MINUTE(H1397-G1397)&amp;" min","")))</f>
        <v/>
      </c>
      <c r="J1397" s="66" t="n"/>
      <c r="K1397" s="70" t="n"/>
      <c r="L1397" s="73">
        <f>IF(R1397="","",IF(INDEX('Recurring Schedule'!$J$6:$J$45,R1397)="","",INDEX('Recurring Schedule'!$J$6:$J$45,R1397)))</f>
        <v/>
      </c>
      <c r="M1397" s="73">
        <f>IF(R1397="","",IF(INDEX('Recurring Schedule'!$K$6:$K$45,R1397)="","",INDEX('Recurring Schedule'!$K$6:$K$45,R1397)))</f>
        <v/>
      </c>
      <c r="N1397" s="73">
        <f>IF(R1397="","",IF(INDEX('Recurring Schedule'!$L$6:$L$45,R1397)="","",INDEX('Recurring Schedule'!$L$6:$L$45,R1397)))</f>
        <v/>
      </c>
      <c r="O1397" s="73">
        <f>IF(C1397="","",IF(AND(OR(L1397="1-Urgent",L1397="2-High"),M1397="✓"),"DO FIRST",IF(M1397="✓","SCHEDULE",IF(OR(L1397="1-Urgent",L1397="2-High"),"DELEGATE","DELETE"))))</f>
        <v/>
      </c>
      <c r="P1397" s="65" t="n"/>
      <c r="Q1397">
        <f>IF(1392&gt;Calc!$AQ$368,"",MATCH(1391,Calc!$AQ$2:$AQ$367,1))</f>
        <v/>
      </c>
      <c r="R1397">
        <f>IF(Q1397="","",SMALL(INDEX(Calc!$B$2:$AO$367,Q1397,0),1392-INDEX(Calc!$AQ$2:$AQ$367,Q1397)))</f>
        <v/>
      </c>
    </row>
    <row r="1398">
      <c r="B1398" s="64">
        <f>IF(R1398="","",1393)</f>
        <v/>
      </c>
      <c r="C1398" s="37">
        <f>IF(R1398="","",IF(INDEX('Recurring Schedule'!$C$6:$C$45,R1398)="","",INDEX('Recurring Schedule'!$C$6:$C$45,R1398)))</f>
        <v/>
      </c>
      <c r="D1398" s="36">
        <f>IF(R1398="","",IF(INDEX('Recurring Schedule'!$D$6:$D$45,R1398)="","",INDEX('Recurring Schedule'!$D$6:$D$45,R1398)))</f>
        <v/>
      </c>
      <c r="E1398" s="38">
        <f>IF(Q1398="","",INDEX(Calc!$A$2:$A$367,Q1398))</f>
        <v/>
      </c>
      <c r="F1398" s="68">
        <f>IF(OR(C1398="",E1398=""),"",E1398-Setup!$D$7)</f>
        <v/>
      </c>
      <c r="G1398" s="74">
        <f>IF(R1398="","",IF(INDEX('Recurring Schedule'!$H$6:$H$45,R1398)="","",INDEX('Recurring Schedule'!$H$6:$H$45,R1398)))</f>
        <v/>
      </c>
      <c r="H1398" s="74">
        <f>IF(R1398="","",IF(INDEX('Recurring Schedule'!$I$6:$I$45,R1398)="","",INDEX('Recurring Schedule'!$I$6:$I$45,R1398)))</f>
        <v/>
      </c>
      <c r="I1398" s="36">
        <f>IF(OR(G1398="",H1398=""),"",TRIM(IF(HOUR(H1398-G1398)&gt;0,HOUR(H1398-G1398)&amp;" hr ","")&amp;IF(MINUTE(H1398-G1398)&gt;0,MINUTE(H1398-G1398)&amp;" min","")))</f>
        <v/>
      </c>
      <c r="J1398" s="66" t="n"/>
      <c r="K1398" s="70" t="n"/>
      <c r="L1398" s="36">
        <f>IF(R1398="","",IF(INDEX('Recurring Schedule'!$J$6:$J$45,R1398)="","",INDEX('Recurring Schedule'!$J$6:$J$45,R1398)))</f>
        <v/>
      </c>
      <c r="M1398" s="36">
        <f>IF(R1398="","",IF(INDEX('Recurring Schedule'!$K$6:$K$45,R1398)="","",INDEX('Recurring Schedule'!$K$6:$K$45,R1398)))</f>
        <v/>
      </c>
      <c r="N1398" s="36">
        <f>IF(R1398="","",IF(INDEX('Recurring Schedule'!$L$6:$L$45,R1398)="","",INDEX('Recurring Schedule'!$L$6:$L$45,R1398)))</f>
        <v/>
      </c>
      <c r="O1398" s="36">
        <f>IF(C1398="","",IF(AND(OR(L1398="1-Urgent",L1398="2-High"),M1398="✓"),"DO FIRST",IF(M1398="✓","SCHEDULE",IF(OR(L1398="1-Urgent",L1398="2-High"),"DELEGATE","DELETE"))))</f>
        <v/>
      </c>
      <c r="P1398" s="65" t="n"/>
      <c r="Q1398">
        <f>IF(1393&gt;Calc!$AQ$368,"",MATCH(1392,Calc!$AQ$2:$AQ$367,1))</f>
        <v/>
      </c>
      <c r="R1398">
        <f>IF(Q1398="","",SMALL(INDEX(Calc!$B$2:$AO$367,Q1398,0),1393-INDEX(Calc!$AQ$2:$AQ$367,Q1398)))</f>
        <v/>
      </c>
    </row>
    <row r="1399">
      <c r="B1399" s="71">
        <f>IF(R1399="","",1394)</f>
        <v/>
      </c>
      <c r="C1399" s="75">
        <f>IF(R1399="","",IF(INDEX('Recurring Schedule'!$C$6:$C$45,R1399)="","",INDEX('Recurring Schedule'!$C$6:$C$45,R1399)))</f>
        <v/>
      </c>
      <c r="D1399" s="73">
        <f>IF(R1399="","",IF(INDEX('Recurring Schedule'!$D$6:$D$45,R1399)="","",INDEX('Recurring Schedule'!$D$6:$D$45,R1399)))</f>
        <v/>
      </c>
      <c r="E1399" s="76">
        <f>IF(Q1399="","",INDEX(Calc!$A$2:$A$367,Q1399))</f>
        <v/>
      </c>
      <c r="F1399" s="72">
        <f>IF(OR(C1399="",E1399=""),"",E1399-Setup!$D$7)</f>
        <v/>
      </c>
      <c r="G1399" s="77">
        <f>IF(R1399="","",IF(INDEX('Recurring Schedule'!$H$6:$H$45,R1399)="","",INDEX('Recurring Schedule'!$H$6:$H$45,R1399)))</f>
        <v/>
      </c>
      <c r="H1399" s="77">
        <f>IF(R1399="","",IF(INDEX('Recurring Schedule'!$I$6:$I$45,R1399)="","",INDEX('Recurring Schedule'!$I$6:$I$45,R1399)))</f>
        <v/>
      </c>
      <c r="I1399" s="73">
        <f>IF(OR(G1399="",H1399=""),"",TRIM(IF(HOUR(H1399-G1399)&gt;0,HOUR(H1399-G1399)&amp;" hr ","")&amp;IF(MINUTE(H1399-G1399)&gt;0,MINUTE(H1399-G1399)&amp;" min","")))</f>
        <v/>
      </c>
      <c r="J1399" s="66" t="n"/>
      <c r="K1399" s="70" t="n"/>
      <c r="L1399" s="73">
        <f>IF(R1399="","",IF(INDEX('Recurring Schedule'!$J$6:$J$45,R1399)="","",INDEX('Recurring Schedule'!$J$6:$J$45,R1399)))</f>
        <v/>
      </c>
      <c r="M1399" s="73">
        <f>IF(R1399="","",IF(INDEX('Recurring Schedule'!$K$6:$K$45,R1399)="","",INDEX('Recurring Schedule'!$K$6:$K$45,R1399)))</f>
        <v/>
      </c>
      <c r="N1399" s="73">
        <f>IF(R1399="","",IF(INDEX('Recurring Schedule'!$L$6:$L$45,R1399)="","",INDEX('Recurring Schedule'!$L$6:$L$45,R1399)))</f>
        <v/>
      </c>
      <c r="O1399" s="73">
        <f>IF(C1399="","",IF(AND(OR(L1399="1-Urgent",L1399="2-High"),M1399="✓"),"DO FIRST",IF(M1399="✓","SCHEDULE",IF(OR(L1399="1-Urgent",L1399="2-High"),"DELEGATE","DELETE"))))</f>
        <v/>
      </c>
      <c r="P1399" s="65" t="n"/>
      <c r="Q1399">
        <f>IF(1394&gt;Calc!$AQ$368,"",MATCH(1393,Calc!$AQ$2:$AQ$367,1))</f>
        <v/>
      </c>
      <c r="R1399">
        <f>IF(Q1399="","",SMALL(INDEX(Calc!$B$2:$AO$367,Q1399,0),1394-INDEX(Calc!$AQ$2:$AQ$367,Q1399)))</f>
        <v/>
      </c>
    </row>
    <row r="1400">
      <c r="B1400" s="64">
        <f>IF(R1400="","",1395)</f>
        <v/>
      </c>
      <c r="C1400" s="37">
        <f>IF(R1400="","",IF(INDEX('Recurring Schedule'!$C$6:$C$45,R1400)="","",INDEX('Recurring Schedule'!$C$6:$C$45,R1400)))</f>
        <v/>
      </c>
      <c r="D1400" s="36">
        <f>IF(R1400="","",IF(INDEX('Recurring Schedule'!$D$6:$D$45,R1400)="","",INDEX('Recurring Schedule'!$D$6:$D$45,R1400)))</f>
        <v/>
      </c>
      <c r="E1400" s="38">
        <f>IF(Q1400="","",INDEX(Calc!$A$2:$A$367,Q1400))</f>
        <v/>
      </c>
      <c r="F1400" s="68">
        <f>IF(OR(C1400="",E1400=""),"",E1400-Setup!$D$7)</f>
        <v/>
      </c>
      <c r="G1400" s="74">
        <f>IF(R1400="","",IF(INDEX('Recurring Schedule'!$H$6:$H$45,R1400)="","",INDEX('Recurring Schedule'!$H$6:$H$45,R1400)))</f>
        <v/>
      </c>
      <c r="H1400" s="74">
        <f>IF(R1400="","",IF(INDEX('Recurring Schedule'!$I$6:$I$45,R1400)="","",INDEX('Recurring Schedule'!$I$6:$I$45,R1400)))</f>
        <v/>
      </c>
      <c r="I1400" s="36">
        <f>IF(OR(G1400="",H1400=""),"",TRIM(IF(HOUR(H1400-G1400)&gt;0,HOUR(H1400-G1400)&amp;" hr ","")&amp;IF(MINUTE(H1400-G1400)&gt;0,MINUTE(H1400-G1400)&amp;" min","")))</f>
        <v/>
      </c>
      <c r="J1400" s="66" t="n"/>
      <c r="K1400" s="70" t="n"/>
      <c r="L1400" s="36">
        <f>IF(R1400="","",IF(INDEX('Recurring Schedule'!$J$6:$J$45,R1400)="","",INDEX('Recurring Schedule'!$J$6:$J$45,R1400)))</f>
        <v/>
      </c>
      <c r="M1400" s="36">
        <f>IF(R1400="","",IF(INDEX('Recurring Schedule'!$K$6:$K$45,R1400)="","",INDEX('Recurring Schedule'!$K$6:$K$45,R1400)))</f>
        <v/>
      </c>
      <c r="N1400" s="36">
        <f>IF(R1400="","",IF(INDEX('Recurring Schedule'!$L$6:$L$45,R1400)="","",INDEX('Recurring Schedule'!$L$6:$L$45,R1400)))</f>
        <v/>
      </c>
      <c r="O1400" s="36">
        <f>IF(C1400="","",IF(AND(OR(L1400="1-Urgent",L1400="2-High"),M1400="✓"),"DO FIRST",IF(M1400="✓","SCHEDULE",IF(OR(L1400="1-Urgent",L1400="2-High"),"DELEGATE","DELETE"))))</f>
        <v/>
      </c>
      <c r="P1400" s="65" t="n"/>
      <c r="Q1400">
        <f>IF(1395&gt;Calc!$AQ$368,"",MATCH(1394,Calc!$AQ$2:$AQ$367,1))</f>
        <v/>
      </c>
      <c r="R1400">
        <f>IF(Q1400="","",SMALL(INDEX(Calc!$B$2:$AO$367,Q1400,0),1395-INDEX(Calc!$AQ$2:$AQ$367,Q1400)))</f>
        <v/>
      </c>
    </row>
    <row r="1401">
      <c r="B1401" s="71">
        <f>IF(R1401="","",1396)</f>
        <v/>
      </c>
      <c r="C1401" s="75">
        <f>IF(R1401="","",IF(INDEX('Recurring Schedule'!$C$6:$C$45,R1401)="","",INDEX('Recurring Schedule'!$C$6:$C$45,R1401)))</f>
        <v/>
      </c>
      <c r="D1401" s="73">
        <f>IF(R1401="","",IF(INDEX('Recurring Schedule'!$D$6:$D$45,R1401)="","",INDEX('Recurring Schedule'!$D$6:$D$45,R1401)))</f>
        <v/>
      </c>
      <c r="E1401" s="76">
        <f>IF(Q1401="","",INDEX(Calc!$A$2:$A$367,Q1401))</f>
        <v/>
      </c>
      <c r="F1401" s="72">
        <f>IF(OR(C1401="",E1401=""),"",E1401-Setup!$D$7)</f>
        <v/>
      </c>
      <c r="G1401" s="77">
        <f>IF(R1401="","",IF(INDEX('Recurring Schedule'!$H$6:$H$45,R1401)="","",INDEX('Recurring Schedule'!$H$6:$H$45,R1401)))</f>
        <v/>
      </c>
      <c r="H1401" s="77">
        <f>IF(R1401="","",IF(INDEX('Recurring Schedule'!$I$6:$I$45,R1401)="","",INDEX('Recurring Schedule'!$I$6:$I$45,R1401)))</f>
        <v/>
      </c>
      <c r="I1401" s="73">
        <f>IF(OR(G1401="",H1401=""),"",TRIM(IF(HOUR(H1401-G1401)&gt;0,HOUR(H1401-G1401)&amp;" hr ","")&amp;IF(MINUTE(H1401-G1401)&gt;0,MINUTE(H1401-G1401)&amp;" min","")))</f>
        <v/>
      </c>
      <c r="J1401" s="66" t="n"/>
      <c r="K1401" s="70" t="n"/>
      <c r="L1401" s="73">
        <f>IF(R1401="","",IF(INDEX('Recurring Schedule'!$J$6:$J$45,R1401)="","",INDEX('Recurring Schedule'!$J$6:$J$45,R1401)))</f>
        <v/>
      </c>
      <c r="M1401" s="73">
        <f>IF(R1401="","",IF(INDEX('Recurring Schedule'!$K$6:$K$45,R1401)="","",INDEX('Recurring Schedule'!$K$6:$K$45,R1401)))</f>
        <v/>
      </c>
      <c r="N1401" s="73">
        <f>IF(R1401="","",IF(INDEX('Recurring Schedule'!$L$6:$L$45,R1401)="","",INDEX('Recurring Schedule'!$L$6:$L$45,R1401)))</f>
        <v/>
      </c>
      <c r="O1401" s="73">
        <f>IF(C1401="","",IF(AND(OR(L1401="1-Urgent",L1401="2-High"),M1401="✓"),"DO FIRST",IF(M1401="✓","SCHEDULE",IF(OR(L1401="1-Urgent",L1401="2-High"),"DELEGATE","DELETE"))))</f>
        <v/>
      </c>
      <c r="P1401" s="65" t="n"/>
      <c r="Q1401">
        <f>IF(1396&gt;Calc!$AQ$368,"",MATCH(1395,Calc!$AQ$2:$AQ$367,1))</f>
        <v/>
      </c>
      <c r="R1401">
        <f>IF(Q1401="","",SMALL(INDEX(Calc!$B$2:$AO$367,Q1401,0),1396-INDEX(Calc!$AQ$2:$AQ$367,Q1401)))</f>
        <v/>
      </c>
    </row>
    <row r="1402">
      <c r="B1402" s="64">
        <f>IF(R1402="","",1397)</f>
        <v/>
      </c>
      <c r="C1402" s="37">
        <f>IF(R1402="","",IF(INDEX('Recurring Schedule'!$C$6:$C$45,R1402)="","",INDEX('Recurring Schedule'!$C$6:$C$45,R1402)))</f>
        <v/>
      </c>
      <c r="D1402" s="36">
        <f>IF(R1402="","",IF(INDEX('Recurring Schedule'!$D$6:$D$45,R1402)="","",INDEX('Recurring Schedule'!$D$6:$D$45,R1402)))</f>
        <v/>
      </c>
      <c r="E1402" s="38">
        <f>IF(Q1402="","",INDEX(Calc!$A$2:$A$367,Q1402))</f>
        <v/>
      </c>
      <c r="F1402" s="68">
        <f>IF(OR(C1402="",E1402=""),"",E1402-Setup!$D$7)</f>
        <v/>
      </c>
      <c r="G1402" s="74">
        <f>IF(R1402="","",IF(INDEX('Recurring Schedule'!$H$6:$H$45,R1402)="","",INDEX('Recurring Schedule'!$H$6:$H$45,R1402)))</f>
        <v/>
      </c>
      <c r="H1402" s="74">
        <f>IF(R1402="","",IF(INDEX('Recurring Schedule'!$I$6:$I$45,R1402)="","",INDEX('Recurring Schedule'!$I$6:$I$45,R1402)))</f>
        <v/>
      </c>
      <c r="I1402" s="36">
        <f>IF(OR(G1402="",H1402=""),"",TRIM(IF(HOUR(H1402-G1402)&gt;0,HOUR(H1402-G1402)&amp;" hr ","")&amp;IF(MINUTE(H1402-G1402)&gt;0,MINUTE(H1402-G1402)&amp;" min","")))</f>
        <v/>
      </c>
      <c r="J1402" s="66" t="n"/>
      <c r="K1402" s="70" t="n"/>
      <c r="L1402" s="36">
        <f>IF(R1402="","",IF(INDEX('Recurring Schedule'!$J$6:$J$45,R1402)="","",INDEX('Recurring Schedule'!$J$6:$J$45,R1402)))</f>
        <v/>
      </c>
      <c r="M1402" s="36">
        <f>IF(R1402="","",IF(INDEX('Recurring Schedule'!$K$6:$K$45,R1402)="","",INDEX('Recurring Schedule'!$K$6:$K$45,R1402)))</f>
        <v/>
      </c>
      <c r="N1402" s="36">
        <f>IF(R1402="","",IF(INDEX('Recurring Schedule'!$L$6:$L$45,R1402)="","",INDEX('Recurring Schedule'!$L$6:$L$45,R1402)))</f>
        <v/>
      </c>
      <c r="O1402" s="36">
        <f>IF(C1402="","",IF(AND(OR(L1402="1-Urgent",L1402="2-High"),M1402="✓"),"DO FIRST",IF(M1402="✓","SCHEDULE",IF(OR(L1402="1-Urgent",L1402="2-High"),"DELEGATE","DELETE"))))</f>
        <v/>
      </c>
      <c r="P1402" s="65" t="n"/>
      <c r="Q1402">
        <f>IF(1397&gt;Calc!$AQ$368,"",MATCH(1396,Calc!$AQ$2:$AQ$367,1))</f>
        <v/>
      </c>
      <c r="R1402">
        <f>IF(Q1402="","",SMALL(INDEX(Calc!$B$2:$AO$367,Q1402,0),1397-INDEX(Calc!$AQ$2:$AQ$367,Q1402)))</f>
        <v/>
      </c>
    </row>
    <row r="1403">
      <c r="B1403" s="71">
        <f>IF(R1403="","",1398)</f>
        <v/>
      </c>
      <c r="C1403" s="75">
        <f>IF(R1403="","",IF(INDEX('Recurring Schedule'!$C$6:$C$45,R1403)="","",INDEX('Recurring Schedule'!$C$6:$C$45,R1403)))</f>
        <v/>
      </c>
      <c r="D1403" s="73">
        <f>IF(R1403="","",IF(INDEX('Recurring Schedule'!$D$6:$D$45,R1403)="","",INDEX('Recurring Schedule'!$D$6:$D$45,R1403)))</f>
        <v/>
      </c>
      <c r="E1403" s="76">
        <f>IF(Q1403="","",INDEX(Calc!$A$2:$A$367,Q1403))</f>
        <v/>
      </c>
      <c r="F1403" s="72">
        <f>IF(OR(C1403="",E1403=""),"",E1403-Setup!$D$7)</f>
        <v/>
      </c>
      <c r="G1403" s="77">
        <f>IF(R1403="","",IF(INDEX('Recurring Schedule'!$H$6:$H$45,R1403)="","",INDEX('Recurring Schedule'!$H$6:$H$45,R1403)))</f>
        <v/>
      </c>
      <c r="H1403" s="77">
        <f>IF(R1403="","",IF(INDEX('Recurring Schedule'!$I$6:$I$45,R1403)="","",INDEX('Recurring Schedule'!$I$6:$I$45,R1403)))</f>
        <v/>
      </c>
      <c r="I1403" s="73">
        <f>IF(OR(G1403="",H1403=""),"",TRIM(IF(HOUR(H1403-G1403)&gt;0,HOUR(H1403-G1403)&amp;" hr ","")&amp;IF(MINUTE(H1403-G1403)&gt;0,MINUTE(H1403-G1403)&amp;" min","")))</f>
        <v/>
      </c>
      <c r="J1403" s="66" t="n"/>
      <c r="K1403" s="70" t="n"/>
      <c r="L1403" s="73">
        <f>IF(R1403="","",IF(INDEX('Recurring Schedule'!$J$6:$J$45,R1403)="","",INDEX('Recurring Schedule'!$J$6:$J$45,R1403)))</f>
        <v/>
      </c>
      <c r="M1403" s="73">
        <f>IF(R1403="","",IF(INDEX('Recurring Schedule'!$K$6:$K$45,R1403)="","",INDEX('Recurring Schedule'!$K$6:$K$45,R1403)))</f>
        <v/>
      </c>
      <c r="N1403" s="73">
        <f>IF(R1403="","",IF(INDEX('Recurring Schedule'!$L$6:$L$45,R1403)="","",INDEX('Recurring Schedule'!$L$6:$L$45,R1403)))</f>
        <v/>
      </c>
      <c r="O1403" s="73">
        <f>IF(C1403="","",IF(AND(OR(L1403="1-Urgent",L1403="2-High"),M1403="✓"),"DO FIRST",IF(M1403="✓","SCHEDULE",IF(OR(L1403="1-Urgent",L1403="2-High"),"DELEGATE","DELETE"))))</f>
        <v/>
      </c>
      <c r="P1403" s="65" t="n"/>
      <c r="Q1403">
        <f>IF(1398&gt;Calc!$AQ$368,"",MATCH(1397,Calc!$AQ$2:$AQ$367,1))</f>
        <v/>
      </c>
      <c r="R1403">
        <f>IF(Q1403="","",SMALL(INDEX(Calc!$B$2:$AO$367,Q1403,0),1398-INDEX(Calc!$AQ$2:$AQ$367,Q1403)))</f>
        <v/>
      </c>
    </row>
    <row r="1404">
      <c r="B1404" s="64">
        <f>IF(R1404="","",1399)</f>
        <v/>
      </c>
      <c r="C1404" s="37">
        <f>IF(R1404="","",IF(INDEX('Recurring Schedule'!$C$6:$C$45,R1404)="","",INDEX('Recurring Schedule'!$C$6:$C$45,R1404)))</f>
        <v/>
      </c>
      <c r="D1404" s="36">
        <f>IF(R1404="","",IF(INDEX('Recurring Schedule'!$D$6:$D$45,R1404)="","",INDEX('Recurring Schedule'!$D$6:$D$45,R1404)))</f>
        <v/>
      </c>
      <c r="E1404" s="38">
        <f>IF(Q1404="","",INDEX(Calc!$A$2:$A$367,Q1404))</f>
        <v/>
      </c>
      <c r="F1404" s="68">
        <f>IF(OR(C1404="",E1404=""),"",E1404-Setup!$D$7)</f>
        <v/>
      </c>
      <c r="G1404" s="74">
        <f>IF(R1404="","",IF(INDEX('Recurring Schedule'!$H$6:$H$45,R1404)="","",INDEX('Recurring Schedule'!$H$6:$H$45,R1404)))</f>
        <v/>
      </c>
      <c r="H1404" s="74">
        <f>IF(R1404="","",IF(INDEX('Recurring Schedule'!$I$6:$I$45,R1404)="","",INDEX('Recurring Schedule'!$I$6:$I$45,R1404)))</f>
        <v/>
      </c>
      <c r="I1404" s="36">
        <f>IF(OR(G1404="",H1404=""),"",TRIM(IF(HOUR(H1404-G1404)&gt;0,HOUR(H1404-G1404)&amp;" hr ","")&amp;IF(MINUTE(H1404-G1404)&gt;0,MINUTE(H1404-G1404)&amp;" min","")))</f>
        <v/>
      </c>
      <c r="J1404" s="66" t="n"/>
      <c r="K1404" s="70" t="n"/>
      <c r="L1404" s="36">
        <f>IF(R1404="","",IF(INDEX('Recurring Schedule'!$J$6:$J$45,R1404)="","",INDEX('Recurring Schedule'!$J$6:$J$45,R1404)))</f>
        <v/>
      </c>
      <c r="M1404" s="36">
        <f>IF(R1404="","",IF(INDEX('Recurring Schedule'!$K$6:$K$45,R1404)="","",INDEX('Recurring Schedule'!$K$6:$K$45,R1404)))</f>
        <v/>
      </c>
      <c r="N1404" s="36">
        <f>IF(R1404="","",IF(INDEX('Recurring Schedule'!$L$6:$L$45,R1404)="","",INDEX('Recurring Schedule'!$L$6:$L$45,R1404)))</f>
        <v/>
      </c>
      <c r="O1404" s="36">
        <f>IF(C1404="","",IF(AND(OR(L1404="1-Urgent",L1404="2-High"),M1404="✓"),"DO FIRST",IF(M1404="✓","SCHEDULE",IF(OR(L1404="1-Urgent",L1404="2-High"),"DELEGATE","DELETE"))))</f>
        <v/>
      </c>
      <c r="P1404" s="65" t="n"/>
      <c r="Q1404">
        <f>IF(1399&gt;Calc!$AQ$368,"",MATCH(1398,Calc!$AQ$2:$AQ$367,1))</f>
        <v/>
      </c>
      <c r="R1404">
        <f>IF(Q1404="","",SMALL(INDEX(Calc!$B$2:$AO$367,Q1404,0),1399-INDEX(Calc!$AQ$2:$AQ$367,Q1404)))</f>
        <v/>
      </c>
    </row>
    <row r="1405">
      <c r="B1405" s="71">
        <f>IF(R1405="","",1400)</f>
        <v/>
      </c>
      <c r="C1405" s="75">
        <f>IF(R1405="","",IF(INDEX('Recurring Schedule'!$C$6:$C$45,R1405)="","",INDEX('Recurring Schedule'!$C$6:$C$45,R1405)))</f>
        <v/>
      </c>
      <c r="D1405" s="73">
        <f>IF(R1405="","",IF(INDEX('Recurring Schedule'!$D$6:$D$45,R1405)="","",INDEX('Recurring Schedule'!$D$6:$D$45,R1405)))</f>
        <v/>
      </c>
      <c r="E1405" s="76">
        <f>IF(Q1405="","",INDEX(Calc!$A$2:$A$367,Q1405))</f>
        <v/>
      </c>
      <c r="F1405" s="72">
        <f>IF(OR(C1405="",E1405=""),"",E1405-Setup!$D$7)</f>
        <v/>
      </c>
      <c r="G1405" s="77">
        <f>IF(R1405="","",IF(INDEX('Recurring Schedule'!$H$6:$H$45,R1405)="","",INDEX('Recurring Schedule'!$H$6:$H$45,R1405)))</f>
        <v/>
      </c>
      <c r="H1405" s="77">
        <f>IF(R1405="","",IF(INDEX('Recurring Schedule'!$I$6:$I$45,R1405)="","",INDEX('Recurring Schedule'!$I$6:$I$45,R1405)))</f>
        <v/>
      </c>
      <c r="I1405" s="73">
        <f>IF(OR(G1405="",H1405=""),"",TRIM(IF(HOUR(H1405-G1405)&gt;0,HOUR(H1405-G1405)&amp;" hr ","")&amp;IF(MINUTE(H1405-G1405)&gt;0,MINUTE(H1405-G1405)&amp;" min","")))</f>
        <v/>
      </c>
      <c r="J1405" s="66" t="n"/>
      <c r="K1405" s="70" t="n"/>
      <c r="L1405" s="73">
        <f>IF(R1405="","",IF(INDEX('Recurring Schedule'!$J$6:$J$45,R1405)="","",INDEX('Recurring Schedule'!$J$6:$J$45,R1405)))</f>
        <v/>
      </c>
      <c r="M1405" s="73">
        <f>IF(R1405="","",IF(INDEX('Recurring Schedule'!$K$6:$K$45,R1405)="","",INDEX('Recurring Schedule'!$K$6:$K$45,R1405)))</f>
        <v/>
      </c>
      <c r="N1405" s="73">
        <f>IF(R1405="","",IF(INDEX('Recurring Schedule'!$L$6:$L$45,R1405)="","",INDEX('Recurring Schedule'!$L$6:$L$45,R1405)))</f>
        <v/>
      </c>
      <c r="O1405" s="73">
        <f>IF(C1405="","",IF(AND(OR(L1405="1-Urgent",L1405="2-High"),M1405="✓"),"DO FIRST",IF(M1405="✓","SCHEDULE",IF(OR(L1405="1-Urgent",L1405="2-High"),"DELEGATE","DELETE"))))</f>
        <v/>
      </c>
      <c r="P1405" s="65" t="n"/>
      <c r="Q1405">
        <f>IF(1400&gt;Calc!$AQ$368,"",MATCH(1399,Calc!$AQ$2:$AQ$367,1))</f>
        <v/>
      </c>
      <c r="R1405">
        <f>IF(Q1405="","",SMALL(INDEX(Calc!$B$2:$AO$367,Q1405,0),1400-INDEX(Calc!$AQ$2:$AQ$367,Q1405)))</f>
        <v/>
      </c>
    </row>
    <row r="1406">
      <c r="B1406" s="64">
        <f>IF(R1406="","",1401)</f>
        <v/>
      </c>
      <c r="C1406" s="37">
        <f>IF(R1406="","",IF(INDEX('Recurring Schedule'!$C$6:$C$45,R1406)="","",INDEX('Recurring Schedule'!$C$6:$C$45,R1406)))</f>
        <v/>
      </c>
      <c r="D1406" s="36">
        <f>IF(R1406="","",IF(INDEX('Recurring Schedule'!$D$6:$D$45,R1406)="","",INDEX('Recurring Schedule'!$D$6:$D$45,R1406)))</f>
        <v/>
      </c>
      <c r="E1406" s="38">
        <f>IF(Q1406="","",INDEX(Calc!$A$2:$A$367,Q1406))</f>
        <v/>
      </c>
      <c r="F1406" s="68">
        <f>IF(OR(C1406="",E1406=""),"",E1406-Setup!$D$7)</f>
        <v/>
      </c>
      <c r="G1406" s="74">
        <f>IF(R1406="","",IF(INDEX('Recurring Schedule'!$H$6:$H$45,R1406)="","",INDEX('Recurring Schedule'!$H$6:$H$45,R1406)))</f>
        <v/>
      </c>
      <c r="H1406" s="74">
        <f>IF(R1406="","",IF(INDEX('Recurring Schedule'!$I$6:$I$45,R1406)="","",INDEX('Recurring Schedule'!$I$6:$I$45,R1406)))</f>
        <v/>
      </c>
      <c r="I1406" s="36">
        <f>IF(OR(G1406="",H1406=""),"",TRIM(IF(HOUR(H1406-G1406)&gt;0,HOUR(H1406-G1406)&amp;" hr ","")&amp;IF(MINUTE(H1406-G1406)&gt;0,MINUTE(H1406-G1406)&amp;" min","")))</f>
        <v/>
      </c>
      <c r="J1406" s="66" t="n"/>
      <c r="K1406" s="70" t="n"/>
      <c r="L1406" s="36">
        <f>IF(R1406="","",IF(INDEX('Recurring Schedule'!$J$6:$J$45,R1406)="","",INDEX('Recurring Schedule'!$J$6:$J$45,R1406)))</f>
        <v/>
      </c>
      <c r="M1406" s="36">
        <f>IF(R1406="","",IF(INDEX('Recurring Schedule'!$K$6:$K$45,R1406)="","",INDEX('Recurring Schedule'!$K$6:$K$45,R1406)))</f>
        <v/>
      </c>
      <c r="N1406" s="36">
        <f>IF(R1406="","",IF(INDEX('Recurring Schedule'!$L$6:$L$45,R1406)="","",INDEX('Recurring Schedule'!$L$6:$L$45,R1406)))</f>
        <v/>
      </c>
      <c r="O1406" s="36">
        <f>IF(C1406="","",IF(AND(OR(L1406="1-Urgent",L1406="2-High"),M1406="✓"),"DO FIRST",IF(M1406="✓","SCHEDULE",IF(OR(L1406="1-Urgent",L1406="2-High"),"DELEGATE","DELETE"))))</f>
        <v/>
      </c>
      <c r="P1406" s="65" t="n"/>
      <c r="Q1406">
        <f>IF(1401&gt;Calc!$AQ$368,"",MATCH(1400,Calc!$AQ$2:$AQ$367,1))</f>
        <v/>
      </c>
      <c r="R1406">
        <f>IF(Q1406="","",SMALL(INDEX(Calc!$B$2:$AO$367,Q1406,0),1401-INDEX(Calc!$AQ$2:$AQ$367,Q1406)))</f>
        <v/>
      </c>
    </row>
    <row r="1407">
      <c r="B1407" s="71">
        <f>IF(R1407="","",1402)</f>
        <v/>
      </c>
      <c r="C1407" s="75">
        <f>IF(R1407="","",IF(INDEX('Recurring Schedule'!$C$6:$C$45,R1407)="","",INDEX('Recurring Schedule'!$C$6:$C$45,R1407)))</f>
        <v/>
      </c>
      <c r="D1407" s="73">
        <f>IF(R1407="","",IF(INDEX('Recurring Schedule'!$D$6:$D$45,R1407)="","",INDEX('Recurring Schedule'!$D$6:$D$45,R1407)))</f>
        <v/>
      </c>
      <c r="E1407" s="76">
        <f>IF(Q1407="","",INDEX(Calc!$A$2:$A$367,Q1407))</f>
        <v/>
      </c>
      <c r="F1407" s="72">
        <f>IF(OR(C1407="",E1407=""),"",E1407-Setup!$D$7)</f>
        <v/>
      </c>
      <c r="G1407" s="77">
        <f>IF(R1407="","",IF(INDEX('Recurring Schedule'!$H$6:$H$45,R1407)="","",INDEX('Recurring Schedule'!$H$6:$H$45,R1407)))</f>
        <v/>
      </c>
      <c r="H1407" s="77">
        <f>IF(R1407="","",IF(INDEX('Recurring Schedule'!$I$6:$I$45,R1407)="","",INDEX('Recurring Schedule'!$I$6:$I$45,R1407)))</f>
        <v/>
      </c>
      <c r="I1407" s="73">
        <f>IF(OR(G1407="",H1407=""),"",TRIM(IF(HOUR(H1407-G1407)&gt;0,HOUR(H1407-G1407)&amp;" hr ","")&amp;IF(MINUTE(H1407-G1407)&gt;0,MINUTE(H1407-G1407)&amp;" min","")))</f>
        <v/>
      </c>
      <c r="J1407" s="66" t="n"/>
      <c r="K1407" s="70" t="n"/>
      <c r="L1407" s="73">
        <f>IF(R1407="","",IF(INDEX('Recurring Schedule'!$J$6:$J$45,R1407)="","",INDEX('Recurring Schedule'!$J$6:$J$45,R1407)))</f>
        <v/>
      </c>
      <c r="M1407" s="73">
        <f>IF(R1407="","",IF(INDEX('Recurring Schedule'!$K$6:$K$45,R1407)="","",INDEX('Recurring Schedule'!$K$6:$K$45,R1407)))</f>
        <v/>
      </c>
      <c r="N1407" s="73">
        <f>IF(R1407="","",IF(INDEX('Recurring Schedule'!$L$6:$L$45,R1407)="","",INDEX('Recurring Schedule'!$L$6:$L$45,R1407)))</f>
        <v/>
      </c>
      <c r="O1407" s="73">
        <f>IF(C1407="","",IF(AND(OR(L1407="1-Urgent",L1407="2-High"),M1407="✓"),"DO FIRST",IF(M1407="✓","SCHEDULE",IF(OR(L1407="1-Urgent",L1407="2-High"),"DELEGATE","DELETE"))))</f>
        <v/>
      </c>
      <c r="P1407" s="65" t="n"/>
      <c r="Q1407">
        <f>IF(1402&gt;Calc!$AQ$368,"",MATCH(1401,Calc!$AQ$2:$AQ$367,1))</f>
        <v/>
      </c>
      <c r="R1407">
        <f>IF(Q1407="","",SMALL(INDEX(Calc!$B$2:$AO$367,Q1407,0),1402-INDEX(Calc!$AQ$2:$AQ$367,Q1407)))</f>
        <v/>
      </c>
    </row>
    <row r="1408">
      <c r="B1408" s="64">
        <f>IF(R1408="","",1403)</f>
        <v/>
      </c>
      <c r="C1408" s="37">
        <f>IF(R1408="","",IF(INDEX('Recurring Schedule'!$C$6:$C$45,R1408)="","",INDEX('Recurring Schedule'!$C$6:$C$45,R1408)))</f>
        <v/>
      </c>
      <c r="D1408" s="36">
        <f>IF(R1408="","",IF(INDEX('Recurring Schedule'!$D$6:$D$45,R1408)="","",INDEX('Recurring Schedule'!$D$6:$D$45,R1408)))</f>
        <v/>
      </c>
      <c r="E1408" s="38">
        <f>IF(Q1408="","",INDEX(Calc!$A$2:$A$367,Q1408))</f>
        <v/>
      </c>
      <c r="F1408" s="68">
        <f>IF(OR(C1408="",E1408=""),"",E1408-Setup!$D$7)</f>
        <v/>
      </c>
      <c r="G1408" s="74">
        <f>IF(R1408="","",IF(INDEX('Recurring Schedule'!$H$6:$H$45,R1408)="","",INDEX('Recurring Schedule'!$H$6:$H$45,R1408)))</f>
        <v/>
      </c>
      <c r="H1408" s="74">
        <f>IF(R1408="","",IF(INDEX('Recurring Schedule'!$I$6:$I$45,R1408)="","",INDEX('Recurring Schedule'!$I$6:$I$45,R1408)))</f>
        <v/>
      </c>
      <c r="I1408" s="36">
        <f>IF(OR(G1408="",H1408=""),"",TRIM(IF(HOUR(H1408-G1408)&gt;0,HOUR(H1408-G1408)&amp;" hr ","")&amp;IF(MINUTE(H1408-G1408)&gt;0,MINUTE(H1408-G1408)&amp;" min","")))</f>
        <v/>
      </c>
      <c r="J1408" s="66" t="n"/>
      <c r="K1408" s="70" t="n"/>
      <c r="L1408" s="36">
        <f>IF(R1408="","",IF(INDEX('Recurring Schedule'!$J$6:$J$45,R1408)="","",INDEX('Recurring Schedule'!$J$6:$J$45,R1408)))</f>
        <v/>
      </c>
      <c r="M1408" s="36">
        <f>IF(R1408="","",IF(INDEX('Recurring Schedule'!$K$6:$K$45,R1408)="","",INDEX('Recurring Schedule'!$K$6:$K$45,R1408)))</f>
        <v/>
      </c>
      <c r="N1408" s="36">
        <f>IF(R1408="","",IF(INDEX('Recurring Schedule'!$L$6:$L$45,R1408)="","",INDEX('Recurring Schedule'!$L$6:$L$45,R1408)))</f>
        <v/>
      </c>
      <c r="O1408" s="36">
        <f>IF(C1408="","",IF(AND(OR(L1408="1-Urgent",L1408="2-High"),M1408="✓"),"DO FIRST",IF(M1408="✓","SCHEDULE",IF(OR(L1408="1-Urgent",L1408="2-High"),"DELEGATE","DELETE"))))</f>
        <v/>
      </c>
      <c r="P1408" s="65" t="n"/>
      <c r="Q1408">
        <f>IF(1403&gt;Calc!$AQ$368,"",MATCH(1402,Calc!$AQ$2:$AQ$367,1))</f>
        <v/>
      </c>
      <c r="R1408">
        <f>IF(Q1408="","",SMALL(INDEX(Calc!$B$2:$AO$367,Q1408,0),1403-INDEX(Calc!$AQ$2:$AQ$367,Q1408)))</f>
        <v/>
      </c>
    </row>
    <row r="1409">
      <c r="B1409" s="71">
        <f>IF(R1409="","",1404)</f>
        <v/>
      </c>
      <c r="C1409" s="75">
        <f>IF(R1409="","",IF(INDEX('Recurring Schedule'!$C$6:$C$45,R1409)="","",INDEX('Recurring Schedule'!$C$6:$C$45,R1409)))</f>
        <v/>
      </c>
      <c r="D1409" s="73">
        <f>IF(R1409="","",IF(INDEX('Recurring Schedule'!$D$6:$D$45,R1409)="","",INDEX('Recurring Schedule'!$D$6:$D$45,R1409)))</f>
        <v/>
      </c>
      <c r="E1409" s="76">
        <f>IF(Q1409="","",INDEX(Calc!$A$2:$A$367,Q1409))</f>
        <v/>
      </c>
      <c r="F1409" s="72">
        <f>IF(OR(C1409="",E1409=""),"",E1409-Setup!$D$7)</f>
        <v/>
      </c>
      <c r="G1409" s="77">
        <f>IF(R1409="","",IF(INDEX('Recurring Schedule'!$H$6:$H$45,R1409)="","",INDEX('Recurring Schedule'!$H$6:$H$45,R1409)))</f>
        <v/>
      </c>
      <c r="H1409" s="77">
        <f>IF(R1409="","",IF(INDEX('Recurring Schedule'!$I$6:$I$45,R1409)="","",INDEX('Recurring Schedule'!$I$6:$I$45,R1409)))</f>
        <v/>
      </c>
      <c r="I1409" s="73">
        <f>IF(OR(G1409="",H1409=""),"",TRIM(IF(HOUR(H1409-G1409)&gt;0,HOUR(H1409-G1409)&amp;" hr ","")&amp;IF(MINUTE(H1409-G1409)&gt;0,MINUTE(H1409-G1409)&amp;" min","")))</f>
        <v/>
      </c>
      <c r="J1409" s="66" t="n"/>
      <c r="K1409" s="70" t="n"/>
      <c r="L1409" s="73">
        <f>IF(R1409="","",IF(INDEX('Recurring Schedule'!$J$6:$J$45,R1409)="","",INDEX('Recurring Schedule'!$J$6:$J$45,R1409)))</f>
        <v/>
      </c>
      <c r="M1409" s="73">
        <f>IF(R1409="","",IF(INDEX('Recurring Schedule'!$K$6:$K$45,R1409)="","",INDEX('Recurring Schedule'!$K$6:$K$45,R1409)))</f>
        <v/>
      </c>
      <c r="N1409" s="73">
        <f>IF(R1409="","",IF(INDEX('Recurring Schedule'!$L$6:$L$45,R1409)="","",INDEX('Recurring Schedule'!$L$6:$L$45,R1409)))</f>
        <v/>
      </c>
      <c r="O1409" s="73">
        <f>IF(C1409="","",IF(AND(OR(L1409="1-Urgent",L1409="2-High"),M1409="✓"),"DO FIRST",IF(M1409="✓","SCHEDULE",IF(OR(L1409="1-Urgent",L1409="2-High"),"DELEGATE","DELETE"))))</f>
        <v/>
      </c>
      <c r="P1409" s="65" t="n"/>
      <c r="Q1409">
        <f>IF(1404&gt;Calc!$AQ$368,"",MATCH(1403,Calc!$AQ$2:$AQ$367,1))</f>
        <v/>
      </c>
      <c r="R1409">
        <f>IF(Q1409="","",SMALL(INDEX(Calc!$B$2:$AO$367,Q1409,0),1404-INDEX(Calc!$AQ$2:$AQ$367,Q1409)))</f>
        <v/>
      </c>
    </row>
    <row r="1410">
      <c r="B1410" s="64">
        <f>IF(R1410="","",1405)</f>
        <v/>
      </c>
      <c r="C1410" s="37">
        <f>IF(R1410="","",IF(INDEX('Recurring Schedule'!$C$6:$C$45,R1410)="","",INDEX('Recurring Schedule'!$C$6:$C$45,R1410)))</f>
        <v/>
      </c>
      <c r="D1410" s="36">
        <f>IF(R1410="","",IF(INDEX('Recurring Schedule'!$D$6:$D$45,R1410)="","",INDEX('Recurring Schedule'!$D$6:$D$45,R1410)))</f>
        <v/>
      </c>
      <c r="E1410" s="38">
        <f>IF(Q1410="","",INDEX(Calc!$A$2:$A$367,Q1410))</f>
        <v/>
      </c>
      <c r="F1410" s="68">
        <f>IF(OR(C1410="",E1410=""),"",E1410-Setup!$D$7)</f>
        <v/>
      </c>
      <c r="G1410" s="74">
        <f>IF(R1410="","",IF(INDEX('Recurring Schedule'!$H$6:$H$45,R1410)="","",INDEX('Recurring Schedule'!$H$6:$H$45,R1410)))</f>
        <v/>
      </c>
      <c r="H1410" s="74">
        <f>IF(R1410="","",IF(INDEX('Recurring Schedule'!$I$6:$I$45,R1410)="","",INDEX('Recurring Schedule'!$I$6:$I$45,R1410)))</f>
        <v/>
      </c>
      <c r="I1410" s="36">
        <f>IF(OR(G1410="",H1410=""),"",TRIM(IF(HOUR(H1410-G1410)&gt;0,HOUR(H1410-G1410)&amp;" hr ","")&amp;IF(MINUTE(H1410-G1410)&gt;0,MINUTE(H1410-G1410)&amp;" min","")))</f>
        <v/>
      </c>
      <c r="J1410" s="66" t="n"/>
      <c r="K1410" s="70" t="n"/>
      <c r="L1410" s="36">
        <f>IF(R1410="","",IF(INDEX('Recurring Schedule'!$J$6:$J$45,R1410)="","",INDEX('Recurring Schedule'!$J$6:$J$45,R1410)))</f>
        <v/>
      </c>
      <c r="M1410" s="36">
        <f>IF(R1410="","",IF(INDEX('Recurring Schedule'!$K$6:$K$45,R1410)="","",INDEX('Recurring Schedule'!$K$6:$K$45,R1410)))</f>
        <v/>
      </c>
      <c r="N1410" s="36">
        <f>IF(R1410="","",IF(INDEX('Recurring Schedule'!$L$6:$L$45,R1410)="","",INDEX('Recurring Schedule'!$L$6:$L$45,R1410)))</f>
        <v/>
      </c>
      <c r="O1410" s="36">
        <f>IF(C1410="","",IF(AND(OR(L1410="1-Urgent",L1410="2-High"),M1410="✓"),"DO FIRST",IF(M1410="✓","SCHEDULE",IF(OR(L1410="1-Urgent",L1410="2-High"),"DELEGATE","DELETE"))))</f>
        <v/>
      </c>
      <c r="P1410" s="65" t="n"/>
      <c r="Q1410">
        <f>IF(1405&gt;Calc!$AQ$368,"",MATCH(1404,Calc!$AQ$2:$AQ$367,1))</f>
        <v/>
      </c>
      <c r="R1410">
        <f>IF(Q1410="","",SMALL(INDEX(Calc!$B$2:$AO$367,Q1410,0),1405-INDEX(Calc!$AQ$2:$AQ$367,Q1410)))</f>
        <v/>
      </c>
    </row>
    <row r="1411">
      <c r="B1411" s="71">
        <f>IF(R1411="","",1406)</f>
        <v/>
      </c>
      <c r="C1411" s="75">
        <f>IF(R1411="","",IF(INDEX('Recurring Schedule'!$C$6:$C$45,R1411)="","",INDEX('Recurring Schedule'!$C$6:$C$45,R1411)))</f>
        <v/>
      </c>
      <c r="D1411" s="73">
        <f>IF(R1411="","",IF(INDEX('Recurring Schedule'!$D$6:$D$45,R1411)="","",INDEX('Recurring Schedule'!$D$6:$D$45,R1411)))</f>
        <v/>
      </c>
      <c r="E1411" s="76">
        <f>IF(Q1411="","",INDEX(Calc!$A$2:$A$367,Q1411))</f>
        <v/>
      </c>
      <c r="F1411" s="72">
        <f>IF(OR(C1411="",E1411=""),"",E1411-Setup!$D$7)</f>
        <v/>
      </c>
      <c r="G1411" s="77">
        <f>IF(R1411="","",IF(INDEX('Recurring Schedule'!$H$6:$H$45,R1411)="","",INDEX('Recurring Schedule'!$H$6:$H$45,R1411)))</f>
        <v/>
      </c>
      <c r="H1411" s="77">
        <f>IF(R1411="","",IF(INDEX('Recurring Schedule'!$I$6:$I$45,R1411)="","",INDEX('Recurring Schedule'!$I$6:$I$45,R1411)))</f>
        <v/>
      </c>
      <c r="I1411" s="73">
        <f>IF(OR(G1411="",H1411=""),"",TRIM(IF(HOUR(H1411-G1411)&gt;0,HOUR(H1411-G1411)&amp;" hr ","")&amp;IF(MINUTE(H1411-G1411)&gt;0,MINUTE(H1411-G1411)&amp;" min","")))</f>
        <v/>
      </c>
      <c r="J1411" s="66" t="n"/>
      <c r="K1411" s="70" t="n"/>
      <c r="L1411" s="73">
        <f>IF(R1411="","",IF(INDEX('Recurring Schedule'!$J$6:$J$45,R1411)="","",INDEX('Recurring Schedule'!$J$6:$J$45,R1411)))</f>
        <v/>
      </c>
      <c r="M1411" s="73">
        <f>IF(R1411="","",IF(INDEX('Recurring Schedule'!$K$6:$K$45,R1411)="","",INDEX('Recurring Schedule'!$K$6:$K$45,R1411)))</f>
        <v/>
      </c>
      <c r="N1411" s="73">
        <f>IF(R1411="","",IF(INDEX('Recurring Schedule'!$L$6:$L$45,R1411)="","",INDEX('Recurring Schedule'!$L$6:$L$45,R1411)))</f>
        <v/>
      </c>
      <c r="O1411" s="73">
        <f>IF(C1411="","",IF(AND(OR(L1411="1-Urgent",L1411="2-High"),M1411="✓"),"DO FIRST",IF(M1411="✓","SCHEDULE",IF(OR(L1411="1-Urgent",L1411="2-High"),"DELEGATE","DELETE"))))</f>
        <v/>
      </c>
      <c r="P1411" s="65" t="n"/>
      <c r="Q1411">
        <f>IF(1406&gt;Calc!$AQ$368,"",MATCH(1405,Calc!$AQ$2:$AQ$367,1))</f>
        <v/>
      </c>
      <c r="R1411">
        <f>IF(Q1411="","",SMALL(INDEX(Calc!$B$2:$AO$367,Q1411,0),1406-INDEX(Calc!$AQ$2:$AQ$367,Q1411)))</f>
        <v/>
      </c>
    </row>
    <row r="1412">
      <c r="B1412" s="64">
        <f>IF(R1412="","",1407)</f>
        <v/>
      </c>
      <c r="C1412" s="37">
        <f>IF(R1412="","",IF(INDEX('Recurring Schedule'!$C$6:$C$45,R1412)="","",INDEX('Recurring Schedule'!$C$6:$C$45,R1412)))</f>
        <v/>
      </c>
      <c r="D1412" s="36">
        <f>IF(R1412="","",IF(INDEX('Recurring Schedule'!$D$6:$D$45,R1412)="","",INDEX('Recurring Schedule'!$D$6:$D$45,R1412)))</f>
        <v/>
      </c>
      <c r="E1412" s="38">
        <f>IF(Q1412="","",INDEX(Calc!$A$2:$A$367,Q1412))</f>
        <v/>
      </c>
      <c r="F1412" s="68">
        <f>IF(OR(C1412="",E1412=""),"",E1412-Setup!$D$7)</f>
        <v/>
      </c>
      <c r="G1412" s="74">
        <f>IF(R1412="","",IF(INDEX('Recurring Schedule'!$H$6:$H$45,R1412)="","",INDEX('Recurring Schedule'!$H$6:$H$45,R1412)))</f>
        <v/>
      </c>
      <c r="H1412" s="74">
        <f>IF(R1412="","",IF(INDEX('Recurring Schedule'!$I$6:$I$45,R1412)="","",INDEX('Recurring Schedule'!$I$6:$I$45,R1412)))</f>
        <v/>
      </c>
      <c r="I1412" s="36">
        <f>IF(OR(G1412="",H1412=""),"",TRIM(IF(HOUR(H1412-G1412)&gt;0,HOUR(H1412-G1412)&amp;" hr ","")&amp;IF(MINUTE(H1412-G1412)&gt;0,MINUTE(H1412-G1412)&amp;" min","")))</f>
        <v/>
      </c>
      <c r="J1412" s="66" t="n"/>
      <c r="K1412" s="70" t="n"/>
      <c r="L1412" s="36">
        <f>IF(R1412="","",IF(INDEX('Recurring Schedule'!$J$6:$J$45,R1412)="","",INDEX('Recurring Schedule'!$J$6:$J$45,R1412)))</f>
        <v/>
      </c>
      <c r="M1412" s="36">
        <f>IF(R1412="","",IF(INDEX('Recurring Schedule'!$K$6:$K$45,R1412)="","",INDEX('Recurring Schedule'!$K$6:$K$45,R1412)))</f>
        <v/>
      </c>
      <c r="N1412" s="36">
        <f>IF(R1412="","",IF(INDEX('Recurring Schedule'!$L$6:$L$45,R1412)="","",INDEX('Recurring Schedule'!$L$6:$L$45,R1412)))</f>
        <v/>
      </c>
      <c r="O1412" s="36">
        <f>IF(C1412="","",IF(AND(OR(L1412="1-Urgent",L1412="2-High"),M1412="✓"),"DO FIRST",IF(M1412="✓","SCHEDULE",IF(OR(L1412="1-Urgent",L1412="2-High"),"DELEGATE","DELETE"))))</f>
        <v/>
      </c>
      <c r="P1412" s="65" t="n"/>
      <c r="Q1412">
        <f>IF(1407&gt;Calc!$AQ$368,"",MATCH(1406,Calc!$AQ$2:$AQ$367,1))</f>
        <v/>
      </c>
      <c r="R1412">
        <f>IF(Q1412="","",SMALL(INDEX(Calc!$B$2:$AO$367,Q1412,0),1407-INDEX(Calc!$AQ$2:$AQ$367,Q1412)))</f>
        <v/>
      </c>
    </row>
    <row r="1413">
      <c r="B1413" s="71">
        <f>IF(R1413="","",1408)</f>
        <v/>
      </c>
      <c r="C1413" s="75">
        <f>IF(R1413="","",IF(INDEX('Recurring Schedule'!$C$6:$C$45,R1413)="","",INDEX('Recurring Schedule'!$C$6:$C$45,R1413)))</f>
        <v/>
      </c>
      <c r="D1413" s="73">
        <f>IF(R1413="","",IF(INDEX('Recurring Schedule'!$D$6:$D$45,R1413)="","",INDEX('Recurring Schedule'!$D$6:$D$45,R1413)))</f>
        <v/>
      </c>
      <c r="E1413" s="76">
        <f>IF(Q1413="","",INDEX(Calc!$A$2:$A$367,Q1413))</f>
        <v/>
      </c>
      <c r="F1413" s="72">
        <f>IF(OR(C1413="",E1413=""),"",E1413-Setup!$D$7)</f>
        <v/>
      </c>
      <c r="G1413" s="77">
        <f>IF(R1413="","",IF(INDEX('Recurring Schedule'!$H$6:$H$45,R1413)="","",INDEX('Recurring Schedule'!$H$6:$H$45,R1413)))</f>
        <v/>
      </c>
      <c r="H1413" s="77">
        <f>IF(R1413="","",IF(INDEX('Recurring Schedule'!$I$6:$I$45,R1413)="","",INDEX('Recurring Schedule'!$I$6:$I$45,R1413)))</f>
        <v/>
      </c>
      <c r="I1413" s="73">
        <f>IF(OR(G1413="",H1413=""),"",TRIM(IF(HOUR(H1413-G1413)&gt;0,HOUR(H1413-G1413)&amp;" hr ","")&amp;IF(MINUTE(H1413-G1413)&gt;0,MINUTE(H1413-G1413)&amp;" min","")))</f>
        <v/>
      </c>
      <c r="J1413" s="66" t="n"/>
      <c r="K1413" s="70" t="n"/>
      <c r="L1413" s="73">
        <f>IF(R1413="","",IF(INDEX('Recurring Schedule'!$J$6:$J$45,R1413)="","",INDEX('Recurring Schedule'!$J$6:$J$45,R1413)))</f>
        <v/>
      </c>
      <c r="M1413" s="73">
        <f>IF(R1413="","",IF(INDEX('Recurring Schedule'!$K$6:$K$45,R1413)="","",INDEX('Recurring Schedule'!$K$6:$K$45,R1413)))</f>
        <v/>
      </c>
      <c r="N1413" s="73">
        <f>IF(R1413="","",IF(INDEX('Recurring Schedule'!$L$6:$L$45,R1413)="","",INDEX('Recurring Schedule'!$L$6:$L$45,R1413)))</f>
        <v/>
      </c>
      <c r="O1413" s="73">
        <f>IF(C1413="","",IF(AND(OR(L1413="1-Urgent",L1413="2-High"),M1413="✓"),"DO FIRST",IF(M1413="✓","SCHEDULE",IF(OR(L1413="1-Urgent",L1413="2-High"),"DELEGATE","DELETE"))))</f>
        <v/>
      </c>
      <c r="P1413" s="65" t="n"/>
      <c r="Q1413">
        <f>IF(1408&gt;Calc!$AQ$368,"",MATCH(1407,Calc!$AQ$2:$AQ$367,1))</f>
        <v/>
      </c>
      <c r="R1413">
        <f>IF(Q1413="","",SMALL(INDEX(Calc!$B$2:$AO$367,Q1413,0),1408-INDEX(Calc!$AQ$2:$AQ$367,Q1413)))</f>
        <v/>
      </c>
    </row>
    <row r="1414">
      <c r="B1414" s="64">
        <f>IF(R1414="","",1409)</f>
        <v/>
      </c>
      <c r="C1414" s="37">
        <f>IF(R1414="","",IF(INDEX('Recurring Schedule'!$C$6:$C$45,R1414)="","",INDEX('Recurring Schedule'!$C$6:$C$45,R1414)))</f>
        <v/>
      </c>
      <c r="D1414" s="36">
        <f>IF(R1414="","",IF(INDEX('Recurring Schedule'!$D$6:$D$45,R1414)="","",INDEX('Recurring Schedule'!$D$6:$D$45,R1414)))</f>
        <v/>
      </c>
      <c r="E1414" s="38">
        <f>IF(Q1414="","",INDEX(Calc!$A$2:$A$367,Q1414))</f>
        <v/>
      </c>
      <c r="F1414" s="68">
        <f>IF(OR(C1414="",E1414=""),"",E1414-Setup!$D$7)</f>
        <v/>
      </c>
      <c r="G1414" s="74">
        <f>IF(R1414="","",IF(INDEX('Recurring Schedule'!$H$6:$H$45,R1414)="","",INDEX('Recurring Schedule'!$H$6:$H$45,R1414)))</f>
        <v/>
      </c>
      <c r="H1414" s="74">
        <f>IF(R1414="","",IF(INDEX('Recurring Schedule'!$I$6:$I$45,R1414)="","",INDEX('Recurring Schedule'!$I$6:$I$45,R1414)))</f>
        <v/>
      </c>
      <c r="I1414" s="36">
        <f>IF(OR(G1414="",H1414=""),"",TRIM(IF(HOUR(H1414-G1414)&gt;0,HOUR(H1414-G1414)&amp;" hr ","")&amp;IF(MINUTE(H1414-G1414)&gt;0,MINUTE(H1414-G1414)&amp;" min","")))</f>
        <v/>
      </c>
      <c r="J1414" s="66" t="n"/>
      <c r="K1414" s="70" t="n"/>
      <c r="L1414" s="36">
        <f>IF(R1414="","",IF(INDEX('Recurring Schedule'!$J$6:$J$45,R1414)="","",INDEX('Recurring Schedule'!$J$6:$J$45,R1414)))</f>
        <v/>
      </c>
      <c r="M1414" s="36">
        <f>IF(R1414="","",IF(INDEX('Recurring Schedule'!$K$6:$K$45,R1414)="","",INDEX('Recurring Schedule'!$K$6:$K$45,R1414)))</f>
        <v/>
      </c>
      <c r="N1414" s="36">
        <f>IF(R1414="","",IF(INDEX('Recurring Schedule'!$L$6:$L$45,R1414)="","",INDEX('Recurring Schedule'!$L$6:$L$45,R1414)))</f>
        <v/>
      </c>
      <c r="O1414" s="36">
        <f>IF(C1414="","",IF(AND(OR(L1414="1-Urgent",L1414="2-High"),M1414="✓"),"DO FIRST",IF(M1414="✓","SCHEDULE",IF(OR(L1414="1-Urgent",L1414="2-High"),"DELEGATE","DELETE"))))</f>
        <v/>
      </c>
      <c r="P1414" s="65" t="n"/>
      <c r="Q1414">
        <f>IF(1409&gt;Calc!$AQ$368,"",MATCH(1408,Calc!$AQ$2:$AQ$367,1))</f>
        <v/>
      </c>
      <c r="R1414">
        <f>IF(Q1414="","",SMALL(INDEX(Calc!$B$2:$AO$367,Q1414,0),1409-INDEX(Calc!$AQ$2:$AQ$367,Q1414)))</f>
        <v/>
      </c>
    </row>
    <row r="1415">
      <c r="B1415" s="71">
        <f>IF(R1415="","",1410)</f>
        <v/>
      </c>
      <c r="C1415" s="75">
        <f>IF(R1415="","",IF(INDEX('Recurring Schedule'!$C$6:$C$45,R1415)="","",INDEX('Recurring Schedule'!$C$6:$C$45,R1415)))</f>
        <v/>
      </c>
      <c r="D1415" s="73">
        <f>IF(R1415="","",IF(INDEX('Recurring Schedule'!$D$6:$D$45,R1415)="","",INDEX('Recurring Schedule'!$D$6:$D$45,R1415)))</f>
        <v/>
      </c>
      <c r="E1415" s="76">
        <f>IF(Q1415="","",INDEX(Calc!$A$2:$A$367,Q1415))</f>
        <v/>
      </c>
      <c r="F1415" s="72">
        <f>IF(OR(C1415="",E1415=""),"",E1415-Setup!$D$7)</f>
        <v/>
      </c>
      <c r="G1415" s="77">
        <f>IF(R1415="","",IF(INDEX('Recurring Schedule'!$H$6:$H$45,R1415)="","",INDEX('Recurring Schedule'!$H$6:$H$45,R1415)))</f>
        <v/>
      </c>
      <c r="H1415" s="77">
        <f>IF(R1415="","",IF(INDEX('Recurring Schedule'!$I$6:$I$45,R1415)="","",INDEX('Recurring Schedule'!$I$6:$I$45,R1415)))</f>
        <v/>
      </c>
      <c r="I1415" s="73">
        <f>IF(OR(G1415="",H1415=""),"",TRIM(IF(HOUR(H1415-G1415)&gt;0,HOUR(H1415-G1415)&amp;" hr ","")&amp;IF(MINUTE(H1415-G1415)&gt;0,MINUTE(H1415-G1415)&amp;" min","")))</f>
        <v/>
      </c>
      <c r="J1415" s="66" t="n"/>
      <c r="K1415" s="70" t="n"/>
      <c r="L1415" s="73">
        <f>IF(R1415="","",IF(INDEX('Recurring Schedule'!$J$6:$J$45,R1415)="","",INDEX('Recurring Schedule'!$J$6:$J$45,R1415)))</f>
        <v/>
      </c>
      <c r="M1415" s="73">
        <f>IF(R1415="","",IF(INDEX('Recurring Schedule'!$K$6:$K$45,R1415)="","",INDEX('Recurring Schedule'!$K$6:$K$45,R1415)))</f>
        <v/>
      </c>
      <c r="N1415" s="73">
        <f>IF(R1415="","",IF(INDEX('Recurring Schedule'!$L$6:$L$45,R1415)="","",INDEX('Recurring Schedule'!$L$6:$L$45,R1415)))</f>
        <v/>
      </c>
      <c r="O1415" s="73">
        <f>IF(C1415="","",IF(AND(OR(L1415="1-Urgent",L1415="2-High"),M1415="✓"),"DO FIRST",IF(M1415="✓","SCHEDULE",IF(OR(L1415="1-Urgent",L1415="2-High"),"DELEGATE","DELETE"))))</f>
        <v/>
      </c>
      <c r="P1415" s="65" t="n"/>
      <c r="Q1415">
        <f>IF(1410&gt;Calc!$AQ$368,"",MATCH(1409,Calc!$AQ$2:$AQ$367,1))</f>
        <v/>
      </c>
      <c r="R1415">
        <f>IF(Q1415="","",SMALL(INDEX(Calc!$B$2:$AO$367,Q1415,0),1410-INDEX(Calc!$AQ$2:$AQ$367,Q1415)))</f>
        <v/>
      </c>
    </row>
    <row r="1416">
      <c r="B1416" s="64">
        <f>IF(R1416="","",1411)</f>
        <v/>
      </c>
      <c r="C1416" s="37">
        <f>IF(R1416="","",IF(INDEX('Recurring Schedule'!$C$6:$C$45,R1416)="","",INDEX('Recurring Schedule'!$C$6:$C$45,R1416)))</f>
        <v/>
      </c>
      <c r="D1416" s="36">
        <f>IF(R1416="","",IF(INDEX('Recurring Schedule'!$D$6:$D$45,R1416)="","",INDEX('Recurring Schedule'!$D$6:$D$45,R1416)))</f>
        <v/>
      </c>
      <c r="E1416" s="38">
        <f>IF(Q1416="","",INDEX(Calc!$A$2:$A$367,Q1416))</f>
        <v/>
      </c>
      <c r="F1416" s="68">
        <f>IF(OR(C1416="",E1416=""),"",E1416-Setup!$D$7)</f>
        <v/>
      </c>
      <c r="G1416" s="74">
        <f>IF(R1416="","",IF(INDEX('Recurring Schedule'!$H$6:$H$45,R1416)="","",INDEX('Recurring Schedule'!$H$6:$H$45,R1416)))</f>
        <v/>
      </c>
      <c r="H1416" s="74">
        <f>IF(R1416="","",IF(INDEX('Recurring Schedule'!$I$6:$I$45,R1416)="","",INDEX('Recurring Schedule'!$I$6:$I$45,R1416)))</f>
        <v/>
      </c>
      <c r="I1416" s="36">
        <f>IF(OR(G1416="",H1416=""),"",TRIM(IF(HOUR(H1416-G1416)&gt;0,HOUR(H1416-G1416)&amp;" hr ","")&amp;IF(MINUTE(H1416-G1416)&gt;0,MINUTE(H1416-G1416)&amp;" min","")))</f>
        <v/>
      </c>
      <c r="J1416" s="66" t="n"/>
      <c r="K1416" s="70" t="n"/>
      <c r="L1416" s="36">
        <f>IF(R1416="","",IF(INDEX('Recurring Schedule'!$J$6:$J$45,R1416)="","",INDEX('Recurring Schedule'!$J$6:$J$45,R1416)))</f>
        <v/>
      </c>
      <c r="M1416" s="36">
        <f>IF(R1416="","",IF(INDEX('Recurring Schedule'!$K$6:$K$45,R1416)="","",INDEX('Recurring Schedule'!$K$6:$K$45,R1416)))</f>
        <v/>
      </c>
      <c r="N1416" s="36">
        <f>IF(R1416="","",IF(INDEX('Recurring Schedule'!$L$6:$L$45,R1416)="","",INDEX('Recurring Schedule'!$L$6:$L$45,R1416)))</f>
        <v/>
      </c>
      <c r="O1416" s="36">
        <f>IF(C1416="","",IF(AND(OR(L1416="1-Urgent",L1416="2-High"),M1416="✓"),"DO FIRST",IF(M1416="✓","SCHEDULE",IF(OR(L1416="1-Urgent",L1416="2-High"),"DELEGATE","DELETE"))))</f>
        <v/>
      </c>
      <c r="P1416" s="65" t="n"/>
      <c r="Q1416">
        <f>IF(1411&gt;Calc!$AQ$368,"",MATCH(1410,Calc!$AQ$2:$AQ$367,1))</f>
        <v/>
      </c>
      <c r="R1416">
        <f>IF(Q1416="","",SMALL(INDEX(Calc!$B$2:$AO$367,Q1416,0),1411-INDEX(Calc!$AQ$2:$AQ$367,Q1416)))</f>
        <v/>
      </c>
    </row>
    <row r="1417">
      <c r="B1417" s="71">
        <f>IF(R1417="","",1412)</f>
        <v/>
      </c>
      <c r="C1417" s="75">
        <f>IF(R1417="","",IF(INDEX('Recurring Schedule'!$C$6:$C$45,R1417)="","",INDEX('Recurring Schedule'!$C$6:$C$45,R1417)))</f>
        <v/>
      </c>
      <c r="D1417" s="73">
        <f>IF(R1417="","",IF(INDEX('Recurring Schedule'!$D$6:$D$45,R1417)="","",INDEX('Recurring Schedule'!$D$6:$D$45,R1417)))</f>
        <v/>
      </c>
      <c r="E1417" s="76">
        <f>IF(Q1417="","",INDEX(Calc!$A$2:$A$367,Q1417))</f>
        <v/>
      </c>
      <c r="F1417" s="72">
        <f>IF(OR(C1417="",E1417=""),"",E1417-Setup!$D$7)</f>
        <v/>
      </c>
      <c r="G1417" s="77">
        <f>IF(R1417="","",IF(INDEX('Recurring Schedule'!$H$6:$H$45,R1417)="","",INDEX('Recurring Schedule'!$H$6:$H$45,R1417)))</f>
        <v/>
      </c>
      <c r="H1417" s="77">
        <f>IF(R1417="","",IF(INDEX('Recurring Schedule'!$I$6:$I$45,R1417)="","",INDEX('Recurring Schedule'!$I$6:$I$45,R1417)))</f>
        <v/>
      </c>
      <c r="I1417" s="73">
        <f>IF(OR(G1417="",H1417=""),"",TRIM(IF(HOUR(H1417-G1417)&gt;0,HOUR(H1417-G1417)&amp;" hr ","")&amp;IF(MINUTE(H1417-G1417)&gt;0,MINUTE(H1417-G1417)&amp;" min","")))</f>
        <v/>
      </c>
      <c r="J1417" s="66" t="n"/>
      <c r="K1417" s="70" t="n"/>
      <c r="L1417" s="73">
        <f>IF(R1417="","",IF(INDEX('Recurring Schedule'!$J$6:$J$45,R1417)="","",INDEX('Recurring Schedule'!$J$6:$J$45,R1417)))</f>
        <v/>
      </c>
      <c r="M1417" s="73">
        <f>IF(R1417="","",IF(INDEX('Recurring Schedule'!$K$6:$K$45,R1417)="","",INDEX('Recurring Schedule'!$K$6:$K$45,R1417)))</f>
        <v/>
      </c>
      <c r="N1417" s="73">
        <f>IF(R1417="","",IF(INDEX('Recurring Schedule'!$L$6:$L$45,R1417)="","",INDEX('Recurring Schedule'!$L$6:$L$45,R1417)))</f>
        <v/>
      </c>
      <c r="O1417" s="73">
        <f>IF(C1417="","",IF(AND(OR(L1417="1-Urgent",L1417="2-High"),M1417="✓"),"DO FIRST",IF(M1417="✓","SCHEDULE",IF(OR(L1417="1-Urgent",L1417="2-High"),"DELEGATE","DELETE"))))</f>
        <v/>
      </c>
      <c r="P1417" s="65" t="n"/>
      <c r="Q1417">
        <f>IF(1412&gt;Calc!$AQ$368,"",MATCH(1411,Calc!$AQ$2:$AQ$367,1))</f>
        <v/>
      </c>
      <c r="R1417">
        <f>IF(Q1417="","",SMALL(INDEX(Calc!$B$2:$AO$367,Q1417,0),1412-INDEX(Calc!$AQ$2:$AQ$367,Q1417)))</f>
        <v/>
      </c>
    </row>
    <row r="1418">
      <c r="B1418" s="64">
        <f>IF(R1418="","",1413)</f>
        <v/>
      </c>
      <c r="C1418" s="37">
        <f>IF(R1418="","",IF(INDEX('Recurring Schedule'!$C$6:$C$45,R1418)="","",INDEX('Recurring Schedule'!$C$6:$C$45,R1418)))</f>
        <v/>
      </c>
      <c r="D1418" s="36">
        <f>IF(R1418="","",IF(INDEX('Recurring Schedule'!$D$6:$D$45,R1418)="","",INDEX('Recurring Schedule'!$D$6:$D$45,R1418)))</f>
        <v/>
      </c>
      <c r="E1418" s="38">
        <f>IF(Q1418="","",INDEX(Calc!$A$2:$A$367,Q1418))</f>
        <v/>
      </c>
      <c r="F1418" s="68">
        <f>IF(OR(C1418="",E1418=""),"",E1418-Setup!$D$7)</f>
        <v/>
      </c>
      <c r="G1418" s="74">
        <f>IF(R1418="","",IF(INDEX('Recurring Schedule'!$H$6:$H$45,R1418)="","",INDEX('Recurring Schedule'!$H$6:$H$45,R1418)))</f>
        <v/>
      </c>
      <c r="H1418" s="74">
        <f>IF(R1418="","",IF(INDEX('Recurring Schedule'!$I$6:$I$45,R1418)="","",INDEX('Recurring Schedule'!$I$6:$I$45,R1418)))</f>
        <v/>
      </c>
      <c r="I1418" s="36">
        <f>IF(OR(G1418="",H1418=""),"",TRIM(IF(HOUR(H1418-G1418)&gt;0,HOUR(H1418-G1418)&amp;" hr ","")&amp;IF(MINUTE(H1418-G1418)&gt;0,MINUTE(H1418-G1418)&amp;" min","")))</f>
        <v/>
      </c>
      <c r="J1418" s="66" t="n"/>
      <c r="K1418" s="70" t="n"/>
      <c r="L1418" s="36">
        <f>IF(R1418="","",IF(INDEX('Recurring Schedule'!$J$6:$J$45,R1418)="","",INDEX('Recurring Schedule'!$J$6:$J$45,R1418)))</f>
        <v/>
      </c>
      <c r="M1418" s="36">
        <f>IF(R1418="","",IF(INDEX('Recurring Schedule'!$K$6:$K$45,R1418)="","",INDEX('Recurring Schedule'!$K$6:$K$45,R1418)))</f>
        <v/>
      </c>
      <c r="N1418" s="36">
        <f>IF(R1418="","",IF(INDEX('Recurring Schedule'!$L$6:$L$45,R1418)="","",INDEX('Recurring Schedule'!$L$6:$L$45,R1418)))</f>
        <v/>
      </c>
      <c r="O1418" s="36">
        <f>IF(C1418="","",IF(AND(OR(L1418="1-Urgent",L1418="2-High"),M1418="✓"),"DO FIRST",IF(M1418="✓","SCHEDULE",IF(OR(L1418="1-Urgent",L1418="2-High"),"DELEGATE","DELETE"))))</f>
        <v/>
      </c>
      <c r="P1418" s="65" t="n"/>
      <c r="Q1418">
        <f>IF(1413&gt;Calc!$AQ$368,"",MATCH(1412,Calc!$AQ$2:$AQ$367,1))</f>
        <v/>
      </c>
      <c r="R1418">
        <f>IF(Q1418="","",SMALL(INDEX(Calc!$B$2:$AO$367,Q1418,0),1413-INDEX(Calc!$AQ$2:$AQ$367,Q1418)))</f>
        <v/>
      </c>
    </row>
    <row r="1419">
      <c r="B1419" s="71">
        <f>IF(R1419="","",1414)</f>
        <v/>
      </c>
      <c r="C1419" s="75">
        <f>IF(R1419="","",IF(INDEX('Recurring Schedule'!$C$6:$C$45,R1419)="","",INDEX('Recurring Schedule'!$C$6:$C$45,R1419)))</f>
        <v/>
      </c>
      <c r="D1419" s="73">
        <f>IF(R1419="","",IF(INDEX('Recurring Schedule'!$D$6:$D$45,R1419)="","",INDEX('Recurring Schedule'!$D$6:$D$45,R1419)))</f>
        <v/>
      </c>
      <c r="E1419" s="76">
        <f>IF(Q1419="","",INDEX(Calc!$A$2:$A$367,Q1419))</f>
        <v/>
      </c>
      <c r="F1419" s="72">
        <f>IF(OR(C1419="",E1419=""),"",E1419-Setup!$D$7)</f>
        <v/>
      </c>
      <c r="G1419" s="77">
        <f>IF(R1419="","",IF(INDEX('Recurring Schedule'!$H$6:$H$45,R1419)="","",INDEX('Recurring Schedule'!$H$6:$H$45,R1419)))</f>
        <v/>
      </c>
      <c r="H1419" s="77">
        <f>IF(R1419="","",IF(INDEX('Recurring Schedule'!$I$6:$I$45,R1419)="","",INDEX('Recurring Schedule'!$I$6:$I$45,R1419)))</f>
        <v/>
      </c>
      <c r="I1419" s="73">
        <f>IF(OR(G1419="",H1419=""),"",TRIM(IF(HOUR(H1419-G1419)&gt;0,HOUR(H1419-G1419)&amp;" hr ","")&amp;IF(MINUTE(H1419-G1419)&gt;0,MINUTE(H1419-G1419)&amp;" min","")))</f>
        <v/>
      </c>
      <c r="J1419" s="66" t="n"/>
      <c r="K1419" s="70" t="n"/>
      <c r="L1419" s="73">
        <f>IF(R1419="","",IF(INDEX('Recurring Schedule'!$J$6:$J$45,R1419)="","",INDEX('Recurring Schedule'!$J$6:$J$45,R1419)))</f>
        <v/>
      </c>
      <c r="M1419" s="73">
        <f>IF(R1419="","",IF(INDEX('Recurring Schedule'!$K$6:$K$45,R1419)="","",INDEX('Recurring Schedule'!$K$6:$K$45,R1419)))</f>
        <v/>
      </c>
      <c r="N1419" s="73">
        <f>IF(R1419="","",IF(INDEX('Recurring Schedule'!$L$6:$L$45,R1419)="","",INDEX('Recurring Schedule'!$L$6:$L$45,R1419)))</f>
        <v/>
      </c>
      <c r="O1419" s="73">
        <f>IF(C1419="","",IF(AND(OR(L1419="1-Urgent",L1419="2-High"),M1419="✓"),"DO FIRST",IF(M1419="✓","SCHEDULE",IF(OR(L1419="1-Urgent",L1419="2-High"),"DELEGATE","DELETE"))))</f>
        <v/>
      </c>
      <c r="P1419" s="65" t="n"/>
      <c r="Q1419">
        <f>IF(1414&gt;Calc!$AQ$368,"",MATCH(1413,Calc!$AQ$2:$AQ$367,1))</f>
        <v/>
      </c>
      <c r="R1419">
        <f>IF(Q1419="","",SMALL(INDEX(Calc!$B$2:$AO$367,Q1419,0),1414-INDEX(Calc!$AQ$2:$AQ$367,Q1419)))</f>
        <v/>
      </c>
    </row>
    <row r="1420">
      <c r="B1420" s="64">
        <f>IF(R1420="","",1415)</f>
        <v/>
      </c>
      <c r="C1420" s="37">
        <f>IF(R1420="","",IF(INDEX('Recurring Schedule'!$C$6:$C$45,R1420)="","",INDEX('Recurring Schedule'!$C$6:$C$45,R1420)))</f>
        <v/>
      </c>
      <c r="D1420" s="36">
        <f>IF(R1420="","",IF(INDEX('Recurring Schedule'!$D$6:$D$45,R1420)="","",INDEX('Recurring Schedule'!$D$6:$D$45,R1420)))</f>
        <v/>
      </c>
      <c r="E1420" s="38">
        <f>IF(Q1420="","",INDEX(Calc!$A$2:$A$367,Q1420))</f>
        <v/>
      </c>
      <c r="F1420" s="68">
        <f>IF(OR(C1420="",E1420=""),"",E1420-Setup!$D$7)</f>
        <v/>
      </c>
      <c r="G1420" s="74">
        <f>IF(R1420="","",IF(INDEX('Recurring Schedule'!$H$6:$H$45,R1420)="","",INDEX('Recurring Schedule'!$H$6:$H$45,R1420)))</f>
        <v/>
      </c>
      <c r="H1420" s="74">
        <f>IF(R1420="","",IF(INDEX('Recurring Schedule'!$I$6:$I$45,R1420)="","",INDEX('Recurring Schedule'!$I$6:$I$45,R1420)))</f>
        <v/>
      </c>
      <c r="I1420" s="36">
        <f>IF(OR(G1420="",H1420=""),"",TRIM(IF(HOUR(H1420-G1420)&gt;0,HOUR(H1420-G1420)&amp;" hr ","")&amp;IF(MINUTE(H1420-G1420)&gt;0,MINUTE(H1420-G1420)&amp;" min","")))</f>
        <v/>
      </c>
      <c r="J1420" s="66" t="n"/>
      <c r="K1420" s="70" t="n"/>
      <c r="L1420" s="36">
        <f>IF(R1420="","",IF(INDEX('Recurring Schedule'!$J$6:$J$45,R1420)="","",INDEX('Recurring Schedule'!$J$6:$J$45,R1420)))</f>
        <v/>
      </c>
      <c r="M1420" s="36">
        <f>IF(R1420="","",IF(INDEX('Recurring Schedule'!$K$6:$K$45,R1420)="","",INDEX('Recurring Schedule'!$K$6:$K$45,R1420)))</f>
        <v/>
      </c>
      <c r="N1420" s="36">
        <f>IF(R1420="","",IF(INDEX('Recurring Schedule'!$L$6:$L$45,R1420)="","",INDEX('Recurring Schedule'!$L$6:$L$45,R1420)))</f>
        <v/>
      </c>
      <c r="O1420" s="36">
        <f>IF(C1420="","",IF(AND(OR(L1420="1-Urgent",L1420="2-High"),M1420="✓"),"DO FIRST",IF(M1420="✓","SCHEDULE",IF(OR(L1420="1-Urgent",L1420="2-High"),"DELEGATE","DELETE"))))</f>
        <v/>
      </c>
      <c r="P1420" s="65" t="n"/>
      <c r="Q1420">
        <f>IF(1415&gt;Calc!$AQ$368,"",MATCH(1414,Calc!$AQ$2:$AQ$367,1))</f>
        <v/>
      </c>
      <c r="R1420">
        <f>IF(Q1420="","",SMALL(INDEX(Calc!$B$2:$AO$367,Q1420,0),1415-INDEX(Calc!$AQ$2:$AQ$367,Q1420)))</f>
        <v/>
      </c>
    </row>
    <row r="1421">
      <c r="B1421" s="71">
        <f>IF(R1421="","",1416)</f>
        <v/>
      </c>
      <c r="C1421" s="75">
        <f>IF(R1421="","",IF(INDEX('Recurring Schedule'!$C$6:$C$45,R1421)="","",INDEX('Recurring Schedule'!$C$6:$C$45,R1421)))</f>
        <v/>
      </c>
      <c r="D1421" s="73">
        <f>IF(R1421="","",IF(INDEX('Recurring Schedule'!$D$6:$D$45,R1421)="","",INDEX('Recurring Schedule'!$D$6:$D$45,R1421)))</f>
        <v/>
      </c>
      <c r="E1421" s="76">
        <f>IF(Q1421="","",INDEX(Calc!$A$2:$A$367,Q1421))</f>
        <v/>
      </c>
      <c r="F1421" s="72">
        <f>IF(OR(C1421="",E1421=""),"",E1421-Setup!$D$7)</f>
        <v/>
      </c>
      <c r="G1421" s="77">
        <f>IF(R1421="","",IF(INDEX('Recurring Schedule'!$H$6:$H$45,R1421)="","",INDEX('Recurring Schedule'!$H$6:$H$45,R1421)))</f>
        <v/>
      </c>
      <c r="H1421" s="77">
        <f>IF(R1421="","",IF(INDEX('Recurring Schedule'!$I$6:$I$45,R1421)="","",INDEX('Recurring Schedule'!$I$6:$I$45,R1421)))</f>
        <v/>
      </c>
      <c r="I1421" s="73">
        <f>IF(OR(G1421="",H1421=""),"",TRIM(IF(HOUR(H1421-G1421)&gt;0,HOUR(H1421-G1421)&amp;" hr ","")&amp;IF(MINUTE(H1421-G1421)&gt;0,MINUTE(H1421-G1421)&amp;" min","")))</f>
        <v/>
      </c>
      <c r="J1421" s="66" t="n"/>
      <c r="K1421" s="70" t="n"/>
      <c r="L1421" s="73">
        <f>IF(R1421="","",IF(INDEX('Recurring Schedule'!$J$6:$J$45,R1421)="","",INDEX('Recurring Schedule'!$J$6:$J$45,R1421)))</f>
        <v/>
      </c>
      <c r="M1421" s="73">
        <f>IF(R1421="","",IF(INDEX('Recurring Schedule'!$K$6:$K$45,R1421)="","",INDEX('Recurring Schedule'!$K$6:$K$45,R1421)))</f>
        <v/>
      </c>
      <c r="N1421" s="73">
        <f>IF(R1421="","",IF(INDEX('Recurring Schedule'!$L$6:$L$45,R1421)="","",INDEX('Recurring Schedule'!$L$6:$L$45,R1421)))</f>
        <v/>
      </c>
      <c r="O1421" s="73">
        <f>IF(C1421="","",IF(AND(OR(L1421="1-Urgent",L1421="2-High"),M1421="✓"),"DO FIRST",IF(M1421="✓","SCHEDULE",IF(OR(L1421="1-Urgent",L1421="2-High"),"DELEGATE","DELETE"))))</f>
        <v/>
      </c>
      <c r="P1421" s="65" t="n"/>
      <c r="Q1421">
        <f>IF(1416&gt;Calc!$AQ$368,"",MATCH(1415,Calc!$AQ$2:$AQ$367,1))</f>
        <v/>
      </c>
      <c r="R1421">
        <f>IF(Q1421="","",SMALL(INDEX(Calc!$B$2:$AO$367,Q1421,0),1416-INDEX(Calc!$AQ$2:$AQ$367,Q1421)))</f>
        <v/>
      </c>
    </row>
    <row r="1422">
      <c r="B1422" s="64">
        <f>IF(R1422="","",1417)</f>
        <v/>
      </c>
      <c r="C1422" s="37">
        <f>IF(R1422="","",IF(INDEX('Recurring Schedule'!$C$6:$C$45,R1422)="","",INDEX('Recurring Schedule'!$C$6:$C$45,R1422)))</f>
        <v/>
      </c>
      <c r="D1422" s="36">
        <f>IF(R1422="","",IF(INDEX('Recurring Schedule'!$D$6:$D$45,R1422)="","",INDEX('Recurring Schedule'!$D$6:$D$45,R1422)))</f>
        <v/>
      </c>
      <c r="E1422" s="38">
        <f>IF(Q1422="","",INDEX(Calc!$A$2:$A$367,Q1422))</f>
        <v/>
      </c>
      <c r="F1422" s="68">
        <f>IF(OR(C1422="",E1422=""),"",E1422-Setup!$D$7)</f>
        <v/>
      </c>
      <c r="G1422" s="74">
        <f>IF(R1422="","",IF(INDEX('Recurring Schedule'!$H$6:$H$45,R1422)="","",INDEX('Recurring Schedule'!$H$6:$H$45,R1422)))</f>
        <v/>
      </c>
      <c r="H1422" s="74">
        <f>IF(R1422="","",IF(INDEX('Recurring Schedule'!$I$6:$I$45,R1422)="","",INDEX('Recurring Schedule'!$I$6:$I$45,R1422)))</f>
        <v/>
      </c>
      <c r="I1422" s="36">
        <f>IF(OR(G1422="",H1422=""),"",TRIM(IF(HOUR(H1422-G1422)&gt;0,HOUR(H1422-G1422)&amp;" hr ","")&amp;IF(MINUTE(H1422-G1422)&gt;0,MINUTE(H1422-G1422)&amp;" min","")))</f>
        <v/>
      </c>
      <c r="J1422" s="66" t="n"/>
      <c r="K1422" s="70" t="n"/>
      <c r="L1422" s="36">
        <f>IF(R1422="","",IF(INDEX('Recurring Schedule'!$J$6:$J$45,R1422)="","",INDEX('Recurring Schedule'!$J$6:$J$45,R1422)))</f>
        <v/>
      </c>
      <c r="M1422" s="36">
        <f>IF(R1422="","",IF(INDEX('Recurring Schedule'!$K$6:$K$45,R1422)="","",INDEX('Recurring Schedule'!$K$6:$K$45,R1422)))</f>
        <v/>
      </c>
      <c r="N1422" s="36">
        <f>IF(R1422="","",IF(INDEX('Recurring Schedule'!$L$6:$L$45,R1422)="","",INDEX('Recurring Schedule'!$L$6:$L$45,R1422)))</f>
        <v/>
      </c>
      <c r="O1422" s="36">
        <f>IF(C1422="","",IF(AND(OR(L1422="1-Urgent",L1422="2-High"),M1422="✓"),"DO FIRST",IF(M1422="✓","SCHEDULE",IF(OR(L1422="1-Urgent",L1422="2-High"),"DELEGATE","DELETE"))))</f>
        <v/>
      </c>
      <c r="P1422" s="65" t="n"/>
      <c r="Q1422">
        <f>IF(1417&gt;Calc!$AQ$368,"",MATCH(1416,Calc!$AQ$2:$AQ$367,1))</f>
        <v/>
      </c>
      <c r="R1422">
        <f>IF(Q1422="","",SMALL(INDEX(Calc!$B$2:$AO$367,Q1422,0),1417-INDEX(Calc!$AQ$2:$AQ$367,Q1422)))</f>
        <v/>
      </c>
    </row>
    <row r="1423">
      <c r="B1423" s="71">
        <f>IF(R1423="","",1418)</f>
        <v/>
      </c>
      <c r="C1423" s="75">
        <f>IF(R1423="","",IF(INDEX('Recurring Schedule'!$C$6:$C$45,R1423)="","",INDEX('Recurring Schedule'!$C$6:$C$45,R1423)))</f>
        <v/>
      </c>
      <c r="D1423" s="73">
        <f>IF(R1423="","",IF(INDEX('Recurring Schedule'!$D$6:$D$45,R1423)="","",INDEX('Recurring Schedule'!$D$6:$D$45,R1423)))</f>
        <v/>
      </c>
      <c r="E1423" s="76">
        <f>IF(Q1423="","",INDEX(Calc!$A$2:$A$367,Q1423))</f>
        <v/>
      </c>
      <c r="F1423" s="72">
        <f>IF(OR(C1423="",E1423=""),"",E1423-Setup!$D$7)</f>
        <v/>
      </c>
      <c r="G1423" s="77">
        <f>IF(R1423="","",IF(INDEX('Recurring Schedule'!$H$6:$H$45,R1423)="","",INDEX('Recurring Schedule'!$H$6:$H$45,R1423)))</f>
        <v/>
      </c>
      <c r="H1423" s="77">
        <f>IF(R1423="","",IF(INDEX('Recurring Schedule'!$I$6:$I$45,R1423)="","",INDEX('Recurring Schedule'!$I$6:$I$45,R1423)))</f>
        <v/>
      </c>
      <c r="I1423" s="73">
        <f>IF(OR(G1423="",H1423=""),"",TRIM(IF(HOUR(H1423-G1423)&gt;0,HOUR(H1423-G1423)&amp;" hr ","")&amp;IF(MINUTE(H1423-G1423)&gt;0,MINUTE(H1423-G1423)&amp;" min","")))</f>
        <v/>
      </c>
      <c r="J1423" s="66" t="n"/>
      <c r="K1423" s="70" t="n"/>
      <c r="L1423" s="73">
        <f>IF(R1423="","",IF(INDEX('Recurring Schedule'!$J$6:$J$45,R1423)="","",INDEX('Recurring Schedule'!$J$6:$J$45,R1423)))</f>
        <v/>
      </c>
      <c r="M1423" s="73">
        <f>IF(R1423="","",IF(INDEX('Recurring Schedule'!$K$6:$K$45,R1423)="","",INDEX('Recurring Schedule'!$K$6:$K$45,R1423)))</f>
        <v/>
      </c>
      <c r="N1423" s="73">
        <f>IF(R1423="","",IF(INDEX('Recurring Schedule'!$L$6:$L$45,R1423)="","",INDEX('Recurring Schedule'!$L$6:$L$45,R1423)))</f>
        <v/>
      </c>
      <c r="O1423" s="73">
        <f>IF(C1423="","",IF(AND(OR(L1423="1-Urgent",L1423="2-High"),M1423="✓"),"DO FIRST",IF(M1423="✓","SCHEDULE",IF(OR(L1423="1-Urgent",L1423="2-High"),"DELEGATE","DELETE"))))</f>
        <v/>
      </c>
      <c r="P1423" s="65" t="n"/>
      <c r="Q1423">
        <f>IF(1418&gt;Calc!$AQ$368,"",MATCH(1417,Calc!$AQ$2:$AQ$367,1))</f>
        <v/>
      </c>
      <c r="R1423">
        <f>IF(Q1423="","",SMALL(INDEX(Calc!$B$2:$AO$367,Q1423,0),1418-INDEX(Calc!$AQ$2:$AQ$367,Q1423)))</f>
        <v/>
      </c>
    </row>
    <row r="1424">
      <c r="B1424" s="64">
        <f>IF(R1424="","",1419)</f>
        <v/>
      </c>
      <c r="C1424" s="37">
        <f>IF(R1424="","",IF(INDEX('Recurring Schedule'!$C$6:$C$45,R1424)="","",INDEX('Recurring Schedule'!$C$6:$C$45,R1424)))</f>
        <v/>
      </c>
      <c r="D1424" s="36">
        <f>IF(R1424="","",IF(INDEX('Recurring Schedule'!$D$6:$D$45,R1424)="","",INDEX('Recurring Schedule'!$D$6:$D$45,R1424)))</f>
        <v/>
      </c>
      <c r="E1424" s="38">
        <f>IF(Q1424="","",INDEX(Calc!$A$2:$A$367,Q1424))</f>
        <v/>
      </c>
      <c r="F1424" s="68">
        <f>IF(OR(C1424="",E1424=""),"",E1424-Setup!$D$7)</f>
        <v/>
      </c>
      <c r="G1424" s="74">
        <f>IF(R1424="","",IF(INDEX('Recurring Schedule'!$H$6:$H$45,R1424)="","",INDEX('Recurring Schedule'!$H$6:$H$45,R1424)))</f>
        <v/>
      </c>
      <c r="H1424" s="74">
        <f>IF(R1424="","",IF(INDEX('Recurring Schedule'!$I$6:$I$45,R1424)="","",INDEX('Recurring Schedule'!$I$6:$I$45,R1424)))</f>
        <v/>
      </c>
      <c r="I1424" s="36">
        <f>IF(OR(G1424="",H1424=""),"",TRIM(IF(HOUR(H1424-G1424)&gt;0,HOUR(H1424-G1424)&amp;" hr ","")&amp;IF(MINUTE(H1424-G1424)&gt;0,MINUTE(H1424-G1424)&amp;" min","")))</f>
        <v/>
      </c>
      <c r="J1424" s="66" t="n"/>
      <c r="K1424" s="70" t="n"/>
      <c r="L1424" s="36">
        <f>IF(R1424="","",IF(INDEX('Recurring Schedule'!$J$6:$J$45,R1424)="","",INDEX('Recurring Schedule'!$J$6:$J$45,R1424)))</f>
        <v/>
      </c>
      <c r="M1424" s="36">
        <f>IF(R1424="","",IF(INDEX('Recurring Schedule'!$K$6:$K$45,R1424)="","",INDEX('Recurring Schedule'!$K$6:$K$45,R1424)))</f>
        <v/>
      </c>
      <c r="N1424" s="36">
        <f>IF(R1424="","",IF(INDEX('Recurring Schedule'!$L$6:$L$45,R1424)="","",INDEX('Recurring Schedule'!$L$6:$L$45,R1424)))</f>
        <v/>
      </c>
      <c r="O1424" s="36">
        <f>IF(C1424="","",IF(AND(OR(L1424="1-Urgent",L1424="2-High"),M1424="✓"),"DO FIRST",IF(M1424="✓","SCHEDULE",IF(OR(L1424="1-Urgent",L1424="2-High"),"DELEGATE","DELETE"))))</f>
        <v/>
      </c>
      <c r="P1424" s="65" t="n"/>
      <c r="Q1424">
        <f>IF(1419&gt;Calc!$AQ$368,"",MATCH(1418,Calc!$AQ$2:$AQ$367,1))</f>
        <v/>
      </c>
      <c r="R1424">
        <f>IF(Q1424="","",SMALL(INDEX(Calc!$B$2:$AO$367,Q1424,0),1419-INDEX(Calc!$AQ$2:$AQ$367,Q1424)))</f>
        <v/>
      </c>
    </row>
    <row r="1425">
      <c r="B1425" s="71">
        <f>IF(R1425="","",1420)</f>
        <v/>
      </c>
      <c r="C1425" s="75">
        <f>IF(R1425="","",IF(INDEX('Recurring Schedule'!$C$6:$C$45,R1425)="","",INDEX('Recurring Schedule'!$C$6:$C$45,R1425)))</f>
        <v/>
      </c>
      <c r="D1425" s="73">
        <f>IF(R1425="","",IF(INDEX('Recurring Schedule'!$D$6:$D$45,R1425)="","",INDEX('Recurring Schedule'!$D$6:$D$45,R1425)))</f>
        <v/>
      </c>
      <c r="E1425" s="76">
        <f>IF(Q1425="","",INDEX(Calc!$A$2:$A$367,Q1425))</f>
        <v/>
      </c>
      <c r="F1425" s="72">
        <f>IF(OR(C1425="",E1425=""),"",E1425-Setup!$D$7)</f>
        <v/>
      </c>
      <c r="G1425" s="77">
        <f>IF(R1425="","",IF(INDEX('Recurring Schedule'!$H$6:$H$45,R1425)="","",INDEX('Recurring Schedule'!$H$6:$H$45,R1425)))</f>
        <v/>
      </c>
      <c r="H1425" s="77">
        <f>IF(R1425="","",IF(INDEX('Recurring Schedule'!$I$6:$I$45,R1425)="","",INDEX('Recurring Schedule'!$I$6:$I$45,R1425)))</f>
        <v/>
      </c>
      <c r="I1425" s="73">
        <f>IF(OR(G1425="",H1425=""),"",TRIM(IF(HOUR(H1425-G1425)&gt;0,HOUR(H1425-G1425)&amp;" hr ","")&amp;IF(MINUTE(H1425-G1425)&gt;0,MINUTE(H1425-G1425)&amp;" min","")))</f>
        <v/>
      </c>
      <c r="J1425" s="66" t="n"/>
      <c r="K1425" s="70" t="n"/>
      <c r="L1425" s="73">
        <f>IF(R1425="","",IF(INDEX('Recurring Schedule'!$J$6:$J$45,R1425)="","",INDEX('Recurring Schedule'!$J$6:$J$45,R1425)))</f>
        <v/>
      </c>
      <c r="M1425" s="73">
        <f>IF(R1425="","",IF(INDEX('Recurring Schedule'!$K$6:$K$45,R1425)="","",INDEX('Recurring Schedule'!$K$6:$K$45,R1425)))</f>
        <v/>
      </c>
      <c r="N1425" s="73">
        <f>IF(R1425="","",IF(INDEX('Recurring Schedule'!$L$6:$L$45,R1425)="","",INDEX('Recurring Schedule'!$L$6:$L$45,R1425)))</f>
        <v/>
      </c>
      <c r="O1425" s="73">
        <f>IF(C1425="","",IF(AND(OR(L1425="1-Urgent",L1425="2-High"),M1425="✓"),"DO FIRST",IF(M1425="✓","SCHEDULE",IF(OR(L1425="1-Urgent",L1425="2-High"),"DELEGATE","DELETE"))))</f>
        <v/>
      </c>
      <c r="P1425" s="65" t="n"/>
      <c r="Q1425">
        <f>IF(1420&gt;Calc!$AQ$368,"",MATCH(1419,Calc!$AQ$2:$AQ$367,1))</f>
        <v/>
      </c>
      <c r="R1425">
        <f>IF(Q1425="","",SMALL(INDEX(Calc!$B$2:$AO$367,Q1425,0),1420-INDEX(Calc!$AQ$2:$AQ$367,Q1425)))</f>
        <v/>
      </c>
    </row>
    <row r="1426">
      <c r="B1426" s="64">
        <f>IF(R1426="","",1421)</f>
        <v/>
      </c>
      <c r="C1426" s="37">
        <f>IF(R1426="","",IF(INDEX('Recurring Schedule'!$C$6:$C$45,R1426)="","",INDEX('Recurring Schedule'!$C$6:$C$45,R1426)))</f>
        <v/>
      </c>
      <c r="D1426" s="36">
        <f>IF(R1426="","",IF(INDEX('Recurring Schedule'!$D$6:$D$45,R1426)="","",INDEX('Recurring Schedule'!$D$6:$D$45,R1426)))</f>
        <v/>
      </c>
      <c r="E1426" s="38">
        <f>IF(Q1426="","",INDEX(Calc!$A$2:$A$367,Q1426))</f>
        <v/>
      </c>
      <c r="F1426" s="68">
        <f>IF(OR(C1426="",E1426=""),"",E1426-Setup!$D$7)</f>
        <v/>
      </c>
      <c r="G1426" s="74">
        <f>IF(R1426="","",IF(INDEX('Recurring Schedule'!$H$6:$H$45,R1426)="","",INDEX('Recurring Schedule'!$H$6:$H$45,R1426)))</f>
        <v/>
      </c>
      <c r="H1426" s="74">
        <f>IF(R1426="","",IF(INDEX('Recurring Schedule'!$I$6:$I$45,R1426)="","",INDEX('Recurring Schedule'!$I$6:$I$45,R1426)))</f>
        <v/>
      </c>
      <c r="I1426" s="36">
        <f>IF(OR(G1426="",H1426=""),"",TRIM(IF(HOUR(H1426-G1426)&gt;0,HOUR(H1426-G1426)&amp;" hr ","")&amp;IF(MINUTE(H1426-G1426)&gt;0,MINUTE(H1426-G1426)&amp;" min","")))</f>
        <v/>
      </c>
      <c r="J1426" s="66" t="n"/>
      <c r="K1426" s="70" t="n"/>
      <c r="L1426" s="36">
        <f>IF(R1426="","",IF(INDEX('Recurring Schedule'!$J$6:$J$45,R1426)="","",INDEX('Recurring Schedule'!$J$6:$J$45,R1426)))</f>
        <v/>
      </c>
      <c r="M1426" s="36">
        <f>IF(R1426="","",IF(INDEX('Recurring Schedule'!$K$6:$K$45,R1426)="","",INDEX('Recurring Schedule'!$K$6:$K$45,R1426)))</f>
        <v/>
      </c>
      <c r="N1426" s="36">
        <f>IF(R1426="","",IF(INDEX('Recurring Schedule'!$L$6:$L$45,R1426)="","",INDEX('Recurring Schedule'!$L$6:$L$45,R1426)))</f>
        <v/>
      </c>
      <c r="O1426" s="36">
        <f>IF(C1426="","",IF(AND(OR(L1426="1-Urgent",L1426="2-High"),M1426="✓"),"DO FIRST",IF(M1426="✓","SCHEDULE",IF(OR(L1426="1-Urgent",L1426="2-High"),"DELEGATE","DELETE"))))</f>
        <v/>
      </c>
      <c r="P1426" s="65" t="n"/>
      <c r="Q1426">
        <f>IF(1421&gt;Calc!$AQ$368,"",MATCH(1420,Calc!$AQ$2:$AQ$367,1))</f>
        <v/>
      </c>
      <c r="R1426">
        <f>IF(Q1426="","",SMALL(INDEX(Calc!$B$2:$AO$367,Q1426,0),1421-INDEX(Calc!$AQ$2:$AQ$367,Q1426)))</f>
        <v/>
      </c>
    </row>
    <row r="1427">
      <c r="B1427" s="71">
        <f>IF(R1427="","",1422)</f>
        <v/>
      </c>
      <c r="C1427" s="75">
        <f>IF(R1427="","",IF(INDEX('Recurring Schedule'!$C$6:$C$45,R1427)="","",INDEX('Recurring Schedule'!$C$6:$C$45,R1427)))</f>
        <v/>
      </c>
      <c r="D1427" s="73">
        <f>IF(R1427="","",IF(INDEX('Recurring Schedule'!$D$6:$D$45,R1427)="","",INDEX('Recurring Schedule'!$D$6:$D$45,R1427)))</f>
        <v/>
      </c>
      <c r="E1427" s="76">
        <f>IF(Q1427="","",INDEX(Calc!$A$2:$A$367,Q1427))</f>
        <v/>
      </c>
      <c r="F1427" s="72">
        <f>IF(OR(C1427="",E1427=""),"",E1427-Setup!$D$7)</f>
        <v/>
      </c>
      <c r="G1427" s="77">
        <f>IF(R1427="","",IF(INDEX('Recurring Schedule'!$H$6:$H$45,R1427)="","",INDEX('Recurring Schedule'!$H$6:$H$45,R1427)))</f>
        <v/>
      </c>
      <c r="H1427" s="77">
        <f>IF(R1427="","",IF(INDEX('Recurring Schedule'!$I$6:$I$45,R1427)="","",INDEX('Recurring Schedule'!$I$6:$I$45,R1427)))</f>
        <v/>
      </c>
      <c r="I1427" s="73">
        <f>IF(OR(G1427="",H1427=""),"",TRIM(IF(HOUR(H1427-G1427)&gt;0,HOUR(H1427-G1427)&amp;" hr ","")&amp;IF(MINUTE(H1427-G1427)&gt;0,MINUTE(H1427-G1427)&amp;" min","")))</f>
        <v/>
      </c>
      <c r="J1427" s="66" t="n"/>
      <c r="K1427" s="70" t="n"/>
      <c r="L1427" s="73">
        <f>IF(R1427="","",IF(INDEX('Recurring Schedule'!$J$6:$J$45,R1427)="","",INDEX('Recurring Schedule'!$J$6:$J$45,R1427)))</f>
        <v/>
      </c>
      <c r="M1427" s="73">
        <f>IF(R1427="","",IF(INDEX('Recurring Schedule'!$K$6:$K$45,R1427)="","",INDEX('Recurring Schedule'!$K$6:$K$45,R1427)))</f>
        <v/>
      </c>
      <c r="N1427" s="73">
        <f>IF(R1427="","",IF(INDEX('Recurring Schedule'!$L$6:$L$45,R1427)="","",INDEX('Recurring Schedule'!$L$6:$L$45,R1427)))</f>
        <v/>
      </c>
      <c r="O1427" s="73">
        <f>IF(C1427="","",IF(AND(OR(L1427="1-Urgent",L1427="2-High"),M1427="✓"),"DO FIRST",IF(M1427="✓","SCHEDULE",IF(OR(L1427="1-Urgent",L1427="2-High"),"DELEGATE","DELETE"))))</f>
        <v/>
      </c>
      <c r="P1427" s="65" t="n"/>
      <c r="Q1427">
        <f>IF(1422&gt;Calc!$AQ$368,"",MATCH(1421,Calc!$AQ$2:$AQ$367,1))</f>
        <v/>
      </c>
      <c r="R1427">
        <f>IF(Q1427="","",SMALL(INDEX(Calc!$B$2:$AO$367,Q1427,0),1422-INDEX(Calc!$AQ$2:$AQ$367,Q1427)))</f>
        <v/>
      </c>
    </row>
    <row r="1428">
      <c r="B1428" s="64">
        <f>IF(R1428="","",1423)</f>
        <v/>
      </c>
      <c r="C1428" s="37">
        <f>IF(R1428="","",IF(INDEX('Recurring Schedule'!$C$6:$C$45,R1428)="","",INDEX('Recurring Schedule'!$C$6:$C$45,R1428)))</f>
        <v/>
      </c>
      <c r="D1428" s="36">
        <f>IF(R1428="","",IF(INDEX('Recurring Schedule'!$D$6:$D$45,R1428)="","",INDEX('Recurring Schedule'!$D$6:$D$45,R1428)))</f>
        <v/>
      </c>
      <c r="E1428" s="38">
        <f>IF(Q1428="","",INDEX(Calc!$A$2:$A$367,Q1428))</f>
        <v/>
      </c>
      <c r="F1428" s="68">
        <f>IF(OR(C1428="",E1428=""),"",E1428-Setup!$D$7)</f>
        <v/>
      </c>
      <c r="G1428" s="74">
        <f>IF(R1428="","",IF(INDEX('Recurring Schedule'!$H$6:$H$45,R1428)="","",INDEX('Recurring Schedule'!$H$6:$H$45,R1428)))</f>
        <v/>
      </c>
      <c r="H1428" s="74">
        <f>IF(R1428="","",IF(INDEX('Recurring Schedule'!$I$6:$I$45,R1428)="","",INDEX('Recurring Schedule'!$I$6:$I$45,R1428)))</f>
        <v/>
      </c>
      <c r="I1428" s="36">
        <f>IF(OR(G1428="",H1428=""),"",TRIM(IF(HOUR(H1428-G1428)&gt;0,HOUR(H1428-G1428)&amp;" hr ","")&amp;IF(MINUTE(H1428-G1428)&gt;0,MINUTE(H1428-G1428)&amp;" min","")))</f>
        <v/>
      </c>
      <c r="J1428" s="66" t="n"/>
      <c r="K1428" s="70" t="n"/>
      <c r="L1428" s="36">
        <f>IF(R1428="","",IF(INDEX('Recurring Schedule'!$J$6:$J$45,R1428)="","",INDEX('Recurring Schedule'!$J$6:$J$45,R1428)))</f>
        <v/>
      </c>
      <c r="M1428" s="36">
        <f>IF(R1428="","",IF(INDEX('Recurring Schedule'!$K$6:$K$45,R1428)="","",INDEX('Recurring Schedule'!$K$6:$K$45,R1428)))</f>
        <v/>
      </c>
      <c r="N1428" s="36">
        <f>IF(R1428="","",IF(INDEX('Recurring Schedule'!$L$6:$L$45,R1428)="","",INDEX('Recurring Schedule'!$L$6:$L$45,R1428)))</f>
        <v/>
      </c>
      <c r="O1428" s="36">
        <f>IF(C1428="","",IF(AND(OR(L1428="1-Urgent",L1428="2-High"),M1428="✓"),"DO FIRST",IF(M1428="✓","SCHEDULE",IF(OR(L1428="1-Urgent",L1428="2-High"),"DELEGATE","DELETE"))))</f>
        <v/>
      </c>
      <c r="P1428" s="65" t="n"/>
      <c r="Q1428">
        <f>IF(1423&gt;Calc!$AQ$368,"",MATCH(1422,Calc!$AQ$2:$AQ$367,1))</f>
        <v/>
      </c>
      <c r="R1428">
        <f>IF(Q1428="","",SMALL(INDEX(Calc!$B$2:$AO$367,Q1428,0),1423-INDEX(Calc!$AQ$2:$AQ$367,Q1428)))</f>
        <v/>
      </c>
    </row>
    <row r="1429">
      <c r="B1429" s="71">
        <f>IF(R1429="","",1424)</f>
        <v/>
      </c>
      <c r="C1429" s="75">
        <f>IF(R1429="","",IF(INDEX('Recurring Schedule'!$C$6:$C$45,R1429)="","",INDEX('Recurring Schedule'!$C$6:$C$45,R1429)))</f>
        <v/>
      </c>
      <c r="D1429" s="73">
        <f>IF(R1429="","",IF(INDEX('Recurring Schedule'!$D$6:$D$45,R1429)="","",INDEX('Recurring Schedule'!$D$6:$D$45,R1429)))</f>
        <v/>
      </c>
      <c r="E1429" s="76">
        <f>IF(Q1429="","",INDEX(Calc!$A$2:$A$367,Q1429))</f>
        <v/>
      </c>
      <c r="F1429" s="72">
        <f>IF(OR(C1429="",E1429=""),"",E1429-Setup!$D$7)</f>
        <v/>
      </c>
      <c r="G1429" s="77">
        <f>IF(R1429="","",IF(INDEX('Recurring Schedule'!$H$6:$H$45,R1429)="","",INDEX('Recurring Schedule'!$H$6:$H$45,R1429)))</f>
        <v/>
      </c>
      <c r="H1429" s="77">
        <f>IF(R1429="","",IF(INDEX('Recurring Schedule'!$I$6:$I$45,R1429)="","",INDEX('Recurring Schedule'!$I$6:$I$45,R1429)))</f>
        <v/>
      </c>
      <c r="I1429" s="73">
        <f>IF(OR(G1429="",H1429=""),"",TRIM(IF(HOUR(H1429-G1429)&gt;0,HOUR(H1429-G1429)&amp;" hr ","")&amp;IF(MINUTE(H1429-G1429)&gt;0,MINUTE(H1429-G1429)&amp;" min","")))</f>
        <v/>
      </c>
      <c r="J1429" s="66" t="n"/>
      <c r="K1429" s="70" t="n"/>
      <c r="L1429" s="73">
        <f>IF(R1429="","",IF(INDEX('Recurring Schedule'!$J$6:$J$45,R1429)="","",INDEX('Recurring Schedule'!$J$6:$J$45,R1429)))</f>
        <v/>
      </c>
      <c r="M1429" s="73">
        <f>IF(R1429="","",IF(INDEX('Recurring Schedule'!$K$6:$K$45,R1429)="","",INDEX('Recurring Schedule'!$K$6:$K$45,R1429)))</f>
        <v/>
      </c>
      <c r="N1429" s="73">
        <f>IF(R1429="","",IF(INDEX('Recurring Schedule'!$L$6:$L$45,R1429)="","",INDEX('Recurring Schedule'!$L$6:$L$45,R1429)))</f>
        <v/>
      </c>
      <c r="O1429" s="73">
        <f>IF(C1429="","",IF(AND(OR(L1429="1-Urgent",L1429="2-High"),M1429="✓"),"DO FIRST",IF(M1429="✓","SCHEDULE",IF(OR(L1429="1-Urgent",L1429="2-High"),"DELEGATE","DELETE"))))</f>
        <v/>
      </c>
      <c r="P1429" s="65" t="n"/>
      <c r="Q1429">
        <f>IF(1424&gt;Calc!$AQ$368,"",MATCH(1423,Calc!$AQ$2:$AQ$367,1))</f>
        <v/>
      </c>
      <c r="R1429">
        <f>IF(Q1429="","",SMALL(INDEX(Calc!$B$2:$AO$367,Q1429,0),1424-INDEX(Calc!$AQ$2:$AQ$367,Q1429)))</f>
        <v/>
      </c>
    </row>
    <row r="1430">
      <c r="B1430" s="64">
        <f>IF(R1430="","",1425)</f>
        <v/>
      </c>
      <c r="C1430" s="37">
        <f>IF(R1430="","",IF(INDEX('Recurring Schedule'!$C$6:$C$45,R1430)="","",INDEX('Recurring Schedule'!$C$6:$C$45,R1430)))</f>
        <v/>
      </c>
      <c r="D1430" s="36">
        <f>IF(R1430="","",IF(INDEX('Recurring Schedule'!$D$6:$D$45,R1430)="","",INDEX('Recurring Schedule'!$D$6:$D$45,R1430)))</f>
        <v/>
      </c>
      <c r="E1430" s="38">
        <f>IF(Q1430="","",INDEX(Calc!$A$2:$A$367,Q1430))</f>
        <v/>
      </c>
      <c r="F1430" s="68">
        <f>IF(OR(C1430="",E1430=""),"",E1430-Setup!$D$7)</f>
        <v/>
      </c>
      <c r="G1430" s="74">
        <f>IF(R1430="","",IF(INDEX('Recurring Schedule'!$H$6:$H$45,R1430)="","",INDEX('Recurring Schedule'!$H$6:$H$45,R1430)))</f>
        <v/>
      </c>
      <c r="H1430" s="74">
        <f>IF(R1430="","",IF(INDEX('Recurring Schedule'!$I$6:$I$45,R1430)="","",INDEX('Recurring Schedule'!$I$6:$I$45,R1430)))</f>
        <v/>
      </c>
      <c r="I1430" s="36">
        <f>IF(OR(G1430="",H1430=""),"",TRIM(IF(HOUR(H1430-G1430)&gt;0,HOUR(H1430-G1430)&amp;" hr ","")&amp;IF(MINUTE(H1430-G1430)&gt;0,MINUTE(H1430-G1430)&amp;" min","")))</f>
        <v/>
      </c>
      <c r="J1430" s="66" t="n"/>
      <c r="K1430" s="70" t="n"/>
      <c r="L1430" s="36">
        <f>IF(R1430="","",IF(INDEX('Recurring Schedule'!$J$6:$J$45,R1430)="","",INDEX('Recurring Schedule'!$J$6:$J$45,R1430)))</f>
        <v/>
      </c>
      <c r="M1430" s="36">
        <f>IF(R1430="","",IF(INDEX('Recurring Schedule'!$K$6:$K$45,R1430)="","",INDEX('Recurring Schedule'!$K$6:$K$45,R1430)))</f>
        <v/>
      </c>
      <c r="N1430" s="36">
        <f>IF(R1430="","",IF(INDEX('Recurring Schedule'!$L$6:$L$45,R1430)="","",INDEX('Recurring Schedule'!$L$6:$L$45,R1430)))</f>
        <v/>
      </c>
      <c r="O1430" s="36">
        <f>IF(C1430="","",IF(AND(OR(L1430="1-Urgent",L1430="2-High"),M1430="✓"),"DO FIRST",IF(M1430="✓","SCHEDULE",IF(OR(L1430="1-Urgent",L1430="2-High"),"DELEGATE","DELETE"))))</f>
        <v/>
      </c>
      <c r="P1430" s="65" t="n"/>
      <c r="Q1430">
        <f>IF(1425&gt;Calc!$AQ$368,"",MATCH(1424,Calc!$AQ$2:$AQ$367,1))</f>
        <v/>
      </c>
      <c r="R1430">
        <f>IF(Q1430="","",SMALL(INDEX(Calc!$B$2:$AO$367,Q1430,0),1425-INDEX(Calc!$AQ$2:$AQ$367,Q1430)))</f>
        <v/>
      </c>
    </row>
    <row r="1431">
      <c r="B1431" s="71">
        <f>IF(R1431="","",1426)</f>
        <v/>
      </c>
      <c r="C1431" s="75">
        <f>IF(R1431="","",IF(INDEX('Recurring Schedule'!$C$6:$C$45,R1431)="","",INDEX('Recurring Schedule'!$C$6:$C$45,R1431)))</f>
        <v/>
      </c>
      <c r="D1431" s="73">
        <f>IF(R1431="","",IF(INDEX('Recurring Schedule'!$D$6:$D$45,R1431)="","",INDEX('Recurring Schedule'!$D$6:$D$45,R1431)))</f>
        <v/>
      </c>
      <c r="E1431" s="76">
        <f>IF(Q1431="","",INDEX(Calc!$A$2:$A$367,Q1431))</f>
        <v/>
      </c>
      <c r="F1431" s="72">
        <f>IF(OR(C1431="",E1431=""),"",E1431-Setup!$D$7)</f>
        <v/>
      </c>
      <c r="G1431" s="77">
        <f>IF(R1431="","",IF(INDEX('Recurring Schedule'!$H$6:$H$45,R1431)="","",INDEX('Recurring Schedule'!$H$6:$H$45,R1431)))</f>
        <v/>
      </c>
      <c r="H1431" s="77">
        <f>IF(R1431="","",IF(INDEX('Recurring Schedule'!$I$6:$I$45,R1431)="","",INDEX('Recurring Schedule'!$I$6:$I$45,R1431)))</f>
        <v/>
      </c>
      <c r="I1431" s="73">
        <f>IF(OR(G1431="",H1431=""),"",TRIM(IF(HOUR(H1431-G1431)&gt;0,HOUR(H1431-G1431)&amp;" hr ","")&amp;IF(MINUTE(H1431-G1431)&gt;0,MINUTE(H1431-G1431)&amp;" min","")))</f>
        <v/>
      </c>
      <c r="J1431" s="66" t="n"/>
      <c r="K1431" s="70" t="n"/>
      <c r="L1431" s="73">
        <f>IF(R1431="","",IF(INDEX('Recurring Schedule'!$J$6:$J$45,R1431)="","",INDEX('Recurring Schedule'!$J$6:$J$45,R1431)))</f>
        <v/>
      </c>
      <c r="M1431" s="73">
        <f>IF(R1431="","",IF(INDEX('Recurring Schedule'!$K$6:$K$45,R1431)="","",INDEX('Recurring Schedule'!$K$6:$K$45,R1431)))</f>
        <v/>
      </c>
      <c r="N1431" s="73">
        <f>IF(R1431="","",IF(INDEX('Recurring Schedule'!$L$6:$L$45,R1431)="","",INDEX('Recurring Schedule'!$L$6:$L$45,R1431)))</f>
        <v/>
      </c>
      <c r="O1431" s="73">
        <f>IF(C1431="","",IF(AND(OR(L1431="1-Urgent",L1431="2-High"),M1431="✓"),"DO FIRST",IF(M1431="✓","SCHEDULE",IF(OR(L1431="1-Urgent",L1431="2-High"),"DELEGATE","DELETE"))))</f>
        <v/>
      </c>
      <c r="P1431" s="65" t="n"/>
      <c r="Q1431">
        <f>IF(1426&gt;Calc!$AQ$368,"",MATCH(1425,Calc!$AQ$2:$AQ$367,1))</f>
        <v/>
      </c>
      <c r="R1431">
        <f>IF(Q1431="","",SMALL(INDEX(Calc!$B$2:$AO$367,Q1431,0),1426-INDEX(Calc!$AQ$2:$AQ$367,Q1431)))</f>
        <v/>
      </c>
    </row>
    <row r="1432">
      <c r="B1432" s="64">
        <f>IF(R1432="","",1427)</f>
        <v/>
      </c>
      <c r="C1432" s="37">
        <f>IF(R1432="","",IF(INDEX('Recurring Schedule'!$C$6:$C$45,R1432)="","",INDEX('Recurring Schedule'!$C$6:$C$45,R1432)))</f>
        <v/>
      </c>
      <c r="D1432" s="36">
        <f>IF(R1432="","",IF(INDEX('Recurring Schedule'!$D$6:$D$45,R1432)="","",INDEX('Recurring Schedule'!$D$6:$D$45,R1432)))</f>
        <v/>
      </c>
      <c r="E1432" s="38">
        <f>IF(Q1432="","",INDEX(Calc!$A$2:$A$367,Q1432))</f>
        <v/>
      </c>
      <c r="F1432" s="68">
        <f>IF(OR(C1432="",E1432=""),"",E1432-Setup!$D$7)</f>
        <v/>
      </c>
      <c r="G1432" s="74">
        <f>IF(R1432="","",IF(INDEX('Recurring Schedule'!$H$6:$H$45,R1432)="","",INDEX('Recurring Schedule'!$H$6:$H$45,R1432)))</f>
        <v/>
      </c>
      <c r="H1432" s="74">
        <f>IF(R1432="","",IF(INDEX('Recurring Schedule'!$I$6:$I$45,R1432)="","",INDEX('Recurring Schedule'!$I$6:$I$45,R1432)))</f>
        <v/>
      </c>
      <c r="I1432" s="36">
        <f>IF(OR(G1432="",H1432=""),"",TRIM(IF(HOUR(H1432-G1432)&gt;0,HOUR(H1432-G1432)&amp;" hr ","")&amp;IF(MINUTE(H1432-G1432)&gt;0,MINUTE(H1432-G1432)&amp;" min","")))</f>
        <v/>
      </c>
      <c r="J1432" s="66" t="n"/>
      <c r="K1432" s="70" t="n"/>
      <c r="L1432" s="36">
        <f>IF(R1432="","",IF(INDEX('Recurring Schedule'!$J$6:$J$45,R1432)="","",INDEX('Recurring Schedule'!$J$6:$J$45,R1432)))</f>
        <v/>
      </c>
      <c r="M1432" s="36">
        <f>IF(R1432="","",IF(INDEX('Recurring Schedule'!$K$6:$K$45,R1432)="","",INDEX('Recurring Schedule'!$K$6:$K$45,R1432)))</f>
        <v/>
      </c>
      <c r="N1432" s="36">
        <f>IF(R1432="","",IF(INDEX('Recurring Schedule'!$L$6:$L$45,R1432)="","",INDEX('Recurring Schedule'!$L$6:$L$45,R1432)))</f>
        <v/>
      </c>
      <c r="O1432" s="36">
        <f>IF(C1432="","",IF(AND(OR(L1432="1-Urgent",L1432="2-High"),M1432="✓"),"DO FIRST",IF(M1432="✓","SCHEDULE",IF(OR(L1432="1-Urgent",L1432="2-High"),"DELEGATE","DELETE"))))</f>
        <v/>
      </c>
      <c r="P1432" s="65" t="n"/>
      <c r="Q1432">
        <f>IF(1427&gt;Calc!$AQ$368,"",MATCH(1426,Calc!$AQ$2:$AQ$367,1))</f>
        <v/>
      </c>
      <c r="R1432">
        <f>IF(Q1432="","",SMALL(INDEX(Calc!$B$2:$AO$367,Q1432,0),1427-INDEX(Calc!$AQ$2:$AQ$367,Q1432)))</f>
        <v/>
      </c>
    </row>
    <row r="1433">
      <c r="B1433" s="71">
        <f>IF(R1433="","",1428)</f>
        <v/>
      </c>
      <c r="C1433" s="75">
        <f>IF(R1433="","",IF(INDEX('Recurring Schedule'!$C$6:$C$45,R1433)="","",INDEX('Recurring Schedule'!$C$6:$C$45,R1433)))</f>
        <v/>
      </c>
      <c r="D1433" s="73">
        <f>IF(R1433="","",IF(INDEX('Recurring Schedule'!$D$6:$D$45,R1433)="","",INDEX('Recurring Schedule'!$D$6:$D$45,R1433)))</f>
        <v/>
      </c>
      <c r="E1433" s="76">
        <f>IF(Q1433="","",INDEX(Calc!$A$2:$A$367,Q1433))</f>
        <v/>
      </c>
      <c r="F1433" s="72">
        <f>IF(OR(C1433="",E1433=""),"",E1433-Setup!$D$7)</f>
        <v/>
      </c>
      <c r="G1433" s="77">
        <f>IF(R1433="","",IF(INDEX('Recurring Schedule'!$H$6:$H$45,R1433)="","",INDEX('Recurring Schedule'!$H$6:$H$45,R1433)))</f>
        <v/>
      </c>
      <c r="H1433" s="77">
        <f>IF(R1433="","",IF(INDEX('Recurring Schedule'!$I$6:$I$45,R1433)="","",INDEX('Recurring Schedule'!$I$6:$I$45,R1433)))</f>
        <v/>
      </c>
      <c r="I1433" s="73">
        <f>IF(OR(G1433="",H1433=""),"",TRIM(IF(HOUR(H1433-G1433)&gt;0,HOUR(H1433-G1433)&amp;" hr ","")&amp;IF(MINUTE(H1433-G1433)&gt;0,MINUTE(H1433-G1433)&amp;" min","")))</f>
        <v/>
      </c>
      <c r="J1433" s="66" t="n"/>
      <c r="K1433" s="70" t="n"/>
      <c r="L1433" s="73">
        <f>IF(R1433="","",IF(INDEX('Recurring Schedule'!$J$6:$J$45,R1433)="","",INDEX('Recurring Schedule'!$J$6:$J$45,R1433)))</f>
        <v/>
      </c>
      <c r="M1433" s="73">
        <f>IF(R1433="","",IF(INDEX('Recurring Schedule'!$K$6:$K$45,R1433)="","",INDEX('Recurring Schedule'!$K$6:$K$45,R1433)))</f>
        <v/>
      </c>
      <c r="N1433" s="73">
        <f>IF(R1433="","",IF(INDEX('Recurring Schedule'!$L$6:$L$45,R1433)="","",INDEX('Recurring Schedule'!$L$6:$L$45,R1433)))</f>
        <v/>
      </c>
      <c r="O1433" s="73">
        <f>IF(C1433="","",IF(AND(OR(L1433="1-Urgent",L1433="2-High"),M1433="✓"),"DO FIRST",IF(M1433="✓","SCHEDULE",IF(OR(L1433="1-Urgent",L1433="2-High"),"DELEGATE","DELETE"))))</f>
        <v/>
      </c>
      <c r="P1433" s="65" t="n"/>
      <c r="Q1433">
        <f>IF(1428&gt;Calc!$AQ$368,"",MATCH(1427,Calc!$AQ$2:$AQ$367,1))</f>
        <v/>
      </c>
      <c r="R1433">
        <f>IF(Q1433="","",SMALL(INDEX(Calc!$B$2:$AO$367,Q1433,0),1428-INDEX(Calc!$AQ$2:$AQ$367,Q1433)))</f>
        <v/>
      </c>
    </row>
    <row r="1434">
      <c r="B1434" s="64">
        <f>IF(R1434="","",1429)</f>
        <v/>
      </c>
      <c r="C1434" s="37">
        <f>IF(R1434="","",IF(INDEX('Recurring Schedule'!$C$6:$C$45,R1434)="","",INDEX('Recurring Schedule'!$C$6:$C$45,R1434)))</f>
        <v/>
      </c>
      <c r="D1434" s="36">
        <f>IF(R1434="","",IF(INDEX('Recurring Schedule'!$D$6:$D$45,R1434)="","",INDEX('Recurring Schedule'!$D$6:$D$45,R1434)))</f>
        <v/>
      </c>
      <c r="E1434" s="38">
        <f>IF(Q1434="","",INDEX(Calc!$A$2:$A$367,Q1434))</f>
        <v/>
      </c>
      <c r="F1434" s="68">
        <f>IF(OR(C1434="",E1434=""),"",E1434-Setup!$D$7)</f>
        <v/>
      </c>
      <c r="G1434" s="74">
        <f>IF(R1434="","",IF(INDEX('Recurring Schedule'!$H$6:$H$45,R1434)="","",INDEX('Recurring Schedule'!$H$6:$H$45,R1434)))</f>
        <v/>
      </c>
      <c r="H1434" s="74">
        <f>IF(R1434="","",IF(INDEX('Recurring Schedule'!$I$6:$I$45,R1434)="","",INDEX('Recurring Schedule'!$I$6:$I$45,R1434)))</f>
        <v/>
      </c>
      <c r="I1434" s="36">
        <f>IF(OR(G1434="",H1434=""),"",TRIM(IF(HOUR(H1434-G1434)&gt;0,HOUR(H1434-G1434)&amp;" hr ","")&amp;IF(MINUTE(H1434-G1434)&gt;0,MINUTE(H1434-G1434)&amp;" min","")))</f>
        <v/>
      </c>
      <c r="J1434" s="66" t="n"/>
      <c r="K1434" s="70" t="n"/>
      <c r="L1434" s="36">
        <f>IF(R1434="","",IF(INDEX('Recurring Schedule'!$J$6:$J$45,R1434)="","",INDEX('Recurring Schedule'!$J$6:$J$45,R1434)))</f>
        <v/>
      </c>
      <c r="M1434" s="36">
        <f>IF(R1434="","",IF(INDEX('Recurring Schedule'!$K$6:$K$45,R1434)="","",INDEX('Recurring Schedule'!$K$6:$K$45,R1434)))</f>
        <v/>
      </c>
      <c r="N1434" s="36">
        <f>IF(R1434="","",IF(INDEX('Recurring Schedule'!$L$6:$L$45,R1434)="","",INDEX('Recurring Schedule'!$L$6:$L$45,R1434)))</f>
        <v/>
      </c>
      <c r="O1434" s="36">
        <f>IF(C1434="","",IF(AND(OR(L1434="1-Urgent",L1434="2-High"),M1434="✓"),"DO FIRST",IF(M1434="✓","SCHEDULE",IF(OR(L1434="1-Urgent",L1434="2-High"),"DELEGATE","DELETE"))))</f>
        <v/>
      </c>
      <c r="P1434" s="65" t="n"/>
      <c r="Q1434">
        <f>IF(1429&gt;Calc!$AQ$368,"",MATCH(1428,Calc!$AQ$2:$AQ$367,1))</f>
        <v/>
      </c>
      <c r="R1434">
        <f>IF(Q1434="","",SMALL(INDEX(Calc!$B$2:$AO$367,Q1434,0),1429-INDEX(Calc!$AQ$2:$AQ$367,Q1434)))</f>
        <v/>
      </c>
    </row>
    <row r="1435">
      <c r="B1435" s="71">
        <f>IF(R1435="","",1430)</f>
        <v/>
      </c>
      <c r="C1435" s="75">
        <f>IF(R1435="","",IF(INDEX('Recurring Schedule'!$C$6:$C$45,R1435)="","",INDEX('Recurring Schedule'!$C$6:$C$45,R1435)))</f>
        <v/>
      </c>
      <c r="D1435" s="73">
        <f>IF(R1435="","",IF(INDEX('Recurring Schedule'!$D$6:$D$45,R1435)="","",INDEX('Recurring Schedule'!$D$6:$D$45,R1435)))</f>
        <v/>
      </c>
      <c r="E1435" s="76">
        <f>IF(Q1435="","",INDEX(Calc!$A$2:$A$367,Q1435))</f>
        <v/>
      </c>
      <c r="F1435" s="72">
        <f>IF(OR(C1435="",E1435=""),"",E1435-Setup!$D$7)</f>
        <v/>
      </c>
      <c r="G1435" s="77">
        <f>IF(R1435="","",IF(INDEX('Recurring Schedule'!$H$6:$H$45,R1435)="","",INDEX('Recurring Schedule'!$H$6:$H$45,R1435)))</f>
        <v/>
      </c>
      <c r="H1435" s="77">
        <f>IF(R1435="","",IF(INDEX('Recurring Schedule'!$I$6:$I$45,R1435)="","",INDEX('Recurring Schedule'!$I$6:$I$45,R1435)))</f>
        <v/>
      </c>
      <c r="I1435" s="73">
        <f>IF(OR(G1435="",H1435=""),"",TRIM(IF(HOUR(H1435-G1435)&gt;0,HOUR(H1435-G1435)&amp;" hr ","")&amp;IF(MINUTE(H1435-G1435)&gt;0,MINUTE(H1435-G1435)&amp;" min","")))</f>
        <v/>
      </c>
      <c r="J1435" s="66" t="n"/>
      <c r="K1435" s="70" t="n"/>
      <c r="L1435" s="73">
        <f>IF(R1435="","",IF(INDEX('Recurring Schedule'!$J$6:$J$45,R1435)="","",INDEX('Recurring Schedule'!$J$6:$J$45,R1435)))</f>
        <v/>
      </c>
      <c r="M1435" s="73">
        <f>IF(R1435="","",IF(INDEX('Recurring Schedule'!$K$6:$K$45,R1435)="","",INDEX('Recurring Schedule'!$K$6:$K$45,R1435)))</f>
        <v/>
      </c>
      <c r="N1435" s="73">
        <f>IF(R1435="","",IF(INDEX('Recurring Schedule'!$L$6:$L$45,R1435)="","",INDEX('Recurring Schedule'!$L$6:$L$45,R1435)))</f>
        <v/>
      </c>
      <c r="O1435" s="73">
        <f>IF(C1435="","",IF(AND(OR(L1435="1-Urgent",L1435="2-High"),M1435="✓"),"DO FIRST",IF(M1435="✓","SCHEDULE",IF(OR(L1435="1-Urgent",L1435="2-High"),"DELEGATE","DELETE"))))</f>
        <v/>
      </c>
      <c r="P1435" s="65" t="n"/>
      <c r="Q1435">
        <f>IF(1430&gt;Calc!$AQ$368,"",MATCH(1429,Calc!$AQ$2:$AQ$367,1))</f>
        <v/>
      </c>
      <c r="R1435">
        <f>IF(Q1435="","",SMALL(INDEX(Calc!$B$2:$AO$367,Q1435,0),1430-INDEX(Calc!$AQ$2:$AQ$367,Q1435)))</f>
        <v/>
      </c>
    </row>
    <row r="1436">
      <c r="B1436" s="64">
        <f>IF(R1436="","",1431)</f>
        <v/>
      </c>
      <c r="C1436" s="37">
        <f>IF(R1436="","",IF(INDEX('Recurring Schedule'!$C$6:$C$45,R1436)="","",INDEX('Recurring Schedule'!$C$6:$C$45,R1436)))</f>
        <v/>
      </c>
      <c r="D1436" s="36">
        <f>IF(R1436="","",IF(INDEX('Recurring Schedule'!$D$6:$D$45,R1436)="","",INDEX('Recurring Schedule'!$D$6:$D$45,R1436)))</f>
        <v/>
      </c>
      <c r="E1436" s="38">
        <f>IF(Q1436="","",INDEX(Calc!$A$2:$A$367,Q1436))</f>
        <v/>
      </c>
      <c r="F1436" s="68">
        <f>IF(OR(C1436="",E1436=""),"",E1436-Setup!$D$7)</f>
        <v/>
      </c>
      <c r="G1436" s="74">
        <f>IF(R1436="","",IF(INDEX('Recurring Schedule'!$H$6:$H$45,R1436)="","",INDEX('Recurring Schedule'!$H$6:$H$45,R1436)))</f>
        <v/>
      </c>
      <c r="H1436" s="74">
        <f>IF(R1436="","",IF(INDEX('Recurring Schedule'!$I$6:$I$45,R1436)="","",INDEX('Recurring Schedule'!$I$6:$I$45,R1436)))</f>
        <v/>
      </c>
      <c r="I1436" s="36">
        <f>IF(OR(G1436="",H1436=""),"",TRIM(IF(HOUR(H1436-G1436)&gt;0,HOUR(H1436-G1436)&amp;" hr ","")&amp;IF(MINUTE(H1436-G1436)&gt;0,MINUTE(H1436-G1436)&amp;" min","")))</f>
        <v/>
      </c>
      <c r="J1436" s="66" t="n"/>
      <c r="K1436" s="70" t="n"/>
      <c r="L1436" s="36">
        <f>IF(R1436="","",IF(INDEX('Recurring Schedule'!$J$6:$J$45,R1436)="","",INDEX('Recurring Schedule'!$J$6:$J$45,R1436)))</f>
        <v/>
      </c>
      <c r="M1436" s="36">
        <f>IF(R1436="","",IF(INDEX('Recurring Schedule'!$K$6:$K$45,R1436)="","",INDEX('Recurring Schedule'!$K$6:$K$45,R1436)))</f>
        <v/>
      </c>
      <c r="N1436" s="36">
        <f>IF(R1436="","",IF(INDEX('Recurring Schedule'!$L$6:$L$45,R1436)="","",INDEX('Recurring Schedule'!$L$6:$L$45,R1436)))</f>
        <v/>
      </c>
      <c r="O1436" s="36">
        <f>IF(C1436="","",IF(AND(OR(L1436="1-Urgent",L1436="2-High"),M1436="✓"),"DO FIRST",IF(M1436="✓","SCHEDULE",IF(OR(L1436="1-Urgent",L1436="2-High"),"DELEGATE","DELETE"))))</f>
        <v/>
      </c>
      <c r="P1436" s="65" t="n"/>
      <c r="Q1436">
        <f>IF(1431&gt;Calc!$AQ$368,"",MATCH(1430,Calc!$AQ$2:$AQ$367,1))</f>
        <v/>
      </c>
      <c r="R1436">
        <f>IF(Q1436="","",SMALL(INDEX(Calc!$B$2:$AO$367,Q1436,0),1431-INDEX(Calc!$AQ$2:$AQ$367,Q1436)))</f>
        <v/>
      </c>
    </row>
    <row r="1437">
      <c r="B1437" s="71">
        <f>IF(R1437="","",1432)</f>
        <v/>
      </c>
      <c r="C1437" s="75">
        <f>IF(R1437="","",IF(INDEX('Recurring Schedule'!$C$6:$C$45,R1437)="","",INDEX('Recurring Schedule'!$C$6:$C$45,R1437)))</f>
        <v/>
      </c>
      <c r="D1437" s="73">
        <f>IF(R1437="","",IF(INDEX('Recurring Schedule'!$D$6:$D$45,R1437)="","",INDEX('Recurring Schedule'!$D$6:$D$45,R1437)))</f>
        <v/>
      </c>
      <c r="E1437" s="76">
        <f>IF(Q1437="","",INDEX(Calc!$A$2:$A$367,Q1437))</f>
        <v/>
      </c>
      <c r="F1437" s="72">
        <f>IF(OR(C1437="",E1437=""),"",E1437-Setup!$D$7)</f>
        <v/>
      </c>
      <c r="G1437" s="77">
        <f>IF(R1437="","",IF(INDEX('Recurring Schedule'!$H$6:$H$45,R1437)="","",INDEX('Recurring Schedule'!$H$6:$H$45,R1437)))</f>
        <v/>
      </c>
      <c r="H1437" s="77">
        <f>IF(R1437="","",IF(INDEX('Recurring Schedule'!$I$6:$I$45,R1437)="","",INDEX('Recurring Schedule'!$I$6:$I$45,R1437)))</f>
        <v/>
      </c>
      <c r="I1437" s="73">
        <f>IF(OR(G1437="",H1437=""),"",TRIM(IF(HOUR(H1437-G1437)&gt;0,HOUR(H1437-G1437)&amp;" hr ","")&amp;IF(MINUTE(H1437-G1437)&gt;0,MINUTE(H1437-G1437)&amp;" min","")))</f>
        <v/>
      </c>
      <c r="J1437" s="66" t="n"/>
      <c r="K1437" s="70" t="n"/>
      <c r="L1437" s="73">
        <f>IF(R1437="","",IF(INDEX('Recurring Schedule'!$J$6:$J$45,R1437)="","",INDEX('Recurring Schedule'!$J$6:$J$45,R1437)))</f>
        <v/>
      </c>
      <c r="M1437" s="73">
        <f>IF(R1437="","",IF(INDEX('Recurring Schedule'!$K$6:$K$45,R1437)="","",INDEX('Recurring Schedule'!$K$6:$K$45,R1437)))</f>
        <v/>
      </c>
      <c r="N1437" s="73">
        <f>IF(R1437="","",IF(INDEX('Recurring Schedule'!$L$6:$L$45,R1437)="","",INDEX('Recurring Schedule'!$L$6:$L$45,R1437)))</f>
        <v/>
      </c>
      <c r="O1437" s="73">
        <f>IF(C1437="","",IF(AND(OR(L1437="1-Urgent",L1437="2-High"),M1437="✓"),"DO FIRST",IF(M1437="✓","SCHEDULE",IF(OR(L1437="1-Urgent",L1437="2-High"),"DELEGATE","DELETE"))))</f>
        <v/>
      </c>
      <c r="P1437" s="65" t="n"/>
      <c r="Q1437">
        <f>IF(1432&gt;Calc!$AQ$368,"",MATCH(1431,Calc!$AQ$2:$AQ$367,1))</f>
        <v/>
      </c>
      <c r="R1437">
        <f>IF(Q1437="","",SMALL(INDEX(Calc!$B$2:$AO$367,Q1437,0),1432-INDEX(Calc!$AQ$2:$AQ$367,Q1437)))</f>
        <v/>
      </c>
    </row>
    <row r="1438">
      <c r="B1438" s="64">
        <f>IF(R1438="","",1433)</f>
        <v/>
      </c>
      <c r="C1438" s="37">
        <f>IF(R1438="","",IF(INDEX('Recurring Schedule'!$C$6:$C$45,R1438)="","",INDEX('Recurring Schedule'!$C$6:$C$45,R1438)))</f>
        <v/>
      </c>
      <c r="D1438" s="36">
        <f>IF(R1438="","",IF(INDEX('Recurring Schedule'!$D$6:$D$45,R1438)="","",INDEX('Recurring Schedule'!$D$6:$D$45,R1438)))</f>
        <v/>
      </c>
      <c r="E1438" s="38">
        <f>IF(Q1438="","",INDEX(Calc!$A$2:$A$367,Q1438))</f>
        <v/>
      </c>
      <c r="F1438" s="68">
        <f>IF(OR(C1438="",E1438=""),"",E1438-Setup!$D$7)</f>
        <v/>
      </c>
      <c r="G1438" s="74">
        <f>IF(R1438="","",IF(INDEX('Recurring Schedule'!$H$6:$H$45,R1438)="","",INDEX('Recurring Schedule'!$H$6:$H$45,R1438)))</f>
        <v/>
      </c>
      <c r="H1438" s="74">
        <f>IF(R1438="","",IF(INDEX('Recurring Schedule'!$I$6:$I$45,R1438)="","",INDEX('Recurring Schedule'!$I$6:$I$45,R1438)))</f>
        <v/>
      </c>
      <c r="I1438" s="36">
        <f>IF(OR(G1438="",H1438=""),"",TRIM(IF(HOUR(H1438-G1438)&gt;0,HOUR(H1438-G1438)&amp;" hr ","")&amp;IF(MINUTE(H1438-G1438)&gt;0,MINUTE(H1438-G1438)&amp;" min","")))</f>
        <v/>
      </c>
      <c r="J1438" s="66" t="n"/>
      <c r="K1438" s="70" t="n"/>
      <c r="L1438" s="36">
        <f>IF(R1438="","",IF(INDEX('Recurring Schedule'!$J$6:$J$45,R1438)="","",INDEX('Recurring Schedule'!$J$6:$J$45,R1438)))</f>
        <v/>
      </c>
      <c r="M1438" s="36">
        <f>IF(R1438="","",IF(INDEX('Recurring Schedule'!$K$6:$K$45,R1438)="","",INDEX('Recurring Schedule'!$K$6:$K$45,R1438)))</f>
        <v/>
      </c>
      <c r="N1438" s="36">
        <f>IF(R1438="","",IF(INDEX('Recurring Schedule'!$L$6:$L$45,R1438)="","",INDEX('Recurring Schedule'!$L$6:$L$45,R1438)))</f>
        <v/>
      </c>
      <c r="O1438" s="36">
        <f>IF(C1438="","",IF(AND(OR(L1438="1-Urgent",L1438="2-High"),M1438="✓"),"DO FIRST",IF(M1438="✓","SCHEDULE",IF(OR(L1438="1-Urgent",L1438="2-High"),"DELEGATE","DELETE"))))</f>
        <v/>
      </c>
      <c r="P1438" s="65" t="n"/>
      <c r="Q1438">
        <f>IF(1433&gt;Calc!$AQ$368,"",MATCH(1432,Calc!$AQ$2:$AQ$367,1))</f>
        <v/>
      </c>
      <c r="R1438">
        <f>IF(Q1438="","",SMALL(INDEX(Calc!$B$2:$AO$367,Q1438,0),1433-INDEX(Calc!$AQ$2:$AQ$367,Q1438)))</f>
        <v/>
      </c>
    </row>
    <row r="1439">
      <c r="B1439" s="71">
        <f>IF(R1439="","",1434)</f>
        <v/>
      </c>
      <c r="C1439" s="75">
        <f>IF(R1439="","",IF(INDEX('Recurring Schedule'!$C$6:$C$45,R1439)="","",INDEX('Recurring Schedule'!$C$6:$C$45,R1439)))</f>
        <v/>
      </c>
      <c r="D1439" s="73">
        <f>IF(R1439="","",IF(INDEX('Recurring Schedule'!$D$6:$D$45,R1439)="","",INDEX('Recurring Schedule'!$D$6:$D$45,R1439)))</f>
        <v/>
      </c>
      <c r="E1439" s="76">
        <f>IF(Q1439="","",INDEX(Calc!$A$2:$A$367,Q1439))</f>
        <v/>
      </c>
      <c r="F1439" s="72">
        <f>IF(OR(C1439="",E1439=""),"",E1439-Setup!$D$7)</f>
        <v/>
      </c>
      <c r="G1439" s="77">
        <f>IF(R1439="","",IF(INDEX('Recurring Schedule'!$H$6:$H$45,R1439)="","",INDEX('Recurring Schedule'!$H$6:$H$45,R1439)))</f>
        <v/>
      </c>
      <c r="H1439" s="77">
        <f>IF(R1439="","",IF(INDEX('Recurring Schedule'!$I$6:$I$45,R1439)="","",INDEX('Recurring Schedule'!$I$6:$I$45,R1439)))</f>
        <v/>
      </c>
      <c r="I1439" s="73">
        <f>IF(OR(G1439="",H1439=""),"",TRIM(IF(HOUR(H1439-G1439)&gt;0,HOUR(H1439-G1439)&amp;" hr ","")&amp;IF(MINUTE(H1439-G1439)&gt;0,MINUTE(H1439-G1439)&amp;" min","")))</f>
        <v/>
      </c>
      <c r="J1439" s="66" t="n"/>
      <c r="K1439" s="70" t="n"/>
      <c r="L1439" s="73">
        <f>IF(R1439="","",IF(INDEX('Recurring Schedule'!$J$6:$J$45,R1439)="","",INDEX('Recurring Schedule'!$J$6:$J$45,R1439)))</f>
        <v/>
      </c>
      <c r="M1439" s="73">
        <f>IF(R1439="","",IF(INDEX('Recurring Schedule'!$K$6:$K$45,R1439)="","",INDEX('Recurring Schedule'!$K$6:$K$45,R1439)))</f>
        <v/>
      </c>
      <c r="N1439" s="73">
        <f>IF(R1439="","",IF(INDEX('Recurring Schedule'!$L$6:$L$45,R1439)="","",INDEX('Recurring Schedule'!$L$6:$L$45,R1439)))</f>
        <v/>
      </c>
      <c r="O1439" s="73">
        <f>IF(C1439="","",IF(AND(OR(L1439="1-Urgent",L1439="2-High"),M1439="✓"),"DO FIRST",IF(M1439="✓","SCHEDULE",IF(OR(L1439="1-Urgent",L1439="2-High"),"DELEGATE","DELETE"))))</f>
        <v/>
      </c>
      <c r="P1439" s="65" t="n"/>
      <c r="Q1439">
        <f>IF(1434&gt;Calc!$AQ$368,"",MATCH(1433,Calc!$AQ$2:$AQ$367,1))</f>
        <v/>
      </c>
      <c r="R1439">
        <f>IF(Q1439="","",SMALL(INDEX(Calc!$B$2:$AO$367,Q1439,0),1434-INDEX(Calc!$AQ$2:$AQ$367,Q1439)))</f>
        <v/>
      </c>
    </row>
    <row r="1440">
      <c r="B1440" s="64">
        <f>IF(R1440="","",1435)</f>
        <v/>
      </c>
      <c r="C1440" s="37">
        <f>IF(R1440="","",IF(INDEX('Recurring Schedule'!$C$6:$C$45,R1440)="","",INDEX('Recurring Schedule'!$C$6:$C$45,R1440)))</f>
        <v/>
      </c>
      <c r="D1440" s="36">
        <f>IF(R1440="","",IF(INDEX('Recurring Schedule'!$D$6:$D$45,R1440)="","",INDEX('Recurring Schedule'!$D$6:$D$45,R1440)))</f>
        <v/>
      </c>
      <c r="E1440" s="38">
        <f>IF(Q1440="","",INDEX(Calc!$A$2:$A$367,Q1440))</f>
        <v/>
      </c>
      <c r="F1440" s="68">
        <f>IF(OR(C1440="",E1440=""),"",E1440-Setup!$D$7)</f>
        <v/>
      </c>
      <c r="G1440" s="74">
        <f>IF(R1440="","",IF(INDEX('Recurring Schedule'!$H$6:$H$45,R1440)="","",INDEX('Recurring Schedule'!$H$6:$H$45,R1440)))</f>
        <v/>
      </c>
      <c r="H1440" s="74">
        <f>IF(R1440="","",IF(INDEX('Recurring Schedule'!$I$6:$I$45,R1440)="","",INDEX('Recurring Schedule'!$I$6:$I$45,R1440)))</f>
        <v/>
      </c>
      <c r="I1440" s="36">
        <f>IF(OR(G1440="",H1440=""),"",TRIM(IF(HOUR(H1440-G1440)&gt;0,HOUR(H1440-G1440)&amp;" hr ","")&amp;IF(MINUTE(H1440-G1440)&gt;0,MINUTE(H1440-G1440)&amp;" min","")))</f>
        <v/>
      </c>
      <c r="J1440" s="66" t="n"/>
      <c r="K1440" s="70" t="n"/>
      <c r="L1440" s="36">
        <f>IF(R1440="","",IF(INDEX('Recurring Schedule'!$J$6:$J$45,R1440)="","",INDEX('Recurring Schedule'!$J$6:$J$45,R1440)))</f>
        <v/>
      </c>
      <c r="M1440" s="36">
        <f>IF(R1440="","",IF(INDEX('Recurring Schedule'!$K$6:$K$45,R1440)="","",INDEX('Recurring Schedule'!$K$6:$K$45,R1440)))</f>
        <v/>
      </c>
      <c r="N1440" s="36">
        <f>IF(R1440="","",IF(INDEX('Recurring Schedule'!$L$6:$L$45,R1440)="","",INDEX('Recurring Schedule'!$L$6:$L$45,R1440)))</f>
        <v/>
      </c>
      <c r="O1440" s="36">
        <f>IF(C1440="","",IF(AND(OR(L1440="1-Urgent",L1440="2-High"),M1440="✓"),"DO FIRST",IF(M1440="✓","SCHEDULE",IF(OR(L1440="1-Urgent",L1440="2-High"),"DELEGATE","DELETE"))))</f>
        <v/>
      </c>
      <c r="P1440" s="65" t="n"/>
      <c r="Q1440">
        <f>IF(1435&gt;Calc!$AQ$368,"",MATCH(1434,Calc!$AQ$2:$AQ$367,1))</f>
        <v/>
      </c>
      <c r="R1440">
        <f>IF(Q1440="","",SMALL(INDEX(Calc!$B$2:$AO$367,Q1440,0),1435-INDEX(Calc!$AQ$2:$AQ$367,Q1440)))</f>
        <v/>
      </c>
    </row>
    <row r="1441">
      <c r="B1441" s="71">
        <f>IF(R1441="","",1436)</f>
        <v/>
      </c>
      <c r="C1441" s="75">
        <f>IF(R1441="","",IF(INDEX('Recurring Schedule'!$C$6:$C$45,R1441)="","",INDEX('Recurring Schedule'!$C$6:$C$45,R1441)))</f>
        <v/>
      </c>
      <c r="D1441" s="73">
        <f>IF(R1441="","",IF(INDEX('Recurring Schedule'!$D$6:$D$45,R1441)="","",INDEX('Recurring Schedule'!$D$6:$D$45,R1441)))</f>
        <v/>
      </c>
      <c r="E1441" s="76">
        <f>IF(Q1441="","",INDEX(Calc!$A$2:$A$367,Q1441))</f>
        <v/>
      </c>
      <c r="F1441" s="72">
        <f>IF(OR(C1441="",E1441=""),"",E1441-Setup!$D$7)</f>
        <v/>
      </c>
      <c r="G1441" s="77">
        <f>IF(R1441="","",IF(INDEX('Recurring Schedule'!$H$6:$H$45,R1441)="","",INDEX('Recurring Schedule'!$H$6:$H$45,R1441)))</f>
        <v/>
      </c>
      <c r="H1441" s="77">
        <f>IF(R1441="","",IF(INDEX('Recurring Schedule'!$I$6:$I$45,R1441)="","",INDEX('Recurring Schedule'!$I$6:$I$45,R1441)))</f>
        <v/>
      </c>
      <c r="I1441" s="73">
        <f>IF(OR(G1441="",H1441=""),"",TRIM(IF(HOUR(H1441-G1441)&gt;0,HOUR(H1441-G1441)&amp;" hr ","")&amp;IF(MINUTE(H1441-G1441)&gt;0,MINUTE(H1441-G1441)&amp;" min","")))</f>
        <v/>
      </c>
      <c r="J1441" s="66" t="n"/>
      <c r="K1441" s="70" t="n"/>
      <c r="L1441" s="73">
        <f>IF(R1441="","",IF(INDEX('Recurring Schedule'!$J$6:$J$45,R1441)="","",INDEX('Recurring Schedule'!$J$6:$J$45,R1441)))</f>
        <v/>
      </c>
      <c r="M1441" s="73">
        <f>IF(R1441="","",IF(INDEX('Recurring Schedule'!$K$6:$K$45,R1441)="","",INDEX('Recurring Schedule'!$K$6:$K$45,R1441)))</f>
        <v/>
      </c>
      <c r="N1441" s="73">
        <f>IF(R1441="","",IF(INDEX('Recurring Schedule'!$L$6:$L$45,R1441)="","",INDEX('Recurring Schedule'!$L$6:$L$45,R1441)))</f>
        <v/>
      </c>
      <c r="O1441" s="73">
        <f>IF(C1441="","",IF(AND(OR(L1441="1-Urgent",L1441="2-High"),M1441="✓"),"DO FIRST",IF(M1441="✓","SCHEDULE",IF(OR(L1441="1-Urgent",L1441="2-High"),"DELEGATE","DELETE"))))</f>
        <v/>
      </c>
      <c r="P1441" s="65" t="n"/>
      <c r="Q1441">
        <f>IF(1436&gt;Calc!$AQ$368,"",MATCH(1435,Calc!$AQ$2:$AQ$367,1))</f>
        <v/>
      </c>
      <c r="R1441">
        <f>IF(Q1441="","",SMALL(INDEX(Calc!$B$2:$AO$367,Q1441,0),1436-INDEX(Calc!$AQ$2:$AQ$367,Q1441)))</f>
        <v/>
      </c>
    </row>
    <row r="1442">
      <c r="B1442" s="64">
        <f>IF(R1442="","",1437)</f>
        <v/>
      </c>
      <c r="C1442" s="37">
        <f>IF(R1442="","",IF(INDEX('Recurring Schedule'!$C$6:$C$45,R1442)="","",INDEX('Recurring Schedule'!$C$6:$C$45,R1442)))</f>
        <v/>
      </c>
      <c r="D1442" s="36">
        <f>IF(R1442="","",IF(INDEX('Recurring Schedule'!$D$6:$D$45,R1442)="","",INDEX('Recurring Schedule'!$D$6:$D$45,R1442)))</f>
        <v/>
      </c>
      <c r="E1442" s="38">
        <f>IF(Q1442="","",INDEX(Calc!$A$2:$A$367,Q1442))</f>
        <v/>
      </c>
      <c r="F1442" s="68">
        <f>IF(OR(C1442="",E1442=""),"",E1442-Setup!$D$7)</f>
        <v/>
      </c>
      <c r="G1442" s="74">
        <f>IF(R1442="","",IF(INDEX('Recurring Schedule'!$H$6:$H$45,R1442)="","",INDEX('Recurring Schedule'!$H$6:$H$45,R1442)))</f>
        <v/>
      </c>
      <c r="H1442" s="74">
        <f>IF(R1442="","",IF(INDEX('Recurring Schedule'!$I$6:$I$45,R1442)="","",INDEX('Recurring Schedule'!$I$6:$I$45,R1442)))</f>
        <v/>
      </c>
      <c r="I1442" s="36">
        <f>IF(OR(G1442="",H1442=""),"",TRIM(IF(HOUR(H1442-G1442)&gt;0,HOUR(H1442-G1442)&amp;" hr ","")&amp;IF(MINUTE(H1442-G1442)&gt;0,MINUTE(H1442-G1442)&amp;" min","")))</f>
        <v/>
      </c>
      <c r="J1442" s="66" t="n"/>
      <c r="K1442" s="70" t="n"/>
      <c r="L1442" s="36">
        <f>IF(R1442="","",IF(INDEX('Recurring Schedule'!$J$6:$J$45,R1442)="","",INDEX('Recurring Schedule'!$J$6:$J$45,R1442)))</f>
        <v/>
      </c>
      <c r="M1442" s="36">
        <f>IF(R1442="","",IF(INDEX('Recurring Schedule'!$K$6:$K$45,R1442)="","",INDEX('Recurring Schedule'!$K$6:$K$45,R1442)))</f>
        <v/>
      </c>
      <c r="N1442" s="36">
        <f>IF(R1442="","",IF(INDEX('Recurring Schedule'!$L$6:$L$45,R1442)="","",INDEX('Recurring Schedule'!$L$6:$L$45,R1442)))</f>
        <v/>
      </c>
      <c r="O1442" s="36">
        <f>IF(C1442="","",IF(AND(OR(L1442="1-Urgent",L1442="2-High"),M1442="✓"),"DO FIRST",IF(M1442="✓","SCHEDULE",IF(OR(L1442="1-Urgent",L1442="2-High"),"DELEGATE","DELETE"))))</f>
        <v/>
      </c>
      <c r="P1442" s="65" t="n"/>
      <c r="Q1442">
        <f>IF(1437&gt;Calc!$AQ$368,"",MATCH(1436,Calc!$AQ$2:$AQ$367,1))</f>
        <v/>
      </c>
      <c r="R1442">
        <f>IF(Q1442="","",SMALL(INDEX(Calc!$B$2:$AO$367,Q1442,0),1437-INDEX(Calc!$AQ$2:$AQ$367,Q1442)))</f>
        <v/>
      </c>
    </row>
    <row r="1443">
      <c r="B1443" s="71">
        <f>IF(R1443="","",1438)</f>
        <v/>
      </c>
      <c r="C1443" s="75">
        <f>IF(R1443="","",IF(INDEX('Recurring Schedule'!$C$6:$C$45,R1443)="","",INDEX('Recurring Schedule'!$C$6:$C$45,R1443)))</f>
        <v/>
      </c>
      <c r="D1443" s="73">
        <f>IF(R1443="","",IF(INDEX('Recurring Schedule'!$D$6:$D$45,R1443)="","",INDEX('Recurring Schedule'!$D$6:$D$45,R1443)))</f>
        <v/>
      </c>
      <c r="E1443" s="76">
        <f>IF(Q1443="","",INDEX(Calc!$A$2:$A$367,Q1443))</f>
        <v/>
      </c>
      <c r="F1443" s="72">
        <f>IF(OR(C1443="",E1443=""),"",E1443-Setup!$D$7)</f>
        <v/>
      </c>
      <c r="G1443" s="77">
        <f>IF(R1443="","",IF(INDEX('Recurring Schedule'!$H$6:$H$45,R1443)="","",INDEX('Recurring Schedule'!$H$6:$H$45,R1443)))</f>
        <v/>
      </c>
      <c r="H1443" s="77">
        <f>IF(R1443="","",IF(INDEX('Recurring Schedule'!$I$6:$I$45,R1443)="","",INDEX('Recurring Schedule'!$I$6:$I$45,R1443)))</f>
        <v/>
      </c>
      <c r="I1443" s="73">
        <f>IF(OR(G1443="",H1443=""),"",TRIM(IF(HOUR(H1443-G1443)&gt;0,HOUR(H1443-G1443)&amp;" hr ","")&amp;IF(MINUTE(H1443-G1443)&gt;0,MINUTE(H1443-G1443)&amp;" min","")))</f>
        <v/>
      </c>
      <c r="J1443" s="66" t="n"/>
      <c r="K1443" s="70" t="n"/>
      <c r="L1443" s="73">
        <f>IF(R1443="","",IF(INDEX('Recurring Schedule'!$J$6:$J$45,R1443)="","",INDEX('Recurring Schedule'!$J$6:$J$45,R1443)))</f>
        <v/>
      </c>
      <c r="M1443" s="73">
        <f>IF(R1443="","",IF(INDEX('Recurring Schedule'!$K$6:$K$45,R1443)="","",INDEX('Recurring Schedule'!$K$6:$K$45,R1443)))</f>
        <v/>
      </c>
      <c r="N1443" s="73">
        <f>IF(R1443="","",IF(INDEX('Recurring Schedule'!$L$6:$L$45,R1443)="","",INDEX('Recurring Schedule'!$L$6:$L$45,R1443)))</f>
        <v/>
      </c>
      <c r="O1443" s="73">
        <f>IF(C1443="","",IF(AND(OR(L1443="1-Urgent",L1443="2-High"),M1443="✓"),"DO FIRST",IF(M1443="✓","SCHEDULE",IF(OR(L1443="1-Urgent",L1443="2-High"),"DELEGATE","DELETE"))))</f>
        <v/>
      </c>
      <c r="P1443" s="65" t="n"/>
      <c r="Q1443">
        <f>IF(1438&gt;Calc!$AQ$368,"",MATCH(1437,Calc!$AQ$2:$AQ$367,1))</f>
        <v/>
      </c>
      <c r="R1443">
        <f>IF(Q1443="","",SMALL(INDEX(Calc!$B$2:$AO$367,Q1443,0),1438-INDEX(Calc!$AQ$2:$AQ$367,Q1443)))</f>
        <v/>
      </c>
    </row>
    <row r="1444">
      <c r="B1444" s="64">
        <f>IF(R1444="","",1439)</f>
        <v/>
      </c>
      <c r="C1444" s="37">
        <f>IF(R1444="","",IF(INDEX('Recurring Schedule'!$C$6:$C$45,R1444)="","",INDEX('Recurring Schedule'!$C$6:$C$45,R1444)))</f>
        <v/>
      </c>
      <c r="D1444" s="36">
        <f>IF(R1444="","",IF(INDEX('Recurring Schedule'!$D$6:$D$45,R1444)="","",INDEX('Recurring Schedule'!$D$6:$D$45,R1444)))</f>
        <v/>
      </c>
      <c r="E1444" s="38">
        <f>IF(Q1444="","",INDEX(Calc!$A$2:$A$367,Q1444))</f>
        <v/>
      </c>
      <c r="F1444" s="68">
        <f>IF(OR(C1444="",E1444=""),"",E1444-Setup!$D$7)</f>
        <v/>
      </c>
      <c r="G1444" s="74">
        <f>IF(R1444="","",IF(INDEX('Recurring Schedule'!$H$6:$H$45,R1444)="","",INDEX('Recurring Schedule'!$H$6:$H$45,R1444)))</f>
        <v/>
      </c>
      <c r="H1444" s="74">
        <f>IF(R1444="","",IF(INDEX('Recurring Schedule'!$I$6:$I$45,R1444)="","",INDEX('Recurring Schedule'!$I$6:$I$45,R1444)))</f>
        <v/>
      </c>
      <c r="I1444" s="36">
        <f>IF(OR(G1444="",H1444=""),"",TRIM(IF(HOUR(H1444-G1444)&gt;0,HOUR(H1444-G1444)&amp;" hr ","")&amp;IF(MINUTE(H1444-G1444)&gt;0,MINUTE(H1444-G1444)&amp;" min","")))</f>
        <v/>
      </c>
      <c r="J1444" s="66" t="n"/>
      <c r="K1444" s="70" t="n"/>
      <c r="L1444" s="36">
        <f>IF(R1444="","",IF(INDEX('Recurring Schedule'!$J$6:$J$45,R1444)="","",INDEX('Recurring Schedule'!$J$6:$J$45,R1444)))</f>
        <v/>
      </c>
      <c r="M1444" s="36">
        <f>IF(R1444="","",IF(INDEX('Recurring Schedule'!$K$6:$K$45,R1444)="","",INDEX('Recurring Schedule'!$K$6:$K$45,R1444)))</f>
        <v/>
      </c>
      <c r="N1444" s="36">
        <f>IF(R1444="","",IF(INDEX('Recurring Schedule'!$L$6:$L$45,R1444)="","",INDEX('Recurring Schedule'!$L$6:$L$45,R1444)))</f>
        <v/>
      </c>
      <c r="O1444" s="36">
        <f>IF(C1444="","",IF(AND(OR(L1444="1-Urgent",L1444="2-High"),M1444="✓"),"DO FIRST",IF(M1444="✓","SCHEDULE",IF(OR(L1444="1-Urgent",L1444="2-High"),"DELEGATE","DELETE"))))</f>
        <v/>
      </c>
      <c r="P1444" s="65" t="n"/>
      <c r="Q1444">
        <f>IF(1439&gt;Calc!$AQ$368,"",MATCH(1438,Calc!$AQ$2:$AQ$367,1))</f>
        <v/>
      </c>
      <c r="R1444">
        <f>IF(Q1444="","",SMALL(INDEX(Calc!$B$2:$AO$367,Q1444,0),1439-INDEX(Calc!$AQ$2:$AQ$367,Q1444)))</f>
        <v/>
      </c>
    </row>
    <row r="1445">
      <c r="B1445" s="71">
        <f>IF(R1445="","",1440)</f>
        <v/>
      </c>
      <c r="C1445" s="75">
        <f>IF(R1445="","",IF(INDEX('Recurring Schedule'!$C$6:$C$45,R1445)="","",INDEX('Recurring Schedule'!$C$6:$C$45,R1445)))</f>
        <v/>
      </c>
      <c r="D1445" s="73">
        <f>IF(R1445="","",IF(INDEX('Recurring Schedule'!$D$6:$D$45,R1445)="","",INDEX('Recurring Schedule'!$D$6:$D$45,R1445)))</f>
        <v/>
      </c>
      <c r="E1445" s="76">
        <f>IF(Q1445="","",INDEX(Calc!$A$2:$A$367,Q1445))</f>
        <v/>
      </c>
      <c r="F1445" s="72">
        <f>IF(OR(C1445="",E1445=""),"",E1445-Setup!$D$7)</f>
        <v/>
      </c>
      <c r="G1445" s="77">
        <f>IF(R1445="","",IF(INDEX('Recurring Schedule'!$H$6:$H$45,R1445)="","",INDEX('Recurring Schedule'!$H$6:$H$45,R1445)))</f>
        <v/>
      </c>
      <c r="H1445" s="77">
        <f>IF(R1445="","",IF(INDEX('Recurring Schedule'!$I$6:$I$45,R1445)="","",INDEX('Recurring Schedule'!$I$6:$I$45,R1445)))</f>
        <v/>
      </c>
      <c r="I1445" s="73">
        <f>IF(OR(G1445="",H1445=""),"",TRIM(IF(HOUR(H1445-G1445)&gt;0,HOUR(H1445-G1445)&amp;" hr ","")&amp;IF(MINUTE(H1445-G1445)&gt;0,MINUTE(H1445-G1445)&amp;" min","")))</f>
        <v/>
      </c>
      <c r="J1445" s="66" t="n"/>
      <c r="K1445" s="70" t="n"/>
      <c r="L1445" s="73">
        <f>IF(R1445="","",IF(INDEX('Recurring Schedule'!$J$6:$J$45,R1445)="","",INDEX('Recurring Schedule'!$J$6:$J$45,R1445)))</f>
        <v/>
      </c>
      <c r="M1445" s="73">
        <f>IF(R1445="","",IF(INDEX('Recurring Schedule'!$K$6:$K$45,R1445)="","",INDEX('Recurring Schedule'!$K$6:$K$45,R1445)))</f>
        <v/>
      </c>
      <c r="N1445" s="73">
        <f>IF(R1445="","",IF(INDEX('Recurring Schedule'!$L$6:$L$45,R1445)="","",INDEX('Recurring Schedule'!$L$6:$L$45,R1445)))</f>
        <v/>
      </c>
      <c r="O1445" s="73">
        <f>IF(C1445="","",IF(AND(OR(L1445="1-Urgent",L1445="2-High"),M1445="✓"),"DO FIRST",IF(M1445="✓","SCHEDULE",IF(OR(L1445="1-Urgent",L1445="2-High"),"DELEGATE","DELETE"))))</f>
        <v/>
      </c>
      <c r="P1445" s="65" t="n"/>
      <c r="Q1445">
        <f>IF(1440&gt;Calc!$AQ$368,"",MATCH(1439,Calc!$AQ$2:$AQ$367,1))</f>
        <v/>
      </c>
      <c r="R1445">
        <f>IF(Q1445="","",SMALL(INDEX(Calc!$B$2:$AO$367,Q1445,0),1440-INDEX(Calc!$AQ$2:$AQ$367,Q1445)))</f>
        <v/>
      </c>
    </row>
    <row r="1446">
      <c r="B1446" s="64">
        <f>IF(R1446="","",1441)</f>
        <v/>
      </c>
      <c r="C1446" s="37">
        <f>IF(R1446="","",IF(INDEX('Recurring Schedule'!$C$6:$C$45,R1446)="","",INDEX('Recurring Schedule'!$C$6:$C$45,R1446)))</f>
        <v/>
      </c>
      <c r="D1446" s="36">
        <f>IF(R1446="","",IF(INDEX('Recurring Schedule'!$D$6:$D$45,R1446)="","",INDEX('Recurring Schedule'!$D$6:$D$45,R1446)))</f>
        <v/>
      </c>
      <c r="E1446" s="38">
        <f>IF(Q1446="","",INDEX(Calc!$A$2:$A$367,Q1446))</f>
        <v/>
      </c>
      <c r="F1446" s="68">
        <f>IF(OR(C1446="",E1446=""),"",E1446-Setup!$D$7)</f>
        <v/>
      </c>
      <c r="G1446" s="74">
        <f>IF(R1446="","",IF(INDEX('Recurring Schedule'!$H$6:$H$45,R1446)="","",INDEX('Recurring Schedule'!$H$6:$H$45,R1446)))</f>
        <v/>
      </c>
      <c r="H1446" s="74">
        <f>IF(R1446="","",IF(INDEX('Recurring Schedule'!$I$6:$I$45,R1446)="","",INDEX('Recurring Schedule'!$I$6:$I$45,R1446)))</f>
        <v/>
      </c>
      <c r="I1446" s="36">
        <f>IF(OR(G1446="",H1446=""),"",TRIM(IF(HOUR(H1446-G1446)&gt;0,HOUR(H1446-G1446)&amp;" hr ","")&amp;IF(MINUTE(H1446-G1446)&gt;0,MINUTE(H1446-G1446)&amp;" min","")))</f>
        <v/>
      </c>
      <c r="J1446" s="66" t="n"/>
      <c r="K1446" s="70" t="n"/>
      <c r="L1446" s="36">
        <f>IF(R1446="","",IF(INDEX('Recurring Schedule'!$J$6:$J$45,R1446)="","",INDEX('Recurring Schedule'!$J$6:$J$45,R1446)))</f>
        <v/>
      </c>
      <c r="M1446" s="36">
        <f>IF(R1446="","",IF(INDEX('Recurring Schedule'!$K$6:$K$45,R1446)="","",INDEX('Recurring Schedule'!$K$6:$K$45,R1446)))</f>
        <v/>
      </c>
      <c r="N1446" s="36">
        <f>IF(R1446="","",IF(INDEX('Recurring Schedule'!$L$6:$L$45,R1446)="","",INDEX('Recurring Schedule'!$L$6:$L$45,R1446)))</f>
        <v/>
      </c>
      <c r="O1446" s="36">
        <f>IF(C1446="","",IF(AND(OR(L1446="1-Urgent",L1446="2-High"),M1446="✓"),"DO FIRST",IF(M1446="✓","SCHEDULE",IF(OR(L1446="1-Urgent",L1446="2-High"),"DELEGATE","DELETE"))))</f>
        <v/>
      </c>
      <c r="P1446" s="65" t="n"/>
      <c r="Q1446">
        <f>IF(1441&gt;Calc!$AQ$368,"",MATCH(1440,Calc!$AQ$2:$AQ$367,1))</f>
        <v/>
      </c>
      <c r="R1446">
        <f>IF(Q1446="","",SMALL(INDEX(Calc!$B$2:$AO$367,Q1446,0),1441-INDEX(Calc!$AQ$2:$AQ$367,Q1446)))</f>
        <v/>
      </c>
    </row>
    <row r="1447">
      <c r="B1447" s="71">
        <f>IF(R1447="","",1442)</f>
        <v/>
      </c>
      <c r="C1447" s="75">
        <f>IF(R1447="","",IF(INDEX('Recurring Schedule'!$C$6:$C$45,R1447)="","",INDEX('Recurring Schedule'!$C$6:$C$45,R1447)))</f>
        <v/>
      </c>
      <c r="D1447" s="73">
        <f>IF(R1447="","",IF(INDEX('Recurring Schedule'!$D$6:$D$45,R1447)="","",INDEX('Recurring Schedule'!$D$6:$D$45,R1447)))</f>
        <v/>
      </c>
      <c r="E1447" s="76">
        <f>IF(Q1447="","",INDEX(Calc!$A$2:$A$367,Q1447))</f>
        <v/>
      </c>
      <c r="F1447" s="72">
        <f>IF(OR(C1447="",E1447=""),"",E1447-Setup!$D$7)</f>
        <v/>
      </c>
      <c r="G1447" s="77">
        <f>IF(R1447="","",IF(INDEX('Recurring Schedule'!$H$6:$H$45,R1447)="","",INDEX('Recurring Schedule'!$H$6:$H$45,R1447)))</f>
        <v/>
      </c>
      <c r="H1447" s="77">
        <f>IF(R1447="","",IF(INDEX('Recurring Schedule'!$I$6:$I$45,R1447)="","",INDEX('Recurring Schedule'!$I$6:$I$45,R1447)))</f>
        <v/>
      </c>
      <c r="I1447" s="73">
        <f>IF(OR(G1447="",H1447=""),"",TRIM(IF(HOUR(H1447-G1447)&gt;0,HOUR(H1447-G1447)&amp;" hr ","")&amp;IF(MINUTE(H1447-G1447)&gt;0,MINUTE(H1447-G1447)&amp;" min","")))</f>
        <v/>
      </c>
      <c r="J1447" s="66" t="n"/>
      <c r="K1447" s="70" t="n"/>
      <c r="L1447" s="73">
        <f>IF(R1447="","",IF(INDEX('Recurring Schedule'!$J$6:$J$45,R1447)="","",INDEX('Recurring Schedule'!$J$6:$J$45,R1447)))</f>
        <v/>
      </c>
      <c r="M1447" s="73">
        <f>IF(R1447="","",IF(INDEX('Recurring Schedule'!$K$6:$K$45,R1447)="","",INDEX('Recurring Schedule'!$K$6:$K$45,R1447)))</f>
        <v/>
      </c>
      <c r="N1447" s="73">
        <f>IF(R1447="","",IF(INDEX('Recurring Schedule'!$L$6:$L$45,R1447)="","",INDEX('Recurring Schedule'!$L$6:$L$45,R1447)))</f>
        <v/>
      </c>
      <c r="O1447" s="73">
        <f>IF(C1447="","",IF(AND(OR(L1447="1-Urgent",L1447="2-High"),M1447="✓"),"DO FIRST",IF(M1447="✓","SCHEDULE",IF(OR(L1447="1-Urgent",L1447="2-High"),"DELEGATE","DELETE"))))</f>
        <v/>
      </c>
      <c r="P1447" s="65" t="n"/>
      <c r="Q1447">
        <f>IF(1442&gt;Calc!$AQ$368,"",MATCH(1441,Calc!$AQ$2:$AQ$367,1))</f>
        <v/>
      </c>
      <c r="R1447">
        <f>IF(Q1447="","",SMALL(INDEX(Calc!$B$2:$AO$367,Q1447,0),1442-INDEX(Calc!$AQ$2:$AQ$367,Q1447)))</f>
        <v/>
      </c>
    </row>
    <row r="1448">
      <c r="B1448" s="64">
        <f>IF(R1448="","",1443)</f>
        <v/>
      </c>
      <c r="C1448" s="37">
        <f>IF(R1448="","",IF(INDEX('Recurring Schedule'!$C$6:$C$45,R1448)="","",INDEX('Recurring Schedule'!$C$6:$C$45,R1448)))</f>
        <v/>
      </c>
      <c r="D1448" s="36">
        <f>IF(R1448="","",IF(INDEX('Recurring Schedule'!$D$6:$D$45,R1448)="","",INDEX('Recurring Schedule'!$D$6:$D$45,R1448)))</f>
        <v/>
      </c>
      <c r="E1448" s="38">
        <f>IF(Q1448="","",INDEX(Calc!$A$2:$A$367,Q1448))</f>
        <v/>
      </c>
      <c r="F1448" s="68">
        <f>IF(OR(C1448="",E1448=""),"",E1448-Setup!$D$7)</f>
        <v/>
      </c>
      <c r="G1448" s="74">
        <f>IF(R1448="","",IF(INDEX('Recurring Schedule'!$H$6:$H$45,R1448)="","",INDEX('Recurring Schedule'!$H$6:$H$45,R1448)))</f>
        <v/>
      </c>
      <c r="H1448" s="74">
        <f>IF(R1448="","",IF(INDEX('Recurring Schedule'!$I$6:$I$45,R1448)="","",INDEX('Recurring Schedule'!$I$6:$I$45,R1448)))</f>
        <v/>
      </c>
      <c r="I1448" s="36">
        <f>IF(OR(G1448="",H1448=""),"",TRIM(IF(HOUR(H1448-G1448)&gt;0,HOUR(H1448-G1448)&amp;" hr ","")&amp;IF(MINUTE(H1448-G1448)&gt;0,MINUTE(H1448-G1448)&amp;" min","")))</f>
        <v/>
      </c>
      <c r="J1448" s="66" t="n"/>
      <c r="K1448" s="70" t="n"/>
      <c r="L1448" s="36">
        <f>IF(R1448="","",IF(INDEX('Recurring Schedule'!$J$6:$J$45,R1448)="","",INDEX('Recurring Schedule'!$J$6:$J$45,R1448)))</f>
        <v/>
      </c>
      <c r="M1448" s="36">
        <f>IF(R1448="","",IF(INDEX('Recurring Schedule'!$K$6:$K$45,R1448)="","",INDEX('Recurring Schedule'!$K$6:$K$45,R1448)))</f>
        <v/>
      </c>
      <c r="N1448" s="36">
        <f>IF(R1448="","",IF(INDEX('Recurring Schedule'!$L$6:$L$45,R1448)="","",INDEX('Recurring Schedule'!$L$6:$L$45,R1448)))</f>
        <v/>
      </c>
      <c r="O1448" s="36">
        <f>IF(C1448="","",IF(AND(OR(L1448="1-Urgent",L1448="2-High"),M1448="✓"),"DO FIRST",IF(M1448="✓","SCHEDULE",IF(OR(L1448="1-Urgent",L1448="2-High"),"DELEGATE","DELETE"))))</f>
        <v/>
      </c>
      <c r="P1448" s="65" t="n"/>
      <c r="Q1448">
        <f>IF(1443&gt;Calc!$AQ$368,"",MATCH(1442,Calc!$AQ$2:$AQ$367,1))</f>
        <v/>
      </c>
      <c r="R1448">
        <f>IF(Q1448="","",SMALL(INDEX(Calc!$B$2:$AO$367,Q1448,0),1443-INDEX(Calc!$AQ$2:$AQ$367,Q1448)))</f>
        <v/>
      </c>
    </row>
    <row r="1449">
      <c r="B1449" s="71">
        <f>IF(R1449="","",1444)</f>
        <v/>
      </c>
      <c r="C1449" s="75">
        <f>IF(R1449="","",IF(INDEX('Recurring Schedule'!$C$6:$C$45,R1449)="","",INDEX('Recurring Schedule'!$C$6:$C$45,R1449)))</f>
        <v/>
      </c>
      <c r="D1449" s="73">
        <f>IF(R1449="","",IF(INDEX('Recurring Schedule'!$D$6:$D$45,R1449)="","",INDEX('Recurring Schedule'!$D$6:$D$45,R1449)))</f>
        <v/>
      </c>
      <c r="E1449" s="76">
        <f>IF(Q1449="","",INDEX(Calc!$A$2:$A$367,Q1449))</f>
        <v/>
      </c>
      <c r="F1449" s="72">
        <f>IF(OR(C1449="",E1449=""),"",E1449-Setup!$D$7)</f>
        <v/>
      </c>
      <c r="G1449" s="77">
        <f>IF(R1449="","",IF(INDEX('Recurring Schedule'!$H$6:$H$45,R1449)="","",INDEX('Recurring Schedule'!$H$6:$H$45,R1449)))</f>
        <v/>
      </c>
      <c r="H1449" s="77">
        <f>IF(R1449="","",IF(INDEX('Recurring Schedule'!$I$6:$I$45,R1449)="","",INDEX('Recurring Schedule'!$I$6:$I$45,R1449)))</f>
        <v/>
      </c>
      <c r="I1449" s="73">
        <f>IF(OR(G1449="",H1449=""),"",TRIM(IF(HOUR(H1449-G1449)&gt;0,HOUR(H1449-G1449)&amp;" hr ","")&amp;IF(MINUTE(H1449-G1449)&gt;0,MINUTE(H1449-G1449)&amp;" min","")))</f>
        <v/>
      </c>
      <c r="J1449" s="66" t="n"/>
      <c r="K1449" s="70" t="n"/>
      <c r="L1449" s="73">
        <f>IF(R1449="","",IF(INDEX('Recurring Schedule'!$J$6:$J$45,R1449)="","",INDEX('Recurring Schedule'!$J$6:$J$45,R1449)))</f>
        <v/>
      </c>
      <c r="M1449" s="73">
        <f>IF(R1449="","",IF(INDEX('Recurring Schedule'!$K$6:$K$45,R1449)="","",INDEX('Recurring Schedule'!$K$6:$K$45,R1449)))</f>
        <v/>
      </c>
      <c r="N1449" s="73">
        <f>IF(R1449="","",IF(INDEX('Recurring Schedule'!$L$6:$L$45,R1449)="","",INDEX('Recurring Schedule'!$L$6:$L$45,R1449)))</f>
        <v/>
      </c>
      <c r="O1449" s="73">
        <f>IF(C1449="","",IF(AND(OR(L1449="1-Urgent",L1449="2-High"),M1449="✓"),"DO FIRST",IF(M1449="✓","SCHEDULE",IF(OR(L1449="1-Urgent",L1449="2-High"),"DELEGATE","DELETE"))))</f>
        <v/>
      </c>
      <c r="P1449" s="65" t="n"/>
      <c r="Q1449">
        <f>IF(1444&gt;Calc!$AQ$368,"",MATCH(1443,Calc!$AQ$2:$AQ$367,1))</f>
        <v/>
      </c>
      <c r="R1449">
        <f>IF(Q1449="","",SMALL(INDEX(Calc!$B$2:$AO$367,Q1449,0),1444-INDEX(Calc!$AQ$2:$AQ$367,Q1449)))</f>
        <v/>
      </c>
    </row>
    <row r="1450">
      <c r="B1450" s="64">
        <f>IF(R1450="","",1445)</f>
        <v/>
      </c>
      <c r="C1450" s="37">
        <f>IF(R1450="","",IF(INDEX('Recurring Schedule'!$C$6:$C$45,R1450)="","",INDEX('Recurring Schedule'!$C$6:$C$45,R1450)))</f>
        <v/>
      </c>
      <c r="D1450" s="36">
        <f>IF(R1450="","",IF(INDEX('Recurring Schedule'!$D$6:$D$45,R1450)="","",INDEX('Recurring Schedule'!$D$6:$D$45,R1450)))</f>
        <v/>
      </c>
      <c r="E1450" s="38">
        <f>IF(Q1450="","",INDEX(Calc!$A$2:$A$367,Q1450))</f>
        <v/>
      </c>
      <c r="F1450" s="68">
        <f>IF(OR(C1450="",E1450=""),"",E1450-Setup!$D$7)</f>
        <v/>
      </c>
      <c r="G1450" s="74">
        <f>IF(R1450="","",IF(INDEX('Recurring Schedule'!$H$6:$H$45,R1450)="","",INDEX('Recurring Schedule'!$H$6:$H$45,R1450)))</f>
        <v/>
      </c>
      <c r="H1450" s="74">
        <f>IF(R1450="","",IF(INDEX('Recurring Schedule'!$I$6:$I$45,R1450)="","",INDEX('Recurring Schedule'!$I$6:$I$45,R1450)))</f>
        <v/>
      </c>
      <c r="I1450" s="36">
        <f>IF(OR(G1450="",H1450=""),"",TRIM(IF(HOUR(H1450-G1450)&gt;0,HOUR(H1450-G1450)&amp;" hr ","")&amp;IF(MINUTE(H1450-G1450)&gt;0,MINUTE(H1450-G1450)&amp;" min","")))</f>
        <v/>
      </c>
      <c r="J1450" s="66" t="n"/>
      <c r="K1450" s="70" t="n"/>
      <c r="L1450" s="36">
        <f>IF(R1450="","",IF(INDEX('Recurring Schedule'!$J$6:$J$45,R1450)="","",INDEX('Recurring Schedule'!$J$6:$J$45,R1450)))</f>
        <v/>
      </c>
      <c r="M1450" s="36">
        <f>IF(R1450="","",IF(INDEX('Recurring Schedule'!$K$6:$K$45,R1450)="","",INDEX('Recurring Schedule'!$K$6:$K$45,R1450)))</f>
        <v/>
      </c>
      <c r="N1450" s="36">
        <f>IF(R1450="","",IF(INDEX('Recurring Schedule'!$L$6:$L$45,R1450)="","",INDEX('Recurring Schedule'!$L$6:$L$45,R1450)))</f>
        <v/>
      </c>
      <c r="O1450" s="36">
        <f>IF(C1450="","",IF(AND(OR(L1450="1-Urgent",L1450="2-High"),M1450="✓"),"DO FIRST",IF(M1450="✓","SCHEDULE",IF(OR(L1450="1-Urgent",L1450="2-High"),"DELEGATE","DELETE"))))</f>
        <v/>
      </c>
      <c r="P1450" s="65" t="n"/>
      <c r="Q1450">
        <f>IF(1445&gt;Calc!$AQ$368,"",MATCH(1444,Calc!$AQ$2:$AQ$367,1))</f>
        <v/>
      </c>
      <c r="R1450">
        <f>IF(Q1450="","",SMALL(INDEX(Calc!$B$2:$AO$367,Q1450,0),1445-INDEX(Calc!$AQ$2:$AQ$367,Q1450)))</f>
        <v/>
      </c>
    </row>
    <row r="1451">
      <c r="B1451" s="71">
        <f>IF(R1451="","",1446)</f>
        <v/>
      </c>
      <c r="C1451" s="75">
        <f>IF(R1451="","",IF(INDEX('Recurring Schedule'!$C$6:$C$45,R1451)="","",INDEX('Recurring Schedule'!$C$6:$C$45,R1451)))</f>
        <v/>
      </c>
      <c r="D1451" s="73">
        <f>IF(R1451="","",IF(INDEX('Recurring Schedule'!$D$6:$D$45,R1451)="","",INDEX('Recurring Schedule'!$D$6:$D$45,R1451)))</f>
        <v/>
      </c>
      <c r="E1451" s="76">
        <f>IF(Q1451="","",INDEX(Calc!$A$2:$A$367,Q1451))</f>
        <v/>
      </c>
      <c r="F1451" s="72">
        <f>IF(OR(C1451="",E1451=""),"",E1451-Setup!$D$7)</f>
        <v/>
      </c>
      <c r="G1451" s="77">
        <f>IF(R1451="","",IF(INDEX('Recurring Schedule'!$H$6:$H$45,R1451)="","",INDEX('Recurring Schedule'!$H$6:$H$45,R1451)))</f>
        <v/>
      </c>
      <c r="H1451" s="77">
        <f>IF(R1451="","",IF(INDEX('Recurring Schedule'!$I$6:$I$45,R1451)="","",INDEX('Recurring Schedule'!$I$6:$I$45,R1451)))</f>
        <v/>
      </c>
      <c r="I1451" s="73">
        <f>IF(OR(G1451="",H1451=""),"",TRIM(IF(HOUR(H1451-G1451)&gt;0,HOUR(H1451-G1451)&amp;" hr ","")&amp;IF(MINUTE(H1451-G1451)&gt;0,MINUTE(H1451-G1451)&amp;" min","")))</f>
        <v/>
      </c>
      <c r="J1451" s="66" t="n"/>
      <c r="K1451" s="70" t="n"/>
      <c r="L1451" s="73">
        <f>IF(R1451="","",IF(INDEX('Recurring Schedule'!$J$6:$J$45,R1451)="","",INDEX('Recurring Schedule'!$J$6:$J$45,R1451)))</f>
        <v/>
      </c>
      <c r="M1451" s="73">
        <f>IF(R1451="","",IF(INDEX('Recurring Schedule'!$K$6:$K$45,R1451)="","",INDEX('Recurring Schedule'!$K$6:$K$45,R1451)))</f>
        <v/>
      </c>
      <c r="N1451" s="73">
        <f>IF(R1451="","",IF(INDEX('Recurring Schedule'!$L$6:$L$45,R1451)="","",INDEX('Recurring Schedule'!$L$6:$L$45,R1451)))</f>
        <v/>
      </c>
      <c r="O1451" s="73">
        <f>IF(C1451="","",IF(AND(OR(L1451="1-Urgent",L1451="2-High"),M1451="✓"),"DO FIRST",IF(M1451="✓","SCHEDULE",IF(OR(L1451="1-Urgent",L1451="2-High"),"DELEGATE","DELETE"))))</f>
        <v/>
      </c>
      <c r="P1451" s="65" t="n"/>
      <c r="Q1451">
        <f>IF(1446&gt;Calc!$AQ$368,"",MATCH(1445,Calc!$AQ$2:$AQ$367,1))</f>
        <v/>
      </c>
      <c r="R1451">
        <f>IF(Q1451="","",SMALL(INDEX(Calc!$B$2:$AO$367,Q1451,0),1446-INDEX(Calc!$AQ$2:$AQ$367,Q1451)))</f>
        <v/>
      </c>
    </row>
    <row r="1452">
      <c r="B1452" s="64">
        <f>IF(R1452="","",1447)</f>
        <v/>
      </c>
      <c r="C1452" s="37">
        <f>IF(R1452="","",IF(INDEX('Recurring Schedule'!$C$6:$C$45,R1452)="","",INDEX('Recurring Schedule'!$C$6:$C$45,R1452)))</f>
        <v/>
      </c>
      <c r="D1452" s="36">
        <f>IF(R1452="","",IF(INDEX('Recurring Schedule'!$D$6:$D$45,R1452)="","",INDEX('Recurring Schedule'!$D$6:$D$45,R1452)))</f>
        <v/>
      </c>
      <c r="E1452" s="38">
        <f>IF(Q1452="","",INDEX(Calc!$A$2:$A$367,Q1452))</f>
        <v/>
      </c>
      <c r="F1452" s="68">
        <f>IF(OR(C1452="",E1452=""),"",E1452-Setup!$D$7)</f>
        <v/>
      </c>
      <c r="G1452" s="74">
        <f>IF(R1452="","",IF(INDEX('Recurring Schedule'!$H$6:$H$45,R1452)="","",INDEX('Recurring Schedule'!$H$6:$H$45,R1452)))</f>
        <v/>
      </c>
      <c r="H1452" s="74">
        <f>IF(R1452="","",IF(INDEX('Recurring Schedule'!$I$6:$I$45,R1452)="","",INDEX('Recurring Schedule'!$I$6:$I$45,R1452)))</f>
        <v/>
      </c>
      <c r="I1452" s="36">
        <f>IF(OR(G1452="",H1452=""),"",TRIM(IF(HOUR(H1452-G1452)&gt;0,HOUR(H1452-G1452)&amp;" hr ","")&amp;IF(MINUTE(H1452-G1452)&gt;0,MINUTE(H1452-G1452)&amp;" min","")))</f>
        <v/>
      </c>
      <c r="J1452" s="66" t="n"/>
      <c r="K1452" s="70" t="n"/>
      <c r="L1452" s="36">
        <f>IF(R1452="","",IF(INDEX('Recurring Schedule'!$J$6:$J$45,R1452)="","",INDEX('Recurring Schedule'!$J$6:$J$45,R1452)))</f>
        <v/>
      </c>
      <c r="M1452" s="36">
        <f>IF(R1452="","",IF(INDEX('Recurring Schedule'!$K$6:$K$45,R1452)="","",INDEX('Recurring Schedule'!$K$6:$K$45,R1452)))</f>
        <v/>
      </c>
      <c r="N1452" s="36">
        <f>IF(R1452="","",IF(INDEX('Recurring Schedule'!$L$6:$L$45,R1452)="","",INDEX('Recurring Schedule'!$L$6:$L$45,R1452)))</f>
        <v/>
      </c>
      <c r="O1452" s="36">
        <f>IF(C1452="","",IF(AND(OR(L1452="1-Urgent",L1452="2-High"),M1452="✓"),"DO FIRST",IF(M1452="✓","SCHEDULE",IF(OR(L1452="1-Urgent",L1452="2-High"),"DELEGATE","DELETE"))))</f>
        <v/>
      </c>
      <c r="P1452" s="65" t="n"/>
      <c r="Q1452">
        <f>IF(1447&gt;Calc!$AQ$368,"",MATCH(1446,Calc!$AQ$2:$AQ$367,1))</f>
        <v/>
      </c>
      <c r="R1452">
        <f>IF(Q1452="","",SMALL(INDEX(Calc!$B$2:$AO$367,Q1452,0),1447-INDEX(Calc!$AQ$2:$AQ$367,Q1452)))</f>
        <v/>
      </c>
    </row>
    <row r="1453">
      <c r="B1453" s="71">
        <f>IF(R1453="","",1448)</f>
        <v/>
      </c>
      <c r="C1453" s="75">
        <f>IF(R1453="","",IF(INDEX('Recurring Schedule'!$C$6:$C$45,R1453)="","",INDEX('Recurring Schedule'!$C$6:$C$45,R1453)))</f>
        <v/>
      </c>
      <c r="D1453" s="73">
        <f>IF(R1453="","",IF(INDEX('Recurring Schedule'!$D$6:$D$45,R1453)="","",INDEX('Recurring Schedule'!$D$6:$D$45,R1453)))</f>
        <v/>
      </c>
      <c r="E1453" s="76">
        <f>IF(Q1453="","",INDEX(Calc!$A$2:$A$367,Q1453))</f>
        <v/>
      </c>
      <c r="F1453" s="72">
        <f>IF(OR(C1453="",E1453=""),"",E1453-Setup!$D$7)</f>
        <v/>
      </c>
      <c r="G1453" s="77">
        <f>IF(R1453="","",IF(INDEX('Recurring Schedule'!$H$6:$H$45,R1453)="","",INDEX('Recurring Schedule'!$H$6:$H$45,R1453)))</f>
        <v/>
      </c>
      <c r="H1453" s="77">
        <f>IF(R1453="","",IF(INDEX('Recurring Schedule'!$I$6:$I$45,R1453)="","",INDEX('Recurring Schedule'!$I$6:$I$45,R1453)))</f>
        <v/>
      </c>
      <c r="I1453" s="73">
        <f>IF(OR(G1453="",H1453=""),"",TRIM(IF(HOUR(H1453-G1453)&gt;0,HOUR(H1453-G1453)&amp;" hr ","")&amp;IF(MINUTE(H1453-G1453)&gt;0,MINUTE(H1453-G1453)&amp;" min","")))</f>
        <v/>
      </c>
      <c r="J1453" s="66" t="n"/>
      <c r="K1453" s="70" t="n"/>
      <c r="L1453" s="73">
        <f>IF(R1453="","",IF(INDEX('Recurring Schedule'!$J$6:$J$45,R1453)="","",INDEX('Recurring Schedule'!$J$6:$J$45,R1453)))</f>
        <v/>
      </c>
      <c r="M1453" s="73">
        <f>IF(R1453="","",IF(INDEX('Recurring Schedule'!$K$6:$K$45,R1453)="","",INDEX('Recurring Schedule'!$K$6:$K$45,R1453)))</f>
        <v/>
      </c>
      <c r="N1453" s="73">
        <f>IF(R1453="","",IF(INDEX('Recurring Schedule'!$L$6:$L$45,R1453)="","",INDEX('Recurring Schedule'!$L$6:$L$45,R1453)))</f>
        <v/>
      </c>
      <c r="O1453" s="73">
        <f>IF(C1453="","",IF(AND(OR(L1453="1-Urgent",L1453="2-High"),M1453="✓"),"DO FIRST",IF(M1453="✓","SCHEDULE",IF(OR(L1453="1-Urgent",L1453="2-High"),"DELEGATE","DELETE"))))</f>
        <v/>
      </c>
      <c r="P1453" s="65" t="n"/>
      <c r="Q1453">
        <f>IF(1448&gt;Calc!$AQ$368,"",MATCH(1447,Calc!$AQ$2:$AQ$367,1))</f>
        <v/>
      </c>
      <c r="R1453">
        <f>IF(Q1453="","",SMALL(INDEX(Calc!$B$2:$AO$367,Q1453,0),1448-INDEX(Calc!$AQ$2:$AQ$367,Q1453)))</f>
        <v/>
      </c>
    </row>
    <row r="1454">
      <c r="B1454" s="64">
        <f>IF(R1454="","",1449)</f>
        <v/>
      </c>
      <c r="C1454" s="37">
        <f>IF(R1454="","",IF(INDEX('Recurring Schedule'!$C$6:$C$45,R1454)="","",INDEX('Recurring Schedule'!$C$6:$C$45,R1454)))</f>
        <v/>
      </c>
      <c r="D1454" s="36">
        <f>IF(R1454="","",IF(INDEX('Recurring Schedule'!$D$6:$D$45,R1454)="","",INDEX('Recurring Schedule'!$D$6:$D$45,R1454)))</f>
        <v/>
      </c>
      <c r="E1454" s="38">
        <f>IF(Q1454="","",INDEX(Calc!$A$2:$A$367,Q1454))</f>
        <v/>
      </c>
      <c r="F1454" s="68">
        <f>IF(OR(C1454="",E1454=""),"",E1454-Setup!$D$7)</f>
        <v/>
      </c>
      <c r="G1454" s="74">
        <f>IF(R1454="","",IF(INDEX('Recurring Schedule'!$H$6:$H$45,R1454)="","",INDEX('Recurring Schedule'!$H$6:$H$45,R1454)))</f>
        <v/>
      </c>
      <c r="H1454" s="74">
        <f>IF(R1454="","",IF(INDEX('Recurring Schedule'!$I$6:$I$45,R1454)="","",INDEX('Recurring Schedule'!$I$6:$I$45,R1454)))</f>
        <v/>
      </c>
      <c r="I1454" s="36">
        <f>IF(OR(G1454="",H1454=""),"",TRIM(IF(HOUR(H1454-G1454)&gt;0,HOUR(H1454-G1454)&amp;" hr ","")&amp;IF(MINUTE(H1454-G1454)&gt;0,MINUTE(H1454-G1454)&amp;" min","")))</f>
        <v/>
      </c>
      <c r="J1454" s="66" t="n"/>
      <c r="K1454" s="70" t="n"/>
      <c r="L1454" s="36">
        <f>IF(R1454="","",IF(INDEX('Recurring Schedule'!$J$6:$J$45,R1454)="","",INDEX('Recurring Schedule'!$J$6:$J$45,R1454)))</f>
        <v/>
      </c>
      <c r="M1454" s="36">
        <f>IF(R1454="","",IF(INDEX('Recurring Schedule'!$K$6:$K$45,R1454)="","",INDEX('Recurring Schedule'!$K$6:$K$45,R1454)))</f>
        <v/>
      </c>
      <c r="N1454" s="36">
        <f>IF(R1454="","",IF(INDEX('Recurring Schedule'!$L$6:$L$45,R1454)="","",INDEX('Recurring Schedule'!$L$6:$L$45,R1454)))</f>
        <v/>
      </c>
      <c r="O1454" s="36">
        <f>IF(C1454="","",IF(AND(OR(L1454="1-Urgent",L1454="2-High"),M1454="✓"),"DO FIRST",IF(M1454="✓","SCHEDULE",IF(OR(L1454="1-Urgent",L1454="2-High"),"DELEGATE","DELETE"))))</f>
        <v/>
      </c>
      <c r="P1454" s="65" t="n"/>
      <c r="Q1454">
        <f>IF(1449&gt;Calc!$AQ$368,"",MATCH(1448,Calc!$AQ$2:$AQ$367,1))</f>
        <v/>
      </c>
      <c r="R1454">
        <f>IF(Q1454="","",SMALL(INDEX(Calc!$B$2:$AO$367,Q1454,0),1449-INDEX(Calc!$AQ$2:$AQ$367,Q1454)))</f>
        <v/>
      </c>
    </row>
    <row r="1455">
      <c r="B1455" s="71">
        <f>IF(R1455="","",1450)</f>
        <v/>
      </c>
      <c r="C1455" s="75">
        <f>IF(R1455="","",IF(INDEX('Recurring Schedule'!$C$6:$C$45,R1455)="","",INDEX('Recurring Schedule'!$C$6:$C$45,R1455)))</f>
        <v/>
      </c>
      <c r="D1455" s="73">
        <f>IF(R1455="","",IF(INDEX('Recurring Schedule'!$D$6:$D$45,R1455)="","",INDEX('Recurring Schedule'!$D$6:$D$45,R1455)))</f>
        <v/>
      </c>
      <c r="E1455" s="76">
        <f>IF(Q1455="","",INDEX(Calc!$A$2:$A$367,Q1455))</f>
        <v/>
      </c>
      <c r="F1455" s="72">
        <f>IF(OR(C1455="",E1455=""),"",E1455-Setup!$D$7)</f>
        <v/>
      </c>
      <c r="G1455" s="77">
        <f>IF(R1455="","",IF(INDEX('Recurring Schedule'!$H$6:$H$45,R1455)="","",INDEX('Recurring Schedule'!$H$6:$H$45,R1455)))</f>
        <v/>
      </c>
      <c r="H1455" s="77">
        <f>IF(R1455="","",IF(INDEX('Recurring Schedule'!$I$6:$I$45,R1455)="","",INDEX('Recurring Schedule'!$I$6:$I$45,R1455)))</f>
        <v/>
      </c>
      <c r="I1455" s="73">
        <f>IF(OR(G1455="",H1455=""),"",TRIM(IF(HOUR(H1455-G1455)&gt;0,HOUR(H1455-G1455)&amp;" hr ","")&amp;IF(MINUTE(H1455-G1455)&gt;0,MINUTE(H1455-G1455)&amp;" min","")))</f>
        <v/>
      </c>
      <c r="J1455" s="66" t="n"/>
      <c r="K1455" s="70" t="n"/>
      <c r="L1455" s="73">
        <f>IF(R1455="","",IF(INDEX('Recurring Schedule'!$J$6:$J$45,R1455)="","",INDEX('Recurring Schedule'!$J$6:$J$45,R1455)))</f>
        <v/>
      </c>
      <c r="M1455" s="73">
        <f>IF(R1455="","",IF(INDEX('Recurring Schedule'!$K$6:$K$45,R1455)="","",INDEX('Recurring Schedule'!$K$6:$K$45,R1455)))</f>
        <v/>
      </c>
      <c r="N1455" s="73">
        <f>IF(R1455="","",IF(INDEX('Recurring Schedule'!$L$6:$L$45,R1455)="","",INDEX('Recurring Schedule'!$L$6:$L$45,R1455)))</f>
        <v/>
      </c>
      <c r="O1455" s="73">
        <f>IF(C1455="","",IF(AND(OR(L1455="1-Urgent",L1455="2-High"),M1455="✓"),"DO FIRST",IF(M1455="✓","SCHEDULE",IF(OR(L1455="1-Urgent",L1455="2-High"),"DELEGATE","DELETE"))))</f>
        <v/>
      </c>
      <c r="P1455" s="65" t="n"/>
      <c r="Q1455">
        <f>IF(1450&gt;Calc!$AQ$368,"",MATCH(1449,Calc!$AQ$2:$AQ$367,1))</f>
        <v/>
      </c>
      <c r="R1455">
        <f>IF(Q1455="","",SMALL(INDEX(Calc!$B$2:$AO$367,Q1455,0),1450-INDEX(Calc!$AQ$2:$AQ$367,Q1455)))</f>
        <v/>
      </c>
    </row>
    <row r="1456">
      <c r="B1456" s="64">
        <f>IF(R1456="","",1451)</f>
        <v/>
      </c>
      <c r="C1456" s="37">
        <f>IF(R1456="","",IF(INDEX('Recurring Schedule'!$C$6:$C$45,R1456)="","",INDEX('Recurring Schedule'!$C$6:$C$45,R1456)))</f>
        <v/>
      </c>
      <c r="D1456" s="36">
        <f>IF(R1456="","",IF(INDEX('Recurring Schedule'!$D$6:$D$45,R1456)="","",INDEX('Recurring Schedule'!$D$6:$D$45,R1456)))</f>
        <v/>
      </c>
      <c r="E1456" s="38">
        <f>IF(Q1456="","",INDEX(Calc!$A$2:$A$367,Q1456))</f>
        <v/>
      </c>
      <c r="F1456" s="68">
        <f>IF(OR(C1456="",E1456=""),"",E1456-Setup!$D$7)</f>
        <v/>
      </c>
      <c r="G1456" s="74">
        <f>IF(R1456="","",IF(INDEX('Recurring Schedule'!$H$6:$H$45,R1456)="","",INDEX('Recurring Schedule'!$H$6:$H$45,R1456)))</f>
        <v/>
      </c>
      <c r="H1456" s="74">
        <f>IF(R1456="","",IF(INDEX('Recurring Schedule'!$I$6:$I$45,R1456)="","",INDEX('Recurring Schedule'!$I$6:$I$45,R1456)))</f>
        <v/>
      </c>
      <c r="I1456" s="36">
        <f>IF(OR(G1456="",H1456=""),"",TRIM(IF(HOUR(H1456-G1456)&gt;0,HOUR(H1456-G1456)&amp;" hr ","")&amp;IF(MINUTE(H1456-G1456)&gt;0,MINUTE(H1456-G1456)&amp;" min","")))</f>
        <v/>
      </c>
      <c r="J1456" s="66" t="n"/>
      <c r="K1456" s="70" t="n"/>
      <c r="L1456" s="36">
        <f>IF(R1456="","",IF(INDEX('Recurring Schedule'!$J$6:$J$45,R1456)="","",INDEX('Recurring Schedule'!$J$6:$J$45,R1456)))</f>
        <v/>
      </c>
      <c r="M1456" s="36">
        <f>IF(R1456="","",IF(INDEX('Recurring Schedule'!$K$6:$K$45,R1456)="","",INDEX('Recurring Schedule'!$K$6:$K$45,R1456)))</f>
        <v/>
      </c>
      <c r="N1456" s="36">
        <f>IF(R1456="","",IF(INDEX('Recurring Schedule'!$L$6:$L$45,R1456)="","",INDEX('Recurring Schedule'!$L$6:$L$45,R1456)))</f>
        <v/>
      </c>
      <c r="O1456" s="36">
        <f>IF(C1456="","",IF(AND(OR(L1456="1-Urgent",L1456="2-High"),M1456="✓"),"DO FIRST",IF(M1456="✓","SCHEDULE",IF(OR(L1456="1-Urgent",L1456="2-High"),"DELEGATE","DELETE"))))</f>
        <v/>
      </c>
      <c r="P1456" s="65" t="n"/>
      <c r="Q1456">
        <f>IF(1451&gt;Calc!$AQ$368,"",MATCH(1450,Calc!$AQ$2:$AQ$367,1))</f>
        <v/>
      </c>
      <c r="R1456">
        <f>IF(Q1456="","",SMALL(INDEX(Calc!$B$2:$AO$367,Q1456,0),1451-INDEX(Calc!$AQ$2:$AQ$367,Q1456)))</f>
        <v/>
      </c>
    </row>
    <row r="1457">
      <c r="B1457" s="71">
        <f>IF(R1457="","",1452)</f>
        <v/>
      </c>
      <c r="C1457" s="75">
        <f>IF(R1457="","",IF(INDEX('Recurring Schedule'!$C$6:$C$45,R1457)="","",INDEX('Recurring Schedule'!$C$6:$C$45,R1457)))</f>
        <v/>
      </c>
      <c r="D1457" s="73">
        <f>IF(R1457="","",IF(INDEX('Recurring Schedule'!$D$6:$D$45,R1457)="","",INDEX('Recurring Schedule'!$D$6:$D$45,R1457)))</f>
        <v/>
      </c>
      <c r="E1457" s="76">
        <f>IF(Q1457="","",INDEX(Calc!$A$2:$A$367,Q1457))</f>
        <v/>
      </c>
      <c r="F1457" s="72">
        <f>IF(OR(C1457="",E1457=""),"",E1457-Setup!$D$7)</f>
        <v/>
      </c>
      <c r="G1457" s="77">
        <f>IF(R1457="","",IF(INDEX('Recurring Schedule'!$H$6:$H$45,R1457)="","",INDEX('Recurring Schedule'!$H$6:$H$45,R1457)))</f>
        <v/>
      </c>
      <c r="H1457" s="77">
        <f>IF(R1457="","",IF(INDEX('Recurring Schedule'!$I$6:$I$45,R1457)="","",INDEX('Recurring Schedule'!$I$6:$I$45,R1457)))</f>
        <v/>
      </c>
      <c r="I1457" s="73">
        <f>IF(OR(G1457="",H1457=""),"",TRIM(IF(HOUR(H1457-G1457)&gt;0,HOUR(H1457-G1457)&amp;" hr ","")&amp;IF(MINUTE(H1457-G1457)&gt;0,MINUTE(H1457-G1457)&amp;" min","")))</f>
        <v/>
      </c>
      <c r="J1457" s="66" t="n"/>
      <c r="K1457" s="70" t="n"/>
      <c r="L1457" s="73">
        <f>IF(R1457="","",IF(INDEX('Recurring Schedule'!$J$6:$J$45,R1457)="","",INDEX('Recurring Schedule'!$J$6:$J$45,R1457)))</f>
        <v/>
      </c>
      <c r="M1457" s="73">
        <f>IF(R1457="","",IF(INDEX('Recurring Schedule'!$K$6:$K$45,R1457)="","",INDEX('Recurring Schedule'!$K$6:$K$45,R1457)))</f>
        <v/>
      </c>
      <c r="N1457" s="73">
        <f>IF(R1457="","",IF(INDEX('Recurring Schedule'!$L$6:$L$45,R1457)="","",INDEX('Recurring Schedule'!$L$6:$L$45,R1457)))</f>
        <v/>
      </c>
      <c r="O1457" s="73">
        <f>IF(C1457="","",IF(AND(OR(L1457="1-Urgent",L1457="2-High"),M1457="✓"),"DO FIRST",IF(M1457="✓","SCHEDULE",IF(OR(L1457="1-Urgent",L1457="2-High"),"DELEGATE","DELETE"))))</f>
        <v/>
      </c>
      <c r="P1457" s="65" t="n"/>
      <c r="Q1457">
        <f>IF(1452&gt;Calc!$AQ$368,"",MATCH(1451,Calc!$AQ$2:$AQ$367,1))</f>
        <v/>
      </c>
      <c r="R1457">
        <f>IF(Q1457="","",SMALL(INDEX(Calc!$B$2:$AO$367,Q1457,0),1452-INDEX(Calc!$AQ$2:$AQ$367,Q1457)))</f>
        <v/>
      </c>
    </row>
    <row r="1458">
      <c r="B1458" s="64">
        <f>IF(R1458="","",1453)</f>
        <v/>
      </c>
      <c r="C1458" s="37">
        <f>IF(R1458="","",IF(INDEX('Recurring Schedule'!$C$6:$C$45,R1458)="","",INDEX('Recurring Schedule'!$C$6:$C$45,R1458)))</f>
        <v/>
      </c>
      <c r="D1458" s="36">
        <f>IF(R1458="","",IF(INDEX('Recurring Schedule'!$D$6:$D$45,R1458)="","",INDEX('Recurring Schedule'!$D$6:$D$45,R1458)))</f>
        <v/>
      </c>
      <c r="E1458" s="38">
        <f>IF(Q1458="","",INDEX(Calc!$A$2:$A$367,Q1458))</f>
        <v/>
      </c>
      <c r="F1458" s="68">
        <f>IF(OR(C1458="",E1458=""),"",E1458-Setup!$D$7)</f>
        <v/>
      </c>
      <c r="G1458" s="74">
        <f>IF(R1458="","",IF(INDEX('Recurring Schedule'!$H$6:$H$45,R1458)="","",INDEX('Recurring Schedule'!$H$6:$H$45,R1458)))</f>
        <v/>
      </c>
      <c r="H1458" s="74">
        <f>IF(R1458="","",IF(INDEX('Recurring Schedule'!$I$6:$I$45,R1458)="","",INDEX('Recurring Schedule'!$I$6:$I$45,R1458)))</f>
        <v/>
      </c>
      <c r="I1458" s="36">
        <f>IF(OR(G1458="",H1458=""),"",TRIM(IF(HOUR(H1458-G1458)&gt;0,HOUR(H1458-G1458)&amp;" hr ","")&amp;IF(MINUTE(H1458-G1458)&gt;0,MINUTE(H1458-G1458)&amp;" min","")))</f>
        <v/>
      </c>
      <c r="J1458" s="66" t="n"/>
      <c r="K1458" s="70" t="n"/>
      <c r="L1458" s="36">
        <f>IF(R1458="","",IF(INDEX('Recurring Schedule'!$J$6:$J$45,R1458)="","",INDEX('Recurring Schedule'!$J$6:$J$45,R1458)))</f>
        <v/>
      </c>
      <c r="M1458" s="36">
        <f>IF(R1458="","",IF(INDEX('Recurring Schedule'!$K$6:$K$45,R1458)="","",INDEX('Recurring Schedule'!$K$6:$K$45,R1458)))</f>
        <v/>
      </c>
      <c r="N1458" s="36">
        <f>IF(R1458="","",IF(INDEX('Recurring Schedule'!$L$6:$L$45,R1458)="","",INDEX('Recurring Schedule'!$L$6:$L$45,R1458)))</f>
        <v/>
      </c>
      <c r="O1458" s="36">
        <f>IF(C1458="","",IF(AND(OR(L1458="1-Urgent",L1458="2-High"),M1458="✓"),"DO FIRST",IF(M1458="✓","SCHEDULE",IF(OR(L1458="1-Urgent",L1458="2-High"),"DELEGATE","DELETE"))))</f>
        <v/>
      </c>
      <c r="P1458" s="65" t="n"/>
      <c r="Q1458">
        <f>IF(1453&gt;Calc!$AQ$368,"",MATCH(1452,Calc!$AQ$2:$AQ$367,1))</f>
        <v/>
      </c>
      <c r="R1458">
        <f>IF(Q1458="","",SMALL(INDEX(Calc!$B$2:$AO$367,Q1458,0),1453-INDEX(Calc!$AQ$2:$AQ$367,Q1458)))</f>
        <v/>
      </c>
    </row>
    <row r="1459">
      <c r="B1459" s="71">
        <f>IF(R1459="","",1454)</f>
        <v/>
      </c>
      <c r="C1459" s="75">
        <f>IF(R1459="","",IF(INDEX('Recurring Schedule'!$C$6:$C$45,R1459)="","",INDEX('Recurring Schedule'!$C$6:$C$45,R1459)))</f>
        <v/>
      </c>
      <c r="D1459" s="73">
        <f>IF(R1459="","",IF(INDEX('Recurring Schedule'!$D$6:$D$45,R1459)="","",INDEX('Recurring Schedule'!$D$6:$D$45,R1459)))</f>
        <v/>
      </c>
      <c r="E1459" s="76">
        <f>IF(Q1459="","",INDEX(Calc!$A$2:$A$367,Q1459))</f>
        <v/>
      </c>
      <c r="F1459" s="72">
        <f>IF(OR(C1459="",E1459=""),"",E1459-Setup!$D$7)</f>
        <v/>
      </c>
      <c r="G1459" s="77">
        <f>IF(R1459="","",IF(INDEX('Recurring Schedule'!$H$6:$H$45,R1459)="","",INDEX('Recurring Schedule'!$H$6:$H$45,R1459)))</f>
        <v/>
      </c>
      <c r="H1459" s="77">
        <f>IF(R1459="","",IF(INDEX('Recurring Schedule'!$I$6:$I$45,R1459)="","",INDEX('Recurring Schedule'!$I$6:$I$45,R1459)))</f>
        <v/>
      </c>
      <c r="I1459" s="73">
        <f>IF(OR(G1459="",H1459=""),"",TRIM(IF(HOUR(H1459-G1459)&gt;0,HOUR(H1459-G1459)&amp;" hr ","")&amp;IF(MINUTE(H1459-G1459)&gt;0,MINUTE(H1459-G1459)&amp;" min","")))</f>
        <v/>
      </c>
      <c r="J1459" s="66" t="n"/>
      <c r="K1459" s="70" t="n"/>
      <c r="L1459" s="73">
        <f>IF(R1459="","",IF(INDEX('Recurring Schedule'!$J$6:$J$45,R1459)="","",INDEX('Recurring Schedule'!$J$6:$J$45,R1459)))</f>
        <v/>
      </c>
      <c r="M1459" s="73">
        <f>IF(R1459="","",IF(INDEX('Recurring Schedule'!$K$6:$K$45,R1459)="","",INDEX('Recurring Schedule'!$K$6:$K$45,R1459)))</f>
        <v/>
      </c>
      <c r="N1459" s="73">
        <f>IF(R1459="","",IF(INDEX('Recurring Schedule'!$L$6:$L$45,R1459)="","",INDEX('Recurring Schedule'!$L$6:$L$45,R1459)))</f>
        <v/>
      </c>
      <c r="O1459" s="73">
        <f>IF(C1459="","",IF(AND(OR(L1459="1-Urgent",L1459="2-High"),M1459="✓"),"DO FIRST",IF(M1459="✓","SCHEDULE",IF(OR(L1459="1-Urgent",L1459="2-High"),"DELEGATE","DELETE"))))</f>
        <v/>
      </c>
      <c r="P1459" s="65" t="n"/>
      <c r="Q1459">
        <f>IF(1454&gt;Calc!$AQ$368,"",MATCH(1453,Calc!$AQ$2:$AQ$367,1))</f>
        <v/>
      </c>
      <c r="R1459">
        <f>IF(Q1459="","",SMALL(INDEX(Calc!$B$2:$AO$367,Q1459,0),1454-INDEX(Calc!$AQ$2:$AQ$367,Q1459)))</f>
        <v/>
      </c>
    </row>
    <row r="1460">
      <c r="B1460" s="64">
        <f>IF(R1460="","",1455)</f>
        <v/>
      </c>
      <c r="C1460" s="37">
        <f>IF(R1460="","",IF(INDEX('Recurring Schedule'!$C$6:$C$45,R1460)="","",INDEX('Recurring Schedule'!$C$6:$C$45,R1460)))</f>
        <v/>
      </c>
      <c r="D1460" s="36">
        <f>IF(R1460="","",IF(INDEX('Recurring Schedule'!$D$6:$D$45,R1460)="","",INDEX('Recurring Schedule'!$D$6:$D$45,R1460)))</f>
        <v/>
      </c>
      <c r="E1460" s="38">
        <f>IF(Q1460="","",INDEX(Calc!$A$2:$A$367,Q1460))</f>
        <v/>
      </c>
      <c r="F1460" s="68">
        <f>IF(OR(C1460="",E1460=""),"",E1460-Setup!$D$7)</f>
        <v/>
      </c>
      <c r="G1460" s="74">
        <f>IF(R1460="","",IF(INDEX('Recurring Schedule'!$H$6:$H$45,R1460)="","",INDEX('Recurring Schedule'!$H$6:$H$45,R1460)))</f>
        <v/>
      </c>
      <c r="H1460" s="74">
        <f>IF(R1460="","",IF(INDEX('Recurring Schedule'!$I$6:$I$45,R1460)="","",INDEX('Recurring Schedule'!$I$6:$I$45,R1460)))</f>
        <v/>
      </c>
      <c r="I1460" s="36">
        <f>IF(OR(G1460="",H1460=""),"",TRIM(IF(HOUR(H1460-G1460)&gt;0,HOUR(H1460-G1460)&amp;" hr ","")&amp;IF(MINUTE(H1460-G1460)&gt;0,MINUTE(H1460-G1460)&amp;" min","")))</f>
        <v/>
      </c>
      <c r="J1460" s="66" t="n"/>
      <c r="K1460" s="70" t="n"/>
      <c r="L1460" s="36">
        <f>IF(R1460="","",IF(INDEX('Recurring Schedule'!$J$6:$J$45,R1460)="","",INDEX('Recurring Schedule'!$J$6:$J$45,R1460)))</f>
        <v/>
      </c>
      <c r="M1460" s="36">
        <f>IF(R1460="","",IF(INDEX('Recurring Schedule'!$K$6:$K$45,R1460)="","",INDEX('Recurring Schedule'!$K$6:$K$45,R1460)))</f>
        <v/>
      </c>
      <c r="N1460" s="36">
        <f>IF(R1460="","",IF(INDEX('Recurring Schedule'!$L$6:$L$45,R1460)="","",INDEX('Recurring Schedule'!$L$6:$L$45,R1460)))</f>
        <v/>
      </c>
      <c r="O1460" s="36">
        <f>IF(C1460="","",IF(AND(OR(L1460="1-Urgent",L1460="2-High"),M1460="✓"),"DO FIRST",IF(M1460="✓","SCHEDULE",IF(OR(L1460="1-Urgent",L1460="2-High"),"DELEGATE","DELETE"))))</f>
        <v/>
      </c>
      <c r="P1460" s="65" t="n"/>
      <c r="Q1460">
        <f>IF(1455&gt;Calc!$AQ$368,"",MATCH(1454,Calc!$AQ$2:$AQ$367,1))</f>
        <v/>
      </c>
      <c r="R1460">
        <f>IF(Q1460="","",SMALL(INDEX(Calc!$B$2:$AO$367,Q1460,0),1455-INDEX(Calc!$AQ$2:$AQ$367,Q1460)))</f>
        <v/>
      </c>
    </row>
    <row r="1461">
      <c r="B1461" s="71">
        <f>IF(R1461="","",1456)</f>
        <v/>
      </c>
      <c r="C1461" s="75">
        <f>IF(R1461="","",IF(INDEX('Recurring Schedule'!$C$6:$C$45,R1461)="","",INDEX('Recurring Schedule'!$C$6:$C$45,R1461)))</f>
        <v/>
      </c>
      <c r="D1461" s="73">
        <f>IF(R1461="","",IF(INDEX('Recurring Schedule'!$D$6:$D$45,R1461)="","",INDEX('Recurring Schedule'!$D$6:$D$45,R1461)))</f>
        <v/>
      </c>
      <c r="E1461" s="76">
        <f>IF(Q1461="","",INDEX(Calc!$A$2:$A$367,Q1461))</f>
        <v/>
      </c>
      <c r="F1461" s="72">
        <f>IF(OR(C1461="",E1461=""),"",E1461-Setup!$D$7)</f>
        <v/>
      </c>
      <c r="G1461" s="77">
        <f>IF(R1461="","",IF(INDEX('Recurring Schedule'!$H$6:$H$45,R1461)="","",INDEX('Recurring Schedule'!$H$6:$H$45,R1461)))</f>
        <v/>
      </c>
      <c r="H1461" s="77">
        <f>IF(R1461="","",IF(INDEX('Recurring Schedule'!$I$6:$I$45,R1461)="","",INDEX('Recurring Schedule'!$I$6:$I$45,R1461)))</f>
        <v/>
      </c>
      <c r="I1461" s="73">
        <f>IF(OR(G1461="",H1461=""),"",TRIM(IF(HOUR(H1461-G1461)&gt;0,HOUR(H1461-G1461)&amp;" hr ","")&amp;IF(MINUTE(H1461-G1461)&gt;0,MINUTE(H1461-G1461)&amp;" min","")))</f>
        <v/>
      </c>
      <c r="J1461" s="66" t="n"/>
      <c r="K1461" s="70" t="n"/>
      <c r="L1461" s="73">
        <f>IF(R1461="","",IF(INDEX('Recurring Schedule'!$J$6:$J$45,R1461)="","",INDEX('Recurring Schedule'!$J$6:$J$45,R1461)))</f>
        <v/>
      </c>
      <c r="M1461" s="73">
        <f>IF(R1461="","",IF(INDEX('Recurring Schedule'!$K$6:$K$45,R1461)="","",INDEX('Recurring Schedule'!$K$6:$K$45,R1461)))</f>
        <v/>
      </c>
      <c r="N1461" s="73">
        <f>IF(R1461="","",IF(INDEX('Recurring Schedule'!$L$6:$L$45,R1461)="","",INDEX('Recurring Schedule'!$L$6:$L$45,R1461)))</f>
        <v/>
      </c>
      <c r="O1461" s="73">
        <f>IF(C1461="","",IF(AND(OR(L1461="1-Urgent",L1461="2-High"),M1461="✓"),"DO FIRST",IF(M1461="✓","SCHEDULE",IF(OR(L1461="1-Urgent",L1461="2-High"),"DELEGATE","DELETE"))))</f>
        <v/>
      </c>
      <c r="P1461" s="65" t="n"/>
      <c r="Q1461">
        <f>IF(1456&gt;Calc!$AQ$368,"",MATCH(1455,Calc!$AQ$2:$AQ$367,1))</f>
        <v/>
      </c>
      <c r="R1461">
        <f>IF(Q1461="","",SMALL(INDEX(Calc!$B$2:$AO$367,Q1461,0),1456-INDEX(Calc!$AQ$2:$AQ$367,Q1461)))</f>
        <v/>
      </c>
    </row>
    <row r="1462">
      <c r="B1462" s="64">
        <f>IF(R1462="","",1457)</f>
        <v/>
      </c>
      <c r="C1462" s="37">
        <f>IF(R1462="","",IF(INDEX('Recurring Schedule'!$C$6:$C$45,R1462)="","",INDEX('Recurring Schedule'!$C$6:$C$45,R1462)))</f>
        <v/>
      </c>
      <c r="D1462" s="36">
        <f>IF(R1462="","",IF(INDEX('Recurring Schedule'!$D$6:$D$45,R1462)="","",INDEX('Recurring Schedule'!$D$6:$D$45,R1462)))</f>
        <v/>
      </c>
      <c r="E1462" s="38">
        <f>IF(Q1462="","",INDEX(Calc!$A$2:$A$367,Q1462))</f>
        <v/>
      </c>
      <c r="F1462" s="68">
        <f>IF(OR(C1462="",E1462=""),"",E1462-Setup!$D$7)</f>
        <v/>
      </c>
      <c r="G1462" s="74">
        <f>IF(R1462="","",IF(INDEX('Recurring Schedule'!$H$6:$H$45,R1462)="","",INDEX('Recurring Schedule'!$H$6:$H$45,R1462)))</f>
        <v/>
      </c>
      <c r="H1462" s="74">
        <f>IF(R1462="","",IF(INDEX('Recurring Schedule'!$I$6:$I$45,R1462)="","",INDEX('Recurring Schedule'!$I$6:$I$45,R1462)))</f>
        <v/>
      </c>
      <c r="I1462" s="36">
        <f>IF(OR(G1462="",H1462=""),"",TRIM(IF(HOUR(H1462-G1462)&gt;0,HOUR(H1462-G1462)&amp;" hr ","")&amp;IF(MINUTE(H1462-G1462)&gt;0,MINUTE(H1462-G1462)&amp;" min","")))</f>
        <v/>
      </c>
      <c r="J1462" s="66" t="n"/>
      <c r="K1462" s="70" t="n"/>
      <c r="L1462" s="36">
        <f>IF(R1462="","",IF(INDEX('Recurring Schedule'!$J$6:$J$45,R1462)="","",INDEX('Recurring Schedule'!$J$6:$J$45,R1462)))</f>
        <v/>
      </c>
      <c r="M1462" s="36">
        <f>IF(R1462="","",IF(INDEX('Recurring Schedule'!$K$6:$K$45,R1462)="","",INDEX('Recurring Schedule'!$K$6:$K$45,R1462)))</f>
        <v/>
      </c>
      <c r="N1462" s="36">
        <f>IF(R1462="","",IF(INDEX('Recurring Schedule'!$L$6:$L$45,R1462)="","",INDEX('Recurring Schedule'!$L$6:$L$45,R1462)))</f>
        <v/>
      </c>
      <c r="O1462" s="36">
        <f>IF(C1462="","",IF(AND(OR(L1462="1-Urgent",L1462="2-High"),M1462="✓"),"DO FIRST",IF(M1462="✓","SCHEDULE",IF(OR(L1462="1-Urgent",L1462="2-High"),"DELEGATE","DELETE"))))</f>
        <v/>
      </c>
      <c r="P1462" s="65" t="n"/>
      <c r="Q1462">
        <f>IF(1457&gt;Calc!$AQ$368,"",MATCH(1456,Calc!$AQ$2:$AQ$367,1))</f>
        <v/>
      </c>
      <c r="R1462">
        <f>IF(Q1462="","",SMALL(INDEX(Calc!$B$2:$AO$367,Q1462,0),1457-INDEX(Calc!$AQ$2:$AQ$367,Q1462)))</f>
        <v/>
      </c>
    </row>
    <row r="1463">
      <c r="B1463" s="71">
        <f>IF(R1463="","",1458)</f>
        <v/>
      </c>
      <c r="C1463" s="75">
        <f>IF(R1463="","",IF(INDEX('Recurring Schedule'!$C$6:$C$45,R1463)="","",INDEX('Recurring Schedule'!$C$6:$C$45,R1463)))</f>
        <v/>
      </c>
      <c r="D1463" s="73">
        <f>IF(R1463="","",IF(INDEX('Recurring Schedule'!$D$6:$D$45,R1463)="","",INDEX('Recurring Schedule'!$D$6:$D$45,R1463)))</f>
        <v/>
      </c>
      <c r="E1463" s="76">
        <f>IF(Q1463="","",INDEX(Calc!$A$2:$A$367,Q1463))</f>
        <v/>
      </c>
      <c r="F1463" s="72">
        <f>IF(OR(C1463="",E1463=""),"",E1463-Setup!$D$7)</f>
        <v/>
      </c>
      <c r="G1463" s="77">
        <f>IF(R1463="","",IF(INDEX('Recurring Schedule'!$H$6:$H$45,R1463)="","",INDEX('Recurring Schedule'!$H$6:$H$45,R1463)))</f>
        <v/>
      </c>
      <c r="H1463" s="77">
        <f>IF(R1463="","",IF(INDEX('Recurring Schedule'!$I$6:$I$45,R1463)="","",INDEX('Recurring Schedule'!$I$6:$I$45,R1463)))</f>
        <v/>
      </c>
      <c r="I1463" s="73">
        <f>IF(OR(G1463="",H1463=""),"",TRIM(IF(HOUR(H1463-G1463)&gt;0,HOUR(H1463-G1463)&amp;" hr ","")&amp;IF(MINUTE(H1463-G1463)&gt;0,MINUTE(H1463-G1463)&amp;" min","")))</f>
        <v/>
      </c>
      <c r="J1463" s="66" t="n"/>
      <c r="K1463" s="70" t="n"/>
      <c r="L1463" s="73">
        <f>IF(R1463="","",IF(INDEX('Recurring Schedule'!$J$6:$J$45,R1463)="","",INDEX('Recurring Schedule'!$J$6:$J$45,R1463)))</f>
        <v/>
      </c>
      <c r="M1463" s="73">
        <f>IF(R1463="","",IF(INDEX('Recurring Schedule'!$K$6:$K$45,R1463)="","",INDEX('Recurring Schedule'!$K$6:$K$45,R1463)))</f>
        <v/>
      </c>
      <c r="N1463" s="73">
        <f>IF(R1463="","",IF(INDEX('Recurring Schedule'!$L$6:$L$45,R1463)="","",INDEX('Recurring Schedule'!$L$6:$L$45,R1463)))</f>
        <v/>
      </c>
      <c r="O1463" s="73">
        <f>IF(C1463="","",IF(AND(OR(L1463="1-Urgent",L1463="2-High"),M1463="✓"),"DO FIRST",IF(M1463="✓","SCHEDULE",IF(OR(L1463="1-Urgent",L1463="2-High"),"DELEGATE","DELETE"))))</f>
        <v/>
      </c>
      <c r="P1463" s="65" t="n"/>
      <c r="Q1463">
        <f>IF(1458&gt;Calc!$AQ$368,"",MATCH(1457,Calc!$AQ$2:$AQ$367,1))</f>
        <v/>
      </c>
      <c r="R1463">
        <f>IF(Q1463="","",SMALL(INDEX(Calc!$B$2:$AO$367,Q1463,0),1458-INDEX(Calc!$AQ$2:$AQ$367,Q1463)))</f>
        <v/>
      </c>
    </row>
    <row r="1464">
      <c r="B1464" s="64">
        <f>IF(R1464="","",1459)</f>
        <v/>
      </c>
      <c r="C1464" s="37">
        <f>IF(R1464="","",IF(INDEX('Recurring Schedule'!$C$6:$C$45,R1464)="","",INDEX('Recurring Schedule'!$C$6:$C$45,R1464)))</f>
        <v/>
      </c>
      <c r="D1464" s="36">
        <f>IF(R1464="","",IF(INDEX('Recurring Schedule'!$D$6:$D$45,R1464)="","",INDEX('Recurring Schedule'!$D$6:$D$45,R1464)))</f>
        <v/>
      </c>
      <c r="E1464" s="38">
        <f>IF(Q1464="","",INDEX(Calc!$A$2:$A$367,Q1464))</f>
        <v/>
      </c>
      <c r="F1464" s="68">
        <f>IF(OR(C1464="",E1464=""),"",E1464-Setup!$D$7)</f>
        <v/>
      </c>
      <c r="G1464" s="74">
        <f>IF(R1464="","",IF(INDEX('Recurring Schedule'!$H$6:$H$45,R1464)="","",INDEX('Recurring Schedule'!$H$6:$H$45,R1464)))</f>
        <v/>
      </c>
      <c r="H1464" s="74">
        <f>IF(R1464="","",IF(INDEX('Recurring Schedule'!$I$6:$I$45,R1464)="","",INDEX('Recurring Schedule'!$I$6:$I$45,R1464)))</f>
        <v/>
      </c>
      <c r="I1464" s="36">
        <f>IF(OR(G1464="",H1464=""),"",TRIM(IF(HOUR(H1464-G1464)&gt;0,HOUR(H1464-G1464)&amp;" hr ","")&amp;IF(MINUTE(H1464-G1464)&gt;0,MINUTE(H1464-G1464)&amp;" min","")))</f>
        <v/>
      </c>
      <c r="J1464" s="66" t="n"/>
      <c r="K1464" s="70" t="n"/>
      <c r="L1464" s="36">
        <f>IF(R1464="","",IF(INDEX('Recurring Schedule'!$J$6:$J$45,R1464)="","",INDEX('Recurring Schedule'!$J$6:$J$45,R1464)))</f>
        <v/>
      </c>
      <c r="M1464" s="36">
        <f>IF(R1464="","",IF(INDEX('Recurring Schedule'!$K$6:$K$45,R1464)="","",INDEX('Recurring Schedule'!$K$6:$K$45,R1464)))</f>
        <v/>
      </c>
      <c r="N1464" s="36">
        <f>IF(R1464="","",IF(INDEX('Recurring Schedule'!$L$6:$L$45,R1464)="","",INDEX('Recurring Schedule'!$L$6:$L$45,R1464)))</f>
        <v/>
      </c>
      <c r="O1464" s="36">
        <f>IF(C1464="","",IF(AND(OR(L1464="1-Urgent",L1464="2-High"),M1464="✓"),"DO FIRST",IF(M1464="✓","SCHEDULE",IF(OR(L1464="1-Urgent",L1464="2-High"),"DELEGATE","DELETE"))))</f>
        <v/>
      </c>
      <c r="P1464" s="65" t="n"/>
      <c r="Q1464">
        <f>IF(1459&gt;Calc!$AQ$368,"",MATCH(1458,Calc!$AQ$2:$AQ$367,1))</f>
        <v/>
      </c>
      <c r="R1464">
        <f>IF(Q1464="","",SMALL(INDEX(Calc!$B$2:$AO$367,Q1464,0),1459-INDEX(Calc!$AQ$2:$AQ$367,Q1464)))</f>
        <v/>
      </c>
    </row>
    <row r="1465">
      <c r="B1465" s="71">
        <f>IF(R1465="","",1460)</f>
        <v/>
      </c>
      <c r="C1465" s="75">
        <f>IF(R1465="","",IF(INDEX('Recurring Schedule'!$C$6:$C$45,R1465)="","",INDEX('Recurring Schedule'!$C$6:$C$45,R1465)))</f>
        <v/>
      </c>
      <c r="D1465" s="73">
        <f>IF(R1465="","",IF(INDEX('Recurring Schedule'!$D$6:$D$45,R1465)="","",INDEX('Recurring Schedule'!$D$6:$D$45,R1465)))</f>
        <v/>
      </c>
      <c r="E1465" s="76">
        <f>IF(Q1465="","",INDEX(Calc!$A$2:$A$367,Q1465))</f>
        <v/>
      </c>
      <c r="F1465" s="72">
        <f>IF(OR(C1465="",E1465=""),"",E1465-Setup!$D$7)</f>
        <v/>
      </c>
      <c r="G1465" s="77">
        <f>IF(R1465="","",IF(INDEX('Recurring Schedule'!$H$6:$H$45,R1465)="","",INDEX('Recurring Schedule'!$H$6:$H$45,R1465)))</f>
        <v/>
      </c>
      <c r="H1465" s="77">
        <f>IF(R1465="","",IF(INDEX('Recurring Schedule'!$I$6:$I$45,R1465)="","",INDEX('Recurring Schedule'!$I$6:$I$45,R1465)))</f>
        <v/>
      </c>
      <c r="I1465" s="73">
        <f>IF(OR(G1465="",H1465=""),"",TRIM(IF(HOUR(H1465-G1465)&gt;0,HOUR(H1465-G1465)&amp;" hr ","")&amp;IF(MINUTE(H1465-G1465)&gt;0,MINUTE(H1465-G1465)&amp;" min","")))</f>
        <v/>
      </c>
      <c r="J1465" s="66" t="n"/>
      <c r="K1465" s="70" t="n"/>
      <c r="L1465" s="73">
        <f>IF(R1465="","",IF(INDEX('Recurring Schedule'!$J$6:$J$45,R1465)="","",INDEX('Recurring Schedule'!$J$6:$J$45,R1465)))</f>
        <v/>
      </c>
      <c r="M1465" s="73">
        <f>IF(R1465="","",IF(INDEX('Recurring Schedule'!$K$6:$K$45,R1465)="","",INDEX('Recurring Schedule'!$K$6:$K$45,R1465)))</f>
        <v/>
      </c>
      <c r="N1465" s="73">
        <f>IF(R1465="","",IF(INDEX('Recurring Schedule'!$L$6:$L$45,R1465)="","",INDEX('Recurring Schedule'!$L$6:$L$45,R1465)))</f>
        <v/>
      </c>
      <c r="O1465" s="73">
        <f>IF(C1465="","",IF(AND(OR(L1465="1-Urgent",L1465="2-High"),M1465="✓"),"DO FIRST",IF(M1465="✓","SCHEDULE",IF(OR(L1465="1-Urgent",L1465="2-High"),"DELEGATE","DELETE"))))</f>
        <v/>
      </c>
      <c r="P1465" s="65" t="n"/>
      <c r="Q1465">
        <f>IF(1460&gt;Calc!$AQ$368,"",MATCH(1459,Calc!$AQ$2:$AQ$367,1))</f>
        <v/>
      </c>
      <c r="R1465">
        <f>IF(Q1465="","",SMALL(INDEX(Calc!$B$2:$AO$367,Q1465,0),1460-INDEX(Calc!$AQ$2:$AQ$367,Q1465)))</f>
        <v/>
      </c>
    </row>
    <row r="1466">
      <c r="B1466" s="64">
        <f>IF(R1466="","",1461)</f>
        <v/>
      </c>
      <c r="C1466" s="37">
        <f>IF(R1466="","",IF(INDEX('Recurring Schedule'!$C$6:$C$45,R1466)="","",INDEX('Recurring Schedule'!$C$6:$C$45,R1466)))</f>
        <v/>
      </c>
      <c r="D1466" s="36">
        <f>IF(R1466="","",IF(INDEX('Recurring Schedule'!$D$6:$D$45,R1466)="","",INDEX('Recurring Schedule'!$D$6:$D$45,R1466)))</f>
        <v/>
      </c>
      <c r="E1466" s="38">
        <f>IF(Q1466="","",INDEX(Calc!$A$2:$A$367,Q1466))</f>
        <v/>
      </c>
      <c r="F1466" s="68">
        <f>IF(OR(C1466="",E1466=""),"",E1466-Setup!$D$7)</f>
        <v/>
      </c>
      <c r="G1466" s="74">
        <f>IF(R1466="","",IF(INDEX('Recurring Schedule'!$H$6:$H$45,R1466)="","",INDEX('Recurring Schedule'!$H$6:$H$45,R1466)))</f>
        <v/>
      </c>
      <c r="H1466" s="74">
        <f>IF(R1466="","",IF(INDEX('Recurring Schedule'!$I$6:$I$45,R1466)="","",INDEX('Recurring Schedule'!$I$6:$I$45,R1466)))</f>
        <v/>
      </c>
      <c r="I1466" s="36">
        <f>IF(OR(G1466="",H1466=""),"",TRIM(IF(HOUR(H1466-G1466)&gt;0,HOUR(H1466-G1466)&amp;" hr ","")&amp;IF(MINUTE(H1466-G1466)&gt;0,MINUTE(H1466-G1466)&amp;" min","")))</f>
        <v/>
      </c>
      <c r="J1466" s="66" t="n"/>
      <c r="K1466" s="70" t="n"/>
      <c r="L1466" s="36">
        <f>IF(R1466="","",IF(INDEX('Recurring Schedule'!$J$6:$J$45,R1466)="","",INDEX('Recurring Schedule'!$J$6:$J$45,R1466)))</f>
        <v/>
      </c>
      <c r="M1466" s="36">
        <f>IF(R1466="","",IF(INDEX('Recurring Schedule'!$K$6:$K$45,R1466)="","",INDEX('Recurring Schedule'!$K$6:$K$45,R1466)))</f>
        <v/>
      </c>
      <c r="N1466" s="36">
        <f>IF(R1466="","",IF(INDEX('Recurring Schedule'!$L$6:$L$45,R1466)="","",INDEX('Recurring Schedule'!$L$6:$L$45,R1466)))</f>
        <v/>
      </c>
      <c r="O1466" s="36">
        <f>IF(C1466="","",IF(AND(OR(L1466="1-Urgent",L1466="2-High"),M1466="✓"),"DO FIRST",IF(M1466="✓","SCHEDULE",IF(OR(L1466="1-Urgent",L1466="2-High"),"DELEGATE","DELETE"))))</f>
        <v/>
      </c>
      <c r="P1466" s="65" t="n"/>
      <c r="Q1466">
        <f>IF(1461&gt;Calc!$AQ$368,"",MATCH(1460,Calc!$AQ$2:$AQ$367,1))</f>
        <v/>
      </c>
      <c r="R1466">
        <f>IF(Q1466="","",SMALL(INDEX(Calc!$B$2:$AO$367,Q1466,0),1461-INDEX(Calc!$AQ$2:$AQ$367,Q1466)))</f>
        <v/>
      </c>
    </row>
    <row r="1467">
      <c r="B1467" s="71">
        <f>IF(R1467="","",1462)</f>
        <v/>
      </c>
      <c r="C1467" s="75">
        <f>IF(R1467="","",IF(INDEX('Recurring Schedule'!$C$6:$C$45,R1467)="","",INDEX('Recurring Schedule'!$C$6:$C$45,R1467)))</f>
        <v/>
      </c>
      <c r="D1467" s="73">
        <f>IF(R1467="","",IF(INDEX('Recurring Schedule'!$D$6:$D$45,R1467)="","",INDEX('Recurring Schedule'!$D$6:$D$45,R1467)))</f>
        <v/>
      </c>
      <c r="E1467" s="76">
        <f>IF(Q1467="","",INDEX(Calc!$A$2:$A$367,Q1467))</f>
        <v/>
      </c>
      <c r="F1467" s="72">
        <f>IF(OR(C1467="",E1467=""),"",E1467-Setup!$D$7)</f>
        <v/>
      </c>
      <c r="G1467" s="77">
        <f>IF(R1467="","",IF(INDEX('Recurring Schedule'!$H$6:$H$45,R1467)="","",INDEX('Recurring Schedule'!$H$6:$H$45,R1467)))</f>
        <v/>
      </c>
      <c r="H1467" s="77">
        <f>IF(R1467="","",IF(INDEX('Recurring Schedule'!$I$6:$I$45,R1467)="","",INDEX('Recurring Schedule'!$I$6:$I$45,R1467)))</f>
        <v/>
      </c>
      <c r="I1467" s="73">
        <f>IF(OR(G1467="",H1467=""),"",TRIM(IF(HOUR(H1467-G1467)&gt;0,HOUR(H1467-G1467)&amp;" hr ","")&amp;IF(MINUTE(H1467-G1467)&gt;0,MINUTE(H1467-G1467)&amp;" min","")))</f>
        <v/>
      </c>
      <c r="J1467" s="66" t="n"/>
      <c r="K1467" s="70" t="n"/>
      <c r="L1467" s="73">
        <f>IF(R1467="","",IF(INDEX('Recurring Schedule'!$J$6:$J$45,R1467)="","",INDEX('Recurring Schedule'!$J$6:$J$45,R1467)))</f>
        <v/>
      </c>
      <c r="M1467" s="73">
        <f>IF(R1467="","",IF(INDEX('Recurring Schedule'!$K$6:$K$45,R1467)="","",INDEX('Recurring Schedule'!$K$6:$K$45,R1467)))</f>
        <v/>
      </c>
      <c r="N1467" s="73">
        <f>IF(R1467="","",IF(INDEX('Recurring Schedule'!$L$6:$L$45,R1467)="","",INDEX('Recurring Schedule'!$L$6:$L$45,R1467)))</f>
        <v/>
      </c>
      <c r="O1467" s="73">
        <f>IF(C1467="","",IF(AND(OR(L1467="1-Urgent",L1467="2-High"),M1467="✓"),"DO FIRST",IF(M1467="✓","SCHEDULE",IF(OR(L1467="1-Urgent",L1467="2-High"),"DELEGATE","DELETE"))))</f>
        <v/>
      </c>
      <c r="P1467" s="65" t="n"/>
      <c r="Q1467">
        <f>IF(1462&gt;Calc!$AQ$368,"",MATCH(1461,Calc!$AQ$2:$AQ$367,1))</f>
        <v/>
      </c>
      <c r="R1467">
        <f>IF(Q1467="","",SMALL(INDEX(Calc!$B$2:$AO$367,Q1467,0),1462-INDEX(Calc!$AQ$2:$AQ$367,Q1467)))</f>
        <v/>
      </c>
    </row>
    <row r="1468">
      <c r="B1468" s="64">
        <f>IF(R1468="","",1463)</f>
        <v/>
      </c>
      <c r="C1468" s="37">
        <f>IF(R1468="","",IF(INDEX('Recurring Schedule'!$C$6:$C$45,R1468)="","",INDEX('Recurring Schedule'!$C$6:$C$45,R1468)))</f>
        <v/>
      </c>
      <c r="D1468" s="36">
        <f>IF(R1468="","",IF(INDEX('Recurring Schedule'!$D$6:$D$45,R1468)="","",INDEX('Recurring Schedule'!$D$6:$D$45,R1468)))</f>
        <v/>
      </c>
      <c r="E1468" s="38">
        <f>IF(Q1468="","",INDEX(Calc!$A$2:$A$367,Q1468))</f>
        <v/>
      </c>
      <c r="F1468" s="68">
        <f>IF(OR(C1468="",E1468=""),"",E1468-Setup!$D$7)</f>
        <v/>
      </c>
      <c r="G1468" s="74">
        <f>IF(R1468="","",IF(INDEX('Recurring Schedule'!$H$6:$H$45,R1468)="","",INDEX('Recurring Schedule'!$H$6:$H$45,R1468)))</f>
        <v/>
      </c>
      <c r="H1468" s="74">
        <f>IF(R1468="","",IF(INDEX('Recurring Schedule'!$I$6:$I$45,R1468)="","",INDEX('Recurring Schedule'!$I$6:$I$45,R1468)))</f>
        <v/>
      </c>
      <c r="I1468" s="36">
        <f>IF(OR(G1468="",H1468=""),"",TRIM(IF(HOUR(H1468-G1468)&gt;0,HOUR(H1468-G1468)&amp;" hr ","")&amp;IF(MINUTE(H1468-G1468)&gt;0,MINUTE(H1468-G1468)&amp;" min","")))</f>
        <v/>
      </c>
      <c r="J1468" s="66" t="n"/>
      <c r="K1468" s="70" t="n"/>
      <c r="L1468" s="36">
        <f>IF(R1468="","",IF(INDEX('Recurring Schedule'!$J$6:$J$45,R1468)="","",INDEX('Recurring Schedule'!$J$6:$J$45,R1468)))</f>
        <v/>
      </c>
      <c r="M1468" s="36">
        <f>IF(R1468="","",IF(INDEX('Recurring Schedule'!$K$6:$K$45,R1468)="","",INDEX('Recurring Schedule'!$K$6:$K$45,R1468)))</f>
        <v/>
      </c>
      <c r="N1468" s="36">
        <f>IF(R1468="","",IF(INDEX('Recurring Schedule'!$L$6:$L$45,R1468)="","",INDEX('Recurring Schedule'!$L$6:$L$45,R1468)))</f>
        <v/>
      </c>
      <c r="O1468" s="36">
        <f>IF(C1468="","",IF(AND(OR(L1468="1-Urgent",L1468="2-High"),M1468="✓"),"DO FIRST",IF(M1468="✓","SCHEDULE",IF(OR(L1468="1-Urgent",L1468="2-High"),"DELEGATE","DELETE"))))</f>
        <v/>
      </c>
      <c r="P1468" s="65" t="n"/>
      <c r="Q1468">
        <f>IF(1463&gt;Calc!$AQ$368,"",MATCH(1462,Calc!$AQ$2:$AQ$367,1))</f>
        <v/>
      </c>
      <c r="R1468">
        <f>IF(Q1468="","",SMALL(INDEX(Calc!$B$2:$AO$367,Q1468,0),1463-INDEX(Calc!$AQ$2:$AQ$367,Q1468)))</f>
        <v/>
      </c>
    </row>
    <row r="1469">
      <c r="B1469" s="71">
        <f>IF(R1469="","",1464)</f>
        <v/>
      </c>
      <c r="C1469" s="75">
        <f>IF(R1469="","",IF(INDEX('Recurring Schedule'!$C$6:$C$45,R1469)="","",INDEX('Recurring Schedule'!$C$6:$C$45,R1469)))</f>
        <v/>
      </c>
      <c r="D1469" s="73">
        <f>IF(R1469="","",IF(INDEX('Recurring Schedule'!$D$6:$D$45,R1469)="","",INDEX('Recurring Schedule'!$D$6:$D$45,R1469)))</f>
        <v/>
      </c>
      <c r="E1469" s="76">
        <f>IF(Q1469="","",INDEX(Calc!$A$2:$A$367,Q1469))</f>
        <v/>
      </c>
      <c r="F1469" s="72">
        <f>IF(OR(C1469="",E1469=""),"",E1469-Setup!$D$7)</f>
        <v/>
      </c>
      <c r="G1469" s="77">
        <f>IF(R1469="","",IF(INDEX('Recurring Schedule'!$H$6:$H$45,R1469)="","",INDEX('Recurring Schedule'!$H$6:$H$45,R1469)))</f>
        <v/>
      </c>
      <c r="H1469" s="77">
        <f>IF(R1469="","",IF(INDEX('Recurring Schedule'!$I$6:$I$45,R1469)="","",INDEX('Recurring Schedule'!$I$6:$I$45,R1469)))</f>
        <v/>
      </c>
      <c r="I1469" s="73">
        <f>IF(OR(G1469="",H1469=""),"",TRIM(IF(HOUR(H1469-G1469)&gt;0,HOUR(H1469-G1469)&amp;" hr ","")&amp;IF(MINUTE(H1469-G1469)&gt;0,MINUTE(H1469-G1469)&amp;" min","")))</f>
        <v/>
      </c>
      <c r="J1469" s="66" t="n"/>
      <c r="K1469" s="70" t="n"/>
      <c r="L1469" s="73">
        <f>IF(R1469="","",IF(INDEX('Recurring Schedule'!$J$6:$J$45,R1469)="","",INDEX('Recurring Schedule'!$J$6:$J$45,R1469)))</f>
        <v/>
      </c>
      <c r="M1469" s="73">
        <f>IF(R1469="","",IF(INDEX('Recurring Schedule'!$K$6:$K$45,R1469)="","",INDEX('Recurring Schedule'!$K$6:$K$45,R1469)))</f>
        <v/>
      </c>
      <c r="N1469" s="73">
        <f>IF(R1469="","",IF(INDEX('Recurring Schedule'!$L$6:$L$45,R1469)="","",INDEX('Recurring Schedule'!$L$6:$L$45,R1469)))</f>
        <v/>
      </c>
      <c r="O1469" s="73">
        <f>IF(C1469="","",IF(AND(OR(L1469="1-Urgent",L1469="2-High"),M1469="✓"),"DO FIRST",IF(M1469="✓","SCHEDULE",IF(OR(L1469="1-Urgent",L1469="2-High"),"DELEGATE","DELETE"))))</f>
        <v/>
      </c>
      <c r="P1469" s="65" t="n"/>
      <c r="Q1469">
        <f>IF(1464&gt;Calc!$AQ$368,"",MATCH(1463,Calc!$AQ$2:$AQ$367,1))</f>
        <v/>
      </c>
      <c r="R1469">
        <f>IF(Q1469="","",SMALL(INDEX(Calc!$B$2:$AO$367,Q1469,0),1464-INDEX(Calc!$AQ$2:$AQ$367,Q1469)))</f>
        <v/>
      </c>
    </row>
    <row r="1470">
      <c r="B1470" s="64">
        <f>IF(R1470="","",1465)</f>
        <v/>
      </c>
      <c r="C1470" s="37">
        <f>IF(R1470="","",IF(INDEX('Recurring Schedule'!$C$6:$C$45,R1470)="","",INDEX('Recurring Schedule'!$C$6:$C$45,R1470)))</f>
        <v/>
      </c>
      <c r="D1470" s="36">
        <f>IF(R1470="","",IF(INDEX('Recurring Schedule'!$D$6:$D$45,R1470)="","",INDEX('Recurring Schedule'!$D$6:$D$45,R1470)))</f>
        <v/>
      </c>
      <c r="E1470" s="38">
        <f>IF(Q1470="","",INDEX(Calc!$A$2:$A$367,Q1470))</f>
        <v/>
      </c>
      <c r="F1470" s="68">
        <f>IF(OR(C1470="",E1470=""),"",E1470-Setup!$D$7)</f>
        <v/>
      </c>
      <c r="G1470" s="74">
        <f>IF(R1470="","",IF(INDEX('Recurring Schedule'!$H$6:$H$45,R1470)="","",INDEX('Recurring Schedule'!$H$6:$H$45,R1470)))</f>
        <v/>
      </c>
      <c r="H1470" s="74">
        <f>IF(R1470="","",IF(INDEX('Recurring Schedule'!$I$6:$I$45,R1470)="","",INDEX('Recurring Schedule'!$I$6:$I$45,R1470)))</f>
        <v/>
      </c>
      <c r="I1470" s="36">
        <f>IF(OR(G1470="",H1470=""),"",TRIM(IF(HOUR(H1470-G1470)&gt;0,HOUR(H1470-G1470)&amp;" hr ","")&amp;IF(MINUTE(H1470-G1470)&gt;0,MINUTE(H1470-G1470)&amp;" min","")))</f>
        <v/>
      </c>
      <c r="J1470" s="66" t="n"/>
      <c r="K1470" s="70" t="n"/>
      <c r="L1470" s="36">
        <f>IF(R1470="","",IF(INDEX('Recurring Schedule'!$J$6:$J$45,R1470)="","",INDEX('Recurring Schedule'!$J$6:$J$45,R1470)))</f>
        <v/>
      </c>
      <c r="M1470" s="36">
        <f>IF(R1470="","",IF(INDEX('Recurring Schedule'!$K$6:$K$45,R1470)="","",INDEX('Recurring Schedule'!$K$6:$K$45,R1470)))</f>
        <v/>
      </c>
      <c r="N1470" s="36">
        <f>IF(R1470="","",IF(INDEX('Recurring Schedule'!$L$6:$L$45,R1470)="","",INDEX('Recurring Schedule'!$L$6:$L$45,R1470)))</f>
        <v/>
      </c>
      <c r="O1470" s="36">
        <f>IF(C1470="","",IF(AND(OR(L1470="1-Urgent",L1470="2-High"),M1470="✓"),"DO FIRST",IF(M1470="✓","SCHEDULE",IF(OR(L1470="1-Urgent",L1470="2-High"),"DELEGATE","DELETE"))))</f>
        <v/>
      </c>
      <c r="P1470" s="65" t="n"/>
      <c r="Q1470">
        <f>IF(1465&gt;Calc!$AQ$368,"",MATCH(1464,Calc!$AQ$2:$AQ$367,1))</f>
        <v/>
      </c>
      <c r="R1470">
        <f>IF(Q1470="","",SMALL(INDEX(Calc!$B$2:$AO$367,Q1470,0),1465-INDEX(Calc!$AQ$2:$AQ$367,Q1470)))</f>
        <v/>
      </c>
    </row>
    <row r="1471">
      <c r="B1471" s="71">
        <f>IF(R1471="","",1466)</f>
        <v/>
      </c>
      <c r="C1471" s="75">
        <f>IF(R1471="","",IF(INDEX('Recurring Schedule'!$C$6:$C$45,R1471)="","",INDEX('Recurring Schedule'!$C$6:$C$45,R1471)))</f>
        <v/>
      </c>
      <c r="D1471" s="73">
        <f>IF(R1471="","",IF(INDEX('Recurring Schedule'!$D$6:$D$45,R1471)="","",INDEX('Recurring Schedule'!$D$6:$D$45,R1471)))</f>
        <v/>
      </c>
      <c r="E1471" s="76">
        <f>IF(Q1471="","",INDEX(Calc!$A$2:$A$367,Q1471))</f>
        <v/>
      </c>
      <c r="F1471" s="72">
        <f>IF(OR(C1471="",E1471=""),"",E1471-Setup!$D$7)</f>
        <v/>
      </c>
      <c r="G1471" s="77">
        <f>IF(R1471="","",IF(INDEX('Recurring Schedule'!$H$6:$H$45,R1471)="","",INDEX('Recurring Schedule'!$H$6:$H$45,R1471)))</f>
        <v/>
      </c>
      <c r="H1471" s="77">
        <f>IF(R1471="","",IF(INDEX('Recurring Schedule'!$I$6:$I$45,R1471)="","",INDEX('Recurring Schedule'!$I$6:$I$45,R1471)))</f>
        <v/>
      </c>
      <c r="I1471" s="73">
        <f>IF(OR(G1471="",H1471=""),"",TRIM(IF(HOUR(H1471-G1471)&gt;0,HOUR(H1471-G1471)&amp;" hr ","")&amp;IF(MINUTE(H1471-G1471)&gt;0,MINUTE(H1471-G1471)&amp;" min","")))</f>
        <v/>
      </c>
      <c r="J1471" s="66" t="n"/>
      <c r="K1471" s="70" t="n"/>
      <c r="L1471" s="73">
        <f>IF(R1471="","",IF(INDEX('Recurring Schedule'!$J$6:$J$45,R1471)="","",INDEX('Recurring Schedule'!$J$6:$J$45,R1471)))</f>
        <v/>
      </c>
      <c r="M1471" s="73">
        <f>IF(R1471="","",IF(INDEX('Recurring Schedule'!$K$6:$K$45,R1471)="","",INDEX('Recurring Schedule'!$K$6:$K$45,R1471)))</f>
        <v/>
      </c>
      <c r="N1471" s="73">
        <f>IF(R1471="","",IF(INDEX('Recurring Schedule'!$L$6:$L$45,R1471)="","",INDEX('Recurring Schedule'!$L$6:$L$45,R1471)))</f>
        <v/>
      </c>
      <c r="O1471" s="73">
        <f>IF(C1471="","",IF(AND(OR(L1471="1-Urgent",L1471="2-High"),M1471="✓"),"DO FIRST",IF(M1471="✓","SCHEDULE",IF(OR(L1471="1-Urgent",L1471="2-High"),"DELEGATE","DELETE"))))</f>
        <v/>
      </c>
      <c r="P1471" s="65" t="n"/>
      <c r="Q1471">
        <f>IF(1466&gt;Calc!$AQ$368,"",MATCH(1465,Calc!$AQ$2:$AQ$367,1))</f>
        <v/>
      </c>
      <c r="R1471">
        <f>IF(Q1471="","",SMALL(INDEX(Calc!$B$2:$AO$367,Q1471,0),1466-INDEX(Calc!$AQ$2:$AQ$367,Q1471)))</f>
        <v/>
      </c>
    </row>
    <row r="1472">
      <c r="B1472" s="64">
        <f>IF(R1472="","",1467)</f>
        <v/>
      </c>
      <c r="C1472" s="37">
        <f>IF(R1472="","",IF(INDEX('Recurring Schedule'!$C$6:$C$45,R1472)="","",INDEX('Recurring Schedule'!$C$6:$C$45,R1472)))</f>
        <v/>
      </c>
      <c r="D1472" s="36">
        <f>IF(R1472="","",IF(INDEX('Recurring Schedule'!$D$6:$D$45,R1472)="","",INDEX('Recurring Schedule'!$D$6:$D$45,R1472)))</f>
        <v/>
      </c>
      <c r="E1472" s="38">
        <f>IF(Q1472="","",INDEX(Calc!$A$2:$A$367,Q1472))</f>
        <v/>
      </c>
      <c r="F1472" s="68">
        <f>IF(OR(C1472="",E1472=""),"",E1472-Setup!$D$7)</f>
        <v/>
      </c>
      <c r="G1472" s="74">
        <f>IF(R1472="","",IF(INDEX('Recurring Schedule'!$H$6:$H$45,R1472)="","",INDEX('Recurring Schedule'!$H$6:$H$45,R1472)))</f>
        <v/>
      </c>
      <c r="H1472" s="74">
        <f>IF(R1472="","",IF(INDEX('Recurring Schedule'!$I$6:$I$45,R1472)="","",INDEX('Recurring Schedule'!$I$6:$I$45,R1472)))</f>
        <v/>
      </c>
      <c r="I1472" s="36">
        <f>IF(OR(G1472="",H1472=""),"",TRIM(IF(HOUR(H1472-G1472)&gt;0,HOUR(H1472-G1472)&amp;" hr ","")&amp;IF(MINUTE(H1472-G1472)&gt;0,MINUTE(H1472-G1472)&amp;" min","")))</f>
        <v/>
      </c>
      <c r="J1472" s="66" t="n"/>
      <c r="K1472" s="70" t="n"/>
      <c r="L1472" s="36">
        <f>IF(R1472="","",IF(INDEX('Recurring Schedule'!$J$6:$J$45,R1472)="","",INDEX('Recurring Schedule'!$J$6:$J$45,R1472)))</f>
        <v/>
      </c>
      <c r="M1472" s="36">
        <f>IF(R1472="","",IF(INDEX('Recurring Schedule'!$K$6:$K$45,R1472)="","",INDEX('Recurring Schedule'!$K$6:$K$45,R1472)))</f>
        <v/>
      </c>
      <c r="N1472" s="36">
        <f>IF(R1472="","",IF(INDEX('Recurring Schedule'!$L$6:$L$45,R1472)="","",INDEX('Recurring Schedule'!$L$6:$L$45,R1472)))</f>
        <v/>
      </c>
      <c r="O1472" s="36">
        <f>IF(C1472="","",IF(AND(OR(L1472="1-Urgent",L1472="2-High"),M1472="✓"),"DO FIRST",IF(M1472="✓","SCHEDULE",IF(OR(L1472="1-Urgent",L1472="2-High"),"DELEGATE","DELETE"))))</f>
        <v/>
      </c>
      <c r="P1472" s="65" t="n"/>
      <c r="Q1472">
        <f>IF(1467&gt;Calc!$AQ$368,"",MATCH(1466,Calc!$AQ$2:$AQ$367,1))</f>
        <v/>
      </c>
      <c r="R1472">
        <f>IF(Q1472="","",SMALL(INDEX(Calc!$B$2:$AO$367,Q1472,0),1467-INDEX(Calc!$AQ$2:$AQ$367,Q1472)))</f>
        <v/>
      </c>
    </row>
    <row r="1473">
      <c r="B1473" s="71">
        <f>IF(R1473="","",1468)</f>
        <v/>
      </c>
      <c r="C1473" s="75">
        <f>IF(R1473="","",IF(INDEX('Recurring Schedule'!$C$6:$C$45,R1473)="","",INDEX('Recurring Schedule'!$C$6:$C$45,R1473)))</f>
        <v/>
      </c>
      <c r="D1473" s="73">
        <f>IF(R1473="","",IF(INDEX('Recurring Schedule'!$D$6:$D$45,R1473)="","",INDEX('Recurring Schedule'!$D$6:$D$45,R1473)))</f>
        <v/>
      </c>
      <c r="E1473" s="76">
        <f>IF(Q1473="","",INDEX(Calc!$A$2:$A$367,Q1473))</f>
        <v/>
      </c>
      <c r="F1473" s="72">
        <f>IF(OR(C1473="",E1473=""),"",E1473-Setup!$D$7)</f>
        <v/>
      </c>
      <c r="G1473" s="77">
        <f>IF(R1473="","",IF(INDEX('Recurring Schedule'!$H$6:$H$45,R1473)="","",INDEX('Recurring Schedule'!$H$6:$H$45,R1473)))</f>
        <v/>
      </c>
      <c r="H1473" s="77">
        <f>IF(R1473="","",IF(INDEX('Recurring Schedule'!$I$6:$I$45,R1473)="","",INDEX('Recurring Schedule'!$I$6:$I$45,R1473)))</f>
        <v/>
      </c>
      <c r="I1473" s="73">
        <f>IF(OR(G1473="",H1473=""),"",TRIM(IF(HOUR(H1473-G1473)&gt;0,HOUR(H1473-G1473)&amp;" hr ","")&amp;IF(MINUTE(H1473-G1473)&gt;0,MINUTE(H1473-G1473)&amp;" min","")))</f>
        <v/>
      </c>
      <c r="J1473" s="66" t="n"/>
      <c r="K1473" s="70" t="n"/>
      <c r="L1473" s="73">
        <f>IF(R1473="","",IF(INDEX('Recurring Schedule'!$J$6:$J$45,R1473)="","",INDEX('Recurring Schedule'!$J$6:$J$45,R1473)))</f>
        <v/>
      </c>
      <c r="M1473" s="73">
        <f>IF(R1473="","",IF(INDEX('Recurring Schedule'!$K$6:$K$45,R1473)="","",INDEX('Recurring Schedule'!$K$6:$K$45,R1473)))</f>
        <v/>
      </c>
      <c r="N1473" s="73">
        <f>IF(R1473="","",IF(INDEX('Recurring Schedule'!$L$6:$L$45,R1473)="","",INDEX('Recurring Schedule'!$L$6:$L$45,R1473)))</f>
        <v/>
      </c>
      <c r="O1473" s="73">
        <f>IF(C1473="","",IF(AND(OR(L1473="1-Urgent",L1473="2-High"),M1473="✓"),"DO FIRST",IF(M1473="✓","SCHEDULE",IF(OR(L1473="1-Urgent",L1473="2-High"),"DELEGATE","DELETE"))))</f>
        <v/>
      </c>
      <c r="P1473" s="65" t="n"/>
      <c r="Q1473">
        <f>IF(1468&gt;Calc!$AQ$368,"",MATCH(1467,Calc!$AQ$2:$AQ$367,1))</f>
        <v/>
      </c>
      <c r="R1473">
        <f>IF(Q1473="","",SMALL(INDEX(Calc!$B$2:$AO$367,Q1473,0),1468-INDEX(Calc!$AQ$2:$AQ$367,Q1473)))</f>
        <v/>
      </c>
    </row>
    <row r="1474">
      <c r="B1474" s="64">
        <f>IF(R1474="","",1469)</f>
        <v/>
      </c>
      <c r="C1474" s="37">
        <f>IF(R1474="","",IF(INDEX('Recurring Schedule'!$C$6:$C$45,R1474)="","",INDEX('Recurring Schedule'!$C$6:$C$45,R1474)))</f>
        <v/>
      </c>
      <c r="D1474" s="36">
        <f>IF(R1474="","",IF(INDEX('Recurring Schedule'!$D$6:$D$45,R1474)="","",INDEX('Recurring Schedule'!$D$6:$D$45,R1474)))</f>
        <v/>
      </c>
      <c r="E1474" s="38">
        <f>IF(Q1474="","",INDEX(Calc!$A$2:$A$367,Q1474))</f>
        <v/>
      </c>
      <c r="F1474" s="68">
        <f>IF(OR(C1474="",E1474=""),"",E1474-Setup!$D$7)</f>
        <v/>
      </c>
      <c r="G1474" s="74">
        <f>IF(R1474="","",IF(INDEX('Recurring Schedule'!$H$6:$H$45,R1474)="","",INDEX('Recurring Schedule'!$H$6:$H$45,R1474)))</f>
        <v/>
      </c>
      <c r="H1474" s="74">
        <f>IF(R1474="","",IF(INDEX('Recurring Schedule'!$I$6:$I$45,R1474)="","",INDEX('Recurring Schedule'!$I$6:$I$45,R1474)))</f>
        <v/>
      </c>
      <c r="I1474" s="36">
        <f>IF(OR(G1474="",H1474=""),"",TRIM(IF(HOUR(H1474-G1474)&gt;0,HOUR(H1474-G1474)&amp;" hr ","")&amp;IF(MINUTE(H1474-G1474)&gt;0,MINUTE(H1474-G1474)&amp;" min","")))</f>
        <v/>
      </c>
      <c r="J1474" s="66" t="n"/>
      <c r="K1474" s="70" t="n"/>
      <c r="L1474" s="36">
        <f>IF(R1474="","",IF(INDEX('Recurring Schedule'!$J$6:$J$45,R1474)="","",INDEX('Recurring Schedule'!$J$6:$J$45,R1474)))</f>
        <v/>
      </c>
      <c r="M1474" s="36">
        <f>IF(R1474="","",IF(INDEX('Recurring Schedule'!$K$6:$K$45,R1474)="","",INDEX('Recurring Schedule'!$K$6:$K$45,R1474)))</f>
        <v/>
      </c>
      <c r="N1474" s="36">
        <f>IF(R1474="","",IF(INDEX('Recurring Schedule'!$L$6:$L$45,R1474)="","",INDEX('Recurring Schedule'!$L$6:$L$45,R1474)))</f>
        <v/>
      </c>
      <c r="O1474" s="36">
        <f>IF(C1474="","",IF(AND(OR(L1474="1-Urgent",L1474="2-High"),M1474="✓"),"DO FIRST",IF(M1474="✓","SCHEDULE",IF(OR(L1474="1-Urgent",L1474="2-High"),"DELEGATE","DELETE"))))</f>
        <v/>
      </c>
      <c r="P1474" s="65" t="n"/>
      <c r="Q1474">
        <f>IF(1469&gt;Calc!$AQ$368,"",MATCH(1468,Calc!$AQ$2:$AQ$367,1))</f>
        <v/>
      </c>
      <c r="R1474">
        <f>IF(Q1474="","",SMALL(INDEX(Calc!$B$2:$AO$367,Q1474,0),1469-INDEX(Calc!$AQ$2:$AQ$367,Q1474)))</f>
        <v/>
      </c>
    </row>
    <row r="1475">
      <c r="B1475" s="71">
        <f>IF(R1475="","",1470)</f>
        <v/>
      </c>
      <c r="C1475" s="75">
        <f>IF(R1475="","",IF(INDEX('Recurring Schedule'!$C$6:$C$45,R1475)="","",INDEX('Recurring Schedule'!$C$6:$C$45,R1475)))</f>
        <v/>
      </c>
      <c r="D1475" s="73">
        <f>IF(R1475="","",IF(INDEX('Recurring Schedule'!$D$6:$D$45,R1475)="","",INDEX('Recurring Schedule'!$D$6:$D$45,R1475)))</f>
        <v/>
      </c>
      <c r="E1475" s="76">
        <f>IF(Q1475="","",INDEX(Calc!$A$2:$A$367,Q1475))</f>
        <v/>
      </c>
      <c r="F1475" s="72">
        <f>IF(OR(C1475="",E1475=""),"",E1475-Setup!$D$7)</f>
        <v/>
      </c>
      <c r="G1475" s="77">
        <f>IF(R1475="","",IF(INDEX('Recurring Schedule'!$H$6:$H$45,R1475)="","",INDEX('Recurring Schedule'!$H$6:$H$45,R1475)))</f>
        <v/>
      </c>
      <c r="H1475" s="77">
        <f>IF(R1475="","",IF(INDEX('Recurring Schedule'!$I$6:$I$45,R1475)="","",INDEX('Recurring Schedule'!$I$6:$I$45,R1475)))</f>
        <v/>
      </c>
      <c r="I1475" s="73">
        <f>IF(OR(G1475="",H1475=""),"",TRIM(IF(HOUR(H1475-G1475)&gt;0,HOUR(H1475-G1475)&amp;" hr ","")&amp;IF(MINUTE(H1475-G1475)&gt;0,MINUTE(H1475-G1475)&amp;" min","")))</f>
        <v/>
      </c>
      <c r="J1475" s="66" t="n"/>
      <c r="K1475" s="70" t="n"/>
      <c r="L1475" s="73">
        <f>IF(R1475="","",IF(INDEX('Recurring Schedule'!$J$6:$J$45,R1475)="","",INDEX('Recurring Schedule'!$J$6:$J$45,R1475)))</f>
        <v/>
      </c>
      <c r="M1475" s="73">
        <f>IF(R1475="","",IF(INDEX('Recurring Schedule'!$K$6:$K$45,R1475)="","",INDEX('Recurring Schedule'!$K$6:$K$45,R1475)))</f>
        <v/>
      </c>
      <c r="N1475" s="73">
        <f>IF(R1475="","",IF(INDEX('Recurring Schedule'!$L$6:$L$45,R1475)="","",INDEX('Recurring Schedule'!$L$6:$L$45,R1475)))</f>
        <v/>
      </c>
      <c r="O1475" s="73">
        <f>IF(C1475="","",IF(AND(OR(L1475="1-Urgent",L1475="2-High"),M1475="✓"),"DO FIRST",IF(M1475="✓","SCHEDULE",IF(OR(L1475="1-Urgent",L1475="2-High"),"DELEGATE","DELETE"))))</f>
        <v/>
      </c>
      <c r="P1475" s="65" t="n"/>
      <c r="Q1475">
        <f>IF(1470&gt;Calc!$AQ$368,"",MATCH(1469,Calc!$AQ$2:$AQ$367,1))</f>
        <v/>
      </c>
      <c r="R1475">
        <f>IF(Q1475="","",SMALL(INDEX(Calc!$B$2:$AO$367,Q1475,0),1470-INDEX(Calc!$AQ$2:$AQ$367,Q1475)))</f>
        <v/>
      </c>
    </row>
    <row r="1476">
      <c r="B1476" s="64">
        <f>IF(R1476="","",1471)</f>
        <v/>
      </c>
      <c r="C1476" s="37">
        <f>IF(R1476="","",IF(INDEX('Recurring Schedule'!$C$6:$C$45,R1476)="","",INDEX('Recurring Schedule'!$C$6:$C$45,R1476)))</f>
        <v/>
      </c>
      <c r="D1476" s="36">
        <f>IF(R1476="","",IF(INDEX('Recurring Schedule'!$D$6:$D$45,R1476)="","",INDEX('Recurring Schedule'!$D$6:$D$45,R1476)))</f>
        <v/>
      </c>
      <c r="E1476" s="38">
        <f>IF(Q1476="","",INDEX(Calc!$A$2:$A$367,Q1476))</f>
        <v/>
      </c>
      <c r="F1476" s="68">
        <f>IF(OR(C1476="",E1476=""),"",E1476-Setup!$D$7)</f>
        <v/>
      </c>
      <c r="G1476" s="74">
        <f>IF(R1476="","",IF(INDEX('Recurring Schedule'!$H$6:$H$45,R1476)="","",INDEX('Recurring Schedule'!$H$6:$H$45,R1476)))</f>
        <v/>
      </c>
      <c r="H1476" s="74">
        <f>IF(R1476="","",IF(INDEX('Recurring Schedule'!$I$6:$I$45,R1476)="","",INDEX('Recurring Schedule'!$I$6:$I$45,R1476)))</f>
        <v/>
      </c>
      <c r="I1476" s="36">
        <f>IF(OR(G1476="",H1476=""),"",TRIM(IF(HOUR(H1476-G1476)&gt;0,HOUR(H1476-G1476)&amp;" hr ","")&amp;IF(MINUTE(H1476-G1476)&gt;0,MINUTE(H1476-G1476)&amp;" min","")))</f>
        <v/>
      </c>
      <c r="J1476" s="66" t="n"/>
      <c r="K1476" s="70" t="n"/>
      <c r="L1476" s="36">
        <f>IF(R1476="","",IF(INDEX('Recurring Schedule'!$J$6:$J$45,R1476)="","",INDEX('Recurring Schedule'!$J$6:$J$45,R1476)))</f>
        <v/>
      </c>
      <c r="M1476" s="36">
        <f>IF(R1476="","",IF(INDEX('Recurring Schedule'!$K$6:$K$45,R1476)="","",INDEX('Recurring Schedule'!$K$6:$K$45,R1476)))</f>
        <v/>
      </c>
      <c r="N1476" s="36">
        <f>IF(R1476="","",IF(INDEX('Recurring Schedule'!$L$6:$L$45,R1476)="","",INDEX('Recurring Schedule'!$L$6:$L$45,R1476)))</f>
        <v/>
      </c>
      <c r="O1476" s="36">
        <f>IF(C1476="","",IF(AND(OR(L1476="1-Urgent",L1476="2-High"),M1476="✓"),"DO FIRST",IF(M1476="✓","SCHEDULE",IF(OR(L1476="1-Urgent",L1476="2-High"),"DELEGATE","DELETE"))))</f>
        <v/>
      </c>
      <c r="P1476" s="65" t="n"/>
      <c r="Q1476">
        <f>IF(1471&gt;Calc!$AQ$368,"",MATCH(1470,Calc!$AQ$2:$AQ$367,1))</f>
        <v/>
      </c>
      <c r="R1476">
        <f>IF(Q1476="","",SMALL(INDEX(Calc!$B$2:$AO$367,Q1476,0),1471-INDEX(Calc!$AQ$2:$AQ$367,Q1476)))</f>
        <v/>
      </c>
    </row>
    <row r="1477">
      <c r="B1477" s="71">
        <f>IF(R1477="","",1472)</f>
        <v/>
      </c>
      <c r="C1477" s="75">
        <f>IF(R1477="","",IF(INDEX('Recurring Schedule'!$C$6:$C$45,R1477)="","",INDEX('Recurring Schedule'!$C$6:$C$45,R1477)))</f>
        <v/>
      </c>
      <c r="D1477" s="73">
        <f>IF(R1477="","",IF(INDEX('Recurring Schedule'!$D$6:$D$45,R1477)="","",INDEX('Recurring Schedule'!$D$6:$D$45,R1477)))</f>
        <v/>
      </c>
      <c r="E1477" s="76">
        <f>IF(Q1477="","",INDEX(Calc!$A$2:$A$367,Q1477))</f>
        <v/>
      </c>
      <c r="F1477" s="72">
        <f>IF(OR(C1477="",E1477=""),"",E1477-Setup!$D$7)</f>
        <v/>
      </c>
      <c r="G1477" s="77">
        <f>IF(R1477="","",IF(INDEX('Recurring Schedule'!$H$6:$H$45,R1477)="","",INDEX('Recurring Schedule'!$H$6:$H$45,R1477)))</f>
        <v/>
      </c>
      <c r="H1477" s="77">
        <f>IF(R1477="","",IF(INDEX('Recurring Schedule'!$I$6:$I$45,R1477)="","",INDEX('Recurring Schedule'!$I$6:$I$45,R1477)))</f>
        <v/>
      </c>
      <c r="I1477" s="73">
        <f>IF(OR(G1477="",H1477=""),"",TRIM(IF(HOUR(H1477-G1477)&gt;0,HOUR(H1477-G1477)&amp;" hr ","")&amp;IF(MINUTE(H1477-G1477)&gt;0,MINUTE(H1477-G1477)&amp;" min","")))</f>
        <v/>
      </c>
      <c r="J1477" s="66" t="n"/>
      <c r="K1477" s="70" t="n"/>
      <c r="L1477" s="73">
        <f>IF(R1477="","",IF(INDEX('Recurring Schedule'!$J$6:$J$45,R1477)="","",INDEX('Recurring Schedule'!$J$6:$J$45,R1477)))</f>
        <v/>
      </c>
      <c r="M1477" s="73">
        <f>IF(R1477="","",IF(INDEX('Recurring Schedule'!$K$6:$K$45,R1477)="","",INDEX('Recurring Schedule'!$K$6:$K$45,R1477)))</f>
        <v/>
      </c>
      <c r="N1477" s="73">
        <f>IF(R1477="","",IF(INDEX('Recurring Schedule'!$L$6:$L$45,R1477)="","",INDEX('Recurring Schedule'!$L$6:$L$45,R1477)))</f>
        <v/>
      </c>
      <c r="O1477" s="73">
        <f>IF(C1477="","",IF(AND(OR(L1477="1-Urgent",L1477="2-High"),M1477="✓"),"DO FIRST",IF(M1477="✓","SCHEDULE",IF(OR(L1477="1-Urgent",L1477="2-High"),"DELEGATE","DELETE"))))</f>
        <v/>
      </c>
      <c r="P1477" s="65" t="n"/>
      <c r="Q1477">
        <f>IF(1472&gt;Calc!$AQ$368,"",MATCH(1471,Calc!$AQ$2:$AQ$367,1))</f>
        <v/>
      </c>
      <c r="R1477">
        <f>IF(Q1477="","",SMALL(INDEX(Calc!$B$2:$AO$367,Q1477,0),1472-INDEX(Calc!$AQ$2:$AQ$367,Q1477)))</f>
        <v/>
      </c>
    </row>
    <row r="1478">
      <c r="B1478" s="64">
        <f>IF(R1478="","",1473)</f>
        <v/>
      </c>
      <c r="C1478" s="37">
        <f>IF(R1478="","",IF(INDEX('Recurring Schedule'!$C$6:$C$45,R1478)="","",INDEX('Recurring Schedule'!$C$6:$C$45,R1478)))</f>
        <v/>
      </c>
      <c r="D1478" s="36">
        <f>IF(R1478="","",IF(INDEX('Recurring Schedule'!$D$6:$D$45,R1478)="","",INDEX('Recurring Schedule'!$D$6:$D$45,R1478)))</f>
        <v/>
      </c>
      <c r="E1478" s="38">
        <f>IF(Q1478="","",INDEX(Calc!$A$2:$A$367,Q1478))</f>
        <v/>
      </c>
      <c r="F1478" s="68">
        <f>IF(OR(C1478="",E1478=""),"",E1478-Setup!$D$7)</f>
        <v/>
      </c>
      <c r="G1478" s="74">
        <f>IF(R1478="","",IF(INDEX('Recurring Schedule'!$H$6:$H$45,R1478)="","",INDEX('Recurring Schedule'!$H$6:$H$45,R1478)))</f>
        <v/>
      </c>
      <c r="H1478" s="74">
        <f>IF(R1478="","",IF(INDEX('Recurring Schedule'!$I$6:$I$45,R1478)="","",INDEX('Recurring Schedule'!$I$6:$I$45,R1478)))</f>
        <v/>
      </c>
      <c r="I1478" s="36">
        <f>IF(OR(G1478="",H1478=""),"",TRIM(IF(HOUR(H1478-G1478)&gt;0,HOUR(H1478-G1478)&amp;" hr ","")&amp;IF(MINUTE(H1478-G1478)&gt;0,MINUTE(H1478-G1478)&amp;" min","")))</f>
        <v/>
      </c>
      <c r="J1478" s="66" t="n"/>
      <c r="K1478" s="70" t="n"/>
      <c r="L1478" s="36">
        <f>IF(R1478="","",IF(INDEX('Recurring Schedule'!$J$6:$J$45,R1478)="","",INDEX('Recurring Schedule'!$J$6:$J$45,R1478)))</f>
        <v/>
      </c>
      <c r="M1478" s="36">
        <f>IF(R1478="","",IF(INDEX('Recurring Schedule'!$K$6:$K$45,R1478)="","",INDEX('Recurring Schedule'!$K$6:$K$45,R1478)))</f>
        <v/>
      </c>
      <c r="N1478" s="36">
        <f>IF(R1478="","",IF(INDEX('Recurring Schedule'!$L$6:$L$45,R1478)="","",INDEX('Recurring Schedule'!$L$6:$L$45,R1478)))</f>
        <v/>
      </c>
      <c r="O1478" s="36">
        <f>IF(C1478="","",IF(AND(OR(L1478="1-Urgent",L1478="2-High"),M1478="✓"),"DO FIRST",IF(M1478="✓","SCHEDULE",IF(OR(L1478="1-Urgent",L1478="2-High"),"DELEGATE","DELETE"))))</f>
        <v/>
      </c>
      <c r="P1478" s="65" t="n"/>
      <c r="Q1478">
        <f>IF(1473&gt;Calc!$AQ$368,"",MATCH(1472,Calc!$AQ$2:$AQ$367,1))</f>
        <v/>
      </c>
      <c r="R1478">
        <f>IF(Q1478="","",SMALL(INDEX(Calc!$B$2:$AO$367,Q1478,0),1473-INDEX(Calc!$AQ$2:$AQ$367,Q1478)))</f>
        <v/>
      </c>
    </row>
    <row r="1479">
      <c r="B1479" s="71">
        <f>IF(R1479="","",1474)</f>
        <v/>
      </c>
      <c r="C1479" s="75">
        <f>IF(R1479="","",IF(INDEX('Recurring Schedule'!$C$6:$C$45,R1479)="","",INDEX('Recurring Schedule'!$C$6:$C$45,R1479)))</f>
        <v/>
      </c>
      <c r="D1479" s="73">
        <f>IF(R1479="","",IF(INDEX('Recurring Schedule'!$D$6:$D$45,R1479)="","",INDEX('Recurring Schedule'!$D$6:$D$45,R1479)))</f>
        <v/>
      </c>
      <c r="E1479" s="76">
        <f>IF(Q1479="","",INDEX(Calc!$A$2:$A$367,Q1479))</f>
        <v/>
      </c>
      <c r="F1479" s="72">
        <f>IF(OR(C1479="",E1479=""),"",E1479-Setup!$D$7)</f>
        <v/>
      </c>
      <c r="G1479" s="77">
        <f>IF(R1479="","",IF(INDEX('Recurring Schedule'!$H$6:$H$45,R1479)="","",INDEX('Recurring Schedule'!$H$6:$H$45,R1479)))</f>
        <v/>
      </c>
      <c r="H1479" s="77">
        <f>IF(R1479="","",IF(INDEX('Recurring Schedule'!$I$6:$I$45,R1479)="","",INDEX('Recurring Schedule'!$I$6:$I$45,R1479)))</f>
        <v/>
      </c>
      <c r="I1479" s="73">
        <f>IF(OR(G1479="",H1479=""),"",TRIM(IF(HOUR(H1479-G1479)&gt;0,HOUR(H1479-G1479)&amp;" hr ","")&amp;IF(MINUTE(H1479-G1479)&gt;0,MINUTE(H1479-G1479)&amp;" min","")))</f>
        <v/>
      </c>
      <c r="J1479" s="66" t="n"/>
      <c r="K1479" s="70" t="n"/>
      <c r="L1479" s="73">
        <f>IF(R1479="","",IF(INDEX('Recurring Schedule'!$J$6:$J$45,R1479)="","",INDEX('Recurring Schedule'!$J$6:$J$45,R1479)))</f>
        <v/>
      </c>
      <c r="M1479" s="73">
        <f>IF(R1479="","",IF(INDEX('Recurring Schedule'!$K$6:$K$45,R1479)="","",INDEX('Recurring Schedule'!$K$6:$K$45,R1479)))</f>
        <v/>
      </c>
      <c r="N1479" s="73">
        <f>IF(R1479="","",IF(INDEX('Recurring Schedule'!$L$6:$L$45,R1479)="","",INDEX('Recurring Schedule'!$L$6:$L$45,R1479)))</f>
        <v/>
      </c>
      <c r="O1479" s="73">
        <f>IF(C1479="","",IF(AND(OR(L1479="1-Urgent",L1479="2-High"),M1479="✓"),"DO FIRST",IF(M1479="✓","SCHEDULE",IF(OR(L1479="1-Urgent",L1479="2-High"),"DELEGATE","DELETE"))))</f>
        <v/>
      </c>
      <c r="P1479" s="65" t="n"/>
      <c r="Q1479">
        <f>IF(1474&gt;Calc!$AQ$368,"",MATCH(1473,Calc!$AQ$2:$AQ$367,1))</f>
        <v/>
      </c>
      <c r="R1479">
        <f>IF(Q1479="","",SMALL(INDEX(Calc!$B$2:$AO$367,Q1479,0),1474-INDEX(Calc!$AQ$2:$AQ$367,Q1479)))</f>
        <v/>
      </c>
    </row>
    <row r="1480">
      <c r="B1480" s="64">
        <f>IF(R1480="","",1475)</f>
        <v/>
      </c>
      <c r="C1480" s="37">
        <f>IF(R1480="","",IF(INDEX('Recurring Schedule'!$C$6:$C$45,R1480)="","",INDEX('Recurring Schedule'!$C$6:$C$45,R1480)))</f>
        <v/>
      </c>
      <c r="D1480" s="36">
        <f>IF(R1480="","",IF(INDEX('Recurring Schedule'!$D$6:$D$45,R1480)="","",INDEX('Recurring Schedule'!$D$6:$D$45,R1480)))</f>
        <v/>
      </c>
      <c r="E1480" s="38">
        <f>IF(Q1480="","",INDEX(Calc!$A$2:$A$367,Q1480))</f>
        <v/>
      </c>
      <c r="F1480" s="68">
        <f>IF(OR(C1480="",E1480=""),"",E1480-Setup!$D$7)</f>
        <v/>
      </c>
      <c r="G1480" s="74">
        <f>IF(R1480="","",IF(INDEX('Recurring Schedule'!$H$6:$H$45,R1480)="","",INDEX('Recurring Schedule'!$H$6:$H$45,R1480)))</f>
        <v/>
      </c>
      <c r="H1480" s="74">
        <f>IF(R1480="","",IF(INDEX('Recurring Schedule'!$I$6:$I$45,R1480)="","",INDEX('Recurring Schedule'!$I$6:$I$45,R1480)))</f>
        <v/>
      </c>
      <c r="I1480" s="36">
        <f>IF(OR(G1480="",H1480=""),"",TRIM(IF(HOUR(H1480-G1480)&gt;0,HOUR(H1480-G1480)&amp;" hr ","")&amp;IF(MINUTE(H1480-G1480)&gt;0,MINUTE(H1480-G1480)&amp;" min","")))</f>
        <v/>
      </c>
      <c r="J1480" s="66" t="n"/>
      <c r="K1480" s="70" t="n"/>
      <c r="L1480" s="36">
        <f>IF(R1480="","",IF(INDEX('Recurring Schedule'!$J$6:$J$45,R1480)="","",INDEX('Recurring Schedule'!$J$6:$J$45,R1480)))</f>
        <v/>
      </c>
      <c r="M1480" s="36">
        <f>IF(R1480="","",IF(INDEX('Recurring Schedule'!$K$6:$K$45,R1480)="","",INDEX('Recurring Schedule'!$K$6:$K$45,R1480)))</f>
        <v/>
      </c>
      <c r="N1480" s="36">
        <f>IF(R1480="","",IF(INDEX('Recurring Schedule'!$L$6:$L$45,R1480)="","",INDEX('Recurring Schedule'!$L$6:$L$45,R1480)))</f>
        <v/>
      </c>
      <c r="O1480" s="36">
        <f>IF(C1480="","",IF(AND(OR(L1480="1-Urgent",L1480="2-High"),M1480="✓"),"DO FIRST",IF(M1480="✓","SCHEDULE",IF(OR(L1480="1-Urgent",L1480="2-High"),"DELEGATE","DELETE"))))</f>
        <v/>
      </c>
      <c r="P1480" s="65" t="n"/>
      <c r="Q1480">
        <f>IF(1475&gt;Calc!$AQ$368,"",MATCH(1474,Calc!$AQ$2:$AQ$367,1))</f>
        <v/>
      </c>
      <c r="R1480">
        <f>IF(Q1480="","",SMALL(INDEX(Calc!$B$2:$AO$367,Q1480,0),1475-INDEX(Calc!$AQ$2:$AQ$367,Q1480)))</f>
        <v/>
      </c>
    </row>
    <row r="1481">
      <c r="B1481" s="71">
        <f>IF(R1481="","",1476)</f>
        <v/>
      </c>
      <c r="C1481" s="75">
        <f>IF(R1481="","",IF(INDEX('Recurring Schedule'!$C$6:$C$45,R1481)="","",INDEX('Recurring Schedule'!$C$6:$C$45,R1481)))</f>
        <v/>
      </c>
      <c r="D1481" s="73">
        <f>IF(R1481="","",IF(INDEX('Recurring Schedule'!$D$6:$D$45,R1481)="","",INDEX('Recurring Schedule'!$D$6:$D$45,R1481)))</f>
        <v/>
      </c>
      <c r="E1481" s="76">
        <f>IF(Q1481="","",INDEX(Calc!$A$2:$A$367,Q1481))</f>
        <v/>
      </c>
      <c r="F1481" s="72">
        <f>IF(OR(C1481="",E1481=""),"",E1481-Setup!$D$7)</f>
        <v/>
      </c>
      <c r="G1481" s="77">
        <f>IF(R1481="","",IF(INDEX('Recurring Schedule'!$H$6:$H$45,R1481)="","",INDEX('Recurring Schedule'!$H$6:$H$45,R1481)))</f>
        <v/>
      </c>
      <c r="H1481" s="77">
        <f>IF(R1481="","",IF(INDEX('Recurring Schedule'!$I$6:$I$45,R1481)="","",INDEX('Recurring Schedule'!$I$6:$I$45,R1481)))</f>
        <v/>
      </c>
      <c r="I1481" s="73">
        <f>IF(OR(G1481="",H1481=""),"",TRIM(IF(HOUR(H1481-G1481)&gt;0,HOUR(H1481-G1481)&amp;" hr ","")&amp;IF(MINUTE(H1481-G1481)&gt;0,MINUTE(H1481-G1481)&amp;" min","")))</f>
        <v/>
      </c>
      <c r="J1481" s="66" t="n"/>
      <c r="K1481" s="70" t="n"/>
      <c r="L1481" s="73">
        <f>IF(R1481="","",IF(INDEX('Recurring Schedule'!$J$6:$J$45,R1481)="","",INDEX('Recurring Schedule'!$J$6:$J$45,R1481)))</f>
        <v/>
      </c>
      <c r="M1481" s="73">
        <f>IF(R1481="","",IF(INDEX('Recurring Schedule'!$K$6:$K$45,R1481)="","",INDEX('Recurring Schedule'!$K$6:$K$45,R1481)))</f>
        <v/>
      </c>
      <c r="N1481" s="73">
        <f>IF(R1481="","",IF(INDEX('Recurring Schedule'!$L$6:$L$45,R1481)="","",INDEX('Recurring Schedule'!$L$6:$L$45,R1481)))</f>
        <v/>
      </c>
      <c r="O1481" s="73">
        <f>IF(C1481="","",IF(AND(OR(L1481="1-Urgent",L1481="2-High"),M1481="✓"),"DO FIRST",IF(M1481="✓","SCHEDULE",IF(OR(L1481="1-Urgent",L1481="2-High"),"DELEGATE","DELETE"))))</f>
        <v/>
      </c>
      <c r="P1481" s="65" t="n"/>
      <c r="Q1481">
        <f>IF(1476&gt;Calc!$AQ$368,"",MATCH(1475,Calc!$AQ$2:$AQ$367,1))</f>
        <v/>
      </c>
      <c r="R1481">
        <f>IF(Q1481="","",SMALL(INDEX(Calc!$B$2:$AO$367,Q1481,0),1476-INDEX(Calc!$AQ$2:$AQ$367,Q1481)))</f>
        <v/>
      </c>
    </row>
    <row r="1482">
      <c r="B1482" s="64">
        <f>IF(R1482="","",1477)</f>
        <v/>
      </c>
      <c r="C1482" s="37">
        <f>IF(R1482="","",IF(INDEX('Recurring Schedule'!$C$6:$C$45,R1482)="","",INDEX('Recurring Schedule'!$C$6:$C$45,R1482)))</f>
        <v/>
      </c>
      <c r="D1482" s="36">
        <f>IF(R1482="","",IF(INDEX('Recurring Schedule'!$D$6:$D$45,R1482)="","",INDEX('Recurring Schedule'!$D$6:$D$45,R1482)))</f>
        <v/>
      </c>
      <c r="E1482" s="38">
        <f>IF(Q1482="","",INDEX(Calc!$A$2:$A$367,Q1482))</f>
        <v/>
      </c>
      <c r="F1482" s="68">
        <f>IF(OR(C1482="",E1482=""),"",E1482-Setup!$D$7)</f>
        <v/>
      </c>
      <c r="G1482" s="74">
        <f>IF(R1482="","",IF(INDEX('Recurring Schedule'!$H$6:$H$45,R1482)="","",INDEX('Recurring Schedule'!$H$6:$H$45,R1482)))</f>
        <v/>
      </c>
      <c r="H1482" s="74">
        <f>IF(R1482="","",IF(INDEX('Recurring Schedule'!$I$6:$I$45,R1482)="","",INDEX('Recurring Schedule'!$I$6:$I$45,R1482)))</f>
        <v/>
      </c>
      <c r="I1482" s="36">
        <f>IF(OR(G1482="",H1482=""),"",TRIM(IF(HOUR(H1482-G1482)&gt;0,HOUR(H1482-G1482)&amp;" hr ","")&amp;IF(MINUTE(H1482-G1482)&gt;0,MINUTE(H1482-G1482)&amp;" min","")))</f>
        <v/>
      </c>
      <c r="J1482" s="66" t="n"/>
      <c r="K1482" s="70" t="n"/>
      <c r="L1482" s="36">
        <f>IF(R1482="","",IF(INDEX('Recurring Schedule'!$J$6:$J$45,R1482)="","",INDEX('Recurring Schedule'!$J$6:$J$45,R1482)))</f>
        <v/>
      </c>
      <c r="M1482" s="36">
        <f>IF(R1482="","",IF(INDEX('Recurring Schedule'!$K$6:$K$45,R1482)="","",INDEX('Recurring Schedule'!$K$6:$K$45,R1482)))</f>
        <v/>
      </c>
      <c r="N1482" s="36">
        <f>IF(R1482="","",IF(INDEX('Recurring Schedule'!$L$6:$L$45,R1482)="","",INDEX('Recurring Schedule'!$L$6:$L$45,R1482)))</f>
        <v/>
      </c>
      <c r="O1482" s="36">
        <f>IF(C1482="","",IF(AND(OR(L1482="1-Urgent",L1482="2-High"),M1482="✓"),"DO FIRST",IF(M1482="✓","SCHEDULE",IF(OR(L1482="1-Urgent",L1482="2-High"),"DELEGATE","DELETE"))))</f>
        <v/>
      </c>
      <c r="P1482" s="65" t="n"/>
      <c r="Q1482">
        <f>IF(1477&gt;Calc!$AQ$368,"",MATCH(1476,Calc!$AQ$2:$AQ$367,1))</f>
        <v/>
      </c>
      <c r="R1482">
        <f>IF(Q1482="","",SMALL(INDEX(Calc!$B$2:$AO$367,Q1482,0),1477-INDEX(Calc!$AQ$2:$AQ$367,Q1482)))</f>
        <v/>
      </c>
    </row>
    <row r="1483">
      <c r="B1483" s="71">
        <f>IF(R1483="","",1478)</f>
        <v/>
      </c>
      <c r="C1483" s="75">
        <f>IF(R1483="","",IF(INDEX('Recurring Schedule'!$C$6:$C$45,R1483)="","",INDEX('Recurring Schedule'!$C$6:$C$45,R1483)))</f>
        <v/>
      </c>
      <c r="D1483" s="73">
        <f>IF(R1483="","",IF(INDEX('Recurring Schedule'!$D$6:$D$45,R1483)="","",INDEX('Recurring Schedule'!$D$6:$D$45,R1483)))</f>
        <v/>
      </c>
      <c r="E1483" s="76">
        <f>IF(Q1483="","",INDEX(Calc!$A$2:$A$367,Q1483))</f>
        <v/>
      </c>
      <c r="F1483" s="72">
        <f>IF(OR(C1483="",E1483=""),"",E1483-Setup!$D$7)</f>
        <v/>
      </c>
      <c r="G1483" s="77">
        <f>IF(R1483="","",IF(INDEX('Recurring Schedule'!$H$6:$H$45,R1483)="","",INDEX('Recurring Schedule'!$H$6:$H$45,R1483)))</f>
        <v/>
      </c>
      <c r="H1483" s="77">
        <f>IF(R1483="","",IF(INDEX('Recurring Schedule'!$I$6:$I$45,R1483)="","",INDEX('Recurring Schedule'!$I$6:$I$45,R1483)))</f>
        <v/>
      </c>
      <c r="I1483" s="73">
        <f>IF(OR(G1483="",H1483=""),"",TRIM(IF(HOUR(H1483-G1483)&gt;0,HOUR(H1483-G1483)&amp;" hr ","")&amp;IF(MINUTE(H1483-G1483)&gt;0,MINUTE(H1483-G1483)&amp;" min","")))</f>
        <v/>
      </c>
      <c r="J1483" s="66" t="n"/>
      <c r="K1483" s="70" t="n"/>
      <c r="L1483" s="73">
        <f>IF(R1483="","",IF(INDEX('Recurring Schedule'!$J$6:$J$45,R1483)="","",INDEX('Recurring Schedule'!$J$6:$J$45,R1483)))</f>
        <v/>
      </c>
      <c r="M1483" s="73">
        <f>IF(R1483="","",IF(INDEX('Recurring Schedule'!$K$6:$K$45,R1483)="","",INDEX('Recurring Schedule'!$K$6:$K$45,R1483)))</f>
        <v/>
      </c>
      <c r="N1483" s="73">
        <f>IF(R1483="","",IF(INDEX('Recurring Schedule'!$L$6:$L$45,R1483)="","",INDEX('Recurring Schedule'!$L$6:$L$45,R1483)))</f>
        <v/>
      </c>
      <c r="O1483" s="73">
        <f>IF(C1483="","",IF(AND(OR(L1483="1-Urgent",L1483="2-High"),M1483="✓"),"DO FIRST",IF(M1483="✓","SCHEDULE",IF(OR(L1483="1-Urgent",L1483="2-High"),"DELEGATE","DELETE"))))</f>
        <v/>
      </c>
      <c r="P1483" s="65" t="n"/>
      <c r="Q1483">
        <f>IF(1478&gt;Calc!$AQ$368,"",MATCH(1477,Calc!$AQ$2:$AQ$367,1))</f>
        <v/>
      </c>
      <c r="R1483">
        <f>IF(Q1483="","",SMALL(INDEX(Calc!$B$2:$AO$367,Q1483,0),1478-INDEX(Calc!$AQ$2:$AQ$367,Q1483)))</f>
        <v/>
      </c>
    </row>
    <row r="1484">
      <c r="B1484" s="64">
        <f>IF(R1484="","",1479)</f>
        <v/>
      </c>
      <c r="C1484" s="37">
        <f>IF(R1484="","",IF(INDEX('Recurring Schedule'!$C$6:$C$45,R1484)="","",INDEX('Recurring Schedule'!$C$6:$C$45,R1484)))</f>
        <v/>
      </c>
      <c r="D1484" s="36">
        <f>IF(R1484="","",IF(INDEX('Recurring Schedule'!$D$6:$D$45,R1484)="","",INDEX('Recurring Schedule'!$D$6:$D$45,R1484)))</f>
        <v/>
      </c>
      <c r="E1484" s="38">
        <f>IF(Q1484="","",INDEX(Calc!$A$2:$A$367,Q1484))</f>
        <v/>
      </c>
      <c r="F1484" s="68">
        <f>IF(OR(C1484="",E1484=""),"",E1484-Setup!$D$7)</f>
        <v/>
      </c>
      <c r="G1484" s="74">
        <f>IF(R1484="","",IF(INDEX('Recurring Schedule'!$H$6:$H$45,R1484)="","",INDEX('Recurring Schedule'!$H$6:$H$45,R1484)))</f>
        <v/>
      </c>
      <c r="H1484" s="74">
        <f>IF(R1484="","",IF(INDEX('Recurring Schedule'!$I$6:$I$45,R1484)="","",INDEX('Recurring Schedule'!$I$6:$I$45,R1484)))</f>
        <v/>
      </c>
      <c r="I1484" s="36">
        <f>IF(OR(G1484="",H1484=""),"",TRIM(IF(HOUR(H1484-G1484)&gt;0,HOUR(H1484-G1484)&amp;" hr ","")&amp;IF(MINUTE(H1484-G1484)&gt;0,MINUTE(H1484-G1484)&amp;" min","")))</f>
        <v/>
      </c>
      <c r="J1484" s="66" t="n"/>
      <c r="K1484" s="70" t="n"/>
      <c r="L1484" s="36">
        <f>IF(R1484="","",IF(INDEX('Recurring Schedule'!$J$6:$J$45,R1484)="","",INDEX('Recurring Schedule'!$J$6:$J$45,R1484)))</f>
        <v/>
      </c>
      <c r="M1484" s="36">
        <f>IF(R1484="","",IF(INDEX('Recurring Schedule'!$K$6:$K$45,R1484)="","",INDEX('Recurring Schedule'!$K$6:$K$45,R1484)))</f>
        <v/>
      </c>
      <c r="N1484" s="36">
        <f>IF(R1484="","",IF(INDEX('Recurring Schedule'!$L$6:$L$45,R1484)="","",INDEX('Recurring Schedule'!$L$6:$L$45,R1484)))</f>
        <v/>
      </c>
      <c r="O1484" s="36">
        <f>IF(C1484="","",IF(AND(OR(L1484="1-Urgent",L1484="2-High"),M1484="✓"),"DO FIRST",IF(M1484="✓","SCHEDULE",IF(OR(L1484="1-Urgent",L1484="2-High"),"DELEGATE","DELETE"))))</f>
        <v/>
      </c>
      <c r="P1484" s="65" t="n"/>
      <c r="Q1484">
        <f>IF(1479&gt;Calc!$AQ$368,"",MATCH(1478,Calc!$AQ$2:$AQ$367,1))</f>
        <v/>
      </c>
      <c r="R1484">
        <f>IF(Q1484="","",SMALL(INDEX(Calc!$B$2:$AO$367,Q1484,0),1479-INDEX(Calc!$AQ$2:$AQ$367,Q1484)))</f>
        <v/>
      </c>
    </row>
    <row r="1485">
      <c r="B1485" s="71">
        <f>IF(R1485="","",1480)</f>
        <v/>
      </c>
      <c r="C1485" s="75">
        <f>IF(R1485="","",IF(INDEX('Recurring Schedule'!$C$6:$C$45,R1485)="","",INDEX('Recurring Schedule'!$C$6:$C$45,R1485)))</f>
        <v/>
      </c>
      <c r="D1485" s="73">
        <f>IF(R1485="","",IF(INDEX('Recurring Schedule'!$D$6:$D$45,R1485)="","",INDEX('Recurring Schedule'!$D$6:$D$45,R1485)))</f>
        <v/>
      </c>
      <c r="E1485" s="76">
        <f>IF(Q1485="","",INDEX(Calc!$A$2:$A$367,Q1485))</f>
        <v/>
      </c>
      <c r="F1485" s="72">
        <f>IF(OR(C1485="",E1485=""),"",E1485-Setup!$D$7)</f>
        <v/>
      </c>
      <c r="G1485" s="77">
        <f>IF(R1485="","",IF(INDEX('Recurring Schedule'!$H$6:$H$45,R1485)="","",INDEX('Recurring Schedule'!$H$6:$H$45,R1485)))</f>
        <v/>
      </c>
      <c r="H1485" s="77">
        <f>IF(R1485="","",IF(INDEX('Recurring Schedule'!$I$6:$I$45,R1485)="","",INDEX('Recurring Schedule'!$I$6:$I$45,R1485)))</f>
        <v/>
      </c>
      <c r="I1485" s="73">
        <f>IF(OR(G1485="",H1485=""),"",TRIM(IF(HOUR(H1485-G1485)&gt;0,HOUR(H1485-G1485)&amp;" hr ","")&amp;IF(MINUTE(H1485-G1485)&gt;0,MINUTE(H1485-G1485)&amp;" min","")))</f>
        <v/>
      </c>
      <c r="J1485" s="66" t="n"/>
      <c r="K1485" s="70" t="n"/>
      <c r="L1485" s="73">
        <f>IF(R1485="","",IF(INDEX('Recurring Schedule'!$J$6:$J$45,R1485)="","",INDEX('Recurring Schedule'!$J$6:$J$45,R1485)))</f>
        <v/>
      </c>
      <c r="M1485" s="73">
        <f>IF(R1485="","",IF(INDEX('Recurring Schedule'!$K$6:$K$45,R1485)="","",INDEX('Recurring Schedule'!$K$6:$K$45,R1485)))</f>
        <v/>
      </c>
      <c r="N1485" s="73">
        <f>IF(R1485="","",IF(INDEX('Recurring Schedule'!$L$6:$L$45,R1485)="","",INDEX('Recurring Schedule'!$L$6:$L$45,R1485)))</f>
        <v/>
      </c>
      <c r="O1485" s="73">
        <f>IF(C1485="","",IF(AND(OR(L1485="1-Urgent",L1485="2-High"),M1485="✓"),"DO FIRST",IF(M1485="✓","SCHEDULE",IF(OR(L1485="1-Urgent",L1485="2-High"),"DELEGATE","DELETE"))))</f>
        <v/>
      </c>
      <c r="P1485" s="65" t="n"/>
      <c r="Q1485">
        <f>IF(1480&gt;Calc!$AQ$368,"",MATCH(1479,Calc!$AQ$2:$AQ$367,1))</f>
        <v/>
      </c>
      <c r="R1485">
        <f>IF(Q1485="","",SMALL(INDEX(Calc!$B$2:$AO$367,Q1485,0),1480-INDEX(Calc!$AQ$2:$AQ$367,Q1485)))</f>
        <v/>
      </c>
    </row>
    <row r="1486">
      <c r="B1486" s="64">
        <f>IF(R1486="","",1481)</f>
        <v/>
      </c>
      <c r="C1486" s="37">
        <f>IF(R1486="","",IF(INDEX('Recurring Schedule'!$C$6:$C$45,R1486)="","",INDEX('Recurring Schedule'!$C$6:$C$45,R1486)))</f>
        <v/>
      </c>
      <c r="D1486" s="36">
        <f>IF(R1486="","",IF(INDEX('Recurring Schedule'!$D$6:$D$45,R1486)="","",INDEX('Recurring Schedule'!$D$6:$D$45,R1486)))</f>
        <v/>
      </c>
      <c r="E1486" s="38">
        <f>IF(Q1486="","",INDEX(Calc!$A$2:$A$367,Q1486))</f>
        <v/>
      </c>
      <c r="F1486" s="68">
        <f>IF(OR(C1486="",E1486=""),"",E1486-Setup!$D$7)</f>
        <v/>
      </c>
      <c r="G1486" s="74">
        <f>IF(R1486="","",IF(INDEX('Recurring Schedule'!$H$6:$H$45,R1486)="","",INDEX('Recurring Schedule'!$H$6:$H$45,R1486)))</f>
        <v/>
      </c>
      <c r="H1486" s="74">
        <f>IF(R1486="","",IF(INDEX('Recurring Schedule'!$I$6:$I$45,R1486)="","",INDEX('Recurring Schedule'!$I$6:$I$45,R1486)))</f>
        <v/>
      </c>
      <c r="I1486" s="36">
        <f>IF(OR(G1486="",H1486=""),"",TRIM(IF(HOUR(H1486-G1486)&gt;0,HOUR(H1486-G1486)&amp;" hr ","")&amp;IF(MINUTE(H1486-G1486)&gt;0,MINUTE(H1486-G1486)&amp;" min","")))</f>
        <v/>
      </c>
      <c r="J1486" s="66" t="n"/>
      <c r="K1486" s="70" t="n"/>
      <c r="L1486" s="36">
        <f>IF(R1486="","",IF(INDEX('Recurring Schedule'!$J$6:$J$45,R1486)="","",INDEX('Recurring Schedule'!$J$6:$J$45,R1486)))</f>
        <v/>
      </c>
      <c r="M1486" s="36">
        <f>IF(R1486="","",IF(INDEX('Recurring Schedule'!$K$6:$K$45,R1486)="","",INDEX('Recurring Schedule'!$K$6:$K$45,R1486)))</f>
        <v/>
      </c>
      <c r="N1486" s="36">
        <f>IF(R1486="","",IF(INDEX('Recurring Schedule'!$L$6:$L$45,R1486)="","",INDEX('Recurring Schedule'!$L$6:$L$45,R1486)))</f>
        <v/>
      </c>
      <c r="O1486" s="36">
        <f>IF(C1486="","",IF(AND(OR(L1486="1-Urgent",L1486="2-High"),M1486="✓"),"DO FIRST",IF(M1486="✓","SCHEDULE",IF(OR(L1486="1-Urgent",L1486="2-High"),"DELEGATE","DELETE"))))</f>
        <v/>
      </c>
      <c r="P1486" s="65" t="n"/>
      <c r="Q1486">
        <f>IF(1481&gt;Calc!$AQ$368,"",MATCH(1480,Calc!$AQ$2:$AQ$367,1))</f>
        <v/>
      </c>
      <c r="R1486">
        <f>IF(Q1486="","",SMALL(INDEX(Calc!$B$2:$AO$367,Q1486,0),1481-INDEX(Calc!$AQ$2:$AQ$367,Q1486)))</f>
        <v/>
      </c>
    </row>
    <row r="1487">
      <c r="B1487" s="71">
        <f>IF(R1487="","",1482)</f>
        <v/>
      </c>
      <c r="C1487" s="75">
        <f>IF(R1487="","",IF(INDEX('Recurring Schedule'!$C$6:$C$45,R1487)="","",INDEX('Recurring Schedule'!$C$6:$C$45,R1487)))</f>
        <v/>
      </c>
      <c r="D1487" s="73">
        <f>IF(R1487="","",IF(INDEX('Recurring Schedule'!$D$6:$D$45,R1487)="","",INDEX('Recurring Schedule'!$D$6:$D$45,R1487)))</f>
        <v/>
      </c>
      <c r="E1487" s="76">
        <f>IF(Q1487="","",INDEX(Calc!$A$2:$A$367,Q1487))</f>
        <v/>
      </c>
      <c r="F1487" s="72">
        <f>IF(OR(C1487="",E1487=""),"",E1487-Setup!$D$7)</f>
        <v/>
      </c>
      <c r="G1487" s="77">
        <f>IF(R1487="","",IF(INDEX('Recurring Schedule'!$H$6:$H$45,R1487)="","",INDEX('Recurring Schedule'!$H$6:$H$45,R1487)))</f>
        <v/>
      </c>
      <c r="H1487" s="77">
        <f>IF(R1487="","",IF(INDEX('Recurring Schedule'!$I$6:$I$45,R1487)="","",INDEX('Recurring Schedule'!$I$6:$I$45,R1487)))</f>
        <v/>
      </c>
      <c r="I1487" s="73">
        <f>IF(OR(G1487="",H1487=""),"",TRIM(IF(HOUR(H1487-G1487)&gt;0,HOUR(H1487-G1487)&amp;" hr ","")&amp;IF(MINUTE(H1487-G1487)&gt;0,MINUTE(H1487-G1487)&amp;" min","")))</f>
        <v/>
      </c>
      <c r="J1487" s="66" t="n"/>
      <c r="K1487" s="70" t="n"/>
      <c r="L1487" s="73">
        <f>IF(R1487="","",IF(INDEX('Recurring Schedule'!$J$6:$J$45,R1487)="","",INDEX('Recurring Schedule'!$J$6:$J$45,R1487)))</f>
        <v/>
      </c>
      <c r="M1487" s="73">
        <f>IF(R1487="","",IF(INDEX('Recurring Schedule'!$K$6:$K$45,R1487)="","",INDEX('Recurring Schedule'!$K$6:$K$45,R1487)))</f>
        <v/>
      </c>
      <c r="N1487" s="73">
        <f>IF(R1487="","",IF(INDEX('Recurring Schedule'!$L$6:$L$45,R1487)="","",INDEX('Recurring Schedule'!$L$6:$L$45,R1487)))</f>
        <v/>
      </c>
      <c r="O1487" s="73">
        <f>IF(C1487="","",IF(AND(OR(L1487="1-Urgent",L1487="2-High"),M1487="✓"),"DO FIRST",IF(M1487="✓","SCHEDULE",IF(OR(L1487="1-Urgent",L1487="2-High"),"DELEGATE","DELETE"))))</f>
        <v/>
      </c>
      <c r="P1487" s="65" t="n"/>
      <c r="Q1487">
        <f>IF(1482&gt;Calc!$AQ$368,"",MATCH(1481,Calc!$AQ$2:$AQ$367,1))</f>
        <v/>
      </c>
      <c r="R1487">
        <f>IF(Q1487="","",SMALL(INDEX(Calc!$B$2:$AO$367,Q1487,0),1482-INDEX(Calc!$AQ$2:$AQ$367,Q1487)))</f>
        <v/>
      </c>
    </row>
    <row r="1488">
      <c r="B1488" s="64">
        <f>IF(R1488="","",1483)</f>
        <v/>
      </c>
      <c r="C1488" s="37">
        <f>IF(R1488="","",IF(INDEX('Recurring Schedule'!$C$6:$C$45,R1488)="","",INDEX('Recurring Schedule'!$C$6:$C$45,R1488)))</f>
        <v/>
      </c>
      <c r="D1488" s="36">
        <f>IF(R1488="","",IF(INDEX('Recurring Schedule'!$D$6:$D$45,R1488)="","",INDEX('Recurring Schedule'!$D$6:$D$45,R1488)))</f>
        <v/>
      </c>
      <c r="E1488" s="38">
        <f>IF(Q1488="","",INDEX(Calc!$A$2:$A$367,Q1488))</f>
        <v/>
      </c>
      <c r="F1488" s="68">
        <f>IF(OR(C1488="",E1488=""),"",E1488-Setup!$D$7)</f>
        <v/>
      </c>
      <c r="G1488" s="74">
        <f>IF(R1488="","",IF(INDEX('Recurring Schedule'!$H$6:$H$45,R1488)="","",INDEX('Recurring Schedule'!$H$6:$H$45,R1488)))</f>
        <v/>
      </c>
      <c r="H1488" s="74">
        <f>IF(R1488="","",IF(INDEX('Recurring Schedule'!$I$6:$I$45,R1488)="","",INDEX('Recurring Schedule'!$I$6:$I$45,R1488)))</f>
        <v/>
      </c>
      <c r="I1488" s="36">
        <f>IF(OR(G1488="",H1488=""),"",TRIM(IF(HOUR(H1488-G1488)&gt;0,HOUR(H1488-G1488)&amp;" hr ","")&amp;IF(MINUTE(H1488-G1488)&gt;0,MINUTE(H1488-G1488)&amp;" min","")))</f>
        <v/>
      </c>
      <c r="J1488" s="66" t="n"/>
      <c r="K1488" s="70" t="n"/>
      <c r="L1488" s="36">
        <f>IF(R1488="","",IF(INDEX('Recurring Schedule'!$J$6:$J$45,R1488)="","",INDEX('Recurring Schedule'!$J$6:$J$45,R1488)))</f>
        <v/>
      </c>
      <c r="M1488" s="36">
        <f>IF(R1488="","",IF(INDEX('Recurring Schedule'!$K$6:$K$45,R1488)="","",INDEX('Recurring Schedule'!$K$6:$K$45,R1488)))</f>
        <v/>
      </c>
      <c r="N1488" s="36">
        <f>IF(R1488="","",IF(INDEX('Recurring Schedule'!$L$6:$L$45,R1488)="","",INDEX('Recurring Schedule'!$L$6:$L$45,R1488)))</f>
        <v/>
      </c>
      <c r="O1488" s="36">
        <f>IF(C1488="","",IF(AND(OR(L1488="1-Urgent",L1488="2-High"),M1488="✓"),"DO FIRST",IF(M1488="✓","SCHEDULE",IF(OR(L1488="1-Urgent",L1488="2-High"),"DELEGATE","DELETE"))))</f>
        <v/>
      </c>
      <c r="P1488" s="65" t="n"/>
      <c r="Q1488">
        <f>IF(1483&gt;Calc!$AQ$368,"",MATCH(1482,Calc!$AQ$2:$AQ$367,1))</f>
        <v/>
      </c>
      <c r="R1488">
        <f>IF(Q1488="","",SMALL(INDEX(Calc!$B$2:$AO$367,Q1488,0),1483-INDEX(Calc!$AQ$2:$AQ$367,Q1488)))</f>
        <v/>
      </c>
    </row>
    <row r="1489">
      <c r="B1489" s="71">
        <f>IF(R1489="","",1484)</f>
        <v/>
      </c>
      <c r="C1489" s="75">
        <f>IF(R1489="","",IF(INDEX('Recurring Schedule'!$C$6:$C$45,R1489)="","",INDEX('Recurring Schedule'!$C$6:$C$45,R1489)))</f>
        <v/>
      </c>
      <c r="D1489" s="73">
        <f>IF(R1489="","",IF(INDEX('Recurring Schedule'!$D$6:$D$45,R1489)="","",INDEX('Recurring Schedule'!$D$6:$D$45,R1489)))</f>
        <v/>
      </c>
      <c r="E1489" s="76">
        <f>IF(Q1489="","",INDEX(Calc!$A$2:$A$367,Q1489))</f>
        <v/>
      </c>
      <c r="F1489" s="72">
        <f>IF(OR(C1489="",E1489=""),"",E1489-Setup!$D$7)</f>
        <v/>
      </c>
      <c r="G1489" s="77">
        <f>IF(R1489="","",IF(INDEX('Recurring Schedule'!$H$6:$H$45,R1489)="","",INDEX('Recurring Schedule'!$H$6:$H$45,R1489)))</f>
        <v/>
      </c>
      <c r="H1489" s="77">
        <f>IF(R1489="","",IF(INDEX('Recurring Schedule'!$I$6:$I$45,R1489)="","",INDEX('Recurring Schedule'!$I$6:$I$45,R1489)))</f>
        <v/>
      </c>
      <c r="I1489" s="73">
        <f>IF(OR(G1489="",H1489=""),"",TRIM(IF(HOUR(H1489-G1489)&gt;0,HOUR(H1489-G1489)&amp;" hr ","")&amp;IF(MINUTE(H1489-G1489)&gt;0,MINUTE(H1489-G1489)&amp;" min","")))</f>
        <v/>
      </c>
      <c r="J1489" s="66" t="n"/>
      <c r="K1489" s="70" t="n"/>
      <c r="L1489" s="73">
        <f>IF(R1489="","",IF(INDEX('Recurring Schedule'!$J$6:$J$45,R1489)="","",INDEX('Recurring Schedule'!$J$6:$J$45,R1489)))</f>
        <v/>
      </c>
      <c r="M1489" s="73">
        <f>IF(R1489="","",IF(INDEX('Recurring Schedule'!$K$6:$K$45,R1489)="","",INDEX('Recurring Schedule'!$K$6:$K$45,R1489)))</f>
        <v/>
      </c>
      <c r="N1489" s="73">
        <f>IF(R1489="","",IF(INDEX('Recurring Schedule'!$L$6:$L$45,R1489)="","",INDEX('Recurring Schedule'!$L$6:$L$45,R1489)))</f>
        <v/>
      </c>
      <c r="O1489" s="73">
        <f>IF(C1489="","",IF(AND(OR(L1489="1-Urgent",L1489="2-High"),M1489="✓"),"DO FIRST",IF(M1489="✓","SCHEDULE",IF(OR(L1489="1-Urgent",L1489="2-High"),"DELEGATE","DELETE"))))</f>
        <v/>
      </c>
      <c r="P1489" s="65" t="n"/>
      <c r="Q1489">
        <f>IF(1484&gt;Calc!$AQ$368,"",MATCH(1483,Calc!$AQ$2:$AQ$367,1))</f>
        <v/>
      </c>
      <c r="R1489">
        <f>IF(Q1489="","",SMALL(INDEX(Calc!$B$2:$AO$367,Q1489,0),1484-INDEX(Calc!$AQ$2:$AQ$367,Q1489)))</f>
        <v/>
      </c>
    </row>
    <row r="1490">
      <c r="B1490" s="64">
        <f>IF(R1490="","",1485)</f>
        <v/>
      </c>
      <c r="C1490" s="37">
        <f>IF(R1490="","",IF(INDEX('Recurring Schedule'!$C$6:$C$45,R1490)="","",INDEX('Recurring Schedule'!$C$6:$C$45,R1490)))</f>
        <v/>
      </c>
      <c r="D1490" s="36">
        <f>IF(R1490="","",IF(INDEX('Recurring Schedule'!$D$6:$D$45,R1490)="","",INDEX('Recurring Schedule'!$D$6:$D$45,R1490)))</f>
        <v/>
      </c>
      <c r="E1490" s="38">
        <f>IF(Q1490="","",INDEX(Calc!$A$2:$A$367,Q1490))</f>
        <v/>
      </c>
      <c r="F1490" s="68">
        <f>IF(OR(C1490="",E1490=""),"",E1490-Setup!$D$7)</f>
        <v/>
      </c>
      <c r="G1490" s="74">
        <f>IF(R1490="","",IF(INDEX('Recurring Schedule'!$H$6:$H$45,R1490)="","",INDEX('Recurring Schedule'!$H$6:$H$45,R1490)))</f>
        <v/>
      </c>
      <c r="H1490" s="74">
        <f>IF(R1490="","",IF(INDEX('Recurring Schedule'!$I$6:$I$45,R1490)="","",INDEX('Recurring Schedule'!$I$6:$I$45,R1490)))</f>
        <v/>
      </c>
      <c r="I1490" s="36">
        <f>IF(OR(G1490="",H1490=""),"",TRIM(IF(HOUR(H1490-G1490)&gt;0,HOUR(H1490-G1490)&amp;" hr ","")&amp;IF(MINUTE(H1490-G1490)&gt;0,MINUTE(H1490-G1490)&amp;" min","")))</f>
        <v/>
      </c>
      <c r="J1490" s="66" t="n"/>
      <c r="K1490" s="70" t="n"/>
      <c r="L1490" s="36">
        <f>IF(R1490="","",IF(INDEX('Recurring Schedule'!$J$6:$J$45,R1490)="","",INDEX('Recurring Schedule'!$J$6:$J$45,R1490)))</f>
        <v/>
      </c>
      <c r="M1490" s="36">
        <f>IF(R1490="","",IF(INDEX('Recurring Schedule'!$K$6:$K$45,R1490)="","",INDEX('Recurring Schedule'!$K$6:$K$45,R1490)))</f>
        <v/>
      </c>
      <c r="N1490" s="36">
        <f>IF(R1490="","",IF(INDEX('Recurring Schedule'!$L$6:$L$45,R1490)="","",INDEX('Recurring Schedule'!$L$6:$L$45,R1490)))</f>
        <v/>
      </c>
      <c r="O1490" s="36">
        <f>IF(C1490="","",IF(AND(OR(L1490="1-Urgent",L1490="2-High"),M1490="✓"),"DO FIRST",IF(M1490="✓","SCHEDULE",IF(OR(L1490="1-Urgent",L1490="2-High"),"DELEGATE","DELETE"))))</f>
        <v/>
      </c>
      <c r="P1490" s="65" t="n"/>
      <c r="Q1490">
        <f>IF(1485&gt;Calc!$AQ$368,"",MATCH(1484,Calc!$AQ$2:$AQ$367,1))</f>
        <v/>
      </c>
      <c r="R1490">
        <f>IF(Q1490="","",SMALL(INDEX(Calc!$B$2:$AO$367,Q1490,0),1485-INDEX(Calc!$AQ$2:$AQ$367,Q1490)))</f>
        <v/>
      </c>
    </row>
    <row r="1491">
      <c r="B1491" s="71">
        <f>IF(R1491="","",1486)</f>
        <v/>
      </c>
      <c r="C1491" s="75">
        <f>IF(R1491="","",IF(INDEX('Recurring Schedule'!$C$6:$C$45,R1491)="","",INDEX('Recurring Schedule'!$C$6:$C$45,R1491)))</f>
        <v/>
      </c>
      <c r="D1491" s="73">
        <f>IF(R1491="","",IF(INDEX('Recurring Schedule'!$D$6:$D$45,R1491)="","",INDEX('Recurring Schedule'!$D$6:$D$45,R1491)))</f>
        <v/>
      </c>
      <c r="E1491" s="76">
        <f>IF(Q1491="","",INDEX(Calc!$A$2:$A$367,Q1491))</f>
        <v/>
      </c>
      <c r="F1491" s="72">
        <f>IF(OR(C1491="",E1491=""),"",E1491-Setup!$D$7)</f>
        <v/>
      </c>
      <c r="G1491" s="77">
        <f>IF(R1491="","",IF(INDEX('Recurring Schedule'!$H$6:$H$45,R1491)="","",INDEX('Recurring Schedule'!$H$6:$H$45,R1491)))</f>
        <v/>
      </c>
      <c r="H1491" s="77">
        <f>IF(R1491="","",IF(INDEX('Recurring Schedule'!$I$6:$I$45,R1491)="","",INDEX('Recurring Schedule'!$I$6:$I$45,R1491)))</f>
        <v/>
      </c>
      <c r="I1491" s="73">
        <f>IF(OR(G1491="",H1491=""),"",TRIM(IF(HOUR(H1491-G1491)&gt;0,HOUR(H1491-G1491)&amp;" hr ","")&amp;IF(MINUTE(H1491-G1491)&gt;0,MINUTE(H1491-G1491)&amp;" min","")))</f>
        <v/>
      </c>
      <c r="J1491" s="66" t="n"/>
      <c r="K1491" s="70" t="n"/>
      <c r="L1491" s="73">
        <f>IF(R1491="","",IF(INDEX('Recurring Schedule'!$J$6:$J$45,R1491)="","",INDEX('Recurring Schedule'!$J$6:$J$45,R1491)))</f>
        <v/>
      </c>
      <c r="M1491" s="73">
        <f>IF(R1491="","",IF(INDEX('Recurring Schedule'!$K$6:$K$45,R1491)="","",INDEX('Recurring Schedule'!$K$6:$K$45,R1491)))</f>
        <v/>
      </c>
      <c r="N1491" s="73">
        <f>IF(R1491="","",IF(INDEX('Recurring Schedule'!$L$6:$L$45,R1491)="","",INDEX('Recurring Schedule'!$L$6:$L$45,R1491)))</f>
        <v/>
      </c>
      <c r="O1491" s="73">
        <f>IF(C1491="","",IF(AND(OR(L1491="1-Urgent",L1491="2-High"),M1491="✓"),"DO FIRST",IF(M1491="✓","SCHEDULE",IF(OR(L1491="1-Urgent",L1491="2-High"),"DELEGATE","DELETE"))))</f>
        <v/>
      </c>
      <c r="P1491" s="65" t="n"/>
      <c r="Q1491">
        <f>IF(1486&gt;Calc!$AQ$368,"",MATCH(1485,Calc!$AQ$2:$AQ$367,1))</f>
        <v/>
      </c>
      <c r="R1491">
        <f>IF(Q1491="","",SMALL(INDEX(Calc!$B$2:$AO$367,Q1491,0),1486-INDEX(Calc!$AQ$2:$AQ$367,Q1491)))</f>
        <v/>
      </c>
    </row>
    <row r="1492">
      <c r="B1492" s="64">
        <f>IF(R1492="","",1487)</f>
        <v/>
      </c>
      <c r="C1492" s="37">
        <f>IF(R1492="","",IF(INDEX('Recurring Schedule'!$C$6:$C$45,R1492)="","",INDEX('Recurring Schedule'!$C$6:$C$45,R1492)))</f>
        <v/>
      </c>
      <c r="D1492" s="36">
        <f>IF(R1492="","",IF(INDEX('Recurring Schedule'!$D$6:$D$45,R1492)="","",INDEX('Recurring Schedule'!$D$6:$D$45,R1492)))</f>
        <v/>
      </c>
      <c r="E1492" s="38">
        <f>IF(Q1492="","",INDEX(Calc!$A$2:$A$367,Q1492))</f>
        <v/>
      </c>
      <c r="F1492" s="68">
        <f>IF(OR(C1492="",E1492=""),"",E1492-Setup!$D$7)</f>
        <v/>
      </c>
      <c r="G1492" s="74">
        <f>IF(R1492="","",IF(INDEX('Recurring Schedule'!$H$6:$H$45,R1492)="","",INDEX('Recurring Schedule'!$H$6:$H$45,R1492)))</f>
        <v/>
      </c>
      <c r="H1492" s="74">
        <f>IF(R1492="","",IF(INDEX('Recurring Schedule'!$I$6:$I$45,R1492)="","",INDEX('Recurring Schedule'!$I$6:$I$45,R1492)))</f>
        <v/>
      </c>
      <c r="I1492" s="36">
        <f>IF(OR(G1492="",H1492=""),"",TRIM(IF(HOUR(H1492-G1492)&gt;0,HOUR(H1492-G1492)&amp;" hr ","")&amp;IF(MINUTE(H1492-G1492)&gt;0,MINUTE(H1492-G1492)&amp;" min","")))</f>
        <v/>
      </c>
      <c r="J1492" s="66" t="n"/>
      <c r="K1492" s="70" t="n"/>
      <c r="L1492" s="36">
        <f>IF(R1492="","",IF(INDEX('Recurring Schedule'!$J$6:$J$45,R1492)="","",INDEX('Recurring Schedule'!$J$6:$J$45,R1492)))</f>
        <v/>
      </c>
      <c r="M1492" s="36">
        <f>IF(R1492="","",IF(INDEX('Recurring Schedule'!$K$6:$K$45,R1492)="","",INDEX('Recurring Schedule'!$K$6:$K$45,R1492)))</f>
        <v/>
      </c>
      <c r="N1492" s="36">
        <f>IF(R1492="","",IF(INDEX('Recurring Schedule'!$L$6:$L$45,R1492)="","",INDEX('Recurring Schedule'!$L$6:$L$45,R1492)))</f>
        <v/>
      </c>
      <c r="O1492" s="36">
        <f>IF(C1492="","",IF(AND(OR(L1492="1-Urgent",L1492="2-High"),M1492="✓"),"DO FIRST",IF(M1492="✓","SCHEDULE",IF(OR(L1492="1-Urgent",L1492="2-High"),"DELEGATE","DELETE"))))</f>
        <v/>
      </c>
      <c r="P1492" s="65" t="n"/>
      <c r="Q1492">
        <f>IF(1487&gt;Calc!$AQ$368,"",MATCH(1486,Calc!$AQ$2:$AQ$367,1))</f>
        <v/>
      </c>
      <c r="R1492">
        <f>IF(Q1492="","",SMALL(INDEX(Calc!$B$2:$AO$367,Q1492,0),1487-INDEX(Calc!$AQ$2:$AQ$367,Q1492)))</f>
        <v/>
      </c>
    </row>
    <row r="1493">
      <c r="B1493" s="71">
        <f>IF(R1493="","",1488)</f>
        <v/>
      </c>
      <c r="C1493" s="75">
        <f>IF(R1493="","",IF(INDEX('Recurring Schedule'!$C$6:$C$45,R1493)="","",INDEX('Recurring Schedule'!$C$6:$C$45,R1493)))</f>
        <v/>
      </c>
      <c r="D1493" s="73">
        <f>IF(R1493="","",IF(INDEX('Recurring Schedule'!$D$6:$D$45,R1493)="","",INDEX('Recurring Schedule'!$D$6:$D$45,R1493)))</f>
        <v/>
      </c>
      <c r="E1493" s="76">
        <f>IF(Q1493="","",INDEX(Calc!$A$2:$A$367,Q1493))</f>
        <v/>
      </c>
      <c r="F1493" s="72">
        <f>IF(OR(C1493="",E1493=""),"",E1493-Setup!$D$7)</f>
        <v/>
      </c>
      <c r="G1493" s="77">
        <f>IF(R1493="","",IF(INDEX('Recurring Schedule'!$H$6:$H$45,R1493)="","",INDEX('Recurring Schedule'!$H$6:$H$45,R1493)))</f>
        <v/>
      </c>
      <c r="H1493" s="77">
        <f>IF(R1493="","",IF(INDEX('Recurring Schedule'!$I$6:$I$45,R1493)="","",INDEX('Recurring Schedule'!$I$6:$I$45,R1493)))</f>
        <v/>
      </c>
      <c r="I1493" s="73">
        <f>IF(OR(G1493="",H1493=""),"",TRIM(IF(HOUR(H1493-G1493)&gt;0,HOUR(H1493-G1493)&amp;" hr ","")&amp;IF(MINUTE(H1493-G1493)&gt;0,MINUTE(H1493-G1493)&amp;" min","")))</f>
        <v/>
      </c>
      <c r="J1493" s="66" t="n"/>
      <c r="K1493" s="70" t="n"/>
      <c r="L1493" s="73">
        <f>IF(R1493="","",IF(INDEX('Recurring Schedule'!$J$6:$J$45,R1493)="","",INDEX('Recurring Schedule'!$J$6:$J$45,R1493)))</f>
        <v/>
      </c>
      <c r="M1493" s="73">
        <f>IF(R1493="","",IF(INDEX('Recurring Schedule'!$K$6:$K$45,R1493)="","",INDEX('Recurring Schedule'!$K$6:$K$45,R1493)))</f>
        <v/>
      </c>
      <c r="N1493" s="73">
        <f>IF(R1493="","",IF(INDEX('Recurring Schedule'!$L$6:$L$45,R1493)="","",INDEX('Recurring Schedule'!$L$6:$L$45,R1493)))</f>
        <v/>
      </c>
      <c r="O1493" s="73">
        <f>IF(C1493="","",IF(AND(OR(L1493="1-Urgent",L1493="2-High"),M1493="✓"),"DO FIRST",IF(M1493="✓","SCHEDULE",IF(OR(L1493="1-Urgent",L1493="2-High"),"DELEGATE","DELETE"))))</f>
        <v/>
      </c>
      <c r="P1493" s="65" t="n"/>
      <c r="Q1493">
        <f>IF(1488&gt;Calc!$AQ$368,"",MATCH(1487,Calc!$AQ$2:$AQ$367,1))</f>
        <v/>
      </c>
      <c r="R1493">
        <f>IF(Q1493="","",SMALL(INDEX(Calc!$B$2:$AO$367,Q1493,0),1488-INDEX(Calc!$AQ$2:$AQ$367,Q1493)))</f>
        <v/>
      </c>
    </row>
    <row r="1494">
      <c r="B1494" s="64">
        <f>IF(R1494="","",1489)</f>
        <v/>
      </c>
      <c r="C1494" s="37">
        <f>IF(R1494="","",IF(INDEX('Recurring Schedule'!$C$6:$C$45,R1494)="","",INDEX('Recurring Schedule'!$C$6:$C$45,R1494)))</f>
        <v/>
      </c>
      <c r="D1494" s="36">
        <f>IF(R1494="","",IF(INDEX('Recurring Schedule'!$D$6:$D$45,R1494)="","",INDEX('Recurring Schedule'!$D$6:$D$45,R1494)))</f>
        <v/>
      </c>
      <c r="E1494" s="38">
        <f>IF(Q1494="","",INDEX(Calc!$A$2:$A$367,Q1494))</f>
        <v/>
      </c>
      <c r="F1494" s="68">
        <f>IF(OR(C1494="",E1494=""),"",E1494-Setup!$D$7)</f>
        <v/>
      </c>
      <c r="G1494" s="74">
        <f>IF(R1494="","",IF(INDEX('Recurring Schedule'!$H$6:$H$45,R1494)="","",INDEX('Recurring Schedule'!$H$6:$H$45,R1494)))</f>
        <v/>
      </c>
      <c r="H1494" s="74">
        <f>IF(R1494="","",IF(INDEX('Recurring Schedule'!$I$6:$I$45,R1494)="","",INDEX('Recurring Schedule'!$I$6:$I$45,R1494)))</f>
        <v/>
      </c>
      <c r="I1494" s="36">
        <f>IF(OR(G1494="",H1494=""),"",TRIM(IF(HOUR(H1494-G1494)&gt;0,HOUR(H1494-G1494)&amp;" hr ","")&amp;IF(MINUTE(H1494-G1494)&gt;0,MINUTE(H1494-G1494)&amp;" min","")))</f>
        <v/>
      </c>
      <c r="J1494" s="66" t="n"/>
      <c r="K1494" s="70" t="n"/>
      <c r="L1494" s="36">
        <f>IF(R1494="","",IF(INDEX('Recurring Schedule'!$J$6:$J$45,R1494)="","",INDEX('Recurring Schedule'!$J$6:$J$45,R1494)))</f>
        <v/>
      </c>
      <c r="M1494" s="36">
        <f>IF(R1494="","",IF(INDEX('Recurring Schedule'!$K$6:$K$45,R1494)="","",INDEX('Recurring Schedule'!$K$6:$K$45,R1494)))</f>
        <v/>
      </c>
      <c r="N1494" s="36">
        <f>IF(R1494="","",IF(INDEX('Recurring Schedule'!$L$6:$L$45,R1494)="","",INDEX('Recurring Schedule'!$L$6:$L$45,R1494)))</f>
        <v/>
      </c>
      <c r="O1494" s="36">
        <f>IF(C1494="","",IF(AND(OR(L1494="1-Urgent",L1494="2-High"),M1494="✓"),"DO FIRST",IF(M1494="✓","SCHEDULE",IF(OR(L1494="1-Urgent",L1494="2-High"),"DELEGATE","DELETE"))))</f>
        <v/>
      </c>
      <c r="P1494" s="65" t="n"/>
      <c r="Q1494">
        <f>IF(1489&gt;Calc!$AQ$368,"",MATCH(1488,Calc!$AQ$2:$AQ$367,1))</f>
        <v/>
      </c>
      <c r="R1494">
        <f>IF(Q1494="","",SMALL(INDEX(Calc!$B$2:$AO$367,Q1494,0),1489-INDEX(Calc!$AQ$2:$AQ$367,Q1494)))</f>
        <v/>
      </c>
    </row>
    <row r="1495">
      <c r="B1495" s="71">
        <f>IF(R1495="","",1490)</f>
        <v/>
      </c>
      <c r="C1495" s="75">
        <f>IF(R1495="","",IF(INDEX('Recurring Schedule'!$C$6:$C$45,R1495)="","",INDEX('Recurring Schedule'!$C$6:$C$45,R1495)))</f>
        <v/>
      </c>
      <c r="D1495" s="73">
        <f>IF(R1495="","",IF(INDEX('Recurring Schedule'!$D$6:$D$45,R1495)="","",INDEX('Recurring Schedule'!$D$6:$D$45,R1495)))</f>
        <v/>
      </c>
      <c r="E1495" s="76">
        <f>IF(Q1495="","",INDEX(Calc!$A$2:$A$367,Q1495))</f>
        <v/>
      </c>
      <c r="F1495" s="72">
        <f>IF(OR(C1495="",E1495=""),"",E1495-Setup!$D$7)</f>
        <v/>
      </c>
      <c r="G1495" s="77">
        <f>IF(R1495="","",IF(INDEX('Recurring Schedule'!$H$6:$H$45,R1495)="","",INDEX('Recurring Schedule'!$H$6:$H$45,R1495)))</f>
        <v/>
      </c>
      <c r="H1495" s="77">
        <f>IF(R1495="","",IF(INDEX('Recurring Schedule'!$I$6:$I$45,R1495)="","",INDEX('Recurring Schedule'!$I$6:$I$45,R1495)))</f>
        <v/>
      </c>
      <c r="I1495" s="73">
        <f>IF(OR(G1495="",H1495=""),"",TRIM(IF(HOUR(H1495-G1495)&gt;0,HOUR(H1495-G1495)&amp;" hr ","")&amp;IF(MINUTE(H1495-G1495)&gt;0,MINUTE(H1495-G1495)&amp;" min","")))</f>
        <v/>
      </c>
      <c r="J1495" s="66" t="n"/>
      <c r="K1495" s="70" t="n"/>
      <c r="L1495" s="73">
        <f>IF(R1495="","",IF(INDEX('Recurring Schedule'!$J$6:$J$45,R1495)="","",INDEX('Recurring Schedule'!$J$6:$J$45,R1495)))</f>
        <v/>
      </c>
      <c r="M1495" s="73">
        <f>IF(R1495="","",IF(INDEX('Recurring Schedule'!$K$6:$K$45,R1495)="","",INDEX('Recurring Schedule'!$K$6:$K$45,R1495)))</f>
        <v/>
      </c>
      <c r="N1495" s="73">
        <f>IF(R1495="","",IF(INDEX('Recurring Schedule'!$L$6:$L$45,R1495)="","",INDEX('Recurring Schedule'!$L$6:$L$45,R1495)))</f>
        <v/>
      </c>
      <c r="O1495" s="73">
        <f>IF(C1495="","",IF(AND(OR(L1495="1-Urgent",L1495="2-High"),M1495="✓"),"DO FIRST",IF(M1495="✓","SCHEDULE",IF(OR(L1495="1-Urgent",L1495="2-High"),"DELEGATE","DELETE"))))</f>
        <v/>
      </c>
      <c r="P1495" s="65" t="n"/>
      <c r="Q1495">
        <f>IF(1490&gt;Calc!$AQ$368,"",MATCH(1489,Calc!$AQ$2:$AQ$367,1))</f>
        <v/>
      </c>
      <c r="R1495">
        <f>IF(Q1495="","",SMALL(INDEX(Calc!$B$2:$AO$367,Q1495,0),1490-INDEX(Calc!$AQ$2:$AQ$367,Q1495)))</f>
        <v/>
      </c>
    </row>
    <row r="1496">
      <c r="B1496" s="64">
        <f>IF(R1496="","",1491)</f>
        <v/>
      </c>
      <c r="C1496" s="37">
        <f>IF(R1496="","",IF(INDEX('Recurring Schedule'!$C$6:$C$45,R1496)="","",INDEX('Recurring Schedule'!$C$6:$C$45,R1496)))</f>
        <v/>
      </c>
      <c r="D1496" s="36">
        <f>IF(R1496="","",IF(INDEX('Recurring Schedule'!$D$6:$D$45,R1496)="","",INDEX('Recurring Schedule'!$D$6:$D$45,R1496)))</f>
        <v/>
      </c>
      <c r="E1496" s="38">
        <f>IF(Q1496="","",INDEX(Calc!$A$2:$A$367,Q1496))</f>
        <v/>
      </c>
      <c r="F1496" s="68">
        <f>IF(OR(C1496="",E1496=""),"",E1496-Setup!$D$7)</f>
        <v/>
      </c>
      <c r="G1496" s="74">
        <f>IF(R1496="","",IF(INDEX('Recurring Schedule'!$H$6:$H$45,R1496)="","",INDEX('Recurring Schedule'!$H$6:$H$45,R1496)))</f>
        <v/>
      </c>
      <c r="H1496" s="74">
        <f>IF(R1496="","",IF(INDEX('Recurring Schedule'!$I$6:$I$45,R1496)="","",INDEX('Recurring Schedule'!$I$6:$I$45,R1496)))</f>
        <v/>
      </c>
      <c r="I1496" s="36">
        <f>IF(OR(G1496="",H1496=""),"",TRIM(IF(HOUR(H1496-G1496)&gt;0,HOUR(H1496-G1496)&amp;" hr ","")&amp;IF(MINUTE(H1496-G1496)&gt;0,MINUTE(H1496-G1496)&amp;" min","")))</f>
        <v/>
      </c>
      <c r="J1496" s="66" t="n"/>
      <c r="K1496" s="70" t="n"/>
      <c r="L1496" s="36">
        <f>IF(R1496="","",IF(INDEX('Recurring Schedule'!$J$6:$J$45,R1496)="","",INDEX('Recurring Schedule'!$J$6:$J$45,R1496)))</f>
        <v/>
      </c>
      <c r="M1496" s="36">
        <f>IF(R1496="","",IF(INDEX('Recurring Schedule'!$K$6:$K$45,R1496)="","",INDEX('Recurring Schedule'!$K$6:$K$45,R1496)))</f>
        <v/>
      </c>
      <c r="N1496" s="36">
        <f>IF(R1496="","",IF(INDEX('Recurring Schedule'!$L$6:$L$45,R1496)="","",INDEX('Recurring Schedule'!$L$6:$L$45,R1496)))</f>
        <v/>
      </c>
      <c r="O1496" s="36">
        <f>IF(C1496="","",IF(AND(OR(L1496="1-Urgent",L1496="2-High"),M1496="✓"),"DO FIRST",IF(M1496="✓","SCHEDULE",IF(OR(L1496="1-Urgent",L1496="2-High"),"DELEGATE","DELETE"))))</f>
        <v/>
      </c>
      <c r="P1496" s="65" t="n"/>
      <c r="Q1496">
        <f>IF(1491&gt;Calc!$AQ$368,"",MATCH(1490,Calc!$AQ$2:$AQ$367,1))</f>
        <v/>
      </c>
      <c r="R1496">
        <f>IF(Q1496="","",SMALL(INDEX(Calc!$B$2:$AO$367,Q1496,0),1491-INDEX(Calc!$AQ$2:$AQ$367,Q1496)))</f>
        <v/>
      </c>
    </row>
    <row r="1497">
      <c r="B1497" s="71">
        <f>IF(R1497="","",1492)</f>
        <v/>
      </c>
      <c r="C1497" s="75">
        <f>IF(R1497="","",IF(INDEX('Recurring Schedule'!$C$6:$C$45,R1497)="","",INDEX('Recurring Schedule'!$C$6:$C$45,R1497)))</f>
        <v/>
      </c>
      <c r="D1497" s="73">
        <f>IF(R1497="","",IF(INDEX('Recurring Schedule'!$D$6:$D$45,R1497)="","",INDEX('Recurring Schedule'!$D$6:$D$45,R1497)))</f>
        <v/>
      </c>
      <c r="E1497" s="76">
        <f>IF(Q1497="","",INDEX(Calc!$A$2:$A$367,Q1497))</f>
        <v/>
      </c>
      <c r="F1497" s="72">
        <f>IF(OR(C1497="",E1497=""),"",E1497-Setup!$D$7)</f>
        <v/>
      </c>
      <c r="G1497" s="77">
        <f>IF(R1497="","",IF(INDEX('Recurring Schedule'!$H$6:$H$45,R1497)="","",INDEX('Recurring Schedule'!$H$6:$H$45,R1497)))</f>
        <v/>
      </c>
      <c r="H1497" s="77">
        <f>IF(R1497="","",IF(INDEX('Recurring Schedule'!$I$6:$I$45,R1497)="","",INDEX('Recurring Schedule'!$I$6:$I$45,R1497)))</f>
        <v/>
      </c>
      <c r="I1497" s="73">
        <f>IF(OR(G1497="",H1497=""),"",TRIM(IF(HOUR(H1497-G1497)&gt;0,HOUR(H1497-G1497)&amp;" hr ","")&amp;IF(MINUTE(H1497-G1497)&gt;0,MINUTE(H1497-G1497)&amp;" min","")))</f>
        <v/>
      </c>
      <c r="J1497" s="66" t="n"/>
      <c r="K1497" s="70" t="n"/>
      <c r="L1497" s="73">
        <f>IF(R1497="","",IF(INDEX('Recurring Schedule'!$J$6:$J$45,R1497)="","",INDEX('Recurring Schedule'!$J$6:$J$45,R1497)))</f>
        <v/>
      </c>
      <c r="M1497" s="73">
        <f>IF(R1497="","",IF(INDEX('Recurring Schedule'!$K$6:$K$45,R1497)="","",INDEX('Recurring Schedule'!$K$6:$K$45,R1497)))</f>
        <v/>
      </c>
      <c r="N1497" s="73">
        <f>IF(R1497="","",IF(INDEX('Recurring Schedule'!$L$6:$L$45,R1497)="","",INDEX('Recurring Schedule'!$L$6:$L$45,R1497)))</f>
        <v/>
      </c>
      <c r="O1497" s="73">
        <f>IF(C1497="","",IF(AND(OR(L1497="1-Urgent",L1497="2-High"),M1497="✓"),"DO FIRST",IF(M1497="✓","SCHEDULE",IF(OR(L1497="1-Urgent",L1497="2-High"),"DELEGATE","DELETE"))))</f>
        <v/>
      </c>
      <c r="P1497" s="65" t="n"/>
      <c r="Q1497">
        <f>IF(1492&gt;Calc!$AQ$368,"",MATCH(1491,Calc!$AQ$2:$AQ$367,1))</f>
        <v/>
      </c>
      <c r="R1497">
        <f>IF(Q1497="","",SMALL(INDEX(Calc!$B$2:$AO$367,Q1497,0),1492-INDEX(Calc!$AQ$2:$AQ$367,Q1497)))</f>
        <v/>
      </c>
    </row>
    <row r="1498">
      <c r="B1498" s="64">
        <f>IF(R1498="","",1493)</f>
        <v/>
      </c>
      <c r="C1498" s="37">
        <f>IF(R1498="","",IF(INDEX('Recurring Schedule'!$C$6:$C$45,R1498)="","",INDEX('Recurring Schedule'!$C$6:$C$45,R1498)))</f>
        <v/>
      </c>
      <c r="D1498" s="36">
        <f>IF(R1498="","",IF(INDEX('Recurring Schedule'!$D$6:$D$45,R1498)="","",INDEX('Recurring Schedule'!$D$6:$D$45,R1498)))</f>
        <v/>
      </c>
      <c r="E1498" s="38">
        <f>IF(Q1498="","",INDEX(Calc!$A$2:$A$367,Q1498))</f>
        <v/>
      </c>
      <c r="F1498" s="68">
        <f>IF(OR(C1498="",E1498=""),"",E1498-Setup!$D$7)</f>
        <v/>
      </c>
      <c r="G1498" s="74">
        <f>IF(R1498="","",IF(INDEX('Recurring Schedule'!$H$6:$H$45,R1498)="","",INDEX('Recurring Schedule'!$H$6:$H$45,R1498)))</f>
        <v/>
      </c>
      <c r="H1498" s="74">
        <f>IF(R1498="","",IF(INDEX('Recurring Schedule'!$I$6:$I$45,R1498)="","",INDEX('Recurring Schedule'!$I$6:$I$45,R1498)))</f>
        <v/>
      </c>
      <c r="I1498" s="36">
        <f>IF(OR(G1498="",H1498=""),"",TRIM(IF(HOUR(H1498-G1498)&gt;0,HOUR(H1498-G1498)&amp;" hr ","")&amp;IF(MINUTE(H1498-G1498)&gt;0,MINUTE(H1498-G1498)&amp;" min","")))</f>
        <v/>
      </c>
      <c r="J1498" s="66" t="n"/>
      <c r="K1498" s="70" t="n"/>
      <c r="L1498" s="36">
        <f>IF(R1498="","",IF(INDEX('Recurring Schedule'!$J$6:$J$45,R1498)="","",INDEX('Recurring Schedule'!$J$6:$J$45,R1498)))</f>
        <v/>
      </c>
      <c r="M1498" s="36">
        <f>IF(R1498="","",IF(INDEX('Recurring Schedule'!$K$6:$K$45,R1498)="","",INDEX('Recurring Schedule'!$K$6:$K$45,R1498)))</f>
        <v/>
      </c>
      <c r="N1498" s="36">
        <f>IF(R1498="","",IF(INDEX('Recurring Schedule'!$L$6:$L$45,R1498)="","",INDEX('Recurring Schedule'!$L$6:$L$45,R1498)))</f>
        <v/>
      </c>
      <c r="O1498" s="36">
        <f>IF(C1498="","",IF(AND(OR(L1498="1-Urgent",L1498="2-High"),M1498="✓"),"DO FIRST",IF(M1498="✓","SCHEDULE",IF(OR(L1498="1-Urgent",L1498="2-High"),"DELEGATE","DELETE"))))</f>
        <v/>
      </c>
      <c r="P1498" s="65" t="n"/>
      <c r="Q1498">
        <f>IF(1493&gt;Calc!$AQ$368,"",MATCH(1492,Calc!$AQ$2:$AQ$367,1))</f>
        <v/>
      </c>
      <c r="R1498">
        <f>IF(Q1498="","",SMALL(INDEX(Calc!$B$2:$AO$367,Q1498,0),1493-INDEX(Calc!$AQ$2:$AQ$367,Q1498)))</f>
        <v/>
      </c>
    </row>
    <row r="1499">
      <c r="B1499" s="71">
        <f>IF(R1499="","",1494)</f>
        <v/>
      </c>
      <c r="C1499" s="75">
        <f>IF(R1499="","",IF(INDEX('Recurring Schedule'!$C$6:$C$45,R1499)="","",INDEX('Recurring Schedule'!$C$6:$C$45,R1499)))</f>
        <v/>
      </c>
      <c r="D1499" s="73">
        <f>IF(R1499="","",IF(INDEX('Recurring Schedule'!$D$6:$D$45,R1499)="","",INDEX('Recurring Schedule'!$D$6:$D$45,R1499)))</f>
        <v/>
      </c>
      <c r="E1499" s="76">
        <f>IF(Q1499="","",INDEX(Calc!$A$2:$A$367,Q1499))</f>
        <v/>
      </c>
      <c r="F1499" s="72">
        <f>IF(OR(C1499="",E1499=""),"",E1499-Setup!$D$7)</f>
        <v/>
      </c>
      <c r="G1499" s="77">
        <f>IF(R1499="","",IF(INDEX('Recurring Schedule'!$H$6:$H$45,R1499)="","",INDEX('Recurring Schedule'!$H$6:$H$45,R1499)))</f>
        <v/>
      </c>
      <c r="H1499" s="77">
        <f>IF(R1499="","",IF(INDEX('Recurring Schedule'!$I$6:$I$45,R1499)="","",INDEX('Recurring Schedule'!$I$6:$I$45,R1499)))</f>
        <v/>
      </c>
      <c r="I1499" s="73">
        <f>IF(OR(G1499="",H1499=""),"",TRIM(IF(HOUR(H1499-G1499)&gt;0,HOUR(H1499-G1499)&amp;" hr ","")&amp;IF(MINUTE(H1499-G1499)&gt;0,MINUTE(H1499-G1499)&amp;" min","")))</f>
        <v/>
      </c>
      <c r="J1499" s="66" t="n"/>
      <c r="K1499" s="70" t="n"/>
      <c r="L1499" s="73">
        <f>IF(R1499="","",IF(INDEX('Recurring Schedule'!$J$6:$J$45,R1499)="","",INDEX('Recurring Schedule'!$J$6:$J$45,R1499)))</f>
        <v/>
      </c>
      <c r="M1499" s="73">
        <f>IF(R1499="","",IF(INDEX('Recurring Schedule'!$K$6:$K$45,R1499)="","",INDEX('Recurring Schedule'!$K$6:$K$45,R1499)))</f>
        <v/>
      </c>
      <c r="N1499" s="73">
        <f>IF(R1499="","",IF(INDEX('Recurring Schedule'!$L$6:$L$45,R1499)="","",INDEX('Recurring Schedule'!$L$6:$L$45,R1499)))</f>
        <v/>
      </c>
      <c r="O1499" s="73">
        <f>IF(C1499="","",IF(AND(OR(L1499="1-Urgent",L1499="2-High"),M1499="✓"),"DO FIRST",IF(M1499="✓","SCHEDULE",IF(OR(L1499="1-Urgent",L1499="2-High"),"DELEGATE","DELETE"))))</f>
        <v/>
      </c>
      <c r="P1499" s="65" t="n"/>
      <c r="Q1499">
        <f>IF(1494&gt;Calc!$AQ$368,"",MATCH(1493,Calc!$AQ$2:$AQ$367,1))</f>
        <v/>
      </c>
      <c r="R1499">
        <f>IF(Q1499="","",SMALL(INDEX(Calc!$B$2:$AO$367,Q1499,0),1494-INDEX(Calc!$AQ$2:$AQ$367,Q1499)))</f>
        <v/>
      </c>
    </row>
    <row r="1500">
      <c r="B1500" s="64">
        <f>IF(R1500="","",1495)</f>
        <v/>
      </c>
      <c r="C1500" s="37">
        <f>IF(R1500="","",IF(INDEX('Recurring Schedule'!$C$6:$C$45,R1500)="","",INDEX('Recurring Schedule'!$C$6:$C$45,R1500)))</f>
        <v/>
      </c>
      <c r="D1500" s="36">
        <f>IF(R1500="","",IF(INDEX('Recurring Schedule'!$D$6:$D$45,R1500)="","",INDEX('Recurring Schedule'!$D$6:$D$45,R1500)))</f>
        <v/>
      </c>
      <c r="E1500" s="38">
        <f>IF(Q1500="","",INDEX(Calc!$A$2:$A$367,Q1500))</f>
        <v/>
      </c>
      <c r="F1500" s="68">
        <f>IF(OR(C1500="",E1500=""),"",E1500-Setup!$D$7)</f>
        <v/>
      </c>
      <c r="G1500" s="74">
        <f>IF(R1500="","",IF(INDEX('Recurring Schedule'!$H$6:$H$45,R1500)="","",INDEX('Recurring Schedule'!$H$6:$H$45,R1500)))</f>
        <v/>
      </c>
      <c r="H1500" s="74">
        <f>IF(R1500="","",IF(INDEX('Recurring Schedule'!$I$6:$I$45,R1500)="","",INDEX('Recurring Schedule'!$I$6:$I$45,R1500)))</f>
        <v/>
      </c>
      <c r="I1500" s="36">
        <f>IF(OR(G1500="",H1500=""),"",TRIM(IF(HOUR(H1500-G1500)&gt;0,HOUR(H1500-G1500)&amp;" hr ","")&amp;IF(MINUTE(H1500-G1500)&gt;0,MINUTE(H1500-G1500)&amp;" min","")))</f>
        <v/>
      </c>
      <c r="J1500" s="66" t="n"/>
      <c r="K1500" s="70" t="n"/>
      <c r="L1500" s="36">
        <f>IF(R1500="","",IF(INDEX('Recurring Schedule'!$J$6:$J$45,R1500)="","",INDEX('Recurring Schedule'!$J$6:$J$45,R1500)))</f>
        <v/>
      </c>
      <c r="M1500" s="36">
        <f>IF(R1500="","",IF(INDEX('Recurring Schedule'!$K$6:$K$45,R1500)="","",INDEX('Recurring Schedule'!$K$6:$K$45,R1500)))</f>
        <v/>
      </c>
      <c r="N1500" s="36">
        <f>IF(R1500="","",IF(INDEX('Recurring Schedule'!$L$6:$L$45,R1500)="","",INDEX('Recurring Schedule'!$L$6:$L$45,R1500)))</f>
        <v/>
      </c>
      <c r="O1500" s="36">
        <f>IF(C1500="","",IF(AND(OR(L1500="1-Urgent",L1500="2-High"),M1500="✓"),"DO FIRST",IF(M1500="✓","SCHEDULE",IF(OR(L1500="1-Urgent",L1500="2-High"),"DELEGATE","DELETE"))))</f>
        <v/>
      </c>
      <c r="P1500" s="65" t="n"/>
      <c r="Q1500">
        <f>IF(1495&gt;Calc!$AQ$368,"",MATCH(1494,Calc!$AQ$2:$AQ$367,1))</f>
        <v/>
      </c>
      <c r="R1500">
        <f>IF(Q1500="","",SMALL(INDEX(Calc!$B$2:$AO$367,Q1500,0),1495-INDEX(Calc!$AQ$2:$AQ$367,Q1500)))</f>
        <v/>
      </c>
    </row>
    <row r="1501">
      <c r="B1501" s="71">
        <f>IF(R1501="","",1496)</f>
        <v/>
      </c>
      <c r="C1501" s="75">
        <f>IF(R1501="","",IF(INDEX('Recurring Schedule'!$C$6:$C$45,R1501)="","",INDEX('Recurring Schedule'!$C$6:$C$45,R1501)))</f>
        <v/>
      </c>
      <c r="D1501" s="73">
        <f>IF(R1501="","",IF(INDEX('Recurring Schedule'!$D$6:$D$45,R1501)="","",INDEX('Recurring Schedule'!$D$6:$D$45,R1501)))</f>
        <v/>
      </c>
      <c r="E1501" s="76">
        <f>IF(Q1501="","",INDEX(Calc!$A$2:$A$367,Q1501))</f>
        <v/>
      </c>
      <c r="F1501" s="72">
        <f>IF(OR(C1501="",E1501=""),"",E1501-Setup!$D$7)</f>
        <v/>
      </c>
      <c r="G1501" s="77">
        <f>IF(R1501="","",IF(INDEX('Recurring Schedule'!$H$6:$H$45,R1501)="","",INDEX('Recurring Schedule'!$H$6:$H$45,R1501)))</f>
        <v/>
      </c>
      <c r="H1501" s="77">
        <f>IF(R1501="","",IF(INDEX('Recurring Schedule'!$I$6:$I$45,R1501)="","",INDEX('Recurring Schedule'!$I$6:$I$45,R1501)))</f>
        <v/>
      </c>
      <c r="I1501" s="73">
        <f>IF(OR(G1501="",H1501=""),"",TRIM(IF(HOUR(H1501-G1501)&gt;0,HOUR(H1501-G1501)&amp;" hr ","")&amp;IF(MINUTE(H1501-G1501)&gt;0,MINUTE(H1501-G1501)&amp;" min","")))</f>
        <v/>
      </c>
      <c r="J1501" s="66" t="n"/>
      <c r="K1501" s="70" t="n"/>
      <c r="L1501" s="73">
        <f>IF(R1501="","",IF(INDEX('Recurring Schedule'!$J$6:$J$45,R1501)="","",INDEX('Recurring Schedule'!$J$6:$J$45,R1501)))</f>
        <v/>
      </c>
      <c r="M1501" s="73">
        <f>IF(R1501="","",IF(INDEX('Recurring Schedule'!$K$6:$K$45,R1501)="","",INDEX('Recurring Schedule'!$K$6:$K$45,R1501)))</f>
        <v/>
      </c>
      <c r="N1501" s="73">
        <f>IF(R1501="","",IF(INDEX('Recurring Schedule'!$L$6:$L$45,R1501)="","",INDEX('Recurring Schedule'!$L$6:$L$45,R1501)))</f>
        <v/>
      </c>
      <c r="O1501" s="73">
        <f>IF(C1501="","",IF(AND(OR(L1501="1-Urgent",L1501="2-High"),M1501="✓"),"DO FIRST",IF(M1501="✓","SCHEDULE",IF(OR(L1501="1-Urgent",L1501="2-High"),"DELEGATE","DELETE"))))</f>
        <v/>
      </c>
      <c r="P1501" s="65" t="n"/>
      <c r="Q1501">
        <f>IF(1496&gt;Calc!$AQ$368,"",MATCH(1495,Calc!$AQ$2:$AQ$367,1))</f>
        <v/>
      </c>
      <c r="R1501">
        <f>IF(Q1501="","",SMALL(INDEX(Calc!$B$2:$AO$367,Q1501,0),1496-INDEX(Calc!$AQ$2:$AQ$367,Q1501)))</f>
        <v/>
      </c>
    </row>
    <row r="1502">
      <c r="B1502" s="64">
        <f>IF(R1502="","",1497)</f>
        <v/>
      </c>
      <c r="C1502" s="37">
        <f>IF(R1502="","",IF(INDEX('Recurring Schedule'!$C$6:$C$45,R1502)="","",INDEX('Recurring Schedule'!$C$6:$C$45,R1502)))</f>
        <v/>
      </c>
      <c r="D1502" s="36">
        <f>IF(R1502="","",IF(INDEX('Recurring Schedule'!$D$6:$D$45,R1502)="","",INDEX('Recurring Schedule'!$D$6:$D$45,R1502)))</f>
        <v/>
      </c>
      <c r="E1502" s="38">
        <f>IF(Q1502="","",INDEX(Calc!$A$2:$A$367,Q1502))</f>
        <v/>
      </c>
      <c r="F1502" s="68">
        <f>IF(OR(C1502="",E1502=""),"",E1502-Setup!$D$7)</f>
        <v/>
      </c>
      <c r="G1502" s="74">
        <f>IF(R1502="","",IF(INDEX('Recurring Schedule'!$H$6:$H$45,R1502)="","",INDEX('Recurring Schedule'!$H$6:$H$45,R1502)))</f>
        <v/>
      </c>
      <c r="H1502" s="74">
        <f>IF(R1502="","",IF(INDEX('Recurring Schedule'!$I$6:$I$45,R1502)="","",INDEX('Recurring Schedule'!$I$6:$I$45,R1502)))</f>
        <v/>
      </c>
      <c r="I1502" s="36">
        <f>IF(OR(G1502="",H1502=""),"",TRIM(IF(HOUR(H1502-G1502)&gt;0,HOUR(H1502-G1502)&amp;" hr ","")&amp;IF(MINUTE(H1502-G1502)&gt;0,MINUTE(H1502-G1502)&amp;" min","")))</f>
        <v/>
      </c>
      <c r="J1502" s="66" t="n"/>
      <c r="K1502" s="70" t="n"/>
      <c r="L1502" s="36">
        <f>IF(R1502="","",IF(INDEX('Recurring Schedule'!$J$6:$J$45,R1502)="","",INDEX('Recurring Schedule'!$J$6:$J$45,R1502)))</f>
        <v/>
      </c>
      <c r="M1502" s="36">
        <f>IF(R1502="","",IF(INDEX('Recurring Schedule'!$K$6:$K$45,R1502)="","",INDEX('Recurring Schedule'!$K$6:$K$45,R1502)))</f>
        <v/>
      </c>
      <c r="N1502" s="36">
        <f>IF(R1502="","",IF(INDEX('Recurring Schedule'!$L$6:$L$45,R1502)="","",INDEX('Recurring Schedule'!$L$6:$L$45,R1502)))</f>
        <v/>
      </c>
      <c r="O1502" s="36">
        <f>IF(C1502="","",IF(AND(OR(L1502="1-Urgent",L1502="2-High"),M1502="✓"),"DO FIRST",IF(M1502="✓","SCHEDULE",IF(OR(L1502="1-Urgent",L1502="2-High"),"DELEGATE","DELETE"))))</f>
        <v/>
      </c>
      <c r="P1502" s="65" t="n"/>
      <c r="Q1502">
        <f>IF(1497&gt;Calc!$AQ$368,"",MATCH(1496,Calc!$AQ$2:$AQ$367,1))</f>
        <v/>
      </c>
      <c r="R1502">
        <f>IF(Q1502="","",SMALL(INDEX(Calc!$B$2:$AO$367,Q1502,0),1497-INDEX(Calc!$AQ$2:$AQ$367,Q1502)))</f>
        <v/>
      </c>
    </row>
    <row r="1503">
      <c r="B1503" s="71">
        <f>IF(R1503="","",1498)</f>
        <v/>
      </c>
      <c r="C1503" s="75">
        <f>IF(R1503="","",IF(INDEX('Recurring Schedule'!$C$6:$C$45,R1503)="","",INDEX('Recurring Schedule'!$C$6:$C$45,R1503)))</f>
        <v/>
      </c>
      <c r="D1503" s="73">
        <f>IF(R1503="","",IF(INDEX('Recurring Schedule'!$D$6:$D$45,R1503)="","",INDEX('Recurring Schedule'!$D$6:$D$45,R1503)))</f>
        <v/>
      </c>
      <c r="E1503" s="76">
        <f>IF(Q1503="","",INDEX(Calc!$A$2:$A$367,Q1503))</f>
        <v/>
      </c>
      <c r="F1503" s="72">
        <f>IF(OR(C1503="",E1503=""),"",E1503-Setup!$D$7)</f>
        <v/>
      </c>
      <c r="G1503" s="77">
        <f>IF(R1503="","",IF(INDEX('Recurring Schedule'!$H$6:$H$45,R1503)="","",INDEX('Recurring Schedule'!$H$6:$H$45,R1503)))</f>
        <v/>
      </c>
      <c r="H1503" s="77">
        <f>IF(R1503="","",IF(INDEX('Recurring Schedule'!$I$6:$I$45,R1503)="","",INDEX('Recurring Schedule'!$I$6:$I$45,R1503)))</f>
        <v/>
      </c>
      <c r="I1503" s="73">
        <f>IF(OR(G1503="",H1503=""),"",TRIM(IF(HOUR(H1503-G1503)&gt;0,HOUR(H1503-G1503)&amp;" hr ","")&amp;IF(MINUTE(H1503-G1503)&gt;0,MINUTE(H1503-G1503)&amp;" min","")))</f>
        <v/>
      </c>
      <c r="J1503" s="66" t="n"/>
      <c r="K1503" s="70" t="n"/>
      <c r="L1503" s="73">
        <f>IF(R1503="","",IF(INDEX('Recurring Schedule'!$J$6:$J$45,R1503)="","",INDEX('Recurring Schedule'!$J$6:$J$45,R1503)))</f>
        <v/>
      </c>
      <c r="M1503" s="73">
        <f>IF(R1503="","",IF(INDEX('Recurring Schedule'!$K$6:$K$45,R1503)="","",INDEX('Recurring Schedule'!$K$6:$K$45,R1503)))</f>
        <v/>
      </c>
      <c r="N1503" s="73">
        <f>IF(R1503="","",IF(INDEX('Recurring Schedule'!$L$6:$L$45,R1503)="","",INDEX('Recurring Schedule'!$L$6:$L$45,R1503)))</f>
        <v/>
      </c>
      <c r="O1503" s="73">
        <f>IF(C1503="","",IF(AND(OR(L1503="1-Urgent",L1503="2-High"),M1503="✓"),"DO FIRST",IF(M1503="✓","SCHEDULE",IF(OR(L1503="1-Urgent",L1503="2-High"),"DELEGATE","DELETE"))))</f>
        <v/>
      </c>
      <c r="P1503" s="65" t="n"/>
      <c r="Q1503">
        <f>IF(1498&gt;Calc!$AQ$368,"",MATCH(1497,Calc!$AQ$2:$AQ$367,1))</f>
        <v/>
      </c>
      <c r="R1503">
        <f>IF(Q1503="","",SMALL(INDEX(Calc!$B$2:$AO$367,Q1503,0),1498-INDEX(Calc!$AQ$2:$AQ$367,Q1503)))</f>
        <v/>
      </c>
    </row>
    <row r="1504">
      <c r="B1504" s="64">
        <f>IF(R1504="","",1499)</f>
        <v/>
      </c>
      <c r="C1504" s="37">
        <f>IF(R1504="","",IF(INDEX('Recurring Schedule'!$C$6:$C$45,R1504)="","",INDEX('Recurring Schedule'!$C$6:$C$45,R1504)))</f>
        <v/>
      </c>
      <c r="D1504" s="36">
        <f>IF(R1504="","",IF(INDEX('Recurring Schedule'!$D$6:$D$45,R1504)="","",INDEX('Recurring Schedule'!$D$6:$D$45,R1504)))</f>
        <v/>
      </c>
      <c r="E1504" s="38">
        <f>IF(Q1504="","",INDEX(Calc!$A$2:$A$367,Q1504))</f>
        <v/>
      </c>
      <c r="F1504" s="68">
        <f>IF(OR(C1504="",E1504=""),"",E1504-Setup!$D$7)</f>
        <v/>
      </c>
      <c r="G1504" s="74">
        <f>IF(R1504="","",IF(INDEX('Recurring Schedule'!$H$6:$H$45,R1504)="","",INDEX('Recurring Schedule'!$H$6:$H$45,R1504)))</f>
        <v/>
      </c>
      <c r="H1504" s="74">
        <f>IF(R1504="","",IF(INDEX('Recurring Schedule'!$I$6:$I$45,R1504)="","",INDEX('Recurring Schedule'!$I$6:$I$45,R1504)))</f>
        <v/>
      </c>
      <c r="I1504" s="36">
        <f>IF(OR(G1504="",H1504=""),"",TRIM(IF(HOUR(H1504-G1504)&gt;0,HOUR(H1504-G1504)&amp;" hr ","")&amp;IF(MINUTE(H1504-G1504)&gt;0,MINUTE(H1504-G1504)&amp;" min","")))</f>
        <v/>
      </c>
      <c r="J1504" s="66" t="n"/>
      <c r="K1504" s="70" t="n"/>
      <c r="L1504" s="36">
        <f>IF(R1504="","",IF(INDEX('Recurring Schedule'!$J$6:$J$45,R1504)="","",INDEX('Recurring Schedule'!$J$6:$J$45,R1504)))</f>
        <v/>
      </c>
      <c r="M1504" s="36">
        <f>IF(R1504="","",IF(INDEX('Recurring Schedule'!$K$6:$K$45,R1504)="","",INDEX('Recurring Schedule'!$K$6:$K$45,R1504)))</f>
        <v/>
      </c>
      <c r="N1504" s="36">
        <f>IF(R1504="","",IF(INDEX('Recurring Schedule'!$L$6:$L$45,R1504)="","",INDEX('Recurring Schedule'!$L$6:$L$45,R1504)))</f>
        <v/>
      </c>
      <c r="O1504" s="36">
        <f>IF(C1504="","",IF(AND(OR(L1504="1-Urgent",L1504="2-High"),M1504="✓"),"DO FIRST",IF(M1504="✓","SCHEDULE",IF(OR(L1504="1-Urgent",L1504="2-High"),"DELEGATE","DELETE"))))</f>
        <v/>
      </c>
      <c r="P1504" s="65" t="n"/>
      <c r="Q1504">
        <f>IF(1499&gt;Calc!$AQ$368,"",MATCH(1498,Calc!$AQ$2:$AQ$367,1))</f>
        <v/>
      </c>
      <c r="R1504">
        <f>IF(Q1504="","",SMALL(INDEX(Calc!$B$2:$AO$367,Q1504,0),1499-INDEX(Calc!$AQ$2:$AQ$367,Q1504)))</f>
        <v/>
      </c>
    </row>
    <row r="1505">
      <c r="B1505" s="71">
        <f>IF(R1505="","",1500)</f>
        <v/>
      </c>
      <c r="C1505" s="75">
        <f>IF(R1505="","",IF(INDEX('Recurring Schedule'!$C$6:$C$45,R1505)="","",INDEX('Recurring Schedule'!$C$6:$C$45,R1505)))</f>
        <v/>
      </c>
      <c r="D1505" s="73">
        <f>IF(R1505="","",IF(INDEX('Recurring Schedule'!$D$6:$D$45,R1505)="","",INDEX('Recurring Schedule'!$D$6:$D$45,R1505)))</f>
        <v/>
      </c>
      <c r="E1505" s="76">
        <f>IF(Q1505="","",INDEX(Calc!$A$2:$A$367,Q1505))</f>
        <v/>
      </c>
      <c r="F1505" s="72">
        <f>IF(OR(C1505="",E1505=""),"",E1505-Setup!$D$7)</f>
        <v/>
      </c>
      <c r="G1505" s="77">
        <f>IF(R1505="","",IF(INDEX('Recurring Schedule'!$H$6:$H$45,R1505)="","",INDEX('Recurring Schedule'!$H$6:$H$45,R1505)))</f>
        <v/>
      </c>
      <c r="H1505" s="77">
        <f>IF(R1505="","",IF(INDEX('Recurring Schedule'!$I$6:$I$45,R1505)="","",INDEX('Recurring Schedule'!$I$6:$I$45,R1505)))</f>
        <v/>
      </c>
      <c r="I1505" s="73">
        <f>IF(OR(G1505="",H1505=""),"",TRIM(IF(HOUR(H1505-G1505)&gt;0,HOUR(H1505-G1505)&amp;" hr ","")&amp;IF(MINUTE(H1505-G1505)&gt;0,MINUTE(H1505-G1505)&amp;" min","")))</f>
        <v/>
      </c>
      <c r="J1505" s="66" t="n"/>
      <c r="K1505" s="70" t="n"/>
      <c r="L1505" s="73">
        <f>IF(R1505="","",IF(INDEX('Recurring Schedule'!$J$6:$J$45,R1505)="","",INDEX('Recurring Schedule'!$J$6:$J$45,R1505)))</f>
        <v/>
      </c>
      <c r="M1505" s="73">
        <f>IF(R1505="","",IF(INDEX('Recurring Schedule'!$K$6:$K$45,R1505)="","",INDEX('Recurring Schedule'!$K$6:$K$45,R1505)))</f>
        <v/>
      </c>
      <c r="N1505" s="73">
        <f>IF(R1505="","",IF(INDEX('Recurring Schedule'!$L$6:$L$45,R1505)="","",INDEX('Recurring Schedule'!$L$6:$L$45,R1505)))</f>
        <v/>
      </c>
      <c r="O1505" s="73">
        <f>IF(C1505="","",IF(AND(OR(L1505="1-Urgent",L1505="2-High"),M1505="✓"),"DO FIRST",IF(M1505="✓","SCHEDULE",IF(OR(L1505="1-Urgent",L1505="2-High"),"DELEGATE","DELETE"))))</f>
        <v/>
      </c>
      <c r="P1505" s="65" t="n"/>
      <c r="Q1505">
        <f>IF(1500&gt;Calc!$AQ$368,"",MATCH(1499,Calc!$AQ$2:$AQ$367,1))</f>
        <v/>
      </c>
      <c r="R1505">
        <f>IF(Q1505="","",SMALL(INDEX(Calc!$B$2:$AO$367,Q1505,0),1500-INDEX(Calc!$AQ$2:$AQ$367,Q1505)))</f>
        <v/>
      </c>
    </row>
  </sheetData>
  <autoFilter ref="B5:P1505"/>
  <mergeCells count="6">
    <mergeCell ref="J4:K4"/>
    <mergeCell ref="E4:I4"/>
    <mergeCell ref="B4:D4"/>
    <mergeCell ref="P4"/>
    <mergeCell ref="L4:O4"/>
    <mergeCell ref="B2:J2"/>
  </mergeCells>
  <conditionalFormatting sqref="B6:P1505">
    <cfRule type="expression" priority="1" dxfId="10" stopIfTrue="1">
      <formula>OR($J6="Done",$J6="Cancelled")</formula>
    </cfRule>
    <cfRule type="expression" priority="2" dxfId="17" stopIfTrue="0">
      <formula>AND($C6&lt;&gt;"",ISNUMBER($E6),$E6&lt;Setup!$D$7)</formula>
    </cfRule>
    <cfRule type="expression" priority="3" dxfId="18" stopIfTrue="0">
      <formula>AND($C6&lt;&gt;"",$E6=Setup!$D$7)</formula>
    </cfRule>
  </conditionalFormatting>
  <conditionalFormatting sqref="D6:D1505">
    <cfRule type="expression" priority="4" dxfId="11" stopIfTrue="0">
      <formula>AND($D6&lt;&gt;"",$D6=INDEX(Setup!$F$6:$F$15,1))</formula>
    </cfRule>
    <cfRule type="expression" priority="5" dxfId="12" stopIfTrue="0">
      <formula>AND($D6&lt;&gt;"",$D6=INDEX(Setup!$F$6:$F$15,2))</formula>
    </cfRule>
    <cfRule type="expression" priority="6" dxfId="13" stopIfTrue="0">
      <formula>AND($D6&lt;&gt;"",$D6=INDEX(Setup!$F$6:$F$15,3))</formula>
    </cfRule>
    <cfRule type="expression" priority="7" dxfId="14" stopIfTrue="0">
      <formula>AND($D6&lt;&gt;"",$D6=INDEX(Setup!$F$6:$F$15,4))</formula>
    </cfRule>
    <cfRule type="expression" priority="8" dxfId="15" stopIfTrue="0">
      <formula>AND($D6&lt;&gt;"",$D6=INDEX(Setup!$F$6:$F$15,5))</formula>
    </cfRule>
    <cfRule type="expression" priority="9" dxfId="16" stopIfTrue="0">
      <formula>AND($D6&lt;&gt;"",$D6=INDEX(Setup!$F$6:$F$15,6))</formula>
    </cfRule>
  </conditionalFormatting>
  <conditionalFormatting sqref="O6:O1505">
    <cfRule type="expression" priority="10" dxfId="19" stopIfTrue="0">
      <formula>$O6="DO FIRST"</formula>
    </cfRule>
    <cfRule type="expression" priority="11" dxfId="20" stopIfTrue="0">
      <formula>$O6="SCHEDULE"</formula>
    </cfRule>
    <cfRule type="expression" priority="12" dxfId="21" stopIfTrue="0">
      <formula>$O6="DELEGATE"</formula>
    </cfRule>
    <cfRule type="expression" priority="13" dxfId="22" stopIfTrue="0">
      <formula>$O6="DELETE"</formula>
    </cfRule>
  </conditionalFormatting>
  <conditionalFormatting sqref="K6:K1505">
    <cfRule type="dataBar" priority="14">
      <dataBar showValue="1">
        <cfvo type="num" val="0"/>
        <cfvo type="num" val="1"/>
        <color rgb="0035D6BE"/>
      </dataBar>
    </cfRule>
  </conditionalFormatting>
  <dataValidations count="1">
    <dataValidation sqref="J6:J1505" showDropDown="0" showInputMessage="0" showErrorMessage="0" allowBlank="1" error="Please pick a value from the list." type="list" errorStyle="warning">
      <formula1>=Setup!$J$6:$J$11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5D6BE"/>
    <outlinePr summaryBelow="1" summaryRight="1"/>
    <pageSetUpPr/>
  </sheetPr>
  <dimension ref="B2:R309"/>
  <sheetViews>
    <sheetView showGridLines="0" zoomScale="85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" min="1" max="1"/>
    <col width="5" customWidth="1" style="1" min="2" max="2"/>
    <col width="28" customWidth="1" style="1" min="3" max="3"/>
    <col width="12" customWidth="1" style="1" min="4" max="4"/>
    <col width="11" customWidth="1" style="1" min="5" max="5"/>
    <col width="9" customWidth="1" style="1" min="6" max="6"/>
    <col width="10" customWidth="1" style="1" min="7" max="7"/>
    <col width="10" customWidth="1" style="1" min="8" max="8"/>
    <col width="12" customWidth="1" style="1" min="9" max="9"/>
    <col width="13" customWidth="1" style="1" min="10" max="10"/>
    <col width="10" customWidth="1" style="1" min="11" max="11"/>
    <col width="11" customWidth="1" style="1" min="12" max="12"/>
    <col width="10" customWidth="1" style="1" min="13" max="13"/>
    <col width="13" customWidth="1" style="1" min="14" max="14"/>
    <col width="12" customWidth="1" style="1" min="15" max="15"/>
    <col width="28" customWidth="1" style="1" min="16" max="16"/>
    <col width="9" customWidth="1" style="1" min="17" max="17"/>
    <col hidden="1"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</cols>
  <sheetData>
    <row r="2" ht="30" customHeight="1">
      <c r="B2" s="78" t="inlineStr">
        <is>
          <t>Tasks Filter</t>
        </is>
      </c>
      <c r="C2" s="35" t="n"/>
      <c r="D2" s="35" t="n"/>
      <c r="E2" s="79" t="inlineStr">
        <is>
          <t>DATE RANGE · SORT · FILTER  (blank = all)</t>
        </is>
      </c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</row>
    <row r="3">
      <c r="B3" s="35" t="n"/>
      <c r="C3" s="35" t="n"/>
      <c r="D3" s="35" t="n"/>
      <c r="E3" s="80" t="inlineStr">
        <is>
          <t>From</t>
        </is>
      </c>
      <c r="F3" s="15">
        <f>Setup!$D$7-30</f>
        <v/>
      </c>
      <c r="H3" s="80" t="inlineStr">
        <is>
          <t>Task name</t>
        </is>
      </c>
      <c r="I3" s="22" t="n"/>
      <c r="K3" s="80" t="inlineStr">
        <is>
          <t>Category</t>
        </is>
      </c>
      <c r="L3" s="22" t="n"/>
      <c r="N3" s="80" t="inlineStr">
        <is>
          <t>Decision</t>
        </is>
      </c>
      <c r="O3" s="22" t="n"/>
      <c r="P3" s="30" t="inlineStr">
        <is>
          <t>SHOWN</t>
        </is>
      </c>
      <c r="Q3" s="30" t="inlineStr">
        <is>
          <t>OVERDUE</t>
        </is>
      </c>
    </row>
    <row r="4">
      <c r="B4" s="58">
        <f>TEXT(Setup!$D$7,"dddd, mmmm d, yyyy")</f>
        <v/>
      </c>
      <c r="E4" s="80" t="inlineStr">
        <is>
          <t>To</t>
        </is>
      </c>
      <c r="F4" s="15">
        <f>Setup!$D$7+90</f>
        <v/>
      </c>
      <c r="H4" s="80" t="inlineStr">
        <is>
          <t>Priority</t>
        </is>
      </c>
      <c r="I4" s="22" t="n"/>
      <c r="K4" s="80" t="inlineStr">
        <is>
          <t>Status</t>
        </is>
      </c>
      <c r="L4" s="22" t="n"/>
      <c r="N4" s="80" t="inlineStr">
        <is>
          <t>Show done</t>
        </is>
      </c>
      <c r="O4" s="22" t="inlineStr">
        <is>
          <t>Yes</t>
        </is>
      </c>
      <c r="P4" s="81">
        <f>COUNT(Calc!$BK$2:$BK$2001)</f>
        <v/>
      </c>
      <c r="Q4" s="82">
        <f>COUNT(Calc!$BL$2:$BL$2001)</f>
        <v/>
      </c>
    </row>
    <row r="5">
      <c r="E5" s="80" t="inlineStr">
        <is>
          <t>Sort by</t>
        </is>
      </c>
      <c r="F5" s="22" t="inlineStr">
        <is>
          <t>Due date</t>
        </is>
      </c>
      <c r="H5" s="80" t="inlineStr">
        <is>
          <t>Important</t>
        </is>
      </c>
      <c r="I5" s="22" t="inlineStr">
        <is>
          <t>Both</t>
        </is>
      </c>
      <c r="K5" s="80" t="inlineStr">
        <is>
          <t>Person</t>
        </is>
      </c>
      <c r="L5" s="22" t="n"/>
      <c r="P5" s="35" t="n"/>
      <c r="Q5" s="35" t="n"/>
    </row>
    <row r="6">
      <c r="E6" s="80" t="inlineStr">
        <is>
          <t>Order</t>
        </is>
      </c>
      <c r="F6" s="22" t="inlineStr">
        <is>
          <t>Ascending</t>
        </is>
      </c>
      <c r="P6" s="30" t="inlineStr">
        <is>
          <t>DUE TODAY</t>
        </is>
      </c>
      <c r="Q6" s="30" t="inlineStr">
        <is>
          <t>DONE</t>
        </is>
      </c>
    </row>
    <row r="7">
      <c r="P7" s="83">
        <f>COUNTIFS(Calc!$AW$2:$AW$2001,Setup!$D$7,Calc!$BH$2:$BH$2001,1)</f>
        <v/>
      </c>
      <c r="Q7" s="84">
        <f>SUMPRODUCT((Calc!$BI$2:$BI$2001=1)*(Calc!$BG$2:$BG$2001=1))</f>
        <v/>
      </c>
    </row>
    <row r="8">
      <c r="B8" s="11" t="inlineStr">
        <is>
          <t>TASK DETAILS</t>
        </is>
      </c>
      <c r="C8" s="25" t="n"/>
      <c r="D8" s="25" t="n"/>
      <c r="E8" s="8" t="inlineStr">
        <is>
          <t>SCHEDULE</t>
        </is>
      </c>
      <c r="F8" s="9" t="n"/>
      <c r="G8" s="9" t="n"/>
      <c r="H8" s="9" t="n"/>
      <c r="I8" s="9" t="n"/>
      <c r="J8" s="11" t="inlineStr">
        <is>
          <t>STATUS &amp; PROGRESS</t>
        </is>
      </c>
      <c r="K8" s="25" t="n"/>
      <c r="L8" s="13" t="inlineStr">
        <is>
          <t>EISENHOWER MATRIX</t>
        </is>
      </c>
      <c r="M8" s="27" t="n"/>
      <c r="N8" s="27" t="n"/>
      <c r="O8" s="27" t="n"/>
      <c r="P8" s="63" t="inlineStr">
        <is>
          <t>EDIT</t>
        </is>
      </c>
    </row>
    <row r="9">
      <c r="B9" s="60" t="inlineStr">
        <is>
          <t>#</t>
        </is>
      </c>
      <c r="C9" s="60" t="inlineStr">
        <is>
          <t>TASK</t>
        </is>
      </c>
      <c r="D9" s="60" t="inlineStr">
        <is>
          <t>CATEGORY</t>
        </is>
      </c>
      <c r="E9" s="60" t="inlineStr">
        <is>
          <t>DUE DATE</t>
        </is>
      </c>
      <c r="F9" s="60" t="inlineStr">
        <is>
          <t>DAYS LEFT</t>
        </is>
      </c>
      <c r="G9" s="60" t="inlineStr">
        <is>
          <t>START</t>
        </is>
      </c>
      <c r="H9" s="60" t="inlineStr">
        <is>
          <t>END</t>
        </is>
      </c>
      <c r="I9" s="60" t="inlineStr">
        <is>
          <t>DURATION</t>
        </is>
      </c>
      <c r="J9" s="60" t="inlineStr">
        <is>
          <t>STATUS</t>
        </is>
      </c>
      <c r="K9" s="60" t="inlineStr">
        <is>
          <t>PROGRESS</t>
        </is>
      </c>
      <c r="L9" s="60" t="inlineStr">
        <is>
          <t>PRIORITY</t>
        </is>
      </c>
      <c r="M9" s="60" t="inlineStr">
        <is>
          <t>IMPORTANT</t>
        </is>
      </c>
      <c r="N9" s="60" t="inlineStr">
        <is>
          <t>DELEGATE TO</t>
        </is>
      </c>
      <c r="O9" s="60" t="inlineStr">
        <is>
          <t>DECISION</t>
        </is>
      </c>
      <c r="P9" s="60" t="inlineStr">
        <is>
          <t>EDIT TASK</t>
        </is>
      </c>
    </row>
    <row r="10">
      <c r="B10" s="73">
        <f>IF(R10="","",1)</f>
        <v/>
      </c>
      <c r="C10" s="75">
        <f>IF($R10="","",IF(INDEX(Calc!$AU$2:$AU$2001,$R10)="","",INDEX(Calc!$AU$2:$AU$2001,$R10)))</f>
        <v/>
      </c>
      <c r="D10" s="73">
        <f>IF($R10="","",IF(INDEX(Calc!$AV$2:$AV$2001,$R10)="","",INDEX(Calc!$AV$2:$AV$2001,$R10)))</f>
        <v/>
      </c>
      <c r="E10" s="76">
        <f>IF($R10="","",IF(INDEX(Calc!$AW$2:$AW$2001,$R10)="","",INDEX(Calc!$AW$2:$AW$2001,$R10)))</f>
        <v/>
      </c>
      <c r="F10" s="72">
        <f>IF(OR(C10="",E10=""),"",E10-Setup!$D$7)</f>
        <v/>
      </c>
      <c r="G10" s="77">
        <f>IF($R10="","",IF(INDEX(Calc!$AX$2:$AX$2001,$R10)="","",INDEX(Calc!$AX$2:$AX$2001,$R10)))</f>
        <v/>
      </c>
      <c r="H10" s="77">
        <f>IF($R10="","",IF(INDEX(Calc!$AY$2:$AY$2001,$R10)="","",INDEX(Calc!$AY$2:$AY$2001,$R10)))</f>
        <v/>
      </c>
      <c r="I10" s="73">
        <f>IF(OR(G10="",H10=""),"",TRIM(IF(HOUR(H10-G10)&gt;0,HOUR(H10-G10)&amp;" hr ","")&amp;IF(MINUTE(H10-G10)&gt;0,MINUTE(H10-G10)&amp;" min","")))</f>
        <v/>
      </c>
      <c r="J10" s="73">
        <f>IF($R10="","",IF(INDEX(Calc!$AZ$2:$AZ$2001,$R10)="","",INDEX(Calc!$AZ$2:$AZ$2001,$R10)))</f>
        <v/>
      </c>
      <c r="K10" s="85">
        <f>IF($R10="","",IF(INDEX(Calc!$BE$2:$BE$2001,$R10)="","",INDEX(Calc!$BE$2:$BE$2001,$R10)))</f>
        <v/>
      </c>
      <c r="L10" s="73">
        <f>IF($R10="","",IF(INDEX(Calc!$BA$2:$BA$2001,$R10)="","",INDEX(Calc!$BA$2:$BA$2001,$R10)))</f>
        <v/>
      </c>
      <c r="M10" s="73">
        <f>IF($R10="","",IF(INDEX(Calc!$BB$2:$BB$2001,$R10)="","",INDEX(Calc!$BB$2:$BB$2001,$R10)))</f>
        <v/>
      </c>
      <c r="N10" s="73">
        <f>IF($R10="","",IF(INDEX(Calc!$BC$2:$BC$2001,$R10)="","",INDEX(Calc!$BC$2:$BC$2001,$R10)))</f>
        <v/>
      </c>
      <c r="O10" s="73">
        <f>IF($R10="","",IF(INDEX(Calc!$BD$2:$BD$2001,$R10)="","",INDEX(Calc!$BD$2:$BD$2001,$R10)))</f>
        <v/>
      </c>
      <c r="P10" s="86">
        <f>IF(R10="","",HYPERLINK("#'"&amp;IF(INDEX(Calc!$AS$2:$AS$2001,R10)="R","Recurring Log","Variable Tasks")&amp;"'!J"&amp;INDEX(Calc!$AT$2:$AT$2001,R10),"✎ edit"))</f>
        <v/>
      </c>
      <c r="R10">
        <f>IFERROR(MATCH(SMALL(Calc!$BK$2:$BK$2001,1),Calc!$BK$2:$BK$2001,0),"")</f>
        <v/>
      </c>
    </row>
    <row r="11">
      <c r="B11" s="36">
        <f>IF(R11="","",2)</f>
        <v/>
      </c>
      <c r="C11" s="37">
        <f>IF($R11="","",IF(INDEX(Calc!$AU$2:$AU$2001,$R11)="","",INDEX(Calc!$AU$2:$AU$2001,$R11)))</f>
        <v/>
      </c>
      <c r="D11" s="36">
        <f>IF($R11="","",IF(INDEX(Calc!$AV$2:$AV$2001,$R11)="","",INDEX(Calc!$AV$2:$AV$2001,$R11)))</f>
        <v/>
      </c>
      <c r="E11" s="38">
        <f>IF($R11="","",IF(INDEX(Calc!$AW$2:$AW$2001,$R11)="","",INDEX(Calc!$AW$2:$AW$2001,$R11)))</f>
        <v/>
      </c>
      <c r="F11" s="68">
        <f>IF(OR(C11="",E11=""),"",E11-Setup!$D$7)</f>
        <v/>
      </c>
      <c r="G11" s="74">
        <f>IF($R11="","",IF(INDEX(Calc!$AX$2:$AX$2001,$R11)="","",INDEX(Calc!$AX$2:$AX$2001,$R11)))</f>
        <v/>
      </c>
      <c r="H11" s="74">
        <f>IF($R11="","",IF(INDEX(Calc!$AY$2:$AY$2001,$R11)="","",INDEX(Calc!$AY$2:$AY$2001,$R11)))</f>
        <v/>
      </c>
      <c r="I11" s="36">
        <f>IF(OR(G11="",H11=""),"",TRIM(IF(HOUR(H11-G11)&gt;0,HOUR(H11-G11)&amp;" hr ","")&amp;IF(MINUTE(H11-G11)&gt;0,MINUTE(H11-G11)&amp;" min","")))</f>
        <v/>
      </c>
      <c r="J11" s="36">
        <f>IF($R11="","",IF(INDEX(Calc!$AZ$2:$AZ$2001,$R11)="","",INDEX(Calc!$AZ$2:$AZ$2001,$R11)))</f>
        <v/>
      </c>
      <c r="K11" s="87">
        <f>IF($R11="","",IF(INDEX(Calc!$BE$2:$BE$2001,$R11)="","",INDEX(Calc!$BE$2:$BE$2001,$R11)))</f>
        <v/>
      </c>
      <c r="L11" s="36">
        <f>IF($R11="","",IF(INDEX(Calc!$BA$2:$BA$2001,$R11)="","",INDEX(Calc!$BA$2:$BA$2001,$R11)))</f>
        <v/>
      </c>
      <c r="M11" s="36">
        <f>IF($R11="","",IF(INDEX(Calc!$BB$2:$BB$2001,$R11)="","",INDEX(Calc!$BB$2:$BB$2001,$R11)))</f>
        <v/>
      </c>
      <c r="N11" s="36">
        <f>IF($R11="","",IF(INDEX(Calc!$BC$2:$BC$2001,$R11)="","",INDEX(Calc!$BC$2:$BC$2001,$R11)))</f>
        <v/>
      </c>
      <c r="O11" s="36">
        <f>IF($R11="","",IF(INDEX(Calc!$BD$2:$BD$2001,$R11)="","",INDEX(Calc!$BD$2:$BD$2001,$R11)))</f>
        <v/>
      </c>
      <c r="P11" s="88">
        <f>IF(R11="","",HYPERLINK("#'"&amp;IF(INDEX(Calc!$AS$2:$AS$2001,R11)="R","Recurring Log","Variable Tasks")&amp;"'!J"&amp;INDEX(Calc!$AT$2:$AT$2001,R11),"✎ edit"))</f>
        <v/>
      </c>
      <c r="R11">
        <f>IFERROR(MATCH(SMALL(Calc!$BK$2:$BK$2001,2),Calc!$BK$2:$BK$2001,0),"")</f>
        <v/>
      </c>
    </row>
    <row r="12">
      <c r="B12" s="73">
        <f>IF(R12="","",3)</f>
        <v/>
      </c>
      <c r="C12" s="75">
        <f>IF($R12="","",IF(INDEX(Calc!$AU$2:$AU$2001,$R12)="","",INDEX(Calc!$AU$2:$AU$2001,$R12)))</f>
        <v/>
      </c>
      <c r="D12" s="73">
        <f>IF($R12="","",IF(INDEX(Calc!$AV$2:$AV$2001,$R12)="","",INDEX(Calc!$AV$2:$AV$2001,$R12)))</f>
        <v/>
      </c>
      <c r="E12" s="76">
        <f>IF($R12="","",IF(INDEX(Calc!$AW$2:$AW$2001,$R12)="","",INDEX(Calc!$AW$2:$AW$2001,$R12)))</f>
        <v/>
      </c>
      <c r="F12" s="72">
        <f>IF(OR(C12="",E12=""),"",E12-Setup!$D$7)</f>
        <v/>
      </c>
      <c r="G12" s="77">
        <f>IF($R12="","",IF(INDEX(Calc!$AX$2:$AX$2001,$R12)="","",INDEX(Calc!$AX$2:$AX$2001,$R12)))</f>
        <v/>
      </c>
      <c r="H12" s="77">
        <f>IF($R12="","",IF(INDEX(Calc!$AY$2:$AY$2001,$R12)="","",INDEX(Calc!$AY$2:$AY$2001,$R12)))</f>
        <v/>
      </c>
      <c r="I12" s="73">
        <f>IF(OR(G12="",H12=""),"",TRIM(IF(HOUR(H12-G12)&gt;0,HOUR(H12-G12)&amp;" hr ","")&amp;IF(MINUTE(H12-G12)&gt;0,MINUTE(H12-G12)&amp;" min","")))</f>
        <v/>
      </c>
      <c r="J12" s="73">
        <f>IF($R12="","",IF(INDEX(Calc!$AZ$2:$AZ$2001,$R12)="","",INDEX(Calc!$AZ$2:$AZ$2001,$R12)))</f>
        <v/>
      </c>
      <c r="K12" s="85">
        <f>IF($R12="","",IF(INDEX(Calc!$BE$2:$BE$2001,$R12)="","",INDEX(Calc!$BE$2:$BE$2001,$R12)))</f>
        <v/>
      </c>
      <c r="L12" s="73">
        <f>IF($R12="","",IF(INDEX(Calc!$BA$2:$BA$2001,$R12)="","",INDEX(Calc!$BA$2:$BA$2001,$R12)))</f>
        <v/>
      </c>
      <c r="M12" s="73">
        <f>IF($R12="","",IF(INDEX(Calc!$BB$2:$BB$2001,$R12)="","",INDEX(Calc!$BB$2:$BB$2001,$R12)))</f>
        <v/>
      </c>
      <c r="N12" s="73">
        <f>IF($R12="","",IF(INDEX(Calc!$BC$2:$BC$2001,$R12)="","",INDEX(Calc!$BC$2:$BC$2001,$R12)))</f>
        <v/>
      </c>
      <c r="O12" s="73">
        <f>IF($R12="","",IF(INDEX(Calc!$BD$2:$BD$2001,$R12)="","",INDEX(Calc!$BD$2:$BD$2001,$R12)))</f>
        <v/>
      </c>
      <c r="P12" s="86">
        <f>IF(R12="","",HYPERLINK("#'"&amp;IF(INDEX(Calc!$AS$2:$AS$2001,R12)="R","Recurring Log","Variable Tasks")&amp;"'!J"&amp;INDEX(Calc!$AT$2:$AT$2001,R12),"✎ edit"))</f>
        <v/>
      </c>
      <c r="R12">
        <f>IFERROR(MATCH(SMALL(Calc!$BK$2:$BK$2001,3),Calc!$BK$2:$BK$2001,0),"")</f>
        <v/>
      </c>
    </row>
    <row r="13">
      <c r="B13" s="36">
        <f>IF(R13="","",4)</f>
        <v/>
      </c>
      <c r="C13" s="37">
        <f>IF($R13="","",IF(INDEX(Calc!$AU$2:$AU$2001,$R13)="","",INDEX(Calc!$AU$2:$AU$2001,$R13)))</f>
        <v/>
      </c>
      <c r="D13" s="36">
        <f>IF($R13="","",IF(INDEX(Calc!$AV$2:$AV$2001,$R13)="","",INDEX(Calc!$AV$2:$AV$2001,$R13)))</f>
        <v/>
      </c>
      <c r="E13" s="38">
        <f>IF($R13="","",IF(INDEX(Calc!$AW$2:$AW$2001,$R13)="","",INDEX(Calc!$AW$2:$AW$2001,$R13)))</f>
        <v/>
      </c>
      <c r="F13" s="68">
        <f>IF(OR(C13="",E13=""),"",E13-Setup!$D$7)</f>
        <v/>
      </c>
      <c r="G13" s="74">
        <f>IF($R13="","",IF(INDEX(Calc!$AX$2:$AX$2001,$R13)="","",INDEX(Calc!$AX$2:$AX$2001,$R13)))</f>
        <v/>
      </c>
      <c r="H13" s="74">
        <f>IF($R13="","",IF(INDEX(Calc!$AY$2:$AY$2001,$R13)="","",INDEX(Calc!$AY$2:$AY$2001,$R13)))</f>
        <v/>
      </c>
      <c r="I13" s="36">
        <f>IF(OR(G13="",H13=""),"",TRIM(IF(HOUR(H13-G13)&gt;0,HOUR(H13-G13)&amp;" hr ","")&amp;IF(MINUTE(H13-G13)&gt;0,MINUTE(H13-G13)&amp;" min","")))</f>
        <v/>
      </c>
      <c r="J13" s="36">
        <f>IF($R13="","",IF(INDEX(Calc!$AZ$2:$AZ$2001,$R13)="","",INDEX(Calc!$AZ$2:$AZ$2001,$R13)))</f>
        <v/>
      </c>
      <c r="K13" s="87">
        <f>IF($R13="","",IF(INDEX(Calc!$BE$2:$BE$2001,$R13)="","",INDEX(Calc!$BE$2:$BE$2001,$R13)))</f>
        <v/>
      </c>
      <c r="L13" s="36">
        <f>IF($R13="","",IF(INDEX(Calc!$BA$2:$BA$2001,$R13)="","",INDEX(Calc!$BA$2:$BA$2001,$R13)))</f>
        <v/>
      </c>
      <c r="M13" s="36">
        <f>IF($R13="","",IF(INDEX(Calc!$BB$2:$BB$2001,$R13)="","",INDEX(Calc!$BB$2:$BB$2001,$R13)))</f>
        <v/>
      </c>
      <c r="N13" s="36">
        <f>IF($R13="","",IF(INDEX(Calc!$BC$2:$BC$2001,$R13)="","",INDEX(Calc!$BC$2:$BC$2001,$R13)))</f>
        <v/>
      </c>
      <c r="O13" s="36">
        <f>IF($R13="","",IF(INDEX(Calc!$BD$2:$BD$2001,$R13)="","",INDEX(Calc!$BD$2:$BD$2001,$R13)))</f>
        <v/>
      </c>
      <c r="P13" s="88">
        <f>IF(R13="","",HYPERLINK("#'"&amp;IF(INDEX(Calc!$AS$2:$AS$2001,R13)="R","Recurring Log","Variable Tasks")&amp;"'!J"&amp;INDEX(Calc!$AT$2:$AT$2001,R13),"✎ edit"))</f>
        <v/>
      </c>
      <c r="R13">
        <f>IFERROR(MATCH(SMALL(Calc!$BK$2:$BK$2001,4),Calc!$BK$2:$BK$2001,0),"")</f>
        <v/>
      </c>
    </row>
    <row r="14">
      <c r="B14" s="73">
        <f>IF(R14="","",5)</f>
        <v/>
      </c>
      <c r="C14" s="75">
        <f>IF($R14="","",IF(INDEX(Calc!$AU$2:$AU$2001,$R14)="","",INDEX(Calc!$AU$2:$AU$2001,$R14)))</f>
        <v/>
      </c>
      <c r="D14" s="73">
        <f>IF($R14="","",IF(INDEX(Calc!$AV$2:$AV$2001,$R14)="","",INDEX(Calc!$AV$2:$AV$2001,$R14)))</f>
        <v/>
      </c>
      <c r="E14" s="76">
        <f>IF($R14="","",IF(INDEX(Calc!$AW$2:$AW$2001,$R14)="","",INDEX(Calc!$AW$2:$AW$2001,$R14)))</f>
        <v/>
      </c>
      <c r="F14" s="72">
        <f>IF(OR(C14="",E14=""),"",E14-Setup!$D$7)</f>
        <v/>
      </c>
      <c r="G14" s="77">
        <f>IF($R14="","",IF(INDEX(Calc!$AX$2:$AX$2001,$R14)="","",INDEX(Calc!$AX$2:$AX$2001,$R14)))</f>
        <v/>
      </c>
      <c r="H14" s="77">
        <f>IF($R14="","",IF(INDEX(Calc!$AY$2:$AY$2001,$R14)="","",INDEX(Calc!$AY$2:$AY$2001,$R14)))</f>
        <v/>
      </c>
      <c r="I14" s="73">
        <f>IF(OR(G14="",H14=""),"",TRIM(IF(HOUR(H14-G14)&gt;0,HOUR(H14-G14)&amp;" hr ","")&amp;IF(MINUTE(H14-G14)&gt;0,MINUTE(H14-G14)&amp;" min","")))</f>
        <v/>
      </c>
      <c r="J14" s="73">
        <f>IF($R14="","",IF(INDEX(Calc!$AZ$2:$AZ$2001,$R14)="","",INDEX(Calc!$AZ$2:$AZ$2001,$R14)))</f>
        <v/>
      </c>
      <c r="K14" s="85">
        <f>IF($R14="","",IF(INDEX(Calc!$BE$2:$BE$2001,$R14)="","",INDEX(Calc!$BE$2:$BE$2001,$R14)))</f>
        <v/>
      </c>
      <c r="L14" s="73">
        <f>IF($R14="","",IF(INDEX(Calc!$BA$2:$BA$2001,$R14)="","",INDEX(Calc!$BA$2:$BA$2001,$R14)))</f>
        <v/>
      </c>
      <c r="M14" s="73">
        <f>IF($R14="","",IF(INDEX(Calc!$BB$2:$BB$2001,$R14)="","",INDEX(Calc!$BB$2:$BB$2001,$R14)))</f>
        <v/>
      </c>
      <c r="N14" s="73">
        <f>IF($R14="","",IF(INDEX(Calc!$BC$2:$BC$2001,$R14)="","",INDEX(Calc!$BC$2:$BC$2001,$R14)))</f>
        <v/>
      </c>
      <c r="O14" s="73">
        <f>IF($R14="","",IF(INDEX(Calc!$BD$2:$BD$2001,$R14)="","",INDEX(Calc!$BD$2:$BD$2001,$R14)))</f>
        <v/>
      </c>
      <c r="P14" s="86">
        <f>IF(R14="","",HYPERLINK("#'"&amp;IF(INDEX(Calc!$AS$2:$AS$2001,R14)="R","Recurring Log","Variable Tasks")&amp;"'!J"&amp;INDEX(Calc!$AT$2:$AT$2001,R14),"✎ edit"))</f>
        <v/>
      </c>
      <c r="R14">
        <f>IFERROR(MATCH(SMALL(Calc!$BK$2:$BK$2001,5),Calc!$BK$2:$BK$2001,0),"")</f>
        <v/>
      </c>
    </row>
    <row r="15">
      <c r="B15" s="36">
        <f>IF(R15="","",6)</f>
        <v/>
      </c>
      <c r="C15" s="37">
        <f>IF($R15="","",IF(INDEX(Calc!$AU$2:$AU$2001,$R15)="","",INDEX(Calc!$AU$2:$AU$2001,$R15)))</f>
        <v/>
      </c>
      <c r="D15" s="36">
        <f>IF($R15="","",IF(INDEX(Calc!$AV$2:$AV$2001,$R15)="","",INDEX(Calc!$AV$2:$AV$2001,$R15)))</f>
        <v/>
      </c>
      <c r="E15" s="38">
        <f>IF($R15="","",IF(INDEX(Calc!$AW$2:$AW$2001,$R15)="","",INDEX(Calc!$AW$2:$AW$2001,$R15)))</f>
        <v/>
      </c>
      <c r="F15" s="68">
        <f>IF(OR(C15="",E15=""),"",E15-Setup!$D$7)</f>
        <v/>
      </c>
      <c r="G15" s="74">
        <f>IF($R15="","",IF(INDEX(Calc!$AX$2:$AX$2001,$R15)="","",INDEX(Calc!$AX$2:$AX$2001,$R15)))</f>
        <v/>
      </c>
      <c r="H15" s="74">
        <f>IF($R15="","",IF(INDEX(Calc!$AY$2:$AY$2001,$R15)="","",INDEX(Calc!$AY$2:$AY$2001,$R15)))</f>
        <v/>
      </c>
      <c r="I15" s="36">
        <f>IF(OR(G15="",H15=""),"",TRIM(IF(HOUR(H15-G15)&gt;0,HOUR(H15-G15)&amp;" hr ","")&amp;IF(MINUTE(H15-G15)&gt;0,MINUTE(H15-G15)&amp;" min","")))</f>
        <v/>
      </c>
      <c r="J15" s="36">
        <f>IF($R15="","",IF(INDEX(Calc!$AZ$2:$AZ$2001,$R15)="","",INDEX(Calc!$AZ$2:$AZ$2001,$R15)))</f>
        <v/>
      </c>
      <c r="K15" s="87">
        <f>IF($R15="","",IF(INDEX(Calc!$BE$2:$BE$2001,$R15)="","",INDEX(Calc!$BE$2:$BE$2001,$R15)))</f>
        <v/>
      </c>
      <c r="L15" s="36">
        <f>IF($R15="","",IF(INDEX(Calc!$BA$2:$BA$2001,$R15)="","",INDEX(Calc!$BA$2:$BA$2001,$R15)))</f>
        <v/>
      </c>
      <c r="M15" s="36">
        <f>IF($R15="","",IF(INDEX(Calc!$BB$2:$BB$2001,$R15)="","",INDEX(Calc!$BB$2:$BB$2001,$R15)))</f>
        <v/>
      </c>
      <c r="N15" s="36">
        <f>IF($R15="","",IF(INDEX(Calc!$BC$2:$BC$2001,$R15)="","",INDEX(Calc!$BC$2:$BC$2001,$R15)))</f>
        <v/>
      </c>
      <c r="O15" s="36">
        <f>IF($R15="","",IF(INDEX(Calc!$BD$2:$BD$2001,$R15)="","",INDEX(Calc!$BD$2:$BD$2001,$R15)))</f>
        <v/>
      </c>
      <c r="P15" s="88">
        <f>IF(R15="","",HYPERLINK("#'"&amp;IF(INDEX(Calc!$AS$2:$AS$2001,R15)="R","Recurring Log","Variable Tasks")&amp;"'!J"&amp;INDEX(Calc!$AT$2:$AT$2001,R15),"✎ edit"))</f>
        <v/>
      </c>
      <c r="R15">
        <f>IFERROR(MATCH(SMALL(Calc!$BK$2:$BK$2001,6),Calc!$BK$2:$BK$2001,0),"")</f>
        <v/>
      </c>
    </row>
    <row r="16">
      <c r="B16" s="73">
        <f>IF(R16="","",7)</f>
        <v/>
      </c>
      <c r="C16" s="75">
        <f>IF($R16="","",IF(INDEX(Calc!$AU$2:$AU$2001,$R16)="","",INDEX(Calc!$AU$2:$AU$2001,$R16)))</f>
        <v/>
      </c>
      <c r="D16" s="73">
        <f>IF($R16="","",IF(INDEX(Calc!$AV$2:$AV$2001,$R16)="","",INDEX(Calc!$AV$2:$AV$2001,$R16)))</f>
        <v/>
      </c>
      <c r="E16" s="76">
        <f>IF($R16="","",IF(INDEX(Calc!$AW$2:$AW$2001,$R16)="","",INDEX(Calc!$AW$2:$AW$2001,$R16)))</f>
        <v/>
      </c>
      <c r="F16" s="72">
        <f>IF(OR(C16="",E16=""),"",E16-Setup!$D$7)</f>
        <v/>
      </c>
      <c r="G16" s="77">
        <f>IF($R16="","",IF(INDEX(Calc!$AX$2:$AX$2001,$R16)="","",INDEX(Calc!$AX$2:$AX$2001,$R16)))</f>
        <v/>
      </c>
      <c r="H16" s="77">
        <f>IF($R16="","",IF(INDEX(Calc!$AY$2:$AY$2001,$R16)="","",INDEX(Calc!$AY$2:$AY$2001,$R16)))</f>
        <v/>
      </c>
      <c r="I16" s="73">
        <f>IF(OR(G16="",H16=""),"",TRIM(IF(HOUR(H16-G16)&gt;0,HOUR(H16-G16)&amp;" hr ","")&amp;IF(MINUTE(H16-G16)&gt;0,MINUTE(H16-G16)&amp;" min","")))</f>
        <v/>
      </c>
      <c r="J16" s="73">
        <f>IF($R16="","",IF(INDEX(Calc!$AZ$2:$AZ$2001,$R16)="","",INDEX(Calc!$AZ$2:$AZ$2001,$R16)))</f>
        <v/>
      </c>
      <c r="K16" s="85">
        <f>IF($R16="","",IF(INDEX(Calc!$BE$2:$BE$2001,$R16)="","",INDEX(Calc!$BE$2:$BE$2001,$R16)))</f>
        <v/>
      </c>
      <c r="L16" s="73">
        <f>IF($R16="","",IF(INDEX(Calc!$BA$2:$BA$2001,$R16)="","",INDEX(Calc!$BA$2:$BA$2001,$R16)))</f>
        <v/>
      </c>
      <c r="M16" s="73">
        <f>IF($R16="","",IF(INDEX(Calc!$BB$2:$BB$2001,$R16)="","",INDEX(Calc!$BB$2:$BB$2001,$R16)))</f>
        <v/>
      </c>
      <c r="N16" s="73">
        <f>IF($R16="","",IF(INDEX(Calc!$BC$2:$BC$2001,$R16)="","",INDEX(Calc!$BC$2:$BC$2001,$R16)))</f>
        <v/>
      </c>
      <c r="O16" s="73">
        <f>IF($R16="","",IF(INDEX(Calc!$BD$2:$BD$2001,$R16)="","",INDEX(Calc!$BD$2:$BD$2001,$R16)))</f>
        <v/>
      </c>
      <c r="P16" s="86">
        <f>IF(R16="","",HYPERLINK("#'"&amp;IF(INDEX(Calc!$AS$2:$AS$2001,R16)="R","Recurring Log","Variable Tasks")&amp;"'!J"&amp;INDEX(Calc!$AT$2:$AT$2001,R16),"✎ edit"))</f>
        <v/>
      </c>
      <c r="R16">
        <f>IFERROR(MATCH(SMALL(Calc!$BK$2:$BK$2001,7),Calc!$BK$2:$BK$2001,0),"")</f>
        <v/>
      </c>
    </row>
    <row r="17">
      <c r="B17" s="36">
        <f>IF(R17="","",8)</f>
        <v/>
      </c>
      <c r="C17" s="37">
        <f>IF($R17="","",IF(INDEX(Calc!$AU$2:$AU$2001,$R17)="","",INDEX(Calc!$AU$2:$AU$2001,$R17)))</f>
        <v/>
      </c>
      <c r="D17" s="36">
        <f>IF($R17="","",IF(INDEX(Calc!$AV$2:$AV$2001,$R17)="","",INDEX(Calc!$AV$2:$AV$2001,$R17)))</f>
        <v/>
      </c>
      <c r="E17" s="38">
        <f>IF($R17="","",IF(INDEX(Calc!$AW$2:$AW$2001,$R17)="","",INDEX(Calc!$AW$2:$AW$2001,$R17)))</f>
        <v/>
      </c>
      <c r="F17" s="68">
        <f>IF(OR(C17="",E17=""),"",E17-Setup!$D$7)</f>
        <v/>
      </c>
      <c r="G17" s="74">
        <f>IF($R17="","",IF(INDEX(Calc!$AX$2:$AX$2001,$R17)="","",INDEX(Calc!$AX$2:$AX$2001,$R17)))</f>
        <v/>
      </c>
      <c r="H17" s="74">
        <f>IF($R17="","",IF(INDEX(Calc!$AY$2:$AY$2001,$R17)="","",INDEX(Calc!$AY$2:$AY$2001,$R17)))</f>
        <v/>
      </c>
      <c r="I17" s="36">
        <f>IF(OR(G17="",H17=""),"",TRIM(IF(HOUR(H17-G17)&gt;0,HOUR(H17-G17)&amp;" hr ","")&amp;IF(MINUTE(H17-G17)&gt;0,MINUTE(H17-G17)&amp;" min","")))</f>
        <v/>
      </c>
      <c r="J17" s="36">
        <f>IF($R17="","",IF(INDEX(Calc!$AZ$2:$AZ$2001,$R17)="","",INDEX(Calc!$AZ$2:$AZ$2001,$R17)))</f>
        <v/>
      </c>
      <c r="K17" s="87">
        <f>IF($R17="","",IF(INDEX(Calc!$BE$2:$BE$2001,$R17)="","",INDEX(Calc!$BE$2:$BE$2001,$R17)))</f>
        <v/>
      </c>
      <c r="L17" s="36">
        <f>IF($R17="","",IF(INDEX(Calc!$BA$2:$BA$2001,$R17)="","",INDEX(Calc!$BA$2:$BA$2001,$R17)))</f>
        <v/>
      </c>
      <c r="M17" s="36">
        <f>IF($R17="","",IF(INDEX(Calc!$BB$2:$BB$2001,$R17)="","",INDEX(Calc!$BB$2:$BB$2001,$R17)))</f>
        <v/>
      </c>
      <c r="N17" s="36">
        <f>IF($R17="","",IF(INDEX(Calc!$BC$2:$BC$2001,$R17)="","",INDEX(Calc!$BC$2:$BC$2001,$R17)))</f>
        <v/>
      </c>
      <c r="O17" s="36">
        <f>IF($R17="","",IF(INDEX(Calc!$BD$2:$BD$2001,$R17)="","",INDEX(Calc!$BD$2:$BD$2001,$R17)))</f>
        <v/>
      </c>
      <c r="P17" s="88">
        <f>IF(R17="","",HYPERLINK("#'"&amp;IF(INDEX(Calc!$AS$2:$AS$2001,R17)="R","Recurring Log","Variable Tasks")&amp;"'!J"&amp;INDEX(Calc!$AT$2:$AT$2001,R17),"✎ edit"))</f>
        <v/>
      </c>
      <c r="R17">
        <f>IFERROR(MATCH(SMALL(Calc!$BK$2:$BK$2001,8),Calc!$BK$2:$BK$2001,0),"")</f>
        <v/>
      </c>
    </row>
    <row r="18">
      <c r="B18" s="73">
        <f>IF(R18="","",9)</f>
        <v/>
      </c>
      <c r="C18" s="75">
        <f>IF($R18="","",IF(INDEX(Calc!$AU$2:$AU$2001,$R18)="","",INDEX(Calc!$AU$2:$AU$2001,$R18)))</f>
        <v/>
      </c>
      <c r="D18" s="73">
        <f>IF($R18="","",IF(INDEX(Calc!$AV$2:$AV$2001,$R18)="","",INDEX(Calc!$AV$2:$AV$2001,$R18)))</f>
        <v/>
      </c>
      <c r="E18" s="76">
        <f>IF($R18="","",IF(INDEX(Calc!$AW$2:$AW$2001,$R18)="","",INDEX(Calc!$AW$2:$AW$2001,$R18)))</f>
        <v/>
      </c>
      <c r="F18" s="72">
        <f>IF(OR(C18="",E18=""),"",E18-Setup!$D$7)</f>
        <v/>
      </c>
      <c r="G18" s="77">
        <f>IF($R18="","",IF(INDEX(Calc!$AX$2:$AX$2001,$R18)="","",INDEX(Calc!$AX$2:$AX$2001,$R18)))</f>
        <v/>
      </c>
      <c r="H18" s="77">
        <f>IF($R18="","",IF(INDEX(Calc!$AY$2:$AY$2001,$R18)="","",INDEX(Calc!$AY$2:$AY$2001,$R18)))</f>
        <v/>
      </c>
      <c r="I18" s="73">
        <f>IF(OR(G18="",H18=""),"",TRIM(IF(HOUR(H18-G18)&gt;0,HOUR(H18-G18)&amp;" hr ","")&amp;IF(MINUTE(H18-G18)&gt;0,MINUTE(H18-G18)&amp;" min","")))</f>
        <v/>
      </c>
      <c r="J18" s="73">
        <f>IF($R18="","",IF(INDEX(Calc!$AZ$2:$AZ$2001,$R18)="","",INDEX(Calc!$AZ$2:$AZ$2001,$R18)))</f>
        <v/>
      </c>
      <c r="K18" s="85">
        <f>IF($R18="","",IF(INDEX(Calc!$BE$2:$BE$2001,$R18)="","",INDEX(Calc!$BE$2:$BE$2001,$R18)))</f>
        <v/>
      </c>
      <c r="L18" s="73">
        <f>IF($R18="","",IF(INDEX(Calc!$BA$2:$BA$2001,$R18)="","",INDEX(Calc!$BA$2:$BA$2001,$R18)))</f>
        <v/>
      </c>
      <c r="M18" s="73">
        <f>IF($R18="","",IF(INDEX(Calc!$BB$2:$BB$2001,$R18)="","",INDEX(Calc!$BB$2:$BB$2001,$R18)))</f>
        <v/>
      </c>
      <c r="N18" s="73">
        <f>IF($R18="","",IF(INDEX(Calc!$BC$2:$BC$2001,$R18)="","",INDEX(Calc!$BC$2:$BC$2001,$R18)))</f>
        <v/>
      </c>
      <c r="O18" s="73">
        <f>IF($R18="","",IF(INDEX(Calc!$BD$2:$BD$2001,$R18)="","",INDEX(Calc!$BD$2:$BD$2001,$R18)))</f>
        <v/>
      </c>
      <c r="P18" s="86">
        <f>IF(R18="","",HYPERLINK("#'"&amp;IF(INDEX(Calc!$AS$2:$AS$2001,R18)="R","Recurring Log","Variable Tasks")&amp;"'!J"&amp;INDEX(Calc!$AT$2:$AT$2001,R18),"✎ edit"))</f>
        <v/>
      </c>
      <c r="R18">
        <f>IFERROR(MATCH(SMALL(Calc!$BK$2:$BK$2001,9),Calc!$BK$2:$BK$2001,0),"")</f>
        <v/>
      </c>
    </row>
    <row r="19">
      <c r="B19" s="36">
        <f>IF(R19="","",10)</f>
        <v/>
      </c>
      <c r="C19" s="37">
        <f>IF($R19="","",IF(INDEX(Calc!$AU$2:$AU$2001,$R19)="","",INDEX(Calc!$AU$2:$AU$2001,$R19)))</f>
        <v/>
      </c>
      <c r="D19" s="36">
        <f>IF($R19="","",IF(INDEX(Calc!$AV$2:$AV$2001,$R19)="","",INDEX(Calc!$AV$2:$AV$2001,$R19)))</f>
        <v/>
      </c>
      <c r="E19" s="38">
        <f>IF($R19="","",IF(INDEX(Calc!$AW$2:$AW$2001,$R19)="","",INDEX(Calc!$AW$2:$AW$2001,$R19)))</f>
        <v/>
      </c>
      <c r="F19" s="68">
        <f>IF(OR(C19="",E19=""),"",E19-Setup!$D$7)</f>
        <v/>
      </c>
      <c r="G19" s="74">
        <f>IF($R19="","",IF(INDEX(Calc!$AX$2:$AX$2001,$R19)="","",INDEX(Calc!$AX$2:$AX$2001,$R19)))</f>
        <v/>
      </c>
      <c r="H19" s="74">
        <f>IF($R19="","",IF(INDEX(Calc!$AY$2:$AY$2001,$R19)="","",INDEX(Calc!$AY$2:$AY$2001,$R19)))</f>
        <v/>
      </c>
      <c r="I19" s="36">
        <f>IF(OR(G19="",H19=""),"",TRIM(IF(HOUR(H19-G19)&gt;0,HOUR(H19-G19)&amp;" hr ","")&amp;IF(MINUTE(H19-G19)&gt;0,MINUTE(H19-G19)&amp;" min","")))</f>
        <v/>
      </c>
      <c r="J19" s="36">
        <f>IF($R19="","",IF(INDEX(Calc!$AZ$2:$AZ$2001,$R19)="","",INDEX(Calc!$AZ$2:$AZ$2001,$R19)))</f>
        <v/>
      </c>
      <c r="K19" s="87">
        <f>IF($R19="","",IF(INDEX(Calc!$BE$2:$BE$2001,$R19)="","",INDEX(Calc!$BE$2:$BE$2001,$R19)))</f>
        <v/>
      </c>
      <c r="L19" s="36">
        <f>IF($R19="","",IF(INDEX(Calc!$BA$2:$BA$2001,$R19)="","",INDEX(Calc!$BA$2:$BA$2001,$R19)))</f>
        <v/>
      </c>
      <c r="M19" s="36">
        <f>IF($R19="","",IF(INDEX(Calc!$BB$2:$BB$2001,$R19)="","",INDEX(Calc!$BB$2:$BB$2001,$R19)))</f>
        <v/>
      </c>
      <c r="N19" s="36">
        <f>IF($R19="","",IF(INDEX(Calc!$BC$2:$BC$2001,$R19)="","",INDEX(Calc!$BC$2:$BC$2001,$R19)))</f>
        <v/>
      </c>
      <c r="O19" s="36">
        <f>IF($R19="","",IF(INDEX(Calc!$BD$2:$BD$2001,$R19)="","",INDEX(Calc!$BD$2:$BD$2001,$R19)))</f>
        <v/>
      </c>
      <c r="P19" s="88">
        <f>IF(R19="","",HYPERLINK("#'"&amp;IF(INDEX(Calc!$AS$2:$AS$2001,R19)="R","Recurring Log","Variable Tasks")&amp;"'!J"&amp;INDEX(Calc!$AT$2:$AT$2001,R19),"✎ edit"))</f>
        <v/>
      </c>
      <c r="R19">
        <f>IFERROR(MATCH(SMALL(Calc!$BK$2:$BK$2001,10),Calc!$BK$2:$BK$2001,0),"")</f>
        <v/>
      </c>
    </row>
    <row r="20">
      <c r="B20" s="73">
        <f>IF(R20="","",11)</f>
        <v/>
      </c>
      <c r="C20" s="75">
        <f>IF($R20="","",IF(INDEX(Calc!$AU$2:$AU$2001,$R20)="","",INDEX(Calc!$AU$2:$AU$2001,$R20)))</f>
        <v/>
      </c>
      <c r="D20" s="73">
        <f>IF($R20="","",IF(INDEX(Calc!$AV$2:$AV$2001,$R20)="","",INDEX(Calc!$AV$2:$AV$2001,$R20)))</f>
        <v/>
      </c>
      <c r="E20" s="76">
        <f>IF($R20="","",IF(INDEX(Calc!$AW$2:$AW$2001,$R20)="","",INDEX(Calc!$AW$2:$AW$2001,$R20)))</f>
        <v/>
      </c>
      <c r="F20" s="72">
        <f>IF(OR(C20="",E20=""),"",E20-Setup!$D$7)</f>
        <v/>
      </c>
      <c r="G20" s="77">
        <f>IF($R20="","",IF(INDEX(Calc!$AX$2:$AX$2001,$R20)="","",INDEX(Calc!$AX$2:$AX$2001,$R20)))</f>
        <v/>
      </c>
      <c r="H20" s="77">
        <f>IF($R20="","",IF(INDEX(Calc!$AY$2:$AY$2001,$R20)="","",INDEX(Calc!$AY$2:$AY$2001,$R20)))</f>
        <v/>
      </c>
      <c r="I20" s="73">
        <f>IF(OR(G20="",H20=""),"",TRIM(IF(HOUR(H20-G20)&gt;0,HOUR(H20-G20)&amp;" hr ","")&amp;IF(MINUTE(H20-G20)&gt;0,MINUTE(H20-G20)&amp;" min","")))</f>
        <v/>
      </c>
      <c r="J20" s="73">
        <f>IF($R20="","",IF(INDEX(Calc!$AZ$2:$AZ$2001,$R20)="","",INDEX(Calc!$AZ$2:$AZ$2001,$R20)))</f>
        <v/>
      </c>
      <c r="K20" s="85">
        <f>IF($R20="","",IF(INDEX(Calc!$BE$2:$BE$2001,$R20)="","",INDEX(Calc!$BE$2:$BE$2001,$R20)))</f>
        <v/>
      </c>
      <c r="L20" s="73">
        <f>IF($R20="","",IF(INDEX(Calc!$BA$2:$BA$2001,$R20)="","",INDEX(Calc!$BA$2:$BA$2001,$R20)))</f>
        <v/>
      </c>
      <c r="M20" s="73">
        <f>IF($R20="","",IF(INDEX(Calc!$BB$2:$BB$2001,$R20)="","",INDEX(Calc!$BB$2:$BB$2001,$R20)))</f>
        <v/>
      </c>
      <c r="N20" s="73">
        <f>IF($R20="","",IF(INDEX(Calc!$BC$2:$BC$2001,$R20)="","",INDEX(Calc!$BC$2:$BC$2001,$R20)))</f>
        <v/>
      </c>
      <c r="O20" s="73">
        <f>IF($R20="","",IF(INDEX(Calc!$BD$2:$BD$2001,$R20)="","",INDEX(Calc!$BD$2:$BD$2001,$R20)))</f>
        <v/>
      </c>
      <c r="P20" s="86">
        <f>IF(R20="","",HYPERLINK("#'"&amp;IF(INDEX(Calc!$AS$2:$AS$2001,R20)="R","Recurring Log","Variable Tasks")&amp;"'!J"&amp;INDEX(Calc!$AT$2:$AT$2001,R20),"✎ edit"))</f>
        <v/>
      </c>
      <c r="R20">
        <f>IFERROR(MATCH(SMALL(Calc!$BK$2:$BK$2001,11),Calc!$BK$2:$BK$2001,0),"")</f>
        <v/>
      </c>
    </row>
    <row r="21">
      <c r="B21" s="36">
        <f>IF(R21="","",12)</f>
        <v/>
      </c>
      <c r="C21" s="37">
        <f>IF($R21="","",IF(INDEX(Calc!$AU$2:$AU$2001,$R21)="","",INDEX(Calc!$AU$2:$AU$2001,$R21)))</f>
        <v/>
      </c>
      <c r="D21" s="36">
        <f>IF($R21="","",IF(INDEX(Calc!$AV$2:$AV$2001,$R21)="","",INDEX(Calc!$AV$2:$AV$2001,$R21)))</f>
        <v/>
      </c>
      <c r="E21" s="38">
        <f>IF($R21="","",IF(INDEX(Calc!$AW$2:$AW$2001,$R21)="","",INDEX(Calc!$AW$2:$AW$2001,$R21)))</f>
        <v/>
      </c>
      <c r="F21" s="68">
        <f>IF(OR(C21="",E21=""),"",E21-Setup!$D$7)</f>
        <v/>
      </c>
      <c r="G21" s="74">
        <f>IF($R21="","",IF(INDEX(Calc!$AX$2:$AX$2001,$R21)="","",INDEX(Calc!$AX$2:$AX$2001,$R21)))</f>
        <v/>
      </c>
      <c r="H21" s="74">
        <f>IF($R21="","",IF(INDEX(Calc!$AY$2:$AY$2001,$R21)="","",INDEX(Calc!$AY$2:$AY$2001,$R21)))</f>
        <v/>
      </c>
      <c r="I21" s="36">
        <f>IF(OR(G21="",H21=""),"",TRIM(IF(HOUR(H21-G21)&gt;0,HOUR(H21-G21)&amp;" hr ","")&amp;IF(MINUTE(H21-G21)&gt;0,MINUTE(H21-G21)&amp;" min","")))</f>
        <v/>
      </c>
      <c r="J21" s="36">
        <f>IF($R21="","",IF(INDEX(Calc!$AZ$2:$AZ$2001,$R21)="","",INDEX(Calc!$AZ$2:$AZ$2001,$R21)))</f>
        <v/>
      </c>
      <c r="K21" s="87">
        <f>IF($R21="","",IF(INDEX(Calc!$BE$2:$BE$2001,$R21)="","",INDEX(Calc!$BE$2:$BE$2001,$R21)))</f>
        <v/>
      </c>
      <c r="L21" s="36">
        <f>IF($R21="","",IF(INDEX(Calc!$BA$2:$BA$2001,$R21)="","",INDEX(Calc!$BA$2:$BA$2001,$R21)))</f>
        <v/>
      </c>
      <c r="M21" s="36">
        <f>IF($R21="","",IF(INDEX(Calc!$BB$2:$BB$2001,$R21)="","",INDEX(Calc!$BB$2:$BB$2001,$R21)))</f>
        <v/>
      </c>
      <c r="N21" s="36">
        <f>IF($R21="","",IF(INDEX(Calc!$BC$2:$BC$2001,$R21)="","",INDEX(Calc!$BC$2:$BC$2001,$R21)))</f>
        <v/>
      </c>
      <c r="O21" s="36">
        <f>IF($R21="","",IF(INDEX(Calc!$BD$2:$BD$2001,$R21)="","",INDEX(Calc!$BD$2:$BD$2001,$R21)))</f>
        <v/>
      </c>
      <c r="P21" s="88">
        <f>IF(R21="","",HYPERLINK("#'"&amp;IF(INDEX(Calc!$AS$2:$AS$2001,R21)="R","Recurring Log","Variable Tasks")&amp;"'!J"&amp;INDEX(Calc!$AT$2:$AT$2001,R21),"✎ edit"))</f>
        <v/>
      </c>
      <c r="R21">
        <f>IFERROR(MATCH(SMALL(Calc!$BK$2:$BK$2001,12),Calc!$BK$2:$BK$2001,0),"")</f>
        <v/>
      </c>
    </row>
    <row r="22">
      <c r="B22" s="73">
        <f>IF(R22="","",13)</f>
        <v/>
      </c>
      <c r="C22" s="75">
        <f>IF($R22="","",IF(INDEX(Calc!$AU$2:$AU$2001,$R22)="","",INDEX(Calc!$AU$2:$AU$2001,$R22)))</f>
        <v/>
      </c>
      <c r="D22" s="73">
        <f>IF($R22="","",IF(INDEX(Calc!$AV$2:$AV$2001,$R22)="","",INDEX(Calc!$AV$2:$AV$2001,$R22)))</f>
        <v/>
      </c>
      <c r="E22" s="76">
        <f>IF($R22="","",IF(INDEX(Calc!$AW$2:$AW$2001,$R22)="","",INDEX(Calc!$AW$2:$AW$2001,$R22)))</f>
        <v/>
      </c>
      <c r="F22" s="72">
        <f>IF(OR(C22="",E22=""),"",E22-Setup!$D$7)</f>
        <v/>
      </c>
      <c r="G22" s="77">
        <f>IF($R22="","",IF(INDEX(Calc!$AX$2:$AX$2001,$R22)="","",INDEX(Calc!$AX$2:$AX$2001,$R22)))</f>
        <v/>
      </c>
      <c r="H22" s="77">
        <f>IF($R22="","",IF(INDEX(Calc!$AY$2:$AY$2001,$R22)="","",INDEX(Calc!$AY$2:$AY$2001,$R22)))</f>
        <v/>
      </c>
      <c r="I22" s="73">
        <f>IF(OR(G22="",H22=""),"",TRIM(IF(HOUR(H22-G22)&gt;0,HOUR(H22-G22)&amp;" hr ","")&amp;IF(MINUTE(H22-G22)&gt;0,MINUTE(H22-G22)&amp;" min","")))</f>
        <v/>
      </c>
      <c r="J22" s="73">
        <f>IF($R22="","",IF(INDEX(Calc!$AZ$2:$AZ$2001,$R22)="","",INDEX(Calc!$AZ$2:$AZ$2001,$R22)))</f>
        <v/>
      </c>
      <c r="K22" s="85">
        <f>IF($R22="","",IF(INDEX(Calc!$BE$2:$BE$2001,$R22)="","",INDEX(Calc!$BE$2:$BE$2001,$R22)))</f>
        <v/>
      </c>
      <c r="L22" s="73">
        <f>IF($R22="","",IF(INDEX(Calc!$BA$2:$BA$2001,$R22)="","",INDEX(Calc!$BA$2:$BA$2001,$R22)))</f>
        <v/>
      </c>
      <c r="M22" s="73">
        <f>IF($R22="","",IF(INDEX(Calc!$BB$2:$BB$2001,$R22)="","",INDEX(Calc!$BB$2:$BB$2001,$R22)))</f>
        <v/>
      </c>
      <c r="N22" s="73">
        <f>IF($R22="","",IF(INDEX(Calc!$BC$2:$BC$2001,$R22)="","",INDEX(Calc!$BC$2:$BC$2001,$R22)))</f>
        <v/>
      </c>
      <c r="O22" s="73">
        <f>IF($R22="","",IF(INDEX(Calc!$BD$2:$BD$2001,$R22)="","",INDEX(Calc!$BD$2:$BD$2001,$R22)))</f>
        <v/>
      </c>
      <c r="P22" s="86">
        <f>IF(R22="","",HYPERLINK("#'"&amp;IF(INDEX(Calc!$AS$2:$AS$2001,R22)="R","Recurring Log","Variable Tasks")&amp;"'!J"&amp;INDEX(Calc!$AT$2:$AT$2001,R22),"✎ edit"))</f>
        <v/>
      </c>
      <c r="R22">
        <f>IFERROR(MATCH(SMALL(Calc!$BK$2:$BK$2001,13),Calc!$BK$2:$BK$2001,0),"")</f>
        <v/>
      </c>
    </row>
    <row r="23">
      <c r="B23" s="36">
        <f>IF(R23="","",14)</f>
        <v/>
      </c>
      <c r="C23" s="37">
        <f>IF($R23="","",IF(INDEX(Calc!$AU$2:$AU$2001,$R23)="","",INDEX(Calc!$AU$2:$AU$2001,$R23)))</f>
        <v/>
      </c>
      <c r="D23" s="36">
        <f>IF($R23="","",IF(INDEX(Calc!$AV$2:$AV$2001,$R23)="","",INDEX(Calc!$AV$2:$AV$2001,$R23)))</f>
        <v/>
      </c>
      <c r="E23" s="38">
        <f>IF($R23="","",IF(INDEX(Calc!$AW$2:$AW$2001,$R23)="","",INDEX(Calc!$AW$2:$AW$2001,$R23)))</f>
        <v/>
      </c>
      <c r="F23" s="68">
        <f>IF(OR(C23="",E23=""),"",E23-Setup!$D$7)</f>
        <v/>
      </c>
      <c r="G23" s="74">
        <f>IF($R23="","",IF(INDEX(Calc!$AX$2:$AX$2001,$R23)="","",INDEX(Calc!$AX$2:$AX$2001,$R23)))</f>
        <v/>
      </c>
      <c r="H23" s="74">
        <f>IF($R23="","",IF(INDEX(Calc!$AY$2:$AY$2001,$R23)="","",INDEX(Calc!$AY$2:$AY$2001,$R23)))</f>
        <v/>
      </c>
      <c r="I23" s="36">
        <f>IF(OR(G23="",H23=""),"",TRIM(IF(HOUR(H23-G23)&gt;0,HOUR(H23-G23)&amp;" hr ","")&amp;IF(MINUTE(H23-G23)&gt;0,MINUTE(H23-G23)&amp;" min","")))</f>
        <v/>
      </c>
      <c r="J23" s="36">
        <f>IF($R23="","",IF(INDEX(Calc!$AZ$2:$AZ$2001,$R23)="","",INDEX(Calc!$AZ$2:$AZ$2001,$R23)))</f>
        <v/>
      </c>
      <c r="K23" s="87">
        <f>IF($R23="","",IF(INDEX(Calc!$BE$2:$BE$2001,$R23)="","",INDEX(Calc!$BE$2:$BE$2001,$R23)))</f>
        <v/>
      </c>
      <c r="L23" s="36">
        <f>IF($R23="","",IF(INDEX(Calc!$BA$2:$BA$2001,$R23)="","",INDEX(Calc!$BA$2:$BA$2001,$R23)))</f>
        <v/>
      </c>
      <c r="M23" s="36">
        <f>IF($R23="","",IF(INDEX(Calc!$BB$2:$BB$2001,$R23)="","",INDEX(Calc!$BB$2:$BB$2001,$R23)))</f>
        <v/>
      </c>
      <c r="N23" s="36">
        <f>IF($R23="","",IF(INDEX(Calc!$BC$2:$BC$2001,$R23)="","",INDEX(Calc!$BC$2:$BC$2001,$R23)))</f>
        <v/>
      </c>
      <c r="O23" s="36">
        <f>IF($R23="","",IF(INDEX(Calc!$BD$2:$BD$2001,$R23)="","",INDEX(Calc!$BD$2:$BD$2001,$R23)))</f>
        <v/>
      </c>
      <c r="P23" s="88">
        <f>IF(R23="","",HYPERLINK("#'"&amp;IF(INDEX(Calc!$AS$2:$AS$2001,R23)="R","Recurring Log","Variable Tasks")&amp;"'!J"&amp;INDEX(Calc!$AT$2:$AT$2001,R23),"✎ edit"))</f>
        <v/>
      </c>
      <c r="R23">
        <f>IFERROR(MATCH(SMALL(Calc!$BK$2:$BK$2001,14),Calc!$BK$2:$BK$2001,0),"")</f>
        <v/>
      </c>
    </row>
    <row r="24">
      <c r="B24" s="73">
        <f>IF(R24="","",15)</f>
        <v/>
      </c>
      <c r="C24" s="75">
        <f>IF($R24="","",IF(INDEX(Calc!$AU$2:$AU$2001,$R24)="","",INDEX(Calc!$AU$2:$AU$2001,$R24)))</f>
        <v/>
      </c>
      <c r="D24" s="73">
        <f>IF($R24="","",IF(INDEX(Calc!$AV$2:$AV$2001,$R24)="","",INDEX(Calc!$AV$2:$AV$2001,$R24)))</f>
        <v/>
      </c>
      <c r="E24" s="76">
        <f>IF($R24="","",IF(INDEX(Calc!$AW$2:$AW$2001,$R24)="","",INDEX(Calc!$AW$2:$AW$2001,$R24)))</f>
        <v/>
      </c>
      <c r="F24" s="72">
        <f>IF(OR(C24="",E24=""),"",E24-Setup!$D$7)</f>
        <v/>
      </c>
      <c r="G24" s="77">
        <f>IF($R24="","",IF(INDEX(Calc!$AX$2:$AX$2001,$R24)="","",INDEX(Calc!$AX$2:$AX$2001,$R24)))</f>
        <v/>
      </c>
      <c r="H24" s="77">
        <f>IF($R24="","",IF(INDEX(Calc!$AY$2:$AY$2001,$R24)="","",INDEX(Calc!$AY$2:$AY$2001,$R24)))</f>
        <v/>
      </c>
      <c r="I24" s="73">
        <f>IF(OR(G24="",H24=""),"",TRIM(IF(HOUR(H24-G24)&gt;0,HOUR(H24-G24)&amp;" hr ","")&amp;IF(MINUTE(H24-G24)&gt;0,MINUTE(H24-G24)&amp;" min","")))</f>
        <v/>
      </c>
      <c r="J24" s="73">
        <f>IF($R24="","",IF(INDEX(Calc!$AZ$2:$AZ$2001,$R24)="","",INDEX(Calc!$AZ$2:$AZ$2001,$R24)))</f>
        <v/>
      </c>
      <c r="K24" s="85">
        <f>IF($R24="","",IF(INDEX(Calc!$BE$2:$BE$2001,$R24)="","",INDEX(Calc!$BE$2:$BE$2001,$R24)))</f>
        <v/>
      </c>
      <c r="L24" s="73">
        <f>IF($R24="","",IF(INDEX(Calc!$BA$2:$BA$2001,$R24)="","",INDEX(Calc!$BA$2:$BA$2001,$R24)))</f>
        <v/>
      </c>
      <c r="M24" s="73">
        <f>IF($R24="","",IF(INDEX(Calc!$BB$2:$BB$2001,$R24)="","",INDEX(Calc!$BB$2:$BB$2001,$R24)))</f>
        <v/>
      </c>
      <c r="N24" s="73">
        <f>IF($R24="","",IF(INDEX(Calc!$BC$2:$BC$2001,$R24)="","",INDEX(Calc!$BC$2:$BC$2001,$R24)))</f>
        <v/>
      </c>
      <c r="O24" s="73">
        <f>IF($R24="","",IF(INDEX(Calc!$BD$2:$BD$2001,$R24)="","",INDEX(Calc!$BD$2:$BD$2001,$R24)))</f>
        <v/>
      </c>
      <c r="P24" s="86">
        <f>IF(R24="","",HYPERLINK("#'"&amp;IF(INDEX(Calc!$AS$2:$AS$2001,R24)="R","Recurring Log","Variable Tasks")&amp;"'!J"&amp;INDEX(Calc!$AT$2:$AT$2001,R24),"✎ edit"))</f>
        <v/>
      </c>
      <c r="R24">
        <f>IFERROR(MATCH(SMALL(Calc!$BK$2:$BK$2001,15),Calc!$BK$2:$BK$2001,0),"")</f>
        <v/>
      </c>
    </row>
    <row r="25">
      <c r="B25" s="36">
        <f>IF(R25="","",16)</f>
        <v/>
      </c>
      <c r="C25" s="37">
        <f>IF($R25="","",IF(INDEX(Calc!$AU$2:$AU$2001,$R25)="","",INDEX(Calc!$AU$2:$AU$2001,$R25)))</f>
        <v/>
      </c>
      <c r="D25" s="36">
        <f>IF($R25="","",IF(INDEX(Calc!$AV$2:$AV$2001,$R25)="","",INDEX(Calc!$AV$2:$AV$2001,$R25)))</f>
        <v/>
      </c>
      <c r="E25" s="38">
        <f>IF($R25="","",IF(INDEX(Calc!$AW$2:$AW$2001,$R25)="","",INDEX(Calc!$AW$2:$AW$2001,$R25)))</f>
        <v/>
      </c>
      <c r="F25" s="68">
        <f>IF(OR(C25="",E25=""),"",E25-Setup!$D$7)</f>
        <v/>
      </c>
      <c r="G25" s="74">
        <f>IF($R25="","",IF(INDEX(Calc!$AX$2:$AX$2001,$R25)="","",INDEX(Calc!$AX$2:$AX$2001,$R25)))</f>
        <v/>
      </c>
      <c r="H25" s="74">
        <f>IF($R25="","",IF(INDEX(Calc!$AY$2:$AY$2001,$R25)="","",INDEX(Calc!$AY$2:$AY$2001,$R25)))</f>
        <v/>
      </c>
      <c r="I25" s="36">
        <f>IF(OR(G25="",H25=""),"",TRIM(IF(HOUR(H25-G25)&gt;0,HOUR(H25-G25)&amp;" hr ","")&amp;IF(MINUTE(H25-G25)&gt;0,MINUTE(H25-G25)&amp;" min","")))</f>
        <v/>
      </c>
      <c r="J25" s="36">
        <f>IF($R25="","",IF(INDEX(Calc!$AZ$2:$AZ$2001,$R25)="","",INDEX(Calc!$AZ$2:$AZ$2001,$R25)))</f>
        <v/>
      </c>
      <c r="K25" s="87">
        <f>IF($R25="","",IF(INDEX(Calc!$BE$2:$BE$2001,$R25)="","",INDEX(Calc!$BE$2:$BE$2001,$R25)))</f>
        <v/>
      </c>
      <c r="L25" s="36">
        <f>IF($R25="","",IF(INDEX(Calc!$BA$2:$BA$2001,$R25)="","",INDEX(Calc!$BA$2:$BA$2001,$R25)))</f>
        <v/>
      </c>
      <c r="M25" s="36">
        <f>IF($R25="","",IF(INDEX(Calc!$BB$2:$BB$2001,$R25)="","",INDEX(Calc!$BB$2:$BB$2001,$R25)))</f>
        <v/>
      </c>
      <c r="N25" s="36">
        <f>IF($R25="","",IF(INDEX(Calc!$BC$2:$BC$2001,$R25)="","",INDEX(Calc!$BC$2:$BC$2001,$R25)))</f>
        <v/>
      </c>
      <c r="O25" s="36">
        <f>IF($R25="","",IF(INDEX(Calc!$BD$2:$BD$2001,$R25)="","",INDEX(Calc!$BD$2:$BD$2001,$R25)))</f>
        <v/>
      </c>
      <c r="P25" s="88">
        <f>IF(R25="","",HYPERLINK("#'"&amp;IF(INDEX(Calc!$AS$2:$AS$2001,R25)="R","Recurring Log","Variable Tasks")&amp;"'!J"&amp;INDEX(Calc!$AT$2:$AT$2001,R25),"✎ edit"))</f>
        <v/>
      </c>
      <c r="R25">
        <f>IFERROR(MATCH(SMALL(Calc!$BK$2:$BK$2001,16),Calc!$BK$2:$BK$2001,0),"")</f>
        <v/>
      </c>
    </row>
    <row r="26">
      <c r="B26" s="73">
        <f>IF(R26="","",17)</f>
        <v/>
      </c>
      <c r="C26" s="75">
        <f>IF($R26="","",IF(INDEX(Calc!$AU$2:$AU$2001,$R26)="","",INDEX(Calc!$AU$2:$AU$2001,$R26)))</f>
        <v/>
      </c>
      <c r="D26" s="73">
        <f>IF($R26="","",IF(INDEX(Calc!$AV$2:$AV$2001,$R26)="","",INDEX(Calc!$AV$2:$AV$2001,$R26)))</f>
        <v/>
      </c>
      <c r="E26" s="76">
        <f>IF($R26="","",IF(INDEX(Calc!$AW$2:$AW$2001,$R26)="","",INDEX(Calc!$AW$2:$AW$2001,$R26)))</f>
        <v/>
      </c>
      <c r="F26" s="72">
        <f>IF(OR(C26="",E26=""),"",E26-Setup!$D$7)</f>
        <v/>
      </c>
      <c r="G26" s="77">
        <f>IF($R26="","",IF(INDEX(Calc!$AX$2:$AX$2001,$R26)="","",INDEX(Calc!$AX$2:$AX$2001,$R26)))</f>
        <v/>
      </c>
      <c r="H26" s="77">
        <f>IF($R26="","",IF(INDEX(Calc!$AY$2:$AY$2001,$R26)="","",INDEX(Calc!$AY$2:$AY$2001,$R26)))</f>
        <v/>
      </c>
      <c r="I26" s="73">
        <f>IF(OR(G26="",H26=""),"",TRIM(IF(HOUR(H26-G26)&gt;0,HOUR(H26-G26)&amp;" hr ","")&amp;IF(MINUTE(H26-G26)&gt;0,MINUTE(H26-G26)&amp;" min","")))</f>
        <v/>
      </c>
      <c r="J26" s="73">
        <f>IF($R26="","",IF(INDEX(Calc!$AZ$2:$AZ$2001,$R26)="","",INDEX(Calc!$AZ$2:$AZ$2001,$R26)))</f>
        <v/>
      </c>
      <c r="K26" s="85">
        <f>IF($R26="","",IF(INDEX(Calc!$BE$2:$BE$2001,$R26)="","",INDEX(Calc!$BE$2:$BE$2001,$R26)))</f>
        <v/>
      </c>
      <c r="L26" s="73">
        <f>IF($R26="","",IF(INDEX(Calc!$BA$2:$BA$2001,$R26)="","",INDEX(Calc!$BA$2:$BA$2001,$R26)))</f>
        <v/>
      </c>
      <c r="M26" s="73">
        <f>IF($R26="","",IF(INDEX(Calc!$BB$2:$BB$2001,$R26)="","",INDEX(Calc!$BB$2:$BB$2001,$R26)))</f>
        <v/>
      </c>
      <c r="N26" s="73">
        <f>IF($R26="","",IF(INDEX(Calc!$BC$2:$BC$2001,$R26)="","",INDEX(Calc!$BC$2:$BC$2001,$R26)))</f>
        <v/>
      </c>
      <c r="O26" s="73">
        <f>IF($R26="","",IF(INDEX(Calc!$BD$2:$BD$2001,$R26)="","",INDEX(Calc!$BD$2:$BD$2001,$R26)))</f>
        <v/>
      </c>
      <c r="P26" s="86">
        <f>IF(R26="","",HYPERLINK("#'"&amp;IF(INDEX(Calc!$AS$2:$AS$2001,R26)="R","Recurring Log","Variable Tasks")&amp;"'!J"&amp;INDEX(Calc!$AT$2:$AT$2001,R26),"✎ edit"))</f>
        <v/>
      </c>
      <c r="R26">
        <f>IFERROR(MATCH(SMALL(Calc!$BK$2:$BK$2001,17),Calc!$BK$2:$BK$2001,0),"")</f>
        <v/>
      </c>
    </row>
    <row r="27">
      <c r="B27" s="36">
        <f>IF(R27="","",18)</f>
        <v/>
      </c>
      <c r="C27" s="37">
        <f>IF($R27="","",IF(INDEX(Calc!$AU$2:$AU$2001,$R27)="","",INDEX(Calc!$AU$2:$AU$2001,$R27)))</f>
        <v/>
      </c>
      <c r="D27" s="36">
        <f>IF($R27="","",IF(INDEX(Calc!$AV$2:$AV$2001,$R27)="","",INDEX(Calc!$AV$2:$AV$2001,$R27)))</f>
        <v/>
      </c>
      <c r="E27" s="38">
        <f>IF($R27="","",IF(INDEX(Calc!$AW$2:$AW$2001,$R27)="","",INDEX(Calc!$AW$2:$AW$2001,$R27)))</f>
        <v/>
      </c>
      <c r="F27" s="68">
        <f>IF(OR(C27="",E27=""),"",E27-Setup!$D$7)</f>
        <v/>
      </c>
      <c r="G27" s="74">
        <f>IF($R27="","",IF(INDEX(Calc!$AX$2:$AX$2001,$R27)="","",INDEX(Calc!$AX$2:$AX$2001,$R27)))</f>
        <v/>
      </c>
      <c r="H27" s="74">
        <f>IF($R27="","",IF(INDEX(Calc!$AY$2:$AY$2001,$R27)="","",INDEX(Calc!$AY$2:$AY$2001,$R27)))</f>
        <v/>
      </c>
      <c r="I27" s="36">
        <f>IF(OR(G27="",H27=""),"",TRIM(IF(HOUR(H27-G27)&gt;0,HOUR(H27-G27)&amp;" hr ","")&amp;IF(MINUTE(H27-G27)&gt;0,MINUTE(H27-G27)&amp;" min","")))</f>
        <v/>
      </c>
      <c r="J27" s="36">
        <f>IF($R27="","",IF(INDEX(Calc!$AZ$2:$AZ$2001,$R27)="","",INDEX(Calc!$AZ$2:$AZ$2001,$R27)))</f>
        <v/>
      </c>
      <c r="K27" s="87">
        <f>IF($R27="","",IF(INDEX(Calc!$BE$2:$BE$2001,$R27)="","",INDEX(Calc!$BE$2:$BE$2001,$R27)))</f>
        <v/>
      </c>
      <c r="L27" s="36">
        <f>IF($R27="","",IF(INDEX(Calc!$BA$2:$BA$2001,$R27)="","",INDEX(Calc!$BA$2:$BA$2001,$R27)))</f>
        <v/>
      </c>
      <c r="M27" s="36">
        <f>IF($R27="","",IF(INDEX(Calc!$BB$2:$BB$2001,$R27)="","",INDEX(Calc!$BB$2:$BB$2001,$R27)))</f>
        <v/>
      </c>
      <c r="N27" s="36">
        <f>IF($R27="","",IF(INDEX(Calc!$BC$2:$BC$2001,$R27)="","",INDEX(Calc!$BC$2:$BC$2001,$R27)))</f>
        <v/>
      </c>
      <c r="O27" s="36">
        <f>IF($R27="","",IF(INDEX(Calc!$BD$2:$BD$2001,$R27)="","",INDEX(Calc!$BD$2:$BD$2001,$R27)))</f>
        <v/>
      </c>
      <c r="P27" s="88">
        <f>IF(R27="","",HYPERLINK("#'"&amp;IF(INDEX(Calc!$AS$2:$AS$2001,R27)="R","Recurring Log","Variable Tasks")&amp;"'!J"&amp;INDEX(Calc!$AT$2:$AT$2001,R27),"✎ edit"))</f>
        <v/>
      </c>
      <c r="R27">
        <f>IFERROR(MATCH(SMALL(Calc!$BK$2:$BK$2001,18),Calc!$BK$2:$BK$2001,0),"")</f>
        <v/>
      </c>
    </row>
    <row r="28">
      <c r="B28" s="73">
        <f>IF(R28="","",19)</f>
        <v/>
      </c>
      <c r="C28" s="75">
        <f>IF($R28="","",IF(INDEX(Calc!$AU$2:$AU$2001,$R28)="","",INDEX(Calc!$AU$2:$AU$2001,$R28)))</f>
        <v/>
      </c>
      <c r="D28" s="73">
        <f>IF($R28="","",IF(INDEX(Calc!$AV$2:$AV$2001,$R28)="","",INDEX(Calc!$AV$2:$AV$2001,$R28)))</f>
        <v/>
      </c>
      <c r="E28" s="76">
        <f>IF($R28="","",IF(INDEX(Calc!$AW$2:$AW$2001,$R28)="","",INDEX(Calc!$AW$2:$AW$2001,$R28)))</f>
        <v/>
      </c>
      <c r="F28" s="72">
        <f>IF(OR(C28="",E28=""),"",E28-Setup!$D$7)</f>
        <v/>
      </c>
      <c r="G28" s="77">
        <f>IF($R28="","",IF(INDEX(Calc!$AX$2:$AX$2001,$R28)="","",INDEX(Calc!$AX$2:$AX$2001,$R28)))</f>
        <v/>
      </c>
      <c r="H28" s="77">
        <f>IF($R28="","",IF(INDEX(Calc!$AY$2:$AY$2001,$R28)="","",INDEX(Calc!$AY$2:$AY$2001,$R28)))</f>
        <v/>
      </c>
      <c r="I28" s="73">
        <f>IF(OR(G28="",H28=""),"",TRIM(IF(HOUR(H28-G28)&gt;0,HOUR(H28-G28)&amp;" hr ","")&amp;IF(MINUTE(H28-G28)&gt;0,MINUTE(H28-G28)&amp;" min","")))</f>
        <v/>
      </c>
      <c r="J28" s="73">
        <f>IF($R28="","",IF(INDEX(Calc!$AZ$2:$AZ$2001,$R28)="","",INDEX(Calc!$AZ$2:$AZ$2001,$R28)))</f>
        <v/>
      </c>
      <c r="K28" s="85">
        <f>IF($R28="","",IF(INDEX(Calc!$BE$2:$BE$2001,$R28)="","",INDEX(Calc!$BE$2:$BE$2001,$R28)))</f>
        <v/>
      </c>
      <c r="L28" s="73">
        <f>IF($R28="","",IF(INDEX(Calc!$BA$2:$BA$2001,$R28)="","",INDEX(Calc!$BA$2:$BA$2001,$R28)))</f>
        <v/>
      </c>
      <c r="M28" s="73">
        <f>IF($R28="","",IF(INDEX(Calc!$BB$2:$BB$2001,$R28)="","",INDEX(Calc!$BB$2:$BB$2001,$R28)))</f>
        <v/>
      </c>
      <c r="N28" s="73">
        <f>IF($R28="","",IF(INDEX(Calc!$BC$2:$BC$2001,$R28)="","",INDEX(Calc!$BC$2:$BC$2001,$R28)))</f>
        <v/>
      </c>
      <c r="O28" s="73">
        <f>IF($R28="","",IF(INDEX(Calc!$BD$2:$BD$2001,$R28)="","",INDEX(Calc!$BD$2:$BD$2001,$R28)))</f>
        <v/>
      </c>
      <c r="P28" s="86">
        <f>IF(R28="","",HYPERLINK("#'"&amp;IF(INDEX(Calc!$AS$2:$AS$2001,R28)="R","Recurring Log","Variable Tasks")&amp;"'!J"&amp;INDEX(Calc!$AT$2:$AT$2001,R28),"✎ edit"))</f>
        <v/>
      </c>
      <c r="R28">
        <f>IFERROR(MATCH(SMALL(Calc!$BK$2:$BK$2001,19),Calc!$BK$2:$BK$2001,0),"")</f>
        <v/>
      </c>
    </row>
    <row r="29">
      <c r="B29" s="36">
        <f>IF(R29="","",20)</f>
        <v/>
      </c>
      <c r="C29" s="37">
        <f>IF($R29="","",IF(INDEX(Calc!$AU$2:$AU$2001,$R29)="","",INDEX(Calc!$AU$2:$AU$2001,$R29)))</f>
        <v/>
      </c>
      <c r="D29" s="36">
        <f>IF($R29="","",IF(INDEX(Calc!$AV$2:$AV$2001,$R29)="","",INDEX(Calc!$AV$2:$AV$2001,$R29)))</f>
        <v/>
      </c>
      <c r="E29" s="38">
        <f>IF($R29="","",IF(INDEX(Calc!$AW$2:$AW$2001,$R29)="","",INDEX(Calc!$AW$2:$AW$2001,$R29)))</f>
        <v/>
      </c>
      <c r="F29" s="68">
        <f>IF(OR(C29="",E29=""),"",E29-Setup!$D$7)</f>
        <v/>
      </c>
      <c r="G29" s="74">
        <f>IF($R29="","",IF(INDEX(Calc!$AX$2:$AX$2001,$R29)="","",INDEX(Calc!$AX$2:$AX$2001,$R29)))</f>
        <v/>
      </c>
      <c r="H29" s="74">
        <f>IF($R29="","",IF(INDEX(Calc!$AY$2:$AY$2001,$R29)="","",INDEX(Calc!$AY$2:$AY$2001,$R29)))</f>
        <v/>
      </c>
      <c r="I29" s="36">
        <f>IF(OR(G29="",H29=""),"",TRIM(IF(HOUR(H29-G29)&gt;0,HOUR(H29-G29)&amp;" hr ","")&amp;IF(MINUTE(H29-G29)&gt;0,MINUTE(H29-G29)&amp;" min","")))</f>
        <v/>
      </c>
      <c r="J29" s="36">
        <f>IF($R29="","",IF(INDEX(Calc!$AZ$2:$AZ$2001,$R29)="","",INDEX(Calc!$AZ$2:$AZ$2001,$R29)))</f>
        <v/>
      </c>
      <c r="K29" s="87">
        <f>IF($R29="","",IF(INDEX(Calc!$BE$2:$BE$2001,$R29)="","",INDEX(Calc!$BE$2:$BE$2001,$R29)))</f>
        <v/>
      </c>
      <c r="L29" s="36">
        <f>IF($R29="","",IF(INDEX(Calc!$BA$2:$BA$2001,$R29)="","",INDEX(Calc!$BA$2:$BA$2001,$R29)))</f>
        <v/>
      </c>
      <c r="M29" s="36">
        <f>IF($R29="","",IF(INDEX(Calc!$BB$2:$BB$2001,$R29)="","",INDEX(Calc!$BB$2:$BB$2001,$R29)))</f>
        <v/>
      </c>
      <c r="N29" s="36">
        <f>IF($R29="","",IF(INDEX(Calc!$BC$2:$BC$2001,$R29)="","",INDEX(Calc!$BC$2:$BC$2001,$R29)))</f>
        <v/>
      </c>
      <c r="O29" s="36">
        <f>IF($R29="","",IF(INDEX(Calc!$BD$2:$BD$2001,$R29)="","",INDEX(Calc!$BD$2:$BD$2001,$R29)))</f>
        <v/>
      </c>
      <c r="P29" s="88">
        <f>IF(R29="","",HYPERLINK("#'"&amp;IF(INDEX(Calc!$AS$2:$AS$2001,R29)="R","Recurring Log","Variable Tasks")&amp;"'!J"&amp;INDEX(Calc!$AT$2:$AT$2001,R29),"✎ edit"))</f>
        <v/>
      </c>
      <c r="R29">
        <f>IFERROR(MATCH(SMALL(Calc!$BK$2:$BK$2001,20),Calc!$BK$2:$BK$2001,0),"")</f>
        <v/>
      </c>
    </row>
    <row r="30">
      <c r="B30" s="73">
        <f>IF(R30="","",21)</f>
        <v/>
      </c>
      <c r="C30" s="75">
        <f>IF($R30="","",IF(INDEX(Calc!$AU$2:$AU$2001,$R30)="","",INDEX(Calc!$AU$2:$AU$2001,$R30)))</f>
        <v/>
      </c>
      <c r="D30" s="73">
        <f>IF($R30="","",IF(INDEX(Calc!$AV$2:$AV$2001,$R30)="","",INDEX(Calc!$AV$2:$AV$2001,$R30)))</f>
        <v/>
      </c>
      <c r="E30" s="76">
        <f>IF($R30="","",IF(INDEX(Calc!$AW$2:$AW$2001,$R30)="","",INDEX(Calc!$AW$2:$AW$2001,$R30)))</f>
        <v/>
      </c>
      <c r="F30" s="72">
        <f>IF(OR(C30="",E30=""),"",E30-Setup!$D$7)</f>
        <v/>
      </c>
      <c r="G30" s="77">
        <f>IF($R30="","",IF(INDEX(Calc!$AX$2:$AX$2001,$R30)="","",INDEX(Calc!$AX$2:$AX$2001,$R30)))</f>
        <v/>
      </c>
      <c r="H30" s="77">
        <f>IF($R30="","",IF(INDEX(Calc!$AY$2:$AY$2001,$R30)="","",INDEX(Calc!$AY$2:$AY$2001,$R30)))</f>
        <v/>
      </c>
      <c r="I30" s="73">
        <f>IF(OR(G30="",H30=""),"",TRIM(IF(HOUR(H30-G30)&gt;0,HOUR(H30-G30)&amp;" hr ","")&amp;IF(MINUTE(H30-G30)&gt;0,MINUTE(H30-G30)&amp;" min","")))</f>
        <v/>
      </c>
      <c r="J30" s="73">
        <f>IF($R30="","",IF(INDEX(Calc!$AZ$2:$AZ$2001,$R30)="","",INDEX(Calc!$AZ$2:$AZ$2001,$R30)))</f>
        <v/>
      </c>
      <c r="K30" s="85">
        <f>IF($R30="","",IF(INDEX(Calc!$BE$2:$BE$2001,$R30)="","",INDEX(Calc!$BE$2:$BE$2001,$R30)))</f>
        <v/>
      </c>
      <c r="L30" s="73">
        <f>IF($R30="","",IF(INDEX(Calc!$BA$2:$BA$2001,$R30)="","",INDEX(Calc!$BA$2:$BA$2001,$R30)))</f>
        <v/>
      </c>
      <c r="M30" s="73">
        <f>IF($R30="","",IF(INDEX(Calc!$BB$2:$BB$2001,$R30)="","",INDEX(Calc!$BB$2:$BB$2001,$R30)))</f>
        <v/>
      </c>
      <c r="N30" s="73">
        <f>IF($R30="","",IF(INDEX(Calc!$BC$2:$BC$2001,$R30)="","",INDEX(Calc!$BC$2:$BC$2001,$R30)))</f>
        <v/>
      </c>
      <c r="O30" s="73">
        <f>IF($R30="","",IF(INDEX(Calc!$BD$2:$BD$2001,$R30)="","",INDEX(Calc!$BD$2:$BD$2001,$R30)))</f>
        <v/>
      </c>
      <c r="P30" s="86">
        <f>IF(R30="","",HYPERLINK("#'"&amp;IF(INDEX(Calc!$AS$2:$AS$2001,R30)="R","Recurring Log","Variable Tasks")&amp;"'!J"&amp;INDEX(Calc!$AT$2:$AT$2001,R30),"✎ edit"))</f>
        <v/>
      </c>
      <c r="R30">
        <f>IFERROR(MATCH(SMALL(Calc!$BK$2:$BK$2001,21),Calc!$BK$2:$BK$2001,0),"")</f>
        <v/>
      </c>
    </row>
    <row r="31">
      <c r="B31" s="36">
        <f>IF(R31="","",22)</f>
        <v/>
      </c>
      <c r="C31" s="37">
        <f>IF($R31="","",IF(INDEX(Calc!$AU$2:$AU$2001,$R31)="","",INDEX(Calc!$AU$2:$AU$2001,$R31)))</f>
        <v/>
      </c>
      <c r="D31" s="36">
        <f>IF($R31="","",IF(INDEX(Calc!$AV$2:$AV$2001,$R31)="","",INDEX(Calc!$AV$2:$AV$2001,$R31)))</f>
        <v/>
      </c>
      <c r="E31" s="38">
        <f>IF($R31="","",IF(INDEX(Calc!$AW$2:$AW$2001,$R31)="","",INDEX(Calc!$AW$2:$AW$2001,$R31)))</f>
        <v/>
      </c>
      <c r="F31" s="68">
        <f>IF(OR(C31="",E31=""),"",E31-Setup!$D$7)</f>
        <v/>
      </c>
      <c r="G31" s="74">
        <f>IF($R31="","",IF(INDEX(Calc!$AX$2:$AX$2001,$R31)="","",INDEX(Calc!$AX$2:$AX$2001,$R31)))</f>
        <v/>
      </c>
      <c r="H31" s="74">
        <f>IF($R31="","",IF(INDEX(Calc!$AY$2:$AY$2001,$R31)="","",INDEX(Calc!$AY$2:$AY$2001,$R31)))</f>
        <v/>
      </c>
      <c r="I31" s="36">
        <f>IF(OR(G31="",H31=""),"",TRIM(IF(HOUR(H31-G31)&gt;0,HOUR(H31-G31)&amp;" hr ","")&amp;IF(MINUTE(H31-G31)&gt;0,MINUTE(H31-G31)&amp;" min","")))</f>
        <v/>
      </c>
      <c r="J31" s="36">
        <f>IF($R31="","",IF(INDEX(Calc!$AZ$2:$AZ$2001,$R31)="","",INDEX(Calc!$AZ$2:$AZ$2001,$R31)))</f>
        <v/>
      </c>
      <c r="K31" s="87">
        <f>IF($R31="","",IF(INDEX(Calc!$BE$2:$BE$2001,$R31)="","",INDEX(Calc!$BE$2:$BE$2001,$R31)))</f>
        <v/>
      </c>
      <c r="L31" s="36">
        <f>IF($R31="","",IF(INDEX(Calc!$BA$2:$BA$2001,$R31)="","",INDEX(Calc!$BA$2:$BA$2001,$R31)))</f>
        <v/>
      </c>
      <c r="M31" s="36">
        <f>IF($R31="","",IF(INDEX(Calc!$BB$2:$BB$2001,$R31)="","",INDEX(Calc!$BB$2:$BB$2001,$R31)))</f>
        <v/>
      </c>
      <c r="N31" s="36">
        <f>IF($R31="","",IF(INDEX(Calc!$BC$2:$BC$2001,$R31)="","",INDEX(Calc!$BC$2:$BC$2001,$R31)))</f>
        <v/>
      </c>
      <c r="O31" s="36">
        <f>IF($R31="","",IF(INDEX(Calc!$BD$2:$BD$2001,$R31)="","",INDEX(Calc!$BD$2:$BD$2001,$R31)))</f>
        <v/>
      </c>
      <c r="P31" s="88">
        <f>IF(R31="","",HYPERLINK("#'"&amp;IF(INDEX(Calc!$AS$2:$AS$2001,R31)="R","Recurring Log","Variable Tasks")&amp;"'!J"&amp;INDEX(Calc!$AT$2:$AT$2001,R31),"✎ edit"))</f>
        <v/>
      </c>
      <c r="R31">
        <f>IFERROR(MATCH(SMALL(Calc!$BK$2:$BK$2001,22),Calc!$BK$2:$BK$2001,0),"")</f>
        <v/>
      </c>
    </row>
    <row r="32">
      <c r="B32" s="73">
        <f>IF(R32="","",23)</f>
        <v/>
      </c>
      <c r="C32" s="75">
        <f>IF($R32="","",IF(INDEX(Calc!$AU$2:$AU$2001,$R32)="","",INDEX(Calc!$AU$2:$AU$2001,$R32)))</f>
        <v/>
      </c>
      <c r="D32" s="73">
        <f>IF($R32="","",IF(INDEX(Calc!$AV$2:$AV$2001,$R32)="","",INDEX(Calc!$AV$2:$AV$2001,$R32)))</f>
        <v/>
      </c>
      <c r="E32" s="76">
        <f>IF($R32="","",IF(INDEX(Calc!$AW$2:$AW$2001,$R32)="","",INDEX(Calc!$AW$2:$AW$2001,$R32)))</f>
        <v/>
      </c>
      <c r="F32" s="72">
        <f>IF(OR(C32="",E32=""),"",E32-Setup!$D$7)</f>
        <v/>
      </c>
      <c r="G32" s="77">
        <f>IF($R32="","",IF(INDEX(Calc!$AX$2:$AX$2001,$R32)="","",INDEX(Calc!$AX$2:$AX$2001,$R32)))</f>
        <v/>
      </c>
      <c r="H32" s="77">
        <f>IF($R32="","",IF(INDEX(Calc!$AY$2:$AY$2001,$R32)="","",INDEX(Calc!$AY$2:$AY$2001,$R32)))</f>
        <v/>
      </c>
      <c r="I32" s="73">
        <f>IF(OR(G32="",H32=""),"",TRIM(IF(HOUR(H32-G32)&gt;0,HOUR(H32-G32)&amp;" hr ","")&amp;IF(MINUTE(H32-G32)&gt;0,MINUTE(H32-G32)&amp;" min","")))</f>
        <v/>
      </c>
      <c r="J32" s="73">
        <f>IF($R32="","",IF(INDEX(Calc!$AZ$2:$AZ$2001,$R32)="","",INDEX(Calc!$AZ$2:$AZ$2001,$R32)))</f>
        <v/>
      </c>
      <c r="K32" s="85">
        <f>IF($R32="","",IF(INDEX(Calc!$BE$2:$BE$2001,$R32)="","",INDEX(Calc!$BE$2:$BE$2001,$R32)))</f>
        <v/>
      </c>
      <c r="L32" s="73">
        <f>IF($R32="","",IF(INDEX(Calc!$BA$2:$BA$2001,$R32)="","",INDEX(Calc!$BA$2:$BA$2001,$R32)))</f>
        <v/>
      </c>
      <c r="M32" s="73">
        <f>IF($R32="","",IF(INDEX(Calc!$BB$2:$BB$2001,$R32)="","",INDEX(Calc!$BB$2:$BB$2001,$R32)))</f>
        <v/>
      </c>
      <c r="N32" s="73">
        <f>IF($R32="","",IF(INDEX(Calc!$BC$2:$BC$2001,$R32)="","",INDEX(Calc!$BC$2:$BC$2001,$R32)))</f>
        <v/>
      </c>
      <c r="O32" s="73">
        <f>IF($R32="","",IF(INDEX(Calc!$BD$2:$BD$2001,$R32)="","",INDEX(Calc!$BD$2:$BD$2001,$R32)))</f>
        <v/>
      </c>
      <c r="P32" s="86">
        <f>IF(R32="","",HYPERLINK("#'"&amp;IF(INDEX(Calc!$AS$2:$AS$2001,R32)="R","Recurring Log","Variable Tasks")&amp;"'!J"&amp;INDEX(Calc!$AT$2:$AT$2001,R32),"✎ edit"))</f>
        <v/>
      </c>
      <c r="R32">
        <f>IFERROR(MATCH(SMALL(Calc!$BK$2:$BK$2001,23),Calc!$BK$2:$BK$2001,0),"")</f>
        <v/>
      </c>
    </row>
    <row r="33">
      <c r="B33" s="36">
        <f>IF(R33="","",24)</f>
        <v/>
      </c>
      <c r="C33" s="37">
        <f>IF($R33="","",IF(INDEX(Calc!$AU$2:$AU$2001,$R33)="","",INDEX(Calc!$AU$2:$AU$2001,$R33)))</f>
        <v/>
      </c>
      <c r="D33" s="36">
        <f>IF($R33="","",IF(INDEX(Calc!$AV$2:$AV$2001,$R33)="","",INDEX(Calc!$AV$2:$AV$2001,$R33)))</f>
        <v/>
      </c>
      <c r="E33" s="38">
        <f>IF($R33="","",IF(INDEX(Calc!$AW$2:$AW$2001,$R33)="","",INDEX(Calc!$AW$2:$AW$2001,$R33)))</f>
        <v/>
      </c>
      <c r="F33" s="68">
        <f>IF(OR(C33="",E33=""),"",E33-Setup!$D$7)</f>
        <v/>
      </c>
      <c r="G33" s="74">
        <f>IF($R33="","",IF(INDEX(Calc!$AX$2:$AX$2001,$R33)="","",INDEX(Calc!$AX$2:$AX$2001,$R33)))</f>
        <v/>
      </c>
      <c r="H33" s="74">
        <f>IF($R33="","",IF(INDEX(Calc!$AY$2:$AY$2001,$R33)="","",INDEX(Calc!$AY$2:$AY$2001,$R33)))</f>
        <v/>
      </c>
      <c r="I33" s="36">
        <f>IF(OR(G33="",H33=""),"",TRIM(IF(HOUR(H33-G33)&gt;0,HOUR(H33-G33)&amp;" hr ","")&amp;IF(MINUTE(H33-G33)&gt;0,MINUTE(H33-G33)&amp;" min","")))</f>
        <v/>
      </c>
      <c r="J33" s="36">
        <f>IF($R33="","",IF(INDEX(Calc!$AZ$2:$AZ$2001,$R33)="","",INDEX(Calc!$AZ$2:$AZ$2001,$R33)))</f>
        <v/>
      </c>
      <c r="K33" s="87">
        <f>IF($R33="","",IF(INDEX(Calc!$BE$2:$BE$2001,$R33)="","",INDEX(Calc!$BE$2:$BE$2001,$R33)))</f>
        <v/>
      </c>
      <c r="L33" s="36">
        <f>IF($R33="","",IF(INDEX(Calc!$BA$2:$BA$2001,$R33)="","",INDEX(Calc!$BA$2:$BA$2001,$R33)))</f>
        <v/>
      </c>
      <c r="M33" s="36">
        <f>IF($R33="","",IF(INDEX(Calc!$BB$2:$BB$2001,$R33)="","",INDEX(Calc!$BB$2:$BB$2001,$R33)))</f>
        <v/>
      </c>
      <c r="N33" s="36">
        <f>IF($R33="","",IF(INDEX(Calc!$BC$2:$BC$2001,$R33)="","",INDEX(Calc!$BC$2:$BC$2001,$R33)))</f>
        <v/>
      </c>
      <c r="O33" s="36">
        <f>IF($R33="","",IF(INDEX(Calc!$BD$2:$BD$2001,$R33)="","",INDEX(Calc!$BD$2:$BD$2001,$R33)))</f>
        <v/>
      </c>
      <c r="P33" s="88">
        <f>IF(R33="","",HYPERLINK("#'"&amp;IF(INDEX(Calc!$AS$2:$AS$2001,R33)="R","Recurring Log","Variable Tasks")&amp;"'!J"&amp;INDEX(Calc!$AT$2:$AT$2001,R33),"✎ edit"))</f>
        <v/>
      </c>
      <c r="R33">
        <f>IFERROR(MATCH(SMALL(Calc!$BK$2:$BK$2001,24),Calc!$BK$2:$BK$2001,0),"")</f>
        <v/>
      </c>
    </row>
    <row r="34">
      <c r="B34" s="73">
        <f>IF(R34="","",25)</f>
        <v/>
      </c>
      <c r="C34" s="75">
        <f>IF($R34="","",IF(INDEX(Calc!$AU$2:$AU$2001,$R34)="","",INDEX(Calc!$AU$2:$AU$2001,$R34)))</f>
        <v/>
      </c>
      <c r="D34" s="73">
        <f>IF($R34="","",IF(INDEX(Calc!$AV$2:$AV$2001,$R34)="","",INDEX(Calc!$AV$2:$AV$2001,$R34)))</f>
        <v/>
      </c>
      <c r="E34" s="76">
        <f>IF($R34="","",IF(INDEX(Calc!$AW$2:$AW$2001,$R34)="","",INDEX(Calc!$AW$2:$AW$2001,$R34)))</f>
        <v/>
      </c>
      <c r="F34" s="72">
        <f>IF(OR(C34="",E34=""),"",E34-Setup!$D$7)</f>
        <v/>
      </c>
      <c r="G34" s="77">
        <f>IF($R34="","",IF(INDEX(Calc!$AX$2:$AX$2001,$R34)="","",INDEX(Calc!$AX$2:$AX$2001,$R34)))</f>
        <v/>
      </c>
      <c r="H34" s="77">
        <f>IF($R34="","",IF(INDEX(Calc!$AY$2:$AY$2001,$R34)="","",INDEX(Calc!$AY$2:$AY$2001,$R34)))</f>
        <v/>
      </c>
      <c r="I34" s="73">
        <f>IF(OR(G34="",H34=""),"",TRIM(IF(HOUR(H34-G34)&gt;0,HOUR(H34-G34)&amp;" hr ","")&amp;IF(MINUTE(H34-G34)&gt;0,MINUTE(H34-G34)&amp;" min","")))</f>
        <v/>
      </c>
      <c r="J34" s="73">
        <f>IF($R34="","",IF(INDEX(Calc!$AZ$2:$AZ$2001,$R34)="","",INDEX(Calc!$AZ$2:$AZ$2001,$R34)))</f>
        <v/>
      </c>
      <c r="K34" s="85">
        <f>IF($R34="","",IF(INDEX(Calc!$BE$2:$BE$2001,$R34)="","",INDEX(Calc!$BE$2:$BE$2001,$R34)))</f>
        <v/>
      </c>
      <c r="L34" s="73">
        <f>IF($R34="","",IF(INDEX(Calc!$BA$2:$BA$2001,$R34)="","",INDEX(Calc!$BA$2:$BA$2001,$R34)))</f>
        <v/>
      </c>
      <c r="M34" s="73">
        <f>IF($R34="","",IF(INDEX(Calc!$BB$2:$BB$2001,$R34)="","",INDEX(Calc!$BB$2:$BB$2001,$R34)))</f>
        <v/>
      </c>
      <c r="N34" s="73">
        <f>IF($R34="","",IF(INDEX(Calc!$BC$2:$BC$2001,$R34)="","",INDEX(Calc!$BC$2:$BC$2001,$R34)))</f>
        <v/>
      </c>
      <c r="O34" s="73">
        <f>IF($R34="","",IF(INDEX(Calc!$BD$2:$BD$2001,$R34)="","",INDEX(Calc!$BD$2:$BD$2001,$R34)))</f>
        <v/>
      </c>
      <c r="P34" s="86">
        <f>IF(R34="","",HYPERLINK("#'"&amp;IF(INDEX(Calc!$AS$2:$AS$2001,R34)="R","Recurring Log","Variable Tasks")&amp;"'!J"&amp;INDEX(Calc!$AT$2:$AT$2001,R34),"✎ edit"))</f>
        <v/>
      </c>
      <c r="R34">
        <f>IFERROR(MATCH(SMALL(Calc!$BK$2:$BK$2001,25),Calc!$BK$2:$BK$2001,0),"")</f>
        <v/>
      </c>
    </row>
    <row r="35">
      <c r="B35" s="36">
        <f>IF(R35="","",26)</f>
        <v/>
      </c>
      <c r="C35" s="37">
        <f>IF($R35="","",IF(INDEX(Calc!$AU$2:$AU$2001,$R35)="","",INDEX(Calc!$AU$2:$AU$2001,$R35)))</f>
        <v/>
      </c>
      <c r="D35" s="36">
        <f>IF($R35="","",IF(INDEX(Calc!$AV$2:$AV$2001,$R35)="","",INDEX(Calc!$AV$2:$AV$2001,$R35)))</f>
        <v/>
      </c>
      <c r="E35" s="38">
        <f>IF($R35="","",IF(INDEX(Calc!$AW$2:$AW$2001,$R35)="","",INDEX(Calc!$AW$2:$AW$2001,$R35)))</f>
        <v/>
      </c>
      <c r="F35" s="68">
        <f>IF(OR(C35="",E35=""),"",E35-Setup!$D$7)</f>
        <v/>
      </c>
      <c r="G35" s="74">
        <f>IF($R35="","",IF(INDEX(Calc!$AX$2:$AX$2001,$R35)="","",INDEX(Calc!$AX$2:$AX$2001,$R35)))</f>
        <v/>
      </c>
      <c r="H35" s="74">
        <f>IF($R35="","",IF(INDEX(Calc!$AY$2:$AY$2001,$R35)="","",INDEX(Calc!$AY$2:$AY$2001,$R35)))</f>
        <v/>
      </c>
      <c r="I35" s="36">
        <f>IF(OR(G35="",H35=""),"",TRIM(IF(HOUR(H35-G35)&gt;0,HOUR(H35-G35)&amp;" hr ","")&amp;IF(MINUTE(H35-G35)&gt;0,MINUTE(H35-G35)&amp;" min","")))</f>
        <v/>
      </c>
      <c r="J35" s="36">
        <f>IF($R35="","",IF(INDEX(Calc!$AZ$2:$AZ$2001,$R35)="","",INDEX(Calc!$AZ$2:$AZ$2001,$R35)))</f>
        <v/>
      </c>
      <c r="K35" s="87">
        <f>IF($R35="","",IF(INDEX(Calc!$BE$2:$BE$2001,$R35)="","",INDEX(Calc!$BE$2:$BE$2001,$R35)))</f>
        <v/>
      </c>
      <c r="L35" s="36">
        <f>IF($R35="","",IF(INDEX(Calc!$BA$2:$BA$2001,$R35)="","",INDEX(Calc!$BA$2:$BA$2001,$R35)))</f>
        <v/>
      </c>
      <c r="M35" s="36">
        <f>IF($R35="","",IF(INDEX(Calc!$BB$2:$BB$2001,$R35)="","",INDEX(Calc!$BB$2:$BB$2001,$R35)))</f>
        <v/>
      </c>
      <c r="N35" s="36">
        <f>IF($R35="","",IF(INDEX(Calc!$BC$2:$BC$2001,$R35)="","",INDEX(Calc!$BC$2:$BC$2001,$R35)))</f>
        <v/>
      </c>
      <c r="O35" s="36">
        <f>IF($R35="","",IF(INDEX(Calc!$BD$2:$BD$2001,$R35)="","",INDEX(Calc!$BD$2:$BD$2001,$R35)))</f>
        <v/>
      </c>
      <c r="P35" s="88">
        <f>IF(R35="","",HYPERLINK("#'"&amp;IF(INDEX(Calc!$AS$2:$AS$2001,R35)="R","Recurring Log","Variable Tasks")&amp;"'!J"&amp;INDEX(Calc!$AT$2:$AT$2001,R35),"✎ edit"))</f>
        <v/>
      </c>
      <c r="R35">
        <f>IFERROR(MATCH(SMALL(Calc!$BK$2:$BK$2001,26),Calc!$BK$2:$BK$2001,0),"")</f>
        <v/>
      </c>
    </row>
    <row r="36">
      <c r="B36" s="73">
        <f>IF(R36="","",27)</f>
        <v/>
      </c>
      <c r="C36" s="75">
        <f>IF($R36="","",IF(INDEX(Calc!$AU$2:$AU$2001,$R36)="","",INDEX(Calc!$AU$2:$AU$2001,$R36)))</f>
        <v/>
      </c>
      <c r="D36" s="73">
        <f>IF($R36="","",IF(INDEX(Calc!$AV$2:$AV$2001,$R36)="","",INDEX(Calc!$AV$2:$AV$2001,$R36)))</f>
        <v/>
      </c>
      <c r="E36" s="76">
        <f>IF($R36="","",IF(INDEX(Calc!$AW$2:$AW$2001,$R36)="","",INDEX(Calc!$AW$2:$AW$2001,$R36)))</f>
        <v/>
      </c>
      <c r="F36" s="72">
        <f>IF(OR(C36="",E36=""),"",E36-Setup!$D$7)</f>
        <v/>
      </c>
      <c r="G36" s="77">
        <f>IF($R36="","",IF(INDEX(Calc!$AX$2:$AX$2001,$R36)="","",INDEX(Calc!$AX$2:$AX$2001,$R36)))</f>
        <v/>
      </c>
      <c r="H36" s="77">
        <f>IF($R36="","",IF(INDEX(Calc!$AY$2:$AY$2001,$R36)="","",INDEX(Calc!$AY$2:$AY$2001,$R36)))</f>
        <v/>
      </c>
      <c r="I36" s="73">
        <f>IF(OR(G36="",H36=""),"",TRIM(IF(HOUR(H36-G36)&gt;0,HOUR(H36-G36)&amp;" hr ","")&amp;IF(MINUTE(H36-G36)&gt;0,MINUTE(H36-G36)&amp;" min","")))</f>
        <v/>
      </c>
      <c r="J36" s="73">
        <f>IF($R36="","",IF(INDEX(Calc!$AZ$2:$AZ$2001,$R36)="","",INDEX(Calc!$AZ$2:$AZ$2001,$R36)))</f>
        <v/>
      </c>
      <c r="K36" s="85">
        <f>IF($R36="","",IF(INDEX(Calc!$BE$2:$BE$2001,$R36)="","",INDEX(Calc!$BE$2:$BE$2001,$R36)))</f>
        <v/>
      </c>
      <c r="L36" s="73">
        <f>IF($R36="","",IF(INDEX(Calc!$BA$2:$BA$2001,$R36)="","",INDEX(Calc!$BA$2:$BA$2001,$R36)))</f>
        <v/>
      </c>
      <c r="M36" s="73">
        <f>IF($R36="","",IF(INDEX(Calc!$BB$2:$BB$2001,$R36)="","",INDEX(Calc!$BB$2:$BB$2001,$R36)))</f>
        <v/>
      </c>
      <c r="N36" s="73">
        <f>IF($R36="","",IF(INDEX(Calc!$BC$2:$BC$2001,$R36)="","",INDEX(Calc!$BC$2:$BC$2001,$R36)))</f>
        <v/>
      </c>
      <c r="O36" s="73">
        <f>IF($R36="","",IF(INDEX(Calc!$BD$2:$BD$2001,$R36)="","",INDEX(Calc!$BD$2:$BD$2001,$R36)))</f>
        <v/>
      </c>
      <c r="P36" s="86">
        <f>IF(R36="","",HYPERLINK("#'"&amp;IF(INDEX(Calc!$AS$2:$AS$2001,R36)="R","Recurring Log","Variable Tasks")&amp;"'!J"&amp;INDEX(Calc!$AT$2:$AT$2001,R36),"✎ edit"))</f>
        <v/>
      </c>
      <c r="R36">
        <f>IFERROR(MATCH(SMALL(Calc!$BK$2:$BK$2001,27),Calc!$BK$2:$BK$2001,0),"")</f>
        <v/>
      </c>
    </row>
    <row r="37">
      <c r="B37" s="36">
        <f>IF(R37="","",28)</f>
        <v/>
      </c>
      <c r="C37" s="37">
        <f>IF($R37="","",IF(INDEX(Calc!$AU$2:$AU$2001,$R37)="","",INDEX(Calc!$AU$2:$AU$2001,$R37)))</f>
        <v/>
      </c>
      <c r="D37" s="36">
        <f>IF($R37="","",IF(INDEX(Calc!$AV$2:$AV$2001,$R37)="","",INDEX(Calc!$AV$2:$AV$2001,$R37)))</f>
        <v/>
      </c>
      <c r="E37" s="38">
        <f>IF($R37="","",IF(INDEX(Calc!$AW$2:$AW$2001,$R37)="","",INDEX(Calc!$AW$2:$AW$2001,$R37)))</f>
        <v/>
      </c>
      <c r="F37" s="68">
        <f>IF(OR(C37="",E37=""),"",E37-Setup!$D$7)</f>
        <v/>
      </c>
      <c r="G37" s="74">
        <f>IF($R37="","",IF(INDEX(Calc!$AX$2:$AX$2001,$R37)="","",INDEX(Calc!$AX$2:$AX$2001,$R37)))</f>
        <v/>
      </c>
      <c r="H37" s="74">
        <f>IF($R37="","",IF(INDEX(Calc!$AY$2:$AY$2001,$R37)="","",INDEX(Calc!$AY$2:$AY$2001,$R37)))</f>
        <v/>
      </c>
      <c r="I37" s="36">
        <f>IF(OR(G37="",H37=""),"",TRIM(IF(HOUR(H37-G37)&gt;0,HOUR(H37-G37)&amp;" hr ","")&amp;IF(MINUTE(H37-G37)&gt;0,MINUTE(H37-G37)&amp;" min","")))</f>
        <v/>
      </c>
      <c r="J37" s="36">
        <f>IF($R37="","",IF(INDEX(Calc!$AZ$2:$AZ$2001,$R37)="","",INDEX(Calc!$AZ$2:$AZ$2001,$R37)))</f>
        <v/>
      </c>
      <c r="K37" s="87">
        <f>IF($R37="","",IF(INDEX(Calc!$BE$2:$BE$2001,$R37)="","",INDEX(Calc!$BE$2:$BE$2001,$R37)))</f>
        <v/>
      </c>
      <c r="L37" s="36">
        <f>IF($R37="","",IF(INDEX(Calc!$BA$2:$BA$2001,$R37)="","",INDEX(Calc!$BA$2:$BA$2001,$R37)))</f>
        <v/>
      </c>
      <c r="M37" s="36">
        <f>IF($R37="","",IF(INDEX(Calc!$BB$2:$BB$2001,$R37)="","",INDEX(Calc!$BB$2:$BB$2001,$R37)))</f>
        <v/>
      </c>
      <c r="N37" s="36">
        <f>IF($R37="","",IF(INDEX(Calc!$BC$2:$BC$2001,$R37)="","",INDEX(Calc!$BC$2:$BC$2001,$R37)))</f>
        <v/>
      </c>
      <c r="O37" s="36">
        <f>IF($R37="","",IF(INDEX(Calc!$BD$2:$BD$2001,$R37)="","",INDEX(Calc!$BD$2:$BD$2001,$R37)))</f>
        <v/>
      </c>
      <c r="P37" s="88">
        <f>IF(R37="","",HYPERLINK("#'"&amp;IF(INDEX(Calc!$AS$2:$AS$2001,R37)="R","Recurring Log","Variable Tasks")&amp;"'!J"&amp;INDEX(Calc!$AT$2:$AT$2001,R37),"✎ edit"))</f>
        <v/>
      </c>
      <c r="R37">
        <f>IFERROR(MATCH(SMALL(Calc!$BK$2:$BK$2001,28),Calc!$BK$2:$BK$2001,0),"")</f>
        <v/>
      </c>
    </row>
    <row r="38">
      <c r="B38" s="73">
        <f>IF(R38="","",29)</f>
        <v/>
      </c>
      <c r="C38" s="75">
        <f>IF($R38="","",IF(INDEX(Calc!$AU$2:$AU$2001,$R38)="","",INDEX(Calc!$AU$2:$AU$2001,$R38)))</f>
        <v/>
      </c>
      <c r="D38" s="73">
        <f>IF($R38="","",IF(INDEX(Calc!$AV$2:$AV$2001,$R38)="","",INDEX(Calc!$AV$2:$AV$2001,$R38)))</f>
        <v/>
      </c>
      <c r="E38" s="76">
        <f>IF($R38="","",IF(INDEX(Calc!$AW$2:$AW$2001,$R38)="","",INDEX(Calc!$AW$2:$AW$2001,$R38)))</f>
        <v/>
      </c>
      <c r="F38" s="72">
        <f>IF(OR(C38="",E38=""),"",E38-Setup!$D$7)</f>
        <v/>
      </c>
      <c r="G38" s="77">
        <f>IF($R38="","",IF(INDEX(Calc!$AX$2:$AX$2001,$R38)="","",INDEX(Calc!$AX$2:$AX$2001,$R38)))</f>
        <v/>
      </c>
      <c r="H38" s="77">
        <f>IF($R38="","",IF(INDEX(Calc!$AY$2:$AY$2001,$R38)="","",INDEX(Calc!$AY$2:$AY$2001,$R38)))</f>
        <v/>
      </c>
      <c r="I38" s="73">
        <f>IF(OR(G38="",H38=""),"",TRIM(IF(HOUR(H38-G38)&gt;0,HOUR(H38-G38)&amp;" hr ","")&amp;IF(MINUTE(H38-G38)&gt;0,MINUTE(H38-G38)&amp;" min","")))</f>
        <v/>
      </c>
      <c r="J38" s="73">
        <f>IF($R38="","",IF(INDEX(Calc!$AZ$2:$AZ$2001,$R38)="","",INDEX(Calc!$AZ$2:$AZ$2001,$R38)))</f>
        <v/>
      </c>
      <c r="K38" s="85">
        <f>IF($R38="","",IF(INDEX(Calc!$BE$2:$BE$2001,$R38)="","",INDEX(Calc!$BE$2:$BE$2001,$R38)))</f>
        <v/>
      </c>
      <c r="L38" s="73">
        <f>IF($R38="","",IF(INDEX(Calc!$BA$2:$BA$2001,$R38)="","",INDEX(Calc!$BA$2:$BA$2001,$R38)))</f>
        <v/>
      </c>
      <c r="M38" s="73">
        <f>IF($R38="","",IF(INDEX(Calc!$BB$2:$BB$2001,$R38)="","",INDEX(Calc!$BB$2:$BB$2001,$R38)))</f>
        <v/>
      </c>
      <c r="N38" s="73">
        <f>IF($R38="","",IF(INDEX(Calc!$BC$2:$BC$2001,$R38)="","",INDEX(Calc!$BC$2:$BC$2001,$R38)))</f>
        <v/>
      </c>
      <c r="O38" s="73">
        <f>IF($R38="","",IF(INDEX(Calc!$BD$2:$BD$2001,$R38)="","",INDEX(Calc!$BD$2:$BD$2001,$R38)))</f>
        <v/>
      </c>
      <c r="P38" s="86">
        <f>IF(R38="","",HYPERLINK("#'"&amp;IF(INDEX(Calc!$AS$2:$AS$2001,R38)="R","Recurring Log","Variable Tasks")&amp;"'!J"&amp;INDEX(Calc!$AT$2:$AT$2001,R38),"✎ edit"))</f>
        <v/>
      </c>
      <c r="R38">
        <f>IFERROR(MATCH(SMALL(Calc!$BK$2:$BK$2001,29),Calc!$BK$2:$BK$2001,0),"")</f>
        <v/>
      </c>
    </row>
    <row r="39">
      <c r="B39" s="36">
        <f>IF(R39="","",30)</f>
        <v/>
      </c>
      <c r="C39" s="37">
        <f>IF($R39="","",IF(INDEX(Calc!$AU$2:$AU$2001,$R39)="","",INDEX(Calc!$AU$2:$AU$2001,$R39)))</f>
        <v/>
      </c>
      <c r="D39" s="36">
        <f>IF($R39="","",IF(INDEX(Calc!$AV$2:$AV$2001,$R39)="","",INDEX(Calc!$AV$2:$AV$2001,$R39)))</f>
        <v/>
      </c>
      <c r="E39" s="38">
        <f>IF($R39="","",IF(INDEX(Calc!$AW$2:$AW$2001,$R39)="","",INDEX(Calc!$AW$2:$AW$2001,$R39)))</f>
        <v/>
      </c>
      <c r="F39" s="68">
        <f>IF(OR(C39="",E39=""),"",E39-Setup!$D$7)</f>
        <v/>
      </c>
      <c r="G39" s="74">
        <f>IF($R39="","",IF(INDEX(Calc!$AX$2:$AX$2001,$R39)="","",INDEX(Calc!$AX$2:$AX$2001,$R39)))</f>
        <v/>
      </c>
      <c r="H39" s="74">
        <f>IF($R39="","",IF(INDEX(Calc!$AY$2:$AY$2001,$R39)="","",INDEX(Calc!$AY$2:$AY$2001,$R39)))</f>
        <v/>
      </c>
      <c r="I39" s="36">
        <f>IF(OR(G39="",H39=""),"",TRIM(IF(HOUR(H39-G39)&gt;0,HOUR(H39-G39)&amp;" hr ","")&amp;IF(MINUTE(H39-G39)&gt;0,MINUTE(H39-G39)&amp;" min","")))</f>
        <v/>
      </c>
      <c r="J39" s="36">
        <f>IF($R39="","",IF(INDEX(Calc!$AZ$2:$AZ$2001,$R39)="","",INDEX(Calc!$AZ$2:$AZ$2001,$R39)))</f>
        <v/>
      </c>
      <c r="K39" s="87">
        <f>IF($R39="","",IF(INDEX(Calc!$BE$2:$BE$2001,$R39)="","",INDEX(Calc!$BE$2:$BE$2001,$R39)))</f>
        <v/>
      </c>
      <c r="L39" s="36">
        <f>IF($R39="","",IF(INDEX(Calc!$BA$2:$BA$2001,$R39)="","",INDEX(Calc!$BA$2:$BA$2001,$R39)))</f>
        <v/>
      </c>
      <c r="M39" s="36">
        <f>IF($R39="","",IF(INDEX(Calc!$BB$2:$BB$2001,$R39)="","",INDEX(Calc!$BB$2:$BB$2001,$R39)))</f>
        <v/>
      </c>
      <c r="N39" s="36">
        <f>IF($R39="","",IF(INDEX(Calc!$BC$2:$BC$2001,$R39)="","",INDEX(Calc!$BC$2:$BC$2001,$R39)))</f>
        <v/>
      </c>
      <c r="O39" s="36">
        <f>IF($R39="","",IF(INDEX(Calc!$BD$2:$BD$2001,$R39)="","",INDEX(Calc!$BD$2:$BD$2001,$R39)))</f>
        <v/>
      </c>
      <c r="P39" s="88">
        <f>IF(R39="","",HYPERLINK("#'"&amp;IF(INDEX(Calc!$AS$2:$AS$2001,R39)="R","Recurring Log","Variable Tasks")&amp;"'!J"&amp;INDEX(Calc!$AT$2:$AT$2001,R39),"✎ edit"))</f>
        <v/>
      </c>
      <c r="R39">
        <f>IFERROR(MATCH(SMALL(Calc!$BK$2:$BK$2001,30),Calc!$BK$2:$BK$2001,0),"")</f>
        <v/>
      </c>
    </row>
    <row r="40">
      <c r="B40" s="73">
        <f>IF(R40="","",31)</f>
        <v/>
      </c>
      <c r="C40" s="75">
        <f>IF($R40="","",IF(INDEX(Calc!$AU$2:$AU$2001,$R40)="","",INDEX(Calc!$AU$2:$AU$2001,$R40)))</f>
        <v/>
      </c>
      <c r="D40" s="73">
        <f>IF($R40="","",IF(INDEX(Calc!$AV$2:$AV$2001,$R40)="","",INDEX(Calc!$AV$2:$AV$2001,$R40)))</f>
        <v/>
      </c>
      <c r="E40" s="76">
        <f>IF($R40="","",IF(INDEX(Calc!$AW$2:$AW$2001,$R40)="","",INDEX(Calc!$AW$2:$AW$2001,$R40)))</f>
        <v/>
      </c>
      <c r="F40" s="72">
        <f>IF(OR(C40="",E40=""),"",E40-Setup!$D$7)</f>
        <v/>
      </c>
      <c r="G40" s="77">
        <f>IF($R40="","",IF(INDEX(Calc!$AX$2:$AX$2001,$R40)="","",INDEX(Calc!$AX$2:$AX$2001,$R40)))</f>
        <v/>
      </c>
      <c r="H40" s="77">
        <f>IF($R40="","",IF(INDEX(Calc!$AY$2:$AY$2001,$R40)="","",INDEX(Calc!$AY$2:$AY$2001,$R40)))</f>
        <v/>
      </c>
      <c r="I40" s="73">
        <f>IF(OR(G40="",H40=""),"",TRIM(IF(HOUR(H40-G40)&gt;0,HOUR(H40-G40)&amp;" hr ","")&amp;IF(MINUTE(H40-G40)&gt;0,MINUTE(H40-G40)&amp;" min","")))</f>
        <v/>
      </c>
      <c r="J40" s="73">
        <f>IF($R40="","",IF(INDEX(Calc!$AZ$2:$AZ$2001,$R40)="","",INDEX(Calc!$AZ$2:$AZ$2001,$R40)))</f>
        <v/>
      </c>
      <c r="K40" s="85">
        <f>IF($R40="","",IF(INDEX(Calc!$BE$2:$BE$2001,$R40)="","",INDEX(Calc!$BE$2:$BE$2001,$R40)))</f>
        <v/>
      </c>
      <c r="L40" s="73">
        <f>IF($R40="","",IF(INDEX(Calc!$BA$2:$BA$2001,$R40)="","",INDEX(Calc!$BA$2:$BA$2001,$R40)))</f>
        <v/>
      </c>
      <c r="M40" s="73">
        <f>IF($R40="","",IF(INDEX(Calc!$BB$2:$BB$2001,$R40)="","",INDEX(Calc!$BB$2:$BB$2001,$R40)))</f>
        <v/>
      </c>
      <c r="N40" s="73">
        <f>IF($R40="","",IF(INDEX(Calc!$BC$2:$BC$2001,$R40)="","",INDEX(Calc!$BC$2:$BC$2001,$R40)))</f>
        <v/>
      </c>
      <c r="O40" s="73">
        <f>IF($R40="","",IF(INDEX(Calc!$BD$2:$BD$2001,$R40)="","",INDEX(Calc!$BD$2:$BD$2001,$R40)))</f>
        <v/>
      </c>
      <c r="P40" s="86">
        <f>IF(R40="","",HYPERLINK("#'"&amp;IF(INDEX(Calc!$AS$2:$AS$2001,R40)="R","Recurring Log","Variable Tasks")&amp;"'!J"&amp;INDEX(Calc!$AT$2:$AT$2001,R40),"✎ edit"))</f>
        <v/>
      </c>
      <c r="R40">
        <f>IFERROR(MATCH(SMALL(Calc!$BK$2:$BK$2001,31),Calc!$BK$2:$BK$2001,0),"")</f>
        <v/>
      </c>
    </row>
    <row r="41">
      <c r="B41" s="36">
        <f>IF(R41="","",32)</f>
        <v/>
      </c>
      <c r="C41" s="37">
        <f>IF($R41="","",IF(INDEX(Calc!$AU$2:$AU$2001,$R41)="","",INDEX(Calc!$AU$2:$AU$2001,$R41)))</f>
        <v/>
      </c>
      <c r="D41" s="36">
        <f>IF($R41="","",IF(INDEX(Calc!$AV$2:$AV$2001,$R41)="","",INDEX(Calc!$AV$2:$AV$2001,$R41)))</f>
        <v/>
      </c>
      <c r="E41" s="38">
        <f>IF($R41="","",IF(INDEX(Calc!$AW$2:$AW$2001,$R41)="","",INDEX(Calc!$AW$2:$AW$2001,$R41)))</f>
        <v/>
      </c>
      <c r="F41" s="68">
        <f>IF(OR(C41="",E41=""),"",E41-Setup!$D$7)</f>
        <v/>
      </c>
      <c r="G41" s="74">
        <f>IF($R41="","",IF(INDEX(Calc!$AX$2:$AX$2001,$R41)="","",INDEX(Calc!$AX$2:$AX$2001,$R41)))</f>
        <v/>
      </c>
      <c r="H41" s="74">
        <f>IF($R41="","",IF(INDEX(Calc!$AY$2:$AY$2001,$R41)="","",INDEX(Calc!$AY$2:$AY$2001,$R41)))</f>
        <v/>
      </c>
      <c r="I41" s="36">
        <f>IF(OR(G41="",H41=""),"",TRIM(IF(HOUR(H41-G41)&gt;0,HOUR(H41-G41)&amp;" hr ","")&amp;IF(MINUTE(H41-G41)&gt;0,MINUTE(H41-G41)&amp;" min","")))</f>
        <v/>
      </c>
      <c r="J41" s="36">
        <f>IF($R41="","",IF(INDEX(Calc!$AZ$2:$AZ$2001,$R41)="","",INDEX(Calc!$AZ$2:$AZ$2001,$R41)))</f>
        <v/>
      </c>
      <c r="K41" s="87">
        <f>IF($R41="","",IF(INDEX(Calc!$BE$2:$BE$2001,$R41)="","",INDEX(Calc!$BE$2:$BE$2001,$R41)))</f>
        <v/>
      </c>
      <c r="L41" s="36">
        <f>IF($R41="","",IF(INDEX(Calc!$BA$2:$BA$2001,$R41)="","",INDEX(Calc!$BA$2:$BA$2001,$R41)))</f>
        <v/>
      </c>
      <c r="M41" s="36">
        <f>IF($R41="","",IF(INDEX(Calc!$BB$2:$BB$2001,$R41)="","",INDEX(Calc!$BB$2:$BB$2001,$R41)))</f>
        <v/>
      </c>
      <c r="N41" s="36">
        <f>IF($R41="","",IF(INDEX(Calc!$BC$2:$BC$2001,$R41)="","",INDEX(Calc!$BC$2:$BC$2001,$R41)))</f>
        <v/>
      </c>
      <c r="O41" s="36">
        <f>IF($R41="","",IF(INDEX(Calc!$BD$2:$BD$2001,$R41)="","",INDEX(Calc!$BD$2:$BD$2001,$R41)))</f>
        <v/>
      </c>
      <c r="P41" s="88">
        <f>IF(R41="","",HYPERLINK("#'"&amp;IF(INDEX(Calc!$AS$2:$AS$2001,R41)="R","Recurring Log","Variable Tasks")&amp;"'!J"&amp;INDEX(Calc!$AT$2:$AT$2001,R41),"✎ edit"))</f>
        <v/>
      </c>
      <c r="R41">
        <f>IFERROR(MATCH(SMALL(Calc!$BK$2:$BK$2001,32),Calc!$BK$2:$BK$2001,0),"")</f>
        <v/>
      </c>
    </row>
    <row r="42">
      <c r="B42" s="73">
        <f>IF(R42="","",33)</f>
        <v/>
      </c>
      <c r="C42" s="75">
        <f>IF($R42="","",IF(INDEX(Calc!$AU$2:$AU$2001,$R42)="","",INDEX(Calc!$AU$2:$AU$2001,$R42)))</f>
        <v/>
      </c>
      <c r="D42" s="73">
        <f>IF($R42="","",IF(INDEX(Calc!$AV$2:$AV$2001,$R42)="","",INDEX(Calc!$AV$2:$AV$2001,$R42)))</f>
        <v/>
      </c>
      <c r="E42" s="76">
        <f>IF($R42="","",IF(INDEX(Calc!$AW$2:$AW$2001,$R42)="","",INDEX(Calc!$AW$2:$AW$2001,$R42)))</f>
        <v/>
      </c>
      <c r="F42" s="72">
        <f>IF(OR(C42="",E42=""),"",E42-Setup!$D$7)</f>
        <v/>
      </c>
      <c r="G42" s="77">
        <f>IF($R42="","",IF(INDEX(Calc!$AX$2:$AX$2001,$R42)="","",INDEX(Calc!$AX$2:$AX$2001,$R42)))</f>
        <v/>
      </c>
      <c r="H42" s="77">
        <f>IF($R42="","",IF(INDEX(Calc!$AY$2:$AY$2001,$R42)="","",INDEX(Calc!$AY$2:$AY$2001,$R42)))</f>
        <v/>
      </c>
      <c r="I42" s="73">
        <f>IF(OR(G42="",H42=""),"",TRIM(IF(HOUR(H42-G42)&gt;0,HOUR(H42-G42)&amp;" hr ","")&amp;IF(MINUTE(H42-G42)&gt;0,MINUTE(H42-G42)&amp;" min","")))</f>
        <v/>
      </c>
      <c r="J42" s="73">
        <f>IF($R42="","",IF(INDEX(Calc!$AZ$2:$AZ$2001,$R42)="","",INDEX(Calc!$AZ$2:$AZ$2001,$R42)))</f>
        <v/>
      </c>
      <c r="K42" s="85">
        <f>IF($R42="","",IF(INDEX(Calc!$BE$2:$BE$2001,$R42)="","",INDEX(Calc!$BE$2:$BE$2001,$R42)))</f>
        <v/>
      </c>
      <c r="L42" s="73">
        <f>IF($R42="","",IF(INDEX(Calc!$BA$2:$BA$2001,$R42)="","",INDEX(Calc!$BA$2:$BA$2001,$R42)))</f>
        <v/>
      </c>
      <c r="M42" s="73">
        <f>IF($R42="","",IF(INDEX(Calc!$BB$2:$BB$2001,$R42)="","",INDEX(Calc!$BB$2:$BB$2001,$R42)))</f>
        <v/>
      </c>
      <c r="N42" s="73">
        <f>IF($R42="","",IF(INDEX(Calc!$BC$2:$BC$2001,$R42)="","",INDEX(Calc!$BC$2:$BC$2001,$R42)))</f>
        <v/>
      </c>
      <c r="O42" s="73">
        <f>IF($R42="","",IF(INDEX(Calc!$BD$2:$BD$2001,$R42)="","",INDEX(Calc!$BD$2:$BD$2001,$R42)))</f>
        <v/>
      </c>
      <c r="P42" s="86">
        <f>IF(R42="","",HYPERLINK("#'"&amp;IF(INDEX(Calc!$AS$2:$AS$2001,R42)="R","Recurring Log","Variable Tasks")&amp;"'!J"&amp;INDEX(Calc!$AT$2:$AT$2001,R42),"✎ edit"))</f>
        <v/>
      </c>
      <c r="R42">
        <f>IFERROR(MATCH(SMALL(Calc!$BK$2:$BK$2001,33),Calc!$BK$2:$BK$2001,0),"")</f>
        <v/>
      </c>
    </row>
    <row r="43">
      <c r="B43" s="36">
        <f>IF(R43="","",34)</f>
        <v/>
      </c>
      <c r="C43" s="37">
        <f>IF($R43="","",IF(INDEX(Calc!$AU$2:$AU$2001,$R43)="","",INDEX(Calc!$AU$2:$AU$2001,$R43)))</f>
        <v/>
      </c>
      <c r="D43" s="36">
        <f>IF($R43="","",IF(INDEX(Calc!$AV$2:$AV$2001,$R43)="","",INDEX(Calc!$AV$2:$AV$2001,$R43)))</f>
        <v/>
      </c>
      <c r="E43" s="38">
        <f>IF($R43="","",IF(INDEX(Calc!$AW$2:$AW$2001,$R43)="","",INDEX(Calc!$AW$2:$AW$2001,$R43)))</f>
        <v/>
      </c>
      <c r="F43" s="68">
        <f>IF(OR(C43="",E43=""),"",E43-Setup!$D$7)</f>
        <v/>
      </c>
      <c r="G43" s="74">
        <f>IF($R43="","",IF(INDEX(Calc!$AX$2:$AX$2001,$R43)="","",INDEX(Calc!$AX$2:$AX$2001,$R43)))</f>
        <v/>
      </c>
      <c r="H43" s="74">
        <f>IF($R43="","",IF(INDEX(Calc!$AY$2:$AY$2001,$R43)="","",INDEX(Calc!$AY$2:$AY$2001,$R43)))</f>
        <v/>
      </c>
      <c r="I43" s="36">
        <f>IF(OR(G43="",H43=""),"",TRIM(IF(HOUR(H43-G43)&gt;0,HOUR(H43-G43)&amp;" hr ","")&amp;IF(MINUTE(H43-G43)&gt;0,MINUTE(H43-G43)&amp;" min","")))</f>
        <v/>
      </c>
      <c r="J43" s="36">
        <f>IF($R43="","",IF(INDEX(Calc!$AZ$2:$AZ$2001,$R43)="","",INDEX(Calc!$AZ$2:$AZ$2001,$R43)))</f>
        <v/>
      </c>
      <c r="K43" s="87">
        <f>IF($R43="","",IF(INDEX(Calc!$BE$2:$BE$2001,$R43)="","",INDEX(Calc!$BE$2:$BE$2001,$R43)))</f>
        <v/>
      </c>
      <c r="L43" s="36">
        <f>IF($R43="","",IF(INDEX(Calc!$BA$2:$BA$2001,$R43)="","",INDEX(Calc!$BA$2:$BA$2001,$R43)))</f>
        <v/>
      </c>
      <c r="M43" s="36">
        <f>IF($R43="","",IF(INDEX(Calc!$BB$2:$BB$2001,$R43)="","",INDEX(Calc!$BB$2:$BB$2001,$R43)))</f>
        <v/>
      </c>
      <c r="N43" s="36">
        <f>IF($R43="","",IF(INDEX(Calc!$BC$2:$BC$2001,$R43)="","",INDEX(Calc!$BC$2:$BC$2001,$R43)))</f>
        <v/>
      </c>
      <c r="O43" s="36">
        <f>IF($R43="","",IF(INDEX(Calc!$BD$2:$BD$2001,$R43)="","",INDEX(Calc!$BD$2:$BD$2001,$R43)))</f>
        <v/>
      </c>
      <c r="P43" s="88">
        <f>IF(R43="","",HYPERLINK("#'"&amp;IF(INDEX(Calc!$AS$2:$AS$2001,R43)="R","Recurring Log","Variable Tasks")&amp;"'!J"&amp;INDEX(Calc!$AT$2:$AT$2001,R43),"✎ edit"))</f>
        <v/>
      </c>
      <c r="R43">
        <f>IFERROR(MATCH(SMALL(Calc!$BK$2:$BK$2001,34),Calc!$BK$2:$BK$2001,0),"")</f>
        <v/>
      </c>
    </row>
    <row r="44">
      <c r="B44" s="73">
        <f>IF(R44="","",35)</f>
        <v/>
      </c>
      <c r="C44" s="75">
        <f>IF($R44="","",IF(INDEX(Calc!$AU$2:$AU$2001,$R44)="","",INDEX(Calc!$AU$2:$AU$2001,$R44)))</f>
        <v/>
      </c>
      <c r="D44" s="73">
        <f>IF($R44="","",IF(INDEX(Calc!$AV$2:$AV$2001,$R44)="","",INDEX(Calc!$AV$2:$AV$2001,$R44)))</f>
        <v/>
      </c>
      <c r="E44" s="76">
        <f>IF($R44="","",IF(INDEX(Calc!$AW$2:$AW$2001,$R44)="","",INDEX(Calc!$AW$2:$AW$2001,$R44)))</f>
        <v/>
      </c>
      <c r="F44" s="72">
        <f>IF(OR(C44="",E44=""),"",E44-Setup!$D$7)</f>
        <v/>
      </c>
      <c r="G44" s="77">
        <f>IF($R44="","",IF(INDEX(Calc!$AX$2:$AX$2001,$R44)="","",INDEX(Calc!$AX$2:$AX$2001,$R44)))</f>
        <v/>
      </c>
      <c r="H44" s="77">
        <f>IF($R44="","",IF(INDEX(Calc!$AY$2:$AY$2001,$R44)="","",INDEX(Calc!$AY$2:$AY$2001,$R44)))</f>
        <v/>
      </c>
      <c r="I44" s="73">
        <f>IF(OR(G44="",H44=""),"",TRIM(IF(HOUR(H44-G44)&gt;0,HOUR(H44-G44)&amp;" hr ","")&amp;IF(MINUTE(H44-G44)&gt;0,MINUTE(H44-G44)&amp;" min","")))</f>
        <v/>
      </c>
      <c r="J44" s="73">
        <f>IF($R44="","",IF(INDEX(Calc!$AZ$2:$AZ$2001,$R44)="","",INDEX(Calc!$AZ$2:$AZ$2001,$R44)))</f>
        <v/>
      </c>
      <c r="K44" s="85">
        <f>IF($R44="","",IF(INDEX(Calc!$BE$2:$BE$2001,$R44)="","",INDEX(Calc!$BE$2:$BE$2001,$R44)))</f>
        <v/>
      </c>
      <c r="L44" s="73">
        <f>IF($R44="","",IF(INDEX(Calc!$BA$2:$BA$2001,$R44)="","",INDEX(Calc!$BA$2:$BA$2001,$R44)))</f>
        <v/>
      </c>
      <c r="M44" s="73">
        <f>IF($R44="","",IF(INDEX(Calc!$BB$2:$BB$2001,$R44)="","",INDEX(Calc!$BB$2:$BB$2001,$R44)))</f>
        <v/>
      </c>
      <c r="N44" s="73">
        <f>IF($R44="","",IF(INDEX(Calc!$BC$2:$BC$2001,$R44)="","",INDEX(Calc!$BC$2:$BC$2001,$R44)))</f>
        <v/>
      </c>
      <c r="O44" s="73">
        <f>IF($R44="","",IF(INDEX(Calc!$BD$2:$BD$2001,$R44)="","",INDEX(Calc!$BD$2:$BD$2001,$R44)))</f>
        <v/>
      </c>
      <c r="P44" s="86">
        <f>IF(R44="","",HYPERLINK("#'"&amp;IF(INDEX(Calc!$AS$2:$AS$2001,R44)="R","Recurring Log","Variable Tasks")&amp;"'!J"&amp;INDEX(Calc!$AT$2:$AT$2001,R44),"✎ edit"))</f>
        <v/>
      </c>
      <c r="R44">
        <f>IFERROR(MATCH(SMALL(Calc!$BK$2:$BK$2001,35),Calc!$BK$2:$BK$2001,0),"")</f>
        <v/>
      </c>
    </row>
    <row r="45">
      <c r="B45" s="36">
        <f>IF(R45="","",36)</f>
        <v/>
      </c>
      <c r="C45" s="37">
        <f>IF($R45="","",IF(INDEX(Calc!$AU$2:$AU$2001,$R45)="","",INDEX(Calc!$AU$2:$AU$2001,$R45)))</f>
        <v/>
      </c>
      <c r="D45" s="36">
        <f>IF($R45="","",IF(INDEX(Calc!$AV$2:$AV$2001,$R45)="","",INDEX(Calc!$AV$2:$AV$2001,$R45)))</f>
        <v/>
      </c>
      <c r="E45" s="38">
        <f>IF($R45="","",IF(INDEX(Calc!$AW$2:$AW$2001,$R45)="","",INDEX(Calc!$AW$2:$AW$2001,$R45)))</f>
        <v/>
      </c>
      <c r="F45" s="68">
        <f>IF(OR(C45="",E45=""),"",E45-Setup!$D$7)</f>
        <v/>
      </c>
      <c r="G45" s="74">
        <f>IF($R45="","",IF(INDEX(Calc!$AX$2:$AX$2001,$R45)="","",INDEX(Calc!$AX$2:$AX$2001,$R45)))</f>
        <v/>
      </c>
      <c r="H45" s="74">
        <f>IF($R45="","",IF(INDEX(Calc!$AY$2:$AY$2001,$R45)="","",INDEX(Calc!$AY$2:$AY$2001,$R45)))</f>
        <v/>
      </c>
      <c r="I45" s="36">
        <f>IF(OR(G45="",H45=""),"",TRIM(IF(HOUR(H45-G45)&gt;0,HOUR(H45-G45)&amp;" hr ","")&amp;IF(MINUTE(H45-G45)&gt;0,MINUTE(H45-G45)&amp;" min","")))</f>
        <v/>
      </c>
      <c r="J45" s="36">
        <f>IF($R45="","",IF(INDEX(Calc!$AZ$2:$AZ$2001,$R45)="","",INDEX(Calc!$AZ$2:$AZ$2001,$R45)))</f>
        <v/>
      </c>
      <c r="K45" s="87">
        <f>IF($R45="","",IF(INDEX(Calc!$BE$2:$BE$2001,$R45)="","",INDEX(Calc!$BE$2:$BE$2001,$R45)))</f>
        <v/>
      </c>
      <c r="L45" s="36">
        <f>IF($R45="","",IF(INDEX(Calc!$BA$2:$BA$2001,$R45)="","",INDEX(Calc!$BA$2:$BA$2001,$R45)))</f>
        <v/>
      </c>
      <c r="M45" s="36">
        <f>IF($R45="","",IF(INDEX(Calc!$BB$2:$BB$2001,$R45)="","",INDEX(Calc!$BB$2:$BB$2001,$R45)))</f>
        <v/>
      </c>
      <c r="N45" s="36">
        <f>IF($R45="","",IF(INDEX(Calc!$BC$2:$BC$2001,$R45)="","",INDEX(Calc!$BC$2:$BC$2001,$R45)))</f>
        <v/>
      </c>
      <c r="O45" s="36">
        <f>IF($R45="","",IF(INDEX(Calc!$BD$2:$BD$2001,$R45)="","",INDEX(Calc!$BD$2:$BD$2001,$R45)))</f>
        <v/>
      </c>
      <c r="P45" s="88">
        <f>IF(R45="","",HYPERLINK("#'"&amp;IF(INDEX(Calc!$AS$2:$AS$2001,R45)="R","Recurring Log","Variable Tasks")&amp;"'!J"&amp;INDEX(Calc!$AT$2:$AT$2001,R45),"✎ edit"))</f>
        <v/>
      </c>
      <c r="R45">
        <f>IFERROR(MATCH(SMALL(Calc!$BK$2:$BK$2001,36),Calc!$BK$2:$BK$2001,0),"")</f>
        <v/>
      </c>
    </row>
    <row r="46">
      <c r="B46" s="73">
        <f>IF(R46="","",37)</f>
        <v/>
      </c>
      <c r="C46" s="75">
        <f>IF($R46="","",IF(INDEX(Calc!$AU$2:$AU$2001,$R46)="","",INDEX(Calc!$AU$2:$AU$2001,$R46)))</f>
        <v/>
      </c>
      <c r="D46" s="73">
        <f>IF($R46="","",IF(INDEX(Calc!$AV$2:$AV$2001,$R46)="","",INDEX(Calc!$AV$2:$AV$2001,$R46)))</f>
        <v/>
      </c>
      <c r="E46" s="76">
        <f>IF($R46="","",IF(INDEX(Calc!$AW$2:$AW$2001,$R46)="","",INDEX(Calc!$AW$2:$AW$2001,$R46)))</f>
        <v/>
      </c>
      <c r="F46" s="72">
        <f>IF(OR(C46="",E46=""),"",E46-Setup!$D$7)</f>
        <v/>
      </c>
      <c r="G46" s="77">
        <f>IF($R46="","",IF(INDEX(Calc!$AX$2:$AX$2001,$R46)="","",INDEX(Calc!$AX$2:$AX$2001,$R46)))</f>
        <v/>
      </c>
      <c r="H46" s="77">
        <f>IF($R46="","",IF(INDEX(Calc!$AY$2:$AY$2001,$R46)="","",INDEX(Calc!$AY$2:$AY$2001,$R46)))</f>
        <v/>
      </c>
      <c r="I46" s="73">
        <f>IF(OR(G46="",H46=""),"",TRIM(IF(HOUR(H46-G46)&gt;0,HOUR(H46-G46)&amp;" hr ","")&amp;IF(MINUTE(H46-G46)&gt;0,MINUTE(H46-G46)&amp;" min","")))</f>
        <v/>
      </c>
      <c r="J46" s="73">
        <f>IF($R46="","",IF(INDEX(Calc!$AZ$2:$AZ$2001,$R46)="","",INDEX(Calc!$AZ$2:$AZ$2001,$R46)))</f>
        <v/>
      </c>
      <c r="K46" s="85">
        <f>IF($R46="","",IF(INDEX(Calc!$BE$2:$BE$2001,$R46)="","",INDEX(Calc!$BE$2:$BE$2001,$R46)))</f>
        <v/>
      </c>
      <c r="L46" s="73">
        <f>IF($R46="","",IF(INDEX(Calc!$BA$2:$BA$2001,$R46)="","",INDEX(Calc!$BA$2:$BA$2001,$R46)))</f>
        <v/>
      </c>
      <c r="M46" s="73">
        <f>IF($R46="","",IF(INDEX(Calc!$BB$2:$BB$2001,$R46)="","",INDEX(Calc!$BB$2:$BB$2001,$R46)))</f>
        <v/>
      </c>
      <c r="N46" s="73">
        <f>IF($R46="","",IF(INDEX(Calc!$BC$2:$BC$2001,$R46)="","",INDEX(Calc!$BC$2:$BC$2001,$R46)))</f>
        <v/>
      </c>
      <c r="O46" s="73">
        <f>IF($R46="","",IF(INDEX(Calc!$BD$2:$BD$2001,$R46)="","",INDEX(Calc!$BD$2:$BD$2001,$R46)))</f>
        <v/>
      </c>
      <c r="P46" s="86">
        <f>IF(R46="","",HYPERLINK("#'"&amp;IF(INDEX(Calc!$AS$2:$AS$2001,R46)="R","Recurring Log","Variable Tasks")&amp;"'!J"&amp;INDEX(Calc!$AT$2:$AT$2001,R46),"✎ edit"))</f>
        <v/>
      </c>
      <c r="R46">
        <f>IFERROR(MATCH(SMALL(Calc!$BK$2:$BK$2001,37),Calc!$BK$2:$BK$2001,0),"")</f>
        <v/>
      </c>
    </row>
    <row r="47">
      <c r="B47" s="36">
        <f>IF(R47="","",38)</f>
        <v/>
      </c>
      <c r="C47" s="37">
        <f>IF($R47="","",IF(INDEX(Calc!$AU$2:$AU$2001,$R47)="","",INDEX(Calc!$AU$2:$AU$2001,$R47)))</f>
        <v/>
      </c>
      <c r="D47" s="36">
        <f>IF($R47="","",IF(INDEX(Calc!$AV$2:$AV$2001,$R47)="","",INDEX(Calc!$AV$2:$AV$2001,$R47)))</f>
        <v/>
      </c>
      <c r="E47" s="38">
        <f>IF($R47="","",IF(INDEX(Calc!$AW$2:$AW$2001,$R47)="","",INDEX(Calc!$AW$2:$AW$2001,$R47)))</f>
        <v/>
      </c>
      <c r="F47" s="68">
        <f>IF(OR(C47="",E47=""),"",E47-Setup!$D$7)</f>
        <v/>
      </c>
      <c r="G47" s="74">
        <f>IF($R47="","",IF(INDEX(Calc!$AX$2:$AX$2001,$R47)="","",INDEX(Calc!$AX$2:$AX$2001,$R47)))</f>
        <v/>
      </c>
      <c r="H47" s="74">
        <f>IF($R47="","",IF(INDEX(Calc!$AY$2:$AY$2001,$R47)="","",INDEX(Calc!$AY$2:$AY$2001,$R47)))</f>
        <v/>
      </c>
      <c r="I47" s="36">
        <f>IF(OR(G47="",H47=""),"",TRIM(IF(HOUR(H47-G47)&gt;0,HOUR(H47-G47)&amp;" hr ","")&amp;IF(MINUTE(H47-G47)&gt;0,MINUTE(H47-G47)&amp;" min","")))</f>
        <v/>
      </c>
      <c r="J47" s="36">
        <f>IF($R47="","",IF(INDEX(Calc!$AZ$2:$AZ$2001,$R47)="","",INDEX(Calc!$AZ$2:$AZ$2001,$R47)))</f>
        <v/>
      </c>
      <c r="K47" s="87">
        <f>IF($R47="","",IF(INDEX(Calc!$BE$2:$BE$2001,$R47)="","",INDEX(Calc!$BE$2:$BE$2001,$R47)))</f>
        <v/>
      </c>
      <c r="L47" s="36">
        <f>IF($R47="","",IF(INDEX(Calc!$BA$2:$BA$2001,$R47)="","",INDEX(Calc!$BA$2:$BA$2001,$R47)))</f>
        <v/>
      </c>
      <c r="M47" s="36">
        <f>IF($R47="","",IF(INDEX(Calc!$BB$2:$BB$2001,$R47)="","",INDEX(Calc!$BB$2:$BB$2001,$R47)))</f>
        <v/>
      </c>
      <c r="N47" s="36">
        <f>IF($R47="","",IF(INDEX(Calc!$BC$2:$BC$2001,$R47)="","",INDEX(Calc!$BC$2:$BC$2001,$R47)))</f>
        <v/>
      </c>
      <c r="O47" s="36">
        <f>IF($R47="","",IF(INDEX(Calc!$BD$2:$BD$2001,$R47)="","",INDEX(Calc!$BD$2:$BD$2001,$R47)))</f>
        <v/>
      </c>
      <c r="P47" s="88">
        <f>IF(R47="","",HYPERLINK("#'"&amp;IF(INDEX(Calc!$AS$2:$AS$2001,R47)="R","Recurring Log","Variable Tasks")&amp;"'!J"&amp;INDEX(Calc!$AT$2:$AT$2001,R47),"✎ edit"))</f>
        <v/>
      </c>
      <c r="R47">
        <f>IFERROR(MATCH(SMALL(Calc!$BK$2:$BK$2001,38),Calc!$BK$2:$BK$2001,0),"")</f>
        <v/>
      </c>
    </row>
    <row r="48">
      <c r="B48" s="73">
        <f>IF(R48="","",39)</f>
        <v/>
      </c>
      <c r="C48" s="75">
        <f>IF($R48="","",IF(INDEX(Calc!$AU$2:$AU$2001,$R48)="","",INDEX(Calc!$AU$2:$AU$2001,$R48)))</f>
        <v/>
      </c>
      <c r="D48" s="73">
        <f>IF($R48="","",IF(INDEX(Calc!$AV$2:$AV$2001,$R48)="","",INDEX(Calc!$AV$2:$AV$2001,$R48)))</f>
        <v/>
      </c>
      <c r="E48" s="76">
        <f>IF($R48="","",IF(INDEX(Calc!$AW$2:$AW$2001,$R48)="","",INDEX(Calc!$AW$2:$AW$2001,$R48)))</f>
        <v/>
      </c>
      <c r="F48" s="72">
        <f>IF(OR(C48="",E48=""),"",E48-Setup!$D$7)</f>
        <v/>
      </c>
      <c r="G48" s="77">
        <f>IF($R48="","",IF(INDEX(Calc!$AX$2:$AX$2001,$R48)="","",INDEX(Calc!$AX$2:$AX$2001,$R48)))</f>
        <v/>
      </c>
      <c r="H48" s="77">
        <f>IF($R48="","",IF(INDEX(Calc!$AY$2:$AY$2001,$R48)="","",INDEX(Calc!$AY$2:$AY$2001,$R48)))</f>
        <v/>
      </c>
      <c r="I48" s="73">
        <f>IF(OR(G48="",H48=""),"",TRIM(IF(HOUR(H48-G48)&gt;0,HOUR(H48-G48)&amp;" hr ","")&amp;IF(MINUTE(H48-G48)&gt;0,MINUTE(H48-G48)&amp;" min","")))</f>
        <v/>
      </c>
      <c r="J48" s="73">
        <f>IF($R48="","",IF(INDEX(Calc!$AZ$2:$AZ$2001,$R48)="","",INDEX(Calc!$AZ$2:$AZ$2001,$R48)))</f>
        <v/>
      </c>
      <c r="K48" s="85">
        <f>IF($R48="","",IF(INDEX(Calc!$BE$2:$BE$2001,$R48)="","",INDEX(Calc!$BE$2:$BE$2001,$R48)))</f>
        <v/>
      </c>
      <c r="L48" s="73">
        <f>IF($R48="","",IF(INDEX(Calc!$BA$2:$BA$2001,$R48)="","",INDEX(Calc!$BA$2:$BA$2001,$R48)))</f>
        <v/>
      </c>
      <c r="M48" s="73">
        <f>IF($R48="","",IF(INDEX(Calc!$BB$2:$BB$2001,$R48)="","",INDEX(Calc!$BB$2:$BB$2001,$R48)))</f>
        <v/>
      </c>
      <c r="N48" s="73">
        <f>IF($R48="","",IF(INDEX(Calc!$BC$2:$BC$2001,$R48)="","",INDEX(Calc!$BC$2:$BC$2001,$R48)))</f>
        <v/>
      </c>
      <c r="O48" s="73">
        <f>IF($R48="","",IF(INDEX(Calc!$BD$2:$BD$2001,$R48)="","",INDEX(Calc!$BD$2:$BD$2001,$R48)))</f>
        <v/>
      </c>
      <c r="P48" s="86">
        <f>IF(R48="","",HYPERLINK("#'"&amp;IF(INDEX(Calc!$AS$2:$AS$2001,R48)="R","Recurring Log","Variable Tasks")&amp;"'!J"&amp;INDEX(Calc!$AT$2:$AT$2001,R48),"✎ edit"))</f>
        <v/>
      </c>
      <c r="R48">
        <f>IFERROR(MATCH(SMALL(Calc!$BK$2:$BK$2001,39),Calc!$BK$2:$BK$2001,0),"")</f>
        <v/>
      </c>
    </row>
    <row r="49">
      <c r="B49" s="36">
        <f>IF(R49="","",40)</f>
        <v/>
      </c>
      <c r="C49" s="37">
        <f>IF($R49="","",IF(INDEX(Calc!$AU$2:$AU$2001,$R49)="","",INDEX(Calc!$AU$2:$AU$2001,$R49)))</f>
        <v/>
      </c>
      <c r="D49" s="36">
        <f>IF($R49="","",IF(INDEX(Calc!$AV$2:$AV$2001,$R49)="","",INDEX(Calc!$AV$2:$AV$2001,$R49)))</f>
        <v/>
      </c>
      <c r="E49" s="38">
        <f>IF($R49="","",IF(INDEX(Calc!$AW$2:$AW$2001,$R49)="","",INDEX(Calc!$AW$2:$AW$2001,$R49)))</f>
        <v/>
      </c>
      <c r="F49" s="68">
        <f>IF(OR(C49="",E49=""),"",E49-Setup!$D$7)</f>
        <v/>
      </c>
      <c r="G49" s="74">
        <f>IF($R49="","",IF(INDEX(Calc!$AX$2:$AX$2001,$R49)="","",INDEX(Calc!$AX$2:$AX$2001,$R49)))</f>
        <v/>
      </c>
      <c r="H49" s="74">
        <f>IF($R49="","",IF(INDEX(Calc!$AY$2:$AY$2001,$R49)="","",INDEX(Calc!$AY$2:$AY$2001,$R49)))</f>
        <v/>
      </c>
      <c r="I49" s="36">
        <f>IF(OR(G49="",H49=""),"",TRIM(IF(HOUR(H49-G49)&gt;0,HOUR(H49-G49)&amp;" hr ","")&amp;IF(MINUTE(H49-G49)&gt;0,MINUTE(H49-G49)&amp;" min","")))</f>
        <v/>
      </c>
      <c r="J49" s="36">
        <f>IF($R49="","",IF(INDEX(Calc!$AZ$2:$AZ$2001,$R49)="","",INDEX(Calc!$AZ$2:$AZ$2001,$R49)))</f>
        <v/>
      </c>
      <c r="K49" s="87">
        <f>IF($R49="","",IF(INDEX(Calc!$BE$2:$BE$2001,$R49)="","",INDEX(Calc!$BE$2:$BE$2001,$R49)))</f>
        <v/>
      </c>
      <c r="L49" s="36">
        <f>IF($R49="","",IF(INDEX(Calc!$BA$2:$BA$2001,$R49)="","",INDEX(Calc!$BA$2:$BA$2001,$R49)))</f>
        <v/>
      </c>
      <c r="M49" s="36">
        <f>IF($R49="","",IF(INDEX(Calc!$BB$2:$BB$2001,$R49)="","",INDEX(Calc!$BB$2:$BB$2001,$R49)))</f>
        <v/>
      </c>
      <c r="N49" s="36">
        <f>IF($R49="","",IF(INDEX(Calc!$BC$2:$BC$2001,$R49)="","",INDEX(Calc!$BC$2:$BC$2001,$R49)))</f>
        <v/>
      </c>
      <c r="O49" s="36">
        <f>IF($R49="","",IF(INDEX(Calc!$BD$2:$BD$2001,$R49)="","",INDEX(Calc!$BD$2:$BD$2001,$R49)))</f>
        <v/>
      </c>
      <c r="P49" s="88">
        <f>IF(R49="","",HYPERLINK("#'"&amp;IF(INDEX(Calc!$AS$2:$AS$2001,R49)="R","Recurring Log","Variable Tasks")&amp;"'!J"&amp;INDEX(Calc!$AT$2:$AT$2001,R49),"✎ edit"))</f>
        <v/>
      </c>
      <c r="R49">
        <f>IFERROR(MATCH(SMALL(Calc!$BK$2:$BK$2001,40),Calc!$BK$2:$BK$2001,0),"")</f>
        <v/>
      </c>
    </row>
    <row r="50">
      <c r="B50" s="73">
        <f>IF(R50="","",41)</f>
        <v/>
      </c>
      <c r="C50" s="75">
        <f>IF($R50="","",IF(INDEX(Calc!$AU$2:$AU$2001,$R50)="","",INDEX(Calc!$AU$2:$AU$2001,$R50)))</f>
        <v/>
      </c>
      <c r="D50" s="73">
        <f>IF($R50="","",IF(INDEX(Calc!$AV$2:$AV$2001,$R50)="","",INDEX(Calc!$AV$2:$AV$2001,$R50)))</f>
        <v/>
      </c>
      <c r="E50" s="76">
        <f>IF($R50="","",IF(INDEX(Calc!$AW$2:$AW$2001,$R50)="","",INDEX(Calc!$AW$2:$AW$2001,$R50)))</f>
        <v/>
      </c>
      <c r="F50" s="72">
        <f>IF(OR(C50="",E50=""),"",E50-Setup!$D$7)</f>
        <v/>
      </c>
      <c r="G50" s="77">
        <f>IF($R50="","",IF(INDEX(Calc!$AX$2:$AX$2001,$R50)="","",INDEX(Calc!$AX$2:$AX$2001,$R50)))</f>
        <v/>
      </c>
      <c r="H50" s="77">
        <f>IF($R50="","",IF(INDEX(Calc!$AY$2:$AY$2001,$R50)="","",INDEX(Calc!$AY$2:$AY$2001,$R50)))</f>
        <v/>
      </c>
      <c r="I50" s="73">
        <f>IF(OR(G50="",H50=""),"",TRIM(IF(HOUR(H50-G50)&gt;0,HOUR(H50-G50)&amp;" hr ","")&amp;IF(MINUTE(H50-G50)&gt;0,MINUTE(H50-G50)&amp;" min","")))</f>
        <v/>
      </c>
      <c r="J50" s="73">
        <f>IF($R50="","",IF(INDEX(Calc!$AZ$2:$AZ$2001,$R50)="","",INDEX(Calc!$AZ$2:$AZ$2001,$R50)))</f>
        <v/>
      </c>
      <c r="K50" s="85">
        <f>IF($R50="","",IF(INDEX(Calc!$BE$2:$BE$2001,$R50)="","",INDEX(Calc!$BE$2:$BE$2001,$R50)))</f>
        <v/>
      </c>
      <c r="L50" s="73">
        <f>IF($R50="","",IF(INDEX(Calc!$BA$2:$BA$2001,$R50)="","",INDEX(Calc!$BA$2:$BA$2001,$R50)))</f>
        <v/>
      </c>
      <c r="M50" s="73">
        <f>IF($R50="","",IF(INDEX(Calc!$BB$2:$BB$2001,$R50)="","",INDEX(Calc!$BB$2:$BB$2001,$R50)))</f>
        <v/>
      </c>
      <c r="N50" s="73">
        <f>IF($R50="","",IF(INDEX(Calc!$BC$2:$BC$2001,$R50)="","",INDEX(Calc!$BC$2:$BC$2001,$R50)))</f>
        <v/>
      </c>
      <c r="O50" s="73">
        <f>IF($R50="","",IF(INDEX(Calc!$BD$2:$BD$2001,$R50)="","",INDEX(Calc!$BD$2:$BD$2001,$R50)))</f>
        <v/>
      </c>
      <c r="P50" s="86">
        <f>IF(R50="","",HYPERLINK("#'"&amp;IF(INDEX(Calc!$AS$2:$AS$2001,R50)="R","Recurring Log","Variable Tasks")&amp;"'!J"&amp;INDEX(Calc!$AT$2:$AT$2001,R50),"✎ edit"))</f>
        <v/>
      </c>
      <c r="R50">
        <f>IFERROR(MATCH(SMALL(Calc!$BK$2:$BK$2001,41),Calc!$BK$2:$BK$2001,0),"")</f>
        <v/>
      </c>
    </row>
    <row r="51">
      <c r="B51" s="36">
        <f>IF(R51="","",42)</f>
        <v/>
      </c>
      <c r="C51" s="37">
        <f>IF($R51="","",IF(INDEX(Calc!$AU$2:$AU$2001,$R51)="","",INDEX(Calc!$AU$2:$AU$2001,$R51)))</f>
        <v/>
      </c>
      <c r="D51" s="36">
        <f>IF($R51="","",IF(INDEX(Calc!$AV$2:$AV$2001,$R51)="","",INDEX(Calc!$AV$2:$AV$2001,$R51)))</f>
        <v/>
      </c>
      <c r="E51" s="38">
        <f>IF($R51="","",IF(INDEX(Calc!$AW$2:$AW$2001,$R51)="","",INDEX(Calc!$AW$2:$AW$2001,$R51)))</f>
        <v/>
      </c>
      <c r="F51" s="68">
        <f>IF(OR(C51="",E51=""),"",E51-Setup!$D$7)</f>
        <v/>
      </c>
      <c r="G51" s="74">
        <f>IF($R51="","",IF(INDEX(Calc!$AX$2:$AX$2001,$R51)="","",INDEX(Calc!$AX$2:$AX$2001,$R51)))</f>
        <v/>
      </c>
      <c r="H51" s="74">
        <f>IF($R51="","",IF(INDEX(Calc!$AY$2:$AY$2001,$R51)="","",INDEX(Calc!$AY$2:$AY$2001,$R51)))</f>
        <v/>
      </c>
      <c r="I51" s="36">
        <f>IF(OR(G51="",H51=""),"",TRIM(IF(HOUR(H51-G51)&gt;0,HOUR(H51-G51)&amp;" hr ","")&amp;IF(MINUTE(H51-G51)&gt;0,MINUTE(H51-G51)&amp;" min","")))</f>
        <v/>
      </c>
      <c r="J51" s="36">
        <f>IF($R51="","",IF(INDEX(Calc!$AZ$2:$AZ$2001,$R51)="","",INDEX(Calc!$AZ$2:$AZ$2001,$R51)))</f>
        <v/>
      </c>
      <c r="K51" s="87">
        <f>IF($R51="","",IF(INDEX(Calc!$BE$2:$BE$2001,$R51)="","",INDEX(Calc!$BE$2:$BE$2001,$R51)))</f>
        <v/>
      </c>
      <c r="L51" s="36">
        <f>IF($R51="","",IF(INDEX(Calc!$BA$2:$BA$2001,$R51)="","",INDEX(Calc!$BA$2:$BA$2001,$R51)))</f>
        <v/>
      </c>
      <c r="M51" s="36">
        <f>IF($R51="","",IF(INDEX(Calc!$BB$2:$BB$2001,$R51)="","",INDEX(Calc!$BB$2:$BB$2001,$R51)))</f>
        <v/>
      </c>
      <c r="N51" s="36">
        <f>IF($R51="","",IF(INDEX(Calc!$BC$2:$BC$2001,$R51)="","",INDEX(Calc!$BC$2:$BC$2001,$R51)))</f>
        <v/>
      </c>
      <c r="O51" s="36">
        <f>IF($R51="","",IF(INDEX(Calc!$BD$2:$BD$2001,$R51)="","",INDEX(Calc!$BD$2:$BD$2001,$R51)))</f>
        <v/>
      </c>
      <c r="P51" s="88">
        <f>IF(R51="","",HYPERLINK("#'"&amp;IF(INDEX(Calc!$AS$2:$AS$2001,R51)="R","Recurring Log","Variable Tasks")&amp;"'!J"&amp;INDEX(Calc!$AT$2:$AT$2001,R51),"✎ edit"))</f>
        <v/>
      </c>
      <c r="R51">
        <f>IFERROR(MATCH(SMALL(Calc!$BK$2:$BK$2001,42),Calc!$BK$2:$BK$2001,0),"")</f>
        <v/>
      </c>
    </row>
    <row r="52">
      <c r="B52" s="73">
        <f>IF(R52="","",43)</f>
        <v/>
      </c>
      <c r="C52" s="75">
        <f>IF($R52="","",IF(INDEX(Calc!$AU$2:$AU$2001,$R52)="","",INDEX(Calc!$AU$2:$AU$2001,$R52)))</f>
        <v/>
      </c>
      <c r="D52" s="73">
        <f>IF($R52="","",IF(INDEX(Calc!$AV$2:$AV$2001,$R52)="","",INDEX(Calc!$AV$2:$AV$2001,$R52)))</f>
        <v/>
      </c>
      <c r="E52" s="76">
        <f>IF($R52="","",IF(INDEX(Calc!$AW$2:$AW$2001,$R52)="","",INDEX(Calc!$AW$2:$AW$2001,$R52)))</f>
        <v/>
      </c>
      <c r="F52" s="72">
        <f>IF(OR(C52="",E52=""),"",E52-Setup!$D$7)</f>
        <v/>
      </c>
      <c r="G52" s="77">
        <f>IF($R52="","",IF(INDEX(Calc!$AX$2:$AX$2001,$R52)="","",INDEX(Calc!$AX$2:$AX$2001,$R52)))</f>
        <v/>
      </c>
      <c r="H52" s="77">
        <f>IF($R52="","",IF(INDEX(Calc!$AY$2:$AY$2001,$R52)="","",INDEX(Calc!$AY$2:$AY$2001,$R52)))</f>
        <v/>
      </c>
      <c r="I52" s="73">
        <f>IF(OR(G52="",H52=""),"",TRIM(IF(HOUR(H52-G52)&gt;0,HOUR(H52-G52)&amp;" hr ","")&amp;IF(MINUTE(H52-G52)&gt;0,MINUTE(H52-G52)&amp;" min","")))</f>
        <v/>
      </c>
      <c r="J52" s="73">
        <f>IF($R52="","",IF(INDEX(Calc!$AZ$2:$AZ$2001,$R52)="","",INDEX(Calc!$AZ$2:$AZ$2001,$R52)))</f>
        <v/>
      </c>
      <c r="K52" s="85">
        <f>IF($R52="","",IF(INDEX(Calc!$BE$2:$BE$2001,$R52)="","",INDEX(Calc!$BE$2:$BE$2001,$R52)))</f>
        <v/>
      </c>
      <c r="L52" s="73">
        <f>IF($R52="","",IF(INDEX(Calc!$BA$2:$BA$2001,$R52)="","",INDEX(Calc!$BA$2:$BA$2001,$R52)))</f>
        <v/>
      </c>
      <c r="M52" s="73">
        <f>IF($R52="","",IF(INDEX(Calc!$BB$2:$BB$2001,$R52)="","",INDEX(Calc!$BB$2:$BB$2001,$R52)))</f>
        <v/>
      </c>
      <c r="N52" s="73">
        <f>IF($R52="","",IF(INDEX(Calc!$BC$2:$BC$2001,$R52)="","",INDEX(Calc!$BC$2:$BC$2001,$R52)))</f>
        <v/>
      </c>
      <c r="O52" s="73">
        <f>IF($R52="","",IF(INDEX(Calc!$BD$2:$BD$2001,$R52)="","",INDEX(Calc!$BD$2:$BD$2001,$R52)))</f>
        <v/>
      </c>
      <c r="P52" s="86">
        <f>IF(R52="","",HYPERLINK("#'"&amp;IF(INDEX(Calc!$AS$2:$AS$2001,R52)="R","Recurring Log","Variable Tasks")&amp;"'!J"&amp;INDEX(Calc!$AT$2:$AT$2001,R52),"✎ edit"))</f>
        <v/>
      </c>
      <c r="R52">
        <f>IFERROR(MATCH(SMALL(Calc!$BK$2:$BK$2001,43),Calc!$BK$2:$BK$2001,0),"")</f>
        <v/>
      </c>
    </row>
    <row r="53">
      <c r="B53" s="36">
        <f>IF(R53="","",44)</f>
        <v/>
      </c>
      <c r="C53" s="37">
        <f>IF($R53="","",IF(INDEX(Calc!$AU$2:$AU$2001,$R53)="","",INDEX(Calc!$AU$2:$AU$2001,$R53)))</f>
        <v/>
      </c>
      <c r="D53" s="36">
        <f>IF($R53="","",IF(INDEX(Calc!$AV$2:$AV$2001,$R53)="","",INDEX(Calc!$AV$2:$AV$2001,$R53)))</f>
        <v/>
      </c>
      <c r="E53" s="38">
        <f>IF($R53="","",IF(INDEX(Calc!$AW$2:$AW$2001,$R53)="","",INDEX(Calc!$AW$2:$AW$2001,$R53)))</f>
        <v/>
      </c>
      <c r="F53" s="68">
        <f>IF(OR(C53="",E53=""),"",E53-Setup!$D$7)</f>
        <v/>
      </c>
      <c r="G53" s="74">
        <f>IF($R53="","",IF(INDEX(Calc!$AX$2:$AX$2001,$R53)="","",INDEX(Calc!$AX$2:$AX$2001,$R53)))</f>
        <v/>
      </c>
      <c r="H53" s="74">
        <f>IF($R53="","",IF(INDEX(Calc!$AY$2:$AY$2001,$R53)="","",INDEX(Calc!$AY$2:$AY$2001,$R53)))</f>
        <v/>
      </c>
      <c r="I53" s="36">
        <f>IF(OR(G53="",H53=""),"",TRIM(IF(HOUR(H53-G53)&gt;0,HOUR(H53-G53)&amp;" hr ","")&amp;IF(MINUTE(H53-G53)&gt;0,MINUTE(H53-G53)&amp;" min","")))</f>
        <v/>
      </c>
      <c r="J53" s="36">
        <f>IF($R53="","",IF(INDEX(Calc!$AZ$2:$AZ$2001,$R53)="","",INDEX(Calc!$AZ$2:$AZ$2001,$R53)))</f>
        <v/>
      </c>
      <c r="K53" s="87">
        <f>IF($R53="","",IF(INDEX(Calc!$BE$2:$BE$2001,$R53)="","",INDEX(Calc!$BE$2:$BE$2001,$R53)))</f>
        <v/>
      </c>
      <c r="L53" s="36">
        <f>IF($R53="","",IF(INDEX(Calc!$BA$2:$BA$2001,$R53)="","",INDEX(Calc!$BA$2:$BA$2001,$R53)))</f>
        <v/>
      </c>
      <c r="M53" s="36">
        <f>IF($R53="","",IF(INDEX(Calc!$BB$2:$BB$2001,$R53)="","",INDEX(Calc!$BB$2:$BB$2001,$R53)))</f>
        <v/>
      </c>
      <c r="N53" s="36">
        <f>IF($R53="","",IF(INDEX(Calc!$BC$2:$BC$2001,$R53)="","",INDEX(Calc!$BC$2:$BC$2001,$R53)))</f>
        <v/>
      </c>
      <c r="O53" s="36">
        <f>IF($R53="","",IF(INDEX(Calc!$BD$2:$BD$2001,$R53)="","",INDEX(Calc!$BD$2:$BD$2001,$R53)))</f>
        <v/>
      </c>
      <c r="P53" s="88">
        <f>IF(R53="","",HYPERLINK("#'"&amp;IF(INDEX(Calc!$AS$2:$AS$2001,R53)="R","Recurring Log","Variable Tasks")&amp;"'!J"&amp;INDEX(Calc!$AT$2:$AT$2001,R53),"✎ edit"))</f>
        <v/>
      </c>
      <c r="R53">
        <f>IFERROR(MATCH(SMALL(Calc!$BK$2:$BK$2001,44),Calc!$BK$2:$BK$2001,0),"")</f>
        <v/>
      </c>
    </row>
    <row r="54">
      <c r="B54" s="73">
        <f>IF(R54="","",45)</f>
        <v/>
      </c>
      <c r="C54" s="75">
        <f>IF($R54="","",IF(INDEX(Calc!$AU$2:$AU$2001,$R54)="","",INDEX(Calc!$AU$2:$AU$2001,$R54)))</f>
        <v/>
      </c>
      <c r="D54" s="73">
        <f>IF($R54="","",IF(INDEX(Calc!$AV$2:$AV$2001,$R54)="","",INDEX(Calc!$AV$2:$AV$2001,$R54)))</f>
        <v/>
      </c>
      <c r="E54" s="76">
        <f>IF($R54="","",IF(INDEX(Calc!$AW$2:$AW$2001,$R54)="","",INDEX(Calc!$AW$2:$AW$2001,$R54)))</f>
        <v/>
      </c>
      <c r="F54" s="72">
        <f>IF(OR(C54="",E54=""),"",E54-Setup!$D$7)</f>
        <v/>
      </c>
      <c r="G54" s="77">
        <f>IF($R54="","",IF(INDEX(Calc!$AX$2:$AX$2001,$R54)="","",INDEX(Calc!$AX$2:$AX$2001,$R54)))</f>
        <v/>
      </c>
      <c r="H54" s="77">
        <f>IF($R54="","",IF(INDEX(Calc!$AY$2:$AY$2001,$R54)="","",INDEX(Calc!$AY$2:$AY$2001,$R54)))</f>
        <v/>
      </c>
      <c r="I54" s="73">
        <f>IF(OR(G54="",H54=""),"",TRIM(IF(HOUR(H54-G54)&gt;0,HOUR(H54-G54)&amp;" hr ","")&amp;IF(MINUTE(H54-G54)&gt;0,MINUTE(H54-G54)&amp;" min","")))</f>
        <v/>
      </c>
      <c r="J54" s="73">
        <f>IF($R54="","",IF(INDEX(Calc!$AZ$2:$AZ$2001,$R54)="","",INDEX(Calc!$AZ$2:$AZ$2001,$R54)))</f>
        <v/>
      </c>
      <c r="K54" s="85">
        <f>IF($R54="","",IF(INDEX(Calc!$BE$2:$BE$2001,$R54)="","",INDEX(Calc!$BE$2:$BE$2001,$R54)))</f>
        <v/>
      </c>
      <c r="L54" s="73">
        <f>IF($R54="","",IF(INDEX(Calc!$BA$2:$BA$2001,$R54)="","",INDEX(Calc!$BA$2:$BA$2001,$R54)))</f>
        <v/>
      </c>
      <c r="M54" s="73">
        <f>IF($R54="","",IF(INDEX(Calc!$BB$2:$BB$2001,$R54)="","",INDEX(Calc!$BB$2:$BB$2001,$R54)))</f>
        <v/>
      </c>
      <c r="N54" s="73">
        <f>IF($R54="","",IF(INDEX(Calc!$BC$2:$BC$2001,$R54)="","",INDEX(Calc!$BC$2:$BC$2001,$R54)))</f>
        <v/>
      </c>
      <c r="O54" s="73">
        <f>IF($R54="","",IF(INDEX(Calc!$BD$2:$BD$2001,$R54)="","",INDEX(Calc!$BD$2:$BD$2001,$R54)))</f>
        <v/>
      </c>
      <c r="P54" s="86">
        <f>IF(R54="","",HYPERLINK("#'"&amp;IF(INDEX(Calc!$AS$2:$AS$2001,R54)="R","Recurring Log","Variable Tasks")&amp;"'!J"&amp;INDEX(Calc!$AT$2:$AT$2001,R54),"✎ edit"))</f>
        <v/>
      </c>
      <c r="R54">
        <f>IFERROR(MATCH(SMALL(Calc!$BK$2:$BK$2001,45),Calc!$BK$2:$BK$2001,0),"")</f>
        <v/>
      </c>
    </row>
    <row r="55">
      <c r="B55" s="36">
        <f>IF(R55="","",46)</f>
        <v/>
      </c>
      <c r="C55" s="37">
        <f>IF($R55="","",IF(INDEX(Calc!$AU$2:$AU$2001,$R55)="","",INDEX(Calc!$AU$2:$AU$2001,$R55)))</f>
        <v/>
      </c>
      <c r="D55" s="36">
        <f>IF($R55="","",IF(INDEX(Calc!$AV$2:$AV$2001,$R55)="","",INDEX(Calc!$AV$2:$AV$2001,$R55)))</f>
        <v/>
      </c>
      <c r="E55" s="38">
        <f>IF($R55="","",IF(INDEX(Calc!$AW$2:$AW$2001,$R55)="","",INDEX(Calc!$AW$2:$AW$2001,$R55)))</f>
        <v/>
      </c>
      <c r="F55" s="68">
        <f>IF(OR(C55="",E55=""),"",E55-Setup!$D$7)</f>
        <v/>
      </c>
      <c r="G55" s="74">
        <f>IF($R55="","",IF(INDEX(Calc!$AX$2:$AX$2001,$R55)="","",INDEX(Calc!$AX$2:$AX$2001,$R55)))</f>
        <v/>
      </c>
      <c r="H55" s="74">
        <f>IF($R55="","",IF(INDEX(Calc!$AY$2:$AY$2001,$R55)="","",INDEX(Calc!$AY$2:$AY$2001,$R55)))</f>
        <v/>
      </c>
      <c r="I55" s="36">
        <f>IF(OR(G55="",H55=""),"",TRIM(IF(HOUR(H55-G55)&gt;0,HOUR(H55-G55)&amp;" hr ","")&amp;IF(MINUTE(H55-G55)&gt;0,MINUTE(H55-G55)&amp;" min","")))</f>
        <v/>
      </c>
      <c r="J55" s="36">
        <f>IF($R55="","",IF(INDEX(Calc!$AZ$2:$AZ$2001,$R55)="","",INDEX(Calc!$AZ$2:$AZ$2001,$R55)))</f>
        <v/>
      </c>
      <c r="K55" s="87">
        <f>IF($R55="","",IF(INDEX(Calc!$BE$2:$BE$2001,$R55)="","",INDEX(Calc!$BE$2:$BE$2001,$R55)))</f>
        <v/>
      </c>
      <c r="L55" s="36">
        <f>IF($R55="","",IF(INDEX(Calc!$BA$2:$BA$2001,$R55)="","",INDEX(Calc!$BA$2:$BA$2001,$R55)))</f>
        <v/>
      </c>
      <c r="M55" s="36">
        <f>IF($R55="","",IF(INDEX(Calc!$BB$2:$BB$2001,$R55)="","",INDEX(Calc!$BB$2:$BB$2001,$R55)))</f>
        <v/>
      </c>
      <c r="N55" s="36">
        <f>IF($R55="","",IF(INDEX(Calc!$BC$2:$BC$2001,$R55)="","",INDEX(Calc!$BC$2:$BC$2001,$R55)))</f>
        <v/>
      </c>
      <c r="O55" s="36">
        <f>IF($R55="","",IF(INDEX(Calc!$BD$2:$BD$2001,$R55)="","",INDEX(Calc!$BD$2:$BD$2001,$R55)))</f>
        <v/>
      </c>
      <c r="P55" s="88">
        <f>IF(R55="","",HYPERLINK("#'"&amp;IF(INDEX(Calc!$AS$2:$AS$2001,R55)="R","Recurring Log","Variable Tasks")&amp;"'!J"&amp;INDEX(Calc!$AT$2:$AT$2001,R55),"✎ edit"))</f>
        <v/>
      </c>
      <c r="R55">
        <f>IFERROR(MATCH(SMALL(Calc!$BK$2:$BK$2001,46),Calc!$BK$2:$BK$2001,0),"")</f>
        <v/>
      </c>
    </row>
    <row r="56">
      <c r="B56" s="73">
        <f>IF(R56="","",47)</f>
        <v/>
      </c>
      <c r="C56" s="75">
        <f>IF($R56="","",IF(INDEX(Calc!$AU$2:$AU$2001,$R56)="","",INDEX(Calc!$AU$2:$AU$2001,$R56)))</f>
        <v/>
      </c>
      <c r="D56" s="73">
        <f>IF($R56="","",IF(INDEX(Calc!$AV$2:$AV$2001,$R56)="","",INDEX(Calc!$AV$2:$AV$2001,$R56)))</f>
        <v/>
      </c>
      <c r="E56" s="76">
        <f>IF($R56="","",IF(INDEX(Calc!$AW$2:$AW$2001,$R56)="","",INDEX(Calc!$AW$2:$AW$2001,$R56)))</f>
        <v/>
      </c>
      <c r="F56" s="72">
        <f>IF(OR(C56="",E56=""),"",E56-Setup!$D$7)</f>
        <v/>
      </c>
      <c r="G56" s="77">
        <f>IF($R56="","",IF(INDEX(Calc!$AX$2:$AX$2001,$R56)="","",INDEX(Calc!$AX$2:$AX$2001,$R56)))</f>
        <v/>
      </c>
      <c r="H56" s="77">
        <f>IF($R56="","",IF(INDEX(Calc!$AY$2:$AY$2001,$R56)="","",INDEX(Calc!$AY$2:$AY$2001,$R56)))</f>
        <v/>
      </c>
      <c r="I56" s="73">
        <f>IF(OR(G56="",H56=""),"",TRIM(IF(HOUR(H56-G56)&gt;0,HOUR(H56-G56)&amp;" hr ","")&amp;IF(MINUTE(H56-G56)&gt;0,MINUTE(H56-G56)&amp;" min","")))</f>
        <v/>
      </c>
      <c r="J56" s="73">
        <f>IF($R56="","",IF(INDEX(Calc!$AZ$2:$AZ$2001,$R56)="","",INDEX(Calc!$AZ$2:$AZ$2001,$R56)))</f>
        <v/>
      </c>
      <c r="K56" s="85">
        <f>IF($R56="","",IF(INDEX(Calc!$BE$2:$BE$2001,$R56)="","",INDEX(Calc!$BE$2:$BE$2001,$R56)))</f>
        <v/>
      </c>
      <c r="L56" s="73">
        <f>IF($R56="","",IF(INDEX(Calc!$BA$2:$BA$2001,$R56)="","",INDEX(Calc!$BA$2:$BA$2001,$R56)))</f>
        <v/>
      </c>
      <c r="M56" s="73">
        <f>IF($R56="","",IF(INDEX(Calc!$BB$2:$BB$2001,$R56)="","",INDEX(Calc!$BB$2:$BB$2001,$R56)))</f>
        <v/>
      </c>
      <c r="N56" s="73">
        <f>IF($R56="","",IF(INDEX(Calc!$BC$2:$BC$2001,$R56)="","",INDEX(Calc!$BC$2:$BC$2001,$R56)))</f>
        <v/>
      </c>
      <c r="O56" s="73">
        <f>IF($R56="","",IF(INDEX(Calc!$BD$2:$BD$2001,$R56)="","",INDEX(Calc!$BD$2:$BD$2001,$R56)))</f>
        <v/>
      </c>
      <c r="P56" s="86">
        <f>IF(R56="","",HYPERLINK("#'"&amp;IF(INDEX(Calc!$AS$2:$AS$2001,R56)="R","Recurring Log","Variable Tasks")&amp;"'!J"&amp;INDEX(Calc!$AT$2:$AT$2001,R56),"✎ edit"))</f>
        <v/>
      </c>
      <c r="R56">
        <f>IFERROR(MATCH(SMALL(Calc!$BK$2:$BK$2001,47),Calc!$BK$2:$BK$2001,0),"")</f>
        <v/>
      </c>
    </row>
    <row r="57">
      <c r="B57" s="36">
        <f>IF(R57="","",48)</f>
        <v/>
      </c>
      <c r="C57" s="37">
        <f>IF($R57="","",IF(INDEX(Calc!$AU$2:$AU$2001,$R57)="","",INDEX(Calc!$AU$2:$AU$2001,$R57)))</f>
        <v/>
      </c>
      <c r="D57" s="36">
        <f>IF($R57="","",IF(INDEX(Calc!$AV$2:$AV$2001,$R57)="","",INDEX(Calc!$AV$2:$AV$2001,$R57)))</f>
        <v/>
      </c>
      <c r="E57" s="38">
        <f>IF($R57="","",IF(INDEX(Calc!$AW$2:$AW$2001,$R57)="","",INDEX(Calc!$AW$2:$AW$2001,$R57)))</f>
        <v/>
      </c>
      <c r="F57" s="68">
        <f>IF(OR(C57="",E57=""),"",E57-Setup!$D$7)</f>
        <v/>
      </c>
      <c r="G57" s="74">
        <f>IF($R57="","",IF(INDEX(Calc!$AX$2:$AX$2001,$R57)="","",INDEX(Calc!$AX$2:$AX$2001,$R57)))</f>
        <v/>
      </c>
      <c r="H57" s="74">
        <f>IF($R57="","",IF(INDEX(Calc!$AY$2:$AY$2001,$R57)="","",INDEX(Calc!$AY$2:$AY$2001,$R57)))</f>
        <v/>
      </c>
      <c r="I57" s="36">
        <f>IF(OR(G57="",H57=""),"",TRIM(IF(HOUR(H57-G57)&gt;0,HOUR(H57-G57)&amp;" hr ","")&amp;IF(MINUTE(H57-G57)&gt;0,MINUTE(H57-G57)&amp;" min","")))</f>
        <v/>
      </c>
      <c r="J57" s="36">
        <f>IF($R57="","",IF(INDEX(Calc!$AZ$2:$AZ$2001,$R57)="","",INDEX(Calc!$AZ$2:$AZ$2001,$R57)))</f>
        <v/>
      </c>
      <c r="K57" s="87">
        <f>IF($R57="","",IF(INDEX(Calc!$BE$2:$BE$2001,$R57)="","",INDEX(Calc!$BE$2:$BE$2001,$R57)))</f>
        <v/>
      </c>
      <c r="L57" s="36">
        <f>IF($R57="","",IF(INDEX(Calc!$BA$2:$BA$2001,$R57)="","",INDEX(Calc!$BA$2:$BA$2001,$R57)))</f>
        <v/>
      </c>
      <c r="M57" s="36">
        <f>IF($R57="","",IF(INDEX(Calc!$BB$2:$BB$2001,$R57)="","",INDEX(Calc!$BB$2:$BB$2001,$R57)))</f>
        <v/>
      </c>
      <c r="N57" s="36">
        <f>IF($R57="","",IF(INDEX(Calc!$BC$2:$BC$2001,$R57)="","",INDEX(Calc!$BC$2:$BC$2001,$R57)))</f>
        <v/>
      </c>
      <c r="O57" s="36">
        <f>IF($R57="","",IF(INDEX(Calc!$BD$2:$BD$2001,$R57)="","",INDEX(Calc!$BD$2:$BD$2001,$R57)))</f>
        <v/>
      </c>
      <c r="P57" s="88">
        <f>IF(R57="","",HYPERLINK("#'"&amp;IF(INDEX(Calc!$AS$2:$AS$2001,R57)="R","Recurring Log","Variable Tasks")&amp;"'!J"&amp;INDEX(Calc!$AT$2:$AT$2001,R57),"✎ edit"))</f>
        <v/>
      </c>
      <c r="R57">
        <f>IFERROR(MATCH(SMALL(Calc!$BK$2:$BK$2001,48),Calc!$BK$2:$BK$2001,0),"")</f>
        <v/>
      </c>
    </row>
    <row r="58">
      <c r="B58" s="73">
        <f>IF(R58="","",49)</f>
        <v/>
      </c>
      <c r="C58" s="75">
        <f>IF($R58="","",IF(INDEX(Calc!$AU$2:$AU$2001,$R58)="","",INDEX(Calc!$AU$2:$AU$2001,$R58)))</f>
        <v/>
      </c>
      <c r="D58" s="73">
        <f>IF($R58="","",IF(INDEX(Calc!$AV$2:$AV$2001,$R58)="","",INDEX(Calc!$AV$2:$AV$2001,$R58)))</f>
        <v/>
      </c>
      <c r="E58" s="76">
        <f>IF($R58="","",IF(INDEX(Calc!$AW$2:$AW$2001,$R58)="","",INDEX(Calc!$AW$2:$AW$2001,$R58)))</f>
        <v/>
      </c>
      <c r="F58" s="72">
        <f>IF(OR(C58="",E58=""),"",E58-Setup!$D$7)</f>
        <v/>
      </c>
      <c r="G58" s="77">
        <f>IF($R58="","",IF(INDEX(Calc!$AX$2:$AX$2001,$R58)="","",INDEX(Calc!$AX$2:$AX$2001,$R58)))</f>
        <v/>
      </c>
      <c r="H58" s="77">
        <f>IF($R58="","",IF(INDEX(Calc!$AY$2:$AY$2001,$R58)="","",INDEX(Calc!$AY$2:$AY$2001,$R58)))</f>
        <v/>
      </c>
      <c r="I58" s="73">
        <f>IF(OR(G58="",H58=""),"",TRIM(IF(HOUR(H58-G58)&gt;0,HOUR(H58-G58)&amp;" hr ","")&amp;IF(MINUTE(H58-G58)&gt;0,MINUTE(H58-G58)&amp;" min","")))</f>
        <v/>
      </c>
      <c r="J58" s="73">
        <f>IF($R58="","",IF(INDEX(Calc!$AZ$2:$AZ$2001,$R58)="","",INDEX(Calc!$AZ$2:$AZ$2001,$R58)))</f>
        <v/>
      </c>
      <c r="K58" s="85">
        <f>IF($R58="","",IF(INDEX(Calc!$BE$2:$BE$2001,$R58)="","",INDEX(Calc!$BE$2:$BE$2001,$R58)))</f>
        <v/>
      </c>
      <c r="L58" s="73">
        <f>IF($R58="","",IF(INDEX(Calc!$BA$2:$BA$2001,$R58)="","",INDEX(Calc!$BA$2:$BA$2001,$R58)))</f>
        <v/>
      </c>
      <c r="M58" s="73">
        <f>IF($R58="","",IF(INDEX(Calc!$BB$2:$BB$2001,$R58)="","",INDEX(Calc!$BB$2:$BB$2001,$R58)))</f>
        <v/>
      </c>
      <c r="N58" s="73">
        <f>IF($R58="","",IF(INDEX(Calc!$BC$2:$BC$2001,$R58)="","",INDEX(Calc!$BC$2:$BC$2001,$R58)))</f>
        <v/>
      </c>
      <c r="O58" s="73">
        <f>IF($R58="","",IF(INDEX(Calc!$BD$2:$BD$2001,$R58)="","",INDEX(Calc!$BD$2:$BD$2001,$R58)))</f>
        <v/>
      </c>
      <c r="P58" s="86">
        <f>IF(R58="","",HYPERLINK("#'"&amp;IF(INDEX(Calc!$AS$2:$AS$2001,R58)="R","Recurring Log","Variable Tasks")&amp;"'!J"&amp;INDEX(Calc!$AT$2:$AT$2001,R58),"✎ edit"))</f>
        <v/>
      </c>
      <c r="R58">
        <f>IFERROR(MATCH(SMALL(Calc!$BK$2:$BK$2001,49),Calc!$BK$2:$BK$2001,0),"")</f>
        <v/>
      </c>
    </row>
    <row r="59">
      <c r="B59" s="36">
        <f>IF(R59="","",50)</f>
        <v/>
      </c>
      <c r="C59" s="37">
        <f>IF($R59="","",IF(INDEX(Calc!$AU$2:$AU$2001,$R59)="","",INDEX(Calc!$AU$2:$AU$2001,$R59)))</f>
        <v/>
      </c>
      <c r="D59" s="36">
        <f>IF($R59="","",IF(INDEX(Calc!$AV$2:$AV$2001,$R59)="","",INDEX(Calc!$AV$2:$AV$2001,$R59)))</f>
        <v/>
      </c>
      <c r="E59" s="38">
        <f>IF($R59="","",IF(INDEX(Calc!$AW$2:$AW$2001,$R59)="","",INDEX(Calc!$AW$2:$AW$2001,$R59)))</f>
        <v/>
      </c>
      <c r="F59" s="68">
        <f>IF(OR(C59="",E59=""),"",E59-Setup!$D$7)</f>
        <v/>
      </c>
      <c r="G59" s="74">
        <f>IF($R59="","",IF(INDEX(Calc!$AX$2:$AX$2001,$R59)="","",INDEX(Calc!$AX$2:$AX$2001,$R59)))</f>
        <v/>
      </c>
      <c r="H59" s="74">
        <f>IF($R59="","",IF(INDEX(Calc!$AY$2:$AY$2001,$R59)="","",INDEX(Calc!$AY$2:$AY$2001,$R59)))</f>
        <v/>
      </c>
      <c r="I59" s="36">
        <f>IF(OR(G59="",H59=""),"",TRIM(IF(HOUR(H59-G59)&gt;0,HOUR(H59-G59)&amp;" hr ","")&amp;IF(MINUTE(H59-G59)&gt;0,MINUTE(H59-G59)&amp;" min","")))</f>
        <v/>
      </c>
      <c r="J59" s="36">
        <f>IF($R59="","",IF(INDEX(Calc!$AZ$2:$AZ$2001,$R59)="","",INDEX(Calc!$AZ$2:$AZ$2001,$R59)))</f>
        <v/>
      </c>
      <c r="K59" s="87">
        <f>IF($R59="","",IF(INDEX(Calc!$BE$2:$BE$2001,$R59)="","",INDEX(Calc!$BE$2:$BE$2001,$R59)))</f>
        <v/>
      </c>
      <c r="L59" s="36">
        <f>IF($R59="","",IF(INDEX(Calc!$BA$2:$BA$2001,$R59)="","",INDEX(Calc!$BA$2:$BA$2001,$R59)))</f>
        <v/>
      </c>
      <c r="M59" s="36">
        <f>IF($R59="","",IF(INDEX(Calc!$BB$2:$BB$2001,$R59)="","",INDEX(Calc!$BB$2:$BB$2001,$R59)))</f>
        <v/>
      </c>
      <c r="N59" s="36">
        <f>IF($R59="","",IF(INDEX(Calc!$BC$2:$BC$2001,$R59)="","",INDEX(Calc!$BC$2:$BC$2001,$R59)))</f>
        <v/>
      </c>
      <c r="O59" s="36">
        <f>IF($R59="","",IF(INDEX(Calc!$BD$2:$BD$2001,$R59)="","",INDEX(Calc!$BD$2:$BD$2001,$R59)))</f>
        <v/>
      </c>
      <c r="P59" s="88">
        <f>IF(R59="","",HYPERLINK("#'"&amp;IF(INDEX(Calc!$AS$2:$AS$2001,R59)="R","Recurring Log","Variable Tasks")&amp;"'!J"&amp;INDEX(Calc!$AT$2:$AT$2001,R59),"✎ edit"))</f>
        <v/>
      </c>
      <c r="R59">
        <f>IFERROR(MATCH(SMALL(Calc!$BK$2:$BK$2001,50),Calc!$BK$2:$BK$2001,0),"")</f>
        <v/>
      </c>
    </row>
    <row r="60">
      <c r="B60" s="73">
        <f>IF(R60="","",51)</f>
        <v/>
      </c>
      <c r="C60" s="75">
        <f>IF($R60="","",IF(INDEX(Calc!$AU$2:$AU$2001,$R60)="","",INDEX(Calc!$AU$2:$AU$2001,$R60)))</f>
        <v/>
      </c>
      <c r="D60" s="73">
        <f>IF($R60="","",IF(INDEX(Calc!$AV$2:$AV$2001,$R60)="","",INDEX(Calc!$AV$2:$AV$2001,$R60)))</f>
        <v/>
      </c>
      <c r="E60" s="76">
        <f>IF($R60="","",IF(INDEX(Calc!$AW$2:$AW$2001,$R60)="","",INDEX(Calc!$AW$2:$AW$2001,$R60)))</f>
        <v/>
      </c>
      <c r="F60" s="72">
        <f>IF(OR(C60="",E60=""),"",E60-Setup!$D$7)</f>
        <v/>
      </c>
      <c r="G60" s="77">
        <f>IF($R60="","",IF(INDEX(Calc!$AX$2:$AX$2001,$R60)="","",INDEX(Calc!$AX$2:$AX$2001,$R60)))</f>
        <v/>
      </c>
      <c r="H60" s="77">
        <f>IF($R60="","",IF(INDEX(Calc!$AY$2:$AY$2001,$R60)="","",INDEX(Calc!$AY$2:$AY$2001,$R60)))</f>
        <v/>
      </c>
      <c r="I60" s="73">
        <f>IF(OR(G60="",H60=""),"",TRIM(IF(HOUR(H60-G60)&gt;0,HOUR(H60-G60)&amp;" hr ","")&amp;IF(MINUTE(H60-G60)&gt;0,MINUTE(H60-G60)&amp;" min","")))</f>
        <v/>
      </c>
      <c r="J60" s="73">
        <f>IF($R60="","",IF(INDEX(Calc!$AZ$2:$AZ$2001,$R60)="","",INDEX(Calc!$AZ$2:$AZ$2001,$R60)))</f>
        <v/>
      </c>
      <c r="K60" s="85">
        <f>IF($R60="","",IF(INDEX(Calc!$BE$2:$BE$2001,$R60)="","",INDEX(Calc!$BE$2:$BE$2001,$R60)))</f>
        <v/>
      </c>
      <c r="L60" s="73">
        <f>IF($R60="","",IF(INDEX(Calc!$BA$2:$BA$2001,$R60)="","",INDEX(Calc!$BA$2:$BA$2001,$R60)))</f>
        <v/>
      </c>
      <c r="M60" s="73">
        <f>IF($R60="","",IF(INDEX(Calc!$BB$2:$BB$2001,$R60)="","",INDEX(Calc!$BB$2:$BB$2001,$R60)))</f>
        <v/>
      </c>
      <c r="N60" s="73">
        <f>IF($R60="","",IF(INDEX(Calc!$BC$2:$BC$2001,$R60)="","",INDEX(Calc!$BC$2:$BC$2001,$R60)))</f>
        <v/>
      </c>
      <c r="O60" s="73">
        <f>IF($R60="","",IF(INDEX(Calc!$BD$2:$BD$2001,$R60)="","",INDEX(Calc!$BD$2:$BD$2001,$R60)))</f>
        <v/>
      </c>
      <c r="P60" s="86">
        <f>IF(R60="","",HYPERLINK("#'"&amp;IF(INDEX(Calc!$AS$2:$AS$2001,R60)="R","Recurring Log","Variable Tasks")&amp;"'!J"&amp;INDEX(Calc!$AT$2:$AT$2001,R60),"✎ edit"))</f>
        <v/>
      </c>
      <c r="R60">
        <f>IFERROR(MATCH(SMALL(Calc!$BK$2:$BK$2001,51),Calc!$BK$2:$BK$2001,0),"")</f>
        <v/>
      </c>
    </row>
    <row r="61">
      <c r="B61" s="36">
        <f>IF(R61="","",52)</f>
        <v/>
      </c>
      <c r="C61" s="37">
        <f>IF($R61="","",IF(INDEX(Calc!$AU$2:$AU$2001,$R61)="","",INDEX(Calc!$AU$2:$AU$2001,$R61)))</f>
        <v/>
      </c>
      <c r="D61" s="36">
        <f>IF($R61="","",IF(INDEX(Calc!$AV$2:$AV$2001,$R61)="","",INDEX(Calc!$AV$2:$AV$2001,$R61)))</f>
        <v/>
      </c>
      <c r="E61" s="38">
        <f>IF($R61="","",IF(INDEX(Calc!$AW$2:$AW$2001,$R61)="","",INDEX(Calc!$AW$2:$AW$2001,$R61)))</f>
        <v/>
      </c>
      <c r="F61" s="68">
        <f>IF(OR(C61="",E61=""),"",E61-Setup!$D$7)</f>
        <v/>
      </c>
      <c r="G61" s="74">
        <f>IF($R61="","",IF(INDEX(Calc!$AX$2:$AX$2001,$R61)="","",INDEX(Calc!$AX$2:$AX$2001,$R61)))</f>
        <v/>
      </c>
      <c r="H61" s="74">
        <f>IF($R61="","",IF(INDEX(Calc!$AY$2:$AY$2001,$R61)="","",INDEX(Calc!$AY$2:$AY$2001,$R61)))</f>
        <v/>
      </c>
      <c r="I61" s="36">
        <f>IF(OR(G61="",H61=""),"",TRIM(IF(HOUR(H61-G61)&gt;0,HOUR(H61-G61)&amp;" hr ","")&amp;IF(MINUTE(H61-G61)&gt;0,MINUTE(H61-G61)&amp;" min","")))</f>
        <v/>
      </c>
      <c r="J61" s="36">
        <f>IF($R61="","",IF(INDEX(Calc!$AZ$2:$AZ$2001,$R61)="","",INDEX(Calc!$AZ$2:$AZ$2001,$R61)))</f>
        <v/>
      </c>
      <c r="K61" s="87">
        <f>IF($R61="","",IF(INDEX(Calc!$BE$2:$BE$2001,$R61)="","",INDEX(Calc!$BE$2:$BE$2001,$R61)))</f>
        <v/>
      </c>
      <c r="L61" s="36">
        <f>IF($R61="","",IF(INDEX(Calc!$BA$2:$BA$2001,$R61)="","",INDEX(Calc!$BA$2:$BA$2001,$R61)))</f>
        <v/>
      </c>
      <c r="M61" s="36">
        <f>IF($R61="","",IF(INDEX(Calc!$BB$2:$BB$2001,$R61)="","",INDEX(Calc!$BB$2:$BB$2001,$R61)))</f>
        <v/>
      </c>
      <c r="N61" s="36">
        <f>IF($R61="","",IF(INDEX(Calc!$BC$2:$BC$2001,$R61)="","",INDEX(Calc!$BC$2:$BC$2001,$R61)))</f>
        <v/>
      </c>
      <c r="O61" s="36">
        <f>IF($R61="","",IF(INDEX(Calc!$BD$2:$BD$2001,$R61)="","",INDEX(Calc!$BD$2:$BD$2001,$R61)))</f>
        <v/>
      </c>
      <c r="P61" s="88">
        <f>IF(R61="","",HYPERLINK("#'"&amp;IF(INDEX(Calc!$AS$2:$AS$2001,R61)="R","Recurring Log","Variable Tasks")&amp;"'!J"&amp;INDEX(Calc!$AT$2:$AT$2001,R61),"✎ edit"))</f>
        <v/>
      </c>
      <c r="R61">
        <f>IFERROR(MATCH(SMALL(Calc!$BK$2:$BK$2001,52),Calc!$BK$2:$BK$2001,0),"")</f>
        <v/>
      </c>
    </row>
    <row r="62">
      <c r="B62" s="73">
        <f>IF(R62="","",53)</f>
        <v/>
      </c>
      <c r="C62" s="75">
        <f>IF($R62="","",IF(INDEX(Calc!$AU$2:$AU$2001,$R62)="","",INDEX(Calc!$AU$2:$AU$2001,$R62)))</f>
        <v/>
      </c>
      <c r="D62" s="73">
        <f>IF($R62="","",IF(INDEX(Calc!$AV$2:$AV$2001,$R62)="","",INDEX(Calc!$AV$2:$AV$2001,$R62)))</f>
        <v/>
      </c>
      <c r="E62" s="76">
        <f>IF($R62="","",IF(INDEX(Calc!$AW$2:$AW$2001,$R62)="","",INDEX(Calc!$AW$2:$AW$2001,$R62)))</f>
        <v/>
      </c>
      <c r="F62" s="72">
        <f>IF(OR(C62="",E62=""),"",E62-Setup!$D$7)</f>
        <v/>
      </c>
      <c r="G62" s="77">
        <f>IF($R62="","",IF(INDEX(Calc!$AX$2:$AX$2001,$R62)="","",INDEX(Calc!$AX$2:$AX$2001,$R62)))</f>
        <v/>
      </c>
      <c r="H62" s="77">
        <f>IF($R62="","",IF(INDEX(Calc!$AY$2:$AY$2001,$R62)="","",INDEX(Calc!$AY$2:$AY$2001,$R62)))</f>
        <v/>
      </c>
      <c r="I62" s="73">
        <f>IF(OR(G62="",H62=""),"",TRIM(IF(HOUR(H62-G62)&gt;0,HOUR(H62-G62)&amp;" hr ","")&amp;IF(MINUTE(H62-G62)&gt;0,MINUTE(H62-G62)&amp;" min","")))</f>
        <v/>
      </c>
      <c r="J62" s="73">
        <f>IF($R62="","",IF(INDEX(Calc!$AZ$2:$AZ$2001,$R62)="","",INDEX(Calc!$AZ$2:$AZ$2001,$R62)))</f>
        <v/>
      </c>
      <c r="K62" s="85">
        <f>IF($R62="","",IF(INDEX(Calc!$BE$2:$BE$2001,$R62)="","",INDEX(Calc!$BE$2:$BE$2001,$R62)))</f>
        <v/>
      </c>
      <c r="L62" s="73">
        <f>IF($R62="","",IF(INDEX(Calc!$BA$2:$BA$2001,$R62)="","",INDEX(Calc!$BA$2:$BA$2001,$R62)))</f>
        <v/>
      </c>
      <c r="M62" s="73">
        <f>IF($R62="","",IF(INDEX(Calc!$BB$2:$BB$2001,$R62)="","",INDEX(Calc!$BB$2:$BB$2001,$R62)))</f>
        <v/>
      </c>
      <c r="N62" s="73">
        <f>IF($R62="","",IF(INDEX(Calc!$BC$2:$BC$2001,$R62)="","",INDEX(Calc!$BC$2:$BC$2001,$R62)))</f>
        <v/>
      </c>
      <c r="O62" s="73">
        <f>IF($R62="","",IF(INDEX(Calc!$BD$2:$BD$2001,$R62)="","",INDEX(Calc!$BD$2:$BD$2001,$R62)))</f>
        <v/>
      </c>
      <c r="P62" s="86">
        <f>IF(R62="","",HYPERLINK("#'"&amp;IF(INDEX(Calc!$AS$2:$AS$2001,R62)="R","Recurring Log","Variable Tasks")&amp;"'!J"&amp;INDEX(Calc!$AT$2:$AT$2001,R62),"✎ edit"))</f>
        <v/>
      </c>
      <c r="R62">
        <f>IFERROR(MATCH(SMALL(Calc!$BK$2:$BK$2001,53),Calc!$BK$2:$BK$2001,0),"")</f>
        <v/>
      </c>
    </row>
    <row r="63">
      <c r="B63" s="36">
        <f>IF(R63="","",54)</f>
        <v/>
      </c>
      <c r="C63" s="37">
        <f>IF($R63="","",IF(INDEX(Calc!$AU$2:$AU$2001,$R63)="","",INDEX(Calc!$AU$2:$AU$2001,$R63)))</f>
        <v/>
      </c>
      <c r="D63" s="36">
        <f>IF($R63="","",IF(INDEX(Calc!$AV$2:$AV$2001,$R63)="","",INDEX(Calc!$AV$2:$AV$2001,$R63)))</f>
        <v/>
      </c>
      <c r="E63" s="38">
        <f>IF($R63="","",IF(INDEX(Calc!$AW$2:$AW$2001,$R63)="","",INDEX(Calc!$AW$2:$AW$2001,$R63)))</f>
        <v/>
      </c>
      <c r="F63" s="68">
        <f>IF(OR(C63="",E63=""),"",E63-Setup!$D$7)</f>
        <v/>
      </c>
      <c r="G63" s="74">
        <f>IF($R63="","",IF(INDEX(Calc!$AX$2:$AX$2001,$R63)="","",INDEX(Calc!$AX$2:$AX$2001,$R63)))</f>
        <v/>
      </c>
      <c r="H63" s="74">
        <f>IF($R63="","",IF(INDEX(Calc!$AY$2:$AY$2001,$R63)="","",INDEX(Calc!$AY$2:$AY$2001,$R63)))</f>
        <v/>
      </c>
      <c r="I63" s="36">
        <f>IF(OR(G63="",H63=""),"",TRIM(IF(HOUR(H63-G63)&gt;0,HOUR(H63-G63)&amp;" hr ","")&amp;IF(MINUTE(H63-G63)&gt;0,MINUTE(H63-G63)&amp;" min","")))</f>
        <v/>
      </c>
      <c r="J63" s="36">
        <f>IF($R63="","",IF(INDEX(Calc!$AZ$2:$AZ$2001,$R63)="","",INDEX(Calc!$AZ$2:$AZ$2001,$R63)))</f>
        <v/>
      </c>
      <c r="K63" s="87">
        <f>IF($R63="","",IF(INDEX(Calc!$BE$2:$BE$2001,$R63)="","",INDEX(Calc!$BE$2:$BE$2001,$R63)))</f>
        <v/>
      </c>
      <c r="L63" s="36">
        <f>IF($R63="","",IF(INDEX(Calc!$BA$2:$BA$2001,$R63)="","",INDEX(Calc!$BA$2:$BA$2001,$R63)))</f>
        <v/>
      </c>
      <c r="M63" s="36">
        <f>IF($R63="","",IF(INDEX(Calc!$BB$2:$BB$2001,$R63)="","",INDEX(Calc!$BB$2:$BB$2001,$R63)))</f>
        <v/>
      </c>
      <c r="N63" s="36">
        <f>IF($R63="","",IF(INDEX(Calc!$BC$2:$BC$2001,$R63)="","",INDEX(Calc!$BC$2:$BC$2001,$R63)))</f>
        <v/>
      </c>
      <c r="O63" s="36">
        <f>IF($R63="","",IF(INDEX(Calc!$BD$2:$BD$2001,$R63)="","",INDEX(Calc!$BD$2:$BD$2001,$R63)))</f>
        <v/>
      </c>
      <c r="P63" s="88">
        <f>IF(R63="","",HYPERLINK("#'"&amp;IF(INDEX(Calc!$AS$2:$AS$2001,R63)="R","Recurring Log","Variable Tasks")&amp;"'!J"&amp;INDEX(Calc!$AT$2:$AT$2001,R63),"✎ edit"))</f>
        <v/>
      </c>
      <c r="R63">
        <f>IFERROR(MATCH(SMALL(Calc!$BK$2:$BK$2001,54),Calc!$BK$2:$BK$2001,0),"")</f>
        <v/>
      </c>
    </row>
    <row r="64">
      <c r="B64" s="73">
        <f>IF(R64="","",55)</f>
        <v/>
      </c>
      <c r="C64" s="75">
        <f>IF($R64="","",IF(INDEX(Calc!$AU$2:$AU$2001,$R64)="","",INDEX(Calc!$AU$2:$AU$2001,$R64)))</f>
        <v/>
      </c>
      <c r="D64" s="73">
        <f>IF($R64="","",IF(INDEX(Calc!$AV$2:$AV$2001,$R64)="","",INDEX(Calc!$AV$2:$AV$2001,$R64)))</f>
        <v/>
      </c>
      <c r="E64" s="76">
        <f>IF($R64="","",IF(INDEX(Calc!$AW$2:$AW$2001,$R64)="","",INDEX(Calc!$AW$2:$AW$2001,$R64)))</f>
        <v/>
      </c>
      <c r="F64" s="72">
        <f>IF(OR(C64="",E64=""),"",E64-Setup!$D$7)</f>
        <v/>
      </c>
      <c r="G64" s="77">
        <f>IF($R64="","",IF(INDEX(Calc!$AX$2:$AX$2001,$R64)="","",INDEX(Calc!$AX$2:$AX$2001,$R64)))</f>
        <v/>
      </c>
      <c r="H64" s="77">
        <f>IF($R64="","",IF(INDEX(Calc!$AY$2:$AY$2001,$R64)="","",INDEX(Calc!$AY$2:$AY$2001,$R64)))</f>
        <v/>
      </c>
      <c r="I64" s="73">
        <f>IF(OR(G64="",H64=""),"",TRIM(IF(HOUR(H64-G64)&gt;0,HOUR(H64-G64)&amp;" hr ","")&amp;IF(MINUTE(H64-G64)&gt;0,MINUTE(H64-G64)&amp;" min","")))</f>
        <v/>
      </c>
      <c r="J64" s="73">
        <f>IF($R64="","",IF(INDEX(Calc!$AZ$2:$AZ$2001,$R64)="","",INDEX(Calc!$AZ$2:$AZ$2001,$R64)))</f>
        <v/>
      </c>
      <c r="K64" s="85">
        <f>IF($R64="","",IF(INDEX(Calc!$BE$2:$BE$2001,$R64)="","",INDEX(Calc!$BE$2:$BE$2001,$R64)))</f>
        <v/>
      </c>
      <c r="L64" s="73">
        <f>IF($R64="","",IF(INDEX(Calc!$BA$2:$BA$2001,$R64)="","",INDEX(Calc!$BA$2:$BA$2001,$R64)))</f>
        <v/>
      </c>
      <c r="M64" s="73">
        <f>IF($R64="","",IF(INDEX(Calc!$BB$2:$BB$2001,$R64)="","",INDEX(Calc!$BB$2:$BB$2001,$R64)))</f>
        <v/>
      </c>
      <c r="N64" s="73">
        <f>IF($R64="","",IF(INDEX(Calc!$BC$2:$BC$2001,$R64)="","",INDEX(Calc!$BC$2:$BC$2001,$R64)))</f>
        <v/>
      </c>
      <c r="O64" s="73">
        <f>IF($R64="","",IF(INDEX(Calc!$BD$2:$BD$2001,$R64)="","",INDEX(Calc!$BD$2:$BD$2001,$R64)))</f>
        <v/>
      </c>
      <c r="P64" s="86">
        <f>IF(R64="","",HYPERLINK("#'"&amp;IF(INDEX(Calc!$AS$2:$AS$2001,R64)="R","Recurring Log","Variable Tasks")&amp;"'!J"&amp;INDEX(Calc!$AT$2:$AT$2001,R64),"✎ edit"))</f>
        <v/>
      </c>
      <c r="R64">
        <f>IFERROR(MATCH(SMALL(Calc!$BK$2:$BK$2001,55),Calc!$BK$2:$BK$2001,0),"")</f>
        <v/>
      </c>
    </row>
    <row r="65">
      <c r="B65" s="36">
        <f>IF(R65="","",56)</f>
        <v/>
      </c>
      <c r="C65" s="37">
        <f>IF($R65="","",IF(INDEX(Calc!$AU$2:$AU$2001,$R65)="","",INDEX(Calc!$AU$2:$AU$2001,$R65)))</f>
        <v/>
      </c>
      <c r="D65" s="36">
        <f>IF($R65="","",IF(INDEX(Calc!$AV$2:$AV$2001,$R65)="","",INDEX(Calc!$AV$2:$AV$2001,$R65)))</f>
        <v/>
      </c>
      <c r="E65" s="38">
        <f>IF($R65="","",IF(INDEX(Calc!$AW$2:$AW$2001,$R65)="","",INDEX(Calc!$AW$2:$AW$2001,$R65)))</f>
        <v/>
      </c>
      <c r="F65" s="68">
        <f>IF(OR(C65="",E65=""),"",E65-Setup!$D$7)</f>
        <v/>
      </c>
      <c r="G65" s="74">
        <f>IF($R65="","",IF(INDEX(Calc!$AX$2:$AX$2001,$R65)="","",INDEX(Calc!$AX$2:$AX$2001,$R65)))</f>
        <v/>
      </c>
      <c r="H65" s="74">
        <f>IF($R65="","",IF(INDEX(Calc!$AY$2:$AY$2001,$R65)="","",INDEX(Calc!$AY$2:$AY$2001,$R65)))</f>
        <v/>
      </c>
      <c r="I65" s="36">
        <f>IF(OR(G65="",H65=""),"",TRIM(IF(HOUR(H65-G65)&gt;0,HOUR(H65-G65)&amp;" hr ","")&amp;IF(MINUTE(H65-G65)&gt;0,MINUTE(H65-G65)&amp;" min","")))</f>
        <v/>
      </c>
      <c r="J65" s="36">
        <f>IF($R65="","",IF(INDEX(Calc!$AZ$2:$AZ$2001,$R65)="","",INDEX(Calc!$AZ$2:$AZ$2001,$R65)))</f>
        <v/>
      </c>
      <c r="K65" s="87">
        <f>IF($R65="","",IF(INDEX(Calc!$BE$2:$BE$2001,$R65)="","",INDEX(Calc!$BE$2:$BE$2001,$R65)))</f>
        <v/>
      </c>
      <c r="L65" s="36">
        <f>IF($R65="","",IF(INDEX(Calc!$BA$2:$BA$2001,$R65)="","",INDEX(Calc!$BA$2:$BA$2001,$R65)))</f>
        <v/>
      </c>
      <c r="M65" s="36">
        <f>IF($R65="","",IF(INDEX(Calc!$BB$2:$BB$2001,$R65)="","",INDEX(Calc!$BB$2:$BB$2001,$R65)))</f>
        <v/>
      </c>
      <c r="N65" s="36">
        <f>IF($R65="","",IF(INDEX(Calc!$BC$2:$BC$2001,$R65)="","",INDEX(Calc!$BC$2:$BC$2001,$R65)))</f>
        <v/>
      </c>
      <c r="O65" s="36">
        <f>IF($R65="","",IF(INDEX(Calc!$BD$2:$BD$2001,$R65)="","",INDEX(Calc!$BD$2:$BD$2001,$R65)))</f>
        <v/>
      </c>
      <c r="P65" s="88">
        <f>IF(R65="","",HYPERLINK("#'"&amp;IF(INDEX(Calc!$AS$2:$AS$2001,R65)="R","Recurring Log","Variable Tasks")&amp;"'!J"&amp;INDEX(Calc!$AT$2:$AT$2001,R65),"✎ edit"))</f>
        <v/>
      </c>
      <c r="R65">
        <f>IFERROR(MATCH(SMALL(Calc!$BK$2:$BK$2001,56),Calc!$BK$2:$BK$2001,0),"")</f>
        <v/>
      </c>
    </row>
    <row r="66">
      <c r="B66" s="73">
        <f>IF(R66="","",57)</f>
        <v/>
      </c>
      <c r="C66" s="75">
        <f>IF($R66="","",IF(INDEX(Calc!$AU$2:$AU$2001,$R66)="","",INDEX(Calc!$AU$2:$AU$2001,$R66)))</f>
        <v/>
      </c>
      <c r="D66" s="73">
        <f>IF($R66="","",IF(INDEX(Calc!$AV$2:$AV$2001,$R66)="","",INDEX(Calc!$AV$2:$AV$2001,$R66)))</f>
        <v/>
      </c>
      <c r="E66" s="76">
        <f>IF($R66="","",IF(INDEX(Calc!$AW$2:$AW$2001,$R66)="","",INDEX(Calc!$AW$2:$AW$2001,$R66)))</f>
        <v/>
      </c>
      <c r="F66" s="72">
        <f>IF(OR(C66="",E66=""),"",E66-Setup!$D$7)</f>
        <v/>
      </c>
      <c r="G66" s="77">
        <f>IF($R66="","",IF(INDEX(Calc!$AX$2:$AX$2001,$R66)="","",INDEX(Calc!$AX$2:$AX$2001,$R66)))</f>
        <v/>
      </c>
      <c r="H66" s="77">
        <f>IF($R66="","",IF(INDEX(Calc!$AY$2:$AY$2001,$R66)="","",INDEX(Calc!$AY$2:$AY$2001,$R66)))</f>
        <v/>
      </c>
      <c r="I66" s="73">
        <f>IF(OR(G66="",H66=""),"",TRIM(IF(HOUR(H66-G66)&gt;0,HOUR(H66-G66)&amp;" hr ","")&amp;IF(MINUTE(H66-G66)&gt;0,MINUTE(H66-G66)&amp;" min","")))</f>
        <v/>
      </c>
      <c r="J66" s="73">
        <f>IF($R66="","",IF(INDEX(Calc!$AZ$2:$AZ$2001,$R66)="","",INDEX(Calc!$AZ$2:$AZ$2001,$R66)))</f>
        <v/>
      </c>
      <c r="K66" s="85">
        <f>IF($R66="","",IF(INDEX(Calc!$BE$2:$BE$2001,$R66)="","",INDEX(Calc!$BE$2:$BE$2001,$R66)))</f>
        <v/>
      </c>
      <c r="L66" s="73">
        <f>IF($R66="","",IF(INDEX(Calc!$BA$2:$BA$2001,$R66)="","",INDEX(Calc!$BA$2:$BA$2001,$R66)))</f>
        <v/>
      </c>
      <c r="M66" s="73">
        <f>IF($R66="","",IF(INDEX(Calc!$BB$2:$BB$2001,$R66)="","",INDEX(Calc!$BB$2:$BB$2001,$R66)))</f>
        <v/>
      </c>
      <c r="N66" s="73">
        <f>IF($R66="","",IF(INDEX(Calc!$BC$2:$BC$2001,$R66)="","",INDEX(Calc!$BC$2:$BC$2001,$R66)))</f>
        <v/>
      </c>
      <c r="O66" s="73">
        <f>IF($R66="","",IF(INDEX(Calc!$BD$2:$BD$2001,$R66)="","",INDEX(Calc!$BD$2:$BD$2001,$R66)))</f>
        <v/>
      </c>
      <c r="P66" s="86">
        <f>IF(R66="","",HYPERLINK("#'"&amp;IF(INDEX(Calc!$AS$2:$AS$2001,R66)="R","Recurring Log","Variable Tasks")&amp;"'!J"&amp;INDEX(Calc!$AT$2:$AT$2001,R66),"✎ edit"))</f>
        <v/>
      </c>
      <c r="R66">
        <f>IFERROR(MATCH(SMALL(Calc!$BK$2:$BK$2001,57),Calc!$BK$2:$BK$2001,0),"")</f>
        <v/>
      </c>
    </row>
    <row r="67">
      <c r="B67" s="36">
        <f>IF(R67="","",58)</f>
        <v/>
      </c>
      <c r="C67" s="37">
        <f>IF($R67="","",IF(INDEX(Calc!$AU$2:$AU$2001,$R67)="","",INDEX(Calc!$AU$2:$AU$2001,$R67)))</f>
        <v/>
      </c>
      <c r="D67" s="36">
        <f>IF($R67="","",IF(INDEX(Calc!$AV$2:$AV$2001,$R67)="","",INDEX(Calc!$AV$2:$AV$2001,$R67)))</f>
        <v/>
      </c>
      <c r="E67" s="38">
        <f>IF($R67="","",IF(INDEX(Calc!$AW$2:$AW$2001,$R67)="","",INDEX(Calc!$AW$2:$AW$2001,$R67)))</f>
        <v/>
      </c>
      <c r="F67" s="68">
        <f>IF(OR(C67="",E67=""),"",E67-Setup!$D$7)</f>
        <v/>
      </c>
      <c r="G67" s="74">
        <f>IF($R67="","",IF(INDEX(Calc!$AX$2:$AX$2001,$R67)="","",INDEX(Calc!$AX$2:$AX$2001,$R67)))</f>
        <v/>
      </c>
      <c r="H67" s="74">
        <f>IF($R67="","",IF(INDEX(Calc!$AY$2:$AY$2001,$R67)="","",INDEX(Calc!$AY$2:$AY$2001,$R67)))</f>
        <v/>
      </c>
      <c r="I67" s="36">
        <f>IF(OR(G67="",H67=""),"",TRIM(IF(HOUR(H67-G67)&gt;0,HOUR(H67-G67)&amp;" hr ","")&amp;IF(MINUTE(H67-G67)&gt;0,MINUTE(H67-G67)&amp;" min","")))</f>
        <v/>
      </c>
      <c r="J67" s="36">
        <f>IF($R67="","",IF(INDEX(Calc!$AZ$2:$AZ$2001,$R67)="","",INDEX(Calc!$AZ$2:$AZ$2001,$R67)))</f>
        <v/>
      </c>
      <c r="K67" s="87">
        <f>IF($R67="","",IF(INDEX(Calc!$BE$2:$BE$2001,$R67)="","",INDEX(Calc!$BE$2:$BE$2001,$R67)))</f>
        <v/>
      </c>
      <c r="L67" s="36">
        <f>IF($R67="","",IF(INDEX(Calc!$BA$2:$BA$2001,$R67)="","",INDEX(Calc!$BA$2:$BA$2001,$R67)))</f>
        <v/>
      </c>
      <c r="M67" s="36">
        <f>IF($R67="","",IF(INDEX(Calc!$BB$2:$BB$2001,$R67)="","",INDEX(Calc!$BB$2:$BB$2001,$R67)))</f>
        <v/>
      </c>
      <c r="N67" s="36">
        <f>IF($R67="","",IF(INDEX(Calc!$BC$2:$BC$2001,$R67)="","",INDEX(Calc!$BC$2:$BC$2001,$R67)))</f>
        <v/>
      </c>
      <c r="O67" s="36">
        <f>IF($R67="","",IF(INDEX(Calc!$BD$2:$BD$2001,$R67)="","",INDEX(Calc!$BD$2:$BD$2001,$R67)))</f>
        <v/>
      </c>
      <c r="P67" s="88">
        <f>IF(R67="","",HYPERLINK("#'"&amp;IF(INDEX(Calc!$AS$2:$AS$2001,R67)="R","Recurring Log","Variable Tasks")&amp;"'!J"&amp;INDEX(Calc!$AT$2:$AT$2001,R67),"✎ edit"))</f>
        <v/>
      </c>
      <c r="R67">
        <f>IFERROR(MATCH(SMALL(Calc!$BK$2:$BK$2001,58),Calc!$BK$2:$BK$2001,0),"")</f>
        <v/>
      </c>
    </row>
    <row r="68">
      <c r="B68" s="73">
        <f>IF(R68="","",59)</f>
        <v/>
      </c>
      <c r="C68" s="75">
        <f>IF($R68="","",IF(INDEX(Calc!$AU$2:$AU$2001,$R68)="","",INDEX(Calc!$AU$2:$AU$2001,$R68)))</f>
        <v/>
      </c>
      <c r="D68" s="73">
        <f>IF($R68="","",IF(INDEX(Calc!$AV$2:$AV$2001,$R68)="","",INDEX(Calc!$AV$2:$AV$2001,$R68)))</f>
        <v/>
      </c>
      <c r="E68" s="76">
        <f>IF($R68="","",IF(INDEX(Calc!$AW$2:$AW$2001,$R68)="","",INDEX(Calc!$AW$2:$AW$2001,$R68)))</f>
        <v/>
      </c>
      <c r="F68" s="72">
        <f>IF(OR(C68="",E68=""),"",E68-Setup!$D$7)</f>
        <v/>
      </c>
      <c r="G68" s="77">
        <f>IF($R68="","",IF(INDEX(Calc!$AX$2:$AX$2001,$R68)="","",INDEX(Calc!$AX$2:$AX$2001,$R68)))</f>
        <v/>
      </c>
      <c r="H68" s="77">
        <f>IF($R68="","",IF(INDEX(Calc!$AY$2:$AY$2001,$R68)="","",INDEX(Calc!$AY$2:$AY$2001,$R68)))</f>
        <v/>
      </c>
      <c r="I68" s="73">
        <f>IF(OR(G68="",H68=""),"",TRIM(IF(HOUR(H68-G68)&gt;0,HOUR(H68-G68)&amp;" hr ","")&amp;IF(MINUTE(H68-G68)&gt;0,MINUTE(H68-G68)&amp;" min","")))</f>
        <v/>
      </c>
      <c r="J68" s="73">
        <f>IF($R68="","",IF(INDEX(Calc!$AZ$2:$AZ$2001,$R68)="","",INDEX(Calc!$AZ$2:$AZ$2001,$R68)))</f>
        <v/>
      </c>
      <c r="K68" s="85">
        <f>IF($R68="","",IF(INDEX(Calc!$BE$2:$BE$2001,$R68)="","",INDEX(Calc!$BE$2:$BE$2001,$R68)))</f>
        <v/>
      </c>
      <c r="L68" s="73">
        <f>IF($R68="","",IF(INDEX(Calc!$BA$2:$BA$2001,$R68)="","",INDEX(Calc!$BA$2:$BA$2001,$R68)))</f>
        <v/>
      </c>
      <c r="M68" s="73">
        <f>IF($R68="","",IF(INDEX(Calc!$BB$2:$BB$2001,$R68)="","",INDEX(Calc!$BB$2:$BB$2001,$R68)))</f>
        <v/>
      </c>
      <c r="N68" s="73">
        <f>IF($R68="","",IF(INDEX(Calc!$BC$2:$BC$2001,$R68)="","",INDEX(Calc!$BC$2:$BC$2001,$R68)))</f>
        <v/>
      </c>
      <c r="O68" s="73">
        <f>IF($R68="","",IF(INDEX(Calc!$BD$2:$BD$2001,$R68)="","",INDEX(Calc!$BD$2:$BD$2001,$R68)))</f>
        <v/>
      </c>
      <c r="P68" s="86">
        <f>IF(R68="","",HYPERLINK("#'"&amp;IF(INDEX(Calc!$AS$2:$AS$2001,R68)="R","Recurring Log","Variable Tasks")&amp;"'!J"&amp;INDEX(Calc!$AT$2:$AT$2001,R68),"✎ edit"))</f>
        <v/>
      </c>
      <c r="R68">
        <f>IFERROR(MATCH(SMALL(Calc!$BK$2:$BK$2001,59),Calc!$BK$2:$BK$2001,0),"")</f>
        <v/>
      </c>
    </row>
    <row r="69">
      <c r="B69" s="36">
        <f>IF(R69="","",60)</f>
        <v/>
      </c>
      <c r="C69" s="37">
        <f>IF($R69="","",IF(INDEX(Calc!$AU$2:$AU$2001,$R69)="","",INDEX(Calc!$AU$2:$AU$2001,$R69)))</f>
        <v/>
      </c>
      <c r="D69" s="36">
        <f>IF($R69="","",IF(INDEX(Calc!$AV$2:$AV$2001,$R69)="","",INDEX(Calc!$AV$2:$AV$2001,$R69)))</f>
        <v/>
      </c>
      <c r="E69" s="38">
        <f>IF($R69="","",IF(INDEX(Calc!$AW$2:$AW$2001,$R69)="","",INDEX(Calc!$AW$2:$AW$2001,$R69)))</f>
        <v/>
      </c>
      <c r="F69" s="68">
        <f>IF(OR(C69="",E69=""),"",E69-Setup!$D$7)</f>
        <v/>
      </c>
      <c r="G69" s="74">
        <f>IF($R69="","",IF(INDEX(Calc!$AX$2:$AX$2001,$R69)="","",INDEX(Calc!$AX$2:$AX$2001,$R69)))</f>
        <v/>
      </c>
      <c r="H69" s="74">
        <f>IF($R69="","",IF(INDEX(Calc!$AY$2:$AY$2001,$R69)="","",INDEX(Calc!$AY$2:$AY$2001,$R69)))</f>
        <v/>
      </c>
      <c r="I69" s="36">
        <f>IF(OR(G69="",H69=""),"",TRIM(IF(HOUR(H69-G69)&gt;0,HOUR(H69-G69)&amp;" hr ","")&amp;IF(MINUTE(H69-G69)&gt;0,MINUTE(H69-G69)&amp;" min","")))</f>
        <v/>
      </c>
      <c r="J69" s="36">
        <f>IF($R69="","",IF(INDEX(Calc!$AZ$2:$AZ$2001,$R69)="","",INDEX(Calc!$AZ$2:$AZ$2001,$R69)))</f>
        <v/>
      </c>
      <c r="K69" s="87">
        <f>IF($R69="","",IF(INDEX(Calc!$BE$2:$BE$2001,$R69)="","",INDEX(Calc!$BE$2:$BE$2001,$R69)))</f>
        <v/>
      </c>
      <c r="L69" s="36">
        <f>IF($R69="","",IF(INDEX(Calc!$BA$2:$BA$2001,$R69)="","",INDEX(Calc!$BA$2:$BA$2001,$R69)))</f>
        <v/>
      </c>
      <c r="M69" s="36">
        <f>IF($R69="","",IF(INDEX(Calc!$BB$2:$BB$2001,$R69)="","",INDEX(Calc!$BB$2:$BB$2001,$R69)))</f>
        <v/>
      </c>
      <c r="N69" s="36">
        <f>IF($R69="","",IF(INDEX(Calc!$BC$2:$BC$2001,$R69)="","",INDEX(Calc!$BC$2:$BC$2001,$R69)))</f>
        <v/>
      </c>
      <c r="O69" s="36">
        <f>IF($R69="","",IF(INDEX(Calc!$BD$2:$BD$2001,$R69)="","",INDEX(Calc!$BD$2:$BD$2001,$R69)))</f>
        <v/>
      </c>
      <c r="P69" s="88">
        <f>IF(R69="","",HYPERLINK("#'"&amp;IF(INDEX(Calc!$AS$2:$AS$2001,R69)="R","Recurring Log","Variable Tasks")&amp;"'!J"&amp;INDEX(Calc!$AT$2:$AT$2001,R69),"✎ edit"))</f>
        <v/>
      </c>
      <c r="R69">
        <f>IFERROR(MATCH(SMALL(Calc!$BK$2:$BK$2001,60),Calc!$BK$2:$BK$2001,0),"")</f>
        <v/>
      </c>
    </row>
    <row r="70">
      <c r="B70" s="73">
        <f>IF(R70="","",61)</f>
        <v/>
      </c>
      <c r="C70" s="75">
        <f>IF($R70="","",IF(INDEX(Calc!$AU$2:$AU$2001,$R70)="","",INDEX(Calc!$AU$2:$AU$2001,$R70)))</f>
        <v/>
      </c>
      <c r="D70" s="73">
        <f>IF($R70="","",IF(INDEX(Calc!$AV$2:$AV$2001,$R70)="","",INDEX(Calc!$AV$2:$AV$2001,$R70)))</f>
        <v/>
      </c>
      <c r="E70" s="76">
        <f>IF($R70="","",IF(INDEX(Calc!$AW$2:$AW$2001,$R70)="","",INDEX(Calc!$AW$2:$AW$2001,$R70)))</f>
        <v/>
      </c>
      <c r="F70" s="72">
        <f>IF(OR(C70="",E70=""),"",E70-Setup!$D$7)</f>
        <v/>
      </c>
      <c r="G70" s="77">
        <f>IF($R70="","",IF(INDEX(Calc!$AX$2:$AX$2001,$R70)="","",INDEX(Calc!$AX$2:$AX$2001,$R70)))</f>
        <v/>
      </c>
      <c r="H70" s="77">
        <f>IF($R70="","",IF(INDEX(Calc!$AY$2:$AY$2001,$R70)="","",INDEX(Calc!$AY$2:$AY$2001,$R70)))</f>
        <v/>
      </c>
      <c r="I70" s="73">
        <f>IF(OR(G70="",H70=""),"",TRIM(IF(HOUR(H70-G70)&gt;0,HOUR(H70-G70)&amp;" hr ","")&amp;IF(MINUTE(H70-G70)&gt;0,MINUTE(H70-G70)&amp;" min","")))</f>
        <v/>
      </c>
      <c r="J70" s="73">
        <f>IF($R70="","",IF(INDEX(Calc!$AZ$2:$AZ$2001,$R70)="","",INDEX(Calc!$AZ$2:$AZ$2001,$R70)))</f>
        <v/>
      </c>
      <c r="K70" s="85">
        <f>IF($R70="","",IF(INDEX(Calc!$BE$2:$BE$2001,$R70)="","",INDEX(Calc!$BE$2:$BE$2001,$R70)))</f>
        <v/>
      </c>
      <c r="L70" s="73">
        <f>IF($R70="","",IF(INDEX(Calc!$BA$2:$BA$2001,$R70)="","",INDEX(Calc!$BA$2:$BA$2001,$R70)))</f>
        <v/>
      </c>
      <c r="M70" s="73">
        <f>IF($R70="","",IF(INDEX(Calc!$BB$2:$BB$2001,$R70)="","",INDEX(Calc!$BB$2:$BB$2001,$R70)))</f>
        <v/>
      </c>
      <c r="N70" s="73">
        <f>IF($R70="","",IF(INDEX(Calc!$BC$2:$BC$2001,$R70)="","",INDEX(Calc!$BC$2:$BC$2001,$R70)))</f>
        <v/>
      </c>
      <c r="O70" s="73">
        <f>IF($R70="","",IF(INDEX(Calc!$BD$2:$BD$2001,$R70)="","",INDEX(Calc!$BD$2:$BD$2001,$R70)))</f>
        <v/>
      </c>
      <c r="P70" s="86">
        <f>IF(R70="","",HYPERLINK("#'"&amp;IF(INDEX(Calc!$AS$2:$AS$2001,R70)="R","Recurring Log","Variable Tasks")&amp;"'!J"&amp;INDEX(Calc!$AT$2:$AT$2001,R70),"✎ edit"))</f>
        <v/>
      </c>
      <c r="R70">
        <f>IFERROR(MATCH(SMALL(Calc!$BK$2:$BK$2001,61),Calc!$BK$2:$BK$2001,0),"")</f>
        <v/>
      </c>
    </row>
    <row r="71">
      <c r="B71" s="36">
        <f>IF(R71="","",62)</f>
        <v/>
      </c>
      <c r="C71" s="37">
        <f>IF($R71="","",IF(INDEX(Calc!$AU$2:$AU$2001,$R71)="","",INDEX(Calc!$AU$2:$AU$2001,$R71)))</f>
        <v/>
      </c>
      <c r="D71" s="36">
        <f>IF($R71="","",IF(INDEX(Calc!$AV$2:$AV$2001,$R71)="","",INDEX(Calc!$AV$2:$AV$2001,$R71)))</f>
        <v/>
      </c>
      <c r="E71" s="38">
        <f>IF($R71="","",IF(INDEX(Calc!$AW$2:$AW$2001,$R71)="","",INDEX(Calc!$AW$2:$AW$2001,$R71)))</f>
        <v/>
      </c>
      <c r="F71" s="68">
        <f>IF(OR(C71="",E71=""),"",E71-Setup!$D$7)</f>
        <v/>
      </c>
      <c r="G71" s="74">
        <f>IF($R71="","",IF(INDEX(Calc!$AX$2:$AX$2001,$R71)="","",INDEX(Calc!$AX$2:$AX$2001,$R71)))</f>
        <v/>
      </c>
      <c r="H71" s="74">
        <f>IF($R71="","",IF(INDEX(Calc!$AY$2:$AY$2001,$R71)="","",INDEX(Calc!$AY$2:$AY$2001,$R71)))</f>
        <v/>
      </c>
      <c r="I71" s="36">
        <f>IF(OR(G71="",H71=""),"",TRIM(IF(HOUR(H71-G71)&gt;0,HOUR(H71-G71)&amp;" hr ","")&amp;IF(MINUTE(H71-G71)&gt;0,MINUTE(H71-G71)&amp;" min","")))</f>
        <v/>
      </c>
      <c r="J71" s="36">
        <f>IF($R71="","",IF(INDEX(Calc!$AZ$2:$AZ$2001,$R71)="","",INDEX(Calc!$AZ$2:$AZ$2001,$R71)))</f>
        <v/>
      </c>
      <c r="K71" s="87">
        <f>IF($R71="","",IF(INDEX(Calc!$BE$2:$BE$2001,$R71)="","",INDEX(Calc!$BE$2:$BE$2001,$R71)))</f>
        <v/>
      </c>
      <c r="L71" s="36">
        <f>IF($R71="","",IF(INDEX(Calc!$BA$2:$BA$2001,$R71)="","",INDEX(Calc!$BA$2:$BA$2001,$R71)))</f>
        <v/>
      </c>
      <c r="M71" s="36">
        <f>IF($R71="","",IF(INDEX(Calc!$BB$2:$BB$2001,$R71)="","",INDEX(Calc!$BB$2:$BB$2001,$R71)))</f>
        <v/>
      </c>
      <c r="N71" s="36">
        <f>IF($R71="","",IF(INDEX(Calc!$BC$2:$BC$2001,$R71)="","",INDEX(Calc!$BC$2:$BC$2001,$R71)))</f>
        <v/>
      </c>
      <c r="O71" s="36">
        <f>IF($R71="","",IF(INDEX(Calc!$BD$2:$BD$2001,$R71)="","",INDEX(Calc!$BD$2:$BD$2001,$R71)))</f>
        <v/>
      </c>
      <c r="P71" s="88">
        <f>IF(R71="","",HYPERLINK("#'"&amp;IF(INDEX(Calc!$AS$2:$AS$2001,R71)="R","Recurring Log","Variable Tasks")&amp;"'!J"&amp;INDEX(Calc!$AT$2:$AT$2001,R71),"✎ edit"))</f>
        <v/>
      </c>
      <c r="R71">
        <f>IFERROR(MATCH(SMALL(Calc!$BK$2:$BK$2001,62),Calc!$BK$2:$BK$2001,0),"")</f>
        <v/>
      </c>
    </row>
    <row r="72">
      <c r="B72" s="73">
        <f>IF(R72="","",63)</f>
        <v/>
      </c>
      <c r="C72" s="75">
        <f>IF($R72="","",IF(INDEX(Calc!$AU$2:$AU$2001,$R72)="","",INDEX(Calc!$AU$2:$AU$2001,$R72)))</f>
        <v/>
      </c>
      <c r="D72" s="73">
        <f>IF($R72="","",IF(INDEX(Calc!$AV$2:$AV$2001,$R72)="","",INDEX(Calc!$AV$2:$AV$2001,$R72)))</f>
        <v/>
      </c>
      <c r="E72" s="76">
        <f>IF($R72="","",IF(INDEX(Calc!$AW$2:$AW$2001,$R72)="","",INDEX(Calc!$AW$2:$AW$2001,$R72)))</f>
        <v/>
      </c>
      <c r="F72" s="72">
        <f>IF(OR(C72="",E72=""),"",E72-Setup!$D$7)</f>
        <v/>
      </c>
      <c r="G72" s="77">
        <f>IF($R72="","",IF(INDEX(Calc!$AX$2:$AX$2001,$R72)="","",INDEX(Calc!$AX$2:$AX$2001,$R72)))</f>
        <v/>
      </c>
      <c r="H72" s="77">
        <f>IF($R72="","",IF(INDEX(Calc!$AY$2:$AY$2001,$R72)="","",INDEX(Calc!$AY$2:$AY$2001,$R72)))</f>
        <v/>
      </c>
      <c r="I72" s="73">
        <f>IF(OR(G72="",H72=""),"",TRIM(IF(HOUR(H72-G72)&gt;0,HOUR(H72-G72)&amp;" hr ","")&amp;IF(MINUTE(H72-G72)&gt;0,MINUTE(H72-G72)&amp;" min","")))</f>
        <v/>
      </c>
      <c r="J72" s="73">
        <f>IF($R72="","",IF(INDEX(Calc!$AZ$2:$AZ$2001,$R72)="","",INDEX(Calc!$AZ$2:$AZ$2001,$R72)))</f>
        <v/>
      </c>
      <c r="K72" s="85">
        <f>IF($R72="","",IF(INDEX(Calc!$BE$2:$BE$2001,$R72)="","",INDEX(Calc!$BE$2:$BE$2001,$R72)))</f>
        <v/>
      </c>
      <c r="L72" s="73">
        <f>IF($R72="","",IF(INDEX(Calc!$BA$2:$BA$2001,$R72)="","",INDEX(Calc!$BA$2:$BA$2001,$R72)))</f>
        <v/>
      </c>
      <c r="M72" s="73">
        <f>IF($R72="","",IF(INDEX(Calc!$BB$2:$BB$2001,$R72)="","",INDEX(Calc!$BB$2:$BB$2001,$R72)))</f>
        <v/>
      </c>
      <c r="N72" s="73">
        <f>IF($R72="","",IF(INDEX(Calc!$BC$2:$BC$2001,$R72)="","",INDEX(Calc!$BC$2:$BC$2001,$R72)))</f>
        <v/>
      </c>
      <c r="O72" s="73">
        <f>IF($R72="","",IF(INDEX(Calc!$BD$2:$BD$2001,$R72)="","",INDEX(Calc!$BD$2:$BD$2001,$R72)))</f>
        <v/>
      </c>
      <c r="P72" s="86">
        <f>IF(R72="","",HYPERLINK("#'"&amp;IF(INDEX(Calc!$AS$2:$AS$2001,R72)="R","Recurring Log","Variable Tasks")&amp;"'!J"&amp;INDEX(Calc!$AT$2:$AT$2001,R72),"✎ edit"))</f>
        <v/>
      </c>
      <c r="R72">
        <f>IFERROR(MATCH(SMALL(Calc!$BK$2:$BK$2001,63),Calc!$BK$2:$BK$2001,0),"")</f>
        <v/>
      </c>
    </row>
    <row r="73">
      <c r="B73" s="36">
        <f>IF(R73="","",64)</f>
        <v/>
      </c>
      <c r="C73" s="37">
        <f>IF($R73="","",IF(INDEX(Calc!$AU$2:$AU$2001,$R73)="","",INDEX(Calc!$AU$2:$AU$2001,$R73)))</f>
        <v/>
      </c>
      <c r="D73" s="36">
        <f>IF($R73="","",IF(INDEX(Calc!$AV$2:$AV$2001,$R73)="","",INDEX(Calc!$AV$2:$AV$2001,$R73)))</f>
        <v/>
      </c>
      <c r="E73" s="38">
        <f>IF($R73="","",IF(INDEX(Calc!$AW$2:$AW$2001,$R73)="","",INDEX(Calc!$AW$2:$AW$2001,$R73)))</f>
        <v/>
      </c>
      <c r="F73" s="68">
        <f>IF(OR(C73="",E73=""),"",E73-Setup!$D$7)</f>
        <v/>
      </c>
      <c r="G73" s="74">
        <f>IF($R73="","",IF(INDEX(Calc!$AX$2:$AX$2001,$R73)="","",INDEX(Calc!$AX$2:$AX$2001,$R73)))</f>
        <v/>
      </c>
      <c r="H73" s="74">
        <f>IF($R73="","",IF(INDEX(Calc!$AY$2:$AY$2001,$R73)="","",INDEX(Calc!$AY$2:$AY$2001,$R73)))</f>
        <v/>
      </c>
      <c r="I73" s="36">
        <f>IF(OR(G73="",H73=""),"",TRIM(IF(HOUR(H73-G73)&gt;0,HOUR(H73-G73)&amp;" hr ","")&amp;IF(MINUTE(H73-G73)&gt;0,MINUTE(H73-G73)&amp;" min","")))</f>
        <v/>
      </c>
      <c r="J73" s="36">
        <f>IF($R73="","",IF(INDEX(Calc!$AZ$2:$AZ$2001,$R73)="","",INDEX(Calc!$AZ$2:$AZ$2001,$R73)))</f>
        <v/>
      </c>
      <c r="K73" s="87">
        <f>IF($R73="","",IF(INDEX(Calc!$BE$2:$BE$2001,$R73)="","",INDEX(Calc!$BE$2:$BE$2001,$R73)))</f>
        <v/>
      </c>
      <c r="L73" s="36">
        <f>IF($R73="","",IF(INDEX(Calc!$BA$2:$BA$2001,$R73)="","",INDEX(Calc!$BA$2:$BA$2001,$R73)))</f>
        <v/>
      </c>
      <c r="M73" s="36">
        <f>IF($R73="","",IF(INDEX(Calc!$BB$2:$BB$2001,$R73)="","",INDEX(Calc!$BB$2:$BB$2001,$R73)))</f>
        <v/>
      </c>
      <c r="N73" s="36">
        <f>IF($R73="","",IF(INDEX(Calc!$BC$2:$BC$2001,$R73)="","",INDEX(Calc!$BC$2:$BC$2001,$R73)))</f>
        <v/>
      </c>
      <c r="O73" s="36">
        <f>IF($R73="","",IF(INDEX(Calc!$BD$2:$BD$2001,$R73)="","",INDEX(Calc!$BD$2:$BD$2001,$R73)))</f>
        <v/>
      </c>
      <c r="P73" s="88">
        <f>IF(R73="","",HYPERLINK("#'"&amp;IF(INDEX(Calc!$AS$2:$AS$2001,R73)="R","Recurring Log","Variable Tasks")&amp;"'!J"&amp;INDEX(Calc!$AT$2:$AT$2001,R73),"✎ edit"))</f>
        <v/>
      </c>
      <c r="R73">
        <f>IFERROR(MATCH(SMALL(Calc!$BK$2:$BK$2001,64),Calc!$BK$2:$BK$2001,0),"")</f>
        <v/>
      </c>
    </row>
    <row r="74">
      <c r="B74" s="73">
        <f>IF(R74="","",65)</f>
        <v/>
      </c>
      <c r="C74" s="75">
        <f>IF($R74="","",IF(INDEX(Calc!$AU$2:$AU$2001,$R74)="","",INDEX(Calc!$AU$2:$AU$2001,$R74)))</f>
        <v/>
      </c>
      <c r="D74" s="73">
        <f>IF($R74="","",IF(INDEX(Calc!$AV$2:$AV$2001,$R74)="","",INDEX(Calc!$AV$2:$AV$2001,$R74)))</f>
        <v/>
      </c>
      <c r="E74" s="76">
        <f>IF($R74="","",IF(INDEX(Calc!$AW$2:$AW$2001,$R74)="","",INDEX(Calc!$AW$2:$AW$2001,$R74)))</f>
        <v/>
      </c>
      <c r="F74" s="72">
        <f>IF(OR(C74="",E74=""),"",E74-Setup!$D$7)</f>
        <v/>
      </c>
      <c r="G74" s="77">
        <f>IF($R74="","",IF(INDEX(Calc!$AX$2:$AX$2001,$R74)="","",INDEX(Calc!$AX$2:$AX$2001,$R74)))</f>
        <v/>
      </c>
      <c r="H74" s="77">
        <f>IF($R74="","",IF(INDEX(Calc!$AY$2:$AY$2001,$R74)="","",INDEX(Calc!$AY$2:$AY$2001,$R74)))</f>
        <v/>
      </c>
      <c r="I74" s="73">
        <f>IF(OR(G74="",H74=""),"",TRIM(IF(HOUR(H74-G74)&gt;0,HOUR(H74-G74)&amp;" hr ","")&amp;IF(MINUTE(H74-G74)&gt;0,MINUTE(H74-G74)&amp;" min","")))</f>
        <v/>
      </c>
      <c r="J74" s="73">
        <f>IF($R74="","",IF(INDEX(Calc!$AZ$2:$AZ$2001,$R74)="","",INDEX(Calc!$AZ$2:$AZ$2001,$R74)))</f>
        <v/>
      </c>
      <c r="K74" s="85">
        <f>IF($R74="","",IF(INDEX(Calc!$BE$2:$BE$2001,$R74)="","",INDEX(Calc!$BE$2:$BE$2001,$R74)))</f>
        <v/>
      </c>
      <c r="L74" s="73">
        <f>IF($R74="","",IF(INDEX(Calc!$BA$2:$BA$2001,$R74)="","",INDEX(Calc!$BA$2:$BA$2001,$R74)))</f>
        <v/>
      </c>
      <c r="M74" s="73">
        <f>IF($R74="","",IF(INDEX(Calc!$BB$2:$BB$2001,$R74)="","",INDEX(Calc!$BB$2:$BB$2001,$R74)))</f>
        <v/>
      </c>
      <c r="N74" s="73">
        <f>IF($R74="","",IF(INDEX(Calc!$BC$2:$BC$2001,$R74)="","",INDEX(Calc!$BC$2:$BC$2001,$R74)))</f>
        <v/>
      </c>
      <c r="O74" s="73">
        <f>IF($R74="","",IF(INDEX(Calc!$BD$2:$BD$2001,$R74)="","",INDEX(Calc!$BD$2:$BD$2001,$R74)))</f>
        <v/>
      </c>
      <c r="P74" s="86">
        <f>IF(R74="","",HYPERLINK("#'"&amp;IF(INDEX(Calc!$AS$2:$AS$2001,R74)="R","Recurring Log","Variable Tasks")&amp;"'!J"&amp;INDEX(Calc!$AT$2:$AT$2001,R74),"✎ edit"))</f>
        <v/>
      </c>
      <c r="R74">
        <f>IFERROR(MATCH(SMALL(Calc!$BK$2:$BK$2001,65),Calc!$BK$2:$BK$2001,0),"")</f>
        <v/>
      </c>
    </row>
    <row r="75">
      <c r="B75" s="36">
        <f>IF(R75="","",66)</f>
        <v/>
      </c>
      <c r="C75" s="37">
        <f>IF($R75="","",IF(INDEX(Calc!$AU$2:$AU$2001,$R75)="","",INDEX(Calc!$AU$2:$AU$2001,$R75)))</f>
        <v/>
      </c>
      <c r="D75" s="36">
        <f>IF($R75="","",IF(INDEX(Calc!$AV$2:$AV$2001,$R75)="","",INDEX(Calc!$AV$2:$AV$2001,$R75)))</f>
        <v/>
      </c>
      <c r="E75" s="38">
        <f>IF($R75="","",IF(INDEX(Calc!$AW$2:$AW$2001,$R75)="","",INDEX(Calc!$AW$2:$AW$2001,$R75)))</f>
        <v/>
      </c>
      <c r="F75" s="68">
        <f>IF(OR(C75="",E75=""),"",E75-Setup!$D$7)</f>
        <v/>
      </c>
      <c r="G75" s="74">
        <f>IF($R75="","",IF(INDEX(Calc!$AX$2:$AX$2001,$R75)="","",INDEX(Calc!$AX$2:$AX$2001,$R75)))</f>
        <v/>
      </c>
      <c r="H75" s="74">
        <f>IF($R75="","",IF(INDEX(Calc!$AY$2:$AY$2001,$R75)="","",INDEX(Calc!$AY$2:$AY$2001,$R75)))</f>
        <v/>
      </c>
      <c r="I75" s="36">
        <f>IF(OR(G75="",H75=""),"",TRIM(IF(HOUR(H75-G75)&gt;0,HOUR(H75-G75)&amp;" hr ","")&amp;IF(MINUTE(H75-G75)&gt;0,MINUTE(H75-G75)&amp;" min","")))</f>
        <v/>
      </c>
      <c r="J75" s="36">
        <f>IF($R75="","",IF(INDEX(Calc!$AZ$2:$AZ$2001,$R75)="","",INDEX(Calc!$AZ$2:$AZ$2001,$R75)))</f>
        <v/>
      </c>
      <c r="K75" s="87">
        <f>IF($R75="","",IF(INDEX(Calc!$BE$2:$BE$2001,$R75)="","",INDEX(Calc!$BE$2:$BE$2001,$R75)))</f>
        <v/>
      </c>
      <c r="L75" s="36">
        <f>IF($R75="","",IF(INDEX(Calc!$BA$2:$BA$2001,$R75)="","",INDEX(Calc!$BA$2:$BA$2001,$R75)))</f>
        <v/>
      </c>
      <c r="M75" s="36">
        <f>IF($R75="","",IF(INDEX(Calc!$BB$2:$BB$2001,$R75)="","",INDEX(Calc!$BB$2:$BB$2001,$R75)))</f>
        <v/>
      </c>
      <c r="N75" s="36">
        <f>IF($R75="","",IF(INDEX(Calc!$BC$2:$BC$2001,$R75)="","",INDEX(Calc!$BC$2:$BC$2001,$R75)))</f>
        <v/>
      </c>
      <c r="O75" s="36">
        <f>IF($R75="","",IF(INDEX(Calc!$BD$2:$BD$2001,$R75)="","",INDEX(Calc!$BD$2:$BD$2001,$R75)))</f>
        <v/>
      </c>
      <c r="P75" s="88">
        <f>IF(R75="","",HYPERLINK("#'"&amp;IF(INDEX(Calc!$AS$2:$AS$2001,R75)="R","Recurring Log","Variable Tasks")&amp;"'!J"&amp;INDEX(Calc!$AT$2:$AT$2001,R75),"✎ edit"))</f>
        <v/>
      </c>
      <c r="R75">
        <f>IFERROR(MATCH(SMALL(Calc!$BK$2:$BK$2001,66),Calc!$BK$2:$BK$2001,0),"")</f>
        <v/>
      </c>
    </row>
    <row r="76">
      <c r="B76" s="73">
        <f>IF(R76="","",67)</f>
        <v/>
      </c>
      <c r="C76" s="75">
        <f>IF($R76="","",IF(INDEX(Calc!$AU$2:$AU$2001,$R76)="","",INDEX(Calc!$AU$2:$AU$2001,$R76)))</f>
        <v/>
      </c>
      <c r="D76" s="73">
        <f>IF($R76="","",IF(INDEX(Calc!$AV$2:$AV$2001,$R76)="","",INDEX(Calc!$AV$2:$AV$2001,$R76)))</f>
        <v/>
      </c>
      <c r="E76" s="76">
        <f>IF($R76="","",IF(INDEX(Calc!$AW$2:$AW$2001,$R76)="","",INDEX(Calc!$AW$2:$AW$2001,$R76)))</f>
        <v/>
      </c>
      <c r="F76" s="72">
        <f>IF(OR(C76="",E76=""),"",E76-Setup!$D$7)</f>
        <v/>
      </c>
      <c r="G76" s="77">
        <f>IF($R76="","",IF(INDEX(Calc!$AX$2:$AX$2001,$R76)="","",INDEX(Calc!$AX$2:$AX$2001,$R76)))</f>
        <v/>
      </c>
      <c r="H76" s="77">
        <f>IF($R76="","",IF(INDEX(Calc!$AY$2:$AY$2001,$R76)="","",INDEX(Calc!$AY$2:$AY$2001,$R76)))</f>
        <v/>
      </c>
      <c r="I76" s="73">
        <f>IF(OR(G76="",H76=""),"",TRIM(IF(HOUR(H76-G76)&gt;0,HOUR(H76-G76)&amp;" hr ","")&amp;IF(MINUTE(H76-G76)&gt;0,MINUTE(H76-G76)&amp;" min","")))</f>
        <v/>
      </c>
      <c r="J76" s="73">
        <f>IF($R76="","",IF(INDEX(Calc!$AZ$2:$AZ$2001,$R76)="","",INDEX(Calc!$AZ$2:$AZ$2001,$R76)))</f>
        <v/>
      </c>
      <c r="K76" s="85">
        <f>IF($R76="","",IF(INDEX(Calc!$BE$2:$BE$2001,$R76)="","",INDEX(Calc!$BE$2:$BE$2001,$R76)))</f>
        <v/>
      </c>
      <c r="L76" s="73">
        <f>IF($R76="","",IF(INDEX(Calc!$BA$2:$BA$2001,$R76)="","",INDEX(Calc!$BA$2:$BA$2001,$R76)))</f>
        <v/>
      </c>
      <c r="M76" s="73">
        <f>IF($R76="","",IF(INDEX(Calc!$BB$2:$BB$2001,$R76)="","",INDEX(Calc!$BB$2:$BB$2001,$R76)))</f>
        <v/>
      </c>
      <c r="N76" s="73">
        <f>IF($R76="","",IF(INDEX(Calc!$BC$2:$BC$2001,$R76)="","",INDEX(Calc!$BC$2:$BC$2001,$R76)))</f>
        <v/>
      </c>
      <c r="O76" s="73">
        <f>IF($R76="","",IF(INDEX(Calc!$BD$2:$BD$2001,$R76)="","",INDEX(Calc!$BD$2:$BD$2001,$R76)))</f>
        <v/>
      </c>
      <c r="P76" s="86">
        <f>IF(R76="","",HYPERLINK("#'"&amp;IF(INDEX(Calc!$AS$2:$AS$2001,R76)="R","Recurring Log","Variable Tasks")&amp;"'!J"&amp;INDEX(Calc!$AT$2:$AT$2001,R76),"✎ edit"))</f>
        <v/>
      </c>
      <c r="R76">
        <f>IFERROR(MATCH(SMALL(Calc!$BK$2:$BK$2001,67),Calc!$BK$2:$BK$2001,0),"")</f>
        <v/>
      </c>
    </row>
    <row r="77">
      <c r="B77" s="36">
        <f>IF(R77="","",68)</f>
        <v/>
      </c>
      <c r="C77" s="37">
        <f>IF($R77="","",IF(INDEX(Calc!$AU$2:$AU$2001,$R77)="","",INDEX(Calc!$AU$2:$AU$2001,$R77)))</f>
        <v/>
      </c>
      <c r="D77" s="36">
        <f>IF($R77="","",IF(INDEX(Calc!$AV$2:$AV$2001,$R77)="","",INDEX(Calc!$AV$2:$AV$2001,$R77)))</f>
        <v/>
      </c>
      <c r="E77" s="38">
        <f>IF($R77="","",IF(INDEX(Calc!$AW$2:$AW$2001,$R77)="","",INDEX(Calc!$AW$2:$AW$2001,$R77)))</f>
        <v/>
      </c>
      <c r="F77" s="68">
        <f>IF(OR(C77="",E77=""),"",E77-Setup!$D$7)</f>
        <v/>
      </c>
      <c r="G77" s="74">
        <f>IF($R77="","",IF(INDEX(Calc!$AX$2:$AX$2001,$R77)="","",INDEX(Calc!$AX$2:$AX$2001,$R77)))</f>
        <v/>
      </c>
      <c r="H77" s="74">
        <f>IF($R77="","",IF(INDEX(Calc!$AY$2:$AY$2001,$R77)="","",INDEX(Calc!$AY$2:$AY$2001,$R77)))</f>
        <v/>
      </c>
      <c r="I77" s="36">
        <f>IF(OR(G77="",H77=""),"",TRIM(IF(HOUR(H77-G77)&gt;0,HOUR(H77-G77)&amp;" hr ","")&amp;IF(MINUTE(H77-G77)&gt;0,MINUTE(H77-G77)&amp;" min","")))</f>
        <v/>
      </c>
      <c r="J77" s="36">
        <f>IF($R77="","",IF(INDEX(Calc!$AZ$2:$AZ$2001,$R77)="","",INDEX(Calc!$AZ$2:$AZ$2001,$R77)))</f>
        <v/>
      </c>
      <c r="K77" s="87">
        <f>IF($R77="","",IF(INDEX(Calc!$BE$2:$BE$2001,$R77)="","",INDEX(Calc!$BE$2:$BE$2001,$R77)))</f>
        <v/>
      </c>
      <c r="L77" s="36">
        <f>IF($R77="","",IF(INDEX(Calc!$BA$2:$BA$2001,$R77)="","",INDEX(Calc!$BA$2:$BA$2001,$R77)))</f>
        <v/>
      </c>
      <c r="M77" s="36">
        <f>IF($R77="","",IF(INDEX(Calc!$BB$2:$BB$2001,$R77)="","",INDEX(Calc!$BB$2:$BB$2001,$R77)))</f>
        <v/>
      </c>
      <c r="N77" s="36">
        <f>IF($R77="","",IF(INDEX(Calc!$BC$2:$BC$2001,$R77)="","",INDEX(Calc!$BC$2:$BC$2001,$R77)))</f>
        <v/>
      </c>
      <c r="O77" s="36">
        <f>IF($R77="","",IF(INDEX(Calc!$BD$2:$BD$2001,$R77)="","",INDEX(Calc!$BD$2:$BD$2001,$R77)))</f>
        <v/>
      </c>
      <c r="P77" s="88">
        <f>IF(R77="","",HYPERLINK("#'"&amp;IF(INDEX(Calc!$AS$2:$AS$2001,R77)="R","Recurring Log","Variable Tasks")&amp;"'!J"&amp;INDEX(Calc!$AT$2:$AT$2001,R77),"✎ edit"))</f>
        <v/>
      </c>
      <c r="R77">
        <f>IFERROR(MATCH(SMALL(Calc!$BK$2:$BK$2001,68),Calc!$BK$2:$BK$2001,0),"")</f>
        <v/>
      </c>
    </row>
    <row r="78">
      <c r="B78" s="73">
        <f>IF(R78="","",69)</f>
        <v/>
      </c>
      <c r="C78" s="75">
        <f>IF($R78="","",IF(INDEX(Calc!$AU$2:$AU$2001,$R78)="","",INDEX(Calc!$AU$2:$AU$2001,$R78)))</f>
        <v/>
      </c>
      <c r="D78" s="73">
        <f>IF($R78="","",IF(INDEX(Calc!$AV$2:$AV$2001,$R78)="","",INDEX(Calc!$AV$2:$AV$2001,$R78)))</f>
        <v/>
      </c>
      <c r="E78" s="76">
        <f>IF($R78="","",IF(INDEX(Calc!$AW$2:$AW$2001,$R78)="","",INDEX(Calc!$AW$2:$AW$2001,$R78)))</f>
        <v/>
      </c>
      <c r="F78" s="72">
        <f>IF(OR(C78="",E78=""),"",E78-Setup!$D$7)</f>
        <v/>
      </c>
      <c r="G78" s="77">
        <f>IF($R78="","",IF(INDEX(Calc!$AX$2:$AX$2001,$R78)="","",INDEX(Calc!$AX$2:$AX$2001,$R78)))</f>
        <v/>
      </c>
      <c r="H78" s="77">
        <f>IF($R78="","",IF(INDEX(Calc!$AY$2:$AY$2001,$R78)="","",INDEX(Calc!$AY$2:$AY$2001,$R78)))</f>
        <v/>
      </c>
      <c r="I78" s="73">
        <f>IF(OR(G78="",H78=""),"",TRIM(IF(HOUR(H78-G78)&gt;0,HOUR(H78-G78)&amp;" hr ","")&amp;IF(MINUTE(H78-G78)&gt;0,MINUTE(H78-G78)&amp;" min","")))</f>
        <v/>
      </c>
      <c r="J78" s="73">
        <f>IF($R78="","",IF(INDEX(Calc!$AZ$2:$AZ$2001,$R78)="","",INDEX(Calc!$AZ$2:$AZ$2001,$R78)))</f>
        <v/>
      </c>
      <c r="K78" s="85">
        <f>IF($R78="","",IF(INDEX(Calc!$BE$2:$BE$2001,$R78)="","",INDEX(Calc!$BE$2:$BE$2001,$R78)))</f>
        <v/>
      </c>
      <c r="L78" s="73">
        <f>IF($R78="","",IF(INDEX(Calc!$BA$2:$BA$2001,$R78)="","",INDEX(Calc!$BA$2:$BA$2001,$R78)))</f>
        <v/>
      </c>
      <c r="M78" s="73">
        <f>IF($R78="","",IF(INDEX(Calc!$BB$2:$BB$2001,$R78)="","",INDEX(Calc!$BB$2:$BB$2001,$R78)))</f>
        <v/>
      </c>
      <c r="N78" s="73">
        <f>IF($R78="","",IF(INDEX(Calc!$BC$2:$BC$2001,$R78)="","",INDEX(Calc!$BC$2:$BC$2001,$R78)))</f>
        <v/>
      </c>
      <c r="O78" s="73">
        <f>IF($R78="","",IF(INDEX(Calc!$BD$2:$BD$2001,$R78)="","",INDEX(Calc!$BD$2:$BD$2001,$R78)))</f>
        <v/>
      </c>
      <c r="P78" s="86">
        <f>IF(R78="","",HYPERLINK("#'"&amp;IF(INDEX(Calc!$AS$2:$AS$2001,R78)="R","Recurring Log","Variable Tasks")&amp;"'!J"&amp;INDEX(Calc!$AT$2:$AT$2001,R78),"✎ edit"))</f>
        <v/>
      </c>
      <c r="R78">
        <f>IFERROR(MATCH(SMALL(Calc!$BK$2:$BK$2001,69),Calc!$BK$2:$BK$2001,0),"")</f>
        <v/>
      </c>
    </row>
    <row r="79">
      <c r="B79" s="36">
        <f>IF(R79="","",70)</f>
        <v/>
      </c>
      <c r="C79" s="37">
        <f>IF($R79="","",IF(INDEX(Calc!$AU$2:$AU$2001,$R79)="","",INDEX(Calc!$AU$2:$AU$2001,$R79)))</f>
        <v/>
      </c>
      <c r="D79" s="36">
        <f>IF($R79="","",IF(INDEX(Calc!$AV$2:$AV$2001,$R79)="","",INDEX(Calc!$AV$2:$AV$2001,$R79)))</f>
        <v/>
      </c>
      <c r="E79" s="38">
        <f>IF($R79="","",IF(INDEX(Calc!$AW$2:$AW$2001,$R79)="","",INDEX(Calc!$AW$2:$AW$2001,$R79)))</f>
        <v/>
      </c>
      <c r="F79" s="68">
        <f>IF(OR(C79="",E79=""),"",E79-Setup!$D$7)</f>
        <v/>
      </c>
      <c r="G79" s="74">
        <f>IF($R79="","",IF(INDEX(Calc!$AX$2:$AX$2001,$R79)="","",INDEX(Calc!$AX$2:$AX$2001,$R79)))</f>
        <v/>
      </c>
      <c r="H79" s="74">
        <f>IF($R79="","",IF(INDEX(Calc!$AY$2:$AY$2001,$R79)="","",INDEX(Calc!$AY$2:$AY$2001,$R79)))</f>
        <v/>
      </c>
      <c r="I79" s="36">
        <f>IF(OR(G79="",H79=""),"",TRIM(IF(HOUR(H79-G79)&gt;0,HOUR(H79-G79)&amp;" hr ","")&amp;IF(MINUTE(H79-G79)&gt;0,MINUTE(H79-G79)&amp;" min","")))</f>
        <v/>
      </c>
      <c r="J79" s="36">
        <f>IF($R79="","",IF(INDEX(Calc!$AZ$2:$AZ$2001,$R79)="","",INDEX(Calc!$AZ$2:$AZ$2001,$R79)))</f>
        <v/>
      </c>
      <c r="K79" s="87">
        <f>IF($R79="","",IF(INDEX(Calc!$BE$2:$BE$2001,$R79)="","",INDEX(Calc!$BE$2:$BE$2001,$R79)))</f>
        <v/>
      </c>
      <c r="L79" s="36">
        <f>IF($R79="","",IF(INDEX(Calc!$BA$2:$BA$2001,$R79)="","",INDEX(Calc!$BA$2:$BA$2001,$R79)))</f>
        <v/>
      </c>
      <c r="M79" s="36">
        <f>IF($R79="","",IF(INDEX(Calc!$BB$2:$BB$2001,$R79)="","",INDEX(Calc!$BB$2:$BB$2001,$R79)))</f>
        <v/>
      </c>
      <c r="N79" s="36">
        <f>IF($R79="","",IF(INDEX(Calc!$BC$2:$BC$2001,$R79)="","",INDEX(Calc!$BC$2:$BC$2001,$R79)))</f>
        <v/>
      </c>
      <c r="O79" s="36">
        <f>IF($R79="","",IF(INDEX(Calc!$BD$2:$BD$2001,$R79)="","",INDEX(Calc!$BD$2:$BD$2001,$R79)))</f>
        <v/>
      </c>
      <c r="P79" s="88">
        <f>IF(R79="","",HYPERLINK("#'"&amp;IF(INDEX(Calc!$AS$2:$AS$2001,R79)="R","Recurring Log","Variable Tasks")&amp;"'!J"&amp;INDEX(Calc!$AT$2:$AT$2001,R79),"✎ edit"))</f>
        <v/>
      </c>
      <c r="R79">
        <f>IFERROR(MATCH(SMALL(Calc!$BK$2:$BK$2001,70),Calc!$BK$2:$BK$2001,0),"")</f>
        <v/>
      </c>
    </row>
    <row r="80">
      <c r="B80" s="73">
        <f>IF(R80="","",71)</f>
        <v/>
      </c>
      <c r="C80" s="75">
        <f>IF($R80="","",IF(INDEX(Calc!$AU$2:$AU$2001,$R80)="","",INDEX(Calc!$AU$2:$AU$2001,$R80)))</f>
        <v/>
      </c>
      <c r="D80" s="73">
        <f>IF($R80="","",IF(INDEX(Calc!$AV$2:$AV$2001,$R80)="","",INDEX(Calc!$AV$2:$AV$2001,$R80)))</f>
        <v/>
      </c>
      <c r="E80" s="76">
        <f>IF($R80="","",IF(INDEX(Calc!$AW$2:$AW$2001,$R80)="","",INDEX(Calc!$AW$2:$AW$2001,$R80)))</f>
        <v/>
      </c>
      <c r="F80" s="72">
        <f>IF(OR(C80="",E80=""),"",E80-Setup!$D$7)</f>
        <v/>
      </c>
      <c r="G80" s="77">
        <f>IF($R80="","",IF(INDEX(Calc!$AX$2:$AX$2001,$R80)="","",INDEX(Calc!$AX$2:$AX$2001,$R80)))</f>
        <v/>
      </c>
      <c r="H80" s="77">
        <f>IF($R80="","",IF(INDEX(Calc!$AY$2:$AY$2001,$R80)="","",INDEX(Calc!$AY$2:$AY$2001,$R80)))</f>
        <v/>
      </c>
      <c r="I80" s="73">
        <f>IF(OR(G80="",H80=""),"",TRIM(IF(HOUR(H80-G80)&gt;0,HOUR(H80-G80)&amp;" hr ","")&amp;IF(MINUTE(H80-G80)&gt;0,MINUTE(H80-G80)&amp;" min","")))</f>
        <v/>
      </c>
      <c r="J80" s="73">
        <f>IF($R80="","",IF(INDEX(Calc!$AZ$2:$AZ$2001,$R80)="","",INDEX(Calc!$AZ$2:$AZ$2001,$R80)))</f>
        <v/>
      </c>
      <c r="K80" s="85">
        <f>IF($R80="","",IF(INDEX(Calc!$BE$2:$BE$2001,$R80)="","",INDEX(Calc!$BE$2:$BE$2001,$R80)))</f>
        <v/>
      </c>
      <c r="L80" s="73">
        <f>IF($R80="","",IF(INDEX(Calc!$BA$2:$BA$2001,$R80)="","",INDEX(Calc!$BA$2:$BA$2001,$R80)))</f>
        <v/>
      </c>
      <c r="M80" s="73">
        <f>IF($R80="","",IF(INDEX(Calc!$BB$2:$BB$2001,$R80)="","",INDEX(Calc!$BB$2:$BB$2001,$R80)))</f>
        <v/>
      </c>
      <c r="N80" s="73">
        <f>IF($R80="","",IF(INDEX(Calc!$BC$2:$BC$2001,$R80)="","",INDEX(Calc!$BC$2:$BC$2001,$R80)))</f>
        <v/>
      </c>
      <c r="O80" s="73">
        <f>IF($R80="","",IF(INDEX(Calc!$BD$2:$BD$2001,$R80)="","",INDEX(Calc!$BD$2:$BD$2001,$R80)))</f>
        <v/>
      </c>
      <c r="P80" s="86">
        <f>IF(R80="","",HYPERLINK("#'"&amp;IF(INDEX(Calc!$AS$2:$AS$2001,R80)="R","Recurring Log","Variable Tasks")&amp;"'!J"&amp;INDEX(Calc!$AT$2:$AT$2001,R80),"✎ edit"))</f>
        <v/>
      </c>
      <c r="R80">
        <f>IFERROR(MATCH(SMALL(Calc!$BK$2:$BK$2001,71),Calc!$BK$2:$BK$2001,0),"")</f>
        <v/>
      </c>
    </row>
    <row r="81">
      <c r="B81" s="36">
        <f>IF(R81="","",72)</f>
        <v/>
      </c>
      <c r="C81" s="37">
        <f>IF($R81="","",IF(INDEX(Calc!$AU$2:$AU$2001,$R81)="","",INDEX(Calc!$AU$2:$AU$2001,$R81)))</f>
        <v/>
      </c>
      <c r="D81" s="36">
        <f>IF($R81="","",IF(INDEX(Calc!$AV$2:$AV$2001,$R81)="","",INDEX(Calc!$AV$2:$AV$2001,$R81)))</f>
        <v/>
      </c>
      <c r="E81" s="38">
        <f>IF($R81="","",IF(INDEX(Calc!$AW$2:$AW$2001,$R81)="","",INDEX(Calc!$AW$2:$AW$2001,$R81)))</f>
        <v/>
      </c>
      <c r="F81" s="68">
        <f>IF(OR(C81="",E81=""),"",E81-Setup!$D$7)</f>
        <v/>
      </c>
      <c r="G81" s="74">
        <f>IF($R81="","",IF(INDEX(Calc!$AX$2:$AX$2001,$R81)="","",INDEX(Calc!$AX$2:$AX$2001,$R81)))</f>
        <v/>
      </c>
      <c r="H81" s="74">
        <f>IF($R81="","",IF(INDEX(Calc!$AY$2:$AY$2001,$R81)="","",INDEX(Calc!$AY$2:$AY$2001,$R81)))</f>
        <v/>
      </c>
      <c r="I81" s="36">
        <f>IF(OR(G81="",H81=""),"",TRIM(IF(HOUR(H81-G81)&gt;0,HOUR(H81-G81)&amp;" hr ","")&amp;IF(MINUTE(H81-G81)&gt;0,MINUTE(H81-G81)&amp;" min","")))</f>
        <v/>
      </c>
      <c r="J81" s="36">
        <f>IF($R81="","",IF(INDEX(Calc!$AZ$2:$AZ$2001,$R81)="","",INDEX(Calc!$AZ$2:$AZ$2001,$R81)))</f>
        <v/>
      </c>
      <c r="K81" s="87">
        <f>IF($R81="","",IF(INDEX(Calc!$BE$2:$BE$2001,$R81)="","",INDEX(Calc!$BE$2:$BE$2001,$R81)))</f>
        <v/>
      </c>
      <c r="L81" s="36">
        <f>IF($R81="","",IF(INDEX(Calc!$BA$2:$BA$2001,$R81)="","",INDEX(Calc!$BA$2:$BA$2001,$R81)))</f>
        <v/>
      </c>
      <c r="M81" s="36">
        <f>IF($R81="","",IF(INDEX(Calc!$BB$2:$BB$2001,$R81)="","",INDEX(Calc!$BB$2:$BB$2001,$R81)))</f>
        <v/>
      </c>
      <c r="N81" s="36">
        <f>IF($R81="","",IF(INDEX(Calc!$BC$2:$BC$2001,$R81)="","",INDEX(Calc!$BC$2:$BC$2001,$R81)))</f>
        <v/>
      </c>
      <c r="O81" s="36">
        <f>IF($R81="","",IF(INDEX(Calc!$BD$2:$BD$2001,$R81)="","",INDEX(Calc!$BD$2:$BD$2001,$R81)))</f>
        <v/>
      </c>
      <c r="P81" s="88">
        <f>IF(R81="","",HYPERLINK("#'"&amp;IF(INDEX(Calc!$AS$2:$AS$2001,R81)="R","Recurring Log","Variable Tasks")&amp;"'!J"&amp;INDEX(Calc!$AT$2:$AT$2001,R81),"✎ edit"))</f>
        <v/>
      </c>
      <c r="R81">
        <f>IFERROR(MATCH(SMALL(Calc!$BK$2:$BK$2001,72),Calc!$BK$2:$BK$2001,0),"")</f>
        <v/>
      </c>
    </row>
    <row r="82">
      <c r="B82" s="73">
        <f>IF(R82="","",73)</f>
        <v/>
      </c>
      <c r="C82" s="75">
        <f>IF($R82="","",IF(INDEX(Calc!$AU$2:$AU$2001,$R82)="","",INDEX(Calc!$AU$2:$AU$2001,$R82)))</f>
        <v/>
      </c>
      <c r="D82" s="73">
        <f>IF($R82="","",IF(INDEX(Calc!$AV$2:$AV$2001,$R82)="","",INDEX(Calc!$AV$2:$AV$2001,$R82)))</f>
        <v/>
      </c>
      <c r="E82" s="76">
        <f>IF($R82="","",IF(INDEX(Calc!$AW$2:$AW$2001,$R82)="","",INDEX(Calc!$AW$2:$AW$2001,$R82)))</f>
        <v/>
      </c>
      <c r="F82" s="72">
        <f>IF(OR(C82="",E82=""),"",E82-Setup!$D$7)</f>
        <v/>
      </c>
      <c r="G82" s="77">
        <f>IF($R82="","",IF(INDEX(Calc!$AX$2:$AX$2001,$R82)="","",INDEX(Calc!$AX$2:$AX$2001,$R82)))</f>
        <v/>
      </c>
      <c r="H82" s="77">
        <f>IF($R82="","",IF(INDEX(Calc!$AY$2:$AY$2001,$R82)="","",INDEX(Calc!$AY$2:$AY$2001,$R82)))</f>
        <v/>
      </c>
      <c r="I82" s="73">
        <f>IF(OR(G82="",H82=""),"",TRIM(IF(HOUR(H82-G82)&gt;0,HOUR(H82-G82)&amp;" hr ","")&amp;IF(MINUTE(H82-G82)&gt;0,MINUTE(H82-G82)&amp;" min","")))</f>
        <v/>
      </c>
      <c r="J82" s="73">
        <f>IF($R82="","",IF(INDEX(Calc!$AZ$2:$AZ$2001,$R82)="","",INDEX(Calc!$AZ$2:$AZ$2001,$R82)))</f>
        <v/>
      </c>
      <c r="K82" s="85">
        <f>IF($R82="","",IF(INDEX(Calc!$BE$2:$BE$2001,$R82)="","",INDEX(Calc!$BE$2:$BE$2001,$R82)))</f>
        <v/>
      </c>
      <c r="L82" s="73">
        <f>IF($R82="","",IF(INDEX(Calc!$BA$2:$BA$2001,$R82)="","",INDEX(Calc!$BA$2:$BA$2001,$R82)))</f>
        <v/>
      </c>
      <c r="M82" s="73">
        <f>IF($R82="","",IF(INDEX(Calc!$BB$2:$BB$2001,$R82)="","",INDEX(Calc!$BB$2:$BB$2001,$R82)))</f>
        <v/>
      </c>
      <c r="N82" s="73">
        <f>IF($R82="","",IF(INDEX(Calc!$BC$2:$BC$2001,$R82)="","",INDEX(Calc!$BC$2:$BC$2001,$R82)))</f>
        <v/>
      </c>
      <c r="O82" s="73">
        <f>IF($R82="","",IF(INDEX(Calc!$BD$2:$BD$2001,$R82)="","",INDEX(Calc!$BD$2:$BD$2001,$R82)))</f>
        <v/>
      </c>
      <c r="P82" s="86">
        <f>IF(R82="","",HYPERLINK("#'"&amp;IF(INDEX(Calc!$AS$2:$AS$2001,R82)="R","Recurring Log","Variable Tasks")&amp;"'!J"&amp;INDEX(Calc!$AT$2:$AT$2001,R82),"✎ edit"))</f>
        <v/>
      </c>
      <c r="R82">
        <f>IFERROR(MATCH(SMALL(Calc!$BK$2:$BK$2001,73),Calc!$BK$2:$BK$2001,0),"")</f>
        <v/>
      </c>
    </row>
    <row r="83">
      <c r="B83" s="36">
        <f>IF(R83="","",74)</f>
        <v/>
      </c>
      <c r="C83" s="37">
        <f>IF($R83="","",IF(INDEX(Calc!$AU$2:$AU$2001,$R83)="","",INDEX(Calc!$AU$2:$AU$2001,$R83)))</f>
        <v/>
      </c>
      <c r="D83" s="36">
        <f>IF($R83="","",IF(INDEX(Calc!$AV$2:$AV$2001,$R83)="","",INDEX(Calc!$AV$2:$AV$2001,$R83)))</f>
        <v/>
      </c>
      <c r="E83" s="38">
        <f>IF($R83="","",IF(INDEX(Calc!$AW$2:$AW$2001,$R83)="","",INDEX(Calc!$AW$2:$AW$2001,$R83)))</f>
        <v/>
      </c>
      <c r="F83" s="68">
        <f>IF(OR(C83="",E83=""),"",E83-Setup!$D$7)</f>
        <v/>
      </c>
      <c r="G83" s="74">
        <f>IF($R83="","",IF(INDEX(Calc!$AX$2:$AX$2001,$R83)="","",INDEX(Calc!$AX$2:$AX$2001,$R83)))</f>
        <v/>
      </c>
      <c r="H83" s="74">
        <f>IF($R83="","",IF(INDEX(Calc!$AY$2:$AY$2001,$R83)="","",INDEX(Calc!$AY$2:$AY$2001,$R83)))</f>
        <v/>
      </c>
      <c r="I83" s="36">
        <f>IF(OR(G83="",H83=""),"",TRIM(IF(HOUR(H83-G83)&gt;0,HOUR(H83-G83)&amp;" hr ","")&amp;IF(MINUTE(H83-G83)&gt;0,MINUTE(H83-G83)&amp;" min","")))</f>
        <v/>
      </c>
      <c r="J83" s="36">
        <f>IF($R83="","",IF(INDEX(Calc!$AZ$2:$AZ$2001,$R83)="","",INDEX(Calc!$AZ$2:$AZ$2001,$R83)))</f>
        <v/>
      </c>
      <c r="K83" s="87">
        <f>IF($R83="","",IF(INDEX(Calc!$BE$2:$BE$2001,$R83)="","",INDEX(Calc!$BE$2:$BE$2001,$R83)))</f>
        <v/>
      </c>
      <c r="L83" s="36">
        <f>IF($R83="","",IF(INDEX(Calc!$BA$2:$BA$2001,$R83)="","",INDEX(Calc!$BA$2:$BA$2001,$R83)))</f>
        <v/>
      </c>
      <c r="M83" s="36">
        <f>IF($R83="","",IF(INDEX(Calc!$BB$2:$BB$2001,$R83)="","",INDEX(Calc!$BB$2:$BB$2001,$R83)))</f>
        <v/>
      </c>
      <c r="N83" s="36">
        <f>IF($R83="","",IF(INDEX(Calc!$BC$2:$BC$2001,$R83)="","",INDEX(Calc!$BC$2:$BC$2001,$R83)))</f>
        <v/>
      </c>
      <c r="O83" s="36">
        <f>IF($R83="","",IF(INDEX(Calc!$BD$2:$BD$2001,$R83)="","",INDEX(Calc!$BD$2:$BD$2001,$R83)))</f>
        <v/>
      </c>
      <c r="P83" s="88">
        <f>IF(R83="","",HYPERLINK("#'"&amp;IF(INDEX(Calc!$AS$2:$AS$2001,R83)="R","Recurring Log","Variable Tasks")&amp;"'!J"&amp;INDEX(Calc!$AT$2:$AT$2001,R83),"✎ edit"))</f>
        <v/>
      </c>
      <c r="R83">
        <f>IFERROR(MATCH(SMALL(Calc!$BK$2:$BK$2001,74),Calc!$BK$2:$BK$2001,0),"")</f>
        <v/>
      </c>
    </row>
    <row r="84">
      <c r="B84" s="73">
        <f>IF(R84="","",75)</f>
        <v/>
      </c>
      <c r="C84" s="75">
        <f>IF($R84="","",IF(INDEX(Calc!$AU$2:$AU$2001,$R84)="","",INDEX(Calc!$AU$2:$AU$2001,$R84)))</f>
        <v/>
      </c>
      <c r="D84" s="73">
        <f>IF($R84="","",IF(INDEX(Calc!$AV$2:$AV$2001,$R84)="","",INDEX(Calc!$AV$2:$AV$2001,$R84)))</f>
        <v/>
      </c>
      <c r="E84" s="76">
        <f>IF($R84="","",IF(INDEX(Calc!$AW$2:$AW$2001,$R84)="","",INDEX(Calc!$AW$2:$AW$2001,$R84)))</f>
        <v/>
      </c>
      <c r="F84" s="72">
        <f>IF(OR(C84="",E84=""),"",E84-Setup!$D$7)</f>
        <v/>
      </c>
      <c r="G84" s="77">
        <f>IF($R84="","",IF(INDEX(Calc!$AX$2:$AX$2001,$R84)="","",INDEX(Calc!$AX$2:$AX$2001,$R84)))</f>
        <v/>
      </c>
      <c r="H84" s="77">
        <f>IF($R84="","",IF(INDEX(Calc!$AY$2:$AY$2001,$R84)="","",INDEX(Calc!$AY$2:$AY$2001,$R84)))</f>
        <v/>
      </c>
      <c r="I84" s="73">
        <f>IF(OR(G84="",H84=""),"",TRIM(IF(HOUR(H84-G84)&gt;0,HOUR(H84-G84)&amp;" hr ","")&amp;IF(MINUTE(H84-G84)&gt;0,MINUTE(H84-G84)&amp;" min","")))</f>
        <v/>
      </c>
      <c r="J84" s="73">
        <f>IF($R84="","",IF(INDEX(Calc!$AZ$2:$AZ$2001,$R84)="","",INDEX(Calc!$AZ$2:$AZ$2001,$R84)))</f>
        <v/>
      </c>
      <c r="K84" s="85">
        <f>IF($R84="","",IF(INDEX(Calc!$BE$2:$BE$2001,$R84)="","",INDEX(Calc!$BE$2:$BE$2001,$R84)))</f>
        <v/>
      </c>
      <c r="L84" s="73">
        <f>IF($R84="","",IF(INDEX(Calc!$BA$2:$BA$2001,$R84)="","",INDEX(Calc!$BA$2:$BA$2001,$R84)))</f>
        <v/>
      </c>
      <c r="M84" s="73">
        <f>IF($R84="","",IF(INDEX(Calc!$BB$2:$BB$2001,$R84)="","",INDEX(Calc!$BB$2:$BB$2001,$R84)))</f>
        <v/>
      </c>
      <c r="N84" s="73">
        <f>IF($R84="","",IF(INDEX(Calc!$BC$2:$BC$2001,$R84)="","",INDEX(Calc!$BC$2:$BC$2001,$R84)))</f>
        <v/>
      </c>
      <c r="O84" s="73">
        <f>IF($R84="","",IF(INDEX(Calc!$BD$2:$BD$2001,$R84)="","",INDEX(Calc!$BD$2:$BD$2001,$R84)))</f>
        <v/>
      </c>
      <c r="P84" s="86">
        <f>IF(R84="","",HYPERLINK("#'"&amp;IF(INDEX(Calc!$AS$2:$AS$2001,R84)="R","Recurring Log","Variable Tasks")&amp;"'!J"&amp;INDEX(Calc!$AT$2:$AT$2001,R84),"✎ edit"))</f>
        <v/>
      </c>
      <c r="R84">
        <f>IFERROR(MATCH(SMALL(Calc!$BK$2:$BK$2001,75),Calc!$BK$2:$BK$2001,0),"")</f>
        <v/>
      </c>
    </row>
    <row r="85">
      <c r="B85" s="36">
        <f>IF(R85="","",76)</f>
        <v/>
      </c>
      <c r="C85" s="37">
        <f>IF($R85="","",IF(INDEX(Calc!$AU$2:$AU$2001,$R85)="","",INDEX(Calc!$AU$2:$AU$2001,$R85)))</f>
        <v/>
      </c>
      <c r="D85" s="36">
        <f>IF($R85="","",IF(INDEX(Calc!$AV$2:$AV$2001,$R85)="","",INDEX(Calc!$AV$2:$AV$2001,$R85)))</f>
        <v/>
      </c>
      <c r="E85" s="38">
        <f>IF($R85="","",IF(INDEX(Calc!$AW$2:$AW$2001,$R85)="","",INDEX(Calc!$AW$2:$AW$2001,$R85)))</f>
        <v/>
      </c>
      <c r="F85" s="68">
        <f>IF(OR(C85="",E85=""),"",E85-Setup!$D$7)</f>
        <v/>
      </c>
      <c r="G85" s="74">
        <f>IF($R85="","",IF(INDEX(Calc!$AX$2:$AX$2001,$R85)="","",INDEX(Calc!$AX$2:$AX$2001,$R85)))</f>
        <v/>
      </c>
      <c r="H85" s="74">
        <f>IF($R85="","",IF(INDEX(Calc!$AY$2:$AY$2001,$R85)="","",INDEX(Calc!$AY$2:$AY$2001,$R85)))</f>
        <v/>
      </c>
      <c r="I85" s="36">
        <f>IF(OR(G85="",H85=""),"",TRIM(IF(HOUR(H85-G85)&gt;0,HOUR(H85-G85)&amp;" hr ","")&amp;IF(MINUTE(H85-G85)&gt;0,MINUTE(H85-G85)&amp;" min","")))</f>
        <v/>
      </c>
      <c r="J85" s="36">
        <f>IF($R85="","",IF(INDEX(Calc!$AZ$2:$AZ$2001,$R85)="","",INDEX(Calc!$AZ$2:$AZ$2001,$R85)))</f>
        <v/>
      </c>
      <c r="K85" s="87">
        <f>IF($R85="","",IF(INDEX(Calc!$BE$2:$BE$2001,$R85)="","",INDEX(Calc!$BE$2:$BE$2001,$R85)))</f>
        <v/>
      </c>
      <c r="L85" s="36">
        <f>IF($R85="","",IF(INDEX(Calc!$BA$2:$BA$2001,$R85)="","",INDEX(Calc!$BA$2:$BA$2001,$R85)))</f>
        <v/>
      </c>
      <c r="M85" s="36">
        <f>IF($R85="","",IF(INDEX(Calc!$BB$2:$BB$2001,$R85)="","",INDEX(Calc!$BB$2:$BB$2001,$R85)))</f>
        <v/>
      </c>
      <c r="N85" s="36">
        <f>IF($R85="","",IF(INDEX(Calc!$BC$2:$BC$2001,$R85)="","",INDEX(Calc!$BC$2:$BC$2001,$R85)))</f>
        <v/>
      </c>
      <c r="O85" s="36">
        <f>IF($R85="","",IF(INDEX(Calc!$BD$2:$BD$2001,$R85)="","",INDEX(Calc!$BD$2:$BD$2001,$R85)))</f>
        <v/>
      </c>
      <c r="P85" s="88">
        <f>IF(R85="","",HYPERLINK("#'"&amp;IF(INDEX(Calc!$AS$2:$AS$2001,R85)="R","Recurring Log","Variable Tasks")&amp;"'!J"&amp;INDEX(Calc!$AT$2:$AT$2001,R85),"✎ edit"))</f>
        <v/>
      </c>
      <c r="R85">
        <f>IFERROR(MATCH(SMALL(Calc!$BK$2:$BK$2001,76),Calc!$BK$2:$BK$2001,0),"")</f>
        <v/>
      </c>
    </row>
    <row r="86">
      <c r="B86" s="73">
        <f>IF(R86="","",77)</f>
        <v/>
      </c>
      <c r="C86" s="75">
        <f>IF($R86="","",IF(INDEX(Calc!$AU$2:$AU$2001,$R86)="","",INDEX(Calc!$AU$2:$AU$2001,$R86)))</f>
        <v/>
      </c>
      <c r="D86" s="73">
        <f>IF($R86="","",IF(INDEX(Calc!$AV$2:$AV$2001,$R86)="","",INDEX(Calc!$AV$2:$AV$2001,$R86)))</f>
        <v/>
      </c>
      <c r="E86" s="76">
        <f>IF($R86="","",IF(INDEX(Calc!$AW$2:$AW$2001,$R86)="","",INDEX(Calc!$AW$2:$AW$2001,$R86)))</f>
        <v/>
      </c>
      <c r="F86" s="72">
        <f>IF(OR(C86="",E86=""),"",E86-Setup!$D$7)</f>
        <v/>
      </c>
      <c r="G86" s="77">
        <f>IF($R86="","",IF(INDEX(Calc!$AX$2:$AX$2001,$R86)="","",INDEX(Calc!$AX$2:$AX$2001,$R86)))</f>
        <v/>
      </c>
      <c r="H86" s="77">
        <f>IF($R86="","",IF(INDEX(Calc!$AY$2:$AY$2001,$R86)="","",INDEX(Calc!$AY$2:$AY$2001,$R86)))</f>
        <v/>
      </c>
      <c r="I86" s="73">
        <f>IF(OR(G86="",H86=""),"",TRIM(IF(HOUR(H86-G86)&gt;0,HOUR(H86-G86)&amp;" hr ","")&amp;IF(MINUTE(H86-G86)&gt;0,MINUTE(H86-G86)&amp;" min","")))</f>
        <v/>
      </c>
      <c r="J86" s="73">
        <f>IF($R86="","",IF(INDEX(Calc!$AZ$2:$AZ$2001,$R86)="","",INDEX(Calc!$AZ$2:$AZ$2001,$R86)))</f>
        <v/>
      </c>
      <c r="K86" s="85">
        <f>IF($R86="","",IF(INDEX(Calc!$BE$2:$BE$2001,$R86)="","",INDEX(Calc!$BE$2:$BE$2001,$R86)))</f>
        <v/>
      </c>
      <c r="L86" s="73">
        <f>IF($R86="","",IF(INDEX(Calc!$BA$2:$BA$2001,$R86)="","",INDEX(Calc!$BA$2:$BA$2001,$R86)))</f>
        <v/>
      </c>
      <c r="M86" s="73">
        <f>IF($R86="","",IF(INDEX(Calc!$BB$2:$BB$2001,$R86)="","",INDEX(Calc!$BB$2:$BB$2001,$R86)))</f>
        <v/>
      </c>
      <c r="N86" s="73">
        <f>IF($R86="","",IF(INDEX(Calc!$BC$2:$BC$2001,$R86)="","",INDEX(Calc!$BC$2:$BC$2001,$R86)))</f>
        <v/>
      </c>
      <c r="O86" s="73">
        <f>IF($R86="","",IF(INDEX(Calc!$BD$2:$BD$2001,$R86)="","",INDEX(Calc!$BD$2:$BD$2001,$R86)))</f>
        <v/>
      </c>
      <c r="P86" s="86">
        <f>IF(R86="","",HYPERLINK("#'"&amp;IF(INDEX(Calc!$AS$2:$AS$2001,R86)="R","Recurring Log","Variable Tasks")&amp;"'!J"&amp;INDEX(Calc!$AT$2:$AT$2001,R86),"✎ edit"))</f>
        <v/>
      </c>
      <c r="R86">
        <f>IFERROR(MATCH(SMALL(Calc!$BK$2:$BK$2001,77),Calc!$BK$2:$BK$2001,0),"")</f>
        <v/>
      </c>
    </row>
    <row r="87">
      <c r="B87" s="36">
        <f>IF(R87="","",78)</f>
        <v/>
      </c>
      <c r="C87" s="37">
        <f>IF($R87="","",IF(INDEX(Calc!$AU$2:$AU$2001,$R87)="","",INDEX(Calc!$AU$2:$AU$2001,$R87)))</f>
        <v/>
      </c>
      <c r="D87" s="36">
        <f>IF($R87="","",IF(INDEX(Calc!$AV$2:$AV$2001,$R87)="","",INDEX(Calc!$AV$2:$AV$2001,$R87)))</f>
        <v/>
      </c>
      <c r="E87" s="38">
        <f>IF($R87="","",IF(INDEX(Calc!$AW$2:$AW$2001,$R87)="","",INDEX(Calc!$AW$2:$AW$2001,$R87)))</f>
        <v/>
      </c>
      <c r="F87" s="68">
        <f>IF(OR(C87="",E87=""),"",E87-Setup!$D$7)</f>
        <v/>
      </c>
      <c r="G87" s="74">
        <f>IF($R87="","",IF(INDEX(Calc!$AX$2:$AX$2001,$R87)="","",INDEX(Calc!$AX$2:$AX$2001,$R87)))</f>
        <v/>
      </c>
      <c r="H87" s="74">
        <f>IF($R87="","",IF(INDEX(Calc!$AY$2:$AY$2001,$R87)="","",INDEX(Calc!$AY$2:$AY$2001,$R87)))</f>
        <v/>
      </c>
      <c r="I87" s="36">
        <f>IF(OR(G87="",H87=""),"",TRIM(IF(HOUR(H87-G87)&gt;0,HOUR(H87-G87)&amp;" hr ","")&amp;IF(MINUTE(H87-G87)&gt;0,MINUTE(H87-G87)&amp;" min","")))</f>
        <v/>
      </c>
      <c r="J87" s="36">
        <f>IF($R87="","",IF(INDEX(Calc!$AZ$2:$AZ$2001,$R87)="","",INDEX(Calc!$AZ$2:$AZ$2001,$R87)))</f>
        <v/>
      </c>
      <c r="K87" s="87">
        <f>IF($R87="","",IF(INDEX(Calc!$BE$2:$BE$2001,$R87)="","",INDEX(Calc!$BE$2:$BE$2001,$R87)))</f>
        <v/>
      </c>
      <c r="L87" s="36">
        <f>IF($R87="","",IF(INDEX(Calc!$BA$2:$BA$2001,$R87)="","",INDEX(Calc!$BA$2:$BA$2001,$R87)))</f>
        <v/>
      </c>
      <c r="M87" s="36">
        <f>IF($R87="","",IF(INDEX(Calc!$BB$2:$BB$2001,$R87)="","",INDEX(Calc!$BB$2:$BB$2001,$R87)))</f>
        <v/>
      </c>
      <c r="N87" s="36">
        <f>IF($R87="","",IF(INDEX(Calc!$BC$2:$BC$2001,$R87)="","",INDEX(Calc!$BC$2:$BC$2001,$R87)))</f>
        <v/>
      </c>
      <c r="O87" s="36">
        <f>IF($R87="","",IF(INDEX(Calc!$BD$2:$BD$2001,$R87)="","",INDEX(Calc!$BD$2:$BD$2001,$R87)))</f>
        <v/>
      </c>
      <c r="P87" s="88">
        <f>IF(R87="","",HYPERLINK("#'"&amp;IF(INDEX(Calc!$AS$2:$AS$2001,R87)="R","Recurring Log","Variable Tasks")&amp;"'!J"&amp;INDEX(Calc!$AT$2:$AT$2001,R87),"✎ edit"))</f>
        <v/>
      </c>
      <c r="R87">
        <f>IFERROR(MATCH(SMALL(Calc!$BK$2:$BK$2001,78),Calc!$BK$2:$BK$2001,0),"")</f>
        <v/>
      </c>
    </row>
    <row r="88">
      <c r="B88" s="73">
        <f>IF(R88="","",79)</f>
        <v/>
      </c>
      <c r="C88" s="75">
        <f>IF($R88="","",IF(INDEX(Calc!$AU$2:$AU$2001,$R88)="","",INDEX(Calc!$AU$2:$AU$2001,$R88)))</f>
        <v/>
      </c>
      <c r="D88" s="73">
        <f>IF($R88="","",IF(INDEX(Calc!$AV$2:$AV$2001,$R88)="","",INDEX(Calc!$AV$2:$AV$2001,$R88)))</f>
        <v/>
      </c>
      <c r="E88" s="76">
        <f>IF($R88="","",IF(INDEX(Calc!$AW$2:$AW$2001,$R88)="","",INDEX(Calc!$AW$2:$AW$2001,$R88)))</f>
        <v/>
      </c>
      <c r="F88" s="72">
        <f>IF(OR(C88="",E88=""),"",E88-Setup!$D$7)</f>
        <v/>
      </c>
      <c r="G88" s="77">
        <f>IF($R88="","",IF(INDEX(Calc!$AX$2:$AX$2001,$R88)="","",INDEX(Calc!$AX$2:$AX$2001,$R88)))</f>
        <v/>
      </c>
      <c r="H88" s="77">
        <f>IF($R88="","",IF(INDEX(Calc!$AY$2:$AY$2001,$R88)="","",INDEX(Calc!$AY$2:$AY$2001,$R88)))</f>
        <v/>
      </c>
      <c r="I88" s="73">
        <f>IF(OR(G88="",H88=""),"",TRIM(IF(HOUR(H88-G88)&gt;0,HOUR(H88-G88)&amp;" hr ","")&amp;IF(MINUTE(H88-G88)&gt;0,MINUTE(H88-G88)&amp;" min","")))</f>
        <v/>
      </c>
      <c r="J88" s="73">
        <f>IF($R88="","",IF(INDEX(Calc!$AZ$2:$AZ$2001,$R88)="","",INDEX(Calc!$AZ$2:$AZ$2001,$R88)))</f>
        <v/>
      </c>
      <c r="K88" s="85">
        <f>IF($R88="","",IF(INDEX(Calc!$BE$2:$BE$2001,$R88)="","",INDEX(Calc!$BE$2:$BE$2001,$R88)))</f>
        <v/>
      </c>
      <c r="L88" s="73">
        <f>IF($R88="","",IF(INDEX(Calc!$BA$2:$BA$2001,$R88)="","",INDEX(Calc!$BA$2:$BA$2001,$R88)))</f>
        <v/>
      </c>
      <c r="M88" s="73">
        <f>IF($R88="","",IF(INDEX(Calc!$BB$2:$BB$2001,$R88)="","",INDEX(Calc!$BB$2:$BB$2001,$R88)))</f>
        <v/>
      </c>
      <c r="N88" s="73">
        <f>IF($R88="","",IF(INDEX(Calc!$BC$2:$BC$2001,$R88)="","",INDEX(Calc!$BC$2:$BC$2001,$R88)))</f>
        <v/>
      </c>
      <c r="O88" s="73">
        <f>IF($R88="","",IF(INDEX(Calc!$BD$2:$BD$2001,$R88)="","",INDEX(Calc!$BD$2:$BD$2001,$R88)))</f>
        <v/>
      </c>
      <c r="P88" s="86">
        <f>IF(R88="","",HYPERLINK("#'"&amp;IF(INDEX(Calc!$AS$2:$AS$2001,R88)="R","Recurring Log","Variable Tasks")&amp;"'!J"&amp;INDEX(Calc!$AT$2:$AT$2001,R88),"✎ edit"))</f>
        <v/>
      </c>
      <c r="R88">
        <f>IFERROR(MATCH(SMALL(Calc!$BK$2:$BK$2001,79),Calc!$BK$2:$BK$2001,0),"")</f>
        <v/>
      </c>
    </row>
    <row r="89">
      <c r="B89" s="36">
        <f>IF(R89="","",80)</f>
        <v/>
      </c>
      <c r="C89" s="37">
        <f>IF($R89="","",IF(INDEX(Calc!$AU$2:$AU$2001,$R89)="","",INDEX(Calc!$AU$2:$AU$2001,$R89)))</f>
        <v/>
      </c>
      <c r="D89" s="36">
        <f>IF($R89="","",IF(INDEX(Calc!$AV$2:$AV$2001,$R89)="","",INDEX(Calc!$AV$2:$AV$2001,$R89)))</f>
        <v/>
      </c>
      <c r="E89" s="38">
        <f>IF($R89="","",IF(INDEX(Calc!$AW$2:$AW$2001,$R89)="","",INDEX(Calc!$AW$2:$AW$2001,$R89)))</f>
        <v/>
      </c>
      <c r="F89" s="68">
        <f>IF(OR(C89="",E89=""),"",E89-Setup!$D$7)</f>
        <v/>
      </c>
      <c r="G89" s="74">
        <f>IF($R89="","",IF(INDEX(Calc!$AX$2:$AX$2001,$R89)="","",INDEX(Calc!$AX$2:$AX$2001,$R89)))</f>
        <v/>
      </c>
      <c r="H89" s="74">
        <f>IF($R89="","",IF(INDEX(Calc!$AY$2:$AY$2001,$R89)="","",INDEX(Calc!$AY$2:$AY$2001,$R89)))</f>
        <v/>
      </c>
      <c r="I89" s="36">
        <f>IF(OR(G89="",H89=""),"",TRIM(IF(HOUR(H89-G89)&gt;0,HOUR(H89-G89)&amp;" hr ","")&amp;IF(MINUTE(H89-G89)&gt;0,MINUTE(H89-G89)&amp;" min","")))</f>
        <v/>
      </c>
      <c r="J89" s="36">
        <f>IF($R89="","",IF(INDEX(Calc!$AZ$2:$AZ$2001,$R89)="","",INDEX(Calc!$AZ$2:$AZ$2001,$R89)))</f>
        <v/>
      </c>
      <c r="K89" s="87">
        <f>IF($R89="","",IF(INDEX(Calc!$BE$2:$BE$2001,$R89)="","",INDEX(Calc!$BE$2:$BE$2001,$R89)))</f>
        <v/>
      </c>
      <c r="L89" s="36">
        <f>IF($R89="","",IF(INDEX(Calc!$BA$2:$BA$2001,$R89)="","",INDEX(Calc!$BA$2:$BA$2001,$R89)))</f>
        <v/>
      </c>
      <c r="M89" s="36">
        <f>IF($R89="","",IF(INDEX(Calc!$BB$2:$BB$2001,$R89)="","",INDEX(Calc!$BB$2:$BB$2001,$R89)))</f>
        <v/>
      </c>
      <c r="N89" s="36">
        <f>IF($R89="","",IF(INDEX(Calc!$BC$2:$BC$2001,$R89)="","",INDEX(Calc!$BC$2:$BC$2001,$R89)))</f>
        <v/>
      </c>
      <c r="O89" s="36">
        <f>IF($R89="","",IF(INDEX(Calc!$BD$2:$BD$2001,$R89)="","",INDEX(Calc!$BD$2:$BD$2001,$R89)))</f>
        <v/>
      </c>
      <c r="P89" s="88">
        <f>IF(R89="","",HYPERLINK("#'"&amp;IF(INDEX(Calc!$AS$2:$AS$2001,R89)="R","Recurring Log","Variable Tasks")&amp;"'!J"&amp;INDEX(Calc!$AT$2:$AT$2001,R89),"✎ edit"))</f>
        <v/>
      </c>
      <c r="R89">
        <f>IFERROR(MATCH(SMALL(Calc!$BK$2:$BK$2001,80),Calc!$BK$2:$BK$2001,0),"")</f>
        <v/>
      </c>
    </row>
    <row r="90">
      <c r="B90" s="73">
        <f>IF(R90="","",81)</f>
        <v/>
      </c>
      <c r="C90" s="75">
        <f>IF($R90="","",IF(INDEX(Calc!$AU$2:$AU$2001,$R90)="","",INDEX(Calc!$AU$2:$AU$2001,$R90)))</f>
        <v/>
      </c>
      <c r="D90" s="73">
        <f>IF($R90="","",IF(INDEX(Calc!$AV$2:$AV$2001,$R90)="","",INDEX(Calc!$AV$2:$AV$2001,$R90)))</f>
        <v/>
      </c>
      <c r="E90" s="76">
        <f>IF($R90="","",IF(INDEX(Calc!$AW$2:$AW$2001,$R90)="","",INDEX(Calc!$AW$2:$AW$2001,$R90)))</f>
        <v/>
      </c>
      <c r="F90" s="72">
        <f>IF(OR(C90="",E90=""),"",E90-Setup!$D$7)</f>
        <v/>
      </c>
      <c r="G90" s="77">
        <f>IF($R90="","",IF(INDEX(Calc!$AX$2:$AX$2001,$R90)="","",INDEX(Calc!$AX$2:$AX$2001,$R90)))</f>
        <v/>
      </c>
      <c r="H90" s="77">
        <f>IF($R90="","",IF(INDEX(Calc!$AY$2:$AY$2001,$R90)="","",INDEX(Calc!$AY$2:$AY$2001,$R90)))</f>
        <v/>
      </c>
      <c r="I90" s="73">
        <f>IF(OR(G90="",H90=""),"",TRIM(IF(HOUR(H90-G90)&gt;0,HOUR(H90-G90)&amp;" hr ","")&amp;IF(MINUTE(H90-G90)&gt;0,MINUTE(H90-G90)&amp;" min","")))</f>
        <v/>
      </c>
      <c r="J90" s="73">
        <f>IF($R90="","",IF(INDEX(Calc!$AZ$2:$AZ$2001,$R90)="","",INDEX(Calc!$AZ$2:$AZ$2001,$R90)))</f>
        <v/>
      </c>
      <c r="K90" s="85">
        <f>IF($R90="","",IF(INDEX(Calc!$BE$2:$BE$2001,$R90)="","",INDEX(Calc!$BE$2:$BE$2001,$R90)))</f>
        <v/>
      </c>
      <c r="L90" s="73">
        <f>IF($R90="","",IF(INDEX(Calc!$BA$2:$BA$2001,$R90)="","",INDEX(Calc!$BA$2:$BA$2001,$R90)))</f>
        <v/>
      </c>
      <c r="M90" s="73">
        <f>IF($R90="","",IF(INDEX(Calc!$BB$2:$BB$2001,$R90)="","",INDEX(Calc!$BB$2:$BB$2001,$R90)))</f>
        <v/>
      </c>
      <c r="N90" s="73">
        <f>IF($R90="","",IF(INDEX(Calc!$BC$2:$BC$2001,$R90)="","",INDEX(Calc!$BC$2:$BC$2001,$R90)))</f>
        <v/>
      </c>
      <c r="O90" s="73">
        <f>IF($R90="","",IF(INDEX(Calc!$BD$2:$BD$2001,$R90)="","",INDEX(Calc!$BD$2:$BD$2001,$R90)))</f>
        <v/>
      </c>
      <c r="P90" s="86">
        <f>IF(R90="","",HYPERLINK("#'"&amp;IF(INDEX(Calc!$AS$2:$AS$2001,R90)="R","Recurring Log","Variable Tasks")&amp;"'!J"&amp;INDEX(Calc!$AT$2:$AT$2001,R90),"✎ edit"))</f>
        <v/>
      </c>
      <c r="R90">
        <f>IFERROR(MATCH(SMALL(Calc!$BK$2:$BK$2001,81),Calc!$BK$2:$BK$2001,0),"")</f>
        <v/>
      </c>
    </row>
    <row r="91">
      <c r="B91" s="36">
        <f>IF(R91="","",82)</f>
        <v/>
      </c>
      <c r="C91" s="37">
        <f>IF($R91="","",IF(INDEX(Calc!$AU$2:$AU$2001,$R91)="","",INDEX(Calc!$AU$2:$AU$2001,$R91)))</f>
        <v/>
      </c>
      <c r="D91" s="36">
        <f>IF($R91="","",IF(INDEX(Calc!$AV$2:$AV$2001,$R91)="","",INDEX(Calc!$AV$2:$AV$2001,$R91)))</f>
        <v/>
      </c>
      <c r="E91" s="38">
        <f>IF($R91="","",IF(INDEX(Calc!$AW$2:$AW$2001,$R91)="","",INDEX(Calc!$AW$2:$AW$2001,$R91)))</f>
        <v/>
      </c>
      <c r="F91" s="68">
        <f>IF(OR(C91="",E91=""),"",E91-Setup!$D$7)</f>
        <v/>
      </c>
      <c r="G91" s="74">
        <f>IF($R91="","",IF(INDEX(Calc!$AX$2:$AX$2001,$R91)="","",INDEX(Calc!$AX$2:$AX$2001,$R91)))</f>
        <v/>
      </c>
      <c r="H91" s="74">
        <f>IF($R91="","",IF(INDEX(Calc!$AY$2:$AY$2001,$R91)="","",INDEX(Calc!$AY$2:$AY$2001,$R91)))</f>
        <v/>
      </c>
      <c r="I91" s="36">
        <f>IF(OR(G91="",H91=""),"",TRIM(IF(HOUR(H91-G91)&gt;0,HOUR(H91-G91)&amp;" hr ","")&amp;IF(MINUTE(H91-G91)&gt;0,MINUTE(H91-G91)&amp;" min","")))</f>
        <v/>
      </c>
      <c r="J91" s="36">
        <f>IF($R91="","",IF(INDEX(Calc!$AZ$2:$AZ$2001,$R91)="","",INDEX(Calc!$AZ$2:$AZ$2001,$R91)))</f>
        <v/>
      </c>
      <c r="K91" s="87">
        <f>IF($R91="","",IF(INDEX(Calc!$BE$2:$BE$2001,$R91)="","",INDEX(Calc!$BE$2:$BE$2001,$R91)))</f>
        <v/>
      </c>
      <c r="L91" s="36">
        <f>IF($R91="","",IF(INDEX(Calc!$BA$2:$BA$2001,$R91)="","",INDEX(Calc!$BA$2:$BA$2001,$R91)))</f>
        <v/>
      </c>
      <c r="M91" s="36">
        <f>IF($R91="","",IF(INDEX(Calc!$BB$2:$BB$2001,$R91)="","",INDEX(Calc!$BB$2:$BB$2001,$R91)))</f>
        <v/>
      </c>
      <c r="N91" s="36">
        <f>IF($R91="","",IF(INDEX(Calc!$BC$2:$BC$2001,$R91)="","",INDEX(Calc!$BC$2:$BC$2001,$R91)))</f>
        <v/>
      </c>
      <c r="O91" s="36">
        <f>IF($R91="","",IF(INDEX(Calc!$BD$2:$BD$2001,$R91)="","",INDEX(Calc!$BD$2:$BD$2001,$R91)))</f>
        <v/>
      </c>
      <c r="P91" s="88">
        <f>IF(R91="","",HYPERLINK("#'"&amp;IF(INDEX(Calc!$AS$2:$AS$2001,R91)="R","Recurring Log","Variable Tasks")&amp;"'!J"&amp;INDEX(Calc!$AT$2:$AT$2001,R91),"✎ edit"))</f>
        <v/>
      </c>
      <c r="R91">
        <f>IFERROR(MATCH(SMALL(Calc!$BK$2:$BK$2001,82),Calc!$BK$2:$BK$2001,0),"")</f>
        <v/>
      </c>
    </row>
    <row r="92">
      <c r="B92" s="73">
        <f>IF(R92="","",83)</f>
        <v/>
      </c>
      <c r="C92" s="75">
        <f>IF($R92="","",IF(INDEX(Calc!$AU$2:$AU$2001,$R92)="","",INDEX(Calc!$AU$2:$AU$2001,$R92)))</f>
        <v/>
      </c>
      <c r="D92" s="73">
        <f>IF($R92="","",IF(INDEX(Calc!$AV$2:$AV$2001,$R92)="","",INDEX(Calc!$AV$2:$AV$2001,$R92)))</f>
        <v/>
      </c>
      <c r="E92" s="76">
        <f>IF($R92="","",IF(INDEX(Calc!$AW$2:$AW$2001,$R92)="","",INDEX(Calc!$AW$2:$AW$2001,$R92)))</f>
        <v/>
      </c>
      <c r="F92" s="72">
        <f>IF(OR(C92="",E92=""),"",E92-Setup!$D$7)</f>
        <v/>
      </c>
      <c r="G92" s="77">
        <f>IF($R92="","",IF(INDEX(Calc!$AX$2:$AX$2001,$R92)="","",INDEX(Calc!$AX$2:$AX$2001,$R92)))</f>
        <v/>
      </c>
      <c r="H92" s="77">
        <f>IF($R92="","",IF(INDEX(Calc!$AY$2:$AY$2001,$R92)="","",INDEX(Calc!$AY$2:$AY$2001,$R92)))</f>
        <v/>
      </c>
      <c r="I92" s="73">
        <f>IF(OR(G92="",H92=""),"",TRIM(IF(HOUR(H92-G92)&gt;0,HOUR(H92-G92)&amp;" hr ","")&amp;IF(MINUTE(H92-G92)&gt;0,MINUTE(H92-G92)&amp;" min","")))</f>
        <v/>
      </c>
      <c r="J92" s="73">
        <f>IF($R92="","",IF(INDEX(Calc!$AZ$2:$AZ$2001,$R92)="","",INDEX(Calc!$AZ$2:$AZ$2001,$R92)))</f>
        <v/>
      </c>
      <c r="K92" s="85">
        <f>IF($R92="","",IF(INDEX(Calc!$BE$2:$BE$2001,$R92)="","",INDEX(Calc!$BE$2:$BE$2001,$R92)))</f>
        <v/>
      </c>
      <c r="L92" s="73">
        <f>IF($R92="","",IF(INDEX(Calc!$BA$2:$BA$2001,$R92)="","",INDEX(Calc!$BA$2:$BA$2001,$R92)))</f>
        <v/>
      </c>
      <c r="M92" s="73">
        <f>IF($R92="","",IF(INDEX(Calc!$BB$2:$BB$2001,$R92)="","",INDEX(Calc!$BB$2:$BB$2001,$R92)))</f>
        <v/>
      </c>
      <c r="N92" s="73">
        <f>IF($R92="","",IF(INDEX(Calc!$BC$2:$BC$2001,$R92)="","",INDEX(Calc!$BC$2:$BC$2001,$R92)))</f>
        <v/>
      </c>
      <c r="O92" s="73">
        <f>IF($R92="","",IF(INDEX(Calc!$BD$2:$BD$2001,$R92)="","",INDEX(Calc!$BD$2:$BD$2001,$R92)))</f>
        <v/>
      </c>
      <c r="P92" s="86">
        <f>IF(R92="","",HYPERLINK("#'"&amp;IF(INDEX(Calc!$AS$2:$AS$2001,R92)="R","Recurring Log","Variable Tasks")&amp;"'!J"&amp;INDEX(Calc!$AT$2:$AT$2001,R92),"✎ edit"))</f>
        <v/>
      </c>
      <c r="R92">
        <f>IFERROR(MATCH(SMALL(Calc!$BK$2:$BK$2001,83),Calc!$BK$2:$BK$2001,0),"")</f>
        <v/>
      </c>
    </row>
    <row r="93">
      <c r="B93" s="36">
        <f>IF(R93="","",84)</f>
        <v/>
      </c>
      <c r="C93" s="37">
        <f>IF($R93="","",IF(INDEX(Calc!$AU$2:$AU$2001,$R93)="","",INDEX(Calc!$AU$2:$AU$2001,$R93)))</f>
        <v/>
      </c>
      <c r="D93" s="36">
        <f>IF($R93="","",IF(INDEX(Calc!$AV$2:$AV$2001,$R93)="","",INDEX(Calc!$AV$2:$AV$2001,$R93)))</f>
        <v/>
      </c>
      <c r="E93" s="38">
        <f>IF($R93="","",IF(INDEX(Calc!$AW$2:$AW$2001,$R93)="","",INDEX(Calc!$AW$2:$AW$2001,$R93)))</f>
        <v/>
      </c>
      <c r="F93" s="68">
        <f>IF(OR(C93="",E93=""),"",E93-Setup!$D$7)</f>
        <v/>
      </c>
      <c r="G93" s="74">
        <f>IF($R93="","",IF(INDEX(Calc!$AX$2:$AX$2001,$R93)="","",INDEX(Calc!$AX$2:$AX$2001,$R93)))</f>
        <v/>
      </c>
      <c r="H93" s="74">
        <f>IF($R93="","",IF(INDEX(Calc!$AY$2:$AY$2001,$R93)="","",INDEX(Calc!$AY$2:$AY$2001,$R93)))</f>
        <v/>
      </c>
      <c r="I93" s="36">
        <f>IF(OR(G93="",H93=""),"",TRIM(IF(HOUR(H93-G93)&gt;0,HOUR(H93-G93)&amp;" hr ","")&amp;IF(MINUTE(H93-G93)&gt;0,MINUTE(H93-G93)&amp;" min","")))</f>
        <v/>
      </c>
      <c r="J93" s="36">
        <f>IF($R93="","",IF(INDEX(Calc!$AZ$2:$AZ$2001,$R93)="","",INDEX(Calc!$AZ$2:$AZ$2001,$R93)))</f>
        <v/>
      </c>
      <c r="K93" s="87">
        <f>IF($R93="","",IF(INDEX(Calc!$BE$2:$BE$2001,$R93)="","",INDEX(Calc!$BE$2:$BE$2001,$R93)))</f>
        <v/>
      </c>
      <c r="L93" s="36">
        <f>IF($R93="","",IF(INDEX(Calc!$BA$2:$BA$2001,$R93)="","",INDEX(Calc!$BA$2:$BA$2001,$R93)))</f>
        <v/>
      </c>
      <c r="M93" s="36">
        <f>IF($R93="","",IF(INDEX(Calc!$BB$2:$BB$2001,$R93)="","",INDEX(Calc!$BB$2:$BB$2001,$R93)))</f>
        <v/>
      </c>
      <c r="N93" s="36">
        <f>IF($R93="","",IF(INDEX(Calc!$BC$2:$BC$2001,$R93)="","",INDEX(Calc!$BC$2:$BC$2001,$R93)))</f>
        <v/>
      </c>
      <c r="O93" s="36">
        <f>IF($R93="","",IF(INDEX(Calc!$BD$2:$BD$2001,$R93)="","",INDEX(Calc!$BD$2:$BD$2001,$R93)))</f>
        <v/>
      </c>
      <c r="P93" s="88">
        <f>IF(R93="","",HYPERLINK("#'"&amp;IF(INDEX(Calc!$AS$2:$AS$2001,R93)="R","Recurring Log","Variable Tasks")&amp;"'!J"&amp;INDEX(Calc!$AT$2:$AT$2001,R93),"✎ edit"))</f>
        <v/>
      </c>
      <c r="R93">
        <f>IFERROR(MATCH(SMALL(Calc!$BK$2:$BK$2001,84),Calc!$BK$2:$BK$2001,0),"")</f>
        <v/>
      </c>
    </row>
    <row r="94">
      <c r="B94" s="73">
        <f>IF(R94="","",85)</f>
        <v/>
      </c>
      <c r="C94" s="75">
        <f>IF($R94="","",IF(INDEX(Calc!$AU$2:$AU$2001,$R94)="","",INDEX(Calc!$AU$2:$AU$2001,$R94)))</f>
        <v/>
      </c>
      <c r="D94" s="73">
        <f>IF($R94="","",IF(INDEX(Calc!$AV$2:$AV$2001,$R94)="","",INDEX(Calc!$AV$2:$AV$2001,$R94)))</f>
        <v/>
      </c>
      <c r="E94" s="76">
        <f>IF($R94="","",IF(INDEX(Calc!$AW$2:$AW$2001,$R94)="","",INDEX(Calc!$AW$2:$AW$2001,$R94)))</f>
        <v/>
      </c>
      <c r="F94" s="72">
        <f>IF(OR(C94="",E94=""),"",E94-Setup!$D$7)</f>
        <v/>
      </c>
      <c r="G94" s="77">
        <f>IF($R94="","",IF(INDEX(Calc!$AX$2:$AX$2001,$R94)="","",INDEX(Calc!$AX$2:$AX$2001,$R94)))</f>
        <v/>
      </c>
      <c r="H94" s="77">
        <f>IF($R94="","",IF(INDEX(Calc!$AY$2:$AY$2001,$R94)="","",INDEX(Calc!$AY$2:$AY$2001,$R94)))</f>
        <v/>
      </c>
      <c r="I94" s="73">
        <f>IF(OR(G94="",H94=""),"",TRIM(IF(HOUR(H94-G94)&gt;0,HOUR(H94-G94)&amp;" hr ","")&amp;IF(MINUTE(H94-G94)&gt;0,MINUTE(H94-G94)&amp;" min","")))</f>
        <v/>
      </c>
      <c r="J94" s="73">
        <f>IF($R94="","",IF(INDEX(Calc!$AZ$2:$AZ$2001,$R94)="","",INDEX(Calc!$AZ$2:$AZ$2001,$R94)))</f>
        <v/>
      </c>
      <c r="K94" s="85">
        <f>IF($R94="","",IF(INDEX(Calc!$BE$2:$BE$2001,$R94)="","",INDEX(Calc!$BE$2:$BE$2001,$R94)))</f>
        <v/>
      </c>
      <c r="L94" s="73">
        <f>IF($R94="","",IF(INDEX(Calc!$BA$2:$BA$2001,$R94)="","",INDEX(Calc!$BA$2:$BA$2001,$R94)))</f>
        <v/>
      </c>
      <c r="M94" s="73">
        <f>IF($R94="","",IF(INDEX(Calc!$BB$2:$BB$2001,$R94)="","",INDEX(Calc!$BB$2:$BB$2001,$R94)))</f>
        <v/>
      </c>
      <c r="N94" s="73">
        <f>IF($R94="","",IF(INDEX(Calc!$BC$2:$BC$2001,$R94)="","",INDEX(Calc!$BC$2:$BC$2001,$R94)))</f>
        <v/>
      </c>
      <c r="O94" s="73">
        <f>IF($R94="","",IF(INDEX(Calc!$BD$2:$BD$2001,$R94)="","",INDEX(Calc!$BD$2:$BD$2001,$R94)))</f>
        <v/>
      </c>
      <c r="P94" s="86">
        <f>IF(R94="","",HYPERLINK("#'"&amp;IF(INDEX(Calc!$AS$2:$AS$2001,R94)="R","Recurring Log","Variable Tasks")&amp;"'!J"&amp;INDEX(Calc!$AT$2:$AT$2001,R94),"✎ edit"))</f>
        <v/>
      </c>
      <c r="R94">
        <f>IFERROR(MATCH(SMALL(Calc!$BK$2:$BK$2001,85),Calc!$BK$2:$BK$2001,0),"")</f>
        <v/>
      </c>
    </row>
    <row r="95">
      <c r="B95" s="36">
        <f>IF(R95="","",86)</f>
        <v/>
      </c>
      <c r="C95" s="37">
        <f>IF($R95="","",IF(INDEX(Calc!$AU$2:$AU$2001,$R95)="","",INDEX(Calc!$AU$2:$AU$2001,$R95)))</f>
        <v/>
      </c>
      <c r="D95" s="36">
        <f>IF($R95="","",IF(INDEX(Calc!$AV$2:$AV$2001,$R95)="","",INDEX(Calc!$AV$2:$AV$2001,$R95)))</f>
        <v/>
      </c>
      <c r="E95" s="38">
        <f>IF($R95="","",IF(INDEX(Calc!$AW$2:$AW$2001,$R95)="","",INDEX(Calc!$AW$2:$AW$2001,$R95)))</f>
        <v/>
      </c>
      <c r="F95" s="68">
        <f>IF(OR(C95="",E95=""),"",E95-Setup!$D$7)</f>
        <v/>
      </c>
      <c r="G95" s="74">
        <f>IF($R95="","",IF(INDEX(Calc!$AX$2:$AX$2001,$R95)="","",INDEX(Calc!$AX$2:$AX$2001,$R95)))</f>
        <v/>
      </c>
      <c r="H95" s="74">
        <f>IF($R95="","",IF(INDEX(Calc!$AY$2:$AY$2001,$R95)="","",INDEX(Calc!$AY$2:$AY$2001,$R95)))</f>
        <v/>
      </c>
      <c r="I95" s="36">
        <f>IF(OR(G95="",H95=""),"",TRIM(IF(HOUR(H95-G95)&gt;0,HOUR(H95-G95)&amp;" hr ","")&amp;IF(MINUTE(H95-G95)&gt;0,MINUTE(H95-G95)&amp;" min","")))</f>
        <v/>
      </c>
      <c r="J95" s="36">
        <f>IF($R95="","",IF(INDEX(Calc!$AZ$2:$AZ$2001,$R95)="","",INDEX(Calc!$AZ$2:$AZ$2001,$R95)))</f>
        <v/>
      </c>
      <c r="K95" s="87">
        <f>IF($R95="","",IF(INDEX(Calc!$BE$2:$BE$2001,$R95)="","",INDEX(Calc!$BE$2:$BE$2001,$R95)))</f>
        <v/>
      </c>
      <c r="L95" s="36">
        <f>IF($R95="","",IF(INDEX(Calc!$BA$2:$BA$2001,$R95)="","",INDEX(Calc!$BA$2:$BA$2001,$R95)))</f>
        <v/>
      </c>
      <c r="M95" s="36">
        <f>IF($R95="","",IF(INDEX(Calc!$BB$2:$BB$2001,$R95)="","",INDEX(Calc!$BB$2:$BB$2001,$R95)))</f>
        <v/>
      </c>
      <c r="N95" s="36">
        <f>IF($R95="","",IF(INDEX(Calc!$BC$2:$BC$2001,$R95)="","",INDEX(Calc!$BC$2:$BC$2001,$R95)))</f>
        <v/>
      </c>
      <c r="O95" s="36">
        <f>IF($R95="","",IF(INDEX(Calc!$BD$2:$BD$2001,$R95)="","",INDEX(Calc!$BD$2:$BD$2001,$R95)))</f>
        <v/>
      </c>
      <c r="P95" s="88">
        <f>IF(R95="","",HYPERLINK("#'"&amp;IF(INDEX(Calc!$AS$2:$AS$2001,R95)="R","Recurring Log","Variable Tasks")&amp;"'!J"&amp;INDEX(Calc!$AT$2:$AT$2001,R95),"✎ edit"))</f>
        <v/>
      </c>
      <c r="R95">
        <f>IFERROR(MATCH(SMALL(Calc!$BK$2:$BK$2001,86),Calc!$BK$2:$BK$2001,0),"")</f>
        <v/>
      </c>
    </row>
    <row r="96">
      <c r="B96" s="73">
        <f>IF(R96="","",87)</f>
        <v/>
      </c>
      <c r="C96" s="75">
        <f>IF($R96="","",IF(INDEX(Calc!$AU$2:$AU$2001,$R96)="","",INDEX(Calc!$AU$2:$AU$2001,$R96)))</f>
        <v/>
      </c>
      <c r="D96" s="73">
        <f>IF($R96="","",IF(INDEX(Calc!$AV$2:$AV$2001,$R96)="","",INDEX(Calc!$AV$2:$AV$2001,$R96)))</f>
        <v/>
      </c>
      <c r="E96" s="76">
        <f>IF($R96="","",IF(INDEX(Calc!$AW$2:$AW$2001,$R96)="","",INDEX(Calc!$AW$2:$AW$2001,$R96)))</f>
        <v/>
      </c>
      <c r="F96" s="72">
        <f>IF(OR(C96="",E96=""),"",E96-Setup!$D$7)</f>
        <v/>
      </c>
      <c r="G96" s="77">
        <f>IF($R96="","",IF(INDEX(Calc!$AX$2:$AX$2001,$R96)="","",INDEX(Calc!$AX$2:$AX$2001,$R96)))</f>
        <v/>
      </c>
      <c r="H96" s="77">
        <f>IF($R96="","",IF(INDEX(Calc!$AY$2:$AY$2001,$R96)="","",INDEX(Calc!$AY$2:$AY$2001,$R96)))</f>
        <v/>
      </c>
      <c r="I96" s="73">
        <f>IF(OR(G96="",H96=""),"",TRIM(IF(HOUR(H96-G96)&gt;0,HOUR(H96-G96)&amp;" hr ","")&amp;IF(MINUTE(H96-G96)&gt;0,MINUTE(H96-G96)&amp;" min","")))</f>
        <v/>
      </c>
      <c r="J96" s="73">
        <f>IF($R96="","",IF(INDEX(Calc!$AZ$2:$AZ$2001,$R96)="","",INDEX(Calc!$AZ$2:$AZ$2001,$R96)))</f>
        <v/>
      </c>
      <c r="K96" s="85">
        <f>IF($R96="","",IF(INDEX(Calc!$BE$2:$BE$2001,$R96)="","",INDEX(Calc!$BE$2:$BE$2001,$R96)))</f>
        <v/>
      </c>
      <c r="L96" s="73">
        <f>IF($R96="","",IF(INDEX(Calc!$BA$2:$BA$2001,$R96)="","",INDEX(Calc!$BA$2:$BA$2001,$R96)))</f>
        <v/>
      </c>
      <c r="M96" s="73">
        <f>IF($R96="","",IF(INDEX(Calc!$BB$2:$BB$2001,$R96)="","",INDEX(Calc!$BB$2:$BB$2001,$R96)))</f>
        <v/>
      </c>
      <c r="N96" s="73">
        <f>IF($R96="","",IF(INDEX(Calc!$BC$2:$BC$2001,$R96)="","",INDEX(Calc!$BC$2:$BC$2001,$R96)))</f>
        <v/>
      </c>
      <c r="O96" s="73">
        <f>IF($R96="","",IF(INDEX(Calc!$BD$2:$BD$2001,$R96)="","",INDEX(Calc!$BD$2:$BD$2001,$R96)))</f>
        <v/>
      </c>
      <c r="P96" s="86">
        <f>IF(R96="","",HYPERLINK("#'"&amp;IF(INDEX(Calc!$AS$2:$AS$2001,R96)="R","Recurring Log","Variable Tasks")&amp;"'!J"&amp;INDEX(Calc!$AT$2:$AT$2001,R96),"✎ edit"))</f>
        <v/>
      </c>
      <c r="R96">
        <f>IFERROR(MATCH(SMALL(Calc!$BK$2:$BK$2001,87),Calc!$BK$2:$BK$2001,0),"")</f>
        <v/>
      </c>
    </row>
    <row r="97">
      <c r="B97" s="36">
        <f>IF(R97="","",88)</f>
        <v/>
      </c>
      <c r="C97" s="37">
        <f>IF($R97="","",IF(INDEX(Calc!$AU$2:$AU$2001,$R97)="","",INDEX(Calc!$AU$2:$AU$2001,$R97)))</f>
        <v/>
      </c>
      <c r="D97" s="36">
        <f>IF($R97="","",IF(INDEX(Calc!$AV$2:$AV$2001,$R97)="","",INDEX(Calc!$AV$2:$AV$2001,$R97)))</f>
        <v/>
      </c>
      <c r="E97" s="38">
        <f>IF($R97="","",IF(INDEX(Calc!$AW$2:$AW$2001,$R97)="","",INDEX(Calc!$AW$2:$AW$2001,$R97)))</f>
        <v/>
      </c>
      <c r="F97" s="68">
        <f>IF(OR(C97="",E97=""),"",E97-Setup!$D$7)</f>
        <v/>
      </c>
      <c r="G97" s="74">
        <f>IF($R97="","",IF(INDEX(Calc!$AX$2:$AX$2001,$R97)="","",INDEX(Calc!$AX$2:$AX$2001,$R97)))</f>
        <v/>
      </c>
      <c r="H97" s="74">
        <f>IF($R97="","",IF(INDEX(Calc!$AY$2:$AY$2001,$R97)="","",INDEX(Calc!$AY$2:$AY$2001,$R97)))</f>
        <v/>
      </c>
      <c r="I97" s="36">
        <f>IF(OR(G97="",H97=""),"",TRIM(IF(HOUR(H97-G97)&gt;0,HOUR(H97-G97)&amp;" hr ","")&amp;IF(MINUTE(H97-G97)&gt;0,MINUTE(H97-G97)&amp;" min","")))</f>
        <v/>
      </c>
      <c r="J97" s="36">
        <f>IF($R97="","",IF(INDEX(Calc!$AZ$2:$AZ$2001,$R97)="","",INDEX(Calc!$AZ$2:$AZ$2001,$R97)))</f>
        <v/>
      </c>
      <c r="K97" s="87">
        <f>IF($R97="","",IF(INDEX(Calc!$BE$2:$BE$2001,$R97)="","",INDEX(Calc!$BE$2:$BE$2001,$R97)))</f>
        <v/>
      </c>
      <c r="L97" s="36">
        <f>IF($R97="","",IF(INDEX(Calc!$BA$2:$BA$2001,$R97)="","",INDEX(Calc!$BA$2:$BA$2001,$R97)))</f>
        <v/>
      </c>
      <c r="M97" s="36">
        <f>IF($R97="","",IF(INDEX(Calc!$BB$2:$BB$2001,$R97)="","",INDEX(Calc!$BB$2:$BB$2001,$R97)))</f>
        <v/>
      </c>
      <c r="N97" s="36">
        <f>IF($R97="","",IF(INDEX(Calc!$BC$2:$BC$2001,$R97)="","",INDEX(Calc!$BC$2:$BC$2001,$R97)))</f>
        <v/>
      </c>
      <c r="O97" s="36">
        <f>IF($R97="","",IF(INDEX(Calc!$BD$2:$BD$2001,$R97)="","",INDEX(Calc!$BD$2:$BD$2001,$R97)))</f>
        <v/>
      </c>
      <c r="P97" s="88">
        <f>IF(R97="","",HYPERLINK("#'"&amp;IF(INDEX(Calc!$AS$2:$AS$2001,R97)="R","Recurring Log","Variable Tasks")&amp;"'!J"&amp;INDEX(Calc!$AT$2:$AT$2001,R97),"✎ edit"))</f>
        <v/>
      </c>
      <c r="R97">
        <f>IFERROR(MATCH(SMALL(Calc!$BK$2:$BK$2001,88),Calc!$BK$2:$BK$2001,0),"")</f>
        <v/>
      </c>
    </row>
    <row r="98">
      <c r="B98" s="73">
        <f>IF(R98="","",89)</f>
        <v/>
      </c>
      <c r="C98" s="75">
        <f>IF($R98="","",IF(INDEX(Calc!$AU$2:$AU$2001,$R98)="","",INDEX(Calc!$AU$2:$AU$2001,$R98)))</f>
        <v/>
      </c>
      <c r="D98" s="73">
        <f>IF($R98="","",IF(INDEX(Calc!$AV$2:$AV$2001,$R98)="","",INDEX(Calc!$AV$2:$AV$2001,$R98)))</f>
        <v/>
      </c>
      <c r="E98" s="76">
        <f>IF($R98="","",IF(INDEX(Calc!$AW$2:$AW$2001,$R98)="","",INDEX(Calc!$AW$2:$AW$2001,$R98)))</f>
        <v/>
      </c>
      <c r="F98" s="72">
        <f>IF(OR(C98="",E98=""),"",E98-Setup!$D$7)</f>
        <v/>
      </c>
      <c r="G98" s="77">
        <f>IF($R98="","",IF(INDEX(Calc!$AX$2:$AX$2001,$R98)="","",INDEX(Calc!$AX$2:$AX$2001,$R98)))</f>
        <v/>
      </c>
      <c r="H98" s="77">
        <f>IF($R98="","",IF(INDEX(Calc!$AY$2:$AY$2001,$R98)="","",INDEX(Calc!$AY$2:$AY$2001,$R98)))</f>
        <v/>
      </c>
      <c r="I98" s="73">
        <f>IF(OR(G98="",H98=""),"",TRIM(IF(HOUR(H98-G98)&gt;0,HOUR(H98-G98)&amp;" hr ","")&amp;IF(MINUTE(H98-G98)&gt;0,MINUTE(H98-G98)&amp;" min","")))</f>
        <v/>
      </c>
      <c r="J98" s="73">
        <f>IF($R98="","",IF(INDEX(Calc!$AZ$2:$AZ$2001,$R98)="","",INDEX(Calc!$AZ$2:$AZ$2001,$R98)))</f>
        <v/>
      </c>
      <c r="K98" s="85">
        <f>IF($R98="","",IF(INDEX(Calc!$BE$2:$BE$2001,$R98)="","",INDEX(Calc!$BE$2:$BE$2001,$R98)))</f>
        <v/>
      </c>
      <c r="L98" s="73">
        <f>IF($R98="","",IF(INDEX(Calc!$BA$2:$BA$2001,$R98)="","",INDEX(Calc!$BA$2:$BA$2001,$R98)))</f>
        <v/>
      </c>
      <c r="M98" s="73">
        <f>IF($R98="","",IF(INDEX(Calc!$BB$2:$BB$2001,$R98)="","",INDEX(Calc!$BB$2:$BB$2001,$R98)))</f>
        <v/>
      </c>
      <c r="N98" s="73">
        <f>IF($R98="","",IF(INDEX(Calc!$BC$2:$BC$2001,$R98)="","",INDEX(Calc!$BC$2:$BC$2001,$R98)))</f>
        <v/>
      </c>
      <c r="O98" s="73">
        <f>IF($R98="","",IF(INDEX(Calc!$BD$2:$BD$2001,$R98)="","",INDEX(Calc!$BD$2:$BD$2001,$R98)))</f>
        <v/>
      </c>
      <c r="P98" s="86">
        <f>IF(R98="","",HYPERLINK("#'"&amp;IF(INDEX(Calc!$AS$2:$AS$2001,R98)="R","Recurring Log","Variable Tasks")&amp;"'!J"&amp;INDEX(Calc!$AT$2:$AT$2001,R98),"✎ edit"))</f>
        <v/>
      </c>
      <c r="R98">
        <f>IFERROR(MATCH(SMALL(Calc!$BK$2:$BK$2001,89),Calc!$BK$2:$BK$2001,0),"")</f>
        <v/>
      </c>
    </row>
    <row r="99">
      <c r="B99" s="36">
        <f>IF(R99="","",90)</f>
        <v/>
      </c>
      <c r="C99" s="37">
        <f>IF($R99="","",IF(INDEX(Calc!$AU$2:$AU$2001,$R99)="","",INDEX(Calc!$AU$2:$AU$2001,$R99)))</f>
        <v/>
      </c>
      <c r="D99" s="36">
        <f>IF($R99="","",IF(INDEX(Calc!$AV$2:$AV$2001,$R99)="","",INDEX(Calc!$AV$2:$AV$2001,$R99)))</f>
        <v/>
      </c>
      <c r="E99" s="38">
        <f>IF($R99="","",IF(INDEX(Calc!$AW$2:$AW$2001,$R99)="","",INDEX(Calc!$AW$2:$AW$2001,$R99)))</f>
        <v/>
      </c>
      <c r="F99" s="68">
        <f>IF(OR(C99="",E99=""),"",E99-Setup!$D$7)</f>
        <v/>
      </c>
      <c r="G99" s="74">
        <f>IF($R99="","",IF(INDEX(Calc!$AX$2:$AX$2001,$R99)="","",INDEX(Calc!$AX$2:$AX$2001,$R99)))</f>
        <v/>
      </c>
      <c r="H99" s="74">
        <f>IF($R99="","",IF(INDEX(Calc!$AY$2:$AY$2001,$R99)="","",INDEX(Calc!$AY$2:$AY$2001,$R99)))</f>
        <v/>
      </c>
      <c r="I99" s="36">
        <f>IF(OR(G99="",H99=""),"",TRIM(IF(HOUR(H99-G99)&gt;0,HOUR(H99-G99)&amp;" hr ","")&amp;IF(MINUTE(H99-G99)&gt;0,MINUTE(H99-G99)&amp;" min","")))</f>
        <v/>
      </c>
      <c r="J99" s="36">
        <f>IF($R99="","",IF(INDEX(Calc!$AZ$2:$AZ$2001,$R99)="","",INDEX(Calc!$AZ$2:$AZ$2001,$R99)))</f>
        <v/>
      </c>
      <c r="K99" s="87">
        <f>IF($R99="","",IF(INDEX(Calc!$BE$2:$BE$2001,$R99)="","",INDEX(Calc!$BE$2:$BE$2001,$R99)))</f>
        <v/>
      </c>
      <c r="L99" s="36">
        <f>IF($R99="","",IF(INDEX(Calc!$BA$2:$BA$2001,$R99)="","",INDEX(Calc!$BA$2:$BA$2001,$R99)))</f>
        <v/>
      </c>
      <c r="M99" s="36">
        <f>IF($R99="","",IF(INDEX(Calc!$BB$2:$BB$2001,$R99)="","",INDEX(Calc!$BB$2:$BB$2001,$R99)))</f>
        <v/>
      </c>
      <c r="N99" s="36">
        <f>IF($R99="","",IF(INDEX(Calc!$BC$2:$BC$2001,$R99)="","",INDEX(Calc!$BC$2:$BC$2001,$R99)))</f>
        <v/>
      </c>
      <c r="O99" s="36">
        <f>IF($R99="","",IF(INDEX(Calc!$BD$2:$BD$2001,$R99)="","",INDEX(Calc!$BD$2:$BD$2001,$R99)))</f>
        <v/>
      </c>
      <c r="P99" s="88">
        <f>IF(R99="","",HYPERLINK("#'"&amp;IF(INDEX(Calc!$AS$2:$AS$2001,R99)="R","Recurring Log","Variable Tasks")&amp;"'!J"&amp;INDEX(Calc!$AT$2:$AT$2001,R99),"✎ edit"))</f>
        <v/>
      </c>
      <c r="R99">
        <f>IFERROR(MATCH(SMALL(Calc!$BK$2:$BK$2001,90),Calc!$BK$2:$BK$2001,0),"")</f>
        <v/>
      </c>
    </row>
    <row r="100">
      <c r="B100" s="73">
        <f>IF(R100="","",91)</f>
        <v/>
      </c>
      <c r="C100" s="75">
        <f>IF($R100="","",IF(INDEX(Calc!$AU$2:$AU$2001,$R100)="","",INDEX(Calc!$AU$2:$AU$2001,$R100)))</f>
        <v/>
      </c>
      <c r="D100" s="73">
        <f>IF($R100="","",IF(INDEX(Calc!$AV$2:$AV$2001,$R100)="","",INDEX(Calc!$AV$2:$AV$2001,$R100)))</f>
        <v/>
      </c>
      <c r="E100" s="76">
        <f>IF($R100="","",IF(INDEX(Calc!$AW$2:$AW$2001,$R100)="","",INDEX(Calc!$AW$2:$AW$2001,$R100)))</f>
        <v/>
      </c>
      <c r="F100" s="72">
        <f>IF(OR(C100="",E100=""),"",E100-Setup!$D$7)</f>
        <v/>
      </c>
      <c r="G100" s="77">
        <f>IF($R100="","",IF(INDEX(Calc!$AX$2:$AX$2001,$R100)="","",INDEX(Calc!$AX$2:$AX$2001,$R100)))</f>
        <v/>
      </c>
      <c r="H100" s="77">
        <f>IF($R100="","",IF(INDEX(Calc!$AY$2:$AY$2001,$R100)="","",INDEX(Calc!$AY$2:$AY$2001,$R100)))</f>
        <v/>
      </c>
      <c r="I100" s="73">
        <f>IF(OR(G100="",H100=""),"",TRIM(IF(HOUR(H100-G100)&gt;0,HOUR(H100-G100)&amp;" hr ","")&amp;IF(MINUTE(H100-G100)&gt;0,MINUTE(H100-G100)&amp;" min","")))</f>
        <v/>
      </c>
      <c r="J100" s="73">
        <f>IF($R100="","",IF(INDEX(Calc!$AZ$2:$AZ$2001,$R100)="","",INDEX(Calc!$AZ$2:$AZ$2001,$R100)))</f>
        <v/>
      </c>
      <c r="K100" s="85">
        <f>IF($R100="","",IF(INDEX(Calc!$BE$2:$BE$2001,$R100)="","",INDEX(Calc!$BE$2:$BE$2001,$R100)))</f>
        <v/>
      </c>
      <c r="L100" s="73">
        <f>IF($R100="","",IF(INDEX(Calc!$BA$2:$BA$2001,$R100)="","",INDEX(Calc!$BA$2:$BA$2001,$R100)))</f>
        <v/>
      </c>
      <c r="M100" s="73">
        <f>IF($R100="","",IF(INDEX(Calc!$BB$2:$BB$2001,$R100)="","",INDEX(Calc!$BB$2:$BB$2001,$R100)))</f>
        <v/>
      </c>
      <c r="N100" s="73">
        <f>IF($R100="","",IF(INDEX(Calc!$BC$2:$BC$2001,$R100)="","",INDEX(Calc!$BC$2:$BC$2001,$R100)))</f>
        <v/>
      </c>
      <c r="O100" s="73">
        <f>IF($R100="","",IF(INDEX(Calc!$BD$2:$BD$2001,$R100)="","",INDEX(Calc!$BD$2:$BD$2001,$R100)))</f>
        <v/>
      </c>
      <c r="P100" s="86">
        <f>IF(R100="","",HYPERLINK("#'"&amp;IF(INDEX(Calc!$AS$2:$AS$2001,R100)="R","Recurring Log","Variable Tasks")&amp;"'!J"&amp;INDEX(Calc!$AT$2:$AT$2001,R100),"✎ edit"))</f>
        <v/>
      </c>
      <c r="R100">
        <f>IFERROR(MATCH(SMALL(Calc!$BK$2:$BK$2001,91),Calc!$BK$2:$BK$2001,0),"")</f>
        <v/>
      </c>
    </row>
    <row r="101">
      <c r="B101" s="36">
        <f>IF(R101="","",92)</f>
        <v/>
      </c>
      <c r="C101" s="37">
        <f>IF($R101="","",IF(INDEX(Calc!$AU$2:$AU$2001,$R101)="","",INDEX(Calc!$AU$2:$AU$2001,$R101)))</f>
        <v/>
      </c>
      <c r="D101" s="36">
        <f>IF($R101="","",IF(INDEX(Calc!$AV$2:$AV$2001,$R101)="","",INDEX(Calc!$AV$2:$AV$2001,$R101)))</f>
        <v/>
      </c>
      <c r="E101" s="38">
        <f>IF($R101="","",IF(INDEX(Calc!$AW$2:$AW$2001,$R101)="","",INDEX(Calc!$AW$2:$AW$2001,$R101)))</f>
        <v/>
      </c>
      <c r="F101" s="68">
        <f>IF(OR(C101="",E101=""),"",E101-Setup!$D$7)</f>
        <v/>
      </c>
      <c r="G101" s="74">
        <f>IF($R101="","",IF(INDEX(Calc!$AX$2:$AX$2001,$R101)="","",INDEX(Calc!$AX$2:$AX$2001,$R101)))</f>
        <v/>
      </c>
      <c r="H101" s="74">
        <f>IF($R101="","",IF(INDEX(Calc!$AY$2:$AY$2001,$R101)="","",INDEX(Calc!$AY$2:$AY$2001,$R101)))</f>
        <v/>
      </c>
      <c r="I101" s="36">
        <f>IF(OR(G101="",H101=""),"",TRIM(IF(HOUR(H101-G101)&gt;0,HOUR(H101-G101)&amp;" hr ","")&amp;IF(MINUTE(H101-G101)&gt;0,MINUTE(H101-G101)&amp;" min","")))</f>
        <v/>
      </c>
      <c r="J101" s="36">
        <f>IF($R101="","",IF(INDEX(Calc!$AZ$2:$AZ$2001,$R101)="","",INDEX(Calc!$AZ$2:$AZ$2001,$R101)))</f>
        <v/>
      </c>
      <c r="K101" s="87">
        <f>IF($R101="","",IF(INDEX(Calc!$BE$2:$BE$2001,$R101)="","",INDEX(Calc!$BE$2:$BE$2001,$R101)))</f>
        <v/>
      </c>
      <c r="L101" s="36">
        <f>IF($R101="","",IF(INDEX(Calc!$BA$2:$BA$2001,$R101)="","",INDEX(Calc!$BA$2:$BA$2001,$R101)))</f>
        <v/>
      </c>
      <c r="M101" s="36">
        <f>IF($R101="","",IF(INDEX(Calc!$BB$2:$BB$2001,$R101)="","",INDEX(Calc!$BB$2:$BB$2001,$R101)))</f>
        <v/>
      </c>
      <c r="N101" s="36">
        <f>IF($R101="","",IF(INDEX(Calc!$BC$2:$BC$2001,$R101)="","",INDEX(Calc!$BC$2:$BC$2001,$R101)))</f>
        <v/>
      </c>
      <c r="O101" s="36">
        <f>IF($R101="","",IF(INDEX(Calc!$BD$2:$BD$2001,$R101)="","",INDEX(Calc!$BD$2:$BD$2001,$R101)))</f>
        <v/>
      </c>
      <c r="P101" s="88">
        <f>IF(R101="","",HYPERLINK("#'"&amp;IF(INDEX(Calc!$AS$2:$AS$2001,R101)="R","Recurring Log","Variable Tasks")&amp;"'!J"&amp;INDEX(Calc!$AT$2:$AT$2001,R101),"✎ edit"))</f>
        <v/>
      </c>
      <c r="R101">
        <f>IFERROR(MATCH(SMALL(Calc!$BK$2:$BK$2001,92),Calc!$BK$2:$BK$2001,0),"")</f>
        <v/>
      </c>
    </row>
    <row r="102">
      <c r="B102" s="73">
        <f>IF(R102="","",93)</f>
        <v/>
      </c>
      <c r="C102" s="75">
        <f>IF($R102="","",IF(INDEX(Calc!$AU$2:$AU$2001,$R102)="","",INDEX(Calc!$AU$2:$AU$2001,$R102)))</f>
        <v/>
      </c>
      <c r="D102" s="73">
        <f>IF($R102="","",IF(INDEX(Calc!$AV$2:$AV$2001,$R102)="","",INDEX(Calc!$AV$2:$AV$2001,$R102)))</f>
        <v/>
      </c>
      <c r="E102" s="76">
        <f>IF($R102="","",IF(INDEX(Calc!$AW$2:$AW$2001,$R102)="","",INDEX(Calc!$AW$2:$AW$2001,$R102)))</f>
        <v/>
      </c>
      <c r="F102" s="72">
        <f>IF(OR(C102="",E102=""),"",E102-Setup!$D$7)</f>
        <v/>
      </c>
      <c r="G102" s="77">
        <f>IF($R102="","",IF(INDEX(Calc!$AX$2:$AX$2001,$R102)="","",INDEX(Calc!$AX$2:$AX$2001,$R102)))</f>
        <v/>
      </c>
      <c r="H102" s="77">
        <f>IF($R102="","",IF(INDEX(Calc!$AY$2:$AY$2001,$R102)="","",INDEX(Calc!$AY$2:$AY$2001,$R102)))</f>
        <v/>
      </c>
      <c r="I102" s="73">
        <f>IF(OR(G102="",H102=""),"",TRIM(IF(HOUR(H102-G102)&gt;0,HOUR(H102-G102)&amp;" hr ","")&amp;IF(MINUTE(H102-G102)&gt;0,MINUTE(H102-G102)&amp;" min","")))</f>
        <v/>
      </c>
      <c r="J102" s="73">
        <f>IF($R102="","",IF(INDEX(Calc!$AZ$2:$AZ$2001,$R102)="","",INDEX(Calc!$AZ$2:$AZ$2001,$R102)))</f>
        <v/>
      </c>
      <c r="K102" s="85">
        <f>IF($R102="","",IF(INDEX(Calc!$BE$2:$BE$2001,$R102)="","",INDEX(Calc!$BE$2:$BE$2001,$R102)))</f>
        <v/>
      </c>
      <c r="L102" s="73">
        <f>IF($R102="","",IF(INDEX(Calc!$BA$2:$BA$2001,$R102)="","",INDEX(Calc!$BA$2:$BA$2001,$R102)))</f>
        <v/>
      </c>
      <c r="M102" s="73">
        <f>IF($R102="","",IF(INDEX(Calc!$BB$2:$BB$2001,$R102)="","",INDEX(Calc!$BB$2:$BB$2001,$R102)))</f>
        <v/>
      </c>
      <c r="N102" s="73">
        <f>IF($R102="","",IF(INDEX(Calc!$BC$2:$BC$2001,$R102)="","",INDEX(Calc!$BC$2:$BC$2001,$R102)))</f>
        <v/>
      </c>
      <c r="O102" s="73">
        <f>IF($R102="","",IF(INDEX(Calc!$BD$2:$BD$2001,$R102)="","",INDEX(Calc!$BD$2:$BD$2001,$R102)))</f>
        <v/>
      </c>
      <c r="P102" s="86">
        <f>IF(R102="","",HYPERLINK("#'"&amp;IF(INDEX(Calc!$AS$2:$AS$2001,R102)="R","Recurring Log","Variable Tasks")&amp;"'!J"&amp;INDEX(Calc!$AT$2:$AT$2001,R102),"✎ edit"))</f>
        <v/>
      </c>
      <c r="R102">
        <f>IFERROR(MATCH(SMALL(Calc!$BK$2:$BK$2001,93),Calc!$BK$2:$BK$2001,0),"")</f>
        <v/>
      </c>
    </row>
    <row r="103">
      <c r="B103" s="36">
        <f>IF(R103="","",94)</f>
        <v/>
      </c>
      <c r="C103" s="37">
        <f>IF($R103="","",IF(INDEX(Calc!$AU$2:$AU$2001,$R103)="","",INDEX(Calc!$AU$2:$AU$2001,$R103)))</f>
        <v/>
      </c>
      <c r="D103" s="36">
        <f>IF($R103="","",IF(INDEX(Calc!$AV$2:$AV$2001,$R103)="","",INDEX(Calc!$AV$2:$AV$2001,$R103)))</f>
        <v/>
      </c>
      <c r="E103" s="38">
        <f>IF($R103="","",IF(INDEX(Calc!$AW$2:$AW$2001,$R103)="","",INDEX(Calc!$AW$2:$AW$2001,$R103)))</f>
        <v/>
      </c>
      <c r="F103" s="68">
        <f>IF(OR(C103="",E103=""),"",E103-Setup!$D$7)</f>
        <v/>
      </c>
      <c r="G103" s="74">
        <f>IF($R103="","",IF(INDEX(Calc!$AX$2:$AX$2001,$R103)="","",INDEX(Calc!$AX$2:$AX$2001,$R103)))</f>
        <v/>
      </c>
      <c r="H103" s="74">
        <f>IF($R103="","",IF(INDEX(Calc!$AY$2:$AY$2001,$R103)="","",INDEX(Calc!$AY$2:$AY$2001,$R103)))</f>
        <v/>
      </c>
      <c r="I103" s="36">
        <f>IF(OR(G103="",H103=""),"",TRIM(IF(HOUR(H103-G103)&gt;0,HOUR(H103-G103)&amp;" hr ","")&amp;IF(MINUTE(H103-G103)&gt;0,MINUTE(H103-G103)&amp;" min","")))</f>
        <v/>
      </c>
      <c r="J103" s="36">
        <f>IF($R103="","",IF(INDEX(Calc!$AZ$2:$AZ$2001,$R103)="","",INDEX(Calc!$AZ$2:$AZ$2001,$R103)))</f>
        <v/>
      </c>
      <c r="K103" s="87">
        <f>IF($R103="","",IF(INDEX(Calc!$BE$2:$BE$2001,$R103)="","",INDEX(Calc!$BE$2:$BE$2001,$R103)))</f>
        <v/>
      </c>
      <c r="L103" s="36">
        <f>IF($R103="","",IF(INDEX(Calc!$BA$2:$BA$2001,$R103)="","",INDEX(Calc!$BA$2:$BA$2001,$R103)))</f>
        <v/>
      </c>
      <c r="M103" s="36">
        <f>IF($R103="","",IF(INDEX(Calc!$BB$2:$BB$2001,$R103)="","",INDEX(Calc!$BB$2:$BB$2001,$R103)))</f>
        <v/>
      </c>
      <c r="N103" s="36">
        <f>IF($R103="","",IF(INDEX(Calc!$BC$2:$BC$2001,$R103)="","",INDEX(Calc!$BC$2:$BC$2001,$R103)))</f>
        <v/>
      </c>
      <c r="O103" s="36">
        <f>IF($R103="","",IF(INDEX(Calc!$BD$2:$BD$2001,$R103)="","",INDEX(Calc!$BD$2:$BD$2001,$R103)))</f>
        <v/>
      </c>
      <c r="P103" s="88">
        <f>IF(R103="","",HYPERLINK("#'"&amp;IF(INDEX(Calc!$AS$2:$AS$2001,R103)="R","Recurring Log","Variable Tasks")&amp;"'!J"&amp;INDEX(Calc!$AT$2:$AT$2001,R103),"✎ edit"))</f>
        <v/>
      </c>
      <c r="R103">
        <f>IFERROR(MATCH(SMALL(Calc!$BK$2:$BK$2001,94),Calc!$BK$2:$BK$2001,0),"")</f>
        <v/>
      </c>
    </row>
    <row r="104">
      <c r="B104" s="73">
        <f>IF(R104="","",95)</f>
        <v/>
      </c>
      <c r="C104" s="75">
        <f>IF($R104="","",IF(INDEX(Calc!$AU$2:$AU$2001,$R104)="","",INDEX(Calc!$AU$2:$AU$2001,$R104)))</f>
        <v/>
      </c>
      <c r="D104" s="73">
        <f>IF($R104="","",IF(INDEX(Calc!$AV$2:$AV$2001,$R104)="","",INDEX(Calc!$AV$2:$AV$2001,$R104)))</f>
        <v/>
      </c>
      <c r="E104" s="76">
        <f>IF($R104="","",IF(INDEX(Calc!$AW$2:$AW$2001,$R104)="","",INDEX(Calc!$AW$2:$AW$2001,$R104)))</f>
        <v/>
      </c>
      <c r="F104" s="72">
        <f>IF(OR(C104="",E104=""),"",E104-Setup!$D$7)</f>
        <v/>
      </c>
      <c r="G104" s="77">
        <f>IF($R104="","",IF(INDEX(Calc!$AX$2:$AX$2001,$R104)="","",INDEX(Calc!$AX$2:$AX$2001,$R104)))</f>
        <v/>
      </c>
      <c r="H104" s="77">
        <f>IF($R104="","",IF(INDEX(Calc!$AY$2:$AY$2001,$R104)="","",INDEX(Calc!$AY$2:$AY$2001,$R104)))</f>
        <v/>
      </c>
      <c r="I104" s="73">
        <f>IF(OR(G104="",H104=""),"",TRIM(IF(HOUR(H104-G104)&gt;0,HOUR(H104-G104)&amp;" hr ","")&amp;IF(MINUTE(H104-G104)&gt;0,MINUTE(H104-G104)&amp;" min","")))</f>
        <v/>
      </c>
      <c r="J104" s="73">
        <f>IF($R104="","",IF(INDEX(Calc!$AZ$2:$AZ$2001,$R104)="","",INDEX(Calc!$AZ$2:$AZ$2001,$R104)))</f>
        <v/>
      </c>
      <c r="K104" s="85">
        <f>IF($R104="","",IF(INDEX(Calc!$BE$2:$BE$2001,$R104)="","",INDEX(Calc!$BE$2:$BE$2001,$R104)))</f>
        <v/>
      </c>
      <c r="L104" s="73">
        <f>IF($R104="","",IF(INDEX(Calc!$BA$2:$BA$2001,$R104)="","",INDEX(Calc!$BA$2:$BA$2001,$R104)))</f>
        <v/>
      </c>
      <c r="M104" s="73">
        <f>IF($R104="","",IF(INDEX(Calc!$BB$2:$BB$2001,$R104)="","",INDEX(Calc!$BB$2:$BB$2001,$R104)))</f>
        <v/>
      </c>
      <c r="N104" s="73">
        <f>IF($R104="","",IF(INDEX(Calc!$BC$2:$BC$2001,$R104)="","",INDEX(Calc!$BC$2:$BC$2001,$R104)))</f>
        <v/>
      </c>
      <c r="O104" s="73">
        <f>IF($R104="","",IF(INDEX(Calc!$BD$2:$BD$2001,$R104)="","",INDEX(Calc!$BD$2:$BD$2001,$R104)))</f>
        <v/>
      </c>
      <c r="P104" s="86">
        <f>IF(R104="","",HYPERLINK("#'"&amp;IF(INDEX(Calc!$AS$2:$AS$2001,R104)="R","Recurring Log","Variable Tasks")&amp;"'!J"&amp;INDEX(Calc!$AT$2:$AT$2001,R104),"✎ edit"))</f>
        <v/>
      </c>
      <c r="R104">
        <f>IFERROR(MATCH(SMALL(Calc!$BK$2:$BK$2001,95),Calc!$BK$2:$BK$2001,0),"")</f>
        <v/>
      </c>
    </row>
    <row r="105">
      <c r="B105" s="36">
        <f>IF(R105="","",96)</f>
        <v/>
      </c>
      <c r="C105" s="37">
        <f>IF($R105="","",IF(INDEX(Calc!$AU$2:$AU$2001,$R105)="","",INDEX(Calc!$AU$2:$AU$2001,$R105)))</f>
        <v/>
      </c>
      <c r="D105" s="36">
        <f>IF($R105="","",IF(INDEX(Calc!$AV$2:$AV$2001,$R105)="","",INDEX(Calc!$AV$2:$AV$2001,$R105)))</f>
        <v/>
      </c>
      <c r="E105" s="38">
        <f>IF($R105="","",IF(INDEX(Calc!$AW$2:$AW$2001,$R105)="","",INDEX(Calc!$AW$2:$AW$2001,$R105)))</f>
        <v/>
      </c>
      <c r="F105" s="68">
        <f>IF(OR(C105="",E105=""),"",E105-Setup!$D$7)</f>
        <v/>
      </c>
      <c r="G105" s="74">
        <f>IF($R105="","",IF(INDEX(Calc!$AX$2:$AX$2001,$R105)="","",INDEX(Calc!$AX$2:$AX$2001,$R105)))</f>
        <v/>
      </c>
      <c r="H105" s="74">
        <f>IF($R105="","",IF(INDEX(Calc!$AY$2:$AY$2001,$R105)="","",INDEX(Calc!$AY$2:$AY$2001,$R105)))</f>
        <v/>
      </c>
      <c r="I105" s="36">
        <f>IF(OR(G105="",H105=""),"",TRIM(IF(HOUR(H105-G105)&gt;0,HOUR(H105-G105)&amp;" hr ","")&amp;IF(MINUTE(H105-G105)&gt;0,MINUTE(H105-G105)&amp;" min","")))</f>
        <v/>
      </c>
      <c r="J105" s="36">
        <f>IF($R105="","",IF(INDEX(Calc!$AZ$2:$AZ$2001,$R105)="","",INDEX(Calc!$AZ$2:$AZ$2001,$R105)))</f>
        <v/>
      </c>
      <c r="K105" s="87">
        <f>IF($R105="","",IF(INDEX(Calc!$BE$2:$BE$2001,$R105)="","",INDEX(Calc!$BE$2:$BE$2001,$R105)))</f>
        <v/>
      </c>
      <c r="L105" s="36">
        <f>IF($R105="","",IF(INDEX(Calc!$BA$2:$BA$2001,$R105)="","",INDEX(Calc!$BA$2:$BA$2001,$R105)))</f>
        <v/>
      </c>
      <c r="M105" s="36">
        <f>IF($R105="","",IF(INDEX(Calc!$BB$2:$BB$2001,$R105)="","",INDEX(Calc!$BB$2:$BB$2001,$R105)))</f>
        <v/>
      </c>
      <c r="N105" s="36">
        <f>IF($R105="","",IF(INDEX(Calc!$BC$2:$BC$2001,$R105)="","",INDEX(Calc!$BC$2:$BC$2001,$R105)))</f>
        <v/>
      </c>
      <c r="O105" s="36">
        <f>IF($R105="","",IF(INDEX(Calc!$BD$2:$BD$2001,$R105)="","",INDEX(Calc!$BD$2:$BD$2001,$R105)))</f>
        <v/>
      </c>
      <c r="P105" s="88">
        <f>IF(R105="","",HYPERLINK("#'"&amp;IF(INDEX(Calc!$AS$2:$AS$2001,R105)="R","Recurring Log","Variable Tasks")&amp;"'!J"&amp;INDEX(Calc!$AT$2:$AT$2001,R105),"✎ edit"))</f>
        <v/>
      </c>
      <c r="R105">
        <f>IFERROR(MATCH(SMALL(Calc!$BK$2:$BK$2001,96),Calc!$BK$2:$BK$2001,0),"")</f>
        <v/>
      </c>
    </row>
    <row r="106">
      <c r="B106" s="73">
        <f>IF(R106="","",97)</f>
        <v/>
      </c>
      <c r="C106" s="75">
        <f>IF($R106="","",IF(INDEX(Calc!$AU$2:$AU$2001,$R106)="","",INDEX(Calc!$AU$2:$AU$2001,$R106)))</f>
        <v/>
      </c>
      <c r="D106" s="73">
        <f>IF($R106="","",IF(INDEX(Calc!$AV$2:$AV$2001,$R106)="","",INDEX(Calc!$AV$2:$AV$2001,$R106)))</f>
        <v/>
      </c>
      <c r="E106" s="76">
        <f>IF($R106="","",IF(INDEX(Calc!$AW$2:$AW$2001,$R106)="","",INDEX(Calc!$AW$2:$AW$2001,$R106)))</f>
        <v/>
      </c>
      <c r="F106" s="72">
        <f>IF(OR(C106="",E106=""),"",E106-Setup!$D$7)</f>
        <v/>
      </c>
      <c r="G106" s="77">
        <f>IF($R106="","",IF(INDEX(Calc!$AX$2:$AX$2001,$R106)="","",INDEX(Calc!$AX$2:$AX$2001,$R106)))</f>
        <v/>
      </c>
      <c r="H106" s="77">
        <f>IF($R106="","",IF(INDEX(Calc!$AY$2:$AY$2001,$R106)="","",INDEX(Calc!$AY$2:$AY$2001,$R106)))</f>
        <v/>
      </c>
      <c r="I106" s="73">
        <f>IF(OR(G106="",H106=""),"",TRIM(IF(HOUR(H106-G106)&gt;0,HOUR(H106-G106)&amp;" hr ","")&amp;IF(MINUTE(H106-G106)&gt;0,MINUTE(H106-G106)&amp;" min","")))</f>
        <v/>
      </c>
      <c r="J106" s="73">
        <f>IF($R106="","",IF(INDEX(Calc!$AZ$2:$AZ$2001,$R106)="","",INDEX(Calc!$AZ$2:$AZ$2001,$R106)))</f>
        <v/>
      </c>
      <c r="K106" s="85">
        <f>IF($R106="","",IF(INDEX(Calc!$BE$2:$BE$2001,$R106)="","",INDEX(Calc!$BE$2:$BE$2001,$R106)))</f>
        <v/>
      </c>
      <c r="L106" s="73">
        <f>IF($R106="","",IF(INDEX(Calc!$BA$2:$BA$2001,$R106)="","",INDEX(Calc!$BA$2:$BA$2001,$R106)))</f>
        <v/>
      </c>
      <c r="M106" s="73">
        <f>IF($R106="","",IF(INDEX(Calc!$BB$2:$BB$2001,$R106)="","",INDEX(Calc!$BB$2:$BB$2001,$R106)))</f>
        <v/>
      </c>
      <c r="N106" s="73">
        <f>IF($R106="","",IF(INDEX(Calc!$BC$2:$BC$2001,$R106)="","",INDEX(Calc!$BC$2:$BC$2001,$R106)))</f>
        <v/>
      </c>
      <c r="O106" s="73">
        <f>IF($R106="","",IF(INDEX(Calc!$BD$2:$BD$2001,$R106)="","",INDEX(Calc!$BD$2:$BD$2001,$R106)))</f>
        <v/>
      </c>
      <c r="P106" s="86">
        <f>IF(R106="","",HYPERLINK("#'"&amp;IF(INDEX(Calc!$AS$2:$AS$2001,R106)="R","Recurring Log","Variable Tasks")&amp;"'!J"&amp;INDEX(Calc!$AT$2:$AT$2001,R106),"✎ edit"))</f>
        <v/>
      </c>
      <c r="R106">
        <f>IFERROR(MATCH(SMALL(Calc!$BK$2:$BK$2001,97),Calc!$BK$2:$BK$2001,0),"")</f>
        <v/>
      </c>
    </row>
    <row r="107">
      <c r="B107" s="36">
        <f>IF(R107="","",98)</f>
        <v/>
      </c>
      <c r="C107" s="37">
        <f>IF($R107="","",IF(INDEX(Calc!$AU$2:$AU$2001,$R107)="","",INDEX(Calc!$AU$2:$AU$2001,$R107)))</f>
        <v/>
      </c>
      <c r="D107" s="36">
        <f>IF($R107="","",IF(INDEX(Calc!$AV$2:$AV$2001,$R107)="","",INDEX(Calc!$AV$2:$AV$2001,$R107)))</f>
        <v/>
      </c>
      <c r="E107" s="38">
        <f>IF($R107="","",IF(INDEX(Calc!$AW$2:$AW$2001,$R107)="","",INDEX(Calc!$AW$2:$AW$2001,$R107)))</f>
        <v/>
      </c>
      <c r="F107" s="68">
        <f>IF(OR(C107="",E107=""),"",E107-Setup!$D$7)</f>
        <v/>
      </c>
      <c r="G107" s="74">
        <f>IF($R107="","",IF(INDEX(Calc!$AX$2:$AX$2001,$R107)="","",INDEX(Calc!$AX$2:$AX$2001,$R107)))</f>
        <v/>
      </c>
      <c r="H107" s="74">
        <f>IF($R107="","",IF(INDEX(Calc!$AY$2:$AY$2001,$R107)="","",INDEX(Calc!$AY$2:$AY$2001,$R107)))</f>
        <v/>
      </c>
      <c r="I107" s="36">
        <f>IF(OR(G107="",H107=""),"",TRIM(IF(HOUR(H107-G107)&gt;0,HOUR(H107-G107)&amp;" hr ","")&amp;IF(MINUTE(H107-G107)&gt;0,MINUTE(H107-G107)&amp;" min","")))</f>
        <v/>
      </c>
      <c r="J107" s="36">
        <f>IF($R107="","",IF(INDEX(Calc!$AZ$2:$AZ$2001,$R107)="","",INDEX(Calc!$AZ$2:$AZ$2001,$R107)))</f>
        <v/>
      </c>
      <c r="K107" s="87">
        <f>IF($R107="","",IF(INDEX(Calc!$BE$2:$BE$2001,$R107)="","",INDEX(Calc!$BE$2:$BE$2001,$R107)))</f>
        <v/>
      </c>
      <c r="L107" s="36">
        <f>IF($R107="","",IF(INDEX(Calc!$BA$2:$BA$2001,$R107)="","",INDEX(Calc!$BA$2:$BA$2001,$R107)))</f>
        <v/>
      </c>
      <c r="M107" s="36">
        <f>IF($R107="","",IF(INDEX(Calc!$BB$2:$BB$2001,$R107)="","",INDEX(Calc!$BB$2:$BB$2001,$R107)))</f>
        <v/>
      </c>
      <c r="N107" s="36">
        <f>IF($R107="","",IF(INDEX(Calc!$BC$2:$BC$2001,$R107)="","",INDEX(Calc!$BC$2:$BC$2001,$R107)))</f>
        <v/>
      </c>
      <c r="O107" s="36">
        <f>IF($R107="","",IF(INDEX(Calc!$BD$2:$BD$2001,$R107)="","",INDEX(Calc!$BD$2:$BD$2001,$R107)))</f>
        <v/>
      </c>
      <c r="P107" s="88">
        <f>IF(R107="","",HYPERLINK("#'"&amp;IF(INDEX(Calc!$AS$2:$AS$2001,R107)="R","Recurring Log","Variable Tasks")&amp;"'!J"&amp;INDEX(Calc!$AT$2:$AT$2001,R107),"✎ edit"))</f>
        <v/>
      </c>
      <c r="R107">
        <f>IFERROR(MATCH(SMALL(Calc!$BK$2:$BK$2001,98),Calc!$BK$2:$BK$2001,0),"")</f>
        <v/>
      </c>
    </row>
    <row r="108">
      <c r="B108" s="73">
        <f>IF(R108="","",99)</f>
        <v/>
      </c>
      <c r="C108" s="75">
        <f>IF($R108="","",IF(INDEX(Calc!$AU$2:$AU$2001,$R108)="","",INDEX(Calc!$AU$2:$AU$2001,$R108)))</f>
        <v/>
      </c>
      <c r="D108" s="73">
        <f>IF($R108="","",IF(INDEX(Calc!$AV$2:$AV$2001,$R108)="","",INDEX(Calc!$AV$2:$AV$2001,$R108)))</f>
        <v/>
      </c>
      <c r="E108" s="76">
        <f>IF($R108="","",IF(INDEX(Calc!$AW$2:$AW$2001,$R108)="","",INDEX(Calc!$AW$2:$AW$2001,$R108)))</f>
        <v/>
      </c>
      <c r="F108" s="72">
        <f>IF(OR(C108="",E108=""),"",E108-Setup!$D$7)</f>
        <v/>
      </c>
      <c r="G108" s="77">
        <f>IF($R108="","",IF(INDEX(Calc!$AX$2:$AX$2001,$R108)="","",INDEX(Calc!$AX$2:$AX$2001,$R108)))</f>
        <v/>
      </c>
      <c r="H108" s="77">
        <f>IF($R108="","",IF(INDEX(Calc!$AY$2:$AY$2001,$R108)="","",INDEX(Calc!$AY$2:$AY$2001,$R108)))</f>
        <v/>
      </c>
      <c r="I108" s="73">
        <f>IF(OR(G108="",H108=""),"",TRIM(IF(HOUR(H108-G108)&gt;0,HOUR(H108-G108)&amp;" hr ","")&amp;IF(MINUTE(H108-G108)&gt;0,MINUTE(H108-G108)&amp;" min","")))</f>
        <v/>
      </c>
      <c r="J108" s="73">
        <f>IF($R108="","",IF(INDEX(Calc!$AZ$2:$AZ$2001,$R108)="","",INDEX(Calc!$AZ$2:$AZ$2001,$R108)))</f>
        <v/>
      </c>
      <c r="K108" s="85">
        <f>IF($R108="","",IF(INDEX(Calc!$BE$2:$BE$2001,$R108)="","",INDEX(Calc!$BE$2:$BE$2001,$R108)))</f>
        <v/>
      </c>
      <c r="L108" s="73">
        <f>IF($R108="","",IF(INDEX(Calc!$BA$2:$BA$2001,$R108)="","",INDEX(Calc!$BA$2:$BA$2001,$R108)))</f>
        <v/>
      </c>
      <c r="M108" s="73">
        <f>IF($R108="","",IF(INDEX(Calc!$BB$2:$BB$2001,$R108)="","",INDEX(Calc!$BB$2:$BB$2001,$R108)))</f>
        <v/>
      </c>
      <c r="N108" s="73">
        <f>IF($R108="","",IF(INDEX(Calc!$BC$2:$BC$2001,$R108)="","",INDEX(Calc!$BC$2:$BC$2001,$R108)))</f>
        <v/>
      </c>
      <c r="O108" s="73">
        <f>IF($R108="","",IF(INDEX(Calc!$BD$2:$BD$2001,$R108)="","",INDEX(Calc!$BD$2:$BD$2001,$R108)))</f>
        <v/>
      </c>
      <c r="P108" s="86">
        <f>IF(R108="","",HYPERLINK("#'"&amp;IF(INDEX(Calc!$AS$2:$AS$2001,R108)="R","Recurring Log","Variable Tasks")&amp;"'!J"&amp;INDEX(Calc!$AT$2:$AT$2001,R108),"✎ edit"))</f>
        <v/>
      </c>
      <c r="R108">
        <f>IFERROR(MATCH(SMALL(Calc!$BK$2:$BK$2001,99),Calc!$BK$2:$BK$2001,0),"")</f>
        <v/>
      </c>
    </row>
    <row r="109">
      <c r="B109" s="36">
        <f>IF(R109="","",100)</f>
        <v/>
      </c>
      <c r="C109" s="37">
        <f>IF($R109="","",IF(INDEX(Calc!$AU$2:$AU$2001,$R109)="","",INDEX(Calc!$AU$2:$AU$2001,$R109)))</f>
        <v/>
      </c>
      <c r="D109" s="36">
        <f>IF($R109="","",IF(INDEX(Calc!$AV$2:$AV$2001,$R109)="","",INDEX(Calc!$AV$2:$AV$2001,$R109)))</f>
        <v/>
      </c>
      <c r="E109" s="38">
        <f>IF($R109="","",IF(INDEX(Calc!$AW$2:$AW$2001,$R109)="","",INDEX(Calc!$AW$2:$AW$2001,$R109)))</f>
        <v/>
      </c>
      <c r="F109" s="68">
        <f>IF(OR(C109="",E109=""),"",E109-Setup!$D$7)</f>
        <v/>
      </c>
      <c r="G109" s="74">
        <f>IF($R109="","",IF(INDEX(Calc!$AX$2:$AX$2001,$R109)="","",INDEX(Calc!$AX$2:$AX$2001,$R109)))</f>
        <v/>
      </c>
      <c r="H109" s="74">
        <f>IF($R109="","",IF(INDEX(Calc!$AY$2:$AY$2001,$R109)="","",INDEX(Calc!$AY$2:$AY$2001,$R109)))</f>
        <v/>
      </c>
      <c r="I109" s="36">
        <f>IF(OR(G109="",H109=""),"",TRIM(IF(HOUR(H109-G109)&gt;0,HOUR(H109-G109)&amp;" hr ","")&amp;IF(MINUTE(H109-G109)&gt;0,MINUTE(H109-G109)&amp;" min","")))</f>
        <v/>
      </c>
      <c r="J109" s="36">
        <f>IF($R109="","",IF(INDEX(Calc!$AZ$2:$AZ$2001,$R109)="","",INDEX(Calc!$AZ$2:$AZ$2001,$R109)))</f>
        <v/>
      </c>
      <c r="K109" s="87">
        <f>IF($R109="","",IF(INDEX(Calc!$BE$2:$BE$2001,$R109)="","",INDEX(Calc!$BE$2:$BE$2001,$R109)))</f>
        <v/>
      </c>
      <c r="L109" s="36">
        <f>IF($R109="","",IF(INDEX(Calc!$BA$2:$BA$2001,$R109)="","",INDEX(Calc!$BA$2:$BA$2001,$R109)))</f>
        <v/>
      </c>
      <c r="M109" s="36">
        <f>IF($R109="","",IF(INDEX(Calc!$BB$2:$BB$2001,$R109)="","",INDEX(Calc!$BB$2:$BB$2001,$R109)))</f>
        <v/>
      </c>
      <c r="N109" s="36">
        <f>IF($R109="","",IF(INDEX(Calc!$BC$2:$BC$2001,$R109)="","",INDEX(Calc!$BC$2:$BC$2001,$R109)))</f>
        <v/>
      </c>
      <c r="O109" s="36">
        <f>IF($R109="","",IF(INDEX(Calc!$BD$2:$BD$2001,$R109)="","",INDEX(Calc!$BD$2:$BD$2001,$R109)))</f>
        <v/>
      </c>
      <c r="P109" s="88">
        <f>IF(R109="","",HYPERLINK("#'"&amp;IF(INDEX(Calc!$AS$2:$AS$2001,R109)="R","Recurring Log","Variable Tasks")&amp;"'!J"&amp;INDEX(Calc!$AT$2:$AT$2001,R109),"✎ edit"))</f>
        <v/>
      </c>
      <c r="R109">
        <f>IFERROR(MATCH(SMALL(Calc!$BK$2:$BK$2001,100),Calc!$BK$2:$BK$2001,0),"")</f>
        <v/>
      </c>
    </row>
    <row r="110">
      <c r="B110" s="73">
        <f>IF(R110="","",101)</f>
        <v/>
      </c>
      <c r="C110" s="75">
        <f>IF($R110="","",IF(INDEX(Calc!$AU$2:$AU$2001,$R110)="","",INDEX(Calc!$AU$2:$AU$2001,$R110)))</f>
        <v/>
      </c>
      <c r="D110" s="73">
        <f>IF($R110="","",IF(INDEX(Calc!$AV$2:$AV$2001,$R110)="","",INDEX(Calc!$AV$2:$AV$2001,$R110)))</f>
        <v/>
      </c>
      <c r="E110" s="76">
        <f>IF($R110="","",IF(INDEX(Calc!$AW$2:$AW$2001,$R110)="","",INDEX(Calc!$AW$2:$AW$2001,$R110)))</f>
        <v/>
      </c>
      <c r="F110" s="72">
        <f>IF(OR(C110="",E110=""),"",E110-Setup!$D$7)</f>
        <v/>
      </c>
      <c r="G110" s="77">
        <f>IF($R110="","",IF(INDEX(Calc!$AX$2:$AX$2001,$R110)="","",INDEX(Calc!$AX$2:$AX$2001,$R110)))</f>
        <v/>
      </c>
      <c r="H110" s="77">
        <f>IF($R110="","",IF(INDEX(Calc!$AY$2:$AY$2001,$R110)="","",INDEX(Calc!$AY$2:$AY$2001,$R110)))</f>
        <v/>
      </c>
      <c r="I110" s="73">
        <f>IF(OR(G110="",H110=""),"",TRIM(IF(HOUR(H110-G110)&gt;0,HOUR(H110-G110)&amp;" hr ","")&amp;IF(MINUTE(H110-G110)&gt;0,MINUTE(H110-G110)&amp;" min","")))</f>
        <v/>
      </c>
      <c r="J110" s="73">
        <f>IF($R110="","",IF(INDEX(Calc!$AZ$2:$AZ$2001,$R110)="","",INDEX(Calc!$AZ$2:$AZ$2001,$R110)))</f>
        <v/>
      </c>
      <c r="K110" s="85">
        <f>IF($R110="","",IF(INDEX(Calc!$BE$2:$BE$2001,$R110)="","",INDEX(Calc!$BE$2:$BE$2001,$R110)))</f>
        <v/>
      </c>
      <c r="L110" s="73">
        <f>IF($R110="","",IF(INDEX(Calc!$BA$2:$BA$2001,$R110)="","",INDEX(Calc!$BA$2:$BA$2001,$R110)))</f>
        <v/>
      </c>
      <c r="M110" s="73">
        <f>IF($R110="","",IF(INDEX(Calc!$BB$2:$BB$2001,$R110)="","",INDEX(Calc!$BB$2:$BB$2001,$R110)))</f>
        <v/>
      </c>
      <c r="N110" s="73">
        <f>IF($R110="","",IF(INDEX(Calc!$BC$2:$BC$2001,$R110)="","",INDEX(Calc!$BC$2:$BC$2001,$R110)))</f>
        <v/>
      </c>
      <c r="O110" s="73">
        <f>IF($R110="","",IF(INDEX(Calc!$BD$2:$BD$2001,$R110)="","",INDEX(Calc!$BD$2:$BD$2001,$R110)))</f>
        <v/>
      </c>
      <c r="P110" s="86">
        <f>IF(R110="","",HYPERLINK("#'"&amp;IF(INDEX(Calc!$AS$2:$AS$2001,R110)="R","Recurring Log","Variable Tasks")&amp;"'!J"&amp;INDEX(Calc!$AT$2:$AT$2001,R110),"✎ edit"))</f>
        <v/>
      </c>
      <c r="R110">
        <f>IFERROR(MATCH(SMALL(Calc!$BK$2:$BK$2001,101),Calc!$BK$2:$BK$2001,0),"")</f>
        <v/>
      </c>
    </row>
    <row r="111">
      <c r="B111" s="36">
        <f>IF(R111="","",102)</f>
        <v/>
      </c>
      <c r="C111" s="37">
        <f>IF($R111="","",IF(INDEX(Calc!$AU$2:$AU$2001,$R111)="","",INDEX(Calc!$AU$2:$AU$2001,$R111)))</f>
        <v/>
      </c>
      <c r="D111" s="36">
        <f>IF($R111="","",IF(INDEX(Calc!$AV$2:$AV$2001,$R111)="","",INDEX(Calc!$AV$2:$AV$2001,$R111)))</f>
        <v/>
      </c>
      <c r="E111" s="38">
        <f>IF($R111="","",IF(INDEX(Calc!$AW$2:$AW$2001,$R111)="","",INDEX(Calc!$AW$2:$AW$2001,$R111)))</f>
        <v/>
      </c>
      <c r="F111" s="68">
        <f>IF(OR(C111="",E111=""),"",E111-Setup!$D$7)</f>
        <v/>
      </c>
      <c r="G111" s="74">
        <f>IF($R111="","",IF(INDEX(Calc!$AX$2:$AX$2001,$R111)="","",INDEX(Calc!$AX$2:$AX$2001,$R111)))</f>
        <v/>
      </c>
      <c r="H111" s="74">
        <f>IF($R111="","",IF(INDEX(Calc!$AY$2:$AY$2001,$R111)="","",INDEX(Calc!$AY$2:$AY$2001,$R111)))</f>
        <v/>
      </c>
      <c r="I111" s="36">
        <f>IF(OR(G111="",H111=""),"",TRIM(IF(HOUR(H111-G111)&gt;0,HOUR(H111-G111)&amp;" hr ","")&amp;IF(MINUTE(H111-G111)&gt;0,MINUTE(H111-G111)&amp;" min","")))</f>
        <v/>
      </c>
      <c r="J111" s="36">
        <f>IF($R111="","",IF(INDEX(Calc!$AZ$2:$AZ$2001,$R111)="","",INDEX(Calc!$AZ$2:$AZ$2001,$R111)))</f>
        <v/>
      </c>
      <c r="K111" s="87">
        <f>IF($R111="","",IF(INDEX(Calc!$BE$2:$BE$2001,$R111)="","",INDEX(Calc!$BE$2:$BE$2001,$R111)))</f>
        <v/>
      </c>
      <c r="L111" s="36">
        <f>IF($R111="","",IF(INDEX(Calc!$BA$2:$BA$2001,$R111)="","",INDEX(Calc!$BA$2:$BA$2001,$R111)))</f>
        <v/>
      </c>
      <c r="M111" s="36">
        <f>IF($R111="","",IF(INDEX(Calc!$BB$2:$BB$2001,$R111)="","",INDEX(Calc!$BB$2:$BB$2001,$R111)))</f>
        <v/>
      </c>
      <c r="N111" s="36">
        <f>IF($R111="","",IF(INDEX(Calc!$BC$2:$BC$2001,$R111)="","",INDEX(Calc!$BC$2:$BC$2001,$R111)))</f>
        <v/>
      </c>
      <c r="O111" s="36">
        <f>IF($R111="","",IF(INDEX(Calc!$BD$2:$BD$2001,$R111)="","",INDEX(Calc!$BD$2:$BD$2001,$R111)))</f>
        <v/>
      </c>
      <c r="P111" s="88">
        <f>IF(R111="","",HYPERLINK("#'"&amp;IF(INDEX(Calc!$AS$2:$AS$2001,R111)="R","Recurring Log","Variable Tasks")&amp;"'!J"&amp;INDEX(Calc!$AT$2:$AT$2001,R111),"✎ edit"))</f>
        <v/>
      </c>
      <c r="R111">
        <f>IFERROR(MATCH(SMALL(Calc!$BK$2:$BK$2001,102),Calc!$BK$2:$BK$2001,0),"")</f>
        <v/>
      </c>
    </row>
    <row r="112">
      <c r="B112" s="73">
        <f>IF(R112="","",103)</f>
        <v/>
      </c>
      <c r="C112" s="75">
        <f>IF($R112="","",IF(INDEX(Calc!$AU$2:$AU$2001,$R112)="","",INDEX(Calc!$AU$2:$AU$2001,$R112)))</f>
        <v/>
      </c>
      <c r="D112" s="73">
        <f>IF($R112="","",IF(INDEX(Calc!$AV$2:$AV$2001,$R112)="","",INDEX(Calc!$AV$2:$AV$2001,$R112)))</f>
        <v/>
      </c>
      <c r="E112" s="76">
        <f>IF($R112="","",IF(INDEX(Calc!$AW$2:$AW$2001,$R112)="","",INDEX(Calc!$AW$2:$AW$2001,$R112)))</f>
        <v/>
      </c>
      <c r="F112" s="72">
        <f>IF(OR(C112="",E112=""),"",E112-Setup!$D$7)</f>
        <v/>
      </c>
      <c r="G112" s="77">
        <f>IF($R112="","",IF(INDEX(Calc!$AX$2:$AX$2001,$R112)="","",INDEX(Calc!$AX$2:$AX$2001,$R112)))</f>
        <v/>
      </c>
      <c r="H112" s="77">
        <f>IF($R112="","",IF(INDEX(Calc!$AY$2:$AY$2001,$R112)="","",INDEX(Calc!$AY$2:$AY$2001,$R112)))</f>
        <v/>
      </c>
      <c r="I112" s="73">
        <f>IF(OR(G112="",H112=""),"",TRIM(IF(HOUR(H112-G112)&gt;0,HOUR(H112-G112)&amp;" hr ","")&amp;IF(MINUTE(H112-G112)&gt;0,MINUTE(H112-G112)&amp;" min","")))</f>
        <v/>
      </c>
      <c r="J112" s="73">
        <f>IF($R112="","",IF(INDEX(Calc!$AZ$2:$AZ$2001,$R112)="","",INDEX(Calc!$AZ$2:$AZ$2001,$R112)))</f>
        <v/>
      </c>
      <c r="K112" s="85">
        <f>IF($R112="","",IF(INDEX(Calc!$BE$2:$BE$2001,$R112)="","",INDEX(Calc!$BE$2:$BE$2001,$R112)))</f>
        <v/>
      </c>
      <c r="L112" s="73">
        <f>IF($R112="","",IF(INDEX(Calc!$BA$2:$BA$2001,$R112)="","",INDEX(Calc!$BA$2:$BA$2001,$R112)))</f>
        <v/>
      </c>
      <c r="M112" s="73">
        <f>IF($R112="","",IF(INDEX(Calc!$BB$2:$BB$2001,$R112)="","",INDEX(Calc!$BB$2:$BB$2001,$R112)))</f>
        <v/>
      </c>
      <c r="N112" s="73">
        <f>IF($R112="","",IF(INDEX(Calc!$BC$2:$BC$2001,$R112)="","",INDEX(Calc!$BC$2:$BC$2001,$R112)))</f>
        <v/>
      </c>
      <c r="O112" s="73">
        <f>IF($R112="","",IF(INDEX(Calc!$BD$2:$BD$2001,$R112)="","",INDEX(Calc!$BD$2:$BD$2001,$R112)))</f>
        <v/>
      </c>
      <c r="P112" s="86">
        <f>IF(R112="","",HYPERLINK("#'"&amp;IF(INDEX(Calc!$AS$2:$AS$2001,R112)="R","Recurring Log","Variable Tasks")&amp;"'!J"&amp;INDEX(Calc!$AT$2:$AT$2001,R112),"✎ edit"))</f>
        <v/>
      </c>
      <c r="R112">
        <f>IFERROR(MATCH(SMALL(Calc!$BK$2:$BK$2001,103),Calc!$BK$2:$BK$2001,0),"")</f>
        <v/>
      </c>
    </row>
    <row r="113">
      <c r="B113" s="36">
        <f>IF(R113="","",104)</f>
        <v/>
      </c>
      <c r="C113" s="37">
        <f>IF($R113="","",IF(INDEX(Calc!$AU$2:$AU$2001,$R113)="","",INDEX(Calc!$AU$2:$AU$2001,$R113)))</f>
        <v/>
      </c>
      <c r="D113" s="36">
        <f>IF($R113="","",IF(INDEX(Calc!$AV$2:$AV$2001,$R113)="","",INDEX(Calc!$AV$2:$AV$2001,$R113)))</f>
        <v/>
      </c>
      <c r="E113" s="38">
        <f>IF($R113="","",IF(INDEX(Calc!$AW$2:$AW$2001,$R113)="","",INDEX(Calc!$AW$2:$AW$2001,$R113)))</f>
        <v/>
      </c>
      <c r="F113" s="68">
        <f>IF(OR(C113="",E113=""),"",E113-Setup!$D$7)</f>
        <v/>
      </c>
      <c r="G113" s="74">
        <f>IF($R113="","",IF(INDEX(Calc!$AX$2:$AX$2001,$R113)="","",INDEX(Calc!$AX$2:$AX$2001,$R113)))</f>
        <v/>
      </c>
      <c r="H113" s="74">
        <f>IF($R113="","",IF(INDEX(Calc!$AY$2:$AY$2001,$R113)="","",INDEX(Calc!$AY$2:$AY$2001,$R113)))</f>
        <v/>
      </c>
      <c r="I113" s="36">
        <f>IF(OR(G113="",H113=""),"",TRIM(IF(HOUR(H113-G113)&gt;0,HOUR(H113-G113)&amp;" hr ","")&amp;IF(MINUTE(H113-G113)&gt;0,MINUTE(H113-G113)&amp;" min","")))</f>
        <v/>
      </c>
      <c r="J113" s="36">
        <f>IF($R113="","",IF(INDEX(Calc!$AZ$2:$AZ$2001,$R113)="","",INDEX(Calc!$AZ$2:$AZ$2001,$R113)))</f>
        <v/>
      </c>
      <c r="K113" s="87">
        <f>IF($R113="","",IF(INDEX(Calc!$BE$2:$BE$2001,$R113)="","",INDEX(Calc!$BE$2:$BE$2001,$R113)))</f>
        <v/>
      </c>
      <c r="L113" s="36">
        <f>IF($R113="","",IF(INDEX(Calc!$BA$2:$BA$2001,$R113)="","",INDEX(Calc!$BA$2:$BA$2001,$R113)))</f>
        <v/>
      </c>
      <c r="M113" s="36">
        <f>IF($R113="","",IF(INDEX(Calc!$BB$2:$BB$2001,$R113)="","",INDEX(Calc!$BB$2:$BB$2001,$R113)))</f>
        <v/>
      </c>
      <c r="N113" s="36">
        <f>IF($R113="","",IF(INDEX(Calc!$BC$2:$BC$2001,$R113)="","",INDEX(Calc!$BC$2:$BC$2001,$R113)))</f>
        <v/>
      </c>
      <c r="O113" s="36">
        <f>IF($R113="","",IF(INDEX(Calc!$BD$2:$BD$2001,$R113)="","",INDEX(Calc!$BD$2:$BD$2001,$R113)))</f>
        <v/>
      </c>
      <c r="P113" s="88">
        <f>IF(R113="","",HYPERLINK("#'"&amp;IF(INDEX(Calc!$AS$2:$AS$2001,R113)="R","Recurring Log","Variable Tasks")&amp;"'!J"&amp;INDEX(Calc!$AT$2:$AT$2001,R113),"✎ edit"))</f>
        <v/>
      </c>
      <c r="R113">
        <f>IFERROR(MATCH(SMALL(Calc!$BK$2:$BK$2001,104),Calc!$BK$2:$BK$2001,0),"")</f>
        <v/>
      </c>
    </row>
    <row r="114">
      <c r="B114" s="73">
        <f>IF(R114="","",105)</f>
        <v/>
      </c>
      <c r="C114" s="75">
        <f>IF($R114="","",IF(INDEX(Calc!$AU$2:$AU$2001,$R114)="","",INDEX(Calc!$AU$2:$AU$2001,$R114)))</f>
        <v/>
      </c>
      <c r="D114" s="73">
        <f>IF($R114="","",IF(INDEX(Calc!$AV$2:$AV$2001,$R114)="","",INDEX(Calc!$AV$2:$AV$2001,$R114)))</f>
        <v/>
      </c>
      <c r="E114" s="76">
        <f>IF($R114="","",IF(INDEX(Calc!$AW$2:$AW$2001,$R114)="","",INDEX(Calc!$AW$2:$AW$2001,$R114)))</f>
        <v/>
      </c>
      <c r="F114" s="72">
        <f>IF(OR(C114="",E114=""),"",E114-Setup!$D$7)</f>
        <v/>
      </c>
      <c r="G114" s="77">
        <f>IF($R114="","",IF(INDEX(Calc!$AX$2:$AX$2001,$R114)="","",INDEX(Calc!$AX$2:$AX$2001,$R114)))</f>
        <v/>
      </c>
      <c r="H114" s="77">
        <f>IF($R114="","",IF(INDEX(Calc!$AY$2:$AY$2001,$R114)="","",INDEX(Calc!$AY$2:$AY$2001,$R114)))</f>
        <v/>
      </c>
      <c r="I114" s="73">
        <f>IF(OR(G114="",H114=""),"",TRIM(IF(HOUR(H114-G114)&gt;0,HOUR(H114-G114)&amp;" hr ","")&amp;IF(MINUTE(H114-G114)&gt;0,MINUTE(H114-G114)&amp;" min","")))</f>
        <v/>
      </c>
      <c r="J114" s="73">
        <f>IF($R114="","",IF(INDEX(Calc!$AZ$2:$AZ$2001,$R114)="","",INDEX(Calc!$AZ$2:$AZ$2001,$R114)))</f>
        <v/>
      </c>
      <c r="K114" s="85">
        <f>IF($R114="","",IF(INDEX(Calc!$BE$2:$BE$2001,$R114)="","",INDEX(Calc!$BE$2:$BE$2001,$R114)))</f>
        <v/>
      </c>
      <c r="L114" s="73">
        <f>IF($R114="","",IF(INDEX(Calc!$BA$2:$BA$2001,$R114)="","",INDEX(Calc!$BA$2:$BA$2001,$R114)))</f>
        <v/>
      </c>
      <c r="M114" s="73">
        <f>IF($R114="","",IF(INDEX(Calc!$BB$2:$BB$2001,$R114)="","",INDEX(Calc!$BB$2:$BB$2001,$R114)))</f>
        <v/>
      </c>
      <c r="N114" s="73">
        <f>IF($R114="","",IF(INDEX(Calc!$BC$2:$BC$2001,$R114)="","",INDEX(Calc!$BC$2:$BC$2001,$R114)))</f>
        <v/>
      </c>
      <c r="O114" s="73">
        <f>IF($R114="","",IF(INDEX(Calc!$BD$2:$BD$2001,$R114)="","",INDEX(Calc!$BD$2:$BD$2001,$R114)))</f>
        <v/>
      </c>
      <c r="P114" s="86">
        <f>IF(R114="","",HYPERLINK("#'"&amp;IF(INDEX(Calc!$AS$2:$AS$2001,R114)="R","Recurring Log","Variable Tasks")&amp;"'!J"&amp;INDEX(Calc!$AT$2:$AT$2001,R114),"✎ edit"))</f>
        <v/>
      </c>
      <c r="R114">
        <f>IFERROR(MATCH(SMALL(Calc!$BK$2:$BK$2001,105),Calc!$BK$2:$BK$2001,0),"")</f>
        <v/>
      </c>
    </row>
    <row r="115">
      <c r="B115" s="36">
        <f>IF(R115="","",106)</f>
        <v/>
      </c>
      <c r="C115" s="37">
        <f>IF($R115="","",IF(INDEX(Calc!$AU$2:$AU$2001,$R115)="","",INDEX(Calc!$AU$2:$AU$2001,$R115)))</f>
        <v/>
      </c>
      <c r="D115" s="36">
        <f>IF($R115="","",IF(INDEX(Calc!$AV$2:$AV$2001,$R115)="","",INDEX(Calc!$AV$2:$AV$2001,$R115)))</f>
        <v/>
      </c>
      <c r="E115" s="38">
        <f>IF($R115="","",IF(INDEX(Calc!$AW$2:$AW$2001,$R115)="","",INDEX(Calc!$AW$2:$AW$2001,$R115)))</f>
        <v/>
      </c>
      <c r="F115" s="68">
        <f>IF(OR(C115="",E115=""),"",E115-Setup!$D$7)</f>
        <v/>
      </c>
      <c r="G115" s="74">
        <f>IF($R115="","",IF(INDEX(Calc!$AX$2:$AX$2001,$R115)="","",INDEX(Calc!$AX$2:$AX$2001,$R115)))</f>
        <v/>
      </c>
      <c r="H115" s="74">
        <f>IF($R115="","",IF(INDEX(Calc!$AY$2:$AY$2001,$R115)="","",INDEX(Calc!$AY$2:$AY$2001,$R115)))</f>
        <v/>
      </c>
      <c r="I115" s="36">
        <f>IF(OR(G115="",H115=""),"",TRIM(IF(HOUR(H115-G115)&gt;0,HOUR(H115-G115)&amp;" hr ","")&amp;IF(MINUTE(H115-G115)&gt;0,MINUTE(H115-G115)&amp;" min","")))</f>
        <v/>
      </c>
      <c r="J115" s="36">
        <f>IF($R115="","",IF(INDEX(Calc!$AZ$2:$AZ$2001,$R115)="","",INDEX(Calc!$AZ$2:$AZ$2001,$R115)))</f>
        <v/>
      </c>
      <c r="K115" s="87">
        <f>IF($R115="","",IF(INDEX(Calc!$BE$2:$BE$2001,$R115)="","",INDEX(Calc!$BE$2:$BE$2001,$R115)))</f>
        <v/>
      </c>
      <c r="L115" s="36">
        <f>IF($R115="","",IF(INDEX(Calc!$BA$2:$BA$2001,$R115)="","",INDEX(Calc!$BA$2:$BA$2001,$R115)))</f>
        <v/>
      </c>
      <c r="M115" s="36">
        <f>IF($R115="","",IF(INDEX(Calc!$BB$2:$BB$2001,$R115)="","",INDEX(Calc!$BB$2:$BB$2001,$R115)))</f>
        <v/>
      </c>
      <c r="N115" s="36">
        <f>IF($R115="","",IF(INDEX(Calc!$BC$2:$BC$2001,$R115)="","",INDEX(Calc!$BC$2:$BC$2001,$R115)))</f>
        <v/>
      </c>
      <c r="O115" s="36">
        <f>IF($R115="","",IF(INDEX(Calc!$BD$2:$BD$2001,$R115)="","",INDEX(Calc!$BD$2:$BD$2001,$R115)))</f>
        <v/>
      </c>
      <c r="P115" s="88">
        <f>IF(R115="","",HYPERLINK("#'"&amp;IF(INDEX(Calc!$AS$2:$AS$2001,R115)="R","Recurring Log","Variable Tasks")&amp;"'!J"&amp;INDEX(Calc!$AT$2:$AT$2001,R115),"✎ edit"))</f>
        <v/>
      </c>
      <c r="R115">
        <f>IFERROR(MATCH(SMALL(Calc!$BK$2:$BK$2001,106),Calc!$BK$2:$BK$2001,0),"")</f>
        <v/>
      </c>
    </row>
    <row r="116">
      <c r="B116" s="73">
        <f>IF(R116="","",107)</f>
        <v/>
      </c>
      <c r="C116" s="75">
        <f>IF($R116="","",IF(INDEX(Calc!$AU$2:$AU$2001,$R116)="","",INDEX(Calc!$AU$2:$AU$2001,$R116)))</f>
        <v/>
      </c>
      <c r="D116" s="73">
        <f>IF($R116="","",IF(INDEX(Calc!$AV$2:$AV$2001,$R116)="","",INDEX(Calc!$AV$2:$AV$2001,$R116)))</f>
        <v/>
      </c>
      <c r="E116" s="76">
        <f>IF($R116="","",IF(INDEX(Calc!$AW$2:$AW$2001,$R116)="","",INDEX(Calc!$AW$2:$AW$2001,$R116)))</f>
        <v/>
      </c>
      <c r="F116" s="72">
        <f>IF(OR(C116="",E116=""),"",E116-Setup!$D$7)</f>
        <v/>
      </c>
      <c r="G116" s="77">
        <f>IF($R116="","",IF(INDEX(Calc!$AX$2:$AX$2001,$R116)="","",INDEX(Calc!$AX$2:$AX$2001,$R116)))</f>
        <v/>
      </c>
      <c r="H116" s="77">
        <f>IF($R116="","",IF(INDEX(Calc!$AY$2:$AY$2001,$R116)="","",INDEX(Calc!$AY$2:$AY$2001,$R116)))</f>
        <v/>
      </c>
      <c r="I116" s="73">
        <f>IF(OR(G116="",H116=""),"",TRIM(IF(HOUR(H116-G116)&gt;0,HOUR(H116-G116)&amp;" hr ","")&amp;IF(MINUTE(H116-G116)&gt;0,MINUTE(H116-G116)&amp;" min","")))</f>
        <v/>
      </c>
      <c r="J116" s="73">
        <f>IF($R116="","",IF(INDEX(Calc!$AZ$2:$AZ$2001,$R116)="","",INDEX(Calc!$AZ$2:$AZ$2001,$R116)))</f>
        <v/>
      </c>
      <c r="K116" s="85">
        <f>IF($R116="","",IF(INDEX(Calc!$BE$2:$BE$2001,$R116)="","",INDEX(Calc!$BE$2:$BE$2001,$R116)))</f>
        <v/>
      </c>
      <c r="L116" s="73">
        <f>IF($R116="","",IF(INDEX(Calc!$BA$2:$BA$2001,$R116)="","",INDEX(Calc!$BA$2:$BA$2001,$R116)))</f>
        <v/>
      </c>
      <c r="M116" s="73">
        <f>IF($R116="","",IF(INDEX(Calc!$BB$2:$BB$2001,$R116)="","",INDEX(Calc!$BB$2:$BB$2001,$R116)))</f>
        <v/>
      </c>
      <c r="N116" s="73">
        <f>IF($R116="","",IF(INDEX(Calc!$BC$2:$BC$2001,$R116)="","",INDEX(Calc!$BC$2:$BC$2001,$R116)))</f>
        <v/>
      </c>
      <c r="O116" s="73">
        <f>IF($R116="","",IF(INDEX(Calc!$BD$2:$BD$2001,$R116)="","",INDEX(Calc!$BD$2:$BD$2001,$R116)))</f>
        <v/>
      </c>
      <c r="P116" s="86">
        <f>IF(R116="","",HYPERLINK("#'"&amp;IF(INDEX(Calc!$AS$2:$AS$2001,R116)="R","Recurring Log","Variable Tasks")&amp;"'!J"&amp;INDEX(Calc!$AT$2:$AT$2001,R116),"✎ edit"))</f>
        <v/>
      </c>
      <c r="R116">
        <f>IFERROR(MATCH(SMALL(Calc!$BK$2:$BK$2001,107),Calc!$BK$2:$BK$2001,0),"")</f>
        <v/>
      </c>
    </row>
    <row r="117">
      <c r="B117" s="36">
        <f>IF(R117="","",108)</f>
        <v/>
      </c>
      <c r="C117" s="37">
        <f>IF($R117="","",IF(INDEX(Calc!$AU$2:$AU$2001,$R117)="","",INDEX(Calc!$AU$2:$AU$2001,$R117)))</f>
        <v/>
      </c>
      <c r="D117" s="36">
        <f>IF($R117="","",IF(INDEX(Calc!$AV$2:$AV$2001,$R117)="","",INDEX(Calc!$AV$2:$AV$2001,$R117)))</f>
        <v/>
      </c>
      <c r="E117" s="38">
        <f>IF($R117="","",IF(INDEX(Calc!$AW$2:$AW$2001,$R117)="","",INDEX(Calc!$AW$2:$AW$2001,$R117)))</f>
        <v/>
      </c>
      <c r="F117" s="68">
        <f>IF(OR(C117="",E117=""),"",E117-Setup!$D$7)</f>
        <v/>
      </c>
      <c r="G117" s="74">
        <f>IF($R117="","",IF(INDEX(Calc!$AX$2:$AX$2001,$R117)="","",INDEX(Calc!$AX$2:$AX$2001,$R117)))</f>
        <v/>
      </c>
      <c r="H117" s="74">
        <f>IF($R117="","",IF(INDEX(Calc!$AY$2:$AY$2001,$R117)="","",INDEX(Calc!$AY$2:$AY$2001,$R117)))</f>
        <v/>
      </c>
      <c r="I117" s="36">
        <f>IF(OR(G117="",H117=""),"",TRIM(IF(HOUR(H117-G117)&gt;0,HOUR(H117-G117)&amp;" hr ","")&amp;IF(MINUTE(H117-G117)&gt;0,MINUTE(H117-G117)&amp;" min","")))</f>
        <v/>
      </c>
      <c r="J117" s="36">
        <f>IF($R117="","",IF(INDEX(Calc!$AZ$2:$AZ$2001,$R117)="","",INDEX(Calc!$AZ$2:$AZ$2001,$R117)))</f>
        <v/>
      </c>
      <c r="K117" s="87">
        <f>IF($R117="","",IF(INDEX(Calc!$BE$2:$BE$2001,$R117)="","",INDEX(Calc!$BE$2:$BE$2001,$R117)))</f>
        <v/>
      </c>
      <c r="L117" s="36">
        <f>IF($R117="","",IF(INDEX(Calc!$BA$2:$BA$2001,$R117)="","",INDEX(Calc!$BA$2:$BA$2001,$R117)))</f>
        <v/>
      </c>
      <c r="M117" s="36">
        <f>IF($R117="","",IF(INDEX(Calc!$BB$2:$BB$2001,$R117)="","",INDEX(Calc!$BB$2:$BB$2001,$R117)))</f>
        <v/>
      </c>
      <c r="N117" s="36">
        <f>IF($R117="","",IF(INDEX(Calc!$BC$2:$BC$2001,$R117)="","",INDEX(Calc!$BC$2:$BC$2001,$R117)))</f>
        <v/>
      </c>
      <c r="O117" s="36">
        <f>IF($R117="","",IF(INDEX(Calc!$BD$2:$BD$2001,$R117)="","",INDEX(Calc!$BD$2:$BD$2001,$R117)))</f>
        <v/>
      </c>
      <c r="P117" s="88">
        <f>IF(R117="","",HYPERLINK("#'"&amp;IF(INDEX(Calc!$AS$2:$AS$2001,R117)="R","Recurring Log","Variable Tasks")&amp;"'!J"&amp;INDEX(Calc!$AT$2:$AT$2001,R117),"✎ edit"))</f>
        <v/>
      </c>
      <c r="R117">
        <f>IFERROR(MATCH(SMALL(Calc!$BK$2:$BK$2001,108),Calc!$BK$2:$BK$2001,0),"")</f>
        <v/>
      </c>
    </row>
    <row r="118">
      <c r="B118" s="73">
        <f>IF(R118="","",109)</f>
        <v/>
      </c>
      <c r="C118" s="75">
        <f>IF($R118="","",IF(INDEX(Calc!$AU$2:$AU$2001,$R118)="","",INDEX(Calc!$AU$2:$AU$2001,$R118)))</f>
        <v/>
      </c>
      <c r="D118" s="73">
        <f>IF($R118="","",IF(INDEX(Calc!$AV$2:$AV$2001,$R118)="","",INDEX(Calc!$AV$2:$AV$2001,$R118)))</f>
        <v/>
      </c>
      <c r="E118" s="76">
        <f>IF($R118="","",IF(INDEX(Calc!$AW$2:$AW$2001,$R118)="","",INDEX(Calc!$AW$2:$AW$2001,$R118)))</f>
        <v/>
      </c>
      <c r="F118" s="72">
        <f>IF(OR(C118="",E118=""),"",E118-Setup!$D$7)</f>
        <v/>
      </c>
      <c r="G118" s="77">
        <f>IF($R118="","",IF(INDEX(Calc!$AX$2:$AX$2001,$R118)="","",INDEX(Calc!$AX$2:$AX$2001,$R118)))</f>
        <v/>
      </c>
      <c r="H118" s="77">
        <f>IF($R118="","",IF(INDEX(Calc!$AY$2:$AY$2001,$R118)="","",INDEX(Calc!$AY$2:$AY$2001,$R118)))</f>
        <v/>
      </c>
      <c r="I118" s="73">
        <f>IF(OR(G118="",H118=""),"",TRIM(IF(HOUR(H118-G118)&gt;0,HOUR(H118-G118)&amp;" hr ","")&amp;IF(MINUTE(H118-G118)&gt;0,MINUTE(H118-G118)&amp;" min","")))</f>
        <v/>
      </c>
      <c r="J118" s="73">
        <f>IF($R118="","",IF(INDEX(Calc!$AZ$2:$AZ$2001,$R118)="","",INDEX(Calc!$AZ$2:$AZ$2001,$R118)))</f>
        <v/>
      </c>
      <c r="K118" s="85">
        <f>IF($R118="","",IF(INDEX(Calc!$BE$2:$BE$2001,$R118)="","",INDEX(Calc!$BE$2:$BE$2001,$R118)))</f>
        <v/>
      </c>
      <c r="L118" s="73">
        <f>IF($R118="","",IF(INDEX(Calc!$BA$2:$BA$2001,$R118)="","",INDEX(Calc!$BA$2:$BA$2001,$R118)))</f>
        <v/>
      </c>
      <c r="M118" s="73">
        <f>IF($R118="","",IF(INDEX(Calc!$BB$2:$BB$2001,$R118)="","",INDEX(Calc!$BB$2:$BB$2001,$R118)))</f>
        <v/>
      </c>
      <c r="N118" s="73">
        <f>IF($R118="","",IF(INDEX(Calc!$BC$2:$BC$2001,$R118)="","",INDEX(Calc!$BC$2:$BC$2001,$R118)))</f>
        <v/>
      </c>
      <c r="O118" s="73">
        <f>IF($R118="","",IF(INDEX(Calc!$BD$2:$BD$2001,$R118)="","",INDEX(Calc!$BD$2:$BD$2001,$R118)))</f>
        <v/>
      </c>
      <c r="P118" s="86">
        <f>IF(R118="","",HYPERLINK("#'"&amp;IF(INDEX(Calc!$AS$2:$AS$2001,R118)="R","Recurring Log","Variable Tasks")&amp;"'!J"&amp;INDEX(Calc!$AT$2:$AT$2001,R118),"✎ edit"))</f>
        <v/>
      </c>
      <c r="R118">
        <f>IFERROR(MATCH(SMALL(Calc!$BK$2:$BK$2001,109),Calc!$BK$2:$BK$2001,0),"")</f>
        <v/>
      </c>
    </row>
    <row r="119">
      <c r="B119" s="36">
        <f>IF(R119="","",110)</f>
        <v/>
      </c>
      <c r="C119" s="37">
        <f>IF($R119="","",IF(INDEX(Calc!$AU$2:$AU$2001,$R119)="","",INDEX(Calc!$AU$2:$AU$2001,$R119)))</f>
        <v/>
      </c>
      <c r="D119" s="36">
        <f>IF($R119="","",IF(INDEX(Calc!$AV$2:$AV$2001,$R119)="","",INDEX(Calc!$AV$2:$AV$2001,$R119)))</f>
        <v/>
      </c>
      <c r="E119" s="38">
        <f>IF($R119="","",IF(INDEX(Calc!$AW$2:$AW$2001,$R119)="","",INDEX(Calc!$AW$2:$AW$2001,$R119)))</f>
        <v/>
      </c>
      <c r="F119" s="68">
        <f>IF(OR(C119="",E119=""),"",E119-Setup!$D$7)</f>
        <v/>
      </c>
      <c r="G119" s="74">
        <f>IF($R119="","",IF(INDEX(Calc!$AX$2:$AX$2001,$R119)="","",INDEX(Calc!$AX$2:$AX$2001,$R119)))</f>
        <v/>
      </c>
      <c r="H119" s="74">
        <f>IF($R119="","",IF(INDEX(Calc!$AY$2:$AY$2001,$R119)="","",INDEX(Calc!$AY$2:$AY$2001,$R119)))</f>
        <v/>
      </c>
      <c r="I119" s="36">
        <f>IF(OR(G119="",H119=""),"",TRIM(IF(HOUR(H119-G119)&gt;0,HOUR(H119-G119)&amp;" hr ","")&amp;IF(MINUTE(H119-G119)&gt;0,MINUTE(H119-G119)&amp;" min","")))</f>
        <v/>
      </c>
      <c r="J119" s="36">
        <f>IF($R119="","",IF(INDEX(Calc!$AZ$2:$AZ$2001,$R119)="","",INDEX(Calc!$AZ$2:$AZ$2001,$R119)))</f>
        <v/>
      </c>
      <c r="K119" s="87">
        <f>IF($R119="","",IF(INDEX(Calc!$BE$2:$BE$2001,$R119)="","",INDEX(Calc!$BE$2:$BE$2001,$R119)))</f>
        <v/>
      </c>
      <c r="L119" s="36">
        <f>IF($R119="","",IF(INDEX(Calc!$BA$2:$BA$2001,$R119)="","",INDEX(Calc!$BA$2:$BA$2001,$R119)))</f>
        <v/>
      </c>
      <c r="M119" s="36">
        <f>IF($R119="","",IF(INDEX(Calc!$BB$2:$BB$2001,$R119)="","",INDEX(Calc!$BB$2:$BB$2001,$R119)))</f>
        <v/>
      </c>
      <c r="N119" s="36">
        <f>IF($R119="","",IF(INDEX(Calc!$BC$2:$BC$2001,$R119)="","",INDEX(Calc!$BC$2:$BC$2001,$R119)))</f>
        <v/>
      </c>
      <c r="O119" s="36">
        <f>IF($R119="","",IF(INDEX(Calc!$BD$2:$BD$2001,$R119)="","",INDEX(Calc!$BD$2:$BD$2001,$R119)))</f>
        <v/>
      </c>
      <c r="P119" s="88">
        <f>IF(R119="","",HYPERLINK("#'"&amp;IF(INDEX(Calc!$AS$2:$AS$2001,R119)="R","Recurring Log","Variable Tasks")&amp;"'!J"&amp;INDEX(Calc!$AT$2:$AT$2001,R119),"✎ edit"))</f>
        <v/>
      </c>
      <c r="R119">
        <f>IFERROR(MATCH(SMALL(Calc!$BK$2:$BK$2001,110),Calc!$BK$2:$BK$2001,0),"")</f>
        <v/>
      </c>
    </row>
    <row r="120">
      <c r="B120" s="73">
        <f>IF(R120="","",111)</f>
        <v/>
      </c>
      <c r="C120" s="75">
        <f>IF($R120="","",IF(INDEX(Calc!$AU$2:$AU$2001,$R120)="","",INDEX(Calc!$AU$2:$AU$2001,$R120)))</f>
        <v/>
      </c>
      <c r="D120" s="73">
        <f>IF($R120="","",IF(INDEX(Calc!$AV$2:$AV$2001,$R120)="","",INDEX(Calc!$AV$2:$AV$2001,$R120)))</f>
        <v/>
      </c>
      <c r="E120" s="76">
        <f>IF($R120="","",IF(INDEX(Calc!$AW$2:$AW$2001,$R120)="","",INDEX(Calc!$AW$2:$AW$2001,$R120)))</f>
        <v/>
      </c>
      <c r="F120" s="72">
        <f>IF(OR(C120="",E120=""),"",E120-Setup!$D$7)</f>
        <v/>
      </c>
      <c r="G120" s="77">
        <f>IF($R120="","",IF(INDEX(Calc!$AX$2:$AX$2001,$R120)="","",INDEX(Calc!$AX$2:$AX$2001,$R120)))</f>
        <v/>
      </c>
      <c r="H120" s="77">
        <f>IF($R120="","",IF(INDEX(Calc!$AY$2:$AY$2001,$R120)="","",INDEX(Calc!$AY$2:$AY$2001,$R120)))</f>
        <v/>
      </c>
      <c r="I120" s="73">
        <f>IF(OR(G120="",H120=""),"",TRIM(IF(HOUR(H120-G120)&gt;0,HOUR(H120-G120)&amp;" hr ","")&amp;IF(MINUTE(H120-G120)&gt;0,MINUTE(H120-G120)&amp;" min","")))</f>
        <v/>
      </c>
      <c r="J120" s="73">
        <f>IF($R120="","",IF(INDEX(Calc!$AZ$2:$AZ$2001,$R120)="","",INDEX(Calc!$AZ$2:$AZ$2001,$R120)))</f>
        <v/>
      </c>
      <c r="K120" s="85">
        <f>IF($R120="","",IF(INDEX(Calc!$BE$2:$BE$2001,$R120)="","",INDEX(Calc!$BE$2:$BE$2001,$R120)))</f>
        <v/>
      </c>
      <c r="L120" s="73">
        <f>IF($R120="","",IF(INDEX(Calc!$BA$2:$BA$2001,$R120)="","",INDEX(Calc!$BA$2:$BA$2001,$R120)))</f>
        <v/>
      </c>
      <c r="M120" s="73">
        <f>IF($R120="","",IF(INDEX(Calc!$BB$2:$BB$2001,$R120)="","",INDEX(Calc!$BB$2:$BB$2001,$R120)))</f>
        <v/>
      </c>
      <c r="N120" s="73">
        <f>IF($R120="","",IF(INDEX(Calc!$BC$2:$BC$2001,$R120)="","",INDEX(Calc!$BC$2:$BC$2001,$R120)))</f>
        <v/>
      </c>
      <c r="O120" s="73">
        <f>IF($R120="","",IF(INDEX(Calc!$BD$2:$BD$2001,$R120)="","",INDEX(Calc!$BD$2:$BD$2001,$R120)))</f>
        <v/>
      </c>
      <c r="P120" s="86">
        <f>IF(R120="","",HYPERLINK("#'"&amp;IF(INDEX(Calc!$AS$2:$AS$2001,R120)="R","Recurring Log","Variable Tasks")&amp;"'!J"&amp;INDEX(Calc!$AT$2:$AT$2001,R120),"✎ edit"))</f>
        <v/>
      </c>
      <c r="R120">
        <f>IFERROR(MATCH(SMALL(Calc!$BK$2:$BK$2001,111),Calc!$BK$2:$BK$2001,0),"")</f>
        <v/>
      </c>
    </row>
    <row r="121">
      <c r="B121" s="36">
        <f>IF(R121="","",112)</f>
        <v/>
      </c>
      <c r="C121" s="37">
        <f>IF($R121="","",IF(INDEX(Calc!$AU$2:$AU$2001,$R121)="","",INDEX(Calc!$AU$2:$AU$2001,$R121)))</f>
        <v/>
      </c>
      <c r="D121" s="36">
        <f>IF($R121="","",IF(INDEX(Calc!$AV$2:$AV$2001,$R121)="","",INDEX(Calc!$AV$2:$AV$2001,$R121)))</f>
        <v/>
      </c>
      <c r="E121" s="38">
        <f>IF($R121="","",IF(INDEX(Calc!$AW$2:$AW$2001,$R121)="","",INDEX(Calc!$AW$2:$AW$2001,$R121)))</f>
        <v/>
      </c>
      <c r="F121" s="68">
        <f>IF(OR(C121="",E121=""),"",E121-Setup!$D$7)</f>
        <v/>
      </c>
      <c r="G121" s="74">
        <f>IF($R121="","",IF(INDEX(Calc!$AX$2:$AX$2001,$R121)="","",INDEX(Calc!$AX$2:$AX$2001,$R121)))</f>
        <v/>
      </c>
      <c r="H121" s="74">
        <f>IF($R121="","",IF(INDEX(Calc!$AY$2:$AY$2001,$R121)="","",INDEX(Calc!$AY$2:$AY$2001,$R121)))</f>
        <v/>
      </c>
      <c r="I121" s="36">
        <f>IF(OR(G121="",H121=""),"",TRIM(IF(HOUR(H121-G121)&gt;0,HOUR(H121-G121)&amp;" hr ","")&amp;IF(MINUTE(H121-G121)&gt;0,MINUTE(H121-G121)&amp;" min","")))</f>
        <v/>
      </c>
      <c r="J121" s="36">
        <f>IF($R121="","",IF(INDEX(Calc!$AZ$2:$AZ$2001,$R121)="","",INDEX(Calc!$AZ$2:$AZ$2001,$R121)))</f>
        <v/>
      </c>
      <c r="K121" s="87">
        <f>IF($R121="","",IF(INDEX(Calc!$BE$2:$BE$2001,$R121)="","",INDEX(Calc!$BE$2:$BE$2001,$R121)))</f>
        <v/>
      </c>
      <c r="L121" s="36">
        <f>IF($R121="","",IF(INDEX(Calc!$BA$2:$BA$2001,$R121)="","",INDEX(Calc!$BA$2:$BA$2001,$R121)))</f>
        <v/>
      </c>
      <c r="M121" s="36">
        <f>IF($R121="","",IF(INDEX(Calc!$BB$2:$BB$2001,$R121)="","",INDEX(Calc!$BB$2:$BB$2001,$R121)))</f>
        <v/>
      </c>
      <c r="N121" s="36">
        <f>IF($R121="","",IF(INDEX(Calc!$BC$2:$BC$2001,$R121)="","",INDEX(Calc!$BC$2:$BC$2001,$R121)))</f>
        <v/>
      </c>
      <c r="O121" s="36">
        <f>IF($R121="","",IF(INDEX(Calc!$BD$2:$BD$2001,$R121)="","",INDEX(Calc!$BD$2:$BD$2001,$R121)))</f>
        <v/>
      </c>
      <c r="P121" s="88">
        <f>IF(R121="","",HYPERLINK("#'"&amp;IF(INDEX(Calc!$AS$2:$AS$2001,R121)="R","Recurring Log","Variable Tasks")&amp;"'!J"&amp;INDEX(Calc!$AT$2:$AT$2001,R121),"✎ edit"))</f>
        <v/>
      </c>
      <c r="R121">
        <f>IFERROR(MATCH(SMALL(Calc!$BK$2:$BK$2001,112),Calc!$BK$2:$BK$2001,0),"")</f>
        <v/>
      </c>
    </row>
    <row r="122">
      <c r="B122" s="73">
        <f>IF(R122="","",113)</f>
        <v/>
      </c>
      <c r="C122" s="75">
        <f>IF($R122="","",IF(INDEX(Calc!$AU$2:$AU$2001,$R122)="","",INDEX(Calc!$AU$2:$AU$2001,$R122)))</f>
        <v/>
      </c>
      <c r="D122" s="73">
        <f>IF($R122="","",IF(INDEX(Calc!$AV$2:$AV$2001,$R122)="","",INDEX(Calc!$AV$2:$AV$2001,$R122)))</f>
        <v/>
      </c>
      <c r="E122" s="76">
        <f>IF($R122="","",IF(INDEX(Calc!$AW$2:$AW$2001,$R122)="","",INDEX(Calc!$AW$2:$AW$2001,$R122)))</f>
        <v/>
      </c>
      <c r="F122" s="72">
        <f>IF(OR(C122="",E122=""),"",E122-Setup!$D$7)</f>
        <v/>
      </c>
      <c r="G122" s="77">
        <f>IF($R122="","",IF(INDEX(Calc!$AX$2:$AX$2001,$R122)="","",INDEX(Calc!$AX$2:$AX$2001,$R122)))</f>
        <v/>
      </c>
      <c r="H122" s="77">
        <f>IF($R122="","",IF(INDEX(Calc!$AY$2:$AY$2001,$R122)="","",INDEX(Calc!$AY$2:$AY$2001,$R122)))</f>
        <v/>
      </c>
      <c r="I122" s="73">
        <f>IF(OR(G122="",H122=""),"",TRIM(IF(HOUR(H122-G122)&gt;0,HOUR(H122-G122)&amp;" hr ","")&amp;IF(MINUTE(H122-G122)&gt;0,MINUTE(H122-G122)&amp;" min","")))</f>
        <v/>
      </c>
      <c r="J122" s="73">
        <f>IF($R122="","",IF(INDEX(Calc!$AZ$2:$AZ$2001,$R122)="","",INDEX(Calc!$AZ$2:$AZ$2001,$R122)))</f>
        <v/>
      </c>
      <c r="K122" s="85">
        <f>IF($R122="","",IF(INDEX(Calc!$BE$2:$BE$2001,$R122)="","",INDEX(Calc!$BE$2:$BE$2001,$R122)))</f>
        <v/>
      </c>
      <c r="L122" s="73">
        <f>IF($R122="","",IF(INDEX(Calc!$BA$2:$BA$2001,$R122)="","",INDEX(Calc!$BA$2:$BA$2001,$R122)))</f>
        <v/>
      </c>
      <c r="M122" s="73">
        <f>IF($R122="","",IF(INDEX(Calc!$BB$2:$BB$2001,$R122)="","",INDEX(Calc!$BB$2:$BB$2001,$R122)))</f>
        <v/>
      </c>
      <c r="N122" s="73">
        <f>IF($R122="","",IF(INDEX(Calc!$BC$2:$BC$2001,$R122)="","",INDEX(Calc!$BC$2:$BC$2001,$R122)))</f>
        <v/>
      </c>
      <c r="O122" s="73">
        <f>IF($R122="","",IF(INDEX(Calc!$BD$2:$BD$2001,$R122)="","",INDEX(Calc!$BD$2:$BD$2001,$R122)))</f>
        <v/>
      </c>
      <c r="P122" s="86">
        <f>IF(R122="","",HYPERLINK("#'"&amp;IF(INDEX(Calc!$AS$2:$AS$2001,R122)="R","Recurring Log","Variable Tasks")&amp;"'!J"&amp;INDEX(Calc!$AT$2:$AT$2001,R122),"✎ edit"))</f>
        <v/>
      </c>
      <c r="R122">
        <f>IFERROR(MATCH(SMALL(Calc!$BK$2:$BK$2001,113),Calc!$BK$2:$BK$2001,0),"")</f>
        <v/>
      </c>
    </row>
    <row r="123">
      <c r="B123" s="36">
        <f>IF(R123="","",114)</f>
        <v/>
      </c>
      <c r="C123" s="37">
        <f>IF($R123="","",IF(INDEX(Calc!$AU$2:$AU$2001,$R123)="","",INDEX(Calc!$AU$2:$AU$2001,$R123)))</f>
        <v/>
      </c>
      <c r="D123" s="36">
        <f>IF($R123="","",IF(INDEX(Calc!$AV$2:$AV$2001,$R123)="","",INDEX(Calc!$AV$2:$AV$2001,$R123)))</f>
        <v/>
      </c>
      <c r="E123" s="38">
        <f>IF($R123="","",IF(INDEX(Calc!$AW$2:$AW$2001,$R123)="","",INDEX(Calc!$AW$2:$AW$2001,$R123)))</f>
        <v/>
      </c>
      <c r="F123" s="68">
        <f>IF(OR(C123="",E123=""),"",E123-Setup!$D$7)</f>
        <v/>
      </c>
      <c r="G123" s="74">
        <f>IF($R123="","",IF(INDEX(Calc!$AX$2:$AX$2001,$R123)="","",INDEX(Calc!$AX$2:$AX$2001,$R123)))</f>
        <v/>
      </c>
      <c r="H123" s="74">
        <f>IF($R123="","",IF(INDEX(Calc!$AY$2:$AY$2001,$R123)="","",INDEX(Calc!$AY$2:$AY$2001,$R123)))</f>
        <v/>
      </c>
      <c r="I123" s="36">
        <f>IF(OR(G123="",H123=""),"",TRIM(IF(HOUR(H123-G123)&gt;0,HOUR(H123-G123)&amp;" hr ","")&amp;IF(MINUTE(H123-G123)&gt;0,MINUTE(H123-G123)&amp;" min","")))</f>
        <v/>
      </c>
      <c r="J123" s="36">
        <f>IF($R123="","",IF(INDEX(Calc!$AZ$2:$AZ$2001,$R123)="","",INDEX(Calc!$AZ$2:$AZ$2001,$R123)))</f>
        <v/>
      </c>
      <c r="K123" s="87">
        <f>IF($R123="","",IF(INDEX(Calc!$BE$2:$BE$2001,$R123)="","",INDEX(Calc!$BE$2:$BE$2001,$R123)))</f>
        <v/>
      </c>
      <c r="L123" s="36">
        <f>IF($R123="","",IF(INDEX(Calc!$BA$2:$BA$2001,$R123)="","",INDEX(Calc!$BA$2:$BA$2001,$R123)))</f>
        <v/>
      </c>
      <c r="M123" s="36">
        <f>IF($R123="","",IF(INDEX(Calc!$BB$2:$BB$2001,$R123)="","",INDEX(Calc!$BB$2:$BB$2001,$R123)))</f>
        <v/>
      </c>
      <c r="N123" s="36">
        <f>IF($R123="","",IF(INDEX(Calc!$BC$2:$BC$2001,$R123)="","",INDEX(Calc!$BC$2:$BC$2001,$R123)))</f>
        <v/>
      </c>
      <c r="O123" s="36">
        <f>IF($R123="","",IF(INDEX(Calc!$BD$2:$BD$2001,$R123)="","",INDEX(Calc!$BD$2:$BD$2001,$R123)))</f>
        <v/>
      </c>
      <c r="P123" s="88">
        <f>IF(R123="","",HYPERLINK("#'"&amp;IF(INDEX(Calc!$AS$2:$AS$2001,R123)="R","Recurring Log","Variable Tasks")&amp;"'!J"&amp;INDEX(Calc!$AT$2:$AT$2001,R123),"✎ edit"))</f>
        <v/>
      </c>
      <c r="R123">
        <f>IFERROR(MATCH(SMALL(Calc!$BK$2:$BK$2001,114),Calc!$BK$2:$BK$2001,0),"")</f>
        <v/>
      </c>
    </row>
    <row r="124">
      <c r="B124" s="73">
        <f>IF(R124="","",115)</f>
        <v/>
      </c>
      <c r="C124" s="75">
        <f>IF($R124="","",IF(INDEX(Calc!$AU$2:$AU$2001,$R124)="","",INDEX(Calc!$AU$2:$AU$2001,$R124)))</f>
        <v/>
      </c>
      <c r="D124" s="73">
        <f>IF($R124="","",IF(INDEX(Calc!$AV$2:$AV$2001,$R124)="","",INDEX(Calc!$AV$2:$AV$2001,$R124)))</f>
        <v/>
      </c>
      <c r="E124" s="76">
        <f>IF($R124="","",IF(INDEX(Calc!$AW$2:$AW$2001,$R124)="","",INDEX(Calc!$AW$2:$AW$2001,$R124)))</f>
        <v/>
      </c>
      <c r="F124" s="72">
        <f>IF(OR(C124="",E124=""),"",E124-Setup!$D$7)</f>
        <v/>
      </c>
      <c r="G124" s="77">
        <f>IF($R124="","",IF(INDEX(Calc!$AX$2:$AX$2001,$R124)="","",INDEX(Calc!$AX$2:$AX$2001,$R124)))</f>
        <v/>
      </c>
      <c r="H124" s="77">
        <f>IF($R124="","",IF(INDEX(Calc!$AY$2:$AY$2001,$R124)="","",INDEX(Calc!$AY$2:$AY$2001,$R124)))</f>
        <v/>
      </c>
      <c r="I124" s="73">
        <f>IF(OR(G124="",H124=""),"",TRIM(IF(HOUR(H124-G124)&gt;0,HOUR(H124-G124)&amp;" hr ","")&amp;IF(MINUTE(H124-G124)&gt;0,MINUTE(H124-G124)&amp;" min","")))</f>
        <v/>
      </c>
      <c r="J124" s="73">
        <f>IF($R124="","",IF(INDEX(Calc!$AZ$2:$AZ$2001,$R124)="","",INDEX(Calc!$AZ$2:$AZ$2001,$R124)))</f>
        <v/>
      </c>
      <c r="K124" s="85">
        <f>IF($R124="","",IF(INDEX(Calc!$BE$2:$BE$2001,$R124)="","",INDEX(Calc!$BE$2:$BE$2001,$R124)))</f>
        <v/>
      </c>
      <c r="L124" s="73">
        <f>IF($R124="","",IF(INDEX(Calc!$BA$2:$BA$2001,$R124)="","",INDEX(Calc!$BA$2:$BA$2001,$R124)))</f>
        <v/>
      </c>
      <c r="M124" s="73">
        <f>IF($R124="","",IF(INDEX(Calc!$BB$2:$BB$2001,$R124)="","",INDEX(Calc!$BB$2:$BB$2001,$R124)))</f>
        <v/>
      </c>
      <c r="N124" s="73">
        <f>IF($R124="","",IF(INDEX(Calc!$BC$2:$BC$2001,$R124)="","",INDEX(Calc!$BC$2:$BC$2001,$R124)))</f>
        <v/>
      </c>
      <c r="O124" s="73">
        <f>IF($R124="","",IF(INDEX(Calc!$BD$2:$BD$2001,$R124)="","",INDEX(Calc!$BD$2:$BD$2001,$R124)))</f>
        <v/>
      </c>
      <c r="P124" s="86">
        <f>IF(R124="","",HYPERLINK("#'"&amp;IF(INDEX(Calc!$AS$2:$AS$2001,R124)="R","Recurring Log","Variable Tasks")&amp;"'!J"&amp;INDEX(Calc!$AT$2:$AT$2001,R124),"✎ edit"))</f>
        <v/>
      </c>
      <c r="R124">
        <f>IFERROR(MATCH(SMALL(Calc!$BK$2:$BK$2001,115),Calc!$BK$2:$BK$2001,0),"")</f>
        <v/>
      </c>
    </row>
    <row r="125">
      <c r="B125" s="36">
        <f>IF(R125="","",116)</f>
        <v/>
      </c>
      <c r="C125" s="37">
        <f>IF($R125="","",IF(INDEX(Calc!$AU$2:$AU$2001,$R125)="","",INDEX(Calc!$AU$2:$AU$2001,$R125)))</f>
        <v/>
      </c>
      <c r="D125" s="36">
        <f>IF($R125="","",IF(INDEX(Calc!$AV$2:$AV$2001,$R125)="","",INDEX(Calc!$AV$2:$AV$2001,$R125)))</f>
        <v/>
      </c>
      <c r="E125" s="38">
        <f>IF($R125="","",IF(INDEX(Calc!$AW$2:$AW$2001,$R125)="","",INDEX(Calc!$AW$2:$AW$2001,$R125)))</f>
        <v/>
      </c>
      <c r="F125" s="68">
        <f>IF(OR(C125="",E125=""),"",E125-Setup!$D$7)</f>
        <v/>
      </c>
      <c r="G125" s="74">
        <f>IF($R125="","",IF(INDEX(Calc!$AX$2:$AX$2001,$R125)="","",INDEX(Calc!$AX$2:$AX$2001,$R125)))</f>
        <v/>
      </c>
      <c r="H125" s="74">
        <f>IF($R125="","",IF(INDEX(Calc!$AY$2:$AY$2001,$R125)="","",INDEX(Calc!$AY$2:$AY$2001,$R125)))</f>
        <v/>
      </c>
      <c r="I125" s="36">
        <f>IF(OR(G125="",H125=""),"",TRIM(IF(HOUR(H125-G125)&gt;0,HOUR(H125-G125)&amp;" hr ","")&amp;IF(MINUTE(H125-G125)&gt;0,MINUTE(H125-G125)&amp;" min","")))</f>
        <v/>
      </c>
      <c r="J125" s="36">
        <f>IF($R125="","",IF(INDEX(Calc!$AZ$2:$AZ$2001,$R125)="","",INDEX(Calc!$AZ$2:$AZ$2001,$R125)))</f>
        <v/>
      </c>
      <c r="K125" s="87">
        <f>IF($R125="","",IF(INDEX(Calc!$BE$2:$BE$2001,$R125)="","",INDEX(Calc!$BE$2:$BE$2001,$R125)))</f>
        <v/>
      </c>
      <c r="L125" s="36">
        <f>IF($R125="","",IF(INDEX(Calc!$BA$2:$BA$2001,$R125)="","",INDEX(Calc!$BA$2:$BA$2001,$R125)))</f>
        <v/>
      </c>
      <c r="M125" s="36">
        <f>IF($R125="","",IF(INDEX(Calc!$BB$2:$BB$2001,$R125)="","",INDEX(Calc!$BB$2:$BB$2001,$R125)))</f>
        <v/>
      </c>
      <c r="N125" s="36">
        <f>IF($R125="","",IF(INDEX(Calc!$BC$2:$BC$2001,$R125)="","",INDEX(Calc!$BC$2:$BC$2001,$R125)))</f>
        <v/>
      </c>
      <c r="O125" s="36">
        <f>IF($R125="","",IF(INDEX(Calc!$BD$2:$BD$2001,$R125)="","",INDEX(Calc!$BD$2:$BD$2001,$R125)))</f>
        <v/>
      </c>
      <c r="P125" s="88">
        <f>IF(R125="","",HYPERLINK("#'"&amp;IF(INDEX(Calc!$AS$2:$AS$2001,R125)="R","Recurring Log","Variable Tasks")&amp;"'!J"&amp;INDEX(Calc!$AT$2:$AT$2001,R125),"✎ edit"))</f>
        <v/>
      </c>
      <c r="R125">
        <f>IFERROR(MATCH(SMALL(Calc!$BK$2:$BK$2001,116),Calc!$BK$2:$BK$2001,0),"")</f>
        <v/>
      </c>
    </row>
    <row r="126">
      <c r="B126" s="73">
        <f>IF(R126="","",117)</f>
        <v/>
      </c>
      <c r="C126" s="75">
        <f>IF($R126="","",IF(INDEX(Calc!$AU$2:$AU$2001,$R126)="","",INDEX(Calc!$AU$2:$AU$2001,$R126)))</f>
        <v/>
      </c>
      <c r="D126" s="73">
        <f>IF($R126="","",IF(INDEX(Calc!$AV$2:$AV$2001,$R126)="","",INDEX(Calc!$AV$2:$AV$2001,$R126)))</f>
        <v/>
      </c>
      <c r="E126" s="76">
        <f>IF($R126="","",IF(INDEX(Calc!$AW$2:$AW$2001,$R126)="","",INDEX(Calc!$AW$2:$AW$2001,$R126)))</f>
        <v/>
      </c>
      <c r="F126" s="72">
        <f>IF(OR(C126="",E126=""),"",E126-Setup!$D$7)</f>
        <v/>
      </c>
      <c r="G126" s="77">
        <f>IF($R126="","",IF(INDEX(Calc!$AX$2:$AX$2001,$R126)="","",INDEX(Calc!$AX$2:$AX$2001,$R126)))</f>
        <v/>
      </c>
      <c r="H126" s="77">
        <f>IF($R126="","",IF(INDEX(Calc!$AY$2:$AY$2001,$R126)="","",INDEX(Calc!$AY$2:$AY$2001,$R126)))</f>
        <v/>
      </c>
      <c r="I126" s="73">
        <f>IF(OR(G126="",H126=""),"",TRIM(IF(HOUR(H126-G126)&gt;0,HOUR(H126-G126)&amp;" hr ","")&amp;IF(MINUTE(H126-G126)&gt;0,MINUTE(H126-G126)&amp;" min","")))</f>
        <v/>
      </c>
      <c r="J126" s="73">
        <f>IF($R126="","",IF(INDEX(Calc!$AZ$2:$AZ$2001,$R126)="","",INDEX(Calc!$AZ$2:$AZ$2001,$R126)))</f>
        <v/>
      </c>
      <c r="K126" s="85">
        <f>IF($R126="","",IF(INDEX(Calc!$BE$2:$BE$2001,$R126)="","",INDEX(Calc!$BE$2:$BE$2001,$R126)))</f>
        <v/>
      </c>
      <c r="L126" s="73">
        <f>IF($R126="","",IF(INDEX(Calc!$BA$2:$BA$2001,$R126)="","",INDEX(Calc!$BA$2:$BA$2001,$R126)))</f>
        <v/>
      </c>
      <c r="M126" s="73">
        <f>IF($R126="","",IF(INDEX(Calc!$BB$2:$BB$2001,$R126)="","",INDEX(Calc!$BB$2:$BB$2001,$R126)))</f>
        <v/>
      </c>
      <c r="N126" s="73">
        <f>IF($R126="","",IF(INDEX(Calc!$BC$2:$BC$2001,$R126)="","",INDEX(Calc!$BC$2:$BC$2001,$R126)))</f>
        <v/>
      </c>
      <c r="O126" s="73">
        <f>IF($R126="","",IF(INDEX(Calc!$BD$2:$BD$2001,$R126)="","",INDEX(Calc!$BD$2:$BD$2001,$R126)))</f>
        <v/>
      </c>
      <c r="P126" s="86">
        <f>IF(R126="","",HYPERLINK("#'"&amp;IF(INDEX(Calc!$AS$2:$AS$2001,R126)="R","Recurring Log","Variable Tasks")&amp;"'!J"&amp;INDEX(Calc!$AT$2:$AT$2001,R126),"✎ edit"))</f>
        <v/>
      </c>
      <c r="R126">
        <f>IFERROR(MATCH(SMALL(Calc!$BK$2:$BK$2001,117),Calc!$BK$2:$BK$2001,0),"")</f>
        <v/>
      </c>
    </row>
    <row r="127">
      <c r="B127" s="36">
        <f>IF(R127="","",118)</f>
        <v/>
      </c>
      <c r="C127" s="37">
        <f>IF($R127="","",IF(INDEX(Calc!$AU$2:$AU$2001,$R127)="","",INDEX(Calc!$AU$2:$AU$2001,$R127)))</f>
        <v/>
      </c>
      <c r="D127" s="36">
        <f>IF($R127="","",IF(INDEX(Calc!$AV$2:$AV$2001,$R127)="","",INDEX(Calc!$AV$2:$AV$2001,$R127)))</f>
        <v/>
      </c>
      <c r="E127" s="38">
        <f>IF($R127="","",IF(INDEX(Calc!$AW$2:$AW$2001,$R127)="","",INDEX(Calc!$AW$2:$AW$2001,$R127)))</f>
        <v/>
      </c>
      <c r="F127" s="68">
        <f>IF(OR(C127="",E127=""),"",E127-Setup!$D$7)</f>
        <v/>
      </c>
      <c r="G127" s="74">
        <f>IF($R127="","",IF(INDEX(Calc!$AX$2:$AX$2001,$R127)="","",INDEX(Calc!$AX$2:$AX$2001,$R127)))</f>
        <v/>
      </c>
      <c r="H127" s="74">
        <f>IF($R127="","",IF(INDEX(Calc!$AY$2:$AY$2001,$R127)="","",INDEX(Calc!$AY$2:$AY$2001,$R127)))</f>
        <v/>
      </c>
      <c r="I127" s="36">
        <f>IF(OR(G127="",H127=""),"",TRIM(IF(HOUR(H127-G127)&gt;0,HOUR(H127-G127)&amp;" hr ","")&amp;IF(MINUTE(H127-G127)&gt;0,MINUTE(H127-G127)&amp;" min","")))</f>
        <v/>
      </c>
      <c r="J127" s="36">
        <f>IF($R127="","",IF(INDEX(Calc!$AZ$2:$AZ$2001,$R127)="","",INDEX(Calc!$AZ$2:$AZ$2001,$R127)))</f>
        <v/>
      </c>
      <c r="K127" s="87">
        <f>IF($R127="","",IF(INDEX(Calc!$BE$2:$BE$2001,$R127)="","",INDEX(Calc!$BE$2:$BE$2001,$R127)))</f>
        <v/>
      </c>
      <c r="L127" s="36">
        <f>IF($R127="","",IF(INDEX(Calc!$BA$2:$BA$2001,$R127)="","",INDEX(Calc!$BA$2:$BA$2001,$R127)))</f>
        <v/>
      </c>
      <c r="M127" s="36">
        <f>IF($R127="","",IF(INDEX(Calc!$BB$2:$BB$2001,$R127)="","",INDEX(Calc!$BB$2:$BB$2001,$R127)))</f>
        <v/>
      </c>
      <c r="N127" s="36">
        <f>IF($R127="","",IF(INDEX(Calc!$BC$2:$BC$2001,$R127)="","",INDEX(Calc!$BC$2:$BC$2001,$R127)))</f>
        <v/>
      </c>
      <c r="O127" s="36">
        <f>IF($R127="","",IF(INDEX(Calc!$BD$2:$BD$2001,$R127)="","",INDEX(Calc!$BD$2:$BD$2001,$R127)))</f>
        <v/>
      </c>
      <c r="P127" s="88">
        <f>IF(R127="","",HYPERLINK("#'"&amp;IF(INDEX(Calc!$AS$2:$AS$2001,R127)="R","Recurring Log","Variable Tasks")&amp;"'!J"&amp;INDEX(Calc!$AT$2:$AT$2001,R127),"✎ edit"))</f>
        <v/>
      </c>
      <c r="R127">
        <f>IFERROR(MATCH(SMALL(Calc!$BK$2:$BK$2001,118),Calc!$BK$2:$BK$2001,0),"")</f>
        <v/>
      </c>
    </row>
    <row r="128">
      <c r="B128" s="73">
        <f>IF(R128="","",119)</f>
        <v/>
      </c>
      <c r="C128" s="75">
        <f>IF($R128="","",IF(INDEX(Calc!$AU$2:$AU$2001,$R128)="","",INDEX(Calc!$AU$2:$AU$2001,$R128)))</f>
        <v/>
      </c>
      <c r="D128" s="73">
        <f>IF($R128="","",IF(INDEX(Calc!$AV$2:$AV$2001,$R128)="","",INDEX(Calc!$AV$2:$AV$2001,$R128)))</f>
        <v/>
      </c>
      <c r="E128" s="76">
        <f>IF($R128="","",IF(INDEX(Calc!$AW$2:$AW$2001,$R128)="","",INDEX(Calc!$AW$2:$AW$2001,$R128)))</f>
        <v/>
      </c>
      <c r="F128" s="72">
        <f>IF(OR(C128="",E128=""),"",E128-Setup!$D$7)</f>
        <v/>
      </c>
      <c r="G128" s="77">
        <f>IF($R128="","",IF(INDEX(Calc!$AX$2:$AX$2001,$R128)="","",INDEX(Calc!$AX$2:$AX$2001,$R128)))</f>
        <v/>
      </c>
      <c r="H128" s="77">
        <f>IF($R128="","",IF(INDEX(Calc!$AY$2:$AY$2001,$R128)="","",INDEX(Calc!$AY$2:$AY$2001,$R128)))</f>
        <v/>
      </c>
      <c r="I128" s="73">
        <f>IF(OR(G128="",H128=""),"",TRIM(IF(HOUR(H128-G128)&gt;0,HOUR(H128-G128)&amp;" hr ","")&amp;IF(MINUTE(H128-G128)&gt;0,MINUTE(H128-G128)&amp;" min","")))</f>
        <v/>
      </c>
      <c r="J128" s="73">
        <f>IF($R128="","",IF(INDEX(Calc!$AZ$2:$AZ$2001,$R128)="","",INDEX(Calc!$AZ$2:$AZ$2001,$R128)))</f>
        <v/>
      </c>
      <c r="K128" s="85">
        <f>IF($R128="","",IF(INDEX(Calc!$BE$2:$BE$2001,$R128)="","",INDEX(Calc!$BE$2:$BE$2001,$R128)))</f>
        <v/>
      </c>
      <c r="L128" s="73">
        <f>IF($R128="","",IF(INDEX(Calc!$BA$2:$BA$2001,$R128)="","",INDEX(Calc!$BA$2:$BA$2001,$R128)))</f>
        <v/>
      </c>
      <c r="M128" s="73">
        <f>IF($R128="","",IF(INDEX(Calc!$BB$2:$BB$2001,$R128)="","",INDEX(Calc!$BB$2:$BB$2001,$R128)))</f>
        <v/>
      </c>
      <c r="N128" s="73">
        <f>IF($R128="","",IF(INDEX(Calc!$BC$2:$BC$2001,$R128)="","",INDEX(Calc!$BC$2:$BC$2001,$R128)))</f>
        <v/>
      </c>
      <c r="O128" s="73">
        <f>IF($R128="","",IF(INDEX(Calc!$BD$2:$BD$2001,$R128)="","",INDEX(Calc!$BD$2:$BD$2001,$R128)))</f>
        <v/>
      </c>
      <c r="P128" s="86">
        <f>IF(R128="","",HYPERLINK("#'"&amp;IF(INDEX(Calc!$AS$2:$AS$2001,R128)="R","Recurring Log","Variable Tasks")&amp;"'!J"&amp;INDEX(Calc!$AT$2:$AT$2001,R128),"✎ edit"))</f>
        <v/>
      </c>
      <c r="R128">
        <f>IFERROR(MATCH(SMALL(Calc!$BK$2:$BK$2001,119),Calc!$BK$2:$BK$2001,0),"")</f>
        <v/>
      </c>
    </row>
    <row r="129">
      <c r="B129" s="36">
        <f>IF(R129="","",120)</f>
        <v/>
      </c>
      <c r="C129" s="37">
        <f>IF($R129="","",IF(INDEX(Calc!$AU$2:$AU$2001,$R129)="","",INDEX(Calc!$AU$2:$AU$2001,$R129)))</f>
        <v/>
      </c>
      <c r="D129" s="36">
        <f>IF($R129="","",IF(INDEX(Calc!$AV$2:$AV$2001,$R129)="","",INDEX(Calc!$AV$2:$AV$2001,$R129)))</f>
        <v/>
      </c>
      <c r="E129" s="38">
        <f>IF($R129="","",IF(INDEX(Calc!$AW$2:$AW$2001,$R129)="","",INDEX(Calc!$AW$2:$AW$2001,$R129)))</f>
        <v/>
      </c>
      <c r="F129" s="68">
        <f>IF(OR(C129="",E129=""),"",E129-Setup!$D$7)</f>
        <v/>
      </c>
      <c r="G129" s="74">
        <f>IF($R129="","",IF(INDEX(Calc!$AX$2:$AX$2001,$R129)="","",INDEX(Calc!$AX$2:$AX$2001,$R129)))</f>
        <v/>
      </c>
      <c r="H129" s="74">
        <f>IF($R129="","",IF(INDEX(Calc!$AY$2:$AY$2001,$R129)="","",INDEX(Calc!$AY$2:$AY$2001,$R129)))</f>
        <v/>
      </c>
      <c r="I129" s="36">
        <f>IF(OR(G129="",H129=""),"",TRIM(IF(HOUR(H129-G129)&gt;0,HOUR(H129-G129)&amp;" hr ","")&amp;IF(MINUTE(H129-G129)&gt;0,MINUTE(H129-G129)&amp;" min","")))</f>
        <v/>
      </c>
      <c r="J129" s="36">
        <f>IF($R129="","",IF(INDEX(Calc!$AZ$2:$AZ$2001,$R129)="","",INDEX(Calc!$AZ$2:$AZ$2001,$R129)))</f>
        <v/>
      </c>
      <c r="K129" s="87">
        <f>IF($R129="","",IF(INDEX(Calc!$BE$2:$BE$2001,$R129)="","",INDEX(Calc!$BE$2:$BE$2001,$R129)))</f>
        <v/>
      </c>
      <c r="L129" s="36">
        <f>IF($R129="","",IF(INDEX(Calc!$BA$2:$BA$2001,$R129)="","",INDEX(Calc!$BA$2:$BA$2001,$R129)))</f>
        <v/>
      </c>
      <c r="M129" s="36">
        <f>IF($R129="","",IF(INDEX(Calc!$BB$2:$BB$2001,$R129)="","",INDEX(Calc!$BB$2:$BB$2001,$R129)))</f>
        <v/>
      </c>
      <c r="N129" s="36">
        <f>IF($R129="","",IF(INDEX(Calc!$BC$2:$BC$2001,$R129)="","",INDEX(Calc!$BC$2:$BC$2001,$R129)))</f>
        <v/>
      </c>
      <c r="O129" s="36">
        <f>IF($R129="","",IF(INDEX(Calc!$BD$2:$BD$2001,$R129)="","",INDEX(Calc!$BD$2:$BD$2001,$R129)))</f>
        <v/>
      </c>
      <c r="P129" s="88">
        <f>IF(R129="","",HYPERLINK("#'"&amp;IF(INDEX(Calc!$AS$2:$AS$2001,R129)="R","Recurring Log","Variable Tasks")&amp;"'!J"&amp;INDEX(Calc!$AT$2:$AT$2001,R129),"✎ edit"))</f>
        <v/>
      </c>
      <c r="R129">
        <f>IFERROR(MATCH(SMALL(Calc!$BK$2:$BK$2001,120),Calc!$BK$2:$BK$2001,0),"")</f>
        <v/>
      </c>
    </row>
    <row r="130">
      <c r="B130" s="73">
        <f>IF(R130="","",121)</f>
        <v/>
      </c>
      <c r="C130" s="75">
        <f>IF($R130="","",IF(INDEX(Calc!$AU$2:$AU$2001,$R130)="","",INDEX(Calc!$AU$2:$AU$2001,$R130)))</f>
        <v/>
      </c>
      <c r="D130" s="73">
        <f>IF($R130="","",IF(INDEX(Calc!$AV$2:$AV$2001,$R130)="","",INDEX(Calc!$AV$2:$AV$2001,$R130)))</f>
        <v/>
      </c>
      <c r="E130" s="76">
        <f>IF($R130="","",IF(INDEX(Calc!$AW$2:$AW$2001,$R130)="","",INDEX(Calc!$AW$2:$AW$2001,$R130)))</f>
        <v/>
      </c>
      <c r="F130" s="72">
        <f>IF(OR(C130="",E130=""),"",E130-Setup!$D$7)</f>
        <v/>
      </c>
      <c r="G130" s="77">
        <f>IF($R130="","",IF(INDEX(Calc!$AX$2:$AX$2001,$R130)="","",INDEX(Calc!$AX$2:$AX$2001,$R130)))</f>
        <v/>
      </c>
      <c r="H130" s="77">
        <f>IF($R130="","",IF(INDEX(Calc!$AY$2:$AY$2001,$R130)="","",INDEX(Calc!$AY$2:$AY$2001,$R130)))</f>
        <v/>
      </c>
      <c r="I130" s="73">
        <f>IF(OR(G130="",H130=""),"",TRIM(IF(HOUR(H130-G130)&gt;0,HOUR(H130-G130)&amp;" hr ","")&amp;IF(MINUTE(H130-G130)&gt;0,MINUTE(H130-G130)&amp;" min","")))</f>
        <v/>
      </c>
      <c r="J130" s="73">
        <f>IF($R130="","",IF(INDEX(Calc!$AZ$2:$AZ$2001,$R130)="","",INDEX(Calc!$AZ$2:$AZ$2001,$R130)))</f>
        <v/>
      </c>
      <c r="K130" s="85">
        <f>IF($R130="","",IF(INDEX(Calc!$BE$2:$BE$2001,$R130)="","",INDEX(Calc!$BE$2:$BE$2001,$R130)))</f>
        <v/>
      </c>
      <c r="L130" s="73">
        <f>IF($R130="","",IF(INDEX(Calc!$BA$2:$BA$2001,$R130)="","",INDEX(Calc!$BA$2:$BA$2001,$R130)))</f>
        <v/>
      </c>
      <c r="M130" s="73">
        <f>IF($R130="","",IF(INDEX(Calc!$BB$2:$BB$2001,$R130)="","",INDEX(Calc!$BB$2:$BB$2001,$R130)))</f>
        <v/>
      </c>
      <c r="N130" s="73">
        <f>IF($R130="","",IF(INDEX(Calc!$BC$2:$BC$2001,$R130)="","",INDEX(Calc!$BC$2:$BC$2001,$R130)))</f>
        <v/>
      </c>
      <c r="O130" s="73">
        <f>IF($R130="","",IF(INDEX(Calc!$BD$2:$BD$2001,$R130)="","",INDEX(Calc!$BD$2:$BD$2001,$R130)))</f>
        <v/>
      </c>
      <c r="P130" s="86">
        <f>IF(R130="","",HYPERLINK("#'"&amp;IF(INDEX(Calc!$AS$2:$AS$2001,R130)="R","Recurring Log","Variable Tasks")&amp;"'!J"&amp;INDEX(Calc!$AT$2:$AT$2001,R130),"✎ edit"))</f>
        <v/>
      </c>
      <c r="R130">
        <f>IFERROR(MATCH(SMALL(Calc!$BK$2:$BK$2001,121),Calc!$BK$2:$BK$2001,0),"")</f>
        <v/>
      </c>
    </row>
    <row r="131">
      <c r="B131" s="36">
        <f>IF(R131="","",122)</f>
        <v/>
      </c>
      <c r="C131" s="37">
        <f>IF($R131="","",IF(INDEX(Calc!$AU$2:$AU$2001,$R131)="","",INDEX(Calc!$AU$2:$AU$2001,$R131)))</f>
        <v/>
      </c>
      <c r="D131" s="36">
        <f>IF($R131="","",IF(INDEX(Calc!$AV$2:$AV$2001,$R131)="","",INDEX(Calc!$AV$2:$AV$2001,$R131)))</f>
        <v/>
      </c>
      <c r="E131" s="38">
        <f>IF($R131="","",IF(INDEX(Calc!$AW$2:$AW$2001,$R131)="","",INDEX(Calc!$AW$2:$AW$2001,$R131)))</f>
        <v/>
      </c>
      <c r="F131" s="68">
        <f>IF(OR(C131="",E131=""),"",E131-Setup!$D$7)</f>
        <v/>
      </c>
      <c r="G131" s="74">
        <f>IF($R131="","",IF(INDEX(Calc!$AX$2:$AX$2001,$R131)="","",INDEX(Calc!$AX$2:$AX$2001,$R131)))</f>
        <v/>
      </c>
      <c r="H131" s="74">
        <f>IF($R131="","",IF(INDEX(Calc!$AY$2:$AY$2001,$R131)="","",INDEX(Calc!$AY$2:$AY$2001,$R131)))</f>
        <v/>
      </c>
      <c r="I131" s="36">
        <f>IF(OR(G131="",H131=""),"",TRIM(IF(HOUR(H131-G131)&gt;0,HOUR(H131-G131)&amp;" hr ","")&amp;IF(MINUTE(H131-G131)&gt;0,MINUTE(H131-G131)&amp;" min","")))</f>
        <v/>
      </c>
      <c r="J131" s="36">
        <f>IF($R131="","",IF(INDEX(Calc!$AZ$2:$AZ$2001,$R131)="","",INDEX(Calc!$AZ$2:$AZ$2001,$R131)))</f>
        <v/>
      </c>
      <c r="K131" s="87">
        <f>IF($R131="","",IF(INDEX(Calc!$BE$2:$BE$2001,$R131)="","",INDEX(Calc!$BE$2:$BE$2001,$R131)))</f>
        <v/>
      </c>
      <c r="L131" s="36">
        <f>IF($R131="","",IF(INDEX(Calc!$BA$2:$BA$2001,$R131)="","",INDEX(Calc!$BA$2:$BA$2001,$R131)))</f>
        <v/>
      </c>
      <c r="M131" s="36">
        <f>IF($R131="","",IF(INDEX(Calc!$BB$2:$BB$2001,$R131)="","",INDEX(Calc!$BB$2:$BB$2001,$R131)))</f>
        <v/>
      </c>
      <c r="N131" s="36">
        <f>IF($R131="","",IF(INDEX(Calc!$BC$2:$BC$2001,$R131)="","",INDEX(Calc!$BC$2:$BC$2001,$R131)))</f>
        <v/>
      </c>
      <c r="O131" s="36">
        <f>IF($R131="","",IF(INDEX(Calc!$BD$2:$BD$2001,$R131)="","",INDEX(Calc!$BD$2:$BD$2001,$R131)))</f>
        <v/>
      </c>
      <c r="P131" s="88">
        <f>IF(R131="","",HYPERLINK("#'"&amp;IF(INDEX(Calc!$AS$2:$AS$2001,R131)="R","Recurring Log","Variable Tasks")&amp;"'!J"&amp;INDEX(Calc!$AT$2:$AT$2001,R131),"✎ edit"))</f>
        <v/>
      </c>
      <c r="R131">
        <f>IFERROR(MATCH(SMALL(Calc!$BK$2:$BK$2001,122),Calc!$BK$2:$BK$2001,0),"")</f>
        <v/>
      </c>
    </row>
    <row r="132">
      <c r="B132" s="73">
        <f>IF(R132="","",123)</f>
        <v/>
      </c>
      <c r="C132" s="75">
        <f>IF($R132="","",IF(INDEX(Calc!$AU$2:$AU$2001,$R132)="","",INDEX(Calc!$AU$2:$AU$2001,$R132)))</f>
        <v/>
      </c>
      <c r="D132" s="73">
        <f>IF($R132="","",IF(INDEX(Calc!$AV$2:$AV$2001,$R132)="","",INDEX(Calc!$AV$2:$AV$2001,$R132)))</f>
        <v/>
      </c>
      <c r="E132" s="76">
        <f>IF($R132="","",IF(INDEX(Calc!$AW$2:$AW$2001,$R132)="","",INDEX(Calc!$AW$2:$AW$2001,$R132)))</f>
        <v/>
      </c>
      <c r="F132" s="72">
        <f>IF(OR(C132="",E132=""),"",E132-Setup!$D$7)</f>
        <v/>
      </c>
      <c r="G132" s="77">
        <f>IF($R132="","",IF(INDEX(Calc!$AX$2:$AX$2001,$R132)="","",INDEX(Calc!$AX$2:$AX$2001,$R132)))</f>
        <v/>
      </c>
      <c r="H132" s="77">
        <f>IF($R132="","",IF(INDEX(Calc!$AY$2:$AY$2001,$R132)="","",INDEX(Calc!$AY$2:$AY$2001,$R132)))</f>
        <v/>
      </c>
      <c r="I132" s="73">
        <f>IF(OR(G132="",H132=""),"",TRIM(IF(HOUR(H132-G132)&gt;0,HOUR(H132-G132)&amp;" hr ","")&amp;IF(MINUTE(H132-G132)&gt;0,MINUTE(H132-G132)&amp;" min","")))</f>
        <v/>
      </c>
      <c r="J132" s="73">
        <f>IF($R132="","",IF(INDEX(Calc!$AZ$2:$AZ$2001,$R132)="","",INDEX(Calc!$AZ$2:$AZ$2001,$R132)))</f>
        <v/>
      </c>
      <c r="K132" s="85">
        <f>IF($R132="","",IF(INDEX(Calc!$BE$2:$BE$2001,$R132)="","",INDEX(Calc!$BE$2:$BE$2001,$R132)))</f>
        <v/>
      </c>
      <c r="L132" s="73">
        <f>IF($R132="","",IF(INDEX(Calc!$BA$2:$BA$2001,$R132)="","",INDEX(Calc!$BA$2:$BA$2001,$R132)))</f>
        <v/>
      </c>
      <c r="M132" s="73">
        <f>IF($R132="","",IF(INDEX(Calc!$BB$2:$BB$2001,$R132)="","",INDEX(Calc!$BB$2:$BB$2001,$R132)))</f>
        <v/>
      </c>
      <c r="N132" s="73">
        <f>IF($R132="","",IF(INDEX(Calc!$BC$2:$BC$2001,$R132)="","",INDEX(Calc!$BC$2:$BC$2001,$R132)))</f>
        <v/>
      </c>
      <c r="O132" s="73">
        <f>IF($R132="","",IF(INDEX(Calc!$BD$2:$BD$2001,$R132)="","",INDEX(Calc!$BD$2:$BD$2001,$R132)))</f>
        <v/>
      </c>
      <c r="P132" s="86">
        <f>IF(R132="","",HYPERLINK("#'"&amp;IF(INDEX(Calc!$AS$2:$AS$2001,R132)="R","Recurring Log","Variable Tasks")&amp;"'!J"&amp;INDEX(Calc!$AT$2:$AT$2001,R132),"✎ edit"))</f>
        <v/>
      </c>
      <c r="R132">
        <f>IFERROR(MATCH(SMALL(Calc!$BK$2:$BK$2001,123),Calc!$BK$2:$BK$2001,0),"")</f>
        <v/>
      </c>
    </row>
    <row r="133">
      <c r="B133" s="36">
        <f>IF(R133="","",124)</f>
        <v/>
      </c>
      <c r="C133" s="37">
        <f>IF($R133="","",IF(INDEX(Calc!$AU$2:$AU$2001,$R133)="","",INDEX(Calc!$AU$2:$AU$2001,$R133)))</f>
        <v/>
      </c>
      <c r="D133" s="36">
        <f>IF($R133="","",IF(INDEX(Calc!$AV$2:$AV$2001,$R133)="","",INDEX(Calc!$AV$2:$AV$2001,$R133)))</f>
        <v/>
      </c>
      <c r="E133" s="38">
        <f>IF($R133="","",IF(INDEX(Calc!$AW$2:$AW$2001,$R133)="","",INDEX(Calc!$AW$2:$AW$2001,$R133)))</f>
        <v/>
      </c>
      <c r="F133" s="68">
        <f>IF(OR(C133="",E133=""),"",E133-Setup!$D$7)</f>
        <v/>
      </c>
      <c r="G133" s="74">
        <f>IF($R133="","",IF(INDEX(Calc!$AX$2:$AX$2001,$R133)="","",INDEX(Calc!$AX$2:$AX$2001,$R133)))</f>
        <v/>
      </c>
      <c r="H133" s="74">
        <f>IF($R133="","",IF(INDEX(Calc!$AY$2:$AY$2001,$R133)="","",INDEX(Calc!$AY$2:$AY$2001,$R133)))</f>
        <v/>
      </c>
      <c r="I133" s="36">
        <f>IF(OR(G133="",H133=""),"",TRIM(IF(HOUR(H133-G133)&gt;0,HOUR(H133-G133)&amp;" hr ","")&amp;IF(MINUTE(H133-G133)&gt;0,MINUTE(H133-G133)&amp;" min","")))</f>
        <v/>
      </c>
      <c r="J133" s="36">
        <f>IF($R133="","",IF(INDEX(Calc!$AZ$2:$AZ$2001,$R133)="","",INDEX(Calc!$AZ$2:$AZ$2001,$R133)))</f>
        <v/>
      </c>
      <c r="K133" s="87">
        <f>IF($R133="","",IF(INDEX(Calc!$BE$2:$BE$2001,$R133)="","",INDEX(Calc!$BE$2:$BE$2001,$R133)))</f>
        <v/>
      </c>
      <c r="L133" s="36">
        <f>IF($R133="","",IF(INDEX(Calc!$BA$2:$BA$2001,$R133)="","",INDEX(Calc!$BA$2:$BA$2001,$R133)))</f>
        <v/>
      </c>
      <c r="M133" s="36">
        <f>IF($R133="","",IF(INDEX(Calc!$BB$2:$BB$2001,$R133)="","",INDEX(Calc!$BB$2:$BB$2001,$R133)))</f>
        <v/>
      </c>
      <c r="N133" s="36">
        <f>IF($R133="","",IF(INDEX(Calc!$BC$2:$BC$2001,$R133)="","",INDEX(Calc!$BC$2:$BC$2001,$R133)))</f>
        <v/>
      </c>
      <c r="O133" s="36">
        <f>IF($R133="","",IF(INDEX(Calc!$BD$2:$BD$2001,$R133)="","",INDEX(Calc!$BD$2:$BD$2001,$R133)))</f>
        <v/>
      </c>
      <c r="P133" s="88">
        <f>IF(R133="","",HYPERLINK("#'"&amp;IF(INDEX(Calc!$AS$2:$AS$2001,R133)="R","Recurring Log","Variable Tasks")&amp;"'!J"&amp;INDEX(Calc!$AT$2:$AT$2001,R133),"✎ edit"))</f>
        <v/>
      </c>
      <c r="R133">
        <f>IFERROR(MATCH(SMALL(Calc!$BK$2:$BK$2001,124),Calc!$BK$2:$BK$2001,0),"")</f>
        <v/>
      </c>
    </row>
    <row r="134">
      <c r="B134" s="73">
        <f>IF(R134="","",125)</f>
        <v/>
      </c>
      <c r="C134" s="75">
        <f>IF($R134="","",IF(INDEX(Calc!$AU$2:$AU$2001,$R134)="","",INDEX(Calc!$AU$2:$AU$2001,$R134)))</f>
        <v/>
      </c>
      <c r="D134" s="73">
        <f>IF($R134="","",IF(INDEX(Calc!$AV$2:$AV$2001,$R134)="","",INDEX(Calc!$AV$2:$AV$2001,$R134)))</f>
        <v/>
      </c>
      <c r="E134" s="76">
        <f>IF($R134="","",IF(INDEX(Calc!$AW$2:$AW$2001,$R134)="","",INDEX(Calc!$AW$2:$AW$2001,$R134)))</f>
        <v/>
      </c>
      <c r="F134" s="72">
        <f>IF(OR(C134="",E134=""),"",E134-Setup!$D$7)</f>
        <v/>
      </c>
      <c r="G134" s="77">
        <f>IF($R134="","",IF(INDEX(Calc!$AX$2:$AX$2001,$R134)="","",INDEX(Calc!$AX$2:$AX$2001,$R134)))</f>
        <v/>
      </c>
      <c r="H134" s="77">
        <f>IF($R134="","",IF(INDEX(Calc!$AY$2:$AY$2001,$R134)="","",INDEX(Calc!$AY$2:$AY$2001,$R134)))</f>
        <v/>
      </c>
      <c r="I134" s="73">
        <f>IF(OR(G134="",H134=""),"",TRIM(IF(HOUR(H134-G134)&gt;0,HOUR(H134-G134)&amp;" hr ","")&amp;IF(MINUTE(H134-G134)&gt;0,MINUTE(H134-G134)&amp;" min","")))</f>
        <v/>
      </c>
      <c r="J134" s="73">
        <f>IF($R134="","",IF(INDEX(Calc!$AZ$2:$AZ$2001,$R134)="","",INDEX(Calc!$AZ$2:$AZ$2001,$R134)))</f>
        <v/>
      </c>
      <c r="K134" s="85">
        <f>IF($R134="","",IF(INDEX(Calc!$BE$2:$BE$2001,$R134)="","",INDEX(Calc!$BE$2:$BE$2001,$R134)))</f>
        <v/>
      </c>
      <c r="L134" s="73">
        <f>IF($R134="","",IF(INDEX(Calc!$BA$2:$BA$2001,$R134)="","",INDEX(Calc!$BA$2:$BA$2001,$R134)))</f>
        <v/>
      </c>
      <c r="M134" s="73">
        <f>IF($R134="","",IF(INDEX(Calc!$BB$2:$BB$2001,$R134)="","",INDEX(Calc!$BB$2:$BB$2001,$R134)))</f>
        <v/>
      </c>
      <c r="N134" s="73">
        <f>IF($R134="","",IF(INDEX(Calc!$BC$2:$BC$2001,$R134)="","",INDEX(Calc!$BC$2:$BC$2001,$R134)))</f>
        <v/>
      </c>
      <c r="O134" s="73">
        <f>IF($R134="","",IF(INDEX(Calc!$BD$2:$BD$2001,$R134)="","",INDEX(Calc!$BD$2:$BD$2001,$R134)))</f>
        <v/>
      </c>
      <c r="P134" s="86">
        <f>IF(R134="","",HYPERLINK("#'"&amp;IF(INDEX(Calc!$AS$2:$AS$2001,R134)="R","Recurring Log","Variable Tasks")&amp;"'!J"&amp;INDEX(Calc!$AT$2:$AT$2001,R134),"✎ edit"))</f>
        <v/>
      </c>
      <c r="R134">
        <f>IFERROR(MATCH(SMALL(Calc!$BK$2:$BK$2001,125),Calc!$BK$2:$BK$2001,0),"")</f>
        <v/>
      </c>
    </row>
    <row r="135">
      <c r="B135" s="36">
        <f>IF(R135="","",126)</f>
        <v/>
      </c>
      <c r="C135" s="37">
        <f>IF($R135="","",IF(INDEX(Calc!$AU$2:$AU$2001,$R135)="","",INDEX(Calc!$AU$2:$AU$2001,$R135)))</f>
        <v/>
      </c>
      <c r="D135" s="36">
        <f>IF($R135="","",IF(INDEX(Calc!$AV$2:$AV$2001,$R135)="","",INDEX(Calc!$AV$2:$AV$2001,$R135)))</f>
        <v/>
      </c>
      <c r="E135" s="38">
        <f>IF($R135="","",IF(INDEX(Calc!$AW$2:$AW$2001,$R135)="","",INDEX(Calc!$AW$2:$AW$2001,$R135)))</f>
        <v/>
      </c>
      <c r="F135" s="68">
        <f>IF(OR(C135="",E135=""),"",E135-Setup!$D$7)</f>
        <v/>
      </c>
      <c r="G135" s="74">
        <f>IF($R135="","",IF(INDEX(Calc!$AX$2:$AX$2001,$R135)="","",INDEX(Calc!$AX$2:$AX$2001,$R135)))</f>
        <v/>
      </c>
      <c r="H135" s="74">
        <f>IF($R135="","",IF(INDEX(Calc!$AY$2:$AY$2001,$R135)="","",INDEX(Calc!$AY$2:$AY$2001,$R135)))</f>
        <v/>
      </c>
      <c r="I135" s="36">
        <f>IF(OR(G135="",H135=""),"",TRIM(IF(HOUR(H135-G135)&gt;0,HOUR(H135-G135)&amp;" hr ","")&amp;IF(MINUTE(H135-G135)&gt;0,MINUTE(H135-G135)&amp;" min","")))</f>
        <v/>
      </c>
      <c r="J135" s="36">
        <f>IF($R135="","",IF(INDEX(Calc!$AZ$2:$AZ$2001,$R135)="","",INDEX(Calc!$AZ$2:$AZ$2001,$R135)))</f>
        <v/>
      </c>
      <c r="K135" s="87">
        <f>IF($R135="","",IF(INDEX(Calc!$BE$2:$BE$2001,$R135)="","",INDEX(Calc!$BE$2:$BE$2001,$R135)))</f>
        <v/>
      </c>
      <c r="L135" s="36">
        <f>IF($R135="","",IF(INDEX(Calc!$BA$2:$BA$2001,$R135)="","",INDEX(Calc!$BA$2:$BA$2001,$R135)))</f>
        <v/>
      </c>
      <c r="M135" s="36">
        <f>IF($R135="","",IF(INDEX(Calc!$BB$2:$BB$2001,$R135)="","",INDEX(Calc!$BB$2:$BB$2001,$R135)))</f>
        <v/>
      </c>
      <c r="N135" s="36">
        <f>IF($R135="","",IF(INDEX(Calc!$BC$2:$BC$2001,$R135)="","",INDEX(Calc!$BC$2:$BC$2001,$R135)))</f>
        <v/>
      </c>
      <c r="O135" s="36">
        <f>IF($R135="","",IF(INDEX(Calc!$BD$2:$BD$2001,$R135)="","",INDEX(Calc!$BD$2:$BD$2001,$R135)))</f>
        <v/>
      </c>
      <c r="P135" s="88">
        <f>IF(R135="","",HYPERLINK("#'"&amp;IF(INDEX(Calc!$AS$2:$AS$2001,R135)="R","Recurring Log","Variable Tasks")&amp;"'!J"&amp;INDEX(Calc!$AT$2:$AT$2001,R135),"✎ edit"))</f>
        <v/>
      </c>
      <c r="R135">
        <f>IFERROR(MATCH(SMALL(Calc!$BK$2:$BK$2001,126),Calc!$BK$2:$BK$2001,0),"")</f>
        <v/>
      </c>
    </row>
    <row r="136">
      <c r="B136" s="73">
        <f>IF(R136="","",127)</f>
        <v/>
      </c>
      <c r="C136" s="75">
        <f>IF($R136="","",IF(INDEX(Calc!$AU$2:$AU$2001,$R136)="","",INDEX(Calc!$AU$2:$AU$2001,$R136)))</f>
        <v/>
      </c>
      <c r="D136" s="73">
        <f>IF($R136="","",IF(INDEX(Calc!$AV$2:$AV$2001,$R136)="","",INDEX(Calc!$AV$2:$AV$2001,$R136)))</f>
        <v/>
      </c>
      <c r="E136" s="76">
        <f>IF($R136="","",IF(INDEX(Calc!$AW$2:$AW$2001,$R136)="","",INDEX(Calc!$AW$2:$AW$2001,$R136)))</f>
        <v/>
      </c>
      <c r="F136" s="72">
        <f>IF(OR(C136="",E136=""),"",E136-Setup!$D$7)</f>
        <v/>
      </c>
      <c r="G136" s="77">
        <f>IF($R136="","",IF(INDEX(Calc!$AX$2:$AX$2001,$R136)="","",INDEX(Calc!$AX$2:$AX$2001,$R136)))</f>
        <v/>
      </c>
      <c r="H136" s="77">
        <f>IF($R136="","",IF(INDEX(Calc!$AY$2:$AY$2001,$R136)="","",INDEX(Calc!$AY$2:$AY$2001,$R136)))</f>
        <v/>
      </c>
      <c r="I136" s="73">
        <f>IF(OR(G136="",H136=""),"",TRIM(IF(HOUR(H136-G136)&gt;0,HOUR(H136-G136)&amp;" hr ","")&amp;IF(MINUTE(H136-G136)&gt;0,MINUTE(H136-G136)&amp;" min","")))</f>
        <v/>
      </c>
      <c r="J136" s="73">
        <f>IF($R136="","",IF(INDEX(Calc!$AZ$2:$AZ$2001,$R136)="","",INDEX(Calc!$AZ$2:$AZ$2001,$R136)))</f>
        <v/>
      </c>
      <c r="K136" s="85">
        <f>IF($R136="","",IF(INDEX(Calc!$BE$2:$BE$2001,$R136)="","",INDEX(Calc!$BE$2:$BE$2001,$R136)))</f>
        <v/>
      </c>
      <c r="L136" s="73">
        <f>IF($R136="","",IF(INDEX(Calc!$BA$2:$BA$2001,$R136)="","",INDEX(Calc!$BA$2:$BA$2001,$R136)))</f>
        <v/>
      </c>
      <c r="M136" s="73">
        <f>IF($R136="","",IF(INDEX(Calc!$BB$2:$BB$2001,$R136)="","",INDEX(Calc!$BB$2:$BB$2001,$R136)))</f>
        <v/>
      </c>
      <c r="N136" s="73">
        <f>IF($R136="","",IF(INDEX(Calc!$BC$2:$BC$2001,$R136)="","",INDEX(Calc!$BC$2:$BC$2001,$R136)))</f>
        <v/>
      </c>
      <c r="O136" s="73">
        <f>IF($R136="","",IF(INDEX(Calc!$BD$2:$BD$2001,$R136)="","",INDEX(Calc!$BD$2:$BD$2001,$R136)))</f>
        <v/>
      </c>
      <c r="P136" s="86">
        <f>IF(R136="","",HYPERLINK("#'"&amp;IF(INDEX(Calc!$AS$2:$AS$2001,R136)="R","Recurring Log","Variable Tasks")&amp;"'!J"&amp;INDEX(Calc!$AT$2:$AT$2001,R136),"✎ edit"))</f>
        <v/>
      </c>
      <c r="R136">
        <f>IFERROR(MATCH(SMALL(Calc!$BK$2:$BK$2001,127),Calc!$BK$2:$BK$2001,0),"")</f>
        <v/>
      </c>
    </row>
    <row r="137">
      <c r="B137" s="36">
        <f>IF(R137="","",128)</f>
        <v/>
      </c>
      <c r="C137" s="37">
        <f>IF($R137="","",IF(INDEX(Calc!$AU$2:$AU$2001,$R137)="","",INDEX(Calc!$AU$2:$AU$2001,$R137)))</f>
        <v/>
      </c>
      <c r="D137" s="36">
        <f>IF($R137="","",IF(INDEX(Calc!$AV$2:$AV$2001,$R137)="","",INDEX(Calc!$AV$2:$AV$2001,$R137)))</f>
        <v/>
      </c>
      <c r="E137" s="38">
        <f>IF($R137="","",IF(INDEX(Calc!$AW$2:$AW$2001,$R137)="","",INDEX(Calc!$AW$2:$AW$2001,$R137)))</f>
        <v/>
      </c>
      <c r="F137" s="68">
        <f>IF(OR(C137="",E137=""),"",E137-Setup!$D$7)</f>
        <v/>
      </c>
      <c r="G137" s="74">
        <f>IF($R137="","",IF(INDEX(Calc!$AX$2:$AX$2001,$R137)="","",INDEX(Calc!$AX$2:$AX$2001,$R137)))</f>
        <v/>
      </c>
      <c r="H137" s="74">
        <f>IF($R137="","",IF(INDEX(Calc!$AY$2:$AY$2001,$R137)="","",INDEX(Calc!$AY$2:$AY$2001,$R137)))</f>
        <v/>
      </c>
      <c r="I137" s="36">
        <f>IF(OR(G137="",H137=""),"",TRIM(IF(HOUR(H137-G137)&gt;0,HOUR(H137-G137)&amp;" hr ","")&amp;IF(MINUTE(H137-G137)&gt;0,MINUTE(H137-G137)&amp;" min","")))</f>
        <v/>
      </c>
      <c r="J137" s="36">
        <f>IF($R137="","",IF(INDEX(Calc!$AZ$2:$AZ$2001,$R137)="","",INDEX(Calc!$AZ$2:$AZ$2001,$R137)))</f>
        <v/>
      </c>
      <c r="K137" s="87">
        <f>IF($R137="","",IF(INDEX(Calc!$BE$2:$BE$2001,$R137)="","",INDEX(Calc!$BE$2:$BE$2001,$R137)))</f>
        <v/>
      </c>
      <c r="L137" s="36">
        <f>IF($R137="","",IF(INDEX(Calc!$BA$2:$BA$2001,$R137)="","",INDEX(Calc!$BA$2:$BA$2001,$R137)))</f>
        <v/>
      </c>
      <c r="M137" s="36">
        <f>IF($R137="","",IF(INDEX(Calc!$BB$2:$BB$2001,$R137)="","",INDEX(Calc!$BB$2:$BB$2001,$R137)))</f>
        <v/>
      </c>
      <c r="N137" s="36">
        <f>IF($R137="","",IF(INDEX(Calc!$BC$2:$BC$2001,$R137)="","",INDEX(Calc!$BC$2:$BC$2001,$R137)))</f>
        <v/>
      </c>
      <c r="O137" s="36">
        <f>IF($R137="","",IF(INDEX(Calc!$BD$2:$BD$2001,$R137)="","",INDEX(Calc!$BD$2:$BD$2001,$R137)))</f>
        <v/>
      </c>
      <c r="P137" s="88">
        <f>IF(R137="","",HYPERLINK("#'"&amp;IF(INDEX(Calc!$AS$2:$AS$2001,R137)="R","Recurring Log","Variable Tasks")&amp;"'!J"&amp;INDEX(Calc!$AT$2:$AT$2001,R137),"✎ edit"))</f>
        <v/>
      </c>
      <c r="R137">
        <f>IFERROR(MATCH(SMALL(Calc!$BK$2:$BK$2001,128),Calc!$BK$2:$BK$2001,0),"")</f>
        <v/>
      </c>
    </row>
    <row r="138">
      <c r="B138" s="73">
        <f>IF(R138="","",129)</f>
        <v/>
      </c>
      <c r="C138" s="75">
        <f>IF($R138="","",IF(INDEX(Calc!$AU$2:$AU$2001,$R138)="","",INDEX(Calc!$AU$2:$AU$2001,$R138)))</f>
        <v/>
      </c>
      <c r="D138" s="73">
        <f>IF($R138="","",IF(INDEX(Calc!$AV$2:$AV$2001,$R138)="","",INDEX(Calc!$AV$2:$AV$2001,$R138)))</f>
        <v/>
      </c>
      <c r="E138" s="76">
        <f>IF($R138="","",IF(INDEX(Calc!$AW$2:$AW$2001,$R138)="","",INDEX(Calc!$AW$2:$AW$2001,$R138)))</f>
        <v/>
      </c>
      <c r="F138" s="72">
        <f>IF(OR(C138="",E138=""),"",E138-Setup!$D$7)</f>
        <v/>
      </c>
      <c r="G138" s="77">
        <f>IF($R138="","",IF(INDEX(Calc!$AX$2:$AX$2001,$R138)="","",INDEX(Calc!$AX$2:$AX$2001,$R138)))</f>
        <v/>
      </c>
      <c r="H138" s="77">
        <f>IF($R138="","",IF(INDEX(Calc!$AY$2:$AY$2001,$R138)="","",INDEX(Calc!$AY$2:$AY$2001,$R138)))</f>
        <v/>
      </c>
      <c r="I138" s="73">
        <f>IF(OR(G138="",H138=""),"",TRIM(IF(HOUR(H138-G138)&gt;0,HOUR(H138-G138)&amp;" hr ","")&amp;IF(MINUTE(H138-G138)&gt;0,MINUTE(H138-G138)&amp;" min","")))</f>
        <v/>
      </c>
      <c r="J138" s="73">
        <f>IF($R138="","",IF(INDEX(Calc!$AZ$2:$AZ$2001,$R138)="","",INDEX(Calc!$AZ$2:$AZ$2001,$R138)))</f>
        <v/>
      </c>
      <c r="K138" s="85">
        <f>IF($R138="","",IF(INDEX(Calc!$BE$2:$BE$2001,$R138)="","",INDEX(Calc!$BE$2:$BE$2001,$R138)))</f>
        <v/>
      </c>
      <c r="L138" s="73">
        <f>IF($R138="","",IF(INDEX(Calc!$BA$2:$BA$2001,$R138)="","",INDEX(Calc!$BA$2:$BA$2001,$R138)))</f>
        <v/>
      </c>
      <c r="M138" s="73">
        <f>IF($R138="","",IF(INDEX(Calc!$BB$2:$BB$2001,$R138)="","",INDEX(Calc!$BB$2:$BB$2001,$R138)))</f>
        <v/>
      </c>
      <c r="N138" s="73">
        <f>IF($R138="","",IF(INDEX(Calc!$BC$2:$BC$2001,$R138)="","",INDEX(Calc!$BC$2:$BC$2001,$R138)))</f>
        <v/>
      </c>
      <c r="O138" s="73">
        <f>IF($R138="","",IF(INDEX(Calc!$BD$2:$BD$2001,$R138)="","",INDEX(Calc!$BD$2:$BD$2001,$R138)))</f>
        <v/>
      </c>
      <c r="P138" s="86">
        <f>IF(R138="","",HYPERLINK("#'"&amp;IF(INDEX(Calc!$AS$2:$AS$2001,R138)="R","Recurring Log","Variable Tasks")&amp;"'!J"&amp;INDEX(Calc!$AT$2:$AT$2001,R138),"✎ edit"))</f>
        <v/>
      </c>
      <c r="R138">
        <f>IFERROR(MATCH(SMALL(Calc!$BK$2:$BK$2001,129),Calc!$BK$2:$BK$2001,0),"")</f>
        <v/>
      </c>
    </row>
    <row r="139">
      <c r="B139" s="36">
        <f>IF(R139="","",130)</f>
        <v/>
      </c>
      <c r="C139" s="37">
        <f>IF($R139="","",IF(INDEX(Calc!$AU$2:$AU$2001,$R139)="","",INDEX(Calc!$AU$2:$AU$2001,$R139)))</f>
        <v/>
      </c>
      <c r="D139" s="36">
        <f>IF($R139="","",IF(INDEX(Calc!$AV$2:$AV$2001,$R139)="","",INDEX(Calc!$AV$2:$AV$2001,$R139)))</f>
        <v/>
      </c>
      <c r="E139" s="38">
        <f>IF($R139="","",IF(INDEX(Calc!$AW$2:$AW$2001,$R139)="","",INDEX(Calc!$AW$2:$AW$2001,$R139)))</f>
        <v/>
      </c>
      <c r="F139" s="68">
        <f>IF(OR(C139="",E139=""),"",E139-Setup!$D$7)</f>
        <v/>
      </c>
      <c r="G139" s="74">
        <f>IF($R139="","",IF(INDEX(Calc!$AX$2:$AX$2001,$R139)="","",INDEX(Calc!$AX$2:$AX$2001,$R139)))</f>
        <v/>
      </c>
      <c r="H139" s="74">
        <f>IF($R139="","",IF(INDEX(Calc!$AY$2:$AY$2001,$R139)="","",INDEX(Calc!$AY$2:$AY$2001,$R139)))</f>
        <v/>
      </c>
      <c r="I139" s="36">
        <f>IF(OR(G139="",H139=""),"",TRIM(IF(HOUR(H139-G139)&gt;0,HOUR(H139-G139)&amp;" hr ","")&amp;IF(MINUTE(H139-G139)&gt;0,MINUTE(H139-G139)&amp;" min","")))</f>
        <v/>
      </c>
      <c r="J139" s="36">
        <f>IF($R139="","",IF(INDEX(Calc!$AZ$2:$AZ$2001,$R139)="","",INDEX(Calc!$AZ$2:$AZ$2001,$R139)))</f>
        <v/>
      </c>
      <c r="K139" s="87">
        <f>IF($R139="","",IF(INDEX(Calc!$BE$2:$BE$2001,$R139)="","",INDEX(Calc!$BE$2:$BE$2001,$R139)))</f>
        <v/>
      </c>
      <c r="L139" s="36">
        <f>IF($R139="","",IF(INDEX(Calc!$BA$2:$BA$2001,$R139)="","",INDEX(Calc!$BA$2:$BA$2001,$R139)))</f>
        <v/>
      </c>
      <c r="M139" s="36">
        <f>IF($R139="","",IF(INDEX(Calc!$BB$2:$BB$2001,$R139)="","",INDEX(Calc!$BB$2:$BB$2001,$R139)))</f>
        <v/>
      </c>
      <c r="N139" s="36">
        <f>IF($R139="","",IF(INDEX(Calc!$BC$2:$BC$2001,$R139)="","",INDEX(Calc!$BC$2:$BC$2001,$R139)))</f>
        <v/>
      </c>
      <c r="O139" s="36">
        <f>IF($R139="","",IF(INDEX(Calc!$BD$2:$BD$2001,$R139)="","",INDEX(Calc!$BD$2:$BD$2001,$R139)))</f>
        <v/>
      </c>
      <c r="P139" s="88">
        <f>IF(R139="","",HYPERLINK("#'"&amp;IF(INDEX(Calc!$AS$2:$AS$2001,R139)="R","Recurring Log","Variable Tasks")&amp;"'!J"&amp;INDEX(Calc!$AT$2:$AT$2001,R139),"✎ edit"))</f>
        <v/>
      </c>
      <c r="R139">
        <f>IFERROR(MATCH(SMALL(Calc!$BK$2:$BK$2001,130),Calc!$BK$2:$BK$2001,0),"")</f>
        <v/>
      </c>
    </row>
    <row r="140">
      <c r="B140" s="73">
        <f>IF(R140="","",131)</f>
        <v/>
      </c>
      <c r="C140" s="75">
        <f>IF($R140="","",IF(INDEX(Calc!$AU$2:$AU$2001,$R140)="","",INDEX(Calc!$AU$2:$AU$2001,$R140)))</f>
        <v/>
      </c>
      <c r="D140" s="73">
        <f>IF($R140="","",IF(INDEX(Calc!$AV$2:$AV$2001,$R140)="","",INDEX(Calc!$AV$2:$AV$2001,$R140)))</f>
        <v/>
      </c>
      <c r="E140" s="76">
        <f>IF($R140="","",IF(INDEX(Calc!$AW$2:$AW$2001,$R140)="","",INDEX(Calc!$AW$2:$AW$2001,$R140)))</f>
        <v/>
      </c>
      <c r="F140" s="72">
        <f>IF(OR(C140="",E140=""),"",E140-Setup!$D$7)</f>
        <v/>
      </c>
      <c r="G140" s="77">
        <f>IF($R140="","",IF(INDEX(Calc!$AX$2:$AX$2001,$R140)="","",INDEX(Calc!$AX$2:$AX$2001,$R140)))</f>
        <v/>
      </c>
      <c r="H140" s="77">
        <f>IF($R140="","",IF(INDEX(Calc!$AY$2:$AY$2001,$R140)="","",INDEX(Calc!$AY$2:$AY$2001,$R140)))</f>
        <v/>
      </c>
      <c r="I140" s="73">
        <f>IF(OR(G140="",H140=""),"",TRIM(IF(HOUR(H140-G140)&gt;0,HOUR(H140-G140)&amp;" hr ","")&amp;IF(MINUTE(H140-G140)&gt;0,MINUTE(H140-G140)&amp;" min","")))</f>
        <v/>
      </c>
      <c r="J140" s="73">
        <f>IF($R140="","",IF(INDEX(Calc!$AZ$2:$AZ$2001,$R140)="","",INDEX(Calc!$AZ$2:$AZ$2001,$R140)))</f>
        <v/>
      </c>
      <c r="K140" s="85">
        <f>IF($R140="","",IF(INDEX(Calc!$BE$2:$BE$2001,$R140)="","",INDEX(Calc!$BE$2:$BE$2001,$R140)))</f>
        <v/>
      </c>
      <c r="L140" s="73">
        <f>IF($R140="","",IF(INDEX(Calc!$BA$2:$BA$2001,$R140)="","",INDEX(Calc!$BA$2:$BA$2001,$R140)))</f>
        <v/>
      </c>
      <c r="M140" s="73">
        <f>IF($R140="","",IF(INDEX(Calc!$BB$2:$BB$2001,$R140)="","",INDEX(Calc!$BB$2:$BB$2001,$R140)))</f>
        <v/>
      </c>
      <c r="N140" s="73">
        <f>IF($R140="","",IF(INDEX(Calc!$BC$2:$BC$2001,$R140)="","",INDEX(Calc!$BC$2:$BC$2001,$R140)))</f>
        <v/>
      </c>
      <c r="O140" s="73">
        <f>IF($R140="","",IF(INDEX(Calc!$BD$2:$BD$2001,$R140)="","",INDEX(Calc!$BD$2:$BD$2001,$R140)))</f>
        <v/>
      </c>
      <c r="P140" s="86">
        <f>IF(R140="","",HYPERLINK("#'"&amp;IF(INDEX(Calc!$AS$2:$AS$2001,R140)="R","Recurring Log","Variable Tasks")&amp;"'!J"&amp;INDEX(Calc!$AT$2:$AT$2001,R140),"✎ edit"))</f>
        <v/>
      </c>
      <c r="R140">
        <f>IFERROR(MATCH(SMALL(Calc!$BK$2:$BK$2001,131),Calc!$BK$2:$BK$2001,0),"")</f>
        <v/>
      </c>
    </row>
    <row r="141">
      <c r="B141" s="36">
        <f>IF(R141="","",132)</f>
        <v/>
      </c>
      <c r="C141" s="37">
        <f>IF($R141="","",IF(INDEX(Calc!$AU$2:$AU$2001,$R141)="","",INDEX(Calc!$AU$2:$AU$2001,$R141)))</f>
        <v/>
      </c>
      <c r="D141" s="36">
        <f>IF($R141="","",IF(INDEX(Calc!$AV$2:$AV$2001,$R141)="","",INDEX(Calc!$AV$2:$AV$2001,$R141)))</f>
        <v/>
      </c>
      <c r="E141" s="38">
        <f>IF($R141="","",IF(INDEX(Calc!$AW$2:$AW$2001,$R141)="","",INDEX(Calc!$AW$2:$AW$2001,$R141)))</f>
        <v/>
      </c>
      <c r="F141" s="68">
        <f>IF(OR(C141="",E141=""),"",E141-Setup!$D$7)</f>
        <v/>
      </c>
      <c r="G141" s="74">
        <f>IF($R141="","",IF(INDEX(Calc!$AX$2:$AX$2001,$R141)="","",INDEX(Calc!$AX$2:$AX$2001,$R141)))</f>
        <v/>
      </c>
      <c r="H141" s="74">
        <f>IF($R141="","",IF(INDEX(Calc!$AY$2:$AY$2001,$R141)="","",INDEX(Calc!$AY$2:$AY$2001,$R141)))</f>
        <v/>
      </c>
      <c r="I141" s="36">
        <f>IF(OR(G141="",H141=""),"",TRIM(IF(HOUR(H141-G141)&gt;0,HOUR(H141-G141)&amp;" hr ","")&amp;IF(MINUTE(H141-G141)&gt;0,MINUTE(H141-G141)&amp;" min","")))</f>
        <v/>
      </c>
      <c r="J141" s="36">
        <f>IF($R141="","",IF(INDEX(Calc!$AZ$2:$AZ$2001,$R141)="","",INDEX(Calc!$AZ$2:$AZ$2001,$R141)))</f>
        <v/>
      </c>
      <c r="K141" s="87">
        <f>IF($R141="","",IF(INDEX(Calc!$BE$2:$BE$2001,$R141)="","",INDEX(Calc!$BE$2:$BE$2001,$R141)))</f>
        <v/>
      </c>
      <c r="L141" s="36">
        <f>IF($R141="","",IF(INDEX(Calc!$BA$2:$BA$2001,$R141)="","",INDEX(Calc!$BA$2:$BA$2001,$R141)))</f>
        <v/>
      </c>
      <c r="M141" s="36">
        <f>IF($R141="","",IF(INDEX(Calc!$BB$2:$BB$2001,$R141)="","",INDEX(Calc!$BB$2:$BB$2001,$R141)))</f>
        <v/>
      </c>
      <c r="N141" s="36">
        <f>IF($R141="","",IF(INDEX(Calc!$BC$2:$BC$2001,$R141)="","",INDEX(Calc!$BC$2:$BC$2001,$R141)))</f>
        <v/>
      </c>
      <c r="O141" s="36">
        <f>IF($R141="","",IF(INDEX(Calc!$BD$2:$BD$2001,$R141)="","",INDEX(Calc!$BD$2:$BD$2001,$R141)))</f>
        <v/>
      </c>
      <c r="P141" s="88">
        <f>IF(R141="","",HYPERLINK("#'"&amp;IF(INDEX(Calc!$AS$2:$AS$2001,R141)="R","Recurring Log","Variable Tasks")&amp;"'!J"&amp;INDEX(Calc!$AT$2:$AT$2001,R141),"✎ edit"))</f>
        <v/>
      </c>
      <c r="R141">
        <f>IFERROR(MATCH(SMALL(Calc!$BK$2:$BK$2001,132),Calc!$BK$2:$BK$2001,0),"")</f>
        <v/>
      </c>
    </row>
    <row r="142">
      <c r="B142" s="73">
        <f>IF(R142="","",133)</f>
        <v/>
      </c>
      <c r="C142" s="75">
        <f>IF($R142="","",IF(INDEX(Calc!$AU$2:$AU$2001,$R142)="","",INDEX(Calc!$AU$2:$AU$2001,$R142)))</f>
        <v/>
      </c>
      <c r="D142" s="73">
        <f>IF($R142="","",IF(INDEX(Calc!$AV$2:$AV$2001,$R142)="","",INDEX(Calc!$AV$2:$AV$2001,$R142)))</f>
        <v/>
      </c>
      <c r="E142" s="76">
        <f>IF($R142="","",IF(INDEX(Calc!$AW$2:$AW$2001,$R142)="","",INDEX(Calc!$AW$2:$AW$2001,$R142)))</f>
        <v/>
      </c>
      <c r="F142" s="72">
        <f>IF(OR(C142="",E142=""),"",E142-Setup!$D$7)</f>
        <v/>
      </c>
      <c r="G142" s="77">
        <f>IF($R142="","",IF(INDEX(Calc!$AX$2:$AX$2001,$R142)="","",INDEX(Calc!$AX$2:$AX$2001,$R142)))</f>
        <v/>
      </c>
      <c r="H142" s="77">
        <f>IF($R142="","",IF(INDEX(Calc!$AY$2:$AY$2001,$R142)="","",INDEX(Calc!$AY$2:$AY$2001,$R142)))</f>
        <v/>
      </c>
      <c r="I142" s="73">
        <f>IF(OR(G142="",H142=""),"",TRIM(IF(HOUR(H142-G142)&gt;0,HOUR(H142-G142)&amp;" hr ","")&amp;IF(MINUTE(H142-G142)&gt;0,MINUTE(H142-G142)&amp;" min","")))</f>
        <v/>
      </c>
      <c r="J142" s="73">
        <f>IF($R142="","",IF(INDEX(Calc!$AZ$2:$AZ$2001,$R142)="","",INDEX(Calc!$AZ$2:$AZ$2001,$R142)))</f>
        <v/>
      </c>
      <c r="K142" s="85">
        <f>IF($R142="","",IF(INDEX(Calc!$BE$2:$BE$2001,$R142)="","",INDEX(Calc!$BE$2:$BE$2001,$R142)))</f>
        <v/>
      </c>
      <c r="L142" s="73">
        <f>IF($R142="","",IF(INDEX(Calc!$BA$2:$BA$2001,$R142)="","",INDEX(Calc!$BA$2:$BA$2001,$R142)))</f>
        <v/>
      </c>
      <c r="M142" s="73">
        <f>IF($R142="","",IF(INDEX(Calc!$BB$2:$BB$2001,$R142)="","",INDEX(Calc!$BB$2:$BB$2001,$R142)))</f>
        <v/>
      </c>
      <c r="N142" s="73">
        <f>IF($R142="","",IF(INDEX(Calc!$BC$2:$BC$2001,$R142)="","",INDEX(Calc!$BC$2:$BC$2001,$R142)))</f>
        <v/>
      </c>
      <c r="O142" s="73">
        <f>IF($R142="","",IF(INDEX(Calc!$BD$2:$BD$2001,$R142)="","",INDEX(Calc!$BD$2:$BD$2001,$R142)))</f>
        <v/>
      </c>
      <c r="P142" s="86">
        <f>IF(R142="","",HYPERLINK("#'"&amp;IF(INDEX(Calc!$AS$2:$AS$2001,R142)="R","Recurring Log","Variable Tasks")&amp;"'!J"&amp;INDEX(Calc!$AT$2:$AT$2001,R142),"✎ edit"))</f>
        <v/>
      </c>
      <c r="R142">
        <f>IFERROR(MATCH(SMALL(Calc!$BK$2:$BK$2001,133),Calc!$BK$2:$BK$2001,0),"")</f>
        <v/>
      </c>
    </row>
    <row r="143">
      <c r="B143" s="36">
        <f>IF(R143="","",134)</f>
        <v/>
      </c>
      <c r="C143" s="37">
        <f>IF($R143="","",IF(INDEX(Calc!$AU$2:$AU$2001,$R143)="","",INDEX(Calc!$AU$2:$AU$2001,$R143)))</f>
        <v/>
      </c>
      <c r="D143" s="36">
        <f>IF($R143="","",IF(INDEX(Calc!$AV$2:$AV$2001,$R143)="","",INDEX(Calc!$AV$2:$AV$2001,$R143)))</f>
        <v/>
      </c>
      <c r="E143" s="38">
        <f>IF($R143="","",IF(INDEX(Calc!$AW$2:$AW$2001,$R143)="","",INDEX(Calc!$AW$2:$AW$2001,$R143)))</f>
        <v/>
      </c>
      <c r="F143" s="68">
        <f>IF(OR(C143="",E143=""),"",E143-Setup!$D$7)</f>
        <v/>
      </c>
      <c r="G143" s="74">
        <f>IF($R143="","",IF(INDEX(Calc!$AX$2:$AX$2001,$R143)="","",INDEX(Calc!$AX$2:$AX$2001,$R143)))</f>
        <v/>
      </c>
      <c r="H143" s="74">
        <f>IF($R143="","",IF(INDEX(Calc!$AY$2:$AY$2001,$R143)="","",INDEX(Calc!$AY$2:$AY$2001,$R143)))</f>
        <v/>
      </c>
      <c r="I143" s="36">
        <f>IF(OR(G143="",H143=""),"",TRIM(IF(HOUR(H143-G143)&gt;0,HOUR(H143-G143)&amp;" hr ","")&amp;IF(MINUTE(H143-G143)&gt;0,MINUTE(H143-G143)&amp;" min","")))</f>
        <v/>
      </c>
      <c r="J143" s="36">
        <f>IF($R143="","",IF(INDEX(Calc!$AZ$2:$AZ$2001,$R143)="","",INDEX(Calc!$AZ$2:$AZ$2001,$R143)))</f>
        <v/>
      </c>
      <c r="K143" s="87">
        <f>IF($R143="","",IF(INDEX(Calc!$BE$2:$BE$2001,$R143)="","",INDEX(Calc!$BE$2:$BE$2001,$R143)))</f>
        <v/>
      </c>
      <c r="L143" s="36">
        <f>IF($R143="","",IF(INDEX(Calc!$BA$2:$BA$2001,$R143)="","",INDEX(Calc!$BA$2:$BA$2001,$R143)))</f>
        <v/>
      </c>
      <c r="M143" s="36">
        <f>IF($R143="","",IF(INDEX(Calc!$BB$2:$BB$2001,$R143)="","",INDEX(Calc!$BB$2:$BB$2001,$R143)))</f>
        <v/>
      </c>
      <c r="N143" s="36">
        <f>IF($R143="","",IF(INDEX(Calc!$BC$2:$BC$2001,$R143)="","",INDEX(Calc!$BC$2:$BC$2001,$R143)))</f>
        <v/>
      </c>
      <c r="O143" s="36">
        <f>IF($R143="","",IF(INDEX(Calc!$BD$2:$BD$2001,$R143)="","",INDEX(Calc!$BD$2:$BD$2001,$R143)))</f>
        <v/>
      </c>
      <c r="P143" s="88">
        <f>IF(R143="","",HYPERLINK("#'"&amp;IF(INDEX(Calc!$AS$2:$AS$2001,R143)="R","Recurring Log","Variable Tasks")&amp;"'!J"&amp;INDEX(Calc!$AT$2:$AT$2001,R143),"✎ edit"))</f>
        <v/>
      </c>
      <c r="R143">
        <f>IFERROR(MATCH(SMALL(Calc!$BK$2:$BK$2001,134),Calc!$BK$2:$BK$2001,0),"")</f>
        <v/>
      </c>
    </row>
    <row r="144">
      <c r="B144" s="73">
        <f>IF(R144="","",135)</f>
        <v/>
      </c>
      <c r="C144" s="75">
        <f>IF($R144="","",IF(INDEX(Calc!$AU$2:$AU$2001,$R144)="","",INDEX(Calc!$AU$2:$AU$2001,$R144)))</f>
        <v/>
      </c>
      <c r="D144" s="73">
        <f>IF($R144="","",IF(INDEX(Calc!$AV$2:$AV$2001,$R144)="","",INDEX(Calc!$AV$2:$AV$2001,$R144)))</f>
        <v/>
      </c>
      <c r="E144" s="76">
        <f>IF($R144="","",IF(INDEX(Calc!$AW$2:$AW$2001,$R144)="","",INDEX(Calc!$AW$2:$AW$2001,$R144)))</f>
        <v/>
      </c>
      <c r="F144" s="72">
        <f>IF(OR(C144="",E144=""),"",E144-Setup!$D$7)</f>
        <v/>
      </c>
      <c r="G144" s="77">
        <f>IF($R144="","",IF(INDEX(Calc!$AX$2:$AX$2001,$R144)="","",INDEX(Calc!$AX$2:$AX$2001,$R144)))</f>
        <v/>
      </c>
      <c r="H144" s="77">
        <f>IF($R144="","",IF(INDEX(Calc!$AY$2:$AY$2001,$R144)="","",INDEX(Calc!$AY$2:$AY$2001,$R144)))</f>
        <v/>
      </c>
      <c r="I144" s="73">
        <f>IF(OR(G144="",H144=""),"",TRIM(IF(HOUR(H144-G144)&gt;0,HOUR(H144-G144)&amp;" hr ","")&amp;IF(MINUTE(H144-G144)&gt;0,MINUTE(H144-G144)&amp;" min","")))</f>
        <v/>
      </c>
      <c r="J144" s="73">
        <f>IF($R144="","",IF(INDEX(Calc!$AZ$2:$AZ$2001,$R144)="","",INDEX(Calc!$AZ$2:$AZ$2001,$R144)))</f>
        <v/>
      </c>
      <c r="K144" s="85">
        <f>IF($R144="","",IF(INDEX(Calc!$BE$2:$BE$2001,$R144)="","",INDEX(Calc!$BE$2:$BE$2001,$R144)))</f>
        <v/>
      </c>
      <c r="L144" s="73">
        <f>IF($R144="","",IF(INDEX(Calc!$BA$2:$BA$2001,$R144)="","",INDEX(Calc!$BA$2:$BA$2001,$R144)))</f>
        <v/>
      </c>
      <c r="M144" s="73">
        <f>IF($R144="","",IF(INDEX(Calc!$BB$2:$BB$2001,$R144)="","",INDEX(Calc!$BB$2:$BB$2001,$R144)))</f>
        <v/>
      </c>
      <c r="N144" s="73">
        <f>IF($R144="","",IF(INDEX(Calc!$BC$2:$BC$2001,$R144)="","",INDEX(Calc!$BC$2:$BC$2001,$R144)))</f>
        <v/>
      </c>
      <c r="O144" s="73">
        <f>IF($R144="","",IF(INDEX(Calc!$BD$2:$BD$2001,$R144)="","",INDEX(Calc!$BD$2:$BD$2001,$R144)))</f>
        <v/>
      </c>
      <c r="P144" s="86">
        <f>IF(R144="","",HYPERLINK("#'"&amp;IF(INDEX(Calc!$AS$2:$AS$2001,R144)="R","Recurring Log","Variable Tasks")&amp;"'!J"&amp;INDEX(Calc!$AT$2:$AT$2001,R144),"✎ edit"))</f>
        <v/>
      </c>
      <c r="R144">
        <f>IFERROR(MATCH(SMALL(Calc!$BK$2:$BK$2001,135),Calc!$BK$2:$BK$2001,0),"")</f>
        <v/>
      </c>
    </row>
    <row r="145">
      <c r="B145" s="36">
        <f>IF(R145="","",136)</f>
        <v/>
      </c>
      <c r="C145" s="37">
        <f>IF($R145="","",IF(INDEX(Calc!$AU$2:$AU$2001,$R145)="","",INDEX(Calc!$AU$2:$AU$2001,$R145)))</f>
        <v/>
      </c>
      <c r="D145" s="36">
        <f>IF($R145="","",IF(INDEX(Calc!$AV$2:$AV$2001,$R145)="","",INDEX(Calc!$AV$2:$AV$2001,$R145)))</f>
        <v/>
      </c>
      <c r="E145" s="38">
        <f>IF($R145="","",IF(INDEX(Calc!$AW$2:$AW$2001,$R145)="","",INDEX(Calc!$AW$2:$AW$2001,$R145)))</f>
        <v/>
      </c>
      <c r="F145" s="68">
        <f>IF(OR(C145="",E145=""),"",E145-Setup!$D$7)</f>
        <v/>
      </c>
      <c r="G145" s="74">
        <f>IF($R145="","",IF(INDEX(Calc!$AX$2:$AX$2001,$R145)="","",INDEX(Calc!$AX$2:$AX$2001,$R145)))</f>
        <v/>
      </c>
      <c r="H145" s="74">
        <f>IF($R145="","",IF(INDEX(Calc!$AY$2:$AY$2001,$R145)="","",INDEX(Calc!$AY$2:$AY$2001,$R145)))</f>
        <v/>
      </c>
      <c r="I145" s="36">
        <f>IF(OR(G145="",H145=""),"",TRIM(IF(HOUR(H145-G145)&gt;0,HOUR(H145-G145)&amp;" hr ","")&amp;IF(MINUTE(H145-G145)&gt;0,MINUTE(H145-G145)&amp;" min","")))</f>
        <v/>
      </c>
      <c r="J145" s="36">
        <f>IF($R145="","",IF(INDEX(Calc!$AZ$2:$AZ$2001,$R145)="","",INDEX(Calc!$AZ$2:$AZ$2001,$R145)))</f>
        <v/>
      </c>
      <c r="K145" s="87">
        <f>IF($R145="","",IF(INDEX(Calc!$BE$2:$BE$2001,$R145)="","",INDEX(Calc!$BE$2:$BE$2001,$R145)))</f>
        <v/>
      </c>
      <c r="L145" s="36">
        <f>IF($R145="","",IF(INDEX(Calc!$BA$2:$BA$2001,$R145)="","",INDEX(Calc!$BA$2:$BA$2001,$R145)))</f>
        <v/>
      </c>
      <c r="M145" s="36">
        <f>IF($R145="","",IF(INDEX(Calc!$BB$2:$BB$2001,$R145)="","",INDEX(Calc!$BB$2:$BB$2001,$R145)))</f>
        <v/>
      </c>
      <c r="N145" s="36">
        <f>IF($R145="","",IF(INDEX(Calc!$BC$2:$BC$2001,$R145)="","",INDEX(Calc!$BC$2:$BC$2001,$R145)))</f>
        <v/>
      </c>
      <c r="O145" s="36">
        <f>IF($R145="","",IF(INDEX(Calc!$BD$2:$BD$2001,$R145)="","",INDEX(Calc!$BD$2:$BD$2001,$R145)))</f>
        <v/>
      </c>
      <c r="P145" s="88">
        <f>IF(R145="","",HYPERLINK("#'"&amp;IF(INDEX(Calc!$AS$2:$AS$2001,R145)="R","Recurring Log","Variable Tasks")&amp;"'!J"&amp;INDEX(Calc!$AT$2:$AT$2001,R145),"✎ edit"))</f>
        <v/>
      </c>
      <c r="R145">
        <f>IFERROR(MATCH(SMALL(Calc!$BK$2:$BK$2001,136),Calc!$BK$2:$BK$2001,0),"")</f>
        <v/>
      </c>
    </row>
    <row r="146">
      <c r="B146" s="73">
        <f>IF(R146="","",137)</f>
        <v/>
      </c>
      <c r="C146" s="75">
        <f>IF($R146="","",IF(INDEX(Calc!$AU$2:$AU$2001,$R146)="","",INDEX(Calc!$AU$2:$AU$2001,$R146)))</f>
        <v/>
      </c>
      <c r="D146" s="73">
        <f>IF($R146="","",IF(INDEX(Calc!$AV$2:$AV$2001,$R146)="","",INDEX(Calc!$AV$2:$AV$2001,$R146)))</f>
        <v/>
      </c>
      <c r="E146" s="76">
        <f>IF($R146="","",IF(INDEX(Calc!$AW$2:$AW$2001,$R146)="","",INDEX(Calc!$AW$2:$AW$2001,$R146)))</f>
        <v/>
      </c>
      <c r="F146" s="72">
        <f>IF(OR(C146="",E146=""),"",E146-Setup!$D$7)</f>
        <v/>
      </c>
      <c r="G146" s="77">
        <f>IF($R146="","",IF(INDEX(Calc!$AX$2:$AX$2001,$R146)="","",INDEX(Calc!$AX$2:$AX$2001,$R146)))</f>
        <v/>
      </c>
      <c r="H146" s="77">
        <f>IF($R146="","",IF(INDEX(Calc!$AY$2:$AY$2001,$R146)="","",INDEX(Calc!$AY$2:$AY$2001,$R146)))</f>
        <v/>
      </c>
      <c r="I146" s="73">
        <f>IF(OR(G146="",H146=""),"",TRIM(IF(HOUR(H146-G146)&gt;0,HOUR(H146-G146)&amp;" hr ","")&amp;IF(MINUTE(H146-G146)&gt;0,MINUTE(H146-G146)&amp;" min","")))</f>
        <v/>
      </c>
      <c r="J146" s="73">
        <f>IF($R146="","",IF(INDEX(Calc!$AZ$2:$AZ$2001,$R146)="","",INDEX(Calc!$AZ$2:$AZ$2001,$R146)))</f>
        <v/>
      </c>
      <c r="K146" s="85">
        <f>IF($R146="","",IF(INDEX(Calc!$BE$2:$BE$2001,$R146)="","",INDEX(Calc!$BE$2:$BE$2001,$R146)))</f>
        <v/>
      </c>
      <c r="L146" s="73">
        <f>IF($R146="","",IF(INDEX(Calc!$BA$2:$BA$2001,$R146)="","",INDEX(Calc!$BA$2:$BA$2001,$R146)))</f>
        <v/>
      </c>
      <c r="M146" s="73">
        <f>IF($R146="","",IF(INDEX(Calc!$BB$2:$BB$2001,$R146)="","",INDEX(Calc!$BB$2:$BB$2001,$R146)))</f>
        <v/>
      </c>
      <c r="N146" s="73">
        <f>IF($R146="","",IF(INDEX(Calc!$BC$2:$BC$2001,$R146)="","",INDEX(Calc!$BC$2:$BC$2001,$R146)))</f>
        <v/>
      </c>
      <c r="O146" s="73">
        <f>IF($R146="","",IF(INDEX(Calc!$BD$2:$BD$2001,$R146)="","",INDEX(Calc!$BD$2:$BD$2001,$R146)))</f>
        <v/>
      </c>
      <c r="P146" s="86">
        <f>IF(R146="","",HYPERLINK("#'"&amp;IF(INDEX(Calc!$AS$2:$AS$2001,R146)="R","Recurring Log","Variable Tasks")&amp;"'!J"&amp;INDEX(Calc!$AT$2:$AT$2001,R146),"✎ edit"))</f>
        <v/>
      </c>
      <c r="R146">
        <f>IFERROR(MATCH(SMALL(Calc!$BK$2:$BK$2001,137),Calc!$BK$2:$BK$2001,0),"")</f>
        <v/>
      </c>
    </row>
    <row r="147">
      <c r="B147" s="36">
        <f>IF(R147="","",138)</f>
        <v/>
      </c>
      <c r="C147" s="37">
        <f>IF($R147="","",IF(INDEX(Calc!$AU$2:$AU$2001,$R147)="","",INDEX(Calc!$AU$2:$AU$2001,$R147)))</f>
        <v/>
      </c>
      <c r="D147" s="36">
        <f>IF($R147="","",IF(INDEX(Calc!$AV$2:$AV$2001,$R147)="","",INDEX(Calc!$AV$2:$AV$2001,$R147)))</f>
        <v/>
      </c>
      <c r="E147" s="38">
        <f>IF($R147="","",IF(INDEX(Calc!$AW$2:$AW$2001,$R147)="","",INDEX(Calc!$AW$2:$AW$2001,$R147)))</f>
        <v/>
      </c>
      <c r="F147" s="68">
        <f>IF(OR(C147="",E147=""),"",E147-Setup!$D$7)</f>
        <v/>
      </c>
      <c r="G147" s="74">
        <f>IF($R147="","",IF(INDEX(Calc!$AX$2:$AX$2001,$R147)="","",INDEX(Calc!$AX$2:$AX$2001,$R147)))</f>
        <v/>
      </c>
      <c r="H147" s="74">
        <f>IF($R147="","",IF(INDEX(Calc!$AY$2:$AY$2001,$R147)="","",INDEX(Calc!$AY$2:$AY$2001,$R147)))</f>
        <v/>
      </c>
      <c r="I147" s="36">
        <f>IF(OR(G147="",H147=""),"",TRIM(IF(HOUR(H147-G147)&gt;0,HOUR(H147-G147)&amp;" hr ","")&amp;IF(MINUTE(H147-G147)&gt;0,MINUTE(H147-G147)&amp;" min","")))</f>
        <v/>
      </c>
      <c r="J147" s="36">
        <f>IF($R147="","",IF(INDEX(Calc!$AZ$2:$AZ$2001,$R147)="","",INDEX(Calc!$AZ$2:$AZ$2001,$R147)))</f>
        <v/>
      </c>
      <c r="K147" s="87">
        <f>IF($R147="","",IF(INDEX(Calc!$BE$2:$BE$2001,$R147)="","",INDEX(Calc!$BE$2:$BE$2001,$R147)))</f>
        <v/>
      </c>
      <c r="L147" s="36">
        <f>IF($R147="","",IF(INDEX(Calc!$BA$2:$BA$2001,$R147)="","",INDEX(Calc!$BA$2:$BA$2001,$R147)))</f>
        <v/>
      </c>
      <c r="M147" s="36">
        <f>IF($R147="","",IF(INDEX(Calc!$BB$2:$BB$2001,$R147)="","",INDEX(Calc!$BB$2:$BB$2001,$R147)))</f>
        <v/>
      </c>
      <c r="N147" s="36">
        <f>IF($R147="","",IF(INDEX(Calc!$BC$2:$BC$2001,$R147)="","",INDEX(Calc!$BC$2:$BC$2001,$R147)))</f>
        <v/>
      </c>
      <c r="O147" s="36">
        <f>IF($R147="","",IF(INDEX(Calc!$BD$2:$BD$2001,$R147)="","",INDEX(Calc!$BD$2:$BD$2001,$R147)))</f>
        <v/>
      </c>
      <c r="P147" s="88">
        <f>IF(R147="","",HYPERLINK("#'"&amp;IF(INDEX(Calc!$AS$2:$AS$2001,R147)="R","Recurring Log","Variable Tasks")&amp;"'!J"&amp;INDEX(Calc!$AT$2:$AT$2001,R147),"✎ edit"))</f>
        <v/>
      </c>
      <c r="R147">
        <f>IFERROR(MATCH(SMALL(Calc!$BK$2:$BK$2001,138),Calc!$BK$2:$BK$2001,0),"")</f>
        <v/>
      </c>
    </row>
    <row r="148">
      <c r="B148" s="73">
        <f>IF(R148="","",139)</f>
        <v/>
      </c>
      <c r="C148" s="75">
        <f>IF($R148="","",IF(INDEX(Calc!$AU$2:$AU$2001,$R148)="","",INDEX(Calc!$AU$2:$AU$2001,$R148)))</f>
        <v/>
      </c>
      <c r="D148" s="73">
        <f>IF($R148="","",IF(INDEX(Calc!$AV$2:$AV$2001,$R148)="","",INDEX(Calc!$AV$2:$AV$2001,$R148)))</f>
        <v/>
      </c>
      <c r="E148" s="76">
        <f>IF($R148="","",IF(INDEX(Calc!$AW$2:$AW$2001,$R148)="","",INDEX(Calc!$AW$2:$AW$2001,$R148)))</f>
        <v/>
      </c>
      <c r="F148" s="72">
        <f>IF(OR(C148="",E148=""),"",E148-Setup!$D$7)</f>
        <v/>
      </c>
      <c r="G148" s="77">
        <f>IF($R148="","",IF(INDEX(Calc!$AX$2:$AX$2001,$R148)="","",INDEX(Calc!$AX$2:$AX$2001,$R148)))</f>
        <v/>
      </c>
      <c r="H148" s="77">
        <f>IF($R148="","",IF(INDEX(Calc!$AY$2:$AY$2001,$R148)="","",INDEX(Calc!$AY$2:$AY$2001,$R148)))</f>
        <v/>
      </c>
      <c r="I148" s="73">
        <f>IF(OR(G148="",H148=""),"",TRIM(IF(HOUR(H148-G148)&gt;0,HOUR(H148-G148)&amp;" hr ","")&amp;IF(MINUTE(H148-G148)&gt;0,MINUTE(H148-G148)&amp;" min","")))</f>
        <v/>
      </c>
      <c r="J148" s="73">
        <f>IF($R148="","",IF(INDEX(Calc!$AZ$2:$AZ$2001,$R148)="","",INDEX(Calc!$AZ$2:$AZ$2001,$R148)))</f>
        <v/>
      </c>
      <c r="K148" s="85">
        <f>IF($R148="","",IF(INDEX(Calc!$BE$2:$BE$2001,$R148)="","",INDEX(Calc!$BE$2:$BE$2001,$R148)))</f>
        <v/>
      </c>
      <c r="L148" s="73">
        <f>IF($R148="","",IF(INDEX(Calc!$BA$2:$BA$2001,$R148)="","",INDEX(Calc!$BA$2:$BA$2001,$R148)))</f>
        <v/>
      </c>
      <c r="M148" s="73">
        <f>IF($R148="","",IF(INDEX(Calc!$BB$2:$BB$2001,$R148)="","",INDEX(Calc!$BB$2:$BB$2001,$R148)))</f>
        <v/>
      </c>
      <c r="N148" s="73">
        <f>IF($R148="","",IF(INDEX(Calc!$BC$2:$BC$2001,$R148)="","",INDEX(Calc!$BC$2:$BC$2001,$R148)))</f>
        <v/>
      </c>
      <c r="O148" s="73">
        <f>IF($R148="","",IF(INDEX(Calc!$BD$2:$BD$2001,$R148)="","",INDEX(Calc!$BD$2:$BD$2001,$R148)))</f>
        <v/>
      </c>
      <c r="P148" s="86">
        <f>IF(R148="","",HYPERLINK("#'"&amp;IF(INDEX(Calc!$AS$2:$AS$2001,R148)="R","Recurring Log","Variable Tasks")&amp;"'!J"&amp;INDEX(Calc!$AT$2:$AT$2001,R148),"✎ edit"))</f>
        <v/>
      </c>
      <c r="R148">
        <f>IFERROR(MATCH(SMALL(Calc!$BK$2:$BK$2001,139),Calc!$BK$2:$BK$2001,0),"")</f>
        <v/>
      </c>
    </row>
    <row r="149">
      <c r="B149" s="36">
        <f>IF(R149="","",140)</f>
        <v/>
      </c>
      <c r="C149" s="37">
        <f>IF($R149="","",IF(INDEX(Calc!$AU$2:$AU$2001,$R149)="","",INDEX(Calc!$AU$2:$AU$2001,$R149)))</f>
        <v/>
      </c>
      <c r="D149" s="36">
        <f>IF($R149="","",IF(INDEX(Calc!$AV$2:$AV$2001,$R149)="","",INDEX(Calc!$AV$2:$AV$2001,$R149)))</f>
        <v/>
      </c>
      <c r="E149" s="38">
        <f>IF($R149="","",IF(INDEX(Calc!$AW$2:$AW$2001,$R149)="","",INDEX(Calc!$AW$2:$AW$2001,$R149)))</f>
        <v/>
      </c>
      <c r="F149" s="68">
        <f>IF(OR(C149="",E149=""),"",E149-Setup!$D$7)</f>
        <v/>
      </c>
      <c r="G149" s="74">
        <f>IF($R149="","",IF(INDEX(Calc!$AX$2:$AX$2001,$R149)="","",INDEX(Calc!$AX$2:$AX$2001,$R149)))</f>
        <v/>
      </c>
      <c r="H149" s="74">
        <f>IF($R149="","",IF(INDEX(Calc!$AY$2:$AY$2001,$R149)="","",INDEX(Calc!$AY$2:$AY$2001,$R149)))</f>
        <v/>
      </c>
      <c r="I149" s="36">
        <f>IF(OR(G149="",H149=""),"",TRIM(IF(HOUR(H149-G149)&gt;0,HOUR(H149-G149)&amp;" hr ","")&amp;IF(MINUTE(H149-G149)&gt;0,MINUTE(H149-G149)&amp;" min","")))</f>
        <v/>
      </c>
      <c r="J149" s="36">
        <f>IF($R149="","",IF(INDEX(Calc!$AZ$2:$AZ$2001,$R149)="","",INDEX(Calc!$AZ$2:$AZ$2001,$R149)))</f>
        <v/>
      </c>
      <c r="K149" s="87">
        <f>IF($R149="","",IF(INDEX(Calc!$BE$2:$BE$2001,$R149)="","",INDEX(Calc!$BE$2:$BE$2001,$R149)))</f>
        <v/>
      </c>
      <c r="L149" s="36">
        <f>IF($R149="","",IF(INDEX(Calc!$BA$2:$BA$2001,$R149)="","",INDEX(Calc!$BA$2:$BA$2001,$R149)))</f>
        <v/>
      </c>
      <c r="M149" s="36">
        <f>IF($R149="","",IF(INDEX(Calc!$BB$2:$BB$2001,$R149)="","",INDEX(Calc!$BB$2:$BB$2001,$R149)))</f>
        <v/>
      </c>
      <c r="N149" s="36">
        <f>IF($R149="","",IF(INDEX(Calc!$BC$2:$BC$2001,$R149)="","",INDEX(Calc!$BC$2:$BC$2001,$R149)))</f>
        <v/>
      </c>
      <c r="O149" s="36">
        <f>IF($R149="","",IF(INDEX(Calc!$BD$2:$BD$2001,$R149)="","",INDEX(Calc!$BD$2:$BD$2001,$R149)))</f>
        <v/>
      </c>
      <c r="P149" s="88">
        <f>IF(R149="","",HYPERLINK("#'"&amp;IF(INDEX(Calc!$AS$2:$AS$2001,R149)="R","Recurring Log","Variable Tasks")&amp;"'!J"&amp;INDEX(Calc!$AT$2:$AT$2001,R149),"✎ edit"))</f>
        <v/>
      </c>
      <c r="R149">
        <f>IFERROR(MATCH(SMALL(Calc!$BK$2:$BK$2001,140),Calc!$BK$2:$BK$2001,0),"")</f>
        <v/>
      </c>
    </row>
    <row r="150">
      <c r="B150" s="73">
        <f>IF(R150="","",141)</f>
        <v/>
      </c>
      <c r="C150" s="75">
        <f>IF($R150="","",IF(INDEX(Calc!$AU$2:$AU$2001,$R150)="","",INDEX(Calc!$AU$2:$AU$2001,$R150)))</f>
        <v/>
      </c>
      <c r="D150" s="73">
        <f>IF($R150="","",IF(INDEX(Calc!$AV$2:$AV$2001,$R150)="","",INDEX(Calc!$AV$2:$AV$2001,$R150)))</f>
        <v/>
      </c>
      <c r="E150" s="76">
        <f>IF($R150="","",IF(INDEX(Calc!$AW$2:$AW$2001,$R150)="","",INDEX(Calc!$AW$2:$AW$2001,$R150)))</f>
        <v/>
      </c>
      <c r="F150" s="72">
        <f>IF(OR(C150="",E150=""),"",E150-Setup!$D$7)</f>
        <v/>
      </c>
      <c r="G150" s="77">
        <f>IF($R150="","",IF(INDEX(Calc!$AX$2:$AX$2001,$R150)="","",INDEX(Calc!$AX$2:$AX$2001,$R150)))</f>
        <v/>
      </c>
      <c r="H150" s="77">
        <f>IF($R150="","",IF(INDEX(Calc!$AY$2:$AY$2001,$R150)="","",INDEX(Calc!$AY$2:$AY$2001,$R150)))</f>
        <v/>
      </c>
      <c r="I150" s="73">
        <f>IF(OR(G150="",H150=""),"",TRIM(IF(HOUR(H150-G150)&gt;0,HOUR(H150-G150)&amp;" hr ","")&amp;IF(MINUTE(H150-G150)&gt;0,MINUTE(H150-G150)&amp;" min","")))</f>
        <v/>
      </c>
      <c r="J150" s="73">
        <f>IF($R150="","",IF(INDEX(Calc!$AZ$2:$AZ$2001,$R150)="","",INDEX(Calc!$AZ$2:$AZ$2001,$R150)))</f>
        <v/>
      </c>
      <c r="K150" s="85">
        <f>IF($R150="","",IF(INDEX(Calc!$BE$2:$BE$2001,$R150)="","",INDEX(Calc!$BE$2:$BE$2001,$R150)))</f>
        <v/>
      </c>
      <c r="L150" s="73">
        <f>IF($R150="","",IF(INDEX(Calc!$BA$2:$BA$2001,$R150)="","",INDEX(Calc!$BA$2:$BA$2001,$R150)))</f>
        <v/>
      </c>
      <c r="M150" s="73">
        <f>IF($R150="","",IF(INDEX(Calc!$BB$2:$BB$2001,$R150)="","",INDEX(Calc!$BB$2:$BB$2001,$R150)))</f>
        <v/>
      </c>
      <c r="N150" s="73">
        <f>IF($R150="","",IF(INDEX(Calc!$BC$2:$BC$2001,$R150)="","",INDEX(Calc!$BC$2:$BC$2001,$R150)))</f>
        <v/>
      </c>
      <c r="O150" s="73">
        <f>IF($R150="","",IF(INDEX(Calc!$BD$2:$BD$2001,$R150)="","",INDEX(Calc!$BD$2:$BD$2001,$R150)))</f>
        <v/>
      </c>
      <c r="P150" s="86">
        <f>IF(R150="","",HYPERLINK("#'"&amp;IF(INDEX(Calc!$AS$2:$AS$2001,R150)="R","Recurring Log","Variable Tasks")&amp;"'!J"&amp;INDEX(Calc!$AT$2:$AT$2001,R150),"✎ edit"))</f>
        <v/>
      </c>
      <c r="R150">
        <f>IFERROR(MATCH(SMALL(Calc!$BK$2:$BK$2001,141),Calc!$BK$2:$BK$2001,0),"")</f>
        <v/>
      </c>
    </row>
    <row r="151">
      <c r="B151" s="36">
        <f>IF(R151="","",142)</f>
        <v/>
      </c>
      <c r="C151" s="37">
        <f>IF($R151="","",IF(INDEX(Calc!$AU$2:$AU$2001,$R151)="","",INDEX(Calc!$AU$2:$AU$2001,$R151)))</f>
        <v/>
      </c>
      <c r="D151" s="36">
        <f>IF($R151="","",IF(INDEX(Calc!$AV$2:$AV$2001,$R151)="","",INDEX(Calc!$AV$2:$AV$2001,$R151)))</f>
        <v/>
      </c>
      <c r="E151" s="38">
        <f>IF($R151="","",IF(INDEX(Calc!$AW$2:$AW$2001,$R151)="","",INDEX(Calc!$AW$2:$AW$2001,$R151)))</f>
        <v/>
      </c>
      <c r="F151" s="68">
        <f>IF(OR(C151="",E151=""),"",E151-Setup!$D$7)</f>
        <v/>
      </c>
      <c r="G151" s="74">
        <f>IF($R151="","",IF(INDEX(Calc!$AX$2:$AX$2001,$R151)="","",INDEX(Calc!$AX$2:$AX$2001,$R151)))</f>
        <v/>
      </c>
      <c r="H151" s="74">
        <f>IF($R151="","",IF(INDEX(Calc!$AY$2:$AY$2001,$R151)="","",INDEX(Calc!$AY$2:$AY$2001,$R151)))</f>
        <v/>
      </c>
      <c r="I151" s="36">
        <f>IF(OR(G151="",H151=""),"",TRIM(IF(HOUR(H151-G151)&gt;0,HOUR(H151-G151)&amp;" hr ","")&amp;IF(MINUTE(H151-G151)&gt;0,MINUTE(H151-G151)&amp;" min","")))</f>
        <v/>
      </c>
      <c r="J151" s="36">
        <f>IF($R151="","",IF(INDEX(Calc!$AZ$2:$AZ$2001,$R151)="","",INDEX(Calc!$AZ$2:$AZ$2001,$R151)))</f>
        <v/>
      </c>
      <c r="K151" s="87">
        <f>IF($R151="","",IF(INDEX(Calc!$BE$2:$BE$2001,$R151)="","",INDEX(Calc!$BE$2:$BE$2001,$R151)))</f>
        <v/>
      </c>
      <c r="L151" s="36">
        <f>IF($R151="","",IF(INDEX(Calc!$BA$2:$BA$2001,$R151)="","",INDEX(Calc!$BA$2:$BA$2001,$R151)))</f>
        <v/>
      </c>
      <c r="M151" s="36">
        <f>IF($R151="","",IF(INDEX(Calc!$BB$2:$BB$2001,$R151)="","",INDEX(Calc!$BB$2:$BB$2001,$R151)))</f>
        <v/>
      </c>
      <c r="N151" s="36">
        <f>IF($R151="","",IF(INDEX(Calc!$BC$2:$BC$2001,$R151)="","",INDEX(Calc!$BC$2:$BC$2001,$R151)))</f>
        <v/>
      </c>
      <c r="O151" s="36">
        <f>IF($R151="","",IF(INDEX(Calc!$BD$2:$BD$2001,$R151)="","",INDEX(Calc!$BD$2:$BD$2001,$R151)))</f>
        <v/>
      </c>
      <c r="P151" s="88">
        <f>IF(R151="","",HYPERLINK("#'"&amp;IF(INDEX(Calc!$AS$2:$AS$2001,R151)="R","Recurring Log","Variable Tasks")&amp;"'!J"&amp;INDEX(Calc!$AT$2:$AT$2001,R151),"✎ edit"))</f>
        <v/>
      </c>
      <c r="R151">
        <f>IFERROR(MATCH(SMALL(Calc!$BK$2:$BK$2001,142),Calc!$BK$2:$BK$2001,0),"")</f>
        <v/>
      </c>
    </row>
    <row r="152">
      <c r="B152" s="73">
        <f>IF(R152="","",143)</f>
        <v/>
      </c>
      <c r="C152" s="75">
        <f>IF($R152="","",IF(INDEX(Calc!$AU$2:$AU$2001,$R152)="","",INDEX(Calc!$AU$2:$AU$2001,$R152)))</f>
        <v/>
      </c>
      <c r="D152" s="73">
        <f>IF($R152="","",IF(INDEX(Calc!$AV$2:$AV$2001,$R152)="","",INDEX(Calc!$AV$2:$AV$2001,$R152)))</f>
        <v/>
      </c>
      <c r="E152" s="76">
        <f>IF($R152="","",IF(INDEX(Calc!$AW$2:$AW$2001,$R152)="","",INDEX(Calc!$AW$2:$AW$2001,$R152)))</f>
        <v/>
      </c>
      <c r="F152" s="72">
        <f>IF(OR(C152="",E152=""),"",E152-Setup!$D$7)</f>
        <v/>
      </c>
      <c r="G152" s="77">
        <f>IF($R152="","",IF(INDEX(Calc!$AX$2:$AX$2001,$R152)="","",INDEX(Calc!$AX$2:$AX$2001,$R152)))</f>
        <v/>
      </c>
      <c r="H152" s="77">
        <f>IF($R152="","",IF(INDEX(Calc!$AY$2:$AY$2001,$R152)="","",INDEX(Calc!$AY$2:$AY$2001,$R152)))</f>
        <v/>
      </c>
      <c r="I152" s="73">
        <f>IF(OR(G152="",H152=""),"",TRIM(IF(HOUR(H152-G152)&gt;0,HOUR(H152-G152)&amp;" hr ","")&amp;IF(MINUTE(H152-G152)&gt;0,MINUTE(H152-G152)&amp;" min","")))</f>
        <v/>
      </c>
      <c r="J152" s="73">
        <f>IF($R152="","",IF(INDEX(Calc!$AZ$2:$AZ$2001,$R152)="","",INDEX(Calc!$AZ$2:$AZ$2001,$R152)))</f>
        <v/>
      </c>
      <c r="K152" s="85">
        <f>IF($R152="","",IF(INDEX(Calc!$BE$2:$BE$2001,$R152)="","",INDEX(Calc!$BE$2:$BE$2001,$R152)))</f>
        <v/>
      </c>
      <c r="L152" s="73">
        <f>IF($R152="","",IF(INDEX(Calc!$BA$2:$BA$2001,$R152)="","",INDEX(Calc!$BA$2:$BA$2001,$R152)))</f>
        <v/>
      </c>
      <c r="M152" s="73">
        <f>IF($R152="","",IF(INDEX(Calc!$BB$2:$BB$2001,$R152)="","",INDEX(Calc!$BB$2:$BB$2001,$R152)))</f>
        <v/>
      </c>
      <c r="N152" s="73">
        <f>IF($R152="","",IF(INDEX(Calc!$BC$2:$BC$2001,$R152)="","",INDEX(Calc!$BC$2:$BC$2001,$R152)))</f>
        <v/>
      </c>
      <c r="O152" s="73">
        <f>IF($R152="","",IF(INDEX(Calc!$BD$2:$BD$2001,$R152)="","",INDEX(Calc!$BD$2:$BD$2001,$R152)))</f>
        <v/>
      </c>
      <c r="P152" s="86">
        <f>IF(R152="","",HYPERLINK("#'"&amp;IF(INDEX(Calc!$AS$2:$AS$2001,R152)="R","Recurring Log","Variable Tasks")&amp;"'!J"&amp;INDEX(Calc!$AT$2:$AT$2001,R152),"✎ edit"))</f>
        <v/>
      </c>
      <c r="R152">
        <f>IFERROR(MATCH(SMALL(Calc!$BK$2:$BK$2001,143),Calc!$BK$2:$BK$2001,0),"")</f>
        <v/>
      </c>
    </row>
    <row r="153">
      <c r="B153" s="36">
        <f>IF(R153="","",144)</f>
        <v/>
      </c>
      <c r="C153" s="37">
        <f>IF($R153="","",IF(INDEX(Calc!$AU$2:$AU$2001,$R153)="","",INDEX(Calc!$AU$2:$AU$2001,$R153)))</f>
        <v/>
      </c>
      <c r="D153" s="36">
        <f>IF($R153="","",IF(INDEX(Calc!$AV$2:$AV$2001,$R153)="","",INDEX(Calc!$AV$2:$AV$2001,$R153)))</f>
        <v/>
      </c>
      <c r="E153" s="38">
        <f>IF($R153="","",IF(INDEX(Calc!$AW$2:$AW$2001,$R153)="","",INDEX(Calc!$AW$2:$AW$2001,$R153)))</f>
        <v/>
      </c>
      <c r="F153" s="68">
        <f>IF(OR(C153="",E153=""),"",E153-Setup!$D$7)</f>
        <v/>
      </c>
      <c r="G153" s="74">
        <f>IF($R153="","",IF(INDEX(Calc!$AX$2:$AX$2001,$R153)="","",INDEX(Calc!$AX$2:$AX$2001,$R153)))</f>
        <v/>
      </c>
      <c r="H153" s="74">
        <f>IF($R153="","",IF(INDEX(Calc!$AY$2:$AY$2001,$R153)="","",INDEX(Calc!$AY$2:$AY$2001,$R153)))</f>
        <v/>
      </c>
      <c r="I153" s="36">
        <f>IF(OR(G153="",H153=""),"",TRIM(IF(HOUR(H153-G153)&gt;0,HOUR(H153-G153)&amp;" hr ","")&amp;IF(MINUTE(H153-G153)&gt;0,MINUTE(H153-G153)&amp;" min","")))</f>
        <v/>
      </c>
      <c r="J153" s="36">
        <f>IF($R153="","",IF(INDEX(Calc!$AZ$2:$AZ$2001,$R153)="","",INDEX(Calc!$AZ$2:$AZ$2001,$R153)))</f>
        <v/>
      </c>
      <c r="K153" s="87">
        <f>IF($R153="","",IF(INDEX(Calc!$BE$2:$BE$2001,$R153)="","",INDEX(Calc!$BE$2:$BE$2001,$R153)))</f>
        <v/>
      </c>
      <c r="L153" s="36">
        <f>IF($R153="","",IF(INDEX(Calc!$BA$2:$BA$2001,$R153)="","",INDEX(Calc!$BA$2:$BA$2001,$R153)))</f>
        <v/>
      </c>
      <c r="M153" s="36">
        <f>IF($R153="","",IF(INDEX(Calc!$BB$2:$BB$2001,$R153)="","",INDEX(Calc!$BB$2:$BB$2001,$R153)))</f>
        <v/>
      </c>
      <c r="N153" s="36">
        <f>IF($R153="","",IF(INDEX(Calc!$BC$2:$BC$2001,$R153)="","",INDEX(Calc!$BC$2:$BC$2001,$R153)))</f>
        <v/>
      </c>
      <c r="O153" s="36">
        <f>IF($R153="","",IF(INDEX(Calc!$BD$2:$BD$2001,$R153)="","",INDEX(Calc!$BD$2:$BD$2001,$R153)))</f>
        <v/>
      </c>
      <c r="P153" s="88">
        <f>IF(R153="","",HYPERLINK("#'"&amp;IF(INDEX(Calc!$AS$2:$AS$2001,R153)="R","Recurring Log","Variable Tasks")&amp;"'!J"&amp;INDEX(Calc!$AT$2:$AT$2001,R153),"✎ edit"))</f>
        <v/>
      </c>
      <c r="R153">
        <f>IFERROR(MATCH(SMALL(Calc!$BK$2:$BK$2001,144),Calc!$BK$2:$BK$2001,0),"")</f>
        <v/>
      </c>
    </row>
    <row r="154">
      <c r="B154" s="73">
        <f>IF(R154="","",145)</f>
        <v/>
      </c>
      <c r="C154" s="75">
        <f>IF($R154="","",IF(INDEX(Calc!$AU$2:$AU$2001,$R154)="","",INDEX(Calc!$AU$2:$AU$2001,$R154)))</f>
        <v/>
      </c>
      <c r="D154" s="73">
        <f>IF($R154="","",IF(INDEX(Calc!$AV$2:$AV$2001,$R154)="","",INDEX(Calc!$AV$2:$AV$2001,$R154)))</f>
        <v/>
      </c>
      <c r="E154" s="76">
        <f>IF($R154="","",IF(INDEX(Calc!$AW$2:$AW$2001,$R154)="","",INDEX(Calc!$AW$2:$AW$2001,$R154)))</f>
        <v/>
      </c>
      <c r="F154" s="72">
        <f>IF(OR(C154="",E154=""),"",E154-Setup!$D$7)</f>
        <v/>
      </c>
      <c r="G154" s="77">
        <f>IF($R154="","",IF(INDEX(Calc!$AX$2:$AX$2001,$R154)="","",INDEX(Calc!$AX$2:$AX$2001,$R154)))</f>
        <v/>
      </c>
      <c r="H154" s="77">
        <f>IF($R154="","",IF(INDEX(Calc!$AY$2:$AY$2001,$R154)="","",INDEX(Calc!$AY$2:$AY$2001,$R154)))</f>
        <v/>
      </c>
      <c r="I154" s="73">
        <f>IF(OR(G154="",H154=""),"",TRIM(IF(HOUR(H154-G154)&gt;0,HOUR(H154-G154)&amp;" hr ","")&amp;IF(MINUTE(H154-G154)&gt;0,MINUTE(H154-G154)&amp;" min","")))</f>
        <v/>
      </c>
      <c r="J154" s="73">
        <f>IF($R154="","",IF(INDEX(Calc!$AZ$2:$AZ$2001,$R154)="","",INDEX(Calc!$AZ$2:$AZ$2001,$R154)))</f>
        <v/>
      </c>
      <c r="K154" s="85">
        <f>IF($R154="","",IF(INDEX(Calc!$BE$2:$BE$2001,$R154)="","",INDEX(Calc!$BE$2:$BE$2001,$R154)))</f>
        <v/>
      </c>
      <c r="L154" s="73">
        <f>IF($R154="","",IF(INDEX(Calc!$BA$2:$BA$2001,$R154)="","",INDEX(Calc!$BA$2:$BA$2001,$R154)))</f>
        <v/>
      </c>
      <c r="M154" s="73">
        <f>IF($R154="","",IF(INDEX(Calc!$BB$2:$BB$2001,$R154)="","",INDEX(Calc!$BB$2:$BB$2001,$R154)))</f>
        <v/>
      </c>
      <c r="N154" s="73">
        <f>IF($R154="","",IF(INDEX(Calc!$BC$2:$BC$2001,$R154)="","",INDEX(Calc!$BC$2:$BC$2001,$R154)))</f>
        <v/>
      </c>
      <c r="O154" s="73">
        <f>IF($R154="","",IF(INDEX(Calc!$BD$2:$BD$2001,$R154)="","",INDEX(Calc!$BD$2:$BD$2001,$R154)))</f>
        <v/>
      </c>
      <c r="P154" s="86">
        <f>IF(R154="","",HYPERLINK("#'"&amp;IF(INDEX(Calc!$AS$2:$AS$2001,R154)="R","Recurring Log","Variable Tasks")&amp;"'!J"&amp;INDEX(Calc!$AT$2:$AT$2001,R154),"✎ edit"))</f>
        <v/>
      </c>
      <c r="R154">
        <f>IFERROR(MATCH(SMALL(Calc!$BK$2:$BK$2001,145),Calc!$BK$2:$BK$2001,0),"")</f>
        <v/>
      </c>
    </row>
    <row r="155">
      <c r="B155" s="36">
        <f>IF(R155="","",146)</f>
        <v/>
      </c>
      <c r="C155" s="37">
        <f>IF($R155="","",IF(INDEX(Calc!$AU$2:$AU$2001,$R155)="","",INDEX(Calc!$AU$2:$AU$2001,$R155)))</f>
        <v/>
      </c>
      <c r="D155" s="36">
        <f>IF($R155="","",IF(INDEX(Calc!$AV$2:$AV$2001,$R155)="","",INDEX(Calc!$AV$2:$AV$2001,$R155)))</f>
        <v/>
      </c>
      <c r="E155" s="38">
        <f>IF($R155="","",IF(INDEX(Calc!$AW$2:$AW$2001,$R155)="","",INDEX(Calc!$AW$2:$AW$2001,$R155)))</f>
        <v/>
      </c>
      <c r="F155" s="68">
        <f>IF(OR(C155="",E155=""),"",E155-Setup!$D$7)</f>
        <v/>
      </c>
      <c r="G155" s="74">
        <f>IF($R155="","",IF(INDEX(Calc!$AX$2:$AX$2001,$R155)="","",INDEX(Calc!$AX$2:$AX$2001,$R155)))</f>
        <v/>
      </c>
      <c r="H155" s="74">
        <f>IF($R155="","",IF(INDEX(Calc!$AY$2:$AY$2001,$R155)="","",INDEX(Calc!$AY$2:$AY$2001,$R155)))</f>
        <v/>
      </c>
      <c r="I155" s="36">
        <f>IF(OR(G155="",H155=""),"",TRIM(IF(HOUR(H155-G155)&gt;0,HOUR(H155-G155)&amp;" hr ","")&amp;IF(MINUTE(H155-G155)&gt;0,MINUTE(H155-G155)&amp;" min","")))</f>
        <v/>
      </c>
      <c r="J155" s="36">
        <f>IF($R155="","",IF(INDEX(Calc!$AZ$2:$AZ$2001,$R155)="","",INDEX(Calc!$AZ$2:$AZ$2001,$R155)))</f>
        <v/>
      </c>
      <c r="K155" s="87">
        <f>IF($R155="","",IF(INDEX(Calc!$BE$2:$BE$2001,$R155)="","",INDEX(Calc!$BE$2:$BE$2001,$R155)))</f>
        <v/>
      </c>
      <c r="L155" s="36">
        <f>IF($R155="","",IF(INDEX(Calc!$BA$2:$BA$2001,$R155)="","",INDEX(Calc!$BA$2:$BA$2001,$R155)))</f>
        <v/>
      </c>
      <c r="M155" s="36">
        <f>IF($R155="","",IF(INDEX(Calc!$BB$2:$BB$2001,$R155)="","",INDEX(Calc!$BB$2:$BB$2001,$R155)))</f>
        <v/>
      </c>
      <c r="N155" s="36">
        <f>IF($R155="","",IF(INDEX(Calc!$BC$2:$BC$2001,$R155)="","",INDEX(Calc!$BC$2:$BC$2001,$R155)))</f>
        <v/>
      </c>
      <c r="O155" s="36">
        <f>IF($R155="","",IF(INDEX(Calc!$BD$2:$BD$2001,$R155)="","",INDEX(Calc!$BD$2:$BD$2001,$R155)))</f>
        <v/>
      </c>
      <c r="P155" s="88">
        <f>IF(R155="","",HYPERLINK("#'"&amp;IF(INDEX(Calc!$AS$2:$AS$2001,R155)="R","Recurring Log","Variable Tasks")&amp;"'!J"&amp;INDEX(Calc!$AT$2:$AT$2001,R155),"✎ edit"))</f>
        <v/>
      </c>
      <c r="R155">
        <f>IFERROR(MATCH(SMALL(Calc!$BK$2:$BK$2001,146),Calc!$BK$2:$BK$2001,0),"")</f>
        <v/>
      </c>
    </row>
    <row r="156">
      <c r="B156" s="73">
        <f>IF(R156="","",147)</f>
        <v/>
      </c>
      <c r="C156" s="75">
        <f>IF($R156="","",IF(INDEX(Calc!$AU$2:$AU$2001,$R156)="","",INDEX(Calc!$AU$2:$AU$2001,$R156)))</f>
        <v/>
      </c>
      <c r="D156" s="73">
        <f>IF($R156="","",IF(INDEX(Calc!$AV$2:$AV$2001,$R156)="","",INDEX(Calc!$AV$2:$AV$2001,$R156)))</f>
        <v/>
      </c>
      <c r="E156" s="76">
        <f>IF($R156="","",IF(INDEX(Calc!$AW$2:$AW$2001,$R156)="","",INDEX(Calc!$AW$2:$AW$2001,$R156)))</f>
        <v/>
      </c>
      <c r="F156" s="72">
        <f>IF(OR(C156="",E156=""),"",E156-Setup!$D$7)</f>
        <v/>
      </c>
      <c r="G156" s="77">
        <f>IF($R156="","",IF(INDEX(Calc!$AX$2:$AX$2001,$R156)="","",INDEX(Calc!$AX$2:$AX$2001,$R156)))</f>
        <v/>
      </c>
      <c r="H156" s="77">
        <f>IF($R156="","",IF(INDEX(Calc!$AY$2:$AY$2001,$R156)="","",INDEX(Calc!$AY$2:$AY$2001,$R156)))</f>
        <v/>
      </c>
      <c r="I156" s="73">
        <f>IF(OR(G156="",H156=""),"",TRIM(IF(HOUR(H156-G156)&gt;0,HOUR(H156-G156)&amp;" hr ","")&amp;IF(MINUTE(H156-G156)&gt;0,MINUTE(H156-G156)&amp;" min","")))</f>
        <v/>
      </c>
      <c r="J156" s="73">
        <f>IF($R156="","",IF(INDEX(Calc!$AZ$2:$AZ$2001,$R156)="","",INDEX(Calc!$AZ$2:$AZ$2001,$R156)))</f>
        <v/>
      </c>
      <c r="K156" s="85">
        <f>IF($R156="","",IF(INDEX(Calc!$BE$2:$BE$2001,$R156)="","",INDEX(Calc!$BE$2:$BE$2001,$R156)))</f>
        <v/>
      </c>
      <c r="L156" s="73">
        <f>IF($R156="","",IF(INDEX(Calc!$BA$2:$BA$2001,$R156)="","",INDEX(Calc!$BA$2:$BA$2001,$R156)))</f>
        <v/>
      </c>
      <c r="M156" s="73">
        <f>IF($R156="","",IF(INDEX(Calc!$BB$2:$BB$2001,$R156)="","",INDEX(Calc!$BB$2:$BB$2001,$R156)))</f>
        <v/>
      </c>
      <c r="N156" s="73">
        <f>IF($R156="","",IF(INDEX(Calc!$BC$2:$BC$2001,$R156)="","",INDEX(Calc!$BC$2:$BC$2001,$R156)))</f>
        <v/>
      </c>
      <c r="O156" s="73">
        <f>IF($R156="","",IF(INDEX(Calc!$BD$2:$BD$2001,$R156)="","",INDEX(Calc!$BD$2:$BD$2001,$R156)))</f>
        <v/>
      </c>
      <c r="P156" s="86">
        <f>IF(R156="","",HYPERLINK("#'"&amp;IF(INDEX(Calc!$AS$2:$AS$2001,R156)="R","Recurring Log","Variable Tasks")&amp;"'!J"&amp;INDEX(Calc!$AT$2:$AT$2001,R156),"✎ edit"))</f>
        <v/>
      </c>
      <c r="R156">
        <f>IFERROR(MATCH(SMALL(Calc!$BK$2:$BK$2001,147),Calc!$BK$2:$BK$2001,0),"")</f>
        <v/>
      </c>
    </row>
    <row r="157">
      <c r="B157" s="36">
        <f>IF(R157="","",148)</f>
        <v/>
      </c>
      <c r="C157" s="37">
        <f>IF($R157="","",IF(INDEX(Calc!$AU$2:$AU$2001,$R157)="","",INDEX(Calc!$AU$2:$AU$2001,$R157)))</f>
        <v/>
      </c>
      <c r="D157" s="36">
        <f>IF($R157="","",IF(INDEX(Calc!$AV$2:$AV$2001,$R157)="","",INDEX(Calc!$AV$2:$AV$2001,$R157)))</f>
        <v/>
      </c>
      <c r="E157" s="38">
        <f>IF($R157="","",IF(INDEX(Calc!$AW$2:$AW$2001,$R157)="","",INDEX(Calc!$AW$2:$AW$2001,$R157)))</f>
        <v/>
      </c>
      <c r="F157" s="68">
        <f>IF(OR(C157="",E157=""),"",E157-Setup!$D$7)</f>
        <v/>
      </c>
      <c r="G157" s="74">
        <f>IF($R157="","",IF(INDEX(Calc!$AX$2:$AX$2001,$R157)="","",INDEX(Calc!$AX$2:$AX$2001,$R157)))</f>
        <v/>
      </c>
      <c r="H157" s="74">
        <f>IF($R157="","",IF(INDEX(Calc!$AY$2:$AY$2001,$R157)="","",INDEX(Calc!$AY$2:$AY$2001,$R157)))</f>
        <v/>
      </c>
      <c r="I157" s="36">
        <f>IF(OR(G157="",H157=""),"",TRIM(IF(HOUR(H157-G157)&gt;0,HOUR(H157-G157)&amp;" hr ","")&amp;IF(MINUTE(H157-G157)&gt;0,MINUTE(H157-G157)&amp;" min","")))</f>
        <v/>
      </c>
      <c r="J157" s="36">
        <f>IF($R157="","",IF(INDEX(Calc!$AZ$2:$AZ$2001,$R157)="","",INDEX(Calc!$AZ$2:$AZ$2001,$R157)))</f>
        <v/>
      </c>
      <c r="K157" s="87">
        <f>IF($R157="","",IF(INDEX(Calc!$BE$2:$BE$2001,$R157)="","",INDEX(Calc!$BE$2:$BE$2001,$R157)))</f>
        <v/>
      </c>
      <c r="L157" s="36">
        <f>IF($R157="","",IF(INDEX(Calc!$BA$2:$BA$2001,$R157)="","",INDEX(Calc!$BA$2:$BA$2001,$R157)))</f>
        <v/>
      </c>
      <c r="M157" s="36">
        <f>IF($R157="","",IF(INDEX(Calc!$BB$2:$BB$2001,$R157)="","",INDEX(Calc!$BB$2:$BB$2001,$R157)))</f>
        <v/>
      </c>
      <c r="N157" s="36">
        <f>IF($R157="","",IF(INDEX(Calc!$BC$2:$BC$2001,$R157)="","",INDEX(Calc!$BC$2:$BC$2001,$R157)))</f>
        <v/>
      </c>
      <c r="O157" s="36">
        <f>IF($R157="","",IF(INDEX(Calc!$BD$2:$BD$2001,$R157)="","",INDEX(Calc!$BD$2:$BD$2001,$R157)))</f>
        <v/>
      </c>
      <c r="P157" s="88">
        <f>IF(R157="","",HYPERLINK("#'"&amp;IF(INDEX(Calc!$AS$2:$AS$2001,R157)="R","Recurring Log","Variable Tasks")&amp;"'!J"&amp;INDEX(Calc!$AT$2:$AT$2001,R157),"✎ edit"))</f>
        <v/>
      </c>
      <c r="R157">
        <f>IFERROR(MATCH(SMALL(Calc!$BK$2:$BK$2001,148),Calc!$BK$2:$BK$2001,0),"")</f>
        <v/>
      </c>
    </row>
    <row r="158">
      <c r="B158" s="73">
        <f>IF(R158="","",149)</f>
        <v/>
      </c>
      <c r="C158" s="75">
        <f>IF($R158="","",IF(INDEX(Calc!$AU$2:$AU$2001,$R158)="","",INDEX(Calc!$AU$2:$AU$2001,$R158)))</f>
        <v/>
      </c>
      <c r="D158" s="73">
        <f>IF($R158="","",IF(INDEX(Calc!$AV$2:$AV$2001,$R158)="","",INDEX(Calc!$AV$2:$AV$2001,$R158)))</f>
        <v/>
      </c>
      <c r="E158" s="76">
        <f>IF($R158="","",IF(INDEX(Calc!$AW$2:$AW$2001,$R158)="","",INDEX(Calc!$AW$2:$AW$2001,$R158)))</f>
        <v/>
      </c>
      <c r="F158" s="72">
        <f>IF(OR(C158="",E158=""),"",E158-Setup!$D$7)</f>
        <v/>
      </c>
      <c r="G158" s="77">
        <f>IF($R158="","",IF(INDEX(Calc!$AX$2:$AX$2001,$R158)="","",INDEX(Calc!$AX$2:$AX$2001,$R158)))</f>
        <v/>
      </c>
      <c r="H158" s="77">
        <f>IF($R158="","",IF(INDEX(Calc!$AY$2:$AY$2001,$R158)="","",INDEX(Calc!$AY$2:$AY$2001,$R158)))</f>
        <v/>
      </c>
      <c r="I158" s="73">
        <f>IF(OR(G158="",H158=""),"",TRIM(IF(HOUR(H158-G158)&gt;0,HOUR(H158-G158)&amp;" hr ","")&amp;IF(MINUTE(H158-G158)&gt;0,MINUTE(H158-G158)&amp;" min","")))</f>
        <v/>
      </c>
      <c r="J158" s="73">
        <f>IF($R158="","",IF(INDEX(Calc!$AZ$2:$AZ$2001,$R158)="","",INDEX(Calc!$AZ$2:$AZ$2001,$R158)))</f>
        <v/>
      </c>
      <c r="K158" s="85">
        <f>IF($R158="","",IF(INDEX(Calc!$BE$2:$BE$2001,$R158)="","",INDEX(Calc!$BE$2:$BE$2001,$R158)))</f>
        <v/>
      </c>
      <c r="L158" s="73">
        <f>IF($R158="","",IF(INDEX(Calc!$BA$2:$BA$2001,$R158)="","",INDEX(Calc!$BA$2:$BA$2001,$R158)))</f>
        <v/>
      </c>
      <c r="M158" s="73">
        <f>IF($R158="","",IF(INDEX(Calc!$BB$2:$BB$2001,$R158)="","",INDEX(Calc!$BB$2:$BB$2001,$R158)))</f>
        <v/>
      </c>
      <c r="N158" s="73">
        <f>IF($R158="","",IF(INDEX(Calc!$BC$2:$BC$2001,$R158)="","",INDEX(Calc!$BC$2:$BC$2001,$R158)))</f>
        <v/>
      </c>
      <c r="O158" s="73">
        <f>IF($R158="","",IF(INDEX(Calc!$BD$2:$BD$2001,$R158)="","",INDEX(Calc!$BD$2:$BD$2001,$R158)))</f>
        <v/>
      </c>
      <c r="P158" s="86">
        <f>IF(R158="","",HYPERLINK("#'"&amp;IF(INDEX(Calc!$AS$2:$AS$2001,R158)="R","Recurring Log","Variable Tasks")&amp;"'!J"&amp;INDEX(Calc!$AT$2:$AT$2001,R158),"✎ edit"))</f>
        <v/>
      </c>
      <c r="R158">
        <f>IFERROR(MATCH(SMALL(Calc!$BK$2:$BK$2001,149),Calc!$BK$2:$BK$2001,0),"")</f>
        <v/>
      </c>
    </row>
    <row r="159">
      <c r="B159" s="36">
        <f>IF(R159="","",150)</f>
        <v/>
      </c>
      <c r="C159" s="37">
        <f>IF($R159="","",IF(INDEX(Calc!$AU$2:$AU$2001,$R159)="","",INDEX(Calc!$AU$2:$AU$2001,$R159)))</f>
        <v/>
      </c>
      <c r="D159" s="36">
        <f>IF($R159="","",IF(INDEX(Calc!$AV$2:$AV$2001,$R159)="","",INDEX(Calc!$AV$2:$AV$2001,$R159)))</f>
        <v/>
      </c>
      <c r="E159" s="38">
        <f>IF($R159="","",IF(INDEX(Calc!$AW$2:$AW$2001,$R159)="","",INDEX(Calc!$AW$2:$AW$2001,$R159)))</f>
        <v/>
      </c>
      <c r="F159" s="68">
        <f>IF(OR(C159="",E159=""),"",E159-Setup!$D$7)</f>
        <v/>
      </c>
      <c r="G159" s="74">
        <f>IF($R159="","",IF(INDEX(Calc!$AX$2:$AX$2001,$R159)="","",INDEX(Calc!$AX$2:$AX$2001,$R159)))</f>
        <v/>
      </c>
      <c r="H159" s="74">
        <f>IF($R159="","",IF(INDEX(Calc!$AY$2:$AY$2001,$R159)="","",INDEX(Calc!$AY$2:$AY$2001,$R159)))</f>
        <v/>
      </c>
      <c r="I159" s="36">
        <f>IF(OR(G159="",H159=""),"",TRIM(IF(HOUR(H159-G159)&gt;0,HOUR(H159-G159)&amp;" hr ","")&amp;IF(MINUTE(H159-G159)&gt;0,MINUTE(H159-G159)&amp;" min","")))</f>
        <v/>
      </c>
      <c r="J159" s="36">
        <f>IF($R159="","",IF(INDEX(Calc!$AZ$2:$AZ$2001,$R159)="","",INDEX(Calc!$AZ$2:$AZ$2001,$R159)))</f>
        <v/>
      </c>
      <c r="K159" s="87">
        <f>IF($R159="","",IF(INDEX(Calc!$BE$2:$BE$2001,$R159)="","",INDEX(Calc!$BE$2:$BE$2001,$R159)))</f>
        <v/>
      </c>
      <c r="L159" s="36">
        <f>IF($R159="","",IF(INDEX(Calc!$BA$2:$BA$2001,$R159)="","",INDEX(Calc!$BA$2:$BA$2001,$R159)))</f>
        <v/>
      </c>
      <c r="M159" s="36">
        <f>IF($R159="","",IF(INDEX(Calc!$BB$2:$BB$2001,$R159)="","",INDEX(Calc!$BB$2:$BB$2001,$R159)))</f>
        <v/>
      </c>
      <c r="N159" s="36">
        <f>IF($R159="","",IF(INDEX(Calc!$BC$2:$BC$2001,$R159)="","",INDEX(Calc!$BC$2:$BC$2001,$R159)))</f>
        <v/>
      </c>
      <c r="O159" s="36">
        <f>IF($R159="","",IF(INDEX(Calc!$BD$2:$BD$2001,$R159)="","",INDEX(Calc!$BD$2:$BD$2001,$R159)))</f>
        <v/>
      </c>
      <c r="P159" s="88">
        <f>IF(R159="","",HYPERLINK("#'"&amp;IF(INDEX(Calc!$AS$2:$AS$2001,R159)="R","Recurring Log","Variable Tasks")&amp;"'!J"&amp;INDEX(Calc!$AT$2:$AT$2001,R159),"✎ edit"))</f>
        <v/>
      </c>
      <c r="R159">
        <f>IFERROR(MATCH(SMALL(Calc!$BK$2:$BK$2001,150),Calc!$BK$2:$BK$2001,0),"")</f>
        <v/>
      </c>
    </row>
    <row r="160">
      <c r="B160" s="73">
        <f>IF(R160="","",151)</f>
        <v/>
      </c>
      <c r="C160" s="75">
        <f>IF($R160="","",IF(INDEX(Calc!$AU$2:$AU$2001,$R160)="","",INDEX(Calc!$AU$2:$AU$2001,$R160)))</f>
        <v/>
      </c>
      <c r="D160" s="73">
        <f>IF($R160="","",IF(INDEX(Calc!$AV$2:$AV$2001,$R160)="","",INDEX(Calc!$AV$2:$AV$2001,$R160)))</f>
        <v/>
      </c>
      <c r="E160" s="76">
        <f>IF($R160="","",IF(INDEX(Calc!$AW$2:$AW$2001,$R160)="","",INDEX(Calc!$AW$2:$AW$2001,$R160)))</f>
        <v/>
      </c>
      <c r="F160" s="72">
        <f>IF(OR(C160="",E160=""),"",E160-Setup!$D$7)</f>
        <v/>
      </c>
      <c r="G160" s="77">
        <f>IF($R160="","",IF(INDEX(Calc!$AX$2:$AX$2001,$R160)="","",INDEX(Calc!$AX$2:$AX$2001,$R160)))</f>
        <v/>
      </c>
      <c r="H160" s="77">
        <f>IF($R160="","",IF(INDEX(Calc!$AY$2:$AY$2001,$R160)="","",INDEX(Calc!$AY$2:$AY$2001,$R160)))</f>
        <v/>
      </c>
      <c r="I160" s="73">
        <f>IF(OR(G160="",H160=""),"",TRIM(IF(HOUR(H160-G160)&gt;0,HOUR(H160-G160)&amp;" hr ","")&amp;IF(MINUTE(H160-G160)&gt;0,MINUTE(H160-G160)&amp;" min","")))</f>
        <v/>
      </c>
      <c r="J160" s="73">
        <f>IF($R160="","",IF(INDEX(Calc!$AZ$2:$AZ$2001,$R160)="","",INDEX(Calc!$AZ$2:$AZ$2001,$R160)))</f>
        <v/>
      </c>
      <c r="K160" s="85">
        <f>IF($R160="","",IF(INDEX(Calc!$BE$2:$BE$2001,$R160)="","",INDEX(Calc!$BE$2:$BE$2001,$R160)))</f>
        <v/>
      </c>
      <c r="L160" s="73">
        <f>IF($R160="","",IF(INDEX(Calc!$BA$2:$BA$2001,$R160)="","",INDEX(Calc!$BA$2:$BA$2001,$R160)))</f>
        <v/>
      </c>
      <c r="M160" s="73">
        <f>IF($R160="","",IF(INDEX(Calc!$BB$2:$BB$2001,$R160)="","",INDEX(Calc!$BB$2:$BB$2001,$R160)))</f>
        <v/>
      </c>
      <c r="N160" s="73">
        <f>IF($R160="","",IF(INDEX(Calc!$BC$2:$BC$2001,$R160)="","",INDEX(Calc!$BC$2:$BC$2001,$R160)))</f>
        <v/>
      </c>
      <c r="O160" s="73">
        <f>IF($R160="","",IF(INDEX(Calc!$BD$2:$BD$2001,$R160)="","",INDEX(Calc!$BD$2:$BD$2001,$R160)))</f>
        <v/>
      </c>
      <c r="P160" s="86">
        <f>IF(R160="","",HYPERLINK("#'"&amp;IF(INDEX(Calc!$AS$2:$AS$2001,R160)="R","Recurring Log","Variable Tasks")&amp;"'!J"&amp;INDEX(Calc!$AT$2:$AT$2001,R160),"✎ edit"))</f>
        <v/>
      </c>
      <c r="R160">
        <f>IFERROR(MATCH(SMALL(Calc!$BK$2:$BK$2001,151),Calc!$BK$2:$BK$2001,0),"")</f>
        <v/>
      </c>
    </row>
    <row r="161">
      <c r="B161" s="36">
        <f>IF(R161="","",152)</f>
        <v/>
      </c>
      <c r="C161" s="37">
        <f>IF($R161="","",IF(INDEX(Calc!$AU$2:$AU$2001,$R161)="","",INDEX(Calc!$AU$2:$AU$2001,$R161)))</f>
        <v/>
      </c>
      <c r="D161" s="36">
        <f>IF($R161="","",IF(INDEX(Calc!$AV$2:$AV$2001,$R161)="","",INDEX(Calc!$AV$2:$AV$2001,$R161)))</f>
        <v/>
      </c>
      <c r="E161" s="38">
        <f>IF($R161="","",IF(INDEX(Calc!$AW$2:$AW$2001,$R161)="","",INDEX(Calc!$AW$2:$AW$2001,$R161)))</f>
        <v/>
      </c>
      <c r="F161" s="68">
        <f>IF(OR(C161="",E161=""),"",E161-Setup!$D$7)</f>
        <v/>
      </c>
      <c r="G161" s="74">
        <f>IF($R161="","",IF(INDEX(Calc!$AX$2:$AX$2001,$R161)="","",INDEX(Calc!$AX$2:$AX$2001,$R161)))</f>
        <v/>
      </c>
      <c r="H161" s="74">
        <f>IF($R161="","",IF(INDEX(Calc!$AY$2:$AY$2001,$R161)="","",INDEX(Calc!$AY$2:$AY$2001,$R161)))</f>
        <v/>
      </c>
      <c r="I161" s="36">
        <f>IF(OR(G161="",H161=""),"",TRIM(IF(HOUR(H161-G161)&gt;0,HOUR(H161-G161)&amp;" hr ","")&amp;IF(MINUTE(H161-G161)&gt;0,MINUTE(H161-G161)&amp;" min","")))</f>
        <v/>
      </c>
      <c r="J161" s="36">
        <f>IF($R161="","",IF(INDEX(Calc!$AZ$2:$AZ$2001,$R161)="","",INDEX(Calc!$AZ$2:$AZ$2001,$R161)))</f>
        <v/>
      </c>
      <c r="K161" s="87">
        <f>IF($R161="","",IF(INDEX(Calc!$BE$2:$BE$2001,$R161)="","",INDEX(Calc!$BE$2:$BE$2001,$R161)))</f>
        <v/>
      </c>
      <c r="L161" s="36">
        <f>IF($R161="","",IF(INDEX(Calc!$BA$2:$BA$2001,$R161)="","",INDEX(Calc!$BA$2:$BA$2001,$R161)))</f>
        <v/>
      </c>
      <c r="M161" s="36">
        <f>IF($R161="","",IF(INDEX(Calc!$BB$2:$BB$2001,$R161)="","",INDEX(Calc!$BB$2:$BB$2001,$R161)))</f>
        <v/>
      </c>
      <c r="N161" s="36">
        <f>IF($R161="","",IF(INDEX(Calc!$BC$2:$BC$2001,$R161)="","",INDEX(Calc!$BC$2:$BC$2001,$R161)))</f>
        <v/>
      </c>
      <c r="O161" s="36">
        <f>IF($R161="","",IF(INDEX(Calc!$BD$2:$BD$2001,$R161)="","",INDEX(Calc!$BD$2:$BD$2001,$R161)))</f>
        <v/>
      </c>
      <c r="P161" s="88">
        <f>IF(R161="","",HYPERLINK("#'"&amp;IF(INDEX(Calc!$AS$2:$AS$2001,R161)="R","Recurring Log","Variable Tasks")&amp;"'!J"&amp;INDEX(Calc!$AT$2:$AT$2001,R161),"✎ edit"))</f>
        <v/>
      </c>
      <c r="R161">
        <f>IFERROR(MATCH(SMALL(Calc!$BK$2:$BK$2001,152),Calc!$BK$2:$BK$2001,0),"")</f>
        <v/>
      </c>
    </row>
    <row r="162">
      <c r="B162" s="73">
        <f>IF(R162="","",153)</f>
        <v/>
      </c>
      <c r="C162" s="75">
        <f>IF($R162="","",IF(INDEX(Calc!$AU$2:$AU$2001,$R162)="","",INDEX(Calc!$AU$2:$AU$2001,$R162)))</f>
        <v/>
      </c>
      <c r="D162" s="73">
        <f>IF($R162="","",IF(INDEX(Calc!$AV$2:$AV$2001,$R162)="","",INDEX(Calc!$AV$2:$AV$2001,$R162)))</f>
        <v/>
      </c>
      <c r="E162" s="76">
        <f>IF($R162="","",IF(INDEX(Calc!$AW$2:$AW$2001,$R162)="","",INDEX(Calc!$AW$2:$AW$2001,$R162)))</f>
        <v/>
      </c>
      <c r="F162" s="72">
        <f>IF(OR(C162="",E162=""),"",E162-Setup!$D$7)</f>
        <v/>
      </c>
      <c r="G162" s="77">
        <f>IF($R162="","",IF(INDEX(Calc!$AX$2:$AX$2001,$R162)="","",INDEX(Calc!$AX$2:$AX$2001,$R162)))</f>
        <v/>
      </c>
      <c r="H162" s="77">
        <f>IF($R162="","",IF(INDEX(Calc!$AY$2:$AY$2001,$R162)="","",INDEX(Calc!$AY$2:$AY$2001,$R162)))</f>
        <v/>
      </c>
      <c r="I162" s="73">
        <f>IF(OR(G162="",H162=""),"",TRIM(IF(HOUR(H162-G162)&gt;0,HOUR(H162-G162)&amp;" hr ","")&amp;IF(MINUTE(H162-G162)&gt;0,MINUTE(H162-G162)&amp;" min","")))</f>
        <v/>
      </c>
      <c r="J162" s="73">
        <f>IF($R162="","",IF(INDEX(Calc!$AZ$2:$AZ$2001,$R162)="","",INDEX(Calc!$AZ$2:$AZ$2001,$R162)))</f>
        <v/>
      </c>
      <c r="K162" s="85">
        <f>IF($R162="","",IF(INDEX(Calc!$BE$2:$BE$2001,$R162)="","",INDEX(Calc!$BE$2:$BE$2001,$R162)))</f>
        <v/>
      </c>
      <c r="L162" s="73">
        <f>IF($R162="","",IF(INDEX(Calc!$BA$2:$BA$2001,$R162)="","",INDEX(Calc!$BA$2:$BA$2001,$R162)))</f>
        <v/>
      </c>
      <c r="M162" s="73">
        <f>IF($R162="","",IF(INDEX(Calc!$BB$2:$BB$2001,$R162)="","",INDEX(Calc!$BB$2:$BB$2001,$R162)))</f>
        <v/>
      </c>
      <c r="N162" s="73">
        <f>IF($R162="","",IF(INDEX(Calc!$BC$2:$BC$2001,$R162)="","",INDEX(Calc!$BC$2:$BC$2001,$R162)))</f>
        <v/>
      </c>
      <c r="O162" s="73">
        <f>IF($R162="","",IF(INDEX(Calc!$BD$2:$BD$2001,$R162)="","",INDEX(Calc!$BD$2:$BD$2001,$R162)))</f>
        <v/>
      </c>
      <c r="P162" s="86">
        <f>IF(R162="","",HYPERLINK("#'"&amp;IF(INDEX(Calc!$AS$2:$AS$2001,R162)="R","Recurring Log","Variable Tasks")&amp;"'!J"&amp;INDEX(Calc!$AT$2:$AT$2001,R162),"✎ edit"))</f>
        <v/>
      </c>
      <c r="R162">
        <f>IFERROR(MATCH(SMALL(Calc!$BK$2:$BK$2001,153),Calc!$BK$2:$BK$2001,0),"")</f>
        <v/>
      </c>
    </row>
    <row r="163">
      <c r="B163" s="36">
        <f>IF(R163="","",154)</f>
        <v/>
      </c>
      <c r="C163" s="37">
        <f>IF($R163="","",IF(INDEX(Calc!$AU$2:$AU$2001,$R163)="","",INDEX(Calc!$AU$2:$AU$2001,$R163)))</f>
        <v/>
      </c>
      <c r="D163" s="36">
        <f>IF($R163="","",IF(INDEX(Calc!$AV$2:$AV$2001,$R163)="","",INDEX(Calc!$AV$2:$AV$2001,$R163)))</f>
        <v/>
      </c>
      <c r="E163" s="38">
        <f>IF($R163="","",IF(INDEX(Calc!$AW$2:$AW$2001,$R163)="","",INDEX(Calc!$AW$2:$AW$2001,$R163)))</f>
        <v/>
      </c>
      <c r="F163" s="68">
        <f>IF(OR(C163="",E163=""),"",E163-Setup!$D$7)</f>
        <v/>
      </c>
      <c r="G163" s="74">
        <f>IF($R163="","",IF(INDEX(Calc!$AX$2:$AX$2001,$R163)="","",INDEX(Calc!$AX$2:$AX$2001,$R163)))</f>
        <v/>
      </c>
      <c r="H163" s="74">
        <f>IF($R163="","",IF(INDEX(Calc!$AY$2:$AY$2001,$R163)="","",INDEX(Calc!$AY$2:$AY$2001,$R163)))</f>
        <v/>
      </c>
      <c r="I163" s="36">
        <f>IF(OR(G163="",H163=""),"",TRIM(IF(HOUR(H163-G163)&gt;0,HOUR(H163-G163)&amp;" hr ","")&amp;IF(MINUTE(H163-G163)&gt;0,MINUTE(H163-G163)&amp;" min","")))</f>
        <v/>
      </c>
      <c r="J163" s="36">
        <f>IF($R163="","",IF(INDEX(Calc!$AZ$2:$AZ$2001,$R163)="","",INDEX(Calc!$AZ$2:$AZ$2001,$R163)))</f>
        <v/>
      </c>
      <c r="K163" s="87">
        <f>IF($R163="","",IF(INDEX(Calc!$BE$2:$BE$2001,$R163)="","",INDEX(Calc!$BE$2:$BE$2001,$R163)))</f>
        <v/>
      </c>
      <c r="L163" s="36">
        <f>IF($R163="","",IF(INDEX(Calc!$BA$2:$BA$2001,$R163)="","",INDEX(Calc!$BA$2:$BA$2001,$R163)))</f>
        <v/>
      </c>
      <c r="M163" s="36">
        <f>IF($R163="","",IF(INDEX(Calc!$BB$2:$BB$2001,$R163)="","",INDEX(Calc!$BB$2:$BB$2001,$R163)))</f>
        <v/>
      </c>
      <c r="N163" s="36">
        <f>IF($R163="","",IF(INDEX(Calc!$BC$2:$BC$2001,$R163)="","",INDEX(Calc!$BC$2:$BC$2001,$R163)))</f>
        <v/>
      </c>
      <c r="O163" s="36">
        <f>IF($R163="","",IF(INDEX(Calc!$BD$2:$BD$2001,$R163)="","",INDEX(Calc!$BD$2:$BD$2001,$R163)))</f>
        <v/>
      </c>
      <c r="P163" s="88">
        <f>IF(R163="","",HYPERLINK("#'"&amp;IF(INDEX(Calc!$AS$2:$AS$2001,R163)="R","Recurring Log","Variable Tasks")&amp;"'!J"&amp;INDEX(Calc!$AT$2:$AT$2001,R163),"✎ edit"))</f>
        <v/>
      </c>
      <c r="R163">
        <f>IFERROR(MATCH(SMALL(Calc!$BK$2:$BK$2001,154),Calc!$BK$2:$BK$2001,0),"")</f>
        <v/>
      </c>
    </row>
    <row r="164">
      <c r="B164" s="73">
        <f>IF(R164="","",155)</f>
        <v/>
      </c>
      <c r="C164" s="75">
        <f>IF($R164="","",IF(INDEX(Calc!$AU$2:$AU$2001,$R164)="","",INDEX(Calc!$AU$2:$AU$2001,$R164)))</f>
        <v/>
      </c>
      <c r="D164" s="73">
        <f>IF($R164="","",IF(INDEX(Calc!$AV$2:$AV$2001,$R164)="","",INDEX(Calc!$AV$2:$AV$2001,$R164)))</f>
        <v/>
      </c>
      <c r="E164" s="76">
        <f>IF($R164="","",IF(INDEX(Calc!$AW$2:$AW$2001,$R164)="","",INDEX(Calc!$AW$2:$AW$2001,$R164)))</f>
        <v/>
      </c>
      <c r="F164" s="72">
        <f>IF(OR(C164="",E164=""),"",E164-Setup!$D$7)</f>
        <v/>
      </c>
      <c r="G164" s="77">
        <f>IF($R164="","",IF(INDEX(Calc!$AX$2:$AX$2001,$R164)="","",INDEX(Calc!$AX$2:$AX$2001,$R164)))</f>
        <v/>
      </c>
      <c r="H164" s="77">
        <f>IF($R164="","",IF(INDEX(Calc!$AY$2:$AY$2001,$R164)="","",INDEX(Calc!$AY$2:$AY$2001,$R164)))</f>
        <v/>
      </c>
      <c r="I164" s="73">
        <f>IF(OR(G164="",H164=""),"",TRIM(IF(HOUR(H164-G164)&gt;0,HOUR(H164-G164)&amp;" hr ","")&amp;IF(MINUTE(H164-G164)&gt;0,MINUTE(H164-G164)&amp;" min","")))</f>
        <v/>
      </c>
      <c r="J164" s="73">
        <f>IF($R164="","",IF(INDEX(Calc!$AZ$2:$AZ$2001,$R164)="","",INDEX(Calc!$AZ$2:$AZ$2001,$R164)))</f>
        <v/>
      </c>
      <c r="K164" s="85">
        <f>IF($R164="","",IF(INDEX(Calc!$BE$2:$BE$2001,$R164)="","",INDEX(Calc!$BE$2:$BE$2001,$R164)))</f>
        <v/>
      </c>
      <c r="L164" s="73">
        <f>IF($R164="","",IF(INDEX(Calc!$BA$2:$BA$2001,$R164)="","",INDEX(Calc!$BA$2:$BA$2001,$R164)))</f>
        <v/>
      </c>
      <c r="M164" s="73">
        <f>IF($R164="","",IF(INDEX(Calc!$BB$2:$BB$2001,$R164)="","",INDEX(Calc!$BB$2:$BB$2001,$R164)))</f>
        <v/>
      </c>
      <c r="N164" s="73">
        <f>IF($R164="","",IF(INDEX(Calc!$BC$2:$BC$2001,$R164)="","",INDEX(Calc!$BC$2:$BC$2001,$R164)))</f>
        <v/>
      </c>
      <c r="O164" s="73">
        <f>IF($R164="","",IF(INDEX(Calc!$BD$2:$BD$2001,$R164)="","",INDEX(Calc!$BD$2:$BD$2001,$R164)))</f>
        <v/>
      </c>
      <c r="P164" s="86">
        <f>IF(R164="","",HYPERLINK("#'"&amp;IF(INDEX(Calc!$AS$2:$AS$2001,R164)="R","Recurring Log","Variable Tasks")&amp;"'!J"&amp;INDEX(Calc!$AT$2:$AT$2001,R164),"✎ edit"))</f>
        <v/>
      </c>
      <c r="R164">
        <f>IFERROR(MATCH(SMALL(Calc!$BK$2:$BK$2001,155),Calc!$BK$2:$BK$2001,0),"")</f>
        <v/>
      </c>
    </row>
    <row r="165">
      <c r="B165" s="36">
        <f>IF(R165="","",156)</f>
        <v/>
      </c>
      <c r="C165" s="37">
        <f>IF($R165="","",IF(INDEX(Calc!$AU$2:$AU$2001,$R165)="","",INDEX(Calc!$AU$2:$AU$2001,$R165)))</f>
        <v/>
      </c>
      <c r="D165" s="36">
        <f>IF($R165="","",IF(INDEX(Calc!$AV$2:$AV$2001,$R165)="","",INDEX(Calc!$AV$2:$AV$2001,$R165)))</f>
        <v/>
      </c>
      <c r="E165" s="38">
        <f>IF($R165="","",IF(INDEX(Calc!$AW$2:$AW$2001,$R165)="","",INDEX(Calc!$AW$2:$AW$2001,$R165)))</f>
        <v/>
      </c>
      <c r="F165" s="68">
        <f>IF(OR(C165="",E165=""),"",E165-Setup!$D$7)</f>
        <v/>
      </c>
      <c r="G165" s="74">
        <f>IF($R165="","",IF(INDEX(Calc!$AX$2:$AX$2001,$R165)="","",INDEX(Calc!$AX$2:$AX$2001,$R165)))</f>
        <v/>
      </c>
      <c r="H165" s="74">
        <f>IF($R165="","",IF(INDEX(Calc!$AY$2:$AY$2001,$R165)="","",INDEX(Calc!$AY$2:$AY$2001,$R165)))</f>
        <v/>
      </c>
      <c r="I165" s="36">
        <f>IF(OR(G165="",H165=""),"",TRIM(IF(HOUR(H165-G165)&gt;0,HOUR(H165-G165)&amp;" hr ","")&amp;IF(MINUTE(H165-G165)&gt;0,MINUTE(H165-G165)&amp;" min","")))</f>
        <v/>
      </c>
      <c r="J165" s="36">
        <f>IF($R165="","",IF(INDEX(Calc!$AZ$2:$AZ$2001,$R165)="","",INDEX(Calc!$AZ$2:$AZ$2001,$R165)))</f>
        <v/>
      </c>
      <c r="K165" s="87">
        <f>IF($R165="","",IF(INDEX(Calc!$BE$2:$BE$2001,$R165)="","",INDEX(Calc!$BE$2:$BE$2001,$R165)))</f>
        <v/>
      </c>
      <c r="L165" s="36">
        <f>IF($R165="","",IF(INDEX(Calc!$BA$2:$BA$2001,$R165)="","",INDEX(Calc!$BA$2:$BA$2001,$R165)))</f>
        <v/>
      </c>
      <c r="M165" s="36">
        <f>IF($R165="","",IF(INDEX(Calc!$BB$2:$BB$2001,$R165)="","",INDEX(Calc!$BB$2:$BB$2001,$R165)))</f>
        <v/>
      </c>
      <c r="N165" s="36">
        <f>IF($R165="","",IF(INDEX(Calc!$BC$2:$BC$2001,$R165)="","",INDEX(Calc!$BC$2:$BC$2001,$R165)))</f>
        <v/>
      </c>
      <c r="O165" s="36">
        <f>IF($R165="","",IF(INDEX(Calc!$BD$2:$BD$2001,$R165)="","",INDEX(Calc!$BD$2:$BD$2001,$R165)))</f>
        <v/>
      </c>
      <c r="P165" s="88">
        <f>IF(R165="","",HYPERLINK("#'"&amp;IF(INDEX(Calc!$AS$2:$AS$2001,R165)="R","Recurring Log","Variable Tasks")&amp;"'!J"&amp;INDEX(Calc!$AT$2:$AT$2001,R165),"✎ edit"))</f>
        <v/>
      </c>
      <c r="R165">
        <f>IFERROR(MATCH(SMALL(Calc!$BK$2:$BK$2001,156),Calc!$BK$2:$BK$2001,0),"")</f>
        <v/>
      </c>
    </row>
    <row r="166">
      <c r="B166" s="73">
        <f>IF(R166="","",157)</f>
        <v/>
      </c>
      <c r="C166" s="75">
        <f>IF($R166="","",IF(INDEX(Calc!$AU$2:$AU$2001,$R166)="","",INDEX(Calc!$AU$2:$AU$2001,$R166)))</f>
        <v/>
      </c>
      <c r="D166" s="73">
        <f>IF($R166="","",IF(INDEX(Calc!$AV$2:$AV$2001,$R166)="","",INDEX(Calc!$AV$2:$AV$2001,$R166)))</f>
        <v/>
      </c>
      <c r="E166" s="76">
        <f>IF($R166="","",IF(INDEX(Calc!$AW$2:$AW$2001,$R166)="","",INDEX(Calc!$AW$2:$AW$2001,$R166)))</f>
        <v/>
      </c>
      <c r="F166" s="72">
        <f>IF(OR(C166="",E166=""),"",E166-Setup!$D$7)</f>
        <v/>
      </c>
      <c r="G166" s="77">
        <f>IF($R166="","",IF(INDEX(Calc!$AX$2:$AX$2001,$R166)="","",INDEX(Calc!$AX$2:$AX$2001,$R166)))</f>
        <v/>
      </c>
      <c r="H166" s="77">
        <f>IF($R166="","",IF(INDEX(Calc!$AY$2:$AY$2001,$R166)="","",INDEX(Calc!$AY$2:$AY$2001,$R166)))</f>
        <v/>
      </c>
      <c r="I166" s="73">
        <f>IF(OR(G166="",H166=""),"",TRIM(IF(HOUR(H166-G166)&gt;0,HOUR(H166-G166)&amp;" hr ","")&amp;IF(MINUTE(H166-G166)&gt;0,MINUTE(H166-G166)&amp;" min","")))</f>
        <v/>
      </c>
      <c r="J166" s="73">
        <f>IF($R166="","",IF(INDEX(Calc!$AZ$2:$AZ$2001,$R166)="","",INDEX(Calc!$AZ$2:$AZ$2001,$R166)))</f>
        <v/>
      </c>
      <c r="K166" s="85">
        <f>IF($R166="","",IF(INDEX(Calc!$BE$2:$BE$2001,$R166)="","",INDEX(Calc!$BE$2:$BE$2001,$R166)))</f>
        <v/>
      </c>
      <c r="L166" s="73">
        <f>IF($R166="","",IF(INDEX(Calc!$BA$2:$BA$2001,$R166)="","",INDEX(Calc!$BA$2:$BA$2001,$R166)))</f>
        <v/>
      </c>
      <c r="M166" s="73">
        <f>IF($R166="","",IF(INDEX(Calc!$BB$2:$BB$2001,$R166)="","",INDEX(Calc!$BB$2:$BB$2001,$R166)))</f>
        <v/>
      </c>
      <c r="N166" s="73">
        <f>IF($R166="","",IF(INDEX(Calc!$BC$2:$BC$2001,$R166)="","",INDEX(Calc!$BC$2:$BC$2001,$R166)))</f>
        <v/>
      </c>
      <c r="O166" s="73">
        <f>IF($R166="","",IF(INDEX(Calc!$BD$2:$BD$2001,$R166)="","",INDEX(Calc!$BD$2:$BD$2001,$R166)))</f>
        <v/>
      </c>
      <c r="P166" s="86">
        <f>IF(R166="","",HYPERLINK("#'"&amp;IF(INDEX(Calc!$AS$2:$AS$2001,R166)="R","Recurring Log","Variable Tasks")&amp;"'!J"&amp;INDEX(Calc!$AT$2:$AT$2001,R166),"✎ edit"))</f>
        <v/>
      </c>
      <c r="R166">
        <f>IFERROR(MATCH(SMALL(Calc!$BK$2:$BK$2001,157),Calc!$BK$2:$BK$2001,0),"")</f>
        <v/>
      </c>
    </row>
    <row r="167">
      <c r="B167" s="36">
        <f>IF(R167="","",158)</f>
        <v/>
      </c>
      <c r="C167" s="37">
        <f>IF($R167="","",IF(INDEX(Calc!$AU$2:$AU$2001,$R167)="","",INDEX(Calc!$AU$2:$AU$2001,$R167)))</f>
        <v/>
      </c>
      <c r="D167" s="36">
        <f>IF($R167="","",IF(INDEX(Calc!$AV$2:$AV$2001,$R167)="","",INDEX(Calc!$AV$2:$AV$2001,$R167)))</f>
        <v/>
      </c>
      <c r="E167" s="38">
        <f>IF($R167="","",IF(INDEX(Calc!$AW$2:$AW$2001,$R167)="","",INDEX(Calc!$AW$2:$AW$2001,$R167)))</f>
        <v/>
      </c>
      <c r="F167" s="68">
        <f>IF(OR(C167="",E167=""),"",E167-Setup!$D$7)</f>
        <v/>
      </c>
      <c r="G167" s="74">
        <f>IF($R167="","",IF(INDEX(Calc!$AX$2:$AX$2001,$R167)="","",INDEX(Calc!$AX$2:$AX$2001,$R167)))</f>
        <v/>
      </c>
      <c r="H167" s="74">
        <f>IF($R167="","",IF(INDEX(Calc!$AY$2:$AY$2001,$R167)="","",INDEX(Calc!$AY$2:$AY$2001,$R167)))</f>
        <v/>
      </c>
      <c r="I167" s="36">
        <f>IF(OR(G167="",H167=""),"",TRIM(IF(HOUR(H167-G167)&gt;0,HOUR(H167-G167)&amp;" hr ","")&amp;IF(MINUTE(H167-G167)&gt;0,MINUTE(H167-G167)&amp;" min","")))</f>
        <v/>
      </c>
      <c r="J167" s="36">
        <f>IF($R167="","",IF(INDEX(Calc!$AZ$2:$AZ$2001,$R167)="","",INDEX(Calc!$AZ$2:$AZ$2001,$R167)))</f>
        <v/>
      </c>
      <c r="K167" s="87">
        <f>IF($R167="","",IF(INDEX(Calc!$BE$2:$BE$2001,$R167)="","",INDEX(Calc!$BE$2:$BE$2001,$R167)))</f>
        <v/>
      </c>
      <c r="L167" s="36">
        <f>IF($R167="","",IF(INDEX(Calc!$BA$2:$BA$2001,$R167)="","",INDEX(Calc!$BA$2:$BA$2001,$R167)))</f>
        <v/>
      </c>
      <c r="M167" s="36">
        <f>IF($R167="","",IF(INDEX(Calc!$BB$2:$BB$2001,$R167)="","",INDEX(Calc!$BB$2:$BB$2001,$R167)))</f>
        <v/>
      </c>
      <c r="N167" s="36">
        <f>IF($R167="","",IF(INDEX(Calc!$BC$2:$BC$2001,$R167)="","",INDEX(Calc!$BC$2:$BC$2001,$R167)))</f>
        <v/>
      </c>
      <c r="O167" s="36">
        <f>IF($R167="","",IF(INDEX(Calc!$BD$2:$BD$2001,$R167)="","",INDEX(Calc!$BD$2:$BD$2001,$R167)))</f>
        <v/>
      </c>
      <c r="P167" s="88">
        <f>IF(R167="","",HYPERLINK("#'"&amp;IF(INDEX(Calc!$AS$2:$AS$2001,R167)="R","Recurring Log","Variable Tasks")&amp;"'!J"&amp;INDEX(Calc!$AT$2:$AT$2001,R167),"✎ edit"))</f>
        <v/>
      </c>
      <c r="R167">
        <f>IFERROR(MATCH(SMALL(Calc!$BK$2:$BK$2001,158),Calc!$BK$2:$BK$2001,0),"")</f>
        <v/>
      </c>
    </row>
    <row r="168">
      <c r="B168" s="73">
        <f>IF(R168="","",159)</f>
        <v/>
      </c>
      <c r="C168" s="75">
        <f>IF($R168="","",IF(INDEX(Calc!$AU$2:$AU$2001,$R168)="","",INDEX(Calc!$AU$2:$AU$2001,$R168)))</f>
        <v/>
      </c>
      <c r="D168" s="73">
        <f>IF($R168="","",IF(INDEX(Calc!$AV$2:$AV$2001,$R168)="","",INDEX(Calc!$AV$2:$AV$2001,$R168)))</f>
        <v/>
      </c>
      <c r="E168" s="76">
        <f>IF($R168="","",IF(INDEX(Calc!$AW$2:$AW$2001,$R168)="","",INDEX(Calc!$AW$2:$AW$2001,$R168)))</f>
        <v/>
      </c>
      <c r="F168" s="72">
        <f>IF(OR(C168="",E168=""),"",E168-Setup!$D$7)</f>
        <v/>
      </c>
      <c r="G168" s="77">
        <f>IF($R168="","",IF(INDEX(Calc!$AX$2:$AX$2001,$R168)="","",INDEX(Calc!$AX$2:$AX$2001,$R168)))</f>
        <v/>
      </c>
      <c r="H168" s="77">
        <f>IF($R168="","",IF(INDEX(Calc!$AY$2:$AY$2001,$R168)="","",INDEX(Calc!$AY$2:$AY$2001,$R168)))</f>
        <v/>
      </c>
      <c r="I168" s="73">
        <f>IF(OR(G168="",H168=""),"",TRIM(IF(HOUR(H168-G168)&gt;0,HOUR(H168-G168)&amp;" hr ","")&amp;IF(MINUTE(H168-G168)&gt;0,MINUTE(H168-G168)&amp;" min","")))</f>
        <v/>
      </c>
      <c r="J168" s="73">
        <f>IF($R168="","",IF(INDEX(Calc!$AZ$2:$AZ$2001,$R168)="","",INDEX(Calc!$AZ$2:$AZ$2001,$R168)))</f>
        <v/>
      </c>
      <c r="K168" s="85">
        <f>IF($R168="","",IF(INDEX(Calc!$BE$2:$BE$2001,$R168)="","",INDEX(Calc!$BE$2:$BE$2001,$R168)))</f>
        <v/>
      </c>
      <c r="L168" s="73">
        <f>IF($R168="","",IF(INDEX(Calc!$BA$2:$BA$2001,$R168)="","",INDEX(Calc!$BA$2:$BA$2001,$R168)))</f>
        <v/>
      </c>
      <c r="M168" s="73">
        <f>IF($R168="","",IF(INDEX(Calc!$BB$2:$BB$2001,$R168)="","",INDEX(Calc!$BB$2:$BB$2001,$R168)))</f>
        <v/>
      </c>
      <c r="N168" s="73">
        <f>IF($R168="","",IF(INDEX(Calc!$BC$2:$BC$2001,$R168)="","",INDEX(Calc!$BC$2:$BC$2001,$R168)))</f>
        <v/>
      </c>
      <c r="O168" s="73">
        <f>IF($R168="","",IF(INDEX(Calc!$BD$2:$BD$2001,$R168)="","",INDEX(Calc!$BD$2:$BD$2001,$R168)))</f>
        <v/>
      </c>
      <c r="P168" s="86">
        <f>IF(R168="","",HYPERLINK("#'"&amp;IF(INDEX(Calc!$AS$2:$AS$2001,R168)="R","Recurring Log","Variable Tasks")&amp;"'!J"&amp;INDEX(Calc!$AT$2:$AT$2001,R168),"✎ edit"))</f>
        <v/>
      </c>
      <c r="R168">
        <f>IFERROR(MATCH(SMALL(Calc!$BK$2:$BK$2001,159),Calc!$BK$2:$BK$2001,0),"")</f>
        <v/>
      </c>
    </row>
    <row r="169">
      <c r="B169" s="36">
        <f>IF(R169="","",160)</f>
        <v/>
      </c>
      <c r="C169" s="37">
        <f>IF($R169="","",IF(INDEX(Calc!$AU$2:$AU$2001,$R169)="","",INDEX(Calc!$AU$2:$AU$2001,$R169)))</f>
        <v/>
      </c>
      <c r="D169" s="36">
        <f>IF($R169="","",IF(INDEX(Calc!$AV$2:$AV$2001,$R169)="","",INDEX(Calc!$AV$2:$AV$2001,$R169)))</f>
        <v/>
      </c>
      <c r="E169" s="38">
        <f>IF($R169="","",IF(INDEX(Calc!$AW$2:$AW$2001,$R169)="","",INDEX(Calc!$AW$2:$AW$2001,$R169)))</f>
        <v/>
      </c>
      <c r="F169" s="68">
        <f>IF(OR(C169="",E169=""),"",E169-Setup!$D$7)</f>
        <v/>
      </c>
      <c r="G169" s="74">
        <f>IF($R169="","",IF(INDEX(Calc!$AX$2:$AX$2001,$R169)="","",INDEX(Calc!$AX$2:$AX$2001,$R169)))</f>
        <v/>
      </c>
      <c r="H169" s="74">
        <f>IF($R169="","",IF(INDEX(Calc!$AY$2:$AY$2001,$R169)="","",INDEX(Calc!$AY$2:$AY$2001,$R169)))</f>
        <v/>
      </c>
      <c r="I169" s="36">
        <f>IF(OR(G169="",H169=""),"",TRIM(IF(HOUR(H169-G169)&gt;0,HOUR(H169-G169)&amp;" hr ","")&amp;IF(MINUTE(H169-G169)&gt;0,MINUTE(H169-G169)&amp;" min","")))</f>
        <v/>
      </c>
      <c r="J169" s="36">
        <f>IF($R169="","",IF(INDEX(Calc!$AZ$2:$AZ$2001,$R169)="","",INDEX(Calc!$AZ$2:$AZ$2001,$R169)))</f>
        <v/>
      </c>
      <c r="K169" s="87">
        <f>IF($R169="","",IF(INDEX(Calc!$BE$2:$BE$2001,$R169)="","",INDEX(Calc!$BE$2:$BE$2001,$R169)))</f>
        <v/>
      </c>
      <c r="L169" s="36">
        <f>IF($R169="","",IF(INDEX(Calc!$BA$2:$BA$2001,$R169)="","",INDEX(Calc!$BA$2:$BA$2001,$R169)))</f>
        <v/>
      </c>
      <c r="M169" s="36">
        <f>IF($R169="","",IF(INDEX(Calc!$BB$2:$BB$2001,$R169)="","",INDEX(Calc!$BB$2:$BB$2001,$R169)))</f>
        <v/>
      </c>
      <c r="N169" s="36">
        <f>IF($R169="","",IF(INDEX(Calc!$BC$2:$BC$2001,$R169)="","",INDEX(Calc!$BC$2:$BC$2001,$R169)))</f>
        <v/>
      </c>
      <c r="O169" s="36">
        <f>IF($R169="","",IF(INDEX(Calc!$BD$2:$BD$2001,$R169)="","",INDEX(Calc!$BD$2:$BD$2001,$R169)))</f>
        <v/>
      </c>
      <c r="P169" s="88">
        <f>IF(R169="","",HYPERLINK("#'"&amp;IF(INDEX(Calc!$AS$2:$AS$2001,R169)="R","Recurring Log","Variable Tasks")&amp;"'!J"&amp;INDEX(Calc!$AT$2:$AT$2001,R169),"✎ edit"))</f>
        <v/>
      </c>
      <c r="R169">
        <f>IFERROR(MATCH(SMALL(Calc!$BK$2:$BK$2001,160),Calc!$BK$2:$BK$2001,0),"")</f>
        <v/>
      </c>
    </row>
    <row r="170">
      <c r="B170" s="73">
        <f>IF(R170="","",161)</f>
        <v/>
      </c>
      <c r="C170" s="75">
        <f>IF($R170="","",IF(INDEX(Calc!$AU$2:$AU$2001,$R170)="","",INDEX(Calc!$AU$2:$AU$2001,$R170)))</f>
        <v/>
      </c>
      <c r="D170" s="73">
        <f>IF($R170="","",IF(INDEX(Calc!$AV$2:$AV$2001,$R170)="","",INDEX(Calc!$AV$2:$AV$2001,$R170)))</f>
        <v/>
      </c>
      <c r="E170" s="76">
        <f>IF($R170="","",IF(INDEX(Calc!$AW$2:$AW$2001,$R170)="","",INDEX(Calc!$AW$2:$AW$2001,$R170)))</f>
        <v/>
      </c>
      <c r="F170" s="72">
        <f>IF(OR(C170="",E170=""),"",E170-Setup!$D$7)</f>
        <v/>
      </c>
      <c r="G170" s="77">
        <f>IF($R170="","",IF(INDEX(Calc!$AX$2:$AX$2001,$R170)="","",INDEX(Calc!$AX$2:$AX$2001,$R170)))</f>
        <v/>
      </c>
      <c r="H170" s="77">
        <f>IF($R170="","",IF(INDEX(Calc!$AY$2:$AY$2001,$R170)="","",INDEX(Calc!$AY$2:$AY$2001,$R170)))</f>
        <v/>
      </c>
      <c r="I170" s="73">
        <f>IF(OR(G170="",H170=""),"",TRIM(IF(HOUR(H170-G170)&gt;0,HOUR(H170-G170)&amp;" hr ","")&amp;IF(MINUTE(H170-G170)&gt;0,MINUTE(H170-G170)&amp;" min","")))</f>
        <v/>
      </c>
      <c r="J170" s="73">
        <f>IF($R170="","",IF(INDEX(Calc!$AZ$2:$AZ$2001,$R170)="","",INDEX(Calc!$AZ$2:$AZ$2001,$R170)))</f>
        <v/>
      </c>
      <c r="K170" s="85">
        <f>IF($R170="","",IF(INDEX(Calc!$BE$2:$BE$2001,$R170)="","",INDEX(Calc!$BE$2:$BE$2001,$R170)))</f>
        <v/>
      </c>
      <c r="L170" s="73">
        <f>IF($R170="","",IF(INDEX(Calc!$BA$2:$BA$2001,$R170)="","",INDEX(Calc!$BA$2:$BA$2001,$R170)))</f>
        <v/>
      </c>
      <c r="M170" s="73">
        <f>IF($R170="","",IF(INDEX(Calc!$BB$2:$BB$2001,$R170)="","",INDEX(Calc!$BB$2:$BB$2001,$R170)))</f>
        <v/>
      </c>
      <c r="N170" s="73">
        <f>IF($R170="","",IF(INDEX(Calc!$BC$2:$BC$2001,$R170)="","",INDEX(Calc!$BC$2:$BC$2001,$R170)))</f>
        <v/>
      </c>
      <c r="O170" s="73">
        <f>IF($R170="","",IF(INDEX(Calc!$BD$2:$BD$2001,$R170)="","",INDEX(Calc!$BD$2:$BD$2001,$R170)))</f>
        <v/>
      </c>
      <c r="P170" s="86">
        <f>IF(R170="","",HYPERLINK("#'"&amp;IF(INDEX(Calc!$AS$2:$AS$2001,R170)="R","Recurring Log","Variable Tasks")&amp;"'!J"&amp;INDEX(Calc!$AT$2:$AT$2001,R170),"✎ edit"))</f>
        <v/>
      </c>
      <c r="R170">
        <f>IFERROR(MATCH(SMALL(Calc!$BK$2:$BK$2001,161),Calc!$BK$2:$BK$2001,0),"")</f>
        <v/>
      </c>
    </row>
    <row r="171">
      <c r="B171" s="36">
        <f>IF(R171="","",162)</f>
        <v/>
      </c>
      <c r="C171" s="37">
        <f>IF($R171="","",IF(INDEX(Calc!$AU$2:$AU$2001,$R171)="","",INDEX(Calc!$AU$2:$AU$2001,$R171)))</f>
        <v/>
      </c>
      <c r="D171" s="36">
        <f>IF($R171="","",IF(INDEX(Calc!$AV$2:$AV$2001,$R171)="","",INDEX(Calc!$AV$2:$AV$2001,$R171)))</f>
        <v/>
      </c>
      <c r="E171" s="38">
        <f>IF($R171="","",IF(INDEX(Calc!$AW$2:$AW$2001,$R171)="","",INDEX(Calc!$AW$2:$AW$2001,$R171)))</f>
        <v/>
      </c>
      <c r="F171" s="68">
        <f>IF(OR(C171="",E171=""),"",E171-Setup!$D$7)</f>
        <v/>
      </c>
      <c r="G171" s="74">
        <f>IF($R171="","",IF(INDEX(Calc!$AX$2:$AX$2001,$R171)="","",INDEX(Calc!$AX$2:$AX$2001,$R171)))</f>
        <v/>
      </c>
      <c r="H171" s="74">
        <f>IF($R171="","",IF(INDEX(Calc!$AY$2:$AY$2001,$R171)="","",INDEX(Calc!$AY$2:$AY$2001,$R171)))</f>
        <v/>
      </c>
      <c r="I171" s="36">
        <f>IF(OR(G171="",H171=""),"",TRIM(IF(HOUR(H171-G171)&gt;0,HOUR(H171-G171)&amp;" hr ","")&amp;IF(MINUTE(H171-G171)&gt;0,MINUTE(H171-G171)&amp;" min","")))</f>
        <v/>
      </c>
      <c r="J171" s="36">
        <f>IF($R171="","",IF(INDEX(Calc!$AZ$2:$AZ$2001,$R171)="","",INDEX(Calc!$AZ$2:$AZ$2001,$R171)))</f>
        <v/>
      </c>
      <c r="K171" s="87">
        <f>IF($R171="","",IF(INDEX(Calc!$BE$2:$BE$2001,$R171)="","",INDEX(Calc!$BE$2:$BE$2001,$R171)))</f>
        <v/>
      </c>
      <c r="L171" s="36">
        <f>IF($R171="","",IF(INDEX(Calc!$BA$2:$BA$2001,$R171)="","",INDEX(Calc!$BA$2:$BA$2001,$R171)))</f>
        <v/>
      </c>
      <c r="M171" s="36">
        <f>IF($R171="","",IF(INDEX(Calc!$BB$2:$BB$2001,$R171)="","",INDEX(Calc!$BB$2:$BB$2001,$R171)))</f>
        <v/>
      </c>
      <c r="N171" s="36">
        <f>IF($R171="","",IF(INDEX(Calc!$BC$2:$BC$2001,$R171)="","",INDEX(Calc!$BC$2:$BC$2001,$R171)))</f>
        <v/>
      </c>
      <c r="O171" s="36">
        <f>IF($R171="","",IF(INDEX(Calc!$BD$2:$BD$2001,$R171)="","",INDEX(Calc!$BD$2:$BD$2001,$R171)))</f>
        <v/>
      </c>
      <c r="P171" s="88">
        <f>IF(R171="","",HYPERLINK("#'"&amp;IF(INDEX(Calc!$AS$2:$AS$2001,R171)="R","Recurring Log","Variable Tasks")&amp;"'!J"&amp;INDEX(Calc!$AT$2:$AT$2001,R171),"✎ edit"))</f>
        <v/>
      </c>
      <c r="R171">
        <f>IFERROR(MATCH(SMALL(Calc!$BK$2:$BK$2001,162),Calc!$BK$2:$BK$2001,0),"")</f>
        <v/>
      </c>
    </row>
    <row r="172">
      <c r="B172" s="73">
        <f>IF(R172="","",163)</f>
        <v/>
      </c>
      <c r="C172" s="75">
        <f>IF($R172="","",IF(INDEX(Calc!$AU$2:$AU$2001,$R172)="","",INDEX(Calc!$AU$2:$AU$2001,$R172)))</f>
        <v/>
      </c>
      <c r="D172" s="73">
        <f>IF($R172="","",IF(INDEX(Calc!$AV$2:$AV$2001,$R172)="","",INDEX(Calc!$AV$2:$AV$2001,$R172)))</f>
        <v/>
      </c>
      <c r="E172" s="76">
        <f>IF($R172="","",IF(INDEX(Calc!$AW$2:$AW$2001,$R172)="","",INDEX(Calc!$AW$2:$AW$2001,$R172)))</f>
        <v/>
      </c>
      <c r="F172" s="72">
        <f>IF(OR(C172="",E172=""),"",E172-Setup!$D$7)</f>
        <v/>
      </c>
      <c r="G172" s="77">
        <f>IF($R172="","",IF(INDEX(Calc!$AX$2:$AX$2001,$R172)="","",INDEX(Calc!$AX$2:$AX$2001,$R172)))</f>
        <v/>
      </c>
      <c r="H172" s="77">
        <f>IF($R172="","",IF(INDEX(Calc!$AY$2:$AY$2001,$R172)="","",INDEX(Calc!$AY$2:$AY$2001,$R172)))</f>
        <v/>
      </c>
      <c r="I172" s="73">
        <f>IF(OR(G172="",H172=""),"",TRIM(IF(HOUR(H172-G172)&gt;0,HOUR(H172-G172)&amp;" hr ","")&amp;IF(MINUTE(H172-G172)&gt;0,MINUTE(H172-G172)&amp;" min","")))</f>
        <v/>
      </c>
      <c r="J172" s="73">
        <f>IF($R172="","",IF(INDEX(Calc!$AZ$2:$AZ$2001,$R172)="","",INDEX(Calc!$AZ$2:$AZ$2001,$R172)))</f>
        <v/>
      </c>
      <c r="K172" s="85">
        <f>IF($R172="","",IF(INDEX(Calc!$BE$2:$BE$2001,$R172)="","",INDEX(Calc!$BE$2:$BE$2001,$R172)))</f>
        <v/>
      </c>
      <c r="L172" s="73">
        <f>IF($R172="","",IF(INDEX(Calc!$BA$2:$BA$2001,$R172)="","",INDEX(Calc!$BA$2:$BA$2001,$R172)))</f>
        <v/>
      </c>
      <c r="M172" s="73">
        <f>IF($R172="","",IF(INDEX(Calc!$BB$2:$BB$2001,$R172)="","",INDEX(Calc!$BB$2:$BB$2001,$R172)))</f>
        <v/>
      </c>
      <c r="N172" s="73">
        <f>IF($R172="","",IF(INDEX(Calc!$BC$2:$BC$2001,$R172)="","",INDEX(Calc!$BC$2:$BC$2001,$R172)))</f>
        <v/>
      </c>
      <c r="O172" s="73">
        <f>IF($R172="","",IF(INDEX(Calc!$BD$2:$BD$2001,$R172)="","",INDEX(Calc!$BD$2:$BD$2001,$R172)))</f>
        <v/>
      </c>
      <c r="P172" s="86">
        <f>IF(R172="","",HYPERLINK("#'"&amp;IF(INDEX(Calc!$AS$2:$AS$2001,R172)="R","Recurring Log","Variable Tasks")&amp;"'!J"&amp;INDEX(Calc!$AT$2:$AT$2001,R172),"✎ edit"))</f>
        <v/>
      </c>
      <c r="R172">
        <f>IFERROR(MATCH(SMALL(Calc!$BK$2:$BK$2001,163),Calc!$BK$2:$BK$2001,0),"")</f>
        <v/>
      </c>
    </row>
    <row r="173">
      <c r="B173" s="36">
        <f>IF(R173="","",164)</f>
        <v/>
      </c>
      <c r="C173" s="37">
        <f>IF($R173="","",IF(INDEX(Calc!$AU$2:$AU$2001,$R173)="","",INDEX(Calc!$AU$2:$AU$2001,$R173)))</f>
        <v/>
      </c>
      <c r="D173" s="36">
        <f>IF($R173="","",IF(INDEX(Calc!$AV$2:$AV$2001,$R173)="","",INDEX(Calc!$AV$2:$AV$2001,$R173)))</f>
        <v/>
      </c>
      <c r="E173" s="38">
        <f>IF($R173="","",IF(INDEX(Calc!$AW$2:$AW$2001,$R173)="","",INDEX(Calc!$AW$2:$AW$2001,$R173)))</f>
        <v/>
      </c>
      <c r="F173" s="68">
        <f>IF(OR(C173="",E173=""),"",E173-Setup!$D$7)</f>
        <v/>
      </c>
      <c r="G173" s="74">
        <f>IF($R173="","",IF(INDEX(Calc!$AX$2:$AX$2001,$R173)="","",INDEX(Calc!$AX$2:$AX$2001,$R173)))</f>
        <v/>
      </c>
      <c r="H173" s="74">
        <f>IF($R173="","",IF(INDEX(Calc!$AY$2:$AY$2001,$R173)="","",INDEX(Calc!$AY$2:$AY$2001,$R173)))</f>
        <v/>
      </c>
      <c r="I173" s="36">
        <f>IF(OR(G173="",H173=""),"",TRIM(IF(HOUR(H173-G173)&gt;0,HOUR(H173-G173)&amp;" hr ","")&amp;IF(MINUTE(H173-G173)&gt;0,MINUTE(H173-G173)&amp;" min","")))</f>
        <v/>
      </c>
      <c r="J173" s="36">
        <f>IF($R173="","",IF(INDEX(Calc!$AZ$2:$AZ$2001,$R173)="","",INDEX(Calc!$AZ$2:$AZ$2001,$R173)))</f>
        <v/>
      </c>
      <c r="K173" s="87">
        <f>IF($R173="","",IF(INDEX(Calc!$BE$2:$BE$2001,$R173)="","",INDEX(Calc!$BE$2:$BE$2001,$R173)))</f>
        <v/>
      </c>
      <c r="L173" s="36">
        <f>IF($R173="","",IF(INDEX(Calc!$BA$2:$BA$2001,$R173)="","",INDEX(Calc!$BA$2:$BA$2001,$R173)))</f>
        <v/>
      </c>
      <c r="M173" s="36">
        <f>IF($R173="","",IF(INDEX(Calc!$BB$2:$BB$2001,$R173)="","",INDEX(Calc!$BB$2:$BB$2001,$R173)))</f>
        <v/>
      </c>
      <c r="N173" s="36">
        <f>IF($R173="","",IF(INDEX(Calc!$BC$2:$BC$2001,$R173)="","",INDEX(Calc!$BC$2:$BC$2001,$R173)))</f>
        <v/>
      </c>
      <c r="O173" s="36">
        <f>IF($R173="","",IF(INDEX(Calc!$BD$2:$BD$2001,$R173)="","",INDEX(Calc!$BD$2:$BD$2001,$R173)))</f>
        <v/>
      </c>
      <c r="P173" s="88">
        <f>IF(R173="","",HYPERLINK("#'"&amp;IF(INDEX(Calc!$AS$2:$AS$2001,R173)="R","Recurring Log","Variable Tasks")&amp;"'!J"&amp;INDEX(Calc!$AT$2:$AT$2001,R173),"✎ edit"))</f>
        <v/>
      </c>
      <c r="R173">
        <f>IFERROR(MATCH(SMALL(Calc!$BK$2:$BK$2001,164),Calc!$BK$2:$BK$2001,0),"")</f>
        <v/>
      </c>
    </row>
    <row r="174">
      <c r="B174" s="73">
        <f>IF(R174="","",165)</f>
        <v/>
      </c>
      <c r="C174" s="75">
        <f>IF($R174="","",IF(INDEX(Calc!$AU$2:$AU$2001,$R174)="","",INDEX(Calc!$AU$2:$AU$2001,$R174)))</f>
        <v/>
      </c>
      <c r="D174" s="73">
        <f>IF($R174="","",IF(INDEX(Calc!$AV$2:$AV$2001,$R174)="","",INDEX(Calc!$AV$2:$AV$2001,$R174)))</f>
        <v/>
      </c>
      <c r="E174" s="76">
        <f>IF($R174="","",IF(INDEX(Calc!$AW$2:$AW$2001,$R174)="","",INDEX(Calc!$AW$2:$AW$2001,$R174)))</f>
        <v/>
      </c>
      <c r="F174" s="72">
        <f>IF(OR(C174="",E174=""),"",E174-Setup!$D$7)</f>
        <v/>
      </c>
      <c r="G174" s="77">
        <f>IF($R174="","",IF(INDEX(Calc!$AX$2:$AX$2001,$R174)="","",INDEX(Calc!$AX$2:$AX$2001,$R174)))</f>
        <v/>
      </c>
      <c r="H174" s="77">
        <f>IF($R174="","",IF(INDEX(Calc!$AY$2:$AY$2001,$R174)="","",INDEX(Calc!$AY$2:$AY$2001,$R174)))</f>
        <v/>
      </c>
      <c r="I174" s="73">
        <f>IF(OR(G174="",H174=""),"",TRIM(IF(HOUR(H174-G174)&gt;0,HOUR(H174-G174)&amp;" hr ","")&amp;IF(MINUTE(H174-G174)&gt;0,MINUTE(H174-G174)&amp;" min","")))</f>
        <v/>
      </c>
      <c r="J174" s="73">
        <f>IF($R174="","",IF(INDEX(Calc!$AZ$2:$AZ$2001,$R174)="","",INDEX(Calc!$AZ$2:$AZ$2001,$R174)))</f>
        <v/>
      </c>
      <c r="K174" s="85">
        <f>IF($R174="","",IF(INDEX(Calc!$BE$2:$BE$2001,$R174)="","",INDEX(Calc!$BE$2:$BE$2001,$R174)))</f>
        <v/>
      </c>
      <c r="L174" s="73">
        <f>IF($R174="","",IF(INDEX(Calc!$BA$2:$BA$2001,$R174)="","",INDEX(Calc!$BA$2:$BA$2001,$R174)))</f>
        <v/>
      </c>
      <c r="M174" s="73">
        <f>IF($R174="","",IF(INDEX(Calc!$BB$2:$BB$2001,$R174)="","",INDEX(Calc!$BB$2:$BB$2001,$R174)))</f>
        <v/>
      </c>
      <c r="N174" s="73">
        <f>IF($R174="","",IF(INDEX(Calc!$BC$2:$BC$2001,$R174)="","",INDEX(Calc!$BC$2:$BC$2001,$R174)))</f>
        <v/>
      </c>
      <c r="O174" s="73">
        <f>IF($R174="","",IF(INDEX(Calc!$BD$2:$BD$2001,$R174)="","",INDEX(Calc!$BD$2:$BD$2001,$R174)))</f>
        <v/>
      </c>
      <c r="P174" s="86">
        <f>IF(R174="","",HYPERLINK("#'"&amp;IF(INDEX(Calc!$AS$2:$AS$2001,R174)="R","Recurring Log","Variable Tasks")&amp;"'!J"&amp;INDEX(Calc!$AT$2:$AT$2001,R174),"✎ edit"))</f>
        <v/>
      </c>
      <c r="R174">
        <f>IFERROR(MATCH(SMALL(Calc!$BK$2:$BK$2001,165),Calc!$BK$2:$BK$2001,0),"")</f>
        <v/>
      </c>
    </row>
    <row r="175">
      <c r="B175" s="36">
        <f>IF(R175="","",166)</f>
        <v/>
      </c>
      <c r="C175" s="37">
        <f>IF($R175="","",IF(INDEX(Calc!$AU$2:$AU$2001,$R175)="","",INDEX(Calc!$AU$2:$AU$2001,$R175)))</f>
        <v/>
      </c>
      <c r="D175" s="36">
        <f>IF($R175="","",IF(INDEX(Calc!$AV$2:$AV$2001,$R175)="","",INDEX(Calc!$AV$2:$AV$2001,$R175)))</f>
        <v/>
      </c>
      <c r="E175" s="38">
        <f>IF($R175="","",IF(INDEX(Calc!$AW$2:$AW$2001,$R175)="","",INDEX(Calc!$AW$2:$AW$2001,$R175)))</f>
        <v/>
      </c>
      <c r="F175" s="68">
        <f>IF(OR(C175="",E175=""),"",E175-Setup!$D$7)</f>
        <v/>
      </c>
      <c r="G175" s="74">
        <f>IF($R175="","",IF(INDEX(Calc!$AX$2:$AX$2001,$R175)="","",INDEX(Calc!$AX$2:$AX$2001,$R175)))</f>
        <v/>
      </c>
      <c r="H175" s="74">
        <f>IF($R175="","",IF(INDEX(Calc!$AY$2:$AY$2001,$R175)="","",INDEX(Calc!$AY$2:$AY$2001,$R175)))</f>
        <v/>
      </c>
      <c r="I175" s="36">
        <f>IF(OR(G175="",H175=""),"",TRIM(IF(HOUR(H175-G175)&gt;0,HOUR(H175-G175)&amp;" hr ","")&amp;IF(MINUTE(H175-G175)&gt;0,MINUTE(H175-G175)&amp;" min","")))</f>
        <v/>
      </c>
      <c r="J175" s="36">
        <f>IF($R175="","",IF(INDEX(Calc!$AZ$2:$AZ$2001,$R175)="","",INDEX(Calc!$AZ$2:$AZ$2001,$R175)))</f>
        <v/>
      </c>
      <c r="K175" s="87">
        <f>IF($R175="","",IF(INDEX(Calc!$BE$2:$BE$2001,$R175)="","",INDEX(Calc!$BE$2:$BE$2001,$R175)))</f>
        <v/>
      </c>
      <c r="L175" s="36">
        <f>IF($R175="","",IF(INDEX(Calc!$BA$2:$BA$2001,$R175)="","",INDEX(Calc!$BA$2:$BA$2001,$R175)))</f>
        <v/>
      </c>
      <c r="M175" s="36">
        <f>IF($R175="","",IF(INDEX(Calc!$BB$2:$BB$2001,$R175)="","",INDEX(Calc!$BB$2:$BB$2001,$R175)))</f>
        <v/>
      </c>
      <c r="N175" s="36">
        <f>IF($R175="","",IF(INDEX(Calc!$BC$2:$BC$2001,$R175)="","",INDEX(Calc!$BC$2:$BC$2001,$R175)))</f>
        <v/>
      </c>
      <c r="O175" s="36">
        <f>IF($R175="","",IF(INDEX(Calc!$BD$2:$BD$2001,$R175)="","",INDEX(Calc!$BD$2:$BD$2001,$R175)))</f>
        <v/>
      </c>
      <c r="P175" s="88">
        <f>IF(R175="","",HYPERLINK("#'"&amp;IF(INDEX(Calc!$AS$2:$AS$2001,R175)="R","Recurring Log","Variable Tasks")&amp;"'!J"&amp;INDEX(Calc!$AT$2:$AT$2001,R175),"✎ edit"))</f>
        <v/>
      </c>
      <c r="R175">
        <f>IFERROR(MATCH(SMALL(Calc!$BK$2:$BK$2001,166),Calc!$BK$2:$BK$2001,0),"")</f>
        <v/>
      </c>
    </row>
    <row r="176">
      <c r="B176" s="73">
        <f>IF(R176="","",167)</f>
        <v/>
      </c>
      <c r="C176" s="75">
        <f>IF($R176="","",IF(INDEX(Calc!$AU$2:$AU$2001,$R176)="","",INDEX(Calc!$AU$2:$AU$2001,$R176)))</f>
        <v/>
      </c>
      <c r="D176" s="73">
        <f>IF($R176="","",IF(INDEX(Calc!$AV$2:$AV$2001,$R176)="","",INDEX(Calc!$AV$2:$AV$2001,$R176)))</f>
        <v/>
      </c>
      <c r="E176" s="76">
        <f>IF($R176="","",IF(INDEX(Calc!$AW$2:$AW$2001,$R176)="","",INDEX(Calc!$AW$2:$AW$2001,$R176)))</f>
        <v/>
      </c>
      <c r="F176" s="72">
        <f>IF(OR(C176="",E176=""),"",E176-Setup!$D$7)</f>
        <v/>
      </c>
      <c r="G176" s="77">
        <f>IF($R176="","",IF(INDEX(Calc!$AX$2:$AX$2001,$R176)="","",INDEX(Calc!$AX$2:$AX$2001,$R176)))</f>
        <v/>
      </c>
      <c r="H176" s="77">
        <f>IF($R176="","",IF(INDEX(Calc!$AY$2:$AY$2001,$R176)="","",INDEX(Calc!$AY$2:$AY$2001,$R176)))</f>
        <v/>
      </c>
      <c r="I176" s="73">
        <f>IF(OR(G176="",H176=""),"",TRIM(IF(HOUR(H176-G176)&gt;0,HOUR(H176-G176)&amp;" hr ","")&amp;IF(MINUTE(H176-G176)&gt;0,MINUTE(H176-G176)&amp;" min","")))</f>
        <v/>
      </c>
      <c r="J176" s="73">
        <f>IF($R176="","",IF(INDEX(Calc!$AZ$2:$AZ$2001,$R176)="","",INDEX(Calc!$AZ$2:$AZ$2001,$R176)))</f>
        <v/>
      </c>
      <c r="K176" s="85">
        <f>IF($R176="","",IF(INDEX(Calc!$BE$2:$BE$2001,$R176)="","",INDEX(Calc!$BE$2:$BE$2001,$R176)))</f>
        <v/>
      </c>
      <c r="L176" s="73">
        <f>IF($R176="","",IF(INDEX(Calc!$BA$2:$BA$2001,$R176)="","",INDEX(Calc!$BA$2:$BA$2001,$R176)))</f>
        <v/>
      </c>
      <c r="M176" s="73">
        <f>IF($R176="","",IF(INDEX(Calc!$BB$2:$BB$2001,$R176)="","",INDEX(Calc!$BB$2:$BB$2001,$R176)))</f>
        <v/>
      </c>
      <c r="N176" s="73">
        <f>IF($R176="","",IF(INDEX(Calc!$BC$2:$BC$2001,$R176)="","",INDEX(Calc!$BC$2:$BC$2001,$R176)))</f>
        <v/>
      </c>
      <c r="O176" s="73">
        <f>IF($R176="","",IF(INDEX(Calc!$BD$2:$BD$2001,$R176)="","",INDEX(Calc!$BD$2:$BD$2001,$R176)))</f>
        <v/>
      </c>
      <c r="P176" s="86">
        <f>IF(R176="","",HYPERLINK("#'"&amp;IF(INDEX(Calc!$AS$2:$AS$2001,R176)="R","Recurring Log","Variable Tasks")&amp;"'!J"&amp;INDEX(Calc!$AT$2:$AT$2001,R176),"✎ edit"))</f>
        <v/>
      </c>
      <c r="R176">
        <f>IFERROR(MATCH(SMALL(Calc!$BK$2:$BK$2001,167),Calc!$BK$2:$BK$2001,0),"")</f>
        <v/>
      </c>
    </row>
    <row r="177">
      <c r="B177" s="36">
        <f>IF(R177="","",168)</f>
        <v/>
      </c>
      <c r="C177" s="37">
        <f>IF($R177="","",IF(INDEX(Calc!$AU$2:$AU$2001,$R177)="","",INDEX(Calc!$AU$2:$AU$2001,$R177)))</f>
        <v/>
      </c>
      <c r="D177" s="36">
        <f>IF($R177="","",IF(INDEX(Calc!$AV$2:$AV$2001,$R177)="","",INDEX(Calc!$AV$2:$AV$2001,$R177)))</f>
        <v/>
      </c>
      <c r="E177" s="38">
        <f>IF($R177="","",IF(INDEX(Calc!$AW$2:$AW$2001,$R177)="","",INDEX(Calc!$AW$2:$AW$2001,$R177)))</f>
        <v/>
      </c>
      <c r="F177" s="68">
        <f>IF(OR(C177="",E177=""),"",E177-Setup!$D$7)</f>
        <v/>
      </c>
      <c r="G177" s="74">
        <f>IF($R177="","",IF(INDEX(Calc!$AX$2:$AX$2001,$R177)="","",INDEX(Calc!$AX$2:$AX$2001,$R177)))</f>
        <v/>
      </c>
      <c r="H177" s="74">
        <f>IF($R177="","",IF(INDEX(Calc!$AY$2:$AY$2001,$R177)="","",INDEX(Calc!$AY$2:$AY$2001,$R177)))</f>
        <v/>
      </c>
      <c r="I177" s="36">
        <f>IF(OR(G177="",H177=""),"",TRIM(IF(HOUR(H177-G177)&gt;0,HOUR(H177-G177)&amp;" hr ","")&amp;IF(MINUTE(H177-G177)&gt;0,MINUTE(H177-G177)&amp;" min","")))</f>
        <v/>
      </c>
      <c r="J177" s="36">
        <f>IF($R177="","",IF(INDEX(Calc!$AZ$2:$AZ$2001,$R177)="","",INDEX(Calc!$AZ$2:$AZ$2001,$R177)))</f>
        <v/>
      </c>
      <c r="K177" s="87">
        <f>IF($R177="","",IF(INDEX(Calc!$BE$2:$BE$2001,$R177)="","",INDEX(Calc!$BE$2:$BE$2001,$R177)))</f>
        <v/>
      </c>
      <c r="L177" s="36">
        <f>IF($R177="","",IF(INDEX(Calc!$BA$2:$BA$2001,$R177)="","",INDEX(Calc!$BA$2:$BA$2001,$R177)))</f>
        <v/>
      </c>
      <c r="M177" s="36">
        <f>IF($R177="","",IF(INDEX(Calc!$BB$2:$BB$2001,$R177)="","",INDEX(Calc!$BB$2:$BB$2001,$R177)))</f>
        <v/>
      </c>
      <c r="N177" s="36">
        <f>IF($R177="","",IF(INDEX(Calc!$BC$2:$BC$2001,$R177)="","",INDEX(Calc!$BC$2:$BC$2001,$R177)))</f>
        <v/>
      </c>
      <c r="O177" s="36">
        <f>IF($R177="","",IF(INDEX(Calc!$BD$2:$BD$2001,$R177)="","",INDEX(Calc!$BD$2:$BD$2001,$R177)))</f>
        <v/>
      </c>
      <c r="P177" s="88">
        <f>IF(R177="","",HYPERLINK("#'"&amp;IF(INDEX(Calc!$AS$2:$AS$2001,R177)="R","Recurring Log","Variable Tasks")&amp;"'!J"&amp;INDEX(Calc!$AT$2:$AT$2001,R177),"✎ edit"))</f>
        <v/>
      </c>
      <c r="R177">
        <f>IFERROR(MATCH(SMALL(Calc!$BK$2:$BK$2001,168),Calc!$BK$2:$BK$2001,0),"")</f>
        <v/>
      </c>
    </row>
    <row r="178">
      <c r="B178" s="73">
        <f>IF(R178="","",169)</f>
        <v/>
      </c>
      <c r="C178" s="75">
        <f>IF($R178="","",IF(INDEX(Calc!$AU$2:$AU$2001,$R178)="","",INDEX(Calc!$AU$2:$AU$2001,$R178)))</f>
        <v/>
      </c>
      <c r="D178" s="73">
        <f>IF($R178="","",IF(INDEX(Calc!$AV$2:$AV$2001,$R178)="","",INDEX(Calc!$AV$2:$AV$2001,$R178)))</f>
        <v/>
      </c>
      <c r="E178" s="76">
        <f>IF($R178="","",IF(INDEX(Calc!$AW$2:$AW$2001,$R178)="","",INDEX(Calc!$AW$2:$AW$2001,$R178)))</f>
        <v/>
      </c>
      <c r="F178" s="72">
        <f>IF(OR(C178="",E178=""),"",E178-Setup!$D$7)</f>
        <v/>
      </c>
      <c r="G178" s="77">
        <f>IF($R178="","",IF(INDEX(Calc!$AX$2:$AX$2001,$R178)="","",INDEX(Calc!$AX$2:$AX$2001,$R178)))</f>
        <v/>
      </c>
      <c r="H178" s="77">
        <f>IF($R178="","",IF(INDEX(Calc!$AY$2:$AY$2001,$R178)="","",INDEX(Calc!$AY$2:$AY$2001,$R178)))</f>
        <v/>
      </c>
      <c r="I178" s="73">
        <f>IF(OR(G178="",H178=""),"",TRIM(IF(HOUR(H178-G178)&gt;0,HOUR(H178-G178)&amp;" hr ","")&amp;IF(MINUTE(H178-G178)&gt;0,MINUTE(H178-G178)&amp;" min","")))</f>
        <v/>
      </c>
      <c r="J178" s="73">
        <f>IF($R178="","",IF(INDEX(Calc!$AZ$2:$AZ$2001,$R178)="","",INDEX(Calc!$AZ$2:$AZ$2001,$R178)))</f>
        <v/>
      </c>
      <c r="K178" s="85">
        <f>IF($R178="","",IF(INDEX(Calc!$BE$2:$BE$2001,$R178)="","",INDEX(Calc!$BE$2:$BE$2001,$R178)))</f>
        <v/>
      </c>
      <c r="L178" s="73">
        <f>IF($R178="","",IF(INDEX(Calc!$BA$2:$BA$2001,$R178)="","",INDEX(Calc!$BA$2:$BA$2001,$R178)))</f>
        <v/>
      </c>
      <c r="M178" s="73">
        <f>IF($R178="","",IF(INDEX(Calc!$BB$2:$BB$2001,$R178)="","",INDEX(Calc!$BB$2:$BB$2001,$R178)))</f>
        <v/>
      </c>
      <c r="N178" s="73">
        <f>IF($R178="","",IF(INDEX(Calc!$BC$2:$BC$2001,$R178)="","",INDEX(Calc!$BC$2:$BC$2001,$R178)))</f>
        <v/>
      </c>
      <c r="O178" s="73">
        <f>IF($R178="","",IF(INDEX(Calc!$BD$2:$BD$2001,$R178)="","",INDEX(Calc!$BD$2:$BD$2001,$R178)))</f>
        <v/>
      </c>
      <c r="P178" s="86">
        <f>IF(R178="","",HYPERLINK("#'"&amp;IF(INDEX(Calc!$AS$2:$AS$2001,R178)="R","Recurring Log","Variable Tasks")&amp;"'!J"&amp;INDEX(Calc!$AT$2:$AT$2001,R178),"✎ edit"))</f>
        <v/>
      </c>
      <c r="R178">
        <f>IFERROR(MATCH(SMALL(Calc!$BK$2:$BK$2001,169),Calc!$BK$2:$BK$2001,0),"")</f>
        <v/>
      </c>
    </row>
    <row r="179">
      <c r="B179" s="36">
        <f>IF(R179="","",170)</f>
        <v/>
      </c>
      <c r="C179" s="37">
        <f>IF($R179="","",IF(INDEX(Calc!$AU$2:$AU$2001,$R179)="","",INDEX(Calc!$AU$2:$AU$2001,$R179)))</f>
        <v/>
      </c>
      <c r="D179" s="36">
        <f>IF($R179="","",IF(INDEX(Calc!$AV$2:$AV$2001,$R179)="","",INDEX(Calc!$AV$2:$AV$2001,$R179)))</f>
        <v/>
      </c>
      <c r="E179" s="38">
        <f>IF($R179="","",IF(INDEX(Calc!$AW$2:$AW$2001,$R179)="","",INDEX(Calc!$AW$2:$AW$2001,$R179)))</f>
        <v/>
      </c>
      <c r="F179" s="68">
        <f>IF(OR(C179="",E179=""),"",E179-Setup!$D$7)</f>
        <v/>
      </c>
      <c r="G179" s="74">
        <f>IF($R179="","",IF(INDEX(Calc!$AX$2:$AX$2001,$R179)="","",INDEX(Calc!$AX$2:$AX$2001,$R179)))</f>
        <v/>
      </c>
      <c r="H179" s="74">
        <f>IF($R179="","",IF(INDEX(Calc!$AY$2:$AY$2001,$R179)="","",INDEX(Calc!$AY$2:$AY$2001,$R179)))</f>
        <v/>
      </c>
      <c r="I179" s="36">
        <f>IF(OR(G179="",H179=""),"",TRIM(IF(HOUR(H179-G179)&gt;0,HOUR(H179-G179)&amp;" hr ","")&amp;IF(MINUTE(H179-G179)&gt;0,MINUTE(H179-G179)&amp;" min","")))</f>
        <v/>
      </c>
      <c r="J179" s="36">
        <f>IF($R179="","",IF(INDEX(Calc!$AZ$2:$AZ$2001,$R179)="","",INDEX(Calc!$AZ$2:$AZ$2001,$R179)))</f>
        <v/>
      </c>
      <c r="K179" s="87">
        <f>IF($R179="","",IF(INDEX(Calc!$BE$2:$BE$2001,$R179)="","",INDEX(Calc!$BE$2:$BE$2001,$R179)))</f>
        <v/>
      </c>
      <c r="L179" s="36">
        <f>IF($R179="","",IF(INDEX(Calc!$BA$2:$BA$2001,$R179)="","",INDEX(Calc!$BA$2:$BA$2001,$R179)))</f>
        <v/>
      </c>
      <c r="M179" s="36">
        <f>IF($R179="","",IF(INDEX(Calc!$BB$2:$BB$2001,$R179)="","",INDEX(Calc!$BB$2:$BB$2001,$R179)))</f>
        <v/>
      </c>
      <c r="N179" s="36">
        <f>IF($R179="","",IF(INDEX(Calc!$BC$2:$BC$2001,$R179)="","",INDEX(Calc!$BC$2:$BC$2001,$R179)))</f>
        <v/>
      </c>
      <c r="O179" s="36">
        <f>IF($R179="","",IF(INDEX(Calc!$BD$2:$BD$2001,$R179)="","",INDEX(Calc!$BD$2:$BD$2001,$R179)))</f>
        <v/>
      </c>
      <c r="P179" s="88">
        <f>IF(R179="","",HYPERLINK("#'"&amp;IF(INDEX(Calc!$AS$2:$AS$2001,R179)="R","Recurring Log","Variable Tasks")&amp;"'!J"&amp;INDEX(Calc!$AT$2:$AT$2001,R179),"✎ edit"))</f>
        <v/>
      </c>
      <c r="R179">
        <f>IFERROR(MATCH(SMALL(Calc!$BK$2:$BK$2001,170),Calc!$BK$2:$BK$2001,0),"")</f>
        <v/>
      </c>
    </row>
    <row r="180">
      <c r="B180" s="73">
        <f>IF(R180="","",171)</f>
        <v/>
      </c>
      <c r="C180" s="75">
        <f>IF($R180="","",IF(INDEX(Calc!$AU$2:$AU$2001,$R180)="","",INDEX(Calc!$AU$2:$AU$2001,$R180)))</f>
        <v/>
      </c>
      <c r="D180" s="73">
        <f>IF($R180="","",IF(INDEX(Calc!$AV$2:$AV$2001,$R180)="","",INDEX(Calc!$AV$2:$AV$2001,$R180)))</f>
        <v/>
      </c>
      <c r="E180" s="76">
        <f>IF($R180="","",IF(INDEX(Calc!$AW$2:$AW$2001,$R180)="","",INDEX(Calc!$AW$2:$AW$2001,$R180)))</f>
        <v/>
      </c>
      <c r="F180" s="72">
        <f>IF(OR(C180="",E180=""),"",E180-Setup!$D$7)</f>
        <v/>
      </c>
      <c r="G180" s="77">
        <f>IF($R180="","",IF(INDEX(Calc!$AX$2:$AX$2001,$R180)="","",INDEX(Calc!$AX$2:$AX$2001,$R180)))</f>
        <v/>
      </c>
      <c r="H180" s="77">
        <f>IF($R180="","",IF(INDEX(Calc!$AY$2:$AY$2001,$R180)="","",INDEX(Calc!$AY$2:$AY$2001,$R180)))</f>
        <v/>
      </c>
      <c r="I180" s="73">
        <f>IF(OR(G180="",H180=""),"",TRIM(IF(HOUR(H180-G180)&gt;0,HOUR(H180-G180)&amp;" hr ","")&amp;IF(MINUTE(H180-G180)&gt;0,MINUTE(H180-G180)&amp;" min","")))</f>
        <v/>
      </c>
      <c r="J180" s="73">
        <f>IF($R180="","",IF(INDEX(Calc!$AZ$2:$AZ$2001,$R180)="","",INDEX(Calc!$AZ$2:$AZ$2001,$R180)))</f>
        <v/>
      </c>
      <c r="K180" s="85">
        <f>IF($R180="","",IF(INDEX(Calc!$BE$2:$BE$2001,$R180)="","",INDEX(Calc!$BE$2:$BE$2001,$R180)))</f>
        <v/>
      </c>
      <c r="L180" s="73">
        <f>IF($R180="","",IF(INDEX(Calc!$BA$2:$BA$2001,$R180)="","",INDEX(Calc!$BA$2:$BA$2001,$R180)))</f>
        <v/>
      </c>
      <c r="M180" s="73">
        <f>IF($R180="","",IF(INDEX(Calc!$BB$2:$BB$2001,$R180)="","",INDEX(Calc!$BB$2:$BB$2001,$R180)))</f>
        <v/>
      </c>
      <c r="N180" s="73">
        <f>IF($R180="","",IF(INDEX(Calc!$BC$2:$BC$2001,$R180)="","",INDEX(Calc!$BC$2:$BC$2001,$R180)))</f>
        <v/>
      </c>
      <c r="O180" s="73">
        <f>IF($R180="","",IF(INDEX(Calc!$BD$2:$BD$2001,$R180)="","",INDEX(Calc!$BD$2:$BD$2001,$R180)))</f>
        <v/>
      </c>
      <c r="P180" s="86">
        <f>IF(R180="","",HYPERLINK("#'"&amp;IF(INDEX(Calc!$AS$2:$AS$2001,R180)="R","Recurring Log","Variable Tasks")&amp;"'!J"&amp;INDEX(Calc!$AT$2:$AT$2001,R180),"✎ edit"))</f>
        <v/>
      </c>
      <c r="R180">
        <f>IFERROR(MATCH(SMALL(Calc!$BK$2:$BK$2001,171),Calc!$BK$2:$BK$2001,0),"")</f>
        <v/>
      </c>
    </row>
    <row r="181">
      <c r="B181" s="36">
        <f>IF(R181="","",172)</f>
        <v/>
      </c>
      <c r="C181" s="37">
        <f>IF($R181="","",IF(INDEX(Calc!$AU$2:$AU$2001,$R181)="","",INDEX(Calc!$AU$2:$AU$2001,$R181)))</f>
        <v/>
      </c>
      <c r="D181" s="36">
        <f>IF($R181="","",IF(INDEX(Calc!$AV$2:$AV$2001,$R181)="","",INDEX(Calc!$AV$2:$AV$2001,$R181)))</f>
        <v/>
      </c>
      <c r="E181" s="38">
        <f>IF($R181="","",IF(INDEX(Calc!$AW$2:$AW$2001,$R181)="","",INDEX(Calc!$AW$2:$AW$2001,$R181)))</f>
        <v/>
      </c>
      <c r="F181" s="68">
        <f>IF(OR(C181="",E181=""),"",E181-Setup!$D$7)</f>
        <v/>
      </c>
      <c r="G181" s="74">
        <f>IF($R181="","",IF(INDEX(Calc!$AX$2:$AX$2001,$R181)="","",INDEX(Calc!$AX$2:$AX$2001,$R181)))</f>
        <v/>
      </c>
      <c r="H181" s="74">
        <f>IF($R181="","",IF(INDEX(Calc!$AY$2:$AY$2001,$R181)="","",INDEX(Calc!$AY$2:$AY$2001,$R181)))</f>
        <v/>
      </c>
      <c r="I181" s="36">
        <f>IF(OR(G181="",H181=""),"",TRIM(IF(HOUR(H181-G181)&gt;0,HOUR(H181-G181)&amp;" hr ","")&amp;IF(MINUTE(H181-G181)&gt;0,MINUTE(H181-G181)&amp;" min","")))</f>
        <v/>
      </c>
      <c r="J181" s="36">
        <f>IF($R181="","",IF(INDEX(Calc!$AZ$2:$AZ$2001,$R181)="","",INDEX(Calc!$AZ$2:$AZ$2001,$R181)))</f>
        <v/>
      </c>
      <c r="K181" s="87">
        <f>IF($R181="","",IF(INDEX(Calc!$BE$2:$BE$2001,$R181)="","",INDEX(Calc!$BE$2:$BE$2001,$R181)))</f>
        <v/>
      </c>
      <c r="L181" s="36">
        <f>IF($R181="","",IF(INDEX(Calc!$BA$2:$BA$2001,$R181)="","",INDEX(Calc!$BA$2:$BA$2001,$R181)))</f>
        <v/>
      </c>
      <c r="M181" s="36">
        <f>IF($R181="","",IF(INDEX(Calc!$BB$2:$BB$2001,$R181)="","",INDEX(Calc!$BB$2:$BB$2001,$R181)))</f>
        <v/>
      </c>
      <c r="N181" s="36">
        <f>IF($R181="","",IF(INDEX(Calc!$BC$2:$BC$2001,$R181)="","",INDEX(Calc!$BC$2:$BC$2001,$R181)))</f>
        <v/>
      </c>
      <c r="O181" s="36">
        <f>IF($R181="","",IF(INDEX(Calc!$BD$2:$BD$2001,$R181)="","",INDEX(Calc!$BD$2:$BD$2001,$R181)))</f>
        <v/>
      </c>
      <c r="P181" s="88">
        <f>IF(R181="","",HYPERLINK("#'"&amp;IF(INDEX(Calc!$AS$2:$AS$2001,R181)="R","Recurring Log","Variable Tasks")&amp;"'!J"&amp;INDEX(Calc!$AT$2:$AT$2001,R181),"✎ edit"))</f>
        <v/>
      </c>
      <c r="R181">
        <f>IFERROR(MATCH(SMALL(Calc!$BK$2:$BK$2001,172),Calc!$BK$2:$BK$2001,0),"")</f>
        <v/>
      </c>
    </row>
    <row r="182">
      <c r="B182" s="73">
        <f>IF(R182="","",173)</f>
        <v/>
      </c>
      <c r="C182" s="75">
        <f>IF($R182="","",IF(INDEX(Calc!$AU$2:$AU$2001,$R182)="","",INDEX(Calc!$AU$2:$AU$2001,$R182)))</f>
        <v/>
      </c>
      <c r="D182" s="73">
        <f>IF($R182="","",IF(INDEX(Calc!$AV$2:$AV$2001,$R182)="","",INDEX(Calc!$AV$2:$AV$2001,$R182)))</f>
        <v/>
      </c>
      <c r="E182" s="76">
        <f>IF($R182="","",IF(INDEX(Calc!$AW$2:$AW$2001,$R182)="","",INDEX(Calc!$AW$2:$AW$2001,$R182)))</f>
        <v/>
      </c>
      <c r="F182" s="72">
        <f>IF(OR(C182="",E182=""),"",E182-Setup!$D$7)</f>
        <v/>
      </c>
      <c r="G182" s="77">
        <f>IF($R182="","",IF(INDEX(Calc!$AX$2:$AX$2001,$R182)="","",INDEX(Calc!$AX$2:$AX$2001,$R182)))</f>
        <v/>
      </c>
      <c r="H182" s="77">
        <f>IF($R182="","",IF(INDEX(Calc!$AY$2:$AY$2001,$R182)="","",INDEX(Calc!$AY$2:$AY$2001,$R182)))</f>
        <v/>
      </c>
      <c r="I182" s="73">
        <f>IF(OR(G182="",H182=""),"",TRIM(IF(HOUR(H182-G182)&gt;0,HOUR(H182-G182)&amp;" hr ","")&amp;IF(MINUTE(H182-G182)&gt;0,MINUTE(H182-G182)&amp;" min","")))</f>
        <v/>
      </c>
      <c r="J182" s="73">
        <f>IF($R182="","",IF(INDEX(Calc!$AZ$2:$AZ$2001,$R182)="","",INDEX(Calc!$AZ$2:$AZ$2001,$R182)))</f>
        <v/>
      </c>
      <c r="K182" s="85">
        <f>IF($R182="","",IF(INDEX(Calc!$BE$2:$BE$2001,$R182)="","",INDEX(Calc!$BE$2:$BE$2001,$R182)))</f>
        <v/>
      </c>
      <c r="L182" s="73">
        <f>IF($R182="","",IF(INDEX(Calc!$BA$2:$BA$2001,$R182)="","",INDEX(Calc!$BA$2:$BA$2001,$R182)))</f>
        <v/>
      </c>
      <c r="M182" s="73">
        <f>IF($R182="","",IF(INDEX(Calc!$BB$2:$BB$2001,$R182)="","",INDEX(Calc!$BB$2:$BB$2001,$R182)))</f>
        <v/>
      </c>
      <c r="N182" s="73">
        <f>IF($R182="","",IF(INDEX(Calc!$BC$2:$BC$2001,$R182)="","",INDEX(Calc!$BC$2:$BC$2001,$R182)))</f>
        <v/>
      </c>
      <c r="O182" s="73">
        <f>IF($R182="","",IF(INDEX(Calc!$BD$2:$BD$2001,$R182)="","",INDEX(Calc!$BD$2:$BD$2001,$R182)))</f>
        <v/>
      </c>
      <c r="P182" s="86">
        <f>IF(R182="","",HYPERLINK("#'"&amp;IF(INDEX(Calc!$AS$2:$AS$2001,R182)="R","Recurring Log","Variable Tasks")&amp;"'!J"&amp;INDEX(Calc!$AT$2:$AT$2001,R182),"✎ edit"))</f>
        <v/>
      </c>
      <c r="R182">
        <f>IFERROR(MATCH(SMALL(Calc!$BK$2:$BK$2001,173),Calc!$BK$2:$BK$2001,0),"")</f>
        <v/>
      </c>
    </row>
    <row r="183">
      <c r="B183" s="36">
        <f>IF(R183="","",174)</f>
        <v/>
      </c>
      <c r="C183" s="37">
        <f>IF($R183="","",IF(INDEX(Calc!$AU$2:$AU$2001,$R183)="","",INDEX(Calc!$AU$2:$AU$2001,$R183)))</f>
        <v/>
      </c>
      <c r="D183" s="36">
        <f>IF($R183="","",IF(INDEX(Calc!$AV$2:$AV$2001,$R183)="","",INDEX(Calc!$AV$2:$AV$2001,$R183)))</f>
        <v/>
      </c>
      <c r="E183" s="38">
        <f>IF($R183="","",IF(INDEX(Calc!$AW$2:$AW$2001,$R183)="","",INDEX(Calc!$AW$2:$AW$2001,$R183)))</f>
        <v/>
      </c>
      <c r="F183" s="68">
        <f>IF(OR(C183="",E183=""),"",E183-Setup!$D$7)</f>
        <v/>
      </c>
      <c r="G183" s="74">
        <f>IF($R183="","",IF(INDEX(Calc!$AX$2:$AX$2001,$R183)="","",INDEX(Calc!$AX$2:$AX$2001,$R183)))</f>
        <v/>
      </c>
      <c r="H183" s="74">
        <f>IF($R183="","",IF(INDEX(Calc!$AY$2:$AY$2001,$R183)="","",INDEX(Calc!$AY$2:$AY$2001,$R183)))</f>
        <v/>
      </c>
      <c r="I183" s="36">
        <f>IF(OR(G183="",H183=""),"",TRIM(IF(HOUR(H183-G183)&gt;0,HOUR(H183-G183)&amp;" hr ","")&amp;IF(MINUTE(H183-G183)&gt;0,MINUTE(H183-G183)&amp;" min","")))</f>
        <v/>
      </c>
      <c r="J183" s="36">
        <f>IF($R183="","",IF(INDEX(Calc!$AZ$2:$AZ$2001,$R183)="","",INDEX(Calc!$AZ$2:$AZ$2001,$R183)))</f>
        <v/>
      </c>
      <c r="K183" s="87">
        <f>IF($R183="","",IF(INDEX(Calc!$BE$2:$BE$2001,$R183)="","",INDEX(Calc!$BE$2:$BE$2001,$R183)))</f>
        <v/>
      </c>
      <c r="L183" s="36">
        <f>IF($R183="","",IF(INDEX(Calc!$BA$2:$BA$2001,$R183)="","",INDEX(Calc!$BA$2:$BA$2001,$R183)))</f>
        <v/>
      </c>
      <c r="M183" s="36">
        <f>IF($R183="","",IF(INDEX(Calc!$BB$2:$BB$2001,$R183)="","",INDEX(Calc!$BB$2:$BB$2001,$R183)))</f>
        <v/>
      </c>
      <c r="N183" s="36">
        <f>IF($R183="","",IF(INDEX(Calc!$BC$2:$BC$2001,$R183)="","",INDEX(Calc!$BC$2:$BC$2001,$R183)))</f>
        <v/>
      </c>
      <c r="O183" s="36">
        <f>IF($R183="","",IF(INDEX(Calc!$BD$2:$BD$2001,$R183)="","",INDEX(Calc!$BD$2:$BD$2001,$R183)))</f>
        <v/>
      </c>
      <c r="P183" s="88">
        <f>IF(R183="","",HYPERLINK("#'"&amp;IF(INDEX(Calc!$AS$2:$AS$2001,R183)="R","Recurring Log","Variable Tasks")&amp;"'!J"&amp;INDEX(Calc!$AT$2:$AT$2001,R183),"✎ edit"))</f>
        <v/>
      </c>
      <c r="R183">
        <f>IFERROR(MATCH(SMALL(Calc!$BK$2:$BK$2001,174),Calc!$BK$2:$BK$2001,0),"")</f>
        <v/>
      </c>
    </row>
    <row r="184">
      <c r="B184" s="73">
        <f>IF(R184="","",175)</f>
        <v/>
      </c>
      <c r="C184" s="75">
        <f>IF($R184="","",IF(INDEX(Calc!$AU$2:$AU$2001,$R184)="","",INDEX(Calc!$AU$2:$AU$2001,$R184)))</f>
        <v/>
      </c>
      <c r="D184" s="73">
        <f>IF($R184="","",IF(INDEX(Calc!$AV$2:$AV$2001,$R184)="","",INDEX(Calc!$AV$2:$AV$2001,$R184)))</f>
        <v/>
      </c>
      <c r="E184" s="76">
        <f>IF($R184="","",IF(INDEX(Calc!$AW$2:$AW$2001,$R184)="","",INDEX(Calc!$AW$2:$AW$2001,$R184)))</f>
        <v/>
      </c>
      <c r="F184" s="72">
        <f>IF(OR(C184="",E184=""),"",E184-Setup!$D$7)</f>
        <v/>
      </c>
      <c r="G184" s="77">
        <f>IF($R184="","",IF(INDEX(Calc!$AX$2:$AX$2001,$R184)="","",INDEX(Calc!$AX$2:$AX$2001,$R184)))</f>
        <v/>
      </c>
      <c r="H184" s="77">
        <f>IF($R184="","",IF(INDEX(Calc!$AY$2:$AY$2001,$R184)="","",INDEX(Calc!$AY$2:$AY$2001,$R184)))</f>
        <v/>
      </c>
      <c r="I184" s="73">
        <f>IF(OR(G184="",H184=""),"",TRIM(IF(HOUR(H184-G184)&gt;0,HOUR(H184-G184)&amp;" hr ","")&amp;IF(MINUTE(H184-G184)&gt;0,MINUTE(H184-G184)&amp;" min","")))</f>
        <v/>
      </c>
      <c r="J184" s="73">
        <f>IF($R184="","",IF(INDEX(Calc!$AZ$2:$AZ$2001,$R184)="","",INDEX(Calc!$AZ$2:$AZ$2001,$R184)))</f>
        <v/>
      </c>
      <c r="K184" s="85">
        <f>IF($R184="","",IF(INDEX(Calc!$BE$2:$BE$2001,$R184)="","",INDEX(Calc!$BE$2:$BE$2001,$R184)))</f>
        <v/>
      </c>
      <c r="L184" s="73">
        <f>IF($R184="","",IF(INDEX(Calc!$BA$2:$BA$2001,$R184)="","",INDEX(Calc!$BA$2:$BA$2001,$R184)))</f>
        <v/>
      </c>
      <c r="M184" s="73">
        <f>IF($R184="","",IF(INDEX(Calc!$BB$2:$BB$2001,$R184)="","",INDEX(Calc!$BB$2:$BB$2001,$R184)))</f>
        <v/>
      </c>
      <c r="N184" s="73">
        <f>IF($R184="","",IF(INDEX(Calc!$BC$2:$BC$2001,$R184)="","",INDEX(Calc!$BC$2:$BC$2001,$R184)))</f>
        <v/>
      </c>
      <c r="O184" s="73">
        <f>IF($R184="","",IF(INDEX(Calc!$BD$2:$BD$2001,$R184)="","",INDEX(Calc!$BD$2:$BD$2001,$R184)))</f>
        <v/>
      </c>
      <c r="P184" s="86">
        <f>IF(R184="","",HYPERLINK("#'"&amp;IF(INDEX(Calc!$AS$2:$AS$2001,R184)="R","Recurring Log","Variable Tasks")&amp;"'!J"&amp;INDEX(Calc!$AT$2:$AT$2001,R184),"✎ edit"))</f>
        <v/>
      </c>
      <c r="R184">
        <f>IFERROR(MATCH(SMALL(Calc!$BK$2:$BK$2001,175),Calc!$BK$2:$BK$2001,0),"")</f>
        <v/>
      </c>
    </row>
    <row r="185">
      <c r="B185" s="36">
        <f>IF(R185="","",176)</f>
        <v/>
      </c>
      <c r="C185" s="37">
        <f>IF($R185="","",IF(INDEX(Calc!$AU$2:$AU$2001,$R185)="","",INDEX(Calc!$AU$2:$AU$2001,$R185)))</f>
        <v/>
      </c>
      <c r="D185" s="36">
        <f>IF($R185="","",IF(INDEX(Calc!$AV$2:$AV$2001,$R185)="","",INDEX(Calc!$AV$2:$AV$2001,$R185)))</f>
        <v/>
      </c>
      <c r="E185" s="38">
        <f>IF($R185="","",IF(INDEX(Calc!$AW$2:$AW$2001,$R185)="","",INDEX(Calc!$AW$2:$AW$2001,$R185)))</f>
        <v/>
      </c>
      <c r="F185" s="68">
        <f>IF(OR(C185="",E185=""),"",E185-Setup!$D$7)</f>
        <v/>
      </c>
      <c r="G185" s="74">
        <f>IF($R185="","",IF(INDEX(Calc!$AX$2:$AX$2001,$R185)="","",INDEX(Calc!$AX$2:$AX$2001,$R185)))</f>
        <v/>
      </c>
      <c r="H185" s="74">
        <f>IF($R185="","",IF(INDEX(Calc!$AY$2:$AY$2001,$R185)="","",INDEX(Calc!$AY$2:$AY$2001,$R185)))</f>
        <v/>
      </c>
      <c r="I185" s="36">
        <f>IF(OR(G185="",H185=""),"",TRIM(IF(HOUR(H185-G185)&gt;0,HOUR(H185-G185)&amp;" hr ","")&amp;IF(MINUTE(H185-G185)&gt;0,MINUTE(H185-G185)&amp;" min","")))</f>
        <v/>
      </c>
      <c r="J185" s="36">
        <f>IF($R185="","",IF(INDEX(Calc!$AZ$2:$AZ$2001,$R185)="","",INDEX(Calc!$AZ$2:$AZ$2001,$R185)))</f>
        <v/>
      </c>
      <c r="K185" s="87">
        <f>IF($R185="","",IF(INDEX(Calc!$BE$2:$BE$2001,$R185)="","",INDEX(Calc!$BE$2:$BE$2001,$R185)))</f>
        <v/>
      </c>
      <c r="L185" s="36">
        <f>IF($R185="","",IF(INDEX(Calc!$BA$2:$BA$2001,$R185)="","",INDEX(Calc!$BA$2:$BA$2001,$R185)))</f>
        <v/>
      </c>
      <c r="M185" s="36">
        <f>IF($R185="","",IF(INDEX(Calc!$BB$2:$BB$2001,$R185)="","",INDEX(Calc!$BB$2:$BB$2001,$R185)))</f>
        <v/>
      </c>
      <c r="N185" s="36">
        <f>IF($R185="","",IF(INDEX(Calc!$BC$2:$BC$2001,$R185)="","",INDEX(Calc!$BC$2:$BC$2001,$R185)))</f>
        <v/>
      </c>
      <c r="O185" s="36">
        <f>IF($R185="","",IF(INDEX(Calc!$BD$2:$BD$2001,$R185)="","",INDEX(Calc!$BD$2:$BD$2001,$R185)))</f>
        <v/>
      </c>
      <c r="P185" s="88">
        <f>IF(R185="","",HYPERLINK("#'"&amp;IF(INDEX(Calc!$AS$2:$AS$2001,R185)="R","Recurring Log","Variable Tasks")&amp;"'!J"&amp;INDEX(Calc!$AT$2:$AT$2001,R185),"✎ edit"))</f>
        <v/>
      </c>
      <c r="R185">
        <f>IFERROR(MATCH(SMALL(Calc!$BK$2:$BK$2001,176),Calc!$BK$2:$BK$2001,0),"")</f>
        <v/>
      </c>
    </row>
    <row r="186">
      <c r="B186" s="73">
        <f>IF(R186="","",177)</f>
        <v/>
      </c>
      <c r="C186" s="75">
        <f>IF($R186="","",IF(INDEX(Calc!$AU$2:$AU$2001,$R186)="","",INDEX(Calc!$AU$2:$AU$2001,$R186)))</f>
        <v/>
      </c>
      <c r="D186" s="73">
        <f>IF($R186="","",IF(INDEX(Calc!$AV$2:$AV$2001,$R186)="","",INDEX(Calc!$AV$2:$AV$2001,$R186)))</f>
        <v/>
      </c>
      <c r="E186" s="76">
        <f>IF($R186="","",IF(INDEX(Calc!$AW$2:$AW$2001,$R186)="","",INDEX(Calc!$AW$2:$AW$2001,$R186)))</f>
        <v/>
      </c>
      <c r="F186" s="72">
        <f>IF(OR(C186="",E186=""),"",E186-Setup!$D$7)</f>
        <v/>
      </c>
      <c r="G186" s="77">
        <f>IF($R186="","",IF(INDEX(Calc!$AX$2:$AX$2001,$R186)="","",INDEX(Calc!$AX$2:$AX$2001,$R186)))</f>
        <v/>
      </c>
      <c r="H186" s="77">
        <f>IF($R186="","",IF(INDEX(Calc!$AY$2:$AY$2001,$R186)="","",INDEX(Calc!$AY$2:$AY$2001,$R186)))</f>
        <v/>
      </c>
      <c r="I186" s="73">
        <f>IF(OR(G186="",H186=""),"",TRIM(IF(HOUR(H186-G186)&gt;0,HOUR(H186-G186)&amp;" hr ","")&amp;IF(MINUTE(H186-G186)&gt;0,MINUTE(H186-G186)&amp;" min","")))</f>
        <v/>
      </c>
      <c r="J186" s="73">
        <f>IF($R186="","",IF(INDEX(Calc!$AZ$2:$AZ$2001,$R186)="","",INDEX(Calc!$AZ$2:$AZ$2001,$R186)))</f>
        <v/>
      </c>
      <c r="K186" s="85">
        <f>IF($R186="","",IF(INDEX(Calc!$BE$2:$BE$2001,$R186)="","",INDEX(Calc!$BE$2:$BE$2001,$R186)))</f>
        <v/>
      </c>
      <c r="L186" s="73">
        <f>IF($R186="","",IF(INDEX(Calc!$BA$2:$BA$2001,$R186)="","",INDEX(Calc!$BA$2:$BA$2001,$R186)))</f>
        <v/>
      </c>
      <c r="M186" s="73">
        <f>IF($R186="","",IF(INDEX(Calc!$BB$2:$BB$2001,$R186)="","",INDEX(Calc!$BB$2:$BB$2001,$R186)))</f>
        <v/>
      </c>
      <c r="N186" s="73">
        <f>IF($R186="","",IF(INDEX(Calc!$BC$2:$BC$2001,$R186)="","",INDEX(Calc!$BC$2:$BC$2001,$R186)))</f>
        <v/>
      </c>
      <c r="O186" s="73">
        <f>IF($R186="","",IF(INDEX(Calc!$BD$2:$BD$2001,$R186)="","",INDEX(Calc!$BD$2:$BD$2001,$R186)))</f>
        <v/>
      </c>
      <c r="P186" s="86">
        <f>IF(R186="","",HYPERLINK("#'"&amp;IF(INDEX(Calc!$AS$2:$AS$2001,R186)="R","Recurring Log","Variable Tasks")&amp;"'!J"&amp;INDEX(Calc!$AT$2:$AT$2001,R186),"✎ edit"))</f>
        <v/>
      </c>
      <c r="R186">
        <f>IFERROR(MATCH(SMALL(Calc!$BK$2:$BK$2001,177),Calc!$BK$2:$BK$2001,0),"")</f>
        <v/>
      </c>
    </row>
    <row r="187">
      <c r="B187" s="36">
        <f>IF(R187="","",178)</f>
        <v/>
      </c>
      <c r="C187" s="37">
        <f>IF($R187="","",IF(INDEX(Calc!$AU$2:$AU$2001,$R187)="","",INDEX(Calc!$AU$2:$AU$2001,$R187)))</f>
        <v/>
      </c>
      <c r="D187" s="36">
        <f>IF($R187="","",IF(INDEX(Calc!$AV$2:$AV$2001,$R187)="","",INDEX(Calc!$AV$2:$AV$2001,$R187)))</f>
        <v/>
      </c>
      <c r="E187" s="38">
        <f>IF($R187="","",IF(INDEX(Calc!$AW$2:$AW$2001,$R187)="","",INDEX(Calc!$AW$2:$AW$2001,$R187)))</f>
        <v/>
      </c>
      <c r="F187" s="68">
        <f>IF(OR(C187="",E187=""),"",E187-Setup!$D$7)</f>
        <v/>
      </c>
      <c r="G187" s="74">
        <f>IF($R187="","",IF(INDEX(Calc!$AX$2:$AX$2001,$R187)="","",INDEX(Calc!$AX$2:$AX$2001,$R187)))</f>
        <v/>
      </c>
      <c r="H187" s="74">
        <f>IF($R187="","",IF(INDEX(Calc!$AY$2:$AY$2001,$R187)="","",INDEX(Calc!$AY$2:$AY$2001,$R187)))</f>
        <v/>
      </c>
      <c r="I187" s="36">
        <f>IF(OR(G187="",H187=""),"",TRIM(IF(HOUR(H187-G187)&gt;0,HOUR(H187-G187)&amp;" hr ","")&amp;IF(MINUTE(H187-G187)&gt;0,MINUTE(H187-G187)&amp;" min","")))</f>
        <v/>
      </c>
      <c r="J187" s="36">
        <f>IF($R187="","",IF(INDEX(Calc!$AZ$2:$AZ$2001,$R187)="","",INDEX(Calc!$AZ$2:$AZ$2001,$R187)))</f>
        <v/>
      </c>
      <c r="K187" s="87">
        <f>IF($R187="","",IF(INDEX(Calc!$BE$2:$BE$2001,$R187)="","",INDEX(Calc!$BE$2:$BE$2001,$R187)))</f>
        <v/>
      </c>
      <c r="L187" s="36">
        <f>IF($R187="","",IF(INDEX(Calc!$BA$2:$BA$2001,$R187)="","",INDEX(Calc!$BA$2:$BA$2001,$R187)))</f>
        <v/>
      </c>
      <c r="M187" s="36">
        <f>IF($R187="","",IF(INDEX(Calc!$BB$2:$BB$2001,$R187)="","",INDEX(Calc!$BB$2:$BB$2001,$R187)))</f>
        <v/>
      </c>
      <c r="N187" s="36">
        <f>IF($R187="","",IF(INDEX(Calc!$BC$2:$BC$2001,$R187)="","",INDEX(Calc!$BC$2:$BC$2001,$R187)))</f>
        <v/>
      </c>
      <c r="O187" s="36">
        <f>IF($R187="","",IF(INDEX(Calc!$BD$2:$BD$2001,$R187)="","",INDEX(Calc!$BD$2:$BD$2001,$R187)))</f>
        <v/>
      </c>
      <c r="P187" s="88">
        <f>IF(R187="","",HYPERLINK("#'"&amp;IF(INDEX(Calc!$AS$2:$AS$2001,R187)="R","Recurring Log","Variable Tasks")&amp;"'!J"&amp;INDEX(Calc!$AT$2:$AT$2001,R187),"✎ edit"))</f>
        <v/>
      </c>
      <c r="R187">
        <f>IFERROR(MATCH(SMALL(Calc!$BK$2:$BK$2001,178),Calc!$BK$2:$BK$2001,0),"")</f>
        <v/>
      </c>
    </row>
    <row r="188">
      <c r="B188" s="73">
        <f>IF(R188="","",179)</f>
        <v/>
      </c>
      <c r="C188" s="75">
        <f>IF($R188="","",IF(INDEX(Calc!$AU$2:$AU$2001,$R188)="","",INDEX(Calc!$AU$2:$AU$2001,$R188)))</f>
        <v/>
      </c>
      <c r="D188" s="73">
        <f>IF($R188="","",IF(INDEX(Calc!$AV$2:$AV$2001,$R188)="","",INDEX(Calc!$AV$2:$AV$2001,$R188)))</f>
        <v/>
      </c>
      <c r="E188" s="76">
        <f>IF($R188="","",IF(INDEX(Calc!$AW$2:$AW$2001,$R188)="","",INDEX(Calc!$AW$2:$AW$2001,$R188)))</f>
        <v/>
      </c>
      <c r="F188" s="72">
        <f>IF(OR(C188="",E188=""),"",E188-Setup!$D$7)</f>
        <v/>
      </c>
      <c r="G188" s="77">
        <f>IF($R188="","",IF(INDEX(Calc!$AX$2:$AX$2001,$R188)="","",INDEX(Calc!$AX$2:$AX$2001,$R188)))</f>
        <v/>
      </c>
      <c r="H188" s="77">
        <f>IF($R188="","",IF(INDEX(Calc!$AY$2:$AY$2001,$R188)="","",INDEX(Calc!$AY$2:$AY$2001,$R188)))</f>
        <v/>
      </c>
      <c r="I188" s="73">
        <f>IF(OR(G188="",H188=""),"",TRIM(IF(HOUR(H188-G188)&gt;0,HOUR(H188-G188)&amp;" hr ","")&amp;IF(MINUTE(H188-G188)&gt;0,MINUTE(H188-G188)&amp;" min","")))</f>
        <v/>
      </c>
      <c r="J188" s="73">
        <f>IF($R188="","",IF(INDEX(Calc!$AZ$2:$AZ$2001,$R188)="","",INDEX(Calc!$AZ$2:$AZ$2001,$R188)))</f>
        <v/>
      </c>
      <c r="K188" s="85">
        <f>IF($R188="","",IF(INDEX(Calc!$BE$2:$BE$2001,$R188)="","",INDEX(Calc!$BE$2:$BE$2001,$R188)))</f>
        <v/>
      </c>
      <c r="L188" s="73">
        <f>IF($R188="","",IF(INDEX(Calc!$BA$2:$BA$2001,$R188)="","",INDEX(Calc!$BA$2:$BA$2001,$R188)))</f>
        <v/>
      </c>
      <c r="M188" s="73">
        <f>IF($R188="","",IF(INDEX(Calc!$BB$2:$BB$2001,$R188)="","",INDEX(Calc!$BB$2:$BB$2001,$R188)))</f>
        <v/>
      </c>
      <c r="N188" s="73">
        <f>IF($R188="","",IF(INDEX(Calc!$BC$2:$BC$2001,$R188)="","",INDEX(Calc!$BC$2:$BC$2001,$R188)))</f>
        <v/>
      </c>
      <c r="O188" s="73">
        <f>IF($R188="","",IF(INDEX(Calc!$BD$2:$BD$2001,$R188)="","",INDEX(Calc!$BD$2:$BD$2001,$R188)))</f>
        <v/>
      </c>
      <c r="P188" s="86">
        <f>IF(R188="","",HYPERLINK("#'"&amp;IF(INDEX(Calc!$AS$2:$AS$2001,R188)="R","Recurring Log","Variable Tasks")&amp;"'!J"&amp;INDEX(Calc!$AT$2:$AT$2001,R188),"✎ edit"))</f>
        <v/>
      </c>
      <c r="R188">
        <f>IFERROR(MATCH(SMALL(Calc!$BK$2:$BK$2001,179),Calc!$BK$2:$BK$2001,0),"")</f>
        <v/>
      </c>
    </row>
    <row r="189">
      <c r="B189" s="36">
        <f>IF(R189="","",180)</f>
        <v/>
      </c>
      <c r="C189" s="37">
        <f>IF($R189="","",IF(INDEX(Calc!$AU$2:$AU$2001,$R189)="","",INDEX(Calc!$AU$2:$AU$2001,$R189)))</f>
        <v/>
      </c>
      <c r="D189" s="36">
        <f>IF($R189="","",IF(INDEX(Calc!$AV$2:$AV$2001,$R189)="","",INDEX(Calc!$AV$2:$AV$2001,$R189)))</f>
        <v/>
      </c>
      <c r="E189" s="38">
        <f>IF($R189="","",IF(INDEX(Calc!$AW$2:$AW$2001,$R189)="","",INDEX(Calc!$AW$2:$AW$2001,$R189)))</f>
        <v/>
      </c>
      <c r="F189" s="68">
        <f>IF(OR(C189="",E189=""),"",E189-Setup!$D$7)</f>
        <v/>
      </c>
      <c r="G189" s="74">
        <f>IF($R189="","",IF(INDEX(Calc!$AX$2:$AX$2001,$R189)="","",INDEX(Calc!$AX$2:$AX$2001,$R189)))</f>
        <v/>
      </c>
      <c r="H189" s="74">
        <f>IF($R189="","",IF(INDEX(Calc!$AY$2:$AY$2001,$R189)="","",INDEX(Calc!$AY$2:$AY$2001,$R189)))</f>
        <v/>
      </c>
      <c r="I189" s="36">
        <f>IF(OR(G189="",H189=""),"",TRIM(IF(HOUR(H189-G189)&gt;0,HOUR(H189-G189)&amp;" hr ","")&amp;IF(MINUTE(H189-G189)&gt;0,MINUTE(H189-G189)&amp;" min","")))</f>
        <v/>
      </c>
      <c r="J189" s="36">
        <f>IF($R189="","",IF(INDEX(Calc!$AZ$2:$AZ$2001,$R189)="","",INDEX(Calc!$AZ$2:$AZ$2001,$R189)))</f>
        <v/>
      </c>
      <c r="K189" s="87">
        <f>IF($R189="","",IF(INDEX(Calc!$BE$2:$BE$2001,$R189)="","",INDEX(Calc!$BE$2:$BE$2001,$R189)))</f>
        <v/>
      </c>
      <c r="L189" s="36">
        <f>IF($R189="","",IF(INDEX(Calc!$BA$2:$BA$2001,$R189)="","",INDEX(Calc!$BA$2:$BA$2001,$R189)))</f>
        <v/>
      </c>
      <c r="M189" s="36">
        <f>IF($R189="","",IF(INDEX(Calc!$BB$2:$BB$2001,$R189)="","",INDEX(Calc!$BB$2:$BB$2001,$R189)))</f>
        <v/>
      </c>
      <c r="N189" s="36">
        <f>IF($R189="","",IF(INDEX(Calc!$BC$2:$BC$2001,$R189)="","",INDEX(Calc!$BC$2:$BC$2001,$R189)))</f>
        <v/>
      </c>
      <c r="O189" s="36">
        <f>IF($R189="","",IF(INDEX(Calc!$BD$2:$BD$2001,$R189)="","",INDEX(Calc!$BD$2:$BD$2001,$R189)))</f>
        <v/>
      </c>
      <c r="P189" s="88">
        <f>IF(R189="","",HYPERLINK("#'"&amp;IF(INDEX(Calc!$AS$2:$AS$2001,R189)="R","Recurring Log","Variable Tasks")&amp;"'!J"&amp;INDEX(Calc!$AT$2:$AT$2001,R189),"✎ edit"))</f>
        <v/>
      </c>
      <c r="R189">
        <f>IFERROR(MATCH(SMALL(Calc!$BK$2:$BK$2001,180),Calc!$BK$2:$BK$2001,0),"")</f>
        <v/>
      </c>
    </row>
    <row r="190">
      <c r="B190" s="73">
        <f>IF(R190="","",181)</f>
        <v/>
      </c>
      <c r="C190" s="75">
        <f>IF($R190="","",IF(INDEX(Calc!$AU$2:$AU$2001,$R190)="","",INDEX(Calc!$AU$2:$AU$2001,$R190)))</f>
        <v/>
      </c>
      <c r="D190" s="73">
        <f>IF($R190="","",IF(INDEX(Calc!$AV$2:$AV$2001,$R190)="","",INDEX(Calc!$AV$2:$AV$2001,$R190)))</f>
        <v/>
      </c>
      <c r="E190" s="76">
        <f>IF($R190="","",IF(INDEX(Calc!$AW$2:$AW$2001,$R190)="","",INDEX(Calc!$AW$2:$AW$2001,$R190)))</f>
        <v/>
      </c>
      <c r="F190" s="72">
        <f>IF(OR(C190="",E190=""),"",E190-Setup!$D$7)</f>
        <v/>
      </c>
      <c r="G190" s="77">
        <f>IF($R190="","",IF(INDEX(Calc!$AX$2:$AX$2001,$R190)="","",INDEX(Calc!$AX$2:$AX$2001,$R190)))</f>
        <v/>
      </c>
      <c r="H190" s="77">
        <f>IF($R190="","",IF(INDEX(Calc!$AY$2:$AY$2001,$R190)="","",INDEX(Calc!$AY$2:$AY$2001,$R190)))</f>
        <v/>
      </c>
      <c r="I190" s="73">
        <f>IF(OR(G190="",H190=""),"",TRIM(IF(HOUR(H190-G190)&gt;0,HOUR(H190-G190)&amp;" hr ","")&amp;IF(MINUTE(H190-G190)&gt;0,MINUTE(H190-G190)&amp;" min","")))</f>
        <v/>
      </c>
      <c r="J190" s="73">
        <f>IF($R190="","",IF(INDEX(Calc!$AZ$2:$AZ$2001,$R190)="","",INDEX(Calc!$AZ$2:$AZ$2001,$R190)))</f>
        <v/>
      </c>
      <c r="K190" s="85">
        <f>IF($R190="","",IF(INDEX(Calc!$BE$2:$BE$2001,$R190)="","",INDEX(Calc!$BE$2:$BE$2001,$R190)))</f>
        <v/>
      </c>
      <c r="L190" s="73">
        <f>IF($R190="","",IF(INDEX(Calc!$BA$2:$BA$2001,$R190)="","",INDEX(Calc!$BA$2:$BA$2001,$R190)))</f>
        <v/>
      </c>
      <c r="M190" s="73">
        <f>IF($R190="","",IF(INDEX(Calc!$BB$2:$BB$2001,$R190)="","",INDEX(Calc!$BB$2:$BB$2001,$R190)))</f>
        <v/>
      </c>
      <c r="N190" s="73">
        <f>IF($R190="","",IF(INDEX(Calc!$BC$2:$BC$2001,$R190)="","",INDEX(Calc!$BC$2:$BC$2001,$R190)))</f>
        <v/>
      </c>
      <c r="O190" s="73">
        <f>IF($R190="","",IF(INDEX(Calc!$BD$2:$BD$2001,$R190)="","",INDEX(Calc!$BD$2:$BD$2001,$R190)))</f>
        <v/>
      </c>
      <c r="P190" s="86">
        <f>IF(R190="","",HYPERLINK("#'"&amp;IF(INDEX(Calc!$AS$2:$AS$2001,R190)="R","Recurring Log","Variable Tasks")&amp;"'!J"&amp;INDEX(Calc!$AT$2:$AT$2001,R190),"✎ edit"))</f>
        <v/>
      </c>
      <c r="R190">
        <f>IFERROR(MATCH(SMALL(Calc!$BK$2:$BK$2001,181),Calc!$BK$2:$BK$2001,0),"")</f>
        <v/>
      </c>
    </row>
    <row r="191">
      <c r="B191" s="36">
        <f>IF(R191="","",182)</f>
        <v/>
      </c>
      <c r="C191" s="37">
        <f>IF($R191="","",IF(INDEX(Calc!$AU$2:$AU$2001,$R191)="","",INDEX(Calc!$AU$2:$AU$2001,$R191)))</f>
        <v/>
      </c>
      <c r="D191" s="36">
        <f>IF($R191="","",IF(INDEX(Calc!$AV$2:$AV$2001,$R191)="","",INDEX(Calc!$AV$2:$AV$2001,$R191)))</f>
        <v/>
      </c>
      <c r="E191" s="38">
        <f>IF($R191="","",IF(INDEX(Calc!$AW$2:$AW$2001,$R191)="","",INDEX(Calc!$AW$2:$AW$2001,$R191)))</f>
        <v/>
      </c>
      <c r="F191" s="68">
        <f>IF(OR(C191="",E191=""),"",E191-Setup!$D$7)</f>
        <v/>
      </c>
      <c r="G191" s="74">
        <f>IF($R191="","",IF(INDEX(Calc!$AX$2:$AX$2001,$R191)="","",INDEX(Calc!$AX$2:$AX$2001,$R191)))</f>
        <v/>
      </c>
      <c r="H191" s="74">
        <f>IF($R191="","",IF(INDEX(Calc!$AY$2:$AY$2001,$R191)="","",INDEX(Calc!$AY$2:$AY$2001,$R191)))</f>
        <v/>
      </c>
      <c r="I191" s="36">
        <f>IF(OR(G191="",H191=""),"",TRIM(IF(HOUR(H191-G191)&gt;0,HOUR(H191-G191)&amp;" hr ","")&amp;IF(MINUTE(H191-G191)&gt;0,MINUTE(H191-G191)&amp;" min","")))</f>
        <v/>
      </c>
      <c r="J191" s="36">
        <f>IF($R191="","",IF(INDEX(Calc!$AZ$2:$AZ$2001,$R191)="","",INDEX(Calc!$AZ$2:$AZ$2001,$R191)))</f>
        <v/>
      </c>
      <c r="K191" s="87">
        <f>IF($R191="","",IF(INDEX(Calc!$BE$2:$BE$2001,$R191)="","",INDEX(Calc!$BE$2:$BE$2001,$R191)))</f>
        <v/>
      </c>
      <c r="L191" s="36">
        <f>IF($R191="","",IF(INDEX(Calc!$BA$2:$BA$2001,$R191)="","",INDEX(Calc!$BA$2:$BA$2001,$R191)))</f>
        <v/>
      </c>
      <c r="M191" s="36">
        <f>IF($R191="","",IF(INDEX(Calc!$BB$2:$BB$2001,$R191)="","",INDEX(Calc!$BB$2:$BB$2001,$R191)))</f>
        <v/>
      </c>
      <c r="N191" s="36">
        <f>IF($R191="","",IF(INDEX(Calc!$BC$2:$BC$2001,$R191)="","",INDEX(Calc!$BC$2:$BC$2001,$R191)))</f>
        <v/>
      </c>
      <c r="O191" s="36">
        <f>IF($R191="","",IF(INDEX(Calc!$BD$2:$BD$2001,$R191)="","",INDEX(Calc!$BD$2:$BD$2001,$R191)))</f>
        <v/>
      </c>
      <c r="P191" s="88">
        <f>IF(R191="","",HYPERLINK("#'"&amp;IF(INDEX(Calc!$AS$2:$AS$2001,R191)="R","Recurring Log","Variable Tasks")&amp;"'!J"&amp;INDEX(Calc!$AT$2:$AT$2001,R191),"✎ edit"))</f>
        <v/>
      </c>
      <c r="R191">
        <f>IFERROR(MATCH(SMALL(Calc!$BK$2:$BK$2001,182),Calc!$BK$2:$BK$2001,0),"")</f>
        <v/>
      </c>
    </row>
    <row r="192">
      <c r="B192" s="73">
        <f>IF(R192="","",183)</f>
        <v/>
      </c>
      <c r="C192" s="75">
        <f>IF($R192="","",IF(INDEX(Calc!$AU$2:$AU$2001,$R192)="","",INDEX(Calc!$AU$2:$AU$2001,$R192)))</f>
        <v/>
      </c>
      <c r="D192" s="73">
        <f>IF($R192="","",IF(INDEX(Calc!$AV$2:$AV$2001,$R192)="","",INDEX(Calc!$AV$2:$AV$2001,$R192)))</f>
        <v/>
      </c>
      <c r="E192" s="76">
        <f>IF($R192="","",IF(INDEX(Calc!$AW$2:$AW$2001,$R192)="","",INDEX(Calc!$AW$2:$AW$2001,$R192)))</f>
        <v/>
      </c>
      <c r="F192" s="72">
        <f>IF(OR(C192="",E192=""),"",E192-Setup!$D$7)</f>
        <v/>
      </c>
      <c r="G192" s="77">
        <f>IF($R192="","",IF(INDEX(Calc!$AX$2:$AX$2001,$R192)="","",INDEX(Calc!$AX$2:$AX$2001,$R192)))</f>
        <v/>
      </c>
      <c r="H192" s="77">
        <f>IF($R192="","",IF(INDEX(Calc!$AY$2:$AY$2001,$R192)="","",INDEX(Calc!$AY$2:$AY$2001,$R192)))</f>
        <v/>
      </c>
      <c r="I192" s="73">
        <f>IF(OR(G192="",H192=""),"",TRIM(IF(HOUR(H192-G192)&gt;0,HOUR(H192-G192)&amp;" hr ","")&amp;IF(MINUTE(H192-G192)&gt;0,MINUTE(H192-G192)&amp;" min","")))</f>
        <v/>
      </c>
      <c r="J192" s="73">
        <f>IF($R192="","",IF(INDEX(Calc!$AZ$2:$AZ$2001,$R192)="","",INDEX(Calc!$AZ$2:$AZ$2001,$R192)))</f>
        <v/>
      </c>
      <c r="K192" s="85">
        <f>IF($R192="","",IF(INDEX(Calc!$BE$2:$BE$2001,$R192)="","",INDEX(Calc!$BE$2:$BE$2001,$R192)))</f>
        <v/>
      </c>
      <c r="L192" s="73">
        <f>IF($R192="","",IF(INDEX(Calc!$BA$2:$BA$2001,$R192)="","",INDEX(Calc!$BA$2:$BA$2001,$R192)))</f>
        <v/>
      </c>
      <c r="M192" s="73">
        <f>IF($R192="","",IF(INDEX(Calc!$BB$2:$BB$2001,$R192)="","",INDEX(Calc!$BB$2:$BB$2001,$R192)))</f>
        <v/>
      </c>
      <c r="N192" s="73">
        <f>IF($R192="","",IF(INDEX(Calc!$BC$2:$BC$2001,$R192)="","",INDEX(Calc!$BC$2:$BC$2001,$R192)))</f>
        <v/>
      </c>
      <c r="O192" s="73">
        <f>IF($R192="","",IF(INDEX(Calc!$BD$2:$BD$2001,$R192)="","",INDEX(Calc!$BD$2:$BD$2001,$R192)))</f>
        <v/>
      </c>
      <c r="P192" s="86">
        <f>IF(R192="","",HYPERLINK("#'"&amp;IF(INDEX(Calc!$AS$2:$AS$2001,R192)="R","Recurring Log","Variable Tasks")&amp;"'!J"&amp;INDEX(Calc!$AT$2:$AT$2001,R192),"✎ edit"))</f>
        <v/>
      </c>
      <c r="R192">
        <f>IFERROR(MATCH(SMALL(Calc!$BK$2:$BK$2001,183),Calc!$BK$2:$BK$2001,0),"")</f>
        <v/>
      </c>
    </row>
    <row r="193">
      <c r="B193" s="36">
        <f>IF(R193="","",184)</f>
        <v/>
      </c>
      <c r="C193" s="37">
        <f>IF($R193="","",IF(INDEX(Calc!$AU$2:$AU$2001,$R193)="","",INDEX(Calc!$AU$2:$AU$2001,$R193)))</f>
        <v/>
      </c>
      <c r="D193" s="36">
        <f>IF($R193="","",IF(INDEX(Calc!$AV$2:$AV$2001,$R193)="","",INDEX(Calc!$AV$2:$AV$2001,$R193)))</f>
        <v/>
      </c>
      <c r="E193" s="38">
        <f>IF($R193="","",IF(INDEX(Calc!$AW$2:$AW$2001,$R193)="","",INDEX(Calc!$AW$2:$AW$2001,$R193)))</f>
        <v/>
      </c>
      <c r="F193" s="68">
        <f>IF(OR(C193="",E193=""),"",E193-Setup!$D$7)</f>
        <v/>
      </c>
      <c r="G193" s="74">
        <f>IF($R193="","",IF(INDEX(Calc!$AX$2:$AX$2001,$R193)="","",INDEX(Calc!$AX$2:$AX$2001,$R193)))</f>
        <v/>
      </c>
      <c r="H193" s="74">
        <f>IF($R193="","",IF(INDEX(Calc!$AY$2:$AY$2001,$R193)="","",INDEX(Calc!$AY$2:$AY$2001,$R193)))</f>
        <v/>
      </c>
      <c r="I193" s="36">
        <f>IF(OR(G193="",H193=""),"",TRIM(IF(HOUR(H193-G193)&gt;0,HOUR(H193-G193)&amp;" hr ","")&amp;IF(MINUTE(H193-G193)&gt;0,MINUTE(H193-G193)&amp;" min","")))</f>
        <v/>
      </c>
      <c r="J193" s="36">
        <f>IF($R193="","",IF(INDEX(Calc!$AZ$2:$AZ$2001,$R193)="","",INDEX(Calc!$AZ$2:$AZ$2001,$R193)))</f>
        <v/>
      </c>
      <c r="K193" s="87">
        <f>IF($R193="","",IF(INDEX(Calc!$BE$2:$BE$2001,$R193)="","",INDEX(Calc!$BE$2:$BE$2001,$R193)))</f>
        <v/>
      </c>
      <c r="L193" s="36">
        <f>IF($R193="","",IF(INDEX(Calc!$BA$2:$BA$2001,$R193)="","",INDEX(Calc!$BA$2:$BA$2001,$R193)))</f>
        <v/>
      </c>
      <c r="M193" s="36">
        <f>IF($R193="","",IF(INDEX(Calc!$BB$2:$BB$2001,$R193)="","",INDEX(Calc!$BB$2:$BB$2001,$R193)))</f>
        <v/>
      </c>
      <c r="N193" s="36">
        <f>IF($R193="","",IF(INDEX(Calc!$BC$2:$BC$2001,$R193)="","",INDEX(Calc!$BC$2:$BC$2001,$R193)))</f>
        <v/>
      </c>
      <c r="O193" s="36">
        <f>IF($R193="","",IF(INDEX(Calc!$BD$2:$BD$2001,$R193)="","",INDEX(Calc!$BD$2:$BD$2001,$R193)))</f>
        <v/>
      </c>
      <c r="P193" s="88">
        <f>IF(R193="","",HYPERLINK("#'"&amp;IF(INDEX(Calc!$AS$2:$AS$2001,R193)="R","Recurring Log","Variable Tasks")&amp;"'!J"&amp;INDEX(Calc!$AT$2:$AT$2001,R193),"✎ edit"))</f>
        <v/>
      </c>
      <c r="R193">
        <f>IFERROR(MATCH(SMALL(Calc!$BK$2:$BK$2001,184),Calc!$BK$2:$BK$2001,0),"")</f>
        <v/>
      </c>
    </row>
    <row r="194">
      <c r="B194" s="73">
        <f>IF(R194="","",185)</f>
        <v/>
      </c>
      <c r="C194" s="75">
        <f>IF($R194="","",IF(INDEX(Calc!$AU$2:$AU$2001,$R194)="","",INDEX(Calc!$AU$2:$AU$2001,$R194)))</f>
        <v/>
      </c>
      <c r="D194" s="73">
        <f>IF($R194="","",IF(INDEX(Calc!$AV$2:$AV$2001,$R194)="","",INDEX(Calc!$AV$2:$AV$2001,$R194)))</f>
        <v/>
      </c>
      <c r="E194" s="76">
        <f>IF($R194="","",IF(INDEX(Calc!$AW$2:$AW$2001,$R194)="","",INDEX(Calc!$AW$2:$AW$2001,$R194)))</f>
        <v/>
      </c>
      <c r="F194" s="72">
        <f>IF(OR(C194="",E194=""),"",E194-Setup!$D$7)</f>
        <v/>
      </c>
      <c r="G194" s="77">
        <f>IF($R194="","",IF(INDEX(Calc!$AX$2:$AX$2001,$R194)="","",INDEX(Calc!$AX$2:$AX$2001,$R194)))</f>
        <v/>
      </c>
      <c r="H194" s="77">
        <f>IF($R194="","",IF(INDEX(Calc!$AY$2:$AY$2001,$R194)="","",INDEX(Calc!$AY$2:$AY$2001,$R194)))</f>
        <v/>
      </c>
      <c r="I194" s="73">
        <f>IF(OR(G194="",H194=""),"",TRIM(IF(HOUR(H194-G194)&gt;0,HOUR(H194-G194)&amp;" hr ","")&amp;IF(MINUTE(H194-G194)&gt;0,MINUTE(H194-G194)&amp;" min","")))</f>
        <v/>
      </c>
      <c r="J194" s="73">
        <f>IF($R194="","",IF(INDEX(Calc!$AZ$2:$AZ$2001,$R194)="","",INDEX(Calc!$AZ$2:$AZ$2001,$R194)))</f>
        <v/>
      </c>
      <c r="K194" s="85">
        <f>IF($R194="","",IF(INDEX(Calc!$BE$2:$BE$2001,$R194)="","",INDEX(Calc!$BE$2:$BE$2001,$R194)))</f>
        <v/>
      </c>
      <c r="L194" s="73">
        <f>IF($R194="","",IF(INDEX(Calc!$BA$2:$BA$2001,$R194)="","",INDEX(Calc!$BA$2:$BA$2001,$R194)))</f>
        <v/>
      </c>
      <c r="M194" s="73">
        <f>IF($R194="","",IF(INDEX(Calc!$BB$2:$BB$2001,$R194)="","",INDEX(Calc!$BB$2:$BB$2001,$R194)))</f>
        <v/>
      </c>
      <c r="N194" s="73">
        <f>IF($R194="","",IF(INDEX(Calc!$BC$2:$BC$2001,$R194)="","",INDEX(Calc!$BC$2:$BC$2001,$R194)))</f>
        <v/>
      </c>
      <c r="O194" s="73">
        <f>IF($R194="","",IF(INDEX(Calc!$BD$2:$BD$2001,$R194)="","",INDEX(Calc!$BD$2:$BD$2001,$R194)))</f>
        <v/>
      </c>
      <c r="P194" s="86">
        <f>IF(R194="","",HYPERLINK("#'"&amp;IF(INDEX(Calc!$AS$2:$AS$2001,R194)="R","Recurring Log","Variable Tasks")&amp;"'!J"&amp;INDEX(Calc!$AT$2:$AT$2001,R194),"✎ edit"))</f>
        <v/>
      </c>
      <c r="R194">
        <f>IFERROR(MATCH(SMALL(Calc!$BK$2:$BK$2001,185),Calc!$BK$2:$BK$2001,0),"")</f>
        <v/>
      </c>
    </row>
    <row r="195">
      <c r="B195" s="36">
        <f>IF(R195="","",186)</f>
        <v/>
      </c>
      <c r="C195" s="37">
        <f>IF($R195="","",IF(INDEX(Calc!$AU$2:$AU$2001,$R195)="","",INDEX(Calc!$AU$2:$AU$2001,$R195)))</f>
        <v/>
      </c>
      <c r="D195" s="36">
        <f>IF($R195="","",IF(INDEX(Calc!$AV$2:$AV$2001,$R195)="","",INDEX(Calc!$AV$2:$AV$2001,$R195)))</f>
        <v/>
      </c>
      <c r="E195" s="38">
        <f>IF($R195="","",IF(INDEX(Calc!$AW$2:$AW$2001,$R195)="","",INDEX(Calc!$AW$2:$AW$2001,$R195)))</f>
        <v/>
      </c>
      <c r="F195" s="68">
        <f>IF(OR(C195="",E195=""),"",E195-Setup!$D$7)</f>
        <v/>
      </c>
      <c r="G195" s="74">
        <f>IF($R195="","",IF(INDEX(Calc!$AX$2:$AX$2001,$R195)="","",INDEX(Calc!$AX$2:$AX$2001,$R195)))</f>
        <v/>
      </c>
      <c r="H195" s="74">
        <f>IF($R195="","",IF(INDEX(Calc!$AY$2:$AY$2001,$R195)="","",INDEX(Calc!$AY$2:$AY$2001,$R195)))</f>
        <v/>
      </c>
      <c r="I195" s="36">
        <f>IF(OR(G195="",H195=""),"",TRIM(IF(HOUR(H195-G195)&gt;0,HOUR(H195-G195)&amp;" hr ","")&amp;IF(MINUTE(H195-G195)&gt;0,MINUTE(H195-G195)&amp;" min","")))</f>
        <v/>
      </c>
      <c r="J195" s="36">
        <f>IF($R195="","",IF(INDEX(Calc!$AZ$2:$AZ$2001,$R195)="","",INDEX(Calc!$AZ$2:$AZ$2001,$R195)))</f>
        <v/>
      </c>
      <c r="K195" s="87">
        <f>IF($R195="","",IF(INDEX(Calc!$BE$2:$BE$2001,$R195)="","",INDEX(Calc!$BE$2:$BE$2001,$R195)))</f>
        <v/>
      </c>
      <c r="L195" s="36">
        <f>IF($R195="","",IF(INDEX(Calc!$BA$2:$BA$2001,$R195)="","",INDEX(Calc!$BA$2:$BA$2001,$R195)))</f>
        <v/>
      </c>
      <c r="M195" s="36">
        <f>IF($R195="","",IF(INDEX(Calc!$BB$2:$BB$2001,$R195)="","",INDEX(Calc!$BB$2:$BB$2001,$R195)))</f>
        <v/>
      </c>
      <c r="N195" s="36">
        <f>IF($R195="","",IF(INDEX(Calc!$BC$2:$BC$2001,$R195)="","",INDEX(Calc!$BC$2:$BC$2001,$R195)))</f>
        <v/>
      </c>
      <c r="O195" s="36">
        <f>IF($R195="","",IF(INDEX(Calc!$BD$2:$BD$2001,$R195)="","",INDEX(Calc!$BD$2:$BD$2001,$R195)))</f>
        <v/>
      </c>
      <c r="P195" s="88">
        <f>IF(R195="","",HYPERLINK("#'"&amp;IF(INDEX(Calc!$AS$2:$AS$2001,R195)="R","Recurring Log","Variable Tasks")&amp;"'!J"&amp;INDEX(Calc!$AT$2:$AT$2001,R195),"✎ edit"))</f>
        <v/>
      </c>
      <c r="R195">
        <f>IFERROR(MATCH(SMALL(Calc!$BK$2:$BK$2001,186),Calc!$BK$2:$BK$2001,0),"")</f>
        <v/>
      </c>
    </row>
    <row r="196">
      <c r="B196" s="73">
        <f>IF(R196="","",187)</f>
        <v/>
      </c>
      <c r="C196" s="75">
        <f>IF($R196="","",IF(INDEX(Calc!$AU$2:$AU$2001,$R196)="","",INDEX(Calc!$AU$2:$AU$2001,$R196)))</f>
        <v/>
      </c>
      <c r="D196" s="73">
        <f>IF($R196="","",IF(INDEX(Calc!$AV$2:$AV$2001,$R196)="","",INDEX(Calc!$AV$2:$AV$2001,$R196)))</f>
        <v/>
      </c>
      <c r="E196" s="76">
        <f>IF($R196="","",IF(INDEX(Calc!$AW$2:$AW$2001,$R196)="","",INDEX(Calc!$AW$2:$AW$2001,$R196)))</f>
        <v/>
      </c>
      <c r="F196" s="72">
        <f>IF(OR(C196="",E196=""),"",E196-Setup!$D$7)</f>
        <v/>
      </c>
      <c r="G196" s="77">
        <f>IF($R196="","",IF(INDEX(Calc!$AX$2:$AX$2001,$R196)="","",INDEX(Calc!$AX$2:$AX$2001,$R196)))</f>
        <v/>
      </c>
      <c r="H196" s="77">
        <f>IF($R196="","",IF(INDEX(Calc!$AY$2:$AY$2001,$R196)="","",INDEX(Calc!$AY$2:$AY$2001,$R196)))</f>
        <v/>
      </c>
      <c r="I196" s="73">
        <f>IF(OR(G196="",H196=""),"",TRIM(IF(HOUR(H196-G196)&gt;0,HOUR(H196-G196)&amp;" hr ","")&amp;IF(MINUTE(H196-G196)&gt;0,MINUTE(H196-G196)&amp;" min","")))</f>
        <v/>
      </c>
      <c r="J196" s="73">
        <f>IF($R196="","",IF(INDEX(Calc!$AZ$2:$AZ$2001,$R196)="","",INDEX(Calc!$AZ$2:$AZ$2001,$R196)))</f>
        <v/>
      </c>
      <c r="K196" s="85">
        <f>IF($R196="","",IF(INDEX(Calc!$BE$2:$BE$2001,$R196)="","",INDEX(Calc!$BE$2:$BE$2001,$R196)))</f>
        <v/>
      </c>
      <c r="L196" s="73">
        <f>IF($R196="","",IF(INDEX(Calc!$BA$2:$BA$2001,$R196)="","",INDEX(Calc!$BA$2:$BA$2001,$R196)))</f>
        <v/>
      </c>
      <c r="M196" s="73">
        <f>IF($R196="","",IF(INDEX(Calc!$BB$2:$BB$2001,$R196)="","",INDEX(Calc!$BB$2:$BB$2001,$R196)))</f>
        <v/>
      </c>
      <c r="N196" s="73">
        <f>IF($R196="","",IF(INDEX(Calc!$BC$2:$BC$2001,$R196)="","",INDEX(Calc!$BC$2:$BC$2001,$R196)))</f>
        <v/>
      </c>
      <c r="O196" s="73">
        <f>IF($R196="","",IF(INDEX(Calc!$BD$2:$BD$2001,$R196)="","",INDEX(Calc!$BD$2:$BD$2001,$R196)))</f>
        <v/>
      </c>
      <c r="P196" s="86">
        <f>IF(R196="","",HYPERLINK("#'"&amp;IF(INDEX(Calc!$AS$2:$AS$2001,R196)="R","Recurring Log","Variable Tasks")&amp;"'!J"&amp;INDEX(Calc!$AT$2:$AT$2001,R196),"✎ edit"))</f>
        <v/>
      </c>
      <c r="R196">
        <f>IFERROR(MATCH(SMALL(Calc!$BK$2:$BK$2001,187),Calc!$BK$2:$BK$2001,0),"")</f>
        <v/>
      </c>
    </row>
    <row r="197">
      <c r="B197" s="36">
        <f>IF(R197="","",188)</f>
        <v/>
      </c>
      <c r="C197" s="37">
        <f>IF($R197="","",IF(INDEX(Calc!$AU$2:$AU$2001,$R197)="","",INDEX(Calc!$AU$2:$AU$2001,$R197)))</f>
        <v/>
      </c>
      <c r="D197" s="36">
        <f>IF($R197="","",IF(INDEX(Calc!$AV$2:$AV$2001,$R197)="","",INDEX(Calc!$AV$2:$AV$2001,$R197)))</f>
        <v/>
      </c>
      <c r="E197" s="38">
        <f>IF($R197="","",IF(INDEX(Calc!$AW$2:$AW$2001,$R197)="","",INDEX(Calc!$AW$2:$AW$2001,$R197)))</f>
        <v/>
      </c>
      <c r="F197" s="68">
        <f>IF(OR(C197="",E197=""),"",E197-Setup!$D$7)</f>
        <v/>
      </c>
      <c r="G197" s="74">
        <f>IF($R197="","",IF(INDEX(Calc!$AX$2:$AX$2001,$R197)="","",INDEX(Calc!$AX$2:$AX$2001,$R197)))</f>
        <v/>
      </c>
      <c r="H197" s="74">
        <f>IF($R197="","",IF(INDEX(Calc!$AY$2:$AY$2001,$R197)="","",INDEX(Calc!$AY$2:$AY$2001,$R197)))</f>
        <v/>
      </c>
      <c r="I197" s="36">
        <f>IF(OR(G197="",H197=""),"",TRIM(IF(HOUR(H197-G197)&gt;0,HOUR(H197-G197)&amp;" hr ","")&amp;IF(MINUTE(H197-G197)&gt;0,MINUTE(H197-G197)&amp;" min","")))</f>
        <v/>
      </c>
      <c r="J197" s="36">
        <f>IF($R197="","",IF(INDEX(Calc!$AZ$2:$AZ$2001,$R197)="","",INDEX(Calc!$AZ$2:$AZ$2001,$R197)))</f>
        <v/>
      </c>
      <c r="K197" s="87">
        <f>IF($R197="","",IF(INDEX(Calc!$BE$2:$BE$2001,$R197)="","",INDEX(Calc!$BE$2:$BE$2001,$R197)))</f>
        <v/>
      </c>
      <c r="L197" s="36">
        <f>IF($R197="","",IF(INDEX(Calc!$BA$2:$BA$2001,$R197)="","",INDEX(Calc!$BA$2:$BA$2001,$R197)))</f>
        <v/>
      </c>
      <c r="M197" s="36">
        <f>IF($R197="","",IF(INDEX(Calc!$BB$2:$BB$2001,$R197)="","",INDEX(Calc!$BB$2:$BB$2001,$R197)))</f>
        <v/>
      </c>
      <c r="N197" s="36">
        <f>IF($R197="","",IF(INDEX(Calc!$BC$2:$BC$2001,$R197)="","",INDEX(Calc!$BC$2:$BC$2001,$R197)))</f>
        <v/>
      </c>
      <c r="O197" s="36">
        <f>IF($R197="","",IF(INDEX(Calc!$BD$2:$BD$2001,$R197)="","",INDEX(Calc!$BD$2:$BD$2001,$R197)))</f>
        <v/>
      </c>
      <c r="P197" s="88">
        <f>IF(R197="","",HYPERLINK("#'"&amp;IF(INDEX(Calc!$AS$2:$AS$2001,R197)="R","Recurring Log","Variable Tasks")&amp;"'!J"&amp;INDEX(Calc!$AT$2:$AT$2001,R197),"✎ edit"))</f>
        <v/>
      </c>
      <c r="R197">
        <f>IFERROR(MATCH(SMALL(Calc!$BK$2:$BK$2001,188),Calc!$BK$2:$BK$2001,0),"")</f>
        <v/>
      </c>
    </row>
    <row r="198">
      <c r="B198" s="73">
        <f>IF(R198="","",189)</f>
        <v/>
      </c>
      <c r="C198" s="75">
        <f>IF($R198="","",IF(INDEX(Calc!$AU$2:$AU$2001,$R198)="","",INDEX(Calc!$AU$2:$AU$2001,$R198)))</f>
        <v/>
      </c>
      <c r="D198" s="73">
        <f>IF($R198="","",IF(INDEX(Calc!$AV$2:$AV$2001,$R198)="","",INDEX(Calc!$AV$2:$AV$2001,$R198)))</f>
        <v/>
      </c>
      <c r="E198" s="76">
        <f>IF($R198="","",IF(INDEX(Calc!$AW$2:$AW$2001,$R198)="","",INDEX(Calc!$AW$2:$AW$2001,$R198)))</f>
        <v/>
      </c>
      <c r="F198" s="72">
        <f>IF(OR(C198="",E198=""),"",E198-Setup!$D$7)</f>
        <v/>
      </c>
      <c r="G198" s="77">
        <f>IF($R198="","",IF(INDEX(Calc!$AX$2:$AX$2001,$R198)="","",INDEX(Calc!$AX$2:$AX$2001,$R198)))</f>
        <v/>
      </c>
      <c r="H198" s="77">
        <f>IF($R198="","",IF(INDEX(Calc!$AY$2:$AY$2001,$R198)="","",INDEX(Calc!$AY$2:$AY$2001,$R198)))</f>
        <v/>
      </c>
      <c r="I198" s="73">
        <f>IF(OR(G198="",H198=""),"",TRIM(IF(HOUR(H198-G198)&gt;0,HOUR(H198-G198)&amp;" hr ","")&amp;IF(MINUTE(H198-G198)&gt;0,MINUTE(H198-G198)&amp;" min","")))</f>
        <v/>
      </c>
      <c r="J198" s="73">
        <f>IF($R198="","",IF(INDEX(Calc!$AZ$2:$AZ$2001,$R198)="","",INDEX(Calc!$AZ$2:$AZ$2001,$R198)))</f>
        <v/>
      </c>
      <c r="K198" s="85">
        <f>IF($R198="","",IF(INDEX(Calc!$BE$2:$BE$2001,$R198)="","",INDEX(Calc!$BE$2:$BE$2001,$R198)))</f>
        <v/>
      </c>
      <c r="L198" s="73">
        <f>IF($R198="","",IF(INDEX(Calc!$BA$2:$BA$2001,$R198)="","",INDEX(Calc!$BA$2:$BA$2001,$R198)))</f>
        <v/>
      </c>
      <c r="M198" s="73">
        <f>IF($R198="","",IF(INDEX(Calc!$BB$2:$BB$2001,$R198)="","",INDEX(Calc!$BB$2:$BB$2001,$R198)))</f>
        <v/>
      </c>
      <c r="N198" s="73">
        <f>IF($R198="","",IF(INDEX(Calc!$BC$2:$BC$2001,$R198)="","",INDEX(Calc!$BC$2:$BC$2001,$R198)))</f>
        <v/>
      </c>
      <c r="O198" s="73">
        <f>IF($R198="","",IF(INDEX(Calc!$BD$2:$BD$2001,$R198)="","",INDEX(Calc!$BD$2:$BD$2001,$R198)))</f>
        <v/>
      </c>
      <c r="P198" s="86">
        <f>IF(R198="","",HYPERLINK("#'"&amp;IF(INDEX(Calc!$AS$2:$AS$2001,R198)="R","Recurring Log","Variable Tasks")&amp;"'!J"&amp;INDEX(Calc!$AT$2:$AT$2001,R198),"✎ edit"))</f>
        <v/>
      </c>
      <c r="R198">
        <f>IFERROR(MATCH(SMALL(Calc!$BK$2:$BK$2001,189),Calc!$BK$2:$BK$2001,0),"")</f>
        <v/>
      </c>
    </row>
    <row r="199">
      <c r="B199" s="36">
        <f>IF(R199="","",190)</f>
        <v/>
      </c>
      <c r="C199" s="37">
        <f>IF($R199="","",IF(INDEX(Calc!$AU$2:$AU$2001,$R199)="","",INDEX(Calc!$AU$2:$AU$2001,$R199)))</f>
        <v/>
      </c>
      <c r="D199" s="36">
        <f>IF($R199="","",IF(INDEX(Calc!$AV$2:$AV$2001,$R199)="","",INDEX(Calc!$AV$2:$AV$2001,$R199)))</f>
        <v/>
      </c>
      <c r="E199" s="38">
        <f>IF($R199="","",IF(INDEX(Calc!$AW$2:$AW$2001,$R199)="","",INDEX(Calc!$AW$2:$AW$2001,$R199)))</f>
        <v/>
      </c>
      <c r="F199" s="68">
        <f>IF(OR(C199="",E199=""),"",E199-Setup!$D$7)</f>
        <v/>
      </c>
      <c r="G199" s="74">
        <f>IF($R199="","",IF(INDEX(Calc!$AX$2:$AX$2001,$R199)="","",INDEX(Calc!$AX$2:$AX$2001,$R199)))</f>
        <v/>
      </c>
      <c r="H199" s="74">
        <f>IF($R199="","",IF(INDEX(Calc!$AY$2:$AY$2001,$R199)="","",INDEX(Calc!$AY$2:$AY$2001,$R199)))</f>
        <v/>
      </c>
      <c r="I199" s="36">
        <f>IF(OR(G199="",H199=""),"",TRIM(IF(HOUR(H199-G199)&gt;0,HOUR(H199-G199)&amp;" hr ","")&amp;IF(MINUTE(H199-G199)&gt;0,MINUTE(H199-G199)&amp;" min","")))</f>
        <v/>
      </c>
      <c r="J199" s="36">
        <f>IF($R199="","",IF(INDEX(Calc!$AZ$2:$AZ$2001,$R199)="","",INDEX(Calc!$AZ$2:$AZ$2001,$R199)))</f>
        <v/>
      </c>
      <c r="K199" s="87">
        <f>IF($R199="","",IF(INDEX(Calc!$BE$2:$BE$2001,$R199)="","",INDEX(Calc!$BE$2:$BE$2001,$R199)))</f>
        <v/>
      </c>
      <c r="L199" s="36">
        <f>IF($R199="","",IF(INDEX(Calc!$BA$2:$BA$2001,$R199)="","",INDEX(Calc!$BA$2:$BA$2001,$R199)))</f>
        <v/>
      </c>
      <c r="M199" s="36">
        <f>IF($R199="","",IF(INDEX(Calc!$BB$2:$BB$2001,$R199)="","",INDEX(Calc!$BB$2:$BB$2001,$R199)))</f>
        <v/>
      </c>
      <c r="N199" s="36">
        <f>IF($R199="","",IF(INDEX(Calc!$BC$2:$BC$2001,$R199)="","",INDEX(Calc!$BC$2:$BC$2001,$R199)))</f>
        <v/>
      </c>
      <c r="O199" s="36">
        <f>IF($R199="","",IF(INDEX(Calc!$BD$2:$BD$2001,$R199)="","",INDEX(Calc!$BD$2:$BD$2001,$R199)))</f>
        <v/>
      </c>
      <c r="P199" s="88">
        <f>IF(R199="","",HYPERLINK("#'"&amp;IF(INDEX(Calc!$AS$2:$AS$2001,R199)="R","Recurring Log","Variable Tasks")&amp;"'!J"&amp;INDEX(Calc!$AT$2:$AT$2001,R199),"✎ edit"))</f>
        <v/>
      </c>
      <c r="R199">
        <f>IFERROR(MATCH(SMALL(Calc!$BK$2:$BK$2001,190),Calc!$BK$2:$BK$2001,0),"")</f>
        <v/>
      </c>
    </row>
    <row r="200">
      <c r="B200" s="73">
        <f>IF(R200="","",191)</f>
        <v/>
      </c>
      <c r="C200" s="75">
        <f>IF($R200="","",IF(INDEX(Calc!$AU$2:$AU$2001,$R200)="","",INDEX(Calc!$AU$2:$AU$2001,$R200)))</f>
        <v/>
      </c>
      <c r="D200" s="73">
        <f>IF($R200="","",IF(INDEX(Calc!$AV$2:$AV$2001,$R200)="","",INDEX(Calc!$AV$2:$AV$2001,$R200)))</f>
        <v/>
      </c>
      <c r="E200" s="76">
        <f>IF($R200="","",IF(INDEX(Calc!$AW$2:$AW$2001,$R200)="","",INDEX(Calc!$AW$2:$AW$2001,$R200)))</f>
        <v/>
      </c>
      <c r="F200" s="72">
        <f>IF(OR(C200="",E200=""),"",E200-Setup!$D$7)</f>
        <v/>
      </c>
      <c r="G200" s="77">
        <f>IF($R200="","",IF(INDEX(Calc!$AX$2:$AX$2001,$R200)="","",INDEX(Calc!$AX$2:$AX$2001,$R200)))</f>
        <v/>
      </c>
      <c r="H200" s="77">
        <f>IF($R200="","",IF(INDEX(Calc!$AY$2:$AY$2001,$R200)="","",INDEX(Calc!$AY$2:$AY$2001,$R200)))</f>
        <v/>
      </c>
      <c r="I200" s="73">
        <f>IF(OR(G200="",H200=""),"",TRIM(IF(HOUR(H200-G200)&gt;0,HOUR(H200-G200)&amp;" hr ","")&amp;IF(MINUTE(H200-G200)&gt;0,MINUTE(H200-G200)&amp;" min","")))</f>
        <v/>
      </c>
      <c r="J200" s="73">
        <f>IF($R200="","",IF(INDEX(Calc!$AZ$2:$AZ$2001,$R200)="","",INDEX(Calc!$AZ$2:$AZ$2001,$R200)))</f>
        <v/>
      </c>
      <c r="K200" s="85">
        <f>IF($R200="","",IF(INDEX(Calc!$BE$2:$BE$2001,$R200)="","",INDEX(Calc!$BE$2:$BE$2001,$R200)))</f>
        <v/>
      </c>
      <c r="L200" s="73">
        <f>IF($R200="","",IF(INDEX(Calc!$BA$2:$BA$2001,$R200)="","",INDEX(Calc!$BA$2:$BA$2001,$R200)))</f>
        <v/>
      </c>
      <c r="M200" s="73">
        <f>IF($R200="","",IF(INDEX(Calc!$BB$2:$BB$2001,$R200)="","",INDEX(Calc!$BB$2:$BB$2001,$R200)))</f>
        <v/>
      </c>
      <c r="N200" s="73">
        <f>IF($R200="","",IF(INDEX(Calc!$BC$2:$BC$2001,$R200)="","",INDEX(Calc!$BC$2:$BC$2001,$R200)))</f>
        <v/>
      </c>
      <c r="O200" s="73">
        <f>IF($R200="","",IF(INDEX(Calc!$BD$2:$BD$2001,$R200)="","",INDEX(Calc!$BD$2:$BD$2001,$R200)))</f>
        <v/>
      </c>
      <c r="P200" s="86">
        <f>IF(R200="","",HYPERLINK("#'"&amp;IF(INDEX(Calc!$AS$2:$AS$2001,R200)="R","Recurring Log","Variable Tasks")&amp;"'!J"&amp;INDEX(Calc!$AT$2:$AT$2001,R200),"✎ edit"))</f>
        <v/>
      </c>
      <c r="R200">
        <f>IFERROR(MATCH(SMALL(Calc!$BK$2:$BK$2001,191),Calc!$BK$2:$BK$2001,0),"")</f>
        <v/>
      </c>
    </row>
    <row r="201">
      <c r="B201" s="36">
        <f>IF(R201="","",192)</f>
        <v/>
      </c>
      <c r="C201" s="37">
        <f>IF($R201="","",IF(INDEX(Calc!$AU$2:$AU$2001,$R201)="","",INDEX(Calc!$AU$2:$AU$2001,$R201)))</f>
        <v/>
      </c>
      <c r="D201" s="36">
        <f>IF($R201="","",IF(INDEX(Calc!$AV$2:$AV$2001,$R201)="","",INDEX(Calc!$AV$2:$AV$2001,$R201)))</f>
        <v/>
      </c>
      <c r="E201" s="38">
        <f>IF($R201="","",IF(INDEX(Calc!$AW$2:$AW$2001,$R201)="","",INDEX(Calc!$AW$2:$AW$2001,$R201)))</f>
        <v/>
      </c>
      <c r="F201" s="68">
        <f>IF(OR(C201="",E201=""),"",E201-Setup!$D$7)</f>
        <v/>
      </c>
      <c r="G201" s="74">
        <f>IF($R201="","",IF(INDEX(Calc!$AX$2:$AX$2001,$R201)="","",INDEX(Calc!$AX$2:$AX$2001,$R201)))</f>
        <v/>
      </c>
      <c r="H201" s="74">
        <f>IF($R201="","",IF(INDEX(Calc!$AY$2:$AY$2001,$R201)="","",INDEX(Calc!$AY$2:$AY$2001,$R201)))</f>
        <v/>
      </c>
      <c r="I201" s="36">
        <f>IF(OR(G201="",H201=""),"",TRIM(IF(HOUR(H201-G201)&gt;0,HOUR(H201-G201)&amp;" hr ","")&amp;IF(MINUTE(H201-G201)&gt;0,MINUTE(H201-G201)&amp;" min","")))</f>
        <v/>
      </c>
      <c r="J201" s="36">
        <f>IF($R201="","",IF(INDEX(Calc!$AZ$2:$AZ$2001,$R201)="","",INDEX(Calc!$AZ$2:$AZ$2001,$R201)))</f>
        <v/>
      </c>
      <c r="K201" s="87">
        <f>IF($R201="","",IF(INDEX(Calc!$BE$2:$BE$2001,$R201)="","",INDEX(Calc!$BE$2:$BE$2001,$R201)))</f>
        <v/>
      </c>
      <c r="L201" s="36">
        <f>IF($R201="","",IF(INDEX(Calc!$BA$2:$BA$2001,$R201)="","",INDEX(Calc!$BA$2:$BA$2001,$R201)))</f>
        <v/>
      </c>
      <c r="M201" s="36">
        <f>IF($R201="","",IF(INDEX(Calc!$BB$2:$BB$2001,$R201)="","",INDEX(Calc!$BB$2:$BB$2001,$R201)))</f>
        <v/>
      </c>
      <c r="N201" s="36">
        <f>IF($R201="","",IF(INDEX(Calc!$BC$2:$BC$2001,$R201)="","",INDEX(Calc!$BC$2:$BC$2001,$R201)))</f>
        <v/>
      </c>
      <c r="O201" s="36">
        <f>IF($R201="","",IF(INDEX(Calc!$BD$2:$BD$2001,$R201)="","",INDEX(Calc!$BD$2:$BD$2001,$R201)))</f>
        <v/>
      </c>
      <c r="P201" s="88">
        <f>IF(R201="","",HYPERLINK("#'"&amp;IF(INDEX(Calc!$AS$2:$AS$2001,R201)="R","Recurring Log","Variable Tasks")&amp;"'!J"&amp;INDEX(Calc!$AT$2:$AT$2001,R201),"✎ edit"))</f>
        <v/>
      </c>
      <c r="R201">
        <f>IFERROR(MATCH(SMALL(Calc!$BK$2:$BK$2001,192),Calc!$BK$2:$BK$2001,0),"")</f>
        <v/>
      </c>
    </row>
    <row r="202">
      <c r="B202" s="73">
        <f>IF(R202="","",193)</f>
        <v/>
      </c>
      <c r="C202" s="75">
        <f>IF($R202="","",IF(INDEX(Calc!$AU$2:$AU$2001,$R202)="","",INDEX(Calc!$AU$2:$AU$2001,$R202)))</f>
        <v/>
      </c>
      <c r="D202" s="73">
        <f>IF($R202="","",IF(INDEX(Calc!$AV$2:$AV$2001,$R202)="","",INDEX(Calc!$AV$2:$AV$2001,$R202)))</f>
        <v/>
      </c>
      <c r="E202" s="76">
        <f>IF($R202="","",IF(INDEX(Calc!$AW$2:$AW$2001,$R202)="","",INDEX(Calc!$AW$2:$AW$2001,$R202)))</f>
        <v/>
      </c>
      <c r="F202" s="72">
        <f>IF(OR(C202="",E202=""),"",E202-Setup!$D$7)</f>
        <v/>
      </c>
      <c r="G202" s="77">
        <f>IF($R202="","",IF(INDEX(Calc!$AX$2:$AX$2001,$R202)="","",INDEX(Calc!$AX$2:$AX$2001,$R202)))</f>
        <v/>
      </c>
      <c r="H202" s="77">
        <f>IF($R202="","",IF(INDEX(Calc!$AY$2:$AY$2001,$R202)="","",INDEX(Calc!$AY$2:$AY$2001,$R202)))</f>
        <v/>
      </c>
      <c r="I202" s="73">
        <f>IF(OR(G202="",H202=""),"",TRIM(IF(HOUR(H202-G202)&gt;0,HOUR(H202-G202)&amp;" hr ","")&amp;IF(MINUTE(H202-G202)&gt;0,MINUTE(H202-G202)&amp;" min","")))</f>
        <v/>
      </c>
      <c r="J202" s="73">
        <f>IF($R202="","",IF(INDEX(Calc!$AZ$2:$AZ$2001,$R202)="","",INDEX(Calc!$AZ$2:$AZ$2001,$R202)))</f>
        <v/>
      </c>
      <c r="K202" s="85">
        <f>IF($R202="","",IF(INDEX(Calc!$BE$2:$BE$2001,$R202)="","",INDEX(Calc!$BE$2:$BE$2001,$R202)))</f>
        <v/>
      </c>
      <c r="L202" s="73">
        <f>IF($R202="","",IF(INDEX(Calc!$BA$2:$BA$2001,$R202)="","",INDEX(Calc!$BA$2:$BA$2001,$R202)))</f>
        <v/>
      </c>
      <c r="M202" s="73">
        <f>IF($R202="","",IF(INDEX(Calc!$BB$2:$BB$2001,$R202)="","",INDEX(Calc!$BB$2:$BB$2001,$R202)))</f>
        <v/>
      </c>
      <c r="N202" s="73">
        <f>IF($R202="","",IF(INDEX(Calc!$BC$2:$BC$2001,$R202)="","",INDEX(Calc!$BC$2:$BC$2001,$R202)))</f>
        <v/>
      </c>
      <c r="O202" s="73">
        <f>IF($R202="","",IF(INDEX(Calc!$BD$2:$BD$2001,$R202)="","",INDEX(Calc!$BD$2:$BD$2001,$R202)))</f>
        <v/>
      </c>
      <c r="P202" s="86">
        <f>IF(R202="","",HYPERLINK("#'"&amp;IF(INDEX(Calc!$AS$2:$AS$2001,R202)="R","Recurring Log","Variable Tasks")&amp;"'!J"&amp;INDEX(Calc!$AT$2:$AT$2001,R202),"✎ edit"))</f>
        <v/>
      </c>
      <c r="R202">
        <f>IFERROR(MATCH(SMALL(Calc!$BK$2:$BK$2001,193),Calc!$BK$2:$BK$2001,0),"")</f>
        <v/>
      </c>
    </row>
    <row r="203">
      <c r="B203" s="36">
        <f>IF(R203="","",194)</f>
        <v/>
      </c>
      <c r="C203" s="37">
        <f>IF($R203="","",IF(INDEX(Calc!$AU$2:$AU$2001,$R203)="","",INDEX(Calc!$AU$2:$AU$2001,$R203)))</f>
        <v/>
      </c>
      <c r="D203" s="36">
        <f>IF($R203="","",IF(INDEX(Calc!$AV$2:$AV$2001,$R203)="","",INDEX(Calc!$AV$2:$AV$2001,$R203)))</f>
        <v/>
      </c>
      <c r="E203" s="38">
        <f>IF($R203="","",IF(INDEX(Calc!$AW$2:$AW$2001,$R203)="","",INDEX(Calc!$AW$2:$AW$2001,$R203)))</f>
        <v/>
      </c>
      <c r="F203" s="68">
        <f>IF(OR(C203="",E203=""),"",E203-Setup!$D$7)</f>
        <v/>
      </c>
      <c r="G203" s="74">
        <f>IF($R203="","",IF(INDEX(Calc!$AX$2:$AX$2001,$R203)="","",INDEX(Calc!$AX$2:$AX$2001,$R203)))</f>
        <v/>
      </c>
      <c r="H203" s="74">
        <f>IF($R203="","",IF(INDEX(Calc!$AY$2:$AY$2001,$R203)="","",INDEX(Calc!$AY$2:$AY$2001,$R203)))</f>
        <v/>
      </c>
      <c r="I203" s="36">
        <f>IF(OR(G203="",H203=""),"",TRIM(IF(HOUR(H203-G203)&gt;0,HOUR(H203-G203)&amp;" hr ","")&amp;IF(MINUTE(H203-G203)&gt;0,MINUTE(H203-G203)&amp;" min","")))</f>
        <v/>
      </c>
      <c r="J203" s="36">
        <f>IF($R203="","",IF(INDEX(Calc!$AZ$2:$AZ$2001,$R203)="","",INDEX(Calc!$AZ$2:$AZ$2001,$R203)))</f>
        <v/>
      </c>
      <c r="K203" s="87">
        <f>IF($R203="","",IF(INDEX(Calc!$BE$2:$BE$2001,$R203)="","",INDEX(Calc!$BE$2:$BE$2001,$R203)))</f>
        <v/>
      </c>
      <c r="L203" s="36">
        <f>IF($R203="","",IF(INDEX(Calc!$BA$2:$BA$2001,$R203)="","",INDEX(Calc!$BA$2:$BA$2001,$R203)))</f>
        <v/>
      </c>
      <c r="M203" s="36">
        <f>IF($R203="","",IF(INDEX(Calc!$BB$2:$BB$2001,$R203)="","",INDEX(Calc!$BB$2:$BB$2001,$R203)))</f>
        <v/>
      </c>
      <c r="N203" s="36">
        <f>IF($R203="","",IF(INDEX(Calc!$BC$2:$BC$2001,$R203)="","",INDEX(Calc!$BC$2:$BC$2001,$R203)))</f>
        <v/>
      </c>
      <c r="O203" s="36">
        <f>IF($R203="","",IF(INDEX(Calc!$BD$2:$BD$2001,$R203)="","",INDEX(Calc!$BD$2:$BD$2001,$R203)))</f>
        <v/>
      </c>
      <c r="P203" s="88">
        <f>IF(R203="","",HYPERLINK("#'"&amp;IF(INDEX(Calc!$AS$2:$AS$2001,R203)="R","Recurring Log","Variable Tasks")&amp;"'!J"&amp;INDEX(Calc!$AT$2:$AT$2001,R203),"✎ edit"))</f>
        <v/>
      </c>
      <c r="R203">
        <f>IFERROR(MATCH(SMALL(Calc!$BK$2:$BK$2001,194),Calc!$BK$2:$BK$2001,0),"")</f>
        <v/>
      </c>
    </row>
    <row r="204">
      <c r="B204" s="73">
        <f>IF(R204="","",195)</f>
        <v/>
      </c>
      <c r="C204" s="75">
        <f>IF($R204="","",IF(INDEX(Calc!$AU$2:$AU$2001,$R204)="","",INDEX(Calc!$AU$2:$AU$2001,$R204)))</f>
        <v/>
      </c>
      <c r="D204" s="73">
        <f>IF($R204="","",IF(INDEX(Calc!$AV$2:$AV$2001,$R204)="","",INDEX(Calc!$AV$2:$AV$2001,$R204)))</f>
        <v/>
      </c>
      <c r="E204" s="76">
        <f>IF($R204="","",IF(INDEX(Calc!$AW$2:$AW$2001,$R204)="","",INDEX(Calc!$AW$2:$AW$2001,$R204)))</f>
        <v/>
      </c>
      <c r="F204" s="72">
        <f>IF(OR(C204="",E204=""),"",E204-Setup!$D$7)</f>
        <v/>
      </c>
      <c r="G204" s="77">
        <f>IF($R204="","",IF(INDEX(Calc!$AX$2:$AX$2001,$R204)="","",INDEX(Calc!$AX$2:$AX$2001,$R204)))</f>
        <v/>
      </c>
      <c r="H204" s="77">
        <f>IF($R204="","",IF(INDEX(Calc!$AY$2:$AY$2001,$R204)="","",INDEX(Calc!$AY$2:$AY$2001,$R204)))</f>
        <v/>
      </c>
      <c r="I204" s="73">
        <f>IF(OR(G204="",H204=""),"",TRIM(IF(HOUR(H204-G204)&gt;0,HOUR(H204-G204)&amp;" hr ","")&amp;IF(MINUTE(H204-G204)&gt;0,MINUTE(H204-G204)&amp;" min","")))</f>
        <v/>
      </c>
      <c r="J204" s="73">
        <f>IF($R204="","",IF(INDEX(Calc!$AZ$2:$AZ$2001,$R204)="","",INDEX(Calc!$AZ$2:$AZ$2001,$R204)))</f>
        <v/>
      </c>
      <c r="K204" s="85">
        <f>IF($R204="","",IF(INDEX(Calc!$BE$2:$BE$2001,$R204)="","",INDEX(Calc!$BE$2:$BE$2001,$R204)))</f>
        <v/>
      </c>
      <c r="L204" s="73">
        <f>IF($R204="","",IF(INDEX(Calc!$BA$2:$BA$2001,$R204)="","",INDEX(Calc!$BA$2:$BA$2001,$R204)))</f>
        <v/>
      </c>
      <c r="M204" s="73">
        <f>IF($R204="","",IF(INDEX(Calc!$BB$2:$BB$2001,$R204)="","",INDEX(Calc!$BB$2:$BB$2001,$R204)))</f>
        <v/>
      </c>
      <c r="N204" s="73">
        <f>IF($R204="","",IF(INDEX(Calc!$BC$2:$BC$2001,$R204)="","",INDEX(Calc!$BC$2:$BC$2001,$R204)))</f>
        <v/>
      </c>
      <c r="O204" s="73">
        <f>IF($R204="","",IF(INDEX(Calc!$BD$2:$BD$2001,$R204)="","",INDEX(Calc!$BD$2:$BD$2001,$R204)))</f>
        <v/>
      </c>
      <c r="P204" s="86">
        <f>IF(R204="","",HYPERLINK("#'"&amp;IF(INDEX(Calc!$AS$2:$AS$2001,R204)="R","Recurring Log","Variable Tasks")&amp;"'!J"&amp;INDEX(Calc!$AT$2:$AT$2001,R204),"✎ edit"))</f>
        <v/>
      </c>
      <c r="R204">
        <f>IFERROR(MATCH(SMALL(Calc!$BK$2:$BK$2001,195),Calc!$BK$2:$BK$2001,0),"")</f>
        <v/>
      </c>
    </row>
    <row r="205">
      <c r="B205" s="36">
        <f>IF(R205="","",196)</f>
        <v/>
      </c>
      <c r="C205" s="37">
        <f>IF($R205="","",IF(INDEX(Calc!$AU$2:$AU$2001,$R205)="","",INDEX(Calc!$AU$2:$AU$2001,$R205)))</f>
        <v/>
      </c>
      <c r="D205" s="36">
        <f>IF($R205="","",IF(INDEX(Calc!$AV$2:$AV$2001,$R205)="","",INDEX(Calc!$AV$2:$AV$2001,$R205)))</f>
        <v/>
      </c>
      <c r="E205" s="38">
        <f>IF($R205="","",IF(INDEX(Calc!$AW$2:$AW$2001,$R205)="","",INDEX(Calc!$AW$2:$AW$2001,$R205)))</f>
        <v/>
      </c>
      <c r="F205" s="68">
        <f>IF(OR(C205="",E205=""),"",E205-Setup!$D$7)</f>
        <v/>
      </c>
      <c r="G205" s="74">
        <f>IF($R205="","",IF(INDEX(Calc!$AX$2:$AX$2001,$R205)="","",INDEX(Calc!$AX$2:$AX$2001,$R205)))</f>
        <v/>
      </c>
      <c r="H205" s="74">
        <f>IF($R205="","",IF(INDEX(Calc!$AY$2:$AY$2001,$R205)="","",INDEX(Calc!$AY$2:$AY$2001,$R205)))</f>
        <v/>
      </c>
      <c r="I205" s="36">
        <f>IF(OR(G205="",H205=""),"",TRIM(IF(HOUR(H205-G205)&gt;0,HOUR(H205-G205)&amp;" hr ","")&amp;IF(MINUTE(H205-G205)&gt;0,MINUTE(H205-G205)&amp;" min","")))</f>
        <v/>
      </c>
      <c r="J205" s="36">
        <f>IF($R205="","",IF(INDEX(Calc!$AZ$2:$AZ$2001,$R205)="","",INDEX(Calc!$AZ$2:$AZ$2001,$R205)))</f>
        <v/>
      </c>
      <c r="K205" s="87">
        <f>IF($R205="","",IF(INDEX(Calc!$BE$2:$BE$2001,$R205)="","",INDEX(Calc!$BE$2:$BE$2001,$R205)))</f>
        <v/>
      </c>
      <c r="L205" s="36">
        <f>IF($R205="","",IF(INDEX(Calc!$BA$2:$BA$2001,$R205)="","",INDEX(Calc!$BA$2:$BA$2001,$R205)))</f>
        <v/>
      </c>
      <c r="M205" s="36">
        <f>IF($R205="","",IF(INDEX(Calc!$BB$2:$BB$2001,$R205)="","",INDEX(Calc!$BB$2:$BB$2001,$R205)))</f>
        <v/>
      </c>
      <c r="N205" s="36">
        <f>IF($R205="","",IF(INDEX(Calc!$BC$2:$BC$2001,$R205)="","",INDEX(Calc!$BC$2:$BC$2001,$R205)))</f>
        <v/>
      </c>
      <c r="O205" s="36">
        <f>IF($R205="","",IF(INDEX(Calc!$BD$2:$BD$2001,$R205)="","",INDEX(Calc!$BD$2:$BD$2001,$R205)))</f>
        <v/>
      </c>
      <c r="P205" s="88">
        <f>IF(R205="","",HYPERLINK("#'"&amp;IF(INDEX(Calc!$AS$2:$AS$2001,R205)="R","Recurring Log","Variable Tasks")&amp;"'!J"&amp;INDEX(Calc!$AT$2:$AT$2001,R205),"✎ edit"))</f>
        <v/>
      </c>
      <c r="R205">
        <f>IFERROR(MATCH(SMALL(Calc!$BK$2:$BK$2001,196),Calc!$BK$2:$BK$2001,0),"")</f>
        <v/>
      </c>
    </row>
    <row r="206">
      <c r="B206" s="73">
        <f>IF(R206="","",197)</f>
        <v/>
      </c>
      <c r="C206" s="75">
        <f>IF($R206="","",IF(INDEX(Calc!$AU$2:$AU$2001,$R206)="","",INDEX(Calc!$AU$2:$AU$2001,$R206)))</f>
        <v/>
      </c>
      <c r="D206" s="73">
        <f>IF($R206="","",IF(INDEX(Calc!$AV$2:$AV$2001,$R206)="","",INDEX(Calc!$AV$2:$AV$2001,$R206)))</f>
        <v/>
      </c>
      <c r="E206" s="76">
        <f>IF($R206="","",IF(INDEX(Calc!$AW$2:$AW$2001,$R206)="","",INDEX(Calc!$AW$2:$AW$2001,$R206)))</f>
        <v/>
      </c>
      <c r="F206" s="72">
        <f>IF(OR(C206="",E206=""),"",E206-Setup!$D$7)</f>
        <v/>
      </c>
      <c r="G206" s="77">
        <f>IF($R206="","",IF(INDEX(Calc!$AX$2:$AX$2001,$R206)="","",INDEX(Calc!$AX$2:$AX$2001,$R206)))</f>
        <v/>
      </c>
      <c r="H206" s="77">
        <f>IF($R206="","",IF(INDEX(Calc!$AY$2:$AY$2001,$R206)="","",INDEX(Calc!$AY$2:$AY$2001,$R206)))</f>
        <v/>
      </c>
      <c r="I206" s="73">
        <f>IF(OR(G206="",H206=""),"",TRIM(IF(HOUR(H206-G206)&gt;0,HOUR(H206-G206)&amp;" hr ","")&amp;IF(MINUTE(H206-G206)&gt;0,MINUTE(H206-G206)&amp;" min","")))</f>
        <v/>
      </c>
      <c r="J206" s="73">
        <f>IF($R206="","",IF(INDEX(Calc!$AZ$2:$AZ$2001,$R206)="","",INDEX(Calc!$AZ$2:$AZ$2001,$R206)))</f>
        <v/>
      </c>
      <c r="K206" s="85">
        <f>IF($R206="","",IF(INDEX(Calc!$BE$2:$BE$2001,$R206)="","",INDEX(Calc!$BE$2:$BE$2001,$R206)))</f>
        <v/>
      </c>
      <c r="L206" s="73">
        <f>IF($R206="","",IF(INDEX(Calc!$BA$2:$BA$2001,$R206)="","",INDEX(Calc!$BA$2:$BA$2001,$R206)))</f>
        <v/>
      </c>
      <c r="M206" s="73">
        <f>IF($R206="","",IF(INDEX(Calc!$BB$2:$BB$2001,$R206)="","",INDEX(Calc!$BB$2:$BB$2001,$R206)))</f>
        <v/>
      </c>
      <c r="N206" s="73">
        <f>IF($R206="","",IF(INDEX(Calc!$BC$2:$BC$2001,$R206)="","",INDEX(Calc!$BC$2:$BC$2001,$R206)))</f>
        <v/>
      </c>
      <c r="O206" s="73">
        <f>IF($R206="","",IF(INDEX(Calc!$BD$2:$BD$2001,$R206)="","",INDEX(Calc!$BD$2:$BD$2001,$R206)))</f>
        <v/>
      </c>
      <c r="P206" s="86">
        <f>IF(R206="","",HYPERLINK("#'"&amp;IF(INDEX(Calc!$AS$2:$AS$2001,R206)="R","Recurring Log","Variable Tasks")&amp;"'!J"&amp;INDEX(Calc!$AT$2:$AT$2001,R206),"✎ edit"))</f>
        <v/>
      </c>
      <c r="R206">
        <f>IFERROR(MATCH(SMALL(Calc!$BK$2:$BK$2001,197),Calc!$BK$2:$BK$2001,0),"")</f>
        <v/>
      </c>
    </row>
    <row r="207">
      <c r="B207" s="36">
        <f>IF(R207="","",198)</f>
        <v/>
      </c>
      <c r="C207" s="37">
        <f>IF($R207="","",IF(INDEX(Calc!$AU$2:$AU$2001,$R207)="","",INDEX(Calc!$AU$2:$AU$2001,$R207)))</f>
        <v/>
      </c>
      <c r="D207" s="36">
        <f>IF($R207="","",IF(INDEX(Calc!$AV$2:$AV$2001,$R207)="","",INDEX(Calc!$AV$2:$AV$2001,$R207)))</f>
        <v/>
      </c>
      <c r="E207" s="38">
        <f>IF($R207="","",IF(INDEX(Calc!$AW$2:$AW$2001,$R207)="","",INDEX(Calc!$AW$2:$AW$2001,$R207)))</f>
        <v/>
      </c>
      <c r="F207" s="68">
        <f>IF(OR(C207="",E207=""),"",E207-Setup!$D$7)</f>
        <v/>
      </c>
      <c r="G207" s="74">
        <f>IF($R207="","",IF(INDEX(Calc!$AX$2:$AX$2001,$R207)="","",INDEX(Calc!$AX$2:$AX$2001,$R207)))</f>
        <v/>
      </c>
      <c r="H207" s="74">
        <f>IF($R207="","",IF(INDEX(Calc!$AY$2:$AY$2001,$R207)="","",INDEX(Calc!$AY$2:$AY$2001,$R207)))</f>
        <v/>
      </c>
      <c r="I207" s="36">
        <f>IF(OR(G207="",H207=""),"",TRIM(IF(HOUR(H207-G207)&gt;0,HOUR(H207-G207)&amp;" hr ","")&amp;IF(MINUTE(H207-G207)&gt;0,MINUTE(H207-G207)&amp;" min","")))</f>
        <v/>
      </c>
      <c r="J207" s="36">
        <f>IF($R207="","",IF(INDEX(Calc!$AZ$2:$AZ$2001,$R207)="","",INDEX(Calc!$AZ$2:$AZ$2001,$R207)))</f>
        <v/>
      </c>
      <c r="K207" s="87">
        <f>IF($R207="","",IF(INDEX(Calc!$BE$2:$BE$2001,$R207)="","",INDEX(Calc!$BE$2:$BE$2001,$R207)))</f>
        <v/>
      </c>
      <c r="L207" s="36">
        <f>IF($R207="","",IF(INDEX(Calc!$BA$2:$BA$2001,$R207)="","",INDEX(Calc!$BA$2:$BA$2001,$R207)))</f>
        <v/>
      </c>
      <c r="M207" s="36">
        <f>IF($R207="","",IF(INDEX(Calc!$BB$2:$BB$2001,$R207)="","",INDEX(Calc!$BB$2:$BB$2001,$R207)))</f>
        <v/>
      </c>
      <c r="N207" s="36">
        <f>IF($R207="","",IF(INDEX(Calc!$BC$2:$BC$2001,$R207)="","",INDEX(Calc!$BC$2:$BC$2001,$R207)))</f>
        <v/>
      </c>
      <c r="O207" s="36">
        <f>IF($R207="","",IF(INDEX(Calc!$BD$2:$BD$2001,$R207)="","",INDEX(Calc!$BD$2:$BD$2001,$R207)))</f>
        <v/>
      </c>
      <c r="P207" s="88">
        <f>IF(R207="","",HYPERLINK("#'"&amp;IF(INDEX(Calc!$AS$2:$AS$2001,R207)="R","Recurring Log","Variable Tasks")&amp;"'!J"&amp;INDEX(Calc!$AT$2:$AT$2001,R207),"✎ edit"))</f>
        <v/>
      </c>
      <c r="R207">
        <f>IFERROR(MATCH(SMALL(Calc!$BK$2:$BK$2001,198),Calc!$BK$2:$BK$2001,0),"")</f>
        <v/>
      </c>
    </row>
    <row r="208">
      <c r="B208" s="73">
        <f>IF(R208="","",199)</f>
        <v/>
      </c>
      <c r="C208" s="75">
        <f>IF($R208="","",IF(INDEX(Calc!$AU$2:$AU$2001,$R208)="","",INDEX(Calc!$AU$2:$AU$2001,$R208)))</f>
        <v/>
      </c>
      <c r="D208" s="73">
        <f>IF($R208="","",IF(INDEX(Calc!$AV$2:$AV$2001,$R208)="","",INDEX(Calc!$AV$2:$AV$2001,$R208)))</f>
        <v/>
      </c>
      <c r="E208" s="76">
        <f>IF($R208="","",IF(INDEX(Calc!$AW$2:$AW$2001,$R208)="","",INDEX(Calc!$AW$2:$AW$2001,$R208)))</f>
        <v/>
      </c>
      <c r="F208" s="72">
        <f>IF(OR(C208="",E208=""),"",E208-Setup!$D$7)</f>
        <v/>
      </c>
      <c r="G208" s="77">
        <f>IF($R208="","",IF(INDEX(Calc!$AX$2:$AX$2001,$R208)="","",INDEX(Calc!$AX$2:$AX$2001,$R208)))</f>
        <v/>
      </c>
      <c r="H208" s="77">
        <f>IF($R208="","",IF(INDEX(Calc!$AY$2:$AY$2001,$R208)="","",INDEX(Calc!$AY$2:$AY$2001,$R208)))</f>
        <v/>
      </c>
      <c r="I208" s="73">
        <f>IF(OR(G208="",H208=""),"",TRIM(IF(HOUR(H208-G208)&gt;0,HOUR(H208-G208)&amp;" hr ","")&amp;IF(MINUTE(H208-G208)&gt;0,MINUTE(H208-G208)&amp;" min","")))</f>
        <v/>
      </c>
      <c r="J208" s="73">
        <f>IF($R208="","",IF(INDEX(Calc!$AZ$2:$AZ$2001,$R208)="","",INDEX(Calc!$AZ$2:$AZ$2001,$R208)))</f>
        <v/>
      </c>
      <c r="K208" s="85">
        <f>IF($R208="","",IF(INDEX(Calc!$BE$2:$BE$2001,$R208)="","",INDEX(Calc!$BE$2:$BE$2001,$R208)))</f>
        <v/>
      </c>
      <c r="L208" s="73">
        <f>IF($R208="","",IF(INDEX(Calc!$BA$2:$BA$2001,$R208)="","",INDEX(Calc!$BA$2:$BA$2001,$R208)))</f>
        <v/>
      </c>
      <c r="M208" s="73">
        <f>IF($R208="","",IF(INDEX(Calc!$BB$2:$BB$2001,$R208)="","",INDEX(Calc!$BB$2:$BB$2001,$R208)))</f>
        <v/>
      </c>
      <c r="N208" s="73">
        <f>IF($R208="","",IF(INDEX(Calc!$BC$2:$BC$2001,$R208)="","",INDEX(Calc!$BC$2:$BC$2001,$R208)))</f>
        <v/>
      </c>
      <c r="O208" s="73">
        <f>IF($R208="","",IF(INDEX(Calc!$BD$2:$BD$2001,$R208)="","",INDEX(Calc!$BD$2:$BD$2001,$R208)))</f>
        <v/>
      </c>
      <c r="P208" s="86">
        <f>IF(R208="","",HYPERLINK("#'"&amp;IF(INDEX(Calc!$AS$2:$AS$2001,R208)="R","Recurring Log","Variable Tasks")&amp;"'!J"&amp;INDEX(Calc!$AT$2:$AT$2001,R208),"✎ edit"))</f>
        <v/>
      </c>
      <c r="R208">
        <f>IFERROR(MATCH(SMALL(Calc!$BK$2:$BK$2001,199),Calc!$BK$2:$BK$2001,0),"")</f>
        <v/>
      </c>
    </row>
    <row r="209">
      <c r="B209" s="36">
        <f>IF(R209="","",200)</f>
        <v/>
      </c>
      <c r="C209" s="37">
        <f>IF($R209="","",IF(INDEX(Calc!$AU$2:$AU$2001,$R209)="","",INDEX(Calc!$AU$2:$AU$2001,$R209)))</f>
        <v/>
      </c>
      <c r="D209" s="36">
        <f>IF($R209="","",IF(INDEX(Calc!$AV$2:$AV$2001,$R209)="","",INDEX(Calc!$AV$2:$AV$2001,$R209)))</f>
        <v/>
      </c>
      <c r="E209" s="38">
        <f>IF($R209="","",IF(INDEX(Calc!$AW$2:$AW$2001,$R209)="","",INDEX(Calc!$AW$2:$AW$2001,$R209)))</f>
        <v/>
      </c>
      <c r="F209" s="68">
        <f>IF(OR(C209="",E209=""),"",E209-Setup!$D$7)</f>
        <v/>
      </c>
      <c r="G209" s="74">
        <f>IF($R209="","",IF(INDEX(Calc!$AX$2:$AX$2001,$R209)="","",INDEX(Calc!$AX$2:$AX$2001,$R209)))</f>
        <v/>
      </c>
      <c r="H209" s="74">
        <f>IF($R209="","",IF(INDEX(Calc!$AY$2:$AY$2001,$R209)="","",INDEX(Calc!$AY$2:$AY$2001,$R209)))</f>
        <v/>
      </c>
      <c r="I209" s="36">
        <f>IF(OR(G209="",H209=""),"",TRIM(IF(HOUR(H209-G209)&gt;0,HOUR(H209-G209)&amp;" hr ","")&amp;IF(MINUTE(H209-G209)&gt;0,MINUTE(H209-G209)&amp;" min","")))</f>
        <v/>
      </c>
      <c r="J209" s="36">
        <f>IF($R209="","",IF(INDEX(Calc!$AZ$2:$AZ$2001,$R209)="","",INDEX(Calc!$AZ$2:$AZ$2001,$R209)))</f>
        <v/>
      </c>
      <c r="K209" s="87">
        <f>IF($R209="","",IF(INDEX(Calc!$BE$2:$BE$2001,$R209)="","",INDEX(Calc!$BE$2:$BE$2001,$R209)))</f>
        <v/>
      </c>
      <c r="L209" s="36">
        <f>IF($R209="","",IF(INDEX(Calc!$BA$2:$BA$2001,$R209)="","",INDEX(Calc!$BA$2:$BA$2001,$R209)))</f>
        <v/>
      </c>
      <c r="M209" s="36">
        <f>IF($R209="","",IF(INDEX(Calc!$BB$2:$BB$2001,$R209)="","",INDEX(Calc!$BB$2:$BB$2001,$R209)))</f>
        <v/>
      </c>
      <c r="N209" s="36">
        <f>IF($R209="","",IF(INDEX(Calc!$BC$2:$BC$2001,$R209)="","",INDEX(Calc!$BC$2:$BC$2001,$R209)))</f>
        <v/>
      </c>
      <c r="O209" s="36">
        <f>IF($R209="","",IF(INDEX(Calc!$BD$2:$BD$2001,$R209)="","",INDEX(Calc!$BD$2:$BD$2001,$R209)))</f>
        <v/>
      </c>
      <c r="P209" s="88">
        <f>IF(R209="","",HYPERLINK("#'"&amp;IF(INDEX(Calc!$AS$2:$AS$2001,R209)="R","Recurring Log","Variable Tasks")&amp;"'!J"&amp;INDEX(Calc!$AT$2:$AT$2001,R209),"✎ edit"))</f>
        <v/>
      </c>
      <c r="R209">
        <f>IFERROR(MATCH(SMALL(Calc!$BK$2:$BK$2001,200),Calc!$BK$2:$BK$2001,0),"")</f>
        <v/>
      </c>
    </row>
    <row r="210">
      <c r="B210" s="73">
        <f>IF(R210="","",201)</f>
        <v/>
      </c>
      <c r="C210" s="75">
        <f>IF($R210="","",IF(INDEX(Calc!$AU$2:$AU$2001,$R210)="","",INDEX(Calc!$AU$2:$AU$2001,$R210)))</f>
        <v/>
      </c>
      <c r="D210" s="73">
        <f>IF($R210="","",IF(INDEX(Calc!$AV$2:$AV$2001,$R210)="","",INDEX(Calc!$AV$2:$AV$2001,$R210)))</f>
        <v/>
      </c>
      <c r="E210" s="76">
        <f>IF($R210="","",IF(INDEX(Calc!$AW$2:$AW$2001,$R210)="","",INDEX(Calc!$AW$2:$AW$2001,$R210)))</f>
        <v/>
      </c>
      <c r="F210" s="72">
        <f>IF(OR(C210="",E210=""),"",E210-Setup!$D$7)</f>
        <v/>
      </c>
      <c r="G210" s="77">
        <f>IF($R210="","",IF(INDEX(Calc!$AX$2:$AX$2001,$R210)="","",INDEX(Calc!$AX$2:$AX$2001,$R210)))</f>
        <v/>
      </c>
      <c r="H210" s="77">
        <f>IF($R210="","",IF(INDEX(Calc!$AY$2:$AY$2001,$R210)="","",INDEX(Calc!$AY$2:$AY$2001,$R210)))</f>
        <v/>
      </c>
      <c r="I210" s="73">
        <f>IF(OR(G210="",H210=""),"",TRIM(IF(HOUR(H210-G210)&gt;0,HOUR(H210-G210)&amp;" hr ","")&amp;IF(MINUTE(H210-G210)&gt;0,MINUTE(H210-G210)&amp;" min","")))</f>
        <v/>
      </c>
      <c r="J210" s="73">
        <f>IF($R210="","",IF(INDEX(Calc!$AZ$2:$AZ$2001,$R210)="","",INDEX(Calc!$AZ$2:$AZ$2001,$R210)))</f>
        <v/>
      </c>
      <c r="K210" s="85">
        <f>IF($R210="","",IF(INDEX(Calc!$BE$2:$BE$2001,$R210)="","",INDEX(Calc!$BE$2:$BE$2001,$R210)))</f>
        <v/>
      </c>
      <c r="L210" s="73">
        <f>IF($R210="","",IF(INDEX(Calc!$BA$2:$BA$2001,$R210)="","",INDEX(Calc!$BA$2:$BA$2001,$R210)))</f>
        <v/>
      </c>
      <c r="M210" s="73">
        <f>IF($R210="","",IF(INDEX(Calc!$BB$2:$BB$2001,$R210)="","",INDEX(Calc!$BB$2:$BB$2001,$R210)))</f>
        <v/>
      </c>
      <c r="N210" s="73">
        <f>IF($R210="","",IF(INDEX(Calc!$BC$2:$BC$2001,$R210)="","",INDEX(Calc!$BC$2:$BC$2001,$R210)))</f>
        <v/>
      </c>
      <c r="O210" s="73">
        <f>IF($R210="","",IF(INDEX(Calc!$BD$2:$BD$2001,$R210)="","",INDEX(Calc!$BD$2:$BD$2001,$R210)))</f>
        <v/>
      </c>
      <c r="P210" s="86">
        <f>IF(R210="","",HYPERLINK("#'"&amp;IF(INDEX(Calc!$AS$2:$AS$2001,R210)="R","Recurring Log","Variable Tasks")&amp;"'!J"&amp;INDEX(Calc!$AT$2:$AT$2001,R210),"✎ edit"))</f>
        <v/>
      </c>
      <c r="R210">
        <f>IFERROR(MATCH(SMALL(Calc!$BK$2:$BK$2001,201),Calc!$BK$2:$BK$2001,0),"")</f>
        <v/>
      </c>
    </row>
    <row r="211">
      <c r="B211" s="36">
        <f>IF(R211="","",202)</f>
        <v/>
      </c>
      <c r="C211" s="37">
        <f>IF($R211="","",IF(INDEX(Calc!$AU$2:$AU$2001,$R211)="","",INDEX(Calc!$AU$2:$AU$2001,$R211)))</f>
        <v/>
      </c>
      <c r="D211" s="36">
        <f>IF($R211="","",IF(INDEX(Calc!$AV$2:$AV$2001,$R211)="","",INDEX(Calc!$AV$2:$AV$2001,$R211)))</f>
        <v/>
      </c>
      <c r="E211" s="38">
        <f>IF($R211="","",IF(INDEX(Calc!$AW$2:$AW$2001,$R211)="","",INDEX(Calc!$AW$2:$AW$2001,$R211)))</f>
        <v/>
      </c>
      <c r="F211" s="68">
        <f>IF(OR(C211="",E211=""),"",E211-Setup!$D$7)</f>
        <v/>
      </c>
      <c r="G211" s="74">
        <f>IF($R211="","",IF(INDEX(Calc!$AX$2:$AX$2001,$R211)="","",INDEX(Calc!$AX$2:$AX$2001,$R211)))</f>
        <v/>
      </c>
      <c r="H211" s="74">
        <f>IF($R211="","",IF(INDEX(Calc!$AY$2:$AY$2001,$R211)="","",INDEX(Calc!$AY$2:$AY$2001,$R211)))</f>
        <v/>
      </c>
      <c r="I211" s="36">
        <f>IF(OR(G211="",H211=""),"",TRIM(IF(HOUR(H211-G211)&gt;0,HOUR(H211-G211)&amp;" hr ","")&amp;IF(MINUTE(H211-G211)&gt;0,MINUTE(H211-G211)&amp;" min","")))</f>
        <v/>
      </c>
      <c r="J211" s="36">
        <f>IF($R211="","",IF(INDEX(Calc!$AZ$2:$AZ$2001,$R211)="","",INDEX(Calc!$AZ$2:$AZ$2001,$R211)))</f>
        <v/>
      </c>
      <c r="K211" s="87">
        <f>IF($R211="","",IF(INDEX(Calc!$BE$2:$BE$2001,$R211)="","",INDEX(Calc!$BE$2:$BE$2001,$R211)))</f>
        <v/>
      </c>
      <c r="L211" s="36">
        <f>IF($R211="","",IF(INDEX(Calc!$BA$2:$BA$2001,$R211)="","",INDEX(Calc!$BA$2:$BA$2001,$R211)))</f>
        <v/>
      </c>
      <c r="M211" s="36">
        <f>IF($R211="","",IF(INDEX(Calc!$BB$2:$BB$2001,$R211)="","",INDEX(Calc!$BB$2:$BB$2001,$R211)))</f>
        <v/>
      </c>
      <c r="N211" s="36">
        <f>IF($R211="","",IF(INDEX(Calc!$BC$2:$BC$2001,$R211)="","",INDEX(Calc!$BC$2:$BC$2001,$R211)))</f>
        <v/>
      </c>
      <c r="O211" s="36">
        <f>IF($R211="","",IF(INDEX(Calc!$BD$2:$BD$2001,$R211)="","",INDEX(Calc!$BD$2:$BD$2001,$R211)))</f>
        <v/>
      </c>
      <c r="P211" s="88">
        <f>IF(R211="","",HYPERLINK("#'"&amp;IF(INDEX(Calc!$AS$2:$AS$2001,R211)="R","Recurring Log","Variable Tasks")&amp;"'!J"&amp;INDEX(Calc!$AT$2:$AT$2001,R211),"✎ edit"))</f>
        <v/>
      </c>
      <c r="R211">
        <f>IFERROR(MATCH(SMALL(Calc!$BK$2:$BK$2001,202),Calc!$BK$2:$BK$2001,0),"")</f>
        <v/>
      </c>
    </row>
    <row r="212">
      <c r="B212" s="73">
        <f>IF(R212="","",203)</f>
        <v/>
      </c>
      <c r="C212" s="75">
        <f>IF($R212="","",IF(INDEX(Calc!$AU$2:$AU$2001,$R212)="","",INDEX(Calc!$AU$2:$AU$2001,$R212)))</f>
        <v/>
      </c>
      <c r="D212" s="73">
        <f>IF($R212="","",IF(INDEX(Calc!$AV$2:$AV$2001,$R212)="","",INDEX(Calc!$AV$2:$AV$2001,$R212)))</f>
        <v/>
      </c>
      <c r="E212" s="76">
        <f>IF($R212="","",IF(INDEX(Calc!$AW$2:$AW$2001,$R212)="","",INDEX(Calc!$AW$2:$AW$2001,$R212)))</f>
        <v/>
      </c>
      <c r="F212" s="72">
        <f>IF(OR(C212="",E212=""),"",E212-Setup!$D$7)</f>
        <v/>
      </c>
      <c r="G212" s="77">
        <f>IF($R212="","",IF(INDEX(Calc!$AX$2:$AX$2001,$R212)="","",INDEX(Calc!$AX$2:$AX$2001,$R212)))</f>
        <v/>
      </c>
      <c r="H212" s="77">
        <f>IF($R212="","",IF(INDEX(Calc!$AY$2:$AY$2001,$R212)="","",INDEX(Calc!$AY$2:$AY$2001,$R212)))</f>
        <v/>
      </c>
      <c r="I212" s="73">
        <f>IF(OR(G212="",H212=""),"",TRIM(IF(HOUR(H212-G212)&gt;0,HOUR(H212-G212)&amp;" hr ","")&amp;IF(MINUTE(H212-G212)&gt;0,MINUTE(H212-G212)&amp;" min","")))</f>
        <v/>
      </c>
      <c r="J212" s="73">
        <f>IF($R212="","",IF(INDEX(Calc!$AZ$2:$AZ$2001,$R212)="","",INDEX(Calc!$AZ$2:$AZ$2001,$R212)))</f>
        <v/>
      </c>
      <c r="K212" s="85">
        <f>IF($R212="","",IF(INDEX(Calc!$BE$2:$BE$2001,$R212)="","",INDEX(Calc!$BE$2:$BE$2001,$R212)))</f>
        <v/>
      </c>
      <c r="L212" s="73">
        <f>IF($R212="","",IF(INDEX(Calc!$BA$2:$BA$2001,$R212)="","",INDEX(Calc!$BA$2:$BA$2001,$R212)))</f>
        <v/>
      </c>
      <c r="M212" s="73">
        <f>IF($R212="","",IF(INDEX(Calc!$BB$2:$BB$2001,$R212)="","",INDEX(Calc!$BB$2:$BB$2001,$R212)))</f>
        <v/>
      </c>
      <c r="N212" s="73">
        <f>IF($R212="","",IF(INDEX(Calc!$BC$2:$BC$2001,$R212)="","",INDEX(Calc!$BC$2:$BC$2001,$R212)))</f>
        <v/>
      </c>
      <c r="O212" s="73">
        <f>IF($R212="","",IF(INDEX(Calc!$BD$2:$BD$2001,$R212)="","",INDEX(Calc!$BD$2:$BD$2001,$R212)))</f>
        <v/>
      </c>
      <c r="P212" s="86">
        <f>IF(R212="","",HYPERLINK("#'"&amp;IF(INDEX(Calc!$AS$2:$AS$2001,R212)="R","Recurring Log","Variable Tasks")&amp;"'!J"&amp;INDEX(Calc!$AT$2:$AT$2001,R212),"✎ edit"))</f>
        <v/>
      </c>
      <c r="R212">
        <f>IFERROR(MATCH(SMALL(Calc!$BK$2:$BK$2001,203),Calc!$BK$2:$BK$2001,0),"")</f>
        <v/>
      </c>
    </row>
    <row r="213">
      <c r="B213" s="36">
        <f>IF(R213="","",204)</f>
        <v/>
      </c>
      <c r="C213" s="37">
        <f>IF($R213="","",IF(INDEX(Calc!$AU$2:$AU$2001,$R213)="","",INDEX(Calc!$AU$2:$AU$2001,$R213)))</f>
        <v/>
      </c>
      <c r="D213" s="36">
        <f>IF($R213="","",IF(INDEX(Calc!$AV$2:$AV$2001,$R213)="","",INDEX(Calc!$AV$2:$AV$2001,$R213)))</f>
        <v/>
      </c>
      <c r="E213" s="38">
        <f>IF($R213="","",IF(INDEX(Calc!$AW$2:$AW$2001,$R213)="","",INDEX(Calc!$AW$2:$AW$2001,$R213)))</f>
        <v/>
      </c>
      <c r="F213" s="68">
        <f>IF(OR(C213="",E213=""),"",E213-Setup!$D$7)</f>
        <v/>
      </c>
      <c r="G213" s="74">
        <f>IF($R213="","",IF(INDEX(Calc!$AX$2:$AX$2001,$R213)="","",INDEX(Calc!$AX$2:$AX$2001,$R213)))</f>
        <v/>
      </c>
      <c r="H213" s="74">
        <f>IF($R213="","",IF(INDEX(Calc!$AY$2:$AY$2001,$R213)="","",INDEX(Calc!$AY$2:$AY$2001,$R213)))</f>
        <v/>
      </c>
      <c r="I213" s="36">
        <f>IF(OR(G213="",H213=""),"",TRIM(IF(HOUR(H213-G213)&gt;0,HOUR(H213-G213)&amp;" hr ","")&amp;IF(MINUTE(H213-G213)&gt;0,MINUTE(H213-G213)&amp;" min","")))</f>
        <v/>
      </c>
      <c r="J213" s="36">
        <f>IF($R213="","",IF(INDEX(Calc!$AZ$2:$AZ$2001,$R213)="","",INDEX(Calc!$AZ$2:$AZ$2001,$R213)))</f>
        <v/>
      </c>
      <c r="K213" s="87">
        <f>IF($R213="","",IF(INDEX(Calc!$BE$2:$BE$2001,$R213)="","",INDEX(Calc!$BE$2:$BE$2001,$R213)))</f>
        <v/>
      </c>
      <c r="L213" s="36">
        <f>IF($R213="","",IF(INDEX(Calc!$BA$2:$BA$2001,$R213)="","",INDEX(Calc!$BA$2:$BA$2001,$R213)))</f>
        <v/>
      </c>
      <c r="M213" s="36">
        <f>IF($R213="","",IF(INDEX(Calc!$BB$2:$BB$2001,$R213)="","",INDEX(Calc!$BB$2:$BB$2001,$R213)))</f>
        <v/>
      </c>
      <c r="N213" s="36">
        <f>IF($R213="","",IF(INDEX(Calc!$BC$2:$BC$2001,$R213)="","",INDEX(Calc!$BC$2:$BC$2001,$R213)))</f>
        <v/>
      </c>
      <c r="O213" s="36">
        <f>IF($R213="","",IF(INDEX(Calc!$BD$2:$BD$2001,$R213)="","",INDEX(Calc!$BD$2:$BD$2001,$R213)))</f>
        <v/>
      </c>
      <c r="P213" s="88">
        <f>IF(R213="","",HYPERLINK("#'"&amp;IF(INDEX(Calc!$AS$2:$AS$2001,R213)="R","Recurring Log","Variable Tasks")&amp;"'!J"&amp;INDEX(Calc!$AT$2:$AT$2001,R213),"✎ edit"))</f>
        <v/>
      </c>
      <c r="R213">
        <f>IFERROR(MATCH(SMALL(Calc!$BK$2:$BK$2001,204),Calc!$BK$2:$BK$2001,0),"")</f>
        <v/>
      </c>
    </row>
    <row r="214">
      <c r="B214" s="73">
        <f>IF(R214="","",205)</f>
        <v/>
      </c>
      <c r="C214" s="75">
        <f>IF($R214="","",IF(INDEX(Calc!$AU$2:$AU$2001,$R214)="","",INDEX(Calc!$AU$2:$AU$2001,$R214)))</f>
        <v/>
      </c>
      <c r="D214" s="73">
        <f>IF($R214="","",IF(INDEX(Calc!$AV$2:$AV$2001,$R214)="","",INDEX(Calc!$AV$2:$AV$2001,$R214)))</f>
        <v/>
      </c>
      <c r="E214" s="76">
        <f>IF($R214="","",IF(INDEX(Calc!$AW$2:$AW$2001,$R214)="","",INDEX(Calc!$AW$2:$AW$2001,$R214)))</f>
        <v/>
      </c>
      <c r="F214" s="72">
        <f>IF(OR(C214="",E214=""),"",E214-Setup!$D$7)</f>
        <v/>
      </c>
      <c r="G214" s="77">
        <f>IF($R214="","",IF(INDEX(Calc!$AX$2:$AX$2001,$R214)="","",INDEX(Calc!$AX$2:$AX$2001,$R214)))</f>
        <v/>
      </c>
      <c r="H214" s="77">
        <f>IF($R214="","",IF(INDEX(Calc!$AY$2:$AY$2001,$R214)="","",INDEX(Calc!$AY$2:$AY$2001,$R214)))</f>
        <v/>
      </c>
      <c r="I214" s="73">
        <f>IF(OR(G214="",H214=""),"",TRIM(IF(HOUR(H214-G214)&gt;0,HOUR(H214-G214)&amp;" hr ","")&amp;IF(MINUTE(H214-G214)&gt;0,MINUTE(H214-G214)&amp;" min","")))</f>
        <v/>
      </c>
      <c r="J214" s="73">
        <f>IF($R214="","",IF(INDEX(Calc!$AZ$2:$AZ$2001,$R214)="","",INDEX(Calc!$AZ$2:$AZ$2001,$R214)))</f>
        <v/>
      </c>
      <c r="K214" s="85">
        <f>IF($R214="","",IF(INDEX(Calc!$BE$2:$BE$2001,$R214)="","",INDEX(Calc!$BE$2:$BE$2001,$R214)))</f>
        <v/>
      </c>
      <c r="L214" s="73">
        <f>IF($R214="","",IF(INDEX(Calc!$BA$2:$BA$2001,$R214)="","",INDEX(Calc!$BA$2:$BA$2001,$R214)))</f>
        <v/>
      </c>
      <c r="M214" s="73">
        <f>IF($R214="","",IF(INDEX(Calc!$BB$2:$BB$2001,$R214)="","",INDEX(Calc!$BB$2:$BB$2001,$R214)))</f>
        <v/>
      </c>
      <c r="N214" s="73">
        <f>IF($R214="","",IF(INDEX(Calc!$BC$2:$BC$2001,$R214)="","",INDEX(Calc!$BC$2:$BC$2001,$R214)))</f>
        <v/>
      </c>
      <c r="O214" s="73">
        <f>IF($R214="","",IF(INDEX(Calc!$BD$2:$BD$2001,$R214)="","",INDEX(Calc!$BD$2:$BD$2001,$R214)))</f>
        <v/>
      </c>
      <c r="P214" s="86">
        <f>IF(R214="","",HYPERLINK("#'"&amp;IF(INDEX(Calc!$AS$2:$AS$2001,R214)="R","Recurring Log","Variable Tasks")&amp;"'!J"&amp;INDEX(Calc!$AT$2:$AT$2001,R214),"✎ edit"))</f>
        <v/>
      </c>
      <c r="R214">
        <f>IFERROR(MATCH(SMALL(Calc!$BK$2:$BK$2001,205),Calc!$BK$2:$BK$2001,0),"")</f>
        <v/>
      </c>
    </row>
    <row r="215">
      <c r="B215" s="36">
        <f>IF(R215="","",206)</f>
        <v/>
      </c>
      <c r="C215" s="37">
        <f>IF($R215="","",IF(INDEX(Calc!$AU$2:$AU$2001,$R215)="","",INDEX(Calc!$AU$2:$AU$2001,$R215)))</f>
        <v/>
      </c>
      <c r="D215" s="36">
        <f>IF($R215="","",IF(INDEX(Calc!$AV$2:$AV$2001,$R215)="","",INDEX(Calc!$AV$2:$AV$2001,$R215)))</f>
        <v/>
      </c>
      <c r="E215" s="38">
        <f>IF($R215="","",IF(INDEX(Calc!$AW$2:$AW$2001,$R215)="","",INDEX(Calc!$AW$2:$AW$2001,$R215)))</f>
        <v/>
      </c>
      <c r="F215" s="68">
        <f>IF(OR(C215="",E215=""),"",E215-Setup!$D$7)</f>
        <v/>
      </c>
      <c r="G215" s="74">
        <f>IF($R215="","",IF(INDEX(Calc!$AX$2:$AX$2001,$R215)="","",INDEX(Calc!$AX$2:$AX$2001,$R215)))</f>
        <v/>
      </c>
      <c r="H215" s="74">
        <f>IF($R215="","",IF(INDEX(Calc!$AY$2:$AY$2001,$R215)="","",INDEX(Calc!$AY$2:$AY$2001,$R215)))</f>
        <v/>
      </c>
      <c r="I215" s="36">
        <f>IF(OR(G215="",H215=""),"",TRIM(IF(HOUR(H215-G215)&gt;0,HOUR(H215-G215)&amp;" hr ","")&amp;IF(MINUTE(H215-G215)&gt;0,MINUTE(H215-G215)&amp;" min","")))</f>
        <v/>
      </c>
      <c r="J215" s="36">
        <f>IF($R215="","",IF(INDEX(Calc!$AZ$2:$AZ$2001,$R215)="","",INDEX(Calc!$AZ$2:$AZ$2001,$R215)))</f>
        <v/>
      </c>
      <c r="K215" s="87">
        <f>IF($R215="","",IF(INDEX(Calc!$BE$2:$BE$2001,$R215)="","",INDEX(Calc!$BE$2:$BE$2001,$R215)))</f>
        <v/>
      </c>
      <c r="L215" s="36">
        <f>IF($R215="","",IF(INDEX(Calc!$BA$2:$BA$2001,$R215)="","",INDEX(Calc!$BA$2:$BA$2001,$R215)))</f>
        <v/>
      </c>
      <c r="M215" s="36">
        <f>IF($R215="","",IF(INDEX(Calc!$BB$2:$BB$2001,$R215)="","",INDEX(Calc!$BB$2:$BB$2001,$R215)))</f>
        <v/>
      </c>
      <c r="N215" s="36">
        <f>IF($R215="","",IF(INDEX(Calc!$BC$2:$BC$2001,$R215)="","",INDEX(Calc!$BC$2:$BC$2001,$R215)))</f>
        <v/>
      </c>
      <c r="O215" s="36">
        <f>IF($R215="","",IF(INDEX(Calc!$BD$2:$BD$2001,$R215)="","",INDEX(Calc!$BD$2:$BD$2001,$R215)))</f>
        <v/>
      </c>
      <c r="P215" s="88">
        <f>IF(R215="","",HYPERLINK("#'"&amp;IF(INDEX(Calc!$AS$2:$AS$2001,R215)="R","Recurring Log","Variable Tasks")&amp;"'!J"&amp;INDEX(Calc!$AT$2:$AT$2001,R215),"✎ edit"))</f>
        <v/>
      </c>
      <c r="R215">
        <f>IFERROR(MATCH(SMALL(Calc!$BK$2:$BK$2001,206),Calc!$BK$2:$BK$2001,0),"")</f>
        <v/>
      </c>
    </row>
    <row r="216">
      <c r="B216" s="73">
        <f>IF(R216="","",207)</f>
        <v/>
      </c>
      <c r="C216" s="75">
        <f>IF($R216="","",IF(INDEX(Calc!$AU$2:$AU$2001,$R216)="","",INDEX(Calc!$AU$2:$AU$2001,$R216)))</f>
        <v/>
      </c>
      <c r="D216" s="73">
        <f>IF($R216="","",IF(INDEX(Calc!$AV$2:$AV$2001,$R216)="","",INDEX(Calc!$AV$2:$AV$2001,$R216)))</f>
        <v/>
      </c>
      <c r="E216" s="76">
        <f>IF($R216="","",IF(INDEX(Calc!$AW$2:$AW$2001,$R216)="","",INDEX(Calc!$AW$2:$AW$2001,$R216)))</f>
        <v/>
      </c>
      <c r="F216" s="72">
        <f>IF(OR(C216="",E216=""),"",E216-Setup!$D$7)</f>
        <v/>
      </c>
      <c r="G216" s="77">
        <f>IF($R216="","",IF(INDEX(Calc!$AX$2:$AX$2001,$R216)="","",INDEX(Calc!$AX$2:$AX$2001,$R216)))</f>
        <v/>
      </c>
      <c r="H216" s="77">
        <f>IF($R216="","",IF(INDEX(Calc!$AY$2:$AY$2001,$R216)="","",INDEX(Calc!$AY$2:$AY$2001,$R216)))</f>
        <v/>
      </c>
      <c r="I216" s="73">
        <f>IF(OR(G216="",H216=""),"",TRIM(IF(HOUR(H216-G216)&gt;0,HOUR(H216-G216)&amp;" hr ","")&amp;IF(MINUTE(H216-G216)&gt;0,MINUTE(H216-G216)&amp;" min","")))</f>
        <v/>
      </c>
      <c r="J216" s="73">
        <f>IF($R216="","",IF(INDEX(Calc!$AZ$2:$AZ$2001,$R216)="","",INDEX(Calc!$AZ$2:$AZ$2001,$R216)))</f>
        <v/>
      </c>
      <c r="K216" s="85">
        <f>IF($R216="","",IF(INDEX(Calc!$BE$2:$BE$2001,$R216)="","",INDEX(Calc!$BE$2:$BE$2001,$R216)))</f>
        <v/>
      </c>
      <c r="L216" s="73">
        <f>IF($R216="","",IF(INDEX(Calc!$BA$2:$BA$2001,$R216)="","",INDEX(Calc!$BA$2:$BA$2001,$R216)))</f>
        <v/>
      </c>
      <c r="M216" s="73">
        <f>IF($R216="","",IF(INDEX(Calc!$BB$2:$BB$2001,$R216)="","",INDEX(Calc!$BB$2:$BB$2001,$R216)))</f>
        <v/>
      </c>
      <c r="N216" s="73">
        <f>IF($R216="","",IF(INDEX(Calc!$BC$2:$BC$2001,$R216)="","",INDEX(Calc!$BC$2:$BC$2001,$R216)))</f>
        <v/>
      </c>
      <c r="O216" s="73">
        <f>IF($R216="","",IF(INDEX(Calc!$BD$2:$BD$2001,$R216)="","",INDEX(Calc!$BD$2:$BD$2001,$R216)))</f>
        <v/>
      </c>
      <c r="P216" s="86">
        <f>IF(R216="","",HYPERLINK("#'"&amp;IF(INDEX(Calc!$AS$2:$AS$2001,R216)="R","Recurring Log","Variable Tasks")&amp;"'!J"&amp;INDEX(Calc!$AT$2:$AT$2001,R216),"✎ edit"))</f>
        <v/>
      </c>
      <c r="R216">
        <f>IFERROR(MATCH(SMALL(Calc!$BK$2:$BK$2001,207),Calc!$BK$2:$BK$2001,0),"")</f>
        <v/>
      </c>
    </row>
    <row r="217">
      <c r="B217" s="36">
        <f>IF(R217="","",208)</f>
        <v/>
      </c>
      <c r="C217" s="37">
        <f>IF($R217="","",IF(INDEX(Calc!$AU$2:$AU$2001,$R217)="","",INDEX(Calc!$AU$2:$AU$2001,$R217)))</f>
        <v/>
      </c>
      <c r="D217" s="36">
        <f>IF($R217="","",IF(INDEX(Calc!$AV$2:$AV$2001,$R217)="","",INDEX(Calc!$AV$2:$AV$2001,$R217)))</f>
        <v/>
      </c>
      <c r="E217" s="38">
        <f>IF($R217="","",IF(INDEX(Calc!$AW$2:$AW$2001,$R217)="","",INDEX(Calc!$AW$2:$AW$2001,$R217)))</f>
        <v/>
      </c>
      <c r="F217" s="68">
        <f>IF(OR(C217="",E217=""),"",E217-Setup!$D$7)</f>
        <v/>
      </c>
      <c r="G217" s="74">
        <f>IF($R217="","",IF(INDEX(Calc!$AX$2:$AX$2001,$R217)="","",INDEX(Calc!$AX$2:$AX$2001,$R217)))</f>
        <v/>
      </c>
      <c r="H217" s="74">
        <f>IF($R217="","",IF(INDEX(Calc!$AY$2:$AY$2001,$R217)="","",INDEX(Calc!$AY$2:$AY$2001,$R217)))</f>
        <v/>
      </c>
      <c r="I217" s="36">
        <f>IF(OR(G217="",H217=""),"",TRIM(IF(HOUR(H217-G217)&gt;0,HOUR(H217-G217)&amp;" hr ","")&amp;IF(MINUTE(H217-G217)&gt;0,MINUTE(H217-G217)&amp;" min","")))</f>
        <v/>
      </c>
      <c r="J217" s="36">
        <f>IF($R217="","",IF(INDEX(Calc!$AZ$2:$AZ$2001,$R217)="","",INDEX(Calc!$AZ$2:$AZ$2001,$R217)))</f>
        <v/>
      </c>
      <c r="K217" s="87">
        <f>IF($R217="","",IF(INDEX(Calc!$BE$2:$BE$2001,$R217)="","",INDEX(Calc!$BE$2:$BE$2001,$R217)))</f>
        <v/>
      </c>
      <c r="L217" s="36">
        <f>IF($R217="","",IF(INDEX(Calc!$BA$2:$BA$2001,$R217)="","",INDEX(Calc!$BA$2:$BA$2001,$R217)))</f>
        <v/>
      </c>
      <c r="M217" s="36">
        <f>IF($R217="","",IF(INDEX(Calc!$BB$2:$BB$2001,$R217)="","",INDEX(Calc!$BB$2:$BB$2001,$R217)))</f>
        <v/>
      </c>
      <c r="N217" s="36">
        <f>IF($R217="","",IF(INDEX(Calc!$BC$2:$BC$2001,$R217)="","",INDEX(Calc!$BC$2:$BC$2001,$R217)))</f>
        <v/>
      </c>
      <c r="O217" s="36">
        <f>IF($R217="","",IF(INDEX(Calc!$BD$2:$BD$2001,$R217)="","",INDEX(Calc!$BD$2:$BD$2001,$R217)))</f>
        <v/>
      </c>
      <c r="P217" s="88">
        <f>IF(R217="","",HYPERLINK("#'"&amp;IF(INDEX(Calc!$AS$2:$AS$2001,R217)="R","Recurring Log","Variable Tasks")&amp;"'!J"&amp;INDEX(Calc!$AT$2:$AT$2001,R217),"✎ edit"))</f>
        <v/>
      </c>
      <c r="R217">
        <f>IFERROR(MATCH(SMALL(Calc!$BK$2:$BK$2001,208),Calc!$BK$2:$BK$2001,0),"")</f>
        <v/>
      </c>
    </row>
    <row r="218">
      <c r="B218" s="73">
        <f>IF(R218="","",209)</f>
        <v/>
      </c>
      <c r="C218" s="75">
        <f>IF($R218="","",IF(INDEX(Calc!$AU$2:$AU$2001,$R218)="","",INDEX(Calc!$AU$2:$AU$2001,$R218)))</f>
        <v/>
      </c>
      <c r="D218" s="73">
        <f>IF($R218="","",IF(INDEX(Calc!$AV$2:$AV$2001,$R218)="","",INDEX(Calc!$AV$2:$AV$2001,$R218)))</f>
        <v/>
      </c>
      <c r="E218" s="76">
        <f>IF($R218="","",IF(INDEX(Calc!$AW$2:$AW$2001,$R218)="","",INDEX(Calc!$AW$2:$AW$2001,$R218)))</f>
        <v/>
      </c>
      <c r="F218" s="72">
        <f>IF(OR(C218="",E218=""),"",E218-Setup!$D$7)</f>
        <v/>
      </c>
      <c r="G218" s="77">
        <f>IF($R218="","",IF(INDEX(Calc!$AX$2:$AX$2001,$R218)="","",INDEX(Calc!$AX$2:$AX$2001,$R218)))</f>
        <v/>
      </c>
      <c r="H218" s="77">
        <f>IF($R218="","",IF(INDEX(Calc!$AY$2:$AY$2001,$R218)="","",INDEX(Calc!$AY$2:$AY$2001,$R218)))</f>
        <v/>
      </c>
      <c r="I218" s="73">
        <f>IF(OR(G218="",H218=""),"",TRIM(IF(HOUR(H218-G218)&gt;0,HOUR(H218-G218)&amp;" hr ","")&amp;IF(MINUTE(H218-G218)&gt;0,MINUTE(H218-G218)&amp;" min","")))</f>
        <v/>
      </c>
      <c r="J218" s="73">
        <f>IF($R218="","",IF(INDEX(Calc!$AZ$2:$AZ$2001,$R218)="","",INDEX(Calc!$AZ$2:$AZ$2001,$R218)))</f>
        <v/>
      </c>
      <c r="K218" s="85">
        <f>IF($R218="","",IF(INDEX(Calc!$BE$2:$BE$2001,$R218)="","",INDEX(Calc!$BE$2:$BE$2001,$R218)))</f>
        <v/>
      </c>
      <c r="L218" s="73">
        <f>IF($R218="","",IF(INDEX(Calc!$BA$2:$BA$2001,$R218)="","",INDEX(Calc!$BA$2:$BA$2001,$R218)))</f>
        <v/>
      </c>
      <c r="M218" s="73">
        <f>IF($R218="","",IF(INDEX(Calc!$BB$2:$BB$2001,$R218)="","",INDEX(Calc!$BB$2:$BB$2001,$R218)))</f>
        <v/>
      </c>
      <c r="N218" s="73">
        <f>IF($R218="","",IF(INDEX(Calc!$BC$2:$BC$2001,$R218)="","",INDEX(Calc!$BC$2:$BC$2001,$R218)))</f>
        <v/>
      </c>
      <c r="O218" s="73">
        <f>IF($R218="","",IF(INDEX(Calc!$BD$2:$BD$2001,$R218)="","",INDEX(Calc!$BD$2:$BD$2001,$R218)))</f>
        <v/>
      </c>
      <c r="P218" s="86">
        <f>IF(R218="","",HYPERLINK("#'"&amp;IF(INDEX(Calc!$AS$2:$AS$2001,R218)="R","Recurring Log","Variable Tasks")&amp;"'!J"&amp;INDEX(Calc!$AT$2:$AT$2001,R218),"✎ edit"))</f>
        <v/>
      </c>
      <c r="R218">
        <f>IFERROR(MATCH(SMALL(Calc!$BK$2:$BK$2001,209),Calc!$BK$2:$BK$2001,0),"")</f>
        <v/>
      </c>
    </row>
    <row r="219">
      <c r="B219" s="36">
        <f>IF(R219="","",210)</f>
        <v/>
      </c>
      <c r="C219" s="37">
        <f>IF($R219="","",IF(INDEX(Calc!$AU$2:$AU$2001,$R219)="","",INDEX(Calc!$AU$2:$AU$2001,$R219)))</f>
        <v/>
      </c>
      <c r="D219" s="36">
        <f>IF($R219="","",IF(INDEX(Calc!$AV$2:$AV$2001,$R219)="","",INDEX(Calc!$AV$2:$AV$2001,$R219)))</f>
        <v/>
      </c>
      <c r="E219" s="38">
        <f>IF($R219="","",IF(INDEX(Calc!$AW$2:$AW$2001,$R219)="","",INDEX(Calc!$AW$2:$AW$2001,$R219)))</f>
        <v/>
      </c>
      <c r="F219" s="68">
        <f>IF(OR(C219="",E219=""),"",E219-Setup!$D$7)</f>
        <v/>
      </c>
      <c r="G219" s="74">
        <f>IF($R219="","",IF(INDEX(Calc!$AX$2:$AX$2001,$R219)="","",INDEX(Calc!$AX$2:$AX$2001,$R219)))</f>
        <v/>
      </c>
      <c r="H219" s="74">
        <f>IF($R219="","",IF(INDEX(Calc!$AY$2:$AY$2001,$R219)="","",INDEX(Calc!$AY$2:$AY$2001,$R219)))</f>
        <v/>
      </c>
      <c r="I219" s="36">
        <f>IF(OR(G219="",H219=""),"",TRIM(IF(HOUR(H219-G219)&gt;0,HOUR(H219-G219)&amp;" hr ","")&amp;IF(MINUTE(H219-G219)&gt;0,MINUTE(H219-G219)&amp;" min","")))</f>
        <v/>
      </c>
      <c r="J219" s="36">
        <f>IF($R219="","",IF(INDEX(Calc!$AZ$2:$AZ$2001,$R219)="","",INDEX(Calc!$AZ$2:$AZ$2001,$R219)))</f>
        <v/>
      </c>
      <c r="K219" s="87">
        <f>IF($R219="","",IF(INDEX(Calc!$BE$2:$BE$2001,$R219)="","",INDEX(Calc!$BE$2:$BE$2001,$R219)))</f>
        <v/>
      </c>
      <c r="L219" s="36">
        <f>IF($R219="","",IF(INDEX(Calc!$BA$2:$BA$2001,$R219)="","",INDEX(Calc!$BA$2:$BA$2001,$R219)))</f>
        <v/>
      </c>
      <c r="M219" s="36">
        <f>IF($R219="","",IF(INDEX(Calc!$BB$2:$BB$2001,$R219)="","",INDEX(Calc!$BB$2:$BB$2001,$R219)))</f>
        <v/>
      </c>
      <c r="N219" s="36">
        <f>IF($R219="","",IF(INDEX(Calc!$BC$2:$BC$2001,$R219)="","",INDEX(Calc!$BC$2:$BC$2001,$R219)))</f>
        <v/>
      </c>
      <c r="O219" s="36">
        <f>IF($R219="","",IF(INDEX(Calc!$BD$2:$BD$2001,$R219)="","",INDEX(Calc!$BD$2:$BD$2001,$R219)))</f>
        <v/>
      </c>
      <c r="P219" s="88">
        <f>IF(R219="","",HYPERLINK("#'"&amp;IF(INDEX(Calc!$AS$2:$AS$2001,R219)="R","Recurring Log","Variable Tasks")&amp;"'!J"&amp;INDEX(Calc!$AT$2:$AT$2001,R219),"✎ edit"))</f>
        <v/>
      </c>
      <c r="R219">
        <f>IFERROR(MATCH(SMALL(Calc!$BK$2:$BK$2001,210),Calc!$BK$2:$BK$2001,0),"")</f>
        <v/>
      </c>
    </row>
    <row r="220">
      <c r="B220" s="73">
        <f>IF(R220="","",211)</f>
        <v/>
      </c>
      <c r="C220" s="75">
        <f>IF($R220="","",IF(INDEX(Calc!$AU$2:$AU$2001,$R220)="","",INDEX(Calc!$AU$2:$AU$2001,$R220)))</f>
        <v/>
      </c>
      <c r="D220" s="73">
        <f>IF($R220="","",IF(INDEX(Calc!$AV$2:$AV$2001,$R220)="","",INDEX(Calc!$AV$2:$AV$2001,$R220)))</f>
        <v/>
      </c>
      <c r="E220" s="76">
        <f>IF($R220="","",IF(INDEX(Calc!$AW$2:$AW$2001,$R220)="","",INDEX(Calc!$AW$2:$AW$2001,$R220)))</f>
        <v/>
      </c>
      <c r="F220" s="72">
        <f>IF(OR(C220="",E220=""),"",E220-Setup!$D$7)</f>
        <v/>
      </c>
      <c r="G220" s="77">
        <f>IF($R220="","",IF(INDEX(Calc!$AX$2:$AX$2001,$R220)="","",INDEX(Calc!$AX$2:$AX$2001,$R220)))</f>
        <v/>
      </c>
      <c r="H220" s="77">
        <f>IF($R220="","",IF(INDEX(Calc!$AY$2:$AY$2001,$R220)="","",INDEX(Calc!$AY$2:$AY$2001,$R220)))</f>
        <v/>
      </c>
      <c r="I220" s="73">
        <f>IF(OR(G220="",H220=""),"",TRIM(IF(HOUR(H220-G220)&gt;0,HOUR(H220-G220)&amp;" hr ","")&amp;IF(MINUTE(H220-G220)&gt;0,MINUTE(H220-G220)&amp;" min","")))</f>
        <v/>
      </c>
      <c r="J220" s="73">
        <f>IF($R220="","",IF(INDEX(Calc!$AZ$2:$AZ$2001,$R220)="","",INDEX(Calc!$AZ$2:$AZ$2001,$R220)))</f>
        <v/>
      </c>
      <c r="K220" s="85">
        <f>IF($R220="","",IF(INDEX(Calc!$BE$2:$BE$2001,$R220)="","",INDEX(Calc!$BE$2:$BE$2001,$R220)))</f>
        <v/>
      </c>
      <c r="L220" s="73">
        <f>IF($R220="","",IF(INDEX(Calc!$BA$2:$BA$2001,$R220)="","",INDEX(Calc!$BA$2:$BA$2001,$R220)))</f>
        <v/>
      </c>
      <c r="M220" s="73">
        <f>IF($R220="","",IF(INDEX(Calc!$BB$2:$BB$2001,$R220)="","",INDEX(Calc!$BB$2:$BB$2001,$R220)))</f>
        <v/>
      </c>
      <c r="N220" s="73">
        <f>IF($R220="","",IF(INDEX(Calc!$BC$2:$BC$2001,$R220)="","",INDEX(Calc!$BC$2:$BC$2001,$R220)))</f>
        <v/>
      </c>
      <c r="O220" s="73">
        <f>IF($R220="","",IF(INDEX(Calc!$BD$2:$BD$2001,$R220)="","",INDEX(Calc!$BD$2:$BD$2001,$R220)))</f>
        <v/>
      </c>
      <c r="P220" s="86">
        <f>IF(R220="","",HYPERLINK("#'"&amp;IF(INDEX(Calc!$AS$2:$AS$2001,R220)="R","Recurring Log","Variable Tasks")&amp;"'!J"&amp;INDEX(Calc!$AT$2:$AT$2001,R220),"✎ edit"))</f>
        <v/>
      </c>
      <c r="R220">
        <f>IFERROR(MATCH(SMALL(Calc!$BK$2:$BK$2001,211),Calc!$BK$2:$BK$2001,0),"")</f>
        <v/>
      </c>
    </row>
    <row r="221">
      <c r="B221" s="36">
        <f>IF(R221="","",212)</f>
        <v/>
      </c>
      <c r="C221" s="37">
        <f>IF($R221="","",IF(INDEX(Calc!$AU$2:$AU$2001,$R221)="","",INDEX(Calc!$AU$2:$AU$2001,$R221)))</f>
        <v/>
      </c>
      <c r="D221" s="36">
        <f>IF($R221="","",IF(INDEX(Calc!$AV$2:$AV$2001,$R221)="","",INDEX(Calc!$AV$2:$AV$2001,$R221)))</f>
        <v/>
      </c>
      <c r="E221" s="38">
        <f>IF($R221="","",IF(INDEX(Calc!$AW$2:$AW$2001,$R221)="","",INDEX(Calc!$AW$2:$AW$2001,$R221)))</f>
        <v/>
      </c>
      <c r="F221" s="68">
        <f>IF(OR(C221="",E221=""),"",E221-Setup!$D$7)</f>
        <v/>
      </c>
      <c r="G221" s="74">
        <f>IF($R221="","",IF(INDEX(Calc!$AX$2:$AX$2001,$R221)="","",INDEX(Calc!$AX$2:$AX$2001,$R221)))</f>
        <v/>
      </c>
      <c r="H221" s="74">
        <f>IF($R221="","",IF(INDEX(Calc!$AY$2:$AY$2001,$R221)="","",INDEX(Calc!$AY$2:$AY$2001,$R221)))</f>
        <v/>
      </c>
      <c r="I221" s="36">
        <f>IF(OR(G221="",H221=""),"",TRIM(IF(HOUR(H221-G221)&gt;0,HOUR(H221-G221)&amp;" hr ","")&amp;IF(MINUTE(H221-G221)&gt;0,MINUTE(H221-G221)&amp;" min","")))</f>
        <v/>
      </c>
      <c r="J221" s="36">
        <f>IF($R221="","",IF(INDEX(Calc!$AZ$2:$AZ$2001,$R221)="","",INDEX(Calc!$AZ$2:$AZ$2001,$R221)))</f>
        <v/>
      </c>
      <c r="K221" s="87">
        <f>IF($R221="","",IF(INDEX(Calc!$BE$2:$BE$2001,$R221)="","",INDEX(Calc!$BE$2:$BE$2001,$R221)))</f>
        <v/>
      </c>
      <c r="L221" s="36">
        <f>IF($R221="","",IF(INDEX(Calc!$BA$2:$BA$2001,$R221)="","",INDEX(Calc!$BA$2:$BA$2001,$R221)))</f>
        <v/>
      </c>
      <c r="M221" s="36">
        <f>IF($R221="","",IF(INDEX(Calc!$BB$2:$BB$2001,$R221)="","",INDEX(Calc!$BB$2:$BB$2001,$R221)))</f>
        <v/>
      </c>
      <c r="N221" s="36">
        <f>IF($R221="","",IF(INDEX(Calc!$BC$2:$BC$2001,$R221)="","",INDEX(Calc!$BC$2:$BC$2001,$R221)))</f>
        <v/>
      </c>
      <c r="O221" s="36">
        <f>IF($R221="","",IF(INDEX(Calc!$BD$2:$BD$2001,$R221)="","",INDEX(Calc!$BD$2:$BD$2001,$R221)))</f>
        <v/>
      </c>
      <c r="P221" s="88">
        <f>IF(R221="","",HYPERLINK("#'"&amp;IF(INDEX(Calc!$AS$2:$AS$2001,R221)="R","Recurring Log","Variable Tasks")&amp;"'!J"&amp;INDEX(Calc!$AT$2:$AT$2001,R221),"✎ edit"))</f>
        <v/>
      </c>
      <c r="R221">
        <f>IFERROR(MATCH(SMALL(Calc!$BK$2:$BK$2001,212),Calc!$BK$2:$BK$2001,0),"")</f>
        <v/>
      </c>
    </row>
    <row r="222">
      <c r="B222" s="73">
        <f>IF(R222="","",213)</f>
        <v/>
      </c>
      <c r="C222" s="75">
        <f>IF($R222="","",IF(INDEX(Calc!$AU$2:$AU$2001,$R222)="","",INDEX(Calc!$AU$2:$AU$2001,$R222)))</f>
        <v/>
      </c>
      <c r="D222" s="73">
        <f>IF($R222="","",IF(INDEX(Calc!$AV$2:$AV$2001,$R222)="","",INDEX(Calc!$AV$2:$AV$2001,$R222)))</f>
        <v/>
      </c>
      <c r="E222" s="76">
        <f>IF($R222="","",IF(INDEX(Calc!$AW$2:$AW$2001,$R222)="","",INDEX(Calc!$AW$2:$AW$2001,$R222)))</f>
        <v/>
      </c>
      <c r="F222" s="72">
        <f>IF(OR(C222="",E222=""),"",E222-Setup!$D$7)</f>
        <v/>
      </c>
      <c r="G222" s="77">
        <f>IF($R222="","",IF(INDEX(Calc!$AX$2:$AX$2001,$R222)="","",INDEX(Calc!$AX$2:$AX$2001,$R222)))</f>
        <v/>
      </c>
      <c r="H222" s="77">
        <f>IF($R222="","",IF(INDEX(Calc!$AY$2:$AY$2001,$R222)="","",INDEX(Calc!$AY$2:$AY$2001,$R222)))</f>
        <v/>
      </c>
      <c r="I222" s="73">
        <f>IF(OR(G222="",H222=""),"",TRIM(IF(HOUR(H222-G222)&gt;0,HOUR(H222-G222)&amp;" hr ","")&amp;IF(MINUTE(H222-G222)&gt;0,MINUTE(H222-G222)&amp;" min","")))</f>
        <v/>
      </c>
      <c r="J222" s="73">
        <f>IF($R222="","",IF(INDEX(Calc!$AZ$2:$AZ$2001,$R222)="","",INDEX(Calc!$AZ$2:$AZ$2001,$R222)))</f>
        <v/>
      </c>
      <c r="K222" s="85">
        <f>IF($R222="","",IF(INDEX(Calc!$BE$2:$BE$2001,$R222)="","",INDEX(Calc!$BE$2:$BE$2001,$R222)))</f>
        <v/>
      </c>
      <c r="L222" s="73">
        <f>IF($R222="","",IF(INDEX(Calc!$BA$2:$BA$2001,$R222)="","",INDEX(Calc!$BA$2:$BA$2001,$R222)))</f>
        <v/>
      </c>
      <c r="M222" s="73">
        <f>IF($R222="","",IF(INDEX(Calc!$BB$2:$BB$2001,$R222)="","",INDEX(Calc!$BB$2:$BB$2001,$R222)))</f>
        <v/>
      </c>
      <c r="N222" s="73">
        <f>IF($R222="","",IF(INDEX(Calc!$BC$2:$BC$2001,$R222)="","",INDEX(Calc!$BC$2:$BC$2001,$R222)))</f>
        <v/>
      </c>
      <c r="O222" s="73">
        <f>IF($R222="","",IF(INDEX(Calc!$BD$2:$BD$2001,$R222)="","",INDEX(Calc!$BD$2:$BD$2001,$R222)))</f>
        <v/>
      </c>
      <c r="P222" s="86">
        <f>IF(R222="","",HYPERLINK("#'"&amp;IF(INDEX(Calc!$AS$2:$AS$2001,R222)="R","Recurring Log","Variable Tasks")&amp;"'!J"&amp;INDEX(Calc!$AT$2:$AT$2001,R222),"✎ edit"))</f>
        <v/>
      </c>
      <c r="R222">
        <f>IFERROR(MATCH(SMALL(Calc!$BK$2:$BK$2001,213),Calc!$BK$2:$BK$2001,0),"")</f>
        <v/>
      </c>
    </row>
    <row r="223">
      <c r="B223" s="36">
        <f>IF(R223="","",214)</f>
        <v/>
      </c>
      <c r="C223" s="37">
        <f>IF($R223="","",IF(INDEX(Calc!$AU$2:$AU$2001,$R223)="","",INDEX(Calc!$AU$2:$AU$2001,$R223)))</f>
        <v/>
      </c>
      <c r="D223" s="36">
        <f>IF($R223="","",IF(INDEX(Calc!$AV$2:$AV$2001,$R223)="","",INDEX(Calc!$AV$2:$AV$2001,$R223)))</f>
        <v/>
      </c>
      <c r="E223" s="38">
        <f>IF($R223="","",IF(INDEX(Calc!$AW$2:$AW$2001,$R223)="","",INDEX(Calc!$AW$2:$AW$2001,$R223)))</f>
        <v/>
      </c>
      <c r="F223" s="68">
        <f>IF(OR(C223="",E223=""),"",E223-Setup!$D$7)</f>
        <v/>
      </c>
      <c r="G223" s="74">
        <f>IF($R223="","",IF(INDEX(Calc!$AX$2:$AX$2001,$R223)="","",INDEX(Calc!$AX$2:$AX$2001,$R223)))</f>
        <v/>
      </c>
      <c r="H223" s="74">
        <f>IF($R223="","",IF(INDEX(Calc!$AY$2:$AY$2001,$R223)="","",INDEX(Calc!$AY$2:$AY$2001,$R223)))</f>
        <v/>
      </c>
      <c r="I223" s="36">
        <f>IF(OR(G223="",H223=""),"",TRIM(IF(HOUR(H223-G223)&gt;0,HOUR(H223-G223)&amp;" hr ","")&amp;IF(MINUTE(H223-G223)&gt;0,MINUTE(H223-G223)&amp;" min","")))</f>
        <v/>
      </c>
      <c r="J223" s="36">
        <f>IF($R223="","",IF(INDEX(Calc!$AZ$2:$AZ$2001,$R223)="","",INDEX(Calc!$AZ$2:$AZ$2001,$R223)))</f>
        <v/>
      </c>
      <c r="K223" s="87">
        <f>IF($R223="","",IF(INDEX(Calc!$BE$2:$BE$2001,$R223)="","",INDEX(Calc!$BE$2:$BE$2001,$R223)))</f>
        <v/>
      </c>
      <c r="L223" s="36">
        <f>IF($R223="","",IF(INDEX(Calc!$BA$2:$BA$2001,$R223)="","",INDEX(Calc!$BA$2:$BA$2001,$R223)))</f>
        <v/>
      </c>
      <c r="M223" s="36">
        <f>IF($R223="","",IF(INDEX(Calc!$BB$2:$BB$2001,$R223)="","",INDEX(Calc!$BB$2:$BB$2001,$R223)))</f>
        <v/>
      </c>
      <c r="N223" s="36">
        <f>IF($R223="","",IF(INDEX(Calc!$BC$2:$BC$2001,$R223)="","",INDEX(Calc!$BC$2:$BC$2001,$R223)))</f>
        <v/>
      </c>
      <c r="O223" s="36">
        <f>IF($R223="","",IF(INDEX(Calc!$BD$2:$BD$2001,$R223)="","",INDEX(Calc!$BD$2:$BD$2001,$R223)))</f>
        <v/>
      </c>
      <c r="P223" s="88">
        <f>IF(R223="","",HYPERLINK("#'"&amp;IF(INDEX(Calc!$AS$2:$AS$2001,R223)="R","Recurring Log","Variable Tasks")&amp;"'!J"&amp;INDEX(Calc!$AT$2:$AT$2001,R223),"✎ edit"))</f>
        <v/>
      </c>
      <c r="R223">
        <f>IFERROR(MATCH(SMALL(Calc!$BK$2:$BK$2001,214),Calc!$BK$2:$BK$2001,0),"")</f>
        <v/>
      </c>
    </row>
    <row r="224">
      <c r="B224" s="73">
        <f>IF(R224="","",215)</f>
        <v/>
      </c>
      <c r="C224" s="75">
        <f>IF($R224="","",IF(INDEX(Calc!$AU$2:$AU$2001,$R224)="","",INDEX(Calc!$AU$2:$AU$2001,$R224)))</f>
        <v/>
      </c>
      <c r="D224" s="73">
        <f>IF($R224="","",IF(INDEX(Calc!$AV$2:$AV$2001,$R224)="","",INDEX(Calc!$AV$2:$AV$2001,$R224)))</f>
        <v/>
      </c>
      <c r="E224" s="76">
        <f>IF($R224="","",IF(INDEX(Calc!$AW$2:$AW$2001,$R224)="","",INDEX(Calc!$AW$2:$AW$2001,$R224)))</f>
        <v/>
      </c>
      <c r="F224" s="72">
        <f>IF(OR(C224="",E224=""),"",E224-Setup!$D$7)</f>
        <v/>
      </c>
      <c r="G224" s="77">
        <f>IF($R224="","",IF(INDEX(Calc!$AX$2:$AX$2001,$R224)="","",INDEX(Calc!$AX$2:$AX$2001,$R224)))</f>
        <v/>
      </c>
      <c r="H224" s="77">
        <f>IF($R224="","",IF(INDEX(Calc!$AY$2:$AY$2001,$R224)="","",INDEX(Calc!$AY$2:$AY$2001,$R224)))</f>
        <v/>
      </c>
      <c r="I224" s="73">
        <f>IF(OR(G224="",H224=""),"",TRIM(IF(HOUR(H224-G224)&gt;0,HOUR(H224-G224)&amp;" hr ","")&amp;IF(MINUTE(H224-G224)&gt;0,MINUTE(H224-G224)&amp;" min","")))</f>
        <v/>
      </c>
      <c r="J224" s="73">
        <f>IF($R224="","",IF(INDEX(Calc!$AZ$2:$AZ$2001,$R224)="","",INDEX(Calc!$AZ$2:$AZ$2001,$R224)))</f>
        <v/>
      </c>
      <c r="K224" s="85">
        <f>IF($R224="","",IF(INDEX(Calc!$BE$2:$BE$2001,$R224)="","",INDEX(Calc!$BE$2:$BE$2001,$R224)))</f>
        <v/>
      </c>
      <c r="L224" s="73">
        <f>IF($R224="","",IF(INDEX(Calc!$BA$2:$BA$2001,$R224)="","",INDEX(Calc!$BA$2:$BA$2001,$R224)))</f>
        <v/>
      </c>
      <c r="M224" s="73">
        <f>IF($R224="","",IF(INDEX(Calc!$BB$2:$BB$2001,$R224)="","",INDEX(Calc!$BB$2:$BB$2001,$R224)))</f>
        <v/>
      </c>
      <c r="N224" s="73">
        <f>IF($R224="","",IF(INDEX(Calc!$BC$2:$BC$2001,$R224)="","",INDEX(Calc!$BC$2:$BC$2001,$R224)))</f>
        <v/>
      </c>
      <c r="O224" s="73">
        <f>IF($R224="","",IF(INDEX(Calc!$BD$2:$BD$2001,$R224)="","",INDEX(Calc!$BD$2:$BD$2001,$R224)))</f>
        <v/>
      </c>
      <c r="P224" s="86">
        <f>IF(R224="","",HYPERLINK("#'"&amp;IF(INDEX(Calc!$AS$2:$AS$2001,R224)="R","Recurring Log","Variable Tasks")&amp;"'!J"&amp;INDEX(Calc!$AT$2:$AT$2001,R224),"✎ edit"))</f>
        <v/>
      </c>
      <c r="R224">
        <f>IFERROR(MATCH(SMALL(Calc!$BK$2:$BK$2001,215),Calc!$BK$2:$BK$2001,0),"")</f>
        <v/>
      </c>
    </row>
    <row r="225">
      <c r="B225" s="36">
        <f>IF(R225="","",216)</f>
        <v/>
      </c>
      <c r="C225" s="37">
        <f>IF($R225="","",IF(INDEX(Calc!$AU$2:$AU$2001,$R225)="","",INDEX(Calc!$AU$2:$AU$2001,$R225)))</f>
        <v/>
      </c>
      <c r="D225" s="36">
        <f>IF($R225="","",IF(INDEX(Calc!$AV$2:$AV$2001,$R225)="","",INDEX(Calc!$AV$2:$AV$2001,$R225)))</f>
        <v/>
      </c>
      <c r="E225" s="38">
        <f>IF($R225="","",IF(INDEX(Calc!$AW$2:$AW$2001,$R225)="","",INDEX(Calc!$AW$2:$AW$2001,$R225)))</f>
        <v/>
      </c>
      <c r="F225" s="68">
        <f>IF(OR(C225="",E225=""),"",E225-Setup!$D$7)</f>
        <v/>
      </c>
      <c r="G225" s="74">
        <f>IF($R225="","",IF(INDEX(Calc!$AX$2:$AX$2001,$R225)="","",INDEX(Calc!$AX$2:$AX$2001,$R225)))</f>
        <v/>
      </c>
      <c r="H225" s="74">
        <f>IF($R225="","",IF(INDEX(Calc!$AY$2:$AY$2001,$R225)="","",INDEX(Calc!$AY$2:$AY$2001,$R225)))</f>
        <v/>
      </c>
      <c r="I225" s="36">
        <f>IF(OR(G225="",H225=""),"",TRIM(IF(HOUR(H225-G225)&gt;0,HOUR(H225-G225)&amp;" hr ","")&amp;IF(MINUTE(H225-G225)&gt;0,MINUTE(H225-G225)&amp;" min","")))</f>
        <v/>
      </c>
      <c r="J225" s="36">
        <f>IF($R225="","",IF(INDEX(Calc!$AZ$2:$AZ$2001,$R225)="","",INDEX(Calc!$AZ$2:$AZ$2001,$R225)))</f>
        <v/>
      </c>
      <c r="K225" s="87">
        <f>IF($R225="","",IF(INDEX(Calc!$BE$2:$BE$2001,$R225)="","",INDEX(Calc!$BE$2:$BE$2001,$R225)))</f>
        <v/>
      </c>
      <c r="L225" s="36">
        <f>IF($R225="","",IF(INDEX(Calc!$BA$2:$BA$2001,$R225)="","",INDEX(Calc!$BA$2:$BA$2001,$R225)))</f>
        <v/>
      </c>
      <c r="M225" s="36">
        <f>IF($R225="","",IF(INDEX(Calc!$BB$2:$BB$2001,$R225)="","",INDEX(Calc!$BB$2:$BB$2001,$R225)))</f>
        <v/>
      </c>
      <c r="N225" s="36">
        <f>IF($R225="","",IF(INDEX(Calc!$BC$2:$BC$2001,$R225)="","",INDEX(Calc!$BC$2:$BC$2001,$R225)))</f>
        <v/>
      </c>
      <c r="O225" s="36">
        <f>IF($R225="","",IF(INDEX(Calc!$BD$2:$BD$2001,$R225)="","",INDEX(Calc!$BD$2:$BD$2001,$R225)))</f>
        <v/>
      </c>
      <c r="P225" s="88">
        <f>IF(R225="","",HYPERLINK("#'"&amp;IF(INDEX(Calc!$AS$2:$AS$2001,R225)="R","Recurring Log","Variable Tasks")&amp;"'!J"&amp;INDEX(Calc!$AT$2:$AT$2001,R225),"✎ edit"))</f>
        <v/>
      </c>
      <c r="R225">
        <f>IFERROR(MATCH(SMALL(Calc!$BK$2:$BK$2001,216),Calc!$BK$2:$BK$2001,0),"")</f>
        <v/>
      </c>
    </row>
    <row r="226">
      <c r="B226" s="73">
        <f>IF(R226="","",217)</f>
        <v/>
      </c>
      <c r="C226" s="75">
        <f>IF($R226="","",IF(INDEX(Calc!$AU$2:$AU$2001,$R226)="","",INDEX(Calc!$AU$2:$AU$2001,$R226)))</f>
        <v/>
      </c>
      <c r="D226" s="73">
        <f>IF($R226="","",IF(INDEX(Calc!$AV$2:$AV$2001,$R226)="","",INDEX(Calc!$AV$2:$AV$2001,$R226)))</f>
        <v/>
      </c>
      <c r="E226" s="76">
        <f>IF($R226="","",IF(INDEX(Calc!$AW$2:$AW$2001,$R226)="","",INDEX(Calc!$AW$2:$AW$2001,$R226)))</f>
        <v/>
      </c>
      <c r="F226" s="72">
        <f>IF(OR(C226="",E226=""),"",E226-Setup!$D$7)</f>
        <v/>
      </c>
      <c r="G226" s="77">
        <f>IF($R226="","",IF(INDEX(Calc!$AX$2:$AX$2001,$R226)="","",INDEX(Calc!$AX$2:$AX$2001,$R226)))</f>
        <v/>
      </c>
      <c r="H226" s="77">
        <f>IF($R226="","",IF(INDEX(Calc!$AY$2:$AY$2001,$R226)="","",INDEX(Calc!$AY$2:$AY$2001,$R226)))</f>
        <v/>
      </c>
      <c r="I226" s="73">
        <f>IF(OR(G226="",H226=""),"",TRIM(IF(HOUR(H226-G226)&gt;0,HOUR(H226-G226)&amp;" hr ","")&amp;IF(MINUTE(H226-G226)&gt;0,MINUTE(H226-G226)&amp;" min","")))</f>
        <v/>
      </c>
      <c r="J226" s="73">
        <f>IF($R226="","",IF(INDEX(Calc!$AZ$2:$AZ$2001,$R226)="","",INDEX(Calc!$AZ$2:$AZ$2001,$R226)))</f>
        <v/>
      </c>
      <c r="K226" s="85">
        <f>IF($R226="","",IF(INDEX(Calc!$BE$2:$BE$2001,$R226)="","",INDEX(Calc!$BE$2:$BE$2001,$R226)))</f>
        <v/>
      </c>
      <c r="L226" s="73">
        <f>IF($R226="","",IF(INDEX(Calc!$BA$2:$BA$2001,$R226)="","",INDEX(Calc!$BA$2:$BA$2001,$R226)))</f>
        <v/>
      </c>
      <c r="M226" s="73">
        <f>IF($R226="","",IF(INDEX(Calc!$BB$2:$BB$2001,$R226)="","",INDEX(Calc!$BB$2:$BB$2001,$R226)))</f>
        <v/>
      </c>
      <c r="N226" s="73">
        <f>IF($R226="","",IF(INDEX(Calc!$BC$2:$BC$2001,$R226)="","",INDEX(Calc!$BC$2:$BC$2001,$R226)))</f>
        <v/>
      </c>
      <c r="O226" s="73">
        <f>IF($R226="","",IF(INDEX(Calc!$BD$2:$BD$2001,$R226)="","",INDEX(Calc!$BD$2:$BD$2001,$R226)))</f>
        <v/>
      </c>
      <c r="P226" s="86">
        <f>IF(R226="","",HYPERLINK("#'"&amp;IF(INDEX(Calc!$AS$2:$AS$2001,R226)="R","Recurring Log","Variable Tasks")&amp;"'!J"&amp;INDEX(Calc!$AT$2:$AT$2001,R226),"✎ edit"))</f>
        <v/>
      </c>
      <c r="R226">
        <f>IFERROR(MATCH(SMALL(Calc!$BK$2:$BK$2001,217),Calc!$BK$2:$BK$2001,0),"")</f>
        <v/>
      </c>
    </row>
    <row r="227">
      <c r="B227" s="36">
        <f>IF(R227="","",218)</f>
        <v/>
      </c>
      <c r="C227" s="37">
        <f>IF($R227="","",IF(INDEX(Calc!$AU$2:$AU$2001,$R227)="","",INDEX(Calc!$AU$2:$AU$2001,$R227)))</f>
        <v/>
      </c>
      <c r="D227" s="36">
        <f>IF($R227="","",IF(INDEX(Calc!$AV$2:$AV$2001,$R227)="","",INDEX(Calc!$AV$2:$AV$2001,$R227)))</f>
        <v/>
      </c>
      <c r="E227" s="38">
        <f>IF($R227="","",IF(INDEX(Calc!$AW$2:$AW$2001,$R227)="","",INDEX(Calc!$AW$2:$AW$2001,$R227)))</f>
        <v/>
      </c>
      <c r="F227" s="68">
        <f>IF(OR(C227="",E227=""),"",E227-Setup!$D$7)</f>
        <v/>
      </c>
      <c r="G227" s="74">
        <f>IF($R227="","",IF(INDEX(Calc!$AX$2:$AX$2001,$R227)="","",INDEX(Calc!$AX$2:$AX$2001,$R227)))</f>
        <v/>
      </c>
      <c r="H227" s="74">
        <f>IF($R227="","",IF(INDEX(Calc!$AY$2:$AY$2001,$R227)="","",INDEX(Calc!$AY$2:$AY$2001,$R227)))</f>
        <v/>
      </c>
      <c r="I227" s="36">
        <f>IF(OR(G227="",H227=""),"",TRIM(IF(HOUR(H227-G227)&gt;0,HOUR(H227-G227)&amp;" hr ","")&amp;IF(MINUTE(H227-G227)&gt;0,MINUTE(H227-G227)&amp;" min","")))</f>
        <v/>
      </c>
      <c r="J227" s="36">
        <f>IF($R227="","",IF(INDEX(Calc!$AZ$2:$AZ$2001,$R227)="","",INDEX(Calc!$AZ$2:$AZ$2001,$R227)))</f>
        <v/>
      </c>
      <c r="K227" s="87">
        <f>IF($R227="","",IF(INDEX(Calc!$BE$2:$BE$2001,$R227)="","",INDEX(Calc!$BE$2:$BE$2001,$R227)))</f>
        <v/>
      </c>
      <c r="L227" s="36">
        <f>IF($R227="","",IF(INDEX(Calc!$BA$2:$BA$2001,$R227)="","",INDEX(Calc!$BA$2:$BA$2001,$R227)))</f>
        <v/>
      </c>
      <c r="M227" s="36">
        <f>IF($R227="","",IF(INDEX(Calc!$BB$2:$BB$2001,$R227)="","",INDEX(Calc!$BB$2:$BB$2001,$R227)))</f>
        <v/>
      </c>
      <c r="N227" s="36">
        <f>IF($R227="","",IF(INDEX(Calc!$BC$2:$BC$2001,$R227)="","",INDEX(Calc!$BC$2:$BC$2001,$R227)))</f>
        <v/>
      </c>
      <c r="O227" s="36">
        <f>IF($R227="","",IF(INDEX(Calc!$BD$2:$BD$2001,$R227)="","",INDEX(Calc!$BD$2:$BD$2001,$R227)))</f>
        <v/>
      </c>
      <c r="P227" s="88">
        <f>IF(R227="","",HYPERLINK("#'"&amp;IF(INDEX(Calc!$AS$2:$AS$2001,R227)="R","Recurring Log","Variable Tasks")&amp;"'!J"&amp;INDEX(Calc!$AT$2:$AT$2001,R227),"✎ edit"))</f>
        <v/>
      </c>
      <c r="R227">
        <f>IFERROR(MATCH(SMALL(Calc!$BK$2:$BK$2001,218),Calc!$BK$2:$BK$2001,0),"")</f>
        <v/>
      </c>
    </row>
    <row r="228">
      <c r="B228" s="73">
        <f>IF(R228="","",219)</f>
        <v/>
      </c>
      <c r="C228" s="75">
        <f>IF($R228="","",IF(INDEX(Calc!$AU$2:$AU$2001,$R228)="","",INDEX(Calc!$AU$2:$AU$2001,$R228)))</f>
        <v/>
      </c>
      <c r="D228" s="73">
        <f>IF($R228="","",IF(INDEX(Calc!$AV$2:$AV$2001,$R228)="","",INDEX(Calc!$AV$2:$AV$2001,$R228)))</f>
        <v/>
      </c>
      <c r="E228" s="76">
        <f>IF($R228="","",IF(INDEX(Calc!$AW$2:$AW$2001,$R228)="","",INDEX(Calc!$AW$2:$AW$2001,$R228)))</f>
        <v/>
      </c>
      <c r="F228" s="72">
        <f>IF(OR(C228="",E228=""),"",E228-Setup!$D$7)</f>
        <v/>
      </c>
      <c r="G228" s="77">
        <f>IF($R228="","",IF(INDEX(Calc!$AX$2:$AX$2001,$R228)="","",INDEX(Calc!$AX$2:$AX$2001,$R228)))</f>
        <v/>
      </c>
      <c r="H228" s="77">
        <f>IF($R228="","",IF(INDEX(Calc!$AY$2:$AY$2001,$R228)="","",INDEX(Calc!$AY$2:$AY$2001,$R228)))</f>
        <v/>
      </c>
      <c r="I228" s="73">
        <f>IF(OR(G228="",H228=""),"",TRIM(IF(HOUR(H228-G228)&gt;0,HOUR(H228-G228)&amp;" hr ","")&amp;IF(MINUTE(H228-G228)&gt;0,MINUTE(H228-G228)&amp;" min","")))</f>
        <v/>
      </c>
      <c r="J228" s="73">
        <f>IF($R228="","",IF(INDEX(Calc!$AZ$2:$AZ$2001,$R228)="","",INDEX(Calc!$AZ$2:$AZ$2001,$R228)))</f>
        <v/>
      </c>
      <c r="K228" s="85">
        <f>IF($R228="","",IF(INDEX(Calc!$BE$2:$BE$2001,$R228)="","",INDEX(Calc!$BE$2:$BE$2001,$R228)))</f>
        <v/>
      </c>
      <c r="L228" s="73">
        <f>IF($R228="","",IF(INDEX(Calc!$BA$2:$BA$2001,$R228)="","",INDEX(Calc!$BA$2:$BA$2001,$R228)))</f>
        <v/>
      </c>
      <c r="M228" s="73">
        <f>IF($R228="","",IF(INDEX(Calc!$BB$2:$BB$2001,$R228)="","",INDEX(Calc!$BB$2:$BB$2001,$R228)))</f>
        <v/>
      </c>
      <c r="N228" s="73">
        <f>IF($R228="","",IF(INDEX(Calc!$BC$2:$BC$2001,$R228)="","",INDEX(Calc!$BC$2:$BC$2001,$R228)))</f>
        <v/>
      </c>
      <c r="O228" s="73">
        <f>IF($R228="","",IF(INDEX(Calc!$BD$2:$BD$2001,$R228)="","",INDEX(Calc!$BD$2:$BD$2001,$R228)))</f>
        <v/>
      </c>
      <c r="P228" s="86">
        <f>IF(R228="","",HYPERLINK("#'"&amp;IF(INDEX(Calc!$AS$2:$AS$2001,R228)="R","Recurring Log","Variable Tasks")&amp;"'!J"&amp;INDEX(Calc!$AT$2:$AT$2001,R228),"✎ edit"))</f>
        <v/>
      </c>
      <c r="R228">
        <f>IFERROR(MATCH(SMALL(Calc!$BK$2:$BK$2001,219),Calc!$BK$2:$BK$2001,0),"")</f>
        <v/>
      </c>
    </row>
    <row r="229">
      <c r="B229" s="36">
        <f>IF(R229="","",220)</f>
        <v/>
      </c>
      <c r="C229" s="37">
        <f>IF($R229="","",IF(INDEX(Calc!$AU$2:$AU$2001,$R229)="","",INDEX(Calc!$AU$2:$AU$2001,$R229)))</f>
        <v/>
      </c>
      <c r="D229" s="36">
        <f>IF($R229="","",IF(INDEX(Calc!$AV$2:$AV$2001,$R229)="","",INDEX(Calc!$AV$2:$AV$2001,$R229)))</f>
        <v/>
      </c>
      <c r="E229" s="38">
        <f>IF($R229="","",IF(INDEX(Calc!$AW$2:$AW$2001,$R229)="","",INDEX(Calc!$AW$2:$AW$2001,$R229)))</f>
        <v/>
      </c>
      <c r="F229" s="68">
        <f>IF(OR(C229="",E229=""),"",E229-Setup!$D$7)</f>
        <v/>
      </c>
      <c r="G229" s="74">
        <f>IF($R229="","",IF(INDEX(Calc!$AX$2:$AX$2001,$R229)="","",INDEX(Calc!$AX$2:$AX$2001,$R229)))</f>
        <v/>
      </c>
      <c r="H229" s="74">
        <f>IF($R229="","",IF(INDEX(Calc!$AY$2:$AY$2001,$R229)="","",INDEX(Calc!$AY$2:$AY$2001,$R229)))</f>
        <v/>
      </c>
      <c r="I229" s="36">
        <f>IF(OR(G229="",H229=""),"",TRIM(IF(HOUR(H229-G229)&gt;0,HOUR(H229-G229)&amp;" hr ","")&amp;IF(MINUTE(H229-G229)&gt;0,MINUTE(H229-G229)&amp;" min","")))</f>
        <v/>
      </c>
      <c r="J229" s="36">
        <f>IF($R229="","",IF(INDEX(Calc!$AZ$2:$AZ$2001,$R229)="","",INDEX(Calc!$AZ$2:$AZ$2001,$R229)))</f>
        <v/>
      </c>
      <c r="K229" s="87">
        <f>IF($R229="","",IF(INDEX(Calc!$BE$2:$BE$2001,$R229)="","",INDEX(Calc!$BE$2:$BE$2001,$R229)))</f>
        <v/>
      </c>
      <c r="L229" s="36">
        <f>IF($R229="","",IF(INDEX(Calc!$BA$2:$BA$2001,$R229)="","",INDEX(Calc!$BA$2:$BA$2001,$R229)))</f>
        <v/>
      </c>
      <c r="M229" s="36">
        <f>IF($R229="","",IF(INDEX(Calc!$BB$2:$BB$2001,$R229)="","",INDEX(Calc!$BB$2:$BB$2001,$R229)))</f>
        <v/>
      </c>
      <c r="N229" s="36">
        <f>IF($R229="","",IF(INDEX(Calc!$BC$2:$BC$2001,$R229)="","",INDEX(Calc!$BC$2:$BC$2001,$R229)))</f>
        <v/>
      </c>
      <c r="O229" s="36">
        <f>IF($R229="","",IF(INDEX(Calc!$BD$2:$BD$2001,$R229)="","",INDEX(Calc!$BD$2:$BD$2001,$R229)))</f>
        <v/>
      </c>
      <c r="P229" s="88">
        <f>IF(R229="","",HYPERLINK("#'"&amp;IF(INDEX(Calc!$AS$2:$AS$2001,R229)="R","Recurring Log","Variable Tasks")&amp;"'!J"&amp;INDEX(Calc!$AT$2:$AT$2001,R229),"✎ edit"))</f>
        <v/>
      </c>
      <c r="R229">
        <f>IFERROR(MATCH(SMALL(Calc!$BK$2:$BK$2001,220),Calc!$BK$2:$BK$2001,0),"")</f>
        <v/>
      </c>
    </row>
    <row r="230">
      <c r="B230" s="73">
        <f>IF(R230="","",221)</f>
        <v/>
      </c>
      <c r="C230" s="75">
        <f>IF($R230="","",IF(INDEX(Calc!$AU$2:$AU$2001,$R230)="","",INDEX(Calc!$AU$2:$AU$2001,$R230)))</f>
        <v/>
      </c>
      <c r="D230" s="73">
        <f>IF($R230="","",IF(INDEX(Calc!$AV$2:$AV$2001,$R230)="","",INDEX(Calc!$AV$2:$AV$2001,$R230)))</f>
        <v/>
      </c>
      <c r="E230" s="76">
        <f>IF($R230="","",IF(INDEX(Calc!$AW$2:$AW$2001,$R230)="","",INDEX(Calc!$AW$2:$AW$2001,$R230)))</f>
        <v/>
      </c>
      <c r="F230" s="72">
        <f>IF(OR(C230="",E230=""),"",E230-Setup!$D$7)</f>
        <v/>
      </c>
      <c r="G230" s="77">
        <f>IF($R230="","",IF(INDEX(Calc!$AX$2:$AX$2001,$R230)="","",INDEX(Calc!$AX$2:$AX$2001,$R230)))</f>
        <v/>
      </c>
      <c r="H230" s="77">
        <f>IF($R230="","",IF(INDEX(Calc!$AY$2:$AY$2001,$R230)="","",INDEX(Calc!$AY$2:$AY$2001,$R230)))</f>
        <v/>
      </c>
      <c r="I230" s="73">
        <f>IF(OR(G230="",H230=""),"",TRIM(IF(HOUR(H230-G230)&gt;0,HOUR(H230-G230)&amp;" hr ","")&amp;IF(MINUTE(H230-G230)&gt;0,MINUTE(H230-G230)&amp;" min","")))</f>
        <v/>
      </c>
      <c r="J230" s="73">
        <f>IF($R230="","",IF(INDEX(Calc!$AZ$2:$AZ$2001,$R230)="","",INDEX(Calc!$AZ$2:$AZ$2001,$R230)))</f>
        <v/>
      </c>
      <c r="K230" s="85">
        <f>IF($R230="","",IF(INDEX(Calc!$BE$2:$BE$2001,$R230)="","",INDEX(Calc!$BE$2:$BE$2001,$R230)))</f>
        <v/>
      </c>
      <c r="L230" s="73">
        <f>IF($R230="","",IF(INDEX(Calc!$BA$2:$BA$2001,$R230)="","",INDEX(Calc!$BA$2:$BA$2001,$R230)))</f>
        <v/>
      </c>
      <c r="M230" s="73">
        <f>IF($R230="","",IF(INDEX(Calc!$BB$2:$BB$2001,$R230)="","",INDEX(Calc!$BB$2:$BB$2001,$R230)))</f>
        <v/>
      </c>
      <c r="N230" s="73">
        <f>IF($R230="","",IF(INDEX(Calc!$BC$2:$BC$2001,$R230)="","",INDEX(Calc!$BC$2:$BC$2001,$R230)))</f>
        <v/>
      </c>
      <c r="O230" s="73">
        <f>IF($R230="","",IF(INDEX(Calc!$BD$2:$BD$2001,$R230)="","",INDEX(Calc!$BD$2:$BD$2001,$R230)))</f>
        <v/>
      </c>
      <c r="P230" s="86">
        <f>IF(R230="","",HYPERLINK("#'"&amp;IF(INDEX(Calc!$AS$2:$AS$2001,R230)="R","Recurring Log","Variable Tasks")&amp;"'!J"&amp;INDEX(Calc!$AT$2:$AT$2001,R230),"✎ edit"))</f>
        <v/>
      </c>
      <c r="R230">
        <f>IFERROR(MATCH(SMALL(Calc!$BK$2:$BK$2001,221),Calc!$BK$2:$BK$2001,0),"")</f>
        <v/>
      </c>
    </row>
    <row r="231">
      <c r="B231" s="36">
        <f>IF(R231="","",222)</f>
        <v/>
      </c>
      <c r="C231" s="37">
        <f>IF($R231="","",IF(INDEX(Calc!$AU$2:$AU$2001,$R231)="","",INDEX(Calc!$AU$2:$AU$2001,$R231)))</f>
        <v/>
      </c>
      <c r="D231" s="36">
        <f>IF($R231="","",IF(INDEX(Calc!$AV$2:$AV$2001,$R231)="","",INDEX(Calc!$AV$2:$AV$2001,$R231)))</f>
        <v/>
      </c>
      <c r="E231" s="38">
        <f>IF($R231="","",IF(INDEX(Calc!$AW$2:$AW$2001,$R231)="","",INDEX(Calc!$AW$2:$AW$2001,$R231)))</f>
        <v/>
      </c>
      <c r="F231" s="68">
        <f>IF(OR(C231="",E231=""),"",E231-Setup!$D$7)</f>
        <v/>
      </c>
      <c r="G231" s="74">
        <f>IF($R231="","",IF(INDEX(Calc!$AX$2:$AX$2001,$R231)="","",INDEX(Calc!$AX$2:$AX$2001,$R231)))</f>
        <v/>
      </c>
      <c r="H231" s="74">
        <f>IF($R231="","",IF(INDEX(Calc!$AY$2:$AY$2001,$R231)="","",INDEX(Calc!$AY$2:$AY$2001,$R231)))</f>
        <v/>
      </c>
      <c r="I231" s="36">
        <f>IF(OR(G231="",H231=""),"",TRIM(IF(HOUR(H231-G231)&gt;0,HOUR(H231-G231)&amp;" hr ","")&amp;IF(MINUTE(H231-G231)&gt;0,MINUTE(H231-G231)&amp;" min","")))</f>
        <v/>
      </c>
      <c r="J231" s="36">
        <f>IF($R231="","",IF(INDEX(Calc!$AZ$2:$AZ$2001,$R231)="","",INDEX(Calc!$AZ$2:$AZ$2001,$R231)))</f>
        <v/>
      </c>
      <c r="K231" s="87">
        <f>IF($R231="","",IF(INDEX(Calc!$BE$2:$BE$2001,$R231)="","",INDEX(Calc!$BE$2:$BE$2001,$R231)))</f>
        <v/>
      </c>
      <c r="L231" s="36">
        <f>IF($R231="","",IF(INDEX(Calc!$BA$2:$BA$2001,$R231)="","",INDEX(Calc!$BA$2:$BA$2001,$R231)))</f>
        <v/>
      </c>
      <c r="M231" s="36">
        <f>IF($R231="","",IF(INDEX(Calc!$BB$2:$BB$2001,$R231)="","",INDEX(Calc!$BB$2:$BB$2001,$R231)))</f>
        <v/>
      </c>
      <c r="N231" s="36">
        <f>IF($R231="","",IF(INDEX(Calc!$BC$2:$BC$2001,$R231)="","",INDEX(Calc!$BC$2:$BC$2001,$R231)))</f>
        <v/>
      </c>
      <c r="O231" s="36">
        <f>IF($R231="","",IF(INDEX(Calc!$BD$2:$BD$2001,$R231)="","",INDEX(Calc!$BD$2:$BD$2001,$R231)))</f>
        <v/>
      </c>
      <c r="P231" s="88">
        <f>IF(R231="","",HYPERLINK("#'"&amp;IF(INDEX(Calc!$AS$2:$AS$2001,R231)="R","Recurring Log","Variable Tasks")&amp;"'!J"&amp;INDEX(Calc!$AT$2:$AT$2001,R231),"✎ edit"))</f>
        <v/>
      </c>
      <c r="R231">
        <f>IFERROR(MATCH(SMALL(Calc!$BK$2:$BK$2001,222),Calc!$BK$2:$BK$2001,0),"")</f>
        <v/>
      </c>
    </row>
    <row r="232">
      <c r="B232" s="73">
        <f>IF(R232="","",223)</f>
        <v/>
      </c>
      <c r="C232" s="75">
        <f>IF($R232="","",IF(INDEX(Calc!$AU$2:$AU$2001,$R232)="","",INDEX(Calc!$AU$2:$AU$2001,$R232)))</f>
        <v/>
      </c>
      <c r="D232" s="73">
        <f>IF($R232="","",IF(INDEX(Calc!$AV$2:$AV$2001,$R232)="","",INDEX(Calc!$AV$2:$AV$2001,$R232)))</f>
        <v/>
      </c>
      <c r="E232" s="76">
        <f>IF($R232="","",IF(INDEX(Calc!$AW$2:$AW$2001,$R232)="","",INDEX(Calc!$AW$2:$AW$2001,$R232)))</f>
        <v/>
      </c>
      <c r="F232" s="72">
        <f>IF(OR(C232="",E232=""),"",E232-Setup!$D$7)</f>
        <v/>
      </c>
      <c r="G232" s="77">
        <f>IF($R232="","",IF(INDEX(Calc!$AX$2:$AX$2001,$R232)="","",INDEX(Calc!$AX$2:$AX$2001,$R232)))</f>
        <v/>
      </c>
      <c r="H232" s="77">
        <f>IF($R232="","",IF(INDEX(Calc!$AY$2:$AY$2001,$R232)="","",INDEX(Calc!$AY$2:$AY$2001,$R232)))</f>
        <v/>
      </c>
      <c r="I232" s="73">
        <f>IF(OR(G232="",H232=""),"",TRIM(IF(HOUR(H232-G232)&gt;0,HOUR(H232-G232)&amp;" hr ","")&amp;IF(MINUTE(H232-G232)&gt;0,MINUTE(H232-G232)&amp;" min","")))</f>
        <v/>
      </c>
      <c r="J232" s="73">
        <f>IF($R232="","",IF(INDEX(Calc!$AZ$2:$AZ$2001,$R232)="","",INDEX(Calc!$AZ$2:$AZ$2001,$R232)))</f>
        <v/>
      </c>
      <c r="K232" s="85">
        <f>IF($R232="","",IF(INDEX(Calc!$BE$2:$BE$2001,$R232)="","",INDEX(Calc!$BE$2:$BE$2001,$R232)))</f>
        <v/>
      </c>
      <c r="L232" s="73">
        <f>IF($R232="","",IF(INDEX(Calc!$BA$2:$BA$2001,$R232)="","",INDEX(Calc!$BA$2:$BA$2001,$R232)))</f>
        <v/>
      </c>
      <c r="M232" s="73">
        <f>IF($R232="","",IF(INDEX(Calc!$BB$2:$BB$2001,$R232)="","",INDEX(Calc!$BB$2:$BB$2001,$R232)))</f>
        <v/>
      </c>
      <c r="N232" s="73">
        <f>IF($R232="","",IF(INDEX(Calc!$BC$2:$BC$2001,$R232)="","",INDEX(Calc!$BC$2:$BC$2001,$R232)))</f>
        <v/>
      </c>
      <c r="O232" s="73">
        <f>IF($R232="","",IF(INDEX(Calc!$BD$2:$BD$2001,$R232)="","",INDEX(Calc!$BD$2:$BD$2001,$R232)))</f>
        <v/>
      </c>
      <c r="P232" s="86">
        <f>IF(R232="","",HYPERLINK("#'"&amp;IF(INDEX(Calc!$AS$2:$AS$2001,R232)="R","Recurring Log","Variable Tasks")&amp;"'!J"&amp;INDEX(Calc!$AT$2:$AT$2001,R232),"✎ edit"))</f>
        <v/>
      </c>
      <c r="R232">
        <f>IFERROR(MATCH(SMALL(Calc!$BK$2:$BK$2001,223),Calc!$BK$2:$BK$2001,0),"")</f>
        <v/>
      </c>
    </row>
    <row r="233">
      <c r="B233" s="36">
        <f>IF(R233="","",224)</f>
        <v/>
      </c>
      <c r="C233" s="37">
        <f>IF($R233="","",IF(INDEX(Calc!$AU$2:$AU$2001,$R233)="","",INDEX(Calc!$AU$2:$AU$2001,$R233)))</f>
        <v/>
      </c>
      <c r="D233" s="36">
        <f>IF($R233="","",IF(INDEX(Calc!$AV$2:$AV$2001,$R233)="","",INDEX(Calc!$AV$2:$AV$2001,$R233)))</f>
        <v/>
      </c>
      <c r="E233" s="38">
        <f>IF($R233="","",IF(INDEX(Calc!$AW$2:$AW$2001,$R233)="","",INDEX(Calc!$AW$2:$AW$2001,$R233)))</f>
        <v/>
      </c>
      <c r="F233" s="68">
        <f>IF(OR(C233="",E233=""),"",E233-Setup!$D$7)</f>
        <v/>
      </c>
      <c r="G233" s="74">
        <f>IF($R233="","",IF(INDEX(Calc!$AX$2:$AX$2001,$R233)="","",INDEX(Calc!$AX$2:$AX$2001,$R233)))</f>
        <v/>
      </c>
      <c r="H233" s="74">
        <f>IF($R233="","",IF(INDEX(Calc!$AY$2:$AY$2001,$R233)="","",INDEX(Calc!$AY$2:$AY$2001,$R233)))</f>
        <v/>
      </c>
      <c r="I233" s="36">
        <f>IF(OR(G233="",H233=""),"",TRIM(IF(HOUR(H233-G233)&gt;0,HOUR(H233-G233)&amp;" hr ","")&amp;IF(MINUTE(H233-G233)&gt;0,MINUTE(H233-G233)&amp;" min","")))</f>
        <v/>
      </c>
      <c r="J233" s="36">
        <f>IF($R233="","",IF(INDEX(Calc!$AZ$2:$AZ$2001,$R233)="","",INDEX(Calc!$AZ$2:$AZ$2001,$R233)))</f>
        <v/>
      </c>
      <c r="K233" s="87">
        <f>IF($R233="","",IF(INDEX(Calc!$BE$2:$BE$2001,$R233)="","",INDEX(Calc!$BE$2:$BE$2001,$R233)))</f>
        <v/>
      </c>
      <c r="L233" s="36">
        <f>IF($R233="","",IF(INDEX(Calc!$BA$2:$BA$2001,$R233)="","",INDEX(Calc!$BA$2:$BA$2001,$R233)))</f>
        <v/>
      </c>
      <c r="M233" s="36">
        <f>IF($R233="","",IF(INDEX(Calc!$BB$2:$BB$2001,$R233)="","",INDEX(Calc!$BB$2:$BB$2001,$R233)))</f>
        <v/>
      </c>
      <c r="N233" s="36">
        <f>IF($R233="","",IF(INDEX(Calc!$BC$2:$BC$2001,$R233)="","",INDEX(Calc!$BC$2:$BC$2001,$R233)))</f>
        <v/>
      </c>
      <c r="O233" s="36">
        <f>IF($R233="","",IF(INDEX(Calc!$BD$2:$BD$2001,$R233)="","",INDEX(Calc!$BD$2:$BD$2001,$R233)))</f>
        <v/>
      </c>
      <c r="P233" s="88">
        <f>IF(R233="","",HYPERLINK("#'"&amp;IF(INDEX(Calc!$AS$2:$AS$2001,R233)="R","Recurring Log","Variable Tasks")&amp;"'!J"&amp;INDEX(Calc!$AT$2:$AT$2001,R233),"✎ edit"))</f>
        <v/>
      </c>
      <c r="R233">
        <f>IFERROR(MATCH(SMALL(Calc!$BK$2:$BK$2001,224),Calc!$BK$2:$BK$2001,0),"")</f>
        <v/>
      </c>
    </row>
    <row r="234">
      <c r="B234" s="73">
        <f>IF(R234="","",225)</f>
        <v/>
      </c>
      <c r="C234" s="75">
        <f>IF($R234="","",IF(INDEX(Calc!$AU$2:$AU$2001,$R234)="","",INDEX(Calc!$AU$2:$AU$2001,$R234)))</f>
        <v/>
      </c>
      <c r="D234" s="73">
        <f>IF($R234="","",IF(INDEX(Calc!$AV$2:$AV$2001,$R234)="","",INDEX(Calc!$AV$2:$AV$2001,$R234)))</f>
        <v/>
      </c>
      <c r="E234" s="76">
        <f>IF($R234="","",IF(INDEX(Calc!$AW$2:$AW$2001,$R234)="","",INDEX(Calc!$AW$2:$AW$2001,$R234)))</f>
        <v/>
      </c>
      <c r="F234" s="72">
        <f>IF(OR(C234="",E234=""),"",E234-Setup!$D$7)</f>
        <v/>
      </c>
      <c r="G234" s="77">
        <f>IF($R234="","",IF(INDEX(Calc!$AX$2:$AX$2001,$R234)="","",INDEX(Calc!$AX$2:$AX$2001,$R234)))</f>
        <v/>
      </c>
      <c r="H234" s="77">
        <f>IF($R234="","",IF(INDEX(Calc!$AY$2:$AY$2001,$R234)="","",INDEX(Calc!$AY$2:$AY$2001,$R234)))</f>
        <v/>
      </c>
      <c r="I234" s="73">
        <f>IF(OR(G234="",H234=""),"",TRIM(IF(HOUR(H234-G234)&gt;0,HOUR(H234-G234)&amp;" hr ","")&amp;IF(MINUTE(H234-G234)&gt;0,MINUTE(H234-G234)&amp;" min","")))</f>
        <v/>
      </c>
      <c r="J234" s="73">
        <f>IF($R234="","",IF(INDEX(Calc!$AZ$2:$AZ$2001,$R234)="","",INDEX(Calc!$AZ$2:$AZ$2001,$R234)))</f>
        <v/>
      </c>
      <c r="K234" s="85">
        <f>IF($R234="","",IF(INDEX(Calc!$BE$2:$BE$2001,$R234)="","",INDEX(Calc!$BE$2:$BE$2001,$R234)))</f>
        <v/>
      </c>
      <c r="L234" s="73">
        <f>IF($R234="","",IF(INDEX(Calc!$BA$2:$BA$2001,$R234)="","",INDEX(Calc!$BA$2:$BA$2001,$R234)))</f>
        <v/>
      </c>
      <c r="M234" s="73">
        <f>IF($R234="","",IF(INDEX(Calc!$BB$2:$BB$2001,$R234)="","",INDEX(Calc!$BB$2:$BB$2001,$R234)))</f>
        <v/>
      </c>
      <c r="N234" s="73">
        <f>IF($R234="","",IF(INDEX(Calc!$BC$2:$BC$2001,$R234)="","",INDEX(Calc!$BC$2:$BC$2001,$R234)))</f>
        <v/>
      </c>
      <c r="O234" s="73">
        <f>IF($R234="","",IF(INDEX(Calc!$BD$2:$BD$2001,$R234)="","",INDEX(Calc!$BD$2:$BD$2001,$R234)))</f>
        <v/>
      </c>
      <c r="P234" s="86">
        <f>IF(R234="","",HYPERLINK("#'"&amp;IF(INDEX(Calc!$AS$2:$AS$2001,R234)="R","Recurring Log","Variable Tasks")&amp;"'!J"&amp;INDEX(Calc!$AT$2:$AT$2001,R234),"✎ edit"))</f>
        <v/>
      </c>
      <c r="R234">
        <f>IFERROR(MATCH(SMALL(Calc!$BK$2:$BK$2001,225),Calc!$BK$2:$BK$2001,0),"")</f>
        <v/>
      </c>
    </row>
    <row r="235">
      <c r="B235" s="36">
        <f>IF(R235="","",226)</f>
        <v/>
      </c>
      <c r="C235" s="37">
        <f>IF($R235="","",IF(INDEX(Calc!$AU$2:$AU$2001,$R235)="","",INDEX(Calc!$AU$2:$AU$2001,$R235)))</f>
        <v/>
      </c>
      <c r="D235" s="36">
        <f>IF($R235="","",IF(INDEX(Calc!$AV$2:$AV$2001,$R235)="","",INDEX(Calc!$AV$2:$AV$2001,$R235)))</f>
        <v/>
      </c>
      <c r="E235" s="38">
        <f>IF($R235="","",IF(INDEX(Calc!$AW$2:$AW$2001,$R235)="","",INDEX(Calc!$AW$2:$AW$2001,$R235)))</f>
        <v/>
      </c>
      <c r="F235" s="68">
        <f>IF(OR(C235="",E235=""),"",E235-Setup!$D$7)</f>
        <v/>
      </c>
      <c r="G235" s="74">
        <f>IF($R235="","",IF(INDEX(Calc!$AX$2:$AX$2001,$R235)="","",INDEX(Calc!$AX$2:$AX$2001,$R235)))</f>
        <v/>
      </c>
      <c r="H235" s="74">
        <f>IF($R235="","",IF(INDEX(Calc!$AY$2:$AY$2001,$R235)="","",INDEX(Calc!$AY$2:$AY$2001,$R235)))</f>
        <v/>
      </c>
      <c r="I235" s="36">
        <f>IF(OR(G235="",H235=""),"",TRIM(IF(HOUR(H235-G235)&gt;0,HOUR(H235-G235)&amp;" hr ","")&amp;IF(MINUTE(H235-G235)&gt;0,MINUTE(H235-G235)&amp;" min","")))</f>
        <v/>
      </c>
      <c r="J235" s="36">
        <f>IF($R235="","",IF(INDEX(Calc!$AZ$2:$AZ$2001,$R235)="","",INDEX(Calc!$AZ$2:$AZ$2001,$R235)))</f>
        <v/>
      </c>
      <c r="K235" s="87">
        <f>IF($R235="","",IF(INDEX(Calc!$BE$2:$BE$2001,$R235)="","",INDEX(Calc!$BE$2:$BE$2001,$R235)))</f>
        <v/>
      </c>
      <c r="L235" s="36">
        <f>IF($R235="","",IF(INDEX(Calc!$BA$2:$BA$2001,$R235)="","",INDEX(Calc!$BA$2:$BA$2001,$R235)))</f>
        <v/>
      </c>
      <c r="M235" s="36">
        <f>IF($R235="","",IF(INDEX(Calc!$BB$2:$BB$2001,$R235)="","",INDEX(Calc!$BB$2:$BB$2001,$R235)))</f>
        <v/>
      </c>
      <c r="N235" s="36">
        <f>IF($R235="","",IF(INDEX(Calc!$BC$2:$BC$2001,$R235)="","",INDEX(Calc!$BC$2:$BC$2001,$R235)))</f>
        <v/>
      </c>
      <c r="O235" s="36">
        <f>IF($R235="","",IF(INDEX(Calc!$BD$2:$BD$2001,$R235)="","",INDEX(Calc!$BD$2:$BD$2001,$R235)))</f>
        <v/>
      </c>
      <c r="P235" s="88">
        <f>IF(R235="","",HYPERLINK("#'"&amp;IF(INDEX(Calc!$AS$2:$AS$2001,R235)="R","Recurring Log","Variable Tasks")&amp;"'!J"&amp;INDEX(Calc!$AT$2:$AT$2001,R235),"✎ edit"))</f>
        <v/>
      </c>
      <c r="R235">
        <f>IFERROR(MATCH(SMALL(Calc!$BK$2:$BK$2001,226),Calc!$BK$2:$BK$2001,0),"")</f>
        <v/>
      </c>
    </row>
    <row r="236">
      <c r="B236" s="73">
        <f>IF(R236="","",227)</f>
        <v/>
      </c>
      <c r="C236" s="75">
        <f>IF($R236="","",IF(INDEX(Calc!$AU$2:$AU$2001,$R236)="","",INDEX(Calc!$AU$2:$AU$2001,$R236)))</f>
        <v/>
      </c>
      <c r="D236" s="73">
        <f>IF($R236="","",IF(INDEX(Calc!$AV$2:$AV$2001,$R236)="","",INDEX(Calc!$AV$2:$AV$2001,$R236)))</f>
        <v/>
      </c>
      <c r="E236" s="76">
        <f>IF($R236="","",IF(INDEX(Calc!$AW$2:$AW$2001,$R236)="","",INDEX(Calc!$AW$2:$AW$2001,$R236)))</f>
        <v/>
      </c>
      <c r="F236" s="72">
        <f>IF(OR(C236="",E236=""),"",E236-Setup!$D$7)</f>
        <v/>
      </c>
      <c r="G236" s="77">
        <f>IF($R236="","",IF(INDEX(Calc!$AX$2:$AX$2001,$R236)="","",INDEX(Calc!$AX$2:$AX$2001,$R236)))</f>
        <v/>
      </c>
      <c r="H236" s="77">
        <f>IF($R236="","",IF(INDEX(Calc!$AY$2:$AY$2001,$R236)="","",INDEX(Calc!$AY$2:$AY$2001,$R236)))</f>
        <v/>
      </c>
      <c r="I236" s="73">
        <f>IF(OR(G236="",H236=""),"",TRIM(IF(HOUR(H236-G236)&gt;0,HOUR(H236-G236)&amp;" hr ","")&amp;IF(MINUTE(H236-G236)&gt;0,MINUTE(H236-G236)&amp;" min","")))</f>
        <v/>
      </c>
      <c r="J236" s="73">
        <f>IF($R236="","",IF(INDEX(Calc!$AZ$2:$AZ$2001,$R236)="","",INDEX(Calc!$AZ$2:$AZ$2001,$R236)))</f>
        <v/>
      </c>
      <c r="K236" s="85">
        <f>IF($R236="","",IF(INDEX(Calc!$BE$2:$BE$2001,$R236)="","",INDEX(Calc!$BE$2:$BE$2001,$R236)))</f>
        <v/>
      </c>
      <c r="L236" s="73">
        <f>IF($R236="","",IF(INDEX(Calc!$BA$2:$BA$2001,$R236)="","",INDEX(Calc!$BA$2:$BA$2001,$R236)))</f>
        <v/>
      </c>
      <c r="M236" s="73">
        <f>IF($R236="","",IF(INDEX(Calc!$BB$2:$BB$2001,$R236)="","",INDEX(Calc!$BB$2:$BB$2001,$R236)))</f>
        <v/>
      </c>
      <c r="N236" s="73">
        <f>IF($R236="","",IF(INDEX(Calc!$BC$2:$BC$2001,$R236)="","",INDEX(Calc!$BC$2:$BC$2001,$R236)))</f>
        <v/>
      </c>
      <c r="O236" s="73">
        <f>IF($R236="","",IF(INDEX(Calc!$BD$2:$BD$2001,$R236)="","",INDEX(Calc!$BD$2:$BD$2001,$R236)))</f>
        <v/>
      </c>
      <c r="P236" s="86">
        <f>IF(R236="","",HYPERLINK("#'"&amp;IF(INDEX(Calc!$AS$2:$AS$2001,R236)="R","Recurring Log","Variable Tasks")&amp;"'!J"&amp;INDEX(Calc!$AT$2:$AT$2001,R236),"✎ edit"))</f>
        <v/>
      </c>
      <c r="R236">
        <f>IFERROR(MATCH(SMALL(Calc!$BK$2:$BK$2001,227),Calc!$BK$2:$BK$2001,0),"")</f>
        <v/>
      </c>
    </row>
    <row r="237">
      <c r="B237" s="36">
        <f>IF(R237="","",228)</f>
        <v/>
      </c>
      <c r="C237" s="37">
        <f>IF($R237="","",IF(INDEX(Calc!$AU$2:$AU$2001,$R237)="","",INDEX(Calc!$AU$2:$AU$2001,$R237)))</f>
        <v/>
      </c>
      <c r="D237" s="36">
        <f>IF($R237="","",IF(INDEX(Calc!$AV$2:$AV$2001,$R237)="","",INDEX(Calc!$AV$2:$AV$2001,$R237)))</f>
        <v/>
      </c>
      <c r="E237" s="38">
        <f>IF($R237="","",IF(INDEX(Calc!$AW$2:$AW$2001,$R237)="","",INDEX(Calc!$AW$2:$AW$2001,$R237)))</f>
        <v/>
      </c>
      <c r="F237" s="68">
        <f>IF(OR(C237="",E237=""),"",E237-Setup!$D$7)</f>
        <v/>
      </c>
      <c r="G237" s="74">
        <f>IF($R237="","",IF(INDEX(Calc!$AX$2:$AX$2001,$R237)="","",INDEX(Calc!$AX$2:$AX$2001,$R237)))</f>
        <v/>
      </c>
      <c r="H237" s="74">
        <f>IF($R237="","",IF(INDEX(Calc!$AY$2:$AY$2001,$R237)="","",INDEX(Calc!$AY$2:$AY$2001,$R237)))</f>
        <v/>
      </c>
      <c r="I237" s="36">
        <f>IF(OR(G237="",H237=""),"",TRIM(IF(HOUR(H237-G237)&gt;0,HOUR(H237-G237)&amp;" hr ","")&amp;IF(MINUTE(H237-G237)&gt;0,MINUTE(H237-G237)&amp;" min","")))</f>
        <v/>
      </c>
      <c r="J237" s="36">
        <f>IF($R237="","",IF(INDEX(Calc!$AZ$2:$AZ$2001,$R237)="","",INDEX(Calc!$AZ$2:$AZ$2001,$R237)))</f>
        <v/>
      </c>
      <c r="K237" s="87">
        <f>IF($R237="","",IF(INDEX(Calc!$BE$2:$BE$2001,$R237)="","",INDEX(Calc!$BE$2:$BE$2001,$R237)))</f>
        <v/>
      </c>
      <c r="L237" s="36">
        <f>IF($R237="","",IF(INDEX(Calc!$BA$2:$BA$2001,$R237)="","",INDEX(Calc!$BA$2:$BA$2001,$R237)))</f>
        <v/>
      </c>
      <c r="M237" s="36">
        <f>IF($R237="","",IF(INDEX(Calc!$BB$2:$BB$2001,$R237)="","",INDEX(Calc!$BB$2:$BB$2001,$R237)))</f>
        <v/>
      </c>
      <c r="N237" s="36">
        <f>IF($R237="","",IF(INDEX(Calc!$BC$2:$BC$2001,$R237)="","",INDEX(Calc!$BC$2:$BC$2001,$R237)))</f>
        <v/>
      </c>
      <c r="O237" s="36">
        <f>IF($R237="","",IF(INDEX(Calc!$BD$2:$BD$2001,$R237)="","",INDEX(Calc!$BD$2:$BD$2001,$R237)))</f>
        <v/>
      </c>
      <c r="P237" s="88">
        <f>IF(R237="","",HYPERLINK("#'"&amp;IF(INDEX(Calc!$AS$2:$AS$2001,R237)="R","Recurring Log","Variable Tasks")&amp;"'!J"&amp;INDEX(Calc!$AT$2:$AT$2001,R237),"✎ edit"))</f>
        <v/>
      </c>
      <c r="R237">
        <f>IFERROR(MATCH(SMALL(Calc!$BK$2:$BK$2001,228),Calc!$BK$2:$BK$2001,0),"")</f>
        <v/>
      </c>
    </row>
    <row r="238">
      <c r="B238" s="73">
        <f>IF(R238="","",229)</f>
        <v/>
      </c>
      <c r="C238" s="75">
        <f>IF($R238="","",IF(INDEX(Calc!$AU$2:$AU$2001,$R238)="","",INDEX(Calc!$AU$2:$AU$2001,$R238)))</f>
        <v/>
      </c>
      <c r="D238" s="73">
        <f>IF($R238="","",IF(INDEX(Calc!$AV$2:$AV$2001,$R238)="","",INDEX(Calc!$AV$2:$AV$2001,$R238)))</f>
        <v/>
      </c>
      <c r="E238" s="76">
        <f>IF($R238="","",IF(INDEX(Calc!$AW$2:$AW$2001,$R238)="","",INDEX(Calc!$AW$2:$AW$2001,$R238)))</f>
        <v/>
      </c>
      <c r="F238" s="72">
        <f>IF(OR(C238="",E238=""),"",E238-Setup!$D$7)</f>
        <v/>
      </c>
      <c r="G238" s="77">
        <f>IF($R238="","",IF(INDEX(Calc!$AX$2:$AX$2001,$R238)="","",INDEX(Calc!$AX$2:$AX$2001,$R238)))</f>
        <v/>
      </c>
      <c r="H238" s="77">
        <f>IF($R238="","",IF(INDEX(Calc!$AY$2:$AY$2001,$R238)="","",INDEX(Calc!$AY$2:$AY$2001,$R238)))</f>
        <v/>
      </c>
      <c r="I238" s="73">
        <f>IF(OR(G238="",H238=""),"",TRIM(IF(HOUR(H238-G238)&gt;0,HOUR(H238-G238)&amp;" hr ","")&amp;IF(MINUTE(H238-G238)&gt;0,MINUTE(H238-G238)&amp;" min","")))</f>
        <v/>
      </c>
      <c r="J238" s="73">
        <f>IF($R238="","",IF(INDEX(Calc!$AZ$2:$AZ$2001,$R238)="","",INDEX(Calc!$AZ$2:$AZ$2001,$R238)))</f>
        <v/>
      </c>
      <c r="K238" s="85">
        <f>IF($R238="","",IF(INDEX(Calc!$BE$2:$BE$2001,$R238)="","",INDEX(Calc!$BE$2:$BE$2001,$R238)))</f>
        <v/>
      </c>
      <c r="L238" s="73">
        <f>IF($R238="","",IF(INDEX(Calc!$BA$2:$BA$2001,$R238)="","",INDEX(Calc!$BA$2:$BA$2001,$R238)))</f>
        <v/>
      </c>
      <c r="M238" s="73">
        <f>IF($R238="","",IF(INDEX(Calc!$BB$2:$BB$2001,$R238)="","",INDEX(Calc!$BB$2:$BB$2001,$R238)))</f>
        <v/>
      </c>
      <c r="N238" s="73">
        <f>IF($R238="","",IF(INDEX(Calc!$BC$2:$BC$2001,$R238)="","",INDEX(Calc!$BC$2:$BC$2001,$R238)))</f>
        <v/>
      </c>
      <c r="O238" s="73">
        <f>IF($R238="","",IF(INDEX(Calc!$BD$2:$BD$2001,$R238)="","",INDEX(Calc!$BD$2:$BD$2001,$R238)))</f>
        <v/>
      </c>
      <c r="P238" s="86">
        <f>IF(R238="","",HYPERLINK("#'"&amp;IF(INDEX(Calc!$AS$2:$AS$2001,R238)="R","Recurring Log","Variable Tasks")&amp;"'!J"&amp;INDEX(Calc!$AT$2:$AT$2001,R238),"✎ edit"))</f>
        <v/>
      </c>
      <c r="R238">
        <f>IFERROR(MATCH(SMALL(Calc!$BK$2:$BK$2001,229),Calc!$BK$2:$BK$2001,0),"")</f>
        <v/>
      </c>
    </row>
    <row r="239">
      <c r="B239" s="36">
        <f>IF(R239="","",230)</f>
        <v/>
      </c>
      <c r="C239" s="37">
        <f>IF($R239="","",IF(INDEX(Calc!$AU$2:$AU$2001,$R239)="","",INDEX(Calc!$AU$2:$AU$2001,$R239)))</f>
        <v/>
      </c>
      <c r="D239" s="36">
        <f>IF($R239="","",IF(INDEX(Calc!$AV$2:$AV$2001,$R239)="","",INDEX(Calc!$AV$2:$AV$2001,$R239)))</f>
        <v/>
      </c>
      <c r="E239" s="38">
        <f>IF($R239="","",IF(INDEX(Calc!$AW$2:$AW$2001,$R239)="","",INDEX(Calc!$AW$2:$AW$2001,$R239)))</f>
        <v/>
      </c>
      <c r="F239" s="68">
        <f>IF(OR(C239="",E239=""),"",E239-Setup!$D$7)</f>
        <v/>
      </c>
      <c r="G239" s="74">
        <f>IF($R239="","",IF(INDEX(Calc!$AX$2:$AX$2001,$R239)="","",INDEX(Calc!$AX$2:$AX$2001,$R239)))</f>
        <v/>
      </c>
      <c r="H239" s="74">
        <f>IF($R239="","",IF(INDEX(Calc!$AY$2:$AY$2001,$R239)="","",INDEX(Calc!$AY$2:$AY$2001,$R239)))</f>
        <v/>
      </c>
      <c r="I239" s="36">
        <f>IF(OR(G239="",H239=""),"",TRIM(IF(HOUR(H239-G239)&gt;0,HOUR(H239-G239)&amp;" hr ","")&amp;IF(MINUTE(H239-G239)&gt;0,MINUTE(H239-G239)&amp;" min","")))</f>
        <v/>
      </c>
      <c r="J239" s="36">
        <f>IF($R239="","",IF(INDEX(Calc!$AZ$2:$AZ$2001,$R239)="","",INDEX(Calc!$AZ$2:$AZ$2001,$R239)))</f>
        <v/>
      </c>
      <c r="K239" s="87">
        <f>IF($R239="","",IF(INDEX(Calc!$BE$2:$BE$2001,$R239)="","",INDEX(Calc!$BE$2:$BE$2001,$R239)))</f>
        <v/>
      </c>
      <c r="L239" s="36">
        <f>IF($R239="","",IF(INDEX(Calc!$BA$2:$BA$2001,$R239)="","",INDEX(Calc!$BA$2:$BA$2001,$R239)))</f>
        <v/>
      </c>
      <c r="M239" s="36">
        <f>IF($R239="","",IF(INDEX(Calc!$BB$2:$BB$2001,$R239)="","",INDEX(Calc!$BB$2:$BB$2001,$R239)))</f>
        <v/>
      </c>
      <c r="N239" s="36">
        <f>IF($R239="","",IF(INDEX(Calc!$BC$2:$BC$2001,$R239)="","",INDEX(Calc!$BC$2:$BC$2001,$R239)))</f>
        <v/>
      </c>
      <c r="O239" s="36">
        <f>IF($R239="","",IF(INDEX(Calc!$BD$2:$BD$2001,$R239)="","",INDEX(Calc!$BD$2:$BD$2001,$R239)))</f>
        <v/>
      </c>
      <c r="P239" s="88">
        <f>IF(R239="","",HYPERLINK("#'"&amp;IF(INDEX(Calc!$AS$2:$AS$2001,R239)="R","Recurring Log","Variable Tasks")&amp;"'!J"&amp;INDEX(Calc!$AT$2:$AT$2001,R239),"✎ edit"))</f>
        <v/>
      </c>
      <c r="R239">
        <f>IFERROR(MATCH(SMALL(Calc!$BK$2:$BK$2001,230),Calc!$BK$2:$BK$2001,0),"")</f>
        <v/>
      </c>
    </row>
    <row r="240">
      <c r="B240" s="73">
        <f>IF(R240="","",231)</f>
        <v/>
      </c>
      <c r="C240" s="75">
        <f>IF($R240="","",IF(INDEX(Calc!$AU$2:$AU$2001,$R240)="","",INDEX(Calc!$AU$2:$AU$2001,$R240)))</f>
        <v/>
      </c>
      <c r="D240" s="73">
        <f>IF($R240="","",IF(INDEX(Calc!$AV$2:$AV$2001,$R240)="","",INDEX(Calc!$AV$2:$AV$2001,$R240)))</f>
        <v/>
      </c>
      <c r="E240" s="76">
        <f>IF($R240="","",IF(INDEX(Calc!$AW$2:$AW$2001,$R240)="","",INDEX(Calc!$AW$2:$AW$2001,$R240)))</f>
        <v/>
      </c>
      <c r="F240" s="72">
        <f>IF(OR(C240="",E240=""),"",E240-Setup!$D$7)</f>
        <v/>
      </c>
      <c r="G240" s="77">
        <f>IF($R240="","",IF(INDEX(Calc!$AX$2:$AX$2001,$R240)="","",INDEX(Calc!$AX$2:$AX$2001,$R240)))</f>
        <v/>
      </c>
      <c r="H240" s="77">
        <f>IF($R240="","",IF(INDEX(Calc!$AY$2:$AY$2001,$R240)="","",INDEX(Calc!$AY$2:$AY$2001,$R240)))</f>
        <v/>
      </c>
      <c r="I240" s="73">
        <f>IF(OR(G240="",H240=""),"",TRIM(IF(HOUR(H240-G240)&gt;0,HOUR(H240-G240)&amp;" hr ","")&amp;IF(MINUTE(H240-G240)&gt;0,MINUTE(H240-G240)&amp;" min","")))</f>
        <v/>
      </c>
      <c r="J240" s="73">
        <f>IF($R240="","",IF(INDEX(Calc!$AZ$2:$AZ$2001,$R240)="","",INDEX(Calc!$AZ$2:$AZ$2001,$R240)))</f>
        <v/>
      </c>
      <c r="K240" s="85">
        <f>IF($R240="","",IF(INDEX(Calc!$BE$2:$BE$2001,$R240)="","",INDEX(Calc!$BE$2:$BE$2001,$R240)))</f>
        <v/>
      </c>
      <c r="L240" s="73">
        <f>IF($R240="","",IF(INDEX(Calc!$BA$2:$BA$2001,$R240)="","",INDEX(Calc!$BA$2:$BA$2001,$R240)))</f>
        <v/>
      </c>
      <c r="M240" s="73">
        <f>IF($R240="","",IF(INDEX(Calc!$BB$2:$BB$2001,$R240)="","",INDEX(Calc!$BB$2:$BB$2001,$R240)))</f>
        <v/>
      </c>
      <c r="N240" s="73">
        <f>IF($R240="","",IF(INDEX(Calc!$BC$2:$BC$2001,$R240)="","",INDEX(Calc!$BC$2:$BC$2001,$R240)))</f>
        <v/>
      </c>
      <c r="O240" s="73">
        <f>IF($R240="","",IF(INDEX(Calc!$BD$2:$BD$2001,$R240)="","",INDEX(Calc!$BD$2:$BD$2001,$R240)))</f>
        <v/>
      </c>
      <c r="P240" s="86">
        <f>IF(R240="","",HYPERLINK("#'"&amp;IF(INDEX(Calc!$AS$2:$AS$2001,R240)="R","Recurring Log","Variable Tasks")&amp;"'!J"&amp;INDEX(Calc!$AT$2:$AT$2001,R240),"✎ edit"))</f>
        <v/>
      </c>
      <c r="R240">
        <f>IFERROR(MATCH(SMALL(Calc!$BK$2:$BK$2001,231),Calc!$BK$2:$BK$2001,0),"")</f>
        <v/>
      </c>
    </row>
    <row r="241">
      <c r="B241" s="36">
        <f>IF(R241="","",232)</f>
        <v/>
      </c>
      <c r="C241" s="37">
        <f>IF($R241="","",IF(INDEX(Calc!$AU$2:$AU$2001,$R241)="","",INDEX(Calc!$AU$2:$AU$2001,$R241)))</f>
        <v/>
      </c>
      <c r="D241" s="36">
        <f>IF($R241="","",IF(INDEX(Calc!$AV$2:$AV$2001,$R241)="","",INDEX(Calc!$AV$2:$AV$2001,$R241)))</f>
        <v/>
      </c>
      <c r="E241" s="38">
        <f>IF($R241="","",IF(INDEX(Calc!$AW$2:$AW$2001,$R241)="","",INDEX(Calc!$AW$2:$AW$2001,$R241)))</f>
        <v/>
      </c>
      <c r="F241" s="68">
        <f>IF(OR(C241="",E241=""),"",E241-Setup!$D$7)</f>
        <v/>
      </c>
      <c r="G241" s="74">
        <f>IF($R241="","",IF(INDEX(Calc!$AX$2:$AX$2001,$R241)="","",INDEX(Calc!$AX$2:$AX$2001,$R241)))</f>
        <v/>
      </c>
      <c r="H241" s="74">
        <f>IF($R241="","",IF(INDEX(Calc!$AY$2:$AY$2001,$R241)="","",INDEX(Calc!$AY$2:$AY$2001,$R241)))</f>
        <v/>
      </c>
      <c r="I241" s="36">
        <f>IF(OR(G241="",H241=""),"",TRIM(IF(HOUR(H241-G241)&gt;0,HOUR(H241-G241)&amp;" hr ","")&amp;IF(MINUTE(H241-G241)&gt;0,MINUTE(H241-G241)&amp;" min","")))</f>
        <v/>
      </c>
      <c r="J241" s="36">
        <f>IF($R241="","",IF(INDEX(Calc!$AZ$2:$AZ$2001,$R241)="","",INDEX(Calc!$AZ$2:$AZ$2001,$R241)))</f>
        <v/>
      </c>
      <c r="K241" s="87">
        <f>IF($R241="","",IF(INDEX(Calc!$BE$2:$BE$2001,$R241)="","",INDEX(Calc!$BE$2:$BE$2001,$R241)))</f>
        <v/>
      </c>
      <c r="L241" s="36">
        <f>IF($R241="","",IF(INDEX(Calc!$BA$2:$BA$2001,$R241)="","",INDEX(Calc!$BA$2:$BA$2001,$R241)))</f>
        <v/>
      </c>
      <c r="M241" s="36">
        <f>IF($R241="","",IF(INDEX(Calc!$BB$2:$BB$2001,$R241)="","",INDEX(Calc!$BB$2:$BB$2001,$R241)))</f>
        <v/>
      </c>
      <c r="N241" s="36">
        <f>IF($R241="","",IF(INDEX(Calc!$BC$2:$BC$2001,$R241)="","",INDEX(Calc!$BC$2:$BC$2001,$R241)))</f>
        <v/>
      </c>
      <c r="O241" s="36">
        <f>IF($R241="","",IF(INDEX(Calc!$BD$2:$BD$2001,$R241)="","",INDEX(Calc!$BD$2:$BD$2001,$R241)))</f>
        <v/>
      </c>
      <c r="P241" s="88">
        <f>IF(R241="","",HYPERLINK("#'"&amp;IF(INDEX(Calc!$AS$2:$AS$2001,R241)="R","Recurring Log","Variable Tasks")&amp;"'!J"&amp;INDEX(Calc!$AT$2:$AT$2001,R241),"✎ edit"))</f>
        <v/>
      </c>
      <c r="R241">
        <f>IFERROR(MATCH(SMALL(Calc!$BK$2:$BK$2001,232),Calc!$BK$2:$BK$2001,0),"")</f>
        <v/>
      </c>
    </row>
    <row r="242">
      <c r="B242" s="73">
        <f>IF(R242="","",233)</f>
        <v/>
      </c>
      <c r="C242" s="75">
        <f>IF($R242="","",IF(INDEX(Calc!$AU$2:$AU$2001,$R242)="","",INDEX(Calc!$AU$2:$AU$2001,$R242)))</f>
        <v/>
      </c>
      <c r="D242" s="73">
        <f>IF($R242="","",IF(INDEX(Calc!$AV$2:$AV$2001,$R242)="","",INDEX(Calc!$AV$2:$AV$2001,$R242)))</f>
        <v/>
      </c>
      <c r="E242" s="76">
        <f>IF($R242="","",IF(INDEX(Calc!$AW$2:$AW$2001,$R242)="","",INDEX(Calc!$AW$2:$AW$2001,$R242)))</f>
        <v/>
      </c>
      <c r="F242" s="72">
        <f>IF(OR(C242="",E242=""),"",E242-Setup!$D$7)</f>
        <v/>
      </c>
      <c r="G242" s="77">
        <f>IF($R242="","",IF(INDEX(Calc!$AX$2:$AX$2001,$R242)="","",INDEX(Calc!$AX$2:$AX$2001,$R242)))</f>
        <v/>
      </c>
      <c r="H242" s="77">
        <f>IF($R242="","",IF(INDEX(Calc!$AY$2:$AY$2001,$R242)="","",INDEX(Calc!$AY$2:$AY$2001,$R242)))</f>
        <v/>
      </c>
      <c r="I242" s="73">
        <f>IF(OR(G242="",H242=""),"",TRIM(IF(HOUR(H242-G242)&gt;0,HOUR(H242-G242)&amp;" hr ","")&amp;IF(MINUTE(H242-G242)&gt;0,MINUTE(H242-G242)&amp;" min","")))</f>
        <v/>
      </c>
      <c r="J242" s="73">
        <f>IF($R242="","",IF(INDEX(Calc!$AZ$2:$AZ$2001,$R242)="","",INDEX(Calc!$AZ$2:$AZ$2001,$R242)))</f>
        <v/>
      </c>
      <c r="K242" s="85">
        <f>IF($R242="","",IF(INDEX(Calc!$BE$2:$BE$2001,$R242)="","",INDEX(Calc!$BE$2:$BE$2001,$R242)))</f>
        <v/>
      </c>
      <c r="L242" s="73">
        <f>IF($R242="","",IF(INDEX(Calc!$BA$2:$BA$2001,$R242)="","",INDEX(Calc!$BA$2:$BA$2001,$R242)))</f>
        <v/>
      </c>
      <c r="M242" s="73">
        <f>IF($R242="","",IF(INDEX(Calc!$BB$2:$BB$2001,$R242)="","",INDEX(Calc!$BB$2:$BB$2001,$R242)))</f>
        <v/>
      </c>
      <c r="N242" s="73">
        <f>IF($R242="","",IF(INDEX(Calc!$BC$2:$BC$2001,$R242)="","",INDEX(Calc!$BC$2:$BC$2001,$R242)))</f>
        <v/>
      </c>
      <c r="O242" s="73">
        <f>IF($R242="","",IF(INDEX(Calc!$BD$2:$BD$2001,$R242)="","",INDEX(Calc!$BD$2:$BD$2001,$R242)))</f>
        <v/>
      </c>
      <c r="P242" s="86">
        <f>IF(R242="","",HYPERLINK("#'"&amp;IF(INDEX(Calc!$AS$2:$AS$2001,R242)="R","Recurring Log","Variable Tasks")&amp;"'!J"&amp;INDEX(Calc!$AT$2:$AT$2001,R242),"✎ edit"))</f>
        <v/>
      </c>
      <c r="R242">
        <f>IFERROR(MATCH(SMALL(Calc!$BK$2:$BK$2001,233),Calc!$BK$2:$BK$2001,0),"")</f>
        <v/>
      </c>
    </row>
    <row r="243">
      <c r="B243" s="36">
        <f>IF(R243="","",234)</f>
        <v/>
      </c>
      <c r="C243" s="37">
        <f>IF($R243="","",IF(INDEX(Calc!$AU$2:$AU$2001,$R243)="","",INDEX(Calc!$AU$2:$AU$2001,$R243)))</f>
        <v/>
      </c>
      <c r="D243" s="36">
        <f>IF($R243="","",IF(INDEX(Calc!$AV$2:$AV$2001,$R243)="","",INDEX(Calc!$AV$2:$AV$2001,$R243)))</f>
        <v/>
      </c>
      <c r="E243" s="38">
        <f>IF($R243="","",IF(INDEX(Calc!$AW$2:$AW$2001,$R243)="","",INDEX(Calc!$AW$2:$AW$2001,$R243)))</f>
        <v/>
      </c>
      <c r="F243" s="68">
        <f>IF(OR(C243="",E243=""),"",E243-Setup!$D$7)</f>
        <v/>
      </c>
      <c r="G243" s="74">
        <f>IF($R243="","",IF(INDEX(Calc!$AX$2:$AX$2001,$R243)="","",INDEX(Calc!$AX$2:$AX$2001,$R243)))</f>
        <v/>
      </c>
      <c r="H243" s="74">
        <f>IF($R243="","",IF(INDEX(Calc!$AY$2:$AY$2001,$R243)="","",INDEX(Calc!$AY$2:$AY$2001,$R243)))</f>
        <v/>
      </c>
      <c r="I243" s="36">
        <f>IF(OR(G243="",H243=""),"",TRIM(IF(HOUR(H243-G243)&gt;0,HOUR(H243-G243)&amp;" hr ","")&amp;IF(MINUTE(H243-G243)&gt;0,MINUTE(H243-G243)&amp;" min","")))</f>
        <v/>
      </c>
      <c r="J243" s="36">
        <f>IF($R243="","",IF(INDEX(Calc!$AZ$2:$AZ$2001,$R243)="","",INDEX(Calc!$AZ$2:$AZ$2001,$R243)))</f>
        <v/>
      </c>
      <c r="K243" s="87">
        <f>IF($R243="","",IF(INDEX(Calc!$BE$2:$BE$2001,$R243)="","",INDEX(Calc!$BE$2:$BE$2001,$R243)))</f>
        <v/>
      </c>
      <c r="L243" s="36">
        <f>IF($R243="","",IF(INDEX(Calc!$BA$2:$BA$2001,$R243)="","",INDEX(Calc!$BA$2:$BA$2001,$R243)))</f>
        <v/>
      </c>
      <c r="M243" s="36">
        <f>IF($R243="","",IF(INDEX(Calc!$BB$2:$BB$2001,$R243)="","",INDEX(Calc!$BB$2:$BB$2001,$R243)))</f>
        <v/>
      </c>
      <c r="N243" s="36">
        <f>IF($R243="","",IF(INDEX(Calc!$BC$2:$BC$2001,$R243)="","",INDEX(Calc!$BC$2:$BC$2001,$R243)))</f>
        <v/>
      </c>
      <c r="O243" s="36">
        <f>IF($R243="","",IF(INDEX(Calc!$BD$2:$BD$2001,$R243)="","",INDEX(Calc!$BD$2:$BD$2001,$R243)))</f>
        <v/>
      </c>
      <c r="P243" s="88">
        <f>IF(R243="","",HYPERLINK("#'"&amp;IF(INDEX(Calc!$AS$2:$AS$2001,R243)="R","Recurring Log","Variable Tasks")&amp;"'!J"&amp;INDEX(Calc!$AT$2:$AT$2001,R243),"✎ edit"))</f>
        <v/>
      </c>
      <c r="R243">
        <f>IFERROR(MATCH(SMALL(Calc!$BK$2:$BK$2001,234),Calc!$BK$2:$BK$2001,0),"")</f>
        <v/>
      </c>
    </row>
    <row r="244">
      <c r="B244" s="73">
        <f>IF(R244="","",235)</f>
        <v/>
      </c>
      <c r="C244" s="75">
        <f>IF($R244="","",IF(INDEX(Calc!$AU$2:$AU$2001,$R244)="","",INDEX(Calc!$AU$2:$AU$2001,$R244)))</f>
        <v/>
      </c>
      <c r="D244" s="73">
        <f>IF($R244="","",IF(INDEX(Calc!$AV$2:$AV$2001,$R244)="","",INDEX(Calc!$AV$2:$AV$2001,$R244)))</f>
        <v/>
      </c>
      <c r="E244" s="76">
        <f>IF($R244="","",IF(INDEX(Calc!$AW$2:$AW$2001,$R244)="","",INDEX(Calc!$AW$2:$AW$2001,$R244)))</f>
        <v/>
      </c>
      <c r="F244" s="72">
        <f>IF(OR(C244="",E244=""),"",E244-Setup!$D$7)</f>
        <v/>
      </c>
      <c r="G244" s="77">
        <f>IF($R244="","",IF(INDEX(Calc!$AX$2:$AX$2001,$R244)="","",INDEX(Calc!$AX$2:$AX$2001,$R244)))</f>
        <v/>
      </c>
      <c r="H244" s="77">
        <f>IF($R244="","",IF(INDEX(Calc!$AY$2:$AY$2001,$R244)="","",INDEX(Calc!$AY$2:$AY$2001,$R244)))</f>
        <v/>
      </c>
      <c r="I244" s="73">
        <f>IF(OR(G244="",H244=""),"",TRIM(IF(HOUR(H244-G244)&gt;0,HOUR(H244-G244)&amp;" hr ","")&amp;IF(MINUTE(H244-G244)&gt;0,MINUTE(H244-G244)&amp;" min","")))</f>
        <v/>
      </c>
      <c r="J244" s="73">
        <f>IF($R244="","",IF(INDEX(Calc!$AZ$2:$AZ$2001,$R244)="","",INDEX(Calc!$AZ$2:$AZ$2001,$R244)))</f>
        <v/>
      </c>
      <c r="K244" s="85">
        <f>IF($R244="","",IF(INDEX(Calc!$BE$2:$BE$2001,$R244)="","",INDEX(Calc!$BE$2:$BE$2001,$R244)))</f>
        <v/>
      </c>
      <c r="L244" s="73">
        <f>IF($R244="","",IF(INDEX(Calc!$BA$2:$BA$2001,$R244)="","",INDEX(Calc!$BA$2:$BA$2001,$R244)))</f>
        <v/>
      </c>
      <c r="M244" s="73">
        <f>IF($R244="","",IF(INDEX(Calc!$BB$2:$BB$2001,$R244)="","",INDEX(Calc!$BB$2:$BB$2001,$R244)))</f>
        <v/>
      </c>
      <c r="N244" s="73">
        <f>IF($R244="","",IF(INDEX(Calc!$BC$2:$BC$2001,$R244)="","",INDEX(Calc!$BC$2:$BC$2001,$R244)))</f>
        <v/>
      </c>
      <c r="O244" s="73">
        <f>IF($R244="","",IF(INDEX(Calc!$BD$2:$BD$2001,$R244)="","",INDEX(Calc!$BD$2:$BD$2001,$R244)))</f>
        <v/>
      </c>
      <c r="P244" s="86">
        <f>IF(R244="","",HYPERLINK("#'"&amp;IF(INDEX(Calc!$AS$2:$AS$2001,R244)="R","Recurring Log","Variable Tasks")&amp;"'!J"&amp;INDEX(Calc!$AT$2:$AT$2001,R244),"✎ edit"))</f>
        <v/>
      </c>
      <c r="R244">
        <f>IFERROR(MATCH(SMALL(Calc!$BK$2:$BK$2001,235),Calc!$BK$2:$BK$2001,0),"")</f>
        <v/>
      </c>
    </row>
    <row r="245">
      <c r="B245" s="36">
        <f>IF(R245="","",236)</f>
        <v/>
      </c>
      <c r="C245" s="37">
        <f>IF($R245="","",IF(INDEX(Calc!$AU$2:$AU$2001,$R245)="","",INDEX(Calc!$AU$2:$AU$2001,$R245)))</f>
        <v/>
      </c>
      <c r="D245" s="36">
        <f>IF($R245="","",IF(INDEX(Calc!$AV$2:$AV$2001,$R245)="","",INDEX(Calc!$AV$2:$AV$2001,$R245)))</f>
        <v/>
      </c>
      <c r="E245" s="38">
        <f>IF($R245="","",IF(INDEX(Calc!$AW$2:$AW$2001,$R245)="","",INDEX(Calc!$AW$2:$AW$2001,$R245)))</f>
        <v/>
      </c>
      <c r="F245" s="68">
        <f>IF(OR(C245="",E245=""),"",E245-Setup!$D$7)</f>
        <v/>
      </c>
      <c r="G245" s="74">
        <f>IF($R245="","",IF(INDEX(Calc!$AX$2:$AX$2001,$R245)="","",INDEX(Calc!$AX$2:$AX$2001,$R245)))</f>
        <v/>
      </c>
      <c r="H245" s="74">
        <f>IF($R245="","",IF(INDEX(Calc!$AY$2:$AY$2001,$R245)="","",INDEX(Calc!$AY$2:$AY$2001,$R245)))</f>
        <v/>
      </c>
      <c r="I245" s="36">
        <f>IF(OR(G245="",H245=""),"",TRIM(IF(HOUR(H245-G245)&gt;0,HOUR(H245-G245)&amp;" hr ","")&amp;IF(MINUTE(H245-G245)&gt;0,MINUTE(H245-G245)&amp;" min","")))</f>
        <v/>
      </c>
      <c r="J245" s="36">
        <f>IF($R245="","",IF(INDEX(Calc!$AZ$2:$AZ$2001,$R245)="","",INDEX(Calc!$AZ$2:$AZ$2001,$R245)))</f>
        <v/>
      </c>
      <c r="K245" s="87">
        <f>IF($R245="","",IF(INDEX(Calc!$BE$2:$BE$2001,$R245)="","",INDEX(Calc!$BE$2:$BE$2001,$R245)))</f>
        <v/>
      </c>
      <c r="L245" s="36">
        <f>IF($R245="","",IF(INDEX(Calc!$BA$2:$BA$2001,$R245)="","",INDEX(Calc!$BA$2:$BA$2001,$R245)))</f>
        <v/>
      </c>
      <c r="M245" s="36">
        <f>IF($R245="","",IF(INDEX(Calc!$BB$2:$BB$2001,$R245)="","",INDEX(Calc!$BB$2:$BB$2001,$R245)))</f>
        <v/>
      </c>
      <c r="N245" s="36">
        <f>IF($R245="","",IF(INDEX(Calc!$BC$2:$BC$2001,$R245)="","",INDEX(Calc!$BC$2:$BC$2001,$R245)))</f>
        <v/>
      </c>
      <c r="O245" s="36">
        <f>IF($R245="","",IF(INDEX(Calc!$BD$2:$BD$2001,$R245)="","",INDEX(Calc!$BD$2:$BD$2001,$R245)))</f>
        <v/>
      </c>
      <c r="P245" s="88">
        <f>IF(R245="","",HYPERLINK("#'"&amp;IF(INDEX(Calc!$AS$2:$AS$2001,R245)="R","Recurring Log","Variable Tasks")&amp;"'!J"&amp;INDEX(Calc!$AT$2:$AT$2001,R245),"✎ edit"))</f>
        <v/>
      </c>
      <c r="R245">
        <f>IFERROR(MATCH(SMALL(Calc!$BK$2:$BK$2001,236),Calc!$BK$2:$BK$2001,0),"")</f>
        <v/>
      </c>
    </row>
    <row r="246">
      <c r="B246" s="73">
        <f>IF(R246="","",237)</f>
        <v/>
      </c>
      <c r="C246" s="75">
        <f>IF($R246="","",IF(INDEX(Calc!$AU$2:$AU$2001,$R246)="","",INDEX(Calc!$AU$2:$AU$2001,$R246)))</f>
        <v/>
      </c>
      <c r="D246" s="73">
        <f>IF($R246="","",IF(INDEX(Calc!$AV$2:$AV$2001,$R246)="","",INDEX(Calc!$AV$2:$AV$2001,$R246)))</f>
        <v/>
      </c>
      <c r="E246" s="76">
        <f>IF($R246="","",IF(INDEX(Calc!$AW$2:$AW$2001,$R246)="","",INDEX(Calc!$AW$2:$AW$2001,$R246)))</f>
        <v/>
      </c>
      <c r="F246" s="72">
        <f>IF(OR(C246="",E246=""),"",E246-Setup!$D$7)</f>
        <v/>
      </c>
      <c r="G246" s="77">
        <f>IF($R246="","",IF(INDEX(Calc!$AX$2:$AX$2001,$R246)="","",INDEX(Calc!$AX$2:$AX$2001,$R246)))</f>
        <v/>
      </c>
      <c r="H246" s="77">
        <f>IF($R246="","",IF(INDEX(Calc!$AY$2:$AY$2001,$R246)="","",INDEX(Calc!$AY$2:$AY$2001,$R246)))</f>
        <v/>
      </c>
      <c r="I246" s="73">
        <f>IF(OR(G246="",H246=""),"",TRIM(IF(HOUR(H246-G246)&gt;0,HOUR(H246-G246)&amp;" hr ","")&amp;IF(MINUTE(H246-G246)&gt;0,MINUTE(H246-G246)&amp;" min","")))</f>
        <v/>
      </c>
      <c r="J246" s="73">
        <f>IF($R246="","",IF(INDEX(Calc!$AZ$2:$AZ$2001,$R246)="","",INDEX(Calc!$AZ$2:$AZ$2001,$R246)))</f>
        <v/>
      </c>
      <c r="K246" s="85">
        <f>IF($R246="","",IF(INDEX(Calc!$BE$2:$BE$2001,$R246)="","",INDEX(Calc!$BE$2:$BE$2001,$R246)))</f>
        <v/>
      </c>
      <c r="L246" s="73">
        <f>IF($R246="","",IF(INDEX(Calc!$BA$2:$BA$2001,$R246)="","",INDEX(Calc!$BA$2:$BA$2001,$R246)))</f>
        <v/>
      </c>
      <c r="M246" s="73">
        <f>IF($R246="","",IF(INDEX(Calc!$BB$2:$BB$2001,$R246)="","",INDEX(Calc!$BB$2:$BB$2001,$R246)))</f>
        <v/>
      </c>
      <c r="N246" s="73">
        <f>IF($R246="","",IF(INDEX(Calc!$BC$2:$BC$2001,$R246)="","",INDEX(Calc!$BC$2:$BC$2001,$R246)))</f>
        <v/>
      </c>
      <c r="O246" s="73">
        <f>IF($R246="","",IF(INDEX(Calc!$BD$2:$BD$2001,$R246)="","",INDEX(Calc!$BD$2:$BD$2001,$R246)))</f>
        <v/>
      </c>
      <c r="P246" s="86">
        <f>IF(R246="","",HYPERLINK("#'"&amp;IF(INDEX(Calc!$AS$2:$AS$2001,R246)="R","Recurring Log","Variable Tasks")&amp;"'!J"&amp;INDEX(Calc!$AT$2:$AT$2001,R246),"✎ edit"))</f>
        <v/>
      </c>
      <c r="R246">
        <f>IFERROR(MATCH(SMALL(Calc!$BK$2:$BK$2001,237),Calc!$BK$2:$BK$2001,0),"")</f>
        <v/>
      </c>
    </row>
    <row r="247">
      <c r="B247" s="36">
        <f>IF(R247="","",238)</f>
        <v/>
      </c>
      <c r="C247" s="37">
        <f>IF($R247="","",IF(INDEX(Calc!$AU$2:$AU$2001,$R247)="","",INDEX(Calc!$AU$2:$AU$2001,$R247)))</f>
        <v/>
      </c>
      <c r="D247" s="36">
        <f>IF($R247="","",IF(INDEX(Calc!$AV$2:$AV$2001,$R247)="","",INDEX(Calc!$AV$2:$AV$2001,$R247)))</f>
        <v/>
      </c>
      <c r="E247" s="38">
        <f>IF($R247="","",IF(INDEX(Calc!$AW$2:$AW$2001,$R247)="","",INDEX(Calc!$AW$2:$AW$2001,$R247)))</f>
        <v/>
      </c>
      <c r="F247" s="68">
        <f>IF(OR(C247="",E247=""),"",E247-Setup!$D$7)</f>
        <v/>
      </c>
      <c r="G247" s="74">
        <f>IF($R247="","",IF(INDEX(Calc!$AX$2:$AX$2001,$R247)="","",INDEX(Calc!$AX$2:$AX$2001,$R247)))</f>
        <v/>
      </c>
      <c r="H247" s="74">
        <f>IF($R247="","",IF(INDEX(Calc!$AY$2:$AY$2001,$R247)="","",INDEX(Calc!$AY$2:$AY$2001,$R247)))</f>
        <v/>
      </c>
      <c r="I247" s="36">
        <f>IF(OR(G247="",H247=""),"",TRIM(IF(HOUR(H247-G247)&gt;0,HOUR(H247-G247)&amp;" hr ","")&amp;IF(MINUTE(H247-G247)&gt;0,MINUTE(H247-G247)&amp;" min","")))</f>
        <v/>
      </c>
      <c r="J247" s="36">
        <f>IF($R247="","",IF(INDEX(Calc!$AZ$2:$AZ$2001,$R247)="","",INDEX(Calc!$AZ$2:$AZ$2001,$R247)))</f>
        <v/>
      </c>
      <c r="K247" s="87">
        <f>IF($R247="","",IF(INDEX(Calc!$BE$2:$BE$2001,$R247)="","",INDEX(Calc!$BE$2:$BE$2001,$R247)))</f>
        <v/>
      </c>
      <c r="L247" s="36">
        <f>IF($R247="","",IF(INDEX(Calc!$BA$2:$BA$2001,$R247)="","",INDEX(Calc!$BA$2:$BA$2001,$R247)))</f>
        <v/>
      </c>
      <c r="M247" s="36">
        <f>IF($R247="","",IF(INDEX(Calc!$BB$2:$BB$2001,$R247)="","",INDEX(Calc!$BB$2:$BB$2001,$R247)))</f>
        <v/>
      </c>
      <c r="N247" s="36">
        <f>IF($R247="","",IF(INDEX(Calc!$BC$2:$BC$2001,$R247)="","",INDEX(Calc!$BC$2:$BC$2001,$R247)))</f>
        <v/>
      </c>
      <c r="O247" s="36">
        <f>IF($R247="","",IF(INDEX(Calc!$BD$2:$BD$2001,$R247)="","",INDEX(Calc!$BD$2:$BD$2001,$R247)))</f>
        <v/>
      </c>
      <c r="P247" s="88">
        <f>IF(R247="","",HYPERLINK("#'"&amp;IF(INDEX(Calc!$AS$2:$AS$2001,R247)="R","Recurring Log","Variable Tasks")&amp;"'!J"&amp;INDEX(Calc!$AT$2:$AT$2001,R247),"✎ edit"))</f>
        <v/>
      </c>
      <c r="R247">
        <f>IFERROR(MATCH(SMALL(Calc!$BK$2:$BK$2001,238),Calc!$BK$2:$BK$2001,0),"")</f>
        <v/>
      </c>
    </row>
    <row r="248">
      <c r="B248" s="73">
        <f>IF(R248="","",239)</f>
        <v/>
      </c>
      <c r="C248" s="75">
        <f>IF($R248="","",IF(INDEX(Calc!$AU$2:$AU$2001,$R248)="","",INDEX(Calc!$AU$2:$AU$2001,$R248)))</f>
        <v/>
      </c>
      <c r="D248" s="73">
        <f>IF($R248="","",IF(INDEX(Calc!$AV$2:$AV$2001,$R248)="","",INDEX(Calc!$AV$2:$AV$2001,$R248)))</f>
        <v/>
      </c>
      <c r="E248" s="76">
        <f>IF($R248="","",IF(INDEX(Calc!$AW$2:$AW$2001,$R248)="","",INDEX(Calc!$AW$2:$AW$2001,$R248)))</f>
        <v/>
      </c>
      <c r="F248" s="72">
        <f>IF(OR(C248="",E248=""),"",E248-Setup!$D$7)</f>
        <v/>
      </c>
      <c r="G248" s="77">
        <f>IF($R248="","",IF(INDEX(Calc!$AX$2:$AX$2001,$R248)="","",INDEX(Calc!$AX$2:$AX$2001,$R248)))</f>
        <v/>
      </c>
      <c r="H248" s="77">
        <f>IF($R248="","",IF(INDEX(Calc!$AY$2:$AY$2001,$R248)="","",INDEX(Calc!$AY$2:$AY$2001,$R248)))</f>
        <v/>
      </c>
      <c r="I248" s="73">
        <f>IF(OR(G248="",H248=""),"",TRIM(IF(HOUR(H248-G248)&gt;0,HOUR(H248-G248)&amp;" hr ","")&amp;IF(MINUTE(H248-G248)&gt;0,MINUTE(H248-G248)&amp;" min","")))</f>
        <v/>
      </c>
      <c r="J248" s="73">
        <f>IF($R248="","",IF(INDEX(Calc!$AZ$2:$AZ$2001,$R248)="","",INDEX(Calc!$AZ$2:$AZ$2001,$R248)))</f>
        <v/>
      </c>
      <c r="K248" s="85">
        <f>IF($R248="","",IF(INDEX(Calc!$BE$2:$BE$2001,$R248)="","",INDEX(Calc!$BE$2:$BE$2001,$R248)))</f>
        <v/>
      </c>
      <c r="L248" s="73">
        <f>IF($R248="","",IF(INDEX(Calc!$BA$2:$BA$2001,$R248)="","",INDEX(Calc!$BA$2:$BA$2001,$R248)))</f>
        <v/>
      </c>
      <c r="M248" s="73">
        <f>IF($R248="","",IF(INDEX(Calc!$BB$2:$BB$2001,$R248)="","",INDEX(Calc!$BB$2:$BB$2001,$R248)))</f>
        <v/>
      </c>
      <c r="N248" s="73">
        <f>IF($R248="","",IF(INDEX(Calc!$BC$2:$BC$2001,$R248)="","",INDEX(Calc!$BC$2:$BC$2001,$R248)))</f>
        <v/>
      </c>
      <c r="O248" s="73">
        <f>IF($R248="","",IF(INDEX(Calc!$BD$2:$BD$2001,$R248)="","",INDEX(Calc!$BD$2:$BD$2001,$R248)))</f>
        <v/>
      </c>
      <c r="P248" s="86">
        <f>IF(R248="","",HYPERLINK("#'"&amp;IF(INDEX(Calc!$AS$2:$AS$2001,R248)="R","Recurring Log","Variable Tasks")&amp;"'!J"&amp;INDEX(Calc!$AT$2:$AT$2001,R248),"✎ edit"))</f>
        <v/>
      </c>
      <c r="R248">
        <f>IFERROR(MATCH(SMALL(Calc!$BK$2:$BK$2001,239),Calc!$BK$2:$BK$2001,0),"")</f>
        <v/>
      </c>
    </row>
    <row r="249">
      <c r="B249" s="36">
        <f>IF(R249="","",240)</f>
        <v/>
      </c>
      <c r="C249" s="37">
        <f>IF($R249="","",IF(INDEX(Calc!$AU$2:$AU$2001,$R249)="","",INDEX(Calc!$AU$2:$AU$2001,$R249)))</f>
        <v/>
      </c>
      <c r="D249" s="36">
        <f>IF($R249="","",IF(INDEX(Calc!$AV$2:$AV$2001,$R249)="","",INDEX(Calc!$AV$2:$AV$2001,$R249)))</f>
        <v/>
      </c>
      <c r="E249" s="38">
        <f>IF($R249="","",IF(INDEX(Calc!$AW$2:$AW$2001,$R249)="","",INDEX(Calc!$AW$2:$AW$2001,$R249)))</f>
        <v/>
      </c>
      <c r="F249" s="68">
        <f>IF(OR(C249="",E249=""),"",E249-Setup!$D$7)</f>
        <v/>
      </c>
      <c r="G249" s="74">
        <f>IF($R249="","",IF(INDEX(Calc!$AX$2:$AX$2001,$R249)="","",INDEX(Calc!$AX$2:$AX$2001,$R249)))</f>
        <v/>
      </c>
      <c r="H249" s="74">
        <f>IF($R249="","",IF(INDEX(Calc!$AY$2:$AY$2001,$R249)="","",INDEX(Calc!$AY$2:$AY$2001,$R249)))</f>
        <v/>
      </c>
      <c r="I249" s="36">
        <f>IF(OR(G249="",H249=""),"",TRIM(IF(HOUR(H249-G249)&gt;0,HOUR(H249-G249)&amp;" hr ","")&amp;IF(MINUTE(H249-G249)&gt;0,MINUTE(H249-G249)&amp;" min","")))</f>
        <v/>
      </c>
      <c r="J249" s="36">
        <f>IF($R249="","",IF(INDEX(Calc!$AZ$2:$AZ$2001,$R249)="","",INDEX(Calc!$AZ$2:$AZ$2001,$R249)))</f>
        <v/>
      </c>
      <c r="K249" s="87">
        <f>IF($R249="","",IF(INDEX(Calc!$BE$2:$BE$2001,$R249)="","",INDEX(Calc!$BE$2:$BE$2001,$R249)))</f>
        <v/>
      </c>
      <c r="L249" s="36">
        <f>IF($R249="","",IF(INDEX(Calc!$BA$2:$BA$2001,$R249)="","",INDEX(Calc!$BA$2:$BA$2001,$R249)))</f>
        <v/>
      </c>
      <c r="M249" s="36">
        <f>IF($R249="","",IF(INDEX(Calc!$BB$2:$BB$2001,$R249)="","",INDEX(Calc!$BB$2:$BB$2001,$R249)))</f>
        <v/>
      </c>
      <c r="N249" s="36">
        <f>IF($R249="","",IF(INDEX(Calc!$BC$2:$BC$2001,$R249)="","",INDEX(Calc!$BC$2:$BC$2001,$R249)))</f>
        <v/>
      </c>
      <c r="O249" s="36">
        <f>IF($R249="","",IF(INDEX(Calc!$BD$2:$BD$2001,$R249)="","",INDEX(Calc!$BD$2:$BD$2001,$R249)))</f>
        <v/>
      </c>
      <c r="P249" s="88">
        <f>IF(R249="","",HYPERLINK("#'"&amp;IF(INDEX(Calc!$AS$2:$AS$2001,R249)="R","Recurring Log","Variable Tasks")&amp;"'!J"&amp;INDEX(Calc!$AT$2:$AT$2001,R249),"✎ edit"))</f>
        <v/>
      </c>
      <c r="R249">
        <f>IFERROR(MATCH(SMALL(Calc!$BK$2:$BK$2001,240),Calc!$BK$2:$BK$2001,0),"")</f>
        <v/>
      </c>
    </row>
    <row r="250">
      <c r="B250" s="73">
        <f>IF(R250="","",241)</f>
        <v/>
      </c>
      <c r="C250" s="75">
        <f>IF($R250="","",IF(INDEX(Calc!$AU$2:$AU$2001,$R250)="","",INDEX(Calc!$AU$2:$AU$2001,$R250)))</f>
        <v/>
      </c>
      <c r="D250" s="73">
        <f>IF($R250="","",IF(INDEX(Calc!$AV$2:$AV$2001,$R250)="","",INDEX(Calc!$AV$2:$AV$2001,$R250)))</f>
        <v/>
      </c>
      <c r="E250" s="76">
        <f>IF($R250="","",IF(INDEX(Calc!$AW$2:$AW$2001,$R250)="","",INDEX(Calc!$AW$2:$AW$2001,$R250)))</f>
        <v/>
      </c>
      <c r="F250" s="72">
        <f>IF(OR(C250="",E250=""),"",E250-Setup!$D$7)</f>
        <v/>
      </c>
      <c r="G250" s="77">
        <f>IF($R250="","",IF(INDEX(Calc!$AX$2:$AX$2001,$R250)="","",INDEX(Calc!$AX$2:$AX$2001,$R250)))</f>
        <v/>
      </c>
      <c r="H250" s="77">
        <f>IF($R250="","",IF(INDEX(Calc!$AY$2:$AY$2001,$R250)="","",INDEX(Calc!$AY$2:$AY$2001,$R250)))</f>
        <v/>
      </c>
      <c r="I250" s="73">
        <f>IF(OR(G250="",H250=""),"",TRIM(IF(HOUR(H250-G250)&gt;0,HOUR(H250-G250)&amp;" hr ","")&amp;IF(MINUTE(H250-G250)&gt;0,MINUTE(H250-G250)&amp;" min","")))</f>
        <v/>
      </c>
      <c r="J250" s="73">
        <f>IF($R250="","",IF(INDEX(Calc!$AZ$2:$AZ$2001,$R250)="","",INDEX(Calc!$AZ$2:$AZ$2001,$R250)))</f>
        <v/>
      </c>
      <c r="K250" s="85">
        <f>IF($R250="","",IF(INDEX(Calc!$BE$2:$BE$2001,$R250)="","",INDEX(Calc!$BE$2:$BE$2001,$R250)))</f>
        <v/>
      </c>
      <c r="L250" s="73">
        <f>IF($R250="","",IF(INDEX(Calc!$BA$2:$BA$2001,$R250)="","",INDEX(Calc!$BA$2:$BA$2001,$R250)))</f>
        <v/>
      </c>
      <c r="M250" s="73">
        <f>IF($R250="","",IF(INDEX(Calc!$BB$2:$BB$2001,$R250)="","",INDEX(Calc!$BB$2:$BB$2001,$R250)))</f>
        <v/>
      </c>
      <c r="N250" s="73">
        <f>IF($R250="","",IF(INDEX(Calc!$BC$2:$BC$2001,$R250)="","",INDEX(Calc!$BC$2:$BC$2001,$R250)))</f>
        <v/>
      </c>
      <c r="O250" s="73">
        <f>IF($R250="","",IF(INDEX(Calc!$BD$2:$BD$2001,$R250)="","",INDEX(Calc!$BD$2:$BD$2001,$R250)))</f>
        <v/>
      </c>
      <c r="P250" s="86">
        <f>IF(R250="","",HYPERLINK("#'"&amp;IF(INDEX(Calc!$AS$2:$AS$2001,R250)="R","Recurring Log","Variable Tasks")&amp;"'!J"&amp;INDEX(Calc!$AT$2:$AT$2001,R250),"✎ edit"))</f>
        <v/>
      </c>
      <c r="R250">
        <f>IFERROR(MATCH(SMALL(Calc!$BK$2:$BK$2001,241),Calc!$BK$2:$BK$2001,0),"")</f>
        <v/>
      </c>
    </row>
    <row r="251">
      <c r="B251" s="36">
        <f>IF(R251="","",242)</f>
        <v/>
      </c>
      <c r="C251" s="37">
        <f>IF($R251="","",IF(INDEX(Calc!$AU$2:$AU$2001,$R251)="","",INDEX(Calc!$AU$2:$AU$2001,$R251)))</f>
        <v/>
      </c>
      <c r="D251" s="36">
        <f>IF($R251="","",IF(INDEX(Calc!$AV$2:$AV$2001,$R251)="","",INDEX(Calc!$AV$2:$AV$2001,$R251)))</f>
        <v/>
      </c>
      <c r="E251" s="38">
        <f>IF($R251="","",IF(INDEX(Calc!$AW$2:$AW$2001,$R251)="","",INDEX(Calc!$AW$2:$AW$2001,$R251)))</f>
        <v/>
      </c>
      <c r="F251" s="68">
        <f>IF(OR(C251="",E251=""),"",E251-Setup!$D$7)</f>
        <v/>
      </c>
      <c r="G251" s="74">
        <f>IF($R251="","",IF(INDEX(Calc!$AX$2:$AX$2001,$R251)="","",INDEX(Calc!$AX$2:$AX$2001,$R251)))</f>
        <v/>
      </c>
      <c r="H251" s="74">
        <f>IF($R251="","",IF(INDEX(Calc!$AY$2:$AY$2001,$R251)="","",INDEX(Calc!$AY$2:$AY$2001,$R251)))</f>
        <v/>
      </c>
      <c r="I251" s="36">
        <f>IF(OR(G251="",H251=""),"",TRIM(IF(HOUR(H251-G251)&gt;0,HOUR(H251-G251)&amp;" hr ","")&amp;IF(MINUTE(H251-G251)&gt;0,MINUTE(H251-G251)&amp;" min","")))</f>
        <v/>
      </c>
      <c r="J251" s="36">
        <f>IF($R251="","",IF(INDEX(Calc!$AZ$2:$AZ$2001,$R251)="","",INDEX(Calc!$AZ$2:$AZ$2001,$R251)))</f>
        <v/>
      </c>
      <c r="K251" s="87">
        <f>IF($R251="","",IF(INDEX(Calc!$BE$2:$BE$2001,$R251)="","",INDEX(Calc!$BE$2:$BE$2001,$R251)))</f>
        <v/>
      </c>
      <c r="L251" s="36">
        <f>IF($R251="","",IF(INDEX(Calc!$BA$2:$BA$2001,$R251)="","",INDEX(Calc!$BA$2:$BA$2001,$R251)))</f>
        <v/>
      </c>
      <c r="M251" s="36">
        <f>IF($R251="","",IF(INDEX(Calc!$BB$2:$BB$2001,$R251)="","",INDEX(Calc!$BB$2:$BB$2001,$R251)))</f>
        <v/>
      </c>
      <c r="N251" s="36">
        <f>IF($R251="","",IF(INDEX(Calc!$BC$2:$BC$2001,$R251)="","",INDEX(Calc!$BC$2:$BC$2001,$R251)))</f>
        <v/>
      </c>
      <c r="O251" s="36">
        <f>IF($R251="","",IF(INDEX(Calc!$BD$2:$BD$2001,$R251)="","",INDEX(Calc!$BD$2:$BD$2001,$R251)))</f>
        <v/>
      </c>
      <c r="P251" s="88">
        <f>IF(R251="","",HYPERLINK("#'"&amp;IF(INDEX(Calc!$AS$2:$AS$2001,R251)="R","Recurring Log","Variable Tasks")&amp;"'!J"&amp;INDEX(Calc!$AT$2:$AT$2001,R251),"✎ edit"))</f>
        <v/>
      </c>
      <c r="R251">
        <f>IFERROR(MATCH(SMALL(Calc!$BK$2:$BK$2001,242),Calc!$BK$2:$BK$2001,0),"")</f>
        <v/>
      </c>
    </row>
    <row r="252">
      <c r="B252" s="73">
        <f>IF(R252="","",243)</f>
        <v/>
      </c>
      <c r="C252" s="75">
        <f>IF($R252="","",IF(INDEX(Calc!$AU$2:$AU$2001,$R252)="","",INDEX(Calc!$AU$2:$AU$2001,$R252)))</f>
        <v/>
      </c>
      <c r="D252" s="73">
        <f>IF($R252="","",IF(INDEX(Calc!$AV$2:$AV$2001,$R252)="","",INDEX(Calc!$AV$2:$AV$2001,$R252)))</f>
        <v/>
      </c>
      <c r="E252" s="76">
        <f>IF($R252="","",IF(INDEX(Calc!$AW$2:$AW$2001,$R252)="","",INDEX(Calc!$AW$2:$AW$2001,$R252)))</f>
        <v/>
      </c>
      <c r="F252" s="72">
        <f>IF(OR(C252="",E252=""),"",E252-Setup!$D$7)</f>
        <v/>
      </c>
      <c r="G252" s="77">
        <f>IF($R252="","",IF(INDEX(Calc!$AX$2:$AX$2001,$R252)="","",INDEX(Calc!$AX$2:$AX$2001,$R252)))</f>
        <v/>
      </c>
      <c r="H252" s="77">
        <f>IF($R252="","",IF(INDEX(Calc!$AY$2:$AY$2001,$R252)="","",INDEX(Calc!$AY$2:$AY$2001,$R252)))</f>
        <v/>
      </c>
      <c r="I252" s="73">
        <f>IF(OR(G252="",H252=""),"",TRIM(IF(HOUR(H252-G252)&gt;0,HOUR(H252-G252)&amp;" hr ","")&amp;IF(MINUTE(H252-G252)&gt;0,MINUTE(H252-G252)&amp;" min","")))</f>
        <v/>
      </c>
      <c r="J252" s="73">
        <f>IF($R252="","",IF(INDEX(Calc!$AZ$2:$AZ$2001,$R252)="","",INDEX(Calc!$AZ$2:$AZ$2001,$R252)))</f>
        <v/>
      </c>
      <c r="K252" s="85">
        <f>IF($R252="","",IF(INDEX(Calc!$BE$2:$BE$2001,$R252)="","",INDEX(Calc!$BE$2:$BE$2001,$R252)))</f>
        <v/>
      </c>
      <c r="L252" s="73">
        <f>IF($R252="","",IF(INDEX(Calc!$BA$2:$BA$2001,$R252)="","",INDEX(Calc!$BA$2:$BA$2001,$R252)))</f>
        <v/>
      </c>
      <c r="M252" s="73">
        <f>IF($R252="","",IF(INDEX(Calc!$BB$2:$BB$2001,$R252)="","",INDEX(Calc!$BB$2:$BB$2001,$R252)))</f>
        <v/>
      </c>
      <c r="N252" s="73">
        <f>IF($R252="","",IF(INDEX(Calc!$BC$2:$BC$2001,$R252)="","",INDEX(Calc!$BC$2:$BC$2001,$R252)))</f>
        <v/>
      </c>
      <c r="O252" s="73">
        <f>IF($R252="","",IF(INDEX(Calc!$BD$2:$BD$2001,$R252)="","",INDEX(Calc!$BD$2:$BD$2001,$R252)))</f>
        <v/>
      </c>
      <c r="P252" s="86">
        <f>IF(R252="","",HYPERLINK("#'"&amp;IF(INDEX(Calc!$AS$2:$AS$2001,R252)="R","Recurring Log","Variable Tasks")&amp;"'!J"&amp;INDEX(Calc!$AT$2:$AT$2001,R252),"✎ edit"))</f>
        <v/>
      </c>
      <c r="R252">
        <f>IFERROR(MATCH(SMALL(Calc!$BK$2:$BK$2001,243),Calc!$BK$2:$BK$2001,0),"")</f>
        <v/>
      </c>
    </row>
    <row r="253">
      <c r="B253" s="36">
        <f>IF(R253="","",244)</f>
        <v/>
      </c>
      <c r="C253" s="37">
        <f>IF($R253="","",IF(INDEX(Calc!$AU$2:$AU$2001,$R253)="","",INDEX(Calc!$AU$2:$AU$2001,$R253)))</f>
        <v/>
      </c>
      <c r="D253" s="36">
        <f>IF($R253="","",IF(INDEX(Calc!$AV$2:$AV$2001,$R253)="","",INDEX(Calc!$AV$2:$AV$2001,$R253)))</f>
        <v/>
      </c>
      <c r="E253" s="38">
        <f>IF($R253="","",IF(INDEX(Calc!$AW$2:$AW$2001,$R253)="","",INDEX(Calc!$AW$2:$AW$2001,$R253)))</f>
        <v/>
      </c>
      <c r="F253" s="68">
        <f>IF(OR(C253="",E253=""),"",E253-Setup!$D$7)</f>
        <v/>
      </c>
      <c r="G253" s="74">
        <f>IF($R253="","",IF(INDEX(Calc!$AX$2:$AX$2001,$R253)="","",INDEX(Calc!$AX$2:$AX$2001,$R253)))</f>
        <v/>
      </c>
      <c r="H253" s="74">
        <f>IF($R253="","",IF(INDEX(Calc!$AY$2:$AY$2001,$R253)="","",INDEX(Calc!$AY$2:$AY$2001,$R253)))</f>
        <v/>
      </c>
      <c r="I253" s="36">
        <f>IF(OR(G253="",H253=""),"",TRIM(IF(HOUR(H253-G253)&gt;0,HOUR(H253-G253)&amp;" hr ","")&amp;IF(MINUTE(H253-G253)&gt;0,MINUTE(H253-G253)&amp;" min","")))</f>
        <v/>
      </c>
      <c r="J253" s="36">
        <f>IF($R253="","",IF(INDEX(Calc!$AZ$2:$AZ$2001,$R253)="","",INDEX(Calc!$AZ$2:$AZ$2001,$R253)))</f>
        <v/>
      </c>
      <c r="K253" s="87">
        <f>IF($R253="","",IF(INDEX(Calc!$BE$2:$BE$2001,$R253)="","",INDEX(Calc!$BE$2:$BE$2001,$R253)))</f>
        <v/>
      </c>
      <c r="L253" s="36">
        <f>IF($R253="","",IF(INDEX(Calc!$BA$2:$BA$2001,$R253)="","",INDEX(Calc!$BA$2:$BA$2001,$R253)))</f>
        <v/>
      </c>
      <c r="M253" s="36">
        <f>IF($R253="","",IF(INDEX(Calc!$BB$2:$BB$2001,$R253)="","",INDEX(Calc!$BB$2:$BB$2001,$R253)))</f>
        <v/>
      </c>
      <c r="N253" s="36">
        <f>IF($R253="","",IF(INDEX(Calc!$BC$2:$BC$2001,$R253)="","",INDEX(Calc!$BC$2:$BC$2001,$R253)))</f>
        <v/>
      </c>
      <c r="O253" s="36">
        <f>IF($R253="","",IF(INDEX(Calc!$BD$2:$BD$2001,$R253)="","",INDEX(Calc!$BD$2:$BD$2001,$R253)))</f>
        <v/>
      </c>
      <c r="P253" s="88">
        <f>IF(R253="","",HYPERLINK("#'"&amp;IF(INDEX(Calc!$AS$2:$AS$2001,R253)="R","Recurring Log","Variable Tasks")&amp;"'!J"&amp;INDEX(Calc!$AT$2:$AT$2001,R253),"✎ edit"))</f>
        <v/>
      </c>
      <c r="R253">
        <f>IFERROR(MATCH(SMALL(Calc!$BK$2:$BK$2001,244),Calc!$BK$2:$BK$2001,0),"")</f>
        <v/>
      </c>
    </row>
    <row r="254">
      <c r="B254" s="73">
        <f>IF(R254="","",245)</f>
        <v/>
      </c>
      <c r="C254" s="75">
        <f>IF($R254="","",IF(INDEX(Calc!$AU$2:$AU$2001,$R254)="","",INDEX(Calc!$AU$2:$AU$2001,$R254)))</f>
        <v/>
      </c>
      <c r="D254" s="73">
        <f>IF($R254="","",IF(INDEX(Calc!$AV$2:$AV$2001,$R254)="","",INDEX(Calc!$AV$2:$AV$2001,$R254)))</f>
        <v/>
      </c>
      <c r="E254" s="76">
        <f>IF($R254="","",IF(INDEX(Calc!$AW$2:$AW$2001,$R254)="","",INDEX(Calc!$AW$2:$AW$2001,$R254)))</f>
        <v/>
      </c>
      <c r="F254" s="72">
        <f>IF(OR(C254="",E254=""),"",E254-Setup!$D$7)</f>
        <v/>
      </c>
      <c r="G254" s="77">
        <f>IF($R254="","",IF(INDEX(Calc!$AX$2:$AX$2001,$R254)="","",INDEX(Calc!$AX$2:$AX$2001,$R254)))</f>
        <v/>
      </c>
      <c r="H254" s="77">
        <f>IF($R254="","",IF(INDEX(Calc!$AY$2:$AY$2001,$R254)="","",INDEX(Calc!$AY$2:$AY$2001,$R254)))</f>
        <v/>
      </c>
      <c r="I254" s="73">
        <f>IF(OR(G254="",H254=""),"",TRIM(IF(HOUR(H254-G254)&gt;0,HOUR(H254-G254)&amp;" hr ","")&amp;IF(MINUTE(H254-G254)&gt;0,MINUTE(H254-G254)&amp;" min","")))</f>
        <v/>
      </c>
      <c r="J254" s="73">
        <f>IF($R254="","",IF(INDEX(Calc!$AZ$2:$AZ$2001,$R254)="","",INDEX(Calc!$AZ$2:$AZ$2001,$R254)))</f>
        <v/>
      </c>
      <c r="K254" s="85">
        <f>IF($R254="","",IF(INDEX(Calc!$BE$2:$BE$2001,$R254)="","",INDEX(Calc!$BE$2:$BE$2001,$R254)))</f>
        <v/>
      </c>
      <c r="L254" s="73">
        <f>IF($R254="","",IF(INDEX(Calc!$BA$2:$BA$2001,$R254)="","",INDEX(Calc!$BA$2:$BA$2001,$R254)))</f>
        <v/>
      </c>
      <c r="M254" s="73">
        <f>IF($R254="","",IF(INDEX(Calc!$BB$2:$BB$2001,$R254)="","",INDEX(Calc!$BB$2:$BB$2001,$R254)))</f>
        <v/>
      </c>
      <c r="N254" s="73">
        <f>IF($R254="","",IF(INDEX(Calc!$BC$2:$BC$2001,$R254)="","",INDEX(Calc!$BC$2:$BC$2001,$R254)))</f>
        <v/>
      </c>
      <c r="O254" s="73">
        <f>IF($R254="","",IF(INDEX(Calc!$BD$2:$BD$2001,$R254)="","",INDEX(Calc!$BD$2:$BD$2001,$R254)))</f>
        <v/>
      </c>
      <c r="P254" s="86">
        <f>IF(R254="","",HYPERLINK("#'"&amp;IF(INDEX(Calc!$AS$2:$AS$2001,R254)="R","Recurring Log","Variable Tasks")&amp;"'!J"&amp;INDEX(Calc!$AT$2:$AT$2001,R254),"✎ edit"))</f>
        <v/>
      </c>
      <c r="R254">
        <f>IFERROR(MATCH(SMALL(Calc!$BK$2:$BK$2001,245),Calc!$BK$2:$BK$2001,0),"")</f>
        <v/>
      </c>
    </row>
    <row r="255">
      <c r="B255" s="36">
        <f>IF(R255="","",246)</f>
        <v/>
      </c>
      <c r="C255" s="37">
        <f>IF($R255="","",IF(INDEX(Calc!$AU$2:$AU$2001,$R255)="","",INDEX(Calc!$AU$2:$AU$2001,$R255)))</f>
        <v/>
      </c>
      <c r="D255" s="36">
        <f>IF($R255="","",IF(INDEX(Calc!$AV$2:$AV$2001,$R255)="","",INDEX(Calc!$AV$2:$AV$2001,$R255)))</f>
        <v/>
      </c>
      <c r="E255" s="38">
        <f>IF($R255="","",IF(INDEX(Calc!$AW$2:$AW$2001,$R255)="","",INDEX(Calc!$AW$2:$AW$2001,$R255)))</f>
        <v/>
      </c>
      <c r="F255" s="68">
        <f>IF(OR(C255="",E255=""),"",E255-Setup!$D$7)</f>
        <v/>
      </c>
      <c r="G255" s="74">
        <f>IF($R255="","",IF(INDEX(Calc!$AX$2:$AX$2001,$R255)="","",INDEX(Calc!$AX$2:$AX$2001,$R255)))</f>
        <v/>
      </c>
      <c r="H255" s="74">
        <f>IF($R255="","",IF(INDEX(Calc!$AY$2:$AY$2001,$R255)="","",INDEX(Calc!$AY$2:$AY$2001,$R255)))</f>
        <v/>
      </c>
      <c r="I255" s="36">
        <f>IF(OR(G255="",H255=""),"",TRIM(IF(HOUR(H255-G255)&gt;0,HOUR(H255-G255)&amp;" hr ","")&amp;IF(MINUTE(H255-G255)&gt;0,MINUTE(H255-G255)&amp;" min","")))</f>
        <v/>
      </c>
      <c r="J255" s="36">
        <f>IF($R255="","",IF(INDEX(Calc!$AZ$2:$AZ$2001,$R255)="","",INDEX(Calc!$AZ$2:$AZ$2001,$R255)))</f>
        <v/>
      </c>
      <c r="K255" s="87">
        <f>IF($R255="","",IF(INDEX(Calc!$BE$2:$BE$2001,$R255)="","",INDEX(Calc!$BE$2:$BE$2001,$R255)))</f>
        <v/>
      </c>
      <c r="L255" s="36">
        <f>IF($R255="","",IF(INDEX(Calc!$BA$2:$BA$2001,$R255)="","",INDEX(Calc!$BA$2:$BA$2001,$R255)))</f>
        <v/>
      </c>
      <c r="M255" s="36">
        <f>IF($R255="","",IF(INDEX(Calc!$BB$2:$BB$2001,$R255)="","",INDEX(Calc!$BB$2:$BB$2001,$R255)))</f>
        <v/>
      </c>
      <c r="N255" s="36">
        <f>IF($R255="","",IF(INDEX(Calc!$BC$2:$BC$2001,$R255)="","",INDEX(Calc!$BC$2:$BC$2001,$R255)))</f>
        <v/>
      </c>
      <c r="O255" s="36">
        <f>IF($R255="","",IF(INDEX(Calc!$BD$2:$BD$2001,$R255)="","",INDEX(Calc!$BD$2:$BD$2001,$R255)))</f>
        <v/>
      </c>
      <c r="P255" s="88">
        <f>IF(R255="","",HYPERLINK("#'"&amp;IF(INDEX(Calc!$AS$2:$AS$2001,R255)="R","Recurring Log","Variable Tasks")&amp;"'!J"&amp;INDEX(Calc!$AT$2:$AT$2001,R255),"✎ edit"))</f>
        <v/>
      </c>
      <c r="R255">
        <f>IFERROR(MATCH(SMALL(Calc!$BK$2:$BK$2001,246),Calc!$BK$2:$BK$2001,0),"")</f>
        <v/>
      </c>
    </row>
    <row r="256">
      <c r="B256" s="73">
        <f>IF(R256="","",247)</f>
        <v/>
      </c>
      <c r="C256" s="75">
        <f>IF($R256="","",IF(INDEX(Calc!$AU$2:$AU$2001,$R256)="","",INDEX(Calc!$AU$2:$AU$2001,$R256)))</f>
        <v/>
      </c>
      <c r="D256" s="73">
        <f>IF($R256="","",IF(INDEX(Calc!$AV$2:$AV$2001,$R256)="","",INDEX(Calc!$AV$2:$AV$2001,$R256)))</f>
        <v/>
      </c>
      <c r="E256" s="76">
        <f>IF($R256="","",IF(INDEX(Calc!$AW$2:$AW$2001,$R256)="","",INDEX(Calc!$AW$2:$AW$2001,$R256)))</f>
        <v/>
      </c>
      <c r="F256" s="72">
        <f>IF(OR(C256="",E256=""),"",E256-Setup!$D$7)</f>
        <v/>
      </c>
      <c r="G256" s="77">
        <f>IF($R256="","",IF(INDEX(Calc!$AX$2:$AX$2001,$R256)="","",INDEX(Calc!$AX$2:$AX$2001,$R256)))</f>
        <v/>
      </c>
      <c r="H256" s="77">
        <f>IF($R256="","",IF(INDEX(Calc!$AY$2:$AY$2001,$R256)="","",INDEX(Calc!$AY$2:$AY$2001,$R256)))</f>
        <v/>
      </c>
      <c r="I256" s="73">
        <f>IF(OR(G256="",H256=""),"",TRIM(IF(HOUR(H256-G256)&gt;0,HOUR(H256-G256)&amp;" hr ","")&amp;IF(MINUTE(H256-G256)&gt;0,MINUTE(H256-G256)&amp;" min","")))</f>
        <v/>
      </c>
      <c r="J256" s="73">
        <f>IF($R256="","",IF(INDEX(Calc!$AZ$2:$AZ$2001,$R256)="","",INDEX(Calc!$AZ$2:$AZ$2001,$R256)))</f>
        <v/>
      </c>
      <c r="K256" s="85">
        <f>IF($R256="","",IF(INDEX(Calc!$BE$2:$BE$2001,$R256)="","",INDEX(Calc!$BE$2:$BE$2001,$R256)))</f>
        <v/>
      </c>
      <c r="L256" s="73">
        <f>IF($R256="","",IF(INDEX(Calc!$BA$2:$BA$2001,$R256)="","",INDEX(Calc!$BA$2:$BA$2001,$R256)))</f>
        <v/>
      </c>
      <c r="M256" s="73">
        <f>IF($R256="","",IF(INDEX(Calc!$BB$2:$BB$2001,$R256)="","",INDEX(Calc!$BB$2:$BB$2001,$R256)))</f>
        <v/>
      </c>
      <c r="N256" s="73">
        <f>IF($R256="","",IF(INDEX(Calc!$BC$2:$BC$2001,$R256)="","",INDEX(Calc!$BC$2:$BC$2001,$R256)))</f>
        <v/>
      </c>
      <c r="O256" s="73">
        <f>IF($R256="","",IF(INDEX(Calc!$BD$2:$BD$2001,$R256)="","",INDEX(Calc!$BD$2:$BD$2001,$R256)))</f>
        <v/>
      </c>
      <c r="P256" s="86">
        <f>IF(R256="","",HYPERLINK("#'"&amp;IF(INDEX(Calc!$AS$2:$AS$2001,R256)="R","Recurring Log","Variable Tasks")&amp;"'!J"&amp;INDEX(Calc!$AT$2:$AT$2001,R256),"✎ edit"))</f>
        <v/>
      </c>
      <c r="R256">
        <f>IFERROR(MATCH(SMALL(Calc!$BK$2:$BK$2001,247),Calc!$BK$2:$BK$2001,0),"")</f>
        <v/>
      </c>
    </row>
    <row r="257">
      <c r="B257" s="36">
        <f>IF(R257="","",248)</f>
        <v/>
      </c>
      <c r="C257" s="37">
        <f>IF($R257="","",IF(INDEX(Calc!$AU$2:$AU$2001,$R257)="","",INDEX(Calc!$AU$2:$AU$2001,$R257)))</f>
        <v/>
      </c>
      <c r="D257" s="36">
        <f>IF($R257="","",IF(INDEX(Calc!$AV$2:$AV$2001,$R257)="","",INDEX(Calc!$AV$2:$AV$2001,$R257)))</f>
        <v/>
      </c>
      <c r="E257" s="38">
        <f>IF($R257="","",IF(INDEX(Calc!$AW$2:$AW$2001,$R257)="","",INDEX(Calc!$AW$2:$AW$2001,$R257)))</f>
        <v/>
      </c>
      <c r="F257" s="68">
        <f>IF(OR(C257="",E257=""),"",E257-Setup!$D$7)</f>
        <v/>
      </c>
      <c r="G257" s="74">
        <f>IF($R257="","",IF(INDEX(Calc!$AX$2:$AX$2001,$R257)="","",INDEX(Calc!$AX$2:$AX$2001,$R257)))</f>
        <v/>
      </c>
      <c r="H257" s="74">
        <f>IF($R257="","",IF(INDEX(Calc!$AY$2:$AY$2001,$R257)="","",INDEX(Calc!$AY$2:$AY$2001,$R257)))</f>
        <v/>
      </c>
      <c r="I257" s="36">
        <f>IF(OR(G257="",H257=""),"",TRIM(IF(HOUR(H257-G257)&gt;0,HOUR(H257-G257)&amp;" hr ","")&amp;IF(MINUTE(H257-G257)&gt;0,MINUTE(H257-G257)&amp;" min","")))</f>
        <v/>
      </c>
      <c r="J257" s="36">
        <f>IF($R257="","",IF(INDEX(Calc!$AZ$2:$AZ$2001,$R257)="","",INDEX(Calc!$AZ$2:$AZ$2001,$R257)))</f>
        <v/>
      </c>
      <c r="K257" s="87">
        <f>IF($R257="","",IF(INDEX(Calc!$BE$2:$BE$2001,$R257)="","",INDEX(Calc!$BE$2:$BE$2001,$R257)))</f>
        <v/>
      </c>
      <c r="L257" s="36">
        <f>IF($R257="","",IF(INDEX(Calc!$BA$2:$BA$2001,$R257)="","",INDEX(Calc!$BA$2:$BA$2001,$R257)))</f>
        <v/>
      </c>
      <c r="M257" s="36">
        <f>IF($R257="","",IF(INDEX(Calc!$BB$2:$BB$2001,$R257)="","",INDEX(Calc!$BB$2:$BB$2001,$R257)))</f>
        <v/>
      </c>
      <c r="N257" s="36">
        <f>IF($R257="","",IF(INDEX(Calc!$BC$2:$BC$2001,$R257)="","",INDEX(Calc!$BC$2:$BC$2001,$R257)))</f>
        <v/>
      </c>
      <c r="O257" s="36">
        <f>IF($R257="","",IF(INDEX(Calc!$BD$2:$BD$2001,$R257)="","",INDEX(Calc!$BD$2:$BD$2001,$R257)))</f>
        <v/>
      </c>
      <c r="P257" s="88">
        <f>IF(R257="","",HYPERLINK("#'"&amp;IF(INDEX(Calc!$AS$2:$AS$2001,R257)="R","Recurring Log","Variable Tasks")&amp;"'!J"&amp;INDEX(Calc!$AT$2:$AT$2001,R257),"✎ edit"))</f>
        <v/>
      </c>
      <c r="R257">
        <f>IFERROR(MATCH(SMALL(Calc!$BK$2:$BK$2001,248),Calc!$BK$2:$BK$2001,0),"")</f>
        <v/>
      </c>
    </row>
    <row r="258">
      <c r="B258" s="73">
        <f>IF(R258="","",249)</f>
        <v/>
      </c>
      <c r="C258" s="75">
        <f>IF($R258="","",IF(INDEX(Calc!$AU$2:$AU$2001,$R258)="","",INDEX(Calc!$AU$2:$AU$2001,$R258)))</f>
        <v/>
      </c>
      <c r="D258" s="73">
        <f>IF($R258="","",IF(INDEX(Calc!$AV$2:$AV$2001,$R258)="","",INDEX(Calc!$AV$2:$AV$2001,$R258)))</f>
        <v/>
      </c>
      <c r="E258" s="76">
        <f>IF($R258="","",IF(INDEX(Calc!$AW$2:$AW$2001,$R258)="","",INDEX(Calc!$AW$2:$AW$2001,$R258)))</f>
        <v/>
      </c>
      <c r="F258" s="72">
        <f>IF(OR(C258="",E258=""),"",E258-Setup!$D$7)</f>
        <v/>
      </c>
      <c r="G258" s="77">
        <f>IF($R258="","",IF(INDEX(Calc!$AX$2:$AX$2001,$R258)="","",INDEX(Calc!$AX$2:$AX$2001,$R258)))</f>
        <v/>
      </c>
      <c r="H258" s="77">
        <f>IF($R258="","",IF(INDEX(Calc!$AY$2:$AY$2001,$R258)="","",INDEX(Calc!$AY$2:$AY$2001,$R258)))</f>
        <v/>
      </c>
      <c r="I258" s="73">
        <f>IF(OR(G258="",H258=""),"",TRIM(IF(HOUR(H258-G258)&gt;0,HOUR(H258-G258)&amp;" hr ","")&amp;IF(MINUTE(H258-G258)&gt;0,MINUTE(H258-G258)&amp;" min","")))</f>
        <v/>
      </c>
      <c r="J258" s="73">
        <f>IF($R258="","",IF(INDEX(Calc!$AZ$2:$AZ$2001,$R258)="","",INDEX(Calc!$AZ$2:$AZ$2001,$R258)))</f>
        <v/>
      </c>
      <c r="K258" s="85">
        <f>IF($R258="","",IF(INDEX(Calc!$BE$2:$BE$2001,$R258)="","",INDEX(Calc!$BE$2:$BE$2001,$R258)))</f>
        <v/>
      </c>
      <c r="L258" s="73">
        <f>IF($R258="","",IF(INDEX(Calc!$BA$2:$BA$2001,$R258)="","",INDEX(Calc!$BA$2:$BA$2001,$R258)))</f>
        <v/>
      </c>
      <c r="M258" s="73">
        <f>IF($R258="","",IF(INDEX(Calc!$BB$2:$BB$2001,$R258)="","",INDEX(Calc!$BB$2:$BB$2001,$R258)))</f>
        <v/>
      </c>
      <c r="N258" s="73">
        <f>IF($R258="","",IF(INDEX(Calc!$BC$2:$BC$2001,$R258)="","",INDEX(Calc!$BC$2:$BC$2001,$R258)))</f>
        <v/>
      </c>
      <c r="O258" s="73">
        <f>IF($R258="","",IF(INDEX(Calc!$BD$2:$BD$2001,$R258)="","",INDEX(Calc!$BD$2:$BD$2001,$R258)))</f>
        <v/>
      </c>
      <c r="P258" s="86">
        <f>IF(R258="","",HYPERLINK("#'"&amp;IF(INDEX(Calc!$AS$2:$AS$2001,R258)="R","Recurring Log","Variable Tasks")&amp;"'!J"&amp;INDEX(Calc!$AT$2:$AT$2001,R258),"✎ edit"))</f>
        <v/>
      </c>
      <c r="R258">
        <f>IFERROR(MATCH(SMALL(Calc!$BK$2:$BK$2001,249),Calc!$BK$2:$BK$2001,0),"")</f>
        <v/>
      </c>
    </row>
    <row r="259">
      <c r="B259" s="36">
        <f>IF(R259="","",250)</f>
        <v/>
      </c>
      <c r="C259" s="37">
        <f>IF($R259="","",IF(INDEX(Calc!$AU$2:$AU$2001,$R259)="","",INDEX(Calc!$AU$2:$AU$2001,$R259)))</f>
        <v/>
      </c>
      <c r="D259" s="36">
        <f>IF($R259="","",IF(INDEX(Calc!$AV$2:$AV$2001,$R259)="","",INDEX(Calc!$AV$2:$AV$2001,$R259)))</f>
        <v/>
      </c>
      <c r="E259" s="38">
        <f>IF($R259="","",IF(INDEX(Calc!$AW$2:$AW$2001,$R259)="","",INDEX(Calc!$AW$2:$AW$2001,$R259)))</f>
        <v/>
      </c>
      <c r="F259" s="68">
        <f>IF(OR(C259="",E259=""),"",E259-Setup!$D$7)</f>
        <v/>
      </c>
      <c r="G259" s="74">
        <f>IF($R259="","",IF(INDEX(Calc!$AX$2:$AX$2001,$R259)="","",INDEX(Calc!$AX$2:$AX$2001,$R259)))</f>
        <v/>
      </c>
      <c r="H259" s="74">
        <f>IF($R259="","",IF(INDEX(Calc!$AY$2:$AY$2001,$R259)="","",INDEX(Calc!$AY$2:$AY$2001,$R259)))</f>
        <v/>
      </c>
      <c r="I259" s="36">
        <f>IF(OR(G259="",H259=""),"",TRIM(IF(HOUR(H259-G259)&gt;0,HOUR(H259-G259)&amp;" hr ","")&amp;IF(MINUTE(H259-G259)&gt;0,MINUTE(H259-G259)&amp;" min","")))</f>
        <v/>
      </c>
      <c r="J259" s="36">
        <f>IF($R259="","",IF(INDEX(Calc!$AZ$2:$AZ$2001,$R259)="","",INDEX(Calc!$AZ$2:$AZ$2001,$R259)))</f>
        <v/>
      </c>
      <c r="K259" s="87">
        <f>IF($R259="","",IF(INDEX(Calc!$BE$2:$BE$2001,$R259)="","",INDEX(Calc!$BE$2:$BE$2001,$R259)))</f>
        <v/>
      </c>
      <c r="L259" s="36">
        <f>IF($R259="","",IF(INDEX(Calc!$BA$2:$BA$2001,$R259)="","",INDEX(Calc!$BA$2:$BA$2001,$R259)))</f>
        <v/>
      </c>
      <c r="M259" s="36">
        <f>IF($R259="","",IF(INDEX(Calc!$BB$2:$BB$2001,$R259)="","",INDEX(Calc!$BB$2:$BB$2001,$R259)))</f>
        <v/>
      </c>
      <c r="N259" s="36">
        <f>IF($R259="","",IF(INDEX(Calc!$BC$2:$BC$2001,$R259)="","",INDEX(Calc!$BC$2:$BC$2001,$R259)))</f>
        <v/>
      </c>
      <c r="O259" s="36">
        <f>IF($R259="","",IF(INDEX(Calc!$BD$2:$BD$2001,$R259)="","",INDEX(Calc!$BD$2:$BD$2001,$R259)))</f>
        <v/>
      </c>
      <c r="P259" s="88">
        <f>IF(R259="","",HYPERLINK("#'"&amp;IF(INDEX(Calc!$AS$2:$AS$2001,R259)="R","Recurring Log","Variable Tasks")&amp;"'!J"&amp;INDEX(Calc!$AT$2:$AT$2001,R259),"✎ edit"))</f>
        <v/>
      </c>
      <c r="R259">
        <f>IFERROR(MATCH(SMALL(Calc!$BK$2:$BK$2001,250),Calc!$BK$2:$BK$2001,0),"")</f>
        <v/>
      </c>
    </row>
    <row r="260">
      <c r="B260" s="73">
        <f>IF(R260="","",251)</f>
        <v/>
      </c>
      <c r="C260" s="75">
        <f>IF($R260="","",IF(INDEX(Calc!$AU$2:$AU$2001,$R260)="","",INDEX(Calc!$AU$2:$AU$2001,$R260)))</f>
        <v/>
      </c>
      <c r="D260" s="73">
        <f>IF($R260="","",IF(INDEX(Calc!$AV$2:$AV$2001,$R260)="","",INDEX(Calc!$AV$2:$AV$2001,$R260)))</f>
        <v/>
      </c>
      <c r="E260" s="76">
        <f>IF($R260="","",IF(INDEX(Calc!$AW$2:$AW$2001,$R260)="","",INDEX(Calc!$AW$2:$AW$2001,$R260)))</f>
        <v/>
      </c>
      <c r="F260" s="72">
        <f>IF(OR(C260="",E260=""),"",E260-Setup!$D$7)</f>
        <v/>
      </c>
      <c r="G260" s="77">
        <f>IF($R260="","",IF(INDEX(Calc!$AX$2:$AX$2001,$R260)="","",INDEX(Calc!$AX$2:$AX$2001,$R260)))</f>
        <v/>
      </c>
      <c r="H260" s="77">
        <f>IF($R260="","",IF(INDEX(Calc!$AY$2:$AY$2001,$R260)="","",INDEX(Calc!$AY$2:$AY$2001,$R260)))</f>
        <v/>
      </c>
      <c r="I260" s="73">
        <f>IF(OR(G260="",H260=""),"",TRIM(IF(HOUR(H260-G260)&gt;0,HOUR(H260-G260)&amp;" hr ","")&amp;IF(MINUTE(H260-G260)&gt;0,MINUTE(H260-G260)&amp;" min","")))</f>
        <v/>
      </c>
      <c r="J260" s="73">
        <f>IF($R260="","",IF(INDEX(Calc!$AZ$2:$AZ$2001,$R260)="","",INDEX(Calc!$AZ$2:$AZ$2001,$R260)))</f>
        <v/>
      </c>
      <c r="K260" s="85">
        <f>IF($R260="","",IF(INDEX(Calc!$BE$2:$BE$2001,$R260)="","",INDEX(Calc!$BE$2:$BE$2001,$R260)))</f>
        <v/>
      </c>
      <c r="L260" s="73">
        <f>IF($R260="","",IF(INDEX(Calc!$BA$2:$BA$2001,$R260)="","",INDEX(Calc!$BA$2:$BA$2001,$R260)))</f>
        <v/>
      </c>
      <c r="M260" s="73">
        <f>IF($R260="","",IF(INDEX(Calc!$BB$2:$BB$2001,$R260)="","",INDEX(Calc!$BB$2:$BB$2001,$R260)))</f>
        <v/>
      </c>
      <c r="N260" s="73">
        <f>IF($R260="","",IF(INDEX(Calc!$BC$2:$BC$2001,$R260)="","",INDEX(Calc!$BC$2:$BC$2001,$R260)))</f>
        <v/>
      </c>
      <c r="O260" s="73">
        <f>IF($R260="","",IF(INDEX(Calc!$BD$2:$BD$2001,$R260)="","",INDEX(Calc!$BD$2:$BD$2001,$R260)))</f>
        <v/>
      </c>
      <c r="P260" s="86">
        <f>IF(R260="","",HYPERLINK("#'"&amp;IF(INDEX(Calc!$AS$2:$AS$2001,R260)="R","Recurring Log","Variable Tasks")&amp;"'!J"&amp;INDEX(Calc!$AT$2:$AT$2001,R260),"✎ edit"))</f>
        <v/>
      </c>
      <c r="R260">
        <f>IFERROR(MATCH(SMALL(Calc!$BK$2:$BK$2001,251),Calc!$BK$2:$BK$2001,0),"")</f>
        <v/>
      </c>
    </row>
    <row r="261">
      <c r="B261" s="36">
        <f>IF(R261="","",252)</f>
        <v/>
      </c>
      <c r="C261" s="37">
        <f>IF($R261="","",IF(INDEX(Calc!$AU$2:$AU$2001,$R261)="","",INDEX(Calc!$AU$2:$AU$2001,$R261)))</f>
        <v/>
      </c>
      <c r="D261" s="36">
        <f>IF($R261="","",IF(INDEX(Calc!$AV$2:$AV$2001,$R261)="","",INDEX(Calc!$AV$2:$AV$2001,$R261)))</f>
        <v/>
      </c>
      <c r="E261" s="38">
        <f>IF($R261="","",IF(INDEX(Calc!$AW$2:$AW$2001,$R261)="","",INDEX(Calc!$AW$2:$AW$2001,$R261)))</f>
        <v/>
      </c>
      <c r="F261" s="68">
        <f>IF(OR(C261="",E261=""),"",E261-Setup!$D$7)</f>
        <v/>
      </c>
      <c r="G261" s="74">
        <f>IF($R261="","",IF(INDEX(Calc!$AX$2:$AX$2001,$R261)="","",INDEX(Calc!$AX$2:$AX$2001,$R261)))</f>
        <v/>
      </c>
      <c r="H261" s="74">
        <f>IF($R261="","",IF(INDEX(Calc!$AY$2:$AY$2001,$R261)="","",INDEX(Calc!$AY$2:$AY$2001,$R261)))</f>
        <v/>
      </c>
      <c r="I261" s="36">
        <f>IF(OR(G261="",H261=""),"",TRIM(IF(HOUR(H261-G261)&gt;0,HOUR(H261-G261)&amp;" hr ","")&amp;IF(MINUTE(H261-G261)&gt;0,MINUTE(H261-G261)&amp;" min","")))</f>
        <v/>
      </c>
      <c r="J261" s="36">
        <f>IF($R261="","",IF(INDEX(Calc!$AZ$2:$AZ$2001,$R261)="","",INDEX(Calc!$AZ$2:$AZ$2001,$R261)))</f>
        <v/>
      </c>
      <c r="K261" s="87">
        <f>IF($R261="","",IF(INDEX(Calc!$BE$2:$BE$2001,$R261)="","",INDEX(Calc!$BE$2:$BE$2001,$R261)))</f>
        <v/>
      </c>
      <c r="L261" s="36">
        <f>IF($R261="","",IF(INDEX(Calc!$BA$2:$BA$2001,$R261)="","",INDEX(Calc!$BA$2:$BA$2001,$R261)))</f>
        <v/>
      </c>
      <c r="M261" s="36">
        <f>IF($R261="","",IF(INDEX(Calc!$BB$2:$BB$2001,$R261)="","",INDEX(Calc!$BB$2:$BB$2001,$R261)))</f>
        <v/>
      </c>
      <c r="N261" s="36">
        <f>IF($R261="","",IF(INDEX(Calc!$BC$2:$BC$2001,$R261)="","",INDEX(Calc!$BC$2:$BC$2001,$R261)))</f>
        <v/>
      </c>
      <c r="O261" s="36">
        <f>IF($R261="","",IF(INDEX(Calc!$BD$2:$BD$2001,$R261)="","",INDEX(Calc!$BD$2:$BD$2001,$R261)))</f>
        <v/>
      </c>
      <c r="P261" s="88">
        <f>IF(R261="","",HYPERLINK("#'"&amp;IF(INDEX(Calc!$AS$2:$AS$2001,R261)="R","Recurring Log","Variable Tasks")&amp;"'!J"&amp;INDEX(Calc!$AT$2:$AT$2001,R261),"✎ edit"))</f>
        <v/>
      </c>
      <c r="R261">
        <f>IFERROR(MATCH(SMALL(Calc!$BK$2:$BK$2001,252),Calc!$BK$2:$BK$2001,0),"")</f>
        <v/>
      </c>
    </row>
    <row r="262">
      <c r="B262" s="73">
        <f>IF(R262="","",253)</f>
        <v/>
      </c>
      <c r="C262" s="75">
        <f>IF($R262="","",IF(INDEX(Calc!$AU$2:$AU$2001,$R262)="","",INDEX(Calc!$AU$2:$AU$2001,$R262)))</f>
        <v/>
      </c>
      <c r="D262" s="73">
        <f>IF($R262="","",IF(INDEX(Calc!$AV$2:$AV$2001,$R262)="","",INDEX(Calc!$AV$2:$AV$2001,$R262)))</f>
        <v/>
      </c>
      <c r="E262" s="76">
        <f>IF($R262="","",IF(INDEX(Calc!$AW$2:$AW$2001,$R262)="","",INDEX(Calc!$AW$2:$AW$2001,$R262)))</f>
        <v/>
      </c>
      <c r="F262" s="72">
        <f>IF(OR(C262="",E262=""),"",E262-Setup!$D$7)</f>
        <v/>
      </c>
      <c r="G262" s="77">
        <f>IF($R262="","",IF(INDEX(Calc!$AX$2:$AX$2001,$R262)="","",INDEX(Calc!$AX$2:$AX$2001,$R262)))</f>
        <v/>
      </c>
      <c r="H262" s="77">
        <f>IF($R262="","",IF(INDEX(Calc!$AY$2:$AY$2001,$R262)="","",INDEX(Calc!$AY$2:$AY$2001,$R262)))</f>
        <v/>
      </c>
      <c r="I262" s="73">
        <f>IF(OR(G262="",H262=""),"",TRIM(IF(HOUR(H262-G262)&gt;0,HOUR(H262-G262)&amp;" hr ","")&amp;IF(MINUTE(H262-G262)&gt;0,MINUTE(H262-G262)&amp;" min","")))</f>
        <v/>
      </c>
      <c r="J262" s="73">
        <f>IF($R262="","",IF(INDEX(Calc!$AZ$2:$AZ$2001,$R262)="","",INDEX(Calc!$AZ$2:$AZ$2001,$R262)))</f>
        <v/>
      </c>
      <c r="K262" s="85">
        <f>IF($R262="","",IF(INDEX(Calc!$BE$2:$BE$2001,$R262)="","",INDEX(Calc!$BE$2:$BE$2001,$R262)))</f>
        <v/>
      </c>
      <c r="L262" s="73">
        <f>IF($R262="","",IF(INDEX(Calc!$BA$2:$BA$2001,$R262)="","",INDEX(Calc!$BA$2:$BA$2001,$R262)))</f>
        <v/>
      </c>
      <c r="M262" s="73">
        <f>IF($R262="","",IF(INDEX(Calc!$BB$2:$BB$2001,$R262)="","",INDEX(Calc!$BB$2:$BB$2001,$R262)))</f>
        <v/>
      </c>
      <c r="N262" s="73">
        <f>IF($R262="","",IF(INDEX(Calc!$BC$2:$BC$2001,$R262)="","",INDEX(Calc!$BC$2:$BC$2001,$R262)))</f>
        <v/>
      </c>
      <c r="O262" s="73">
        <f>IF($R262="","",IF(INDEX(Calc!$BD$2:$BD$2001,$R262)="","",INDEX(Calc!$BD$2:$BD$2001,$R262)))</f>
        <v/>
      </c>
      <c r="P262" s="86">
        <f>IF(R262="","",HYPERLINK("#'"&amp;IF(INDEX(Calc!$AS$2:$AS$2001,R262)="R","Recurring Log","Variable Tasks")&amp;"'!J"&amp;INDEX(Calc!$AT$2:$AT$2001,R262),"✎ edit"))</f>
        <v/>
      </c>
      <c r="R262">
        <f>IFERROR(MATCH(SMALL(Calc!$BK$2:$BK$2001,253),Calc!$BK$2:$BK$2001,0),"")</f>
        <v/>
      </c>
    </row>
    <row r="263">
      <c r="B263" s="36">
        <f>IF(R263="","",254)</f>
        <v/>
      </c>
      <c r="C263" s="37">
        <f>IF($R263="","",IF(INDEX(Calc!$AU$2:$AU$2001,$R263)="","",INDEX(Calc!$AU$2:$AU$2001,$R263)))</f>
        <v/>
      </c>
      <c r="D263" s="36">
        <f>IF($R263="","",IF(INDEX(Calc!$AV$2:$AV$2001,$R263)="","",INDEX(Calc!$AV$2:$AV$2001,$R263)))</f>
        <v/>
      </c>
      <c r="E263" s="38">
        <f>IF($R263="","",IF(INDEX(Calc!$AW$2:$AW$2001,$R263)="","",INDEX(Calc!$AW$2:$AW$2001,$R263)))</f>
        <v/>
      </c>
      <c r="F263" s="68">
        <f>IF(OR(C263="",E263=""),"",E263-Setup!$D$7)</f>
        <v/>
      </c>
      <c r="G263" s="74">
        <f>IF($R263="","",IF(INDEX(Calc!$AX$2:$AX$2001,$R263)="","",INDEX(Calc!$AX$2:$AX$2001,$R263)))</f>
        <v/>
      </c>
      <c r="H263" s="74">
        <f>IF($R263="","",IF(INDEX(Calc!$AY$2:$AY$2001,$R263)="","",INDEX(Calc!$AY$2:$AY$2001,$R263)))</f>
        <v/>
      </c>
      <c r="I263" s="36">
        <f>IF(OR(G263="",H263=""),"",TRIM(IF(HOUR(H263-G263)&gt;0,HOUR(H263-G263)&amp;" hr ","")&amp;IF(MINUTE(H263-G263)&gt;0,MINUTE(H263-G263)&amp;" min","")))</f>
        <v/>
      </c>
      <c r="J263" s="36">
        <f>IF($R263="","",IF(INDEX(Calc!$AZ$2:$AZ$2001,$R263)="","",INDEX(Calc!$AZ$2:$AZ$2001,$R263)))</f>
        <v/>
      </c>
      <c r="K263" s="87">
        <f>IF($R263="","",IF(INDEX(Calc!$BE$2:$BE$2001,$R263)="","",INDEX(Calc!$BE$2:$BE$2001,$R263)))</f>
        <v/>
      </c>
      <c r="L263" s="36">
        <f>IF($R263="","",IF(INDEX(Calc!$BA$2:$BA$2001,$R263)="","",INDEX(Calc!$BA$2:$BA$2001,$R263)))</f>
        <v/>
      </c>
      <c r="M263" s="36">
        <f>IF($R263="","",IF(INDEX(Calc!$BB$2:$BB$2001,$R263)="","",INDEX(Calc!$BB$2:$BB$2001,$R263)))</f>
        <v/>
      </c>
      <c r="N263" s="36">
        <f>IF($R263="","",IF(INDEX(Calc!$BC$2:$BC$2001,$R263)="","",INDEX(Calc!$BC$2:$BC$2001,$R263)))</f>
        <v/>
      </c>
      <c r="O263" s="36">
        <f>IF($R263="","",IF(INDEX(Calc!$BD$2:$BD$2001,$R263)="","",INDEX(Calc!$BD$2:$BD$2001,$R263)))</f>
        <v/>
      </c>
      <c r="P263" s="88">
        <f>IF(R263="","",HYPERLINK("#'"&amp;IF(INDEX(Calc!$AS$2:$AS$2001,R263)="R","Recurring Log","Variable Tasks")&amp;"'!J"&amp;INDEX(Calc!$AT$2:$AT$2001,R263),"✎ edit"))</f>
        <v/>
      </c>
      <c r="R263">
        <f>IFERROR(MATCH(SMALL(Calc!$BK$2:$BK$2001,254),Calc!$BK$2:$BK$2001,0),"")</f>
        <v/>
      </c>
    </row>
    <row r="264">
      <c r="B264" s="73">
        <f>IF(R264="","",255)</f>
        <v/>
      </c>
      <c r="C264" s="75">
        <f>IF($R264="","",IF(INDEX(Calc!$AU$2:$AU$2001,$R264)="","",INDEX(Calc!$AU$2:$AU$2001,$R264)))</f>
        <v/>
      </c>
      <c r="D264" s="73">
        <f>IF($R264="","",IF(INDEX(Calc!$AV$2:$AV$2001,$R264)="","",INDEX(Calc!$AV$2:$AV$2001,$R264)))</f>
        <v/>
      </c>
      <c r="E264" s="76">
        <f>IF($R264="","",IF(INDEX(Calc!$AW$2:$AW$2001,$R264)="","",INDEX(Calc!$AW$2:$AW$2001,$R264)))</f>
        <v/>
      </c>
      <c r="F264" s="72">
        <f>IF(OR(C264="",E264=""),"",E264-Setup!$D$7)</f>
        <v/>
      </c>
      <c r="G264" s="77">
        <f>IF($R264="","",IF(INDEX(Calc!$AX$2:$AX$2001,$R264)="","",INDEX(Calc!$AX$2:$AX$2001,$R264)))</f>
        <v/>
      </c>
      <c r="H264" s="77">
        <f>IF($R264="","",IF(INDEX(Calc!$AY$2:$AY$2001,$R264)="","",INDEX(Calc!$AY$2:$AY$2001,$R264)))</f>
        <v/>
      </c>
      <c r="I264" s="73">
        <f>IF(OR(G264="",H264=""),"",TRIM(IF(HOUR(H264-G264)&gt;0,HOUR(H264-G264)&amp;" hr ","")&amp;IF(MINUTE(H264-G264)&gt;0,MINUTE(H264-G264)&amp;" min","")))</f>
        <v/>
      </c>
      <c r="J264" s="73">
        <f>IF($R264="","",IF(INDEX(Calc!$AZ$2:$AZ$2001,$R264)="","",INDEX(Calc!$AZ$2:$AZ$2001,$R264)))</f>
        <v/>
      </c>
      <c r="K264" s="85">
        <f>IF($R264="","",IF(INDEX(Calc!$BE$2:$BE$2001,$R264)="","",INDEX(Calc!$BE$2:$BE$2001,$R264)))</f>
        <v/>
      </c>
      <c r="L264" s="73">
        <f>IF($R264="","",IF(INDEX(Calc!$BA$2:$BA$2001,$R264)="","",INDEX(Calc!$BA$2:$BA$2001,$R264)))</f>
        <v/>
      </c>
      <c r="M264" s="73">
        <f>IF($R264="","",IF(INDEX(Calc!$BB$2:$BB$2001,$R264)="","",INDEX(Calc!$BB$2:$BB$2001,$R264)))</f>
        <v/>
      </c>
      <c r="N264" s="73">
        <f>IF($R264="","",IF(INDEX(Calc!$BC$2:$BC$2001,$R264)="","",INDEX(Calc!$BC$2:$BC$2001,$R264)))</f>
        <v/>
      </c>
      <c r="O264" s="73">
        <f>IF($R264="","",IF(INDEX(Calc!$BD$2:$BD$2001,$R264)="","",INDEX(Calc!$BD$2:$BD$2001,$R264)))</f>
        <v/>
      </c>
      <c r="P264" s="86">
        <f>IF(R264="","",HYPERLINK("#'"&amp;IF(INDEX(Calc!$AS$2:$AS$2001,R264)="R","Recurring Log","Variable Tasks")&amp;"'!J"&amp;INDEX(Calc!$AT$2:$AT$2001,R264),"✎ edit"))</f>
        <v/>
      </c>
      <c r="R264">
        <f>IFERROR(MATCH(SMALL(Calc!$BK$2:$BK$2001,255),Calc!$BK$2:$BK$2001,0),"")</f>
        <v/>
      </c>
    </row>
    <row r="265">
      <c r="B265" s="36">
        <f>IF(R265="","",256)</f>
        <v/>
      </c>
      <c r="C265" s="37">
        <f>IF($R265="","",IF(INDEX(Calc!$AU$2:$AU$2001,$R265)="","",INDEX(Calc!$AU$2:$AU$2001,$R265)))</f>
        <v/>
      </c>
      <c r="D265" s="36">
        <f>IF($R265="","",IF(INDEX(Calc!$AV$2:$AV$2001,$R265)="","",INDEX(Calc!$AV$2:$AV$2001,$R265)))</f>
        <v/>
      </c>
      <c r="E265" s="38">
        <f>IF($R265="","",IF(INDEX(Calc!$AW$2:$AW$2001,$R265)="","",INDEX(Calc!$AW$2:$AW$2001,$R265)))</f>
        <v/>
      </c>
      <c r="F265" s="68">
        <f>IF(OR(C265="",E265=""),"",E265-Setup!$D$7)</f>
        <v/>
      </c>
      <c r="G265" s="74">
        <f>IF($R265="","",IF(INDEX(Calc!$AX$2:$AX$2001,$R265)="","",INDEX(Calc!$AX$2:$AX$2001,$R265)))</f>
        <v/>
      </c>
      <c r="H265" s="74">
        <f>IF($R265="","",IF(INDEX(Calc!$AY$2:$AY$2001,$R265)="","",INDEX(Calc!$AY$2:$AY$2001,$R265)))</f>
        <v/>
      </c>
      <c r="I265" s="36">
        <f>IF(OR(G265="",H265=""),"",TRIM(IF(HOUR(H265-G265)&gt;0,HOUR(H265-G265)&amp;" hr ","")&amp;IF(MINUTE(H265-G265)&gt;0,MINUTE(H265-G265)&amp;" min","")))</f>
        <v/>
      </c>
      <c r="J265" s="36">
        <f>IF($R265="","",IF(INDEX(Calc!$AZ$2:$AZ$2001,$R265)="","",INDEX(Calc!$AZ$2:$AZ$2001,$R265)))</f>
        <v/>
      </c>
      <c r="K265" s="87">
        <f>IF($R265="","",IF(INDEX(Calc!$BE$2:$BE$2001,$R265)="","",INDEX(Calc!$BE$2:$BE$2001,$R265)))</f>
        <v/>
      </c>
      <c r="L265" s="36">
        <f>IF($R265="","",IF(INDEX(Calc!$BA$2:$BA$2001,$R265)="","",INDEX(Calc!$BA$2:$BA$2001,$R265)))</f>
        <v/>
      </c>
      <c r="M265" s="36">
        <f>IF($R265="","",IF(INDEX(Calc!$BB$2:$BB$2001,$R265)="","",INDEX(Calc!$BB$2:$BB$2001,$R265)))</f>
        <v/>
      </c>
      <c r="N265" s="36">
        <f>IF($R265="","",IF(INDEX(Calc!$BC$2:$BC$2001,$R265)="","",INDEX(Calc!$BC$2:$BC$2001,$R265)))</f>
        <v/>
      </c>
      <c r="O265" s="36">
        <f>IF($R265="","",IF(INDEX(Calc!$BD$2:$BD$2001,$R265)="","",INDEX(Calc!$BD$2:$BD$2001,$R265)))</f>
        <v/>
      </c>
      <c r="P265" s="88">
        <f>IF(R265="","",HYPERLINK("#'"&amp;IF(INDEX(Calc!$AS$2:$AS$2001,R265)="R","Recurring Log","Variable Tasks")&amp;"'!J"&amp;INDEX(Calc!$AT$2:$AT$2001,R265),"✎ edit"))</f>
        <v/>
      </c>
      <c r="R265">
        <f>IFERROR(MATCH(SMALL(Calc!$BK$2:$BK$2001,256),Calc!$BK$2:$BK$2001,0),"")</f>
        <v/>
      </c>
    </row>
    <row r="266">
      <c r="B266" s="73">
        <f>IF(R266="","",257)</f>
        <v/>
      </c>
      <c r="C266" s="75">
        <f>IF($R266="","",IF(INDEX(Calc!$AU$2:$AU$2001,$R266)="","",INDEX(Calc!$AU$2:$AU$2001,$R266)))</f>
        <v/>
      </c>
      <c r="D266" s="73">
        <f>IF($R266="","",IF(INDEX(Calc!$AV$2:$AV$2001,$R266)="","",INDEX(Calc!$AV$2:$AV$2001,$R266)))</f>
        <v/>
      </c>
      <c r="E266" s="76">
        <f>IF($R266="","",IF(INDEX(Calc!$AW$2:$AW$2001,$R266)="","",INDEX(Calc!$AW$2:$AW$2001,$R266)))</f>
        <v/>
      </c>
      <c r="F266" s="72">
        <f>IF(OR(C266="",E266=""),"",E266-Setup!$D$7)</f>
        <v/>
      </c>
      <c r="G266" s="77">
        <f>IF($R266="","",IF(INDEX(Calc!$AX$2:$AX$2001,$R266)="","",INDEX(Calc!$AX$2:$AX$2001,$R266)))</f>
        <v/>
      </c>
      <c r="H266" s="77">
        <f>IF($R266="","",IF(INDEX(Calc!$AY$2:$AY$2001,$R266)="","",INDEX(Calc!$AY$2:$AY$2001,$R266)))</f>
        <v/>
      </c>
      <c r="I266" s="73">
        <f>IF(OR(G266="",H266=""),"",TRIM(IF(HOUR(H266-G266)&gt;0,HOUR(H266-G266)&amp;" hr ","")&amp;IF(MINUTE(H266-G266)&gt;0,MINUTE(H266-G266)&amp;" min","")))</f>
        <v/>
      </c>
      <c r="J266" s="73">
        <f>IF($R266="","",IF(INDEX(Calc!$AZ$2:$AZ$2001,$R266)="","",INDEX(Calc!$AZ$2:$AZ$2001,$R266)))</f>
        <v/>
      </c>
      <c r="K266" s="85">
        <f>IF($R266="","",IF(INDEX(Calc!$BE$2:$BE$2001,$R266)="","",INDEX(Calc!$BE$2:$BE$2001,$R266)))</f>
        <v/>
      </c>
      <c r="L266" s="73">
        <f>IF($R266="","",IF(INDEX(Calc!$BA$2:$BA$2001,$R266)="","",INDEX(Calc!$BA$2:$BA$2001,$R266)))</f>
        <v/>
      </c>
      <c r="M266" s="73">
        <f>IF($R266="","",IF(INDEX(Calc!$BB$2:$BB$2001,$R266)="","",INDEX(Calc!$BB$2:$BB$2001,$R266)))</f>
        <v/>
      </c>
      <c r="N266" s="73">
        <f>IF($R266="","",IF(INDEX(Calc!$BC$2:$BC$2001,$R266)="","",INDEX(Calc!$BC$2:$BC$2001,$R266)))</f>
        <v/>
      </c>
      <c r="O266" s="73">
        <f>IF($R266="","",IF(INDEX(Calc!$BD$2:$BD$2001,$R266)="","",INDEX(Calc!$BD$2:$BD$2001,$R266)))</f>
        <v/>
      </c>
      <c r="P266" s="86">
        <f>IF(R266="","",HYPERLINK("#'"&amp;IF(INDEX(Calc!$AS$2:$AS$2001,R266)="R","Recurring Log","Variable Tasks")&amp;"'!J"&amp;INDEX(Calc!$AT$2:$AT$2001,R266),"✎ edit"))</f>
        <v/>
      </c>
      <c r="R266">
        <f>IFERROR(MATCH(SMALL(Calc!$BK$2:$BK$2001,257),Calc!$BK$2:$BK$2001,0),"")</f>
        <v/>
      </c>
    </row>
    <row r="267">
      <c r="B267" s="36">
        <f>IF(R267="","",258)</f>
        <v/>
      </c>
      <c r="C267" s="37">
        <f>IF($R267="","",IF(INDEX(Calc!$AU$2:$AU$2001,$R267)="","",INDEX(Calc!$AU$2:$AU$2001,$R267)))</f>
        <v/>
      </c>
      <c r="D267" s="36">
        <f>IF($R267="","",IF(INDEX(Calc!$AV$2:$AV$2001,$R267)="","",INDEX(Calc!$AV$2:$AV$2001,$R267)))</f>
        <v/>
      </c>
      <c r="E267" s="38">
        <f>IF($R267="","",IF(INDEX(Calc!$AW$2:$AW$2001,$R267)="","",INDEX(Calc!$AW$2:$AW$2001,$R267)))</f>
        <v/>
      </c>
      <c r="F267" s="68">
        <f>IF(OR(C267="",E267=""),"",E267-Setup!$D$7)</f>
        <v/>
      </c>
      <c r="G267" s="74">
        <f>IF($R267="","",IF(INDEX(Calc!$AX$2:$AX$2001,$R267)="","",INDEX(Calc!$AX$2:$AX$2001,$R267)))</f>
        <v/>
      </c>
      <c r="H267" s="74">
        <f>IF($R267="","",IF(INDEX(Calc!$AY$2:$AY$2001,$R267)="","",INDEX(Calc!$AY$2:$AY$2001,$R267)))</f>
        <v/>
      </c>
      <c r="I267" s="36">
        <f>IF(OR(G267="",H267=""),"",TRIM(IF(HOUR(H267-G267)&gt;0,HOUR(H267-G267)&amp;" hr ","")&amp;IF(MINUTE(H267-G267)&gt;0,MINUTE(H267-G267)&amp;" min","")))</f>
        <v/>
      </c>
      <c r="J267" s="36">
        <f>IF($R267="","",IF(INDEX(Calc!$AZ$2:$AZ$2001,$R267)="","",INDEX(Calc!$AZ$2:$AZ$2001,$R267)))</f>
        <v/>
      </c>
      <c r="K267" s="87">
        <f>IF($R267="","",IF(INDEX(Calc!$BE$2:$BE$2001,$R267)="","",INDEX(Calc!$BE$2:$BE$2001,$R267)))</f>
        <v/>
      </c>
      <c r="L267" s="36">
        <f>IF($R267="","",IF(INDEX(Calc!$BA$2:$BA$2001,$R267)="","",INDEX(Calc!$BA$2:$BA$2001,$R267)))</f>
        <v/>
      </c>
      <c r="M267" s="36">
        <f>IF($R267="","",IF(INDEX(Calc!$BB$2:$BB$2001,$R267)="","",INDEX(Calc!$BB$2:$BB$2001,$R267)))</f>
        <v/>
      </c>
      <c r="N267" s="36">
        <f>IF($R267="","",IF(INDEX(Calc!$BC$2:$BC$2001,$R267)="","",INDEX(Calc!$BC$2:$BC$2001,$R267)))</f>
        <v/>
      </c>
      <c r="O267" s="36">
        <f>IF($R267="","",IF(INDEX(Calc!$BD$2:$BD$2001,$R267)="","",INDEX(Calc!$BD$2:$BD$2001,$R267)))</f>
        <v/>
      </c>
      <c r="P267" s="88">
        <f>IF(R267="","",HYPERLINK("#'"&amp;IF(INDEX(Calc!$AS$2:$AS$2001,R267)="R","Recurring Log","Variable Tasks")&amp;"'!J"&amp;INDEX(Calc!$AT$2:$AT$2001,R267),"✎ edit"))</f>
        <v/>
      </c>
      <c r="R267">
        <f>IFERROR(MATCH(SMALL(Calc!$BK$2:$BK$2001,258),Calc!$BK$2:$BK$2001,0),"")</f>
        <v/>
      </c>
    </row>
    <row r="268">
      <c r="B268" s="73">
        <f>IF(R268="","",259)</f>
        <v/>
      </c>
      <c r="C268" s="75">
        <f>IF($R268="","",IF(INDEX(Calc!$AU$2:$AU$2001,$R268)="","",INDEX(Calc!$AU$2:$AU$2001,$R268)))</f>
        <v/>
      </c>
      <c r="D268" s="73">
        <f>IF($R268="","",IF(INDEX(Calc!$AV$2:$AV$2001,$R268)="","",INDEX(Calc!$AV$2:$AV$2001,$R268)))</f>
        <v/>
      </c>
      <c r="E268" s="76">
        <f>IF($R268="","",IF(INDEX(Calc!$AW$2:$AW$2001,$R268)="","",INDEX(Calc!$AW$2:$AW$2001,$R268)))</f>
        <v/>
      </c>
      <c r="F268" s="72">
        <f>IF(OR(C268="",E268=""),"",E268-Setup!$D$7)</f>
        <v/>
      </c>
      <c r="G268" s="77">
        <f>IF($R268="","",IF(INDEX(Calc!$AX$2:$AX$2001,$R268)="","",INDEX(Calc!$AX$2:$AX$2001,$R268)))</f>
        <v/>
      </c>
      <c r="H268" s="77">
        <f>IF($R268="","",IF(INDEX(Calc!$AY$2:$AY$2001,$R268)="","",INDEX(Calc!$AY$2:$AY$2001,$R268)))</f>
        <v/>
      </c>
      <c r="I268" s="73">
        <f>IF(OR(G268="",H268=""),"",TRIM(IF(HOUR(H268-G268)&gt;0,HOUR(H268-G268)&amp;" hr ","")&amp;IF(MINUTE(H268-G268)&gt;0,MINUTE(H268-G268)&amp;" min","")))</f>
        <v/>
      </c>
      <c r="J268" s="73">
        <f>IF($R268="","",IF(INDEX(Calc!$AZ$2:$AZ$2001,$R268)="","",INDEX(Calc!$AZ$2:$AZ$2001,$R268)))</f>
        <v/>
      </c>
      <c r="K268" s="85">
        <f>IF($R268="","",IF(INDEX(Calc!$BE$2:$BE$2001,$R268)="","",INDEX(Calc!$BE$2:$BE$2001,$R268)))</f>
        <v/>
      </c>
      <c r="L268" s="73">
        <f>IF($R268="","",IF(INDEX(Calc!$BA$2:$BA$2001,$R268)="","",INDEX(Calc!$BA$2:$BA$2001,$R268)))</f>
        <v/>
      </c>
      <c r="M268" s="73">
        <f>IF($R268="","",IF(INDEX(Calc!$BB$2:$BB$2001,$R268)="","",INDEX(Calc!$BB$2:$BB$2001,$R268)))</f>
        <v/>
      </c>
      <c r="N268" s="73">
        <f>IF($R268="","",IF(INDEX(Calc!$BC$2:$BC$2001,$R268)="","",INDEX(Calc!$BC$2:$BC$2001,$R268)))</f>
        <v/>
      </c>
      <c r="O268" s="73">
        <f>IF($R268="","",IF(INDEX(Calc!$BD$2:$BD$2001,$R268)="","",INDEX(Calc!$BD$2:$BD$2001,$R268)))</f>
        <v/>
      </c>
      <c r="P268" s="86">
        <f>IF(R268="","",HYPERLINK("#'"&amp;IF(INDEX(Calc!$AS$2:$AS$2001,R268)="R","Recurring Log","Variable Tasks")&amp;"'!J"&amp;INDEX(Calc!$AT$2:$AT$2001,R268),"✎ edit"))</f>
        <v/>
      </c>
      <c r="R268">
        <f>IFERROR(MATCH(SMALL(Calc!$BK$2:$BK$2001,259),Calc!$BK$2:$BK$2001,0),"")</f>
        <v/>
      </c>
    </row>
    <row r="269">
      <c r="B269" s="36">
        <f>IF(R269="","",260)</f>
        <v/>
      </c>
      <c r="C269" s="37">
        <f>IF($R269="","",IF(INDEX(Calc!$AU$2:$AU$2001,$R269)="","",INDEX(Calc!$AU$2:$AU$2001,$R269)))</f>
        <v/>
      </c>
      <c r="D269" s="36">
        <f>IF($R269="","",IF(INDEX(Calc!$AV$2:$AV$2001,$R269)="","",INDEX(Calc!$AV$2:$AV$2001,$R269)))</f>
        <v/>
      </c>
      <c r="E269" s="38">
        <f>IF($R269="","",IF(INDEX(Calc!$AW$2:$AW$2001,$R269)="","",INDEX(Calc!$AW$2:$AW$2001,$R269)))</f>
        <v/>
      </c>
      <c r="F269" s="68">
        <f>IF(OR(C269="",E269=""),"",E269-Setup!$D$7)</f>
        <v/>
      </c>
      <c r="G269" s="74">
        <f>IF($R269="","",IF(INDEX(Calc!$AX$2:$AX$2001,$R269)="","",INDEX(Calc!$AX$2:$AX$2001,$R269)))</f>
        <v/>
      </c>
      <c r="H269" s="74">
        <f>IF($R269="","",IF(INDEX(Calc!$AY$2:$AY$2001,$R269)="","",INDEX(Calc!$AY$2:$AY$2001,$R269)))</f>
        <v/>
      </c>
      <c r="I269" s="36">
        <f>IF(OR(G269="",H269=""),"",TRIM(IF(HOUR(H269-G269)&gt;0,HOUR(H269-G269)&amp;" hr ","")&amp;IF(MINUTE(H269-G269)&gt;0,MINUTE(H269-G269)&amp;" min","")))</f>
        <v/>
      </c>
      <c r="J269" s="36">
        <f>IF($R269="","",IF(INDEX(Calc!$AZ$2:$AZ$2001,$R269)="","",INDEX(Calc!$AZ$2:$AZ$2001,$R269)))</f>
        <v/>
      </c>
      <c r="K269" s="87">
        <f>IF($R269="","",IF(INDEX(Calc!$BE$2:$BE$2001,$R269)="","",INDEX(Calc!$BE$2:$BE$2001,$R269)))</f>
        <v/>
      </c>
      <c r="L269" s="36">
        <f>IF($R269="","",IF(INDEX(Calc!$BA$2:$BA$2001,$R269)="","",INDEX(Calc!$BA$2:$BA$2001,$R269)))</f>
        <v/>
      </c>
      <c r="M269" s="36">
        <f>IF($R269="","",IF(INDEX(Calc!$BB$2:$BB$2001,$R269)="","",INDEX(Calc!$BB$2:$BB$2001,$R269)))</f>
        <v/>
      </c>
      <c r="N269" s="36">
        <f>IF($R269="","",IF(INDEX(Calc!$BC$2:$BC$2001,$R269)="","",INDEX(Calc!$BC$2:$BC$2001,$R269)))</f>
        <v/>
      </c>
      <c r="O269" s="36">
        <f>IF($R269="","",IF(INDEX(Calc!$BD$2:$BD$2001,$R269)="","",INDEX(Calc!$BD$2:$BD$2001,$R269)))</f>
        <v/>
      </c>
      <c r="P269" s="88">
        <f>IF(R269="","",HYPERLINK("#'"&amp;IF(INDEX(Calc!$AS$2:$AS$2001,R269)="R","Recurring Log","Variable Tasks")&amp;"'!J"&amp;INDEX(Calc!$AT$2:$AT$2001,R269),"✎ edit"))</f>
        <v/>
      </c>
      <c r="R269">
        <f>IFERROR(MATCH(SMALL(Calc!$BK$2:$BK$2001,260),Calc!$BK$2:$BK$2001,0),"")</f>
        <v/>
      </c>
    </row>
    <row r="270">
      <c r="B270" s="73">
        <f>IF(R270="","",261)</f>
        <v/>
      </c>
      <c r="C270" s="75">
        <f>IF($R270="","",IF(INDEX(Calc!$AU$2:$AU$2001,$R270)="","",INDEX(Calc!$AU$2:$AU$2001,$R270)))</f>
        <v/>
      </c>
      <c r="D270" s="73">
        <f>IF($R270="","",IF(INDEX(Calc!$AV$2:$AV$2001,$R270)="","",INDEX(Calc!$AV$2:$AV$2001,$R270)))</f>
        <v/>
      </c>
      <c r="E270" s="76">
        <f>IF($R270="","",IF(INDEX(Calc!$AW$2:$AW$2001,$R270)="","",INDEX(Calc!$AW$2:$AW$2001,$R270)))</f>
        <v/>
      </c>
      <c r="F270" s="72">
        <f>IF(OR(C270="",E270=""),"",E270-Setup!$D$7)</f>
        <v/>
      </c>
      <c r="G270" s="77">
        <f>IF($R270="","",IF(INDEX(Calc!$AX$2:$AX$2001,$R270)="","",INDEX(Calc!$AX$2:$AX$2001,$R270)))</f>
        <v/>
      </c>
      <c r="H270" s="77">
        <f>IF($R270="","",IF(INDEX(Calc!$AY$2:$AY$2001,$R270)="","",INDEX(Calc!$AY$2:$AY$2001,$R270)))</f>
        <v/>
      </c>
      <c r="I270" s="73">
        <f>IF(OR(G270="",H270=""),"",TRIM(IF(HOUR(H270-G270)&gt;0,HOUR(H270-G270)&amp;" hr ","")&amp;IF(MINUTE(H270-G270)&gt;0,MINUTE(H270-G270)&amp;" min","")))</f>
        <v/>
      </c>
      <c r="J270" s="73">
        <f>IF($R270="","",IF(INDEX(Calc!$AZ$2:$AZ$2001,$R270)="","",INDEX(Calc!$AZ$2:$AZ$2001,$R270)))</f>
        <v/>
      </c>
      <c r="K270" s="85">
        <f>IF($R270="","",IF(INDEX(Calc!$BE$2:$BE$2001,$R270)="","",INDEX(Calc!$BE$2:$BE$2001,$R270)))</f>
        <v/>
      </c>
      <c r="L270" s="73">
        <f>IF($R270="","",IF(INDEX(Calc!$BA$2:$BA$2001,$R270)="","",INDEX(Calc!$BA$2:$BA$2001,$R270)))</f>
        <v/>
      </c>
      <c r="M270" s="73">
        <f>IF($R270="","",IF(INDEX(Calc!$BB$2:$BB$2001,$R270)="","",INDEX(Calc!$BB$2:$BB$2001,$R270)))</f>
        <v/>
      </c>
      <c r="N270" s="73">
        <f>IF($R270="","",IF(INDEX(Calc!$BC$2:$BC$2001,$R270)="","",INDEX(Calc!$BC$2:$BC$2001,$R270)))</f>
        <v/>
      </c>
      <c r="O270" s="73">
        <f>IF($R270="","",IF(INDEX(Calc!$BD$2:$BD$2001,$R270)="","",INDEX(Calc!$BD$2:$BD$2001,$R270)))</f>
        <v/>
      </c>
      <c r="P270" s="86">
        <f>IF(R270="","",HYPERLINK("#'"&amp;IF(INDEX(Calc!$AS$2:$AS$2001,R270)="R","Recurring Log","Variable Tasks")&amp;"'!J"&amp;INDEX(Calc!$AT$2:$AT$2001,R270),"✎ edit"))</f>
        <v/>
      </c>
      <c r="R270">
        <f>IFERROR(MATCH(SMALL(Calc!$BK$2:$BK$2001,261),Calc!$BK$2:$BK$2001,0),"")</f>
        <v/>
      </c>
    </row>
    <row r="271">
      <c r="B271" s="36">
        <f>IF(R271="","",262)</f>
        <v/>
      </c>
      <c r="C271" s="37">
        <f>IF($R271="","",IF(INDEX(Calc!$AU$2:$AU$2001,$R271)="","",INDEX(Calc!$AU$2:$AU$2001,$R271)))</f>
        <v/>
      </c>
      <c r="D271" s="36">
        <f>IF($R271="","",IF(INDEX(Calc!$AV$2:$AV$2001,$R271)="","",INDEX(Calc!$AV$2:$AV$2001,$R271)))</f>
        <v/>
      </c>
      <c r="E271" s="38">
        <f>IF($R271="","",IF(INDEX(Calc!$AW$2:$AW$2001,$R271)="","",INDEX(Calc!$AW$2:$AW$2001,$R271)))</f>
        <v/>
      </c>
      <c r="F271" s="68">
        <f>IF(OR(C271="",E271=""),"",E271-Setup!$D$7)</f>
        <v/>
      </c>
      <c r="G271" s="74">
        <f>IF($R271="","",IF(INDEX(Calc!$AX$2:$AX$2001,$R271)="","",INDEX(Calc!$AX$2:$AX$2001,$R271)))</f>
        <v/>
      </c>
      <c r="H271" s="74">
        <f>IF($R271="","",IF(INDEX(Calc!$AY$2:$AY$2001,$R271)="","",INDEX(Calc!$AY$2:$AY$2001,$R271)))</f>
        <v/>
      </c>
      <c r="I271" s="36">
        <f>IF(OR(G271="",H271=""),"",TRIM(IF(HOUR(H271-G271)&gt;0,HOUR(H271-G271)&amp;" hr ","")&amp;IF(MINUTE(H271-G271)&gt;0,MINUTE(H271-G271)&amp;" min","")))</f>
        <v/>
      </c>
      <c r="J271" s="36">
        <f>IF($R271="","",IF(INDEX(Calc!$AZ$2:$AZ$2001,$R271)="","",INDEX(Calc!$AZ$2:$AZ$2001,$R271)))</f>
        <v/>
      </c>
      <c r="K271" s="87">
        <f>IF($R271="","",IF(INDEX(Calc!$BE$2:$BE$2001,$R271)="","",INDEX(Calc!$BE$2:$BE$2001,$R271)))</f>
        <v/>
      </c>
      <c r="L271" s="36">
        <f>IF($R271="","",IF(INDEX(Calc!$BA$2:$BA$2001,$R271)="","",INDEX(Calc!$BA$2:$BA$2001,$R271)))</f>
        <v/>
      </c>
      <c r="M271" s="36">
        <f>IF($R271="","",IF(INDEX(Calc!$BB$2:$BB$2001,$R271)="","",INDEX(Calc!$BB$2:$BB$2001,$R271)))</f>
        <v/>
      </c>
      <c r="N271" s="36">
        <f>IF($R271="","",IF(INDEX(Calc!$BC$2:$BC$2001,$R271)="","",INDEX(Calc!$BC$2:$BC$2001,$R271)))</f>
        <v/>
      </c>
      <c r="O271" s="36">
        <f>IF($R271="","",IF(INDEX(Calc!$BD$2:$BD$2001,$R271)="","",INDEX(Calc!$BD$2:$BD$2001,$R271)))</f>
        <v/>
      </c>
      <c r="P271" s="88">
        <f>IF(R271="","",HYPERLINK("#'"&amp;IF(INDEX(Calc!$AS$2:$AS$2001,R271)="R","Recurring Log","Variable Tasks")&amp;"'!J"&amp;INDEX(Calc!$AT$2:$AT$2001,R271),"✎ edit"))</f>
        <v/>
      </c>
      <c r="R271">
        <f>IFERROR(MATCH(SMALL(Calc!$BK$2:$BK$2001,262),Calc!$BK$2:$BK$2001,0),"")</f>
        <v/>
      </c>
    </row>
    <row r="272">
      <c r="B272" s="73">
        <f>IF(R272="","",263)</f>
        <v/>
      </c>
      <c r="C272" s="75">
        <f>IF($R272="","",IF(INDEX(Calc!$AU$2:$AU$2001,$R272)="","",INDEX(Calc!$AU$2:$AU$2001,$R272)))</f>
        <v/>
      </c>
      <c r="D272" s="73">
        <f>IF($R272="","",IF(INDEX(Calc!$AV$2:$AV$2001,$R272)="","",INDEX(Calc!$AV$2:$AV$2001,$R272)))</f>
        <v/>
      </c>
      <c r="E272" s="76">
        <f>IF($R272="","",IF(INDEX(Calc!$AW$2:$AW$2001,$R272)="","",INDEX(Calc!$AW$2:$AW$2001,$R272)))</f>
        <v/>
      </c>
      <c r="F272" s="72">
        <f>IF(OR(C272="",E272=""),"",E272-Setup!$D$7)</f>
        <v/>
      </c>
      <c r="G272" s="77">
        <f>IF($R272="","",IF(INDEX(Calc!$AX$2:$AX$2001,$R272)="","",INDEX(Calc!$AX$2:$AX$2001,$R272)))</f>
        <v/>
      </c>
      <c r="H272" s="77">
        <f>IF($R272="","",IF(INDEX(Calc!$AY$2:$AY$2001,$R272)="","",INDEX(Calc!$AY$2:$AY$2001,$R272)))</f>
        <v/>
      </c>
      <c r="I272" s="73">
        <f>IF(OR(G272="",H272=""),"",TRIM(IF(HOUR(H272-G272)&gt;0,HOUR(H272-G272)&amp;" hr ","")&amp;IF(MINUTE(H272-G272)&gt;0,MINUTE(H272-G272)&amp;" min","")))</f>
        <v/>
      </c>
      <c r="J272" s="73">
        <f>IF($R272="","",IF(INDEX(Calc!$AZ$2:$AZ$2001,$R272)="","",INDEX(Calc!$AZ$2:$AZ$2001,$R272)))</f>
        <v/>
      </c>
      <c r="K272" s="85">
        <f>IF($R272="","",IF(INDEX(Calc!$BE$2:$BE$2001,$R272)="","",INDEX(Calc!$BE$2:$BE$2001,$R272)))</f>
        <v/>
      </c>
      <c r="L272" s="73">
        <f>IF($R272="","",IF(INDEX(Calc!$BA$2:$BA$2001,$R272)="","",INDEX(Calc!$BA$2:$BA$2001,$R272)))</f>
        <v/>
      </c>
      <c r="M272" s="73">
        <f>IF($R272="","",IF(INDEX(Calc!$BB$2:$BB$2001,$R272)="","",INDEX(Calc!$BB$2:$BB$2001,$R272)))</f>
        <v/>
      </c>
      <c r="N272" s="73">
        <f>IF($R272="","",IF(INDEX(Calc!$BC$2:$BC$2001,$R272)="","",INDEX(Calc!$BC$2:$BC$2001,$R272)))</f>
        <v/>
      </c>
      <c r="O272" s="73">
        <f>IF($R272="","",IF(INDEX(Calc!$BD$2:$BD$2001,$R272)="","",INDEX(Calc!$BD$2:$BD$2001,$R272)))</f>
        <v/>
      </c>
      <c r="P272" s="86">
        <f>IF(R272="","",HYPERLINK("#'"&amp;IF(INDEX(Calc!$AS$2:$AS$2001,R272)="R","Recurring Log","Variable Tasks")&amp;"'!J"&amp;INDEX(Calc!$AT$2:$AT$2001,R272),"✎ edit"))</f>
        <v/>
      </c>
      <c r="R272">
        <f>IFERROR(MATCH(SMALL(Calc!$BK$2:$BK$2001,263),Calc!$BK$2:$BK$2001,0),"")</f>
        <v/>
      </c>
    </row>
    <row r="273">
      <c r="B273" s="36">
        <f>IF(R273="","",264)</f>
        <v/>
      </c>
      <c r="C273" s="37">
        <f>IF($R273="","",IF(INDEX(Calc!$AU$2:$AU$2001,$R273)="","",INDEX(Calc!$AU$2:$AU$2001,$R273)))</f>
        <v/>
      </c>
      <c r="D273" s="36">
        <f>IF($R273="","",IF(INDEX(Calc!$AV$2:$AV$2001,$R273)="","",INDEX(Calc!$AV$2:$AV$2001,$R273)))</f>
        <v/>
      </c>
      <c r="E273" s="38">
        <f>IF($R273="","",IF(INDEX(Calc!$AW$2:$AW$2001,$R273)="","",INDEX(Calc!$AW$2:$AW$2001,$R273)))</f>
        <v/>
      </c>
      <c r="F273" s="68">
        <f>IF(OR(C273="",E273=""),"",E273-Setup!$D$7)</f>
        <v/>
      </c>
      <c r="G273" s="74">
        <f>IF($R273="","",IF(INDEX(Calc!$AX$2:$AX$2001,$R273)="","",INDEX(Calc!$AX$2:$AX$2001,$R273)))</f>
        <v/>
      </c>
      <c r="H273" s="74">
        <f>IF($R273="","",IF(INDEX(Calc!$AY$2:$AY$2001,$R273)="","",INDEX(Calc!$AY$2:$AY$2001,$R273)))</f>
        <v/>
      </c>
      <c r="I273" s="36">
        <f>IF(OR(G273="",H273=""),"",TRIM(IF(HOUR(H273-G273)&gt;0,HOUR(H273-G273)&amp;" hr ","")&amp;IF(MINUTE(H273-G273)&gt;0,MINUTE(H273-G273)&amp;" min","")))</f>
        <v/>
      </c>
      <c r="J273" s="36">
        <f>IF($R273="","",IF(INDEX(Calc!$AZ$2:$AZ$2001,$R273)="","",INDEX(Calc!$AZ$2:$AZ$2001,$R273)))</f>
        <v/>
      </c>
      <c r="K273" s="87">
        <f>IF($R273="","",IF(INDEX(Calc!$BE$2:$BE$2001,$R273)="","",INDEX(Calc!$BE$2:$BE$2001,$R273)))</f>
        <v/>
      </c>
      <c r="L273" s="36">
        <f>IF($R273="","",IF(INDEX(Calc!$BA$2:$BA$2001,$R273)="","",INDEX(Calc!$BA$2:$BA$2001,$R273)))</f>
        <v/>
      </c>
      <c r="M273" s="36">
        <f>IF($R273="","",IF(INDEX(Calc!$BB$2:$BB$2001,$R273)="","",INDEX(Calc!$BB$2:$BB$2001,$R273)))</f>
        <v/>
      </c>
      <c r="N273" s="36">
        <f>IF($R273="","",IF(INDEX(Calc!$BC$2:$BC$2001,$R273)="","",INDEX(Calc!$BC$2:$BC$2001,$R273)))</f>
        <v/>
      </c>
      <c r="O273" s="36">
        <f>IF($R273="","",IF(INDEX(Calc!$BD$2:$BD$2001,$R273)="","",INDEX(Calc!$BD$2:$BD$2001,$R273)))</f>
        <v/>
      </c>
      <c r="P273" s="88">
        <f>IF(R273="","",HYPERLINK("#'"&amp;IF(INDEX(Calc!$AS$2:$AS$2001,R273)="R","Recurring Log","Variable Tasks")&amp;"'!J"&amp;INDEX(Calc!$AT$2:$AT$2001,R273),"✎ edit"))</f>
        <v/>
      </c>
      <c r="R273">
        <f>IFERROR(MATCH(SMALL(Calc!$BK$2:$BK$2001,264),Calc!$BK$2:$BK$2001,0),"")</f>
        <v/>
      </c>
    </row>
    <row r="274">
      <c r="B274" s="73">
        <f>IF(R274="","",265)</f>
        <v/>
      </c>
      <c r="C274" s="75">
        <f>IF($R274="","",IF(INDEX(Calc!$AU$2:$AU$2001,$R274)="","",INDEX(Calc!$AU$2:$AU$2001,$R274)))</f>
        <v/>
      </c>
      <c r="D274" s="73">
        <f>IF($R274="","",IF(INDEX(Calc!$AV$2:$AV$2001,$R274)="","",INDEX(Calc!$AV$2:$AV$2001,$R274)))</f>
        <v/>
      </c>
      <c r="E274" s="76">
        <f>IF($R274="","",IF(INDEX(Calc!$AW$2:$AW$2001,$R274)="","",INDEX(Calc!$AW$2:$AW$2001,$R274)))</f>
        <v/>
      </c>
      <c r="F274" s="72">
        <f>IF(OR(C274="",E274=""),"",E274-Setup!$D$7)</f>
        <v/>
      </c>
      <c r="G274" s="77">
        <f>IF($R274="","",IF(INDEX(Calc!$AX$2:$AX$2001,$R274)="","",INDEX(Calc!$AX$2:$AX$2001,$R274)))</f>
        <v/>
      </c>
      <c r="H274" s="77">
        <f>IF($R274="","",IF(INDEX(Calc!$AY$2:$AY$2001,$R274)="","",INDEX(Calc!$AY$2:$AY$2001,$R274)))</f>
        <v/>
      </c>
      <c r="I274" s="73">
        <f>IF(OR(G274="",H274=""),"",TRIM(IF(HOUR(H274-G274)&gt;0,HOUR(H274-G274)&amp;" hr ","")&amp;IF(MINUTE(H274-G274)&gt;0,MINUTE(H274-G274)&amp;" min","")))</f>
        <v/>
      </c>
      <c r="J274" s="73">
        <f>IF($R274="","",IF(INDEX(Calc!$AZ$2:$AZ$2001,$R274)="","",INDEX(Calc!$AZ$2:$AZ$2001,$R274)))</f>
        <v/>
      </c>
      <c r="K274" s="85">
        <f>IF($R274="","",IF(INDEX(Calc!$BE$2:$BE$2001,$R274)="","",INDEX(Calc!$BE$2:$BE$2001,$R274)))</f>
        <v/>
      </c>
      <c r="L274" s="73">
        <f>IF($R274="","",IF(INDEX(Calc!$BA$2:$BA$2001,$R274)="","",INDEX(Calc!$BA$2:$BA$2001,$R274)))</f>
        <v/>
      </c>
      <c r="M274" s="73">
        <f>IF($R274="","",IF(INDEX(Calc!$BB$2:$BB$2001,$R274)="","",INDEX(Calc!$BB$2:$BB$2001,$R274)))</f>
        <v/>
      </c>
      <c r="N274" s="73">
        <f>IF($R274="","",IF(INDEX(Calc!$BC$2:$BC$2001,$R274)="","",INDEX(Calc!$BC$2:$BC$2001,$R274)))</f>
        <v/>
      </c>
      <c r="O274" s="73">
        <f>IF($R274="","",IF(INDEX(Calc!$BD$2:$BD$2001,$R274)="","",INDEX(Calc!$BD$2:$BD$2001,$R274)))</f>
        <v/>
      </c>
      <c r="P274" s="86">
        <f>IF(R274="","",HYPERLINK("#'"&amp;IF(INDEX(Calc!$AS$2:$AS$2001,R274)="R","Recurring Log","Variable Tasks")&amp;"'!J"&amp;INDEX(Calc!$AT$2:$AT$2001,R274),"✎ edit"))</f>
        <v/>
      </c>
      <c r="R274">
        <f>IFERROR(MATCH(SMALL(Calc!$BK$2:$BK$2001,265),Calc!$BK$2:$BK$2001,0),"")</f>
        <v/>
      </c>
    </row>
    <row r="275">
      <c r="B275" s="36">
        <f>IF(R275="","",266)</f>
        <v/>
      </c>
      <c r="C275" s="37">
        <f>IF($R275="","",IF(INDEX(Calc!$AU$2:$AU$2001,$R275)="","",INDEX(Calc!$AU$2:$AU$2001,$R275)))</f>
        <v/>
      </c>
      <c r="D275" s="36">
        <f>IF($R275="","",IF(INDEX(Calc!$AV$2:$AV$2001,$R275)="","",INDEX(Calc!$AV$2:$AV$2001,$R275)))</f>
        <v/>
      </c>
      <c r="E275" s="38">
        <f>IF($R275="","",IF(INDEX(Calc!$AW$2:$AW$2001,$R275)="","",INDEX(Calc!$AW$2:$AW$2001,$R275)))</f>
        <v/>
      </c>
      <c r="F275" s="68">
        <f>IF(OR(C275="",E275=""),"",E275-Setup!$D$7)</f>
        <v/>
      </c>
      <c r="G275" s="74">
        <f>IF($R275="","",IF(INDEX(Calc!$AX$2:$AX$2001,$R275)="","",INDEX(Calc!$AX$2:$AX$2001,$R275)))</f>
        <v/>
      </c>
      <c r="H275" s="74">
        <f>IF($R275="","",IF(INDEX(Calc!$AY$2:$AY$2001,$R275)="","",INDEX(Calc!$AY$2:$AY$2001,$R275)))</f>
        <v/>
      </c>
      <c r="I275" s="36">
        <f>IF(OR(G275="",H275=""),"",TRIM(IF(HOUR(H275-G275)&gt;0,HOUR(H275-G275)&amp;" hr ","")&amp;IF(MINUTE(H275-G275)&gt;0,MINUTE(H275-G275)&amp;" min","")))</f>
        <v/>
      </c>
      <c r="J275" s="36">
        <f>IF($R275="","",IF(INDEX(Calc!$AZ$2:$AZ$2001,$R275)="","",INDEX(Calc!$AZ$2:$AZ$2001,$R275)))</f>
        <v/>
      </c>
      <c r="K275" s="87">
        <f>IF($R275="","",IF(INDEX(Calc!$BE$2:$BE$2001,$R275)="","",INDEX(Calc!$BE$2:$BE$2001,$R275)))</f>
        <v/>
      </c>
      <c r="L275" s="36">
        <f>IF($R275="","",IF(INDEX(Calc!$BA$2:$BA$2001,$R275)="","",INDEX(Calc!$BA$2:$BA$2001,$R275)))</f>
        <v/>
      </c>
      <c r="M275" s="36">
        <f>IF($R275="","",IF(INDEX(Calc!$BB$2:$BB$2001,$R275)="","",INDEX(Calc!$BB$2:$BB$2001,$R275)))</f>
        <v/>
      </c>
      <c r="N275" s="36">
        <f>IF($R275="","",IF(INDEX(Calc!$BC$2:$BC$2001,$R275)="","",INDEX(Calc!$BC$2:$BC$2001,$R275)))</f>
        <v/>
      </c>
      <c r="O275" s="36">
        <f>IF($R275="","",IF(INDEX(Calc!$BD$2:$BD$2001,$R275)="","",INDEX(Calc!$BD$2:$BD$2001,$R275)))</f>
        <v/>
      </c>
      <c r="P275" s="88">
        <f>IF(R275="","",HYPERLINK("#'"&amp;IF(INDEX(Calc!$AS$2:$AS$2001,R275)="R","Recurring Log","Variable Tasks")&amp;"'!J"&amp;INDEX(Calc!$AT$2:$AT$2001,R275),"✎ edit"))</f>
        <v/>
      </c>
      <c r="R275">
        <f>IFERROR(MATCH(SMALL(Calc!$BK$2:$BK$2001,266),Calc!$BK$2:$BK$2001,0),"")</f>
        <v/>
      </c>
    </row>
    <row r="276">
      <c r="B276" s="73">
        <f>IF(R276="","",267)</f>
        <v/>
      </c>
      <c r="C276" s="75">
        <f>IF($R276="","",IF(INDEX(Calc!$AU$2:$AU$2001,$R276)="","",INDEX(Calc!$AU$2:$AU$2001,$R276)))</f>
        <v/>
      </c>
      <c r="D276" s="73">
        <f>IF($R276="","",IF(INDEX(Calc!$AV$2:$AV$2001,$R276)="","",INDEX(Calc!$AV$2:$AV$2001,$R276)))</f>
        <v/>
      </c>
      <c r="E276" s="76">
        <f>IF($R276="","",IF(INDEX(Calc!$AW$2:$AW$2001,$R276)="","",INDEX(Calc!$AW$2:$AW$2001,$R276)))</f>
        <v/>
      </c>
      <c r="F276" s="72">
        <f>IF(OR(C276="",E276=""),"",E276-Setup!$D$7)</f>
        <v/>
      </c>
      <c r="G276" s="77">
        <f>IF($R276="","",IF(INDEX(Calc!$AX$2:$AX$2001,$R276)="","",INDEX(Calc!$AX$2:$AX$2001,$R276)))</f>
        <v/>
      </c>
      <c r="H276" s="77">
        <f>IF($R276="","",IF(INDEX(Calc!$AY$2:$AY$2001,$R276)="","",INDEX(Calc!$AY$2:$AY$2001,$R276)))</f>
        <v/>
      </c>
      <c r="I276" s="73">
        <f>IF(OR(G276="",H276=""),"",TRIM(IF(HOUR(H276-G276)&gt;0,HOUR(H276-G276)&amp;" hr ","")&amp;IF(MINUTE(H276-G276)&gt;0,MINUTE(H276-G276)&amp;" min","")))</f>
        <v/>
      </c>
      <c r="J276" s="73">
        <f>IF($R276="","",IF(INDEX(Calc!$AZ$2:$AZ$2001,$R276)="","",INDEX(Calc!$AZ$2:$AZ$2001,$R276)))</f>
        <v/>
      </c>
      <c r="K276" s="85">
        <f>IF($R276="","",IF(INDEX(Calc!$BE$2:$BE$2001,$R276)="","",INDEX(Calc!$BE$2:$BE$2001,$R276)))</f>
        <v/>
      </c>
      <c r="L276" s="73">
        <f>IF($R276="","",IF(INDEX(Calc!$BA$2:$BA$2001,$R276)="","",INDEX(Calc!$BA$2:$BA$2001,$R276)))</f>
        <v/>
      </c>
      <c r="M276" s="73">
        <f>IF($R276="","",IF(INDEX(Calc!$BB$2:$BB$2001,$R276)="","",INDEX(Calc!$BB$2:$BB$2001,$R276)))</f>
        <v/>
      </c>
      <c r="N276" s="73">
        <f>IF($R276="","",IF(INDEX(Calc!$BC$2:$BC$2001,$R276)="","",INDEX(Calc!$BC$2:$BC$2001,$R276)))</f>
        <v/>
      </c>
      <c r="O276" s="73">
        <f>IF($R276="","",IF(INDEX(Calc!$BD$2:$BD$2001,$R276)="","",INDEX(Calc!$BD$2:$BD$2001,$R276)))</f>
        <v/>
      </c>
      <c r="P276" s="86">
        <f>IF(R276="","",HYPERLINK("#'"&amp;IF(INDEX(Calc!$AS$2:$AS$2001,R276)="R","Recurring Log","Variable Tasks")&amp;"'!J"&amp;INDEX(Calc!$AT$2:$AT$2001,R276),"✎ edit"))</f>
        <v/>
      </c>
      <c r="R276">
        <f>IFERROR(MATCH(SMALL(Calc!$BK$2:$BK$2001,267),Calc!$BK$2:$BK$2001,0),"")</f>
        <v/>
      </c>
    </row>
    <row r="277">
      <c r="B277" s="36">
        <f>IF(R277="","",268)</f>
        <v/>
      </c>
      <c r="C277" s="37">
        <f>IF($R277="","",IF(INDEX(Calc!$AU$2:$AU$2001,$R277)="","",INDEX(Calc!$AU$2:$AU$2001,$R277)))</f>
        <v/>
      </c>
      <c r="D277" s="36">
        <f>IF($R277="","",IF(INDEX(Calc!$AV$2:$AV$2001,$R277)="","",INDEX(Calc!$AV$2:$AV$2001,$R277)))</f>
        <v/>
      </c>
      <c r="E277" s="38">
        <f>IF($R277="","",IF(INDEX(Calc!$AW$2:$AW$2001,$R277)="","",INDEX(Calc!$AW$2:$AW$2001,$R277)))</f>
        <v/>
      </c>
      <c r="F277" s="68">
        <f>IF(OR(C277="",E277=""),"",E277-Setup!$D$7)</f>
        <v/>
      </c>
      <c r="G277" s="74">
        <f>IF($R277="","",IF(INDEX(Calc!$AX$2:$AX$2001,$R277)="","",INDEX(Calc!$AX$2:$AX$2001,$R277)))</f>
        <v/>
      </c>
      <c r="H277" s="74">
        <f>IF($R277="","",IF(INDEX(Calc!$AY$2:$AY$2001,$R277)="","",INDEX(Calc!$AY$2:$AY$2001,$R277)))</f>
        <v/>
      </c>
      <c r="I277" s="36">
        <f>IF(OR(G277="",H277=""),"",TRIM(IF(HOUR(H277-G277)&gt;0,HOUR(H277-G277)&amp;" hr ","")&amp;IF(MINUTE(H277-G277)&gt;0,MINUTE(H277-G277)&amp;" min","")))</f>
        <v/>
      </c>
      <c r="J277" s="36">
        <f>IF($R277="","",IF(INDEX(Calc!$AZ$2:$AZ$2001,$R277)="","",INDEX(Calc!$AZ$2:$AZ$2001,$R277)))</f>
        <v/>
      </c>
      <c r="K277" s="87">
        <f>IF($R277="","",IF(INDEX(Calc!$BE$2:$BE$2001,$R277)="","",INDEX(Calc!$BE$2:$BE$2001,$R277)))</f>
        <v/>
      </c>
      <c r="L277" s="36">
        <f>IF($R277="","",IF(INDEX(Calc!$BA$2:$BA$2001,$R277)="","",INDEX(Calc!$BA$2:$BA$2001,$R277)))</f>
        <v/>
      </c>
      <c r="M277" s="36">
        <f>IF($R277="","",IF(INDEX(Calc!$BB$2:$BB$2001,$R277)="","",INDEX(Calc!$BB$2:$BB$2001,$R277)))</f>
        <v/>
      </c>
      <c r="N277" s="36">
        <f>IF($R277="","",IF(INDEX(Calc!$BC$2:$BC$2001,$R277)="","",INDEX(Calc!$BC$2:$BC$2001,$R277)))</f>
        <v/>
      </c>
      <c r="O277" s="36">
        <f>IF($R277="","",IF(INDEX(Calc!$BD$2:$BD$2001,$R277)="","",INDEX(Calc!$BD$2:$BD$2001,$R277)))</f>
        <v/>
      </c>
      <c r="P277" s="88">
        <f>IF(R277="","",HYPERLINK("#'"&amp;IF(INDEX(Calc!$AS$2:$AS$2001,R277)="R","Recurring Log","Variable Tasks")&amp;"'!J"&amp;INDEX(Calc!$AT$2:$AT$2001,R277),"✎ edit"))</f>
        <v/>
      </c>
      <c r="R277">
        <f>IFERROR(MATCH(SMALL(Calc!$BK$2:$BK$2001,268),Calc!$BK$2:$BK$2001,0),"")</f>
        <v/>
      </c>
    </row>
    <row r="278">
      <c r="B278" s="73">
        <f>IF(R278="","",269)</f>
        <v/>
      </c>
      <c r="C278" s="75">
        <f>IF($R278="","",IF(INDEX(Calc!$AU$2:$AU$2001,$R278)="","",INDEX(Calc!$AU$2:$AU$2001,$R278)))</f>
        <v/>
      </c>
      <c r="D278" s="73">
        <f>IF($R278="","",IF(INDEX(Calc!$AV$2:$AV$2001,$R278)="","",INDEX(Calc!$AV$2:$AV$2001,$R278)))</f>
        <v/>
      </c>
      <c r="E278" s="76">
        <f>IF($R278="","",IF(INDEX(Calc!$AW$2:$AW$2001,$R278)="","",INDEX(Calc!$AW$2:$AW$2001,$R278)))</f>
        <v/>
      </c>
      <c r="F278" s="72">
        <f>IF(OR(C278="",E278=""),"",E278-Setup!$D$7)</f>
        <v/>
      </c>
      <c r="G278" s="77">
        <f>IF($R278="","",IF(INDEX(Calc!$AX$2:$AX$2001,$R278)="","",INDEX(Calc!$AX$2:$AX$2001,$R278)))</f>
        <v/>
      </c>
      <c r="H278" s="77">
        <f>IF($R278="","",IF(INDEX(Calc!$AY$2:$AY$2001,$R278)="","",INDEX(Calc!$AY$2:$AY$2001,$R278)))</f>
        <v/>
      </c>
      <c r="I278" s="73">
        <f>IF(OR(G278="",H278=""),"",TRIM(IF(HOUR(H278-G278)&gt;0,HOUR(H278-G278)&amp;" hr ","")&amp;IF(MINUTE(H278-G278)&gt;0,MINUTE(H278-G278)&amp;" min","")))</f>
        <v/>
      </c>
      <c r="J278" s="73">
        <f>IF($R278="","",IF(INDEX(Calc!$AZ$2:$AZ$2001,$R278)="","",INDEX(Calc!$AZ$2:$AZ$2001,$R278)))</f>
        <v/>
      </c>
      <c r="K278" s="85">
        <f>IF($R278="","",IF(INDEX(Calc!$BE$2:$BE$2001,$R278)="","",INDEX(Calc!$BE$2:$BE$2001,$R278)))</f>
        <v/>
      </c>
      <c r="L278" s="73">
        <f>IF($R278="","",IF(INDEX(Calc!$BA$2:$BA$2001,$R278)="","",INDEX(Calc!$BA$2:$BA$2001,$R278)))</f>
        <v/>
      </c>
      <c r="M278" s="73">
        <f>IF($R278="","",IF(INDEX(Calc!$BB$2:$BB$2001,$R278)="","",INDEX(Calc!$BB$2:$BB$2001,$R278)))</f>
        <v/>
      </c>
      <c r="N278" s="73">
        <f>IF($R278="","",IF(INDEX(Calc!$BC$2:$BC$2001,$R278)="","",INDEX(Calc!$BC$2:$BC$2001,$R278)))</f>
        <v/>
      </c>
      <c r="O278" s="73">
        <f>IF($R278="","",IF(INDEX(Calc!$BD$2:$BD$2001,$R278)="","",INDEX(Calc!$BD$2:$BD$2001,$R278)))</f>
        <v/>
      </c>
      <c r="P278" s="86">
        <f>IF(R278="","",HYPERLINK("#'"&amp;IF(INDEX(Calc!$AS$2:$AS$2001,R278)="R","Recurring Log","Variable Tasks")&amp;"'!J"&amp;INDEX(Calc!$AT$2:$AT$2001,R278),"✎ edit"))</f>
        <v/>
      </c>
      <c r="R278">
        <f>IFERROR(MATCH(SMALL(Calc!$BK$2:$BK$2001,269),Calc!$BK$2:$BK$2001,0),"")</f>
        <v/>
      </c>
    </row>
    <row r="279">
      <c r="B279" s="36">
        <f>IF(R279="","",270)</f>
        <v/>
      </c>
      <c r="C279" s="37">
        <f>IF($R279="","",IF(INDEX(Calc!$AU$2:$AU$2001,$R279)="","",INDEX(Calc!$AU$2:$AU$2001,$R279)))</f>
        <v/>
      </c>
      <c r="D279" s="36">
        <f>IF($R279="","",IF(INDEX(Calc!$AV$2:$AV$2001,$R279)="","",INDEX(Calc!$AV$2:$AV$2001,$R279)))</f>
        <v/>
      </c>
      <c r="E279" s="38">
        <f>IF($R279="","",IF(INDEX(Calc!$AW$2:$AW$2001,$R279)="","",INDEX(Calc!$AW$2:$AW$2001,$R279)))</f>
        <v/>
      </c>
      <c r="F279" s="68">
        <f>IF(OR(C279="",E279=""),"",E279-Setup!$D$7)</f>
        <v/>
      </c>
      <c r="G279" s="74">
        <f>IF($R279="","",IF(INDEX(Calc!$AX$2:$AX$2001,$R279)="","",INDEX(Calc!$AX$2:$AX$2001,$R279)))</f>
        <v/>
      </c>
      <c r="H279" s="74">
        <f>IF($R279="","",IF(INDEX(Calc!$AY$2:$AY$2001,$R279)="","",INDEX(Calc!$AY$2:$AY$2001,$R279)))</f>
        <v/>
      </c>
      <c r="I279" s="36">
        <f>IF(OR(G279="",H279=""),"",TRIM(IF(HOUR(H279-G279)&gt;0,HOUR(H279-G279)&amp;" hr ","")&amp;IF(MINUTE(H279-G279)&gt;0,MINUTE(H279-G279)&amp;" min","")))</f>
        <v/>
      </c>
      <c r="J279" s="36">
        <f>IF($R279="","",IF(INDEX(Calc!$AZ$2:$AZ$2001,$R279)="","",INDEX(Calc!$AZ$2:$AZ$2001,$R279)))</f>
        <v/>
      </c>
      <c r="K279" s="87">
        <f>IF($R279="","",IF(INDEX(Calc!$BE$2:$BE$2001,$R279)="","",INDEX(Calc!$BE$2:$BE$2001,$R279)))</f>
        <v/>
      </c>
      <c r="L279" s="36">
        <f>IF($R279="","",IF(INDEX(Calc!$BA$2:$BA$2001,$R279)="","",INDEX(Calc!$BA$2:$BA$2001,$R279)))</f>
        <v/>
      </c>
      <c r="M279" s="36">
        <f>IF($R279="","",IF(INDEX(Calc!$BB$2:$BB$2001,$R279)="","",INDEX(Calc!$BB$2:$BB$2001,$R279)))</f>
        <v/>
      </c>
      <c r="N279" s="36">
        <f>IF($R279="","",IF(INDEX(Calc!$BC$2:$BC$2001,$R279)="","",INDEX(Calc!$BC$2:$BC$2001,$R279)))</f>
        <v/>
      </c>
      <c r="O279" s="36">
        <f>IF($R279="","",IF(INDEX(Calc!$BD$2:$BD$2001,$R279)="","",INDEX(Calc!$BD$2:$BD$2001,$R279)))</f>
        <v/>
      </c>
      <c r="P279" s="88">
        <f>IF(R279="","",HYPERLINK("#'"&amp;IF(INDEX(Calc!$AS$2:$AS$2001,R279)="R","Recurring Log","Variable Tasks")&amp;"'!J"&amp;INDEX(Calc!$AT$2:$AT$2001,R279),"✎ edit"))</f>
        <v/>
      </c>
      <c r="R279">
        <f>IFERROR(MATCH(SMALL(Calc!$BK$2:$BK$2001,270),Calc!$BK$2:$BK$2001,0),"")</f>
        <v/>
      </c>
    </row>
    <row r="280">
      <c r="B280" s="73">
        <f>IF(R280="","",271)</f>
        <v/>
      </c>
      <c r="C280" s="75">
        <f>IF($R280="","",IF(INDEX(Calc!$AU$2:$AU$2001,$R280)="","",INDEX(Calc!$AU$2:$AU$2001,$R280)))</f>
        <v/>
      </c>
      <c r="D280" s="73">
        <f>IF($R280="","",IF(INDEX(Calc!$AV$2:$AV$2001,$R280)="","",INDEX(Calc!$AV$2:$AV$2001,$R280)))</f>
        <v/>
      </c>
      <c r="E280" s="76">
        <f>IF($R280="","",IF(INDEX(Calc!$AW$2:$AW$2001,$R280)="","",INDEX(Calc!$AW$2:$AW$2001,$R280)))</f>
        <v/>
      </c>
      <c r="F280" s="72">
        <f>IF(OR(C280="",E280=""),"",E280-Setup!$D$7)</f>
        <v/>
      </c>
      <c r="G280" s="77">
        <f>IF($R280="","",IF(INDEX(Calc!$AX$2:$AX$2001,$R280)="","",INDEX(Calc!$AX$2:$AX$2001,$R280)))</f>
        <v/>
      </c>
      <c r="H280" s="77">
        <f>IF($R280="","",IF(INDEX(Calc!$AY$2:$AY$2001,$R280)="","",INDEX(Calc!$AY$2:$AY$2001,$R280)))</f>
        <v/>
      </c>
      <c r="I280" s="73">
        <f>IF(OR(G280="",H280=""),"",TRIM(IF(HOUR(H280-G280)&gt;0,HOUR(H280-G280)&amp;" hr ","")&amp;IF(MINUTE(H280-G280)&gt;0,MINUTE(H280-G280)&amp;" min","")))</f>
        <v/>
      </c>
      <c r="J280" s="73">
        <f>IF($R280="","",IF(INDEX(Calc!$AZ$2:$AZ$2001,$R280)="","",INDEX(Calc!$AZ$2:$AZ$2001,$R280)))</f>
        <v/>
      </c>
      <c r="K280" s="85">
        <f>IF($R280="","",IF(INDEX(Calc!$BE$2:$BE$2001,$R280)="","",INDEX(Calc!$BE$2:$BE$2001,$R280)))</f>
        <v/>
      </c>
      <c r="L280" s="73">
        <f>IF($R280="","",IF(INDEX(Calc!$BA$2:$BA$2001,$R280)="","",INDEX(Calc!$BA$2:$BA$2001,$R280)))</f>
        <v/>
      </c>
      <c r="M280" s="73">
        <f>IF($R280="","",IF(INDEX(Calc!$BB$2:$BB$2001,$R280)="","",INDEX(Calc!$BB$2:$BB$2001,$R280)))</f>
        <v/>
      </c>
      <c r="N280" s="73">
        <f>IF($R280="","",IF(INDEX(Calc!$BC$2:$BC$2001,$R280)="","",INDEX(Calc!$BC$2:$BC$2001,$R280)))</f>
        <v/>
      </c>
      <c r="O280" s="73">
        <f>IF($R280="","",IF(INDEX(Calc!$BD$2:$BD$2001,$R280)="","",INDEX(Calc!$BD$2:$BD$2001,$R280)))</f>
        <v/>
      </c>
      <c r="P280" s="86">
        <f>IF(R280="","",HYPERLINK("#'"&amp;IF(INDEX(Calc!$AS$2:$AS$2001,R280)="R","Recurring Log","Variable Tasks")&amp;"'!J"&amp;INDEX(Calc!$AT$2:$AT$2001,R280),"✎ edit"))</f>
        <v/>
      </c>
      <c r="R280">
        <f>IFERROR(MATCH(SMALL(Calc!$BK$2:$BK$2001,271),Calc!$BK$2:$BK$2001,0),"")</f>
        <v/>
      </c>
    </row>
    <row r="281">
      <c r="B281" s="36">
        <f>IF(R281="","",272)</f>
        <v/>
      </c>
      <c r="C281" s="37">
        <f>IF($R281="","",IF(INDEX(Calc!$AU$2:$AU$2001,$R281)="","",INDEX(Calc!$AU$2:$AU$2001,$R281)))</f>
        <v/>
      </c>
      <c r="D281" s="36">
        <f>IF($R281="","",IF(INDEX(Calc!$AV$2:$AV$2001,$R281)="","",INDEX(Calc!$AV$2:$AV$2001,$R281)))</f>
        <v/>
      </c>
      <c r="E281" s="38">
        <f>IF($R281="","",IF(INDEX(Calc!$AW$2:$AW$2001,$R281)="","",INDEX(Calc!$AW$2:$AW$2001,$R281)))</f>
        <v/>
      </c>
      <c r="F281" s="68">
        <f>IF(OR(C281="",E281=""),"",E281-Setup!$D$7)</f>
        <v/>
      </c>
      <c r="G281" s="74">
        <f>IF($R281="","",IF(INDEX(Calc!$AX$2:$AX$2001,$R281)="","",INDEX(Calc!$AX$2:$AX$2001,$R281)))</f>
        <v/>
      </c>
      <c r="H281" s="74">
        <f>IF($R281="","",IF(INDEX(Calc!$AY$2:$AY$2001,$R281)="","",INDEX(Calc!$AY$2:$AY$2001,$R281)))</f>
        <v/>
      </c>
      <c r="I281" s="36">
        <f>IF(OR(G281="",H281=""),"",TRIM(IF(HOUR(H281-G281)&gt;0,HOUR(H281-G281)&amp;" hr ","")&amp;IF(MINUTE(H281-G281)&gt;0,MINUTE(H281-G281)&amp;" min","")))</f>
        <v/>
      </c>
      <c r="J281" s="36">
        <f>IF($R281="","",IF(INDEX(Calc!$AZ$2:$AZ$2001,$R281)="","",INDEX(Calc!$AZ$2:$AZ$2001,$R281)))</f>
        <v/>
      </c>
      <c r="K281" s="87">
        <f>IF($R281="","",IF(INDEX(Calc!$BE$2:$BE$2001,$R281)="","",INDEX(Calc!$BE$2:$BE$2001,$R281)))</f>
        <v/>
      </c>
      <c r="L281" s="36">
        <f>IF($R281="","",IF(INDEX(Calc!$BA$2:$BA$2001,$R281)="","",INDEX(Calc!$BA$2:$BA$2001,$R281)))</f>
        <v/>
      </c>
      <c r="M281" s="36">
        <f>IF($R281="","",IF(INDEX(Calc!$BB$2:$BB$2001,$R281)="","",INDEX(Calc!$BB$2:$BB$2001,$R281)))</f>
        <v/>
      </c>
      <c r="N281" s="36">
        <f>IF($R281="","",IF(INDEX(Calc!$BC$2:$BC$2001,$R281)="","",INDEX(Calc!$BC$2:$BC$2001,$R281)))</f>
        <v/>
      </c>
      <c r="O281" s="36">
        <f>IF($R281="","",IF(INDEX(Calc!$BD$2:$BD$2001,$R281)="","",INDEX(Calc!$BD$2:$BD$2001,$R281)))</f>
        <v/>
      </c>
      <c r="P281" s="88">
        <f>IF(R281="","",HYPERLINK("#'"&amp;IF(INDEX(Calc!$AS$2:$AS$2001,R281)="R","Recurring Log","Variable Tasks")&amp;"'!J"&amp;INDEX(Calc!$AT$2:$AT$2001,R281),"✎ edit"))</f>
        <v/>
      </c>
      <c r="R281">
        <f>IFERROR(MATCH(SMALL(Calc!$BK$2:$BK$2001,272),Calc!$BK$2:$BK$2001,0),"")</f>
        <v/>
      </c>
    </row>
    <row r="282">
      <c r="B282" s="73">
        <f>IF(R282="","",273)</f>
        <v/>
      </c>
      <c r="C282" s="75">
        <f>IF($R282="","",IF(INDEX(Calc!$AU$2:$AU$2001,$R282)="","",INDEX(Calc!$AU$2:$AU$2001,$R282)))</f>
        <v/>
      </c>
      <c r="D282" s="73">
        <f>IF($R282="","",IF(INDEX(Calc!$AV$2:$AV$2001,$R282)="","",INDEX(Calc!$AV$2:$AV$2001,$R282)))</f>
        <v/>
      </c>
      <c r="E282" s="76">
        <f>IF($R282="","",IF(INDEX(Calc!$AW$2:$AW$2001,$R282)="","",INDEX(Calc!$AW$2:$AW$2001,$R282)))</f>
        <v/>
      </c>
      <c r="F282" s="72">
        <f>IF(OR(C282="",E282=""),"",E282-Setup!$D$7)</f>
        <v/>
      </c>
      <c r="G282" s="77">
        <f>IF($R282="","",IF(INDEX(Calc!$AX$2:$AX$2001,$R282)="","",INDEX(Calc!$AX$2:$AX$2001,$R282)))</f>
        <v/>
      </c>
      <c r="H282" s="77">
        <f>IF($R282="","",IF(INDEX(Calc!$AY$2:$AY$2001,$R282)="","",INDEX(Calc!$AY$2:$AY$2001,$R282)))</f>
        <v/>
      </c>
      <c r="I282" s="73">
        <f>IF(OR(G282="",H282=""),"",TRIM(IF(HOUR(H282-G282)&gt;0,HOUR(H282-G282)&amp;" hr ","")&amp;IF(MINUTE(H282-G282)&gt;0,MINUTE(H282-G282)&amp;" min","")))</f>
        <v/>
      </c>
      <c r="J282" s="73">
        <f>IF($R282="","",IF(INDEX(Calc!$AZ$2:$AZ$2001,$R282)="","",INDEX(Calc!$AZ$2:$AZ$2001,$R282)))</f>
        <v/>
      </c>
      <c r="K282" s="85">
        <f>IF($R282="","",IF(INDEX(Calc!$BE$2:$BE$2001,$R282)="","",INDEX(Calc!$BE$2:$BE$2001,$R282)))</f>
        <v/>
      </c>
      <c r="L282" s="73">
        <f>IF($R282="","",IF(INDEX(Calc!$BA$2:$BA$2001,$R282)="","",INDEX(Calc!$BA$2:$BA$2001,$R282)))</f>
        <v/>
      </c>
      <c r="M282" s="73">
        <f>IF($R282="","",IF(INDEX(Calc!$BB$2:$BB$2001,$R282)="","",INDEX(Calc!$BB$2:$BB$2001,$R282)))</f>
        <v/>
      </c>
      <c r="N282" s="73">
        <f>IF($R282="","",IF(INDEX(Calc!$BC$2:$BC$2001,$R282)="","",INDEX(Calc!$BC$2:$BC$2001,$R282)))</f>
        <v/>
      </c>
      <c r="O282" s="73">
        <f>IF($R282="","",IF(INDEX(Calc!$BD$2:$BD$2001,$R282)="","",INDEX(Calc!$BD$2:$BD$2001,$R282)))</f>
        <v/>
      </c>
      <c r="P282" s="86">
        <f>IF(R282="","",HYPERLINK("#'"&amp;IF(INDEX(Calc!$AS$2:$AS$2001,R282)="R","Recurring Log","Variable Tasks")&amp;"'!J"&amp;INDEX(Calc!$AT$2:$AT$2001,R282),"✎ edit"))</f>
        <v/>
      </c>
      <c r="R282">
        <f>IFERROR(MATCH(SMALL(Calc!$BK$2:$BK$2001,273),Calc!$BK$2:$BK$2001,0),"")</f>
        <v/>
      </c>
    </row>
    <row r="283">
      <c r="B283" s="36">
        <f>IF(R283="","",274)</f>
        <v/>
      </c>
      <c r="C283" s="37">
        <f>IF($R283="","",IF(INDEX(Calc!$AU$2:$AU$2001,$R283)="","",INDEX(Calc!$AU$2:$AU$2001,$R283)))</f>
        <v/>
      </c>
      <c r="D283" s="36">
        <f>IF($R283="","",IF(INDEX(Calc!$AV$2:$AV$2001,$R283)="","",INDEX(Calc!$AV$2:$AV$2001,$R283)))</f>
        <v/>
      </c>
      <c r="E283" s="38">
        <f>IF($R283="","",IF(INDEX(Calc!$AW$2:$AW$2001,$R283)="","",INDEX(Calc!$AW$2:$AW$2001,$R283)))</f>
        <v/>
      </c>
      <c r="F283" s="68">
        <f>IF(OR(C283="",E283=""),"",E283-Setup!$D$7)</f>
        <v/>
      </c>
      <c r="G283" s="74">
        <f>IF($R283="","",IF(INDEX(Calc!$AX$2:$AX$2001,$R283)="","",INDEX(Calc!$AX$2:$AX$2001,$R283)))</f>
        <v/>
      </c>
      <c r="H283" s="74">
        <f>IF($R283="","",IF(INDEX(Calc!$AY$2:$AY$2001,$R283)="","",INDEX(Calc!$AY$2:$AY$2001,$R283)))</f>
        <v/>
      </c>
      <c r="I283" s="36">
        <f>IF(OR(G283="",H283=""),"",TRIM(IF(HOUR(H283-G283)&gt;0,HOUR(H283-G283)&amp;" hr ","")&amp;IF(MINUTE(H283-G283)&gt;0,MINUTE(H283-G283)&amp;" min","")))</f>
        <v/>
      </c>
      <c r="J283" s="36">
        <f>IF($R283="","",IF(INDEX(Calc!$AZ$2:$AZ$2001,$R283)="","",INDEX(Calc!$AZ$2:$AZ$2001,$R283)))</f>
        <v/>
      </c>
      <c r="K283" s="87">
        <f>IF($R283="","",IF(INDEX(Calc!$BE$2:$BE$2001,$R283)="","",INDEX(Calc!$BE$2:$BE$2001,$R283)))</f>
        <v/>
      </c>
      <c r="L283" s="36">
        <f>IF($R283="","",IF(INDEX(Calc!$BA$2:$BA$2001,$R283)="","",INDEX(Calc!$BA$2:$BA$2001,$R283)))</f>
        <v/>
      </c>
      <c r="M283" s="36">
        <f>IF($R283="","",IF(INDEX(Calc!$BB$2:$BB$2001,$R283)="","",INDEX(Calc!$BB$2:$BB$2001,$R283)))</f>
        <v/>
      </c>
      <c r="N283" s="36">
        <f>IF($R283="","",IF(INDEX(Calc!$BC$2:$BC$2001,$R283)="","",INDEX(Calc!$BC$2:$BC$2001,$R283)))</f>
        <v/>
      </c>
      <c r="O283" s="36">
        <f>IF($R283="","",IF(INDEX(Calc!$BD$2:$BD$2001,$R283)="","",INDEX(Calc!$BD$2:$BD$2001,$R283)))</f>
        <v/>
      </c>
      <c r="P283" s="88">
        <f>IF(R283="","",HYPERLINK("#'"&amp;IF(INDEX(Calc!$AS$2:$AS$2001,R283)="R","Recurring Log","Variable Tasks")&amp;"'!J"&amp;INDEX(Calc!$AT$2:$AT$2001,R283),"✎ edit"))</f>
        <v/>
      </c>
      <c r="R283">
        <f>IFERROR(MATCH(SMALL(Calc!$BK$2:$BK$2001,274),Calc!$BK$2:$BK$2001,0),"")</f>
        <v/>
      </c>
    </row>
    <row r="284">
      <c r="B284" s="73">
        <f>IF(R284="","",275)</f>
        <v/>
      </c>
      <c r="C284" s="75">
        <f>IF($R284="","",IF(INDEX(Calc!$AU$2:$AU$2001,$R284)="","",INDEX(Calc!$AU$2:$AU$2001,$R284)))</f>
        <v/>
      </c>
      <c r="D284" s="73">
        <f>IF($R284="","",IF(INDEX(Calc!$AV$2:$AV$2001,$R284)="","",INDEX(Calc!$AV$2:$AV$2001,$R284)))</f>
        <v/>
      </c>
      <c r="E284" s="76">
        <f>IF($R284="","",IF(INDEX(Calc!$AW$2:$AW$2001,$R284)="","",INDEX(Calc!$AW$2:$AW$2001,$R284)))</f>
        <v/>
      </c>
      <c r="F284" s="72">
        <f>IF(OR(C284="",E284=""),"",E284-Setup!$D$7)</f>
        <v/>
      </c>
      <c r="G284" s="77">
        <f>IF($R284="","",IF(INDEX(Calc!$AX$2:$AX$2001,$R284)="","",INDEX(Calc!$AX$2:$AX$2001,$R284)))</f>
        <v/>
      </c>
      <c r="H284" s="77">
        <f>IF($R284="","",IF(INDEX(Calc!$AY$2:$AY$2001,$R284)="","",INDEX(Calc!$AY$2:$AY$2001,$R284)))</f>
        <v/>
      </c>
      <c r="I284" s="73">
        <f>IF(OR(G284="",H284=""),"",TRIM(IF(HOUR(H284-G284)&gt;0,HOUR(H284-G284)&amp;" hr ","")&amp;IF(MINUTE(H284-G284)&gt;0,MINUTE(H284-G284)&amp;" min","")))</f>
        <v/>
      </c>
      <c r="J284" s="73">
        <f>IF($R284="","",IF(INDEX(Calc!$AZ$2:$AZ$2001,$R284)="","",INDEX(Calc!$AZ$2:$AZ$2001,$R284)))</f>
        <v/>
      </c>
      <c r="K284" s="85">
        <f>IF($R284="","",IF(INDEX(Calc!$BE$2:$BE$2001,$R284)="","",INDEX(Calc!$BE$2:$BE$2001,$R284)))</f>
        <v/>
      </c>
      <c r="L284" s="73">
        <f>IF($R284="","",IF(INDEX(Calc!$BA$2:$BA$2001,$R284)="","",INDEX(Calc!$BA$2:$BA$2001,$R284)))</f>
        <v/>
      </c>
      <c r="M284" s="73">
        <f>IF($R284="","",IF(INDEX(Calc!$BB$2:$BB$2001,$R284)="","",INDEX(Calc!$BB$2:$BB$2001,$R284)))</f>
        <v/>
      </c>
      <c r="N284" s="73">
        <f>IF($R284="","",IF(INDEX(Calc!$BC$2:$BC$2001,$R284)="","",INDEX(Calc!$BC$2:$BC$2001,$R284)))</f>
        <v/>
      </c>
      <c r="O284" s="73">
        <f>IF($R284="","",IF(INDEX(Calc!$BD$2:$BD$2001,$R284)="","",INDEX(Calc!$BD$2:$BD$2001,$R284)))</f>
        <v/>
      </c>
      <c r="P284" s="86">
        <f>IF(R284="","",HYPERLINK("#'"&amp;IF(INDEX(Calc!$AS$2:$AS$2001,R284)="R","Recurring Log","Variable Tasks")&amp;"'!J"&amp;INDEX(Calc!$AT$2:$AT$2001,R284),"✎ edit"))</f>
        <v/>
      </c>
      <c r="R284">
        <f>IFERROR(MATCH(SMALL(Calc!$BK$2:$BK$2001,275),Calc!$BK$2:$BK$2001,0),"")</f>
        <v/>
      </c>
    </row>
    <row r="285">
      <c r="B285" s="36">
        <f>IF(R285="","",276)</f>
        <v/>
      </c>
      <c r="C285" s="37">
        <f>IF($R285="","",IF(INDEX(Calc!$AU$2:$AU$2001,$R285)="","",INDEX(Calc!$AU$2:$AU$2001,$R285)))</f>
        <v/>
      </c>
      <c r="D285" s="36">
        <f>IF($R285="","",IF(INDEX(Calc!$AV$2:$AV$2001,$R285)="","",INDEX(Calc!$AV$2:$AV$2001,$R285)))</f>
        <v/>
      </c>
      <c r="E285" s="38">
        <f>IF($R285="","",IF(INDEX(Calc!$AW$2:$AW$2001,$R285)="","",INDEX(Calc!$AW$2:$AW$2001,$R285)))</f>
        <v/>
      </c>
      <c r="F285" s="68">
        <f>IF(OR(C285="",E285=""),"",E285-Setup!$D$7)</f>
        <v/>
      </c>
      <c r="G285" s="74">
        <f>IF($R285="","",IF(INDEX(Calc!$AX$2:$AX$2001,$R285)="","",INDEX(Calc!$AX$2:$AX$2001,$R285)))</f>
        <v/>
      </c>
      <c r="H285" s="74">
        <f>IF($R285="","",IF(INDEX(Calc!$AY$2:$AY$2001,$R285)="","",INDEX(Calc!$AY$2:$AY$2001,$R285)))</f>
        <v/>
      </c>
      <c r="I285" s="36">
        <f>IF(OR(G285="",H285=""),"",TRIM(IF(HOUR(H285-G285)&gt;0,HOUR(H285-G285)&amp;" hr ","")&amp;IF(MINUTE(H285-G285)&gt;0,MINUTE(H285-G285)&amp;" min","")))</f>
        <v/>
      </c>
      <c r="J285" s="36">
        <f>IF($R285="","",IF(INDEX(Calc!$AZ$2:$AZ$2001,$R285)="","",INDEX(Calc!$AZ$2:$AZ$2001,$R285)))</f>
        <v/>
      </c>
      <c r="K285" s="87">
        <f>IF($R285="","",IF(INDEX(Calc!$BE$2:$BE$2001,$R285)="","",INDEX(Calc!$BE$2:$BE$2001,$R285)))</f>
        <v/>
      </c>
      <c r="L285" s="36">
        <f>IF($R285="","",IF(INDEX(Calc!$BA$2:$BA$2001,$R285)="","",INDEX(Calc!$BA$2:$BA$2001,$R285)))</f>
        <v/>
      </c>
      <c r="M285" s="36">
        <f>IF($R285="","",IF(INDEX(Calc!$BB$2:$BB$2001,$R285)="","",INDEX(Calc!$BB$2:$BB$2001,$R285)))</f>
        <v/>
      </c>
      <c r="N285" s="36">
        <f>IF($R285="","",IF(INDEX(Calc!$BC$2:$BC$2001,$R285)="","",INDEX(Calc!$BC$2:$BC$2001,$R285)))</f>
        <v/>
      </c>
      <c r="O285" s="36">
        <f>IF($R285="","",IF(INDEX(Calc!$BD$2:$BD$2001,$R285)="","",INDEX(Calc!$BD$2:$BD$2001,$R285)))</f>
        <v/>
      </c>
      <c r="P285" s="88">
        <f>IF(R285="","",HYPERLINK("#'"&amp;IF(INDEX(Calc!$AS$2:$AS$2001,R285)="R","Recurring Log","Variable Tasks")&amp;"'!J"&amp;INDEX(Calc!$AT$2:$AT$2001,R285),"✎ edit"))</f>
        <v/>
      </c>
      <c r="R285">
        <f>IFERROR(MATCH(SMALL(Calc!$BK$2:$BK$2001,276),Calc!$BK$2:$BK$2001,0),"")</f>
        <v/>
      </c>
    </row>
    <row r="286">
      <c r="B286" s="73">
        <f>IF(R286="","",277)</f>
        <v/>
      </c>
      <c r="C286" s="75">
        <f>IF($R286="","",IF(INDEX(Calc!$AU$2:$AU$2001,$R286)="","",INDEX(Calc!$AU$2:$AU$2001,$R286)))</f>
        <v/>
      </c>
      <c r="D286" s="73">
        <f>IF($R286="","",IF(INDEX(Calc!$AV$2:$AV$2001,$R286)="","",INDEX(Calc!$AV$2:$AV$2001,$R286)))</f>
        <v/>
      </c>
      <c r="E286" s="76">
        <f>IF($R286="","",IF(INDEX(Calc!$AW$2:$AW$2001,$R286)="","",INDEX(Calc!$AW$2:$AW$2001,$R286)))</f>
        <v/>
      </c>
      <c r="F286" s="72">
        <f>IF(OR(C286="",E286=""),"",E286-Setup!$D$7)</f>
        <v/>
      </c>
      <c r="G286" s="77">
        <f>IF($R286="","",IF(INDEX(Calc!$AX$2:$AX$2001,$R286)="","",INDEX(Calc!$AX$2:$AX$2001,$R286)))</f>
        <v/>
      </c>
      <c r="H286" s="77">
        <f>IF($R286="","",IF(INDEX(Calc!$AY$2:$AY$2001,$R286)="","",INDEX(Calc!$AY$2:$AY$2001,$R286)))</f>
        <v/>
      </c>
      <c r="I286" s="73">
        <f>IF(OR(G286="",H286=""),"",TRIM(IF(HOUR(H286-G286)&gt;0,HOUR(H286-G286)&amp;" hr ","")&amp;IF(MINUTE(H286-G286)&gt;0,MINUTE(H286-G286)&amp;" min","")))</f>
        <v/>
      </c>
      <c r="J286" s="73">
        <f>IF($R286="","",IF(INDEX(Calc!$AZ$2:$AZ$2001,$R286)="","",INDEX(Calc!$AZ$2:$AZ$2001,$R286)))</f>
        <v/>
      </c>
      <c r="K286" s="85">
        <f>IF($R286="","",IF(INDEX(Calc!$BE$2:$BE$2001,$R286)="","",INDEX(Calc!$BE$2:$BE$2001,$R286)))</f>
        <v/>
      </c>
      <c r="L286" s="73">
        <f>IF($R286="","",IF(INDEX(Calc!$BA$2:$BA$2001,$R286)="","",INDEX(Calc!$BA$2:$BA$2001,$R286)))</f>
        <v/>
      </c>
      <c r="M286" s="73">
        <f>IF($R286="","",IF(INDEX(Calc!$BB$2:$BB$2001,$R286)="","",INDEX(Calc!$BB$2:$BB$2001,$R286)))</f>
        <v/>
      </c>
      <c r="N286" s="73">
        <f>IF($R286="","",IF(INDEX(Calc!$BC$2:$BC$2001,$R286)="","",INDEX(Calc!$BC$2:$BC$2001,$R286)))</f>
        <v/>
      </c>
      <c r="O286" s="73">
        <f>IF($R286="","",IF(INDEX(Calc!$BD$2:$BD$2001,$R286)="","",INDEX(Calc!$BD$2:$BD$2001,$R286)))</f>
        <v/>
      </c>
      <c r="P286" s="86">
        <f>IF(R286="","",HYPERLINK("#'"&amp;IF(INDEX(Calc!$AS$2:$AS$2001,R286)="R","Recurring Log","Variable Tasks")&amp;"'!J"&amp;INDEX(Calc!$AT$2:$AT$2001,R286),"✎ edit"))</f>
        <v/>
      </c>
      <c r="R286">
        <f>IFERROR(MATCH(SMALL(Calc!$BK$2:$BK$2001,277),Calc!$BK$2:$BK$2001,0),"")</f>
        <v/>
      </c>
    </row>
    <row r="287">
      <c r="B287" s="36">
        <f>IF(R287="","",278)</f>
        <v/>
      </c>
      <c r="C287" s="37">
        <f>IF($R287="","",IF(INDEX(Calc!$AU$2:$AU$2001,$R287)="","",INDEX(Calc!$AU$2:$AU$2001,$R287)))</f>
        <v/>
      </c>
      <c r="D287" s="36">
        <f>IF($R287="","",IF(INDEX(Calc!$AV$2:$AV$2001,$R287)="","",INDEX(Calc!$AV$2:$AV$2001,$R287)))</f>
        <v/>
      </c>
      <c r="E287" s="38">
        <f>IF($R287="","",IF(INDEX(Calc!$AW$2:$AW$2001,$R287)="","",INDEX(Calc!$AW$2:$AW$2001,$R287)))</f>
        <v/>
      </c>
      <c r="F287" s="68">
        <f>IF(OR(C287="",E287=""),"",E287-Setup!$D$7)</f>
        <v/>
      </c>
      <c r="G287" s="74">
        <f>IF($R287="","",IF(INDEX(Calc!$AX$2:$AX$2001,$R287)="","",INDEX(Calc!$AX$2:$AX$2001,$R287)))</f>
        <v/>
      </c>
      <c r="H287" s="74">
        <f>IF($R287="","",IF(INDEX(Calc!$AY$2:$AY$2001,$R287)="","",INDEX(Calc!$AY$2:$AY$2001,$R287)))</f>
        <v/>
      </c>
      <c r="I287" s="36">
        <f>IF(OR(G287="",H287=""),"",TRIM(IF(HOUR(H287-G287)&gt;0,HOUR(H287-G287)&amp;" hr ","")&amp;IF(MINUTE(H287-G287)&gt;0,MINUTE(H287-G287)&amp;" min","")))</f>
        <v/>
      </c>
      <c r="J287" s="36">
        <f>IF($R287="","",IF(INDEX(Calc!$AZ$2:$AZ$2001,$R287)="","",INDEX(Calc!$AZ$2:$AZ$2001,$R287)))</f>
        <v/>
      </c>
      <c r="K287" s="87">
        <f>IF($R287="","",IF(INDEX(Calc!$BE$2:$BE$2001,$R287)="","",INDEX(Calc!$BE$2:$BE$2001,$R287)))</f>
        <v/>
      </c>
      <c r="L287" s="36">
        <f>IF($R287="","",IF(INDEX(Calc!$BA$2:$BA$2001,$R287)="","",INDEX(Calc!$BA$2:$BA$2001,$R287)))</f>
        <v/>
      </c>
      <c r="M287" s="36">
        <f>IF($R287="","",IF(INDEX(Calc!$BB$2:$BB$2001,$R287)="","",INDEX(Calc!$BB$2:$BB$2001,$R287)))</f>
        <v/>
      </c>
      <c r="N287" s="36">
        <f>IF($R287="","",IF(INDEX(Calc!$BC$2:$BC$2001,$R287)="","",INDEX(Calc!$BC$2:$BC$2001,$R287)))</f>
        <v/>
      </c>
      <c r="O287" s="36">
        <f>IF($R287="","",IF(INDEX(Calc!$BD$2:$BD$2001,$R287)="","",INDEX(Calc!$BD$2:$BD$2001,$R287)))</f>
        <v/>
      </c>
      <c r="P287" s="88">
        <f>IF(R287="","",HYPERLINK("#'"&amp;IF(INDEX(Calc!$AS$2:$AS$2001,R287)="R","Recurring Log","Variable Tasks")&amp;"'!J"&amp;INDEX(Calc!$AT$2:$AT$2001,R287),"✎ edit"))</f>
        <v/>
      </c>
      <c r="R287">
        <f>IFERROR(MATCH(SMALL(Calc!$BK$2:$BK$2001,278),Calc!$BK$2:$BK$2001,0),"")</f>
        <v/>
      </c>
    </row>
    <row r="288">
      <c r="B288" s="73">
        <f>IF(R288="","",279)</f>
        <v/>
      </c>
      <c r="C288" s="75">
        <f>IF($R288="","",IF(INDEX(Calc!$AU$2:$AU$2001,$R288)="","",INDEX(Calc!$AU$2:$AU$2001,$R288)))</f>
        <v/>
      </c>
      <c r="D288" s="73">
        <f>IF($R288="","",IF(INDEX(Calc!$AV$2:$AV$2001,$R288)="","",INDEX(Calc!$AV$2:$AV$2001,$R288)))</f>
        <v/>
      </c>
      <c r="E288" s="76">
        <f>IF($R288="","",IF(INDEX(Calc!$AW$2:$AW$2001,$R288)="","",INDEX(Calc!$AW$2:$AW$2001,$R288)))</f>
        <v/>
      </c>
      <c r="F288" s="72">
        <f>IF(OR(C288="",E288=""),"",E288-Setup!$D$7)</f>
        <v/>
      </c>
      <c r="G288" s="77">
        <f>IF($R288="","",IF(INDEX(Calc!$AX$2:$AX$2001,$R288)="","",INDEX(Calc!$AX$2:$AX$2001,$R288)))</f>
        <v/>
      </c>
      <c r="H288" s="77">
        <f>IF($R288="","",IF(INDEX(Calc!$AY$2:$AY$2001,$R288)="","",INDEX(Calc!$AY$2:$AY$2001,$R288)))</f>
        <v/>
      </c>
      <c r="I288" s="73">
        <f>IF(OR(G288="",H288=""),"",TRIM(IF(HOUR(H288-G288)&gt;0,HOUR(H288-G288)&amp;" hr ","")&amp;IF(MINUTE(H288-G288)&gt;0,MINUTE(H288-G288)&amp;" min","")))</f>
        <v/>
      </c>
      <c r="J288" s="73">
        <f>IF($R288="","",IF(INDEX(Calc!$AZ$2:$AZ$2001,$R288)="","",INDEX(Calc!$AZ$2:$AZ$2001,$R288)))</f>
        <v/>
      </c>
      <c r="K288" s="85">
        <f>IF($R288="","",IF(INDEX(Calc!$BE$2:$BE$2001,$R288)="","",INDEX(Calc!$BE$2:$BE$2001,$R288)))</f>
        <v/>
      </c>
      <c r="L288" s="73">
        <f>IF($R288="","",IF(INDEX(Calc!$BA$2:$BA$2001,$R288)="","",INDEX(Calc!$BA$2:$BA$2001,$R288)))</f>
        <v/>
      </c>
      <c r="M288" s="73">
        <f>IF($R288="","",IF(INDEX(Calc!$BB$2:$BB$2001,$R288)="","",INDEX(Calc!$BB$2:$BB$2001,$R288)))</f>
        <v/>
      </c>
      <c r="N288" s="73">
        <f>IF($R288="","",IF(INDEX(Calc!$BC$2:$BC$2001,$R288)="","",INDEX(Calc!$BC$2:$BC$2001,$R288)))</f>
        <v/>
      </c>
      <c r="O288" s="73">
        <f>IF($R288="","",IF(INDEX(Calc!$BD$2:$BD$2001,$R288)="","",INDEX(Calc!$BD$2:$BD$2001,$R288)))</f>
        <v/>
      </c>
      <c r="P288" s="86">
        <f>IF(R288="","",HYPERLINK("#'"&amp;IF(INDEX(Calc!$AS$2:$AS$2001,R288)="R","Recurring Log","Variable Tasks")&amp;"'!J"&amp;INDEX(Calc!$AT$2:$AT$2001,R288),"✎ edit"))</f>
        <v/>
      </c>
      <c r="R288">
        <f>IFERROR(MATCH(SMALL(Calc!$BK$2:$BK$2001,279),Calc!$BK$2:$BK$2001,0),"")</f>
        <v/>
      </c>
    </row>
    <row r="289">
      <c r="B289" s="36">
        <f>IF(R289="","",280)</f>
        <v/>
      </c>
      <c r="C289" s="37">
        <f>IF($R289="","",IF(INDEX(Calc!$AU$2:$AU$2001,$R289)="","",INDEX(Calc!$AU$2:$AU$2001,$R289)))</f>
        <v/>
      </c>
      <c r="D289" s="36">
        <f>IF($R289="","",IF(INDEX(Calc!$AV$2:$AV$2001,$R289)="","",INDEX(Calc!$AV$2:$AV$2001,$R289)))</f>
        <v/>
      </c>
      <c r="E289" s="38">
        <f>IF($R289="","",IF(INDEX(Calc!$AW$2:$AW$2001,$R289)="","",INDEX(Calc!$AW$2:$AW$2001,$R289)))</f>
        <v/>
      </c>
      <c r="F289" s="68">
        <f>IF(OR(C289="",E289=""),"",E289-Setup!$D$7)</f>
        <v/>
      </c>
      <c r="G289" s="74">
        <f>IF($R289="","",IF(INDEX(Calc!$AX$2:$AX$2001,$R289)="","",INDEX(Calc!$AX$2:$AX$2001,$R289)))</f>
        <v/>
      </c>
      <c r="H289" s="74">
        <f>IF($R289="","",IF(INDEX(Calc!$AY$2:$AY$2001,$R289)="","",INDEX(Calc!$AY$2:$AY$2001,$R289)))</f>
        <v/>
      </c>
      <c r="I289" s="36">
        <f>IF(OR(G289="",H289=""),"",TRIM(IF(HOUR(H289-G289)&gt;0,HOUR(H289-G289)&amp;" hr ","")&amp;IF(MINUTE(H289-G289)&gt;0,MINUTE(H289-G289)&amp;" min","")))</f>
        <v/>
      </c>
      <c r="J289" s="36">
        <f>IF($R289="","",IF(INDEX(Calc!$AZ$2:$AZ$2001,$R289)="","",INDEX(Calc!$AZ$2:$AZ$2001,$R289)))</f>
        <v/>
      </c>
      <c r="K289" s="87">
        <f>IF($R289="","",IF(INDEX(Calc!$BE$2:$BE$2001,$R289)="","",INDEX(Calc!$BE$2:$BE$2001,$R289)))</f>
        <v/>
      </c>
      <c r="L289" s="36">
        <f>IF($R289="","",IF(INDEX(Calc!$BA$2:$BA$2001,$R289)="","",INDEX(Calc!$BA$2:$BA$2001,$R289)))</f>
        <v/>
      </c>
      <c r="M289" s="36">
        <f>IF($R289="","",IF(INDEX(Calc!$BB$2:$BB$2001,$R289)="","",INDEX(Calc!$BB$2:$BB$2001,$R289)))</f>
        <v/>
      </c>
      <c r="N289" s="36">
        <f>IF($R289="","",IF(INDEX(Calc!$BC$2:$BC$2001,$R289)="","",INDEX(Calc!$BC$2:$BC$2001,$R289)))</f>
        <v/>
      </c>
      <c r="O289" s="36">
        <f>IF($R289="","",IF(INDEX(Calc!$BD$2:$BD$2001,$R289)="","",INDEX(Calc!$BD$2:$BD$2001,$R289)))</f>
        <v/>
      </c>
      <c r="P289" s="88">
        <f>IF(R289="","",HYPERLINK("#'"&amp;IF(INDEX(Calc!$AS$2:$AS$2001,R289)="R","Recurring Log","Variable Tasks")&amp;"'!J"&amp;INDEX(Calc!$AT$2:$AT$2001,R289),"✎ edit"))</f>
        <v/>
      </c>
      <c r="R289">
        <f>IFERROR(MATCH(SMALL(Calc!$BK$2:$BK$2001,280),Calc!$BK$2:$BK$2001,0),"")</f>
        <v/>
      </c>
    </row>
    <row r="290">
      <c r="B290" s="73">
        <f>IF(R290="","",281)</f>
        <v/>
      </c>
      <c r="C290" s="75">
        <f>IF($R290="","",IF(INDEX(Calc!$AU$2:$AU$2001,$R290)="","",INDEX(Calc!$AU$2:$AU$2001,$R290)))</f>
        <v/>
      </c>
      <c r="D290" s="73">
        <f>IF($R290="","",IF(INDEX(Calc!$AV$2:$AV$2001,$R290)="","",INDEX(Calc!$AV$2:$AV$2001,$R290)))</f>
        <v/>
      </c>
      <c r="E290" s="76">
        <f>IF($R290="","",IF(INDEX(Calc!$AW$2:$AW$2001,$R290)="","",INDEX(Calc!$AW$2:$AW$2001,$R290)))</f>
        <v/>
      </c>
      <c r="F290" s="72">
        <f>IF(OR(C290="",E290=""),"",E290-Setup!$D$7)</f>
        <v/>
      </c>
      <c r="G290" s="77">
        <f>IF($R290="","",IF(INDEX(Calc!$AX$2:$AX$2001,$R290)="","",INDEX(Calc!$AX$2:$AX$2001,$R290)))</f>
        <v/>
      </c>
      <c r="H290" s="77">
        <f>IF($R290="","",IF(INDEX(Calc!$AY$2:$AY$2001,$R290)="","",INDEX(Calc!$AY$2:$AY$2001,$R290)))</f>
        <v/>
      </c>
      <c r="I290" s="73">
        <f>IF(OR(G290="",H290=""),"",TRIM(IF(HOUR(H290-G290)&gt;0,HOUR(H290-G290)&amp;" hr ","")&amp;IF(MINUTE(H290-G290)&gt;0,MINUTE(H290-G290)&amp;" min","")))</f>
        <v/>
      </c>
      <c r="J290" s="73">
        <f>IF($R290="","",IF(INDEX(Calc!$AZ$2:$AZ$2001,$R290)="","",INDEX(Calc!$AZ$2:$AZ$2001,$R290)))</f>
        <v/>
      </c>
      <c r="K290" s="85">
        <f>IF($R290="","",IF(INDEX(Calc!$BE$2:$BE$2001,$R290)="","",INDEX(Calc!$BE$2:$BE$2001,$R290)))</f>
        <v/>
      </c>
      <c r="L290" s="73">
        <f>IF($R290="","",IF(INDEX(Calc!$BA$2:$BA$2001,$R290)="","",INDEX(Calc!$BA$2:$BA$2001,$R290)))</f>
        <v/>
      </c>
      <c r="M290" s="73">
        <f>IF($R290="","",IF(INDEX(Calc!$BB$2:$BB$2001,$R290)="","",INDEX(Calc!$BB$2:$BB$2001,$R290)))</f>
        <v/>
      </c>
      <c r="N290" s="73">
        <f>IF($R290="","",IF(INDEX(Calc!$BC$2:$BC$2001,$R290)="","",INDEX(Calc!$BC$2:$BC$2001,$R290)))</f>
        <v/>
      </c>
      <c r="O290" s="73">
        <f>IF($R290="","",IF(INDEX(Calc!$BD$2:$BD$2001,$R290)="","",INDEX(Calc!$BD$2:$BD$2001,$R290)))</f>
        <v/>
      </c>
      <c r="P290" s="86">
        <f>IF(R290="","",HYPERLINK("#'"&amp;IF(INDEX(Calc!$AS$2:$AS$2001,R290)="R","Recurring Log","Variable Tasks")&amp;"'!J"&amp;INDEX(Calc!$AT$2:$AT$2001,R290),"✎ edit"))</f>
        <v/>
      </c>
      <c r="R290">
        <f>IFERROR(MATCH(SMALL(Calc!$BK$2:$BK$2001,281),Calc!$BK$2:$BK$2001,0),"")</f>
        <v/>
      </c>
    </row>
    <row r="291">
      <c r="B291" s="36">
        <f>IF(R291="","",282)</f>
        <v/>
      </c>
      <c r="C291" s="37">
        <f>IF($R291="","",IF(INDEX(Calc!$AU$2:$AU$2001,$R291)="","",INDEX(Calc!$AU$2:$AU$2001,$R291)))</f>
        <v/>
      </c>
      <c r="D291" s="36">
        <f>IF($R291="","",IF(INDEX(Calc!$AV$2:$AV$2001,$R291)="","",INDEX(Calc!$AV$2:$AV$2001,$R291)))</f>
        <v/>
      </c>
      <c r="E291" s="38">
        <f>IF($R291="","",IF(INDEX(Calc!$AW$2:$AW$2001,$R291)="","",INDEX(Calc!$AW$2:$AW$2001,$R291)))</f>
        <v/>
      </c>
      <c r="F291" s="68">
        <f>IF(OR(C291="",E291=""),"",E291-Setup!$D$7)</f>
        <v/>
      </c>
      <c r="G291" s="74">
        <f>IF($R291="","",IF(INDEX(Calc!$AX$2:$AX$2001,$R291)="","",INDEX(Calc!$AX$2:$AX$2001,$R291)))</f>
        <v/>
      </c>
      <c r="H291" s="74">
        <f>IF($R291="","",IF(INDEX(Calc!$AY$2:$AY$2001,$R291)="","",INDEX(Calc!$AY$2:$AY$2001,$R291)))</f>
        <v/>
      </c>
      <c r="I291" s="36">
        <f>IF(OR(G291="",H291=""),"",TRIM(IF(HOUR(H291-G291)&gt;0,HOUR(H291-G291)&amp;" hr ","")&amp;IF(MINUTE(H291-G291)&gt;0,MINUTE(H291-G291)&amp;" min","")))</f>
        <v/>
      </c>
      <c r="J291" s="36">
        <f>IF($R291="","",IF(INDEX(Calc!$AZ$2:$AZ$2001,$R291)="","",INDEX(Calc!$AZ$2:$AZ$2001,$R291)))</f>
        <v/>
      </c>
      <c r="K291" s="87">
        <f>IF($R291="","",IF(INDEX(Calc!$BE$2:$BE$2001,$R291)="","",INDEX(Calc!$BE$2:$BE$2001,$R291)))</f>
        <v/>
      </c>
      <c r="L291" s="36">
        <f>IF($R291="","",IF(INDEX(Calc!$BA$2:$BA$2001,$R291)="","",INDEX(Calc!$BA$2:$BA$2001,$R291)))</f>
        <v/>
      </c>
      <c r="M291" s="36">
        <f>IF($R291="","",IF(INDEX(Calc!$BB$2:$BB$2001,$R291)="","",INDEX(Calc!$BB$2:$BB$2001,$R291)))</f>
        <v/>
      </c>
      <c r="N291" s="36">
        <f>IF($R291="","",IF(INDEX(Calc!$BC$2:$BC$2001,$R291)="","",INDEX(Calc!$BC$2:$BC$2001,$R291)))</f>
        <v/>
      </c>
      <c r="O291" s="36">
        <f>IF($R291="","",IF(INDEX(Calc!$BD$2:$BD$2001,$R291)="","",INDEX(Calc!$BD$2:$BD$2001,$R291)))</f>
        <v/>
      </c>
      <c r="P291" s="88">
        <f>IF(R291="","",HYPERLINK("#'"&amp;IF(INDEX(Calc!$AS$2:$AS$2001,R291)="R","Recurring Log","Variable Tasks")&amp;"'!J"&amp;INDEX(Calc!$AT$2:$AT$2001,R291),"✎ edit"))</f>
        <v/>
      </c>
      <c r="R291">
        <f>IFERROR(MATCH(SMALL(Calc!$BK$2:$BK$2001,282),Calc!$BK$2:$BK$2001,0),"")</f>
        <v/>
      </c>
    </row>
    <row r="292">
      <c r="B292" s="73">
        <f>IF(R292="","",283)</f>
        <v/>
      </c>
      <c r="C292" s="75">
        <f>IF($R292="","",IF(INDEX(Calc!$AU$2:$AU$2001,$R292)="","",INDEX(Calc!$AU$2:$AU$2001,$R292)))</f>
        <v/>
      </c>
      <c r="D292" s="73">
        <f>IF($R292="","",IF(INDEX(Calc!$AV$2:$AV$2001,$R292)="","",INDEX(Calc!$AV$2:$AV$2001,$R292)))</f>
        <v/>
      </c>
      <c r="E292" s="76">
        <f>IF($R292="","",IF(INDEX(Calc!$AW$2:$AW$2001,$R292)="","",INDEX(Calc!$AW$2:$AW$2001,$R292)))</f>
        <v/>
      </c>
      <c r="F292" s="72">
        <f>IF(OR(C292="",E292=""),"",E292-Setup!$D$7)</f>
        <v/>
      </c>
      <c r="G292" s="77">
        <f>IF($R292="","",IF(INDEX(Calc!$AX$2:$AX$2001,$R292)="","",INDEX(Calc!$AX$2:$AX$2001,$R292)))</f>
        <v/>
      </c>
      <c r="H292" s="77">
        <f>IF($R292="","",IF(INDEX(Calc!$AY$2:$AY$2001,$R292)="","",INDEX(Calc!$AY$2:$AY$2001,$R292)))</f>
        <v/>
      </c>
      <c r="I292" s="73">
        <f>IF(OR(G292="",H292=""),"",TRIM(IF(HOUR(H292-G292)&gt;0,HOUR(H292-G292)&amp;" hr ","")&amp;IF(MINUTE(H292-G292)&gt;0,MINUTE(H292-G292)&amp;" min","")))</f>
        <v/>
      </c>
      <c r="J292" s="73">
        <f>IF($R292="","",IF(INDEX(Calc!$AZ$2:$AZ$2001,$R292)="","",INDEX(Calc!$AZ$2:$AZ$2001,$R292)))</f>
        <v/>
      </c>
      <c r="K292" s="85">
        <f>IF($R292="","",IF(INDEX(Calc!$BE$2:$BE$2001,$R292)="","",INDEX(Calc!$BE$2:$BE$2001,$R292)))</f>
        <v/>
      </c>
      <c r="L292" s="73">
        <f>IF($R292="","",IF(INDEX(Calc!$BA$2:$BA$2001,$R292)="","",INDEX(Calc!$BA$2:$BA$2001,$R292)))</f>
        <v/>
      </c>
      <c r="M292" s="73">
        <f>IF($R292="","",IF(INDEX(Calc!$BB$2:$BB$2001,$R292)="","",INDEX(Calc!$BB$2:$BB$2001,$R292)))</f>
        <v/>
      </c>
      <c r="N292" s="73">
        <f>IF($R292="","",IF(INDEX(Calc!$BC$2:$BC$2001,$R292)="","",INDEX(Calc!$BC$2:$BC$2001,$R292)))</f>
        <v/>
      </c>
      <c r="O292" s="73">
        <f>IF($R292="","",IF(INDEX(Calc!$BD$2:$BD$2001,$R292)="","",INDEX(Calc!$BD$2:$BD$2001,$R292)))</f>
        <v/>
      </c>
      <c r="P292" s="86">
        <f>IF(R292="","",HYPERLINK("#'"&amp;IF(INDEX(Calc!$AS$2:$AS$2001,R292)="R","Recurring Log","Variable Tasks")&amp;"'!J"&amp;INDEX(Calc!$AT$2:$AT$2001,R292),"✎ edit"))</f>
        <v/>
      </c>
      <c r="R292">
        <f>IFERROR(MATCH(SMALL(Calc!$BK$2:$BK$2001,283),Calc!$BK$2:$BK$2001,0),"")</f>
        <v/>
      </c>
    </row>
    <row r="293">
      <c r="B293" s="36">
        <f>IF(R293="","",284)</f>
        <v/>
      </c>
      <c r="C293" s="37">
        <f>IF($R293="","",IF(INDEX(Calc!$AU$2:$AU$2001,$R293)="","",INDEX(Calc!$AU$2:$AU$2001,$R293)))</f>
        <v/>
      </c>
      <c r="D293" s="36">
        <f>IF($R293="","",IF(INDEX(Calc!$AV$2:$AV$2001,$R293)="","",INDEX(Calc!$AV$2:$AV$2001,$R293)))</f>
        <v/>
      </c>
      <c r="E293" s="38">
        <f>IF($R293="","",IF(INDEX(Calc!$AW$2:$AW$2001,$R293)="","",INDEX(Calc!$AW$2:$AW$2001,$R293)))</f>
        <v/>
      </c>
      <c r="F293" s="68">
        <f>IF(OR(C293="",E293=""),"",E293-Setup!$D$7)</f>
        <v/>
      </c>
      <c r="G293" s="74">
        <f>IF($R293="","",IF(INDEX(Calc!$AX$2:$AX$2001,$R293)="","",INDEX(Calc!$AX$2:$AX$2001,$R293)))</f>
        <v/>
      </c>
      <c r="H293" s="74">
        <f>IF($R293="","",IF(INDEX(Calc!$AY$2:$AY$2001,$R293)="","",INDEX(Calc!$AY$2:$AY$2001,$R293)))</f>
        <v/>
      </c>
      <c r="I293" s="36">
        <f>IF(OR(G293="",H293=""),"",TRIM(IF(HOUR(H293-G293)&gt;0,HOUR(H293-G293)&amp;" hr ","")&amp;IF(MINUTE(H293-G293)&gt;0,MINUTE(H293-G293)&amp;" min","")))</f>
        <v/>
      </c>
      <c r="J293" s="36">
        <f>IF($R293="","",IF(INDEX(Calc!$AZ$2:$AZ$2001,$R293)="","",INDEX(Calc!$AZ$2:$AZ$2001,$R293)))</f>
        <v/>
      </c>
      <c r="K293" s="87">
        <f>IF($R293="","",IF(INDEX(Calc!$BE$2:$BE$2001,$R293)="","",INDEX(Calc!$BE$2:$BE$2001,$R293)))</f>
        <v/>
      </c>
      <c r="L293" s="36">
        <f>IF($R293="","",IF(INDEX(Calc!$BA$2:$BA$2001,$R293)="","",INDEX(Calc!$BA$2:$BA$2001,$R293)))</f>
        <v/>
      </c>
      <c r="M293" s="36">
        <f>IF($R293="","",IF(INDEX(Calc!$BB$2:$BB$2001,$R293)="","",INDEX(Calc!$BB$2:$BB$2001,$R293)))</f>
        <v/>
      </c>
      <c r="N293" s="36">
        <f>IF($R293="","",IF(INDEX(Calc!$BC$2:$BC$2001,$R293)="","",INDEX(Calc!$BC$2:$BC$2001,$R293)))</f>
        <v/>
      </c>
      <c r="O293" s="36">
        <f>IF($R293="","",IF(INDEX(Calc!$BD$2:$BD$2001,$R293)="","",INDEX(Calc!$BD$2:$BD$2001,$R293)))</f>
        <v/>
      </c>
      <c r="P293" s="88">
        <f>IF(R293="","",HYPERLINK("#'"&amp;IF(INDEX(Calc!$AS$2:$AS$2001,R293)="R","Recurring Log","Variable Tasks")&amp;"'!J"&amp;INDEX(Calc!$AT$2:$AT$2001,R293),"✎ edit"))</f>
        <v/>
      </c>
      <c r="R293">
        <f>IFERROR(MATCH(SMALL(Calc!$BK$2:$BK$2001,284),Calc!$BK$2:$BK$2001,0),"")</f>
        <v/>
      </c>
    </row>
    <row r="294">
      <c r="B294" s="73">
        <f>IF(R294="","",285)</f>
        <v/>
      </c>
      <c r="C294" s="75">
        <f>IF($R294="","",IF(INDEX(Calc!$AU$2:$AU$2001,$R294)="","",INDEX(Calc!$AU$2:$AU$2001,$R294)))</f>
        <v/>
      </c>
      <c r="D294" s="73">
        <f>IF($R294="","",IF(INDEX(Calc!$AV$2:$AV$2001,$R294)="","",INDEX(Calc!$AV$2:$AV$2001,$R294)))</f>
        <v/>
      </c>
      <c r="E294" s="76">
        <f>IF($R294="","",IF(INDEX(Calc!$AW$2:$AW$2001,$R294)="","",INDEX(Calc!$AW$2:$AW$2001,$R294)))</f>
        <v/>
      </c>
      <c r="F294" s="72">
        <f>IF(OR(C294="",E294=""),"",E294-Setup!$D$7)</f>
        <v/>
      </c>
      <c r="G294" s="77">
        <f>IF($R294="","",IF(INDEX(Calc!$AX$2:$AX$2001,$R294)="","",INDEX(Calc!$AX$2:$AX$2001,$R294)))</f>
        <v/>
      </c>
      <c r="H294" s="77">
        <f>IF($R294="","",IF(INDEX(Calc!$AY$2:$AY$2001,$R294)="","",INDEX(Calc!$AY$2:$AY$2001,$R294)))</f>
        <v/>
      </c>
      <c r="I294" s="73">
        <f>IF(OR(G294="",H294=""),"",TRIM(IF(HOUR(H294-G294)&gt;0,HOUR(H294-G294)&amp;" hr ","")&amp;IF(MINUTE(H294-G294)&gt;0,MINUTE(H294-G294)&amp;" min","")))</f>
        <v/>
      </c>
      <c r="J294" s="73">
        <f>IF($R294="","",IF(INDEX(Calc!$AZ$2:$AZ$2001,$R294)="","",INDEX(Calc!$AZ$2:$AZ$2001,$R294)))</f>
        <v/>
      </c>
      <c r="K294" s="85">
        <f>IF($R294="","",IF(INDEX(Calc!$BE$2:$BE$2001,$R294)="","",INDEX(Calc!$BE$2:$BE$2001,$R294)))</f>
        <v/>
      </c>
      <c r="L294" s="73">
        <f>IF($R294="","",IF(INDEX(Calc!$BA$2:$BA$2001,$R294)="","",INDEX(Calc!$BA$2:$BA$2001,$R294)))</f>
        <v/>
      </c>
      <c r="M294" s="73">
        <f>IF($R294="","",IF(INDEX(Calc!$BB$2:$BB$2001,$R294)="","",INDEX(Calc!$BB$2:$BB$2001,$R294)))</f>
        <v/>
      </c>
      <c r="N294" s="73">
        <f>IF($R294="","",IF(INDEX(Calc!$BC$2:$BC$2001,$R294)="","",INDEX(Calc!$BC$2:$BC$2001,$R294)))</f>
        <v/>
      </c>
      <c r="O294" s="73">
        <f>IF($R294="","",IF(INDEX(Calc!$BD$2:$BD$2001,$R294)="","",INDEX(Calc!$BD$2:$BD$2001,$R294)))</f>
        <v/>
      </c>
      <c r="P294" s="86">
        <f>IF(R294="","",HYPERLINK("#'"&amp;IF(INDEX(Calc!$AS$2:$AS$2001,R294)="R","Recurring Log","Variable Tasks")&amp;"'!J"&amp;INDEX(Calc!$AT$2:$AT$2001,R294),"✎ edit"))</f>
        <v/>
      </c>
      <c r="R294">
        <f>IFERROR(MATCH(SMALL(Calc!$BK$2:$BK$2001,285),Calc!$BK$2:$BK$2001,0),"")</f>
        <v/>
      </c>
    </row>
    <row r="295">
      <c r="B295" s="36">
        <f>IF(R295="","",286)</f>
        <v/>
      </c>
      <c r="C295" s="37">
        <f>IF($R295="","",IF(INDEX(Calc!$AU$2:$AU$2001,$R295)="","",INDEX(Calc!$AU$2:$AU$2001,$R295)))</f>
        <v/>
      </c>
      <c r="D295" s="36">
        <f>IF($R295="","",IF(INDEX(Calc!$AV$2:$AV$2001,$R295)="","",INDEX(Calc!$AV$2:$AV$2001,$R295)))</f>
        <v/>
      </c>
      <c r="E295" s="38">
        <f>IF($R295="","",IF(INDEX(Calc!$AW$2:$AW$2001,$R295)="","",INDEX(Calc!$AW$2:$AW$2001,$R295)))</f>
        <v/>
      </c>
      <c r="F295" s="68">
        <f>IF(OR(C295="",E295=""),"",E295-Setup!$D$7)</f>
        <v/>
      </c>
      <c r="G295" s="74">
        <f>IF($R295="","",IF(INDEX(Calc!$AX$2:$AX$2001,$R295)="","",INDEX(Calc!$AX$2:$AX$2001,$R295)))</f>
        <v/>
      </c>
      <c r="H295" s="74">
        <f>IF($R295="","",IF(INDEX(Calc!$AY$2:$AY$2001,$R295)="","",INDEX(Calc!$AY$2:$AY$2001,$R295)))</f>
        <v/>
      </c>
      <c r="I295" s="36">
        <f>IF(OR(G295="",H295=""),"",TRIM(IF(HOUR(H295-G295)&gt;0,HOUR(H295-G295)&amp;" hr ","")&amp;IF(MINUTE(H295-G295)&gt;0,MINUTE(H295-G295)&amp;" min","")))</f>
        <v/>
      </c>
      <c r="J295" s="36">
        <f>IF($R295="","",IF(INDEX(Calc!$AZ$2:$AZ$2001,$R295)="","",INDEX(Calc!$AZ$2:$AZ$2001,$R295)))</f>
        <v/>
      </c>
      <c r="K295" s="87">
        <f>IF($R295="","",IF(INDEX(Calc!$BE$2:$BE$2001,$R295)="","",INDEX(Calc!$BE$2:$BE$2001,$R295)))</f>
        <v/>
      </c>
      <c r="L295" s="36">
        <f>IF($R295="","",IF(INDEX(Calc!$BA$2:$BA$2001,$R295)="","",INDEX(Calc!$BA$2:$BA$2001,$R295)))</f>
        <v/>
      </c>
      <c r="M295" s="36">
        <f>IF($R295="","",IF(INDEX(Calc!$BB$2:$BB$2001,$R295)="","",INDEX(Calc!$BB$2:$BB$2001,$R295)))</f>
        <v/>
      </c>
      <c r="N295" s="36">
        <f>IF($R295="","",IF(INDEX(Calc!$BC$2:$BC$2001,$R295)="","",INDEX(Calc!$BC$2:$BC$2001,$R295)))</f>
        <v/>
      </c>
      <c r="O295" s="36">
        <f>IF($R295="","",IF(INDEX(Calc!$BD$2:$BD$2001,$R295)="","",INDEX(Calc!$BD$2:$BD$2001,$R295)))</f>
        <v/>
      </c>
      <c r="P295" s="88">
        <f>IF(R295="","",HYPERLINK("#'"&amp;IF(INDEX(Calc!$AS$2:$AS$2001,R295)="R","Recurring Log","Variable Tasks")&amp;"'!J"&amp;INDEX(Calc!$AT$2:$AT$2001,R295),"✎ edit"))</f>
        <v/>
      </c>
      <c r="R295">
        <f>IFERROR(MATCH(SMALL(Calc!$BK$2:$BK$2001,286),Calc!$BK$2:$BK$2001,0),"")</f>
        <v/>
      </c>
    </row>
    <row r="296">
      <c r="B296" s="73">
        <f>IF(R296="","",287)</f>
        <v/>
      </c>
      <c r="C296" s="75">
        <f>IF($R296="","",IF(INDEX(Calc!$AU$2:$AU$2001,$R296)="","",INDEX(Calc!$AU$2:$AU$2001,$R296)))</f>
        <v/>
      </c>
      <c r="D296" s="73">
        <f>IF($R296="","",IF(INDEX(Calc!$AV$2:$AV$2001,$R296)="","",INDEX(Calc!$AV$2:$AV$2001,$R296)))</f>
        <v/>
      </c>
      <c r="E296" s="76">
        <f>IF($R296="","",IF(INDEX(Calc!$AW$2:$AW$2001,$R296)="","",INDEX(Calc!$AW$2:$AW$2001,$R296)))</f>
        <v/>
      </c>
      <c r="F296" s="72">
        <f>IF(OR(C296="",E296=""),"",E296-Setup!$D$7)</f>
        <v/>
      </c>
      <c r="G296" s="77">
        <f>IF($R296="","",IF(INDEX(Calc!$AX$2:$AX$2001,$R296)="","",INDEX(Calc!$AX$2:$AX$2001,$R296)))</f>
        <v/>
      </c>
      <c r="H296" s="77">
        <f>IF($R296="","",IF(INDEX(Calc!$AY$2:$AY$2001,$R296)="","",INDEX(Calc!$AY$2:$AY$2001,$R296)))</f>
        <v/>
      </c>
      <c r="I296" s="73">
        <f>IF(OR(G296="",H296=""),"",TRIM(IF(HOUR(H296-G296)&gt;0,HOUR(H296-G296)&amp;" hr ","")&amp;IF(MINUTE(H296-G296)&gt;0,MINUTE(H296-G296)&amp;" min","")))</f>
        <v/>
      </c>
      <c r="J296" s="73">
        <f>IF($R296="","",IF(INDEX(Calc!$AZ$2:$AZ$2001,$R296)="","",INDEX(Calc!$AZ$2:$AZ$2001,$R296)))</f>
        <v/>
      </c>
      <c r="K296" s="85">
        <f>IF($R296="","",IF(INDEX(Calc!$BE$2:$BE$2001,$R296)="","",INDEX(Calc!$BE$2:$BE$2001,$R296)))</f>
        <v/>
      </c>
      <c r="L296" s="73">
        <f>IF($R296="","",IF(INDEX(Calc!$BA$2:$BA$2001,$R296)="","",INDEX(Calc!$BA$2:$BA$2001,$R296)))</f>
        <v/>
      </c>
      <c r="M296" s="73">
        <f>IF($R296="","",IF(INDEX(Calc!$BB$2:$BB$2001,$R296)="","",INDEX(Calc!$BB$2:$BB$2001,$R296)))</f>
        <v/>
      </c>
      <c r="N296" s="73">
        <f>IF($R296="","",IF(INDEX(Calc!$BC$2:$BC$2001,$R296)="","",INDEX(Calc!$BC$2:$BC$2001,$R296)))</f>
        <v/>
      </c>
      <c r="O296" s="73">
        <f>IF($R296="","",IF(INDEX(Calc!$BD$2:$BD$2001,$R296)="","",INDEX(Calc!$BD$2:$BD$2001,$R296)))</f>
        <v/>
      </c>
      <c r="P296" s="86">
        <f>IF(R296="","",HYPERLINK("#'"&amp;IF(INDEX(Calc!$AS$2:$AS$2001,R296)="R","Recurring Log","Variable Tasks")&amp;"'!J"&amp;INDEX(Calc!$AT$2:$AT$2001,R296),"✎ edit"))</f>
        <v/>
      </c>
      <c r="R296">
        <f>IFERROR(MATCH(SMALL(Calc!$BK$2:$BK$2001,287),Calc!$BK$2:$BK$2001,0),"")</f>
        <v/>
      </c>
    </row>
    <row r="297">
      <c r="B297" s="36">
        <f>IF(R297="","",288)</f>
        <v/>
      </c>
      <c r="C297" s="37">
        <f>IF($R297="","",IF(INDEX(Calc!$AU$2:$AU$2001,$R297)="","",INDEX(Calc!$AU$2:$AU$2001,$R297)))</f>
        <v/>
      </c>
      <c r="D297" s="36">
        <f>IF($R297="","",IF(INDEX(Calc!$AV$2:$AV$2001,$R297)="","",INDEX(Calc!$AV$2:$AV$2001,$R297)))</f>
        <v/>
      </c>
      <c r="E297" s="38">
        <f>IF($R297="","",IF(INDEX(Calc!$AW$2:$AW$2001,$R297)="","",INDEX(Calc!$AW$2:$AW$2001,$R297)))</f>
        <v/>
      </c>
      <c r="F297" s="68">
        <f>IF(OR(C297="",E297=""),"",E297-Setup!$D$7)</f>
        <v/>
      </c>
      <c r="G297" s="74">
        <f>IF($R297="","",IF(INDEX(Calc!$AX$2:$AX$2001,$R297)="","",INDEX(Calc!$AX$2:$AX$2001,$R297)))</f>
        <v/>
      </c>
      <c r="H297" s="74">
        <f>IF($R297="","",IF(INDEX(Calc!$AY$2:$AY$2001,$R297)="","",INDEX(Calc!$AY$2:$AY$2001,$R297)))</f>
        <v/>
      </c>
      <c r="I297" s="36">
        <f>IF(OR(G297="",H297=""),"",TRIM(IF(HOUR(H297-G297)&gt;0,HOUR(H297-G297)&amp;" hr ","")&amp;IF(MINUTE(H297-G297)&gt;0,MINUTE(H297-G297)&amp;" min","")))</f>
        <v/>
      </c>
      <c r="J297" s="36">
        <f>IF($R297="","",IF(INDEX(Calc!$AZ$2:$AZ$2001,$R297)="","",INDEX(Calc!$AZ$2:$AZ$2001,$R297)))</f>
        <v/>
      </c>
      <c r="K297" s="87">
        <f>IF($R297="","",IF(INDEX(Calc!$BE$2:$BE$2001,$R297)="","",INDEX(Calc!$BE$2:$BE$2001,$R297)))</f>
        <v/>
      </c>
      <c r="L297" s="36">
        <f>IF($R297="","",IF(INDEX(Calc!$BA$2:$BA$2001,$R297)="","",INDEX(Calc!$BA$2:$BA$2001,$R297)))</f>
        <v/>
      </c>
      <c r="M297" s="36">
        <f>IF($R297="","",IF(INDEX(Calc!$BB$2:$BB$2001,$R297)="","",INDEX(Calc!$BB$2:$BB$2001,$R297)))</f>
        <v/>
      </c>
      <c r="N297" s="36">
        <f>IF($R297="","",IF(INDEX(Calc!$BC$2:$BC$2001,$R297)="","",INDEX(Calc!$BC$2:$BC$2001,$R297)))</f>
        <v/>
      </c>
      <c r="O297" s="36">
        <f>IF($R297="","",IF(INDEX(Calc!$BD$2:$BD$2001,$R297)="","",INDEX(Calc!$BD$2:$BD$2001,$R297)))</f>
        <v/>
      </c>
      <c r="P297" s="88">
        <f>IF(R297="","",HYPERLINK("#'"&amp;IF(INDEX(Calc!$AS$2:$AS$2001,R297)="R","Recurring Log","Variable Tasks")&amp;"'!J"&amp;INDEX(Calc!$AT$2:$AT$2001,R297),"✎ edit"))</f>
        <v/>
      </c>
      <c r="R297">
        <f>IFERROR(MATCH(SMALL(Calc!$BK$2:$BK$2001,288),Calc!$BK$2:$BK$2001,0),"")</f>
        <v/>
      </c>
    </row>
    <row r="298">
      <c r="B298" s="73">
        <f>IF(R298="","",289)</f>
        <v/>
      </c>
      <c r="C298" s="75">
        <f>IF($R298="","",IF(INDEX(Calc!$AU$2:$AU$2001,$R298)="","",INDEX(Calc!$AU$2:$AU$2001,$R298)))</f>
        <v/>
      </c>
      <c r="D298" s="73">
        <f>IF($R298="","",IF(INDEX(Calc!$AV$2:$AV$2001,$R298)="","",INDEX(Calc!$AV$2:$AV$2001,$R298)))</f>
        <v/>
      </c>
      <c r="E298" s="76">
        <f>IF($R298="","",IF(INDEX(Calc!$AW$2:$AW$2001,$R298)="","",INDEX(Calc!$AW$2:$AW$2001,$R298)))</f>
        <v/>
      </c>
      <c r="F298" s="72">
        <f>IF(OR(C298="",E298=""),"",E298-Setup!$D$7)</f>
        <v/>
      </c>
      <c r="G298" s="77">
        <f>IF($R298="","",IF(INDEX(Calc!$AX$2:$AX$2001,$R298)="","",INDEX(Calc!$AX$2:$AX$2001,$R298)))</f>
        <v/>
      </c>
      <c r="H298" s="77">
        <f>IF($R298="","",IF(INDEX(Calc!$AY$2:$AY$2001,$R298)="","",INDEX(Calc!$AY$2:$AY$2001,$R298)))</f>
        <v/>
      </c>
      <c r="I298" s="73">
        <f>IF(OR(G298="",H298=""),"",TRIM(IF(HOUR(H298-G298)&gt;0,HOUR(H298-G298)&amp;" hr ","")&amp;IF(MINUTE(H298-G298)&gt;0,MINUTE(H298-G298)&amp;" min","")))</f>
        <v/>
      </c>
      <c r="J298" s="73">
        <f>IF($R298="","",IF(INDEX(Calc!$AZ$2:$AZ$2001,$R298)="","",INDEX(Calc!$AZ$2:$AZ$2001,$R298)))</f>
        <v/>
      </c>
      <c r="K298" s="85">
        <f>IF($R298="","",IF(INDEX(Calc!$BE$2:$BE$2001,$R298)="","",INDEX(Calc!$BE$2:$BE$2001,$R298)))</f>
        <v/>
      </c>
      <c r="L298" s="73">
        <f>IF($R298="","",IF(INDEX(Calc!$BA$2:$BA$2001,$R298)="","",INDEX(Calc!$BA$2:$BA$2001,$R298)))</f>
        <v/>
      </c>
      <c r="M298" s="73">
        <f>IF($R298="","",IF(INDEX(Calc!$BB$2:$BB$2001,$R298)="","",INDEX(Calc!$BB$2:$BB$2001,$R298)))</f>
        <v/>
      </c>
      <c r="N298" s="73">
        <f>IF($R298="","",IF(INDEX(Calc!$BC$2:$BC$2001,$R298)="","",INDEX(Calc!$BC$2:$BC$2001,$R298)))</f>
        <v/>
      </c>
      <c r="O298" s="73">
        <f>IF($R298="","",IF(INDEX(Calc!$BD$2:$BD$2001,$R298)="","",INDEX(Calc!$BD$2:$BD$2001,$R298)))</f>
        <v/>
      </c>
      <c r="P298" s="86">
        <f>IF(R298="","",HYPERLINK("#'"&amp;IF(INDEX(Calc!$AS$2:$AS$2001,R298)="R","Recurring Log","Variable Tasks")&amp;"'!J"&amp;INDEX(Calc!$AT$2:$AT$2001,R298),"✎ edit"))</f>
        <v/>
      </c>
      <c r="R298">
        <f>IFERROR(MATCH(SMALL(Calc!$BK$2:$BK$2001,289),Calc!$BK$2:$BK$2001,0),"")</f>
        <v/>
      </c>
    </row>
    <row r="299">
      <c r="B299" s="36">
        <f>IF(R299="","",290)</f>
        <v/>
      </c>
      <c r="C299" s="37">
        <f>IF($R299="","",IF(INDEX(Calc!$AU$2:$AU$2001,$R299)="","",INDEX(Calc!$AU$2:$AU$2001,$R299)))</f>
        <v/>
      </c>
      <c r="D299" s="36">
        <f>IF($R299="","",IF(INDEX(Calc!$AV$2:$AV$2001,$R299)="","",INDEX(Calc!$AV$2:$AV$2001,$R299)))</f>
        <v/>
      </c>
      <c r="E299" s="38">
        <f>IF($R299="","",IF(INDEX(Calc!$AW$2:$AW$2001,$R299)="","",INDEX(Calc!$AW$2:$AW$2001,$R299)))</f>
        <v/>
      </c>
      <c r="F299" s="68">
        <f>IF(OR(C299="",E299=""),"",E299-Setup!$D$7)</f>
        <v/>
      </c>
      <c r="G299" s="74">
        <f>IF($R299="","",IF(INDEX(Calc!$AX$2:$AX$2001,$R299)="","",INDEX(Calc!$AX$2:$AX$2001,$R299)))</f>
        <v/>
      </c>
      <c r="H299" s="74">
        <f>IF($R299="","",IF(INDEX(Calc!$AY$2:$AY$2001,$R299)="","",INDEX(Calc!$AY$2:$AY$2001,$R299)))</f>
        <v/>
      </c>
      <c r="I299" s="36">
        <f>IF(OR(G299="",H299=""),"",TRIM(IF(HOUR(H299-G299)&gt;0,HOUR(H299-G299)&amp;" hr ","")&amp;IF(MINUTE(H299-G299)&gt;0,MINUTE(H299-G299)&amp;" min","")))</f>
        <v/>
      </c>
      <c r="J299" s="36">
        <f>IF($R299="","",IF(INDEX(Calc!$AZ$2:$AZ$2001,$R299)="","",INDEX(Calc!$AZ$2:$AZ$2001,$R299)))</f>
        <v/>
      </c>
      <c r="K299" s="87">
        <f>IF($R299="","",IF(INDEX(Calc!$BE$2:$BE$2001,$R299)="","",INDEX(Calc!$BE$2:$BE$2001,$R299)))</f>
        <v/>
      </c>
      <c r="L299" s="36">
        <f>IF($R299="","",IF(INDEX(Calc!$BA$2:$BA$2001,$R299)="","",INDEX(Calc!$BA$2:$BA$2001,$R299)))</f>
        <v/>
      </c>
      <c r="M299" s="36">
        <f>IF($R299="","",IF(INDEX(Calc!$BB$2:$BB$2001,$R299)="","",INDEX(Calc!$BB$2:$BB$2001,$R299)))</f>
        <v/>
      </c>
      <c r="N299" s="36">
        <f>IF($R299="","",IF(INDEX(Calc!$BC$2:$BC$2001,$R299)="","",INDEX(Calc!$BC$2:$BC$2001,$R299)))</f>
        <v/>
      </c>
      <c r="O299" s="36">
        <f>IF($R299="","",IF(INDEX(Calc!$BD$2:$BD$2001,$R299)="","",INDEX(Calc!$BD$2:$BD$2001,$R299)))</f>
        <v/>
      </c>
      <c r="P299" s="88">
        <f>IF(R299="","",HYPERLINK("#'"&amp;IF(INDEX(Calc!$AS$2:$AS$2001,R299)="R","Recurring Log","Variable Tasks")&amp;"'!J"&amp;INDEX(Calc!$AT$2:$AT$2001,R299),"✎ edit"))</f>
        <v/>
      </c>
      <c r="R299">
        <f>IFERROR(MATCH(SMALL(Calc!$BK$2:$BK$2001,290),Calc!$BK$2:$BK$2001,0),"")</f>
        <v/>
      </c>
    </row>
    <row r="300">
      <c r="B300" s="73">
        <f>IF(R300="","",291)</f>
        <v/>
      </c>
      <c r="C300" s="75">
        <f>IF($R300="","",IF(INDEX(Calc!$AU$2:$AU$2001,$R300)="","",INDEX(Calc!$AU$2:$AU$2001,$R300)))</f>
        <v/>
      </c>
      <c r="D300" s="73">
        <f>IF($R300="","",IF(INDEX(Calc!$AV$2:$AV$2001,$R300)="","",INDEX(Calc!$AV$2:$AV$2001,$R300)))</f>
        <v/>
      </c>
      <c r="E300" s="76">
        <f>IF($R300="","",IF(INDEX(Calc!$AW$2:$AW$2001,$R300)="","",INDEX(Calc!$AW$2:$AW$2001,$R300)))</f>
        <v/>
      </c>
      <c r="F300" s="72">
        <f>IF(OR(C300="",E300=""),"",E300-Setup!$D$7)</f>
        <v/>
      </c>
      <c r="G300" s="77">
        <f>IF($R300="","",IF(INDEX(Calc!$AX$2:$AX$2001,$R300)="","",INDEX(Calc!$AX$2:$AX$2001,$R300)))</f>
        <v/>
      </c>
      <c r="H300" s="77">
        <f>IF($R300="","",IF(INDEX(Calc!$AY$2:$AY$2001,$R300)="","",INDEX(Calc!$AY$2:$AY$2001,$R300)))</f>
        <v/>
      </c>
      <c r="I300" s="73">
        <f>IF(OR(G300="",H300=""),"",TRIM(IF(HOUR(H300-G300)&gt;0,HOUR(H300-G300)&amp;" hr ","")&amp;IF(MINUTE(H300-G300)&gt;0,MINUTE(H300-G300)&amp;" min","")))</f>
        <v/>
      </c>
      <c r="J300" s="73">
        <f>IF($R300="","",IF(INDEX(Calc!$AZ$2:$AZ$2001,$R300)="","",INDEX(Calc!$AZ$2:$AZ$2001,$R300)))</f>
        <v/>
      </c>
      <c r="K300" s="85">
        <f>IF($R300="","",IF(INDEX(Calc!$BE$2:$BE$2001,$R300)="","",INDEX(Calc!$BE$2:$BE$2001,$R300)))</f>
        <v/>
      </c>
      <c r="L300" s="73">
        <f>IF($R300="","",IF(INDEX(Calc!$BA$2:$BA$2001,$R300)="","",INDEX(Calc!$BA$2:$BA$2001,$R300)))</f>
        <v/>
      </c>
      <c r="M300" s="73">
        <f>IF($R300="","",IF(INDEX(Calc!$BB$2:$BB$2001,$R300)="","",INDEX(Calc!$BB$2:$BB$2001,$R300)))</f>
        <v/>
      </c>
      <c r="N300" s="73">
        <f>IF($R300="","",IF(INDEX(Calc!$BC$2:$BC$2001,$R300)="","",INDEX(Calc!$BC$2:$BC$2001,$R300)))</f>
        <v/>
      </c>
      <c r="O300" s="73">
        <f>IF($R300="","",IF(INDEX(Calc!$BD$2:$BD$2001,$R300)="","",INDEX(Calc!$BD$2:$BD$2001,$R300)))</f>
        <v/>
      </c>
      <c r="P300" s="86">
        <f>IF(R300="","",HYPERLINK("#'"&amp;IF(INDEX(Calc!$AS$2:$AS$2001,R300)="R","Recurring Log","Variable Tasks")&amp;"'!J"&amp;INDEX(Calc!$AT$2:$AT$2001,R300),"✎ edit"))</f>
        <v/>
      </c>
      <c r="R300">
        <f>IFERROR(MATCH(SMALL(Calc!$BK$2:$BK$2001,291),Calc!$BK$2:$BK$2001,0),"")</f>
        <v/>
      </c>
    </row>
    <row r="301">
      <c r="B301" s="36">
        <f>IF(R301="","",292)</f>
        <v/>
      </c>
      <c r="C301" s="37">
        <f>IF($R301="","",IF(INDEX(Calc!$AU$2:$AU$2001,$R301)="","",INDEX(Calc!$AU$2:$AU$2001,$R301)))</f>
        <v/>
      </c>
      <c r="D301" s="36">
        <f>IF($R301="","",IF(INDEX(Calc!$AV$2:$AV$2001,$R301)="","",INDEX(Calc!$AV$2:$AV$2001,$R301)))</f>
        <v/>
      </c>
      <c r="E301" s="38">
        <f>IF($R301="","",IF(INDEX(Calc!$AW$2:$AW$2001,$R301)="","",INDEX(Calc!$AW$2:$AW$2001,$R301)))</f>
        <v/>
      </c>
      <c r="F301" s="68">
        <f>IF(OR(C301="",E301=""),"",E301-Setup!$D$7)</f>
        <v/>
      </c>
      <c r="G301" s="74">
        <f>IF($R301="","",IF(INDEX(Calc!$AX$2:$AX$2001,$R301)="","",INDEX(Calc!$AX$2:$AX$2001,$R301)))</f>
        <v/>
      </c>
      <c r="H301" s="74">
        <f>IF($R301="","",IF(INDEX(Calc!$AY$2:$AY$2001,$R301)="","",INDEX(Calc!$AY$2:$AY$2001,$R301)))</f>
        <v/>
      </c>
      <c r="I301" s="36">
        <f>IF(OR(G301="",H301=""),"",TRIM(IF(HOUR(H301-G301)&gt;0,HOUR(H301-G301)&amp;" hr ","")&amp;IF(MINUTE(H301-G301)&gt;0,MINUTE(H301-G301)&amp;" min","")))</f>
        <v/>
      </c>
      <c r="J301" s="36">
        <f>IF($R301="","",IF(INDEX(Calc!$AZ$2:$AZ$2001,$R301)="","",INDEX(Calc!$AZ$2:$AZ$2001,$R301)))</f>
        <v/>
      </c>
      <c r="K301" s="87">
        <f>IF($R301="","",IF(INDEX(Calc!$BE$2:$BE$2001,$R301)="","",INDEX(Calc!$BE$2:$BE$2001,$R301)))</f>
        <v/>
      </c>
      <c r="L301" s="36">
        <f>IF($R301="","",IF(INDEX(Calc!$BA$2:$BA$2001,$R301)="","",INDEX(Calc!$BA$2:$BA$2001,$R301)))</f>
        <v/>
      </c>
      <c r="M301" s="36">
        <f>IF($R301="","",IF(INDEX(Calc!$BB$2:$BB$2001,$R301)="","",INDEX(Calc!$BB$2:$BB$2001,$R301)))</f>
        <v/>
      </c>
      <c r="N301" s="36">
        <f>IF($R301="","",IF(INDEX(Calc!$BC$2:$BC$2001,$R301)="","",INDEX(Calc!$BC$2:$BC$2001,$R301)))</f>
        <v/>
      </c>
      <c r="O301" s="36">
        <f>IF($R301="","",IF(INDEX(Calc!$BD$2:$BD$2001,$R301)="","",INDEX(Calc!$BD$2:$BD$2001,$R301)))</f>
        <v/>
      </c>
      <c r="P301" s="88">
        <f>IF(R301="","",HYPERLINK("#'"&amp;IF(INDEX(Calc!$AS$2:$AS$2001,R301)="R","Recurring Log","Variable Tasks")&amp;"'!J"&amp;INDEX(Calc!$AT$2:$AT$2001,R301),"✎ edit"))</f>
        <v/>
      </c>
      <c r="R301">
        <f>IFERROR(MATCH(SMALL(Calc!$BK$2:$BK$2001,292),Calc!$BK$2:$BK$2001,0),"")</f>
        <v/>
      </c>
    </row>
    <row r="302">
      <c r="B302" s="73">
        <f>IF(R302="","",293)</f>
        <v/>
      </c>
      <c r="C302" s="75">
        <f>IF($R302="","",IF(INDEX(Calc!$AU$2:$AU$2001,$R302)="","",INDEX(Calc!$AU$2:$AU$2001,$R302)))</f>
        <v/>
      </c>
      <c r="D302" s="73">
        <f>IF($R302="","",IF(INDEX(Calc!$AV$2:$AV$2001,$R302)="","",INDEX(Calc!$AV$2:$AV$2001,$R302)))</f>
        <v/>
      </c>
      <c r="E302" s="76">
        <f>IF($R302="","",IF(INDEX(Calc!$AW$2:$AW$2001,$R302)="","",INDEX(Calc!$AW$2:$AW$2001,$R302)))</f>
        <v/>
      </c>
      <c r="F302" s="72">
        <f>IF(OR(C302="",E302=""),"",E302-Setup!$D$7)</f>
        <v/>
      </c>
      <c r="G302" s="77">
        <f>IF($R302="","",IF(INDEX(Calc!$AX$2:$AX$2001,$R302)="","",INDEX(Calc!$AX$2:$AX$2001,$R302)))</f>
        <v/>
      </c>
      <c r="H302" s="77">
        <f>IF($R302="","",IF(INDEX(Calc!$AY$2:$AY$2001,$R302)="","",INDEX(Calc!$AY$2:$AY$2001,$R302)))</f>
        <v/>
      </c>
      <c r="I302" s="73">
        <f>IF(OR(G302="",H302=""),"",TRIM(IF(HOUR(H302-G302)&gt;0,HOUR(H302-G302)&amp;" hr ","")&amp;IF(MINUTE(H302-G302)&gt;0,MINUTE(H302-G302)&amp;" min","")))</f>
        <v/>
      </c>
      <c r="J302" s="73">
        <f>IF($R302="","",IF(INDEX(Calc!$AZ$2:$AZ$2001,$R302)="","",INDEX(Calc!$AZ$2:$AZ$2001,$R302)))</f>
        <v/>
      </c>
      <c r="K302" s="85">
        <f>IF($R302="","",IF(INDEX(Calc!$BE$2:$BE$2001,$R302)="","",INDEX(Calc!$BE$2:$BE$2001,$R302)))</f>
        <v/>
      </c>
      <c r="L302" s="73">
        <f>IF($R302="","",IF(INDEX(Calc!$BA$2:$BA$2001,$R302)="","",INDEX(Calc!$BA$2:$BA$2001,$R302)))</f>
        <v/>
      </c>
      <c r="M302" s="73">
        <f>IF($R302="","",IF(INDEX(Calc!$BB$2:$BB$2001,$R302)="","",INDEX(Calc!$BB$2:$BB$2001,$R302)))</f>
        <v/>
      </c>
      <c r="N302" s="73">
        <f>IF($R302="","",IF(INDEX(Calc!$BC$2:$BC$2001,$R302)="","",INDEX(Calc!$BC$2:$BC$2001,$R302)))</f>
        <v/>
      </c>
      <c r="O302" s="73">
        <f>IF($R302="","",IF(INDEX(Calc!$BD$2:$BD$2001,$R302)="","",INDEX(Calc!$BD$2:$BD$2001,$R302)))</f>
        <v/>
      </c>
      <c r="P302" s="86">
        <f>IF(R302="","",HYPERLINK("#'"&amp;IF(INDEX(Calc!$AS$2:$AS$2001,R302)="R","Recurring Log","Variable Tasks")&amp;"'!J"&amp;INDEX(Calc!$AT$2:$AT$2001,R302),"✎ edit"))</f>
        <v/>
      </c>
      <c r="R302">
        <f>IFERROR(MATCH(SMALL(Calc!$BK$2:$BK$2001,293),Calc!$BK$2:$BK$2001,0),"")</f>
        <v/>
      </c>
    </row>
    <row r="303">
      <c r="B303" s="36">
        <f>IF(R303="","",294)</f>
        <v/>
      </c>
      <c r="C303" s="37">
        <f>IF($R303="","",IF(INDEX(Calc!$AU$2:$AU$2001,$R303)="","",INDEX(Calc!$AU$2:$AU$2001,$R303)))</f>
        <v/>
      </c>
      <c r="D303" s="36">
        <f>IF($R303="","",IF(INDEX(Calc!$AV$2:$AV$2001,$R303)="","",INDEX(Calc!$AV$2:$AV$2001,$R303)))</f>
        <v/>
      </c>
      <c r="E303" s="38">
        <f>IF($R303="","",IF(INDEX(Calc!$AW$2:$AW$2001,$R303)="","",INDEX(Calc!$AW$2:$AW$2001,$R303)))</f>
        <v/>
      </c>
      <c r="F303" s="68">
        <f>IF(OR(C303="",E303=""),"",E303-Setup!$D$7)</f>
        <v/>
      </c>
      <c r="G303" s="74">
        <f>IF($R303="","",IF(INDEX(Calc!$AX$2:$AX$2001,$R303)="","",INDEX(Calc!$AX$2:$AX$2001,$R303)))</f>
        <v/>
      </c>
      <c r="H303" s="74">
        <f>IF($R303="","",IF(INDEX(Calc!$AY$2:$AY$2001,$R303)="","",INDEX(Calc!$AY$2:$AY$2001,$R303)))</f>
        <v/>
      </c>
      <c r="I303" s="36">
        <f>IF(OR(G303="",H303=""),"",TRIM(IF(HOUR(H303-G303)&gt;0,HOUR(H303-G303)&amp;" hr ","")&amp;IF(MINUTE(H303-G303)&gt;0,MINUTE(H303-G303)&amp;" min","")))</f>
        <v/>
      </c>
      <c r="J303" s="36">
        <f>IF($R303="","",IF(INDEX(Calc!$AZ$2:$AZ$2001,$R303)="","",INDEX(Calc!$AZ$2:$AZ$2001,$R303)))</f>
        <v/>
      </c>
      <c r="K303" s="87">
        <f>IF($R303="","",IF(INDEX(Calc!$BE$2:$BE$2001,$R303)="","",INDEX(Calc!$BE$2:$BE$2001,$R303)))</f>
        <v/>
      </c>
      <c r="L303" s="36">
        <f>IF($R303="","",IF(INDEX(Calc!$BA$2:$BA$2001,$R303)="","",INDEX(Calc!$BA$2:$BA$2001,$R303)))</f>
        <v/>
      </c>
      <c r="M303" s="36">
        <f>IF($R303="","",IF(INDEX(Calc!$BB$2:$BB$2001,$R303)="","",INDEX(Calc!$BB$2:$BB$2001,$R303)))</f>
        <v/>
      </c>
      <c r="N303" s="36">
        <f>IF($R303="","",IF(INDEX(Calc!$BC$2:$BC$2001,$R303)="","",INDEX(Calc!$BC$2:$BC$2001,$R303)))</f>
        <v/>
      </c>
      <c r="O303" s="36">
        <f>IF($R303="","",IF(INDEX(Calc!$BD$2:$BD$2001,$R303)="","",INDEX(Calc!$BD$2:$BD$2001,$R303)))</f>
        <v/>
      </c>
      <c r="P303" s="88">
        <f>IF(R303="","",HYPERLINK("#'"&amp;IF(INDEX(Calc!$AS$2:$AS$2001,R303)="R","Recurring Log","Variable Tasks")&amp;"'!J"&amp;INDEX(Calc!$AT$2:$AT$2001,R303),"✎ edit"))</f>
        <v/>
      </c>
      <c r="R303">
        <f>IFERROR(MATCH(SMALL(Calc!$BK$2:$BK$2001,294),Calc!$BK$2:$BK$2001,0),"")</f>
        <v/>
      </c>
    </row>
    <row r="304">
      <c r="B304" s="73">
        <f>IF(R304="","",295)</f>
        <v/>
      </c>
      <c r="C304" s="75">
        <f>IF($R304="","",IF(INDEX(Calc!$AU$2:$AU$2001,$R304)="","",INDEX(Calc!$AU$2:$AU$2001,$R304)))</f>
        <v/>
      </c>
      <c r="D304" s="73">
        <f>IF($R304="","",IF(INDEX(Calc!$AV$2:$AV$2001,$R304)="","",INDEX(Calc!$AV$2:$AV$2001,$R304)))</f>
        <v/>
      </c>
      <c r="E304" s="76">
        <f>IF($R304="","",IF(INDEX(Calc!$AW$2:$AW$2001,$R304)="","",INDEX(Calc!$AW$2:$AW$2001,$R304)))</f>
        <v/>
      </c>
      <c r="F304" s="72">
        <f>IF(OR(C304="",E304=""),"",E304-Setup!$D$7)</f>
        <v/>
      </c>
      <c r="G304" s="77">
        <f>IF($R304="","",IF(INDEX(Calc!$AX$2:$AX$2001,$R304)="","",INDEX(Calc!$AX$2:$AX$2001,$R304)))</f>
        <v/>
      </c>
      <c r="H304" s="77">
        <f>IF($R304="","",IF(INDEX(Calc!$AY$2:$AY$2001,$R304)="","",INDEX(Calc!$AY$2:$AY$2001,$R304)))</f>
        <v/>
      </c>
      <c r="I304" s="73">
        <f>IF(OR(G304="",H304=""),"",TRIM(IF(HOUR(H304-G304)&gt;0,HOUR(H304-G304)&amp;" hr ","")&amp;IF(MINUTE(H304-G304)&gt;0,MINUTE(H304-G304)&amp;" min","")))</f>
        <v/>
      </c>
      <c r="J304" s="73">
        <f>IF($R304="","",IF(INDEX(Calc!$AZ$2:$AZ$2001,$R304)="","",INDEX(Calc!$AZ$2:$AZ$2001,$R304)))</f>
        <v/>
      </c>
      <c r="K304" s="85">
        <f>IF($R304="","",IF(INDEX(Calc!$BE$2:$BE$2001,$R304)="","",INDEX(Calc!$BE$2:$BE$2001,$R304)))</f>
        <v/>
      </c>
      <c r="L304" s="73">
        <f>IF($R304="","",IF(INDEX(Calc!$BA$2:$BA$2001,$R304)="","",INDEX(Calc!$BA$2:$BA$2001,$R304)))</f>
        <v/>
      </c>
      <c r="M304" s="73">
        <f>IF($R304="","",IF(INDEX(Calc!$BB$2:$BB$2001,$R304)="","",INDEX(Calc!$BB$2:$BB$2001,$R304)))</f>
        <v/>
      </c>
      <c r="N304" s="73">
        <f>IF($R304="","",IF(INDEX(Calc!$BC$2:$BC$2001,$R304)="","",INDEX(Calc!$BC$2:$BC$2001,$R304)))</f>
        <v/>
      </c>
      <c r="O304" s="73">
        <f>IF($R304="","",IF(INDEX(Calc!$BD$2:$BD$2001,$R304)="","",INDEX(Calc!$BD$2:$BD$2001,$R304)))</f>
        <v/>
      </c>
      <c r="P304" s="86">
        <f>IF(R304="","",HYPERLINK("#'"&amp;IF(INDEX(Calc!$AS$2:$AS$2001,R304)="R","Recurring Log","Variable Tasks")&amp;"'!J"&amp;INDEX(Calc!$AT$2:$AT$2001,R304),"✎ edit"))</f>
        <v/>
      </c>
      <c r="R304">
        <f>IFERROR(MATCH(SMALL(Calc!$BK$2:$BK$2001,295),Calc!$BK$2:$BK$2001,0),"")</f>
        <v/>
      </c>
    </row>
    <row r="305">
      <c r="B305" s="36">
        <f>IF(R305="","",296)</f>
        <v/>
      </c>
      <c r="C305" s="37">
        <f>IF($R305="","",IF(INDEX(Calc!$AU$2:$AU$2001,$R305)="","",INDEX(Calc!$AU$2:$AU$2001,$R305)))</f>
        <v/>
      </c>
      <c r="D305" s="36">
        <f>IF($R305="","",IF(INDEX(Calc!$AV$2:$AV$2001,$R305)="","",INDEX(Calc!$AV$2:$AV$2001,$R305)))</f>
        <v/>
      </c>
      <c r="E305" s="38">
        <f>IF($R305="","",IF(INDEX(Calc!$AW$2:$AW$2001,$R305)="","",INDEX(Calc!$AW$2:$AW$2001,$R305)))</f>
        <v/>
      </c>
      <c r="F305" s="68">
        <f>IF(OR(C305="",E305=""),"",E305-Setup!$D$7)</f>
        <v/>
      </c>
      <c r="G305" s="74">
        <f>IF($R305="","",IF(INDEX(Calc!$AX$2:$AX$2001,$R305)="","",INDEX(Calc!$AX$2:$AX$2001,$R305)))</f>
        <v/>
      </c>
      <c r="H305" s="74">
        <f>IF($R305="","",IF(INDEX(Calc!$AY$2:$AY$2001,$R305)="","",INDEX(Calc!$AY$2:$AY$2001,$R305)))</f>
        <v/>
      </c>
      <c r="I305" s="36">
        <f>IF(OR(G305="",H305=""),"",TRIM(IF(HOUR(H305-G305)&gt;0,HOUR(H305-G305)&amp;" hr ","")&amp;IF(MINUTE(H305-G305)&gt;0,MINUTE(H305-G305)&amp;" min","")))</f>
        <v/>
      </c>
      <c r="J305" s="36">
        <f>IF($R305="","",IF(INDEX(Calc!$AZ$2:$AZ$2001,$R305)="","",INDEX(Calc!$AZ$2:$AZ$2001,$R305)))</f>
        <v/>
      </c>
      <c r="K305" s="87">
        <f>IF($R305="","",IF(INDEX(Calc!$BE$2:$BE$2001,$R305)="","",INDEX(Calc!$BE$2:$BE$2001,$R305)))</f>
        <v/>
      </c>
      <c r="L305" s="36">
        <f>IF($R305="","",IF(INDEX(Calc!$BA$2:$BA$2001,$R305)="","",INDEX(Calc!$BA$2:$BA$2001,$R305)))</f>
        <v/>
      </c>
      <c r="M305" s="36">
        <f>IF($R305="","",IF(INDEX(Calc!$BB$2:$BB$2001,$R305)="","",INDEX(Calc!$BB$2:$BB$2001,$R305)))</f>
        <v/>
      </c>
      <c r="N305" s="36">
        <f>IF($R305="","",IF(INDEX(Calc!$BC$2:$BC$2001,$R305)="","",INDEX(Calc!$BC$2:$BC$2001,$R305)))</f>
        <v/>
      </c>
      <c r="O305" s="36">
        <f>IF($R305="","",IF(INDEX(Calc!$BD$2:$BD$2001,$R305)="","",INDEX(Calc!$BD$2:$BD$2001,$R305)))</f>
        <v/>
      </c>
      <c r="P305" s="88">
        <f>IF(R305="","",HYPERLINK("#'"&amp;IF(INDEX(Calc!$AS$2:$AS$2001,R305)="R","Recurring Log","Variable Tasks")&amp;"'!J"&amp;INDEX(Calc!$AT$2:$AT$2001,R305),"✎ edit"))</f>
        <v/>
      </c>
      <c r="R305">
        <f>IFERROR(MATCH(SMALL(Calc!$BK$2:$BK$2001,296),Calc!$BK$2:$BK$2001,0),"")</f>
        <v/>
      </c>
    </row>
    <row r="306">
      <c r="B306" s="73">
        <f>IF(R306="","",297)</f>
        <v/>
      </c>
      <c r="C306" s="75">
        <f>IF($R306="","",IF(INDEX(Calc!$AU$2:$AU$2001,$R306)="","",INDEX(Calc!$AU$2:$AU$2001,$R306)))</f>
        <v/>
      </c>
      <c r="D306" s="73">
        <f>IF($R306="","",IF(INDEX(Calc!$AV$2:$AV$2001,$R306)="","",INDEX(Calc!$AV$2:$AV$2001,$R306)))</f>
        <v/>
      </c>
      <c r="E306" s="76">
        <f>IF($R306="","",IF(INDEX(Calc!$AW$2:$AW$2001,$R306)="","",INDEX(Calc!$AW$2:$AW$2001,$R306)))</f>
        <v/>
      </c>
      <c r="F306" s="72">
        <f>IF(OR(C306="",E306=""),"",E306-Setup!$D$7)</f>
        <v/>
      </c>
      <c r="G306" s="77">
        <f>IF($R306="","",IF(INDEX(Calc!$AX$2:$AX$2001,$R306)="","",INDEX(Calc!$AX$2:$AX$2001,$R306)))</f>
        <v/>
      </c>
      <c r="H306" s="77">
        <f>IF($R306="","",IF(INDEX(Calc!$AY$2:$AY$2001,$R306)="","",INDEX(Calc!$AY$2:$AY$2001,$R306)))</f>
        <v/>
      </c>
      <c r="I306" s="73">
        <f>IF(OR(G306="",H306=""),"",TRIM(IF(HOUR(H306-G306)&gt;0,HOUR(H306-G306)&amp;" hr ","")&amp;IF(MINUTE(H306-G306)&gt;0,MINUTE(H306-G306)&amp;" min","")))</f>
        <v/>
      </c>
      <c r="J306" s="73">
        <f>IF($R306="","",IF(INDEX(Calc!$AZ$2:$AZ$2001,$R306)="","",INDEX(Calc!$AZ$2:$AZ$2001,$R306)))</f>
        <v/>
      </c>
      <c r="K306" s="85">
        <f>IF($R306="","",IF(INDEX(Calc!$BE$2:$BE$2001,$R306)="","",INDEX(Calc!$BE$2:$BE$2001,$R306)))</f>
        <v/>
      </c>
      <c r="L306" s="73">
        <f>IF($R306="","",IF(INDEX(Calc!$BA$2:$BA$2001,$R306)="","",INDEX(Calc!$BA$2:$BA$2001,$R306)))</f>
        <v/>
      </c>
      <c r="M306" s="73">
        <f>IF($R306="","",IF(INDEX(Calc!$BB$2:$BB$2001,$R306)="","",INDEX(Calc!$BB$2:$BB$2001,$R306)))</f>
        <v/>
      </c>
      <c r="N306" s="73">
        <f>IF($R306="","",IF(INDEX(Calc!$BC$2:$BC$2001,$R306)="","",INDEX(Calc!$BC$2:$BC$2001,$R306)))</f>
        <v/>
      </c>
      <c r="O306" s="73">
        <f>IF($R306="","",IF(INDEX(Calc!$BD$2:$BD$2001,$R306)="","",INDEX(Calc!$BD$2:$BD$2001,$R306)))</f>
        <v/>
      </c>
      <c r="P306" s="86">
        <f>IF(R306="","",HYPERLINK("#'"&amp;IF(INDEX(Calc!$AS$2:$AS$2001,R306)="R","Recurring Log","Variable Tasks")&amp;"'!J"&amp;INDEX(Calc!$AT$2:$AT$2001,R306),"✎ edit"))</f>
        <v/>
      </c>
      <c r="R306">
        <f>IFERROR(MATCH(SMALL(Calc!$BK$2:$BK$2001,297),Calc!$BK$2:$BK$2001,0),"")</f>
        <v/>
      </c>
    </row>
    <row r="307">
      <c r="B307" s="36">
        <f>IF(R307="","",298)</f>
        <v/>
      </c>
      <c r="C307" s="37">
        <f>IF($R307="","",IF(INDEX(Calc!$AU$2:$AU$2001,$R307)="","",INDEX(Calc!$AU$2:$AU$2001,$R307)))</f>
        <v/>
      </c>
      <c r="D307" s="36">
        <f>IF($R307="","",IF(INDEX(Calc!$AV$2:$AV$2001,$R307)="","",INDEX(Calc!$AV$2:$AV$2001,$R307)))</f>
        <v/>
      </c>
      <c r="E307" s="38">
        <f>IF($R307="","",IF(INDEX(Calc!$AW$2:$AW$2001,$R307)="","",INDEX(Calc!$AW$2:$AW$2001,$R307)))</f>
        <v/>
      </c>
      <c r="F307" s="68">
        <f>IF(OR(C307="",E307=""),"",E307-Setup!$D$7)</f>
        <v/>
      </c>
      <c r="G307" s="74">
        <f>IF($R307="","",IF(INDEX(Calc!$AX$2:$AX$2001,$R307)="","",INDEX(Calc!$AX$2:$AX$2001,$R307)))</f>
        <v/>
      </c>
      <c r="H307" s="74">
        <f>IF($R307="","",IF(INDEX(Calc!$AY$2:$AY$2001,$R307)="","",INDEX(Calc!$AY$2:$AY$2001,$R307)))</f>
        <v/>
      </c>
      <c r="I307" s="36">
        <f>IF(OR(G307="",H307=""),"",TRIM(IF(HOUR(H307-G307)&gt;0,HOUR(H307-G307)&amp;" hr ","")&amp;IF(MINUTE(H307-G307)&gt;0,MINUTE(H307-G307)&amp;" min","")))</f>
        <v/>
      </c>
      <c r="J307" s="36">
        <f>IF($R307="","",IF(INDEX(Calc!$AZ$2:$AZ$2001,$R307)="","",INDEX(Calc!$AZ$2:$AZ$2001,$R307)))</f>
        <v/>
      </c>
      <c r="K307" s="87">
        <f>IF($R307="","",IF(INDEX(Calc!$BE$2:$BE$2001,$R307)="","",INDEX(Calc!$BE$2:$BE$2001,$R307)))</f>
        <v/>
      </c>
      <c r="L307" s="36">
        <f>IF($R307="","",IF(INDEX(Calc!$BA$2:$BA$2001,$R307)="","",INDEX(Calc!$BA$2:$BA$2001,$R307)))</f>
        <v/>
      </c>
      <c r="M307" s="36">
        <f>IF($R307="","",IF(INDEX(Calc!$BB$2:$BB$2001,$R307)="","",INDEX(Calc!$BB$2:$BB$2001,$R307)))</f>
        <v/>
      </c>
      <c r="N307" s="36">
        <f>IF($R307="","",IF(INDEX(Calc!$BC$2:$BC$2001,$R307)="","",INDEX(Calc!$BC$2:$BC$2001,$R307)))</f>
        <v/>
      </c>
      <c r="O307" s="36">
        <f>IF($R307="","",IF(INDEX(Calc!$BD$2:$BD$2001,$R307)="","",INDEX(Calc!$BD$2:$BD$2001,$R307)))</f>
        <v/>
      </c>
      <c r="P307" s="88">
        <f>IF(R307="","",HYPERLINK("#'"&amp;IF(INDEX(Calc!$AS$2:$AS$2001,R307)="R","Recurring Log","Variable Tasks")&amp;"'!J"&amp;INDEX(Calc!$AT$2:$AT$2001,R307),"✎ edit"))</f>
        <v/>
      </c>
      <c r="R307">
        <f>IFERROR(MATCH(SMALL(Calc!$BK$2:$BK$2001,298),Calc!$BK$2:$BK$2001,0),"")</f>
        <v/>
      </c>
    </row>
    <row r="308">
      <c r="B308" s="73">
        <f>IF(R308="","",299)</f>
        <v/>
      </c>
      <c r="C308" s="75">
        <f>IF($R308="","",IF(INDEX(Calc!$AU$2:$AU$2001,$R308)="","",INDEX(Calc!$AU$2:$AU$2001,$R308)))</f>
        <v/>
      </c>
      <c r="D308" s="73">
        <f>IF($R308="","",IF(INDEX(Calc!$AV$2:$AV$2001,$R308)="","",INDEX(Calc!$AV$2:$AV$2001,$R308)))</f>
        <v/>
      </c>
      <c r="E308" s="76">
        <f>IF($R308="","",IF(INDEX(Calc!$AW$2:$AW$2001,$R308)="","",INDEX(Calc!$AW$2:$AW$2001,$R308)))</f>
        <v/>
      </c>
      <c r="F308" s="72">
        <f>IF(OR(C308="",E308=""),"",E308-Setup!$D$7)</f>
        <v/>
      </c>
      <c r="G308" s="77">
        <f>IF($R308="","",IF(INDEX(Calc!$AX$2:$AX$2001,$R308)="","",INDEX(Calc!$AX$2:$AX$2001,$R308)))</f>
        <v/>
      </c>
      <c r="H308" s="77">
        <f>IF($R308="","",IF(INDEX(Calc!$AY$2:$AY$2001,$R308)="","",INDEX(Calc!$AY$2:$AY$2001,$R308)))</f>
        <v/>
      </c>
      <c r="I308" s="73">
        <f>IF(OR(G308="",H308=""),"",TRIM(IF(HOUR(H308-G308)&gt;0,HOUR(H308-G308)&amp;" hr ","")&amp;IF(MINUTE(H308-G308)&gt;0,MINUTE(H308-G308)&amp;" min","")))</f>
        <v/>
      </c>
      <c r="J308" s="73">
        <f>IF($R308="","",IF(INDEX(Calc!$AZ$2:$AZ$2001,$R308)="","",INDEX(Calc!$AZ$2:$AZ$2001,$R308)))</f>
        <v/>
      </c>
      <c r="K308" s="85">
        <f>IF($R308="","",IF(INDEX(Calc!$BE$2:$BE$2001,$R308)="","",INDEX(Calc!$BE$2:$BE$2001,$R308)))</f>
        <v/>
      </c>
      <c r="L308" s="73">
        <f>IF($R308="","",IF(INDEX(Calc!$BA$2:$BA$2001,$R308)="","",INDEX(Calc!$BA$2:$BA$2001,$R308)))</f>
        <v/>
      </c>
      <c r="M308" s="73">
        <f>IF($R308="","",IF(INDEX(Calc!$BB$2:$BB$2001,$R308)="","",INDEX(Calc!$BB$2:$BB$2001,$R308)))</f>
        <v/>
      </c>
      <c r="N308" s="73">
        <f>IF($R308="","",IF(INDEX(Calc!$BC$2:$BC$2001,$R308)="","",INDEX(Calc!$BC$2:$BC$2001,$R308)))</f>
        <v/>
      </c>
      <c r="O308" s="73">
        <f>IF($R308="","",IF(INDEX(Calc!$BD$2:$BD$2001,$R308)="","",INDEX(Calc!$BD$2:$BD$2001,$R308)))</f>
        <v/>
      </c>
      <c r="P308" s="86">
        <f>IF(R308="","",HYPERLINK("#'"&amp;IF(INDEX(Calc!$AS$2:$AS$2001,R308)="R","Recurring Log","Variable Tasks")&amp;"'!J"&amp;INDEX(Calc!$AT$2:$AT$2001,R308),"✎ edit"))</f>
        <v/>
      </c>
      <c r="R308">
        <f>IFERROR(MATCH(SMALL(Calc!$BK$2:$BK$2001,299),Calc!$BK$2:$BK$2001,0),"")</f>
        <v/>
      </c>
    </row>
    <row r="309">
      <c r="B309" s="36">
        <f>IF(R309="","",300)</f>
        <v/>
      </c>
      <c r="C309" s="37">
        <f>IF($R309="","",IF(INDEX(Calc!$AU$2:$AU$2001,$R309)="","",INDEX(Calc!$AU$2:$AU$2001,$R309)))</f>
        <v/>
      </c>
      <c r="D309" s="36">
        <f>IF($R309="","",IF(INDEX(Calc!$AV$2:$AV$2001,$R309)="","",INDEX(Calc!$AV$2:$AV$2001,$R309)))</f>
        <v/>
      </c>
      <c r="E309" s="38">
        <f>IF($R309="","",IF(INDEX(Calc!$AW$2:$AW$2001,$R309)="","",INDEX(Calc!$AW$2:$AW$2001,$R309)))</f>
        <v/>
      </c>
      <c r="F309" s="68">
        <f>IF(OR(C309="",E309=""),"",E309-Setup!$D$7)</f>
        <v/>
      </c>
      <c r="G309" s="74">
        <f>IF($R309="","",IF(INDEX(Calc!$AX$2:$AX$2001,$R309)="","",INDEX(Calc!$AX$2:$AX$2001,$R309)))</f>
        <v/>
      </c>
      <c r="H309" s="74">
        <f>IF($R309="","",IF(INDEX(Calc!$AY$2:$AY$2001,$R309)="","",INDEX(Calc!$AY$2:$AY$2001,$R309)))</f>
        <v/>
      </c>
      <c r="I309" s="36">
        <f>IF(OR(G309="",H309=""),"",TRIM(IF(HOUR(H309-G309)&gt;0,HOUR(H309-G309)&amp;" hr ","")&amp;IF(MINUTE(H309-G309)&gt;0,MINUTE(H309-G309)&amp;" min","")))</f>
        <v/>
      </c>
      <c r="J309" s="36">
        <f>IF($R309="","",IF(INDEX(Calc!$AZ$2:$AZ$2001,$R309)="","",INDEX(Calc!$AZ$2:$AZ$2001,$R309)))</f>
        <v/>
      </c>
      <c r="K309" s="87">
        <f>IF($R309="","",IF(INDEX(Calc!$BE$2:$BE$2001,$R309)="","",INDEX(Calc!$BE$2:$BE$2001,$R309)))</f>
        <v/>
      </c>
      <c r="L309" s="36">
        <f>IF($R309="","",IF(INDEX(Calc!$BA$2:$BA$2001,$R309)="","",INDEX(Calc!$BA$2:$BA$2001,$R309)))</f>
        <v/>
      </c>
      <c r="M309" s="36">
        <f>IF($R309="","",IF(INDEX(Calc!$BB$2:$BB$2001,$R309)="","",INDEX(Calc!$BB$2:$BB$2001,$R309)))</f>
        <v/>
      </c>
      <c r="N309" s="36">
        <f>IF($R309="","",IF(INDEX(Calc!$BC$2:$BC$2001,$R309)="","",INDEX(Calc!$BC$2:$BC$2001,$R309)))</f>
        <v/>
      </c>
      <c r="O309" s="36">
        <f>IF($R309="","",IF(INDEX(Calc!$BD$2:$BD$2001,$R309)="","",INDEX(Calc!$BD$2:$BD$2001,$R309)))</f>
        <v/>
      </c>
      <c r="P309" s="88">
        <f>IF(R309="","",HYPERLINK("#'"&amp;IF(INDEX(Calc!$AS$2:$AS$2001,R309)="R","Recurring Log","Variable Tasks")&amp;"'!J"&amp;INDEX(Calc!$AT$2:$AT$2001,R309),"✎ edit"))</f>
        <v/>
      </c>
      <c r="R309">
        <f>IFERROR(MATCH(SMALL(Calc!$BK$2:$BK$2001,300),Calc!$BK$2:$BK$2001,0),"")</f>
        <v/>
      </c>
    </row>
  </sheetData>
  <mergeCells count="10">
    <mergeCell ref="B2:D3"/>
    <mergeCell ref="L8:O8"/>
    <mergeCell ref="Q4:Q5"/>
    <mergeCell ref="B8:D8"/>
    <mergeCell ref="B4:D4"/>
    <mergeCell ref="P4:P5"/>
    <mergeCell ref="P8"/>
    <mergeCell ref="E2:O2"/>
    <mergeCell ref="E8:I8"/>
    <mergeCell ref="J8:K8"/>
  </mergeCells>
  <conditionalFormatting sqref="B10:P309">
    <cfRule type="expression" priority="1" dxfId="10" stopIfTrue="1">
      <formula>OR($J10="Done",$J10="Cancelled")</formula>
    </cfRule>
    <cfRule type="expression" priority="2" dxfId="17" stopIfTrue="0">
      <formula>AND($C10&lt;&gt;"",ISNUMBER($E10),$E10&lt;Setup!$D$7)</formula>
    </cfRule>
    <cfRule type="expression" priority="3" dxfId="18" stopIfTrue="0">
      <formula>AND($C10&lt;&gt;"",$E10=Setup!$D$7)</formula>
    </cfRule>
  </conditionalFormatting>
  <conditionalFormatting sqref="D10:D309">
    <cfRule type="expression" priority="4" dxfId="11" stopIfTrue="0">
      <formula>AND($D10&lt;&gt;"",$D10=INDEX(Setup!$F$6:$F$15,1))</formula>
    </cfRule>
    <cfRule type="expression" priority="5" dxfId="12" stopIfTrue="0">
      <formula>AND($D10&lt;&gt;"",$D10=INDEX(Setup!$F$6:$F$15,2))</formula>
    </cfRule>
    <cfRule type="expression" priority="6" dxfId="13" stopIfTrue="0">
      <formula>AND($D10&lt;&gt;"",$D10=INDEX(Setup!$F$6:$F$15,3))</formula>
    </cfRule>
    <cfRule type="expression" priority="7" dxfId="14" stopIfTrue="0">
      <formula>AND($D10&lt;&gt;"",$D10=INDEX(Setup!$F$6:$F$15,4))</formula>
    </cfRule>
    <cfRule type="expression" priority="8" dxfId="15" stopIfTrue="0">
      <formula>AND($D10&lt;&gt;"",$D10=INDEX(Setup!$F$6:$F$15,5))</formula>
    </cfRule>
    <cfRule type="expression" priority="9" dxfId="16" stopIfTrue="0">
      <formula>AND($D10&lt;&gt;"",$D10=INDEX(Setup!$F$6:$F$15,6))</formula>
    </cfRule>
  </conditionalFormatting>
  <conditionalFormatting sqref="O10:O309">
    <cfRule type="expression" priority="10" dxfId="19" stopIfTrue="0">
      <formula>$O10="DO FIRST"</formula>
    </cfRule>
    <cfRule type="expression" priority="11" dxfId="20" stopIfTrue="0">
      <formula>$O10="SCHEDULE"</formula>
    </cfRule>
    <cfRule type="expression" priority="12" dxfId="21" stopIfTrue="0">
      <formula>$O10="DELEGATE"</formula>
    </cfRule>
    <cfRule type="expression" priority="13" dxfId="22" stopIfTrue="0">
      <formula>$O10="DELETE"</formula>
    </cfRule>
  </conditionalFormatting>
  <conditionalFormatting sqref="K10:K309">
    <cfRule type="dataBar" priority="14">
      <dataBar showValue="1">
        <cfvo type="num" val="0"/>
        <cfvo type="num" val="1"/>
        <color rgb="0035D6BE"/>
      </dataBar>
    </cfRule>
  </conditionalFormatting>
  <dataValidations count="9">
    <dataValidation sqref="F5" showDropDown="0" showInputMessage="0" showErrorMessage="0" allowBlank="1" error="Please pick a value from the list." type="list" errorStyle="warning">
      <formula1>=Lists!$G$2:$G$6</formula1>
    </dataValidation>
    <dataValidation sqref="F6" showDropDown="0" showInputMessage="0" showErrorMessage="0" allowBlank="1" error="Please pick a value from the list." type="list" errorStyle="warning">
      <formula1>=Lists!$H$2:$H$3</formula1>
    </dataValidation>
    <dataValidation sqref="I4" showDropDown="0" showInputMessage="0" showErrorMessage="0" allowBlank="1" error="Please pick a value from the list." type="list" errorStyle="warning">
      <formula1>=Setup!$L$6:$L$9</formula1>
    </dataValidation>
    <dataValidation sqref="I5" showDropDown="0" showInputMessage="0" showErrorMessage="0" allowBlank="1" error="Please pick a value from the list." type="list" errorStyle="warning">
      <formula1>=Lists!$I$2:$I$4</formula1>
    </dataValidation>
    <dataValidation sqref="L3" showDropDown="0" showInputMessage="0" showErrorMessage="0" allowBlank="1" error="Please pick a value from the list." type="list" errorStyle="warning">
      <formula1>=Setup!$F$6:$F$15</formula1>
    </dataValidation>
    <dataValidation sqref="L4" showDropDown="0" showInputMessage="0" showErrorMessage="0" allowBlank="1" error="Please pick a value from the list." type="list" errorStyle="warning">
      <formula1>=Setup!$J$6:$J$11</formula1>
    </dataValidation>
    <dataValidation sqref="L5" showDropDown="0" showInputMessage="0" showErrorMessage="0" allowBlank="1" error="Please pick a value from the list." type="list" errorStyle="warning">
      <formula1>=Setup!$H$6:$H$15</formula1>
    </dataValidation>
    <dataValidation sqref="O3" showDropDown="0" showInputMessage="0" showErrorMessage="0" allowBlank="1" error="Please pick a value from the list." type="list" errorStyle="warning">
      <formula1>=Lists!$J$2:$J$5</formula1>
    </dataValidation>
    <dataValidation sqref="O4" showDropDown="0" showInputMessage="0" showErrorMessage="0" allowBlank="1" error="Please pick a value from the list." type="list" errorStyle="warning">
      <formula1>=Lists!$K$2:$K$3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5D6BE"/>
    <outlinePr summaryBelow="1" summaryRight="1"/>
    <pageSetUpPr/>
  </sheetPr>
  <dimension ref="A1:W50"/>
  <sheetViews>
    <sheetView showGridLines="0" zoomScale="85" workbookViewId="0">
      <selection activeCell="A1" sqref="A1"/>
    </sheetView>
  </sheetViews>
  <sheetFormatPr baseColWidth="8" defaultRowHeight="15"/>
  <cols>
    <col width="2" customWidth="1" style="1" min="1" max="1"/>
    <col width="10" customWidth="1" style="1" min="2" max="2"/>
    <col width="28" customWidth="1" style="1" min="3" max="3"/>
    <col hidden="1" width="3" customWidth="1" style="1" min="4" max="4"/>
    <col width="2" customWidth="1" style="1" min="5" max="5"/>
    <col width="4" customWidth="1" style="1" min="6" max="6"/>
    <col width="28" customWidth="1" style="1" min="7" max="7"/>
    <col width="12" customWidth="1" style="1" min="8" max="8"/>
    <col width="11" customWidth="1" style="1" min="9" max="9"/>
    <col hidden="1" width="3" customWidth="1" style="1" min="10" max="10"/>
    <col width="2" customWidth="1" style="1" min="11" max="11"/>
    <col width="34" customWidth="1" style="1" min="12" max="12"/>
    <col width="6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34" customHeight="1">
      <c r="A2" s="1" t="n"/>
      <c r="B2" s="89" t="inlineStr">
        <is>
          <t>Daily Planner</t>
        </is>
      </c>
      <c r="C2" s="35" t="n"/>
      <c r="D2" s="35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1" t="n"/>
      <c r="B3" s="14" t="inlineStr">
        <is>
          <t>Date:</t>
        </is>
      </c>
      <c r="C3" s="15" t="n"/>
      <c r="D3" s="35" t="n"/>
      <c r="E3" s="1" t="n"/>
      <c r="F3" s="1" t="n"/>
      <c r="G3" s="23" t="inlineStr">
        <is>
          <t>← leave blank for today</t>
        </is>
      </c>
      <c r="H3" s="1" t="n"/>
      <c r="I3" s="1" t="n"/>
      <c r="J3" s="1" t="n"/>
      <c r="K3" s="1" t="n"/>
      <c r="L3" s="1" t="n"/>
      <c r="M3" s="1" t="n"/>
      <c r="N3" s="34">
        <f>IF(C3="",Setup!$D$7,C3)</f>
        <v/>
      </c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>
      <c r="A4" s="1" t="n"/>
      <c r="B4" s="90">
        <f>TEXT($N$3,"dddd, mmmm d, yyyy")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</row>
    <row r="6">
      <c r="A6" s="1" t="n"/>
      <c r="B6" s="8" t="inlineStr">
        <is>
          <t>TODAY'S SCHEDULE</t>
        </is>
      </c>
      <c r="C6" s="9" t="n"/>
      <c r="D6" s="1" t="n"/>
      <c r="E6" s="1" t="n"/>
      <c r="F6" s="11" t="inlineStr">
        <is>
          <t>TODAY'S TASKS</t>
        </is>
      </c>
      <c r="G6" s="25" t="n"/>
      <c r="H6" s="25" t="n"/>
      <c r="I6" s="26">
        <f>IFERROR(COUNTIFS(TaskDue,$N$3,TaskDone,1)/COUNTIFS(TaskDue,$N$3,TaskStat,"&lt;&gt;Cancelled"),0)</f>
        <v/>
      </c>
      <c r="J6" s="1" t="n"/>
      <c r="K6" s="1" t="n"/>
      <c r="L6" s="12" t="inlineStr">
        <is>
          <t>MAIN FOCUS</t>
        </is>
      </c>
      <c r="M6" s="44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</row>
    <row r="7">
      <c r="A7" s="1" t="n"/>
      <c r="B7" s="91">
        <f>Setup!$D$9+0*Setup!$D$8/1440</f>
        <v/>
      </c>
      <c r="C7" s="92">
        <f>IF(D7="","",INDEX(Calc!$AU$2:$AU$2001,D7))</f>
        <v/>
      </c>
      <c r="D7" s="1">
        <f>IFERROR(_xlfn.AGGREGATE(15,6,(ROW(Calc!$AW$2:$AW$2001)-1)/((Calc!$AW$2:$AW$2001=$N$3)*(Calc!$AX$2:$AX$2001&lt;=B7+0.00001)*(Calc!$AY$2:$AY$2001&gt;B7+0.00001)*(Calc!$AZ$2:$AZ$2001&lt;&gt;"Cancelled")),1),"")</f>
        <v/>
      </c>
      <c r="E7" s="1" t="n"/>
      <c r="F7" s="30" t="inlineStr"/>
      <c r="G7" s="31" t="inlineStr">
        <is>
          <t>TASK</t>
        </is>
      </c>
      <c r="H7" s="30" t="inlineStr">
        <is>
          <t>CATEGORY</t>
        </is>
      </c>
      <c r="I7" s="30" t="inlineStr">
        <is>
          <t>PRIORITY</t>
        </is>
      </c>
      <c r="J7" s="1" t="n"/>
      <c r="K7" s="1" t="n"/>
      <c r="L7" s="93" t="inlineStr">
        <is>
          <t>Write project proposal and send before midday.</t>
        </is>
      </c>
      <c r="M7" s="35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</row>
    <row r="8">
      <c r="A8" s="1" t="n"/>
      <c r="B8" s="91">
        <f>Setup!$D$9+1*Setup!$D$8/1440</f>
        <v/>
      </c>
      <c r="C8" s="92">
        <f>IF(D8="","",INDEX(Calc!$AU$2:$AU$2001,D8))</f>
        <v/>
      </c>
      <c r="D8" s="1">
        <f>IFERROR(_xlfn.AGGREGATE(15,6,(ROW(Calc!$AW$2:$AW$2001)-1)/((Calc!$AW$2:$AW$2001=$N$3)*(Calc!$AX$2:$AX$2001&lt;=B8+0.00001)*(Calc!$AY$2:$AY$2001&gt;B8+0.00001)*(Calc!$AZ$2:$AZ$2001&lt;&gt;"Cancelled")),1),"")</f>
        <v/>
      </c>
      <c r="E8" s="1" t="n"/>
      <c r="F8" s="36">
        <f>IF(J8="","",IF(INDEX(Calc!$BG$2:$BG$2001,J8)=1,"✓","○"))</f>
        <v/>
      </c>
      <c r="G8" s="37">
        <f>IF(J8="","",INDEX(Calc!$AU$2:$AU$2001,J8)&amp;"")</f>
        <v/>
      </c>
      <c r="H8" s="36">
        <f>IF(J8="","",INDEX(Calc!$AV$2:$AV$2001,J8)&amp;"")</f>
        <v/>
      </c>
      <c r="I8" s="36">
        <f>IF(J8="","",INDEX(Calc!$BA$2:$BA$2001,J8)&amp;"")</f>
        <v/>
      </c>
      <c r="J8" s="1">
        <f>IFERROR(MOD(_xlfn.AGGREGATE(15,6,Calc!$BN$2:$BN$2001/(Calc!$AW$2:$AW$2001=$N$3),1),10000),"")</f>
        <v/>
      </c>
      <c r="K8" s="1" t="n"/>
      <c r="L8" s="35" t="n"/>
      <c r="M8" s="35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</row>
    <row r="9">
      <c r="A9" s="1" t="n"/>
      <c r="B9" s="91">
        <f>Setup!$D$9+2*Setup!$D$8/1440</f>
        <v/>
      </c>
      <c r="C9" s="92">
        <f>IF(D9="","",INDEX(Calc!$AU$2:$AU$2001,D9))</f>
        <v/>
      </c>
      <c r="D9" s="1">
        <f>IFERROR(_xlfn.AGGREGATE(15,6,(ROW(Calc!$AW$2:$AW$2001)-1)/((Calc!$AW$2:$AW$2001=$N$3)*(Calc!$AX$2:$AX$2001&lt;=B9+0.00001)*(Calc!$AY$2:$AY$2001&gt;B9+0.00001)*(Calc!$AZ$2:$AZ$2001&lt;&gt;"Cancelled")),1),"")</f>
        <v/>
      </c>
      <c r="E9" s="1" t="n"/>
      <c r="F9" s="36">
        <f>IF(J9="","",IF(INDEX(Calc!$BG$2:$BG$2001,J9)=1,"✓","○"))</f>
        <v/>
      </c>
      <c r="G9" s="37">
        <f>IF(J9="","",INDEX(Calc!$AU$2:$AU$2001,J9)&amp;"")</f>
        <v/>
      </c>
      <c r="H9" s="36">
        <f>IF(J9="","",INDEX(Calc!$AV$2:$AV$2001,J9)&amp;"")</f>
        <v/>
      </c>
      <c r="I9" s="36">
        <f>IF(J9="","",INDEX(Calc!$BA$2:$BA$2001,J9)&amp;"")</f>
        <v/>
      </c>
      <c r="J9" s="1">
        <f>IFERROR(MOD(_xlfn.AGGREGATE(15,6,Calc!$BN$2:$BN$2001/(Calc!$AW$2:$AW$2001=$N$3),2),10000),"")</f>
        <v/>
      </c>
      <c r="K9" s="1" t="n"/>
      <c r="L9" s="35" t="n"/>
      <c r="M9" s="35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</row>
    <row r="10">
      <c r="A10" s="1" t="n"/>
      <c r="B10" s="91">
        <f>Setup!$D$9+3*Setup!$D$8/1440</f>
        <v/>
      </c>
      <c r="C10" s="92">
        <f>IF(D10="","",INDEX(Calc!$AU$2:$AU$2001,D10))</f>
        <v/>
      </c>
      <c r="D10" s="1">
        <f>IFERROR(_xlfn.AGGREGATE(15,6,(ROW(Calc!$AW$2:$AW$2001)-1)/((Calc!$AW$2:$AW$2001=$N$3)*(Calc!$AX$2:$AX$2001&lt;=B10+0.00001)*(Calc!$AY$2:$AY$2001&gt;B10+0.00001)*(Calc!$AZ$2:$AZ$2001&lt;&gt;"Cancelled")),1),"")</f>
        <v/>
      </c>
      <c r="E10" s="1" t="n"/>
      <c r="F10" s="36">
        <f>IF(J10="","",IF(INDEX(Calc!$BG$2:$BG$2001,J10)=1,"✓","○"))</f>
        <v/>
      </c>
      <c r="G10" s="37">
        <f>IF(J10="","",INDEX(Calc!$AU$2:$AU$2001,J10)&amp;"")</f>
        <v/>
      </c>
      <c r="H10" s="36">
        <f>IF(J10="","",INDEX(Calc!$AV$2:$AV$2001,J10)&amp;"")</f>
        <v/>
      </c>
      <c r="I10" s="36">
        <f>IF(J10="","",INDEX(Calc!$BA$2:$BA$2001,J10)&amp;"")</f>
        <v/>
      </c>
      <c r="J10" s="1">
        <f>IFERROR(MOD(_xlfn.AGGREGATE(15,6,Calc!$BN$2:$BN$2001/(Calc!$AW$2:$AW$2001=$N$3),3),10000),"")</f>
        <v/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</row>
    <row r="11">
      <c r="A11" s="1" t="n"/>
      <c r="B11" s="91">
        <f>Setup!$D$9+4*Setup!$D$8/1440</f>
        <v/>
      </c>
      <c r="C11" s="92">
        <f>IF(D11="","",INDEX(Calc!$AU$2:$AU$2001,D11))</f>
        <v/>
      </c>
      <c r="D11" s="1">
        <f>IFERROR(_xlfn.AGGREGATE(15,6,(ROW(Calc!$AW$2:$AW$2001)-1)/((Calc!$AW$2:$AW$2001=$N$3)*(Calc!$AX$2:$AX$2001&lt;=B11+0.00001)*(Calc!$AY$2:$AY$2001&gt;B11+0.00001)*(Calc!$AZ$2:$AZ$2001&lt;&gt;"Cancelled")),1),"")</f>
        <v/>
      </c>
      <c r="E11" s="1" t="n"/>
      <c r="F11" s="36">
        <f>IF(J11="","",IF(INDEX(Calc!$BG$2:$BG$2001,J11)=1,"✓","○"))</f>
        <v/>
      </c>
      <c r="G11" s="37">
        <f>IF(J11="","",INDEX(Calc!$AU$2:$AU$2001,J11)&amp;"")</f>
        <v/>
      </c>
      <c r="H11" s="36">
        <f>IF(J11="","",INDEX(Calc!$AV$2:$AV$2001,J11)&amp;"")</f>
        <v/>
      </c>
      <c r="I11" s="36">
        <f>IF(J11="","",INDEX(Calc!$BA$2:$BA$2001,J11)&amp;"")</f>
        <v/>
      </c>
      <c r="J11" s="1">
        <f>IFERROR(MOD(_xlfn.AGGREGATE(15,6,Calc!$BN$2:$BN$2001/(Calc!$AW$2:$AW$2001=$N$3),4),10000),"")</f>
        <v/>
      </c>
      <c r="K11" s="1" t="n"/>
      <c r="L11" s="8" t="inlineStr">
        <is>
          <t>DAILY GRATITUDE</t>
        </is>
      </c>
      <c r="M11" s="9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</row>
    <row r="12">
      <c r="A12" s="1" t="n"/>
      <c r="B12" s="91">
        <f>Setup!$D$9+5*Setup!$D$8/1440</f>
        <v/>
      </c>
      <c r="C12" s="92">
        <f>IF(D12="","",INDEX(Calc!$AU$2:$AU$2001,D12))</f>
        <v/>
      </c>
      <c r="D12" s="1">
        <f>IFERROR(_xlfn.AGGREGATE(15,6,(ROW(Calc!$AW$2:$AW$2001)-1)/((Calc!$AW$2:$AW$2001=$N$3)*(Calc!$AX$2:$AX$2001&lt;=B12+0.00001)*(Calc!$AY$2:$AY$2001&gt;B12+0.00001)*(Calc!$AZ$2:$AZ$2001&lt;&gt;"Cancelled")),1),"")</f>
        <v/>
      </c>
      <c r="E12" s="1" t="n"/>
      <c r="F12" s="36">
        <f>IF(J12="","",IF(INDEX(Calc!$BG$2:$BG$2001,J12)=1,"✓","○"))</f>
        <v/>
      </c>
      <c r="G12" s="37">
        <f>IF(J12="","",INDEX(Calc!$AU$2:$AU$2001,J12)&amp;"")</f>
        <v/>
      </c>
      <c r="H12" s="36">
        <f>IF(J12="","",INDEX(Calc!$AV$2:$AV$2001,J12)&amp;"")</f>
        <v/>
      </c>
      <c r="I12" s="36">
        <f>IF(J12="","",INDEX(Calc!$BA$2:$BA$2001,J12)&amp;"")</f>
        <v/>
      </c>
      <c r="J12" s="1">
        <f>IFERROR(MOD(_xlfn.AGGREGATE(15,6,Calc!$BN$2:$BN$2001/(Calc!$AW$2:$AW$2001=$N$3),5),10000),"")</f>
        <v/>
      </c>
      <c r="K12" s="1" t="n"/>
      <c r="L12" s="94">
        <f>IFERROR(INDEX('Gratitude Log'!$C$6:$C$400,MATCH($N$3,'Gratitude Log'!$B$6:$B$400,0))&amp;"","(add an entry in the Gratitude Log)")</f>
        <v/>
      </c>
      <c r="M12" s="35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</row>
    <row r="13">
      <c r="A13" s="1" t="n"/>
      <c r="B13" s="91">
        <f>Setup!$D$9+6*Setup!$D$8/1440</f>
        <v/>
      </c>
      <c r="C13" s="92">
        <f>IF(D13="","",INDEX(Calc!$AU$2:$AU$2001,D13))</f>
        <v/>
      </c>
      <c r="D13" s="1">
        <f>IFERROR(_xlfn.AGGREGATE(15,6,(ROW(Calc!$AW$2:$AW$2001)-1)/((Calc!$AW$2:$AW$2001=$N$3)*(Calc!$AX$2:$AX$2001&lt;=B13+0.00001)*(Calc!$AY$2:$AY$2001&gt;B13+0.00001)*(Calc!$AZ$2:$AZ$2001&lt;&gt;"Cancelled")),1),"")</f>
        <v/>
      </c>
      <c r="E13" s="1" t="n"/>
      <c r="F13" s="36">
        <f>IF(J13="","",IF(INDEX(Calc!$BG$2:$BG$2001,J13)=1,"✓","○"))</f>
        <v/>
      </c>
      <c r="G13" s="37">
        <f>IF(J13="","",INDEX(Calc!$AU$2:$AU$2001,J13)&amp;"")</f>
        <v/>
      </c>
      <c r="H13" s="36">
        <f>IF(J13="","",INDEX(Calc!$AV$2:$AV$2001,J13)&amp;"")</f>
        <v/>
      </c>
      <c r="I13" s="36">
        <f>IF(J13="","",INDEX(Calc!$BA$2:$BA$2001,J13)&amp;"")</f>
        <v/>
      </c>
      <c r="J13" s="1">
        <f>IFERROR(MOD(_xlfn.AGGREGATE(15,6,Calc!$BN$2:$BN$2001/(Calc!$AW$2:$AW$2001=$N$3),6),10000),"")</f>
        <v/>
      </c>
      <c r="K13" s="1" t="n"/>
      <c r="L13" s="35" t="n"/>
      <c r="M13" s="35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</row>
    <row r="14">
      <c r="A14" s="1" t="n"/>
      <c r="B14" s="91">
        <f>Setup!$D$9+7*Setup!$D$8/1440</f>
        <v/>
      </c>
      <c r="C14" s="92">
        <f>IF(D14="","",INDEX(Calc!$AU$2:$AU$2001,D14))</f>
        <v/>
      </c>
      <c r="D14" s="1">
        <f>IFERROR(_xlfn.AGGREGATE(15,6,(ROW(Calc!$AW$2:$AW$2001)-1)/((Calc!$AW$2:$AW$2001=$N$3)*(Calc!$AX$2:$AX$2001&lt;=B14+0.00001)*(Calc!$AY$2:$AY$2001&gt;B14+0.00001)*(Calc!$AZ$2:$AZ$2001&lt;&gt;"Cancelled")),1),"")</f>
        <v/>
      </c>
      <c r="E14" s="1" t="n"/>
      <c r="F14" s="36">
        <f>IF(J14="","",IF(INDEX(Calc!$BG$2:$BG$2001,J14)=1,"✓","○"))</f>
        <v/>
      </c>
      <c r="G14" s="37">
        <f>IF(J14="","",INDEX(Calc!$AU$2:$AU$2001,J14)&amp;"")</f>
        <v/>
      </c>
      <c r="H14" s="36">
        <f>IF(J14="","",INDEX(Calc!$AV$2:$AV$2001,J14)&amp;"")</f>
        <v/>
      </c>
      <c r="I14" s="36">
        <f>IF(J14="","",INDEX(Calc!$BA$2:$BA$2001,J14)&amp;"")</f>
        <v/>
      </c>
      <c r="J14" s="1">
        <f>IFERROR(MOD(_xlfn.AGGREGATE(15,6,Calc!$BN$2:$BN$2001/(Calc!$AW$2:$AW$2001=$N$3),7),10000),"")</f>
        <v/>
      </c>
      <c r="K14" s="1" t="n"/>
      <c r="L14" s="35" t="n"/>
      <c r="M14" s="35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>
      <c r="A15" s="1" t="n"/>
      <c r="B15" s="91">
        <f>Setup!$D$9+8*Setup!$D$8/1440</f>
        <v/>
      </c>
      <c r="C15" s="92">
        <f>IF(D15="","",INDEX(Calc!$AU$2:$AU$2001,D15))</f>
        <v/>
      </c>
      <c r="D15" s="1">
        <f>IFERROR(_xlfn.AGGREGATE(15,6,(ROW(Calc!$AW$2:$AW$2001)-1)/((Calc!$AW$2:$AW$2001=$N$3)*(Calc!$AX$2:$AX$2001&lt;=B15+0.00001)*(Calc!$AY$2:$AY$2001&gt;B15+0.00001)*(Calc!$AZ$2:$AZ$2001&lt;&gt;"Cancelled")),1),"")</f>
        <v/>
      </c>
      <c r="E15" s="1" t="n"/>
      <c r="F15" s="36">
        <f>IF(J15="","",IF(INDEX(Calc!$BG$2:$BG$2001,J15)=1,"✓","○"))</f>
        <v/>
      </c>
      <c r="G15" s="37">
        <f>IF(J15="","",INDEX(Calc!$AU$2:$AU$2001,J15)&amp;"")</f>
        <v/>
      </c>
      <c r="H15" s="36">
        <f>IF(J15="","",INDEX(Calc!$AV$2:$AV$2001,J15)&amp;"")</f>
        <v/>
      </c>
      <c r="I15" s="36">
        <f>IF(J15="","",INDEX(Calc!$BA$2:$BA$2001,J15)&amp;"")</f>
        <v/>
      </c>
      <c r="J15" s="1">
        <f>IFERROR(MOD(_xlfn.AGGREGATE(15,6,Calc!$BN$2:$BN$2001/(Calc!$AW$2:$AW$2001=$N$3),8),10000),"")</f>
        <v/>
      </c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>
      <c r="A16" s="1" t="n"/>
      <c r="B16" s="91">
        <f>Setup!$D$9+9*Setup!$D$8/1440</f>
        <v/>
      </c>
      <c r="C16" s="92">
        <f>IF(D16="","",INDEX(Calc!$AU$2:$AU$2001,D16))</f>
        <v/>
      </c>
      <c r="D16" s="1">
        <f>IFERROR(_xlfn.AGGREGATE(15,6,(ROW(Calc!$AW$2:$AW$2001)-1)/((Calc!$AW$2:$AW$2001=$N$3)*(Calc!$AX$2:$AX$2001&lt;=B16+0.00001)*(Calc!$AY$2:$AY$2001&gt;B16+0.00001)*(Calc!$AZ$2:$AZ$2001&lt;&gt;"Cancelled")),1),"")</f>
        <v/>
      </c>
      <c r="E16" s="1" t="n"/>
      <c r="F16" s="36">
        <f>IF(J16="","",IF(INDEX(Calc!$BG$2:$BG$2001,J16)=1,"✓","○"))</f>
        <v/>
      </c>
      <c r="G16" s="37">
        <f>IF(J16="","",INDEX(Calc!$AU$2:$AU$2001,J16)&amp;"")</f>
        <v/>
      </c>
      <c r="H16" s="36">
        <f>IF(J16="","",INDEX(Calc!$AV$2:$AV$2001,J16)&amp;"")</f>
        <v/>
      </c>
      <c r="I16" s="36">
        <f>IF(J16="","",INDEX(Calc!$BA$2:$BA$2001,J16)&amp;"")</f>
        <v/>
      </c>
      <c r="J16" s="1">
        <f>IFERROR(MOD(_xlfn.AGGREGATE(15,6,Calc!$BN$2:$BN$2001/(Calc!$AW$2:$AW$2001=$N$3),9),10000),"")</f>
        <v/>
      </c>
      <c r="K16" s="1" t="n"/>
      <c r="L16" s="13" t="inlineStr">
        <is>
          <t>DAILY HABITS</t>
        </is>
      </c>
      <c r="M16" s="27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>
      <c r="A17" s="1" t="n"/>
      <c r="B17" s="91">
        <f>Setup!$D$9+10*Setup!$D$8/1440</f>
        <v/>
      </c>
      <c r="C17" s="92">
        <f>IF(D17="","",INDEX(Calc!$AU$2:$AU$2001,D17))</f>
        <v/>
      </c>
      <c r="D17" s="1">
        <f>IFERROR(_xlfn.AGGREGATE(15,6,(ROW(Calc!$AW$2:$AW$2001)-1)/((Calc!$AW$2:$AW$2001=$N$3)*(Calc!$AX$2:$AX$2001&lt;=B17+0.00001)*(Calc!$AY$2:$AY$2001&gt;B17+0.00001)*(Calc!$AZ$2:$AZ$2001&lt;&gt;"Cancelled")),1),"")</f>
        <v/>
      </c>
      <c r="E17" s="1" t="n"/>
      <c r="F17" s="36">
        <f>IF(J17="","",IF(INDEX(Calc!$BG$2:$BG$2001,J17)=1,"✓","○"))</f>
        <v/>
      </c>
      <c r="G17" s="37">
        <f>IF(J17="","",INDEX(Calc!$AU$2:$AU$2001,J17)&amp;"")</f>
        <v/>
      </c>
      <c r="H17" s="36">
        <f>IF(J17="","",INDEX(Calc!$AV$2:$AV$2001,J17)&amp;"")</f>
        <v/>
      </c>
      <c r="I17" s="36">
        <f>IF(J17="","",INDEX(Calc!$BA$2:$BA$2001,J17)&amp;"")</f>
        <v/>
      </c>
      <c r="J17" s="1">
        <f>IFERROR(MOD(_xlfn.AGGREGATE(15,6,Calc!$BN$2:$BN$2001/(Calc!$AW$2:$AW$2001=$N$3),10),10000),"")</f>
        <v/>
      </c>
      <c r="K17" s="1" t="n"/>
      <c r="L17" s="37">
        <f>IF('Habit Tracker'!$B$9="","",'Habit Tracker'!$B$9)</f>
        <v/>
      </c>
      <c r="M17" s="95">
        <f>IF(L17="","",IFERROR(IF(INDEX('Habit Tracker'!$E$9:$ND$9,$N$3-'Habit Tracker'!$E$7+1)="✓","✓","○"),""))</f>
        <v/>
      </c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>
      <c r="A18" s="1" t="n"/>
      <c r="B18" s="91">
        <f>Setup!$D$9+11*Setup!$D$8/1440</f>
        <v/>
      </c>
      <c r="C18" s="92">
        <f>IF(D18="","",INDEX(Calc!$AU$2:$AU$2001,D18))</f>
        <v/>
      </c>
      <c r="D18" s="1">
        <f>IFERROR(_xlfn.AGGREGATE(15,6,(ROW(Calc!$AW$2:$AW$2001)-1)/((Calc!$AW$2:$AW$2001=$N$3)*(Calc!$AX$2:$AX$2001&lt;=B18+0.00001)*(Calc!$AY$2:$AY$2001&gt;B18+0.00001)*(Calc!$AZ$2:$AZ$2001&lt;&gt;"Cancelled")),1),"")</f>
        <v/>
      </c>
      <c r="E18" s="1" t="n"/>
      <c r="F18" s="36">
        <f>IF(J18="","",IF(INDEX(Calc!$BG$2:$BG$2001,J18)=1,"✓","○"))</f>
        <v/>
      </c>
      <c r="G18" s="37">
        <f>IF(J18="","",INDEX(Calc!$AU$2:$AU$2001,J18)&amp;"")</f>
        <v/>
      </c>
      <c r="H18" s="36">
        <f>IF(J18="","",INDEX(Calc!$AV$2:$AV$2001,J18)&amp;"")</f>
        <v/>
      </c>
      <c r="I18" s="36">
        <f>IF(J18="","",INDEX(Calc!$BA$2:$BA$2001,J18)&amp;"")</f>
        <v/>
      </c>
      <c r="J18" s="1">
        <f>IFERROR(MOD(_xlfn.AGGREGATE(15,6,Calc!$BN$2:$BN$2001/(Calc!$AW$2:$AW$2001=$N$3),11),10000),"")</f>
        <v/>
      </c>
      <c r="K18" s="1" t="n"/>
      <c r="L18" s="37">
        <f>IF('Habit Tracker'!$B$10="","",'Habit Tracker'!$B$10)</f>
        <v/>
      </c>
      <c r="M18" s="95">
        <f>IF(L18="","",IFERROR(IF(INDEX('Habit Tracker'!$E$10:$ND$10,$N$3-'Habit Tracker'!$E$7+1)="✓","✓","○"),""))</f>
        <v/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>
      <c r="A19" s="1" t="n"/>
      <c r="B19" s="91">
        <f>Setup!$D$9+12*Setup!$D$8/1440</f>
        <v/>
      </c>
      <c r="C19" s="92">
        <f>IF(D19="","",INDEX(Calc!$AU$2:$AU$2001,D19))</f>
        <v/>
      </c>
      <c r="D19" s="1">
        <f>IFERROR(_xlfn.AGGREGATE(15,6,(ROW(Calc!$AW$2:$AW$2001)-1)/((Calc!$AW$2:$AW$2001=$N$3)*(Calc!$AX$2:$AX$2001&lt;=B19+0.00001)*(Calc!$AY$2:$AY$2001&gt;B19+0.00001)*(Calc!$AZ$2:$AZ$2001&lt;&gt;"Cancelled")),1),"")</f>
        <v/>
      </c>
      <c r="E19" s="1" t="n"/>
      <c r="F19" s="36">
        <f>IF(J19="","",IF(INDEX(Calc!$BG$2:$BG$2001,J19)=1,"✓","○"))</f>
        <v/>
      </c>
      <c r="G19" s="37">
        <f>IF(J19="","",INDEX(Calc!$AU$2:$AU$2001,J19)&amp;"")</f>
        <v/>
      </c>
      <c r="H19" s="36">
        <f>IF(J19="","",INDEX(Calc!$AV$2:$AV$2001,J19)&amp;"")</f>
        <v/>
      </c>
      <c r="I19" s="36">
        <f>IF(J19="","",INDEX(Calc!$BA$2:$BA$2001,J19)&amp;"")</f>
        <v/>
      </c>
      <c r="J19" s="1">
        <f>IFERROR(MOD(_xlfn.AGGREGATE(15,6,Calc!$BN$2:$BN$2001/(Calc!$AW$2:$AW$2001=$N$3),12),10000),"")</f>
        <v/>
      </c>
      <c r="K19" s="1" t="n"/>
      <c r="L19" s="37">
        <f>IF('Habit Tracker'!$B$11="","",'Habit Tracker'!$B$11)</f>
        <v/>
      </c>
      <c r="M19" s="95">
        <f>IF(L19="","",IFERROR(IF(INDEX('Habit Tracker'!$E$11:$ND$11,$N$3-'Habit Tracker'!$E$7+1)="✓","✓","○"),""))</f>
        <v/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>
      <c r="A20" s="1" t="n"/>
      <c r="B20" s="91">
        <f>Setup!$D$9+13*Setup!$D$8/1440</f>
        <v/>
      </c>
      <c r="C20" s="92">
        <f>IF(D20="","",INDEX(Calc!$AU$2:$AU$2001,D20))</f>
        <v/>
      </c>
      <c r="D20" s="1">
        <f>IFERROR(_xlfn.AGGREGATE(15,6,(ROW(Calc!$AW$2:$AW$2001)-1)/((Calc!$AW$2:$AW$2001=$N$3)*(Calc!$AX$2:$AX$2001&lt;=B20+0.00001)*(Calc!$AY$2:$AY$2001&gt;B20+0.00001)*(Calc!$AZ$2:$AZ$2001&lt;&gt;"Cancelled")),1),"")</f>
        <v/>
      </c>
      <c r="E20" s="1" t="n"/>
      <c r="F20" s="36">
        <f>IF(J20="","",IF(INDEX(Calc!$BG$2:$BG$2001,J20)=1,"✓","○"))</f>
        <v/>
      </c>
      <c r="G20" s="37">
        <f>IF(J20="","",INDEX(Calc!$AU$2:$AU$2001,J20)&amp;"")</f>
        <v/>
      </c>
      <c r="H20" s="36">
        <f>IF(J20="","",INDEX(Calc!$AV$2:$AV$2001,J20)&amp;"")</f>
        <v/>
      </c>
      <c r="I20" s="36">
        <f>IF(J20="","",INDEX(Calc!$BA$2:$BA$2001,J20)&amp;"")</f>
        <v/>
      </c>
      <c r="J20" s="1">
        <f>IFERROR(MOD(_xlfn.AGGREGATE(15,6,Calc!$BN$2:$BN$2001/(Calc!$AW$2:$AW$2001=$N$3),13),10000),"")</f>
        <v/>
      </c>
      <c r="K20" s="1" t="n"/>
      <c r="L20" s="37">
        <f>IF('Habit Tracker'!$B$12="","",'Habit Tracker'!$B$12)</f>
        <v/>
      </c>
      <c r="M20" s="95">
        <f>IF(L20="","",IFERROR(IF(INDEX('Habit Tracker'!$E$12:$ND$12,$N$3-'Habit Tracker'!$E$7+1)="✓","✓","○"),""))</f>
        <v/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>
      <c r="A21" s="1" t="n"/>
      <c r="B21" s="91">
        <f>Setup!$D$9+14*Setup!$D$8/1440</f>
        <v/>
      </c>
      <c r="C21" s="92">
        <f>IF(D21="","",INDEX(Calc!$AU$2:$AU$2001,D21))</f>
        <v/>
      </c>
      <c r="D21" s="1">
        <f>IFERROR(_xlfn.AGGREGATE(15,6,(ROW(Calc!$AW$2:$AW$2001)-1)/((Calc!$AW$2:$AW$2001=$N$3)*(Calc!$AX$2:$AX$2001&lt;=B21+0.00001)*(Calc!$AY$2:$AY$2001&gt;B21+0.00001)*(Calc!$AZ$2:$AZ$2001&lt;&gt;"Cancelled")),1),"")</f>
        <v/>
      </c>
      <c r="E21" s="1" t="n"/>
      <c r="F21" s="36">
        <f>IF(J21="","",IF(INDEX(Calc!$BG$2:$BG$2001,J21)=1,"✓","○"))</f>
        <v/>
      </c>
      <c r="G21" s="37">
        <f>IF(J21="","",INDEX(Calc!$AU$2:$AU$2001,J21)&amp;"")</f>
        <v/>
      </c>
      <c r="H21" s="36">
        <f>IF(J21="","",INDEX(Calc!$AV$2:$AV$2001,J21)&amp;"")</f>
        <v/>
      </c>
      <c r="I21" s="36">
        <f>IF(J21="","",INDEX(Calc!$BA$2:$BA$2001,J21)&amp;"")</f>
        <v/>
      </c>
      <c r="J21" s="1">
        <f>IFERROR(MOD(_xlfn.AGGREGATE(15,6,Calc!$BN$2:$BN$2001/(Calc!$AW$2:$AW$2001=$N$3),14),10000),"")</f>
        <v/>
      </c>
      <c r="K21" s="1" t="n"/>
      <c r="L21" s="37">
        <f>IF('Habit Tracker'!$B$13="","",'Habit Tracker'!$B$13)</f>
        <v/>
      </c>
      <c r="M21" s="95">
        <f>IF(L21="","",IFERROR(IF(INDEX('Habit Tracker'!$E$13:$ND$13,$N$3-'Habit Tracker'!$E$7+1)="✓","✓","○"),""))</f>
        <v/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>
      <c r="A22" s="1" t="n"/>
      <c r="B22" s="91">
        <f>Setup!$D$9+15*Setup!$D$8/1440</f>
        <v/>
      </c>
      <c r="C22" s="92">
        <f>IF(D22="","",INDEX(Calc!$AU$2:$AU$2001,D22))</f>
        <v/>
      </c>
      <c r="D22" s="1">
        <f>IFERROR(_xlfn.AGGREGATE(15,6,(ROW(Calc!$AW$2:$AW$2001)-1)/((Calc!$AW$2:$AW$2001=$N$3)*(Calc!$AX$2:$AX$2001&lt;=B22+0.00001)*(Calc!$AY$2:$AY$2001&gt;B22+0.00001)*(Calc!$AZ$2:$AZ$2001&lt;&gt;"Cancelled")),1),"")</f>
        <v/>
      </c>
      <c r="E22" s="1" t="n"/>
      <c r="F22" s="36">
        <f>IF(J22="","",IF(INDEX(Calc!$BG$2:$BG$2001,J22)=1,"✓","○"))</f>
        <v/>
      </c>
      <c r="G22" s="37">
        <f>IF(J22="","",INDEX(Calc!$AU$2:$AU$2001,J22)&amp;"")</f>
        <v/>
      </c>
      <c r="H22" s="36">
        <f>IF(J22="","",INDEX(Calc!$AV$2:$AV$2001,J22)&amp;"")</f>
        <v/>
      </c>
      <c r="I22" s="36">
        <f>IF(J22="","",INDEX(Calc!$BA$2:$BA$2001,J22)&amp;"")</f>
        <v/>
      </c>
      <c r="J22" s="1">
        <f>IFERROR(MOD(_xlfn.AGGREGATE(15,6,Calc!$BN$2:$BN$2001/(Calc!$AW$2:$AW$2001=$N$3),15),10000),"")</f>
        <v/>
      </c>
      <c r="K22" s="1" t="n"/>
      <c r="L22" s="37">
        <f>IF('Habit Tracker'!$B$14="","",'Habit Tracker'!$B$14)</f>
        <v/>
      </c>
      <c r="M22" s="95">
        <f>IF(L22="","",IFERROR(IF(INDEX('Habit Tracker'!$E$14:$ND$14,$N$3-'Habit Tracker'!$E$7+1)="✓","✓","○"),""))</f>
        <v/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>
      <c r="A23" s="1" t="n"/>
      <c r="B23" s="91">
        <f>Setup!$D$9+16*Setup!$D$8/1440</f>
        <v/>
      </c>
      <c r="C23" s="92">
        <f>IF(D23="","",INDEX(Calc!$AU$2:$AU$2001,D23))</f>
        <v/>
      </c>
      <c r="D23" s="1">
        <f>IFERROR(_xlfn.AGGREGATE(15,6,(ROW(Calc!$AW$2:$AW$2001)-1)/((Calc!$AW$2:$AW$2001=$N$3)*(Calc!$AX$2:$AX$2001&lt;=B23+0.00001)*(Calc!$AY$2:$AY$2001&gt;B23+0.00001)*(Calc!$AZ$2:$AZ$2001&lt;&gt;"Cancelled")),1),"")</f>
        <v/>
      </c>
      <c r="E23" s="1" t="n"/>
      <c r="F23" s="36">
        <f>IF(J23="","",IF(INDEX(Calc!$BG$2:$BG$2001,J23)=1,"✓","○"))</f>
        <v/>
      </c>
      <c r="G23" s="37">
        <f>IF(J23="","",INDEX(Calc!$AU$2:$AU$2001,J23)&amp;"")</f>
        <v/>
      </c>
      <c r="H23" s="36">
        <f>IF(J23="","",INDEX(Calc!$AV$2:$AV$2001,J23)&amp;"")</f>
        <v/>
      </c>
      <c r="I23" s="36">
        <f>IF(J23="","",INDEX(Calc!$BA$2:$BA$2001,J23)&amp;"")</f>
        <v/>
      </c>
      <c r="J23" s="1">
        <f>IFERROR(MOD(_xlfn.AGGREGATE(15,6,Calc!$BN$2:$BN$2001/(Calc!$AW$2:$AW$2001=$N$3),16),10000),"")</f>
        <v/>
      </c>
      <c r="K23" s="1" t="n"/>
      <c r="L23" s="37">
        <f>IF('Habit Tracker'!$B$15="","",'Habit Tracker'!$B$15)</f>
        <v/>
      </c>
      <c r="M23" s="95">
        <f>IF(L23="","",IFERROR(IF(INDEX('Habit Tracker'!$E$15:$ND$15,$N$3-'Habit Tracker'!$E$7+1)="✓","✓","○"),""))</f>
        <v/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>
      <c r="A24" s="1" t="n"/>
      <c r="B24" s="91">
        <f>Setup!$D$9+17*Setup!$D$8/1440</f>
        <v/>
      </c>
      <c r="C24" s="92">
        <f>IF(D24="","",INDEX(Calc!$AU$2:$AU$2001,D24))</f>
        <v/>
      </c>
      <c r="D24" s="1">
        <f>IFERROR(_xlfn.AGGREGATE(15,6,(ROW(Calc!$AW$2:$AW$2001)-1)/((Calc!$AW$2:$AW$2001=$N$3)*(Calc!$AX$2:$AX$2001&lt;=B24+0.00001)*(Calc!$AY$2:$AY$2001&gt;B24+0.00001)*(Calc!$AZ$2:$AZ$2001&lt;&gt;"Cancelled")),1),"")</f>
        <v/>
      </c>
      <c r="E24" s="1" t="n"/>
      <c r="F24" s="36">
        <f>IF(J24="","",IF(INDEX(Calc!$BG$2:$BG$2001,J24)=1,"✓","○"))</f>
        <v/>
      </c>
      <c r="G24" s="37">
        <f>IF(J24="","",INDEX(Calc!$AU$2:$AU$2001,J24)&amp;"")</f>
        <v/>
      </c>
      <c r="H24" s="36">
        <f>IF(J24="","",INDEX(Calc!$AV$2:$AV$2001,J24)&amp;"")</f>
        <v/>
      </c>
      <c r="I24" s="36">
        <f>IF(J24="","",INDEX(Calc!$BA$2:$BA$2001,J24)&amp;"")</f>
        <v/>
      </c>
      <c r="J24" s="1">
        <f>IFERROR(MOD(_xlfn.AGGREGATE(15,6,Calc!$BN$2:$BN$2001/(Calc!$AW$2:$AW$2001=$N$3),17),10000),"")</f>
        <v/>
      </c>
      <c r="K24" s="1" t="n"/>
      <c r="L24" s="37">
        <f>IF('Habit Tracker'!$B$16="","",'Habit Tracker'!$B$16)</f>
        <v/>
      </c>
      <c r="M24" s="95">
        <f>IF(L24="","",IFERROR(IF(INDEX('Habit Tracker'!$E$16:$ND$16,$N$3-'Habit Tracker'!$E$7+1)="✓","✓","○"),""))</f>
        <v/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>
      <c r="A25" s="1" t="n"/>
      <c r="B25" s="91">
        <f>Setup!$D$9+18*Setup!$D$8/1440</f>
        <v/>
      </c>
      <c r="C25" s="92">
        <f>IF(D25="","",INDEX(Calc!$AU$2:$AU$2001,D25))</f>
        <v/>
      </c>
      <c r="D25" s="1">
        <f>IFERROR(_xlfn.AGGREGATE(15,6,(ROW(Calc!$AW$2:$AW$2001)-1)/((Calc!$AW$2:$AW$2001=$N$3)*(Calc!$AX$2:$AX$2001&lt;=B25+0.00001)*(Calc!$AY$2:$AY$2001&gt;B25+0.00001)*(Calc!$AZ$2:$AZ$2001&lt;&gt;"Cancelled")),1),"")</f>
        <v/>
      </c>
      <c r="E25" s="1" t="n"/>
      <c r="F25" s="36">
        <f>IF(J25="","",IF(INDEX(Calc!$BG$2:$BG$2001,J25)=1,"✓","○"))</f>
        <v/>
      </c>
      <c r="G25" s="37">
        <f>IF(J25="","",INDEX(Calc!$AU$2:$AU$2001,J25)&amp;"")</f>
        <v/>
      </c>
      <c r="H25" s="36">
        <f>IF(J25="","",INDEX(Calc!$AV$2:$AV$2001,J25)&amp;"")</f>
        <v/>
      </c>
      <c r="I25" s="36">
        <f>IF(J25="","",INDEX(Calc!$BA$2:$BA$2001,J25)&amp;"")</f>
        <v/>
      </c>
      <c r="J25" s="1">
        <f>IFERROR(MOD(_xlfn.AGGREGATE(15,6,Calc!$BN$2:$BN$2001/(Calc!$AW$2:$AW$2001=$N$3),18),10000),"")</f>
        <v/>
      </c>
      <c r="K25" s="1" t="n"/>
      <c r="L25" s="37">
        <f>IF('Habit Tracker'!$B$17="","",'Habit Tracker'!$B$17)</f>
        <v/>
      </c>
      <c r="M25" s="95">
        <f>IF(L25="","",IFERROR(IF(INDEX('Habit Tracker'!$E$17:$ND$17,$N$3-'Habit Tracker'!$E$7+1)="✓","✓","○"),""))</f>
        <v/>
      </c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>
      <c r="A26" s="1" t="n"/>
      <c r="B26" s="91">
        <f>Setup!$D$9+19*Setup!$D$8/1440</f>
        <v/>
      </c>
      <c r="C26" s="92">
        <f>IF(D26="","",INDEX(Calc!$AU$2:$AU$2001,D26))</f>
        <v/>
      </c>
      <c r="D26" s="1">
        <f>IFERROR(_xlfn.AGGREGATE(15,6,(ROW(Calc!$AW$2:$AW$2001)-1)/((Calc!$AW$2:$AW$2001=$N$3)*(Calc!$AX$2:$AX$2001&lt;=B26+0.00001)*(Calc!$AY$2:$AY$2001&gt;B26+0.00001)*(Calc!$AZ$2:$AZ$2001&lt;&gt;"Cancelled")),1),"")</f>
        <v/>
      </c>
      <c r="E26" s="1" t="n"/>
      <c r="F26" s="36">
        <f>IF(J26="","",IF(INDEX(Calc!$BG$2:$BG$2001,J26)=1,"✓","○"))</f>
        <v/>
      </c>
      <c r="G26" s="37">
        <f>IF(J26="","",INDEX(Calc!$AU$2:$AU$2001,J26)&amp;"")</f>
        <v/>
      </c>
      <c r="H26" s="36">
        <f>IF(J26="","",INDEX(Calc!$AV$2:$AV$2001,J26)&amp;"")</f>
        <v/>
      </c>
      <c r="I26" s="36">
        <f>IF(J26="","",INDEX(Calc!$BA$2:$BA$2001,J26)&amp;"")</f>
        <v/>
      </c>
      <c r="J26" s="1">
        <f>IFERROR(MOD(_xlfn.AGGREGATE(15,6,Calc!$BN$2:$BN$2001/(Calc!$AW$2:$AW$2001=$N$3),19),10000),"")</f>
        <v/>
      </c>
      <c r="K26" s="1" t="n"/>
      <c r="L26" s="37">
        <f>IF('Habit Tracker'!$B$18="","",'Habit Tracker'!$B$18)</f>
        <v/>
      </c>
      <c r="M26" s="95">
        <f>IF(L26="","",IFERROR(IF(INDEX('Habit Tracker'!$E$18:$ND$18,$N$3-'Habit Tracker'!$E$7+1)="✓","✓","○"),""))</f>
        <v/>
      </c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>
      <c r="A27" s="1" t="n"/>
      <c r="B27" s="91">
        <f>Setup!$D$9+20*Setup!$D$8/1440</f>
        <v/>
      </c>
      <c r="C27" s="92">
        <f>IF(D27="","",INDEX(Calc!$AU$2:$AU$2001,D27))</f>
        <v/>
      </c>
      <c r="D27" s="1">
        <f>IFERROR(_xlfn.AGGREGATE(15,6,(ROW(Calc!$AW$2:$AW$2001)-1)/((Calc!$AW$2:$AW$2001=$N$3)*(Calc!$AX$2:$AX$2001&lt;=B27+0.00001)*(Calc!$AY$2:$AY$2001&gt;B27+0.00001)*(Calc!$AZ$2:$AZ$2001&lt;&gt;"Cancelled")),1),"")</f>
        <v/>
      </c>
      <c r="E27" s="1" t="n"/>
      <c r="F27" s="36">
        <f>IF(J27="","",IF(INDEX(Calc!$BG$2:$BG$2001,J27)=1,"✓","○"))</f>
        <v/>
      </c>
      <c r="G27" s="37">
        <f>IF(J27="","",INDEX(Calc!$AU$2:$AU$2001,J27)&amp;"")</f>
        <v/>
      </c>
      <c r="H27" s="36">
        <f>IF(J27="","",INDEX(Calc!$AV$2:$AV$2001,J27)&amp;"")</f>
        <v/>
      </c>
      <c r="I27" s="36">
        <f>IF(J27="","",INDEX(Calc!$BA$2:$BA$2001,J27)&amp;"")</f>
        <v/>
      </c>
      <c r="J27" s="1">
        <f>IFERROR(MOD(_xlfn.AGGREGATE(15,6,Calc!$BN$2:$BN$2001/(Calc!$AW$2:$AW$2001=$N$3),20),10000),"")</f>
        <v/>
      </c>
      <c r="K27" s="1" t="n"/>
      <c r="L27" s="37">
        <f>IF('Habit Tracker'!$B$19="","",'Habit Tracker'!$B$19)</f>
        <v/>
      </c>
      <c r="M27" s="95">
        <f>IF(L27="","",IFERROR(IF(INDEX('Habit Tracker'!$E$19:$ND$19,$N$3-'Habit Tracker'!$E$7+1)="✓","✓","○"),""))</f>
        <v/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>
      <c r="A28" s="1" t="n"/>
      <c r="B28" s="91">
        <f>Setup!$D$9+21*Setup!$D$8/1440</f>
        <v/>
      </c>
      <c r="C28" s="92">
        <f>IF(D28="","",INDEX(Calc!$AU$2:$AU$2001,D28))</f>
        <v/>
      </c>
      <c r="D28" s="1">
        <f>IFERROR(_xlfn.AGGREGATE(15,6,(ROW(Calc!$AW$2:$AW$2001)-1)/((Calc!$AW$2:$AW$2001=$N$3)*(Calc!$AX$2:$AX$2001&lt;=B28+0.00001)*(Calc!$AY$2:$AY$2001&gt;B28+0.00001)*(Calc!$AZ$2:$AZ$2001&lt;&gt;"Cancelled")),1),"")</f>
        <v/>
      </c>
      <c r="E28" s="1" t="n"/>
      <c r="F28" s="36">
        <f>IF(J28="","",IF(INDEX(Calc!$BG$2:$BG$2001,J28)=1,"✓","○"))</f>
        <v/>
      </c>
      <c r="G28" s="37">
        <f>IF(J28="","",INDEX(Calc!$AU$2:$AU$2001,J28)&amp;"")</f>
        <v/>
      </c>
      <c r="H28" s="36">
        <f>IF(J28="","",INDEX(Calc!$AV$2:$AV$2001,J28)&amp;"")</f>
        <v/>
      </c>
      <c r="I28" s="36">
        <f>IF(J28="","",INDEX(Calc!$BA$2:$BA$2001,J28)&amp;"")</f>
        <v/>
      </c>
      <c r="J28" s="1">
        <f>IFERROR(MOD(_xlfn.AGGREGATE(15,6,Calc!$BN$2:$BN$2001/(Calc!$AW$2:$AW$2001=$N$3),21),10000),"")</f>
        <v/>
      </c>
      <c r="K28" s="1" t="n"/>
      <c r="L28" s="37">
        <f>IF('Habit Tracker'!$B$20="","",'Habit Tracker'!$B$20)</f>
        <v/>
      </c>
      <c r="M28" s="95">
        <f>IF(L28="","",IFERROR(IF(INDEX('Habit Tracker'!$E$20:$ND$20,$N$3-'Habit Tracker'!$E$7+1)="✓","✓","○"),""))</f>
        <v/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>
      <c r="A29" s="1" t="n"/>
      <c r="B29" s="91">
        <f>Setup!$D$9+22*Setup!$D$8/1440</f>
        <v/>
      </c>
      <c r="C29" s="92">
        <f>IF(D29="","",INDEX(Calc!$AU$2:$AU$2001,D29))</f>
        <v/>
      </c>
      <c r="D29" s="1">
        <f>IFERROR(_xlfn.AGGREGATE(15,6,(ROW(Calc!$AW$2:$AW$2001)-1)/((Calc!$AW$2:$AW$2001=$N$3)*(Calc!$AX$2:$AX$2001&lt;=B29+0.00001)*(Calc!$AY$2:$AY$2001&gt;B29+0.00001)*(Calc!$AZ$2:$AZ$2001&lt;&gt;"Cancelled")),1),"")</f>
        <v/>
      </c>
      <c r="E29" s="1" t="n"/>
      <c r="F29" s="36">
        <f>IF(J29="","",IF(INDEX(Calc!$BG$2:$BG$2001,J29)=1,"✓","○"))</f>
        <v/>
      </c>
      <c r="G29" s="37">
        <f>IF(J29="","",INDEX(Calc!$AU$2:$AU$2001,J29)&amp;"")</f>
        <v/>
      </c>
      <c r="H29" s="36">
        <f>IF(J29="","",INDEX(Calc!$AV$2:$AV$2001,J29)&amp;"")</f>
        <v/>
      </c>
      <c r="I29" s="36">
        <f>IF(J29="","",INDEX(Calc!$BA$2:$BA$2001,J29)&amp;"")</f>
        <v/>
      </c>
      <c r="J29" s="1">
        <f>IFERROR(MOD(_xlfn.AGGREGATE(15,6,Calc!$BN$2:$BN$2001/(Calc!$AW$2:$AW$2001=$N$3),22),10000),"")</f>
        <v/>
      </c>
      <c r="K29" s="1" t="n"/>
      <c r="L29" s="37">
        <f>IF('Habit Tracker'!$B$21="","",'Habit Tracker'!$B$21)</f>
        <v/>
      </c>
      <c r="M29" s="95">
        <f>IF(L29="","",IFERROR(IF(INDEX('Habit Tracker'!$E$21:$ND$21,$N$3-'Habit Tracker'!$E$7+1)="✓","✓","○"),""))</f>
        <v/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  <row r="30">
      <c r="A30" s="1" t="n"/>
      <c r="B30" s="91">
        <f>Setup!$D$9+23*Setup!$D$8/1440</f>
        <v/>
      </c>
      <c r="C30" s="92">
        <f>IF(D30="","",INDEX(Calc!$AU$2:$AU$2001,D30))</f>
        <v/>
      </c>
      <c r="D30" s="1">
        <f>IFERROR(_xlfn.AGGREGATE(15,6,(ROW(Calc!$AW$2:$AW$2001)-1)/((Calc!$AW$2:$AW$2001=$N$3)*(Calc!$AX$2:$AX$2001&lt;=B30+0.00001)*(Calc!$AY$2:$AY$2001&gt;B30+0.00001)*(Calc!$AZ$2:$AZ$2001&lt;&gt;"Cancelled")),1),"")</f>
        <v/>
      </c>
      <c r="E30" s="1" t="n"/>
      <c r="F30" s="36">
        <f>IF(J30="","",IF(INDEX(Calc!$BG$2:$BG$2001,J30)=1,"✓","○"))</f>
        <v/>
      </c>
      <c r="G30" s="37">
        <f>IF(J30="","",INDEX(Calc!$AU$2:$AU$2001,J30)&amp;"")</f>
        <v/>
      </c>
      <c r="H30" s="36">
        <f>IF(J30="","",INDEX(Calc!$AV$2:$AV$2001,J30)&amp;"")</f>
        <v/>
      </c>
      <c r="I30" s="36">
        <f>IF(J30="","",INDEX(Calc!$BA$2:$BA$2001,J30)&amp;"")</f>
        <v/>
      </c>
      <c r="J30" s="1">
        <f>IFERROR(MOD(_xlfn.AGGREGATE(15,6,Calc!$BN$2:$BN$2001/(Calc!$AW$2:$AW$2001=$N$3),23),10000),"")</f>
        <v/>
      </c>
      <c r="K30" s="1" t="n"/>
      <c r="L30" s="37">
        <f>IF('Habit Tracker'!$B$22="","",'Habit Tracker'!$B$22)</f>
        <v/>
      </c>
      <c r="M30" s="95">
        <f>IF(L30="","",IFERROR(IF(INDEX('Habit Tracker'!$E$22:$ND$22,$N$3-'Habit Tracker'!$E$7+1)="✓","✓","○"),""))</f>
        <v/>
      </c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>
      <c r="A31" s="1" t="n"/>
      <c r="B31" s="91">
        <f>Setup!$D$9+24*Setup!$D$8/1440</f>
        <v/>
      </c>
      <c r="C31" s="92">
        <f>IF(D31="","",INDEX(Calc!$AU$2:$AU$2001,D31))</f>
        <v/>
      </c>
      <c r="D31" s="1">
        <f>IFERROR(_xlfn.AGGREGATE(15,6,(ROW(Calc!$AW$2:$AW$2001)-1)/((Calc!$AW$2:$AW$2001=$N$3)*(Calc!$AX$2:$AX$2001&lt;=B31+0.00001)*(Calc!$AY$2:$AY$2001&gt;B31+0.00001)*(Calc!$AZ$2:$AZ$2001&lt;&gt;"Cancelled")),1),"")</f>
        <v/>
      </c>
      <c r="E31" s="1" t="n"/>
      <c r="F31" s="36">
        <f>IF(J31="","",IF(INDEX(Calc!$BG$2:$BG$2001,J31)=1,"✓","○"))</f>
        <v/>
      </c>
      <c r="G31" s="37">
        <f>IF(J31="","",INDEX(Calc!$AU$2:$AU$2001,J31)&amp;"")</f>
        <v/>
      </c>
      <c r="H31" s="36">
        <f>IF(J31="","",INDEX(Calc!$AV$2:$AV$2001,J31)&amp;"")</f>
        <v/>
      </c>
      <c r="I31" s="36">
        <f>IF(J31="","",INDEX(Calc!$BA$2:$BA$2001,J31)&amp;"")</f>
        <v/>
      </c>
      <c r="J31" s="1">
        <f>IFERROR(MOD(_xlfn.AGGREGATE(15,6,Calc!$BN$2:$BN$2001/(Calc!$AW$2:$AW$2001=$N$3),24),10000),"")</f>
        <v/>
      </c>
      <c r="K31" s="1" t="n"/>
      <c r="L31" s="37">
        <f>IF('Habit Tracker'!$B$23="","",'Habit Tracker'!$B$23)</f>
        <v/>
      </c>
      <c r="M31" s="95">
        <f>IF(L31="","",IFERROR(IF(INDEX('Habit Tracker'!$E$23:$ND$23,$N$3-'Habit Tracker'!$E$7+1)="✓","✓","○"),""))</f>
        <v/>
      </c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>
      <c r="A32" s="1" t="n"/>
      <c r="B32" s="91">
        <f>Setup!$D$9+25*Setup!$D$8/1440</f>
        <v/>
      </c>
      <c r="C32" s="92">
        <f>IF(D32="","",INDEX(Calc!$AU$2:$AU$2001,D32))</f>
        <v/>
      </c>
      <c r="D32" s="1">
        <f>IFERROR(_xlfn.AGGREGATE(15,6,(ROW(Calc!$AW$2:$AW$2001)-1)/((Calc!$AW$2:$AW$2001=$N$3)*(Calc!$AX$2:$AX$2001&lt;=B32+0.00001)*(Calc!$AY$2:$AY$2001&gt;B32+0.00001)*(Calc!$AZ$2:$AZ$2001&lt;&gt;"Cancelled")),1),"")</f>
        <v/>
      </c>
      <c r="E32" s="1" t="n"/>
      <c r="F32" s="36">
        <f>IF(J32="","",IF(INDEX(Calc!$BG$2:$BG$2001,J32)=1,"✓","○"))</f>
        <v/>
      </c>
      <c r="G32" s="37">
        <f>IF(J32="","",INDEX(Calc!$AU$2:$AU$2001,J32)&amp;"")</f>
        <v/>
      </c>
      <c r="H32" s="36">
        <f>IF(J32="","",INDEX(Calc!$AV$2:$AV$2001,J32)&amp;"")</f>
        <v/>
      </c>
      <c r="I32" s="36">
        <f>IF(J32="","",INDEX(Calc!$BA$2:$BA$2001,J32)&amp;"")</f>
        <v/>
      </c>
      <c r="J32" s="1">
        <f>IFERROR(MOD(_xlfn.AGGREGATE(15,6,Calc!$BN$2:$BN$2001/(Calc!$AW$2:$AW$2001=$N$3),25),10000),"")</f>
        <v/>
      </c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>
      <c r="A33" s="1" t="n"/>
      <c r="B33" s="91">
        <f>Setup!$D$9+26*Setup!$D$8/1440</f>
        <v/>
      </c>
      <c r="C33" s="92">
        <f>IF(D33="","",INDEX(Calc!$AU$2:$AU$2001,D33))</f>
        <v/>
      </c>
      <c r="D33" s="1">
        <f>IFERROR(_xlfn.AGGREGATE(15,6,(ROW(Calc!$AW$2:$AW$2001)-1)/((Calc!$AW$2:$AW$2001=$N$3)*(Calc!$AX$2:$AX$2001&lt;=B33+0.00001)*(Calc!$AY$2:$AY$2001&gt;B33+0.00001)*(Calc!$AZ$2:$AZ$2001&lt;&gt;"Cancelled")),1),"")</f>
        <v/>
      </c>
      <c r="E33" s="1" t="n"/>
      <c r="F33" s="1" t="n"/>
      <c r="G33" s="1" t="n"/>
      <c r="H33" s="1" t="n"/>
      <c r="I33" s="1" t="n"/>
      <c r="J33" s="1" t="n"/>
      <c r="K33" s="1" t="n"/>
      <c r="L33" s="11" t="inlineStr">
        <is>
          <t>NOTES</t>
        </is>
      </c>
      <c r="M33" s="25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>
      <c r="A34" s="1" t="n"/>
      <c r="B34" s="91">
        <f>Setup!$D$9+27*Setup!$D$8/1440</f>
        <v/>
      </c>
      <c r="C34" s="92">
        <f>IF(D34="","",INDEX(Calc!$AU$2:$AU$2001,D34))</f>
        <v/>
      </c>
      <c r="D34" s="1">
        <f>IFERROR(_xlfn.AGGREGATE(15,6,(ROW(Calc!$AW$2:$AW$2001)-1)/((Calc!$AW$2:$AW$2001=$N$3)*(Calc!$AX$2:$AX$2001&lt;=B34+0.00001)*(Calc!$AY$2:$AY$2001&gt;B34+0.00001)*(Calc!$AZ$2:$AZ$2001&lt;&gt;"Cancelled")),1),"")</f>
        <v/>
      </c>
      <c r="E34" s="1" t="n"/>
      <c r="F34" s="1" t="n"/>
      <c r="G34" s="1" t="n"/>
      <c r="H34" s="1" t="n"/>
      <c r="I34" s="1" t="n"/>
      <c r="J34" s="1" t="n"/>
      <c r="K34" s="1" t="n"/>
      <c r="L34" s="93" t="n"/>
      <c r="M34" s="35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>
      <c r="A35" s="1" t="n"/>
      <c r="B35" s="91">
        <f>Setup!$D$9+28*Setup!$D$8/1440</f>
        <v/>
      </c>
      <c r="C35" s="92">
        <f>IF(D35="","",INDEX(Calc!$AU$2:$AU$2001,D35))</f>
        <v/>
      </c>
      <c r="D35" s="1">
        <f>IFERROR(_xlfn.AGGREGATE(15,6,(ROW(Calc!$AW$2:$AW$2001)-1)/((Calc!$AW$2:$AW$2001=$N$3)*(Calc!$AX$2:$AX$2001&lt;=B35+0.00001)*(Calc!$AY$2:$AY$2001&gt;B35+0.00001)*(Calc!$AZ$2:$AZ$2001&lt;&gt;"Cancelled")),1),"")</f>
        <v/>
      </c>
      <c r="E35" s="1" t="n"/>
      <c r="F35" s="1" t="n"/>
      <c r="G35" s="1" t="n"/>
      <c r="H35" s="1" t="n"/>
      <c r="I35" s="1" t="n"/>
      <c r="J35" s="1" t="n"/>
      <c r="K35" s="1" t="n"/>
      <c r="L35" s="35" t="n"/>
      <c r="M35" s="35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>
      <c r="A36" s="1" t="n"/>
      <c r="B36" s="91">
        <f>Setup!$D$9+29*Setup!$D$8/1440</f>
        <v/>
      </c>
      <c r="C36" s="92">
        <f>IF(D36="","",INDEX(Calc!$AU$2:$AU$2001,D36))</f>
        <v/>
      </c>
      <c r="D36" s="1">
        <f>IFERROR(_xlfn.AGGREGATE(15,6,(ROW(Calc!$AW$2:$AW$2001)-1)/((Calc!$AW$2:$AW$2001=$N$3)*(Calc!$AX$2:$AX$2001&lt;=B36+0.00001)*(Calc!$AY$2:$AY$2001&gt;B36+0.00001)*(Calc!$AZ$2:$AZ$2001&lt;&gt;"Cancelled")),1),"")</f>
        <v/>
      </c>
      <c r="E36" s="1" t="n"/>
      <c r="F36" s="1" t="n"/>
      <c r="G36" s="1" t="n"/>
      <c r="H36" s="1" t="n"/>
      <c r="I36" s="1" t="n"/>
      <c r="J36" s="1" t="n"/>
      <c r="K36" s="1" t="n"/>
      <c r="L36" s="35" t="n"/>
      <c r="M36" s="35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>
      <c r="A37" s="1" t="n"/>
      <c r="B37" s="91">
        <f>Setup!$D$9+30*Setup!$D$8/1440</f>
        <v/>
      </c>
      <c r="C37" s="92">
        <f>IF(D37="","",INDEX(Calc!$AU$2:$AU$2001,D37))</f>
        <v/>
      </c>
      <c r="D37" s="1">
        <f>IFERROR(_xlfn.AGGREGATE(15,6,(ROW(Calc!$AW$2:$AW$2001)-1)/((Calc!$AW$2:$AW$2001=$N$3)*(Calc!$AX$2:$AX$2001&lt;=B37+0.00001)*(Calc!$AY$2:$AY$2001&gt;B37+0.00001)*(Calc!$AZ$2:$AZ$2001&lt;&gt;"Cancelled")),1),"")</f>
        <v/>
      </c>
      <c r="E37" s="1" t="n"/>
      <c r="F37" s="1" t="n"/>
      <c r="G37" s="1" t="n"/>
      <c r="H37" s="1" t="n"/>
      <c r="I37" s="1" t="n"/>
      <c r="J37" s="1" t="n"/>
      <c r="K37" s="1" t="n"/>
      <c r="L37" s="35" t="n"/>
      <c r="M37" s="35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>
      <c r="A38" s="1" t="n"/>
      <c r="B38" s="91">
        <f>Setup!$D$9+31*Setup!$D$8/1440</f>
        <v/>
      </c>
      <c r="C38" s="92">
        <f>IF(D38="","",INDEX(Calc!$AU$2:$AU$2001,D38))</f>
        <v/>
      </c>
      <c r="D38" s="1">
        <f>IFERROR(_xlfn.AGGREGATE(15,6,(ROW(Calc!$AW$2:$AW$2001)-1)/((Calc!$AW$2:$AW$2001=$N$3)*(Calc!$AX$2:$AX$2001&lt;=B38+0.00001)*(Calc!$AY$2:$AY$2001&gt;B38+0.00001)*(Calc!$AZ$2:$AZ$2001&lt;&gt;"Cancelled")),1),"")</f>
        <v/>
      </c>
      <c r="E38" s="1" t="n"/>
      <c r="F38" s="1" t="n"/>
      <c r="G38" s="1" t="n"/>
      <c r="H38" s="1" t="n"/>
      <c r="I38" s="1" t="n"/>
      <c r="J38" s="1" t="n"/>
      <c r="K38" s="1" t="n"/>
      <c r="L38" s="35" t="n"/>
      <c r="M38" s="35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</row>
    <row r="39">
      <c r="A39" s="1" t="n"/>
      <c r="B39" s="91">
        <f>Setup!$D$9+32*Setup!$D$8/1440</f>
        <v/>
      </c>
      <c r="C39" s="92">
        <f>IF(D39="","",INDEX(Calc!$AU$2:$AU$2001,D39))</f>
        <v/>
      </c>
      <c r="D39" s="1">
        <f>IFERROR(_xlfn.AGGREGATE(15,6,(ROW(Calc!$AW$2:$AW$2001)-1)/((Calc!$AW$2:$AW$2001=$N$3)*(Calc!$AX$2:$AX$2001&lt;=B39+0.00001)*(Calc!$AY$2:$AY$2001&gt;B39+0.00001)*(Calc!$AZ$2:$AZ$2001&lt;&gt;"Cancelled")),1),"")</f>
        <v/>
      </c>
      <c r="E39" s="1" t="n"/>
      <c r="F39" s="1" t="n"/>
      <c r="G39" s="1" t="n"/>
      <c r="H39" s="1" t="n"/>
      <c r="I39" s="1" t="n"/>
      <c r="J39" s="1" t="n"/>
      <c r="K39" s="1" t="n"/>
      <c r="L39" s="35" t="n"/>
      <c r="M39" s="35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</row>
    <row r="40">
      <c r="A40" s="1" t="n"/>
      <c r="B40" s="91">
        <f>Setup!$D$9+33*Setup!$D$8/1440</f>
        <v/>
      </c>
      <c r="C40" s="92">
        <f>IF(D40="","",INDEX(Calc!$AU$2:$AU$2001,D40))</f>
        <v/>
      </c>
      <c r="D40" s="1">
        <f>IFERROR(_xlfn.AGGREGATE(15,6,(ROW(Calc!$AW$2:$AW$2001)-1)/((Calc!$AW$2:$AW$2001=$N$3)*(Calc!$AX$2:$AX$2001&lt;=B40+0.00001)*(Calc!$AY$2:$AY$2001&gt;B40+0.00001)*(Calc!$AZ$2:$AZ$2001&lt;&gt;"Cancelled")),1),"")</f>
        <v/>
      </c>
      <c r="E40" s="1" t="n"/>
      <c r="F40" s="1" t="n"/>
      <c r="G40" s="1" t="n"/>
      <c r="H40" s="1" t="n"/>
      <c r="I40" s="1" t="n"/>
      <c r="J40" s="1" t="n"/>
      <c r="K40" s="1" t="n"/>
      <c r="L40" s="35" t="n"/>
      <c r="M40" s="35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</row>
    <row r="41">
      <c r="A41" s="1" t="n"/>
      <c r="B41" s="91">
        <f>Setup!$D$9+34*Setup!$D$8/1440</f>
        <v/>
      </c>
      <c r="C41" s="92">
        <f>IF(D41="","",INDEX(Calc!$AU$2:$AU$2001,D41))</f>
        <v/>
      </c>
      <c r="D41" s="1">
        <f>IFERROR(_xlfn.AGGREGATE(15,6,(ROW(Calc!$AW$2:$AW$2001)-1)/((Calc!$AW$2:$AW$2001=$N$3)*(Calc!$AX$2:$AX$2001&lt;=B41+0.00001)*(Calc!$AY$2:$AY$2001&gt;B41+0.00001)*(Calc!$AZ$2:$AZ$2001&lt;&gt;"Cancelled")),1),"")</f>
        <v/>
      </c>
      <c r="E41" s="1" t="n"/>
      <c r="F41" s="1" t="n"/>
      <c r="G41" s="1" t="n"/>
      <c r="H41" s="1" t="n"/>
      <c r="I41" s="1" t="n"/>
      <c r="J41" s="1" t="n"/>
      <c r="K41" s="1" t="n"/>
      <c r="L41" s="35" t="n"/>
      <c r="M41" s="35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</row>
    <row r="42">
      <c r="A42" s="1" t="n"/>
      <c r="B42" s="91">
        <f>Setup!$D$9+35*Setup!$D$8/1440</f>
        <v/>
      </c>
      <c r="C42" s="92">
        <f>IF(D42="","",INDEX(Calc!$AU$2:$AU$2001,D42))</f>
        <v/>
      </c>
      <c r="D42" s="1">
        <f>IFERROR(_xlfn.AGGREGATE(15,6,(ROW(Calc!$AW$2:$AW$2001)-1)/((Calc!$AW$2:$AW$2001=$N$3)*(Calc!$AX$2:$AX$2001&lt;=B42+0.00001)*(Calc!$AY$2:$AY$2001&gt;B42+0.00001)*(Calc!$AZ$2:$AZ$2001&lt;&gt;"Cancelled")),1),"")</f>
        <v/>
      </c>
      <c r="E42" s="1" t="n"/>
      <c r="F42" s="1" t="n"/>
      <c r="G42" s="1" t="n"/>
      <c r="H42" s="1" t="n"/>
      <c r="I42" s="1" t="n"/>
      <c r="J42" s="1" t="n"/>
      <c r="K42" s="1" t="n"/>
      <c r="L42" s="35" t="n"/>
      <c r="M42" s="35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</row>
    <row r="43">
      <c r="A43" s="1" t="n"/>
      <c r="B43" s="91">
        <f>Setup!$D$9+36*Setup!$D$8/1440</f>
        <v/>
      </c>
      <c r="C43" s="92">
        <f>IF(D43="","",INDEX(Calc!$AU$2:$AU$2001,D43))</f>
        <v/>
      </c>
      <c r="D43" s="1">
        <f>IFERROR(_xlfn.AGGREGATE(15,6,(ROW(Calc!$AW$2:$AW$2001)-1)/((Calc!$AW$2:$AW$2001=$N$3)*(Calc!$AX$2:$AX$2001&lt;=B43+0.00001)*(Calc!$AY$2:$AY$2001&gt;B43+0.00001)*(Calc!$AZ$2:$AZ$2001&lt;&gt;"Cancelled")),1),"")</f>
        <v/>
      </c>
      <c r="E43" s="1" t="n"/>
      <c r="F43" s="1" t="n"/>
      <c r="G43" s="1" t="n"/>
      <c r="H43" s="1" t="n"/>
      <c r="I43" s="1" t="n"/>
      <c r="J43" s="1" t="n"/>
      <c r="K43" s="1" t="n"/>
      <c r="L43" s="35" t="n"/>
      <c r="M43" s="35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</row>
    <row r="44">
      <c r="A44" s="1" t="n"/>
      <c r="B44" s="91">
        <f>Setup!$D$9+37*Setup!$D$8/1440</f>
        <v/>
      </c>
      <c r="C44" s="92">
        <f>IF(D44="","",INDEX(Calc!$AU$2:$AU$2001,D44))</f>
        <v/>
      </c>
      <c r="D44" s="1">
        <f>IFERROR(_xlfn.AGGREGATE(15,6,(ROW(Calc!$AW$2:$AW$2001)-1)/((Calc!$AW$2:$AW$2001=$N$3)*(Calc!$AX$2:$AX$2001&lt;=B44+0.00001)*(Calc!$AY$2:$AY$2001&gt;B44+0.00001)*(Calc!$AZ$2:$AZ$2001&lt;&gt;"Cancelled")),1),"")</f>
        <v/>
      </c>
      <c r="E44" s="1" t="n"/>
      <c r="F44" s="1" t="n"/>
      <c r="G44" s="1" t="n"/>
      <c r="H44" s="1" t="n"/>
      <c r="I44" s="1" t="n"/>
      <c r="J44" s="1" t="n"/>
      <c r="K44" s="1" t="n"/>
      <c r="L44" s="35" t="n"/>
      <c r="M44" s="35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</row>
    <row r="45">
      <c r="A45" s="1" t="n"/>
      <c r="B45" s="91">
        <f>Setup!$D$9+38*Setup!$D$8/1440</f>
        <v/>
      </c>
      <c r="C45" s="92">
        <f>IF(D45="","",INDEX(Calc!$AU$2:$AU$2001,D45))</f>
        <v/>
      </c>
      <c r="D45" s="1">
        <f>IFERROR(_xlfn.AGGREGATE(15,6,(ROW(Calc!$AW$2:$AW$2001)-1)/((Calc!$AW$2:$AW$2001=$N$3)*(Calc!$AX$2:$AX$2001&lt;=B45+0.00001)*(Calc!$AY$2:$AY$2001&gt;B45+0.00001)*(Calc!$AZ$2:$AZ$2001&lt;&gt;"Cancelled")),1),"")</f>
        <v/>
      </c>
      <c r="E45" s="1" t="n"/>
      <c r="F45" s="1" t="n"/>
      <c r="G45" s="1" t="n"/>
      <c r="H45" s="1" t="n"/>
      <c r="I45" s="1" t="n"/>
      <c r="J45" s="1" t="n"/>
      <c r="K45" s="1" t="n"/>
      <c r="L45" s="35" t="n"/>
      <c r="M45" s="35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</row>
    <row r="46">
      <c r="A46" s="1" t="n"/>
      <c r="B46" s="91">
        <f>Setup!$D$9+39*Setup!$D$8/1440</f>
        <v/>
      </c>
      <c r="C46" s="92">
        <f>IF(D46="","",INDEX(Calc!$AU$2:$AU$2001,D46))</f>
        <v/>
      </c>
      <c r="D46" s="1">
        <f>IFERROR(_xlfn.AGGREGATE(15,6,(ROW(Calc!$AW$2:$AW$2001)-1)/((Calc!$AW$2:$AW$2001=$N$3)*(Calc!$AX$2:$AX$2001&lt;=B46+0.00001)*(Calc!$AY$2:$AY$2001&gt;B46+0.00001)*(Calc!$AZ$2:$AZ$2001&lt;&gt;"Cancelled")),1),"")</f>
        <v/>
      </c>
      <c r="E46" s="1" t="n"/>
      <c r="F46" s="1" t="n"/>
      <c r="G46" s="1" t="n"/>
      <c r="H46" s="1" t="n"/>
      <c r="I46" s="1" t="n"/>
      <c r="J46" s="1" t="n"/>
      <c r="K46" s="1" t="n"/>
      <c r="L46" s="35" t="n"/>
      <c r="M46" s="35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</row>
  </sheetData>
  <mergeCells count="10">
    <mergeCell ref="B6:C6"/>
    <mergeCell ref="L7:M9"/>
    <mergeCell ref="F6:H6"/>
    <mergeCell ref="L34:M46"/>
    <mergeCell ref="L6:M6"/>
    <mergeCell ref="L16:M16"/>
    <mergeCell ref="L33:M33"/>
    <mergeCell ref="L11:M11"/>
    <mergeCell ref="L12:M14"/>
    <mergeCell ref="B2:D2"/>
  </mergeCells>
  <conditionalFormatting sqref="C7">
    <cfRule type="expression" priority="1" dxfId="11" stopIfTrue="0">
      <formula>AND(ISNUMBER($D7),INDEX(TaskCat,$D7)=INDEX(Setup!$F$6:$F$15,1))</formula>
    </cfRule>
    <cfRule type="expression" priority="2" dxfId="12" stopIfTrue="0">
      <formula>AND(ISNUMBER($D7),INDEX(TaskCat,$D7)=INDEX(Setup!$F$6:$F$15,2))</formula>
    </cfRule>
    <cfRule type="expression" priority="3" dxfId="13" stopIfTrue="0">
      <formula>AND(ISNUMBER($D7),INDEX(TaskCat,$D7)=INDEX(Setup!$F$6:$F$15,3))</formula>
    </cfRule>
    <cfRule type="expression" priority="4" dxfId="14" stopIfTrue="0">
      <formula>AND(ISNUMBER($D7),INDEX(TaskCat,$D7)=INDEX(Setup!$F$6:$F$15,4))</formula>
    </cfRule>
    <cfRule type="expression" priority="5" dxfId="15" stopIfTrue="0">
      <formula>AND(ISNUMBER($D7),INDEX(TaskCat,$D7)=INDEX(Setup!$F$6:$F$15,5))</formula>
    </cfRule>
    <cfRule type="expression" priority="6" dxfId="16" stopIfTrue="0">
      <formula>AND(ISNUMBER($D7),INDEX(TaskCat,$D7)=INDEX(Setup!$F$6:$F$15,6))</formula>
    </cfRule>
  </conditionalFormatting>
  <conditionalFormatting sqref="C8">
    <cfRule type="expression" priority="7" dxfId="11" stopIfTrue="0">
      <formula>AND(ISNUMBER($D8),INDEX(TaskCat,$D8)=INDEX(Setup!$F$6:$F$15,1))</formula>
    </cfRule>
    <cfRule type="expression" priority="8" dxfId="12" stopIfTrue="0">
      <formula>AND(ISNUMBER($D8),INDEX(TaskCat,$D8)=INDEX(Setup!$F$6:$F$15,2))</formula>
    </cfRule>
    <cfRule type="expression" priority="9" dxfId="13" stopIfTrue="0">
      <formula>AND(ISNUMBER($D8),INDEX(TaskCat,$D8)=INDEX(Setup!$F$6:$F$15,3))</formula>
    </cfRule>
    <cfRule type="expression" priority="10" dxfId="14" stopIfTrue="0">
      <formula>AND(ISNUMBER($D8),INDEX(TaskCat,$D8)=INDEX(Setup!$F$6:$F$15,4))</formula>
    </cfRule>
    <cfRule type="expression" priority="11" dxfId="15" stopIfTrue="0">
      <formula>AND(ISNUMBER($D8),INDEX(TaskCat,$D8)=INDEX(Setup!$F$6:$F$15,5))</formula>
    </cfRule>
    <cfRule type="expression" priority="12" dxfId="16" stopIfTrue="0">
      <formula>AND(ISNUMBER($D8),INDEX(TaskCat,$D8)=INDEX(Setup!$F$6:$F$15,6))</formula>
    </cfRule>
  </conditionalFormatting>
  <conditionalFormatting sqref="C9">
    <cfRule type="expression" priority="13" dxfId="11" stopIfTrue="0">
      <formula>AND(ISNUMBER($D9),INDEX(TaskCat,$D9)=INDEX(Setup!$F$6:$F$15,1))</formula>
    </cfRule>
    <cfRule type="expression" priority="14" dxfId="12" stopIfTrue="0">
      <formula>AND(ISNUMBER($D9),INDEX(TaskCat,$D9)=INDEX(Setup!$F$6:$F$15,2))</formula>
    </cfRule>
    <cfRule type="expression" priority="15" dxfId="13" stopIfTrue="0">
      <formula>AND(ISNUMBER($D9),INDEX(TaskCat,$D9)=INDEX(Setup!$F$6:$F$15,3))</formula>
    </cfRule>
    <cfRule type="expression" priority="16" dxfId="14" stopIfTrue="0">
      <formula>AND(ISNUMBER($D9),INDEX(TaskCat,$D9)=INDEX(Setup!$F$6:$F$15,4))</formula>
    </cfRule>
    <cfRule type="expression" priority="17" dxfId="15" stopIfTrue="0">
      <formula>AND(ISNUMBER($D9),INDEX(TaskCat,$D9)=INDEX(Setup!$F$6:$F$15,5))</formula>
    </cfRule>
    <cfRule type="expression" priority="18" dxfId="16" stopIfTrue="0">
      <formula>AND(ISNUMBER($D9),INDEX(TaskCat,$D9)=INDEX(Setup!$F$6:$F$15,6))</formula>
    </cfRule>
  </conditionalFormatting>
  <conditionalFormatting sqref="C10">
    <cfRule type="expression" priority="19" dxfId="11" stopIfTrue="0">
      <formula>AND(ISNUMBER($D10),INDEX(TaskCat,$D10)=INDEX(Setup!$F$6:$F$15,1))</formula>
    </cfRule>
    <cfRule type="expression" priority="20" dxfId="12" stopIfTrue="0">
      <formula>AND(ISNUMBER($D10),INDEX(TaskCat,$D10)=INDEX(Setup!$F$6:$F$15,2))</formula>
    </cfRule>
    <cfRule type="expression" priority="21" dxfId="13" stopIfTrue="0">
      <formula>AND(ISNUMBER($D10),INDEX(TaskCat,$D10)=INDEX(Setup!$F$6:$F$15,3))</formula>
    </cfRule>
    <cfRule type="expression" priority="22" dxfId="14" stopIfTrue="0">
      <formula>AND(ISNUMBER($D10),INDEX(TaskCat,$D10)=INDEX(Setup!$F$6:$F$15,4))</formula>
    </cfRule>
    <cfRule type="expression" priority="23" dxfId="15" stopIfTrue="0">
      <formula>AND(ISNUMBER($D10),INDEX(TaskCat,$D10)=INDEX(Setup!$F$6:$F$15,5))</formula>
    </cfRule>
    <cfRule type="expression" priority="24" dxfId="16" stopIfTrue="0">
      <formula>AND(ISNUMBER($D10),INDEX(TaskCat,$D10)=INDEX(Setup!$F$6:$F$15,6))</formula>
    </cfRule>
  </conditionalFormatting>
  <conditionalFormatting sqref="C11">
    <cfRule type="expression" priority="25" dxfId="11" stopIfTrue="0">
      <formula>AND(ISNUMBER($D11),INDEX(TaskCat,$D11)=INDEX(Setup!$F$6:$F$15,1))</formula>
    </cfRule>
    <cfRule type="expression" priority="26" dxfId="12" stopIfTrue="0">
      <formula>AND(ISNUMBER($D11),INDEX(TaskCat,$D11)=INDEX(Setup!$F$6:$F$15,2))</formula>
    </cfRule>
    <cfRule type="expression" priority="27" dxfId="13" stopIfTrue="0">
      <formula>AND(ISNUMBER($D11),INDEX(TaskCat,$D11)=INDEX(Setup!$F$6:$F$15,3))</formula>
    </cfRule>
    <cfRule type="expression" priority="28" dxfId="14" stopIfTrue="0">
      <formula>AND(ISNUMBER($D11),INDEX(TaskCat,$D11)=INDEX(Setup!$F$6:$F$15,4))</formula>
    </cfRule>
    <cfRule type="expression" priority="29" dxfId="15" stopIfTrue="0">
      <formula>AND(ISNUMBER($D11),INDEX(TaskCat,$D11)=INDEX(Setup!$F$6:$F$15,5))</formula>
    </cfRule>
    <cfRule type="expression" priority="30" dxfId="16" stopIfTrue="0">
      <formula>AND(ISNUMBER($D11),INDEX(TaskCat,$D11)=INDEX(Setup!$F$6:$F$15,6))</formula>
    </cfRule>
  </conditionalFormatting>
  <conditionalFormatting sqref="C12">
    <cfRule type="expression" priority="31" dxfId="11" stopIfTrue="0">
      <formula>AND(ISNUMBER($D12),INDEX(TaskCat,$D12)=INDEX(Setup!$F$6:$F$15,1))</formula>
    </cfRule>
    <cfRule type="expression" priority="32" dxfId="12" stopIfTrue="0">
      <formula>AND(ISNUMBER($D12),INDEX(TaskCat,$D12)=INDEX(Setup!$F$6:$F$15,2))</formula>
    </cfRule>
    <cfRule type="expression" priority="33" dxfId="13" stopIfTrue="0">
      <formula>AND(ISNUMBER($D12),INDEX(TaskCat,$D12)=INDEX(Setup!$F$6:$F$15,3))</formula>
    </cfRule>
    <cfRule type="expression" priority="34" dxfId="14" stopIfTrue="0">
      <formula>AND(ISNUMBER($D12),INDEX(TaskCat,$D12)=INDEX(Setup!$F$6:$F$15,4))</formula>
    </cfRule>
    <cfRule type="expression" priority="35" dxfId="15" stopIfTrue="0">
      <formula>AND(ISNUMBER($D12),INDEX(TaskCat,$D12)=INDEX(Setup!$F$6:$F$15,5))</formula>
    </cfRule>
    <cfRule type="expression" priority="36" dxfId="16" stopIfTrue="0">
      <formula>AND(ISNUMBER($D12),INDEX(TaskCat,$D12)=INDEX(Setup!$F$6:$F$15,6))</formula>
    </cfRule>
  </conditionalFormatting>
  <conditionalFormatting sqref="C13">
    <cfRule type="expression" priority="37" dxfId="11" stopIfTrue="0">
      <formula>AND(ISNUMBER($D13),INDEX(TaskCat,$D13)=INDEX(Setup!$F$6:$F$15,1))</formula>
    </cfRule>
    <cfRule type="expression" priority="38" dxfId="12" stopIfTrue="0">
      <formula>AND(ISNUMBER($D13),INDEX(TaskCat,$D13)=INDEX(Setup!$F$6:$F$15,2))</formula>
    </cfRule>
    <cfRule type="expression" priority="39" dxfId="13" stopIfTrue="0">
      <formula>AND(ISNUMBER($D13),INDEX(TaskCat,$D13)=INDEX(Setup!$F$6:$F$15,3))</formula>
    </cfRule>
    <cfRule type="expression" priority="40" dxfId="14" stopIfTrue="0">
      <formula>AND(ISNUMBER($D13),INDEX(TaskCat,$D13)=INDEX(Setup!$F$6:$F$15,4))</formula>
    </cfRule>
    <cfRule type="expression" priority="41" dxfId="15" stopIfTrue="0">
      <formula>AND(ISNUMBER($D13),INDEX(TaskCat,$D13)=INDEX(Setup!$F$6:$F$15,5))</formula>
    </cfRule>
    <cfRule type="expression" priority="42" dxfId="16" stopIfTrue="0">
      <formula>AND(ISNUMBER($D13),INDEX(TaskCat,$D13)=INDEX(Setup!$F$6:$F$15,6))</formula>
    </cfRule>
  </conditionalFormatting>
  <conditionalFormatting sqref="C14">
    <cfRule type="expression" priority="43" dxfId="11" stopIfTrue="0">
      <formula>AND(ISNUMBER($D14),INDEX(TaskCat,$D14)=INDEX(Setup!$F$6:$F$15,1))</formula>
    </cfRule>
    <cfRule type="expression" priority="44" dxfId="12" stopIfTrue="0">
      <formula>AND(ISNUMBER($D14),INDEX(TaskCat,$D14)=INDEX(Setup!$F$6:$F$15,2))</formula>
    </cfRule>
    <cfRule type="expression" priority="45" dxfId="13" stopIfTrue="0">
      <formula>AND(ISNUMBER($D14),INDEX(TaskCat,$D14)=INDEX(Setup!$F$6:$F$15,3))</formula>
    </cfRule>
    <cfRule type="expression" priority="46" dxfId="14" stopIfTrue="0">
      <formula>AND(ISNUMBER($D14),INDEX(TaskCat,$D14)=INDEX(Setup!$F$6:$F$15,4))</formula>
    </cfRule>
    <cfRule type="expression" priority="47" dxfId="15" stopIfTrue="0">
      <formula>AND(ISNUMBER($D14),INDEX(TaskCat,$D14)=INDEX(Setup!$F$6:$F$15,5))</formula>
    </cfRule>
    <cfRule type="expression" priority="48" dxfId="16" stopIfTrue="0">
      <formula>AND(ISNUMBER($D14),INDEX(TaskCat,$D14)=INDEX(Setup!$F$6:$F$15,6))</formula>
    </cfRule>
  </conditionalFormatting>
  <conditionalFormatting sqref="C15">
    <cfRule type="expression" priority="49" dxfId="11" stopIfTrue="0">
      <formula>AND(ISNUMBER($D15),INDEX(TaskCat,$D15)=INDEX(Setup!$F$6:$F$15,1))</formula>
    </cfRule>
    <cfRule type="expression" priority="50" dxfId="12" stopIfTrue="0">
      <formula>AND(ISNUMBER($D15),INDEX(TaskCat,$D15)=INDEX(Setup!$F$6:$F$15,2))</formula>
    </cfRule>
    <cfRule type="expression" priority="51" dxfId="13" stopIfTrue="0">
      <formula>AND(ISNUMBER($D15),INDEX(TaskCat,$D15)=INDEX(Setup!$F$6:$F$15,3))</formula>
    </cfRule>
    <cfRule type="expression" priority="52" dxfId="14" stopIfTrue="0">
      <formula>AND(ISNUMBER($D15),INDEX(TaskCat,$D15)=INDEX(Setup!$F$6:$F$15,4))</formula>
    </cfRule>
    <cfRule type="expression" priority="53" dxfId="15" stopIfTrue="0">
      <formula>AND(ISNUMBER($D15),INDEX(TaskCat,$D15)=INDEX(Setup!$F$6:$F$15,5))</formula>
    </cfRule>
    <cfRule type="expression" priority="54" dxfId="16" stopIfTrue="0">
      <formula>AND(ISNUMBER($D15),INDEX(TaskCat,$D15)=INDEX(Setup!$F$6:$F$15,6))</formula>
    </cfRule>
  </conditionalFormatting>
  <conditionalFormatting sqref="C16">
    <cfRule type="expression" priority="55" dxfId="11" stopIfTrue="0">
      <formula>AND(ISNUMBER($D16),INDEX(TaskCat,$D16)=INDEX(Setup!$F$6:$F$15,1))</formula>
    </cfRule>
    <cfRule type="expression" priority="56" dxfId="12" stopIfTrue="0">
      <formula>AND(ISNUMBER($D16),INDEX(TaskCat,$D16)=INDEX(Setup!$F$6:$F$15,2))</formula>
    </cfRule>
    <cfRule type="expression" priority="57" dxfId="13" stopIfTrue="0">
      <formula>AND(ISNUMBER($D16),INDEX(TaskCat,$D16)=INDEX(Setup!$F$6:$F$15,3))</formula>
    </cfRule>
    <cfRule type="expression" priority="58" dxfId="14" stopIfTrue="0">
      <formula>AND(ISNUMBER($D16),INDEX(TaskCat,$D16)=INDEX(Setup!$F$6:$F$15,4))</formula>
    </cfRule>
    <cfRule type="expression" priority="59" dxfId="15" stopIfTrue="0">
      <formula>AND(ISNUMBER($D16),INDEX(TaskCat,$D16)=INDEX(Setup!$F$6:$F$15,5))</formula>
    </cfRule>
    <cfRule type="expression" priority="60" dxfId="16" stopIfTrue="0">
      <formula>AND(ISNUMBER($D16),INDEX(TaskCat,$D16)=INDEX(Setup!$F$6:$F$15,6))</formula>
    </cfRule>
  </conditionalFormatting>
  <conditionalFormatting sqref="C17">
    <cfRule type="expression" priority="61" dxfId="11" stopIfTrue="0">
      <formula>AND(ISNUMBER($D17),INDEX(TaskCat,$D17)=INDEX(Setup!$F$6:$F$15,1))</formula>
    </cfRule>
    <cfRule type="expression" priority="62" dxfId="12" stopIfTrue="0">
      <formula>AND(ISNUMBER($D17),INDEX(TaskCat,$D17)=INDEX(Setup!$F$6:$F$15,2))</formula>
    </cfRule>
    <cfRule type="expression" priority="63" dxfId="13" stopIfTrue="0">
      <formula>AND(ISNUMBER($D17),INDEX(TaskCat,$D17)=INDEX(Setup!$F$6:$F$15,3))</formula>
    </cfRule>
    <cfRule type="expression" priority="64" dxfId="14" stopIfTrue="0">
      <formula>AND(ISNUMBER($D17),INDEX(TaskCat,$D17)=INDEX(Setup!$F$6:$F$15,4))</formula>
    </cfRule>
    <cfRule type="expression" priority="65" dxfId="15" stopIfTrue="0">
      <formula>AND(ISNUMBER($D17),INDEX(TaskCat,$D17)=INDEX(Setup!$F$6:$F$15,5))</formula>
    </cfRule>
    <cfRule type="expression" priority="66" dxfId="16" stopIfTrue="0">
      <formula>AND(ISNUMBER($D17),INDEX(TaskCat,$D17)=INDEX(Setup!$F$6:$F$15,6))</formula>
    </cfRule>
  </conditionalFormatting>
  <conditionalFormatting sqref="C18">
    <cfRule type="expression" priority="67" dxfId="11" stopIfTrue="0">
      <formula>AND(ISNUMBER($D18),INDEX(TaskCat,$D18)=INDEX(Setup!$F$6:$F$15,1))</formula>
    </cfRule>
    <cfRule type="expression" priority="68" dxfId="12" stopIfTrue="0">
      <formula>AND(ISNUMBER($D18),INDEX(TaskCat,$D18)=INDEX(Setup!$F$6:$F$15,2))</formula>
    </cfRule>
    <cfRule type="expression" priority="69" dxfId="13" stopIfTrue="0">
      <formula>AND(ISNUMBER($D18),INDEX(TaskCat,$D18)=INDEX(Setup!$F$6:$F$15,3))</formula>
    </cfRule>
    <cfRule type="expression" priority="70" dxfId="14" stopIfTrue="0">
      <formula>AND(ISNUMBER($D18),INDEX(TaskCat,$D18)=INDEX(Setup!$F$6:$F$15,4))</formula>
    </cfRule>
    <cfRule type="expression" priority="71" dxfId="15" stopIfTrue="0">
      <formula>AND(ISNUMBER($D18),INDEX(TaskCat,$D18)=INDEX(Setup!$F$6:$F$15,5))</formula>
    </cfRule>
    <cfRule type="expression" priority="72" dxfId="16" stopIfTrue="0">
      <formula>AND(ISNUMBER($D18),INDEX(TaskCat,$D18)=INDEX(Setup!$F$6:$F$15,6))</formula>
    </cfRule>
  </conditionalFormatting>
  <conditionalFormatting sqref="C19">
    <cfRule type="expression" priority="73" dxfId="11" stopIfTrue="0">
      <formula>AND(ISNUMBER($D19),INDEX(TaskCat,$D19)=INDEX(Setup!$F$6:$F$15,1))</formula>
    </cfRule>
    <cfRule type="expression" priority="74" dxfId="12" stopIfTrue="0">
      <formula>AND(ISNUMBER($D19),INDEX(TaskCat,$D19)=INDEX(Setup!$F$6:$F$15,2))</formula>
    </cfRule>
    <cfRule type="expression" priority="75" dxfId="13" stopIfTrue="0">
      <formula>AND(ISNUMBER($D19),INDEX(TaskCat,$D19)=INDEX(Setup!$F$6:$F$15,3))</formula>
    </cfRule>
    <cfRule type="expression" priority="76" dxfId="14" stopIfTrue="0">
      <formula>AND(ISNUMBER($D19),INDEX(TaskCat,$D19)=INDEX(Setup!$F$6:$F$15,4))</formula>
    </cfRule>
    <cfRule type="expression" priority="77" dxfId="15" stopIfTrue="0">
      <formula>AND(ISNUMBER($D19),INDEX(TaskCat,$D19)=INDEX(Setup!$F$6:$F$15,5))</formula>
    </cfRule>
    <cfRule type="expression" priority="78" dxfId="16" stopIfTrue="0">
      <formula>AND(ISNUMBER($D19),INDEX(TaskCat,$D19)=INDEX(Setup!$F$6:$F$15,6))</formula>
    </cfRule>
  </conditionalFormatting>
  <conditionalFormatting sqref="C20">
    <cfRule type="expression" priority="79" dxfId="11" stopIfTrue="0">
      <formula>AND(ISNUMBER($D20),INDEX(TaskCat,$D20)=INDEX(Setup!$F$6:$F$15,1))</formula>
    </cfRule>
    <cfRule type="expression" priority="80" dxfId="12" stopIfTrue="0">
      <formula>AND(ISNUMBER($D20),INDEX(TaskCat,$D20)=INDEX(Setup!$F$6:$F$15,2))</formula>
    </cfRule>
    <cfRule type="expression" priority="81" dxfId="13" stopIfTrue="0">
      <formula>AND(ISNUMBER($D20),INDEX(TaskCat,$D20)=INDEX(Setup!$F$6:$F$15,3))</formula>
    </cfRule>
    <cfRule type="expression" priority="82" dxfId="14" stopIfTrue="0">
      <formula>AND(ISNUMBER($D20),INDEX(TaskCat,$D20)=INDEX(Setup!$F$6:$F$15,4))</formula>
    </cfRule>
    <cfRule type="expression" priority="83" dxfId="15" stopIfTrue="0">
      <formula>AND(ISNUMBER($D20),INDEX(TaskCat,$D20)=INDEX(Setup!$F$6:$F$15,5))</formula>
    </cfRule>
    <cfRule type="expression" priority="84" dxfId="16" stopIfTrue="0">
      <formula>AND(ISNUMBER($D20),INDEX(TaskCat,$D20)=INDEX(Setup!$F$6:$F$15,6))</formula>
    </cfRule>
  </conditionalFormatting>
  <conditionalFormatting sqref="C21">
    <cfRule type="expression" priority="85" dxfId="11" stopIfTrue="0">
      <formula>AND(ISNUMBER($D21),INDEX(TaskCat,$D21)=INDEX(Setup!$F$6:$F$15,1))</formula>
    </cfRule>
    <cfRule type="expression" priority="86" dxfId="12" stopIfTrue="0">
      <formula>AND(ISNUMBER($D21),INDEX(TaskCat,$D21)=INDEX(Setup!$F$6:$F$15,2))</formula>
    </cfRule>
    <cfRule type="expression" priority="87" dxfId="13" stopIfTrue="0">
      <formula>AND(ISNUMBER($D21),INDEX(TaskCat,$D21)=INDEX(Setup!$F$6:$F$15,3))</formula>
    </cfRule>
    <cfRule type="expression" priority="88" dxfId="14" stopIfTrue="0">
      <formula>AND(ISNUMBER($D21),INDEX(TaskCat,$D21)=INDEX(Setup!$F$6:$F$15,4))</formula>
    </cfRule>
    <cfRule type="expression" priority="89" dxfId="15" stopIfTrue="0">
      <formula>AND(ISNUMBER($D21),INDEX(TaskCat,$D21)=INDEX(Setup!$F$6:$F$15,5))</formula>
    </cfRule>
    <cfRule type="expression" priority="90" dxfId="16" stopIfTrue="0">
      <formula>AND(ISNUMBER($D21),INDEX(TaskCat,$D21)=INDEX(Setup!$F$6:$F$15,6))</formula>
    </cfRule>
  </conditionalFormatting>
  <conditionalFormatting sqref="C22">
    <cfRule type="expression" priority="91" dxfId="11" stopIfTrue="0">
      <formula>AND(ISNUMBER($D22),INDEX(TaskCat,$D22)=INDEX(Setup!$F$6:$F$15,1))</formula>
    </cfRule>
    <cfRule type="expression" priority="92" dxfId="12" stopIfTrue="0">
      <formula>AND(ISNUMBER($D22),INDEX(TaskCat,$D22)=INDEX(Setup!$F$6:$F$15,2))</formula>
    </cfRule>
    <cfRule type="expression" priority="93" dxfId="13" stopIfTrue="0">
      <formula>AND(ISNUMBER($D22),INDEX(TaskCat,$D22)=INDEX(Setup!$F$6:$F$15,3))</formula>
    </cfRule>
    <cfRule type="expression" priority="94" dxfId="14" stopIfTrue="0">
      <formula>AND(ISNUMBER($D22),INDEX(TaskCat,$D22)=INDEX(Setup!$F$6:$F$15,4))</formula>
    </cfRule>
    <cfRule type="expression" priority="95" dxfId="15" stopIfTrue="0">
      <formula>AND(ISNUMBER($D22),INDEX(TaskCat,$D22)=INDEX(Setup!$F$6:$F$15,5))</formula>
    </cfRule>
    <cfRule type="expression" priority="96" dxfId="16" stopIfTrue="0">
      <formula>AND(ISNUMBER($D22),INDEX(TaskCat,$D22)=INDEX(Setup!$F$6:$F$15,6))</formula>
    </cfRule>
  </conditionalFormatting>
  <conditionalFormatting sqref="C23">
    <cfRule type="expression" priority="97" dxfId="11" stopIfTrue="0">
      <formula>AND(ISNUMBER($D23),INDEX(TaskCat,$D23)=INDEX(Setup!$F$6:$F$15,1))</formula>
    </cfRule>
    <cfRule type="expression" priority="98" dxfId="12" stopIfTrue="0">
      <formula>AND(ISNUMBER($D23),INDEX(TaskCat,$D23)=INDEX(Setup!$F$6:$F$15,2))</formula>
    </cfRule>
    <cfRule type="expression" priority="99" dxfId="13" stopIfTrue="0">
      <formula>AND(ISNUMBER($D23),INDEX(TaskCat,$D23)=INDEX(Setup!$F$6:$F$15,3))</formula>
    </cfRule>
    <cfRule type="expression" priority="100" dxfId="14" stopIfTrue="0">
      <formula>AND(ISNUMBER($D23),INDEX(TaskCat,$D23)=INDEX(Setup!$F$6:$F$15,4))</formula>
    </cfRule>
    <cfRule type="expression" priority="101" dxfId="15" stopIfTrue="0">
      <formula>AND(ISNUMBER($D23),INDEX(TaskCat,$D23)=INDEX(Setup!$F$6:$F$15,5))</formula>
    </cfRule>
    <cfRule type="expression" priority="102" dxfId="16" stopIfTrue="0">
      <formula>AND(ISNUMBER($D23),INDEX(TaskCat,$D23)=INDEX(Setup!$F$6:$F$15,6))</formula>
    </cfRule>
  </conditionalFormatting>
  <conditionalFormatting sqref="C24">
    <cfRule type="expression" priority="103" dxfId="11" stopIfTrue="0">
      <formula>AND(ISNUMBER($D24),INDEX(TaskCat,$D24)=INDEX(Setup!$F$6:$F$15,1))</formula>
    </cfRule>
    <cfRule type="expression" priority="104" dxfId="12" stopIfTrue="0">
      <formula>AND(ISNUMBER($D24),INDEX(TaskCat,$D24)=INDEX(Setup!$F$6:$F$15,2))</formula>
    </cfRule>
    <cfRule type="expression" priority="105" dxfId="13" stopIfTrue="0">
      <formula>AND(ISNUMBER($D24),INDEX(TaskCat,$D24)=INDEX(Setup!$F$6:$F$15,3))</formula>
    </cfRule>
    <cfRule type="expression" priority="106" dxfId="14" stopIfTrue="0">
      <formula>AND(ISNUMBER($D24),INDEX(TaskCat,$D24)=INDEX(Setup!$F$6:$F$15,4))</formula>
    </cfRule>
    <cfRule type="expression" priority="107" dxfId="15" stopIfTrue="0">
      <formula>AND(ISNUMBER($D24),INDEX(TaskCat,$D24)=INDEX(Setup!$F$6:$F$15,5))</formula>
    </cfRule>
    <cfRule type="expression" priority="108" dxfId="16" stopIfTrue="0">
      <formula>AND(ISNUMBER($D24),INDEX(TaskCat,$D24)=INDEX(Setup!$F$6:$F$15,6))</formula>
    </cfRule>
  </conditionalFormatting>
  <conditionalFormatting sqref="C25">
    <cfRule type="expression" priority="109" dxfId="11" stopIfTrue="0">
      <formula>AND(ISNUMBER($D25),INDEX(TaskCat,$D25)=INDEX(Setup!$F$6:$F$15,1))</formula>
    </cfRule>
    <cfRule type="expression" priority="110" dxfId="12" stopIfTrue="0">
      <formula>AND(ISNUMBER($D25),INDEX(TaskCat,$D25)=INDEX(Setup!$F$6:$F$15,2))</formula>
    </cfRule>
    <cfRule type="expression" priority="111" dxfId="13" stopIfTrue="0">
      <formula>AND(ISNUMBER($D25),INDEX(TaskCat,$D25)=INDEX(Setup!$F$6:$F$15,3))</formula>
    </cfRule>
    <cfRule type="expression" priority="112" dxfId="14" stopIfTrue="0">
      <formula>AND(ISNUMBER($D25),INDEX(TaskCat,$D25)=INDEX(Setup!$F$6:$F$15,4))</formula>
    </cfRule>
    <cfRule type="expression" priority="113" dxfId="15" stopIfTrue="0">
      <formula>AND(ISNUMBER($D25),INDEX(TaskCat,$D25)=INDEX(Setup!$F$6:$F$15,5))</formula>
    </cfRule>
    <cfRule type="expression" priority="114" dxfId="16" stopIfTrue="0">
      <formula>AND(ISNUMBER($D25),INDEX(TaskCat,$D25)=INDEX(Setup!$F$6:$F$15,6))</formula>
    </cfRule>
  </conditionalFormatting>
  <conditionalFormatting sqref="C26">
    <cfRule type="expression" priority="115" dxfId="11" stopIfTrue="0">
      <formula>AND(ISNUMBER($D26),INDEX(TaskCat,$D26)=INDEX(Setup!$F$6:$F$15,1))</formula>
    </cfRule>
    <cfRule type="expression" priority="116" dxfId="12" stopIfTrue="0">
      <formula>AND(ISNUMBER($D26),INDEX(TaskCat,$D26)=INDEX(Setup!$F$6:$F$15,2))</formula>
    </cfRule>
    <cfRule type="expression" priority="117" dxfId="13" stopIfTrue="0">
      <formula>AND(ISNUMBER($D26),INDEX(TaskCat,$D26)=INDEX(Setup!$F$6:$F$15,3))</formula>
    </cfRule>
    <cfRule type="expression" priority="118" dxfId="14" stopIfTrue="0">
      <formula>AND(ISNUMBER($D26),INDEX(TaskCat,$D26)=INDEX(Setup!$F$6:$F$15,4))</formula>
    </cfRule>
    <cfRule type="expression" priority="119" dxfId="15" stopIfTrue="0">
      <formula>AND(ISNUMBER($D26),INDEX(TaskCat,$D26)=INDEX(Setup!$F$6:$F$15,5))</formula>
    </cfRule>
    <cfRule type="expression" priority="120" dxfId="16" stopIfTrue="0">
      <formula>AND(ISNUMBER($D26),INDEX(TaskCat,$D26)=INDEX(Setup!$F$6:$F$15,6))</formula>
    </cfRule>
  </conditionalFormatting>
  <conditionalFormatting sqref="C27">
    <cfRule type="expression" priority="121" dxfId="11" stopIfTrue="0">
      <formula>AND(ISNUMBER($D27),INDEX(TaskCat,$D27)=INDEX(Setup!$F$6:$F$15,1))</formula>
    </cfRule>
    <cfRule type="expression" priority="122" dxfId="12" stopIfTrue="0">
      <formula>AND(ISNUMBER($D27),INDEX(TaskCat,$D27)=INDEX(Setup!$F$6:$F$15,2))</formula>
    </cfRule>
    <cfRule type="expression" priority="123" dxfId="13" stopIfTrue="0">
      <formula>AND(ISNUMBER($D27),INDEX(TaskCat,$D27)=INDEX(Setup!$F$6:$F$15,3))</formula>
    </cfRule>
    <cfRule type="expression" priority="124" dxfId="14" stopIfTrue="0">
      <formula>AND(ISNUMBER($D27),INDEX(TaskCat,$D27)=INDEX(Setup!$F$6:$F$15,4))</formula>
    </cfRule>
    <cfRule type="expression" priority="125" dxfId="15" stopIfTrue="0">
      <formula>AND(ISNUMBER($D27),INDEX(TaskCat,$D27)=INDEX(Setup!$F$6:$F$15,5))</formula>
    </cfRule>
    <cfRule type="expression" priority="126" dxfId="16" stopIfTrue="0">
      <formula>AND(ISNUMBER($D27),INDEX(TaskCat,$D27)=INDEX(Setup!$F$6:$F$15,6))</formula>
    </cfRule>
  </conditionalFormatting>
  <conditionalFormatting sqref="C28">
    <cfRule type="expression" priority="127" dxfId="11" stopIfTrue="0">
      <formula>AND(ISNUMBER($D28),INDEX(TaskCat,$D28)=INDEX(Setup!$F$6:$F$15,1))</formula>
    </cfRule>
    <cfRule type="expression" priority="128" dxfId="12" stopIfTrue="0">
      <formula>AND(ISNUMBER($D28),INDEX(TaskCat,$D28)=INDEX(Setup!$F$6:$F$15,2))</formula>
    </cfRule>
    <cfRule type="expression" priority="129" dxfId="13" stopIfTrue="0">
      <formula>AND(ISNUMBER($D28),INDEX(TaskCat,$D28)=INDEX(Setup!$F$6:$F$15,3))</formula>
    </cfRule>
    <cfRule type="expression" priority="130" dxfId="14" stopIfTrue="0">
      <formula>AND(ISNUMBER($D28),INDEX(TaskCat,$D28)=INDEX(Setup!$F$6:$F$15,4))</formula>
    </cfRule>
    <cfRule type="expression" priority="131" dxfId="15" stopIfTrue="0">
      <formula>AND(ISNUMBER($D28),INDEX(TaskCat,$D28)=INDEX(Setup!$F$6:$F$15,5))</formula>
    </cfRule>
    <cfRule type="expression" priority="132" dxfId="16" stopIfTrue="0">
      <formula>AND(ISNUMBER($D28),INDEX(TaskCat,$D28)=INDEX(Setup!$F$6:$F$15,6))</formula>
    </cfRule>
  </conditionalFormatting>
  <conditionalFormatting sqref="C29">
    <cfRule type="expression" priority="133" dxfId="11" stopIfTrue="0">
      <formula>AND(ISNUMBER($D29),INDEX(TaskCat,$D29)=INDEX(Setup!$F$6:$F$15,1))</formula>
    </cfRule>
    <cfRule type="expression" priority="134" dxfId="12" stopIfTrue="0">
      <formula>AND(ISNUMBER($D29),INDEX(TaskCat,$D29)=INDEX(Setup!$F$6:$F$15,2))</formula>
    </cfRule>
    <cfRule type="expression" priority="135" dxfId="13" stopIfTrue="0">
      <formula>AND(ISNUMBER($D29),INDEX(TaskCat,$D29)=INDEX(Setup!$F$6:$F$15,3))</formula>
    </cfRule>
    <cfRule type="expression" priority="136" dxfId="14" stopIfTrue="0">
      <formula>AND(ISNUMBER($D29),INDEX(TaskCat,$D29)=INDEX(Setup!$F$6:$F$15,4))</formula>
    </cfRule>
    <cfRule type="expression" priority="137" dxfId="15" stopIfTrue="0">
      <formula>AND(ISNUMBER($D29),INDEX(TaskCat,$D29)=INDEX(Setup!$F$6:$F$15,5))</formula>
    </cfRule>
    <cfRule type="expression" priority="138" dxfId="16" stopIfTrue="0">
      <formula>AND(ISNUMBER($D29),INDEX(TaskCat,$D29)=INDEX(Setup!$F$6:$F$15,6))</formula>
    </cfRule>
  </conditionalFormatting>
  <conditionalFormatting sqref="C30">
    <cfRule type="expression" priority="139" dxfId="11" stopIfTrue="0">
      <formula>AND(ISNUMBER($D30),INDEX(TaskCat,$D30)=INDEX(Setup!$F$6:$F$15,1))</formula>
    </cfRule>
    <cfRule type="expression" priority="140" dxfId="12" stopIfTrue="0">
      <formula>AND(ISNUMBER($D30),INDEX(TaskCat,$D30)=INDEX(Setup!$F$6:$F$15,2))</formula>
    </cfRule>
    <cfRule type="expression" priority="141" dxfId="13" stopIfTrue="0">
      <formula>AND(ISNUMBER($D30),INDEX(TaskCat,$D30)=INDEX(Setup!$F$6:$F$15,3))</formula>
    </cfRule>
    <cfRule type="expression" priority="142" dxfId="14" stopIfTrue="0">
      <formula>AND(ISNUMBER($D30),INDEX(TaskCat,$D30)=INDEX(Setup!$F$6:$F$15,4))</formula>
    </cfRule>
    <cfRule type="expression" priority="143" dxfId="15" stopIfTrue="0">
      <formula>AND(ISNUMBER($D30),INDEX(TaskCat,$D30)=INDEX(Setup!$F$6:$F$15,5))</formula>
    </cfRule>
    <cfRule type="expression" priority="144" dxfId="16" stopIfTrue="0">
      <formula>AND(ISNUMBER($D30),INDEX(TaskCat,$D30)=INDEX(Setup!$F$6:$F$15,6))</formula>
    </cfRule>
  </conditionalFormatting>
  <conditionalFormatting sqref="C31">
    <cfRule type="expression" priority="145" dxfId="11" stopIfTrue="0">
      <formula>AND(ISNUMBER($D31),INDEX(TaskCat,$D31)=INDEX(Setup!$F$6:$F$15,1))</formula>
    </cfRule>
    <cfRule type="expression" priority="146" dxfId="12" stopIfTrue="0">
      <formula>AND(ISNUMBER($D31),INDEX(TaskCat,$D31)=INDEX(Setup!$F$6:$F$15,2))</formula>
    </cfRule>
    <cfRule type="expression" priority="147" dxfId="13" stopIfTrue="0">
      <formula>AND(ISNUMBER($D31),INDEX(TaskCat,$D31)=INDEX(Setup!$F$6:$F$15,3))</formula>
    </cfRule>
    <cfRule type="expression" priority="148" dxfId="14" stopIfTrue="0">
      <formula>AND(ISNUMBER($D31),INDEX(TaskCat,$D31)=INDEX(Setup!$F$6:$F$15,4))</formula>
    </cfRule>
    <cfRule type="expression" priority="149" dxfId="15" stopIfTrue="0">
      <formula>AND(ISNUMBER($D31),INDEX(TaskCat,$D31)=INDEX(Setup!$F$6:$F$15,5))</formula>
    </cfRule>
    <cfRule type="expression" priority="150" dxfId="16" stopIfTrue="0">
      <formula>AND(ISNUMBER($D31),INDEX(TaskCat,$D31)=INDEX(Setup!$F$6:$F$15,6))</formula>
    </cfRule>
  </conditionalFormatting>
  <conditionalFormatting sqref="C32">
    <cfRule type="expression" priority="151" dxfId="11" stopIfTrue="0">
      <formula>AND(ISNUMBER($D32),INDEX(TaskCat,$D32)=INDEX(Setup!$F$6:$F$15,1))</formula>
    </cfRule>
    <cfRule type="expression" priority="152" dxfId="12" stopIfTrue="0">
      <formula>AND(ISNUMBER($D32),INDEX(TaskCat,$D32)=INDEX(Setup!$F$6:$F$15,2))</formula>
    </cfRule>
    <cfRule type="expression" priority="153" dxfId="13" stopIfTrue="0">
      <formula>AND(ISNUMBER($D32),INDEX(TaskCat,$D32)=INDEX(Setup!$F$6:$F$15,3))</formula>
    </cfRule>
    <cfRule type="expression" priority="154" dxfId="14" stopIfTrue="0">
      <formula>AND(ISNUMBER($D32),INDEX(TaskCat,$D32)=INDEX(Setup!$F$6:$F$15,4))</formula>
    </cfRule>
    <cfRule type="expression" priority="155" dxfId="15" stopIfTrue="0">
      <formula>AND(ISNUMBER($D32),INDEX(TaskCat,$D32)=INDEX(Setup!$F$6:$F$15,5))</formula>
    </cfRule>
    <cfRule type="expression" priority="156" dxfId="16" stopIfTrue="0">
      <formula>AND(ISNUMBER($D32),INDEX(TaskCat,$D32)=INDEX(Setup!$F$6:$F$15,6))</formula>
    </cfRule>
  </conditionalFormatting>
  <conditionalFormatting sqref="C33">
    <cfRule type="expression" priority="157" dxfId="11" stopIfTrue="0">
      <formula>AND(ISNUMBER($D33),INDEX(TaskCat,$D33)=INDEX(Setup!$F$6:$F$15,1))</formula>
    </cfRule>
    <cfRule type="expression" priority="158" dxfId="12" stopIfTrue="0">
      <formula>AND(ISNUMBER($D33),INDEX(TaskCat,$D33)=INDEX(Setup!$F$6:$F$15,2))</formula>
    </cfRule>
    <cfRule type="expression" priority="159" dxfId="13" stopIfTrue="0">
      <formula>AND(ISNUMBER($D33),INDEX(TaskCat,$D33)=INDEX(Setup!$F$6:$F$15,3))</formula>
    </cfRule>
    <cfRule type="expression" priority="160" dxfId="14" stopIfTrue="0">
      <formula>AND(ISNUMBER($D33),INDEX(TaskCat,$D33)=INDEX(Setup!$F$6:$F$15,4))</formula>
    </cfRule>
    <cfRule type="expression" priority="161" dxfId="15" stopIfTrue="0">
      <formula>AND(ISNUMBER($D33),INDEX(TaskCat,$D33)=INDEX(Setup!$F$6:$F$15,5))</formula>
    </cfRule>
    <cfRule type="expression" priority="162" dxfId="16" stopIfTrue="0">
      <formula>AND(ISNUMBER($D33),INDEX(TaskCat,$D33)=INDEX(Setup!$F$6:$F$15,6))</formula>
    </cfRule>
  </conditionalFormatting>
  <conditionalFormatting sqref="C34">
    <cfRule type="expression" priority="163" dxfId="11" stopIfTrue="0">
      <formula>AND(ISNUMBER($D34),INDEX(TaskCat,$D34)=INDEX(Setup!$F$6:$F$15,1))</formula>
    </cfRule>
    <cfRule type="expression" priority="164" dxfId="12" stopIfTrue="0">
      <formula>AND(ISNUMBER($D34),INDEX(TaskCat,$D34)=INDEX(Setup!$F$6:$F$15,2))</formula>
    </cfRule>
    <cfRule type="expression" priority="165" dxfId="13" stopIfTrue="0">
      <formula>AND(ISNUMBER($D34),INDEX(TaskCat,$D34)=INDEX(Setup!$F$6:$F$15,3))</formula>
    </cfRule>
    <cfRule type="expression" priority="166" dxfId="14" stopIfTrue="0">
      <formula>AND(ISNUMBER($D34),INDEX(TaskCat,$D34)=INDEX(Setup!$F$6:$F$15,4))</formula>
    </cfRule>
    <cfRule type="expression" priority="167" dxfId="15" stopIfTrue="0">
      <formula>AND(ISNUMBER($D34),INDEX(TaskCat,$D34)=INDEX(Setup!$F$6:$F$15,5))</formula>
    </cfRule>
    <cfRule type="expression" priority="168" dxfId="16" stopIfTrue="0">
      <formula>AND(ISNUMBER($D34),INDEX(TaskCat,$D34)=INDEX(Setup!$F$6:$F$15,6))</formula>
    </cfRule>
  </conditionalFormatting>
  <conditionalFormatting sqref="C35">
    <cfRule type="expression" priority="169" dxfId="11" stopIfTrue="0">
      <formula>AND(ISNUMBER($D35),INDEX(TaskCat,$D35)=INDEX(Setup!$F$6:$F$15,1))</formula>
    </cfRule>
    <cfRule type="expression" priority="170" dxfId="12" stopIfTrue="0">
      <formula>AND(ISNUMBER($D35),INDEX(TaskCat,$D35)=INDEX(Setup!$F$6:$F$15,2))</formula>
    </cfRule>
    <cfRule type="expression" priority="171" dxfId="13" stopIfTrue="0">
      <formula>AND(ISNUMBER($D35),INDEX(TaskCat,$D35)=INDEX(Setup!$F$6:$F$15,3))</formula>
    </cfRule>
    <cfRule type="expression" priority="172" dxfId="14" stopIfTrue="0">
      <formula>AND(ISNUMBER($D35),INDEX(TaskCat,$D35)=INDEX(Setup!$F$6:$F$15,4))</formula>
    </cfRule>
    <cfRule type="expression" priority="173" dxfId="15" stopIfTrue="0">
      <formula>AND(ISNUMBER($D35),INDEX(TaskCat,$D35)=INDEX(Setup!$F$6:$F$15,5))</formula>
    </cfRule>
    <cfRule type="expression" priority="174" dxfId="16" stopIfTrue="0">
      <formula>AND(ISNUMBER($D35),INDEX(TaskCat,$D35)=INDEX(Setup!$F$6:$F$15,6))</formula>
    </cfRule>
  </conditionalFormatting>
  <conditionalFormatting sqref="C36">
    <cfRule type="expression" priority="175" dxfId="11" stopIfTrue="0">
      <formula>AND(ISNUMBER($D36),INDEX(TaskCat,$D36)=INDEX(Setup!$F$6:$F$15,1))</formula>
    </cfRule>
    <cfRule type="expression" priority="176" dxfId="12" stopIfTrue="0">
      <formula>AND(ISNUMBER($D36),INDEX(TaskCat,$D36)=INDEX(Setup!$F$6:$F$15,2))</formula>
    </cfRule>
    <cfRule type="expression" priority="177" dxfId="13" stopIfTrue="0">
      <formula>AND(ISNUMBER($D36),INDEX(TaskCat,$D36)=INDEX(Setup!$F$6:$F$15,3))</formula>
    </cfRule>
    <cfRule type="expression" priority="178" dxfId="14" stopIfTrue="0">
      <formula>AND(ISNUMBER($D36),INDEX(TaskCat,$D36)=INDEX(Setup!$F$6:$F$15,4))</formula>
    </cfRule>
    <cfRule type="expression" priority="179" dxfId="15" stopIfTrue="0">
      <formula>AND(ISNUMBER($D36),INDEX(TaskCat,$D36)=INDEX(Setup!$F$6:$F$15,5))</formula>
    </cfRule>
    <cfRule type="expression" priority="180" dxfId="16" stopIfTrue="0">
      <formula>AND(ISNUMBER($D36),INDEX(TaskCat,$D36)=INDEX(Setup!$F$6:$F$15,6))</formula>
    </cfRule>
  </conditionalFormatting>
  <conditionalFormatting sqref="C37">
    <cfRule type="expression" priority="181" dxfId="11" stopIfTrue="0">
      <formula>AND(ISNUMBER($D37),INDEX(TaskCat,$D37)=INDEX(Setup!$F$6:$F$15,1))</formula>
    </cfRule>
    <cfRule type="expression" priority="182" dxfId="12" stopIfTrue="0">
      <formula>AND(ISNUMBER($D37),INDEX(TaskCat,$D37)=INDEX(Setup!$F$6:$F$15,2))</formula>
    </cfRule>
    <cfRule type="expression" priority="183" dxfId="13" stopIfTrue="0">
      <formula>AND(ISNUMBER($D37),INDEX(TaskCat,$D37)=INDEX(Setup!$F$6:$F$15,3))</formula>
    </cfRule>
    <cfRule type="expression" priority="184" dxfId="14" stopIfTrue="0">
      <formula>AND(ISNUMBER($D37),INDEX(TaskCat,$D37)=INDEX(Setup!$F$6:$F$15,4))</formula>
    </cfRule>
    <cfRule type="expression" priority="185" dxfId="15" stopIfTrue="0">
      <formula>AND(ISNUMBER($D37),INDEX(TaskCat,$D37)=INDEX(Setup!$F$6:$F$15,5))</formula>
    </cfRule>
    <cfRule type="expression" priority="186" dxfId="16" stopIfTrue="0">
      <formula>AND(ISNUMBER($D37),INDEX(TaskCat,$D37)=INDEX(Setup!$F$6:$F$15,6))</formula>
    </cfRule>
  </conditionalFormatting>
  <conditionalFormatting sqref="C38">
    <cfRule type="expression" priority="187" dxfId="11" stopIfTrue="0">
      <formula>AND(ISNUMBER($D38),INDEX(TaskCat,$D38)=INDEX(Setup!$F$6:$F$15,1))</formula>
    </cfRule>
    <cfRule type="expression" priority="188" dxfId="12" stopIfTrue="0">
      <formula>AND(ISNUMBER($D38),INDEX(TaskCat,$D38)=INDEX(Setup!$F$6:$F$15,2))</formula>
    </cfRule>
    <cfRule type="expression" priority="189" dxfId="13" stopIfTrue="0">
      <formula>AND(ISNUMBER($D38),INDEX(TaskCat,$D38)=INDEX(Setup!$F$6:$F$15,3))</formula>
    </cfRule>
    <cfRule type="expression" priority="190" dxfId="14" stopIfTrue="0">
      <formula>AND(ISNUMBER($D38),INDEX(TaskCat,$D38)=INDEX(Setup!$F$6:$F$15,4))</formula>
    </cfRule>
    <cfRule type="expression" priority="191" dxfId="15" stopIfTrue="0">
      <formula>AND(ISNUMBER($D38),INDEX(TaskCat,$D38)=INDEX(Setup!$F$6:$F$15,5))</formula>
    </cfRule>
    <cfRule type="expression" priority="192" dxfId="16" stopIfTrue="0">
      <formula>AND(ISNUMBER($D38),INDEX(TaskCat,$D38)=INDEX(Setup!$F$6:$F$15,6))</formula>
    </cfRule>
  </conditionalFormatting>
  <conditionalFormatting sqref="C39">
    <cfRule type="expression" priority="193" dxfId="11" stopIfTrue="0">
      <formula>AND(ISNUMBER($D39),INDEX(TaskCat,$D39)=INDEX(Setup!$F$6:$F$15,1))</formula>
    </cfRule>
    <cfRule type="expression" priority="194" dxfId="12" stopIfTrue="0">
      <formula>AND(ISNUMBER($D39),INDEX(TaskCat,$D39)=INDEX(Setup!$F$6:$F$15,2))</formula>
    </cfRule>
    <cfRule type="expression" priority="195" dxfId="13" stopIfTrue="0">
      <formula>AND(ISNUMBER($D39),INDEX(TaskCat,$D39)=INDEX(Setup!$F$6:$F$15,3))</formula>
    </cfRule>
    <cfRule type="expression" priority="196" dxfId="14" stopIfTrue="0">
      <formula>AND(ISNUMBER($D39),INDEX(TaskCat,$D39)=INDEX(Setup!$F$6:$F$15,4))</formula>
    </cfRule>
    <cfRule type="expression" priority="197" dxfId="15" stopIfTrue="0">
      <formula>AND(ISNUMBER($D39),INDEX(TaskCat,$D39)=INDEX(Setup!$F$6:$F$15,5))</formula>
    </cfRule>
    <cfRule type="expression" priority="198" dxfId="16" stopIfTrue="0">
      <formula>AND(ISNUMBER($D39),INDEX(TaskCat,$D39)=INDEX(Setup!$F$6:$F$15,6))</formula>
    </cfRule>
  </conditionalFormatting>
  <conditionalFormatting sqref="C40">
    <cfRule type="expression" priority="199" dxfId="11" stopIfTrue="0">
      <formula>AND(ISNUMBER($D40),INDEX(TaskCat,$D40)=INDEX(Setup!$F$6:$F$15,1))</formula>
    </cfRule>
    <cfRule type="expression" priority="200" dxfId="12" stopIfTrue="0">
      <formula>AND(ISNUMBER($D40),INDEX(TaskCat,$D40)=INDEX(Setup!$F$6:$F$15,2))</formula>
    </cfRule>
    <cfRule type="expression" priority="201" dxfId="13" stopIfTrue="0">
      <formula>AND(ISNUMBER($D40),INDEX(TaskCat,$D40)=INDEX(Setup!$F$6:$F$15,3))</formula>
    </cfRule>
    <cfRule type="expression" priority="202" dxfId="14" stopIfTrue="0">
      <formula>AND(ISNUMBER($D40),INDEX(TaskCat,$D40)=INDEX(Setup!$F$6:$F$15,4))</formula>
    </cfRule>
    <cfRule type="expression" priority="203" dxfId="15" stopIfTrue="0">
      <formula>AND(ISNUMBER($D40),INDEX(TaskCat,$D40)=INDEX(Setup!$F$6:$F$15,5))</formula>
    </cfRule>
    <cfRule type="expression" priority="204" dxfId="16" stopIfTrue="0">
      <formula>AND(ISNUMBER($D40),INDEX(TaskCat,$D40)=INDEX(Setup!$F$6:$F$15,6))</formula>
    </cfRule>
  </conditionalFormatting>
  <conditionalFormatting sqref="C41">
    <cfRule type="expression" priority="205" dxfId="11" stopIfTrue="0">
      <formula>AND(ISNUMBER($D41),INDEX(TaskCat,$D41)=INDEX(Setup!$F$6:$F$15,1))</formula>
    </cfRule>
    <cfRule type="expression" priority="206" dxfId="12" stopIfTrue="0">
      <formula>AND(ISNUMBER($D41),INDEX(TaskCat,$D41)=INDEX(Setup!$F$6:$F$15,2))</formula>
    </cfRule>
    <cfRule type="expression" priority="207" dxfId="13" stopIfTrue="0">
      <formula>AND(ISNUMBER($D41),INDEX(TaskCat,$D41)=INDEX(Setup!$F$6:$F$15,3))</formula>
    </cfRule>
    <cfRule type="expression" priority="208" dxfId="14" stopIfTrue="0">
      <formula>AND(ISNUMBER($D41),INDEX(TaskCat,$D41)=INDEX(Setup!$F$6:$F$15,4))</formula>
    </cfRule>
    <cfRule type="expression" priority="209" dxfId="15" stopIfTrue="0">
      <formula>AND(ISNUMBER($D41),INDEX(TaskCat,$D41)=INDEX(Setup!$F$6:$F$15,5))</formula>
    </cfRule>
    <cfRule type="expression" priority="210" dxfId="16" stopIfTrue="0">
      <formula>AND(ISNUMBER($D41),INDEX(TaskCat,$D41)=INDEX(Setup!$F$6:$F$15,6))</formula>
    </cfRule>
  </conditionalFormatting>
  <conditionalFormatting sqref="C42">
    <cfRule type="expression" priority="211" dxfId="11" stopIfTrue="0">
      <formula>AND(ISNUMBER($D42),INDEX(TaskCat,$D42)=INDEX(Setup!$F$6:$F$15,1))</formula>
    </cfRule>
    <cfRule type="expression" priority="212" dxfId="12" stopIfTrue="0">
      <formula>AND(ISNUMBER($D42),INDEX(TaskCat,$D42)=INDEX(Setup!$F$6:$F$15,2))</formula>
    </cfRule>
    <cfRule type="expression" priority="213" dxfId="13" stopIfTrue="0">
      <formula>AND(ISNUMBER($D42),INDEX(TaskCat,$D42)=INDEX(Setup!$F$6:$F$15,3))</formula>
    </cfRule>
    <cfRule type="expression" priority="214" dxfId="14" stopIfTrue="0">
      <formula>AND(ISNUMBER($D42),INDEX(TaskCat,$D42)=INDEX(Setup!$F$6:$F$15,4))</formula>
    </cfRule>
    <cfRule type="expression" priority="215" dxfId="15" stopIfTrue="0">
      <formula>AND(ISNUMBER($D42),INDEX(TaskCat,$D42)=INDEX(Setup!$F$6:$F$15,5))</formula>
    </cfRule>
    <cfRule type="expression" priority="216" dxfId="16" stopIfTrue="0">
      <formula>AND(ISNUMBER($D42),INDEX(TaskCat,$D42)=INDEX(Setup!$F$6:$F$15,6))</formula>
    </cfRule>
  </conditionalFormatting>
  <conditionalFormatting sqref="C43">
    <cfRule type="expression" priority="217" dxfId="11" stopIfTrue="0">
      <formula>AND(ISNUMBER($D43),INDEX(TaskCat,$D43)=INDEX(Setup!$F$6:$F$15,1))</formula>
    </cfRule>
    <cfRule type="expression" priority="218" dxfId="12" stopIfTrue="0">
      <formula>AND(ISNUMBER($D43),INDEX(TaskCat,$D43)=INDEX(Setup!$F$6:$F$15,2))</formula>
    </cfRule>
    <cfRule type="expression" priority="219" dxfId="13" stopIfTrue="0">
      <formula>AND(ISNUMBER($D43),INDEX(TaskCat,$D43)=INDEX(Setup!$F$6:$F$15,3))</formula>
    </cfRule>
    <cfRule type="expression" priority="220" dxfId="14" stopIfTrue="0">
      <formula>AND(ISNUMBER($D43),INDEX(TaskCat,$D43)=INDEX(Setup!$F$6:$F$15,4))</formula>
    </cfRule>
    <cfRule type="expression" priority="221" dxfId="15" stopIfTrue="0">
      <formula>AND(ISNUMBER($D43),INDEX(TaskCat,$D43)=INDEX(Setup!$F$6:$F$15,5))</formula>
    </cfRule>
    <cfRule type="expression" priority="222" dxfId="16" stopIfTrue="0">
      <formula>AND(ISNUMBER($D43),INDEX(TaskCat,$D43)=INDEX(Setup!$F$6:$F$15,6))</formula>
    </cfRule>
  </conditionalFormatting>
  <conditionalFormatting sqref="C44">
    <cfRule type="expression" priority="223" dxfId="11" stopIfTrue="0">
      <formula>AND(ISNUMBER($D44),INDEX(TaskCat,$D44)=INDEX(Setup!$F$6:$F$15,1))</formula>
    </cfRule>
    <cfRule type="expression" priority="224" dxfId="12" stopIfTrue="0">
      <formula>AND(ISNUMBER($D44),INDEX(TaskCat,$D44)=INDEX(Setup!$F$6:$F$15,2))</formula>
    </cfRule>
    <cfRule type="expression" priority="225" dxfId="13" stopIfTrue="0">
      <formula>AND(ISNUMBER($D44),INDEX(TaskCat,$D44)=INDEX(Setup!$F$6:$F$15,3))</formula>
    </cfRule>
    <cfRule type="expression" priority="226" dxfId="14" stopIfTrue="0">
      <formula>AND(ISNUMBER($D44),INDEX(TaskCat,$D44)=INDEX(Setup!$F$6:$F$15,4))</formula>
    </cfRule>
    <cfRule type="expression" priority="227" dxfId="15" stopIfTrue="0">
      <formula>AND(ISNUMBER($D44),INDEX(TaskCat,$D44)=INDEX(Setup!$F$6:$F$15,5))</formula>
    </cfRule>
    <cfRule type="expression" priority="228" dxfId="16" stopIfTrue="0">
      <formula>AND(ISNUMBER($D44),INDEX(TaskCat,$D44)=INDEX(Setup!$F$6:$F$15,6))</formula>
    </cfRule>
  </conditionalFormatting>
  <conditionalFormatting sqref="C45">
    <cfRule type="expression" priority="229" dxfId="11" stopIfTrue="0">
      <formula>AND(ISNUMBER($D45),INDEX(TaskCat,$D45)=INDEX(Setup!$F$6:$F$15,1))</formula>
    </cfRule>
    <cfRule type="expression" priority="230" dxfId="12" stopIfTrue="0">
      <formula>AND(ISNUMBER($D45),INDEX(TaskCat,$D45)=INDEX(Setup!$F$6:$F$15,2))</formula>
    </cfRule>
    <cfRule type="expression" priority="231" dxfId="13" stopIfTrue="0">
      <formula>AND(ISNUMBER($D45),INDEX(TaskCat,$D45)=INDEX(Setup!$F$6:$F$15,3))</formula>
    </cfRule>
    <cfRule type="expression" priority="232" dxfId="14" stopIfTrue="0">
      <formula>AND(ISNUMBER($D45),INDEX(TaskCat,$D45)=INDEX(Setup!$F$6:$F$15,4))</formula>
    </cfRule>
    <cfRule type="expression" priority="233" dxfId="15" stopIfTrue="0">
      <formula>AND(ISNUMBER($D45),INDEX(TaskCat,$D45)=INDEX(Setup!$F$6:$F$15,5))</formula>
    </cfRule>
    <cfRule type="expression" priority="234" dxfId="16" stopIfTrue="0">
      <formula>AND(ISNUMBER($D45),INDEX(TaskCat,$D45)=INDEX(Setup!$F$6:$F$15,6))</formula>
    </cfRule>
  </conditionalFormatting>
  <conditionalFormatting sqref="C46">
    <cfRule type="expression" priority="235" dxfId="11" stopIfTrue="0">
      <formula>AND(ISNUMBER($D46),INDEX(TaskCat,$D46)=INDEX(Setup!$F$6:$F$15,1))</formula>
    </cfRule>
    <cfRule type="expression" priority="236" dxfId="12" stopIfTrue="0">
      <formula>AND(ISNUMBER($D46),INDEX(TaskCat,$D46)=INDEX(Setup!$F$6:$F$15,2))</formula>
    </cfRule>
    <cfRule type="expression" priority="237" dxfId="13" stopIfTrue="0">
      <formula>AND(ISNUMBER($D46),INDEX(TaskCat,$D46)=INDEX(Setup!$F$6:$F$15,3))</formula>
    </cfRule>
    <cfRule type="expression" priority="238" dxfId="14" stopIfTrue="0">
      <formula>AND(ISNUMBER($D46),INDEX(TaskCat,$D46)=INDEX(Setup!$F$6:$F$15,4))</formula>
    </cfRule>
    <cfRule type="expression" priority="239" dxfId="15" stopIfTrue="0">
      <formula>AND(ISNUMBER($D46),INDEX(TaskCat,$D46)=INDEX(Setup!$F$6:$F$15,5))</formula>
    </cfRule>
    <cfRule type="expression" priority="240" dxfId="16" stopIfTrue="0">
      <formula>AND(ISNUMBER($D46),INDEX(TaskCat,$D46)=INDEX(Setup!$F$6:$F$15,6))</formula>
    </cfRule>
  </conditionalFormatting>
  <conditionalFormatting sqref="F8:I8">
    <cfRule type="expression" priority="241" dxfId="10" stopIfTrue="0">
      <formula>AND($J8&lt;&gt;"",INDEX(TaskDone,$J8)=1)</formula>
    </cfRule>
  </conditionalFormatting>
  <conditionalFormatting sqref="F9:I9">
    <cfRule type="expression" priority="242" dxfId="10" stopIfTrue="0">
      <formula>AND($J9&lt;&gt;"",INDEX(TaskDone,$J9)=1)</formula>
    </cfRule>
  </conditionalFormatting>
  <conditionalFormatting sqref="F10:I10">
    <cfRule type="expression" priority="243" dxfId="10" stopIfTrue="0">
      <formula>AND($J10&lt;&gt;"",INDEX(TaskDone,$J10)=1)</formula>
    </cfRule>
  </conditionalFormatting>
  <conditionalFormatting sqref="F11:I11">
    <cfRule type="expression" priority="244" dxfId="10" stopIfTrue="0">
      <formula>AND($J11&lt;&gt;"",INDEX(TaskDone,$J11)=1)</formula>
    </cfRule>
  </conditionalFormatting>
  <conditionalFormatting sqref="F12:I12">
    <cfRule type="expression" priority="245" dxfId="10" stopIfTrue="0">
      <formula>AND($J12&lt;&gt;"",INDEX(TaskDone,$J12)=1)</formula>
    </cfRule>
  </conditionalFormatting>
  <conditionalFormatting sqref="F13:I13">
    <cfRule type="expression" priority="246" dxfId="10" stopIfTrue="0">
      <formula>AND($J13&lt;&gt;"",INDEX(TaskDone,$J13)=1)</formula>
    </cfRule>
  </conditionalFormatting>
  <conditionalFormatting sqref="F14:I14">
    <cfRule type="expression" priority="247" dxfId="10" stopIfTrue="0">
      <formula>AND($J14&lt;&gt;"",INDEX(TaskDone,$J14)=1)</formula>
    </cfRule>
  </conditionalFormatting>
  <conditionalFormatting sqref="F15:I15">
    <cfRule type="expression" priority="248" dxfId="10" stopIfTrue="0">
      <formula>AND($J15&lt;&gt;"",INDEX(TaskDone,$J15)=1)</formula>
    </cfRule>
  </conditionalFormatting>
  <conditionalFormatting sqref="F16:I16">
    <cfRule type="expression" priority="249" dxfId="10" stopIfTrue="0">
      <formula>AND($J16&lt;&gt;"",INDEX(TaskDone,$J16)=1)</formula>
    </cfRule>
  </conditionalFormatting>
  <conditionalFormatting sqref="F17:I17">
    <cfRule type="expression" priority="250" dxfId="10" stopIfTrue="0">
      <formula>AND($J17&lt;&gt;"",INDEX(TaskDone,$J17)=1)</formula>
    </cfRule>
  </conditionalFormatting>
  <conditionalFormatting sqref="F18:I18">
    <cfRule type="expression" priority="251" dxfId="10" stopIfTrue="0">
      <formula>AND($J18&lt;&gt;"",INDEX(TaskDone,$J18)=1)</formula>
    </cfRule>
  </conditionalFormatting>
  <conditionalFormatting sqref="F19:I19">
    <cfRule type="expression" priority="252" dxfId="10" stopIfTrue="0">
      <formula>AND($J19&lt;&gt;"",INDEX(TaskDone,$J19)=1)</formula>
    </cfRule>
  </conditionalFormatting>
  <conditionalFormatting sqref="F20:I20">
    <cfRule type="expression" priority="253" dxfId="10" stopIfTrue="0">
      <formula>AND($J20&lt;&gt;"",INDEX(TaskDone,$J20)=1)</formula>
    </cfRule>
  </conditionalFormatting>
  <conditionalFormatting sqref="F21:I21">
    <cfRule type="expression" priority="254" dxfId="10" stopIfTrue="0">
      <formula>AND($J21&lt;&gt;"",INDEX(TaskDone,$J21)=1)</formula>
    </cfRule>
  </conditionalFormatting>
  <conditionalFormatting sqref="F22:I22">
    <cfRule type="expression" priority="255" dxfId="10" stopIfTrue="0">
      <formula>AND($J22&lt;&gt;"",INDEX(TaskDone,$J22)=1)</formula>
    </cfRule>
  </conditionalFormatting>
  <conditionalFormatting sqref="F23:I23">
    <cfRule type="expression" priority="256" dxfId="10" stopIfTrue="0">
      <formula>AND($J23&lt;&gt;"",INDEX(TaskDone,$J23)=1)</formula>
    </cfRule>
  </conditionalFormatting>
  <conditionalFormatting sqref="F24:I24">
    <cfRule type="expression" priority="257" dxfId="10" stopIfTrue="0">
      <formula>AND($J24&lt;&gt;"",INDEX(TaskDone,$J24)=1)</formula>
    </cfRule>
  </conditionalFormatting>
  <conditionalFormatting sqref="F25:I25">
    <cfRule type="expression" priority="258" dxfId="10" stopIfTrue="0">
      <formula>AND($J25&lt;&gt;"",INDEX(TaskDone,$J25)=1)</formula>
    </cfRule>
  </conditionalFormatting>
  <conditionalFormatting sqref="F26:I26">
    <cfRule type="expression" priority="259" dxfId="10" stopIfTrue="0">
      <formula>AND($J26&lt;&gt;"",INDEX(TaskDone,$J26)=1)</formula>
    </cfRule>
  </conditionalFormatting>
  <conditionalFormatting sqref="F27:I27">
    <cfRule type="expression" priority="260" dxfId="10" stopIfTrue="0">
      <formula>AND($J27&lt;&gt;"",INDEX(TaskDone,$J27)=1)</formula>
    </cfRule>
  </conditionalFormatting>
  <conditionalFormatting sqref="F28:I28">
    <cfRule type="expression" priority="261" dxfId="10" stopIfTrue="0">
      <formula>AND($J28&lt;&gt;"",INDEX(TaskDone,$J28)=1)</formula>
    </cfRule>
  </conditionalFormatting>
  <conditionalFormatting sqref="F29:I29">
    <cfRule type="expression" priority="262" dxfId="10" stopIfTrue="0">
      <formula>AND($J29&lt;&gt;"",INDEX(TaskDone,$J29)=1)</formula>
    </cfRule>
  </conditionalFormatting>
  <conditionalFormatting sqref="F30:I30">
    <cfRule type="expression" priority="263" dxfId="10" stopIfTrue="0">
      <formula>AND($J30&lt;&gt;"",INDEX(TaskDone,$J30)=1)</formula>
    </cfRule>
  </conditionalFormatting>
  <conditionalFormatting sqref="F31:I31">
    <cfRule type="expression" priority="264" dxfId="10" stopIfTrue="0">
      <formula>AND($J31&lt;&gt;"",INDEX(TaskDone,$J31)=1)</formula>
    </cfRule>
  </conditionalFormatting>
  <conditionalFormatting sqref="F32:I32">
    <cfRule type="expression" priority="265" dxfId="10" stopIfTrue="0">
      <formula>AND($J32&lt;&gt;"",INDEX(TaskDone,$J32)=1)</formula>
    </cfRule>
  </conditionalFormatting>
  <conditionalFormatting sqref="H8:H32">
    <cfRule type="expression" priority="266" dxfId="11" stopIfTrue="0">
      <formula>AND(H8&lt;&gt;"",H8=INDEX(Setup!$F$6:$F$15,1))</formula>
    </cfRule>
    <cfRule type="expression" priority="267" dxfId="12" stopIfTrue="0">
      <formula>AND(H8&lt;&gt;"",H8=INDEX(Setup!$F$6:$F$15,2))</formula>
    </cfRule>
    <cfRule type="expression" priority="268" dxfId="13" stopIfTrue="0">
      <formula>AND(H8&lt;&gt;"",H8=INDEX(Setup!$F$6:$F$15,3))</formula>
    </cfRule>
    <cfRule type="expression" priority="269" dxfId="14" stopIfTrue="0">
      <formula>AND(H8&lt;&gt;"",H8=INDEX(Setup!$F$6:$F$15,4))</formula>
    </cfRule>
    <cfRule type="expression" priority="270" dxfId="15" stopIfTrue="0">
      <formula>AND(H8&lt;&gt;"",H8=INDEX(Setup!$F$6:$F$15,5))</formula>
    </cfRule>
    <cfRule type="expression" priority="271" dxfId="16" stopIfTrue="0">
      <formula>AND(H8&lt;&gt;"",H8=INDEX(Setup!$F$6:$F$15,6))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B224"/>
    <outlinePr summaryBelow="1" summaryRight="1"/>
    <pageSetUpPr/>
  </sheetPr>
  <dimension ref="A1:Z60"/>
  <sheetViews>
    <sheetView showGridLines="0" zoomScale="85" workbookViewId="0">
      <selection activeCell="A1" sqref="A1"/>
    </sheetView>
  </sheetViews>
  <sheetFormatPr baseColWidth="8" defaultRowHeight="15"/>
  <cols>
    <col width="2" customWidth="1" style="1" min="1" max="1"/>
    <col width="10" customWidth="1" style="1" min="2" max="2"/>
    <col width="19" customWidth="1" style="1" min="3" max="3"/>
    <col hidden="1" width="3" customWidth="1" style="1" min="4" max="4"/>
    <col width="19" customWidth="1" style="1" min="5" max="5"/>
    <col hidden="1" width="3" customWidth="1" style="1" min="6" max="6"/>
    <col width="19" customWidth="1" style="1" min="7" max="7"/>
    <col hidden="1" width="3" customWidth="1" style="1" min="8" max="8"/>
    <col width="19" customWidth="1" style="1" min="9" max="9"/>
    <col hidden="1" width="3" customWidth="1" style="1" min="10" max="10"/>
    <col width="19" customWidth="1" style="1" min="11" max="11"/>
    <col hidden="1" width="3" customWidth="1" style="1" min="12" max="12"/>
    <col width="19" customWidth="1" style="1" min="13" max="13"/>
    <col hidden="1" width="3" customWidth="1" style="1" min="14" max="14"/>
    <col width="19" customWidth="1" style="1" min="15" max="15"/>
    <col hidden="1" width="3" customWidth="1" style="1" min="16" max="16"/>
    <col width="13" customWidth="1" style="1" min="17" max="17"/>
    <col width="13" customWidth="1" style="1" min="18" max="18"/>
    <col hidden="1"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4" customHeight="1">
      <c r="A2" s="1" t="n"/>
      <c r="B2" s="89" t="inlineStr">
        <is>
          <t>Weekly Planner</t>
        </is>
      </c>
      <c r="C2" s="35" t="n"/>
      <c r="D2" s="35" t="n"/>
      <c r="E2" s="35" t="n"/>
      <c r="F2" s="35" t="n"/>
      <c r="G2" s="35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4" t="inlineStr">
        <is>
          <t>Start date:</t>
        </is>
      </c>
      <c r="C3" s="15" t="n"/>
      <c r="E3" s="23" t="inlineStr">
        <is>
          <t>← blank = current week (week start set on Setup)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>
        <f>IF(C3="",Setup!$D$7-MOD(WEEKDAY(Setup!$D$7,IF(Setup!$D$10="Monday",2,1))-1,7),C3)</f>
        <v/>
      </c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96" t="inlineStr">
        <is>
          <t>Week of</t>
        </is>
      </c>
      <c r="C4" s="90">
        <f>TEXT($S$3,"d mmm")&amp;" – "&amp;TEXT($S$3+6,"d mmm yyyy")</f>
        <v/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n"/>
      <c r="C6" s="97">
        <f>UPPER(TEXT($S$3+0,"dddd"))</f>
        <v/>
      </c>
      <c r="E6" s="98">
        <f>UPPER(TEXT($S$3+1,"dddd"))</f>
        <v/>
      </c>
      <c r="G6" s="99">
        <f>UPPER(TEXT($S$3+2,"dddd"))</f>
        <v/>
      </c>
      <c r="I6" s="100">
        <f>UPPER(TEXT($S$3+3,"dddd"))</f>
        <v/>
      </c>
      <c r="K6" s="101">
        <f>UPPER(TEXT($S$3+4,"dddd"))</f>
        <v/>
      </c>
      <c r="M6" s="102">
        <f>UPPER(TEXT($S$3+5,"dddd"))</f>
        <v/>
      </c>
      <c r="O6" s="103">
        <f>UPPER(TEXT($S$3+6,"dddd"))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" t="n"/>
      <c r="C7" s="24">
        <f>TEXT($S$3+0,"mmm d")</f>
        <v/>
      </c>
      <c r="E7" s="24">
        <f>TEXT($S$3+1,"mmm d")</f>
        <v/>
      </c>
      <c r="G7" s="24">
        <f>TEXT($S$3+2,"mmm d")</f>
        <v/>
      </c>
      <c r="I7" s="24">
        <f>TEXT($S$3+3,"mmm d")</f>
        <v/>
      </c>
      <c r="K7" s="24">
        <f>TEXT($S$3+4,"mmm d")</f>
        <v/>
      </c>
      <c r="M7" s="24">
        <f>TEXT($S$3+5,"mmm d")</f>
        <v/>
      </c>
      <c r="O7" s="24">
        <f>TEXT($S$3+6,"mmm d")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" t="n"/>
      <c r="C8" s="104">
        <f>IFERROR(COUNTIFS(TaskDue,$S$3+0,TaskDone,1)/COUNTIFS(TaskDue,$S$3+0,TaskStat,"&lt;&gt;Cancelled"),0)</f>
        <v/>
      </c>
      <c r="E8" s="104">
        <f>IFERROR(COUNTIFS(TaskDue,$S$3+1,TaskDone,1)/COUNTIFS(TaskDue,$S$3+1,TaskStat,"&lt;&gt;Cancelled"),0)</f>
        <v/>
      </c>
      <c r="G8" s="104">
        <f>IFERROR(COUNTIFS(TaskDue,$S$3+2,TaskDone,1)/COUNTIFS(TaskDue,$S$3+2,TaskStat,"&lt;&gt;Cancelled"),0)</f>
        <v/>
      </c>
      <c r="I8" s="104">
        <f>IFERROR(COUNTIFS(TaskDue,$S$3+3,TaskDone,1)/COUNTIFS(TaskDue,$S$3+3,TaskStat,"&lt;&gt;Cancelled"),0)</f>
        <v/>
      </c>
      <c r="K8" s="104">
        <f>IFERROR(COUNTIFS(TaskDue,$S$3+4,TaskDone,1)/COUNTIFS(TaskDue,$S$3+4,TaskStat,"&lt;&gt;Cancelled"),0)</f>
        <v/>
      </c>
      <c r="M8" s="104">
        <f>IFERROR(COUNTIFS(TaskDue,$S$3+5,TaskDone,1)/COUNTIFS(TaskDue,$S$3+5,TaskStat,"&lt;&gt;Cancelled"),0)</f>
        <v/>
      </c>
      <c r="O8" s="104">
        <f>IFERROR(COUNTIFS(TaskDue,$S$3+6,TaskDone,1)/COUNTIFS(TaskDue,$S$3+6,TaskStat,"&lt;&gt;Cancelled"),0)</f>
        <v/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1" t="n"/>
      <c r="C9" s="105">
        <f>IF(D9="","",INDEX(Calc!$AU$2:$AU$2001,D9))</f>
        <v/>
      </c>
      <c r="D9" s="106">
        <f>IFERROR(MOD(_xlfn.AGGREGATE(15,6,Calc!$BN$2:$BN$2001/(Calc!$AW$2:$AW$2001=$S$3+0),1),10000),"")</f>
        <v/>
      </c>
      <c r="E9" s="105">
        <f>IF(F9="","",INDEX(Calc!$AU$2:$AU$2001,F9))</f>
        <v/>
      </c>
      <c r="F9" s="106">
        <f>IFERROR(MOD(_xlfn.AGGREGATE(15,6,Calc!$BN$2:$BN$2001/(Calc!$AW$2:$AW$2001=$S$3+1),1),10000),"")</f>
        <v/>
      </c>
      <c r="G9" s="105">
        <f>IF(H9="","",INDEX(Calc!$AU$2:$AU$2001,H9))</f>
        <v/>
      </c>
      <c r="H9" s="106">
        <f>IFERROR(MOD(_xlfn.AGGREGATE(15,6,Calc!$BN$2:$BN$2001/(Calc!$AW$2:$AW$2001=$S$3+2),1),10000),"")</f>
        <v/>
      </c>
      <c r="I9" s="105">
        <f>IF(J9="","",INDEX(Calc!$AU$2:$AU$2001,J9))</f>
        <v/>
      </c>
      <c r="J9" s="106">
        <f>IFERROR(MOD(_xlfn.AGGREGATE(15,6,Calc!$BN$2:$BN$2001/(Calc!$AW$2:$AW$2001=$S$3+3),1),10000),"")</f>
        <v/>
      </c>
      <c r="K9" s="105">
        <f>IF(L9="","",INDEX(Calc!$AU$2:$AU$2001,L9))</f>
        <v/>
      </c>
      <c r="L9" s="106">
        <f>IFERROR(MOD(_xlfn.AGGREGATE(15,6,Calc!$BN$2:$BN$2001/(Calc!$AW$2:$AW$2001=$S$3+4),1),10000),"")</f>
        <v/>
      </c>
      <c r="M9" s="105">
        <f>IF(N9="","",INDEX(Calc!$AU$2:$AU$2001,N9))</f>
        <v/>
      </c>
      <c r="N9" s="106">
        <f>IFERROR(MOD(_xlfn.AGGREGATE(15,6,Calc!$BN$2:$BN$2001/(Calc!$AW$2:$AW$2001=$S$3+5),1),10000),"")</f>
        <v/>
      </c>
      <c r="O9" s="105">
        <f>IF(P9="","",INDEX(Calc!$AU$2:$AU$2001,P9))</f>
        <v/>
      </c>
      <c r="P9" s="106">
        <f>IFERROR(MOD(_xlfn.AGGREGATE(15,6,Calc!$BN$2:$BN$2001/(Calc!$AW$2:$AW$2001=$S$3+6),1),10000),"")</f>
        <v/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105">
        <f>IF(D10="","",INDEX(Calc!$AU$2:$AU$2001,D10))</f>
        <v/>
      </c>
      <c r="D10" s="106">
        <f>IFERROR(MOD(_xlfn.AGGREGATE(15,6,Calc!$BN$2:$BN$2001/(Calc!$AW$2:$AW$2001=$S$3+0),2),10000),"")</f>
        <v/>
      </c>
      <c r="E10" s="105">
        <f>IF(F10="","",INDEX(Calc!$AU$2:$AU$2001,F10))</f>
        <v/>
      </c>
      <c r="F10" s="106">
        <f>IFERROR(MOD(_xlfn.AGGREGATE(15,6,Calc!$BN$2:$BN$2001/(Calc!$AW$2:$AW$2001=$S$3+1),2),10000),"")</f>
        <v/>
      </c>
      <c r="G10" s="105">
        <f>IF(H10="","",INDEX(Calc!$AU$2:$AU$2001,H10))</f>
        <v/>
      </c>
      <c r="H10" s="106">
        <f>IFERROR(MOD(_xlfn.AGGREGATE(15,6,Calc!$BN$2:$BN$2001/(Calc!$AW$2:$AW$2001=$S$3+2),2),10000),"")</f>
        <v/>
      </c>
      <c r="I10" s="105">
        <f>IF(J10="","",INDEX(Calc!$AU$2:$AU$2001,J10))</f>
        <v/>
      </c>
      <c r="J10" s="106">
        <f>IFERROR(MOD(_xlfn.AGGREGATE(15,6,Calc!$BN$2:$BN$2001/(Calc!$AW$2:$AW$2001=$S$3+3),2),10000),"")</f>
        <v/>
      </c>
      <c r="K10" s="105">
        <f>IF(L10="","",INDEX(Calc!$AU$2:$AU$2001,L10))</f>
        <v/>
      </c>
      <c r="L10" s="106">
        <f>IFERROR(MOD(_xlfn.AGGREGATE(15,6,Calc!$BN$2:$BN$2001/(Calc!$AW$2:$AW$2001=$S$3+4),2),10000),"")</f>
        <v/>
      </c>
      <c r="M10" s="105">
        <f>IF(N10="","",INDEX(Calc!$AU$2:$AU$2001,N10))</f>
        <v/>
      </c>
      <c r="N10" s="106">
        <f>IFERROR(MOD(_xlfn.AGGREGATE(15,6,Calc!$BN$2:$BN$2001/(Calc!$AW$2:$AW$2001=$S$3+5),2),10000),"")</f>
        <v/>
      </c>
      <c r="O10" s="105">
        <f>IF(P10="","",INDEX(Calc!$AU$2:$AU$2001,P10))</f>
        <v/>
      </c>
      <c r="P10" s="106">
        <f>IFERROR(MOD(_xlfn.AGGREGATE(15,6,Calc!$BN$2:$BN$2001/(Calc!$AW$2:$AW$2001=$S$3+6),2),10000),"")</f>
        <v/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05">
        <f>IF(D11="","",INDEX(Calc!$AU$2:$AU$2001,D11))</f>
        <v/>
      </c>
      <c r="D11" s="106">
        <f>IFERROR(MOD(_xlfn.AGGREGATE(15,6,Calc!$BN$2:$BN$2001/(Calc!$AW$2:$AW$2001=$S$3+0),3),10000),"")</f>
        <v/>
      </c>
      <c r="E11" s="105">
        <f>IF(F11="","",INDEX(Calc!$AU$2:$AU$2001,F11))</f>
        <v/>
      </c>
      <c r="F11" s="106">
        <f>IFERROR(MOD(_xlfn.AGGREGATE(15,6,Calc!$BN$2:$BN$2001/(Calc!$AW$2:$AW$2001=$S$3+1),3),10000),"")</f>
        <v/>
      </c>
      <c r="G11" s="105">
        <f>IF(H11="","",INDEX(Calc!$AU$2:$AU$2001,H11))</f>
        <v/>
      </c>
      <c r="H11" s="106">
        <f>IFERROR(MOD(_xlfn.AGGREGATE(15,6,Calc!$BN$2:$BN$2001/(Calc!$AW$2:$AW$2001=$S$3+2),3),10000),"")</f>
        <v/>
      </c>
      <c r="I11" s="105">
        <f>IF(J11="","",INDEX(Calc!$AU$2:$AU$2001,J11))</f>
        <v/>
      </c>
      <c r="J11" s="106">
        <f>IFERROR(MOD(_xlfn.AGGREGATE(15,6,Calc!$BN$2:$BN$2001/(Calc!$AW$2:$AW$2001=$S$3+3),3),10000),"")</f>
        <v/>
      </c>
      <c r="K11" s="105">
        <f>IF(L11="","",INDEX(Calc!$AU$2:$AU$2001,L11))</f>
        <v/>
      </c>
      <c r="L11" s="106">
        <f>IFERROR(MOD(_xlfn.AGGREGATE(15,6,Calc!$BN$2:$BN$2001/(Calc!$AW$2:$AW$2001=$S$3+4),3),10000),"")</f>
        <v/>
      </c>
      <c r="M11" s="105">
        <f>IF(N11="","",INDEX(Calc!$AU$2:$AU$2001,N11))</f>
        <v/>
      </c>
      <c r="N11" s="106">
        <f>IFERROR(MOD(_xlfn.AGGREGATE(15,6,Calc!$BN$2:$BN$2001/(Calc!$AW$2:$AW$2001=$S$3+5),3),10000),"")</f>
        <v/>
      </c>
      <c r="O11" s="105">
        <f>IF(P11="","",INDEX(Calc!$AU$2:$AU$2001,P11))</f>
        <v/>
      </c>
      <c r="P11" s="106">
        <f>IFERROR(MOD(_xlfn.AGGREGATE(15,6,Calc!$BN$2:$BN$2001/(Calc!$AW$2:$AW$2001=$S$3+6),3),10000),"")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05">
        <f>IF(D12="","",INDEX(Calc!$AU$2:$AU$2001,D12))</f>
        <v/>
      </c>
      <c r="D12" s="106">
        <f>IFERROR(MOD(_xlfn.AGGREGATE(15,6,Calc!$BN$2:$BN$2001/(Calc!$AW$2:$AW$2001=$S$3+0),4),10000),"")</f>
        <v/>
      </c>
      <c r="E12" s="105">
        <f>IF(F12="","",INDEX(Calc!$AU$2:$AU$2001,F12))</f>
        <v/>
      </c>
      <c r="F12" s="106">
        <f>IFERROR(MOD(_xlfn.AGGREGATE(15,6,Calc!$BN$2:$BN$2001/(Calc!$AW$2:$AW$2001=$S$3+1),4),10000),"")</f>
        <v/>
      </c>
      <c r="G12" s="105">
        <f>IF(H12="","",INDEX(Calc!$AU$2:$AU$2001,H12))</f>
        <v/>
      </c>
      <c r="H12" s="106">
        <f>IFERROR(MOD(_xlfn.AGGREGATE(15,6,Calc!$BN$2:$BN$2001/(Calc!$AW$2:$AW$2001=$S$3+2),4),10000),"")</f>
        <v/>
      </c>
      <c r="I12" s="105">
        <f>IF(J12="","",INDEX(Calc!$AU$2:$AU$2001,J12))</f>
        <v/>
      </c>
      <c r="J12" s="106">
        <f>IFERROR(MOD(_xlfn.AGGREGATE(15,6,Calc!$BN$2:$BN$2001/(Calc!$AW$2:$AW$2001=$S$3+3),4),10000),"")</f>
        <v/>
      </c>
      <c r="K12" s="105">
        <f>IF(L12="","",INDEX(Calc!$AU$2:$AU$2001,L12))</f>
        <v/>
      </c>
      <c r="L12" s="106">
        <f>IFERROR(MOD(_xlfn.AGGREGATE(15,6,Calc!$BN$2:$BN$2001/(Calc!$AW$2:$AW$2001=$S$3+4),4),10000),"")</f>
        <v/>
      </c>
      <c r="M12" s="105">
        <f>IF(N12="","",INDEX(Calc!$AU$2:$AU$2001,N12))</f>
        <v/>
      </c>
      <c r="N12" s="106">
        <f>IFERROR(MOD(_xlfn.AGGREGATE(15,6,Calc!$BN$2:$BN$2001/(Calc!$AW$2:$AW$2001=$S$3+5),4),10000),"")</f>
        <v/>
      </c>
      <c r="O12" s="105">
        <f>IF(P12="","",INDEX(Calc!$AU$2:$AU$2001,P12))</f>
        <v/>
      </c>
      <c r="P12" s="106">
        <f>IFERROR(MOD(_xlfn.AGGREGATE(15,6,Calc!$BN$2:$BN$2001/(Calc!$AW$2:$AW$2001=$S$3+6),4),10000),"")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05">
        <f>IF(D13="","",INDEX(Calc!$AU$2:$AU$2001,D13))</f>
        <v/>
      </c>
      <c r="D13" s="106">
        <f>IFERROR(MOD(_xlfn.AGGREGATE(15,6,Calc!$BN$2:$BN$2001/(Calc!$AW$2:$AW$2001=$S$3+0),5),10000),"")</f>
        <v/>
      </c>
      <c r="E13" s="105">
        <f>IF(F13="","",INDEX(Calc!$AU$2:$AU$2001,F13))</f>
        <v/>
      </c>
      <c r="F13" s="106">
        <f>IFERROR(MOD(_xlfn.AGGREGATE(15,6,Calc!$BN$2:$BN$2001/(Calc!$AW$2:$AW$2001=$S$3+1),5),10000),"")</f>
        <v/>
      </c>
      <c r="G13" s="105">
        <f>IF(H13="","",INDEX(Calc!$AU$2:$AU$2001,H13))</f>
        <v/>
      </c>
      <c r="H13" s="106">
        <f>IFERROR(MOD(_xlfn.AGGREGATE(15,6,Calc!$BN$2:$BN$2001/(Calc!$AW$2:$AW$2001=$S$3+2),5),10000),"")</f>
        <v/>
      </c>
      <c r="I13" s="105">
        <f>IF(J13="","",INDEX(Calc!$AU$2:$AU$2001,J13))</f>
        <v/>
      </c>
      <c r="J13" s="106">
        <f>IFERROR(MOD(_xlfn.AGGREGATE(15,6,Calc!$BN$2:$BN$2001/(Calc!$AW$2:$AW$2001=$S$3+3),5),10000),"")</f>
        <v/>
      </c>
      <c r="K13" s="105">
        <f>IF(L13="","",INDEX(Calc!$AU$2:$AU$2001,L13))</f>
        <v/>
      </c>
      <c r="L13" s="106">
        <f>IFERROR(MOD(_xlfn.AGGREGATE(15,6,Calc!$BN$2:$BN$2001/(Calc!$AW$2:$AW$2001=$S$3+4),5),10000),"")</f>
        <v/>
      </c>
      <c r="M13" s="105">
        <f>IF(N13="","",INDEX(Calc!$AU$2:$AU$2001,N13))</f>
        <v/>
      </c>
      <c r="N13" s="106">
        <f>IFERROR(MOD(_xlfn.AGGREGATE(15,6,Calc!$BN$2:$BN$2001/(Calc!$AW$2:$AW$2001=$S$3+5),5),10000),"")</f>
        <v/>
      </c>
      <c r="O13" s="105">
        <f>IF(P13="","",INDEX(Calc!$AU$2:$AU$2001,P13))</f>
        <v/>
      </c>
      <c r="P13" s="106">
        <f>IFERROR(MOD(_xlfn.AGGREGATE(15,6,Calc!$BN$2:$BN$2001/(Calc!$AW$2:$AW$2001=$S$3+6),5),10000),"")</f>
        <v/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05">
        <f>IF(D14="","",INDEX(Calc!$AU$2:$AU$2001,D14))</f>
        <v/>
      </c>
      <c r="D14" s="106">
        <f>IFERROR(MOD(_xlfn.AGGREGATE(15,6,Calc!$BN$2:$BN$2001/(Calc!$AW$2:$AW$2001=$S$3+0),6),10000),"")</f>
        <v/>
      </c>
      <c r="E14" s="105">
        <f>IF(F14="","",INDEX(Calc!$AU$2:$AU$2001,F14))</f>
        <v/>
      </c>
      <c r="F14" s="106">
        <f>IFERROR(MOD(_xlfn.AGGREGATE(15,6,Calc!$BN$2:$BN$2001/(Calc!$AW$2:$AW$2001=$S$3+1),6),10000),"")</f>
        <v/>
      </c>
      <c r="G14" s="105">
        <f>IF(H14="","",INDEX(Calc!$AU$2:$AU$2001,H14))</f>
        <v/>
      </c>
      <c r="H14" s="106">
        <f>IFERROR(MOD(_xlfn.AGGREGATE(15,6,Calc!$BN$2:$BN$2001/(Calc!$AW$2:$AW$2001=$S$3+2),6),10000),"")</f>
        <v/>
      </c>
      <c r="I14" s="105">
        <f>IF(J14="","",INDEX(Calc!$AU$2:$AU$2001,J14))</f>
        <v/>
      </c>
      <c r="J14" s="106">
        <f>IFERROR(MOD(_xlfn.AGGREGATE(15,6,Calc!$BN$2:$BN$2001/(Calc!$AW$2:$AW$2001=$S$3+3),6),10000),"")</f>
        <v/>
      </c>
      <c r="K14" s="105">
        <f>IF(L14="","",INDEX(Calc!$AU$2:$AU$2001,L14))</f>
        <v/>
      </c>
      <c r="L14" s="106">
        <f>IFERROR(MOD(_xlfn.AGGREGATE(15,6,Calc!$BN$2:$BN$2001/(Calc!$AW$2:$AW$2001=$S$3+4),6),10000),"")</f>
        <v/>
      </c>
      <c r="M14" s="105">
        <f>IF(N14="","",INDEX(Calc!$AU$2:$AU$2001,N14))</f>
        <v/>
      </c>
      <c r="N14" s="106">
        <f>IFERROR(MOD(_xlfn.AGGREGATE(15,6,Calc!$BN$2:$BN$2001/(Calc!$AW$2:$AW$2001=$S$3+5),6),10000),"")</f>
        <v/>
      </c>
      <c r="O14" s="105">
        <f>IF(P14="","",INDEX(Calc!$AU$2:$AU$2001,P14))</f>
        <v/>
      </c>
      <c r="P14" s="106">
        <f>IFERROR(MOD(_xlfn.AGGREGATE(15,6,Calc!$BN$2:$BN$2001/(Calc!$AW$2:$AW$2001=$S$3+6),6),10000),"")</f>
        <v/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05">
        <f>IF(D15="","",INDEX(Calc!$AU$2:$AU$2001,D15))</f>
        <v/>
      </c>
      <c r="D15" s="106">
        <f>IFERROR(MOD(_xlfn.AGGREGATE(15,6,Calc!$BN$2:$BN$2001/(Calc!$AW$2:$AW$2001=$S$3+0),7),10000),"")</f>
        <v/>
      </c>
      <c r="E15" s="105">
        <f>IF(F15="","",INDEX(Calc!$AU$2:$AU$2001,F15))</f>
        <v/>
      </c>
      <c r="F15" s="106">
        <f>IFERROR(MOD(_xlfn.AGGREGATE(15,6,Calc!$BN$2:$BN$2001/(Calc!$AW$2:$AW$2001=$S$3+1),7),10000),"")</f>
        <v/>
      </c>
      <c r="G15" s="105">
        <f>IF(H15="","",INDEX(Calc!$AU$2:$AU$2001,H15))</f>
        <v/>
      </c>
      <c r="H15" s="106">
        <f>IFERROR(MOD(_xlfn.AGGREGATE(15,6,Calc!$BN$2:$BN$2001/(Calc!$AW$2:$AW$2001=$S$3+2),7),10000),"")</f>
        <v/>
      </c>
      <c r="I15" s="105">
        <f>IF(J15="","",INDEX(Calc!$AU$2:$AU$2001,J15))</f>
        <v/>
      </c>
      <c r="J15" s="106">
        <f>IFERROR(MOD(_xlfn.AGGREGATE(15,6,Calc!$BN$2:$BN$2001/(Calc!$AW$2:$AW$2001=$S$3+3),7),10000),"")</f>
        <v/>
      </c>
      <c r="K15" s="105">
        <f>IF(L15="","",INDEX(Calc!$AU$2:$AU$2001,L15))</f>
        <v/>
      </c>
      <c r="L15" s="106">
        <f>IFERROR(MOD(_xlfn.AGGREGATE(15,6,Calc!$BN$2:$BN$2001/(Calc!$AW$2:$AW$2001=$S$3+4),7),10000),"")</f>
        <v/>
      </c>
      <c r="M15" s="105">
        <f>IF(N15="","",INDEX(Calc!$AU$2:$AU$2001,N15))</f>
        <v/>
      </c>
      <c r="N15" s="106">
        <f>IFERROR(MOD(_xlfn.AGGREGATE(15,6,Calc!$BN$2:$BN$2001/(Calc!$AW$2:$AW$2001=$S$3+5),7),10000),"")</f>
        <v/>
      </c>
      <c r="O15" s="105">
        <f>IF(P15="","",INDEX(Calc!$AU$2:$AU$2001,P15))</f>
        <v/>
      </c>
      <c r="P15" s="106">
        <f>IFERROR(MOD(_xlfn.AGGREGATE(15,6,Calc!$BN$2:$BN$2001/(Calc!$AW$2:$AW$2001=$S$3+6),7),10000),"")</f>
        <v/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05">
        <f>IF(D16="","",INDEX(Calc!$AU$2:$AU$2001,D16))</f>
        <v/>
      </c>
      <c r="D16" s="106">
        <f>IFERROR(MOD(_xlfn.AGGREGATE(15,6,Calc!$BN$2:$BN$2001/(Calc!$AW$2:$AW$2001=$S$3+0),8),10000),"")</f>
        <v/>
      </c>
      <c r="E16" s="105">
        <f>IF(F16="","",INDEX(Calc!$AU$2:$AU$2001,F16))</f>
        <v/>
      </c>
      <c r="F16" s="106">
        <f>IFERROR(MOD(_xlfn.AGGREGATE(15,6,Calc!$BN$2:$BN$2001/(Calc!$AW$2:$AW$2001=$S$3+1),8),10000),"")</f>
        <v/>
      </c>
      <c r="G16" s="105">
        <f>IF(H16="","",INDEX(Calc!$AU$2:$AU$2001,H16))</f>
        <v/>
      </c>
      <c r="H16" s="106">
        <f>IFERROR(MOD(_xlfn.AGGREGATE(15,6,Calc!$BN$2:$BN$2001/(Calc!$AW$2:$AW$2001=$S$3+2),8),10000),"")</f>
        <v/>
      </c>
      <c r="I16" s="105">
        <f>IF(J16="","",INDEX(Calc!$AU$2:$AU$2001,J16))</f>
        <v/>
      </c>
      <c r="J16" s="106">
        <f>IFERROR(MOD(_xlfn.AGGREGATE(15,6,Calc!$BN$2:$BN$2001/(Calc!$AW$2:$AW$2001=$S$3+3),8),10000),"")</f>
        <v/>
      </c>
      <c r="K16" s="105">
        <f>IF(L16="","",INDEX(Calc!$AU$2:$AU$2001,L16))</f>
        <v/>
      </c>
      <c r="L16" s="106">
        <f>IFERROR(MOD(_xlfn.AGGREGATE(15,6,Calc!$BN$2:$BN$2001/(Calc!$AW$2:$AW$2001=$S$3+4),8),10000),"")</f>
        <v/>
      </c>
      <c r="M16" s="105">
        <f>IF(N16="","",INDEX(Calc!$AU$2:$AU$2001,N16))</f>
        <v/>
      </c>
      <c r="N16" s="106">
        <f>IFERROR(MOD(_xlfn.AGGREGATE(15,6,Calc!$BN$2:$BN$2001/(Calc!$AW$2:$AW$2001=$S$3+5),8),10000),"")</f>
        <v/>
      </c>
      <c r="O16" s="105">
        <f>IF(P16="","",INDEX(Calc!$AU$2:$AU$2001,P16))</f>
        <v/>
      </c>
      <c r="P16" s="106">
        <f>IFERROR(MOD(_xlfn.AGGREGATE(15,6,Calc!$BN$2:$BN$2001/(Calc!$AW$2:$AW$2001=$S$3+6),8),10000),"")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05">
        <f>IF(D17="","",INDEX(Calc!$AU$2:$AU$2001,D17))</f>
        <v/>
      </c>
      <c r="D17" s="106">
        <f>IFERROR(MOD(_xlfn.AGGREGATE(15,6,Calc!$BN$2:$BN$2001/(Calc!$AW$2:$AW$2001=$S$3+0),9),10000),"")</f>
        <v/>
      </c>
      <c r="E17" s="105">
        <f>IF(F17="","",INDEX(Calc!$AU$2:$AU$2001,F17))</f>
        <v/>
      </c>
      <c r="F17" s="106">
        <f>IFERROR(MOD(_xlfn.AGGREGATE(15,6,Calc!$BN$2:$BN$2001/(Calc!$AW$2:$AW$2001=$S$3+1),9),10000),"")</f>
        <v/>
      </c>
      <c r="G17" s="105">
        <f>IF(H17="","",INDEX(Calc!$AU$2:$AU$2001,H17))</f>
        <v/>
      </c>
      <c r="H17" s="106">
        <f>IFERROR(MOD(_xlfn.AGGREGATE(15,6,Calc!$BN$2:$BN$2001/(Calc!$AW$2:$AW$2001=$S$3+2),9),10000),"")</f>
        <v/>
      </c>
      <c r="I17" s="105">
        <f>IF(J17="","",INDEX(Calc!$AU$2:$AU$2001,J17))</f>
        <v/>
      </c>
      <c r="J17" s="106">
        <f>IFERROR(MOD(_xlfn.AGGREGATE(15,6,Calc!$BN$2:$BN$2001/(Calc!$AW$2:$AW$2001=$S$3+3),9),10000),"")</f>
        <v/>
      </c>
      <c r="K17" s="105">
        <f>IF(L17="","",INDEX(Calc!$AU$2:$AU$2001,L17))</f>
        <v/>
      </c>
      <c r="L17" s="106">
        <f>IFERROR(MOD(_xlfn.AGGREGATE(15,6,Calc!$BN$2:$BN$2001/(Calc!$AW$2:$AW$2001=$S$3+4),9),10000),"")</f>
        <v/>
      </c>
      <c r="M17" s="105">
        <f>IF(N17="","",INDEX(Calc!$AU$2:$AU$2001,N17))</f>
        <v/>
      </c>
      <c r="N17" s="106">
        <f>IFERROR(MOD(_xlfn.AGGREGATE(15,6,Calc!$BN$2:$BN$2001/(Calc!$AW$2:$AW$2001=$S$3+5),9),10000),"")</f>
        <v/>
      </c>
      <c r="O17" s="105">
        <f>IF(P17="","",INDEX(Calc!$AU$2:$AU$2001,P17))</f>
        <v/>
      </c>
      <c r="P17" s="106">
        <f>IFERROR(MOD(_xlfn.AGGREGATE(15,6,Calc!$BN$2:$BN$2001/(Calc!$AW$2:$AW$2001=$S$3+6),9),10000),"")</f>
        <v/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05">
        <f>IF(D18="","",INDEX(Calc!$AU$2:$AU$2001,D18))</f>
        <v/>
      </c>
      <c r="D18" s="106">
        <f>IFERROR(MOD(_xlfn.AGGREGATE(15,6,Calc!$BN$2:$BN$2001/(Calc!$AW$2:$AW$2001=$S$3+0),10),10000),"")</f>
        <v/>
      </c>
      <c r="E18" s="105">
        <f>IF(F18="","",INDEX(Calc!$AU$2:$AU$2001,F18))</f>
        <v/>
      </c>
      <c r="F18" s="106">
        <f>IFERROR(MOD(_xlfn.AGGREGATE(15,6,Calc!$BN$2:$BN$2001/(Calc!$AW$2:$AW$2001=$S$3+1),10),10000),"")</f>
        <v/>
      </c>
      <c r="G18" s="105">
        <f>IF(H18="","",INDEX(Calc!$AU$2:$AU$2001,H18))</f>
        <v/>
      </c>
      <c r="H18" s="106">
        <f>IFERROR(MOD(_xlfn.AGGREGATE(15,6,Calc!$BN$2:$BN$2001/(Calc!$AW$2:$AW$2001=$S$3+2),10),10000),"")</f>
        <v/>
      </c>
      <c r="I18" s="105">
        <f>IF(J18="","",INDEX(Calc!$AU$2:$AU$2001,J18))</f>
        <v/>
      </c>
      <c r="J18" s="106">
        <f>IFERROR(MOD(_xlfn.AGGREGATE(15,6,Calc!$BN$2:$BN$2001/(Calc!$AW$2:$AW$2001=$S$3+3),10),10000),"")</f>
        <v/>
      </c>
      <c r="K18" s="105">
        <f>IF(L18="","",INDEX(Calc!$AU$2:$AU$2001,L18))</f>
        <v/>
      </c>
      <c r="L18" s="106">
        <f>IFERROR(MOD(_xlfn.AGGREGATE(15,6,Calc!$BN$2:$BN$2001/(Calc!$AW$2:$AW$2001=$S$3+4),10),10000),"")</f>
        <v/>
      </c>
      <c r="M18" s="105">
        <f>IF(N18="","",INDEX(Calc!$AU$2:$AU$2001,N18))</f>
        <v/>
      </c>
      <c r="N18" s="106">
        <f>IFERROR(MOD(_xlfn.AGGREGATE(15,6,Calc!$BN$2:$BN$2001/(Calc!$AW$2:$AW$2001=$S$3+5),10),10000),"")</f>
        <v/>
      </c>
      <c r="O18" s="105">
        <f>IF(P18="","",INDEX(Calc!$AU$2:$AU$2001,P18))</f>
        <v/>
      </c>
      <c r="P18" s="106">
        <f>IFERROR(MOD(_xlfn.AGGREGATE(15,6,Calc!$BN$2:$BN$2001/(Calc!$AW$2:$AW$2001=$S$3+6),10),10000),"")</f>
        <v/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05">
        <f>IF(D19="","",INDEX(Calc!$AU$2:$AU$2001,D19))</f>
        <v/>
      </c>
      <c r="D19" s="106">
        <f>IFERROR(MOD(_xlfn.AGGREGATE(15,6,Calc!$BN$2:$BN$2001/(Calc!$AW$2:$AW$2001=$S$3+0),11),10000),"")</f>
        <v/>
      </c>
      <c r="E19" s="105">
        <f>IF(F19="","",INDEX(Calc!$AU$2:$AU$2001,F19))</f>
        <v/>
      </c>
      <c r="F19" s="106">
        <f>IFERROR(MOD(_xlfn.AGGREGATE(15,6,Calc!$BN$2:$BN$2001/(Calc!$AW$2:$AW$2001=$S$3+1),11),10000),"")</f>
        <v/>
      </c>
      <c r="G19" s="105">
        <f>IF(H19="","",INDEX(Calc!$AU$2:$AU$2001,H19))</f>
        <v/>
      </c>
      <c r="H19" s="106">
        <f>IFERROR(MOD(_xlfn.AGGREGATE(15,6,Calc!$BN$2:$BN$2001/(Calc!$AW$2:$AW$2001=$S$3+2),11),10000),"")</f>
        <v/>
      </c>
      <c r="I19" s="105">
        <f>IF(J19="","",INDEX(Calc!$AU$2:$AU$2001,J19))</f>
        <v/>
      </c>
      <c r="J19" s="106">
        <f>IFERROR(MOD(_xlfn.AGGREGATE(15,6,Calc!$BN$2:$BN$2001/(Calc!$AW$2:$AW$2001=$S$3+3),11),10000),"")</f>
        <v/>
      </c>
      <c r="K19" s="105">
        <f>IF(L19="","",INDEX(Calc!$AU$2:$AU$2001,L19))</f>
        <v/>
      </c>
      <c r="L19" s="106">
        <f>IFERROR(MOD(_xlfn.AGGREGATE(15,6,Calc!$BN$2:$BN$2001/(Calc!$AW$2:$AW$2001=$S$3+4),11),10000),"")</f>
        <v/>
      </c>
      <c r="M19" s="105">
        <f>IF(N19="","",INDEX(Calc!$AU$2:$AU$2001,N19))</f>
        <v/>
      </c>
      <c r="N19" s="106">
        <f>IFERROR(MOD(_xlfn.AGGREGATE(15,6,Calc!$BN$2:$BN$2001/(Calc!$AW$2:$AW$2001=$S$3+5),11),10000),"")</f>
        <v/>
      </c>
      <c r="O19" s="105">
        <f>IF(P19="","",INDEX(Calc!$AU$2:$AU$2001,P19))</f>
        <v/>
      </c>
      <c r="P19" s="106">
        <f>IFERROR(MOD(_xlfn.AGGREGATE(15,6,Calc!$BN$2:$BN$2001/(Calc!$AW$2:$AW$2001=$S$3+6),11),10000),"")</f>
        <v/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05">
        <f>IF(D20="","",INDEX(Calc!$AU$2:$AU$2001,D20))</f>
        <v/>
      </c>
      <c r="D20" s="106">
        <f>IFERROR(MOD(_xlfn.AGGREGATE(15,6,Calc!$BN$2:$BN$2001/(Calc!$AW$2:$AW$2001=$S$3+0),12),10000),"")</f>
        <v/>
      </c>
      <c r="E20" s="105">
        <f>IF(F20="","",INDEX(Calc!$AU$2:$AU$2001,F20))</f>
        <v/>
      </c>
      <c r="F20" s="106">
        <f>IFERROR(MOD(_xlfn.AGGREGATE(15,6,Calc!$BN$2:$BN$2001/(Calc!$AW$2:$AW$2001=$S$3+1),12),10000),"")</f>
        <v/>
      </c>
      <c r="G20" s="105">
        <f>IF(H20="","",INDEX(Calc!$AU$2:$AU$2001,H20))</f>
        <v/>
      </c>
      <c r="H20" s="106">
        <f>IFERROR(MOD(_xlfn.AGGREGATE(15,6,Calc!$BN$2:$BN$2001/(Calc!$AW$2:$AW$2001=$S$3+2),12),10000),"")</f>
        <v/>
      </c>
      <c r="I20" s="105">
        <f>IF(J20="","",INDEX(Calc!$AU$2:$AU$2001,J20))</f>
        <v/>
      </c>
      <c r="J20" s="106">
        <f>IFERROR(MOD(_xlfn.AGGREGATE(15,6,Calc!$BN$2:$BN$2001/(Calc!$AW$2:$AW$2001=$S$3+3),12),10000),"")</f>
        <v/>
      </c>
      <c r="K20" s="105">
        <f>IF(L20="","",INDEX(Calc!$AU$2:$AU$2001,L20))</f>
        <v/>
      </c>
      <c r="L20" s="106">
        <f>IFERROR(MOD(_xlfn.AGGREGATE(15,6,Calc!$BN$2:$BN$2001/(Calc!$AW$2:$AW$2001=$S$3+4),12),10000),"")</f>
        <v/>
      </c>
      <c r="M20" s="105">
        <f>IF(N20="","",INDEX(Calc!$AU$2:$AU$2001,N20))</f>
        <v/>
      </c>
      <c r="N20" s="106">
        <f>IFERROR(MOD(_xlfn.AGGREGATE(15,6,Calc!$BN$2:$BN$2001/(Calc!$AW$2:$AW$2001=$S$3+5),12),10000),"")</f>
        <v/>
      </c>
      <c r="O20" s="105">
        <f>IF(P20="","",INDEX(Calc!$AU$2:$AU$2001,P20))</f>
        <v/>
      </c>
      <c r="P20" s="106">
        <f>IFERROR(MOD(_xlfn.AGGREGATE(15,6,Calc!$BN$2:$BN$2001/(Calc!$AW$2:$AW$2001=$S$3+6),12),10000),"")</f>
        <v/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n"/>
      <c r="B22" s="8" t="inlineStr">
        <is>
          <t>WEEKLY SCHEDULE  (auto-fills from task start / end times)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n"/>
      <c r="B23" s="1" t="n"/>
      <c r="C23" s="24">
        <f>TEXT($S$3+0,"ddd d")</f>
        <v/>
      </c>
      <c r="E23" s="24">
        <f>TEXT($S$3+1,"ddd d")</f>
        <v/>
      </c>
      <c r="G23" s="24">
        <f>TEXT($S$3+2,"ddd d")</f>
        <v/>
      </c>
      <c r="I23" s="24">
        <f>TEXT($S$3+3,"ddd d")</f>
        <v/>
      </c>
      <c r="K23" s="24">
        <f>TEXT($S$3+4,"ddd d")</f>
        <v/>
      </c>
      <c r="M23" s="24">
        <f>TEXT($S$3+5,"ddd d")</f>
        <v/>
      </c>
      <c r="O23" s="24">
        <f>TEXT($S$3+6,"ddd d")</f>
        <v/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 t="n"/>
      <c r="B24" s="107">
        <f>Setup!$D$9+0*Setup!$D$8/1440</f>
        <v/>
      </c>
      <c r="C24" s="105">
        <f>IF(D24="","",INDEX(Calc!$AU$2:$AU$2001,D24))</f>
        <v/>
      </c>
      <c r="D24" s="1">
        <f>IFERROR(_xlfn.AGGREGATE(15,6,(ROW(Calc!$AW$2:$AW$2001)-1)/((Calc!$AW$2:$AW$2001=$S$3+0)*(Calc!$AX$2:$AX$2001&lt;=$B24+0.00001)*(Calc!$AY$2:$AY$2001&gt;$B24+0.00001)*(Calc!$AZ$2:$AZ$2001&lt;&gt;"Cancelled")),1),"")</f>
        <v/>
      </c>
      <c r="E24" s="105">
        <f>IF(F24="","",INDEX(Calc!$AU$2:$AU$2001,F24))</f>
        <v/>
      </c>
      <c r="F24" s="1">
        <f>IFERROR(_xlfn.AGGREGATE(15,6,(ROW(Calc!$AW$2:$AW$2001)-1)/((Calc!$AW$2:$AW$2001=$S$3+1)*(Calc!$AX$2:$AX$2001&lt;=$B24+0.00001)*(Calc!$AY$2:$AY$2001&gt;$B24+0.00001)*(Calc!$AZ$2:$AZ$2001&lt;&gt;"Cancelled")),1),"")</f>
        <v/>
      </c>
      <c r="G24" s="105">
        <f>IF(H24="","",INDEX(Calc!$AU$2:$AU$2001,H24))</f>
        <v/>
      </c>
      <c r="H24" s="1">
        <f>IFERROR(_xlfn.AGGREGATE(15,6,(ROW(Calc!$AW$2:$AW$2001)-1)/((Calc!$AW$2:$AW$2001=$S$3+2)*(Calc!$AX$2:$AX$2001&lt;=$B24+0.00001)*(Calc!$AY$2:$AY$2001&gt;$B24+0.00001)*(Calc!$AZ$2:$AZ$2001&lt;&gt;"Cancelled")),1),"")</f>
        <v/>
      </c>
      <c r="I24" s="105">
        <f>IF(J24="","",INDEX(Calc!$AU$2:$AU$2001,J24))</f>
        <v/>
      </c>
      <c r="J24" s="1">
        <f>IFERROR(_xlfn.AGGREGATE(15,6,(ROW(Calc!$AW$2:$AW$2001)-1)/((Calc!$AW$2:$AW$2001=$S$3+3)*(Calc!$AX$2:$AX$2001&lt;=$B24+0.00001)*(Calc!$AY$2:$AY$2001&gt;$B24+0.00001)*(Calc!$AZ$2:$AZ$2001&lt;&gt;"Cancelled")),1),"")</f>
        <v/>
      </c>
      <c r="K24" s="105">
        <f>IF(L24="","",INDEX(Calc!$AU$2:$AU$2001,L24))</f>
        <v/>
      </c>
      <c r="L24" s="1">
        <f>IFERROR(_xlfn.AGGREGATE(15,6,(ROW(Calc!$AW$2:$AW$2001)-1)/((Calc!$AW$2:$AW$2001=$S$3+4)*(Calc!$AX$2:$AX$2001&lt;=$B24+0.00001)*(Calc!$AY$2:$AY$2001&gt;$B24+0.00001)*(Calc!$AZ$2:$AZ$2001&lt;&gt;"Cancelled")),1),"")</f>
        <v/>
      </c>
      <c r="M24" s="105">
        <f>IF(N24="","",INDEX(Calc!$AU$2:$AU$2001,N24))</f>
        <v/>
      </c>
      <c r="N24" s="1">
        <f>IFERROR(_xlfn.AGGREGATE(15,6,(ROW(Calc!$AW$2:$AW$2001)-1)/((Calc!$AW$2:$AW$2001=$S$3+5)*(Calc!$AX$2:$AX$2001&lt;=$B24+0.00001)*(Calc!$AY$2:$AY$2001&gt;$B24+0.00001)*(Calc!$AZ$2:$AZ$2001&lt;&gt;"Cancelled")),1),"")</f>
        <v/>
      </c>
      <c r="O24" s="105">
        <f>IF(P24="","",INDEX(Calc!$AU$2:$AU$2001,P24))</f>
        <v/>
      </c>
      <c r="P24" s="1">
        <f>IFERROR(_xlfn.AGGREGATE(15,6,(ROW(Calc!$AW$2:$AW$2001)-1)/((Calc!$AW$2:$AW$2001=$S$3+6)*(Calc!$AX$2:$AX$2001&lt;=$B24+0.00001)*(Calc!$AY$2:$AY$2001&gt;$B24+0.00001)*(Calc!$AZ$2:$AZ$2001&lt;&gt;"Cancelled")),1),"")</f>
        <v/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 t="n"/>
      <c r="B25" s="107">
        <f>Setup!$D$9+1*Setup!$D$8/1440</f>
        <v/>
      </c>
      <c r="C25" s="105">
        <f>IF(D25="","",INDEX(Calc!$AU$2:$AU$2001,D25))</f>
        <v/>
      </c>
      <c r="D25" s="1">
        <f>IFERROR(_xlfn.AGGREGATE(15,6,(ROW(Calc!$AW$2:$AW$2001)-1)/((Calc!$AW$2:$AW$2001=$S$3+0)*(Calc!$AX$2:$AX$2001&lt;=$B25+0.00001)*(Calc!$AY$2:$AY$2001&gt;$B25+0.00001)*(Calc!$AZ$2:$AZ$2001&lt;&gt;"Cancelled")),1),"")</f>
        <v/>
      </c>
      <c r="E25" s="105">
        <f>IF(F25="","",INDEX(Calc!$AU$2:$AU$2001,F25))</f>
        <v/>
      </c>
      <c r="F25" s="1">
        <f>IFERROR(_xlfn.AGGREGATE(15,6,(ROW(Calc!$AW$2:$AW$2001)-1)/((Calc!$AW$2:$AW$2001=$S$3+1)*(Calc!$AX$2:$AX$2001&lt;=$B25+0.00001)*(Calc!$AY$2:$AY$2001&gt;$B25+0.00001)*(Calc!$AZ$2:$AZ$2001&lt;&gt;"Cancelled")),1),"")</f>
        <v/>
      </c>
      <c r="G25" s="105">
        <f>IF(H25="","",INDEX(Calc!$AU$2:$AU$2001,H25))</f>
        <v/>
      </c>
      <c r="H25" s="1">
        <f>IFERROR(_xlfn.AGGREGATE(15,6,(ROW(Calc!$AW$2:$AW$2001)-1)/((Calc!$AW$2:$AW$2001=$S$3+2)*(Calc!$AX$2:$AX$2001&lt;=$B25+0.00001)*(Calc!$AY$2:$AY$2001&gt;$B25+0.00001)*(Calc!$AZ$2:$AZ$2001&lt;&gt;"Cancelled")),1),"")</f>
        <v/>
      </c>
      <c r="I25" s="105">
        <f>IF(J25="","",INDEX(Calc!$AU$2:$AU$2001,J25))</f>
        <v/>
      </c>
      <c r="J25" s="1">
        <f>IFERROR(_xlfn.AGGREGATE(15,6,(ROW(Calc!$AW$2:$AW$2001)-1)/((Calc!$AW$2:$AW$2001=$S$3+3)*(Calc!$AX$2:$AX$2001&lt;=$B25+0.00001)*(Calc!$AY$2:$AY$2001&gt;$B25+0.00001)*(Calc!$AZ$2:$AZ$2001&lt;&gt;"Cancelled")),1),"")</f>
        <v/>
      </c>
      <c r="K25" s="105">
        <f>IF(L25="","",INDEX(Calc!$AU$2:$AU$2001,L25))</f>
        <v/>
      </c>
      <c r="L25" s="1">
        <f>IFERROR(_xlfn.AGGREGATE(15,6,(ROW(Calc!$AW$2:$AW$2001)-1)/((Calc!$AW$2:$AW$2001=$S$3+4)*(Calc!$AX$2:$AX$2001&lt;=$B25+0.00001)*(Calc!$AY$2:$AY$2001&gt;$B25+0.00001)*(Calc!$AZ$2:$AZ$2001&lt;&gt;"Cancelled")),1),"")</f>
        <v/>
      </c>
      <c r="M25" s="105">
        <f>IF(N25="","",INDEX(Calc!$AU$2:$AU$2001,N25))</f>
        <v/>
      </c>
      <c r="N25" s="1">
        <f>IFERROR(_xlfn.AGGREGATE(15,6,(ROW(Calc!$AW$2:$AW$2001)-1)/((Calc!$AW$2:$AW$2001=$S$3+5)*(Calc!$AX$2:$AX$2001&lt;=$B25+0.00001)*(Calc!$AY$2:$AY$2001&gt;$B25+0.00001)*(Calc!$AZ$2:$AZ$2001&lt;&gt;"Cancelled")),1),"")</f>
        <v/>
      </c>
      <c r="O25" s="105">
        <f>IF(P25="","",INDEX(Calc!$AU$2:$AU$2001,P25))</f>
        <v/>
      </c>
      <c r="P25" s="1">
        <f>IFERROR(_xlfn.AGGREGATE(15,6,(ROW(Calc!$AW$2:$AW$2001)-1)/((Calc!$AW$2:$AW$2001=$S$3+6)*(Calc!$AX$2:$AX$2001&lt;=$B25+0.00001)*(Calc!$AY$2:$AY$2001&gt;$B25+0.00001)*(Calc!$AZ$2:$AZ$2001&lt;&gt;"Cancelled")),1),"")</f>
        <v/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 t="n"/>
      <c r="B26" s="107">
        <f>Setup!$D$9+2*Setup!$D$8/1440</f>
        <v/>
      </c>
      <c r="C26" s="105">
        <f>IF(D26="","",INDEX(Calc!$AU$2:$AU$2001,D26))</f>
        <v/>
      </c>
      <c r="D26" s="1">
        <f>IFERROR(_xlfn.AGGREGATE(15,6,(ROW(Calc!$AW$2:$AW$2001)-1)/((Calc!$AW$2:$AW$2001=$S$3+0)*(Calc!$AX$2:$AX$2001&lt;=$B26+0.00001)*(Calc!$AY$2:$AY$2001&gt;$B26+0.00001)*(Calc!$AZ$2:$AZ$2001&lt;&gt;"Cancelled")),1),"")</f>
        <v/>
      </c>
      <c r="E26" s="105">
        <f>IF(F26="","",INDEX(Calc!$AU$2:$AU$2001,F26))</f>
        <v/>
      </c>
      <c r="F26" s="1">
        <f>IFERROR(_xlfn.AGGREGATE(15,6,(ROW(Calc!$AW$2:$AW$2001)-1)/((Calc!$AW$2:$AW$2001=$S$3+1)*(Calc!$AX$2:$AX$2001&lt;=$B26+0.00001)*(Calc!$AY$2:$AY$2001&gt;$B26+0.00001)*(Calc!$AZ$2:$AZ$2001&lt;&gt;"Cancelled")),1),"")</f>
        <v/>
      </c>
      <c r="G26" s="105">
        <f>IF(H26="","",INDEX(Calc!$AU$2:$AU$2001,H26))</f>
        <v/>
      </c>
      <c r="H26" s="1">
        <f>IFERROR(_xlfn.AGGREGATE(15,6,(ROW(Calc!$AW$2:$AW$2001)-1)/((Calc!$AW$2:$AW$2001=$S$3+2)*(Calc!$AX$2:$AX$2001&lt;=$B26+0.00001)*(Calc!$AY$2:$AY$2001&gt;$B26+0.00001)*(Calc!$AZ$2:$AZ$2001&lt;&gt;"Cancelled")),1),"")</f>
        <v/>
      </c>
      <c r="I26" s="105">
        <f>IF(J26="","",INDEX(Calc!$AU$2:$AU$2001,J26))</f>
        <v/>
      </c>
      <c r="J26" s="1">
        <f>IFERROR(_xlfn.AGGREGATE(15,6,(ROW(Calc!$AW$2:$AW$2001)-1)/((Calc!$AW$2:$AW$2001=$S$3+3)*(Calc!$AX$2:$AX$2001&lt;=$B26+0.00001)*(Calc!$AY$2:$AY$2001&gt;$B26+0.00001)*(Calc!$AZ$2:$AZ$2001&lt;&gt;"Cancelled")),1),"")</f>
        <v/>
      </c>
      <c r="K26" s="105">
        <f>IF(L26="","",INDEX(Calc!$AU$2:$AU$2001,L26))</f>
        <v/>
      </c>
      <c r="L26" s="1">
        <f>IFERROR(_xlfn.AGGREGATE(15,6,(ROW(Calc!$AW$2:$AW$2001)-1)/((Calc!$AW$2:$AW$2001=$S$3+4)*(Calc!$AX$2:$AX$2001&lt;=$B26+0.00001)*(Calc!$AY$2:$AY$2001&gt;$B26+0.00001)*(Calc!$AZ$2:$AZ$2001&lt;&gt;"Cancelled")),1),"")</f>
        <v/>
      </c>
      <c r="M26" s="105">
        <f>IF(N26="","",INDEX(Calc!$AU$2:$AU$2001,N26))</f>
        <v/>
      </c>
      <c r="N26" s="1">
        <f>IFERROR(_xlfn.AGGREGATE(15,6,(ROW(Calc!$AW$2:$AW$2001)-1)/((Calc!$AW$2:$AW$2001=$S$3+5)*(Calc!$AX$2:$AX$2001&lt;=$B26+0.00001)*(Calc!$AY$2:$AY$2001&gt;$B26+0.00001)*(Calc!$AZ$2:$AZ$2001&lt;&gt;"Cancelled")),1),"")</f>
        <v/>
      </c>
      <c r="O26" s="105">
        <f>IF(P26="","",INDEX(Calc!$AU$2:$AU$2001,P26))</f>
        <v/>
      </c>
      <c r="P26" s="1">
        <f>IFERROR(_xlfn.AGGREGATE(15,6,(ROW(Calc!$AW$2:$AW$2001)-1)/((Calc!$AW$2:$AW$2001=$S$3+6)*(Calc!$AX$2:$AX$2001&lt;=$B26+0.00001)*(Calc!$AY$2:$AY$2001&gt;$B26+0.00001)*(Calc!$AZ$2:$AZ$2001&lt;&gt;"Cancelled")),1),"")</f>
        <v/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 t="n"/>
      <c r="B27" s="107">
        <f>Setup!$D$9+3*Setup!$D$8/1440</f>
        <v/>
      </c>
      <c r="C27" s="105">
        <f>IF(D27="","",INDEX(Calc!$AU$2:$AU$2001,D27))</f>
        <v/>
      </c>
      <c r="D27" s="1">
        <f>IFERROR(_xlfn.AGGREGATE(15,6,(ROW(Calc!$AW$2:$AW$2001)-1)/((Calc!$AW$2:$AW$2001=$S$3+0)*(Calc!$AX$2:$AX$2001&lt;=$B27+0.00001)*(Calc!$AY$2:$AY$2001&gt;$B27+0.00001)*(Calc!$AZ$2:$AZ$2001&lt;&gt;"Cancelled")),1),"")</f>
        <v/>
      </c>
      <c r="E27" s="105">
        <f>IF(F27="","",INDEX(Calc!$AU$2:$AU$2001,F27))</f>
        <v/>
      </c>
      <c r="F27" s="1">
        <f>IFERROR(_xlfn.AGGREGATE(15,6,(ROW(Calc!$AW$2:$AW$2001)-1)/((Calc!$AW$2:$AW$2001=$S$3+1)*(Calc!$AX$2:$AX$2001&lt;=$B27+0.00001)*(Calc!$AY$2:$AY$2001&gt;$B27+0.00001)*(Calc!$AZ$2:$AZ$2001&lt;&gt;"Cancelled")),1),"")</f>
        <v/>
      </c>
      <c r="G27" s="105">
        <f>IF(H27="","",INDEX(Calc!$AU$2:$AU$2001,H27))</f>
        <v/>
      </c>
      <c r="H27" s="1">
        <f>IFERROR(_xlfn.AGGREGATE(15,6,(ROW(Calc!$AW$2:$AW$2001)-1)/((Calc!$AW$2:$AW$2001=$S$3+2)*(Calc!$AX$2:$AX$2001&lt;=$B27+0.00001)*(Calc!$AY$2:$AY$2001&gt;$B27+0.00001)*(Calc!$AZ$2:$AZ$2001&lt;&gt;"Cancelled")),1),"")</f>
        <v/>
      </c>
      <c r="I27" s="105">
        <f>IF(J27="","",INDEX(Calc!$AU$2:$AU$2001,J27))</f>
        <v/>
      </c>
      <c r="J27" s="1">
        <f>IFERROR(_xlfn.AGGREGATE(15,6,(ROW(Calc!$AW$2:$AW$2001)-1)/((Calc!$AW$2:$AW$2001=$S$3+3)*(Calc!$AX$2:$AX$2001&lt;=$B27+0.00001)*(Calc!$AY$2:$AY$2001&gt;$B27+0.00001)*(Calc!$AZ$2:$AZ$2001&lt;&gt;"Cancelled")),1),"")</f>
        <v/>
      </c>
      <c r="K27" s="105">
        <f>IF(L27="","",INDEX(Calc!$AU$2:$AU$2001,L27))</f>
        <v/>
      </c>
      <c r="L27" s="1">
        <f>IFERROR(_xlfn.AGGREGATE(15,6,(ROW(Calc!$AW$2:$AW$2001)-1)/((Calc!$AW$2:$AW$2001=$S$3+4)*(Calc!$AX$2:$AX$2001&lt;=$B27+0.00001)*(Calc!$AY$2:$AY$2001&gt;$B27+0.00001)*(Calc!$AZ$2:$AZ$2001&lt;&gt;"Cancelled")),1),"")</f>
        <v/>
      </c>
      <c r="M27" s="105">
        <f>IF(N27="","",INDEX(Calc!$AU$2:$AU$2001,N27))</f>
        <v/>
      </c>
      <c r="N27" s="1">
        <f>IFERROR(_xlfn.AGGREGATE(15,6,(ROW(Calc!$AW$2:$AW$2001)-1)/((Calc!$AW$2:$AW$2001=$S$3+5)*(Calc!$AX$2:$AX$2001&lt;=$B27+0.00001)*(Calc!$AY$2:$AY$2001&gt;$B27+0.00001)*(Calc!$AZ$2:$AZ$2001&lt;&gt;"Cancelled")),1),"")</f>
        <v/>
      </c>
      <c r="O27" s="105">
        <f>IF(P27="","",INDEX(Calc!$AU$2:$AU$2001,P27))</f>
        <v/>
      </c>
      <c r="P27" s="1">
        <f>IFERROR(_xlfn.AGGREGATE(15,6,(ROW(Calc!$AW$2:$AW$2001)-1)/((Calc!$AW$2:$AW$2001=$S$3+6)*(Calc!$AX$2:$AX$2001&lt;=$B27+0.00001)*(Calc!$AY$2:$AY$2001&gt;$B27+0.00001)*(Calc!$AZ$2:$AZ$2001&lt;&gt;"Cancelled")),1),"")</f>
        <v/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 t="n"/>
      <c r="B28" s="107">
        <f>Setup!$D$9+4*Setup!$D$8/1440</f>
        <v/>
      </c>
      <c r="C28" s="105">
        <f>IF(D28="","",INDEX(Calc!$AU$2:$AU$2001,D28))</f>
        <v/>
      </c>
      <c r="D28" s="1">
        <f>IFERROR(_xlfn.AGGREGATE(15,6,(ROW(Calc!$AW$2:$AW$2001)-1)/((Calc!$AW$2:$AW$2001=$S$3+0)*(Calc!$AX$2:$AX$2001&lt;=$B28+0.00001)*(Calc!$AY$2:$AY$2001&gt;$B28+0.00001)*(Calc!$AZ$2:$AZ$2001&lt;&gt;"Cancelled")),1),"")</f>
        <v/>
      </c>
      <c r="E28" s="105">
        <f>IF(F28="","",INDEX(Calc!$AU$2:$AU$2001,F28))</f>
        <v/>
      </c>
      <c r="F28" s="1">
        <f>IFERROR(_xlfn.AGGREGATE(15,6,(ROW(Calc!$AW$2:$AW$2001)-1)/((Calc!$AW$2:$AW$2001=$S$3+1)*(Calc!$AX$2:$AX$2001&lt;=$B28+0.00001)*(Calc!$AY$2:$AY$2001&gt;$B28+0.00001)*(Calc!$AZ$2:$AZ$2001&lt;&gt;"Cancelled")),1),"")</f>
        <v/>
      </c>
      <c r="G28" s="105">
        <f>IF(H28="","",INDEX(Calc!$AU$2:$AU$2001,H28))</f>
        <v/>
      </c>
      <c r="H28" s="1">
        <f>IFERROR(_xlfn.AGGREGATE(15,6,(ROW(Calc!$AW$2:$AW$2001)-1)/((Calc!$AW$2:$AW$2001=$S$3+2)*(Calc!$AX$2:$AX$2001&lt;=$B28+0.00001)*(Calc!$AY$2:$AY$2001&gt;$B28+0.00001)*(Calc!$AZ$2:$AZ$2001&lt;&gt;"Cancelled")),1),"")</f>
        <v/>
      </c>
      <c r="I28" s="105">
        <f>IF(J28="","",INDEX(Calc!$AU$2:$AU$2001,J28))</f>
        <v/>
      </c>
      <c r="J28" s="1">
        <f>IFERROR(_xlfn.AGGREGATE(15,6,(ROW(Calc!$AW$2:$AW$2001)-1)/((Calc!$AW$2:$AW$2001=$S$3+3)*(Calc!$AX$2:$AX$2001&lt;=$B28+0.00001)*(Calc!$AY$2:$AY$2001&gt;$B28+0.00001)*(Calc!$AZ$2:$AZ$2001&lt;&gt;"Cancelled")),1),"")</f>
        <v/>
      </c>
      <c r="K28" s="105">
        <f>IF(L28="","",INDEX(Calc!$AU$2:$AU$2001,L28))</f>
        <v/>
      </c>
      <c r="L28" s="1">
        <f>IFERROR(_xlfn.AGGREGATE(15,6,(ROW(Calc!$AW$2:$AW$2001)-1)/((Calc!$AW$2:$AW$2001=$S$3+4)*(Calc!$AX$2:$AX$2001&lt;=$B28+0.00001)*(Calc!$AY$2:$AY$2001&gt;$B28+0.00001)*(Calc!$AZ$2:$AZ$2001&lt;&gt;"Cancelled")),1),"")</f>
        <v/>
      </c>
      <c r="M28" s="105">
        <f>IF(N28="","",INDEX(Calc!$AU$2:$AU$2001,N28))</f>
        <v/>
      </c>
      <c r="N28" s="1">
        <f>IFERROR(_xlfn.AGGREGATE(15,6,(ROW(Calc!$AW$2:$AW$2001)-1)/((Calc!$AW$2:$AW$2001=$S$3+5)*(Calc!$AX$2:$AX$2001&lt;=$B28+0.00001)*(Calc!$AY$2:$AY$2001&gt;$B28+0.00001)*(Calc!$AZ$2:$AZ$2001&lt;&gt;"Cancelled")),1),"")</f>
        <v/>
      </c>
      <c r="O28" s="105">
        <f>IF(P28="","",INDEX(Calc!$AU$2:$AU$2001,P28))</f>
        <v/>
      </c>
      <c r="P28" s="1">
        <f>IFERROR(_xlfn.AGGREGATE(15,6,(ROW(Calc!$AW$2:$AW$2001)-1)/((Calc!$AW$2:$AW$2001=$S$3+6)*(Calc!$AX$2:$AX$2001&lt;=$B28+0.00001)*(Calc!$AY$2:$AY$2001&gt;$B28+0.00001)*(Calc!$AZ$2:$AZ$2001&lt;&gt;"Cancelled")),1),"")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 t="n"/>
      <c r="B29" s="107">
        <f>Setup!$D$9+5*Setup!$D$8/1440</f>
        <v/>
      </c>
      <c r="C29" s="105">
        <f>IF(D29="","",INDEX(Calc!$AU$2:$AU$2001,D29))</f>
        <v/>
      </c>
      <c r="D29" s="1">
        <f>IFERROR(_xlfn.AGGREGATE(15,6,(ROW(Calc!$AW$2:$AW$2001)-1)/((Calc!$AW$2:$AW$2001=$S$3+0)*(Calc!$AX$2:$AX$2001&lt;=$B29+0.00001)*(Calc!$AY$2:$AY$2001&gt;$B29+0.00001)*(Calc!$AZ$2:$AZ$2001&lt;&gt;"Cancelled")),1),"")</f>
        <v/>
      </c>
      <c r="E29" s="105">
        <f>IF(F29="","",INDEX(Calc!$AU$2:$AU$2001,F29))</f>
        <v/>
      </c>
      <c r="F29" s="1">
        <f>IFERROR(_xlfn.AGGREGATE(15,6,(ROW(Calc!$AW$2:$AW$2001)-1)/((Calc!$AW$2:$AW$2001=$S$3+1)*(Calc!$AX$2:$AX$2001&lt;=$B29+0.00001)*(Calc!$AY$2:$AY$2001&gt;$B29+0.00001)*(Calc!$AZ$2:$AZ$2001&lt;&gt;"Cancelled")),1),"")</f>
        <v/>
      </c>
      <c r="G29" s="105">
        <f>IF(H29="","",INDEX(Calc!$AU$2:$AU$2001,H29))</f>
        <v/>
      </c>
      <c r="H29" s="1">
        <f>IFERROR(_xlfn.AGGREGATE(15,6,(ROW(Calc!$AW$2:$AW$2001)-1)/((Calc!$AW$2:$AW$2001=$S$3+2)*(Calc!$AX$2:$AX$2001&lt;=$B29+0.00001)*(Calc!$AY$2:$AY$2001&gt;$B29+0.00001)*(Calc!$AZ$2:$AZ$2001&lt;&gt;"Cancelled")),1),"")</f>
        <v/>
      </c>
      <c r="I29" s="105">
        <f>IF(J29="","",INDEX(Calc!$AU$2:$AU$2001,J29))</f>
        <v/>
      </c>
      <c r="J29" s="1">
        <f>IFERROR(_xlfn.AGGREGATE(15,6,(ROW(Calc!$AW$2:$AW$2001)-1)/((Calc!$AW$2:$AW$2001=$S$3+3)*(Calc!$AX$2:$AX$2001&lt;=$B29+0.00001)*(Calc!$AY$2:$AY$2001&gt;$B29+0.00001)*(Calc!$AZ$2:$AZ$2001&lt;&gt;"Cancelled")),1),"")</f>
        <v/>
      </c>
      <c r="K29" s="105">
        <f>IF(L29="","",INDEX(Calc!$AU$2:$AU$2001,L29))</f>
        <v/>
      </c>
      <c r="L29" s="1">
        <f>IFERROR(_xlfn.AGGREGATE(15,6,(ROW(Calc!$AW$2:$AW$2001)-1)/((Calc!$AW$2:$AW$2001=$S$3+4)*(Calc!$AX$2:$AX$2001&lt;=$B29+0.00001)*(Calc!$AY$2:$AY$2001&gt;$B29+0.00001)*(Calc!$AZ$2:$AZ$2001&lt;&gt;"Cancelled")),1),"")</f>
        <v/>
      </c>
      <c r="M29" s="105">
        <f>IF(N29="","",INDEX(Calc!$AU$2:$AU$2001,N29))</f>
        <v/>
      </c>
      <c r="N29" s="1">
        <f>IFERROR(_xlfn.AGGREGATE(15,6,(ROW(Calc!$AW$2:$AW$2001)-1)/((Calc!$AW$2:$AW$2001=$S$3+5)*(Calc!$AX$2:$AX$2001&lt;=$B29+0.00001)*(Calc!$AY$2:$AY$2001&gt;$B29+0.00001)*(Calc!$AZ$2:$AZ$2001&lt;&gt;"Cancelled")),1),"")</f>
        <v/>
      </c>
      <c r="O29" s="105">
        <f>IF(P29="","",INDEX(Calc!$AU$2:$AU$2001,P29))</f>
        <v/>
      </c>
      <c r="P29" s="1">
        <f>IFERROR(_xlfn.AGGREGATE(15,6,(ROW(Calc!$AW$2:$AW$2001)-1)/((Calc!$AW$2:$AW$2001=$S$3+6)*(Calc!$AX$2:$AX$2001&lt;=$B29+0.00001)*(Calc!$AY$2:$AY$2001&gt;$B29+0.00001)*(Calc!$AZ$2:$AZ$2001&lt;&gt;"Cancelled")),1),"")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n"/>
      <c r="B30" s="107">
        <f>Setup!$D$9+6*Setup!$D$8/1440</f>
        <v/>
      </c>
      <c r="C30" s="105">
        <f>IF(D30="","",INDEX(Calc!$AU$2:$AU$2001,D30))</f>
        <v/>
      </c>
      <c r="D30" s="1">
        <f>IFERROR(_xlfn.AGGREGATE(15,6,(ROW(Calc!$AW$2:$AW$2001)-1)/((Calc!$AW$2:$AW$2001=$S$3+0)*(Calc!$AX$2:$AX$2001&lt;=$B30+0.00001)*(Calc!$AY$2:$AY$2001&gt;$B30+0.00001)*(Calc!$AZ$2:$AZ$2001&lt;&gt;"Cancelled")),1),"")</f>
        <v/>
      </c>
      <c r="E30" s="105">
        <f>IF(F30="","",INDEX(Calc!$AU$2:$AU$2001,F30))</f>
        <v/>
      </c>
      <c r="F30" s="1">
        <f>IFERROR(_xlfn.AGGREGATE(15,6,(ROW(Calc!$AW$2:$AW$2001)-1)/((Calc!$AW$2:$AW$2001=$S$3+1)*(Calc!$AX$2:$AX$2001&lt;=$B30+0.00001)*(Calc!$AY$2:$AY$2001&gt;$B30+0.00001)*(Calc!$AZ$2:$AZ$2001&lt;&gt;"Cancelled")),1),"")</f>
        <v/>
      </c>
      <c r="G30" s="105">
        <f>IF(H30="","",INDEX(Calc!$AU$2:$AU$2001,H30))</f>
        <v/>
      </c>
      <c r="H30" s="1">
        <f>IFERROR(_xlfn.AGGREGATE(15,6,(ROW(Calc!$AW$2:$AW$2001)-1)/((Calc!$AW$2:$AW$2001=$S$3+2)*(Calc!$AX$2:$AX$2001&lt;=$B30+0.00001)*(Calc!$AY$2:$AY$2001&gt;$B30+0.00001)*(Calc!$AZ$2:$AZ$2001&lt;&gt;"Cancelled")),1),"")</f>
        <v/>
      </c>
      <c r="I30" s="105">
        <f>IF(J30="","",INDEX(Calc!$AU$2:$AU$2001,J30))</f>
        <v/>
      </c>
      <c r="J30" s="1">
        <f>IFERROR(_xlfn.AGGREGATE(15,6,(ROW(Calc!$AW$2:$AW$2001)-1)/((Calc!$AW$2:$AW$2001=$S$3+3)*(Calc!$AX$2:$AX$2001&lt;=$B30+0.00001)*(Calc!$AY$2:$AY$2001&gt;$B30+0.00001)*(Calc!$AZ$2:$AZ$2001&lt;&gt;"Cancelled")),1),"")</f>
        <v/>
      </c>
      <c r="K30" s="105">
        <f>IF(L30="","",INDEX(Calc!$AU$2:$AU$2001,L30))</f>
        <v/>
      </c>
      <c r="L30" s="1">
        <f>IFERROR(_xlfn.AGGREGATE(15,6,(ROW(Calc!$AW$2:$AW$2001)-1)/((Calc!$AW$2:$AW$2001=$S$3+4)*(Calc!$AX$2:$AX$2001&lt;=$B30+0.00001)*(Calc!$AY$2:$AY$2001&gt;$B30+0.00001)*(Calc!$AZ$2:$AZ$2001&lt;&gt;"Cancelled")),1),"")</f>
        <v/>
      </c>
      <c r="M30" s="105">
        <f>IF(N30="","",INDEX(Calc!$AU$2:$AU$2001,N30))</f>
        <v/>
      </c>
      <c r="N30" s="1">
        <f>IFERROR(_xlfn.AGGREGATE(15,6,(ROW(Calc!$AW$2:$AW$2001)-1)/((Calc!$AW$2:$AW$2001=$S$3+5)*(Calc!$AX$2:$AX$2001&lt;=$B30+0.00001)*(Calc!$AY$2:$AY$2001&gt;$B30+0.00001)*(Calc!$AZ$2:$AZ$2001&lt;&gt;"Cancelled")),1),"")</f>
        <v/>
      </c>
      <c r="O30" s="105">
        <f>IF(P30="","",INDEX(Calc!$AU$2:$AU$2001,P30))</f>
        <v/>
      </c>
      <c r="P30" s="1">
        <f>IFERROR(_xlfn.AGGREGATE(15,6,(ROW(Calc!$AW$2:$AW$2001)-1)/((Calc!$AW$2:$AW$2001=$S$3+6)*(Calc!$AX$2:$AX$2001&lt;=$B30+0.00001)*(Calc!$AY$2:$AY$2001&gt;$B30+0.00001)*(Calc!$AZ$2:$AZ$2001&lt;&gt;"Cancelled")),1),"")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B31" s="107">
        <f>Setup!$D$9+7*Setup!$D$8/1440</f>
        <v/>
      </c>
      <c r="C31" s="105">
        <f>IF(D31="","",INDEX(Calc!$AU$2:$AU$2001,D31))</f>
        <v/>
      </c>
      <c r="D31" s="1">
        <f>IFERROR(_xlfn.AGGREGATE(15,6,(ROW(Calc!$AW$2:$AW$2001)-1)/((Calc!$AW$2:$AW$2001=$S$3+0)*(Calc!$AX$2:$AX$2001&lt;=$B31+0.00001)*(Calc!$AY$2:$AY$2001&gt;$B31+0.00001)*(Calc!$AZ$2:$AZ$2001&lt;&gt;"Cancelled")),1),"")</f>
        <v/>
      </c>
      <c r="E31" s="105">
        <f>IF(F31="","",INDEX(Calc!$AU$2:$AU$2001,F31))</f>
        <v/>
      </c>
      <c r="F31" s="1">
        <f>IFERROR(_xlfn.AGGREGATE(15,6,(ROW(Calc!$AW$2:$AW$2001)-1)/((Calc!$AW$2:$AW$2001=$S$3+1)*(Calc!$AX$2:$AX$2001&lt;=$B31+0.00001)*(Calc!$AY$2:$AY$2001&gt;$B31+0.00001)*(Calc!$AZ$2:$AZ$2001&lt;&gt;"Cancelled")),1),"")</f>
        <v/>
      </c>
      <c r="G31" s="105">
        <f>IF(H31="","",INDEX(Calc!$AU$2:$AU$2001,H31))</f>
        <v/>
      </c>
      <c r="H31" s="1">
        <f>IFERROR(_xlfn.AGGREGATE(15,6,(ROW(Calc!$AW$2:$AW$2001)-1)/((Calc!$AW$2:$AW$2001=$S$3+2)*(Calc!$AX$2:$AX$2001&lt;=$B31+0.00001)*(Calc!$AY$2:$AY$2001&gt;$B31+0.00001)*(Calc!$AZ$2:$AZ$2001&lt;&gt;"Cancelled")),1),"")</f>
        <v/>
      </c>
      <c r="I31" s="105">
        <f>IF(J31="","",INDEX(Calc!$AU$2:$AU$2001,J31))</f>
        <v/>
      </c>
      <c r="J31" s="1">
        <f>IFERROR(_xlfn.AGGREGATE(15,6,(ROW(Calc!$AW$2:$AW$2001)-1)/((Calc!$AW$2:$AW$2001=$S$3+3)*(Calc!$AX$2:$AX$2001&lt;=$B31+0.00001)*(Calc!$AY$2:$AY$2001&gt;$B31+0.00001)*(Calc!$AZ$2:$AZ$2001&lt;&gt;"Cancelled")),1),"")</f>
        <v/>
      </c>
      <c r="K31" s="105">
        <f>IF(L31="","",INDEX(Calc!$AU$2:$AU$2001,L31))</f>
        <v/>
      </c>
      <c r="L31" s="1">
        <f>IFERROR(_xlfn.AGGREGATE(15,6,(ROW(Calc!$AW$2:$AW$2001)-1)/((Calc!$AW$2:$AW$2001=$S$3+4)*(Calc!$AX$2:$AX$2001&lt;=$B31+0.00001)*(Calc!$AY$2:$AY$2001&gt;$B31+0.00001)*(Calc!$AZ$2:$AZ$2001&lt;&gt;"Cancelled")),1),"")</f>
        <v/>
      </c>
      <c r="M31" s="105">
        <f>IF(N31="","",INDEX(Calc!$AU$2:$AU$2001,N31))</f>
        <v/>
      </c>
      <c r="N31" s="1">
        <f>IFERROR(_xlfn.AGGREGATE(15,6,(ROW(Calc!$AW$2:$AW$2001)-1)/((Calc!$AW$2:$AW$2001=$S$3+5)*(Calc!$AX$2:$AX$2001&lt;=$B31+0.00001)*(Calc!$AY$2:$AY$2001&gt;$B31+0.00001)*(Calc!$AZ$2:$AZ$2001&lt;&gt;"Cancelled")),1),"")</f>
        <v/>
      </c>
      <c r="O31" s="105">
        <f>IF(P31="","",INDEX(Calc!$AU$2:$AU$2001,P31))</f>
        <v/>
      </c>
      <c r="P31" s="1">
        <f>IFERROR(_xlfn.AGGREGATE(15,6,(ROW(Calc!$AW$2:$AW$2001)-1)/((Calc!$AW$2:$AW$2001=$S$3+6)*(Calc!$AX$2:$AX$2001&lt;=$B31+0.00001)*(Calc!$AY$2:$AY$2001&gt;$B31+0.00001)*(Calc!$AZ$2:$AZ$2001&lt;&gt;"Cancelled")),1),"")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B32" s="107">
        <f>Setup!$D$9+8*Setup!$D$8/1440</f>
        <v/>
      </c>
      <c r="C32" s="105">
        <f>IF(D32="","",INDEX(Calc!$AU$2:$AU$2001,D32))</f>
        <v/>
      </c>
      <c r="D32" s="1">
        <f>IFERROR(_xlfn.AGGREGATE(15,6,(ROW(Calc!$AW$2:$AW$2001)-1)/((Calc!$AW$2:$AW$2001=$S$3+0)*(Calc!$AX$2:$AX$2001&lt;=$B32+0.00001)*(Calc!$AY$2:$AY$2001&gt;$B32+0.00001)*(Calc!$AZ$2:$AZ$2001&lt;&gt;"Cancelled")),1),"")</f>
        <v/>
      </c>
      <c r="E32" s="105">
        <f>IF(F32="","",INDEX(Calc!$AU$2:$AU$2001,F32))</f>
        <v/>
      </c>
      <c r="F32" s="1">
        <f>IFERROR(_xlfn.AGGREGATE(15,6,(ROW(Calc!$AW$2:$AW$2001)-1)/((Calc!$AW$2:$AW$2001=$S$3+1)*(Calc!$AX$2:$AX$2001&lt;=$B32+0.00001)*(Calc!$AY$2:$AY$2001&gt;$B32+0.00001)*(Calc!$AZ$2:$AZ$2001&lt;&gt;"Cancelled")),1),"")</f>
        <v/>
      </c>
      <c r="G32" s="105">
        <f>IF(H32="","",INDEX(Calc!$AU$2:$AU$2001,H32))</f>
        <v/>
      </c>
      <c r="H32" s="1">
        <f>IFERROR(_xlfn.AGGREGATE(15,6,(ROW(Calc!$AW$2:$AW$2001)-1)/((Calc!$AW$2:$AW$2001=$S$3+2)*(Calc!$AX$2:$AX$2001&lt;=$B32+0.00001)*(Calc!$AY$2:$AY$2001&gt;$B32+0.00001)*(Calc!$AZ$2:$AZ$2001&lt;&gt;"Cancelled")),1),"")</f>
        <v/>
      </c>
      <c r="I32" s="105">
        <f>IF(J32="","",INDEX(Calc!$AU$2:$AU$2001,J32))</f>
        <v/>
      </c>
      <c r="J32" s="1">
        <f>IFERROR(_xlfn.AGGREGATE(15,6,(ROW(Calc!$AW$2:$AW$2001)-1)/((Calc!$AW$2:$AW$2001=$S$3+3)*(Calc!$AX$2:$AX$2001&lt;=$B32+0.00001)*(Calc!$AY$2:$AY$2001&gt;$B32+0.00001)*(Calc!$AZ$2:$AZ$2001&lt;&gt;"Cancelled")),1),"")</f>
        <v/>
      </c>
      <c r="K32" s="105">
        <f>IF(L32="","",INDEX(Calc!$AU$2:$AU$2001,L32))</f>
        <v/>
      </c>
      <c r="L32" s="1">
        <f>IFERROR(_xlfn.AGGREGATE(15,6,(ROW(Calc!$AW$2:$AW$2001)-1)/((Calc!$AW$2:$AW$2001=$S$3+4)*(Calc!$AX$2:$AX$2001&lt;=$B32+0.00001)*(Calc!$AY$2:$AY$2001&gt;$B32+0.00001)*(Calc!$AZ$2:$AZ$2001&lt;&gt;"Cancelled")),1),"")</f>
        <v/>
      </c>
      <c r="M32" s="105">
        <f>IF(N32="","",INDEX(Calc!$AU$2:$AU$2001,N32))</f>
        <v/>
      </c>
      <c r="N32" s="1">
        <f>IFERROR(_xlfn.AGGREGATE(15,6,(ROW(Calc!$AW$2:$AW$2001)-1)/((Calc!$AW$2:$AW$2001=$S$3+5)*(Calc!$AX$2:$AX$2001&lt;=$B32+0.00001)*(Calc!$AY$2:$AY$2001&gt;$B32+0.00001)*(Calc!$AZ$2:$AZ$2001&lt;&gt;"Cancelled")),1),"")</f>
        <v/>
      </c>
      <c r="O32" s="105">
        <f>IF(P32="","",INDEX(Calc!$AU$2:$AU$2001,P32))</f>
        <v/>
      </c>
      <c r="P32" s="1">
        <f>IFERROR(_xlfn.AGGREGATE(15,6,(ROW(Calc!$AW$2:$AW$2001)-1)/((Calc!$AW$2:$AW$2001=$S$3+6)*(Calc!$AX$2:$AX$2001&lt;=$B32+0.00001)*(Calc!$AY$2:$AY$2001&gt;$B32+0.00001)*(Calc!$AZ$2:$AZ$2001&lt;&gt;"Cancelled")),1),"")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 t="n"/>
      <c r="B33" s="107">
        <f>Setup!$D$9+9*Setup!$D$8/1440</f>
        <v/>
      </c>
      <c r="C33" s="105">
        <f>IF(D33="","",INDEX(Calc!$AU$2:$AU$2001,D33))</f>
        <v/>
      </c>
      <c r="D33" s="1">
        <f>IFERROR(_xlfn.AGGREGATE(15,6,(ROW(Calc!$AW$2:$AW$2001)-1)/((Calc!$AW$2:$AW$2001=$S$3+0)*(Calc!$AX$2:$AX$2001&lt;=$B33+0.00001)*(Calc!$AY$2:$AY$2001&gt;$B33+0.00001)*(Calc!$AZ$2:$AZ$2001&lt;&gt;"Cancelled")),1),"")</f>
        <v/>
      </c>
      <c r="E33" s="105">
        <f>IF(F33="","",INDEX(Calc!$AU$2:$AU$2001,F33))</f>
        <v/>
      </c>
      <c r="F33" s="1">
        <f>IFERROR(_xlfn.AGGREGATE(15,6,(ROW(Calc!$AW$2:$AW$2001)-1)/((Calc!$AW$2:$AW$2001=$S$3+1)*(Calc!$AX$2:$AX$2001&lt;=$B33+0.00001)*(Calc!$AY$2:$AY$2001&gt;$B33+0.00001)*(Calc!$AZ$2:$AZ$2001&lt;&gt;"Cancelled")),1),"")</f>
        <v/>
      </c>
      <c r="G33" s="105">
        <f>IF(H33="","",INDEX(Calc!$AU$2:$AU$2001,H33))</f>
        <v/>
      </c>
      <c r="H33" s="1">
        <f>IFERROR(_xlfn.AGGREGATE(15,6,(ROW(Calc!$AW$2:$AW$2001)-1)/((Calc!$AW$2:$AW$2001=$S$3+2)*(Calc!$AX$2:$AX$2001&lt;=$B33+0.00001)*(Calc!$AY$2:$AY$2001&gt;$B33+0.00001)*(Calc!$AZ$2:$AZ$2001&lt;&gt;"Cancelled")),1),"")</f>
        <v/>
      </c>
      <c r="I33" s="105">
        <f>IF(J33="","",INDEX(Calc!$AU$2:$AU$2001,J33))</f>
        <v/>
      </c>
      <c r="J33" s="1">
        <f>IFERROR(_xlfn.AGGREGATE(15,6,(ROW(Calc!$AW$2:$AW$2001)-1)/((Calc!$AW$2:$AW$2001=$S$3+3)*(Calc!$AX$2:$AX$2001&lt;=$B33+0.00001)*(Calc!$AY$2:$AY$2001&gt;$B33+0.00001)*(Calc!$AZ$2:$AZ$2001&lt;&gt;"Cancelled")),1),"")</f>
        <v/>
      </c>
      <c r="K33" s="105">
        <f>IF(L33="","",INDEX(Calc!$AU$2:$AU$2001,L33))</f>
        <v/>
      </c>
      <c r="L33" s="1">
        <f>IFERROR(_xlfn.AGGREGATE(15,6,(ROW(Calc!$AW$2:$AW$2001)-1)/((Calc!$AW$2:$AW$2001=$S$3+4)*(Calc!$AX$2:$AX$2001&lt;=$B33+0.00001)*(Calc!$AY$2:$AY$2001&gt;$B33+0.00001)*(Calc!$AZ$2:$AZ$2001&lt;&gt;"Cancelled")),1),"")</f>
        <v/>
      </c>
      <c r="M33" s="105">
        <f>IF(N33="","",INDEX(Calc!$AU$2:$AU$2001,N33))</f>
        <v/>
      </c>
      <c r="N33" s="1">
        <f>IFERROR(_xlfn.AGGREGATE(15,6,(ROW(Calc!$AW$2:$AW$2001)-1)/((Calc!$AW$2:$AW$2001=$S$3+5)*(Calc!$AX$2:$AX$2001&lt;=$B33+0.00001)*(Calc!$AY$2:$AY$2001&gt;$B33+0.00001)*(Calc!$AZ$2:$AZ$2001&lt;&gt;"Cancelled")),1),"")</f>
        <v/>
      </c>
      <c r="O33" s="105">
        <f>IF(P33="","",INDEX(Calc!$AU$2:$AU$2001,P33))</f>
        <v/>
      </c>
      <c r="P33" s="1">
        <f>IFERROR(_xlfn.AGGREGATE(15,6,(ROW(Calc!$AW$2:$AW$2001)-1)/((Calc!$AW$2:$AW$2001=$S$3+6)*(Calc!$AX$2:$AX$2001&lt;=$B33+0.00001)*(Calc!$AY$2:$AY$2001&gt;$B33+0.00001)*(Calc!$AZ$2:$AZ$2001&lt;&gt;"Cancelled")),1),"")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n"/>
      <c r="B34" s="107">
        <f>Setup!$D$9+10*Setup!$D$8/1440</f>
        <v/>
      </c>
      <c r="C34" s="105">
        <f>IF(D34="","",INDEX(Calc!$AU$2:$AU$2001,D34))</f>
        <v/>
      </c>
      <c r="D34" s="1">
        <f>IFERROR(_xlfn.AGGREGATE(15,6,(ROW(Calc!$AW$2:$AW$2001)-1)/((Calc!$AW$2:$AW$2001=$S$3+0)*(Calc!$AX$2:$AX$2001&lt;=$B34+0.00001)*(Calc!$AY$2:$AY$2001&gt;$B34+0.00001)*(Calc!$AZ$2:$AZ$2001&lt;&gt;"Cancelled")),1),"")</f>
        <v/>
      </c>
      <c r="E34" s="105">
        <f>IF(F34="","",INDEX(Calc!$AU$2:$AU$2001,F34))</f>
        <v/>
      </c>
      <c r="F34" s="1">
        <f>IFERROR(_xlfn.AGGREGATE(15,6,(ROW(Calc!$AW$2:$AW$2001)-1)/((Calc!$AW$2:$AW$2001=$S$3+1)*(Calc!$AX$2:$AX$2001&lt;=$B34+0.00001)*(Calc!$AY$2:$AY$2001&gt;$B34+0.00001)*(Calc!$AZ$2:$AZ$2001&lt;&gt;"Cancelled")),1),"")</f>
        <v/>
      </c>
      <c r="G34" s="105">
        <f>IF(H34="","",INDEX(Calc!$AU$2:$AU$2001,H34))</f>
        <v/>
      </c>
      <c r="H34" s="1">
        <f>IFERROR(_xlfn.AGGREGATE(15,6,(ROW(Calc!$AW$2:$AW$2001)-1)/((Calc!$AW$2:$AW$2001=$S$3+2)*(Calc!$AX$2:$AX$2001&lt;=$B34+0.00001)*(Calc!$AY$2:$AY$2001&gt;$B34+0.00001)*(Calc!$AZ$2:$AZ$2001&lt;&gt;"Cancelled")),1),"")</f>
        <v/>
      </c>
      <c r="I34" s="105">
        <f>IF(J34="","",INDEX(Calc!$AU$2:$AU$2001,J34))</f>
        <v/>
      </c>
      <c r="J34" s="1">
        <f>IFERROR(_xlfn.AGGREGATE(15,6,(ROW(Calc!$AW$2:$AW$2001)-1)/((Calc!$AW$2:$AW$2001=$S$3+3)*(Calc!$AX$2:$AX$2001&lt;=$B34+0.00001)*(Calc!$AY$2:$AY$2001&gt;$B34+0.00001)*(Calc!$AZ$2:$AZ$2001&lt;&gt;"Cancelled")),1),"")</f>
        <v/>
      </c>
      <c r="K34" s="105">
        <f>IF(L34="","",INDEX(Calc!$AU$2:$AU$2001,L34))</f>
        <v/>
      </c>
      <c r="L34" s="1">
        <f>IFERROR(_xlfn.AGGREGATE(15,6,(ROW(Calc!$AW$2:$AW$2001)-1)/((Calc!$AW$2:$AW$2001=$S$3+4)*(Calc!$AX$2:$AX$2001&lt;=$B34+0.00001)*(Calc!$AY$2:$AY$2001&gt;$B34+0.00001)*(Calc!$AZ$2:$AZ$2001&lt;&gt;"Cancelled")),1),"")</f>
        <v/>
      </c>
      <c r="M34" s="105">
        <f>IF(N34="","",INDEX(Calc!$AU$2:$AU$2001,N34))</f>
        <v/>
      </c>
      <c r="N34" s="1">
        <f>IFERROR(_xlfn.AGGREGATE(15,6,(ROW(Calc!$AW$2:$AW$2001)-1)/((Calc!$AW$2:$AW$2001=$S$3+5)*(Calc!$AX$2:$AX$2001&lt;=$B34+0.00001)*(Calc!$AY$2:$AY$2001&gt;$B34+0.00001)*(Calc!$AZ$2:$AZ$2001&lt;&gt;"Cancelled")),1),"")</f>
        <v/>
      </c>
      <c r="O34" s="105">
        <f>IF(P34="","",INDEX(Calc!$AU$2:$AU$2001,P34))</f>
        <v/>
      </c>
      <c r="P34" s="1">
        <f>IFERROR(_xlfn.AGGREGATE(15,6,(ROW(Calc!$AW$2:$AW$2001)-1)/((Calc!$AW$2:$AW$2001=$S$3+6)*(Calc!$AX$2:$AX$2001&lt;=$B34+0.00001)*(Calc!$AY$2:$AY$2001&gt;$B34+0.00001)*(Calc!$AZ$2:$AZ$2001&lt;&gt;"Cancelled")),1),"")</f>
        <v/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n"/>
      <c r="B35" s="107">
        <f>Setup!$D$9+11*Setup!$D$8/1440</f>
        <v/>
      </c>
      <c r="C35" s="105">
        <f>IF(D35="","",INDEX(Calc!$AU$2:$AU$2001,D35))</f>
        <v/>
      </c>
      <c r="D35" s="1">
        <f>IFERROR(_xlfn.AGGREGATE(15,6,(ROW(Calc!$AW$2:$AW$2001)-1)/((Calc!$AW$2:$AW$2001=$S$3+0)*(Calc!$AX$2:$AX$2001&lt;=$B35+0.00001)*(Calc!$AY$2:$AY$2001&gt;$B35+0.00001)*(Calc!$AZ$2:$AZ$2001&lt;&gt;"Cancelled")),1),"")</f>
        <v/>
      </c>
      <c r="E35" s="105">
        <f>IF(F35="","",INDEX(Calc!$AU$2:$AU$2001,F35))</f>
        <v/>
      </c>
      <c r="F35" s="1">
        <f>IFERROR(_xlfn.AGGREGATE(15,6,(ROW(Calc!$AW$2:$AW$2001)-1)/((Calc!$AW$2:$AW$2001=$S$3+1)*(Calc!$AX$2:$AX$2001&lt;=$B35+0.00001)*(Calc!$AY$2:$AY$2001&gt;$B35+0.00001)*(Calc!$AZ$2:$AZ$2001&lt;&gt;"Cancelled")),1),"")</f>
        <v/>
      </c>
      <c r="G35" s="105">
        <f>IF(H35="","",INDEX(Calc!$AU$2:$AU$2001,H35))</f>
        <v/>
      </c>
      <c r="H35" s="1">
        <f>IFERROR(_xlfn.AGGREGATE(15,6,(ROW(Calc!$AW$2:$AW$2001)-1)/((Calc!$AW$2:$AW$2001=$S$3+2)*(Calc!$AX$2:$AX$2001&lt;=$B35+0.00001)*(Calc!$AY$2:$AY$2001&gt;$B35+0.00001)*(Calc!$AZ$2:$AZ$2001&lt;&gt;"Cancelled")),1),"")</f>
        <v/>
      </c>
      <c r="I35" s="105">
        <f>IF(J35="","",INDEX(Calc!$AU$2:$AU$2001,J35))</f>
        <v/>
      </c>
      <c r="J35" s="1">
        <f>IFERROR(_xlfn.AGGREGATE(15,6,(ROW(Calc!$AW$2:$AW$2001)-1)/((Calc!$AW$2:$AW$2001=$S$3+3)*(Calc!$AX$2:$AX$2001&lt;=$B35+0.00001)*(Calc!$AY$2:$AY$2001&gt;$B35+0.00001)*(Calc!$AZ$2:$AZ$2001&lt;&gt;"Cancelled")),1),"")</f>
        <v/>
      </c>
      <c r="K35" s="105">
        <f>IF(L35="","",INDEX(Calc!$AU$2:$AU$2001,L35))</f>
        <v/>
      </c>
      <c r="L35" s="1">
        <f>IFERROR(_xlfn.AGGREGATE(15,6,(ROW(Calc!$AW$2:$AW$2001)-1)/((Calc!$AW$2:$AW$2001=$S$3+4)*(Calc!$AX$2:$AX$2001&lt;=$B35+0.00001)*(Calc!$AY$2:$AY$2001&gt;$B35+0.00001)*(Calc!$AZ$2:$AZ$2001&lt;&gt;"Cancelled")),1),"")</f>
        <v/>
      </c>
      <c r="M35" s="105">
        <f>IF(N35="","",INDEX(Calc!$AU$2:$AU$2001,N35))</f>
        <v/>
      </c>
      <c r="N35" s="1">
        <f>IFERROR(_xlfn.AGGREGATE(15,6,(ROW(Calc!$AW$2:$AW$2001)-1)/((Calc!$AW$2:$AW$2001=$S$3+5)*(Calc!$AX$2:$AX$2001&lt;=$B35+0.00001)*(Calc!$AY$2:$AY$2001&gt;$B35+0.00001)*(Calc!$AZ$2:$AZ$2001&lt;&gt;"Cancelled")),1),"")</f>
        <v/>
      </c>
      <c r="O35" s="105">
        <f>IF(P35="","",INDEX(Calc!$AU$2:$AU$2001,P35))</f>
        <v/>
      </c>
      <c r="P35" s="1">
        <f>IFERROR(_xlfn.AGGREGATE(15,6,(ROW(Calc!$AW$2:$AW$2001)-1)/((Calc!$AW$2:$AW$2001=$S$3+6)*(Calc!$AX$2:$AX$2001&lt;=$B35+0.00001)*(Calc!$AY$2:$AY$2001&gt;$B35+0.00001)*(Calc!$AZ$2:$AZ$2001&lt;&gt;"Cancelled")),1),"")</f>
        <v/>
      </c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107">
        <f>Setup!$D$9+12*Setup!$D$8/1440</f>
        <v/>
      </c>
      <c r="C36" s="105">
        <f>IF(D36="","",INDEX(Calc!$AU$2:$AU$2001,D36))</f>
        <v/>
      </c>
      <c r="D36" s="1">
        <f>IFERROR(_xlfn.AGGREGATE(15,6,(ROW(Calc!$AW$2:$AW$2001)-1)/((Calc!$AW$2:$AW$2001=$S$3+0)*(Calc!$AX$2:$AX$2001&lt;=$B36+0.00001)*(Calc!$AY$2:$AY$2001&gt;$B36+0.00001)*(Calc!$AZ$2:$AZ$2001&lt;&gt;"Cancelled")),1),"")</f>
        <v/>
      </c>
      <c r="E36" s="105">
        <f>IF(F36="","",INDEX(Calc!$AU$2:$AU$2001,F36))</f>
        <v/>
      </c>
      <c r="F36" s="1">
        <f>IFERROR(_xlfn.AGGREGATE(15,6,(ROW(Calc!$AW$2:$AW$2001)-1)/((Calc!$AW$2:$AW$2001=$S$3+1)*(Calc!$AX$2:$AX$2001&lt;=$B36+0.00001)*(Calc!$AY$2:$AY$2001&gt;$B36+0.00001)*(Calc!$AZ$2:$AZ$2001&lt;&gt;"Cancelled")),1),"")</f>
        <v/>
      </c>
      <c r="G36" s="105">
        <f>IF(H36="","",INDEX(Calc!$AU$2:$AU$2001,H36))</f>
        <v/>
      </c>
      <c r="H36" s="1">
        <f>IFERROR(_xlfn.AGGREGATE(15,6,(ROW(Calc!$AW$2:$AW$2001)-1)/((Calc!$AW$2:$AW$2001=$S$3+2)*(Calc!$AX$2:$AX$2001&lt;=$B36+0.00001)*(Calc!$AY$2:$AY$2001&gt;$B36+0.00001)*(Calc!$AZ$2:$AZ$2001&lt;&gt;"Cancelled")),1),"")</f>
        <v/>
      </c>
      <c r="I36" s="105">
        <f>IF(J36="","",INDEX(Calc!$AU$2:$AU$2001,J36))</f>
        <v/>
      </c>
      <c r="J36" s="1">
        <f>IFERROR(_xlfn.AGGREGATE(15,6,(ROW(Calc!$AW$2:$AW$2001)-1)/((Calc!$AW$2:$AW$2001=$S$3+3)*(Calc!$AX$2:$AX$2001&lt;=$B36+0.00001)*(Calc!$AY$2:$AY$2001&gt;$B36+0.00001)*(Calc!$AZ$2:$AZ$2001&lt;&gt;"Cancelled")),1),"")</f>
        <v/>
      </c>
      <c r="K36" s="105">
        <f>IF(L36="","",INDEX(Calc!$AU$2:$AU$2001,L36))</f>
        <v/>
      </c>
      <c r="L36" s="1">
        <f>IFERROR(_xlfn.AGGREGATE(15,6,(ROW(Calc!$AW$2:$AW$2001)-1)/((Calc!$AW$2:$AW$2001=$S$3+4)*(Calc!$AX$2:$AX$2001&lt;=$B36+0.00001)*(Calc!$AY$2:$AY$2001&gt;$B36+0.00001)*(Calc!$AZ$2:$AZ$2001&lt;&gt;"Cancelled")),1),"")</f>
        <v/>
      </c>
      <c r="M36" s="105">
        <f>IF(N36="","",INDEX(Calc!$AU$2:$AU$2001,N36))</f>
        <v/>
      </c>
      <c r="N36" s="1">
        <f>IFERROR(_xlfn.AGGREGATE(15,6,(ROW(Calc!$AW$2:$AW$2001)-1)/((Calc!$AW$2:$AW$2001=$S$3+5)*(Calc!$AX$2:$AX$2001&lt;=$B36+0.00001)*(Calc!$AY$2:$AY$2001&gt;$B36+0.00001)*(Calc!$AZ$2:$AZ$2001&lt;&gt;"Cancelled")),1),"")</f>
        <v/>
      </c>
      <c r="O36" s="105">
        <f>IF(P36="","",INDEX(Calc!$AU$2:$AU$2001,P36))</f>
        <v/>
      </c>
      <c r="P36" s="1">
        <f>IFERROR(_xlfn.AGGREGATE(15,6,(ROW(Calc!$AW$2:$AW$2001)-1)/((Calc!$AW$2:$AW$2001=$S$3+6)*(Calc!$AX$2:$AX$2001&lt;=$B36+0.00001)*(Calc!$AY$2:$AY$2001&gt;$B36+0.00001)*(Calc!$AZ$2:$AZ$2001&lt;&gt;"Cancelled")),1),"")</f>
        <v/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107">
        <f>Setup!$D$9+13*Setup!$D$8/1440</f>
        <v/>
      </c>
      <c r="C37" s="105">
        <f>IF(D37="","",INDEX(Calc!$AU$2:$AU$2001,D37))</f>
        <v/>
      </c>
      <c r="D37" s="1">
        <f>IFERROR(_xlfn.AGGREGATE(15,6,(ROW(Calc!$AW$2:$AW$2001)-1)/((Calc!$AW$2:$AW$2001=$S$3+0)*(Calc!$AX$2:$AX$2001&lt;=$B37+0.00001)*(Calc!$AY$2:$AY$2001&gt;$B37+0.00001)*(Calc!$AZ$2:$AZ$2001&lt;&gt;"Cancelled")),1),"")</f>
        <v/>
      </c>
      <c r="E37" s="105">
        <f>IF(F37="","",INDEX(Calc!$AU$2:$AU$2001,F37))</f>
        <v/>
      </c>
      <c r="F37" s="1">
        <f>IFERROR(_xlfn.AGGREGATE(15,6,(ROW(Calc!$AW$2:$AW$2001)-1)/((Calc!$AW$2:$AW$2001=$S$3+1)*(Calc!$AX$2:$AX$2001&lt;=$B37+0.00001)*(Calc!$AY$2:$AY$2001&gt;$B37+0.00001)*(Calc!$AZ$2:$AZ$2001&lt;&gt;"Cancelled")),1),"")</f>
        <v/>
      </c>
      <c r="G37" s="105">
        <f>IF(H37="","",INDEX(Calc!$AU$2:$AU$2001,H37))</f>
        <v/>
      </c>
      <c r="H37" s="1">
        <f>IFERROR(_xlfn.AGGREGATE(15,6,(ROW(Calc!$AW$2:$AW$2001)-1)/((Calc!$AW$2:$AW$2001=$S$3+2)*(Calc!$AX$2:$AX$2001&lt;=$B37+0.00001)*(Calc!$AY$2:$AY$2001&gt;$B37+0.00001)*(Calc!$AZ$2:$AZ$2001&lt;&gt;"Cancelled")),1),"")</f>
        <v/>
      </c>
      <c r="I37" s="105">
        <f>IF(J37="","",INDEX(Calc!$AU$2:$AU$2001,J37))</f>
        <v/>
      </c>
      <c r="J37" s="1">
        <f>IFERROR(_xlfn.AGGREGATE(15,6,(ROW(Calc!$AW$2:$AW$2001)-1)/((Calc!$AW$2:$AW$2001=$S$3+3)*(Calc!$AX$2:$AX$2001&lt;=$B37+0.00001)*(Calc!$AY$2:$AY$2001&gt;$B37+0.00001)*(Calc!$AZ$2:$AZ$2001&lt;&gt;"Cancelled")),1),"")</f>
        <v/>
      </c>
      <c r="K37" s="105">
        <f>IF(L37="","",INDEX(Calc!$AU$2:$AU$2001,L37))</f>
        <v/>
      </c>
      <c r="L37" s="1">
        <f>IFERROR(_xlfn.AGGREGATE(15,6,(ROW(Calc!$AW$2:$AW$2001)-1)/((Calc!$AW$2:$AW$2001=$S$3+4)*(Calc!$AX$2:$AX$2001&lt;=$B37+0.00001)*(Calc!$AY$2:$AY$2001&gt;$B37+0.00001)*(Calc!$AZ$2:$AZ$2001&lt;&gt;"Cancelled")),1),"")</f>
        <v/>
      </c>
      <c r="M37" s="105">
        <f>IF(N37="","",INDEX(Calc!$AU$2:$AU$2001,N37))</f>
        <v/>
      </c>
      <c r="N37" s="1">
        <f>IFERROR(_xlfn.AGGREGATE(15,6,(ROW(Calc!$AW$2:$AW$2001)-1)/((Calc!$AW$2:$AW$2001=$S$3+5)*(Calc!$AX$2:$AX$2001&lt;=$B37+0.00001)*(Calc!$AY$2:$AY$2001&gt;$B37+0.00001)*(Calc!$AZ$2:$AZ$2001&lt;&gt;"Cancelled")),1),"")</f>
        <v/>
      </c>
      <c r="O37" s="105">
        <f>IF(P37="","",INDEX(Calc!$AU$2:$AU$2001,P37))</f>
        <v/>
      </c>
      <c r="P37" s="1">
        <f>IFERROR(_xlfn.AGGREGATE(15,6,(ROW(Calc!$AW$2:$AW$2001)-1)/((Calc!$AW$2:$AW$2001=$S$3+6)*(Calc!$AX$2:$AX$2001&lt;=$B37+0.00001)*(Calc!$AY$2:$AY$2001&gt;$B37+0.00001)*(Calc!$AZ$2:$AZ$2001&lt;&gt;"Cancelled")),1),"")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107">
        <f>Setup!$D$9+14*Setup!$D$8/1440</f>
        <v/>
      </c>
      <c r="C38" s="105">
        <f>IF(D38="","",INDEX(Calc!$AU$2:$AU$2001,D38))</f>
        <v/>
      </c>
      <c r="D38" s="1">
        <f>IFERROR(_xlfn.AGGREGATE(15,6,(ROW(Calc!$AW$2:$AW$2001)-1)/((Calc!$AW$2:$AW$2001=$S$3+0)*(Calc!$AX$2:$AX$2001&lt;=$B38+0.00001)*(Calc!$AY$2:$AY$2001&gt;$B38+0.00001)*(Calc!$AZ$2:$AZ$2001&lt;&gt;"Cancelled")),1),"")</f>
        <v/>
      </c>
      <c r="E38" s="105">
        <f>IF(F38="","",INDEX(Calc!$AU$2:$AU$2001,F38))</f>
        <v/>
      </c>
      <c r="F38" s="1">
        <f>IFERROR(_xlfn.AGGREGATE(15,6,(ROW(Calc!$AW$2:$AW$2001)-1)/((Calc!$AW$2:$AW$2001=$S$3+1)*(Calc!$AX$2:$AX$2001&lt;=$B38+0.00001)*(Calc!$AY$2:$AY$2001&gt;$B38+0.00001)*(Calc!$AZ$2:$AZ$2001&lt;&gt;"Cancelled")),1),"")</f>
        <v/>
      </c>
      <c r="G38" s="105">
        <f>IF(H38="","",INDEX(Calc!$AU$2:$AU$2001,H38))</f>
        <v/>
      </c>
      <c r="H38" s="1">
        <f>IFERROR(_xlfn.AGGREGATE(15,6,(ROW(Calc!$AW$2:$AW$2001)-1)/((Calc!$AW$2:$AW$2001=$S$3+2)*(Calc!$AX$2:$AX$2001&lt;=$B38+0.00001)*(Calc!$AY$2:$AY$2001&gt;$B38+0.00001)*(Calc!$AZ$2:$AZ$2001&lt;&gt;"Cancelled")),1),"")</f>
        <v/>
      </c>
      <c r="I38" s="105">
        <f>IF(J38="","",INDEX(Calc!$AU$2:$AU$2001,J38))</f>
        <v/>
      </c>
      <c r="J38" s="1">
        <f>IFERROR(_xlfn.AGGREGATE(15,6,(ROW(Calc!$AW$2:$AW$2001)-1)/((Calc!$AW$2:$AW$2001=$S$3+3)*(Calc!$AX$2:$AX$2001&lt;=$B38+0.00001)*(Calc!$AY$2:$AY$2001&gt;$B38+0.00001)*(Calc!$AZ$2:$AZ$2001&lt;&gt;"Cancelled")),1),"")</f>
        <v/>
      </c>
      <c r="K38" s="105">
        <f>IF(L38="","",INDEX(Calc!$AU$2:$AU$2001,L38))</f>
        <v/>
      </c>
      <c r="L38" s="1">
        <f>IFERROR(_xlfn.AGGREGATE(15,6,(ROW(Calc!$AW$2:$AW$2001)-1)/((Calc!$AW$2:$AW$2001=$S$3+4)*(Calc!$AX$2:$AX$2001&lt;=$B38+0.00001)*(Calc!$AY$2:$AY$2001&gt;$B38+0.00001)*(Calc!$AZ$2:$AZ$2001&lt;&gt;"Cancelled")),1),"")</f>
        <v/>
      </c>
      <c r="M38" s="105">
        <f>IF(N38="","",INDEX(Calc!$AU$2:$AU$2001,N38))</f>
        <v/>
      </c>
      <c r="N38" s="1">
        <f>IFERROR(_xlfn.AGGREGATE(15,6,(ROW(Calc!$AW$2:$AW$2001)-1)/((Calc!$AW$2:$AW$2001=$S$3+5)*(Calc!$AX$2:$AX$2001&lt;=$B38+0.00001)*(Calc!$AY$2:$AY$2001&gt;$B38+0.00001)*(Calc!$AZ$2:$AZ$2001&lt;&gt;"Cancelled")),1),"")</f>
        <v/>
      </c>
      <c r="O38" s="105">
        <f>IF(P38="","",INDEX(Calc!$AU$2:$AU$2001,P38))</f>
        <v/>
      </c>
      <c r="P38" s="1">
        <f>IFERROR(_xlfn.AGGREGATE(15,6,(ROW(Calc!$AW$2:$AW$2001)-1)/((Calc!$AW$2:$AW$2001=$S$3+6)*(Calc!$AX$2:$AX$2001&lt;=$B38+0.00001)*(Calc!$AY$2:$AY$2001&gt;$B38+0.00001)*(Calc!$AZ$2:$AZ$2001&lt;&gt;"Cancelled")),1),"")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n"/>
      <c r="B39" s="107">
        <f>Setup!$D$9+15*Setup!$D$8/1440</f>
        <v/>
      </c>
      <c r="C39" s="105">
        <f>IF(D39="","",INDEX(Calc!$AU$2:$AU$2001,D39))</f>
        <v/>
      </c>
      <c r="D39" s="1">
        <f>IFERROR(_xlfn.AGGREGATE(15,6,(ROW(Calc!$AW$2:$AW$2001)-1)/((Calc!$AW$2:$AW$2001=$S$3+0)*(Calc!$AX$2:$AX$2001&lt;=$B39+0.00001)*(Calc!$AY$2:$AY$2001&gt;$B39+0.00001)*(Calc!$AZ$2:$AZ$2001&lt;&gt;"Cancelled")),1),"")</f>
        <v/>
      </c>
      <c r="E39" s="105">
        <f>IF(F39="","",INDEX(Calc!$AU$2:$AU$2001,F39))</f>
        <v/>
      </c>
      <c r="F39" s="1">
        <f>IFERROR(_xlfn.AGGREGATE(15,6,(ROW(Calc!$AW$2:$AW$2001)-1)/((Calc!$AW$2:$AW$2001=$S$3+1)*(Calc!$AX$2:$AX$2001&lt;=$B39+0.00001)*(Calc!$AY$2:$AY$2001&gt;$B39+0.00001)*(Calc!$AZ$2:$AZ$2001&lt;&gt;"Cancelled")),1),"")</f>
        <v/>
      </c>
      <c r="G39" s="105">
        <f>IF(H39="","",INDEX(Calc!$AU$2:$AU$2001,H39))</f>
        <v/>
      </c>
      <c r="H39" s="1">
        <f>IFERROR(_xlfn.AGGREGATE(15,6,(ROW(Calc!$AW$2:$AW$2001)-1)/((Calc!$AW$2:$AW$2001=$S$3+2)*(Calc!$AX$2:$AX$2001&lt;=$B39+0.00001)*(Calc!$AY$2:$AY$2001&gt;$B39+0.00001)*(Calc!$AZ$2:$AZ$2001&lt;&gt;"Cancelled")),1),"")</f>
        <v/>
      </c>
      <c r="I39" s="105">
        <f>IF(J39="","",INDEX(Calc!$AU$2:$AU$2001,J39))</f>
        <v/>
      </c>
      <c r="J39" s="1">
        <f>IFERROR(_xlfn.AGGREGATE(15,6,(ROW(Calc!$AW$2:$AW$2001)-1)/((Calc!$AW$2:$AW$2001=$S$3+3)*(Calc!$AX$2:$AX$2001&lt;=$B39+0.00001)*(Calc!$AY$2:$AY$2001&gt;$B39+0.00001)*(Calc!$AZ$2:$AZ$2001&lt;&gt;"Cancelled")),1),"")</f>
        <v/>
      </c>
      <c r="K39" s="105">
        <f>IF(L39="","",INDEX(Calc!$AU$2:$AU$2001,L39))</f>
        <v/>
      </c>
      <c r="L39" s="1">
        <f>IFERROR(_xlfn.AGGREGATE(15,6,(ROW(Calc!$AW$2:$AW$2001)-1)/((Calc!$AW$2:$AW$2001=$S$3+4)*(Calc!$AX$2:$AX$2001&lt;=$B39+0.00001)*(Calc!$AY$2:$AY$2001&gt;$B39+0.00001)*(Calc!$AZ$2:$AZ$2001&lt;&gt;"Cancelled")),1),"")</f>
        <v/>
      </c>
      <c r="M39" s="105">
        <f>IF(N39="","",INDEX(Calc!$AU$2:$AU$2001,N39))</f>
        <v/>
      </c>
      <c r="N39" s="1">
        <f>IFERROR(_xlfn.AGGREGATE(15,6,(ROW(Calc!$AW$2:$AW$2001)-1)/((Calc!$AW$2:$AW$2001=$S$3+5)*(Calc!$AX$2:$AX$2001&lt;=$B39+0.00001)*(Calc!$AY$2:$AY$2001&gt;$B39+0.00001)*(Calc!$AZ$2:$AZ$2001&lt;&gt;"Cancelled")),1),"")</f>
        <v/>
      </c>
      <c r="O39" s="105">
        <f>IF(P39="","",INDEX(Calc!$AU$2:$AU$2001,P39))</f>
        <v/>
      </c>
      <c r="P39" s="1">
        <f>IFERROR(_xlfn.AGGREGATE(15,6,(ROW(Calc!$AW$2:$AW$2001)-1)/((Calc!$AW$2:$AW$2001=$S$3+6)*(Calc!$AX$2:$AX$2001&lt;=$B39+0.00001)*(Calc!$AY$2:$AY$2001&gt;$B39+0.00001)*(Calc!$AZ$2:$AZ$2001&lt;&gt;"Cancelled")),1),"")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107">
        <f>Setup!$D$9+16*Setup!$D$8/1440</f>
        <v/>
      </c>
      <c r="C40" s="105">
        <f>IF(D40="","",INDEX(Calc!$AU$2:$AU$2001,D40))</f>
        <v/>
      </c>
      <c r="D40" s="1">
        <f>IFERROR(_xlfn.AGGREGATE(15,6,(ROW(Calc!$AW$2:$AW$2001)-1)/((Calc!$AW$2:$AW$2001=$S$3+0)*(Calc!$AX$2:$AX$2001&lt;=$B40+0.00001)*(Calc!$AY$2:$AY$2001&gt;$B40+0.00001)*(Calc!$AZ$2:$AZ$2001&lt;&gt;"Cancelled")),1),"")</f>
        <v/>
      </c>
      <c r="E40" s="105">
        <f>IF(F40="","",INDEX(Calc!$AU$2:$AU$2001,F40))</f>
        <v/>
      </c>
      <c r="F40" s="1">
        <f>IFERROR(_xlfn.AGGREGATE(15,6,(ROW(Calc!$AW$2:$AW$2001)-1)/((Calc!$AW$2:$AW$2001=$S$3+1)*(Calc!$AX$2:$AX$2001&lt;=$B40+0.00001)*(Calc!$AY$2:$AY$2001&gt;$B40+0.00001)*(Calc!$AZ$2:$AZ$2001&lt;&gt;"Cancelled")),1),"")</f>
        <v/>
      </c>
      <c r="G40" s="105">
        <f>IF(H40="","",INDEX(Calc!$AU$2:$AU$2001,H40))</f>
        <v/>
      </c>
      <c r="H40" s="1">
        <f>IFERROR(_xlfn.AGGREGATE(15,6,(ROW(Calc!$AW$2:$AW$2001)-1)/((Calc!$AW$2:$AW$2001=$S$3+2)*(Calc!$AX$2:$AX$2001&lt;=$B40+0.00001)*(Calc!$AY$2:$AY$2001&gt;$B40+0.00001)*(Calc!$AZ$2:$AZ$2001&lt;&gt;"Cancelled")),1),"")</f>
        <v/>
      </c>
      <c r="I40" s="105">
        <f>IF(J40="","",INDEX(Calc!$AU$2:$AU$2001,J40))</f>
        <v/>
      </c>
      <c r="J40" s="1">
        <f>IFERROR(_xlfn.AGGREGATE(15,6,(ROW(Calc!$AW$2:$AW$2001)-1)/((Calc!$AW$2:$AW$2001=$S$3+3)*(Calc!$AX$2:$AX$2001&lt;=$B40+0.00001)*(Calc!$AY$2:$AY$2001&gt;$B40+0.00001)*(Calc!$AZ$2:$AZ$2001&lt;&gt;"Cancelled")),1),"")</f>
        <v/>
      </c>
      <c r="K40" s="105">
        <f>IF(L40="","",INDEX(Calc!$AU$2:$AU$2001,L40))</f>
        <v/>
      </c>
      <c r="L40" s="1">
        <f>IFERROR(_xlfn.AGGREGATE(15,6,(ROW(Calc!$AW$2:$AW$2001)-1)/((Calc!$AW$2:$AW$2001=$S$3+4)*(Calc!$AX$2:$AX$2001&lt;=$B40+0.00001)*(Calc!$AY$2:$AY$2001&gt;$B40+0.00001)*(Calc!$AZ$2:$AZ$2001&lt;&gt;"Cancelled")),1),"")</f>
        <v/>
      </c>
      <c r="M40" s="105">
        <f>IF(N40="","",INDEX(Calc!$AU$2:$AU$2001,N40))</f>
        <v/>
      </c>
      <c r="N40" s="1">
        <f>IFERROR(_xlfn.AGGREGATE(15,6,(ROW(Calc!$AW$2:$AW$2001)-1)/((Calc!$AW$2:$AW$2001=$S$3+5)*(Calc!$AX$2:$AX$2001&lt;=$B40+0.00001)*(Calc!$AY$2:$AY$2001&gt;$B40+0.00001)*(Calc!$AZ$2:$AZ$2001&lt;&gt;"Cancelled")),1),"")</f>
        <v/>
      </c>
      <c r="O40" s="105">
        <f>IF(P40="","",INDEX(Calc!$AU$2:$AU$2001,P40))</f>
        <v/>
      </c>
      <c r="P40" s="1">
        <f>IFERROR(_xlfn.AGGREGATE(15,6,(ROW(Calc!$AW$2:$AW$2001)-1)/((Calc!$AW$2:$AW$2001=$S$3+6)*(Calc!$AX$2:$AX$2001&lt;=$B40+0.00001)*(Calc!$AY$2:$AY$2001&gt;$B40+0.00001)*(Calc!$AZ$2:$AZ$2001&lt;&gt;"Cancelled")),1),"")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107">
        <f>Setup!$D$9+17*Setup!$D$8/1440</f>
        <v/>
      </c>
      <c r="C41" s="105">
        <f>IF(D41="","",INDEX(Calc!$AU$2:$AU$2001,D41))</f>
        <v/>
      </c>
      <c r="D41" s="1">
        <f>IFERROR(_xlfn.AGGREGATE(15,6,(ROW(Calc!$AW$2:$AW$2001)-1)/((Calc!$AW$2:$AW$2001=$S$3+0)*(Calc!$AX$2:$AX$2001&lt;=$B41+0.00001)*(Calc!$AY$2:$AY$2001&gt;$B41+0.00001)*(Calc!$AZ$2:$AZ$2001&lt;&gt;"Cancelled")),1),"")</f>
        <v/>
      </c>
      <c r="E41" s="105">
        <f>IF(F41="","",INDEX(Calc!$AU$2:$AU$2001,F41))</f>
        <v/>
      </c>
      <c r="F41" s="1">
        <f>IFERROR(_xlfn.AGGREGATE(15,6,(ROW(Calc!$AW$2:$AW$2001)-1)/((Calc!$AW$2:$AW$2001=$S$3+1)*(Calc!$AX$2:$AX$2001&lt;=$B41+0.00001)*(Calc!$AY$2:$AY$2001&gt;$B41+0.00001)*(Calc!$AZ$2:$AZ$2001&lt;&gt;"Cancelled")),1),"")</f>
        <v/>
      </c>
      <c r="G41" s="105">
        <f>IF(H41="","",INDEX(Calc!$AU$2:$AU$2001,H41))</f>
        <v/>
      </c>
      <c r="H41" s="1">
        <f>IFERROR(_xlfn.AGGREGATE(15,6,(ROW(Calc!$AW$2:$AW$2001)-1)/((Calc!$AW$2:$AW$2001=$S$3+2)*(Calc!$AX$2:$AX$2001&lt;=$B41+0.00001)*(Calc!$AY$2:$AY$2001&gt;$B41+0.00001)*(Calc!$AZ$2:$AZ$2001&lt;&gt;"Cancelled")),1),"")</f>
        <v/>
      </c>
      <c r="I41" s="105">
        <f>IF(J41="","",INDEX(Calc!$AU$2:$AU$2001,J41))</f>
        <v/>
      </c>
      <c r="J41" s="1">
        <f>IFERROR(_xlfn.AGGREGATE(15,6,(ROW(Calc!$AW$2:$AW$2001)-1)/((Calc!$AW$2:$AW$2001=$S$3+3)*(Calc!$AX$2:$AX$2001&lt;=$B41+0.00001)*(Calc!$AY$2:$AY$2001&gt;$B41+0.00001)*(Calc!$AZ$2:$AZ$2001&lt;&gt;"Cancelled")),1),"")</f>
        <v/>
      </c>
      <c r="K41" s="105">
        <f>IF(L41="","",INDEX(Calc!$AU$2:$AU$2001,L41))</f>
        <v/>
      </c>
      <c r="L41" s="1">
        <f>IFERROR(_xlfn.AGGREGATE(15,6,(ROW(Calc!$AW$2:$AW$2001)-1)/((Calc!$AW$2:$AW$2001=$S$3+4)*(Calc!$AX$2:$AX$2001&lt;=$B41+0.00001)*(Calc!$AY$2:$AY$2001&gt;$B41+0.00001)*(Calc!$AZ$2:$AZ$2001&lt;&gt;"Cancelled")),1),"")</f>
        <v/>
      </c>
      <c r="M41" s="105">
        <f>IF(N41="","",INDEX(Calc!$AU$2:$AU$2001,N41))</f>
        <v/>
      </c>
      <c r="N41" s="1">
        <f>IFERROR(_xlfn.AGGREGATE(15,6,(ROW(Calc!$AW$2:$AW$2001)-1)/((Calc!$AW$2:$AW$2001=$S$3+5)*(Calc!$AX$2:$AX$2001&lt;=$B41+0.00001)*(Calc!$AY$2:$AY$2001&gt;$B41+0.00001)*(Calc!$AZ$2:$AZ$2001&lt;&gt;"Cancelled")),1),"")</f>
        <v/>
      </c>
      <c r="O41" s="105">
        <f>IF(P41="","",INDEX(Calc!$AU$2:$AU$2001,P41))</f>
        <v/>
      </c>
      <c r="P41" s="1">
        <f>IFERROR(_xlfn.AGGREGATE(15,6,(ROW(Calc!$AW$2:$AW$2001)-1)/((Calc!$AW$2:$AW$2001=$S$3+6)*(Calc!$AX$2:$AX$2001&lt;=$B41+0.00001)*(Calc!$AY$2:$AY$2001&gt;$B41+0.00001)*(Calc!$AZ$2:$AZ$2001&lt;&gt;"Cancelled")),1),"")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07">
        <f>Setup!$D$9+18*Setup!$D$8/1440</f>
        <v/>
      </c>
      <c r="C42" s="105">
        <f>IF(D42="","",INDEX(Calc!$AU$2:$AU$2001,D42))</f>
        <v/>
      </c>
      <c r="D42" s="1">
        <f>IFERROR(_xlfn.AGGREGATE(15,6,(ROW(Calc!$AW$2:$AW$2001)-1)/((Calc!$AW$2:$AW$2001=$S$3+0)*(Calc!$AX$2:$AX$2001&lt;=$B42+0.00001)*(Calc!$AY$2:$AY$2001&gt;$B42+0.00001)*(Calc!$AZ$2:$AZ$2001&lt;&gt;"Cancelled")),1),"")</f>
        <v/>
      </c>
      <c r="E42" s="105">
        <f>IF(F42="","",INDEX(Calc!$AU$2:$AU$2001,F42))</f>
        <v/>
      </c>
      <c r="F42" s="1">
        <f>IFERROR(_xlfn.AGGREGATE(15,6,(ROW(Calc!$AW$2:$AW$2001)-1)/((Calc!$AW$2:$AW$2001=$S$3+1)*(Calc!$AX$2:$AX$2001&lt;=$B42+0.00001)*(Calc!$AY$2:$AY$2001&gt;$B42+0.00001)*(Calc!$AZ$2:$AZ$2001&lt;&gt;"Cancelled")),1),"")</f>
        <v/>
      </c>
      <c r="G42" s="105">
        <f>IF(H42="","",INDEX(Calc!$AU$2:$AU$2001,H42))</f>
        <v/>
      </c>
      <c r="H42" s="1">
        <f>IFERROR(_xlfn.AGGREGATE(15,6,(ROW(Calc!$AW$2:$AW$2001)-1)/((Calc!$AW$2:$AW$2001=$S$3+2)*(Calc!$AX$2:$AX$2001&lt;=$B42+0.00001)*(Calc!$AY$2:$AY$2001&gt;$B42+0.00001)*(Calc!$AZ$2:$AZ$2001&lt;&gt;"Cancelled")),1),"")</f>
        <v/>
      </c>
      <c r="I42" s="105">
        <f>IF(J42="","",INDEX(Calc!$AU$2:$AU$2001,J42))</f>
        <v/>
      </c>
      <c r="J42" s="1">
        <f>IFERROR(_xlfn.AGGREGATE(15,6,(ROW(Calc!$AW$2:$AW$2001)-1)/((Calc!$AW$2:$AW$2001=$S$3+3)*(Calc!$AX$2:$AX$2001&lt;=$B42+0.00001)*(Calc!$AY$2:$AY$2001&gt;$B42+0.00001)*(Calc!$AZ$2:$AZ$2001&lt;&gt;"Cancelled")),1),"")</f>
        <v/>
      </c>
      <c r="K42" s="105">
        <f>IF(L42="","",INDEX(Calc!$AU$2:$AU$2001,L42))</f>
        <v/>
      </c>
      <c r="L42" s="1">
        <f>IFERROR(_xlfn.AGGREGATE(15,6,(ROW(Calc!$AW$2:$AW$2001)-1)/((Calc!$AW$2:$AW$2001=$S$3+4)*(Calc!$AX$2:$AX$2001&lt;=$B42+0.00001)*(Calc!$AY$2:$AY$2001&gt;$B42+0.00001)*(Calc!$AZ$2:$AZ$2001&lt;&gt;"Cancelled")),1),"")</f>
        <v/>
      </c>
      <c r="M42" s="105">
        <f>IF(N42="","",INDEX(Calc!$AU$2:$AU$2001,N42))</f>
        <v/>
      </c>
      <c r="N42" s="1">
        <f>IFERROR(_xlfn.AGGREGATE(15,6,(ROW(Calc!$AW$2:$AW$2001)-1)/((Calc!$AW$2:$AW$2001=$S$3+5)*(Calc!$AX$2:$AX$2001&lt;=$B42+0.00001)*(Calc!$AY$2:$AY$2001&gt;$B42+0.00001)*(Calc!$AZ$2:$AZ$2001&lt;&gt;"Cancelled")),1),"")</f>
        <v/>
      </c>
      <c r="O42" s="105">
        <f>IF(P42="","",INDEX(Calc!$AU$2:$AU$2001,P42))</f>
        <v/>
      </c>
      <c r="P42" s="1">
        <f>IFERROR(_xlfn.AGGREGATE(15,6,(ROW(Calc!$AW$2:$AW$2001)-1)/((Calc!$AW$2:$AW$2001=$S$3+6)*(Calc!$AX$2:$AX$2001&lt;=$B42+0.00001)*(Calc!$AY$2:$AY$2001&gt;$B42+0.00001)*(Calc!$AZ$2:$AZ$2001&lt;&gt;"Cancelled")),1),"")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07">
        <f>Setup!$D$9+19*Setup!$D$8/1440</f>
        <v/>
      </c>
      <c r="C43" s="105">
        <f>IF(D43="","",INDEX(Calc!$AU$2:$AU$2001,D43))</f>
        <v/>
      </c>
      <c r="D43" s="1">
        <f>IFERROR(_xlfn.AGGREGATE(15,6,(ROW(Calc!$AW$2:$AW$2001)-1)/((Calc!$AW$2:$AW$2001=$S$3+0)*(Calc!$AX$2:$AX$2001&lt;=$B43+0.00001)*(Calc!$AY$2:$AY$2001&gt;$B43+0.00001)*(Calc!$AZ$2:$AZ$2001&lt;&gt;"Cancelled")),1),"")</f>
        <v/>
      </c>
      <c r="E43" s="105">
        <f>IF(F43="","",INDEX(Calc!$AU$2:$AU$2001,F43))</f>
        <v/>
      </c>
      <c r="F43" s="1">
        <f>IFERROR(_xlfn.AGGREGATE(15,6,(ROW(Calc!$AW$2:$AW$2001)-1)/((Calc!$AW$2:$AW$2001=$S$3+1)*(Calc!$AX$2:$AX$2001&lt;=$B43+0.00001)*(Calc!$AY$2:$AY$2001&gt;$B43+0.00001)*(Calc!$AZ$2:$AZ$2001&lt;&gt;"Cancelled")),1),"")</f>
        <v/>
      </c>
      <c r="G43" s="105">
        <f>IF(H43="","",INDEX(Calc!$AU$2:$AU$2001,H43))</f>
        <v/>
      </c>
      <c r="H43" s="1">
        <f>IFERROR(_xlfn.AGGREGATE(15,6,(ROW(Calc!$AW$2:$AW$2001)-1)/((Calc!$AW$2:$AW$2001=$S$3+2)*(Calc!$AX$2:$AX$2001&lt;=$B43+0.00001)*(Calc!$AY$2:$AY$2001&gt;$B43+0.00001)*(Calc!$AZ$2:$AZ$2001&lt;&gt;"Cancelled")),1),"")</f>
        <v/>
      </c>
      <c r="I43" s="105">
        <f>IF(J43="","",INDEX(Calc!$AU$2:$AU$2001,J43))</f>
        <v/>
      </c>
      <c r="J43" s="1">
        <f>IFERROR(_xlfn.AGGREGATE(15,6,(ROW(Calc!$AW$2:$AW$2001)-1)/((Calc!$AW$2:$AW$2001=$S$3+3)*(Calc!$AX$2:$AX$2001&lt;=$B43+0.00001)*(Calc!$AY$2:$AY$2001&gt;$B43+0.00001)*(Calc!$AZ$2:$AZ$2001&lt;&gt;"Cancelled")),1),"")</f>
        <v/>
      </c>
      <c r="K43" s="105">
        <f>IF(L43="","",INDEX(Calc!$AU$2:$AU$2001,L43))</f>
        <v/>
      </c>
      <c r="L43" s="1">
        <f>IFERROR(_xlfn.AGGREGATE(15,6,(ROW(Calc!$AW$2:$AW$2001)-1)/((Calc!$AW$2:$AW$2001=$S$3+4)*(Calc!$AX$2:$AX$2001&lt;=$B43+0.00001)*(Calc!$AY$2:$AY$2001&gt;$B43+0.00001)*(Calc!$AZ$2:$AZ$2001&lt;&gt;"Cancelled")),1),"")</f>
        <v/>
      </c>
      <c r="M43" s="105">
        <f>IF(N43="","",INDEX(Calc!$AU$2:$AU$2001,N43))</f>
        <v/>
      </c>
      <c r="N43" s="1">
        <f>IFERROR(_xlfn.AGGREGATE(15,6,(ROW(Calc!$AW$2:$AW$2001)-1)/((Calc!$AW$2:$AW$2001=$S$3+5)*(Calc!$AX$2:$AX$2001&lt;=$B43+0.00001)*(Calc!$AY$2:$AY$2001&gt;$B43+0.00001)*(Calc!$AZ$2:$AZ$2001&lt;&gt;"Cancelled")),1),"")</f>
        <v/>
      </c>
      <c r="O43" s="105">
        <f>IF(P43="","",INDEX(Calc!$AU$2:$AU$2001,P43))</f>
        <v/>
      </c>
      <c r="P43" s="1">
        <f>IFERROR(_xlfn.AGGREGATE(15,6,(ROW(Calc!$AW$2:$AW$2001)-1)/((Calc!$AW$2:$AW$2001=$S$3+6)*(Calc!$AX$2:$AX$2001&lt;=$B43+0.00001)*(Calc!$AY$2:$AY$2001&gt;$B43+0.00001)*(Calc!$AZ$2:$AZ$2001&lt;&gt;"Cancelled")),1),"")</f>
        <v/>
      </c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07">
        <f>Setup!$D$9+20*Setup!$D$8/1440</f>
        <v/>
      </c>
      <c r="C44" s="105">
        <f>IF(D44="","",INDEX(Calc!$AU$2:$AU$2001,D44))</f>
        <v/>
      </c>
      <c r="D44" s="1">
        <f>IFERROR(_xlfn.AGGREGATE(15,6,(ROW(Calc!$AW$2:$AW$2001)-1)/((Calc!$AW$2:$AW$2001=$S$3+0)*(Calc!$AX$2:$AX$2001&lt;=$B44+0.00001)*(Calc!$AY$2:$AY$2001&gt;$B44+0.00001)*(Calc!$AZ$2:$AZ$2001&lt;&gt;"Cancelled")),1),"")</f>
        <v/>
      </c>
      <c r="E44" s="105">
        <f>IF(F44="","",INDEX(Calc!$AU$2:$AU$2001,F44))</f>
        <v/>
      </c>
      <c r="F44" s="1">
        <f>IFERROR(_xlfn.AGGREGATE(15,6,(ROW(Calc!$AW$2:$AW$2001)-1)/((Calc!$AW$2:$AW$2001=$S$3+1)*(Calc!$AX$2:$AX$2001&lt;=$B44+0.00001)*(Calc!$AY$2:$AY$2001&gt;$B44+0.00001)*(Calc!$AZ$2:$AZ$2001&lt;&gt;"Cancelled")),1),"")</f>
        <v/>
      </c>
      <c r="G44" s="105">
        <f>IF(H44="","",INDEX(Calc!$AU$2:$AU$2001,H44))</f>
        <v/>
      </c>
      <c r="H44" s="1">
        <f>IFERROR(_xlfn.AGGREGATE(15,6,(ROW(Calc!$AW$2:$AW$2001)-1)/((Calc!$AW$2:$AW$2001=$S$3+2)*(Calc!$AX$2:$AX$2001&lt;=$B44+0.00001)*(Calc!$AY$2:$AY$2001&gt;$B44+0.00001)*(Calc!$AZ$2:$AZ$2001&lt;&gt;"Cancelled")),1),"")</f>
        <v/>
      </c>
      <c r="I44" s="105">
        <f>IF(J44="","",INDEX(Calc!$AU$2:$AU$2001,J44))</f>
        <v/>
      </c>
      <c r="J44" s="1">
        <f>IFERROR(_xlfn.AGGREGATE(15,6,(ROW(Calc!$AW$2:$AW$2001)-1)/((Calc!$AW$2:$AW$2001=$S$3+3)*(Calc!$AX$2:$AX$2001&lt;=$B44+0.00001)*(Calc!$AY$2:$AY$2001&gt;$B44+0.00001)*(Calc!$AZ$2:$AZ$2001&lt;&gt;"Cancelled")),1),"")</f>
        <v/>
      </c>
      <c r="K44" s="105">
        <f>IF(L44="","",INDEX(Calc!$AU$2:$AU$2001,L44))</f>
        <v/>
      </c>
      <c r="L44" s="1">
        <f>IFERROR(_xlfn.AGGREGATE(15,6,(ROW(Calc!$AW$2:$AW$2001)-1)/((Calc!$AW$2:$AW$2001=$S$3+4)*(Calc!$AX$2:$AX$2001&lt;=$B44+0.00001)*(Calc!$AY$2:$AY$2001&gt;$B44+0.00001)*(Calc!$AZ$2:$AZ$2001&lt;&gt;"Cancelled")),1),"")</f>
        <v/>
      </c>
      <c r="M44" s="105">
        <f>IF(N44="","",INDEX(Calc!$AU$2:$AU$2001,N44))</f>
        <v/>
      </c>
      <c r="N44" s="1">
        <f>IFERROR(_xlfn.AGGREGATE(15,6,(ROW(Calc!$AW$2:$AW$2001)-1)/((Calc!$AW$2:$AW$2001=$S$3+5)*(Calc!$AX$2:$AX$2001&lt;=$B44+0.00001)*(Calc!$AY$2:$AY$2001&gt;$B44+0.00001)*(Calc!$AZ$2:$AZ$2001&lt;&gt;"Cancelled")),1),"")</f>
        <v/>
      </c>
      <c r="O44" s="105">
        <f>IF(P44="","",INDEX(Calc!$AU$2:$AU$2001,P44))</f>
        <v/>
      </c>
      <c r="P44" s="1">
        <f>IFERROR(_xlfn.AGGREGATE(15,6,(ROW(Calc!$AW$2:$AW$2001)-1)/((Calc!$AW$2:$AW$2001=$S$3+6)*(Calc!$AX$2:$AX$2001&lt;=$B44+0.00001)*(Calc!$AY$2:$AY$2001&gt;$B44+0.00001)*(Calc!$AZ$2:$AZ$2001&lt;&gt;"Cancelled")),1),"")</f>
        <v/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07">
        <f>Setup!$D$9+21*Setup!$D$8/1440</f>
        <v/>
      </c>
      <c r="C45" s="105">
        <f>IF(D45="","",INDEX(Calc!$AU$2:$AU$2001,D45))</f>
        <v/>
      </c>
      <c r="D45" s="1">
        <f>IFERROR(_xlfn.AGGREGATE(15,6,(ROW(Calc!$AW$2:$AW$2001)-1)/((Calc!$AW$2:$AW$2001=$S$3+0)*(Calc!$AX$2:$AX$2001&lt;=$B45+0.00001)*(Calc!$AY$2:$AY$2001&gt;$B45+0.00001)*(Calc!$AZ$2:$AZ$2001&lt;&gt;"Cancelled")),1),"")</f>
        <v/>
      </c>
      <c r="E45" s="105">
        <f>IF(F45="","",INDEX(Calc!$AU$2:$AU$2001,F45))</f>
        <v/>
      </c>
      <c r="F45" s="1">
        <f>IFERROR(_xlfn.AGGREGATE(15,6,(ROW(Calc!$AW$2:$AW$2001)-1)/((Calc!$AW$2:$AW$2001=$S$3+1)*(Calc!$AX$2:$AX$2001&lt;=$B45+0.00001)*(Calc!$AY$2:$AY$2001&gt;$B45+0.00001)*(Calc!$AZ$2:$AZ$2001&lt;&gt;"Cancelled")),1),"")</f>
        <v/>
      </c>
      <c r="G45" s="105">
        <f>IF(H45="","",INDEX(Calc!$AU$2:$AU$2001,H45))</f>
        <v/>
      </c>
      <c r="H45" s="1">
        <f>IFERROR(_xlfn.AGGREGATE(15,6,(ROW(Calc!$AW$2:$AW$2001)-1)/((Calc!$AW$2:$AW$2001=$S$3+2)*(Calc!$AX$2:$AX$2001&lt;=$B45+0.00001)*(Calc!$AY$2:$AY$2001&gt;$B45+0.00001)*(Calc!$AZ$2:$AZ$2001&lt;&gt;"Cancelled")),1),"")</f>
        <v/>
      </c>
      <c r="I45" s="105">
        <f>IF(J45="","",INDEX(Calc!$AU$2:$AU$2001,J45))</f>
        <v/>
      </c>
      <c r="J45" s="1">
        <f>IFERROR(_xlfn.AGGREGATE(15,6,(ROW(Calc!$AW$2:$AW$2001)-1)/((Calc!$AW$2:$AW$2001=$S$3+3)*(Calc!$AX$2:$AX$2001&lt;=$B45+0.00001)*(Calc!$AY$2:$AY$2001&gt;$B45+0.00001)*(Calc!$AZ$2:$AZ$2001&lt;&gt;"Cancelled")),1),"")</f>
        <v/>
      </c>
      <c r="K45" s="105">
        <f>IF(L45="","",INDEX(Calc!$AU$2:$AU$2001,L45))</f>
        <v/>
      </c>
      <c r="L45" s="1">
        <f>IFERROR(_xlfn.AGGREGATE(15,6,(ROW(Calc!$AW$2:$AW$2001)-1)/((Calc!$AW$2:$AW$2001=$S$3+4)*(Calc!$AX$2:$AX$2001&lt;=$B45+0.00001)*(Calc!$AY$2:$AY$2001&gt;$B45+0.00001)*(Calc!$AZ$2:$AZ$2001&lt;&gt;"Cancelled")),1),"")</f>
        <v/>
      </c>
      <c r="M45" s="105">
        <f>IF(N45="","",INDEX(Calc!$AU$2:$AU$2001,N45))</f>
        <v/>
      </c>
      <c r="N45" s="1">
        <f>IFERROR(_xlfn.AGGREGATE(15,6,(ROW(Calc!$AW$2:$AW$2001)-1)/((Calc!$AW$2:$AW$2001=$S$3+5)*(Calc!$AX$2:$AX$2001&lt;=$B45+0.00001)*(Calc!$AY$2:$AY$2001&gt;$B45+0.00001)*(Calc!$AZ$2:$AZ$2001&lt;&gt;"Cancelled")),1),"")</f>
        <v/>
      </c>
      <c r="O45" s="105">
        <f>IF(P45="","",INDEX(Calc!$AU$2:$AU$2001,P45))</f>
        <v/>
      </c>
      <c r="P45" s="1">
        <f>IFERROR(_xlfn.AGGREGATE(15,6,(ROW(Calc!$AW$2:$AW$2001)-1)/((Calc!$AW$2:$AW$2001=$S$3+6)*(Calc!$AX$2:$AX$2001&lt;=$B45+0.00001)*(Calc!$AY$2:$AY$2001&gt;$B45+0.00001)*(Calc!$AZ$2:$AZ$2001&lt;&gt;"Cancelled")),1),"")</f>
        <v/>
      </c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07">
        <f>Setup!$D$9+22*Setup!$D$8/1440</f>
        <v/>
      </c>
      <c r="C46" s="105">
        <f>IF(D46="","",INDEX(Calc!$AU$2:$AU$2001,D46))</f>
        <v/>
      </c>
      <c r="D46" s="1">
        <f>IFERROR(_xlfn.AGGREGATE(15,6,(ROW(Calc!$AW$2:$AW$2001)-1)/((Calc!$AW$2:$AW$2001=$S$3+0)*(Calc!$AX$2:$AX$2001&lt;=$B46+0.00001)*(Calc!$AY$2:$AY$2001&gt;$B46+0.00001)*(Calc!$AZ$2:$AZ$2001&lt;&gt;"Cancelled")),1),"")</f>
        <v/>
      </c>
      <c r="E46" s="105">
        <f>IF(F46="","",INDEX(Calc!$AU$2:$AU$2001,F46))</f>
        <v/>
      </c>
      <c r="F46" s="1">
        <f>IFERROR(_xlfn.AGGREGATE(15,6,(ROW(Calc!$AW$2:$AW$2001)-1)/((Calc!$AW$2:$AW$2001=$S$3+1)*(Calc!$AX$2:$AX$2001&lt;=$B46+0.00001)*(Calc!$AY$2:$AY$2001&gt;$B46+0.00001)*(Calc!$AZ$2:$AZ$2001&lt;&gt;"Cancelled")),1),"")</f>
        <v/>
      </c>
      <c r="G46" s="105">
        <f>IF(H46="","",INDEX(Calc!$AU$2:$AU$2001,H46))</f>
        <v/>
      </c>
      <c r="H46" s="1">
        <f>IFERROR(_xlfn.AGGREGATE(15,6,(ROW(Calc!$AW$2:$AW$2001)-1)/((Calc!$AW$2:$AW$2001=$S$3+2)*(Calc!$AX$2:$AX$2001&lt;=$B46+0.00001)*(Calc!$AY$2:$AY$2001&gt;$B46+0.00001)*(Calc!$AZ$2:$AZ$2001&lt;&gt;"Cancelled")),1),"")</f>
        <v/>
      </c>
      <c r="I46" s="105">
        <f>IF(J46="","",INDEX(Calc!$AU$2:$AU$2001,J46))</f>
        <v/>
      </c>
      <c r="J46" s="1">
        <f>IFERROR(_xlfn.AGGREGATE(15,6,(ROW(Calc!$AW$2:$AW$2001)-1)/((Calc!$AW$2:$AW$2001=$S$3+3)*(Calc!$AX$2:$AX$2001&lt;=$B46+0.00001)*(Calc!$AY$2:$AY$2001&gt;$B46+0.00001)*(Calc!$AZ$2:$AZ$2001&lt;&gt;"Cancelled")),1),"")</f>
        <v/>
      </c>
      <c r="K46" s="105">
        <f>IF(L46="","",INDEX(Calc!$AU$2:$AU$2001,L46))</f>
        <v/>
      </c>
      <c r="L46" s="1">
        <f>IFERROR(_xlfn.AGGREGATE(15,6,(ROW(Calc!$AW$2:$AW$2001)-1)/((Calc!$AW$2:$AW$2001=$S$3+4)*(Calc!$AX$2:$AX$2001&lt;=$B46+0.00001)*(Calc!$AY$2:$AY$2001&gt;$B46+0.00001)*(Calc!$AZ$2:$AZ$2001&lt;&gt;"Cancelled")),1),"")</f>
        <v/>
      </c>
      <c r="M46" s="105">
        <f>IF(N46="","",INDEX(Calc!$AU$2:$AU$2001,N46))</f>
        <v/>
      </c>
      <c r="N46" s="1">
        <f>IFERROR(_xlfn.AGGREGATE(15,6,(ROW(Calc!$AW$2:$AW$2001)-1)/((Calc!$AW$2:$AW$2001=$S$3+5)*(Calc!$AX$2:$AX$2001&lt;=$B46+0.00001)*(Calc!$AY$2:$AY$2001&gt;$B46+0.00001)*(Calc!$AZ$2:$AZ$2001&lt;&gt;"Cancelled")),1),"")</f>
        <v/>
      </c>
      <c r="O46" s="105">
        <f>IF(P46="","",INDEX(Calc!$AU$2:$AU$2001,P46))</f>
        <v/>
      </c>
      <c r="P46" s="1">
        <f>IFERROR(_xlfn.AGGREGATE(15,6,(ROW(Calc!$AW$2:$AW$2001)-1)/((Calc!$AW$2:$AW$2001=$S$3+6)*(Calc!$AX$2:$AX$2001&lt;=$B46+0.00001)*(Calc!$AY$2:$AY$2001&gt;$B46+0.00001)*(Calc!$AZ$2:$AZ$2001&lt;&gt;"Cancelled")),1),"")</f>
        <v/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07">
        <f>Setup!$D$9+23*Setup!$D$8/1440</f>
        <v/>
      </c>
      <c r="C47" s="105">
        <f>IF(D47="","",INDEX(Calc!$AU$2:$AU$2001,D47))</f>
        <v/>
      </c>
      <c r="D47" s="1">
        <f>IFERROR(_xlfn.AGGREGATE(15,6,(ROW(Calc!$AW$2:$AW$2001)-1)/((Calc!$AW$2:$AW$2001=$S$3+0)*(Calc!$AX$2:$AX$2001&lt;=$B47+0.00001)*(Calc!$AY$2:$AY$2001&gt;$B47+0.00001)*(Calc!$AZ$2:$AZ$2001&lt;&gt;"Cancelled")),1),"")</f>
        <v/>
      </c>
      <c r="E47" s="105">
        <f>IF(F47="","",INDEX(Calc!$AU$2:$AU$2001,F47))</f>
        <v/>
      </c>
      <c r="F47" s="1">
        <f>IFERROR(_xlfn.AGGREGATE(15,6,(ROW(Calc!$AW$2:$AW$2001)-1)/((Calc!$AW$2:$AW$2001=$S$3+1)*(Calc!$AX$2:$AX$2001&lt;=$B47+0.00001)*(Calc!$AY$2:$AY$2001&gt;$B47+0.00001)*(Calc!$AZ$2:$AZ$2001&lt;&gt;"Cancelled")),1),"")</f>
        <v/>
      </c>
      <c r="G47" s="105">
        <f>IF(H47="","",INDEX(Calc!$AU$2:$AU$2001,H47))</f>
        <v/>
      </c>
      <c r="H47" s="1">
        <f>IFERROR(_xlfn.AGGREGATE(15,6,(ROW(Calc!$AW$2:$AW$2001)-1)/((Calc!$AW$2:$AW$2001=$S$3+2)*(Calc!$AX$2:$AX$2001&lt;=$B47+0.00001)*(Calc!$AY$2:$AY$2001&gt;$B47+0.00001)*(Calc!$AZ$2:$AZ$2001&lt;&gt;"Cancelled")),1),"")</f>
        <v/>
      </c>
      <c r="I47" s="105">
        <f>IF(J47="","",INDEX(Calc!$AU$2:$AU$2001,J47))</f>
        <v/>
      </c>
      <c r="J47" s="1">
        <f>IFERROR(_xlfn.AGGREGATE(15,6,(ROW(Calc!$AW$2:$AW$2001)-1)/((Calc!$AW$2:$AW$2001=$S$3+3)*(Calc!$AX$2:$AX$2001&lt;=$B47+0.00001)*(Calc!$AY$2:$AY$2001&gt;$B47+0.00001)*(Calc!$AZ$2:$AZ$2001&lt;&gt;"Cancelled")),1),"")</f>
        <v/>
      </c>
      <c r="K47" s="105">
        <f>IF(L47="","",INDEX(Calc!$AU$2:$AU$2001,L47))</f>
        <v/>
      </c>
      <c r="L47" s="1">
        <f>IFERROR(_xlfn.AGGREGATE(15,6,(ROW(Calc!$AW$2:$AW$2001)-1)/((Calc!$AW$2:$AW$2001=$S$3+4)*(Calc!$AX$2:$AX$2001&lt;=$B47+0.00001)*(Calc!$AY$2:$AY$2001&gt;$B47+0.00001)*(Calc!$AZ$2:$AZ$2001&lt;&gt;"Cancelled")),1),"")</f>
        <v/>
      </c>
      <c r="M47" s="105">
        <f>IF(N47="","",INDEX(Calc!$AU$2:$AU$2001,N47))</f>
        <v/>
      </c>
      <c r="N47" s="1">
        <f>IFERROR(_xlfn.AGGREGATE(15,6,(ROW(Calc!$AW$2:$AW$2001)-1)/((Calc!$AW$2:$AW$2001=$S$3+5)*(Calc!$AX$2:$AX$2001&lt;=$B47+0.00001)*(Calc!$AY$2:$AY$2001&gt;$B47+0.00001)*(Calc!$AZ$2:$AZ$2001&lt;&gt;"Cancelled")),1),"")</f>
        <v/>
      </c>
      <c r="O47" s="105">
        <f>IF(P47="","",INDEX(Calc!$AU$2:$AU$2001,P47))</f>
        <v/>
      </c>
      <c r="P47" s="1">
        <f>IFERROR(_xlfn.AGGREGATE(15,6,(ROW(Calc!$AW$2:$AW$2001)-1)/((Calc!$AW$2:$AW$2001=$S$3+6)*(Calc!$AX$2:$AX$2001&lt;=$B47+0.00001)*(Calc!$AY$2:$AY$2001&gt;$B47+0.00001)*(Calc!$AZ$2:$AZ$2001&lt;&gt;"Cancelled")),1),"")</f>
        <v/>
      </c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07">
        <f>Setup!$D$9+24*Setup!$D$8/1440</f>
        <v/>
      </c>
      <c r="C48" s="105">
        <f>IF(D48="","",INDEX(Calc!$AU$2:$AU$2001,D48))</f>
        <v/>
      </c>
      <c r="D48" s="1">
        <f>IFERROR(_xlfn.AGGREGATE(15,6,(ROW(Calc!$AW$2:$AW$2001)-1)/((Calc!$AW$2:$AW$2001=$S$3+0)*(Calc!$AX$2:$AX$2001&lt;=$B48+0.00001)*(Calc!$AY$2:$AY$2001&gt;$B48+0.00001)*(Calc!$AZ$2:$AZ$2001&lt;&gt;"Cancelled")),1),"")</f>
        <v/>
      </c>
      <c r="E48" s="105">
        <f>IF(F48="","",INDEX(Calc!$AU$2:$AU$2001,F48))</f>
        <v/>
      </c>
      <c r="F48" s="1">
        <f>IFERROR(_xlfn.AGGREGATE(15,6,(ROW(Calc!$AW$2:$AW$2001)-1)/((Calc!$AW$2:$AW$2001=$S$3+1)*(Calc!$AX$2:$AX$2001&lt;=$B48+0.00001)*(Calc!$AY$2:$AY$2001&gt;$B48+0.00001)*(Calc!$AZ$2:$AZ$2001&lt;&gt;"Cancelled")),1),"")</f>
        <v/>
      </c>
      <c r="G48" s="105">
        <f>IF(H48="","",INDEX(Calc!$AU$2:$AU$2001,H48))</f>
        <v/>
      </c>
      <c r="H48" s="1">
        <f>IFERROR(_xlfn.AGGREGATE(15,6,(ROW(Calc!$AW$2:$AW$2001)-1)/((Calc!$AW$2:$AW$2001=$S$3+2)*(Calc!$AX$2:$AX$2001&lt;=$B48+0.00001)*(Calc!$AY$2:$AY$2001&gt;$B48+0.00001)*(Calc!$AZ$2:$AZ$2001&lt;&gt;"Cancelled")),1),"")</f>
        <v/>
      </c>
      <c r="I48" s="105">
        <f>IF(J48="","",INDEX(Calc!$AU$2:$AU$2001,J48))</f>
        <v/>
      </c>
      <c r="J48" s="1">
        <f>IFERROR(_xlfn.AGGREGATE(15,6,(ROW(Calc!$AW$2:$AW$2001)-1)/((Calc!$AW$2:$AW$2001=$S$3+3)*(Calc!$AX$2:$AX$2001&lt;=$B48+0.00001)*(Calc!$AY$2:$AY$2001&gt;$B48+0.00001)*(Calc!$AZ$2:$AZ$2001&lt;&gt;"Cancelled")),1),"")</f>
        <v/>
      </c>
      <c r="K48" s="105">
        <f>IF(L48="","",INDEX(Calc!$AU$2:$AU$2001,L48))</f>
        <v/>
      </c>
      <c r="L48" s="1">
        <f>IFERROR(_xlfn.AGGREGATE(15,6,(ROW(Calc!$AW$2:$AW$2001)-1)/((Calc!$AW$2:$AW$2001=$S$3+4)*(Calc!$AX$2:$AX$2001&lt;=$B48+0.00001)*(Calc!$AY$2:$AY$2001&gt;$B48+0.00001)*(Calc!$AZ$2:$AZ$2001&lt;&gt;"Cancelled")),1),"")</f>
        <v/>
      </c>
      <c r="M48" s="105">
        <f>IF(N48="","",INDEX(Calc!$AU$2:$AU$2001,N48))</f>
        <v/>
      </c>
      <c r="N48" s="1">
        <f>IFERROR(_xlfn.AGGREGATE(15,6,(ROW(Calc!$AW$2:$AW$2001)-1)/((Calc!$AW$2:$AW$2001=$S$3+5)*(Calc!$AX$2:$AX$2001&lt;=$B48+0.00001)*(Calc!$AY$2:$AY$2001&gt;$B48+0.00001)*(Calc!$AZ$2:$AZ$2001&lt;&gt;"Cancelled")),1),"")</f>
        <v/>
      </c>
      <c r="O48" s="105">
        <f>IF(P48="","",INDEX(Calc!$AU$2:$AU$2001,P48))</f>
        <v/>
      </c>
      <c r="P48" s="1">
        <f>IFERROR(_xlfn.AGGREGATE(15,6,(ROW(Calc!$AW$2:$AW$2001)-1)/((Calc!$AW$2:$AW$2001=$S$3+6)*(Calc!$AX$2:$AX$2001&lt;=$B48+0.00001)*(Calc!$AY$2:$AY$2001&gt;$B48+0.00001)*(Calc!$AZ$2:$AZ$2001&lt;&gt;"Cancelled")),1),"")</f>
        <v/>
      </c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07">
        <f>Setup!$D$9+25*Setup!$D$8/1440</f>
        <v/>
      </c>
      <c r="C49" s="105">
        <f>IF(D49="","",INDEX(Calc!$AU$2:$AU$2001,D49))</f>
        <v/>
      </c>
      <c r="D49" s="1">
        <f>IFERROR(_xlfn.AGGREGATE(15,6,(ROW(Calc!$AW$2:$AW$2001)-1)/((Calc!$AW$2:$AW$2001=$S$3+0)*(Calc!$AX$2:$AX$2001&lt;=$B49+0.00001)*(Calc!$AY$2:$AY$2001&gt;$B49+0.00001)*(Calc!$AZ$2:$AZ$2001&lt;&gt;"Cancelled")),1),"")</f>
        <v/>
      </c>
      <c r="E49" s="105">
        <f>IF(F49="","",INDEX(Calc!$AU$2:$AU$2001,F49))</f>
        <v/>
      </c>
      <c r="F49" s="1">
        <f>IFERROR(_xlfn.AGGREGATE(15,6,(ROW(Calc!$AW$2:$AW$2001)-1)/((Calc!$AW$2:$AW$2001=$S$3+1)*(Calc!$AX$2:$AX$2001&lt;=$B49+0.00001)*(Calc!$AY$2:$AY$2001&gt;$B49+0.00001)*(Calc!$AZ$2:$AZ$2001&lt;&gt;"Cancelled")),1),"")</f>
        <v/>
      </c>
      <c r="G49" s="105">
        <f>IF(H49="","",INDEX(Calc!$AU$2:$AU$2001,H49))</f>
        <v/>
      </c>
      <c r="H49" s="1">
        <f>IFERROR(_xlfn.AGGREGATE(15,6,(ROW(Calc!$AW$2:$AW$2001)-1)/((Calc!$AW$2:$AW$2001=$S$3+2)*(Calc!$AX$2:$AX$2001&lt;=$B49+0.00001)*(Calc!$AY$2:$AY$2001&gt;$B49+0.00001)*(Calc!$AZ$2:$AZ$2001&lt;&gt;"Cancelled")),1),"")</f>
        <v/>
      </c>
      <c r="I49" s="105">
        <f>IF(J49="","",INDEX(Calc!$AU$2:$AU$2001,J49))</f>
        <v/>
      </c>
      <c r="J49" s="1">
        <f>IFERROR(_xlfn.AGGREGATE(15,6,(ROW(Calc!$AW$2:$AW$2001)-1)/((Calc!$AW$2:$AW$2001=$S$3+3)*(Calc!$AX$2:$AX$2001&lt;=$B49+0.00001)*(Calc!$AY$2:$AY$2001&gt;$B49+0.00001)*(Calc!$AZ$2:$AZ$2001&lt;&gt;"Cancelled")),1),"")</f>
        <v/>
      </c>
      <c r="K49" s="105">
        <f>IF(L49="","",INDEX(Calc!$AU$2:$AU$2001,L49))</f>
        <v/>
      </c>
      <c r="L49" s="1">
        <f>IFERROR(_xlfn.AGGREGATE(15,6,(ROW(Calc!$AW$2:$AW$2001)-1)/((Calc!$AW$2:$AW$2001=$S$3+4)*(Calc!$AX$2:$AX$2001&lt;=$B49+0.00001)*(Calc!$AY$2:$AY$2001&gt;$B49+0.00001)*(Calc!$AZ$2:$AZ$2001&lt;&gt;"Cancelled")),1),"")</f>
        <v/>
      </c>
      <c r="M49" s="105">
        <f>IF(N49="","",INDEX(Calc!$AU$2:$AU$2001,N49))</f>
        <v/>
      </c>
      <c r="N49" s="1">
        <f>IFERROR(_xlfn.AGGREGATE(15,6,(ROW(Calc!$AW$2:$AW$2001)-1)/((Calc!$AW$2:$AW$2001=$S$3+5)*(Calc!$AX$2:$AX$2001&lt;=$B49+0.00001)*(Calc!$AY$2:$AY$2001&gt;$B49+0.00001)*(Calc!$AZ$2:$AZ$2001&lt;&gt;"Cancelled")),1),"")</f>
        <v/>
      </c>
      <c r="O49" s="105">
        <f>IF(P49="","",INDEX(Calc!$AU$2:$AU$2001,P49))</f>
        <v/>
      </c>
      <c r="P49" s="1">
        <f>IFERROR(_xlfn.AGGREGATE(15,6,(ROW(Calc!$AW$2:$AW$2001)-1)/((Calc!$AW$2:$AW$2001=$S$3+6)*(Calc!$AX$2:$AX$2001&lt;=$B49+0.00001)*(Calc!$AY$2:$AY$2001&gt;$B49+0.00001)*(Calc!$AZ$2:$AZ$2001&lt;&gt;"Cancelled")),1),"")</f>
        <v/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07">
        <f>Setup!$D$9+26*Setup!$D$8/1440</f>
        <v/>
      </c>
      <c r="C50" s="105">
        <f>IF(D50="","",INDEX(Calc!$AU$2:$AU$2001,D50))</f>
        <v/>
      </c>
      <c r="D50" s="1">
        <f>IFERROR(_xlfn.AGGREGATE(15,6,(ROW(Calc!$AW$2:$AW$2001)-1)/((Calc!$AW$2:$AW$2001=$S$3+0)*(Calc!$AX$2:$AX$2001&lt;=$B50+0.00001)*(Calc!$AY$2:$AY$2001&gt;$B50+0.00001)*(Calc!$AZ$2:$AZ$2001&lt;&gt;"Cancelled")),1),"")</f>
        <v/>
      </c>
      <c r="E50" s="105">
        <f>IF(F50="","",INDEX(Calc!$AU$2:$AU$2001,F50))</f>
        <v/>
      </c>
      <c r="F50" s="1">
        <f>IFERROR(_xlfn.AGGREGATE(15,6,(ROW(Calc!$AW$2:$AW$2001)-1)/((Calc!$AW$2:$AW$2001=$S$3+1)*(Calc!$AX$2:$AX$2001&lt;=$B50+0.00001)*(Calc!$AY$2:$AY$2001&gt;$B50+0.00001)*(Calc!$AZ$2:$AZ$2001&lt;&gt;"Cancelled")),1),"")</f>
        <v/>
      </c>
      <c r="G50" s="105">
        <f>IF(H50="","",INDEX(Calc!$AU$2:$AU$2001,H50))</f>
        <v/>
      </c>
      <c r="H50" s="1">
        <f>IFERROR(_xlfn.AGGREGATE(15,6,(ROW(Calc!$AW$2:$AW$2001)-1)/((Calc!$AW$2:$AW$2001=$S$3+2)*(Calc!$AX$2:$AX$2001&lt;=$B50+0.00001)*(Calc!$AY$2:$AY$2001&gt;$B50+0.00001)*(Calc!$AZ$2:$AZ$2001&lt;&gt;"Cancelled")),1),"")</f>
        <v/>
      </c>
      <c r="I50" s="105">
        <f>IF(J50="","",INDEX(Calc!$AU$2:$AU$2001,J50))</f>
        <v/>
      </c>
      <c r="J50" s="1">
        <f>IFERROR(_xlfn.AGGREGATE(15,6,(ROW(Calc!$AW$2:$AW$2001)-1)/((Calc!$AW$2:$AW$2001=$S$3+3)*(Calc!$AX$2:$AX$2001&lt;=$B50+0.00001)*(Calc!$AY$2:$AY$2001&gt;$B50+0.00001)*(Calc!$AZ$2:$AZ$2001&lt;&gt;"Cancelled")),1),"")</f>
        <v/>
      </c>
      <c r="K50" s="105">
        <f>IF(L50="","",INDEX(Calc!$AU$2:$AU$2001,L50))</f>
        <v/>
      </c>
      <c r="L50" s="1">
        <f>IFERROR(_xlfn.AGGREGATE(15,6,(ROW(Calc!$AW$2:$AW$2001)-1)/((Calc!$AW$2:$AW$2001=$S$3+4)*(Calc!$AX$2:$AX$2001&lt;=$B50+0.00001)*(Calc!$AY$2:$AY$2001&gt;$B50+0.00001)*(Calc!$AZ$2:$AZ$2001&lt;&gt;"Cancelled")),1),"")</f>
        <v/>
      </c>
      <c r="M50" s="105">
        <f>IF(N50="","",INDEX(Calc!$AU$2:$AU$2001,N50))</f>
        <v/>
      </c>
      <c r="N50" s="1">
        <f>IFERROR(_xlfn.AGGREGATE(15,6,(ROW(Calc!$AW$2:$AW$2001)-1)/((Calc!$AW$2:$AW$2001=$S$3+5)*(Calc!$AX$2:$AX$2001&lt;=$B50+0.00001)*(Calc!$AY$2:$AY$2001&gt;$B50+0.00001)*(Calc!$AZ$2:$AZ$2001&lt;&gt;"Cancelled")),1),"")</f>
        <v/>
      </c>
      <c r="O50" s="105">
        <f>IF(P50="","",INDEX(Calc!$AU$2:$AU$2001,P50))</f>
        <v/>
      </c>
      <c r="P50" s="1">
        <f>IFERROR(_xlfn.AGGREGATE(15,6,(ROW(Calc!$AW$2:$AW$2001)-1)/((Calc!$AW$2:$AW$2001=$S$3+6)*(Calc!$AX$2:$AX$2001&lt;=$B50+0.00001)*(Calc!$AY$2:$AY$2001&gt;$B50+0.00001)*(Calc!$AZ$2:$AZ$2001&lt;&gt;"Cancelled")),1),"")</f>
        <v/>
      </c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07">
        <f>Setup!$D$9+27*Setup!$D$8/1440</f>
        <v/>
      </c>
      <c r="C51" s="105">
        <f>IF(D51="","",INDEX(Calc!$AU$2:$AU$2001,D51))</f>
        <v/>
      </c>
      <c r="D51" s="1">
        <f>IFERROR(_xlfn.AGGREGATE(15,6,(ROW(Calc!$AW$2:$AW$2001)-1)/((Calc!$AW$2:$AW$2001=$S$3+0)*(Calc!$AX$2:$AX$2001&lt;=$B51+0.00001)*(Calc!$AY$2:$AY$2001&gt;$B51+0.00001)*(Calc!$AZ$2:$AZ$2001&lt;&gt;"Cancelled")),1),"")</f>
        <v/>
      </c>
      <c r="E51" s="105">
        <f>IF(F51="","",INDEX(Calc!$AU$2:$AU$2001,F51))</f>
        <v/>
      </c>
      <c r="F51" s="1">
        <f>IFERROR(_xlfn.AGGREGATE(15,6,(ROW(Calc!$AW$2:$AW$2001)-1)/((Calc!$AW$2:$AW$2001=$S$3+1)*(Calc!$AX$2:$AX$2001&lt;=$B51+0.00001)*(Calc!$AY$2:$AY$2001&gt;$B51+0.00001)*(Calc!$AZ$2:$AZ$2001&lt;&gt;"Cancelled")),1),"")</f>
        <v/>
      </c>
      <c r="G51" s="105">
        <f>IF(H51="","",INDEX(Calc!$AU$2:$AU$2001,H51))</f>
        <v/>
      </c>
      <c r="H51" s="1">
        <f>IFERROR(_xlfn.AGGREGATE(15,6,(ROW(Calc!$AW$2:$AW$2001)-1)/((Calc!$AW$2:$AW$2001=$S$3+2)*(Calc!$AX$2:$AX$2001&lt;=$B51+0.00001)*(Calc!$AY$2:$AY$2001&gt;$B51+0.00001)*(Calc!$AZ$2:$AZ$2001&lt;&gt;"Cancelled")),1),"")</f>
        <v/>
      </c>
      <c r="I51" s="105">
        <f>IF(J51="","",INDEX(Calc!$AU$2:$AU$2001,J51))</f>
        <v/>
      </c>
      <c r="J51" s="1">
        <f>IFERROR(_xlfn.AGGREGATE(15,6,(ROW(Calc!$AW$2:$AW$2001)-1)/((Calc!$AW$2:$AW$2001=$S$3+3)*(Calc!$AX$2:$AX$2001&lt;=$B51+0.00001)*(Calc!$AY$2:$AY$2001&gt;$B51+0.00001)*(Calc!$AZ$2:$AZ$2001&lt;&gt;"Cancelled")),1),"")</f>
        <v/>
      </c>
      <c r="K51" s="105">
        <f>IF(L51="","",INDEX(Calc!$AU$2:$AU$2001,L51))</f>
        <v/>
      </c>
      <c r="L51" s="1">
        <f>IFERROR(_xlfn.AGGREGATE(15,6,(ROW(Calc!$AW$2:$AW$2001)-1)/((Calc!$AW$2:$AW$2001=$S$3+4)*(Calc!$AX$2:$AX$2001&lt;=$B51+0.00001)*(Calc!$AY$2:$AY$2001&gt;$B51+0.00001)*(Calc!$AZ$2:$AZ$2001&lt;&gt;"Cancelled")),1),"")</f>
        <v/>
      </c>
      <c r="M51" s="105">
        <f>IF(N51="","",INDEX(Calc!$AU$2:$AU$2001,N51))</f>
        <v/>
      </c>
      <c r="N51" s="1">
        <f>IFERROR(_xlfn.AGGREGATE(15,6,(ROW(Calc!$AW$2:$AW$2001)-1)/((Calc!$AW$2:$AW$2001=$S$3+5)*(Calc!$AX$2:$AX$2001&lt;=$B51+0.00001)*(Calc!$AY$2:$AY$2001&gt;$B51+0.00001)*(Calc!$AZ$2:$AZ$2001&lt;&gt;"Cancelled")),1),"")</f>
        <v/>
      </c>
      <c r="O51" s="105">
        <f>IF(P51="","",INDEX(Calc!$AU$2:$AU$2001,P51))</f>
        <v/>
      </c>
      <c r="P51" s="1">
        <f>IFERROR(_xlfn.AGGREGATE(15,6,(ROW(Calc!$AW$2:$AW$2001)-1)/((Calc!$AW$2:$AW$2001=$S$3+6)*(Calc!$AX$2:$AX$2001&lt;=$B51+0.00001)*(Calc!$AY$2:$AY$2001&gt;$B51+0.00001)*(Calc!$AZ$2:$AZ$2001&lt;&gt;"Cancelled")),1),"")</f>
        <v/>
      </c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07">
        <f>Setup!$D$9+28*Setup!$D$8/1440</f>
        <v/>
      </c>
      <c r="C52" s="105">
        <f>IF(D52="","",INDEX(Calc!$AU$2:$AU$2001,D52))</f>
        <v/>
      </c>
      <c r="D52" s="1">
        <f>IFERROR(_xlfn.AGGREGATE(15,6,(ROW(Calc!$AW$2:$AW$2001)-1)/((Calc!$AW$2:$AW$2001=$S$3+0)*(Calc!$AX$2:$AX$2001&lt;=$B52+0.00001)*(Calc!$AY$2:$AY$2001&gt;$B52+0.00001)*(Calc!$AZ$2:$AZ$2001&lt;&gt;"Cancelled")),1),"")</f>
        <v/>
      </c>
      <c r="E52" s="105">
        <f>IF(F52="","",INDEX(Calc!$AU$2:$AU$2001,F52))</f>
        <v/>
      </c>
      <c r="F52" s="1">
        <f>IFERROR(_xlfn.AGGREGATE(15,6,(ROW(Calc!$AW$2:$AW$2001)-1)/((Calc!$AW$2:$AW$2001=$S$3+1)*(Calc!$AX$2:$AX$2001&lt;=$B52+0.00001)*(Calc!$AY$2:$AY$2001&gt;$B52+0.00001)*(Calc!$AZ$2:$AZ$2001&lt;&gt;"Cancelled")),1),"")</f>
        <v/>
      </c>
      <c r="G52" s="105">
        <f>IF(H52="","",INDEX(Calc!$AU$2:$AU$2001,H52))</f>
        <v/>
      </c>
      <c r="H52" s="1">
        <f>IFERROR(_xlfn.AGGREGATE(15,6,(ROW(Calc!$AW$2:$AW$2001)-1)/((Calc!$AW$2:$AW$2001=$S$3+2)*(Calc!$AX$2:$AX$2001&lt;=$B52+0.00001)*(Calc!$AY$2:$AY$2001&gt;$B52+0.00001)*(Calc!$AZ$2:$AZ$2001&lt;&gt;"Cancelled")),1),"")</f>
        <v/>
      </c>
      <c r="I52" s="105">
        <f>IF(J52="","",INDEX(Calc!$AU$2:$AU$2001,J52))</f>
        <v/>
      </c>
      <c r="J52" s="1">
        <f>IFERROR(_xlfn.AGGREGATE(15,6,(ROW(Calc!$AW$2:$AW$2001)-1)/((Calc!$AW$2:$AW$2001=$S$3+3)*(Calc!$AX$2:$AX$2001&lt;=$B52+0.00001)*(Calc!$AY$2:$AY$2001&gt;$B52+0.00001)*(Calc!$AZ$2:$AZ$2001&lt;&gt;"Cancelled")),1),"")</f>
        <v/>
      </c>
      <c r="K52" s="105">
        <f>IF(L52="","",INDEX(Calc!$AU$2:$AU$2001,L52))</f>
        <v/>
      </c>
      <c r="L52" s="1">
        <f>IFERROR(_xlfn.AGGREGATE(15,6,(ROW(Calc!$AW$2:$AW$2001)-1)/((Calc!$AW$2:$AW$2001=$S$3+4)*(Calc!$AX$2:$AX$2001&lt;=$B52+0.00001)*(Calc!$AY$2:$AY$2001&gt;$B52+0.00001)*(Calc!$AZ$2:$AZ$2001&lt;&gt;"Cancelled")),1),"")</f>
        <v/>
      </c>
      <c r="M52" s="105">
        <f>IF(N52="","",INDEX(Calc!$AU$2:$AU$2001,N52))</f>
        <v/>
      </c>
      <c r="N52" s="1">
        <f>IFERROR(_xlfn.AGGREGATE(15,6,(ROW(Calc!$AW$2:$AW$2001)-1)/((Calc!$AW$2:$AW$2001=$S$3+5)*(Calc!$AX$2:$AX$2001&lt;=$B52+0.00001)*(Calc!$AY$2:$AY$2001&gt;$B52+0.00001)*(Calc!$AZ$2:$AZ$2001&lt;&gt;"Cancelled")),1),"")</f>
        <v/>
      </c>
      <c r="O52" s="105">
        <f>IF(P52="","",INDEX(Calc!$AU$2:$AU$2001,P52))</f>
        <v/>
      </c>
      <c r="P52" s="1">
        <f>IFERROR(_xlfn.AGGREGATE(15,6,(ROW(Calc!$AW$2:$AW$2001)-1)/((Calc!$AW$2:$AW$2001=$S$3+6)*(Calc!$AX$2:$AX$2001&lt;=$B52+0.00001)*(Calc!$AY$2:$AY$2001&gt;$B52+0.00001)*(Calc!$AZ$2:$AZ$2001&lt;&gt;"Cancelled")),1),"")</f>
        <v/>
      </c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07">
        <f>Setup!$D$9+29*Setup!$D$8/1440</f>
        <v/>
      </c>
      <c r="C53" s="105">
        <f>IF(D53="","",INDEX(Calc!$AU$2:$AU$2001,D53))</f>
        <v/>
      </c>
      <c r="D53" s="1">
        <f>IFERROR(_xlfn.AGGREGATE(15,6,(ROW(Calc!$AW$2:$AW$2001)-1)/((Calc!$AW$2:$AW$2001=$S$3+0)*(Calc!$AX$2:$AX$2001&lt;=$B53+0.00001)*(Calc!$AY$2:$AY$2001&gt;$B53+0.00001)*(Calc!$AZ$2:$AZ$2001&lt;&gt;"Cancelled")),1),"")</f>
        <v/>
      </c>
      <c r="E53" s="105">
        <f>IF(F53="","",INDEX(Calc!$AU$2:$AU$2001,F53))</f>
        <v/>
      </c>
      <c r="F53" s="1">
        <f>IFERROR(_xlfn.AGGREGATE(15,6,(ROW(Calc!$AW$2:$AW$2001)-1)/((Calc!$AW$2:$AW$2001=$S$3+1)*(Calc!$AX$2:$AX$2001&lt;=$B53+0.00001)*(Calc!$AY$2:$AY$2001&gt;$B53+0.00001)*(Calc!$AZ$2:$AZ$2001&lt;&gt;"Cancelled")),1),"")</f>
        <v/>
      </c>
      <c r="G53" s="105">
        <f>IF(H53="","",INDEX(Calc!$AU$2:$AU$2001,H53))</f>
        <v/>
      </c>
      <c r="H53" s="1">
        <f>IFERROR(_xlfn.AGGREGATE(15,6,(ROW(Calc!$AW$2:$AW$2001)-1)/((Calc!$AW$2:$AW$2001=$S$3+2)*(Calc!$AX$2:$AX$2001&lt;=$B53+0.00001)*(Calc!$AY$2:$AY$2001&gt;$B53+0.00001)*(Calc!$AZ$2:$AZ$2001&lt;&gt;"Cancelled")),1),"")</f>
        <v/>
      </c>
      <c r="I53" s="105">
        <f>IF(J53="","",INDEX(Calc!$AU$2:$AU$2001,J53))</f>
        <v/>
      </c>
      <c r="J53" s="1">
        <f>IFERROR(_xlfn.AGGREGATE(15,6,(ROW(Calc!$AW$2:$AW$2001)-1)/((Calc!$AW$2:$AW$2001=$S$3+3)*(Calc!$AX$2:$AX$2001&lt;=$B53+0.00001)*(Calc!$AY$2:$AY$2001&gt;$B53+0.00001)*(Calc!$AZ$2:$AZ$2001&lt;&gt;"Cancelled")),1),"")</f>
        <v/>
      </c>
      <c r="K53" s="105">
        <f>IF(L53="","",INDEX(Calc!$AU$2:$AU$2001,L53))</f>
        <v/>
      </c>
      <c r="L53" s="1">
        <f>IFERROR(_xlfn.AGGREGATE(15,6,(ROW(Calc!$AW$2:$AW$2001)-1)/((Calc!$AW$2:$AW$2001=$S$3+4)*(Calc!$AX$2:$AX$2001&lt;=$B53+0.00001)*(Calc!$AY$2:$AY$2001&gt;$B53+0.00001)*(Calc!$AZ$2:$AZ$2001&lt;&gt;"Cancelled")),1),"")</f>
        <v/>
      </c>
      <c r="M53" s="105">
        <f>IF(N53="","",INDEX(Calc!$AU$2:$AU$2001,N53))</f>
        <v/>
      </c>
      <c r="N53" s="1">
        <f>IFERROR(_xlfn.AGGREGATE(15,6,(ROW(Calc!$AW$2:$AW$2001)-1)/((Calc!$AW$2:$AW$2001=$S$3+5)*(Calc!$AX$2:$AX$2001&lt;=$B53+0.00001)*(Calc!$AY$2:$AY$2001&gt;$B53+0.00001)*(Calc!$AZ$2:$AZ$2001&lt;&gt;"Cancelled")),1),"")</f>
        <v/>
      </c>
      <c r="O53" s="105">
        <f>IF(P53="","",INDEX(Calc!$AU$2:$AU$2001,P53))</f>
        <v/>
      </c>
      <c r="P53" s="1">
        <f>IFERROR(_xlfn.AGGREGATE(15,6,(ROW(Calc!$AW$2:$AW$2001)-1)/((Calc!$AW$2:$AW$2001=$S$3+6)*(Calc!$AX$2:$AX$2001&lt;=$B53+0.00001)*(Calc!$AY$2:$AY$2001&gt;$B53+0.00001)*(Calc!$AZ$2:$AZ$2001&lt;&gt;"Cancelled")),1),"")</f>
        <v/>
      </c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</sheetData>
  <mergeCells count="31">
    <mergeCell ref="B2:G2"/>
    <mergeCell ref="O7:P7"/>
    <mergeCell ref="C6:D6"/>
    <mergeCell ref="I6:J6"/>
    <mergeCell ref="O6:P6"/>
    <mergeCell ref="E23:F23"/>
    <mergeCell ref="G23:H23"/>
    <mergeCell ref="G8:H8"/>
    <mergeCell ref="E8:F8"/>
    <mergeCell ref="G7:H7"/>
    <mergeCell ref="I7:J7"/>
    <mergeCell ref="G6:H6"/>
    <mergeCell ref="M7:N7"/>
    <mergeCell ref="E6:F6"/>
    <mergeCell ref="M6:N6"/>
    <mergeCell ref="K8:L8"/>
    <mergeCell ref="I23:J23"/>
    <mergeCell ref="I8:J8"/>
    <mergeCell ref="K23:L23"/>
    <mergeCell ref="C23:D23"/>
    <mergeCell ref="M8:N8"/>
    <mergeCell ref="C8:D8"/>
    <mergeCell ref="O8:P8"/>
    <mergeCell ref="K7:L7"/>
    <mergeCell ref="C7:D7"/>
    <mergeCell ref="E7:F7"/>
    <mergeCell ref="M23:N23"/>
    <mergeCell ref="B22:P22"/>
    <mergeCell ref="O23:P23"/>
    <mergeCell ref="K6:L6"/>
    <mergeCell ref="C3:D3"/>
  </mergeCells>
  <conditionalFormatting sqref="C8">
    <cfRule type="dataBar" priority="1">
      <dataBar showValue="1">
        <cfvo type="num" val="0"/>
        <cfvo type="num" val="1"/>
        <color rgb="00FF4F8B"/>
      </dataBar>
    </cfRule>
  </conditionalFormatting>
  <conditionalFormatting sqref="C9:C20">
    <cfRule type="expression" priority="2" dxfId="10" stopIfTrue="0">
      <formula>AND(ISNUMBER(D9),INDEX(TaskDone,D9)=1)</formula>
    </cfRule>
    <cfRule type="expression" priority="3" dxfId="11" stopIfTrue="0">
      <formula>AND(ISNUMBER(D9),INDEX(TaskCat,D9)=INDEX(Setup!$F$6:$F$15,1))</formula>
    </cfRule>
    <cfRule type="expression" priority="4" dxfId="12" stopIfTrue="0">
      <formula>AND(ISNUMBER(D9),INDEX(TaskCat,D9)=INDEX(Setup!$F$6:$F$15,2))</formula>
    </cfRule>
    <cfRule type="expression" priority="5" dxfId="13" stopIfTrue="0">
      <formula>AND(ISNUMBER(D9),INDEX(TaskCat,D9)=INDEX(Setup!$F$6:$F$15,3))</formula>
    </cfRule>
    <cfRule type="expression" priority="6" dxfId="14" stopIfTrue="0">
      <formula>AND(ISNUMBER(D9),INDEX(TaskCat,D9)=INDEX(Setup!$F$6:$F$15,4))</formula>
    </cfRule>
    <cfRule type="expression" priority="7" dxfId="15" stopIfTrue="0">
      <formula>AND(ISNUMBER(D9),INDEX(TaskCat,D9)=INDEX(Setup!$F$6:$F$15,5))</formula>
    </cfRule>
    <cfRule type="expression" priority="8" dxfId="16" stopIfTrue="0">
      <formula>AND(ISNUMBER(D9),INDEX(TaskCat,D9)=INDEX(Setup!$F$6:$F$15,6))</formula>
    </cfRule>
  </conditionalFormatting>
  <conditionalFormatting sqref="E8">
    <cfRule type="dataBar" priority="9">
      <dataBar showValue="1">
        <cfvo type="num" val="0"/>
        <cfvo type="num" val="1"/>
        <color rgb="00FFB224"/>
      </dataBar>
    </cfRule>
  </conditionalFormatting>
  <conditionalFormatting sqref="E9:E20">
    <cfRule type="expression" priority="10" dxfId="10" stopIfTrue="0">
      <formula>AND(ISNUMBER(F9),INDEX(TaskDone,F9)=1)</formula>
    </cfRule>
    <cfRule type="expression" priority="11" dxfId="11" stopIfTrue="0">
      <formula>AND(ISNUMBER(F9),INDEX(TaskCat,F9)=INDEX(Setup!$F$6:$F$15,1))</formula>
    </cfRule>
    <cfRule type="expression" priority="12" dxfId="12" stopIfTrue="0">
      <formula>AND(ISNUMBER(F9),INDEX(TaskCat,F9)=INDEX(Setup!$F$6:$F$15,2))</formula>
    </cfRule>
    <cfRule type="expression" priority="13" dxfId="13" stopIfTrue="0">
      <formula>AND(ISNUMBER(F9),INDEX(TaskCat,F9)=INDEX(Setup!$F$6:$F$15,3))</formula>
    </cfRule>
    <cfRule type="expression" priority="14" dxfId="14" stopIfTrue="0">
      <formula>AND(ISNUMBER(F9),INDEX(TaskCat,F9)=INDEX(Setup!$F$6:$F$15,4))</formula>
    </cfRule>
    <cfRule type="expression" priority="15" dxfId="15" stopIfTrue="0">
      <formula>AND(ISNUMBER(F9),INDEX(TaskCat,F9)=INDEX(Setup!$F$6:$F$15,5))</formula>
    </cfRule>
    <cfRule type="expression" priority="16" dxfId="16" stopIfTrue="0">
      <formula>AND(ISNUMBER(F9),INDEX(TaskCat,F9)=INDEX(Setup!$F$6:$F$15,6))</formula>
    </cfRule>
  </conditionalFormatting>
  <conditionalFormatting sqref="G8">
    <cfRule type="dataBar" priority="17">
      <dataBar showValue="1">
        <cfvo type="num" val="0"/>
        <cfvo type="num" val="1"/>
        <color rgb="0035D6BE"/>
      </dataBar>
    </cfRule>
  </conditionalFormatting>
  <conditionalFormatting sqref="G9:G20">
    <cfRule type="expression" priority="18" dxfId="10" stopIfTrue="0">
      <formula>AND(ISNUMBER(H9),INDEX(TaskDone,H9)=1)</formula>
    </cfRule>
    <cfRule type="expression" priority="19" dxfId="11" stopIfTrue="0">
      <formula>AND(ISNUMBER(H9),INDEX(TaskCat,H9)=INDEX(Setup!$F$6:$F$15,1))</formula>
    </cfRule>
    <cfRule type="expression" priority="20" dxfId="12" stopIfTrue="0">
      <formula>AND(ISNUMBER(H9),INDEX(TaskCat,H9)=INDEX(Setup!$F$6:$F$15,2))</formula>
    </cfRule>
    <cfRule type="expression" priority="21" dxfId="13" stopIfTrue="0">
      <formula>AND(ISNUMBER(H9),INDEX(TaskCat,H9)=INDEX(Setup!$F$6:$F$15,3))</formula>
    </cfRule>
    <cfRule type="expression" priority="22" dxfId="14" stopIfTrue="0">
      <formula>AND(ISNUMBER(H9),INDEX(TaskCat,H9)=INDEX(Setup!$F$6:$F$15,4))</formula>
    </cfRule>
    <cfRule type="expression" priority="23" dxfId="15" stopIfTrue="0">
      <formula>AND(ISNUMBER(H9),INDEX(TaskCat,H9)=INDEX(Setup!$F$6:$F$15,5))</formula>
    </cfRule>
    <cfRule type="expression" priority="24" dxfId="16" stopIfTrue="0">
      <formula>AND(ISNUMBER(H9),INDEX(TaskCat,H9)=INDEX(Setup!$F$6:$F$15,6))</formula>
    </cfRule>
  </conditionalFormatting>
  <conditionalFormatting sqref="I8">
    <cfRule type="dataBar" priority="25">
      <dataBar showValue="1">
        <cfvo type="num" val="0"/>
        <cfvo type="num" val="1"/>
        <color rgb="005AB4FF"/>
      </dataBar>
    </cfRule>
  </conditionalFormatting>
  <conditionalFormatting sqref="I9:I20">
    <cfRule type="expression" priority="26" dxfId="10" stopIfTrue="0">
      <formula>AND(ISNUMBER(J9),INDEX(TaskDone,J9)=1)</formula>
    </cfRule>
    <cfRule type="expression" priority="27" dxfId="11" stopIfTrue="0">
      <formula>AND(ISNUMBER(J9),INDEX(TaskCat,J9)=INDEX(Setup!$F$6:$F$15,1))</formula>
    </cfRule>
    <cfRule type="expression" priority="28" dxfId="12" stopIfTrue="0">
      <formula>AND(ISNUMBER(J9),INDEX(TaskCat,J9)=INDEX(Setup!$F$6:$F$15,2))</formula>
    </cfRule>
    <cfRule type="expression" priority="29" dxfId="13" stopIfTrue="0">
      <formula>AND(ISNUMBER(J9),INDEX(TaskCat,J9)=INDEX(Setup!$F$6:$F$15,3))</formula>
    </cfRule>
    <cfRule type="expression" priority="30" dxfId="14" stopIfTrue="0">
      <formula>AND(ISNUMBER(J9),INDEX(TaskCat,J9)=INDEX(Setup!$F$6:$F$15,4))</formula>
    </cfRule>
    <cfRule type="expression" priority="31" dxfId="15" stopIfTrue="0">
      <formula>AND(ISNUMBER(J9),INDEX(TaskCat,J9)=INDEX(Setup!$F$6:$F$15,5))</formula>
    </cfRule>
    <cfRule type="expression" priority="32" dxfId="16" stopIfTrue="0">
      <formula>AND(ISNUMBER(J9),INDEX(TaskCat,J9)=INDEX(Setup!$F$6:$F$15,6))</formula>
    </cfRule>
  </conditionalFormatting>
  <conditionalFormatting sqref="K8">
    <cfRule type="dataBar" priority="33">
      <dataBar showValue="1">
        <cfvo type="num" val="0"/>
        <cfvo type="num" val="1"/>
        <color rgb="009D8CF7"/>
      </dataBar>
    </cfRule>
  </conditionalFormatting>
  <conditionalFormatting sqref="K9:K20">
    <cfRule type="expression" priority="34" dxfId="10" stopIfTrue="0">
      <formula>AND(ISNUMBER(L9),INDEX(TaskDone,L9)=1)</formula>
    </cfRule>
    <cfRule type="expression" priority="35" dxfId="11" stopIfTrue="0">
      <formula>AND(ISNUMBER(L9),INDEX(TaskCat,L9)=INDEX(Setup!$F$6:$F$15,1))</formula>
    </cfRule>
    <cfRule type="expression" priority="36" dxfId="12" stopIfTrue="0">
      <formula>AND(ISNUMBER(L9),INDEX(TaskCat,L9)=INDEX(Setup!$F$6:$F$15,2))</formula>
    </cfRule>
    <cfRule type="expression" priority="37" dxfId="13" stopIfTrue="0">
      <formula>AND(ISNUMBER(L9),INDEX(TaskCat,L9)=INDEX(Setup!$F$6:$F$15,3))</formula>
    </cfRule>
    <cfRule type="expression" priority="38" dxfId="14" stopIfTrue="0">
      <formula>AND(ISNUMBER(L9),INDEX(TaskCat,L9)=INDEX(Setup!$F$6:$F$15,4))</formula>
    </cfRule>
    <cfRule type="expression" priority="39" dxfId="15" stopIfTrue="0">
      <formula>AND(ISNUMBER(L9),INDEX(TaskCat,L9)=INDEX(Setup!$F$6:$F$15,5))</formula>
    </cfRule>
    <cfRule type="expression" priority="40" dxfId="16" stopIfTrue="0">
      <formula>AND(ISNUMBER(L9),INDEX(TaskCat,L9)=INDEX(Setup!$F$6:$F$15,6))</formula>
    </cfRule>
  </conditionalFormatting>
  <conditionalFormatting sqref="M8">
    <cfRule type="dataBar" priority="41">
      <dataBar showValue="1">
        <cfvo type="num" val="0"/>
        <cfvo type="num" val="1"/>
        <color rgb="00FF7AB8"/>
      </dataBar>
    </cfRule>
  </conditionalFormatting>
  <conditionalFormatting sqref="M9:M20">
    <cfRule type="expression" priority="42" dxfId="10" stopIfTrue="0">
      <formula>AND(ISNUMBER(N9),INDEX(TaskDone,N9)=1)</formula>
    </cfRule>
    <cfRule type="expression" priority="43" dxfId="11" stopIfTrue="0">
      <formula>AND(ISNUMBER(N9),INDEX(TaskCat,N9)=INDEX(Setup!$F$6:$F$15,1))</formula>
    </cfRule>
    <cfRule type="expression" priority="44" dxfId="12" stopIfTrue="0">
      <formula>AND(ISNUMBER(N9),INDEX(TaskCat,N9)=INDEX(Setup!$F$6:$F$15,2))</formula>
    </cfRule>
    <cfRule type="expression" priority="45" dxfId="13" stopIfTrue="0">
      <formula>AND(ISNUMBER(N9),INDEX(TaskCat,N9)=INDEX(Setup!$F$6:$F$15,3))</formula>
    </cfRule>
    <cfRule type="expression" priority="46" dxfId="14" stopIfTrue="0">
      <formula>AND(ISNUMBER(N9),INDEX(TaskCat,N9)=INDEX(Setup!$F$6:$F$15,4))</formula>
    </cfRule>
    <cfRule type="expression" priority="47" dxfId="15" stopIfTrue="0">
      <formula>AND(ISNUMBER(N9),INDEX(TaskCat,N9)=INDEX(Setup!$F$6:$F$15,5))</formula>
    </cfRule>
    <cfRule type="expression" priority="48" dxfId="16" stopIfTrue="0">
      <formula>AND(ISNUMBER(N9),INDEX(TaskCat,N9)=INDEX(Setup!$F$6:$F$15,6))</formula>
    </cfRule>
  </conditionalFormatting>
  <conditionalFormatting sqref="O8">
    <cfRule type="dataBar" priority="49">
      <dataBar showValue="1">
        <cfvo type="num" val="0"/>
        <cfvo type="num" val="1"/>
        <color rgb="007BE08A"/>
      </dataBar>
    </cfRule>
  </conditionalFormatting>
  <conditionalFormatting sqref="O9:O20">
    <cfRule type="expression" priority="50" dxfId="10" stopIfTrue="0">
      <formula>AND(ISNUMBER(P9),INDEX(TaskDone,P9)=1)</formula>
    </cfRule>
    <cfRule type="expression" priority="51" dxfId="11" stopIfTrue="0">
      <formula>AND(ISNUMBER(P9),INDEX(TaskCat,P9)=INDEX(Setup!$F$6:$F$15,1))</formula>
    </cfRule>
    <cfRule type="expression" priority="52" dxfId="12" stopIfTrue="0">
      <formula>AND(ISNUMBER(P9),INDEX(TaskCat,P9)=INDEX(Setup!$F$6:$F$15,2))</formula>
    </cfRule>
    <cfRule type="expression" priority="53" dxfId="13" stopIfTrue="0">
      <formula>AND(ISNUMBER(P9),INDEX(TaskCat,P9)=INDEX(Setup!$F$6:$F$15,3))</formula>
    </cfRule>
    <cfRule type="expression" priority="54" dxfId="14" stopIfTrue="0">
      <formula>AND(ISNUMBER(P9),INDEX(TaskCat,P9)=INDEX(Setup!$F$6:$F$15,4))</formula>
    </cfRule>
    <cfRule type="expression" priority="55" dxfId="15" stopIfTrue="0">
      <formula>AND(ISNUMBER(P9),INDEX(TaskCat,P9)=INDEX(Setup!$F$6:$F$15,5))</formula>
    </cfRule>
    <cfRule type="expression" priority="56" dxfId="16" stopIfTrue="0">
      <formula>AND(ISNUMBER(P9),INDEX(TaskCat,P9)=INDEX(Setup!$F$6:$F$15,6))</formula>
    </cfRule>
  </conditionalFormatting>
  <conditionalFormatting sqref="C24:C53">
    <cfRule type="expression" priority="57" dxfId="0" stopIfTrue="0">
      <formula>AND(ISNUMBER(D24),INDEX(TaskCat,D24)=INDEX(Setup!$F$6:$F$15,1))</formula>
    </cfRule>
    <cfRule type="expression" priority="58" dxfId="1" stopIfTrue="0">
      <formula>AND(ISNUMBER(D24),INDEX(TaskCat,D24)=INDEX(Setup!$F$6:$F$15,2))</formula>
    </cfRule>
    <cfRule type="expression" priority="59" dxfId="2" stopIfTrue="0">
      <formula>AND(ISNUMBER(D24),INDEX(TaskCat,D24)=INDEX(Setup!$F$6:$F$15,3))</formula>
    </cfRule>
    <cfRule type="expression" priority="60" dxfId="3" stopIfTrue="0">
      <formula>AND(ISNUMBER(D24),INDEX(TaskCat,D24)=INDEX(Setup!$F$6:$F$15,4))</formula>
    </cfRule>
    <cfRule type="expression" priority="61" dxfId="4" stopIfTrue="0">
      <formula>AND(ISNUMBER(D24),INDEX(TaskCat,D24)=INDEX(Setup!$F$6:$F$15,5))</formula>
    </cfRule>
    <cfRule type="expression" priority="62" dxfId="5" stopIfTrue="0">
      <formula>AND(ISNUMBER(D24),INDEX(TaskCat,D24)=INDEX(Setup!$F$6:$F$15,6))</formula>
    </cfRule>
  </conditionalFormatting>
  <conditionalFormatting sqref="E24:E53">
    <cfRule type="expression" priority="63" dxfId="0" stopIfTrue="0">
      <formula>AND(ISNUMBER(F24),INDEX(TaskCat,F24)=INDEX(Setup!$F$6:$F$15,1))</formula>
    </cfRule>
    <cfRule type="expression" priority="64" dxfId="1" stopIfTrue="0">
      <formula>AND(ISNUMBER(F24),INDEX(TaskCat,F24)=INDEX(Setup!$F$6:$F$15,2))</formula>
    </cfRule>
    <cfRule type="expression" priority="65" dxfId="2" stopIfTrue="0">
      <formula>AND(ISNUMBER(F24),INDEX(TaskCat,F24)=INDEX(Setup!$F$6:$F$15,3))</formula>
    </cfRule>
    <cfRule type="expression" priority="66" dxfId="3" stopIfTrue="0">
      <formula>AND(ISNUMBER(F24),INDEX(TaskCat,F24)=INDEX(Setup!$F$6:$F$15,4))</formula>
    </cfRule>
    <cfRule type="expression" priority="67" dxfId="4" stopIfTrue="0">
      <formula>AND(ISNUMBER(F24),INDEX(TaskCat,F24)=INDEX(Setup!$F$6:$F$15,5))</formula>
    </cfRule>
    <cfRule type="expression" priority="68" dxfId="5" stopIfTrue="0">
      <formula>AND(ISNUMBER(F24),INDEX(TaskCat,F24)=INDEX(Setup!$F$6:$F$15,6))</formula>
    </cfRule>
  </conditionalFormatting>
  <conditionalFormatting sqref="G24:G53">
    <cfRule type="expression" priority="69" dxfId="0" stopIfTrue="0">
      <formula>AND(ISNUMBER(H24),INDEX(TaskCat,H24)=INDEX(Setup!$F$6:$F$15,1))</formula>
    </cfRule>
    <cfRule type="expression" priority="70" dxfId="1" stopIfTrue="0">
      <formula>AND(ISNUMBER(H24),INDEX(TaskCat,H24)=INDEX(Setup!$F$6:$F$15,2))</formula>
    </cfRule>
    <cfRule type="expression" priority="71" dxfId="2" stopIfTrue="0">
      <formula>AND(ISNUMBER(H24),INDEX(TaskCat,H24)=INDEX(Setup!$F$6:$F$15,3))</formula>
    </cfRule>
    <cfRule type="expression" priority="72" dxfId="3" stopIfTrue="0">
      <formula>AND(ISNUMBER(H24),INDEX(TaskCat,H24)=INDEX(Setup!$F$6:$F$15,4))</formula>
    </cfRule>
    <cfRule type="expression" priority="73" dxfId="4" stopIfTrue="0">
      <formula>AND(ISNUMBER(H24),INDEX(TaskCat,H24)=INDEX(Setup!$F$6:$F$15,5))</formula>
    </cfRule>
    <cfRule type="expression" priority="74" dxfId="5" stopIfTrue="0">
      <formula>AND(ISNUMBER(H24),INDEX(TaskCat,H24)=INDEX(Setup!$F$6:$F$15,6))</formula>
    </cfRule>
  </conditionalFormatting>
  <conditionalFormatting sqref="I24:I53">
    <cfRule type="expression" priority="75" dxfId="0" stopIfTrue="0">
      <formula>AND(ISNUMBER(J24),INDEX(TaskCat,J24)=INDEX(Setup!$F$6:$F$15,1))</formula>
    </cfRule>
    <cfRule type="expression" priority="76" dxfId="1" stopIfTrue="0">
      <formula>AND(ISNUMBER(J24),INDEX(TaskCat,J24)=INDEX(Setup!$F$6:$F$15,2))</formula>
    </cfRule>
    <cfRule type="expression" priority="77" dxfId="2" stopIfTrue="0">
      <formula>AND(ISNUMBER(J24),INDEX(TaskCat,J24)=INDEX(Setup!$F$6:$F$15,3))</formula>
    </cfRule>
    <cfRule type="expression" priority="78" dxfId="3" stopIfTrue="0">
      <formula>AND(ISNUMBER(J24),INDEX(TaskCat,J24)=INDEX(Setup!$F$6:$F$15,4))</formula>
    </cfRule>
    <cfRule type="expression" priority="79" dxfId="4" stopIfTrue="0">
      <formula>AND(ISNUMBER(J24),INDEX(TaskCat,J24)=INDEX(Setup!$F$6:$F$15,5))</formula>
    </cfRule>
    <cfRule type="expression" priority="80" dxfId="5" stopIfTrue="0">
      <formula>AND(ISNUMBER(J24),INDEX(TaskCat,J24)=INDEX(Setup!$F$6:$F$15,6))</formula>
    </cfRule>
  </conditionalFormatting>
  <conditionalFormatting sqref="K24:K53">
    <cfRule type="expression" priority="81" dxfId="0" stopIfTrue="0">
      <formula>AND(ISNUMBER(L24),INDEX(TaskCat,L24)=INDEX(Setup!$F$6:$F$15,1))</formula>
    </cfRule>
    <cfRule type="expression" priority="82" dxfId="1" stopIfTrue="0">
      <formula>AND(ISNUMBER(L24),INDEX(TaskCat,L24)=INDEX(Setup!$F$6:$F$15,2))</formula>
    </cfRule>
    <cfRule type="expression" priority="83" dxfId="2" stopIfTrue="0">
      <formula>AND(ISNUMBER(L24),INDEX(TaskCat,L24)=INDEX(Setup!$F$6:$F$15,3))</formula>
    </cfRule>
    <cfRule type="expression" priority="84" dxfId="3" stopIfTrue="0">
      <formula>AND(ISNUMBER(L24),INDEX(TaskCat,L24)=INDEX(Setup!$F$6:$F$15,4))</formula>
    </cfRule>
    <cfRule type="expression" priority="85" dxfId="4" stopIfTrue="0">
      <formula>AND(ISNUMBER(L24),INDEX(TaskCat,L24)=INDEX(Setup!$F$6:$F$15,5))</formula>
    </cfRule>
    <cfRule type="expression" priority="86" dxfId="5" stopIfTrue="0">
      <formula>AND(ISNUMBER(L24),INDEX(TaskCat,L24)=INDEX(Setup!$F$6:$F$15,6))</formula>
    </cfRule>
  </conditionalFormatting>
  <conditionalFormatting sqref="M24:M53">
    <cfRule type="expression" priority="87" dxfId="0" stopIfTrue="0">
      <formula>AND(ISNUMBER(N24),INDEX(TaskCat,N24)=INDEX(Setup!$F$6:$F$15,1))</formula>
    </cfRule>
    <cfRule type="expression" priority="88" dxfId="1" stopIfTrue="0">
      <formula>AND(ISNUMBER(N24),INDEX(TaskCat,N24)=INDEX(Setup!$F$6:$F$15,2))</formula>
    </cfRule>
    <cfRule type="expression" priority="89" dxfId="2" stopIfTrue="0">
      <formula>AND(ISNUMBER(N24),INDEX(TaskCat,N24)=INDEX(Setup!$F$6:$F$15,3))</formula>
    </cfRule>
    <cfRule type="expression" priority="90" dxfId="3" stopIfTrue="0">
      <formula>AND(ISNUMBER(N24),INDEX(TaskCat,N24)=INDEX(Setup!$F$6:$F$15,4))</formula>
    </cfRule>
    <cfRule type="expression" priority="91" dxfId="4" stopIfTrue="0">
      <formula>AND(ISNUMBER(N24),INDEX(TaskCat,N24)=INDEX(Setup!$F$6:$F$15,5))</formula>
    </cfRule>
    <cfRule type="expression" priority="92" dxfId="5" stopIfTrue="0">
      <formula>AND(ISNUMBER(N24),INDEX(TaskCat,N24)=INDEX(Setup!$F$6:$F$15,6))</formula>
    </cfRule>
  </conditionalFormatting>
  <conditionalFormatting sqref="O24:O53">
    <cfRule type="expression" priority="93" dxfId="0" stopIfTrue="0">
      <formula>AND(ISNUMBER(P24),INDEX(TaskCat,P24)=INDEX(Setup!$F$6:$F$15,1))</formula>
    </cfRule>
    <cfRule type="expression" priority="94" dxfId="1" stopIfTrue="0">
      <formula>AND(ISNUMBER(P24),INDEX(TaskCat,P24)=INDEX(Setup!$F$6:$F$15,2))</formula>
    </cfRule>
    <cfRule type="expression" priority="95" dxfId="2" stopIfTrue="0">
      <formula>AND(ISNUMBER(P24),INDEX(TaskCat,P24)=INDEX(Setup!$F$6:$F$15,3))</formula>
    </cfRule>
    <cfRule type="expression" priority="96" dxfId="3" stopIfTrue="0">
      <formula>AND(ISNUMBER(P24),INDEX(TaskCat,P24)=INDEX(Setup!$F$6:$F$15,4))</formula>
    </cfRule>
    <cfRule type="expression" priority="97" dxfId="4" stopIfTrue="0">
      <formula>AND(ISNUMBER(P24),INDEX(TaskCat,P24)=INDEX(Setup!$F$6:$F$15,5))</formula>
    </cfRule>
    <cfRule type="expression" priority="98" dxfId="5" stopIfTrue="0">
      <formula>AND(ISNUMBER(P24),INDEX(TaskCat,P24)=INDEX(Setup!$F$6:$F$15,6))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7AB8"/>
    <outlinePr summaryBelow="1" summaryRight="1"/>
    <pageSetUpPr/>
  </sheetPr>
  <dimension ref="A1:Y52"/>
  <sheetViews>
    <sheetView showGridLines="0" zoomScale="85" workbookViewId="0">
      <selection activeCell="A1" sqref="A1"/>
    </sheetView>
  </sheetViews>
  <sheetFormatPr baseColWidth="8" defaultRowHeight="15"/>
  <cols>
    <col width="2" customWidth="1" style="1" min="1" max="1"/>
    <col width="20" customWidth="1" style="1" min="2" max="2"/>
    <col hidden="1" width="3" customWidth="1" style="1" min="3" max="3"/>
    <col width="20" customWidth="1" style="1" min="4" max="4"/>
    <col hidden="1" width="3" customWidth="1" style="1" min="5" max="5"/>
    <col width="20" customWidth="1" style="1" min="6" max="6"/>
    <col hidden="1" width="3" customWidth="1" style="1" min="7" max="7"/>
    <col width="20" customWidth="1" style="1" min="8" max="8"/>
    <col hidden="1" width="3" customWidth="1" style="1" min="9" max="9"/>
    <col width="20" customWidth="1" style="1" min="10" max="10"/>
    <col hidden="1" width="3" customWidth="1" style="1" min="11" max="11"/>
    <col width="20" customWidth="1" style="1" min="12" max="12"/>
    <col hidden="1" width="3" customWidth="1" style="1" min="13" max="13"/>
    <col width="20" customWidth="1" style="1" min="14" max="14"/>
    <col hidden="1" width="3" customWidth="1" style="1" min="15" max="15"/>
    <col width="13" customWidth="1" style="1" min="16" max="16"/>
    <col width="13" customWidth="1" style="1" min="17" max="17"/>
    <col hidden="1"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1" t="n"/>
      <c r="B2" s="2">
        <f>TEXT($R$3,"mmmm yyyy")</f>
        <v/>
      </c>
      <c r="C2" s="1" t="n"/>
      <c r="D2" s="1" t="n"/>
      <c r="E2" s="1" t="n"/>
      <c r="F2" s="1" t="n"/>
      <c r="G2" s="1" t="n"/>
      <c r="H2" s="108" t="inlineStr">
        <is>
          <t>Any date in month:</t>
        </is>
      </c>
      <c r="I2" s="1" t="n"/>
      <c r="J2" s="15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1" t="n"/>
      <c r="B3" s="1" t="n"/>
      <c r="C3" s="1" t="n"/>
      <c r="D3" s="1" t="n"/>
      <c r="E3" s="1" t="n"/>
      <c r="F3" s="1" t="n"/>
      <c r="G3" s="1" t="n"/>
      <c r="H3" s="23" t="inlineStr">
        <is>
          <t>blank = this month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>
        <f>DATE(YEAR(IF(J2="",Setup!$D$7,J2)),MONTH(IF(J2="",Setup!$D$7,J2)),1)</f>
        <v/>
      </c>
      <c r="S3" s="1" t="n"/>
      <c r="T3" s="1" t="n"/>
      <c r="U3" s="1" t="n"/>
      <c r="V3" s="1" t="n"/>
      <c r="W3" s="1" t="n"/>
      <c r="X3" s="1" t="n"/>
      <c r="Y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>
        <f>R3-MOD(WEEKDAY(R3,IF(Setup!$D$10="Monday",2,1))-1,7)</f>
        <v/>
      </c>
      <c r="S4" s="1" t="n"/>
      <c r="T4" s="1" t="n"/>
      <c r="U4" s="1" t="n"/>
      <c r="V4" s="1" t="n"/>
      <c r="W4" s="1" t="n"/>
      <c r="X4" s="1" t="n"/>
      <c r="Y4" s="1" t="n"/>
    </row>
    <row r="5">
      <c r="A5" s="1" t="n"/>
      <c r="B5" s="101">
        <f>UPPER(TEXT($R$4+0,"dddd"))</f>
        <v/>
      </c>
      <c r="D5" s="101">
        <f>UPPER(TEXT($R$4+1,"dddd"))</f>
        <v/>
      </c>
      <c r="F5" s="101">
        <f>UPPER(TEXT($R$4+2,"dddd"))</f>
        <v/>
      </c>
      <c r="H5" s="101">
        <f>UPPER(TEXT($R$4+3,"dddd"))</f>
        <v/>
      </c>
      <c r="J5" s="101">
        <f>UPPER(TEXT($R$4+4,"dddd"))</f>
        <v/>
      </c>
      <c r="L5" s="101">
        <f>UPPER(TEXT($R$4+5,"dddd"))</f>
        <v/>
      </c>
      <c r="N5" s="101">
        <f>UPPER(TEXT($R$4+6,"dddd"))</f>
        <v/>
      </c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>
      <c r="A6" s="1" t="n"/>
      <c r="B6" s="109">
        <f>DAY(C6)</f>
        <v/>
      </c>
      <c r="C6" s="1">
        <f>$R$4+0</f>
        <v/>
      </c>
      <c r="D6" s="109">
        <f>DAY(E6)</f>
        <v/>
      </c>
      <c r="E6" s="1">
        <f>$R$4+1</f>
        <v/>
      </c>
      <c r="F6" s="109">
        <f>DAY(G6)</f>
        <v/>
      </c>
      <c r="G6" s="1">
        <f>$R$4+2</f>
        <v/>
      </c>
      <c r="H6" s="109">
        <f>DAY(I6)</f>
        <v/>
      </c>
      <c r="I6" s="1">
        <f>$R$4+3</f>
        <v/>
      </c>
      <c r="J6" s="109">
        <f>DAY(K6)</f>
        <v/>
      </c>
      <c r="K6" s="1">
        <f>$R$4+4</f>
        <v/>
      </c>
      <c r="L6" s="109">
        <f>DAY(M6)</f>
        <v/>
      </c>
      <c r="M6" s="1">
        <f>$R$4+5</f>
        <v/>
      </c>
      <c r="N6" s="109">
        <f>DAY(O6)</f>
        <v/>
      </c>
      <c r="O6" s="1">
        <f>$R$4+6</f>
        <v/>
      </c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>
      <c r="A7" s="1" t="n"/>
      <c r="B7" s="110">
        <f>IF(C7="","",INDEX(Calc!$AU$2:$AU$2001,C7))</f>
        <v/>
      </c>
      <c r="C7" s="1">
        <f>IFERROR(MOD(_xlfn.AGGREGATE(15,6,Calc!$BN$2:$BN$2001/(Calc!$AW$2:$AW$2001=C$6),1),10000),"")</f>
        <v/>
      </c>
      <c r="D7" s="110">
        <f>IF(E7="","",INDEX(Calc!$AU$2:$AU$2001,E7))</f>
        <v/>
      </c>
      <c r="E7" s="1">
        <f>IFERROR(MOD(_xlfn.AGGREGATE(15,6,Calc!$BN$2:$BN$2001/(Calc!$AW$2:$AW$2001=E$6),1),10000),"")</f>
        <v/>
      </c>
      <c r="F7" s="110">
        <f>IF(G7="","",INDEX(Calc!$AU$2:$AU$2001,G7))</f>
        <v/>
      </c>
      <c r="G7" s="1">
        <f>IFERROR(MOD(_xlfn.AGGREGATE(15,6,Calc!$BN$2:$BN$2001/(Calc!$AW$2:$AW$2001=G$6),1),10000),"")</f>
        <v/>
      </c>
      <c r="H7" s="110">
        <f>IF(I7="","",INDEX(Calc!$AU$2:$AU$2001,I7))</f>
        <v/>
      </c>
      <c r="I7" s="1">
        <f>IFERROR(MOD(_xlfn.AGGREGATE(15,6,Calc!$BN$2:$BN$2001/(Calc!$AW$2:$AW$2001=I$6),1),10000),"")</f>
        <v/>
      </c>
      <c r="J7" s="110">
        <f>IF(K7="","",INDEX(Calc!$AU$2:$AU$2001,K7))</f>
        <v/>
      </c>
      <c r="K7" s="1">
        <f>IFERROR(MOD(_xlfn.AGGREGATE(15,6,Calc!$BN$2:$BN$2001/(Calc!$AW$2:$AW$2001=K$6),1),10000),"")</f>
        <v/>
      </c>
      <c r="L7" s="110">
        <f>IF(M7="","",INDEX(Calc!$AU$2:$AU$2001,M7))</f>
        <v/>
      </c>
      <c r="M7" s="1">
        <f>IFERROR(MOD(_xlfn.AGGREGATE(15,6,Calc!$BN$2:$BN$2001/(Calc!$AW$2:$AW$2001=M$6),1),10000),"")</f>
        <v/>
      </c>
      <c r="N7" s="110">
        <f>IF(O7="","",INDEX(Calc!$AU$2:$AU$2001,O7))</f>
        <v/>
      </c>
      <c r="O7" s="1">
        <f>IFERROR(MOD(_xlfn.AGGREGATE(15,6,Calc!$BN$2:$BN$2001/(Calc!$AW$2:$AW$2001=O$6),1),10000),"")</f>
        <v/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>
      <c r="A8" s="1" t="n"/>
      <c r="B8" s="110">
        <f>IF(C8="","",INDEX(Calc!$AU$2:$AU$2001,C8))</f>
        <v/>
      </c>
      <c r="C8" s="1">
        <f>IFERROR(MOD(_xlfn.AGGREGATE(15,6,Calc!$BN$2:$BN$2001/(Calc!$AW$2:$AW$2001=C$6),2),10000),"")</f>
        <v/>
      </c>
      <c r="D8" s="110">
        <f>IF(E8="","",INDEX(Calc!$AU$2:$AU$2001,E8))</f>
        <v/>
      </c>
      <c r="E8" s="1">
        <f>IFERROR(MOD(_xlfn.AGGREGATE(15,6,Calc!$BN$2:$BN$2001/(Calc!$AW$2:$AW$2001=E$6),2),10000),"")</f>
        <v/>
      </c>
      <c r="F8" s="110">
        <f>IF(G8="","",INDEX(Calc!$AU$2:$AU$2001,G8))</f>
        <v/>
      </c>
      <c r="G8" s="1">
        <f>IFERROR(MOD(_xlfn.AGGREGATE(15,6,Calc!$BN$2:$BN$2001/(Calc!$AW$2:$AW$2001=G$6),2),10000),"")</f>
        <v/>
      </c>
      <c r="H8" s="110">
        <f>IF(I8="","",INDEX(Calc!$AU$2:$AU$2001,I8))</f>
        <v/>
      </c>
      <c r="I8" s="1">
        <f>IFERROR(MOD(_xlfn.AGGREGATE(15,6,Calc!$BN$2:$BN$2001/(Calc!$AW$2:$AW$2001=I$6),2),10000),"")</f>
        <v/>
      </c>
      <c r="J8" s="110">
        <f>IF(K8="","",INDEX(Calc!$AU$2:$AU$2001,K8))</f>
        <v/>
      </c>
      <c r="K8" s="1">
        <f>IFERROR(MOD(_xlfn.AGGREGATE(15,6,Calc!$BN$2:$BN$2001/(Calc!$AW$2:$AW$2001=K$6),2),10000),"")</f>
        <v/>
      </c>
      <c r="L8" s="110">
        <f>IF(M8="","",INDEX(Calc!$AU$2:$AU$2001,M8))</f>
        <v/>
      </c>
      <c r="M8" s="1">
        <f>IFERROR(MOD(_xlfn.AGGREGATE(15,6,Calc!$BN$2:$BN$2001/(Calc!$AW$2:$AW$2001=M$6),2),10000),"")</f>
        <v/>
      </c>
      <c r="N8" s="110">
        <f>IF(O8="","",INDEX(Calc!$AU$2:$AU$2001,O8))</f>
        <v/>
      </c>
      <c r="O8" s="1">
        <f>IFERROR(MOD(_xlfn.AGGREGATE(15,6,Calc!$BN$2:$BN$2001/(Calc!$AW$2:$AW$2001=O$6),2),10000),"")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>
      <c r="A9" s="1" t="n"/>
      <c r="B9" s="110">
        <f>IF(C9="","",INDEX(Calc!$AU$2:$AU$2001,C9))</f>
        <v/>
      </c>
      <c r="C9" s="1">
        <f>IFERROR(MOD(_xlfn.AGGREGATE(15,6,Calc!$BN$2:$BN$2001/(Calc!$AW$2:$AW$2001=C$6),3),10000),"")</f>
        <v/>
      </c>
      <c r="D9" s="110">
        <f>IF(E9="","",INDEX(Calc!$AU$2:$AU$2001,E9))</f>
        <v/>
      </c>
      <c r="E9" s="1">
        <f>IFERROR(MOD(_xlfn.AGGREGATE(15,6,Calc!$BN$2:$BN$2001/(Calc!$AW$2:$AW$2001=E$6),3),10000),"")</f>
        <v/>
      </c>
      <c r="F9" s="110">
        <f>IF(G9="","",INDEX(Calc!$AU$2:$AU$2001,G9))</f>
        <v/>
      </c>
      <c r="G9" s="1">
        <f>IFERROR(MOD(_xlfn.AGGREGATE(15,6,Calc!$BN$2:$BN$2001/(Calc!$AW$2:$AW$2001=G$6),3),10000),"")</f>
        <v/>
      </c>
      <c r="H9" s="110">
        <f>IF(I9="","",INDEX(Calc!$AU$2:$AU$2001,I9))</f>
        <v/>
      </c>
      <c r="I9" s="1">
        <f>IFERROR(MOD(_xlfn.AGGREGATE(15,6,Calc!$BN$2:$BN$2001/(Calc!$AW$2:$AW$2001=I$6),3),10000),"")</f>
        <v/>
      </c>
      <c r="J9" s="110">
        <f>IF(K9="","",INDEX(Calc!$AU$2:$AU$2001,K9))</f>
        <v/>
      </c>
      <c r="K9" s="1">
        <f>IFERROR(MOD(_xlfn.AGGREGATE(15,6,Calc!$BN$2:$BN$2001/(Calc!$AW$2:$AW$2001=K$6),3),10000),"")</f>
        <v/>
      </c>
      <c r="L9" s="110">
        <f>IF(M9="","",INDEX(Calc!$AU$2:$AU$2001,M9))</f>
        <v/>
      </c>
      <c r="M9" s="1">
        <f>IFERROR(MOD(_xlfn.AGGREGATE(15,6,Calc!$BN$2:$BN$2001/(Calc!$AW$2:$AW$2001=M$6),3),10000),"")</f>
        <v/>
      </c>
      <c r="N9" s="110">
        <f>IF(O9="","",INDEX(Calc!$AU$2:$AU$2001,O9))</f>
        <v/>
      </c>
      <c r="O9" s="1">
        <f>IFERROR(MOD(_xlfn.AGGREGATE(15,6,Calc!$BN$2:$BN$2001/(Calc!$AW$2:$AW$2001=O$6),3),10000),"")</f>
        <v/>
      </c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>
      <c r="A10" s="1" t="n"/>
      <c r="B10" s="110">
        <f>IF(C10="","",INDEX(Calc!$AU$2:$AU$2001,C10))</f>
        <v/>
      </c>
      <c r="C10" s="1">
        <f>IFERROR(MOD(_xlfn.AGGREGATE(15,6,Calc!$BN$2:$BN$2001/(Calc!$AW$2:$AW$2001=C$6),4),10000),"")</f>
        <v/>
      </c>
      <c r="D10" s="110">
        <f>IF(E10="","",INDEX(Calc!$AU$2:$AU$2001,E10))</f>
        <v/>
      </c>
      <c r="E10" s="1">
        <f>IFERROR(MOD(_xlfn.AGGREGATE(15,6,Calc!$BN$2:$BN$2001/(Calc!$AW$2:$AW$2001=E$6),4),10000),"")</f>
        <v/>
      </c>
      <c r="F10" s="110">
        <f>IF(G10="","",INDEX(Calc!$AU$2:$AU$2001,G10))</f>
        <v/>
      </c>
      <c r="G10" s="1">
        <f>IFERROR(MOD(_xlfn.AGGREGATE(15,6,Calc!$BN$2:$BN$2001/(Calc!$AW$2:$AW$2001=G$6),4),10000),"")</f>
        <v/>
      </c>
      <c r="H10" s="110">
        <f>IF(I10="","",INDEX(Calc!$AU$2:$AU$2001,I10))</f>
        <v/>
      </c>
      <c r="I10" s="1">
        <f>IFERROR(MOD(_xlfn.AGGREGATE(15,6,Calc!$BN$2:$BN$2001/(Calc!$AW$2:$AW$2001=I$6),4),10000),"")</f>
        <v/>
      </c>
      <c r="J10" s="110">
        <f>IF(K10="","",INDEX(Calc!$AU$2:$AU$2001,K10))</f>
        <v/>
      </c>
      <c r="K10" s="1">
        <f>IFERROR(MOD(_xlfn.AGGREGATE(15,6,Calc!$BN$2:$BN$2001/(Calc!$AW$2:$AW$2001=K$6),4),10000),"")</f>
        <v/>
      </c>
      <c r="L10" s="110">
        <f>IF(M10="","",INDEX(Calc!$AU$2:$AU$2001,M10))</f>
        <v/>
      </c>
      <c r="M10" s="1">
        <f>IFERROR(MOD(_xlfn.AGGREGATE(15,6,Calc!$BN$2:$BN$2001/(Calc!$AW$2:$AW$2001=M$6),4),10000),"")</f>
        <v/>
      </c>
      <c r="N10" s="110">
        <f>IF(O10="","",INDEX(Calc!$AU$2:$AU$2001,O10))</f>
        <v/>
      </c>
      <c r="O10" s="1">
        <f>IFERROR(MOD(_xlfn.AGGREGATE(15,6,Calc!$BN$2:$BN$2001/(Calc!$AW$2:$AW$2001=O$6),4),10000),"")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>
      <c r="A11" s="1" t="n"/>
      <c r="B11" s="110">
        <f>IF(C11="","",INDEX(Calc!$AU$2:$AU$2001,C11))</f>
        <v/>
      </c>
      <c r="C11" s="1">
        <f>IFERROR(MOD(_xlfn.AGGREGATE(15,6,Calc!$BN$2:$BN$2001/(Calc!$AW$2:$AW$2001=C$6),5),10000),"")</f>
        <v/>
      </c>
      <c r="D11" s="110">
        <f>IF(E11="","",INDEX(Calc!$AU$2:$AU$2001,E11))</f>
        <v/>
      </c>
      <c r="E11" s="1">
        <f>IFERROR(MOD(_xlfn.AGGREGATE(15,6,Calc!$BN$2:$BN$2001/(Calc!$AW$2:$AW$2001=E$6),5),10000),"")</f>
        <v/>
      </c>
      <c r="F11" s="110">
        <f>IF(G11="","",INDEX(Calc!$AU$2:$AU$2001,G11))</f>
        <v/>
      </c>
      <c r="G11" s="1">
        <f>IFERROR(MOD(_xlfn.AGGREGATE(15,6,Calc!$BN$2:$BN$2001/(Calc!$AW$2:$AW$2001=G$6),5),10000),"")</f>
        <v/>
      </c>
      <c r="H11" s="110">
        <f>IF(I11="","",INDEX(Calc!$AU$2:$AU$2001,I11))</f>
        <v/>
      </c>
      <c r="I11" s="1">
        <f>IFERROR(MOD(_xlfn.AGGREGATE(15,6,Calc!$BN$2:$BN$2001/(Calc!$AW$2:$AW$2001=I$6),5),10000),"")</f>
        <v/>
      </c>
      <c r="J11" s="110">
        <f>IF(K11="","",INDEX(Calc!$AU$2:$AU$2001,K11))</f>
        <v/>
      </c>
      <c r="K11" s="1">
        <f>IFERROR(MOD(_xlfn.AGGREGATE(15,6,Calc!$BN$2:$BN$2001/(Calc!$AW$2:$AW$2001=K$6),5),10000),"")</f>
        <v/>
      </c>
      <c r="L11" s="110">
        <f>IF(M11="","",INDEX(Calc!$AU$2:$AU$2001,M11))</f>
        <v/>
      </c>
      <c r="M11" s="1">
        <f>IFERROR(MOD(_xlfn.AGGREGATE(15,6,Calc!$BN$2:$BN$2001/(Calc!$AW$2:$AW$2001=M$6),5),10000),"")</f>
        <v/>
      </c>
      <c r="N11" s="110">
        <f>IF(O11="","",INDEX(Calc!$AU$2:$AU$2001,O11))</f>
        <v/>
      </c>
      <c r="O11" s="1">
        <f>IFERROR(MOD(_xlfn.AGGREGATE(15,6,Calc!$BN$2:$BN$2001/(Calc!$AW$2:$AW$2001=O$6),5),10000),"")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>
      <c r="A12" s="1" t="n"/>
      <c r="B12" s="105">
        <f>IF(C12="","",INDEX(Calc!$AU$2:$AU$2001,C12))</f>
        <v/>
      </c>
      <c r="C12" s="1">
        <f>IFERROR(MOD(_xlfn.AGGREGATE(15,6,Calc!$BN$2:$BN$2001/(Calc!$AW$2:$AW$2001=C$6),6),10000),"")</f>
        <v/>
      </c>
      <c r="D12" s="105">
        <f>IF(E12="","",INDEX(Calc!$AU$2:$AU$2001,E12))</f>
        <v/>
      </c>
      <c r="E12" s="1">
        <f>IFERROR(MOD(_xlfn.AGGREGATE(15,6,Calc!$BN$2:$BN$2001/(Calc!$AW$2:$AW$2001=E$6),6),10000),"")</f>
        <v/>
      </c>
      <c r="F12" s="105">
        <f>IF(G12="","",INDEX(Calc!$AU$2:$AU$2001,G12))</f>
        <v/>
      </c>
      <c r="G12" s="1">
        <f>IFERROR(MOD(_xlfn.AGGREGATE(15,6,Calc!$BN$2:$BN$2001/(Calc!$AW$2:$AW$2001=G$6),6),10000),"")</f>
        <v/>
      </c>
      <c r="H12" s="105">
        <f>IF(I12="","",INDEX(Calc!$AU$2:$AU$2001,I12))</f>
        <v/>
      </c>
      <c r="I12" s="1">
        <f>IFERROR(MOD(_xlfn.AGGREGATE(15,6,Calc!$BN$2:$BN$2001/(Calc!$AW$2:$AW$2001=I$6),6),10000),"")</f>
        <v/>
      </c>
      <c r="J12" s="105">
        <f>IF(K12="","",INDEX(Calc!$AU$2:$AU$2001,K12))</f>
        <v/>
      </c>
      <c r="K12" s="1">
        <f>IFERROR(MOD(_xlfn.AGGREGATE(15,6,Calc!$BN$2:$BN$2001/(Calc!$AW$2:$AW$2001=K$6),6),10000),"")</f>
        <v/>
      </c>
      <c r="L12" s="105">
        <f>IF(M12="","",INDEX(Calc!$AU$2:$AU$2001,M12))</f>
        <v/>
      </c>
      <c r="M12" s="1">
        <f>IFERROR(MOD(_xlfn.AGGREGATE(15,6,Calc!$BN$2:$BN$2001/(Calc!$AW$2:$AW$2001=M$6),6),10000),"")</f>
        <v/>
      </c>
      <c r="N12" s="105">
        <f>IF(O12="","",INDEX(Calc!$AU$2:$AU$2001,O12))</f>
        <v/>
      </c>
      <c r="O12" s="1">
        <f>IFERROR(MOD(_xlfn.AGGREGATE(15,6,Calc!$BN$2:$BN$2001/(Calc!$AW$2:$AW$2001=O$6),6),10000),"")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>
      <c r="A13" s="1" t="n"/>
      <c r="B13" s="109">
        <f>DAY(C13)</f>
        <v/>
      </c>
      <c r="C13" s="1">
        <f>$R$4+7</f>
        <v/>
      </c>
      <c r="D13" s="109">
        <f>DAY(E13)</f>
        <v/>
      </c>
      <c r="E13" s="1">
        <f>$R$4+8</f>
        <v/>
      </c>
      <c r="F13" s="109">
        <f>DAY(G13)</f>
        <v/>
      </c>
      <c r="G13" s="1">
        <f>$R$4+9</f>
        <v/>
      </c>
      <c r="H13" s="109">
        <f>DAY(I13)</f>
        <v/>
      </c>
      <c r="I13" s="1">
        <f>$R$4+10</f>
        <v/>
      </c>
      <c r="J13" s="109">
        <f>DAY(K13)</f>
        <v/>
      </c>
      <c r="K13" s="1">
        <f>$R$4+11</f>
        <v/>
      </c>
      <c r="L13" s="109">
        <f>DAY(M13)</f>
        <v/>
      </c>
      <c r="M13" s="1">
        <f>$R$4+12</f>
        <v/>
      </c>
      <c r="N13" s="109">
        <f>DAY(O13)</f>
        <v/>
      </c>
      <c r="O13" s="1">
        <f>$R$4+13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>
      <c r="A14" s="1" t="n"/>
      <c r="B14" s="110">
        <f>IF(C14="","",INDEX(Calc!$AU$2:$AU$2001,C14))</f>
        <v/>
      </c>
      <c r="C14" s="1">
        <f>IFERROR(MOD(_xlfn.AGGREGATE(15,6,Calc!$BN$2:$BN$2001/(Calc!$AW$2:$AW$2001=C$13),1),10000),"")</f>
        <v/>
      </c>
      <c r="D14" s="110">
        <f>IF(E14="","",INDEX(Calc!$AU$2:$AU$2001,E14))</f>
        <v/>
      </c>
      <c r="E14" s="1">
        <f>IFERROR(MOD(_xlfn.AGGREGATE(15,6,Calc!$BN$2:$BN$2001/(Calc!$AW$2:$AW$2001=E$13),1),10000),"")</f>
        <v/>
      </c>
      <c r="F14" s="110">
        <f>IF(G14="","",INDEX(Calc!$AU$2:$AU$2001,G14))</f>
        <v/>
      </c>
      <c r="G14" s="1">
        <f>IFERROR(MOD(_xlfn.AGGREGATE(15,6,Calc!$BN$2:$BN$2001/(Calc!$AW$2:$AW$2001=G$13),1),10000),"")</f>
        <v/>
      </c>
      <c r="H14" s="110">
        <f>IF(I14="","",INDEX(Calc!$AU$2:$AU$2001,I14))</f>
        <v/>
      </c>
      <c r="I14" s="1">
        <f>IFERROR(MOD(_xlfn.AGGREGATE(15,6,Calc!$BN$2:$BN$2001/(Calc!$AW$2:$AW$2001=I$13),1),10000),"")</f>
        <v/>
      </c>
      <c r="J14" s="110">
        <f>IF(K14="","",INDEX(Calc!$AU$2:$AU$2001,K14))</f>
        <v/>
      </c>
      <c r="K14" s="1">
        <f>IFERROR(MOD(_xlfn.AGGREGATE(15,6,Calc!$BN$2:$BN$2001/(Calc!$AW$2:$AW$2001=K$13),1),10000),"")</f>
        <v/>
      </c>
      <c r="L14" s="110">
        <f>IF(M14="","",INDEX(Calc!$AU$2:$AU$2001,M14))</f>
        <v/>
      </c>
      <c r="M14" s="1">
        <f>IFERROR(MOD(_xlfn.AGGREGATE(15,6,Calc!$BN$2:$BN$2001/(Calc!$AW$2:$AW$2001=M$13),1),10000),"")</f>
        <v/>
      </c>
      <c r="N14" s="110">
        <f>IF(O14="","",INDEX(Calc!$AU$2:$AU$2001,O14))</f>
        <v/>
      </c>
      <c r="O14" s="1">
        <f>IFERROR(MOD(_xlfn.AGGREGATE(15,6,Calc!$BN$2:$BN$2001/(Calc!$AW$2:$AW$2001=O$13),1),10000),"")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>
      <c r="A15" s="1" t="n"/>
      <c r="B15" s="110">
        <f>IF(C15="","",INDEX(Calc!$AU$2:$AU$2001,C15))</f>
        <v/>
      </c>
      <c r="C15" s="1">
        <f>IFERROR(MOD(_xlfn.AGGREGATE(15,6,Calc!$BN$2:$BN$2001/(Calc!$AW$2:$AW$2001=C$13),2),10000),"")</f>
        <v/>
      </c>
      <c r="D15" s="110">
        <f>IF(E15="","",INDEX(Calc!$AU$2:$AU$2001,E15))</f>
        <v/>
      </c>
      <c r="E15" s="1">
        <f>IFERROR(MOD(_xlfn.AGGREGATE(15,6,Calc!$BN$2:$BN$2001/(Calc!$AW$2:$AW$2001=E$13),2),10000),"")</f>
        <v/>
      </c>
      <c r="F15" s="110">
        <f>IF(G15="","",INDEX(Calc!$AU$2:$AU$2001,G15))</f>
        <v/>
      </c>
      <c r="G15" s="1">
        <f>IFERROR(MOD(_xlfn.AGGREGATE(15,6,Calc!$BN$2:$BN$2001/(Calc!$AW$2:$AW$2001=G$13),2),10000),"")</f>
        <v/>
      </c>
      <c r="H15" s="110">
        <f>IF(I15="","",INDEX(Calc!$AU$2:$AU$2001,I15))</f>
        <v/>
      </c>
      <c r="I15" s="1">
        <f>IFERROR(MOD(_xlfn.AGGREGATE(15,6,Calc!$BN$2:$BN$2001/(Calc!$AW$2:$AW$2001=I$13),2),10000),"")</f>
        <v/>
      </c>
      <c r="J15" s="110">
        <f>IF(K15="","",INDEX(Calc!$AU$2:$AU$2001,K15))</f>
        <v/>
      </c>
      <c r="K15" s="1">
        <f>IFERROR(MOD(_xlfn.AGGREGATE(15,6,Calc!$BN$2:$BN$2001/(Calc!$AW$2:$AW$2001=K$13),2),10000),"")</f>
        <v/>
      </c>
      <c r="L15" s="110">
        <f>IF(M15="","",INDEX(Calc!$AU$2:$AU$2001,M15))</f>
        <v/>
      </c>
      <c r="M15" s="1">
        <f>IFERROR(MOD(_xlfn.AGGREGATE(15,6,Calc!$BN$2:$BN$2001/(Calc!$AW$2:$AW$2001=M$13),2),10000),"")</f>
        <v/>
      </c>
      <c r="N15" s="110">
        <f>IF(O15="","",INDEX(Calc!$AU$2:$AU$2001,O15))</f>
        <v/>
      </c>
      <c r="O15" s="1">
        <f>IFERROR(MOD(_xlfn.AGGREGATE(15,6,Calc!$BN$2:$BN$2001/(Calc!$AW$2:$AW$2001=O$13),2),10000),"")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>
      <c r="A16" s="1" t="n"/>
      <c r="B16" s="110">
        <f>IF(C16="","",INDEX(Calc!$AU$2:$AU$2001,C16))</f>
        <v/>
      </c>
      <c r="C16" s="1">
        <f>IFERROR(MOD(_xlfn.AGGREGATE(15,6,Calc!$BN$2:$BN$2001/(Calc!$AW$2:$AW$2001=C$13),3),10000),"")</f>
        <v/>
      </c>
      <c r="D16" s="110">
        <f>IF(E16="","",INDEX(Calc!$AU$2:$AU$2001,E16))</f>
        <v/>
      </c>
      <c r="E16" s="1">
        <f>IFERROR(MOD(_xlfn.AGGREGATE(15,6,Calc!$BN$2:$BN$2001/(Calc!$AW$2:$AW$2001=E$13),3),10000),"")</f>
        <v/>
      </c>
      <c r="F16" s="110">
        <f>IF(G16="","",INDEX(Calc!$AU$2:$AU$2001,G16))</f>
        <v/>
      </c>
      <c r="G16" s="1">
        <f>IFERROR(MOD(_xlfn.AGGREGATE(15,6,Calc!$BN$2:$BN$2001/(Calc!$AW$2:$AW$2001=G$13),3),10000),"")</f>
        <v/>
      </c>
      <c r="H16" s="110">
        <f>IF(I16="","",INDEX(Calc!$AU$2:$AU$2001,I16))</f>
        <v/>
      </c>
      <c r="I16" s="1">
        <f>IFERROR(MOD(_xlfn.AGGREGATE(15,6,Calc!$BN$2:$BN$2001/(Calc!$AW$2:$AW$2001=I$13),3),10000),"")</f>
        <v/>
      </c>
      <c r="J16" s="110">
        <f>IF(K16="","",INDEX(Calc!$AU$2:$AU$2001,K16))</f>
        <v/>
      </c>
      <c r="K16" s="1">
        <f>IFERROR(MOD(_xlfn.AGGREGATE(15,6,Calc!$BN$2:$BN$2001/(Calc!$AW$2:$AW$2001=K$13),3),10000),"")</f>
        <v/>
      </c>
      <c r="L16" s="110">
        <f>IF(M16="","",INDEX(Calc!$AU$2:$AU$2001,M16))</f>
        <v/>
      </c>
      <c r="M16" s="1">
        <f>IFERROR(MOD(_xlfn.AGGREGATE(15,6,Calc!$BN$2:$BN$2001/(Calc!$AW$2:$AW$2001=M$13),3),10000),"")</f>
        <v/>
      </c>
      <c r="N16" s="110">
        <f>IF(O16="","",INDEX(Calc!$AU$2:$AU$2001,O16))</f>
        <v/>
      </c>
      <c r="O16" s="1">
        <f>IFERROR(MOD(_xlfn.AGGREGATE(15,6,Calc!$BN$2:$BN$2001/(Calc!$AW$2:$AW$2001=O$13),3),10000),"")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>
      <c r="A17" s="1" t="n"/>
      <c r="B17" s="110">
        <f>IF(C17="","",INDEX(Calc!$AU$2:$AU$2001,C17))</f>
        <v/>
      </c>
      <c r="C17" s="1">
        <f>IFERROR(MOD(_xlfn.AGGREGATE(15,6,Calc!$BN$2:$BN$2001/(Calc!$AW$2:$AW$2001=C$13),4),10000),"")</f>
        <v/>
      </c>
      <c r="D17" s="110">
        <f>IF(E17="","",INDEX(Calc!$AU$2:$AU$2001,E17))</f>
        <v/>
      </c>
      <c r="E17" s="1">
        <f>IFERROR(MOD(_xlfn.AGGREGATE(15,6,Calc!$BN$2:$BN$2001/(Calc!$AW$2:$AW$2001=E$13),4),10000),"")</f>
        <v/>
      </c>
      <c r="F17" s="110">
        <f>IF(G17="","",INDEX(Calc!$AU$2:$AU$2001,G17))</f>
        <v/>
      </c>
      <c r="G17" s="1">
        <f>IFERROR(MOD(_xlfn.AGGREGATE(15,6,Calc!$BN$2:$BN$2001/(Calc!$AW$2:$AW$2001=G$13),4),10000),"")</f>
        <v/>
      </c>
      <c r="H17" s="110">
        <f>IF(I17="","",INDEX(Calc!$AU$2:$AU$2001,I17))</f>
        <v/>
      </c>
      <c r="I17" s="1">
        <f>IFERROR(MOD(_xlfn.AGGREGATE(15,6,Calc!$BN$2:$BN$2001/(Calc!$AW$2:$AW$2001=I$13),4),10000),"")</f>
        <v/>
      </c>
      <c r="J17" s="110">
        <f>IF(K17="","",INDEX(Calc!$AU$2:$AU$2001,K17))</f>
        <v/>
      </c>
      <c r="K17" s="1">
        <f>IFERROR(MOD(_xlfn.AGGREGATE(15,6,Calc!$BN$2:$BN$2001/(Calc!$AW$2:$AW$2001=K$13),4),10000),"")</f>
        <v/>
      </c>
      <c r="L17" s="110">
        <f>IF(M17="","",INDEX(Calc!$AU$2:$AU$2001,M17))</f>
        <v/>
      </c>
      <c r="M17" s="1">
        <f>IFERROR(MOD(_xlfn.AGGREGATE(15,6,Calc!$BN$2:$BN$2001/(Calc!$AW$2:$AW$2001=M$13),4),10000),"")</f>
        <v/>
      </c>
      <c r="N17" s="110">
        <f>IF(O17="","",INDEX(Calc!$AU$2:$AU$2001,O17))</f>
        <v/>
      </c>
      <c r="O17" s="1">
        <f>IFERROR(MOD(_xlfn.AGGREGATE(15,6,Calc!$BN$2:$BN$2001/(Calc!$AW$2:$AW$2001=O$13),4),10000),"")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>
      <c r="A18" s="1" t="n"/>
      <c r="B18" s="110">
        <f>IF(C18="","",INDEX(Calc!$AU$2:$AU$2001,C18))</f>
        <v/>
      </c>
      <c r="C18" s="1">
        <f>IFERROR(MOD(_xlfn.AGGREGATE(15,6,Calc!$BN$2:$BN$2001/(Calc!$AW$2:$AW$2001=C$13),5),10000),"")</f>
        <v/>
      </c>
      <c r="D18" s="110">
        <f>IF(E18="","",INDEX(Calc!$AU$2:$AU$2001,E18))</f>
        <v/>
      </c>
      <c r="E18" s="1">
        <f>IFERROR(MOD(_xlfn.AGGREGATE(15,6,Calc!$BN$2:$BN$2001/(Calc!$AW$2:$AW$2001=E$13),5),10000),"")</f>
        <v/>
      </c>
      <c r="F18" s="110">
        <f>IF(G18="","",INDEX(Calc!$AU$2:$AU$2001,G18))</f>
        <v/>
      </c>
      <c r="G18" s="1">
        <f>IFERROR(MOD(_xlfn.AGGREGATE(15,6,Calc!$BN$2:$BN$2001/(Calc!$AW$2:$AW$2001=G$13),5),10000),"")</f>
        <v/>
      </c>
      <c r="H18" s="110">
        <f>IF(I18="","",INDEX(Calc!$AU$2:$AU$2001,I18))</f>
        <v/>
      </c>
      <c r="I18" s="1">
        <f>IFERROR(MOD(_xlfn.AGGREGATE(15,6,Calc!$BN$2:$BN$2001/(Calc!$AW$2:$AW$2001=I$13),5),10000),"")</f>
        <v/>
      </c>
      <c r="J18" s="110">
        <f>IF(K18="","",INDEX(Calc!$AU$2:$AU$2001,K18))</f>
        <v/>
      </c>
      <c r="K18" s="1">
        <f>IFERROR(MOD(_xlfn.AGGREGATE(15,6,Calc!$BN$2:$BN$2001/(Calc!$AW$2:$AW$2001=K$13),5),10000),"")</f>
        <v/>
      </c>
      <c r="L18" s="110">
        <f>IF(M18="","",INDEX(Calc!$AU$2:$AU$2001,M18))</f>
        <v/>
      </c>
      <c r="M18" s="1">
        <f>IFERROR(MOD(_xlfn.AGGREGATE(15,6,Calc!$BN$2:$BN$2001/(Calc!$AW$2:$AW$2001=M$13),5),10000),"")</f>
        <v/>
      </c>
      <c r="N18" s="110">
        <f>IF(O18="","",INDEX(Calc!$AU$2:$AU$2001,O18))</f>
        <v/>
      </c>
      <c r="O18" s="1">
        <f>IFERROR(MOD(_xlfn.AGGREGATE(15,6,Calc!$BN$2:$BN$2001/(Calc!$AW$2:$AW$2001=O$13),5),10000),"")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>
      <c r="A19" s="1" t="n"/>
      <c r="B19" s="105">
        <f>IF(C19="","",INDEX(Calc!$AU$2:$AU$2001,C19))</f>
        <v/>
      </c>
      <c r="C19" s="1">
        <f>IFERROR(MOD(_xlfn.AGGREGATE(15,6,Calc!$BN$2:$BN$2001/(Calc!$AW$2:$AW$2001=C$13),6),10000),"")</f>
        <v/>
      </c>
      <c r="D19" s="105">
        <f>IF(E19="","",INDEX(Calc!$AU$2:$AU$2001,E19))</f>
        <v/>
      </c>
      <c r="E19" s="1">
        <f>IFERROR(MOD(_xlfn.AGGREGATE(15,6,Calc!$BN$2:$BN$2001/(Calc!$AW$2:$AW$2001=E$13),6),10000),"")</f>
        <v/>
      </c>
      <c r="F19" s="105">
        <f>IF(G19="","",INDEX(Calc!$AU$2:$AU$2001,G19))</f>
        <v/>
      </c>
      <c r="G19" s="1">
        <f>IFERROR(MOD(_xlfn.AGGREGATE(15,6,Calc!$BN$2:$BN$2001/(Calc!$AW$2:$AW$2001=G$13),6),10000),"")</f>
        <v/>
      </c>
      <c r="H19" s="105">
        <f>IF(I19="","",INDEX(Calc!$AU$2:$AU$2001,I19))</f>
        <v/>
      </c>
      <c r="I19" s="1">
        <f>IFERROR(MOD(_xlfn.AGGREGATE(15,6,Calc!$BN$2:$BN$2001/(Calc!$AW$2:$AW$2001=I$13),6),10000),"")</f>
        <v/>
      </c>
      <c r="J19" s="105">
        <f>IF(K19="","",INDEX(Calc!$AU$2:$AU$2001,K19))</f>
        <v/>
      </c>
      <c r="K19" s="1">
        <f>IFERROR(MOD(_xlfn.AGGREGATE(15,6,Calc!$BN$2:$BN$2001/(Calc!$AW$2:$AW$2001=K$13),6),10000),"")</f>
        <v/>
      </c>
      <c r="L19" s="105">
        <f>IF(M19="","",INDEX(Calc!$AU$2:$AU$2001,M19))</f>
        <v/>
      </c>
      <c r="M19" s="1">
        <f>IFERROR(MOD(_xlfn.AGGREGATE(15,6,Calc!$BN$2:$BN$2001/(Calc!$AW$2:$AW$2001=M$13),6),10000),"")</f>
        <v/>
      </c>
      <c r="N19" s="105">
        <f>IF(O19="","",INDEX(Calc!$AU$2:$AU$2001,O19))</f>
        <v/>
      </c>
      <c r="O19" s="1">
        <f>IFERROR(MOD(_xlfn.AGGREGATE(15,6,Calc!$BN$2:$BN$2001/(Calc!$AW$2:$AW$2001=O$13),6),10000),"")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>
      <c r="A20" s="1" t="n"/>
      <c r="B20" s="109">
        <f>DAY(C20)</f>
        <v/>
      </c>
      <c r="C20" s="1">
        <f>$R$4+14</f>
        <v/>
      </c>
      <c r="D20" s="109">
        <f>DAY(E20)</f>
        <v/>
      </c>
      <c r="E20" s="1">
        <f>$R$4+15</f>
        <v/>
      </c>
      <c r="F20" s="109">
        <f>DAY(G20)</f>
        <v/>
      </c>
      <c r="G20" s="1">
        <f>$R$4+16</f>
        <v/>
      </c>
      <c r="H20" s="109">
        <f>DAY(I20)</f>
        <v/>
      </c>
      <c r="I20" s="1">
        <f>$R$4+17</f>
        <v/>
      </c>
      <c r="J20" s="109">
        <f>DAY(K20)</f>
        <v/>
      </c>
      <c r="K20" s="1">
        <f>$R$4+18</f>
        <v/>
      </c>
      <c r="L20" s="109">
        <f>DAY(M20)</f>
        <v/>
      </c>
      <c r="M20" s="1">
        <f>$R$4+19</f>
        <v/>
      </c>
      <c r="N20" s="109">
        <f>DAY(O20)</f>
        <v/>
      </c>
      <c r="O20" s="1">
        <f>$R$4+20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>
      <c r="A21" s="1" t="n"/>
      <c r="B21" s="110">
        <f>IF(C21="","",INDEX(Calc!$AU$2:$AU$2001,C21))</f>
        <v/>
      </c>
      <c r="C21" s="1">
        <f>IFERROR(MOD(_xlfn.AGGREGATE(15,6,Calc!$BN$2:$BN$2001/(Calc!$AW$2:$AW$2001=C$20),1),10000),"")</f>
        <v/>
      </c>
      <c r="D21" s="110">
        <f>IF(E21="","",INDEX(Calc!$AU$2:$AU$2001,E21))</f>
        <v/>
      </c>
      <c r="E21" s="1">
        <f>IFERROR(MOD(_xlfn.AGGREGATE(15,6,Calc!$BN$2:$BN$2001/(Calc!$AW$2:$AW$2001=E$20),1),10000),"")</f>
        <v/>
      </c>
      <c r="F21" s="110">
        <f>IF(G21="","",INDEX(Calc!$AU$2:$AU$2001,G21))</f>
        <v/>
      </c>
      <c r="G21" s="1">
        <f>IFERROR(MOD(_xlfn.AGGREGATE(15,6,Calc!$BN$2:$BN$2001/(Calc!$AW$2:$AW$2001=G$20),1),10000),"")</f>
        <v/>
      </c>
      <c r="H21" s="110">
        <f>IF(I21="","",INDEX(Calc!$AU$2:$AU$2001,I21))</f>
        <v/>
      </c>
      <c r="I21" s="1">
        <f>IFERROR(MOD(_xlfn.AGGREGATE(15,6,Calc!$BN$2:$BN$2001/(Calc!$AW$2:$AW$2001=I$20),1),10000),"")</f>
        <v/>
      </c>
      <c r="J21" s="110">
        <f>IF(K21="","",INDEX(Calc!$AU$2:$AU$2001,K21))</f>
        <v/>
      </c>
      <c r="K21" s="1">
        <f>IFERROR(MOD(_xlfn.AGGREGATE(15,6,Calc!$BN$2:$BN$2001/(Calc!$AW$2:$AW$2001=K$20),1),10000),"")</f>
        <v/>
      </c>
      <c r="L21" s="110">
        <f>IF(M21="","",INDEX(Calc!$AU$2:$AU$2001,M21))</f>
        <v/>
      </c>
      <c r="M21" s="1">
        <f>IFERROR(MOD(_xlfn.AGGREGATE(15,6,Calc!$BN$2:$BN$2001/(Calc!$AW$2:$AW$2001=M$20),1),10000),"")</f>
        <v/>
      </c>
      <c r="N21" s="110">
        <f>IF(O21="","",INDEX(Calc!$AU$2:$AU$2001,O21))</f>
        <v/>
      </c>
      <c r="O21" s="1">
        <f>IFERROR(MOD(_xlfn.AGGREGATE(15,6,Calc!$BN$2:$BN$2001/(Calc!$AW$2:$AW$2001=O$20),1),10000),"")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>
      <c r="A22" s="1" t="n"/>
      <c r="B22" s="110">
        <f>IF(C22="","",INDEX(Calc!$AU$2:$AU$2001,C22))</f>
        <v/>
      </c>
      <c r="C22" s="1">
        <f>IFERROR(MOD(_xlfn.AGGREGATE(15,6,Calc!$BN$2:$BN$2001/(Calc!$AW$2:$AW$2001=C$20),2),10000),"")</f>
        <v/>
      </c>
      <c r="D22" s="110">
        <f>IF(E22="","",INDEX(Calc!$AU$2:$AU$2001,E22))</f>
        <v/>
      </c>
      <c r="E22" s="1">
        <f>IFERROR(MOD(_xlfn.AGGREGATE(15,6,Calc!$BN$2:$BN$2001/(Calc!$AW$2:$AW$2001=E$20),2),10000),"")</f>
        <v/>
      </c>
      <c r="F22" s="110">
        <f>IF(G22="","",INDEX(Calc!$AU$2:$AU$2001,G22))</f>
        <v/>
      </c>
      <c r="G22" s="1">
        <f>IFERROR(MOD(_xlfn.AGGREGATE(15,6,Calc!$BN$2:$BN$2001/(Calc!$AW$2:$AW$2001=G$20),2),10000),"")</f>
        <v/>
      </c>
      <c r="H22" s="110">
        <f>IF(I22="","",INDEX(Calc!$AU$2:$AU$2001,I22))</f>
        <v/>
      </c>
      <c r="I22" s="1">
        <f>IFERROR(MOD(_xlfn.AGGREGATE(15,6,Calc!$BN$2:$BN$2001/(Calc!$AW$2:$AW$2001=I$20),2),10000),"")</f>
        <v/>
      </c>
      <c r="J22" s="110">
        <f>IF(K22="","",INDEX(Calc!$AU$2:$AU$2001,K22))</f>
        <v/>
      </c>
      <c r="K22" s="1">
        <f>IFERROR(MOD(_xlfn.AGGREGATE(15,6,Calc!$BN$2:$BN$2001/(Calc!$AW$2:$AW$2001=K$20),2),10000),"")</f>
        <v/>
      </c>
      <c r="L22" s="110">
        <f>IF(M22="","",INDEX(Calc!$AU$2:$AU$2001,M22))</f>
        <v/>
      </c>
      <c r="M22" s="1">
        <f>IFERROR(MOD(_xlfn.AGGREGATE(15,6,Calc!$BN$2:$BN$2001/(Calc!$AW$2:$AW$2001=M$20),2),10000),"")</f>
        <v/>
      </c>
      <c r="N22" s="110">
        <f>IF(O22="","",INDEX(Calc!$AU$2:$AU$2001,O22))</f>
        <v/>
      </c>
      <c r="O22" s="1">
        <f>IFERROR(MOD(_xlfn.AGGREGATE(15,6,Calc!$BN$2:$BN$2001/(Calc!$AW$2:$AW$2001=O$20),2),10000),"")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>
      <c r="A23" s="1" t="n"/>
      <c r="B23" s="110">
        <f>IF(C23="","",INDEX(Calc!$AU$2:$AU$2001,C23))</f>
        <v/>
      </c>
      <c r="C23" s="1">
        <f>IFERROR(MOD(_xlfn.AGGREGATE(15,6,Calc!$BN$2:$BN$2001/(Calc!$AW$2:$AW$2001=C$20),3),10000),"")</f>
        <v/>
      </c>
      <c r="D23" s="110">
        <f>IF(E23="","",INDEX(Calc!$AU$2:$AU$2001,E23))</f>
        <v/>
      </c>
      <c r="E23" s="1">
        <f>IFERROR(MOD(_xlfn.AGGREGATE(15,6,Calc!$BN$2:$BN$2001/(Calc!$AW$2:$AW$2001=E$20),3),10000),"")</f>
        <v/>
      </c>
      <c r="F23" s="110">
        <f>IF(G23="","",INDEX(Calc!$AU$2:$AU$2001,G23))</f>
        <v/>
      </c>
      <c r="G23" s="1">
        <f>IFERROR(MOD(_xlfn.AGGREGATE(15,6,Calc!$BN$2:$BN$2001/(Calc!$AW$2:$AW$2001=G$20),3),10000),"")</f>
        <v/>
      </c>
      <c r="H23" s="110">
        <f>IF(I23="","",INDEX(Calc!$AU$2:$AU$2001,I23))</f>
        <v/>
      </c>
      <c r="I23" s="1">
        <f>IFERROR(MOD(_xlfn.AGGREGATE(15,6,Calc!$BN$2:$BN$2001/(Calc!$AW$2:$AW$2001=I$20),3),10000),"")</f>
        <v/>
      </c>
      <c r="J23" s="110">
        <f>IF(K23="","",INDEX(Calc!$AU$2:$AU$2001,K23))</f>
        <v/>
      </c>
      <c r="K23" s="1">
        <f>IFERROR(MOD(_xlfn.AGGREGATE(15,6,Calc!$BN$2:$BN$2001/(Calc!$AW$2:$AW$2001=K$20),3),10000),"")</f>
        <v/>
      </c>
      <c r="L23" s="110">
        <f>IF(M23="","",INDEX(Calc!$AU$2:$AU$2001,M23))</f>
        <v/>
      </c>
      <c r="M23" s="1">
        <f>IFERROR(MOD(_xlfn.AGGREGATE(15,6,Calc!$BN$2:$BN$2001/(Calc!$AW$2:$AW$2001=M$20),3),10000),"")</f>
        <v/>
      </c>
      <c r="N23" s="110">
        <f>IF(O23="","",INDEX(Calc!$AU$2:$AU$2001,O23))</f>
        <v/>
      </c>
      <c r="O23" s="1">
        <f>IFERROR(MOD(_xlfn.AGGREGATE(15,6,Calc!$BN$2:$BN$2001/(Calc!$AW$2:$AW$2001=O$20),3),10000),"")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>
      <c r="A24" s="1" t="n"/>
      <c r="B24" s="110">
        <f>IF(C24="","",INDEX(Calc!$AU$2:$AU$2001,C24))</f>
        <v/>
      </c>
      <c r="C24" s="1">
        <f>IFERROR(MOD(_xlfn.AGGREGATE(15,6,Calc!$BN$2:$BN$2001/(Calc!$AW$2:$AW$2001=C$20),4),10000),"")</f>
        <v/>
      </c>
      <c r="D24" s="110">
        <f>IF(E24="","",INDEX(Calc!$AU$2:$AU$2001,E24))</f>
        <v/>
      </c>
      <c r="E24" s="1">
        <f>IFERROR(MOD(_xlfn.AGGREGATE(15,6,Calc!$BN$2:$BN$2001/(Calc!$AW$2:$AW$2001=E$20),4),10000),"")</f>
        <v/>
      </c>
      <c r="F24" s="110">
        <f>IF(G24="","",INDEX(Calc!$AU$2:$AU$2001,G24))</f>
        <v/>
      </c>
      <c r="G24" s="1">
        <f>IFERROR(MOD(_xlfn.AGGREGATE(15,6,Calc!$BN$2:$BN$2001/(Calc!$AW$2:$AW$2001=G$20),4),10000),"")</f>
        <v/>
      </c>
      <c r="H24" s="110">
        <f>IF(I24="","",INDEX(Calc!$AU$2:$AU$2001,I24))</f>
        <v/>
      </c>
      <c r="I24" s="1">
        <f>IFERROR(MOD(_xlfn.AGGREGATE(15,6,Calc!$BN$2:$BN$2001/(Calc!$AW$2:$AW$2001=I$20),4),10000),"")</f>
        <v/>
      </c>
      <c r="J24" s="110">
        <f>IF(K24="","",INDEX(Calc!$AU$2:$AU$2001,K24))</f>
        <v/>
      </c>
      <c r="K24" s="1">
        <f>IFERROR(MOD(_xlfn.AGGREGATE(15,6,Calc!$BN$2:$BN$2001/(Calc!$AW$2:$AW$2001=K$20),4),10000),"")</f>
        <v/>
      </c>
      <c r="L24" s="110">
        <f>IF(M24="","",INDEX(Calc!$AU$2:$AU$2001,M24))</f>
        <v/>
      </c>
      <c r="M24" s="1">
        <f>IFERROR(MOD(_xlfn.AGGREGATE(15,6,Calc!$BN$2:$BN$2001/(Calc!$AW$2:$AW$2001=M$20),4),10000),"")</f>
        <v/>
      </c>
      <c r="N24" s="110">
        <f>IF(O24="","",INDEX(Calc!$AU$2:$AU$2001,O24))</f>
        <v/>
      </c>
      <c r="O24" s="1">
        <f>IFERROR(MOD(_xlfn.AGGREGATE(15,6,Calc!$BN$2:$BN$2001/(Calc!$AW$2:$AW$2001=O$20),4),10000),"")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>
      <c r="A25" s="1" t="n"/>
      <c r="B25" s="110">
        <f>IF(C25="","",INDEX(Calc!$AU$2:$AU$2001,C25))</f>
        <v/>
      </c>
      <c r="C25" s="1">
        <f>IFERROR(MOD(_xlfn.AGGREGATE(15,6,Calc!$BN$2:$BN$2001/(Calc!$AW$2:$AW$2001=C$20),5),10000),"")</f>
        <v/>
      </c>
      <c r="D25" s="110">
        <f>IF(E25="","",INDEX(Calc!$AU$2:$AU$2001,E25))</f>
        <v/>
      </c>
      <c r="E25" s="1">
        <f>IFERROR(MOD(_xlfn.AGGREGATE(15,6,Calc!$BN$2:$BN$2001/(Calc!$AW$2:$AW$2001=E$20),5),10000),"")</f>
        <v/>
      </c>
      <c r="F25" s="110">
        <f>IF(G25="","",INDEX(Calc!$AU$2:$AU$2001,G25))</f>
        <v/>
      </c>
      <c r="G25" s="1">
        <f>IFERROR(MOD(_xlfn.AGGREGATE(15,6,Calc!$BN$2:$BN$2001/(Calc!$AW$2:$AW$2001=G$20),5),10000),"")</f>
        <v/>
      </c>
      <c r="H25" s="110">
        <f>IF(I25="","",INDEX(Calc!$AU$2:$AU$2001,I25))</f>
        <v/>
      </c>
      <c r="I25" s="1">
        <f>IFERROR(MOD(_xlfn.AGGREGATE(15,6,Calc!$BN$2:$BN$2001/(Calc!$AW$2:$AW$2001=I$20),5),10000),"")</f>
        <v/>
      </c>
      <c r="J25" s="110">
        <f>IF(K25="","",INDEX(Calc!$AU$2:$AU$2001,K25))</f>
        <v/>
      </c>
      <c r="K25" s="1">
        <f>IFERROR(MOD(_xlfn.AGGREGATE(15,6,Calc!$BN$2:$BN$2001/(Calc!$AW$2:$AW$2001=K$20),5),10000),"")</f>
        <v/>
      </c>
      <c r="L25" s="110">
        <f>IF(M25="","",INDEX(Calc!$AU$2:$AU$2001,M25))</f>
        <v/>
      </c>
      <c r="M25" s="1">
        <f>IFERROR(MOD(_xlfn.AGGREGATE(15,6,Calc!$BN$2:$BN$2001/(Calc!$AW$2:$AW$2001=M$20),5),10000),"")</f>
        <v/>
      </c>
      <c r="N25" s="110">
        <f>IF(O25="","",INDEX(Calc!$AU$2:$AU$2001,O25))</f>
        <v/>
      </c>
      <c r="O25" s="1">
        <f>IFERROR(MOD(_xlfn.AGGREGATE(15,6,Calc!$BN$2:$BN$2001/(Calc!$AW$2:$AW$2001=O$20),5),10000),"")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>
      <c r="A26" s="1" t="n"/>
      <c r="B26" s="105">
        <f>IF(C26="","",INDEX(Calc!$AU$2:$AU$2001,C26))</f>
        <v/>
      </c>
      <c r="C26" s="1">
        <f>IFERROR(MOD(_xlfn.AGGREGATE(15,6,Calc!$BN$2:$BN$2001/(Calc!$AW$2:$AW$2001=C$20),6),10000),"")</f>
        <v/>
      </c>
      <c r="D26" s="105">
        <f>IF(E26="","",INDEX(Calc!$AU$2:$AU$2001,E26))</f>
        <v/>
      </c>
      <c r="E26" s="1">
        <f>IFERROR(MOD(_xlfn.AGGREGATE(15,6,Calc!$BN$2:$BN$2001/(Calc!$AW$2:$AW$2001=E$20),6),10000),"")</f>
        <v/>
      </c>
      <c r="F26" s="105">
        <f>IF(G26="","",INDEX(Calc!$AU$2:$AU$2001,G26))</f>
        <v/>
      </c>
      <c r="G26" s="1">
        <f>IFERROR(MOD(_xlfn.AGGREGATE(15,6,Calc!$BN$2:$BN$2001/(Calc!$AW$2:$AW$2001=G$20),6),10000),"")</f>
        <v/>
      </c>
      <c r="H26" s="105">
        <f>IF(I26="","",INDEX(Calc!$AU$2:$AU$2001,I26))</f>
        <v/>
      </c>
      <c r="I26" s="1">
        <f>IFERROR(MOD(_xlfn.AGGREGATE(15,6,Calc!$BN$2:$BN$2001/(Calc!$AW$2:$AW$2001=I$20),6),10000),"")</f>
        <v/>
      </c>
      <c r="J26" s="105">
        <f>IF(K26="","",INDEX(Calc!$AU$2:$AU$2001,K26))</f>
        <v/>
      </c>
      <c r="K26" s="1">
        <f>IFERROR(MOD(_xlfn.AGGREGATE(15,6,Calc!$BN$2:$BN$2001/(Calc!$AW$2:$AW$2001=K$20),6),10000),"")</f>
        <v/>
      </c>
      <c r="L26" s="105">
        <f>IF(M26="","",INDEX(Calc!$AU$2:$AU$2001,M26))</f>
        <v/>
      </c>
      <c r="M26" s="1">
        <f>IFERROR(MOD(_xlfn.AGGREGATE(15,6,Calc!$BN$2:$BN$2001/(Calc!$AW$2:$AW$2001=M$20),6),10000),"")</f>
        <v/>
      </c>
      <c r="N26" s="105">
        <f>IF(O26="","",INDEX(Calc!$AU$2:$AU$2001,O26))</f>
        <v/>
      </c>
      <c r="O26" s="1">
        <f>IFERROR(MOD(_xlfn.AGGREGATE(15,6,Calc!$BN$2:$BN$2001/(Calc!$AW$2:$AW$2001=O$20),6),10000),"")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>
      <c r="A27" s="1" t="n"/>
      <c r="B27" s="109">
        <f>DAY(C27)</f>
        <v/>
      </c>
      <c r="C27" s="1">
        <f>$R$4+21</f>
        <v/>
      </c>
      <c r="D27" s="109">
        <f>DAY(E27)</f>
        <v/>
      </c>
      <c r="E27" s="1">
        <f>$R$4+22</f>
        <v/>
      </c>
      <c r="F27" s="109">
        <f>DAY(G27)</f>
        <v/>
      </c>
      <c r="G27" s="1">
        <f>$R$4+23</f>
        <v/>
      </c>
      <c r="H27" s="109">
        <f>DAY(I27)</f>
        <v/>
      </c>
      <c r="I27" s="1">
        <f>$R$4+24</f>
        <v/>
      </c>
      <c r="J27" s="109">
        <f>DAY(K27)</f>
        <v/>
      </c>
      <c r="K27" s="1">
        <f>$R$4+25</f>
        <v/>
      </c>
      <c r="L27" s="109">
        <f>DAY(M27)</f>
        <v/>
      </c>
      <c r="M27" s="1">
        <f>$R$4+26</f>
        <v/>
      </c>
      <c r="N27" s="109">
        <f>DAY(O27)</f>
        <v/>
      </c>
      <c r="O27" s="1">
        <f>$R$4+27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>
      <c r="A28" s="1" t="n"/>
      <c r="B28" s="110">
        <f>IF(C28="","",INDEX(Calc!$AU$2:$AU$2001,C28))</f>
        <v/>
      </c>
      <c r="C28" s="1">
        <f>IFERROR(MOD(_xlfn.AGGREGATE(15,6,Calc!$BN$2:$BN$2001/(Calc!$AW$2:$AW$2001=C$27),1),10000),"")</f>
        <v/>
      </c>
      <c r="D28" s="110">
        <f>IF(E28="","",INDEX(Calc!$AU$2:$AU$2001,E28))</f>
        <v/>
      </c>
      <c r="E28" s="1">
        <f>IFERROR(MOD(_xlfn.AGGREGATE(15,6,Calc!$BN$2:$BN$2001/(Calc!$AW$2:$AW$2001=E$27),1),10000),"")</f>
        <v/>
      </c>
      <c r="F28" s="110">
        <f>IF(G28="","",INDEX(Calc!$AU$2:$AU$2001,G28))</f>
        <v/>
      </c>
      <c r="G28" s="1">
        <f>IFERROR(MOD(_xlfn.AGGREGATE(15,6,Calc!$BN$2:$BN$2001/(Calc!$AW$2:$AW$2001=G$27),1),10000),"")</f>
        <v/>
      </c>
      <c r="H28" s="110">
        <f>IF(I28="","",INDEX(Calc!$AU$2:$AU$2001,I28))</f>
        <v/>
      </c>
      <c r="I28" s="1">
        <f>IFERROR(MOD(_xlfn.AGGREGATE(15,6,Calc!$BN$2:$BN$2001/(Calc!$AW$2:$AW$2001=I$27),1),10000),"")</f>
        <v/>
      </c>
      <c r="J28" s="110">
        <f>IF(K28="","",INDEX(Calc!$AU$2:$AU$2001,K28))</f>
        <v/>
      </c>
      <c r="K28" s="1">
        <f>IFERROR(MOD(_xlfn.AGGREGATE(15,6,Calc!$BN$2:$BN$2001/(Calc!$AW$2:$AW$2001=K$27),1),10000),"")</f>
        <v/>
      </c>
      <c r="L28" s="110">
        <f>IF(M28="","",INDEX(Calc!$AU$2:$AU$2001,M28))</f>
        <v/>
      </c>
      <c r="M28" s="1">
        <f>IFERROR(MOD(_xlfn.AGGREGATE(15,6,Calc!$BN$2:$BN$2001/(Calc!$AW$2:$AW$2001=M$27),1),10000),"")</f>
        <v/>
      </c>
      <c r="N28" s="110">
        <f>IF(O28="","",INDEX(Calc!$AU$2:$AU$2001,O28))</f>
        <v/>
      </c>
      <c r="O28" s="1">
        <f>IFERROR(MOD(_xlfn.AGGREGATE(15,6,Calc!$BN$2:$BN$2001/(Calc!$AW$2:$AW$2001=O$27),1),10000),"")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>
      <c r="A29" s="1" t="n"/>
      <c r="B29" s="110">
        <f>IF(C29="","",INDEX(Calc!$AU$2:$AU$2001,C29))</f>
        <v/>
      </c>
      <c r="C29" s="1">
        <f>IFERROR(MOD(_xlfn.AGGREGATE(15,6,Calc!$BN$2:$BN$2001/(Calc!$AW$2:$AW$2001=C$27),2),10000),"")</f>
        <v/>
      </c>
      <c r="D29" s="110">
        <f>IF(E29="","",INDEX(Calc!$AU$2:$AU$2001,E29))</f>
        <v/>
      </c>
      <c r="E29" s="1">
        <f>IFERROR(MOD(_xlfn.AGGREGATE(15,6,Calc!$BN$2:$BN$2001/(Calc!$AW$2:$AW$2001=E$27),2),10000),"")</f>
        <v/>
      </c>
      <c r="F29" s="110">
        <f>IF(G29="","",INDEX(Calc!$AU$2:$AU$2001,G29))</f>
        <v/>
      </c>
      <c r="G29" s="1">
        <f>IFERROR(MOD(_xlfn.AGGREGATE(15,6,Calc!$BN$2:$BN$2001/(Calc!$AW$2:$AW$2001=G$27),2),10000),"")</f>
        <v/>
      </c>
      <c r="H29" s="110">
        <f>IF(I29="","",INDEX(Calc!$AU$2:$AU$2001,I29))</f>
        <v/>
      </c>
      <c r="I29" s="1">
        <f>IFERROR(MOD(_xlfn.AGGREGATE(15,6,Calc!$BN$2:$BN$2001/(Calc!$AW$2:$AW$2001=I$27),2),10000),"")</f>
        <v/>
      </c>
      <c r="J29" s="110">
        <f>IF(K29="","",INDEX(Calc!$AU$2:$AU$2001,K29))</f>
        <v/>
      </c>
      <c r="K29" s="1">
        <f>IFERROR(MOD(_xlfn.AGGREGATE(15,6,Calc!$BN$2:$BN$2001/(Calc!$AW$2:$AW$2001=K$27),2),10000),"")</f>
        <v/>
      </c>
      <c r="L29" s="110">
        <f>IF(M29="","",INDEX(Calc!$AU$2:$AU$2001,M29))</f>
        <v/>
      </c>
      <c r="M29" s="1">
        <f>IFERROR(MOD(_xlfn.AGGREGATE(15,6,Calc!$BN$2:$BN$2001/(Calc!$AW$2:$AW$2001=M$27),2),10000),"")</f>
        <v/>
      </c>
      <c r="N29" s="110">
        <f>IF(O29="","",INDEX(Calc!$AU$2:$AU$2001,O29))</f>
        <v/>
      </c>
      <c r="O29" s="1">
        <f>IFERROR(MOD(_xlfn.AGGREGATE(15,6,Calc!$BN$2:$BN$2001/(Calc!$AW$2:$AW$2001=O$27),2),10000),"")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>
      <c r="A30" s="1" t="n"/>
      <c r="B30" s="110">
        <f>IF(C30="","",INDEX(Calc!$AU$2:$AU$2001,C30))</f>
        <v/>
      </c>
      <c r="C30" s="1">
        <f>IFERROR(MOD(_xlfn.AGGREGATE(15,6,Calc!$BN$2:$BN$2001/(Calc!$AW$2:$AW$2001=C$27),3),10000),"")</f>
        <v/>
      </c>
      <c r="D30" s="110">
        <f>IF(E30="","",INDEX(Calc!$AU$2:$AU$2001,E30))</f>
        <v/>
      </c>
      <c r="E30" s="1">
        <f>IFERROR(MOD(_xlfn.AGGREGATE(15,6,Calc!$BN$2:$BN$2001/(Calc!$AW$2:$AW$2001=E$27),3),10000),"")</f>
        <v/>
      </c>
      <c r="F30" s="110">
        <f>IF(G30="","",INDEX(Calc!$AU$2:$AU$2001,G30))</f>
        <v/>
      </c>
      <c r="G30" s="1">
        <f>IFERROR(MOD(_xlfn.AGGREGATE(15,6,Calc!$BN$2:$BN$2001/(Calc!$AW$2:$AW$2001=G$27),3),10000),"")</f>
        <v/>
      </c>
      <c r="H30" s="110">
        <f>IF(I30="","",INDEX(Calc!$AU$2:$AU$2001,I30))</f>
        <v/>
      </c>
      <c r="I30" s="1">
        <f>IFERROR(MOD(_xlfn.AGGREGATE(15,6,Calc!$BN$2:$BN$2001/(Calc!$AW$2:$AW$2001=I$27),3),10000),"")</f>
        <v/>
      </c>
      <c r="J30" s="110">
        <f>IF(K30="","",INDEX(Calc!$AU$2:$AU$2001,K30))</f>
        <v/>
      </c>
      <c r="K30" s="1">
        <f>IFERROR(MOD(_xlfn.AGGREGATE(15,6,Calc!$BN$2:$BN$2001/(Calc!$AW$2:$AW$2001=K$27),3),10000),"")</f>
        <v/>
      </c>
      <c r="L30" s="110">
        <f>IF(M30="","",INDEX(Calc!$AU$2:$AU$2001,M30))</f>
        <v/>
      </c>
      <c r="M30" s="1">
        <f>IFERROR(MOD(_xlfn.AGGREGATE(15,6,Calc!$BN$2:$BN$2001/(Calc!$AW$2:$AW$2001=M$27),3),10000),"")</f>
        <v/>
      </c>
      <c r="N30" s="110">
        <f>IF(O30="","",INDEX(Calc!$AU$2:$AU$2001,O30))</f>
        <v/>
      </c>
      <c r="O30" s="1">
        <f>IFERROR(MOD(_xlfn.AGGREGATE(15,6,Calc!$BN$2:$BN$2001/(Calc!$AW$2:$AW$2001=O$27),3),10000),"")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>
      <c r="A31" s="1" t="n"/>
      <c r="B31" s="110">
        <f>IF(C31="","",INDEX(Calc!$AU$2:$AU$2001,C31))</f>
        <v/>
      </c>
      <c r="C31" s="1">
        <f>IFERROR(MOD(_xlfn.AGGREGATE(15,6,Calc!$BN$2:$BN$2001/(Calc!$AW$2:$AW$2001=C$27),4),10000),"")</f>
        <v/>
      </c>
      <c r="D31" s="110">
        <f>IF(E31="","",INDEX(Calc!$AU$2:$AU$2001,E31))</f>
        <v/>
      </c>
      <c r="E31" s="1">
        <f>IFERROR(MOD(_xlfn.AGGREGATE(15,6,Calc!$BN$2:$BN$2001/(Calc!$AW$2:$AW$2001=E$27),4),10000),"")</f>
        <v/>
      </c>
      <c r="F31" s="110">
        <f>IF(G31="","",INDEX(Calc!$AU$2:$AU$2001,G31))</f>
        <v/>
      </c>
      <c r="G31" s="1">
        <f>IFERROR(MOD(_xlfn.AGGREGATE(15,6,Calc!$BN$2:$BN$2001/(Calc!$AW$2:$AW$2001=G$27),4),10000),"")</f>
        <v/>
      </c>
      <c r="H31" s="110">
        <f>IF(I31="","",INDEX(Calc!$AU$2:$AU$2001,I31))</f>
        <v/>
      </c>
      <c r="I31" s="1">
        <f>IFERROR(MOD(_xlfn.AGGREGATE(15,6,Calc!$BN$2:$BN$2001/(Calc!$AW$2:$AW$2001=I$27),4),10000),"")</f>
        <v/>
      </c>
      <c r="J31" s="110">
        <f>IF(K31="","",INDEX(Calc!$AU$2:$AU$2001,K31))</f>
        <v/>
      </c>
      <c r="K31" s="1">
        <f>IFERROR(MOD(_xlfn.AGGREGATE(15,6,Calc!$BN$2:$BN$2001/(Calc!$AW$2:$AW$2001=K$27),4),10000),"")</f>
        <v/>
      </c>
      <c r="L31" s="110">
        <f>IF(M31="","",INDEX(Calc!$AU$2:$AU$2001,M31))</f>
        <v/>
      </c>
      <c r="M31" s="1">
        <f>IFERROR(MOD(_xlfn.AGGREGATE(15,6,Calc!$BN$2:$BN$2001/(Calc!$AW$2:$AW$2001=M$27),4),10000),"")</f>
        <v/>
      </c>
      <c r="N31" s="110">
        <f>IF(O31="","",INDEX(Calc!$AU$2:$AU$2001,O31))</f>
        <v/>
      </c>
      <c r="O31" s="1">
        <f>IFERROR(MOD(_xlfn.AGGREGATE(15,6,Calc!$BN$2:$BN$2001/(Calc!$AW$2:$AW$2001=O$27),4),10000),"")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>
      <c r="A32" s="1" t="n"/>
      <c r="B32" s="110">
        <f>IF(C32="","",INDEX(Calc!$AU$2:$AU$2001,C32))</f>
        <v/>
      </c>
      <c r="C32" s="1">
        <f>IFERROR(MOD(_xlfn.AGGREGATE(15,6,Calc!$BN$2:$BN$2001/(Calc!$AW$2:$AW$2001=C$27),5),10000),"")</f>
        <v/>
      </c>
      <c r="D32" s="110">
        <f>IF(E32="","",INDEX(Calc!$AU$2:$AU$2001,E32))</f>
        <v/>
      </c>
      <c r="E32" s="1">
        <f>IFERROR(MOD(_xlfn.AGGREGATE(15,6,Calc!$BN$2:$BN$2001/(Calc!$AW$2:$AW$2001=E$27),5),10000),"")</f>
        <v/>
      </c>
      <c r="F32" s="110">
        <f>IF(G32="","",INDEX(Calc!$AU$2:$AU$2001,G32))</f>
        <v/>
      </c>
      <c r="G32" s="1">
        <f>IFERROR(MOD(_xlfn.AGGREGATE(15,6,Calc!$BN$2:$BN$2001/(Calc!$AW$2:$AW$2001=G$27),5),10000),"")</f>
        <v/>
      </c>
      <c r="H32" s="110">
        <f>IF(I32="","",INDEX(Calc!$AU$2:$AU$2001,I32))</f>
        <v/>
      </c>
      <c r="I32" s="1">
        <f>IFERROR(MOD(_xlfn.AGGREGATE(15,6,Calc!$BN$2:$BN$2001/(Calc!$AW$2:$AW$2001=I$27),5),10000),"")</f>
        <v/>
      </c>
      <c r="J32" s="110">
        <f>IF(K32="","",INDEX(Calc!$AU$2:$AU$2001,K32))</f>
        <v/>
      </c>
      <c r="K32" s="1">
        <f>IFERROR(MOD(_xlfn.AGGREGATE(15,6,Calc!$BN$2:$BN$2001/(Calc!$AW$2:$AW$2001=K$27),5),10000),"")</f>
        <v/>
      </c>
      <c r="L32" s="110">
        <f>IF(M32="","",INDEX(Calc!$AU$2:$AU$2001,M32))</f>
        <v/>
      </c>
      <c r="M32" s="1">
        <f>IFERROR(MOD(_xlfn.AGGREGATE(15,6,Calc!$BN$2:$BN$2001/(Calc!$AW$2:$AW$2001=M$27),5),10000),"")</f>
        <v/>
      </c>
      <c r="N32" s="110">
        <f>IF(O32="","",INDEX(Calc!$AU$2:$AU$2001,O32))</f>
        <v/>
      </c>
      <c r="O32" s="1">
        <f>IFERROR(MOD(_xlfn.AGGREGATE(15,6,Calc!$BN$2:$BN$2001/(Calc!$AW$2:$AW$2001=O$27),5),10000),"")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>
      <c r="A33" s="1" t="n"/>
      <c r="B33" s="105">
        <f>IF(C33="","",INDEX(Calc!$AU$2:$AU$2001,C33))</f>
        <v/>
      </c>
      <c r="C33" s="1">
        <f>IFERROR(MOD(_xlfn.AGGREGATE(15,6,Calc!$BN$2:$BN$2001/(Calc!$AW$2:$AW$2001=C$27),6),10000),"")</f>
        <v/>
      </c>
      <c r="D33" s="105">
        <f>IF(E33="","",INDEX(Calc!$AU$2:$AU$2001,E33))</f>
        <v/>
      </c>
      <c r="E33" s="1">
        <f>IFERROR(MOD(_xlfn.AGGREGATE(15,6,Calc!$BN$2:$BN$2001/(Calc!$AW$2:$AW$2001=E$27),6),10000),"")</f>
        <v/>
      </c>
      <c r="F33" s="105">
        <f>IF(G33="","",INDEX(Calc!$AU$2:$AU$2001,G33))</f>
        <v/>
      </c>
      <c r="G33" s="1">
        <f>IFERROR(MOD(_xlfn.AGGREGATE(15,6,Calc!$BN$2:$BN$2001/(Calc!$AW$2:$AW$2001=G$27),6),10000),"")</f>
        <v/>
      </c>
      <c r="H33" s="105">
        <f>IF(I33="","",INDEX(Calc!$AU$2:$AU$2001,I33))</f>
        <v/>
      </c>
      <c r="I33" s="1">
        <f>IFERROR(MOD(_xlfn.AGGREGATE(15,6,Calc!$BN$2:$BN$2001/(Calc!$AW$2:$AW$2001=I$27),6),10000),"")</f>
        <v/>
      </c>
      <c r="J33" s="105">
        <f>IF(K33="","",INDEX(Calc!$AU$2:$AU$2001,K33))</f>
        <v/>
      </c>
      <c r="K33" s="1">
        <f>IFERROR(MOD(_xlfn.AGGREGATE(15,6,Calc!$BN$2:$BN$2001/(Calc!$AW$2:$AW$2001=K$27),6),10000),"")</f>
        <v/>
      </c>
      <c r="L33" s="105">
        <f>IF(M33="","",INDEX(Calc!$AU$2:$AU$2001,M33))</f>
        <v/>
      </c>
      <c r="M33" s="1">
        <f>IFERROR(MOD(_xlfn.AGGREGATE(15,6,Calc!$BN$2:$BN$2001/(Calc!$AW$2:$AW$2001=M$27),6),10000),"")</f>
        <v/>
      </c>
      <c r="N33" s="105">
        <f>IF(O33="","",INDEX(Calc!$AU$2:$AU$2001,O33))</f>
        <v/>
      </c>
      <c r="O33" s="1">
        <f>IFERROR(MOD(_xlfn.AGGREGATE(15,6,Calc!$BN$2:$BN$2001/(Calc!$AW$2:$AW$2001=O$27),6),10000),"")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>
      <c r="A34" s="1" t="n"/>
      <c r="B34" s="109">
        <f>DAY(C34)</f>
        <v/>
      </c>
      <c r="C34" s="1">
        <f>$R$4+28</f>
        <v/>
      </c>
      <c r="D34" s="109">
        <f>DAY(E34)</f>
        <v/>
      </c>
      <c r="E34" s="1">
        <f>$R$4+29</f>
        <v/>
      </c>
      <c r="F34" s="109">
        <f>DAY(G34)</f>
        <v/>
      </c>
      <c r="G34" s="1">
        <f>$R$4+30</f>
        <v/>
      </c>
      <c r="H34" s="109">
        <f>DAY(I34)</f>
        <v/>
      </c>
      <c r="I34" s="1">
        <f>$R$4+31</f>
        <v/>
      </c>
      <c r="J34" s="109">
        <f>DAY(K34)</f>
        <v/>
      </c>
      <c r="K34" s="1">
        <f>$R$4+32</f>
        <v/>
      </c>
      <c r="L34" s="109">
        <f>DAY(M34)</f>
        <v/>
      </c>
      <c r="M34" s="1">
        <f>$R$4+33</f>
        <v/>
      </c>
      <c r="N34" s="109">
        <f>DAY(O34)</f>
        <v/>
      </c>
      <c r="O34" s="1">
        <f>$R$4+34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>
      <c r="A35" s="1" t="n"/>
      <c r="B35" s="110">
        <f>IF(C35="","",INDEX(Calc!$AU$2:$AU$2001,C35))</f>
        <v/>
      </c>
      <c r="C35" s="1">
        <f>IFERROR(MOD(_xlfn.AGGREGATE(15,6,Calc!$BN$2:$BN$2001/(Calc!$AW$2:$AW$2001=C$34),1),10000),"")</f>
        <v/>
      </c>
      <c r="D35" s="110">
        <f>IF(E35="","",INDEX(Calc!$AU$2:$AU$2001,E35))</f>
        <v/>
      </c>
      <c r="E35" s="1">
        <f>IFERROR(MOD(_xlfn.AGGREGATE(15,6,Calc!$BN$2:$BN$2001/(Calc!$AW$2:$AW$2001=E$34),1),10000),"")</f>
        <v/>
      </c>
      <c r="F35" s="110">
        <f>IF(G35="","",INDEX(Calc!$AU$2:$AU$2001,G35))</f>
        <v/>
      </c>
      <c r="G35" s="1">
        <f>IFERROR(MOD(_xlfn.AGGREGATE(15,6,Calc!$BN$2:$BN$2001/(Calc!$AW$2:$AW$2001=G$34),1),10000),"")</f>
        <v/>
      </c>
      <c r="H35" s="110">
        <f>IF(I35="","",INDEX(Calc!$AU$2:$AU$2001,I35))</f>
        <v/>
      </c>
      <c r="I35" s="1">
        <f>IFERROR(MOD(_xlfn.AGGREGATE(15,6,Calc!$BN$2:$BN$2001/(Calc!$AW$2:$AW$2001=I$34),1),10000),"")</f>
        <v/>
      </c>
      <c r="J35" s="110">
        <f>IF(K35="","",INDEX(Calc!$AU$2:$AU$2001,K35))</f>
        <v/>
      </c>
      <c r="K35" s="1">
        <f>IFERROR(MOD(_xlfn.AGGREGATE(15,6,Calc!$BN$2:$BN$2001/(Calc!$AW$2:$AW$2001=K$34),1),10000),"")</f>
        <v/>
      </c>
      <c r="L35" s="110">
        <f>IF(M35="","",INDEX(Calc!$AU$2:$AU$2001,M35))</f>
        <v/>
      </c>
      <c r="M35" s="1">
        <f>IFERROR(MOD(_xlfn.AGGREGATE(15,6,Calc!$BN$2:$BN$2001/(Calc!$AW$2:$AW$2001=M$34),1),10000),"")</f>
        <v/>
      </c>
      <c r="N35" s="110">
        <f>IF(O35="","",INDEX(Calc!$AU$2:$AU$2001,O35))</f>
        <v/>
      </c>
      <c r="O35" s="1">
        <f>IFERROR(MOD(_xlfn.AGGREGATE(15,6,Calc!$BN$2:$BN$2001/(Calc!$AW$2:$AW$2001=O$34),1),10000),"")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>
      <c r="A36" s="1" t="n"/>
      <c r="B36" s="110">
        <f>IF(C36="","",INDEX(Calc!$AU$2:$AU$2001,C36))</f>
        <v/>
      </c>
      <c r="C36" s="1">
        <f>IFERROR(MOD(_xlfn.AGGREGATE(15,6,Calc!$BN$2:$BN$2001/(Calc!$AW$2:$AW$2001=C$34),2),10000),"")</f>
        <v/>
      </c>
      <c r="D36" s="110">
        <f>IF(E36="","",INDEX(Calc!$AU$2:$AU$2001,E36))</f>
        <v/>
      </c>
      <c r="E36" s="1">
        <f>IFERROR(MOD(_xlfn.AGGREGATE(15,6,Calc!$BN$2:$BN$2001/(Calc!$AW$2:$AW$2001=E$34),2),10000),"")</f>
        <v/>
      </c>
      <c r="F36" s="110">
        <f>IF(G36="","",INDEX(Calc!$AU$2:$AU$2001,G36))</f>
        <v/>
      </c>
      <c r="G36" s="1">
        <f>IFERROR(MOD(_xlfn.AGGREGATE(15,6,Calc!$BN$2:$BN$2001/(Calc!$AW$2:$AW$2001=G$34),2),10000),"")</f>
        <v/>
      </c>
      <c r="H36" s="110">
        <f>IF(I36="","",INDEX(Calc!$AU$2:$AU$2001,I36))</f>
        <v/>
      </c>
      <c r="I36" s="1">
        <f>IFERROR(MOD(_xlfn.AGGREGATE(15,6,Calc!$BN$2:$BN$2001/(Calc!$AW$2:$AW$2001=I$34),2),10000),"")</f>
        <v/>
      </c>
      <c r="J36" s="110">
        <f>IF(K36="","",INDEX(Calc!$AU$2:$AU$2001,K36))</f>
        <v/>
      </c>
      <c r="K36" s="1">
        <f>IFERROR(MOD(_xlfn.AGGREGATE(15,6,Calc!$BN$2:$BN$2001/(Calc!$AW$2:$AW$2001=K$34),2),10000),"")</f>
        <v/>
      </c>
      <c r="L36" s="110">
        <f>IF(M36="","",INDEX(Calc!$AU$2:$AU$2001,M36))</f>
        <v/>
      </c>
      <c r="M36" s="1">
        <f>IFERROR(MOD(_xlfn.AGGREGATE(15,6,Calc!$BN$2:$BN$2001/(Calc!$AW$2:$AW$2001=M$34),2),10000),"")</f>
        <v/>
      </c>
      <c r="N36" s="110">
        <f>IF(O36="","",INDEX(Calc!$AU$2:$AU$2001,O36))</f>
        <v/>
      </c>
      <c r="O36" s="1">
        <f>IFERROR(MOD(_xlfn.AGGREGATE(15,6,Calc!$BN$2:$BN$2001/(Calc!$AW$2:$AW$2001=O$34),2),10000),"")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>
      <c r="A37" s="1" t="n"/>
      <c r="B37" s="110">
        <f>IF(C37="","",INDEX(Calc!$AU$2:$AU$2001,C37))</f>
        <v/>
      </c>
      <c r="C37" s="1">
        <f>IFERROR(MOD(_xlfn.AGGREGATE(15,6,Calc!$BN$2:$BN$2001/(Calc!$AW$2:$AW$2001=C$34),3),10000),"")</f>
        <v/>
      </c>
      <c r="D37" s="110">
        <f>IF(E37="","",INDEX(Calc!$AU$2:$AU$2001,E37))</f>
        <v/>
      </c>
      <c r="E37" s="1">
        <f>IFERROR(MOD(_xlfn.AGGREGATE(15,6,Calc!$BN$2:$BN$2001/(Calc!$AW$2:$AW$2001=E$34),3),10000),"")</f>
        <v/>
      </c>
      <c r="F37" s="110">
        <f>IF(G37="","",INDEX(Calc!$AU$2:$AU$2001,G37))</f>
        <v/>
      </c>
      <c r="G37" s="1">
        <f>IFERROR(MOD(_xlfn.AGGREGATE(15,6,Calc!$BN$2:$BN$2001/(Calc!$AW$2:$AW$2001=G$34),3),10000),"")</f>
        <v/>
      </c>
      <c r="H37" s="110">
        <f>IF(I37="","",INDEX(Calc!$AU$2:$AU$2001,I37))</f>
        <v/>
      </c>
      <c r="I37" s="1">
        <f>IFERROR(MOD(_xlfn.AGGREGATE(15,6,Calc!$BN$2:$BN$2001/(Calc!$AW$2:$AW$2001=I$34),3),10000),"")</f>
        <v/>
      </c>
      <c r="J37" s="110">
        <f>IF(K37="","",INDEX(Calc!$AU$2:$AU$2001,K37))</f>
        <v/>
      </c>
      <c r="K37" s="1">
        <f>IFERROR(MOD(_xlfn.AGGREGATE(15,6,Calc!$BN$2:$BN$2001/(Calc!$AW$2:$AW$2001=K$34),3),10000),"")</f>
        <v/>
      </c>
      <c r="L37" s="110">
        <f>IF(M37="","",INDEX(Calc!$AU$2:$AU$2001,M37))</f>
        <v/>
      </c>
      <c r="M37" s="1">
        <f>IFERROR(MOD(_xlfn.AGGREGATE(15,6,Calc!$BN$2:$BN$2001/(Calc!$AW$2:$AW$2001=M$34),3),10000),"")</f>
        <v/>
      </c>
      <c r="N37" s="110">
        <f>IF(O37="","",INDEX(Calc!$AU$2:$AU$2001,O37))</f>
        <v/>
      </c>
      <c r="O37" s="1">
        <f>IFERROR(MOD(_xlfn.AGGREGATE(15,6,Calc!$BN$2:$BN$2001/(Calc!$AW$2:$AW$2001=O$34),3),10000),"")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>
      <c r="A38" s="1" t="n"/>
      <c r="B38" s="110">
        <f>IF(C38="","",INDEX(Calc!$AU$2:$AU$2001,C38))</f>
        <v/>
      </c>
      <c r="C38" s="1">
        <f>IFERROR(MOD(_xlfn.AGGREGATE(15,6,Calc!$BN$2:$BN$2001/(Calc!$AW$2:$AW$2001=C$34),4),10000),"")</f>
        <v/>
      </c>
      <c r="D38" s="110">
        <f>IF(E38="","",INDEX(Calc!$AU$2:$AU$2001,E38))</f>
        <v/>
      </c>
      <c r="E38" s="1">
        <f>IFERROR(MOD(_xlfn.AGGREGATE(15,6,Calc!$BN$2:$BN$2001/(Calc!$AW$2:$AW$2001=E$34),4),10000),"")</f>
        <v/>
      </c>
      <c r="F38" s="110">
        <f>IF(G38="","",INDEX(Calc!$AU$2:$AU$2001,G38))</f>
        <v/>
      </c>
      <c r="G38" s="1">
        <f>IFERROR(MOD(_xlfn.AGGREGATE(15,6,Calc!$BN$2:$BN$2001/(Calc!$AW$2:$AW$2001=G$34),4),10000),"")</f>
        <v/>
      </c>
      <c r="H38" s="110">
        <f>IF(I38="","",INDEX(Calc!$AU$2:$AU$2001,I38))</f>
        <v/>
      </c>
      <c r="I38" s="1">
        <f>IFERROR(MOD(_xlfn.AGGREGATE(15,6,Calc!$BN$2:$BN$2001/(Calc!$AW$2:$AW$2001=I$34),4),10000),"")</f>
        <v/>
      </c>
      <c r="J38" s="110">
        <f>IF(K38="","",INDEX(Calc!$AU$2:$AU$2001,K38))</f>
        <v/>
      </c>
      <c r="K38" s="1">
        <f>IFERROR(MOD(_xlfn.AGGREGATE(15,6,Calc!$BN$2:$BN$2001/(Calc!$AW$2:$AW$2001=K$34),4),10000),"")</f>
        <v/>
      </c>
      <c r="L38" s="110">
        <f>IF(M38="","",INDEX(Calc!$AU$2:$AU$2001,M38))</f>
        <v/>
      </c>
      <c r="M38" s="1">
        <f>IFERROR(MOD(_xlfn.AGGREGATE(15,6,Calc!$BN$2:$BN$2001/(Calc!$AW$2:$AW$2001=M$34),4),10000),"")</f>
        <v/>
      </c>
      <c r="N38" s="110">
        <f>IF(O38="","",INDEX(Calc!$AU$2:$AU$2001,O38))</f>
        <v/>
      </c>
      <c r="O38" s="1">
        <f>IFERROR(MOD(_xlfn.AGGREGATE(15,6,Calc!$BN$2:$BN$2001/(Calc!$AW$2:$AW$2001=O$34),4),10000),"")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>
      <c r="A39" s="1" t="n"/>
      <c r="B39" s="110">
        <f>IF(C39="","",INDEX(Calc!$AU$2:$AU$2001,C39))</f>
        <v/>
      </c>
      <c r="C39" s="1">
        <f>IFERROR(MOD(_xlfn.AGGREGATE(15,6,Calc!$BN$2:$BN$2001/(Calc!$AW$2:$AW$2001=C$34),5),10000),"")</f>
        <v/>
      </c>
      <c r="D39" s="110">
        <f>IF(E39="","",INDEX(Calc!$AU$2:$AU$2001,E39))</f>
        <v/>
      </c>
      <c r="E39" s="1">
        <f>IFERROR(MOD(_xlfn.AGGREGATE(15,6,Calc!$BN$2:$BN$2001/(Calc!$AW$2:$AW$2001=E$34),5),10000),"")</f>
        <v/>
      </c>
      <c r="F39" s="110">
        <f>IF(G39="","",INDEX(Calc!$AU$2:$AU$2001,G39))</f>
        <v/>
      </c>
      <c r="G39" s="1">
        <f>IFERROR(MOD(_xlfn.AGGREGATE(15,6,Calc!$BN$2:$BN$2001/(Calc!$AW$2:$AW$2001=G$34),5),10000),"")</f>
        <v/>
      </c>
      <c r="H39" s="110">
        <f>IF(I39="","",INDEX(Calc!$AU$2:$AU$2001,I39))</f>
        <v/>
      </c>
      <c r="I39" s="1">
        <f>IFERROR(MOD(_xlfn.AGGREGATE(15,6,Calc!$BN$2:$BN$2001/(Calc!$AW$2:$AW$2001=I$34),5),10000),"")</f>
        <v/>
      </c>
      <c r="J39" s="110">
        <f>IF(K39="","",INDEX(Calc!$AU$2:$AU$2001,K39))</f>
        <v/>
      </c>
      <c r="K39" s="1">
        <f>IFERROR(MOD(_xlfn.AGGREGATE(15,6,Calc!$BN$2:$BN$2001/(Calc!$AW$2:$AW$2001=K$34),5),10000),"")</f>
        <v/>
      </c>
      <c r="L39" s="110">
        <f>IF(M39="","",INDEX(Calc!$AU$2:$AU$2001,M39))</f>
        <v/>
      </c>
      <c r="M39" s="1">
        <f>IFERROR(MOD(_xlfn.AGGREGATE(15,6,Calc!$BN$2:$BN$2001/(Calc!$AW$2:$AW$2001=M$34),5),10000),"")</f>
        <v/>
      </c>
      <c r="N39" s="110">
        <f>IF(O39="","",INDEX(Calc!$AU$2:$AU$2001,O39))</f>
        <v/>
      </c>
      <c r="O39" s="1">
        <f>IFERROR(MOD(_xlfn.AGGREGATE(15,6,Calc!$BN$2:$BN$2001/(Calc!$AW$2:$AW$2001=O$34),5),10000),"")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>
      <c r="A40" s="1" t="n"/>
      <c r="B40" s="105">
        <f>IF(C40="","",INDEX(Calc!$AU$2:$AU$2001,C40))</f>
        <v/>
      </c>
      <c r="C40" s="1">
        <f>IFERROR(MOD(_xlfn.AGGREGATE(15,6,Calc!$BN$2:$BN$2001/(Calc!$AW$2:$AW$2001=C$34),6),10000),"")</f>
        <v/>
      </c>
      <c r="D40" s="105">
        <f>IF(E40="","",INDEX(Calc!$AU$2:$AU$2001,E40))</f>
        <v/>
      </c>
      <c r="E40" s="1">
        <f>IFERROR(MOD(_xlfn.AGGREGATE(15,6,Calc!$BN$2:$BN$2001/(Calc!$AW$2:$AW$2001=E$34),6),10000),"")</f>
        <v/>
      </c>
      <c r="F40" s="105">
        <f>IF(G40="","",INDEX(Calc!$AU$2:$AU$2001,G40))</f>
        <v/>
      </c>
      <c r="G40" s="1">
        <f>IFERROR(MOD(_xlfn.AGGREGATE(15,6,Calc!$BN$2:$BN$2001/(Calc!$AW$2:$AW$2001=G$34),6),10000),"")</f>
        <v/>
      </c>
      <c r="H40" s="105">
        <f>IF(I40="","",INDEX(Calc!$AU$2:$AU$2001,I40))</f>
        <v/>
      </c>
      <c r="I40" s="1">
        <f>IFERROR(MOD(_xlfn.AGGREGATE(15,6,Calc!$BN$2:$BN$2001/(Calc!$AW$2:$AW$2001=I$34),6),10000),"")</f>
        <v/>
      </c>
      <c r="J40" s="105">
        <f>IF(K40="","",INDEX(Calc!$AU$2:$AU$2001,K40))</f>
        <v/>
      </c>
      <c r="K40" s="1">
        <f>IFERROR(MOD(_xlfn.AGGREGATE(15,6,Calc!$BN$2:$BN$2001/(Calc!$AW$2:$AW$2001=K$34),6),10000),"")</f>
        <v/>
      </c>
      <c r="L40" s="105">
        <f>IF(M40="","",INDEX(Calc!$AU$2:$AU$2001,M40))</f>
        <v/>
      </c>
      <c r="M40" s="1">
        <f>IFERROR(MOD(_xlfn.AGGREGATE(15,6,Calc!$BN$2:$BN$2001/(Calc!$AW$2:$AW$2001=M$34),6),10000),"")</f>
        <v/>
      </c>
      <c r="N40" s="105">
        <f>IF(O40="","",INDEX(Calc!$AU$2:$AU$2001,O40))</f>
        <v/>
      </c>
      <c r="O40" s="1">
        <f>IFERROR(MOD(_xlfn.AGGREGATE(15,6,Calc!$BN$2:$BN$2001/(Calc!$AW$2:$AW$2001=O$34),6),10000),"")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>
      <c r="A41" s="1" t="n"/>
      <c r="B41" s="109">
        <f>DAY(C41)</f>
        <v/>
      </c>
      <c r="C41" s="1">
        <f>$R$4+35</f>
        <v/>
      </c>
      <c r="D41" s="109">
        <f>DAY(E41)</f>
        <v/>
      </c>
      <c r="E41" s="1">
        <f>$R$4+36</f>
        <v/>
      </c>
      <c r="F41" s="109">
        <f>DAY(G41)</f>
        <v/>
      </c>
      <c r="G41" s="1">
        <f>$R$4+37</f>
        <v/>
      </c>
      <c r="H41" s="109">
        <f>DAY(I41)</f>
        <v/>
      </c>
      <c r="I41" s="1">
        <f>$R$4+38</f>
        <v/>
      </c>
      <c r="J41" s="109">
        <f>DAY(K41)</f>
        <v/>
      </c>
      <c r="K41" s="1">
        <f>$R$4+39</f>
        <v/>
      </c>
      <c r="L41" s="109">
        <f>DAY(M41)</f>
        <v/>
      </c>
      <c r="M41" s="1">
        <f>$R$4+40</f>
        <v/>
      </c>
      <c r="N41" s="109">
        <f>DAY(O41)</f>
        <v/>
      </c>
      <c r="O41" s="1">
        <f>$R$4+41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>
      <c r="A42" s="1" t="n"/>
      <c r="B42" s="110">
        <f>IF(C42="","",INDEX(Calc!$AU$2:$AU$2001,C42))</f>
        <v/>
      </c>
      <c r="C42" s="1">
        <f>IFERROR(MOD(_xlfn.AGGREGATE(15,6,Calc!$BN$2:$BN$2001/(Calc!$AW$2:$AW$2001=C$41),1),10000),"")</f>
        <v/>
      </c>
      <c r="D42" s="110">
        <f>IF(E42="","",INDEX(Calc!$AU$2:$AU$2001,E42))</f>
        <v/>
      </c>
      <c r="E42" s="1">
        <f>IFERROR(MOD(_xlfn.AGGREGATE(15,6,Calc!$BN$2:$BN$2001/(Calc!$AW$2:$AW$2001=E$41),1),10000),"")</f>
        <v/>
      </c>
      <c r="F42" s="110">
        <f>IF(G42="","",INDEX(Calc!$AU$2:$AU$2001,G42))</f>
        <v/>
      </c>
      <c r="G42" s="1">
        <f>IFERROR(MOD(_xlfn.AGGREGATE(15,6,Calc!$BN$2:$BN$2001/(Calc!$AW$2:$AW$2001=G$41),1),10000),"")</f>
        <v/>
      </c>
      <c r="H42" s="110">
        <f>IF(I42="","",INDEX(Calc!$AU$2:$AU$2001,I42))</f>
        <v/>
      </c>
      <c r="I42" s="1">
        <f>IFERROR(MOD(_xlfn.AGGREGATE(15,6,Calc!$BN$2:$BN$2001/(Calc!$AW$2:$AW$2001=I$41),1),10000),"")</f>
        <v/>
      </c>
      <c r="J42" s="110">
        <f>IF(K42="","",INDEX(Calc!$AU$2:$AU$2001,K42))</f>
        <v/>
      </c>
      <c r="K42" s="1">
        <f>IFERROR(MOD(_xlfn.AGGREGATE(15,6,Calc!$BN$2:$BN$2001/(Calc!$AW$2:$AW$2001=K$41),1),10000),"")</f>
        <v/>
      </c>
      <c r="L42" s="110">
        <f>IF(M42="","",INDEX(Calc!$AU$2:$AU$2001,M42))</f>
        <v/>
      </c>
      <c r="M42" s="1">
        <f>IFERROR(MOD(_xlfn.AGGREGATE(15,6,Calc!$BN$2:$BN$2001/(Calc!$AW$2:$AW$2001=M$41),1),10000),"")</f>
        <v/>
      </c>
      <c r="N42" s="110">
        <f>IF(O42="","",INDEX(Calc!$AU$2:$AU$2001,O42))</f>
        <v/>
      </c>
      <c r="O42" s="1">
        <f>IFERROR(MOD(_xlfn.AGGREGATE(15,6,Calc!$BN$2:$BN$2001/(Calc!$AW$2:$AW$2001=O$41),1),10000),"")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>
      <c r="A43" s="1" t="n"/>
      <c r="B43" s="110">
        <f>IF(C43="","",INDEX(Calc!$AU$2:$AU$2001,C43))</f>
        <v/>
      </c>
      <c r="C43" s="1">
        <f>IFERROR(MOD(_xlfn.AGGREGATE(15,6,Calc!$BN$2:$BN$2001/(Calc!$AW$2:$AW$2001=C$41),2),10000),"")</f>
        <v/>
      </c>
      <c r="D43" s="110">
        <f>IF(E43="","",INDEX(Calc!$AU$2:$AU$2001,E43))</f>
        <v/>
      </c>
      <c r="E43" s="1">
        <f>IFERROR(MOD(_xlfn.AGGREGATE(15,6,Calc!$BN$2:$BN$2001/(Calc!$AW$2:$AW$2001=E$41),2),10000),"")</f>
        <v/>
      </c>
      <c r="F43" s="110">
        <f>IF(G43="","",INDEX(Calc!$AU$2:$AU$2001,G43))</f>
        <v/>
      </c>
      <c r="G43" s="1">
        <f>IFERROR(MOD(_xlfn.AGGREGATE(15,6,Calc!$BN$2:$BN$2001/(Calc!$AW$2:$AW$2001=G$41),2),10000),"")</f>
        <v/>
      </c>
      <c r="H43" s="110">
        <f>IF(I43="","",INDEX(Calc!$AU$2:$AU$2001,I43))</f>
        <v/>
      </c>
      <c r="I43" s="1">
        <f>IFERROR(MOD(_xlfn.AGGREGATE(15,6,Calc!$BN$2:$BN$2001/(Calc!$AW$2:$AW$2001=I$41),2),10000),"")</f>
        <v/>
      </c>
      <c r="J43" s="110">
        <f>IF(K43="","",INDEX(Calc!$AU$2:$AU$2001,K43))</f>
        <v/>
      </c>
      <c r="K43" s="1">
        <f>IFERROR(MOD(_xlfn.AGGREGATE(15,6,Calc!$BN$2:$BN$2001/(Calc!$AW$2:$AW$2001=K$41),2),10000),"")</f>
        <v/>
      </c>
      <c r="L43" s="110">
        <f>IF(M43="","",INDEX(Calc!$AU$2:$AU$2001,M43))</f>
        <v/>
      </c>
      <c r="M43" s="1">
        <f>IFERROR(MOD(_xlfn.AGGREGATE(15,6,Calc!$BN$2:$BN$2001/(Calc!$AW$2:$AW$2001=M$41),2),10000),"")</f>
        <v/>
      </c>
      <c r="N43" s="110">
        <f>IF(O43="","",INDEX(Calc!$AU$2:$AU$2001,O43))</f>
        <v/>
      </c>
      <c r="O43" s="1">
        <f>IFERROR(MOD(_xlfn.AGGREGATE(15,6,Calc!$BN$2:$BN$2001/(Calc!$AW$2:$AW$2001=O$41),2),10000),"")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>
      <c r="A44" s="1" t="n"/>
      <c r="B44" s="110">
        <f>IF(C44="","",INDEX(Calc!$AU$2:$AU$2001,C44))</f>
        <v/>
      </c>
      <c r="C44" s="1">
        <f>IFERROR(MOD(_xlfn.AGGREGATE(15,6,Calc!$BN$2:$BN$2001/(Calc!$AW$2:$AW$2001=C$41),3),10000),"")</f>
        <v/>
      </c>
      <c r="D44" s="110">
        <f>IF(E44="","",INDEX(Calc!$AU$2:$AU$2001,E44))</f>
        <v/>
      </c>
      <c r="E44" s="1">
        <f>IFERROR(MOD(_xlfn.AGGREGATE(15,6,Calc!$BN$2:$BN$2001/(Calc!$AW$2:$AW$2001=E$41),3),10000),"")</f>
        <v/>
      </c>
      <c r="F44" s="110">
        <f>IF(G44="","",INDEX(Calc!$AU$2:$AU$2001,G44))</f>
        <v/>
      </c>
      <c r="G44" s="1">
        <f>IFERROR(MOD(_xlfn.AGGREGATE(15,6,Calc!$BN$2:$BN$2001/(Calc!$AW$2:$AW$2001=G$41),3),10000),"")</f>
        <v/>
      </c>
      <c r="H44" s="110">
        <f>IF(I44="","",INDEX(Calc!$AU$2:$AU$2001,I44))</f>
        <v/>
      </c>
      <c r="I44" s="1">
        <f>IFERROR(MOD(_xlfn.AGGREGATE(15,6,Calc!$BN$2:$BN$2001/(Calc!$AW$2:$AW$2001=I$41),3),10000),"")</f>
        <v/>
      </c>
      <c r="J44" s="110">
        <f>IF(K44="","",INDEX(Calc!$AU$2:$AU$2001,K44))</f>
        <v/>
      </c>
      <c r="K44" s="1">
        <f>IFERROR(MOD(_xlfn.AGGREGATE(15,6,Calc!$BN$2:$BN$2001/(Calc!$AW$2:$AW$2001=K$41),3),10000),"")</f>
        <v/>
      </c>
      <c r="L44" s="110">
        <f>IF(M44="","",INDEX(Calc!$AU$2:$AU$2001,M44))</f>
        <v/>
      </c>
      <c r="M44" s="1">
        <f>IFERROR(MOD(_xlfn.AGGREGATE(15,6,Calc!$BN$2:$BN$2001/(Calc!$AW$2:$AW$2001=M$41),3),10000),"")</f>
        <v/>
      </c>
      <c r="N44" s="110">
        <f>IF(O44="","",INDEX(Calc!$AU$2:$AU$2001,O44))</f>
        <v/>
      </c>
      <c r="O44" s="1">
        <f>IFERROR(MOD(_xlfn.AGGREGATE(15,6,Calc!$BN$2:$BN$2001/(Calc!$AW$2:$AW$2001=O$41),3),10000),"")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>
      <c r="A45" s="1" t="n"/>
      <c r="B45" s="110">
        <f>IF(C45="","",INDEX(Calc!$AU$2:$AU$2001,C45))</f>
        <v/>
      </c>
      <c r="C45" s="1">
        <f>IFERROR(MOD(_xlfn.AGGREGATE(15,6,Calc!$BN$2:$BN$2001/(Calc!$AW$2:$AW$2001=C$41),4),10000),"")</f>
        <v/>
      </c>
      <c r="D45" s="110">
        <f>IF(E45="","",INDEX(Calc!$AU$2:$AU$2001,E45))</f>
        <v/>
      </c>
      <c r="E45" s="1">
        <f>IFERROR(MOD(_xlfn.AGGREGATE(15,6,Calc!$BN$2:$BN$2001/(Calc!$AW$2:$AW$2001=E$41),4),10000),"")</f>
        <v/>
      </c>
      <c r="F45" s="110">
        <f>IF(G45="","",INDEX(Calc!$AU$2:$AU$2001,G45))</f>
        <v/>
      </c>
      <c r="G45" s="1">
        <f>IFERROR(MOD(_xlfn.AGGREGATE(15,6,Calc!$BN$2:$BN$2001/(Calc!$AW$2:$AW$2001=G$41),4),10000),"")</f>
        <v/>
      </c>
      <c r="H45" s="110">
        <f>IF(I45="","",INDEX(Calc!$AU$2:$AU$2001,I45))</f>
        <v/>
      </c>
      <c r="I45" s="1">
        <f>IFERROR(MOD(_xlfn.AGGREGATE(15,6,Calc!$BN$2:$BN$2001/(Calc!$AW$2:$AW$2001=I$41),4),10000),"")</f>
        <v/>
      </c>
      <c r="J45" s="110">
        <f>IF(K45="","",INDEX(Calc!$AU$2:$AU$2001,K45))</f>
        <v/>
      </c>
      <c r="K45" s="1">
        <f>IFERROR(MOD(_xlfn.AGGREGATE(15,6,Calc!$BN$2:$BN$2001/(Calc!$AW$2:$AW$2001=K$41),4),10000),"")</f>
        <v/>
      </c>
      <c r="L45" s="110">
        <f>IF(M45="","",INDEX(Calc!$AU$2:$AU$2001,M45))</f>
        <v/>
      </c>
      <c r="M45" s="1">
        <f>IFERROR(MOD(_xlfn.AGGREGATE(15,6,Calc!$BN$2:$BN$2001/(Calc!$AW$2:$AW$2001=M$41),4),10000),"")</f>
        <v/>
      </c>
      <c r="N45" s="110">
        <f>IF(O45="","",INDEX(Calc!$AU$2:$AU$2001,O45))</f>
        <v/>
      </c>
      <c r="O45" s="1">
        <f>IFERROR(MOD(_xlfn.AGGREGATE(15,6,Calc!$BN$2:$BN$2001/(Calc!$AW$2:$AW$2001=O$41),4),10000),"")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>
      <c r="A46" s="1" t="n"/>
      <c r="B46" s="110">
        <f>IF(C46="","",INDEX(Calc!$AU$2:$AU$2001,C46))</f>
        <v/>
      </c>
      <c r="C46" s="1">
        <f>IFERROR(MOD(_xlfn.AGGREGATE(15,6,Calc!$BN$2:$BN$2001/(Calc!$AW$2:$AW$2001=C$41),5),10000),"")</f>
        <v/>
      </c>
      <c r="D46" s="110">
        <f>IF(E46="","",INDEX(Calc!$AU$2:$AU$2001,E46))</f>
        <v/>
      </c>
      <c r="E46" s="1">
        <f>IFERROR(MOD(_xlfn.AGGREGATE(15,6,Calc!$BN$2:$BN$2001/(Calc!$AW$2:$AW$2001=E$41),5),10000),"")</f>
        <v/>
      </c>
      <c r="F46" s="110">
        <f>IF(G46="","",INDEX(Calc!$AU$2:$AU$2001,G46))</f>
        <v/>
      </c>
      <c r="G46" s="1">
        <f>IFERROR(MOD(_xlfn.AGGREGATE(15,6,Calc!$BN$2:$BN$2001/(Calc!$AW$2:$AW$2001=G$41),5),10000),"")</f>
        <v/>
      </c>
      <c r="H46" s="110">
        <f>IF(I46="","",INDEX(Calc!$AU$2:$AU$2001,I46))</f>
        <v/>
      </c>
      <c r="I46" s="1">
        <f>IFERROR(MOD(_xlfn.AGGREGATE(15,6,Calc!$BN$2:$BN$2001/(Calc!$AW$2:$AW$2001=I$41),5),10000),"")</f>
        <v/>
      </c>
      <c r="J46" s="110">
        <f>IF(K46="","",INDEX(Calc!$AU$2:$AU$2001,K46))</f>
        <v/>
      </c>
      <c r="K46" s="1">
        <f>IFERROR(MOD(_xlfn.AGGREGATE(15,6,Calc!$BN$2:$BN$2001/(Calc!$AW$2:$AW$2001=K$41),5),10000),"")</f>
        <v/>
      </c>
      <c r="L46" s="110">
        <f>IF(M46="","",INDEX(Calc!$AU$2:$AU$2001,M46))</f>
        <v/>
      </c>
      <c r="M46" s="1">
        <f>IFERROR(MOD(_xlfn.AGGREGATE(15,6,Calc!$BN$2:$BN$2001/(Calc!$AW$2:$AW$2001=M$41),5),10000),"")</f>
        <v/>
      </c>
      <c r="N46" s="110">
        <f>IF(O46="","",INDEX(Calc!$AU$2:$AU$2001,O46))</f>
        <v/>
      </c>
      <c r="O46" s="1">
        <f>IFERROR(MOD(_xlfn.AGGREGATE(15,6,Calc!$BN$2:$BN$2001/(Calc!$AW$2:$AW$2001=O$41),5),10000),"")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>
      <c r="A47" s="1" t="n"/>
      <c r="B47" s="105">
        <f>IF(C47="","",INDEX(Calc!$AU$2:$AU$2001,C47))</f>
        <v/>
      </c>
      <c r="C47" s="1">
        <f>IFERROR(MOD(_xlfn.AGGREGATE(15,6,Calc!$BN$2:$BN$2001/(Calc!$AW$2:$AW$2001=C$41),6),10000),"")</f>
        <v/>
      </c>
      <c r="D47" s="105">
        <f>IF(E47="","",INDEX(Calc!$AU$2:$AU$2001,E47))</f>
        <v/>
      </c>
      <c r="E47" s="1">
        <f>IFERROR(MOD(_xlfn.AGGREGATE(15,6,Calc!$BN$2:$BN$2001/(Calc!$AW$2:$AW$2001=E$41),6),10000),"")</f>
        <v/>
      </c>
      <c r="F47" s="105">
        <f>IF(G47="","",INDEX(Calc!$AU$2:$AU$2001,G47))</f>
        <v/>
      </c>
      <c r="G47" s="1">
        <f>IFERROR(MOD(_xlfn.AGGREGATE(15,6,Calc!$BN$2:$BN$2001/(Calc!$AW$2:$AW$2001=G$41),6),10000),"")</f>
        <v/>
      </c>
      <c r="H47" s="105">
        <f>IF(I47="","",INDEX(Calc!$AU$2:$AU$2001,I47))</f>
        <v/>
      </c>
      <c r="I47" s="1">
        <f>IFERROR(MOD(_xlfn.AGGREGATE(15,6,Calc!$BN$2:$BN$2001/(Calc!$AW$2:$AW$2001=I$41),6),10000),"")</f>
        <v/>
      </c>
      <c r="J47" s="105">
        <f>IF(K47="","",INDEX(Calc!$AU$2:$AU$2001,K47))</f>
        <v/>
      </c>
      <c r="K47" s="1">
        <f>IFERROR(MOD(_xlfn.AGGREGATE(15,6,Calc!$BN$2:$BN$2001/(Calc!$AW$2:$AW$2001=K$41),6),10000),"")</f>
        <v/>
      </c>
      <c r="L47" s="105">
        <f>IF(M47="","",INDEX(Calc!$AU$2:$AU$2001,M47))</f>
        <v/>
      </c>
      <c r="M47" s="1">
        <f>IFERROR(MOD(_xlfn.AGGREGATE(15,6,Calc!$BN$2:$BN$2001/(Calc!$AW$2:$AW$2001=M$41),6),10000),"")</f>
        <v/>
      </c>
      <c r="N47" s="105">
        <f>IF(O47="","",INDEX(Calc!$AU$2:$AU$2001,O47))</f>
        <v/>
      </c>
      <c r="O47" s="1">
        <f>IFERROR(MOD(_xlfn.AGGREGATE(15,6,Calc!$BN$2:$BN$2001/(Calc!$AW$2:$AW$2001=O$41),6),10000),"")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>
      <c r="A49" s="1" t="n"/>
      <c r="B49" s="23" t="inlineStr">
        <is>
          <t>Up to 6 tasks per day, sorted by priority. Colour = category, grey = done.</t>
        </is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</sheetData>
  <mergeCells count="9">
    <mergeCell ref="J5:K5"/>
    <mergeCell ref="B5:C5"/>
    <mergeCell ref="B2:F3"/>
    <mergeCell ref="J2:K2"/>
    <mergeCell ref="F5:G5"/>
    <mergeCell ref="D5:E5"/>
    <mergeCell ref="H5:I5"/>
    <mergeCell ref="L5:M5"/>
    <mergeCell ref="N5:O5"/>
  </mergeCells>
  <conditionalFormatting sqref="B6">
    <cfRule type="expression" priority="1" dxfId="23" stopIfTrue="0">
      <formula>MONTH(C6)&lt;&gt;MONTH($R$3)</formula>
    </cfRule>
    <cfRule type="expression" priority="2" dxfId="5" stopIfTrue="0">
      <formula>C6=Setup!$D$7</formula>
    </cfRule>
  </conditionalFormatting>
  <conditionalFormatting sqref="D6">
    <cfRule type="expression" priority="3" dxfId="23" stopIfTrue="0">
      <formula>MONTH(E6)&lt;&gt;MONTH($R$3)</formula>
    </cfRule>
    <cfRule type="expression" priority="4" dxfId="5" stopIfTrue="0">
      <formula>E6=Setup!$D$7</formula>
    </cfRule>
  </conditionalFormatting>
  <conditionalFormatting sqref="F6">
    <cfRule type="expression" priority="5" dxfId="23" stopIfTrue="0">
      <formula>MONTH(G6)&lt;&gt;MONTH($R$3)</formula>
    </cfRule>
    <cfRule type="expression" priority="6" dxfId="5" stopIfTrue="0">
      <formula>G6=Setup!$D$7</formula>
    </cfRule>
  </conditionalFormatting>
  <conditionalFormatting sqref="H6">
    <cfRule type="expression" priority="7" dxfId="23" stopIfTrue="0">
      <formula>MONTH(I6)&lt;&gt;MONTH($R$3)</formula>
    </cfRule>
    <cfRule type="expression" priority="8" dxfId="5" stopIfTrue="0">
      <formula>I6=Setup!$D$7</formula>
    </cfRule>
  </conditionalFormatting>
  <conditionalFormatting sqref="J6">
    <cfRule type="expression" priority="9" dxfId="23" stopIfTrue="0">
      <formula>MONTH(K6)&lt;&gt;MONTH($R$3)</formula>
    </cfRule>
    <cfRule type="expression" priority="10" dxfId="5" stopIfTrue="0">
      <formula>K6=Setup!$D$7</formula>
    </cfRule>
  </conditionalFormatting>
  <conditionalFormatting sqref="L6">
    <cfRule type="expression" priority="11" dxfId="23" stopIfTrue="0">
      <formula>MONTH(M6)&lt;&gt;MONTH($R$3)</formula>
    </cfRule>
    <cfRule type="expression" priority="12" dxfId="5" stopIfTrue="0">
      <formula>M6=Setup!$D$7</formula>
    </cfRule>
  </conditionalFormatting>
  <conditionalFormatting sqref="N6">
    <cfRule type="expression" priority="13" dxfId="23" stopIfTrue="0">
      <formula>MONTH(O6)&lt;&gt;MONTH($R$3)</formula>
    </cfRule>
    <cfRule type="expression" priority="14" dxfId="5" stopIfTrue="0">
      <formula>O6=Setup!$D$7</formula>
    </cfRule>
  </conditionalFormatting>
  <conditionalFormatting sqref="B13">
    <cfRule type="expression" priority="15" dxfId="23" stopIfTrue="0">
      <formula>MONTH(C13)&lt;&gt;MONTH($R$3)</formula>
    </cfRule>
    <cfRule type="expression" priority="16" dxfId="5" stopIfTrue="0">
      <formula>C13=Setup!$D$7</formula>
    </cfRule>
  </conditionalFormatting>
  <conditionalFormatting sqref="D13">
    <cfRule type="expression" priority="17" dxfId="23" stopIfTrue="0">
      <formula>MONTH(E13)&lt;&gt;MONTH($R$3)</formula>
    </cfRule>
    <cfRule type="expression" priority="18" dxfId="5" stopIfTrue="0">
      <formula>E13=Setup!$D$7</formula>
    </cfRule>
  </conditionalFormatting>
  <conditionalFormatting sqref="F13">
    <cfRule type="expression" priority="19" dxfId="23" stopIfTrue="0">
      <formula>MONTH(G13)&lt;&gt;MONTH($R$3)</formula>
    </cfRule>
    <cfRule type="expression" priority="20" dxfId="5" stopIfTrue="0">
      <formula>G13=Setup!$D$7</formula>
    </cfRule>
  </conditionalFormatting>
  <conditionalFormatting sqref="H13">
    <cfRule type="expression" priority="21" dxfId="23" stopIfTrue="0">
      <formula>MONTH(I13)&lt;&gt;MONTH($R$3)</formula>
    </cfRule>
    <cfRule type="expression" priority="22" dxfId="5" stopIfTrue="0">
      <formula>I13=Setup!$D$7</formula>
    </cfRule>
  </conditionalFormatting>
  <conditionalFormatting sqref="J13">
    <cfRule type="expression" priority="23" dxfId="23" stopIfTrue="0">
      <formula>MONTH(K13)&lt;&gt;MONTH($R$3)</formula>
    </cfRule>
    <cfRule type="expression" priority="24" dxfId="5" stopIfTrue="0">
      <formula>K13=Setup!$D$7</formula>
    </cfRule>
  </conditionalFormatting>
  <conditionalFormatting sqref="L13">
    <cfRule type="expression" priority="25" dxfId="23" stopIfTrue="0">
      <formula>MONTH(M13)&lt;&gt;MONTH($R$3)</formula>
    </cfRule>
    <cfRule type="expression" priority="26" dxfId="5" stopIfTrue="0">
      <formula>M13=Setup!$D$7</formula>
    </cfRule>
  </conditionalFormatting>
  <conditionalFormatting sqref="N13">
    <cfRule type="expression" priority="27" dxfId="23" stopIfTrue="0">
      <formula>MONTH(O13)&lt;&gt;MONTH($R$3)</formula>
    </cfRule>
    <cfRule type="expression" priority="28" dxfId="5" stopIfTrue="0">
      <formula>O13=Setup!$D$7</formula>
    </cfRule>
  </conditionalFormatting>
  <conditionalFormatting sqref="B20">
    <cfRule type="expression" priority="29" dxfId="23" stopIfTrue="0">
      <formula>MONTH(C20)&lt;&gt;MONTH($R$3)</formula>
    </cfRule>
    <cfRule type="expression" priority="30" dxfId="5" stopIfTrue="0">
      <formula>C20=Setup!$D$7</formula>
    </cfRule>
  </conditionalFormatting>
  <conditionalFormatting sqref="D20">
    <cfRule type="expression" priority="31" dxfId="23" stopIfTrue="0">
      <formula>MONTH(E20)&lt;&gt;MONTH($R$3)</formula>
    </cfRule>
    <cfRule type="expression" priority="32" dxfId="5" stopIfTrue="0">
      <formula>E20=Setup!$D$7</formula>
    </cfRule>
  </conditionalFormatting>
  <conditionalFormatting sqref="F20">
    <cfRule type="expression" priority="33" dxfId="23" stopIfTrue="0">
      <formula>MONTH(G20)&lt;&gt;MONTH($R$3)</formula>
    </cfRule>
    <cfRule type="expression" priority="34" dxfId="5" stopIfTrue="0">
      <formula>G20=Setup!$D$7</formula>
    </cfRule>
  </conditionalFormatting>
  <conditionalFormatting sqref="H20">
    <cfRule type="expression" priority="35" dxfId="23" stopIfTrue="0">
      <formula>MONTH(I20)&lt;&gt;MONTH($R$3)</formula>
    </cfRule>
    <cfRule type="expression" priority="36" dxfId="5" stopIfTrue="0">
      <formula>I20=Setup!$D$7</formula>
    </cfRule>
  </conditionalFormatting>
  <conditionalFormatting sqref="J20">
    <cfRule type="expression" priority="37" dxfId="23" stopIfTrue="0">
      <formula>MONTH(K20)&lt;&gt;MONTH($R$3)</formula>
    </cfRule>
    <cfRule type="expression" priority="38" dxfId="5" stopIfTrue="0">
      <formula>K20=Setup!$D$7</formula>
    </cfRule>
  </conditionalFormatting>
  <conditionalFormatting sqref="L20">
    <cfRule type="expression" priority="39" dxfId="23" stopIfTrue="0">
      <formula>MONTH(M20)&lt;&gt;MONTH($R$3)</formula>
    </cfRule>
    <cfRule type="expression" priority="40" dxfId="5" stopIfTrue="0">
      <formula>M20=Setup!$D$7</formula>
    </cfRule>
  </conditionalFormatting>
  <conditionalFormatting sqref="N20">
    <cfRule type="expression" priority="41" dxfId="23" stopIfTrue="0">
      <formula>MONTH(O20)&lt;&gt;MONTH($R$3)</formula>
    </cfRule>
    <cfRule type="expression" priority="42" dxfId="5" stopIfTrue="0">
      <formula>O20=Setup!$D$7</formula>
    </cfRule>
  </conditionalFormatting>
  <conditionalFormatting sqref="B27">
    <cfRule type="expression" priority="43" dxfId="23" stopIfTrue="0">
      <formula>MONTH(C27)&lt;&gt;MONTH($R$3)</formula>
    </cfRule>
    <cfRule type="expression" priority="44" dxfId="5" stopIfTrue="0">
      <formula>C27=Setup!$D$7</formula>
    </cfRule>
  </conditionalFormatting>
  <conditionalFormatting sqref="D27">
    <cfRule type="expression" priority="45" dxfId="23" stopIfTrue="0">
      <formula>MONTH(E27)&lt;&gt;MONTH($R$3)</formula>
    </cfRule>
    <cfRule type="expression" priority="46" dxfId="5" stopIfTrue="0">
      <formula>E27=Setup!$D$7</formula>
    </cfRule>
  </conditionalFormatting>
  <conditionalFormatting sqref="F27">
    <cfRule type="expression" priority="47" dxfId="23" stopIfTrue="0">
      <formula>MONTH(G27)&lt;&gt;MONTH($R$3)</formula>
    </cfRule>
    <cfRule type="expression" priority="48" dxfId="5" stopIfTrue="0">
      <formula>G27=Setup!$D$7</formula>
    </cfRule>
  </conditionalFormatting>
  <conditionalFormatting sqref="H27">
    <cfRule type="expression" priority="49" dxfId="23" stopIfTrue="0">
      <formula>MONTH(I27)&lt;&gt;MONTH($R$3)</formula>
    </cfRule>
    <cfRule type="expression" priority="50" dxfId="5" stopIfTrue="0">
      <formula>I27=Setup!$D$7</formula>
    </cfRule>
  </conditionalFormatting>
  <conditionalFormatting sqref="J27">
    <cfRule type="expression" priority="51" dxfId="23" stopIfTrue="0">
      <formula>MONTH(K27)&lt;&gt;MONTH($R$3)</formula>
    </cfRule>
    <cfRule type="expression" priority="52" dxfId="5" stopIfTrue="0">
      <formula>K27=Setup!$D$7</formula>
    </cfRule>
  </conditionalFormatting>
  <conditionalFormatting sqref="L27">
    <cfRule type="expression" priority="53" dxfId="23" stopIfTrue="0">
      <formula>MONTH(M27)&lt;&gt;MONTH($R$3)</formula>
    </cfRule>
    <cfRule type="expression" priority="54" dxfId="5" stopIfTrue="0">
      <formula>M27=Setup!$D$7</formula>
    </cfRule>
  </conditionalFormatting>
  <conditionalFormatting sqref="N27">
    <cfRule type="expression" priority="55" dxfId="23" stopIfTrue="0">
      <formula>MONTH(O27)&lt;&gt;MONTH($R$3)</formula>
    </cfRule>
    <cfRule type="expression" priority="56" dxfId="5" stopIfTrue="0">
      <formula>O27=Setup!$D$7</formula>
    </cfRule>
  </conditionalFormatting>
  <conditionalFormatting sqref="B34">
    <cfRule type="expression" priority="57" dxfId="23" stopIfTrue="0">
      <formula>MONTH(C34)&lt;&gt;MONTH($R$3)</formula>
    </cfRule>
    <cfRule type="expression" priority="58" dxfId="5" stopIfTrue="0">
      <formula>C34=Setup!$D$7</formula>
    </cfRule>
  </conditionalFormatting>
  <conditionalFormatting sqref="D34">
    <cfRule type="expression" priority="59" dxfId="23" stopIfTrue="0">
      <formula>MONTH(E34)&lt;&gt;MONTH($R$3)</formula>
    </cfRule>
    <cfRule type="expression" priority="60" dxfId="5" stopIfTrue="0">
      <formula>E34=Setup!$D$7</formula>
    </cfRule>
  </conditionalFormatting>
  <conditionalFormatting sqref="F34">
    <cfRule type="expression" priority="61" dxfId="23" stopIfTrue="0">
      <formula>MONTH(G34)&lt;&gt;MONTH($R$3)</formula>
    </cfRule>
    <cfRule type="expression" priority="62" dxfId="5" stopIfTrue="0">
      <formula>G34=Setup!$D$7</formula>
    </cfRule>
  </conditionalFormatting>
  <conditionalFormatting sqref="H34">
    <cfRule type="expression" priority="63" dxfId="23" stopIfTrue="0">
      <formula>MONTH(I34)&lt;&gt;MONTH($R$3)</formula>
    </cfRule>
    <cfRule type="expression" priority="64" dxfId="5" stopIfTrue="0">
      <formula>I34=Setup!$D$7</formula>
    </cfRule>
  </conditionalFormatting>
  <conditionalFormatting sqref="J34">
    <cfRule type="expression" priority="65" dxfId="23" stopIfTrue="0">
      <formula>MONTH(K34)&lt;&gt;MONTH($R$3)</formula>
    </cfRule>
    <cfRule type="expression" priority="66" dxfId="5" stopIfTrue="0">
      <formula>K34=Setup!$D$7</formula>
    </cfRule>
  </conditionalFormatting>
  <conditionalFormatting sqref="L34">
    <cfRule type="expression" priority="67" dxfId="23" stopIfTrue="0">
      <formula>MONTH(M34)&lt;&gt;MONTH($R$3)</formula>
    </cfRule>
    <cfRule type="expression" priority="68" dxfId="5" stopIfTrue="0">
      <formula>M34=Setup!$D$7</formula>
    </cfRule>
  </conditionalFormatting>
  <conditionalFormatting sqref="N34">
    <cfRule type="expression" priority="69" dxfId="23" stopIfTrue="0">
      <formula>MONTH(O34)&lt;&gt;MONTH($R$3)</formula>
    </cfRule>
    <cfRule type="expression" priority="70" dxfId="5" stopIfTrue="0">
      <formula>O34=Setup!$D$7</formula>
    </cfRule>
  </conditionalFormatting>
  <conditionalFormatting sqref="B41">
    <cfRule type="expression" priority="71" dxfId="23" stopIfTrue="0">
      <formula>MONTH(C41)&lt;&gt;MONTH($R$3)</formula>
    </cfRule>
    <cfRule type="expression" priority="72" dxfId="5" stopIfTrue="0">
      <formula>C41=Setup!$D$7</formula>
    </cfRule>
  </conditionalFormatting>
  <conditionalFormatting sqref="D41">
    <cfRule type="expression" priority="73" dxfId="23" stopIfTrue="0">
      <formula>MONTH(E41)&lt;&gt;MONTH($R$3)</formula>
    </cfRule>
    <cfRule type="expression" priority="74" dxfId="5" stopIfTrue="0">
      <formula>E41=Setup!$D$7</formula>
    </cfRule>
  </conditionalFormatting>
  <conditionalFormatting sqref="F41">
    <cfRule type="expression" priority="75" dxfId="23" stopIfTrue="0">
      <formula>MONTH(G41)&lt;&gt;MONTH($R$3)</formula>
    </cfRule>
    <cfRule type="expression" priority="76" dxfId="5" stopIfTrue="0">
      <formula>G41=Setup!$D$7</formula>
    </cfRule>
  </conditionalFormatting>
  <conditionalFormatting sqref="H41">
    <cfRule type="expression" priority="77" dxfId="23" stopIfTrue="0">
      <formula>MONTH(I41)&lt;&gt;MONTH($R$3)</formula>
    </cfRule>
    <cfRule type="expression" priority="78" dxfId="5" stopIfTrue="0">
      <formula>I41=Setup!$D$7</formula>
    </cfRule>
  </conditionalFormatting>
  <conditionalFormatting sqref="J41">
    <cfRule type="expression" priority="79" dxfId="23" stopIfTrue="0">
      <formula>MONTH(K41)&lt;&gt;MONTH($R$3)</formula>
    </cfRule>
    <cfRule type="expression" priority="80" dxfId="5" stopIfTrue="0">
      <formula>K41=Setup!$D$7</formula>
    </cfRule>
  </conditionalFormatting>
  <conditionalFormatting sqref="L41">
    <cfRule type="expression" priority="81" dxfId="23" stopIfTrue="0">
      <formula>MONTH(M41)&lt;&gt;MONTH($R$3)</formula>
    </cfRule>
    <cfRule type="expression" priority="82" dxfId="5" stopIfTrue="0">
      <formula>M41=Setup!$D$7</formula>
    </cfRule>
  </conditionalFormatting>
  <conditionalFormatting sqref="N41">
    <cfRule type="expression" priority="83" dxfId="23" stopIfTrue="0">
      <formula>MONTH(O41)&lt;&gt;MONTH($R$3)</formula>
    </cfRule>
    <cfRule type="expression" priority="84" dxfId="5" stopIfTrue="0">
      <formula>O41=Setup!$D$7</formula>
    </cfRule>
  </conditionalFormatting>
  <conditionalFormatting sqref="B7:B47">
    <cfRule type="expression" priority="85" dxfId="10" stopIfTrue="1">
      <formula>AND(ISNUMBER(C7),C7&lt;5000,INDEX(TaskDone,MAX(1,MIN(2000,N(C7))))=1)</formula>
    </cfRule>
    <cfRule type="expression" priority="86" dxfId="11" stopIfTrue="0">
      <formula>AND(ISNUMBER(C7),C7&lt;5000,INDEX(TaskCat,MAX(1,MIN(2000,N(C7))))=INDEX(Setup!$F$6:$F$15,1))</formula>
    </cfRule>
    <cfRule type="expression" priority="87" dxfId="12" stopIfTrue="0">
      <formula>AND(ISNUMBER(C7),C7&lt;5000,INDEX(TaskCat,MAX(1,MIN(2000,N(C7))))=INDEX(Setup!$F$6:$F$15,2))</formula>
    </cfRule>
    <cfRule type="expression" priority="88" dxfId="13" stopIfTrue="0">
      <formula>AND(ISNUMBER(C7),C7&lt;5000,INDEX(TaskCat,MAX(1,MIN(2000,N(C7))))=INDEX(Setup!$F$6:$F$15,3))</formula>
    </cfRule>
    <cfRule type="expression" priority="89" dxfId="14" stopIfTrue="0">
      <formula>AND(ISNUMBER(C7),C7&lt;5000,INDEX(TaskCat,MAX(1,MIN(2000,N(C7))))=INDEX(Setup!$F$6:$F$15,4))</formula>
    </cfRule>
    <cfRule type="expression" priority="90" dxfId="15" stopIfTrue="0">
      <formula>AND(ISNUMBER(C7),C7&lt;5000,INDEX(TaskCat,MAX(1,MIN(2000,N(C7))))=INDEX(Setup!$F$6:$F$15,5))</formula>
    </cfRule>
    <cfRule type="expression" priority="91" dxfId="16" stopIfTrue="0">
      <formula>AND(ISNUMBER(C7),C7&lt;5000,INDEX(TaskCat,MAX(1,MIN(2000,N(C7))))=INDEX(Setup!$F$6:$F$15,6))</formula>
    </cfRule>
  </conditionalFormatting>
  <conditionalFormatting sqref="D7:D47">
    <cfRule type="expression" priority="92" dxfId="10" stopIfTrue="1">
      <formula>AND(ISNUMBER(E7),E7&lt;5000,INDEX(TaskDone,MAX(1,MIN(2000,N(E7))))=1)</formula>
    </cfRule>
    <cfRule type="expression" priority="93" dxfId="11" stopIfTrue="0">
      <formula>AND(ISNUMBER(E7),E7&lt;5000,INDEX(TaskCat,MAX(1,MIN(2000,N(E7))))=INDEX(Setup!$F$6:$F$15,1))</formula>
    </cfRule>
    <cfRule type="expression" priority="94" dxfId="12" stopIfTrue="0">
      <formula>AND(ISNUMBER(E7),E7&lt;5000,INDEX(TaskCat,MAX(1,MIN(2000,N(E7))))=INDEX(Setup!$F$6:$F$15,2))</formula>
    </cfRule>
    <cfRule type="expression" priority="95" dxfId="13" stopIfTrue="0">
      <formula>AND(ISNUMBER(E7),E7&lt;5000,INDEX(TaskCat,MAX(1,MIN(2000,N(E7))))=INDEX(Setup!$F$6:$F$15,3))</formula>
    </cfRule>
    <cfRule type="expression" priority="96" dxfId="14" stopIfTrue="0">
      <formula>AND(ISNUMBER(E7),E7&lt;5000,INDEX(TaskCat,MAX(1,MIN(2000,N(E7))))=INDEX(Setup!$F$6:$F$15,4))</formula>
    </cfRule>
    <cfRule type="expression" priority="97" dxfId="15" stopIfTrue="0">
      <formula>AND(ISNUMBER(E7),E7&lt;5000,INDEX(TaskCat,MAX(1,MIN(2000,N(E7))))=INDEX(Setup!$F$6:$F$15,5))</formula>
    </cfRule>
    <cfRule type="expression" priority="98" dxfId="16" stopIfTrue="0">
      <formula>AND(ISNUMBER(E7),E7&lt;5000,INDEX(TaskCat,MAX(1,MIN(2000,N(E7))))=INDEX(Setup!$F$6:$F$15,6))</formula>
    </cfRule>
  </conditionalFormatting>
  <conditionalFormatting sqref="F7:F47">
    <cfRule type="expression" priority="99" dxfId="10" stopIfTrue="1">
      <formula>AND(ISNUMBER(G7),G7&lt;5000,INDEX(TaskDone,MAX(1,MIN(2000,N(G7))))=1)</formula>
    </cfRule>
    <cfRule type="expression" priority="100" dxfId="11" stopIfTrue="0">
      <formula>AND(ISNUMBER(G7),G7&lt;5000,INDEX(TaskCat,MAX(1,MIN(2000,N(G7))))=INDEX(Setup!$F$6:$F$15,1))</formula>
    </cfRule>
    <cfRule type="expression" priority="101" dxfId="12" stopIfTrue="0">
      <formula>AND(ISNUMBER(G7),G7&lt;5000,INDEX(TaskCat,MAX(1,MIN(2000,N(G7))))=INDEX(Setup!$F$6:$F$15,2))</formula>
    </cfRule>
    <cfRule type="expression" priority="102" dxfId="13" stopIfTrue="0">
      <formula>AND(ISNUMBER(G7),G7&lt;5000,INDEX(TaskCat,MAX(1,MIN(2000,N(G7))))=INDEX(Setup!$F$6:$F$15,3))</formula>
    </cfRule>
    <cfRule type="expression" priority="103" dxfId="14" stopIfTrue="0">
      <formula>AND(ISNUMBER(G7),G7&lt;5000,INDEX(TaskCat,MAX(1,MIN(2000,N(G7))))=INDEX(Setup!$F$6:$F$15,4))</formula>
    </cfRule>
    <cfRule type="expression" priority="104" dxfId="15" stopIfTrue="0">
      <formula>AND(ISNUMBER(G7),G7&lt;5000,INDEX(TaskCat,MAX(1,MIN(2000,N(G7))))=INDEX(Setup!$F$6:$F$15,5))</formula>
    </cfRule>
    <cfRule type="expression" priority="105" dxfId="16" stopIfTrue="0">
      <formula>AND(ISNUMBER(G7),G7&lt;5000,INDEX(TaskCat,MAX(1,MIN(2000,N(G7))))=INDEX(Setup!$F$6:$F$15,6))</formula>
    </cfRule>
  </conditionalFormatting>
  <conditionalFormatting sqref="H7:H47">
    <cfRule type="expression" priority="106" dxfId="10" stopIfTrue="1">
      <formula>AND(ISNUMBER(I7),I7&lt;5000,INDEX(TaskDone,MAX(1,MIN(2000,N(I7))))=1)</formula>
    </cfRule>
    <cfRule type="expression" priority="107" dxfId="11" stopIfTrue="0">
      <formula>AND(ISNUMBER(I7),I7&lt;5000,INDEX(TaskCat,MAX(1,MIN(2000,N(I7))))=INDEX(Setup!$F$6:$F$15,1))</formula>
    </cfRule>
    <cfRule type="expression" priority="108" dxfId="12" stopIfTrue="0">
      <formula>AND(ISNUMBER(I7),I7&lt;5000,INDEX(TaskCat,MAX(1,MIN(2000,N(I7))))=INDEX(Setup!$F$6:$F$15,2))</formula>
    </cfRule>
    <cfRule type="expression" priority="109" dxfId="13" stopIfTrue="0">
      <formula>AND(ISNUMBER(I7),I7&lt;5000,INDEX(TaskCat,MAX(1,MIN(2000,N(I7))))=INDEX(Setup!$F$6:$F$15,3))</formula>
    </cfRule>
    <cfRule type="expression" priority="110" dxfId="14" stopIfTrue="0">
      <formula>AND(ISNUMBER(I7),I7&lt;5000,INDEX(TaskCat,MAX(1,MIN(2000,N(I7))))=INDEX(Setup!$F$6:$F$15,4))</formula>
    </cfRule>
    <cfRule type="expression" priority="111" dxfId="15" stopIfTrue="0">
      <formula>AND(ISNUMBER(I7),I7&lt;5000,INDEX(TaskCat,MAX(1,MIN(2000,N(I7))))=INDEX(Setup!$F$6:$F$15,5))</formula>
    </cfRule>
    <cfRule type="expression" priority="112" dxfId="16" stopIfTrue="0">
      <formula>AND(ISNUMBER(I7),I7&lt;5000,INDEX(TaskCat,MAX(1,MIN(2000,N(I7))))=INDEX(Setup!$F$6:$F$15,6))</formula>
    </cfRule>
  </conditionalFormatting>
  <conditionalFormatting sqref="J7:J47">
    <cfRule type="expression" priority="113" dxfId="10" stopIfTrue="1">
      <formula>AND(ISNUMBER(K7),K7&lt;5000,INDEX(TaskDone,MAX(1,MIN(2000,N(K7))))=1)</formula>
    </cfRule>
    <cfRule type="expression" priority="114" dxfId="11" stopIfTrue="0">
      <formula>AND(ISNUMBER(K7),K7&lt;5000,INDEX(TaskCat,MAX(1,MIN(2000,N(K7))))=INDEX(Setup!$F$6:$F$15,1))</formula>
    </cfRule>
    <cfRule type="expression" priority="115" dxfId="12" stopIfTrue="0">
      <formula>AND(ISNUMBER(K7),K7&lt;5000,INDEX(TaskCat,MAX(1,MIN(2000,N(K7))))=INDEX(Setup!$F$6:$F$15,2))</formula>
    </cfRule>
    <cfRule type="expression" priority="116" dxfId="13" stopIfTrue="0">
      <formula>AND(ISNUMBER(K7),K7&lt;5000,INDEX(TaskCat,MAX(1,MIN(2000,N(K7))))=INDEX(Setup!$F$6:$F$15,3))</formula>
    </cfRule>
    <cfRule type="expression" priority="117" dxfId="14" stopIfTrue="0">
      <formula>AND(ISNUMBER(K7),K7&lt;5000,INDEX(TaskCat,MAX(1,MIN(2000,N(K7))))=INDEX(Setup!$F$6:$F$15,4))</formula>
    </cfRule>
    <cfRule type="expression" priority="118" dxfId="15" stopIfTrue="0">
      <formula>AND(ISNUMBER(K7),K7&lt;5000,INDEX(TaskCat,MAX(1,MIN(2000,N(K7))))=INDEX(Setup!$F$6:$F$15,5))</formula>
    </cfRule>
    <cfRule type="expression" priority="119" dxfId="16" stopIfTrue="0">
      <formula>AND(ISNUMBER(K7),K7&lt;5000,INDEX(TaskCat,MAX(1,MIN(2000,N(K7))))=INDEX(Setup!$F$6:$F$15,6))</formula>
    </cfRule>
  </conditionalFormatting>
  <conditionalFormatting sqref="L7:L47">
    <cfRule type="expression" priority="120" dxfId="10" stopIfTrue="1">
      <formula>AND(ISNUMBER(M7),M7&lt;5000,INDEX(TaskDone,MAX(1,MIN(2000,N(M7))))=1)</formula>
    </cfRule>
    <cfRule type="expression" priority="121" dxfId="11" stopIfTrue="0">
      <formula>AND(ISNUMBER(M7),M7&lt;5000,INDEX(TaskCat,MAX(1,MIN(2000,N(M7))))=INDEX(Setup!$F$6:$F$15,1))</formula>
    </cfRule>
    <cfRule type="expression" priority="122" dxfId="12" stopIfTrue="0">
      <formula>AND(ISNUMBER(M7),M7&lt;5000,INDEX(TaskCat,MAX(1,MIN(2000,N(M7))))=INDEX(Setup!$F$6:$F$15,2))</formula>
    </cfRule>
    <cfRule type="expression" priority="123" dxfId="13" stopIfTrue="0">
      <formula>AND(ISNUMBER(M7),M7&lt;5000,INDEX(TaskCat,MAX(1,MIN(2000,N(M7))))=INDEX(Setup!$F$6:$F$15,3))</formula>
    </cfRule>
    <cfRule type="expression" priority="124" dxfId="14" stopIfTrue="0">
      <formula>AND(ISNUMBER(M7),M7&lt;5000,INDEX(TaskCat,MAX(1,MIN(2000,N(M7))))=INDEX(Setup!$F$6:$F$15,4))</formula>
    </cfRule>
    <cfRule type="expression" priority="125" dxfId="15" stopIfTrue="0">
      <formula>AND(ISNUMBER(M7),M7&lt;5000,INDEX(TaskCat,MAX(1,MIN(2000,N(M7))))=INDEX(Setup!$F$6:$F$15,5))</formula>
    </cfRule>
    <cfRule type="expression" priority="126" dxfId="16" stopIfTrue="0">
      <formula>AND(ISNUMBER(M7),M7&lt;5000,INDEX(TaskCat,MAX(1,MIN(2000,N(M7))))=INDEX(Setup!$F$6:$F$15,6))</formula>
    </cfRule>
  </conditionalFormatting>
  <conditionalFormatting sqref="N7:N47">
    <cfRule type="expression" priority="127" dxfId="10" stopIfTrue="1">
      <formula>AND(ISNUMBER(O7),O7&lt;5000,INDEX(TaskDone,MAX(1,MIN(2000,N(O7))))=1)</formula>
    </cfRule>
    <cfRule type="expression" priority="128" dxfId="11" stopIfTrue="0">
      <formula>AND(ISNUMBER(O7),O7&lt;5000,INDEX(TaskCat,MAX(1,MIN(2000,N(O7))))=INDEX(Setup!$F$6:$F$15,1))</formula>
    </cfRule>
    <cfRule type="expression" priority="129" dxfId="12" stopIfTrue="0">
      <formula>AND(ISNUMBER(O7),O7&lt;5000,INDEX(TaskCat,MAX(1,MIN(2000,N(O7))))=INDEX(Setup!$F$6:$F$15,2))</formula>
    </cfRule>
    <cfRule type="expression" priority="130" dxfId="13" stopIfTrue="0">
      <formula>AND(ISNUMBER(O7),O7&lt;5000,INDEX(TaskCat,MAX(1,MIN(2000,N(O7))))=INDEX(Setup!$F$6:$F$15,3))</formula>
    </cfRule>
    <cfRule type="expression" priority="131" dxfId="14" stopIfTrue="0">
      <formula>AND(ISNUMBER(O7),O7&lt;5000,INDEX(TaskCat,MAX(1,MIN(2000,N(O7))))=INDEX(Setup!$F$6:$F$15,4))</formula>
    </cfRule>
    <cfRule type="expression" priority="132" dxfId="15" stopIfTrue="0">
      <formula>AND(ISNUMBER(O7),O7&lt;5000,INDEX(TaskCat,MAX(1,MIN(2000,N(O7))))=INDEX(Setup!$F$6:$F$15,5))</formula>
    </cfRule>
    <cfRule type="expression" priority="133" dxfId="16" stopIfTrue="0">
      <formula>AND(ISNUMBER(O7),O7&lt;5000,INDEX(TaskCat,MAX(1,MIN(2000,N(O7))))=INDEX(Setup!$F$6:$F$15,6))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4F8B"/>
    <outlinePr summaryBelow="1" summaryRight="1"/>
    <pageSetUpPr/>
  </sheetPr>
  <dimension ref="A1:AA45"/>
  <sheetViews>
    <sheetView showGridLines="0" zoomScale="85" workbookViewId="0">
      <selection activeCell="A1" sqref="A1"/>
    </sheetView>
  </sheetViews>
  <sheetFormatPr baseColWidth="8" defaultRowHeight="15"/>
  <cols>
    <col width="2" customWidth="1" style="1" min="1" max="1"/>
    <col width="26" customWidth="1" style="1" min="2" max="2"/>
    <col width="9" customWidth="1" style="1" min="3" max="3"/>
    <col width="5" customWidth="1" style="1" min="4" max="4"/>
    <col width="2" customWidth="1" style="1" min="5" max="5"/>
    <col width="26" customWidth="1" style="1" min="6" max="6"/>
    <col width="9" customWidth="1" style="1" min="7" max="7"/>
    <col width="5" customWidth="1" style="1" min="8" max="8"/>
    <col width="2" customWidth="1" style="1" min="9" max="9"/>
    <col width="26" customWidth="1" style="1" min="10" max="10"/>
    <col width="9" customWidth="1" style="1" min="11" max="11"/>
    <col width="5" customWidth="1" style="1" min="12" max="12"/>
    <col width="2" customWidth="1" style="1" min="13" max="13"/>
    <col width="26" customWidth="1" style="1" min="14" max="14"/>
    <col width="9" customWidth="1" style="1" min="15" max="15"/>
    <col width="5" customWidth="1" style="1" min="16" max="16"/>
    <col width="13" customWidth="1" style="1" min="17" max="17"/>
    <col width="13" customWidth="1" style="1" min="18" max="18"/>
    <col width="13" customWidth="1" style="1" min="19" max="19"/>
    <col hidden="1" width="13" customWidth="1" style="1" min="20" max="20"/>
    <col hidden="1" width="13" customWidth="1" style="1" min="21" max="21"/>
    <col hidden="1" width="13" customWidth="1" style="1" min="22" max="22"/>
    <col hidden="1" width="13" customWidth="1" style="1" min="23" max="23"/>
    <col width="13" customWidth="1" style="1" min="24" max="24"/>
    <col width="13" customWidth="1" style="1" min="25" max="25"/>
    <col width="13" customWidth="1" style="1" min="26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11" t="inlineStr">
        <is>
          <t>Decision Matrix</t>
        </is>
      </c>
      <c r="C2" s="1" t="n"/>
      <c r="D2" s="1" t="n"/>
      <c r="E2" s="1" t="n"/>
      <c r="F2" s="1" t="n"/>
      <c r="G2" s="1" t="n"/>
      <c r="H2" s="1" t="n"/>
      <c r="I2" s="1" t="n"/>
      <c r="J2" s="108" t="inlineStr">
        <is>
          <t>Start date</t>
        </is>
      </c>
      <c r="K2" s="15">
        <f>DATE(YEAR(Setup!$D$7),MONTH(Setup!$D$7),1)</f>
        <v/>
      </c>
      <c r="L2" s="112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7" t="inlineStr">
        <is>
          <t>Eisenhower matrix: urgent = priority 1-Urgent / 2-High · important = ✓ in IMPORTANT.</t>
        </is>
      </c>
      <c r="C3" s="1" t="n"/>
      <c r="D3" s="1" t="n"/>
      <c r="E3" s="1" t="n"/>
      <c r="F3" s="1" t="n"/>
      <c r="G3" s="1" t="n"/>
      <c r="H3" s="1" t="n"/>
      <c r="I3" s="1" t="n"/>
      <c r="J3" s="108" t="inlineStr">
        <is>
          <t>End date</t>
        </is>
      </c>
      <c r="K3" s="15">
        <f>EOMONTH(Setup!$D$7,0)</f>
        <v/>
      </c>
      <c r="L3" s="112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08" t="inlineStr">
        <is>
          <t>Category</t>
        </is>
      </c>
      <c r="K4" s="22" t="n"/>
      <c r="L4" s="112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08" t="inlineStr">
        <is>
          <t>Person</t>
        </is>
      </c>
      <c r="K5" s="22" t="n"/>
      <c r="L5" s="112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08" t="inlineStr">
        <is>
          <t>Hide completed</t>
        </is>
      </c>
      <c r="K6" s="22" t="inlineStr">
        <is>
          <t>No</t>
        </is>
      </c>
      <c r="L6" s="112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13" t="inlineStr">
        <is>
          <t>DO FIRST</t>
        </is>
      </c>
      <c r="C8" s="42" t="n"/>
      <c r="D8" s="42" t="n"/>
      <c r="E8" s="1" t="n"/>
      <c r="F8" s="114" t="inlineStr">
        <is>
          <t>SCHEDULE</t>
        </is>
      </c>
      <c r="G8" s="25" t="n"/>
      <c r="H8" s="25" t="n"/>
      <c r="I8" s="1" t="n"/>
      <c r="J8" s="115" t="inlineStr">
        <is>
          <t>DELEGATE</t>
        </is>
      </c>
      <c r="K8" s="27" t="n"/>
      <c r="L8" s="27" t="n"/>
      <c r="M8" s="1" t="n"/>
      <c r="N8" s="116" t="inlineStr">
        <is>
          <t>DELETE</t>
        </is>
      </c>
      <c r="O8" s="9" t="n"/>
      <c r="P8" s="9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117" t="inlineStr">
        <is>
          <t>Urgent &amp; important — do it now.</t>
        </is>
      </c>
      <c r="E9" s="1" t="n"/>
      <c r="F9" s="117" t="inlineStr">
        <is>
          <t>Important, not urgent — plan it.</t>
        </is>
      </c>
      <c r="I9" s="1" t="n"/>
      <c r="J9" s="117" t="inlineStr">
        <is>
          <t>Urgent, not important — hand it off.</t>
        </is>
      </c>
      <c r="M9" s="1" t="n"/>
      <c r="N9" s="117" t="inlineStr">
        <is>
          <t>Neither — drop it.</t>
        </is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31" t="inlineStr">
        <is>
          <t>REMAINING</t>
        </is>
      </c>
      <c r="C10" s="30" t="inlineStr">
        <is>
          <t>DONE</t>
        </is>
      </c>
      <c r="D10" s="35" t="n"/>
      <c r="E10" s="1" t="n"/>
      <c r="F10" s="31" t="inlineStr">
        <is>
          <t>REMAINING</t>
        </is>
      </c>
      <c r="G10" s="30" t="inlineStr">
        <is>
          <t>DONE</t>
        </is>
      </c>
      <c r="H10" s="35" t="n"/>
      <c r="I10" s="1" t="n"/>
      <c r="J10" s="31" t="inlineStr">
        <is>
          <t>REMAINING</t>
        </is>
      </c>
      <c r="K10" s="30" t="inlineStr">
        <is>
          <t>DONE</t>
        </is>
      </c>
      <c r="L10" s="35" t="n"/>
      <c r="M10" s="1" t="n"/>
      <c r="N10" s="31" t="inlineStr">
        <is>
          <t>REMAINING</t>
        </is>
      </c>
      <c r="O10" s="30" t="inlineStr">
        <is>
          <t>DONE</t>
        </is>
      </c>
      <c r="P10" s="35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inlineStr">
        <is>
          <t>Quadrant</t>
        </is>
      </c>
      <c r="Z10" s="1" t="inlineStr">
        <is>
          <t>Remaining</t>
        </is>
      </c>
      <c r="AA10" t="inlineStr">
        <is>
          <t>Done</t>
        </is>
      </c>
    </row>
    <row r="11" ht="28" customHeight="1">
      <c r="A11" s="1" t="n"/>
      <c r="B11" s="118">
        <f>SUMPRODUCT((Calc!$AW$2:$AW$2001&gt;=$K$2)*(Calc!$AW$2:$AW$2001&lt;=$K$3)*(Calc!$BH$2:$BH$2001=1)*(Calc!$AZ$2:$AZ$2001&lt;&gt;"Cancelled")*(($K$4="")+(Calc!$AV$2:$AV$2001=$K$4)&gt;0)*(($K$5="")+(Calc!$BC$2:$BC$2001=$K$5)&gt;0)*(Calc!$BD$2:$BD$2001="DO FIRST")*(Calc!$BG$2:$BG$2001=0))</f>
        <v/>
      </c>
      <c r="C11" s="119">
        <f>SUMPRODUCT((Calc!$AW$2:$AW$2001&gt;=$K$2)*(Calc!$AW$2:$AW$2001&lt;=$K$3)*(Calc!$BH$2:$BH$2001=1)*(Calc!$AZ$2:$AZ$2001&lt;&gt;"Cancelled")*(($K$4="")+(Calc!$AV$2:$AV$2001=$K$4)&gt;0)*(($K$5="")+(Calc!$BC$2:$BC$2001=$K$5)&gt;0)*(Calc!$BD$2:$BD$2001="DO FIRST")*(Calc!$BG$2:$BG$2001=1))</f>
        <v/>
      </c>
      <c r="D11" s="35" t="n"/>
      <c r="E11" s="1" t="n"/>
      <c r="F11" s="120">
        <f>SUMPRODUCT((Calc!$AW$2:$AW$2001&gt;=$K$2)*(Calc!$AW$2:$AW$2001&lt;=$K$3)*(Calc!$BH$2:$BH$2001=1)*(Calc!$AZ$2:$AZ$2001&lt;&gt;"Cancelled")*(($K$4="")+(Calc!$AV$2:$AV$2001=$K$4)&gt;0)*(($K$5="")+(Calc!$BC$2:$BC$2001=$K$5)&gt;0)*(Calc!$BD$2:$BD$2001="SCHEDULE")*(Calc!$BG$2:$BG$2001=0))</f>
        <v/>
      </c>
      <c r="G11" s="119">
        <f>SUMPRODUCT((Calc!$AW$2:$AW$2001&gt;=$K$2)*(Calc!$AW$2:$AW$2001&lt;=$K$3)*(Calc!$BH$2:$BH$2001=1)*(Calc!$AZ$2:$AZ$2001&lt;&gt;"Cancelled")*(($K$4="")+(Calc!$AV$2:$AV$2001=$K$4)&gt;0)*(($K$5="")+(Calc!$BC$2:$BC$2001=$K$5)&gt;0)*(Calc!$BD$2:$BD$2001="SCHEDULE")*(Calc!$BG$2:$BG$2001=1))</f>
        <v/>
      </c>
      <c r="H11" s="35" t="n"/>
      <c r="I11" s="1" t="n"/>
      <c r="J11" s="121">
        <f>SUMPRODUCT((Calc!$AW$2:$AW$2001&gt;=$K$2)*(Calc!$AW$2:$AW$2001&lt;=$K$3)*(Calc!$BH$2:$BH$2001=1)*(Calc!$AZ$2:$AZ$2001&lt;&gt;"Cancelled")*(($K$4="")+(Calc!$AV$2:$AV$2001=$K$4)&gt;0)*(($K$5="")+(Calc!$BC$2:$BC$2001=$K$5)&gt;0)*(Calc!$BD$2:$BD$2001="DELEGATE")*(Calc!$BG$2:$BG$2001=0))</f>
        <v/>
      </c>
      <c r="K11" s="119">
        <f>SUMPRODUCT((Calc!$AW$2:$AW$2001&gt;=$K$2)*(Calc!$AW$2:$AW$2001&lt;=$K$3)*(Calc!$BH$2:$BH$2001=1)*(Calc!$AZ$2:$AZ$2001&lt;&gt;"Cancelled")*(($K$4="")+(Calc!$AV$2:$AV$2001=$K$4)&gt;0)*(($K$5="")+(Calc!$BC$2:$BC$2001=$K$5)&gt;0)*(Calc!$BD$2:$BD$2001="DELEGATE")*(Calc!$BG$2:$BG$2001=1))</f>
        <v/>
      </c>
      <c r="L11" s="35" t="n"/>
      <c r="M11" s="1" t="n"/>
      <c r="N11" s="122">
        <f>SUMPRODUCT((Calc!$AW$2:$AW$2001&gt;=$K$2)*(Calc!$AW$2:$AW$2001&lt;=$K$3)*(Calc!$BH$2:$BH$2001=1)*(Calc!$AZ$2:$AZ$2001&lt;&gt;"Cancelled")*(($K$4="")+(Calc!$AV$2:$AV$2001=$K$4)&gt;0)*(($K$5="")+(Calc!$BC$2:$BC$2001=$K$5)&gt;0)*(Calc!$BD$2:$BD$2001="DELETE")*(Calc!$BG$2:$BG$2001=0))</f>
        <v/>
      </c>
      <c r="O11" s="119">
        <f>SUMPRODUCT((Calc!$AW$2:$AW$2001&gt;=$K$2)*(Calc!$AW$2:$AW$2001&lt;=$K$3)*(Calc!$BH$2:$BH$2001=1)*(Calc!$AZ$2:$AZ$2001&lt;&gt;"Cancelled")*(($K$4="")+(Calc!$AV$2:$AV$2001=$K$4)&gt;0)*(($K$5="")+(Calc!$BC$2:$BC$2001=$K$5)&gt;0)*(Calc!$BD$2:$BD$2001="DELETE")*(Calc!$BG$2:$BG$2001=1))</f>
        <v/>
      </c>
      <c r="P11" s="35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inlineStr">
        <is>
          <t>DO FIRST</t>
        </is>
      </c>
      <c r="Z11" s="1">
        <f>B11</f>
        <v/>
      </c>
      <c r="AA11">
        <f>C11</f>
        <v/>
      </c>
    </row>
    <row r="12">
      <c r="A12" s="1" t="n"/>
      <c r="B12" s="123">
        <f>IFERROR(C11/(B11+C11),0)</f>
        <v/>
      </c>
      <c r="E12" s="1" t="n"/>
      <c r="F12" s="123">
        <f>IFERROR(G11/(F11+G11),0)</f>
        <v/>
      </c>
      <c r="I12" s="1" t="n"/>
      <c r="J12" s="123">
        <f>IFERROR(K11/(J11+K11),0)</f>
        <v/>
      </c>
      <c r="M12" s="1" t="n"/>
      <c r="N12" s="123">
        <f>IFERROR(O11/(N11+O11),0)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inlineStr">
        <is>
          <t>SCHEDULE</t>
        </is>
      </c>
      <c r="Z12" s="1">
        <f>F11</f>
        <v/>
      </c>
      <c r="AA12">
        <f>G11</f>
        <v/>
      </c>
    </row>
    <row r="13">
      <c r="A13" s="1" t="n"/>
      <c r="B13" s="31" t="inlineStr">
        <is>
          <t>TASK</t>
        </is>
      </c>
      <c r="C13" s="30" t="inlineStr">
        <is>
          <t>DAYS LEFT</t>
        </is>
      </c>
      <c r="D13" s="124" t="inlineStr"/>
      <c r="E13" s="1" t="n"/>
      <c r="F13" s="31" t="inlineStr">
        <is>
          <t>TASK</t>
        </is>
      </c>
      <c r="G13" s="30" t="inlineStr">
        <is>
          <t>DAYS LEFT</t>
        </is>
      </c>
      <c r="H13" s="124" t="inlineStr"/>
      <c r="I13" s="1" t="n"/>
      <c r="J13" s="31" t="inlineStr">
        <is>
          <t>TASK</t>
        </is>
      </c>
      <c r="K13" s="30" t="inlineStr">
        <is>
          <t>DAYS LEFT</t>
        </is>
      </c>
      <c r="L13" s="124" t="inlineStr"/>
      <c r="M13" s="1" t="n"/>
      <c r="N13" s="31" t="inlineStr">
        <is>
          <t>TASK</t>
        </is>
      </c>
      <c r="O13" s="30" t="inlineStr">
        <is>
          <t>DAYS LEFT</t>
        </is>
      </c>
      <c r="P13" s="124" t="inlineStr"/>
      <c r="Q13" s="1" t="n"/>
      <c r="R13" s="1" t="n"/>
      <c r="S13" s="1" t="n"/>
      <c r="T13" s="1" t="n"/>
      <c r="U13" s="1" t="n"/>
      <c r="V13" s="1" t="n"/>
      <c r="W13" s="1" t="n"/>
      <c r="X13" s="1" t="n"/>
      <c r="Y13" s="1" t="inlineStr">
        <is>
          <t>DELEGATE</t>
        </is>
      </c>
      <c r="Z13" s="1">
        <f>J11</f>
        <v/>
      </c>
      <c r="AA13">
        <f>K11</f>
        <v/>
      </c>
    </row>
    <row r="14">
      <c r="A14" s="1" t="n"/>
      <c r="B14" s="37">
        <f>IF(T14="","",INDEX(Calc!$AU$2:$AU$2001,T14))</f>
        <v/>
      </c>
      <c r="C14" s="56">
        <f>IF(T14="","",INDEX(Calc!$AW$2:$AW$2001,T14)-Setup!$D$7)</f>
        <v/>
      </c>
      <c r="D14" s="125">
        <f>IF(T14="","",IF(INDEX(Calc!$BG$2:$BG$2001,T14)=1,"✓",""))</f>
        <v/>
      </c>
      <c r="E14" s="1" t="n"/>
      <c r="F14" s="37">
        <f>IF(U14="","",INDEX(Calc!$AU$2:$AU$2001,U14))</f>
        <v/>
      </c>
      <c r="G14" s="56">
        <f>IF(U14="","",INDEX(Calc!$AW$2:$AW$2001,U14)-Setup!$D$7)</f>
        <v/>
      </c>
      <c r="H14" s="126">
        <f>IF(U14="","",IF(INDEX(Calc!$BG$2:$BG$2001,U14)=1,"✓",""))</f>
        <v/>
      </c>
      <c r="I14" s="1" t="n"/>
      <c r="J14" s="37">
        <f>IF(V14="","",INDEX(Calc!$AU$2:$AU$2001,V14))</f>
        <v/>
      </c>
      <c r="K14" s="56">
        <f>IF(V14="","",INDEX(Calc!$AW$2:$AW$2001,V14)-Setup!$D$7)</f>
        <v/>
      </c>
      <c r="L14" s="95">
        <f>IF(V14="","",IF(INDEX(Calc!$BG$2:$BG$2001,V14)=1,"✓",""))</f>
        <v/>
      </c>
      <c r="M14" s="1" t="n"/>
      <c r="N14" s="37">
        <f>IF(W14="","",INDEX(Calc!$AU$2:$AU$2001,W14))</f>
        <v/>
      </c>
      <c r="O14" s="56">
        <f>IF(W14="","",INDEX(Calc!$AW$2:$AW$2001,W14)-Setup!$D$7)</f>
        <v/>
      </c>
      <c r="P14" s="127">
        <f>IF(W14="","",IF(INDEX(Calc!$BG$2:$BG$2001,W14)=1,"✓",""))</f>
        <v/>
      </c>
      <c r="Q14" s="1" t="n"/>
      <c r="R14" s="1" t="n"/>
      <c r="S14" s="1" t="n"/>
      <c r="T14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FIRST")*(($K$6="No")+(Calc!$BG$2:$BG$2001=0)&gt;0)),1),10000),"")</f>
        <v/>
      </c>
      <c r="U14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1),10000),"")</f>
        <v/>
      </c>
      <c r="V14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1),10000),"")</f>
        <v/>
      </c>
      <c r="W14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1),10000),"")</f>
        <v/>
      </c>
      <c r="X14" s="1" t="n"/>
      <c r="Y14" s="1" t="inlineStr">
        <is>
          <t>DELETE</t>
        </is>
      </c>
      <c r="Z14" s="1">
        <f>N11</f>
        <v/>
      </c>
      <c r="AA14">
        <f>O11</f>
        <v/>
      </c>
    </row>
    <row r="15">
      <c r="A15" s="1" t="n"/>
      <c r="B15" s="37">
        <f>IF(T15="","",INDEX(Calc!$AU$2:$AU$2001,T15))</f>
        <v/>
      </c>
      <c r="C15" s="56">
        <f>IF(T15="","",INDEX(Calc!$AW$2:$AW$2001,T15)-Setup!$D$7)</f>
        <v/>
      </c>
      <c r="D15" s="125">
        <f>IF(T15="","",IF(INDEX(Calc!$BG$2:$BG$2001,T15)=1,"✓",""))</f>
        <v/>
      </c>
      <c r="E15" s="1" t="n"/>
      <c r="F15" s="37">
        <f>IF(U15="","",INDEX(Calc!$AU$2:$AU$2001,U15))</f>
        <v/>
      </c>
      <c r="G15" s="56">
        <f>IF(U15="","",INDEX(Calc!$AW$2:$AW$2001,U15)-Setup!$D$7)</f>
        <v/>
      </c>
      <c r="H15" s="126">
        <f>IF(U15="","",IF(INDEX(Calc!$BG$2:$BG$2001,U15)=1,"✓",""))</f>
        <v/>
      </c>
      <c r="I15" s="1" t="n"/>
      <c r="J15" s="37">
        <f>IF(V15="","",INDEX(Calc!$AU$2:$AU$2001,V15))</f>
        <v/>
      </c>
      <c r="K15" s="56">
        <f>IF(V15="","",INDEX(Calc!$AW$2:$AW$2001,V15)-Setup!$D$7)</f>
        <v/>
      </c>
      <c r="L15" s="95">
        <f>IF(V15="","",IF(INDEX(Calc!$BG$2:$BG$2001,V15)=1,"✓",""))</f>
        <v/>
      </c>
      <c r="M15" s="1" t="n"/>
      <c r="N15" s="37">
        <f>IF(W15="","",INDEX(Calc!$AU$2:$AU$2001,W15))</f>
        <v/>
      </c>
      <c r="O15" s="56">
        <f>IF(W15="","",INDEX(Calc!$AW$2:$AW$2001,W15)-Setup!$D$7)</f>
        <v/>
      </c>
      <c r="P15" s="127">
        <f>IF(W15="","",IF(INDEX(Calc!$BG$2:$BG$2001,W15)=1,"✓",""))</f>
        <v/>
      </c>
      <c r="Q15" s="1" t="n"/>
      <c r="R15" s="1" t="n"/>
      <c r="S15" s="1" t="n"/>
      <c r="T15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FIRST")*(($K$6="No")+(Calc!$BG$2:$BG$2001=0)&gt;0)),2),10000),"")</f>
        <v/>
      </c>
      <c r="U15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2),10000),"")</f>
        <v/>
      </c>
      <c r="V15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2),10000),"")</f>
        <v/>
      </c>
      <c r="W15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2),10000),"")</f>
        <v/>
      </c>
      <c r="X15" s="1" t="n"/>
      <c r="Y15" s="1" t="n"/>
      <c r="Z15" s="1" t="n"/>
    </row>
    <row r="16">
      <c r="A16" s="1" t="n"/>
      <c r="B16" s="37">
        <f>IF(T16="","",INDEX(Calc!$AU$2:$AU$2001,T16))</f>
        <v/>
      </c>
      <c r="C16" s="56">
        <f>IF(T16="","",INDEX(Calc!$AW$2:$AW$2001,T16)-Setup!$D$7)</f>
        <v/>
      </c>
      <c r="D16" s="125">
        <f>IF(T16="","",IF(INDEX(Calc!$BG$2:$BG$2001,T16)=1,"✓",""))</f>
        <v/>
      </c>
      <c r="E16" s="1" t="n"/>
      <c r="F16" s="37">
        <f>IF(U16="","",INDEX(Calc!$AU$2:$AU$2001,U16))</f>
        <v/>
      </c>
      <c r="G16" s="56">
        <f>IF(U16="","",INDEX(Calc!$AW$2:$AW$2001,U16)-Setup!$D$7)</f>
        <v/>
      </c>
      <c r="H16" s="126">
        <f>IF(U16="","",IF(INDEX(Calc!$BG$2:$BG$2001,U16)=1,"✓",""))</f>
        <v/>
      </c>
      <c r="I16" s="1" t="n"/>
      <c r="J16" s="37">
        <f>IF(V16="","",INDEX(Calc!$AU$2:$AU$2001,V16))</f>
        <v/>
      </c>
      <c r="K16" s="56">
        <f>IF(V16="","",INDEX(Calc!$AW$2:$AW$2001,V16)-Setup!$D$7)</f>
        <v/>
      </c>
      <c r="L16" s="95">
        <f>IF(V16="","",IF(INDEX(Calc!$BG$2:$BG$2001,V16)=1,"✓",""))</f>
        <v/>
      </c>
      <c r="M16" s="1" t="n"/>
      <c r="N16" s="37">
        <f>IF(W16="","",INDEX(Calc!$AU$2:$AU$2001,W16))</f>
        <v/>
      </c>
      <c r="O16" s="56">
        <f>IF(W16="","",INDEX(Calc!$AW$2:$AW$2001,W16)-Setup!$D$7)</f>
        <v/>
      </c>
      <c r="P16" s="127">
        <f>IF(W16="","",IF(INDEX(Calc!$BG$2:$BG$2001,W16)=1,"✓",""))</f>
        <v/>
      </c>
      <c r="Q16" s="1" t="n"/>
      <c r="R16" s="1" t="n"/>
      <c r="S16" s="1" t="n"/>
      <c r="T16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FIRST")*(($K$6="No")+(Calc!$BG$2:$BG$2001=0)&gt;0)),3),10000),"")</f>
        <v/>
      </c>
      <c r="U16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3),10000),"")</f>
        <v/>
      </c>
      <c r="V16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3),10000),"")</f>
        <v/>
      </c>
      <c r="W16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3),10000),"")</f>
        <v/>
      </c>
      <c r="X16" s="1" t="n"/>
      <c r="Y16" s="1" t="n"/>
      <c r="Z16" s="1" t="n"/>
    </row>
    <row r="17">
      <c r="A17" s="1" t="n"/>
      <c r="B17" s="37">
        <f>IF(T17="","",INDEX(Calc!$AU$2:$AU$2001,T17))</f>
        <v/>
      </c>
      <c r="C17" s="56">
        <f>IF(T17="","",INDEX(Calc!$AW$2:$AW$2001,T17)-Setup!$D$7)</f>
        <v/>
      </c>
      <c r="D17" s="125">
        <f>IF(T17="","",IF(INDEX(Calc!$BG$2:$BG$2001,T17)=1,"✓",""))</f>
        <v/>
      </c>
      <c r="E17" s="1" t="n"/>
      <c r="F17" s="37">
        <f>IF(U17="","",INDEX(Calc!$AU$2:$AU$2001,U17))</f>
        <v/>
      </c>
      <c r="G17" s="56">
        <f>IF(U17="","",INDEX(Calc!$AW$2:$AW$2001,U17)-Setup!$D$7)</f>
        <v/>
      </c>
      <c r="H17" s="126">
        <f>IF(U17="","",IF(INDEX(Calc!$BG$2:$BG$2001,U17)=1,"✓",""))</f>
        <v/>
      </c>
      <c r="I17" s="1" t="n"/>
      <c r="J17" s="37">
        <f>IF(V17="","",INDEX(Calc!$AU$2:$AU$2001,V17))</f>
        <v/>
      </c>
      <c r="K17" s="56">
        <f>IF(V17="","",INDEX(Calc!$AW$2:$AW$2001,V17)-Setup!$D$7)</f>
        <v/>
      </c>
      <c r="L17" s="95">
        <f>IF(V17="","",IF(INDEX(Calc!$BG$2:$BG$2001,V17)=1,"✓",""))</f>
        <v/>
      </c>
      <c r="M17" s="1" t="n"/>
      <c r="N17" s="37">
        <f>IF(W17="","",INDEX(Calc!$AU$2:$AU$2001,W17))</f>
        <v/>
      </c>
      <c r="O17" s="56">
        <f>IF(W17="","",INDEX(Calc!$AW$2:$AW$2001,W17)-Setup!$D$7)</f>
        <v/>
      </c>
      <c r="P17" s="127">
        <f>IF(W17="","",IF(INDEX(Calc!$BG$2:$BG$2001,W17)=1,"✓",""))</f>
        <v/>
      </c>
      <c r="Q17" s="1" t="n"/>
      <c r="R17" s="1" t="n"/>
      <c r="S17" s="1" t="n"/>
      <c r="T17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FIRST")*(($K$6="No")+(Calc!$BG$2:$BG$2001=0)&gt;0)),4),10000),"")</f>
        <v/>
      </c>
      <c r="U17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4),10000),"")</f>
        <v/>
      </c>
      <c r="V17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4),10000),"")</f>
        <v/>
      </c>
      <c r="W17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4),10000),"")</f>
        <v/>
      </c>
      <c r="X17" s="1" t="n"/>
      <c r="Y17" s="1" t="n"/>
      <c r="Z17" s="1" t="n"/>
    </row>
    <row r="18">
      <c r="A18" s="1" t="n"/>
      <c r="B18" s="37">
        <f>IF(T18="","",INDEX(Calc!$AU$2:$AU$2001,T18))</f>
        <v/>
      </c>
      <c r="C18" s="56">
        <f>IF(T18="","",INDEX(Calc!$AW$2:$AW$2001,T18)-Setup!$D$7)</f>
        <v/>
      </c>
      <c r="D18" s="125">
        <f>IF(T18="","",IF(INDEX(Calc!$BG$2:$BG$2001,T18)=1,"✓",""))</f>
        <v/>
      </c>
      <c r="E18" s="1" t="n"/>
      <c r="F18" s="37">
        <f>IF(U18="","",INDEX(Calc!$AU$2:$AU$2001,U18))</f>
        <v/>
      </c>
      <c r="G18" s="56">
        <f>IF(U18="","",INDEX(Calc!$AW$2:$AW$2001,U18)-Setup!$D$7)</f>
        <v/>
      </c>
      <c r="H18" s="126">
        <f>IF(U18="","",IF(INDEX(Calc!$BG$2:$BG$2001,U18)=1,"✓",""))</f>
        <v/>
      </c>
      <c r="I18" s="1" t="n"/>
      <c r="J18" s="37">
        <f>IF(V18="","",INDEX(Calc!$AU$2:$AU$2001,V18))</f>
        <v/>
      </c>
      <c r="K18" s="56">
        <f>IF(V18="","",INDEX(Calc!$AW$2:$AW$2001,V18)-Setup!$D$7)</f>
        <v/>
      </c>
      <c r="L18" s="95">
        <f>IF(V18="","",IF(INDEX(Calc!$BG$2:$BG$2001,V18)=1,"✓",""))</f>
        <v/>
      </c>
      <c r="M18" s="1" t="n"/>
      <c r="N18" s="37">
        <f>IF(W18="","",INDEX(Calc!$AU$2:$AU$2001,W18))</f>
        <v/>
      </c>
      <c r="O18" s="56">
        <f>IF(W18="","",INDEX(Calc!$AW$2:$AW$2001,W18)-Setup!$D$7)</f>
        <v/>
      </c>
      <c r="P18" s="127">
        <f>IF(W18="","",IF(INDEX(Calc!$BG$2:$BG$2001,W18)=1,"✓",""))</f>
        <v/>
      </c>
      <c r="Q18" s="1" t="n"/>
      <c r="R18" s="1" t="n"/>
      <c r="S18" s="1" t="n"/>
      <c r="T18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FIRST")*(($K$6="No")+(Calc!$BG$2:$BG$2001=0)&gt;0)),5),10000),"")</f>
        <v/>
      </c>
      <c r="U18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5),10000),"")</f>
        <v/>
      </c>
      <c r="V18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5),10000),"")</f>
        <v/>
      </c>
      <c r="W18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5),10000),"")</f>
        <v/>
      </c>
      <c r="X18" s="1" t="n"/>
      <c r="Y18" s="1" t="n"/>
      <c r="Z18" s="1" t="n"/>
    </row>
    <row r="19">
      <c r="A19" s="1" t="n"/>
      <c r="B19" s="37">
        <f>IF(T19="","",INDEX(Calc!$AU$2:$AU$2001,T19))</f>
        <v/>
      </c>
      <c r="C19" s="56">
        <f>IF(T19="","",INDEX(Calc!$AW$2:$AW$2001,T19)-Setup!$D$7)</f>
        <v/>
      </c>
      <c r="D19" s="125">
        <f>IF(T19="","",IF(INDEX(Calc!$BG$2:$BG$2001,T19)=1,"✓",""))</f>
        <v/>
      </c>
      <c r="E19" s="1" t="n"/>
      <c r="F19" s="37">
        <f>IF(U19="","",INDEX(Calc!$AU$2:$AU$2001,U19))</f>
        <v/>
      </c>
      <c r="G19" s="56">
        <f>IF(U19="","",INDEX(Calc!$AW$2:$AW$2001,U19)-Setup!$D$7)</f>
        <v/>
      </c>
      <c r="H19" s="126">
        <f>IF(U19="","",IF(INDEX(Calc!$BG$2:$BG$2001,U19)=1,"✓",""))</f>
        <v/>
      </c>
      <c r="I19" s="1" t="n"/>
      <c r="J19" s="37">
        <f>IF(V19="","",INDEX(Calc!$AU$2:$AU$2001,V19))</f>
        <v/>
      </c>
      <c r="K19" s="56">
        <f>IF(V19="","",INDEX(Calc!$AW$2:$AW$2001,V19)-Setup!$D$7)</f>
        <v/>
      </c>
      <c r="L19" s="95">
        <f>IF(V19="","",IF(INDEX(Calc!$BG$2:$BG$2001,V19)=1,"✓",""))</f>
        <v/>
      </c>
      <c r="M19" s="1" t="n"/>
      <c r="N19" s="37">
        <f>IF(W19="","",INDEX(Calc!$AU$2:$AU$2001,W19))</f>
        <v/>
      </c>
      <c r="O19" s="56">
        <f>IF(W19="","",INDEX(Calc!$AW$2:$AW$2001,W19)-Setup!$D$7)</f>
        <v/>
      </c>
      <c r="P19" s="127">
        <f>IF(W19="","",IF(INDEX(Calc!$BG$2:$BG$2001,W19)=1,"✓",""))</f>
        <v/>
      </c>
      <c r="Q19" s="1" t="n"/>
      <c r="R19" s="1" t="n"/>
      <c r="S19" s="1" t="n"/>
      <c r="T19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FIRST")*(($K$6="No")+(Calc!$BG$2:$BG$2001=0)&gt;0)),6),10000),"")</f>
        <v/>
      </c>
      <c r="U19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6),10000),"")</f>
        <v/>
      </c>
      <c r="V19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6),10000),"")</f>
        <v/>
      </c>
      <c r="W19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6),10000),"")</f>
        <v/>
      </c>
      <c r="X19" s="1" t="n"/>
      <c r="Y19" s="1" t="n"/>
      <c r="Z19" s="1" t="n"/>
    </row>
    <row r="20">
      <c r="A20" s="1" t="n"/>
      <c r="B20" s="37">
        <f>IF(T20="","",INDEX(Calc!$AU$2:$AU$2001,T20))</f>
        <v/>
      </c>
      <c r="C20" s="56">
        <f>IF(T20="","",INDEX(Calc!$AW$2:$AW$2001,T20)-Setup!$D$7)</f>
        <v/>
      </c>
      <c r="D20" s="125">
        <f>IF(T20="","",IF(INDEX(Calc!$BG$2:$BG$2001,T20)=1,"✓",""))</f>
        <v/>
      </c>
      <c r="E20" s="1" t="n"/>
      <c r="F20" s="37">
        <f>IF(U20="","",INDEX(Calc!$AU$2:$AU$2001,U20))</f>
        <v/>
      </c>
      <c r="G20" s="56">
        <f>IF(U20="","",INDEX(Calc!$AW$2:$AW$2001,U20)-Setup!$D$7)</f>
        <v/>
      </c>
      <c r="H20" s="126">
        <f>IF(U20="","",IF(INDEX(Calc!$BG$2:$BG$2001,U20)=1,"✓",""))</f>
        <v/>
      </c>
      <c r="I20" s="1" t="n"/>
      <c r="J20" s="37">
        <f>IF(V20="","",INDEX(Calc!$AU$2:$AU$2001,V20))</f>
        <v/>
      </c>
      <c r="K20" s="56">
        <f>IF(V20="","",INDEX(Calc!$AW$2:$AW$2001,V20)-Setup!$D$7)</f>
        <v/>
      </c>
      <c r="L20" s="95">
        <f>IF(V20="","",IF(INDEX(Calc!$BG$2:$BG$2001,V20)=1,"✓",""))</f>
        <v/>
      </c>
      <c r="M20" s="1" t="n"/>
      <c r="N20" s="37">
        <f>IF(W20="","",INDEX(Calc!$AU$2:$AU$2001,W20))</f>
        <v/>
      </c>
      <c r="O20" s="56">
        <f>IF(W20="","",INDEX(Calc!$AW$2:$AW$2001,W20)-Setup!$D$7)</f>
        <v/>
      </c>
      <c r="P20" s="127">
        <f>IF(W20="","",IF(INDEX(Calc!$BG$2:$BG$2001,W20)=1,"✓",""))</f>
        <v/>
      </c>
      <c r="Q20" s="1" t="n"/>
      <c r="R20" s="1" t="n"/>
      <c r="S20" s="1" t="n"/>
      <c r="T20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FIRST")*(($K$6="No")+(Calc!$BG$2:$BG$2001=0)&gt;0)),7),10000),"")</f>
        <v/>
      </c>
      <c r="U20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7),10000),"")</f>
        <v/>
      </c>
      <c r="V20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7),10000),"")</f>
        <v/>
      </c>
      <c r="W20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7),10000),"")</f>
        <v/>
      </c>
      <c r="X20" s="1" t="n"/>
      <c r="Y20" s="1" t="n"/>
      <c r="Z20" s="1" t="n"/>
    </row>
    <row r="21">
      <c r="A21" s="1" t="n"/>
      <c r="B21" s="37">
        <f>IF(T21="","",INDEX(Calc!$AU$2:$AU$2001,T21))</f>
        <v/>
      </c>
      <c r="C21" s="56">
        <f>IF(T21="","",INDEX(Calc!$AW$2:$AW$2001,T21)-Setup!$D$7)</f>
        <v/>
      </c>
      <c r="D21" s="125">
        <f>IF(T21="","",IF(INDEX(Calc!$BG$2:$BG$2001,T21)=1,"✓",""))</f>
        <v/>
      </c>
      <c r="E21" s="1" t="n"/>
      <c r="F21" s="37">
        <f>IF(U21="","",INDEX(Calc!$AU$2:$AU$2001,U21))</f>
        <v/>
      </c>
      <c r="G21" s="56">
        <f>IF(U21="","",INDEX(Calc!$AW$2:$AW$2001,U21)-Setup!$D$7)</f>
        <v/>
      </c>
      <c r="H21" s="126">
        <f>IF(U21="","",IF(INDEX(Calc!$BG$2:$BG$2001,U21)=1,"✓",""))</f>
        <v/>
      </c>
      <c r="I21" s="1" t="n"/>
      <c r="J21" s="37">
        <f>IF(V21="","",INDEX(Calc!$AU$2:$AU$2001,V21))</f>
        <v/>
      </c>
      <c r="K21" s="56">
        <f>IF(V21="","",INDEX(Calc!$AW$2:$AW$2001,V21)-Setup!$D$7)</f>
        <v/>
      </c>
      <c r="L21" s="95">
        <f>IF(V21="","",IF(INDEX(Calc!$BG$2:$BG$2001,V21)=1,"✓",""))</f>
        <v/>
      </c>
      <c r="M21" s="1" t="n"/>
      <c r="N21" s="37">
        <f>IF(W21="","",INDEX(Calc!$AU$2:$AU$2001,W21))</f>
        <v/>
      </c>
      <c r="O21" s="56">
        <f>IF(W21="","",INDEX(Calc!$AW$2:$AW$2001,W21)-Setup!$D$7)</f>
        <v/>
      </c>
      <c r="P21" s="127">
        <f>IF(W21="","",IF(INDEX(Calc!$BG$2:$BG$2001,W21)=1,"✓",""))</f>
        <v/>
      </c>
      <c r="Q21" s="1" t="n"/>
      <c r="R21" s="1" t="n"/>
      <c r="S21" s="1" t="n"/>
      <c r="T21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FIRST")*(($K$6="No")+(Calc!$BG$2:$BG$2001=0)&gt;0)),8),10000),"")</f>
        <v/>
      </c>
      <c r="U21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8),10000),"")</f>
        <v/>
      </c>
      <c r="V21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8),10000),"")</f>
        <v/>
      </c>
      <c r="W21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8),10000),"")</f>
        <v/>
      </c>
      <c r="X21" s="1" t="n"/>
      <c r="Y21" s="1" t="n"/>
      <c r="Z21" s="1" t="n"/>
    </row>
    <row r="22">
      <c r="A22" s="1" t="n"/>
      <c r="B22" s="37">
        <f>IF(T22="","",INDEX(Calc!$AU$2:$AU$2001,T22))</f>
        <v/>
      </c>
      <c r="C22" s="56">
        <f>IF(T22="","",INDEX(Calc!$AW$2:$AW$2001,T22)-Setup!$D$7)</f>
        <v/>
      </c>
      <c r="D22" s="125">
        <f>IF(T22="","",IF(INDEX(Calc!$BG$2:$BG$2001,T22)=1,"✓",""))</f>
        <v/>
      </c>
      <c r="E22" s="1" t="n"/>
      <c r="F22" s="37">
        <f>IF(U22="","",INDEX(Calc!$AU$2:$AU$2001,U22))</f>
        <v/>
      </c>
      <c r="G22" s="56">
        <f>IF(U22="","",INDEX(Calc!$AW$2:$AW$2001,U22)-Setup!$D$7)</f>
        <v/>
      </c>
      <c r="H22" s="126">
        <f>IF(U22="","",IF(INDEX(Calc!$BG$2:$BG$2001,U22)=1,"✓",""))</f>
        <v/>
      </c>
      <c r="I22" s="1" t="n"/>
      <c r="J22" s="37">
        <f>IF(V22="","",INDEX(Calc!$AU$2:$AU$2001,V22))</f>
        <v/>
      </c>
      <c r="K22" s="56">
        <f>IF(V22="","",INDEX(Calc!$AW$2:$AW$2001,V22)-Setup!$D$7)</f>
        <v/>
      </c>
      <c r="L22" s="95">
        <f>IF(V22="","",IF(INDEX(Calc!$BG$2:$BG$2001,V22)=1,"✓",""))</f>
        <v/>
      </c>
      <c r="M22" s="1" t="n"/>
      <c r="N22" s="37">
        <f>IF(W22="","",INDEX(Calc!$AU$2:$AU$2001,W22))</f>
        <v/>
      </c>
      <c r="O22" s="56">
        <f>IF(W22="","",INDEX(Calc!$AW$2:$AW$2001,W22)-Setup!$D$7)</f>
        <v/>
      </c>
      <c r="P22" s="127">
        <f>IF(W22="","",IF(INDEX(Calc!$BG$2:$BG$2001,W22)=1,"✓",""))</f>
        <v/>
      </c>
      <c r="Q22" s="1" t="n"/>
      <c r="R22" s="1" t="n"/>
      <c r="S22" s="1" t="n"/>
      <c r="T22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FIRST")*(($K$6="No")+(Calc!$BG$2:$BG$2001=0)&gt;0)),9),10000),"")</f>
        <v/>
      </c>
      <c r="U22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9),10000),"")</f>
        <v/>
      </c>
      <c r="V22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9),10000),"")</f>
        <v/>
      </c>
      <c r="W22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9),10000),"")</f>
        <v/>
      </c>
      <c r="X22" s="1" t="n"/>
      <c r="Y22" s="1" t="n"/>
      <c r="Z22" s="1" t="n"/>
    </row>
    <row r="23">
      <c r="A23" s="1" t="n"/>
      <c r="B23" s="37">
        <f>IF(T23="","",INDEX(Calc!$AU$2:$AU$2001,T23))</f>
        <v/>
      </c>
      <c r="C23" s="56">
        <f>IF(T23="","",INDEX(Calc!$AW$2:$AW$2001,T23)-Setup!$D$7)</f>
        <v/>
      </c>
      <c r="D23" s="125">
        <f>IF(T23="","",IF(INDEX(Calc!$BG$2:$BG$2001,T23)=1,"✓",""))</f>
        <v/>
      </c>
      <c r="E23" s="1" t="n"/>
      <c r="F23" s="37">
        <f>IF(U23="","",INDEX(Calc!$AU$2:$AU$2001,U23))</f>
        <v/>
      </c>
      <c r="G23" s="56">
        <f>IF(U23="","",INDEX(Calc!$AW$2:$AW$2001,U23)-Setup!$D$7)</f>
        <v/>
      </c>
      <c r="H23" s="126">
        <f>IF(U23="","",IF(INDEX(Calc!$BG$2:$BG$2001,U23)=1,"✓",""))</f>
        <v/>
      </c>
      <c r="I23" s="1" t="n"/>
      <c r="J23" s="37">
        <f>IF(V23="","",INDEX(Calc!$AU$2:$AU$2001,V23))</f>
        <v/>
      </c>
      <c r="K23" s="56">
        <f>IF(V23="","",INDEX(Calc!$AW$2:$AW$2001,V23)-Setup!$D$7)</f>
        <v/>
      </c>
      <c r="L23" s="95">
        <f>IF(V23="","",IF(INDEX(Calc!$BG$2:$BG$2001,V23)=1,"✓",""))</f>
        <v/>
      </c>
      <c r="M23" s="1" t="n"/>
      <c r="N23" s="37">
        <f>IF(W23="","",INDEX(Calc!$AU$2:$AU$2001,W23))</f>
        <v/>
      </c>
      <c r="O23" s="56">
        <f>IF(W23="","",INDEX(Calc!$AW$2:$AW$2001,W23)-Setup!$D$7)</f>
        <v/>
      </c>
      <c r="P23" s="127">
        <f>IF(W23="","",IF(INDEX(Calc!$BG$2:$BG$2001,W23)=1,"✓",""))</f>
        <v/>
      </c>
      <c r="Q23" s="1" t="n"/>
      <c r="R23" s="1" t="n"/>
      <c r="S23" s="1" t="n"/>
      <c r="T23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FIRST")*(($K$6="No")+(Calc!$BG$2:$BG$2001=0)&gt;0)),10),10000),"")</f>
        <v/>
      </c>
      <c r="U23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10),10000),"")</f>
        <v/>
      </c>
      <c r="V23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10),10000),"")</f>
        <v/>
      </c>
      <c r="W23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10),10000),"")</f>
        <v/>
      </c>
      <c r="X23" s="1" t="n"/>
      <c r="Y23" s="1" t="n"/>
      <c r="Z23" s="1" t="n"/>
    </row>
    <row r="24">
      <c r="A24" s="1" t="n"/>
      <c r="B24" s="37">
        <f>IF(T24="","",INDEX(Calc!$AU$2:$AU$2001,T24))</f>
        <v/>
      </c>
      <c r="C24" s="56">
        <f>IF(T24="","",INDEX(Calc!$AW$2:$AW$2001,T24)-Setup!$D$7)</f>
        <v/>
      </c>
      <c r="D24" s="125">
        <f>IF(T24="","",IF(INDEX(Calc!$BG$2:$BG$2001,T24)=1,"✓",""))</f>
        <v/>
      </c>
      <c r="E24" s="1" t="n"/>
      <c r="F24" s="37">
        <f>IF(U24="","",INDEX(Calc!$AU$2:$AU$2001,U24))</f>
        <v/>
      </c>
      <c r="G24" s="56">
        <f>IF(U24="","",INDEX(Calc!$AW$2:$AW$2001,U24)-Setup!$D$7)</f>
        <v/>
      </c>
      <c r="H24" s="126">
        <f>IF(U24="","",IF(INDEX(Calc!$BG$2:$BG$2001,U24)=1,"✓",""))</f>
        <v/>
      </c>
      <c r="I24" s="1" t="n"/>
      <c r="J24" s="37">
        <f>IF(V24="","",INDEX(Calc!$AU$2:$AU$2001,V24))</f>
        <v/>
      </c>
      <c r="K24" s="56">
        <f>IF(V24="","",INDEX(Calc!$AW$2:$AW$2001,V24)-Setup!$D$7)</f>
        <v/>
      </c>
      <c r="L24" s="95">
        <f>IF(V24="","",IF(INDEX(Calc!$BG$2:$BG$2001,V24)=1,"✓",""))</f>
        <v/>
      </c>
      <c r="M24" s="1" t="n"/>
      <c r="N24" s="37">
        <f>IF(W24="","",INDEX(Calc!$AU$2:$AU$2001,W24))</f>
        <v/>
      </c>
      <c r="O24" s="56">
        <f>IF(W24="","",INDEX(Calc!$AW$2:$AW$2001,W24)-Setup!$D$7)</f>
        <v/>
      </c>
      <c r="P24" s="127">
        <f>IF(W24="","",IF(INDEX(Calc!$BG$2:$BG$2001,W24)=1,"✓",""))</f>
        <v/>
      </c>
      <c r="Q24" s="1" t="n"/>
      <c r="R24" s="1" t="n"/>
      <c r="S24" s="1" t="n"/>
      <c r="T24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FIRST")*(($K$6="No")+(Calc!$BG$2:$BG$2001=0)&gt;0)),11),10000),"")</f>
        <v/>
      </c>
      <c r="U24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11),10000),"")</f>
        <v/>
      </c>
      <c r="V24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11),10000),"")</f>
        <v/>
      </c>
      <c r="W24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11),10000),"")</f>
        <v/>
      </c>
      <c r="X24" s="1" t="n"/>
      <c r="Y24" s="1" t="n"/>
      <c r="Z24" s="1" t="n"/>
    </row>
    <row r="25">
      <c r="A25" s="1" t="n"/>
      <c r="B25" s="37">
        <f>IF(T25="","",INDEX(Calc!$AU$2:$AU$2001,T25))</f>
        <v/>
      </c>
      <c r="C25" s="56">
        <f>IF(T25="","",INDEX(Calc!$AW$2:$AW$2001,T25)-Setup!$D$7)</f>
        <v/>
      </c>
      <c r="D25" s="125">
        <f>IF(T25="","",IF(INDEX(Calc!$BG$2:$BG$2001,T25)=1,"✓",""))</f>
        <v/>
      </c>
      <c r="E25" s="1" t="n"/>
      <c r="F25" s="37">
        <f>IF(U25="","",INDEX(Calc!$AU$2:$AU$2001,U25))</f>
        <v/>
      </c>
      <c r="G25" s="56">
        <f>IF(U25="","",INDEX(Calc!$AW$2:$AW$2001,U25)-Setup!$D$7)</f>
        <v/>
      </c>
      <c r="H25" s="126">
        <f>IF(U25="","",IF(INDEX(Calc!$BG$2:$BG$2001,U25)=1,"✓",""))</f>
        <v/>
      </c>
      <c r="I25" s="1" t="n"/>
      <c r="J25" s="37">
        <f>IF(V25="","",INDEX(Calc!$AU$2:$AU$2001,V25))</f>
        <v/>
      </c>
      <c r="K25" s="56">
        <f>IF(V25="","",INDEX(Calc!$AW$2:$AW$2001,V25)-Setup!$D$7)</f>
        <v/>
      </c>
      <c r="L25" s="95">
        <f>IF(V25="","",IF(INDEX(Calc!$BG$2:$BG$2001,V25)=1,"✓",""))</f>
        <v/>
      </c>
      <c r="M25" s="1" t="n"/>
      <c r="N25" s="37">
        <f>IF(W25="","",INDEX(Calc!$AU$2:$AU$2001,W25))</f>
        <v/>
      </c>
      <c r="O25" s="56">
        <f>IF(W25="","",INDEX(Calc!$AW$2:$AW$2001,W25)-Setup!$D$7)</f>
        <v/>
      </c>
      <c r="P25" s="127">
        <f>IF(W25="","",IF(INDEX(Calc!$BG$2:$BG$2001,W25)=1,"✓",""))</f>
        <v/>
      </c>
      <c r="Q25" s="1" t="n"/>
      <c r="R25" s="1" t="n"/>
      <c r="S25" s="1" t="n"/>
      <c r="T25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FIRST")*(($K$6="No")+(Calc!$BG$2:$BG$2001=0)&gt;0)),12),10000),"")</f>
        <v/>
      </c>
      <c r="U25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12),10000),"")</f>
        <v/>
      </c>
      <c r="V25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12),10000),"")</f>
        <v/>
      </c>
      <c r="W25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12),10000),"")</f>
        <v/>
      </c>
      <c r="X25" s="1" t="n"/>
      <c r="Y25" s="1" t="n"/>
      <c r="Z25" s="1" t="n"/>
    </row>
    <row r="26">
      <c r="A26" s="1" t="n"/>
      <c r="B26" s="37">
        <f>IF(T26="","",INDEX(Calc!$AU$2:$AU$2001,T26))</f>
        <v/>
      </c>
      <c r="C26" s="56">
        <f>IF(T26="","",INDEX(Calc!$AW$2:$AW$2001,T26)-Setup!$D$7)</f>
        <v/>
      </c>
      <c r="D26" s="125">
        <f>IF(T26="","",IF(INDEX(Calc!$BG$2:$BG$2001,T26)=1,"✓",""))</f>
        <v/>
      </c>
      <c r="E26" s="1" t="n"/>
      <c r="F26" s="37">
        <f>IF(U26="","",INDEX(Calc!$AU$2:$AU$2001,U26))</f>
        <v/>
      </c>
      <c r="G26" s="56">
        <f>IF(U26="","",INDEX(Calc!$AW$2:$AW$2001,U26)-Setup!$D$7)</f>
        <v/>
      </c>
      <c r="H26" s="126">
        <f>IF(U26="","",IF(INDEX(Calc!$BG$2:$BG$2001,U26)=1,"✓",""))</f>
        <v/>
      </c>
      <c r="I26" s="1" t="n"/>
      <c r="J26" s="37">
        <f>IF(V26="","",INDEX(Calc!$AU$2:$AU$2001,V26))</f>
        <v/>
      </c>
      <c r="K26" s="56">
        <f>IF(V26="","",INDEX(Calc!$AW$2:$AW$2001,V26)-Setup!$D$7)</f>
        <v/>
      </c>
      <c r="L26" s="95">
        <f>IF(V26="","",IF(INDEX(Calc!$BG$2:$BG$2001,V26)=1,"✓",""))</f>
        <v/>
      </c>
      <c r="M26" s="1" t="n"/>
      <c r="N26" s="37">
        <f>IF(W26="","",INDEX(Calc!$AU$2:$AU$2001,W26))</f>
        <v/>
      </c>
      <c r="O26" s="56">
        <f>IF(W26="","",INDEX(Calc!$AW$2:$AW$2001,W26)-Setup!$D$7)</f>
        <v/>
      </c>
      <c r="P26" s="127">
        <f>IF(W26="","",IF(INDEX(Calc!$BG$2:$BG$2001,W26)=1,"✓",""))</f>
        <v/>
      </c>
      <c r="Q26" s="1" t="n"/>
      <c r="R26" s="1" t="n"/>
      <c r="S26" s="1" t="n"/>
      <c r="T26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FIRST")*(($K$6="No")+(Calc!$BG$2:$BG$2001=0)&gt;0)),13),10000),"")</f>
        <v/>
      </c>
      <c r="U26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13),10000),"")</f>
        <v/>
      </c>
      <c r="V26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13),10000),"")</f>
        <v/>
      </c>
      <c r="W26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13),10000),"")</f>
        <v/>
      </c>
      <c r="X26" s="1" t="n"/>
      <c r="Y26" s="1" t="n"/>
      <c r="Z26" s="1" t="n"/>
    </row>
    <row r="27">
      <c r="A27" s="1" t="n"/>
      <c r="B27" s="37">
        <f>IF(T27="","",INDEX(Calc!$AU$2:$AU$2001,T27))</f>
        <v/>
      </c>
      <c r="C27" s="56">
        <f>IF(T27="","",INDEX(Calc!$AW$2:$AW$2001,T27)-Setup!$D$7)</f>
        <v/>
      </c>
      <c r="D27" s="125">
        <f>IF(T27="","",IF(INDEX(Calc!$BG$2:$BG$2001,T27)=1,"✓",""))</f>
        <v/>
      </c>
      <c r="E27" s="1" t="n"/>
      <c r="F27" s="37">
        <f>IF(U27="","",INDEX(Calc!$AU$2:$AU$2001,U27))</f>
        <v/>
      </c>
      <c r="G27" s="56">
        <f>IF(U27="","",INDEX(Calc!$AW$2:$AW$2001,U27)-Setup!$D$7)</f>
        <v/>
      </c>
      <c r="H27" s="126">
        <f>IF(U27="","",IF(INDEX(Calc!$BG$2:$BG$2001,U27)=1,"✓",""))</f>
        <v/>
      </c>
      <c r="I27" s="1" t="n"/>
      <c r="J27" s="37">
        <f>IF(V27="","",INDEX(Calc!$AU$2:$AU$2001,V27))</f>
        <v/>
      </c>
      <c r="K27" s="56">
        <f>IF(V27="","",INDEX(Calc!$AW$2:$AW$2001,V27)-Setup!$D$7)</f>
        <v/>
      </c>
      <c r="L27" s="95">
        <f>IF(V27="","",IF(INDEX(Calc!$BG$2:$BG$2001,V27)=1,"✓",""))</f>
        <v/>
      </c>
      <c r="M27" s="1" t="n"/>
      <c r="N27" s="37">
        <f>IF(W27="","",INDEX(Calc!$AU$2:$AU$2001,W27))</f>
        <v/>
      </c>
      <c r="O27" s="56">
        <f>IF(W27="","",INDEX(Calc!$AW$2:$AW$2001,W27)-Setup!$D$7)</f>
        <v/>
      </c>
      <c r="P27" s="127">
        <f>IF(W27="","",IF(INDEX(Calc!$BG$2:$BG$2001,W27)=1,"✓",""))</f>
        <v/>
      </c>
      <c r="Q27" s="1" t="n"/>
      <c r="R27" s="1" t="n"/>
      <c r="S27" s="1" t="n"/>
      <c r="T27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FIRST")*(($K$6="No")+(Calc!$BG$2:$BG$2001=0)&gt;0)),14),10000),"")</f>
        <v/>
      </c>
      <c r="U27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14),10000),"")</f>
        <v/>
      </c>
      <c r="V27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14),10000),"")</f>
        <v/>
      </c>
      <c r="W27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14),10000),"")</f>
        <v/>
      </c>
      <c r="X27" s="1" t="n"/>
      <c r="Y27" s="1" t="n"/>
      <c r="Z27" s="1" t="n"/>
    </row>
    <row r="28">
      <c r="A28" s="1" t="n"/>
      <c r="B28" s="37">
        <f>IF(T28="","",INDEX(Calc!$AU$2:$AU$2001,T28))</f>
        <v/>
      </c>
      <c r="C28" s="56">
        <f>IF(T28="","",INDEX(Calc!$AW$2:$AW$2001,T28)-Setup!$D$7)</f>
        <v/>
      </c>
      <c r="D28" s="125">
        <f>IF(T28="","",IF(INDEX(Calc!$BG$2:$BG$2001,T28)=1,"✓",""))</f>
        <v/>
      </c>
      <c r="E28" s="1" t="n"/>
      <c r="F28" s="37">
        <f>IF(U28="","",INDEX(Calc!$AU$2:$AU$2001,U28))</f>
        <v/>
      </c>
      <c r="G28" s="56">
        <f>IF(U28="","",INDEX(Calc!$AW$2:$AW$2001,U28)-Setup!$D$7)</f>
        <v/>
      </c>
      <c r="H28" s="126">
        <f>IF(U28="","",IF(INDEX(Calc!$BG$2:$BG$2001,U28)=1,"✓",""))</f>
        <v/>
      </c>
      <c r="I28" s="1" t="n"/>
      <c r="J28" s="37">
        <f>IF(V28="","",INDEX(Calc!$AU$2:$AU$2001,V28))</f>
        <v/>
      </c>
      <c r="K28" s="56">
        <f>IF(V28="","",INDEX(Calc!$AW$2:$AW$2001,V28)-Setup!$D$7)</f>
        <v/>
      </c>
      <c r="L28" s="95">
        <f>IF(V28="","",IF(INDEX(Calc!$BG$2:$BG$2001,V28)=1,"✓",""))</f>
        <v/>
      </c>
      <c r="M28" s="1" t="n"/>
      <c r="N28" s="37">
        <f>IF(W28="","",INDEX(Calc!$AU$2:$AU$2001,W28))</f>
        <v/>
      </c>
      <c r="O28" s="56">
        <f>IF(W28="","",INDEX(Calc!$AW$2:$AW$2001,W28)-Setup!$D$7)</f>
        <v/>
      </c>
      <c r="P28" s="127">
        <f>IF(W28="","",IF(INDEX(Calc!$BG$2:$BG$2001,W28)=1,"✓",""))</f>
        <v/>
      </c>
      <c r="Q28" s="1" t="n"/>
      <c r="R28" s="1" t="n"/>
      <c r="S28" s="1" t="n"/>
      <c r="T28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FIRST")*(($K$6="No")+(Calc!$BG$2:$BG$2001=0)&gt;0)),15),10000),"")</f>
        <v/>
      </c>
      <c r="U28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15),10000),"")</f>
        <v/>
      </c>
      <c r="V28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15),10000),"")</f>
        <v/>
      </c>
      <c r="W28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15),10000),"")</f>
        <v/>
      </c>
      <c r="X28" s="1" t="n"/>
      <c r="Y28" s="1" t="n"/>
      <c r="Z28" s="1" t="n"/>
    </row>
    <row r="29">
      <c r="A29" s="1" t="n"/>
      <c r="B29" s="37">
        <f>IF(T29="","",INDEX(Calc!$AU$2:$AU$2001,T29))</f>
        <v/>
      </c>
      <c r="C29" s="56">
        <f>IF(T29="","",INDEX(Calc!$AW$2:$AW$2001,T29)-Setup!$D$7)</f>
        <v/>
      </c>
      <c r="D29" s="125">
        <f>IF(T29="","",IF(INDEX(Calc!$BG$2:$BG$2001,T29)=1,"✓",""))</f>
        <v/>
      </c>
      <c r="E29" s="1" t="n"/>
      <c r="F29" s="37">
        <f>IF(U29="","",INDEX(Calc!$AU$2:$AU$2001,U29))</f>
        <v/>
      </c>
      <c r="G29" s="56">
        <f>IF(U29="","",INDEX(Calc!$AW$2:$AW$2001,U29)-Setup!$D$7)</f>
        <v/>
      </c>
      <c r="H29" s="126">
        <f>IF(U29="","",IF(INDEX(Calc!$BG$2:$BG$2001,U29)=1,"✓",""))</f>
        <v/>
      </c>
      <c r="I29" s="1" t="n"/>
      <c r="J29" s="37">
        <f>IF(V29="","",INDEX(Calc!$AU$2:$AU$2001,V29))</f>
        <v/>
      </c>
      <c r="K29" s="56">
        <f>IF(V29="","",INDEX(Calc!$AW$2:$AW$2001,V29)-Setup!$D$7)</f>
        <v/>
      </c>
      <c r="L29" s="95">
        <f>IF(V29="","",IF(INDEX(Calc!$BG$2:$BG$2001,V29)=1,"✓",""))</f>
        <v/>
      </c>
      <c r="M29" s="1" t="n"/>
      <c r="N29" s="37">
        <f>IF(W29="","",INDEX(Calc!$AU$2:$AU$2001,W29))</f>
        <v/>
      </c>
      <c r="O29" s="56">
        <f>IF(W29="","",INDEX(Calc!$AW$2:$AW$2001,W29)-Setup!$D$7)</f>
        <v/>
      </c>
      <c r="P29" s="127">
        <f>IF(W29="","",IF(INDEX(Calc!$BG$2:$BG$2001,W29)=1,"✓",""))</f>
        <v/>
      </c>
      <c r="Q29" s="1" t="n"/>
      <c r="R29" s="1" t="n"/>
      <c r="S29" s="1" t="n"/>
      <c r="T29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FIRST")*(($K$6="No")+(Calc!$BG$2:$BG$2001=0)&gt;0)),16),10000),"")</f>
        <v/>
      </c>
      <c r="U29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16),10000),"")</f>
        <v/>
      </c>
      <c r="V29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16),10000),"")</f>
        <v/>
      </c>
      <c r="W29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16),10000),"")</f>
        <v/>
      </c>
      <c r="X29" s="1" t="n"/>
      <c r="Y29" s="1" t="n"/>
      <c r="Z29" s="1" t="n"/>
    </row>
    <row r="30">
      <c r="A30" s="1" t="n"/>
      <c r="B30" s="37">
        <f>IF(T30="","",INDEX(Calc!$AU$2:$AU$2001,T30))</f>
        <v/>
      </c>
      <c r="C30" s="56">
        <f>IF(T30="","",INDEX(Calc!$AW$2:$AW$2001,T30)-Setup!$D$7)</f>
        <v/>
      </c>
      <c r="D30" s="125">
        <f>IF(T30="","",IF(INDEX(Calc!$BG$2:$BG$2001,T30)=1,"✓",""))</f>
        <v/>
      </c>
      <c r="E30" s="1" t="n"/>
      <c r="F30" s="37">
        <f>IF(U30="","",INDEX(Calc!$AU$2:$AU$2001,U30))</f>
        <v/>
      </c>
      <c r="G30" s="56">
        <f>IF(U30="","",INDEX(Calc!$AW$2:$AW$2001,U30)-Setup!$D$7)</f>
        <v/>
      </c>
      <c r="H30" s="126">
        <f>IF(U30="","",IF(INDEX(Calc!$BG$2:$BG$2001,U30)=1,"✓",""))</f>
        <v/>
      </c>
      <c r="I30" s="1" t="n"/>
      <c r="J30" s="37">
        <f>IF(V30="","",INDEX(Calc!$AU$2:$AU$2001,V30))</f>
        <v/>
      </c>
      <c r="K30" s="56">
        <f>IF(V30="","",INDEX(Calc!$AW$2:$AW$2001,V30)-Setup!$D$7)</f>
        <v/>
      </c>
      <c r="L30" s="95">
        <f>IF(V30="","",IF(INDEX(Calc!$BG$2:$BG$2001,V30)=1,"✓",""))</f>
        <v/>
      </c>
      <c r="M30" s="1" t="n"/>
      <c r="N30" s="37">
        <f>IF(W30="","",INDEX(Calc!$AU$2:$AU$2001,W30))</f>
        <v/>
      </c>
      <c r="O30" s="56">
        <f>IF(W30="","",INDEX(Calc!$AW$2:$AW$2001,W30)-Setup!$D$7)</f>
        <v/>
      </c>
      <c r="P30" s="127">
        <f>IF(W30="","",IF(INDEX(Calc!$BG$2:$BG$2001,W30)=1,"✓",""))</f>
        <v/>
      </c>
      <c r="Q30" s="1" t="n"/>
      <c r="R30" s="1" t="n"/>
      <c r="S30" s="1" t="n"/>
      <c r="T30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FIRST")*(($K$6="No")+(Calc!$BG$2:$BG$2001=0)&gt;0)),17),10000),"")</f>
        <v/>
      </c>
      <c r="U30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17),10000),"")</f>
        <v/>
      </c>
      <c r="V30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17),10000),"")</f>
        <v/>
      </c>
      <c r="W30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17),10000),"")</f>
        <v/>
      </c>
      <c r="X30" s="1" t="n"/>
      <c r="Y30" s="1" t="n"/>
      <c r="Z30" s="1" t="n"/>
    </row>
    <row r="31">
      <c r="A31" s="1" t="n"/>
      <c r="B31" s="37">
        <f>IF(T31="","",INDEX(Calc!$AU$2:$AU$2001,T31))</f>
        <v/>
      </c>
      <c r="C31" s="56">
        <f>IF(T31="","",INDEX(Calc!$AW$2:$AW$2001,T31)-Setup!$D$7)</f>
        <v/>
      </c>
      <c r="D31" s="125">
        <f>IF(T31="","",IF(INDEX(Calc!$BG$2:$BG$2001,T31)=1,"✓",""))</f>
        <v/>
      </c>
      <c r="E31" s="1" t="n"/>
      <c r="F31" s="37">
        <f>IF(U31="","",INDEX(Calc!$AU$2:$AU$2001,U31))</f>
        <v/>
      </c>
      <c r="G31" s="56">
        <f>IF(U31="","",INDEX(Calc!$AW$2:$AW$2001,U31)-Setup!$D$7)</f>
        <v/>
      </c>
      <c r="H31" s="126">
        <f>IF(U31="","",IF(INDEX(Calc!$BG$2:$BG$2001,U31)=1,"✓",""))</f>
        <v/>
      </c>
      <c r="I31" s="1" t="n"/>
      <c r="J31" s="37">
        <f>IF(V31="","",INDEX(Calc!$AU$2:$AU$2001,V31))</f>
        <v/>
      </c>
      <c r="K31" s="56">
        <f>IF(V31="","",INDEX(Calc!$AW$2:$AW$2001,V31)-Setup!$D$7)</f>
        <v/>
      </c>
      <c r="L31" s="95">
        <f>IF(V31="","",IF(INDEX(Calc!$BG$2:$BG$2001,V31)=1,"✓",""))</f>
        <v/>
      </c>
      <c r="M31" s="1" t="n"/>
      <c r="N31" s="37">
        <f>IF(W31="","",INDEX(Calc!$AU$2:$AU$2001,W31))</f>
        <v/>
      </c>
      <c r="O31" s="56">
        <f>IF(W31="","",INDEX(Calc!$AW$2:$AW$2001,W31)-Setup!$D$7)</f>
        <v/>
      </c>
      <c r="P31" s="127">
        <f>IF(W31="","",IF(INDEX(Calc!$BG$2:$BG$2001,W31)=1,"✓",""))</f>
        <v/>
      </c>
      <c r="Q31" s="1" t="n"/>
      <c r="R31" s="1" t="n"/>
      <c r="S31" s="1" t="n"/>
      <c r="T31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FIRST")*(($K$6="No")+(Calc!$BG$2:$BG$2001=0)&gt;0)),18),10000),"")</f>
        <v/>
      </c>
      <c r="U31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18),10000),"")</f>
        <v/>
      </c>
      <c r="V31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18),10000),"")</f>
        <v/>
      </c>
      <c r="W31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18),10000),"")</f>
        <v/>
      </c>
      <c r="X31" s="1" t="n"/>
      <c r="Y31" s="1" t="n"/>
      <c r="Z31" s="1" t="n"/>
    </row>
    <row r="32">
      <c r="A32" s="1" t="n"/>
      <c r="B32" s="37">
        <f>IF(T32="","",INDEX(Calc!$AU$2:$AU$2001,T32))</f>
        <v/>
      </c>
      <c r="C32" s="56">
        <f>IF(T32="","",INDEX(Calc!$AW$2:$AW$2001,T32)-Setup!$D$7)</f>
        <v/>
      </c>
      <c r="D32" s="125">
        <f>IF(T32="","",IF(INDEX(Calc!$BG$2:$BG$2001,T32)=1,"✓",""))</f>
        <v/>
      </c>
      <c r="E32" s="1" t="n"/>
      <c r="F32" s="37">
        <f>IF(U32="","",INDEX(Calc!$AU$2:$AU$2001,U32))</f>
        <v/>
      </c>
      <c r="G32" s="56">
        <f>IF(U32="","",INDEX(Calc!$AW$2:$AW$2001,U32)-Setup!$D$7)</f>
        <v/>
      </c>
      <c r="H32" s="126">
        <f>IF(U32="","",IF(INDEX(Calc!$BG$2:$BG$2001,U32)=1,"✓",""))</f>
        <v/>
      </c>
      <c r="I32" s="1" t="n"/>
      <c r="J32" s="37">
        <f>IF(V32="","",INDEX(Calc!$AU$2:$AU$2001,V32))</f>
        <v/>
      </c>
      <c r="K32" s="56">
        <f>IF(V32="","",INDEX(Calc!$AW$2:$AW$2001,V32)-Setup!$D$7)</f>
        <v/>
      </c>
      <c r="L32" s="95">
        <f>IF(V32="","",IF(INDEX(Calc!$BG$2:$BG$2001,V32)=1,"✓",""))</f>
        <v/>
      </c>
      <c r="M32" s="1" t="n"/>
      <c r="N32" s="37">
        <f>IF(W32="","",INDEX(Calc!$AU$2:$AU$2001,W32))</f>
        <v/>
      </c>
      <c r="O32" s="56">
        <f>IF(W32="","",INDEX(Calc!$AW$2:$AW$2001,W32)-Setup!$D$7)</f>
        <v/>
      </c>
      <c r="P32" s="127">
        <f>IF(W32="","",IF(INDEX(Calc!$BG$2:$BG$2001,W32)=1,"✓",""))</f>
        <v/>
      </c>
      <c r="Q32" s="1" t="n"/>
      <c r="R32" s="1" t="n"/>
      <c r="S32" s="1" t="n"/>
      <c r="T32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FIRST")*(($K$6="No")+(Calc!$BG$2:$BG$2001=0)&gt;0)),19),10000),"")</f>
        <v/>
      </c>
      <c r="U32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19),10000),"")</f>
        <v/>
      </c>
      <c r="V32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19),10000),"")</f>
        <v/>
      </c>
      <c r="W32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19),10000),"")</f>
        <v/>
      </c>
      <c r="X32" s="1" t="n"/>
      <c r="Y32" s="1" t="n"/>
      <c r="Z32" s="1" t="n"/>
    </row>
    <row r="33">
      <c r="A33" s="1" t="n"/>
      <c r="B33" s="37">
        <f>IF(T33="","",INDEX(Calc!$AU$2:$AU$2001,T33))</f>
        <v/>
      </c>
      <c r="C33" s="56">
        <f>IF(T33="","",INDEX(Calc!$AW$2:$AW$2001,T33)-Setup!$D$7)</f>
        <v/>
      </c>
      <c r="D33" s="125">
        <f>IF(T33="","",IF(INDEX(Calc!$BG$2:$BG$2001,T33)=1,"✓",""))</f>
        <v/>
      </c>
      <c r="E33" s="1" t="n"/>
      <c r="F33" s="37">
        <f>IF(U33="","",INDEX(Calc!$AU$2:$AU$2001,U33))</f>
        <v/>
      </c>
      <c r="G33" s="56">
        <f>IF(U33="","",INDEX(Calc!$AW$2:$AW$2001,U33)-Setup!$D$7)</f>
        <v/>
      </c>
      <c r="H33" s="126">
        <f>IF(U33="","",IF(INDEX(Calc!$BG$2:$BG$2001,U33)=1,"✓",""))</f>
        <v/>
      </c>
      <c r="I33" s="1" t="n"/>
      <c r="J33" s="37">
        <f>IF(V33="","",INDEX(Calc!$AU$2:$AU$2001,V33))</f>
        <v/>
      </c>
      <c r="K33" s="56">
        <f>IF(V33="","",INDEX(Calc!$AW$2:$AW$2001,V33)-Setup!$D$7)</f>
        <v/>
      </c>
      <c r="L33" s="95">
        <f>IF(V33="","",IF(INDEX(Calc!$BG$2:$BG$2001,V33)=1,"✓",""))</f>
        <v/>
      </c>
      <c r="M33" s="1" t="n"/>
      <c r="N33" s="37">
        <f>IF(W33="","",INDEX(Calc!$AU$2:$AU$2001,W33))</f>
        <v/>
      </c>
      <c r="O33" s="56">
        <f>IF(W33="","",INDEX(Calc!$AW$2:$AW$2001,W33)-Setup!$D$7)</f>
        <v/>
      </c>
      <c r="P33" s="127">
        <f>IF(W33="","",IF(INDEX(Calc!$BG$2:$BG$2001,W33)=1,"✓",""))</f>
        <v/>
      </c>
      <c r="Q33" s="1" t="n"/>
      <c r="R33" s="1" t="n"/>
      <c r="S33" s="1" t="n"/>
      <c r="T33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O FIRST")*(($K$6="No")+(Calc!$BG$2:$BG$2001=0)&gt;0)),20),10000),"")</f>
        <v/>
      </c>
      <c r="U33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SCHEDULE")*(($K$6="No")+(Calc!$BG$2:$BG$2001=0)&gt;0)),20),10000),"")</f>
        <v/>
      </c>
      <c r="V33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GATE")*(($K$6="No")+(Calc!$BG$2:$BG$2001=0)&gt;0)),20),10000),"")</f>
        <v/>
      </c>
      <c r="W33" s="1">
        <f>IFERROR(MOD(_xlfn.AGGREGATE(15,6,((Calc!$AW$2:$AW$2001-40000)*10000+ROW(Calc!$AW$2:$AW$2001)-1)/((Calc!$AW$2:$AW$2001&gt;=$K$2)*(Calc!$AW$2:$AW$2001&lt;=$K$3)*(Calc!$BH$2:$BH$2001=1)*(Calc!$AZ$2:$AZ$2001&lt;&gt;"Cancelled")*(($K$4="")+(Calc!$AV$2:$AV$2001=$K$4)&gt;0)*(($K$5="")+(Calc!$BC$2:$BC$2001=$K$5)&gt;0)*(Calc!$BD$2:$BD$2001="DELETE")*(($K$6="No")+(Calc!$BG$2:$BG$2001=0)&gt;0)),20),10000),"")</f>
        <v/>
      </c>
      <c r="X33" s="1" t="n"/>
      <c r="Y33" s="1" t="n"/>
      <c r="Z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n"/>
      <c r="B35" s="8" t="inlineStr">
        <is>
          <t>PROGRESS BY QUADRANT</t>
        </is>
      </c>
      <c r="C35" s="9" t="n"/>
      <c r="D35" s="9" t="n"/>
      <c r="E35" s="9" t="n"/>
      <c r="F35" s="9" t="n"/>
      <c r="G35" s="9" t="n"/>
      <c r="H35" s="9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</sheetData>
  <mergeCells count="19">
    <mergeCell ref="B8:D8"/>
    <mergeCell ref="F8:H8"/>
    <mergeCell ref="K5:L5"/>
    <mergeCell ref="J9:L9"/>
    <mergeCell ref="N8:P8"/>
    <mergeCell ref="K4:L4"/>
    <mergeCell ref="B2:F2"/>
    <mergeCell ref="B35:H35"/>
    <mergeCell ref="B9:D9"/>
    <mergeCell ref="N9:P9"/>
    <mergeCell ref="F9:H9"/>
    <mergeCell ref="J12:L12"/>
    <mergeCell ref="K2:L2"/>
    <mergeCell ref="J8:L8"/>
    <mergeCell ref="B12:D12"/>
    <mergeCell ref="F12:H12"/>
    <mergeCell ref="K6:L6"/>
    <mergeCell ref="N12:P12"/>
    <mergeCell ref="K3:L3"/>
  </mergeCells>
  <conditionalFormatting sqref="B12">
    <cfRule type="dataBar" priority="1">
      <dataBar showValue="1">
        <cfvo type="num" val="0"/>
        <cfvo type="num" val="1"/>
        <color rgb="00FF4F8B"/>
      </dataBar>
    </cfRule>
  </conditionalFormatting>
  <conditionalFormatting sqref="B14:C33">
    <cfRule type="expression" priority="2" dxfId="10" stopIfTrue="0">
      <formula>AND($T14&lt;&gt;"",INDEX(TaskDone,MAX(1,N($T14)))=1)</formula>
    </cfRule>
  </conditionalFormatting>
  <conditionalFormatting sqref="C14:C33">
    <cfRule type="expression" priority="3" dxfId="19" stopIfTrue="0">
      <formula>AND(ISNUMBER(C14),C14&lt;0)</formula>
    </cfRule>
  </conditionalFormatting>
  <conditionalFormatting sqref="F12">
    <cfRule type="dataBar" priority="4">
      <dataBar showValue="1">
        <cfvo type="num" val="0"/>
        <cfvo type="num" val="1"/>
        <color rgb="0035D6BE"/>
      </dataBar>
    </cfRule>
  </conditionalFormatting>
  <conditionalFormatting sqref="F14:G33">
    <cfRule type="expression" priority="5" dxfId="10" stopIfTrue="0">
      <formula>AND($U14&lt;&gt;"",INDEX(TaskDone,MAX(1,N($U14)))=1)</formula>
    </cfRule>
  </conditionalFormatting>
  <conditionalFormatting sqref="G14:G33">
    <cfRule type="expression" priority="6" dxfId="19" stopIfTrue="0">
      <formula>AND(ISNUMBER(G14),G14&lt;0)</formula>
    </cfRule>
  </conditionalFormatting>
  <conditionalFormatting sqref="J12">
    <cfRule type="dataBar" priority="7">
      <dataBar showValue="1">
        <cfvo type="num" val="0"/>
        <cfvo type="num" val="1"/>
        <color rgb="00FFB224"/>
      </dataBar>
    </cfRule>
  </conditionalFormatting>
  <conditionalFormatting sqref="J14:K33">
    <cfRule type="expression" priority="8" dxfId="10" stopIfTrue="0">
      <formula>AND($V14&lt;&gt;"",INDEX(TaskDone,MAX(1,N($V14)))=1)</formula>
    </cfRule>
  </conditionalFormatting>
  <conditionalFormatting sqref="K14:K33">
    <cfRule type="expression" priority="9" dxfId="19" stopIfTrue="0">
      <formula>AND(ISNUMBER(K14),K14&lt;0)</formula>
    </cfRule>
  </conditionalFormatting>
  <conditionalFormatting sqref="N12">
    <cfRule type="dataBar" priority="10">
      <dataBar showValue="1">
        <cfvo type="num" val="0"/>
        <cfvo type="num" val="1"/>
        <color rgb="009D8CF7"/>
      </dataBar>
    </cfRule>
  </conditionalFormatting>
  <conditionalFormatting sqref="N14:O33">
    <cfRule type="expression" priority="11" dxfId="10" stopIfTrue="0">
      <formula>AND($W14&lt;&gt;"",INDEX(TaskDone,MAX(1,N($W14)))=1)</formula>
    </cfRule>
  </conditionalFormatting>
  <conditionalFormatting sqref="O14:O33">
    <cfRule type="expression" priority="12" dxfId="19" stopIfTrue="0">
      <formula>AND(ISNUMBER(O14),O14&lt;0)</formula>
    </cfRule>
  </conditionalFormatting>
  <dataValidations count="3">
    <dataValidation sqref="K4" showDropDown="0" showInputMessage="0" showErrorMessage="0" allowBlank="1" error="Please pick a value from the list." type="list" errorStyle="warning">
      <formula1>=Setup!$F$6:$F$15</formula1>
    </dataValidation>
    <dataValidation sqref="K5" showDropDown="0" showInputMessage="0" showErrorMessage="0" allowBlank="1" error="Please pick a value from the list." type="list" errorStyle="warning">
      <formula1>=Setup!$H$6:$H$15</formula1>
    </dataValidation>
    <dataValidation sqref="K6" showDropDown="0" showInputMessage="0" showErrorMessage="0" allowBlank="1" error="Please pick a value from the list." type="list" errorStyle="warning">
      <formula1>=Lists!$K$2:$K$3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FFB224"/>
    <outlinePr summaryBelow="1" summaryRight="1"/>
    <pageSetUpPr/>
  </sheetPr>
  <dimension ref="A1:NG58"/>
  <sheetViews>
    <sheetView showGridLines="0" zoomScale="85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" min="1" max="1"/>
    <col width="30" customWidth="1" style="1" min="2" max="2"/>
    <col width="8" customWidth="1" style="1" min="3" max="3"/>
    <col width="7" customWidth="1" style="1" min="4" max="4"/>
    <col width="3.3" customWidth="1" style="1" min="5" max="5"/>
    <col width="3.3" customWidth="1" style="1" min="6" max="6"/>
    <col width="3.3" customWidth="1" style="1" min="7" max="7"/>
    <col width="3.3" customWidth="1" style="1" min="8" max="8"/>
    <col width="3.3" customWidth="1" style="1" min="9" max="9"/>
    <col width="3.3" customWidth="1" style="1" min="10" max="10"/>
    <col width="3.3" customWidth="1" style="1" min="11" max="11"/>
    <col width="3.3" customWidth="1" style="1" min="12" max="12"/>
    <col width="3.3" customWidth="1" style="1" min="13" max="13"/>
    <col width="3.3" customWidth="1" style="1" min="14" max="14"/>
    <col width="3.3" customWidth="1" style="1" min="15" max="15"/>
    <col width="3.3" customWidth="1" style="1" min="16" max="16"/>
    <col width="3.3" customWidth="1" style="1" min="17" max="17"/>
    <col width="3.3" customWidth="1" style="1" min="18" max="18"/>
    <col width="3.3" customWidth="1" style="1" min="19" max="19"/>
    <col width="3.3" customWidth="1" style="1" min="20" max="20"/>
    <col width="3.3" customWidth="1" style="1" min="21" max="21"/>
    <col width="3.3" customWidth="1" style="1" min="22" max="22"/>
    <col width="3.3" customWidth="1" style="1" min="23" max="23"/>
    <col width="3.3" customWidth="1" style="1" min="24" max="24"/>
    <col width="3.3" customWidth="1" style="1" min="25" max="25"/>
    <col width="3.3" customWidth="1" style="1" min="26" max="26"/>
    <col width="3.3" customWidth="1" style="1" min="27" max="27"/>
    <col width="3.3" customWidth="1" style="1" min="28" max="28"/>
    <col width="3.3" customWidth="1" style="1" min="29" max="29"/>
    <col width="3.3" customWidth="1" style="1" min="30" max="30"/>
    <col width="3.3" customWidth="1" style="1" min="31" max="31"/>
    <col width="3.3" customWidth="1" style="1" min="32" max="32"/>
    <col width="3.3" customWidth="1" style="1" min="33" max="33"/>
    <col width="3.3" customWidth="1" style="1" min="34" max="34"/>
    <col width="3.3" customWidth="1" style="1" min="35" max="35"/>
    <col width="3.3" customWidth="1" style="1" min="36" max="36"/>
    <col width="3.3" customWidth="1" style="1" min="37" max="37"/>
    <col width="3.3" customWidth="1" style="1" min="38" max="38"/>
    <col width="3.3" customWidth="1" style="1" min="39" max="39"/>
    <col width="3.3" customWidth="1" style="1" min="40" max="40"/>
    <col width="3.3" customWidth="1" style="1" min="41" max="41"/>
    <col width="3.3" customWidth="1" style="1" min="42" max="42"/>
    <col width="3.3" customWidth="1" style="1" min="43" max="43"/>
    <col width="3.3" customWidth="1" style="1" min="44" max="44"/>
    <col width="3.3" customWidth="1" style="1" min="45" max="45"/>
    <col width="3.3" customWidth="1" style="1" min="46" max="46"/>
    <col width="3.3" customWidth="1" style="1" min="47" max="47"/>
    <col width="3.3" customWidth="1" style="1" min="48" max="48"/>
    <col width="3.3" customWidth="1" style="1" min="49" max="49"/>
    <col width="3.3" customWidth="1" style="1" min="50" max="50"/>
    <col width="3.3" customWidth="1" style="1" min="51" max="51"/>
    <col width="3.3" customWidth="1" style="1" min="52" max="52"/>
    <col width="3.3" customWidth="1" style="1" min="53" max="53"/>
    <col width="3.3" customWidth="1" style="1" min="54" max="54"/>
    <col width="3.3" customWidth="1" style="1" min="55" max="55"/>
    <col width="3.3" customWidth="1" style="1" min="56" max="56"/>
    <col width="3.3" customWidth="1" style="1" min="57" max="57"/>
    <col width="3.3" customWidth="1" style="1" min="58" max="58"/>
    <col width="3.3" customWidth="1" style="1" min="59" max="59"/>
    <col width="3.3" customWidth="1" style="1" min="60" max="60"/>
    <col width="3.3" customWidth="1" style="1" min="61" max="61"/>
    <col width="3.3" customWidth="1" style="1" min="62" max="62"/>
    <col width="3.3" customWidth="1" style="1" min="63" max="63"/>
    <col width="3.3" customWidth="1" style="1" min="64" max="64"/>
    <col width="3.3" customWidth="1" style="1" min="65" max="65"/>
    <col width="3.3" customWidth="1" style="1" min="66" max="66"/>
    <col width="3.3" customWidth="1" style="1" min="67" max="67"/>
    <col width="3.3" customWidth="1" style="1" min="68" max="68"/>
    <col width="3.3" customWidth="1" style="1" min="69" max="69"/>
    <col width="3.3" customWidth="1" style="1" min="70" max="70"/>
    <col width="3.3" customWidth="1" style="1" min="71" max="71"/>
    <col width="3.3" customWidth="1" style="1" min="72" max="72"/>
    <col width="3.3" customWidth="1" style="1" min="73" max="73"/>
    <col width="3.3" customWidth="1" style="1" min="74" max="74"/>
    <col width="3.3" customWidth="1" style="1" min="75" max="75"/>
    <col width="3.3" customWidth="1" style="1" min="76" max="76"/>
    <col width="3.3" customWidth="1" style="1" min="77" max="77"/>
    <col width="3.3" customWidth="1" style="1" min="78" max="78"/>
    <col width="3.3" customWidth="1" style="1" min="79" max="79"/>
    <col width="3.3" customWidth="1" style="1" min="80" max="80"/>
    <col width="3.3" customWidth="1" style="1" min="81" max="81"/>
    <col width="3.3" customWidth="1" style="1" min="82" max="82"/>
    <col width="3.3" customWidth="1" style="1" min="83" max="83"/>
    <col width="3.3" customWidth="1" style="1" min="84" max="84"/>
    <col width="3.3" customWidth="1" style="1" min="85" max="85"/>
    <col width="3.3" customWidth="1" style="1" min="86" max="86"/>
    <col width="3.3" customWidth="1" style="1" min="87" max="87"/>
    <col width="3.3" customWidth="1" style="1" min="88" max="88"/>
    <col width="3.3" customWidth="1" style="1" min="89" max="89"/>
    <col width="3.3" customWidth="1" style="1" min="90" max="90"/>
    <col width="3.3" customWidth="1" style="1" min="91" max="91"/>
    <col width="3.3" customWidth="1" style="1" min="92" max="92"/>
    <col width="3.3" customWidth="1" style="1" min="93" max="93"/>
    <col width="3.3" customWidth="1" style="1" min="94" max="94"/>
    <col width="3.3" customWidth="1" style="1" min="95" max="95"/>
    <col width="3.3" customWidth="1" style="1" min="96" max="96"/>
    <col width="3.3" customWidth="1" style="1" min="97" max="97"/>
    <col width="3.3" customWidth="1" style="1" min="98" max="98"/>
    <col width="3.3" customWidth="1" style="1" min="99" max="99"/>
    <col width="3.3" customWidth="1" style="1" min="100" max="100"/>
    <col width="3.3" customWidth="1" style="1" min="101" max="101"/>
    <col width="3.3" customWidth="1" style="1" min="102" max="102"/>
    <col width="3.3" customWidth="1" style="1" min="103" max="103"/>
    <col width="3.3" customWidth="1" style="1" min="104" max="104"/>
    <col width="3.3" customWidth="1" style="1" min="105" max="105"/>
    <col width="3.3" customWidth="1" style="1" min="106" max="106"/>
    <col width="3.3" customWidth="1" style="1" min="107" max="107"/>
    <col width="3.3" customWidth="1" style="1" min="108" max="108"/>
    <col width="3.3" customWidth="1" style="1" min="109" max="109"/>
    <col width="3.3" customWidth="1" style="1" min="110" max="110"/>
    <col width="3.3" customWidth="1" style="1" min="111" max="111"/>
    <col width="3.3" customWidth="1" style="1" min="112" max="112"/>
    <col width="3.3" customWidth="1" style="1" min="113" max="113"/>
    <col width="3.3" customWidth="1" style="1" min="114" max="114"/>
    <col width="3.3" customWidth="1" style="1" min="115" max="115"/>
    <col width="3.3" customWidth="1" style="1" min="116" max="116"/>
    <col width="3.3" customWidth="1" style="1" min="117" max="117"/>
    <col width="3.3" customWidth="1" style="1" min="118" max="118"/>
    <col width="3.3" customWidth="1" style="1" min="119" max="119"/>
    <col width="3.3" customWidth="1" style="1" min="120" max="120"/>
    <col width="3.3" customWidth="1" style="1" min="121" max="121"/>
    <col width="3.3" customWidth="1" style="1" min="122" max="122"/>
    <col width="3.3" customWidth="1" style="1" min="123" max="123"/>
    <col width="3.3" customWidth="1" style="1" min="124" max="124"/>
    <col width="3.3" customWidth="1" style="1" min="125" max="125"/>
    <col width="3.3" customWidth="1" style="1" min="126" max="126"/>
    <col width="3.3" customWidth="1" style="1" min="127" max="127"/>
    <col width="3.3" customWidth="1" style="1" min="128" max="128"/>
    <col width="3.3" customWidth="1" style="1" min="129" max="129"/>
    <col width="3.3" customWidth="1" style="1" min="130" max="130"/>
    <col width="3.3" customWidth="1" style="1" min="131" max="131"/>
    <col width="3.3" customWidth="1" style="1" min="132" max="132"/>
    <col width="3.3" customWidth="1" style="1" min="133" max="133"/>
    <col width="3.3" customWidth="1" style="1" min="134" max="134"/>
    <col width="3.3" customWidth="1" style="1" min="135" max="135"/>
    <col width="3.3" customWidth="1" style="1" min="136" max="136"/>
    <col width="3.3" customWidth="1" style="1" min="137" max="137"/>
    <col width="3.3" customWidth="1" style="1" min="138" max="138"/>
    <col width="3.3" customWidth="1" style="1" min="139" max="139"/>
    <col width="3.3" customWidth="1" style="1" min="140" max="140"/>
    <col width="3.3" customWidth="1" style="1" min="141" max="141"/>
    <col width="3.3" customWidth="1" style="1" min="142" max="142"/>
    <col width="3.3" customWidth="1" style="1" min="143" max="143"/>
    <col width="3.3" customWidth="1" style="1" min="144" max="144"/>
    <col width="3.3" customWidth="1" style="1" min="145" max="145"/>
    <col width="3.3" customWidth="1" style="1" min="146" max="146"/>
    <col width="3.3" customWidth="1" style="1" min="147" max="147"/>
    <col width="3.3" customWidth="1" style="1" min="148" max="148"/>
    <col width="3.3" customWidth="1" style="1" min="149" max="149"/>
    <col width="3.3" customWidth="1" style="1" min="150" max="150"/>
    <col width="3.3" customWidth="1" style="1" min="151" max="151"/>
    <col width="3.3" customWidth="1" style="1" min="152" max="152"/>
    <col width="3.3" customWidth="1" style="1" min="153" max="153"/>
    <col width="3.3" customWidth="1" style="1" min="154" max="154"/>
    <col width="3.3" customWidth="1" style="1" min="155" max="155"/>
    <col width="3.3" customWidth="1" style="1" min="156" max="156"/>
    <col width="3.3" customWidth="1" style="1" min="157" max="157"/>
    <col width="3.3" customWidth="1" style="1" min="158" max="158"/>
    <col width="3.3" customWidth="1" style="1" min="159" max="159"/>
    <col width="3.3" customWidth="1" style="1" min="160" max="160"/>
    <col width="3.3" customWidth="1" style="1" min="161" max="161"/>
    <col width="3.3" customWidth="1" style="1" min="162" max="162"/>
    <col width="3.3" customWidth="1" style="1" min="163" max="163"/>
    <col width="3.3" customWidth="1" style="1" min="164" max="164"/>
    <col width="3.3" customWidth="1" style="1" min="165" max="165"/>
    <col width="3.3" customWidth="1" style="1" min="166" max="166"/>
    <col width="3.3" customWidth="1" style="1" min="167" max="167"/>
    <col width="3.3" customWidth="1" style="1" min="168" max="168"/>
    <col width="3.3" customWidth="1" style="1" min="169" max="169"/>
    <col width="3.3" customWidth="1" style="1" min="170" max="170"/>
    <col width="3.3" customWidth="1" style="1" min="171" max="171"/>
    <col width="3.3" customWidth="1" style="1" min="172" max="172"/>
    <col width="3.3" customWidth="1" style="1" min="173" max="173"/>
    <col width="3.3" customWidth="1" style="1" min="174" max="174"/>
    <col width="3.3" customWidth="1" style="1" min="175" max="175"/>
    <col width="3.3" customWidth="1" style="1" min="176" max="176"/>
    <col width="3.3" customWidth="1" style="1" min="177" max="177"/>
    <col width="3.3" customWidth="1" style="1" min="178" max="178"/>
    <col width="3.3" customWidth="1" style="1" min="179" max="179"/>
    <col width="3.3" customWidth="1" style="1" min="180" max="180"/>
    <col width="3.3" customWidth="1" style="1" min="181" max="181"/>
    <col width="3.3" customWidth="1" style="1" min="182" max="182"/>
    <col width="3.3" customWidth="1" style="1" min="183" max="183"/>
    <col width="3.3" customWidth="1" style="1" min="184" max="184"/>
    <col width="3.3" customWidth="1" style="1" min="185" max="185"/>
    <col width="3.3" customWidth="1" style="1" min="186" max="186"/>
    <col width="3.3" customWidth="1" style="1" min="187" max="187"/>
    <col width="3.3" customWidth="1" style="1" min="188" max="188"/>
    <col width="3.3" customWidth="1" style="1" min="189" max="189"/>
    <col width="3.3" customWidth="1" style="1" min="190" max="190"/>
    <col width="3.3" customWidth="1" style="1" min="191" max="191"/>
    <col width="3.3" customWidth="1" style="1" min="192" max="192"/>
    <col width="3.3" customWidth="1" style="1" min="193" max="193"/>
    <col width="3.3" customWidth="1" style="1" min="194" max="194"/>
    <col width="3.3" customWidth="1" style="1" min="195" max="195"/>
    <col width="3.3" customWidth="1" style="1" min="196" max="196"/>
    <col width="3.3" customWidth="1" style="1" min="197" max="197"/>
    <col width="3.3" customWidth="1" style="1" min="198" max="198"/>
    <col width="3.3" customWidth="1" style="1" min="199" max="199"/>
    <col width="3.3" customWidth="1" style="1" min="200" max="200"/>
    <col width="3.3" customWidth="1" style="1" min="201" max="201"/>
    <col width="3.3" customWidth="1" style="1" min="202" max="202"/>
    <col width="3.3" customWidth="1" style="1" min="203" max="203"/>
    <col width="3.3" customWidth="1" style="1" min="204" max="204"/>
    <col width="3.3" customWidth="1" style="1" min="205" max="205"/>
    <col width="3.3" customWidth="1" style="1" min="206" max="206"/>
    <col width="3.3" customWidth="1" style="1" min="207" max="207"/>
    <col width="3.3" customWidth="1" style="1" min="208" max="208"/>
    <col width="3.3" customWidth="1" style="1" min="209" max="209"/>
    <col width="3.3" customWidth="1" style="1" min="210" max="210"/>
    <col width="3.3" customWidth="1" style="1" min="211" max="211"/>
    <col width="3.3" customWidth="1" style="1" min="212" max="212"/>
    <col width="3.3" customWidth="1" style="1" min="213" max="213"/>
    <col width="3.3" customWidth="1" style="1" min="214" max="214"/>
    <col width="3.3" customWidth="1" style="1" min="215" max="215"/>
    <col width="3.3" customWidth="1" style="1" min="216" max="216"/>
    <col width="3.3" customWidth="1" style="1" min="217" max="217"/>
    <col width="3.3" customWidth="1" style="1" min="218" max="218"/>
    <col width="3.3" customWidth="1" style="1" min="219" max="219"/>
    <col width="3.3" customWidth="1" style="1" min="220" max="220"/>
    <col width="3.3" customWidth="1" style="1" min="221" max="221"/>
    <col width="3.3" customWidth="1" style="1" min="222" max="222"/>
    <col width="3.3" customWidth="1" style="1" min="223" max="223"/>
    <col width="3.3" customWidth="1" style="1" min="224" max="224"/>
    <col width="3.3" customWidth="1" style="1" min="225" max="225"/>
    <col width="3.3" customWidth="1" style="1" min="226" max="226"/>
    <col width="3.3" customWidth="1" style="1" min="227" max="227"/>
    <col width="3.3" customWidth="1" style="1" min="228" max="228"/>
    <col width="3.3" customWidth="1" style="1" min="229" max="229"/>
    <col width="3.3" customWidth="1" style="1" min="230" max="230"/>
    <col width="3.3" customWidth="1" style="1" min="231" max="231"/>
    <col width="3.3" customWidth="1" style="1" min="232" max="232"/>
    <col width="3.3" customWidth="1" style="1" min="233" max="233"/>
    <col width="3.3" customWidth="1" style="1" min="234" max="234"/>
    <col width="3.3" customWidth="1" style="1" min="235" max="235"/>
    <col width="3.3" customWidth="1" style="1" min="236" max="236"/>
    <col width="3.3" customWidth="1" style="1" min="237" max="237"/>
    <col width="3.3" customWidth="1" style="1" min="238" max="238"/>
    <col width="3.3" customWidth="1" style="1" min="239" max="239"/>
    <col width="3.3" customWidth="1" style="1" min="240" max="240"/>
    <col width="3.3" customWidth="1" style="1" min="241" max="241"/>
    <col width="3.3" customWidth="1" style="1" min="242" max="242"/>
    <col width="3.3" customWidth="1" style="1" min="243" max="243"/>
    <col width="3.3" customWidth="1" style="1" min="244" max="244"/>
    <col width="3.3" customWidth="1" style="1" min="245" max="245"/>
    <col width="3.3" customWidth="1" style="1" min="246" max="246"/>
    <col width="3.3" customWidth="1" style="1" min="247" max="247"/>
    <col width="3.3" customWidth="1" style="1" min="248" max="248"/>
    <col width="3.3" customWidth="1" style="1" min="249" max="249"/>
    <col width="3.3" customWidth="1" style="1" min="250" max="250"/>
    <col width="3.3" customWidth="1" style="1" min="251" max="251"/>
    <col width="3.3" customWidth="1" style="1" min="252" max="252"/>
    <col width="3.3" customWidth="1" style="1" min="253" max="253"/>
    <col width="3.3" customWidth="1" style="1" min="254" max="254"/>
    <col width="3.3" customWidth="1" style="1" min="255" max="255"/>
    <col width="3.3" customWidth="1" style="1" min="256" max="256"/>
    <col width="3.3" customWidth="1" style="1" min="257" max="257"/>
    <col width="3.3" customWidth="1" style="1" min="258" max="258"/>
    <col width="3.3" customWidth="1" style="1" min="259" max="259"/>
    <col width="3.3" customWidth="1" style="1" min="260" max="260"/>
    <col width="3.3" customWidth="1" style="1" min="261" max="261"/>
    <col width="3.3" customWidth="1" style="1" min="262" max="262"/>
    <col width="3.3" customWidth="1" style="1" min="263" max="263"/>
    <col width="3.3" customWidth="1" style="1" min="264" max="264"/>
    <col width="3.3" customWidth="1" style="1" min="265" max="265"/>
    <col width="3.3" customWidth="1" style="1" min="266" max="266"/>
    <col width="3.3" customWidth="1" style="1" min="267" max="267"/>
    <col width="3.3" customWidth="1" style="1" min="268" max="268"/>
    <col width="3.3" customWidth="1" style="1" min="269" max="269"/>
    <col width="3.3" customWidth="1" style="1" min="270" max="270"/>
    <col width="3.3" customWidth="1" style="1" min="271" max="271"/>
    <col width="3.3" customWidth="1" style="1" min="272" max="272"/>
    <col width="3.3" customWidth="1" style="1" min="273" max="273"/>
    <col width="3.3" customWidth="1" style="1" min="274" max="274"/>
    <col width="3.3" customWidth="1" style="1" min="275" max="275"/>
    <col width="3.3" customWidth="1" style="1" min="276" max="276"/>
    <col width="3.3" customWidth="1" style="1" min="277" max="277"/>
    <col width="3.3" customWidth="1" style="1" min="278" max="278"/>
    <col width="3.3" customWidth="1" style="1" min="279" max="279"/>
    <col width="3.3" customWidth="1" style="1" min="280" max="280"/>
    <col width="3.3" customWidth="1" style="1" min="281" max="281"/>
    <col width="3.3" customWidth="1" style="1" min="282" max="282"/>
    <col width="3.3" customWidth="1" style="1" min="283" max="283"/>
    <col width="3.3" customWidth="1" style="1" min="284" max="284"/>
    <col width="3.3" customWidth="1" style="1" min="285" max="285"/>
    <col width="3.3" customWidth="1" style="1" min="286" max="286"/>
    <col width="3.3" customWidth="1" style="1" min="287" max="287"/>
    <col width="3.3" customWidth="1" style="1" min="288" max="288"/>
    <col width="3.3" customWidth="1" style="1" min="289" max="289"/>
    <col width="3.3" customWidth="1" style="1" min="290" max="290"/>
    <col width="3.3" customWidth="1" style="1" min="291" max="291"/>
    <col width="3.3" customWidth="1" style="1" min="292" max="292"/>
    <col width="3.3" customWidth="1" style="1" min="293" max="293"/>
    <col width="3.3" customWidth="1" style="1" min="294" max="294"/>
    <col width="3.3" customWidth="1" style="1" min="295" max="295"/>
    <col width="3.3" customWidth="1" style="1" min="296" max="296"/>
    <col width="3.3" customWidth="1" style="1" min="297" max="297"/>
    <col width="3.3" customWidth="1" style="1" min="298" max="298"/>
    <col width="3.3" customWidth="1" style="1" min="299" max="299"/>
    <col width="3.3" customWidth="1" style="1" min="300" max="300"/>
    <col width="3.3" customWidth="1" style="1" min="301" max="301"/>
    <col width="3.3" customWidth="1" style="1" min="302" max="302"/>
    <col width="3.3" customWidth="1" style="1" min="303" max="303"/>
    <col width="3.3" customWidth="1" style="1" min="304" max="304"/>
    <col width="3.3" customWidth="1" style="1" min="305" max="305"/>
    <col width="3.3" customWidth="1" style="1" min="306" max="306"/>
    <col width="3.3" customWidth="1" style="1" min="307" max="307"/>
    <col width="3.3" customWidth="1" style="1" min="308" max="308"/>
    <col width="3.3" customWidth="1" style="1" min="309" max="309"/>
    <col width="3.3" customWidth="1" style="1" min="310" max="310"/>
    <col width="3.3" customWidth="1" style="1" min="311" max="311"/>
    <col width="3.3" customWidth="1" style="1" min="312" max="312"/>
    <col width="3.3" customWidth="1" style="1" min="313" max="313"/>
    <col width="3.3" customWidth="1" style="1" min="314" max="314"/>
    <col width="3.3" customWidth="1" style="1" min="315" max="315"/>
    <col width="3.3" customWidth="1" style="1" min="316" max="316"/>
    <col width="3.3" customWidth="1" style="1" min="317" max="317"/>
    <col width="3.3" customWidth="1" style="1" min="318" max="318"/>
    <col width="3.3" customWidth="1" style="1" min="319" max="319"/>
    <col width="3.3" customWidth="1" style="1" min="320" max="320"/>
    <col width="3.3" customWidth="1" style="1" min="321" max="321"/>
    <col width="3.3" customWidth="1" style="1" min="322" max="322"/>
    <col width="3.3" customWidth="1" style="1" min="323" max="323"/>
    <col width="3.3" customWidth="1" style="1" min="324" max="324"/>
    <col width="3.3" customWidth="1" style="1" min="325" max="325"/>
    <col width="3.3" customWidth="1" style="1" min="326" max="326"/>
    <col width="3.3" customWidth="1" style="1" min="327" max="327"/>
    <col width="3.3" customWidth="1" style="1" min="328" max="328"/>
    <col width="3.3" customWidth="1" style="1" min="329" max="329"/>
    <col width="3.3" customWidth="1" style="1" min="330" max="330"/>
    <col width="3.3" customWidth="1" style="1" min="331" max="331"/>
    <col width="3.3" customWidth="1" style="1" min="332" max="332"/>
    <col width="3.3" customWidth="1" style="1" min="333" max="333"/>
    <col width="3.3" customWidth="1" style="1" min="334" max="334"/>
    <col width="3.3" customWidth="1" style="1" min="335" max="335"/>
    <col width="3.3" customWidth="1" style="1" min="336" max="336"/>
    <col width="3.3" customWidth="1" style="1" min="337" max="337"/>
    <col width="3.3" customWidth="1" style="1" min="338" max="338"/>
    <col width="3.3" customWidth="1" style="1" min="339" max="339"/>
    <col width="3.3" customWidth="1" style="1" min="340" max="340"/>
    <col width="3.3" customWidth="1" style="1" min="341" max="341"/>
    <col width="3.3" customWidth="1" style="1" min="342" max="342"/>
    <col width="3.3" customWidth="1" style="1" min="343" max="343"/>
    <col width="3.3" customWidth="1" style="1" min="344" max="344"/>
    <col width="3.3" customWidth="1" style="1" min="345" max="345"/>
    <col width="3.3" customWidth="1" style="1" min="346" max="346"/>
    <col width="3.3" customWidth="1" style="1" min="347" max="347"/>
    <col width="3.3" customWidth="1" style="1" min="348" max="348"/>
    <col width="3.3" customWidth="1" style="1" min="349" max="349"/>
    <col width="3.3" customWidth="1" style="1" min="350" max="350"/>
    <col width="3.3" customWidth="1" style="1" min="351" max="351"/>
    <col width="3.3" customWidth="1" style="1" min="352" max="352"/>
    <col width="3.3" customWidth="1" style="1" min="353" max="353"/>
    <col width="3.3" customWidth="1" style="1" min="354" max="354"/>
    <col width="3.3" customWidth="1" style="1" min="355" max="355"/>
    <col width="3.3" customWidth="1" style="1" min="356" max="356"/>
    <col width="3.3" customWidth="1" style="1" min="357" max="357"/>
    <col width="3.3" customWidth="1" style="1" min="358" max="358"/>
    <col width="3.3" customWidth="1" style="1" min="359" max="359"/>
    <col width="3.3" customWidth="1" style="1" min="360" max="360"/>
    <col width="3.3" customWidth="1" style="1" min="361" max="361"/>
    <col width="3.3" customWidth="1" style="1" min="362" max="362"/>
    <col width="3.3" customWidth="1" style="1" min="363" max="363"/>
    <col width="3.3" customWidth="1" style="1" min="364" max="364"/>
    <col width="3.3" customWidth="1" style="1" min="365" max="365"/>
    <col width="3.3" customWidth="1" style="1" min="366" max="366"/>
    <col width="3.3" customWidth="1" style="1" min="367" max="367"/>
    <col width="3.3" customWidth="1" style="1" min="368" max="368"/>
    <col width="13" customWidth="1" style="1" min="369" max="369"/>
    <col width="13" customWidth="1" style="1" min="370" max="370"/>
    <col width="13" customWidth="1" style="1" min="371" max="37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</row>
    <row r="2">
      <c r="A2" s="1" t="n"/>
      <c r="B2" s="111" t="inlineStr">
        <is>
          <t>Habit Tracker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</row>
    <row r="3">
      <c r="A3" s="1" t="n"/>
      <c r="B3" s="23" t="inlineStr">
        <is>
          <t>Enter habits in column B, tick ✓ each day. 52 weeks in one tab — hide finished weeks if you like.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n"/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</row>
    <row r="4">
      <c r="A4" s="1" t="n"/>
      <c r="B4" s="31" t="inlineStr">
        <is>
          <t>YEAR PROGRESS</t>
        </is>
      </c>
      <c r="C4" s="128">
        <f>IFERROR(COUNTIF(E9:ND23,"✓")/(COUNTA(B9:B23)*MAX(1,MIN(364,Setup!$D$7-$E$7+1))),0)</f>
        <v/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n"/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n"/>
      <c r="KB4" s="1" t="n"/>
      <c r="KC4" s="1" t="n"/>
      <c r="KD4" s="1" t="n"/>
      <c r="KE4" s="1" t="n"/>
      <c r="KF4" s="1" t="n"/>
      <c r="KG4" s="1" t="n"/>
      <c r="KH4" s="1" t="n"/>
      <c r="KI4" s="1" t="n"/>
      <c r="KJ4" s="1" t="n"/>
      <c r="KK4" s="1" t="n"/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n"/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n"/>
      <c r="MM4" s="1" t="n"/>
      <c r="MN4" s="1" t="n"/>
      <c r="MO4" s="1" t="n"/>
      <c r="MP4" s="1" t="n"/>
      <c r="MQ4" s="1" t="n"/>
      <c r="MR4" s="1" t="n"/>
      <c r="MS4" s="1" t="n"/>
      <c r="MT4" s="1" t="n"/>
      <c r="MU4" s="1" t="n"/>
      <c r="MV4" s="1" t="n"/>
      <c r="MW4" s="1" t="n"/>
      <c r="MX4" s="1" t="n"/>
      <c r="MY4" s="1" t="n"/>
      <c r="MZ4" s="1" t="n"/>
      <c r="NA4" s="1" t="n"/>
      <c r="NB4" s="1" t="n"/>
      <c r="NC4" s="1" t="n"/>
      <c r="ND4" s="1" t="n"/>
      <c r="NE4" s="1" t="n"/>
      <c r="NF4" s="1" t="n"/>
      <c r="NG4" s="1" t="n"/>
    </row>
    <row r="5">
      <c r="A5" s="1" t="n"/>
      <c r="B5" s="129" t="inlineStr">
        <is>
          <t>Month</t>
        </is>
      </c>
      <c r="C5" s="1" t="n"/>
      <c r="D5" s="1" t="n"/>
      <c r="E5" s="30">
        <f>TEXT($E$7+0,"mmmm")</f>
        <v/>
      </c>
      <c r="L5" s="30">
        <f>TEXT($E$7+7,"mmmm")</f>
        <v/>
      </c>
      <c r="S5" s="30">
        <f>TEXT($E$7+14,"mmmm")</f>
        <v/>
      </c>
      <c r="Z5" s="30">
        <f>TEXT($E$7+21,"mmmm")</f>
        <v/>
      </c>
      <c r="AG5" s="30">
        <f>TEXT($E$7+28,"mmmm")</f>
        <v/>
      </c>
      <c r="AN5" s="30">
        <f>TEXT($E$7+35,"mmmm")</f>
        <v/>
      </c>
      <c r="AU5" s="30">
        <f>TEXT($E$7+42,"mmmm")</f>
        <v/>
      </c>
      <c r="BB5" s="30">
        <f>TEXT($E$7+49,"mmmm")</f>
        <v/>
      </c>
      <c r="BI5" s="30">
        <f>TEXT($E$7+56,"mmmm")</f>
        <v/>
      </c>
      <c r="BP5" s="30">
        <f>TEXT($E$7+63,"mmmm")</f>
        <v/>
      </c>
      <c r="BW5" s="30">
        <f>TEXT($E$7+70,"mmmm")</f>
        <v/>
      </c>
      <c r="CD5" s="30">
        <f>TEXT($E$7+77,"mmmm")</f>
        <v/>
      </c>
      <c r="CK5" s="30">
        <f>TEXT($E$7+84,"mmmm")</f>
        <v/>
      </c>
      <c r="CR5" s="30">
        <f>TEXT($E$7+91,"mmmm")</f>
        <v/>
      </c>
      <c r="CY5" s="30">
        <f>TEXT($E$7+98,"mmmm")</f>
        <v/>
      </c>
      <c r="DF5" s="30">
        <f>TEXT($E$7+105,"mmmm")</f>
        <v/>
      </c>
      <c r="DM5" s="30">
        <f>TEXT($E$7+112,"mmmm")</f>
        <v/>
      </c>
      <c r="DT5" s="30">
        <f>TEXT($E$7+119,"mmmm")</f>
        <v/>
      </c>
      <c r="EA5" s="30">
        <f>TEXT($E$7+126,"mmmm")</f>
        <v/>
      </c>
      <c r="EH5" s="30">
        <f>TEXT($E$7+133,"mmmm")</f>
        <v/>
      </c>
      <c r="EO5" s="30">
        <f>TEXT($E$7+140,"mmmm")</f>
        <v/>
      </c>
      <c r="EV5" s="30">
        <f>TEXT($E$7+147,"mmmm")</f>
        <v/>
      </c>
      <c r="FC5" s="30">
        <f>TEXT($E$7+154,"mmmm")</f>
        <v/>
      </c>
      <c r="FJ5" s="30">
        <f>TEXT($E$7+161,"mmmm")</f>
        <v/>
      </c>
      <c r="FQ5" s="30">
        <f>TEXT($E$7+168,"mmmm")</f>
        <v/>
      </c>
      <c r="FX5" s="30">
        <f>TEXT($E$7+175,"mmmm")</f>
        <v/>
      </c>
      <c r="GE5" s="30">
        <f>TEXT($E$7+182,"mmmm")</f>
        <v/>
      </c>
      <c r="GL5" s="30">
        <f>TEXT($E$7+189,"mmmm")</f>
        <v/>
      </c>
      <c r="GS5" s="30">
        <f>TEXT($E$7+196,"mmmm")</f>
        <v/>
      </c>
      <c r="GZ5" s="30">
        <f>TEXT($E$7+203,"mmmm")</f>
        <v/>
      </c>
      <c r="HG5" s="30">
        <f>TEXT($E$7+210,"mmmm")</f>
        <v/>
      </c>
      <c r="HN5" s="30">
        <f>TEXT($E$7+217,"mmmm")</f>
        <v/>
      </c>
      <c r="HU5" s="30">
        <f>TEXT($E$7+224,"mmmm")</f>
        <v/>
      </c>
      <c r="IB5" s="30">
        <f>TEXT($E$7+231,"mmmm")</f>
        <v/>
      </c>
      <c r="II5" s="30">
        <f>TEXT($E$7+238,"mmmm")</f>
        <v/>
      </c>
      <c r="IP5" s="30">
        <f>TEXT($E$7+245,"mmmm")</f>
        <v/>
      </c>
      <c r="IW5" s="30">
        <f>TEXT($E$7+252,"mmmm")</f>
        <v/>
      </c>
      <c r="JD5" s="30">
        <f>TEXT($E$7+259,"mmmm")</f>
        <v/>
      </c>
      <c r="JK5" s="30">
        <f>TEXT($E$7+266,"mmmm")</f>
        <v/>
      </c>
      <c r="JR5" s="30">
        <f>TEXT($E$7+273,"mmmm")</f>
        <v/>
      </c>
      <c r="JY5" s="30">
        <f>TEXT($E$7+280,"mmmm")</f>
        <v/>
      </c>
      <c r="KF5" s="30">
        <f>TEXT($E$7+287,"mmmm")</f>
        <v/>
      </c>
      <c r="KM5" s="30">
        <f>TEXT($E$7+294,"mmmm")</f>
        <v/>
      </c>
      <c r="KT5" s="30">
        <f>TEXT($E$7+301,"mmmm")</f>
        <v/>
      </c>
      <c r="LA5" s="30">
        <f>TEXT($E$7+308,"mmmm")</f>
        <v/>
      </c>
      <c r="LH5" s="30">
        <f>TEXT($E$7+315,"mmmm")</f>
        <v/>
      </c>
      <c r="LO5" s="30">
        <f>TEXT($E$7+322,"mmmm")</f>
        <v/>
      </c>
      <c r="LV5" s="30">
        <f>TEXT($E$7+329,"mmmm")</f>
        <v/>
      </c>
      <c r="MC5" s="30">
        <f>TEXT($E$7+336,"mmmm")</f>
        <v/>
      </c>
      <c r="MJ5" s="30">
        <f>TEXT($E$7+343,"mmmm")</f>
        <v/>
      </c>
      <c r="MQ5" s="30">
        <f>TEXT($E$7+350,"mmmm")</f>
        <v/>
      </c>
      <c r="MX5" s="30">
        <f>TEXT($E$7+357,"mmmm")</f>
        <v/>
      </c>
      <c r="NE5" s="1" t="n"/>
      <c r="NF5" s="1" t="n"/>
      <c r="NG5" s="1" t="n"/>
    </row>
    <row r="6">
      <c r="A6" s="1" t="n"/>
      <c r="B6" s="129" t="inlineStr">
        <is>
          <t>Week</t>
        </is>
      </c>
      <c r="C6" s="1" t="n"/>
      <c r="D6" s="1" t="n"/>
      <c r="E6" s="130" t="inlineStr">
        <is>
          <t>WEEK 1</t>
        </is>
      </c>
      <c r="F6" s="9" t="n"/>
      <c r="G6" s="9" t="n"/>
      <c r="H6" s="9" t="n"/>
      <c r="I6" s="9" t="n"/>
      <c r="J6" s="9" t="n"/>
      <c r="K6" s="9" t="n"/>
      <c r="L6" s="131" t="inlineStr">
        <is>
          <t>WEEK 2</t>
        </is>
      </c>
      <c r="M6" s="25" t="n"/>
      <c r="N6" s="25" t="n"/>
      <c r="O6" s="25" t="n"/>
      <c r="P6" s="25" t="n"/>
      <c r="Q6" s="25" t="n"/>
      <c r="R6" s="25" t="n"/>
      <c r="S6" s="132" t="inlineStr">
        <is>
          <t>WEEK 3</t>
        </is>
      </c>
      <c r="T6" s="27" t="n"/>
      <c r="U6" s="27" t="n"/>
      <c r="V6" s="27" t="n"/>
      <c r="W6" s="27" t="n"/>
      <c r="X6" s="27" t="n"/>
      <c r="Y6" s="27" t="n"/>
      <c r="Z6" s="133" t="inlineStr">
        <is>
          <t>WEEK 4</t>
        </is>
      </c>
      <c r="AA6" s="44" t="n"/>
      <c r="AB6" s="44" t="n"/>
      <c r="AC6" s="44" t="n"/>
      <c r="AD6" s="44" t="n"/>
      <c r="AE6" s="44" t="n"/>
      <c r="AF6" s="44" t="n"/>
      <c r="AG6" s="134" t="inlineStr">
        <is>
          <t>WEEK 5</t>
        </is>
      </c>
      <c r="AH6" s="53" t="n"/>
      <c r="AI6" s="53" t="n"/>
      <c r="AJ6" s="53" t="n"/>
      <c r="AK6" s="53" t="n"/>
      <c r="AL6" s="53" t="n"/>
      <c r="AM6" s="53" t="n"/>
      <c r="AN6" s="135" t="inlineStr">
        <is>
          <t>WEEK 6</t>
        </is>
      </c>
      <c r="AO6" s="42" t="n"/>
      <c r="AP6" s="42" t="n"/>
      <c r="AQ6" s="42" t="n"/>
      <c r="AR6" s="42" t="n"/>
      <c r="AS6" s="42" t="n"/>
      <c r="AT6" s="42" t="n"/>
      <c r="AU6" s="136" t="inlineStr">
        <is>
          <t>WEEK 7</t>
        </is>
      </c>
      <c r="AV6" s="137" t="n"/>
      <c r="AW6" s="137" t="n"/>
      <c r="AX6" s="137" t="n"/>
      <c r="AY6" s="137" t="n"/>
      <c r="AZ6" s="137" t="n"/>
      <c r="BA6" s="137" t="n"/>
      <c r="BB6" s="138" t="inlineStr">
        <is>
          <t>WEEK 8</t>
        </is>
      </c>
      <c r="BC6" s="139" t="n"/>
      <c r="BD6" s="139" t="n"/>
      <c r="BE6" s="139" t="n"/>
      <c r="BF6" s="139" t="n"/>
      <c r="BG6" s="139" t="n"/>
      <c r="BH6" s="139" t="n"/>
      <c r="BI6" s="130" t="inlineStr">
        <is>
          <t>WEEK 9</t>
        </is>
      </c>
      <c r="BJ6" s="9" t="n"/>
      <c r="BK6" s="9" t="n"/>
      <c r="BL6" s="9" t="n"/>
      <c r="BM6" s="9" t="n"/>
      <c r="BN6" s="9" t="n"/>
      <c r="BO6" s="9" t="n"/>
      <c r="BP6" s="131" t="inlineStr">
        <is>
          <t>WEEK 10</t>
        </is>
      </c>
      <c r="BQ6" s="25" t="n"/>
      <c r="BR6" s="25" t="n"/>
      <c r="BS6" s="25" t="n"/>
      <c r="BT6" s="25" t="n"/>
      <c r="BU6" s="25" t="n"/>
      <c r="BV6" s="25" t="n"/>
      <c r="BW6" s="132" t="inlineStr">
        <is>
          <t>WEEK 11</t>
        </is>
      </c>
      <c r="BX6" s="27" t="n"/>
      <c r="BY6" s="27" t="n"/>
      <c r="BZ6" s="27" t="n"/>
      <c r="CA6" s="27" t="n"/>
      <c r="CB6" s="27" t="n"/>
      <c r="CC6" s="27" t="n"/>
      <c r="CD6" s="133" t="inlineStr">
        <is>
          <t>WEEK 12</t>
        </is>
      </c>
      <c r="CE6" s="44" t="n"/>
      <c r="CF6" s="44" t="n"/>
      <c r="CG6" s="44" t="n"/>
      <c r="CH6" s="44" t="n"/>
      <c r="CI6" s="44" t="n"/>
      <c r="CJ6" s="44" t="n"/>
      <c r="CK6" s="134" t="inlineStr">
        <is>
          <t>WEEK 13</t>
        </is>
      </c>
      <c r="CL6" s="53" t="n"/>
      <c r="CM6" s="53" t="n"/>
      <c r="CN6" s="53" t="n"/>
      <c r="CO6" s="53" t="n"/>
      <c r="CP6" s="53" t="n"/>
      <c r="CQ6" s="53" t="n"/>
      <c r="CR6" s="135" t="inlineStr">
        <is>
          <t>WEEK 14</t>
        </is>
      </c>
      <c r="CS6" s="42" t="n"/>
      <c r="CT6" s="42" t="n"/>
      <c r="CU6" s="42" t="n"/>
      <c r="CV6" s="42" t="n"/>
      <c r="CW6" s="42" t="n"/>
      <c r="CX6" s="42" t="n"/>
      <c r="CY6" s="136" t="inlineStr">
        <is>
          <t>WEEK 15</t>
        </is>
      </c>
      <c r="CZ6" s="137" t="n"/>
      <c r="DA6" s="137" t="n"/>
      <c r="DB6" s="137" t="n"/>
      <c r="DC6" s="137" t="n"/>
      <c r="DD6" s="137" t="n"/>
      <c r="DE6" s="137" t="n"/>
      <c r="DF6" s="138" t="inlineStr">
        <is>
          <t>WEEK 16</t>
        </is>
      </c>
      <c r="DG6" s="139" t="n"/>
      <c r="DH6" s="139" t="n"/>
      <c r="DI6" s="139" t="n"/>
      <c r="DJ6" s="139" t="n"/>
      <c r="DK6" s="139" t="n"/>
      <c r="DL6" s="139" t="n"/>
      <c r="DM6" s="130" t="inlineStr">
        <is>
          <t>WEEK 17</t>
        </is>
      </c>
      <c r="DN6" s="9" t="n"/>
      <c r="DO6" s="9" t="n"/>
      <c r="DP6" s="9" t="n"/>
      <c r="DQ6" s="9" t="n"/>
      <c r="DR6" s="9" t="n"/>
      <c r="DS6" s="9" t="n"/>
      <c r="DT6" s="131" t="inlineStr">
        <is>
          <t>WEEK 18</t>
        </is>
      </c>
      <c r="DU6" s="25" t="n"/>
      <c r="DV6" s="25" t="n"/>
      <c r="DW6" s="25" t="n"/>
      <c r="DX6" s="25" t="n"/>
      <c r="DY6" s="25" t="n"/>
      <c r="DZ6" s="25" t="n"/>
      <c r="EA6" s="132" t="inlineStr">
        <is>
          <t>WEEK 19</t>
        </is>
      </c>
      <c r="EB6" s="27" t="n"/>
      <c r="EC6" s="27" t="n"/>
      <c r="ED6" s="27" t="n"/>
      <c r="EE6" s="27" t="n"/>
      <c r="EF6" s="27" t="n"/>
      <c r="EG6" s="27" t="n"/>
      <c r="EH6" s="133" t="inlineStr">
        <is>
          <t>WEEK 20</t>
        </is>
      </c>
      <c r="EI6" s="44" t="n"/>
      <c r="EJ6" s="44" t="n"/>
      <c r="EK6" s="44" t="n"/>
      <c r="EL6" s="44" t="n"/>
      <c r="EM6" s="44" t="n"/>
      <c r="EN6" s="44" t="n"/>
      <c r="EO6" s="134" t="inlineStr">
        <is>
          <t>WEEK 21</t>
        </is>
      </c>
      <c r="EP6" s="53" t="n"/>
      <c r="EQ6" s="53" t="n"/>
      <c r="ER6" s="53" t="n"/>
      <c r="ES6" s="53" t="n"/>
      <c r="ET6" s="53" t="n"/>
      <c r="EU6" s="53" t="n"/>
      <c r="EV6" s="135" t="inlineStr">
        <is>
          <t>WEEK 22</t>
        </is>
      </c>
      <c r="EW6" s="42" t="n"/>
      <c r="EX6" s="42" t="n"/>
      <c r="EY6" s="42" t="n"/>
      <c r="EZ6" s="42" t="n"/>
      <c r="FA6" s="42" t="n"/>
      <c r="FB6" s="42" t="n"/>
      <c r="FC6" s="136" t="inlineStr">
        <is>
          <t>WEEK 23</t>
        </is>
      </c>
      <c r="FD6" s="137" t="n"/>
      <c r="FE6" s="137" t="n"/>
      <c r="FF6" s="137" t="n"/>
      <c r="FG6" s="137" t="n"/>
      <c r="FH6" s="137" t="n"/>
      <c r="FI6" s="137" t="n"/>
      <c r="FJ6" s="138" t="inlineStr">
        <is>
          <t>WEEK 24</t>
        </is>
      </c>
      <c r="FK6" s="139" t="n"/>
      <c r="FL6" s="139" t="n"/>
      <c r="FM6" s="139" t="n"/>
      <c r="FN6" s="139" t="n"/>
      <c r="FO6" s="139" t="n"/>
      <c r="FP6" s="139" t="n"/>
      <c r="FQ6" s="130" t="inlineStr">
        <is>
          <t>WEEK 25</t>
        </is>
      </c>
      <c r="FR6" s="9" t="n"/>
      <c r="FS6" s="9" t="n"/>
      <c r="FT6" s="9" t="n"/>
      <c r="FU6" s="9" t="n"/>
      <c r="FV6" s="9" t="n"/>
      <c r="FW6" s="9" t="n"/>
      <c r="FX6" s="131" t="inlineStr">
        <is>
          <t>WEEK 26</t>
        </is>
      </c>
      <c r="FY6" s="25" t="n"/>
      <c r="FZ6" s="25" t="n"/>
      <c r="GA6" s="25" t="n"/>
      <c r="GB6" s="25" t="n"/>
      <c r="GC6" s="25" t="n"/>
      <c r="GD6" s="25" t="n"/>
      <c r="GE6" s="132" t="inlineStr">
        <is>
          <t>WEEK 27</t>
        </is>
      </c>
      <c r="GF6" s="27" t="n"/>
      <c r="GG6" s="27" t="n"/>
      <c r="GH6" s="27" t="n"/>
      <c r="GI6" s="27" t="n"/>
      <c r="GJ6" s="27" t="n"/>
      <c r="GK6" s="27" t="n"/>
      <c r="GL6" s="133" t="inlineStr">
        <is>
          <t>WEEK 28</t>
        </is>
      </c>
      <c r="GM6" s="44" t="n"/>
      <c r="GN6" s="44" t="n"/>
      <c r="GO6" s="44" t="n"/>
      <c r="GP6" s="44" t="n"/>
      <c r="GQ6" s="44" t="n"/>
      <c r="GR6" s="44" t="n"/>
      <c r="GS6" s="134" t="inlineStr">
        <is>
          <t>WEEK 29</t>
        </is>
      </c>
      <c r="GT6" s="53" t="n"/>
      <c r="GU6" s="53" t="n"/>
      <c r="GV6" s="53" t="n"/>
      <c r="GW6" s="53" t="n"/>
      <c r="GX6" s="53" t="n"/>
      <c r="GY6" s="53" t="n"/>
      <c r="GZ6" s="135" t="inlineStr">
        <is>
          <t>WEEK 30</t>
        </is>
      </c>
      <c r="HA6" s="42" t="n"/>
      <c r="HB6" s="42" t="n"/>
      <c r="HC6" s="42" t="n"/>
      <c r="HD6" s="42" t="n"/>
      <c r="HE6" s="42" t="n"/>
      <c r="HF6" s="42" t="n"/>
      <c r="HG6" s="136" t="inlineStr">
        <is>
          <t>WEEK 31</t>
        </is>
      </c>
      <c r="HH6" s="137" t="n"/>
      <c r="HI6" s="137" t="n"/>
      <c r="HJ6" s="137" t="n"/>
      <c r="HK6" s="137" t="n"/>
      <c r="HL6" s="137" t="n"/>
      <c r="HM6" s="137" t="n"/>
      <c r="HN6" s="138" t="inlineStr">
        <is>
          <t>WEEK 32</t>
        </is>
      </c>
      <c r="HO6" s="139" t="n"/>
      <c r="HP6" s="139" t="n"/>
      <c r="HQ6" s="139" t="n"/>
      <c r="HR6" s="139" t="n"/>
      <c r="HS6" s="139" t="n"/>
      <c r="HT6" s="139" t="n"/>
      <c r="HU6" s="130" t="inlineStr">
        <is>
          <t>WEEK 33</t>
        </is>
      </c>
      <c r="HV6" s="9" t="n"/>
      <c r="HW6" s="9" t="n"/>
      <c r="HX6" s="9" t="n"/>
      <c r="HY6" s="9" t="n"/>
      <c r="HZ6" s="9" t="n"/>
      <c r="IA6" s="9" t="n"/>
      <c r="IB6" s="131" t="inlineStr">
        <is>
          <t>WEEK 34</t>
        </is>
      </c>
      <c r="IC6" s="25" t="n"/>
      <c r="ID6" s="25" t="n"/>
      <c r="IE6" s="25" t="n"/>
      <c r="IF6" s="25" t="n"/>
      <c r="IG6" s="25" t="n"/>
      <c r="IH6" s="25" t="n"/>
      <c r="II6" s="132" t="inlineStr">
        <is>
          <t>WEEK 35</t>
        </is>
      </c>
      <c r="IJ6" s="27" t="n"/>
      <c r="IK6" s="27" t="n"/>
      <c r="IL6" s="27" t="n"/>
      <c r="IM6" s="27" t="n"/>
      <c r="IN6" s="27" t="n"/>
      <c r="IO6" s="27" t="n"/>
      <c r="IP6" s="133" t="inlineStr">
        <is>
          <t>WEEK 36</t>
        </is>
      </c>
      <c r="IQ6" s="44" t="n"/>
      <c r="IR6" s="44" t="n"/>
      <c r="IS6" s="44" t="n"/>
      <c r="IT6" s="44" t="n"/>
      <c r="IU6" s="44" t="n"/>
      <c r="IV6" s="44" t="n"/>
      <c r="IW6" s="134" t="inlineStr">
        <is>
          <t>WEEK 37</t>
        </is>
      </c>
      <c r="IX6" s="53" t="n"/>
      <c r="IY6" s="53" t="n"/>
      <c r="IZ6" s="53" t="n"/>
      <c r="JA6" s="53" t="n"/>
      <c r="JB6" s="53" t="n"/>
      <c r="JC6" s="53" t="n"/>
      <c r="JD6" s="135" t="inlineStr">
        <is>
          <t>WEEK 38</t>
        </is>
      </c>
      <c r="JE6" s="42" t="n"/>
      <c r="JF6" s="42" t="n"/>
      <c r="JG6" s="42" t="n"/>
      <c r="JH6" s="42" t="n"/>
      <c r="JI6" s="42" t="n"/>
      <c r="JJ6" s="42" t="n"/>
      <c r="JK6" s="136" t="inlineStr">
        <is>
          <t>WEEK 39</t>
        </is>
      </c>
      <c r="JL6" s="137" t="n"/>
      <c r="JM6" s="137" t="n"/>
      <c r="JN6" s="137" t="n"/>
      <c r="JO6" s="137" t="n"/>
      <c r="JP6" s="137" t="n"/>
      <c r="JQ6" s="137" t="n"/>
      <c r="JR6" s="138" t="inlineStr">
        <is>
          <t>WEEK 40</t>
        </is>
      </c>
      <c r="JS6" s="139" t="n"/>
      <c r="JT6" s="139" t="n"/>
      <c r="JU6" s="139" t="n"/>
      <c r="JV6" s="139" t="n"/>
      <c r="JW6" s="139" t="n"/>
      <c r="JX6" s="139" t="n"/>
      <c r="JY6" s="130" t="inlineStr">
        <is>
          <t>WEEK 41</t>
        </is>
      </c>
      <c r="JZ6" s="9" t="n"/>
      <c r="KA6" s="9" t="n"/>
      <c r="KB6" s="9" t="n"/>
      <c r="KC6" s="9" t="n"/>
      <c r="KD6" s="9" t="n"/>
      <c r="KE6" s="9" t="n"/>
      <c r="KF6" s="131" t="inlineStr">
        <is>
          <t>WEEK 42</t>
        </is>
      </c>
      <c r="KG6" s="25" t="n"/>
      <c r="KH6" s="25" t="n"/>
      <c r="KI6" s="25" t="n"/>
      <c r="KJ6" s="25" t="n"/>
      <c r="KK6" s="25" t="n"/>
      <c r="KL6" s="25" t="n"/>
      <c r="KM6" s="132" t="inlineStr">
        <is>
          <t>WEEK 43</t>
        </is>
      </c>
      <c r="KN6" s="27" t="n"/>
      <c r="KO6" s="27" t="n"/>
      <c r="KP6" s="27" t="n"/>
      <c r="KQ6" s="27" t="n"/>
      <c r="KR6" s="27" t="n"/>
      <c r="KS6" s="27" t="n"/>
      <c r="KT6" s="133" t="inlineStr">
        <is>
          <t>WEEK 44</t>
        </is>
      </c>
      <c r="KU6" s="44" t="n"/>
      <c r="KV6" s="44" t="n"/>
      <c r="KW6" s="44" t="n"/>
      <c r="KX6" s="44" t="n"/>
      <c r="KY6" s="44" t="n"/>
      <c r="KZ6" s="44" t="n"/>
      <c r="LA6" s="134" t="inlineStr">
        <is>
          <t>WEEK 45</t>
        </is>
      </c>
      <c r="LB6" s="53" t="n"/>
      <c r="LC6" s="53" t="n"/>
      <c r="LD6" s="53" t="n"/>
      <c r="LE6" s="53" t="n"/>
      <c r="LF6" s="53" t="n"/>
      <c r="LG6" s="53" t="n"/>
      <c r="LH6" s="135" t="inlineStr">
        <is>
          <t>WEEK 46</t>
        </is>
      </c>
      <c r="LI6" s="42" t="n"/>
      <c r="LJ6" s="42" t="n"/>
      <c r="LK6" s="42" t="n"/>
      <c r="LL6" s="42" t="n"/>
      <c r="LM6" s="42" t="n"/>
      <c r="LN6" s="42" t="n"/>
      <c r="LO6" s="136" t="inlineStr">
        <is>
          <t>WEEK 47</t>
        </is>
      </c>
      <c r="LP6" s="137" t="n"/>
      <c r="LQ6" s="137" t="n"/>
      <c r="LR6" s="137" t="n"/>
      <c r="LS6" s="137" t="n"/>
      <c r="LT6" s="137" t="n"/>
      <c r="LU6" s="137" t="n"/>
      <c r="LV6" s="138" t="inlineStr">
        <is>
          <t>WEEK 48</t>
        </is>
      </c>
      <c r="LW6" s="139" t="n"/>
      <c r="LX6" s="139" t="n"/>
      <c r="LY6" s="139" t="n"/>
      <c r="LZ6" s="139" t="n"/>
      <c r="MA6" s="139" t="n"/>
      <c r="MB6" s="139" t="n"/>
      <c r="MC6" s="130" t="inlineStr">
        <is>
          <t>WEEK 49</t>
        </is>
      </c>
      <c r="MD6" s="9" t="n"/>
      <c r="ME6" s="9" t="n"/>
      <c r="MF6" s="9" t="n"/>
      <c r="MG6" s="9" t="n"/>
      <c r="MH6" s="9" t="n"/>
      <c r="MI6" s="9" t="n"/>
      <c r="MJ6" s="131" t="inlineStr">
        <is>
          <t>WEEK 50</t>
        </is>
      </c>
      <c r="MK6" s="25" t="n"/>
      <c r="ML6" s="25" t="n"/>
      <c r="MM6" s="25" t="n"/>
      <c r="MN6" s="25" t="n"/>
      <c r="MO6" s="25" t="n"/>
      <c r="MP6" s="25" t="n"/>
      <c r="MQ6" s="132" t="inlineStr">
        <is>
          <t>WEEK 51</t>
        </is>
      </c>
      <c r="MR6" s="27" t="n"/>
      <c r="MS6" s="27" t="n"/>
      <c r="MT6" s="27" t="n"/>
      <c r="MU6" s="27" t="n"/>
      <c r="MV6" s="27" t="n"/>
      <c r="MW6" s="27" t="n"/>
      <c r="MX6" s="133" t="inlineStr">
        <is>
          <t>WEEK 52</t>
        </is>
      </c>
      <c r="MY6" s="44" t="n"/>
      <c r="MZ6" s="44" t="n"/>
      <c r="NA6" s="44" t="n"/>
      <c r="NB6" s="44" t="n"/>
      <c r="NC6" s="44" t="n"/>
      <c r="ND6" s="44" t="n"/>
      <c r="NE6" s="1" t="n"/>
      <c r="NF6" s="1" t="n"/>
      <c r="NG6" s="1" t="n"/>
    </row>
    <row r="7">
      <c r="A7" s="1" t="n"/>
      <c r="B7" s="129" t="inlineStr">
        <is>
          <t>Date</t>
        </is>
      </c>
      <c r="C7" s="1" t="n"/>
      <c r="D7" s="1" t="n"/>
      <c r="E7" s="140">
        <f>Setup!$D$5-MOD(WEEKDAY(Setup!$D$5,2)-1,7)</f>
        <v/>
      </c>
      <c r="F7" s="140">
        <f>$E$7+1</f>
        <v/>
      </c>
      <c r="G7" s="140">
        <f>$E$7+2</f>
        <v/>
      </c>
      <c r="H7" s="140">
        <f>$E$7+3</f>
        <v/>
      </c>
      <c r="I7" s="140">
        <f>$E$7+4</f>
        <v/>
      </c>
      <c r="J7" s="140">
        <f>$E$7+5</f>
        <v/>
      </c>
      <c r="K7" s="140">
        <f>$E$7+6</f>
        <v/>
      </c>
      <c r="L7" s="140">
        <f>$E$7+7</f>
        <v/>
      </c>
      <c r="M7" s="140">
        <f>$E$7+8</f>
        <v/>
      </c>
      <c r="N7" s="140">
        <f>$E$7+9</f>
        <v/>
      </c>
      <c r="O7" s="140">
        <f>$E$7+10</f>
        <v/>
      </c>
      <c r="P7" s="140">
        <f>$E$7+11</f>
        <v/>
      </c>
      <c r="Q7" s="140">
        <f>$E$7+12</f>
        <v/>
      </c>
      <c r="R7" s="140">
        <f>$E$7+13</f>
        <v/>
      </c>
      <c r="S7" s="140">
        <f>$E$7+14</f>
        <v/>
      </c>
      <c r="T7" s="140">
        <f>$E$7+15</f>
        <v/>
      </c>
      <c r="U7" s="140">
        <f>$E$7+16</f>
        <v/>
      </c>
      <c r="V7" s="140">
        <f>$E$7+17</f>
        <v/>
      </c>
      <c r="W7" s="140">
        <f>$E$7+18</f>
        <v/>
      </c>
      <c r="X7" s="140">
        <f>$E$7+19</f>
        <v/>
      </c>
      <c r="Y7" s="140">
        <f>$E$7+20</f>
        <v/>
      </c>
      <c r="Z7" s="140">
        <f>$E$7+21</f>
        <v/>
      </c>
      <c r="AA7" s="140">
        <f>$E$7+22</f>
        <v/>
      </c>
      <c r="AB7" s="140">
        <f>$E$7+23</f>
        <v/>
      </c>
      <c r="AC7" s="140">
        <f>$E$7+24</f>
        <v/>
      </c>
      <c r="AD7" s="140">
        <f>$E$7+25</f>
        <v/>
      </c>
      <c r="AE7" s="140">
        <f>$E$7+26</f>
        <v/>
      </c>
      <c r="AF7" s="140">
        <f>$E$7+27</f>
        <v/>
      </c>
      <c r="AG7" s="140">
        <f>$E$7+28</f>
        <v/>
      </c>
      <c r="AH7" s="140">
        <f>$E$7+29</f>
        <v/>
      </c>
      <c r="AI7" s="140">
        <f>$E$7+30</f>
        <v/>
      </c>
      <c r="AJ7" s="140">
        <f>$E$7+31</f>
        <v/>
      </c>
      <c r="AK7" s="140">
        <f>$E$7+32</f>
        <v/>
      </c>
      <c r="AL7" s="140">
        <f>$E$7+33</f>
        <v/>
      </c>
      <c r="AM7" s="140">
        <f>$E$7+34</f>
        <v/>
      </c>
      <c r="AN7" s="140">
        <f>$E$7+35</f>
        <v/>
      </c>
      <c r="AO7" s="140">
        <f>$E$7+36</f>
        <v/>
      </c>
      <c r="AP7" s="140">
        <f>$E$7+37</f>
        <v/>
      </c>
      <c r="AQ7" s="140">
        <f>$E$7+38</f>
        <v/>
      </c>
      <c r="AR7" s="140">
        <f>$E$7+39</f>
        <v/>
      </c>
      <c r="AS7" s="140">
        <f>$E$7+40</f>
        <v/>
      </c>
      <c r="AT7" s="140">
        <f>$E$7+41</f>
        <v/>
      </c>
      <c r="AU7" s="140">
        <f>$E$7+42</f>
        <v/>
      </c>
      <c r="AV7" s="140">
        <f>$E$7+43</f>
        <v/>
      </c>
      <c r="AW7" s="140">
        <f>$E$7+44</f>
        <v/>
      </c>
      <c r="AX7" s="140">
        <f>$E$7+45</f>
        <v/>
      </c>
      <c r="AY7" s="140">
        <f>$E$7+46</f>
        <v/>
      </c>
      <c r="AZ7" s="140">
        <f>$E$7+47</f>
        <v/>
      </c>
      <c r="BA7" s="140">
        <f>$E$7+48</f>
        <v/>
      </c>
      <c r="BB7" s="140">
        <f>$E$7+49</f>
        <v/>
      </c>
      <c r="BC7" s="140">
        <f>$E$7+50</f>
        <v/>
      </c>
      <c r="BD7" s="140">
        <f>$E$7+51</f>
        <v/>
      </c>
      <c r="BE7" s="140">
        <f>$E$7+52</f>
        <v/>
      </c>
      <c r="BF7" s="140">
        <f>$E$7+53</f>
        <v/>
      </c>
      <c r="BG7" s="140">
        <f>$E$7+54</f>
        <v/>
      </c>
      <c r="BH7" s="140">
        <f>$E$7+55</f>
        <v/>
      </c>
      <c r="BI7" s="140">
        <f>$E$7+56</f>
        <v/>
      </c>
      <c r="BJ7" s="140">
        <f>$E$7+57</f>
        <v/>
      </c>
      <c r="BK7" s="140">
        <f>$E$7+58</f>
        <v/>
      </c>
      <c r="BL7" s="140">
        <f>$E$7+59</f>
        <v/>
      </c>
      <c r="BM7" s="140">
        <f>$E$7+60</f>
        <v/>
      </c>
      <c r="BN7" s="140">
        <f>$E$7+61</f>
        <v/>
      </c>
      <c r="BO7" s="140">
        <f>$E$7+62</f>
        <v/>
      </c>
      <c r="BP7" s="140">
        <f>$E$7+63</f>
        <v/>
      </c>
      <c r="BQ7" s="140">
        <f>$E$7+64</f>
        <v/>
      </c>
      <c r="BR7" s="140">
        <f>$E$7+65</f>
        <v/>
      </c>
      <c r="BS7" s="140">
        <f>$E$7+66</f>
        <v/>
      </c>
      <c r="BT7" s="140">
        <f>$E$7+67</f>
        <v/>
      </c>
      <c r="BU7" s="140">
        <f>$E$7+68</f>
        <v/>
      </c>
      <c r="BV7" s="140">
        <f>$E$7+69</f>
        <v/>
      </c>
      <c r="BW7" s="140">
        <f>$E$7+70</f>
        <v/>
      </c>
      <c r="BX7" s="140">
        <f>$E$7+71</f>
        <v/>
      </c>
      <c r="BY7" s="140">
        <f>$E$7+72</f>
        <v/>
      </c>
      <c r="BZ7" s="140">
        <f>$E$7+73</f>
        <v/>
      </c>
      <c r="CA7" s="140">
        <f>$E$7+74</f>
        <v/>
      </c>
      <c r="CB7" s="140">
        <f>$E$7+75</f>
        <v/>
      </c>
      <c r="CC7" s="140">
        <f>$E$7+76</f>
        <v/>
      </c>
      <c r="CD7" s="140">
        <f>$E$7+77</f>
        <v/>
      </c>
      <c r="CE7" s="140">
        <f>$E$7+78</f>
        <v/>
      </c>
      <c r="CF7" s="140">
        <f>$E$7+79</f>
        <v/>
      </c>
      <c r="CG7" s="140">
        <f>$E$7+80</f>
        <v/>
      </c>
      <c r="CH7" s="140">
        <f>$E$7+81</f>
        <v/>
      </c>
      <c r="CI7" s="140">
        <f>$E$7+82</f>
        <v/>
      </c>
      <c r="CJ7" s="140">
        <f>$E$7+83</f>
        <v/>
      </c>
      <c r="CK7" s="140">
        <f>$E$7+84</f>
        <v/>
      </c>
      <c r="CL7" s="140">
        <f>$E$7+85</f>
        <v/>
      </c>
      <c r="CM7" s="140">
        <f>$E$7+86</f>
        <v/>
      </c>
      <c r="CN7" s="140">
        <f>$E$7+87</f>
        <v/>
      </c>
      <c r="CO7" s="140">
        <f>$E$7+88</f>
        <v/>
      </c>
      <c r="CP7" s="140">
        <f>$E$7+89</f>
        <v/>
      </c>
      <c r="CQ7" s="140">
        <f>$E$7+90</f>
        <v/>
      </c>
      <c r="CR7" s="140">
        <f>$E$7+91</f>
        <v/>
      </c>
      <c r="CS7" s="140">
        <f>$E$7+92</f>
        <v/>
      </c>
      <c r="CT7" s="140">
        <f>$E$7+93</f>
        <v/>
      </c>
      <c r="CU7" s="140">
        <f>$E$7+94</f>
        <v/>
      </c>
      <c r="CV7" s="140">
        <f>$E$7+95</f>
        <v/>
      </c>
      <c r="CW7" s="140">
        <f>$E$7+96</f>
        <v/>
      </c>
      <c r="CX7" s="140">
        <f>$E$7+97</f>
        <v/>
      </c>
      <c r="CY7" s="140">
        <f>$E$7+98</f>
        <v/>
      </c>
      <c r="CZ7" s="140">
        <f>$E$7+99</f>
        <v/>
      </c>
      <c r="DA7" s="140">
        <f>$E$7+100</f>
        <v/>
      </c>
      <c r="DB7" s="140">
        <f>$E$7+101</f>
        <v/>
      </c>
      <c r="DC7" s="140">
        <f>$E$7+102</f>
        <v/>
      </c>
      <c r="DD7" s="140">
        <f>$E$7+103</f>
        <v/>
      </c>
      <c r="DE7" s="140">
        <f>$E$7+104</f>
        <v/>
      </c>
      <c r="DF7" s="140">
        <f>$E$7+105</f>
        <v/>
      </c>
      <c r="DG7" s="140">
        <f>$E$7+106</f>
        <v/>
      </c>
      <c r="DH7" s="140">
        <f>$E$7+107</f>
        <v/>
      </c>
      <c r="DI7" s="140">
        <f>$E$7+108</f>
        <v/>
      </c>
      <c r="DJ7" s="140">
        <f>$E$7+109</f>
        <v/>
      </c>
      <c r="DK7" s="140">
        <f>$E$7+110</f>
        <v/>
      </c>
      <c r="DL7" s="140">
        <f>$E$7+111</f>
        <v/>
      </c>
      <c r="DM7" s="140">
        <f>$E$7+112</f>
        <v/>
      </c>
      <c r="DN7" s="140">
        <f>$E$7+113</f>
        <v/>
      </c>
      <c r="DO7" s="140">
        <f>$E$7+114</f>
        <v/>
      </c>
      <c r="DP7" s="140">
        <f>$E$7+115</f>
        <v/>
      </c>
      <c r="DQ7" s="140">
        <f>$E$7+116</f>
        <v/>
      </c>
      <c r="DR7" s="140">
        <f>$E$7+117</f>
        <v/>
      </c>
      <c r="DS7" s="140">
        <f>$E$7+118</f>
        <v/>
      </c>
      <c r="DT7" s="140">
        <f>$E$7+119</f>
        <v/>
      </c>
      <c r="DU7" s="140">
        <f>$E$7+120</f>
        <v/>
      </c>
      <c r="DV7" s="140">
        <f>$E$7+121</f>
        <v/>
      </c>
      <c r="DW7" s="140">
        <f>$E$7+122</f>
        <v/>
      </c>
      <c r="DX7" s="140">
        <f>$E$7+123</f>
        <v/>
      </c>
      <c r="DY7" s="140">
        <f>$E$7+124</f>
        <v/>
      </c>
      <c r="DZ7" s="140">
        <f>$E$7+125</f>
        <v/>
      </c>
      <c r="EA7" s="140">
        <f>$E$7+126</f>
        <v/>
      </c>
      <c r="EB7" s="140">
        <f>$E$7+127</f>
        <v/>
      </c>
      <c r="EC7" s="140">
        <f>$E$7+128</f>
        <v/>
      </c>
      <c r="ED7" s="140">
        <f>$E$7+129</f>
        <v/>
      </c>
      <c r="EE7" s="140">
        <f>$E$7+130</f>
        <v/>
      </c>
      <c r="EF7" s="140">
        <f>$E$7+131</f>
        <v/>
      </c>
      <c r="EG7" s="140">
        <f>$E$7+132</f>
        <v/>
      </c>
      <c r="EH7" s="140">
        <f>$E$7+133</f>
        <v/>
      </c>
      <c r="EI7" s="140">
        <f>$E$7+134</f>
        <v/>
      </c>
      <c r="EJ7" s="140">
        <f>$E$7+135</f>
        <v/>
      </c>
      <c r="EK7" s="140">
        <f>$E$7+136</f>
        <v/>
      </c>
      <c r="EL7" s="140">
        <f>$E$7+137</f>
        <v/>
      </c>
      <c r="EM7" s="140">
        <f>$E$7+138</f>
        <v/>
      </c>
      <c r="EN7" s="140">
        <f>$E$7+139</f>
        <v/>
      </c>
      <c r="EO7" s="140">
        <f>$E$7+140</f>
        <v/>
      </c>
      <c r="EP7" s="140">
        <f>$E$7+141</f>
        <v/>
      </c>
      <c r="EQ7" s="140">
        <f>$E$7+142</f>
        <v/>
      </c>
      <c r="ER7" s="140">
        <f>$E$7+143</f>
        <v/>
      </c>
      <c r="ES7" s="140">
        <f>$E$7+144</f>
        <v/>
      </c>
      <c r="ET7" s="140">
        <f>$E$7+145</f>
        <v/>
      </c>
      <c r="EU7" s="140">
        <f>$E$7+146</f>
        <v/>
      </c>
      <c r="EV7" s="140">
        <f>$E$7+147</f>
        <v/>
      </c>
      <c r="EW7" s="140">
        <f>$E$7+148</f>
        <v/>
      </c>
      <c r="EX7" s="140">
        <f>$E$7+149</f>
        <v/>
      </c>
      <c r="EY7" s="140">
        <f>$E$7+150</f>
        <v/>
      </c>
      <c r="EZ7" s="140">
        <f>$E$7+151</f>
        <v/>
      </c>
      <c r="FA7" s="140">
        <f>$E$7+152</f>
        <v/>
      </c>
      <c r="FB7" s="140">
        <f>$E$7+153</f>
        <v/>
      </c>
      <c r="FC7" s="140">
        <f>$E$7+154</f>
        <v/>
      </c>
      <c r="FD7" s="140">
        <f>$E$7+155</f>
        <v/>
      </c>
      <c r="FE7" s="140">
        <f>$E$7+156</f>
        <v/>
      </c>
      <c r="FF7" s="140">
        <f>$E$7+157</f>
        <v/>
      </c>
      <c r="FG7" s="140">
        <f>$E$7+158</f>
        <v/>
      </c>
      <c r="FH7" s="140">
        <f>$E$7+159</f>
        <v/>
      </c>
      <c r="FI7" s="140">
        <f>$E$7+160</f>
        <v/>
      </c>
      <c r="FJ7" s="140">
        <f>$E$7+161</f>
        <v/>
      </c>
      <c r="FK7" s="140">
        <f>$E$7+162</f>
        <v/>
      </c>
      <c r="FL7" s="140">
        <f>$E$7+163</f>
        <v/>
      </c>
      <c r="FM7" s="140">
        <f>$E$7+164</f>
        <v/>
      </c>
      <c r="FN7" s="140">
        <f>$E$7+165</f>
        <v/>
      </c>
      <c r="FO7" s="140">
        <f>$E$7+166</f>
        <v/>
      </c>
      <c r="FP7" s="140">
        <f>$E$7+167</f>
        <v/>
      </c>
      <c r="FQ7" s="140">
        <f>$E$7+168</f>
        <v/>
      </c>
      <c r="FR7" s="140">
        <f>$E$7+169</f>
        <v/>
      </c>
      <c r="FS7" s="140">
        <f>$E$7+170</f>
        <v/>
      </c>
      <c r="FT7" s="140">
        <f>$E$7+171</f>
        <v/>
      </c>
      <c r="FU7" s="140">
        <f>$E$7+172</f>
        <v/>
      </c>
      <c r="FV7" s="140">
        <f>$E$7+173</f>
        <v/>
      </c>
      <c r="FW7" s="140">
        <f>$E$7+174</f>
        <v/>
      </c>
      <c r="FX7" s="140">
        <f>$E$7+175</f>
        <v/>
      </c>
      <c r="FY7" s="140">
        <f>$E$7+176</f>
        <v/>
      </c>
      <c r="FZ7" s="140">
        <f>$E$7+177</f>
        <v/>
      </c>
      <c r="GA7" s="140">
        <f>$E$7+178</f>
        <v/>
      </c>
      <c r="GB7" s="140">
        <f>$E$7+179</f>
        <v/>
      </c>
      <c r="GC7" s="140">
        <f>$E$7+180</f>
        <v/>
      </c>
      <c r="GD7" s="140">
        <f>$E$7+181</f>
        <v/>
      </c>
      <c r="GE7" s="140">
        <f>$E$7+182</f>
        <v/>
      </c>
      <c r="GF7" s="140">
        <f>$E$7+183</f>
        <v/>
      </c>
      <c r="GG7" s="140">
        <f>$E$7+184</f>
        <v/>
      </c>
      <c r="GH7" s="140">
        <f>$E$7+185</f>
        <v/>
      </c>
      <c r="GI7" s="140">
        <f>$E$7+186</f>
        <v/>
      </c>
      <c r="GJ7" s="140">
        <f>$E$7+187</f>
        <v/>
      </c>
      <c r="GK7" s="140">
        <f>$E$7+188</f>
        <v/>
      </c>
      <c r="GL7" s="140">
        <f>$E$7+189</f>
        <v/>
      </c>
      <c r="GM7" s="140">
        <f>$E$7+190</f>
        <v/>
      </c>
      <c r="GN7" s="140">
        <f>$E$7+191</f>
        <v/>
      </c>
      <c r="GO7" s="140">
        <f>$E$7+192</f>
        <v/>
      </c>
      <c r="GP7" s="140">
        <f>$E$7+193</f>
        <v/>
      </c>
      <c r="GQ7" s="140">
        <f>$E$7+194</f>
        <v/>
      </c>
      <c r="GR7" s="140">
        <f>$E$7+195</f>
        <v/>
      </c>
      <c r="GS7" s="140">
        <f>$E$7+196</f>
        <v/>
      </c>
      <c r="GT7" s="140">
        <f>$E$7+197</f>
        <v/>
      </c>
      <c r="GU7" s="140">
        <f>$E$7+198</f>
        <v/>
      </c>
      <c r="GV7" s="140">
        <f>$E$7+199</f>
        <v/>
      </c>
      <c r="GW7" s="140">
        <f>$E$7+200</f>
        <v/>
      </c>
      <c r="GX7" s="140">
        <f>$E$7+201</f>
        <v/>
      </c>
      <c r="GY7" s="140">
        <f>$E$7+202</f>
        <v/>
      </c>
      <c r="GZ7" s="140">
        <f>$E$7+203</f>
        <v/>
      </c>
      <c r="HA7" s="140">
        <f>$E$7+204</f>
        <v/>
      </c>
      <c r="HB7" s="140">
        <f>$E$7+205</f>
        <v/>
      </c>
      <c r="HC7" s="140">
        <f>$E$7+206</f>
        <v/>
      </c>
      <c r="HD7" s="140">
        <f>$E$7+207</f>
        <v/>
      </c>
      <c r="HE7" s="140">
        <f>$E$7+208</f>
        <v/>
      </c>
      <c r="HF7" s="140">
        <f>$E$7+209</f>
        <v/>
      </c>
      <c r="HG7" s="140">
        <f>$E$7+210</f>
        <v/>
      </c>
      <c r="HH7" s="140">
        <f>$E$7+211</f>
        <v/>
      </c>
      <c r="HI7" s="140">
        <f>$E$7+212</f>
        <v/>
      </c>
      <c r="HJ7" s="140">
        <f>$E$7+213</f>
        <v/>
      </c>
      <c r="HK7" s="140">
        <f>$E$7+214</f>
        <v/>
      </c>
      <c r="HL7" s="140">
        <f>$E$7+215</f>
        <v/>
      </c>
      <c r="HM7" s="140">
        <f>$E$7+216</f>
        <v/>
      </c>
      <c r="HN7" s="140">
        <f>$E$7+217</f>
        <v/>
      </c>
      <c r="HO7" s="140">
        <f>$E$7+218</f>
        <v/>
      </c>
      <c r="HP7" s="140">
        <f>$E$7+219</f>
        <v/>
      </c>
      <c r="HQ7" s="140">
        <f>$E$7+220</f>
        <v/>
      </c>
      <c r="HR7" s="140">
        <f>$E$7+221</f>
        <v/>
      </c>
      <c r="HS7" s="140">
        <f>$E$7+222</f>
        <v/>
      </c>
      <c r="HT7" s="140">
        <f>$E$7+223</f>
        <v/>
      </c>
      <c r="HU7" s="140">
        <f>$E$7+224</f>
        <v/>
      </c>
      <c r="HV7" s="140">
        <f>$E$7+225</f>
        <v/>
      </c>
      <c r="HW7" s="140">
        <f>$E$7+226</f>
        <v/>
      </c>
      <c r="HX7" s="140">
        <f>$E$7+227</f>
        <v/>
      </c>
      <c r="HY7" s="140">
        <f>$E$7+228</f>
        <v/>
      </c>
      <c r="HZ7" s="140">
        <f>$E$7+229</f>
        <v/>
      </c>
      <c r="IA7" s="140">
        <f>$E$7+230</f>
        <v/>
      </c>
      <c r="IB7" s="140">
        <f>$E$7+231</f>
        <v/>
      </c>
      <c r="IC7" s="140">
        <f>$E$7+232</f>
        <v/>
      </c>
      <c r="ID7" s="140">
        <f>$E$7+233</f>
        <v/>
      </c>
      <c r="IE7" s="140">
        <f>$E$7+234</f>
        <v/>
      </c>
      <c r="IF7" s="140">
        <f>$E$7+235</f>
        <v/>
      </c>
      <c r="IG7" s="140">
        <f>$E$7+236</f>
        <v/>
      </c>
      <c r="IH7" s="140">
        <f>$E$7+237</f>
        <v/>
      </c>
      <c r="II7" s="140">
        <f>$E$7+238</f>
        <v/>
      </c>
      <c r="IJ7" s="140">
        <f>$E$7+239</f>
        <v/>
      </c>
      <c r="IK7" s="140">
        <f>$E$7+240</f>
        <v/>
      </c>
      <c r="IL7" s="140">
        <f>$E$7+241</f>
        <v/>
      </c>
      <c r="IM7" s="140">
        <f>$E$7+242</f>
        <v/>
      </c>
      <c r="IN7" s="140">
        <f>$E$7+243</f>
        <v/>
      </c>
      <c r="IO7" s="140">
        <f>$E$7+244</f>
        <v/>
      </c>
      <c r="IP7" s="140">
        <f>$E$7+245</f>
        <v/>
      </c>
      <c r="IQ7" s="140">
        <f>$E$7+246</f>
        <v/>
      </c>
      <c r="IR7" s="140">
        <f>$E$7+247</f>
        <v/>
      </c>
      <c r="IS7" s="140">
        <f>$E$7+248</f>
        <v/>
      </c>
      <c r="IT7" s="140">
        <f>$E$7+249</f>
        <v/>
      </c>
      <c r="IU7" s="140">
        <f>$E$7+250</f>
        <v/>
      </c>
      <c r="IV7" s="140">
        <f>$E$7+251</f>
        <v/>
      </c>
      <c r="IW7" s="140">
        <f>$E$7+252</f>
        <v/>
      </c>
      <c r="IX7" s="140">
        <f>$E$7+253</f>
        <v/>
      </c>
      <c r="IY7" s="140">
        <f>$E$7+254</f>
        <v/>
      </c>
      <c r="IZ7" s="140">
        <f>$E$7+255</f>
        <v/>
      </c>
      <c r="JA7" s="140">
        <f>$E$7+256</f>
        <v/>
      </c>
      <c r="JB7" s="140">
        <f>$E$7+257</f>
        <v/>
      </c>
      <c r="JC7" s="140">
        <f>$E$7+258</f>
        <v/>
      </c>
      <c r="JD7" s="140">
        <f>$E$7+259</f>
        <v/>
      </c>
      <c r="JE7" s="140">
        <f>$E$7+260</f>
        <v/>
      </c>
      <c r="JF7" s="140">
        <f>$E$7+261</f>
        <v/>
      </c>
      <c r="JG7" s="140">
        <f>$E$7+262</f>
        <v/>
      </c>
      <c r="JH7" s="140">
        <f>$E$7+263</f>
        <v/>
      </c>
      <c r="JI7" s="140">
        <f>$E$7+264</f>
        <v/>
      </c>
      <c r="JJ7" s="140">
        <f>$E$7+265</f>
        <v/>
      </c>
      <c r="JK7" s="140">
        <f>$E$7+266</f>
        <v/>
      </c>
      <c r="JL7" s="140">
        <f>$E$7+267</f>
        <v/>
      </c>
      <c r="JM7" s="140">
        <f>$E$7+268</f>
        <v/>
      </c>
      <c r="JN7" s="140">
        <f>$E$7+269</f>
        <v/>
      </c>
      <c r="JO7" s="140">
        <f>$E$7+270</f>
        <v/>
      </c>
      <c r="JP7" s="140">
        <f>$E$7+271</f>
        <v/>
      </c>
      <c r="JQ7" s="140">
        <f>$E$7+272</f>
        <v/>
      </c>
      <c r="JR7" s="140">
        <f>$E$7+273</f>
        <v/>
      </c>
      <c r="JS7" s="140">
        <f>$E$7+274</f>
        <v/>
      </c>
      <c r="JT7" s="140">
        <f>$E$7+275</f>
        <v/>
      </c>
      <c r="JU7" s="140">
        <f>$E$7+276</f>
        <v/>
      </c>
      <c r="JV7" s="140">
        <f>$E$7+277</f>
        <v/>
      </c>
      <c r="JW7" s="140">
        <f>$E$7+278</f>
        <v/>
      </c>
      <c r="JX7" s="140">
        <f>$E$7+279</f>
        <v/>
      </c>
      <c r="JY7" s="140">
        <f>$E$7+280</f>
        <v/>
      </c>
      <c r="JZ7" s="140">
        <f>$E$7+281</f>
        <v/>
      </c>
      <c r="KA7" s="140">
        <f>$E$7+282</f>
        <v/>
      </c>
      <c r="KB7" s="140">
        <f>$E$7+283</f>
        <v/>
      </c>
      <c r="KC7" s="140">
        <f>$E$7+284</f>
        <v/>
      </c>
      <c r="KD7" s="140">
        <f>$E$7+285</f>
        <v/>
      </c>
      <c r="KE7" s="140">
        <f>$E$7+286</f>
        <v/>
      </c>
      <c r="KF7" s="140">
        <f>$E$7+287</f>
        <v/>
      </c>
      <c r="KG7" s="140">
        <f>$E$7+288</f>
        <v/>
      </c>
      <c r="KH7" s="140">
        <f>$E$7+289</f>
        <v/>
      </c>
      <c r="KI7" s="140">
        <f>$E$7+290</f>
        <v/>
      </c>
      <c r="KJ7" s="140">
        <f>$E$7+291</f>
        <v/>
      </c>
      <c r="KK7" s="140">
        <f>$E$7+292</f>
        <v/>
      </c>
      <c r="KL7" s="140">
        <f>$E$7+293</f>
        <v/>
      </c>
      <c r="KM7" s="140">
        <f>$E$7+294</f>
        <v/>
      </c>
      <c r="KN7" s="140">
        <f>$E$7+295</f>
        <v/>
      </c>
      <c r="KO7" s="140">
        <f>$E$7+296</f>
        <v/>
      </c>
      <c r="KP7" s="140">
        <f>$E$7+297</f>
        <v/>
      </c>
      <c r="KQ7" s="140">
        <f>$E$7+298</f>
        <v/>
      </c>
      <c r="KR7" s="140">
        <f>$E$7+299</f>
        <v/>
      </c>
      <c r="KS7" s="140">
        <f>$E$7+300</f>
        <v/>
      </c>
      <c r="KT7" s="140">
        <f>$E$7+301</f>
        <v/>
      </c>
      <c r="KU7" s="140">
        <f>$E$7+302</f>
        <v/>
      </c>
      <c r="KV7" s="140">
        <f>$E$7+303</f>
        <v/>
      </c>
      <c r="KW7" s="140">
        <f>$E$7+304</f>
        <v/>
      </c>
      <c r="KX7" s="140">
        <f>$E$7+305</f>
        <v/>
      </c>
      <c r="KY7" s="140">
        <f>$E$7+306</f>
        <v/>
      </c>
      <c r="KZ7" s="140">
        <f>$E$7+307</f>
        <v/>
      </c>
      <c r="LA7" s="140">
        <f>$E$7+308</f>
        <v/>
      </c>
      <c r="LB7" s="140">
        <f>$E$7+309</f>
        <v/>
      </c>
      <c r="LC7" s="140">
        <f>$E$7+310</f>
        <v/>
      </c>
      <c r="LD7" s="140">
        <f>$E$7+311</f>
        <v/>
      </c>
      <c r="LE7" s="140">
        <f>$E$7+312</f>
        <v/>
      </c>
      <c r="LF7" s="140">
        <f>$E$7+313</f>
        <v/>
      </c>
      <c r="LG7" s="140">
        <f>$E$7+314</f>
        <v/>
      </c>
      <c r="LH7" s="140">
        <f>$E$7+315</f>
        <v/>
      </c>
      <c r="LI7" s="140">
        <f>$E$7+316</f>
        <v/>
      </c>
      <c r="LJ7" s="140">
        <f>$E$7+317</f>
        <v/>
      </c>
      <c r="LK7" s="140">
        <f>$E$7+318</f>
        <v/>
      </c>
      <c r="LL7" s="140">
        <f>$E$7+319</f>
        <v/>
      </c>
      <c r="LM7" s="140">
        <f>$E$7+320</f>
        <v/>
      </c>
      <c r="LN7" s="140">
        <f>$E$7+321</f>
        <v/>
      </c>
      <c r="LO7" s="140">
        <f>$E$7+322</f>
        <v/>
      </c>
      <c r="LP7" s="140">
        <f>$E$7+323</f>
        <v/>
      </c>
      <c r="LQ7" s="140">
        <f>$E$7+324</f>
        <v/>
      </c>
      <c r="LR7" s="140">
        <f>$E$7+325</f>
        <v/>
      </c>
      <c r="LS7" s="140">
        <f>$E$7+326</f>
        <v/>
      </c>
      <c r="LT7" s="140">
        <f>$E$7+327</f>
        <v/>
      </c>
      <c r="LU7" s="140">
        <f>$E$7+328</f>
        <v/>
      </c>
      <c r="LV7" s="140">
        <f>$E$7+329</f>
        <v/>
      </c>
      <c r="LW7" s="140">
        <f>$E$7+330</f>
        <v/>
      </c>
      <c r="LX7" s="140">
        <f>$E$7+331</f>
        <v/>
      </c>
      <c r="LY7" s="140">
        <f>$E$7+332</f>
        <v/>
      </c>
      <c r="LZ7" s="140">
        <f>$E$7+333</f>
        <v/>
      </c>
      <c r="MA7" s="140">
        <f>$E$7+334</f>
        <v/>
      </c>
      <c r="MB7" s="140">
        <f>$E$7+335</f>
        <v/>
      </c>
      <c r="MC7" s="140">
        <f>$E$7+336</f>
        <v/>
      </c>
      <c r="MD7" s="140">
        <f>$E$7+337</f>
        <v/>
      </c>
      <c r="ME7" s="140">
        <f>$E$7+338</f>
        <v/>
      </c>
      <c r="MF7" s="140">
        <f>$E$7+339</f>
        <v/>
      </c>
      <c r="MG7" s="140">
        <f>$E$7+340</f>
        <v/>
      </c>
      <c r="MH7" s="140">
        <f>$E$7+341</f>
        <v/>
      </c>
      <c r="MI7" s="140">
        <f>$E$7+342</f>
        <v/>
      </c>
      <c r="MJ7" s="140">
        <f>$E$7+343</f>
        <v/>
      </c>
      <c r="MK7" s="140">
        <f>$E$7+344</f>
        <v/>
      </c>
      <c r="ML7" s="140">
        <f>$E$7+345</f>
        <v/>
      </c>
      <c r="MM7" s="140">
        <f>$E$7+346</f>
        <v/>
      </c>
      <c r="MN7" s="140">
        <f>$E$7+347</f>
        <v/>
      </c>
      <c r="MO7" s="140">
        <f>$E$7+348</f>
        <v/>
      </c>
      <c r="MP7" s="140">
        <f>$E$7+349</f>
        <v/>
      </c>
      <c r="MQ7" s="140">
        <f>$E$7+350</f>
        <v/>
      </c>
      <c r="MR7" s="140">
        <f>$E$7+351</f>
        <v/>
      </c>
      <c r="MS7" s="140">
        <f>$E$7+352</f>
        <v/>
      </c>
      <c r="MT7" s="140">
        <f>$E$7+353</f>
        <v/>
      </c>
      <c r="MU7" s="140">
        <f>$E$7+354</f>
        <v/>
      </c>
      <c r="MV7" s="140">
        <f>$E$7+355</f>
        <v/>
      </c>
      <c r="MW7" s="140">
        <f>$E$7+356</f>
        <v/>
      </c>
      <c r="MX7" s="140">
        <f>$E$7+357</f>
        <v/>
      </c>
      <c r="MY7" s="140">
        <f>$E$7+358</f>
        <v/>
      </c>
      <c r="MZ7" s="140">
        <f>$E$7+359</f>
        <v/>
      </c>
      <c r="NA7" s="140">
        <f>$E$7+360</f>
        <v/>
      </c>
      <c r="NB7" s="140">
        <f>$E$7+361</f>
        <v/>
      </c>
      <c r="NC7" s="140">
        <f>$E$7+362</f>
        <v/>
      </c>
      <c r="ND7" s="140">
        <f>$E$7+363</f>
        <v/>
      </c>
      <c r="NE7" s="1" t="n"/>
      <c r="NF7" s="1" t="n"/>
      <c r="NG7" s="1" t="n"/>
    </row>
    <row r="8">
      <c r="A8" s="1" t="n"/>
      <c r="B8" s="124" t="inlineStr">
        <is>
          <t>HABITS</t>
        </is>
      </c>
      <c r="C8" s="30" t="inlineStr">
        <is>
          <t>% DONE</t>
        </is>
      </c>
      <c r="D8" s="30" t="inlineStr">
        <is>
          <t>TOTAL</t>
        </is>
      </c>
      <c r="E8" s="141">
        <f>LEFT(TEXT(E7,"ddd"),1)</f>
        <v/>
      </c>
      <c r="F8" s="141">
        <f>LEFT(TEXT(F7,"ddd"),1)</f>
        <v/>
      </c>
      <c r="G8" s="141">
        <f>LEFT(TEXT(G7,"ddd"),1)</f>
        <v/>
      </c>
      <c r="H8" s="141">
        <f>LEFT(TEXT(H7,"ddd"),1)</f>
        <v/>
      </c>
      <c r="I8" s="141">
        <f>LEFT(TEXT(I7,"ddd"),1)</f>
        <v/>
      </c>
      <c r="J8" s="141">
        <f>LEFT(TEXT(J7,"ddd"),1)</f>
        <v/>
      </c>
      <c r="K8" s="141">
        <f>LEFT(TEXT(K7,"ddd"),1)</f>
        <v/>
      </c>
      <c r="L8" s="141">
        <f>LEFT(TEXT(L7,"ddd"),1)</f>
        <v/>
      </c>
      <c r="M8" s="141">
        <f>LEFT(TEXT(M7,"ddd"),1)</f>
        <v/>
      </c>
      <c r="N8" s="141">
        <f>LEFT(TEXT(N7,"ddd"),1)</f>
        <v/>
      </c>
      <c r="O8" s="141">
        <f>LEFT(TEXT(O7,"ddd"),1)</f>
        <v/>
      </c>
      <c r="P8" s="141">
        <f>LEFT(TEXT(P7,"ddd"),1)</f>
        <v/>
      </c>
      <c r="Q8" s="141">
        <f>LEFT(TEXT(Q7,"ddd"),1)</f>
        <v/>
      </c>
      <c r="R8" s="141">
        <f>LEFT(TEXT(R7,"ddd"),1)</f>
        <v/>
      </c>
      <c r="S8" s="141">
        <f>LEFT(TEXT(S7,"ddd"),1)</f>
        <v/>
      </c>
      <c r="T8" s="141">
        <f>LEFT(TEXT(T7,"ddd"),1)</f>
        <v/>
      </c>
      <c r="U8" s="141">
        <f>LEFT(TEXT(U7,"ddd"),1)</f>
        <v/>
      </c>
      <c r="V8" s="141">
        <f>LEFT(TEXT(V7,"ddd"),1)</f>
        <v/>
      </c>
      <c r="W8" s="141">
        <f>LEFT(TEXT(W7,"ddd"),1)</f>
        <v/>
      </c>
      <c r="X8" s="141">
        <f>LEFT(TEXT(X7,"ddd"),1)</f>
        <v/>
      </c>
      <c r="Y8" s="141">
        <f>LEFT(TEXT(Y7,"ddd"),1)</f>
        <v/>
      </c>
      <c r="Z8" s="141">
        <f>LEFT(TEXT(Z7,"ddd"),1)</f>
        <v/>
      </c>
      <c r="AA8" s="141">
        <f>LEFT(TEXT(AA7,"ddd"),1)</f>
        <v/>
      </c>
      <c r="AB8" s="141">
        <f>LEFT(TEXT(AB7,"ddd"),1)</f>
        <v/>
      </c>
      <c r="AC8" s="141">
        <f>LEFT(TEXT(AC7,"ddd"),1)</f>
        <v/>
      </c>
      <c r="AD8" s="141">
        <f>LEFT(TEXT(AD7,"ddd"),1)</f>
        <v/>
      </c>
      <c r="AE8" s="141">
        <f>LEFT(TEXT(AE7,"ddd"),1)</f>
        <v/>
      </c>
      <c r="AF8" s="141">
        <f>LEFT(TEXT(AF7,"ddd"),1)</f>
        <v/>
      </c>
      <c r="AG8" s="141">
        <f>LEFT(TEXT(AG7,"ddd"),1)</f>
        <v/>
      </c>
      <c r="AH8" s="141">
        <f>LEFT(TEXT(AH7,"ddd"),1)</f>
        <v/>
      </c>
      <c r="AI8" s="141">
        <f>LEFT(TEXT(AI7,"ddd"),1)</f>
        <v/>
      </c>
      <c r="AJ8" s="141">
        <f>LEFT(TEXT(AJ7,"ddd"),1)</f>
        <v/>
      </c>
      <c r="AK8" s="141">
        <f>LEFT(TEXT(AK7,"ddd"),1)</f>
        <v/>
      </c>
      <c r="AL8" s="141">
        <f>LEFT(TEXT(AL7,"ddd"),1)</f>
        <v/>
      </c>
      <c r="AM8" s="141">
        <f>LEFT(TEXT(AM7,"ddd"),1)</f>
        <v/>
      </c>
      <c r="AN8" s="141">
        <f>LEFT(TEXT(AN7,"ddd"),1)</f>
        <v/>
      </c>
      <c r="AO8" s="141">
        <f>LEFT(TEXT(AO7,"ddd"),1)</f>
        <v/>
      </c>
      <c r="AP8" s="141">
        <f>LEFT(TEXT(AP7,"ddd"),1)</f>
        <v/>
      </c>
      <c r="AQ8" s="141">
        <f>LEFT(TEXT(AQ7,"ddd"),1)</f>
        <v/>
      </c>
      <c r="AR8" s="141">
        <f>LEFT(TEXT(AR7,"ddd"),1)</f>
        <v/>
      </c>
      <c r="AS8" s="141">
        <f>LEFT(TEXT(AS7,"ddd"),1)</f>
        <v/>
      </c>
      <c r="AT8" s="141">
        <f>LEFT(TEXT(AT7,"ddd"),1)</f>
        <v/>
      </c>
      <c r="AU8" s="141">
        <f>LEFT(TEXT(AU7,"ddd"),1)</f>
        <v/>
      </c>
      <c r="AV8" s="141">
        <f>LEFT(TEXT(AV7,"ddd"),1)</f>
        <v/>
      </c>
      <c r="AW8" s="141">
        <f>LEFT(TEXT(AW7,"ddd"),1)</f>
        <v/>
      </c>
      <c r="AX8" s="141">
        <f>LEFT(TEXT(AX7,"ddd"),1)</f>
        <v/>
      </c>
      <c r="AY8" s="141">
        <f>LEFT(TEXT(AY7,"ddd"),1)</f>
        <v/>
      </c>
      <c r="AZ8" s="141">
        <f>LEFT(TEXT(AZ7,"ddd"),1)</f>
        <v/>
      </c>
      <c r="BA8" s="141">
        <f>LEFT(TEXT(BA7,"ddd"),1)</f>
        <v/>
      </c>
      <c r="BB8" s="141">
        <f>LEFT(TEXT(BB7,"ddd"),1)</f>
        <v/>
      </c>
      <c r="BC8" s="141">
        <f>LEFT(TEXT(BC7,"ddd"),1)</f>
        <v/>
      </c>
      <c r="BD8" s="141">
        <f>LEFT(TEXT(BD7,"ddd"),1)</f>
        <v/>
      </c>
      <c r="BE8" s="141">
        <f>LEFT(TEXT(BE7,"ddd"),1)</f>
        <v/>
      </c>
      <c r="BF8" s="141">
        <f>LEFT(TEXT(BF7,"ddd"),1)</f>
        <v/>
      </c>
      <c r="BG8" s="141">
        <f>LEFT(TEXT(BG7,"ddd"),1)</f>
        <v/>
      </c>
      <c r="BH8" s="141">
        <f>LEFT(TEXT(BH7,"ddd"),1)</f>
        <v/>
      </c>
      <c r="BI8" s="141">
        <f>LEFT(TEXT(BI7,"ddd"),1)</f>
        <v/>
      </c>
      <c r="BJ8" s="141">
        <f>LEFT(TEXT(BJ7,"ddd"),1)</f>
        <v/>
      </c>
      <c r="BK8" s="141">
        <f>LEFT(TEXT(BK7,"ddd"),1)</f>
        <v/>
      </c>
      <c r="BL8" s="141">
        <f>LEFT(TEXT(BL7,"ddd"),1)</f>
        <v/>
      </c>
      <c r="BM8" s="141">
        <f>LEFT(TEXT(BM7,"ddd"),1)</f>
        <v/>
      </c>
      <c r="BN8" s="141">
        <f>LEFT(TEXT(BN7,"ddd"),1)</f>
        <v/>
      </c>
      <c r="BO8" s="141">
        <f>LEFT(TEXT(BO7,"ddd"),1)</f>
        <v/>
      </c>
      <c r="BP8" s="141">
        <f>LEFT(TEXT(BP7,"ddd"),1)</f>
        <v/>
      </c>
      <c r="BQ8" s="141">
        <f>LEFT(TEXT(BQ7,"ddd"),1)</f>
        <v/>
      </c>
      <c r="BR8" s="141">
        <f>LEFT(TEXT(BR7,"ddd"),1)</f>
        <v/>
      </c>
      <c r="BS8" s="141">
        <f>LEFT(TEXT(BS7,"ddd"),1)</f>
        <v/>
      </c>
      <c r="BT8" s="141">
        <f>LEFT(TEXT(BT7,"ddd"),1)</f>
        <v/>
      </c>
      <c r="BU8" s="141">
        <f>LEFT(TEXT(BU7,"ddd"),1)</f>
        <v/>
      </c>
      <c r="BV8" s="141">
        <f>LEFT(TEXT(BV7,"ddd"),1)</f>
        <v/>
      </c>
      <c r="BW8" s="141">
        <f>LEFT(TEXT(BW7,"ddd"),1)</f>
        <v/>
      </c>
      <c r="BX8" s="141">
        <f>LEFT(TEXT(BX7,"ddd"),1)</f>
        <v/>
      </c>
      <c r="BY8" s="141">
        <f>LEFT(TEXT(BY7,"ddd"),1)</f>
        <v/>
      </c>
      <c r="BZ8" s="141">
        <f>LEFT(TEXT(BZ7,"ddd"),1)</f>
        <v/>
      </c>
      <c r="CA8" s="141">
        <f>LEFT(TEXT(CA7,"ddd"),1)</f>
        <v/>
      </c>
      <c r="CB8" s="141">
        <f>LEFT(TEXT(CB7,"ddd"),1)</f>
        <v/>
      </c>
      <c r="CC8" s="141">
        <f>LEFT(TEXT(CC7,"ddd"),1)</f>
        <v/>
      </c>
      <c r="CD8" s="141">
        <f>LEFT(TEXT(CD7,"ddd"),1)</f>
        <v/>
      </c>
      <c r="CE8" s="141">
        <f>LEFT(TEXT(CE7,"ddd"),1)</f>
        <v/>
      </c>
      <c r="CF8" s="141">
        <f>LEFT(TEXT(CF7,"ddd"),1)</f>
        <v/>
      </c>
      <c r="CG8" s="141">
        <f>LEFT(TEXT(CG7,"ddd"),1)</f>
        <v/>
      </c>
      <c r="CH8" s="141">
        <f>LEFT(TEXT(CH7,"ddd"),1)</f>
        <v/>
      </c>
      <c r="CI8" s="141">
        <f>LEFT(TEXT(CI7,"ddd"),1)</f>
        <v/>
      </c>
      <c r="CJ8" s="141">
        <f>LEFT(TEXT(CJ7,"ddd"),1)</f>
        <v/>
      </c>
      <c r="CK8" s="141">
        <f>LEFT(TEXT(CK7,"ddd"),1)</f>
        <v/>
      </c>
      <c r="CL8" s="141">
        <f>LEFT(TEXT(CL7,"ddd"),1)</f>
        <v/>
      </c>
      <c r="CM8" s="141">
        <f>LEFT(TEXT(CM7,"ddd"),1)</f>
        <v/>
      </c>
      <c r="CN8" s="141">
        <f>LEFT(TEXT(CN7,"ddd"),1)</f>
        <v/>
      </c>
      <c r="CO8" s="141">
        <f>LEFT(TEXT(CO7,"ddd"),1)</f>
        <v/>
      </c>
      <c r="CP8" s="141">
        <f>LEFT(TEXT(CP7,"ddd"),1)</f>
        <v/>
      </c>
      <c r="CQ8" s="141">
        <f>LEFT(TEXT(CQ7,"ddd"),1)</f>
        <v/>
      </c>
      <c r="CR8" s="141">
        <f>LEFT(TEXT(CR7,"ddd"),1)</f>
        <v/>
      </c>
      <c r="CS8" s="141">
        <f>LEFT(TEXT(CS7,"ddd"),1)</f>
        <v/>
      </c>
      <c r="CT8" s="141">
        <f>LEFT(TEXT(CT7,"ddd"),1)</f>
        <v/>
      </c>
      <c r="CU8" s="141">
        <f>LEFT(TEXT(CU7,"ddd"),1)</f>
        <v/>
      </c>
      <c r="CV8" s="141">
        <f>LEFT(TEXT(CV7,"ddd"),1)</f>
        <v/>
      </c>
      <c r="CW8" s="141">
        <f>LEFT(TEXT(CW7,"ddd"),1)</f>
        <v/>
      </c>
      <c r="CX8" s="141">
        <f>LEFT(TEXT(CX7,"ddd"),1)</f>
        <v/>
      </c>
      <c r="CY8" s="141">
        <f>LEFT(TEXT(CY7,"ddd"),1)</f>
        <v/>
      </c>
      <c r="CZ8" s="141">
        <f>LEFT(TEXT(CZ7,"ddd"),1)</f>
        <v/>
      </c>
      <c r="DA8" s="141">
        <f>LEFT(TEXT(DA7,"ddd"),1)</f>
        <v/>
      </c>
      <c r="DB8" s="141">
        <f>LEFT(TEXT(DB7,"ddd"),1)</f>
        <v/>
      </c>
      <c r="DC8" s="141">
        <f>LEFT(TEXT(DC7,"ddd"),1)</f>
        <v/>
      </c>
      <c r="DD8" s="141">
        <f>LEFT(TEXT(DD7,"ddd"),1)</f>
        <v/>
      </c>
      <c r="DE8" s="141">
        <f>LEFT(TEXT(DE7,"ddd"),1)</f>
        <v/>
      </c>
      <c r="DF8" s="141">
        <f>LEFT(TEXT(DF7,"ddd"),1)</f>
        <v/>
      </c>
      <c r="DG8" s="141">
        <f>LEFT(TEXT(DG7,"ddd"),1)</f>
        <v/>
      </c>
      <c r="DH8" s="141">
        <f>LEFT(TEXT(DH7,"ddd"),1)</f>
        <v/>
      </c>
      <c r="DI8" s="141">
        <f>LEFT(TEXT(DI7,"ddd"),1)</f>
        <v/>
      </c>
      <c r="DJ8" s="141">
        <f>LEFT(TEXT(DJ7,"ddd"),1)</f>
        <v/>
      </c>
      <c r="DK8" s="141">
        <f>LEFT(TEXT(DK7,"ddd"),1)</f>
        <v/>
      </c>
      <c r="DL8" s="141">
        <f>LEFT(TEXT(DL7,"ddd"),1)</f>
        <v/>
      </c>
      <c r="DM8" s="141">
        <f>LEFT(TEXT(DM7,"ddd"),1)</f>
        <v/>
      </c>
      <c r="DN8" s="141">
        <f>LEFT(TEXT(DN7,"ddd"),1)</f>
        <v/>
      </c>
      <c r="DO8" s="141">
        <f>LEFT(TEXT(DO7,"ddd"),1)</f>
        <v/>
      </c>
      <c r="DP8" s="141">
        <f>LEFT(TEXT(DP7,"ddd"),1)</f>
        <v/>
      </c>
      <c r="DQ8" s="141">
        <f>LEFT(TEXT(DQ7,"ddd"),1)</f>
        <v/>
      </c>
      <c r="DR8" s="141">
        <f>LEFT(TEXT(DR7,"ddd"),1)</f>
        <v/>
      </c>
      <c r="DS8" s="141">
        <f>LEFT(TEXT(DS7,"ddd"),1)</f>
        <v/>
      </c>
      <c r="DT8" s="141">
        <f>LEFT(TEXT(DT7,"ddd"),1)</f>
        <v/>
      </c>
      <c r="DU8" s="141">
        <f>LEFT(TEXT(DU7,"ddd"),1)</f>
        <v/>
      </c>
      <c r="DV8" s="141">
        <f>LEFT(TEXT(DV7,"ddd"),1)</f>
        <v/>
      </c>
      <c r="DW8" s="141">
        <f>LEFT(TEXT(DW7,"ddd"),1)</f>
        <v/>
      </c>
      <c r="DX8" s="141">
        <f>LEFT(TEXT(DX7,"ddd"),1)</f>
        <v/>
      </c>
      <c r="DY8" s="141">
        <f>LEFT(TEXT(DY7,"ddd"),1)</f>
        <v/>
      </c>
      <c r="DZ8" s="141">
        <f>LEFT(TEXT(DZ7,"ddd"),1)</f>
        <v/>
      </c>
      <c r="EA8" s="141">
        <f>LEFT(TEXT(EA7,"ddd"),1)</f>
        <v/>
      </c>
      <c r="EB8" s="141">
        <f>LEFT(TEXT(EB7,"ddd"),1)</f>
        <v/>
      </c>
      <c r="EC8" s="141">
        <f>LEFT(TEXT(EC7,"ddd"),1)</f>
        <v/>
      </c>
      <c r="ED8" s="141">
        <f>LEFT(TEXT(ED7,"ddd"),1)</f>
        <v/>
      </c>
      <c r="EE8" s="141">
        <f>LEFT(TEXT(EE7,"ddd"),1)</f>
        <v/>
      </c>
      <c r="EF8" s="141">
        <f>LEFT(TEXT(EF7,"ddd"),1)</f>
        <v/>
      </c>
      <c r="EG8" s="141">
        <f>LEFT(TEXT(EG7,"ddd"),1)</f>
        <v/>
      </c>
      <c r="EH8" s="141">
        <f>LEFT(TEXT(EH7,"ddd"),1)</f>
        <v/>
      </c>
      <c r="EI8" s="141">
        <f>LEFT(TEXT(EI7,"ddd"),1)</f>
        <v/>
      </c>
      <c r="EJ8" s="141">
        <f>LEFT(TEXT(EJ7,"ddd"),1)</f>
        <v/>
      </c>
      <c r="EK8" s="141">
        <f>LEFT(TEXT(EK7,"ddd"),1)</f>
        <v/>
      </c>
      <c r="EL8" s="141">
        <f>LEFT(TEXT(EL7,"ddd"),1)</f>
        <v/>
      </c>
      <c r="EM8" s="141">
        <f>LEFT(TEXT(EM7,"ddd"),1)</f>
        <v/>
      </c>
      <c r="EN8" s="141">
        <f>LEFT(TEXT(EN7,"ddd"),1)</f>
        <v/>
      </c>
      <c r="EO8" s="141">
        <f>LEFT(TEXT(EO7,"ddd"),1)</f>
        <v/>
      </c>
      <c r="EP8" s="141">
        <f>LEFT(TEXT(EP7,"ddd"),1)</f>
        <v/>
      </c>
      <c r="EQ8" s="141">
        <f>LEFT(TEXT(EQ7,"ddd"),1)</f>
        <v/>
      </c>
      <c r="ER8" s="141">
        <f>LEFT(TEXT(ER7,"ddd"),1)</f>
        <v/>
      </c>
      <c r="ES8" s="141">
        <f>LEFT(TEXT(ES7,"ddd"),1)</f>
        <v/>
      </c>
      <c r="ET8" s="141">
        <f>LEFT(TEXT(ET7,"ddd"),1)</f>
        <v/>
      </c>
      <c r="EU8" s="141">
        <f>LEFT(TEXT(EU7,"ddd"),1)</f>
        <v/>
      </c>
      <c r="EV8" s="141">
        <f>LEFT(TEXT(EV7,"ddd"),1)</f>
        <v/>
      </c>
      <c r="EW8" s="141">
        <f>LEFT(TEXT(EW7,"ddd"),1)</f>
        <v/>
      </c>
      <c r="EX8" s="141">
        <f>LEFT(TEXT(EX7,"ddd"),1)</f>
        <v/>
      </c>
      <c r="EY8" s="141">
        <f>LEFT(TEXT(EY7,"ddd"),1)</f>
        <v/>
      </c>
      <c r="EZ8" s="141">
        <f>LEFT(TEXT(EZ7,"ddd"),1)</f>
        <v/>
      </c>
      <c r="FA8" s="141">
        <f>LEFT(TEXT(FA7,"ddd"),1)</f>
        <v/>
      </c>
      <c r="FB8" s="141">
        <f>LEFT(TEXT(FB7,"ddd"),1)</f>
        <v/>
      </c>
      <c r="FC8" s="141">
        <f>LEFT(TEXT(FC7,"ddd"),1)</f>
        <v/>
      </c>
      <c r="FD8" s="141">
        <f>LEFT(TEXT(FD7,"ddd"),1)</f>
        <v/>
      </c>
      <c r="FE8" s="141">
        <f>LEFT(TEXT(FE7,"ddd"),1)</f>
        <v/>
      </c>
      <c r="FF8" s="141">
        <f>LEFT(TEXT(FF7,"ddd"),1)</f>
        <v/>
      </c>
      <c r="FG8" s="141">
        <f>LEFT(TEXT(FG7,"ddd"),1)</f>
        <v/>
      </c>
      <c r="FH8" s="141">
        <f>LEFT(TEXT(FH7,"ddd"),1)</f>
        <v/>
      </c>
      <c r="FI8" s="141">
        <f>LEFT(TEXT(FI7,"ddd"),1)</f>
        <v/>
      </c>
      <c r="FJ8" s="141">
        <f>LEFT(TEXT(FJ7,"ddd"),1)</f>
        <v/>
      </c>
      <c r="FK8" s="141">
        <f>LEFT(TEXT(FK7,"ddd"),1)</f>
        <v/>
      </c>
      <c r="FL8" s="141">
        <f>LEFT(TEXT(FL7,"ddd"),1)</f>
        <v/>
      </c>
      <c r="FM8" s="141">
        <f>LEFT(TEXT(FM7,"ddd"),1)</f>
        <v/>
      </c>
      <c r="FN8" s="141">
        <f>LEFT(TEXT(FN7,"ddd"),1)</f>
        <v/>
      </c>
      <c r="FO8" s="141">
        <f>LEFT(TEXT(FO7,"ddd"),1)</f>
        <v/>
      </c>
      <c r="FP8" s="141">
        <f>LEFT(TEXT(FP7,"ddd"),1)</f>
        <v/>
      </c>
      <c r="FQ8" s="141">
        <f>LEFT(TEXT(FQ7,"ddd"),1)</f>
        <v/>
      </c>
      <c r="FR8" s="141">
        <f>LEFT(TEXT(FR7,"ddd"),1)</f>
        <v/>
      </c>
      <c r="FS8" s="141">
        <f>LEFT(TEXT(FS7,"ddd"),1)</f>
        <v/>
      </c>
      <c r="FT8" s="141">
        <f>LEFT(TEXT(FT7,"ddd"),1)</f>
        <v/>
      </c>
      <c r="FU8" s="141">
        <f>LEFT(TEXT(FU7,"ddd"),1)</f>
        <v/>
      </c>
      <c r="FV8" s="141">
        <f>LEFT(TEXT(FV7,"ddd"),1)</f>
        <v/>
      </c>
      <c r="FW8" s="141">
        <f>LEFT(TEXT(FW7,"ddd"),1)</f>
        <v/>
      </c>
      <c r="FX8" s="141">
        <f>LEFT(TEXT(FX7,"ddd"),1)</f>
        <v/>
      </c>
      <c r="FY8" s="141">
        <f>LEFT(TEXT(FY7,"ddd"),1)</f>
        <v/>
      </c>
      <c r="FZ8" s="141">
        <f>LEFT(TEXT(FZ7,"ddd"),1)</f>
        <v/>
      </c>
      <c r="GA8" s="141">
        <f>LEFT(TEXT(GA7,"ddd"),1)</f>
        <v/>
      </c>
      <c r="GB8" s="141">
        <f>LEFT(TEXT(GB7,"ddd"),1)</f>
        <v/>
      </c>
      <c r="GC8" s="141">
        <f>LEFT(TEXT(GC7,"ddd"),1)</f>
        <v/>
      </c>
      <c r="GD8" s="141">
        <f>LEFT(TEXT(GD7,"ddd"),1)</f>
        <v/>
      </c>
      <c r="GE8" s="141">
        <f>LEFT(TEXT(GE7,"ddd"),1)</f>
        <v/>
      </c>
      <c r="GF8" s="141">
        <f>LEFT(TEXT(GF7,"ddd"),1)</f>
        <v/>
      </c>
      <c r="GG8" s="141">
        <f>LEFT(TEXT(GG7,"ddd"),1)</f>
        <v/>
      </c>
      <c r="GH8" s="141">
        <f>LEFT(TEXT(GH7,"ddd"),1)</f>
        <v/>
      </c>
      <c r="GI8" s="141">
        <f>LEFT(TEXT(GI7,"ddd"),1)</f>
        <v/>
      </c>
      <c r="GJ8" s="141">
        <f>LEFT(TEXT(GJ7,"ddd"),1)</f>
        <v/>
      </c>
      <c r="GK8" s="141">
        <f>LEFT(TEXT(GK7,"ddd"),1)</f>
        <v/>
      </c>
      <c r="GL8" s="141">
        <f>LEFT(TEXT(GL7,"ddd"),1)</f>
        <v/>
      </c>
      <c r="GM8" s="141">
        <f>LEFT(TEXT(GM7,"ddd"),1)</f>
        <v/>
      </c>
      <c r="GN8" s="141">
        <f>LEFT(TEXT(GN7,"ddd"),1)</f>
        <v/>
      </c>
      <c r="GO8" s="141">
        <f>LEFT(TEXT(GO7,"ddd"),1)</f>
        <v/>
      </c>
      <c r="GP8" s="141">
        <f>LEFT(TEXT(GP7,"ddd"),1)</f>
        <v/>
      </c>
      <c r="GQ8" s="141">
        <f>LEFT(TEXT(GQ7,"ddd"),1)</f>
        <v/>
      </c>
      <c r="GR8" s="141">
        <f>LEFT(TEXT(GR7,"ddd"),1)</f>
        <v/>
      </c>
      <c r="GS8" s="141">
        <f>LEFT(TEXT(GS7,"ddd"),1)</f>
        <v/>
      </c>
      <c r="GT8" s="141">
        <f>LEFT(TEXT(GT7,"ddd"),1)</f>
        <v/>
      </c>
      <c r="GU8" s="141">
        <f>LEFT(TEXT(GU7,"ddd"),1)</f>
        <v/>
      </c>
      <c r="GV8" s="141">
        <f>LEFT(TEXT(GV7,"ddd"),1)</f>
        <v/>
      </c>
      <c r="GW8" s="141">
        <f>LEFT(TEXT(GW7,"ddd"),1)</f>
        <v/>
      </c>
      <c r="GX8" s="141">
        <f>LEFT(TEXT(GX7,"ddd"),1)</f>
        <v/>
      </c>
      <c r="GY8" s="141">
        <f>LEFT(TEXT(GY7,"ddd"),1)</f>
        <v/>
      </c>
      <c r="GZ8" s="141">
        <f>LEFT(TEXT(GZ7,"ddd"),1)</f>
        <v/>
      </c>
      <c r="HA8" s="141">
        <f>LEFT(TEXT(HA7,"ddd"),1)</f>
        <v/>
      </c>
      <c r="HB8" s="141">
        <f>LEFT(TEXT(HB7,"ddd"),1)</f>
        <v/>
      </c>
      <c r="HC8" s="141">
        <f>LEFT(TEXT(HC7,"ddd"),1)</f>
        <v/>
      </c>
      <c r="HD8" s="141">
        <f>LEFT(TEXT(HD7,"ddd"),1)</f>
        <v/>
      </c>
      <c r="HE8" s="141">
        <f>LEFT(TEXT(HE7,"ddd"),1)</f>
        <v/>
      </c>
      <c r="HF8" s="141">
        <f>LEFT(TEXT(HF7,"ddd"),1)</f>
        <v/>
      </c>
      <c r="HG8" s="141">
        <f>LEFT(TEXT(HG7,"ddd"),1)</f>
        <v/>
      </c>
      <c r="HH8" s="141">
        <f>LEFT(TEXT(HH7,"ddd"),1)</f>
        <v/>
      </c>
      <c r="HI8" s="141">
        <f>LEFT(TEXT(HI7,"ddd"),1)</f>
        <v/>
      </c>
      <c r="HJ8" s="141">
        <f>LEFT(TEXT(HJ7,"ddd"),1)</f>
        <v/>
      </c>
      <c r="HK8" s="141">
        <f>LEFT(TEXT(HK7,"ddd"),1)</f>
        <v/>
      </c>
      <c r="HL8" s="141">
        <f>LEFT(TEXT(HL7,"ddd"),1)</f>
        <v/>
      </c>
      <c r="HM8" s="141">
        <f>LEFT(TEXT(HM7,"ddd"),1)</f>
        <v/>
      </c>
      <c r="HN8" s="141">
        <f>LEFT(TEXT(HN7,"ddd"),1)</f>
        <v/>
      </c>
      <c r="HO8" s="141">
        <f>LEFT(TEXT(HO7,"ddd"),1)</f>
        <v/>
      </c>
      <c r="HP8" s="141">
        <f>LEFT(TEXT(HP7,"ddd"),1)</f>
        <v/>
      </c>
      <c r="HQ8" s="141">
        <f>LEFT(TEXT(HQ7,"ddd"),1)</f>
        <v/>
      </c>
      <c r="HR8" s="141">
        <f>LEFT(TEXT(HR7,"ddd"),1)</f>
        <v/>
      </c>
      <c r="HS8" s="141">
        <f>LEFT(TEXT(HS7,"ddd"),1)</f>
        <v/>
      </c>
      <c r="HT8" s="141">
        <f>LEFT(TEXT(HT7,"ddd"),1)</f>
        <v/>
      </c>
      <c r="HU8" s="141">
        <f>LEFT(TEXT(HU7,"ddd"),1)</f>
        <v/>
      </c>
      <c r="HV8" s="141">
        <f>LEFT(TEXT(HV7,"ddd"),1)</f>
        <v/>
      </c>
      <c r="HW8" s="141">
        <f>LEFT(TEXT(HW7,"ddd"),1)</f>
        <v/>
      </c>
      <c r="HX8" s="141">
        <f>LEFT(TEXT(HX7,"ddd"),1)</f>
        <v/>
      </c>
      <c r="HY8" s="141">
        <f>LEFT(TEXT(HY7,"ddd"),1)</f>
        <v/>
      </c>
      <c r="HZ8" s="141">
        <f>LEFT(TEXT(HZ7,"ddd"),1)</f>
        <v/>
      </c>
      <c r="IA8" s="141">
        <f>LEFT(TEXT(IA7,"ddd"),1)</f>
        <v/>
      </c>
      <c r="IB8" s="141">
        <f>LEFT(TEXT(IB7,"ddd"),1)</f>
        <v/>
      </c>
      <c r="IC8" s="141">
        <f>LEFT(TEXT(IC7,"ddd"),1)</f>
        <v/>
      </c>
      <c r="ID8" s="141">
        <f>LEFT(TEXT(ID7,"ddd"),1)</f>
        <v/>
      </c>
      <c r="IE8" s="141">
        <f>LEFT(TEXT(IE7,"ddd"),1)</f>
        <v/>
      </c>
      <c r="IF8" s="141">
        <f>LEFT(TEXT(IF7,"ddd"),1)</f>
        <v/>
      </c>
      <c r="IG8" s="141">
        <f>LEFT(TEXT(IG7,"ddd"),1)</f>
        <v/>
      </c>
      <c r="IH8" s="141">
        <f>LEFT(TEXT(IH7,"ddd"),1)</f>
        <v/>
      </c>
      <c r="II8" s="141">
        <f>LEFT(TEXT(II7,"ddd"),1)</f>
        <v/>
      </c>
      <c r="IJ8" s="141">
        <f>LEFT(TEXT(IJ7,"ddd"),1)</f>
        <v/>
      </c>
      <c r="IK8" s="141">
        <f>LEFT(TEXT(IK7,"ddd"),1)</f>
        <v/>
      </c>
      <c r="IL8" s="141">
        <f>LEFT(TEXT(IL7,"ddd"),1)</f>
        <v/>
      </c>
      <c r="IM8" s="141">
        <f>LEFT(TEXT(IM7,"ddd"),1)</f>
        <v/>
      </c>
      <c r="IN8" s="141">
        <f>LEFT(TEXT(IN7,"ddd"),1)</f>
        <v/>
      </c>
      <c r="IO8" s="141">
        <f>LEFT(TEXT(IO7,"ddd"),1)</f>
        <v/>
      </c>
      <c r="IP8" s="141">
        <f>LEFT(TEXT(IP7,"ddd"),1)</f>
        <v/>
      </c>
      <c r="IQ8" s="141">
        <f>LEFT(TEXT(IQ7,"ddd"),1)</f>
        <v/>
      </c>
      <c r="IR8" s="141">
        <f>LEFT(TEXT(IR7,"ddd"),1)</f>
        <v/>
      </c>
      <c r="IS8" s="141">
        <f>LEFT(TEXT(IS7,"ddd"),1)</f>
        <v/>
      </c>
      <c r="IT8" s="141">
        <f>LEFT(TEXT(IT7,"ddd"),1)</f>
        <v/>
      </c>
      <c r="IU8" s="141">
        <f>LEFT(TEXT(IU7,"ddd"),1)</f>
        <v/>
      </c>
      <c r="IV8" s="141">
        <f>LEFT(TEXT(IV7,"ddd"),1)</f>
        <v/>
      </c>
      <c r="IW8" s="141">
        <f>LEFT(TEXT(IW7,"ddd"),1)</f>
        <v/>
      </c>
      <c r="IX8" s="141">
        <f>LEFT(TEXT(IX7,"ddd"),1)</f>
        <v/>
      </c>
      <c r="IY8" s="141">
        <f>LEFT(TEXT(IY7,"ddd"),1)</f>
        <v/>
      </c>
      <c r="IZ8" s="141">
        <f>LEFT(TEXT(IZ7,"ddd"),1)</f>
        <v/>
      </c>
      <c r="JA8" s="141">
        <f>LEFT(TEXT(JA7,"ddd"),1)</f>
        <v/>
      </c>
      <c r="JB8" s="141">
        <f>LEFT(TEXT(JB7,"ddd"),1)</f>
        <v/>
      </c>
      <c r="JC8" s="141">
        <f>LEFT(TEXT(JC7,"ddd"),1)</f>
        <v/>
      </c>
      <c r="JD8" s="141">
        <f>LEFT(TEXT(JD7,"ddd"),1)</f>
        <v/>
      </c>
      <c r="JE8" s="141">
        <f>LEFT(TEXT(JE7,"ddd"),1)</f>
        <v/>
      </c>
      <c r="JF8" s="141">
        <f>LEFT(TEXT(JF7,"ddd"),1)</f>
        <v/>
      </c>
      <c r="JG8" s="141">
        <f>LEFT(TEXT(JG7,"ddd"),1)</f>
        <v/>
      </c>
      <c r="JH8" s="141">
        <f>LEFT(TEXT(JH7,"ddd"),1)</f>
        <v/>
      </c>
      <c r="JI8" s="141">
        <f>LEFT(TEXT(JI7,"ddd"),1)</f>
        <v/>
      </c>
      <c r="JJ8" s="141">
        <f>LEFT(TEXT(JJ7,"ddd"),1)</f>
        <v/>
      </c>
      <c r="JK8" s="141">
        <f>LEFT(TEXT(JK7,"ddd"),1)</f>
        <v/>
      </c>
      <c r="JL8" s="141">
        <f>LEFT(TEXT(JL7,"ddd"),1)</f>
        <v/>
      </c>
      <c r="JM8" s="141">
        <f>LEFT(TEXT(JM7,"ddd"),1)</f>
        <v/>
      </c>
      <c r="JN8" s="141">
        <f>LEFT(TEXT(JN7,"ddd"),1)</f>
        <v/>
      </c>
      <c r="JO8" s="141">
        <f>LEFT(TEXT(JO7,"ddd"),1)</f>
        <v/>
      </c>
      <c r="JP8" s="141">
        <f>LEFT(TEXT(JP7,"ddd"),1)</f>
        <v/>
      </c>
      <c r="JQ8" s="141">
        <f>LEFT(TEXT(JQ7,"ddd"),1)</f>
        <v/>
      </c>
      <c r="JR8" s="141">
        <f>LEFT(TEXT(JR7,"ddd"),1)</f>
        <v/>
      </c>
      <c r="JS8" s="141">
        <f>LEFT(TEXT(JS7,"ddd"),1)</f>
        <v/>
      </c>
      <c r="JT8" s="141">
        <f>LEFT(TEXT(JT7,"ddd"),1)</f>
        <v/>
      </c>
      <c r="JU8" s="141">
        <f>LEFT(TEXT(JU7,"ddd"),1)</f>
        <v/>
      </c>
      <c r="JV8" s="141">
        <f>LEFT(TEXT(JV7,"ddd"),1)</f>
        <v/>
      </c>
      <c r="JW8" s="141">
        <f>LEFT(TEXT(JW7,"ddd"),1)</f>
        <v/>
      </c>
      <c r="JX8" s="141">
        <f>LEFT(TEXT(JX7,"ddd"),1)</f>
        <v/>
      </c>
      <c r="JY8" s="141">
        <f>LEFT(TEXT(JY7,"ddd"),1)</f>
        <v/>
      </c>
      <c r="JZ8" s="141">
        <f>LEFT(TEXT(JZ7,"ddd"),1)</f>
        <v/>
      </c>
      <c r="KA8" s="141">
        <f>LEFT(TEXT(KA7,"ddd"),1)</f>
        <v/>
      </c>
      <c r="KB8" s="141">
        <f>LEFT(TEXT(KB7,"ddd"),1)</f>
        <v/>
      </c>
      <c r="KC8" s="141">
        <f>LEFT(TEXT(KC7,"ddd"),1)</f>
        <v/>
      </c>
      <c r="KD8" s="141">
        <f>LEFT(TEXT(KD7,"ddd"),1)</f>
        <v/>
      </c>
      <c r="KE8" s="141">
        <f>LEFT(TEXT(KE7,"ddd"),1)</f>
        <v/>
      </c>
      <c r="KF8" s="141">
        <f>LEFT(TEXT(KF7,"ddd"),1)</f>
        <v/>
      </c>
      <c r="KG8" s="141">
        <f>LEFT(TEXT(KG7,"ddd"),1)</f>
        <v/>
      </c>
      <c r="KH8" s="141">
        <f>LEFT(TEXT(KH7,"ddd"),1)</f>
        <v/>
      </c>
      <c r="KI8" s="141">
        <f>LEFT(TEXT(KI7,"ddd"),1)</f>
        <v/>
      </c>
      <c r="KJ8" s="141">
        <f>LEFT(TEXT(KJ7,"ddd"),1)</f>
        <v/>
      </c>
      <c r="KK8" s="141">
        <f>LEFT(TEXT(KK7,"ddd"),1)</f>
        <v/>
      </c>
      <c r="KL8" s="141">
        <f>LEFT(TEXT(KL7,"ddd"),1)</f>
        <v/>
      </c>
      <c r="KM8" s="141">
        <f>LEFT(TEXT(KM7,"ddd"),1)</f>
        <v/>
      </c>
      <c r="KN8" s="141">
        <f>LEFT(TEXT(KN7,"ddd"),1)</f>
        <v/>
      </c>
      <c r="KO8" s="141">
        <f>LEFT(TEXT(KO7,"ddd"),1)</f>
        <v/>
      </c>
      <c r="KP8" s="141">
        <f>LEFT(TEXT(KP7,"ddd"),1)</f>
        <v/>
      </c>
      <c r="KQ8" s="141">
        <f>LEFT(TEXT(KQ7,"ddd"),1)</f>
        <v/>
      </c>
      <c r="KR8" s="141">
        <f>LEFT(TEXT(KR7,"ddd"),1)</f>
        <v/>
      </c>
      <c r="KS8" s="141">
        <f>LEFT(TEXT(KS7,"ddd"),1)</f>
        <v/>
      </c>
      <c r="KT8" s="141">
        <f>LEFT(TEXT(KT7,"ddd"),1)</f>
        <v/>
      </c>
      <c r="KU8" s="141">
        <f>LEFT(TEXT(KU7,"ddd"),1)</f>
        <v/>
      </c>
      <c r="KV8" s="141">
        <f>LEFT(TEXT(KV7,"ddd"),1)</f>
        <v/>
      </c>
      <c r="KW8" s="141">
        <f>LEFT(TEXT(KW7,"ddd"),1)</f>
        <v/>
      </c>
      <c r="KX8" s="141">
        <f>LEFT(TEXT(KX7,"ddd"),1)</f>
        <v/>
      </c>
      <c r="KY8" s="141">
        <f>LEFT(TEXT(KY7,"ddd"),1)</f>
        <v/>
      </c>
      <c r="KZ8" s="141">
        <f>LEFT(TEXT(KZ7,"ddd"),1)</f>
        <v/>
      </c>
      <c r="LA8" s="141">
        <f>LEFT(TEXT(LA7,"ddd"),1)</f>
        <v/>
      </c>
      <c r="LB8" s="141">
        <f>LEFT(TEXT(LB7,"ddd"),1)</f>
        <v/>
      </c>
      <c r="LC8" s="141">
        <f>LEFT(TEXT(LC7,"ddd"),1)</f>
        <v/>
      </c>
      <c r="LD8" s="141">
        <f>LEFT(TEXT(LD7,"ddd"),1)</f>
        <v/>
      </c>
      <c r="LE8" s="141">
        <f>LEFT(TEXT(LE7,"ddd"),1)</f>
        <v/>
      </c>
      <c r="LF8" s="141">
        <f>LEFT(TEXT(LF7,"ddd"),1)</f>
        <v/>
      </c>
      <c r="LG8" s="141">
        <f>LEFT(TEXT(LG7,"ddd"),1)</f>
        <v/>
      </c>
      <c r="LH8" s="141">
        <f>LEFT(TEXT(LH7,"ddd"),1)</f>
        <v/>
      </c>
      <c r="LI8" s="141">
        <f>LEFT(TEXT(LI7,"ddd"),1)</f>
        <v/>
      </c>
      <c r="LJ8" s="141">
        <f>LEFT(TEXT(LJ7,"ddd"),1)</f>
        <v/>
      </c>
      <c r="LK8" s="141">
        <f>LEFT(TEXT(LK7,"ddd"),1)</f>
        <v/>
      </c>
      <c r="LL8" s="141">
        <f>LEFT(TEXT(LL7,"ddd"),1)</f>
        <v/>
      </c>
      <c r="LM8" s="141">
        <f>LEFT(TEXT(LM7,"ddd"),1)</f>
        <v/>
      </c>
      <c r="LN8" s="141">
        <f>LEFT(TEXT(LN7,"ddd"),1)</f>
        <v/>
      </c>
      <c r="LO8" s="141">
        <f>LEFT(TEXT(LO7,"ddd"),1)</f>
        <v/>
      </c>
      <c r="LP8" s="141">
        <f>LEFT(TEXT(LP7,"ddd"),1)</f>
        <v/>
      </c>
      <c r="LQ8" s="141">
        <f>LEFT(TEXT(LQ7,"ddd"),1)</f>
        <v/>
      </c>
      <c r="LR8" s="141">
        <f>LEFT(TEXT(LR7,"ddd"),1)</f>
        <v/>
      </c>
      <c r="LS8" s="141">
        <f>LEFT(TEXT(LS7,"ddd"),1)</f>
        <v/>
      </c>
      <c r="LT8" s="141">
        <f>LEFT(TEXT(LT7,"ddd"),1)</f>
        <v/>
      </c>
      <c r="LU8" s="141">
        <f>LEFT(TEXT(LU7,"ddd"),1)</f>
        <v/>
      </c>
      <c r="LV8" s="141">
        <f>LEFT(TEXT(LV7,"ddd"),1)</f>
        <v/>
      </c>
      <c r="LW8" s="141">
        <f>LEFT(TEXT(LW7,"ddd"),1)</f>
        <v/>
      </c>
      <c r="LX8" s="141">
        <f>LEFT(TEXT(LX7,"ddd"),1)</f>
        <v/>
      </c>
      <c r="LY8" s="141">
        <f>LEFT(TEXT(LY7,"ddd"),1)</f>
        <v/>
      </c>
      <c r="LZ8" s="141">
        <f>LEFT(TEXT(LZ7,"ddd"),1)</f>
        <v/>
      </c>
      <c r="MA8" s="141">
        <f>LEFT(TEXT(MA7,"ddd"),1)</f>
        <v/>
      </c>
      <c r="MB8" s="141">
        <f>LEFT(TEXT(MB7,"ddd"),1)</f>
        <v/>
      </c>
      <c r="MC8" s="141">
        <f>LEFT(TEXT(MC7,"ddd"),1)</f>
        <v/>
      </c>
      <c r="MD8" s="141">
        <f>LEFT(TEXT(MD7,"ddd"),1)</f>
        <v/>
      </c>
      <c r="ME8" s="141">
        <f>LEFT(TEXT(ME7,"ddd"),1)</f>
        <v/>
      </c>
      <c r="MF8" s="141">
        <f>LEFT(TEXT(MF7,"ddd"),1)</f>
        <v/>
      </c>
      <c r="MG8" s="141">
        <f>LEFT(TEXT(MG7,"ddd"),1)</f>
        <v/>
      </c>
      <c r="MH8" s="141">
        <f>LEFT(TEXT(MH7,"ddd"),1)</f>
        <v/>
      </c>
      <c r="MI8" s="141">
        <f>LEFT(TEXT(MI7,"ddd"),1)</f>
        <v/>
      </c>
      <c r="MJ8" s="141">
        <f>LEFT(TEXT(MJ7,"ddd"),1)</f>
        <v/>
      </c>
      <c r="MK8" s="141">
        <f>LEFT(TEXT(MK7,"ddd"),1)</f>
        <v/>
      </c>
      <c r="ML8" s="141">
        <f>LEFT(TEXT(ML7,"ddd"),1)</f>
        <v/>
      </c>
      <c r="MM8" s="141">
        <f>LEFT(TEXT(MM7,"ddd"),1)</f>
        <v/>
      </c>
      <c r="MN8" s="141">
        <f>LEFT(TEXT(MN7,"ddd"),1)</f>
        <v/>
      </c>
      <c r="MO8" s="141">
        <f>LEFT(TEXT(MO7,"ddd"),1)</f>
        <v/>
      </c>
      <c r="MP8" s="141">
        <f>LEFT(TEXT(MP7,"ddd"),1)</f>
        <v/>
      </c>
      <c r="MQ8" s="141">
        <f>LEFT(TEXT(MQ7,"ddd"),1)</f>
        <v/>
      </c>
      <c r="MR8" s="141">
        <f>LEFT(TEXT(MR7,"ddd"),1)</f>
        <v/>
      </c>
      <c r="MS8" s="141">
        <f>LEFT(TEXT(MS7,"ddd"),1)</f>
        <v/>
      </c>
      <c r="MT8" s="141">
        <f>LEFT(TEXT(MT7,"ddd"),1)</f>
        <v/>
      </c>
      <c r="MU8" s="141">
        <f>LEFT(TEXT(MU7,"ddd"),1)</f>
        <v/>
      </c>
      <c r="MV8" s="141">
        <f>LEFT(TEXT(MV7,"ddd"),1)</f>
        <v/>
      </c>
      <c r="MW8" s="141">
        <f>LEFT(TEXT(MW7,"ddd"),1)</f>
        <v/>
      </c>
      <c r="MX8" s="141">
        <f>LEFT(TEXT(MX7,"ddd"),1)</f>
        <v/>
      </c>
      <c r="MY8" s="141">
        <f>LEFT(TEXT(MY7,"ddd"),1)</f>
        <v/>
      </c>
      <c r="MZ8" s="141">
        <f>LEFT(TEXT(MZ7,"ddd"),1)</f>
        <v/>
      </c>
      <c r="NA8" s="141">
        <f>LEFT(TEXT(NA7,"ddd"),1)</f>
        <v/>
      </c>
      <c r="NB8" s="141">
        <f>LEFT(TEXT(NB7,"ddd"),1)</f>
        <v/>
      </c>
      <c r="NC8" s="141">
        <f>LEFT(TEXT(NC7,"ddd"),1)</f>
        <v/>
      </c>
      <c r="ND8" s="141">
        <f>LEFT(TEXT(ND7,"ddd"),1)</f>
        <v/>
      </c>
      <c r="NE8" s="1" t="n"/>
      <c r="NF8" s="1" t="n"/>
      <c r="NG8" s="1" t="n"/>
    </row>
    <row r="9">
      <c r="A9" s="1" t="n"/>
      <c r="B9" s="17" t="inlineStr">
        <is>
          <t>Sleep 7 hours</t>
        </is>
      </c>
      <c r="C9" s="142">
        <f>IF(B9="","",IFERROR(COUNTIF(E9:ND9,"✓")/MAX(1,MIN(364,Setup!$D$7-$E$7+1)),0))</f>
        <v/>
      </c>
      <c r="D9" s="48">
        <f>IF(B9="","",COUNTIF(E9:ND9,"✓"))</f>
        <v/>
      </c>
      <c r="E9" s="143" t="inlineStr">
        <is>
          <t>✓</t>
        </is>
      </c>
      <c r="F9" s="143" t="n"/>
      <c r="G9" s="143" t="n"/>
      <c r="H9" s="143" t="inlineStr">
        <is>
          <t>✓</t>
        </is>
      </c>
      <c r="I9" s="143" t="inlineStr">
        <is>
          <t>✓</t>
        </is>
      </c>
      <c r="J9" s="143" t="n"/>
      <c r="K9" s="143" t="inlineStr">
        <is>
          <t>✓</t>
        </is>
      </c>
      <c r="L9" s="143" t="inlineStr">
        <is>
          <t>✓</t>
        </is>
      </c>
      <c r="M9" s="143" t="n"/>
      <c r="N9" s="143" t="n"/>
      <c r="O9" s="143" t="inlineStr">
        <is>
          <t>✓</t>
        </is>
      </c>
      <c r="P9" s="143" t="inlineStr">
        <is>
          <t>✓</t>
        </is>
      </c>
      <c r="Q9" s="143" t="inlineStr">
        <is>
          <t>✓</t>
        </is>
      </c>
      <c r="R9" s="143" t="n"/>
      <c r="S9" s="143" t="n"/>
      <c r="T9" s="143" t="inlineStr">
        <is>
          <t>✓</t>
        </is>
      </c>
      <c r="U9" s="143" t="n"/>
      <c r="V9" s="143" t="n"/>
      <c r="W9" s="143" t="n"/>
      <c r="X9" s="143" t="n"/>
      <c r="Y9" s="143" t="inlineStr">
        <is>
          <t>✓</t>
        </is>
      </c>
      <c r="Z9" s="143" t="inlineStr">
        <is>
          <t>✓</t>
        </is>
      </c>
      <c r="AA9" s="143" t="inlineStr">
        <is>
          <t>✓</t>
        </is>
      </c>
      <c r="AB9" s="143" t="inlineStr">
        <is>
          <t>✓</t>
        </is>
      </c>
      <c r="AC9" s="143" t="inlineStr">
        <is>
          <t>✓</t>
        </is>
      </c>
      <c r="AD9" s="143" t="inlineStr">
        <is>
          <t>✓</t>
        </is>
      </c>
      <c r="AE9" s="143" t="inlineStr">
        <is>
          <t>✓</t>
        </is>
      </c>
      <c r="AF9" s="143" t="inlineStr">
        <is>
          <t>✓</t>
        </is>
      </c>
      <c r="AG9" s="143" t="inlineStr">
        <is>
          <t>✓</t>
        </is>
      </c>
      <c r="AH9" s="143" t="n"/>
      <c r="AI9" s="143" t="n"/>
      <c r="AJ9" s="143" t="n"/>
      <c r="AK9" s="143" t="n"/>
      <c r="AL9" s="143" t="n"/>
      <c r="AM9" s="143" t="n"/>
      <c r="AN9" s="143" t="n"/>
      <c r="AO9" s="143" t="n"/>
      <c r="AP9" s="143" t="n"/>
      <c r="AQ9" s="143" t="n"/>
      <c r="AR9" s="143" t="n"/>
      <c r="AS9" s="143" t="n"/>
      <c r="AT9" s="143" t="n"/>
      <c r="AU9" s="143" t="n"/>
      <c r="AV9" s="143" t="n"/>
      <c r="AW9" s="143" t="n"/>
      <c r="AX9" s="143" t="n"/>
      <c r="AY9" s="143" t="n"/>
      <c r="AZ9" s="143" t="n"/>
      <c r="BA9" s="143" t="n"/>
      <c r="BB9" s="143" t="n"/>
      <c r="BC9" s="143" t="n"/>
      <c r="BD9" s="143" t="n"/>
      <c r="BE9" s="143" t="n"/>
      <c r="BF9" s="143" t="n"/>
      <c r="BG9" s="143" t="n"/>
      <c r="BH9" s="143" t="n"/>
      <c r="BI9" s="143" t="n"/>
      <c r="BJ9" s="143" t="n"/>
      <c r="BK9" s="143" t="n"/>
      <c r="BL9" s="143" t="n"/>
      <c r="BM9" s="143" t="n"/>
      <c r="BN9" s="143" t="n"/>
      <c r="BO9" s="143" t="n"/>
      <c r="BP9" s="143" t="n"/>
      <c r="BQ9" s="143" t="n"/>
      <c r="BR9" s="143" t="n"/>
      <c r="BS9" s="143" t="n"/>
      <c r="BT9" s="143" t="n"/>
      <c r="BU9" s="143" t="n"/>
      <c r="BV9" s="143" t="n"/>
      <c r="BW9" s="143" t="n"/>
      <c r="BX9" s="143" t="n"/>
      <c r="BY9" s="143" t="n"/>
      <c r="BZ9" s="143" t="n"/>
      <c r="CA9" s="143" t="n"/>
      <c r="CB9" s="143" t="n"/>
      <c r="CC9" s="143" t="n"/>
      <c r="CD9" s="143" t="n"/>
      <c r="CE9" s="143" t="n"/>
      <c r="CF9" s="143" t="n"/>
      <c r="CG9" s="143" t="n"/>
      <c r="CH9" s="143" t="n"/>
      <c r="CI9" s="143" t="n"/>
      <c r="CJ9" s="143" t="n"/>
      <c r="CK9" s="143" t="n"/>
      <c r="CL9" s="143" t="n"/>
      <c r="CM9" s="143" t="n"/>
      <c r="CN9" s="143" t="n"/>
      <c r="CO9" s="143" t="n"/>
      <c r="CP9" s="143" t="n"/>
      <c r="CQ9" s="143" t="n"/>
      <c r="CR9" s="143" t="n"/>
      <c r="CS9" s="143" t="n"/>
      <c r="CT9" s="143" t="n"/>
      <c r="CU9" s="143" t="n"/>
      <c r="CV9" s="143" t="n"/>
      <c r="CW9" s="143" t="n"/>
      <c r="CX9" s="143" t="n"/>
      <c r="CY9" s="143" t="n"/>
      <c r="CZ9" s="143" t="n"/>
      <c r="DA9" s="143" t="n"/>
      <c r="DB9" s="143" t="n"/>
      <c r="DC9" s="143" t="n"/>
      <c r="DD9" s="143" t="n"/>
      <c r="DE9" s="143" t="n"/>
      <c r="DF9" s="143" t="n"/>
      <c r="DG9" s="143" t="n"/>
      <c r="DH9" s="143" t="n"/>
      <c r="DI9" s="143" t="n"/>
      <c r="DJ9" s="143" t="n"/>
      <c r="DK9" s="143" t="n"/>
      <c r="DL9" s="143" t="n"/>
      <c r="DM9" s="143" t="n"/>
      <c r="DN9" s="143" t="n"/>
      <c r="DO9" s="143" t="n"/>
      <c r="DP9" s="143" t="n"/>
      <c r="DQ9" s="143" t="n"/>
      <c r="DR9" s="143" t="n"/>
      <c r="DS9" s="143" t="n"/>
      <c r="DT9" s="143" t="n"/>
      <c r="DU9" s="143" t="n"/>
      <c r="DV9" s="143" t="n"/>
      <c r="DW9" s="143" t="n"/>
      <c r="DX9" s="143" t="n"/>
      <c r="DY9" s="143" t="n"/>
      <c r="DZ9" s="143" t="n"/>
      <c r="EA9" s="143" t="n"/>
      <c r="EB9" s="143" t="n"/>
      <c r="EC9" s="143" t="n"/>
      <c r="ED9" s="143" t="n"/>
      <c r="EE9" s="143" t="n"/>
      <c r="EF9" s="143" t="n"/>
      <c r="EG9" s="143" t="n"/>
      <c r="EH9" s="143" t="n"/>
      <c r="EI9" s="143" t="n"/>
      <c r="EJ9" s="143" t="n"/>
      <c r="EK9" s="143" t="n"/>
      <c r="EL9" s="143" t="n"/>
      <c r="EM9" s="143" t="n"/>
      <c r="EN9" s="143" t="n"/>
      <c r="EO9" s="143" t="n"/>
      <c r="EP9" s="143" t="n"/>
      <c r="EQ9" s="143" t="n"/>
      <c r="ER9" s="143" t="n"/>
      <c r="ES9" s="143" t="n"/>
      <c r="ET9" s="143" t="n"/>
      <c r="EU9" s="143" t="n"/>
      <c r="EV9" s="143" t="n"/>
      <c r="EW9" s="143" t="n"/>
      <c r="EX9" s="143" t="n"/>
      <c r="EY9" s="143" t="n"/>
      <c r="EZ9" s="143" t="n"/>
      <c r="FA9" s="143" t="n"/>
      <c r="FB9" s="143" t="n"/>
      <c r="FC9" s="143" t="n"/>
      <c r="FD9" s="143" t="n"/>
      <c r="FE9" s="143" t="n"/>
      <c r="FF9" s="143" t="n"/>
      <c r="FG9" s="143" t="n"/>
      <c r="FH9" s="143" t="n"/>
      <c r="FI9" s="143" t="n"/>
      <c r="FJ9" s="143" t="n"/>
      <c r="FK9" s="143" t="n"/>
      <c r="FL9" s="143" t="n"/>
      <c r="FM9" s="143" t="n"/>
      <c r="FN9" s="143" t="n"/>
      <c r="FO9" s="143" t="n"/>
      <c r="FP9" s="143" t="n"/>
      <c r="FQ9" s="143" t="n"/>
      <c r="FR9" s="143" t="n"/>
      <c r="FS9" s="143" t="n"/>
      <c r="FT9" s="143" t="n"/>
      <c r="FU9" s="143" t="n"/>
      <c r="FV9" s="143" t="n"/>
      <c r="FW9" s="143" t="n"/>
      <c r="FX9" s="143" t="n"/>
      <c r="FY9" s="143" t="n"/>
      <c r="FZ9" s="143" t="n"/>
      <c r="GA9" s="143" t="n"/>
      <c r="GB9" s="143" t="n"/>
      <c r="GC9" s="143" t="n"/>
      <c r="GD9" s="143" t="n"/>
      <c r="GE9" s="143" t="n"/>
      <c r="GF9" s="143" t="n"/>
      <c r="GG9" s="143" t="n"/>
      <c r="GH9" s="143" t="n"/>
      <c r="GI9" s="143" t="n"/>
      <c r="GJ9" s="143" t="n"/>
      <c r="GK9" s="143" t="n"/>
      <c r="GL9" s="143" t="n"/>
      <c r="GM9" s="143" t="n"/>
      <c r="GN9" s="143" t="n"/>
      <c r="GO9" s="143" t="n"/>
      <c r="GP9" s="143" t="n"/>
      <c r="GQ9" s="143" t="n"/>
      <c r="GR9" s="143" t="n"/>
      <c r="GS9" s="143" t="n"/>
      <c r="GT9" s="143" t="n"/>
      <c r="GU9" s="143" t="n"/>
      <c r="GV9" s="143" t="n"/>
      <c r="GW9" s="143" t="n"/>
      <c r="GX9" s="143" t="n"/>
      <c r="GY9" s="143" t="n"/>
      <c r="GZ9" s="143" t="n"/>
      <c r="HA9" s="143" t="n"/>
      <c r="HB9" s="143" t="n"/>
      <c r="HC9" s="143" t="n"/>
      <c r="HD9" s="143" t="n"/>
      <c r="HE9" s="143" t="n"/>
      <c r="HF9" s="143" t="n"/>
      <c r="HG9" s="143" t="n"/>
      <c r="HH9" s="143" t="n"/>
      <c r="HI9" s="143" t="n"/>
      <c r="HJ9" s="143" t="n"/>
      <c r="HK9" s="143" t="n"/>
      <c r="HL9" s="143" t="n"/>
      <c r="HM9" s="143" t="n"/>
      <c r="HN9" s="143" t="n"/>
      <c r="HO9" s="143" t="n"/>
      <c r="HP9" s="143" t="n"/>
      <c r="HQ9" s="143" t="n"/>
      <c r="HR9" s="143" t="n"/>
      <c r="HS9" s="143" t="n"/>
      <c r="HT9" s="143" t="n"/>
      <c r="HU9" s="143" t="n"/>
      <c r="HV9" s="143" t="n"/>
      <c r="HW9" s="143" t="n"/>
      <c r="HX9" s="143" t="n"/>
      <c r="HY9" s="143" t="n"/>
      <c r="HZ9" s="143" t="n"/>
      <c r="IA9" s="143" t="n"/>
      <c r="IB9" s="143" t="n"/>
      <c r="IC9" s="143" t="n"/>
      <c r="ID9" s="143" t="n"/>
      <c r="IE9" s="143" t="n"/>
      <c r="IF9" s="143" t="n"/>
      <c r="IG9" s="143" t="n"/>
      <c r="IH9" s="143" t="n"/>
      <c r="II9" s="143" t="n"/>
      <c r="IJ9" s="143" t="n"/>
      <c r="IK9" s="143" t="n"/>
      <c r="IL9" s="143" t="n"/>
      <c r="IM9" s="143" t="n"/>
      <c r="IN9" s="143" t="n"/>
      <c r="IO9" s="143" t="n"/>
      <c r="IP9" s="143" t="n"/>
      <c r="IQ9" s="143" t="n"/>
      <c r="IR9" s="143" t="n"/>
      <c r="IS9" s="143" t="n"/>
      <c r="IT9" s="143" t="n"/>
      <c r="IU9" s="143" t="n"/>
      <c r="IV9" s="143" t="n"/>
      <c r="IW9" s="143" t="n"/>
      <c r="IX9" s="143" t="n"/>
      <c r="IY9" s="143" t="n"/>
      <c r="IZ9" s="143" t="n"/>
      <c r="JA9" s="143" t="n"/>
      <c r="JB9" s="143" t="n"/>
      <c r="JC9" s="143" t="n"/>
      <c r="JD9" s="143" t="n"/>
      <c r="JE9" s="143" t="n"/>
      <c r="JF9" s="143" t="n"/>
      <c r="JG9" s="143" t="n"/>
      <c r="JH9" s="143" t="n"/>
      <c r="JI9" s="143" t="n"/>
      <c r="JJ9" s="143" t="n"/>
      <c r="JK9" s="143" t="n"/>
      <c r="JL9" s="143" t="n"/>
      <c r="JM9" s="143" t="n"/>
      <c r="JN9" s="143" t="n"/>
      <c r="JO9" s="143" t="n"/>
      <c r="JP9" s="143" t="n"/>
      <c r="JQ9" s="143" t="n"/>
      <c r="JR9" s="143" t="n"/>
      <c r="JS9" s="143" t="n"/>
      <c r="JT9" s="143" t="n"/>
      <c r="JU9" s="143" t="n"/>
      <c r="JV9" s="143" t="n"/>
      <c r="JW9" s="143" t="n"/>
      <c r="JX9" s="143" t="n"/>
      <c r="JY9" s="143" t="n"/>
      <c r="JZ9" s="143" t="n"/>
      <c r="KA9" s="143" t="n"/>
      <c r="KB9" s="143" t="n"/>
      <c r="KC9" s="143" t="n"/>
      <c r="KD9" s="143" t="n"/>
      <c r="KE9" s="143" t="n"/>
      <c r="KF9" s="143" t="n"/>
      <c r="KG9" s="143" t="n"/>
      <c r="KH9" s="143" t="n"/>
      <c r="KI9" s="143" t="n"/>
      <c r="KJ9" s="143" t="n"/>
      <c r="KK9" s="143" t="n"/>
      <c r="KL9" s="143" t="n"/>
      <c r="KM9" s="143" t="n"/>
      <c r="KN9" s="143" t="n"/>
      <c r="KO9" s="143" t="n"/>
      <c r="KP9" s="143" t="n"/>
      <c r="KQ9" s="143" t="n"/>
      <c r="KR9" s="143" t="n"/>
      <c r="KS9" s="143" t="n"/>
      <c r="KT9" s="143" t="n"/>
      <c r="KU9" s="143" t="n"/>
      <c r="KV9" s="143" t="n"/>
      <c r="KW9" s="143" t="n"/>
      <c r="KX9" s="143" t="n"/>
      <c r="KY9" s="143" t="n"/>
      <c r="KZ9" s="143" t="n"/>
      <c r="LA9" s="143" t="n"/>
      <c r="LB9" s="143" t="n"/>
      <c r="LC9" s="143" t="n"/>
      <c r="LD9" s="143" t="n"/>
      <c r="LE9" s="143" t="n"/>
      <c r="LF9" s="143" t="n"/>
      <c r="LG9" s="143" t="n"/>
      <c r="LH9" s="143" t="n"/>
      <c r="LI9" s="143" t="n"/>
      <c r="LJ9" s="143" t="n"/>
      <c r="LK9" s="143" t="n"/>
      <c r="LL9" s="143" t="n"/>
      <c r="LM9" s="143" t="n"/>
      <c r="LN9" s="143" t="n"/>
      <c r="LO9" s="143" t="n"/>
      <c r="LP9" s="143" t="n"/>
      <c r="LQ9" s="143" t="n"/>
      <c r="LR9" s="143" t="n"/>
      <c r="LS9" s="143" t="n"/>
      <c r="LT9" s="143" t="n"/>
      <c r="LU9" s="143" t="n"/>
      <c r="LV9" s="143" t="n"/>
      <c r="LW9" s="143" t="n"/>
      <c r="LX9" s="143" t="n"/>
      <c r="LY9" s="143" t="n"/>
      <c r="LZ9" s="143" t="n"/>
      <c r="MA9" s="143" t="n"/>
      <c r="MB9" s="143" t="n"/>
      <c r="MC9" s="143" t="n"/>
      <c r="MD9" s="143" t="n"/>
      <c r="ME9" s="143" t="n"/>
      <c r="MF9" s="143" t="n"/>
      <c r="MG9" s="143" t="n"/>
      <c r="MH9" s="143" t="n"/>
      <c r="MI9" s="143" t="n"/>
      <c r="MJ9" s="143" t="n"/>
      <c r="MK9" s="143" t="n"/>
      <c r="ML9" s="143" t="n"/>
      <c r="MM9" s="143" t="n"/>
      <c r="MN9" s="143" t="n"/>
      <c r="MO9" s="143" t="n"/>
      <c r="MP9" s="143" t="n"/>
      <c r="MQ9" s="143" t="n"/>
      <c r="MR9" s="143" t="n"/>
      <c r="MS9" s="143" t="n"/>
      <c r="MT9" s="143" t="n"/>
      <c r="MU9" s="143" t="n"/>
      <c r="MV9" s="143" t="n"/>
      <c r="MW9" s="143" t="n"/>
      <c r="MX9" s="143" t="n"/>
      <c r="MY9" s="143" t="n"/>
      <c r="MZ9" s="143" t="n"/>
      <c r="NA9" s="143" t="n"/>
      <c r="NB9" s="143" t="n"/>
      <c r="NC9" s="143" t="n"/>
      <c r="ND9" s="143" t="n"/>
      <c r="NE9" s="1" t="n"/>
      <c r="NF9" s="1" t="n"/>
      <c r="NG9" s="1" t="n"/>
    </row>
    <row r="10">
      <c r="A10" s="1" t="n"/>
      <c r="B10" s="17" t="inlineStr">
        <is>
          <t>Make up bed</t>
        </is>
      </c>
      <c r="C10" s="142">
        <f>IF(B10="","",IFERROR(COUNTIF(E10:ND10,"✓")/MAX(1,MIN(364,Setup!$D$7-$E$7+1)),0))</f>
        <v/>
      </c>
      <c r="D10" s="48">
        <f>IF(B10="","",COUNTIF(E10:ND10,"✓"))</f>
        <v/>
      </c>
      <c r="E10" s="144" t="n"/>
      <c r="F10" s="144" t="inlineStr">
        <is>
          <t>✓</t>
        </is>
      </c>
      <c r="G10" s="144" t="n"/>
      <c r="H10" s="144" t="inlineStr">
        <is>
          <t>✓</t>
        </is>
      </c>
      <c r="I10" s="144" t="n"/>
      <c r="J10" s="144" t="inlineStr">
        <is>
          <t>✓</t>
        </is>
      </c>
      <c r="K10" s="144" t="inlineStr">
        <is>
          <t>✓</t>
        </is>
      </c>
      <c r="L10" s="144" t="n"/>
      <c r="M10" s="144" t="n"/>
      <c r="N10" s="144" t="n"/>
      <c r="O10" s="144" t="n"/>
      <c r="P10" s="144" t="inlineStr">
        <is>
          <t>✓</t>
        </is>
      </c>
      <c r="Q10" s="144" t="inlineStr">
        <is>
          <t>✓</t>
        </is>
      </c>
      <c r="R10" s="144" t="inlineStr">
        <is>
          <t>✓</t>
        </is>
      </c>
      <c r="S10" s="144" t="inlineStr">
        <is>
          <t>✓</t>
        </is>
      </c>
      <c r="T10" s="144" t="n"/>
      <c r="U10" s="144" t="inlineStr">
        <is>
          <t>✓</t>
        </is>
      </c>
      <c r="V10" s="144" t="n"/>
      <c r="W10" s="144" t="inlineStr">
        <is>
          <t>✓</t>
        </is>
      </c>
      <c r="X10" s="144" t="n"/>
      <c r="Y10" s="144" t="n"/>
      <c r="Z10" s="144" t="inlineStr">
        <is>
          <t>✓</t>
        </is>
      </c>
      <c r="AA10" s="144" t="inlineStr">
        <is>
          <t>✓</t>
        </is>
      </c>
      <c r="AB10" s="144" t="n"/>
      <c r="AC10" s="144" t="inlineStr">
        <is>
          <t>✓</t>
        </is>
      </c>
      <c r="AD10" s="144" t="n"/>
      <c r="AE10" s="144" t="inlineStr">
        <is>
          <t>✓</t>
        </is>
      </c>
      <c r="AF10" s="144" t="inlineStr">
        <is>
          <t>✓</t>
        </is>
      </c>
      <c r="AG10" s="144" t="n"/>
      <c r="AH10" s="144" t="n"/>
      <c r="AI10" s="144" t="n"/>
      <c r="AJ10" s="144" t="n"/>
      <c r="AK10" s="144" t="n"/>
      <c r="AL10" s="144" t="n"/>
      <c r="AM10" s="144" t="n"/>
      <c r="AN10" s="144" t="n"/>
      <c r="AO10" s="144" t="n"/>
      <c r="AP10" s="144" t="n"/>
      <c r="AQ10" s="144" t="n"/>
      <c r="AR10" s="144" t="n"/>
      <c r="AS10" s="144" t="n"/>
      <c r="AT10" s="144" t="n"/>
      <c r="AU10" s="144" t="n"/>
      <c r="AV10" s="144" t="n"/>
      <c r="AW10" s="144" t="n"/>
      <c r="AX10" s="144" t="n"/>
      <c r="AY10" s="144" t="n"/>
      <c r="AZ10" s="144" t="n"/>
      <c r="BA10" s="144" t="n"/>
      <c r="BB10" s="144" t="n"/>
      <c r="BC10" s="144" t="n"/>
      <c r="BD10" s="144" t="n"/>
      <c r="BE10" s="144" t="n"/>
      <c r="BF10" s="144" t="n"/>
      <c r="BG10" s="144" t="n"/>
      <c r="BH10" s="144" t="n"/>
      <c r="BI10" s="144" t="n"/>
      <c r="BJ10" s="144" t="n"/>
      <c r="BK10" s="144" t="n"/>
      <c r="BL10" s="144" t="n"/>
      <c r="BM10" s="144" t="n"/>
      <c r="BN10" s="144" t="n"/>
      <c r="BO10" s="144" t="n"/>
      <c r="BP10" s="144" t="n"/>
      <c r="BQ10" s="144" t="n"/>
      <c r="BR10" s="144" t="n"/>
      <c r="BS10" s="144" t="n"/>
      <c r="BT10" s="144" t="n"/>
      <c r="BU10" s="144" t="n"/>
      <c r="BV10" s="144" t="n"/>
      <c r="BW10" s="144" t="n"/>
      <c r="BX10" s="144" t="n"/>
      <c r="BY10" s="144" t="n"/>
      <c r="BZ10" s="144" t="n"/>
      <c r="CA10" s="144" t="n"/>
      <c r="CB10" s="144" t="n"/>
      <c r="CC10" s="144" t="n"/>
      <c r="CD10" s="144" t="n"/>
      <c r="CE10" s="144" t="n"/>
      <c r="CF10" s="144" t="n"/>
      <c r="CG10" s="144" t="n"/>
      <c r="CH10" s="144" t="n"/>
      <c r="CI10" s="144" t="n"/>
      <c r="CJ10" s="144" t="n"/>
      <c r="CK10" s="144" t="n"/>
      <c r="CL10" s="144" t="n"/>
      <c r="CM10" s="144" t="n"/>
      <c r="CN10" s="144" t="n"/>
      <c r="CO10" s="144" t="n"/>
      <c r="CP10" s="144" t="n"/>
      <c r="CQ10" s="144" t="n"/>
      <c r="CR10" s="144" t="n"/>
      <c r="CS10" s="144" t="n"/>
      <c r="CT10" s="144" t="n"/>
      <c r="CU10" s="144" t="n"/>
      <c r="CV10" s="144" t="n"/>
      <c r="CW10" s="144" t="n"/>
      <c r="CX10" s="144" t="n"/>
      <c r="CY10" s="144" t="n"/>
      <c r="CZ10" s="144" t="n"/>
      <c r="DA10" s="144" t="n"/>
      <c r="DB10" s="144" t="n"/>
      <c r="DC10" s="144" t="n"/>
      <c r="DD10" s="144" t="n"/>
      <c r="DE10" s="144" t="n"/>
      <c r="DF10" s="144" t="n"/>
      <c r="DG10" s="144" t="n"/>
      <c r="DH10" s="144" t="n"/>
      <c r="DI10" s="144" t="n"/>
      <c r="DJ10" s="144" t="n"/>
      <c r="DK10" s="144" t="n"/>
      <c r="DL10" s="144" t="n"/>
      <c r="DM10" s="144" t="n"/>
      <c r="DN10" s="144" t="n"/>
      <c r="DO10" s="144" t="n"/>
      <c r="DP10" s="144" t="n"/>
      <c r="DQ10" s="144" t="n"/>
      <c r="DR10" s="144" t="n"/>
      <c r="DS10" s="144" t="n"/>
      <c r="DT10" s="144" t="n"/>
      <c r="DU10" s="144" t="n"/>
      <c r="DV10" s="144" t="n"/>
      <c r="DW10" s="144" t="n"/>
      <c r="DX10" s="144" t="n"/>
      <c r="DY10" s="144" t="n"/>
      <c r="DZ10" s="144" t="n"/>
      <c r="EA10" s="144" t="n"/>
      <c r="EB10" s="144" t="n"/>
      <c r="EC10" s="144" t="n"/>
      <c r="ED10" s="144" t="n"/>
      <c r="EE10" s="144" t="n"/>
      <c r="EF10" s="144" t="n"/>
      <c r="EG10" s="144" t="n"/>
      <c r="EH10" s="144" t="n"/>
      <c r="EI10" s="144" t="n"/>
      <c r="EJ10" s="144" t="n"/>
      <c r="EK10" s="144" t="n"/>
      <c r="EL10" s="144" t="n"/>
      <c r="EM10" s="144" t="n"/>
      <c r="EN10" s="144" t="n"/>
      <c r="EO10" s="144" t="n"/>
      <c r="EP10" s="144" t="n"/>
      <c r="EQ10" s="144" t="n"/>
      <c r="ER10" s="144" t="n"/>
      <c r="ES10" s="144" t="n"/>
      <c r="ET10" s="144" t="n"/>
      <c r="EU10" s="144" t="n"/>
      <c r="EV10" s="144" t="n"/>
      <c r="EW10" s="144" t="n"/>
      <c r="EX10" s="144" t="n"/>
      <c r="EY10" s="144" t="n"/>
      <c r="EZ10" s="144" t="n"/>
      <c r="FA10" s="144" t="n"/>
      <c r="FB10" s="144" t="n"/>
      <c r="FC10" s="144" t="n"/>
      <c r="FD10" s="144" t="n"/>
      <c r="FE10" s="144" t="n"/>
      <c r="FF10" s="144" t="n"/>
      <c r="FG10" s="144" t="n"/>
      <c r="FH10" s="144" t="n"/>
      <c r="FI10" s="144" t="n"/>
      <c r="FJ10" s="144" t="n"/>
      <c r="FK10" s="144" t="n"/>
      <c r="FL10" s="144" t="n"/>
      <c r="FM10" s="144" t="n"/>
      <c r="FN10" s="144" t="n"/>
      <c r="FO10" s="144" t="n"/>
      <c r="FP10" s="144" t="n"/>
      <c r="FQ10" s="144" t="n"/>
      <c r="FR10" s="144" t="n"/>
      <c r="FS10" s="144" t="n"/>
      <c r="FT10" s="144" t="n"/>
      <c r="FU10" s="144" t="n"/>
      <c r="FV10" s="144" t="n"/>
      <c r="FW10" s="144" t="n"/>
      <c r="FX10" s="144" t="n"/>
      <c r="FY10" s="144" t="n"/>
      <c r="FZ10" s="144" t="n"/>
      <c r="GA10" s="144" t="n"/>
      <c r="GB10" s="144" t="n"/>
      <c r="GC10" s="144" t="n"/>
      <c r="GD10" s="144" t="n"/>
      <c r="GE10" s="144" t="n"/>
      <c r="GF10" s="144" t="n"/>
      <c r="GG10" s="144" t="n"/>
      <c r="GH10" s="144" t="n"/>
      <c r="GI10" s="144" t="n"/>
      <c r="GJ10" s="144" t="n"/>
      <c r="GK10" s="144" t="n"/>
      <c r="GL10" s="144" t="n"/>
      <c r="GM10" s="144" t="n"/>
      <c r="GN10" s="144" t="n"/>
      <c r="GO10" s="144" t="n"/>
      <c r="GP10" s="144" t="n"/>
      <c r="GQ10" s="144" t="n"/>
      <c r="GR10" s="144" t="n"/>
      <c r="GS10" s="144" t="n"/>
      <c r="GT10" s="144" t="n"/>
      <c r="GU10" s="144" t="n"/>
      <c r="GV10" s="144" t="n"/>
      <c r="GW10" s="144" t="n"/>
      <c r="GX10" s="144" t="n"/>
      <c r="GY10" s="144" t="n"/>
      <c r="GZ10" s="144" t="n"/>
      <c r="HA10" s="144" t="n"/>
      <c r="HB10" s="144" t="n"/>
      <c r="HC10" s="144" t="n"/>
      <c r="HD10" s="144" t="n"/>
      <c r="HE10" s="144" t="n"/>
      <c r="HF10" s="144" t="n"/>
      <c r="HG10" s="144" t="n"/>
      <c r="HH10" s="144" t="n"/>
      <c r="HI10" s="144" t="n"/>
      <c r="HJ10" s="144" t="n"/>
      <c r="HK10" s="144" t="n"/>
      <c r="HL10" s="144" t="n"/>
      <c r="HM10" s="144" t="n"/>
      <c r="HN10" s="144" t="n"/>
      <c r="HO10" s="144" t="n"/>
      <c r="HP10" s="144" t="n"/>
      <c r="HQ10" s="144" t="n"/>
      <c r="HR10" s="144" t="n"/>
      <c r="HS10" s="144" t="n"/>
      <c r="HT10" s="144" t="n"/>
      <c r="HU10" s="144" t="n"/>
      <c r="HV10" s="144" t="n"/>
      <c r="HW10" s="144" t="n"/>
      <c r="HX10" s="144" t="n"/>
      <c r="HY10" s="144" t="n"/>
      <c r="HZ10" s="144" t="n"/>
      <c r="IA10" s="144" t="n"/>
      <c r="IB10" s="144" t="n"/>
      <c r="IC10" s="144" t="n"/>
      <c r="ID10" s="144" t="n"/>
      <c r="IE10" s="144" t="n"/>
      <c r="IF10" s="144" t="n"/>
      <c r="IG10" s="144" t="n"/>
      <c r="IH10" s="144" t="n"/>
      <c r="II10" s="144" t="n"/>
      <c r="IJ10" s="144" t="n"/>
      <c r="IK10" s="144" t="n"/>
      <c r="IL10" s="144" t="n"/>
      <c r="IM10" s="144" t="n"/>
      <c r="IN10" s="144" t="n"/>
      <c r="IO10" s="144" t="n"/>
      <c r="IP10" s="144" t="n"/>
      <c r="IQ10" s="144" t="n"/>
      <c r="IR10" s="144" t="n"/>
      <c r="IS10" s="144" t="n"/>
      <c r="IT10" s="144" t="n"/>
      <c r="IU10" s="144" t="n"/>
      <c r="IV10" s="144" t="n"/>
      <c r="IW10" s="144" t="n"/>
      <c r="IX10" s="144" t="n"/>
      <c r="IY10" s="144" t="n"/>
      <c r="IZ10" s="144" t="n"/>
      <c r="JA10" s="144" t="n"/>
      <c r="JB10" s="144" t="n"/>
      <c r="JC10" s="144" t="n"/>
      <c r="JD10" s="144" t="n"/>
      <c r="JE10" s="144" t="n"/>
      <c r="JF10" s="144" t="n"/>
      <c r="JG10" s="144" t="n"/>
      <c r="JH10" s="144" t="n"/>
      <c r="JI10" s="144" t="n"/>
      <c r="JJ10" s="144" t="n"/>
      <c r="JK10" s="144" t="n"/>
      <c r="JL10" s="144" t="n"/>
      <c r="JM10" s="144" t="n"/>
      <c r="JN10" s="144" t="n"/>
      <c r="JO10" s="144" t="n"/>
      <c r="JP10" s="144" t="n"/>
      <c r="JQ10" s="144" t="n"/>
      <c r="JR10" s="144" t="n"/>
      <c r="JS10" s="144" t="n"/>
      <c r="JT10" s="144" t="n"/>
      <c r="JU10" s="144" t="n"/>
      <c r="JV10" s="144" t="n"/>
      <c r="JW10" s="144" t="n"/>
      <c r="JX10" s="144" t="n"/>
      <c r="JY10" s="144" t="n"/>
      <c r="JZ10" s="144" t="n"/>
      <c r="KA10" s="144" t="n"/>
      <c r="KB10" s="144" t="n"/>
      <c r="KC10" s="144" t="n"/>
      <c r="KD10" s="144" t="n"/>
      <c r="KE10" s="144" t="n"/>
      <c r="KF10" s="144" t="n"/>
      <c r="KG10" s="144" t="n"/>
      <c r="KH10" s="144" t="n"/>
      <c r="KI10" s="144" t="n"/>
      <c r="KJ10" s="144" t="n"/>
      <c r="KK10" s="144" t="n"/>
      <c r="KL10" s="144" t="n"/>
      <c r="KM10" s="144" t="n"/>
      <c r="KN10" s="144" t="n"/>
      <c r="KO10" s="144" t="n"/>
      <c r="KP10" s="144" t="n"/>
      <c r="KQ10" s="144" t="n"/>
      <c r="KR10" s="144" t="n"/>
      <c r="KS10" s="144" t="n"/>
      <c r="KT10" s="144" t="n"/>
      <c r="KU10" s="144" t="n"/>
      <c r="KV10" s="144" t="n"/>
      <c r="KW10" s="144" t="n"/>
      <c r="KX10" s="144" t="n"/>
      <c r="KY10" s="144" t="n"/>
      <c r="KZ10" s="144" t="n"/>
      <c r="LA10" s="144" t="n"/>
      <c r="LB10" s="144" t="n"/>
      <c r="LC10" s="144" t="n"/>
      <c r="LD10" s="144" t="n"/>
      <c r="LE10" s="144" t="n"/>
      <c r="LF10" s="144" t="n"/>
      <c r="LG10" s="144" t="n"/>
      <c r="LH10" s="144" t="n"/>
      <c r="LI10" s="144" t="n"/>
      <c r="LJ10" s="144" t="n"/>
      <c r="LK10" s="144" t="n"/>
      <c r="LL10" s="144" t="n"/>
      <c r="LM10" s="144" t="n"/>
      <c r="LN10" s="144" t="n"/>
      <c r="LO10" s="144" t="n"/>
      <c r="LP10" s="144" t="n"/>
      <c r="LQ10" s="144" t="n"/>
      <c r="LR10" s="144" t="n"/>
      <c r="LS10" s="144" t="n"/>
      <c r="LT10" s="144" t="n"/>
      <c r="LU10" s="144" t="n"/>
      <c r="LV10" s="144" t="n"/>
      <c r="LW10" s="144" t="n"/>
      <c r="LX10" s="144" t="n"/>
      <c r="LY10" s="144" t="n"/>
      <c r="LZ10" s="144" t="n"/>
      <c r="MA10" s="144" t="n"/>
      <c r="MB10" s="144" t="n"/>
      <c r="MC10" s="144" t="n"/>
      <c r="MD10" s="144" t="n"/>
      <c r="ME10" s="144" t="n"/>
      <c r="MF10" s="144" t="n"/>
      <c r="MG10" s="144" t="n"/>
      <c r="MH10" s="144" t="n"/>
      <c r="MI10" s="144" t="n"/>
      <c r="MJ10" s="144" t="n"/>
      <c r="MK10" s="144" t="n"/>
      <c r="ML10" s="144" t="n"/>
      <c r="MM10" s="144" t="n"/>
      <c r="MN10" s="144" t="n"/>
      <c r="MO10" s="144" t="n"/>
      <c r="MP10" s="144" t="n"/>
      <c r="MQ10" s="144" t="n"/>
      <c r="MR10" s="144" t="n"/>
      <c r="MS10" s="144" t="n"/>
      <c r="MT10" s="144" t="n"/>
      <c r="MU10" s="144" t="n"/>
      <c r="MV10" s="144" t="n"/>
      <c r="MW10" s="144" t="n"/>
      <c r="MX10" s="144" t="n"/>
      <c r="MY10" s="144" t="n"/>
      <c r="MZ10" s="144" t="n"/>
      <c r="NA10" s="144" t="n"/>
      <c r="NB10" s="144" t="n"/>
      <c r="NC10" s="144" t="n"/>
      <c r="ND10" s="144" t="n"/>
      <c r="NE10" s="1" t="n"/>
      <c r="NF10" s="1" t="n"/>
      <c r="NG10" s="1" t="n"/>
    </row>
    <row r="11">
      <c r="A11" s="1" t="n"/>
      <c r="B11" s="17" t="inlineStr">
        <is>
          <t>10 min Meditation</t>
        </is>
      </c>
      <c r="C11" s="142">
        <f>IF(B11="","",IFERROR(COUNTIF(E11:ND11,"✓")/MAX(1,MIN(364,Setup!$D$7-$E$7+1)),0))</f>
        <v/>
      </c>
      <c r="D11" s="48">
        <f>IF(B11="","",COUNTIF(E11:ND11,"✓"))</f>
        <v/>
      </c>
      <c r="E11" s="143" t="n"/>
      <c r="F11" s="143" t="inlineStr">
        <is>
          <t>✓</t>
        </is>
      </c>
      <c r="G11" s="143" t="inlineStr">
        <is>
          <t>✓</t>
        </is>
      </c>
      <c r="H11" s="143" t="inlineStr">
        <is>
          <t>✓</t>
        </is>
      </c>
      <c r="I11" s="143" t="n"/>
      <c r="J11" s="143" t="n"/>
      <c r="K11" s="143" t="inlineStr">
        <is>
          <t>✓</t>
        </is>
      </c>
      <c r="L11" s="143" t="inlineStr">
        <is>
          <t>✓</t>
        </is>
      </c>
      <c r="M11" s="143" t="inlineStr">
        <is>
          <t>✓</t>
        </is>
      </c>
      <c r="N11" s="143" t="inlineStr">
        <is>
          <t>✓</t>
        </is>
      </c>
      <c r="O11" s="143" t="n"/>
      <c r="P11" s="143" t="inlineStr">
        <is>
          <t>✓</t>
        </is>
      </c>
      <c r="Q11" s="143" t="inlineStr">
        <is>
          <t>✓</t>
        </is>
      </c>
      <c r="R11" s="143" t="inlineStr">
        <is>
          <t>✓</t>
        </is>
      </c>
      <c r="S11" s="143" t="inlineStr">
        <is>
          <t>✓</t>
        </is>
      </c>
      <c r="T11" s="143" t="n"/>
      <c r="U11" s="143" t="inlineStr">
        <is>
          <t>✓</t>
        </is>
      </c>
      <c r="V11" s="143" t="n"/>
      <c r="W11" s="143" t="inlineStr">
        <is>
          <t>✓</t>
        </is>
      </c>
      <c r="X11" s="143" t="inlineStr">
        <is>
          <t>✓</t>
        </is>
      </c>
      <c r="Y11" s="143" t="inlineStr">
        <is>
          <t>✓</t>
        </is>
      </c>
      <c r="Z11" s="143" t="inlineStr">
        <is>
          <t>✓</t>
        </is>
      </c>
      <c r="AA11" s="143" t="n"/>
      <c r="AB11" s="143" t="n"/>
      <c r="AC11" s="143" t="inlineStr">
        <is>
          <t>✓</t>
        </is>
      </c>
      <c r="AD11" s="143" t="n"/>
      <c r="AE11" s="143" t="inlineStr">
        <is>
          <t>✓</t>
        </is>
      </c>
      <c r="AF11" s="143" t="inlineStr">
        <is>
          <t>✓</t>
        </is>
      </c>
      <c r="AG11" s="143" t="n"/>
      <c r="AH11" s="143" t="n"/>
      <c r="AI11" s="143" t="n"/>
      <c r="AJ11" s="143" t="n"/>
      <c r="AK11" s="143" t="n"/>
      <c r="AL11" s="143" t="n"/>
      <c r="AM11" s="143" t="n"/>
      <c r="AN11" s="143" t="n"/>
      <c r="AO11" s="143" t="n"/>
      <c r="AP11" s="143" t="n"/>
      <c r="AQ11" s="143" t="n"/>
      <c r="AR11" s="143" t="n"/>
      <c r="AS11" s="143" t="n"/>
      <c r="AT11" s="143" t="n"/>
      <c r="AU11" s="143" t="n"/>
      <c r="AV11" s="143" t="n"/>
      <c r="AW11" s="143" t="n"/>
      <c r="AX11" s="143" t="n"/>
      <c r="AY11" s="143" t="n"/>
      <c r="AZ11" s="143" t="n"/>
      <c r="BA11" s="143" t="n"/>
      <c r="BB11" s="143" t="n"/>
      <c r="BC11" s="143" t="n"/>
      <c r="BD11" s="143" t="n"/>
      <c r="BE11" s="143" t="n"/>
      <c r="BF11" s="143" t="n"/>
      <c r="BG11" s="143" t="n"/>
      <c r="BH11" s="143" t="n"/>
      <c r="BI11" s="143" t="n"/>
      <c r="BJ11" s="143" t="n"/>
      <c r="BK11" s="143" t="n"/>
      <c r="BL11" s="143" t="n"/>
      <c r="BM11" s="143" t="n"/>
      <c r="BN11" s="143" t="n"/>
      <c r="BO11" s="143" t="n"/>
      <c r="BP11" s="143" t="n"/>
      <c r="BQ11" s="143" t="n"/>
      <c r="BR11" s="143" t="n"/>
      <c r="BS11" s="143" t="n"/>
      <c r="BT11" s="143" t="n"/>
      <c r="BU11" s="143" t="n"/>
      <c r="BV11" s="143" t="n"/>
      <c r="BW11" s="143" t="n"/>
      <c r="BX11" s="143" t="n"/>
      <c r="BY11" s="143" t="n"/>
      <c r="BZ11" s="143" t="n"/>
      <c r="CA11" s="143" t="n"/>
      <c r="CB11" s="143" t="n"/>
      <c r="CC11" s="143" t="n"/>
      <c r="CD11" s="143" t="n"/>
      <c r="CE11" s="143" t="n"/>
      <c r="CF11" s="143" t="n"/>
      <c r="CG11" s="143" t="n"/>
      <c r="CH11" s="143" t="n"/>
      <c r="CI11" s="143" t="n"/>
      <c r="CJ11" s="143" t="n"/>
      <c r="CK11" s="143" t="n"/>
      <c r="CL11" s="143" t="n"/>
      <c r="CM11" s="143" t="n"/>
      <c r="CN11" s="143" t="n"/>
      <c r="CO11" s="143" t="n"/>
      <c r="CP11" s="143" t="n"/>
      <c r="CQ11" s="143" t="n"/>
      <c r="CR11" s="143" t="n"/>
      <c r="CS11" s="143" t="n"/>
      <c r="CT11" s="143" t="n"/>
      <c r="CU11" s="143" t="n"/>
      <c r="CV11" s="143" t="n"/>
      <c r="CW11" s="143" t="n"/>
      <c r="CX11" s="143" t="n"/>
      <c r="CY11" s="143" t="n"/>
      <c r="CZ11" s="143" t="n"/>
      <c r="DA11" s="143" t="n"/>
      <c r="DB11" s="143" t="n"/>
      <c r="DC11" s="143" t="n"/>
      <c r="DD11" s="143" t="n"/>
      <c r="DE11" s="143" t="n"/>
      <c r="DF11" s="143" t="n"/>
      <c r="DG11" s="143" t="n"/>
      <c r="DH11" s="143" t="n"/>
      <c r="DI11" s="143" t="n"/>
      <c r="DJ11" s="143" t="n"/>
      <c r="DK11" s="143" t="n"/>
      <c r="DL11" s="143" t="n"/>
      <c r="DM11" s="143" t="n"/>
      <c r="DN11" s="143" t="n"/>
      <c r="DO11" s="143" t="n"/>
      <c r="DP11" s="143" t="n"/>
      <c r="DQ11" s="143" t="n"/>
      <c r="DR11" s="143" t="n"/>
      <c r="DS11" s="143" t="n"/>
      <c r="DT11" s="143" t="n"/>
      <c r="DU11" s="143" t="n"/>
      <c r="DV11" s="143" t="n"/>
      <c r="DW11" s="143" t="n"/>
      <c r="DX11" s="143" t="n"/>
      <c r="DY11" s="143" t="n"/>
      <c r="DZ11" s="143" t="n"/>
      <c r="EA11" s="143" t="n"/>
      <c r="EB11" s="143" t="n"/>
      <c r="EC11" s="143" t="n"/>
      <c r="ED11" s="143" t="n"/>
      <c r="EE11" s="143" t="n"/>
      <c r="EF11" s="143" t="n"/>
      <c r="EG11" s="143" t="n"/>
      <c r="EH11" s="143" t="n"/>
      <c r="EI11" s="143" t="n"/>
      <c r="EJ11" s="143" t="n"/>
      <c r="EK11" s="143" t="n"/>
      <c r="EL11" s="143" t="n"/>
      <c r="EM11" s="143" t="n"/>
      <c r="EN11" s="143" t="n"/>
      <c r="EO11" s="143" t="n"/>
      <c r="EP11" s="143" t="n"/>
      <c r="EQ11" s="143" t="n"/>
      <c r="ER11" s="143" t="n"/>
      <c r="ES11" s="143" t="n"/>
      <c r="ET11" s="143" t="n"/>
      <c r="EU11" s="143" t="n"/>
      <c r="EV11" s="143" t="n"/>
      <c r="EW11" s="143" t="n"/>
      <c r="EX11" s="143" t="n"/>
      <c r="EY11" s="143" t="n"/>
      <c r="EZ11" s="143" t="n"/>
      <c r="FA11" s="143" t="n"/>
      <c r="FB11" s="143" t="n"/>
      <c r="FC11" s="143" t="n"/>
      <c r="FD11" s="143" t="n"/>
      <c r="FE11" s="143" t="n"/>
      <c r="FF11" s="143" t="n"/>
      <c r="FG11" s="143" t="n"/>
      <c r="FH11" s="143" t="n"/>
      <c r="FI11" s="143" t="n"/>
      <c r="FJ11" s="143" t="n"/>
      <c r="FK11" s="143" t="n"/>
      <c r="FL11" s="143" t="n"/>
      <c r="FM11" s="143" t="n"/>
      <c r="FN11" s="143" t="n"/>
      <c r="FO11" s="143" t="n"/>
      <c r="FP11" s="143" t="n"/>
      <c r="FQ11" s="143" t="n"/>
      <c r="FR11" s="143" t="n"/>
      <c r="FS11" s="143" t="n"/>
      <c r="FT11" s="143" t="n"/>
      <c r="FU11" s="143" t="n"/>
      <c r="FV11" s="143" t="n"/>
      <c r="FW11" s="143" t="n"/>
      <c r="FX11" s="143" t="n"/>
      <c r="FY11" s="143" t="n"/>
      <c r="FZ11" s="143" t="n"/>
      <c r="GA11" s="143" t="n"/>
      <c r="GB11" s="143" t="n"/>
      <c r="GC11" s="143" t="n"/>
      <c r="GD11" s="143" t="n"/>
      <c r="GE11" s="143" t="n"/>
      <c r="GF11" s="143" t="n"/>
      <c r="GG11" s="143" t="n"/>
      <c r="GH11" s="143" t="n"/>
      <c r="GI11" s="143" t="n"/>
      <c r="GJ11" s="143" t="n"/>
      <c r="GK11" s="143" t="n"/>
      <c r="GL11" s="143" t="n"/>
      <c r="GM11" s="143" t="n"/>
      <c r="GN11" s="143" t="n"/>
      <c r="GO11" s="143" t="n"/>
      <c r="GP11" s="143" t="n"/>
      <c r="GQ11" s="143" t="n"/>
      <c r="GR11" s="143" t="n"/>
      <c r="GS11" s="143" t="n"/>
      <c r="GT11" s="143" t="n"/>
      <c r="GU11" s="143" t="n"/>
      <c r="GV11" s="143" t="n"/>
      <c r="GW11" s="143" t="n"/>
      <c r="GX11" s="143" t="n"/>
      <c r="GY11" s="143" t="n"/>
      <c r="GZ11" s="143" t="n"/>
      <c r="HA11" s="143" t="n"/>
      <c r="HB11" s="143" t="n"/>
      <c r="HC11" s="143" t="n"/>
      <c r="HD11" s="143" t="n"/>
      <c r="HE11" s="143" t="n"/>
      <c r="HF11" s="143" t="n"/>
      <c r="HG11" s="143" t="n"/>
      <c r="HH11" s="143" t="n"/>
      <c r="HI11" s="143" t="n"/>
      <c r="HJ11" s="143" t="n"/>
      <c r="HK11" s="143" t="n"/>
      <c r="HL11" s="143" t="n"/>
      <c r="HM11" s="143" t="n"/>
      <c r="HN11" s="143" t="n"/>
      <c r="HO11" s="143" t="n"/>
      <c r="HP11" s="143" t="n"/>
      <c r="HQ11" s="143" t="n"/>
      <c r="HR11" s="143" t="n"/>
      <c r="HS11" s="143" t="n"/>
      <c r="HT11" s="143" t="n"/>
      <c r="HU11" s="143" t="n"/>
      <c r="HV11" s="143" t="n"/>
      <c r="HW11" s="143" t="n"/>
      <c r="HX11" s="143" t="n"/>
      <c r="HY11" s="143" t="n"/>
      <c r="HZ11" s="143" t="n"/>
      <c r="IA11" s="143" t="n"/>
      <c r="IB11" s="143" t="n"/>
      <c r="IC11" s="143" t="n"/>
      <c r="ID11" s="143" t="n"/>
      <c r="IE11" s="143" t="n"/>
      <c r="IF11" s="143" t="n"/>
      <c r="IG11" s="143" t="n"/>
      <c r="IH11" s="143" t="n"/>
      <c r="II11" s="143" t="n"/>
      <c r="IJ11" s="143" t="n"/>
      <c r="IK11" s="143" t="n"/>
      <c r="IL11" s="143" t="n"/>
      <c r="IM11" s="143" t="n"/>
      <c r="IN11" s="143" t="n"/>
      <c r="IO11" s="143" t="n"/>
      <c r="IP11" s="143" t="n"/>
      <c r="IQ11" s="143" t="n"/>
      <c r="IR11" s="143" t="n"/>
      <c r="IS11" s="143" t="n"/>
      <c r="IT11" s="143" t="n"/>
      <c r="IU11" s="143" t="n"/>
      <c r="IV11" s="143" t="n"/>
      <c r="IW11" s="143" t="n"/>
      <c r="IX11" s="143" t="n"/>
      <c r="IY11" s="143" t="n"/>
      <c r="IZ11" s="143" t="n"/>
      <c r="JA11" s="143" t="n"/>
      <c r="JB11" s="143" t="n"/>
      <c r="JC11" s="143" t="n"/>
      <c r="JD11" s="143" t="n"/>
      <c r="JE11" s="143" t="n"/>
      <c r="JF11" s="143" t="n"/>
      <c r="JG11" s="143" t="n"/>
      <c r="JH11" s="143" t="n"/>
      <c r="JI11" s="143" t="n"/>
      <c r="JJ11" s="143" t="n"/>
      <c r="JK11" s="143" t="n"/>
      <c r="JL11" s="143" t="n"/>
      <c r="JM11" s="143" t="n"/>
      <c r="JN11" s="143" t="n"/>
      <c r="JO11" s="143" t="n"/>
      <c r="JP11" s="143" t="n"/>
      <c r="JQ11" s="143" t="n"/>
      <c r="JR11" s="143" t="n"/>
      <c r="JS11" s="143" t="n"/>
      <c r="JT11" s="143" t="n"/>
      <c r="JU11" s="143" t="n"/>
      <c r="JV11" s="143" t="n"/>
      <c r="JW11" s="143" t="n"/>
      <c r="JX11" s="143" t="n"/>
      <c r="JY11" s="143" t="n"/>
      <c r="JZ11" s="143" t="n"/>
      <c r="KA11" s="143" t="n"/>
      <c r="KB11" s="143" t="n"/>
      <c r="KC11" s="143" t="n"/>
      <c r="KD11" s="143" t="n"/>
      <c r="KE11" s="143" t="n"/>
      <c r="KF11" s="143" t="n"/>
      <c r="KG11" s="143" t="n"/>
      <c r="KH11" s="143" t="n"/>
      <c r="KI11" s="143" t="n"/>
      <c r="KJ11" s="143" t="n"/>
      <c r="KK11" s="143" t="n"/>
      <c r="KL11" s="143" t="n"/>
      <c r="KM11" s="143" t="n"/>
      <c r="KN11" s="143" t="n"/>
      <c r="KO11" s="143" t="n"/>
      <c r="KP11" s="143" t="n"/>
      <c r="KQ11" s="143" t="n"/>
      <c r="KR11" s="143" t="n"/>
      <c r="KS11" s="143" t="n"/>
      <c r="KT11" s="143" t="n"/>
      <c r="KU11" s="143" t="n"/>
      <c r="KV11" s="143" t="n"/>
      <c r="KW11" s="143" t="n"/>
      <c r="KX11" s="143" t="n"/>
      <c r="KY11" s="143" t="n"/>
      <c r="KZ11" s="143" t="n"/>
      <c r="LA11" s="143" t="n"/>
      <c r="LB11" s="143" t="n"/>
      <c r="LC11" s="143" t="n"/>
      <c r="LD11" s="143" t="n"/>
      <c r="LE11" s="143" t="n"/>
      <c r="LF11" s="143" t="n"/>
      <c r="LG11" s="143" t="n"/>
      <c r="LH11" s="143" t="n"/>
      <c r="LI11" s="143" t="n"/>
      <c r="LJ11" s="143" t="n"/>
      <c r="LK11" s="143" t="n"/>
      <c r="LL11" s="143" t="n"/>
      <c r="LM11" s="143" t="n"/>
      <c r="LN11" s="143" t="n"/>
      <c r="LO11" s="143" t="n"/>
      <c r="LP11" s="143" t="n"/>
      <c r="LQ11" s="143" t="n"/>
      <c r="LR11" s="143" t="n"/>
      <c r="LS11" s="143" t="n"/>
      <c r="LT11" s="143" t="n"/>
      <c r="LU11" s="143" t="n"/>
      <c r="LV11" s="143" t="n"/>
      <c r="LW11" s="143" t="n"/>
      <c r="LX11" s="143" t="n"/>
      <c r="LY11" s="143" t="n"/>
      <c r="LZ11" s="143" t="n"/>
      <c r="MA11" s="143" t="n"/>
      <c r="MB11" s="143" t="n"/>
      <c r="MC11" s="143" t="n"/>
      <c r="MD11" s="143" t="n"/>
      <c r="ME11" s="143" t="n"/>
      <c r="MF11" s="143" t="n"/>
      <c r="MG11" s="143" t="n"/>
      <c r="MH11" s="143" t="n"/>
      <c r="MI11" s="143" t="n"/>
      <c r="MJ11" s="143" t="n"/>
      <c r="MK11" s="143" t="n"/>
      <c r="ML11" s="143" t="n"/>
      <c r="MM11" s="143" t="n"/>
      <c r="MN11" s="143" t="n"/>
      <c r="MO11" s="143" t="n"/>
      <c r="MP11" s="143" t="n"/>
      <c r="MQ11" s="143" t="n"/>
      <c r="MR11" s="143" t="n"/>
      <c r="MS11" s="143" t="n"/>
      <c r="MT11" s="143" t="n"/>
      <c r="MU11" s="143" t="n"/>
      <c r="MV11" s="143" t="n"/>
      <c r="MW11" s="143" t="n"/>
      <c r="MX11" s="143" t="n"/>
      <c r="MY11" s="143" t="n"/>
      <c r="MZ11" s="143" t="n"/>
      <c r="NA11" s="143" t="n"/>
      <c r="NB11" s="143" t="n"/>
      <c r="NC11" s="143" t="n"/>
      <c r="ND11" s="143" t="n"/>
      <c r="NE11" s="1" t="n"/>
      <c r="NF11" s="1" t="n"/>
      <c r="NG11" s="1" t="n"/>
    </row>
    <row r="12">
      <c r="A12" s="1" t="n"/>
      <c r="B12" s="17" t="inlineStr">
        <is>
          <t>Drink 2L of water</t>
        </is>
      </c>
      <c r="C12" s="142">
        <f>IF(B12="","",IFERROR(COUNTIF(E12:ND12,"✓")/MAX(1,MIN(364,Setup!$D$7-$E$7+1)),0))</f>
        <v/>
      </c>
      <c r="D12" s="48">
        <f>IF(B12="","",COUNTIF(E12:ND12,"✓"))</f>
        <v/>
      </c>
      <c r="E12" s="144" t="n"/>
      <c r="F12" s="144" t="inlineStr">
        <is>
          <t>✓</t>
        </is>
      </c>
      <c r="G12" s="144" t="n"/>
      <c r="H12" s="144" t="inlineStr">
        <is>
          <t>✓</t>
        </is>
      </c>
      <c r="I12" s="144" t="inlineStr">
        <is>
          <t>✓</t>
        </is>
      </c>
      <c r="J12" s="144" t="n"/>
      <c r="K12" s="144" t="inlineStr">
        <is>
          <t>✓</t>
        </is>
      </c>
      <c r="L12" s="144" t="inlineStr">
        <is>
          <t>✓</t>
        </is>
      </c>
      <c r="M12" s="144" t="inlineStr">
        <is>
          <t>✓</t>
        </is>
      </c>
      <c r="N12" s="144" t="inlineStr">
        <is>
          <t>✓</t>
        </is>
      </c>
      <c r="O12" s="144" t="inlineStr">
        <is>
          <t>✓</t>
        </is>
      </c>
      <c r="P12" s="144" t="inlineStr">
        <is>
          <t>✓</t>
        </is>
      </c>
      <c r="Q12" s="144" t="inlineStr">
        <is>
          <t>✓</t>
        </is>
      </c>
      <c r="R12" s="144" t="inlineStr">
        <is>
          <t>✓</t>
        </is>
      </c>
      <c r="S12" s="144" t="inlineStr">
        <is>
          <t>✓</t>
        </is>
      </c>
      <c r="T12" s="144" t="n"/>
      <c r="U12" s="144" t="inlineStr">
        <is>
          <t>✓</t>
        </is>
      </c>
      <c r="V12" s="144" t="inlineStr">
        <is>
          <t>✓</t>
        </is>
      </c>
      <c r="W12" s="144" t="n"/>
      <c r="X12" s="144" t="inlineStr">
        <is>
          <t>✓</t>
        </is>
      </c>
      <c r="Y12" s="144" t="inlineStr">
        <is>
          <t>✓</t>
        </is>
      </c>
      <c r="Z12" s="144" t="n"/>
      <c r="AA12" s="144" t="n"/>
      <c r="AB12" s="144" t="inlineStr">
        <is>
          <t>✓</t>
        </is>
      </c>
      <c r="AC12" s="144" t="inlineStr">
        <is>
          <t>✓</t>
        </is>
      </c>
      <c r="AD12" s="144" t="n"/>
      <c r="AE12" s="144" t="n"/>
      <c r="AF12" s="144" t="inlineStr">
        <is>
          <t>✓</t>
        </is>
      </c>
      <c r="AG12" s="144" t="n"/>
      <c r="AH12" s="144" t="n"/>
      <c r="AI12" s="144" t="n"/>
      <c r="AJ12" s="144" t="n"/>
      <c r="AK12" s="144" t="n"/>
      <c r="AL12" s="144" t="n"/>
      <c r="AM12" s="144" t="n"/>
      <c r="AN12" s="144" t="n"/>
      <c r="AO12" s="144" t="n"/>
      <c r="AP12" s="144" t="n"/>
      <c r="AQ12" s="144" t="n"/>
      <c r="AR12" s="144" t="n"/>
      <c r="AS12" s="144" t="n"/>
      <c r="AT12" s="144" t="n"/>
      <c r="AU12" s="144" t="n"/>
      <c r="AV12" s="144" t="n"/>
      <c r="AW12" s="144" t="n"/>
      <c r="AX12" s="144" t="n"/>
      <c r="AY12" s="144" t="n"/>
      <c r="AZ12" s="144" t="n"/>
      <c r="BA12" s="144" t="n"/>
      <c r="BB12" s="144" t="n"/>
      <c r="BC12" s="144" t="n"/>
      <c r="BD12" s="144" t="n"/>
      <c r="BE12" s="144" t="n"/>
      <c r="BF12" s="144" t="n"/>
      <c r="BG12" s="144" t="n"/>
      <c r="BH12" s="144" t="n"/>
      <c r="BI12" s="144" t="n"/>
      <c r="BJ12" s="144" t="n"/>
      <c r="BK12" s="144" t="n"/>
      <c r="BL12" s="144" t="n"/>
      <c r="BM12" s="144" t="n"/>
      <c r="BN12" s="144" t="n"/>
      <c r="BO12" s="144" t="n"/>
      <c r="BP12" s="144" t="n"/>
      <c r="BQ12" s="144" t="n"/>
      <c r="BR12" s="144" t="n"/>
      <c r="BS12" s="144" t="n"/>
      <c r="BT12" s="144" t="n"/>
      <c r="BU12" s="144" t="n"/>
      <c r="BV12" s="144" t="n"/>
      <c r="BW12" s="144" t="n"/>
      <c r="BX12" s="144" t="n"/>
      <c r="BY12" s="144" t="n"/>
      <c r="BZ12" s="144" t="n"/>
      <c r="CA12" s="144" t="n"/>
      <c r="CB12" s="144" t="n"/>
      <c r="CC12" s="144" t="n"/>
      <c r="CD12" s="144" t="n"/>
      <c r="CE12" s="144" t="n"/>
      <c r="CF12" s="144" t="n"/>
      <c r="CG12" s="144" t="n"/>
      <c r="CH12" s="144" t="n"/>
      <c r="CI12" s="144" t="n"/>
      <c r="CJ12" s="144" t="n"/>
      <c r="CK12" s="144" t="n"/>
      <c r="CL12" s="144" t="n"/>
      <c r="CM12" s="144" t="n"/>
      <c r="CN12" s="144" t="n"/>
      <c r="CO12" s="144" t="n"/>
      <c r="CP12" s="144" t="n"/>
      <c r="CQ12" s="144" t="n"/>
      <c r="CR12" s="144" t="n"/>
      <c r="CS12" s="144" t="n"/>
      <c r="CT12" s="144" t="n"/>
      <c r="CU12" s="144" t="n"/>
      <c r="CV12" s="144" t="n"/>
      <c r="CW12" s="144" t="n"/>
      <c r="CX12" s="144" t="n"/>
      <c r="CY12" s="144" t="n"/>
      <c r="CZ12" s="144" t="n"/>
      <c r="DA12" s="144" t="n"/>
      <c r="DB12" s="144" t="n"/>
      <c r="DC12" s="144" t="n"/>
      <c r="DD12" s="144" t="n"/>
      <c r="DE12" s="144" t="n"/>
      <c r="DF12" s="144" t="n"/>
      <c r="DG12" s="144" t="n"/>
      <c r="DH12" s="144" t="n"/>
      <c r="DI12" s="144" t="n"/>
      <c r="DJ12" s="144" t="n"/>
      <c r="DK12" s="144" t="n"/>
      <c r="DL12" s="144" t="n"/>
      <c r="DM12" s="144" t="n"/>
      <c r="DN12" s="144" t="n"/>
      <c r="DO12" s="144" t="n"/>
      <c r="DP12" s="144" t="n"/>
      <c r="DQ12" s="144" t="n"/>
      <c r="DR12" s="144" t="n"/>
      <c r="DS12" s="144" t="n"/>
      <c r="DT12" s="144" t="n"/>
      <c r="DU12" s="144" t="n"/>
      <c r="DV12" s="144" t="n"/>
      <c r="DW12" s="144" t="n"/>
      <c r="DX12" s="144" t="n"/>
      <c r="DY12" s="144" t="n"/>
      <c r="DZ12" s="144" t="n"/>
      <c r="EA12" s="144" t="n"/>
      <c r="EB12" s="144" t="n"/>
      <c r="EC12" s="144" t="n"/>
      <c r="ED12" s="144" t="n"/>
      <c r="EE12" s="144" t="n"/>
      <c r="EF12" s="144" t="n"/>
      <c r="EG12" s="144" t="n"/>
      <c r="EH12" s="144" t="n"/>
      <c r="EI12" s="144" t="n"/>
      <c r="EJ12" s="144" t="n"/>
      <c r="EK12" s="144" t="n"/>
      <c r="EL12" s="144" t="n"/>
      <c r="EM12" s="144" t="n"/>
      <c r="EN12" s="144" t="n"/>
      <c r="EO12" s="144" t="n"/>
      <c r="EP12" s="144" t="n"/>
      <c r="EQ12" s="144" t="n"/>
      <c r="ER12" s="144" t="n"/>
      <c r="ES12" s="144" t="n"/>
      <c r="ET12" s="144" t="n"/>
      <c r="EU12" s="144" t="n"/>
      <c r="EV12" s="144" t="n"/>
      <c r="EW12" s="144" t="n"/>
      <c r="EX12" s="144" t="n"/>
      <c r="EY12" s="144" t="n"/>
      <c r="EZ12" s="144" t="n"/>
      <c r="FA12" s="144" t="n"/>
      <c r="FB12" s="144" t="n"/>
      <c r="FC12" s="144" t="n"/>
      <c r="FD12" s="144" t="n"/>
      <c r="FE12" s="144" t="n"/>
      <c r="FF12" s="144" t="n"/>
      <c r="FG12" s="144" t="n"/>
      <c r="FH12" s="144" t="n"/>
      <c r="FI12" s="144" t="n"/>
      <c r="FJ12" s="144" t="n"/>
      <c r="FK12" s="144" t="n"/>
      <c r="FL12" s="144" t="n"/>
      <c r="FM12" s="144" t="n"/>
      <c r="FN12" s="144" t="n"/>
      <c r="FO12" s="144" t="n"/>
      <c r="FP12" s="144" t="n"/>
      <c r="FQ12" s="144" t="n"/>
      <c r="FR12" s="144" t="n"/>
      <c r="FS12" s="144" t="n"/>
      <c r="FT12" s="144" t="n"/>
      <c r="FU12" s="144" t="n"/>
      <c r="FV12" s="144" t="n"/>
      <c r="FW12" s="144" t="n"/>
      <c r="FX12" s="144" t="n"/>
      <c r="FY12" s="144" t="n"/>
      <c r="FZ12" s="144" t="n"/>
      <c r="GA12" s="144" t="n"/>
      <c r="GB12" s="144" t="n"/>
      <c r="GC12" s="144" t="n"/>
      <c r="GD12" s="144" t="n"/>
      <c r="GE12" s="144" t="n"/>
      <c r="GF12" s="144" t="n"/>
      <c r="GG12" s="144" t="n"/>
      <c r="GH12" s="144" t="n"/>
      <c r="GI12" s="144" t="n"/>
      <c r="GJ12" s="144" t="n"/>
      <c r="GK12" s="144" t="n"/>
      <c r="GL12" s="144" t="n"/>
      <c r="GM12" s="144" t="n"/>
      <c r="GN12" s="144" t="n"/>
      <c r="GO12" s="144" t="n"/>
      <c r="GP12" s="144" t="n"/>
      <c r="GQ12" s="144" t="n"/>
      <c r="GR12" s="144" t="n"/>
      <c r="GS12" s="144" t="n"/>
      <c r="GT12" s="144" t="n"/>
      <c r="GU12" s="144" t="n"/>
      <c r="GV12" s="144" t="n"/>
      <c r="GW12" s="144" t="n"/>
      <c r="GX12" s="144" t="n"/>
      <c r="GY12" s="144" t="n"/>
      <c r="GZ12" s="144" t="n"/>
      <c r="HA12" s="144" t="n"/>
      <c r="HB12" s="144" t="n"/>
      <c r="HC12" s="144" t="n"/>
      <c r="HD12" s="144" t="n"/>
      <c r="HE12" s="144" t="n"/>
      <c r="HF12" s="144" t="n"/>
      <c r="HG12" s="144" t="n"/>
      <c r="HH12" s="144" t="n"/>
      <c r="HI12" s="144" t="n"/>
      <c r="HJ12" s="144" t="n"/>
      <c r="HK12" s="144" t="n"/>
      <c r="HL12" s="144" t="n"/>
      <c r="HM12" s="144" t="n"/>
      <c r="HN12" s="144" t="n"/>
      <c r="HO12" s="144" t="n"/>
      <c r="HP12" s="144" t="n"/>
      <c r="HQ12" s="144" t="n"/>
      <c r="HR12" s="144" t="n"/>
      <c r="HS12" s="144" t="n"/>
      <c r="HT12" s="144" t="n"/>
      <c r="HU12" s="144" t="n"/>
      <c r="HV12" s="144" t="n"/>
      <c r="HW12" s="144" t="n"/>
      <c r="HX12" s="144" t="n"/>
      <c r="HY12" s="144" t="n"/>
      <c r="HZ12" s="144" t="n"/>
      <c r="IA12" s="144" t="n"/>
      <c r="IB12" s="144" t="n"/>
      <c r="IC12" s="144" t="n"/>
      <c r="ID12" s="144" t="n"/>
      <c r="IE12" s="144" t="n"/>
      <c r="IF12" s="144" t="n"/>
      <c r="IG12" s="144" t="n"/>
      <c r="IH12" s="144" t="n"/>
      <c r="II12" s="144" t="n"/>
      <c r="IJ12" s="144" t="n"/>
      <c r="IK12" s="144" t="n"/>
      <c r="IL12" s="144" t="n"/>
      <c r="IM12" s="144" t="n"/>
      <c r="IN12" s="144" t="n"/>
      <c r="IO12" s="144" t="n"/>
      <c r="IP12" s="144" t="n"/>
      <c r="IQ12" s="144" t="n"/>
      <c r="IR12" s="144" t="n"/>
      <c r="IS12" s="144" t="n"/>
      <c r="IT12" s="144" t="n"/>
      <c r="IU12" s="144" t="n"/>
      <c r="IV12" s="144" t="n"/>
      <c r="IW12" s="144" t="n"/>
      <c r="IX12" s="144" t="n"/>
      <c r="IY12" s="144" t="n"/>
      <c r="IZ12" s="144" t="n"/>
      <c r="JA12" s="144" t="n"/>
      <c r="JB12" s="144" t="n"/>
      <c r="JC12" s="144" t="n"/>
      <c r="JD12" s="144" t="n"/>
      <c r="JE12" s="144" t="n"/>
      <c r="JF12" s="144" t="n"/>
      <c r="JG12" s="144" t="n"/>
      <c r="JH12" s="144" t="n"/>
      <c r="JI12" s="144" t="n"/>
      <c r="JJ12" s="144" t="n"/>
      <c r="JK12" s="144" t="n"/>
      <c r="JL12" s="144" t="n"/>
      <c r="JM12" s="144" t="n"/>
      <c r="JN12" s="144" t="n"/>
      <c r="JO12" s="144" t="n"/>
      <c r="JP12" s="144" t="n"/>
      <c r="JQ12" s="144" t="n"/>
      <c r="JR12" s="144" t="n"/>
      <c r="JS12" s="144" t="n"/>
      <c r="JT12" s="144" t="n"/>
      <c r="JU12" s="144" t="n"/>
      <c r="JV12" s="144" t="n"/>
      <c r="JW12" s="144" t="n"/>
      <c r="JX12" s="144" t="n"/>
      <c r="JY12" s="144" t="n"/>
      <c r="JZ12" s="144" t="n"/>
      <c r="KA12" s="144" t="n"/>
      <c r="KB12" s="144" t="n"/>
      <c r="KC12" s="144" t="n"/>
      <c r="KD12" s="144" t="n"/>
      <c r="KE12" s="144" t="n"/>
      <c r="KF12" s="144" t="n"/>
      <c r="KG12" s="144" t="n"/>
      <c r="KH12" s="144" t="n"/>
      <c r="KI12" s="144" t="n"/>
      <c r="KJ12" s="144" t="n"/>
      <c r="KK12" s="144" t="n"/>
      <c r="KL12" s="144" t="n"/>
      <c r="KM12" s="144" t="n"/>
      <c r="KN12" s="144" t="n"/>
      <c r="KO12" s="144" t="n"/>
      <c r="KP12" s="144" t="n"/>
      <c r="KQ12" s="144" t="n"/>
      <c r="KR12" s="144" t="n"/>
      <c r="KS12" s="144" t="n"/>
      <c r="KT12" s="144" t="n"/>
      <c r="KU12" s="144" t="n"/>
      <c r="KV12" s="144" t="n"/>
      <c r="KW12" s="144" t="n"/>
      <c r="KX12" s="144" t="n"/>
      <c r="KY12" s="144" t="n"/>
      <c r="KZ12" s="144" t="n"/>
      <c r="LA12" s="144" t="n"/>
      <c r="LB12" s="144" t="n"/>
      <c r="LC12" s="144" t="n"/>
      <c r="LD12" s="144" t="n"/>
      <c r="LE12" s="144" t="n"/>
      <c r="LF12" s="144" t="n"/>
      <c r="LG12" s="144" t="n"/>
      <c r="LH12" s="144" t="n"/>
      <c r="LI12" s="144" t="n"/>
      <c r="LJ12" s="144" t="n"/>
      <c r="LK12" s="144" t="n"/>
      <c r="LL12" s="144" t="n"/>
      <c r="LM12" s="144" t="n"/>
      <c r="LN12" s="144" t="n"/>
      <c r="LO12" s="144" t="n"/>
      <c r="LP12" s="144" t="n"/>
      <c r="LQ12" s="144" t="n"/>
      <c r="LR12" s="144" t="n"/>
      <c r="LS12" s="144" t="n"/>
      <c r="LT12" s="144" t="n"/>
      <c r="LU12" s="144" t="n"/>
      <c r="LV12" s="144" t="n"/>
      <c r="LW12" s="144" t="n"/>
      <c r="LX12" s="144" t="n"/>
      <c r="LY12" s="144" t="n"/>
      <c r="LZ12" s="144" t="n"/>
      <c r="MA12" s="144" t="n"/>
      <c r="MB12" s="144" t="n"/>
      <c r="MC12" s="144" t="n"/>
      <c r="MD12" s="144" t="n"/>
      <c r="ME12" s="144" t="n"/>
      <c r="MF12" s="144" t="n"/>
      <c r="MG12" s="144" t="n"/>
      <c r="MH12" s="144" t="n"/>
      <c r="MI12" s="144" t="n"/>
      <c r="MJ12" s="144" t="n"/>
      <c r="MK12" s="144" t="n"/>
      <c r="ML12" s="144" t="n"/>
      <c r="MM12" s="144" t="n"/>
      <c r="MN12" s="144" t="n"/>
      <c r="MO12" s="144" t="n"/>
      <c r="MP12" s="144" t="n"/>
      <c r="MQ12" s="144" t="n"/>
      <c r="MR12" s="144" t="n"/>
      <c r="MS12" s="144" t="n"/>
      <c r="MT12" s="144" t="n"/>
      <c r="MU12" s="144" t="n"/>
      <c r="MV12" s="144" t="n"/>
      <c r="MW12" s="144" t="n"/>
      <c r="MX12" s="144" t="n"/>
      <c r="MY12" s="144" t="n"/>
      <c r="MZ12" s="144" t="n"/>
      <c r="NA12" s="144" t="n"/>
      <c r="NB12" s="144" t="n"/>
      <c r="NC12" s="144" t="n"/>
      <c r="ND12" s="144" t="n"/>
      <c r="NE12" s="1" t="n"/>
      <c r="NF12" s="1" t="n"/>
      <c r="NG12" s="1" t="n"/>
    </row>
    <row r="13">
      <c r="A13" s="1" t="n"/>
      <c r="B13" s="17" t="inlineStr">
        <is>
          <t>15 min stretching</t>
        </is>
      </c>
      <c r="C13" s="142">
        <f>IF(B13="","",IFERROR(COUNTIF(E13:ND13,"✓")/MAX(1,MIN(364,Setup!$D$7-$E$7+1)),0))</f>
        <v/>
      </c>
      <c r="D13" s="48">
        <f>IF(B13="","",COUNTIF(E13:ND13,"✓"))</f>
        <v/>
      </c>
      <c r="E13" s="143" t="n"/>
      <c r="F13" s="143" t="inlineStr">
        <is>
          <t>✓</t>
        </is>
      </c>
      <c r="G13" s="143" t="inlineStr">
        <is>
          <t>✓</t>
        </is>
      </c>
      <c r="H13" s="143" t="inlineStr">
        <is>
          <t>✓</t>
        </is>
      </c>
      <c r="I13" s="143" t="inlineStr">
        <is>
          <t>✓</t>
        </is>
      </c>
      <c r="J13" s="143" t="n"/>
      <c r="K13" s="143" t="inlineStr">
        <is>
          <t>✓</t>
        </is>
      </c>
      <c r="L13" s="143" t="n"/>
      <c r="M13" s="143" t="inlineStr">
        <is>
          <t>✓</t>
        </is>
      </c>
      <c r="N13" s="143" t="n"/>
      <c r="O13" s="143" t="inlineStr">
        <is>
          <t>✓</t>
        </is>
      </c>
      <c r="P13" s="143" t="inlineStr">
        <is>
          <t>✓</t>
        </is>
      </c>
      <c r="Q13" s="143" t="inlineStr">
        <is>
          <t>✓</t>
        </is>
      </c>
      <c r="R13" s="143" t="n"/>
      <c r="S13" s="143" t="inlineStr">
        <is>
          <t>✓</t>
        </is>
      </c>
      <c r="T13" s="143" t="inlineStr">
        <is>
          <t>✓</t>
        </is>
      </c>
      <c r="U13" s="143" t="inlineStr">
        <is>
          <t>✓</t>
        </is>
      </c>
      <c r="V13" s="143" t="n"/>
      <c r="W13" s="143" t="inlineStr">
        <is>
          <t>✓</t>
        </is>
      </c>
      <c r="X13" s="143" t="inlineStr">
        <is>
          <t>✓</t>
        </is>
      </c>
      <c r="Y13" s="143" t="n"/>
      <c r="Z13" s="143" t="inlineStr">
        <is>
          <t>✓</t>
        </is>
      </c>
      <c r="AA13" s="143" t="inlineStr">
        <is>
          <t>✓</t>
        </is>
      </c>
      <c r="AB13" s="143" t="inlineStr">
        <is>
          <t>✓</t>
        </is>
      </c>
      <c r="AC13" s="143" t="inlineStr">
        <is>
          <t>✓</t>
        </is>
      </c>
      <c r="AD13" s="143" t="inlineStr">
        <is>
          <t>✓</t>
        </is>
      </c>
      <c r="AE13" s="143" t="inlineStr">
        <is>
          <t>✓</t>
        </is>
      </c>
      <c r="AF13" s="143" t="inlineStr">
        <is>
          <t>✓</t>
        </is>
      </c>
      <c r="AG13" s="143" t="inlineStr">
        <is>
          <t>✓</t>
        </is>
      </c>
      <c r="AH13" s="143" t="n"/>
      <c r="AI13" s="143" t="n"/>
      <c r="AJ13" s="143" t="n"/>
      <c r="AK13" s="143" t="n"/>
      <c r="AL13" s="143" t="n"/>
      <c r="AM13" s="143" t="n"/>
      <c r="AN13" s="143" t="n"/>
      <c r="AO13" s="143" t="n"/>
      <c r="AP13" s="143" t="n"/>
      <c r="AQ13" s="143" t="n"/>
      <c r="AR13" s="143" t="n"/>
      <c r="AS13" s="143" t="n"/>
      <c r="AT13" s="143" t="n"/>
      <c r="AU13" s="143" t="n"/>
      <c r="AV13" s="143" t="n"/>
      <c r="AW13" s="143" t="n"/>
      <c r="AX13" s="143" t="n"/>
      <c r="AY13" s="143" t="n"/>
      <c r="AZ13" s="143" t="n"/>
      <c r="BA13" s="143" t="n"/>
      <c r="BB13" s="143" t="n"/>
      <c r="BC13" s="143" t="n"/>
      <c r="BD13" s="143" t="n"/>
      <c r="BE13" s="143" t="n"/>
      <c r="BF13" s="143" t="n"/>
      <c r="BG13" s="143" t="n"/>
      <c r="BH13" s="143" t="n"/>
      <c r="BI13" s="143" t="n"/>
      <c r="BJ13" s="143" t="n"/>
      <c r="BK13" s="143" t="n"/>
      <c r="BL13" s="143" t="n"/>
      <c r="BM13" s="143" t="n"/>
      <c r="BN13" s="143" t="n"/>
      <c r="BO13" s="143" t="n"/>
      <c r="BP13" s="143" t="n"/>
      <c r="BQ13" s="143" t="n"/>
      <c r="BR13" s="143" t="n"/>
      <c r="BS13" s="143" t="n"/>
      <c r="BT13" s="143" t="n"/>
      <c r="BU13" s="143" t="n"/>
      <c r="BV13" s="143" t="n"/>
      <c r="BW13" s="143" t="n"/>
      <c r="BX13" s="143" t="n"/>
      <c r="BY13" s="143" t="n"/>
      <c r="BZ13" s="143" t="n"/>
      <c r="CA13" s="143" t="n"/>
      <c r="CB13" s="143" t="n"/>
      <c r="CC13" s="143" t="n"/>
      <c r="CD13" s="143" t="n"/>
      <c r="CE13" s="143" t="n"/>
      <c r="CF13" s="143" t="n"/>
      <c r="CG13" s="143" t="n"/>
      <c r="CH13" s="143" t="n"/>
      <c r="CI13" s="143" t="n"/>
      <c r="CJ13" s="143" t="n"/>
      <c r="CK13" s="143" t="n"/>
      <c r="CL13" s="143" t="n"/>
      <c r="CM13" s="143" t="n"/>
      <c r="CN13" s="143" t="n"/>
      <c r="CO13" s="143" t="n"/>
      <c r="CP13" s="143" t="n"/>
      <c r="CQ13" s="143" t="n"/>
      <c r="CR13" s="143" t="n"/>
      <c r="CS13" s="143" t="n"/>
      <c r="CT13" s="143" t="n"/>
      <c r="CU13" s="143" t="n"/>
      <c r="CV13" s="143" t="n"/>
      <c r="CW13" s="143" t="n"/>
      <c r="CX13" s="143" t="n"/>
      <c r="CY13" s="143" t="n"/>
      <c r="CZ13" s="143" t="n"/>
      <c r="DA13" s="143" t="n"/>
      <c r="DB13" s="143" t="n"/>
      <c r="DC13" s="143" t="n"/>
      <c r="DD13" s="143" t="n"/>
      <c r="DE13" s="143" t="n"/>
      <c r="DF13" s="143" t="n"/>
      <c r="DG13" s="143" t="n"/>
      <c r="DH13" s="143" t="n"/>
      <c r="DI13" s="143" t="n"/>
      <c r="DJ13" s="143" t="n"/>
      <c r="DK13" s="143" t="n"/>
      <c r="DL13" s="143" t="n"/>
      <c r="DM13" s="143" t="n"/>
      <c r="DN13" s="143" t="n"/>
      <c r="DO13" s="143" t="n"/>
      <c r="DP13" s="143" t="n"/>
      <c r="DQ13" s="143" t="n"/>
      <c r="DR13" s="143" t="n"/>
      <c r="DS13" s="143" t="n"/>
      <c r="DT13" s="143" t="n"/>
      <c r="DU13" s="143" t="n"/>
      <c r="DV13" s="143" t="n"/>
      <c r="DW13" s="143" t="n"/>
      <c r="DX13" s="143" t="n"/>
      <c r="DY13" s="143" t="n"/>
      <c r="DZ13" s="143" t="n"/>
      <c r="EA13" s="143" t="n"/>
      <c r="EB13" s="143" t="n"/>
      <c r="EC13" s="143" t="n"/>
      <c r="ED13" s="143" t="n"/>
      <c r="EE13" s="143" t="n"/>
      <c r="EF13" s="143" t="n"/>
      <c r="EG13" s="143" t="n"/>
      <c r="EH13" s="143" t="n"/>
      <c r="EI13" s="143" t="n"/>
      <c r="EJ13" s="143" t="n"/>
      <c r="EK13" s="143" t="n"/>
      <c r="EL13" s="143" t="n"/>
      <c r="EM13" s="143" t="n"/>
      <c r="EN13" s="143" t="n"/>
      <c r="EO13" s="143" t="n"/>
      <c r="EP13" s="143" t="n"/>
      <c r="EQ13" s="143" t="n"/>
      <c r="ER13" s="143" t="n"/>
      <c r="ES13" s="143" t="n"/>
      <c r="ET13" s="143" t="n"/>
      <c r="EU13" s="143" t="n"/>
      <c r="EV13" s="143" t="n"/>
      <c r="EW13" s="143" t="n"/>
      <c r="EX13" s="143" t="n"/>
      <c r="EY13" s="143" t="n"/>
      <c r="EZ13" s="143" t="n"/>
      <c r="FA13" s="143" t="n"/>
      <c r="FB13" s="143" t="n"/>
      <c r="FC13" s="143" t="n"/>
      <c r="FD13" s="143" t="n"/>
      <c r="FE13" s="143" t="n"/>
      <c r="FF13" s="143" t="n"/>
      <c r="FG13" s="143" t="n"/>
      <c r="FH13" s="143" t="n"/>
      <c r="FI13" s="143" t="n"/>
      <c r="FJ13" s="143" t="n"/>
      <c r="FK13" s="143" t="n"/>
      <c r="FL13" s="143" t="n"/>
      <c r="FM13" s="143" t="n"/>
      <c r="FN13" s="143" t="n"/>
      <c r="FO13" s="143" t="n"/>
      <c r="FP13" s="143" t="n"/>
      <c r="FQ13" s="143" t="n"/>
      <c r="FR13" s="143" t="n"/>
      <c r="FS13" s="143" t="n"/>
      <c r="FT13" s="143" t="n"/>
      <c r="FU13" s="143" t="n"/>
      <c r="FV13" s="143" t="n"/>
      <c r="FW13" s="143" t="n"/>
      <c r="FX13" s="143" t="n"/>
      <c r="FY13" s="143" t="n"/>
      <c r="FZ13" s="143" t="n"/>
      <c r="GA13" s="143" t="n"/>
      <c r="GB13" s="143" t="n"/>
      <c r="GC13" s="143" t="n"/>
      <c r="GD13" s="143" t="n"/>
      <c r="GE13" s="143" t="n"/>
      <c r="GF13" s="143" t="n"/>
      <c r="GG13" s="143" t="n"/>
      <c r="GH13" s="143" t="n"/>
      <c r="GI13" s="143" t="n"/>
      <c r="GJ13" s="143" t="n"/>
      <c r="GK13" s="143" t="n"/>
      <c r="GL13" s="143" t="n"/>
      <c r="GM13" s="143" t="n"/>
      <c r="GN13" s="143" t="n"/>
      <c r="GO13" s="143" t="n"/>
      <c r="GP13" s="143" t="n"/>
      <c r="GQ13" s="143" t="n"/>
      <c r="GR13" s="143" t="n"/>
      <c r="GS13" s="143" t="n"/>
      <c r="GT13" s="143" t="n"/>
      <c r="GU13" s="143" t="n"/>
      <c r="GV13" s="143" t="n"/>
      <c r="GW13" s="143" t="n"/>
      <c r="GX13" s="143" t="n"/>
      <c r="GY13" s="143" t="n"/>
      <c r="GZ13" s="143" t="n"/>
      <c r="HA13" s="143" t="n"/>
      <c r="HB13" s="143" t="n"/>
      <c r="HC13" s="143" t="n"/>
      <c r="HD13" s="143" t="n"/>
      <c r="HE13" s="143" t="n"/>
      <c r="HF13" s="143" t="n"/>
      <c r="HG13" s="143" t="n"/>
      <c r="HH13" s="143" t="n"/>
      <c r="HI13" s="143" t="n"/>
      <c r="HJ13" s="143" t="n"/>
      <c r="HK13" s="143" t="n"/>
      <c r="HL13" s="143" t="n"/>
      <c r="HM13" s="143" t="n"/>
      <c r="HN13" s="143" t="n"/>
      <c r="HO13" s="143" t="n"/>
      <c r="HP13" s="143" t="n"/>
      <c r="HQ13" s="143" t="n"/>
      <c r="HR13" s="143" t="n"/>
      <c r="HS13" s="143" t="n"/>
      <c r="HT13" s="143" t="n"/>
      <c r="HU13" s="143" t="n"/>
      <c r="HV13" s="143" t="n"/>
      <c r="HW13" s="143" t="n"/>
      <c r="HX13" s="143" t="n"/>
      <c r="HY13" s="143" t="n"/>
      <c r="HZ13" s="143" t="n"/>
      <c r="IA13" s="143" t="n"/>
      <c r="IB13" s="143" t="n"/>
      <c r="IC13" s="143" t="n"/>
      <c r="ID13" s="143" t="n"/>
      <c r="IE13" s="143" t="n"/>
      <c r="IF13" s="143" t="n"/>
      <c r="IG13" s="143" t="n"/>
      <c r="IH13" s="143" t="n"/>
      <c r="II13" s="143" t="n"/>
      <c r="IJ13" s="143" t="n"/>
      <c r="IK13" s="143" t="n"/>
      <c r="IL13" s="143" t="n"/>
      <c r="IM13" s="143" t="n"/>
      <c r="IN13" s="143" t="n"/>
      <c r="IO13" s="143" t="n"/>
      <c r="IP13" s="143" t="n"/>
      <c r="IQ13" s="143" t="n"/>
      <c r="IR13" s="143" t="n"/>
      <c r="IS13" s="143" t="n"/>
      <c r="IT13" s="143" t="n"/>
      <c r="IU13" s="143" t="n"/>
      <c r="IV13" s="143" t="n"/>
      <c r="IW13" s="143" t="n"/>
      <c r="IX13" s="143" t="n"/>
      <c r="IY13" s="143" t="n"/>
      <c r="IZ13" s="143" t="n"/>
      <c r="JA13" s="143" t="n"/>
      <c r="JB13" s="143" t="n"/>
      <c r="JC13" s="143" t="n"/>
      <c r="JD13" s="143" t="n"/>
      <c r="JE13" s="143" t="n"/>
      <c r="JF13" s="143" t="n"/>
      <c r="JG13" s="143" t="n"/>
      <c r="JH13" s="143" t="n"/>
      <c r="JI13" s="143" t="n"/>
      <c r="JJ13" s="143" t="n"/>
      <c r="JK13" s="143" t="n"/>
      <c r="JL13" s="143" t="n"/>
      <c r="JM13" s="143" t="n"/>
      <c r="JN13" s="143" t="n"/>
      <c r="JO13" s="143" t="n"/>
      <c r="JP13" s="143" t="n"/>
      <c r="JQ13" s="143" t="n"/>
      <c r="JR13" s="143" t="n"/>
      <c r="JS13" s="143" t="n"/>
      <c r="JT13" s="143" t="n"/>
      <c r="JU13" s="143" t="n"/>
      <c r="JV13" s="143" t="n"/>
      <c r="JW13" s="143" t="n"/>
      <c r="JX13" s="143" t="n"/>
      <c r="JY13" s="143" t="n"/>
      <c r="JZ13" s="143" t="n"/>
      <c r="KA13" s="143" t="n"/>
      <c r="KB13" s="143" t="n"/>
      <c r="KC13" s="143" t="n"/>
      <c r="KD13" s="143" t="n"/>
      <c r="KE13" s="143" t="n"/>
      <c r="KF13" s="143" t="n"/>
      <c r="KG13" s="143" t="n"/>
      <c r="KH13" s="143" t="n"/>
      <c r="KI13" s="143" t="n"/>
      <c r="KJ13" s="143" t="n"/>
      <c r="KK13" s="143" t="n"/>
      <c r="KL13" s="143" t="n"/>
      <c r="KM13" s="143" t="n"/>
      <c r="KN13" s="143" t="n"/>
      <c r="KO13" s="143" t="n"/>
      <c r="KP13" s="143" t="n"/>
      <c r="KQ13" s="143" t="n"/>
      <c r="KR13" s="143" t="n"/>
      <c r="KS13" s="143" t="n"/>
      <c r="KT13" s="143" t="n"/>
      <c r="KU13" s="143" t="n"/>
      <c r="KV13" s="143" t="n"/>
      <c r="KW13" s="143" t="n"/>
      <c r="KX13" s="143" t="n"/>
      <c r="KY13" s="143" t="n"/>
      <c r="KZ13" s="143" t="n"/>
      <c r="LA13" s="143" t="n"/>
      <c r="LB13" s="143" t="n"/>
      <c r="LC13" s="143" t="n"/>
      <c r="LD13" s="143" t="n"/>
      <c r="LE13" s="143" t="n"/>
      <c r="LF13" s="143" t="n"/>
      <c r="LG13" s="143" t="n"/>
      <c r="LH13" s="143" t="n"/>
      <c r="LI13" s="143" t="n"/>
      <c r="LJ13" s="143" t="n"/>
      <c r="LK13" s="143" t="n"/>
      <c r="LL13" s="143" t="n"/>
      <c r="LM13" s="143" t="n"/>
      <c r="LN13" s="143" t="n"/>
      <c r="LO13" s="143" t="n"/>
      <c r="LP13" s="143" t="n"/>
      <c r="LQ13" s="143" t="n"/>
      <c r="LR13" s="143" t="n"/>
      <c r="LS13" s="143" t="n"/>
      <c r="LT13" s="143" t="n"/>
      <c r="LU13" s="143" t="n"/>
      <c r="LV13" s="143" t="n"/>
      <c r="LW13" s="143" t="n"/>
      <c r="LX13" s="143" t="n"/>
      <c r="LY13" s="143" t="n"/>
      <c r="LZ13" s="143" t="n"/>
      <c r="MA13" s="143" t="n"/>
      <c r="MB13" s="143" t="n"/>
      <c r="MC13" s="143" t="n"/>
      <c r="MD13" s="143" t="n"/>
      <c r="ME13" s="143" t="n"/>
      <c r="MF13" s="143" t="n"/>
      <c r="MG13" s="143" t="n"/>
      <c r="MH13" s="143" t="n"/>
      <c r="MI13" s="143" t="n"/>
      <c r="MJ13" s="143" t="n"/>
      <c r="MK13" s="143" t="n"/>
      <c r="ML13" s="143" t="n"/>
      <c r="MM13" s="143" t="n"/>
      <c r="MN13" s="143" t="n"/>
      <c r="MO13" s="143" t="n"/>
      <c r="MP13" s="143" t="n"/>
      <c r="MQ13" s="143" t="n"/>
      <c r="MR13" s="143" t="n"/>
      <c r="MS13" s="143" t="n"/>
      <c r="MT13" s="143" t="n"/>
      <c r="MU13" s="143" t="n"/>
      <c r="MV13" s="143" t="n"/>
      <c r="MW13" s="143" t="n"/>
      <c r="MX13" s="143" t="n"/>
      <c r="MY13" s="143" t="n"/>
      <c r="MZ13" s="143" t="n"/>
      <c r="NA13" s="143" t="n"/>
      <c r="NB13" s="143" t="n"/>
      <c r="NC13" s="143" t="n"/>
      <c r="ND13" s="143" t="n"/>
      <c r="NE13" s="1" t="n"/>
      <c r="NF13" s="1" t="n"/>
      <c r="NG13" s="1" t="n"/>
    </row>
    <row r="14">
      <c r="A14" s="1" t="n"/>
      <c r="B14" s="17" t="inlineStr">
        <is>
          <t>Walk min 7000 steps</t>
        </is>
      </c>
      <c r="C14" s="142">
        <f>IF(B14="","",IFERROR(COUNTIF(E14:ND14,"✓")/MAX(1,MIN(364,Setup!$D$7-$E$7+1)),0))</f>
        <v/>
      </c>
      <c r="D14" s="48">
        <f>IF(B14="","",COUNTIF(E14:ND14,"✓"))</f>
        <v/>
      </c>
      <c r="E14" s="144" t="inlineStr">
        <is>
          <t>✓</t>
        </is>
      </c>
      <c r="F14" s="144" t="inlineStr">
        <is>
          <t>✓</t>
        </is>
      </c>
      <c r="G14" s="144" t="n"/>
      <c r="H14" s="144" t="n"/>
      <c r="I14" s="144" t="n"/>
      <c r="J14" s="144" t="n"/>
      <c r="K14" s="144" t="n"/>
      <c r="L14" s="144" t="inlineStr">
        <is>
          <t>✓</t>
        </is>
      </c>
      <c r="M14" s="144" t="inlineStr">
        <is>
          <t>✓</t>
        </is>
      </c>
      <c r="N14" s="144" t="inlineStr">
        <is>
          <t>✓</t>
        </is>
      </c>
      <c r="O14" s="144" t="n"/>
      <c r="P14" s="144" t="n"/>
      <c r="Q14" s="144" t="n"/>
      <c r="R14" s="144" t="inlineStr">
        <is>
          <t>✓</t>
        </is>
      </c>
      <c r="S14" s="144" t="n"/>
      <c r="T14" s="144" t="inlineStr">
        <is>
          <t>✓</t>
        </is>
      </c>
      <c r="U14" s="144" t="n"/>
      <c r="V14" s="144" t="inlineStr">
        <is>
          <t>✓</t>
        </is>
      </c>
      <c r="W14" s="144" t="n"/>
      <c r="X14" s="144" t="inlineStr">
        <is>
          <t>✓</t>
        </is>
      </c>
      <c r="Y14" s="144" t="inlineStr">
        <is>
          <t>✓</t>
        </is>
      </c>
      <c r="Z14" s="144" t="n"/>
      <c r="AA14" s="144" t="n"/>
      <c r="AB14" s="144" t="n"/>
      <c r="AC14" s="144" t="n"/>
      <c r="AD14" s="144" t="n"/>
      <c r="AE14" s="144" t="n"/>
      <c r="AF14" s="144" t="inlineStr">
        <is>
          <t>✓</t>
        </is>
      </c>
      <c r="AG14" s="144" t="n"/>
      <c r="AH14" s="144" t="n"/>
      <c r="AI14" s="144" t="n"/>
      <c r="AJ14" s="144" t="n"/>
      <c r="AK14" s="144" t="n"/>
      <c r="AL14" s="144" t="n"/>
      <c r="AM14" s="144" t="n"/>
      <c r="AN14" s="144" t="n"/>
      <c r="AO14" s="144" t="n"/>
      <c r="AP14" s="144" t="n"/>
      <c r="AQ14" s="144" t="n"/>
      <c r="AR14" s="144" t="n"/>
      <c r="AS14" s="144" t="n"/>
      <c r="AT14" s="144" t="n"/>
      <c r="AU14" s="144" t="n"/>
      <c r="AV14" s="144" t="n"/>
      <c r="AW14" s="144" t="n"/>
      <c r="AX14" s="144" t="n"/>
      <c r="AY14" s="144" t="n"/>
      <c r="AZ14" s="144" t="n"/>
      <c r="BA14" s="144" t="n"/>
      <c r="BB14" s="144" t="n"/>
      <c r="BC14" s="144" t="n"/>
      <c r="BD14" s="144" t="n"/>
      <c r="BE14" s="144" t="n"/>
      <c r="BF14" s="144" t="n"/>
      <c r="BG14" s="144" t="n"/>
      <c r="BH14" s="144" t="n"/>
      <c r="BI14" s="144" t="n"/>
      <c r="BJ14" s="144" t="n"/>
      <c r="BK14" s="144" t="n"/>
      <c r="BL14" s="144" t="n"/>
      <c r="BM14" s="144" t="n"/>
      <c r="BN14" s="144" t="n"/>
      <c r="BO14" s="144" t="n"/>
      <c r="BP14" s="144" t="n"/>
      <c r="BQ14" s="144" t="n"/>
      <c r="BR14" s="144" t="n"/>
      <c r="BS14" s="144" t="n"/>
      <c r="BT14" s="144" t="n"/>
      <c r="BU14" s="144" t="n"/>
      <c r="BV14" s="144" t="n"/>
      <c r="BW14" s="144" t="n"/>
      <c r="BX14" s="144" t="n"/>
      <c r="BY14" s="144" t="n"/>
      <c r="BZ14" s="144" t="n"/>
      <c r="CA14" s="144" t="n"/>
      <c r="CB14" s="144" t="n"/>
      <c r="CC14" s="144" t="n"/>
      <c r="CD14" s="144" t="n"/>
      <c r="CE14" s="144" t="n"/>
      <c r="CF14" s="144" t="n"/>
      <c r="CG14" s="144" t="n"/>
      <c r="CH14" s="144" t="n"/>
      <c r="CI14" s="144" t="n"/>
      <c r="CJ14" s="144" t="n"/>
      <c r="CK14" s="144" t="n"/>
      <c r="CL14" s="144" t="n"/>
      <c r="CM14" s="144" t="n"/>
      <c r="CN14" s="144" t="n"/>
      <c r="CO14" s="144" t="n"/>
      <c r="CP14" s="144" t="n"/>
      <c r="CQ14" s="144" t="n"/>
      <c r="CR14" s="144" t="n"/>
      <c r="CS14" s="144" t="n"/>
      <c r="CT14" s="144" t="n"/>
      <c r="CU14" s="144" t="n"/>
      <c r="CV14" s="144" t="n"/>
      <c r="CW14" s="144" t="n"/>
      <c r="CX14" s="144" t="n"/>
      <c r="CY14" s="144" t="n"/>
      <c r="CZ14" s="144" t="n"/>
      <c r="DA14" s="144" t="n"/>
      <c r="DB14" s="144" t="n"/>
      <c r="DC14" s="144" t="n"/>
      <c r="DD14" s="144" t="n"/>
      <c r="DE14" s="144" t="n"/>
      <c r="DF14" s="144" t="n"/>
      <c r="DG14" s="144" t="n"/>
      <c r="DH14" s="144" t="n"/>
      <c r="DI14" s="144" t="n"/>
      <c r="DJ14" s="144" t="n"/>
      <c r="DK14" s="144" t="n"/>
      <c r="DL14" s="144" t="n"/>
      <c r="DM14" s="144" t="n"/>
      <c r="DN14" s="144" t="n"/>
      <c r="DO14" s="144" t="n"/>
      <c r="DP14" s="144" t="n"/>
      <c r="DQ14" s="144" t="n"/>
      <c r="DR14" s="144" t="n"/>
      <c r="DS14" s="144" t="n"/>
      <c r="DT14" s="144" t="n"/>
      <c r="DU14" s="144" t="n"/>
      <c r="DV14" s="144" t="n"/>
      <c r="DW14" s="144" t="n"/>
      <c r="DX14" s="144" t="n"/>
      <c r="DY14" s="144" t="n"/>
      <c r="DZ14" s="144" t="n"/>
      <c r="EA14" s="144" t="n"/>
      <c r="EB14" s="144" t="n"/>
      <c r="EC14" s="144" t="n"/>
      <c r="ED14" s="144" t="n"/>
      <c r="EE14" s="144" t="n"/>
      <c r="EF14" s="144" t="n"/>
      <c r="EG14" s="144" t="n"/>
      <c r="EH14" s="144" t="n"/>
      <c r="EI14" s="144" t="n"/>
      <c r="EJ14" s="144" t="n"/>
      <c r="EK14" s="144" t="n"/>
      <c r="EL14" s="144" t="n"/>
      <c r="EM14" s="144" t="n"/>
      <c r="EN14" s="144" t="n"/>
      <c r="EO14" s="144" t="n"/>
      <c r="EP14" s="144" t="n"/>
      <c r="EQ14" s="144" t="n"/>
      <c r="ER14" s="144" t="n"/>
      <c r="ES14" s="144" t="n"/>
      <c r="ET14" s="144" t="n"/>
      <c r="EU14" s="144" t="n"/>
      <c r="EV14" s="144" t="n"/>
      <c r="EW14" s="144" t="n"/>
      <c r="EX14" s="144" t="n"/>
      <c r="EY14" s="144" t="n"/>
      <c r="EZ14" s="144" t="n"/>
      <c r="FA14" s="144" t="n"/>
      <c r="FB14" s="144" t="n"/>
      <c r="FC14" s="144" t="n"/>
      <c r="FD14" s="144" t="n"/>
      <c r="FE14" s="144" t="n"/>
      <c r="FF14" s="144" t="n"/>
      <c r="FG14" s="144" t="n"/>
      <c r="FH14" s="144" t="n"/>
      <c r="FI14" s="144" t="n"/>
      <c r="FJ14" s="144" t="n"/>
      <c r="FK14" s="144" t="n"/>
      <c r="FL14" s="144" t="n"/>
      <c r="FM14" s="144" t="n"/>
      <c r="FN14" s="144" t="n"/>
      <c r="FO14" s="144" t="n"/>
      <c r="FP14" s="144" t="n"/>
      <c r="FQ14" s="144" t="n"/>
      <c r="FR14" s="144" t="n"/>
      <c r="FS14" s="144" t="n"/>
      <c r="FT14" s="144" t="n"/>
      <c r="FU14" s="144" t="n"/>
      <c r="FV14" s="144" t="n"/>
      <c r="FW14" s="144" t="n"/>
      <c r="FX14" s="144" t="n"/>
      <c r="FY14" s="144" t="n"/>
      <c r="FZ14" s="144" t="n"/>
      <c r="GA14" s="144" t="n"/>
      <c r="GB14" s="144" t="n"/>
      <c r="GC14" s="144" t="n"/>
      <c r="GD14" s="144" t="n"/>
      <c r="GE14" s="144" t="n"/>
      <c r="GF14" s="144" t="n"/>
      <c r="GG14" s="144" t="n"/>
      <c r="GH14" s="144" t="n"/>
      <c r="GI14" s="144" t="n"/>
      <c r="GJ14" s="144" t="n"/>
      <c r="GK14" s="144" t="n"/>
      <c r="GL14" s="144" t="n"/>
      <c r="GM14" s="144" t="n"/>
      <c r="GN14" s="144" t="n"/>
      <c r="GO14" s="144" t="n"/>
      <c r="GP14" s="144" t="n"/>
      <c r="GQ14" s="144" t="n"/>
      <c r="GR14" s="144" t="n"/>
      <c r="GS14" s="144" t="n"/>
      <c r="GT14" s="144" t="n"/>
      <c r="GU14" s="144" t="n"/>
      <c r="GV14" s="144" t="n"/>
      <c r="GW14" s="144" t="n"/>
      <c r="GX14" s="144" t="n"/>
      <c r="GY14" s="144" t="n"/>
      <c r="GZ14" s="144" t="n"/>
      <c r="HA14" s="144" t="n"/>
      <c r="HB14" s="144" t="n"/>
      <c r="HC14" s="144" t="n"/>
      <c r="HD14" s="144" t="n"/>
      <c r="HE14" s="144" t="n"/>
      <c r="HF14" s="144" t="n"/>
      <c r="HG14" s="144" t="n"/>
      <c r="HH14" s="144" t="n"/>
      <c r="HI14" s="144" t="n"/>
      <c r="HJ14" s="144" t="n"/>
      <c r="HK14" s="144" t="n"/>
      <c r="HL14" s="144" t="n"/>
      <c r="HM14" s="144" t="n"/>
      <c r="HN14" s="144" t="n"/>
      <c r="HO14" s="144" t="n"/>
      <c r="HP14" s="144" t="n"/>
      <c r="HQ14" s="144" t="n"/>
      <c r="HR14" s="144" t="n"/>
      <c r="HS14" s="144" t="n"/>
      <c r="HT14" s="144" t="n"/>
      <c r="HU14" s="144" t="n"/>
      <c r="HV14" s="144" t="n"/>
      <c r="HW14" s="144" t="n"/>
      <c r="HX14" s="144" t="n"/>
      <c r="HY14" s="144" t="n"/>
      <c r="HZ14" s="144" t="n"/>
      <c r="IA14" s="144" t="n"/>
      <c r="IB14" s="144" t="n"/>
      <c r="IC14" s="144" t="n"/>
      <c r="ID14" s="144" t="n"/>
      <c r="IE14" s="144" t="n"/>
      <c r="IF14" s="144" t="n"/>
      <c r="IG14" s="144" t="n"/>
      <c r="IH14" s="144" t="n"/>
      <c r="II14" s="144" t="n"/>
      <c r="IJ14" s="144" t="n"/>
      <c r="IK14" s="144" t="n"/>
      <c r="IL14" s="144" t="n"/>
      <c r="IM14" s="144" t="n"/>
      <c r="IN14" s="144" t="n"/>
      <c r="IO14" s="144" t="n"/>
      <c r="IP14" s="144" t="n"/>
      <c r="IQ14" s="144" t="n"/>
      <c r="IR14" s="144" t="n"/>
      <c r="IS14" s="144" t="n"/>
      <c r="IT14" s="144" t="n"/>
      <c r="IU14" s="144" t="n"/>
      <c r="IV14" s="144" t="n"/>
      <c r="IW14" s="144" t="n"/>
      <c r="IX14" s="144" t="n"/>
      <c r="IY14" s="144" t="n"/>
      <c r="IZ14" s="144" t="n"/>
      <c r="JA14" s="144" t="n"/>
      <c r="JB14" s="144" t="n"/>
      <c r="JC14" s="144" t="n"/>
      <c r="JD14" s="144" t="n"/>
      <c r="JE14" s="144" t="n"/>
      <c r="JF14" s="144" t="n"/>
      <c r="JG14" s="144" t="n"/>
      <c r="JH14" s="144" t="n"/>
      <c r="JI14" s="144" t="n"/>
      <c r="JJ14" s="144" t="n"/>
      <c r="JK14" s="144" t="n"/>
      <c r="JL14" s="144" t="n"/>
      <c r="JM14" s="144" t="n"/>
      <c r="JN14" s="144" t="n"/>
      <c r="JO14" s="144" t="n"/>
      <c r="JP14" s="144" t="n"/>
      <c r="JQ14" s="144" t="n"/>
      <c r="JR14" s="144" t="n"/>
      <c r="JS14" s="144" t="n"/>
      <c r="JT14" s="144" t="n"/>
      <c r="JU14" s="144" t="n"/>
      <c r="JV14" s="144" t="n"/>
      <c r="JW14" s="144" t="n"/>
      <c r="JX14" s="144" t="n"/>
      <c r="JY14" s="144" t="n"/>
      <c r="JZ14" s="144" t="n"/>
      <c r="KA14" s="144" t="n"/>
      <c r="KB14" s="144" t="n"/>
      <c r="KC14" s="144" t="n"/>
      <c r="KD14" s="144" t="n"/>
      <c r="KE14" s="144" t="n"/>
      <c r="KF14" s="144" t="n"/>
      <c r="KG14" s="144" t="n"/>
      <c r="KH14" s="144" t="n"/>
      <c r="KI14" s="144" t="n"/>
      <c r="KJ14" s="144" t="n"/>
      <c r="KK14" s="144" t="n"/>
      <c r="KL14" s="144" t="n"/>
      <c r="KM14" s="144" t="n"/>
      <c r="KN14" s="144" t="n"/>
      <c r="KO14" s="144" t="n"/>
      <c r="KP14" s="144" t="n"/>
      <c r="KQ14" s="144" t="n"/>
      <c r="KR14" s="144" t="n"/>
      <c r="KS14" s="144" t="n"/>
      <c r="KT14" s="144" t="n"/>
      <c r="KU14" s="144" t="n"/>
      <c r="KV14" s="144" t="n"/>
      <c r="KW14" s="144" t="n"/>
      <c r="KX14" s="144" t="n"/>
      <c r="KY14" s="144" t="n"/>
      <c r="KZ14" s="144" t="n"/>
      <c r="LA14" s="144" t="n"/>
      <c r="LB14" s="144" t="n"/>
      <c r="LC14" s="144" t="n"/>
      <c r="LD14" s="144" t="n"/>
      <c r="LE14" s="144" t="n"/>
      <c r="LF14" s="144" t="n"/>
      <c r="LG14" s="144" t="n"/>
      <c r="LH14" s="144" t="n"/>
      <c r="LI14" s="144" t="n"/>
      <c r="LJ14" s="144" t="n"/>
      <c r="LK14" s="144" t="n"/>
      <c r="LL14" s="144" t="n"/>
      <c r="LM14" s="144" t="n"/>
      <c r="LN14" s="144" t="n"/>
      <c r="LO14" s="144" t="n"/>
      <c r="LP14" s="144" t="n"/>
      <c r="LQ14" s="144" t="n"/>
      <c r="LR14" s="144" t="n"/>
      <c r="LS14" s="144" t="n"/>
      <c r="LT14" s="144" t="n"/>
      <c r="LU14" s="144" t="n"/>
      <c r="LV14" s="144" t="n"/>
      <c r="LW14" s="144" t="n"/>
      <c r="LX14" s="144" t="n"/>
      <c r="LY14" s="144" t="n"/>
      <c r="LZ14" s="144" t="n"/>
      <c r="MA14" s="144" t="n"/>
      <c r="MB14" s="144" t="n"/>
      <c r="MC14" s="144" t="n"/>
      <c r="MD14" s="144" t="n"/>
      <c r="ME14" s="144" t="n"/>
      <c r="MF14" s="144" t="n"/>
      <c r="MG14" s="144" t="n"/>
      <c r="MH14" s="144" t="n"/>
      <c r="MI14" s="144" t="n"/>
      <c r="MJ14" s="144" t="n"/>
      <c r="MK14" s="144" t="n"/>
      <c r="ML14" s="144" t="n"/>
      <c r="MM14" s="144" t="n"/>
      <c r="MN14" s="144" t="n"/>
      <c r="MO14" s="144" t="n"/>
      <c r="MP14" s="144" t="n"/>
      <c r="MQ14" s="144" t="n"/>
      <c r="MR14" s="144" t="n"/>
      <c r="MS14" s="144" t="n"/>
      <c r="MT14" s="144" t="n"/>
      <c r="MU14" s="144" t="n"/>
      <c r="MV14" s="144" t="n"/>
      <c r="MW14" s="144" t="n"/>
      <c r="MX14" s="144" t="n"/>
      <c r="MY14" s="144" t="n"/>
      <c r="MZ14" s="144" t="n"/>
      <c r="NA14" s="144" t="n"/>
      <c r="NB14" s="144" t="n"/>
      <c r="NC14" s="144" t="n"/>
      <c r="ND14" s="144" t="n"/>
      <c r="NE14" s="1" t="n"/>
      <c r="NF14" s="1" t="n"/>
      <c r="NG14" s="1" t="n"/>
    </row>
    <row r="15">
      <c r="A15" s="1" t="n"/>
      <c r="B15" s="17" t="inlineStr">
        <is>
          <t>50 x Push Ups</t>
        </is>
      </c>
      <c r="C15" s="142">
        <f>IF(B15="","",IFERROR(COUNTIF(E15:ND15,"✓")/MAX(1,MIN(364,Setup!$D$7-$E$7+1)),0))</f>
        <v/>
      </c>
      <c r="D15" s="48">
        <f>IF(B15="","",COUNTIF(E15:ND15,"✓"))</f>
        <v/>
      </c>
      <c r="E15" s="143" t="n"/>
      <c r="F15" s="143" t="n"/>
      <c r="G15" s="143" t="inlineStr">
        <is>
          <t>✓</t>
        </is>
      </c>
      <c r="H15" s="143" t="n"/>
      <c r="I15" s="143" t="n"/>
      <c r="J15" s="143" t="inlineStr">
        <is>
          <t>✓</t>
        </is>
      </c>
      <c r="K15" s="143" t="n"/>
      <c r="L15" s="143" t="inlineStr">
        <is>
          <t>✓</t>
        </is>
      </c>
      <c r="M15" s="143" t="n"/>
      <c r="N15" s="143" t="n"/>
      <c r="O15" s="143" t="inlineStr">
        <is>
          <t>✓</t>
        </is>
      </c>
      <c r="P15" s="143" t="n"/>
      <c r="Q15" s="143" t="n"/>
      <c r="R15" s="143" t="n"/>
      <c r="S15" s="143" t="n"/>
      <c r="T15" s="143" t="inlineStr">
        <is>
          <t>✓</t>
        </is>
      </c>
      <c r="U15" s="143" t="n"/>
      <c r="V15" s="143" t="n"/>
      <c r="W15" s="143" t="inlineStr">
        <is>
          <t>✓</t>
        </is>
      </c>
      <c r="X15" s="143" t="n"/>
      <c r="Y15" s="143" t="inlineStr">
        <is>
          <t>✓</t>
        </is>
      </c>
      <c r="Z15" s="143" t="n"/>
      <c r="AA15" s="143" t="inlineStr">
        <is>
          <t>✓</t>
        </is>
      </c>
      <c r="AB15" s="143" t="n"/>
      <c r="AC15" s="143" t="inlineStr">
        <is>
          <t>✓</t>
        </is>
      </c>
      <c r="AD15" s="143" t="inlineStr">
        <is>
          <t>✓</t>
        </is>
      </c>
      <c r="AE15" s="143" t="n"/>
      <c r="AF15" s="143" t="inlineStr">
        <is>
          <t>✓</t>
        </is>
      </c>
      <c r="AG15" s="143" t="n"/>
      <c r="AH15" s="143" t="n"/>
      <c r="AI15" s="143" t="n"/>
      <c r="AJ15" s="143" t="n"/>
      <c r="AK15" s="143" t="n"/>
      <c r="AL15" s="143" t="n"/>
      <c r="AM15" s="143" t="n"/>
      <c r="AN15" s="143" t="n"/>
      <c r="AO15" s="143" t="n"/>
      <c r="AP15" s="143" t="n"/>
      <c r="AQ15" s="143" t="n"/>
      <c r="AR15" s="143" t="n"/>
      <c r="AS15" s="143" t="n"/>
      <c r="AT15" s="143" t="n"/>
      <c r="AU15" s="143" t="n"/>
      <c r="AV15" s="143" t="n"/>
      <c r="AW15" s="143" t="n"/>
      <c r="AX15" s="143" t="n"/>
      <c r="AY15" s="143" t="n"/>
      <c r="AZ15" s="143" t="n"/>
      <c r="BA15" s="143" t="n"/>
      <c r="BB15" s="143" t="n"/>
      <c r="BC15" s="143" t="n"/>
      <c r="BD15" s="143" t="n"/>
      <c r="BE15" s="143" t="n"/>
      <c r="BF15" s="143" t="n"/>
      <c r="BG15" s="143" t="n"/>
      <c r="BH15" s="143" t="n"/>
      <c r="BI15" s="143" t="n"/>
      <c r="BJ15" s="143" t="n"/>
      <c r="BK15" s="143" t="n"/>
      <c r="BL15" s="143" t="n"/>
      <c r="BM15" s="143" t="n"/>
      <c r="BN15" s="143" t="n"/>
      <c r="BO15" s="143" t="n"/>
      <c r="BP15" s="143" t="n"/>
      <c r="BQ15" s="143" t="n"/>
      <c r="BR15" s="143" t="n"/>
      <c r="BS15" s="143" t="n"/>
      <c r="BT15" s="143" t="n"/>
      <c r="BU15" s="143" t="n"/>
      <c r="BV15" s="143" t="n"/>
      <c r="BW15" s="143" t="n"/>
      <c r="BX15" s="143" t="n"/>
      <c r="BY15" s="143" t="n"/>
      <c r="BZ15" s="143" t="n"/>
      <c r="CA15" s="143" t="n"/>
      <c r="CB15" s="143" t="n"/>
      <c r="CC15" s="143" t="n"/>
      <c r="CD15" s="143" t="n"/>
      <c r="CE15" s="143" t="n"/>
      <c r="CF15" s="143" t="n"/>
      <c r="CG15" s="143" t="n"/>
      <c r="CH15" s="143" t="n"/>
      <c r="CI15" s="143" t="n"/>
      <c r="CJ15" s="143" t="n"/>
      <c r="CK15" s="143" t="n"/>
      <c r="CL15" s="143" t="n"/>
      <c r="CM15" s="143" t="n"/>
      <c r="CN15" s="143" t="n"/>
      <c r="CO15" s="143" t="n"/>
      <c r="CP15" s="143" t="n"/>
      <c r="CQ15" s="143" t="n"/>
      <c r="CR15" s="143" t="n"/>
      <c r="CS15" s="143" t="n"/>
      <c r="CT15" s="143" t="n"/>
      <c r="CU15" s="143" t="n"/>
      <c r="CV15" s="143" t="n"/>
      <c r="CW15" s="143" t="n"/>
      <c r="CX15" s="143" t="n"/>
      <c r="CY15" s="143" t="n"/>
      <c r="CZ15" s="143" t="n"/>
      <c r="DA15" s="143" t="n"/>
      <c r="DB15" s="143" t="n"/>
      <c r="DC15" s="143" t="n"/>
      <c r="DD15" s="143" t="n"/>
      <c r="DE15" s="143" t="n"/>
      <c r="DF15" s="143" t="n"/>
      <c r="DG15" s="143" t="n"/>
      <c r="DH15" s="143" t="n"/>
      <c r="DI15" s="143" t="n"/>
      <c r="DJ15" s="143" t="n"/>
      <c r="DK15" s="143" t="n"/>
      <c r="DL15" s="143" t="n"/>
      <c r="DM15" s="143" t="n"/>
      <c r="DN15" s="143" t="n"/>
      <c r="DO15" s="143" t="n"/>
      <c r="DP15" s="143" t="n"/>
      <c r="DQ15" s="143" t="n"/>
      <c r="DR15" s="143" t="n"/>
      <c r="DS15" s="143" t="n"/>
      <c r="DT15" s="143" t="n"/>
      <c r="DU15" s="143" t="n"/>
      <c r="DV15" s="143" t="n"/>
      <c r="DW15" s="143" t="n"/>
      <c r="DX15" s="143" t="n"/>
      <c r="DY15" s="143" t="n"/>
      <c r="DZ15" s="143" t="n"/>
      <c r="EA15" s="143" t="n"/>
      <c r="EB15" s="143" t="n"/>
      <c r="EC15" s="143" t="n"/>
      <c r="ED15" s="143" t="n"/>
      <c r="EE15" s="143" t="n"/>
      <c r="EF15" s="143" t="n"/>
      <c r="EG15" s="143" t="n"/>
      <c r="EH15" s="143" t="n"/>
      <c r="EI15" s="143" t="n"/>
      <c r="EJ15" s="143" t="n"/>
      <c r="EK15" s="143" t="n"/>
      <c r="EL15" s="143" t="n"/>
      <c r="EM15" s="143" t="n"/>
      <c r="EN15" s="143" t="n"/>
      <c r="EO15" s="143" t="n"/>
      <c r="EP15" s="143" t="n"/>
      <c r="EQ15" s="143" t="n"/>
      <c r="ER15" s="143" t="n"/>
      <c r="ES15" s="143" t="n"/>
      <c r="ET15" s="143" t="n"/>
      <c r="EU15" s="143" t="n"/>
      <c r="EV15" s="143" t="n"/>
      <c r="EW15" s="143" t="n"/>
      <c r="EX15" s="143" t="n"/>
      <c r="EY15" s="143" t="n"/>
      <c r="EZ15" s="143" t="n"/>
      <c r="FA15" s="143" t="n"/>
      <c r="FB15" s="143" t="n"/>
      <c r="FC15" s="143" t="n"/>
      <c r="FD15" s="143" t="n"/>
      <c r="FE15" s="143" t="n"/>
      <c r="FF15" s="143" t="n"/>
      <c r="FG15" s="143" t="n"/>
      <c r="FH15" s="143" t="n"/>
      <c r="FI15" s="143" t="n"/>
      <c r="FJ15" s="143" t="n"/>
      <c r="FK15" s="143" t="n"/>
      <c r="FL15" s="143" t="n"/>
      <c r="FM15" s="143" t="n"/>
      <c r="FN15" s="143" t="n"/>
      <c r="FO15" s="143" t="n"/>
      <c r="FP15" s="143" t="n"/>
      <c r="FQ15" s="143" t="n"/>
      <c r="FR15" s="143" t="n"/>
      <c r="FS15" s="143" t="n"/>
      <c r="FT15" s="143" t="n"/>
      <c r="FU15" s="143" t="n"/>
      <c r="FV15" s="143" t="n"/>
      <c r="FW15" s="143" t="n"/>
      <c r="FX15" s="143" t="n"/>
      <c r="FY15" s="143" t="n"/>
      <c r="FZ15" s="143" t="n"/>
      <c r="GA15" s="143" t="n"/>
      <c r="GB15" s="143" t="n"/>
      <c r="GC15" s="143" t="n"/>
      <c r="GD15" s="143" t="n"/>
      <c r="GE15" s="143" t="n"/>
      <c r="GF15" s="143" t="n"/>
      <c r="GG15" s="143" t="n"/>
      <c r="GH15" s="143" t="n"/>
      <c r="GI15" s="143" t="n"/>
      <c r="GJ15" s="143" t="n"/>
      <c r="GK15" s="143" t="n"/>
      <c r="GL15" s="143" t="n"/>
      <c r="GM15" s="143" t="n"/>
      <c r="GN15" s="143" t="n"/>
      <c r="GO15" s="143" t="n"/>
      <c r="GP15" s="143" t="n"/>
      <c r="GQ15" s="143" t="n"/>
      <c r="GR15" s="143" t="n"/>
      <c r="GS15" s="143" t="n"/>
      <c r="GT15" s="143" t="n"/>
      <c r="GU15" s="143" t="n"/>
      <c r="GV15" s="143" t="n"/>
      <c r="GW15" s="143" t="n"/>
      <c r="GX15" s="143" t="n"/>
      <c r="GY15" s="143" t="n"/>
      <c r="GZ15" s="143" t="n"/>
      <c r="HA15" s="143" t="n"/>
      <c r="HB15" s="143" t="n"/>
      <c r="HC15" s="143" t="n"/>
      <c r="HD15" s="143" t="n"/>
      <c r="HE15" s="143" t="n"/>
      <c r="HF15" s="143" t="n"/>
      <c r="HG15" s="143" t="n"/>
      <c r="HH15" s="143" t="n"/>
      <c r="HI15" s="143" t="n"/>
      <c r="HJ15" s="143" t="n"/>
      <c r="HK15" s="143" t="n"/>
      <c r="HL15" s="143" t="n"/>
      <c r="HM15" s="143" t="n"/>
      <c r="HN15" s="143" t="n"/>
      <c r="HO15" s="143" t="n"/>
      <c r="HP15" s="143" t="n"/>
      <c r="HQ15" s="143" t="n"/>
      <c r="HR15" s="143" t="n"/>
      <c r="HS15" s="143" t="n"/>
      <c r="HT15" s="143" t="n"/>
      <c r="HU15" s="143" t="n"/>
      <c r="HV15" s="143" t="n"/>
      <c r="HW15" s="143" t="n"/>
      <c r="HX15" s="143" t="n"/>
      <c r="HY15" s="143" t="n"/>
      <c r="HZ15" s="143" t="n"/>
      <c r="IA15" s="143" t="n"/>
      <c r="IB15" s="143" t="n"/>
      <c r="IC15" s="143" t="n"/>
      <c r="ID15" s="143" t="n"/>
      <c r="IE15" s="143" t="n"/>
      <c r="IF15" s="143" t="n"/>
      <c r="IG15" s="143" t="n"/>
      <c r="IH15" s="143" t="n"/>
      <c r="II15" s="143" t="n"/>
      <c r="IJ15" s="143" t="n"/>
      <c r="IK15" s="143" t="n"/>
      <c r="IL15" s="143" t="n"/>
      <c r="IM15" s="143" t="n"/>
      <c r="IN15" s="143" t="n"/>
      <c r="IO15" s="143" t="n"/>
      <c r="IP15" s="143" t="n"/>
      <c r="IQ15" s="143" t="n"/>
      <c r="IR15" s="143" t="n"/>
      <c r="IS15" s="143" t="n"/>
      <c r="IT15" s="143" t="n"/>
      <c r="IU15" s="143" t="n"/>
      <c r="IV15" s="143" t="n"/>
      <c r="IW15" s="143" t="n"/>
      <c r="IX15" s="143" t="n"/>
      <c r="IY15" s="143" t="n"/>
      <c r="IZ15" s="143" t="n"/>
      <c r="JA15" s="143" t="n"/>
      <c r="JB15" s="143" t="n"/>
      <c r="JC15" s="143" t="n"/>
      <c r="JD15" s="143" t="n"/>
      <c r="JE15" s="143" t="n"/>
      <c r="JF15" s="143" t="n"/>
      <c r="JG15" s="143" t="n"/>
      <c r="JH15" s="143" t="n"/>
      <c r="JI15" s="143" t="n"/>
      <c r="JJ15" s="143" t="n"/>
      <c r="JK15" s="143" t="n"/>
      <c r="JL15" s="143" t="n"/>
      <c r="JM15" s="143" t="n"/>
      <c r="JN15" s="143" t="n"/>
      <c r="JO15" s="143" t="n"/>
      <c r="JP15" s="143" t="n"/>
      <c r="JQ15" s="143" t="n"/>
      <c r="JR15" s="143" t="n"/>
      <c r="JS15" s="143" t="n"/>
      <c r="JT15" s="143" t="n"/>
      <c r="JU15" s="143" t="n"/>
      <c r="JV15" s="143" t="n"/>
      <c r="JW15" s="143" t="n"/>
      <c r="JX15" s="143" t="n"/>
      <c r="JY15" s="143" t="n"/>
      <c r="JZ15" s="143" t="n"/>
      <c r="KA15" s="143" t="n"/>
      <c r="KB15" s="143" t="n"/>
      <c r="KC15" s="143" t="n"/>
      <c r="KD15" s="143" t="n"/>
      <c r="KE15" s="143" t="n"/>
      <c r="KF15" s="143" t="n"/>
      <c r="KG15" s="143" t="n"/>
      <c r="KH15" s="143" t="n"/>
      <c r="KI15" s="143" t="n"/>
      <c r="KJ15" s="143" t="n"/>
      <c r="KK15" s="143" t="n"/>
      <c r="KL15" s="143" t="n"/>
      <c r="KM15" s="143" t="n"/>
      <c r="KN15" s="143" t="n"/>
      <c r="KO15" s="143" t="n"/>
      <c r="KP15" s="143" t="n"/>
      <c r="KQ15" s="143" t="n"/>
      <c r="KR15" s="143" t="n"/>
      <c r="KS15" s="143" t="n"/>
      <c r="KT15" s="143" t="n"/>
      <c r="KU15" s="143" t="n"/>
      <c r="KV15" s="143" t="n"/>
      <c r="KW15" s="143" t="n"/>
      <c r="KX15" s="143" t="n"/>
      <c r="KY15" s="143" t="n"/>
      <c r="KZ15" s="143" t="n"/>
      <c r="LA15" s="143" t="n"/>
      <c r="LB15" s="143" t="n"/>
      <c r="LC15" s="143" t="n"/>
      <c r="LD15" s="143" t="n"/>
      <c r="LE15" s="143" t="n"/>
      <c r="LF15" s="143" t="n"/>
      <c r="LG15" s="143" t="n"/>
      <c r="LH15" s="143" t="n"/>
      <c r="LI15" s="143" t="n"/>
      <c r="LJ15" s="143" t="n"/>
      <c r="LK15" s="143" t="n"/>
      <c r="LL15" s="143" t="n"/>
      <c r="LM15" s="143" t="n"/>
      <c r="LN15" s="143" t="n"/>
      <c r="LO15" s="143" t="n"/>
      <c r="LP15" s="143" t="n"/>
      <c r="LQ15" s="143" t="n"/>
      <c r="LR15" s="143" t="n"/>
      <c r="LS15" s="143" t="n"/>
      <c r="LT15" s="143" t="n"/>
      <c r="LU15" s="143" t="n"/>
      <c r="LV15" s="143" t="n"/>
      <c r="LW15" s="143" t="n"/>
      <c r="LX15" s="143" t="n"/>
      <c r="LY15" s="143" t="n"/>
      <c r="LZ15" s="143" t="n"/>
      <c r="MA15" s="143" t="n"/>
      <c r="MB15" s="143" t="n"/>
      <c r="MC15" s="143" t="n"/>
      <c r="MD15" s="143" t="n"/>
      <c r="ME15" s="143" t="n"/>
      <c r="MF15" s="143" t="n"/>
      <c r="MG15" s="143" t="n"/>
      <c r="MH15" s="143" t="n"/>
      <c r="MI15" s="143" t="n"/>
      <c r="MJ15" s="143" t="n"/>
      <c r="MK15" s="143" t="n"/>
      <c r="ML15" s="143" t="n"/>
      <c r="MM15" s="143" t="n"/>
      <c r="MN15" s="143" t="n"/>
      <c r="MO15" s="143" t="n"/>
      <c r="MP15" s="143" t="n"/>
      <c r="MQ15" s="143" t="n"/>
      <c r="MR15" s="143" t="n"/>
      <c r="MS15" s="143" t="n"/>
      <c r="MT15" s="143" t="n"/>
      <c r="MU15" s="143" t="n"/>
      <c r="MV15" s="143" t="n"/>
      <c r="MW15" s="143" t="n"/>
      <c r="MX15" s="143" t="n"/>
      <c r="MY15" s="143" t="n"/>
      <c r="MZ15" s="143" t="n"/>
      <c r="NA15" s="143" t="n"/>
      <c r="NB15" s="143" t="n"/>
      <c r="NC15" s="143" t="n"/>
      <c r="ND15" s="143" t="n"/>
      <c r="NE15" s="1" t="n"/>
      <c r="NF15" s="1" t="n"/>
      <c r="NG15" s="1" t="n"/>
    </row>
    <row r="16">
      <c r="A16" s="1" t="n"/>
      <c r="B16" s="17" t="inlineStr">
        <is>
          <t>Eat 5 serves of fruit &amp; veg</t>
        </is>
      </c>
      <c r="C16" s="142">
        <f>IF(B16="","",IFERROR(COUNTIF(E16:ND16,"✓")/MAX(1,MIN(364,Setup!$D$7-$E$7+1)),0))</f>
        <v/>
      </c>
      <c r="D16" s="48">
        <f>IF(B16="","",COUNTIF(E16:ND16,"✓"))</f>
        <v/>
      </c>
      <c r="E16" s="144" t="n"/>
      <c r="F16" s="144" t="inlineStr">
        <is>
          <t>✓</t>
        </is>
      </c>
      <c r="G16" s="144" t="inlineStr">
        <is>
          <t>✓</t>
        </is>
      </c>
      <c r="H16" s="144" t="inlineStr">
        <is>
          <t>✓</t>
        </is>
      </c>
      <c r="I16" s="144" t="n"/>
      <c r="J16" s="144" t="inlineStr">
        <is>
          <t>✓</t>
        </is>
      </c>
      <c r="K16" s="144" t="inlineStr">
        <is>
          <t>✓</t>
        </is>
      </c>
      <c r="L16" s="144" t="n"/>
      <c r="M16" s="144" t="n"/>
      <c r="N16" s="144" t="inlineStr">
        <is>
          <t>✓</t>
        </is>
      </c>
      <c r="O16" s="144" t="n"/>
      <c r="P16" s="144" t="inlineStr">
        <is>
          <t>✓</t>
        </is>
      </c>
      <c r="Q16" s="144" t="n"/>
      <c r="R16" s="144" t="inlineStr">
        <is>
          <t>✓</t>
        </is>
      </c>
      <c r="S16" s="144" t="inlineStr">
        <is>
          <t>✓</t>
        </is>
      </c>
      <c r="T16" s="144" t="n"/>
      <c r="U16" s="144" t="n"/>
      <c r="V16" s="144" t="n"/>
      <c r="W16" s="144" t="inlineStr">
        <is>
          <t>✓</t>
        </is>
      </c>
      <c r="X16" s="144" t="inlineStr">
        <is>
          <t>✓</t>
        </is>
      </c>
      <c r="Y16" s="144" t="inlineStr">
        <is>
          <t>✓</t>
        </is>
      </c>
      <c r="Z16" s="144" t="inlineStr">
        <is>
          <t>✓</t>
        </is>
      </c>
      <c r="AA16" s="144" t="inlineStr">
        <is>
          <t>✓</t>
        </is>
      </c>
      <c r="AB16" s="144" t="n"/>
      <c r="AC16" s="144" t="n"/>
      <c r="AD16" s="144" t="n"/>
      <c r="AE16" s="144" t="n"/>
      <c r="AF16" s="144" t="inlineStr">
        <is>
          <t>✓</t>
        </is>
      </c>
      <c r="AG16" s="144" t="inlineStr">
        <is>
          <t>✓</t>
        </is>
      </c>
      <c r="AH16" s="144" t="n"/>
      <c r="AI16" s="144" t="n"/>
      <c r="AJ16" s="144" t="n"/>
      <c r="AK16" s="144" t="n"/>
      <c r="AL16" s="144" t="n"/>
      <c r="AM16" s="144" t="n"/>
      <c r="AN16" s="144" t="n"/>
      <c r="AO16" s="144" t="n"/>
      <c r="AP16" s="144" t="n"/>
      <c r="AQ16" s="144" t="n"/>
      <c r="AR16" s="144" t="n"/>
      <c r="AS16" s="144" t="n"/>
      <c r="AT16" s="144" t="n"/>
      <c r="AU16" s="144" t="n"/>
      <c r="AV16" s="144" t="n"/>
      <c r="AW16" s="144" t="n"/>
      <c r="AX16" s="144" t="n"/>
      <c r="AY16" s="144" t="n"/>
      <c r="AZ16" s="144" t="n"/>
      <c r="BA16" s="144" t="n"/>
      <c r="BB16" s="144" t="n"/>
      <c r="BC16" s="144" t="n"/>
      <c r="BD16" s="144" t="n"/>
      <c r="BE16" s="144" t="n"/>
      <c r="BF16" s="144" t="n"/>
      <c r="BG16" s="144" t="n"/>
      <c r="BH16" s="144" t="n"/>
      <c r="BI16" s="144" t="n"/>
      <c r="BJ16" s="144" t="n"/>
      <c r="BK16" s="144" t="n"/>
      <c r="BL16" s="144" t="n"/>
      <c r="BM16" s="144" t="n"/>
      <c r="BN16" s="144" t="n"/>
      <c r="BO16" s="144" t="n"/>
      <c r="BP16" s="144" t="n"/>
      <c r="BQ16" s="144" t="n"/>
      <c r="BR16" s="144" t="n"/>
      <c r="BS16" s="144" t="n"/>
      <c r="BT16" s="144" t="n"/>
      <c r="BU16" s="144" t="n"/>
      <c r="BV16" s="144" t="n"/>
      <c r="BW16" s="144" t="n"/>
      <c r="BX16" s="144" t="n"/>
      <c r="BY16" s="144" t="n"/>
      <c r="BZ16" s="144" t="n"/>
      <c r="CA16" s="144" t="n"/>
      <c r="CB16" s="144" t="n"/>
      <c r="CC16" s="144" t="n"/>
      <c r="CD16" s="144" t="n"/>
      <c r="CE16" s="144" t="n"/>
      <c r="CF16" s="144" t="n"/>
      <c r="CG16" s="144" t="n"/>
      <c r="CH16" s="144" t="n"/>
      <c r="CI16" s="144" t="n"/>
      <c r="CJ16" s="144" t="n"/>
      <c r="CK16" s="144" t="n"/>
      <c r="CL16" s="144" t="n"/>
      <c r="CM16" s="144" t="n"/>
      <c r="CN16" s="144" t="n"/>
      <c r="CO16" s="144" t="n"/>
      <c r="CP16" s="144" t="n"/>
      <c r="CQ16" s="144" t="n"/>
      <c r="CR16" s="144" t="n"/>
      <c r="CS16" s="144" t="n"/>
      <c r="CT16" s="144" t="n"/>
      <c r="CU16" s="144" t="n"/>
      <c r="CV16" s="144" t="n"/>
      <c r="CW16" s="144" t="n"/>
      <c r="CX16" s="144" t="n"/>
      <c r="CY16" s="144" t="n"/>
      <c r="CZ16" s="144" t="n"/>
      <c r="DA16" s="144" t="n"/>
      <c r="DB16" s="144" t="n"/>
      <c r="DC16" s="144" t="n"/>
      <c r="DD16" s="144" t="n"/>
      <c r="DE16" s="144" t="n"/>
      <c r="DF16" s="144" t="n"/>
      <c r="DG16" s="144" t="n"/>
      <c r="DH16" s="144" t="n"/>
      <c r="DI16" s="144" t="n"/>
      <c r="DJ16" s="144" t="n"/>
      <c r="DK16" s="144" t="n"/>
      <c r="DL16" s="144" t="n"/>
      <c r="DM16" s="144" t="n"/>
      <c r="DN16" s="144" t="n"/>
      <c r="DO16" s="144" t="n"/>
      <c r="DP16" s="144" t="n"/>
      <c r="DQ16" s="144" t="n"/>
      <c r="DR16" s="144" t="n"/>
      <c r="DS16" s="144" t="n"/>
      <c r="DT16" s="144" t="n"/>
      <c r="DU16" s="144" t="n"/>
      <c r="DV16" s="144" t="n"/>
      <c r="DW16" s="144" t="n"/>
      <c r="DX16" s="144" t="n"/>
      <c r="DY16" s="144" t="n"/>
      <c r="DZ16" s="144" t="n"/>
      <c r="EA16" s="144" t="n"/>
      <c r="EB16" s="144" t="n"/>
      <c r="EC16" s="144" t="n"/>
      <c r="ED16" s="144" t="n"/>
      <c r="EE16" s="144" t="n"/>
      <c r="EF16" s="144" t="n"/>
      <c r="EG16" s="144" t="n"/>
      <c r="EH16" s="144" t="n"/>
      <c r="EI16" s="144" t="n"/>
      <c r="EJ16" s="144" t="n"/>
      <c r="EK16" s="144" t="n"/>
      <c r="EL16" s="144" t="n"/>
      <c r="EM16" s="144" t="n"/>
      <c r="EN16" s="144" t="n"/>
      <c r="EO16" s="144" t="n"/>
      <c r="EP16" s="144" t="n"/>
      <c r="EQ16" s="144" t="n"/>
      <c r="ER16" s="144" t="n"/>
      <c r="ES16" s="144" t="n"/>
      <c r="ET16" s="144" t="n"/>
      <c r="EU16" s="144" t="n"/>
      <c r="EV16" s="144" t="n"/>
      <c r="EW16" s="144" t="n"/>
      <c r="EX16" s="144" t="n"/>
      <c r="EY16" s="144" t="n"/>
      <c r="EZ16" s="144" t="n"/>
      <c r="FA16" s="144" t="n"/>
      <c r="FB16" s="144" t="n"/>
      <c r="FC16" s="144" t="n"/>
      <c r="FD16" s="144" t="n"/>
      <c r="FE16" s="144" t="n"/>
      <c r="FF16" s="144" t="n"/>
      <c r="FG16" s="144" t="n"/>
      <c r="FH16" s="144" t="n"/>
      <c r="FI16" s="144" t="n"/>
      <c r="FJ16" s="144" t="n"/>
      <c r="FK16" s="144" t="n"/>
      <c r="FL16" s="144" t="n"/>
      <c r="FM16" s="144" t="n"/>
      <c r="FN16" s="144" t="n"/>
      <c r="FO16" s="144" t="n"/>
      <c r="FP16" s="144" t="n"/>
      <c r="FQ16" s="144" t="n"/>
      <c r="FR16" s="144" t="n"/>
      <c r="FS16" s="144" t="n"/>
      <c r="FT16" s="144" t="n"/>
      <c r="FU16" s="144" t="n"/>
      <c r="FV16" s="144" t="n"/>
      <c r="FW16" s="144" t="n"/>
      <c r="FX16" s="144" t="n"/>
      <c r="FY16" s="144" t="n"/>
      <c r="FZ16" s="144" t="n"/>
      <c r="GA16" s="144" t="n"/>
      <c r="GB16" s="144" t="n"/>
      <c r="GC16" s="144" t="n"/>
      <c r="GD16" s="144" t="n"/>
      <c r="GE16" s="144" t="n"/>
      <c r="GF16" s="144" t="n"/>
      <c r="GG16" s="144" t="n"/>
      <c r="GH16" s="144" t="n"/>
      <c r="GI16" s="144" t="n"/>
      <c r="GJ16" s="144" t="n"/>
      <c r="GK16" s="144" t="n"/>
      <c r="GL16" s="144" t="n"/>
      <c r="GM16" s="144" t="n"/>
      <c r="GN16" s="144" t="n"/>
      <c r="GO16" s="144" t="n"/>
      <c r="GP16" s="144" t="n"/>
      <c r="GQ16" s="144" t="n"/>
      <c r="GR16" s="144" t="n"/>
      <c r="GS16" s="144" t="n"/>
      <c r="GT16" s="144" t="n"/>
      <c r="GU16" s="144" t="n"/>
      <c r="GV16" s="144" t="n"/>
      <c r="GW16" s="144" t="n"/>
      <c r="GX16" s="144" t="n"/>
      <c r="GY16" s="144" t="n"/>
      <c r="GZ16" s="144" t="n"/>
      <c r="HA16" s="144" t="n"/>
      <c r="HB16" s="144" t="n"/>
      <c r="HC16" s="144" t="n"/>
      <c r="HD16" s="144" t="n"/>
      <c r="HE16" s="144" t="n"/>
      <c r="HF16" s="144" t="n"/>
      <c r="HG16" s="144" t="n"/>
      <c r="HH16" s="144" t="n"/>
      <c r="HI16" s="144" t="n"/>
      <c r="HJ16" s="144" t="n"/>
      <c r="HK16" s="144" t="n"/>
      <c r="HL16" s="144" t="n"/>
      <c r="HM16" s="144" t="n"/>
      <c r="HN16" s="144" t="n"/>
      <c r="HO16" s="144" t="n"/>
      <c r="HP16" s="144" t="n"/>
      <c r="HQ16" s="144" t="n"/>
      <c r="HR16" s="144" t="n"/>
      <c r="HS16" s="144" t="n"/>
      <c r="HT16" s="144" t="n"/>
      <c r="HU16" s="144" t="n"/>
      <c r="HV16" s="144" t="n"/>
      <c r="HW16" s="144" t="n"/>
      <c r="HX16" s="144" t="n"/>
      <c r="HY16" s="144" t="n"/>
      <c r="HZ16" s="144" t="n"/>
      <c r="IA16" s="144" t="n"/>
      <c r="IB16" s="144" t="n"/>
      <c r="IC16" s="144" t="n"/>
      <c r="ID16" s="144" t="n"/>
      <c r="IE16" s="144" t="n"/>
      <c r="IF16" s="144" t="n"/>
      <c r="IG16" s="144" t="n"/>
      <c r="IH16" s="144" t="n"/>
      <c r="II16" s="144" t="n"/>
      <c r="IJ16" s="144" t="n"/>
      <c r="IK16" s="144" t="n"/>
      <c r="IL16" s="144" t="n"/>
      <c r="IM16" s="144" t="n"/>
      <c r="IN16" s="144" t="n"/>
      <c r="IO16" s="144" t="n"/>
      <c r="IP16" s="144" t="n"/>
      <c r="IQ16" s="144" t="n"/>
      <c r="IR16" s="144" t="n"/>
      <c r="IS16" s="144" t="n"/>
      <c r="IT16" s="144" t="n"/>
      <c r="IU16" s="144" t="n"/>
      <c r="IV16" s="144" t="n"/>
      <c r="IW16" s="144" t="n"/>
      <c r="IX16" s="144" t="n"/>
      <c r="IY16" s="144" t="n"/>
      <c r="IZ16" s="144" t="n"/>
      <c r="JA16" s="144" t="n"/>
      <c r="JB16" s="144" t="n"/>
      <c r="JC16" s="144" t="n"/>
      <c r="JD16" s="144" t="n"/>
      <c r="JE16" s="144" t="n"/>
      <c r="JF16" s="144" t="n"/>
      <c r="JG16" s="144" t="n"/>
      <c r="JH16" s="144" t="n"/>
      <c r="JI16" s="144" t="n"/>
      <c r="JJ16" s="144" t="n"/>
      <c r="JK16" s="144" t="n"/>
      <c r="JL16" s="144" t="n"/>
      <c r="JM16" s="144" t="n"/>
      <c r="JN16" s="144" t="n"/>
      <c r="JO16" s="144" t="n"/>
      <c r="JP16" s="144" t="n"/>
      <c r="JQ16" s="144" t="n"/>
      <c r="JR16" s="144" t="n"/>
      <c r="JS16" s="144" t="n"/>
      <c r="JT16" s="144" t="n"/>
      <c r="JU16" s="144" t="n"/>
      <c r="JV16" s="144" t="n"/>
      <c r="JW16" s="144" t="n"/>
      <c r="JX16" s="144" t="n"/>
      <c r="JY16" s="144" t="n"/>
      <c r="JZ16" s="144" t="n"/>
      <c r="KA16" s="144" t="n"/>
      <c r="KB16" s="144" t="n"/>
      <c r="KC16" s="144" t="n"/>
      <c r="KD16" s="144" t="n"/>
      <c r="KE16" s="144" t="n"/>
      <c r="KF16" s="144" t="n"/>
      <c r="KG16" s="144" t="n"/>
      <c r="KH16" s="144" t="n"/>
      <c r="KI16" s="144" t="n"/>
      <c r="KJ16" s="144" t="n"/>
      <c r="KK16" s="144" t="n"/>
      <c r="KL16" s="144" t="n"/>
      <c r="KM16" s="144" t="n"/>
      <c r="KN16" s="144" t="n"/>
      <c r="KO16" s="144" t="n"/>
      <c r="KP16" s="144" t="n"/>
      <c r="KQ16" s="144" t="n"/>
      <c r="KR16" s="144" t="n"/>
      <c r="KS16" s="144" t="n"/>
      <c r="KT16" s="144" t="n"/>
      <c r="KU16" s="144" t="n"/>
      <c r="KV16" s="144" t="n"/>
      <c r="KW16" s="144" t="n"/>
      <c r="KX16" s="144" t="n"/>
      <c r="KY16" s="144" t="n"/>
      <c r="KZ16" s="144" t="n"/>
      <c r="LA16" s="144" t="n"/>
      <c r="LB16" s="144" t="n"/>
      <c r="LC16" s="144" t="n"/>
      <c r="LD16" s="144" t="n"/>
      <c r="LE16" s="144" t="n"/>
      <c r="LF16" s="144" t="n"/>
      <c r="LG16" s="144" t="n"/>
      <c r="LH16" s="144" t="n"/>
      <c r="LI16" s="144" t="n"/>
      <c r="LJ16" s="144" t="n"/>
      <c r="LK16" s="144" t="n"/>
      <c r="LL16" s="144" t="n"/>
      <c r="LM16" s="144" t="n"/>
      <c r="LN16" s="144" t="n"/>
      <c r="LO16" s="144" t="n"/>
      <c r="LP16" s="144" t="n"/>
      <c r="LQ16" s="144" t="n"/>
      <c r="LR16" s="144" t="n"/>
      <c r="LS16" s="144" t="n"/>
      <c r="LT16" s="144" t="n"/>
      <c r="LU16" s="144" t="n"/>
      <c r="LV16" s="144" t="n"/>
      <c r="LW16" s="144" t="n"/>
      <c r="LX16" s="144" t="n"/>
      <c r="LY16" s="144" t="n"/>
      <c r="LZ16" s="144" t="n"/>
      <c r="MA16" s="144" t="n"/>
      <c r="MB16" s="144" t="n"/>
      <c r="MC16" s="144" t="n"/>
      <c r="MD16" s="144" t="n"/>
      <c r="ME16" s="144" t="n"/>
      <c r="MF16" s="144" t="n"/>
      <c r="MG16" s="144" t="n"/>
      <c r="MH16" s="144" t="n"/>
      <c r="MI16" s="144" t="n"/>
      <c r="MJ16" s="144" t="n"/>
      <c r="MK16" s="144" t="n"/>
      <c r="ML16" s="144" t="n"/>
      <c r="MM16" s="144" t="n"/>
      <c r="MN16" s="144" t="n"/>
      <c r="MO16" s="144" t="n"/>
      <c r="MP16" s="144" t="n"/>
      <c r="MQ16" s="144" t="n"/>
      <c r="MR16" s="144" t="n"/>
      <c r="MS16" s="144" t="n"/>
      <c r="MT16" s="144" t="n"/>
      <c r="MU16" s="144" t="n"/>
      <c r="MV16" s="144" t="n"/>
      <c r="MW16" s="144" t="n"/>
      <c r="MX16" s="144" t="n"/>
      <c r="MY16" s="144" t="n"/>
      <c r="MZ16" s="144" t="n"/>
      <c r="NA16" s="144" t="n"/>
      <c r="NB16" s="144" t="n"/>
      <c r="NC16" s="144" t="n"/>
      <c r="ND16" s="144" t="n"/>
      <c r="NE16" s="1" t="n"/>
      <c r="NF16" s="1" t="n"/>
      <c r="NG16" s="1" t="n"/>
    </row>
    <row r="17">
      <c r="A17" s="1" t="n"/>
      <c r="B17" s="17" t="inlineStr">
        <is>
          <t>No coffee after 2pm</t>
        </is>
      </c>
      <c r="C17" s="142">
        <f>IF(B17="","",IFERROR(COUNTIF(E17:ND17,"✓")/MAX(1,MIN(364,Setup!$D$7-$E$7+1)),0))</f>
        <v/>
      </c>
      <c r="D17" s="48">
        <f>IF(B17="","",COUNTIF(E17:ND17,"✓"))</f>
        <v/>
      </c>
      <c r="E17" s="143" t="inlineStr">
        <is>
          <t>✓</t>
        </is>
      </c>
      <c r="F17" s="143" t="inlineStr">
        <is>
          <t>✓</t>
        </is>
      </c>
      <c r="G17" s="143" t="inlineStr">
        <is>
          <t>✓</t>
        </is>
      </c>
      <c r="H17" s="143" t="inlineStr">
        <is>
          <t>✓</t>
        </is>
      </c>
      <c r="I17" s="143" t="inlineStr">
        <is>
          <t>✓</t>
        </is>
      </c>
      <c r="J17" s="143" t="inlineStr">
        <is>
          <t>✓</t>
        </is>
      </c>
      <c r="K17" s="143" t="inlineStr">
        <is>
          <t>✓</t>
        </is>
      </c>
      <c r="L17" s="143" t="n"/>
      <c r="M17" s="143" t="n"/>
      <c r="N17" s="143" t="inlineStr">
        <is>
          <t>✓</t>
        </is>
      </c>
      <c r="O17" s="143" t="inlineStr">
        <is>
          <t>✓</t>
        </is>
      </c>
      <c r="P17" s="143" t="inlineStr">
        <is>
          <t>✓</t>
        </is>
      </c>
      <c r="Q17" s="143" t="n"/>
      <c r="R17" s="143" t="inlineStr">
        <is>
          <t>✓</t>
        </is>
      </c>
      <c r="S17" s="143" t="n"/>
      <c r="T17" s="143" t="inlineStr">
        <is>
          <t>✓</t>
        </is>
      </c>
      <c r="U17" s="143" t="inlineStr">
        <is>
          <t>✓</t>
        </is>
      </c>
      <c r="V17" s="143" t="n"/>
      <c r="W17" s="143" t="inlineStr">
        <is>
          <t>✓</t>
        </is>
      </c>
      <c r="X17" s="143" t="inlineStr">
        <is>
          <t>✓</t>
        </is>
      </c>
      <c r="Y17" s="143" t="inlineStr">
        <is>
          <t>✓</t>
        </is>
      </c>
      <c r="Z17" s="143" t="inlineStr">
        <is>
          <t>✓</t>
        </is>
      </c>
      <c r="AA17" s="143" t="n"/>
      <c r="AB17" s="143" t="inlineStr">
        <is>
          <t>✓</t>
        </is>
      </c>
      <c r="AC17" s="143" t="inlineStr">
        <is>
          <t>✓</t>
        </is>
      </c>
      <c r="AD17" s="143" t="inlineStr">
        <is>
          <t>✓</t>
        </is>
      </c>
      <c r="AE17" s="143" t="inlineStr">
        <is>
          <t>✓</t>
        </is>
      </c>
      <c r="AF17" s="143" t="inlineStr">
        <is>
          <t>✓</t>
        </is>
      </c>
      <c r="AG17" s="143" t="inlineStr">
        <is>
          <t>✓</t>
        </is>
      </c>
      <c r="AH17" s="143" t="n"/>
      <c r="AI17" s="143" t="n"/>
      <c r="AJ17" s="143" t="n"/>
      <c r="AK17" s="143" t="n"/>
      <c r="AL17" s="143" t="n"/>
      <c r="AM17" s="143" t="n"/>
      <c r="AN17" s="143" t="n"/>
      <c r="AO17" s="143" t="n"/>
      <c r="AP17" s="143" t="n"/>
      <c r="AQ17" s="143" t="n"/>
      <c r="AR17" s="143" t="n"/>
      <c r="AS17" s="143" t="n"/>
      <c r="AT17" s="143" t="n"/>
      <c r="AU17" s="143" t="n"/>
      <c r="AV17" s="143" t="n"/>
      <c r="AW17" s="143" t="n"/>
      <c r="AX17" s="143" t="n"/>
      <c r="AY17" s="143" t="n"/>
      <c r="AZ17" s="143" t="n"/>
      <c r="BA17" s="143" t="n"/>
      <c r="BB17" s="143" t="n"/>
      <c r="BC17" s="143" t="n"/>
      <c r="BD17" s="143" t="n"/>
      <c r="BE17" s="143" t="n"/>
      <c r="BF17" s="143" t="n"/>
      <c r="BG17" s="143" t="n"/>
      <c r="BH17" s="143" t="n"/>
      <c r="BI17" s="143" t="n"/>
      <c r="BJ17" s="143" t="n"/>
      <c r="BK17" s="143" t="n"/>
      <c r="BL17" s="143" t="n"/>
      <c r="BM17" s="143" t="n"/>
      <c r="BN17" s="143" t="n"/>
      <c r="BO17" s="143" t="n"/>
      <c r="BP17" s="143" t="n"/>
      <c r="BQ17" s="143" t="n"/>
      <c r="BR17" s="143" t="n"/>
      <c r="BS17" s="143" t="n"/>
      <c r="BT17" s="143" t="n"/>
      <c r="BU17" s="143" t="n"/>
      <c r="BV17" s="143" t="n"/>
      <c r="BW17" s="143" t="n"/>
      <c r="BX17" s="143" t="n"/>
      <c r="BY17" s="143" t="n"/>
      <c r="BZ17" s="143" t="n"/>
      <c r="CA17" s="143" t="n"/>
      <c r="CB17" s="143" t="n"/>
      <c r="CC17" s="143" t="n"/>
      <c r="CD17" s="143" t="n"/>
      <c r="CE17" s="143" t="n"/>
      <c r="CF17" s="143" t="n"/>
      <c r="CG17" s="143" t="n"/>
      <c r="CH17" s="143" t="n"/>
      <c r="CI17" s="143" t="n"/>
      <c r="CJ17" s="143" t="n"/>
      <c r="CK17" s="143" t="n"/>
      <c r="CL17" s="143" t="n"/>
      <c r="CM17" s="143" t="n"/>
      <c r="CN17" s="143" t="n"/>
      <c r="CO17" s="143" t="n"/>
      <c r="CP17" s="143" t="n"/>
      <c r="CQ17" s="143" t="n"/>
      <c r="CR17" s="143" t="n"/>
      <c r="CS17" s="143" t="n"/>
      <c r="CT17" s="143" t="n"/>
      <c r="CU17" s="143" t="n"/>
      <c r="CV17" s="143" t="n"/>
      <c r="CW17" s="143" t="n"/>
      <c r="CX17" s="143" t="n"/>
      <c r="CY17" s="143" t="n"/>
      <c r="CZ17" s="143" t="n"/>
      <c r="DA17" s="143" t="n"/>
      <c r="DB17" s="143" t="n"/>
      <c r="DC17" s="143" t="n"/>
      <c r="DD17" s="143" t="n"/>
      <c r="DE17" s="143" t="n"/>
      <c r="DF17" s="143" t="n"/>
      <c r="DG17" s="143" t="n"/>
      <c r="DH17" s="143" t="n"/>
      <c r="DI17" s="143" t="n"/>
      <c r="DJ17" s="143" t="n"/>
      <c r="DK17" s="143" t="n"/>
      <c r="DL17" s="143" t="n"/>
      <c r="DM17" s="143" t="n"/>
      <c r="DN17" s="143" t="n"/>
      <c r="DO17" s="143" t="n"/>
      <c r="DP17" s="143" t="n"/>
      <c r="DQ17" s="143" t="n"/>
      <c r="DR17" s="143" t="n"/>
      <c r="DS17" s="143" t="n"/>
      <c r="DT17" s="143" t="n"/>
      <c r="DU17" s="143" t="n"/>
      <c r="DV17" s="143" t="n"/>
      <c r="DW17" s="143" t="n"/>
      <c r="DX17" s="143" t="n"/>
      <c r="DY17" s="143" t="n"/>
      <c r="DZ17" s="143" t="n"/>
      <c r="EA17" s="143" t="n"/>
      <c r="EB17" s="143" t="n"/>
      <c r="EC17" s="143" t="n"/>
      <c r="ED17" s="143" t="n"/>
      <c r="EE17" s="143" t="n"/>
      <c r="EF17" s="143" t="n"/>
      <c r="EG17" s="143" t="n"/>
      <c r="EH17" s="143" t="n"/>
      <c r="EI17" s="143" t="n"/>
      <c r="EJ17" s="143" t="n"/>
      <c r="EK17" s="143" t="n"/>
      <c r="EL17" s="143" t="n"/>
      <c r="EM17" s="143" t="n"/>
      <c r="EN17" s="143" t="n"/>
      <c r="EO17" s="143" t="n"/>
      <c r="EP17" s="143" t="n"/>
      <c r="EQ17" s="143" t="n"/>
      <c r="ER17" s="143" t="n"/>
      <c r="ES17" s="143" t="n"/>
      <c r="ET17" s="143" t="n"/>
      <c r="EU17" s="143" t="n"/>
      <c r="EV17" s="143" t="n"/>
      <c r="EW17" s="143" t="n"/>
      <c r="EX17" s="143" t="n"/>
      <c r="EY17" s="143" t="n"/>
      <c r="EZ17" s="143" t="n"/>
      <c r="FA17" s="143" t="n"/>
      <c r="FB17" s="143" t="n"/>
      <c r="FC17" s="143" t="n"/>
      <c r="FD17" s="143" t="n"/>
      <c r="FE17" s="143" t="n"/>
      <c r="FF17" s="143" t="n"/>
      <c r="FG17" s="143" t="n"/>
      <c r="FH17" s="143" t="n"/>
      <c r="FI17" s="143" t="n"/>
      <c r="FJ17" s="143" t="n"/>
      <c r="FK17" s="143" t="n"/>
      <c r="FL17" s="143" t="n"/>
      <c r="FM17" s="143" t="n"/>
      <c r="FN17" s="143" t="n"/>
      <c r="FO17" s="143" t="n"/>
      <c r="FP17" s="143" t="n"/>
      <c r="FQ17" s="143" t="n"/>
      <c r="FR17" s="143" t="n"/>
      <c r="FS17" s="143" t="n"/>
      <c r="FT17" s="143" t="n"/>
      <c r="FU17" s="143" t="n"/>
      <c r="FV17" s="143" t="n"/>
      <c r="FW17" s="143" t="n"/>
      <c r="FX17" s="143" t="n"/>
      <c r="FY17" s="143" t="n"/>
      <c r="FZ17" s="143" t="n"/>
      <c r="GA17" s="143" t="n"/>
      <c r="GB17" s="143" t="n"/>
      <c r="GC17" s="143" t="n"/>
      <c r="GD17" s="143" t="n"/>
      <c r="GE17" s="143" t="n"/>
      <c r="GF17" s="143" t="n"/>
      <c r="GG17" s="143" t="n"/>
      <c r="GH17" s="143" t="n"/>
      <c r="GI17" s="143" t="n"/>
      <c r="GJ17" s="143" t="n"/>
      <c r="GK17" s="143" t="n"/>
      <c r="GL17" s="143" t="n"/>
      <c r="GM17" s="143" t="n"/>
      <c r="GN17" s="143" t="n"/>
      <c r="GO17" s="143" t="n"/>
      <c r="GP17" s="143" t="n"/>
      <c r="GQ17" s="143" t="n"/>
      <c r="GR17" s="143" t="n"/>
      <c r="GS17" s="143" t="n"/>
      <c r="GT17" s="143" t="n"/>
      <c r="GU17" s="143" t="n"/>
      <c r="GV17" s="143" t="n"/>
      <c r="GW17" s="143" t="n"/>
      <c r="GX17" s="143" t="n"/>
      <c r="GY17" s="143" t="n"/>
      <c r="GZ17" s="143" t="n"/>
      <c r="HA17" s="143" t="n"/>
      <c r="HB17" s="143" t="n"/>
      <c r="HC17" s="143" t="n"/>
      <c r="HD17" s="143" t="n"/>
      <c r="HE17" s="143" t="n"/>
      <c r="HF17" s="143" t="n"/>
      <c r="HG17" s="143" t="n"/>
      <c r="HH17" s="143" t="n"/>
      <c r="HI17" s="143" t="n"/>
      <c r="HJ17" s="143" t="n"/>
      <c r="HK17" s="143" t="n"/>
      <c r="HL17" s="143" t="n"/>
      <c r="HM17" s="143" t="n"/>
      <c r="HN17" s="143" t="n"/>
      <c r="HO17" s="143" t="n"/>
      <c r="HP17" s="143" t="n"/>
      <c r="HQ17" s="143" t="n"/>
      <c r="HR17" s="143" t="n"/>
      <c r="HS17" s="143" t="n"/>
      <c r="HT17" s="143" t="n"/>
      <c r="HU17" s="143" t="n"/>
      <c r="HV17" s="143" t="n"/>
      <c r="HW17" s="143" t="n"/>
      <c r="HX17" s="143" t="n"/>
      <c r="HY17" s="143" t="n"/>
      <c r="HZ17" s="143" t="n"/>
      <c r="IA17" s="143" t="n"/>
      <c r="IB17" s="143" t="n"/>
      <c r="IC17" s="143" t="n"/>
      <c r="ID17" s="143" t="n"/>
      <c r="IE17" s="143" t="n"/>
      <c r="IF17" s="143" t="n"/>
      <c r="IG17" s="143" t="n"/>
      <c r="IH17" s="143" t="n"/>
      <c r="II17" s="143" t="n"/>
      <c r="IJ17" s="143" t="n"/>
      <c r="IK17" s="143" t="n"/>
      <c r="IL17" s="143" t="n"/>
      <c r="IM17" s="143" t="n"/>
      <c r="IN17" s="143" t="n"/>
      <c r="IO17" s="143" t="n"/>
      <c r="IP17" s="143" t="n"/>
      <c r="IQ17" s="143" t="n"/>
      <c r="IR17" s="143" t="n"/>
      <c r="IS17" s="143" t="n"/>
      <c r="IT17" s="143" t="n"/>
      <c r="IU17" s="143" t="n"/>
      <c r="IV17" s="143" t="n"/>
      <c r="IW17" s="143" t="n"/>
      <c r="IX17" s="143" t="n"/>
      <c r="IY17" s="143" t="n"/>
      <c r="IZ17" s="143" t="n"/>
      <c r="JA17" s="143" t="n"/>
      <c r="JB17" s="143" t="n"/>
      <c r="JC17" s="143" t="n"/>
      <c r="JD17" s="143" t="n"/>
      <c r="JE17" s="143" t="n"/>
      <c r="JF17" s="143" t="n"/>
      <c r="JG17" s="143" t="n"/>
      <c r="JH17" s="143" t="n"/>
      <c r="JI17" s="143" t="n"/>
      <c r="JJ17" s="143" t="n"/>
      <c r="JK17" s="143" t="n"/>
      <c r="JL17" s="143" t="n"/>
      <c r="JM17" s="143" t="n"/>
      <c r="JN17" s="143" t="n"/>
      <c r="JO17" s="143" t="n"/>
      <c r="JP17" s="143" t="n"/>
      <c r="JQ17" s="143" t="n"/>
      <c r="JR17" s="143" t="n"/>
      <c r="JS17" s="143" t="n"/>
      <c r="JT17" s="143" t="n"/>
      <c r="JU17" s="143" t="n"/>
      <c r="JV17" s="143" t="n"/>
      <c r="JW17" s="143" t="n"/>
      <c r="JX17" s="143" t="n"/>
      <c r="JY17" s="143" t="n"/>
      <c r="JZ17" s="143" t="n"/>
      <c r="KA17" s="143" t="n"/>
      <c r="KB17" s="143" t="n"/>
      <c r="KC17" s="143" t="n"/>
      <c r="KD17" s="143" t="n"/>
      <c r="KE17" s="143" t="n"/>
      <c r="KF17" s="143" t="n"/>
      <c r="KG17" s="143" t="n"/>
      <c r="KH17" s="143" t="n"/>
      <c r="KI17" s="143" t="n"/>
      <c r="KJ17" s="143" t="n"/>
      <c r="KK17" s="143" t="n"/>
      <c r="KL17" s="143" t="n"/>
      <c r="KM17" s="143" t="n"/>
      <c r="KN17" s="143" t="n"/>
      <c r="KO17" s="143" t="n"/>
      <c r="KP17" s="143" t="n"/>
      <c r="KQ17" s="143" t="n"/>
      <c r="KR17" s="143" t="n"/>
      <c r="KS17" s="143" t="n"/>
      <c r="KT17" s="143" t="n"/>
      <c r="KU17" s="143" t="n"/>
      <c r="KV17" s="143" t="n"/>
      <c r="KW17" s="143" t="n"/>
      <c r="KX17" s="143" t="n"/>
      <c r="KY17" s="143" t="n"/>
      <c r="KZ17" s="143" t="n"/>
      <c r="LA17" s="143" t="n"/>
      <c r="LB17" s="143" t="n"/>
      <c r="LC17" s="143" t="n"/>
      <c r="LD17" s="143" t="n"/>
      <c r="LE17" s="143" t="n"/>
      <c r="LF17" s="143" t="n"/>
      <c r="LG17" s="143" t="n"/>
      <c r="LH17" s="143" t="n"/>
      <c r="LI17" s="143" t="n"/>
      <c r="LJ17" s="143" t="n"/>
      <c r="LK17" s="143" t="n"/>
      <c r="LL17" s="143" t="n"/>
      <c r="LM17" s="143" t="n"/>
      <c r="LN17" s="143" t="n"/>
      <c r="LO17" s="143" t="n"/>
      <c r="LP17" s="143" t="n"/>
      <c r="LQ17" s="143" t="n"/>
      <c r="LR17" s="143" t="n"/>
      <c r="LS17" s="143" t="n"/>
      <c r="LT17" s="143" t="n"/>
      <c r="LU17" s="143" t="n"/>
      <c r="LV17" s="143" t="n"/>
      <c r="LW17" s="143" t="n"/>
      <c r="LX17" s="143" t="n"/>
      <c r="LY17" s="143" t="n"/>
      <c r="LZ17" s="143" t="n"/>
      <c r="MA17" s="143" t="n"/>
      <c r="MB17" s="143" t="n"/>
      <c r="MC17" s="143" t="n"/>
      <c r="MD17" s="143" t="n"/>
      <c r="ME17" s="143" t="n"/>
      <c r="MF17" s="143" t="n"/>
      <c r="MG17" s="143" t="n"/>
      <c r="MH17" s="143" t="n"/>
      <c r="MI17" s="143" t="n"/>
      <c r="MJ17" s="143" t="n"/>
      <c r="MK17" s="143" t="n"/>
      <c r="ML17" s="143" t="n"/>
      <c r="MM17" s="143" t="n"/>
      <c r="MN17" s="143" t="n"/>
      <c r="MO17" s="143" t="n"/>
      <c r="MP17" s="143" t="n"/>
      <c r="MQ17" s="143" t="n"/>
      <c r="MR17" s="143" t="n"/>
      <c r="MS17" s="143" t="n"/>
      <c r="MT17" s="143" t="n"/>
      <c r="MU17" s="143" t="n"/>
      <c r="MV17" s="143" t="n"/>
      <c r="MW17" s="143" t="n"/>
      <c r="MX17" s="143" t="n"/>
      <c r="MY17" s="143" t="n"/>
      <c r="MZ17" s="143" t="n"/>
      <c r="NA17" s="143" t="n"/>
      <c r="NB17" s="143" t="n"/>
      <c r="NC17" s="143" t="n"/>
      <c r="ND17" s="143" t="n"/>
      <c r="NE17" s="1" t="n"/>
      <c r="NF17" s="1" t="n"/>
      <c r="NG17" s="1" t="n"/>
    </row>
    <row r="18">
      <c r="A18" s="1" t="n"/>
      <c r="B18" s="17" t="inlineStr">
        <is>
          <t>No eating after 7pm</t>
        </is>
      </c>
      <c r="C18" s="142">
        <f>IF(B18="","",IFERROR(COUNTIF(E18:ND18,"✓")/MAX(1,MIN(364,Setup!$D$7-$E$7+1)),0))</f>
        <v/>
      </c>
      <c r="D18" s="48">
        <f>IF(B18="","",COUNTIF(E18:ND18,"✓"))</f>
        <v/>
      </c>
      <c r="E18" s="144" t="inlineStr">
        <is>
          <t>✓</t>
        </is>
      </c>
      <c r="F18" s="144" t="n"/>
      <c r="G18" s="144" t="n"/>
      <c r="H18" s="144" t="n"/>
      <c r="I18" s="144" t="inlineStr">
        <is>
          <t>✓</t>
        </is>
      </c>
      <c r="J18" s="144" t="inlineStr">
        <is>
          <t>✓</t>
        </is>
      </c>
      <c r="K18" s="144" t="inlineStr">
        <is>
          <t>✓</t>
        </is>
      </c>
      <c r="L18" s="144" t="inlineStr">
        <is>
          <t>✓</t>
        </is>
      </c>
      <c r="M18" s="144" t="inlineStr">
        <is>
          <t>✓</t>
        </is>
      </c>
      <c r="N18" s="144" t="n"/>
      <c r="O18" s="144" t="inlineStr">
        <is>
          <t>✓</t>
        </is>
      </c>
      <c r="P18" s="144" t="inlineStr">
        <is>
          <t>✓</t>
        </is>
      </c>
      <c r="Q18" s="144" t="inlineStr">
        <is>
          <t>✓</t>
        </is>
      </c>
      <c r="R18" s="144" t="n"/>
      <c r="S18" s="144" t="inlineStr">
        <is>
          <t>✓</t>
        </is>
      </c>
      <c r="T18" s="144" t="inlineStr">
        <is>
          <t>✓</t>
        </is>
      </c>
      <c r="U18" s="144" t="n"/>
      <c r="V18" s="144" t="inlineStr">
        <is>
          <t>✓</t>
        </is>
      </c>
      <c r="W18" s="144" t="n"/>
      <c r="X18" s="144" t="n"/>
      <c r="Y18" s="144" t="inlineStr">
        <is>
          <t>✓</t>
        </is>
      </c>
      <c r="Z18" s="144" t="n"/>
      <c r="AA18" s="144" t="n"/>
      <c r="AB18" s="144" t="inlineStr">
        <is>
          <t>✓</t>
        </is>
      </c>
      <c r="AC18" s="144" t="inlineStr">
        <is>
          <t>✓</t>
        </is>
      </c>
      <c r="AD18" s="144" t="inlineStr">
        <is>
          <t>✓</t>
        </is>
      </c>
      <c r="AE18" s="144" t="n"/>
      <c r="AF18" s="144" t="inlineStr">
        <is>
          <t>✓</t>
        </is>
      </c>
      <c r="AG18" s="144" t="inlineStr">
        <is>
          <t>✓</t>
        </is>
      </c>
      <c r="AH18" s="144" t="n"/>
      <c r="AI18" s="144" t="n"/>
      <c r="AJ18" s="144" t="n"/>
      <c r="AK18" s="144" t="n"/>
      <c r="AL18" s="144" t="n"/>
      <c r="AM18" s="144" t="n"/>
      <c r="AN18" s="144" t="n"/>
      <c r="AO18" s="144" t="n"/>
      <c r="AP18" s="144" t="n"/>
      <c r="AQ18" s="144" t="n"/>
      <c r="AR18" s="144" t="n"/>
      <c r="AS18" s="144" t="n"/>
      <c r="AT18" s="144" t="n"/>
      <c r="AU18" s="144" t="n"/>
      <c r="AV18" s="144" t="n"/>
      <c r="AW18" s="144" t="n"/>
      <c r="AX18" s="144" t="n"/>
      <c r="AY18" s="144" t="n"/>
      <c r="AZ18" s="144" t="n"/>
      <c r="BA18" s="144" t="n"/>
      <c r="BB18" s="144" t="n"/>
      <c r="BC18" s="144" t="n"/>
      <c r="BD18" s="144" t="n"/>
      <c r="BE18" s="144" t="n"/>
      <c r="BF18" s="144" t="n"/>
      <c r="BG18" s="144" t="n"/>
      <c r="BH18" s="144" t="n"/>
      <c r="BI18" s="144" t="n"/>
      <c r="BJ18" s="144" t="n"/>
      <c r="BK18" s="144" t="n"/>
      <c r="BL18" s="144" t="n"/>
      <c r="BM18" s="144" t="n"/>
      <c r="BN18" s="144" t="n"/>
      <c r="BO18" s="144" t="n"/>
      <c r="BP18" s="144" t="n"/>
      <c r="BQ18" s="144" t="n"/>
      <c r="BR18" s="144" t="n"/>
      <c r="BS18" s="144" t="n"/>
      <c r="BT18" s="144" t="n"/>
      <c r="BU18" s="144" t="n"/>
      <c r="BV18" s="144" t="n"/>
      <c r="BW18" s="144" t="n"/>
      <c r="BX18" s="144" t="n"/>
      <c r="BY18" s="144" t="n"/>
      <c r="BZ18" s="144" t="n"/>
      <c r="CA18" s="144" t="n"/>
      <c r="CB18" s="144" t="n"/>
      <c r="CC18" s="144" t="n"/>
      <c r="CD18" s="144" t="n"/>
      <c r="CE18" s="144" t="n"/>
      <c r="CF18" s="144" t="n"/>
      <c r="CG18" s="144" t="n"/>
      <c r="CH18" s="144" t="n"/>
      <c r="CI18" s="144" t="n"/>
      <c r="CJ18" s="144" t="n"/>
      <c r="CK18" s="144" t="n"/>
      <c r="CL18" s="144" t="n"/>
      <c r="CM18" s="144" t="n"/>
      <c r="CN18" s="144" t="n"/>
      <c r="CO18" s="144" t="n"/>
      <c r="CP18" s="144" t="n"/>
      <c r="CQ18" s="144" t="n"/>
      <c r="CR18" s="144" t="n"/>
      <c r="CS18" s="144" t="n"/>
      <c r="CT18" s="144" t="n"/>
      <c r="CU18" s="144" t="n"/>
      <c r="CV18" s="144" t="n"/>
      <c r="CW18" s="144" t="n"/>
      <c r="CX18" s="144" t="n"/>
      <c r="CY18" s="144" t="n"/>
      <c r="CZ18" s="144" t="n"/>
      <c r="DA18" s="144" t="n"/>
      <c r="DB18" s="144" t="n"/>
      <c r="DC18" s="144" t="n"/>
      <c r="DD18" s="144" t="n"/>
      <c r="DE18" s="144" t="n"/>
      <c r="DF18" s="144" t="n"/>
      <c r="DG18" s="144" t="n"/>
      <c r="DH18" s="144" t="n"/>
      <c r="DI18" s="144" t="n"/>
      <c r="DJ18" s="144" t="n"/>
      <c r="DK18" s="144" t="n"/>
      <c r="DL18" s="144" t="n"/>
      <c r="DM18" s="144" t="n"/>
      <c r="DN18" s="144" t="n"/>
      <c r="DO18" s="144" t="n"/>
      <c r="DP18" s="144" t="n"/>
      <c r="DQ18" s="144" t="n"/>
      <c r="DR18" s="144" t="n"/>
      <c r="DS18" s="144" t="n"/>
      <c r="DT18" s="144" t="n"/>
      <c r="DU18" s="144" t="n"/>
      <c r="DV18" s="144" t="n"/>
      <c r="DW18" s="144" t="n"/>
      <c r="DX18" s="144" t="n"/>
      <c r="DY18" s="144" t="n"/>
      <c r="DZ18" s="144" t="n"/>
      <c r="EA18" s="144" t="n"/>
      <c r="EB18" s="144" t="n"/>
      <c r="EC18" s="144" t="n"/>
      <c r="ED18" s="144" t="n"/>
      <c r="EE18" s="144" t="n"/>
      <c r="EF18" s="144" t="n"/>
      <c r="EG18" s="144" t="n"/>
      <c r="EH18" s="144" t="n"/>
      <c r="EI18" s="144" t="n"/>
      <c r="EJ18" s="144" t="n"/>
      <c r="EK18" s="144" t="n"/>
      <c r="EL18" s="144" t="n"/>
      <c r="EM18" s="144" t="n"/>
      <c r="EN18" s="144" t="n"/>
      <c r="EO18" s="144" t="n"/>
      <c r="EP18" s="144" t="n"/>
      <c r="EQ18" s="144" t="n"/>
      <c r="ER18" s="144" t="n"/>
      <c r="ES18" s="144" t="n"/>
      <c r="ET18" s="144" t="n"/>
      <c r="EU18" s="144" t="n"/>
      <c r="EV18" s="144" t="n"/>
      <c r="EW18" s="144" t="n"/>
      <c r="EX18" s="144" t="n"/>
      <c r="EY18" s="144" t="n"/>
      <c r="EZ18" s="144" t="n"/>
      <c r="FA18" s="144" t="n"/>
      <c r="FB18" s="144" t="n"/>
      <c r="FC18" s="144" t="n"/>
      <c r="FD18" s="144" t="n"/>
      <c r="FE18" s="144" t="n"/>
      <c r="FF18" s="144" t="n"/>
      <c r="FG18" s="144" t="n"/>
      <c r="FH18" s="144" t="n"/>
      <c r="FI18" s="144" t="n"/>
      <c r="FJ18" s="144" t="n"/>
      <c r="FK18" s="144" t="n"/>
      <c r="FL18" s="144" t="n"/>
      <c r="FM18" s="144" t="n"/>
      <c r="FN18" s="144" t="n"/>
      <c r="FO18" s="144" t="n"/>
      <c r="FP18" s="144" t="n"/>
      <c r="FQ18" s="144" t="n"/>
      <c r="FR18" s="144" t="n"/>
      <c r="FS18" s="144" t="n"/>
      <c r="FT18" s="144" t="n"/>
      <c r="FU18" s="144" t="n"/>
      <c r="FV18" s="144" t="n"/>
      <c r="FW18" s="144" t="n"/>
      <c r="FX18" s="144" t="n"/>
      <c r="FY18" s="144" t="n"/>
      <c r="FZ18" s="144" t="n"/>
      <c r="GA18" s="144" t="n"/>
      <c r="GB18" s="144" t="n"/>
      <c r="GC18" s="144" t="n"/>
      <c r="GD18" s="144" t="n"/>
      <c r="GE18" s="144" t="n"/>
      <c r="GF18" s="144" t="n"/>
      <c r="GG18" s="144" t="n"/>
      <c r="GH18" s="144" t="n"/>
      <c r="GI18" s="144" t="n"/>
      <c r="GJ18" s="144" t="n"/>
      <c r="GK18" s="144" t="n"/>
      <c r="GL18" s="144" t="n"/>
      <c r="GM18" s="144" t="n"/>
      <c r="GN18" s="144" t="n"/>
      <c r="GO18" s="144" t="n"/>
      <c r="GP18" s="144" t="n"/>
      <c r="GQ18" s="144" t="n"/>
      <c r="GR18" s="144" t="n"/>
      <c r="GS18" s="144" t="n"/>
      <c r="GT18" s="144" t="n"/>
      <c r="GU18" s="144" t="n"/>
      <c r="GV18" s="144" t="n"/>
      <c r="GW18" s="144" t="n"/>
      <c r="GX18" s="144" t="n"/>
      <c r="GY18" s="144" t="n"/>
      <c r="GZ18" s="144" t="n"/>
      <c r="HA18" s="144" t="n"/>
      <c r="HB18" s="144" t="n"/>
      <c r="HC18" s="144" t="n"/>
      <c r="HD18" s="144" t="n"/>
      <c r="HE18" s="144" t="n"/>
      <c r="HF18" s="144" t="n"/>
      <c r="HG18" s="144" t="n"/>
      <c r="HH18" s="144" t="n"/>
      <c r="HI18" s="144" t="n"/>
      <c r="HJ18" s="144" t="n"/>
      <c r="HK18" s="144" t="n"/>
      <c r="HL18" s="144" t="n"/>
      <c r="HM18" s="144" t="n"/>
      <c r="HN18" s="144" t="n"/>
      <c r="HO18" s="144" t="n"/>
      <c r="HP18" s="144" t="n"/>
      <c r="HQ18" s="144" t="n"/>
      <c r="HR18" s="144" t="n"/>
      <c r="HS18" s="144" t="n"/>
      <c r="HT18" s="144" t="n"/>
      <c r="HU18" s="144" t="n"/>
      <c r="HV18" s="144" t="n"/>
      <c r="HW18" s="144" t="n"/>
      <c r="HX18" s="144" t="n"/>
      <c r="HY18" s="144" t="n"/>
      <c r="HZ18" s="144" t="n"/>
      <c r="IA18" s="144" t="n"/>
      <c r="IB18" s="144" t="n"/>
      <c r="IC18" s="144" t="n"/>
      <c r="ID18" s="144" t="n"/>
      <c r="IE18" s="144" t="n"/>
      <c r="IF18" s="144" t="n"/>
      <c r="IG18" s="144" t="n"/>
      <c r="IH18" s="144" t="n"/>
      <c r="II18" s="144" t="n"/>
      <c r="IJ18" s="144" t="n"/>
      <c r="IK18" s="144" t="n"/>
      <c r="IL18" s="144" t="n"/>
      <c r="IM18" s="144" t="n"/>
      <c r="IN18" s="144" t="n"/>
      <c r="IO18" s="144" t="n"/>
      <c r="IP18" s="144" t="n"/>
      <c r="IQ18" s="144" t="n"/>
      <c r="IR18" s="144" t="n"/>
      <c r="IS18" s="144" t="n"/>
      <c r="IT18" s="144" t="n"/>
      <c r="IU18" s="144" t="n"/>
      <c r="IV18" s="144" t="n"/>
      <c r="IW18" s="144" t="n"/>
      <c r="IX18" s="144" t="n"/>
      <c r="IY18" s="144" t="n"/>
      <c r="IZ18" s="144" t="n"/>
      <c r="JA18" s="144" t="n"/>
      <c r="JB18" s="144" t="n"/>
      <c r="JC18" s="144" t="n"/>
      <c r="JD18" s="144" t="n"/>
      <c r="JE18" s="144" t="n"/>
      <c r="JF18" s="144" t="n"/>
      <c r="JG18" s="144" t="n"/>
      <c r="JH18" s="144" t="n"/>
      <c r="JI18" s="144" t="n"/>
      <c r="JJ18" s="144" t="n"/>
      <c r="JK18" s="144" t="n"/>
      <c r="JL18" s="144" t="n"/>
      <c r="JM18" s="144" t="n"/>
      <c r="JN18" s="144" t="n"/>
      <c r="JO18" s="144" t="n"/>
      <c r="JP18" s="144" t="n"/>
      <c r="JQ18" s="144" t="n"/>
      <c r="JR18" s="144" t="n"/>
      <c r="JS18" s="144" t="n"/>
      <c r="JT18" s="144" t="n"/>
      <c r="JU18" s="144" t="n"/>
      <c r="JV18" s="144" t="n"/>
      <c r="JW18" s="144" t="n"/>
      <c r="JX18" s="144" t="n"/>
      <c r="JY18" s="144" t="n"/>
      <c r="JZ18" s="144" t="n"/>
      <c r="KA18" s="144" t="n"/>
      <c r="KB18" s="144" t="n"/>
      <c r="KC18" s="144" t="n"/>
      <c r="KD18" s="144" t="n"/>
      <c r="KE18" s="144" t="n"/>
      <c r="KF18" s="144" t="n"/>
      <c r="KG18" s="144" t="n"/>
      <c r="KH18" s="144" t="n"/>
      <c r="KI18" s="144" t="n"/>
      <c r="KJ18" s="144" t="n"/>
      <c r="KK18" s="144" t="n"/>
      <c r="KL18" s="144" t="n"/>
      <c r="KM18" s="144" t="n"/>
      <c r="KN18" s="144" t="n"/>
      <c r="KO18" s="144" t="n"/>
      <c r="KP18" s="144" t="n"/>
      <c r="KQ18" s="144" t="n"/>
      <c r="KR18" s="144" t="n"/>
      <c r="KS18" s="144" t="n"/>
      <c r="KT18" s="144" t="n"/>
      <c r="KU18" s="144" t="n"/>
      <c r="KV18" s="144" t="n"/>
      <c r="KW18" s="144" t="n"/>
      <c r="KX18" s="144" t="n"/>
      <c r="KY18" s="144" t="n"/>
      <c r="KZ18" s="144" t="n"/>
      <c r="LA18" s="144" t="n"/>
      <c r="LB18" s="144" t="n"/>
      <c r="LC18" s="144" t="n"/>
      <c r="LD18" s="144" t="n"/>
      <c r="LE18" s="144" t="n"/>
      <c r="LF18" s="144" t="n"/>
      <c r="LG18" s="144" t="n"/>
      <c r="LH18" s="144" t="n"/>
      <c r="LI18" s="144" t="n"/>
      <c r="LJ18" s="144" t="n"/>
      <c r="LK18" s="144" t="n"/>
      <c r="LL18" s="144" t="n"/>
      <c r="LM18" s="144" t="n"/>
      <c r="LN18" s="144" t="n"/>
      <c r="LO18" s="144" t="n"/>
      <c r="LP18" s="144" t="n"/>
      <c r="LQ18" s="144" t="n"/>
      <c r="LR18" s="144" t="n"/>
      <c r="LS18" s="144" t="n"/>
      <c r="LT18" s="144" t="n"/>
      <c r="LU18" s="144" t="n"/>
      <c r="LV18" s="144" t="n"/>
      <c r="LW18" s="144" t="n"/>
      <c r="LX18" s="144" t="n"/>
      <c r="LY18" s="144" t="n"/>
      <c r="LZ18" s="144" t="n"/>
      <c r="MA18" s="144" t="n"/>
      <c r="MB18" s="144" t="n"/>
      <c r="MC18" s="144" t="n"/>
      <c r="MD18" s="144" t="n"/>
      <c r="ME18" s="144" t="n"/>
      <c r="MF18" s="144" t="n"/>
      <c r="MG18" s="144" t="n"/>
      <c r="MH18" s="144" t="n"/>
      <c r="MI18" s="144" t="n"/>
      <c r="MJ18" s="144" t="n"/>
      <c r="MK18" s="144" t="n"/>
      <c r="ML18" s="144" t="n"/>
      <c r="MM18" s="144" t="n"/>
      <c r="MN18" s="144" t="n"/>
      <c r="MO18" s="144" t="n"/>
      <c r="MP18" s="144" t="n"/>
      <c r="MQ18" s="144" t="n"/>
      <c r="MR18" s="144" t="n"/>
      <c r="MS18" s="144" t="n"/>
      <c r="MT18" s="144" t="n"/>
      <c r="MU18" s="144" t="n"/>
      <c r="MV18" s="144" t="n"/>
      <c r="MW18" s="144" t="n"/>
      <c r="MX18" s="144" t="n"/>
      <c r="MY18" s="144" t="n"/>
      <c r="MZ18" s="144" t="n"/>
      <c r="NA18" s="144" t="n"/>
      <c r="NB18" s="144" t="n"/>
      <c r="NC18" s="144" t="n"/>
      <c r="ND18" s="144" t="n"/>
      <c r="NE18" s="1" t="n"/>
      <c r="NF18" s="1" t="n"/>
      <c r="NG18" s="1" t="n"/>
    </row>
    <row r="19">
      <c r="A19" s="1" t="n"/>
      <c r="B19" s="17" t="inlineStr">
        <is>
          <t>Read for 20 min</t>
        </is>
      </c>
      <c r="C19" s="142">
        <f>IF(B19="","",IFERROR(COUNTIF(E19:ND19,"✓")/MAX(1,MIN(364,Setup!$D$7-$E$7+1)),0))</f>
        <v/>
      </c>
      <c r="D19" s="48">
        <f>IF(B19="","",COUNTIF(E19:ND19,"✓"))</f>
        <v/>
      </c>
      <c r="E19" s="143" t="n"/>
      <c r="F19" s="143" t="n"/>
      <c r="G19" s="143" t="n"/>
      <c r="H19" s="143" t="inlineStr">
        <is>
          <t>✓</t>
        </is>
      </c>
      <c r="I19" s="143" t="n"/>
      <c r="J19" s="143" t="inlineStr">
        <is>
          <t>✓</t>
        </is>
      </c>
      <c r="K19" s="143" t="n"/>
      <c r="L19" s="143" t="n"/>
      <c r="M19" s="143" t="n"/>
      <c r="N19" s="143" t="n"/>
      <c r="O19" s="143" t="inlineStr">
        <is>
          <t>✓</t>
        </is>
      </c>
      <c r="P19" s="143" t="n"/>
      <c r="Q19" s="143" t="n"/>
      <c r="R19" s="143" t="n"/>
      <c r="S19" s="143" t="inlineStr">
        <is>
          <t>✓</t>
        </is>
      </c>
      <c r="T19" s="143" t="n"/>
      <c r="U19" s="143" t="inlineStr">
        <is>
          <t>✓</t>
        </is>
      </c>
      <c r="V19" s="143" t="n"/>
      <c r="W19" s="143" t="n"/>
      <c r="X19" s="143" t="inlineStr">
        <is>
          <t>✓</t>
        </is>
      </c>
      <c r="Y19" s="143" t="inlineStr">
        <is>
          <t>✓</t>
        </is>
      </c>
      <c r="Z19" s="143" t="inlineStr">
        <is>
          <t>✓</t>
        </is>
      </c>
      <c r="AA19" s="143" t="n"/>
      <c r="AB19" s="143" t="n"/>
      <c r="AC19" s="143" t="inlineStr">
        <is>
          <t>✓</t>
        </is>
      </c>
      <c r="AD19" s="143" t="inlineStr">
        <is>
          <t>✓</t>
        </is>
      </c>
      <c r="AE19" s="143" t="n"/>
      <c r="AF19" s="143" t="inlineStr">
        <is>
          <t>✓</t>
        </is>
      </c>
      <c r="AG19" s="143" t="n"/>
      <c r="AH19" s="143" t="n"/>
      <c r="AI19" s="143" t="n"/>
      <c r="AJ19" s="143" t="n"/>
      <c r="AK19" s="143" t="n"/>
      <c r="AL19" s="143" t="n"/>
      <c r="AM19" s="143" t="n"/>
      <c r="AN19" s="143" t="n"/>
      <c r="AO19" s="143" t="n"/>
      <c r="AP19" s="143" t="n"/>
      <c r="AQ19" s="143" t="n"/>
      <c r="AR19" s="143" t="n"/>
      <c r="AS19" s="143" t="n"/>
      <c r="AT19" s="143" t="n"/>
      <c r="AU19" s="143" t="n"/>
      <c r="AV19" s="143" t="n"/>
      <c r="AW19" s="143" t="n"/>
      <c r="AX19" s="143" t="n"/>
      <c r="AY19" s="143" t="n"/>
      <c r="AZ19" s="143" t="n"/>
      <c r="BA19" s="143" t="n"/>
      <c r="BB19" s="143" t="n"/>
      <c r="BC19" s="143" t="n"/>
      <c r="BD19" s="143" t="n"/>
      <c r="BE19" s="143" t="n"/>
      <c r="BF19" s="143" t="n"/>
      <c r="BG19" s="143" t="n"/>
      <c r="BH19" s="143" t="n"/>
      <c r="BI19" s="143" t="n"/>
      <c r="BJ19" s="143" t="n"/>
      <c r="BK19" s="143" t="n"/>
      <c r="BL19" s="143" t="n"/>
      <c r="BM19" s="143" t="n"/>
      <c r="BN19" s="143" t="n"/>
      <c r="BO19" s="143" t="n"/>
      <c r="BP19" s="143" t="n"/>
      <c r="BQ19" s="143" t="n"/>
      <c r="BR19" s="143" t="n"/>
      <c r="BS19" s="143" t="n"/>
      <c r="BT19" s="143" t="n"/>
      <c r="BU19" s="143" t="n"/>
      <c r="BV19" s="143" t="n"/>
      <c r="BW19" s="143" t="n"/>
      <c r="BX19" s="143" t="n"/>
      <c r="BY19" s="143" t="n"/>
      <c r="BZ19" s="143" t="n"/>
      <c r="CA19" s="143" t="n"/>
      <c r="CB19" s="143" t="n"/>
      <c r="CC19" s="143" t="n"/>
      <c r="CD19" s="143" t="n"/>
      <c r="CE19" s="143" t="n"/>
      <c r="CF19" s="143" t="n"/>
      <c r="CG19" s="143" t="n"/>
      <c r="CH19" s="143" t="n"/>
      <c r="CI19" s="143" t="n"/>
      <c r="CJ19" s="143" t="n"/>
      <c r="CK19" s="143" t="n"/>
      <c r="CL19" s="143" t="n"/>
      <c r="CM19" s="143" t="n"/>
      <c r="CN19" s="143" t="n"/>
      <c r="CO19" s="143" t="n"/>
      <c r="CP19" s="143" t="n"/>
      <c r="CQ19" s="143" t="n"/>
      <c r="CR19" s="143" t="n"/>
      <c r="CS19" s="143" t="n"/>
      <c r="CT19" s="143" t="n"/>
      <c r="CU19" s="143" t="n"/>
      <c r="CV19" s="143" t="n"/>
      <c r="CW19" s="143" t="n"/>
      <c r="CX19" s="143" t="n"/>
      <c r="CY19" s="143" t="n"/>
      <c r="CZ19" s="143" t="n"/>
      <c r="DA19" s="143" t="n"/>
      <c r="DB19" s="143" t="n"/>
      <c r="DC19" s="143" t="n"/>
      <c r="DD19" s="143" t="n"/>
      <c r="DE19" s="143" t="n"/>
      <c r="DF19" s="143" t="n"/>
      <c r="DG19" s="143" t="n"/>
      <c r="DH19" s="143" t="n"/>
      <c r="DI19" s="143" t="n"/>
      <c r="DJ19" s="143" t="n"/>
      <c r="DK19" s="143" t="n"/>
      <c r="DL19" s="143" t="n"/>
      <c r="DM19" s="143" t="n"/>
      <c r="DN19" s="143" t="n"/>
      <c r="DO19" s="143" t="n"/>
      <c r="DP19" s="143" t="n"/>
      <c r="DQ19" s="143" t="n"/>
      <c r="DR19" s="143" t="n"/>
      <c r="DS19" s="143" t="n"/>
      <c r="DT19" s="143" t="n"/>
      <c r="DU19" s="143" t="n"/>
      <c r="DV19" s="143" t="n"/>
      <c r="DW19" s="143" t="n"/>
      <c r="DX19" s="143" t="n"/>
      <c r="DY19" s="143" t="n"/>
      <c r="DZ19" s="143" t="n"/>
      <c r="EA19" s="143" t="n"/>
      <c r="EB19" s="143" t="n"/>
      <c r="EC19" s="143" t="n"/>
      <c r="ED19" s="143" t="n"/>
      <c r="EE19" s="143" t="n"/>
      <c r="EF19" s="143" t="n"/>
      <c r="EG19" s="143" t="n"/>
      <c r="EH19" s="143" t="n"/>
      <c r="EI19" s="143" t="n"/>
      <c r="EJ19" s="143" t="n"/>
      <c r="EK19" s="143" t="n"/>
      <c r="EL19" s="143" t="n"/>
      <c r="EM19" s="143" t="n"/>
      <c r="EN19" s="143" t="n"/>
      <c r="EO19" s="143" t="n"/>
      <c r="EP19" s="143" t="n"/>
      <c r="EQ19" s="143" t="n"/>
      <c r="ER19" s="143" t="n"/>
      <c r="ES19" s="143" t="n"/>
      <c r="ET19" s="143" t="n"/>
      <c r="EU19" s="143" t="n"/>
      <c r="EV19" s="143" t="n"/>
      <c r="EW19" s="143" t="n"/>
      <c r="EX19" s="143" t="n"/>
      <c r="EY19" s="143" t="n"/>
      <c r="EZ19" s="143" t="n"/>
      <c r="FA19" s="143" t="n"/>
      <c r="FB19" s="143" t="n"/>
      <c r="FC19" s="143" t="n"/>
      <c r="FD19" s="143" t="n"/>
      <c r="FE19" s="143" t="n"/>
      <c r="FF19" s="143" t="n"/>
      <c r="FG19" s="143" t="n"/>
      <c r="FH19" s="143" t="n"/>
      <c r="FI19" s="143" t="n"/>
      <c r="FJ19" s="143" t="n"/>
      <c r="FK19" s="143" t="n"/>
      <c r="FL19" s="143" t="n"/>
      <c r="FM19" s="143" t="n"/>
      <c r="FN19" s="143" t="n"/>
      <c r="FO19" s="143" t="n"/>
      <c r="FP19" s="143" t="n"/>
      <c r="FQ19" s="143" t="n"/>
      <c r="FR19" s="143" t="n"/>
      <c r="FS19" s="143" t="n"/>
      <c r="FT19" s="143" t="n"/>
      <c r="FU19" s="143" t="n"/>
      <c r="FV19" s="143" t="n"/>
      <c r="FW19" s="143" t="n"/>
      <c r="FX19" s="143" t="n"/>
      <c r="FY19" s="143" t="n"/>
      <c r="FZ19" s="143" t="n"/>
      <c r="GA19" s="143" t="n"/>
      <c r="GB19" s="143" t="n"/>
      <c r="GC19" s="143" t="n"/>
      <c r="GD19" s="143" t="n"/>
      <c r="GE19" s="143" t="n"/>
      <c r="GF19" s="143" t="n"/>
      <c r="GG19" s="143" t="n"/>
      <c r="GH19" s="143" t="n"/>
      <c r="GI19" s="143" t="n"/>
      <c r="GJ19" s="143" t="n"/>
      <c r="GK19" s="143" t="n"/>
      <c r="GL19" s="143" t="n"/>
      <c r="GM19" s="143" t="n"/>
      <c r="GN19" s="143" t="n"/>
      <c r="GO19" s="143" t="n"/>
      <c r="GP19" s="143" t="n"/>
      <c r="GQ19" s="143" t="n"/>
      <c r="GR19" s="143" t="n"/>
      <c r="GS19" s="143" t="n"/>
      <c r="GT19" s="143" t="n"/>
      <c r="GU19" s="143" t="n"/>
      <c r="GV19" s="143" t="n"/>
      <c r="GW19" s="143" t="n"/>
      <c r="GX19" s="143" t="n"/>
      <c r="GY19" s="143" t="n"/>
      <c r="GZ19" s="143" t="n"/>
      <c r="HA19" s="143" t="n"/>
      <c r="HB19" s="143" t="n"/>
      <c r="HC19" s="143" t="n"/>
      <c r="HD19" s="143" t="n"/>
      <c r="HE19" s="143" t="n"/>
      <c r="HF19" s="143" t="n"/>
      <c r="HG19" s="143" t="n"/>
      <c r="HH19" s="143" t="n"/>
      <c r="HI19" s="143" t="n"/>
      <c r="HJ19" s="143" t="n"/>
      <c r="HK19" s="143" t="n"/>
      <c r="HL19" s="143" t="n"/>
      <c r="HM19" s="143" t="n"/>
      <c r="HN19" s="143" t="n"/>
      <c r="HO19" s="143" t="n"/>
      <c r="HP19" s="143" t="n"/>
      <c r="HQ19" s="143" t="n"/>
      <c r="HR19" s="143" t="n"/>
      <c r="HS19" s="143" t="n"/>
      <c r="HT19" s="143" t="n"/>
      <c r="HU19" s="143" t="n"/>
      <c r="HV19" s="143" t="n"/>
      <c r="HW19" s="143" t="n"/>
      <c r="HX19" s="143" t="n"/>
      <c r="HY19" s="143" t="n"/>
      <c r="HZ19" s="143" t="n"/>
      <c r="IA19" s="143" t="n"/>
      <c r="IB19" s="143" t="n"/>
      <c r="IC19" s="143" t="n"/>
      <c r="ID19" s="143" t="n"/>
      <c r="IE19" s="143" t="n"/>
      <c r="IF19" s="143" t="n"/>
      <c r="IG19" s="143" t="n"/>
      <c r="IH19" s="143" t="n"/>
      <c r="II19" s="143" t="n"/>
      <c r="IJ19" s="143" t="n"/>
      <c r="IK19" s="143" t="n"/>
      <c r="IL19" s="143" t="n"/>
      <c r="IM19" s="143" t="n"/>
      <c r="IN19" s="143" t="n"/>
      <c r="IO19" s="143" t="n"/>
      <c r="IP19" s="143" t="n"/>
      <c r="IQ19" s="143" t="n"/>
      <c r="IR19" s="143" t="n"/>
      <c r="IS19" s="143" t="n"/>
      <c r="IT19" s="143" t="n"/>
      <c r="IU19" s="143" t="n"/>
      <c r="IV19" s="143" t="n"/>
      <c r="IW19" s="143" t="n"/>
      <c r="IX19" s="143" t="n"/>
      <c r="IY19" s="143" t="n"/>
      <c r="IZ19" s="143" t="n"/>
      <c r="JA19" s="143" t="n"/>
      <c r="JB19" s="143" t="n"/>
      <c r="JC19" s="143" t="n"/>
      <c r="JD19" s="143" t="n"/>
      <c r="JE19" s="143" t="n"/>
      <c r="JF19" s="143" t="n"/>
      <c r="JG19" s="143" t="n"/>
      <c r="JH19" s="143" t="n"/>
      <c r="JI19" s="143" t="n"/>
      <c r="JJ19" s="143" t="n"/>
      <c r="JK19" s="143" t="n"/>
      <c r="JL19" s="143" t="n"/>
      <c r="JM19" s="143" t="n"/>
      <c r="JN19" s="143" t="n"/>
      <c r="JO19" s="143" t="n"/>
      <c r="JP19" s="143" t="n"/>
      <c r="JQ19" s="143" t="n"/>
      <c r="JR19" s="143" t="n"/>
      <c r="JS19" s="143" t="n"/>
      <c r="JT19" s="143" t="n"/>
      <c r="JU19" s="143" t="n"/>
      <c r="JV19" s="143" t="n"/>
      <c r="JW19" s="143" t="n"/>
      <c r="JX19" s="143" t="n"/>
      <c r="JY19" s="143" t="n"/>
      <c r="JZ19" s="143" t="n"/>
      <c r="KA19" s="143" t="n"/>
      <c r="KB19" s="143" t="n"/>
      <c r="KC19" s="143" t="n"/>
      <c r="KD19" s="143" t="n"/>
      <c r="KE19" s="143" t="n"/>
      <c r="KF19" s="143" t="n"/>
      <c r="KG19" s="143" t="n"/>
      <c r="KH19" s="143" t="n"/>
      <c r="KI19" s="143" t="n"/>
      <c r="KJ19" s="143" t="n"/>
      <c r="KK19" s="143" t="n"/>
      <c r="KL19" s="143" t="n"/>
      <c r="KM19" s="143" t="n"/>
      <c r="KN19" s="143" t="n"/>
      <c r="KO19" s="143" t="n"/>
      <c r="KP19" s="143" t="n"/>
      <c r="KQ19" s="143" t="n"/>
      <c r="KR19" s="143" t="n"/>
      <c r="KS19" s="143" t="n"/>
      <c r="KT19" s="143" t="n"/>
      <c r="KU19" s="143" t="n"/>
      <c r="KV19" s="143" t="n"/>
      <c r="KW19" s="143" t="n"/>
      <c r="KX19" s="143" t="n"/>
      <c r="KY19" s="143" t="n"/>
      <c r="KZ19" s="143" t="n"/>
      <c r="LA19" s="143" t="n"/>
      <c r="LB19" s="143" t="n"/>
      <c r="LC19" s="143" t="n"/>
      <c r="LD19" s="143" t="n"/>
      <c r="LE19" s="143" t="n"/>
      <c r="LF19" s="143" t="n"/>
      <c r="LG19" s="143" t="n"/>
      <c r="LH19" s="143" t="n"/>
      <c r="LI19" s="143" t="n"/>
      <c r="LJ19" s="143" t="n"/>
      <c r="LK19" s="143" t="n"/>
      <c r="LL19" s="143" t="n"/>
      <c r="LM19" s="143" t="n"/>
      <c r="LN19" s="143" t="n"/>
      <c r="LO19" s="143" t="n"/>
      <c r="LP19" s="143" t="n"/>
      <c r="LQ19" s="143" t="n"/>
      <c r="LR19" s="143" t="n"/>
      <c r="LS19" s="143" t="n"/>
      <c r="LT19" s="143" t="n"/>
      <c r="LU19" s="143" t="n"/>
      <c r="LV19" s="143" t="n"/>
      <c r="LW19" s="143" t="n"/>
      <c r="LX19" s="143" t="n"/>
      <c r="LY19" s="143" t="n"/>
      <c r="LZ19" s="143" t="n"/>
      <c r="MA19" s="143" t="n"/>
      <c r="MB19" s="143" t="n"/>
      <c r="MC19" s="143" t="n"/>
      <c r="MD19" s="143" t="n"/>
      <c r="ME19" s="143" t="n"/>
      <c r="MF19" s="143" t="n"/>
      <c r="MG19" s="143" t="n"/>
      <c r="MH19" s="143" t="n"/>
      <c r="MI19" s="143" t="n"/>
      <c r="MJ19" s="143" t="n"/>
      <c r="MK19" s="143" t="n"/>
      <c r="ML19" s="143" t="n"/>
      <c r="MM19" s="143" t="n"/>
      <c r="MN19" s="143" t="n"/>
      <c r="MO19" s="143" t="n"/>
      <c r="MP19" s="143" t="n"/>
      <c r="MQ19" s="143" t="n"/>
      <c r="MR19" s="143" t="n"/>
      <c r="MS19" s="143" t="n"/>
      <c r="MT19" s="143" t="n"/>
      <c r="MU19" s="143" t="n"/>
      <c r="MV19" s="143" t="n"/>
      <c r="MW19" s="143" t="n"/>
      <c r="MX19" s="143" t="n"/>
      <c r="MY19" s="143" t="n"/>
      <c r="MZ19" s="143" t="n"/>
      <c r="NA19" s="143" t="n"/>
      <c r="NB19" s="143" t="n"/>
      <c r="NC19" s="143" t="n"/>
      <c r="ND19" s="143" t="n"/>
      <c r="NE19" s="1" t="n"/>
      <c r="NF19" s="1" t="n"/>
      <c r="NG19" s="1" t="n"/>
    </row>
    <row r="20">
      <c r="A20" s="1" t="n"/>
      <c r="B20" s="17" t="inlineStr">
        <is>
          <t>Gratitude list: write 3 things</t>
        </is>
      </c>
      <c r="C20" s="142">
        <f>IF(B20="","",IFERROR(COUNTIF(E20:ND20,"✓")/MAX(1,MIN(364,Setup!$D$7-$E$7+1)),0))</f>
        <v/>
      </c>
      <c r="D20" s="48">
        <f>IF(B20="","",COUNTIF(E20:ND20,"✓"))</f>
        <v/>
      </c>
      <c r="E20" s="144" t="inlineStr">
        <is>
          <t>✓</t>
        </is>
      </c>
      <c r="F20" s="144" t="inlineStr">
        <is>
          <t>✓</t>
        </is>
      </c>
      <c r="G20" s="144" t="n"/>
      <c r="H20" s="144" t="inlineStr">
        <is>
          <t>✓</t>
        </is>
      </c>
      <c r="I20" s="144" t="inlineStr">
        <is>
          <t>✓</t>
        </is>
      </c>
      <c r="J20" s="144" t="inlineStr">
        <is>
          <t>✓</t>
        </is>
      </c>
      <c r="K20" s="144" t="n"/>
      <c r="L20" s="144" t="n"/>
      <c r="M20" s="144" t="n"/>
      <c r="N20" s="144" t="n"/>
      <c r="O20" s="144" t="inlineStr">
        <is>
          <t>✓</t>
        </is>
      </c>
      <c r="P20" s="144" t="n"/>
      <c r="Q20" s="144" t="inlineStr">
        <is>
          <t>✓</t>
        </is>
      </c>
      <c r="R20" s="144" t="inlineStr">
        <is>
          <t>✓</t>
        </is>
      </c>
      <c r="S20" s="144" t="inlineStr">
        <is>
          <t>✓</t>
        </is>
      </c>
      <c r="T20" s="144" t="inlineStr">
        <is>
          <t>✓</t>
        </is>
      </c>
      <c r="U20" s="144" t="n"/>
      <c r="V20" s="144" t="n"/>
      <c r="W20" s="144" t="inlineStr">
        <is>
          <t>✓</t>
        </is>
      </c>
      <c r="X20" s="144" t="n"/>
      <c r="Y20" s="144" t="inlineStr">
        <is>
          <t>✓</t>
        </is>
      </c>
      <c r="Z20" s="144" t="inlineStr">
        <is>
          <t>✓</t>
        </is>
      </c>
      <c r="AA20" s="144" t="inlineStr">
        <is>
          <t>✓</t>
        </is>
      </c>
      <c r="AB20" s="144" t="n"/>
      <c r="AC20" s="144" t="n"/>
      <c r="AD20" s="144" t="inlineStr">
        <is>
          <t>✓</t>
        </is>
      </c>
      <c r="AE20" s="144" t="n"/>
      <c r="AF20" s="144" t="n"/>
      <c r="AG20" s="144" t="inlineStr">
        <is>
          <t>✓</t>
        </is>
      </c>
      <c r="AH20" s="144" t="n"/>
      <c r="AI20" s="144" t="n"/>
      <c r="AJ20" s="144" t="n"/>
      <c r="AK20" s="144" t="n"/>
      <c r="AL20" s="144" t="n"/>
      <c r="AM20" s="144" t="n"/>
      <c r="AN20" s="144" t="n"/>
      <c r="AO20" s="144" t="n"/>
      <c r="AP20" s="144" t="n"/>
      <c r="AQ20" s="144" t="n"/>
      <c r="AR20" s="144" t="n"/>
      <c r="AS20" s="144" t="n"/>
      <c r="AT20" s="144" t="n"/>
      <c r="AU20" s="144" t="n"/>
      <c r="AV20" s="144" t="n"/>
      <c r="AW20" s="144" t="n"/>
      <c r="AX20" s="144" t="n"/>
      <c r="AY20" s="144" t="n"/>
      <c r="AZ20" s="144" t="n"/>
      <c r="BA20" s="144" t="n"/>
      <c r="BB20" s="144" t="n"/>
      <c r="BC20" s="144" t="n"/>
      <c r="BD20" s="144" t="n"/>
      <c r="BE20" s="144" t="n"/>
      <c r="BF20" s="144" t="n"/>
      <c r="BG20" s="144" t="n"/>
      <c r="BH20" s="144" t="n"/>
      <c r="BI20" s="144" t="n"/>
      <c r="BJ20" s="144" t="n"/>
      <c r="BK20" s="144" t="n"/>
      <c r="BL20" s="144" t="n"/>
      <c r="BM20" s="144" t="n"/>
      <c r="BN20" s="144" t="n"/>
      <c r="BO20" s="144" t="n"/>
      <c r="BP20" s="144" t="n"/>
      <c r="BQ20" s="144" t="n"/>
      <c r="BR20" s="144" t="n"/>
      <c r="BS20" s="144" t="n"/>
      <c r="BT20" s="144" t="n"/>
      <c r="BU20" s="144" t="n"/>
      <c r="BV20" s="144" t="n"/>
      <c r="BW20" s="144" t="n"/>
      <c r="BX20" s="144" t="n"/>
      <c r="BY20" s="144" t="n"/>
      <c r="BZ20" s="144" t="n"/>
      <c r="CA20" s="144" t="n"/>
      <c r="CB20" s="144" t="n"/>
      <c r="CC20" s="144" t="n"/>
      <c r="CD20" s="144" t="n"/>
      <c r="CE20" s="144" t="n"/>
      <c r="CF20" s="144" t="n"/>
      <c r="CG20" s="144" t="n"/>
      <c r="CH20" s="144" t="n"/>
      <c r="CI20" s="144" t="n"/>
      <c r="CJ20" s="144" t="n"/>
      <c r="CK20" s="144" t="n"/>
      <c r="CL20" s="144" t="n"/>
      <c r="CM20" s="144" t="n"/>
      <c r="CN20" s="144" t="n"/>
      <c r="CO20" s="144" t="n"/>
      <c r="CP20" s="144" t="n"/>
      <c r="CQ20" s="144" t="n"/>
      <c r="CR20" s="144" t="n"/>
      <c r="CS20" s="144" t="n"/>
      <c r="CT20" s="144" t="n"/>
      <c r="CU20" s="144" t="n"/>
      <c r="CV20" s="144" t="n"/>
      <c r="CW20" s="144" t="n"/>
      <c r="CX20" s="144" t="n"/>
      <c r="CY20" s="144" t="n"/>
      <c r="CZ20" s="144" t="n"/>
      <c r="DA20" s="144" t="n"/>
      <c r="DB20" s="144" t="n"/>
      <c r="DC20" s="144" t="n"/>
      <c r="DD20" s="144" t="n"/>
      <c r="DE20" s="144" t="n"/>
      <c r="DF20" s="144" t="n"/>
      <c r="DG20" s="144" t="n"/>
      <c r="DH20" s="144" t="n"/>
      <c r="DI20" s="144" t="n"/>
      <c r="DJ20" s="144" t="n"/>
      <c r="DK20" s="144" t="n"/>
      <c r="DL20" s="144" t="n"/>
      <c r="DM20" s="144" t="n"/>
      <c r="DN20" s="144" t="n"/>
      <c r="DO20" s="144" t="n"/>
      <c r="DP20" s="144" t="n"/>
      <c r="DQ20" s="144" t="n"/>
      <c r="DR20" s="144" t="n"/>
      <c r="DS20" s="144" t="n"/>
      <c r="DT20" s="144" t="n"/>
      <c r="DU20" s="144" t="n"/>
      <c r="DV20" s="144" t="n"/>
      <c r="DW20" s="144" t="n"/>
      <c r="DX20" s="144" t="n"/>
      <c r="DY20" s="144" t="n"/>
      <c r="DZ20" s="144" t="n"/>
      <c r="EA20" s="144" t="n"/>
      <c r="EB20" s="144" t="n"/>
      <c r="EC20" s="144" t="n"/>
      <c r="ED20" s="144" t="n"/>
      <c r="EE20" s="144" t="n"/>
      <c r="EF20" s="144" t="n"/>
      <c r="EG20" s="144" t="n"/>
      <c r="EH20" s="144" t="n"/>
      <c r="EI20" s="144" t="n"/>
      <c r="EJ20" s="144" t="n"/>
      <c r="EK20" s="144" t="n"/>
      <c r="EL20" s="144" t="n"/>
      <c r="EM20" s="144" t="n"/>
      <c r="EN20" s="144" t="n"/>
      <c r="EO20" s="144" t="n"/>
      <c r="EP20" s="144" t="n"/>
      <c r="EQ20" s="144" t="n"/>
      <c r="ER20" s="144" t="n"/>
      <c r="ES20" s="144" t="n"/>
      <c r="ET20" s="144" t="n"/>
      <c r="EU20" s="144" t="n"/>
      <c r="EV20" s="144" t="n"/>
      <c r="EW20" s="144" t="n"/>
      <c r="EX20" s="144" t="n"/>
      <c r="EY20" s="144" t="n"/>
      <c r="EZ20" s="144" t="n"/>
      <c r="FA20" s="144" t="n"/>
      <c r="FB20" s="144" t="n"/>
      <c r="FC20" s="144" t="n"/>
      <c r="FD20" s="144" t="n"/>
      <c r="FE20" s="144" t="n"/>
      <c r="FF20" s="144" t="n"/>
      <c r="FG20" s="144" t="n"/>
      <c r="FH20" s="144" t="n"/>
      <c r="FI20" s="144" t="n"/>
      <c r="FJ20" s="144" t="n"/>
      <c r="FK20" s="144" t="n"/>
      <c r="FL20" s="144" t="n"/>
      <c r="FM20" s="144" t="n"/>
      <c r="FN20" s="144" t="n"/>
      <c r="FO20" s="144" t="n"/>
      <c r="FP20" s="144" t="n"/>
      <c r="FQ20" s="144" t="n"/>
      <c r="FR20" s="144" t="n"/>
      <c r="FS20" s="144" t="n"/>
      <c r="FT20" s="144" t="n"/>
      <c r="FU20" s="144" t="n"/>
      <c r="FV20" s="144" t="n"/>
      <c r="FW20" s="144" t="n"/>
      <c r="FX20" s="144" t="n"/>
      <c r="FY20" s="144" t="n"/>
      <c r="FZ20" s="144" t="n"/>
      <c r="GA20" s="144" t="n"/>
      <c r="GB20" s="144" t="n"/>
      <c r="GC20" s="144" t="n"/>
      <c r="GD20" s="144" t="n"/>
      <c r="GE20" s="144" t="n"/>
      <c r="GF20" s="144" t="n"/>
      <c r="GG20" s="144" t="n"/>
      <c r="GH20" s="144" t="n"/>
      <c r="GI20" s="144" t="n"/>
      <c r="GJ20" s="144" t="n"/>
      <c r="GK20" s="144" t="n"/>
      <c r="GL20" s="144" t="n"/>
      <c r="GM20" s="144" t="n"/>
      <c r="GN20" s="144" t="n"/>
      <c r="GO20" s="144" t="n"/>
      <c r="GP20" s="144" t="n"/>
      <c r="GQ20" s="144" t="n"/>
      <c r="GR20" s="144" t="n"/>
      <c r="GS20" s="144" t="n"/>
      <c r="GT20" s="144" t="n"/>
      <c r="GU20" s="144" t="n"/>
      <c r="GV20" s="144" t="n"/>
      <c r="GW20" s="144" t="n"/>
      <c r="GX20" s="144" t="n"/>
      <c r="GY20" s="144" t="n"/>
      <c r="GZ20" s="144" t="n"/>
      <c r="HA20" s="144" t="n"/>
      <c r="HB20" s="144" t="n"/>
      <c r="HC20" s="144" t="n"/>
      <c r="HD20" s="144" t="n"/>
      <c r="HE20" s="144" t="n"/>
      <c r="HF20" s="144" t="n"/>
      <c r="HG20" s="144" t="n"/>
      <c r="HH20" s="144" t="n"/>
      <c r="HI20" s="144" t="n"/>
      <c r="HJ20" s="144" t="n"/>
      <c r="HK20" s="144" t="n"/>
      <c r="HL20" s="144" t="n"/>
      <c r="HM20" s="144" t="n"/>
      <c r="HN20" s="144" t="n"/>
      <c r="HO20" s="144" t="n"/>
      <c r="HP20" s="144" t="n"/>
      <c r="HQ20" s="144" t="n"/>
      <c r="HR20" s="144" t="n"/>
      <c r="HS20" s="144" t="n"/>
      <c r="HT20" s="144" t="n"/>
      <c r="HU20" s="144" t="n"/>
      <c r="HV20" s="144" t="n"/>
      <c r="HW20" s="144" t="n"/>
      <c r="HX20" s="144" t="n"/>
      <c r="HY20" s="144" t="n"/>
      <c r="HZ20" s="144" t="n"/>
      <c r="IA20" s="144" t="n"/>
      <c r="IB20" s="144" t="n"/>
      <c r="IC20" s="144" t="n"/>
      <c r="ID20" s="144" t="n"/>
      <c r="IE20" s="144" t="n"/>
      <c r="IF20" s="144" t="n"/>
      <c r="IG20" s="144" t="n"/>
      <c r="IH20" s="144" t="n"/>
      <c r="II20" s="144" t="n"/>
      <c r="IJ20" s="144" t="n"/>
      <c r="IK20" s="144" t="n"/>
      <c r="IL20" s="144" t="n"/>
      <c r="IM20" s="144" t="n"/>
      <c r="IN20" s="144" t="n"/>
      <c r="IO20" s="144" t="n"/>
      <c r="IP20" s="144" t="n"/>
      <c r="IQ20" s="144" t="n"/>
      <c r="IR20" s="144" t="n"/>
      <c r="IS20" s="144" t="n"/>
      <c r="IT20" s="144" t="n"/>
      <c r="IU20" s="144" t="n"/>
      <c r="IV20" s="144" t="n"/>
      <c r="IW20" s="144" t="n"/>
      <c r="IX20" s="144" t="n"/>
      <c r="IY20" s="144" t="n"/>
      <c r="IZ20" s="144" t="n"/>
      <c r="JA20" s="144" t="n"/>
      <c r="JB20" s="144" t="n"/>
      <c r="JC20" s="144" t="n"/>
      <c r="JD20" s="144" t="n"/>
      <c r="JE20" s="144" t="n"/>
      <c r="JF20" s="144" t="n"/>
      <c r="JG20" s="144" t="n"/>
      <c r="JH20" s="144" t="n"/>
      <c r="JI20" s="144" t="n"/>
      <c r="JJ20" s="144" t="n"/>
      <c r="JK20" s="144" t="n"/>
      <c r="JL20" s="144" t="n"/>
      <c r="JM20" s="144" t="n"/>
      <c r="JN20" s="144" t="n"/>
      <c r="JO20" s="144" t="n"/>
      <c r="JP20" s="144" t="n"/>
      <c r="JQ20" s="144" t="n"/>
      <c r="JR20" s="144" t="n"/>
      <c r="JS20" s="144" t="n"/>
      <c r="JT20" s="144" t="n"/>
      <c r="JU20" s="144" t="n"/>
      <c r="JV20" s="144" t="n"/>
      <c r="JW20" s="144" t="n"/>
      <c r="JX20" s="144" t="n"/>
      <c r="JY20" s="144" t="n"/>
      <c r="JZ20" s="144" t="n"/>
      <c r="KA20" s="144" t="n"/>
      <c r="KB20" s="144" t="n"/>
      <c r="KC20" s="144" t="n"/>
      <c r="KD20" s="144" t="n"/>
      <c r="KE20" s="144" t="n"/>
      <c r="KF20" s="144" t="n"/>
      <c r="KG20" s="144" t="n"/>
      <c r="KH20" s="144" t="n"/>
      <c r="KI20" s="144" t="n"/>
      <c r="KJ20" s="144" t="n"/>
      <c r="KK20" s="144" t="n"/>
      <c r="KL20" s="144" t="n"/>
      <c r="KM20" s="144" t="n"/>
      <c r="KN20" s="144" t="n"/>
      <c r="KO20" s="144" t="n"/>
      <c r="KP20" s="144" t="n"/>
      <c r="KQ20" s="144" t="n"/>
      <c r="KR20" s="144" t="n"/>
      <c r="KS20" s="144" t="n"/>
      <c r="KT20" s="144" t="n"/>
      <c r="KU20" s="144" t="n"/>
      <c r="KV20" s="144" t="n"/>
      <c r="KW20" s="144" t="n"/>
      <c r="KX20" s="144" t="n"/>
      <c r="KY20" s="144" t="n"/>
      <c r="KZ20" s="144" t="n"/>
      <c r="LA20" s="144" t="n"/>
      <c r="LB20" s="144" t="n"/>
      <c r="LC20" s="144" t="n"/>
      <c r="LD20" s="144" t="n"/>
      <c r="LE20" s="144" t="n"/>
      <c r="LF20" s="144" t="n"/>
      <c r="LG20" s="144" t="n"/>
      <c r="LH20" s="144" t="n"/>
      <c r="LI20" s="144" t="n"/>
      <c r="LJ20" s="144" t="n"/>
      <c r="LK20" s="144" t="n"/>
      <c r="LL20" s="144" t="n"/>
      <c r="LM20" s="144" t="n"/>
      <c r="LN20" s="144" t="n"/>
      <c r="LO20" s="144" t="n"/>
      <c r="LP20" s="144" t="n"/>
      <c r="LQ20" s="144" t="n"/>
      <c r="LR20" s="144" t="n"/>
      <c r="LS20" s="144" t="n"/>
      <c r="LT20" s="144" t="n"/>
      <c r="LU20" s="144" t="n"/>
      <c r="LV20" s="144" t="n"/>
      <c r="LW20" s="144" t="n"/>
      <c r="LX20" s="144" t="n"/>
      <c r="LY20" s="144" t="n"/>
      <c r="LZ20" s="144" t="n"/>
      <c r="MA20" s="144" t="n"/>
      <c r="MB20" s="144" t="n"/>
      <c r="MC20" s="144" t="n"/>
      <c r="MD20" s="144" t="n"/>
      <c r="ME20" s="144" t="n"/>
      <c r="MF20" s="144" t="n"/>
      <c r="MG20" s="144" t="n"/>
      <c r="MH20" s="144" t="n"/>
      <c r="MI20" s="144" t="n"/>
      <c r="MJ20" s="144" t="n"/>
      <c r="MK20" s="144" t="n"/>
      <c r="ML20" s="144" t="n"/>
      <c r="MM20" s="144" t="n"/>
      <c r="MN20" s="144" t="n"/>
      <c r="MO20" s="144" t="n"/>
      <c r="MP20" s="144" t="n"/>
      <c r="MQ20" s="144" t="n"/>
      <c r="MR20" s="144" t="n"/>
      <c r="MS20" s="144" t="n"/>
      <c r="MT20" s="144" t="n"/>
      <c r="MU20" s="144" t="n"/>
      <c r="MV20" s="144" t="n"/>
      <c r="MW20" s="144" t="n"/>
      <c r="MX20" s="144" t="n"/>
      <c r="MY20" s="144" t="n"/>
      <c r="MZ20" s="144" t="n"/>
      <c r="NA20" s="144" t="n"/>
      <c r="NB20" s="144" t="n"/>
      <c r="NC20" s="144" t="n"/>
      <c r="ND20" s="144" t="n"/>
      <c r="NE20" s="1" t="n"/>
      <c r="NF20" s="1" t="n"/>
      <c r="NG20" s="1" t="n"/>
    </row>
    <row r="21">
      <c r="A21" s="1" t="n"/>
      <c r="B21" s="17" t="inlineStr">
        <is>
          <t>Positive affirmations</t>
        </is>
      </c>
      <c r="C21" s="142">
        <f>IF(B21="","",IFERROR(COUNTIF(E21:ND21,"✓")/MAX(1,MIN(364,Setup!$D$7-$E$7+1)),0))</f>
        <v/>
      </c>
      <c r="D21" s="48">
        <f>IF(B21="","",COUNTIF(E21:ND21,"✓"))</f>
        <v/>
      </c>
      <c r="E21" s="143" t="inlineStr">
        <is>
          <t>✓</t>
        </is>
      </c>
      <c r="F21" s="143" t="inlineStr">
        <is>
          <t>✓</t>
        </is>
      </c>
      <c r="G21" s="143" t="inlineStr">
        <is>
          <t>✓</t>
        </is>
      </c>
      <c r="H21" s="143" t="inlineStr">
        <is>
          <t>✓</t>
        </is>
      </c>
      <c r="I21" s="143" t="inlineStr">
        <is>
          <t>✓</t>
        </is>
      </c>
      <c r="J21" s="143" t="inlineStr">
        <is>
          <t>✓</t>
        </is>
      </c>
      <c r="K21" s="143" t="n"/>
      <c r="L21" s="143" t="inlineStr">
        <is>
          <t>✓</t>
        </is>
      </c>
      <c r="M21" s="143" t="inlineStr">
        <is>
          <t>✓</t>
        </is>
      </c>
      <c r="N21" s="143" t="n"/>
      <c r="O21" s="143" t="inlineStr">
        <is>
          <t>✓</t>
        </is>
      </c>
      <c r="P21" s="143" t="inlineStr">
        <is>
          <t>✓</t>
        </is>
      </c>
      <c r="Q21" s="143" t="n"/>
      <c r="R21" s="143" t="inlineStr">
        <is>
          <t>✓</t>
        </is>
      </c>
      <c r="S21" s="143" t="inlineStr">
        <is>
          <t>✓</t>
        </is>
      </c>
      <c r="T21" s="143" t="inlineStr">
        <is>
          <t>✓</t>
        </is>
      </c>
      <c r="U21" s="143" t="n"/>
      <c r="V21" s="143" t="n"/>
      <c r="W21" s="143" t="inlineStr">
        <is>
          <t>✓</t>
        </is>
      </c>
      <c r="X21" s="143" t="inlineStr">
        <is>
          <t>✓</t>
        </is>
      </c>
      <c r="Y21" s="143" t="inlineStr">
        <is>
          <t>✓</t>
        </is>
      </c>
      <c r="Z21" s="143" t="inlineStr">
        <is>
          <t>✓</t>
        </is>
      </c>
      <c r="AA21" s="143" t="n"/>
      <c r="AB21" s="143" t="n"/>
      <c r="AC21" s="143" t="inlineStr">
        <is>
          <t>✓</t>
        </is>
      </c>
      <c r="AD21" s="143" t="inlineStr">
        <is>
          <t>✓</t>
        </is>
      </c>
      <c r="AE21" s="143" t="inlineStr">
        <is>
          <t>✓</t>
        </is>
      </c>
      <c r="AF21" s="143" t="n"/>
      <c r="AG21" s="143" t="n"/>
      <c r="AH21" s="143" t="n"/>
      <c r="AI21" s="143" t="n"/>
      <c r="AJ21" s="143" t="n"/>
      <c r="AK21" s="143" t="n"/>
      <c r="AL21" s="143" t="n"/>
      <c r="AM21" s="143" t="n"/>
      <c r="AN21" s="143" t="n"/>
      <c r="AO21" s="143" t="n"/>
      <c r="AP21" s="143" t="n"/>
      <c r="AQ21" s="143" t="n"/>
      <c r="AR21" s="143" t="n"/>
      <c r="AS21" s="143" t="n"/>
      <c r="AT21" s="143" t="n"/>
      <c r="AU21" s="143" t="n"/>
      <c r="AV21" s="143" t="n"/>
      <c r="AW21" s="143" t="n"/>
      <c r="AX21" s="143" t="n"/>
      <c r="AY21" s="143" t="n"/>
      <c r="AZ21" s="143" t="n"/>
      <c r="BA21" s="143" t="n"/>
      <c r="BB21" s="143" t="n"/>
      <c r="BC21" s="143" t="n"/>
      <c r="BD21" s="143" t="n"/>
      <c r="BE21" s="143" t="n"/>
      <c r="BF21" s="143" t="n"/>
      <c r="BG21" s="143" t="n"/>
      <c r="BH21" s="143" t="n"/>
      <c r="BI21" s="143" t="n"/>
      <c r="BJ21" s="143" t="n"/>
      <c r="BK21" s="143" t="n"/>
      <c r="BL21" s="143" t="n"/>
      <c r="BM21" s="143" t="n"/>
      <c r="BN21" s="143" t="n"/>
      <c r="BO21" s="143" t="n"/>
      <c r="BP21" s="143" t="n"/>
      <c r="BQ21" s="143" t="n"/>
      <c r="BR21" s="143" t="n"/>
      <c r="BS21" s="143" t="n"/>
      <c r="BT21" s="143" t="n"/>
      <c r="BU21" s="143" t="n"/>
      <c r="BV21" s="143" t="n"/>
      <c r="BW21" s="143" t="n"/>
      <c r="BX21" s="143" t="n"/>
      <c r="BY21" s="143" t="n"/>
      <c r="BZ21" s="143" t="n"/>
      <c r="CA21" s="143" t="n"/>
      <c r="CB21" s="143" t="n"/>
      <c r="CC21" s="143" t="n"/>
      <c r="CD21" s="143" t="n"/>
      <c r="CE21" s="143" t="n"/>
      <c r="CF21" s="143" t="n"/>
      <c r="CG21" s="143" t="n"/>
      <c r="CH21" s="143" t="n"/>
      <c r="CI21" s="143" t="n"/>
      <c r="CJ21" s="143" t="n"/>
      <c r="CK21" s="143" t="n"/>
      <c r="CL21" s="143" t="n"/>
      <c r="CM21" s="143" t="n"/>
      <c r="CN21" s="143" t="n"/>
      <c r="CO21" s="143" t="n"/>
      <c r="CP21" s="143" t="n"/>
      <c r="CQ21" s="143" t="n"/>
      <c r="CR21" s="143" t="n"/>
      <c r="CS21" s="143" t="n"/>
      <c r="CT21" s="143" t="n"/>
      <c r="CU21" s="143" t="n"/>
      <c r="CV21" s="143" t="n"/>
      <c r="CW21" s="143" t="n"/>
      <c r="CX21" s="143" t="n"/>
      <c r="CY21" s="143" t="n"/>
      <c r="CZ21" s="143" t="n"/>
      <c r="DA21" s="143" t="n"/>
      <c r="DB21" s="143" t="n"/>
      <c r="DC21" s="143" t="n"/>
      <c r="DD21" s="143" t="n"/>
      <c r="DE21" s="143" t="n"/>
      <c r="DF21" s="143" t="n"/>
      <c r="DG21" s="143" t="n"/>
      <c r="DH21" s="143" t="n"/>
      <c r="DI21" s="143" t="n"/>
      <c r="DJ21" s="143" t="n"/>
      <c r="DK21" s="143" t="n"/>
      <c r="DL21" s="143" t="n"/>
      <c r="DM21" s="143" t="n"/>
      <c r="DN21" s="143" t="n"/>
      <c r="DO21" s="143" t="n"/>
      <c r="DP21" s="143" t="n"/>
      <c r="DQ21" s="143" t="n"/>
      <c r="DR21" s="143" t="n"/>
      <c r="DS21" s="143" t="n"/>
      <c r="DT21" s="143" t="n"/>
      <c r="DU21" s="143" t="n"/>
      <c r="DV21" s="143" t="n"/>
      <c r="DW21" s="143" t="n"/>
      <c r="DX21" s="143" t="n"/>
      <c r="DY21" s="143" t="n"/>
      <c r="DZ21" s="143" t="n"/>
      <c r="EA21" s="143" t="n"/>
      <c r="EB21" s="143" t="n"/>
      <c r="EC21" s="143" t="n"/>
      <c r="ED21" s="143" t="n"/>
      <c r="EE21" s="143" t="n"/>
      <c r="EF21" s="143" t="n"/>
      <c r="EG21" s="143" t="n"/>
      <c r="EH21" s="143" t="n"/>
      <c r="EI21" s="143" t="n"/>
      <c r="EJ21" s="143" t="n"/>
      <c r="EK21" s="143" t="n"/>
      <c r="EL21" s="143" t="n"/>
      <c r="EM21" s="143" t="n"/>
      <c r="EN21" s="143" t="n"/>
      <c r="EO21" s="143" t="n"/>
      <c r="EP21" s="143" t="n"/>
      <c r="EQ21" s="143" t="n"/>
      <c r="ER21" s="143" t="n"/>
      <c r="ES21" s="143" t="n"/>
      <c r="ET21" s="143" t="n"/>
      <c r="EU21" s="143" t="n"/>
      <c r="EV21" s="143" t="n"/>
      <c r="EW21" s="143" t="n"/>
      <c r="EX21" s="143" t="n"/>
      <c r="EY21" s="143" t="n"/>
      <c r="EZ21" s="143" t="n"/>
      <c r="FA21" s="143" t="n"/>
      <c r="FB21" s="143" t="n"/>
      <c r="FC21" s="143" t="n"/>
      <c r="FD21" s="143" t="n"/>
      <c r="FE21" s="143" t="n"/>
      <c r="FF21" s="143" t="n"/>
      <c r="FG21" s="143" t="n"/>
      <c r="FH21" s="143" t="n"/>
      <c r="FI21" s="143" t="n"/>
      <c r="FJ21" s="143" t="n"/>
      <c r="FK21" s="143" t="n"/>
      <c r="FL21" s="143" t="n"/>
      <c r="FM21" s="143" t="n"/>
      <c r="FN21" s="143" t="n"/>
      <c r="FO21" s="143" t="n"/>
      <c r="FP21" s="143" t="n"/>
      <c r="FQ21" s="143" t="n"/>
      <c r="FR21" s="143" t="n"/>
      <c r="FS21" s="143" t="n"/>
      <c r="FT21" s="143" t="n"/>
      <c r="FU21" s="143" t="n"/>
      <c r="FV21" s="143" t="n"/>
      <c r="FW21" s="143" t="n"/>
      <c r="FX21" s="143" t="n"/>
      <c r="FY21" s="143" t="n"/>
      <c r="FZ21" s="143" t="n"/>
      <c r="GA21" s="143" t="n"/>
      <c r="GB21" s="143" t="n"/>
      <c r="GC21" s="143" t="n"/>
      <c r="GD21" s="143" t="n"/>
      <c r="GE21" s="143" t="n"/>
      <c r="GF21" s="143" t="n"/>
      <c r="GG21" s="143" t="n"/>
      <c r="GH21" s="143" t="n"/>
      <c r="GI21" s="143" t="n"/>
      <c r="GJ21" s="143" t="n"/>
      <c r="GK21" s="143" t="n"/>
      <c r="GL21" s="143" t="n"/>
      <c r="GM21" s="143" t="n"/>
      <c r="GN21" s="143" t="n"/>
      <c r="GO21" s="143" t="n"/>
      <c r="GP21" s="143" t="n"/>
      <c r="GQ21" s="143" t="n"/>
      <c r="GR21" s="143" t="n"/>
      <c r="GS21" s="143" t="n"/>
      <c r="GT21" s="143" t="n"/>
      <c r="GU21" s="143" t="n"/>
      <c r="GV21" s="143" t="n"/>
      <c r="GW21" s="143" t="n"/>
      <c r="GX21" s="143" t="n"/>
      <c r="GY21" s="143" t="n"/>
      <c r="GZ21" s="143" t="n"/>
      <c r="HA21" s="143" t="n"/>
      <c r="HB21" s="143" t="n"/>
      <c r="HC21" s="143" t="n"/>
      <c r="HD21" s="143" t="n"/>
      <c r="HE21" s="143" t="n"/>
      <c r="HF21" s="143" t="n"/>
      <c r="HG21" s="143" t="n"/>
      <c r="HH21" s="143" t="n"/>
      <c r="HI21" s="143" t="n"/>
      <c r="HJ21" s="143" t="n"/>
      <c r="HK21" s="143" t="n"/>
      <c r="HL21" s="143" t="n"/>
      <c r="HM21" s="143" t="n"/>
      <c r="HN21" s="143" t="n"/>
      <c r="HO21" s="143" t="n"/>
      <c r="HP21" s="143" t="n"/>
      <c r="HQ21" s="143" t="n"/>
      <c r="HR21" s="143" t="n"/>
      <c r="HS21" s="143" t="n"/>
      <c r="HT21" s="143" t="n"/>
      <c r="HU21" s="143" t="n"/>
      <c r="HV21" s="143" t="n"/>
      <c r="HW21" s="143" t="n"/>
      <c r="HX21" s="143" t="n"/>
      <c r="HY21" s="143" t="n"/>
      <c r="HZ21" s="143" t="n"/>
      <c r="IA21" s="143" t="n"/>
      <c r="IB21" s="143" t="n"/>
      <c r="IC21" s="143" t="n"/>
      <c r="ID21" s="143" t="n"/>
      <c r="IE21" s="143" t="n"/>
      <c r="IF21" s="143" t="n"/>
      <c r="IG21" s="143" t="n"/>
      <c r="IH21" s="143" t="n"/>
      <c r="II21" s="143" t="n"/>
      <c r="IJ21" s="143" t="n"/>
      <c r="IK21" s="143" t="n"/>
      <c r="IL21" s="143" t="n"/>
      <c r="IM21" s="143" t="n"/>
      <c r="IN21" s="143" t="n"/>
      <c r="IO21" s="143" t="n"/>
      <c r="IP21" s="143" t="n"/>
      <c r="IQ21" s="143" t="n"/>
      <c r="IR21" s="143" t="n"/>
      <c r="IS21" s="143" t="n"/>
      <c r="IT21" s="143" t="n"/>
      <c r="IU21" s="143" t="n"/>
      <c r="IV21" s="143" t="n"/>
      <c r="IW21" s="143" t="n"/>
      <c r="IX21" s="143" t="n"/>
      <c r="IY21" s="143" t="n"/>
      <c r="IZ21" s="143" t="n"/>
      <c r="JA21" s="143" t="n"/>
      <c r="JB21" s="143" t="n"/>
      <c r="JC21" s="143" t="n"/>
      <c r="JD21" s="143" t="n"/>
      <c r="JE21" s="143" t="n"/>
      <c r="JF21" s="143" t="n"/>
      <c r="JG21" s="143" t="n"/>
      <c r="JH21" s="143" t="n"/>
      <c r="JI21" s="143" t="n"/>
      <c r="JJ21" s="143" t="n"/>
      <c r="JK21" s="143" t="n"/>
      <c r="JL21" s="143" t="n"/>
      <c r="JM21" s="143" t="n"/>
      <c r="JN21" s="143" t="n"/>
      <c r="JO21" s="143" t="n"/>
      <c r="JP21" s="143" t="n"/>
      <c r="JQ21" s="143" t="n"/>
      <c r="JR21" s="143" t="n"/>
      <c r="JS21" s="143" t="n"/>
      <c r="JT21" s="143" t="n"/>
      <c r="JU21" s="143" t="n"/>
      <c r="JV21" s="143" t="n"/>
      <c r="JW21" s="143" t="n"/>
      <c r="JX21" s="143" t="n"/>
      <c r="JY21" s="143" t="n"/>
      <c r="JZ21" s="143" t="n"/>
      <c r="KA21" s="143" t="n"/>
      <c r="KB21" s="143" t="n"/>
      <c r="KC21" s="143" t="n"/>
      <c r="KD21" s="143" t="n"/>
      <c r="KE21" s="143" t="n"/>
      <c r="KF21" s="143" t="n"/>
      <c r="KG21" s="143" t="n"/>
      <c r="KH21" s="143" t="n"/>
      <c r="KI21" s="143" t="n"/>
      <c r="KJ21" s="143" t="n"/>
      <c r="KK21" s="143" t="n"/>
      <c r="KL21" s="143" t="n"/>
      <c r="KM21" s="143" t="n"/>
      <c r="KN21" s="143" t="n"/>
      <c r="KO21" s="143" t="n"/>
      <c r="KP21" s="143" t="n"/>
      <c r="KQ21" s="143" t="n"/>
      <c r="KR21" s="143" t="n"/>
      <c r="KS21" s="143" t="n"/>
      <c r="KT21" s="143" t="n"/>
      <c r="KU21" s="143" t="n"/>
      <c r="KV21" s="143" t="n"/>
      <c r="KW21" s="143" t="n"/>
      <c r="KX21" s="143" t="n"/>
      <c r="KY21" s="143" t="n"/>
      <c r="KZ21" s="143" t="n"/>
      <c r="LA21" s="143" t="n"/>
      <c r="LB21" s="143" t="n"/>
      <c r="LC21" s="143" t="n"/>
      <c r="LD21" s="143" t="n"/>
      <c r="LE21" s="143" t="n"/>
      <c r="LF21" s="143" t="n"/>
      <c r="LG21" s="143" t="n"/>
      <c r="LH21" s="143" t="n"/>
      <c r="LI21" s="143" t="n"/>
      <c r="LJ21" s="143" t="n"/>
      <c r="LK21" s="143" t="n"/>
      <c r="LL21" s="143" t="n"/>
      <c r="LM21" s="143" t="n"/>
      <c r="LN21" s="143" t="n"/>
      <c r="LO21" s="143" t="n"/>
      <c r="LP21" s="143" t="n"/>
      <c r="LQ21" s="143" t="n"/>
      <c r="LR21" s="143" t="n"/>
      <c r="LS21" s="143" t="n"/>
      <c r="LT21" s="143" t="n"/>
      <c r="LU21" s="143" t="n"/>
      <c r="LV21" s="143" t="n"/>
      <c r="LW21" s="143" t="n"/>
      <c r="LX21" s="143" t="n"/>
      <c r="LY21" s="143" t="n"/>
      <c r="LZ21" s="143" t="n"/>
      <c r="MA21" s="143" t="n"/>
      <c r="MB21" s="143" t="n"/>
      <c r="MC21" s="143" t="n"/>
      <c r="MD21" s="143" t="n"/>
      <c r="ME21" s="143" t="n"/>
      <c r="MF21" s="143" t="n"/>
      <c r="MG21" s="143" t="n"/>
      <c r="MH21" s="143" t="n"/>
      <c r="MI21" s="143" t="n"/>
      <c r="MJ21" s="143" t="n"/>
      <c r="MK21" s="143" t="n"/>
      <c r="ML21" s="143" t="n"/>
      <c r="MM21" s="143" t="n"/>
      <c r="MN21" s="143" t="n"/>
      <c r="MO21" s="143" t="n"/>
      <c r="MP21" s="143" t="n"/>
      <c r="MQ21" s="143" t="n"/>
      <c r="MR21" s="143" t="n"/>
      <c r="MS21" s="143" t="n"/>
      <c r="MT21" s="143" t="n"/>
      <c r="MU21" s="143" t="n"/>
      <c r="MV21" s="143" t="n"/>
      <c r="MW21" s="143" t="n"/>
      <c r="MX21" s="143" t="n"/>
      <c r="MY21" s="143" t="n"/>
      <c r="MZ21" s="143" t="n"/>
      <c r="NA21" s="143" t="n"/>
      <c r="NB21" s="143" t="n"/>
      <c r="NC21" s="143" t="n"/>
      <c r="ND21" s="143" t="n"/>
      <c r="NE21" s="1" t="n"/>
      <c r="NF21" s="1" t="n"/>
      <c r="NG21" s="1" t="n"/>
    </row>
    <row r="22">
      <c r="A22" s="1" t="n"/>
      <c r="B22" s="17" t="inlineStr">
        <is>
          <t>Don't use phone before bed</t>
        </is>
      </c>
      <c r="C22" s="142">
        <f>IF(B22="","",IFERROR(COUNTIF(E22:ND22,"✓")/MAX(1,MIN(364,Setup!$D$7-$E$7+1)),0))</f>
        <v/>
      </c>
      <c r="D22" s="48">
        <f>IF(B22="","",COUNTIF(E22:ND22,"✓"))</f>
        <v/>
      </c>
      <c r="E22" s="144" t="inlineStr">
        <is>
          <t>✓</t>
        </is>
      </c>
      <c r="F22" s="144" t="n"/>
      <c r="G22" s="144" t="inlineStr">
        <is>
          <t>✓</t>
        </is>
      </c>
      <c r="H22" s="144" t="inlineStr">
        <is>
          <t>✓</t>
        </is>
      </c>
      <c r="I22" s="144" t="inlineStr">
        <is>
          <t>✓</t>
        </is>
      </c>
      <c r="J22" s="144" t="n"/>
      <c r="K22" s="144" t="inlineStr">
        <is>
          <t>✓</t>
        </is>
      </c>
      <c r="L22" s="144" t="inlineStr">
        <is>
          <t>✓</t>
        </is>
      </c>
      <c r="M22" s="144" t="inlineStr">
        <is>
          <t>✓</t>
        </is>
      </c>
      <c r="N22" s="144" t="inlineStr">
        <is>
          <t>✓</t>
        </is>
      </c>
      <c r="O22" s="144" t="n"/>
      <c r="P22" s="144" t="inlineStr">
        <is>
          <t>✓</t>
        </is>
      </c>
      <c r="Q22" s="144" t="inlineStr">
        <is>
          <t>✓</t>
        </is>
      </c>
      <c r="R22" s="144" t="inlineStr">
        <is>
          <t>✓</t>
        </is>
      </c>
      <c r="S22" s="144" t="inlineStr">
        <is>
          <t>✓</t>
        </is>
      </c>
      <c r="T22" s="144" t="inlineStr">
        <is>
          <t>✓</t>
        </is>
      </c>
      <c r="U22" s="144" t="inlineStr">
        <is>
          <t>✓</t>
        </is>
      </c>
      <c r="V22" s="144" t="inlineStr">
        <is>
          <t>✓</t>
        </is>
      </c>
      <c r="W22" s="144" t="inlineStr">
        <is>
          <t>✓</t>
        </is>
      </c>
      <c r="X22" s="144" t="inlineStr">
        <is>
          <t>✓</t>
        </is>
      </c>
      <c r="Y22" s="144" t="inlineStr">
        <is>
          <t>✓</t>
        </is>
      </c>
      <c r="Z22" s="144" t="inlineStr">
        <is>
          <t>✓</t>
        </is>
      </c>
      <c r="AA22" s="144" t="inlineStr">
        <is>
          <t>✓</t>
        </is>
      </c>
      <c r="AB22" s="144" t="inlineStr">
        <is>
          <t>✓</t>
        </is>
      </c>
      <c r="AC22" s="144" t="inlineStr">
        <is>
          <t>✓</t>
        </is>
      </c>
      <c r="AD22" s="144" t="n"/>
      <c r="AE22" s="144" t="inlineStr">
        <is>
          <t>✓</t>
        </is>
      </c>
      <c r="AF22" s="144" t="n"/>
      <c r="AG22" s="144" t="inlineStr">
        <is>
          <t>✓</t>
        </is>
      </c>
      <c r="AH22" s="144" t="n"/>
      <c r="AI22" s="144" t="n"/>
      <c r="AJ22" s="144" t="n"/>
      <c r="AK22" s="144" t="n"/>
      <c r="AL22" s="144" t="n"/>
      <c r="AM22" s="144" t="n"/>
      <c r="AN22" s="144" t="n"/>
      <c r="AO22" s="144" t="n"/>
      <c r="AP22" s="144" t="n"/>
      <c r="AQ22" s="144" t="n"/>
      <c r="AR22" s="144" t="n"/>
      <c r="AS22" s="144" t="n"/>
      <c r="AT22" s="144" t="n"/>
      <c r="AU22" s="144" t="n"/>
      <c r="AV22" s="144" t="n"/>
      <c r="AW22" s="144" t="n"/>
      <c r="AX22" s="144" t="n"/>
      <c r="AY22" s="144" t="n"/>
      <c r="AZ22" s="144" t="n"/>
      <c r="BA22" s="144" t="n"/>
      <c r="BB22" s="144" t="n"/>
      <c r="BC22" s="144" t="n"/>
      <c r="BD22" s="144" t="n"/>
      <c r="BE22" s="144" t="n"/>
      <c r="BF22" s="144" t="n"/>
      <c r="BG22" s="144" t="n"/>
      <c r="BH22" s="144" t="n"/>
      <c r="BI22" s="144" t="n"/>
      <c r="BJ22" s="144" t="n"/>
      <c r="BK22" s="144" t="n"/>
      <c r="BL22" s="144" t="n"/>
      <c r="BM22" s="144" t="n"/>
      <c r="BN22" s="144" t="n"/>
      <c r="BO22" s="144" t="n"/>
      <c r="BP22" s="144" t="n"/>
      <c r="BQ22" s="144" t="n"/>
      <c r="BR22" s="144" t="n"/>
      <c r="BS22" s="144" t="n"/>
      <c r="BT22" s="144" t="n"/>
      <c r="BU22" s="144" t="n"/>
      <c r="BV22" s="144" t="n"/>
      <c r="BW22" s="144" t="n"/>
      <c r="BX22" s="144" t="n"/>
      <c r="BY22" s="144" t="n"/>
      <c r="BZ22" s="144" t="n"/>
      <c r="CA22" s="144" t="n"/>
      <c r="CB22" s="144" t="n"/>
      <c r="CC22" s="144" t="n"/>
      <c r="CD22" s="144" t="n"/>
      <c r="CE22" s="144" t="n"/>
      <c r="CF22" s="144" t="n"/>
      <c r="CG22" s="144" t="n"/>
      <c r="CH22" s="144" t="n"/>
      <c r="CI22" s="144" t="n"/>
      <c r="CJ22" s="144" t="n"/>
      <c r="CK22" s="144" t="n"/>
      <c r="CL22" s="144" t="n"/>
      <c r="CM22" s="144" t="n"/>
      <c r="CN22" s="144" t="n"/>
      <c r="CO22" s="144" t="n"/>
      <c r="CP22" s="144" t="n"/>
      <c r="CQ22" s="144" t="n"/>
      <c r="CR22" s="144" t="n"/>
      <c r="CS22" s="144" t="n"/>
      <c r="CT22" s="144" t="n"/>
      <c r="CU22" s="144" t="n"/>
      <c r="CV22" s="144" t="n"/>
      <c r="CW22" s="144" t="n"/>
      <c r="CX22" s="144" t="n"/>
      <c r="CY22" s="144" t="n"/>
      <c r="CZ22" s="144" t="n"/>
      <c r="DA22" s="144" t="n"/>
      <c r="DB22" s="144" t="n"/>
      <c r="DC22" s="144" t="n"/>
      <c r="DD22" s="144" t="n"/>
      <c r="DE22" s="144" t="n"/>
      <c r="DF22" s="144" t="n"/>
      <c r="DG22" s="144" t="n"/>
      <c r="DH22" s="144" t="n"/>
      <c r="DI22" s="144" t="n"/>
      <c r="DJ22" s="144" t="n"/>
      <c r="DK22" s="144" t="n"/>
      <c r="DL22" s="144" t="n"/>
      <c r="DM22" s="144" t="n"/>
      <c r="DN22" s="144" t="n"/>
      <c r="DO22" s="144" t="n"/>
      <c r="DP22" s="144" t="n"/>
      <c r="DQ22" s="144" t="n"/>
      <c r="DR22" s="144" t="n"/>
      <c r="DS22" s="144" t="n"/>
      <c r="DT22" s="144" t="n"/>
      <c r="DU22" s="144" t="n"/>
      <c r="DV22" s="144" t="n"/>
      <c r="DW22" s="144" t="n"/>
      <c r="DX22" s="144" t="n"/>
      <c r="DY22" s="144" t="n"/>
      <c r="DZ22" s="144" t="n"/>
      <c r="EA22" s="144" t="n"/>
      <c r="EB22" s="144" t="n"/>
      <c r="EC22" s="144" t="n"/>
      <c r="ED22" s="144" t="n"/>
      <c r="EE22" s="144" t="n"/>
      <c r="EF22" s="144" t="n"/>
      <c r="EG22" s="144" t="n"/>
      <c r="EH22" s="144" t="n"/>
      <c r="EI22" s="144" t="n"/>
      <c r="EJ22" s="144" t="n"/>
      <c r="EK22" s="144" t="n"/>
      <c r="EL22" s="144" t="n"/>
      <c r="EM22" s="144" t="n"/>
      <c r="EN22" s="144" t="n"/>
      <c r="EO22" s="144" t="n"/>
      <c r="EP22" s="144" t="n"/>
      <c r="EQ22" s="144" t="n"/>
      <c r="ER22" s="144" t="n"/>
      <c r="ES22" s="144" t="n"/>
      <c r="ET22" s="144" t="n"/>
      <c r="EU22" s="144" t="n"/>
      <c r="EV22" s="144" t="n"/>
      <c r="EW22" s="144" t="n"/>
      <c r="EX22" s="144" t="n"/>
      <c r="EY22" s="144" t="n"/>
      <c r="EZ22" s="144" t="n"/>
      <c r="FA22" s="144" t="n"/>
      <c r="FB22" s="144" t="n"/>
      <c r="FC22" s="144" t="n"/>
      <c r="FD22" s="144" t="n"/>
      <c r="FE22" s="144" t="n"/>
      <c r="FF22" s="144" t="n"/>
      <c r="FG22" s="144" t="n"/>
      <c r="FH22" s="144" t="n"/>
      <c r="FI22" s="144" t="n"/>
      <c r="FJ22" s="144" t="n"/>
      <c r="FK22" s="144" t="n"/>
      <c r="FL22" s="144" t="n"/>
      <c r="FM22" s="144" t="n"/>
      <c r="FN22" s="144" t="n"/>
      <c r="FO22" s="144" t="n"/>
      <c r="FP22" s="144" t="n"/>
      <c r="FQ22" s="144" t="n"/>
      <c r="FR22" s="144" t="n"/>
      <c r="FS22" s="144" t="n"/>
      <c r="FT22" s="144" t="n"/>
      <c r="FU22" s="144" t="n"/>
      <c r="FV22" s="144" t="n"/>
      <c r="FW22" s="144" t="n"/>
      <c r="FX22" s="144" t="n"/>
      <c r="FY22" s="144" t="n"/>
      <c r="FZ22" s="144" t="n"/>
      <c r="GA22" s="144" t="n"/>
      <c r="GB22" s="144" t="n"/>
      <c r="GC22" s="144" t="n"/>
      <c r="GD22" s="144" t="n"/>
      <c r="GE22" s="144" t="n"/>
      <c r="GF22" s="144" t="n"/>
      <c r="GG22" s="144" t="n"/>
      <c r="GH22" s="144" t="n"/>
      <c r="GI22" s="144" t="n"/>
      <c r="GJ22" s="144" t="n"/>
      <c r="GK22" s="144" t="n"/>
      <c r="GL22" s="144" t="n"/>
      <c r="GM22" s="144" t="n"/>
      <c r="GN22" s="144" t="n"/>
      <c r="GO22" s="144" t="n"/>
      <c r="GP22" s="144" t="n"/>
      <c r="GQ22" s="144" t="n"/>
      <c r="GR22" s="144" t="n"/>
      <c r="GS22" s="144" t="n"/>
      <c r="GT22" s="144" t="n"/>
      <c r="GU22" s="144" t="n"/>
      <c r="GV22" s="144" t="n"/>
      <c r="GW22" s="144" t="n"/>
      <c r="GX22" s="144" t="n"/>
      <c r="GY22" s="144" t="n"/>
      <c r="GZ22" s="144" t="n"/>
      <c r="HA22" s="144" t="n"/>
      <c r="HB22" s="144" t="n"/>
      <c r="HC22" s="144" t="n"/>
      <c r="HD22" s="144" t="n"/>
      <c r="HE22" s="144" t="n"/>
      <c r="HF22" s="144" t="n"/>
      <c r="HG22" s="144" t="n"/>
      <c r="HH22" s="144" t="n"/>
      <c r="HI22" s="144" t="n"/>
      <c r="HJ22" s="144" t="n"/>
      <c r="HK22" s="144" t="n"/>
      <c r="HL22" s="144" t="n"/>
      <c r="HM22" s="144" t="n"/>
      <c r="HN22" s="144" t="n"/>
      <c r="HO22" s="144" t="n"/>
      <c r="HP22" s="144" t="n"/>
      <c r="HQ22" s="144" t="n"/>
      <c r="HR22" s="144" t="n"/>
      <c r="HS22" s="144" t="n"/>
      <c r="HT22" s="144" t="n"/>
      <c r="HU22" s="144" t="n"/>
      <c r="HV22" s="144" t="n"/>
      <c r="HW22" s="144" t="n"/>
      <c r="HX22" s="144" t="n"/>
      <c r="HY22" s="144" t="n"/>
      <c r="HZ22" s="144" t="n"/>
      <c r="IA22" s="144" t="n"/>
      <c r="IB22" s="144" t="n"/>
      <c r="IC22" s="144" t="n"/>
      <c r="ID22" s="144" t="n"/>
      <c r="IE22" s="144" t="n"/>
      <c r="IF22" s="144" t="n"/>
      <c r="IG22" s="144" t="n"/>
      <c r="IH22" s="144" t="n"/>
      <c r="II22" s="144" t="n"/>
      <c r="IJ22" s="144" t="n"/>
      <c r="IK22" s="144" t="n"/>
      <c r="IL22" s="144" t="n"/>
      <c r="IM22" s="144" t="n"/>
      <c r="IN22" s="144" t="n"/>
      <c r="IO22" s="144" t="n"/>
      <c r="IP22" s="144" t="n"/>
      <c r="IQ22" s="144" t="n"/>
      <c r="IR22" s="144" t="n"/>
      <c r="IS22" s="144" t="n"/>
      <c r="IT22" s="144" t="n"/>
      <c r="IU22" s="144" t="n"/>
      <c r="IV22" s="144" t="n"/>
      <c r="IW22" s="144" t="n"/>
      <c r="IX22" s="144" t="n"/>
      <c r="IY22" s="144" t="n"/>
      <c r="IZ22" s="144" t="n"/>
      <c r="JA22" s="144" t="n"/>
      <c r="JB22" s="144" t="n"/>
      <c r="JC22" s="144" t="n"/>
      <c r="JD22" s="144" t="n"/>
      <c r="JE22" s="144" t="n"/>
      <c r="JF22" s="144" t="n"/>
      <c r="JG22" s="144" t="n"/>
      <c r="JH22" s="144" t="n"/>
      <c r="JI22" s="144" t="n"/>
      <c r="JJ22" s="144" t="n"/>
      <c r="JK22" s="144" t="n"/>
      <c r="JL22" s="144" t="n"/>
      <c r="JM22" s="144" t="n"/>
      <c r="JN22" s="144" t="n"/>
      <c r="JO22" s="144" t="n"/>
      <c r="JP22" s="144" t="n"/>
      <c r="JQ22" s="144" t="n"/>
      <c r="JR22" s="144" t="n"/>
      <c r="JS22" s="144" t="n"/>
      <c r="JT22" s="144" t="n"/>
      <c r="JU22" s="144" t="n"/>
      <c r="JV22" s="144" t="n"/>
      <c r="JW22" s="144" t="n"/>
      <c r="JX22" s="144" t="n"/>
      <c r="JY22" s="144" t="n"/>
      <c r="JZ22" s="144" t="n"/>
      <c r="KA22" s="144" t="n"/>
      <c r="KB22" s="144" t="n"/>
      <c r="KC22" s="144" t="n"/>
      <c r="KD22" s="144" t="n"/>
      <c r="KE22" s="144" t="n"/>
      <c r="KF22" s="144" t="n"/>
      <c r="KG22" s="144" t="n"/>
      <c r="KH22" s="144" t="n"/>
      <c r="KI22" s="144" t="n"/>
      <c r="KJ22" s="144" t="n"/>
      <c r="KK22" s="144" t="n"/>
      <c r="KL22" s="144" t="n"/>
      <c r="KM22" s="144" t="n"/>
      <c r="KN22" s="144" t="n"/>
      <c r="KO22" s="144" t="n"/>
      <c r="KP22" s="144" t="n"/>
      <c r="KQ22" s="144" t="n"/>
      <c r="KR22" s="144" t="n"/>
      <c r="KS22" s="144" t="n"/>
      <c r="KT22" s="144" t="n"/>
      <c r="KU22" s="144" t="n"/>
      <c r="KV22" s="144" t="n"/>
      <c r="KW22" s="144" t="n"/>
      <c r="KX22" s="144" t="n"/>
      <c r="KY22" s="144" t="n"/>
      <c r="KZ22" s="144" t="n"/>
      <c r="LA22" s="144" t="n"/>
      <c r="LB22" s="144" t="n"/>
      <c r="LC22" s="144" t="n"/>
      <c r="LD22" s="144" t="n"/>
      <c r="LE22" s="144" t="n"/>
      <c r="LF22" s="144" t="n"/>
      <c r="LG22" s="144" t="n"/>
      <c r="LH22" s="144" t="n"/>
      <c r="LI22" s="144" t="n"/>
      <c r="LJ22" s="144" t="n"/>
      <c r="LK22" s="144" t="n"/>
      <c r="LL22" s="144" t="n"/>
      <c r="LM22" s="144" t="n"/>
      <c r="LN22" s="144" t="n"/>
      <c r="LO22" s="144" t="n"/>
      <c r="LP22" s="144" t="n"/>
      <c r="LQ22" s="144" t="n"/>
      <c r="LR22" s="144" t="n"/>
      <c r="LS22" s="144" t="n"/>
      <c r="LT22" s="144" t="n"/>
      <c r="LU22" s="144" t="n"/>
      <c r="LV22" s="144" t="n"/>
      <c r="LW22" s="144" t="n"/>
      <c r="LX22" s="144" t="n"/>
      <c r="LY22" s="144" t="n"/>
      <c r="LZ22" s="144" t="n"/>
      <c r="MA22" s="144" t="n"/>
      <c r="MB22" s="144" t="n"/>
      <c r="MC22" s="144" t="n"/>
      <c r="MD22" s="144" t="n"/>
      <c r="ME22" s="144" t="n"/>
      <c r="MF22" s="144" t="n"/>
      <c r="MG22" s="144" t="n"/>
      <c r="MH22" s="144" t="n"/>
      <c r="MI22" s="144" t="n"/>
      <c r="MJ22" s="144" t="n"/>
      <c r="MK22" s="144" t="n"/>
      <c r="ML22" s="144" t="n"/>
      <c r="MM22" s="144" t="n"/>
      <c r="MN22" s="144" t="n"/>
      <c r="MO22" s="144" t="n"/>
      <c r="MP22" s="144" t="n"/>
      <c r="MQ22" s="144" t="n"/>
      <c r="MR22" s="144" t="n"/>
      <c r="MS22" s="144" t="n"/>
      <c r="MT22" s="144" t="n"/>
      <c r="MU22" s="144" t="n"/>
      <c r="MV22" s="144" t="n"/>
      <c r="MW22" s="144" t="n"/>
      <c r="MX22" s="144" t="n"/>
      <c r="MY22" s="144" t="n"/>
      <c r="MZ22" s="144" t="n"/>
      <c r="NA22" s="144" t="n"/>
      <c r="NB22" s="144" t="n"/>
      <c r="NC22" s="144" t="n"/>
      <c r="ND22" s="144" t="n"/>
      <c r="NE22" s="1" t="n"/>
      <c r="NF22" s="1" t="n"/>
      <c r="NG22" s="1" t="n"/>
    </row>
    <row r="23">
      <c r="A23" s="1" t="n"/>
      <c r="B23" s="17" t="inlineStr">
        <is>
          <t>In bed before 10pm</t>
        </is>
      </c>
      <c r="C23" s="142">
        <f>IF(B23="","",IFERROR(COUNTIF(E23:ND23,"✓")/MAX(1,MIN(364,Setup!$D$7-$E$7+1)),0))</f>
        <v/>
      </c>
      <c r="D23" s="48">
        <f>IF(B23="","",COUNTIF(E23:ND23,"✓"))</f>
        <v/>
      </c>
      <c r="E23" s="143" t="n"/>
      <c r="F23" s="143" t="n"/>
      <c r="G23" s="143" t="n"/>
      <c r="H23" s="143" t="inlineStr">
        <is>
          <t>✓</t>
        </is>
      </c>
      <c r="I23" s="143" t="inlineStr">
        <is>
          <t>✓</t>
        </is>
      </c>
      <c r="J23" s="143" t="n"/>
      <c r="K23" s="143" t="inlineStr">
        <is>
          <t>✓</t>
        </is>
      </c>
      <c r="L23" s="143" t="n"/>
      <c r="M23" s="143" t="n"/>
      <c r="N23" s="143" t="inlineStr">
        <is>
          <t>✓</t>
        </is>
      </c>
      <c r="O23" s="143" t="inlineStr">
        <is>
          <t>✓</t>
        </is>
      </c>
      <c r="P23" s="143" t="n"/>
      <c r="Q23" s="143" t="inlineStr">
        <is>
          <t>✓</t>
        </is>
      </c>
      <c r="R23" s="143" t="inlineStr">
        <is>
          <t>✓</t>
        </is>
      </c>
      <c r="S23" s="143" t="n"/>
      <c r="T23" s="143" t="inlineStr">
        <is>
          <t>✓</t>
        </is>
      </c>
      <c r="U23" s="143" t="n"/>
      <c r="V23" s="143" t="inlineStr">
        <is>
          <t>✓</t>
        </is>
      </c>
      <c r="W23" s="143" t="inlineStr">
        <is>
          <t>✓</t>
        </is>
      </c>
      <c r="X23" s="143" t="n"/>
      <c r="Y23" s="143" t="inlineStr">
        <is>
          <t>✓</t>
        </is>
      </c>
      <c r="Z23" s="143" t="inlineStr">
        <is>
          <t>✓</t>
        </is>
      </c>
      <c r="AA23" s="143" t="n"/>
      <c r="AB23" s="143" t="n"/>
      <c r="AC23" s="143" t="n"/>
      <c r="AD23" s="143" t="inlineStr">
        <is>
          <t>✓</t>
        </is>
      </c>
      <c r="AE23" s="143" t="inlineStr">
        <is>
          <t>✓</t>
        </is>
      </c>
      <c r="AF23" s="143" t="n"/>
      <c r="AG23" s="143" t="inlineStr">
        <is>
          <t>✓</t>
        </is>
      </c>
      <c r="AH23" s="143" t="n"/>
      <c r="AI23" s="143" t="n"/>
      <c r="AJ23" s="143" t="n"/>
      <c r="AK23" s="143" t="n"/>
      <c r="AL23" s="143" t="n"/>
      <c r="AM23" s="143" t="n"/>
      <c r="AN23" s="143" t="n"/>
      <c r="AO23" s="143" t="n"/>
      <c r="AP23" s="143" t="n"/>
      <c r="AQ23" s="143" t="n"/>
      <c r="AR23" s="143" t="n"/>
      <c r="AS23" s="143" t="n"/>
      <c r="AT23" s="143" t="n"/>
      <c r="AU23" s="143" t="n"/>
      <c r="AV23" s="143" t="n"/>
      <c r="AW23" s="143" t="n"/>
      <c r="AX23" s="143" t="n"/>
      <c r="AY23" s="143" t="n"/>
      <c r="AZ23" s="143" t="n"/>
      <c r="BA23" s="143" t="n"/>
      <c r="BB23" s="143" t="n"/>
      <c r="BC23" s="143" t="n"/>
      <c r="BD23" s="143" t="n"/>
      <c r="BE23" s="143" t="n"/>
      <c r="BF23" s="143" t="n"/>
      <c r="BG23" s="143" t="n"/>
      <c r="BH23" s="143" t="n"/>
      <c r="BI23" s="143" t="n"/>
      <c r="BJ23" s="143" t="n"/>
      <c r="BK23" s="143" t="n"/>
      <c r="BL23" s="143" t="n"/>
      <c r="BM23" s="143" t="n"/>
      <c r="BN23" s="143" t="n"/>
      <c r="BO23" s="143" t="n"/>
      <c r="BP23" s="143" t="n"/>
      <c r="BQ23" s="143" t="n"/>
      <c r="BR23" s="143" t="n"/>
      <c r="BS23" s="143" t="n"/>
      <c r="BT23" s="143" t="n"/>
      <c r="BU23" s="143" t="n"/>
      <c r="BV23" s="143" t="n"/>
      <c r="BW23" s="143" t="n"/>
      <c r="BX23" s="143" t="n"/>
      <c r="BY23" s="143" t="n"/>
      <c r="BZ23" s="143" t="n"/>
      <c r="CA23" s="143" t="n"/>
      <c r="CB23" s="143" t="n"/>
      <c r="CC23" s="143" t="n"/>
      <c r="CD23" s="143" t="n"/>
      <c r="CE23" s="143" t="n"/>
      <c r="CF23" s="143" t="n"/>
      <c r="CG23" s="143" t="n"/>
      <c r="CH23" s="143" t="n"/>
      <c r="CI23" s="143" t="n"/>
      <c r="CJ23" s="143" t="n"/>
      <c r="CK23" s="143" t="n"/>
      <c r="CL23" s="143" t="n"/>
      <c r="CM23" s="143" t="n"/>
      <c r="CN23" s="143" t="n"/>
      <c r="CO23" s="143" t="n"/>
      <c r="CP23" s="143" t="n"/>
      <c r="CQ23" s="143" t="n"/>
      <c r="CR23" s="143" t="n"/>
      <c r="CS23" s="143" t="n"/>
      <c r="CT23" s="143" t="n"/>
      <c r="CU23" s="143" t="n"/>
      <c r="CV23" s="143" t="n"/>
      <c r="CW23" s="143" t="n"/>
      <c r="CX23" s="143" t="n"/>
      <c r="CY23" s="143" t="n"/>
      <c r="CZ23" s="143" t="n"/>
      <c r="DA23" s="143" t="n"/>
      <c r="DB23" s="143" t="n"/>
      <c r="DC23" s="143" t="n"/>
      <c r="DD23" s="143" t="n"/>
      <c r="DE23" s="143" t="n"/>
      <c r="DF23" s="143" t="n"/>
      <c r="DG23" s="143" t="n"/>
      <c r="DH23" s="143" t="n"/>
      <c r="DI23" s="143" t="n"/>
      <c r="DJ23" s="143" t="n"/>
      <c r="DK23" s="143" t="n"/>
      <c r="DL23" s="143" t="n"/>
      <c r="DM23" s="143" t="n"/>
      <c r="DN23" s="143" t="n"/>
      <c r="DO23" s="143" t="n"/>
      <c r="DP23" s="143" t="n"/>
      <c r="DQ23" s="143" t="n"/>
      <c r="DR23" s="143" t="n"/>
      <c r="DS23" s="143" t="n"/>
      <c r="DT23" s="143" t="n"/>
      <c r="DU23" s="143" t="n"/>
      <c r="DV23" s="143" t="n"/>
      <c r="DW23" s="143" t="n"/>
      <c r="DX23" s="143" t="n"/>
      <c r="DY23" s="143" t="n"/>
      <c r="DZ23" s="143" t="n"/>
      <c r="EA23" s="143" t="n"/>
      <c r="EB23" s="143" t="n"/>
      <c r="EC23" s="143" t="n"/>
      <c r="ED23" s="143" t="n"/>
      <c r="EE23" s="143" t="n"/>
      <c r="EF23" s="143" t="n"/>
      <c r="EG23" s="143" t="n"/>
      <c r="EH23" s="143" t="n"/>
      <c r="EI23" s="143" t="n"/>
      <c r="EJ23" s="143" t="n"/>
      <c r="EK23" s="143" t="n"/>
      <c r="EL23" s="143" t="n"/>
      <c r="EM23" s="143" t="n"/>
      <c r="EN23" s="143" t="n"/>
      <c r="EO23" s="143" t="n"/>
      <c r="EP23" s="143" t="n"/>
      <c r="EQ23" s="143" t="n"/>
      <c r="ER23" s="143" t="n"/>
      <c r="ES23" s="143" t="n"/>
      <c r="ET23" s="143" t="n"/>
      <c r="EU23" s="143" t="n"/>
      <c r="EV23" s="143" t="n"/>
      <c r="EW23" s="143" t="n"/>
      <c r="EX23" s="143" t="n"/>
      <c r="EY23" s="143" t="n"/>
      <c r="EZ23" s="143" t="n"/>
      <c r="FA23" s="143" t="n"/>
      <c r="FB23" s="143" t="n"/>
      <c r="FC23" s="143" t="n"/>
      <c r="FD23" s="143" t="n"/>
      <c r="FE23" s="143" t="n"/>
      <c r="FF23" s="143" t="n"/>
      <c r="FG23" s="143" t="n"/>
      <c r="FH23" s="143" t="n"/>
      <c r="FI23" s="143" t="n"/>
      <c r="FJ23" s="143" t="n"/>
      <c r="FK23" s="143" t="n"/>
      <c r="FL23" s="143" t="n"/>
      <c r="FM23" s="143" t="n"/>
      <c r="FN23" s="143" t="n"/>
      <c r="FO23" s="143" t="n"/>
      <c r="FP23" s="143" t="n"/>
      <c r="FQ23" s="143" t="n"/>
      <c r="FR23" s="143" t="n"/>
      <c r="FS23" s="143" t="n"/>
      <c r="FT23" s="143" t="n"/>
      <c r="FU23" s="143" t="n"/>
      <c r="FV23" s="143" t="n"/>
      <c r="FW23" s="143" t="n"/>
      <c r="FX23" s="143" t="n"/>
      <c r="FY23" s="143" t="n"/>
      <c r="FZ23" s="143" t="n"/>
      <c r="GA23" s="143" t="n"/>
      <c r="GB23" s="143" t="n"/>
      <c r="GC23" s="143" t="n"/>
      <c r="GD23" s="143" t="n"/>
      <c r="GE23" s="143" t="n"/>
      <c r="GF23" s="143" t="n"/>
      <c r="GG23" s="143" t="n"/>
      <c r="GH23" s="143" t="n"/>
      <c r="GI23" s="143" t="n"/>
      <c r="GJ23" s="143" t="n"/>
      <c r="GK23" s="143" t="n"/>
      <c r="GL23" s="143" t="n"/>
      <c r="GM23" s="143" t="n"/>
      <c r="GN23" s="143" t="n"/>
      <c r="GO23" s="143" t="n"/>
      <c r="GP23" s="143" t="n"/>
      <c r="GQ23" s="143" t="n"/>
      <c r="GR23" s="143" t="n"/>
      <c r="GS23" s="143" t="n"/>
      <c r="GT23" s="143" t="n"/>
      <c r="GU23" s="143" t="n"/>
      <c r="GV23" s="143" t="n"/>
      <c r="GW23" s="143" t="n"/>
      <c r="GX23" s="143" t="n"/>
      <c r="GY23" s="143" t="n"/>
      <c r="GZ23" s="143" t="n"/>
      <c r="HA23" s="143" t="n"/>
      <c r="HB23" s="143" t="n"/>
      <c r="HC23" s="143" t="n"/>
      <c r="HD23" s="143" t="n"/>
      <c r="HE23" s="143" t="n"/>
      <c r="HF23" s="143" t="n"/>
      <c r="HG23" s="143" t="n"/>
      <c r="HH23" s="143" t="n"/>
      <c r="HI23" s="143" t="n"/>
      <c r="HJ23" s="143" t="n"/>
      <c r="HK23" s="143" t="n"/>
      <c r="HL23" s="143" t="n"/>
      <c r="HM23" s="143" t="n"/>
      <c r="HN23" s="143" t="n"/>
      <c r="HO23" s="143" t="n"/>
      <c r="HP23" s="143" t="n"/>
      <c r="HQ23" s="143" t="n"/>
      <c r="HR23" s="143" t="n"/>
      <c r="HS23" s="143" t="n"/>
      <c r="HT23" s="143" t="n"/>
      <c r="HU23" s="143" t="n"/>
      <c r="HV23" s="143" t="n"/>
      <c r="HW23" s="143" t="n"/>
      <c r="HX23" s="143" t="n"/>
      <c r="HY23" s="143" t="n"/>
      <c r="HZ23" s="143" t="n"/>
      <c r="IA23" s="143" t="n"/>
      <c r="IB23" s="143" t="n"/>
      <c r="IC23" s="143" t="n"/>
      <c r="ID23" s="143" t="n"/>
      <c r="IE23" s="143" t="n"/>
      <c r="IF23" s="143" t="n"/>
      <c r="IG23" s="143" t="n"/>
      <c r="IH23" s="143" t="n"/>
      <c r="II23" s="143" t="n"/>
      <c r="IJ23" s="143" t="n"/>
      <c r="IK23" s="143" t="n"/>
      <c r="IL23" s="143" t="n"/>
      <c r="IM23" s="143" t="n"/>
      <c r="IN23" s="143" t="n"/>
      <c r="IO23" s="143" t="n"/>
      <c r="IP23" s="143" t="n"/>
      <c r="IQ23" s="143" t="n"/>
      <c r="IR23" s="143" t="n"/>
      <c r="IS23" s="143" t="n"/>
      <c r="IT23" s="143" t="n"/>
      <c r="IU23" s="143" t="n"/>
      <c r="IV23" s="143" t="n"/>
      <c r="IW23" s="143" t="n"/>
      <c r="IX23" s="143" t="n"/>
      <c r="IY23" s="143" t="n"/>
      <c r="IZ23" s="143" t="n"/>
      <c r="JA23" s="143" t="n"/>
      <c r="JB23" s="143" t="n"/>
      <c r="JC23" s="143" t="n"/>
      <c r="JD23" s="143" t="n"/>
      <c r="JE23" s="143" t="n"/>
      <c r="JF23" s="143" t="n"/>
      <c r="JG23" s="143" t="n"/>
      <c r="JH23" s="143" t="n"/>
      <c r="JI23" s="143" t="n"/>
      <c r="JJ23" s="143" t="n"/>
      <c r="JK23" s="143" t="n"/>
      <c r="JL23" s="143" t="n"/>
      <c r="JM23" s="143" t="n"/>
      <c r="JN23" s="143" t="n"/>
      <c r="JO23" s="143" t="n"/>
      <c r="JP23" s="143" t="n"/>
      <c r="JQ23" s="143" t="n"/>
      <c r="JR23" s="143" t="n"/>
      <c r="JS23" s="143" t="n"/>
      <c r="JT23" s="143" t="n"/>
      <c r="JU23" s="143" t="n"/>
      <c r="JV23" s="143" t="n"/>
      <c r="JW23" s="143" t="n"/>
      <c r="JX23" s="143" t="n"/>
      <c r="JY23" s="143" t="n"/>
      <c r="JZ23" s="143" t="n"/>
      <c r="KA23" s="143" t="n"/>
      <c r="KB23" s="143" t="n"/>
      <c r="KC23" s="143" t="n"/>
      <c r="KD23" s="143" t="n"/>
      <c r="KE23" s="143" t="n"/>
      <c r="KF23" s="143" t="n"/>
      <c r="KG23" s="143" t="n"/>
      <c r="KH23" s="143" t="n"/>
      <c r="KI23" s="143" t="n"/>
      <c r="KJ23" s="143" t="n"/>
      <c r="KK23" s="143" t="n"/>
      <c r="KL23" s="143" t="n"/>
      <c r="KM23" s="143" t="n"/>
      <c r="KN23" s="143" t="n"/>
      <c r="KO23" s="143" t="n"/>
      <c r="KP23" s="143" t="n"/>
      <c r="KQ23" s="143" t="n"/>
      <c r="KR23" s="143" t="n"/>
      <c r="KS23" s="143" t="n"/>
      <c r="KT23" s="143" t="n"/>
      <c r="KU23" s="143" t="n"/>
      <c r="KV23" s="143" t="n"/>
      <c r="KW23" s="143" t="n"/>
      <c r="KX23" s="143" t="n"/>
      <c r="KY23" s="143" t="n"/>
      <c r="KZ23" s="143" t="n"/>
      <c r="LA23" s="143" t="n"/>
      <c r="LB23" s="143" t="n"/>
      <c r="LC23" s="143" t="n"/>
      <c r="LD23" s="143" t="n"/>
      <c r="LE23" s="143" t="n"/>
      <c r="LF23" s="143" t="n"/>
      <c r="LG23" s="143" t="n"/>
      <c r="LH23" s="143" t="n"/>
      <c r="LI23" s="143" t="n"/>
      <c r="LJ23" s="143" t="n"/>
      <c r="LK23" s="143" t="n"/>
      <c r="LL23" s="143" t="n"/>
      <c r="LM23" s="143" t="n"/>
      <c r="LN23" s="143" t="n"/>
      <c r="LO23" s="143" t="n"/>
      <c r="LP23" s="143" t="n"/>
      <c r="LQ23" s="143" t="n"/>
      <c r="LR23" s="143" t="n"/>
      <c r="LS23" s="143" t="n"/>
      <c r="LT23" s="143" t="n"/>
      <c r="LU23" s="143" t="n"/>
      <c r="LV23" s="143" t="n"/>
      <c r="LW23" s="143" t="n"/>
      <c r="LX23" s="143" t="n"/>
      <c r="LY23" s="143" t="n"/>
      <c r="LZ23" s="143" t="n"/>
      <c r="MA23" s="143" t="n"/>
      <c r="MB23" s="143" t="n"/>
      <c r="MC23" s="143" t="n"/>
      <c r="MD23" s="143" t="n"/>
      <c r="ME23" s="143" t="n"/>
      <c r="MF23" s="143" t="n"/>
      <c r="MG23" s="143" t="n"/>
      <c r="MH23" s="143" t="n"/>
      <c r="MI23" s="143" t="n"/>
      <c r="MJ23" s="143" t="n"/>
      <c r="MK23" s="143" t="n"/>
      <c r="ML23" s="143" t="n"/>
      <c r="MM23" s="143" t="n"/>
      <c r="MN23" s="143" t="n"/>
      <c r="MO23" s="143" t="n"/>
      <c r="MP23" s="143" t="n"/>
      <c r="MQ23" s="143" t="n"/>
      <c r="MR23" s="143" t="n"/>
      <c r="MS23" s="143" t="n"/>
      <c r="MT23" s="143" t="n"/>
      <c r="MU23" s="143" t="n"/>
      <c r="MV23" s="143" t="n"/>
      <c r="MW23" s="143" t="n"/>
      <c r="MX23" s="143" t="n"/>
      <c r="MY23" s="143" t="n"/>
      <c r="MZ23" s="143" t="n"/>
      <c r="NA23" s="143" t="n"/>
      <c r="NB23" s="143" t="n"/>
      <c r="NC23" s="143" t="n"/>
      <c r="ND23" s="143" t="n"/>
      <c r="NE23" s="1" t="n"/>
      <c r="NF23" s="1" t="n"/>
      <c r="NG23" s="1" t="n"/>
    </row>
    <row r="24">
      <c r="A24" s="1" t="n"/>
      <c r="B24" s="31" t="inlineStr">
        <is>
          <t>DAILY PROGRESS</t>
        </is>
      </c>
      <c r="C24" s="1" t="n"/>
      <c r="D24" s="1" t="n"/>
      <c r="E24" s="145">
        <f>IF(E7&gt;Setup!$D$7,"",IFERROR(COUNTIF(E9:E23,"✓")/COUNTA($B$9:$B$23),0))</f>
        <v/>
      </c>
      <c r="F24" s="145">
        <f>IF(F7&gt;Setup!$D$7,"",IFERROR(COUNTIF(F9:F23,"✓")/COUNTA($B$9:$B$23),0))</f>
        <v/>
      </c>
      <c r="G24" s="145">
        <f>IF(G7&gt;Setup!$D$7,"",IFERROR(COUNTIF(G9:G23,"✓")/COUNTA($B$9:$B$23),0))</f>
        <v/>
      </c>
      <c r="H24" s="145">
        <f>IF(H7&gt;Setup!$D$7,"",IFERROR(COUNTIF(H9:H23,"✓")/COUNTA($B$9:$B$23),0))</f>
        <v/>
      </c>
      <c r="I24" s="145">
        <f>IF(I7&gt;Setup!$D$7,"",IFERROR(COUNTIF(I9:I23,"✓")/COUNTA($B$9:$B$23),0))</f>
        <v/>
      </c>
      <c r="J24" s="145">
        <f>IF(J7&gt;Setup!$D$7,"",IFERROR(COUNTIF(J9:J23,"✓")/COUNTA($B$9:$B$23),0))</f>
        <v/>
      </c>
      <c r="K24" s="145">
        <f>IF(K7&gt;Setup!$D$7,"",IFERROR(COUNTIF(K9:K23,"✓")/COUNTA($B$9:$B$23),0))</f>
        <v/>
      </c>
      <c r="L24" s="145">
        <f>IF(L7&gt;Setup!$D$7,"",IFERROR(COUNTIF(L9:L23,"✓")/COUNTA($B$9:$B$23),0))</f>
        <v/>
      </c>
      <c r="M24" s="145">
        <f>IF(M7&gt;Setup!$D$7,"",IFERROR(COUNTIF(M9:M23,"✓")/COUNTA($B$9:$B$23),0))</f>
        <v/>
      </c>
      <c r="N24" s="145">
        <f>IF(N7&gt;Setup!$D$7,"",IFERROR(COUNTIF(N9:N23,"✓")/COUNTA($B$9:$B$23),0))</f>
        <v/>
      </c>
      <c r="O24" s="145">
        <f>IF(O7&gt;Setup!$D$7,"",IFERROR(COUNTIF(O9:O23,"✓")/COUNTA($B$9:$B$23),0))</f>
        <v/>
      </c>
      <c r="P24" s="145">
        <f>IF(P7&gt;Setup!$D$7,"",IFERROR(COUNTIF(P9:P23,"✓")/COUNTA($B$9:$B$23),0))</f>
        <v/>
      </c>
      <c r="Q24" s="145">
        <f>IF(Q7&gt;Setup!$D$7,"",IFERROR(COUNTIF(Q9:Q23,"✓")/COUNTA($B$9:$B$23),0))</f>
        <v/>
      </c>
      <c r="R24" s="145">
        <f>IF(R7&gt;Setup!$D$7,"",IFERROR(COUNTIF(R9:R23,"✓")/COUNTA($B$9:$B$23),0))</f>
        <v/>
      </c>
      <c r="S24" s="145">
        <f>IF(S7&gt;Setup!$D$7,"",IFERROR(COUNTIF(S9:S23,"✓")/COUNTA($B$9:$B$23),0))</f>
        <v/>
      </c>
      <c r="T24" s="145">
        <f>IF(T7&gt;Setup!$D$7,"",IFERROR(COUNTIF(T9:T23,"✓")/COUNTA($B$9:$B$23),0))</f>
        <v/>
      </c>
      <c r="U24" s="145">
        <f>IF(U7&gt;Setup!$D$7,"",IFERROR(COUNTIF(U9:U23,"✓")/COUNTA($B$9:$B$23),0))</f>
        <v/>
      </c>
      <c r="V24" s="145">
        <f>IF(V7&gt;Setup!$D$7,"",IFERROR(COUNTIF(V9:V23,"✓")/COUNTA($B$9:$B$23),0))</f>
        <v/>
      </c>
      <c r="W24" s="145">
        <f>IF(W7&gt;Setup!$D$7,"",IFERROR(COUNTIF(W9:W23,"✓")/COUNTA($B$9:$B$23),0))</f>
        <v/>
      </c>
      <c r="X24" s="145">
        <f>IF(X7&gt;Setup!$D$7,"",IFERROR(COUNTIF(X9:X23,"✓")/COUNTA($B$9:$B$23),0))</f>
        <v/>
      </c>
      <c r="Y24" s="145">
        <f>IF(Y7&gt;Setup!$D$7,"",IFERROR(COUNTIF(Y9:Y23,"✓")/COUNTA($B$9:$B$23),0))</f>
        <v/>
      </c>
      <c r="Z24" s="145">
        <f>IF(Z7&gt;Setup!$D$7,"",IFERROR(COUNTIF(Z9:Z23,"✓")/COUNTA($B$9:$B$23),0))</f>
        <v/>
      </c>
      <c r="AA24" s="145">
        <f>IF(AA7&gt;Setup!$D$7,"",IFERROR(COUNTIF(AA9:AA23,"✓")/COUNTA($B$9:$B$23),0))</f>
        <v/>
      </c>
      <c r="AB24" s="145">
        <f>IF(AB7&gt;Setup!$D$7,"",IFERROR(COUNTIF(AB9:AB23,"✓")/COUNTA($B$9:$B$23),0))</f>
        <v/>
      </c>
      <c r="AC24" s="145">
        <f>IF(AC7&gt;Setup!$D$7,"",IFERROR(COUNTIF(AC9:AC23,"✓")/COUNTA($B$9:$B$23),0))</f>
        <v/>
      </c>
      <c r="AD24" s="145">
        <f>IF(AD7&gt;Setup!$D$7,"",IFERROR(COUNTIF(AD9:AD23,"✓")/COUNTA($B$9:$B$23),0))</f>
        <v/>
      </c>
      <c r="AE24" s="145">
        <f>IF(AE7&gt;Setup!$D$7,"",IFERROR(COUNTIF(AE9:AE23,"✓")/COUNTA($B$9:$B$23),0))</f>
        <v/>
      </c>
      <c r="AF24" s="145">
        <f>IF(AF7&gt;Setup!$D$7,"",IFERROR(COUNTIF(AF9:AF23,"✓")/COUNTA($B$9:$B$23),0))</f>
        <v/>
      </c>
      <c r="AG24" s="145">
        <f>IF(AG7&gt;Setup!$D$7,"",IFERROR(COUNTIF(AG9:AG23,"✓")/COUNTA($B$9:$B$23),0))</f>
        <v/>
      </c>
      <c r="AH24" s="145">
        <f>IF(AH7&gt;Setup!$D$7,"",IFERROR(COUNTIF(AH9:AH23,"✓")/COUNTA($B$9:$B$23),0))</f>
        <v/>
      </c>
      <c r="AI24" s="145">
        <f>IF(AI7&gt;Setup!$D$7,"",IFERROR(COUNTIF(AI9:AI23,"✓")/COUNTA($B$9:$B$23),0))</f>
        <v/>
      </c>
      <c r="AJ24" s="145">
        <f>IF(AJ7&gt;Setup!$D$7,"",IFERROR(COUNTIF(AJ9:AJ23,"✓")/COUNTA($B$9:$B$23),0))</f>
        <v/>
      </c>
      <c r="AK24" s="145">
        <f>IF(AK7&gt;Setup!$D$7,"",IFERROR(COUNTIF(AK9:AK23,"✓")/COUNTA($B$9:$B$23),0))</f>
        <v/>
      </c>
      <c r="AL24" s="145">
        <f>IF(AL7&gt;Setup!$D$7,"",IFERROR(COUNTIF(AL9:AL23,"✓")/COUNTA($B$9:$B$23),0))</f>
        <v/>
      </c>
      <c r="AM24" s="145">
        <f>IF(AM7&gt;Setup!$D$7,"",IFERROR(COUNTIF(AM9:AM23,"✓")/COUNTA($B$9:$B$23),0))</f>
        <v/>
      </c>
      <c r="AN24" s="145">
        <f>IF(AN7&gt;Setup!$D$7,"",IFERROR(COUNTIF(AN9:AN23,"✓")/COUNTA($B$9:$B$23),0))</f>
        <v/>
      </c>
      <c r="AO24" s="145">
        <f>IF(AO7&gt;Setup!$D$7,"",IFERROR(COUNTIF(AO9:AO23,"✓")/COUNTA($B$9:$B$23),0))</f>
        <v/>
      </c>
      <c r="AP24" s="145">
        <f>IF(AP7&gt;Setup!$D$7,"",IFERROR(COUNTIF(AP9:AP23,"✓")/COUNTA($B$9:$B$23),0))</f>
        <v/>
      </c>
      <c r="AQ24" s="145">
        <f>IF(AQ7&gt;Setup!$D$7,"",IFERROR(COUNTIF(AQ9:AQ23,"✓")/COUNTA($B$9:$B$23),0))</f>
        <v/>
      </c>
      <c r="AR24" s="145">
        <f>IF(AR7&gt;Setup!$D$7,"",IFERROR(COUNTIF(AR9:AR23,"✓")/COUNTA($B$9:$B$23),0))</f>
        <v/>
      </c>
      <c r="AS24" s="145">
        <f>IF(AS7&gt;Setup!$D$7,"",IFERROR(COUNTIF(AS9:AS23,"✓")/COUNTA($B$9:$B$23),0))</f>
        <v/>
      </c>
      <c r="AT24" s="145">
        <f>IF(AT7&gt;Setup!$D$7,"",IFERROR(COUNTIF(AT9:AT23,"✓")/COUNTA($B$9:$B$23),0))</f>
        <v/>
      </c>
      <c r="AU24" s="145">
        <f>IF(AU7&gt;Setup!$D$7,"",IFERROR(COUNTIF(AU9:AU23,"✓")/COUNTA($B$9:$B$23),0))</f>
        <v/>
      </c>
      <c r="AV24" s="145">
        <f>IF(AV7&gt;Setup!$D$7,"",IFERROR(COUNTIF(AV9:AV23,"✓")/COUNTA($B$9:$B$23),0))</f>
        <v/>
      </c>
      <c r="AW24" s="145">
        <f>IF(AW7&gt;Setup!$D$7,"",IFERROR(COUNTIF(AW9:AW23,"✓")/COUNTA($B$9:$B$23),0))</f>
        <v/>
      </c>
      <c r="AX24" s="145">
        <f>IF(AX7&gt;Setup!$D$7,"",IFERROR(COUNTIF(AX9:AX23,"✓")/COUNTA($B$9:$B$23),0))</f>
        <v/>
      </c>
      <c r="AY24" s="145">
        <f>IF(AY7&gt;Setup!$D$7,"",IFERROR(COUNTIF(AY9:AY23,"✓")/COUNTA($B$9:$B$23),0))</f>
        <v/>
      </c>
      <c r="AZ24" s="145">
        <f>IF(AZ7&gt;Setup!$D$7,"",IFERROR(COUNTIF(AZ9:AZ23,"✓")/COUNTA($B$9:$B$23),0))</f>
        <v/>
      </c>
      <c r="BA24" s="145">
        <f>IF(BA7&gt;Setup!$D$7,"",IFERROR(COUNTIF(BA9:BA23,"✓")/COUNTA($B$9:$B$23),0))</f>
        <v/>
      </c>
      <c r="BB24" s="145">
        <f>IF(BB7&gt;Setup!$D$7,"",IFERROR(COUNTIF(BB9:BB23,"✓")/COUNTA($B$9:$B$23),0))</f>
        <v/>
      </c>
      <c r="BC24" s="145">
        <f>IF(BC7&gt;Setup!$D$7,"",IFERROR(COUNTIF(BC9:BC23,"✓")/COUNTA($B$9:$B$23),0))</f>
        <v/>
      </c>
      <c r="BD24" s="145">
        <f>IF(BD7&gt;Setup!$D$7,"",IFERROR(COUNTIF(BD9:BD23,"✓")/COUNTA($B$9:$B$23),0))</f>
        <v/>
      </c>
      <c r="BE24" s="145">
        <f>IF(BE7&gt;Setup!$D$7,"",IFERROR(COUNTIF(BE9:BE23,"✓")/COUNTA($B$9:$B$23),0))</f>
        <v/>
      </c>
      <c r="BF24" s="145">
        <f>IF(BF7&gt;Setup!$D$7,"",IFERROR(COUNTIF(BF9:BF23,"✓")/COUNTA($B$9:$B$23),0))</f>
        <v/>
      </c>
      <c r="BG24" s="145">
        <f>IF(BG7&gt;Setup!$D$7,"",IFERROR(COUNTIF(BG9:BG23,"✓")/COUNTA($B$9:$B$23),0))</f>
        <v/>
      </c>
      <c r="BH24" s="145">
        <f>IF(BH7&gt;Setup!$D$7,"",IFERROR(COUNTIF(BH9:BH23,"✓")/COUNTA($B$9:$B$23),0))</f>
        <v/>
      </c>
      <c r="BI24" s="145">
        <f>IF(BI7&gt;Setup!$D$7,"",IFERROR(COUNTIF(BI9:BI23,"✓")/COUNTA($B$9:$B$23),0))</f>
        <v/>
      </c>
      <c r="BJ24" s="145">
        <f>IF(BJ7&gt;Setup!$D$7,"",IFERROR(COUNTIF(BJ9:BJ23,"✓")/COUNTA($B$9:$B$23),0))</f>
        <v/>
      </c>
      <c r="BK24" s="145">
        <f>IF(BK7&gt;Setup!$D$7,"",IFERROR(COUNTIF(BK9:BK23,"✓")/COUNTA($B$9:$B$23),0))</f>
        <v/>
      </c>
      <c r="BL24" s="145">
        <f>IF(BL7&gt;Setup!$D$7,"",IFERROR(COUNTIF(BL9:BL23,"✓")/COUNTA($B$9:$B$23),0))</f>
        <v/>
      </c>
      <c r="BM24" s="145">
        <f>IF(BM7&gt;Setup!$D$7,"",IFERROR(COUNTIF(BM9:BM23,"✓")/COUNTA($B$9:$B$23),0))</f>
        <v/>
      </c>
      <c r="BN24" s="145">
        <f>IF(BN7&gt;Setup!$D$7,"",IFERROR(COUNTIF(BN9:BN23,"✓")/COUNTA($B$9:$B$23),0))</f>
        <v/>
      </c>
      <c r="BO24" s="145">
        <f>IF(BO7&gt;Setup!$D$7,"",IFERROR(COUNTIF(BO9:BO23,"✓")/COUNTA($B$9:$B$23),0))</f>
        <v/>
      </c>
      <c r="BP24" s="145">
        <f>IF(BP7&gt;Setup!$D$7,"",IFERROR(COUNTIF(BP9:BP23,"✓")/COUNTA($B$9:$B$23),0))</f>
        <v/>
      </c>
      <c r="BQ24" s="145">
        <f>IF(BQ7&gt;Setup!$D$7,"",IFERROR(COUNTIF(BQ9:BQ23,"✓")/COUNTA($B$9:$B$23),0))</f>
        <v/>
      </c>
      <c r="BR24" s="145">
        <f>IF(BR7&gt;Setup!$D$7,"",IFERROR(COUNTIF(BR9:BR23,"✓")/COUNTA($B$9:$B$23),0))</f>
        <v/>
      </c>
      <c r="BS24" s="145">
        <f>IF(BS7&gt;Setup!$D$7,"",IFERROR(COUNTIF(BS9:BS23,"✓")/COUNTA($B$9:$B$23),0))</f>
        <v/>
      </c>
      <c r="BT24" s="145">
        <f>IF(BT7&gt;Setup!$D$7,"",IFERROR(COUNTIF(BT9:BT23,"✓")/COUNTA($B$9:$B$23),0))</f>
        <v/>
      </c>
      <c r="BU24" s="145">
        <f>IF(BU7&gt;Setup!$D$7,"",IFERROR(COUNTIF(BU9:BU23,"✓")/COUNTA($B$9:$B$23),0))</f>
        <v/>
      </c>
      <c r="BV24" s="145">
        <f>IF(BV7&gt;Setup!$D$7,"",IFERROR(COUNTIF(BV9:BV23,"✓")/COUNTA($B$9:$B$23),0))</f>
        <v/>
      </c>
      <c r="BW24" s="145">
        <f>IF(BW7&gt;Setup!$D$7,"",IFERROR(COUNTIF(BW9:BW23,"✓")/COUNTA($B$9:$B$23),0))</f>
        <v/>
      </c>
      <c r="BX24" s="145">
        <f>IF(BX7&gt;Setup!$D$7,"",IFERROR(COUNTIF(BX9:BX23,"✓")/COUNTA($B$9:$B$23),0))</f>
        <v/>
      </c>
      <c r="BY24" s="145">
        <f>IF(BY7&gt;Setup!$D$7,"",IFERROR(COUNTIF(BY9:BY23,"✓")/COUNTA($B$9:$B$23),0))</f>
        <v/>
      </c>
      <c r="BZ24" s="145">
        <f>IF(BZ7&gt;Setup!$D$7,"",IFERROR(COUNTIF(BZ9:BZ23,"✓")/COUNTA($B$9:$B$23),0))</f>
        <v/>
      </c>
      <c r="CA24" s="145">
        <f>IF(CA7&gt;Setup!$D$7,"",IFERROR(COUNTIF(CA9:CA23,"✓")/COUNTA($B$9:$B$23),0))</f>
        <v/>
      </c>
      <c r="CB24" s="145">
        <f>IF(CB7&gt;Setup!$D$7,"",IFERROR(COUNTIF(CB9:CB23,"✓")/COUNTA($B$9:$B$23),0))</f>
        <v/>
      </c>
      <c r="CC24" s="145">
        <f>IF(CC7&gt;Setup!$D$7,"",IFERROR(COUNTIF(CC9:CC23,"✓")/COUNTA($B$9:$B$23),0))</f>
        <v/>
      </c>
      <c r="CD24" s="145">
        <f>IF(CD7&gt;Setup!$D$7,"",IFERROR(COUNTIF(CD9:CD23,"✓")/COUNTA($B$9:$B$23),0))</f>
        <v/>
      </c>
      <c r="CE24" s="145">
        <f>IF(CE7&gt;Setup!$D$7,"",IFERROR(COUNTIF(CE9:CE23,"✓")/COUNTA($B$9:$B$23),0))</f>
        <v/>
      </c>
      <c r="CF24" s="145">
        <f>IF(CF7&gt;Setup!$D$7,"",IFERROR(COUNTIF(CF9:CF23,"✓")/COUNTA($B$9:$B$23),0))</f>
        <v/>
      </c>
      <c r="CG24" s="145">
        <f>IF(CG7&gt;Setup!$D$7,"",IFERROR(COUNTIF(CG9:CG23,"✓")/COUNTA($B$9:$B$23),0))</f>
        <v/>
      </c>
      <c r="CH24" s="145">
        <f>IF(CH7&gt;Setup!$D$7,"",IFERROR(COUNTIF(CH9:CH23,"✓")/COUNTA($B$9:$B$23),0))</f>
        <v/>
      </c>
      <c r="CI24" s="145">
        <f>IF(CI7&gt;Setup!$D$7,"",IFERROR(COUNTIF(CI9:CI23,"✓")/COUNTA($B$9:$B$23),0))</f>
        <v/>
      </c>
      <c r="CJ24" s="145">
        <f>IF(CJ7&gt;Setup!$D$7,"",IFERROR(COUNTIF(CJ9:CJ23,"✓")/COUNTA($B$9:$B$23),0))</f>
        <v/>
      </c>
      <c r="CK24" s="145">
        <f>IF(CK7&gt;Setup!$D$7,"",IFERROR(COUNTIF(CK9:CK23,"✓")/COUNTA($B$9:$B$23),0))</f>
        <v/>
      </c>
      <c r="CL24" s="145">
        <f>IF(CL7&gt;Setup!$D$7,"",IFERROR(COUNTIF(CL9:CL23,"✓")/COUNTA($B$9:$B$23),0))</f>
        <v/>
      </c>
      <c r="CM24" s="145">
        <f>IF(CM7&gt;Setup!$D$7,"",IFERROR(COUNTIF(CM9:CM23,"✓")/COUNTA($B$9:$B$23),0))</f>
        <v/>
      </c>
      <c r="CN24" s="145">
        <f>IF(CN7&gt;Setup!$D$7,"",IFERROR(COUNTIF(CN9:CN23,"✓")/COUNTA($B$9:$B$23),0))</f>
        <v/>
      </c>
      <c r="CO24" s="145">
        <f>IF(CO7&gt;Setup!$D$7,"",IFERROR(COUNTIF(CO9:CO23,"✓")/COUNTA($B$9:$B$23),0))</f>
        <v/>
      </c>
      <c r="CP24" s="145">
        <f>IF(CP7&gt;Setup!$D$7,"",IFERROR(COUNTIF(CP9:CP23,"✓")/COUNTA($B$9:$B$23),0))</f>
        <v/>
      </c>
      <c r="CQ24" s="145">
        <f>IF(CQ7&gt;Setup!$D$7,"",IFERROR(COUNTIF(CQ9:CQ23,"✓")/COUNTA($B$9:$B$23),0))</f>
        <v/>
      </c>
      <c r="CR24" s="145">
        <f>IF(CR7&gt;Setup!$D$7,"",IFERROR(COUNTIF(CR9:CR23,"✓")/COUNTA($B$9:$B$23),0))</f>
        <v/>
      </c>
      <c r="CS24" s="145">
        <f>IF(CS7&gt;Setup!$D$7,"",IFERROR(COUNTIF(CS9:CS23,"✓")/COUNTA($B$9:$B$23),0))</f>
        <v/>
      </c>
      <c r="CT24" s="145">
        <f>IF(CT7&gt;Setup!$D$7,"",IFERROR(COUNTIF(CT9:CT23,"✓")/COUNTA($B$9:$B$23),0))</f>
        <v/>
      </c>
      <c r="CU24" s="145">
        <f>IF(CU7&gt;Setup!$D$7,"",IFERROR(COUNTIF(CU9:CU23,"✓")/COUNTA($B$9:$B$23),0))</f>
        <v/>
      </c>
      <c r="CV24" s="145">
        <f>IF(CV7&gt;Setup!$D$7,"",IFERROR(COUNTIF(CV9:CV23,"✓")/COUNTA($B$9:$B$23),0))</f>
        <v/>
      </c>
      <c r="CW24" s="145">
        <f>IF(CW7&gt;Setup!$D$7,"",IFERROR(COUNTIF(CW9:CW23,"✓")/COUNTA($B$9:$B$23),0))</f>
        <v/>
      </c>
      <c r="CX24" s="145">
        <f>IF(CX7&gt;Setup!$D$7,"",IFERROR(COUNTIF(CX9:CX23,"✓")/COUNTA($B$9:$B$23),0))</f>
        <v/>
      </c>
      <c r="CY24" s="145">
        <f>IF(CY7&gt;Setup!$D$7,"",IFERROR(COUNTIF(CY9:CY23,"✓")/COUNTA($B$9:$B$23),0))</f>
        <v/>
      </c>
      <c r="CZ24" s="145">
        <f>IF(CZ7&gt;Setup!$D$7,"",IFERROR(COUNTIF(CZ9:CZ23,"✓")/COUNTA($B$9:$B$23),0))</f>
        <v/>
      </c>
      <c r="DA24" s="145">
        <f>IF(DA7&gt;Setup!$D$7,"",IFERROR(COUNTIF(DA9:DA23,"✓")/COUNTA($B$9:$B$23),0))</f>
        <v/>
      </c>
      <c r="DB24" s="145">
        <f>IF(DB7&gt;Setup!$D$7,"",IFERROR(COUNTIF(DB9:DB23,"✓")/COUNTA($B$9:$B$23),0))</f>
        <v/>
      </c>
      <c r="DC24" s="145">
        <f>IF(DC7&gt;Setup!$D$7,"",IFERROR(COUNTIF(DC9:DC23,"✓")/COUNTA($B$9:$B$23),0))</f>
        <v/>
      </c>
      <c r="DD24" s="145">
        <f>IF(DD7&gt;Setup!$D$7,"",IFERROR(COUNTIF(DD9:DD23,"✓")/COUNTA($B$9:$B$23),0))</f>
        <v/>
      </c>
      <c r="DE24" s="145">
        <f>IF(DE7&gt;Setup!$D$7,"",IFERROR(COUNTIF(DE9:DE23,"✓")/COUNTA($B$9:$B$23),0))</f>
        <v/>
      </c>
      <c r="DF24" s="145">
        <f>IF(DF7&gt;Setup!$D$7,"",IFERROR(COUNTIF(DF9:DF23,"✓")/COUNTA($B$9:$B$23),0))</f>
        <v/>
      </c>
      <c r="DG24" s="145">
        <f>IF(DG7&gt;Setup!$D$7,"",IFERROR(COUNTIF(DG9:DG23,"✓")/COUNTA($B$9:$B$23),0))</f>
        <v/>
      </c>
      <c r="DH24" s="145">
        <f>IF(DH7&gt;Setup!$D$7,"",IFERROR(COUNTIF(DH9:DH23,"✓")/COUNTA($B$9:$B$23),0))</f>
        <v/>
      </c>
      <c r="DI24" s="145">
        <f>IF(DI7&gt;Setup!$D$7,"",IFERROR(COUNTIF(DI9:DI23,"✓")/COUNTA($B$9:$B$23),0))</f>
        <v/>
      </c>
      <c r="DJ24" s="145">
        <f>IF(DJ7&gt;Setup!$D$7,"",IFERROR(COUNTIF(DJ9:DJ23,"✓")/COUNTA($B$9:$B$23),0))</f>
        <v/>
      </c>
      <c r="DK24" s="145">
        <f>IF(DK7&gt;Setup!$D$7,"",IFERROR(COUNTIF(DK9:DK23,"✓")/COUNTA($B$9:$B$23),0))</f>
        <v/>
      </c>
      <c r="DL24" s="145">
        <f>IF(DL7&gt;Setup!$D$7,"",IFERROR(COUNTIF(DL9:DL23,"✓")/COUNTA($B$9:$B$23),0))</f>
        <v/>
      </c>
      <c r="DM24" s="145">
        <f>IF(DM7&gt;Setup!$D$7,"",IFERROR(COUNTIF(DM9:DM23,"✓")/COUNTA($B$9:$B$23),0))</f>
        <v/>
      </c>
      <c r="DN24" s="145">
        <f>IF(DN7&gt;Setup!$D$7,"",IFERROR(COUNTIF(DN9:DN23,"✓")/COUNTA($B$9:$B$23),0))</f>
        <v/>
      </c>
      <c r="DO24" s="145">
        <f>IF(DO7&gt;Setup!$D$7,"",IFERROR(COUNTIF(DO9:DO23,"✓")/COUNTA($B$9:$B$23),0))</f>
        <v/>
      </c>
      <c r="DP24" s="145">
        <f>IF(DP7&gt;Setup!$D$7,"",IFERROR(COUNTIF(DP9:DP23,"✓")/COUNTA($B$9:$B$23),0))</f>
        <v/>
      </c>
      <c r="DQ24" s="145">
        <f>IF(DQ7&gt;Setup!$D$7,"",IFERROR(COUNTIF(DQ9:DQ23,"✓")/COUNTA($B$9:$B$23),0))</f>
        <v/>
      </c>
      <c r="DR24" s="145">
        <f>IF(DR7&gt;Setup!$D$7,"",IFERROR(COUNTIF(DR9:DR23,"✓")/COUNTA($B$9:$B$23),0))</f>
        <v/>
      </c>
      <c r="DS24" s="145">
        <f>IF(DS7&gt;Setup!$D$7,"",IFERROR(COUNTIF(DS9:DS23,"✓")/COUNTA($B$9:$B$23),0))</f>
        <v/>
      </c>
      <c r="DT24" s="145">
        <f>IF(DT7&gt;Setup!$D$7,"",IFERROR(COUNTIF(DT9:DT23,"✓")/COUNTA($B$9:$B$23),0))</f>
        <v/>
      </c>
      <c r="DU24" s="145">
        <f>IF(DU7&gt;Setup!$D$7,"",IFERROR(COUNTIF(DU9:DU23,"✓")/COUNTA($B$9:$B$23),0))</f>
        <v/>
      </c>
      <c r="DV24" s="145">
        <f>IF(DV7&gt;Setup!$D$7,"",IFERROR(COUNTIF(DV9:DV23,"✓")/COUNTA($B$9:$B$23),0))</f>
        <v/>
      </c>
      <c r="DW24" s="145">
        <f>IF(DW7&gt;Setup!$D$7,"",IFERROR(COUNTIF(DW9:DW23,"✓")/COUNTA($B$9:$B$23),0))</f>
        <v/>
      </c>
      <c r="DX24" s="145">
        <f>IF(DX7&gt;Setup!$D$7,"",IFERROR(COUNTIF(DX9:DX23,"✓")/COUNTA($B$9:$B$23),0))</f>
        <v/>
      </c>
      <c r="DY24" s="145">
        <f>IF(DY7&gt;Setup!$D$7,"",IFERROR(COUNTIF(DY9:DY23,"✓")/COUNTA($B$9:$B$23),0))</f>
        <v/>
      </c>
      <c r="DZ24" s="145">
        <f>IF(DZ7&gt;Setup!$D$7,"",IFERROR(COUNTIF(DZ9:DZ23,"✓")/COUNTA($B$9:$B$23),0))</f>
        <v/>
      </c>
      <c r="EA24" s="145">
        <f>IF(EA7&gt;Setup!$D$7,"",IFERROR(COUNTIF(EA9:EA23,"✓")/COUNTA($B$9:$B$23),0))</f>
        <v/>
      </c>
      <c r="EB24" s="145">
        <f>IF(EB7&gt;Setup!$D$7,"",IFERROR(COUNTIF(EB9:EB23,"✓")/COUNTA($B$9:$B$23),0))</f>
        <v/>
      </c>
      <c r="EC24" s="145">
        <f>IF(EC7&gt;Setup!$D$7,"",IFERROR(COUNTIF(EC9:EC23,"✓")/COUNTA($B$9:$B$23),0))</f>
        <v/>
      </c>
      <c r="ED24" s="145">
        <f>IF(ED7&gt;Setup!$D$7,"",IFERROR(COUNTIF(ED9:ED23,"✓")/COUNTA($B$9:$B$23),0))</f>
        <v/>
      </c>
      <c r="EE24" s="145">
        <f>IF(EE7&gt;Setup!$D$7,"",IFERROR(COUNTIF(EE9:EE23,"✓")/COUNTA($B$9:$B$23),0))</f>
        <v/>
      </c>
      <c r="EF24" s="145">
        <f>IF(EF7&gt;Setup!$D$7,"",IFERROR(COUNTIF(EF9:EF23,"✓")/COUNTA($B$9:$B$23),0))</f>
        <v/>
      </c>
      <c r="EG24" s="145">
        <f>IF(EG7&gt;Setup!$D$7,"",IFERROR(COUNTIF(EG9:EG23,"✓")/COUNTA($B$9:$B$23),0))</f>
        <v/>
      </c>
      <c r="EH24" s="145">
        <f>IF(EH7&gt;Setup!$D$7,"",IFERROR(COUNTIF(EH9:EH23,"✓")/COUNTA($B$9:$B$23),0))</f>
        <v/>
      </c>
      <c r="EI24" s="145">
        <f>IF(EI7&gt;Setup!$D$7,"",IFERROR(COUNTIF(EI9:EI23,"✓")/COUNTA($B$9:$B$23),0))</f>
        <v/>
      </c>
      <c r="EJ24" s="145">
        <f>IF(EJ7&gt;Setup!$D$7,"",IFERROR(COUNTIF(EJ9:EJ23,"✓")/COUNTA($B$9:$B$23),0))</f>
        <v/>
      </c>
      <c r="EK24" s="145">
        <f>IF(EK7&gt;Setup!$D$7,"",IFERROR(COUNTIF(EK9:EK23,"✓")/COUNTA($B$9:$B$23),0))</f>
        <v/>
      </c>
      <c r="EL24" s="145">
        <f>IF(EL7&gt;Setup!$D$7,"",IFERROR(COUNTIF(EL9:EL23,"✓")/COUNTA($B$9:$B$23),0))</f>
        <v/>
      </c>
      <c r="EM24" s="145">
        <f>IF(EM7&gt;Setup!$D$7,"",IFERROR(COUNTIF(EM9:EM23,"✓")/COUNTA($B$9:$B$23),0))</f>
        <v/>
      </c>
      <c r="EN24" s="145">
        <f>IF(EN7&gt;Setup!$D$7,"",IFERROR(COUNTIF(EN9:EN23,"✓")/COUNTA($B$9:$B$23),0))</f>
        <v/>
      </c>
      <c r="EO24" s="145">
        <f>IF(EO7&gt;Setup!$D$7,"",IFERROR(COUNTIF(EO9:EO23,"✓")/COUNTA($B$9:$B$23),0))</f>
        <v/>
      </c>
      <c r="EP24" s="145">
        <f>IF(EP7&gt;Setup!$D$7,"",IFERROR(COUNTIF(EP9:EP23,"✓")/COUNTA($B$9:$B$23),0))</f>
        <v/>
      </c>
      <c r="EQ24" s="145">
        <f>IF(EQ7&gt;Setup!$D$7,"",IFERROR(COUNTIF(EQ9:EQ23,"✓")/COUNTA($B$9:$B$23),0))</f>
        <v/>
      </c>
      <c r="ER24" s="145">
        <f>IF(ER7&gt;Setup!$D$7,"",IFERROR(COUNTIF(ER9:ER23,"✓")/COUNTA($B$9:$B$23),0))</f>
        <v/>
      </c>
      <c r="ES24" s="145">
        <f>IF(ES7&gt;Setup!$D$7,"",IFERROR(COUNTIF(ES9:ES23,"✓")/COUNTA($B$9:$B$23),0))</f>
        <v/>
      </c>
      <c r="ET24" s="145">
        <f>IF(ET7&gt;Setup!$D$7,"",IFERROR(COUNTIF(ET9:ET23,"✓")/COUNTA($B$9:$B$23),0))</f>
        <v/>
      </c>
      <c r="EU24" s="145">
        <f>IF(EU7&gt;Setup!$D$7,"",IFERROR(COUNTIF(EU9:EU23,"✓")/COUNTA($B$9:$B$23),0))</f>
        <v/>
      </c>
      <c r="EV24" s="145">
        <f>IF(EV7&gt;Setup!$D$7,"",IFERROR(COUNTIF(EV9:EV23,"✓")/COUNTA($B$9:$B$23),0))</f>
        <v/>
      </c>
      <c r="EW24" s="145">
        <f>IF(EW7&gt;Setup!$D$7,"",IFERROR(COUNTIF(EW9:EW23,"✓")/COUNTA($B$9:$B$23),0))</f>
        <v/>
      </c>
      <c r="EX24" s="145">
        <f>IF(EX7&gt;Setup!$D$7,"",IFERROR(COUNTIF(EX9:EX23,"✓")/COUNTA($B$9:$B$23),0))</f>
        <v/>
      </c>
      <c r="EY24" s="145">
        <f>IF(EY7&gt;Setup!$D$7,"",IFERROR(COUNTIF(EY9:EY23,"✓")/COUNTA($B$9:$B$23),0))</f>
        <v/>
      </c>
      <c r="EZ24" s="145">
        <f>IF(EZ7&gt;Setup!$D$7,"",IFERROR(COUNTIF(EZ9:EZ23,"✓")/COUNTA($B$9:$B$23),0))</f>
        <v/>
      </c>
      <c r="FA24" s="145">
        <f>IF(FA7&gt;Setup!$D$7,"",IFERROR(COUNTIF(FA9:FA23,"✓")/COUNTA($B$9:$B$23),0))</f>
        <v/>
      </c>
      <c r="FB24" s="145">
        <f>IF(FB7&gt;Setup!$D$7,"",IFERROR(COUNTIF(FB9:FB23,"✓")/COUNTA($B$9:$B$23),0))</f>
        <v/>
      </c>
      <c r="FC24" s="145">
        <f>IF(FC7&gt;Setup!$D$7,"",IFERROR(COUNTIF(FC9:FC23,"✓")/COUNTA($B$9:$B$23),0))</f>
        <v/>
      </c>
      <c r="FD24" s="145">
        <f>IF(FD7&gt;Setup!$D$7,"",IFERROR(COUNTIF(FD9:FD23,"✓")/COUNTA($B$9:$B$23),0))</f>
        <v/>
      </c>
      <c r="FE24" s="145">
        <f>IF(FE7&gt;Setup!$D$7,"",IFERROR(COUNTIF(FE9:FE23,"✓")/COUNTA($B$9:$B$23),0))</f>
        <v/>
      </c>
      <c r="FF24" s="145">
        <f>IF(FF7&gt;Setup!$D$7,"",IFERROR(COUNTIF(FF9:FF23,"✓")/COUNTA($B$9:$B$23),0))</f>
        <v/>
      </c>
      <c r="FG24" s="145">
        <f>IF(FG7&gt;Setup!$D$7,"",IFERROR(COUNTIF(FG9:FG23,"✓")/COUNTA($B$9:$B$23),0))</f>
        <v/>
      </c>
      <c r="FH24" s="145">
        <f>IF(FH7&gt;Setup!$D$7,"",IFERROR(COUNTIF(FH9:FH23,"✓")/COUNTA($B$9:$B$23),0))</f>
        <v/>
      </c>
      <c r="FI24" s="145">
        <f>IF(FI7&gt;Setup!$D$7,"",IFERROR(COUNTIF(FI9:FI23,"✓")/COUNTA($B$9:$B$23),0))</f>
        <v/>
      </c>
      <c r="FJ24" s="145">
        <f>IF(FJ7&gt;Setup!$D$7,"",IFERROR(COUNTIF(FJ9:FJ23,"✓")/COUNTA($B$9:$B$23),0))</f>
        <v/>
      </c>
      <c r="FK24" s="145">
        <f>IF(FK7&gt;Setup!$D$7,"",IFERROR(COUNTIF(FK9:FK23,"✓")/COUNTA($B$9:$B$23),0))</f>
        <v/>
      </c>
      <c r="FL24" s="145">
        <f>IF(FL7&gt;Setup!$D$7,"",IFERROR(COUNTIF(FL9:FL23,"✓")/COUNTA($B$9:$B$23),0))</f>
        <v/>
      </c>
      <c r="FM24" s="145">
        <f>IF(FM7&gt;Setup!$D$7,"",IFERROR(COUNTIF(FM9:FM23,"✓")/COUNTA($B$9:$B$23),0))</f>
        <v/>
      </c>
      <c r="FN24" s="145">
        <f>IF(FN7&gt;Setup!$D$7,"",IFERROR(COUNTIF(FN9:FN23,"✓")/COUNTA($B$9:$B$23),0))</f>
        <v/>
      </c>
      <c r="FO24" s="145">
        <f>IF(FO7&gt;Setup!$D$7,"",IFERROR(COUNTIF(FO9:FO23,"✓")/COUNTA($B$9:$B$23),0))</f>
        <v/>
      </c>
      <c r="FP24" s="145">
        <f>IF(FP7&gt;Setup!$D$7,"",IFERROR(COUNTIF(FP9:FP23,"✓")/COUNTA($B$9:$B$23),0))</f>
        <v/>
      </c>
      <c r="FQ24" s="145">
        <f>IF(FQ7&gt;Setup!$D$7,"",IFERROR(COUNTIF(FQ9:FQ23,"✓")/COUNTA($B$9:$B$23),0))</f>
        <v/>
      </c>
      <c r="FR24" s="145">
        <f>IF(FR7&gt;Setup!$D$7,"",IFERROR(COUNTIF(FR9:FR23,"✓")/COUNTA($B$9:$B$23),0))</f>
        <v/>
      </c>
      <c r="FS24" s="145">
        <f>IF(FS7&gt;Setup!$D$7,"",IFERROR(COUNTIF(FS9:FS23,"✓")/COUNTA($B$9:$B$23),0))</f>
        <v/>
      </c>
      <c r="FT24" s="145">
        <f>IF(FT7&gt;Setup!$D$7,"",IFERROR(COUNTIF(FT9:FT23,"✓")/COUNTA($B$9:$B$23),0))</f>
        <v/>
      </c>
      <c r="FU24" s="145">
        <f>IF(FU7&gt;Setup!$D$7,"",IFERROR(COUNTIF(FU9:FU23,"✓")/COUNTA($B$9:$B$23),0))</f>
        <v/>
      </c>
      <c r="FV24" s="145">
        <f>IF(FV7&gt;Setup!$D$7,"",IFERROR(COUNTIF(FV9:FV23,"✓")/COUNTA($B$9:$B$23),0))</f>
        <v/>
      </c>
      <c r="FW24" s="145">
        <f>IF(FW7&gt;Setup!$D$7,"",IFERROR(COUNTIF(FW9:FW23,"✓")/COUNTA($B$9:$B$23),0))</f>
        <v/>
      </c>
      <c r="FX24" s="145">
        <f>IF(FX7&gt;Setup!$D$7,"",IFERROR(COUNTIF(FX9:FX23,"✓")/COUNTA($B$9:$B$23),0))</f>
        <v/>
      </c>
      <c r="FY24" s="145">
        <f>IF(FY7&gt;Setup!$D$7,"",IFERROR(COUNTIF(FY9:FY23,"✓")/COUNTA($B$9:$B$23),0))</f>
        <v/>
      </c>
      <c r="FZ24" s="145">
        <f>IF(FZ7&gt;Setup!$D$7,"",IFERROR(COUNTIF(FZ9:FZ23,"✓")/COUNTA($B$9:$B$23),0))</f>
        <v/>
      </c>
      <c r="GA24" s="145">
        <f>IF(GA7&gt;Setup!$D$7,"",IFERROR(COUNTIF(GA9:GA23,"✓")/COUNTA($B$9:$B$23),0))</f>
        <v/>
      </c>
      <c r="GB24" s="145">
        <f>IF(GB7&gt;Setup!$D$7,"",IFERROR(COUNTIF(GB9:GB23,"✓")/COUNTA($B$9:$B$23),0))</f>
        <v/>
      </c>
      <c r="GC24" s="145">
        <f>IF(GC7&gt;Setup!$D$7,"",IFERROR(COUNTIF(GC9:GC23,"✓")/COUNTA($B$9:$B$23),0))</f>
        <v/>
      </c>
      <c r="GD24" s="145">
        <f>IF(GD7&gt;Setup!$D$7,"",IFERROR(COUNTIF(GD9:GD23,"✓")/COUNTA($B$9:$B$23),0))</f>
        <v/>
      </c>
      <c r="GE24" s="145">
        <f>IF(GE7&gt;Setup!$D$7,"",IFERROR(COUNTIF(GE9:GE23,"✓")/COUNTA($B$9:$B$23),0))</f>
        <v/>
      </c>
      <c r="GF24" s="145">
        <f>IF(GF7&gt;Setup!$D$7,"",IFERROR(COUNTIF(GF9:GF23,"✓")/COUNTA($B$9:$B$23),0))</f>
        <v/>
      </c>
      <c r="GG24" s="145">
        <f>IF(GG7&gt;Setup!$D$7,"",IFERROR(COUNTIF(GG9:GG23,"✓")/COUNTA($B$9:$B$23),0))</f>
        <v/>
      </c>
      <c r="GH24" s="145">
        <f>IF(GH7&gt;Setup!$D$7,"",IFERROR(COUNTIF(GH9:GH23,"✓")/COUNTA($B$9:$B$23),0))</f>
        <v/>
      </c>
      <c r="GI24" s="145">
        <f>IF(GI7&gt;Setup!$D$7,"",IFERROR(COUNTIF(GI9:GI23,"✓")/COUNTA($B$9:$B$23),0))</f>
        <v/>
      </c>
      <c r="GJ24" s="145">
        <f>IF(GJ7&gt;Setup!$D$7,"",IFERROR(COUNTIF(GJ9:GJ23,"✓")/COUNTA($B$9:$B$23),0))</f>
        <v/>
      </c>
      <c r="GK24" s="145">
        <f>IF(GK7&gt;Setup!$D$7,"",IFERROR(COUNTIF(GK9:GK23,"✓")/COUNTA($B$9:$B$23),0))</f>
        <v/>
      </c>
      <c r="GL24" s="145">
        <f>IF(GL7&gt;Setup!$D$7,"",IFERROR(COUNTIF(GL9:GL23,"✓")/COUNTA($B$9:$B$23),0))</f>
        <v/>
      </c>
      <c r="GM24" s="145">
        <f>IF(GM7&gt;Setup!$D$7,"",IFERROR(COUNTIF(GM9:GM23,"✓")/COUNTA($B$9:$B$23),0))</f>
        <v/>
      </c>
      <c r="GN24" s="145">
        <f>IF(GN7&gt;Setup!$D$7,"",IFERROR(COUNTIF(GN9:GN23,"✓")/COUNTA($B$9:$B$23),0))</f>
        <v/>
      </c>
      <c r="GO24" s="145">
        <f>IF(GO7&gt;Setup!$D$7,"",IFERROR(COUNTIF(GO9:GO23,"✓")/COUNTA($B$9:$B$23),0))</f>
        <v/>
      </c>
      <c r="GP24" s="145">
        <f>IF(GP7&gt;Setup!$D$7,"",IFERROR(COUNTIF(GP9:GP23,"✓")/COUNTA($B$9:$B$23),0))</f>
        <v/>
      </c>
      <c r="GQ24" s="145">
        <f>IF(GQ7&gt;Setup!$D$7,"",IFERROR(COUNTIF(GQ9:GQ23,"✓")/COUNTA($B$9:$B$23),0))</f>
        <v/>
      </c>
      <c r="GR24" s="145">
        <f>IF(GR7&gt;Setup!$D$7,"",IFERROR(COUNTIF(GR9:GR23,"✓")/COUNTA($B$9:$B$23),0))</f>
        <v/>
      </c>
      <c r="GS24" s="145">
        <f>IF(GS7&gt;Setup!$D$7,"",IFERROR(COUNTIF(GS9:GS23,"✓")/COUNTA($B$9:$B$23),0))</f>
        <v/>
      </c>
      <c r="GT24" s="145">
        <f>IF(GT7&gt;Setup!$D$7,"",IFERROR(COUNTIF(GT9:GT23,"✓")/COUNTA($B$9:$B$23),0))</f>
        <v/>
      </c>
      <c r="GU24" s="145">
        <f>IF(GU7&gt;Setup!$D$7,"",IFERROR(COUNTIF(GU9:GU23,"✓")/COUNTA($B$9:$B$23),0))</f>
        <v/>
      </c>
      <c r="GV24" s="145">
        <f>IF(GV7&gt;Setup!$D$7,"",IFERROR(COUNTIF(GV9:GV23,"✓")/COUNTA($B$9:$B$23),0))</f>
        <v/>
      </c>
      <c r="GW24" s="145">
        <f>IF(GW7&gt;Setup!$D$7,"",IFERROR(COUNTIF(GW9:GW23,"✓")/COUNTA($B$9:$B$23),0))</f>
        <v/>
      </c>
      <c r="GX24" s="145">
        <f>IF(GX7&gt;Setup!$D$7,"",IFERROR(COUNTIF(GX9:GX23,"✓")/COUNTA($B$9:$B$23),0))</f>
        <v/>
      </c>
      <c r="GY24" s="145">
        <f>IF(GY7&gt;Setup!$D$7,"",IFERROR(COUNTIF(GY9:GY23,"✓")/COUNTA($B$9:$B$23),0))</f>
        <v/>
      </c>
      <c r="GZ24" s="145">
        <f>IF(GZ7&gt;Setup!$D$7,"",IFERROR(COUNTIF(GZ9:GZ23,"✓")/COUNTA($B$9:$B$23),0))</f>
        <v/>
      </c>
      <c r="HA24" s="145">
        <f>IF(HA7&gt;Setup!$D$7,"",IFERROR(COUNTIF(HA9:HA23,"✓")/COUNTA($B$9:$B$23),0))</f>
        <v/>
      </c>
      <c r="HB24" s="145">
        <f>IF(HB7&gt;Setup!$D$7,"",IFERROR(COUNTIF(HB9:HB23,"✓")/COUNTA($B$9:$B$23),0))</f>
        <v/>
      </c>
      <c r="HC24" s="145">
        <f>IF(HC7&gt;Setup!$D$7,"",IFERROR(COUNTIF(HC9:HC23,"✓")/COUNTA($B$9:$B$23),0))</f>
        <v/>
      </c>
      <c r="HD24" s="145">
        <f>IF(HD7&gt;Setup!$D$7,"",IFERROR(COUNTIF(HD9:HD23,"✓")/COUNTA($B$9:$B$23),0))</f>
        <v/>
      </c>
      <c r="HE24" s="145">
        <f>IF(HE7&gt;Setup!$D$7,"",IFERROR(COUNTIF(HE9:HE23,"✓")/COUNTA($B$9:$B$23),0))</f>
        <v/>
      </c>
      <c r="HF24" s="145">
        <f>IF(HF7&gt;Setup!$D$7,"",IFERROR(COUNTIF(HF9:HF23,"✓")/COUNTA($B$9:$B$23),0))</f>
        <v/>
      </c>
      <c r="HG24" s="145">
        <f>IF(HG7&gt;Setup!$D$7,"",IFERROR(COUNTIF(HG9:HG23,"✓")/COUNTA($B$9:$B$23),0))</f>
        <v/>
      </c>
      <c r="HH24" s="145">
        <f>IF(HH7&gt;Setup!$D$7,"",IFERROR(COUNTIF(HH9:HH23,"✓")/COUNTA($B$9:$B$23),0))</f>
        <v/>
      </c>
      <c r="HI24" s="145">
        <f>IF(HI7&gt;Setup!$D$7,"",IFERROR(COUNTIF(HI9:HI23,"✓")/COUNTA($B$9:$B$23),0))</f>
        <v/>
      </c>
      <c r="HJ24" s="145">
        <f>IF(HJ7&gt;Setup!$D$7,"",IFERROR(COUNTIF(HJ9:HJ23,"✓")/COUNTA($B$9:$B$23),0))</f>
        <v/>
      </c>
      <c r="HK24" s="145">
        <f>IF(HK7&gt;Setup!$D$7,"",IFERROR(COUNTIF(HK9:HK23,"✓")/COUNTA($B$9:$B$23),0))</f>
        <v/>
      </c>
      <c r="HL24" s="145">
        <f>IF(HL7&gt;Setup!$D$7,"",IFERROR(COUNTIF(HL9:HL23,"✓")/COUNTA($B$9:$B$23),0))</f>
        <v/>
      </c>
      <c r="HM24" s="145">
        <f>IF(HM7&gt;Setup!$D$7,"",IFERROR(COUNTIF(HM9:HM23,"✓")/COUNTA($B$9:$B$23),0))</f>
        <v/>
      </c>
      <c r="HN24" s="145">
        <f>IF(HN7&gt;Setup!$D$7,"",IFERROR(COUNTIF(HN9:HN23,"✓")/COUNTA($B$9:$B$23),0))</f>
        <v/>
      </c>
      <c r="HO24" s="145">
        <f>IF(HO7&gt;Setup!$D$7,"",IFERROR(COUNTIF(HO9:HO23,"✓")/COUNTA($B$9:$B$23),0))</f>
        <v/>
      </c>
      <c r="HP24" s="145">
        <f>IF(HP7&gt;Setup!$D$7,"",IFERROR(COUNTIF(HP9:HP23,"✓")/COUNTA($B$9:$B$23),0))</f>
        <v/>
      </c>
      <c r="HQ24" s="145">
        <f>IF(HQ7&gt;Setup!$D$7,"",IFERROR(COUNTIF(HQ9:HQ23,"✓")/COUNTA($B$9:$B$23),0))</f>
        <v/>
      </c>
      <c r="HR24" s="145">
        <f>IF(HR7&gt;Setup!$D$7,"",IFERROR(COUNTIF(HR9:HR23,"✓")/COUNTA($B$9:$B$23),0))</f>
        <v/>
      </c>
      <c r="HS24" s="145">
        <f>IF(HS7&gt;Setup!$D$7,"",IFERROR(COUNTIF(HS9:HS23,"✓")/COUNTA($B$9:$B$23),0))</f>
        <v/>
      </c>
      <c r="HT24" s="145">
        <f>IF(HT7&gt;Setup!$D$7,"",IFERROR(COUNTIF(HT9:HT23,"✓")/COUNTA($B$9:$B$23),0))</f>
        <v/>
      </c>
      <c r="HU24" s="145">
        <f>IF(HU7&gt;Setup!$D$7,"",IFERROR(COUNTIF(HU9:HU23,"✓")/COUNTA($B$9:$B$23),0))</f>
        <v/>
      </c>
      <c r="HV24" s="145">
        <f>IF(HV7&gt;Setup!$D$7,"",IFERROR(COUNTIF(HV9:HV23,"✓")/COUNTA($B$9:$B$23),0))</f>
        <v/>
      </c>
      <c r="HW24" s="145">
        <f>IF(HW7&gt;Setup!$D$7,"",IFERROR(COUNTIF(HW9:HW23,"✓")/COUNTA($B$9:$B$23),0))</f>
        <v/>
      </c>
      <c r="HX24" s="145">
        <f>IF(HX7&gt;Setup!$D$7,"",IFERROR(COUNTIF(HX9:HX23,"✓")/COUNTA($B$9:$B$23),0))</f>
        <v/>
      </c>
      <c r="HY24" s="145">
        <f>IF(HY7&gt;Setup!$D$7,"",IFERROR(COUNTIF(HY9:HY23,"✓")/COUNTA($B$9:$B$23),0))</f>
        <v/>
      </c>
      <c r="HZ24" s="145">
        <f>IF(HZ7&gt;Setup!$D$7,"",IFERROR(COUNTIF(HZ9:HZ23,"✓")/COUNTA($B$9:$B$23),0))</f>
        <v/>
      </c>
      <c r="IA24" s="145">
        <f>IF(IA7&gt;Setup!$D$7,"",IFERROR(COUNTIF(IA9:IA23,"✓")/COUNTA($B$9:$B$23),0))</f>
        <v/>
      </c>
      <c r="IB24" s="145">
        <f>IF(IB7&gt;Setup!$D$7,"",IFERROR(COUNTIF(IB9:IB23,"✓")/COUNTA($B$9:$B$23),0))</f>
        <v/>
      </c>
      <c r="IC24" s="145">
        <f>IF(IC7&gt;Setup!$D$7,"",IFERROR(COUNTIF(IC9:IC23,"✓")/COUNTA($B$9:$B$23),0))</f>
        <v/>
      </c>
      <c r="ID24" s="145">
        <f>IF(ID7&gt;Setup!$D$7,"",IFERROR(COUNTIF(ID9:ID23,"✓")/COUNTA($B$9:$B$23),0))</f>
        <v/>
      </c>
      <c r="IE24" s="145">
        <f>IF(IE7&gt;Setup!$D$7,"",IFERROR(COUNTIF(IE9:IE23,"✓")/COUNTA($B$9:$B$23),0))</f>
        <v/>
      </c>
      <c r="IF24" s="145">
        <f>IF(IF7&gt;Setup!$D$7,"",IFERROR(COUNTIF(IF9:IF23,"✓")/COUNTA($B$9:$B$23),0))</f>
        <v/>
      </c>
      <c r="IG24" s="145">
        <f>IF(IG7&gt;Setup!$D$7,"",IFERROR(COUNTIF(IG9:IG23,"✓")/COUNTA($B$9:$B$23),0))</f>
        <v/>
      </c>
      <c r="IH24" s="145">
        <f>IF(IH7&gt;Setup!$D$7,"",IFERROR(COUNTIF(IH9:IH23,"✓")/COUNTA($B$9:$B$23),0))</f>
        <v/>
      </c>
      <c r="II24" s="145">
        <f>IF(II7&gt;Setup!$D$7,"",IFERROR(COUNTIF(II9:II23,"✓")/COUNTA($B$9:$B$23),0))</f>
        <v/>
      </c>
      <c r="IJ24" s="145">
        <f>IF(IJ7&gt;Setup!$D$7,"",IFERROR(COUNTIF(IJ9:IJ23,"✓")/COUNTA($B$9:$B$23),0))</f>
        <v/>
      </c>
      <c r="IK24" s="145">
        <f>IF(IK7&gt;Setup!$D$7,"",IFERROR(COUNTIF(IK9:IK23,"✓")/COUNTA($B$9:$B$23),0))</f>
        <v/>
      </c>
      <c r="IL24" s="145">
        <f>IF(IL7&gt;Setup!$D$7,"",IFERROR(COUNTIF(IL9:IL23,"✓")/COUNTA($B$9:$B$23),0))</f>
        <v/>
      </c>
      <c r="IM24" s="145">
        <f>IF(IM7&gt;Setup!$D$7,"",IFERROR(COUNTIF(IM9:IM23,"✓")/COUNTA($B$9:$B$23),0))</f>
        <v/>
      </c>
      <c r="IN24" s="145">
        <f>IF(IN7&gt;Setup!$D$7,"",IFERROR(COUNTIF(IN9:IN23,"✓")/COUNTA($B$9:$B$23),0))</f>
        <v/>
      </c>
      <c r="IO24" s="145">
        <f>IF(IO7&gt;Setup!$D$7,"",IFERROR(COUNTIF(IO9:IO23,"✓")/COUNTA($B$9:$B$23),0))</f>
        <v/>
      </c>
      <c r="IP24" s="145">
        <f>IF(IP7&gt;Setup!$D$7,"",IFERROR(COUNTIF(IP9:IP23,"✓")/COUNTA($B$9:$B$23),0))</f>
        <v/>
      </c>
      <c r="IQ24" s="145">
        <f>IF(IQ7&gt;Setup!$D$7,"",IFERROR(COUNTIF(IQ9:IQ23,"✓")/COUNTA($B$9:$B$23),0))</f>
        <v/>
      </c>
      <c r="IR24" s="145">
        <f>IF(IR7&gt;Setup!$D$7,"",IFERROR(COUNTIF(IR9:IR23,"✓")/COUNTA($B$9:$B$23),0))</f>
        <v/>
      </c>
      <c r="IS24" s="145">
        <f>IF(IS7&gt;Setup!$D$7,"",IFERROR(COUNTIF(IS9:IS23,"✓")/COUNTA($B$9:$B$23),0))</f>
        <v/>
      </c>
      <c r="IT24" s="145">
        <f>IF(IT7&gt;Setup!$D$7,"",IFERROR(COUNTIF(IT9:IT23,"✓")/COUNTA($B$9:$B$23),0))</f>
        <v/>
      </c>
      <c r="IU24" s="145">
        <f>IF(IU7&gt;Setup!$D$7,"",IFERROR(COUNTIF(IU9:IU23,"✓")/COUNTA($B$9:$B$23),0))</f>
        <v/>
      </c>
      <c r="IV24" s="145">
        <f>IF(IV7&gt;Setup!$D$7,"",IFERROR(COUNTIF(IV9:IV23,"✓")/COUNTA($B$9:$B$23),0))</f>
        <v/>
      </c>
      <c r="IW24" s="145">
        <f>IF(IW7&gt;Setup!$D$7,"",IFERROR(COUNTIF(IW9:IW23,"✓")/COUNTA($B$9:$B$23),0))</f>
        <v/>
      </c>
      <c r="IX24" s="145">
        <f>IF(IX7&gt;Setup!$D$7,"",IFERROR(COUNTIF(IX9:IX23,"✓")/COUNTA($B$9:$B$23),0))</f>
        <v/>
      </c>
      <c r="IY24" s="145">
        <f>IF(IY7&gt;Setup!$D$7,"",IFERROR(COUNTIF(IY9:IY23,"✓")/COUNTA($B$9:$B$23),0))</f>
        <v/>
      </c>
      <c r="IZ24" s="145">
        <f>IF(IZ7&gt;Setup!$D$7,"",IFERROR(COUNTIF(IZ9:IZ23,"✓")/COUNTA($B$9:$B$23),0))</f>
        <v/>
      </c>
      <c r="JA24" s="145">
        <f>IF(JA7&gt;Setup!$D$7,"",IFERROR(COUNTIF(JA9:JA23,"✓")/COUNTA($B$9:$B$23),0))</f>
        <v/>
      </c>
      <c r="JB24" s="145">
        <f>IF(JB7&gt;Setup!$D$7,"",IFERROR(COUNTIF(JB9:JB23,"✓")/COUNTA($B$9:$B$23),0))</f>
        <v/>
      </c>
      <c r="JC24" s="145">
        <f>IF(JC7&gt;Setup!$D$7,"",IFERROR(COUNTIF(JC9:JC23,"✓")/COUNTA($B$9:$B$23),0))</f>
        <v/>
      </c>
      <c r="JD24" s="145">
        <f>IF(JD7&gt;Setup!$D$7,"",IFERROR(COUNTIF(JD9:JD23,"✓")/COUNTA($B$9:$B$23),0))</f>
        <v/>
      </c>
      <c r="JE24" s="145">
        <f>IF(JE7&gt;Setup!$D$7,"",IFERROR(COUNTIF(JE9:JE23,"✓")/COUNTA($B$9:$B$23),0))</f>
        <v/>
      </c>
      <c r="JF24" s="145">
        <f>IF(JF7&gt;Setup!$D$7,"",IFERROR(COUNTIF(JF9:JF23,"✓")/COUNTA($B$9:$B$23),0))</f>
        <v/>
      </c>
      <c r="JG24" s="145">
        <f>IF(JG7&gt;Setup!$D$7,"",IFERROR(COUNTIF(JG9:JG23,"✓")/COUNTA($B$9:$B$23),0))</f>
        <v/>
      </c>
      <c r="JH24" s="145">
        <f>IF(JH7&gt;Setup!$D$7,"",IFERROR(COUNTIF(JH9:JH23,"✓")/COUNTA($B$9:$B$23),0))</f>
        <v/>
      </c>
      <c r="JI24" s="145">
        <f>IF(JI7&gt;Setup!$D$7,"",IFERROR(COUNTIF(JI9:JI23,"✓")/COUNTA($B$9:$B$23),0))</f>
        <v/>
      </c>
      <c r="JJ24" s="145">
        <f>IF(JJ7&gt;Setup!$D$7,"",IFERROR(COUNTIF(JJ9:JJ23,"✓")/COUNTA($B$9:$B$23),0))</f>
        <v/>
      </c>
      <c r="JK24" s="145">
        <f>IF(JK7&gt;Setup!$D$7,"",IFERROR(COUNTIF(JK9:JK23,"✓")/COUNTA($B$9:$B$23),0))</f>
        <v/>
      </c>
      <c r="JL24" s="145">
        <f>IF(JL7&gt;Setup!$D$7,"",IFERROR(COUNTIF(JL9:JL23,"✓")/COUNTA($B$9:$B$23),0))</f>
        <v/>
      </c>
      <c r="JM24" s="145">
        <f>IF(JM7&gt;Setup!$D$7,"",IFERROR(COUNTIF(JM9:JM23,"✓")/COUNTA($B$9:$B$23),0))</f>
        <v/>
      </c>
      <c r="JN24" s="145">
        <f>IF(JN7&gt;Setup!$D$7,"",IFERROR(COUNTIF(JN9:JN23,"✓")/COUNTA($B$9:$B$23),0))</f>
        <v/>
      </c>
      <c r="JO24" s="145">
        <f>IF(JO7&gt;Setup!$D$7,"",IFERROR(COUNTIF(JO9:JO23,"✓")/COUNTA($B$9:$B$23),0))</f>
        <v/>
      </c>
      <c r="JP24" s="145">
        <f>IF(JP7&gt;Setup!$D$7,"",IFERROR(COUNTIF(JP9:JP23,"✓")/COUNTA($B$9:$B$23),0))</f>
        <v/>
      </c>
      <c r="JQ24" s="145">
        <f>IF(JQ7&gt;Setup!$D$7,"",IFERROR(COUNTIF(JQ9:JQ23,"✓")/COUNTA($B$9:$B$23),0))</f>
        <v/>
      </c>
      <c r="JR24" s="145">
        <f>IF(JR7&gt;Setup!$D$7,"",IFERROR(COUNTIF(JR9:JR23,"✓")/COUNTA($B$9:$B$23),0))</f>
        <v/>
      </c>
      <c r="JS24" s="145">
        <f>IF(JS7&gt;Setup!$D$7,"",IFERROR(COUNTIF(JS9:JS23,"✓")/COUNTA($B$9:$B$23),0))</f>
        <v/>
      </c>
      <c r="JT24" s="145">
        <f>IF(JT7&gt;Setup!$D$7,"",IFERROR(COUNTIF(JT9:JT23,"✓")/COUNTA($B$9:$B$23),0))</f>
        <v/>
      </c>
      <c r="JU24" s="145">
        <f>IF(JU7&gt;Setup!$D$7,"",IFERROR(COUNTIF(JU9:JU23,"✓")/COUNTA($B$9:$B$23),0))</f>
        <v/>
      </c>
      <c r="JV24" s="145">
        <f>IF(JV7&gt;Setup!$D$7,"",IFERROR(COUNTIF(JV9:JV23,"✓")/COUNTA($B$9:$B$23),0))</f>
        <v/>
      </c>
      <c r="JW24" s="145">
        <f>IF(JW7&gt;Setup!$D$7,"",IFERROR(COUNTIF(JW9:JW23,"✓")/COUNTA($B$9:$B$23),0))</f>
        <v/>
      </c>
      <c r="JX24" s="145">
        <f>IF(JX7&gt;Setup!$D$7,"",IFERROR(COUNTIF(JX9:JX23,"✓")/COUNTA($B$9:$B$23),0))</f>
        <v/>
      </c>
      <c r="JY24" s="145">
        <f>IF(JY7&gt;Setup!$D$7,"",IFERROR(COUNTIF(JY9:JY23,"✓")/COUNTA($B$9:$B$23),0))</f>
        <v/>
      </c>
      <c r="JZ24" s="145">
        <f>IF(JZ7&gt;Setup!$D$7,"",IFERROR(COUNTIF(JZ9:JZ23,"✓")/COUNTA($B$9:$B$23),0))</f>
        <v/>
      </c>
      <c r="KA24" s="145">
        <f>IF(KA7&gt;Setup!$D$7,"",IFERROR(COUNTIF(KA9:KA23,"✓")/COUNTA($B$9:$B$23),0))</f>
        <v/>
      </c>
      <c r="KB24" s="145">
        <f>IF(KB7&gt;Setup!$D$7,"",IFERROR(COUNTIF(KB9:KB23,"✓")/COUNTA($B$9:$B$23),0))</f>
        <v/>
      </c>
      <c r="KC24" s="145">
        <f>IF(KC7&gt;Setup!$D$7,"",IFERROR(COUNTIF(KC9:KC23,"✓")/COUNTA($B$9:$B$23),0))</f>
        <v/>
      </c>
      <c r="KD24" s="145">
        <f>IF(KD7&gt;Setup!$D$7,"",IFERROR(COUNTIF(KD9:KD23,"✓")/COUNTA($B$9:$B$23),0))</f>
        <v/>
      </c>
      <c r="KE24" s="145">
        <f>IF(KE7&gt;Setup!$D$7,"",IFERROR(COUNTIF(KE9:KE23,"✓")/COUNTA($B$9:$B$23),0))</f>
        <v/>
      </c>
      <c r="KF24" s="145">
        <f>IF(KF7&gt;Setup!$D$7,"",IFERROR(COUNTIF(KF9:KF23,"✓")/COUNTA($B$9:$B$23),0))</f>
        <v/>
      </c>
      <c r="KG24" s="145">
        <f>IF(KG7&gt;Setup!$D$7,"",IFERROR(COUNTIF(KG9:KG23,"✓")/COUNTA($B$9:$B$23),0))</f>
        <v/>
      </c>
      <c r="KH24" s="145">
        <f>IF(KH7&gt;Setup!$D$7,"",IFERROR(COUNTIF(KH9:KH23,"✓")/COUNTA($B$9:$B$23),0))</f>
        <v/>
      </c>
      <c r="KI24" s="145">
        <f>IF(KI7&gt;Setup!$D$7,"",IFERROR(COUNTIF(KI9:KI23,"✓")/COUNTA($B$9:$B$23),0))</f>
        <v/>
      </c>
      <c r="KJ24" s="145">
        <f>IF(KJ7&gt;Setup!$D$7,"",IFERROR(COUNTIF(KJ9:KJ23,"✓")/COUNTA($B$9:$B$23),0))</f>
        <v/>
      </c>
      <c r="KK24" s="145">
        <f>IF(KK7&gt;Setup!$D$7,"",IFERROR(COUNTIF(KK9:KK23,"✓")/COUNTA($B$9:$B$23),0))</f>
        <v/>
      </c>
      <c r="KL24" s="145">
        <f>IF(KL7&gt;Setup!$D$7,"",IFERROR(COUNTIF(KL9:KL23,"✓")/COUNTA($B$9:$B$23),0))</f>
        <v/>
      </c>
      <c r="KM24" s="145">
        <f>IF(KM7&gt;Setup!$D$7,"",IFERROR(COUNTIF(KM9:KM23,"✓")/COUNTA($B$9:$B$23),0))</f>
        <v/>
      </c>
      <c r="KN24" s="145">
        <f>IF(KN7&gt;Setup!$D$7,"",IFERROR(COUNTIF(KN9:KN23,"✓")/COUNTA($B$9:$B$23),0))</f>
        <v/>
      </c>
      <c r="KO24" s="145">
        <f>IF(KO7&gt;Setup!$D$7,"",IFERROR(COUNTIF(KO9:KO23,"✓")/COUNTA($B$9:$B$23),0))</f>
        <v/>
      </c>
      <c r="KP24" s="145">
        <f>IF(KP7&gt;Setup!$D$7,"",IFERROR(COUNTIF(KP9:KP23,"✓")/COUNTA($B$9:$B$23),0))</f>
        <v/>
      </c>
      <c r="KQ24" s="145">
        <f>IF(KQ7&gt;Setup!$D$7,"",IFERROR(COUNTIF(KQ9:KQ23,"✓")/COUNTA($B$9:$B$23),0))</f>
        <v/>
      </c>
      <c r="KR24" s="145">
        <f>IF(KR7&gt;Setup!$D$7,"",IFERROR(COUNTIF(KR9:KR23,"✓")/COUNTA($B$9:$B$23),0))</f>
        <v/>
      </c>
      <c r="KS24" s="145">
        <f>IF(KS7&gt;Setup!$D$7,"",IFERROR(COUNTIF(KS9:KS23,"✓")/COUNTA($B$9:$B$23),0))</f>
        <v/>
      </c>
      <c r="KT24" s="145">
        <f>IF(KT7&gt;Setup!$D$7,"",IFERROR(COUNTIF(KT9:KT23,"✓")/COUNTA($B$9:$B$23),0))</f>
        <v/>
      </c>
      <c r="KU24" s="145">
        <f>IF(KU7&gt;Setup!$D$7,"",IFERROR(COUNTIF(KU9:KU23,"✓")/COUNTA($B$9:$B$23),0))</f>
        <v/>
      </c>
      <c r="KV24" s="145">
        <f>IF(KV7&gt;Setup!$D$7,"",IFERROR(COUNTIF(KV9:KV23,"✓")/COUNTA($B$9:$B$23),0))</f>
        <v/>
      </c>
      <c r="KW24" s="145">
        <f>IF(KW7&gt;Setup!$D$7,"",IFERROR(COUNTIF(KW9:KW23,"✓")/COUNTA($B$9:$B$23),0))</f>
        <v/>
      </c>
      <c r="KX24" s="145">
        <f>IF(KX7&gt;Setup!$D$7,"",IFERROR(COUNTIF(KX9:KX23,"✓")/COUNTA($B$9:$B$23),0))</f>
        <v/>
      </c>
      <c r="KY24" s="145">
        <f>IF(KY7&gt;Setup!$D$7,"",IFERROR(COUNTIF(KY9:KY23,"✓")/COUNTA($B$9:$B$23),0))</f>
        <v/>
      </c>
      <c r="KZ24" s="145">
        <f>IF(KZ7&gt;Setup!$D$7,"",IFERROR(COUNTIF(KZ9:KZ23,"✓")/COUNTA($B$9:$B$23),0))</f>
        <v/>
      </c>
      <c r="LA24" s="145">
        <f>IF(LA7&gt;Setup!$D$7,"",IFERROR(COUNTIF(LA9:LA23,"✓")/COUNTA($B$9:$B$23),0))</f>
        <v/>
      </c>
      <c r="LB24" s="145">
        <f>IF(LB7&gt;Setup!$D$7,"",IFERROR(COUNTIF(LB9:LB23,"✓")/COUNTA($B$9:$B$23),0))</f>
        <v/>
      </c>
      <c r="LC24" s="145">
        <f>IF(LC7&gt;Setup!$D$7,"",IFERROR(COUNTIF(LC9:LC23,"✓")/COUNTA($B$9:$B$23),0))</f>
        <v/>
      </c>
      <c r="LD24" s="145">
        <f>IF(LD7&gt;Setup!$D$7,"",IFERROR(COUNTIF(LD9:LD23,"✓")/COUNTA($B$9:$B$23),0))</f>
        <v/>
      </c>
      <c r="LE24" s="145">
        <f>IF(LE7&gt;Setup!$D$7,"",IFERROR(COUNTIF(LE9:LE23,"✓")/COUNTA($B$9:$B$23),0))</f>
        <v/>
      </c>
      <c r="LF24" s="145">
        <f>IF(LF7&gt;Setup!$D$7,"",IFERROR(COUNTIF(LF9:LF23,"✓")/COUNTA($B$9:$B$23),0))</f>
        <v/>
      </c>
      <c r="LG24" s="145">
        <f>IF(LG7&gt;Setup!$D$7,"",IFERROR(COUNTIF(LG9:LG23,"✓")/COUNTA($B$9:$B$23),0))</f>
        <v/>
      </c>
      <c r="LH24" s="145">
        <f>IF(LH7&gt;Setup!$D$7,"",IFERROR(COUNTIF(LH9:LH23,"✓")/COUNTA($B$9:$B$23),0))</f>
        <v/>
      </c>
      <c r="LI24" s="145">
        <f>IF(LI7&gt;Setup!$D$7,"",IFERROR(COUNTIF(LI9:LI23,"✓")/COUNTA($B$9:$B$23),0))</f>
        <v/>
      </c>
      <c r="LJ24" s="145">
        <f>IF(LJ7&gt;Setup!$D$7,"",IFERROR(COUNTIF(LJ9:LJ23,"✓")/COUNTA($B$9:$B$23),0))</f>
        <v/>
      </c>
      <c r="LK24" s="145">
        <f>IF(LK7&gt;Setup!$D$7,"",IFERROR(COUNTIF(LK9:LK23,"✓")/COUNTA($B$9:$B$23),0))</f>
        <v/>
      </c>
      <c r="LL24" s="145">
        <f>IF(LL7&gt;Setup!$D$7,"",IFERROR(COUNTIF(LL9:LL23,"✓")/COUNTA($B$9:$B$23),0))</f>
        <v/>
      </c>
      <c r="LM24" s="145">
        <f>IF(LM7&gt;Setup!$D$7,"",IFERROR(COUNTIF(LM9:LM23,"✓")/COUNTA($B$9:$B$23),0))</f>
        <v/>
      </c>
      <c r="LN24" s="145">
        <f>IF(LN7&gt;Setup!$D$7,"",IFERROR(COUNTIF(LN9:LN23,"✓")/COUNTA($B$9:$B$23),0))</f>
        <v/>
      </c>
      <c r="LO24" s="145">
        <f>IF(LO7&gt;Setup!$D$7,"",IFERROR(COUNTIF(LO9:LO23,"✓")/COUNTA($B$9:$B$23),0))</f>
        <v/>
      </c>
      <c r="LP24" s="145">
        <f>IF(LP7&gt;Setup!$D$7,"",IFERROR(COUNTIF(LP9:LP23,"✓")/COUNTA($B$9:$B$23),0))</f>
        <v/>
      </c>
      <c r="LQ24" s="145">
        <f>IF(LQ7&gt;Setup!$D$7,"",IFERROR(COUNTIF(LQ9:LQ23,"✓")/COUNTA($B$9:$B$23),0))</f>
        <v/>
      </c>
      <c r="LR24" s="145">
        <f>IF(LR7&gt;Setup!$D$7,"",IFERROR(COUNTIF(LR9:LR23,"✓")/COUNTA($B$9:$B$23),0))</f>
        <v/>
      </c>
      <c r="LS24" s="145">
        <f>IF(LS7&gt;Setup!$D$7,"",IFERROR(COUNTIF(LS9:LS23,"✓")/COUNTA($B$9:$B$23),0))</f>
        <v/>
      </c>
      <c r="LT24" s="145">
        <f>IF(LT7&gt;Setup!$D$7,"",IFERROR(COUNTIF(LT9:LT23,"✓")/COUNTA($B$9:$B$23),0))</f>
        <v/>
      </c>
      <c r="LU24" s="145">
        <f>IF(LU7&gt;Setup!$D$7,"",IFERROR(COUNTIF(LU9:LU23,"✓")/COUNTA($B$9:$B$23),0))</f>
        <v/>
      </c>
      <c r="LV24" s="145">
        <f>IF(LV7&gt;Setup!$D$7,"",IFERROR(COUNTIF(LV9:LV23,"✓")/COUNTA($B$9:$B$23),0))</f>
        <v/>
      </c>
      <c r="LW24" s="145">
        <f>IF(LW7&gt;Setup!$D$7,"",IFERROR(COUNTIF(LW9:LW23,"✓")/COUNTA($B$9:$B$23),0))</f>
        <v/>
      </c>
      <c r="LX24" s="145">
        <f>IF(LX7&gt;Setup!$D$7,"",IFERROR(COUNTIF(LX9:LX23,"✓")/COUNTA($B$9:$B$23),0))</f>
        <v/>
      </c>
      <c r="LY24" s="145">
        <f>IF(LY7&gt;Setup!$D$7,"",IFERROR(COUNTIF(LY9:LY23,"✓")/COUNTA($B$9:$B$23),0))</f>
        <v/>
      </c>
      <c r="LZ24" s="145">
        <f>IF(LZ7&gt;Setup!$D$7,"",IFERROR(COUNTIF(LZ9:LZ23,"✓")/COUNTA($B$9:$B$23),0))</f>
        <v/>
      </c>
      <c r="MA24" s="145">
        <f>IF(MA7&gt;Setup!$D$7,"",IFERROR(COUNTIF(MA9:MA23,"✓")/COUNTA($B$9:$B$23),0))</f>
        <v/>
      </c>
      <c r="MB24" s="145">
        <f>IF(MB7&gt;Setup!$D$7,"",IFERROR(COUNTIF(MB9:MB23,"✓")/COUNTA($B$9:$B$23),0))</f>
        <v/>
      </c>
      <c r="MC24" s="145">
        <f>IF(MC7&gt;Setup!$D$7,"",IFERROR(COUNTIF(MC9:MC23,"✓")/COUNTA($B$9:$B$23),0))</f>
        <v/>
      </c>
      <c r="MD24" s="145">
        <f>IF(MD7&gt;Setup!$D$7,"",IFERROR(COUNTIF(MD9:MD23,"✓")/COUNTA($B$9:$B$23),0))</f>
        <v/>
      </c>
      <c r="ME24" s="145">
        <f>IF(ME7&gt;Setup!$D$7,"",IFERROR(COUNTIF(ME9:ME23,"✓")/COUNTA($B$9:$B$23),0))</f>
        <v/>
      </c>
      <c r="MF24" s="145">
        <f>IF(MF7&gt;Setup!$D$7,"",IFERROR(COUNTIF(MF9:MF23,"✓")/COUNTA($B$9:$B$23),0))</f>
        <v/>
      </c>
      <c r="MG24" s="145">
        <f>IF(MG7&gt;Setup!$D$7,"",IFERROR(COUNTIF(MG9:MG23,"✓")/COUNTA($B$9:$B$23),0))</f>
        <v/>
      </c>
      <c r="MH24" s="145">
        <f>IF(MH7&gt;Setup!$D$7,"",IFERROR(COUNTIF(MH9:MH23,"✓")/COUNTA($B$9:$B$23),0))</f>
        <v/>
      </c>
      <c r="MI24" s="145">
        <f>IF(MI7&gt;Setup!$D$7,"",IFERROR(COUNTIF(MI9:MI23,"✓")/COUNTA($B$9:$B$23),0))</f>
        <v/>
      </c>
      <c r="MJ24" s="145">
        <f>IF(MJ7&gt;Setup!$D$7,"",IFERROR(COUNTIF(MJ9:MJ23,"✓")/COUNTA($B$9:$B$23),0))</f>
        <v/>
      </c>
      <c r="MK24" s="145">
        <f>IF(MK7&gt;Setup!$D$7,"",IFERROR(COUNTIF(MK9:MK23,"✓")/COUNTA($B$9:$B$23),0))</f>
        <v/>
      </c>
      <c r="ML24" s="145">
        <f>IF(ML7&gt;Setup!$D$7,"",IFERROR(COUNTIF(ML9:ML23,"✓")/COUNTA($B$9:$B$23),0))</f>
        <v/>
      </c>
      <c r="MM24" s="145">
        <f>IF(MM7&gt;Setup!$D$7,"",IFERROR(COUNTIF(MM9:MM23,"✓")/COUNTA($B$9:$B$23),0))</f>
        <v/>
      </c>
      <c r="MN24" s="145">
        <f>IF(MN7&gt;Setup!$D$7,"",IFERROR(COUNTIF(MN9:MN23,"✓")/COUNTA($B$9:$B$23),0))</f>
        <v/>
      </c>
      <c r="MO24" s="145">
        <f>IF(MO7&gt;Setup!$D$7,"",IFERROR(COUNTIF(MO9:MO23,"✓")/COUNTA($B$9:$B$23),0))</f>
        <v/>
      </c>
      <c r="MP24" s="145">
        <f>IF(MP7&gt;Setup!$D$7,"",IFERROR(COUNTIF(MP9:MP23,"✓")/COUNTA($B$9:$B$23),0))</f>
        <v/>
      </c>
      <c r="MQ24" s="145">
        <f>IF(MQ7&gt;Setup!$D$7,"",IFERROR(COUNTIF(MQ9:MQ23,"✓")/COUNTA($B$9:$B$23),0))</f>
        <v/>
      </c>
      <c r="MR24" s="145">
        <f>IF(MR7&gt;Setup!$D$7,"",IFERROR(COUNTIF(MR9:MR23,"✓")/COUNTA($B$9:$B$23),0))</f>
        <v/>
      </c>
      <c r="MS24" s="145">
        <f>IF(MS7&gt;Setup!$D$7,"",IFERROR(COUNTIF(MS9:MS23,"✓")/COUNTA($B$9:$B$23),0))</f>
        <v/>
      </c>
      <c r="MT24" s="145">
        <f>IF(MT7&gt;Setup!$D$7,"",IFERROR(COUNTIF(MT9:MT23,"✓")/COUNTA($B$9:$B$23),0))</f>
        <v/>
      </c>
      <c r="MU24" s="145">
        <f>IF(MU7&gt;Setup!$D$7,"",IFERROR(COUNTIF(MU9:MU23,"✓")/COUNTA($B$9:$B$23),0))</f>
        <v/>
      </c>
      <c r="MV24" s="145">
        <f>IF(MV7&gt;Setup!$D$7,"",IFERROR(COUNTIF(MV9:MV23,"✓")/COUNTA($B$9:$B$23),0))</f>
        <v/>
      </c>
      <c r="MW24" s="145">
        <f>IF(MW7&gt;Setup!$D$7,"",IFERROR(COUNTIF(MW9:MW23,"✓")/COUNTA($B$9:$B$23),0))</f>
        <v/>
      </c>
      <c r="MX24" s="145">
        <f>IF(MX7&gt;Setup!$D$7,"",IFERROR(COUNTIF(MX9:MX23,"✓")/COUNTA($B$9:$B$23),0))</f>
        <v/>
      </c>
      <c r="MY24" s="145">
        <f>IF(MY7&gt;Setup!$D$7,"",IFERROR(COUNTIF(MY9:MY23,"✓")/COUNTA($B$9:$B$23),0))</f>
        <v/>
      </c>
      <c r="MZ24" s="145">
        <f>IF(MZ7&gt;Setup!$D$7,"",IFERROR(COUNTIF(MZ9:MZ23,"✓")/COUNTA($B$9:$B$23),0))</f>
        <v/>
      </c>
      <c r="NA24" s="145">
        <f>IF(NA7&gt;Setup!$D$7,"",IFERROR(COUNTIF(NA9:NA23,"✓")/COUNTA($B$9:$B$23),0))</f>
        <v/>
      </c>
      <c r="NB24" s="145">
        <f>IF(NB7&gt;Setup!$D$7,"",IFERROR(COUNTIF(NB9:NB23,"✓")/COUNTA($B$9:$B$23),0))</f>
        <v/>
      </c>
      <c r="NC24" s="145">
        <f>IF(NC7&gt;Setup!$D$7,"",IFERROR(COUNTIF(NC9:NC23,"✓")/COUNTA($B$9:$B$23),0))</f>
        <v/>
      </c>
      <c r="ND24" s="145">
        <f>IF(ND7&gt;Setup!$D$7,"",IFERROR(COUNTIF(ND9:ND23,"✓")/COUNTA($B$9:$B$23),0))</f>
        <v/>
      </c>
      <c r="NE24" s="1" t="n"/>
      <c r="NF24" s="1" t="n"/>
      <c r="NG24" s="1" t="n"/>
    </row>
    <row r="25">
      <c r="A25" s="1" t="n"/>
      <c r="B25" s="31" t="inlineStr">
        <is>
          <t>WEEKLY PROGRESS</t>
        </is>
      </c>
      <c r="C25" s="1" t="n"/>
      <c r="D25" s="1" t="n"/>
      <c r="E25" s="146">
        <f>IF(E7&gt;Setup!$D$7,"",IFERROR(COUNTIF(E9:K23,"✓")/(7*COUNTA($B$9:$B$23)),0))</f>
        <v/>
      </c>
      <c r="L25" s="147">
        <f>IF(L7&gt;Setup!$D$7,"",IFERROR(COUNTIF(L9:R23,"✓")/(7*COUNTA($B$9:$B$23)),0))</f>
        <v/>
      </c>
      <c r="S25" s="148">
        <f>IF(S7&gt;Setup!$D$7,"",IFERROR(COUNTIF(S9:Y23,"✓")/(7*COUNTA($B$9:$B$23)),0))</f>
        <v/>
      </c>
      <c r="Z25" s="149">
        <f>IF(Z7&gt;Setup!$D$7,"",IFERROR(COUNTIF(Z9:AF23,"✓")/(7*COUNTA($B$9:$B$23)),0))</f>
        <v/>
      </c>
      <c r="AG25" s="150">
        <f>IF(AG7&gt;Setup!$D$7,"",IFERROR(COUNTIF(AG9:AM23,"✓")/(7*COUNTA($B$9:$B$23)),0))</f>
        <v/>
      </c>
      <c r="AN25" s="151">
        <f>IF(AN7&gt;Setup!$D$7,"",IFERROR(COUNTIF(AN9:AT23,"✓")/(7*COUNTA($B$9:$B$23)),0))</f>
        <v/>
      </c>
      <c r="AU25" s="152">
        <f>IF(AU7&gt;Setup!$D$7,"",IFERROR(COUNTIF(AU9:BA23,"✓")/(7*COUNTA($B$9:$B$23)),0))</f>
        <v/>
      </c>
      <c r="BB25" s="153">
        <f>IF(BB7&gt;Setup!$D$7,"",IFERROR(COUNTIF(BB9:BH23,"✓")/(7*COUNTA($B$9:$B$23)),0))</f>
        <v/>
      </c>
      <c r="BI25" s="146">
        <f>IF(BI7&gt;Setup!$D$7,"",IFERROR(COUNTIF(BI9:BO23,"✓")/(7*COUNTA($B$9:$B$23)),0))</f>
        <v/>
      </c>
      <c r="BP25" s="147">
        <f>IF(BP7&gt;Setup!$D$7,"",IFERROR(COUNTIF(BP9:BV23,"✓")/(7*COUNTA($B$9:$B$23)),0))</f>
        <v/>
      </c>
      <c r="BW25" s="148">
        <f>IF(BW7&gt;Setup!$D$7,"",IFERROR(COUNTIF(BW9:CC23,"✓")/(7*COUNTA($B$9:$B$23)),0))</f>
        <v/>
      </c>
      <c r="CD25" s="149">
        <f>IF(CD7&gt;Setup!$D$7,"",IFERROR(COUNTIF(CD9:CJ23,"✓")/(7*COUNTA($B$9:$B$23)),0))</f>
        <v/>
      </c>
      <c r="CK25" s="150">
        <f>IF(CK7&gt;Setup!$D$7,"",IFERROR(COUNTIF(CK9:CQ23,"✓")/(7*COUNTA($B$9:$B$23)),0))</f>
        <v/>
      </c>
      <c r="CR25" s="151">
        <f>IF(CR7&gt;Setup!$D$7,"",IFERROR(COUNTIF(CR9:CX23,"✓")/(7*COUNTA($B$9:$B$23)),0))</f>
        <v/>
      </c>
      <c r="CY25" s="152">
        <f>IF(CY7&gt;Setup!$D$7,"",IFERROR(COUNTIF(CY9:DE23,"✓")/(7*COUNTA($B$9:$B$23)),0))</f>
        <v/>
      </c>
      <c r="DF25" s="153">
        <f>IF(DF7&gt;Setup!$D$7,"",IFERROR(COUNTIF(DF9:DL23,"✓")/(7*COUNTA($B$9:$B$23)),0))</f>
        <v/>
      </c>
      <c r="DM25" s="146">
        <f>IF(DM7&gt;Setup!$D$7,"",IFERROR(COUNTIF(DM9:DS23,"✓")/(7*COUNTA($B$9:$B$23)),0))</f>
        <v/>
      </c>
      <c r="DT25" s="147">
        <f>IF(DT7&gt;Setup!$D$7,"",IFERROR(COUNTIF(DT9:DZ23,"✓")/(7*COUNTA($B$9:$B$23)),0))</f>
        <v/>
      </c>
      <c r="EA25" s="148">
        <f>IF(EA7&gt;Setup!$D$7,"",IFERROR(COUNTIF(EA9:EG23,"✓")/(7*COUNTA($B$9:$B$23)),0))</f>
        <v/>
      </c>
      <c r="EH25" s="149">
        <f>IF(EH7&gt;Setup!$D$7,"",IFERROR(COUNTIF(EH9:EN23,"✓")/(7*COUNTA($B$9:$B$23)),0))</f>
        <v/>
      </c>
      <c r="EO25" s="150">
        <f>IF(EO7&gt;Setup!$D$7,"",IFERROR(COUNTIF(EO9:EU23,"✓")/(7*COUNTA($B$9:$B$23)),0))</f>
        <v/>
      </c>
      <c r="EV25" s="151">
        <f>IF(EV7&gt;Setup!$D$7,"",IFERROR(COUNTIF(EV9:FB23,"✓")/(7*COUNTA($B$9:$B$23)),0))</f>
        <v/>
      </c>
      <c r="FC25" s="152">
        <f>IF(FC7&gt;Setup!$D$7,"",IFERROR(COUNTIF(FC9:FI23,"✓")/(7*COUNTA($B$9:$B$23)),0))</f>
        <v/>
      </c>
      <c r="FJ25" s="153">
        <f>IF(FJ7&gt;Setup!$D$7,"",IFERROR(COUNTIF(FJ9:FP23,"✓")/(7*COUNTA($B$9:$B$23)),0))</f>
        <v/>
      </c>
      <c r="FQ25" s="146">
        <f>IF(FQ7&gt;Setup!$D$7,"",IFERROR(COUNTIF(FQ9:FW23,"✓")/(7*COUNTA($B$9:$B$23)),0))</f>
        <v/>
      </c>
      <c r="FX25" s="147">
        <f>IF(FX7&gt;Setup!$D$7,"",IFERROR(COUNTIF(FX9:GD23,"✓")/(7*COUNTA($B$9:$B$23)),0))</f>
        <v/>
      </c>
      <c r="GE25" s="148">
        <f>IF(GE7&gt;Setup!$D$7,"",IFERROR(COUNTIF(GE9:GK23,"✓")/(7*COUNTA($B$9:$B$23)),0))</f>
        <v/>
      </c>
      <c r="GL25" s="149">
        <f>IF(GL7&gt;Setup!$D$7,"",IFERROR(COUNTIF(GL9:GR23,"✓")/(7*COUNTA($B$9:$B$23)),0))</f>
        <v/>
      </c>
      <c r="GS25" s="150">
        <f>IF(GS7&gt;Setup!$D$7,"",IFERROR(COUNTIF(GS9:GY23,"✓")/(7*COUNTA($B$9:$B$23)),0))</f>
        <v/>
      </c>
      <c r="GZ25" s="151">
        <f>IF(GZ7&gt;Setup!$D$7,"",IFERROR(COUNTIF(GZ9:HF23,"✓")/(7*COUNTA($B$9:$B$23)),0))</f>
        <v/>
      </c>
      <c r="HG25" s="152">
        <f>IF(HG7&gt;Setup!$D$7,"",IFERROR(COUNTIF(HG9:HM23,"✓")/(7*COUNTA($B$9:$B$23)),0))</f>
        <v/>
      </c>
      <c r="HN25" s="153">
        <f>IF(HN7&gt;Setup!$D$7,"",IFERROR(COUNTIF(HN9:HT23,"✓")/(7*COUNTA($B$9:$B$23)),0))</f>
        <v/>
      </c>
      <c r="HU25" s="146">
        <f>IF(HU7&gt;Setup!$D$7,"",IFERROR(COUNTIF(HU9:IA23,"✓")/(7*COUNTA($B$9:$B$23)),0))</f>
        <v/>
      </c>
      <c r="IB25" s="147">
        <f>IF(IB7&gt;Setup!$D$7,"",IFERROR(COUNTIF(IB9:IH23,"✓")/(7*COUNTA($B$9:$B$23)),0))</f>
        <v/>
      </c>
      <c r="II25" s="148">
        <f>IF(II7&gt;Setup!$D$7,"",IFERROR(COUNTIF(II9:IO23,"✓")/(7*COUNTA($B$9:$B$23)),0))</f>
        <v/>
      </c>
      <c r="IP25" s="149">
        <f>IF(IP7&gt;Setup!$D$7,"",IFERROR(COUNTIF(IP9:IV23,"✓")/(7*COUNTA($B$9:$B$23)),0))</f>
        <v/>
      </c>
      <c r="IW25" s="150">
        <f>IF(IW7&gt;Setup!$D$7,"",IFERROR(COUNTIF(IW9:JC23,"✓")/(7*COUNTA($B$9:$B$23)),0))</f>
        <v/>
      </c>
      <c r="JD25" s="151">
        <f>IF(JD7&gt;Setup!$D$7,"",IFERROR(COUNTIF(JD9:JJ23,"✓")/(7*COUNTA($B$9:$B$23)),0))</f>
        <v/>
      </c>
      <c r="JK25" s="152">
        <f>IF(JK7&gt;Setup!$D$7,"",IFERROR(COUNTIF(JK9:JQ23,"✓")/(7*COUNTA($B$9:$B$23)),0))</f>
        <v/>
      </c>
      <c r="JR25" s="153">
        <f>IF(JR7&gt;Setup!$D$7,"",IFERROR(COUNTIF(JR9:JX23,"✓")/(7*COUNTA($B$9:$B$23)),0))</f>
        <v/>
      </c>
      <c r="JY25" s="146">
        <f>IF(JY7&gt;Setup!$D$7,"",IFERROR(COUNTIF(JY9:KE23,"✓")/(7*COUNTA($B$9:$B$23)),0))</f>
        <v/>
      </c>
      <c r="KF25" s="147">
        <f>IF(KF7&gt;Setup!$D$7,"",IFERROR(COUNTIF(KF9:KL23,"✓")/(7*COUNTA($B$9:$B$23)),0))</f>
        <v/>
      </c>
      <c r="KM25" s="148">
        <f>IF(KM7&gt;Setup!$D$7,"",IFERROR(COUNTIF(KM9:KS23,"✓")/(7*COUNTA($B$9:$B$23)),0))</f>
        <v/>
      </c>
      <c r="KT25" s="149">
        <f>IF(KT7&gt;Setup!$D$7,"",IFERROR(COUNTIF(KT9:KZ23,"✓")/(7*COUNTA($B$9:$B$23)),0))</f>
        <v/>
      </c>
      <c r="LA25" s="150">
        <f>IF(LA7&gt;Setup!$D$7,"",IFERROR(COUNTIF(LA9:LG23,"✓")/(7*COUNTA($B$9:$B$23)),0))</f>
        <v/>
      </c>
      <c r="LH25" s="151">
        <f>IF(LH7&gt;Setup!$D$7,"",IFERROR(COUNTIF(LH9:LN23,"✓")/(7*COUNTA($B$9:$B$23)),0))</f>
        <v/>
      </c>
      <c r="LO25" s="152">
        <f>IF(LO7&gt;Setup!$D$7,"",IFERROR(COUNTIF(LO9:LU23,"✓")/(7*COUNTA($B$9:$B$23)),0))</f>
        <v/>
      </c>
      <c r="LV25" s="153">
        <f>IF(LV7&gt;Setup!$D$7,"",IFERROR(COUNTIF(LV9:MB23,"✓")/(7*COUNTA($B$9:$B$23)),0))</f>
        <v/>
      </c>
      <c r="MC25" s="146">
        <f>IF(MC7&gt;Setup!$D$7,"",IFERROR(COUNTIF(MC9:MI23,"✓")/(7*COUNTA($B$9:$B$23)),0))</f>
        <v/>
      </c>
      <c r="MJ25" s="147">
        <f>IF(MJ7&gt;Setup!$D$7,"",IFERROR(COUNTIF(MJ9:MP23,"✓")/(7*COUNTA($B$9:$B$23)),0))</f>
        <v/>
      </c>
      <c r="MQ25" s="148">
        <f>IF(MQ7&gt;Setup!$D$7,"",IFERROR(COUNTIF(MQ9:MW23,"✓")/(7*COUNTA($B$9:$B$23)),0))</f>
        <v/>
      </c>
      <c r="MX25" s="149">
        <f>IF(MX7&gt;Setup!$D$7,"",IFERROR(COUNTIF(MX9:ND23,"✓")/(7*COUNTA($B$9:$B$23)),0))</f>
        <v/>
      </c>
      <c r="NE25" s="1" t="n"/>
      <c r="NF25" s="1" t="n"/>
      <c r="NG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  <c r="EI26" s="1" t="n"/>
      <c r="EJ26" s="1" t="n"/>
      <c r="EK26" s="1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  <c r="GS26" s="1" t="n"/>
      <c r="GT26" s="1" t="n"/>
      <c r="GU26" s="1" t="n"/>
      <c r="GV26" s="1" t="n"/>
      <c r="GW26" s="1" t="n"/>
      <c r="GX26" s="1" t="n"/>
      <c r="GY26" s="1" t="n"/>
      <c r="GZ26" s="1" t="n"/>
      <c r="HA26" s="1" t="n"/>
      <c r="HB26" s="1" t="n"/>
      <c r="HC26" s="1" t="n"/>
      <c r="HD26" s="1" t="n"/>
      <c r="HE26" s="1" t="n"/>
      <c r="HF26" s="1" t="n"/>
      <c r="HG26" s="1" t="n"/>
      <c r="HH26" s="1" t="n"/>
      <c r="HI26" s="1" t="n"/>
      <c r="HJ26" s="1" t="n"/>
      <c r="HK26" s="1" t="n"/>
      <c r="HL26" s="1" t="n"/>
      <c r="HM26" s="1" t="n"/>
      <c r="HN26" s="1" t="n"/>
      <c r="HO26" s="1" t="n"/>
      <c r="HP26" s="1" t="n"/>
      <c r="HQ26" s="1" t="n"/>
      <c r="HR26" s="1" t="n"/>
      <c r="HS26" s="1" t="n"/>
      <c r="HT26" s="1" t="n"/>
      <c r="HU26" s="1" t="n"/>
      <c r="HV26" s="1" t="n"/>
      <c r="HW26" s="1" t="n"/>
      <c r="HX26" s="1" t="n"/>
      <c r="HY26" s="1" t="n"/>
      <c r="HZ26" s="1" t="n"/>
      <c r="IA26" s="1" t="n"/>
      <c r="IB26" s="1" t="n"/>
      <c r="IC26" s="1" t="n"/>
      <c r="ID26" s="1" t="n"/>
      <c r="IE26" s="1" t="n"/>
      <c r="IF26" s="1" t="n"/>
      <c r="IG26" s="1" t="n"/>
      <c r="IH26" s="1" t="n"/>
      <c r="II26" s="1" t="n"/>
      <c r="IJ26" s="1" t="n"/>
      <c r="IK26" s="1" t="n"/>
      <c r="IL26" s="1" t="n"/>
      <c r="IM26" s="1" t="n"/>
      <c r="IN26" s="1" t="n"/>
      <c r="IO26" s="1" t="n"/>
      <c r="IP26" s="1" t="n"/>
      <c r="IQ26" s="1" t="n"/>
      <c r="IR26" s="1" t="n"/>
      <c r="IS26" s="1" t="n"/>
      <c r="IT26" s="1" t="n"/>
      <c r="IU26" s="1" t="n"/>
      <c r="IV26" s="1" t="n"/>
      <c r="IW26" s="1" t="n"/>
      <c r="IX26" s="1" t="n"/>
      <c r="IY26" s="1" t="n"/>
      <c r="IZ26" s="1" t="n"/>
      <c r="JA26" s="1" t="n"/>
      <c r="JB26" s="1" t="n"/>
      <c r="JC26" s="1" t="n"/>
      <c r="JD26" s="1" t="n"/>
      <c r="JE26" s="1" t="n"/>
      <c r="JF26" s="1" t="n"/>
      <c r="JG26" s="1" t="n"/>
      <c r="JH26" s="1" t="n"/>
      <c r="JI26" s="1" t="n"/>
      <c r="JJ26" s="1" t="n"/>
      <c r="JK26" s="1" t="n"/>
      <c r="JL26" s="1" t="n"/>
      <c r="JM26" s="1" t="n"/>
      <c r="JN26" s="1" t="n"/>
      <c r="JO26" s="1" t="n"/>
      <c r="JP26" s="1" t="n"/>
      <c r="JQ26" s="1" t="n"/>
      <c r="JR26" s="1" t="n"/>
      <c r="JS26" s="1" t="n"/>
      <c r="JT26" s="1" t="n"/>
      <c r="JU26" s="1" t="n"/>
      <c r="JV26" s="1" t="n"/>
      <c r="JW26" s="1" t="n"/>
      <c r="JX26" s="1" t="n"/>
      <c r="JY26" s="1" t="n"/>
      <c r="JZ26" s="1" t="n"/>
      <c r="KA26" s="1" t="n"/>
      <c r="KB26" s="1" t="n"/>
      <c r="KC26" s="1" t="n"/>
      <c r="KD26" s="1" t="n"/>
      <c r="KE26" s="1" t="n"/>
      <c r="KF26" s="1" t="n"/>
      <c r="KG26" s="1" t="n"/>
      <c r="KH26" s="1" t="n"/>
      <c r="KI26" s="1" t="n"/>
      <c r="KJ26" s="1" t="n"/>
      <c r="KK26" s="1" t="n"/>
      <c r="KL26" s="1" t="n"/>
      <c r="KM26" s="1" t="n"/>
      <c r="KN26" s="1" t="n"/>
      <c r="KO26" s="1" t="n"/>
      <c r="KP26" s="1" t="n"/>
      <c r="KQ26" s="1" t="n"/>
      <c r="KR26" s="1" t="n"/>
      <c r="KS26" s="1" t="n"/>
      <c r="KT26" s="1" t="n"/>
      <c r="KU26" s="1" t="n"/>
      <c r="KV26" s="1" t="n"/>
      <c r="KW26" s="1" t="n"/>
      <c r="KX26" s="1" t="n"/>
      <c r="KY26" s="1" t="n"/>
      <c r="KZ26" s="1" t="n"/>
      <c r="LA26" s="1" t="n"/>
      <c r="LB26" s="1" t="n"/>
      <c r="LC26" s="1" t="n"/>
      <c r="LD26" s="1" t="n"/>
      <c r="LE26" s="1" t="n"/>
      <c r="LF26" s="1" t="n"/>
      <c r="LG26" s="1" t="n"/>
      <c r="LH26" s="1" t="n"/>
      <c r="LI26" s="1" t="n"/>
      <c r="LJ26" s="1" t="n"/>
      <c r="LK26" s="1" t="n"/>
      <c r="LL26" s="1" t="n"/>
      <c r="LM26" s="1" t="n"/>
      <c r="LN26" s="1" t="n"/>
      <c r="LO26" s="1" t="n"/>
      <c r="LP26" s="1" t="n"/>
      <c r="LQ26" s="1" t="n"/>
      <c r="LR26" s="1" t="n"/>
      <c r="LS26" s="1" t="n"/>
      <c r="LT26" s="1" t="n"/>
      <c r="LU26" s="1" t="n"/>
      <c r="LV26" s="1" t="n"/>
      <c r="LW26" s="1" t="n"/>
      <c r="LX26" s="1" t="n"/>
      <c r="LY26" s="1" t="n"/>
      <c r="LZ26" s="1" t="n"/>
      <c r="MA26" s="1" t="n"/>
      <c r="MB26" s="1" t="n"/>
      <c r="MC26" s="1" t="n"/>
      <c r="MD26" s="1" t="n"/>
      <c r="ME26" s="1" t="n"/>
      <c r="MF26" s="1" t="n"/>
      <c r="MG26" s="1" t="n"/>
      <c r="MH26" s="1" t="n"/>
      <c r="MI26" s="1" t="n"/>
      <c r="MJ26" s="1" t="n"/>
      <c r="MK26" s="1" t="n"/>
      <c r="ML26" s="1" t="n"/>
      <c r="MM26" s="1" t="n"/>
      <c r="MN26" s="1" t="n"/>
      <c r="MO26" s="1" t="n"/>
      <c r="MP26" s="1" t="n"/>
      <c r="MQ26" s="1" t="n"/>
      <c r="MR26" s="1" t="n"/>
      <c r="MS26" s="1" t="n"/>
      <c r="MT26" s="1" t="n"/>
      <c r="MU26" s="1" t="n"/>
      <c r="MV26" s="1" t="n"/>
      <c r="MW26" s="1" t="n"/>
      <c r="MX26" s="1" t="n"/>
      <c r="MY26" s="1" t="n"/>
      <c r="MZ26" s="1" t="n"/>
      <c r="NA26" s="1" t="n"/>
      <c r="NB26" s="1" t="n"/>
      <c r="NC26" s="1" t="n"/>
      <c r="ND26" s="1" t="n"/>
      <c r="NE26" s="1" t="n"/>
      <c r="NF26" s="1" t="n"/>
      <c r="NG26" s="1" t="n"/>
    </row>
    <row r="27">
      <c r="A27" s="1" t="n"/>
      <c r="B27" s="43" t="inlineStr">
        <is>
          <t>MOOD TRACKER</t>
        </is>
      </c>
      <c r="C27" s="44" t="n"/>
      <c r="D27" s="44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  <c r="EI27" s="1" t="n"/>
      <c r="EJ27" s="1" t="n"/>
      <c r="EK27" s="1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  <c r="GS27" s="1" t="n"/>
      <c r="GT27" s="1" t="n"/>
      <c r="GU27" s="1" t="n"/>
      <c r="GV27" s="1" t="n"/>
      <c r="GW27" s="1" t="n"/>
      <c r="GX27" s="1" t="n"/>
      <c r="GY27" s="1" t="n"/>
      <c r="GZ27" s="1" t="n"/>
      <c r="HA27" s="1" t="n"/>
      <c r="HB27" s="1" t="n"/>
      <c r="HC27" s="1" t="n"/>
      <c r="HD27" s="1" t="n"/>
      <c r="HE27" s="1" t="n"/>
      <c r="HF27" s="1" t="n"/>
      <c r="HG27" s="1" t="n"/>
      <c r="HH27" s="1" t="n"/>
      <c r="HI27" s="1" t="n"/>
      <c r="HJ27" s="1" t="n"/>
      <c r="HK27" s="1" t="n"/>
      <c r="HL27" s="1" t="n"/>
      <c r="HM27" s="1" t="n"/>
      <c r="HN27" s="1" t="n"/>
      <c r="HO27" s="1" t="n"/>
      <c r="HP27" s="1" t="n"/>
      <c r="HQ27" s="1" t="n"/>
      <c r="HR27" s="1" t="n"/>
      <c r="HS27" s="1" t="n"/>
      <c r="HT27" s="1" t="n"/>
      <c r="HU27" s="1" t="n"/>
      <c r="HV27" s="1" t="n"/>
      <c r="HW27" s="1" t="n"/>
      <c r="HX27" s="1" t="n"/>
      <c r="HY27" s="1" t="n"/>
      <c r="HZ27" s="1" t="n"/>
      <c r="IA27" s="1" t="n"/>
      <c r="IB27" s="1" t="n"/>
      <c r="IC27" s="1" t="n"/>
      <c r="ID27" s="1" t="n"/>
      <c r="IE27" s="1" t="n"/>
      <c r="IF27" s="1" t="n"/>
      <c r="IG27" s="1" t="n"/>
      <c r="IH27" s="1" t="n"/>
      <c r="II27" s="1" t="n"/>
      <c r="IJ27" s="1" t="n"/>
      <c r="IK27" s="1" t="n"/>
      <c r="IL27" s="1" t="n"/>
      <c r="IM27" s="1" t="n"/>
      <c r="IN27" s="1" t="n"/>
      <c r="IO27" s="1" t="n"/>
      <c r="IP27" s="1" t="n"/>
      <c r="IQ27" s="1" t="n"/>
      <c r="IR27" s="1" t="n"/>
      <c r="IS27" s="1" t="n"/>
      <c r="IT27" s="1" t="n"/>
      <c r="IU27" s="1" t="n"/>
      <c r="IV27" s="1" t="n"/>
      <c r="IW27" s="1" t="n"/>
      <c r="IX27" s="1" t="n"/>
      <c r="IY27" s="1" t="n"/>
      <c r="IZ27" s="1" t="n"/>
      <c r="JA27" s="1" t="n"/>
      <c r="JB27" s="1" t="n"/>
      <c r="JC27" s="1" t="n"/>
      <c r="JD27" s="1" t="n"/>
      <c r="JE27" s="1" t="n"/>
      <c r="JF27" s="1" t="n"/>
      <c r="JG27" s="1" t="n"/>
      <c r="JH27" s="1" t="n"/>
      <c r="JI27" s="1" t="n"/>
      <c r="JJ27" s="1" t="n"/>
      <c r="JK27" s="1" t="n"/>
      <c r="JL27" s="1" t="n"/>
      <c r="JM27" s="1" t="n"/>
      <c r="JN27" s="1" t="n"/>
      <c r="JO27" s="1" t="n"/>
      <c r="JP27" s="1" t="n"/>
      <c r="JQ27" s="1" t="n"/>
      <c r="JR27" s="1" t="n"/>
      <c r="JS27" s="1" t="n"/>
      <c r="JT27" s="1" t="n"/>
      <c r="JU27" s="1" t="n"/>
      <c r="JV27" s="1" t="n"/>
      <c r="JW27" s="1" t="n"/>
      <c r="JX27" s="1" t="n"/>
      <c r="JY27" s="1" t="n"/>
      <c r="JZ27" s="1" t="n"/>
      <c r="KA27" s="1" t="n"/>
      <c r="KB27" s="1" t="n"/>
      <c r="KC27" s="1" t="n"/>
      <c r="KD27" s="1" t="n"/>
      <c r="KE27" s="1" t="n"/>
      <c r="KF27" s="1" t="n"/>
      <c r="KG27" s="1" t="n"/>
      <c r="KH27" s="1" t="n"/>
      <c r="KI27" s="1" t="n"/>
      <c r="KJ27" s="1" t="n"/>
      <c r="KK27" s="1" t="n"/>
      <c r="KL27" s="1" t="n"/>
      <c r="KM27" s="1" t="n"/>
      <c r="KN27" s="1" t="n"/>
      <c r="KO27" s="1" t="n"/>
      <c r="KP27" s="1" t="n"/>
      <c r="KQ27" s="1" t="n"/>
      <c r="KR27" s="1" t="n"/>
      <c r="KS27" s="1" t="n"/>
      <c r="KT27" s="1" t="n"/>
      <c r="KU27" s="1" t="n"/>
      <c r="KV27" s="1" t="n"/>
      <c r="KW27" s="1" t="n"/>
      <c r="KX27" s="1" t="n"/>
      <c r="KY27" s="1" t="n"/>
      <c r="KZ27" s="1" t="n"/>
      <c r="LA27" s="1" t="n"/>
      <c r="LB27" s="1" t="n"/>
      <c r="LC27" s="1" t="n"/>
      <c r="LD27" s="1" t="n"/>
      <c r="LE27" s="1" t="n"/>
      <c r="LF27" s="1" t="n"/>
      <c r="LG27" s="1" t="n"/>
      <c r="LH27" s="1" t="n"/>
      <c r="LI27" s="1" t="n"/>
      <c r="LJ27" s="1" t="n"/>
      <c r="LK27" s="1" t="n"/>
      <c r="LL27" s="1" t="n"/>
      <c r="LM27" s="1" t="n"/>
      <c r="LN27" s="1" t="n"/>
      <c r="LO27" s="1" t="n"/>
      <c r="LP27" s="1" t="n"/>
      <c r="LQ27" s="1" t="n"/>
      <c r="LR27" s="1" t="n"/>
      <c r="LS27" s="1" t="n"/>
      <c r="LT27" s="1" t="n"/>
      <c r="LU27" s="1" t="n"/>
      <c r="LV27" s="1" t="n"/>
      <c r="LW27" s="1" t="n"/>
      <c r="LX27" s="1" t="n"/>
      <c r="LY27" s="1" t="n"/>
      <c r="LZ27" s="1" t="n"/>
      <c r="MA27" s="1" t="n"/>
      <c r="MB27" s="1" t="n"/>
      <c r="MC27" s="1" t="n"/>
      <c r="MD27" s="1" t="n"/>
      <c r="ME27" s="1" t="n"/>
      <c r="MF27" s="1" t="n"/>
      <c r="MG27" s="1" t="n"/>
      <c r="MH27" s="1" t="n"/>
      <c r="MI27" s="1" t="n"/>
      <c r="MJ27" s="1" t="n"/>
      <c r="MK27" s="1" t="n"/>
      <c r="ML27" s="1" t="n"/>
      <c r="MM27" s="1" t="n"/>
      <c r="MN27" s="1" t="n"/>
      <c r="MO27" s="1" t="n"/>
      <c r="MP27" s="1" t="n"/>
      <c r="MQ27" s="1" t="n"/>
      <c r="MR27" s="1" t="n"/>
      <c r="MS27" s="1" t="n"/>
      <c r="MT27" s="1" t="n"/>
      <c r="MU27" s="1" t="n"/>
      <c r="MV27" s="1" t="n"/>
      <c r="MW27" s="1" t="n"/>
      <c r="MX27" s="1" t="n"/>
      <c r="MY27" s="1" t="n"/>
      <c r="MZ27" s="1" t="n"/>
      <c r="NA27" s="1" t="n"/>
      <c r="NB27" s="1" t="n"/>
      <c r="NC27" s="1" t="n"/>
      <c r="ND27" s="1" t="n"/>
      <c r="NE27" s="1" t="n"/>
      <c r="NF27" s="1" t="n"/>
      <c r="NG27" s="1" t="n"/>
    </row>
    <row r="28">
      <c r="A28" s="1" t="n"/>
      <c r="B28" s="110" t="inlineStr">
        <is>
          <t>Mood score (1 = really bad … 5 = really good)</t>
        </is>
      </c>
      <c r="C28" s="154">
        <f>IFERROR(AVERAGE(E28:ND28),"")</f>
        <v/>
      </c>
      <c r="D28" s="141" t="inlineStr">
        <is>
          <t>yearly avg</t>
        </is>
      </c>
      <c r="E28" s="155" t="n">
        <v>5</v>
      </c>
      <c r="F28" s="155" t="n">
        <v>4</v>
      </c>
      <c r="G28" s="155" t="n">
        <v>5</v>
      </c>
      <c r="H28" s="155" t="n">
        <v>4</v>
      </c>
      <c r="I28" s="155" t="n">
        <v>3</v>
      </c>
      <c r="J28" s="155" t="n">
        <v>3</v>
      </c>
      <c r="K28" s="155" t="n">
        <v>5</v>
      </c>
      <c r="L28" s="155" t="n">
        <v>4</v>
      </c>
      <c r="M28" s="155" t="n">
        <v>5</v>
      </c>
      <c r="N28" s="155" t="n">
        <v>4</v>
      </c>
      <c r="O28" s="155" t="n">
        <v>4</v>
      </c>
      <c r="P28" s="155" t="n">
        <v>5</v>
      </c>
      <c r="Q28" s="155" t="n">
        <v>4</v>
      </c>
      <c r="R28" s="155" t="n">
        <v>4</v>
      </c>
      <c r="S28" s="155" t="n">
        <v>3</v>
      </c>
      <c r="T28" s="155" t="n">
        <v>4</v>
      </c>
      <c r="U28" s="155" t="n">
        <v>3</v>
      </c>
      <c r="V28" s="155" t="n">
        <v>4</v>
      </c>
      <c r="W28" s="155" t="n">
        <v>5</v>
      </c>
      <c r="X28" s="155" t="n">
        <v>4</v>
      </c>
      <c r="Y28" s="155" t="n">
        <v>4</v>
      </c>
      <c r="Z28" s="155" t="n">
        <v>2</v>
      </c>
      <c r="AA28" s="155" t="n">
        <v>4</v>
      </c>
      <c r="AB28" s="155" t="n">
        <v>5</v>
      </c>
      <c r="AC28" s="155" t="n">
        <v>4</v>
      </c>
      <c r="AD28" s="155" t="n">
        <v>2</v>
      </c>
      <c r="AE28" s="155" t="n">
        <v>4</v>
      </c>
      <c r="AF28" s="155" t="n">
        <v>5</v>
      </c>
      <c r="AG28" s="155" t="n">
        <v>2</v>
      </c>
      <c r="AH28" s="155" t="n"/>
      <c r="AI28" s="155" t="n"/>
      <c r="AJ28" s="155" t="n"/>
      <c r="AK28" s="155" t="n"/>
      <c r="AL28" s="155" t="n"/>
      <c r="AM28" s="155" t="n"/>
      <c r="AN28" s="155" t="n"/>
      <c r="AO28" s="155" t="n"/>
      <c r="AP28" s="155" t="n"/>
      <c r="AQ28" s="155" t="n"/>
      <c r="AR28" s="155" t="n"/>
      <c r="AS28" s="155" t="n"/>
      <c r="AT28" s="155" t="n"/>
      <c r="AU28" s="155" t="n"/>
      <c r="AV28" s="155" t="n"/>
      <c r="AW28" s="155" t="n"/>
      <c r="AX28" s="155" t="n"/>
      <c r="AY28" s="155" t="n"/>
      <c r="AZ28" s="155" t="n"/>
      <c r="BA28" s="155" t="n"/>
      <c r="BB28" s="155" t="n"/>
      <c r="BC28" s="155" t="n"/>
      <c r="BD28" s="155" t="n"/>
      <c r="BE28" s="155" t="n"/>
      <c r="BF28" s="155" t="n"/>
      <c r="BG28" s="155" t="n"/>
      <c r="BH28" s="155" t="n"/>
      <c r="BI28" s="155" t="n"/>
      <c r="BJ28" s="155" t="n"/>
      <c r="BK28" s="155" t="n"/>
      <c r="BL28" s="155" t="n"/>
      <c r="BM28" s="155" t="n"/>
      <c r="BN28" s="155" t="n"/>
      <c r="BO28" s="155" t="n"/>
      <c r="BP28" s="155" t="n"/>
      <c r="BQ28" s="155" t="n"/>
      <c r="BR28" s="155" t="n"/>
      <c r="BS28" s="155" t="n"/>
      <c r="BT28" s="155" t="n"/>
      <c r="BU28" s="155" t="n"/>
      <c r="BV28" s="155" t="n"/>
      <c r="BW28" s="155" t="n"/>
      <c r="BX28" s="155" t="n"/>
      <c r="BY28" s="155" t="n"/>
      <c r="BZ28" s="155" t="n"/>
      <c r="CA28" s="155" t="n"/>
      <c r="CB28" s="155" t="n"/>
      <c r="CC28" s="155" t="n"/>
      <c r="CD28" s="155" t="n"/>
      <c r="CE28" s="155" t="n"/>
      <c r="CF28" s="155" t="n"/>
      <c r="CG28" s="155" t="n"/>
      <c r="CH28" s="155" t="n"/>
      <c r="CI28" s="155" t="n"/>
      <c r="CJ28" s="155" t="n"/>
      <c r="CK28" s="155" t="n"/>
      <c r="CL28" s="155" t="n"/>
      <c r="CM28" s="155" t="n"/>
      <c r="CN28" s="155" t="n"/>
      <c r="CO28" s="155" t="n"/>
      <c r="CP28" s="155" t="n"/>
      <c r="CQ28" s="155" t="n"/>
      <c r="CR28" s="155" t="n"/>
      <c r="CS28" s="155" t="n"/>
      <c r="CT28" s="155" t="n"/>
      <c r="CU28" s="155" t="n"/>
      <c r="CV28" s="155" t="n"/>
      <c r="CW28" s="155" t="n"/>
      <c r="CX28" s="155" t="n"/>
      <c r="CY28" s="155" t="n"/>
      <c r="CZ28" s="155" t="n"/>
      <c r="DA28" s="155" t="n"/>
      <c r="DB28" s="155" t="n"/>
      <c r="DC28" s="155" t="n"/>
      <c r="DD28" s="155" t="n"/>
      <c r="DE28" s="155" t="n"/>
      <c r="DF28" s="155" t="n"/>
      <c r="DG28" s="155" t="n"/>
      <c r="DH28" s="155" t="n"/>
      <c r="DI28" s="155" t="n"/>
      <c r="DJ28" s="155" t="n"/>
      <c r="DK28" s="155" t="n"/>
      <c r="DL28" s="155" t="n"/>
      <c r="DM28" s="155" t="n"/>
      <c r="DN28" s="155" t="n"/>
      <c r="DO28" s="155" t="n"/>
      <c r="DP28" s="155" t="n"/>
      <c r="DQ28" s="155" t="n"/>
      <c r="DR28" s="155" t="n"/>
      <c r="DS28" s="155" t="n"/>
      <c r="DT28" s="155" t="n"/>
      <c r="DU28" s="155" t="n"/>
      <c r="DV28" s="155" t="n"/>
      <c r="DW28" s="155" t="n"/>
      <c r="DX28" s="155" t="n"/>
      <c r="DY28" s="155" t="n"/>
      <c r="DZ28" s="155" t="n"/>
      <c r="EA28" s="155" t="n"/>
      <c r="EB28" s="155" t="n"/>
      <c r="EC28" s="155" t="n"/>
      <c r="ED28" s="155" t="n"/>
      <c r="EE28" s="155" t="n"/>
      <c r="EF28" s="155" t="n"/>
      <c r="EG28" s="155" t="n"/>
      <c r="EH28" s="155" t="n"/>
      <c r="EI28" s="155" t="n"/>
      <c r="EJ28" s="155" t="n"/>
      <c r="EK28" s="155" t="n"/>
      <c r="EL28" s="155" t="n"/>
      <c r="EM28" s="155" t="n"/>
      <c r="EN28" s="155" t="n"/>
      <c r="EO28" s="155" t="n"/>
      <c r="EP28" s="155" t="n"/>
      <c r="EQ28" s="155" t="n"/>
      <c r="ER28" s="155" t="n"/>
      <c r="ES28" s="155" t="n"/>
      <c r="ET28" s="155" t="n"/>
      <c r="EU28" s="155" t="n"/>
      <c r="EV28" s="155" t="n"/>
      <c r="EW28" s="155" t="n"/>
      <c r="EX28" s="155" t="n"/>
      <c r="EY28" s="155" t="n"/>
      <c r="EZ28" s="155" t="n"/>
      <c r="FA28" s="155" t="n"/>
      <c r="FB28" s="155" t="n"/>
      <c r="FC28" s="155" t="n"/>
      <c r="FD28" s="155" t="n"/>
      <c r="FE28" s="155" t="n"/>
      <c r="FF28" s="155" t="n"/>
      <c r="FG28" s="155" t="n"/>
      <c r="FH28" s="155" t="n"/>
      <c r="FI28" s="155" t="n"/>
      <c r="FJ28" s="155" t="n"/>
      <c r="FK28" s="155" t="n"/>
      <c r="FL28" s="155" t="n"/>
      <c r="FM28" s="155" t="n"/>
      <c r="FN28" s="155" t="n"/>
      <c r="FO28" s="155" t="n"/>
      <c r="FP28" s="155" t="n"/>
      <c r="FQ28" s="155" t="n"/>
      <c r="FR28" s="155" t="n"/>
      <c r="FS28" s="155" t="n"/>
      <c r="FT28" s="155" t="n"/>
      <c r="FU28" s="155" t="n"/>
      <c r="FV28" s="155" t="n"/>
      <c r="FW28" s="155" t="n"/>
      <c r="FX28" s="155" t="n"/>
      <c r="FY28" s="155" t="n"/>
      <c r="FZ28" s="155" t="n"/>
      <c r="GA28" s="155" t="n"/>
      <c r="GB28" s="155" t="n"/>
      <c r="GC28" s="155" t="n"/>
      <c r="GD28" s="155" t="n"/>
      <c r="GE28" s="155" t="n"/>
      <c r="GF28" s="155" t="n"/>
      <c r="GG28" s="155" t="n"/>
      <c r="GH28" s="155" t="n"/>
      <c r="GI28" s="155" t="n"/>
      <c r="GJ28" s="155" t="n"/>
      <c r="GK28" s="155" t="n"/>
      <c r="GL28" s="155" t="n"/>
      <c r="GM28" s="155" t="n"/>
      <c r="GN28" s="155" t="n"/>
      <c r="GO28" s="155" t="n"/>
      <c r="GP28" s="155" t="n"/>
      <c r="GQ28" s="155" t="n"/>
      <c r="GR28" s="155" t="n"/>
      <c r="GS28" s="155" t="n"/>
      <c r="GT28" s="155" t="n"/>
      <c r="GU28" s="155" t="n"/>
      <c r="GV28" s="155" t="n"/>
      <c r="GW28" s="155" t="n"/>
      <c r="GX28" s="155" t="n"/>
      <c r="GY28" s="155" t="n"/>
      <c r="GZ28" s="155" t="n"/>
      <c r="HA28" s="155" t="n"/>
      <c r="HB28" s="155" t="n"/>
      <c r="HC28" s="155" t="n"/>
      <c r="HD28" s="155" t="n"/>
      <c r="HE28" s="155" t="n"/>
      <c r="HF28" s="155" t="n"/>
      <c r="HG28" s="155" t="n"/>
      <c r="HH28" s="155" t="n"/>
      <c r="HI28" s="155" t="n"/>
      <c r="HJ28" s="155" t="n"/>
      <c r="HK28" s="155" t="n"/>
      <c r="HL28" s="155" t="n"/>
      <c r="HM28" s="155" t="n"/>
      <c r="HN28" s="155" t="n"/>
      <c r="HO28" s="155" t="n"/>
      <c r="HP28" s="155" t="n"/>
      <c r="HQ28" s="155" t="n"/>
      <c r="HR28" s="155" t="n"/>
      <c r="HS28" s="155" t="n"/>
      <c r="HT28" s="155" t="n"/>
      <c r="HU28" s="155" t="n"/>
      <c r="HV28" s="155" t="n"/>
      <c r="HW28" s="155" t="n"/>
      <c r="HX28" s="155" t="n"/>
      <c r="HY28" s="155" t="n"/>
      <c r="HZ28" s="155" t="n"/>
      <c r="IA28" s="155" t="n"/>
      <c r="IB28" s="155" t="n"/>
      <c r="IC28" s="155" t="n"/>
      <c r="ID28" s="155" t="n"/>
      <c r="IE28" s="155" t="n"/>
      <c r="IF28" s="155" t="n"/>
      <c r="IG28" s="155" t="n"/>
      <c r="IH28" s="155" t="n"/>
      <c r="II28" s="155" t="n"/>
      <c r="IJ28" s="155" t="n"/>
      <c r="IK28" s="155" t="n"/>
      <c r="IL28" s="155" t="n"/>
      <c r="IM28" s="155" t="n"/>
      <c r="IN28" s="155" t="n"/>
      <c r="IO28" s="155" t="n"/>
      <c r="IP28" s="155" t="n"/>
      <c r="IQ28" s="155" t="n"/>
      <c r="IR28" s="155" t="n"/>
      <c r="IS28" s="155" t="n"/>
      <c r="IT28" s="155" t="n"/>
      <c r="IU28" s="155" t="n"/>
      <c r="IV28" s="155" t="n"/>
      <c r="IW28" s="155" t="n"/>
      <c r="IX28" s="155" t="n"/>
      <c r="IY28" s="155" t="n"/>
      <c r="IZ28" s="155" t="n"/>
      <c r="JA28" s="155" t="n"/>
      <c r="JB28" s="155" t="n"/>
      <c r="JC28" s="155" t="n"/>
      <c r="JD28" s="155" t="n"/>
      <c r="JE28" s="155" t="n"/>
      <c r="JF28" s="155" t="n"/>
      <c r="JG28" s="155" t="n"/>
      <c r="JH28" s="155" t="n"/>
      <c r="JI28" s="155" t="n"/>
      <c r="JJ28" s="155" t="n"/>
      <c r="JK28" s="155" t="n"/>
      <c r="JL28" s="155" t="n"/>
      <c r="JM28" s="155" t="n"/>
      <c r="JN28" s="155" t="n"/>
      <c r="JO28" s="155" t="n"/>
      <c r="JP28" s="155" t="n"/>
      <c r="JQ28" s="155" t="n"/>
      <c r="JR28" s="155" t="n"/>
      <c r="JS28" s="155" t="n"/>
      <c r="JT28" s="155" t="n"/>
      <c r="JU28" s="155" t="n"/>
      <c r="JV28" s="155" t="n"/>
      <c r="JW28" s="155" t="n"/>
      <c r="JX28" s="155" t="n"/>
      <c r="JY28" s="155" t="n"/>
      <c r="JZ28" s="155" t="n"/>
      <c r="KA28" s="155" t="n"/>
      <c r="KB28" s="155" t="n"/>
      <c r="KC28" s="155" t="n"/>
      <c r="KD28" s="155" t="n"/>
      <c r="KE28" s="155" t="n"/>
      <c r="KF28" s="155" t="n"/>
      <c r="KG28" s="155" t="n"/>
      <c r="KH28" s="155" t="n"/>
      <c r="KI28" s="155" t="n"/>
      <c r="KJ28" s="155" t="n"/>
      <c r="KK28" s="155" t="n"/>
      <c r="KL28" s="155" t="n"/>
      <c r="KM28" s="155" t="n"/>
      <c r="KN28" s="155" t="n"/>
      <c r="KO28" s="155" t="n"/>
      <c r="KP28" s="155" t="n"/>
      <c r="KQ28" s="155" t="n"/>
      <c r="KR28" s="155" t="n"/>
      <c r="KS28" s="155" t="n"/>
      <c r="KT28" s="155" t="n"/>
      <c r="KU28" s="155" t="n"/>
      <c r="KV28" s="155" t="n"/>
      <c r="KW28" s="155" t="n"/>
      <c r="KX28" s="155" t="n"/>
      <c r="KY28" s="155" t="n"/>
      <c r="KZ28" s="155" t="n"/>
      <c r="LA28" s="155" t="n"/>
      <c r="LB28" s="155" t="n"/>
      <c r="LC28" s="155" t="n"/>
      <c r="LD28" s="155" t="n"/>
      <c r="LE28" s="155" t="n"/>
      <c r="LF28" s="155" t="n"/>
      <c r="LG28" s="155" t="n"/>
      <c r="LH28" s="155" t="n"/>
      <c r="LI28" s="155" t="n"/>
      <c r="LJ28" s="155" t="n"/>
      <c r="LK28" s="155" t="n"/>
      <c r="LL28" s="155" t="n"/>
      <c r="LM28" s="155" t="n"/>
      <c r="LN28" s="155" t="n"/>
      <c r="LO28" s="155" t="n"/>
      <c r="LP28" s="155" t="n"/>
      <c r="LQ28" s="155" t="n"/>
      <c r="LR28" s="155" t="n"/>
      <c r="LS28" s="155" t="n"/>
      <c r="LT28" s="155" t="n"/>
      <c r="LU28" s="155" t="n"/>
      <c r="LV28" s="155" t="n"/>
      <c r="LW28" s="155" t="n"/>
      <c r="LX28" s="155" t="n"/>
      <c r="LY28" s="155" t="n"/>
      <c r="LZ28" s="155" t="n"/>
      <c r="MA28" s="155" t="n"/>
      <c r="MB28" s="155" t="n"/>
      <c r="MC28" s="155" t="n"/>
      <c r="MD28" s="155" t="n"/>
      <c r="ME28" s="155" t="n"/>
      <c r="MF28" s="155" t="n"/>
      <c r="MG28" s="155" t="n"/>
      <c r="MH28" s="155" t="n"/>
      <c r="MI28" s="155" t="n"/>
      <c r="MJ28" s="155" t="n"/>
      <c r="MK28" s="155" t="n"/>
      <c r="ML28" s="155" t="n"/>
      <c r="MM28" s="155" t="n"/>
      <c r="MN28" s="155" t="n"/>
      <c r="MO28" s="155" t="n"/>
      <c r="MP28" s="155" t="n"/>
      <c r="MQ28" s="155" t="n"/>
      <c r="MR28" s="155" t="n"/>
      <c r="MS28" s="155" t="n"/>
      <c r="MT28" s="155" t="n"/>
      <c r="MU28" s="155" t="n"/>
      <c r="MV28" s="155" t="n"/>
      <c r="MW28" s="155" t="n"/>
      <c r="MX28" s="155" t="n"/>
      <c r="MY28" s="155" t="n"/>
      <c r="MZ28" s="155" t="n"/>
      <c r="NA28" s="155" t="n"/>
      <c r="NB28" s="155" t="n"/>
      <c r="NC28" s="155" t="n"/>
      <c r="ND28" s="155" t="n"/>
      <c r="NE28" s="1" t="n"/>
      <c r="NF28" s="1" t="n"/>
      <c r="NG28" s="1" t="n"/>
    </row>
    <row r="29">
      <c r="A29" s="1" t="n"/>
      <c r="B29" s="156" t="inlineStr">
        <is>
          <t>Weekly average</t>
        </is>
      </c>
      <c r="C29" s="1" t="n"/>
      <c r="D29" s="1" t="n"/>
      <c r="E29" s="157">
        <f>IFERROR(AVERAGE(E28:K28),"")</f>
        <v/>
      </c>
      <c r="L29" s="158">
        <f>IFERROR(AVERAGE(L28:R28),"")</f>
        <v/>
      </c>
      <c r="S29" s="159">
        <f>IFERROR(AVERAGE(S28:Y28),"")</f>
        <v/>
      </c>
      <c r="Z29" s="160">
        <f>IFERROR(AVERAGE(Z28:AF28),"")</f>
        <v/>
      </c>
      <c r="AG29" s="161">
        <f>IFERROR(AVERAGE(AG28:AM28),"")</f>
        <v/>
      </c>
      <c r="AN29" s="162">
        <f>IFERROR(AVERAGE(AN28:AT28),"")</f>
        <v/>
      </c>
      <c r="AU29" s="163">
        <f>IFERROR(AVERAGE(AU28:BA28),"")</f>
        <v/>
      </c>
      <c r="BB29" s="164">
        <f>IFERROR(AVERAGE(BB28:BH28),"")</f>
        <v/>
      </c>
      <c r="BI29" s="157">
        <f>IFERROR(AVERAGE(BI28:BO28),"")</f>
        <v/>
      </c>
      <c r="BP29" s="158">
        <f>IFERROR(AVERAGE(BP28:BV28),"")</f>
        <v/>
      </c>
      <c r="BW29" s="159">
        <f>IFERROR(AVERAGE(BW28:CC28),"")</f>
        <v/>
      </c>
      <c r="CD29" s="160">
        <f>IFERROR(AVERAGE(CD28:CJ28),"")</f>
        <v/>
      </c>
      <c r="CK29" s="161">
        <f>IFERROR(AVERAGE(CK28:CQ28),"")</f>
        <v/>
      </c>
      <c r="CR29" s="162">
        <f>IFERROR(AVERAGE(CR28:CX28),"")</f>
        <v/>
      </c>
      <c r="CY29" s="163">
        <f>IFERROR(AVERAGE(CY28:DE28),"")</f>
        <v/>
      </c>
      <c r="DF29" s="164">
        <f>IFERROR(AVERAGE(DF28:DL28),"")</f>
        <v/>
      </c>
      <c r="DM29" s="157">
        <f>IFERROR(AVERAGE(DM28:DS28),"")</f>
        <v/>
      </c>
      <c r="DT29" s="158">
        <f>IFERROR(AVERAGE(DT28:DZ28),"")</f>
        <v/>
      </c>
      <c r="EA29" s="159">
        <f>IFERROR(AVERAGE(EA28:EG28),"")</f>
        <v/>
      </c>
      <c r="EH29" s="160">
        <f>IFERROR(AVERAGE(EH28:EN28),"")</f>
        <v/>
      </c>
      <c r="EO29" s="161">
        <f>IFERROR(AVERAGE(EO28:EU28),"")</f>
        <v/>
      </c>
      <c r="EV29" s="162">
        <f>IFERROR(AVERAGE(EV28:FB28),"")</f>
        <v/>
      </c>
      <c r="FC29" s="163">
        <f>IFERROR(AVERAGE(FC28:FI28),"")</f>
        <v/>
      </c>
      <c r="FJ29" s="164">
        <f>IFERROR(AVERAGE(FJ28:FP28),"")</f>
        <v/>
      </c>
      <c r="FQ29" s="157">
        <f>IFERROR(AVERAGE(FQ28:FW28),"")</f>
        <v/>
      </c>
      <c r="FX29" s="158">
        <f>IFERROR(AVERAGE(FX28:GD28),"")</f>
        <v/>
      </c>
      <c r="GE29" s="159">
        <f>IFERROR(AVERAGE(GE28:GK28),"")</f>
        <v/>
      </c>
      <c r="GL29" s="160">
        <f>IFERROR(AVERAGE(GL28:GR28),"")</f>
        <v/>
      </c>
      <c r="GS29" s="161">
        <f>IFERROR(AVERAGE(GS28:GY28),"")</f>
        <v/>
      </c>
      <c r="GZ29" s="162">
        <f>IFERROR(AVERAGE(GZ28:HF28),"")</f>
        <v/>
      </c>
      <c r="HG29" s="163">
        <f>IFERROR(AVERAGE(HG28:HM28),"")</f>
        <v/>
      </c>
      <c r="HN29" s="164">
        <f>IFERROR(AVERAGE(HN28:HT28),"")</f>
        <v/>
      </c>
      <c r="HU29" s="157">
        <f>IFERROR(AVERAGE(HU28:IA28),"")</f>
        <v/>
      </c>
      <c r="IB29" s="158">
        <f>IFERROR(AVERAGE(IB28:IH28),"")</f>
        <v/>
      </c>
      <c r="II29" s="159">
        <f>IFERROR(AVERAGE(II28:IO28),"")</f>
        <v/>
      </c>
      <c r="IP29" s="160">
        <f>IFERROR(AVERAGE(IP28:IV28),"")</f>
        <v/>
      </c>
      <c r="IW29" s="161">
        <f>IFERROR(AVERAGE(IW28:JC28),"")</f>
        <v/>
      </c>
      <c r="JD29" s="162">
        <f>IFERROR(AVERAGE(JD28:JJ28),"")</f>
        <v/>
      </c>
      <c r="JK29" s="163">
        <f>IFERROR(AVERAGE(JK28:JQ28),"")</f>
        <v/>
      </c>
      <c r="JR29" s="164">
        <f>IFERROR(AVERAGE(JR28:JX28),"")</f>
        <v/>
      </c>
      <c r="JY29" s="157">
        <f>IFERROR(AVERAGE(JY28:KE28),"")</f>
        <v/>
      </c>
      <c r="KF29" s="158">
        <f>IFERROR(AVERAGE(KF28:KL28),"")</f>
        <v/>
      </c>
      <c r="KM29" s="159">
        <f>IFERROR(AVERAGE(KM28:KS28),"")</f>
        <v/>
      </c>
      <c r="KT29" s="160">
        <f>IFERROR(AVERAGE(KT28:KZ28),"")</f>
        <v/>
      </c>
      <c r="LA29" s="161">
        <f>IFERROR(AVERAGE(LA28:LG28),"")</f>
        <v/>
      </c>
      <c r="LH29" s="162">
        <f>IFERROR(AVERAGE(LH28:LN28),"")</f>
        <v/>
      </c>
      <c r="LO29" s="163">
        <f>IFERROR(AVERAGE(LO28:LU28),"")</f>
        <v/>
      </c>
      <c r="LV29" s="164">
        <f>IFERROR(AVERAGE(LV28:MB28),"")</f>
        <v/>
      </c>
      <c r="MC29" s="157">
        <f>IFERROR(AVERAGE(MC28:MI28),"")</f>
        <v/>
      </c>
      <c r="MJ29" s="158">
        <f>IFERROR(AVERAGE(MJ28:MP28),"")</f>
        <v/>
      </c>
      <c r="MQ29" s="159">
        <f>IFERROR(AVERAGE(MQ28:MW28),"")</f>
        <v/>
      </c>
      <c r="MX29" s="160">
        <f>IFERROR(AVERAGE(MX28:ND28),"")</f>
        <v/>
      </c>
      <c r="NE29" s="1" t="n"/>
      <c r="NF29" s="1" t="n"/>
      <c r="NG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  <c r="ED30" s="1" t="n"/>
      <c r="EE30" s="1" t="n"/>
      <c r="EF30" s="1" t="n"/>
      <c r="EG30" s="1" t="n"/>
      <c r="EH30" s="1" t="n"/>
      <c r="EI30" s="1" t="n"/>
      <c r="EJ30" s="1" t="n"/>
      <c r="EK30" s="1" t="n"/>
      <c r="EL30" s="1" t="n"/>
      <c r="EM30" s="1" t="n"/>
      <c r="EN30" s="1" t="n"/>
      <c r="EO30" s="1" t="n"/>
      <c r="EP30" s="1" t="n"/>
      <c r="EQ30" s="1" t="n"/>
      <c r="ER30" s="1" t="n"/>
      <c r="ES30" s="1" t="n"/>
      <c r="ET30" s="1" t="n"/>
      <c r="EU30" s="1" t="n"/>
      <c r="EV30" s="1" t="n"/>
      <c r="EW30" s="1" t="n"/>
      <c r="EX30" s="1" t="n"/>
      <c r="EY30" s="1" t="n"/>
      <c r="EZ30" s="1" t="n"/>
      <c r="FA30" s="1" t="n"/>
      <c r="FB30" s="1" t="n"/>
      <c r="FC30" s="1" t="n"/>
      <c r="FD30" s="1" t="n"/>
      <c r="FE30" s="1" t="n"/>
      <c r="FF30" s="1" t="n"/>
      <c r="FG30" s="1" t="n"/>
      <c r="FH30" s="1" t="n"/>
      <c r="FI30" s="1" t="n"/>
      <c r="FJ30" s="1" t="n"/>
      <c r="FK30" s="1" t="n"/>
      <c r="FL30" s="1" t="n"/>
      <c r="FM30" s="1" t="n"/>
      <c r="FN30" s="1" t="n"/>
      <c r="FO30" s="1" t="n"/>
      <c r="FP30" s="1" t="n"/>
      <c r="FQ30" s="1" t="n"/>
      <c r="FR30" s="1" t="n"/>
      <c r="FS30" s="1" t="n"/>
      <c r="FT30" s="1" t="n"/>
      <c r="FU30" s="1" t="n"/>
      <c r="FV30" s="1" t="n"/>
      <c r="FW30" s="1" t="n"/>
      <c r="FX30" s="1" t="n"/>
      <c r="FY30" s="1" t="n"/>
      <c r="FZ30" s="1" t="n"/>
      <c r="GA30" s="1" t="n"/>
      <c r="GB30" s="1" t="n"/>
      <c r="GC30" s="1" t="n"/>
      <c r="GD30" s="1" t="n"/>
      <c r="GE30" s="1" t="n"/>
      <c r="GF30" s="1" t="n"/>
      <c r="GG30" s="1" t="n"/>
      <c r="GH30" s="1" t="n"/>
      <c r="GI30" s="1" t="n"/>
      <c r="GJ30" s="1" t="n"/>
      <c r="GK30" s="1" t="n"/>
      <c r="GL30" s="1" t="n"/>
      <c r="GM30" s="1" t="n"/>
      <c r="GN30" s="1" t="n"/>
      <c r="GO30" s="1" t="n"/>
      <c r="GP30" s="1" t="n"/>
      <c r="GQ30" s="1" t="n"/>
      <c r="GR30" s="1" t="n"/>
      <c r="GS30" s="1" t="n"/>
      <c r="GT30" s="1" t="n"/>
      <c r="GU30" s="1" t="n"/>
      <c r="GV30" s="1" t="n"/>
      <c r="GW30" s="1" t="n"/>
      <c r="GX30" s="1" t="n"/>
      <c r="GY30" s="1" t="n"/>
      <c r="GZ30" s="1" t="n"/>
      <c r="HA30" s="1" t="n"/>
      <c r="HB30" s="1" t="n"/>
      <c r="HC30" s="1" t="n"/>
      <c r="HD30" s="1" t="n"/>
      <c r="HE30" s="1" t="n"/>
      <c r="HF30" s="1" t="n"/>
      <c r="HG30" s="1" t="n"/>
      <c r="HH30" s="1" t="n"/>
      <c r="HI30" s="1" t="n"/>
      <c r="HJ30" s="1" t="n"/>
      <c r="HK30" s="1" t="n"/>
      <c r="HL30" s="1" t="n"/>
      <c r="HM30" s="1" t="n"/>
      <c r="HN30" s="1" t="n"/>
      <c r="HO30" s="1" t="n"/>
      <c r="HP30" s="1" t="n"/>
      <c r="HQ30" s="1" t="n"/>
      <c r="HR30" s="1" t="n"/>
      <c r="HS30" s="1" t="n"/>
      <c r="HT30" s="1" t="n"/>
      <c r="HU30" s="1" t="n"/>
      <c r="HV30" s="1" t="n"/>
      <c r="HW30" s="1" t="n"/>
      <c r="HX30" s="1" t="n"/>
      <c r="HY30" s="1" t="n"/>
      <c r="HZ30" s="1" t="n"/>
      <c r="IA30" s="1" t="n"/>
      <c r="IB30" s="1" t="n"/>
      <c r="IC30" s="1" t="n"/>
      <c r="ID30" s="1" t="n"/>
      <c r="IE30" s="1" t="n"/>
      <c r="IF30" s="1" t="n"/>
      <c r="IG30" s="1" t="n"/>
      <c r="IH30" s="1" t="n"/>
      <c r="II30" s="1" t="n"/>
      <c r="IJ30" s="1" t="n"/>
      <c r="IK30" s="1" t="n"/>
      <c r="IL30" s="1" t="n"/>
      <c r="IM30" s="1" t="n"/>
      <c r="IN30" s="1" t="n"/>
      <c r="IO30" s="1" t="n"/>
      <c r="IP30" s="1" t="n"/>
      <c r="IQ30" s="1" t="n"/>
      <c r="IR30" s="1" t="n"/>
      <c r="IS30" s="1" t="n"/>
      <c r="IT30" s="1" t="n"/>
      <c r="IU30" s="1" t="n"/>
      <c r="IV30" s="1" t="n"/>
      <c r="IW30" s="1" t="n"/>
      <c r="IX30" s="1" t="n"/>
      <c r="IY30" s="1" t="n"/>
      <c r="IZ30" s="1" t="n"/>
      <c r="JA30" s="1" t="n"/>
      <c r="JB30" s="1" t="n"/>
      <c r="JC30" s="1" t="n"/>
      <c r="JD30" s="1" t="n"/>
      <c r="JE30" s="1" t="n"/>
      <c r="JF30" s="1" t="n"/>
      <c r="JG30" s="1" t="n"/>
      <c r="JH30" s="1" t="n"/>
      <c r="JI30" s="1" t="n"/>
      <c r="JJ30" s="1" t="n"/>
      <c r="JK30" s="1" t="n"/>
      <c r="JL30" s="1" t="n"/>
      <c r="JM30" s="1" t="n"/>
      <c r="JN30" s="1" t="n"/>
      <c r="JO30" s="1" t="n"/>
      <c r="JP30" s="1" t="n"/>
      <c r="JQ30" s="1" t="n"/>
      <c r="JR30" s="1" t="n"/>
      <c r="JS30" s="1" t="n"/>
      <c r="JT30" s="1" t="n"/>
      <c r="JU30" s="1" t="n"/>
      <c r="JV30" s="1" t="n"/>
      <c r="JW30" s="1" t="n"/>
      <c r="JX30" s="1" t="n"/>
      <c r="JY30" s="1" t="n"/>
      <c r="JZ30" s="1" t="n"/>
      <c r="KA30" s="1" t="n"/>
      <c r="KB30" s="1" t="n"/>
      <c r="KC30" s="1" t="n"/>
      <c r="KD30" s="1" t="n"/>
      <c r="KE30" s="1" t="n"/>
      <c r="KF30" s="1" t="n"/>
      <c r="KG30" s="1" t="n"/>
      <c r="KH30" s="1" t="n"/>
      <c r="KI30" s="1" t="n"/>
      <c r="KJ30" s="1" t="n"/>
      <c r="KK30" s="1" t="n"/>
      <c r="KL30" s="1" t="n"/>
      <c r="KM30" s="1" t="n"/>
      <c r="KN30" s="1" t="n"/>
      <c r="KO30" s="1" t="n"/>
      <c r="KP30" s="1" t="n"/>
      <c r="KQ30" s="1" t="n"/>
      <c r="KR30" s="1" t="n"/>
      <c r="KS30" s="1" t="n"/>
      <c r="KT30" s="1" t="n"/>
      <c r="KU30" s="1" t="n"/>
      <c r="KV30" s="1" t="n"/>
      <c r="KW30" s="1" t="n"/>
      <c r="KX30" s="1" t="n"/>
      <c r="KY30" s="1" t="n"/>
      <c r="KZ30" s="1" t="n"/>
      <c r="LA30" s="1" t="n"/>
      <c r="LB30" s="1" t="n"/>
      <c r="LC30" s="1" t="n"/>
      <c r="LD30" s="1" t="n"/>
      <c r="LE30" s="1" t="n"/>
      <c r="LF30" s="1" t="n"/>
      <c r="LG30" s="1" t="n"/>
      <c r="LH30" s="1" t="n"/>
      <c r="LI30" s="1" t="n"/>
      <c r="LJ30" s="1" t="n"/>
      <c r="LK30" s="1" t="n"/>
      <c r="LL30" s="1" t="n"/>
      <c r="LM30" s="1" t="n"/>
      <c r="LN30" s="1" t="n"/>
      <c r="LO30" s="1" t="n"/>
      <c r="LP30" s="1" t="n"/>
      <c r="LQ30" s="1" t="n"/>
      <c r="LR30" s="1" t="n"/>
      <c r="LS30" s="1" t="n"/>
      <c r="LT30" s="1" t="n"/>
      <c r="LU30" s="1" t="n"/>
      <c r="LV30" s="1" t="n"/>
      <c r="LW30" s="1" t="n"/>
      <c r="LX30" s="1" t="n"/>
      <c r="LY30" s="1" t="n"/>
      <c r="LZ30" s="1" t="n"/>
      <c r="MA30" s="1" t="n"/>
      <c r="MB30" s="1" t="n"/>
      <c r="MC30" s="1" t="n"/>
      <c r="MD30" s="1" t="n"/>
      <c r="ME30" s="1" t="n"/>
      <c r="MF30" s="1" t="n"/>
      <c r="MG30" s="1" t="n"/>
      <c r="MH30" s="1" t="n"/>
      <c r="MI30" s="1" t="n"/>
      <c r="MJ30" s="1" t="n"/>
      <c r="MK30" s="1" t="n"/>
      <c r="ML30" s="1" t="n"/>
      <c r="MM30" s="1" t="n"/>
      <c r="MN30" s="1" t="n"/>
      <c r="MO30" s="1" t="n"/>
      <c r="MP30" s="1" t="n"/>
      <c r="MQ30" s="1" t="n"/>
      <c r="MR30" s="1" t="n"/>
      <c r="MS30" s="1" t="n"/>
      <c r="MT30" s="1" t="n"/>
      <c r="MU30" s="1" t="n"/>
      <c r="MV30" s="1" t="n"/>
      <c r="MW30" s="1" t="n"/>
      <c r="MX30" s="1" t="n"/>
      <c r="MY30" s="1" t="n"/>
      <c r="MZ30" s="1" t="n"/>
      <c r="NA30" s="1" t="n"/>
      <c r="NB30" s="1" t="n"/>
      <c r="NC30" s="1" t="n"/>
      <c r="ND30" s="1" t="n"/>
      <c r="NE30" s="1" t="n"/>
      <c r="NF30" s="1" t="n"/>
      <c r="NG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n"/>
      <c r="DK31" s="1" t="n"/>
      <c r="DL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  <c r="ED31" s="1" t="n"/>
      <c r="EE31" s="1" t="n"/>
      <c r="EF31" s="1" t="n"/>
      <c r="EG31" s="1" t="n"/>
      <c r="EH31" s="1" t="n"/>
      <c r="EI31" s="1" t="n"/>
      <c r="EJ31" s="1" t="n"/>
      <c r="EK31" s="1" t="n"/>
      <c r="EL31" s="1" t="n"/>
      <c r="EM31" s="1" t="n"/>
      <c r="EN31" s="1" t="n"/>
      <c r="EO31" s="1" t="n"/>
      <c r="EP31" s="1" t="n"/>
      <c r="EQ31" s="1" t="n"/>
      <c r="ER31" s="1" t="n"/>
      <c r="ES31" s="1" t="n"/>
      <c r="ET31" s="1" t="n"/>
      <c r="EU31" s="1" t="n"/>
      <c r="EV31" s="1" t="n"/>
      <c r="EW31" s="1" t="n"/>
      <c r="EX31" s="1" t="n"/>
      <c r="EY31" s="1" t="n"/>
      <c r="EZ31" s="1" t="n"/>
      <c r="FA31" s="1" t="n"/>
      <c r="FB31" s="1" t="n"/>
      <c r="FC31" s="1" t="n"/>
      <c r="FD31" s="1" t="n"/>
      <c r="FE31" s="1" t="n"/>
      <c r="FF31" s="1" t="n"/>
      <c r="FG31" s="1" t="n"/>
      <c r="FH31" s="1" t="n"/>
      <c r="FI31" s="1" t="n"/>
      <c r="FJ31" s="1" t="n"/>
      <c r="FK31" s="1" t="n"/>
      <c r="FL31" s="1" t="n"/>
      <c r="FM31" s="1" t="n"/>
      <c r="FN31" s="1" t="n"/>
      <c r="FO31" s="1" t="n"/>
      <c r="FP31" s="1" t="n"/>
      <c r="FQ31" s="1" t="n"/>
      <c r="FR31" s="1" t="n"/>
      <c r="FS31" s="1" t="n"/>
      <c r="FT31" s="1" t="n"/>
      <c r="FU31" s="1" t="n"/>
      <c r="FV31" s="1" t="n"/>
      <c r="FW31" s="1" t="n"/>
      <c r="FX31" s="1" t="n"/>
      <c r="FY31" s="1" t="n"/>
      <c r="FZ31" s="1" t="n"/>
      <c r="GA31" s="1" t="n"/>
      <c r="GB31" s="1" t="n"/>
      <c r="GC31" s="1" t="n"/>
      <c r="GD31" s="1" t="n"/>
      <c r="GE31" s="1" t="n"/>
      <c r="GF31" s="1" t="n"/>
      <c r="GG31" s="1" t="n"/>
      <c r="GH31" s="1" t="n"/>
      <c r="GI31" s="1" t="n"/>
      <c r="GJ31" s="1" t="n"/>
      <c r="GK31" s="1" t="n"/>
      <c r="GL31" s="1" t="n"/>
      <c r="GM31" s="1" t="n"/>
      <c r="GN31" s="1" t="n"/>
      <c r="GO31" s="1" t="n"/>
      <c r="GP31" s="1" t="n"/>
      <c r="GQ31" s="1" t="n"/>
      <c r="GR31" s="1" t="n"/>
      <c r="GS31" s="1" t="n"/>
      <c r="GT31" s="1" t="n"/>
      <c r="GU31" s="1" t="n"/>
      <c r="GV31" s="1" t="n"/>
      <c r="GW31" s="1" t="n"/>
      <c r="GX31" s="1" t="n"/>
      <c r="GY31" s="1" t="n"/>
      <c r="GZ31" s="1" t="n"/>
      <c r="HA31" s="1" t="n"/>
      <c r="HB31" s="1" t="n"/>
      <c r="HC31" s="1" t="n"/>
      <c r="HD31" s="1" t="n"/>
      <c r="HE31" s="1" t="n"/>
      <c r="HF31" s="1" t="n"/>
      <c r="HG31" s="1" t="n"/>
      <c r="HH31" s="1" t="n"/>
      <c r="HI31" s="1" t="n"/>
      <c r="HJ31" s="1" t="n"/>
      <c r="HK31" s="1" t="n"/>
      <c r="HL31" s="1" t="n"/>
      <c r="HM31" s="1" t="n"/>
      <c r="HN31" s="1" t="n"/>
      <c r="HO31" s="1" t="n"/>
      <c r="HP31" s="1" t="n"/>
      <c r="HQ31" s="1" t="n"/>
      <c r="HR31" s="1" t="n"/>
      <c r="HS31" s="1" t="n"/>
      <c r="HT31" s="1" t="n"/>
      <c r="HU31" s="1" t="n"/>
      <c r="HV31" s="1" t="n"/>
      <c r="HW31" s="1" t="n"/>
      <c r="HX31" s="1" t="n"/>
      <c r="HY31" s="1" t="n"/>
      <c r="HZ31" s="1" t="n"/>
      <c r="IA31" s="1" t="n"/>
      <c r="IB31" s="1" t="n"/>
      <c r="IC31" s="1" t="n"/>
      <c r="ID31" s="1" t="n"/>
      <c r="IE31" s="1" t="n"/>
      <c r="IF31" s="1" t="n"/>
      <c r="IG31" s="1" t="n"/>
      <c r="IH31" s="1" t="n"/>
      <c r="II31" s="1" t="n"/>
      <c r="IJ31" s="1" t="n"/>
      <c r="IK31" s="1" t="n"/>
      <c r="IL31" s="1" t="n"/>
      <c r="IM31" s="1" t="n"/>
      <c r="IN31" s="1" t="n"/>
      <c r="IO31" s="1" t="n"/>
      <c r="IP31" s="1" t="n"/>
      <c r="IQ31" s="1" t="n"/>
      <c r="IR31" s="1" t="n"/>
      <c r="IS31" s="1" t="n"/>
      <c r="IT31" s="1" t="n"/>
      <c r="IU31" s="1" t="n"/>
      <c r="IV31" s="1" t="n"/>
      <c r="IW31" s="1" t="n"/>
      <c r="IX31" s="1" t="n"/>
      <c r="IY31" s="1" t="n"/>
      <c r="IZ31" s="1" t="n"/>
      <c r="JA31" s="1" t="n"/>
      <c r="JB31" s="1" t="n"/>
      <c r="JC31" s="1" t="n"/>
      <c r="JD31" s="1" t="n"/>
      <c r="JE31" s="1" t="n"/>
      <c r="JF31" s="1" t="n"/>
      <c r="JG31" s="1" t="n"/>
      <c r="JH31" s="1" t="n"/>
      <c r="JI31" s="1" t="n"/>
      <c r="JJ31" s="1" t="n"/>
      <c r="JK31" s="1" t="n"/>
      <c r="JL31" s="1" t="n"/>
      <c r="JM31" s="1" t="n"/>
      <c r="JN31" s="1" t="n"/>
      <c r="JO31" s="1" t="n"/>
      <c r="JP31" s="1" t="n"/>
      <c r="JQ31" s="1" t="n"/>
      <c r="JR31" s="1" t="n"/>
      <c r="JS31" s="1" t="n"/>
      <c r="JT31" s="1" t="n"/>
      <c r="JU31" s="1" t="n"/>
      <c r="JV31" s="1" t="n"/>
      <c r="JW31" s="1" t="n"/>
      <c r="JX31" s="1" t="n"/>
      <c r="JY31" s="1" t="n"/>
      <c r="JZ31" s="1" t="n"/>
      <c r="KA31" s="1" t="n"/>
      <c r="KB31" s="1" t="n"/>
      <c r="KC31" s="1" t="n"/>
      <c r="KD31" s="1" t="n"/>
      <c r="KE31" s="1" t="n"/>
      <c r="KF31" s="1" t="n"/>
      <c r="KG31" s="1" t="n"/>
      <c r="KH31" s="1" t="n"/>
      <c r="KI31" s="1" t="n"/>
      <c r="KJ31" s="1" t="n"/>
      <c r="KK31" s="1" t="n"/>
      <c r="KL31" s="1" t="n"/>
      <c r="KM31" s="1" t="n"/>
      <c r="KN31" s="1" t="n"/>
      <c r="KO31" s="1" t="n"/>
      <c r="KP31" s="1" t="n"/>
      <c r="KQ31" s="1" t="n"/>
      <c r="KR31" s="1" t="n"/>
      <c r="KS31" s="1" t="n"/>
      <c r="KT31" s="1" t="n"/>
      <c r="KU31" s="1" t="n"/>
      <c r="KV31" s="1" t="n"/>
      <c r="KW31" s="1" t="n"/>
      <c r="KX31" s="1" t="n"/>
      <c r="KY31" s="1" t="n"/>
      <c r="KZ31" s="1" t="n"/>
      <c r="LA31" s="1" t="n"/>
      <c r="LB31" s="1" t="n"/>
      <c r="LC31" s="1" t="n"/>
      <c r="LD31" s="1" t="n"/>
      <c r="LE31" s="1" t="n"/>
      <c r="LF31" s="1" t="n"/>
      <c r="LG31" s="1" t="n"/>
      <c r="LH31" s="1" t="n"/>
      <c r="LI31" s="1" t="n"/>
      <c r="LJ31" s="1" t="n"/>
      <c r="LK31" s="1" t="n"/>
      <c r="LL31" s="1" t="n"/>
      <c r="LM31" s="1" t="n"/>
      <c r="LN31" s="1" t="n"/>
      <c r="LO31" s="1" t="n"/>
      <c r="LP31" s="1" t="n"/>
      <c r="LQ31" s="1" t="n"/>
      <c r="LR31" s="1" t="n"/>
      <c r="LS31" s="1" t="n"/>
      <c r="LT31" s="1" t="n"/>
      <c r="LU31" s="1" t="n"/>
      <c r="LV31" s="1" t="n"/>
      <c r="LW31" s="1" t="n"/>
      <c r="LX31" s="1" t="n"/>
      <c r="LY31" s="1" t="n"/>
      <c r="LZ31" s="1" t="n"/>
      <c r="MA31" s="1" t="n"/>
      <c r="MB31" s="1" t="n"/>
      <c r="MC31" s="1" t="n"/>
      <c r="MD31" s="1" t="n"/>
      <c r="ME31" s="1" t="n"/>
      <c r="MF31" s="1" t="n"/>
      <c r="MG31" s="1" t="n"/>
      <c r="MH31" s="1" t="n"/>
      <c r="MI31" s="1" t="n"/>
      <c r="MJ31" s="1" t="n"/>
      <c r="MK31" s="1" t="n"/>
      <c r="ML31" s="1" t="n"/>
      <c r="MM31" s="1" t="n"/>
      <c r="MN31" s="1" t="n"/>
      <c r="MO31" s="1" t="n"/>
      <c r="MP31" s="1" t="n"/>
      <c r="MQ31" s="1" t="n"/>
      <c r="MR31" s="1" t="n"/>
      <c r="MS31" s="1" t="n"/>
      <c r="MT31" s="1" t="n"/>
      <c r="MU31" s="1" t="n"/>
      <c r="MV31" s="1" t="n"/>
      <c r="MW31" s="1" t="n"/>
      <c r="MX31" s="1" t="n"/>
      <c r="MY31" s="1" t="n"/>
      <c r="MZ31" s="1" t="n"/>
      <c r="NA31" s="1" t="n"/>
      <c r="NB31" s="1" t="n"/>
      <c r="NC31" s="1" t="n"/>
      <c r="ND31" s="1" t="n"/>
      <c r="NE31" s="1" t="n"/>
      <c r="NF31" s="1" t="n"/>
      <c r="NG31" s="1" t="n"/>
    </row>
    <row r="32">
      <c r="A32" s="1" t="n"/>
      <c r="B32" s="58" t="inlineStr">
        <is>
          <t>WEEKLY HABITS  (tick ✓ once per week)</t>
        </is>
      </c>
      <c r="C32" s="25" t="n"/>
      <c r="D32" s="25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  <c r="ED32" s="1" t="n"/>
      <c r="EE32" s="1" t="n"/>
      <c r="EF32" s="1" t="n"/>
      <c r="EG32" s="1" t="n"/>
      <c r="EH32" s="1" t="n"/>
      <c r="EI32" s="1" t="n"/>
      <c r="EJ32" s="1" t="n"/>
      <c r="EK32" s="1" t="n"/>
      <c r="EL32" s="1" t="n"/>
      <c r="EM32" s="1" t="n"/>
      <c r="EN32" s="1" t="n"/>
      <c r="EO32" s="1" t="n"/>
      <c r="EP32" s="1" t="n"/>
      <c r="EQ32" s="1" t="n"/>
      <c r="ER32" s="1" t="n"/>
      <c r="ES32" s="1" t="n"/>
      <c r="ET32" s="1" t="n"/>
      <c r="EU32" s="1" t="n"/>
      <c r="EV32" s="1" t="n"/>
      <c r="EW32" s="1" t="n"/>
      <c r="EX32" s="1" t="n"/>
      <c r="EY32" s="1" t="n"/>
      <c r="EZ32" s="1" t="n"/>
      <c r="FA32" s="1" t="n"/>
      <c r="FB32" s="1" t="n"/>
      <c r="FC32" s="1" t="n"/>
      <c r="FD32" s="1" t="n"/>
      <c r="FE32" s="1" t="n"/>
      <c r="FF32" s="1" t="n"/>
      <c r="FG32" s="1" t="n"/>
      <c r="FH32" s="1" t="n"/>
      <c r="FI32" s="1" t="n"/>
      <c r="FJ32" s="1" t="n"/>
      <c r="FK32" s="1" t="n"/>
      <c r="FL32" s="1" t="n"/>
      <c r="FM32" s="1" t="n"/>
      <c r="FN32" s="1" t="n"/>
      <c r="FO32" s="1" t="n"/>
      <c r="FP32" s="1" t="n"/>
      <c r="FQ32" s="1" t="n"/>
      <c r="FR32" s="1" t="n"/>
      <c r="FS32" s="1" t="n"/>
      <c r="FT32" s="1" t="n"/>
      <c r="FU32" s="1" t="n"/>
      <c r="FV32" s="1" t="n"/>
      <c r="FW32" s="1" t="n"/>
      <c r="FX32" s="1" t="n"/>
      <c r="FY32" s="1" t="n"/>
      <c r="FZ32" s="1" t="n"/>
      <c r="GA32" s="1" t="n"/>
      <c r="GB32" s="1" t="n"/>
      <c r="GC32" s="1" t="n"/>
      <c r="GD32" s="1" t="n"/>
      <c r="GE32" s="1" t="n"/>
      <c r="GF32" s="1" t="n"/>
      <c r="GG32" s="1" t="n"/>
      <c r="GH32" s="1" t="n"/>
      <c r="GI32" s="1" t="n"/>
      <c r="GJ32" s="1" t="n"/>
      <c r="GK32" s="1" t="n"/>
      <c r="GL32" s="1" t="n"/>
      <c r="GM32" s="1" t="n"/>
      <c r="GN32" s="1" t="n"/>
      <c r="GO32" s="1" t="n"/>
      <c r="GP32" s="1" t="n"/>
      <c r="GQ32" s="1" t="n"/>
      <c r="GR32" s="1" t="n"/>
      <c r="GS32" s="1" t="n"/>
      <c r="GT32" s="1" t="n"/>
      <c r="GU32" s="1" t="n"/>
      <c r="GV32" s="1" t="n"/>
      <c r="GW32" s="1" t="n"/>
      <c r="GX32" s="1" t="n"/>
      <c r="GY32" s="1" t="n"/>
      <c r="GZ32" s="1" t="n"/>
      <c r="HA32" s="1" t="n"/>
      <c r="HB32" s="1" t="n"/>
      <c r="HC32" s="1" t="n"/>
      <c r="HD32" s="1" t="n"/>
      <c r="HE32" s="1" t="n"/>
      <c r="HF32" s="1" t="n"/>
      <c r="HG32" s="1" t="n"/>
      <c r="HH32" s="1" t="n"/>
      <c r="HI32" s="1" t="n"/>
      <c r="HJ32" s="1" t="n"/>
      <c r="HK32" s="1" t="n"/>
      <c r="HL32" s="1" t="n"/>
      <c r="HM32" s="1" t="n"/>
      <c r="HN32" s="1" t="n"/>
      <c r="HO32" s="1" t="n"/>
      <c r="HP32" s="1" t="n"/>
      <c r="HQ32" s="1" t="n"/>
      <c r="HR32" s="1" t="n"/>
      <c r="HS32" s="1" t="n"/>
      <c r="HT32" s="1" t="n"/>
      <c r="HU32" s="1" t="n"/>
      <c r="HV32" s="1" t="n"/>
      <c r="HW32" s="1" t="n"/>
      <c r="HX32" s="1" t="n"/>
      <c r="HY32" s="1" t="n"/>
      <c r="HZ32" s="1" t="n"/>
      <c r="IA32" s="1" t="n"/>
      <c r="IB32" s="1" t="n"/>
      <c r="IC32" s="1" t="n"/>
      <c r="ID32" s="1" t="n"/>
      <c r="IE32" s="1" t="n"/>
      <c r="IF32" s="1" t="n"/>
      <c r="IG32" s="1" t="n"/>
      <c r="IH32" s="1" t="n"/>
      <c r="II32" s="1" t="n"/>
      <c r="IJ32" s="1" t="n"/>
      <c r="IK32" s="1" t="n"/>
      <c r="IL32" s="1" t="n"/>
      <c r="IM32" s="1" t="n"/>
      <c r="IN32" s="1" t="n"/>
      <c r="IO32" s="1" t="n"/>
      <c r="IP32" s="1" t="n"/>
      <c r="IQ32" s="1" t="n"/>
      <c r="IR32" s="1" t="n"/>
      <c r="IS32" s="1" t="n"/>
      <c r="IT32" s="1" t="n"/>
      <c r="IU32" s="1" t="n"/>
      <c r="IV32" s="1" t="n"/>
      <c r="IW32" s="1" t="n"/>
      <c r="IX32" s="1" t="n"/>
      <c r="IY32" s="1" t="n"/>
      <c r="IZ32" s="1" t="n"/>
      <c r="JA32" s="1" t="n"/>
      <c r="JB32" s="1" t="n"/>
      <c r="JC32" s="1" t="n"/>
      <c r="JD32" s="1" t="n"/>
      <c r="JE32" s="1" t="n"/>
      <c r="JF32" s="1" t="n"/>
      <c r="JG32" s="1" t="n"/>
      <c r="JH32" s="1" t="n"/>
      <c r="JI32" s="1" t="n"/>
      <c r="JJ32" s="1" t="n"/>
      <c r="JK32" s="1" t="n"/>
      <c r="JL32" s="1" t="n"/>
      <c r="JM32" s="1" t="n"/>
      <c r="JN32" s="1" t="n"/>
      <c r="JO32" s="1" t="n"/>
      <c r="JP32" s="1" t="n"/>
      <c r="JQ32" s="1" t="n"/>
      <c r="JR32" s="1" t="n"/>
      <c r="JS32" s="1" t="n"/>
      <c r="JT32" s="1" t="n"/>
      <c r="JU32" s="1" t="n"/>
      <c r="JV32" s="1" t="n"/>
      <c r="JW32" s="1" t="n"/>
      <c r="JX32" s="1" t="n"/>
      <c r="JY32" s="1" t="n"/>
      <c r="JZ32" s="1" t="n"/>
      <c r="KA32" s="1" t="n"/>
      <c r="KB32" s="1" t="n"/>
      <c r="KC32" s="1" t="n"/>
      <c r="KD32" s="1" t="n"/>
      <c r="KE32" s="1" t="n"/>
      <c r="KF32" s="1" t="n"/>
      <c r="KG32" s="1" t="n"/>
      <c r="KH32" s="1" t="n"/>
      <c r="KI32" s="1" t="n"/>
      <c r="KJ32" s="1" t="n"/>
      <c r="KK32" s="1" t="n"/>
      <c r="KL32" s="1" t="n"/>
      <c r="KM32" s="1" t="n"/>
      <c r="KN32" s="1" t="n"/>
      <c r="KO32" s="1" t="n"/>
      <c r="KP32" s="1" t="n"/>
      <c r="KQ32" s="1" t="n"/>
      <c r="KR32" s="1" t="n"/>
      <c r="KS32" s="1" t="n"/>
      <c r="KT32" s="1" t="n"/>
      <c r="KU32" s="1" t="n"/>
      <c r="KV32" s="1" t="n"/>
      <c r="KW32" s="1" t="n"/>
      <c r="KX32" s="1" t="n"/>
      <c r="KY32" s="1" t="n"/>
      <c r="KZ32" s="1" t="n"/>
      <c r="LA32" s="1" t="n"/>
      <c r="LB32" s="1" t="n"/>
      <c r="LC32" s="1" t="n"/>
      <c r="LD32" s="1" t="n"/>
      <c r="LE32" s="1" t="n"/>
      <c r="LF32" s="1" t="n"/>
      <c r="LG32" s="1" t="n"/>
      <c r="LH32" s="1" t="n"/>
      <c r="LI32" s="1" t="n"/>
      <c r="LJ32" s="1" t="n"/>
      <c r="LK32" s="1" t="n"/>
      <c r="LL32" s="1" t="n"/>
      <c r="LM32" s="1" t="n"/>
      <c r="LN32" s="1" t="n"/>
      <c r="LO32" s="1" t="n"/>
      <c r="LP32" s="1" t="n"/>
      <c r="LQ32" s="1" t="n"/>
      <c r="LR32" s="1" t="n"/>
      <c r="LS32" s="1" t="n"/>
      <c r="LT32" s="1" t="n"/>
      <c r="LU32" s="1" t="n"/>
      <c r="LV32" s="1" t="n"/>
      <c r="LW32" s="1" t="n"/>
      <c r="LX32" s="1" t="n"/>
      <c r="LY32" s="1" t="n"/>
      <c r="LZ32" s="1" t="n"/>
      <c r="MA32" s="1" t="n"/>
      <c r="MB32" s="1" t="n"/>
      <c r="MC32" s="1" t="n"/>
      <c r="MD32" s="1" t="n"/>
      <c r="ME32" s="1" t="n"/>
      <c r="MF32" s="1" t="n"/>
      <c r="MG32" s="1" t="n"/>
      <c r="MH32" s="1" t="n"/>
      <c r="MI32" s="1" t="n"/>
      <c r="MJ32" s="1" t="n"/>
      <c r="MK32" s="1" t="n"/>
      <c r="ML32" s="1" t="n"/>
      <c r="MM32" s="1" t="n"/>
      <c r="MN32" s="1" t="n"/>
      <c r="MO32" s="1" t="n"/>
      <c r="MP32" s="1" t="n"/>
      <c r="MQ32" s="1" t="n"/>
      <c r="MR32" s="1" t="n"/>
      <c r="MS32" s="1" t="n"/>
      <c r="MT32" s="1" t="n"/>
      <c r="MU32" s="1" t="n"/>
      <c r="MV32" s="1" t="n"/>
      <c r="MW32" s="1" t="n"/>
      <c r="MX32" s="1" t="n"/>
      <c r="MY32" s="1" t="n"/>
      <c r="MZ32" s="1" t="n"/>
      <c r="NA32" s="1" t="n"/>
      <c r="NB32" s="1" t="n"/>
      <c r="NC32" s="1" t="n"/>
      <c r="ND32" s="1" t="n"/>
      <c r="NE32" s="1" t="n"/>
      <c r="NF32" s="1" t="n"/>
      <c r="NG32" s="1" t="n"/>
    </row>
    <row r="33">
      <c r="A33" s="1" t="n"/>
      <c r="B33" s="17" t="inlineStr">
        <is>
          <t>Weekly meal planning</t>
        </is>
      </c>
      <c r="C33" s="165">
        <f>IF(B33="","",COUNTIF(E33:ND33,"✓"))</f>
        <v/>
      </c>
      <c r="D33" s="1" t="n"/>
      <c r="E33" s="166" t="inlineStr">
        <is>
          <t>✓</t>
        </is>
      </c>
      <c r="L33" s="166" t="n"/>
      <c r="S33" s="166" t="n"/>
      <c r="Z33" s="166" t="inlineStr">
        <is>
          <t>✓</t>
        </is>
      </c>
      <c r="AG33" s="166" t="inlineStr">
        <is>
          <t>✓</t>
        </is>
      </c>
      <c r="AN33" s="166" t="n"/>
      <c r="AU33" s="166" t="n"/>
      <c r="BB33" s="166" t="n"/>
      <c r="BI33" s="166" t="n"/>
      <c r="BP33" s="166" t="n"/>
      <c r="BW33" s="166" t="n"/>
      <c r="CD33" s="166" t="n"/>
      <c r="CK33" s="166" t="n"/>
      <c r="CR33" s="166" t="n"/>
      <c r="CY33" s="166" t="n"/>
      <c r="DF33" s="166" t="n"/>
      <c r="DM33" s="166" t="n"/>
      <c r="DT33" s="166" t="n"/>
      <c r="EA33" s="166" t="n"/>
      <c r="EH33" s="166" t="n"/>
      <c r="EO33" s="166" t="n"/>
      <c r="EV33" s="166" t="n"/>
      <c r="FC33" s="166" t="n"/>
      <c r="FJ33" s="166" t="n"/>
      <c r="FQ33" s="166" t="n"/>
      <c r="FX33" s="166" t="n"/>
      <c r="GE33" s="166" t="n"/>
      <c r="GL33" s="166" t="n"/>
      <c r="GS33" s="166" t="n"/>
      <c r="GZ33" s="166" t="n"/>
      <c r="HG33" s="166" t="n"/>
      <c r="HN33" s="166" t="n"/>
      <c r="HU33" s="166" t="n"/>
      <c r="IB33" s="166" t="n"/>
      <c r="II33" s="166" t="n"/>
      <c r="IP33" s="166" t="n"/>
      <c r="IW33" s="166" t="n"/>
      <c r="JD33" s="166" t="n"/>
      <c r="JK33" s="166" t="n"/>
      <c r="JR33" s="166" t="n"/>
      <c r="JY33" s="166" t="n"/>
      <c r="KF33" s="166" t="n"/>
      <c r="KM33" s="166" t="n"/>
      <c r="KT33" s="166" t="n"/>
      <c r="LA33" s="166" t="n"/>
      <c r="LH33" s="166" t="n"/>
      <c r="LO33" s="166" t="n"/>
      <c r="LV33" s="166" t="n"/>
      <c r="MC33" s="166" t="n"/>
      <c r="MJ33" s="166" t="n"/>
      <c r="MQ33" s="166" t="n"/>
      <c r="MX33" s="166" t="n"/>
      <c r="NE33" s="1" t="n"/>
      <c r="NF33" s="1" t="n"/>
      <c r="NG33" s="1" t="n"/>
    </row>
    <row r="34">
      <c r="A34" s="1" t="n"/>
      <c r="B34" s="17" t="inlineStr">
        <is>
          <t>Review to-do list</t>
        </is>
      </c>
      <c r="C34" s="165">
        <f>IF(B34="","",COUNTIF(E34:ND34,"✓"))</f>
        <v/>
      </c>
      <c r="D34" s="1" t="n"/>
      <c r="E34" s="167" t="inlineStr">
        <is>
          <t>✓</t>
        </is>
      </c>
      <c r="L34" s="167" t="inlineStr">
        <is>
          <t>✓</t>
        </is>
      </c>
      <c r="S34" s="167" t="inlineStr">
        <is>
          <t>✓</t>
        </is>
      </c>
      <c r="Z34" s="167" t="inlineStr">
        <is>
          <t>✓</t>
        </is>
      </c>
      <c r="AG34" s="167" t="inlineStr">
        <is>
          <t>✓</t>
        </is>
      </c>
      <c r="AN34" s="167" t="n"/>
      <c r="AU34" s="167" t="n"/>
      <c r="BB34" s="167" t="n"/>
      <c r="BI34" s="167" t="n"/>
      <c r="BP34" s="167" t="n"/>
      <c r="BW34" s="167" t="n"/>
      <c r="CD34" s="167" t="n"/>
      <c r="CK34" s="167" t="n"/>
      <c r="CR34" s="167" t="n"/>
      <c r="CY34" s="167" t="n"/>
      <c r="DF34" s="167" t="n"/>
      <c r="DM34" s="167" t="n"/>
      <c r="DT34" s="167" t="n"/>
      <c r="EA34" s="167" t="n"/>
      <c r="EH34" s="167" t="n"/>
      <c r="EO34" s="167" t="n"/>
      <c r="EV34" s="167" t="n"/>
      <c r="FC34" s="167" t="n"/>
      <c r="FJ34" s="167" t="n"/>
      <c r="FQ34" s="167" t="n"/>
      <c r="FX34" s="167" t="n"/>
      <c r="GE34" s="167" t="n"/>
      <c r="GL34" s="167" t="n"/>
      <c r="GS34" s="167" t="n"/>
      <c r="GZ34" s="167" t="n"/>
      <c r="HG34" s="167" t="n"/>
      <c r="HN34" s="167" t="n"/>
      <c r="HU34" s="167" t="n"/>
      <c r="IB34" s="167" t="n"/>
      <c r="II34" s="167" t="n"/>
      <c r="IP34" s="167" t="n"/>
      <c r="IW34" s="167" t="n"/>
      <c r="JD34" s="167" t="n"/>
      <c r="JK34" s="167" t="n"/>
      <c r="JR34" s="167" t="n"/>
      <c r="JY34" s="167" t="n"/>
      <c r="KF34" s="167" t="n"/>
      <c r="KM34" s="167" t="n"/>
      <c r="KT34" s="167" t="n"/>
      <c r="LA34" s="167" t="n"/>
      <c r="LH34" s="167" t="n"/>
      <c r="LO34" s="167" t="n"/>
      <c r="LV34" s="167" t="n"/>
      <c r="MC34" s="167" t="n"/>
      <c r="MJ34" s="167" t="n"/>
      <c r="MQ34" s="167" t="n"/>
      <c r="MX34" s="167" t="n"/>
      <c r="NE34" s="1" t="n"/>
      <c r="NF34" s="1" t="n"/>
      <c r="NG34" s="1" t="n"/>
    </row>
    <row r="35">
      <c r="A35" s="1" t="n"/>
      <c r="B35" s="17" t="inlineStr">
        <is>
          <t>Review budget</t>
        </is>
      </c>
      <c r="C35" s="165">
        <f>IF(B35="","",COUNTIF(E35:ND35,"✓"))</f>
        <v/>
      </c>
      <c r="D35" s="1" t="n"/>
      <c r="E35" s="166" t="n"/>
      <c r="L35" s="166" t="n"/>
      <c r="S35" s="166" t="n"/>
      <c r="Z35" s="166" t="inlineStr">
        <is>
          <t>✓</t>
        </is>
      </c>
      <c r="AG35" s="166" t="inlineStr">
        <is>
          <t>✓</t>
        </is>
      </c>
      <c r="AN35" s="166" t="inlineStr">
        <is>
          <t>✓</t>
        </is>
      </c>
      <c r="AU35" s="166" t="n"/>
      <c r="BB35" s="166" t="n"/>
      <c r="BI35" s="166" t="n"/>
      <c r="BP35" s="166" t="n"/>
      <c r="BW35" s="166" t="n"/>
      <c r="CD35" s="166" t="n"/>
      <c r="CK35" s="166" t="n"/>
      <c r="CR35" s="166" t="n"/>
      <c r="CY35" s="166" t="n"/>
      <c r="DF35" s="166" t="n"/>
      <c r="DM35" s="166" t="n"/>
      <c r="DT35" s="166" t="n"/>
      <c r="EA35" s="166" t="n"/>
      <c r="EH35" s="166" t="n"/>
      <c r="EO35" s="166" t="n"/>
      <c r="EV35" s="166" t="n"/>
      <c r="FC35" s="166" t="n"/>
      <c r="FJ35" s="166" t="n"/>
      <c r="FQ35" s="166" t="n"/>
      <c r="FX35" s="166" t="n"/>
      <c r="GE35" s="166" t="n"/>
      <c r="GL35" s="166" t="n"/>
      <c r="GS35" s="166" t="n"/>
      <c r="GZ35" s="166" t="n"/>
      <c r="HG35" s="166" t="n"/>
      <c r="HN35" s="166" t="n"/>
      <c r="HU35" s="166" t="n"/>
      <c r="IB35" s="166" t="n"/>
      <c r="II35" s="166" t="n"/>
      <c r="IP35" s="166" t="n"/>
      <c r="IW35" s="166" t="n"/>
      <c r="JD35" s="166" t="n"/>
      <c r="JK35" s="166" t="n"/>
      <c r="JR35" s="166" t="n"/>
      <c r="JY35" s="166" t="n"/>
      <c r="KF35" s="166" t="n"/>
      <c r="KM35" s="166" t="n"/>
      <c r="KT35" s="166" t="n"/>
      <c r="LA35" s="166" t="n"/>
      <c r="LH35" s="166" t="n"/>
      <c r="LO35" s="166" t="n"/>
      <c r="LV35" s="166" t="n"/>
      <c r="MC35" s="166" t="n"/>
      <c r="MJ35" s="166" t="n"/>
      <c r="MQ35" s="166" t="n"/>
      <c r="MX35" s="166" t="n"/>
      <c r="NE35" s="1" t="n"/>
      <c r="NF35" s="1" t="n"/>
      <c r="NG35" s="1" t="n"/>
    </row>
    <row r="36">
      <c r="A36" s="1" t="n"/>
      <c r="B36" s="17" t="inlineStr">
        <is>
          <t>Call family</t>
        </is>
      </c>
      <c r="C36" s="165">
        <f>IF(B36="","",COUNTIF(E36:ND36,"✓"))</f>
        <v/>
      </c>
      <c r="D36" s="1" t="n"/>
      <c r="E36" s="167" t="inlineStr">
        <is>
          <t>✓</t>
        </is>
      </c>
      <c r="L36" s="167" t="n"/>
      <c r="S36" s="167" t="n"/>
      <c r="Z36" s="167" t="inlineStr">
        <is>
          <t>✓</t>
        </is>
      </c>
      <c r="AG36" s="167" t="n"/>
      <c r="AN36" s="167" t="n"/>
      <c r="AU36" s="167" t="n"/>
      <c r="BB36" s="167" t="n"/>
      <c r="BI36" s="167" t="n"/>
      <c r="BP36" s="167" t="n"/>
      <c r="BW36" s="167" t="n"/>
      <c r="CD36" s="167" t="n"/>
      <c r="CK36" s="167" t="n"/>
      <c r="CR36" s="167" t="n"/>
      <c r="CY36" s="167" t="n"/>
      <c r="DF36" s="167" t="n"/>
      <c r="DM36" s="167" t="n"/>
      <c r="DT36" s="167" t="n"/>
      <c r="EA36" s="167" t="n"/>
      <c r="EH36" s="167" t="n"/>
      <c r="EO36" s="167" t="n"/>
      <c r="EV36" s="167" t="n"/>
      <c r="FC36" s="167" t="n"/>
      <c r="FJ36" s="167" t="n"/>
      <c r="FQ36" s="167" t="n"/>
      <c r="FX36" s="167" t="n"/>
      <c r="GE36" s="167" t="n"/>
      <c r="GL36" s="167" t="n"/>
      <c r="GS36" s="167" t="n"/>
      <c r="GZ36" s="167" t="n"/>
      <c r="HG36" s="167" t="n"/>
      <c r="HN36" s="167" t="n"/>
      <c r="HU36" s="167" t="n"/>
      <c r="IB36" s="167" t="n"/>
      <c r="II36" s="167" t="n"/>
      <c r="IP36" s="167" t="n"/>
      <c r="IW36" s="167" t="n"/>
      <c r="JD36" s="167" t="n"/>
      <c r="JK36" s="167" t="n"/>
      <c r="JR36" s="167" t="n"/>
      <c r="JY36" s="167" t="n"/>
      <c r="KF36" s="167" t="n"/>
      <c r="KM36" s="167" t="n"/>
      <c r="KT36" s="167" t="n"/>
      <c r="LA36" s="167" t="n"/>
      <c r="LH36" s="167" t="n"/>
      <c r="LO36" s="167" t="n"/>
      <c r="LV36" s="167" t="n"/>
      <c r="MC36" s="167" t="n"/>
      <c r="MJ36" s="167" t="n"/>
      <c r="MQ36" s="167" t="n"/>
      <c r="MX36" s="167" t="n"/>
      <c r="NE36" s="1" t="n"/>
      <c r="NF36" s="1" t="n"/>
      <c r="NG36" s="1" t="n"/>
    </row>
    <row r="37">
      <c r="A37" s="1" t="n"/>
      <c r="B37" s="17" t="inlineStr">
        <is>
          <t>Deep clean one room</t>
        </is>
      </c>
      <c r="C37" s="165">
        <f>IF(B37="","",COUNTIF(E37:ND37,"✓"))</f>
        <v/>
      </c>
      <c r="D37" s="1" t="n"/>
      <c r="E37" s="166" t="n"/>
      <c r="L37" s="166" t="n"/>
      <c r="S37" s="166" t="inlineStr">
        <is>
          <t>✓</t>
        </is>
      </c>
      <c r="Z37" s="166" t="n"/>
      <c r="AG37" s="166" t="n"/>
      <c r="AN37" s="166" t="inlineStr">
        <is>
          <t>✓</t>
        </is>
      </c>
      <c r="AU37" s="166" t="n"/>
      <c r="BB37" s="166" t="n"/>
      <c r="BI37" s="166" t="n"/>
      <c r="BP37" s="166" t="n"/>
      <c r="BW37" s="166" t="n"/>
      <c r="CD37" s="166" t="n"/>
      <c r="CK37" s="166" t="n"/>
      <c r="CR37" s="166" t="n"/>
      <c r="CY37" s="166" t="n"/>
      <c r="DF37" s="166" t="n"/>
      <c r="DM37" s="166" t="n"/>
      <c r="DT37" s="166" t="n"/>
      <c r="EA37" s="166" t="n"/>
      <c r="EH37" s="166" t="n"/>
      <c r="EO37" s="166" t="n"/>
      <c r="EV37" s="166" t="n"/>
      <c r="FC37" s="166" t="n"/>
      <c r="FJ37" s="166" t="n"/>
      <c r="FQ37" s="166" t="n"/>
      <c r="FX37" s="166" t="n"/>
      <c r="GE37" s="166" t="n"/>
      <c r="GL37" s="166" t="n"/>
      <c r="GS37" s="166" t="n"/>
      <c r="GZ37" s="166" t="n"/>
      <c r="HG37" s="166" t="n"/>
      <c r="HN37" s="166" t="n"/>
      <c r="HU37" s="166" t="n"/>
      <c r="IB37" s="166" t="n"/>
      <c r="II37" s="166" t="n"/>
      <c r="IP37" s="166" t="n"/>
      <c r="IW37" s="166" t="n"/>
      <c r="JD37" s="166" t="n"/>
      <c r="JK37" s="166" t="n"/>
      <c r="JR37" s="166" t="n"/>
      <c r="JY37" s="166" t="n"/>
      <c r="KF37" s="166" t="n"/>
      <c r="KM37" s="166" t="n"/>
      <c r="KT37" s="166" t="n"/>
      <c r="LA37" s="166" t="n"/>
      <c r="LH37" s="166" t="n"/>
      <c r="LO37" s="166" t="n"/>
      <c r="LV37" s="166" t="n"/>
      <c r="MC37" s="166" t="n"/>
      <c r="MJ37" s="166" t="n"/>
      <c r="MQ37" s="166" t="n"/>
      <c r="MX37" s="166" t="n"/>
      <c r="NE37" s="1" t="n"/>
      <c r="NF37" s="1" t="n"/>
      <c r="NG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  <c r="ED38" s="1" t="n"/>
      <c r="EE38" s="1" t="n"/>
      <c r="EF38" s="1" t="n"/>
      <c r="EG38" s="1" t="n"/>
      <c r="EH38" s="1" t="n"/>
      <c r="EI38" s="1" t="n"/>
      <c r="EJ38" s="1" t="n"/>
      <c r="EK38" s="1" t="n"/>
      <c r="EL38" s="1" t="n"/>
      <c r="EM38" s="1" t="n"/>
      <c r="EN38" s="1" t="n"/>
      <c r="EO38" s="1" t="n"/>
      <c r="EP38" s="1" t="n"/>
      <c r="EQ38" s="1" t="n"/>
      <c r="ER38" s="1" t="n"/>
      <c r="ES38" s="1" t="n"/>
      <c r="ET38" s="1" t="n"/>
      <c r="EU38" s="1" t="n"/>
      <c r="EV38" s="1" t="n"/>
      <c r="EW38" s="1" t="n"/>
      <c r="EX38" s="1" t="n"/>
      <c r="EY38" s="1" t="n"/>
      <c r="EZ38" s="1" t="n"/>
      <c r="FA38" s="1" t="n"/>
      <c r="FB38" s="1" t="n"/>
      <c r="FC38" s="1" t="n"/>
      <c r="FD38" s="1" t="n"/>
      <c r="FE38" s="1" t="n"/>
      <c r="FF38" s="1" t="n"/>
      <c r="FG38" s="1" t="n"/>
      <c r="FH38" s="1" t="n"/>
      <c r="FI38" s="1" t="n"/>
      <c r="FJ38" s="1" t="n"/>
      <c r="FK38" s="1" t="n"/>
      <c r="FL38" s="1" t="n"/>
      <c r="FM38" s="1" t="n"/>
      <c r="FN38" s="1" t="n"/>
      <c r="FO38" s="1" t="n"/>
      <c r="FP38" s="1" t="n"/>
      <c r="FQ38" s="1" t="n"/>
      <c r="FR38" s="1" t="n"/>
      <c r="FS38" s="1" t="n"/>
      <c r="FT38" s="1" t="n"/>
      <c r="FU38" s="1" t="n"/>
      <c r="FV38" s="1" t="n"/>
      <c r="FW38" s="1" t="n"/>
      <c r="FX38" s="1" t="n"/>
      <c r="FY38" s="1" t="n"/>
      <c r="FZ38" s="1" t="n"/>
      <c r="GA38" s="1" t="n"/>
      <c r="GB38" s="1" t="n"/>
      <c r="GC38" s="1" t="n"/>
      <c r="GD38" s="1" t="n"/>
      <c r="GE38" s="1" t="n"/>
      <c r="GF38" s="1" t="n"/>
      <c r="GG38" s="1" t="n"/>
      <c r="GH38" s="1" t="n"/>
      <c r="GI38" s="1" t="n"/>
      <c r="GJ38" s="1" t="n"/>
      <c r="GK38" s="1" t="n"/>
      <c r="GL38" s="1" t="n"/>
      <c r="GM38" s="1" t="n"/>
      <c r="GN38" s="1" t="n"/>
      <c r="GO38" s="1" t="n"/>
      <c r="GP38" s="1" t="n"/>
      <c r="GQ38" s="1" t="n"/>
      <c r="GR38" s="1" t="n"/>
      <c r="GS38" s="1" t="n"/>
      <c r="GT38" s="1" t="n"/>
      <c r="GU38" s="1" t="n"/>
      <c r="GV38" s="1" t="n"/>
      <c r="GW38" s="1" t="n"/>
      <c r="GX38" s="1" t="n"/>
      <c r="GY38" s="1" t="n"/>
      <c r="GZ38" s="1" t="n"/>
      <c r="HA38" s="1" t="n"/>
      <c r="HB38" s="1" t="n"/>
      <c r="HC38" s="1" t="n"/>
      <c r="HD38" s="1" t="n"/>
      <c r="HE38" s="1" t="n"/>
      <c r="HF38" s="1" t="n"/>
      <c r="HG38" s="1" t="n"/>
      <c r="HH38" s="1" t="n"/>
      <c r="HI38" s="1" t="n"/>
      <c r="HJ38" s="1" t="n"/>
      <c r="HK38" s="1" t="n"/>
      <c r="HL38" s="1" t="n"/>
      <c r="HM38" s="1" t="n"/>
      <c r="HN38" s="1" t="n"/>
      <c r="HO38" s="1" t="n"/>
      <c r="HP38" s="1" t="n"/>
      <c r="HQ38" s="1" t="n"/>
      <c r="HR38" s="1" t="n"/>
      <c r="HS38" s="1" t="n"/>
      <c r="HT38" s="1" t="n"/>
      <c r="HU38" s="1" t="n"/>
      <c r="HV38" s="1" t="n"/>
      <c r="HW38" s="1" t="n"/>
      <c r="HX38" s="1" t="n"/>
      <c r="HY38" s="1" t="n"/>
      <c r="HZ38" s="1" t="n"/>
      <c r="IA38" s="1" t="n"/>
      <c r="IB38" s="1" t="n"/>
      <c r="IC38" s="1" t="n"/>
      <c r="ID38" s="1" t="n"/>
      <c r="IE38" s="1" t="n"/>
      <c r="IF38" s="1" t="n"/>
      <c r="IG38" s="1" t="n"/>
      <c r="IH38" s="1" t="n"/>
      <c r="II38" s="1" t="n"/>
      <c r="IJ38" s="1" t="n"/>
      <c r="IK38" s="1" t="n"/>
      <c r="IL38" s="1" t="n"/>
      <c r="IM38" s="1" t="n"/>
      <c r="IN38" s="1" t="n"/>
      <c r="IO38" s="1" t="n"/>
      <c r="IP38" s="1" t="n"/>
      <c r="IQ38" s="1" t="n"/>
      <c r="IR38" s="1" t="n"/>
      <c r="IS38" s="1" t="n"/>
      <c r="IT38" s="1" t="n"/>
      <c r="IU38" s="1" t="n"/>
      <c r="IV38" s="1" t="n"/>
      <c r="IW38" s="1" t="n"/>
      <c r="IX38" s="1" t="n"/>
      <c r="IY38" s="1" t="n"/>
      <c r="IZ38" s="1" t="n"/>
      <c r="JA38" s="1" t="n"/>
      <c r="JB38" s="1" t="n"/>
      <c r="JC38" s="1" t="n"/>
      <c r="JD38" s="1" t="n"/>
      <c r="JE38" s="1" t="n"/>
      <c r="JF38" s="1" t="n"/>
      <c r="JG38" s="1" t="n"/>
      <c r="JH38" s="1" t="n"/>
      <c r="JI38" s="1" t="n"/>
      <c r="JJ38" s="1" t="n"/>
      <c r="JK38" s="1" t="n"/>
      <c r="JL38" s="1" t="n"/>
      <c r="JM38" s="1" t="n"/>
      <c r="JN38" s="1" t="n"/>
      <c r="JO38" s="1" t="n"/>
      <c r="JP38" s="1" t="n"/>
      <c r="JQ38" s="1" t="n"/>
      <c r="JR38" s="1" t="n"/>
      <c r="JS38" s="1" t="n"/>
      <c r="JT38" s="1" t="n"/>
      <c r="JU38" s="1" t="n"/>
      <c r="JV38" s="1" t="n"/>
      <c r="JW38" s="1" t="n"/>
      <c r="JX38" s="1" t="n"/>
      <c r="JY38" s="1" t="n"/>
      <c r="JZ38" s="1" t="n"/>
      <c r="KA38" s="1" t="n"/>
      <c r="KB38" s="1" t="n"/>
      <c r="KC38" s="1" t="n"/>
      <c r="KD38" s="1" t="n"/>
      <c r="KE38" s="1" t="n"/>
      <c r="KF38" s="1" t="n"/>
      <c r="KG38" s="1" t="n"/>
      <c r="KH38" s="1" t="n"/>
      <c r="KI38" s="1" t="n"/>
      <c r="KJ38" s="1" t="n"/>
      <c r="KK38" s="1" t="n"/>
      <c r="KL38" s="1" t="n"/>
      <c r="KM38" s="1" t="n"/>
      <c r="KN38" s="1" t="n"/>
      <c r="KO38" s="1" t="n"/>
      <c r="KP38" s="1" t="n"/>
      <c r="KQ38" s="1" t="n"/>
      <c r="KR38" s="1" t="n"/>
      <c r="KS38" s="1" t="n"/>
      <c r="KT38" s="1" t="n"/>
      <c r="KU38" s="1" t="n"/>
      <c r="KV38" s="1" t="n"/>
      <c r="KW38" s="1" t="n"/>
      <c r="KX38" s="1" t="n"/>
      <c r="KY38" s="1" t="n"/>
      <c r="KZ38" s="1" t="n"/>
      <c r="LA38" s="1" t="n"/>
      <c r="LB38" s="1" t="n"/>
      <c r="LC38" s="1" t="n"/>
      <c r="LD38" s="1" t="n"/>
      <c r="LE38" s="1" t="n"/>
      <c r="LF38" s="1" t="n"/>
      <c r="LG38" s="1" t="n"/>
      <c r="LH38" s="1" t="n"/>
      <c r="LI38" s="1" t="n"/>
      <c r="LJ38" s="1" t="n"/>
      <c r="LK38" s="1" t="n"/>
      <c r="LL38" s="1" t="n"/>
      <c r="LM38" s="1" t="n"/>
      <c r="LN38" s="1" t="n"/>
      <c r="LO38" s="1" t="n"/>
      <c r="LP38" s="1" t="n"/>
      <c r="LQ38" s="1" t="n"/>
      <c r="LR38" s="1" t="n"/>
      <c r="LS38" s="1" t="n"/>
      <c r="LT38" s="1" t="n"/>
      <c r="LU38" s="1" t="n"/>
      <c r="LV38" s="1" t="n"/>
      <c r="LW38" s="1" t="n"/>
      <c r="LX38" s="1" t="n"/>
      <c r="LY38" s="1" t="n"/>
      <c r="LZ38" s="1" t="n"/>
      <c r="MA38" s="1" t="n"/>
      <c r="MB38" s="1" t="n"/>
      <c r="MC38" s="1" t="n"/>
      <c r="MD38" s="1" t="n"/>
      <c r="ME38" s="1" t="n"/>
      <c r="MF38" s="1" t="n"/>
      <c r="MG38" s="1" t="n"/>
      <c r="MH38" s="1" t="n"/>
      <c r="MI38" s="1" t="n"/>
      <c r="MJ38" s="1" t="n"/>
      <c r="MK38" s="1" t="n"/>
      <c r="ML38" s="1" t="n"/>
      <c r="MM38" s="1" t="n"/>
      <c r="MN38" s="1" t="n"/>
      <c r="MO38" s="1" t="n"/>
      <c r="MP38" s="1" t="n"/>
      <c r="MQ38" s="1" t="n"/>
      <c r="MR38" s="1" t="n"/>
      <c r="MS38" s="1" t="n"/>
      <c r="MT38" s="1" t="n"/>
      <c r="MU38" s="1" t="n"/>
      <c r="MV38" s="1" t="n"/>
      <c r="MW38" s="1" t="n"/>
      <c r="MX38" s="1" t="n"/>
      <c r="MY38" s="1" t="n"/>
      <c r="MZ38" s="1" t="n"/>
      <c r="NA38" s="1" t="n"/>
      <c r="NB38" s="1" t="n"/>
      <c r="NC38" s="1" t="n"/>
      <c r="ND38" s="1" t="n"/>
      <c r="NE38" s="1" t="n"/>
      <c r="NF38" s="1" t="n"/>
      <c r="NG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  <c r="EI39" s="1" t="n"/>
      <c r="EJ39" s="1" t="n"/>
      <c r="EK39" s="1" t="n"/>
      <c r="EL39" s="1" t="n"/>
      <c r="EM39" s="1" t="n"/>
      <c r="EN39" s="1" t="n"/>
      <c r="EO39" s="1" t="n"/>
      <c r="EP39" s="1" t="n"/>
      <c r="EQ39" s="1" t="n"/>
      <c r="ER39" s="1" t="n"/>
      <c r="ES39" s="1" t="n"/>
      <c r="ET39" s="1" t="n"/>
      <c r="EU39" s="1" t="n"/>
      <c r="EV39" s="1" t="n"/>
      <c r="EW39" s="1" t="n"/>
      <c r="EX39" s="1" t="n"/>
      <c r="EY39" s="1" t="n"/>
      <c r="EZ39" s="1" t="n"/>
      <c r="FA39" s="1" t="n"/>
      <c r="FB39" s="1" t="n"/>
      <c r="FC39" s="1" t="n"/>
      <c r="FD39" s="1" t="n"/>
      <c r="FE39" s="1" t="n"/>
      <c r="FF39" s="1" t="n"/>
      <c r="FG39" s="1" t="n"/>
      <c r="FH39" s="1" t="n"/>
      <c r="FI39" s="1" t="n"/>
      <c r="FJ39" s="1" t="n"/>
      <c r="FK39" s="1" t="n"/>
      <c r="FL39" s="1" t="n"/>
      <c r="FM39" s="1" t="n"/>
      <c r="FN39" s="1" t="n"/>
      <c r="FO39" s="1" t="n"/>
      <c r="FP39" s="1" t="n"/>
      <c r="FQ39" s="1" t="n"/>
      <c r="FR39" s="1" t="n"/>
      <c r="FS39" s="1" t="n"/>
      <c r="FT39" s="1" t="n"/>
      <c r="FU39" s="1" t="n"/>
      <c r="FV39" s="1" t="n"/>
      <c r="FW39" s="1" t="n"/>
      <c r="FX39" s="1" t="n"/>
      <c r="FY39" s="1" t="n"/>
      <c r="FZ39" s="1" t="n"/>
      <c r="GA39" s="1" t="n"/>
      <c r="GB39" s="1" t="n"/>
      <c r="GC39" s="1" t="n"/>
      <c r="GD39" s="1" t="n"/>
      <c r="GE39" s="1" t="n"/>
      <c r="GF39" s="1" t="n"/>
      <c r="GG39" s="1" t="n"/>
      <c r="GH39" s="1" t="n"/>
      <c r="GI39" s="1" t="n"/>
      <c r="GJ39" s="1" t="n"/>
      <c r="GK39" s="1" t="n"/>
      <c r="GL39" s="1" t="n"/>
      <c r="GM39" s="1" t="n"/>
      <c r="GN39" s="1" t="n"/>
      <c r="GO39" s="1" t="n"/>
      <c r="GP39" s="1" t="n"/>
      <c r="GQ39" s="1" t="n"/>
      <c r="GR39" s="1" t="n"/>
      <c r="GS39" s="1" t="n"/>
      <c r="GT39" s="1" t="n"/>
      <c r="GU39" s="1" t="n"/>
      <c r="GV39" s="1" t="n"/>
      <c r="GW39" s="1" t="n"/>
      <c r="GX39" s="1" t="n"/>
      <c r="GY39" s="1" t="n"/>
      <c r="GZ39" s="1" t="n"/>
      <c r="HA39" s="1" t="n"/>
      <c r="HB39" s="1" t="n"/>
      <c r="HC39" s="1" t="n"/>
      <c r="HD39" s="1" t="n"/>
      <c r="HE39" s="1" t="n"/>
      <c r="HF39" s="1" t="n"/>
      <c r="HG39" s="1" t="n"/>
      <c r="HH39" s="1" t="n"/>
      <c r="HI39" s="1" t="n"/>
      <c r="HJ39" s="1" t="n"/>
      <c r="HK39" s="1" t="n"/>
      <c r="HL39" s="1" t="n"/>
      <c r="HM39" s="1" t="n"/>
      <c r="HN39" s="1" t="n"/>
      <c r="HO39" s="1" t="n"/>
      <c r="HP39" s="1" t="n"/>
      <c r="HQ39" s="1" t="n"/>
      <c r="HR39" s="1" t="n"/>
      <c r="HS39" s="1" t="n"/>
      <c r="HT39" s="1" t="n"/>
      <c r="HU39" s="1" t="n"/>
      <c r="HV39" s="1" t="n"/>
      <c r="HW39" s="1" t="n"/>
      <c r="HX39" s="1" t="n"/>
      <c r="HY39" s="1" t="n"/>
      <c r="HZ39" s="1" t="n"/>
      <c r="IA39" s="1" t="n"/>
      <c r="IB39" s="1" t="n"/>
      <c r="IC39" s="1" t="n"/>
      <c r="ID39" s="1" t="n"/>
      <c r="IE39" s="1" t="n"/>
      <c r="IF39" s="1" t="n"/>
      <c r="IG39" s="1" t="n"/>
      <c r="IH39" s="1" t="n"/>
      <c r="II39" s="1" t="n"/>
      <c r="IJ39" s="1" t="n"/>
      <c r="IK39" s="1" t="n"/>
      <c r="IL39" s="1" t="n"/>
      <c r="IM39" s="1" t="n"/>
      <c r="IN39" s="1" t="n"/>
      <c r="IO39" s="1" t="n"/>
      <c r="IP39" s="1" t="n"/>
      <c r="IQ39" s="1" t="n"/>
      <c r="IR39" s="1" t="n"/>
      <c r="IS39" s="1" t="n"/>
      <c r="IT39" s="1" t="n"/>
      <c r="IU39" s="1" t="n"/>
      <c r="IV39" s="1" t="n"/>
      <c r="IW39" s="1" t="n"/>
      <c r="IX39" s="1" t="n"/>
      <c r="IY39" s="1" t="n"/>
      <c r="IZ39" s="1" t="n"/>
      <c r="JA39" s="1" t="n"/>
      <c r="JB39" s="1" t="n"/>
      <c r="JC39" s="1" t="n"/>
      <c r="JD39" s="1" t="n"/>
      <c r="JE39" s="1" t="n"/>
      <c r="JF39" s="1" t="n"/>
      <c r="JG39" s="1" t="n"/>
      <c r="JH39" s="1" t="n"/>
      <c r="JI39" s="1" t="n"/>
      <c r="JJ39" s="1" t="n"/>
      <c r="JK39" s="1" t="n"/>
      <c r="JL39" s="1" t="n"/>
      <c r="JM39" s="1" t="n"/>
      <c r="JN39" s="1" t="n"/>
      <c r="JO39" s="1" t="n"/>
      <c r="JP39" s="1" t="n"/>
      <c r="JQ39" s="1" t="n"/>
      <c r="JR39" s="1" t="n"/>
      <c r="JS39" s="1" t="n"/>
      <c r="JT39" s="1" t="n"/>
      <c r="JU39" s="1" t="n"/>
      <c r="JV39" s="1" t="n"/>
      <c r="JW39" s="1" t="n"/>
      <c r="JX39" s="1" t="n"/>
      <c r="JY39" s="1" t="n"/>
      <c r="JZ39" s="1" t="n"/>
      <c r="KA39" s="1" t="n"/>
      <c r="KB39" s="1" t="n"/>
      <c r="KC39" s="1" t="n"/>
      <c r="KD39" s="1" t="n"/>
      <c r="KE39" s="1" t="n"/>
      <c r="KF39" s="1" t="n"/>
      <c r="KG39" s="1" t="n"/>
      <c r="KH39" s="1" t="n"/>
      <c r="KI39" s="1" t="n"/>
      <c r="KJ39" s="1" t="n"/>
      <c r="KK39" s="1" t="n"/>
      <c r="KL39" s="1" t="n"/>
      <c r="KM39" s="1" t="n"/>
      <c r="KN39" s="1" t="n"/>
      <c r="KO39" s="1" t="n"/>
      <c r="KP39" s="1" t="n"/>
      <c r="KQ39" s="1" t="n"/>
      <c r="KR39" s="1" t="n"/>
      <c r="KS39" s="1" t="n"/>
      <c r="KT39" s="1" t="n"/>
      <c r="KU39" s="1" t="n"/>
      <c r="KV39" s="1" t="n"/>
      <c r="KW39" s="1" t="n"/>
      <c r="KX39" s="1" t="n"/>
      <c r="KY39" s="1" t="n"/>
      <c r="KZ39" s="1" t="n"/>
      <c r="LA39" s="1" t="n"/>
      <c r="LB39" s="1" t="n"/>
      <c r="LC39" s="1" t="n"/>
      <c r="LD39" s="1" t="n"/>
      <c r="LE39" s="1" t="n"/>
      <c r="LF39" s="1" t="n"/>
      <c r="LG39" s="1" t="n"/>
      <c r="LH39" s="1" t="n"/>
      <c r="LI39" s="1" t="n"/>
      <c r="LJ39" s="1" t="n"/>
      <c r="LK39" s="1" t="n"/>
      <c r="LL39" s="1" t="n"/>
      <c r="LM39" s="1" t="n"/>
      <c r="LN39" s="1" t="n"/>
      <c r="LO39" s="1" t="n"/>
      <c r="LP39" s="1" t="n"/>
      <c r="LQ39" s="1" t="n"/>
      <c r="LR39" s="1" t="n"/>
      <c r="LS39" s="1" t="n"/>
      <c r="LT39" s="1" t="n"/>
      <c r="LU39" s="1" t="n"/>
      <c r="LV39" s="1" t="n"/>
      <c r="LW39" s="1" t="n"/>
      <c r="LX39" s="1" t="n"/>
      <c r="LY39" s="1" t="n"/>
      <c r="LZ39" s="1" t="n"/>
      <c r="MA39" s="1" t="n"/>
      <c r="MB39" s="1" t="n"/>
      <c r="MC39" s="1" t="n"/>
      <c r="MD39" s="1" t="n"/>
      <c r="ME39" s="1" t="n"/>
      <c r="MF39" s="1" t="n"/>
      <c r="MG39" s="1" t="n"/>
      <c r="MH39" s="1" t="n"/>
      <c r="MI39" s="1" t="n"/>
      <c r="MJ39" s="1" t="n"/>
      <c r="MK39" s="1" t="n"/>
      <c r="ML39" s="1" t="n"/>
      <c r="MM39" s="1" t="n"/>
      <c r="MN39" s="1" t="n"/>
      <c r="MO39" s="1" t="n"/>
      <c r="MP39" s="1" t="n"/>
      <c r="MQ39" s="1" t="n"/>
      <c r="MR39" s="1" t="n"/>
      <c r="MS39" s="1" t="n"/>
      <c r="MT39" s="1" t="n"/>
      <c r="MU39" s="1" t="n"/>
      <c r="MV39" s="1" t="n"/>
      <c r="MW39" s="1" t="n"/>
      <c r="MX39" s="1" t="n"/>
      <c r="MY39" s="1" t="n"/>
      <c r="MZ39" s="1" t="n"/>
      <c r="NA39" s="1" t="n"/>
      <c r="NB39" s="1" t="n"/>
      <c r="NC39" s="1" t="n"/>
      <c r="ND39" s="1" t="n"/>
      <c r="NE39" s="1" t="n"/>
      <c r="NF39" s="1" t="n"/>
      <c r="NG39" s="1" t="n"/>
    </row>
    <row r="40" hidden="1">
      <c r="A40" s="1" t="n"/>
      <c r="B40" s="1">
        <f>"W1"</f>
        <v/>
      </c>
      <c r="C40" s="1">
        <f>"W2"</f>
        <v/>
      </c>
      <c r="D40" s="1">
        <f>"W3"</f>
        <v/>
      </c>
      <c r="E40" s="1">
        <f>"W4"</f>
        <v/>
      </c>
      <c r="F40" s="1">
        <f>"W5"</f>
        <v/>
      </c>
      <c r="G40" s="1">
        <f>"W6"</f>
        <v/>
      </c>
      <c r="H40" s="1">
        <f>"W7"</f>
        <v/>
      </c>
      <c r="I40" s="1">
        <f>"W8"</f>
        <v/>
      </c>
      <c r="J40" s="1">
        <f>"W9"</f>
        <v/>
      </c>
      <c r="K40" s="1">
        <f>"W10"</f>
        <v/>
      </c>
      <c r="L40" s="1">
        <f>"W11"</f>
        <v/>
      </c>
      <c r="M40" s="1">
        <f>"W12"</f>
        <v/>
      </c>
      <c r="N40" s="1">
        <f>"W13"</f>
        <v/>
      </c>
      <c r="O40" s="1">
        <f>"W14"</f>
        <v/>
      </c>
      <c r="P40" s="1">
        <f>"W15"</f>
        <v/>
      </c>
      <c r="Q40" s="1">
        <f>"W16"</f>
        <v/>
      </c>
      <c r="R40" s="1">
        <f>"W17"</f>
        <v/>
      </c>
      <c r="S40" s="1">
        <f>"W18"</f>
        <v/>
      </c>
      <c r="T40" s="1">
        <f>"W19"</f>
        <v/>
      </c>
      <c r="U40" s="1">
        <f>"W20"</f>
        <v/>
      </c>
      <c r="V40" s="1">
        <f>"W21"</f>
        <v/>
      </c>
      <c r="W40" s="1">
        <f>"W22"</f>
        <v/>
      </c>
      <c r="X40" s="1">
        <f>"W23"</f>
        <v/>
      </c>
      <c r="Y40" s="1">
        <f>"W24"</f>
        <v/>
      </c>
      <c r="Z40" s="1">
        <f>"W25"</f>
        <v/>
      </c>
      <c r="AA40" s="1">
        <f>"W26"</f>
        <v/>
      </c>
      <c r="AB40" s="1">
        <f>"W27"</f>
        <v/>
      </c>
      <c r="AC40" s="1">
        <f>"W28"</f>
        <v/>
      </c>
      <c r="AD40" s="1">
        <f>"W29"</f>
        <v/>
      </c>
      <c r="AE40" s="1">
        <f>"W30"</f>
        <v/>
      </c>
      <c r="AF40" s="1">
        <f>"W31"</f>
        <v/>
      </c>
      <c r="AG40" s="1">
        <f>"W32"</f>
        <v/>
      </c>
      <c r="AH40" s="1">
        <f>"W33"</f>
        <v/>
      </c>
      <c r="AI40" s="1">
        <f>"W34"</f>
        <v/>
      </c>
      <c r="AJ40" s="1">
        <f>"W35"</f>
        <v/>
      </c>
      <c r="AK40" s="1">
        <f>"W36"</f>
        <v/>
      </c>
      <c r="AL40" s="1">
        <f>"W37"</f>
        <v/>
      </c>
      <c r="AM40" s="1">
        <f>"W38"</f>
        <v/>
      </c>
      <c r="AN40" s="1">
        <f>"W39"</f>
        <v/>
      </c>
      <c r="AO40" s="1">
        <f>"W40"</f>
        <v/>
      </c>
      <c r="AP40" s="1">
        <f>"W41"</f>
        <v/>
      </c>
      <c r="AQ40" s="1">
        <f>"W42"</f>
        <v/>
      </c>
      <c r="AR40" s="1">
        <f>"W43"</f>
        <v/>
      </c>
      <c r="AS40" s="1">
        <f>"W44"</f>
        <v/>
      </c>
      <c r="AT40" s="1">
        <f>"W45"</f>
        <v/>
      </c>
      <c r="AU40" s="1">
        <f>"W46"</f>
        <v/>
      </c>
      <c r="AV40" s="1">
        <f>"W47"</f>
        <v/>
      </c>
      <c r="AW40" s="1">
        <f>"W48"</f>
        <v/>
      </c>
      <c r="AX40" s="1">
        <f>"W49"</f>
        <v/>
      </c>
      <c r="AY40" s="1">
        <f>"W50"</f>
        <v/>
      </c>
      <c r="AZ40" s="1">
        <f>"W51"</f>
        <v/>
      </c>
      <c r="BA40" s="1">
        <f>"W52"</f>
        <v/>
      </c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  <c r="EI40" s="1" t="n"/>
      <c r="EJ40" s="1" t="n"/>
      <c r="EK40" s="1" t="n"/>
      <c r="EL40" s="1" t="n"/>
      <c r="EM40" s="1" t="n"/>
      <c r="EN40" s="1" t="n"/>
      <c r="EO40" s="1" t="n"/>
      <c r="EP40" s="1" t="n"/>
      <c r="EQ40" s="1" t="n"/>
      <c r="ER40" s="1" t="n"/>
      <c r="ES40" s="1" t="n"/>
      <c r="ET40" s="1" t="n"/>
      <c r="EU40" s="1" t="n"/>
      <c r="EV40" s="1" t="n"/>
      <c r="EW40" s="1" t="n"/>
      <c r="EX40" s="1" t="n"/>
      <c r="EY40" s="1" t="n"/>
      <c r="EZ40" s="1" t="n"/>
      <c r="FA40" s="1" t="n"/>
      <c r="FB40" s="1" t="n"/>
      <c r="FC40" s="1" t="n"/>
      <c r="FD40" s="1" t="n"/>
      <c r="FE40" s="1" t="n"/>
      <c r="FF40" s="1" t="n"/>
      <c r="FG40" s="1" t="n"/>
      <c r="FH40" s="1" t="n"/>
      <c r="FI40" s="1" t="n"/>
      <c r="FJ40" s="1" t="n"/>
      <c r="FK40" s="1" t="n"/>
      <c r="FL40" s="1" t="n"/>
      <c r="FM40" s="1" t="n"/>
      <c r="FN40" s="1" t="n"/>
      <c r="FO40" s="1" t="n"/>
      <c r="FP40" s="1" t="n"/>
      <c r="FQ40" s="1" t="n"/>
      <c r="FR40" s="1" t="n"/>
      <c r="FS40" s="1" t="n"/>
      <c r="FT40" s="1" t="n"/>
      <c r="FU40" s="1" t="n"/>
      <c r="FV40" s="1" t="n"/>
      <c r="FW40" s="1" t="n"/>
      <c r="FX40" s="1" t="n"/>
      <c r="FY40" s="1" t="n"/>
      <c r="FZ40" s="1" t="n"/>
      <c r="GA40" s="1" t="n"/>
      <c r="GB40" s="1" t="n"/>
      <c r="GC40" s="1" t="n"/>
      <c r="GD40" s="1" t="n"/>
      <c r="GE40" s="1" t="n"/>
      <c r="GF40" s="1" t="n"/>
      <c r="GG40" s="1" t="n"/>
      <c r="GH40" s="1" t="n"/>
      <c r="GI40" s="1" t="n"/>
      <c r="GJ40" s="1" t="n"/>
      <c r="GK40" s="1" t="n"/>
      <c r="GL40" s="1" t="n"/>
      <c r="GM40" s="1" t="n"/>
      <c r="GN40" s="1" t="n"/>
      <c r="GO40" s="1" t="n"/>
      <c r="GP40" s="1" t="n"/>
      <c r="GQ40" s="1" t="n"/>
      <c r="GR40" s="1" t="n"/>
      <c r="GS40" s="1" t="n"/>
      <c r="GT40" s="1" t="n"/>
      <c r="GU40" s="1" t="n"/>
      <c r="GV40" s="1" t="n"/>
      <c r="GW40" s="1" t="n"/>
      <c r="GX40" s="1" t="n"/>
      <c r="GY40" s="1" t="n"/>
      <c r="GZ40" s="1" t="n"/>
      <c r="HA40" s="1" t="n"/>
      <c r="HB40" s="1" t="n"/>
      <c r="HC40" s="1" t="n"/>
      <c r="HD40" s="1" t="n"/>
      <c r="HE40" s="1" t="n"/>
      <c r="HF40" s="1" t="n"/>
      <c r="HG40" s="1" t="n"/>
      <c r="HH40" s="1" t="n"/>
      <c r="HI40" s="1" t="n"/>
      <c r="HJ40" s="1" t="n"/>
      <c r="HK40" s="1" t="n"/>
      <c r="HL40" s="1" t="n"/>
      <c r="HM40" s="1" t="n"/>
      <c r="HN40" s="1" t="n"/>
      <c r="HO40" s="1" t="n"/>
      <c r="HP40" s="1" t="n"/>
      <c r="HQ40" s="1" t="n"/>
      <c r="HR40" s="1" t="n"/>
      <c r="HS40" s="1" t="n"/>
      <c r="HT40" s="1" t="n"/>
      <c r="HU40" s="1" t="n"/>
      <c r="HV40" s="1" t="n"/>
      <c r="HW40" s="1" t="n"/>
      <c r="HX40" s="1" t="n"/>
      <c r="HY40" s="1" t="n"/>
      <c r="HZ40" s="1" t="n"/>
      <c r="IA40" s="1" t="n"/>
      <c r="IB40" s="1" t="n"/>
      <c r="IC40" s="1" t="n"/>
      <c r="ID40" s="1" t="n"/>
      <c r="IE40" s="1" t="n"/>
      <c r="IF40" s="1" t="n"/>
      <c r="IG40" s="1" t="n"/>
      <c r="IH40" s="1" t="n"/>
      <c r="II40" s="1" t="n"/>
      <c r="IJ40" s="1" t="n"/>
      <c r="IK40" s="1" t="n"/>
      <c r="IL40" s="1" t="n"/>
      <c r="IM40" s="1" t="n"/>
      <c r="IN40" s="1" t="n"/>
      <c r="IO40" s="1" t="n"/>
      <c r="IP40" s="1" t="n"/>
      <c r="IQ40" s="1" t="n"/>
      <c r="IR40" s="1" t="n"/>
      <c r="IS40" s="1" t="n"/>
      <c r="IT40" s="1" t="n"/>
      <c r="IU40" s="1" t="n"/>
      <c r="IV40" s="1" t="n"/>
      <c r="IW40" s="1" t="n"/>
      <c r="IX40" s="1" t="n"/>
      <c r="IY40" s="1" t="n"/>
      <c r="IZ40" s="1" t="n"/>
      <c r="JA40" s="1" t="n"/>
      <c r="JB40" s="1" t="n"/>
      <c r="JC40" s="1" t="n"/>
      <c r="JD40" s="1" t="n"/>
      <c r="JE40" s="1" t="n"/>
      <c r="JF40" s="1" t="n"/>
      <c r="JG40" s="1" t="n"/>
      <c r="JH40" s="1" t="n"/>
      <c r="JI40" s="1" t="n"/>
      <c r="JJ40" s="1" t="n"/>
      <c r="JK40" s="1" t="n"/>
      <c r="JL40" s="1" t="n"/>
      <c r="JM40" s="1" t="n"/>
      <c r="JN40" s="1" t="n"/>
      <c r="JO40" s="1" t="n"/>
      <c r="JP40" s="1" t="n"/>
      <c r="JQ40" s="1" t="n"/>
      <c r="JR40" s="1" t="n"/>
      <c r="JS40" s="1" t="n"/>
      <c r="JT40" s="1" t="n"/>
      <c r="JU40" s="1" t="n"/>
      <c r="JV40" s="1" t="n"/>
      <c r="JW40" s="1" t="n"/>
      <c r="JX40" s="1" t="n"/>
      <c r="JY40" s="1" t="n"/>
      <c r="JZ40" s="1" t="n"/>
      <c r="KA40" s="1" t="n"/>
      <c r="KB40" s="1" t="n"/>
      <c r="KC40" s="1" t="n"/>
      <c r="KD40" s="1" t="n"/>
      <c r="KE40" s="1" t="n"/>
      <c r="KF40" s="1" t="n"/>
      <c r="KG40" s="1" t="n"/>
      <c r="KH40" s="1" t="n"/>
      <c r="KI40" s="1" t="n"/>
      <c r="KJ40" s="1" t="n"/>
      <c r="KK40" s="1" t="n"/>
      <c r="KL40" s="1" t="n"/>
      <c r="KM40" s="1" t="n"/>
      <c r="KN40" s="1" t="n"/>
      <c r="KO40" s="1" t="n"/>
      <c r="KP40" s="1" t="n"/>
      <c r="KQ40" s="1" t="n"/>
      <c r="KR40" s="1" t="n"/>
      <c r="KS40" s="1" t="n"/>
      <c r="KT40" s="1" t="n"/>
      <c r="KU40" s="1" t="n"/>
      <c r="KV40" s="1" t="n"/>
      <c r="KW40" s="1" t="n"/>
      <c r="KX40" s="1" t="n"/>
      <c r="KY40" s="1" t="n"/>
      <c r="KZ40" s="1" t="n"/>
      <c r="LA40" s="1" t="n"/>
      <c r="LB40" s="1" t="n"/>
      <c r="LC40" s="1" t="n"/>
      <c r="LD40" s="1" t="n"/>
      <c r="LE40" s="1" t="n"/>
      <c r="LF40" s="1" t="n"/>
      <c r="LG40" s="1" t="n"/>
      <c r="LH40" s="1" t="n"/>
      <c r="LI40" s="1" t="n"/>
      <c r="LJ40" s="1" t="n"/>
      <c r="LK40" s="1" t="n"/>
      <c r="LL40" s="1" t="n"/>
      <c r="LM40" s="1" t="n"/>
      <c r="LN40" s="1" t="n"/>
      <c r="LO40" s="1" t="n"/>
      <c r="LP40" s="1" t="n"/>
      <c r="LQ40" s="1" t="n"/>
      <c r="LR40" s="1" t="n"/>
      <c r="LS40" s="1" t="n"/>
      <c r="LT40" s="1" t="n"/>
      <c r="LU40" s="1" t="n"/>
      <c r="LV40" s="1" t="n"/>
      <c r="LW40" s="1" t="n"/>
      <c r="LX40" s="1" t="n"/>
      <c r="LY40" s="1" t="n"/>
      <c r="LZ40" s="1" t="n"/>
      <c r="MA40" s="1" t="n"/>
      <c r="MB40" s="1" t="n"/>
      <c r="MC40" s="1" t="n"/>
      <c r="MD40" s="1" t="n"/>
      <c r="ME40" s="1" t="n"/>
      <c r="MF40" s="1" t="n"/>
      <c r="MG40" s="1" t="n"/>
      <c r="MH40" s="1" t="n"/>
      <c r="MI40" s="1" t="n"/>
      <c r="MJ40" s="1" t="n"/>
      <c r="MK40" s="1" t="n"/>
      <c r="ML40" s="1" t="n"/>
      <c r="MM40" s="1" t="n"/>
      <c r="MN40" s="1" t="n"/>
      <c r="MO40" s="1" t="n"/>
      <c r="MP40" s="1" t="n"/>
      <c r="MQ40" s="1" t="n"/>
      <c r="MR40" s="1" t="n"/>
      <c r="MS40" s="1" t="n"/>
      <c r="MT40" s="1" t="n"/>
      <c r="MU40" s="1" t="n"/>
      <c r="MV40" s="1" t="n"/>
      <c r="MW40" s="1" t="n"/>
      <c r="MX40" s="1" t="n"/>
      <c r="MY40" s="1" t="n"/>
      <c r="MZ40" s="1" t="n"/>
      <c r="NA40" s="1" t="n"/>
      <c r="NB40" s="1" t="n"/>
      <c r="NC40" s="1" t="n"/>
      <c r="ND40" s="1" t="n"/>
      <c r="NE40" s="1" t="n"/>
      <c r="NF40" s="1" t="n"/>
      <c r="NG40" s="1" t="n"/>
    </row>
    <row r="41" hidden="1">
      <c r="B41">
        <f>N(E25)</f>
        <v/>
      </c>
      <c r="C41">
        <f>N(L25)</f>
        <v/>
      </c>
      <c r="D41">
        <f>N(S25)</f>
        <v/>
      </c>
      <c r="E41">
        <f>N(Z25)</f>
        <v/>
      </c>
      <c r="F41">
        <f>N(AG25)</f>
        <v/>
      </c>
      <c r="G41">
        <f>N(AN25)</f>
        <v/>
      </c>
      <c r="H41">
        <f>N(AU25)</f>
        <v/>
      </c>
      <c r="I41">
        <f>N(BB25)</f>
        <v/>
      </c>
      <c r="J41">
        <f>N(BI25)</f>
        <v/>
      </c>
      <c r="K41">
        <f>N(BP25)</f>
        <v/>
      </c>
      <c r="L41">
        <f>N(BW25)</f>
        <v/>
      </c>
      <c r="M41">
        <f>N(CD25)</f>
        <v/>
      </c>
      <c r="N41">
        <f>N(CK25)</f>
        <v/>
      </c>
      <c r="O41">
        <f>N(CR25)</f>
        <v/>
      </c>
      <c r="P41">
        <f>N(CY25)</f>
        <v/>
      </c>
      <c r="Q41">
        <f>N(DF25)</f>
        <v/>
      </c>
      <c r="R41">
        <f>N(DM25)</f>
        <v/>
      </c>
      <c r="S41">
        <f>N(DT25)</f>
        <v/>
      </c>
      <c r="T41">
        <f>N(EA25)</f>
        <v/>
      </c>
      <c r="U41">
        <f>N(EH25)</f>
        <v/>
      </c>
      <c r="V41">
        <f>N(EO25)</f>
        <v/>
      </c>
      <c r="W41">
        <f>N(EV25)</f>
        <v/>
      </c>
      <c r="X41">
        <f>N(FC25)</f>
        <v/>
      </c>
      <c r="Y41">
        <f>N(FJ25)</f>
        <v/>
      </c>
      <c r="Z41">
        <f>N(FQ25)</f>
        <v/>
      </c>
      <c r="AA41">
        <f>N(FX25)</f>
        <v/>
      </c>
      <c r="AB41">
        <f>N(GE25)</f>
        <v/>
      </c>
      <c r="AC41">
        <f>N(GL25)</f>
        <v/>
      </c>
      <c r="AD41">
        <f>N(GS25)</f>
        <v/>
      </c>
      <c r="AE41">
        <f>N(GZ25)</f>
        <v/>
      </c>
      <c r="AF41">
        <f>N(HG25)</f>
        <v/>
      </c>
      <c r="AG41">
        <f>N(HN25)</f>
        <v/>
      </c>
      <c r="AH41">
        <f>N(HU25)</f>
        <v/>
      </c>
      <c r="AI41">
        <f>N(IB25)</f>
        <v/>
      </c>
      <c r="AJ41">
        <f>N(II25)</f>
        <v/>
      </c>
      <c r="AK41">
        <f>N(IP25)</f>
        <v/>
      </c>
      <c r="AL41">
        <f>N(IW25)</f>
        <v/>
      </c>
      <c r="AM41">
        <f>N(JD25)</f>
        <v/>
      </c>
      <c r="AN41">
        <f>N(JK25)</f>
        <v/>
      </c>
      <c r="AO41">
        <f>N(JR25)</f>
        <v/>
      </c>
      <c r="AP41">
        <f>N(JY25)</f>
        <v/>
      </c>
      <c r="AQ41">
        <f>N(KF25)</f>
        <v/>
      </c>
      <c r="AR41">
        <f>N(KM25)</f>
        <v/>
      </c>
      <c r="AS41">
        <f>N(KT25)</f>
        <v/>
      </c>
      <c r="AT41">
        <f>N(LA25)</f>
        <v/>
      </c>
      <c r="AU41">
        <f>N(LH25)</f>
        <v/>
      </c>
      <c r="AV41">
        <f>N(LO25)</f>
        <v/>
      </c>
      <c r="AW41">
        <f>N(LV25)</f>
        <v/>
      </c>
      <c r="AX41">
        <f>N(MC25)</f>
        <v/>
      </c>
      <c r="AY41">
        <f>N(MJ25)</f>
        <v/>
      </c>
      <c r="AZ41">
        <f>N(MQ25)</f>
        <v/>
      </c>
      <c r="BA41">
        <f>N(MX25)</f>
        <v/>
      </c>
    </row>
    <row r="42" hidden="1">
      <c r="B42">
        <f>N(E29)</f>
        <v/>
      </c>
      <c r="C42">
        <f>N(L29)</f>
        <v/>
      </c>
      <c r="D42">
        <f>N(S29)</f>
        <v/>
      </c>
      <c r="E42">
        <f>N(Z29)</f>
        <v/>
      </c>
      <c r="F42">
        <f>N(AG29)</f>
        <v/>
      </c>
      <c r="G42">
        <f>N(AN29)</f>
        <v/>
      </c>
      <c r="H42">
        <f>N(AU29)</f>
        <v/>
      </c>
      <c r="I42">
        <f>N(BB29)</f>
        <v/>
      </c>
      <c r="J42">
        <f>N(BI29)</f>
        <v/>
      </c>
      <c r="K42">
        <f>N(BP29)</f>
        <v/>
      </c>
      <c r="L42">
        <f>N(BW29)</f>
        <v/>
      </c>
      <c r="M42">
        <f>N(CD29)</f>
        <v/>
      </c>
      <c r="N42">
        <f>N(CK29)</f>
        <v/>
      </c>
      <c r="O42">
        <f>N(CR29)</f>
        <v/>
      </c>
      <c r="P42">
        <f>N(CY29)</f>
        <v/>
      </c>
      <c r="Q42">
        <f>N(DF29)</f>
        <v/>
      </c>
      <c r="R42">
        <f>N(DM29)</f>
        <v/>
      </c>
      <c r="S42">
        <f>N(DT29)</f>
        <v/>
      </c>
      <c r="T42">
        <f>N(EA29)</f>
        <v/>
      </c>
      <c r="U42">
        <f>N(EH29)</f>
        <v/>
      </c>
      <c r="V42">
        <f>N(EO29)</f>
        <v/>
      </c>
      <c r="W42">
        <f>N(EV29)</f>
        <v/>
      </c>
      <c r="X42">
        <f>N(FC29)</f>
        <v/>
      </c>
      <c r="Y42">
        <f>N(FJ29)</f>
        <v/>
      </c>
      <c r="Z42">
        <f>N(FQ29)</f>
        <v/>
      </c>
      <c r="AA42">
        <f>N(FX29)</f>
        <v/>
      </c>
      <c r="AB42">
        <f>N(GE29)</f>
        <v/>
      </c>
      <c r="AC42">
        <f>N(GL29)</f>
        <v/>
      </c>
      <c r="AD42">
        <f>N(GS29)</f>
        <v/>
      </c>
      <c r="AE42">
        <f>N(GZ29)</f>
        <v/>
      </c>
      <c r="AF42">
        <f>N(HG29)</f>
        <v/>
      </c>
      <c r="AG42">
        <f>N(HN29)</f>
        <v/>
      </c>
      <c r="AH42">
        <f>N(HU29)</f>
        <v/>
      </c>
      <c r="AI42">
        <f>N(IB29)</f>
        <v/>
      </c>
      <c r="AJ42">
        <f>N(II29)</f>
        <v/>
      </c>
      <c r="AK42">
        <f>N(IP29)</f>
        <v/>
      </c>
      <c r="AL42">
        <f>N(IW29)</f>
        <v/>
      </c>
      <c r="AM42">
        <f>N(JD29)</f>
        <v/>
      </c>
      <c r="AN42">
        <f>N(JK29)</f>
        <v/>
      </c>
      <c r="AO42">
        <f>N(JR29)</f>
        <v/>
      </c>
      <c r="AP42">
        <f>N(JY29)</f>
        <v/>
      </c>
      <c r="AQ42">
        <f>N(KF29)</f>
        <v/>
      </c>
      <c r="AR42">
        <f>N(KM29)</f>
        <v/>
      </c>
      <c r="AS42">
        <f>N(KT29)</f>
        <v/>
      </c>
      <c r="AT42">
        <f>N(LA29)</f>
        <v/>
      </c>
      <c r="AU42">
        <f>N(LH29)</f>
        <v/>
      </c>
      <c r="AV42">
        <f>N(LO29)</f>
        <v/>
      </c>
      <c r="AW42">
        <f>N(LV29)</f>
        <v/>
      </c>
      <c r="AX42">
        <f>N(MC29)</f>
        <v/>
      </c>
      <c r="AY42">
        <f>N(MJ29)</f>
        <v/>
      </c>
      <c r="AZ42">
        <f>N(MQ29)</f>
        <v/>
      </c>
      <c r="BA42">
        <f>N(MX29)</f>
        <v/>
      </c>
    </row>
    <row r="44">
      <c r="B44" s="57" t="inlineStr">
        <is>
          <t>WEEKLY HABIT PROGRESS</t>
        </is>
      </c>
      <c r="C44" s="27" t="n"/>
      <c r="D44" s="27" t="n"/>
    </row>
    <row r="58">
      <c r="B58" s="43" t="inlineStr">
        <is>
          <t>WEEKLY MOOD</t>
        </is>
      </c>
      <c r="C58" s="44" t="n"/>
      <c r="D58" s="44" t="n"/>
    </row>
  </sheetData>
  <mergeCells count="473">
    <mergeCell ref="BB6:BH6"/>
    <mergeCell ref="IW36:JC36"/>
    <mergeCell ref="JY35:KE35"/>
    <mergeCell ref="MQ36:MW36"/>
    <mergeCell ref="FJ35:FP35"/>
    <mergeCell ref="JY34:KE34"/>
    <mergeCell ref="JD6:JJ6"/>
    <mergeCell ref="EV29:FB29"/>
    <mergeCell ref="FJ36:FP36"/>
    <mergeCell ref="AG29:AM29"/>
    <mergeCell ref="GL6:GR6"/>
    <mergeCell ref="E5:K5"/>
    <mergeCell ref="BW6:CC6"/>
    <mergeCell ref="IB25:IH25"/>
    <mergeCell ref="JK37:JQ37"/>
    <mergeCell ref="EV37:FB37"/>
    <mergeCell ref="KT35:KZ35"/>
    <mergeCell ref="AG6:AM6"/>
    <mergeCell ref="KT34:KZ34"/>
    <mergeCell ref="CK25:CQ25"/>
    <mergeCell ref="DM33:DS33"/>
    <mergeCell ref="AN25:AT25"/>
    <mergeCell ref="KT36:KZ36"/>
    <mergeCell ref="FQ29:FW29"/>
    <mergeCell ref="DM35:DS35"/>
    <mergeCell ref="GE36:GK36"/>
    <mergeCell ref="Z5:AF5"/>
    <mergeCell ref="KF37:KL37"/>
    <mergeCell ref="FQ6:FW6"/>
    <mergeCell ref="FQ37:FW37"/>
    <mergeCell ref="MX35:ND35"/>
    <mergeCell ref="IP37:IV37"/>
    <mergeCell ref="EH33:EN33"/>
    <mergeCell ref="BI25:BO25"/>
    <mergeCell ref="CK33:CQ33"/>
    <mergeCell ref="MC33:MI33"/>
    <mergeCell ref="BP25:BV25"/>
    <mergeCell ref="EH35:EN35"/>
    <mergeCell ref="HU29:IA29"/>
    <mergeCell ref="KT29:KZ29"/>
    <mergeCell ref="JY36:KE36"/>
    <mergeCell ref="EH34:EN34"/>
    <mergeCell ref="GE29:GK29"/>
    <mergeCell ref="AU5:BA5"/>
    <mergeCell ref="CK34:CQ34"/>
    <mergeCell ref="IP5:IV5"/>
    <mergeCell ref="CK36:CQ36"/>
    <mergeCell ref="DT6:DZ6"/>
    <mergeCell ref="MX33:ND33"/>
    <mergeCell ref="BW37:CC37"/>
    <mergeCell ref="E6:K6"/>
    <mergeCell ref="FC35:FI35"/>
    <mergeCell ref="CD37:CJ37"/>
    <mergeCell ref="LO29:LU29"/>
    <mergeCell ref="L25:R25"/>
    <mergeCell ref="GZ29:HF29"/>
    <mergeCell ref="DM34:DS34"/>
    <mergeCell ref="DF36:DL36"/>
    <mergeCell ref="JR5:JX5"/>
    <mergeCell ref="HU5:IA5"/>
    <mergeCell ref="EH29:EN29"/>
    <mergeCell ref="DM36:DS36"/>
    <mergeCell ref="EO6:EU6"/>
    <mergeCell ref="HG25:HM25"/>
    <mergeCell ref="Z6:AF6"/>
    <mergeCell ref="CY37:DE37"/>
    <mergeCell ref="HU6:IA6"/>
    <mergeCell ref="MJ29:MP29"/>
    <mergeCell ref="BB37:BH37"/>
    <mergeCell ref="AN5:AT5"/>
    <mergeCell ref="IW34:JC34"/>
    <mergeCell ref="GL33:GR33"/>
    <mergeCell ref="JK33:JQ33"/>
    <mergeCell ref="MJ6:MP6"/>
    <mergeCell ref="FC29:FI29"/>
    <mergeCell ref="BI34:BO34"/>
    <mergeCell ref="EH36:EN36"/>
    <mergeCell ref="GL35:GR35"/>
    <mergeCell ref="MC36:MI36"/>
    <mergeCell ref="S34:Y34"/>
    <mergeCell ref="EV35:FB35"/>
    <mergeCell ref="II37:IO37"/>
    <mergeCell ref="FX5:GD5"/>
    <mergeCell ref="IP6:IV6"/>
    <mergeCell ref="BI5:BO5"/>
    <mergeCell ref="S36:Y36"/>
    <mergeCell ref="GZ6:HF6"/>
    <mergeCell ref="S29:Y29"/>
    <mergeCell ref="JD25:JJ25"/>
    <mergeCell ref="KF33:KL33"/>
    <mergeCell ref="E37:K37"/>
    <mergeCell ref="FX29:GD29"/>
    <mergeCell ref="JD36:JJ36"/>
    <mergeCell ref="KF35:KL35"/>
    <mergeCell ref="B2:D2"/>
    <mergeCell ref="MX36:ND36"/>
    <mergeCell ref="AN34:AT34"/>
    <mergeCell ref="FQ35:FW35"/>
    <mergeCell ref="KM6:KS6"/>
    <mergeCell ref="CY33:DE33"/>
    <mergeCell ref="GS5:GY5"/>
    <mergeCell ref="CD5:CJ5"/>
    <mergeCell ref="AN36:AT36"/>
    <mergeCell ref="B32:D32"/>
    <mergeCell ref="GE25:GK25"/>
    <mergeCell ref="AN29:AT29"/>
    <mergeCell ref="LA33:LG33"/>
    <mergeCell ref="Z37:AF37"/>
    <mergeCell ref="L5:R5"/>
    <mergeCell ref="II25:IO25"/>
    <mergeCell ref="FC6:FI6"/>
    <mergeCell ref="B27:D27"/>
    <mergeCell ref="LA35:LG35"/>
    <mergeCell ref="LH6:LN6"/>
    <mergeCell ref="LA34:LG34"/>
    <mergeCell ref="MX29:ND29"/>
    <mergeCell ref="DT33:DZ33"/>
    <mergeCell ref="HN5:HT5"/>
    <mergeCell ref="AU25:BA25"/>
    <mergeCell ref="IW5:JC5"/>
    <mergeCell ref="BW33:CC33"/>
    <mergeCell ref="BI36:BO36"/>
    <mergeCell ref="JK34:JQ34"/>
    <mergeCell ref="B44:D44"/>
    <mergeCell ref="DT35:DZ35"/>
    <mergeCell ref="BW35:CC35"/>
    <mergeCell ref="EV5:FB5"/>
    <mergeCell ref="FJ25:FP25"/>
    <mergeCell ref="JK36:JQ36"/>
    <mergeCell ref="AG5:AM5"/>
    <mergeCell ref="DF5:DL5"/>
    <mergeCell ref="FX6:GD6"/>
    <mergeCell ref="LV35:MB35"/>
    <mergeCell ref="IB34:IH34"/>
    <mergeCell ref="IW37:JC37"/>
    <mergeCell ref="JD33:JJ33"/>
    <mergeCell ref="MC6:MI6"/>
    <mergeCell ref="EO33:EU33"/>
    <mergeCell ref="MQ5:MW5"/>
    <mergeCell ref="KF34:KL34"/>
    <mergeCell ref="JD35:JJ35"/>
    <mergeCell ref="Z25:AF25"/>
    <mergeCell ref="IB5:IH5"/>
    <mergeCell ref="EO35:EU35"/>
    <mergeCell ref="CR35:CX35"/>
    <mergeCell ref="LA29:LG29"/>
    <mergeCell ref="HN37:HT37"/>
    <mergeCell ref="KF36:KL36"/>
    <mergeCell ref="CY6:DE6"/>
    <mergeCell ref="CR34:CX34"/>
    <mergeCell ref="EA5:EG5"/>
    <mergeCell ref="FX37:GD37"/>
    <mergeCell ref="GS6:GY6"/>
    <mergeCell ref="BI37:BO37"/>
    <mergeCell ref="JR37:JX37"/>
    <mergeCell ref="HG34:HM34"/>
    <mergeCell ref="MJ35:MP35"/>
    <mergeCell ref="EA6:EG6"/>
    <mergeCell ref="L6:R6"/>
    <mergeCell ref="HG36:HM36"/>
    <mergeCell ref="LV29:MB29"/>
    <mergeCell ref="CR33:CX33"/>
    <mergeCell ref="AN37:AT37"/>
    <mergeCell ref="AU33:BA33"/>
    <mergeCell ref="GS37:GY37"/>
    <mergeCell ref="BW34:CC34"/>
    <mergeCell ref="DF29:DL29"/>
    <mergeCell ref="DT36:DZ36"/>
    <mergeCell ref="BW36:CC36"/>
    <mergeCell ref="EV6:FB6"/>
    <mergeCell ref="HN25:HT25"/>
    <mergeCell ref="IB36:IH36"/>
    <mergeCell ref="MQ29:MW29"/>
    <mergeCell ref="BP33:BV33"/>
    <mergeCell ref="LO5:LU5"/>
    <mergeCell ref="JD34:JJ34"/>
    <mergeCell ref="BP35:BV35"/>
    <mergeCell ref="JR33:JX33"/>
    <mergeCell ref="MQ6:MW6"/>
    <mergeCell ref="FJ29:FP29"/>
    <mergeCell ref="Z35:AF35"/>
    <mergeCell ref="EO36:EU36"/>
    <mergeCell ref="MX25:ND25"/>
    <mergeCell ref="CR36:CX36"/>
    <mergeCell ref="Z34:AF34"/>
    <mergeCell ref="GE5:GK5"/>
    <mergeCell ref="GE34:GK34"/>
    <mergeCell ref="Z36:AF36"/>
    <mergeCell ref="MJ5:MP5"/>
    <mergeCell ref="S25:Y25"/>
    <mergeCell ref="KT5:KZ5"/>
    <mergeCell ref="KM33:KS33"/>
    <mergeCell ref="L37:R37"/>
    <mergeCell ref="AU35:BA35"/>
    <mergeCell ref="CD35:CJ35"/>
    <mergeCell ref="JD29:JJ29"/>
    <mergeCell ref="FJ34:FP34"/>
    <mergeCell ref="KM35:KS35"/>
    <mergeCell ref="EO29:EU29"/>
    <mergeCell ref="AU34:BA34"/>
    <mergeCell ref="MC25:MI25"/>
    <mergeCell ref="KT6:KZ6"/>
    <mergeCell ref="EA37:EG37"/>
    <mergeCell ref="GZ5:HF5"/>
    <mergeCell ref="MC35:MI35"/>
    <mergeCell ref="AU36:BA36"/>
    <mergeCell ref="FJ5:FP5"/>
    <mergeCell ref="HN33:HT33"/>
    <mergeCell ref="EV25:FB25"/>
    <mergeCell ref="LH33:LN33"/>
    <mergeCell ref="AG37:AM37"/>
    <mergeCell ref="HN35:HT35"/>
    <mergeCell ref="CY35:DE35"/>
    <mergeCell ref="JY29:KE29"/>
    <mergeCell ref="LH35:LN35"/>
    <mergeCell ref="BP34:BV34"/>
    <mergeCell ref="LO6:LU6"/>
    <mergeCell ref="EO34:EU34"/>
    <mergeCell ref="JR35:JX35"/>
    <mergeCell ref="CD33:CJ33"/>
    <mergeCell ref="CK29:CQ29"/>
    <mergeCell ref="MQ37:MW37"/>
    <mergeCell ref="BP36:BV36"/>
    <mergeCell ref="IB37:IH37"/>
    <mergeCell ref="II33:IO33"/>
    <mergeCell ref="EA35:EG35"/>
    <mergeCell ref="KF25:KL25"/>
    <mergeCell ref="FQ25:FW25"/>
    <mergeCell ref="II35:IO35"/>
    <mergeCell ref="DM5:DS5"/>
    <mergeCell ref="GE6:GK6"/>
    <mergeCell ref="GS34:GY34"/>
    <mergeCell ref="MX5:ND5"/>
    <mergeCell ref="GS36:GY36"/>
    <mergeCell ref="BP29:BV29"/>
    <mergeCell ref="LA25:LG25"/>
    <mergeCell ref="GL25:GR25"/>
    <mergeCell ref="DF35:DL35"/>
    <mergeCell ref="DF6:DL6"/>
    <mergeCell ref="EH5:EN5"/>
    <mergeCell ref="GE37:GK37"/>
    <mergeCell ref="S5:Y5"/>
    <mergeCell ref="MC34:MI34"/>
    <mergeCell ref="DT25:DZ25"/>
    <mergeCell ref="HN34:HT34"/>
    <mergeCell ref="IP33:IV33"/>
    <mergeCell ref="HN36:HT36"/>
    <mergeCell ref="CY36:DE36"/>
    <mergeCell ref="MC29:MI29"/>
    <mergeCell ref="BB33:BH33"/>
    <mergeCell ref="LO37:LU37"/>
    <mergeCell ref="FC5:FI5"/>
    <mergeCell ref="GZ37:HF37"/>
    <mergeCell ref="MX34:ND34"/>
    <mergeCell ref="EO25:EU25"/>
    <mergeCell ref="FQ33:FW33"/>
    <mergeCell ref="DM29:DS29"/>
    <mergeCell ref="II34:IO34"/>
    <mergeCell ref="II36:IO36"/>
    <mergeCell ref="DM6:DS6"/>
    <mergeCell ref="JK35:JQ35"/>
    <mergeCell ref="FQ34:FW34"/>
    <mergeCell ref="IW35:JC35"/>
    <mergeCell ref="MJ37:MP37"/>
    <mergeCell ref="JR6:JX6"/>
    <mergeCell ref="LH29:LN29"/>
    <mergeCell ref="HU37:IA37"/>
    <mergeCell ref="E25:K25"/>
    <mergeCell ref="HG5:HM5"/>
    <mergeCell ref="AG33:AM33"/>
    <mergeCell ref="KT37:KZ37"/>
    <mergeCell ref="KF5:KL5"/>
    <mergeCell ref="CD6:CJ6"/>
    <mergeCell ref="AG35:AM35"/>
    <mergeCell ref="FC37:FI37"/>
    <mergeCell ref="AN6:AT6"/>
    <mergeCell ref="AG34:AM34"/>
    <mergeCell ref="LO25:LU25"/>
    <mergeCell ref="EH6:EN6"/>
    <mergeCell ref="GL34:GR34"/>
    <mergeCell ref="LO35:LU35"/>
    <mergeCell ref="EV34:FB34"/>
    <mergeCell ref="GL36:GR36"/>
    <mergeCell ref="CY25:DE25"/>
    <mergeCell ref="LA5:LG5"/>
    <mergeCell ref="MX37:ND37"/>
    <mergeCell ref="S37:Y37"/>
    <mergeCell ref="EV36:FB36"/>
    <mergeCell ref="BB35:BH35"/>
    <mergeCell ref="JK29:JQ29"/>
    <mergeCell ref="BI6:BO6"/>
    <mergeCell ref="BB34:BH34"/>
    <mergeCell ref="MJ25:MP25"/>
    <mergeCell ref="EH37:EN37"/>
    <mergeCell ref="L34:R34"/>
    <mergeCell ref="BB36:BH36"/>
    <mergeCell ref="FQ5:FW5"/>
    <mergeCell ref="HU33:IA33"/>
    <mergeCell ref="L36:R36"/>
    <mergeCell ref="LV5:MB5"/>
    <mergeCell ref="FC25:FI25"/>
    <mergeCell ref="GL29:GR29"/>
    <mergeCell ref="FQ36:FW36"/>
    <mergeCell ref="KF29:KL29"/>
    <mergeCell ref="E33:K33"/>
    <mergeCell ref="LV6:MB6"/>
    <mergeCell ref="CR5:CX5"/>
    <mergeCell ref="E35:K35"/>
    <mergeCell ref="KF6:KL6"/>
    <mergeCell ref="GL5:GR5"/>
    <mergeCell ref="CY29:DE29"/>
    <mergeCell ref="BB29:BH29"/>
    <mergeCell ref="KM25:KS25"/>
    <mergeCell ref="AG36:AM36"/>
    <mergeCell ref="CK37:CQ37"/>
    <mergeCell ref="FX25:GD25"/>
    <mergeCell ref="HG29:HM29"/>
    <mergeCell ref="IP35:IV35"/>
    <mergeCell ref="DT5:DZ5"/>
    <mergeCell ref="Z33:AF33"/>
    <mergeCell ref="GZ35:HF35"/>
    <mergeCell ref="BW25:CC25"/>
    <mergeCell ref="JY5:KE5"/>
    <mergeCell ref="CK35:CQ35"/>
    <mergeCell ref="GZ34:HF34"/>
    <mergeCell ref="LA6:LG6"/>
    <mergeCell ref="DT29:DZ29"/>
    <mergeCell ref="BW29:CC29"/>
    <mergeCell ref="LH25:LN25"/>
    <mergeCell ref="MJ33:MP33"/>
    <mergeCell ref="CY34:DE34"/>
    <mergeCell ref="DF37:DL37"/>
    <mergeCell ref="GS25:GY25"/>
    <mergeCell ref="IB29:IH29"/>
    <mergeCell ref="JR25:JX25"/>
    <mergeCell ref="EO5:EU5"/>
    <mergeCell ref="GL37:GR37"/>
    <mergeCell ref="HU35:IA35"/>
    <mergeCell ref="MJ34:MP34"/>
    <mergeCell ref="FC33:FI33"/>
    <mergeCell ref="HU34:IA34"/>
    <mergeCell ref="IW33:JC33"/>
    <mergeCell ref="HU36:IA36"/>
    <mergeCell ref="CR29:CX29"/>
    <mergeCell ref="DT34:DZ34"/>
    <mergeCell ref="IW6:JC6"/>
    <mergeCell ref="BP5:BV5"/>
    <mergeCell ref="E34:K34"/>
    <mergeCell ref="LV37:MB37"/>
    <mergeCell ref="HG6:HM6"/>
    <mergeCell ref="HG37:HM37"/>
    <mergeCell ref="S33:Y33"/>
    <mergeCell ref="CR6:CX6"/>
    <mergeCell ref="Z29:AF29"/>
    <mergeCell ref="E36:K36"/>
    <mergeCell ref="FX33:GD33"/>
    <mergeCell ref="IP34:IV34"/>
    <mergeCell ref="HU25:IA25"/>
    <mergeCell ref="S35:Y35"/>
    <mergeCell ref="LO34:LU34"/>
    <mergeCell ref="DF25:DL25"/>
    <mergeCell ref="FX35:GD35"/>
    <mergeCell ref="IP36:IV36"/>
    <mergeCell ref="LO36:LU36"/>
    <mergeCell ref="CK5:CQ5"/>
    <mergeCell ref="GZ36:HF36"/>
    <mergeCell ref="JY6:KE6"/>
    <mergeCell ref="IB6:IH6"/>
    <mergeCell ref="AN33:AT33"/>
    <mergeCell ref="AU29:BA29"/>
    <mergeCell ref="LA37:LG37"/>
    <mergeCell ref="KM5:KS5"/>
    <mergeCell ref="GS33:GY33"/>
    <mergeCell ref="E29:K29"/>
    <mergeCell ref="IP25:IV25"/>
    <mergeCell ref="AN35:AT35"/>
    <mergeCell ref="EA25:EG25"/>
    <mergeCell ref="AU6:BA6"/>
    <mergeCell ref="GS35:GY35"/>
    <mergeCell ref="LV25:MB25"/>
    <mergeCell ref="DT37:DZ37"/>
    <mergeCell ref="MJ36:MP36"/>
    <mergeCell ref="IP29:IV29"/>
    <mergeCell ref="JR34:JX34"/>
    <mergeCell ref="FC34:FI34"/>
    <mergeCell ref="BI33:BO33"/>
    <mergeCell ref="LH5:LN5"/>
    <mergeCell ref="FC36:FI36"/>
    <mergeCell ref="JK25:JQ25"/>
    <mergeCell ref="BI35:BO35"/>
    <mergeCell ref="JR29:JX29"/>
    <mergeCell ref="BP6:BV6"/>
    <mergeCell ref="JD37:JJ37"/>
    <mergeCell ref="MQ25:MW25"/>
    <mergeCell ref="EO37:EU37"/>
    <mergeCell ref="EV33:FB33"/>
    <mergeCell ref="KM34:KS34"/>
    <mergeCell ref="DF33:DL33"/>
    <mergeCell ref="AG25:AM25"/>
    <mergeCell ref="FX34:GD34"/>
    <mergeCell ref="MC5:MI5"/>
    <mergeCell ref="KM36:KS36"/>
    <mergeCell ref="GS29:GY29"/>
    <mergeCell ref="FX36:GD36"/>
    <mergeCell ref="KM29:KS29"/>
    <mergeCell ref="L33:R33"/>
    <mergeCell ref="CK6:CQ6"/>
    <mergeCell ref="JY37:KE37"/>
    <mergeCell ref="FJ6:FP6"/>
    <mergeCell ref="IW29:JC29"/>
    <mergeCell ref="FJ37:FP37"/>
    <mergeCell ref="CY5:DE5"/>
    <mergeCell ref="L35:R35"/>
    <mergeCell ref="LH34:LN34"/>
    <mergeCell ref="EA33:EG33"/>
    <mergeCell ref="BB25:BH25"/>
    <mergeCell ref="S6:Y6"/>
    <mergeCell ref="BI29:BO29"/>
    <mergeCell ref="LV33:MB33"/>
    <mergeCell ref="CR37:CX37"/>
    <mergeCell ref="AU37:BA37"/>
    <mergeCell ref="LH36:LN36"/>
    <mergeCell ref="HG33:HM33"/>
    <mergeCell ref="HN29:HT29"/>
    <mergeCell ref="JR36:JX36"/>
    <mergeCell ref="EA34:EG34"/>
    <mergeCell ref="CD34:CJ34"/>
    <mergeCell ref="HG35:HM35"/>
    <mergeCell ref="CD25:CJ25"/>
    <mergeCell ref="II5:IO5"/>
    <mergeCell ref="EA36:EG36"/>
    <mergeCell ref="CD36:CJ36"/>
    <mergeCell ref="JK6:JQ6"/>
    <mergeCell ref="CD29:CJ29"/>
    <mergeCell ref="MQ33:MW33"/>
    <mergeCell ref="DF34:DL34"/>
    <mergeCell ref="DM37:DS37"/>
    <mergeCell ref="BP37:BV37"/>
    <mergeCell ref="IB33:IH33"/>
    <mergeCell ref="II29:IO29"/>
    <mergeCell ref="JY25:KE25"/>
    <mergeCell ref="MQ35:MW35"/>
    <mergeCell ref="IB35:IH35"/>
    <mergeCell ref="MX6:ND6"/>
    <mergeCell ref="FJ33:FP33"/>
    <mergeCell ref="JD5:JJ5"/>
    <mergeCell ref="JK5:JQ5"/>
    <mergeCell ref="CR25:CX25"/>
    <mergeCell ref="GZ25:HF25"/>
    <mergeCell ref="LA36:LG36"/>
    <mergeCell ref="BW5:CC5"/>
    <mergeCell ref="KT25:KZ25"/>
    <mergeCell ref="HN6:HT6"/>
    <mergeCell ref="KM37:KS37"/>
    <mergeCell ref="KT33:KZ33"/>
    <mergeCell ref="GE33:GK33"/>
    <mergeCell ref="LV34:MB34"/>
    <mergeCell ref="DM25:DS25"/>
    <mergeCell ref="MC37:MI37"/>
    <mergeCell ref="GE35:GK35"/>
    <mergeCell ref="LV36:MB36"/>
    <mergeCell ref="II6:IO6"/>
    <mergeCell ref="BB5:BH5"/>
    <mergeCell ref="LH37:LN37"/>
    <mergeCell ref="LO33:LU33"/>
    <mergeCell ref="EA29:EG29"/>
    <mergeCell ref="GZ33:HF33"/>
    <mergeCell ref="B58:D58"/>
    <mergeCell ref="L29:R29"/>
    <mergeCell ref="IW25:JC25"/>
    <mergeCell ref="JY33:KE33"/>
    <mergeCell ref="MQ34:MW34"/>
    <mergeCell ref="EH25:EN25"/>
  </mergeCells>
  <conditionalFormatting sqref="E33">
    <cfRule type="expression" priority="1" dxfId="4" stopIfTrue="0">
      <formula>E33="✓"</formula>
    </cfRule>
  </conditionalFormatting>
  <conditionalFormatting sqref="E34">
    <cfRule type="expression" priority="2" dxfId="4" stopIfTrue="0">
      <formula>E34="✓"</formula>
    </cfRule>
  </conditionalFormatting>
  <conditionalFormatting sqref="E35">
    <cfRule type="expression" priority="3" dxfId="4" stopIfTrue="0">
      <formula>E35="✓"</formula>
    </cfRule>
  </conditionalFormatting>
  <conditionalFormatting sqref="E36">
    <cfRule type="expression" priority="4" dxfId="4" stopIfTrue="0">
      <formula>E36="✓"</formula>
    </cfRule>
  </conditionalFormatting>
  <conditionalFormatting sqref="E37">
    <cfRule type="expression" priority="5" dxfId="4" stopIfTrue="0">
      <formula>E37="✓"</formula>
    </cfRule>
  </conditionalFormatting>
  <conditionalFormatting sqref="E9:K23">
    <cfRule type="expression" priority="6" dxfId="4" stopIfTrue="0">
      <formula>E9="✓"</formula>
    </cfRule>
  </conditionalFormatting>
  <conditionalFormatting sqref="L33">
    <cfRule type="expression" priority="7" dxfId="1" stopIfTrue="0">
      <formula>L33="✓"</formula>
    </cfRule>
  </conditionalFormatting>
  <conditionalFormatting sqref="L34">
    <cfRule type="expression" priority="8" dxfId="1" stopIfTrue="0">
      <formula>L34="✓"</formula>
    </cfRule>
  </conditionalFormatting>
  <conditionalFormatting sqref="L35">
    <cfRule type="expression" priority="9" dxfId="1" stopIfTrue="0">
      <formula>L35="✓"</formula>
    </cfRule>
  </conditionalFormatting>
  <conditionalFormatting sqref="L36">
    <cfRule type="expression" priority="10" dxfId="1" stopIfTrue="0">
      <formula>L36="✓"</formula>
    </cfRule>
  </conditionalFormatting>
  <conditionalFormatting sqref="L37">
    <cfRule type="expression" priority="11" dxfId="1" stopIfTrue="0">
      <formula>L37="✓"</formula>
    </cfRule>
  </conditionalFormatting>
  <conditionalFormatting sqref="L9:R23">
    <cfRule type="expression" priority="12" dxfId="1" stopIfTrue="0">
      <formula>L9="✓"</formula>
    </cfRule>
  </conditionalFormatting>
  <conditionalFormatting sqref="S33">
    <cfRule type="expression" priority="13" dxfId="3" stopIfTrue="0">
      <formula>S33="✓"</formula>
    </cfRule>
  </conditionalFormatting>
  <conditionalFormatting sqref="S34">
    <cfRule type="expression" priority="14" dxfId="3" stopIfTrue="0">
      <formula>S34="✓"</formula>
    </cfRule>
  </conditionalFormatting>
  <conditionalFormatting sqref="S35">
    <cfRule type="expression" priority="15" dxfId="3" stopIfTrue="0">
      <formula>S35="✓"</formula>
    </cfRule>
  </conditionalFormatting>
  <conditionalFormatting sqref="S36">
    <cfRule type="expression" priority="16" dxfId="3" stopIfTrue="0">
      <formula>S36="✓"</formula>
    </cfRule>
  </conditionalFormatting>
  <conditionalFormatting sqref="S37">
    <cfRule type="expression" priority="17" dxfId="3" stopIfTrue="0">
      <formula>S37="✓"</formula>
    </cfRule>
  </conditionalFormatting>
  <conditionalFormatting sqref="S9:Y23">
    <cfRule type="expression" priority="18" dxfId="3" stopIfTrue="0">
      <formula>S9="✓"</formula>
    </cfRule>
  </conditionalFormatting>
  <conditionalFormatting sqref="Z33">
    <cfRule type="expression" priority="19" dxfId="2" stopIfTrue="0">
      <formula>Z33="✓"</formula>
    </cfRule>
  </conditionalFormatting>
  <conditionalFormatting sqref="Z34">
    <cfRule type="expression" priority="20" dxfId="2" stopIfTrue="0">
      <formula>Z34="✓"</formula>
    </cfRule>
  </conditionalFormatting>
  <conditionalFormatting sqref="Z35">
    <cfRule type="expression" priority="21" dxfId="2" stopIfTrue="0">
      <formula>Z35="✓"</formula>
    </cfRule>
  </conditionalFormatting>
  <conditionalFormatting sqref="Z36">
    <cfRule type="expression" priority="22" dxfId="2" stopIfTrue="0">
      <formula>Z36="✓"</formula>
    </cfRule>
  </conditionalFormatting>
  <conditionalFormatting sqref="Z37">
    <cfRule type="expression" priority="23" dxfId="2" stopIfTrue="0">
      <formula>Z37="✓"</formula>
    </cfRule>
  </conditionalFormatting>
  <conditionalFormatting sqref="Z9:AF23">
    <cfRule type="expression" priority="24" dxfId="2" stopIfTrue="0">
      <formula>Z9="✓"</formula>
    </cfRule>
  </conditionalFormatting>
  <conditionalFormatting sqref="AG33">
    <cfRule type="expression" priority="25" dxfId="0" stopIfTrue="0">
      <formula>AG33="✓"</formula>
    </cfRule>
  </conditionalFormatting>
  <conditionalFormatting sqref="AG34">
    <cfRule type="expression" priority="26" dxfId="0" stopIfTrue="0">
      <formula>AG34="✓"</formula>
    </cfRule>
  </conditionalFormatting>
  <conditionalFormatting sqref="AG35">
    <cfRule type="expression" priority="27" dxfId="0" stopIfTrue="0">
      <formula>AG35="✓"</formula>
    </cfRule>
  </conditionalFormatting>
  <conditionalFormatting sqref="AG36">
    <cfRule type="expression" priority="28" dxfId="0" stopIfTrue="0">
      <formula>AG36="✓"</formula>
    </cfRule>
  </conditionalFormatting>
  <conditionalFormatting sqref="AG37">
    <cfRule type="expression" priority="29" dxfId="0" stopIfTrue="0">
      <formula>AG37="✓"</formula>
    </cfRule>
  </conditionalFormatting>
  <conditionalFormatting sqref="AG9:AM23">
    <cfRule type="expression" priority="30" dxfId="0" stopIfTrue="0">
      <formula>AG9="✓"</formula>
    </cfRule>
  </conditionalFormatting>
  <conditionalFormatting sqref="AN33">
    <cfRule type="expression" priority="31" dxfId="5" stopIfTrue="0">
      <formula>AN33="✓"</formula>
    </cfRule>
  </conditionalFormatting>
  <conditionalFormatting sqref="AN34">
    <cfRule type="expression" priority="32" dxfId="5" stopIfTrue="0">
      <formula>AN34="✓"</formula>
    </cfRule>
  </conditionalFormatting>
  <conditionalFormatting sqref="AN35">
    <cfRule type="expression" priority="33" dxfId="5" stopIfTrue="0">
      <formula>AN35="✓"</formula>
    </cfRule>
  </conditionalFormatting>
  <conditionalFormatting sqref="AN36">
    <cfRule type="expression" priority="34" dxfId="5" stopIfTrue="0">
      <formula>AN36="✓"</formula>
    </cfRule>
  </conditionalFormatting>
  <conditionalFormatting sqref="AN37">
    <cfRule type="expression" priority="35" dxfId="5" stopIfTrue="0">
      <formula>AN37="✓"</formula>
    </cfRule>
  </conditionalFormatting>
  <conditionalFormatting sqref="AN9:AT23">
    <cfRule type="expression" priority="36" dxfId="5" stopIfTrue="0">
      <formula>AN9="✓"</formula>
    </cfRule>
  </conditionalFormatting>
  <conditionalFormatting sqref="AU33">
    <cfRule type="expression" priority="37" dxfId="6" stopIfTrue="0">
      <formula>AU33="✓"</formula>
    </cfRule>
  </conditionalFormatting>
  <conditionalFormatting sqref="AU34">
    <cfRule type="expression" priority="38" dxfId="6" stopIfTrue="0">
      <formula>AU34="✓"</formula>
    </cfRule>
  </conditionalFormatting>
  <conditionalFormatting sqref="AU35">
    <cfRule type="expression" priority="39" dxfId="6" stopIfTrue="0">
      <formula>AU35="✓"</formula>
    </cfRule>
  </conditionalFormatting>
  <conditionalFormatting sqref="AU36">
    <cfRule type="expression" priority="40" dxfId="6" stopIfTrue="0">
      <formula>AU36="✓"</formula>
    </cfRule>
  </conditionalFormatting>
  <conditionalFormatting sqref="AU37">
    <cfRule type="expression" priority="41" dxfId="6" stopIfTrue="0">
      <formula>AU37="✓"</formula>
    </cfRule>
  </conditionalFormatting>
  <conditionalFormatting sqref="AU9:BA23">
    <cfRule type="expression" priority="42" dxfId="6" stopIfTrue="0">
      <formula>AU9="✓"</formula>
    </cfRule>
  </conditionalFormatting>
  <conditionalFormatting sqref="BB33">
    <cfRule type="expression" priority="43" dxfId="7" stopIfTrue="0">
      <formula>BB33="✓"</formula>
    </cfRule>
  </conditionalFormatting>
  <conditionalFormatting sqref="BB34">
    <cfRule type="expression" priority="44" dxfId="7" stopIfTrue="0">
      <formula>BB34="✓"</formula>
    </cfRule>
  </conditionalFormatting>
  <conditionalFormatting sqref="BB35">
    <cfRule type="expression" priority="45" dxfId="7" stopIfTrue="0">
      <formula>BB35="✓"</formula>
    </cfRule>
  </conditionalFormatting>
  <conditionalFormatting sqref="BB36">
    <cfRule type="expression" priority="46" dxfId="7" stopIfTrue="0">
      <formula>BB36="✓"</formula>
    </cfRule>
  </conditionalFormatting>
  <conditionalFormatting sqref="BB37">
    <cfRule type="expression" priority="47" dxfId="7" stopIfTrue="0">
      <formula>BB37="✓"</formula>
    </cfRule>
  </conditionalFormatting>
  <conditionalFormatting sqref="BB9:BH23">
    <cfRule type="expression" priority="48" dxfId="7" stopIfTrue="0">
      <formula>BB9="✓"</formula>
    </cfRule>
  </conditionalFormatting>
  <conditionalFormatting sqref="BI33">
    <cfRule type="expression" priority="49" dxfId="4" stopIfTrue="0">
      <formula>BI33="✓"</formula>
    </cfRule>
  </conditionalFormatting>
  <conditionalFormatting sqref="BI34">
    <cfRule type="expression" priority="50" dxfId="4" stopIfTrue="0">
      <formula>BI34="✓"</formula>
    </cfRule>
  </conditionalFormatting>
  <conditionalFormatting sqref="BI35">
    <cfRule type="expression" priority="51" dxfId="4" stopIfTrue="0">
      <formula>BI35="✓"</formula>
    </cfRule>
  </conditionalFormatting>
  <conditionalFormatting sqref="BI36">
    <cfRule type="expression" priority="52" dxfId="4" stopIfTrue="0">
      <formula>BI36="✓"</formula>
    </cfRule>
  </conditionalFormatting>
  <conditionalFormatting sqref="BI37">
    <cfRule type="expression" priority="53" dxfId="4" stopIfTrue="0">
      <formula>BI37="✓"</formula>
    </cfRule>
  </conditionalFormatting>
  <conditionalFormatting sqref="BI9:BO23">
    <cfRule type="expression" priority="54" dxfId="4" stopIfTrue="0">
      <formula>BI9="✓"</formula>
    </cfRule>
  </conditionalFormatting>
  <conditionalFormatting sqref="BP33">
    <cfRule type="expression" priority="55" dxfId="1" stopIfTrue="0">
      <formula>BP33="✓"</formula>
    </cfRule>
  </conditionalFormatting>
  <conditionalFormatting sqref="BP34">
    <cfRule type="expression" priority="56" dxfId="1" stopIfTrue="0">
      <formula>BP34="✓"</formula>
    </cfRule>
  </conditionalFormatting>
  <conditionalFormatting sqref="BP35">
    <cfRule type="expression" priority="57" dxfId="1" stopIfTrue="0">
      <formula>BP35="✓"</formula>
    </cfRule>
  </conditionalFormatting>
  <conditionalFormatting sqref="BP36">
    <cfRule type="expression" priority="58" dxfId="1" stopIfTrue="0">
      <formula>BP36="✓"</formula>
    </cfRule>
  </conditionalFormatting>
  <conditionalFormatting sqref="BP37">
    <cfRule type="expression" priority="59" dxfId="1" stopIfTrue="0">
      <formula>BP37="✓"</formula>
    </cfRule>
  </conditionalFormatting>
  <conditionalFormatting sqref="BP9:BV23">
    <cfRule type="expression" priority="60" dxfId="1" stopIfTrue="0">
      <formula>BP9="✓"</formula>
    </cfRule>
  </conditionalFormatting>
  <conditionalFormatting sqref="BW33">
    <cfRule type="expression" priority="61" dxfId="3" stopIfTrue="0">
      <formula>BW33="✓"</formula>
    </cfRule>
  </conditionalFormatting>
  <conditionalFormatting sqref="BW34">
    <cfRule type="expression" priority="62" dxfId="3" stopIfTrue="0">
      <formula>BW34="✓"</formula>
    </cfRule>
  </conditionalFormatting>
  <conditionalFormatting sqref="BW35">
    <cfRule type="expression" priority="63" dxfId="3" stopIfTrue="0">
      <formula>BW35="✓"</formula>
    </cfRule>
  </conditionalFormatting>
  <conditionalFormatting sqref="BW36">
    <cfRule type="expression" priority="64" dxfId="3" stopIfTrue="0">
      <formula>BW36="✓"</formula>
    </cfRule>
  </conditionalFormatting>
  <conditionalFormatting sqref="BW37">
    <cfRule type="expression" priority="65" dxfId="3" stopIfTrue="0">
      <formula>BW37="✓"</formula>
    </cfRule>
  </conditionalFormatting>
  <conditionalFormatting sqref="BW9:CC23">
    <cfRule type="expression" priority="66" dxfId="3" stopIfTrue="0">
      <formula>BW9="✓"</formula>
    </cfRule>
  </conditionalFormatting>
  <conditionalFormatting sqref="CD33">
    <cfRule type="expression" priority="67" dxfId="2" stopIfTrue="0">
      <formula>CD33="✓"</formula>
    </cfRule>
  </conditionalFormatting>
  <conditionalFormatting sqref="CD34">
    <cfRule type="expression" priority="68" dxfId="2" stopIfTrue="0">
      <formula>CD34="✓"</formula>
    </cfRule>
  </conditionalFormatting>
  <conditionalFormatting sqref="CD35">
    <cfRule type="expression" priority="69" dxfId="2" stopIfTrue="0">
      <formula>CD35="✓"</formula>
    </cfRule>
  </conditionalFormatting>
  <conditionalFormatting sqref="CD36">
    <cfRule type="expression" priority="70" dxfId="2" stopIfTrue="0">
      <formula>CD36="✓"</formula>
    </cfRule>
  </conditionalFormatting>
  <conditionalFormatting sqref="CD37">
    <cfRule type="expression" priority="71" dxfId="2" stopIfTrue="0">
      <formula>CD37="✓"</formula>
    </cfRule>
  </conditionalFormatting>
  <conditionalFormatting sqref="CD9:CJ23">
    <cfRule type="expression" priority="72" dxfId="2" stopIfTrue="0">
      <formula>CD9="✓"</formula>
    </cfRule>
  </conditionalFormatting>
  <conditionalFormatting sqref="CK33">
    <cfRule type="expression" priority="73" dxfId="0" stopIfTrue="0">
      <formula>CK33="✓"</formula>
    </cfRule>
  </conditionalFormatting>
  <conditionalFormatting sqref="CK34">
    <cfRule type="expression" priority="74" dxfId="0" stopIfTrue="0">
      <formula>CK34="✓"</formula>
    </cfRule>
  </conditionalFormatting>
  <conditionalFormatting sqref="CK35">
    <cfRule type="expression" priority="75" dxfId="0" stopIfTrue="0">
      <formula>CK35="✓"</formula>
    </cfRule>
  </conditionalFormatting>
  <conditionalFormatting sqref="CK36">
    <cfRule type="expression" priority="76" dxfId="0" stopIfTrue="0">
      <formula>CK36="✓"</formula>
    </cfRule>
  </conditionalFormatting>
  <conditionalFormatting sqref="CK37">
    <cfRule type="expression" priority="77" dxfId="0" stopIfTrue="0">
      <formula>CK37="✓"</formula>
    </cfRule>
  </conditionalFormatting>
  <conditionalFormatting sqref="CK9:CQ23">
    <cfRule type="expression" priority="78" dxfId="0" stopIfTrue="0">
      <formula>CK9="✓"</formula>
    </cfRule>
  </conditionalFormatting>
  <conditionalFormatting sqref="CR33">
    <cfRule type="expression" priority="79" dxfId="5" stopIfTrue="0">
      <formula>CR33="✓"</formula>
    </cfRule>
  </conditionalFormatting>
  <conditionalFormatting sqref="CR34">
    <cfRule type="expression" priority="80" dxfId="5" stopIfTrue="0">
      <formula>CR34="✓"</formula>
    </cfRule>
  </conditionalFormatting>
  <conditionalFormatting sqref="CR35">
    <cfRule type="expression" priority="81" dxfId="5" stopIfTrue="0">
      <formula>CR35="✓"</formula>
    </cfRule>
  </conditionalFormatting>
  <conditionalFormatting sqref="CR36">
    <cfRule type="expression" priority="82" dxfId="5" stopIfTrue="0">
      <formula>CR36="✓"</formula>
    </cfRule>
  </conditionalFormatting>
  <conditionalFormatting sqref="CR37">
    <cfRule type="expression" priority="83" dxfId="5" stopIfTrue="0">
      <formula>CR37="✓"</formula>
    </cfRule>
  </conditionalFormatting>
  <conditionalFormatting sqref="CR9:CX23">
    <cfRule type="expression" priority="84" dxfId="5" stopIfTrue="0">
      <formula>CR9="✓"</formula>
    </cfRule>
  </conditionalFormatting>
  <conditionalFormatting sqref="CY33">
    <cfRule type="expression" priority="85" dxfId="6" stopIfTrue="0">
      <formula>CY33="✓"</formula>
    </cfRule>
  </conditionalFormatting>
  <conditionalFormatting sqref="CY34">
    <cfRule type="expression" priority="86" dxfId="6" stopIfTrue="0">
      <formula>CY34="✓"</formula>
    </cfRule>
  </conditionalFormatting>
  <conditionalFormatting sqref="CY35">
    <cfRule type="expression" priority="87" dxfId="6" stopIfTrue="0">
      <formula>CY35="✓"</formula>
    </cfRule>
  </conditionalFormatting>
  <conditionalFormatting sqref="CY36">
    <cfRule type="expression" priority="88" dxfId="6" stopIfTrue="0">
      <formula>CY36="✓"</formula>
    </cfRule>
  </conditionalFormatting>
  <conditionalFormatting sqref="CY37">
    <cfRule type="expression" priority="89" dxfId="6" stopIfTrue="0">
      <formula>CY37="✓"</formula>
    </cfRule>
  </conditionalFormatting>
  <conditionalFormatting sqref="CY9:DE23">
    <cfRule type="expression" priority="90" dxfId="6" stopIfTrue="0">
      <formula>CY9="✓"</formula>
    </cfRule>
  </conditionalFormatting>
  <conditionalFormatting sqref="DF33">
    <cfRule type="expression" priority="91" dxfId="7" stopIfTrue="0">
      <formula>DF33="✓"</formula>
    </cfRule>
  </conditionalFormatting>
  <conditionalFormatting sqref="DF34">
    <cfRule type="expression" priority="92" dxfId="7" stopIfTrue="0">
      <formula>DF34="✓"</formula>
    </cfRule>
  </conditionalFormatting>
  <conditionalFormatting sqref="DF35">
    <cfRule type="expression" priority="93" dxfId="7" stopIfTrue="0">
      <formula>DF35="✓"</formula>
    </cfRule>
  </conditionalFormatting>
  <conditionalFormatting sqref="DF36">
    <cfRule type="expression" priority="94" dxfId="7" stopIfTrue="0">
      <formula>DF36="✓"</formula>
    </cfRule>
  </conditionalFormatting>
  <conditionalFormatting sqref="DF37">
    <cfRule type="expression" priority="95" dxfId="7" stopIfTrue="0">
      <formula>DF37="✓"</formula>
    </cfRule>
  </conditionalFormatting>
  <conditionalFormatting sqref="DF9:DL23">
    <cfRule type="expression" priority="96" dxfId="7" stopIfTrue="0">
      <formula>DF9="✓"</formula>
    </cfRule>
  </conditionalFormatting>
  <conditionalFormatting sqref="DM33">
    <cfRule type="expression" priority="97" dxfId="4" stopIfTrue="0">
      <formula>DM33="✓"</formula>
    </cfRule>
  </conditionalFormatting>
  <conditionalFormatting sqref="DM34">
    <cfRule type="expression" priority="98" dxfId="4" stopIfTrue="0">
      <formula>DM34="✓"</formula>
    </cfRule>
  </conditionalFormatting>
  <conditionalFormatting sqref="DM35">
    <cfRule type="expression" priority="99" dxfId="4" stopIfTrue="0">
      <formula>DM35="✓"</formula>
    </cfRule>
  </conditionalFormatting>
  <conditionalFormatting sqref="DM36">
    <cfRule type="expression" priority="100" dxfId="4" stopIfTrue="0">
      <formula>DM36="✓"</formula>
    </cfRule>
  </conditionalFormatting>
  <conditionalFormatting sqref="DM37">
    <cfRule type="expression" priority="101" dxfId="4" stopIfTrue="0">
      <formula>DM37="✓"</formula>
    </cfRule>
  </conditionalFormatting>
  <conditionalFormatting sqref="DM9:DS23">
    <cfRule type="expression" priority="102" dxfId="4" stopIfTrue="0">
      <formula>DM9="✓"</formula>
    </cfRule>
  </conditionalFormatting>
  <conditionalFormatting sqref="DT33">
    <cfRule type="expression" priority="103" dxfId="1" stopIfTrue="0">
      <formula>DT33="✓"</formula>
    </cfRule>
  </conditionalFormatting>
  <conditionalFormatting sqref="DT34">
    <cfRule type="expression" priority="104" dxfId="1" stopIfTrue="0">
      <formula>DT34="✓"</formula>
    </cfRule>
  </conditionalFormatting>
  <conditionalFormatting sqref="DT35">
    <cfRule type="expression" priority="105" dxfId="1" stopIfTrue="0">
      <formula>DT35="✓"</formula>
    </cfRule>
  </conditionalFormatting>
  <conditionalFormatting sqref="DT36">
    <cfRule type="expression" priority="106" dxfId="1" stopIfTrue="0">
      <formula>DT36="✓"</formula>
    </cfRule>
  </conditionalFormatting>
  <conditionalFormatting sqref="DT37">
    <cfRule type="expression" priority="107" dxfId="1" stopIfTrue="0">
      <formula>DT37="✓"</formula>
    </cfRule>
  </conditionalFormatting>
  <conditionalFormatting sqref="DT9:DZ23">
    <cfRule type="expression" priority="108" dxfId="1" stopIfTrue="0">
      <formula>DT9="✓"</formula>
    </cfRule>
  </conditionalFormatting>
  <conditionalFormatting sqref="EA33">
    <cfRule type="expression" priority="109" dxfId="3" stopIfTrue="0">
      <formula>EA33="✓"</formula>
    </cfRule>
  </conditionalFormatting>
  <conditionalFormatting sqref="EA34">
    <cfRule type="expression" priority="110" dxfId="3" stopIfTrue="0">
      <formula>EA34="✓"</formula>
    </cfRule>
  </conditionalFormatting>
  <conditionalFormatting sqref="EA35">
    <cfRule type="expression" priority="111" dxfId="3" stopIfTrue="0">
      <formula>EA35="✓"</formula>
    </cfRule>
  </conditionalFormatting>
  <conditionalFormatting sqref="EA36">
    <cfRule type="expression" priority="112" dxfId="3" stopIfTrue="0">
      <formula>EA36="✓"</formula>
    </cfRule>
  </conditionalFormatting>
  <conditionalFormatting sqref="EA37">
    <cfRule type="expression" priority="113" dxfId="3" stopIfTrue="0">
      <formula>EA37="✓"</formula>
    </cfRule>
  </conditionalFormatting>
  <conditionalFormatting sqref="EA9:EG23">
    <cfRule type="expression" priority="114" dxfId="3" stopIfTrue="0">
      <formula>EA9="✓"</formula>
    </cfRule>
  </conditionalFormatting>
  <conditionalFormatting sqref="EH33">
    <cfRule type="expression" priority="115" dxfId="2" stopIfTrue="0">
      <formula>EH33="✓"</formula>
    </cfRule>
  </conditionalFormatting>
  <conditionalFormatting sqref="EH34">
    <cfRule type="expression" priority="116" dxfId="2" stopIfTrue="0">
      <formula>EH34="✓"</formula>
    </cfRule>
  </conditionalFormatting>
  <conditionalFormatting sqref="EH35">
    <cfRule type="expression" priority="117" dxfId="2" stopIfTrue="0">
      <formula>EH35="✓"</formula>
    </cfRule>
  </conditionalFormatting>
  <conditionalFormatting sqref="EH36">
    <cfRule type="expression" priority="118" dxfId="2" stopIfTrue="0">
      <formula>EH36="✓"</formula>
    </cfRule>
  </conditionalFormatting>
  <conditionalFormatting sqref="EH37">
    <cfRule type="expression" priority="119" dxfId="2" stopIfTrue="0">
      <formula>EH37="✓"</formula>
    </cfRule>
  </conditionalFormatting>
  <conditionalFormatting sqref="EH9:EN23">
    <cfRule type="expression" priority="120" dxfId="2" stopIfTrue="0">
      <formula>EH9="✓"</formula>
    </cfRule>
  </conditionalFormatting>
  <conditionalFormatting sqref="EO33">
    <cfRule type="expression" priority="121" dxfId="0" stopIfTrue="0">
      <formula>EO33="✓"</formula>
    </cfRule>
  </conditionalFormatting>
  <conditionalFormatting sqref="EO34">
    <cfRule type="expression" priority="122" dxfId="0" stopIfTrue="0">
      <formula>EO34="✓"</formula>
    </cfRule>
  </conditionalFormatting>
  <conditionalFormatting sqref="EO35">
    <cfRule type="expression" priority="123" dxfId="0" stopIfTrue="0">
      <formula>EO35="✓"</formula>
    </cfRule>
  </conditionalFormatting>
  <conditionalFormatting sqref="EO36">
    <cfRule type="expression" priority="124" dxfId="0" stopIfTrue="0">
      <formula>EO36="✓"</formula>
    </cfRule>
  </conditionalFormatting>
  <conditionalFormatting sqref="EO37">
    <cfRule type="expression" priority="125" dxfId="0" stopIfTrue="0">
      <formula>EO37="✓"</formula>
    </cfRule>
  </conditionalFormatting>
  <conditionalFormatting sqref="EO9:EU23">
    <cfRule type="expression" priority="126" dxfId="0" stopIfTrue="0">
      <formula>EO9="✓"</formula>
    </cfRule>
  </conditionalFormatting>
  <conditionalFormatting sqref="EV33">
    <cfRule type="expression" priority="127" dxfId="5" stopIfTrue="0">
      <formula>EV33="✓"</formula>
    </cfRule>
  </conditionalFormatting>
  <conditionalFormatting sqref="EV34">
    <cfRule type="expression" priority="128" dxfId="5" stopIfTrue="0">
      <formula>EV34="✓"</formula>
    </cfRule>
  </conditionalFormatting>
  <conditionalFormatting sqref="EV35">
    <cfRule type="expression" priority="129" dxfId="5" stopIfTrue="0">
      <formula>EV35="✓"</formula>
    </cfRule>
  </conditionalFormatting>
  <conditionalFormatting sqref="EV36">
    <cfRule type="expression" priority="130" dxfId="5" stopIfTrue="0">
      <formula>EV36="✓"</formula>
    </cfRule>
  </conditionalFormatting>
  <conditionalFormatting sqref="EV37">
    <cfRule type="expression" priority="131" dxfId="5" stopIfTrue="0">
      <formula>EV37="✓"</formula>
    </cfRule>
  </conditionalFormatting>
  <conditionalFormatting sqref="EV9:FB23">
    <cfRule type="expression" priority="132" dxfId="5" stopIfTrue="0">
      <formula>EV9="✓"</formula>
    </cfRule>
  </conditionalFormatting>
  <conditionalFormatting sqref="FC33">
    <cfRule type="expression" priority="133" dxfId="6" stopIfTrue="0">
      <formula>FC33="✓"</formula>
    </cfRule>
  </conditionalFormatting>
  <conditionalFormatting sqref="FC34">
    <cfRule type="expression" priority="134" dxfId="6" stopIfTrue="0">
      <formula>FC34="✓"</formula>
    </cfRule>
  </conditionalFormatting>
  <conditionalFormatting sqref="FC35">
    <cfRule type="expression" priority="135" dxfId="6" stopIfTrue="0">
      <formula>FC35="✓"</formula>
    </cfRule>
  </conditionalFormatting>
  <conditionalFormatting sqref="FC36">
    <cfRule type="expression" priority="136" dxfId="6" stopIfTrue="0">
      <formula>FC36="✓"</formula>
    </cfRule>
  </conditionalFormatting>
  <conditionalFormatting sqref="FC37">
    <cfRule type="expression" priority="137" dxfId="6" stopIfTrue="0">
      <formula>FC37="✓"</formula>
    </cfRule>
  </conditionalFormatting>
  <conditionalFormatting sqref="FC9:FI23">
    <cfRule type="expression" priority="138" dxfId="6" stopIfTrue="0">
      <formula>FC9="✓"</formula>
    </cfRule>
  </conditionalFormatting>
  <conditionalFormatting sqref="FJ33">
    <cfRule type="expression" priority="139" dxfId="7" stopIfTrue="0">
      <formula>FJ33="✓"</formula>
    </cfRule>
  </conditionalFormatting>
  <conditionalFormatting sqref="FJ34">
    <cfRule type="expression" priority="140" dxfId="7" stopIfTrue="0">
      <formula>FJ34="✓"</formula>
    </cfRule>
  </conditionalFormatting>
  <conditionalFormatting sqref="FJ35">
    <cfRule type="expression" priority="141" dxfId="7" stopIfTrue="0">
      <formula>FJ35="✓"</formula>
    </cfRule>
  </conditionalFormatting>
  <conditionalFormatting sqref="FJ36">
    <cfRule type="expression" priority="142" dxfId="7" stopIfTrue="0">
      <formula>FJ36="✓"</formula>
    </cfRule>
  </conditionalFormatting>
  <conditionalFormatting sqref="FJ37">
    <cfRule type="expression" priority="143" dxfId="7" stopIfTrue="0">
      <formula>FJ37="✓"</formula>
    </cfRule>
  </conditionalFormatting>
  <conditionalFormatting sqref="FJ9:FP23">
    <cfRule type="expression" priority="144" dxfId="7" stopIfTrue="0">
      <formula>FJ9="✓"</formula>
    </cfRule>
  </conditionalFormatting>
  <conditionalFormatting sqref="FQ33">
    <cfRule type="expression" priority="145" dxfId="4" stopIfTrue="0">
      <formula>FQ33="✓"</formula>
    </cfRule>
  </conditionalFormatting>
  <conditionalFormatting sqref="FQ34">
    <cfRule type="expression" priority="146" dxfId="4" stopIfTrue="0">
      <formula>FQ34="✓"</formula>
    </cfRule>
  </conditionalFormatting>
  <conditionalFormatting sqref="FQ35">
    <cfRule type="expression" priority="147" dxfId="4" stopIfTrue="0">
      <formula>FQ35="✓"</formula>
    </cfRule>
  </conditionalFormatting>
  <conditionalFormatting sqref="FQ36">
    <cfRule type="expression" priority="148" dxfId="4" stopIfTrue="0">
      <formula>FQ36="✓"</formula>
    </cfRule>
  </conditionalFormatting>
  <conditionalFormatting sqref="FQ37">
    <cfRule type="expression" priority="149" dxfId="4" stopIfTrue="0">
      <formula>FQ37="✓"</formula>
    </cfRule>
  </conditionalFormatting>
  <conditionalFormatting sqref="FQ9:FW23">
    <cfRule type="expression" priority="150" dxfId="4" stopIfTrue="0">
      <formula>FQ9="✓"</formula>
    </cfRule>
  </conditionalFormatting>
  <conditionalFormatting sqref="FX33">
    <cfRule type="expression" priority="151" dxfId="1" stopIfTrue="0">
      <formula>FX33="✓"</formula>
    </cfRule>
  </conditionalFormatting>
  <conditionalFormatting sqref="FX34">
    <cfRule type="expression" priority="152" dxfId="1" stopIfTrue="0">
      <formula>FX34="✓"</formula>
    </cfRule>
  </conditionalFormatting>
  <conditionalFormatting sqref="FX35">
    <cfRule type="expression" priority="153" dxfId="1" stopIfTrue="0">
      <formula>FX35="✓"</formula>
    </cfRule>
  </conditionalFormatting>
  <conditionalFormatting sqref="FX36">
    <cfRule type="expression" priority="154" dxfId="1" stopIfTrue="0">
      <formula>FX36="✓"</formula>
    </cfRule>
  </conditionalFormatting>
  <conditionalFormatting sqref="FX37">
    <cfRule type="expression" priority="155" dxfId="1" stopIfTrue="0">
      <formula>FX37="✓"</formula>
    </cfRule>
  </conditionalFormatting>
  <conditionalFormatting sqref="FX9:GD23">
    <cfRule type="expression" priority="156" dxfId="1" stopIfTrue="0">
      <formula>FX9="✓"</formula>
    </cfRule>
  </conditionalFormatting>
  <conditionalFormatting sqref="GE33">
    <cfRule type="expression" priority="157" dxfId="3" stopIfTrue="0">
      <formula>GE33="✓"</formula>
    </cfRule>
  </conditionalFormatting>
  <conditionalFormatting sqref="GE34">
    <cfRule type="expression" priority="158" dxfId="3" stopIfTrue="0">
      <formula>GE34="✓"</formula>
    </cfRule>
  </conditionalFormatting>
  <conditionalFormatting sqref="GE35">
    <cfRule type="expression" priority="159" dxfId="3" stopIfTrue="0">
      <formula>GE35="✓"</formula>
    </cfRule>
  </conditionalFormatting>
  <conditionalFormatting sqref="GE36">
    <cfRule type="expression" priority="160" dxfId="3" stopIfTrue="0">
      <formula>GE36="✓"</formula>
    </cfRule>
  </conditionalFormatting>
  <conditionalFormatting sqref="GE37">
    <cfRule type="expression" priority="161" dxfId="3" stopIfTrue="0">
      <formula>GE37="✓"</formula>
    </cfRule>
  </conditionalFormatting>
  <conditionalFormatting sqref="GE9:GK23">
    <cfRule type="expression" priority="162" dxfId="3" stopIfTrue="0">
      <formula>GE9="✓"</formula>
    </cfRule>
  </conditionalFormatting>
  <conditionalFormatting sqref="GL33">
    <cfRule type="expression" priority="163" dxfId="2" stopIfTrue="0">
      <formula>GL33="✓"</formula>
    </cfRule>
  </conditionalFormatting>
  <conditionalFormatting sqref="GL34">
    <cfRule type="expression" priority="164" dxfId="2" stopIfTrue="0">
      <formula>GL34="✓"</formula>
    </cfRule>
  </conditionalFormatting>
  <conditionalFormatting sqref="GL35">
    <cfRule type="expression" priority="165" dxfId="2" stopIfTrue="0">
      <formula>GL35="✓"</formula>
    </cfRule>
  </conditionalFormatting>
  <conditionalFormatting sqref="GL36">
    <cfRule type="expression" priority="166" dxfId="2" stopIfTrue="0">
      <formula>GL36="✓"</formula>
    </cfRule>
  </conditionalFormatting>
  <conditionalFormatting sqref="GL37">
    <cfRule type="expression" priority="167" dxfId="2" stopIfTrue="0">
      <formula>GL37="✓"</formula>
    </cfRule>
  </conditionalFormatting>
  <conditionalFormatting sqref="GL9:GR23">
    <cfRule type="expression" priority="168" dxfId="2" stopIfTrue="0">
      <formula>GL9="✓"</formula>
    </cfRule>
  </conditionalFormatting>
  <conditionalFormatting sqref="GS33">
    <cfRule type="expression" priority="169" dxfId="0" stopIfTrue="0">
      <formula>GS33="✓"</formula>
    </cfRule>
  </conditionalFormatting>
  <conditionalFormatting sqref="GS34">
    <cfRule type="expression" priority="170" dxfId="0" stopIfTrue="0">
      <formula>GS34="✓"</formula>
    </cfRule>
  </conditionalFormatting>
  <conditionalFormatting sqref="GS35">
    <cfRule type="expression" priority="171" dxfId="0" stopIfTrue="0">
      <formula>GS35="✓"</formula>
    </cfRule>
  </conditionalFormatting>
  <conditionalFormatting sqref="GS36">
    <cfRule type="expression" priority="172" dxfId="0" stopIfTrue="0">
      <formula>GS36="✓"</formula>
    </cfRule>
  </conditionalFormatting>
  <conditionalFormatting sqref="GS37">
    <cfRule type="expression" priority="173" dxfId="0" stopIfTrue="0">
      <formula>GS37="✓"</formula>
    </cfRule>
  </conditionalFormatting>
  <conditionalFormatting sqref="GS9:GY23">
    <cfRule type="expression" priority="174" dxfId="0" stopIfTrue="0">
      <formula>GS9="✓"</formula>
    </cfRule>
  </conditionalFormatting>
  <conditionalFormatting sqref="GZ33">
    <cfRule type="expression" priority="175" dxfId="5" stopIfTrue="0">
      <formula>GZ33="✓"</formula>
    </cfRule>
  </conditionalFormatting>
  <conditionalFormatting sqref="GZ34">
    <cfRule type="expression" priority="176" dxfId="5" stopIfTrue="0">
      <formula>GZ34="✓"</formula>
    </cfRule>
  </conditionalFormatting>
  <conditionalFormatting sqref="GZ35">
    <cfRule type="expression" priority="177" dxfId="5" stopIfTrue="0">
      <formula>GZ35="✓"</formula>
    </cfRule>
  </conditionalFormatting>
  <conditionalFormatting sqref="GZ36">
    <cfRule type="expression" priority="178" dxfId="5" stopIfTrue="0">
      <formula>GZ36="✓"</formula>
    </cfRule>
  </conditionalFormatting>
  <conditionalFormatting sqref="GZ37">
    <cfRule type="expression" priority="179" dxfId="5" stopIfTrue="0">
      <formula>GZ37="✓"</formula>
    </cfRule>
  </conditionalFormatting>
  <conditionalFormatting sqref="GZ9:HF23">
    <cfRule type="expression" priority="180" dxfId="5" stopIfTrue="0">
      <formula>GZ9="✓"</formula>
    </cfRule>
  </conditionalFormatting>
  <conditionalFormatting sqref="HG33">
    <cfRule type="expression" priority="181" dxfId="6" stopIfTrue="0">
      <formula>HG33="✓"</formula>
    </cfRule>
  </conditionalFormatting>
  <conditionalFormatting sqref="HG34">
    <cfRule type="expression" priority="182" dxfId="6" stopIfTrue="0">
      <formula>HG34="✓"</formula>
    </cfRule>
  </conditionalFormatting>
  <conditionalFormatting sqref="HG35">
    <cfRule type="expression" priority="183" dxfId="6" stopIfTrue="0">
      <formula>HG35="✓"</formula>
    </cfRule>
  </conditionalFormatting>
  <conditionalFormatting sqref="HG36">
    <cfRule type="expression" priority="184" dxfId="6" stopIfTrue="0">
      <formula>HG36="✓"</formula>
    </cfRule>
  </conditionalFormatting>
  <conditionalFormatting sqref="HG37">
    <cfRule type="expression" priority="185" dxfId="6" stopIfTrue="0">
      <formula>HG37="✓"</formula>
    </cfRule>
  </conditionalFormatting>
  <conditionalFormatting sqref="HG9:HM23">
    <cfRule type="expression" priority="186" dxfId="6" stopIfTrue="0">
      <formula>HG9="✓"</formula>
    </cfRule>
  </conditionalFormatting>
  <conditionalFormatting sqref="HN33">
    <cfRule type="expression" priority="187" dxfId="7" stopIfTrue="0">
      <formula>HN33="✓"</formula>
    </cfRule>
  </conditionalFormatting>
  <conditionalFormatting sqref="HN34">
    <cfRule type="expression" priority="188" dxfId="7" stopIfTrue="0">
      <formula>HN34="✓"</formula>
    </cfRule>
  </conditionalFormatting>
  <conditionalFormatting sqref="HN35">
    <cfRule type="expression" priority="189" dxfId="7" stopIfTrue="0">
      <formula>HN35="✓"</formula>
    </cfRule>
  </conditionalFormatting>
  <conditionalFormatting sqref="HN36">
    <cfRule type="expression" priority="190" dxfId="7" stopIfTrue="0">
      <formula>HN36="✓"</formula>
    </cfRule>
  </conditionalFormatting>
  <conditionalFormatting sqref="HN37">
    <cfRule type="expression" priority="191" dxfId="7" stopIfTrue="0">
      <formula>HN37="✓"</formula>
    </cfRule>
  </conditionalFormatting>
  <conditionalFormatting sqref="HN9:HT23">
    <cfRule type="expression" priority="192" dxfId="7" stopIfTrue="0">
      <formula>HN9="✓"</formula>
    </cfRule>
  </conditionalFormatting>
  <conditionalFormatting sqref="HU33">
    <cfRule type="expression" priority="193" dxfId="4" stopIfTrue="0">
      <formula>HU33="✓"</formula>
    </cfRule>
  </conditionalFormatting>
  <conditionalFormatting sqref="HU34">
    <cfRule type="expression" priority="194" dxfId="4" stopIfTrue="0">
      <formula>HU34="✓"</formula>
    </cfRule>
  </conditionalFormatting>
  <conditionalFormatting sqref="HU35">
    <cfRule type="expression" priority="195" dxfId="4" stopIfTrue="0">
      <formula>HU35="✓"</formula>
    </cfRule>
  </conditionalFormatting>
  <conditionalFormatting sqref="HU36">
    <cfRule type="expression" priority="196" dxfId="4" stopIfTrue="0">
      <formula>HU36="✓"</formula>
    </cfRule>
  </conditionalFormatting>
  <conditionalFormatting sqref="HU37">
    <cfRule type="expression" priority="197" dxfId="4" stopIfTrue="0">
      <formula>HU37="✓"</formula>
    </cfRule>
  </conditionalFormatting>
  <conditionalFormatting sqref="HU9:IA23">
    <cfRule type="expression" priority="198" dxfId="4" stopIfTrue="0">
      <formula>HU9="✓"</formula>
    </cfRule>
  </conditionalFormatting>
  <conditionalFormatting sqref="IB33">
    <cfRule type="expression" priority="199" dxfId="1" stopIfTrue="0">
      <formula>IB33="✓"</formula>
    </cfRule>
  </conditionalFormatting>
  <conditionalFormatting sqref="IB34">
    <cfRule type="expression" priority="200" dxfId="1" stopIfTrue="0">
      <formula>IB34="✓"</formula>
    </cfRule>
  </conditionalFormatting>
  <conditionalFormatting sqref="IB35">
    <cfRule type="expression" priority="201" dxfId="1" stopIfTrue="0">
      <formula>IB35="✓"</formula>
    </cfRule>
  </conditionalFormatting>
  <conditionalFormatting sqref="IB36">
    <cfRule type="expression" priority="202" dxfId="1" stopIfTrue="0">
      <formula>IB36="✓"</formula>
    </cfRule>
  </conditionalFormatting>
  <conditionalFormatting sqref="IB37">
    <cfRule type="expression" priority="203" dxfId="1" stopIfTrue="0">
      <formula>IB37="✓"</formula>
    </cfRule>
  </conditionalFormatting>
  <conditionalFormatting sqref="IB9:IH23">
    <cfRule type="expression" priority="204" dxfId="1" stopIfTrue="0">
      <formula>IB9="✓"</formula>
    </cfRule>
  </conditionalFormatting>
  <conditionalFormatting sqref="II33">
    <cfRule type="expression" priority="205" dxfId="3" stopIfTrue="0">
      <formula>II33="✓"</formula>
    </cfRule>
  </conditionalFormatting>
  <conditionalFormatting sqref="II34">
    <cfRule type="expression" priority="206" dxfId="3" stopIfTrue="0">
      <formula>II34="✓"</formula>
    </cfRule>
  </conditionalFormatting>
  <conditionalFormatting sqref="II35">
    <cfRule type="expression" priority="207" dxfId="3" stopIfTrue="0">
      <formula>II35="✓"</formula>
    </cfRule>
  </conditionalFormatting>
  <conditionalFormatting sqref="II36">
    <cfRule type="expression" priority="208" dxfId="3" stopIfTrue="0">
      <formula>II36="✓"</formula>
    </cfRule>
  </conditionalFormatting>
  <conditionalFormatting sqref="II37">
    <cfRule type="expression" priority="209" dxfId="3" stopIfTrue="0">
      <formula>II37="✓"</formula>
    </cfRule>
  </conditionalFormatting>
  <conditionalFormatting sqref="II9:IO23">
    <cfRule type="expression" priority="210" dxfId="3" stopIfTrue="0">
      <formula>II9="✓"</formula>
    </cfRule>
  </conditionalFormatting>
  <conditionalFormatting sqref="IP33">
    <cfRule type="expression" priority="211" dxfId="2" stopIfTrue="0">
      <formula>IP33="✓"</formula>
    </cfRule>
  </conditionalFormatting>
  <conditionalFormatting sqref="IP34">
    <cfRule type="expression" priority="212" dxfId="2" stopIfTrue="0">
      <formula>IP34="✓"</formula>
    </cfRule>
  </conditionalFormatting>
  <conditionalFormatting sqref="IP35">
    <cfRule type="expression" priority="213" dxfId="2" stopIfTrue="0">
      <formula>IP35="✓"</formula>
    </cfRule>
  </conditionalFormatting>
  <conditionalFormatting sqref="IP36">
    <cfRule type="expression" priority="214" dxfId="2" stopIfTrue="0">
      <formula>IP36="✓"</formula>
    </cfRule>
  </conditionalFormatting>
  <conditionalFormatting sqref="IP37">
    <cfRule type="expression" priority="215" dxfId="2" stopIfTrue="0">
      <formula>IP37="✓"</formula>
    </cfRule>
  </conditionalFormatting>
  <conditionalFormatting sqref="IP9:IV23">
    <cfRule type="expression" priority="216" dxfId="2" stopIfTrue="0">
      <formula>IP9="✓"</formula>
    </cfRule>
  </conditionalFormatting>
  <conditionalFormatting sqref="IW33">
    <cfRule type="expression" priority="217" dxfId="0" stopIfTrue="0">
      <formula>IW33="✓"</formula>
    </cfRule>
  </conditionalFormatting>
  <conditionalFormatting sqref="IW34">
    <cfRule type="expression" priority="218" dxfId="0" stopIfTrue="0">
      <formula>IW34="✓"</formula>
    </cfRule>
  </conditionalFormatting>
  <conditionalFormatting sqref="IW35">
    <cfRule type="expression" priority="219" dxfId="0" stopIfTrue="0">
      <formula>IW35="✓"</formula>
    </cfRule>
  </conditionalFormatting>
  <conditionalFormatting sqref="IW36">
    <cfRule type="expression" priority="220" dxfId="0" stopIfTrue="0">
      <formula>IW36="✓"</formula>
    </cfRule>
  </conditionalFormatting>
  <conditionalFormatting sqref="IW37">
    <cfRule type="expression" priority="221" dxfId="0" stopIfTrue="0">
      <formula>IW37="✓"</formula>
    </cfRule>
  </conditionalFormatting>
  <conditionalFormatting sqref="IW9:JC23">
    <cfRule type="expression" priority="222" dxfId="0" stopIfTrue="0">
      <formula>IW9="✓"</formula>
    </cfRule>
  </conditionalFormatting>
  <conditionalFormatting sqref="JD33">
    <cfRule type="expression" priority="223" dxfId="5" stopIfTrue="0">
      <formula>JD33="✓"</formula>
    </cfRule>
  </conditionalFormatting>
  <conditionalFormatting sqref="JD34">
    <cfRule type="expression" priority="224" dxfId="5" stopIfTrue="0">
      <formula>JD34="✓"</formula>
    </cfRule>
  </conditionalFormatting>
  <conditionalFormatting sqref="JD35">
    <cfRule type="expression" priority="225" dxfId="5" stopIfTrue="0">
      <formula>JD35="✓"</formula>
    </cfRule>
  </conditionalFormatting>
  <conditionalFormatting sqref="JD36">
    <cfRule type="expression" priority="226" dxfId="5" stopIfTrue="0">
      <formula>JD36="✓"</formula>
    </cfRule>
  </conditionalFormatting>
  <conditionalFormatting sqref="JD37">
    <cfRule type="expression" priority="227" dxfId="5" stopIfTrue="0">
      <formula>JD37="✓"</formula>
    </cfRule>
  </conditionalFormatting>
  <conditionalFormatting sqref="JD9:JJ23">
    <cfRule type="expression" priority="228" dxfId="5" stopIfTrue="0">
      <formula>JD9="✓"</formula>
    </cfRule>
  </conditionalFormatting>
  <conditionalFormatting sqref="JK33">
    <cfRule type="expression" priority="229" dxfId="6" stopIfTrue="0">
      <formula>JK33="✓"</formula>
    </cfRule>
  </conditionalFormatting>
  <conditionalFormatting sqref="JK34">
    <cfRule type="expression" priority="230" dxfId="6" stopIfTrue="0">
      <formula>JK34="✓"</formula>
    </cfRule>
  </conditionalFormatting>
  <conditionalFormatting sqref="JK35">
    <cfRule type="expression" priority="231" dxfId="6" stopIfTrue="0">
      <formula>JK35="✓"</formula>
    </cfRule>
  </conditionalFormatting>
  <conditionalFormatting sqref="JK36">
    <cfRule type="expression" priority="232" dxfId="6" stopIfTrue="0">
      <formula>JK36="✓"</formula>
    </cfRule>
  </conditionalFormatting>
  <conditionalFormatting sqref="JK37">
    <cfRule type="expression" priority="233" dxfId="6" stopIfTrue="0">
      <formula>JK37="✓"</formula>
    </cfRule>
  </conditionalFormatting>
  <conditionalFormatting sqref="JK9:JQ23">
    <cfRule type="expression" priority="234" dxfId="6" stopIfTrue="0">
      <formula>JK9="✓"</formula>
    </cfRule>
  </conditionalFormatting>
  <conditionalFormatting sqref="JR33">
    <cfRule type="expression" priority="235" dxfId="7" stopIfTrue="0">
      <formula>JR33="✓"</formula>
    </cfRule>
  </conditionalFormatting>
  <conditionalFormatting sqref="JR34">
    <cfRule type="expression" priority="236" dxfId="7" stopIfTrue="0">
      <formula>JR34="✓"</formula>
    </cfRule>
  </conditionalFormatting>
  <conditionalFormatting sqref="JR35">
    <cfRule type="expression" priority="237" dxfId="7" stopIfTrue="0">
      <formula>JR35="✓"</formula>
    </cfRule>
  </conditionalFormatting>
  <conditionalFormatting sqref="JR36">
    <cfRule type="expression" priority="238" dxfId="7" stopIfTrue="0">
      <formula>JR36="✓"</formula>
    </cfRule>
  </conditionalFormatting>
  <conditionalFormatting sqref="JR37">
    <cfRule type="expression" priority="239" dxfId="7" stopIfTrue="0">
      <formula>JR37="✓"</formula>
    </cfRule>
  </conditionalFormatting>
  <conditionalFormatting sqref="JR9:JX23">
    <cfRule type="expression" priority="240" dxfId="7" stopIfTrue="0">
      <formula>JR9="✓"</formula>
    </cfRule>
  </conditionalFormatting>
  <conditionalFormatting sqref="JY33">
    <cfRule type="expression" priority="241" dxfId="4" stopIfTrue="0">
      <formula>JY33="✓"</formula>
    </cfRule>
  </conditionalFormatting>
  <conditionalFormatting sqref="JY34">
    <cfRule type="expression" priority="242" dxfId="4" stopIfTrue="0">
      <formula>JY34="✓"</formula>
    </cfRule>
  </conditionalFormatting>
  <conditionalFormatting sqref="JY35">
    <cfRule type="expression" priority="243" dxfId="4" stopIfTrue="0">
      <formula>JY35="✓"</formula>
    </cfRule>
  </conditionalFormatting>
  <conditionalFormatting sqref="JY36">
    <cfRule type="expression" priority="244" dxfId="4" stopIfTrue="0">
      <formula>JY36="✓"</formula>
    </cfRule>
  </conditionalFormatting>
  <conditionalFormatting sqref="JY37">
    <cfRule type="expression" priority="245" dxfId="4" stopIfTrue="0">
      <formula>JY37="✓"</formula>
    </cfRule>
  </conditionalFormatting>
  <conditionalFormatting sqref="JY9:KE23">
    <cfRule type="expression" priority="246" dxfId="4" stopIfTrue="0">
      <formula>JY9="✓"</formula>
    </cfRule>
  </conditionalFormatting>
  <conditionalFormatting sqref="KF33">
    <cfRule type="expression" priority="247" dxfId="1" stopIfTrue="0">
      <formula>KF33="✓"</formula>
    </cfRule>
  </conditionalFormatting>
  <conditionalFormatting sqref="KF34">
    <cfRule type="expression" priority="248" dxfId="1" stopIfTrue="0">
      <formula>KF34="✓"</formula>
    </cfRule>
  </conditionalFormatting>
  <conditionalFormatting sqref="KF35">
    <cfRule type="expression" priority="249" dxfId="1" stopIfTrue="0">
      <formula>KF35="✓"</formula>
    </cfRule>
  </conditionalFormatting>
  <conditionalFormatting sqref="KF36">
    <cfRule type="expression" priority="250" dxfId="1" stopIfTrue="0">
      <formula>KF36="✓"</formula>
    </cfRule>
  </conditionalFormatting>
  <conditionalFormatting sqref="KF37">
    <cfRule type="expression" priority="251" dxfId="1" stopIfTrue="0">
      <formula>KF37="✓"</formula>
    </cfRule>
  </conditionalFormatting>
  <conditionalFormatting sqref="KF9:KL23">
    <cfRule type="expression" priority="252" dxfId="1" stopIfTrue="0">
      <formula>KF9="✓"</formula>
    </cfRule>
  </conditionalFormatting>
  <conditionalFormatting sqref="KM33">
    <cfRule type="expression" priority="253" dxfId="3" stopIfTrue="0">
      <formula>KM33="✓"</formula>
    </cfRule>
  </conditionalFormatting>
  <conditionalFormatting sqref="KM34">
    <cfRule type="expression" priority="254" dxfId="3" stopIfTrue="0">
      <formula>KM34="✓"</formula>
    </cfRule>
  </conditionalFormatting>
  <conditionalFormatting sqref="KM35">
    <cfRule type="expression" priority="255" dxfId="3" stopIfTrue="0">
      <formula>KM35="✓"</formula>
    </cfRule>
  </conditionalFormatting>
  <conditionalFormatting sqref="KM36">
    <cfRule type="expression" priority="256" dxfId="3" stopIfTrue="0">
      <formula>KM36="✓"</formula>
    </cfRule>
  </conditionalFormatting>
  <conditionalFormatting sqref="KM37">
    <cfRule type="expression" priority="257" dxfId="3" stopIfTrue="0">
      <formula>KM37="✓"</formula>
    </cfRule>
  </conditionalFormatting>
  <conditionalFormatting sqref="KM9:KS23">
    <cfRule type="expression" priority="258" dxfId="3" stopIfTrue="0">
      <formula>KM9="✓"</formula>
    </cfRule>
  </conditionalFormatting>
  <conditionalFormatting sqref="KT33">
    <cfRule type="expression" priority="259" dxfId="2" stopIfTrue="0">
      <formula>KT33="✓"</formula>
    </cfRule>
  </conditionalFormatting>
  <conditionalFormatting sqref="KT34">
    <cfRule type="expression" priority="260" dxfId="2" stopIfTrue="0">
      <formula>KT34="✓"</formula>
    </cfRule>
  </conditionalFormatting>
  <conditionalFormatting sqref="KT35">
    <cfRule type="expression" priority="261" dxfId="2" stopIfTrue="0">
      <formula>KT35="✓"</formula>
    </cfRule>
  </conditionalFormatting>
  <conditionalFormatting sqref="KT36">
    <cfRule type="expression" priority="262" dxfId="2" stopIfTrue="0">
      <formula>KT36="✓"</formula>
    </cfRule>
  </conditionalFormatting>
  <conditionalFormatting sqref="KT37">
    <cfRule type="expression" priority="263" dxfId="2" stopIfTrue="0">
      <formula>KT37="✓"</formula>
    </cfRule>
  </conditionalFormatting>
  <conditionalFormatting sqref="KT9:KZ23">
    <cfRule type="expression" priority="264" dxfId="2" stopIfTrue="0">
      <formula>KT9="✓"</formula>
    </cfRule>
  </conditionalFormatting>
  <conditionalFormatting sqref="LA33">
    <cfRule type="expression" priority="265" dxfId="0" stopIfTrue="0">
      <formula>LA33="✓"</formula>
    </cfRule>
  </conditionalFormatting>
  <conditionalFormatting sqref="LA34">
    <cfRule type="expression" priority="266" dxfId="0" stopIfTrue="0">
      <formula>LA34="✓"</formula>
    </cfRule>
  </conditionalFormatting>
  <conditionalFormatting sqref="LA35">
    <cfRule type="expression" priority="267" dxfId="0" stopIfTrue="0">
      <formula>LA35="✓"</formula>
    </cfRule>
  </conditionalFormatting>
  <conditionalFormatting sqref="LA36">
    <cfRule type="expression" priority="268" dxfId="0" stopIfTrue="0">
      <formula>LA36="✓"</formula>
    </cfRule>
  </conditionalFormatting>
  <conditionalFormatting sqref="LA37">
    <cfRule type="expression" priority="269" dxfId="0" stopIfTrue="0">
      <formula>LA37="✓"</formula>
    </cfRule>
  </conditionalFormatting>
  <conditionalFormatting sqref="LA9:LG23">
    <cfRule type="expression" priority="270" dxfId="0" stopIfTrue="0">
      <formula>LA9="✓"</formula>
    </cfRule>
  </conditionalFormatting>
  <conditionalFormatting sqref="LH33">
    <cfRule type="expression" priority="271" dxfId="5" stopIfTrue="0">
      <formula>LH33="✓"</formula>
    </cfRule>
  </conditionalFormatting>
  <conditionalFormatting sqref="LH34">
    <cfRule type="expression" priority="272" dxfId="5" stopIfTrue="0">
      <formula>LH34="✓"</formula>
    </cfRule>
  </conditionalFormatting>
  <conditionalFormatting sqref="LH35">
    <cfRule type="expression" priority="273" dxfId="5" stopIfTrue="0">
      <formula>LH35="✓"</formula>
    </cfRule>
  </conditionalFormatting>
  <conditionalFormatting sqref="LH36">
    <cfRule type="expression" priority="274" dxfId="5" stopIfTrue="0">
      <formula>LH36="✓"</formula>
    </cfRule>
  </conditionalFormatting>
  <conditionalFormatting sqref="LH37">
    <cfRule type="expression" priority="275" dxfId="5" stopIfTrue="0">
      <formula>LH37="✓"</formula>
    </cfRule>
  </conditionalFormatting>
  <conditionalFormatting sqref="LH9:LN23">
    <cfRule type="expression" priority="276" dxfId="5" stopIfTrue="0">
      <formula>LH9="✓"</formula>
    </cfRule>
  </conditionalFormatting>
  <conditionalFormatting sqref="LO33">
    <cfRule type="expression" priority="277" dxfId="6" stopIfTrue="0">
      <formula>LO33="✓"</formula>
    </cfRule>
  </conditionalFormatting>
  <conditionalFormatting sqref="LO34">
    <cfRule type="expression" priority="278" dxfId="6" stopIfTrue="0">
      <formula>LO34="✓"</formula>
    </cfRule>
  </conditionalFormatting>
  <conditionalFormatting sqref="LO35">
    <cfRule type="expression" priority="279" dxfId="6" stopIfTrue="0">
      <formula>LO35="✓"</formula>
    </cfRule>
  </conditionalFormatting>
  <conditionalFormatting sqref="LO36">
    <cfRule type="expression" priority="280" dxfId="6" stopIfTrue="0">
      <formula>LO36="✓"</formula>
    </cfRule>
  </conditionalFormatting>
  <conditionalFormatting sqref="LO37">
    <cfRule type="expression" priority="281" dxfId="6" stopIfTrue="0">
      <formula>LO37="✓"</formula>
    </cfRule>
  </conditionalFormatting>
  <conditionalFormatting sqref="LO9:LU23">
    <cfRule type="expression" priority="282" dxfId="6" stopIfTrue="0">
      <formula>LO9="✓"</formula>
    </cfRule>
  </conditionalFormatting>
  <conditionalFormatting sqref="LV33">
    <cfRule type="expression" priority="283" dxfId="7" stopIfTrue="0">
      <formula>LV33="✓"</formula>
    </cfRule>
  </conditionalFormatting>
  <conditionalFormatting sqref="LV34">
    <cfRule type="expression" priority="284" dxfId="7" stopIfTrue="0">
      <formula>LV34="✓"</formula>
    </cfRule>
  </conditionalFormatting>
  <conditionalFormatting sqref="LV35">
    <cfRule type="expression" priority="285" dxfId="7" stopIfTrue="0">
      <formula>LV35="✓"</formula>
    </cfRule>
  </conditionalFormatting>
  <conditionalFormatting sqref="LV36">
    <cfRule type="expression" priority="286" dxfId="7" stopIfTrue="0">
      <formula>LV36="✓"</formula>
    </cfRule>
  </conditionalFormatting>
  <conditionalFormatting sqref="LV37">
    <cfRule type="expression" priority="287" dxfId="7" stopIfTrue="0">
      <formula>LV37="✓"</formula>
    </cfRule>
  </conditionalFormatting>
  <conditionalFormatting sqref="LV9:MB23">
    <cfRule type="expression" priority="288" dxfId="7" stopIfTrue="0">
      <formula>LV9="✓"</formula>
    </cfRule>
  </conditionalFormatting>
  <conditionalFormatting sqref="MC33">
    <cfRule type="expression" priority="289" dxfId="4" stopIfTrue="0">
      <formula>MC33="✓"</formula>
    </cfRule>
  </conditionalFormatting>
  <conditionalFormatting sqref="MC34">
    <cfRule type="expression" priority="290" dxfId="4" stopIfTrue="0">
      <formula>MC34="✓"</formula>
    </cfRule>
  </conditionalFormatting>
  <conditionalFormatting sqref="MC35">
    <cfRule type="expression" priority="291" dxfId="4" stopIfTrue="0">
      <formula>MC35="✓"</formula>
    </cfRule>
  </conditionalFormatting>
  <conditionalFormatting sqref="MC36">
    <cfRule type="expression" priority="292" dxfId="4" stopIfTrue="0">
      <formula>MC36="✓"</formula>
    </cfRule>
  </conditionalFormatting>
  <conditionalFormatting sqref="MC37">
    <cfRule type="expression" priority="293" dxfId="4" stopIfTrue="0">
      <formula>MC37="✓"</formula>
    </cfRule>
  </conditionalFormatting>
  <conditionalFormatting sqref="MC9:MI23">
    <cfRule type="expression" priority="294" dxfId="4" stopIfTrue="0">
      <formula>MC9="✓"</formula>
    </cfRule>
  </conditionalFormatting>
  <conditionalFormatting sqref="MJ33">
    <cfRule type="expression" priority="295" dxfId="1" stopIfTrue="0">
      <formula>MJ33="✓"</formula>
    </cfRule>
  </conditionalFormatting>
  <conditionalFormatting sqref="MJ34">
    <cfRule type="expression" priority="296" dxfId="1" stopIfTrue="0">
      <formula>MJ34="✓"</formula>
    </cfRule>
  </conditionalFormatting>
  <conditionalFormatting sqref="MJ35">
    <cfRule type="expression" priority="297" dxfId="1" stopIfTrue="0">
      <formula>MJ35="✓"</formula>
    </cfRule>
  </conditionalFormatting>
  <conditionalFormatting sqref="MJ36">
    <cfRule type="expression" priority="298" dxfId="1" stopIfTrue="0">
      <formula>MJ36="✓"</formula>
    </cfRule>
  </conditionalFormatting>
  <conditionalFormatting sqref="MJ37">
    <cfRule type="expression" priority="299" dxfId="1" stopIfTrue="0">
      <formula>MJ37="✓"</formula>
    </cfRule>
  </conditionalFormatting>
  <conditionalFormatting sqref="MJ9:MP23">
    <cfRule type="expression" priority="300" dxfId="1" stopIfTrue="0">
      <formula>MJ9="✓"</formula>
    </cfRule>
  </conditionalFormatting>
  <conditionalFormatting sqref="MQ33">
    <cfRule type="expression" priority="301" dxfId="3" stopIfTrue="0">
      <formula>MQ33="✓"</formula>
    </cfRule>
  </conditionalFormatting>
  <conditionalFormatting sqref="MQ34">
    <cfRule type="expression" priority="302" dxfId="3" stopIfTrue="0">
      <formula>MQ34="✓"</formula>
    </cfRule>
  </conditionalFormatting>
  <conditionalFormatting sqref="MQ35">
    <cfRule type="expression" priority="303" dxfId="3" stopIfTrue="0">
      <formula>MQ35="✓"</formula>
    </cfRule>
  </conditionalFormatting>
  <conditionalFormatting sqref="MQ36">
    <cfRule type="expression" priority="304" dxfId="3" stopIfTrue="0">
      <formula>MQ36="✓"</formula>
    </cfRule>
  </conditionalFormatting>
  <conditionalFormatting sqref="MQ37">
    <cfRule type="expression" priority="305" dxfId="3" stopIfTrue="0">
      <formula>MQ37="✓"</formula>
    </cfRule>
  </conditionalFormatting>
  <conditionalFormatting sqref="MQ9:MW23">
    <cfRule type="expression" priority="306" dxfId="3" stopIfTrue="0">
      <formula>MQ9="✓"</formula>
    </cfRule>
  </conditionalFormatting>
  <conditionalFormatting sqref="MX33">
    <cfRule type="expression" priority="307" dxfId="2" stopIfTrue="0">
      <formula>MX33="✓"</formula>
    </cfRule>
  </conditionalFormatting>
  <conditionalFormatting sqref="MX34">
    <cfRule type="expression" priority="308" dxfId="2" stopIfTrue="0">
      <formula>MX34="✓"</formula>
    </cfRule>
  </conditionalFormatting>
  <conditionalFormatting sqref="MX35">
    <cfRule type="expression" priority="309" dxfId="2" stopIfTrue="0">
      <formula>MX35="✓"</formula>
    </cfRule>
  </conditionalFormatting>
  <conditionalFormatting sqref="MX36">
    <cfRule type="expression" priority="310" dxfId="2" stopIfTrue="0">
      <formula>MX36="✓"</formula>
    </cfRule>
  </conditionalFormatting>
  <conditionalFormatting sqref="MX37">
    <cfRule type="expression" priority="311" dxfId="2" stopIfTrue="0">
      <formula>MX37="✓"</formula>
    </cfRule>
  </conditionalFormatting>
  <conditionalFormatting sqref="MX9:ND23">
    <cfRule type="expression" priority="312" dxfId="2" stopIfTrue="0">
      <formula>MX9="✓"</formula>
    </cfRule>
  </conditionalFormatting>
  <conditionalFormatting sqref="C9">
    <cfRule type="dataBar" priority="313">
      <dataBar showValue="1">
        <cfvo type="num" val="0"/>
        <cfvo type="num" val="1"/>
        <color rgb="00FFB224"/>
      </dataBar>
    </cfRule>
  </conditionalFormatting>
  <conditionalFormatting sqref="C10">
    <cfRule type="dataBar" priority="314">
      <dataBar showValue="1">
        <cfvo type="num" val="0"/>
        <cfvo type="num" val="1"/>
        <color rgb="00FFB224"/>
      </dataBar>
    </cfRule>
  </conditionalFormatting>
  <conditionalFormatting sqref="C11">
    <cfRule type="dataBar" priority="315">
      <dataBar showValue="1">
        <cfvo type="num" val="0"/>
        <cfvo type="num" val="1"/>
        <color rgb="00FFB224"/>
      </dataBar>
    </cfRule>
  </conditionalFormatting>
  <conditionalFormatting sqref="C12">
    <cfRule type="dataBar" priority="316">
      <dataBar showValue="1">
        <cfvo type="num" val="0"/>
        <cfvo type="num" val="1"/>
        <color rgb="00FFB224"/>
      </dataBar>
    </cfRule>
  </conditionalFormatting>
  <conditionalFormatting sqref="C13">
    <cfRule type="dataBar" priority="317">
      <dataBar showValue="1">
        <cfvo type="num" val="0"/>
        <cfvo type="num" val="1"/>
        <color rgb="00FFB224"/>
      </dataBar>
    </cfRule>
  </conditionalFormatting>
  <conditionalFormatting sqref="C14">
    <cfRule type="dataBar" priority="318">
      <dataBar showValue="1">
        <cfvo type="num" val="0"/>
        <cfvo type="num" val="1"/>
        <color rgb="00FFB224"/>
      </dataBar>
    </cfRule>
  </conditionalFormatting>
  <conditionalFormatting sqref="C15">
    <cfRule type="dataBar" priority="319">
      <dataBar showValue="1">
        <cfvo type="num" val="0"/>
        <cfvo type="num" val="1"/>
        <color rgb="00FFB224"/>
      </dataBar>
    </cfRule>
  </conditionalFormatting>
  <conditionalFormatting sqref="C16">
    <cfRule type="dataBar" priority="320">
      <dataBar showValue="1">
        <cfvo type="num" val="0"/>
        <cfvo type="num" val="1"/>
        <color rgb="00FFB224"/>
      </dataBar>
    </cfRule>
  </conditionalFormatting>
  <conditionalFormatting sqref="C17">
    <cfRule type="dataBar" priority="321">
      <dataBar showValue="1">
        <cfvo type="num" val="0"/>
        <cfvo type="num" val="1"/>
        <color rgb="00FFB224"/>
      </dataBar>
    </cfRule>
  </conditionalFormatting>
  <conditionalFormatting sqref="C18">
    <cfRule type="dataBar" priority="322">
      <dataBar showValue="1">
        <cfvo type="num" val="0"/>
        <cfvo type="num" val="1"/>
        <color rgb="00FFB224"/>
      </dataBar>
    </cfRule>
  </conditionalFormatting>
  <conditionalFormatting sqref="C19">
    <cfRule type="dataBar" priority="323">
      <dataBar showValue="1">
        <cfvo type="num" val="0"/>
        <cfvo type="num" val="1"/>
        <color rgb="00FFB224"/>
      </dataBar>
    </cfRule>
  </conditionalFormatting>
  <conditionalFormatting sqref="C20">
    <cfRule type="dataBar" priority="324">
      <dataBar showValue="1">
        <cfvo type="num" val="0"/>
        <cfvo type="num" val="1"/>
        <color rgb="00FFB224"/>
      </dataBar>
    </cfRule>
  </conditionalFormatting>
  <conditionalFormatting sqref="C21">
    <cfRule type="dataBar" priority="325">
      <dataBar showValue="1">
        <cfvo type="num" val="0"/>
        <cfvo type="num" val="1"/>
        <color rgb="00FFB224"/>
      </dataBar>
    </cfRule>
  </conditionalFormatting>
  <conditionalFormatting sqref="C22">
    <cfRule type="dataBar" priority="326">
      <dataBar showValue="1">
        <cfvo type="num" val="0"/>
        <cfvo type="num" val="1"/>
        <color rgb="00FFB224"/>
      </dataBar>
    </cfRule>
  </conditionalFormatting>
  <conditionalFormatting sqref="C23">
    <cfRule type="dataBar" priority="327">
      <dataBar showValue="1">
        <cfvo type="num" val="0"/>
        <cfvo type="num" val="1"/>
        <color rgb="00FFB224"/>
      </dataBar>
    </cfRule>
  </conditionalFormatting>
  <conditionalFormatting sqref="E28:ND28">
    <cfRule type="colorScale" priority="328">
      <colorScale>
        <cfvo type="num" val="1"/>
        <cfvo type="num" val="3"/>
        <cfvo type="num" val="5"/>
        <color rgb="00FF4F8B"/>
        <color rgb="00FFB224"/>
        <color rgb="0035D6BE"/>
      </colorScale>
    </cfRule>
  </conditionalFormatting>
  <conditionalFormatting sqref="E7:ND8">
    <cfRule type="expression" priority="329" dxfId="5" stopIfTrue="0">
      <formula>E$7=Setup!$D$7</formula>
    </cfRule>
  </conditionalFormatting>
  <dataValidations count="3">
    <dataValidation sqref="E9:ND23" showDropDown="0" showInputMessage="0" showErrorMessage="0" allowBlank="1" error="Please pick a value from the list." type="list" errorStyle="warning">
      <formula1>=Lists!$D$2</formula1>
    </dataValidation>
    <dataValidation sqref="E28:ND28" showDropDown="0" showInputMessage="0" showErrorMessage="0" allowBlank="1" type="whole" operator="between">
      <formula1>1</formula1>
      <formula2>5</formula2>
    </dataValidation>
    <dataValidation sqref="E33:ND37" showDropDown="0" showInputMessage="0" showErrorMessage="0" allowBlank="1" error="Please pick a value from the list." type="list" errorStyle="warning">
      <formula1>=Lists!$D$2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9D8CF7"/>
    <outlinePr summaryBelow="1" summaryRight="1"/>
    <pageSetUpPr/>
  </sheetPr>
  <dimension ref="A1:M400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" min="1" max="1"/>
    <col width="13" customWidth="1" style="1" min="2" max="2"/>
    <col width="90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6" t="inlineStr">
        <is>
          <t>Gratitude Log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7" t="inlineStr">
        <is>
          <t>One line a day — today's entry shows up on the Daily planner.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8" t="inlineStr">
        <is>
          <t>TODAY I'M GRATEFUL FOR…</t>
        </is>
      </c>
      <c r="C4" s="9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30" t="inlineStr">
        <is>
          <t>DATE</t>
        </is>
      </c>
      <c r="C5" s="31" t="inlineStr">
        <is>
          <t>ENTRY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1" t="n"/>
      <c r="B6" s="15" t="n">
        <v>46288</v>
      </c>
      <c r="C6" s="17" t="inlineStr">
        <is>
          <t>A slow coffee and a clear head this morning.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>
      <c r="A7" s="1" t="n"/>
      <c r="B7" s="15" t="n">
        <v>46289</v>
      </c>
      <c r="C7" s="17" t="inlineStr">
        <is>
          <t>Lunch with Amy and a proper laugh.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1" t="n"/>
      <c r="B8" s="15" t="n">
        <v>46290</v>
      </c>
      <c r="C8" s="17" t="inlineStr">
        <is>
          <t>Finishing the proposal draft early.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1" t="n"/>
      <c r="B9" s="15" t="n">
        <v>46291</v>
      </c>
      <c r="C9" s="17" t="inlineStr">
        <is>
          <t>Sam helping with dinner without being asked.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5" t="n">
        <v>46292</v>
      </c>
      <c r="C10" s="17" t="inlineStr">
        <is>
          <t>A sunny walk at lunchtime.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B11" s="15" t="n">
        <v>46293</v>
      </c>
      <c r="C11" s="17" t="inlineStr">
        <is>
          <t>Clear direction and a productive mindset.</t>
        </is>
      </c>
    </row>
    <row r="12">
      <c r="B12" s="15" t="n">
        <v>46294</v>
      </c>
      <c r="C12" s="17" t="inlineStr">
        <is>
          <t>My health and a good night's sleep.</t>
        </is>
      </c>
    </row>
    <row r="13">
      <c r="B13" s="15" t="n"/>
      <c r="C13" s="17" t="n"/>
    </row>
    <row r="14">
      <c r="B14" s="15" t="n"/>
      <c r="C14" s="17" t="n"/>
    </row>
    <row r="15">
      <c r="B15" s="15" t="n"/>
      <c r="C15" s="17" t="n"/>
    </row>
    <row r="16">
      <c r="B16" s="15" t="n"/>
      <c r="C16" s="17" t="n"/>
    </row>
    <row r="17">
      <c r="B17" s="15" t="n"/>
      <c r="C17" s="17" t="n"/>
    </row>
    <row r="18">
      <c r="B18" s="15" t="n"/>
      <c r="C18" s="17" t="n"/>
    </row>
    <row r="19">
      <c r="B19" s="15" t="n"/>
      <c r="C19" s="17" t="n"/>
    </row>
    <row r="20">
      <c r="B20" s="15" t="n"/>
      <c r="C20" s="17" t="n"/>
    </row>
    <row r="21">
      <c r="B21" s="15" t="n"/>
      <c r="C21" s="17" t="n"/>
    </row>
    <row r="22">
      <c r="B22" s="15" t="n"/>
      <c r="C22" s="17" t="n"/>
    </row>
    <row r="23">
      <c r="B23" s="15" t="n"/>
      <c r="C23" s="17" t="n"/>
    </row>
    <row r="24">
      <c r="B24" s="15" t="n"/>
      <c r="C24" s="17" t="n"/>
    </row>
    <row r="25">
      <c r="B25" s="15" t="n"/>
      <c r="C25" s="17" t="n"/>
    </row>
    <row r="26">
      <c r="B26" s="15" t="n"/>
      <c r="C26" s="17" t="n"/>
    </row>
    <row r="27">
      <c r="B27" s="15" t="n"/>
      <c r="C27" s="17" t="n"/>
    </row>
    <row r="28">
      <c r="B28" s="15" t="n"/>
      <c r="C28" s="17" t="n"/>
    </row>
    <row r="29">
      <c r="B29" s="15" t="n"/>
      <c r="C29" s="17" t="n"/>
    </row>
    <row r="30">
      <c r="B30" s="15" t="n"/>
      <c r="C30" s="17" t="n"/>
    </row>
    <row r="31">
      <c r="B31" s="15" t="n"/>
      <c r="C31" s="17" t="n"/>
    </row>
    <row r="32">
      <c r="B32" s="15" t="n"/>
      <c r="C32" s="17" t="n"/>
    </row>
    <row r="33">
      <c r="B33" s="15" t="n"/>
      <c r="C33" s="17" t="n"/>
    </row>
    <row r="34">
      <c r="B34" s="15" t="n"/>
      <c r="C34" s="17" t="n"/>
    </row>
    <row r="35">
      <c r="B35" s="15" t="n"/>
      <c r="C35" s="17" t="n"/>
    </row>
    <row r="36">
      <c r="B36" s="15" t="n"/>
      <c r="C36" s="17" t="n"/>
    </row>
    <row r="37">
      <c r="B37" s="15" t="n"/>
      <c r="C37" s="17" t="n"/>
    </row>
    <row r="38">
      <c r="B38" s="15" t="n"/>
      <c r="C38" s="17" t="n"/>
    </row>
    <row r="39">
      <c r="B39" s="15" t="n"/>
      <c r="C39" s="17" t="n"/>
    </row>
    <row r="40">
      <c r="B40" s="15" t="n"/>
      <c r="C40" s="17" t="n"/>
    </row>
    <row r="41">
      <c r="B41" s="15" t="n"/>
      <c r="C41" s="17" t="n"/>
    </row>
    <row r="42">
      <c r="B42" s="15" t="n"/>
      <c r="C42" s="17" t="n"/>
    </row>
    <row r="43">
      <c r="B43" s="15" t="n"/>
      <c r="C43" s="17" t="n"/>
    </row>
    <row r="44">
      <c r="B44" s="15" t="n"/>
      <c r="C44" s="17" t="n"/>
    </row>
    <row r="45">
      <c r="B45" s="15" t="n"/>
      <c r="C45" s="17" t="n"/>
    </row>
    <row r="46">
      <c r="B46" s="15" t="n"/>
      <c r="C46" s="17" t="n"/>
    </row>
    <row r="47">
      <c r="B47" s="15" t="n"/>
      <c r="C47" s="17" t="n"/>
    </row>
    <row r="48">
      <c r="B48" s="15" t="n"/>
      <c r="C48" s="17" t="n"/>
    </row>
    <row r="49">
      <c r="B49" s="15" t="n"/>
      <c r="C49" s="17" t="n"/>
    </row>
    <row r="50">
      <c r="B50" s="15" t="n"/>
      <c r="C50" s="17" t="n"/>
    </row>
    <row r="51">
      <c r="B51" s="15" t="n"/>
      <c r="C51" s="17" t="n"/>
    </row>
    <row r="52">
      <c r="B52" s="15" t="n"/>
      <c r="C52" s="17" t="n"/>
    </row>
    <row r="53">
      <c r="B53" s="15" t="n"/>
      <c r="C53" s="17" t="n"/>
    </row>
    <row r="54">
      <c r="B54" s="15" t="n"/>
      <c r="C54" s="17" t="n"/>
    </row>
    <row r="55">
      <c r="B55" s="15" t="n"/>
      <c r="C55" s="17" t="n"/>
    </row>
    <row r="56">
      <c r="B56" s="15" t="n"/>
      <c r="C56" s="17" t="n"/>
    </row>
    <row r="57">
      <c r="B57" s="15" t="n"/>
      <c r="C57" s="17" t="n"/>
    </row>
    <row r="58">
      <c r="B58" s="15" t="n"/>
      <c r="C58" s="17" t="n"/>
    </row>
    <row r="59">
      <c r="B59" s="15" t="n"/>
      <c r="C59" s="17" t="n"/>
    </row>
    <row r="60">
      <c r="B60" s="15" t="n"/>
      <c r="C60" s="17" t="n"/>
    </row>
    <row r="61">
      <c r="B61" s="15" t="n"/>
      <c r="C61" s="17" t="n"/>
    </row>
    <row r="62">
      <c r="B62" s="15" t="n"/>
      <c r="C62" s="17" t="n"/>
    </row>
    <row r="63">
      <c r="B63" s="15" t="n"/>
      <c r="C63" s="17" t="n"/>
    </row>
    <row r="64">
      <c r="B64" s="15" t="n"/>
      <c r="C64" s="17" t="n"/>
    </row>
    <row r="65">
      <c r="B65" s="15" t="n"/>
      <c r="C65" s="17" t="n"/>
    </row>
    <row r="66">
      <c r="B66" s="15" t="n"/>
      <c r="C66" s="17" t="n"/>
    </row>
    <row r="67">
      <c r="B67" s="15" t="n"/>
      <c r="C67" s="17" t="n"/>
    </row>
    <row r="68">
      <c r="B68" s="15" t="n"/>
      <c r="C68" s="17" t="n"/>
    </row>
    <row r="69">
      <c r="B69" s="15" t="n"/>
      <c r="C69" s="17" t="n"/>
    </row>
    <row r="70">
      <c r="B70" s="15" t="n"/>
      <c r="C70" s="17" t="n"/>
    </row>
    <row r="71">
      <c r="B71" s="15" t="n"/>
      <c r="C71" s="17" t="n"/>
    </row>
    <row r="72">
      <c r="B72" s="15" t="n"/>
      <c r="C72" s="17" t="n"/>
    </row>
    <row r="73">
      <c r="B73" s="15" t="n"/>
      <c r="C73" s="17" t="n"/>
    </row>
    <row r="74">
      <c r="B74" s="15" t="n"/>
      <c r="C74" s="17" t="n"/>
    </row>
    <row r="75">
      <c r="B75" s="15" t="n"/>
      <c r="C75" s="17" t="n"/>
    </row>
    <row r="76">
      <c r="B76" s="15" t="n"/>
      <c r="C76" s="17" t="n"/>
    </row>
    <row r="77">
      <c r="B77" s="15" t="n"/>
      <c r="C77" s="17" t="n"/>
    </row>
    <row r="78">
      <c r="B78" s="15" t="n"/>
      <c r="C78" s="17" t="n"/>
    </row>
    <row r="79">
      <c r="B79" s="15" t="n"/>
      <c r="C79" s="17" t="n"/>
    </row>
    <row r="80">
      <c r="B80" s="15" t="n"/>
      <c r="C80" s="17" t="n"/>
    </row>
    <row r="81">
      <c r="B81" s="15" t="n"/>
      <c r="C81" s="17" t="n"/>
    </row>
    <row r="82">
      <c r="B82" s="15" t="n"/>
      <c r="C82" s="17" t="n"/>
    </row>
    <row r="83">
      <c r="B83" s="15" t="n"/>
      <c r="C83" s="17" t="n"/>
    </row>
    <row r="84">
      <c r="B84" s="15" t="n"/>
      <c r="C84" s="17" t="n"/>
    </row>
    <row r="85">
      <c r="B85" s="15" t="n"/>
      <c r="C85" s="17" t="n"/>
    </row>
    <row r="86">
      <c r="B86" s="15" t="n"/>
      <c r="C86" s="17" t="n"/>
    </row>
    <row r="87">
      <c r="B87" s="15" t="n"/>
      <c r="C87" s="17" t="n"/>
    </row>
    <row r="88">
      <c r="B88" s="15" t="n"/>
      <c r="C88" s="17" t="n"/>
    </row>
    <row r="89">
      <c r="B89" s="15" t="n"/>
      <c r="C89" s="17" t="n"/>
    </row>
    <row r="90">
      <c r="B90" s="15" t="n"/>
      <c r="C90" s="17" t="n"/>
    </row>
    <row r="91">
      <c r="B91" s="15" t="n"/>
      <c r="C91" s="17" t="n"/>
    </row>
    <row r="92">
      <c r="B92" s="15" t="n"/>
      <c r="C92" s="17" t="n"/>
    </row>
    <row r="93">
      <c r="B93" s="15" t="n"/>
      <c r="C93" s="17" t="n"/>
    </row>
    <row r="94">
      <c r="B94" s="15" t="n"/>
      <c r="C94" s="17" t="n"/>
    </row>
    <row r="95">
      <c r="B95" s="15" t="n"/>
      <c r="C95" s="17" t="n"/>
    </row>
    <row r="96">
      <c r="B96" s="15" t="n"/>
      <c r="C96" s="17" t="n"/>
    </row>
    <row r="97">
      <c r="B97" s="15" t="n"/>
      <c r="C97" s="17" t="n"/>
    </row>
    <row r="98">
      <c r="B98" s="15" t="n"/>
      <c r="C98" s="17" t="n"/>
    </row>
    <row r="99">
      <c r="B99" s="15" t="n"/>
      <c r="C99" s="17" t="n"/>
    </row>
    <row r="100">
      <c r="B100" s="15" t="n"/>
      <c r="C100" s="17" t="n"/>
    </row>
    <row r="101">
      <c r="B101" s="15" t="n"/>
      <c r="C101" s="17" t="n"/>
    </row>
    <row r="102">
      <c r="B102" s="15" t="n"/>
      <c r="C102" s="17" t="n"/>
    </row>
    <row r="103">
      <c r="B103" s="15" t="n"/>
      <c r="C103" s="17" t="n"/>
    </row>
    <row r="104">
      <c r="B104" s="15" t="n"/>
      <c r="C104" s="17" t="n"/>
    </row>
    <row r="105">
      <c r="B105" s="15" t="n"/>
      <c r="C105" s="17" t="n"/>
    </row>
    <row r="106">
      <c r="B106" s="15" t="n"/>
      <c r="C106" s="17" t="n"/>
    </row>
    <row r="107">
      <c r="B107" s="15" t="n"/>
      <c r="C107" s="17" t="n"/>
    </row>
    <row r="108">
      <c r="B108" s="15" t="n"/>
      <c r="C108" s="17" t="n"/>
    </row>
    <row r="109">
      <c r="B109" s="15" t="n"/>
      <c r="C109" s="17" t="n"/>
    </row>
    <row r="110">
      <c r="B110" s="15" t="n"/>
      <c r="C110" s="17" t="n"/>
    </row>
    <row r="111">
      <c r="B111" s="15" t="n"/>
      <c r="C111" s="17" t="n"/>
    </row>
    <row r="112">
      <c r="B112" s="15" t="n"/>
      <c r="C112" s="17" t="n"/>
    </row>
    <row r="113">
      <c r="B113" s="15" t="n"/>
      <c r="C113" s="17" t="n"/>
    </row>
    <row r="114">
      <c r="B114" s="15" t="n"/>
      <c r="C114" s="17" t="n"/>
    </row>
    <row r="115">
      <c r="B115" s="15" t="n"/>
      <c r="C115" s="17" t="n"/>
    </row>
    <row r="116">
      <c r="B116" s="15" t="n"/>
      <c r="C116" s="17" t="n"/>
    </row>
    <row r="117">
      <c r="B117" s="15" t="n"/>
      <c r="C117" s="17" t="n"/>
    </row>
    <row r="118">
      <c r="B118" s="15" t="n"/>
      <c r="C118" s="17" t="n"/>
    </row>
    <row r="119">
      <c r="B119" s="15" t="n"/>
      <c r="C119" s="17" t="n"/>
    </row>
    <row r="120">
      <c r="B120" s="15" t="n"/>
      <c r="C120" s="17" t="n"/>
    </row>
    <row r="121">
      <c r="B121" s="15" t="n"/>
      <c r="C121" s="17" t="n"/>
    </row>
    <row r="122">
      <c r="B122" s="15" t="n"/>
      <c r="C122" s="17" t="n"/>
    </row>
    <row r="123">
      <c r="B123" s="15" t="n"/>
      <c r="C123" s="17" t="n"/>
    </row>
    <row r="124">
      <c r="B124" s="15" t="n"/>
      <c r="C124" s="17" t="n"/>
    </row>
    <row r="125">
      <c r="B125" s="15" t="n"/>
      <c r="C125" s="17" t="n"/>
    </row>
    <row r="126">
      <c r="B126" s="15" t="n"/>
      <c r="C126" s="17" t="n"/>
    </row>
    <row r="127">
      <c r="B127" s="15" t="n"/>
      <c r="C127" s="17" t="n"/>
    </row>
    <row r="128">
      <c r="B128" s="15" t="n"/>
      <c r="C128" s="17" t="n"/>
    </row>
    <row r="129">
      <c r="B129" s="15" t="n"/>
      <c r="C129" s="17" t="n"/>
    </row>
    <row r="130">
      <c r="B130" s="15" t="n"/>
      <c r="C130" s="17" t="n"/>
    </row>
    <row r="131">
      <c r="B131" s="15" t="n"/>
      <c r="C131" s="17" t="n"/>
    </row>
    <row r="132">
      <c r="B132" s="15" t="n"/>
      <c r="C132" s="17" t="n"/>
    </row>
    <row r="133">
      <c r="B133" s="15" t="n"/>
      <c r="C133" s="17" t="n"/>
    </row>
    <row r="134">
      <c r="B134" s="15" t="n"/>
      <c r="C134" s="17" t="n"/>
    </row>
    <row r="135">
      <c r="B135" s="15" t="n"/>
      <c r="C135" s="17" t="n"/>
    </row>
    <row r="136">
      <c r="B136" s="15" t="n"/>
      <c r="C136" s="17" t="n"/>
    </row>
    <row r="137">
      <c r="B137" s="15" t="n"/>
      <c r="C137" s="17" t="n"/>
    </row>
    <row r="138">
      <c r="B138" s="15" t="n"/>
      <c r="C138" s="17" t="n"/>
    </row>
    <row r="139">
      <c r="B139" s="15" t="n"/>
      <c r="C139" s="17" t="n"/>
    </row>
    <row r="140">
      <c r="B140" s="15" t="n"/>
      <c r="C140" s="17" t="n"/>
    </row>
    <row r="141">
      <c r="B141" s="15" t="n"/>
      <c r="C141" s="17" t="n"/>
    </row>
    <row r="142">
      <c r="B142" s="15" t="n"/>
      <c r="C142" s="17" t="n"/>
    </row>
    <row r="143">
      <c r="B143" s="15" t="n"/>
      <c r="C143" s="17" t="n"/>
    </row>
    <row r="144">
      <c r="B144" s="15" t="n"/>
      <c r="C144" s="17" t="n"/>
    </row>
    <row r="145">
      <c r="B145" s="15" t="n"/>
      <c r="C145" s="17" t="n"/>
    </row>
    <row r="146">
      <c r="B146" s="15" t="n"/>
      <c r="C146" s="17" t="n"/>
    </row>
    <row r="147">
      <c r="B147" s="15" t="n"/>
      <c r="C147" s="17" t="n"/>
    </row>
    <row r="148">
      <c r="B148" s="15" t="n"/>
      <c r="C148" s="17" t="n"/>
    </row>
    <row r="149">
      <c r="B149" s="15" t="n"/>
      <c r="C149" s="17" t="n"/>
    </row>
    <row r="150">
      <c r="B150" s="15" t="n"/>
      <c r="C150" s="17" t="n"/>
    </row>
    <row r="151">
      <c r="B151" s="15" t="n"/>
      <c r="C151" s="17" t="n"/>
    </row>
    <row r="152">
      <c r="B152" s="15" t="n"/>
      <c r="C152" s="17" t="n"/>
    </row>
    <row r="153">
      <c r="B153" s="15" t="n"/>
      <c r="C153" s="17" t="n"/>
    </row>
    <row r="154">
      <c r="B154" s="15" t="n"/>
      <c r="C154" s="17" t="n"/>
    </row>
    <row r="155">
      <c r="B155" s="15" t="n"/>
      <c r="C155" s="17" t="n"/>
    </row>
    <row r="156">
      <c r="B156" s="15" t="n"/>
      <c r="C156" s="17" t="n"/>
    </row>
    <row r="157">
      <c r="B157" s="15" t="n"/>
      <c r="C157" s="17" t="n"/>
    </row>
    <row r="158">
      <c r="B158" s="15" t="n"/>
      <c r="C158" s="17" t="n"/>
    </row>
    <row r="159">
      <c r="B159" s="15" t="n"/>
      <c r="C159" s="17" t="n"/>
    </row>
    <row r="160">
      <c r="B160" s="15" t="n"/>
      <c r="C160" s="17" t="n"/>
    </row>
    <row r="161">
      <c r="B161" s="15" t="n"/>
      <c r="C161" s="17" t="n"/>
    </row>
    <row r="162">
      <c r="B162" s="15" t="n"/>
      <c r="C162" s="17" t="n"/>
    </row>
    <row r="163">
      <c r="B163" s="15" t="n"/>
      <c r="C163" s="17" t="n"/>
    </row>
    <row r="164">
      <c r="B164" s="15" t="n"/>
      <c r="C164" s="17" t="n"/>
    </row>
    <row r="165">
      <c r="B165" s="15" t="n"/>
      <c r="C165" s="17" t="n"/>
    </row>
    <row r="166">
      <c r="B166" s="15" t="n"/>
      <c r="C166" s="17" t="n"/>
    </row>
    <row r="167">
      <c r="B167" s="15" t="n"/>
      <c r="C167" s="17" t="n"/>
    </row>
    <row r="168">
      <c r="B168" s="15" t="n"/>
      <c r="C168" s="17" t="n"/>
    </row>
    <row r="169">
      <c r="B169" s="15" t="n"/>
      <c r="C169" s="17" t="n"/>
    </row>
    <row r="170">
      <c r="B170" s="15" t="n"/>
      <c r="C170" s="17" t="n"/>
    </row>
    <row r="171">
      <c r="B171" s="15" t="n"/>
      <c r="C171" s="17" t="n"/>
    </row>
    <row r="172">
      <c r="B172" s="15" t="n"/>
      <c r="C172" s="17" t="n"/>
    </row>
    <row r="173">
      <c r="B173" s="15" t="n"/>
      <c r="C173" s="17" t="n"/>
    </row>
    <row r="174">
      <c r="B174" s="15" t="n"/>
      <c r="C174" s="17" t="n"/>
    </row>
    <row r="175">
      <c r="B175" s="15" t="n"/>
      <c r="C175" s="17" t="n"/>
    </row>
    <row r="176">
      <c r="B176" s="15" t="n"/>
      <c r="C176" s="17" t="n"/>
    </row>
    <row r="177">
      <c r="B177" s="15" t="n"/>
      <c r="C177" s="17" t="n"/>
    </row>
    <row r="178">
      <c r="B178" s="15" t="n"/>
      <c r="C178" s="17" t="n"/>
    </row>
    <row r="179">
      <c r="B179" s="15" t="n"/>
      <c r="C179" s="17" t="n"/>
    </row>
    <row r="180">
      <c r="B180" s="15" t="n"/>
      <c r="C180" s="17" t="n"/>
    </row>
    <row r="181">
      <c r="B181" s="15" t="n"/>
      <c r="C181" s="17" t="n"/>
    </row>
    <row r="182">
      <c r="B182" s="15" t="n"/>
      <c r="C182" s="17" t="n"/>
    </row>
    <row r="183">
      <c r="B183" s="15" t="n"/>
      <c r="C183" s="17" t="n"/>
    </row>
    <row r="184">
      <c r="B184" s="15" t="n"/>
      <c r="C184" s="17" t="n"/>
    </row>
    <row r="185">
      <c r="B185" s="15" t="n"/>
      <c r="C185" s="17" t="n"/>
    </row>
    <row r="186">
      <c r="B186" s="15" t="n"/>
      <c r="C186" s="17" t="n"/>
    </row>
    <row r="187">
      <c r="B187" s="15" t="n"/>
      <c r="C187" s="17" t="n"/>
    </row>
    <row r="188">
      <c r="B188" s="15" t="n"/>
      <c r="C188" s="17" t="n"/>
    </row>
    <row r="189">
      <c r="B189" s="15" t="n"/>
      <c r="C189" s="17" t="n"/>
    </row>
    <row r="190">
      <c r="B190" s="15" t="n"/>
      <c r="C190" s="17" t="n"/>
    </row>
    <row r="191">
      <c r="B191" s="15" t="n"/>
      <c r="C191" s="17" t="n"/>
    </row>
    <row r="192">
      <c r="B192" s="15" t="n"/>
      <c r="C192" s="17" t="n"/>
    </row>
    <row r="193">
      <c r="B193" s="15" t="n"/>
      <c r="C193" s="17" t="n"/>
    </row>
    <row r="194">
      <c r="B194" s="15" t="n"/>
      <c r="C194" s="17" t="n"/>
    </row>
    <row r="195">
      <c r="B195" s="15" t="n"/>
      <c r="C195" s="17" t="n"/>
    </row>
    <row r="196">
      <c r="B196" s="15" t="n"/>
      <c r="C196" s="17" t="n"/>
    </row>
    <row r="197">
      <c r="B197" s="15" t="n"/>
      <c r="C197" s="17" t="n"/>
    </row>
    <row r="198">
      <c r="B198" s="15" t="n"/>
      <c r="C198" s="17" t="n"/>
    </row>
    <row r="199">
      <c r="B199" s="15" t="n"/>
      <c r="C199" s="17" t="n"/>
    </row>
    <row r="200">
      <c r="B200" s="15" t="n"/>
      <c r="C200" s="17" t="n"/>
    </row>
    <row r="201">
      <c r="B201" s="15" t="n"/>
      <c r="C201" s="17" t="n"/>
    </row>
    <row r="202">
      <c r="B202" s="15" t="n"/>
      <c r="C202" s="17" t="n"/>
    </row>
    <row r="203">
      <c r="B203" s="15" t="n"/>
      <c r="C203" s="17" t="n"/>
    </row>
    <row r="204">
      <c r="B204" s="15" t="n"/>
      <c r="C204" s="17" t="n"/>
    </row>
    <row r="205">
      <c r="B205" s="15" t="n"/>
      <c r="C205" s="17" t="n"/>
    </row>
    <row r="206">
      <c r="B206" s="15" t="n"/>
      <c r="C206" s="17" t="n"/>
    </row>
    <row r="207">
      <c r="B207" s="15" t="n"/>
      <c r="C207" s="17" t="n"/>
    </row>
    <row r="208">
      <c r="B208" s="15" t="n"/>
      <c r="C208" s="17" t="n"/>
    </row>
    <row r="209">
      <c r="B209" s="15" t="n"/>
      <c r="C209" s="17" t="n"/>
    </row>
    <row r="210">
      <c r="B210" s="15" t="n"/>
      <c r="C210" s="17" t="n"/>
    </row>
    <row r="211">
      <c r="B211" s="15" t="n"/>
      <c r="C211" s="17" t="n"/>
    </row>
    <row r="212">
      <c r="B212" s="15" t="n"/>
      <c r="C212" s="17" t="n"/>
    </row>
    <row r="213">
      <c r="B213" s="15" t="n"/>
      <c r="C213" s="17" t="n"/>
    </row>
    <row r="214">
      <c r="B214" s="15" t="n"/>
      <c r="C214" s="17" t="n"/>
    </row>
    <row r="215">
      <c r="B215" s="15" t="n"/>
      <c r="C215" s="17" t="n"/>
    </row>
    <row r="216">
      <c r="B216" s="15" t="n"/>
      <c r="C216" s="17" t="n"/>
    </row>
    <row r="217">
      <c r="B217" s="15" t="n"/>
      <c r="C217" s="17" t="n"/>
    </row>
    <row r="218">
      <c r="B218" s="15" t="n"/>
      <c r="C218" s="17" t="n"/>
    </row>
    <row r="219">
      <c r="B219" s="15" t="n"/>
      <c r="C219" s="17" t="n"/>
    </row>
    <row r="220">
      <c r="B220" s="15" t="n"/>
      <c r="C220" s="17" t="n"/>
    </row>
    <row r="221">
      <c r="B221" s="15" t="n"/>
      <c r="C221" s="17" t="n"/>
    </row>
    <row r="222">
      <c r="B222" s="15" t="n"/>
      <c r="C222" s="17" t="n"/>
    </row>
    <row r="223">
      <c r="B223" s="15" t="n"/>
      <c r="C223" s="17" t="n"/>
    </row>
    <row r="224">
      <c r="B224" s="15" t="n"/>
      <c r="C224" s="17" t="n"/>
    </row>
    <row r="225">
      <c r="B225" s="15" t="n"/>
      <c r="C225" s="17" t="n"/>
    </row>
    <row r="226">
      <c r="B226" s="15" t="n"/>
      <c r="C226" s="17" t="n"/>
    </row>
    <row r="227">
      <c r="B227" s="15" t="n"/>
      <c r="C227" s="17" t="n"/>
    </row>
    <row r="228">
      <c r="B228" s="15" t="n"/>
      <c r="C228" s="17" t="n"/>
    </row>
    <row r="229">
      <c r="B229" s="15" t="n"/>
      <c r="C229" s="17" t="n"/>
    </row>
    <row r="230">
      <c r="B230" s="15" t="n"/>
      <c r="C230" s="17" t="n"/>
    </row>
    <row r="231">
      <c r="B231" s="15" t="n"/>
      <c r="C231" s="17" t="n"/>
    </row>
    <row r="232">
      <c r="B232" s="15" t="n"/>
      <c r="C232" s="17" t="n"/>
    </row>
    <row r="233">
      <c r="B233" s="15" t="n"/>
      <c r="C233" s="17" t="n"/>
    </row>
    <row r="234">
      <c r="B234" s="15" t="n"/>
      <c r="C234" s="17" t="n"/>
    </row>
    <row r="235">
      <c r="B235" s="15" t="n"/>
      <c r="C235" s="17" t="n"/>
    </row>
    <row r="236">
      <c r="B236" s="15" t="n"/>
      <c r="C236" s="17" t="n"/>
    </row>
    <row r="237">
      <c r="B237" s="15" t="n"/>
      <c r="C237" s="17" t="n"/>
    </row>
    <row r="238">
      <c r="B238" s="15" t="n"/>
      <c r="C238" s="17" t="n"/>
    </row>
    <row r="239">
      <c r="B239" s="15" t="n"/>
      <c r="C239" s="17" t="n"/>
    </row>
    <row r="240">
      <c r="B240" s="15" t="n"/>
      <c r="C240" s="17" t="n"/>
    </row>
    <row r="241">
      <c r="B241" s="15" t="n"/>
      <c r="C241" s="17" t="n"/>
    </row>
    <row r="242">
      <c r="B242" s="15" t="n"/>
      <c r="C242" s="17" t="n"/>
    </row>
    <row r="243">
      <c r="B243" s="15" t="n"/>
      <c r="C243" s="17" t="n"/>
    </row>
    <row r="244">
      <c r="B244" s="15" t="n"/>
      <c r="C244" s="17" t="n"/>
    </row>
    <row r="245">
      <c r="B245" s="15" t="n"/>
      <c r="C245" s="17" t="n"/>
    </row>
    <row r="246">
      <c r="B246" s="15" t="n"/>
      <c r="C246" s="17" t="n"/>
    </row>
    <row r="247">
      <c r="B247" s="15" t="n"/>
      <c r="C247" s="17" t="n"/>
    </row>
    <row r="248">
      <c r="B248" s="15" t="n"/>
      <c r="C248" s="17" t="n"/>
    </row>
    <row r="249">
      <c r="B249" s="15" t="n"/>
      <c r="C249" s="17" t="n"/>
    </row>
    <row r="250">
      <c r="B250" s="15" t="n"/>
      <c r="C250" s="17" t="n"/>
    </row>
    <row r="251">
      <c r="B251" s="15" t="n"/>
      <c r="C251" s="17" t="n"/>
    </row>
    <row r="252">
      <c r="B252" s="15" t="n"/>
      <c r="C252" s="17" t="n"/>
    </row>
    <row r="253">
      <c r="B253" s="15" t="n"/>
      <c r="C253" s="17" t="n"/>
    </row>
    <row r="254">
      <c r="B254" s="15" t="n"/>
      <c r="C254" s="17" t="n"/>
    </row>
    <row r="255">
      <c r="B255" s="15" t="n"/>
      <c r="C255" s="17" t="n"/>
    </row>
    <row r="256">
      <c r="B256" s="15" t="n"/>
      <c r="C256" s="17" t="n"/>
    </row>
    <row r="257">
      <c r="B257" s="15" t="n"/>
      <c r="C257" s="17" t="n"/>
    </row>
    <row r="258">
      <c r="B258" s="15" t="n"/>
      <c r="C258" s="17" t="n"/>
    </row>
    <row r="259">
      <c r="B259" s="15" t="n"/>
      <c r="C259" s="17" t="n"/>
    </row>
    <row r="260">
      <c r="B260" s="15" t="n"/>
      <c r="C260" s="17" t="n"/>
    </row>
    <row r="261">
      <c r="B261" s="15" t="n"/>
      <c r="C261" s="17" t="n"/>
    </row>
    <row r="262">
      <c r="B262" s="15" t="n"/>
      <c r="C262" s="17" t="n"/>
    </row>
    <row r="263">
      <c r="B263" s="15" t="n"/>
      <c r="C263" s="17" t="n"/>
    </row>
    <row r="264">
      <c r="B264" s="15" t="n"/>
      <c r="C264" s="17" t="n"/>
    </row>
    <row r="265">
      <c r="B265" s="15" t="n"/>
      <c r="C265" s="17" t="n"/>
    </row>
    <row r="266">
      <c r="B266" s="15" t="n"/>
      <c r="C266" s="17" t="n"/>
    </row>
    <row r="267">
      <c r="B267" s="15" t="n"/>
      <c r="C267" s="17" t="n"/>
    </row>
    <row r="268">
      <c r="B268" s="15" t="n"/>
      <c r="C268" s="17" t="n"/>
    </row>
    <row r="269">
      <c r="B269" s="15" t="n"/>
      <c r="C269" s="17" t="n"/>
    </row>
    <row r="270">
      <c r="B270" s="15" t="n"/>
      <c r="C270" s="17" t="n"/>
    </row>
    <row r="271">
      <c r="B271" s="15" t="n"/>
      <c r="C271" s="17" t="n"/>
    </row>
    <row r="272">
      <c r="B272" s="15" t="n"/>
      <c r="C272" s="17" t="n"/>
    </row>
    <row r="273">
      <c r="B273" s="15" t="n"/>
      <c r="C273" s="17" t="n"/>
    </row>
    <row r="274">
      <c r="B274" s="15" t="n"/>
      <c r="C274" s="17" t="n"/>
    </row>
    <row r="275">
      <c r="B275" s="15" t="n"/>
      <c r="C275" s="17" t="n"/>
    </row>
    <row r="276">
      <c r="B276" s="15" t="n"/>
      <c r="C276" s="17" t="n"/>
    </row>
    <row r="277">
      <c r="B277" s="15" t="n"/>
      <c r="C277" s="17" t="n"/>
    </row>
    <row r="278">
      <c r="B278" s="15" t="n"/>
      <c r="C278" s="17" t="n"/>
    </row>
    <row r="279">
      <c r="B279" s="15" t="n"/>
      <c r="C279" s="17" t="n"/>
    </row>
    <row r="280">
      <c r="B280" s="15" t="n"/>
      <c r="C280" s="17" t="n"/>
    </row>
    <row r="281">
      <c r="B281" s="15" t="n"/>
      <c r="C281" s="17" t="n"/>
    </row>
    <row r="282">
      <c r="B282" s="15" t="n"/>
      <c r="C282" s="17" t="n"/>
    </row>
    <row r="283">
      <c r="B283" s="15" t="n"/>
      <c r="C283" s="17" t="n"/>
    </row>
    <row r="284">
      <c r="B284" s="15" t="n"/>
      <c r="C284" s="17" t="n"/>
    </row>
    <row r="285">
      <c r="B285" s="15" t="n"/>
      <c r="C285" s="17" t="n"/>
    </row>
    <row r="286">
      <c r="B286" s="15" t="n"/>
      <c r="C286" s="17" t="n"/>
    </row>
    <row r="287">
      <c r="B287" s="15" t="n"/>
      <c r="C287" s="17" t="n"/>
    </row>
    <row r="288">
      <c r="B288" s="15" t="n"/>
      <c r="C288" s="17" t="n"/>
    </row>
    <row r="289">
      <c r="B289" s="15" t="n"/>
      <c r="C289" s="17" t="n"/>
    </row>
    <row r="290">
      <c r="B290" s="15" t="n"/>
      <c r="C290" s="17" t="n"/>
    </row>
    <row r="291">
      <c r="B291" s="15" t="n"/>
      <c r="C291" s="17" t="n"/>
    </row>
    <row r="292">
      <c r="B292" s="15" t="n"/>
      <c r="C292" s="17" t="n"/>
    </row>
    <row r="293">
      <c r="B293" s="15" t="n"/>
      <c r="C293" s="17" t="n"/>
    </row>
    <row r="294">
      <c r="B294" s="15" t="n"/>
      <c r="C294" s="17" t="n"/>
    </row>
    <row r="295">
      <c r="B295" s="15" t="n"/>
      <c r="C295" s="17" t="n"/>
    </row>
    <row r="296">
      <c r="B296" s="15" t="n"/>
      <c r="C296" s="17" t="n"/>
    </row>
    <row r="297">
      <c r="B297" s="15" t="n"/>
      <c r="C297" s="17" t="n"/>
    </row>
    <row r="298">
      <c r="B298" s="15" t="n"/>
      <c r="C298" s="17" t="n"/>
    </row>
    <row r="299">
      <c r="B299" s="15" t="n"/>
      <c r="C299" s="17" t="n"/>
    </row>
    <row r="300">
      <c r="B300" s="15" t="n"/>
      <c r="C300" s="17" t="n"/>
    </row>
    <row r="301">
      <c r="B301" s="15" t="n"/>
      <c r="C301" s="17" t="n"/>
    </row>
    <row r="302">
      <c r="B302" s="15" t="n"/>
      <c r="C302" s="17" t="n"/>
    </row>
    <row r="303">
      <c r="B303" s="15" t="n"/>
      <c r="C303" s="17" t="n"/>
    </row>
    <row r="304">
      <c r="B304" s="15" t="n"/>
      <c r="C304" s="17" t="n"/>
    </row>
    <row r="305">
      <c r="B305" s="15" t="n"/>
      <c r="C305" s="17" t="n"/>
    </row>
    <row r="306">
      <c r="B306" s="15" t="n"/>
      <c r="C306" s="17" t="n"/>
    </row>
    <row r="307">
      <c r="B307" s="15" t="n"/>
      <c r="C307" s="17" t="n"/>
    </row>
    <row r="308">
      <c r="B308" s="15" t="n"/>
      <c r="C308" s="17" t="n"/>
    </row>
    <row r="309">
      <c r="B309" s="15" t="n"/>
      <c r="C309" s="17" t="n"/>
    </row>
    <row r="310">
      <c r="B310" s="15" t="n"/>
      <c r="C310" s="17" t="n"/>
    </row>
    <row r="311">
      <c r="B311" s="15" t="n"/>
      <c r="C311" s="17" t="n"/>
    </row>
    <row r="312">
      <c r="B312" s="15" t="n"/>
      <c r="C312" s="17" t="n"/>
    </row>
    <row r="313">
      <c r="B313" s="15" t="n"/>
      <c r="C313" s="17" t="n"/>
    </row>
    <row r="314">
      <c r="B314" s="15" t="n"/>
      <c r="C314" s="17" t="n"/>
    </row>
    <row r="315">
      <c r="B315" s="15" t="n"/>
      <c r="C315" s="17" t="n"/>
    </row>
    <row r="316">
      <c r="B316" s="15" t="n"/>
      <c r="C316" s="17" t="n"/>
    </row>
    <row r="317">
      <c r="B317" s="15" t="n"/>
      <c r="C317" s="17" t="n"/>
    </row>
    <row r="318">
      <c r="B318" s="15" t="n"/>
      <c r="C318" s="17" t="n"/>
    </row>
    <row r="319">
      <c r="B319" s="15" t="n"/>
      <c r="C319" s="17" t="n"/>
    </row>
    <row r="320">
      <c r="B320" s="15" t="n"/>
      <c r="C320" s="17" t="n"/>
    </row>
    <row r="321">
      <c r="B321" s="15" t="n"/>
      <c r="C321" s="17" t="n"/>
    </row>
    <row r="322">
      <c r="B322" s="15" t="n"/>
      <c r="C322" s="17" t="n"/>
    </row>
    <row r="323">
      <c r="B323" s="15" t="n"/>
      <c r="C323" s="17" t="n"/>
    </row>
    <row r="324">
      <c r="B324" s="15" t="n"/>
      <c r="C324" s="17" t="n"/>
    </row>
    <row r="325">
      <c r="B325" s="15" t="n"/>
      <c r="C325" s="17" t="n"/>
    </row>
    <row r="326">
      <c r="B326" s="15" t="n"/>
      <c r="C326" s="17" t="n"/>
    </row>
    <row r="327">
      <c r="B327" s="15" t="n"/>
      <c r="C327" s="17" t="n"/>
    </row>
    <row r="328">
      <c r="B328" s="15" t="n"/>
      <c r="C328" s="17" t="n"/>
    </row>
    <row r="329">
      <c r="B329" s="15" t="n"/>
      <c r="C329" s="17" t="n"/>
    </row>
    <row r="330">
      <c r="B330" s="15" t="n"/>
      <c r="C330" s="17" t="n"/>
    </row>
    <row r="331">
      <c r="B331" s="15" t="n"/>
      <c r="C331" s="17" t="n"/>
    </row>
    <row r="332">
      <c r="B332" s="15" t="n"/>
      <c r="C332" s="17" t="n"/>
    </row>
    <row r="333">
      <c r="B333" s="15" t="n"/>
      <c r="C333" s="17" t="n"/>
    </row>
    <row r="334">
      <c r="B334" s="15" t="n"/>
      <c r="C334" s="17" t="n"/>
    </row>
    <row r="335">
      <c r="B335" s="15" t="n"/>
      <c r="C335" s="17" t="n"/>
    </row>
    <row r="336">
      <c r="B336" s="15" t="n"/>
      <c r="C336" s="17" t="n"/>
    </row>
    <row r="337">
      <c r="B337" s="15" t="n"/>
      <c r="C337" s="17" t="n"/>
    </row>
    <row r="338">
      <c r="B338" s="15" t="n"/>
      <c r="C338" s="17" t="n"/>
    </row>
    <row r="339">
      <c r="B339" s="15" t="n"/>
      <c r="C339" s="17" t="n"/>
    </row>
    <row r="340">
      <c r="B340" s="15" t="n"/>
      <c r="C340" s="17" t="n"/>
    </row>
    <row r="341">
      <c r="B341" s="15" t="n"/>
      <c r="C341" s="17" t="n"/>
    </row>
    <row r="342">
      <c r="B342" s="15" t="n"/>
      <c r="C342" s="17" t="n"/>
    </row>
    <row r="343">
      <c r="B343" s="15" t="n"/>
      <c r="C343" s="17" t="n"/>
    </row>
    <row r="344">
      <c r="B344" s="15" t="n"/>
      <c r="C344" s="17" t="n"/>
    </row>
    <row r="345">
      <c r="B345" s="15" t="n"/>
      <c r="C345" s="17" t="n"/>
    </row>
    <row r="346">
      <c r="B346" s="15" t="n"/>
      <c r="C346" s="17" t="n"/>
    </row>
    <row r="347">
      <c r="B347" s="15" t="n"/>
      <c r="C347" s="17" t="n"/>
    </row>
    <row r="348">
      <c r="B348" s="15" t="n"/>
      <c r="C348" s="17" t="n"/>
    </row>
    <row r="349">
      <c r="B349" s="15" t="n"/>
      <c r="C349" s="17" t="n"/>
    </row>
    <row r="350">
      <c r="B350" s="15" t="n"/>
      <c r="C350" s="17" t="n"/>
    </row>
    <row r="351">
      <c r="B351" s="15" t="n"/>
      <c r="C351" s="17" t="n"/>
    </row>
    <row r="352">
      <c r="B352" s="15" t="n"/>
      <c r="C352" s="17" t="n"/>
    </row>
    <row r="353">
      <c r="B353" s="15" t="n"/>
      <c r="C353" s="17" t="n"/>
    </row>
    <row r="354">
      <c r="B354" s="15" t="n"/>
      <c r="C354" s="17" t="n"/>
    </row>
    <row r="355">
      <c r="B355" s="15" t="n"/>
      <c r="C355" s="17" t="n"/>
    </row>
    <row r="356">
      <c r="B356" s="15" t="n"/>
      <c r="C356" s="17" t="n"/>
    </row>
    <row r="357">
      <c r="B357" s="15" t="n"/>
      <c r="C357" s="17" t="n"/>
    </row>
    <row r="358">
      <c r="B358" s="15" t="n"/>
      <c r="C358" s="17" t="n"/>
    </row>
    <row r="359">
      <c r="B359" s="15" t="n"/>
      <c r="C359" s="17" t="n"/>
    </row>
    <row r="360">
      <c r="B360" s="15" t="n"/>
      <c r="C360" s="17" t="n"/>
    </row>
    <row r="361">
      <c r="B361" s="15" t="n"/>
      <c r="C361" s="17" t="n"/>
    </row>
    <row r="362">
      <c r="B362" s="15" t="n"/>
      <c r="C362" s="17" t="n"/>
    </row>
    <row r="363">
      <c r="B363" s="15" t="n"/>
      <c r="C363" s="17" t="n"/>
    </row>
    <row r="364">
      <c r="B364" s="15" t="n"/>
      <c r="C364" s="17" t="n"/>
    </row>
    <row r="365">
      <c r="B365" s="15" t="n"/>
      <c r="C365" s="17" t="n"/>
    </row>
    <row r="366">
      <c r="B366" s="15" t="n"/>
      <c r="C366" s="17" t="n"/>
    </row>
    <row r="367">
      <c r="B367" s="15" t="n"/>
      <c r="C367" s="17" t="n"/>
    </row>
    <row r="368">
      <c r="B368" s="15" t="n"/>
      <c r="C368" s="17" t="n"/>
    </row>
    <row r="369">
      <c r="B369" s="15" t="n"/>
      <c r="C369" s="17" t="n"/>
    </row>
    <row r="370">
      <c r="B370" s="15" t="n"/>
      <c r="C370" s="17" t="n"/>
    </row>
    <row r="371">
      <c r="B371" s="15" t="n"/>
      <c r="C371" s="17" t="n"/>
    </row>
    <row r="372">
      <c r="B372" s="15" t="n"/>
      <c r="C372" s="17" t="n"/>
    </row>
    <row r="373">
      <c r="B373" s="15" t="n"/>
      <c r="C373" s="17" t="n"/>
    </row>
    <row r="374">
      <c r="B374" s="15" t="n"/>
      <c r="C374" s="17" t="n"/>
    </row>
    <row r="375">
      <c r="B375" s="15" t="n"/>
      <c r="C375" s="17" t="n"/>
    </row>
    <row r="376">
      <c r="B376" s="15" t="n"/>
      <c r="C376" s="17" t="n"/>
    </row>
    <row r="377">
      <c r="B377" s="15" t="n"/>
      <c r="C377" s="17" t="n"/>
    </row>
    <row r="378">
      <c r="B378" s="15" t="n"/>
      <c r="C378" s="17" t="n"/>
    </row>
    <row r="379">
      <c r="B379" s="15" t="n"/>
      <c r="C379" s="17" t="n"/>
    </row>
    <row r="380">
      <c r="B380" s="15" t="n"/>
      <c r="C380" s="17" t="n"/>
    </row>
    <row r="381">
      <c r="B381" s="15" t="n"/>
      <c r="C381" s="17" t="n"/>
    </row>
    <row r="382">
      <c r="B382" s="15" t="n"/>
      <c r="C382" s="17" t="n"/>
    </row>
    <row r="383">
      <c r="B383" s="15" t="n"/>
      <c r="C383" s="17" t="n"/>
    </row>
    <row r="384">
      <c r="B384" s="15" t="n"/>
      <c r="C384" s="17" t="n"/>
    </row>
    <row r="385">
      <c r="B385" s="15" t="n"/>
      <c r="C385" s="17" t="n"/>
    </row>
    <row r="386">
      <c r="B386" s="15" t="n"/>
      <c r="C386" s="17" t="n"/>
    </row>
    <row r="387">
      <c r="B387" s="15" t="n"/>
      <c r="C387" s="17" t="n"/>
    </row>
    <row r="388">
      <c r="B388" s="15" t="n"/>
      <c r="C388" s="17" t="n"/>
    </row>
    <row r="389">
      <c r="B389" s="15" t="n"/>
      <c r="C389" s="17" t="n"/>
    </row>
    <row r="390">
      <c r="B390" s="15" t="n"/>
      <c r="C390" s="17" t="n"/>
    </row>
    <row r="391">
      <c r="B391" s="15" t="n"/>
      <c r="C391" s="17" t="n"/>
    </row>
    <row r="392">
      <c r="B392" s="15" t="n"/>
      <c r="C392" s="17" t="n"/>
    </row>
    <row r="393">
      <c r="B393" s="15" t="n"/>
      <c r="C393" s="17" t="n"/>
    </row>
    <row r="394">
      <c r="B394" s="15" t="n"/>
      <c r="C394" s="17" t="n"/>
    </row>
    <row r="395">
      <c r="B395" s="15" t="n"/>
      <c r="C395" s="17" t="n"/>
    </row>
    <row r="396">
      <c r="B396" s="15" t="n"/>
      <c r="C396" s="17" t="n"/>
    </row>
    <row r="397">
      <c r="B397" s="15" t="n"/>
      <c r="C397" s="17" t="n"/>
    </row>
    <row r="398">
      <c r="B398" s="15" t="n"/>
      <c r="C398" s="17" t="n"/>
    </row>
    <row r="399">
      <c r="B399" s="15" t="n"/>
      <c r="C399" s="17" t="n"/>
    </row>
    <row r="400">
      <c r="B400" s="15" t="n"/>
      <c r="C400" s="17" t="n"/>
    </row>
  </sheetData>
  <mergeCells count="2">
    <mergeCell ref="B4:C4"/>
    <mergeCell ref="B2:C2"/>
  </mergeCells>
  <conditionalFormatting sqref="B6:C400">
    <cfRule type="expression" priority="1" dxfId="1" stopIfTrue="0">
      <formula>$B6=Setup!$D$7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BE08A"/>
    <outlinePr summaryBelow="1" summaryRight="1"/>
    <pageSetUpPr/>
  </sheetPr>
  <dimension ref="A1:U150"/>
  <sheetViews>
    <sheetView showGridLines="0" zoomScale="85" workbookViewId="0">
      <selection activeCell="A1" sqref="A1"/>
    </sheetView>
  </sheetViews>
  <sheetFormatPr baseColWidth="8" defaultRowHeight="15"/>
  <cols>
    <col width="2" customWidth="1" style="1" min="1" max="1"/>
    <col width="16" customWidth="1" style="1" min="2" max="2"/>
    <col width="16" customWidth="1" style="1" min="3" max="3"/>
    <col width="16" customWidth="1" style="1" min="4" max="4"/>
    <col width="12" customWidth="1" style="1" min="5" max="5"/>
    <col width="2" customWidth="1" style="1" min="6" max="6"/>
    <col width="30" customWidth="1" style="1" min="7" max="7"/>
    <col width="12" customWidth="1" style="1" min="8" max="8"/>
    <col width="11" customWidth="1" style="1" min="9" max="9"/>
    <col width="7" customWidth="1" style="1" min="10" max="10"/>
    <col width="12" customWidth="1" style="1" min="11" max="11"/>
    <col width="13" customWidth="1" style="1" min="12" max="12"/>
    <col hidden="1" width="13" customWidth="1" style="1" min="13" max="13"/>
    <col hidden="1"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n"/>
      <c r="B2" s="111" t="inlineStr">
        <is>
          <t>Goal Setting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>
      <c r="A3" s="1" t="n"/>
      <c r="B3" s="7" t="inlineStr">
        <is>
          <t>"Goals are dreams with deadlines." — Diana Scharf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" t="n"/>
      <c r="B5" s="168" t="inlineStr">
        <is>
          <t>OVERALL PROGRESS</t>
        </is>
      </c>
      <c r="C5" s="137" t="n"/>
      <c r="D5" s="137" t="n"/>
      <c r="E5" s="137" t="n"/>
      <c r="F5" s="1" t="n"/>
      <c r="G5" s="8" t="inlineStr">
        <is>
          <t>GOALS AT A GLANCE</t>
        </is>
      </c>
      <c r="H5" s="9" t="n"/>
      <c r="I5" s="9" t="n"/>
      <c r="J5" s="9" t="n"/>
      <c r="K5" s="9" t="n"/>
      <c r="L5" s="1" t="n"/>
      <c r="M5" s="1" t="inlineStr">
        <is>
          <t>Goal</t>
        </is>
      </c>
      <c r="N5" s="1" t="inlineStr">
        <is>
          <t>Progress</t>
        </is>
      </c>
      <c r="O5" s="1" t="n"/>
      <c r="P5" s="1" t="n"/>
      <c r="Q5" s="1" t="n"/>
      <c r="R5" s="1" t="n"/>
      <c r="S5" s="1" t="n"/>
      <c r="T5" s="1" t="n"/>
      <c r="U5" s="1" t="n"/>
    </row>
    <row r="6">
      <c r="A6" s="1" t="n"/>
      <c r="B6" s="169">
        <f>IFERROR(AVERAGEIF(K22:K250,"&gt;=0"),0)</f>
        <v/>
      </c>
      <c r="C6" s="35" t="n"/>
      <c r="D6" s="35" t="n"/>
      <c r="E6" s="35" t="n"/>
      <c r="F6" s="1" t="n"/>
      <c r="G6" s="1" t="n"/>
      <c r="H6" s="1" t="n"/>
      <c r="I6" s="1" t="n"/>
      <c r="J6" s="1" t="n"/>
      <c r="K6" s="1" t="n"/>
      <c r="L6" s="1" t="n"/>
      <c r="M6" s="1">
        <f>IF(C24="","Goal 1",C24)</f>
        <v/>
      </c>
      <c r="N6" s="1">
        <f>N(K24)</f>
        <v/>
      </c>
      <c r="O6" s="1" t="n"/>
      <c r="P6" s="1" t="n"/>
      <c r="Q6" s="1" t="n"/>
      <c r="R6" s="1" t="n"/>
      <c r="S6" s="1" t="n"/>
      <c r="T6" s="1" t="n"/>
      <c r="U6" s="1" t="n"/>
    </row>
    <row r="7">
      <c r="A7" s="1" t="n"/>
      <c r="B7" s="35" t="n"/>
      <c r="C7" s="35" t="n"/>
      <c r="D7" s="35" t="n"/>
      <c r="E7" s="35" t="n"/>
      <c r="F7" s="1" t="n"/>
      <c r="G7" s="1" t="n"/>
      <c r="H7" s="1" t="n"/>
      <c r="I7" s="1" t="n"/>
      <c r="J7" s="1" t="n"/>
      <c r="K7" s="1" t="n"/>
      <c r="L7" s="1" t="n"/>
      <c r="M7" s="1">
        <f>IF(C33="","Goal 2",C33)</f>
        <v/>
      </c>
      <c r="N7" s="1">
        <f>N(K33)</f>
        <v/>
      </c>
      <c r="O7" s="1" t="n"/>
      <c r="P7" s="1" t="n"/>
      <c r="Q7" s="1" t="n"/>
      <c r="R7" s="1" t="n"/>
      <c r="S7" s="1" t="n"/>
      <c r="T7" s="1" t="n"/>
      <c r="U7" s="1" t="n"/>
    </row>
    <row r="8">
      <c r="A8" s="1" t="n"/>
      <c r="B8" s="35" t="n"/>
      <c r="C8" s="35" t="n"/>
      <c r="D8" s="35" t="n"/>
      <c r="E8" s="35" t="n"/>
      <c r="F8" s="1" t="n"/>
      <c r="G8" s="1" t="n"/>
      <c r="H8" s="1" t="n"/>
      <c r="I8" s="1" t="n"/>
      <c r="J8" s="1" t="n"/>
      <c r="K8" s="1" t="n"/>
      <c r="L8" s="1" t="n"/>
      <c r="M8" s="1">
        <f>IF(C42="","Goal 3",C42)</f>
        <v/>
      </c>
      <c r="N8" s="1">
        <f>N(K42)</f>
        <v/>
      </c>
      <c r="O8" s="1" t="n"/>
      <c r="P8" s="1" t="n"/>
      <c r="Q8" s="1" t="n"/>
      <c r="R8" s="1" t="n"/>
      <c r="S8" s="1" t="n"/>
      <c r="T8" s="1" t="n"/>
      <c r="U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>
        <f>IF(C51="","Goal 4",C51)</f>
        <v/>
      </c>
      <c r="N9" s="1">
        <f>N(K51)</f>
        <v/>
      </c>
      <c r="O9" s="1" t="n"/>
      <c r="P9" s="1" t="n"/>
      <c r="Q9" s="1" t="n"/>
      <c r="R9" s="1" t="n"/>
      <c r="S9" s="1" t="n"/>
      <c r="T9" s="1" t="n"/>
      <c r="U9" s="1" t="n"/>
    </row>
    <row r="10">
      <c r="A10" s="1" t="n"/>
      <c r="B10" s="23" t="inlineStr">
        <is>
          <t>Tip: paste an inspiring image next to each goal (Insert › Pictures).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>
        <f>IF(C60="","Goal 5",C60)</f>
        <v/>
      </c>
      <c r="N10" s="1">
        <f>N(K60)</f>
        <v/>
      </c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>
        <f>IF(C69="","Goal 6",C69)</f>
        <v/>
      </c>
      <c r="N11" s="1">
        <f>N(K69)</f>
        <v/>
      </c>
      <c r="O11" s="1" t="n"/>
      <c r="P11" s="1" t="n"/>
      <c r="Q11" s="1" t="n"/>
      <c r="R11" s="1" t="n"/>
      <c r="S11" s="1" t="n"/>
      <c r="T11" s="1" t="n"/>
      <c r="U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>
        <f>IF(C78="","Goal 7",C78)</f>
        <v/>
      </c>
      <c r="N12" s="1">
        <f>N(K78)</f>
        <v/>
      </c>
      <c r="O12" s="1" t="n"/>
      <c r="P12" s="1" t="n"/>
      <c r="Q12" s="1" t="n"/>
      <c r="R12" s="1" t="n"/>
      <c r="S12" s="1" t="n"/>
      <c r="T12" s="1" t="n"/>
      <c r="U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>
        <f>IF(C87="","Goal 8",C87)</f>
        <v/>
      </c>
      <c r="N13" s="1">
        <f>N(K87)</f>
        <v/>
      </c>
      <c r="O13" s="1" t="n"/>
      <c r="P13" s="1" t="n"/>
      <c r="Q13" s="1" t="n"/>
      <c r="R13" s="1" t="n"/>
      <c r="S13" s="1" t="n"/>
      <c r="T13" s="1" t="n"/>
      <c r="U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>
        <f>IF(C96="","Goal 9",C96)</f>
        <v/>
      </c>
      <c r="N14" s="1">
        <f>N(K96)</f>
        <v/>
      </c>
      <c r="O14" s="1" t="n"/>
      <c r="P14" s="1" t="n"/>
      <c r="Q14" s="1" t="n"/>
      <c r="R14" s="1" t="n"/>
      <c r="S14" s="1" t="n"/>
      <c r="T14" s="1" t="n"/>
      <c r="U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>
        <f>IF(C105="","Goal 10",C105)</f>
        <v/>
      </c>
      <c r="N15" s="1">
        <f>N(K105)</f>
        <v/>
      </c>
      <c r="O15" s="1" t="n"/>
      <c r="P15" s="1" t="n"/>
      <c r="Q15" s="1" t="n"/>
      <c r="R15" s="1" t="n"/>
      <c r="S15" s="1" t="n"/>
      <c r="T15" s="1" t="n"/>
      <c r="U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>
        <f>IF(C114="","Goal 11",C114)</f>
        <v/>
      </c>
      <c r="N16" s="1">
        <f>N(K114)</f>
        <v/>
      </c>
      <c r="O16" s="1" t="n"/>
      <c r="P16" s="1" t="n"/>
      <c r="Q16" s="1" t="n"/>
      <c r="R16" s="1" t="n"/>
      <c r="S16" s="1" t="n"/>
      <c r="T16" s="1" t="n"/>
      <c r="U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>
        <f>IF(C123="","Goal 12",C123)</f>
        <v/>
      </c>
      <c r="N17" s="1">
        <f>N(K123)</f>
        <v/>
      </c>
      <c r="O17" s="1" t="n"/>
      <c r="P17" s="1" t="n"/>
      <c r="Q17" s="1" t="n"/>
      <c r="R17" s="1" t="n"/>
      <c r="S17" s="1" t="n"/>
      <c r="T17" s="1" t="n"/>
      <c r="U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1" t="n"/>
      <c r="B22" s="170">
        <f>"GOAL 1"&amp;IF(C23="","","  ·  "&amp;UPPER(C23))</f>
        <v/>
      </c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1" t="n"/>
      <c r="B23" s="31" t="inlineStr">
        <is>
          <t>CATEGORY</t>
        </is>
      </c>
      <c r="C23" s="17" t="inlineStr">
        <is>
          <t>Personal Growth</t>
        </is>
      </c>
      <c r="D23" s="32" t="n"/>
      <c r="E23" s="32" t="n"/>
      <c r="F23" s="1" t="n"/>
      <c r="G23" s="31" t="inlineStr">
        <is>
          <t>STEP BY STEP TO GET THERE</t>
        </is>
      </c>
      <c r="I23" s="30" t="inlineStr">
        <is>
          <t>DUE</t>
        </is>
      </c>
      <c r="J23" s="30" t="inlineStr">
        <is>
          <t>DONE</t>
        </is>
      </c>
      <c r="K23" s="30" t="inlineStr">
        <is>
          <t>PROGRESS</t>
        </is>
      </c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1" t="n"/>
      <c r="B24" s="31" t="inlineStr">
        <is>
          <t>GOAL</t>
        </is>
      </c>
      <c r="C24" s="17" t="inlineStr">
        <is>
          <t>Learn to speak Spanish</t>
        </is>
      </c>
      <c r="D24" s="32" t="n"/>
      <c r="E24" s="32" t="n"/>
      <c r="F24" s="1" t="n"/>
      <c r="G24" s="17" t="inlineStr">
        <is>
          <t>Find a tutor</t>
        </is>
      </c>
      <c r="H24" s="32" t="n"/>
      <c r="I24" s="15" t="n">
        <v>46310</v>
      </c>
      <c r="J24" s="22" t="inlineStr">
        <is>
          <t>✓</t>
        </is>
      </c>
      <c r="K24" s="171">
        <f>IF(COUNTA(G24:G29)=0,"",COUNTIF(J24:J29,"✓")/COUNTA(G24:G29))</f>
        <v/>
      </c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" t="n"/>
      <c r="B25" s="31" t="inlineStr">
        <is>
          <t>WHY</t>
        </is>
      </c>
      <c r="C25" s="17" t="inlineStr">
        <is>
          <t>To connect with more people and cultures</t>
        </is>
      </c>
      <c r="D25" s="32" t="n"/>
      <c r="E25" s="32" t="n"/>
      <c r="F25" s="1" t="n"/>
      <c r="G25" s="17" t="inlineStr">
        <is>
          <t>Use a language app daily</t>
        </is>
      </c>
      <c r="H25" s="32" t="n"/>
      <c r="I25" s="15" t="n">
        <v>46310</v>
      </c>
      <c r="J25" s="22" t="inlineStr">
        <is>
          <t>✓</t>
        </is>
      </c>
      <c r="K25" s="35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n"/>
      <c r="B26" s="31" t="inlineStr">
        <is>
          <t>BIGGEST OBSTACLE</t>
        </is>
      </c>
      <c r="C26" s="17" t="inlineStr">
        <is>
          <t>Time management</t>
        </is>
      </c>
      <c r="D26" s="32" t="n"/>
      <c r="E26" s="32" t="n"/>
      <c r="F26" s="1" t="n"/>
      <c r="G26" s="17" t="inlineStr">
        <is>
          <t>Join a conversation group</t>
        </is>
      </c>
      <c r="H26" s="32" t="n"/>
      <c r="I26" s="15" t="n">
        <v>46341</v>
      </c>
      <c r="J26" s="22" t="inlineStr">
        <is>
          <t>✓</t>
        </is>
      </c>
      <c r="K26" s="35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" t="n"/>
      <c r="B27" s="31" t="inlineStr">
        <is>
          <t>REWARD</t>
        </is>
      </c>
      <c r="C27" s="17" t="inlineStr">
        <is>
          <t>Trip to Spain</t>
        </is>
      </c>
      <c r="D27" s="32" t="n"/>
      <c r="E27" s="32" t="n"/>
      <c r="F27" s="1" t="n"/>
      <c r="G27" s="17" t="inlineStr">
        <is>
          <t>Watch shows in Spanish</t>
        </is>
      </c>
      <c r="H27" s="32" t="n"/>
      <c r="I27" s="15" t="n">
        <v>46341</v>
      </c>
      <c r="J27" s="22" t="n"/>
      <c r="K27" s="35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n"/>
      <c r="B28" s="31" t="inlineStr">
        <is>
          <t>DEADLINE</t>
        </is>
      </c>
      <c r="C28" s="172" t="n">
        <v>46568</v>
      </c>
      <c r="D28" s="32" t="n"/>
      <c r="E28" s="32" t="n"/>
      <c r="F28" s="1" t="n"/>
      <c r="G28" s="17" t="inlineStr">
        <is>
          <t>Practise with a partner</t>
        </is>
      </c>
      <c r="H28" s="32" t="n"/>
      <c r="I28" s="15" t="n">
        <v>46371</v>
      </c>
      <c r="J28" s="22" t="n"/>
      <c r="K28" s="35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n"/>
      <c r="B29" s="31" t="inlineStr">
        <is>
          <t>NOTES</t>
        </is>
      </c>
      <c r="C29" s="17" t="n"/>
      <c r="D29" s="32" t="n"/>
      <c r="E29" s="32" t="n"/>
      <c r="F29" s="1" t="n"/>
      <c r="G29" s="17" t="inlineStr">
        <is>
          <t>Book a trip</t>
        </is>
      </c>
      <c r="H29" s="32" t="n"/>
      <c r="I29" s="15" t="n">
        <v>46371</v>
      </c>
      <c r="J29" s="22" t="n"/>
      <c r="K29" s="35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1" t="n"/>
      <c r="B31" s="173">
        <f>"GOAL 2"&amp;IF(C32="","","  ·  "&amp;UPPER(C32))</f>
        <v/>
      </c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1" t="n"/>
      <c r="B32" s="31" t="inlineStr">
        <is>
          <t>CATEGORY</t>
        </is>
      </c>
      <c r="C32" s="17" t="inlineStr">
        <is>
          <t>Career</t>
        </is>
      </c>
      <c r="D32" s="32" t="n"/>
      <c r="E32" s="32" t="n"/>
      <c r="F32" s="1" t="n"/>
      <c r="G32" s="31" t="inlineStr">
        <is>
          <t>STEP BY STEP TO GET THERE</t>
        </is>
      </c>
      <c r="I32" s="30" t="inlineStr">
        <is>
          <t>DUE</t>
        </is>
      </c>
      <c r="J32" s="30" t="inlineStr">
        <is>
          <t>DONE</t>
        </is>
      </c>
      <c r="K32" s="30" t="inlineStr">
        <is>
          <t>PROGRESS</t>
        </is>
      </c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1" t="n"/>
      <c r="B33" s="31" t="inlineStr">
        <is>
          <t>GOAL</t>
        </is>
      </c>
      <c r="C33" s="17" t="inlineStr">
        <is>
          <t>Promotion to Project Lead</t>
        </is>
      </c>
      <c r="D33" s="32" t="n"/>
      <c r="E33" s="32" t="n"/>
      <c r="F33" s="1" t="n"/>
      <c r="G33" s="17" t="inlineStr">
        <is>
          <t>Talk to my manager</t>
        </is>
      </c>
      <c r="H33" s="32" t="n"/>
      <c r="I33" s="15" t="n">
        <v>46310</v>
      </c>
      <c r="J33" s="22" t="inlineStr">
        <is>
          <t>✓</t>
        </is>
      </c>
      <c r="K33" s="174">
        <f>IF(COUNTA(G33:G38)=0,"",COUNTIF(J33:J38,"✓")/COUNTA(G33:G38))</f>
        <v/>
      </c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  <row r="34">
      <c r="A34" s="1" t="n"/>
      <c r="B34" s="31" t="inlineStr">
        <is>
          <t>WHY</t>
        </is>
      </c>
      <c r="C34" s="17" t="inlineStr">
        <is>
          <t>To advance my career and take on more responsibility</t>
        </is>
      </c>
      <c r="D34" s="32" t="n"/>
      <c r="E34" s="32" t="n"/>
      <c r="F34" s="1" t="n"/>
      <c r="G34" s="17" t="inlineStr">
        <is>
          <t>Take a leadership course</t>
        </is>
      </c>
      <c r="H34" s="32" t="n"/>
      <c r="I34" s="15" t="n">
        <v>46310</v>
      </c>
      <c r="J34" s="22" t="inlineStr">
        <is>
          <t>✓</t>
        </is>
      </c>
      <c r="K34" s="35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>
      <c r="A35" s="1" t="n"/>
      <c r="B35" s="31" t="inlineStr">
        <is>
          <t>BIGGEST OBSTACLE</t>
        </is>
      </c>
      <c r="C35" s="17" t="inlineStr">
        <is>
          <t>Confidence presenting</t>
        </is>
      </c>
      <c r="D35" s="32" t="n"/>
      <c r="E35" s="32" t="n"/>
      <c r="F35" s="1" t="n"/>
      <c r="G35" s="17" t="inlineStr">
        <is>
          <t>Lead one project end-to-end</t>
        </is>
      </c>
      <c r="H35" s="32" t="n"/>
      <c r="I35" s="15" t="n">
        <v>46341</v>
      </c>
      <c r="J35" s="22" t="n"/>
      <c r="K35" s="35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>
      <c r="A36" s="1" t="n"/>
      <c r="B36" s="31" t="inlineStr">
        <is>
          <t>REWARD</t>
        </is>
      </c>
      <c r="C36" s="17" t="inlineStr">
        <is>
          <t>Weekend away</t>
        </is>
      </c>
      <c r="D36" s="32" t="n"/>
      <c r="E36" s="32" t="n"/>
      <c r="F36" s="1" t="n"/>
      <c r="G36" s="17" t="inlineStr">
        <is>
          <t>Mentor a junior</t>
        </is>
      </c>
      <c r="H36" s="32" t="n"/>
      <c r="I36" s="15" t="n">
        <v>46341</v>
      </c>
      <c r="J36" s="22" t="n"/>
      <c r="K36" s="35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1" t="n"/>
      <c r="B37" s="31" t="inlineStr">
        <is>
          <t>DEADLINE</t>
        </is>
      </c>
      <c r="C37" s="172" t="n">
        <v>46568</v>
      </c>
      <c r="D37" s="32" t="n"/>
      <c r="E37" s="32" t="n"/>
      <c r="F37" s="1" t="n"/>
      <c r="G37" s="17" t="n"/>
      <c r="H37" s="32" t="n"/>
      <c r="I37" s="15" t="n"/>
      <c r="J37" s="22" t="n"/>
      <c r="K37" s="35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1" t="n"/>
      <c r="B38" s="31" t="inlineStr">
        <is>
          <t>NOTES</t>
        </is>
      </c>
      <c r="C38" s="17" t="n"/>
      <c r="D38" s="32" t="n"/>
      <c r="E38" s="32" t="n"/>
      <c r="F38" s="1" t="n"/>
      <c r="G38" s="17" t="n"/>
      <c r="H38" s="32" t="n"/>
      <c r="I38" s="15" t="n"/>
      <c r="J38" s="22" t="n"/>
      <c r="K38" s="35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  <row r="40">
      <c r="A40" s="1" t="n"/>
      <c r="B40" s="175">
        <f>"GOAL 3"&amp;IF(C41="","","  ·  "&amp;UPPER(C41))</f>
        <v/>
      </c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</row>
    <row r="41">
      <c r="A41" s="1" t="n"/>
      <c r="B41" s="31" t="inlineStr">
        <is>
          <t>CATEGORY</t>
        </is>
      </c>
      <c r="C41" s="17" t="inlineStr">
        <is>
          <t>Financial</t>
        </is>
      </c>
      <c r="D41" s="32" t="n"/>
      <c r="E41" s="32" t="n"/>
      <c r="F41" s="1" t="n"/>
      <c r="G41" s="31" t="inlineStr">
        <is>
          <t>STEP BY STEP TO GET THERE</t>
        </is>
      </c>
      <c r="I41" s="30" t="inlineStr">
        <is>
          <t>DUE</t>
        </is>
      </c>
      <c r="J41" s="30" t="inlineStr">
        <is>
          <t>DONE</t>
        </is>
      </c>
      <c r="K41" s="30" t="inlineStr">
        <is>
          <t>PROGRESS</t>
        </is>
      </c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A42" s="1" t="n"/>
      <c r="B42" s="31" t="inlineStr">
        <is>
          <t>GOAL</t>
        </is>
      </c>
      <c r="C42" s="17" t="inlineStr">
        <is>
          <t>Save a 20% house deposit</t>
        </is>
      </c>
      <c r="D42" s="32" t="n"/>
      <c r="E42" s="32" t="n"/>
      <c r="F42" s="1" t="n"/>
      <c r="G42" s="17" t="inlineStr">
        <is>
          <t>Set up automatic transfers</t>
        </is>
      </c>
      <c r="H42" s="32" t="n"/>
      <c r="I42" s="15" t="n">
        <v>46310</v>
      </c>
      <c r="J42" s="22" t="inlineStr">
        <is>
          <t>✓</t>
        </is>
      </c>
      <c r="K42" s="176">
        <f>IF(COUNTA(G42:G47)=0,"",COUNTIF(J42:J47,"✓")/COUNTA(G42:G47))</f>
        <v/>
      </c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>
      <c r="A43" s="1" t="n"/>
      <c r="B43" s="31" t="inlineStr">
        <is>
          <t>WHY</t>
        </is>
      </c>
      <c r="C43" s="17" t="inlineStr">
        <is>
          <t>To own a home and build equity</t>
        </is>
      </c>
      <c r="D43" s="32" t="n"/>
      <c r="E43" s="32" t="n"/>
      <c r="F43" s="1" t="n"/>
      <c r="G43" s="17" t="inlineStr">
        <is>
          <t>Cut 2 subscriptions</t>
        </is>
      </c>
      <c r="H43" s="32" t="n"/>
      <c r="I43" s="15" t="n">
        <v>46310</v>
      </c>
      <c r="J43" s="22" t="n"/>
      <c r="K43" s="35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1" t="n"/>
      <c r="B44" s="31" t="inlineStr">
        <is>
          <t>BIGGEST OBSTACLE</t>
        </is>
      </c>
      <c r="C44" s="17" t="inlineStr">
        <is>
          <t>Impulse spending</t>
        </is>
      </c>
      <c r="D44" s="32" t="n"/>
      <c r="E44" s="32" t="n"/>
      <c r="F44" s="1" t="n"/>
      <c r="G44" s="17" t="inlineStr">
        <is>
          <t>Side-hustle income</t>
        </is>
      </c>
      <c r="H44" s="32" t="n"/>
      <c r="I44" s="15" t="n">
        <v>46341</v>
      </c>
      <c r="J44" s="22" t="n"/>
      <c r="K44" s="35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>
      <c r="A45" s="1" t="n"/>
      <c r="B45" s="31" t="inlineStr">
        <is>
          <t>REWARD</t>
        </is>
      </c>
      <c r="C45" s="17" t="inlineStr">
        <is>
          <t>Housewarming party</t>
        </is>
      </c>
      <c r="D45" s="32" t="n"/>
      <c r="E45" s="32" t="n"/>
      <c r="F45" s="1" t="n"/>
      <c r="G45" s="17" t="inlineStr">
        <is>
          <t>Review budget monthly</t>
        </is>
      </c>
      <c r="H45" s="32" t="n"/>
      <c r="I45" s="15" t="n">
        <v>46341</v>
      </c>
      <c r="J45" s="22" t="n"/>
      <c r="K45" s="35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</row>
    <row r="46">
      <c r="A46" s="1" t="n"/>
      <c r="B46" s="31" t="inlineStr">
        <is>
          <t>DEADLINE</t>
        </is>
      </c>
      <c r="C46" s="172" t="n">
        <v>46568</v>
      </c>
      <c r="D46" s="32" t="n"/>
      <c r="E46" s="32" t="n"/>
      <c r="F46" s="1" t="n"/>
      <c r="G46" s="17" t="n"/>
      <c r="H46" s="32" t="n"/>
      <c r="I46" s="15" t="n"/>
      <c r="J46" s="22" t="n"/>
      <c r="K46" s="35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</row>
    <row r="47">
      <c r="A47" s="1" t="n"/>
      <c r="B47" s="31" t="inlineStr">
        <is>
          <t>NOTES</t>
        </is>
      </c>
      <c r="C47" s="17" t="n"/>
      <c r="D47" s="32" t="n"/>
      <c r="E47" s="32" t="n"/>
      <c r="F47" s="1" t="n"/>
      <c r="G47" s="17" t="n"/>
      <c r="H47" s="32" t="n"/>
      <c r="I47" s="15" t="n"/>
      <c r="J47" s="22" t="n"/>
      <c r="K47" s="35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</row>
    <row r="49">
      <c r="A49" s="1" t="n"/>
      <c r="B49" s="177">
        <f>"GOAL 4"&amp;IF(C50="","","  ·  "&amp;UPPER(C50))</f>
        <v/>
      </c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</row>
    <row r="50">
      <c r="A50" s="1" t="n"/>
      <c r="B50" s="31" t="inlineStr">
        <is>
          <t>CATEGORY</t>
        </is>
      </c>
      <c r="C50" s="17" t="n"/>
      <c r="D50" s="32" t="n"/>
      <c r="E50" s="32" t="n"/>
      <c r="F50" s="1" t="n"/>
      <c r="G50" s="31" t="inlineStr">
        <is>
          <t>STEP BY STEP TO GET THERE</t>
        </is>
      </c>
      <c r="I50" s="30" t="inlineStr">
        <is>
          <t>DUE</t>
        </is>
      </c>
      <c r="J50" s="30" t="inlineStr">
        <is>
          <t>DONE</t>
        </is>
      </c>
      <c r="K50" s="30" t="inlineStr">
        <is>
          <t>PROGRESS</t>
        </is>
      </c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</row>
    <row r="51">
      <c r="A51" s="1" t="n"/>
      <c r="B51" s="31" t="inlineStr">
        <is>
          <t>GOAL</t>
        </is>
      </c>
      <c r="C51" s="17" t="n"/>
      <c r="D51" s="32" t="n"/>
      <c r="E51" s="32" t="n"/>
      <c r="F51" s="1" t="n"/>
      <c r="G51" s="17" t="n"/>
      <c r="H51" s="32" t="n"/>
      <c r="I51" s="15" t="n"/>
      <c r="J51" s="22" t="n"/>
      <c r="K51" s="178">
        <f>IF(COUNTA(G51:G56)=0,"",COUNTIF(J51:J56,"✓")/COUNTA(G51:G56))</f>
        <v/>
      </c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>
      <c r="A52" s="1" t="n"/>
      <c r="B52" s="31" t="inlineStr">
        <is>
          <t>WHY</t>
        </is>
      </c>
      <c r="C52" s="17" t="n"/>
      <c r="D52" s="32" t="n"/>
      <c r="E52" s="32" t="n"/>
      <c r="F52" s="1" t="n"/>
      <c r="G52" s="17" t="n"/>
      <c r="H52" s="32" t="n"/>
      <c r="I52" s="15" t="n"/>
      <c r="J52" s="22" t="n"/>
      <c r="K52" s="35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</row>
    <row r="53">
      <c r="A53" s="1" t="n"/>
      <c r="B53" s="31" t="inlineStr">
        <is>
          <t>BIGGEST OBSTACLE</t>
        </is>
      </c>
      <c r="C53" s="17" t="n"/>
      <c r="D53" s="32" t="n"/>
      <c r="E53" s="32" t="n"/>
      <c r="F53" s="1" t="n"/>
      <c r="G53" s="17" t="n"/>
      <c r="H53" s="32" t="n"/>
      <c r="I53" s="15" t="n"/>
      <c r="J53" s="22" t="n"/>
      <c r="K53" s="35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</row>
    <row r="54">
      <c r="A54" s="1" t="n"/>
      <c r="B54" s="31" t="inlineStr">
        <is>
          <t>REWARD</t>
        </is>
      </c>
      <c r="C54" s="17" t="n"/>
      <c r="D54" s="32" t="n"/>
      <c r="E54" s="32" t="n"/>
      <c r="F54" s="1" t="n"/>
      <c r="G54" s="17" t="n"/>
      <c r="H54" s="32" t="n"/>
      <c r="I54" s="15" t="n"/>
      <c r="J54" s="22" t="n"/>
      <c r="K54" s="35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</row>
    <row r="55">
      <c r="A55" s="1" t="n"/>
      <c r="B55" s="31" t="inlineStr">
        <is>
          <t>DEADLINE</t>
        </is>
      </c>
      <c r="C55" s="172" t="n"/>
      <c r="D55" s="32" t="n"/>
      <c r="E55" s="32" t="n"/>
      <c r="F55" s="1" t="n"/>
      <c r="G55" s="17" t="n"/>
      <c r="H55" s="32" t="n"/>
      <c r="I55" s="15" t="n"/>
      <c r="J55" s="22" t="n"/>
      <c r="K55" s="35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</row>
    <row r="56">
      <c r="A56" s="1" t="n"/>
      <c r="B56" s="31" t="inlineStr">
        <is>
          <t>NOTES</t>
        </is>
      </c>
      <c r="C56" s="17" t="n"/>
      <c r="D56" s="32" t="n"/>
      <c r="E56" s="32" t="n"/>
      <c r="F56" s="1" t="n"/>
      <c r="G56" s="17" t="n"/>
      <c r="H56" s="32" t="n"/>
      <c r="I56" s="15" t="n"/>
      <c r="J56" s="22" t="n"/>
      <c r="K56" s="35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</row>
    <row r="58">
      <c r="A58" s="1" t="n"/>
      <c r="B58" s="179">
        <f>"GOAL 5"&amp;IF(C59="","","  ·  "&amp;UPPER(C59))</f>
        <v/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</row>
    <row r="59">
      <c r="A59" s="1" t="n"/>
      <c r="B59" s="31" t="inlineStr">
        <is>
          <t>CATEGORY</t>
        </is>
      </c>
      <c r="C59" s="17" t="n"/>
      <c r="D59" s="32" t="n"/>
      <c r="E59" s="32" t="n"/>
      <c r="F59" s="1" t="n"/>
      <c r="G59" s="31" t="inlineStr">
        <is>
          <t>STEP BY STEP TO GET THERE</t>
        </is>
      </c>
      <c r="I59" s="30" t="inlineStr">
        <is>
          <t>DUE</t>
        </is>
      </c>
      <c r="J59" s="30" t="inlineStr">
        <is>
          <t>DONE</t>
        </is>
      </c>
      <c r="K59" s="30" t="inlineStr">
        <is>
          <t>PROGRESS</t>
        </is>
      </c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</row>
    <row r="60">
      <c r="A60" s="1" t="n"/>
      <c r="B60" s="31" t="inlineStr">
        <is>
          <t>GOAL</t>
        </is>
      </c>
      <c r="C60" s="17" t="n"/>
      <c r="D60" s="32" t="n"/>
      <c r="E60" s="32" t="n"/>
      <c r="F60" s="1" t="n"/>
      <c r="G60" s="17" t="n"/>
      <c r="H60" s="32" t="n"/>
      <c r="I60" s="15" t="n"/>
      <c r="J60" s="22" t="n"/>
      <c r="K60" s="180">
        <f>IF(COUNTA(G60:G65)=0,"",COUNTIF(J60:J65,"✓")/COUNTA(G60:G65))</f>
        <v/>
      </c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</row>
    <row r="61">
      <c r="A61" s="1" t="n"/>
      <c r="B61" s="31" t="inlineStr">
        <is>
          <t>WHY</t>
        </is>
      </c>
      <c r="C61" s="17" t="n"/>
      <c r="D61" s="32" t="n"/>
      <c r="E61" s="32" t="n"/>
      <c r="F61" s="1" t="n"/>
      <c r="G61" s="17" t="n"/>
      <c r="H61" s="32" t="n"/>
      <c r="I61" s="15" t="n"/>
      <c r="J61" s="22" t="n"/>
      <c r="K61" s="35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</row>
    <row r="62">
      <c r="A62" s="1" t="n"/>
      <c r="B62" s="31" t="inlineStr">
        <is>
          <t>BIGGEST OBSTACLE</t>
        </is>
      </c>
      <c r="C62" s="17" t="n"/>
      <c r="D62" s="32" t="n"/>
      <c r="E62" s="32" t="n"/>
      <c r="F62" s="1" t="n"/>
      <c r="G62" s="17" t="n"/>
      <c r="H62" s="32" t="n"/>
      <c r="I62" s="15" t="n"/>
      <c r="J62" s="22" t="n"/>
      <c r="K62" s="35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</row>
    <row r="63">
      <c r="A63" s="1" t="n"/>
      <c r="B63" s="31" t="inlineStr">
        <is>
          <t>REWARD</t>
        </is>
      </c>
      <c r="C63" s="17" t="n"/>
      <c r="D63" s="32" t="n"/>
      <c r="E63" s="32" t="n"/>
      <c r="F63" s="1" t="n"/>
      <c r="G63" s="17" t="n"/>
      <c r="H63" s="32" t="n"/>
      <c r="I63" s="15" t="n"/>
      <c r="J63" s="22" t="n"/>
      <c r="K63" s="35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</row>
    <row r="64">
      <c r="A64" s="1" t="n"/>
      <c r="B64" s="31" t="inlineStr">
        <is>
          <t>DEADLINE</t>
        </is>
      </c>
      <c r="C64" s="172" t="n"/>
      <c r="D64" s="32" t="n"/>
      <c r="E64" s="32" t="n"/>
      <c r="F64" s="1" t="n"/>
      <c r="G64" s="17" t="n"/>
      <c r="H64" s="32" t="n"/>
      <c r="I64" s="15" t="n"/>
      <c r="J64" s="22" t="n"/>
      <c r="K64" s="35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</row>
    <row r="65">
      <c r="A65" s="1" t="n"/>
      <c r="B65" s="31" t="inlineStr">
        <is>
          <t>NOTES</t>
        </is>
      </c>
      <c r="C65" s="17" t="n"/>
      <c r="D65" s="32" t="n"/>
      <c r="E65" s="32" t="n"/>
      <c r="F65" s="1" t="n"/>
      <c r="G65" s="17" t="n"/>
      <c r="H65" s="32" t="n"/>
      <c r="I65" s="15" t="n"/>
      <c r="J65" s="22" t="n"/>
      <c r="K65" s="35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</row>
    <row r="67">
      <c r="A67" s="1" t="n"/>
      <c r="B67" s="181">
        <f>"GOAL 6"&amp;IF(C68="","","  ·  "&amp;UPPER(C68))</f>
        <v/>
      </c>
      <c r="C67" s="53" t="n"/>
      <c r="D67" s="53" t="n"/>
      <c r="E67" s="53" t="n"/>
      <c r="F67" s="53" t="n"/>
      <c r="G67" s="53" t="n"/>
      <c r="H67" s="53" t="n"/>
      <c r="I67" s="53" t="n"/>
      <c r="J67" s="53" t="n"/>
      <c r="K67" s="53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</row>
    <row r="68">
      <c r="A68" s="1" t="n"/>
      <c r="B68" s="31" t="inlineStr">
        <is>
          <t>CATEGORY</t>
        </is>
      </c>
      <c r="C68" s="17" t="n"/>
      <c r="D68" s="32" t="n"/>
      <c r="E68" s="32" t="n"/>
      <c r="F68" s="1" t="n"/>
      <c r="G68" s="31" t="inlineStr">
        <is>
          <t>STEP BY STEP TO GET THERE</t>
        </is>
      </c>
      <c r="I68" s="30" t="inlineStr">
        <is>
          <t>DUE</t>
        </is>
      </c>
      <c r="J68" s="30" t="inlineStr">
        <is>
          <t>DONE</t>
        </is>
      </c>
      <c r="K68" s="30" t="inlineStr">
        <is>
          <t>PROGRESS</t>
        </is>
      </c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</row>
    <row r="69">
      <c r="A69" s="1" t="n"/>
      <c r="B69" s="31" t="inlineStr">
        <is>
          <t>GOAL</t>
        </is>
      </c>
      <c r="C69" s="17" t="n"/>
      <c r="D69" s="32" t="n"/>
      <c r="E69" s="32" t="n"/>
      <c r="F69" s="1" t="n"/>
      <c r="G69" s="17" t="n"/>
      <c r="H69" s="32" t="n"/>
      <c r="I69" s="15" t="n"/>
      <c r="J69" s="22" t="n"/>
      <c r="K69" s="182">
        <f>IF(COUNTA(G69:G74)=0,"",COUNTIF(J69:J74,"✓")/COUNTA(G69:G74))</f>
        <v/>
      </c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</row>
    <row r="70">
      <c r="A70" s="1" t="n"/>
      <c r="B70" s="31" t="inlineStr">
        <is>
          <t>WHY</t>
        </is>
      </c>
      <c r="C70" s="17" t="n"/>
      <c r="D70" s="32" t="n"/>
      <c r="E70" s="32" t="n"/>
      <c r="F70" s="1" t="n"/>
      <c r="G70" s="17" t="n"/>
      <c r="H70" s="32" t="n"/>
      <c r="I70" s="15" t="n"/>
      <c r="J70" s="22" t="n"/>
      <c r="K70" s="35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</row>
    <row r="71">
      <c r="A71" s="1" t="n"/>
      <c r="B71" s="31" t="inlineStr">
        <is>
          <t>BIGGEST OBSTACLE</t>
        </is>
      </c>
      <c r="C71" s="17" t="n"/>
      <c r="D71" s="32" t="n"/>
      <c r="E71" s="32" t="n"/>
      <c r="F71" s="1" t="n"/>
      <c r="G71" s="17" t="n"/>
      <c r="H71" s="32" t="n"/>
      <c r="I71" s="15" t="n"/>
      <c r="J71" s="22" t="n"/>
      <c r="K71" s="35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</row>
    <row r="72">
      <c r="A72" s="1" t="n"/>
      <c r="B72" s="31" t="inlineStr">
        <is>
          <t>REWARD</t>
        </is>
      </c>
      <c r="C72" s="17" t="n"/>
      <c r="D72" s="32" t="n"/>
      <c r="E72" s="32" t="n"/>
      <c r="F72" s="1" t="n"/>
      <c r="G72" s="17" t="n"/>
      <c r="H72" s="32" t="n"/>
      <c r="I72" s="15" t="n"/>
      <c r="J72" s="22" t="n"/>
      <c r="K72" s="35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</row>
    <row r="73">
      <c r="A73" s="1" t="n"/>
      <c r="B73" s="31" t="inlineStr">
        <is>
          <t>DEADLINE</t>
        </is>
      </c>
      <c r="C73" s="172" t="n"/>
      <c r="D73" s="32" t="n"/>
      <c r="E73" s="32" t="n"/>
      <c r="F73" s="1" t="n"/>
      <c r="G73" s="17" t="n"/>
      <c r="H73" s="32" t="n"/>
      <c r="I73" s="15" t="n"/>
      <c r="J73" s="22" t="n"/>
      <c r="K73" s="35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</row>
    <row r="74">
      <c r="A74" s="1" t="n"/>
      <c r="B74" s="31" t="inlineStr">
        <is>
          <t>NOTES</t>
        </is>
      </c>
      <c r="C74" s="17" t="n"/>
      <c r="D74" s="32" t="n"/>
      <c r="E74" s="32" t="n"/>
      <c r="F74" s="1" t="n"/>
      <c r="G74" s="17" t="n"/>
      <c r="H74" s="32" t="n"/>
      <c r="I74" s="15" t="n"/>
      <c r="J74" s="22" t="n"/>
      <c r="K74" s="35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</row>
    <row r="76">
      <c r="A76" s="1" t="n"/>
      <c r="B76" s="183">
        <f>"GOAL 7"&amp;IF(C77="","","  ·  "&amp;UPPER(C77))</f>
        <v/>
      </c>
      <c r="C76" s="137" t="n"/>
      <c r="D76" s="137" t="n"/>
      <c r="E76" s="137" t="n"/>
      <c r="F76" s="137" t="n"/>
      <c r="G76" s="137" t="n"/>
      <c r="H76" s="137" t="n"/>
      <c r="I76" s="137" t="n"/>
      <c r="J76" s="137" t="n"/>
      <c r="K76" s="137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</row>
    <row r="77">
      <c r="A77" s="1" t="n"/>
      <c r="B77" s="31" t="inlineStr">
        <is>
          <t>CATEGORY</t>
        </is>
      </c>
      <c r="C77" s="17" t="n"/>
      <c r="D77" s="32" t="n"/>
      <c r="E77" s="32" t="n"/>
      <c r="F77" s="1" t="n"/>
      <c r="G77" s="31" t="inlineStr">
        <is>
          <t>STEP BY STEP TO GET THERE</t>
        </is>
      </c>
      <c r="I77" s="30" t="inlineStr">
        <is>
          <t>DUE</t>
        </is>
      </c>
      <c r="J77" s="30" t="inlineStr">
        <is>
          <t>DONE</t>
        </is>
      </c>
      <c r="K77" s="30" t="inlineStr">
        <is>
          <t>PROGRESS</t>
        </is>
      </c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</row>
    <row r="78">
      <c r="A78" s="1" t="n"/>
      <c r="B78" s="31" t="inlineStr">
        <is>
          <t>GOAL</t>
        </is>
      </c>
      <c r="C78" s="17" t="n"/>
      <c r="D78" s="32" t="n"/>
      <c r="E78" s="32" t="n"/>
      <c r="F78" s="1" t="n"/>
      <c r="G78" s="17" t="n"/>
      <c r="H78" s="32" t="n"/>
      <c r="I78" s="15" t="n"/>
      <c r="J78" s="22" t="n"/>
      <c r="K78" s="184">
        <f>IF(COUNTA(G78:G83)=0,"",COUNTIF(J78:J83,"✓")/COUNTA(G78:G83))</f>
        <v/>
      </c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</row>
    <row r="79">
      <c r="A79" s="1" t="n"/>
      <c r="B79" s="31" t="inlineStr">
        <is>
          <t>WHY</t>
        </is>
      </c>
      <c r="C79" s="17" t="n"/>
      <c r="D79" s="32" t="n"/>
      <c r="E79" s="32" t="n"/>
      <c r="F79" s="1" t="n"/>
      <c r="G79" s="17" t="n"/>
      <c r="H79" s="32" t="n"/>
      <c r="I79" s="15" t="n"/>
      <c r="J79" s="22" t="n"/>
      <c r="K79" s="35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</row>
    <row r="80">
      <c r="A80" s="1" t="n"/>
      <c r="B80" s="31" t="inlineStr">
        <is>
          <t>BIGGEST OBSTACLE</t>
        </is>
      </c>
      <c r="C80" s="17" t="n"/>
      <c r="D80" s="32" t="n"/>
      <c r="E80" s="32" t="n"/>
      <c r="F80" s="1" t="n"/>
      <c r="G80" s="17" t="n"/>
      <c r="H80" s="32" t="n"/>
      <c r="I80" s="15" t="n"/>
      <c r="J80" s="22" t="n"/>
      <c r="K80" s="35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</row>
    <row r="81">
      <c r="A81" s="1" t="n"/>
      <c r="B81" s="31" t="inlineStr">
        <is>
          <t>REWARD</t>
        </is>
      </c>
      <c r="C81" s="17" t="n"/>
      <c r="D81" s="32" t="n"/>
      <c r="E81" s="32" t="n"/>
      <c r="F81" s="1" t="n"/>
      <c r="G81" s="17" t="n"/>
      <c r="H81" s="32" t="n"/>
      <c r="I81" s="15" t="n"/>
      <c r="J81" s="22" t="n"/>
      <c r="K81" s="35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</row>
    <row r="82">
      <c r="A82" s="1" t="n"/>
      <c r="B82" s="31" t="inlineStr">
        <is>
          <t>DEADLINE</t>
        </is>
      </c>
      <c r="C82" s="172" t="n"/>
      <c r="D82" s="32" t="n"/>
      <c r="E82" s="32" t="n"/>
      <c r="F82" s="1" t="n"/>
      <c r="G82" s="17" t="n"/>
      <c r="H82" s="32" t="n"/>
      <c r="I82" s="15" t="n"/>
      <c r="J82" s="22" t="n"/>
      <c r="K82" s="35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</row>
    <row r="83">
      <c r="A83" s="1" t="n"/>
      <c r="B83" s="31" t="inlineStr">
        <is>
          <t>NOTES</t>
        </is>
      </c>
      <c r="C83" s="17" t="n"/>
      <c r="D83" s="32" t="n"/>
      <c r="E83" s="32" t="n"/>
      <c r="F83" s="1" t="n"/>
      <c r="G83" s="17" t="n"/>
      <c r="H83" s="32" t="n"/>
      <c r="I83" s="15" t="n"/>
      <c r="J83" s="22" t="n"/>
      <c r="K83" s="35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</row>
    <row r="85">
      <c r="A85" s="1" t="n"/>
      <c r="B85" s="185">
        <f>"GOAL 8"&amp;IF(C86="","","  ·  "&amp;UPPER(C86))</f>
        <v/>
      </c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</row>
    <row r="86">
      <c r="A86" s="1" t="n"/>
      <c r="B86" s="31" t="inlineStr">
        <is>
          <t>CATEGORY</t>
        </is>
      </c>
      <c r="C86" s="17" t="n"/>
      <c r="D86" s="32" t="n"/>
      <c r="E86" s="32" t="n"/>
      <c r="F86" s="1" t="n"/>
      <c r="G86" s="31" t="inlineStr">
        <is>
          <t>STEP BY STEP TO GET THERE</t>
        </is>
      </c>
      <c r="I86" s="30" t="inlineStr">
        <is>
          <t>DUE</t>
        </is>
      </c>
      <c r="J86" s="30" t="inlineStr">
        <is>
          <t>DONE</t>
        </is>
      </c>
      <c r="K86" s="30" t="inlineStr">
        <is>
          <t>PROGRESS</t>
        </is>
      </c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</row>
    <row r="87">
      <c r="A87" s="1" t="n"/>
      <c r="B87" s="31" t="inlineStr">
        <is>
          <t>GOAL</t>
        </is>
      </c>
      <c r="C87" s="17" t="n"/>
      <c r="D87" s="32" t="n"/>
      <c r="E87" s="32" t="n"/>
      <c r="F87" s="1" t="n"/>
      <c r="G87" s="17" t="n"/>
      <c r="H87" s="32" t="n"/>
      <c r="I87" s="15" t="n"/>
      <c r="J87" s="22" t="n"/>
      <c r="K87" s="186">
        <f>IF(COUNTA(G87:G92)=0,"",COUNTIF(J87:J92,"✓")/COUNTA(G87:G92))</f>
        <v/>
      </c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</row>
    <row r="88">
      <c r="A88" s="1" t="n"/>
      <c r="B88" s="31" t="inlineStr">
        <is>
          <t>WHY</t>
        </is>
      </c>
      <c r="C88" s="17" t="n"/>
      <c r="D88" s="32" t="n"/>
      <c r="E88" s="32" t="n"/>
      <c r="F88" s="1" t="n"/>
      <c r="G88" s="17" t="n"/>
      <c r="H88" s="32" t="n"/>
      <c r="I88" s="15" t="n"/>
      <c r="J88" s="22" t="n"/>
      <c r="K88" s="35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</row>
    <row r="89">
      <c r="A89" s="1" t="n"/>
      <c r="B89" s="31" t="inlineStr">
        <is>
          <t>BIGGEST OBSTACLE</t>
        </is>
      </c>
      <c r="C89" s="17" t="n"/>
      <c r="D89" s="32" t="n"/>
      <c r="E89" s="32" t="n"/>
      <c r="F89" s="1" t="n"/>
      <c r="G89" s="17" t="n"/>
      <c r="H89" s="32" t="n"/>
      <c r="I89" s="15" t="n"/>
      <c r="J89" s="22" t="n"/>
      <c r="K89" s="35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</row>
    <row r="90">
      <c r="A90" s="1" t="n"/>
      <c r="B90" s="31" t="inlineStr">
        <is>
          <t>REWARD</t>
        </is>
      </c>
      <c r="C90" s="17" t="n"/>
      <c r="D90" s="32" t="n"/>
      <c r="E90" s="32" t="n"/>
      <c r="F90" s="1" t="n"/>
      <c r="G90" s="17" t="n"/>
      <c r="H90" s="32" t="n"/>
      <c r="I90" s="15" t="n"/>
      <c r="J90" s="22" t="n"/>
      <c r="K90" s="35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</row>
    <row r="91">
      <c r="A91" s="1" t="n"/>
      <c r="B91" s="31" t="inlineStr">
        <is>
          <t>DEADLINE</t>
        </is>
      </c>
      <c r="C91" s="172" t="n"/>
      <c r="D91" s="32" t="n"/>
      <c r="E91" s="32" t="n"/>
      <c r="F91" s="1" t="n"/>
      <c r="G91" s="17" t="n"/>
      <c r="H91" s="32" t="n"/>
      <c r="I91" s="15" t="n"/>
      <c r="J91" s="22" t="n"/>
      <c r="K91" s="35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</row>
    <row r="92">
      <c r="A92" s="1" t="n"/>
      <c r="B92" s="31" t="inlineStr">
        <is>
          <t>NOTES</t>
        </is>
      </c>
      <c r="C92" s="17" t="n"/>
      <c r="D92" s="32" t="n"/>
      <c r="E92" s="32" t="n"/>
      <c r="F92" s="1" t="n"/>
      <c r="G92" s="17" t="n"/>
      <c r="H92" s="32" t="n"/>
      <c r="I92" s="15" t="n"/>
      <c r="J92" s="22" t="n"/>
      <c r="K92" s="35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</row>
    <row r="94">
      <c r="A94" s="1" t="n"/>
      <c r="B94" s="170">
        <f>"GOAL 9"&amp;IF(C95="","","  ·  "&amp;UPPER(C95))</f>
        <v/>
      </c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</row>
    <row r="95">
      <c r="A95" s="1" t="n"/>
      <c r="B95" s="31" t="inlineStr">
        <is>
          <t>CATEGORY</t>
        </is>
      </c>
      <c r="C95" s="17" t="n"/>
      <c r="D95" s="32" t="n"/>
      <c r="E95" s="32" t="n"/>
      <c r="F95" s="1" t="n"/>
      <c r="G95" s="31" t="inlineStr">
        <is>
          <t>STEP BY STEP TO GET THERE</t>
        </is>
      </c>
      <c r="I95" s="30" t="inlineStr">
        <is>
          <t>DUE</t>
        </is>
      </c>
      <c r="J95" s="30" t="inlineStr">
        <is>
          <t>DONE</t>
        </is>
      </c>
      <c r="K95" s="30" t="inlineStr">
        <is>
          <t>PROGRESS</t>
        </is>
      </c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</row>
    <row r="96">
      <c r="A96" s="1" t="n"/>
      <c r="B96" s="31" t="inlineStr">
        <is>
          <t>GOAL</t>
        </is>
      </c>
      <c r="C96" s="17" t="n"/>
      <c r="D96" s="32" t="n"/>
      <c r="E96" s="32" t="n"/>
      <c r="F96" s="1" t="n"/>
      <c r="G96" s="17" t="n"/>
      <c r="H96" s="32" t="n"/>
      <c r="I96" s="15" t="n"/>
      <c r="J96" s="22" t="n"/>
      <c r="K96" s="171">
        <f>IF(COUNTA(G96:G101)=0,"",COUNTIF(J96:J101,"✓")/COUNTA(G96:G101))</f>
        <v/>
      </c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</row>
    <row r="97">
      <c r="A97" s="1" t="n"/>
      <c r="B97" s="31" t="inlineStr">
        <is>
          <t>WHY</t>
        </is>
      </c>
      <c r="C97" s="17" t="n"/>
      <c r="D97" s="32" t="n"/>
      <c r="E97" s="32" t="n"/>
      <c r="F97" s="1" t="n"/>
      <c r="G97" s="17" t="n"/>
      <c r="H97" s="32" t="n"/>
      <c r="I97" s="15" t="n"/>
      <c r="J97" s="22" t="n"/>
      <c r="K97" s="35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</row>
    <row r="98">
      <c r="A98" s="1" t="n"/>
      <c r="B98" s="31" t="inlineStr">
        <is>
          <t>BIGGEST OBSTACLE</t>
        </is>
      </c>
      <c r="C98" s="17" t="n"/>
      <c r="D98" s="32" t="n"/>
      <c r="E98" s="32" t="n"/>
      <c r="F98" s="1" t="n"/>
      <c r="G98" s="17" t="n"/>
      <c r="H98" s="32" t="n"/>
      <c r="I98" s="15" t="n"/>
      <c r="J98" s="22" t="n"/>
      <c r="K98" s="35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</row>
    <row r="99">
      <c r="A99" s="1" t="n"/>
      <c r="B99" s="31" t="inlineStr">
        <is>
          <t>REWARD</t>
        </is>
      </c>
      <c r="C99" s="17" t="n"/>
      <c r="D99" s="32" t="n"/>
      <c r="E99" s="32" t="n"/>
      <c r="F99" s="1" t="n"/>
      <c r="G99" s="17" t="n"/>
      <c r="H99" s="32" t="n"/>
      <c r="I99" s="15" t="n"/>
      <c r="J99" s="22" t="n"/>
      <c r="K99" s="35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</row>
    <row r="100">
      <c r="A100" s="1" t="n"/>
      <c r="B100" s="31" t="inlineStr">
        <is>
          <t>DEADLINE</t>
        </is>
      </c>
      <c r="C100" s="172" t="n"/>
      <c r="D100" s="32" t="n"/>
      <c r="E100" s="32" t="n"/>
      <c r="F100" s="1" t="n"/>
      <c r="G100" s="17" t="n"/>
      <c r="H100" s="32" t="n"/>
      <c r="I100" s="15" t="n"/>
      <c r="J100" s="22" t="n"/>
      <c r="K100" s="35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</row>
    <row r="101">
      <c r="A101" s="1" t="n"/>
      <c r="B101" s="31" t="inlineStr">
        <is>
          <t>NOTES</t>
        </is>
      </c>
      <c r="C101" s="17" t="n"/>
      <c r="D101" s="32" t="n"/>
      <c r="E101" s="32" t="n"/>
      <c r="F101" s="1" t="n"/>
      <c r="G101" s="17" t="n"/>
      <c r="H101" s="32" t="n"/>
      <c r="I101" s="15" t="n"/>
      <c r="J101" s="22" t="n"/>
      <c r="K101" s="35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</row>
    <row r="103">
      <c r="A103" s="1" t="n"/>
      <c r="B103" s="173">
        <f>"GOAL 10"&amp;IF(C104="","","  ·  "&amp;UPPER(C104))</f>
        <v/>
      </c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</row>
    <row r="104">
      <c r="A104" s="1" t="n"/>
      <c r="B104" s="31" t="inlineStr">
        <is>
          <t>CATEGORY</t>
        </is>
      </c>
      <c r="C104" s="17" t="n"/>
      <c r="D104" s="32" t="n"/>
      <c r="E104" s="32" t="n"/>
      <c r="F104" s="1" t="n"/>
      <c r="G104" s="31" t="inlineStr">
        <is>
          <t>STEP BY STEP TO GET THERE</t>
        </is>
      </c>
      <c r="I104" s="30" t="inlineStr">
        <is>
          <t>DUE</t>
        </is>
      </c>
      <c r="J104" s="30" t="inlineStr">
        <is>
          <t>DONE</t>
        </is>
      </c>
      <c r="K104" s="30" t="inlineStr">
        <is>
          <t>PROGRESS</t>
        </is>
      </c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</row>
    <row r="105">
      <c r="A105" s="1" t="n"/>
      <c r="B105" s="31" t="inlineStr">
        <is>
          <t>GOAL</t>
        </is>
      </c>
      <c r="C105" s="17" t="n"/>
      <c r="D105" s="32" t="n"/>
      <c r="E105" s="32" t="n"/>
      <c r="F105" s="1" t="n"/>
      <c r="G105" s="17" t="n"/>
      <c r="H105" s="32" t="n"/>
      <c r="I105" s="15" t="n"/>
      <c r="J105" s="22" t="n"/>
      <c r="K105" s="174">
        <f>IF(COUNTA(G105:G110)=0,"",COUNTIF(J105:J110,"✓")/COUNTA(G105:G110))</f>
        <v/>
      </c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</row>
    <row r="106">
      <c r="A106" s="1" t="n"/>
      <c r="B106" s="31" t="inlineStr">
        <is>
          <t>WHY</t>
        </is>
      </c>
      <c r="C106" s="17" t="n"/>
      <c r="D106" s="32" t="n"/>
      <c r="E106" s="32" t="n"/>
      <c r="F106" s="1" t="n"/>
      <c r="G106" s="17" t="n"/>
      <c r="H106" s="32" t="n"/>
      <c r="I106" s="15" t="n"/>
      <c r="J106" s="22" t="n"/>
      <c r="K106" s="35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</row>
    <row r="107">
      <c r="A107" s="1" t="n"/>
      <c r="B107" s="31" t="inlineStr">
        <is>
          <t>BIGGEST OBSTACLE</t>
        </is>
      </c>
      <c r="C107" s="17" t="n"/>
      <c r="D107" s="32" t="n"/>
      <c r="E107" s="32" t="n"/>
      <c r="F107" s="1" t="n"/>
      <c r="G107" s="17" t="n"/>
      <c r="H107" s="32" t="n"/>
      <c r="I107" s="15" t="n"/>
      <c r="J107" s="22" t="n"/>
      <c r="K107" s="35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</row>
    <row r="108">
      <c r="A108" s="1" t="n"/>
      <c r="B108" s="31" t="inlineStr">
        <is>
          <t>REWARD</t>
        </is>
      </c>
      <c r="C108" s="17" t="n"/>
      <c r="D108" s="32" t="n"/>
      <c r="E108" s="32" t="n"/>
      <c r="F108" s="1" t="n"/>
      <c r="G108" s="17" t="n"/>
      <c r="H108" s="32" t="n"/>
      <c r="I108" s="15" t="n"/>
      <c r="J108" s="22" t="n"/>
      <c r="K108" s="35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</row>
    <row r="109">
      <c r="A109" s="1" t="n"/>
      <c r="B109" s="31" t="inlineStr">
        <is>
          <t>DEADLINE</t>
        </is>
      </c>
      <c r="C109" s="172" t="n"/>
      <c r="D109" s="32" t="n"/>
      <c r="E109" s="32" t="n"/>
      <c r="F109" s="1" t="n"/>
      <c r="G109" s="17" t="n"/>
      <c r="H109" s="32" t="n"/>
      <c r="I109" s="15" t="n"/>
      <c r="J109" s="22" t="n"/>
      <c r="K109" s="35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</row>
    <row r="110">
      <c r="A110" s="1" t="n"/>
      <c r="B110" s="31" t="inlineStr">
        <is>
          <t>NOTES</t>
        </is>
      </c>
      <c r="C110" s="17" t="n"/>
      <c r="D110" s="32" t="n"/>
      <c r="E110" s="32" t="n"/>
      <c r="F110" s="1" t="n"/>
      <c r="G110" s="17" t="n"/>
      <c r="H110" s="32" t="n"/>
      <c r="I110" s="15" t="n"/>
      <c r="J110" s="22" t="n"/>
      <c r="K110" s="35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</row>
    <row r="112">
      <c r="A112" s="1" t="n"/>
      <c r="B112" s="175">
        <f>"GOAL 11"&amp;IF(C113="","","  ·  "&amp;UPPER(C113))</f>
        <v/>
      </c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</row>
    <row r="113">
      <c r="A113" s="1" t="n"/>
      <c r="B113" s="31" t="inlineStr">
        <is>
          <t>CATEGORY</t>
        </is>
      </c>
      <c r="C113" s="17" t="n"/>
      <c r="D113" s="32" t="n"/>
      <c r="E113" s="32" t="n"/>
      <c r="F113" s="1" t="n"/>
      <c r="G113" s="31" t="inlineStr">
        <is>
          <t>STEP BY STEP TO GET THERE</t>
        </is>
      </c>
      <c r="I113" s="30" t="inlineStr">
        <is>
          <t>DUE</t>
        </is>
      </c>
      <c r="J113" s="30" t="inlineStr">
        <is>
          <t>DONE</t>
        </is>
      </c>
      <c r="K113" s="30" t="inlineStr">
        <is>
          <t>PROGRESS</t>
        </is>
      </c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</row>
    <row r="114">
      <c r="A114" s="1" t="n"/>
      <c r="B114" s="31" t="inlineStr">
        <is>
          <t>GOAL</t>
        </is>
      </c>
      <c r="C114" s="17" t="n"/>
      <c r="D114" s="32" t="n"/>
      <c r="E114" s="32" t="n"/>
      <c r="F114" s="1" t="n"/>
      <c r="G114" s="17" t="n"/>
      <c r="H114" s="32" t="n"/>
      <c r="I114" s="15" t="n"/>
      <c r="J114" s="22" t="n"/>
      <c r="K114" s="176">
        <f>IF(COUNTA(G114:G119)=0,"",COUNTIF(J114:J119,"✓")/COUNTA(G114:G119))</f>
        <v/>
      </c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</row>
    <row r="115">
      <c r="A115" s="1" t="n"/>
      <c r="B115" s="31" t="inlineStr">
        <is>
          <t>WHY</t>
        </is>
      </c>
      <c r="C115" s="17" t="n"/>
      <c r="D115" s="32" t="n"/>
      <c r="E115" s="32" t="n"/>
      <c r="F115" s="1" t="n"/>
      <c r="G115" s="17" t="n"/>
      <c r="H115" s="32" t="n"/>
      <c r="I115" s="15" t="n"/>
      <c r="J115" s="22" t="n"/>
      <c r="K115" s="35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</row>
    <row r="116">
      <c r="A116" s="1" t="n"/>
      <c r="B116" s="31" t="inlineStr">
        <is>
          <t>BIGGEST OBSTACLE</t>
        </is>
      </c>
      <c r="C116" s="17" t="n"/>
      <c r="D116" s="32" t="n"/>
      <c r="E116" s="32" t="n"/>
      <c r="F116" s="1" t="n"/>
      <c r="G116" s="17" t="n"/>
      <c r="H116" s="32" t="n"/>
      <c r="I116" s="15" t="n"/>
      <c r="J116" s="22" t="n"/>
      <c r="K116" s="35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</row>
    <row r="117">
      <c r="A117" s="1" t="n"/>
      <c r="B117" s="31" t="inlineStr">
        <is>
          <t>REWARD</t>
        </is>
      </c>
      <c r="C117" s="17" t="n"/>
      <c r="D117" s="32" t="n"/>
      <c r="E117" s="32" t="n"/>
      <c r="F117" s="1" t="n"/>
      <c r="G117" s="17" t="n"/>
      <c r="H117" s="32" t="n"/>
      <c r="I117" s="15" t="n"/>
      <c r="J117" s="22" t="n"/>
      <c r="K117" s="35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</row>
    <row r="118">
      <c r="A118" s="1" t="n"/>
      <c r="B118" s="31" t="inlineStr">
        <is>
          <t>DEADLINE</t>
        </is>
      </c>
      <c r="C118" s="172" t="n"/>
      <c r="D118" s="32" t="n"/>
      <c r="E118" s="32" t="n"/>
      <c r="F118" s="1" t="n"/>
      <c r="G118" s="17" t="n"/>
      <c r="H118" s="32" t="n"/>
      <c r="I118" s="15" t="n"/>
      <c r="J118" s="22" t="n"/>
      <c r="K118" s="35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</row>
    <row r="119">
      <c r="A119" s="1" t="n"/>
      <c r="B119" s="31" t="inlineStr">
        <is>
          <t>NOTES</t>
        </is>
      </c>
      <c r="C119" s="17" t="n"/>
      <c r="D119" s="32" t="n"/>
      <c r="E119" s="32" t="n"/>
      <c r="F119" s="1" t="n"/>
      <c r="G119" s="17" t="n"/>
      <c r="H119" s="32" t="n"/>
      <c r="I119" s="15" t="n"/>
      <c r="J119" s="22" t="n"/>
      <c r="K119" s="35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</row>
    <row r="121">
      <c r="A121" s="1" t="n"/>
      <c r="B121" s="177">
        <f>"GOAL 12"&amp;IF(C122="","","  ·  "&amp;UPPER(C122))</f>
        <v/>
      </c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</row>
    <row r="122">
      <c r="A122" s="1" t="n"/>
      <c r="B122" s="31" t="inlineStr">
        <is>
          <t>CATEGORY</t>
        </is>
      </c>
      <c r="C122" s="17" t="n"/>
      <c r="D122" s="32" t="n"/>
      <c r="E122" s="32" t="n"/>
      <c r="F122" s="1" t="n"/>
      <c r="G122" s="31" t="inlineStr">
        <is>
          <t>STEP BY STEP TO GET THERE</t>
        </is>
      </c>
      <c r="I122" s="30" t="inlineStr">
        <is>
          <t>DUE</t>
        </is>
      </c>
      <c r="J122" s="30" t="inlineStr">
        <is>
          <t>DONE</t>
        </is>
      </c>
      <c r="K122" s="30" t="inlineStr">
        <is>
          <t>PROGRESS</t>
        </is>
      </c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</row>
    <row r="123">
      <c r="A123" s="1" t="n"/>
      <c r="B123" s="31" t="inlineStr">
        <is>
          <t>GOAL</t>
        </is>
      </c>
      <c r="C123" s="17" t="n"/>
      <c r="D123" s="32" t="n"/>
      <c r="E123" s="32" t="n"/>
      <c r="F123" s="1" t="n"/>
      <c r="G123" s="17" t="n"/>
      <c r="H123" s="32" t="n"/>
      <c r="I123" s="15" t="n"/>
      <c r="J123" s="22" t="n"/>
      <c r="K123" s="178">
        <f>IF(COUNTA(G123:G128)=0,"",COUNTIF(J123:J128,"✓")/COUNTA(G123:G128))</f>
        <v/>
      </c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</row>
    <row r="124">
      <c r="A124" s="1" t="n"/>
      <c r="B124" s="31" t="inlineStr">
        <is>
          <t>WHY</t>
        </is>
      </c>
      <c r="C124" s="17" t="n"/>
      <c r="D124" s="32" t="n"/>
      <c r="E124" s="32" t="n"/>
      <c r="F124" s="1" t="n"/>
      <c r="G124" s="17" t="n"/>
      <c r="H124" s="32" t="n"/>
      <c r="I124" s="15" t="n"/>
      <c r="J124" s="22" t="n"/>
      <c r="K124" s="35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</row>
    <row r="125">
      <c r="A125" s="1" t="n"/>
      <c r="B125" s="31" t="inlineStr">
        <is>
          <t>BIGGEST OBSTACLE</t>
        </is>
      </c>
      <c r="C125" s="17" t="n"/>
      <c r="D125" s="32" t="n"/>
      <c r="E125" s="32" t="n"/>
      <c r="F125" s="1" t="n"/>
      <c r="G125" s="17" t="n"/>
      <c r="H125" s="32" t="n"/>
      <c r="I125" s="15" t="n"/>
      <c r="J125" s="22" t="n"/>
      <c r="K125" s="35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</row>
    <row r="126">
      <c r="A126" s="1" t="n"/>
      <c r="B126" s="31" t="inlineStr">
        <is>
          <t>REWARD</t>
        </is>
      </c>
      <c r="C126" s="17" t="n"/>
      <c r="D126" s="32" t="n"/>
      <c r="E126" s="32" t="n"/>
      <c r="F126" s="1" t="n"/>
      <c r="G126" s="17" t="n"/>
      <c r="H126" s="32" t="n"/>
      <c r="I126" s="15" t="n"/>
      <c r="J126" s="22" t="n"/>
      <c r="K126" s="35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</row>
    <row r="127">
      <c r="A127" s="1" t="n"/>
      <c r="B127" s="31" t="inlineStr">
        <is>
          <t>DEADLINE</t>
        </is>
      </c>
      <c r="C127" s="172" t="n"/>
      <c r="D127" s="32" t="n"/>
      <c r="E127" s="32" t="n"/>
      <c r="F127" s="1" t="n"/>
      <c r="G127" s="17" t="n"/>
      <c r="H127" s="32" t="n"/>
      <c r="I127" s="15" t="n"/>
      <c r="J127" s="22" t="n"/>
      <c r="K127" s="35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</row>
    <row r="128">
      <c r="A128" s="1" t="n"/>
      <c r="B128" s="31" t="inlineStr">
        <is>
          <t>NOTES</t>
        </is>
      </c>
      <c r="C128" s="17" t="n"/>
      <c r="D128" s="32" t="n"/>
      <c r="E128" s="32" t="n"/>
      <c r="F128" s="1" t="n"/>
      <c r="G128" s="17" t="n"/>
      <c r="H128" s="32" t="n"/>
      <c r="I128" s="15" t="n"/>
      <c r="J128" s="22" t="n"/>
      <c r="K128" s="35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</row>
  </sheetData>
  <mergeCells count="196">
    <mergeCell ref="G81:H81"/>
    <mergeCell ref="C44:E44"/>
    <mergeCell ref="C80:E80"/>
    <mergeCell ref="G71:H71"/>
    <mergeCell ref="G23:H23"/>
    <mergeCell ref="K24:K29"/>
    <mergeCell ref="G97:H97"/>
    <mergeCell ref="C51:E51"/>
    <mergeCell ref="C95:E95"/>
    <mergeCell ref="C60:E60"/>
    <mergeCell ref="B94:K94"/>
    <mergeCell ref="C71:E71"/>
    <mergeCell ref="B2:F2"/>
    <mergeCell ref="C123:E123"/>
    <mergeCell ref="C23:E23"/>
    <mergeCell ref="G128:H128"/>
    <mergeCell ref="C91:E91"/>
    <mergeCell ref="G34:H34"/>
    <mergeCell ref="B121:K121"/>
    <mergeCell ref="G68:H68"/>
    <mergeCell ref="K105:K110"/>
    <mergeCell ref="G108:H108"/>
    <mergeCell ref="G114:H114"/>
    <mergeCell ref="C101:E101"/>
    <mergeCell ref="G123:H123"/>
    <mergeCell ref="C77:E77"/>
    <mergeCell ref="C34:E34"/>
    <mergeCell ref="K42:K47"/>
    <mergeCell ref="G110:H110"/>
    <mergeCell ref="C42:E42"/>
    <mergeCell ref="G113:H113"/>
    <mergeCell ref="G91:H91"/>
    <mergeCell ref="C74:E74"/>
    <mergeCell ref="G100:H100"/>
    <mergeCell ref="C126:E126"/>
    <mergeCell ref="G44:H44"/>
    <mergeCell ref="C128:E128"/>
    <mergeCell ref="C113:E113"/>
    <mergeCell ref="C25:E25"/>
    <mergeCell ref="G59:H59"/>
    <mergeCell ref="C99:E99"/>
    <mergeCell ref="G77:H77"/>
    <mergeCell ref="G86:H86"/>
    <mergeCell ref="G117:H117"/>
    <mergeCell ref="C118:E118"/>
    <mergeCell ref="C127:E127"/>
    <mergeCell ref="G61:H61"/>
    <mergeCell ref="C114:E114"/>
    <mergeCell ref="C59:E59"/>
    <mergeCell ref="G70:H70"/>
    <mergeCell ref="C46:E46"/>
    <mergeCell ref="B76:K76"/>
    <mergeCell ref="B85:K85"/>
    <mergeCell ref="G125:H125"/>
    <mergeCell ref="G38:H38"/>
    <mergeCell ref="C52:E52"/>
    <mergeCell ref="C61:E61"/>
    <mergeCell ref="C70:E70"/>
    <mergeCell ref="G62:H62"/>
    <mergeCell ref="C106:E106"/>
    <mergeCell ref="G127:H127"/>
    <mergeCell ref="C32:E32"/>
    <mergeCell ref="C38:E38"/>
    <mergeCell ref="C81:E81"/>
    <mergeCell ref="C125:E125"/>
    <mergeCell ref="B31:K31"/>
    <mergeCell ref="G24:H24"/>
    <mergeCell ref="G33:H33"/>
    <mergeCell ref="K96:K101"/>
    <mergeCell ref="G104:H104"/>
    <mergeCell ref="C87:E87"/>
    <mergeCell ref="G65:H65"/>
    <mergeCell ref="G88:H88"/>
    <mergeCell ref="G26:H26"/>
    <mergeCell ref="C24:E24"/>
    <mergeCell ref="G35:H35"/>
    <mergeCell ref="C33:E33"/>
    <mergeCell ref="C89:E89"/>
    <mergeCell ref="C104:E104"/>
    <mergeCell ref="C116:E116"/>
    <mergeCell ref="G25:H25"/>
    <mergeCell ref="C79:E79"/>
    <mergeCell ref="G90:H90"/>
    <mergeCell ref="C73:E73"/>
    <mergeCell ref="C88:E88"/>
    <mergeCell ref="G99:H99"/>
    <mergeCell ref="C26:E26"/>
    <mergeCell ref="C35:E35"/>
    <mergeCell ref="G60:H60"/>
    <mergeCell ref="C63:E63"/>
    <mergeCell ref="B6:E8"/>
    <mergeCell ref="C50:E50"/>
    <mergeCell ref="B49:K49"/>
    <mergeCell ref="C117:E117"/>
    <mergeCell ref="C55:E55"/>
    <mergeCell ref="G115:H115"/>
    <mergeCell ref="G42:H42"/>
    <mergeCell ref="G126:H126"/>
    <mergeCell ref="K123:K128"/>
    <mergeCell ref="C115:E115"/>
    <mergeCell ref="G122:H122"/>
    <mergeCell ref="C36:E36"/>
    <mergeCell ref="G101:H101"/>
    <mergeCell ref="G116:H116"/>
    <mergeCell ref="K60:K65"/>
    <mergeCell ref="G37:H37"/>
    <mergeCell ref="G69:H69"/>
    <mergeCell ref="C122:E122"/>
    <mergeCell ref="G78:H78"/>
    <mergeCell ref="G118:H118"/>
    <mergeCell ref="G87:H87"/>
    <mergeCell ref="C72:E72"/>
    <mergeCell ref="C109:E109"/>
    <mergeCell ref="C28:E28"/>
    <mergeCell ref="B22:K22"/>
    <mergeCell ref="C37:E37"/>
    <mergeCell ref="C69:E69"/>
    <mergeCell ref="G80:H80"/>
    <mergeCell ref="C96:E96"/>
    <mergeCell ref="G95:H95"/>
    <mergeCell ref="C78:E78"/>
    <mergeCell ref="G5:K5"/>
    <mergeCell ref="G89:H89"/>
    <mergeCell ref="C92:E92"/>
    <mergeCell ref="G64:H64"/>
    <mergeCell ref="G79:H79"/>
    <mergeCell ref="C62:E62"/>
    <mergeCell ref="B67:K67"/>
    <mergeCell ref="G73:H73"/>
    <mergeCell ref="G51:H51"/>
    <mergeCell ref="C98:E98"/>
    <mergeCell ref="G54:H54"/>
    <mergeCell ref="C107:E107"/>
    <mergeCell ref="G32:H32"/>
    <mergeCell ref="G63:H63"/>
    <mergeCell ref="G41:H41"/>
    <mergeCell ref="K78:K83"/>
    <mergeCell ref="G50:H50"/>
    <mergeCell ref="C64:E64"/>
    <mergeCell ref="G106:H106"/>
    <mergeCell ref="K87:K92"/>
    <mergeCell ref="B103:K103"/>
    <mergeCell ref="B112:K112"/>
    <mergeCell ref="G56:H56"/>
    <mergeCell ref="G96:H96"/>
    <mergeCell ref="C54:E54"/>
    <mergeCell ref="G105:H105"/>
    <mergeCell ref="G43:H43"/>
    <mergeCell ref="C41:E41"/>
    <mergeCell ref="G52:H52"/>
    <mergeCell ref="C124:E124"/>
    <mergeCell ref="B40:K40"/>
    <mergeCell ref="G72:H72"/>
    <mergeCell ref="G27:H27"/>
    <mergeCell ref="G98:H98"/>
    <mergeCell ref="G36:H36"/>
    <mergeCell ref="K33:K38"/>
    <mergeCell ref="C56:E56"/>
    <mergeCell ref="B5:E5"/>
    <mergeCell ref="C90:E90"/>
    <mergeCell ref="K51:K56"/>
    <mergeCell ref="C105:E105"/>
    <mergeCell ref="C43:E43"/>
    <mergeCell ref="G107:H107"/>
    <mergeCell ref="G82:H82"/>
    <mergeCell ref="K114:K119"/>
    <mergeCell ref="C27:E27"/>
    <mergeCell ref="C110:E110"/>
    <mergeCell ref="C119:E119"/>
    <mergeCell ref="G53:H53"/>
    <mergeCell ref="G28:H28"/>
    <mergeCell ref="C82:E82"/>
    <mergeCell ref="G74:H74"/>
    <mergeCell ref="G83:H83"/>
    <mergeCell ref="G92:H92"/>
    <mergeCell ref="C53:E53"/>
    <mergeCell ref="B58:K58"/>
    <mergeCell ref="G124:H124"/>
    <mergeCell ref="G45:H45"/>
    <mergeCell ref="C86:E86"/>
    <mergeCell ref="C68:E68"/>
    <mergeCell ref="C83:E83"/>
    <mergeCell ref="C108:E108"/>
    <mergeCell ref="G55:H55"/>
    <mergeCell ref="G29:H29"/>
    <mergeCell ref="G109:H109"/>
    <mergeCell ref="G47:H47"/>
    <mergeCell ref="C45:E45"/>
    <mergeCell ref="C97:E97"/>
    <mergeCell ref="G119:H119"/>
    <mergeCell ref="G46:H46"/>
    <mergeCell ref="K69:K74"/>
    <mergeCell ref="C29:E29"/>
    <mergeCell ref="C100:E100"/>
    <mergeCell ref="C65:E65"/>
    <mergeCell ref="C47:E47"/>
  </mergeCells>
  <dataValidations count="12">
    <dataValidation sqref="J24:J29" showDropDown="0" showInputMessage="0" showErrorMessage="0" allowBlank="1" error="Please pick a value from the list." type="list" errorStyle="warning">
      <formula1>=Lists!$D$2</formula1>
    </dataValidation>
    <dataValidation sqref="J33:J38" showDropDown="0" showInputMessage="0" showErrorMessage="0" allowBlank="1" error="Please pick a value from the list." type="list" errorStyle="warning">
      <formula1>=Lists!$D$2</formula1>
    </dataValidation>
    <dataValidation sqref="J42:J47" showDropDown="0" showInputMessage="0" showErrorMessage="0" allowBlank="1" error="Please pick a value from the list." type="list" errorStyle="warning">
      <formula1>=Lists!$D$2</formula1>
    </dataValidation>
    <dataValidation sqref="J51:J56" showDropDown="0" showInputMessage="0" showErrorMessage="0" allowBlank="1" error="Please pick a value from the list." type="list" errorStyle="warning">
      <formula1>=Lists!$D$2</formula1>
    </dataValidation>
    <dataValidation sqref="J60:J65" showDropDown="0" showInputMessage="0" showErrorMessage="0" allowBlank="1" error="Please pick a value from the list." type="list" errorStyle="warning">
      <formula1>=Lists!$D$2</formula1>
    </dataValidation>
    <dataValidation sqref="J69:J74" showDropDown="0" showInputMessage="0" showErrorMessage="0" allowBlank="1" error="Please pick a value from the list." type="list" errorStyle="warning">
      <formula1>=Lists!$D$2</formula1>
    </dataValidation>
    <dataValidation sqref="J78:J83" showDropDown="0" showInputMessage="0" showErrorMessage="0" allowBlank="1" error="Please pick a value from the list." type="list" errorStyle="warning">
      <formula1>=Lists!$D$2</formula1>
    </dataValidation>
    <dataValidation sqref="J87:J92" showDropDown="0" showInputMessage="0" showErrorMessage="0" allowBlank="1" error="Please pick a value from the list." type="list" errorStyle="warning">
      <formula1>=Lists!$D$2</formula1>
    </dataValidation>
    <dataValidation sqref="J96:J101" showDropDown="0" showInputMessage="0" showErrorMessage="0" allowBlank="1" error="Please pick a value from the list." type="list" errorStyle="warning">
      <formula1>=Lists!$D$2</formula1>
    </dataValidation>
    <dataValidation sqref="J105:J110" showDropDown="0" showInputMessage="0" showErrorMessage="0" allowBlank="1" error="Please pick a value from the list." type="list" errorStyle="warning">
      <formula1>=Lists!$D$2</formula1>
    </dataValidation>
    <dataValidation sqref="J114:J119" showDropDown="0" showInputMessage="0" showErrorMessage="0" allowBlank="1" error="Please pick a value from the list." type="list" errorStyle="warning">
      <formula1>=Lists!$D$2</formula1>
    </dataValidation>
    <dataValidation sqref="J123:J128" showDropDown="0" showInputMessage="0" showErrorMessage="0" allowBlank="1" error="Please pick a value from the list." type="list" errorStyle="warning">
      <formula1>=Lists!$D$2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</t>
        </is>
      </c>
      <c r="B1" t="inlineStr">
        <is>
          <t>Days</t>
        </is>
      </c>
      <c r="C1" t="inlineStr">
        <is>
          <t>Months</t>
        </is>
      </c>
      <c r="D1" t="inlineStr">
        <is>
          <t>Tick</t>
        </is>
      </c>
      <c r="E1" t="inlineStr">
        <is>
          <t>Interval</t>
        </is>
      </c>
      <c r="F1" t="inlineStr">
        <is>
          <t>Week start</t>
        </is>
      </c>
      <c r="G1" t="inlineStr">
        <is>
          <t>Sort by</t>
        </is>
      </c>
      <c r="H1" t="inlineStr">
        <is>
          <t>Order</t>
        </is>
      </c>
      <c r="I1" t="inlineStr">
        <is>
          <t>Important</t>
        </is>
      </c>
      <c r="J1" t="inlineStr">
        <is>
          <t>Decision</t>
        </is>
      </c>
      <c r="K1" t="inlineStr">
        <is>
          <t>YesNo</t>
        </is>
      </c>
    </row>
    <row r="2">
      <c r="A2" t="inlineStr">
        <is>
          <t>Daily</t>
        </is>
      </c>
      <c r="B2" t="n">
        <v>1</v>
      </c>
      <c r="C2" t="n">
        <v>0</v>
      </c>
      <c r="D2" t="inlineStr">
        <is>
          <t>✓</t>
        </is>
      </c>
      <c r="E2" t="n">
        <v>15</v>
      </c>
      <c r="F2" t="inlineStr">
        <is>
          <t>Monday</t>
        </is>
      </c>
      <c r="G2" t="inlineStr">
        <is>
          <t>Due date</t>
        </is>
      </c>
      <c r="H2" t="inlineStr">
        <is>
          <t>Ascending</t>
        </is>
      </c>
      <c r="I2" t="inlineStr">
        <is>
          <t>Both</t>
        </is>
      </c>
      <c r="J2" t="inlineStr">
        <is>
          <t>DO FIRST</t>
        </is>
      </c>
      <c r="K2" t="inlineStr">
        <is>
          <t>Yes</t>
        </is>
      </c>
    </row>
    <row r="3">
      <c r="A3" t="inlineStr">
        <is>
          <t>Weekdays</t>
        </is>
      </c>
      <c r="B3" t="n">
        <v>0</v>
      </c>
      <c r="C3" t="n">
        <v>0</v>
      </c>
      <c r="E3" t="n">
        <v>30</v>
      </c>
      <c r="F3" t="inlineStr">
        <is>
          <t>Sunday</t>
        </is>
      </c>
      <c r="G3" t="inlineStr">
        <is>
          <t>Priority</t>
        </is>
      </c>
      <c r="H3" t="inlineStr">
        <is>
          <t>Descending</t>
        </is>
      </c>
      <c r="I3" t="inlineStr">
        <is>
          <t>Yes</t>
        </is>
      </c>
      <c r="J3" t="inlineStr">
        <is>
          <t>SCHEDULE</t>
        </is>
      </c>
      <c r="K3" t="inlineStr">
        <is>
          <t>No</t>
        </is>
      </c>
    </row>
    <row r="4">
      <c r="A4" t="inlineStr">
        <is>
          <t>Weekly</t>
        </is>
      </c>
      <c r="B4" t="n">
        <v>7</v>
      </c>
      <c r="C4" t="n">
        <v>0</v>
      </c>
      <c r="E4" t="n">
        <v>60</v>
      </c>
      <c r="G4" t="inlineStr">
        <is>
          <t>Category</t>
        </is>
      </c>
      <c r="I4" t="inlineStr">
        <is>
          <t>No</t>
        </is>
      </c>
      <c r="J4" t="inlineStr">
        <is>
          <t>DELEGATE</t>
        </is>
      </c>
    </row>
    <row r="5">
      <c r="A5" t="inlineStr">
        <is>
          <t>Bi-weekly</t>
        </is>
      </c>
      <c r="B5" t="n">
        <v>14</v>
      </c>
      <c r="C5" t="n">
        <v>0</v>
      </c>
      <c r="G5" t="inlineStr">
        <is>
          <t>Person</t>
        </is>
      </c>
      <c r="J5" t="inlineStr">
        <is>
          <t>DELETE</t>
        </is>
      </c>
    </row>
    <row r="6">
      <c r="A6" t="inlineStr">
        <is>
          <t>Monthly</t>
        </is>
      </c>
      <c r="B6" t="n">
        <v>0</v>
      </c>
      <c r="C6" t="n">
        <v>1</v>
      </c>
      <c r="G6" t="inlineStr">
        <is>
          <t>Status</t>
        </is>
      </c>
    </row>
    <row r="7">
      <c r="A7" t="inlineStr">
        <is>
          <t>Quarterly</t>
        </is>
      </c>
      <c r="B7" t="n">
        <v>0</v>
      </c>
      <c r="C7" t="n">
        <v>3</v>
      </c>
    </row>
    <row r="8">
      <c r="A8" t="inlineStr">
        <is>
          <t>Annual</t>
        </is>
      </c>
      <c r="B8" t="n">
        <v>0</v>
      </c>
      <c r="C8" t="n">
        <v>12</v>
      </c>
    </row>
    <row r="9">
      <c r="A9" t="inlineStr">
        <is>
          <t>Once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N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inlineStr">
        <is>
          <t>count</t>
        </is>
      </c>
      <c r="AQ1" t="inlineStr">
        <is>
          <t>before</t>
        </is>
      </c>
      <c r="AS1" t="inlineStr">
        <is>
          <t>src</t>
        </is>
      </c>
      <c r="AT1" t="inlineStr">
        <is>
          <t>row</t>
        </is>
      </c>
      <c r="AU1" t="inlineStr">
        <is>
          <t>task</t>
        </is>
      </c>
      <c r="AV1" t="inlineStr">
        <is>
          <t>cat</t>
        </is>
      </c>
      <c r="AW1" t="inlineStr">
        <is>
          <t>due</t>
        </is>
      </c>
      <c r="AX1" t="inlineStr">
        <is>
          <t>start</t>
        </is>
      </c>
      <c r="AY1" t="inlineStr">
        <is>
          <t>end</t>
        </is>
      </c>
      <c r="AZ1" t="inlineStr">
        <is>
          <t>status</t>
        </is>
      </c>
      <c r="BA1" t="inlineStr">
        <is>
          <t>prio</t>
        </is>
      </c>
      <c r="BB1" t="inlineStr">
        <is>
          <t>imp</t>
        </is>
      </c>
      <c r="BC1" t="inlineStr">
        <is>
          <t>person</t>
        </is>
      </c>
      <c r="BD1" t="inlineStr">
        <is>
          <t>decision</t>
        </is>
      </c>
      <c r="BE1" t="inlineStr">
        <is>
          <t>progress</t>
        </is>
      </c>
      <c r="BF1" t="inlineStr">
        <is>
          <t>prionum</t>
        </is>
      </c>
      <c r="BG1" t="inlineStr">
        <is>
          <t>done</t>
        </is>
      </c>
      <c r="BH1" t="inlineStr">
        <is>
          <t>valid</t>
        </is>
      </c>
      <c r="BI1" t="inlineStr">
        <is>
          <t>include</t>
        </is>
      </c>
      <c r="BJ1" t="inlineStr">
        <is>
          <t>sortkey</t>
        </is>
      </c>
      <c r="BK1" t="inlineStr">
        <is>
          <t>fkey</t>
        </is>
      </c>
      <c r="BL1" t="inlineStr">
        <is>
          <t>overdue</t>
        </is>
      </c>
      <c r="BM1" t="inlineStr">
        <is>
          <t>week</t>
        </is>
      </c>
      <c r="BN1" t="inlineStr">
        <is>
          <t>pkey</t>
        </is>
      </c>
    </row>
    <row r="2">
      <c r="A2">
        <f>Setup!$D$5+0</f>
        <v/>
      </c>
      <c r="B2">
        <f>IF('Recurring Schedule'!$C$6="","",IF('Recurring Schedule'!$F$6="","",IF(OR($A2&lt;'Recurring Schedule'!$F$6,$A2&gt;'Recurring Schedule'!$P$6),"",IF(IF('Recurring Schedule'!$N$6&gt;0,MOD($A2-'Recurring Schedule'!$F$6,'Recurring Schedule'!$N$6)=0,IF('Recurring Schedule'!$O$6&gt;0,AND(DAY($A2)=MIN(DAY('Recurring Schedule'!$F$6),DAY(EOMONTH($A2,0))),MOD((YEAR($A2)-YEAR('Recurring Schedule'!$F$6))*12+MONTH($A2)-MONTH('Recurring Schedule'!$F$6),'Recurring Schedule'!$O$6)=0),IF('Recurring Schedule'!$E$6="Weekdays",WEEKDAY($A2,2)&lt;=5,$A2='Recurring Schedule'!$F$6))),1,""))))</f>
        <v/>
      </c>
      <c r="C2">
        <f>IF('Recurring Schedule'!$C$7="","",IF('Recurring Schedule'!$F$7="","",IF(OR($A2&lt;'Recurring Schedule'!$F$7,$A2&gt;'Recurring Schedule'!$P$7),"",IF(IF('Recurring Schedule'!$N$7&gt;0,MOD($A2-'Recurring Schedule'!$F$7,'Recurring Schedule'!$N$7)=0,IF('Recurring Schedule'!$O$7&gt;0,AND(DAY($A2)=MIN(DAY('Recurring Schedule'!$F$7),DAY(EOMONTH($A2,0))),MOD((YEAR($A2)-YEAR('Recurring Schedule'!$F$7))*12+MONTH($A2)-MONTH('Recurring Schedule'!$F$7),'Recurring Schedule'!$O$7)=0),IF('Recurring Schedule'!$E$7="Weekdays",WEEKDAY($A2,2)&lt;=5,$A2='Recurring Schedule'!$F$7))),2,""))))</f>
        <v/>
      </c>
      <c r="D2">
        <f>IF('Recurring Schedule'!$C$8="","",IF('Recurring Schedule'!$F$8="","",IF(OR($A2&lt;'Recurring Schedule'!$F$8,$A2&gt;'Recurring Schedule'!$P$8),"",IF(IF('Recurring Schedule'!$N$8&gt;0,MOD($A2-'Recurring Schedule'!$F$8,'Recurring Schedule'!$N$8)=0,IF('Recurring Schedule'!$O$8&gt;0,AND(DAY($A2)=MIN(DAY('Recurring Schedule'!$F$8),DAY(EOMONTH($A2,0))),MOD((YEAR($A2)-YEAR('Recurring Schedule'!$F$8))*12+MONTH($A2)-MONTH('Recurring Schedule'!$F$8),'Recurring Schedule'!$O$8)=0),IF('Recurring Schedule'!$E$8="Weekdays",WEEKDAY($A2,2)&lt;=5,$A2='Recurring Schedule'!$F$8))),3,""))))</f>
        <v/>
      </c>
      <c r="E2">
        <f>IF('Recurring Schedule'!$C$9="","",IF('Recurring Schedule'!$F$9="","",IF(OR($A2&lt;'Recurring Schedule'!$F$9,$A2&gt;'Recurring Schedule'!$P$9),"",IF(IF('Recurring Schedule'!$N$9&gt;0,MOD($A2-'Recurring Schedule'!$F$9,'Recurring Schedule'!$N$9)=0,IF('Recurring Schedule'!$O$9&gt;0,AND(DAY($A2)=MIN(DAY('Recurring Schedule'!$F$9),DAY(EOMONTH($A2,0))),MOD((YEAR($A2)-YEAR('Recurring Schedule'!$F$9))*12+MONTH($A2)-MONTH('Recurring Schedule'!$F$9),'Recurring Schedule'!$O$9)=0),IF('Recurring Schedule'!$E$9="Weekdays",WEEKDAY($A2,2)&lt;=5,$A2='Recurring Schedule'!$F$9))),4,""))))</f>
        <v/>
      </c>
      <c r="F2">
        <f>IF('Recurring Schedule'!$C$10="","",IF('Recurring Schedule'!$F$10="","",IF(OR($A2&lt;'Recurring Schedule'!$F$10,$A2&gt;'Recurring Schedule'!$P$10),"",IF(IF('Recurring Schedule'!$N$10&gt;0,MOD($A2-'Recurring Schedule'!$F$10,'Recurring Schedule'!$N$10)=0,IF('Recurring Schedule'!$O$10&gt;0,AND(DAY($A2)=MIN(DAY('Recurring Schedule'!$F$10),DAY(EOMONTH($A2,0))),MOD((YEAR($A2)-YEAR('Recurring Schedule'!$F$10))*12+MONTH($A2)-MONTH('Recurring Schedule'!$F$10),'Recurring Schedule'!$O$10)=0),IF('Recurring Schedule'!$E$10="Weekdays",WEEKDAY($A2,2)&lt;=5,$A2='Recurring Schedule'!$F$10))),5,""))))</f>
        <v/>
      </c>
      <c r="G2">
        <f>IF('Recurring Schedule'!$C$11="","",IF('Recurring Schedule'!$F$11="","",IF(OR($A2&lt;'Recurring Schedule'!$F$11,$A2&gt;'Recurring Schedule'!$P$11),"",IF(IF('Recurring Schedule'!$N$11&gt;0,MOD($A2-'Recurring Schedule'!$F$11,'Recurring Schedule'!$N$11)=0,IF('Recurring Schedule'!$O$11&gt;0,AND(DAY($A2)=MIN(DAY('Recurring Schedule'!$F$11),DAY(EOMONTH($A2,0))),MOD((YEAR($A2)-YEAR('Recurring Schedule'!$F$11))*12+MONTH($A2)-MONTH('Recurring Schedule'!$F$11),'Recurring Schedule'!$O$11)=0),IF('Recurring Schedule'!$E$11="Weekdays",WEEKDAY($A2,2)&lt;=5,$A2='Recurring Schedule'!$F$11))),6,""))))</f>
        <v/>
      </c>
      <c r="H2">
        <f>IF('Recurring Schedule'!$C$12="","",IF('Recurring Schedule'!$F$12="","",IF(OR($A2&lt;'Recurring Schedule'!$F$12,$A2&gt;'Recurring Schedule'!$P$12),"",IF(IF('Recurring Schedule'!$N$12&gt;0,MOD($A2-'Recurring Schedule'!$F$12,'Recurring Schedule'!$N$12)=0,IF('Recurring Schedule'!$O$12&gt;0,AND(DAY($A2)=MIN(DAY('Recurring Schedule'!$F$12),DAY(EOMONTH($A2,0))),MOD((YEAR($A2)-YEAR('Recurring Schedule'!$F$12))*12+MONTH($A2)-MONTH('Recurring Schedule'!$F$12),'Recurring Schedule'!$O$12)=0),IF('Recurring Schedule'!$E$12="Weekdays",WEEKDAY($A2,2)&lt;=5,$A2='Recurring Schedule'!$F$12))),7,""))))</f>
        <v/>
      </c>
      <c r="I2">
        <f>IF('Recurring Schedule'!$C$13="","",IF('Recurring Schedule'!$F$13="","",IF(OR($A2&lt;'Recurring Schedule'!$F$13,$A2&gt;'Recurring Schedule'!$P$13),"",IF(IF('Recurring Schedule'!$N$13&gt;0,MOD($A2-'Recurring Schedule'!$F$13,'Recurring Schedule'!$N$13)=0,IF('Recurring Schedule'!$O$13&gt;0,AND(DAY($A2)=MIN(DAY('Recurring Schedule'!$F$13),DAY(EOMONTH($A2,0))),MOD((YEAR($A2)-YEAR('Recurring Schedule'!$F$13))*12+MONTH($A2)-MONTH('Recurring Schedule'!$F$13),'Recurring Schedule'!$O$13)=0),IF('Recurring Schedule'!$E$13="Weekdays",WEEKDAY($A2,2)&lt;=5,$A2='Recurring Schedule'!$F$13))),8,""))))</f>
        <v/>
      </c>
      <c r="J2">
        <f>IF('Recurring Schedule'!$C$14="","",IF('Recurring Schedule'!$F$14="","",IF(OR($A2&lt;'Recurring Schedule'!$F$14,$A2&gt;'Recurring Schedule'!$P$14),"",IF(IF('Recurring Schedule'!$N$14&gt;0,MOD($A2-'Recurring Schedule'!$F$14,'Recurring Schedule'!$N$14)=0,IF('Recurring Schedule'!$O$14&gt;0,AND(DAY($A2)=MIN(DAY('Recurring Schedule'!$F$14),DAY(EOMONTH($A2,0))),MOD((YEAR($A2)-YEAR('Recurring Schedule'!$F$14))*12+MONTH($A2)-MONTH('Recurring Schedule'!$F$14),'Recurring Schedule'!$O$14)=0),IF('Recurring Schedule'!$E$14="Weekdays",WEEKDAY($A2,2)&lt;=5,$A2='Recurring Schedule'!$F$14))),9,""))))</f>
        <v/>
      </c>
      <c r="K2">
        <f>IF('Recurring Schedule'!$C$15="","",IF('Recurring Schedule'!$F$15="","",IF(OR($A2&lt;'Recurring Schedule'!$F$15,$A2&gt;'Recurring Schedule'!$P$15),"",IF(IF('Recurring Schedule'!$N$15&gt;0,MOD($A2-'Recurring Schedule'!$F$15,'Recurring Schedule'!$N$15)=0,IF('Recurring Schedule'!$O$15&gt;0,AND(DAY($A2)=MIN(DAY('Recurring Schedule'!$F$15),DAY(EOMONTH($A2,0))),MOD((YEAR($A2)-YEAR('Recurring Schedule'!$F$15))*12+MONTH($A2)-MONTH('Recurring Schedule'!$F$15),'Recurring Schedule'!$O$15)=0),IF('Recurring Schedule'!$E$15="Weekdays",WEEKDAY($A2,2)&lt;=5,$A2='Recurring Schedule'!$F$15))),10,""))))</f>
        <v/>
      </c>
      <c r="L2">
        <f>IF('Recurring Schedule'!$C$16="","",IF('Recurring Schedule'!$F$16="","",IF(OR($A2&lt;'Recurring Schedule'!$F$16,$A2&gt;'Recurring Schedule'!$P$16),"",IF(IF('Recurring Schedule'!$N$16&gt;0,MOD($A2-'Recurring Schedule'!$F$16,'Recurring Schedule'!$N$16)=0,IF('Recurring Schedule'!$O$16&gt;0,AND(DAY($A2)=MIN(DAY('Recurring Schedule'!$F$16),DAY(EOMONTH($A2,0))),MOD((YEAR($A2)-YEAR('Recurring Schedule'!$F$16))*12+MONTH($A2)-MONTH('Recurring Schedule'!$F$16),'Recurring Schedule'!$O$16)=0),IF('Recurring Schedule'!$E$16="Weekdays",WEEKDAY($A2,2)&lt;=5,$A2='Recurring Schedule'!$F$16))),11,""))))</f>
        <v/>
      </c>
      <c r="M2">
        <f>IF('Recurring Schedule'!$C$17="","",IF('Recurring Schedule'!$F$17="","",IF(OR($A2&lt;'Recurring Schedule'!$F$17,$A2&gt;'Recurring Schedule'!$P$17),"",IF(IF('Recurring Schedule'!$N$17&gt;0,MOD($A2-'Recurring Schedule'!$F$17,'Recurring Schedule'!$N$17)=0,IF('Recurring Schedule'!$O$17&gt;0,AND(DAY($A2)=MIN(DAY('Recurring Schedule'!$F$17),DAY(EOMONTH($A2,0))),MOD((YEAR($A2)-YEAR('Recurring Schedule'!$F$17))*12+MONTH($A2)-MONTH('Recurring Schedule'!$F$17),'Recurring Schedule'!$O$17)=0),IF('Recurring Schedule'!$E$17="Weekdays",WEEKDAY($A2,2)&lt;=5,$A2='Recurring Schedule'!$F$17))),12,""))))</f>
        <v/>
      </c>
      <c r="N2">
        <f>IF('Recurring Schedule'!$C$18="","",IF('Recurring Schedule'!$F$18="","",IF(OR($A2&lt;'Recurring Schedule'!$F$18,$A2&gt;'Recurring Schedule'!$P$18),"",IF(IF('Recurring Schedule'!$N$18&gt;0,MOD($A2-'Recurring Schedule'!$F$18,'Recurring Schedule'!$N$18)=0,IF('Recurring Schedule'!$O$18&gt;0,AND(DAY($A2)=MIN(DAY('Recurring Schedule'!$F$18),DAY(EOMONTH($A2,0))),MOD((YEAR($A2)-YEAR('Recurring Schedule'!$F$18))*12+MONTH($A2)-MONTH('Recurring Schedule'!$F$18),'Recurring Schedule'!$O$18)=0),IF('Recurring Schedule'!$E$18="Weekdays",WEEKDAY($A2,2)&lt;=5,$A2='Recurring Schedule'!$F$18))),13,""))))</f>
        <v/>
      </c>
      <c r="O2">
        <f>IF('Recurring Schedule'!$C$19="","",IF('Recurring Schedule'!$F$19="","",IF(OR($A2&lt;'Recurring Schedule'!$F$19,$A2&gt;'Recurring Schedule'!$P$19),"",IF(IF('Recurring Schedule'!$N$19&gt;0,MOD($A2-'Recurring Schedule'!$F$19,'Recurring Schedule'!$N$19)=0,IF('Recurring Schedule'!$O$19&gt;0,AND(DAY($A2)=MIN(DAY('Recurring Schedule'!$F$19),DAY(EOMONTH($A2,0))),MOD((YEAR($A2)-YEAR('Recurring Schedule'!$F$19))*12+MONTH($A2)-MONTH('Recurring Schedule'!$F$19),'Recurring Schedule'!$O$19)=0),IF('Recurring Schedule'!$E$19="Weekdays",WEEKDAY($A2,2)&lt;=5,$A2='Recurring Schedule'!$F$19))),14,""))))</f>
        <v/>
      </c>
      <c r="P2">
        <f>IF('Recurring Schedule'!$C$20="","",IF('Recurring Schedule'!$F$20="","",IF(OR($A2&lt;'Recurring Schedule'!$F$20,$A2&gt;'Recurring Schedule'!$P$20),"",IF(IF('Recurring Schedule'!$N$20&gt;0,MOD($A2-'Recurring Schedule'!$F$20,'Recurring Schedule'!$N$20)=0,IF('Recurring Schedule'!$O$20&gt;0,AND(DAY($A2)=MIN(DAY('Recurring Schedule'!$F$20),DAY(EOMONTH($A2,0))),MOD((YEAR($A2)-YEAR('Recurring Schedule'!$F$20))*12+MONTH($A2)-MONTH('Recurring Schedule'!$F$20),'Recurring Schedule'!$O$20)=0),IF('Recurring Schedule'!$E$20="Weekdays",WEEKDAY($A2,2)&lt;=5,$A2='Recurring Schedule'!$F$20))),15,""))))</f>
        <v/>
      </c>
      <c r="Q2">
        <f>IF('Recurring Schedule'!$C$21="","",IF('Recurring Schedule'!$F$21="","",IF(OR($A2&lt;'Recurring Schedule'!$F$21,$A2&gt;'Recurring Schedule'!$P$21),"",IF(IF('Recurring Schedule'!$N$21&gt;0,MOD($A2-'Recurring Schedule'!$F$21,'Recurring Schedule'!$N$21)=0,IF('Recurring Schedule'!$O$21&gt;0,AND(DAY($A2)=MIN(DAY('Recurring Schedule'!$F$21),DAY(EOMONTH($A2,0))),MOD((YEAR($A2)-YEAR('Recurring Schedule'!$F$21))*12+MONTH($A2)-MONTH('Recurring Schedule'!$F$21),'Recurring Schedule'!$O$21)=0),IF('Recurring Schedule'!$E$21="Weekdays",WEEKDAY($A2,2)&lt;=5,$A2='Recurring Schedule'!$F$21))),16,""))))</f>
        <v/>
      </c>
      <c r="R2">
        <f>IF('Recurring Schedule'!$C$22="","",IF('Recurring Schedule'!$F$22="","",IF(OR($A2&lt;'Recurring Schedule'!$F$22,$A2&gt;'Recurring Schedule'!$P$22),"",IF(IF('Recurring Schedule'!$N$22&gt;0,MOD($A2-'Recurring Schedule'!$F$22,'Recurring Schedule'!$N$22)=0,IF('Recurring Schedule'!$O$22&gt;0,AND(DAY($A2)=MIN(DAY('Recurring Schedule'!$F$22),DAY(EOMONTH($A2,0))),MOD((YEAR($A2)-YEAR('Recurring Schedule'!$F$22))*12+MONTH($A2)-MONTH('Recurring Schedule'!$F$22),'Recurring Schedule'!$O$22)=0),IF('Recurring Schedule'!$E$22="Weekdays",WEEKDAY($A2,2)&lt;=5,$A2='Recurring Schedule'!$F$22))),17,""))))</f>
        <v/>
      </c>
      <c r="S2">
        <f>IF('Recurring Schedule'!$C$23="","",IF('Recurring Schedule'!$F$23="","",IF(OR($A2&lt;'Recurring Schedule'!$F$23,$A2&gt;'Recurring Schedule'!$P$23),"",IF(IF('Recurring Schedule'!$N$23&gt;0,MOD($A2-'Recurring Schedule'!$F$23,'Recurring Schedule'!$N$23)=0,IF('Recurring Schedule'!$O$23&gt;0,AND(DAY($A2)=MIN(DAY('Recurring Schedule'!$F$23),DAY(EOMONTH($A2,0))),MOD((YEAR($A2)-YEAR('Recurring Schedule'!$F$23))*12+MONTH($A2)-MONTH('Recurring Schedule'!$F$23),'Recurring Schedule'!$O$23)=0),IF('Recurring Schedule'!$E$23="Weekdays",WEEKDAY($A2,2)&lt;=5,$A2='Recurring Schedule'!$F$23))),18,""))))</f>
        <v/>
      </c>
      <c r="T2">
        <f>IF('Recurring Schedule'!$C$24="","",IF('Recurring Schedule'!$F$24="","",IF(OR($A2&lt;'Recurring Schedule'!$F$24,$A2&gt;'Recurring Schedule'!$P$24),"",IF(IF('Recurring Schedule'!$N$24&gt;0,MOD($A2-'Recurring Schedule'!$F$24,'Recurring Schedule'!$N$24)=0,IF('Recurring Schedule'!$O$24&gt;0,AND(DAY($A2)=MIN(DAY('Recurring Schedule'!$F$24),DAY(EOMONTH($A2,0))),MOD((YEAR($A2)-YEAR('Recurring Schedule'!$F$24))*12+MONTH($A2)-MONTH('Recurring Schedule'!$F$24),'Recurring Schedule'!$O$24)=0),IF('Recurring Schedule'!$E$24="Weekdays",WEEKDAY($A2,2)&lt;=5,$A2='Recurring Schedule'!$F$24))),19,""))))</f>
        <v/>
      </c>
      <c r="U2">
        <f>IF('Recurring Schedule'!$C$25="","",IF('Recurring Schedule'!$F$25="","",IF(OR($A2&lt;'Recurring Schedule'!$F$25,$A2&gt;'Recurring Schedule'!$P$25),"",IF(IF('Recurring Schedule'!$N$25&gt;0,MOD($A2-'Recurring Schedule'!$F$25,'Recurring Schedule'!$N$25)=0,IF('Recurring Schedule'!$O$25&gt;0,AND(DAY($A2)=MIN(DAY('Recurring Schedule'!$F$25),DAY(EOMONTH($A2,0))),MOD((YEAR($A2)-YEAR('Recurring Schedule'!$F$25))*12+MONTH($A2)-MONTH('Recurring Schedule'!$F$25),'Recurring Schedule'!$O$25)=0),IF('Recurring Schedule'!$E$25="Weekdays",WEEKDAY($A2,2)&lt;=5,$A2='Recurring Schedule'!$F$25))),20,""))))</f>
        <v/>
      </c>
      <c r="V2">
        <f>IF('Recurring Schedule'!$C$26="","",IF('Recurring Schedule'!$F$26="","",IF(OR($A2&lt;'Recurring Schedule'!$F$26,$A2&gt;'Recurring Schedule'!$P$26),"",IF(IF('Recurring Schedule'!$N$26&gt;0,MOD($A2-'Recurring Schedule'!$F$26,'Recurring Schedule'!$N$26)=0,IF('Recurring Schedule'!$O$26&gt;0,AND(DAY($A2)=MIN(DAY('Recurring Schedule'!$F$26),DAY(EOMONTH($A2,0))),MOD((YEAR($A2)-YEAR('Recurring Schedule'!$F$26))*12+MONTH($A2)-MONTH('Recurring Schedule'!$F$26),'Recurring Schedule'!$O$26)=0),IF('Recurring Schedule'!$E$26="Weekdays",WEEKDAY($A2,2)&lt;=5,$A2='Recurring Schedule'!$F$26))),21,""))))</f>
        <v/>
      </c>
      <c r="W2">
        <f>IF('Recurring Schedule'!$C$27="","",IF('Recurring Schedule'!$F$27="","",IF(OR($A2&lt;'Recurring Schedule'!$F$27,$A2&gt;'Recurring Schedule'!$P$27),"",IF(IF('Recurring Schedule'!$N$27&gt;0,MOD($A2-'Recurring Schedule'!$F$27,'Recurring Schedule'!$N$27)=0,IF('Recurring Schedule'!$O$27&gt;0,AND(DAY($A2)=MIN(DAY('Recurring Schedule'!$F$27),DAY(EOMONTH($A2,0))),MOD((YEAR($A2)-YEAR('Recurring Schedule'!$F$27))*12+MONTH($A2)-MONTH('Recurring Schedule'!$F$27),'Recurring Schedule'!$O$27)=0),IF('Recurring Schedule'!$E$27="Weekdays",WEEKDAY($A2,2)&lt;=5,$A2='Recurring Schedule'!$F$27))),22,""))))</f>
        <v/>
      </c>
      <c r="X2">
        <f>IF('Recurring Schedule'!$C$28="","",IF('Recurring Schedule'!$F$28="","",IF(OR($A2&lt;'Recurring Schedule'!$F$28,$A2&gt;'Recurring Schedule'!$P$28),"",IF(IF('Recurring Schedule'!$N$28&gt;0,MOD($A2-'Recurring Schedule'!$F$28,'Recurring Schedule'!$N$28)=0,IF('Recurring Schedule'!$O$28&gt;0,AND(DAY($A2)=MIN(DAY('Recurring Schedule'!$F$28),DAY(EOMONTH($A2,0))),MOD((YEAR($A2)-YEAR('Recurring Schedule'!$F$28))*12+MONTH($A2)-MONTH('Recurring Schedule'!$F$28),'Recurring Schedule'!$O$28)=0),IF('Recurring Schedule'!$E$28="Weekdays",WEEKDAY($A2,2)&lt;=5,$A2='Recurring Schedule'!$F$28))),23,""))))</f>
        <v/>
      </c>
      <c r="Y2">
        <f>IF('Recurring Schedule'!$C$29="","",IF('Recurring Schedule'!$F$29="","",IF(OR($A2&lt;'Recurring Schedule'!$F$29,$A2&gt;'Recurring Schedule'!$P$29),"",IF(IF('Recurring Schedule'!$N$29&gt;0,MOD($A2-'Recurring Schedule'!$F$29,'Recurring Schedule'!$N$29)=0,IF('Recurring Schedule'!$O$29&gt;0,AND(DAY($A2)=MIN(DAY('Recurring Schedule'!$F$29),DAY(EOMONTH($A2,0))),MOD((YEAR($A2)-YEAR('Recurring Schedule'!$F$29))*12+MONTH($A2)-MONTH('Recurring Schedule'!$F$29),'Recurring Schedule'!$O$29)=0),IF('Recurring Schedule'!$E$29="Weekdays",WEEKDAY($A2,2)&lt;=5,$A2='Recurring Schedule'!$F$29))),24,""))))</f>
        <v/>
      </c>
      <c r="Z2">
        <f>IF('Recurring Schedule'!$C$30="","",IF('Recurring Schedule'!$F$30="","",IF(OR($A2&lt;'Recurring Schedule'!$F$30,$A2&gt;'Recurring Schedule'!$P$30),"",IF(IF('Recurring Schedule'!$N$30&gt;0,MOD($A2-'Recurring Schedule'!$F$30,'Recurring Schedule'!$N$30)=0,IF('Recurring Schedule'!$O$30&gt;0,AND(DAY($A2)=MIN(DAY('Recurring Schedule'!$F$30),DAY(EOMONTH($A2,0))),MOD((YEAR($A2)-YEAR('Recurring Schedule'!$F$30))*12+MONTH($A2)-MONTH('Recurring Schedule'!$F$30),'Recurring Schedule'!$O$30)=0),IF('Recurring Schedule'!$E$30="Weekdays",WEEKDAY($A2,2)&lt;=5,$A2='Recurring Schedule'!$F$30))),25,""))))</f>
        <v/>
      </c>
      <c r="AA2">
        <f>IF('Recurring Schedule'!$C$31="","",IF('Recurring Schedule'!$F$31="","",IF(OR($A2&lt;'Recurring Schedule'!$F$31,$A2&gt;'Recurring Schedule'!$P$31),"",IF(IF('Recurring Schedule'!$N$31&gt;0,MOD($A2-'Recurring Schedule'!$F$31,'Recurring Schedule'!$N$31)=0,IF('Recurring Schedule'!$O$31&gt;0,AND(DAY($A2)=MIN(DAY('Recurring Schedule'!$F$31),DAY(EOMONTH($A2,0))),MOD((YEAR($A2)-YEAR('Recurring Schedule'!$F$31))*12+MONTH($A2)-MONTH('Recurring Schedule'!$F$31),'Recurring Schedule'!$O$31)=0),IF('Recurring Schedule'!$E$31="Weekdays",WEEKDAY($A2,2)&lt;=5,$A2='Recurring Schedule'!$F$31))),26,""))))</f>
        <v/>
      </c>
      <c r="AB2">
        <f>IF('Recurring Schedule'!$C$32="","",IF('Recurring Schedule'!$F$32="","",IF(OR($A2&lt;'Recurring Schedule'!$F$32,$A2&gt;'Recurring Schedule'!$P$32),"",IF(IF('Recurring Schedule'!$N$32&gt;0,MOD($A2-'Recurring Schedule'!$F$32,'Recurring Schedule'!$N$32)=0,IF('Recurring Schedule'!$O$32&gt;0,AND(DAY($A2)=MIN(DAY('Recurring Schedule'!$F$32),DAY(EOMONTH($A2,0))),MOD((YEAR($A2)-YEAR('Recurring Schedule'!$F$32))*12+MONTH($A2)-MONTH('Recurring Schedule'!$F$32),'Recurring Schedule'!$O$32)=0),IF('Recurring Schedule'!$E$32="Weekdays",WEEKDAY($A2,2)&lt;=5,$A2='Recurring Schedule'!$F$32))),27,""))))</f>
        <v/>
      </c>
      <c r="AC2">
        <f>IF('Recurring Schedule'!$C$33="","",IF('Recurring Schedule'!$F$33="","",IF(OR($A2&lt;'Recurring Schedule'!$F$33,$A2&gt;'Recurring Schedule'!$P$33),"",IF(IF('Recurring Schedule'!$N$33&gt;0,MOD($A2-'Recurring Schedule'!$F$33,'Recurring Schedule'!$N$33)=0,IF('Recurring Schedule'!$O$33&gt;0,AND(DAY($A2)=MIN(DAY('Recurring Schedule'!$F$33),DAY(EOMONTH($A2,0))),MOD((YEAR($A2)-YEAR('Recurring Schedule'!$F$33))*12+MONTH($A2)-MONTH('Recurring Schedule'!$F$33),'Recurring Schedule'!$O$33)=0),IF('Recurring Schedule'!$E$33="Weekdays",WEEKDAY($A2,2)&lt;=5,$A2='Recurring Schedule'!$F$33))),28,""))))</f>
        <v/>
      </c>
      <c r="AD2">
        <f>IF('Recurring Schedule'!$C$34="","",IF('Recurring Schedule'!$F$34="","",IF(OR($A2&lt;'Recurring Schedule'!$F$34,$A2&gt;'Recurring Schedule'!$P$34),"",IF(IF('Recurring Schedule'!$N$34&gt;0,MOD($A2-'Recurring Schedule'!$F$34,'Recurring Schedule'!$N$34)=0,IF('Recurring Schedule'!$O$34&gt;0,AND(DAY($A2)=MIN(DAY('Recurring Schedule'!$F$34),DAY(EOMONTH($A2,0))),MOD((YEAR($A2)-YEAR('Recurring Schedule'!$F$34))*12+MONTH($A2)-MONTH('Recurring Schedule'!$F$34),'Recurring Schedule'!$O$34)=0),IF('Recurring Schedule'!$E$34="Weekdays",WEEKDAY($A2,2)&lt;=5,$A2='Recurring Schedule'!$F$34))),29,""))))</f>
        <v/>
      </c>
      <c r="AE2">
        <f>IF('Recurring Schedule'!$C$35="","",IF('Recurring Schedule'!$F$35="","",IF(OR($A2&lt;'Recurring Schedule'!$F$35,$A2&gt;'Recurring Schedule'!$P$35),"",IF(IF('Recurring Schedule'!$N$35&gt;0,MOD($A2-'Recurring Schedule'!$F$35,'Recurring Schedule'!$N$35)=0,IF('Recurring Schedule'!$O$35&gt;0,AND(DAY($A2)=MIN(DAY('Recurring Schedule'!$F$35),DAY(EOMONTH($A2,0))),MOD((YEAR($A2)-YEAR('Recurring Schedule'!$F$35))*12+MONTH($A2)-MONTH('Recurring Schedule'!$F$35),'Recurring Schedule'!$O$35)=0),IF('Recurring Schedule'!$E$35="Weekdays",WEEKDAY($A2,2)&lt;=5,$A2='Recurring Schedule'!$F$35))),30,""))))</f>
        <v/>
      </c>
      <c r="AF2">
        <f>IF('Recurring Schedule'!$C$36="","",IF('Recurring Schedule'!$F$36="","",IF(OR($A2&lt;'Recurring Schedule'!$F$36,$A2&gt;'Recurring Schedule'!$P$36),"",IF(IF('Recurring Schedule'!$N$36&gt;0,MOD($A2-'Recurring Schedule'!$F$36,'Recurring Schedule'!$N$36)=0,IF('Recurring Schedule'!$O$36&gt;0,AND(DAY($A2)=MIN(DAY('Recurring Schedule'!$F$36),DAY(EOMONTH($A2,0))),MOD((YEAR($A2)-YEAR('Recurring Schedule'!$F$36))*12+MONTH($A2)-MONTH('Recurring Schedule'!$F$36),'Recurring Schedule'!$O$36)=0),IF('Recurring Schedule'!$E$36="Weekdays",WEEKDAY($A2,2)&lt;=5,$A2='Recurring Schedule'!$F$36))),31,""))))</f>
        <v/>
      </c>
      <c r="AG2">
        <f>IF('Recurring Schedule'!$C$37="","",IF('Recurring Schedule'!$F$37="","",IF(OR($A2&lt;'Recurring Schedule'!$F$37,$A2&gt;'Recurring Schedule'!$P$37),"",IF(IF('Recurring Schedule'!$N$37&gt;0,MOD($A2-'Recurring Schedule'!$F$37,'Recurring Schedule'!$N$37)=0,IF('Recurring Schedule'!$O$37&gt;0,AND(DAY($A2)=MIN(DAY('Recurring Schedule'!$F$37),DAY(EOMONTH($A2,0))),MOD((YEAR($A2)-YEAR('Recurring Schedule'!$F$37))*12+MONTH($A2)-MONTH('Recurring Schedule'!$F$37),'Recurring Schedule'!$O$37)=0),IF('Recurring Schedule'!$E$37="Weekdays",WEEKDAY($A2,2)&lt;=5,$A2='Recurring Schedule'!$F$37))),32,""))))</f>
        <v/>
      </c>
      <c r="AH2">
        <f>IF('Recurring Schedule'!$C$38="","",IF('Recurring Schedule'!$F$38="","",IF(OR($A2&lt;'Recurring Schedule'!$F$38,$A2&gt;'Recurring Schedule'!$P$38),"",IF(IF('Recurring Schedule'!$N$38&gt;0,MOD($A2-'Recurring Schedule'!$F$38,'Recurring Schedule'!$N$38)=0,IF('Recurring Schedule'!$O$38&gt;0,AND(DAY($A2)=MIN(DAY('Recurring Schedule'!$F$38),DAY(EOMONTH($A2,0))),MOD((YEAR($A2)-YEAR('Recurring Schedule'!$F$38))*12+MONTH($A2)-MONTH('Recurring Schedule'!$F$38),'Recurring Schedule'!$O$38)=0),IF('Recurring Schedule'!$E$38="Weekdays",WEEKDAY($A2,2)&lt;=5,$A2='Recurring Schedule'!$F$38))),33,""))))</f>
        <v/>
      </c>
      <c r="AI2">
        <f>IF('Recurring Schedule'!$C$39="","",IF('Recurring Schedule'!$F$39="","",IF(OR($A2&lt;'Recurring Schedule'!$F$39,$A2&gt;'Recurring Schedule'!$P$39),"",IF(IF('Recurring Schedule'!$N$39&gt;0,MOD($A2-'Recurring Schedule'!$F$39,'Recurring Schedule'!$N$39)=0,IF('Recurring Schedule'!$O$39&gt;0,AND(DAY($A2)=MIN(DAY('Recurring Schedule'!$F$39),DAY(EOMONTH($A2,0))),MOD((YEAR($A2)-YEAR('Recurring Schedule'!$F$39))*12+MONTH($A2)-MONTH('Recurring Schedule'!$F$39),'Recurring Schedule'!$O$39)=0),IF('Recurring Schedule'!$E$39="Weekdays",WEEKDAY($A2,2)&lt;=5,$A2='Recurring Schedule'!$F$39))),34,""))))</f>
        <v/>
      </c>
      <c r="AJ2">
        <f>IF('Recurring Schedule'!$C$40="","",IF('Recurring Schedule'!$F$40="","",IF(OR($A2&lt;'Recurring Schedule'!$F$40,$A2&gt;'Recurring Schedule'!$P$40),"",IF(IF('Recurring Schedule'!$N$40&gt;0,MOD($A2-'Recurring Schedule'!$F$40,'Recurring Schedule'!$N$40)=0,IF('Recurring Schedule'!$O$40&gt;0,AND(DAY($A2)=MIN(DAY('Recurring Schedule'!$F$40),DAY(EOMONTH($A2,0))),MOD((YEAR($A2)-YEAR('Recurring Schedule'!$F$40))*12+MONTH($A2)-MONTH('Recurring Schedule'!$F$40),'Recurring Schedule'!$O$40)=0),IF('Recurring Schedule'!$E$40="Weekdays",WEEKDAY($A2,2)&lt;=5,$A2='Recurring Schedule'!$F$40))),35,""))))</f>
        <v/>
      </c>
      <c r="AK2">
        <f>IF('Recurring Schedule'!$C$41="","",IF('Recurring Schedule'!$F$41="","",IF(OR($A2&lt;'Recurring Schedule'!$F$41,$A2&gt;'Recurring Schedule'!$P$41),"",IF(IF('Recurring Schedule'!$N$41&gt;0,MOD($A2-'Recurring Schedule'!$F$41,'Recurring Schedule'!$N$41)=0,IF('Recurring Schedule'!$O$41&gt;0,AND(DAY($A2)=MIN(DAY('Recurring Schedule'!$F$41),DAY(EOMONTH($A2,0))),MOD((YEAR($A2)-YEAR('Recurring Schedule'!$F$41))*12+MONTH($A2)-MONTH('Recurring Schedule'!$F$41),'Recurring Schedule'!$O$41)=0),IF('Recurring Schedule'!$E$41="Weekdays",WEEKDAY($A2,2)&lt;=5,$A2='Recurring Schedule'!$F$41))),36,""))))</f>
        <v/>
      </c>
      <c r="AL2">
        <f>IF('Recurring Schedule'!$C$42="","",IF('Recurring Schedule'!$F$42="","",IF(OR($A2&lt;'Recurring Schedule'!$F$42,$A2&gt;'Recurring Schedule'!$P$42),"",IF(IF('Recurring Schedule'!$N$42&gt;0,MOD($A2-'Recurring Schedule'!$F$42,'Recurring Schedule'!$N$42)=0,IF('Recurring Schedule'!$O$42&gt;0,AND(DAY($A2)=MIN(DAY('Recurring Schedule'!$F$42),DAY(EOMONTH($A2,0))),MOD((YEAR($A2)-YEAR('Recurring Schedule'!$F$42))*12+MONTH($A2)-MONTH('Recurring Schedule'!$F$42),'Recurring Schedule'!$O$42)=0),IF('Recurring Schedule'!$E$42="Weekdays",WEEKDAY($A2,2)&lt;=5,$A2='Recurring Schedule'!$F$42))),37,""))))</f>
        <v/>
      </c>
      <c r="AM2">
        <f>IF('Recurring Schedule'!$C$43="","",IF('Recurring Schedule'!$F$43="","",IF(OR($A2&lt;'Recurring Schedule'!$F$43,$A2&gt;'Recurring Schedule'!$P$43),"",IF(IF('Recurring Schedule'!$N$43&gt;0,MOD($A2-'Recurring Schedule'!$F$43,'Recurring Schedule'!$N$43)=0,IF('Recurring Schedule'!$O$43&gt;0,AND(DAY($A2)=MIN(DAY('Recurring Schedule'!$F$43),DAY(EOMONTH($A2,0))),MOD((YEAR($A2)-YEAR('Recurring Schedule'!$F$43))*12+MONTH($A2)-MONTH('Recurring Schedule'!$F$43),'Recurring Schedule'!$O$43)=0),IF('Recurring Schedule'!$E$43="Weekdays",WEEKDAY($A2,2)&lt;=5,$A2='Recurring Schedule'!$F$43))),38,""))))</f>
        <v/>
      </c>
      <c r="AN2">
        <f>IF('Recurring Schedule'!$C$44="","",IF('Recurring Schedule'!$F$44="","",IF(OR($A2&lt;'Recurring Schedule'!$F$44,$A2&gt;'Recurring Schedule'!$P$44),"",IF(IF('Recurring Schedule'!$N$44&gt;0,MOD($A2-'Recurring Schedule'!$F$44,'Recurring Schedule'!$N$44)=0,IF('Recurring Schedule'!$O$44&gt;0,AND(DAY($A2)=MIN(DAY('Recurring Schedule'!$F$44),DAY(EOMONTH($A2,0))),MOD((YEAR($A2)-YEAR('Recurring Schedule'!$F$44))*12+MONTH($A2)-MONTH('Recurring Schedule'!$F$44),'Recurring Schedule'!$O$44)=0),IF('Recurring Schedule'!$E$44="Weekdays",WEEKDAY($A2,2)&lt;=5,$A2='Recurring Schedule'!$F$44))),39,""))))</f>
        <v/>
      </c>
      <c r="AO2">
        <f>IF('Recurring Schedule'!$C$45="","",IF('Recurring Schedule'!$F$45="","",IF(OR($A2&lt;'Recurring Schedule'!$F$45,$A2&gt;'Recurring Schedule'!$P$45),"",IF(IF('Recurring Schedule'!$N$45&gt;0,MOD($A2-'Recurring Schedule'!$F$45,'Recurring Schedule'!$N$45)=0,IF('Recurring Schedule'!$O$45&gt;0,AND(DAY($A2)=MIN(DAY('Recurring Schedule'!$F$45),DAY(EOMONTH($A2,0))),MOD((YEAR($A2)-YEAR('Recurring Schedule'!$F$45))*12+MONTH($A2)-MONTH('Recurring Schedule'!$F$45),'Recurring Schedule'!$O$45)=0),IF('Recurring Schedule'!$E$45="Weekdays",WEEKDAY($A2,2)&lt;=5,$A2='Recurring Schedule'!$F$45))),40,""))))</f>
        <v/>
      </c>
      <c r="AP2">
        <f>COUNT(B2:AO2)</f>
        <v/>
      </c>
      <c r="AQ2">
        <f>0</f>
        <v/>
      </c>
      <c r="AS2" t="inlineStr">
        <is>
          <t>R</t>
        </is>
      </c>
      <c r="AT2" t="n">
        <v>6</v>
      </c>
      <c r="AU2">
        <f>'Recurring Log'!C6&amp;""</f>
        <v/>
      </c>
      <c r="AV2">
        <f>'Recurring Log'!D6&amp;""</f>
        <v/>
      </c>
      <c r="AW2">
        <f>IF('Recurring Log'!E6="","",'Recurring Log'!E6)</f>
        <v/>
      </c>
      <c r="AX2">
        <f>IF('Recurring Log'!G6="","",'Recurring Log'!G6)</f>
        <v/>
      </c>
      <c r="AY2">
        <f>IF('Recurring Log'!H6="","",'Recurring Log'!H6)</f>
        <v/>
      </c>
      <c r="AZ2">
        <f>IF(AU2="","",IF('Recurring Log'!J6="","Not Started",'Recurring Log'!J6))</f>
        <v/>
      </c>
      <c r="BA2">
        <f>'Recurring Log'!L6&amp;""</f>
        <v/>
      </c>
      <c r="BB2">
        <f>'Recurring Log'!M6&amp;""</f>
        <v/>
      </c>
      <c r="BC2">
        <f>'Recurring Log'!N6&amp;""</f>
        <v/>
      </c>
      <c r="BD2">
        <f>'Recurring Log'!O6&amp;""</f>
        <v/>
      </c>
      <c r="BE2">
        <f>IF('Recurring Log'!K6="","",'Recurring Log'!K6)</f>
        <v/>
      </c>
      <c r="BF2">
        <f>IFERROR(MATCH(BA2,Setup!$L$6:$L$9,0),5)</f>
        <v/>
      </c>
      <c r="BG2">
        <f>IF(OR(AZ2="Done",AZ2="Cancelled"),1,0)</f>
        <v/>
      </c>
      <c r="BH2">
        <f>IF(AND(AU2&lt;&gt;"",ISNUMBER(AW2)),1,0)</f>
        <v/>
      </c>
      <c r="BI2">
        <f>IF(BH2=0,0,IF(AND(AW2&gt;='Tasks Filter'!$F$3,AW2&lt;='Tasks Filter'!$F$4,OR('Tasks Filter'!$I$3="",ISNUMBER(SEARCH('Tasks Filter'!$I$3,AU2))),OR('Tasks Filter'!$I$4="",BF2=IFERROR(MATCH('Tasks Filter'!$I$4,Setup!$L$6:$L$9,0),0)),OR('Tasks Filter'!$I$5="Both",AND('Tasks Filter'!$I$5="Yes",BB2="✓"),AND('Tasks Filter'!$I$5="No",BB2&lt;&gt;"✓")),OR('Tasks Filter'!$L$3="",AV2='Tasks Filter'!$L$3),OR('Tasks Filter'!$L$4="",AZ2='Tasks Filter'!$L$4),OR('Tasks Filter'!$L$5="",BC2='Tasks Filter'!$L$5),OR('Tasks Filter'!$O$3="",BD2='Tasks Filter'!$O$3),OR('Tasks Filter'!$O$4="Yes",BG2=0)),1,0))</f>
        <v/>
      </c>
      <c r="BJ2">
        <f>IF(BH2=0,"",IF('Tasks Filter'!$F$6="Descending",-1,1)*CHOOSE(MATCH('Tasks Filter'!$F$5,Lists!$G$2:$G$6,0),AW2,BF2,IFERROR(MATCH(AV2,Setup!$F$6:$F$15,0),99),IFERROR(MATCH(BC2,Setup!$H$6:$H$15,0),99),IFERROR(MATCH(AZ2,Setup!$J$6:$J$11,0),99))*1E+9+(AW2-40000)*10000+1)</f>
        <v/>
      </c>
      <c r="BK2">
        <f>IF(BI2=1,BJ2,"")</f>
        <v/>
      </c>
      <c r="BL2">
        <f>IF(AND(BH2=1,BG2=0,N(AW2)&lt;Setup!$D$7),(AW2-40000)*10000+1,"")</f>
        <v/>
      </c>
      <c r="BM2">
        <f>IF(AND(BH2=1,AZ2&lt;&gt;"Cancelled",N(AW2)&gt;=Dashboard!$AB$3,N(AW2)&lt;=Dashboard!$AB$3+6),(AW2-40000)*100000+BF2*10000+1,"")</f>
        <v/>
      </c>
      <c r="BN2">
        <f>IF(AND(BH2=1,AZ2&lt;&gt;"Cancelled"),BF2*10000+1,"")</f>
        <v/>
      </c>
    </row>
    <row r="3">
      <c r="A3">
        <f>Setup!$D$5+1</f>
        <v/>
      </c>
      <c r="B3">
        <f>IF('Recurring Schedule'!$C$6="","",IF('Recurring Schedule'!$F$6="","",IF(OR($A3&lt;'Recurring Schedule'!$F$6,$A3&gt;'Recurring Schedule'!$P$6),"",IF(IF('Recurring Schedule'!$N$6&gt;0,MOD($A3-'Recurring Schedule'!$F$6,'Recurring Schedule'!$N$6)=0,IF('Recurring Schedule'!$O$6&gt;0,AND(DAY($A3)=MIN(DAY('Recurring Schedule'!$F$6),DAY(EOMONTH($A3,0))),MOD((YEAR($A3)-YEAR('Recurring Schedule'!$F$6))*12+MONTH($A3)-MONTH('Recurring Schedule'!$F$6),'Recurring Schedule'!$O$6)=0),IF('Recurring Schedule'!$E$6="Weekdays",WEEKDAY($A3,2)&lt;=5,$A3='Recurring Schedule'!$F$6))),1,""))))</f>
        <v/>
      </c>
      <c r="C3">
        <f>IF('Recurring Schedule'!$C$7="","",IF('Recurring Schedule'!$F$7="","",IF(OR($A3&lt;'Recurring Schedule'!$F$7,$A3&gt;'Recurring Schedule'!$P$7),"",IF(IF('Recurring Schedule'!$N$7&gt;0,MOD($A3-'Recurring Schedule'!$F$7,'Recurring Schedule'!$N$7)=0,IF('Recurring Schedule'!$O$7&gt;0,AND(DAY($A3)=MIN(DAY('Recurring Schedule'!$F$7),DAY(EOMONTH($A3,0))),MOD((YEAR($A3)-YEAR('Recurring Schedule'!$F$7))*12+MONTH($A3)-MONTH('Recurring Schedule'!$F$7),'Recurring Schedule'!$O$7)=0),IF('Recurring Schedule'!$E$7="Weekdays",WEEKDAY($A3,2)&lt;=5,$A3='Recurring Schedule'!$F$7))),2,""))))</f>
        <v/>
      </c>
      <c r="D3">
        <f>IF('Recurring Schedule'!$C$8="","",IF('Recurring Schedule'!$F$8="","",IF(OR($A3&lt;'Recurring Schedule'!$F$8,$A3&gt;'Recurring Schedule'!$P$8),"",IF(IF('Recurring Schedule'!$N$8&gt;0,MOD($A3-'Recurring Schedule'!$F$8,'Recurring Schedule'!$N$8)=0,IF('Recurring Schedule'!$O$8&gt;0,AND(DAY($A3)=MIN(DAY('Recurring Schedule'!$F$8),DAY(EOMONTH($A3,0))),MOD((YEAR($A3)-YEAR('Recurring Schedule'!$F$8))*12+MONTH($A3)-MONTH('Recurring Schedule'!$F$8),'Recurring Schedule'!$O$8)=0),IF('Recurring Schedule'!$E$8="Weekdays",WEEKDAY($A3,2)&lt;=5,$A3='Recurring Schedule'!$F$8))),3,""))))</f>
        <v/>
      </c>
      <c r="E3">
        <f>IF('Recurring Schedule'!$C$9="","",IF('Recurring Schedule'!$F$9="","",IF(OR($A3&lt;'Recurring Schedule'!$F$9,$A3&gt;'Recurring Schedule'!$P$9),"",IF(IF('Recurring Schedule'!$N$9&gt;0,MOD($A3-'Recurring Schedule'!$F$9,'Recurring Schedule'!$N$9)=0,IF('Recurring Schedule'!$O$9&gt;0,AND(DAY($A3)=MIN(DAY('Recurring Schedule'!$F$9),DAY(EOMONTH($A3,0))),MOD((YEAR($A3)-YEAR('Recurring Schedule'!$F$9))*12+MONTH($A3)-MONTH('Recurring Schedule'!$F$9),'Recurring Schedule'!$O$9)=0),IF('Recurring Schedule'!$E$9="Weekdays",WEEKDAY($A3,2)&lt;=5,$A3='Recurring Schedule'!$F$9))),4,""))))</f>
        <v/>
      </c>
      <c r="F3">
        <f>IF('Recurring Schedule'!$C$10="","",IF('Recurring Schedule'!$F$10="","",IF(OR($A3&lt;'Recurring Schedule'!$F$10,$A3&gt;'Recurring Schedule'!$P$10),"",IF(IF('Recurring Schedule'!$N$10&gt;0,MOD($A3-'Recurring Schedule'!$F$10,'Recurring Schedule'!$N$10)=0,IF('Recurring Schedule'!$O$10&gt;0,AND(DAY($A3)=MIN(DAY('Recurring Schedule'!$F$10),DAY(EOMONTH($A3,0))),MOD((YEAR($A3)-YEAR('Recurring Schedule'!$F$10))*12+MONTH($A3)-MONTH('Recurring Schedule'!$F$10),'Recurring Schedule'!$O$10)=0),IF('Recurring Schedule'!$E$10="Weekdays",WEEKDAY($A3,2)&lt;=5,$A3='Recurring Schedule'!$F$10))),5,""))))</f>
        <v/>
      </c>
      <c r="G3">
        <f>IF('Recurring Schedule'!$C$11="","",IF('Recurring Schedule'!$F$11="","",IF(OR($A3&lt;'Recurring Schedule'!$F$11,$A3&gt;'Recurring Schedule'!$P$11),"",IF(IF('Recurring Schedule'!$N$11&gt;0,MOD($A3-'Recurring Schedule'!$F$11,'Recurring Schedule'!$N$11)=0,IF('Recurring Schedule'!$O$11&gt;0,AND(DAY($A3)=MIN(DAY('Recurring Schedule'!$F$11),DAY(EOMONTH($A3,0))),MOD((YEAR($A3)-YEAR('Recurring Schedule'!$F$11))*12+MONTH($A3)-MONTH('Recurring Schedule'!$F$11),'Recurring Schedule'!$O$11)=0),IF('Recurring Schedule'!$E$11="Weekdays",WEEKDAY($A3,2)&lt;=5,$A3='Recurring Schedule'!$F$11))),6,""))))</f>
        <v/>
      </c>
      <c r="H3">
        <f>IF('Recurring Schedule'!$C$12="","",IF('Recurring Schedule'!$F$12="","",IF(OR($A3&lt;'Recurring Schedule'!$F$12,$A3&gt;'Recurring Schedule'!$P$12),"",IF(IF('Recurring Schedule'!$N$12&gt;0,MOD($A3-'Recurring Schedule'!$F$12,'Recurring Schedule'!$N$12)=0,IF('Recurring Schedule'!$O$12&gt;0,AND(DAY($A3)=MIN(DAY('Recurring Schedule'!$F$12),DAY(EOMONTH($A3,0))),MOD((YEAR($A3)-YEAR('Recurring Schedule'!$F$12))*12+MONTH($A3)-MONTH('Recurring Schedule'!$F$12),'Recurring Schedule'!$O$12)=0),IF('Recurring Schedule'!$E$12="Weekdays",WEEKDAY($A3,2)&lt;=5,$A3='Recurring Schedule'!$F$12))),7,""))))</f>
        <v/>
      </c>
      <c r="I3">
        <f>IF('Recurring Schedule'!$C$13="","",IF('Recurring Schedule'!$F$13="","",IF(OR($A3&lt;'Recurring Schedule'!$F$13,$A3&gt;'Recurring Schedule'!$P$13),"",IF(IF('Recurring Schedule'!$N$13&gt;0,MOD($A3-'Recurring Schedule'!$F$13,'Recurring Schedule'!$N$13)=0,IF('Recurring Schedule'!$O$13&gt;0,AND(DAY($A3)=MIN(DAY('Recurring Schedule'!$F$13),DAY(EOMONTH($A3,0))),MOD((YEAR($A3)-YEAR('Recurring Schedule'!$F$13))*12+MONTH($A3)-MONTH('Recurring Schedule'!$F$13),'Recurring Schedule'!$O$13)=0),IF('Recurring Schedule'!$E$13="Weekdays",WEEKDAY($A3,2)&lt;=5,$A3='Recurring Schedule'!$F$13))),8,""))))</f>
        <v/>
      </c>
      <c r="J3">
        <f>IF('Recurring Schedule'!$C$14="","",IF('Recurring Schedule'!$F$14="","",IF(OR($A3&lt;'Recurring Schedule'!$F$14,$A3&gt;'Recurring Schedule'!$P$14),"",IF(IF('Recurring Schedule'!$N$14&gt;0,MOD($A3-'Recurring Schedule'!$F$14,'Recurring Schedule'!$N$14)=0,IF('Recurring Schedule'!$O$14&gt;0,AND(DAY($A3)=MIN(DAY('Recurring Schedule'!$F$14),DAY(EOMONTH($A3,0))),MOD((YEAR($A3)-YEAR('Recurring Schedule'!$F$14))*12+MONTH($A3)-MONTH('Recurring Schedule'!$F$14),'Recurring Schedule'!$O$14)=0),IF('Recurring Schedule'!$E$14="Weekdays",WEEKDAY($A3,2)&lt;=5,$A3='Recurring Schedule'!$F$14))),9,""))))</f>
        <v/>
      </c>
      <c r="K3">
        <f>IF('Recurring Schedule'!$C$15="","",IF('Recurring Schedule'!$F$15="","",IF(OR($A3&lt;'Recurring Schedule'!$F$15,$A3&gt;'Recurring Schedule'!$P$15),"",IF(IF('Recurring Schedule'!$N$15&gt;0,MOD($A3-'Recurring Schedule'!$F$15,'Recurring Schedule'!$N$15)=0,IF('Recurring Schedule'!$O$15&gt;0,AND(DAY($A3)=MIN(DAY('Recurring Schedule'!$F$15),DAY(EOMONTH($A3,0))),MOD((YEAR($A3)-YEAR('Recurring Schedule'!$F$15))*12+MONTH($A3)-MONTH('Recurring Schedule'!$F$15),'Recurring Schedule'!$O$15)=0),IF('Recurring Schedule'!$E$15="Weekdays",WEEKDAY($A3,2)&lt;=5,$A3='Recurring Schedule'!$F$15))),10,""))))</f>
        <v/>
      </c>
      <c r="L3">
        <f>IF('Recurring Schedule'!$C$16="","",IF('Recurring Schedule'!$F$16="","",IF(OR($A3&lt;'Recurring Schedule'!$F$16,$A3&gt;'Recurring Schedule'!$P$16),"",IF(IF('Recurring Schedule'!$N$16&gt;0,MOD($A3-'Recurring Schedule'!$F$16,'Recurring Schedule'!$N$16)=0,IF('Recurring Schedule'!$O$16&gt;0,AND(DAY($A3)=MIN(DAY('Recurring Schedule'!$F$16),DAY(EOMONTH($A3,0))),MOD((YEAR($A3)-YEAR('Recurring Schedule'!$F$16))*12+MONTH($A3)-MONTH('Recurring Schedule'!$F$16),'Recurring Schedule'!$O$16)=0),IF('Recurring Schedule'!$E$16="Weekdays",WEEKDAY($A3,2)&lt;=5,$A3='Recurring Schedule'!$F$16))),11,""))))</f>
        <v/>
      </c>
      <c r="M3">
        <f>IF('Recurring Schedule'!$C$17="","",IF('Recurring Schedule'!$F$17="","",IF(OR($A3&lt;'Recurring Schedule'!$F$17,$A3&gt;'Recurring Schedule'!$P$17),"",IF(IF('Recurring Schedule'!$N$17&gt;0,MOD($A3-'Recurring Schedule'!$F$17,'Recurring Schedule'!$N$17)=0,IF('Recurring Schedule'!$O$17&gt;0,AND(DAY($A3)=MIN(DAY('Recurring Schedule'!$F$17),DAY(EOMONTH($A3,0))),MOD((YEAR($A3)-YEAR('Recurring Schedule'!$F$17))*12+MONTH($A3)-MONTH('Recurring Schedule'!$F$17),'Recurring Schedule'!$O$17)=0),IF('Recurring Schedule'!$E$17="Weekdays",WEEKDAY($A3,2)&lt;=5,$A3='Recurring Schedule'!$F$17))),12,""))))</f>
        <v/>
      </c>
      <c r="N3">
        <f>IF('Recurring Schedule'!$C$18="","",IF('Recurring Schedule'!$F$18="","",IF(OR($A3&lt;'Recurring Schedule'!$F$18,$A3&gt;'Recurring Schedule'!$P$18),"",IF(IF('Recurring Schedule'!$N$18&gt;0,MOD($A3-'Recurring Schedule'!$F$18,'Recurring Schedule'!$N$18)=0,IF('Recurring Schedule'!$O$18&gt;0,AND(DAY($A3)=MIN(DAY('Recurring Schedule'!$F$18),DAY(EOMONTH($A3,0))),MOD((YEAR($A3)-YEAR('Recurring Schedule'!$F$18))*12+MONTH($A3)-MONTH('Recurring Schedule'!$F$18),'Recurring Schedule'!$O$18)=0),IF('Recurring Schedule'!$E$18="Weekdays",WEEKDAY($A3,2)&lt;=5,$A3='Recurring Schedule'!$F$18))),13,""))))</f>
        <v/>
      </c>
      <c r="O3">
        <f>IF('Recurring Schedule'!$C$19="","",IF('Recurring Schedule'!$F$19="","",IF(OR($A3&lt;'Recurring Schedule'!$F$19,$A3&gt;'Recurring Schedule'!$P$19),"",IF(IF('Recurring Schedule'!$N$19&gt;0,MOD($A3-'Recurring Schedule'!$F$19,'Recurring Schedule'!$N$19)=0,IF('Recurring Schedule'!$O$19&gt;0,AND(DAY($A3)=MIN(DAY('Recurring Schedule'!$F$19),DAY(EOMONTH($A3,0))),MOD((YEAR($A3)-YEAR('Recurring Schedule'!$F$19))*12+MONTH($A3)-MONTH('Recurring Schedule'!$F$19),'Recurring Schedule'!$O$19)=0),IF('Recurring Schedule'!$E$19="Weekdays",WEEKDAY($A3,2)&lt;=5,$A3='Recurring Schedule'!$F$19))),14,""))))</f>
        <v/>
      </c>
      <c r="P3">
        <f>IF('Recurring Schedule'!$C$20="","",IF('Recurring Schedule'!$F$20="","",IF(OR($A3&lt;'Recurring Schedule'!$F$20,$A3&gt;'Recurring Schedule'!$P$20),"",IF(IF('Recurring Schedule'!$N$20&gt;0,MOD($A3-'Recurring Schedule'!$F$20,'Recurring Schedule'!$N$20)=0,IF('Recurring Schedule'!$O$20&gt;0,AND(DAY($A3)=MIN(DAY('Recurring Schedule'!$F$20),DAY(EOMONTH($A3,0))),MOD((YEAR($A3)-YEAR('Recurring Schedule'!$F$20))*12+MONTH($A3)-MONTH('Recurring Schedule'!$F$20),'Recurring Schedule'!$O$20)=0),IF('Recurring Schedule'!$E$20="Weekdays",WEEKDAY($A3,2)&lt;=5,$A3='Recurring Schedule'!$F$20))),15,""))))</f>
        <v/>
      </c>
      <c r="Q3">
        <f>IF('Recurring Schedule'!$C$21="","",IF('Recurring Schedule'!$F$21="","",IF(OR($A3&lt;'Recurring Schedule'!$F$21,$A3&gt;'Recurring Schedule'!$P$21),"",IF(IF('Recurring Schedule'!$N$21&gt;0,MOD($A3-'Recurring Schedule'!$F$21,'Recurring Schedule'!$N$21)=0,IF('Recurring Schedule'!$O$21&gt;0,AND(DAY($A3)=MIN(DAY('Recurring Schedule'!$F$21),DAY(EOMONTH($A3,0))),MOD((YEAR($A3)-YEAR('Recurring Schedule'!$F$21))*12+MONTH($A3)-MONTH('Recurring Schedule'!$F$21),'Recurring Schedule'!$O$21)=0),IF('Recurring Schedule'!$E$21="Weekdays",WEEKDAY($A3,2)&lt;=5,$A3='Recurring Schedule'!$F$21))),16,""))))</f>
        <v/>
      </c>
      <c r="R3">
        <f>IF('Recurring Schedule'!$C$22="","",IF('Recurring Schedule'!$F$22="","",IF(OR($A3&lt;'Recurring Schedule'!$F$22,$A3&gt;'Recurring Schedule'!$P$22),"",IF(IF('Recurring Schedule'!$N$22&gt;0,MOD($A3-'Recurring Schedule'!$F$22,'Recurring Schedule'!$N$22)=0,IF('Recurring Schedule'!$O$22&gt;0,AND(DAY($A3)=MIN(DAY('Recurring Schedule'!$F$22),DAY(EOMONTH($A3,0))),MOD((YEAR($A3)-YEAR('Recurring Schedule'!$F$22))*12+MONTH($A3)-MONTH('Recurring Schedule'!$F$22),'Recurring Schedule'!$O$22)=0),IF('Recurring Schedule'!$E$22="Weekdays",WEEKDAY($A3,2)&lt;=5,$A3='Recurring Schedule'!$F$22))),17,""))))</f>
        <v/>
      </c>
      <c r="S3">
        <f>IF('Recurring Schedule'!$C$23="","",IF('Recurring Schedule'!$F$23="","",IF(OR($A3&lt;'Recurring Schedule'!$F$23,$A3&gt;'Recurring Schedule'!$P$23),"",IF(IF('Recurring Schedule'!$N$23&gt;0,MOD($A3-'Recurring Schedule'!$F$23,'Recurring Schedule'!$N$23)=0,IF('Recurring Schedule'!$O$23&gt;0,AND(DAY($A3)=MIN(DAY('Recurring Schedule'!$F$23),DAY(EOMONTH($A3,0))),MOD((YEAR($A3)-YEAR('Recurring Schedule'!$F$23))*12+MONTH($A3)-MONTH('Recurring Schedule'!$F$23),'Recurring Schedule'!$O$23)=0),IF('Recurring Schedule'!$E$23="Weekdays",WEEKDAY($A3,2)&lt;=5,$A3='Recurring Schedule'!$F$23))),18,""))))</f>
        <v/>
      </c>
      <c r="T3">
        <f>IF('Recurring Schedule'!$C$24="","",IF('Recurring Schedule'!$F$24="","",IF(OR($A3&lt;'Recurring Schedule'!$F$24,$A3&gt;'Recurring Schedule'!$P$24),"",IF(IF('Recurring Schedule'!$N$24&gt;0,MOD($A3-'Recurring Schedule'!$F$24,'Recurring Schedule'!$N$24)=0,IF('Recurring Schedule'!$O$24&gt;0,AND(DAY($A3)=MIN(DAY('Recurring Schedule'!$F$24),DAY(EOMONTH($A3,0))),MOD((YEAR($A3)-YEAR('Recurring Schedule'!$F$24))*12+MONTH($A3)-MONTH('Recurring Schedule'!$F$24),'Recurring Schedule'!$O$24)=0),IF('Recurring Schedule'!$E$24="Weekdays",WEEKDAY($A3,2)&lt;=5,$A3='Recurring Schedule'!$F$24))),19,""))))</f>
        <v/>
      </c>
      <c r="U3">
        <f>IF('Recurring Schedule'!$C$25="","",IF('Recurring Schedule'!$F$25="","",IF(OR($A3&lt;'Recurring Schedule'!$F$25,$A3&gt;'Recurring Schedule'!$P$25),"",IF(IF('Recurring Schedule'!$N$25&gt;0,MOD($A3-'Recurring Schedule'!$F$25,'Recurring Schedule'!$N$25)=0,IF('Recurring Schedule'!$O$25&gt;0,AND(DAY($A3)=MIN(DAY('Recurring Schedule'!$F$25),DAY(EOMONTH($A3,0))),MOD((YEAR($A3)-YEAR('Recurring Schedule'!$F$25))*12+MONTH($A3)-MONTH('Recurring Schedule'!$F$25),'Recurring Schedule'!$O$25)=0),IF('Recurring Schedule'!$E$25="Weekdays",WEEKDAY($A3,2)&lt;=5,$A3='Recurring Schedule'!$F$25))),20,""))))</f>
        <v/>
      </c>
      <c r="V3">
        <f>IF('Recurring Schedule'!$C$26="","",IF('Recurring Schedule'!$F$26="","",IF(OR($A3&lt;'Recurring Schedule'!$F$26,$A3&gt;'Recurring Schedule'!$P$26),"",IF(IF('Recurring Schedule'!$N$26&gt;0,MOD($A3-'Recurring Schedule'!$F$26,'Recurring Schedule'!$N$26)=0,IF('Recurring Schedule'!$O$26&gt;0,AND(DAY($A3)=MIN(DAY('Recurring Schedule'!$F$26),DAY(EOMONTH($A3,0))),MOD((YEAR($A3)-YEAR('Recurring Schedule'!$F$26))*12+MONTH($A3)-MONTH('Recurring Schedule'!$F$26),'Recurring Schedule'!$O$26)=0),IF('Recurring Schedule'!$E$26="Weekdays",WEEKDAY($A3,2)&lt;=5,$A3='Recurring Schedule'!$F$26))),21,""))))</f>
        <v/>
      </c>
      <c r="W3">
        <f>IF('Recurring Schedule'!$C$27="","",IF('Recurring Schedule'!$F$27="","",IF(OR($A3&lt;'Recurring Schedule'!$F$27,$A3&gt;'Recurring Schedule'!$P$27),"",IF(IF('Recurring Schedule'!$N$27&gt;0,MOD($A3-'Recurring Schedule'!$F$27,'Recurring Schedule'!$N$27)=0,IF('Recurring Schedule'!$O$27&gt;0,AND(DAY($A3)=MIN(DAY('Recurring Schedule'!$F$27),DAY(EOMONTH($A3,0))),MOD((YEAR($A3)-YEAR('Recurring Schedule'!$F$27))*12+MONTH($A3)-MONTH('Recurring Schedule'!$F$27),'Recurring Schedule'!$O$27)=0),IF('Recurring Schedule'!$E$27="Weekdays",WEEKDAY($A3,2)&lt;=5,$A3='Recurring Schedule'!$F$27))),22,""))))</f>
        <v/>
      </c>
      <c r="X3">
        <f>IF('Recurring Schedule'!$C$28="","",IF('Recurring Schedule'!$F$28="","",IF(OR($A3&lt;'Recurring Schedule'!$F$28,$A3&gt;'Recurring Schedule'!$P$28),"",IF(IF('Recurring Schedule'!$N$28&gt;0,MOD($A3-'Recurring Schedule'!$F$28,'Recurring Schedule'!$N$28)=0,IF('Recurring Schedule'!$O$28&gt;0,AND(DAY($A3)=MIN(DAY('Recurring Schedule'!$F$28),DAY(EOMONTH($A3,0))),MOD((YEAR($A3)-YEAR('Recurring Schedule'!$F$28))*12+MONTH($A3)-MONTH('Recurring Schedule'!$F$28),'Recurring Schedule'!$O$28)=0),IF('Recurring Schedule'!$E$28="Weekdays",WEEKDAY($A3,2)&lt;=5,$A3='Recurring Schedule'!$F$28))),23,""))))</f>
        <v/>
      </c>
      <c r="Y3">
        <f>IF('Recurring Schedule'!$C$29="","",IF('Recurring Schedule'!$F$29="","",IF(OR($A3&lt;'Recurring Schedule'!$F$29,$A3&gt;'Recurring Schedule'!$P$29),"",IF(IF('Recurring Schedule'!$N$29&gt;0,MOD($A3-'Recurring Schedule'!$F$29,'Recurring Schedule'!$N$29)=0,IF('Recurring Schedule'!$O$29&gt;0,AND(DAY($A3)=MIN(DAY('Recurring Schedule'!$F$29),DAY(EOMONTH($A3,0))),MOD((YEAR($A3)-YEAR('Recurring Schedule'!$F$29))*12+MONTH($A3)-MONTH('Recurring Schedule'!$F$29),'Recurring Schedule'!$O$29)=0),IF('Recurring Schedule'!$E$29="Weekdays",WEEKDAY($A3,2)&lt;=5,$A3='Recurring Schedule'!$F$29))),24,""))))</f>
        <v/>
      </c>
      <c r="Z3">
        <f>IF('Recurring Schedule'!$C$30="","",IF('Recurring Schedule'!$F$30="","",IF(OR($A3&lt;'Recurring Schedule'!$F$30,$A3&gt;'Recurring Schedule'!$P$30),"",IF(IF('Recurring Schedule'!$N$30&gt;0,MOD($A3-'Recurring Schedule'!$F$30,'Recurring Schedule'!$N$30)=0,IF('Recurring Schedule'!$O$30&gt;0,AND(DAY($A3)=MIN(DAY('Recurring Schedule'!$F$30),DAY(EOMONTH($A3,0))),MOD((YEAR($A3)-YEAR('Recurring Schedule'!$F$30))*12+MONTH($A3)-MONTH('Recurring Schedule'!$F$30),'Recurring Schedule'!$O$30)=0),IF('Recurring Schedule'!$E$30="Weekdays",WEEKDAY($A3,2)&lt;=5,$A3='Recurring Schedule'!$F$30))),25,""))))</f>
        <v/>
      </c>
      <c r="AA3">
        <f>IF('Recurring Schedule'!$C$31="","",IF('Recurring Schedule'!$F$31="","",IF(OR($A3&lt;'Recurring Schedule'!$F$31,$A3&gt;'Recurring Schedule'!$P$31),"",IF(IF('Recurring Schedule'!$N$31&gt;0,MOD($A3-'Recurring Schedule'!$F$31,'Recurring Schedule'!$N$31)=0,IF('Recurring Schedule'!$O$31&gt;0,AND(DAY($A3)=MIN(DAY('Recurring Schedule'!$F$31),DAY(EOMONTH($A3,0))),MOD((YEAR($A3)-YEAR('Recurring Schedule'!$F$31))*12+MONTH($A3)-MONTH('Recurring Schedule'!$F$31),'Recurring Schedule'!$O$31)=0),IF('Recurring Schedule'!$E$31="Weekdays",WEEKDAY($A3,2)&lt;=5,$A3='Recurring Schedule'!$F$31))),26,""))))</f>
        <v/>
      </c>
      <c r="AB3">
        <f>IF('Recurring Schedule'!$C$32="","",IF('Recurring Schedule'!$F$32="","",IF(OR($A3&lt;'Recurring Schedule'!$F$32,$A3&gt;'Recurring Schedule'!$P$32),"",IF(IF('Recurring Schedule'!$N$32&gt;0,MOD($A3-'Recurring Schedule'!$F$32,'Recurring Schedule'!$N$32)=0,IF('Recurring Schedule'!$O$32&gt;0,AND(DAY($A3)=MIN(DAY('Recurring Schedule'!$F$32),DAY(EOMONTH($A3,0))),MOD((YEAR($A3)-YEAR('Recurring Schedule'!$F$32))*12+MONTH($A3)-MONTH('Recurring Schedule'!$F$32),'Recurring Schedule'!$O$32)=0),IF('Recurring Schedule'!$E$32="Weekdays",WEEKDAY($A3,2)&lt;=5,$A3='Recurring Schedule'!$F$32))),27,""))))</f>
        <v/>
      </c>
      <c r="AC3">
        <f>IF('Recurring Schedule'!$C$33="","",IF('Recurring Schedule'!$F$33="","",IF(OR($A3&lt;'Recurring Schedule'!$F$33,$A3&gt;'Recurring Schedule'!$P$33),"",IF(IF('Recurring Schedule'!$N$33&gt;0,MOD($A3-'Recurring Schedule'!$F$33,'Recurring Schedule'!$N$33)=0,IF('Recurring Schedule'!$O$33&gt;0,AND(DAY($A3)=MIN(DAY('Recurring Schedule'!$F$33),DAY(EOMONTH($A3,0))),MOD((YEAR($A3)-YEAR('Recurring Schedule'!$F$33))*12+MONTH($A3)-MONTH('Recurring Schedule'!$F$33),'Recurring Schedule'!$O$33)=0),IF('Recurring Schedule'!$E$33="Weekdays",WEEKDAY($A3,2)&lt;=5,$A3='Recurring Schedule'!$F$33))),28,""))))</f>
        <v/>
      </c>
      <c r="AD3">
        <f>IF('Recurring Schedule'!$C$34="","",IF('Recurring Schedule'!$F$34="","",IF(OR($A3&lt;'Recurring Schedule'!$F$34,$A3&gt;'Recurring Schedule'!$P$34),"",IF(IF('Recurring Schedule'!$N$34&gt;0,MOD($A3-'Recurring Schedule'!$F$34,'Recurring Schedule'!$N$34)=0,IF('Recurring Schedule'!$O$34&gt;0,AND(DAY($A3)=MIN(DAY('Recurring Schedule'!$F$34),DAY(EOMONTH($A3,0))),MOD((YEAR($A3)-YEAR('Recurring Schedule'!$F$34))*12+MONTH($A3)-MONTH('Recurring Schedule'!$F$34),'Recurring Schedule'!$O$34)=0),IF('Recurring Schedule'!$E$34="Weekdays",WEEKDAY($A3,2)&lt;=5,$A3='Recurring Schedule'!$F$34))),29,""))))</f>
        <v/>
      </c>
      <c r="AE3">
        <f>IF('Recurring Schedule'!$C$35="","",IF('Recurring Schedule'!$F$35="","",IF(OR($A3&lt;'Recurring Schedule'!$F$35,$A3&gt;'Recurring Schedule'!$P$35),"",IF(IF('Recurring Schedule'!$N$35&gt;0,MOD($A3-'Recurring Schedule'!$F$35,'Recurring Schedule'!$N$35)=0,IF('Recurring Schedule'!$O$35&gt;0,AND(DAY($A3)=MIN(DAY('Recurring Schedule'!$F$35),DAY(EOMONTH($A3,0))),MOD((YEAR($A3)-YEAR('Recurring Schedule'!$F$35))*12+MONTH($A3)-MONTH('Recurring Schedule'!$F$35),'Recurring Schedule'!$O$35)=0),IF('Recurring Schedule'!$E$35="Weekdays",WEEKDAY($A3,2)&lt;=5,$A3='Recurring Schedule'!$F$35))),30,""))))</f>
        <v/>
      </c>
      <c r="AF3">
        <f>IF('Recurring Schedule'!$C$36="","",IF('Recurring Schedule'!$F$36="","",IF(OR($A3&lt;'Recurring Schedule'!$F$36,$A3&gt;'Recurring Schedule'!$P$36),"",IF(IF('Recurring Schedule'!$N$36&gt;0,MOD($A3-'Recurring Schedule'!$F$36,'Recurring Schedule'!$N$36)=0,IF('Recurring Schedule'!$O$36&gt;0,AND(DAY($A3)=MIN(DAY('Recurring Schedule'!$F$36),DAY(EOMONTH($A3,0))),MOD((YEAR($A3)-YEAR('Recurring Schedule'!$F$36))*12+MONTH($A3)-MONTH('Recurring Schedule'!$F$36),'Recurring Schedule'!$O$36)=0),IF('Recurring Schedule'!$E$36="Weekdays",WEEKDAY($A3,2)&lt;=5,$A3='Recurring Schedule'!$F$36))),31,""))))</f>
        <v/>
      </c>
      <c r="AG3">
        <f>IF('Recurring Schedule'!$C$37="","",IF('Recurring Schedule'!$F$37="","",IF(OR($A3&lt;'Recurring Schedule'!$F$37,$A3&gt;'Recurring Schedule'!$P$37),"",IF(IF('Recurring Schedule'!$N$37&gt;0,MOD($A3-'Recurring Schedule'!$F$37,'Recurring Schedule'!$N$37)=0,IF('Recurring Schedule'!$O$37&gt;0,AND(DAY($A3)=MIN(DAY('Recurring Schedule'!$F$37),DAY(EOMONTH($A3,0))),MOD((YEAR($A3)-YEAR('Recurring Schedule'!$F$37))*12+MONTH($A3)-MONTH('Recurring Schedule'!$F$37),'Recurring Schedule'!$O$37)=0),IF('Recurring Schedule'!$E$37="Weekdays",WEEKDAY($A3,2)&lt;=5,$A3='Recurring Schedule'!$F$37))),32,""))))</f>
        <v/>
      </c>
      <c r="AH3">
        <f>IF('Recurring Schedule'!$C$38="","",IF('Recurring Schedule'!$F$38="","",IF(OR($A3&lt;'Recurring Schedule'!$F$38,$A3&gt;'Recurring Schedule'!$P$38),"",IF(IF('Recurring Schedule'!$N$38&gt;0,MOD($A3-'Recurring Schedule'!$F$38,'Recurring Schedule'!$N$38)=0,IF('Recurring Schedule'!$O$38&gt;0,AND(DAY($A3)=MIN(DAY('Recurring Schedule'!$F$38),DAY(EOMONTH($A3,0))),MOD((YEAR($A3)-YEAR('Recurring Schedule'!$F$38))*12+MONTH($A3)-MONTH('Recurring Schedule'!$F$38),'Recurring Schedule'!$O$38)=0),IF('Recurring Schedule'!$E$38="Weekdays",WEEKDAY($A3,2)&lt;=5,$A3='Recurring Schedule'!$F$38))),33,""))))</f>
        <v/>
      </c>
      <c r="AI3">
        <f>IF('Recurring Schedule'!$C$39="","",IF('Recurring Schedule'!$F$39="","",IF(OR($A3&lt;'Recurring Schedule'!$F$39,$A3&gt;'Recurring Schedule'!$P$39),"",IF(IF('Recurring Schedule'!$N$39&gt;0,MOD($A3-'Recurring Schedule'!$F$39,'Recurring Schedule'!$N$39)=0,IF('Recurring Schedule'!$O$39&gt;0,AND(DAY($A3)=MIN(DAY('Recurring Schedule'!$F$39),DAY(EOMONTH($A3,0))),MOD((YEAR($A3)-YEAR('Recurring Schedule'!$F$39))*12+MONTH($A3)-MONTH('Recurring Schedule'!$F$39),'Recurring Schedule'!$O$39)=0),IF('Recurring Schedule'!$E$39="Weekdays",WEEKDAY($A3,2)&lt;=5,$A3='Recurring Schedule'!$F$39))),34,""))))</f>
        <v/>
      </c>
      <c r="AJ3">
        <f>IF('Recurring Schedule'!$C$40="","",IF('Recurring Schedule'!$F$40="","",IF(OR($A3&lt;'Recurring Schedule'!$F$40,$A3&gt;'Recurring Schedule'!$P$40),"",IF(IF('Recurring Schedule'!$N$40&gt;0,MOD($A3-'Recurring Schedule'!$F$40,'Recurring Schedule'!$N$40)=0,IF('Recurring Schedule'!$O$40&gt;0,AND(DAY($A3)=MIN(DAY('Recurring Schedule'!$F$40),DAY(EOMONTH($A3,0))),MOD((YEAR($A3)-YEAR('Recurring Schedule'!$F$40))*12+MONTH($A3)-MONTH('Recurring Schedule'!$F$40),'Recurring Schedule'!$O$40)=0),IF('Recurring Schedule'!$E$40="Weekdays",WEEKDAY($A3,2)&lt;=5,$A3='Recurring Schedule'!$F$40))),35,""))))</f>
        <v/>
      </c>
      <c r="AK3">
        <f>IF('Recurring Schedule'!$C$41="","",IF('Recurring Schedule'!$F$41="","",IF(OR($A3&lt;'Recurring Schedule'!$F$41,$A3&gt;'Recurring Schedule'!$P$41),"",IF(IF('Recurring Schedule'!$N$41&gt;0,MOD($A3-'Recurring Schedule'!$F$41,'Recurring Schedule'!$N$41)=0,IF('Recurring Schedule'!$O$41&gt;0,AND(DAY($A3)=MIN(DAY('Recurring Schedule'!$F$41),DAY(EOMONTH($A3,0))),MOD((YEAR($A3)-YEAR('Recurring Schedule'!$F$41))*12+MONTH($A3)-MONTH('Recurring Schedule'!$F$41),'Recurring Schedule'!$O$41)=0),IF('Recurring Schedule'!$E$41="Weekdays",WEEKDAY($A3,2)&lt;=5,$A3='Recurring Schedule'!$F$41))),36,""))))</f>
        <v/>
      </c>
      <c r="AL3">
        <f>IF('Recurring Schedule'!$C$42="","",IF('Recurring Schedule'!$F$42="","",IF(OR($A3&lt;'Recurring Schedule'!$F$42,$A3&gt;'Recurring Schedule'!$P$42),"",IF(IF('Recurring Schedule'!$N$42&gt;0,MOD($A3-'Recurring Schedule'!$F$42,'Recurring Schedule'!$N$42)=0,IF('Recurring Schedule'!$O$42&gt;0,AND(DAY($A3)=MIN(DAY('Recurring Schedule'!$F$42),DAY(EOMONTH($A3,0))),MOD((YEAR($A3)-YEAR('Recurring Schedule'!$F$42))*12+MONTH($A3)-MONTH('Recurring Schedule'!$F$42),'Recurring Schedule'!$O$42)=0),IF('Recurring Schedule'!$E$42="Weekdays",WEEKDAY($A3,2)&lt;=5,$A3='Recurring Schedule'!$F$42))),37,""))))</f>
        <v/>
      </c>
      <c r="AM3">
        <f>IF('Recurring Schedule'!$C$43="","",IF('Recurring Schedule'!$F$43="","",IF(OR($A3&lt;'Recurring Schedule'!$F$43,$A3&gt;'Recurring Schedule'!$P$43),"",IF(IF('Recurring Schedule'!$N$43&gt;0,MOD($A3-'Recurring Schedule'!$F$43,'Recurring Schedule'!$N$43)=0,IF('Recurring Schedule'!$O$43&gt;0,AND(DAY($A3)=MIN(DAY('Recurring Schedule'!$F$43),DAY(EOMONTH($A3,0))),MOD((YEAR($A3)-YEAR('Recurring Schedule'!$F$43))*12+MONTH($A3)-MONTH('Recurring Schedule'!$F$43),'Recurring Schedule'!$O$43)=0),IF('Recurring Schedule'!$E$43="Weekdays",WEEKDAY($A3,2)&lt;=5,$A3='Recurring Schedule'!$F$43))),38,""))))</f>
        <v/>
      </c>
      <c r="AN3">
        <f>IF('Recurring Schedule'!$C$44="","",IF('Recurring Schedule'!$F$44="","",IF(OR($A3&lt;'Recurring Schedule'!$F$44,$A3&gt;'Recurring Schedule'!$P$44),"",IF(IF('Recurring Schedule'!$N$44&gt;0,MOD($A3-'Recurring Schedule'!$F$44,'Recurring Schedule'!$N$44)=0,IF('Recurring Schedule'!$O$44&gt;0,AND(DAY($A3)=MIN(DAY('Recurring Schedule'!$F$44),DAY(EOMONTH($A3,0))),MOD((YEAR($A3)-YEAR('Recurring Schedule'!$F$44))*12+MONTH($A3)-MONTH('Recurring Schedule'!$F$44),'Recurring Schedule'!$O$44)=0),IF('Recurring Schedule'!$E$44="Weekdays",WEEKDAY($A3,2)&lt;=5,$A3='Recurring Schedule'!$F$44))),39,""))))</f>
        <v/>
      </c>
      <c r="AO3">
        <f>IF('Recurring Schedule'!$C$45="","",IF('Recurring Schedule'!$F$45="","",IF(OR($A3&lt;'Recurring Schedule'!$F$45,$A3&gt;'Recurring Schedule'!$P$45),"",IF(IF('Recurring Schedule'!$N$45&gt;0,MOD($A3-'Recurring Schedule'!$F$45,'Recurring Schedule'!$N$45)=0,IF('Recurring Schedule'!$O$45&gt;0,AND(DAY($A3)=MIN(DAY('Recurring Schedule'!$F$45),DAY(EOMONTH($A3,0))),MOD((YEAR($A3)-YEAR('Recurring Schedule'!$F$45))*12+MONTH($A3)-MONTH('Recurring Schedule'!$F$45),'Recurring Schedule'!$O$45)=0),IF('Recurring Schedule'!$E$45="Weekdays",WEEKDAY($A3,2)&lt;=5,$A3='Recurring Schedule'!$F$45))),40,""))))</f>
        <v/>
      </c>
      <c r="AP3">
        <f>COUNT(B3:AO3)</f>
        <v/>
      </c>
      <c r="AQ3">
        <f>AQ2+AP2</f>
        <v/>
      </c>
      <c r="AS3" t="inlineStr">
        <is>
          <t>R</t>
        </is>
      </c>
      <c r="AT3" t="n">
        <v>7</v>
      </c>
      <c r="AU3">
        <f>'Recurring Log'!C7&amp;""</f>
        <v/>
      </c>
      <c r="AV3">
        <f>'Recurring Log'!D7&amp;""</f>
        <v/>
      </c>
      <c r="AW3">
        <f>IF('Recurring Log'!E7="","",'Recurring Log'!E7)</f>
        <v/>
      </c>
      <c r="AX3">
        <f>IF('Recurring Log'!G7="","",'Recurring Log'!G7)</f>
        <v/>
      </c>
      <c r="AY3">
        <f>IF('Recurring Log'!H7="","",'Recurring Log'!H7)</f>
        <v/>
      </c>
      <c r="AZ3">
        <f>IF(AU3="","",IF('Recurring Log'!J7="","Not Started",'Recurring Log'!J7))</f>
        <v/>
      </c>
      <c r="BA3">
        <f>'Recurring Log'!L7&amp;""</f>
        <v/>
      </c>
      <c r="BB3">
        <f>'Recurring Log'!M7&amp;""</f>
        <v/>
      </c>
      <c r="BC3">
        <f>'Recurring Log'!N7&amp;""</f>
        <v/>
      </c>
      <c r="BD3">
        <f>'Recurring Log'!O7&amp;""</f>
        <v/>
      </c>
      <c r="BE3">
        <f>IF('Recurring Log'!K7="","",'Recurring Log'!K7)</f>
        <v/>
      </c>
      <c r="BF3">
        <f>IFERROR(MATCH(BA3,Setup!$L$6:$L$9,0),5)</f>
        <v/>
      </c>
      <c r="BG3">
        <f>IF(OR(AZ3="Done",AZ3="Cancelled"),1,0)</f>
        <v/>
      </c>
      <c r="BH3">
        <f>IF(AND(AU3&lt;&gt;"",ISNUMBER(AW3)),1,0)</f>
        <v/>
      </c>
      <c r="BI3">
        <f>IF(BH3=0,0,IF(AND(AW3&gt;='Tasks Filter'!$F$3,AW3&lt;='Tasks Filter'!$F$4,OR('Tasks Filter'!$I$3="",ISNUMBER(SEARCH('Tasks Filter'!$I$3,AU3))),OR('Tasks Filter'!$I$4="",BF3=IFERROR(MATCH('Tasks Filter'!$I$4,Setup!$L$6:$L$9,0),0)),OR('Tasks Filter'!$I$5="Both",AND('Tasks Filter'!$I$5="Yes",BB3="✓"),AND('Tasks Filter'!$I$5="No",BB3&lt;&gt;"✓")),OR('Tasks Filter'!$L$3="",AV3='Tasks Filter'!$L$3),OR('Tasks Filter'!$L$4="",AZ3='Tasks Filter'!$L$4),OR('Tasks Filter'!$L$5="",BC3='Tasks Filter'!$L$5),OR('Tasks Filter'!$O$3="",BD3='Tasks Filter'!$O$3),OR('Tasks Filter'!$O$4="Yes",BG3=0)),1,0))</f>
        <v/>
      </c>
      <c r="BJ3">
        <f>IF(BH3=0,"",IF('Tasks Filter'!$F$6="Descending",-1,1)*CHOOSE(MATCH('Tasks Filter'!$F$5,Lists!$G$2:$G$6,0),AW3,BF3,IFERROR(MATCH(AV3,Setup!$F$6:$F$15,0),99),IFERROR(MATCH(BC3,Setup!$H$6:$H$15,0),99),IFERROR(MATCH(AZ3,Setup!$J$6:$J$11,0),99))*1E+9+(AW3-40000)*10000+2)</f>
        <v/>
      </c>
      <c r="BK3">
        <f>IF(BI3=1,BJ3,"")</f>
        <v/>
      </c>
      <c r="BL3">
        <f>IF(AND(BH3=1,BG3=0,N(AW3)&lt;Setup!$D$7),(AW3-40000)*10000+2,"")</f>
        <v/>
      </c>
      <c r="BM3">
        <f>IF(AND(BH3=1,AZ3&lt;&gt;"Cancelled",N(AW3)&gt;=Dashboard!$AB$3,N(AW3)&lt;=Dashboard!$AB$3+6),(AW3-40000)*100000+BF3*10000+2,"")</f>
        <v/>
      </c>
      <c r="BN3">
        <f>IF(AND(BH3=1,AZ3&lt;&gt;"Cancelled"),BF3*10000+2,"")</f>
        <v/>
      </c>
    </row>
    <row r="4">
      <c r="A4">
        <f>Setup!$D$5+2</f>
        <v/>
      </c>
      <c r="B4">
        <f>IF('Recurring Schedule'!$C$6="","",IF('Recurring Schedule'!$F$6="","",IF(OR($A4&lt;'Recurring Schedule'!$F$6,$A4&gt;'Recurring Schedule'!$P$6),"",IF(IF('Recurring Schedule'!$N$6&gt;0,MOD($A4-'Recurring Schedule'!$F$6,'Recurring Schedule'!$N$6)=0,IF('Recurring Schedule'!$O$6&gt;0,AND(DAY($A4)=MIN(DAY('Recurring Schedule'!$F$6),DAY(EOMONTH($A4,0))),MOD((YEAR($A4)-YEAR('Recurring Schedule'!$F$6))*12+MONTH($A4)-MONTH('Recurring Schedule'!$F$6),'Recurring Schedule'!$O$6)=0),IF('Recurring Schedule'!$E$6="Weekdays",WEEKDAY($A4,2)&lt;=5,$A4='Recurring Schedule'!$F$6))),1,""))))</f>
        <v/>
      </c>
      <c r="C4">
        <f>IF('Recurring Schedule'!$C$7="","",IF('Recurring Schedule'!$F$7="","",IF(OR($A4&lt;'Recurring Schedule'!$F$7,$A4&gt;'Recurring Schedule'!$P$7),"",IF(IF('Recurring Schedule'!$N$7&gt;0,MOD($A4-'Recurring Schedule'!$F$7,'Recurring Schedule'!$N$7)=0,IF('Recurring Schedule'!$O$7&gt;0,AND(DAY($A4)=MIN(DAY('Recurring Schedule'!$F$7),DAY(EOMONTH($A4,0))),MOD((YEAR($A4)-YEAR('Recurring Schedule'!$F$7))*12+MONTH($A4)-MONTH('Recurring Schedule'!$F$7),'Recurring Schedule'!$O$7)=0),IF('Recurring Schedule'!$E$7="Weekdays",WEEKDAY($A4,2)&lt;=5,$A4='Recurring Schedule'!$F$7))),2,""))))</f>
        <v/>
      </c>
      <c r="D4">
        <f>IF('Recurring Schedule'!$C$8="","",IF('Recurring Schedule'!$F$8="","",IF(OR($A4&lt;'Recurring Schedule'!$F$8,$A4&gt;'Recurring Schedule'!$P$8),"",IF(IF('Recurring Schedule'!$N$8&gt;0,MOD($A4-'Recurring Schedule'!$F$8,'Recurring Schedule'!$N$8)=0,IF('Recurring Schedule'!$O$8&gt;0,AND(DAY($A4)=MIN(DAY('Recurring Schedule'!$F$8),DAY(EOMONTH($A4,0))),MOD((YEAR($A4)-YEAR('Recurring Schedule'!$F$8))*12+MONTH($A4)-MONTH('Recurring Schedule'!$F$8),'Recurring Schedule'!$O$8)=0),IF('Recurring Schedule'!$E$8="Weekdays",WEEKDAY($A4,2)&lt;=5,$A4='Recurring Schedule'!$F$8))),3,""))))</f>
        <v/>
      </c>
      <c r="E4">
        <f>IF('Recurring Schedule'!$C$9="","",IF('Recurring Schedule'!$F$9="","",IF(OR($A4&lt;'Recurring Schedule'!$F$9,$A4&gt;'Recurring Schedule'!$P$9),"",IF(IF('Recurring Schedule'!$N$9&gt;0,MOD($A4-'Recurring Schedule'!$F$9,'Recurring Schedule'!$N$9)=0,IF('Recurring Schedule'!$O$9&gt;0,AND(DAY($A4)=MIN(DAY('Recurring Schedule'!$F$9),DAY(EOMONTH($A4,0))),MOD((YEAR($A4)-YEAR('Recurring Schedule'!$F$9))*12+MONTH($A4)-MONTH('Recurring Schedule'!$F$9),'Recurring Schedule'!$O$9)=0),IF('Recurring Schedule'!$E$9="Weekdays",WEEKDAY($A4,2)&lt;=5,$A4='Recurring Schedule'!$F$9))),4,""))))</f>
        <v/>
      </c>
      <c r="F4">
        <f>IF('Recurring Schedule'!$C$10="","",IF('Recurring Schedule'!$F$10="","",IF(OR($A4&lt;'Recurring Schedule'!$F$10,$A4&gt;'Recurring Schedule'!$P$10),"",IF(IF('Recurring Schedule'!$N$10&gt;0,MOD($A4-'Recurring Schedule'!$F$10,'Recurring Schedule'!$N$10)=0,IF('Recurring Schedule'!$O$10&gt;0,AND(DAY($A4)=MIN(DAY('Recurring Schedule'!$F$10),DAY(EOMONTH($A4,0))),MOD((YEAR($A4)-YEAR('Recurring Schedule'!$F$10))*12+MONTH($A4)-MONTH('Recurring Schedule'!$F$10),'Recurring Schedule'!$O$10)=0),IF('Recurring Schedule'!$E$10="Weekdays",WEEKDAY($A4,2)&lt;=5,$A4='Recurring Schedule'!$F$10))),5,""))))</f>
        <v/>
      </c>
      <c r="G4">
        <f>IF('Recurring Schedule'!$C$11="","",IF('Recurring Schedule'!$F$11="","",IF(OR($A4&lt;'Recurring Schedule'!$F$11,$A4&gt;'Recurring Schedule'!$P$11),"",IF(IF('Recurring Schedule'!$N$11&gt;0,MOD($A4-'Recurring Schedule'!$F$11,'Recurring Schedule'!$N$11)=0,IF('Recurring Schedule'!$O$11&gt;0,AND(DAY($A4)=MIN(DAY('Recurring Schedule'!$F$11),DAY(EOMONTH($A4,0))),MOD((YEAR($A4)-YEAR('Recurring Schedule'!$F$11))*12+MONTH($A4)-MONTH('Recurring Schedule'!$F$11),'Recurring Schedule'!$O$11)=0),IF('Recurring Schedule'!$E$11="Weekdays",WEEKDAY($A4,2)&lt;=5,$A4='Recurring Schedule'!$F$11))),6,""))))</f>
        <v/>
      </c>
      <c r="H4">
        <f>IF('Recurring Schedule'!$C$12="","",IF('Recurring Schedule'!$F$12="","",IF(OR($A4&lt;'Recurring Schedule'!$F$12,$A4&gt;'Recurring Schedule'!$P$12),"",IF(IF('Recurring Schedule'!$N$12&gt;0,MOD($A4-'Recurring Schedule'!$F$12,'Recurring Schedule'!$N$12)=0,IF('Recurring Schedule'!$O$12&gt;0,AND(DAY($A4)=MIN(DAY('Recurring Schedule'!$F$12),DAY(EOMONTH($A4,0))),MOD((YEAR($A4)-YEAR('Recurring Schedule'!$F$12))*12+MONTH($A4)-MONTH('Recurring Schedule'!$F$12),'Recurring Schedule'!$O$12)=0),IF('Recurring Schedule'!$E$12="Weekdays",WEEKDAY($A4,2)&lt;=5,$A4='Recurring Schedule'!$F$12))),7,""))))</f>
        <v/>
      </c>
      <c r="I4">
        <f>IF('Recurring Schedule'!$C$13="","",IF('Recurring Schedule'!$F$13="","",IF(OR($A4&lt;'Recurring Schedule'!$F$13,$A4&gt;'Recurring Schedule'!$P$13),"",IF(IF('Recurring Schedule'!$N$13&gt;0,MOD($A4-'Recurring Schedule'!$F$13,'Recurring Schedule'!$N$13)=0,IF('Recurring Schedule'!$O$13&gt;0,AND(DAY($A4)=MIN(DAY('Recurring Schedule'!$F$13),DAY(EOMONTH($A4,0))),MOD((YEAR($A4)-YEAR('Recurring Schedule'!$F$13))*12+MONTH($A4)-MONTH('Recurring Schedule'!$F$13),'Recurring Schedule'!$O$13)=0),IF('Recurring Schedule'!$E$13="Weekdays",WEEKDAY($A4,2)&lt;=5,$A4='Recurring Schedule'!$F$13))),8,""))))</f>
        <v/>
      </c>
      <c r="J4">
        <f>IF('Recurring Schedule'!$C$14="","",IF('Recurring Schedule'!$F$14="","",IF(OR($A4&lt;'Recurring Schedule'!$F$14,$A4&gt;'Recurring Schedule'!$P$14),"",IF(IF('Recurring Schedule'!$N$14&gt;0,MOD($A4-'Recurring Schedule'!$F$14,'Recurring Schedule'!$N$14)=0,IF('Recurring Schedule'!$O$14&gt;0,AND(DAY($A4)=MIN(DAY('Recurring Schedule'!$F$14),DAY(EOMONTH($A4,0))),MOD((YEAR($A4)-YEAR('Recurring Schedule'!$F$14))*12+MONTH($A4)-MONTH('Recurring Schedule'!$F$14),'Recurring Schedule'!$O$14)=0),IF('Recurring Schedule'!$E$14="Weekdays",WEEKDAY($A4,2)&lt;=5,$A4='Recurring Schedule'!$F$14))),9,""))))</f>
        <v/>
      </c>
      <c r="K4">
        <f>IF('Recurring Schedule'!$C$15="","",IF('Recurring Schedule'!$F$15="","",IF(OR($A4&lt;'Recurring Schedule'!$F$15,$A4&gt;'Recurring Schedule'!$P$15),"",IF(IF('Recurring Schedule'!$N$15&gt;0,MOD($A4-'Recurring Schedule'!$F$15,'Recurring Schedule'!$N$15)=0,IF('Recurring Schedule'!$O$15&gt;0,AND(DAY($A4)=MIN(DAY('Recurring Schedule'!$F$15),DAY(EOMONTH($A4,0))),MOD((YEAR($A4)-YEAR('Recurring Schedule'!$F$15))*12+MONTH($A4)-MONTH('Recurring Schedule'!$F$15),'Recurring Schedule'!$O$15)=0),IF('Recurring Schedule'!$E$15="Weekdays",WEEKDAY($A4,2)&lt;=5,$A4='Recurring Schedule'!$F$15))),10,""))))</f>
        <v/>
      </c>
      <c r="L4">
        <f>IF('Recurring Schedule'!$C$16="","",IF('Recurring Schedule'!$F$16="","",IF(OR($A4&lt;'Recurring Schedule'!$F$16,$A4&gt;'Recurring Schedule'!$P$16),"",IF(IF('Recurring Schedule'!$N$16&gt;0,MOD($A4-'Recurring Schedule'!$F$16,'Recurring Schedule'!$N$16)=0,IF('Recurring Schedule'!$O$16&gt;0,AND(DAY($A4)=MIN(DAY('Recurring Schedule'!$F$16),DAY(EOMONTH($A4,0))),MOD((YEAR($A4)-YEAR('Recurring Schedule'!$F$16))*12+MONTH($A4)-MONTH('Recurring Schedule'!$F$16),'Recurring Schedule'!$O$16)=0),IF('Recurring Schedule'!$E$16="Weekdays",WEEKDAY($A4,2)&lt;=5,$A4='Recurring Schedule'!$F$16))),11,""))))</f>
        <v/>
      </c>
      <c r="M4">
        <f>IF('Recurring Schedule'!$C$17="","",IF('Recurring Schedule'!$F$17="","",IF(OR($A4&lt;'Recurring Schedule'!$F$17,$A4&gt;'Recurring Schedule'!$P$17),"",IF(IF('Recurring Schedule'!$N$17&gt;0,MOD($A4-'Recurring Schedule'!$F$17,'Recurring Schedule'!$N$17)=0,IF('Recurring Schedule'!$O$17&gt;0,AND(DAY($A4)=MIN(DAY('Recurring Schedule'!$F$17),DAY(EOMONTH($A4,0))),MOD((YEAR($A4)-YEAR('Recurring Schedule'!$F$17))*12+MONTH($A4)-MONTH('Recurring Schedule'!$F$17),'Recurring Schedule'!$O$17)=0),IF('Recurring Schedule'!$E$17="Weekdays",WEEKDAY($A4,2)&lt;=5,$A4='Recurring Schedule'!$F$17))),12,""))))</f>
        <v/>
      </c>
      <c r="N4">
        <f>IF('Recurring Schedule'!$C$18="","",IF('Recurring Schedule'!$F$18="","",IF(OR($A4&lt;'Recurring Schedule'!$F$18,$A4&gt;'Recurring Schedule'!$P$18),"",IF(IF('Recurring Schedule'!$N$18&gt;0,MOD($A4-'Recurring Schedule'!$F$18,'Recurring Schedule'!$N$18)=0,IF('Recurring Schedule'!$O$18&gt;0,AND(DAY($A4)=MIN(DAY('Recurring Schedule'!$F$18),DAY(EOMONTH($A4,0))),MOD((YEAR($A4)-YEAR('Recurring Schedule'!$F$18))*12+MONTH($A4)-MONTH('Recurring Schedule'!$F$18),'Recurring Schedule'!$O$18)=0),IF('Recurring Schedule'!$E$18="Weekdays",WEEKDAY($A4,2)&lt;=5,$A4='Recurring Schedule'!$F$18))),13,""))))</f>
        <v/>
      </c>
      <c r="O4">
        <f>IF('Recurring Schedule'!$C$19="","",IF('Recurring Schedule'!$F$19="","",IF(OR($A4&lt;'Recurring Schedule'!$F$19,$A4&gt;'Recurring Schedule'!$P$19),"",IF(IF('Recurring Schedule'!$N$19&gt;0,MOD($A4-'Recurring Schedule'!$F$19,'Recurring Schedule'!$N$19)=0,IF('Recurring Schedule'!$O$19&gt;0,AND(DAY($A4)=MIN(DAY('Recurring Schedule'!$F$19),DAY(EOMONTH($A4,0))),MOD((YEAR($A4)-YEAR('Recurring Schedule'!$F$19))*12+MONTH($A4)-MONTH('Recurring Schedule'!$F$19),'Recurring Schedule'!$O$19)=0),IF('Recurring Schedule'!$E$19="Weekdays",WEEKDAY($A4,2)&lt;=5,$A4='Recurring Schedule'!$F$19))),14,""))))</f>
        <v/>
      </c>
      <c r="P4">
        <f>IF('Recurring Schedule'!$C$20="","",IF('Recurring Schedule'!$F$20="","",IF(OR($A4&lt;'Recurring Schedule'!$F$20,$A4&gt;'Recurring Schedule'!$P$20),"",IF(IF('Recurring Schedule'!$N$20&gt;0,MOD($A4-'Recurring Schedule'!$F$20,'Recurring Schedule'!$N$20)=0,IF('Recurring Schedule'!$O$20&gt;0,AND(DAY($A4)=MIN(DAY('Recurring Schedule'!$F$20),DAY(EOMONTH($A4,0))),MOD((YEAR($A4)-YEAR('Recurring Schedule'!$F$20))*12+MONTH($A4)-MONTH('Recurring Schedule'!$F$20),'Recurring Schedule'!$O$20)=0),IF('Recurring Schedule'!$E$20="Weekdays",WEEKDAY($A4,2)&lt;=5,$A4='Recurring Schedule'!$F$20))),15,""))))</f>
        <v/>
      </c>
      <c r="Q4">
        <f>IF('Recurring Schedule'!$C$21="","",IF('Recurring Schedule'!$F$21="","",IF(OR($A4&lt;'Recurring Schedule'!$F$21,$A4&gt;'Recurring Schedule'!$P$21),"",IF(IF('Recurring Schedule'!$N$21&gt;0,MOD($A4-'Recurring Schedule'!$F$21,'Recurring Schedule'!$N$21)=0,IF('Recurring Schedule'!$O$21&gt;0,AND(DAY($A4)=MIN(DAY('Recurring Schedule'!$F$21),DAY(EOMONTH($A4,0))),MOD((YEAR($A4)-YEAR('Recurring Schedule'!$F$21))*12+MONTH($A4)-MONTH('Recurring Schedule'!$F$21),'Recurring Schedule'!$O$21)=0),IF('Recurring Schedule'!$E$21="Weekdays",WEEKDAY($A4,2)&lt;=5,$A4='Recurring Schedule'!$F$21))),16,""))))</f>
        <v/>
      </c>
      <c r="R4">
        <f>IF('Recurring Schedule'!$C$22="","",IF('Recurring Schedule'!$F$22="","",IF(OR($A4&lt;'Recurring Schedule'!$F$22,$A4&gt;'Recurring Schedule'!$P$22),"",IF(IF('Recurring Schedule'!$N$22&gt;0,MOD($A4-'Recurring Schedule'!$F$22,'Recurring Schedule'!$N$22)=0,IF('Recurring Schedule'!$O$22&gt;0,AND(DAY($A4)=MIN(DAY('Recurring Schedule'!$F$22),DAY(EOMONTH($A4,0))),MOD((YEAR($A4)-YEAR('Recurring Schedule'!$F$22))*12+MONTH($A4)-MONTH('Recurring Schedule'!$F$22),'Recurring Schedule'!$O$22)=0),IF('Recurring Schedule'!$E$22="Weekdays",WEEKDAY($A4,2)&lt;=5,$A4='Recurring Schedule'!$F$22))),17,""))))</f>
        <v/>
      </c>
      <c r="S4">
        <f>IF('Recurring Schedule'!$C$23="","",IF('Recurring Schedule'!$F$23="","",IF(OR($A4&lt;'Recurring Schedule'!$F$23,$A4&gt;'Recurring Schedule'!$P$23),"",IF(IF('Recurring Schedule'!$N$23&gt;0,MOD($A4-'Recurring Schedule'!$F$23,'Recurring Schedule'!$N$23)=0,IF('Recurring Schedule'!$O$23&gt;0,AND(DAY($A4)=MIN(DAY('Recurring Schedule'!$F$23),DAY(EOMONTH($A4,0))),MOD((YEAR($A4)-YEAR('Recurring Schedule'!$F$23))*12+MONTH($A4)-MONTH('Recurring Schedule'!$F$23),'Recurring Schedule'!$O$23)=0),IF('Recurring Schedule'!$E$23="Weekdays",WEEKDAY($A4,2)&lt;=5,$A4='Recurring Schedule'!$F$23))),18,""))))</f>
        <v/>
      </c>
      <c r="T4">
        <f>IF('Recurring Schedule'!$C$24="","",IF('Recurring Schedule'!$F$24="","",IF(OR($A4&lt;'Recurring Schedule'!$F$24,$A4&gt;'Recurring Schedule'!$P$24),"",IF(IF('Recurring Schedule'!$N$24&gt;0,MOD($A4-'Recurring Schedule'!$F$24,'Recurring Schedule'!$N$24)=0,IF('Recurring Schedule'!$O$24&gt;0,AND(DAY($A4)=MIN(DAY('Recurring Schedule'!$F$24),DAY(EOMONTH($A4,0))),MOD((YEAR($A4)-YEAR('Recurring Schedule'!$F$24))*12+MONTH($A4)-MONTH('Recurring Schedule'!$F$24),'Recurring Schedule'!$O$24)=0),IF('Recurring Schedule'!$E$24="Weekdays",WEEKDAY($A4,2)&lt;=5,$A4='Recurring Schedule'!$F$24))),19,""))))</f>
        <v/>
      </c>
      <c r="U4">
        <f>IF('Recurring Schedule'!$C$25="","",IF('Recurring Schedule'!$F$25="","",IF(OR($A4&lt;'Recurring Schedule'!$F$25,$A4&gt;'Recurring Schedule'!$P$25),"",IF(IF('Recurring Schedule'!$N$25&gt;0,MOD($A4-'Recurring Schedule'!$F$25,'Recurring Schedule'!$N$25)=0,IF('Recurring Schedule'!$O$25&gt;0,AND(DAY($A4)=MIN(DAY('Recurring Schedule'!$F$25),DAY(EOMONTH($A4,0))),MOD((YEAR($A4)-YEAR('Recurring Schedule'!$F$25))*12+MONTH($A4)-MONTH('Recurring Schedule'!$F$25),'Recurring Schedule'!$O$25)=0),IF('Recurring Schedule'!$E$25="Weekdays",WEEKDAY($A4,2)&lt;=5,$A4='Recurring Schedule'!$F$25))),20,""))))</f>
        <v/>
      </c>
      <c r="V4">
        <f>IF('Recurring Schedule'!$C$26="","",IF('Recurring Schedule'!$F$26="","",IF(OR($A4&lt;'Recurring Schedule'!$F$26,$A4&gt;'Recurring Schedule'!$P$26),"",IF(IF('Recurring Schedule'!$N$26&gt;0,MOD($A4-'Recurring Schedule'!$F$26,'Recurring Schedule'!$N$26)=0,IF('Recurring Schedule'!$O$26&gt;0,AND(DAY($A4)=MIN(DAY('Recurring Schedule'!$F$26),DAY(EOMONTH($A4,0))),MOD((YEAR($A4)-YEAR('Recurring Schedule'!$F$26))*12+MONTH($A4)-MONTH('Recurring Schedule'!$F$26),'Recurring Schedule'!$O$26)=0),IF('Recurring Schedule'!$E$26="Weekdays",WEEKDAY($A4,2)&lt;=5,$A4='Recurring Schedule'!$F$26))),21,""))))</f>
        <v/>
      </c>
      <c r="W4">
        <f>IF('Recurring Schedule'!$C$27="","",IF('Recurring Schedule'!$F$27="","",IF(OR($A4&lt;'Recurring Schedule'!$F$27,$A4&gt;'Recurring Schedule'!$P$27),"",IF(IF('Recurring Schedule'!$N$27&gt;0,MOD($A4-'Recurring Schedule'!$F$27,'Recurring Schedule'!$N$27)=0,IF('Recurring Schedule'!$O$27&gt;0,AND(DAY($A4)=MIN(DAY('Recurring Schedule'!$F$27),DAY(EOMONTH($A4,0))),MOD((YEAR($A4)-YEAR('Recurring Schedule'!$F$27))*12+MONTH($A4)-MONTH('Recurring Schedule'!$F$27),'Recurring Schedule'!$O$27)=0),IF('Recurring Schedule'!$E$27="Weekdays",WEEKDAY($A4,2)&lt;=5,$A4='Recurring Schedule'!$F$27))),22,""))))</f>
        <v/>
      </c>
      <c r="X4">
        <f>IF('Recurring Schedule'!$C$28="","",IF('Recurring Schedule'!$F$28="","",IF(OR($A4&lt;'Recurring Schedule'!$F$28,$A4&gt;'Recurring Schedule'!$P$28),"",IF(IF('Recurring Schedule'!$N$28&gt;0,MOD($A4-'Recurring Schedule'!$F$28,'Recurring Schedule'!$N$28)=0,IF('Recurring Schedule'!$O$28&gt;0,AND(DAY($A4)=MIN(DAY('Recurring Schedule'!$F$28),DAY(EOMONTH($A4,0))),MOD((YEAR($A4)-YEAR('Recurring Schedule'!$F$28))*12+MONTH($A4)-MONTH('Recurring Schedule'!$F$28),'Recurring Schedule'!$O$28)=0),IF('Recurring Schedule'!$E$28="Weekdays",WEEKDAY($A4,2)&lt;=5,$A4='Recurring Schedule'!$F$28))),23,""))))</f>
        <v/>
      </c>
      <c r="Y4">
        <f>IF('Recurring Schedule'!$C$29="","",IF('Recurring Schedule'!$F$29="","",IF(OR($A4&lt;'Recurring Schedule'!$F$29,$A4&gt;'Recurring Schedule'!$P$29),"",IF(IF('Recurring Schedule'!$N$29&gt;0,MOD($A4-'Recurring Schedule'!$F$29,'Recurring Schedule'!$N$29)=0,IF('Recurring Schedule'!$O$29&gt;0,AND(DAY($A4)=MIN(DAY('Recurring Schedule'!$F$29),DAY(EOMONTH($A4,0))),MOD((YEAR($A4)-YEAR('Recurring Schedule'!$F$29))*12+MONTH($A4)-MONTH('Recurring Schedule'!$F$29),'Recurring Schedule'!$O$29)=0),IF('Recurring Schedule'!$E$29="Weekdays",WEEKDAY($A4,2)&lt;=5,$A4='Recurring Schedule'!$F$29))),24,""))))</f>
        <v/>
      </c>
      <c r="Z4">
        <f>IF('Recurring Schedule'!$C$30="","",IF('Recurring Schedule'!$F$30="","",IF(OR($A4&lt;'Recurring Schedule'!$F$30,$A4&gt;'Recurring Schedule'!$P$30),"",IF(IF('Recurring Schedule'!$N$30&gt;0,MOD($A4-'Recurring Schedule'!$F$30,'Recurring Schedule'!$N$30)=0,IF('Recurring Schedule'!$O$30&gt;0,AND(DAY($A4)=MIN(DAY('Recurring Schedule'!$F$30),DAY(EOMONTH($A4,0))),MOD((YEAR($A4)-YEAR('Recurring Schedule'!$F$30))*12+MONTH($A4)-MONTH('Recurring Schedule'!$F$30),'Recurring Schedule'!$O$30)=0),IF('Recurring Schedule'!$E$30="Weekdays",WEEKDAY($A4,2)&lt;=5,$A4='Recurring Schedule'!$F$30))),25,""))))</f>
        <v/>
      </c>
      <c r="AA4">
        <f>IF('Recurring Schedule'!$C$31="","",IF('Recurring Schedule'!$F$31="","",IF(OR($A4&lt;'Recurring Schedule'!$F$31,$A4&gt;'Recurring Schedule'!$P$31),"",IF(IF('Recurring Schedule'!$N$31&gt;0,MOD($A4-'Recurring Schedule'!$F$31,'Recurring Schedule'!$N$31)=0,IF('Recurring Schedule'!$O$31&gt;0,AND(DAY($A4)=MIN(DAY('Recurring Schedule'!$F$31),DAY(EOMONTH($A4,0))),MOD((YEAR($A4)-YEAR('Recurring Schedule'!$F$31))*12+MONTH($A4)-MONTH('Recurring Schedule'!$F$31),'Recurring Schedule'!$O$31)=0),IF('Recurring Schedule'!$E$31="Weekdays",WEEKDAY($A4,2)&lt;=5,$A4='Recurring Schedule'!$F$31))),26,""))))</f>
        <v/>
      </c>
      <c r="AB4">
        <f>IF('Recurring Schedule'!$C$32="","",IF('Recurring Schedule'!$F$32="","",IF(OR($A4&lt;'Recurring Schedule'!$F$32,$A4&gt;'Recurring Schedule'!$P$32),"",IF(IF('Recurring Schedule'!$N$32&gt;0,MOD($A4-'Recurring Schedule'!$F$32,'Recurring Schedule'!$N$32)=0,IF('Recurring Schedule'!$O$32&gt;0,AND(DAY($A4)=MIN(DAY('Recurring Schedule'!$F$32),DAY(EOMONTH($A4,0))),MOD((YEAR($A4)-YEAR('Recurring Schedule'!$F$32))*12+MONTH($A4)-MONTH('Recurring Schedule'!$F$32),'Recurring Schedule'!$O$32)=0),IF('Recurring Schedule'!$E$32="Weekdays",WEEKDAY($A4,2)&lt;=5,$A4='Recurring Schedule'!$F$32))),27,""))))</f>
        <v/>
      </c>
      <c r="AC4">
        <f>IF('Recurring Schedule'!$C$33="","",IF('Recurring Schedule'!$F$33="","",IF(OR($A4&lt;'Recurring Schedule'!$F$33,$A4&gt;'Recurring Schedule'!$P$33),"",IF(IF('Recurring Schedule'!$N$33&gt;0,MOD($A4-'Recurring Schedule'!$F$33,'Recurring Schedule'!$N$33)=0,IF('Recurring Schedule'!$O$33&gt;0,AND(DAY($A4)=MIN(DAY('Recurring Schedule'!$F$33),DAY(EOMONTH($A4,0))),MOD((YEAR($A4)-YEAR('Recurring Schedule'!$F$33))*12+MONTH($A4)-MONTH('Recurring Schedule'!$F$33),'Recurring Schedule'!$O$33)=0),IF('Recurring Schedule'!$E$33="Weekdays",WEEKDAY($A4,2)&lt;=5,$A4='Recurring Schedule'!$F$33))),28,""))))</f>
        <v/>
      </c>
      <c r="AD4">
        <f>IF('Recurring Schedule'!$C$34="","",IF('Recurring Schedule'!$F$34="","",IF(OR($A4&lt;'Recurring Schedule'!$F$34,$A4&gt;'Recurring Schedule'!$P$34),"",IF(IF('Recurring Schedule'!$N$34&gt;0,MOD($A4-'Recurring Schedule'!$F$34,'Recurring Schedule'!$N$34)=0,IF('Recurring Schedule'!$O$34&gt;0,AND(DAY($A4)=MIN(DAY('Recurring Schedule'!$F$34),DAY(EOMONTH($A4,0))),MOD((YEAR($A4)-YEAR('Recurring Schedule'!$F$34))*12+MONTH($A4)-MONTH('Recurring Schedule'!$F$34),'Recurring Schedule'!$O$34)=0),IF('Recurring Schedule'!$E$34="Weekdays",WEEKDAY($A4,2)&lt;=5,$A4='Recurring Schedule'!$F$34))),29,""))))</f>
        <v/>
      </c>
      <c r="AE4">
        <f>IF('Recurring Schedule'!$C$35="","",IF('Recurring Schedule'!$F$35="","",IF(OR($A4&lt;'Recurring Schedule'!$F$35,$A4&gt;'Recurring Schedule'!$P$35),"",IF(IF('Recurring Schedule'!$N$35&gt;0,MOD($A4-'Recurring Schedule'!$F$35,'Recurring Schedule'!$N$35)=0,IF('Recurring Schedule'!$O$35&gt;0,AND(DAY($A4)=MIN(DAY('Recurring Schedule'!$F$35),DAY(EOMONTH($A4,0))),MOD((YEAR($A4)-YEAR('Recurring Schedule'!$F$35))*12+MONTH($A4)-MONTH('Recurring Schedule'!$F$35),'Recurring Schedule'!$O$35)=0),IF('Recurring Schedule'!$E$35="Weekdays",WEEKDAY($A4,2)&lt;=5,$A4='Recurring Schedule'!$F$35))),30,""))))</f>
        <v/>
      </c>
      <c r="AF4">
        <f>IF('Recurring Schedule'!$C$36="","",IF('Recurring Schedule'!$F$36="","",IF(OR($A4&lt;'Recurring Schedule'!$F$36,$A4&gt;'Recurring Schedule'!$P$36),"",IF(IF('Recurring Schedule'!$N$36&gt;0,MOD($A4-'Recurring Schedule'!$F$36,'Recurring Schedule'!$N$36)=0,IF('Recurring Schedule'!$O$36&gt;0,AND(DAY($A4)=MIN(DAY('Recurring Schedule'!$F$36),DAY(EOMONTH($A4,0))),MOD((YEAR($A4)-YEAR('Recurring Schedule'!$F$36))*12+MONTH($A4)-MONTH('Recurring Schedule'!$F$36),'Recurring Schedule'!$O$36)=0),IF('Recurring Schedule'!$E$36="Weekdays",WEEKDAY($A4,2)&lt;=5,$A4='Recurring Schedule'!$F$36))),31,""))))</f>
        <v/>
      </c>
      <c r="AG4">
        <f>IF('Recurring Schedule'!$C$37="","",IF('Recurring Schedule'!$F$37="","",IF(OR($A4&lt;'Recurring Schedule'!$F$37,$A4&gt;'Recurring Schedule'!$P$37),"",IF(IF('Recurring Schedule'!$N$37&gt;0,MOD($A4-'Recurring Schedule'!$F$37,'Recurring Schedule'!$N$37)=0,IF('Recurring Schedule'!$O$37&gt;0,AND(DAY($A4)=MIN(DAY('Recurring Schedule'!$F$37),DAY(EOMONTH($A4,0))),MOD((YEAR($A4)-YEAR('Recurring Schedule'!$F$37))*12+MONTH($A4)-MONTH('Recurring Schedule'!$F$37),'Recurring Schedule'!$O$37)=0),IF('Recurring Schedule'!$E$37="Weekdays",WEEKDAY($A4,2)&lt;=5,$A4='Recurring Schedule'!$F$37))),32,""))))</f>
        <v/>
      </c>
      <c r="AH4">
        <f>IF('Recurring Schedule'!$C$38="","",IF('Recurring Schedule'!$F$38="","",IF(OR($A4&lt;'Recurring Schedule'!$F$38,$A4&gt;'Recurring Schedule'!$P$38),"",IF(IF('Recurring Schedule'!$N$38&gt;0,MOD($A4-'Recurring Schedule'!$F$38,'Recurring Schedule'!$N$38)=0,IF('Recurring Schedule'!$O$38&gt;0,AND(DAY($A4)=MIN(DAY('Recurring Schedule'!$F$38),DAY(EOMONTH($A4,0))),MOD((YEAR($A4)-YEAR('Recurring Schedule'!$F$38))*12+MONTH($A4)-MONTH('Recurring Schedule'!$F$38),'Recurring Schedule'!$O$38)=0),IF('Recurring Schedule'!$E$38="Weekdays",WEEKDAY($A4,2)&lt;=5,$A4='Recurring Schedule'!$F$38))),33,""))))</f>
        <v/>
      </c>
      <c r="AI4">
        <f>IF('Recurring Schedule'!$C$39="","",IF('Recurring Schedule'!$F$39="","",IF(OR($A4&lt;'Recurring Schedule'!$F$39,$A4&gt;'Recurring Schedule'!$P$39),"",IF(IF('Recurring Schedule'!$N$39&gt;0,MOD($A4-'Recurring Schedule'!$F$39,'Recurring Schedule'!$N$39)=0,IF('Recurring Schedule'!$O$39&gt;0,AND(DAY($A4)=MIN(DAY('Recurring Schedule'!$F$39),DAY(EOMONTH($A4,0))),MOD((YEAR($A4)-YEAR('Recurring Schedule'!$F$39))*12+MONTH($A4)-MONTH('Recurring Schedule'!$F$39),'Recurring Schedule'!$O$39)=0),IF('Recurring Schedule'!$E$39="Weekdays",WEEKDAY($A4,2)&lt;=5,$A4='Recurring Schedule'!$F$39))),34,""))))</f>
        <v/>
      </c>
      <c r="AJ4">
        <f>IF('Recurring Schedule'!$C$40="","",IF('Recurring Schedule'!$F$40="","",IF(OR($A4&lt;'Recurring Schedule'!$F$40,$A4&gt;'Recurring Schedule'!$P$40),"",IF(IF('Recurring Schedule'!$N$40&gt;0,MOD($A4-'Recurring Schedule'!$F$40,'Recurring Schedule'!$N$40)=0,IF('Recurring Schedule'!$O$40&gt;0,AND(DAY($A4)=MIN(DAY('Recurring Schedule'!$F$40),DAY(EOMONTH($A4,0))),MOD((YEAR($A4)-YEAR('Recurring Schedule'!$F$40))*12+MONTH($A4)-MONTH('Recurring Schedule'!$F$40),'Recurring Schedule'!$O$40)=0),IF('Recurring Schedule'!$E$40="Weekdays",WEEKDAY($A4,2)&lt;=5,$A4='Recurring Schedule'!$F$40))),35,""))))</f>
        <v/>
      </c>
      <c r="AK4">
        <f>IF('Recurring Schedule'!$C$41="","",IF('Recurring Schedule'!$F$41="","",IF(OR($A4&lt;'Recurring Schedule'!$F$41,$A4&gt;'Recurring Schedule'!$P$41),"",IF(IF('Recurring Schedule'!$N$41&gt;0,MOD($A4-'Recurring Schedule'!$F$41,'Recurring Schedule'!$N$41)=0,IF('Recurring Schedule'!$O$41&gt;0,AND(DAY($A4)=MIN(DAY('Recurring Schedule'!$F$41),DAY(EOMONTH($A4,0))),MOD((YEAR($A4)-YEAR('Recurring Schedule'!$F$41))*12+MONTH($A4)-MONTH('Recurring Schedule'!$F$41),'Recurring Schedule'!$O$41)=0),IF('Recurring Schedule'!$E$41="Weekdays",WEEKDAY($A4,2)&lt;=5,$A4='Recurring Schedule'!$F$41))),36,""))))</f>
        <v/>
      </c>
      <c r="AL4">
        <f>IF('Recurring Schedule'!$C$42="","",IF('Recurring Schedule'!$F$42="","",IF(OR($A4&lt;'Recurring Schedule'!$F$42,$A4&gt;'Recurring Schedule'!$P$42),"",IF(IF('Recurring Schedule'!$N$42&gt;0,MOD($A4-'Recurring Schedule'!$F$42,'Recurring Schedule'!$N$42)=0,IF('Recurring Schedule'!$O$42&gt;0,AND(DAY($A4)=MIN(DAY('Recurring Schedule'!$F$42),DAY(EOMONTH($A4,0))),MOD((YEAR($A4)-YEAR('Recurring Schedule'!$F$42))*12+MONTH($A4)-MONTH('Recurring Schedule'!$F$42),'Recurring Schedule'!$O$42)=0),IF('Recurring Schedule'!$E$42="Weekdays",WEEKDAY($A4,2)&lt;=5,$A4='Recurring Schedule'!$F$42))),37,""))))</f>
        <v/>
      </c>
      <c r="AM4">
        <f>IF('Recurring Schedule'!$C$43="","",IF('Recurring Schedule'!$F$43="","",IF(OR($A4&lt;'Recurring Schedule'!$F$43,$A4&gt;'Recurring Schedule'!$P$43),"",IF(IF('Recurring Schedule'!$N$43&gt;0,MOD($A4-'Recurring Schedule'!$F$43,'Recurring Schedule'!$N$43)=0,IF('Recurring Schedule'!$O$43&gt;0,AND(DAY($A4)=MIN(DAY('Recurring Schedule'!$F$43),DAY(EOMONTH($A4,0))),MOD((YEAR($A4)-YEAR('Recurring Schedule'!$F$43))*12+MONTH($A4)-MONTH('Recurring Schedule'!$F$43),'Recurring Schedule'!$O$43)=0),IF('Recurring Schedule'!$E$43="Weekdays",WEEKDAY($A4,2)&lt;=5,$A4='Recurring Schedule'!$F$43))),38,""))))</f>
        <v/>
      </c>
      <c r="AN4">
        <f>IF('Recurring Schedule'!$C$44="","",IF('Recurring Schedule'!$F$44="","",IF(OR($A4&lt;'Recurring Schedule'!$F$44,$A4&gt;'Recurring Schedule'!$P$44),"",IF(IF('Recurring Schedule'!$N$44&gt;0,MOD($A4-'Recurring Schedule'!$F$44,'Recurring Schedule'!$N$44)=0,IF('Recurring Schedule'!$O$44&gt;0,AND(DAY($A4)=MIN(DAY('Recurring Schedule'!$F$44),DAY(EOMONTH($A4,0))),MOD((YEAR($A4)-YEAR('Recurring Schedule'!$F$44))*12+MONTH($A4)-MONTH('Recurring Schedule'!$F$44),'Recurring Schedule'!$O$44)=0),IF('Recurring Schedule'!$E$44="Weekdays",WEEKDAY($A4,2)&lt;=5,$A4='Recurring Schedule'!$F$44))),39,""))))</f>
        <v/>
      </c>
      <c r="AO4">
        <f>IF('Recurring Schedule'!$C$45="","",IF('Recurring Schedule'!$F$45="","",IF(OR($A4&lt;'Recurring Schedule'!$F$45,$A4&gt;'Recurring Schedule'!$P$45),"",IF(IF('Recurring Schedule'!$N$45&gt;0,MOD($A4-'Recurring Schedule'!$F$45,'Recurring Schedule'!$N$45)=0,IF('Recurring Schedule'!$O$45&gt;0,AND(DAY($A4)=MIN(DAY('Recurring Schedule'!$F$45),DAY(EOMONTH($A4,0))),MOD((YEAR($A4)-YEAR('Recurring Schedule'!$F$45))*12+MONTH($A4)-MONTH('Recurring Schedule'!$F$45),'Recurring Schedule'!$O$45)=0),IF('Recurring Schedule'!$E$45="Weekdays",WEEKDAY($A4,2)&lt;=5,$A4='Recurring Schedule'!$F$45))),40,""))))</f>
        <v/>
      </c>
      <c r="AP4">
        <f>COUNT(B4:AO4)</f>
        <v/>
      </c>
      <c r="AQ4">
        <f>AQ3+AP3</f>
        <v/>
      </c>
      <c r="AS4" t="inlineStr">
        <is>
          <t>R</t>
        </is>
      </c>
      <c r="AT4" t="n">
        <v>8</v>
      </c>
      <c r="AU4">
        <f>'Recurring Log'!C8&amp;""</f>
        <v/>
      </c>
      <c r="AV4">
        <f>'Recurring Log'!D8&amp;""</f>
        <v/>
      </c>
      <c r="AW4">
        <f>IF('Recurring Log'!E8="","",'Recurring Log'!E8)</f>
        <v/>
      </c>
      <c r="AX4">
        <f>IF('Recurring Log'!G8="","",'Recurring Log'!G8)</f>
        <v/>
      </c>
      <c r="AY4">
        <f>IF('Recurring Log'!H8="","",'Recurring Log'!H8)</f>
        <v/>
      </c>
      <c r="AZ4">
        <f>IF(AU4="","",IF('Recurring Log'!J8="","Not Started",'Recurring Log'!J8))</f>
        <v/>
      </c>
      <c r="BA4">
        <f>'Recurring Log'!L8&amp;""</f>
        <v/>
      </c>
      <c r="BB4">
        <f>'Recurring Log'!M8&amp;""</f>
        <v/>
      </c>
      <c r="BC4">
        <f>'Recurring Log'!N8&amp;""</f>
        <v/>
      </c>
      <c r="BD4">
        <f>'Recurring Log'!O8&amp;""</f>
        <v/>
      </c>
      <c r="BE4">
        <f>IF('Recurring Log'!K8="","",'Recurring Log'!K8)</f>
        <v/>
      </c>
      <c r="BF4">
        <f>IFERROR(MATCH(BA4,Setup!$L$6:$L$9,0),5)</f>
        <v/>
      </c>
      <c r="BG4">
        <f>IF(OR(AZ4="Done",AZ4="Cancelled"),1,0)</f>
        <v/>
      </c>
      <c r="BH4">
        <f>IF(AND(AU4&lt;&gt;"",ISNUMBER(AW4)),1,0)</f>
        <v/>
      </c>
      <c r="BI4">
        <f>IF(BH4=0,0,IF(AND(AW4&gt;='Tasks Filter'!$F$3,AW4&lt;='Tasks Filter'!$F$4,OR('Tasks Filter'!$I$3="",ISNUMBER(SEARCH('Tasks Filter'!$I$3,AU4))),OR('Tasks Filter'!$I$4="",BF4=IFERROR(MATCH('Tasks Filter'!$I$4,Setup!$L$6:$L$9,0),0)),OR('Tasks Filter'!$I$5="Both",AND('Tasks Filter'!$I$5="Yes",BB4="✓"),AND('Tasks Filter'!$I$5="No",BB4&lt;&gt;"✓")),OR('Tasks Filter'!$L$3="",AV4='Tasks Filter'!$L$3),OR('Tasks Filter'!$L$4="",AZ4='Tasks Filter'!$L$4),OR('Tasks Filter'!$L$5="",BC4='Tasks Filter'!$L$5),OR('Tasks Filter'!$O$3="",BD4='Tasks Filter'!$O$3),OR('Tasks Filter'!$O$4="Yes",BG4=0)),1,0))</f>
        <v/>
      </c>
      <c r="BJ4">
        <f>IF(BH4=0,"",IF('Tasks Filter'!$F$6="Descending",-1,1)*CHOOSE(MATCH('Tasks Filter'!$F$5,Lists!$G$2:$G$6,0),AW4,BF4,IFERROR(MATCH(AV4,Setup!$F$6:$F$15,0),99),IFERROR(MATCH(BC4,Setup!$H$6:$H$15,0),99),IFERROR(MATCH(AZ4,Setup!$J$6:$J$11,0),99))*1E+9+(AW4-40000)*10000+3)</f>
        <v/>
      </c>
      <c r="BK4">
        <f>IF(BI4=1,BJ4,"")</f>
        <v/>
      </c>
      <c r="BL4">
        <f>IF(AND(BH4=1,BG4=0,N(AW4)&lt;Setup!$D$7),(AW4-40000)*10000+3,"")</f>
        <v/>
      </c>
      <c r="BM4">
        <f>IF(AND(BH4=1,AZ4&lt;&gt;"Cancelled",N(AW4)&gt;=Dashboard!$AB$3,N(AW4)&lt;=Dashboard!$AB$3+6),(AW4-40000)*100000+BF4*10000+3,"")</f>
        <v/>
      </c>
      <c r="BN4">
        <f>IF(AND(BH4=1,AZ4&lt;&gt;"Cancelled"),BF4*10000+3,"")</f>
        <v/>
      </c>
    </row>
    <row r="5">
      <c r="A5">
        <f>Setup!$D$5+3</f>
        <v/>
      </c>
      <c r="B5">
        <f>IF('Recurring Schedule'!$C$6="","",IF('Recurring Schedule'!$F$6="","",IF(OR($A5&lt;'Recurring Schedule'!$F$6,$A5&gt;'Recurring Schedule'!$P$6),"",IF(IF('Recurring Schedule'!$N$6&gt;0,MOD($A5-'Recurring Schedule'!$F$6,'Recurring Schedule'!$N$6)=0,IF('Recurring Schedule'!$O$6&gt;0,AND(DAY($A5)=MIN(DAY('Recurring Schedule'!$F$6),DAY(EOMONTH($A5,0))),MOD((YEAR($A5)-YEAR('Recurring Schedule'!$F$6))*12+MONTH($A5)-MONTH('Recurring Schedule'!$F$6),'Recurring Schedule'!$O$6)=0),IF('Recurring Schedule'!$E$6="Weekdays",WEEKDAY($A5,2)&lt;=5,$A5='Recurring Schedule'!$F$6))),1,""))))</f>
        <v/>
      </c>
      <c r="C5">
        <f>IF('Recurring Schedule'!$C$7="","",IF('Recurring Schedule'!$F$7="","",IF(OR($A5&lt;'Recurring Schedule'!$F$7,$A5&gt;'Recurring Schedule'!$P$7),"",IF(IF('Recurring Schedule'!$N$7&gt;0,MOD($A5-'Recurring Schedule'!$F$7,'Recurring Schedule'!$N$7)=0,IF('Recurring Schedule'!$O$7&gt;0,AND(DAY($A5)=MIN(DAY('Recurring Schedule'!$F$7),DAY(EOMONTH($A5,0))),MOD((YEAR($A5)-YEAR('Recurring Schedule'!$F$7))*12+MONTH($A5)-MONTH('Recurring Schedule'!$F$7),'Recurring Schedule'!$O$7)=0),IF('Recurring Schedule'!$E$7="Weekdays",WEEKDAY($A5,2)&lt;=5,$A5='Recurring Schedule'!$F$7))),2,""))))</f>
        <v/>
      </c>
      <c r="D5">
        <f>IF('Recurring Schedule'!$C$8="","",IF('Recurring Schedule'!$F$8="","",IF(OR($A5&lt;'Recurring Schedule'!$F$8,$A5&gt;'Recurring Schedule'!$P$8),"",IF(IF('Recurring Schedule'!$N$8&gt;0,MOD($A5-'Recurring Schedule'!$F$8,'Recurring Schedule'!$N$8)=0,IF('Recurring Schedule'!$O$8&gt;0,AND(DAY($A5)=MIN(DAY('Recurring Schedule'!$F$8),DAY(EOMONTH($A5,0))),MOD((YEAR($A5)-YEAR('Recurring Schedule'!$F$8))*12+MONTH($A5)-MONTH('Recurring Schedule'!$F$8),'Recurring Schedule'!$O$8)=0),IF('Recurring Schedule'!$E$8="Weekdays",WEEKDAY($A5,2)&lt;=5,$A5='Recurring Schedule'!$F$8))),3,""))))</f>
        <v/>
      </c>
      <c r="E5">
        <f>IF('Recurring Schedule'!$C$9="","",IF('Recurring Schedule'!$F$9="","",IF(OR($A5&lt;'Recurring Schedule'!$F$9,$A5&gt;'Recurring Schedule'!$P$9),"",IF(IF('Recurring Schedule'!$N$9&gt;0,MOD($A5-'Recurring Schedule'!$F$9,'Recurring Schedule'!$N$9)=0,IF('Recurring Schedule'!$O$9&gt;0,AND(DAY($A5)=MIN(DAY('Recurring Schedule'!$F$9),DAY(EOMONTH($A5,0))),MOD((YEAR($A5)-YEAR('Recurring Schedule'!$F$9))*12+MONTH($A5)-MONTH('Recurring Schedule'!$F$9),'Recurring Schedule'!$O$9)=0),IF('Recurring Schedule'!$E$9="Weekdays",WEEKDAY($A5,2)&lt;=5,$A5='Recurring Schedule'!$F$9))),4,""))))</f>
        <v/>
      </c>
      <c r="F5">
        <f>IF('Recurring Schedule'!$C$10="","",IF('Recurring Schedule'!$F$10="","",IF(OR($A5&lt;'Recurring Schedule'!$F$10,$A5&gt;'Recurring Schedule'!$P$10),"",IF(IF('Recurring Schedule'!$N$10&gt;0,MOD($A5-'Recurring Schedule'!$F$10,'Recurring Schedule'!$N$10)=0,IF('Recurring Schedule'!$O$10&gt;0,AND(DAY($A5)=MIN(DAY('Recurring Schedule'!$F$10),DAY(EOMONTH($A5,0))),MOD((YEAR($A5)-YEAR('Recurring Schedule'!$F$10))*12+MONTH($A5)-MONTH('Recurring Schedule'!$F$10),'Recurring Schedule'!$O$10)=0),IF('Recurring Schedule'!$E$10="Weekdays",WEEKDAY($A5,2)&lt;=5,$A5='Recurring Schedule'!$F$10))),5,""))))</f>
        <v/>
      </c>
      <c r="G5">
        <f>IF('Recurring Schedule'!$C$11="","",IF('Recurring Schedule'!$F$11="","",IF(OR($A5&lt;'Recurring Schedule'!$F$11,$A5&gt;'Recurring Schedule'!$P$11),"",IF(IF('Recurring Schedule'!$N$11&gt;0,MOD($A5-'Recurring Schedule'!$F$11,'Recurring Schedule'!$N$11)=0,IF('Recurring Schedule'!$O$11&gt;0,AND(DAY($A5)=MIN(DAY('Recurring Schedule'!$F$11),DAY(EOMONTH($A5,0))),MOD((YEAR($A5)-YEAR('Recurring Schedule'!$F$11))*12+MONTH($A5)-MONTH('Recurring Schedule'!$F$11),'Recurring Schedule'!$O$11)=0),IF('Recurring Schedule'!$E$11="Weekdays",WEEKDAY($A5,2)&lt;=5,$A5='Recurring Schedule'!$F$11))),6,""))))</f>
        <v/>
      </c>
      <c r="H5">
        <f>IF('Recurring Schedule'!$C$12="","",IF('Recurring Schedule'!$F$12="","",IF(OR($A5&lt;'Recurring Schedule'!$F$12,$A5&gt;'Recurring Schedule'!$P$12),"",IF(IF('Recurring Schedule'!$N$12&gt;0,MOD($A5-'Recurring Schedule'!$F$12,'Recurring Schedule'!$N$12)=0,IF('Recurring Schedule'!$O$12&gt;0,AND(DAY($A5)=MIN(DAY('Recurring Schedule'!$F$12),DAY(EOMONTH($A5,0))),MOD((YEAR($A5)-YEAR('Recurring Schedule'!$F$12))*12+MONTH($A5)-MONTH('Recurring Schedule'!$F$12),'Recurring Schedule'!$O$12)=0),IF('Recurring Schedule'!$E$12="Weekdays",WEEKDAY($A5,2)&lt;=5,$A5='Recurring Schedule'!$F$12))),7,""))))</f>
        <v/>
      </c>
      <c r="I5">
        <f>IF('Recurring Schedule'!$C$13="","",IF('Recurring Schedule'!$F$13="","",IF(OR($A5&lt;'Recurring Schedule'!$F$13,$A5&gt;'Recurring Schedule'!$P$13),"",IF(IF('Recurring Schedule'!$N$13&gt;0,MOD($A5-'Recurring Schedule'!$F$13,'Recurring Schedule'!$N$13)=0,IF('Recurring Schedule'!$O$13&gt;0,AND(DAY($A5)=MIN(DAY('Recurring Schedule'!$F$13),DAY(EOMONTH($A5,0))),MOD((YEAR($A5)-YEAR('Recurring Schedule'!$F$13))*12+MONTH($A5)-MONTH('Recurring Schedule'!$F$13),'Recurring Schedule'!$O$13)=0),IF('Recurring Schedule'!$E$13="Weekdays",WEEKDAY($A5,2)&lt;=5,$A5='Recurring Schedule'!$F$13))),8,""))))</f>
        <v/>
      </c>
      <c r="J5">
        <f>IF('Recurring Schedule'!$C$14="","",IF('Recurring Schedule'!$F$14="","",IF(OR($A5&lt;'Recurring Schedule'!$F$14,$A5&gt;'Recurring Schedule'!$P$14),"",IF(IF('Recurring Schedule'!$N$14&gt;0,MOD($A5-'Recurring Schedule'!$F$14,'Recurring Schedule'!$N$14)=0,IF('Recurring Schedule'!$O$14&gt;0,AND(DAY($A5)=MIN(DAY('Recurring Schedule'!$F$14),DAY(EOMONTH($A5,0))),MOD((YEAR($A5)-YEAR('Recurring Schedule'!$F$14))*12+MONTH($A5)-MONTH('Recurring Schedule'!$F$14),'Recurring Schedule'!$O$14)=0),IF('Recurring Schedule'!$E$14="Weekdays",WEEKDAY($A5,2)&lt;=5,$A5='Recurring Schedule'!$F$14))),9,""))))</f>
        <v/>
      </c>
      <c r="K5">
        <f>IF('Recurring Schedule'!$C$15="","",IF('Recurring Schedule'!$F$15="","",IF(OR($A5&lt;'Recurring Schedule'!$F$15,$A5&gt;'Recurring Schedule'!$P$15),"",IF(IF('Recurring Schedule'!$N$15&gt;0,MOD($A5-'Recurring Schedule'!$F$15,'Recurring Schedule'!$N$15)=0,IF('Recurring Schedule'!$O$15&gt;0,AND(DAY($A5)=MIN(DAY('Recurring Schedule'!$F$15),DAY(EOMONTH($A5,0))),MOD((YEAR($A5)-YEAR('Recurring Schedule'!$F$15))*12+MONTH($A5)-MONTH('Recurring Schedule'!$F$15),'Recurring Schedule'!$O$15)=0),IF('Recurring Schedule'!$E$15="Weekdays",WEEKDAY($A5,2)&lt;=5,$A5='Recurring Schedule'!$F$15))),10,""))))</f>
        <v/>
      </c>
      <c r="L5">
        <f>IF('Recurring Schedule'!$C$16="","",IF('Recurring Schedule'!$F$16="","",IF(OR($A5&lt;'Recurring Schedule'!$F$16,$A5&gt;'Recurring Schedule'!$P$16),"",IF(IF('Recurring Schedule'!$N$16&gt;0,MOD($A5-'Recurring Schedule'!$F$16,'Recurring Schedule'!$N$16)=0,IF('Recurring Schedule'!$O$16&gt;0,AND(DAY($A5)=MIN(DAY('Recurring Schedule'!$F$16),DAY(EOMONTH($A5,0))),MOD((YEAR($A5)-YEAR('Recurring Schedule'!$F$16))*12+MONTH($A5)-MONTH('Recurring Schedule'!$F$16),'Recurring Schedule'!$O$16)=0),IF('Recurring Schedule'!$E$16="Weekdays",WEEKDAY($A5,2)&lt;=5,$A5='Recurring Schedule'!$F$16))),11,""))))</f>
        <v/>
      </c>
      <c r="M5">
        <f>IF('Recurring Schedule'!$C$17="","",IF('Recurring Schedule'!$F$17="","",IF(OR($A5&lt;'Recurring Schedule'!$F$17,$A5&gt;'Recurring Schedule'!$P$17),"",IF(IF('Recurring Schedule'!$N$17&gt;0,MOD($A5-'Recurring Schedule'!$F$17,'Recurring Schedule'!$N$17)=0,IF('Recurring Schedule'!$O$17&gt;0,AND(DAY($A5)=MIN(DAY('Recurring Schedule'!$F$17),DAY(EOMONTH($A5,0))),MOD((YEAR($A5)-YEAR('Recurring Schedule'!$F$17))*12+MONTH($A5)-MONTH('Recurring Schedule'!$F$17),'Recurring Schedule'!$O$17)=0),IF('Recurring Schedule'!$E$17="Weekdays",WEEKDAY($A5,2)&lt;=5,$A5='Recurring Schedule'!$F$17))),12,""))))</f>
        <v/>
      </c>
      <c r="N5">
        <f>IF('Recurring Schedule'!$C$18="","",IF('Recurring Schedule'!$F$18="","",IF(OR($A5&lt;'Recurring Schedule'!$F$18,$A5&gt;'Recurring Schedule'!$P$18),"",IF(IF('Recurring Schedule'!$N$18&gt;0,MOD($A5-'Recurring Schedule'!$F$18,'Recurring Schedule'!$N$18)=0,IF('Recurring Schedule'!$O$18&gt;0,AND(DAY($A5)=MIN(DAY('Recurring Schedule'!$F$18),DAY(EOMONTH($A5,0))),MOD((YEAR($A5)-YEAR('Recurring Schedule'!$F$18))*12+MONTH($A5)-MONTH('Recurring Schedule'!$F$18),'Recurring Schedule'!$O$18)=0),IF('Recurring Schedule'!$E$18="Weekdays",WEEKDAY($A5,2)&lt;=5,$A5='Recurring Schedule'!$F$18))),13,""))))</f>
        <v/>
      </c>
      <c r="O5">
        <f>IF('Recurring Schedule'!$C$19="","",IF('Recurring Schedule'!$F$19="","",IF(OR($A5&lt;'Recurring Schedule'!$F$19,$A5&gt;'Recurring Schedule'!$P$19),"",IF(IF('Recurring Schedule'!$N$19&gt;0,MOD($A5-'Recurring Schedule'!$F$19,'Recurring Schedule'!$N$19)=0,IF('Recurring Schedule'!$O$19&gt;0,AND(DAY($A5)=MIN(DAY('Recurring Schedule'!$F$19),DAY(EOMONTH($A5,0))),MOD((YEAR($A5)-YEAR('Recurring Schedule'!$F$19))*12+MONTH($A5)-MONTH('Recurring Schedule'!$F$19),'Recurring Schedule'!$O$19)=0),IF('Recurring Schedule'!$E$19="Weekdays",WEEKDAY($A5,2)&lt;=5,$A5='Recurring Schedule'!$F$19))),14,""))))</f>
        <v/>
      </c>
      <c r="P5">
        <f>IF('Recurring Schedule'!$C$20="","",IF('Recurring Schedule'!$F$20="","",IF(OR($A5&lt;'Recurring Schedule'!$F$20,$A5&gt;'Recurring Schedule'!$P$20),"",IF(IF('Recurring Schedule'!$N$20&gt;0,MOD($A5-'Recurring Schedule'!$F$20,'Recurring Schedule'!$N$20)=0,IF('Recurring Schedule'!$O$20&gt;0,AND(DAY($A5)=MIN(DAY('Recurring Schedule'!$F$20),DAY(EOMONTH($A5,0))),MOD((YEAR($A5)-YEAR('Recurring Schedule'!$F$20))*12+MONTH($A5)-MONTH('Recurring Schedule'!$F$20),'Recurring Schedule'!$O$20)=0),IF('Recurring Schedule'!$E$20="Weekdays",WEEKDAY($A5,2)&lt;=5,$A5='Recurring Schedule'!$F$20))),15,""))))</f>
        <v/>
      </c>
      <c r="Q5">
        <f>IF('Recurring Schedule'!$C$21="","",IF('Recurring Schedule'!$F$21="","",IF(OR($A5&lt;'Recurring Schedule'!$F$21,$A5&gt;'Recurring Schedule'!$P$21),"",IF(IF('Recurring Schedule'!$N$21&gt;0,MOD($A5-'Recurring Schedule'!$F$21,'Recurring Schedule'!$N$21)=0,IF('Recurring Schedule'!$O$21&gt;0,AND(DAY($A5)=MIN(DAY('Recurring Schedule'!$F$21),DAY(EOMONTH($A5,0))),MOD((YEAR($A5)-YEAR('Recurring Schedule'!$F$21))*12+MONTH($A5)-MONTH('Recurring Schedule'!$F$21),'Recurring Schedule'!$O$21)=0),IF('Recurring Schedule'!$E$21="Weekdays",WEEKDAY($A5,2)&lt;=5,$A5='Recurring Schedule'!$F$21))),16,""))))</f>
        <v/>
      </c>
      <c r="R5">
        <f>IF('Recurring Schedule'!$C$22="","",IF('Recurring Schedule'!$F$22="","",IF(OR($A5&lt;'Recurring Schedule'!$F$22,$A5&gt;'Recurring Schedule'!$P$22),"",IF(IF('Recurring Schedule'!$N$22&gt;0,MOD($A5-'Recurring Schedule'!$F$22,'Recurring Schedule'!$N$22)=0,IF('Recurring Schedule'!$O$22&gt;0,AND(DAY($A5)=MIN(DAY('Recurring Schedule'!$F$22),DAY(EOMONTH($A5,0))),MOD((YEAR($A5)-YEAR('Recurring Schedule'!$F$22))*12+MONTH($A5)-MONTH('Recurring Schedule'!$F$22),'Recurring Schedule'!$O$22)=0),IF('Recurring Schedule'!$E$22="Weekdays",WEEKDAY($A5,2)&lt;=5,$A5='Recurring Schedule'!$F$22))),17,""))))</f>
        <v/>
      </c>
      <c r="S5">
        <f>IF('Recurring Schedule'!$C$23="","",IF('Recurring Schedule'!$F$23="","",IF(OR($A5&lt;'Recurring Schedule'!$F$23,$A5&gt;'Recurring Schedule'!$P$23),"",IF(IF('Recurring Schedule'!$N$23&gt;0,MOD($A5-'Recurring Schedule'!$F$23,'Recurring Schedule'!$N$23)=0,IF('Recurring Schedule'!$O$23&gt;0,AND(DAY($A5)=MIN(DAY('Recurring Schedule'!$F$23),DAY(EOMONTH($A5,0))),MOD((YEAR($A5)-YEAR('Recurring Schedule'!$F$23))*12+MONTH($A5)-MONTH('Recurring Schedule'!$F$23),'Recurring Schedule'!$O$23)=0),IF('Recurring Schedule'!$E$23="Weekdays",WEEKDAY($A5,2)&lt;=5,$A5='Recurring Schedule'!$F$23))),18,""))))</f>
        <v/>
      </c>
      <c r="T5">
        <f>IF('Recurring Schedule'!$C$24="","",IF('Recurring Schedule'!$F$24="","",IF(OR($A5&lt;'Recurring Schedule'!$F$24,$A5&gt;'Recurring Schedule'!$P$24),"",IF(IF('Recurring Schedule'!$N$24&gt;0,MOD($A5-'Recurring Schedule'!$F$24,'Recurring Schedule'!$N$24)=0,IF('Recurring Schedule'!$O$24&gt;0,AND(DAY($A5)=MIN(DAY('Recurring Schedule'!$F$24),DAY(EOMONTH($A5,0))),MOD((YEAR($A5)-YEAR('Recurring Schedule'!$F$24))*12+MONTH($A5)-MONTH('Recurring Schedule'!$F$24),'Recurring Schedule'!$O$24)=0),IF('Recurring Schedule'!$E$24="Weekdays",WEEKDAY($A5,2)&lt;=5,$A5='Recurring Schedule'!$F$24))),19,""))))</f>
        <v/>
      </c>
      <c r="U5">
        <f>IF('Recurring Schedule'!$C$25="","",IF('Recurring Schedule'!$F$25="","",IF(OR($A5&lt;'Recurring Schedule'!$F$25,$A5&gt;'Recurring Schedule'!$P$25),"",IF(IF('Recurring Schedule'!$N$25&gt;0,MOD($A5-'Recurring Schedule'!$F$25,'Recurring Schedule'!$N$25)=0,IF('Recurring Schedule'!$O$25&gt;0,AND(DAY($A5)=MIN(DAY('Recurring Schedule'!$F$25),DAY(EOMONTH($A5,0))),MOD((YEAR($A5)-YEAR('Recurring Schedule'!$F$25))*12+MONTH($A5)-MONTH('Recurring Schedule'!$F$25),'Recurring Schedule'!$O$25)=0),IF('Recurring Schedule'!$E$25="Weekdays",WEEKDAY($A5,2)&lt;=5,$A5='Recurring Schedule'!$F$25))),20,""))))</f>
        <v/>
      </c>
      <c r="V5">
        <f>IF('Recurring Schedule'!$C$26="","",IF('Recurring Schedule'!$F$26="","",IF(OR($A5&lt;'Recurring Schedule'!$F$26,$A5&gt;'Recurring Schedule'!$P$26),"",IF(IF('Recurring Schedule'!$N$26&gt;0,MOD($A5-'Recurring Schedule'!$F$26,'Recurring Schedule'!$N$26)=0,IF('Recurring Schedule'!$O$26&gt;0,AND(DAY($A5)=MIN(DAY('Recurring Schedule'!$F$26),DAY(EOMONTH($A5,0))),MOD((YEAR($A5)-YEAR('Recurring Schedule'!$F$26))*12+MONTH($A5)-MONTH('Recurring Schedule'!$F$26),'Recurring Schedule'!$O$26)=0),IF('Recurring Schedule'!$E$26="Weekdays",WEEKDAY($A5,2)&lt;=5,$A5='Recurring Schedule'!$F$26))),21,""))))</f>
        <v/>
      </c>
      <c r="W5">
        <f>IF('Recurring Schedule'!$C$27="","",IF('Recurring Schedule'!$F$27="","",IF(OR($A5&lt;'Recurring Schedule'!$F$27,$A5&gt;'Recurring Schedule'!$P$27),"",IF(IF('Recurring Schedule'!$N$27&gt;0,MOD($A5-'Recurring Schedule'!$F$27,'Recurring Schedule'!$N$27)=0,IF('Recurring Schedule'!$O$27&gt;0,AND(DAY($A5)=MIN(DAY('Recurring Schedule'!$F$27),DAY(EOMONTH($A5,0))),MOD((YEAR($A5)-YEAR('Recurring Schedule'!$F$27))*12+MONTH($A5)-MONTH('Recurring Schedule'!$F$27),'Recurring Schedule'!$O$27)=0),IF('Recurring Schedule'!$E$27="Weekdays",WEEKDAY($A5,2)&lt;=5,$A5='Recurring Schedule'!$F$27))),22,""))))</f>
        <v/>
      </c>
      <c r="X5">
        <f>IF('Recurring Schedule'!$C$28="","",IF('Recurring Schedule'!$F$28="","",IF(OR($A5&lt;'Recurring Schedule'!$F$28,$A5&gt;'Recurring Schedule'!$P$28),"",IF(IF('Recurring Schedule'!$N$28&gt;0,MOD($A5-'Recurring Schedule'!$F$28,'Recurring Schedule'!$N$28)=0,IF('Recurring Schedule'!$O$28&gt;0,AND(DAY($A5)=MIN(DAY('Recurring Schedule'!$F$28),DAY(EOMONTH($A5,0))),MOD((YEAR($A5)-YEAR('Recurring Schedule'!$F$28))*12+MONTH($A5)-MONTH('Recurring Schedule'!$F$28),'Recurring Schedule'!$O$28)=0),IF('Recurring Schedule'!$E$28="Weekdays",WEEKDAY($A5,2)&lt;=5,$A5='Recurring Schedule'!$F$28))),23,""))))</f>
        <v/>
      </c>
      <c r="Y5">
        <f>IF('Recurring Schedule'!$C$29="","",IF('Recurring Schedule'!$F$29="","",IF(OR($A5&lt;'Recurring Schedule'!$F$29,$A5&gt;'Recurring Schedule'!$P$29),"",IF(IF('Recurring Schedule'!$N$29&gt;0,MOD($A5-'Recurring Schedule'!$F$29,'Recurring Schedule'!$N$29)=0,IF('Recurring Schedule'!$O$29&gt;0,AND(DAY($A5)=MIN(DAY('Recurring Schedule'!$F$29),DAY(EOMONTH($A5,0))),MOD((YEAR($A5)-YEAR('Recurring Schedule'!$F$29))*12+MONTH($A5)-MONTH('Recurring Schedule'!$F$29),'Recurring Schedule'!$O$29)=0),IF('Recurring Schedule'!$E$29="Weekdays",WEEKDAY($A5,2)&lt;=5,$A5='Recurring Schedule'!$F$29))),24,""))))</f>
        <v/>
      </c>
      <c r="Z5">
        <f>IF('Recurring Schedule'!$C$30="","",IF('Recurring Schedule'!$F$30="","",IF(OR($A5&lt;'Recurring Schedule'!$F$30,$A5&gt;'Recurring Schedule'!$P$30),"",IF(IF('Recurring Schedule'!$N$30&gt;0,MOD($A5-'Recurring Schedule'!$F$30,'Recurring Schedule'!$N$30)=0,IF('Recurring Schedule'!$O$30&gt;0,AND(DAY($A5)=MIN(DAY('Recurring Schedule'!$F$30),DAY(EOMONTH($A5,0))),MOD((YEAR($A5)-YEAR('Recurring Schedule'!$F$30))*12+MONTH($A5)-MONTH('Recurring Schedule'!$F$30),'Recurring Schedule'!$O$30)=0),IF('Recurring Schedule'!$E$30="Weekdays",WEEKDAY($A5,2)&lt;=5,$A5='Recurring Schedule'!$F$30))),25,""))))</f>
        <v/>
      </c>
      <c r="AA5">
        <f>IF('Recurring Schedule'!$C$31="","",IF('Recurring Schedule'!$F$31="","",IF(OR($A5&lt;'Recurring Schedule'!$F$31,$A5&gt;'Recurring Schedule'!$P$31),"",IF(IF('Recurring Schedule'!$N$31&gt;0,MOD($A5-'Recurring Schedule'!$F$31,'Recurring Schedule'!$N$31)=0,IF('Recurring Schedule'!$O$31&gt;0,AND(DAY($A5)=MIN(DAY('Recurring Schedule'!$F$31),DAY(EOMONTH($A5,0))),MOD((YEAR($A5)-YEAR('Recurring Schedule'!$F$31))*12+MONTH($A5)-MONTH('Recurring Schedule'!$F$31),'Recurring Schedule'!$O$31)=0),IF('Recurring Schedule'!$E$31="Weekdays",WEEKDAY($A5,2)&lt;=5,$A5='Recurring Schedule'!$F$31))),26,""))))</f>
        <v/>
      </c>
      <c r="AB5">
        <f>IF('Recurring Schedule'!$C$32="","",IF('Recurring Schedule'!$F$32="","",IF(OR($A5&lt;'Recurring Schedule'!$F$32,$A5&gt;'Recurring Schedule'!$P$32),"",IF(IF('Recurring Schedule'!$N$32&gt;0,MOD($A5-'Recurring Schedule'!$F$32,'Recurring Schedule'!$N$32)=0,IF('Recurring Schedule'!$O$32&gt;0,AND(DAY($A5)=MIN(DAY('Recurring Schedule'!$F$32),DAY(EOMONTH($A5,0))),MOD((YEAR($A5)-YEAR('Recurring Schedule'!$F$32))*12+MONTH($A5)-MONTH('Recurring Schedule'!$F$32),'Recurring Schedule'!$O$32)=0),IF('Recurring Schedule'!$E$32="Weekdays",WEEKDAY($A5,2)&lt;=5,$A5='Recurring Schedule'!$F$32))),27,""))))</f>
        <v/>
      </c>
      <c r="AC5">
        <f>IF('Recurring Schedule'!$C$33="","",IF('Recurring Schedule'!$F$33="","",IF(OR($A5&lt;'Recurring Schedule'!$F$33,$A5&gt;'Recurring Schedule'!$P$33),"",IF(IF('Recurring Schedule'!$N$33&gt;0,MOD($A5-'Recurring Schedule'!$F$33,'Recurring Schedule'!$N$33)=0,IF('Recurring Schedule'!$O$33&gt;0,AND(DAY($A5)=MIN(DAY('Recurring Schedule'!$F$33),DAY(EOMONTH($A5,0))),MOD((YEAR($A5)-YEAR('Recurring Schedule'!$F$33))*12+MONTH($A5)-MONTH('Recurring Schedule'!$F$33),'Recurring Schedule'!$O$33)=0),IF('Recurring Schedule'!$E$33="Weekdays",WEEKDAY($A5,2)&lt;=5,$A5='Recurring Schedule'!$F$33))),28,""))))</f>
        <v/>
      </c>
      <c r="AD5">
        <f>IF('Recurring Schedule'!$C$34="","",IF('Recurring Schedule'!$F$34="","",IF(OR($A5&lt;'Recurring Schedule'!$F$34,$A5&gt;'Recurring Schedule'!$P$34),"",IF(IF('Recurring Schedule'!$N$34&gt;0,MOD($A5-'Recurring Schedule'!$F$34,'Recurring Schedule'!$N$34)=0,IF('Recurring Schedule'!$O$34&gt;0,AND(DAY($A5)=MIN(DAY('Recurring Schedule'!$F$34),DAY(EOMONTH($A5,0))),MOD((YEAR($A5)-YEAR('Recurring Schedule'!$F$34))*12+MONTH($A5)-MONTH('Recurring Schedule'!$F$34),'Recurring Schedule'!$O$34)=0),IF('Recurring Schedule'!$E$34="Weekdays",WEEKDAY($A5,2)&lt;=5,$A5='Recurring Schedule'!$F$34))),29,""))))</f>
        <v/>
      </c>
      <c r="AE5">
        <f>IF('Recurring Schedule'!$C$35="","",IF('Recurring Schedule'!$F$35="","",IF(OR($A5&lt;'Recurring Schedule'!$F$35,$A5&gt;'Recurring Schedule'!$P$35),"",IF(IF('Recurring Schedule'!$N$35&gt;0,MOD($A5-'Recurring Schedule'!$F$35,'Recurring Schedule'!$N$35)=0,IF('Recurring Schedule'!$O$35&gt;0,AND(DAY($A5)=MIN(DAY('Recurring Schedule'!$F$35),DAY(EOMONTH($A5,0))),MOD((YEAR($A5)-YEAR('Recurring Schedule'!$F$35))*12+MONTH($A5)-MONTH('Recurring Schedule'!$F$35),'Recurring Schedule'!$O$35)=0),IF('Recurring Schedule'!$E$35="Weekdays",WEEKDAY($A5,2)&lt;=5,$A5='Recurring Schedule'!$F$35))),30,""))))</f>
        <v/>
      </c>
      <c r="AF5">
        <f>IF('Recurring Schedule'!$C$36="","",IF('Recurring Schedule'!$F$36="","",IF(OR($A5&lt;'Recurring Schedule'!$F$36,$A5&gt;'Recurring Schedule'!$P$36),"",IF(IF('Recurring Schedule'!$N$36&gt;0,MOD($A5-'Recurring Schedule'!$F$36,'Recurring Schedule'!$N$36)=0,IF('Recurring Schedule'!$O$36&gt;0,AND(DAY($A5)=MIN(DAY('Recurring Schedule'!$F$36),DAY(EOMONTH($A5,0))),MOD((YEAR($A5)-YEAR('Recurring Schedule'!$F$36))*12+MONTH($A5)-MONTH('Recurring Schedule'!$F$36),'Recurring Schedule'!$O$36)=0),IF('Recurring Schedule'!$E$36="Weekdays",WEEKDAY($A5,2)&lt;=5,$A5='Recurring Schedule'!$F$36))),31,""))))</f>
        <v/>
      </c>
      <c r="AG5">
        <f>IF('Recurring Schedule'!$C$37="","",IF('Recurring Schedule'!$F$37="","",IF(OR($A5&lt;'Recurring Schedule'!$F$37,$A5&gt;'Recurring Schedule'!$P$37),"",IF(IF('Recurring Schedule'!$N$37&gt;0,MOD($A5-'Recurring Schedule'!$F$37,'Recurring Schedule'!$N$37)=0,IF('Recurring Schedule'!$O$37&gt;0,AND(DAY($A5)=MIN(DAY('Recurring Schedule'!$F$37),DAY(EOMONTH($A5,0))),MOD((YEAR($A5)-YEAR('Recurring Schedule'!$F$37))*12+MONTH($A5)-MONTH('Recurring Schedule'!$F$37),'Recurring Schedule'!$O$37)=0),IF('Recurring Schedule'!$E$37="Weekdays",WEEKDAY($A5,2)&lt;=5,$A5='Recurring Schedule'!$F$37))),32,""))))</f>
        <v/>
      </c>
      <c r="AH5">
        <f>IF('Recurring Schedule'!$C$38="","",IF('Recurring Schedule'!$F$38="","",IF(OR($A5&lt;'Recurring Schedule'!$F$38,$A5&gt;'Recurring Schedule'!$P$38),"",IF(IF('Recurring Schedule'!$N$38&gt;0,MOD($A5-'Recurring Schedule'!$F$38,'Recurring Schedule'!$N$38)=0,IF('Recurring Schedule'!$O$38&gt;0,AND(DAY($A5)=MIN(DAY('Recurring Schedule'!$F$38),DAY(EOMONTH($A5,0))),MOD((YEAR($A5)-YEAR('Recurring Schedule'!$F$38))*12+MONTH($A5)-MONTH('Recurring Schedule'!$F$38),'Recurring Schedule'!$O$38)=0),IF('Recurring Schedule'!$E$38="Weekdays",WEEKDAY($A5,2)&lt;=5,$A5='Recurring Schedule'!$F$38))),33,""))))</f>
        <v/>
      </c>
      <c r="AI5">
        <f>IF('Recurring Schedule'!$C$39="","",IF('Recurring Schedule'!$F$39="","",IF(OR($A5&lt;'Recurring Schedule'!$F$39,$A5&gt;'Recurring Schedule'!$P$39),"",IF(IF('Recurring Schedule'!$N$39&gt;0,MOD($A5-'Recurring Schedule'!$F$39,'Recurring Schedule'!$N$39)=0,IF('Recurring Schedule'!$O$39&gt;0,AND(DAY($A5)=MIN(DAY('Recurring Schedule'!$F$39),DAY(EOMONTH($A5,0))),MOD((YEAR($A5)-YEAR('Recurring Schedule'!$F$39))*12+MONTH($A5)-MONTH('Recurring Schedule'!$F$39),'Recurring Schedule'!$O$39)=0),IF('Recurring Schedule'!$E$39="Weekdays",WEEKDAY($A5,2)&lt;=5,$A5='Recurring Schedule'!$F$39))),34,""))))</f>
        <v/>
      </c>
      <c r="AJ5">
        <f>IF('Recurring Schedule'!$C$40="","",IF('Recurring Schedule'!$F$40="","",IF(OR($A5&lt;'Recurring Schedule'!$F$40,$A5&gt;'Recurring Schedule'!$P$40),"",IF(IF('Recurring Schedule'!$N$40&gt;0,MOD($A5-'Recurring Schedule'!$F$40,'Recurring Schedule'!$N$40)=0,IF('Recurring Schedule'!$O$40&gt;0,AND(DAY($A5)=MIN(DAY('Recurring Schedule'!$F$40),DAY(EOMONTH($A5,0))),MOD((YEAR($A5)-YEAR('Recurring Schedule'!$F$40))*12+MONTH($A5)-MONTH('Recurring Schedule'!$F$40),'Recurring Schedule'!$O$40)=0),IF('Recurring Schedule'!$E$40="Weekdays",WEEKDAY($A5,2)&lt;=5,$A5='Recurring Schedule'!$F$40))),35,""))))</f>
        <v/>
      </c>
      <c r="AK5">
        <f>IF('Recurring Schedule'!$C$41="","",IF('Recurring Schedule'!$F$41="","",IF(OR($A5&lt;'Recurring Schedule'!$F$41,$A5&gt;'Recurring Schedule'!$P$41),"",IF(IF('Recurring Schedule'!$N$41&gt;0,MOD($A5-'Recurring Schedule'!$F$41,'Recurring Schedule'!$N$41)=0,IF('Recurring Schedule'!$O$41&gt;0,AND(DAY($A5)=MIN(DAY('Recurring Schedule'!$F$41),DAY(EOMONTH($A5,0))),MOD((YEAR($A5)-YEAR('Recurring Schedule'!$F$41))*12+MONTH($A5)-MONTH('Recurring Schedule'!$F$41),'Recurring Schedule'!$O$41)=0),IF('Recurring Schedule'!$E$41="Weekdays",WEEKDAY($A5,2)&lt;=5,$A5='Recurring Schedule'!$F$41))),36,""))))</f>
        <v/>
      </c>
      <c r="AL5">
        <f>IF('Recurring Schedule'!$C$42="","",IF('Recurring Schedule'!$F$42="","",IF(OR($A5&lt;'Recurring Schedule'!$F$42,$A5&gt;'Recurring Schedule'!$P$42),"",IF(IF('Recurring Schedule'!$N$42&gt;0,MOD($A5-'Recurring Schedule'!$F$42,'Recurring Schedule'!$N$42)=0,IF('Recurring Schedule'!$O$42&gt;0,AND(DAY($A5)=MIN(DAY('Recurring Schedule'!$F$42),DAY(EOMONTH($A5,0))),MOD((YEAR($A5)-YEAR('Recurring Schedule'!$F$42))*12+MONTH($A5)-MONTH('Recurring Schedule'!$F$42),'Recurring Schedule'!$O$42)=0),IF('Recurring Schedule'!$E$42="Weekdays",WEEKDAY($A5,2)&lt;=5,$A5='Recurring Schedule'!$F$42))),37,""))))</f>
        <v/>
      </c>
      <c r="AM5">
        <f>IF('Recurring Schedule'!$C$43="","",IF('Recurring Schedule'!$F$43="","",IF(OR($A5&lt;'Recurring Schedule'!$F$43,$A5&gt;'Recurring Schedule'!$P$43),"",IF(IF('Recurring Schedule'!$N$43&gt;0,MOD($A5-'Recurring Schedule'!$F$43,'Recurring Schedule'!$N$43)=0,IF('Recurring Schedule'!$O$43&gt;0,AND(DAY($A5)=MIN(DAY('Recurring Schedule'!$F$43),DAY(EOMONTH($A5,0))),MOD((YEAR($A5)-YEAR('Recurring Schedule'!$F$43))*12+MONTH($A5)-MONTH('Recurring Schedule'!$F$43),'Recurring Schedule'!$O$43)=0),IF('Recurring Schedule'!$E$43="Weekdays",WEEKDAY($A5,2)&lt;=5,$A5='Recurring Schedule'!$F$43))),38,""))))</f>
        <v/>
      </c>
      <c r="AN5">
        <f>IF('Recurring Schedule'!$C$44="","",IF('Recurring Schedule'!$F$44="","",IF(OR($A5&lt;'Recurring Schedule'!$F$44,$A5&gt;'Recurring Schedule'!$P$44),"",IF(IF('Recurring Schedule'!$N$44&gt;0,MOD($A5-'Recurring Schedule'!$F$44,'Recurring Schedule'!$N$44)=0,IF('Recurring Schedule'!$O$44&gt;0,AND(DAY($A5)=MIN(DAY('Recurring Schedule'!$F$44),DAY(EOMONTH($A5,0))),MOD((YEAR($A5)-YEAR('Recurring Schedule'!$F$44))*12+MONTH($A5)-MONTH('Recurring Schedule'!$F$44),'Recurring Schedule'!$O$44)=0),IF('Recurring Schedule'!$E$44="Weekdays",WEEKDAY($A5,2)&lt;=5,$A5='Recurring Schedule'!$F$44))),39,""))))</f>
        <v/>
      </c>
      <c r="AO5">
        <f>IF('Recurring Schedule'!$C$45="","",IF('Recurring Schedule'!$F$45="","",IF(OR($A5&lt;'Recurring Schedule'!$F$45,$A5&gt;'Recurring Schedule'!$P$45),"",IF(IF('Recurring Schedule'!$N$45&gt;0,MOD($A5-'Recurring Schedule'!$F$45,'Recurring Schedule'!$N$45)=0,IF('Recurring Schedule'!$O$45&gt;0,AND(DAY($A5)=MIN(DAY('Recurring Schedule'!$F$45),DAY(EOMONTH($A5,0))),MOD((YEAR($A5)-YEAR('Recurring Schedule'!$F$45))*12+MONTH($A5)-MONTH('Recurring Schedule'!$F$45),'Recurring Schedule'!$O$45)=0),IF('Recurring Schedule'!$E$45="Weekdays",WEEKDAY($A5,2)&lt;=5,$A5='Recurring Schedule'!$F$45))),40,""))))</f>
        <v/>
      </c>
      <c r="AP5">
        <f>COUNT(B5:AO5)</f>
        <v/>
      </c>
      <c r="AQ5">
        <f>AQ4+AP4</f>
        <v/>
      </c>
      <c r="AS5" t="inlineStr">
        <is>
          <t>R</t>
        </is>
      </c>
      <c r="AT5" t="n">
        <v>9</v>
      </c>
      <c r="AU5">
        <f>'Recurring Log'!C9&amp;""</f>
        <v/>
      </c>
      <c r="AV5">
        <f>'Recurring Log'!D9&amp;""</f>
        <v/>
      </c>
      <c r="AW5">
        <f>IF('Recurring Log'!E9="","",'Recurring Log'!E9)</f>
        <v/>
      </c>
      <c r="AX5">
        <f>IF('Recurring Log'!G9="","",'Recurring Log'!G9)</f>
        <v/>
      </c>
      <c r="AY5">
        <f>IF('Recurring Log'!H9="","",'Recurring Log'!H9)</f>
        <v/>
      </c>
      <c r="AZ5">
        <f>IF(AU5="","",IF('Recurring Log'!J9="","Not Started",'Recurring Log'!J9))</f>
        <v/>
      </c>
      <c r="BA5">
        <f>'Recurring Log'!L9&amp;""</f>
        <v/>
      </c>
      <c r="BB5">
        <f>'Recurring Log'!M9&amp;""</f>
        <v/>
      </c>
      <c r="BC5">
        <f>'Recurring Log'!N9&amp;""</f>
        <v/>
      </c>
      <c r="BD5">
        <f>'Recurring Log'!O9&amp;""</f>
        <v/>
      </c>
      <c r="BE5">
        <f>IF('Recurring Log'!K9="","",'Recurring Log'!K9)</f>
        <v/>
      </c>
      <c r="BF5">
        <f>IFERROR(MATCH(BA5,Setup!$L$6:$L$9,0),5)</f>
        <v/>
      </c>
      <c r="BG5">
        <f>IF(OR(AZ5="Done",AZ5="Cancelled"),1,0)</f>
        <v/>
      </c>
      <c r="BH5">
        <f>IF(AND(AU5&lt;&gt;"",ISNUMBER(AW5)),1,0)</f>
        <v/>
      </c>
      <c r="BI5">
        <f>IF(BH5=0,0,IF(AND(AW5&gt;='Tasks Filter'!$F$3,AW5&lt;='Tasks Filter'!$F$4,OR('Tasks Filter'!$I$3="",ISNUMBER(SEARCH('Tasks Filter'!$I$3,AU5))),OR('Tasks Filter'!$I$4="",BF5=IFERROR(MATCH('Tasks Filter'!$I$4,Setup!$L$6:$L$9,0),0)),OR('Tasks Filter'!$I$5="Both",AND('Tasks Filter'!$I$5="Yes",BB5="✓"),AND('Tasks Filter'!$I$5="No",BB5&lt;&gt;"✓")),OR('Tasks Filter'!$L$3="",AV5='Tasks Filter'!$L$3),OR('Tasks Filter'!$L$4="",AZ5='Tasks Filter'!$L$4),OR('Tasks Filter'!$L$5="",BC5='Tasks Filter'!$L$5),OR('Tasks Filter'!$O$3="",BD5='Tasks Filter'!$O$3),OR('Tasks Filter'!$O$4="Yes",BG5=0)),1,0))</f>
        <v/>
      </c>
      <c r="BJ5">
        <f>IF(BH5=0,"",IF('Tasks Filter'!$F$6="Descending",-1,1)*CHOOSE(MATCH('Tasks Filter'!$F$5,Lists!$G$2:$G$6,0),AW5,BF5,IFERROR(MATCH(AV5,Setup!$F$6:$F$15,0),99),IFERROR(MATCH(BC5,Setup!$H$6:$H$15,0),99),IFERROR(MATCH(AZ5,Setup!$J$6:$J$11,0),99))*1E+9+(AW5-40000)*10000+4)</f>
        <v/>
      </c>
      <c r="BK5">
        <f>IF(BI5=1,BJ5,"")</f>
        <v/>
      </c>
      <c r="BL5">
        <f>IF(AND(BH5=1,BG5=0,N(AW5)&lt;Setup!$D$7),(AW5-40000)*10000+4,"")</f>
        <v/>
      </c>
      <c r="BM5">
        <f>IF(AND(BH5=1,AZ5&lt;&gt;"Cancelled",N(AW5)&gt;=Dashboard!$AB$3,N(AW5)&lt;=Dashboard!$AB$3+6),(AW5-40000)*100000+BF5*10000+4,"")</f>
        <v/>
      </c>
      <c r="BN5">
        <f>IF(AND(BH5=1,AZ5&lt;&gt;"Cancelled"),BF5*10000+4,"")</f>
        <v/>
      </c>
    </row>
    <row r="6">
      <c r="A6">
        <f>Setup!$D$5+4</f>
        <v/>
      </c>
      <c r="B6">
        <f>IF('Recurring Schedule'!$C$6="","",IF('Recurring Schedule'!$F$6="","",IF(OR($A6&lt;'Recurring Schedule'!$F$6,$A6&gt;'Recurring Schedule'!$P$6),"",IF(IF('Recurring Schedule'!$N$6&gt;0,MOD($A6-'Recurring Schedule'!$F$6,'Recurring Schedule'!$N$6)=0,IF('Recurring Schedule'!$O$6&gt;0,AND(DAY($A6)=MIN(DAY('Recurring Schedule'!$F$6),DAY(EOMONTH($A6,0))),MOD((YEAR($A6)-YEAR('Recurring Schedule'!$F$6))*12+MONTH($A6)-MONTH('Recurring Schedule'!$F$6),'Recurring Schedule'!$O$6)=0),IF('Recurring Schedule'!$E$6="Weekdays",WEEKDAY($A6,2)&lt;=5,$A6='Recurring Schedule'!$F$6))),1,""))))</f>
        <v/>
      </c>
      <c r="C6">
        <f>IF('Recurring Schedule'!$C$7="","",IF('Recurring Schedule'!$F$7="","",IF(OR($A6&lt;'Recurring Schedule'!$F$7,$A6&gt;'Recurring Schedule'!$P$7),"",IF(IF('Recurring Schedule'!$N$7&gt;0,MOD($A6-'Recurring Schedule'!$F$7,'Recurring Schedule'!$N$7)=0,IF('Recurring Schedule'!$O$7&gt;0,AND(DAY($A6)=MIN(DAY('Recurring Schedule'!$F$7),DAY(EOMONTH($A6,0))),MOD((YEAR($A6)-YEAR('Recurring Schedule'!$F$7))*12+MONTH($A6)-MONTH('Recurring Schedule'!$F$7),'Recurring Schedule'!$O$7)=0),IF('Recurring Schedule'!$E$7="Weekdays",WEEKDAY($A6,2)&lt;=5,$A6='Recurring Schedule'!$F$7))),2,""))))</f>
        <v/>
      </c>
      <c r="D6">
        <f>IF('Recurring Schedule'!$C$8="","",IF('Recurring Schedule'!$F$8="","",IF(OR($A6&lt;'Recurring Schedule'!$F$8,$A6&gt;'Recurring Schedule'!$P$8),"",IF(IF('Recurring Schedule'!$N$8&gt;0,MOD($A6-'Recurring Schedule'!$F$8,'Recurring Schedule'!$N$8)=0,IF('Recurring Schedule'!$O$8&gt;0,AND(DAY($A6)=MIN(DAY('Recurring Schedule'!$F$8),DAY(EOMONTH($A6,0))),MOD((YEAR($A6)-YEAR('Recurring Schedule'!$F$8))*12+MONTH($A6)-MONTH('Recurring Schedule'!$F$8),'Recurring Schedule'!$O$8)=0),IF('Recurring Schedule'!$E$8="Weekdays",WEEKDAY($A6,2)&lt;=5,$A6='Recurring Schedule'!$F$8))),3,""))))</f>
        <v/>
      </c>
      <c r="E6">
        <f>IF('Recurring Schedule'!$C$9="","",IF('Recurring Schedule'!$F$9="","",IF(OR($A6&lt;'Recurring Schedule'!$F$9,$A6&gt;'Recurring Schedule'!$P$9),"",IF(IF('Recurring Schedule'!$N$9&gt;0,MOD($A6-'Recurring Schedule'!$F$9,'Recurring Schedule'!$N$9)=0,IF('Recurring Schedule'!$O$9&gt;0,AND(DAY($A6)=MIN(DAY('Recurring Schedule'!$F$9),DAY(EOMONTH($A6,0))),MOD((YEAR($A6)-YEAR('Recurring Schedule'!$F$9))*12+MONTH($A6)-MONTH('Recurring Schedule'!$F$9),'Recurring Schedule'!$O$9)=0),IF('Recurring Schedule'!$E$9="Weekdays",WEEKDAY($A6,2)&lt;=5,$A6='Recurring Schedule'!$F$9))),4,""))))</f>
        <v/>
      </c>
      <c r="F6">
        <f>IF('Recurring Schedule'!$C$10="","",IF('Recurring Schedule'!$F$10="","",IF(OR($A6&lt;'Recurring Schedule'!$F$10,$A6&gt;'Recurring Schedule'!$P$10),"",IF(IF('Recurring Schedule'!$N$10&gt;0,MOD($A6-'Recurring Schedule'!$F$10,'Recurring Schedule'!$N$10)=0,IF('Recurring Schedule'!$O$10&gt;0,AND(DAY($A6)=MIN(DAY('Recurring Schedule'!$F$10),DAY(EOMONTH($A6,0))),MOD((YEAR($A6)-YEAR('Recurring Schedule'!$F$10))*12+MONTH($A6)-MONTH('Recurring Schedule'!$F$10),'Recurring Schedule'!$O$10)=0),IF('Recurring Schedule'!$E$10="Weekdays",WEEKDAY($A6,2)&lt;=5,$A6='Recurring Schedule'!$F$10))),5,""))))</f>
        <v/>
      </c>
      <c r="G6">
        <f>IF('Recurring Schedule'!$C$11="","",IF('Recurring Schedule'!$F$11="","",IF(OR($A6&lt;'Recurring Schedule'!$F$11,$A6&gt;'Recurring Schedule'!$P$11),"",IF(IF('Recurring Schedule'!$N$11&gt;0,MOD($A6-'Recurring Schedule'!$F$11,'Recurring Schedule'!$N$11)=0,IF('Recurring Schedule'!$O$11&gt;0,AND(DAY($A6)=MIN(DAY('Recurring Schedule'!$F$11),DAY(EOMONTH($A6,0))),MOD((YEAR($A6)-YEAR('Recurring Schedule'!$F$11))*12+MONTH($A6)-MONTH('Recurring Schedule'!$F$11),'Recurring Schedule'!$O$11)=0),IF('Recurring Schedule'!$E$11="Weekdays",WEEKDAY($A6,2)&lt;=5,$A6='Recurring Schedule'!$F$11))),6,""))))</f>
        <v/>
      </c>
      <c r="H6">
        <f>IF('Recurring Schedule'!$C$12="","",IF('Recurring Schedule'!$F$12="","",IF(OR($A6&lt;'Recurring Schedule'!$F$12,$A6&gt;'Recurring Schedule'!$P$12),"",IF(IF('Recurring Schedule'!$N$12&gt;0,MOD($A6-'Recurring Schedule'!$F$12,'Recurring Schedule'!$N$12)=0,IF('Recurring Schedule'!$O$12&gt;0,AND(DAY($A6)=MIN(DAY('Recurring Schedule'!$F$12),DAY(EOMONTH($A6,0))),MOD((YEAR($A6)-YEAR('Recurring Schedule'!$F$12))*12+MONTH($A6)-MONTH('Recurring Schedule'!$F$12),'Recurring Schedule'!$O$12)=0),IF('Recurring Schedule'!$E$12="Weekdays",WEEKDAY($A6,2)&lt;=5,$A6='Recurring Schedule'!$F$12))),7,""))))</f>
        <v/>
      </c>
      <c r="I6">
        <f>IF('Recurring Schedule'!$C$13="","",IF('Recurring Schedule'!$F$13="","",IF(OR($A6&lt;'Recurring Schedule'!$F$13,$A6&gt;'Recurring Schedule'!$P$13),"",IF(IF('Recurring Schedule'!$N$13&gt;0,MOD($A6-'Recurring Schedule'!$F$13,'Recurring Schedule'!$N$13)=0,IF('Recurring Schedule'!$O$13&gt;0,AND(DAY($A6)=MIN(DAY('Recurring Schedule'!$F$13),DAY(EOMONTH($A6,0))),MOD((YEAR($A6)-YEAR('Recurring Schedule'!$F$13))*12+MONTH($A6)-MONTH('Recurring Schedule'!$F$13),'Recurring Schedule'!$O$13)=0),IF('Recurring Schedule'!$E$13="Weekdays",WEEKDAY($A6,2)&lt;=5,$A6='Recurring Schedule'!$F$13))),8,""))))</f>
        <v/>
      </c>
      <c r="J6">
        <f>IF('Recurring Schedule'!$C$14="","",IF('Recurring Schedule'!$F$14="","",IF(OR($A6&lt;'Recurring Schedule'!$F$14,$A6&gt;'Recurring Schedule'!$P$14),"",IF(IF('Recurring Schedule'!$N$14&gt;0,MOD($A6-'Recurring Schedule'!$F$14,'Recurring Schedule'!$N$14)=0,IF('Recurring Schedule'!$O$14&gt;0,AND(DAY($A6)=MIN(DAY('Recurring Schedule'!$F$14),DAY(EOMONTH($A6,0))),MOD((YEAR($A6)-YEAR('Recurring Schedule'!$F$14))*12+MONTH($A6)-MONTH('Recurring Schedule'!$F$14),'Recurring Schedule'!$O$14)=0),IF('Recurring Schedule'!$E$14="Weekdays",WEEKDAY($A6,2)&lt;=5,$A6='Recurring Schedule'!$F$14))),9,""))))</f>
        <v/>
      </c>
      <c r="K6">
        <f>IF('Recurring Schedule'!$C$15="","",IF('Recurring Schedule'!$F$15="","",IF(OR($A6&lt;'Recurring Schedule'!$F$15,$A6&gt;'Recurring Schedule'!$P$15),"",IF(IF('Recurring Schedule'!$N$15&gt;0,MOD($A6-'Recurring Schedule'!$F$15,'Recurring Schedule'!$N$15)=0,IF('Recurring Schedule'!$O$15&gt;0,AND(DAY($A6)=MIN(DAY('Recurring Schedule'!$F$15),DAY(EOMONTH($A6,0))),MOD((YEAR($A6)-YEAR('Recurring Schedule'!$F$15))*12+MONTH($A6)-MONTH('Recurring Schedule'!$F$15),'Recurring Schedule'!$O$15)=0),IF('Recurring Schedule'!$E$15="Weekdays",WEEKDAY($A6,2)&lt;=5,$A6='Recurring Schedule'!$F$15))),10,""))))</f>
        <v/>
      </c>
      <c r="L6">
        <f>IF('Recurring Schedule'!$C$16="","",IF('Recurring Schedule'!$F$16="","",IF(OR($A6&lt;'Recurring Schedule'!$F$16,$A6&gt;'Recurring Schedule'!$P$16),"",IF(IF('Recurring Schedule'!$N$16&gt;0,MOD($A6-'Recurring Schedule'!$F$16,'Recurring Schedule'!$N$16)=0,IF('Recurring Schedule'!$O$16&gt;0,AND(DAY($A6)=MIN(DAY('Recurring Schedule'!$F$16),DAY(EOMONTH($A6,0))),MOD((YEAR($A6)-YEAR('Recurring Schedule'!$F$16))*12+MONTH($A6)-MONTH('Recurring Schedule'!$F$16),'Recurring Schedule'!$O$16)=0),IF('Recurring Schedule'!$E$16="Weekdays",WEEKDAY($A6,2)&lt;=5,$A6='Recurring Schedule'!$F$16))),11,""))))</f>
        <v/>
      </c>
      <c r="M6">
        <f>IF('Recurring Schedule'!$C$17="","",IF('Recurring Schedule'!$F$17="","",IF(OR($A6&lt;'Recurring Schedule'!$F$17,$A6&gt;'Recurring Schedule'!$P$17),"",IF(IF('Recurring Schedule'!$N$17&gt;0,MOD($A6-'Recurring Schedule'!$F$17,'Recurring Schedule'!$N$17)=0,IF('Recurring Schedule'!$O$17&gt;0,AND(DAY($A6)=MIN(DAY('Recurring Schedule'!$F$17),DAY(EOMONTH($A6,0))),MOD((YEAR($A6)-YEAR('Recurring Schedule'!$F$17))*12+MONTH($A6)-MONTH('Recurring Schedule'!$F$17),'Recurring Schedule'!$O$17)=0),IF('Recurring Schedule'!$E$17="Weekdays",WEEKDAY($A6,2)&lt;=5,$A6='Recurring Schedule'!$F$17))),12,""))))</f>
        <v/>
      </c>
      <c r="N6">
        <f>IF('Recurring Schedule'!$C$18="","",IF('Recurring Schedule'!$F$18="","",IF(OR($A6&lt;'Recurring Schedule'!$F$18,$A6&gt;'Recurring Schedule'!$P$18),"",IF(IF('Recurring Schedule'!$N$18&gt;0,MOD($A6-'Recurring Schedule'!$F$18,'Recurring Schedule'!$N$18)=0,IF('Recurring Schedule'!$O$18&gt;0,AND(DAY($A6)=MIN(DAY('Recurring Schedule'!$F$18),DAY(EOMONTH($A6,0))),MOD((YEAR($A6)-YEAR('Recurring Schedule'!$F$18))*12+MONTH($A6)-MONTH('Recurring Schedule'!$F$18),'Recurring Schedule'!$O$18)=0),IF('Recurring Schedule'!$E$18="Weekdays",WEEKDAY($A6,2)&lt;=5,$A6='Recurring Schedule'!$F$18))),13,""))))</f>
        <v/>
      </c>
      <c r="O6">
        <f>IF('Recurring Schedule'!$C$19="","",IF('Recurring Schedule'!$F$19="","",IF(OR($A6&lt;'Recurring Schedule'!$F$19,$A6&gt;'Recurring Schedule'!$P$19),"",IF(IF('Recurring Schedule'!$N$19&gt;0,MOD($A6-'Recurring Schedule'!$F$19,'Recurring Schedule'!$N$19)=0,IF('Recurring Schedule'!$O$19&gt;0,AND(DAY($A6)=MIN(DAY('Recurring Schedule'!$F$19),DAY(EOMONTH($A6,0))),MOD((YEAR($A6)-YEAR('Recurring Schedule'!$F$19))*12+MONTH($A6)-MONTH('Recurring Schedule'!$F$19),'Recurring Schedule'!$O$19)=0),IF('Recurring Schedule'!$E$19="Weekdays",WEEKDAY($A6,2)&lt;=5,$A6='Recurring Schedule'!$F$19))),14,""))))</f>
        <v/>
      </c>
      <c r="P6">
        <f>IF('Recurring Schedule'!$C$20="","",IF('Recurring Schedule'!$F$20="","",IF(OR($A6&lt;'Recurring Schedule'!$F$20,$A6&gt;'Recurring Schedule'!$P$20),"",IF(IF('Recurring Schedule'!$N$20&gt;0,MOD($A6-'Recurring Schedule'!$F$20,'Recurring Schedule'!$N$20)=0,IF('Recurring Schedule'!$O$20&gt;0,AND(DAY($A6)=MIN(DAY('Recurring Schedule'!$F$20),DAY(EOMONTH($A6,0))),MOD((YEAR($A6)-YEAR('Recurring Schedule'!$F$20))*12+MONTH($A6)-MONTH('Recurring Schedule'!$F$20),'Recurring Schedule'!$O$20)=0),IF('Recurring Schedule'!$E$20="Weekdays",WEEKDAY($A6,2)&lt;=5,$A6='Recurring Schedule'!$F$20))),15,""))))</f>
        <v/>
      </c>
      <c r="Q6">
        <f>IF('Recurring Schedule'!$C$21="","",IF('Recurring Schedule'!$F$21="","",IF(OR($A6&lt;'Recurring Schedule'!$F$21,$A6&gt;'Recurring Schedule'!$P$21),"",IF(IF('Recurring Schedule'!$N$21&gt;0,MOD($A6-'Recurring Schedule'!$F$21,'Recurring Schedule'!$N$21)=0,IF('Recurring Schedule'!$O$21&gt;0,AND(DAY($A6)=MIN(DAY('Recurring Schedule'!$F$21),DAY(EOMONTH($A6,0))),MOD((YEAR($A6)-YEAR('Recurring Schedule'!$F$21))*12+MONTH($A6)-MONTH('Recurring Schedule'!$F$21),'Recurring Schedule'!$O$21)=0),IF('Recurring Schedule'!$E$21="Weekdays",WEEKDAY($A6,2)&lt;=5,$A6='Recurring Schedule'!$F$21))),16,""))))</f>
        <v/>
      </c>
      <c r="R6">
        <f>IF('Recurring Schedule'!$C$22="","",IF('Recurring Schedule'!$F$22="","",IF(OR($A6&lt;'Recurring Schedule'!$F$22,$A6&gt;'Recurring Schedule'!$P$22),"",IF(IF('Recurring Schedule'!$N$22&gt;0,MOD($A6-'Recurring Schedule'!$F$22,'Recurring Schedule'!$N$22)=0,IF('Recurring Schedule'!$O$22&gt;0,AND(DAY($A6)=MIN(DAY('Recurring Schedule'!$F$22),DAY(EOMONTH($A6,0))),MOD((YEAR($A6)-YEAR('Recurring Schedule'!$F$22))*12+MONTH($A6)-MONTH('Recurring Schedule'!$F$22),'Recurring Schedule'!$O$22)=0),IF('Recurring Schedule'!$E$22="Weekdays",WEEKDAY($A6,2)&lt;=5,$A6='Recurring Schedule'!$F$22))),17,""))))</f>
        <v/>
      </c>
      <c r="S6">
        <f>IF('Recurring Schedule'!$C$23="","",IF('Recurring Schedule'!$F$23="","",IF(OR($A6&lt;'Recurring Schedule'!$F$23,$A6&gt;'Recurring Schedule'!$P$23),"",IF(IF('Recurring Schedule'!$N$23&gt;0,MOD($A6-'Recurring Schedule'!$F$23,'Recurring Schedule'!$N$23)=0,IF('Recurring Schedule'!$O$23&gt;0,AND(DAY($A6)=MIN(DAY('Recurring Schedule'!$F$23),DAY(EOMONTH($A6,0))),MOD((YEAR($A6)-YEAR('Recurring Schedule'!$F$23))*12+MONTH($A6)-MONTH('Recurring Schedule'!$F$23),'Recurring Schedule'!$O$23)=0),IF('Recurring Schedule'!$E$23="Weekdays",WEEKDAY($A6,2)&lt;=5,$A6='Recurring Schedule'!$F$23))),18,""))))</f>
        <v/>
      </c>
      <c r="T6">
        <f>IF('Recurring Schedule'!$C$24="","",IF('Recurring Schedule'!$F$24="","",IF(OR($A6&lt;'Recurring Schedule'!$F$24,$A6&gt;'Recurring Schedule'!$P$24),"",IF(IF('Recurring Schedule'!$N$24&gt;0,MOD($A6-'Recurring Schedule'!$F$24,'Recurring Schedule'!$N$24)=0,IF('Recurring Schedule'!$O$24&gt;0,AND(DAY($A6)=MIN(DAY('Recurring Schedule'!$F$24),DAY(EOMONTH($A6,0))),MOD((YEAR($A6)-YEAR('Recurring Schedule'!$F$24))*12+MONTH($A6)-MONTH('Recurring Schedule'!$F$24),'Recurring Schedule'!$O$24)=0),IF('Recurring Schedule'!$E$24="Weekdays",WEEKDAY($A6,2)&lt;=5,$A6='Recurring Schedule'!$F$24))),19,""))))</f>
        <v/>
      </c>
      <c r="U6">
        <f>IF('Recurring Schedule'!$C$25="","",IF('Recurring Schedule'!$F$25="","",IF(OR($A6&lt;'Recurring Schedule'!$F$25,$A6&gt;'Recurring Schedule'!$P$25),"",IF(IF('Recurring Schedule'!$N$25&gt;0,MOD($A6-'Recurring Schedule'!$F$25,'Recurring Schedule'!$N$25)=0,IF('Recurring Schedule'!$O$25&gt;0,AND(DAY($A6)=MIN(DAY('Recurring Schedule'!$F$25),DAY(EOMONTH($A6,0))),MOD((YEAR($A6)-YEAR('Recurring Schedule'!$F$25))*12+MONTH($A6)-MONTH('Recurring Schedule'!$F$25),'Recurring Schedule'!$O$25)=0),IF('Recurring Schedule'!$E$25="Weekdays",WEEKDAY($A6,2)&lt;=5,$A6='Recurring Schedule'!$F$25))),20,""))))</f>
        <v/>
      </c>
      <c r="V6">
        <f>IF('Recurring Schedule'!$C$26="","",IF('Recurring Schedule'!$F$26="","",IF(OR($A6&lt;'Recurring Schedule'!$F$26,$A6&gt;'Recurring Schedule'!$P$26),"",IF(IF('Recurring Schedule'!$N$26&gt;0,MOD($A6-'Recurring Schedule'!$F$26,'Recurring Schedule'!$N$26)=0,IF('Recurring Schedule'!$O$26&gt;0,AND(DAY($A6)=MIN(DAY('Recurring Schedule'!$F$26),DAY(EOMONTH($A6,0))),MOD((YEAR($A6)-YEAR('Recurring Schedule'!$F$26))*12+MONTH($A6)-MONTH('Recurring Schedule'!$F$26),'Recurring Schedule'!$O$26)=0),IF('Recurring Schedule'!$E$26="Weekdays",WEEKDAY($A6,2)&lt;=5,$A6='Recurring Schedule'!$F$26))),21,""))))</f>
        <v/>
      </c>
      <c r="W6">
        <f>IF('Recurring Schedule'!$C$27="","",IF('Recurring Schedule'!$F$27="","",IF(OR($A6&lt;'Recurring Schedule'!$F$27,$A6&gt;'Recurring Schedule'!$P$27),"",IF(IF('Recurring Schedule'!$N$27&gt;0,MOD($A6-'Recurring Schedule'!$F$27,'Recurring Schedule'!$N$27)=0,IF('Recurring Schedule'!$O$27&gt;0,AND(DAY($A6)=MIN(DAY('Recurring Schedule'!$F$27),DAY(EOMONTH($A6,0))),MOD((YEAR($A6)-YEAR('Recurring Schedule'!$F$27))*12+MONTH($A6)-MONTH('Recurring Schedule'!$F$27),'Recurring Schedule'!$O$27)=0),IF('Recurring Schedule'!$E$27="Weekdays",WEEKDAY($A6,2)&lt;=5,$A6='Recurring Schedule'!$F$27))),22,""))))</f>
        <v/>
      </c>
      <c r="X6">
        <f>IF('Recurring Schedule'!$C$28="","",IF('Recurring Schedule'!$F$28="","",IF(OR($A6&lt;'Recurring Schedule'!$F$28,$A6&gt;'Recurring Schedule'!$P$28),"",IF(IF('Recurring Schedule'!$N$28&gt;0,MOD($A6-'Recurring Schedule'!$F$28,'Recurring Schedule'!$N$28)=0,IF('Recurring Schedule'!$O$28&gt;0,AND(DAY($A6)=MIN(DAY('Recurring Schedule'!$F$28),DAY(EOMONTH($A6,0))),MOD((YEAR($A6)-YEAR('Recurring Schedule'!$F$28))*12+MONTH($A6)-MONTH('Recurring Schedule'!$F$28),'Recurring Schedule'!$O$28)=0),IF('Recurring Schedule'!$E$28="Weekdays",WEEKDAY($A6,2)&lt;=5,$A6='Recurring Schedule'!$F$28))),23,""))))</f>
        <v/>
      </c>
      <c r="Y6">
        <f>IF('Recurring Schedule'!$C$29="","",IF('Recurring Schedule'!$F$29="","",IF(OR($A6&lt;'Recurring Schedule'!$F$29,$A6&gt;'Recurring Schedule'!$P$29),"",IF(IF('Recurring Schedule'!$N$29&gt;0,MOD($A6-'Recurring Schedule'!$F$29,'Recurring Schedule'!$N$29)=0,IF('Recurring Schedule'!$O$29&gt;0,AND(DAY($A6)=MIN(DAY('Recurring Schedule'!$F$29),DAY(EOMONTH($A6,0))),MOD((YEAR($A6)-YEAR('Recurring Schedule'!$F$29))*12+MONTH($A6)-MONTH('Recurring Schedule'!$F$29),'Recurring Schedule'!$O$29)=0),IF('Recurring Schedule'!$E$29="Weekdays",WEEKDAY($A6,2)&lt;=5,$A6='Recurring Schedule'!$F$29))),24,""))))</f>
        <v/>
      </c>
      <c r="Z6">
        <f>IF('Recurring Schedule'!$C$30="","",IF('Recurring Schedule'!$F$30="","",IF(OR($A6&lt;'Recurring Schedule'!$F$30,$A6&gt;'Recurring Schedule'!$P$30),"",IF(IF('Recurring Schedule'!$N$30&gt;0,MOD($A6-'Recurring Schedule'!$F$30,'Recurring Schedule'!$N$30)=0,IF('Recurring Schedule'!$O$30&gt;0,AND(DAY($A6)=MIN(DAY('Recurring Schedule'!$F$30),DAY(EOMONTH($A6,0))),MOD((YEAR($A6)-YEAR('Recurring Schedule'!$F$30))*12+MONTH($A6)-MONTH('Recurring Schedule'!$F$30),'Recurring Schedule'!$O$30)=0),IF('Recurring Schedule'!$E$30="Weekdays",WEEKDAY($A6,2)&lt;=5,$A6='Recurring Schedule'!$F$30))),25,""))))</f>
        <v/>
      </c>
      <c r="AA6">
        <f>IF('Recurring Schedule'!$C$31="","",IF('Recurring Schedule'!$F$31="","",IF(OR($A6&lt;'Recurring Schedule'!$F$31,$A6&gt;'Recurring Schedule'!$P$31),"",IF(IF('Recurring Schedule'!$N$31&gt;0,MOD($A6-'Recurring Schedule'!$F$31,'Recurring Schedule'!$N$31)=0,IF('Recurring Schedule'!$O$31&gt;0,AND(DAY($A6)=MIN(DAY('Recurring Schedule'!$F$31),DAY(EOMONTH($A6,0))),MOD((YEAR($A6)-YEAR('Recurring Schedule'!$F$31))*12+MONTH($A6)-MONTH('Recurring Schedule'!$F$31),'Recurring Schedule'!$O$31)=0),IF('Recurring Schedule'!$E$31="Weekdays",WEEKDAY($A6,2)&lt;=5,$A6='Recurring Schedule'!$F$31))),26,""))))</f>
        <v/>
      </c>
      <c r="AB6">
        <f>IF('Recurring Schedule'!$C$32="","",IF('Recurring Schedule'!$F$32="","",IF(OR($A6&lt;'Recurring Schedule'!$F$32,$A6&gt;'Recurring Schedule'!$P$32),"",IF(IF('Recurring Schedule'!$N$32&gt;0,MOD($A6-'Recurring Schedule'!$F$32,'Recurring Schedule'!$N$32)=0,IF('Recurring Schedule'!$O$32&gt;0,AND(DAY($A6)=MIN(DAY('Recurring Schedule'!$F$32),DAY(EOMONTH($A6,0))),MOD((YEAR($A6)-YEAR('Recurring Schedule'!$F$32))*12+MONTH($A6)-MONTH('Recurring Schedule'!$F$32),'Recurring Schedule'!$O$32)=0),IF('Recurring Schedule'!$E$32="Weekdays",WEEKDAY($A6,2)&lt;=5,$A6='Recurring Schedule'!$F$32))),27,""))))</f>
        <v/>
      </c>
      <c r="AC6">
        <f>IF('Recurring Schedule'!$C$33="","",IF('Recurring Schedule'!$F$33="","",IF(OR($A6&lt;'Recurring Schedule'!$F$33,$A6&gt;'Recurring Schedule'!$P$33),"",IF(IF('Recurring Schedule'!$N$33&gt;0,MOD($A6-'Recurring Schedule'!$F$33,'Recurring Schedule'!$N$33)=0,IF('Recurring Schedule'!$O$33&gt;0,AND(DAY($A6)=MIN(DAY('Recurring Schedule'!$F$33),DAY(EOMONTH($A6,0))),MOD((YEAR($A6)-YEAR('Recurring Schedule'!$F$33))*12+MONTH($A6)-MONTH('Recurring Schedule'!$F$33),'Recurring Schedule'!$O$33)=0),IF('Recurring Schedule'!$E$33="Weekdays",WEEKDAY($A6,2)&lt;=5,$A6='Recurring Schedule'!$F$33))),28,""))))</f>
        <v/>
      </c>
      <c r="AD6">
        <f>IF('Recurring Schedule'!$C$34="","",IF('Recurring Schedule'!$F$34="","",IF(OR($A6&lt;'Recurring Schedule'!$F$34,$A6&gt;'Recurring Schedule'!$P$34),"",IF(IF('Recurring Schedule'!$N$34&gt;0,MOD($A6-'Recurring Schedule'!$F$34,'Recurring Schedule'!$N$34)=0,IF('Recurring Schedule'!$O$34&gt;0,AND(DAY($A6)=MIN(DAY('Recurring Schedule'!$F$34),DAY(EOMONTH($A6,0))),MOD((YEAR($A6)-YEAR('Recurring Schedule'!$F$34))*12+MONTH($A6)-MONTH('Recurring Schedule'!$F$34),'Recurring Schedule'!$O$34)=0),IF('Recurring Schedule'!$E$34="Weekdays",WEEKDAY($A6,2)&lt;=5,$A6='Recurring Schedule'!$F$34))),29,""))))</f>
        <v/>
      </c>
      <c r="AE6">
        <f>IF('Recurring Schedule'!$C$35="","",IF('Recurring Schedule'!$F$35="","",IF(OR($A6&lt;'Recurring Schedule'!$F$35,$A6&gt;'Recurring Schedule'!$P$35),"",IF(IF('Recurring Schedule'!$N$35&gt;0,MOD($A6-'Recurring Schedule'!$F$35,'Recurring Schedule'!$N$35)=0,IF('Recurring Schedule'!$O$35&gt;0,AND(DAY($A6)=MIN(DAY('Recurring Schedule'!$F$35),DAY(EOMONTH($A6,0))),MOD((YEAR($A6)-YEAR('Recurring Schedule'!$F$35))*12+MONTH($A6)-MONTH('Recurring Schedule'!$F$35),'Recurring Schedule'!$O$35)=0),IF('Recurring Schedule'!$E$35="Weekdays",WEEKDAY($A6,2)&lt;=5,$A6='Recurring Schedule'!$F$35))),30,""))))</f>
        <v/>
      </c>
      <c r="AF6">
        <f>IF('Recurring Schedule'!$C$36="","",IF('Recurring Schedule'!$F$36="","",IF(OR($A6&lt;'Recurring Schedule'!$F$36,$A6&gt;'Recurring Schedule'!$P$36),"",IF(IF('Recurring Schedule'!$N$36&gt;0,MOD($A6-'Recurring Schedule'!$F$36,'Recurring Schedule'!$N$36)=0,IF('Recurring Schedule'!$O$36&gt;0,AND(DAY($A6)=MIN(DAY('Recurring Schedule'!$F$36),DAY(EOMONTH($A6,0))),MOD((YEAR($A6)-YEAR('Recurring Schedule'!$F$36))*12+MONTH($A6)-MONTH('Recurring Schedule'!$F$36),'Recurring Schedule'!$O$36)=0),IF('Recurring Schedule'!$E$36="Weekdays",WEEKDAY($A6,2)&lt;=5,$A6='Recurring Schedule'!$F$36))),31,""))))</f>
        <v/>
      </c>
      <c r="AG6">
        <f>IF('Recurring Schedule'!$C$37="","",IF('Recurring Schedule'!$F$37="","",IF(OR($A6&lt;'Recurring Schedule'!$F$37,$A6&gt;'Recurring Schedule'!$P$37),"",IF(IF('Recurring Schedule'!$N$37&gt;0,MOD($A6-'Recurring Schedule'!$F$37,'Recurring Schedule'!$N$37)=0,IF('Recurring Schedule'!$O$37&gt;0,AND(DAY($A6)=MIN(DAY('Recurring Schedule'!$F$37),DAY(EOMONTH($A6,0))),MOD((YEAR($A6)-YEAR('Recurring Schedule'!$F$37))*12+MONTH($A6)-MONTH('Recurring Schedule'!$F$37),'Recurring Schedule'!$O$37)=0),IF('Recurring Schedule'!$E$37="Weekdays",WEEKDAY($A6,2)&lt;=5,$A6='Recurring Schedule'!$F$37))),32,""))))</f>
        <v/>
      </c>
      <c r="AH6">
        <f>IF('Recurring Schedule'!$C$38="","",IF('Recurring Schedule'!$F$38="","",IF(OR($A6&lt;'Recurring Schedule'!$F$38,$A6&gt;'Recurring Schedule'!$P$38),"",IF(IF('Recurring Schedule'!$N$38&gt;0,MOD($A6-'Recurring Schedule'!$F$38,'Recurring Schedule'!$N$38)=0,IF('Recurring Schedule'!$O$38&gt;0,AND(DAY($A6)=MIN(DAY('Recurring Schedule'!$F$38),DAY(EOMONTH($A6,0))),MOD((YEAR($A6)-YEAR('Recurring Schedule'!$F$38))*12+MONTH($A6)-MONTH('Recurring Schedule'!$F$38),'Recurring Schedule'!$O$38)=0),IF('Recurring Schedule'!$E$38="Weekdays",WEEKDAY($A6,2)&lt;=5,$A6='Recurring Schedule'!$F$38))),33,""))))</f>
        <v/>
      </c>
      <c r="AI6">
        <f>IF('Recurring Schedule'!$C$39="","",IF('Recurring Schedule'!$F$39="","",IF(OR($A6&lt;'Recurring Schedule'!$F$39,$A6&gt;'Recurring Schedule'!$P$39),"",IF(IF('Recurring Schedule'!$N$39&gt;0,MOD($A6-'Recurring Schedule'!$F$39,'Recurring Schedule'!$N$39)=0,IF('Recurring Schedule'!$O$39&gt;0,AND(DAY($A6)=MIN(DAY('Recurring Schedule'!$F$39),DAY(EOMONTH($A6,0))),MOD((YEAR($A6)-YEAR('Recurring Schedule'!$F$39))*12+MONTH($A6)-MONTH('Recurring Schedule'!$F$39),'Recurring Schedule'!$O$39)=0),IF('Recurring Schedule'!$E$39="Weekdays",WEEKDAY($A6,2)&lt;=5,$A6='Recurring Schedule'!$F$39))),34,""))))</f>
        <v/>
      </c>
      <c r="AJ6">
        <f>IF('Recurring Schedule'!$C$40="","",IF('Recurring Schedule'!$F$40="","",IF(OR($A6&lt;'Recurring Schedule'!$F$40,$A6&gt;'Recurring Schedule'!$P$40),"",IF(IF('Recurring Schedule'!$N$40&gt;0,MOD($A6-'Recurring Schedule'!$F$40,'Recurring Schedule'!$N$40)=0,IF('Recurring Schedule'!$O$40&gt;0,AND(DAY($A6)=MIN(DAY('Recurring Schedule'!$F$40),DAY(EOMONTH($A6,0))),MOD((YEAR($A6)-YEAR('Recurring Schedule'!$F$40))*12+MONTH($A6)-MONTH('Recurring Schedule'!$F$40),'Recurring Schedule'!$O$40)=0),IF('Recurring Schedule'!$E$40="Weekdays",WEEKDAY($A6,2)&lt;=5,$A6='Recurring Schedule'!$F$40))),35,""))))</f>
        <v/>
      </c>
      <c r="AK6">
        <f>IF('Recurring Schedule'!$C$41="","",IF('Recurring Schedule'!$F$41="","",IF(OR($A6&lt;'Recurring Schedule'!$F$41,$A6&gt;'Recurring Schedule'!$P$41),"",IF(IF('Recurring Schedule'!$N$41&gt;0,MOD($A6-'Recurring Schedule'!$F$41,'Recurring Schedule'!$N$41)=0,IF('Recurring Schedule'!$O$41&gt;0,AND(DAY($A6)=MIN(DAY('Recurring Schedule'!$F$41),DAY(EOMONTH($A6,0))),MOD((YEAR($A6)-YEAR('Recurring Schedule'!$F$41))*12+MONTH($A6)-MONTH('Recurring Schedule'!$F$41),'Recurring Schedule'!$O$41)=0),IF('Recurring Schedule'!$E$41="Weekdays",WEEKDAY($A6,2)&lt;=5,$A6='Recurring Schedule'!$F$41))),36,""))))</f>
        <v/>
      </c>
      <c r="AL6">
        <f>IF('Recurring Schedule'!$C$42="","",IF('Recurring Schedule'!$F$42="","",IF(OR($A6&lt;'Recurring Schedule'!$F$42,$A6&gt;'Recurring Schedule'!$P$42),"",IF(IF('Recurring Schedule'!$N$42&gt;0,MOD($A6-'Recurring Schedule'!$F$42,'Recurring Schedule'!$N$42)=0,IF('Recurring Schedule'!$O$42&gt;0,AND(DAY($A6)=MIN(DAY('Recurring Schedule'!$F$42),DAY(EOMONTH($A6,0))),MOD((YEAR($A6)-YEAR('Recurring Schedule'!$F$42))*12+MONTH($A6)-MONTH('Recurring Schedule'!$F$42),'Recurring Schedule'!$O$42)=0),IF('Recurring Schedule'!$E$42="Weekdays",WEEKDAY($A6,2)&lt;=5,$A6='Recurring Schedule'!$F$42))),37,""))))</f>
        <v/>
      </c>
      <c r="AM6">
        <f>IF('Recurring Schedule'!$C$43="","",IF('Recurring Schedule'!$F$43="","",IF(OR($A6&lt;'Recurring Schedule'!$F$43,$A6&gt;'Recurring Schedule'!$P$43),"",IF(IF('Recurring Schedule'!$N$43&gt;0,MOD($A6-'Recurring Schedule'!$F$43,'Recurring Schedule'!$N$43)=0,IF('Recurring Schedule'!$O$43&gt;0,AND(DAY($A6)=MIN(DAY('Recurring Schedule'!$F$43),DAY(EOMONTH($A6,0))),MOD((YEAR($A6)-YEAR('Recurring Schedule'!$F$43))*12+MONTH($A6)-MONTH('Recurring Schedule'!$F$43),'Recurring Schedule'!$O$43)=0),IF('Recurring Schedule'!$E$43="Weekdays",WEEKDAY($A6,2)&lt;=5,$A6='Recurring Schedule'!$F$43))),38,""))))</f>
        <v/>
      </c>
      <c r="AN6">
        <f>IF('Recurring Schedule'!$C$44="","",IF('Recurring Schedule'!$F$44="","",IF(OR($A6&lt;'Recurring Schedule'!$F$44,$A6&gt;'Recurring Schedule'!$P$44),"",IF(IF('Recurring Schedule'!$N$44&gt;0,MOD($A6-'Recurring Schedule'!$F$44,'Recurring Schedule'!$N$44)=0,IF('Recurring Schedule'!$O$44&gt;0,AND(DAY($A6)=MIN(DAY('Recurring Schedule'!$F$44),DAY(EOMONTH($A6,0))),MOD((YEAR($A6)-YEAR('Recurring Schedule'!$F$44))*12+MONTH($A6)-MONTH('Recurring Schedule'!$F$44),'Recurring Schedule'!$O$44)=0),IF('Recurring Schedule'!$E$44="Weekdays",WEEKDAY($A6,2)&lt;=5,$A6='Recurring Schedule'!$F$44))),39,""))))</f>
        <v/>
      </c>
      <c r="AO6">
        <f>IF('Recurring Schedule'!$C$45="","",IF('Recurring Schedule'!$F$45="","",IF(OR($A6&lt;'Recurring Schedule'!$F$45,$A6&gt;'Recurring Schedule'!$P$45),"",IF(IF('Recurring Schedule'!$N$45&gt;0,MOD($A6-'Recurring Schedule'!$F$45,'Recurring Schedule'!$N$45)=0,IF('Recurring Schedule'!$O$45&gt;0,AND(DAY($A6)=MIN(DAY('Recurring Schedule'!$F$45),DAY(EOMONTH($A6,0))),MOD((YEAR($A6)-YEAR('Recurring Schedule'!$F$45))*12+MONTH($A6)-MONTH('Recurring Schedule'!$F$45),'Recurring Schedule'!$O$45)=0),IF('Recurring Schedule'!$E$45="Weekdays",WEEKDAY($A6,2)&lt;=5,$A6='Recurring Schedule'!$F$45))),40,""))))</f>
        <v/>
      </c>
      <c r="AP6">
        <f>COUNT(B6:AO6)</f>
        <v/>
      </c>
      <c r="AQ6">
        <f>AQ5+AP5</f>
        <v/>
      </c>
      <c r="AS6" t="inlineStr">
        <is>
          <t>R</t>
        </is>
      </c>
      <c r="AT6" t="n">
        <v>10</v>
      </c>
      <c r="AU6">
        <f>'Recurring Log'!C10&amp;""</f>
        <v/>
      </c>
      <c r="AV6">
        <f>'Recurring Log'!D10&amp;""</f>
        <v/>
      </c>
      <c r="AW6">
        <f>IF('Recurring Log'!E10="","",'Recurring Log'!E10)</f>
        <v/>
      </c>
      <c r="AX6">
        <f>IF('Recurring Log'!G10="","",'Recurring Log'!G10)</f>
        <v/>
      </c>
      <c r="AY6">
        <f>IF('Recurring Log'!H10="","",'Recurring Log'!H10)</f>
        <v/>
      </c>
      <c r="AZ6">
        <f>IF(AU6="","",IF('Recurring Log'!J10="","Not Started",'Recurring Log'!J10))</f>
        <v/>
      </c>
      <c r="BA6">
        <f>'Recurring Log'!L10&amp;""</f>
        <v/>
      </c>
      <c r="BB6">
        <f>'Recurring Log'!M10&amp;""</f>
        <v/>
      </c>
      <c r="BC6">
        <f>'Recurring Log'!N10&amp;""</f>
        <v/>
      </c>
      <c r="BD6">
        <f>'Recurring Log'!O10&amp;""</f>
        <v/>
      </c>
      <c r="BE6">
        <f>IF('Recurring Log'!K10="","",'Recurring Log'!K10)</f>
        <v/>
      </c>
      <c r="BF6">
        <f>IFERROR(MATCH(BA6,Setup!$L$6:$L$9,0),5)</f>
        <v/>
      </c>
      <c r="BG6">
        <f>IF(OR(AZ6="Done",AZ6="Cancelled"),1,0)</f>
        <v/>
      </c>
      <c r="BH6">
        <f>IF(AND(AU6&lt;&gt;"",ISNUMBER(AW6)),1,0)</f>
        <v/>
      </c>
      <c r="BI6">
        <f>IF(BH6=0,0,IF(AND(AW6&gt;='Tasks Filter'!$F$3,AW6&lt;='Tasks Filter'!$F$4,OR('Tasks Filter'!$I$3="",ISNUMBER(SEARCH('Tasks Filter'!$I$3,AU6))),OR('Tasks Filter'!$I$4="",BF6=IFERROR(MATCH('Tasks Filter'!$I$4,Setup!$L$6:$L$9,0),0)),OR('Tasks Filter'!$I$5="Both",AND('Tasks Filter'!$I$5="Yes",BB6="✓"),AND('Tasks Filter'!$I$5="No",BB6&lt;&gt;"✓")),OR('Tasks Filter'!$L$3="",AV6='Tasks Filter'!$L$3),OR('Tasks Filter'!$L$4="",AZ6='Tasks Filter'!$L$4),OR('Tasks Filter'!$L$5="",BC6='Tasks Filter'!$L$5),OR('Tasks Filter'!$O$3="",BD6='Tasks Filter'!$O$3),OR('Tasks Filter'!$O$4="Yes",BG6=0)),1,0))</f>
        <v/>
      </c>
      <c r="BJ6">
        <f>IF(BH6=0,"",IF('Tasks Filter'!$F$6="Descending",-1,1)*CHOOSE(MATCH('Tasks Filter'!$F$5,Lists!$G$2:$G$6,0),AW6,BF6,IFERROR(MATCH(AV6,Setup!$F$6:$F$15,0),99),IFERROR(MATCH(BC6,Setup!$H$6:$H$15,0),99),IFERROR(MATCH(AZ6,Setup!$J$6:$J$11,0),99))*1E+9+(AW6-40000)*10000+5)</f>
        <v/>
      </c>
      <c r="BK6">
        <f>IF(BI6=1,BJ6,"")</f>
        <v/>
      </c>
      <c r="BL6">
        <f>IF(AND(BH6=1,BG6=0,N(AW6)&lt;Setup!$D$7),(AW6-40000)*10000+5,"")</f>
        <v/>
      </c>
      <c r="BM6">
        <f>IF(AND(BH6=1,AZ6&lt;&gt;"Cancelled",N(AW6)&gt;=Dashboard!$AB$3,N(AW6)&lt;=Dashboard!$AB$3+6),(AW6-40000)*100000+BF6*10000+5,"")</f>
        <v/>
      </c>
      <c r="BN6">
        <f>IF(AND(BH6=1,AZ6&lt;&gt;"Cancelled"),BF6*10000+5,"")</f>
        <v/>
      </c>
    </row>
    <row r="7">
      <c r="A7">
        <f>Setup!$D$5+5</f>
        <v/>
      </c>
      <c r="B7">
        <f>IF('Recurring Schedule'!$C$6="","",IF('Recurring Schedule'!$F$6="","",IF(OR($A7&lt;'Recurring Schedule'!$F$6,$A7&gt;'Recurring Schedule'!$P$6),"",IF(IF('Recurring Schedule'!$N$6&gt;0,MOD($A7-'Recurring Schedule'!$F$6,'Recurring Schedule'!$N$6)=0,IF('Recurring Schedule'!$O$6&gt;0,AND(DAY($A7)=MIN(DAY('Recurring Schedule'!$F$6),DAY(EOMONTH($A7,0))),MOD((YEAR($A7)-YEAR('Recurring Schedule'!$F$6))*12+MONTH($A7)-MONTH('Recurring Schedule'!$F$6),'Recurring Schedule'!$O$6)=0),IF('Recurring Schedule'!$E$6="Weekdays",WEEKDAY($A7,2)&lt;=5,$A7='Recurring Schedule'!$F$6))),1,""))))</f>
        <v/>
      </c>
      <c r="C7">
        <f>IF('Recurring Schedule'!$C$7="","",IF('Recurring Schedule'!$F$7="","",IF(OR($A7&lt;'Recurring Schedule'!$F$7,$A7&gt;'Recurring Schedule'!$P$7),"",IF(IF('Recurring Schedule'!$N$7&gt;0,MOD($A7-'Recurring Schedule'!$F$7,'Recurring Schedule'!$N$7)=0,IF('Recurring Schedule'!$O$7&gt;0,AND(DAY($A7)=MIN(DAY('Recurring Schedule'!$F$7),DAY(EOMONTH($A7,0))),MOD((YEAR($A7)-YEAR('Recurring Schedule'!$F$7))*12+MONTH($A7)-MONTH('Recurring Schedule'!$F$7),'Recurring Schedule'!$O$7)=0),IF('Recurring Schedule'!$E$7="Weekdays",WEEKDAY($A7,2)&lt;=5,$A7='Recurring Schedule'!$F$7))),2,""))))</f>
        <v/>
      </c>
      <c r="D7">
        <f>IF('Recurring Schedule'!$C$8="","",IF('Recurring Schedule'!$F$8="","",IF(OR($A7&lt;'Recurring Schedule'!$F$8,$A7&gt;'Recurring Schedule'!$P$8),"",IF(IF('Recurring Schedule'!$N$8&gt;0,MOD($A7-'Recurring Schedule'!$F$8,'Recurring Schedule'!$N$8)=0,IF('Recurring Schedule'!$O$8&gt;0,AND(DAY($A7)=MIN(DAY('Recurring Schedule'!$F$8),DAY(EOMONTH($A7,0))),MOD((YEAR($A7)-YEAR('Recurring Schedule'!$F$8))*12+MONTH($A7)-MONTH('Recurring Schedule'!$F$8),'Recurring Schedule'!$O$8)=0),IF('Recurring Schedule'!$E$8="Weekdays",WEEKDAY($A7,2)&lt;=5,$A7='Recurring Schedule'!$F$8))),3,""))))</f>
        <v/>
      </c>
      <c r="E7">
        <f>IF('Recurring Schedule'!$C$9="","",IF('Recurring Schedule'!$F$9="","",IF(OR($A7&lt;'Recurring Schedule'!$F$9,$A7&gt;'Recurring Schedule'!$P$9),"",IF(IF('Recurring Schedule'!$N$9&gt;0,MOD($A7-'Recurring Schedule'!$F$9,'Recurring Schedule'!$N$9)=0,IF('Recurring Schedule'!$O$9&gt;0,AND(DAY($A7)=MIN(DAY('Recurring Schedule'!$F$9),DAY(EOMONTH($A7,0))),MOD((YEAR($A7)-YEAR('Recurring Schedule'!$F$9))*12+MONTH($A7)-MONTH('Recurring Schedule'!$F$9),'Recurring Schedule'!$O$9)=0),IF('Recurring Schedule'!$E$9="Weekdays",WEEKDAY($A7,2)&lt;=5,$A7='Recurring Schedule'!$F$9))),4,""))))</f>
        <v/>
      </c>
      <c r="F7">
        <f>IF('Recurring Schedule'!$C$10="","",IF('Recurring Schedule'!$F$10="","",IF(OR($A7&lt;'Recurring Schedule'!$F$10,$A7&gt;'Recurring Schedule'!$P$10),"",IF(IF('Recurring Schedule'!$N$10&gt;0,MOD($A7-'Recurring Schedule'!$F$10,'Recurring Schedule'!$N$10)=0,IF('Recurring Schedule'!$O$10&gt;0,AND(DAY($A7)=MIN(DAY('Recurring Schedule'!$F$10),DAY(EOMONTH($A7,0))),MOD((YEAR($A7)-YEAR('Recurring Schedule'!$F$10))*12+MONTH($A7)-MONTH('Recurring Schedule'!$F$10),'Recurring Schedule'!$O$10)=0),IF('Recurring Schedule'!$E$10="Weekdays",WEEKDAY($A7,2)&lt;=5,$A7='Recurring Schedule'!$F$10))),5,""))))</f>
        <v/>
      </c>
      <c r="G7">
        <f>IF('Recurring Schedule'!$C$11="","",IF('Recurring Schedule'!$F$11="","",IF(OR($A7&lt;'Recurring Schedule'!$F$11,$A7&gt;'Recurring Schedule'!$P$11),"",IF(IF('Recurring Schedule'!$N$11&gt;0,MOD($A7-'Recurring Schedule'!$F$11,'Recurring Schedule'!$N$11)=0,IF('Recurring Schedule'!$O$11&gt;0,AND(DAY($A7)=MIN(DAY('Recurring Schedule'!$F$11),DAY(EOMONTH($A7,0))),MOD((YEAR($A7)-YEAR('Recurring Schedule'!$F$11))*12+MONTH($A7)-MONTH('Recurring Schedule'!$F$11),'Recurring Schedule'!$O$11)=0),IF('Recurring Schedule'!$E$11="Weekdays",WEEKDAY($A7,2)&lt;=5,$A7='Recurring Schedule'!$F$11))),6,""))))</f>
        <v/>
      </c>
      <c r="H7">
        <f>IF('Recurring Schedule'!$C$12="","",IF('Recurring Schedule'!$F$12="","",IF(OR($A7&lt;'Recurring Schedule'!$F$12,$A7&gt;'Recurring Schedule'!$P$12),"",IF(IF('Recurring Schedule'!$N$12&gt;0,MOD($A7-'Recurring Schedule'!$F$12,'Recurring Schedule'!$N$12)=0,IF('Recurring Schedule'!$O$12&gt;0,AND(DAY($A7)=MIN(DAY('Recurring Schedule'!$F$12),DAY(EOMONTH($A7,0))),MOD((YEAR($A7)-YEAR('Recurring Schedule'!$F$12))*12+MONTH($A7)-MONTH('Recurring Schedule'!$F$12),'Recurring Schedule'!$O$12)=0),IF('Recurring Schedule'!$E$12="Weekdays",WEEKDAY($A7,2)&lt;=5,$A7='Recurring Schedule'!$F$12))),7,""))))</f>
        <v/>
      </c>
      <c r="I7">
        <f>IF('Recurring Schedule'!$C$13="","",IF('Recurring Schedule'!$F$13="","",IF(OR($A7&lt;'Recurring Schedule'!$F$13,$A7&gt;'Recurring Schedule'!$P$13),"",IF(IF('Recurring Schedule'!$N$13&gt;0,MOD($A7-'Recurring Schedule'!$F$13,'Recurring Schedule'!$N$13)=0,IF('Recurring Schedule'!$O$13&gt;0,AND(DAY($A7)=MIN(DAY('Recurring Schedule'!$F$13),DAY(EOMONTH($A7,0))),MOD((YEAR($A7)-YEAR('Recurring Schedule'!$F$13))*12+MONTH($A7)-MONTH('Recurring Schedule'!$F$13),'Recurring Schedule'!$O$13)=0),IF('Recurring Schedule'!$E$13="Weekdays",WEEKDAY($A7,2)&lt;=5,$A7='Recurring Schedule'!$F$13))),8,""))))</f>
        <v/>
      </c>
      <c r="J7">
        <f>IF('Recurring Schedule'!$C$14="","",IF('Recurring Schedule'!$F$14="","",IF(OR($A7&lt;'Recurring Schedule'!$F$14,$A7&gt;'Recurring Schedule'!$P$14),"",IF(IF('Recurring Schedule'!$N$14&gt;0,MOD($A7-'Recurring Schedule'!$F$14,'Recurring Schedule'!$N$14)=0,IF('Recurring Schedule'!$O$14&gt;0,AND(DAY($A7)=MIN(DAY('Recurring Schedule'!$F$14),DAY(EOMONTH($A7,0))),MOD((YEAR($A7)-YEAR('Recurring Schedule'!$F$14))*12+MONTH($A7)-MONTH('Recurring Schedule'!$F$14),'Recurring Schedule'!$O$14)=0),IF('Recurring Schedule'!$E$14="Weekdays",WEEKDAY($A7,2)&lt;=5,$A7='Recurring Schedule'!$F$14))),9,""))))</f>
        <v/>
      </c>
      <c r="K7">
        <f>IF('Recurring Schedule'!$C$15="","",IF('Recurring Schedule'!$F$15="","",IF(OR($A7&lt;'Recurring Schedule'!$F$15,$A7&gt;'Recurring Schedule'!$P$15),"",IF(IF('Recurring Schedule'!$N$15&gt;0,MOD($A7-'Recurring Schedule'!$F$15,'Recurring Schedule'!$N$15)=0,IF('Recurring Schedule'!$O$15&gt;0,AND(DAY($A7)=MIN(DAY('Recurring Schedule'!$F$15),DAY(EOMONTH($A7,0))),MOD((YEAR($A7)-YEAR('Recurring Schedule'!$F$15))*12+MONTH($A7)-MONTH('Recurring Schedule'!$F$15),'Recurring Schedule'!$O$15)=0),IF('Recurring Schedule'!$E$15="Weekdays",WEEKDAY($A7,2)&lt;=5,$A7='Recurring Schedule'!$F$15))),10,""))))</f>
        <v/>
      </c>
      <c r="L7">
        <f>IF('Recurring Schedule'!$C$16="","",IF('Recurring Schedule'!$F$16="","",IF(OR($A7&lt;'Recurring Schedule'!$F$16,$A7&gt;'Recurring Schedule'!$P$16),"",IF(IF('Recurring Schedule'!$N$16&gt;0,MOD($A7-'Recurring Schedule'!$F$16,'Recurring Schedule'!$N$16)=0,IF('Recurring Schedule'!$O$16&gt;0,AND(DAY($A7)=MIN(DAY('Recurring Schedule'!$F$16),DAY(EOMONTH($A7,0))),MOD((YEAR($A7)-YEAR('Recurring Schedule'!$F$16))*12+MONTH($A7)-MONTH('Recurring Schedule'!$F$16),'Recurring Schedule'!$O$16)=0),IF('Recurring Schedule'!$E$16="Weekdays",WEEKDAY($A7,2)&lt;=5,$A7='Recurring Schedule'!$F$16))),11,""))))</f>
        <v/>
      </c>
      <c r="M7">
        <f>IF('Recurring Schedule'!$C$17="","",IF('Recurring Schedule'!$F$17="","",IF(OR($A7&lt;'Recurring Schedule'!$F$17,$A7&gt;'Recurring Schedule'!$P$17),"",IF(IF('Recurring Schedule'!$N$17&gt;0,MOD($A7-'Recurring Schedule'!$F$17,'Recurring Schedule'!$N$17)=0,IF('Recurring Schedule'!$O$17&gt;0,AND(DAY($A7)=MIN(DAY('Recurring Schedule'!$F$17),DAY(EOMONTH($A7,0))),MOD((YEAR($A7)-YEAR('Recurring Schedule'!$F$17))*12+MONTH($A7)-MONTH('Recurring Schedule'!$F$17),'Recurring Schedule'!$O$17)=0),IF('Recurring Schedule'!$E$17="Weekdays",WEEKDAY($A7,2)&lt;=5,$A7='Recurring Schedule'!$F$17))),12,""))))</f>
        <v/>
      </c>
      <c r="N7">
        <f>IF('Recurring Schedule'!$C$18="","",IF('Recurring Schedule'!$F$18="","",IF(OR($A7&lt;'Recurring Schedule'!$F$18,$A7&gt;'Recurring Schedule'!$P$18),"",IF(IF('Recurring Schedule'!$N$18&gt;0,MOD($A7-'Recurring Schedule'!$F$18,'Recurring Schedule'!$N$18)=0,IF('Recurring Schedule'!$O$18&gt;0,AND(DAY($A7)=MIN(DAY('Recurring Schedule'!$F$18),DAY(EOMONTH($A7,0))),MOD((YEAR($A7)-YEAR('Recurring Schedule'!$F$18))*12+MONTH($A7)-MONTH('Recurring Schedule'!$F$18),'Recurring Schedule'!$O$18)=0),IF('Recurring Schedule'!$E$18="Weekdays",WEEKDAY($A7,2)&lt;=5,$A7='Recurring Schedule'!$F$18))),13,""))))</f>
        <v/>
      </c>
      <c r="O7">
        <f>IF('Recurring Schedule'!$C$19="","",IF('Recurring Schedule'!$F$19="","",IF(OR($A7&lt;'Recurring Schedule'!$F$19,$A7&gt;'Recurring Schedule'!$P$19),"",IF(IF('Recurring Schedule'!$N$19&gt;0,MOD($A7-'Recurring Schedule'!$F$19,'Recurring Schedule'!$N$19)=0,IF('Recurring Schedule'!$O$19&gt;0,AND(DAY($A7)=MIN(DAY('Recurring Schedule'!$F$19),DAY(EOMONTH($A7,0))),MOD((YEAR($A7)-YEAR('Recurring Schedule'!$F$19))*12+MONTH($A7)-MONTH('Recurring Schedule'!$F$19),'Recurring Schedule'!$O$19)=0),IF('Recurring Schedule'!$E$19="Weekdays",WEEKDAY($A7,2)&lt;=5,$A7='Recurring Schedule'!$F$19))),14,""))))</f>
        <v/>
      </c>
      <c r="P7">
        <f>IF('Recurring Schedule'!$C$20="","",IF('Recurring Schedule'!$F$20="","",IF(OR($A7&lt;'Recurring Schedule'!$F$20,$A7&gt;'Recurring Schedule'!$P$20),"",IF(IF('Recurring Schedule'!$N$20&gt;0,MOD($A7-'Recurring Schedule'!$F$20,'Recurring Schedule'!$N$20)=0,IF('Recurring Schedule'!$O$20&gt;0,AND(DAY($A7)=MIN(DAY('Recurring Schedule'!$F$20),DAY(EOMONTH($A7,0))),MOD((YEAR($A7)-YEAR('Recurring Schedule'!$F$20))*12+MONTH($A7)-MONTH('Recurring Schedule'!$F$20),'Recurring Schedule'!$O$20)=0),IF('Recurring Schedule'!$E$20="Weekdays",WEEKDAY($A7,2)&lt;=5,$A7='Recurring Schedule'!$F$20))),15,""))))</f>
        <v/>
      </c>
      <c r="Q7">
        <f>IF('Recurring Schedule'!$C$21="","",IF('Recurring Schedule'!$F$21="","",IF(OR($A7&lt;'Recurring Schedule'!$F$21,$A7&gt;'Recurring Schedule'!$P$21),"",IF(IF('Recurring Schedule'!$N$21&gt;0,MOD($A7-'Recurring Schedule'!$F$21,'Recurring Schedule'!$N$21)=0,IF('Recurring Schedule'!$O$21&gt;0,AND(DAY($A7)=MIN(DAY('Recurring Schedule'!$F$21),DAY(EOMONTH($A7,0))),MOD((YEAR($A7)-YEAR('Recurring Schedule'!$F$21))*12+MONTH($A7)-MONTH('Recurring Schedule'!$F$21),'Recurring Schedule'!$O$21)=0),IF('Recurring Schedule'!$E$21="Weekdays",WEEKDAY($A7,2)&lt;=5,$A7='Recurring Schedule'!$F$21))),16,""))))</f>
        <v/>
      </c>
      <c r="R7">
        <f>IF('Recurring Schedule'!$C$22="","",IF('Recurring Schedule'!$F$22="","",IF(OR($A7&lt;'Recurring Schedule'!$F$22,$A7&gt;'Recurring Schedule'!$P$22),"",IF(IF('Recurring Schedule'!$N$22&gt;0,MOD($A7-'Recurring Schedule'!$F$22,'Recurring Schedule'!$N$22)=0,IF('Recurring Schedule'!$O$22&gt;0,AND(DAY($A7)=MIN(DAY('Recurring Schedule'!$F$22),DAY(EOMONTH($A7,0))),MOD((YEAR($A7)-YEAR('Recurring Schedule'!$F$22))*12+MONTH($A7)-MONTH('Recurring Schedule'!$F$22),'Recurring Schedule'!$O$22)=0),IF('Recurring Schedule'!$E$22="Weekdays",WEEKDAY($A7,2)&lt;=5,$A7='Recurring Schedule'!$F$22))),17,""))))</f>
        <v/>
      </c>
      <c r="S7">
        <f>IF('Recurring Schedule'!$C$23="","",IF('Recurring Schedule'!$F$23="","",IF(OR($A7&lt;'Recurring Schedule'!$F$23,$A7&gt;'Recurring Schedule'!$P$23),"",IF(IF('Recurring Schedule'!$N$23&gt;0,MOD($A7-'Recurring Schedule'!$F$23,'Recurring Schedule'!$N$23)=0,IF('Recurring Schedule'!$O$23&gt;0,AND(DAY($A7)=MIN(DAY('Recurring Schedule'!$F$23),DAY(EOMONTH($A7,0))),MOD((YEAR($A7)-YEAR('Recurring Schedule'!$F$23))*12+MONTH($A7)-MONTH('Recurring Schedule'!$F$23),'Recurring Schedule'!$O$23)=0),IF('Recurring Schedule'!$E$23="Weekdays",WEEKDAY($A7,2)&lt;=5,$A7='Recurring Schedule'!$F$23))),18,""))))</f>
        <v/>
      </c>
      <c r="T7">
        <f>IF('Recurring Schedule'!$C$24="","",IF('Recurring Schedule'!$F$24="","",IF(OR($A7&lt;'Recurring Schedule'!$F$24,$A7&gt;'Recurring Schedule'!$P$24),"",IF(IF('Recurring Schedule'!$N$24&gt;0,MOD($A7-'Recurring Schedule'!$F$24,'Recurring Schedule'!$N$24)=0,IF('Recurring Schedule'!$O$24&gt;0,AND(DAY($A7)=MIN(DAY('Recurring Schedule'!$F$24),DAY(EOMONTH($A7,0))),MOD((YEAR($A7)-YEAR('Recurring Schedule'!$F$24))*12+MONTH($A7)-MONTH('Recurring Schedule'!$F$24),'Recurring Schedule'!$O$24)=0),IF('Recurring Schedule'!$E$24="Weekdays",WEEKDAY($A7,2)&lt;=5,$A7='Recurring Schedule'!$F$24))),19,""))))</f>
        <v/>
      </c>
      <c r="U7">
        <f>IF('Recurring Schedule'!$C$25="","",IF('Recurring Schedule'!$F$25="","",IF(OR($A7&lt;'Recurring Schedule'!$F$25,$A7&gt;'Recurring Schedule'!$P$25),"",IF(IF('Recurring Schedule'!$N$25&gt;0,MOD($A7-'Recurring Schedule'!$F$25,'Recurring Schedule'!$N$25)=0,IF('Recurring Schedule'!$O$25&gt;0,AND(DAY($A7)=MIN(DAY('Recurring Schedule'!$F$25),DAY(EOMONTH($A7,0))),MOD((YEAR($A7)-YEAR('Recurring Schedule'!$F$25))*12+MONTH($A7)-MONTH('Recurring Schedule'!$F$25),'Recurring Schedule'!$O$25)=0),IF('Recurring Schedule'!$E$25="Weekdays",WEEKDAY($A7,2)&lt;=5,$A7='Recurring Schedule'!$F$25))),20,""))))</f>
        <v/>
      </c>
      <c r="V7">
        <f>IF('Recurring Schedule'!$C$26="","",IF('Recurring Schedule'!$F$26="","",IF(OR($A7&lt;'Recurring Schedule'!$F$26,$A7&gt;'Recurring Schedule'!$P$26),"",IF(IF('Recurring Schedule'!$N$26&gt;0,MOD($A7-'Recurring Schedule'!$F$26,'Recurring Schedule'!$N$26)=0,IF('Recurring Schedule'!$O$26&gt;0,AND(DAY($A7)=MIN(DAY('Recurring Schedule'!$F$26),DAY(EOMONTH($A7,0))),MOD((YEAR($A7)-YEAR('Recurring Schedule'!$F$26))*12+MONTH($A7)-MONTH('Recurring Schedule'!$F$26),'Recurring Schedule'!$O$26)=0),IF('Recurring Schedule'!$E$26="Weekdays",WEEKDAY($A7,2)&lt;=5,$A7='Recurring Schedule'!$F$26))),21,""))))</f>
        <v/>
      </c>
      <c r="W7">
        <f>IF('Recurring Schedule'!$C$27="","",IF('Recurring Schedule'!$F$27="","",IF(OR($A7&lt;'Recurring Schedule'!$F$27,$A7&gt;'Recurring Schedule'!$P$27),"",IF(IF('Recurring Schedule'!$N$27&gt;0,MOD($A7-'Recurring Schedule'!$F$27,'Recurring Schedule'!$N$27)=0,IF('Recurring Schedule'!$O$27&gt;0,AND(DAY($A7)=MIN(DAY('Recurring Schedule'!$F$27),DAY(EOMONTH($A7,0))),MOD((YEAR($A7)-YEAR('Recurring Schedule'!$F$27))*12+MONTH($A7)-MONTH('Recurring Schedule'!$F$27),'Recurring Schedule'!$O$27)=0),IF('Recurring Schedule'!$E$27="Weekdays",WEEKDAY($A7,2)&lt;=5,$A7='Recurring Schedule'!$F$27))),22,""))))</f>
        <v/>
      </c>
      <c r="X7">
        <f>IF('Recurring Schedule'!$C$28="","",IF('Recurring Schedule'!$F$28="","",IF(OR($A7&lt;'Recurring Schedule'!$F$28,$A7&gt;'Recurring Schedule'!$P$28),"",IF(IF('Recurring Schedule'!$N$28&gt;0,MOD($A7-'Recurring Schedule'!$F$28,'Recurring Schedule'!$N$28)=0,IF('Recurring Schedule'!$O$28&gt;0,AND(DAY($A7)=MIN(DAY('Recurring Schedule'!$F$28),DAY(EOMONTH($A7,0))),MOD((YEAR($A7)-YEAR('Recurring Schedule'!$F$28))*12+MONTH($A7)-MONTH('Recurring Schedule'!$F$28),'Recurring Schedule'!$O$28)=0),IF('Recurring Schedule'!$E$28="Weekdays",WEEKDAY($A7,2)&lt;=5,$A7='Recurring Schedule'!$F$28))),23,""))))</f>
        <v/>
      </c>
      <c r="Y7">
        <f>IF('Recurring Schedule'!$C$29="","",IF('Recurring Schedule'!$F$29="","",IF(OR($A7&lt;'Recurring Schedule'!$F$29,$A7&gt;'Recurring Schedule'!$P$29),"",IF(IF('Recurring Schedule'!$N$29&gt;0,MOD($A7-'Recurring Schedule'!$F$29,'Recurring Schedule'!$N$29)=0,IF('Recurring Schedule'!$O$29&gt;0,AND(DAY($A7)=MIN(DAY('Recurring Schedule'!$F$29),DAY(EOMONTH($A7,0))),MOD((YEAR($A7)-YEAR('Recurring Schedule'!$F$29))*12+MONTH($A7)-MONTH('Recurring Schedule'!$F$29),'Recurring Schedule'!$O$29)=0),IF('Recurring Schedule'!$E$29="Weekdays",WEEKDAY($A7,2)&lt;=5,$A7='Recurring Schedule'!$F$29))),24,""))))</f>
        <v/>
      </c>
      <c r="Z7">
        <f>IF('Recurring Schedule'!$C$30="","",IF('Recurring Schedule'!$F$30="","",IF(OR($A7&lt;'Recurring Schedule'!$F$30,$A7&gt;'Recurring Schedule'!$P$30),"",IF(IF('Recurring Schedule'!$N$30&gt;0,MOD($A7-'Recurring Schedule'!$F$30,'Recurring Schedule'!$N$30)=0,IF('Recurring Schedule'!$O$30&gt;0,AND(DAY($A7)=MIN(DAY('Recurring Schedule'!$F$30),DAY(EOMONTH($A7,0))),MOD((YEAR($A7)-YEAR('Recurring Schedule'!$F$30))*12+MONTH($A7)-MONTH('Recurring Schedule'!$F$30),'Recurring Schedule'!$O$30)=0),IF('Recurring Schedule'!$E$30="Weekdays",WEEKDAY($A7,2)&lt;=5,$A7='Recurring Schedule'!$F$30))),25,""))))</f>
        <v/>
      </c>
      <c r="AA7">
        <f>IF('Recurring Schedule'!$C$31="","",IF('Recurring Schedule'!$F$31="","",IF(OR($A7&lt;'Recurring Schedule'!$F$31,$A7&gt;'Recurring Schedule'!$P$31),"",IF(IF('Recurring Schedule'!$N$31&gt;0,MOD($A7-'Recurring Schedule'!$F$31,'Recurring Schedule'!$N$31)=0,IF('Recurring Schedule'!$O$31&gt;0,AND(DAY($A7)=MIN(DAY('Recurring Schedule'!$F$31),DAY(EOMONTH($A7,0))),MOD((YEAR($A7)-YEAR('Recurring Schedule'!$F$31))*12+MONTH($A7)-MONTH('Recurring Schedule'!$F$31),'Recurring Schedule'!$O$31)=0),IF('Recurring Schedule'!$E$31="Weekdays",WEEKDAY($A7,2)&lt;=5,$A7='Recurring Schedule'!$F$31))),26,""))))</f>
        <v/>
      </c>
      <c r="AB7">
        <f>IF('Recurring Schedule'!$C$32="","",IF('Recurring Schedule'!$F$32="","",IF(OR($A7&lt;'Recurring Schedule'!$F$32,$A7&gt;'Recurring Schedule'!$P$32),"",IF(IF('Recurring Schedule'!$N$32&gt;0,MOD($A7-'Recurring Schedule'!$F$32,'Recurring Schedule'!$N$32)=0,IF('Recurring Schedule'!$O$32&gt;0,AND(DAY($A7)=MIN(DAY('Recurring Schedule'!$F$32),DAY(EOMONTH($A7,0))),MOD((YEAR($A7)-YEAR('Recurring Schedule'!$F$32))*12+MONTH($A7)-MONTH('Recurring Schedule'!$F$32),'Recurring Schedule'!$O$32)=0),IF('Recurring Schedule'!$E$32="Weekdays",WEEKDAY($A7,2)&lt;=5,$A7='Recurring Schedule'!$F$32))),27,""))))</f>
        <v/>
      </c>
      <c r="AC7">
        <f>IF('Recurring Schedule'!$C$33="","",IF('Recurring Schedule'!$F$33="","",IF(OR($A7&lt;'Recurring Schedule'!$F$33,$A7&gt;'Recurring Schedule'!$P$33),"",IF(IF('Recurring Schedule'!$N$33&gt;0,MOD($A7-'Recurring Schedule'!$F$33,'Recurring Schedule'!$N$33)=0,IF('Recurring Schedule'!$O$33&gt;0,AND(DAY($A7)=MIN(DAY('Recurring Schedule'!$F$33),DAY(EOMONTH($A7,0))),MOD((YEAR($A7)-YEAR('Recurring Schedule'!$F$33))*12+MONTH($A7)-MONTH('Recurring Schedule'!$F$33),'Recurring Schedule'!$O$33)=0),IF('Recurring Schedule'!$E$33="Weekdays",WEEKDAY($A7,2)&lt;=5,$A7='Recurring Schedule'!$F$33))),28,""))))</f>
        <v/>
      </c>
      <c r="AD7">
        <f>IF('Recurring Schedule'!$C$34="","",IF('Recurring Schedule'!$F$34="","",IF(OR($A7&lt;'Recurring Schedule'!$F$34,$A7&gt;'Recurring Schedule'!$P$34),"",IF(IF('Recurring Schedule'!$N$34&gt;0,MOD($A7-'Recurring Schedule'!$F$34,'Recurring Schedule'!$N$34)=0,IF('Recurring Schedule'!$O$34&gt;0,AND(DAY($A7)=MIN(DAY('Recurring Schedule'!$F$34),DAY(EOMONTH($A7,0))),MOD((YEAR($A7)-YEAR('Recurring Schedule'!$F$34))*12+MONTH($A7)-MONTH('Recurring Schedule'!$F$34),'Recurring Schedule'!$O$34)=0),IF('Recurring Schedule'!$E$34="Weekdays",WEEKDAY($A7,2)&lt;=5,$A7='Recurring Schedule'!$F$34))),29,""))))</f>
        <v/>
      </c>
      <c r="AE7">
        <f>IF('Recurring Schedule'!$C$35="","",IF('Recurring Schedule'!$F$35="","",IF(OR($A7&lt;'Recurring Schedule'!$F$35,$A7&gt;'Recurring Schedule'!$P$35),"",IF(IF('Recurring Schedule'!$N$35&gt;0,MOD($A7-'Recurring Schedule'!$F$35,'Recurring Schedule'!$N$35)=0,IF('Recurring Schedule'!$O$35&gt;0,AND(DAY($A7)=MIN(DAY('Recurring Schedule'!$F$35),DAY(EOMONTH($A7,0))),MOD((YEAR($A7)-YEAR('Recurring Schedule'!$F$35))*12+MONTH($A7)-MONTH('Recurring Schedule'!$F$35),'Recurring Schedule'!$O$35)=0),IF('Recurring Schedule'!$E$35="Weekdays",WEEKDAY($A7,2)&lt;=5,$A7='Recurring Schedule'!$F$35))),30,""))))</f>
        <v/>
      </c>
      <c r="AF7">
        <f>IF('Recurring Schedule'!$C$36="","",IF('Recurring Schedule'!$F$36="","",IF(OR($A7&lt;'Recurring Schedule'!$F$36,$A7&gt;'Recurring Schedule'!$P$36),"",IF(IF('Recurring Schedule'!$N$36&gt;0,MOD($A7-'Recurring Schedule'!$F$36,'Recurring Schedule'!$N$36)=0,IF('Recurring Schedule'!$O$36&gt;0,AND(DAY($A7)=MIN(DAY('Recurring Schedule'!$F$36),DAY(EOMONTH($A7,0))),MOD((YEAR($A7)-YEAR('Recurring Schedule'!$F$36))*12+MONTH($A7)-MONTH('Recurring Schedule'!$F$36),'Recurring Schedule'!$O$36)=0),IF('Recurring Schedule'!$E$36="Weekdays",WEEKDAY($A7,2)&lt;=5,$A7='Recurring Schedule'!$F$36))),31,""))))</f>
        <v/>
      </c>
      <c r="AG7">
        <f>IF('Recurring Schedule'!$C$37="","",IF('Recurring Schedule'!$F$37="","",IF(OR($A7&lt;'Recurring Schedule'!$F$37,$A7&gt;'Recurring Schedule'!$P$37),"",IF(IF('Recurring Schedule'!$N$37&gt;0,MOD($A7-'Recurring Schedule'!$F$37,'Recurring Schedule'!$N$37)=0,IF('Recurring Schedule'!$O$37&gt;0,AND(DAY($A7)=MIN(DAY('Recurring Schedule'!$F$37),DAY(EOMONTH($A7,0))),MOD((YEAR($A7)-YEAR('Recurring Schedule'!$F$37))*12+MONTH($A7)-MONTH('Recurring Schedule'!$F$37),'Recurring Schedule'!$O$37)=0),IF('Recurring Schedule'!$E$37="Weekdays",WEEKDAY($A7,2)&lt;=5,$A7='Recurring Schedule'!$F$37))),32,""))))</f>
        <v/>
      </c>
      <c r="AH7">
        <f>IF('Recurring Schedule'!$C$38="","",IF('Recurring Schedule'!$F$38="","",IF(OR($A7&lt;'Recurring Schedule'!$F$38,$A7&gt;'Recurring Schedule'!$P$38),"",IF(IF('Recurring Schedule'!$N$38&gt;0,MOD($A7-'Recurring Schedule'!$F$38,'Recurring Schedule'!$N$38)=0,IF('Recurring Schedule'!$O$38&gt;0,AND(DAY($A7)=MIN(DAY('Recurring Schedule'!$F$38),DAY(EOMONTH($A7,0))),MOD((YEAR($A7)-YEAR('Recurring Schedule'!$F$38))*12+MONTH($A7)-MONTH('Recurring Schedule'!$F$38),'Recurring Schedule'!$O$38)=0),IF('Recurring Schedule'!$E$38="Weekdays",WEEKDAY($A7,2)&lt;=5,$A7='Recurring Schedule'!$F$38))),33,""))))</f>
        <v/>
      </c>
      <c r="AI7">
        <f>IF('Recurring Schedule'!$C$39="","",IF('Recurring Schedule'!$F$39="","",IF(OR($A7&lt;'Recurring Schedule'!$F$39,$A7&gt;'Recurring Schedule'!$P$39),"",IF(IF('Recurring Schedule'!$N$39&gt;0,MOD($A7-'Recurring Schedule'!$F$39,'Recurring Schedule'!$N$39)=0,IF('Recurring Schedule'!$O$39&gt;0,AND(DAY($A7)=MIN(DAY('Recurring Schedule'!$F$39),DAY(EOMONTH($A7,0))),MOD((YEAR($A7)-YEAR('Recurring Schedule'!$F$39))*12+MONTH($A7)-MONTH('Recurring Schedule'!$F$39),'Recurring Schedule'!$O$39)=0),IF('Recurring Schedule'!$E$39="Weekdays",WEEKDAY($A7,2)&lt;=5,$A7='Recurring Schedule'!$F$39))),34,""))))</f>
        <v/>
      </c>
      <c r="AJ7">
        <f>IF('Recurring Schedule'!$C$40="","",IF('Recurring Schedule'!$F$40="","",IF(OR($A7&lt;'Recurring Schedule'!$F$40,$A7&gt;'Recurring Schedule'!$P$40),"",IF(IF('Recurring Schedule'!$N$40&gt;0,MOD($A7-'Recurring Schedule'!$F$40,'Recurring Schedule'!$N$40)=0,IF('Recurring Schedule'!$O$40&gt;0,AND(DAY($A7)=MIN(DAY('Recurring Schedule'!$F$40),DAY(EOMONTH($A7,0))),MOD((YEAR($A7)-YEAR('Recurring Schedule'!$F$40))*12+MONTH($A7)-MONTH('Recurring Schedule'!$F$40),'Recurring Schedule'!$O$40)=0),IF('Recurring Schedule'!$E$40="Weekdays",WEEKDAY($A7,2)&lt;=5,$A7='Recurring Schedule'!$F$40))),35,""))))</f>
        <v/>
      </c>
      <c r="AK7">
        <f>IF('Recurring Schedule'!$C$41="","",IF('Recurring Schedule'!$F$41="","",IF(OR($A7&lt;'Recurring Schedule'!$F$41,$A7&gt;'Recurring Schedule'!$P$41),"",IF(IF('Recurring Schedule'!$N$41&gt;0,MOD($A7-'Recurring Schedule'!$F$41,'Recurring Schedule'!$N$41)=0,IF('Recurring Schedule'!$O$41&gt;0,AND(DAY($A7)=MIN(DAY('Recurring Schedule'!$F$41),DAY(EOMONTH($A7,0))),MOD((YEAR($A7)-YEAR('Recurring Schedule'!$F$41))*12+MONTH($A7)-MONTH('Recurring Schedule'!$F$41),'Recurring Schedule'!$O$41)=0),IF('Recurring Schedule'!$E$41="Weekdays",WEEKDAY($A7,2)&lt;=5,$A7='Recurring Schedule'!$F$41))),36,""))))</f>
        <v/>
      </c>
      <c r="AL7">
        <f>IF('Recurring Schedule'!$C$42="","",IF('Recurring Schedule'!$F$42="","",IF(OR($A7&lt;'Recurring Schedule'!$F$42,$A7&gt;'Recurring Schedule'!$P$42),"",IF(IF('Recurring Schedule'!$N$42&gt;0,MOD($A7-'Recurring Schedule'!$F$42,'Recurring Schedule'!$N$42)=0,IF('Recurring Schedule'!$O$42&gt;0,AND(DAY($A7)=MIN(DAY('Recurring Schedule'!$F$42),DAY(EOMONTH($A7,0))),MOD((YEAR($A7)-YEAR('Recurring Schedule'!$F$42))*12+MONTH($A7)-MONTH('Recurring Schedule'!$F$42),'Recurring Schedule'!$O$42)=0),IF('Recurring Schedule'!$E$42="Weekdays",WEEKDAY($A7,2)&lt;=5,$A7='Recurring Schedule'!$F$42))),37,""))))</f>
        <v/>
      </c>
      <c r="AM7">
        <f>IF('Recurring Schedule'!$C$43="","",IF('Recurring Schedule'!$F$43="","",IF(OR($A7&lt;'Recurring Schedule'!$F$43,$A7&gt;'Recurring Schedule'!$P$43),"",IF(IF('Recurring Schedule'!$N$43&gt;0,MOD($A7-'Recurring Schedule'!$F$43,'Recurring Schedule'!$N$43)=0,IF('Recurring Schedule'!$O$43&gt;0,AND(DAY($A7)=MIN(DAY('Recurring Schedule'!$F$43),DAY(EOMONTH($A7,0))),MOD((YEAR($A7)-YEAR('Recurring Schedule'!$F$43))*12+MONTH($A7)-MONTH('Recurring Schedule'!$F$43),'Recurring Schedule'!$O$43)=0),IF('Recurring Schedule'!$E$43="Weekdays",WEEKDAY($A7,2)&lt;=5,$A7='Recurring Schedule'!$F$43))),38,""))))</f>
        <v/>
      </c>
      <c r="AN7">
        <f>IF('Recurring Schedule'!$C$44="","",IF('Recurring Schedule'!$F$44="","",IF(OR($A7&lt;'Recurring Schedule'!$F$44,$A7&gt;'Recurring Schedule'!$P$44),"",IF(IF('Recurring Schedule'!$N$44&gt;0,MOD($A7-'Recurring Schedule'!$F$44,'Recurring Schedule'!$N$44)=0,IF('Recurring Schedule'!$O$44&gt;0,AND(DAY($A7)=MIN(DAY('Recurring Schedule'!$F$44),DAY(EOMONTH($A7,0))),MOD((YEAR($A7)-YEAR('Recurring Schedule'!$F$44))*12+MONTH($A7)-MONTH('Recurring Schedule'!$F$44),'Recurring Schedule'!$O$44)=0),IF('Recurring Schedule'!$E$44="Weekdays",WEEKDAY($A7,2)&lt;=5,$A7='Recurring Schedule'!$F$44))),39,""))))</f>
        <v/>
      </c>
      <c r="AO7">
        <f>IF('Recurring Schedule'!$C$45="","",IF('Recurring Schedule'!$F$45="","",IF(OR($A7&lt;'Recurring Schedule'!$F$45,$A7&gt;'Recurring Schedule'!$P$45),"",IF(IF('Recurring Schedule'!$N$45&gt;0,MOD($A7-'Recurring Schedule'!$F$45,'Recurring Schedule'!$N$45)=0,IF('Recurring Schedule'!$O$45&gt;0,AND(DAY($A7)=MIN(DAY('Recurring Schedule'!$F$45),DAY(EOMONTH($A7,0))),MOD((YEAR($A7)-YEAR('Recurring Schedule'!$F$45))*12+MONTH($A7)-MONTH('Recurring Schedule'!$F$45),'Recurring Schedule'!$O$45)=0),IF('Recurring Schedule'!$E$45="Weekdays",WEEKDAY($A7,2)&lt;=5,$A7='Recurring Schedule'!$F$45))),40,""))))</f>
        <v/>
      </c>
      <c r="AP7">
        <f>COUNT(B7:AO7)</f>
        <v/>
      </c>
      <c r="AQ7">
        <f>AQ6+AP6</f>
        <v/>
      </c>
      <c r="AS7" t="inlineStr">
        <is>
          <t>R</t>
        </is>
      </c>
      <c r="AT7" t="n">
        <v>11</v>
      </c>
      <c r="AU7">
        <f>'Recurring Log'!C11&amp;""</f>
        <v/>
      </c>
      <c r="AV7">
        <f>'Recurring Log'!D11&amp;""</f>
        <v/>
      </c>
      <c r="AW7">
        <f>IF('Recurring Log'!E11="","",'Recurring Log'!E11)</f>
        <v/>
      </c>
      <c r="AX7">
        <f>IF('Recurring Log'!G11="","",'Recurring Log'!G11)</f>
        <v/>
      </c>
      <c r="AY7">
        <f>IF('Recurring Log'!H11="","",'Recurring Log'!H11)</f>
        <v/>
      </c>
      <c r="AZ7">
        <f>IF(AU7="","",IF('Recurring Log'!J11="","Not Started",'Recurring Log'!J11))</f>
        <v/>
      </c>
      <c r="BA7">
        <f>'Recurring Log'!L11&amp;""</f>
        <v/>
      </c>
      <c r="BB7">
        <f>'Recurring Log'!M11&amp;""</f>
        <v/>
      </c>
      <c r="BC7">
        <f>'Recurring Log'!N11&amp;""</f>
        <v/>
      </c>
      <c r="BD7">
        <f>'Recurring Log'!O11&amp;""</f>
        <v/>
      </c>
      <c r="BE7">
        <f>IF('Recurring Log'!K11="","",'Recurring Log'!K11)</f>
        <v/>
      </c>
      <c r="BF7">
        <f>IFERROR(MATCH(BA7,Setup!$L$6:$L$9,0),5)</f>
        <v/>
      </c>
      <c r="BG7">
        <f>IF(OR(AZ7="Done",AZ7="Cancelled"),1,0)</f>
        <v/>
      </c>
      <c r="BH7">
        <f>IF(AND(AU7&lt;&gt;"",ISNUMBER(AW7)),1,0)</f>
        <v/>
      </c>
      <c r="BI7">
        <f>IF(BH7=0,0,IF(AND(AW7&gt;='Tasks Filter'!$F$3,AW7&lt;='Tasks Filter'!$F$4,OR('Tasks Filter'!$I$3="",ISNUMBER(SEARCH('Tasks Filter'!$I$3,AU7))),OR('Tasks Filter'!$I$4="",BF7=IFERROR(MATCH('Tasks Filter'!$I$4,Setup!$L$6:$L$9,0),0)),OR('Tasks Filter'!$I$5="Both",AND('Tasks Filter'!$I$5="Yes",BB7="✓"),AND('Tasks Filter'!$I$5="No",BB7&lt;&gt;"✓")),OR('Tasks Filter'!$L$3="",AV7='Tasks Filter'!$L$3),OR('Tasks Filter'!$L$4="",AZ7='Tasks Filter'!$L$4),OR('Tasks Filter'!$L$5="",BC7='Tasks Filter'!$L$5),OR('Tasks Filter'!$O$3="",BD7='Tasks Filter'!$O$3),OR('Tasks Filter'!$O$4="Yes",BG7=0)),1,0))</f>
        <v/>
      </c>
      <c r="BJ7">
        <f>IF(BH7=0,"",IF('Tasks Filter'!$F$6="Descending",-1,1)*CHOOSE(MATCH('Tasks Filter'!$F$5,Lists!$G$2:$G$6,0),AW7,BF7,IFERROR(MATCH(AV7,Setup!$F$6:$F$15,0),99),IFERROR(MATCH(BC7,Setup!$H$6:$H$15,0),99),IFERROR(MATCH(AZ7,Setup!$J$6:$J$11,0),99))*1E+9+(AW7-40000)*10000+6)</f>
        <v/>
      </c>
      <c r="BK7">
        <f>IF(BI7=1,BJ7,"")</f>
        <v/>
      </c>
      <c r="BL7">
        <f>IF(AND(BH7=1,BG7=0,N(AW7)&lt;Setup!$D$7),(AW7-40000)*10000+6,"")</f>
        <v/>
      </c>
      <c r="BM7">
        <f>IF(AND(BH7=1,AZ7&lt;&gt;"Cancelled",N(AW7)&gt;=Dashboard!$AB$3,N(AW7)&lt;=Dashboard!$AB$3+6),(AW7-40000)*100000+BF7*10000+6,"")</f>
        <v/>
      </c>
      <c r="BN7">
        <f>IF(AND(BH7=1,AZ7&lt;&gt;"Cancelled"),BF7*10000+6,"")</f>
        <v/>
      </c>
    </row>
    <row r="8">
      <c r="A8">
        <f>Setup!$D$5+6</f>
        <v/>
      </c>
      <c r="B8">
        <f>IF('Recurring Schedule'!$C$6="","",IF('Recurring Schedule'!$F$6="","",IF(OR($A8&lt;'Recurring Schedule'!$F$6,$A8&gt;'Recurring Schedule'!$P$6),"",IF(IF('Recurring Schedule'!$N$6&gt;0,MOD($A8-'Recurring Schedule'!$F$6,'Recurring Schedule'!$N$6)=0,IF('Recurring Schedule'!$O$6&gt;0,AND(DAY($A8)=MIN(DAY('Recurring Schedule'!$F$6),DAY(EOMONTH($A8,0))),MOD((YEAR($A8)-YEAR('Recurring Schedule'!$F$6))*12+MONTH($A8)-MONTH('Recurring Schedule'!$F$6),'Recurring Schedule'!$O$6)=0),IF('Recurring Schedule'!$E$6="Weekdays",WEEKDAY($A8,2)&lt;=5,$A8='Recurring Schedule'!$F$6))),1,""))))</f>
        <v/>
      </c>
      <c r="C8">
        <f>IF('Recurring Schedule'!$C$7="","",IF('Recurring Schedule'!$F$7="","",IF(OR($A8&lt;'Recurring Schedule'!$F$7,$A8&gt;'Recurring Schedule'!$P$7),"",IF(IF('Recurring Schedule'!$N$7&gt;0,MOD($A8-'Recurring Schedule'!$F$7,'Recurring Schedule'!$N$7)=0,IF('Recurring Schedule'!$O$7&gt;0,AND(DAY($A8)=MIN(DAY('Recurring Schedule'!$F$7),DAY(EOMONTH($A8,0))),MOD((YEAR($A8)-YEAR('Recurring Schedule'!$F$7))*12+MONTH($A8)-MONTH('Recurring Schedule'!$F$7),'Recurring Schedule'!$O$7)=0),IF('Recurring Schedule'!$E$7="Weekdays",WEEKDAY($A8,2)&lt;=5,$A8='Recurring Schedule'!$F$7))),2,""))))</f>
        <v/>
      </c>
      <c r="D8">
        <f>IF('Recurring Schedule'!$C$8="","",IF('Recurring Schedule'!$F$8="","",IF(OR($A8&lt;'Recurring Schedule'!$F$8,$A8&gt;'Recurring Schedule'!$P$8),"",IF(IF('Recurring Schedule'!$N$8&gt;0,MOD($A8-'Recurring Schedule'!$F$8,'Recurring Schedule'!$N$8)=0,IF('Recurring Schedule'!$O$8&gt;0,AND(DAY($A8)=MIN(DAY('Recurring Schedule'!$F$8),DAY(EOMONTH($A8,0))),MOD((YEAR($A8)-YEAR('Recurring Schedule'!$F$8))*12+MONTH($A8)-MONTH('Recurring Schedule'!$F$8),'Recurring Schedule'!$O$8)=0),IF('Recurring Schedule'!$E$8="Weekdays",WEEKDAY($A8,2)&lt;=5,$A8='Recurring Schedule'!$F$8))),3,""))))</f>
        <v/>
      </c>
      <c r="E8">
        <f>IF('Recurring Schedule'!$C$9="","",IF('Recurring Schedule'!$F$9="","",IF(OR($A8&lt;'Recurring Schedule'!$F$9,$A8&gt;'Recurring Schedule'!$P$9),"",IF(IF('Recurring Schedule'!$N$9&gt;0,MOD($A8-'Recurring Schedule'!$F$9,'Recurring Schedule'!$N$9)=0,IF('Recurring Schedule'!$O$9&gt;0,AND(DAY($A8)=MIN(DAY('Recurring Schedule'!$F$9),DAY(EOMONTH($A8,0))),MOD((YEAR($A8)-YEAR('Recurring Schedule'!$F$9))*12+MONTH($A8)-MONTH('Recurring Schedule'!$F$9),'Recurring Schedule'!$O$9)=0),IF('Recurring Schedule'!$E$9="Weekdays",WEEKDAY($A8,2)&lt;=5,$A8='Recurring Schedule'!$F$9))),4,""))))</f>
        <v/>
      </c>
      <c r="F8">
        <f>IF('Recurring Schedule'!$C$10="","",IF('Recurring Schedule'!$F$10="","",IF(OR($A8&lt;'Recurring Schedule'!$F$10,$A8&gt;'Recurring Schedule'!$P$10),"",IF(IF('Recurring Schedule'!$N$10&gt;0,MOD($A8-'Recurring Schedule'!$F$10,'Recurring Schedule'!$N$10)=0,IF('Recurring Schedule'!$O$10&gt;0,AND(DAY($A8)=MIN(DAY('Recurring Schedule'!$F$10),DAY(EOMONTH($A8,0))),MOD((YEAR($A8)-YEAR('Recurring Schedule'!$F$10))*12+MONTH($A8)-MONTH('Recurring Schedule'!$F$10),'Recurring Schedule'!$O$10)=0),IF('Recurring Schedule'!$E$10="Weekdays",WEEKDAY($A8,2)&lt;=5,$A8='Recurring Schedule'!$F$10))),5,""))))</f>
        <v/>
      </c>
      <c r="G8">
        <f>IF('Recurring Schedule'!$C$11="","",IF('Recurring Schedule'!$F$11="","",IF(OR($A8&lt;'Recurring Schedule'!$F$11,$A8&gt;'Recurring Schedule'!$P$11),"",IF(IF('Recurring Schedule'!$N$11&gt;0,MOD($A8-'Recurring Schedule'!$F$11,'Recurring Schedule'!$N$11)=0,IF('Recurring Schedule'!$O$11&gt;0,AND(DAY($A8)=MIN(DAY('Recurring Schedule'!$F$11),DAY(EOMONTH($A8,0))),MOD((YEAR($A8)-YEAR('Recurring Schedule'!$F$11))*12+MONTH($A8)-MONTH('Recurring Schedule'!$F$11),'Recurring Schedule'!$O$11)=0),IF('Recurring Schedule'!$E$11="Weekdays",WEEKDAY($A8,2)&lt;=5,$A8='Recurring Schedule'!$F$11))),6,""))))</f>
        <v/>
      </c>
      <c r="H8">
        <f>IF('Recurring Schedule'!$C$12="","",IF('Recurring Schedule'!$F$12="","",IF(OR($A8&lt;'Recurring Schedule'!$F$12,$A8&gt;'Recurring Schedule'!$P$12),"",IF(IF('Recurring Schedule'!$N$12&gt;0,MOD($A8-'Recurring Schedule'!$F$12,'Recurring Schedule'!$N$12)=0,IF('Recurring Schedule'!$O$12&gt;0,AND(DAY($A8)=MIN(DAY('Recurring Schedule'!$F$12),DAY(EOMONTH($A8,0))),MOD((YEAR($A8)-YEAR('Recurring Schedule'!$F$12))*12+MONTH($A8)-MONTH('Recurring Schedule'!$F$12),'Recurring Schedule'!$O$12)=0),IF('Recurring Schedule'!$E$12="Weekdays",WEEKDAY($A8,2)&lt;=5,$A8='Recurring Schedule'!$F$12))),7,""))))</f>
        <v/>
      </c>
      <c r="I8">
        <f>IF('Recurring Schedule'!$C$13="","",IF('Recurring Schedule'!$F$13="","",IF(OR($A8&lt;'Recurring Schedule'!$F$13,$A8&gt;'Recurring Schedule'!$P$13),"",IF(IF('Recurring Schedule'!$N$13&gt;0,MOD($A8-'Recurring Schedule'!$F$13,'Recurring Schedule'!$N$13)=0,IF('Recurring Schedule'!$O$13&gt;0,AND(DAY($A8)=MIN(DAY('Recurring Schedule'!$F$13),DAY(EOMONTH($A8,0))),MOD((YEAR($A8)-YEAR('Recurring Schedule'!$F$13))*12+MONTH($A8)-MONTH('Recurring Schedule'!$F$13),'Recurring Schedule'!$O$13)=0),IF('Recurring Schedule'!$E$13="Weekdays",WEEKDAY($A8,2)&lt;=5,$A8='Recurring Schedule'!$F$13))),8,""))))</f>
        <v/>
      </c>
      <c r="J8">
        <f>IF('Recurring Schedule'!$C$14="","",IF('Recurring Schedule'!$F$14="","",IF(OR($A8&lt;'Recurring Schedule'!$F$14,$A8&gt;'Recurring Schedule'!$P$14),"",IF(IF('Recurring Schedule'!$N$14&gt;0,MOD($A8-'Recurring Schedule'!$F$14,'Recurring Schedule'!$N$14)=0,IF('Recurring Schedule'!$O$14&gt;0,AND(DAY($A8)=MIN(DAY('Recurring Schedule'!$F$14),DAY(EOMONTH($A8,0))),MOD((YEAR($A8)-YEAR('Recurring Schedule'!$F$14))*12+MONTH($A8)-MONTH('Recurring Schedule'!$F$14),'Recurring Schedule'!$O$14)=0),IF('Recurring Schedule'!$E$14="Weekdays",WEEKDAY($A8,2)&lt;=5,$A8='Recurring Schedule'!$F$14))),9,""))))</f>
        <v/>
      </c>
      <c r="K8">
        <f>IF('Recurring Schedule'!$C$15="","",IF('Recurring Schedule'!$F$15="","",IF(OR($A8&lt;'Recurring Schedule'!$F$15,$A8&gt;'Recurring Schedule'!$P$15),"",IF(IF('Recurring Schedule'!$N$15&gt;0,MOD($A8-'Recurring Schedule'!$F$15,'Recurring Schedule'!$N$15)=0,IF('Recurring Schedule'!$O$15&gt;0,AND(DAY($A8)=MIN(DAY('Recurring Schedule'!$F$15),DAY(EOMONTH($A8,0))),MOD((YEAR($A8)-YEAR('Recurring Schedule'!$F$15))*12+MONTH($A8)-MONTH('Recurring Schedule'!$F$15),'Recurring Schedule'!$O$15)=0),IF('Recurring Schedule'!$E$15="Weekdays",WEEKDAY($A8,2)&lt;=5,$A8='Recurring Schedule'!$F$15))),10,""))))</f>
        <v/>
      </c>
      <c r="L8">
        <f>IF('Recurring Schedule'!$C$16="","",IF('Recurring Schedule'!$F$16="","",IF(OR($A8&lt;'Recurring Schedule'!$F$16,$A8&gt;'Recurring Schedule'!$P$16),"",IF(IF('Recurring Schedule'!$N$16&gt;0,MOD($A8-'Recurring Schedule'!$F$16,'Recurring Schedule'!$N$16)=0,IF('Recurring Schedule'!$O$16&gt;0,AND(DAY($A8)=MIN(DAY('Recurring Schedule'!$F$16),DAY(EOMONTH($A8,0))),MOD((YEAR($A8)-YEAR('Recurring Schedule'!$F$16))*12+MONTH($A8)-MONTH('Recurring Schedule'!$F$16),'Recurring Schedule'!$O$16)=0),IF('Recurring Schedule'!$E$16="Weekdays",WEEKDAY($A8,2)&lt;=5,$A8='Recurring Schedule'!$F$16))),11,""))))</f>
        <v/>
      </c>
      <c r="M8">
        <f>IF('Recurring Schedule'!$C$17="","",IF('Recurring Schedule'!$F$17="","",IF(OR($A8&lt;'Recurring Schedule'!$F$17,$A8&gt;'Recurring Schedule'!$P$17),"",IF(IF('Recurring Schedule'!$N$17&gt;0,MOD($A8-'Recurring Schedule'!$F$17,'Recurring Schedule'!$N$17)=0,IF('Recurring Schedule'!$O$17&gt;0,AND(DAY($A8)=MIN(DAY('Recurring Schedule'!$F$17),DAY(EOMONTH($A8,0))),MOD((YEAR($A8)-YEAR('Recurring Schedule'!$F$17))*12+MONTH($A8)-MONTH('Recurring Schedule'!$F$17),'Recurring Schedule'!$O$17)=0),IF('Recurring Schedule'!$E$17="Weekdays",WEEKDAY($A8,2)&lt;=5,$A8='Recurring Schedule'!$F$17))),12,""))))</f>
        <v/>
      </c>
      <c r="N8">
        <f>IF('Recurring Schedule'!$C$18="","",IF('Recurring Schedule'!$F$18="","",IF(OR($A8&lt;'Recurring Schedule'!$F$18,$A8&gt;'Recurring Schedule'!$P$18),"",IF(IF('Recurring Schedule'!$N$18&gt;0,MOD($A8-'Recurring Schedule'!$F$18,'Recurring Schedule'!$N$18)=0,IF('Recurring Schedule'!$O$18&gt;0,AND(DAY($A8)=MIN(DAY('Recurring Schedule'!$F$18),DAY(EOMONTH($A8,0))),MOD((YEAR($A8)-YEAR('Recurring Schedule'!$F$18))*12+MONTH($A8)-MONTH('Recurring Schedule'!$F$18),'Recurring Schedule'!$O$18)=0),IF('Recurring Schedule'!$E$18="Weekdays",WEEKDAY($A8,2)&lt;=5,$A8='Recurring Schedule'!$F$18))),13,""))))</f>
        <v/>
      </c>
      <c r="O8">
        <f>IF('Recurring Schedule'!$C$19="","",IF('Recurring Schedule'!$F$19="","",IF(OR($A8&lt;'Recurring Schedule'!$F$19,$A8&gt;'Recurring Schedule'!$P$19),"",IF(IF('Recurring Schedule'!$N$19&gt;0,MOD($A8-'Recurring Schedule'!$F$19,'Recurring Schedule'!$N$19)=0,IF('Recurring Schedule'!$O$19&gt;0,AND(DAY($A8)=MIN(DAY('Recurring Schedule'!$F$19),DAY(EOMONTH($A8,0))),MOD((YEAR($A8)-YEAR('Recurring Schedule'!$F$19))*12+MONTH($A8)-MONTH('Recurring Schedule'!$F$19),'Recurring Schedule'!$O$19)=0),IF('Recurring Schedule'!$E$19="Weekdays",WEEKDAY($A8,2)&lt;=5,$A8='Recurring Schedule'!$F$19))),14,""))))</f>
        <v/>
      </c>
      <c r="P8">
        <f>IF('Recurring Schedule'!$C$20="","",IF('Recurring Schedule'!$F$20="","",IF(OR($A8&lt;'Recurring Schedule'!$F$20,$A8&gt;'Recurring Schedule'!$P$20),"",IF(IF('Recurring Schedule'!$N$20&gt;0,MOD($A8-'Recurring Schedule'!$F$20,'Recurring Schedule'!$N$20)=0,IF('Recurring Schedule'!$O$20&gt;0,AND(DAY($A8)=MIN(DAY('Recurring Schedule'!$F$20),DAY(EOMONTH($A8,0))),MOD((YEAR($A8)-YEAR('Recurring Schedule'!$F$20))*12+MONTH($A8)-MONTH('Recurring Schedule'!$F$20),'Recurring Schedule'!$O$20)=0),IF('Recurring Schedule'!$E$20="Weekdays",WEEKDAY($A8,2)&lt;=5,$A8='Recurring Schedule'!$F$20))),15,""))))</f>
        <v/>
      </c>
      <c r="Q8">
        <f>IF('Recurring Schedule'!$C$21="","",IF('Recurring Schedule'!$F$21="","",IF(OR($A8&lt;'Recurring Schedule'!$F$21,$A8&gt;'Recurring Schedule'!$P$21),"",IF(IF('Recurring Schedule'!$N$21&gt;0,MOD($A8-'Recurring Schedule'!$F$21,'Recurring Schedule'!$N$21)=0,IF('Recurring Schedule'!$O$21&gt;0,AND(DAY($A8)=MIN(DAY('Recurring Schedule'!$F$21),DAY(EOMONTH($A8,0))),MOD((YEAR($A8)-YEAR('Recurring Schedule'!$F$21))*12+MONTH($A8)-MONTH('Recurring Schedule'!$F$21),'Recurring Schedule'!$O$21)=0),IF('Recurring Schedule'!$E$21="Weekdays",WEEKDAY($A8,2)&lt;=5,$A8='Recurring Schedule'!$F$21))),16,""))))</f>
        <v/>
      </c>
      <c r="R8">
        <f>IF('Recurring Schedule'!$C$22="","",IF('Recurring Schedule'!$F$22="","",IF(OR($A8&lt;'Recurring Schedule'!$F$22,$A8&gt;'Recurring Schedule'!$P$22),"",IF(IF('Recurring Schedule'!$N$22&gt;0,MOD($A8-'Recurring Schedule'!$F$22,'Recurring Schedule'!$N$22)=0,IF('Recurring Schedule'!$O$22&gt;0,AND(DAY($A8)=MIN(DAY('Recurring Schedule'!$F$22),DAY(EOMONTH($A8,0))),MOD((YEAR($A8)-YEAR('Recurring Schedule'!$F$22))*12+MONTH($A8)-MONTH('Recurring Schedule'!$F$22),'Recurring Schedule'!$O$22)=0),IF('Recurring Schedule'!$E$22="Weekdays",WEEKDAY($A8,2)&lt;=5,$A8='Recurring Schedule'!$F$22))),17,""))))</f>
        <v/>
      </c>
      <c r="S8">
        <f>IF('Recurring Schedule'!$C$23="","",IF('Recurring Schedule'!$F$23="","",IF(OR($A8&lt;'Recurring Schedule'!$F$23,$A8&gt;'Recurring Schedule'!$P$23),"",IF(IF('Recurring Schedule'!$N$23&gt;0,MOD($A8-'Recurring Schedule'!$F$23,'Recurring Schedule'!$N$23)=0,IF('Recurring Schedule'!$O$23&gt;0,AND(DAY($A8)=MIN(DAY('Recurring Schedule'!$F$23),DAY(EOMONTH($A8,0))),MOD((YEAR($A8)-YEAR('Recurring Schedule'!$F$23))*12+MONTH($A8)-MONTH('Recurring Schedule'!$F$23),'Recurring Schedule'!$O$23)=0),IF('Recurring Schedule'!$E$23="Weekdays",WEEKDAY($A8,2)&lt;=5,$A8='Recurring Schedule'!$F$23))),18,""))))</f>
        <v/>
      </c>
      <c r="T8">
        <f>IF('Recurring Schedule'!$C$24="","",IF('Recurring Schedule'!$F$24="","",IF(OR($A8&lt;'Recurring Schedule'!$F$24,$A8&gt;'Recurring Schedule'!$P$24),"",IF(IF('Recurring Schedule'!$N$24&gt;0,MOD($A8-'Recurring Schedule'!$F$24,'Recurring Schedule'!$N$24)=0,IF('Recurring Schedule'!$O$24&gt;0,AND(DAY($A8)=MIN(DAY('Recurring Schedule'!$F$24),DAY(EOMONTH($A8,0))),MOD((YEAR($A8)-YEAR('Recurring Schedule'!$F$24))*12+MONTH($A8)-MONTH('Recurring Schedule'!$F$24),'Recurring Schedule'!$O$24)=0),IF('Recurring Schedule'!$E$24="Weekdays",WEEKDAY($A8,2)&lt;=5,$A8='Recurring Schedule'!$F$24))),19,""))))</f>
        <v/>
      </c>
      <c r="U8">
        <f>IF('Recurring Schedule'!$C$25="","",IF('Recurring Schedule'!$F$25="","",IF(OR($A8&lt;'Recurring Schedule'!$F$25,$A8&gt;'Recurring Schedule'!$P$25),"",IF(IF('Recurring Schedule'!$N$25&gt;0,MOD($A8-'Recurring Schedule'!$F$25,'Recurring Schedule'!$N$25)=0,IF('Recurring Schedule'!$O$25&gt;0,AND(DAY($A8)=MIN(DAY('Recurring Schedule'!$F$25),DAY(EOMONTH($A8,0))),MOD((YEAR($A8)-YEAR('Recurring Schedule'!$F$25))*12+MONTH($A8)-MONTH('Recurring Schedule'!$F$25),'Recurring Schedule'!$O$25)=0),IF('Recurring Schedule'!$E$25="Weekdays",WEEKDAY($A8,2)&lt;=5,$A8='Recurring Schedule'!$F$25))),20,""))))</f>
        <v/>
      </c>
      <c r="V8">
        <f>IF('Recurring Schedule'!$C$26="","",IF('Recurring Schedule'!$F$26="","",IF(OR($A8&lt;'Recurring Schedule'!$F$26,$A8&gt;'Recurring Schedule'!$P$26),"",IF(IF('Recurring Schedule'!$N$26&gt;0,MOD($A8-'Recurring Schedule'!$F$26,'Recurring Schedule'!$N$26)=0,IF('Recurring Schedule'!$O$26&gt;0,AND(DAY($A8)=MIN(DAY('Recurring Schedule'!$F$26),DAY(EOMONTH($A8,0))),MOD((YEAR($A8)-YEAR('Recurring Schedule'!$F$26))*12+MONTH($A8)-MONTH('Recurring Schedule'!$F$26),'Recurring Schedule'!$O$26)=0),IF('Recurring Schedule'!$E$26="Weekdays",WEEKDAY($A8,2)&lt;=5,$A8='Recurring Schedule'!$F$26))),21,""))))</f>
        <v/>
      </c>
      <c r="W8">
        <f>IF('Recurring Schedule'!$C$27="","",IF('Recurring Schedule'!$F$27="","",IF(OR($A8&lt;'Recurring Schedule'!$F$27,$A8&gt;'Recurring Schedule'!$P$27),"",IF(IF('Recurring Schedule'!$N$27&gt;0,MOD($A8-'Recurring Schedule'!$F$27,'Recurring Schedule'!$N$27)=0,IF('Recurring Schedule'!$O$27&gt;0,AND(DAY($A8)=MIN(DAY('Recurring Schedule'!$F$27),DAY(EOMONTH($A8,0))),MOD((YEAR($A8)-YEAR('Recurring Schedule'!$F$27))*12+MONTH($A8)-MONTH('Recurring Schedule'!$F$27),'Recurring Schedule'!$O$27)=0),IF('Recurring Schedule'!$E$27="Weekdays",WEEKDAY($A8,2)&lt;=5,$A8='Recurring Schedule'!$F$27))),22,""))))</f>
        <v/>
      </c>
      <c r="X8">
        <f>IF('Recurring Schedule'!$C$28="","",IF('Recurring Schedule'!$F$28="","",IF(OR($A8&lt;'Recurring Schedule'!$F$28,$A8&gt;'Recurring Schedule'!$P$28),"",IF(IF('Recurring Schedule'!$N$28&gt;0,MOD($A8-'Recurring Schedule'!$F$28,'Recurring Schedule'!$N$28)=0,IF('Recurring Schedule'!$O$28&gt;0,AND(DAY($A8)=MIN(DAY('Recurring Schedule'!$F$28),DAY(EOMONTH($A8,0))),MOD((YEAR($A8)-YEAR('Recurring Schedule'!$F$28))*12+MONTH($A8)-MONTH('Recurring Schedule'!$F$28),'Recurring Schedule'!$O$28)=0),IF('Recurring Schedule'!$E$28="Weekdays",WEEKDAY($A8,2)&lt;=5,$A8='Recurring Schedule'!$F$28))),23,""))))</f>
        <v/>
      </c>
      <c r="Y8">
        <f>IF('Recurring Schedule'!$C$29="","",IF('Recurring Schedule'!$F$29="","",IF(OR($A8&lt;'Recurring Schedule'!$F$29,$A8&gt;'Recurring Schedule'!$P$29),"",IF(IF('Recurring Schedule'!$N$29&gt;0,MOD($A8-'Recurring Schedule'!$F$29,'Recurring Schedule'!$N$29)=0,IF('Recurring Schedule'!$O$29&gt;0,AND(DAY($A8)=MIN(DAY('Recurring Schedule'!$F$29),DAY(EOMONTH($A8,0))),MOD((YEAR($A8)-YEAR('Recurring Schedule'!$F$29))*12+MONTH($A8)-MONTH('Recurring Schedule'!$F$29),'Recurring Schedule'!$O$29)=0),IF('Recurring Schedule'!$E$29="Weekdays",WEEKDAY($A8,2)&lt;=5,$A8='Recurring Schedule'!$F$29))),24,""))))</f>
        <v/>
      </c>
      <c r="Z8">
        <f>IF('Recurring Schedule'!$C$30="","",IF('Recurring Schedule'!$F$30="","",IF(OR($A8&lt;'Recurring Schedule'!$F$30,$A8&gt;'Recurring Schedule'!$P$30),"",IF(IF('Recurring Schedule'!$N$30&gt;0,MOD($A8-'Recurring Schedule'!$F$30,'Recurring Schedule'!$N$30)=0,IF('Recurring Schedule'!$O$30&gt;0,AND(DAY($A8)=MIN(DAY('Recurring Schedule'!$F$30),DAY(EOMONTH($A8,0))),MOD((YEAR($A8)-YEAR('Recurring Schedule'!$F$30))*12+MONTH($A8)-MONTH('Recurring Schedule'!$F$30),'Recurring Schedule'!$O$30)=0),IF('Recurring Schedule'!$E$30="Weekdays",WEEKDAY($A8,2)&lt;=5,$A8='Recurring Schedule'!$F$30))),25,""))))</f>
        <v/>
      </c>
      <c r="AA8">
        <f>IF('Recurring Schedule'!$C$31="","",IF('Recurring Schedule'!$F$31="","",IF(OR($A8&lt;'Recurring Schedule'!$F$31,$A8&gt;'Recurring Schedule'!$P$31),"",IF(IF('Recurring Schedule'!$N$31&gt;0,MOD($A8-'Recurring Schedule'!$F$31,'Recurring Schedule'!$N$31)=0,IF('Recurring Schedule'!$O$31&gt;0,AND(DAY($A8)=MIN(DAY('Recurring Schedule'!$F$31),DAY(EOMONTH($A8,0))),MOD((YEAR($A8)-YEAR('Recurring Schedule'!$F$31))*12+MONTH($A8)-MONTH('Recurring Schedule'!$F$31),'Recurring Schedule'!$O$31)=0),IF('Recurring Schedule'!$E$31="Weekdays",WEEKDAY($A8,2)&lt;=5,$A8='Recurring Schedule'!$F$31))),26,""))))</f>
        <v/>
      </c>
      <c r="AB8">
        <f>IF('Recurring Schedule'!$C$32="","",IF('Recurring Schedule'!$F$32="","",IF(OR($A8&lt;'Recurring Schedule'!$F$32,$A8&gt;'Recurring Schedule'!$P$32),"",IF(IF('Recurring Schedule'!$N$32&gt;0,MOD($A8-'Recurring Schedule'!$F$32,'Recurring Schedule'!$N$32)=0,IF('Recurring Schedule'!$O$32&gt;0,AND(DAY($A8)=MIN(DAY('Recurring Schedule'!$F$32),DAY(EOMONTH($A8,0))),MOD((YEAR($A8)-YEAR('Recurring Schedule'!$F$32))*12+MONTH($A8)-MONTH('Recurring Schedule'!$F$32),'Recurring Schedule'!$O$32)=0),IF('Recurring Schedule'!$E$32="Weekdays",WEEKDAY($A8,2)&lt;=5,$A8='Recurring Schedule'!$F$32))),27,""))))</f>
        <v/>
      </c>
      <c r="AC8">
        <f>IF('Recurring Schedule'!$C$33="","",IF('Recurring Schedule'!$F$33="","",IF(OR($A8&lt;'Recurring Schedule'!$F$33,$A8&gt;'Recurring Schedule'!$P$33),"",IF(IF('Recurring Schedule'!$N$33&gt;0,MOD($A8-'Recurring Schedule'!$F$33,'Recurring Schedule'!$N$33)=0,IF('Recurring Schedule'!$O$33&gt;0,AND(DAY($A8)=MIN(DAY('Recurring Schedule'!$F$33),DAY(EOMONTH($A8,0))),MOD((YEAR($A8)-YEAR('Recurring Schedule'!$F$33))*12+MONTH($A8)-MONTH('Recurring Schedule'!$F$33),'Recurring Schedule'!$O$33)=0),IF('Recurring Schedule'!$E$33="Weekdays",WEEKDAY($A8,2)&lt;=5,$A8='Recurring Schedule'!$F$33))),28,""))))</f>
        <v/>
      </c>
      <c r="AD8">
        <f>IF('Recurring Schedule'!$C$34="","",IF('Recurring Schedule'!$F$34="","",IF(OR($A8&lt;'Recurring Schedule'!$F$34,$A8&gt;'Recurring Schedule'!$P$34),"",IF(IF('Recurring Schedule'!$N$34&gt;0,MOD($A8-'Recurring Schedule'!$F$34,'Recurring Schedule'!$N$34)=0,IF('Recurring Schedule'!$O$34&gt;0,AND(DAY($A8)=MIN(DAY('Recurring Schedule'!$F$34),DAY(EOMONTH($A8,0))),MOD((YEAR($A8)-YEAR('Recurring Schedule'!$F$34))*12+MONTH($A8)-MONTH('Recurring Schedule'!$F$34),'Recurring Schedule'!$O$34)=0),IF('Recurring Schedule'!$E$34="Weekdays",WEEKDAY($A8,2)&lt;=5,$A8='Recurring Schedule'!$F$34))),29,""))))</f>
        <v/>
      </c>
      <c r="AE8">
        <f>IF('Recurring Schedule'!$C$35="","",IF('Recurring Schedule'!$F$35="","",IF(OR($A8&lt;'Recurring Schedule'!$F$35,$A8&gt;'Recurring Schedule'!$P$35),"",IF(IF('Recurring Schedule'!$N$35&gt;0,MOD($A8-'Recurring Schedule'!$F$35,'Recurring Schedule'!$N$35)=0,IF('Recurring Schedule'!$O$35&gt;0,AND(DAY($A8)=MIN(DAY('Recurring Schedule'!$F$35),DAY(EOMONTH($A8,0))),MOD((YEAR($A8)-YEAR('Recurring Schedule'!$F$35))*12+MONTH($A8)-MONTH('Recurring Schedule'!$F$35),'Recurring Schedule'!$O$35)=0),IF('Recurring Schedule'!$E$35="Weekdays",WEEKDAY($A8,2)&lt;=5,$A8='Recurring Schedule'!$F$35))),30,""))))</f>
        <v/>
      </c>
      <c r="AF8">
        <f>IF('Recurring Schedule'!$C$36="","",IF('Recurring Schedule'!$F$36="","",IF(OR($A8&lt;'Recurring Schedule'!$F$36,$A8&gt;'Recurring Schedule'!$P$36),"",IF(IF('Recurring Schedule'!$N$36&gt;0,MOD($A8-'Recurring Schedule'!$F$36,'Recurring Schedule'!$N$36)=0,IF('Recurring Schedule'!$O$36&gt;0,AND(DAY($A8)=MIN(DAY('Recurring Schedule'!$F$36),DAY(EOMONTH($A8,0))),MOD((YEAR($A8)-YEAR('Recurring Schedule'!$F$36))*12+MONTH($A8)-MONTH('Recurring Schedule'!$F$36),'Recurring Schedule'!$O$36)=0),IF('Recurring Schedule'!$E$36="Weekdays",WEEKDAY($A8,2)&lt;=5,$A8='Recurring Schedule'!$F$36))),31,""))))</f>
        <v/>
      </c>
      <c r="AG8">
        <f>IF('Recurring Schedule'!$C$37="","",IF('Recurring Schedule'!$F$37="","",IF(OR($A8&lt;'Recurring Schedule'!$F$37,$A8&gt;'Recurring Schedule'!$P$37),"",IF(IF('Recurring Schedule'!$N$37&gt;0,MOD($A8-'Recurring Schedule'!$F$37,'Recurring Schedule'!$N$37)=0,IF('Recurring Schedule'!$O$37&gt;0,AND(DAY($A8)=MIN(DAY('Recurring Schedule'!$F$37),DAY(EOMONTH($A8,0))),MOD((YEAR($A8)-YEAR('Recurring Schedule'!$F$37))*12+MONTH($A8)-MONTH('Recurring Schedule'!$F$37),'Recurring Schedule'!$O$37)=0),IF('Recurring Schedule'!$E$37="Weekdays",WEEKDAY($A8,2)&lt;=5,$A8='Recurring Schedule'!$F$37))),32,""))))</f>
        <v/>
      </c>
      <c r="AH8">
        <f>IF('Recurring Schedule'!$C$38="","",IF('Recurring Schedule'!$F$38="","",IF(OR($A8&lt;'Recurring Schedule'!$F$38,$A8&gt;'Recurring Schedule'!$P$38),"",IF(IF('Recurring Schedule'!$N$38&gt;0,MOD($A8-'Recurring Schedule'!$F$38,'Recurring Schedule'!$N$38)=0,IF('Recurring Schedule'!$O$38&gt;0,AND(DAY($A8)=MIN(DAY('Recurring Schedule'!$F$38),DAY(EOMONTH($A8,0))),MOD((YEAR($A8)-YEAR('Recurring Schedule'!$F$38))*12+MONTH($A8)-MONTH('Recurring Schedule'!$F$38),'Recurring Schedule'!$O$38)=0),IF('Recurring Schedule'!$E$38="Weekdays",WEEKDAY($A8,2)&lt;=5,$A8='Recurring Schedule'!$F$38))),33,""))))</f>
        <v/>
      </c>
      <c r="AI8">
        <f>IF('Recurring Schedule'!$C$39="","",IF('Recurring Schedule'!$F$39="","",IF(OR($A8&lt;'Recurring Schedule'!$F$39,$A8&gt;'Recurring Schedule'!$P$39),"",IF(IF('Recurring Schedule'!$N$39&gt;0,MOD($A8-'Recurring Schedule'!$F$39,'Recurring Schedule'!$N$39)=0,IF('Recurring Schedule'!$O$39&gt;0,AND(DAY($A8)=MIN(DAY('Recurring Schedule'!$F$39),DAY(EOMONTH($A8,0))),MOD((YEAR($A8)-YEAR('Recurring Schedule'!$F$39))*12+MONTH($A8)-MONTH('Recurring Schedule'!$F$39),'Recurring Schedule'!$O$39)=0),IF('Recurring Schedule'!$E$39="Weekdays",WEEKDAY($A8,2)&lt;=5,$A8='Recurring Schedule'!$F$39))),34,""))))</f>
        <v/>
      </c>
      <c r="AJ8">
        <f>IF('Recurring Schedule'!$C$40="","",IF('Recurring Schedule'!$F$40="","",IF(OR($A8&lt;'Recurring Schedule'!$F$40,$A8&gt;'Recurring Schedule'!$P$40),"",IF(IF('Recurring Schedule'!$N$40&gt;0,MOD($A8-'Recurring Schedule'!$F$40,'Recurring Schedule'!$N$40)=0,IF('Recurring Schedule'!$O$40&gt;0,AND(DAY($A8)=MIN(DAY('Recurring Schedule'!$F$40),DAY(EOMONTH($A8,0))),MOD((YEAR($A8)-YEAR('Recurring Schedule'!$F$40))*12+MONTH($A8)-MONTH('Recurring Schedule'!$F$40),'Recurring Schedule'!$O$40)=0),IF('Recurring Schedule'!$E$40="Weekdays",WEEKDAY($A8,2)&lt;=5,$A8='Recurring Schedule'!$F$40))),35,""))))</f>
        <v/>
      </c>
      <c r="AK8">
        <f>IF('Recurring Schedule'!$C$41="","",IF('Recurring Schedule'!$F$41="","",IF(OR($A8&lt;'Recurring Schedule'!$F$41,$A8&gt;'Recurring Schedule'!$P$41),"",IF(IF('Recurring Schedule'!$N$41&gt;0,MOD($A8-'Recurring Schedule'!$F$41,'Recurring Schedule'!$N$41)=0,IF('Recurring Schedule'!$O$41&gt;0,AND(DAY($A8)=MIN(DAY('Recurring Schedule'!$F$41),DAY(EOMONTH($A8,0))),MOD((YEAR($A8)-YEAR('Recurring Schedule'!$F$41))*12+MONTH($A8)-MONTH('Recurring Schedule'!$F$41),'Recurring Schedule'!$O$41)=0),IF('Recurring Schedule'!$E$41="Weekdays",WEEKDAY($A8,2)&lt;=5,$A8='Recurring Schedule'!$F$41))),36,""))))</f>
        <v/>
      </c>
      <c r="AL8">
        <f>IF('Recurring Schedule'!$C$42="","",IF('Recurring Schedule'!$F$42="","",IF(OR($A8&lt;'Recurring Schedule'!$F$42,$A8&gt;'Recurring Schedule'!$P$42),"",IF(IF('Recurring Schedule'!$N$42&gt;0,MOD($A8-'Recurring Schedule'!$F$42,'Recurring Schedule'!$N$42)=0,IF('Recurring Schedule'!$O$42&gt;0,AND(DAY($A8)=MIN(DAY('Recurring Schedule'!$F$42),DAY(EOMONTH($A8,0))),MOD((YEAR($A8)-YEAR('Recurring Schedule'!$F$42))*12+MONTH($A8)-MONTH('Recurring Schedule'!$F$42),'Recurring Schedule'!$O$42)=0),IF('Recurring Schedule'!$E$42="Weekdays",WEEKDAY($A8,2)&lt;=5,$A8='Recurring Schedule'!$F$42))),37,""))))</f>
        <v/>
      </c>
      <c r="AM8">
        <f>IF('Recurring Schedule'!$C$43="","",IF('Recurring Schedule'!$F$43="","",IF(OR($A8&lt;'Recurring Schedule'!$F$43,$A8&gt;'Recurring Schedule'!$P$43),"",IF(IF('Recurring Schedule'!$N$43&gt;0,MOD($A8-'Recurring Schedule'!$F$43,'Recurring Schedule'!$N$43)=0,IF('Recurring Schedule'!$O$43&gt;0,AND(DAY($A8)=MIN(DAY('Recurring Schedule'!$F$43),DAY(EOMONTH($A8,0))),MOD((YEAR($A8)-YEAR('Recurring Schedule'!$F$43))*12+MONTH($A8)-MONTH('Recurring Schedule'!$F$43),'Recurring Schedule'!$O$43)=0),IF('Recurring Schedule'!$E$43="Weekdays",WEEKDAY($A8,2)&lt;=5,$A8='Recurring Schedule'!$F$43))),38,""))))</f>
        <v/>
      </c>
      <c r="AN8">
        <f>IF('Recurring Schedule'!$C$44="","",IF('Recurring Schedule'!$F$44="","",IF(OR($A8&lt;'Recurring Schedule'!$F$44,$A8&gt;'Recurring Schedule'!$P$44),"",IF(IF('Recurring Schedule'!$N$44&gt;0,MOD($A8-'Recurring Schedule'!$F$44,'Recurring Schedule'!$N$44)=0,IF('Recurring Schedule'!$O$44&gt;0,AND(DAY($A8)=MIN(DAY('Recurring Schedule'!$F$44),DAY(EOMONTH($A8,0))),MOD((YEAR($A8)-YEAR('Recurring Schedule'!$F$44))*12+MONTH($A8)-MONTH('Recurring Schedule'!$F$44),'Recurring Schedule'!$O$44)=0),IF('Recurring Schedule'!$E$44="Weekdays",WEEKDAY($A8,2)&lt;=5,$A8='Recurring Schedule'!$F$44))),39,""))))</f>
        <v/>
      </c>
      <c r="AO8">
        <f>IF('Recurring Schedule'!$C$45="","",IF('Recurring Schedule'!$F$45="","",IF(OR($A8&lt;'Recurring Schedule'!$F$45,$A8&gt;'Recurring Schedule'!$P$45),"",IF(IF('Recurring Schedule'!$N$45&gt;0,MOD($A8-'Recurring Schedule'!$F$45,'Recurring Schedule'!$N$45)=0,IF('Recurring Schedule'!$O$45&gt;0,AND(DAY($A8)=MIN(DAY('Recurring Schedule'!$F$45),DAY(EOMONTH($A8,0))),MOD((YEAR($A8)-YEAR('Recurring Schedule'!$F$45))*12+MONTH($A8)-MONTH('Recurring Schedule'!$F$45),'Recurring Schedule'!$O$45)=0),IF('Recurring Schedule'!$E$45="Weekdays",WEEKDAY($A8,2)&lt;=5,$A8='Recurring Schedule'!$F$45))),40,""))))</f>
        <v/>
      </c>
      <c r="AP8">
        <f>COUNT(B8:AO8)</f>
        <v/>
      </c>
      <c r="AQ8">
        <f>AQ7+AP7</f>
        <v/>
      </c>
      <c r="AS8" t="inlineStr">
        <is>
          <t>R</t>
        </is>
      </c>
      <c r="AT8" t="n">
        <v>12</v>
      </c>
      <c r="AU8">
        <f>'Recurring Log'!C12&amp;""</f>
        <v/>
      </c>
      <c r="AV8">
        <f>'Recurring Log'!D12&amp;""</f>
        <v/>
      </c>
      <c r="AW8">
        <f>IF('Recurring Log'!E12="","",'Recurring Log'!E12)</f>
        <v/>
      </c>
      <c r="AX8">
        <f>IF('Recurring Log'!G12="","",'Recurring Log'!G12)</f>
        <v/>
      </c>
      <c r="AY8">
        <f>IF('Recurring Log'!H12="","",'Recurring Log'!H12)</f>
        <v/>
      </c>
      <c r="AZ8">
        <f>IF(AU8="","",IF('Recurring Log'!J12="","Not Started",'Recurring Log'!J12))</f>
        <v/>
      </c>
      <c r="BA8">
        <f>'Recurring Log'!L12&amp;""</f>
        <v/>
      </c>
      <c r="BB8">
        <f>'Recurring Log'!M12&amp;""</f>
        <v/>
      </c>
      <c r="BC8">
        <f>'Recurring Log'!N12&amp;""</f>
        <v/>
      </c>
      <c r="BD8">
        <f>'Recurring Log'!O12&amp;""</f>
        <v/>
      </c>
      <c r="BE8">
        <f>IF('Recurring Log'!K12="","",'Recurring Log'!K12)</f>
        <v/>
      </c>
      <c r="BF8">
        <f>IFERROR(MATCH(BA8,Setup!$L$6:$L$9,0),5)</f>
        <v/>
      </c>
      <c r="BG8">
        <f>IF(OR(AZ8="Done",AZ8="Cancelled"),1,0)</f>
        <v/>
      </c>
      <c r="BH8">
        <f>IF(AND(AU8&lt;&gt;"",ISNUMBER(AW8)),1,0)</f>
        <v/>
      </c>
      <c r="BI8">
        <f>IF(BH8=0,0,IF(AND(AW8&gt;='Tasks Filter'!$F$3,AW8&lt;='Tasks Filter'!$F$4,OR('Tasks Filter'!$I$3="",ISNUMBER(SEARCH('Tasks Filter'!$I$3,AU8))),OR('Tasks Filter'!$I$4="",BF8=IFERROR(MATCH('Tasks Filter'!$I$4,Setup!$L$6:$L$9,0),0)),OR('Tasks Filter'!$I$5="Both",AND('Tasks Filter'!$I$5="Yes",BB8="✓"),AND('Tasks Filter'!$I$5="No",BB8&lt;&gt;"✓")),OR('Tasks Filter'!$L$3="",AV8='Tasks Filter'!$L$3),OR('Tasks Filter'!$L$4="",AZ8='Tasks Filter'!$L$4),OR('Tasks Filter'!$L$5="",BC8='Tasks Filter'!$L$5),OR('Tasks Filter'!$O$3="",BD8='Tasks Filter'!$O$3),OR('Tasks Filter'!$O$4="Yes",BG8=0)),1,0))</f>
        <v/>
      </c>
      <c r="BJ8">
        <f>IF(BH8=0,"",IF('Tasks Filter'!$F$6="Descending",-1,1)*CHOOSE(MATCH('Tasks Filter'!$F$5,Lists!$G$2:$G$6,0),AW8,BF8,IFERROR(MATCH(AV8,Setup!$F$6:$F$15,0),99),IFERROR(MATCH(BC8,Setup!$H$6:$H$15,0),99),IFERROR(MATCH(AZ8,Setup!$J$6:$J$11,0),99))*1E+9+(AW8-40000)*10000+7)</f>
        <v/>
      </c>
      <c r="BK8">
        <f>IF(BI8=1,BJ8,"")</f>
        <v/>
      </c>
      <c r="BL8">
        <f>IF(AND(BH8=1,BG8=0,N(AW8)&lt;Setup!$D$7),(AW8-40000)*10000+7,"")</f>
        <v/>
      </c>
      <c r="BM8">
        <f>IF(AND(BH8=1,AZ8&lt;&gt;"Cancelled",N(AW8)&gt;=Dashboard!$AB$3,N(AW8)&lt;=Dashboard!$AB$3+6),(AW8-40000)*100000+BF8*10000+7,"")</f>
        <v/>
      </c>
      <c r="BN8">
        <f>IF(AND(BH8=1,AZ8&lt;&gt;"Cancelled"),BF8*10000+7,"")</f>
        <v/>
      </c>
    </row>
    <row r="9">
      <c r="A9">
        <f>Setup!$D$5+7</f>
        <v/>
      </c>
      <c r="B9">
        <f>IF('Recurring Schedule'!$C$6="","",IF('Recurring Schedule'!$F$6="","",IF(OR($A9&lt;'Recurring Schedule'!$F$6,$A9&gt;'Recurring Schedule'!$P$6),"",IF(IF('Recurring Schedule'!$N$6&gt;0,MOD($A9-'Recurring Schedule'!$F$6,'Recurring Schedule'!$N$6)=0,IF('Recurring Schedule'!$O$6&gt;0,AND(DAY($A9)=MIN(DAY('Recurring Schedule'!$F$6),DAY(EOMONTH($A9,0))),MOD((YEAR($A9)-YEAR('Recurring Schedule'!$F$6))*12+MONTH($A9)-MONTH('Recurring Schedule'!$F$6),'Recurring Schedule'!$O$6)=0),IF('Recurring Schedule'!$E$6="Weekdays",WEEKDAY($A9,2)&lt;=5,$A9='Recurring Schedule'!$F$6))),1,""))))</f>
        <v/>
      </c>
      <c r="C9">
        <f>IF('Recurring Schedule'!$C$7="","",IF('Recurring Schedule'!$F$7="","",IF(OR($A9&lt;'Recurring Schedule'!$F$7,$A9&gt;'Recurring Schedule'!$P$7),"",IF(IF('Recurring Schedule'!$N$7&gt;0,MOD($A9-'Recurring Schedule'!$F$7,'Recurring Schedule'!$N$7)=0,IF('Recurring Schedule'!$O$7&gt;0,AND(DAY($A9)=MIN(DAY('Recurring Schedule'!$F$7),DAY(EOMONTH($A9,0))),MOD((YEAR($A9)-YEAR('Recurring Schedule'!$F$7))*12+MONTH($A9)-MONTH('Recurring Schedule'!$F$7),'Recurring Schedule'!$O$7)=0),IF('Recurring Schedule'!$E$7="Weekdays",WEEKDAY($A9,2)&lt;=5,$A9='Recurring Schedule'!$F$7))),2,""))))</f>
        <v/>
      </c>
      <c r="D9">
        <f>IF('Recurring Schedule'!$C$8="","",IF('Recurring Schedule'!$F$8="","",IF(OR($A9&lt;'Recurring Schedule'!$F$8,$A9&gt;'Recurring Schedule'!$P$8),"",IF(IF('Recurring Schedule'!$N$8&gt;0,MOD($A9-'Recurring Schedule'!$F$8,'Recurring Schedule'!$N$8)=0,IF('Recurring Schedule'!$O$8&gt;0,AND(DAY($A9)=MIN(DAY('Recurring Schedule'!$F$8),DAY(EOMONTH($A9,0))),MOD((YEAR($A9)-YEAR('Recurring Schedule'!$F$8))*12+MONTH($A9)-MONTH('Recurring Schedule'!$F$8),'Recurring Schedule'!$O$8)=0),IF('Recurring Schedule'!$E$8="Weekdays",WEEKDAY($A9,2)&lt;=5,$A9='Recurring Schedule'!$F$8))),3,""))))</f>
        <v/>
      </c>
      <c r="E9">
        <f>IF('Recurring Schedule'!$C$9="","",IF('Recurring Schedule'!$F$9="","",IF(OR($A9&lt;'Recurring Schedule'!$F$9,$A9&gt;'Recurring Schedule'!$P$9),"",IF(IF('Recurring Schedule'!$N$9&gt;0,MOD($A9-'Recurring Schedule'!$F$9,'Recurring Schedule'!$N$9)=0,IF('Recurring Schedule'!$O$9&gt;0,AND(DAY($A9)=MIN(DAY('Recurring Schedule'!$F$9),DAY(EOMONTH($A9,0))),MOD((YEAR($A9)-YEAR('Recurring Schedule'!$F$9))*12+MONTH($A9)-MONTH('Recurring Schedule'!$F$9),'Recurring Schedule'!$O$9)=0),IF('Recurring Schedule'!$E$9="Weekdays",WEEKDAY($A9,2)&lt;=5,$A9='Recurring Schedule'!$F$9))),4,""))))</f>
        <v/>
      </c>
      <c r="F9">
        <f>IF('Recurring Schedule'!$C$10="","",IF('Recurring Schedule'!$F$10="","",IF(OR($A9&lt;'Recurring Schedule'!$F$10,$A9&gt;'Recurring Schedule'!$P$10),"",IF(IF('Recurring Schedule'!$N$10&gt;0,MOD($A9-'Recurring Schedule'!$F$10,'Recurring Schedule'!$N$10)=0,IF('Recurring Schedule'!$O$10&gt;0,AND(DAY($A9)=MIN(DAY('Recurring Schedule'!$F$10),DAY(EOMONTH($A9,0))),MOD((YEAR($A9)-YEAR('Recurring Schedule'!$F$10))*12+MONTH($A9)-MONTH('Recurring Schedule'!$F$10),'Recurring Schedule'!$O$10)=0),IF('Recurring Schedule'!$E$10="Weekdays",WEEKDAY($A9,2)&lt;=5,$A9='Recurring Schedule'!$F$10))),5,""))))</f>
        <v/>
      </c>
      <c r="G9">
        <f>IF('Recurring Schedule'!$C$11="","",IF('Recurring Schedule'!$F$11="","",IF(OR($A9&lt;'Recurring Schedule'!$F$11,$A9&gt;'Recurring Schedule'!$P$11),"",IF(IF('Recurring Schedule'!$N$11&gt;0,MOD($A9-'Recurring Schedule'!$F$11,'Recurring Schedule'!$N$11)=0,IF('Recurring Schedule'!$O$11&gt;0,AND(DAY($A9)=MIN(DAY('Recurring Schedule'!$F$11),DAY(EOMONTH($A9,0))),MOD((YEAR($A9)-YEAR('Recurring Schedule'!$F$11))*12+MONTH($A9)-MONTH('Recurring Schedule'!$F$11),'Recurring Schedule'!$O$11)=0),IF('Recurring Schedule'!$E$11="Weekdays",WEEKDAY($A9,2)&lt;=5,$A9='Recurring Schedule'!$F$11))),6,""))))</f>
        <v/>
      </c>
      <c r="H9">
        <f>IF('Recurring Schedule'!$C$12="","",IF('Recurring Schedule'!$F$12="","",IF(OR($A9&lt;'Recurring Schedule'!$F$12,$A9&gt;'Recurring Schedule'!$P$12),"",IF(IF('Recurring Schedule'!$N$12&gt;0,MOD($A9-'Recurring Schedule'!$F$12,'Recurring Schedule'!$N$12)=0,IF('Recurring Schedule'!$O$12&gt;0,AND(DAY($A9)=MIN(DAY('Recurring Schedule'!$F$12),DAY(EOMONTH($A9,0))),MOD((YEAR($A9)-YEAR('Recurring Schedule'!$F$12))*12+MONTH($A9)-MONTH('Recurring Schedule'!$F$12),'Recurring Schedule'!$O$12)=0),IF('Recurring Schedule'!$E$12="Weekdays",WEEKDAY($A9,2)&lt;=5,$A9='Recurring Schedule'!$F$12))),7,""))))</f>
        <v/>
      </c>
      <c r="I9">
        <f>IF('Recurring Schedule'!$C$13="","",IF('Recurring Schedule'!$F$13="","",IF(OR($A9&lt;'Recurring Schedule'!$F$13,$A9&gt;'Recurring Schedule'!$P$13),"",IF(IF('Recurring Schedule'!$N$13&gt;0,MOD($A9-'Recurring Schedule'!$F$13,'Recurring Schedule'!$N$13)=0,IF('Recurring Schedule'!$O$13&gt;0,AND(DAY($A9)=MIN(DAY('Recurring Schedule'!$F$13),DAY(EOMONTH($A9,0))),MOD((YEAR($A9)-YEAR('Recurring Schedule'!$F$13))*12+MONTH($A9)-MONTH('Recurring Schedule'!$F$13),'Recurring Schedule'!$O$13)=0),IF('Recurring Schedule'!$E$13="Weekdays",WEEKDAY($A9,2)&lt;=5,$A9='Recurring Schedule'!$F$13))),8,""))))</f>
        <v/>
      </c>
      <c r="J9">
        <f>IF('Recurring Schedule'!$C$14="","",IF('Recurring Schedule'!$F$14="","",IF(OR($A9&lt;'Recurring Schedule'!$F$14,$A9&gt;'Recurring Schedule'!$P$14),"",IF(IF('Recurring Schedule'!$N$14&gt;0,MOD($A9-'Recurring Schedule'!$F$14,'Recurring Schedule'!$N$14)=0,IF('Recurring Schedule'!$O$14&gt;0,AND(DAY($A9)=MIN(DAY('Recurring Schedule'!$F$14),DAY(EOMONTH($A9,0))),MOD((YEAR($A9)-YEAR('Recurring Schedule'!$F$14))*12+MONTH($A9)-MONTH('Recurring Schedule'!$F$14),'Recurring Schedule'!$O$14)=0),IF('Recurring Schedule'!$E$14="Weekdays",WEEKDAY($A9,2)&lt;=5,$A9='Recurring Schedule'!$F$14))),9,""))))</f>
        <v/>
      </c>
      <c r="K9">
        <f>IF('Recurring Schedule'!$C$15="","",IF('Recurring Schedule'!$F$15="","",IF(OR($A9&lt;'Recurring Schedule'!$F$15,$A9&gt;'Recurring Schedule'!$P$15),"",IF(IF('Recurring Schedule'!$N$15&gt;0,MOD($A9-'Recurring Schedule'!$F$15,'Recurring Schedule'!$N$15)=0,IF('Recurring Schedule'!$O$15&gt;0,AND(DAY($A9)=MIN(DAY('Recurring Schedule'!$F$15),DAY(EOMONTH($A9,0))),MOD((YEAR($A9)-YEAR('Recurring Schedule'!$F$15))*12+MONTH($A9)-MONTH('Recurring Schedule'!$F$15),'Recurring Schedule'!$O$15)=0),IF('Recurring Schedule'!$E$15="Weekdays",WEEKDAY($A9,2)&lt;=5,$A9='Recurring Schedule'!$F$15))),10,""))))</f>
        <v/>
      </c>
      <c r="L9">
        <f>IF('Recurring Schedule'!$C$16="","",IF('Recurring Schedule'!$F$16="","",IF(OR($A9&lt;'Recurring Schedule'!$F$16,$A9&gt;'Recurring Schedule'!$P$16),"",IF(IF('Recurring Schedule'!$N$16&gt;0,MOD($A9-'Recurring Schedule'!$F$16,'Recurring Schedule'!$N$16)=0,IF('Recurring Schedule'!$O$16&gt;0,AND(DAY($A9)=MIN(DAY('Recurring Schedule'!$F$16),DAY(EOMONTH($A9,0))),MOD((YEAR($A9)-YEAR('Recurring Schedule'!$F$16))*12+MONTH($A9)-MONTH('Recurring Schedule'!$F$16),'Recurring Schedule'!$O$16)=0),IF('Recurring Schedule'!$E$16="Weekdays",WEEKDAY($A9,2)&lt;=5,$A9='Recurring Schedule'!$F$16))),11,""))))</f>
        <v/>
      </c>
      <c r="M9">
        <f>IF('Recurring Schedule'!$C$17="","",IF('Recurring Schedule'!$F$17="","",IF(OR($A9&lt;'Recurring Schedule'!$F$17,$A9&gt;'Recurring Schedule'!$P$17),"",IF(IF('Recurring Schedule'!$N$17&gt;0,MOD($A9-'Recurring Schedule'!$F$17,'Recurring Schedule'!$N$17)=0,IF('Recurring Schedule'!$O$17&gt;0,AND(DAY($A9)=MIN(DAY('Recurring Schedule'!$F$17),DAY(EOMONTH($A9,0))),MOD((YEAR($A9)-YEAR('Recurring Schedule'!$F$17))*12+MONTH($A9)-MONTH('Recurring Schedule'!$F$17),'Recurring Schedule'!$O$17)=0),IF('Recurring Schedule'!$E$17="Weekdays",WEEKDAY($A9,2)&lt;=5,$A9='Recurring Schedule'!$F$17))),12,""))))</f>
        <v/>
      </c>
      <c r="N9">
        <f>IF('Recurring Schedule'!$C$18="","",IF('Recurring Schedule'!$F$18="","",IF(OR($A9&lt;'Recurring Schedule'!$F$18,$A9&gt;'Recurring Schedule'!$P$18),"",IF(IF('Recurring Schedule'!$N$18&gt;0,MOD($A9-'Recurring Schedule'!$F$18,'Recurring Schedule'!$N$18)=0,IF('Recurring Schedule'!$O$18&gt;0,AND(DAY($A9)=MIN(DAY('Recurring Schedule'!$F$18),DAY(EOMONTH($A9,0))),MOD((YEAR($A9)-YEAR('Recurring Schedule'!$F$18))*12+MONTH($A9)-MONTH('Recurring Schedule'!$F$18),'Recurring Schedule'!$O$18)=0),IF('Recurring Schedule'!$E$18="Weekdays",WEEKDAY($A9,2)&lt;=5,$A9='Recurring Schedule'!$F$18))),13,""))))</f>
        <v/>
      </c>
      <c r="O9">
        <f>IF('Recurring Schedule'!$C$19="","",IF('Recurring Schedule'!$F$19="","",IF(OR($A9&lt;'Recurring Schedule'!$F$19,$A9&gt;'Recurring Schedule'!$P$19),"",IF(IF('Recurring Schedule'!$N$19&gt;0,MOD($A9-'Recurring Schedule'!$F$19,'Recurring Schedule'!$N$19)=0,IF('Recurring Schedule'!$O$19&gt;0,AND(DAY($A9)=MIN(DAY('Recurring Schedule'!$F$19),DAY(EOMONTH($A9,0))),MOD((YEAR($A9)-YEAR('Recurring Schedule'!$F$19))*12+MONTH($A9)-MONTH('Recurring Schedule'!$F$19),'Recurring Schedule'!$O$19)=0),IF('Recurring Schedule'!$E$19="Weekdays",WEEKDAY($A9,2)&lt;=5,$A9='Recurring Schedule'!$F$19))),14,""))))</f>
        <v/>
      </c>
      <c r="P9">
        <f>IF('Recurring Schedule'!$C$20="","",IF('Recurring Schedule'!$F$20="","",IF(OR($A9&lt;'Recurring Schedule'!$F$20,$A9&gt;'Recurring Schedule'!$P$20),"",IF(IF('Recurring Schedule'!$N$20&gt;0,MOD($A9-'Recurring Schedule'!$F$20,'Recurring Schedule'!$N$20)=0,IF('Recurring Schedule'!$O$20&gt;0,AND(DAY($A9)=MIN(DAY('Recurring Schedule'!$F$20),DAY(EOMONTH($A9,0))),MOD((YEAR($A9)-YEAR('Recurring Schedule'!$F$20))*12+MONTH($A9)-MONTH('Recurring Schedule'!$F$20),'Recurring Schedule'!$O$20)=0),IF('Recurring Schedule'!$E$20="Weekdays",WEEKDAY($A9,2)&lt;=5,$A9='Recurring Schedule'!$F$20))),15,""))))</f>
        <v/>
      </c>
      <c r="Q9">
        <f>IF('Recurring Schedule'!$C$21="","",IF('Recurring Schedule'!$F$21="","",IF(OR($A9&lt;'Recurring Schedule'!$F$21,$A9&gt;'Recurring Schedule'!$P$21),"",IF(IF('Recurring Schedule'!$N$21&gt;0,MOD($A9-'Recurring Schedule'!$F$21,'Recurring Schedule'!$N$21)=0,IF('Recurring Schedule'!$O$21&gt;0,AND(DAY($A9)=MIN(DAY('Recurring Schedule'!$F$21),DAY(EOMONTH($A9,0))),MOD((YEAR($A9)-YEAR('Recurring Schedule'!$F$21))*12+MONTH($A9)-MONTH('Recurring Schedule'!$F$21),'Recurring Schedule'!$O$21)=0),IF('Recurring Schedule'!$E$21="Weekdays",WEEKDAY($A9,2)&lt;=5,$A9='Recurring Schedule'!$F$21))),16,""))))</f>
        <v/>
      </c>
      <c r="R9">
        <f>IF('Recurring Schedule'!$C$22="","",IF('Recurring Schedule'!$F$22="","",IF(OR($A9&lt;'Recurring Schedule'!$F$22,$A9&gt;'Recurring Schedule'!$P$22),"",IF(IF('Recurring Schedule'!$N$22&gt;0,MOD($A9-'Recurring Schedule'!$F$22,'Recurring Schedule'!$N$22)=0,IF('Recurring Schedule'!$O$22&gt;0,AND(DAY($A9)=MIN(DAY('Recurring Schedule'!$F$22),DAY(EOMONTH($A9,0))),MOD((YEAR($A9)-YEAR('Recurring Schedule'!$F$22))*12+MONTH($A9)-MONTH('Recurring Schedule'!$F$22),'Recurring Schedule'!$O$22)=0),IF('Recurring Schedule'!$E$22="Weekdays",WEEKDAY($A9,2)&lt;=5,$A9='Recurring Schedule'!$F$22))),17,""))))</f>
        <v/>
      </c>
      <c r="S9">
        <f>IF('Recurring Schedule'!$C$23="","",IF('Recurring Schedule'!$F$23="","",IF(OR($A9&lt;'Recurring Schedule'!$F$23,$A9&gt;'Recurring Schedule'!$P$23),"",IF(IF('Recurring Schedule'!$N$23&gt;0,MOD($A9-'Recurring Schedule'!$F$23,'Recurring Schedule'!$N$23)=0,IF('Recurring Schedule'!$O$23&gt;0,AND(DAY($A9)=MIN(DAY('Recurring Schedule'!$F$23),DAY(EOMONTH($A9,0))),MOD((YEAR($A9)-YEAR('Recurring Schedule'!$F$23))*12+MONTH($A9)-MONTH('Recurring Schedule'!$F$23),'Recurring Schedule'!$O$23)=0),IF('Recurring Schedule'!$E$23="Weekdays",WEEKDAY($A9,2)&lt;=5,$A9='Recurring Schedule'!$F$23))),18,""))))</f>
        <v/>
      </c>
      <c r="T9">
        <f>IF('Recurring Schedule'!$C$24="","",IF('Recurring Schedule'!$F$24="","",IF(OR($A9&lt;'Recurring Schedule'!$F$24,$A9&gt;'Recurring Schedule'!$P$24),"",IF(IF('Recurring Schedule'!$N$24&gt;0,MOD($A9-'Recurring Schedule'!$F$24,'Recurring Schedule'!$N$24)=0,IF('Recurring Schedule'!$O$24&gt;0,AND(DAY($A9)=MIN(DAY('Recurring Schedule'!$F$24),DAY(EOMONTH($A9,0))),MOD((YEAR($A9)-YEAR('Recurring Schedule'!$F$24))*12+MONTH($A9)-MONTH('Recurring Schedule'!$F$24),'Recurring Schedule'!$O$24)=0),IF('Recurring Schedule'!$E$24="Weekdays",WEEKDAY($A9,2)&lt;=5,$A9='Recurring Schedule'!$F$24))),19,""))))</f>
        <v/>
      </c>
      <c r="U9">
        <f>IF('Recurring Schedule'!$C$25="","",IF('Recurring Schedule'!$F$25="","",IF(OR($A9&lt;'Recurring Schedule'!$F$25,$A9&gt;'Recurring Schedule'!$P$25),"",IF(IF('Recurring Schedule'!$N$25&gt;0,MOD($A9-'Recurring Schedule'!$F$25,'Recurring Schedule'!$N$25)=0,IF('Recurring Schedule'!$O$25&gt;0,AND(DAY($A9)=MIN(DAY('Recurring Schedule'!$F$25),DAY(EOMONTH($A9,0))),MOD((YEAR($A9)-YEAR('Recurring Schedule'!$F$25))*12+MONTH($A9)-MONTH('Recurring Schedule'!$F$25),'Recurring Schedule'!$O$25)=0),IF('Recurring Schedule'!$E$25="Weekdays",WEEKDAY($A9,2)&lt;=5,$A9='Recurring Schedule'!$F$25))),20,""))))</f>
        <v/>
      </c>
      <c r="V9">
        <f>IF('Recurring Schedule'!$C$26="","",IF('Recurring Schedule'!$F$26="","",IF(OR($A9&lt;'Recurring Schedule'!$F$26,$A9&gt;'Recurring Schedule'!$P$26),"",IF(IF('Recurring Schedule'!$N$26&gt;0,MOD($A9-'Recurring Schedule'!$F$26,'Recurring Schedule'!$N$26)=0,IF('Recurring Schedule'!$O$26&gt;0,AND(DAY($A9)=MIN(DAY('Recurring Schedule'!$F$26),DAY(EOMONTH($A9,0))),MOD((YEAR($A9)-YEAR('Recurring Schedule'!$F$26))*12+MONTH($A9)-MONTH('Recurring Schedule'!$F$26),'Recurring Schedule'!$O$26)=0),IF('Recurring Schedule'!$E$26="Weekdays",WEEKDAY($A9,2)&lt;=5,$A9='Recurring Schedule'!$F$26))),21,""))))</f>
        <v/>
      </c>
      <c r="W9">
        <f>IF('Recurring Schedule'!$C$27="","",IF('Recurring Schedule'!$F$27="","",IF(OR($A9&lt;'Recurring Schedule'!$F$27,$A9&gt;'Recurring Schedule'!$P$27),"",IF(IF('Recurring Schedule'!$N$27&gt;0,MOD($A9-'Recurring Schedule'!$F$27,'Recurring Schedule'!$N$27)=0,IF('Recurring Schedule'!$O$27&gt;0,AND(DAY($A9)=MIN(DAY('Recurring Schedule'!$F$27),DAY(EOMONTH($A9,0))),MOD((YEAR($A9)-YEAR('Recurring Schedule'!$F$27))*12+MONTH($A9)-MONTH('Recurring Schedule'!$F$27),'Recurring Schedule'!$O$27)=0),IF('Recurring Schedule'!$E$27="Weekdays",WEEKDAY($A9,2)&lt;=5,$A9='Recurring Schedule'!$F$27))),22,""))))</f>
        <v/>
      </c>
      <c r="X9">
        <f>IF('Recurring Schedule'!$C$28="","",IF('Recurring Schedule'!$F$28="","",IF(OR($A9&lt;'Recurring Schedule'!$F$28,$A9&gt;'Recurring Schedule'!$P$28),"",IF(IF('Recurring Schedule'!$N$28&gt;0,MOD($A9-'Recurring Schedule'!$F$28,'Recurring Schedule'!$N$28)=0,IF('Recurring Schedule'!$O$28&gt;0,AND(DAY($A9)=MIN(DAY('Recurring Schedule'!$F$28),DAY(EOMONTH($A9,0))),MOD((YEAR($A9)-YEAR('Recurring Schedule'!$F$28))*12+MONTH($A9)-MONTH('Recurring Schedule'!$F$28),'Recurring Schedule'!$O$28)=0),IF('Recurring Schedule'!$E$28="Weekdays",WEEKDAY($A9,2)&lt;=5,$A9='Recurring Schedule'!$F$28))),23,""))))</f>
        <v/>
      </c>
      <c r="Y9">
        <f>IF('Recurring Schedule'!$C$29="","",IF('Recurring Schedule'!$F$29="","",IF(OR($A9&lt;'Recurring Schedule'!$F$29,$A9&gt;'Recurring Schedule'!$P$29),"",IF(IF('Recurring Schedule'!$N$29&gt;0,MOD($A9-'Recurring Schedule'!$F$29,'Recurring Schedule'!$N$29)=0,IF('Recurring Schedule'!$O$29&gt;0,AND(DAY($A9)=MIN(DAY('Recurring Schedule'!$F$29),DAY(EOMONTH($A9,0))),MOD((YEAR($A9)-YEAR('Recurring Schedule'!$F$29))*12+MONTH($A9)-MONTH('Recurring Schedule'!$F$29),'Recurring Schedule'!$O$29)=0),IF('Recurring Schedule'!$E$29="Weekdays",WEEKDAY($A9,2)&lt;=5,$A9='Recurring Schedule'!$F$29))),24,""))))</f>
        <v/>
      </c>
      <c r="Z9">
        <f>IF('Recurring Schedule'!$C$30="","",IF('Recurring Schedule'!$F$30="","",IF(OR($A9&lt;'Recurring Schedule'!$F$30,$A9&gt;'Recurring Schedule'!$P$30),"",IF(IF('Recurring Schedule'!$N$30&gt;0,MOD($A9-'Recurring Schedule'!$F$30,'Recurring Schedule'!$N$30)=0,IF('Recurring Schedule'!$O$30&gt;0,AND(DAY($A9)=MIN(DAY('Recurring Schedule'!$F$30),DAY(EOMONTH($A9,0))),MOD((YEAR($A9)-YEAR('Recurring Schedule'!$F$30))*12+MONTH($A9)-MONTH('Recurring Schedule'!$F$30),'Recurring Schedule'!$O$30)=0),IF('Recurring Schedule'!$E$30="Weekdays",WEEKDAY($A9,2)&lt;=5,$A9='Recurring Schedule'!$F$30))),25,""))))</f>
        <v/>
      </c>
      <c r="AA9">
        <f>IF('Recurring Schedule'!$C$31="","",IF('Recurring Schedule'!$F$31="","",IF(OR($A9&lt;'Recurring Schedule'!$F$31,$A9&gt;'Recurring Schedule'!$P$31),"",IF(IF('Recurring Schedule'!$N$31&gt;0,MOD($A9-'Recurring Schedule'!$F$31,'Recurring Schedule'!$N$31)=0,IF('Recurring Schedule'!$O$31&gt;0,AND(DAY($A9)=MIN(DAY('Recurring Schedule'!$F$31),DAY(EOMONTH($A9,0))),MOD((YEAR($A9)-YEAR('Recurring Schedule'!$F$31))*12+MONTH($A9)-MONTH('Recurring Schedule'!$F$31),'Recurring Schedule'!$O$31)=0),IF('Recurring Schedule'!$E$31="Weekdays",WEEKDAY($A9,2)&lt;=5,$A9='Recurring Schedule'!$F$31))),26,""))))</f>
        <v/>
      </c>
      <c r="AB9">
        <f>IF('Recurring Schedule'!$C$32="","",IF('Recurring Schedule'!$F$32="","",IF(OR($A9&lt;'Recurring Schedule'!$F$32,$A9&gt;'Recurring Schedule'!$P$32),"",IF(IF('Recurring Schedule'!$N$32&gt;0,MOD($A9-'Recurring Schedule'!$F$32,'Recurring Schedule'!$N$32)=0,IF('Recurring Schedule'!$O$32&gt;0,AND(DAY($A9)=MIN(DAY('Recurring Schedule'!$F$32),DAY(EOMONTH($A9,0))),MOD((YEAR($A9)-YEAR('Recurring Schedule'!$F$32))*12+MONTH($A9)-MONTH('Recurring Schedule'!$F$32),'Recurring Schedule'!$O$32)=0),IF('Recurring Schedule'!$E$32="Weekdays",WEEKDAY($A9,2)&lt;=5,$A9='Recurring Schedule'!$F$32))),27,""))))</f>
        <v/>
      </c>
      <c r="AC9">
        <f>IF('Recurring Schedule'!$C$33="","",IF('Recurring Schedule'!$F$33="","",IF(OR($A9&lt;'Recurring Schedule'!$F$33,$A9&gt;'Recurring Schedule'!$P$33),"",IF(IF('Recurring Schedule'!$N$33&gt;0,MOD($A9-'Recurring Schedule'!$F$33,'Recurring Schedule'!$N$33)=0,IF('Recurring Schedule'!$O$33&gt;0,AND(DAY($A9)=MIN(DAY('Recurring Schedule'!$F$33),DAY(EOMONTH($A9,0))),MOD((YEAR($A9)-YEAR('Recurring Schedule'!$F$33))*12+MONTH($A9)-MONTH('Recurring Schedule'!$F$33),'Recurring Schedule'!$O$33)=0),IF('Recurring Schedule'!$E$33="Weekdays",WEEKDAY($A9,2)&lt;=5,$A9='Recurring Schedule'!$F$33))),28,""))))</f>
        <v/>
      </c>
      <c r="AD9">
        <f>IF('Recurring Schedule'!$C$34="","",IF('Recurring Schedule'!$F$34="","",IF(OR($A9&lt;'Recurring Schedule'!$F$34,$A9&gt;'Recurring Schedule'!$P$34),"",IF(IF('Recurring Schedule'!$N$34&gt;0,MOD($A9-'Recurring Schedule'!$F$34,'Recurring Schedule'!$N$34)=0,IF('Recurring Schedule'!$O$34&gt;0,AND(DAY($A9)=MIN(DAY('Recurring Schedule'!$F$34),DAY(EOMONTH($A9,0))),MOD((YEAR($A9)-YEAR('Recurring Schedule'!$F$34))*12+MONTH($A9)-MONTH('Recurring Schedule'!$F$34),'Recurring Schedule'!$O$34)=0),IF('Recurring Schedule'!$E$34="Weekdays",WEEKDAY($A9,2)&lt;=5,$A9='Recurring Schedule'!$F$34))),29,""))))</f>
        <v/>
      </c>
      <c r="AE9">
        <f>IF('Recurring Schedule'!$C$35="","",IF('Recurring Schedule'!$F$35="","",IF(OR($A9&lt;'Recurring Schedule'!$F$35,$A9&gt;'Recurring Schedule'!$P$35),"",IF(IF('Recurring Schedule'!$N$35&gt;0,MOD($A9-'Recurring Schedule'!$F$35,'Recurring Schedule'!$N$35)=0,IF('Recurring Schedule'!$O$35&gt;0,AND(DAY($A9)=MIN(DAY('Recurring Schedule'!$F$35),DAY(EOMONTH($A9,0))),MOD((YEAR($A9)-YEAR('Recurring Schedule'!$F$35))*12+MONTH($A9)-MONTH('Recurring Schedule'!$F$35),'Recurring Schedule'!$O$35)=0),IF('Recurring Schedule'!$E$35="Weekdays",WEEKDAY($A9,2)&lt;=5,$A9='Recurring Schedule'!$F$35))),30,""))))</f>
        <v/>
      </c>
      <c r="AF9">
        <f>IF('Recurring Schedule'!$C$36="","",IF('Recurring Schedule'!$F$36="","",IF(OR($A9&lt;'Recurring Schedule'!$F$36,$A9&gt;'Recurring Schedule'!$P$36),"",IF(IF('Recurring Schedule'!$N$36&gt;0,MOD($A9-'Recurring Schedule'!$F$36,'Recurring Schedule'!$N$36)=0,IF('Recurring Schedule'!$O$36&gt;0,AND(DAY($A9)=MIN(DAY('Recurring Schedule'!$F$36),DAY(EOMONTH($A9,0))),MOD((YEAR($A9)-YEAR('Recurring Schedule'!$F$36))*12+MONTH($A9)-MONTH('Recurring Schedule'!$F$36),'Recurring Schedule'!$O$36)=0),IF('Recurring Schedule'!$E$36="Weekdays",WEEKDAY($A9,2)&lt;=5,$A9='Recurring Schedule'!$F$36))),31,""))))</f>
        <v/>
      </c>
      <c r="AG9">
        <f>IF('Recurring Schedule'!$C$37="","",IF('Recurring Schedule'!$F$37="","",IF(OR($A9&lt;'Recurring Schedule'!$F$37,$A9&gt;'Recurring Schedule'!$P$37),"",IF(IF('Recurring Schedule'!$N$37&gt;0,MOD($A9-'Recurring Schedule'!$F$37,'Recurring Schedule'!$N$37)=0,IF('Recurring Schedule'!$O$37&gt;0,AND(DAY($A9)=MIN(DAY('Recurring Schedule'!$F$37),DAY(EOMONTH($A9,0))),MOD((YEAR($A9)-YEAR('Recurring Schedule'!$F$37))*12+MONTH($A9)-MONTH('Recurring Schedule'!$F$37),'Recurring Schedule'!$O$37)=0),IF('Recurring Schedule'!$E$37="Weekdays",WEEKDAY($A9,2)&lt;=5,$A9='Recurring Schedule'!$F$37))),32,""))))</f>
        <v/>
      </c>
      <c r="AH9">
        <f>IF('Recurring Schedule'!$C$38="","",IF('Recurring Schedule'!$F$38="","",IF(OR($A9&lt;'Recurring Schedule'!$F$38,$A9&gt;'Recurring Schedule'!$P$38),"",IF(IF('Recurring Schedule'!$N$38&gt;0,MOD($A9-'Recurring Schedule'!$F$38,'Recurring Schedule'!$N$38)=0,IF('Recurring Schedule'!$O$38&gt;0,AND(DAY($A9)=MIN(DAY('Recurring Schedule'!$F$38),DAY(EOMONTH($A9,0))),MOD((YEAR($A9)-YEAR('Recurring Schedule'!$F$38))*12+MONTH($A9)-MONTH('Recurring Schedule'!$F$38),'Recurring Schedule'!$O$38)=0),IF('Recurring Schedule'!$E$38="Weekdays",WEEKDAY($A9,2)&lt;=5,$A9='Recurring Schedule'!$F$38))),33,""))))</f>
        <v/>
      </c>
      <c r="AI9">
        <f>IF('Recurring Schedule'!$C$39="","",IF('Recurring Schedule'!$F$39="","",IF(OR($A9&lt;'Recurring Schedule'!$F$39,$A9&gt;'Recurring Schedule'!$P$39),"",IF(IF('Recurring Schedule'!$N$39&gt;0,MOD($A9-'Recurring Schedule'!$F$39,'Recurring Schedule'!$N$39)=0,IF('Recurring Schedule'!$O$39&gt;0,AND(DAY($A9)=MIN(DAY('Recurring Schedule'!$F$39),DAY(EOMONTH($A9,0))),MOD((YEAR($A9)-YEAR('Recurring Schedule'!$F$39))*12+MONTH($A9)-MONTH('Recurring Schedule'!$F$39),'Recurring Schedule'!$O$39)=0),IF('Recurring Schedule'!$E$39="Weekdays",WEEKDAY($A9,2)&lt;=5,$A9='Recurring Schedule'!$F$39))),34,""))))</f>
        <v/>
      </c>
      <c r="AJ9">
        <f>IF('Recurring Schedule'!$C$40="","",IF('Recurring Schedule'!$F$40="","",IF(OR($A9&lt;'Recurring Schedule'!$F$40,$A9&gt;'Recurring Schedule'!$P$40),"",IF(IF('Recurring Schedule'!$N$40&gt;0,MOD($A9-'Recurring Schedule'!$F$40,'Recurring Schedule'!$N$40)=0,IF('Recurring Schedule'!$O$40&gt;0,AND(DAY($A9)=MIN(DAY('Recurring Schedule'!$F$40),DAY(EOMONTH($A9,0))),MOD((YEAR($A9)-YEAR('Recurring Schedule'!$F$40))*12+MONTH($A9)-MONTH('Recurring Schedule'!$F$40),'Recurring Schedule'!$O$40)=0),IF('Recurring Schedule'!$E$40="Weekdays",WEEKDAY($A9,2)&lt;=5,$A9='Recurring Schedule'!$F$40))),35,""))))</f>
        <v/>
      </c>
      <c r="AK9">
        <f>IF('Recurring Schedule'!$C$41="","",IF('Recurring Schedule'!$F$41="","",IF(OR($A9&lt;'Recurring Schedule'!$F$41,$A9&gt;'Recurring Schedule'!$P$41),"",IF(IF('Recurring Schedule'!$N$41&gt;0,MOD($A9-'Recurring Schedule'!$F$41,'Recurring Schedule'!$N$41)=0,IF('Recurring Schedule'!$O$41&gt;0,AND(DAY($A9)=MIN(DAY('Recurring Schedule'!$F$41),DAY(EOMONTH($A9,0))),MOD((YEAR($A9)-YEAR('Recurring Schedule'!$F$41))*12+MONTH($A9)-MONTH('Recurring Schedule'!$F$41),'Recurring Schedule'!$O$41)=0),IF('Recurring Schedule'!$E$41="Weekdays",WEEKDAY($A9,2)&lt;=5,$A9='Recurring Schedule'!$F$41))),36,""))))</f>
        <v/>
      </c>
      <c r="AL9">
        <f>IF('Recurring Schedule'!$C$42="","",IF('Recurring Schedule'!$F$42="","",IF(OR($A9&lt;'Recurring Schedule'!$F$42,$A9&gt;'Recurring Schedule'!$P$42),"",IF(IF('Recurring Schedule'!$N$42&gt;0,MOD($A9-'Recurring Schedule'!$F$42,'Recurring Schedule'!$N$42)=0,IF('Recurring Schedule'!$O$42&gt;0,AND(DAY($A9)=MIN(DAY('Recurring Schedule'!$F$42),DAY(EOMONTH($A9,0))),MOD((YEAR($A9)-YEAR('Recurring Schedule'!$F$42))*12+MONTH($A9)-MONTH('Recurring Schedule'!$F$42),'Recurring Schedule'!$O$42)=0),IF('Recurring Schedule'!$E$42="Weekdays",WEEKDAY($A9,2)&lt;=5,$A9='Recurring Schedule'!$F$42))),37,""))))</f>
        <v/>
      </c>
      <c r="AM9">
        <f>IF('Recurring Schedule'!$C$43="","",IF('Recurring Schedule'!$F$43="","",IF(OR($A9&lt;'Recurring Schedule'!$F$43,$A9&gt;'Recurring Schedule'!$P$43),"",IF(IF('Recurring Schedule'!$N$43&gt;0,MOD($A9-'Recurring Schedule'!$F$43,'Recurring Schedule'!$N$43)=0,IF('Recurring Schedule'!$O$43&gt;0,AND(DAY($A9)=MIN(DAY('Recurring Schedule'!$F$43),DAY(EOMONTH($A9,0))),MOD((YEAR($A9)-YEAR('Recurring Schedule'!$F$43))*12+MONTH($A9)-MONTH('Recurring Schedule'!$F$43),'Recurring Schedule'!$O$43)=0),IF('Recurring Schedule'!$E$43="Weekdays",WEEKDAY($A9,2)&lt;=5,$A9='Recurring Schedule'!$F$43))),38,""))))</f>
        <v/>
      </c>
      <c r="AN9">
        <f>IF('Recurring Schedule'!$C$44="","",IF('Recurring Schedule'!$F$44="","",IF(OR($A9&lt;'Recurring Schedule'!$F$44,$A9&gt;'Recurring Schedule'!$P$44),"",IF(IF('Recurring Schedule'!$N$44&gt;0,MOD($A9-'Recurring Schedule'!$F$44,'Recurring Schedule'!$N$44)=0,IF('Recurring Schedule'!$O$44&gt;0,AND(DAY($A9)=MIN(DAY('Recurring Schedule'!$F$44),DAY(EOMONTH($A9,0))),MOD((YEAR($A9)-YEAR('Recurring Schedule'!$F$44))*12+MONTH($A9)-MONTH('Recurring Schedule'!$F$44),'Recurring Schedule'!$O$44)=0),IF('Recurring Schedule'!$E$44="Weekdays",WEEKDAY($A9,2)&lt;=5,$A9='Recurring Schedule'!$F$44))),39,""))))</f>
        <v/>
      </c>
      <c r="AO9">
        <f>IF('Recurring Schedule'!$C$45="","",IF('Recurring Schedule'!$F$45="","",IF(OR($A9&lt;'Recurring Schedule'!$F$45,$A9&gt;'Recurring Schedule'!$P$45),"",IF(IF('Recurring Schedule'!$N$45&gt;0,MOD($A9-'Recurring Schedule'!$F$45,'Recurring Schedule'!$N$45)=0,IF('Recurring Schedule'!$O$45&gt;0,AND(DAY($A9)=MIN(DAY('Recurring Schedule'!$F$45),DAY(EOMONTH($A9,0))),MOD((YEAR($A9)-YEAR('Recurring Schedule'!$F$45))*12+MONTH($A9)-MONTH('Recurring Schedule'!$F$45),'Recurring Schedule'!$O$45)=0),IF('Recurring Schedule'!$E$45="Weekdays",WEEKDAY($A9,2)&lt;=5,$A9='Recurring Schedule'!$F$45))),40,""))))</f>
        <v/>
      </c>
      <c r="AP9">
        <f>COUNT(B9:AO9)</f>
        <v/>
      </c>
      <c r="AQ9">
        <f>AQ8+AP8</f>
        <v/>
      </c>
      <c r="AS9" t="inlineStr">
        <is>
          <t>R</t>
        </is>
      </c>
      <c r="AT9" t="n">
        <v>13</v>
      </c>
      <c r="AU9">
        <f>'Recurring Log'!C13&amp;""</f>
        <v/>
      </c>
      <c r="AV9">
        <f>'Recurring Log'!D13&amp;""</f>
        <v/>
      </c>
      <c r="AW9">
        <f>IF('Recurring Log'!E13="","",'Recurring Log'!E13)</f>
        <v/>
      </c>
      <c r="AX9">
        <f>IF('Recurring Log'!G13="","",'Recurring Log'!G13)</f>
        <v/>
      </c>
      <c r="AY9">
        <f>IF('Recurring Log'!H13="","",'Recurring Log'!H13)</f>
        <v/>
      </c>
      <c r="AZ9">
        <f>IF(AU9="","",IF('Recurring Log'!J13="","Not Started",'Recurring Log'!J13))</f>
        <v/>
      </c>
      <c r="BA9">
        <f>'Recurring Log'!L13&amp;""</f>
        <v/>
      </c>
      <c r="BB9">
        <f>'Recurring Log'!M13&amp;""</f>
        <v/>
      </c>
      <c r="BC9">
        <f>'Recurring Log'!N13&amp;""</f>
        <v/>
      </c>
      <c r="BD9">
        <f>'Recurring Log'!O13&amp;""</f>
        <v/>
      </c>
      <c r="BE9">
        <f>IF('Recurring Log'!K13="","",'Recurring Log'!K13)</f>
        <v/>
      </c>
      <c r="BF9">
        <f>IFERROR(MATCH(BA9,Setup!$L$6:$L$9,0),5)</f>
        <v/>
      </c>
      <c r="BG9">
        <f>IF(OR(AZ9="Done",AZ9="Cancelled"),1,0)</f>
        <v/>
      </c>
      <c r="BH9">
        <f>IF(AND(AU9&lt;&gt;"",ISNUMBER(AW9)),1,0)</f>
        <v/>
      </c>
      <c r="BI9">
        <f>IF(BH9=0,0,IF(AND(AW9&gt;='Tasks Filter'!$F$3,AW9&lt;='Tasks Filter'!$F$4,OR('Tasks Filter'!$I$3="",ISNUMBER(SEARCH('Tasks Filter'!$I$3,AU9))),OR('Tasks Filter'!$I$4="",BF9=IFERROR(MATCH('Tasks Filter'!$I$4,Setup!$L$6:$L$9,0),0)),OR('Tasks Filter'!$I$5="Both",AND('Tasks Filter'!$I$5="Yes",BB9="✓"),AND('Tasks Filter'!$I$5="No",BB9&lt;&gt;"✓")),OR('Tasks Filter'!$L$3="",AV9='Tasks Filter'!$L$3),OR('Tasks Filter'!$L$4="",AZ9='Tasks Filter'!$L$4),OR('Tasks Filter'!$L$5="",BC9='Tasks Filter'!$L$5),OR('Tasks Filter'!$O$3="",BD9='Tasks Filter'!$O$3),OR('Tasks Filter'!$O$4="Yes",BG9=0)),1,0))</f>
        <v/>
      </c>
      <c r="BJ9">
        <f>IF(BH9=0,"",IF('Tasks Filter'!$F$6="Descending",-1,1)*CHOOSE(MATCH('Tasks Filter'!$F$5,Lists!$G$2:$G$6,0),AW9,BF9,IFERROR(MATCH(AV9,Setup!$F$6:$F$15,0),99),IFERROR(MATCH(BC9,Setup!$H$6:$H$15,0),99),IFERROR(MATCH(AZ9,Setup!$J$6:$J$11,0),99))*1E+9+(AW9-40000)*10000+8)</f>
        <v/>
      </c>
      <c r="BK9">
        <f>IF(BI9=1,BJ9,"")</f>
        <v/>
      </c>
      <c r="BL9">
        <f>IF(AND(BH9=1,BG9=0,N(AW9)&lt;Setup!$D$7),(AW9-40000)*10000+8,"")</f>
        <v/>
      </c>
      <c r="BM9">
        <f>IF(AND(BH9=1,AZ9&lt;&gt;"Cancelled",N(AW9)&gt;=Dashboard!$AB$3,N(AW9)&lt;=Dashboard!$AB$3+6),(AW9-40000)*100000+BF9*10000+8,"")</f>
        <v/>
      </c>
      <c r="BN9">
        <f>IF(AND(BH9=1,AZ9&lt;&gt;"Cancelled"),BF9*10000+8,"")</f>
        <v/>
      </c>
    </row>
    <row r="10">
      <c r="A10">
        <f>Setup!$D$5+8</f>
        <v/>
      </c>
      <c r="B10">
        <f>IF('Recurring Schedule'!$C$6="","",IF('Recurring Schedule'!$F$6="","",IF(OR($A10&lt;'Recurring Schedule'!$F$6,$A10&gt;'Recurring Schedule'!$P$6),"",IF(IF('Recurring Schedule'!$N$6&gt;0,MOD($A10-'Recurring Schedule'!$F$6,'Recurring Schedule'!$N$6)=0,IF('Recurring Schedule'!$O$6&gt;0,AND(DAY($A10)=MIN(DAY('Recurring Schedule'!$F$6),DAY(EOMONTH($A10,0))),MOD((YEAR($A10)-YEAR('Recurring Schedule'!$F$6))*12+MONTH($A10)-MONTH('Recurring Schedule'!$F$6),'Recurring Schedule'!$O$6)=0),IF('Recurring Schedule'!$E$6="Weekdays",WEEKDAY($A10,2)&lt;=5,$A10='Recurring Schedule'!$F$6))),1,""))))</f>
        <v/>
      </c>
      <c r="C10">
        <f>IF('Recurring Schedule'!$C$7="","",IF('Recurring Schedule'!$F$7="","",IF(OR($A10&lt;'Recurring Schedule'!$F$7,$A10&gt;'Recurring Schedule'!$P$7),"",IF(IF('Recurring Schedule'!$N$7&gt;0,MOD($A10-'Recurring Schedule'!$F$7,'Recurring Schedule'!$N$7)=0,IF('Recurring Schedule'!$O$7&gt;0,AND(DAY($A10)=MIN(DAY('Recurring Schedule'!$F$7),DAY(EOMONTH($A10,0))),MOD((YEAR($A10)-YEAR('Recurring Schedule'!$F$7))*12+MONTH($A10)-MONTH('Recurring Schedule'!$F$7),'Recurring Schedule'!$O$7)=0),IF('Recurring Schedule'!$E$7="Weekdays",WEEKDAY($A10,2)&lt;=5,$A10='Recurring Schedule'!$F$7))),2,""))))</f>
        <v/>
      </c>
      <c r="D10">
        <f>IF('Recurring Schedule'!$C$8="","",IF('Recurring Schedule'!$F$8="","",IF(OR($A10&lt;'Recurring Schedule'!$F$8,$A10&gt;'Recurring Schedule'!$P$8),"",IF(IF('Recurring Schedule'!$N$8&gt;0,MOD($A10-'Recurring Schedule'!$F$8,'Recurring Schedule'!$N$8)=0,IF('Recurring Schedule'!$O$8&gt;0,AND(DAY($A10)=MIN(DAY('Recurring Schedule'!$F$8),DAY(EOMONTH($A10,0))),MOD((YEAR($A10)-YEAR('Recurring Schedule'!$F$8))*12+MONTH($A10)-MONTH('Recurring Schedule'!$F$8),'Recurring Schedule'!$O$8)=0),IF('Recurring Schedule'!$E$8="Weekdays",WEEKDAY($A10,2)&lt;=5,$A10='Recurring Schedule'!$F$8))),3,""))))</f>
        <v/>
      </c>
      <c r="E10">
        <f>IF('Recurring Schedule'!$C$9="","",IF('Recurring Schedule'!$F$9="","",IF(OR($A10&lt;'Recurring Schedule'!$F$9,$A10&gt;'Recurring Schedule'!$P$9),"",IF(IF('Recurring Schedule'!$N$9&gt;0,MOD($A10-'Recurring Schedule'!$F$9,'Recurring Schedule'!$N$9)=0,IF('Recurring Schedule'!$O$9&gt;0,AND(DAY($A10)=MIN(DAY('Recurring Schedule'!$F$9),DAY(EOMONTH($A10,0))),MOD((YEAR($A10)-YEAR('Recurring Schedule'!$F$9))*12+MONTH($A10)-MONTH('Recurring Schedule'!$F$9),'Recurring Schedule'!$O$9)=0),IF('Recurring Schedule'!$E$9="Weekdays",WEEKDAY($A10,2)&lt;=5,$A10='Recurring Schedule'!$F$9))),4,""))))</f>
        <v/>
      </c>
      <c r="F10">
        <f>IF('Recurring Schedule'!$C$10="","",IF('Recurring Schedule'!$F$10="","",IF(OR($A10&lt;'Recurring Schedule'!$F$10,$A10&gt;'Recurring Schedule'!$P$10),"",IF(IF('Recurring Schedule'!$N$10&gt;0,MOD($A10-'Recurring Schedule'!$F$10,'Recurring Schedule'!$N$10)=0,IF('Recurring Schedule'!$O$10&gt;0,AND(DAY($A10)=MIN(DAY('Recurring Schedule'!$F$10),DAY(EOMONTH($A10,0))),MOD((YEAR($A10)-YEAR('Recurring Schedule'!$F$10))*12+MONTH($A10)-MONTH('Recurring Schedule'!$F$10),'Recurring Schedule'!$O$10)=0),IF('Recurring Schedule'!$E$10="Weekdays",WEEKDAY($A10,2)&lt;=5,$A10='Recurring Schedule'!$F$10))),5,""))))</f>
        <v/>
      </c>
      <c r="G10">
        <f>IF('Recurring Schedule'!$C$11="","",IF('Recurring Schedule'!$F$11="","",IF(OR($A10&lt;'Recurring Schedule'!$F$11,$A10&gt;'Recurring Schedule'!$P$11),"",IF(IF('Recurring Schedule'!$N$11&gt;0,MOD($A10-'Recurring Schedule'!$F$11,'Recurring Schedule'!$N$11)=0,IF('Recurring Schedule'!$O$11&gt;0,AND(DAY($A10)=MIN(DAY('Recurring Schedule'!$F$11),DAY(EOMONTH($A10,0))),MOD((YEAR($A10)-YEAR('Recurring Schedule'!$F$11))*12+MONTH($A10)-MONTH('Recurring Schedule'!$F$11),'Recurring Schedule'!$O$11)=0),IF('Recurring Schedule'!$E$11="Weekdays",WEEKDAY($A10,2)&lt;=5,$A10='Recurring Schedule'!$F$11))),6,""))))</f>
        <v/>
      </c>
      <c r="H10">
        <f>IF('Recurring Schedule'!$C$12="","",IF('Recurring Schedule'!$F$12="","",IF(OR($A10&lt;'Recurring Schedule'!$F$12,$A10&gt;'Recurring Schedule'!$P$12),"",IF(IF('Recurring Schedule'!$N$12&gt;0,MOD($A10-'Recurring Schedule'!$F$12,'Recurring Schedule'!$N$12)=0,IF('Recurring Schedule'!$O$12&gt;0,AND(DAY($A10)=MIN(DAY('Recurring Schedule'!$F$12),DAY(EOMONTH($A10,0))),MOD((YEAR($A10)-YEAR('Recurring Schedule'!$F$12))*12+MONTH($A10)-MONTH('Recurring Schedule'!$F$12),'Recurring Schedule'!$O$12)=0),IF('Recurring Schedule'!$E$12="Weekdays",WEEKDAY($A10,2)&lt;=5,$A10='Recurring Schedule'!$F$12))),7,""))))</f>
        <v/>
      </c>
      <c r="I10">
        <f>IF('Recurring Schedule'!$C$13="","",IF('Recurring Schedule'!$F$13="","",IF(OR($A10&lt;'Recurring Schedule'!$F$13,$A10&gt;'Recurring Schedule'!$P$13),"",IF(IF('Recurring Schedule'!$N$13&gt;0,MOD($A10-'Recurring Schedule'!$F$13,'Recurring Schedule'!$N$13)=0,IF('Recurring Schedule'!$O$13&gt;0,AND(DAY($A10)=MIN(DAY('Recurring Schedule'!$F$13),DAY(EOMONTH($A10,0))),MOD((YEAR($A10)-YEAR('Recurring Schedule'!$F$13))*12+MONTH($A10)-MONTH('Recurring Schedule'!$F$13),'Recurring Schedule'!$O$13)=0),IF('Recurring Schedule'!$E$13="Weekdays",WEEKDAY($A10,2)&lt;=5,$A10='Recurring Schedule'!$F$13))),8,""))))</f>
        <v/>
      </c>
      <c r="J10">
        <f>IF('Recurring Schedule'!$C$14="","",IF('Recurring Schedule'!$F$14="","",IF(OR($A10&lt;'Recurring Schedule'!$F$14,$A10&gt;'Recurring Schedule'!$P$14),"",IF(IF('Recurring Schedule'!$N$14&gt;0,MOD($A10-'Recurring Schedule'!$F$14,'Recurring Schedule'!$N$14)=0,IF('Recurring Schedule'!$O$14&gt;0,AND(DAY($A10)=MIN(DAY('Recurring Schedule'!$F$14),DAY(EOMONTH($A10,0))),MOD((YEAR($A10)-YEAR('Recurring Schedule'!$F$14))*12+MONTH($A10)-MONTH('Recurring Schedule'!$F$14),'Recurring Schedule'!$O$14)=0),IF('Recurring Schedule'!$E$14="Weekdays",WEEKDAY($A10,2)&lt;=5,$A10='Recurring Schedule'!$F$14))),9,""))))</f>
        <v/>
      </c>
      <c r="K10">
        <f>IF('Recurring Schedule'!$C$15="","",IF('Recurring Schedule'!$F$15="","",IF(OR($A10&lt;'Recurring Schedule'!$F$15,$A10&gt;'Recurring Schedule'!$P$15),"",IF(IF('Recurring Schedule'!$N$15&gt;0,MOD($A10-'Recurring Schedule'!$F$15,'Recurring Schedule'!$N$15)=0,IF('Recurring Schedule'!$O$15&gt;0,AND(DAY($A10)=MIN(DAY('Recurring Schedule'!$F$15),DAY(EOMONTH($A10,0))),MOD((YEAR($A10)-YEAR('Recurring Schedule'!$F$15))*12+MONTH($A10)-MONTH('Recurring Schedule'!$F$15),'Recurring Schedule'!$O$15)=0),IF('Recurring Schedule'!$E$15="Weekdays",WEEKDAY($A10,2)&lt;=5,$A10='Recurring Schedule'!$F$15))),10,""))))</f>
        <v/>
      </c>
      <c r="L10">
        <f>IF('Recurring Schedule'!$C$16="","",IF('Recurring Schedule'!$F$16="","",IF(OR($A10&lt;'Recurring Schedule'!$F$16,$A10&gt;'Recurring Schedule'!$P$16),"",IF(IF('Recurring Schedule'!$N$16&gt;0,MOD($A10-'Recurring Schedule'!$F$16,'Recurring Schedule'!$N$16)=0,IF('Recurring Schedule'!$O$16&gt;0,AND(DAY($A10)=MIN(DAY('Recurring Schedule'!$F$16),DAY(EOMONTH($A10,0))),MOD((YEAR($A10)-YEAR('Recurring Schedule'!$F$16))*12+MONTH($A10)-MONTH('Recurring Schedule'!$F$16),'Recurring Schedule'!$O$16)=0),IF('Recurring Schedule'!$E$16="Weekdays",WEEKDAY($A10,2)&lt;=5,$A10='Recurring Schedule'!$F$16))),11,""))))</f>
        <v/>
      </c>
      <c r="M10">
        <f>IF('Recurring Schedule'!$C$17="","",IF('Recurring Schedule'!$F$17="","",IF(OR($A10&lt;'Recurring Schedule'!$F$17,$A10&gt;'Recurring Schedule'!$P$17),"",IF(IF('Recurring Schedule'!$N$17&gt;0,MOD($A10-'Recurring Schedule'!$F$17,'Recurring Schedule'!$N$17)=0,IF('Recurring Schedule'!$O$17&gt;0,AND(DAY($A10)=MIN(DAY('Recurring Schedule'!$F$17),DAY(EOMONTH($A10,0))),MOD((YEAR($A10)-YEAR('Recurring Schedule'!$F$17))*12+MONTH($A10)-MONTH('Recurring Schedule'!$F$17),'Recurring Schedule'!$O$17)=0),IF('Recurring Schedule'!$E$17="Weekdays",WEEKDAY($A10,2)&lt;=5,$A10='Recurring Schedule'!$F$17))),12,""))))</f>
        <v/>
      </c>
      <c r="N10">
        <f>IF('Recurring Schedule'!$C$18="","",IF('Recurring Schedule'!$F$18="","",IF(OR($A10&lt;'Recurring Schedule'!$F$18,$A10&gt;'Recurring Schedule'!$P$18),"",IF(IF('Recurring Schedule'!$N$18&gt;0,MOD($A10-'Recurring Schedule'!$F$18,'Recurring Schedule'!$N$18)=0,IF('Recurring Schedule'!$O$18&gt;0,AND(DAY($A10)=MIN(DAY('Recurring Schedule'!$F$18),DAY(EOMONTH($A10,0))),MOD((YEAR($A10)-YEAR('Recurring Schedule'!$F$18))*12+MONTH($A10)-MONTH('Recurring Schedule'!$F$18),'Recurring Schedule'!$O$18)=0),IF('Recurring Schedule'!$E$18="Weekdays",WEEKDAY($A10,2)&lt;=5,$A10='Recurring Schedule'!$F$18))),13,""))))</f>
        <v/>
      </c>
      <c r="O10">
        <f>IF('Recurring Schedule'!$C$19="","",IF('Recurring Schedule'!$F$19="","",IF(OR($A10&lt;'Recurring Schedule'!$F$19,$A10&gt;'Recurring Schedule'!$P$19),"",IF(IF('Recurring Schedule'!$N$19&gt;0,MOD($A10-'Recurring Schedule'!$F$19,'Recurring Schedule'!$N$19)=0,IF('Recurring Schedule'!$O$19&gt;0,AND(DAY($A10)=MIN(DAY('Recurring Schedule'!$F$19),DAY(EOMONTH($A10,0))),MOD((YEAR($A10)-YEAR('Recurring Schedule'!$F$19))*12+MONTH($A10)-MONTH('Recurring Schedule'!$F$19),'Recurring Schedule'!$O$19)=0),IF('Recurring Schedule'!$E$19="Weekdays",WEEKDAY($A10,2)&lt;=5,$A10='Recurring Schedule'!$F$19))),14,""))))</f>
        <v/>
      </c>
      <c r="P10">
        <f>IF('Recurring Schedule'!$C$20="","",IF('Recurring Schedule'!$F$20="","",IF(OR($A10&lt;'Recurring Schedule'!$F$20,$A10&gt;'Recurring Schedule'!$P$20),"",IF(IF('Recurring Schedule'!$N$20&gt;0,MOD($A10-'Recurring Schedule'!$F$20,'Recurring Schedule'!$N$20)=0,IF('Recurring Schedule'!$O$20&gt;0,AND(DAY($A10)=MIN(DAY('Recurring Schedule'!$F$20),DAY(EOMONTH($A10,0))),MOD((YEAR($A10)-YEAR('Recurring Schedule'!$F$20))*12+MONTH($A10)-MONTH('Recurring Schedule'!$F$20),'Recurring Schedule'!$O$20)=0),IF('Recurring Schedule'!$E$20="Weekdays",WEEKDAY($A10,2)&lt;=5,$A10='Recurring Schedule'!$F$20))),15,""))))</f>
        <v/>
      </c>
      <c r="Q10">
        <f>IF('Recurring Schedule'!$C$21="","",IF('Recurring Schedule'!$F$21="","",IF(OR($A10&lt;'Recurring Schedule'!$F$21,$A10&gt;'Recurring Schedule'!$P$21),"",IF(IF('Recurring Schedule'!$N$21&gt;0,MOD($A10-'Recurring Schedule'!$F$21,'Recurring Schedule'!$N$21)=0,IF('Recurring Schedule'!$O$21&gt;0,AND(DAY($A10)=MIN(DAY('Recurring Schedule'!$F$21),DAY(EOMONTH($A10,0))),MOD((YEAR($A10)-YEAR('Recurring Schedule'!$F$21))*12+MONTH($A10)-MONTH('Recurring Schedule'!$F$21),'Recurring Schedule'!$O$21)=0),IF('Recurring Schedule'!$E$21="Weekdays",WEEKDAY($A10,2)&lt;=5,$A10='Recurring Schedule'!$F$21))),16,""))))</f>
        <v/>
      </c>
      <c r="R10">
        <f>IF('Recurring Schedule'!$C$22="","",IF('Recurring Schedule'!$F$22="","",IF(OR($A10&lt;'Recurring Schedule'!$F$22,$A10&gt;'Recurring Schedule'!$P$22),"",IF(IF('Recurring Schedule'!$N$22&gt;0,MOD($A10-'Recurring Schedule'!$F$22,'Recurring Schedule'!$N$22)=0,IF('Recurring Schedule'!$O$22&gt;0,AND(DAY($A10)=MIN(DAY('Recurring Schedule'!$F$22),DAY(EOMONTH($A10,0))),MOD((YEAR($A10)-YEAR('Recurring Schedule'!$F$22))*12+MONTH($A10)-MONTH('Recurring Schedule'!$F$22),'Recurring Schedule'!$O$22)=0),IF('Recurring Schedule'!$E$22="Weekdays",WEEKDAY($A10,2)&lt;=5,$A10='Recurring Schedule'!$F$22))),17,""))))</f>
        <v/>
      </c>
      <c r="S10">
        <f>IF('Recurring Schedule'!$C$23="","",IF('Recurring Schedule'!$F$23="","",IF(OR($A10&lt;'Recurring Schedule'!$F$23,$A10&gt;'Recurring Schedule'!$P$23),"",IF(IF('Recurring Schedule'!$N$23&gt;0,MOD($A10-'Recurring Schedule'!$F$23,'Recurring Schedule'!$N$23)=0,IF('Recurring Schedule'!$O$23&gt;0,AND(DAY($A10)=MIN(DAY('Recurring Schedule'!$F$23),DAY(EOMONTH($A10,0))),MOD((YEAR($A10)-YEAR('Recurring Schedule'!$F$23))*12+MONTH($A10)-MONTH('Recurring Schedule'!$F$23),'Recurring Schedule'!$O$23)=0),IF('Recurring Schedule'!$E$23="Weekdays",WEEKDAY($A10,2)&lt;=5,$A10='Recurring Schedule'!$F$23))),18,""))))</f>
        <v/>
      </c>
      <c r="T10">
        <f>IF('Recurring Schedule'!$C$24="","",IF('Recurring Schedule'!$F$24="","",IF(OR($A10&lt;'Recurring Schedule'!$F$24,$A10&gt;'Recurring Schedule'!$P$24),"",IF(IF('Recurring Schedule'!$N$24&gt;0,MOD($A10-'Recurring Schedule'!$F$24,'Recurring Schedule'!$N$24)=0,IF('Recurring Schedule'!$O$24&gt;0,AND(DAY($A10)=MIN(DAY('Recurring Schedule'!$F$24),DAY(EOMONTH($A10,0))),MOD((YEAR($A10)-YEAR('Recurring Schedule'!$F$24))*12+MONTH($A10)-MONTH('Recurring Schedule'!$F$24),'Recurring Schedule'!$O$24)=0),IF('Recurring Schedule'!$E$24="Weekdays",WEEKDAY($A10,2)&lt;=5,$A10='Recurring Schedule'!$F$24))),19,""))))</f>
        <v/>
      </c>
      <c r="U10">
        <f>IF('Recurring Schedule'!$C$25="","",IF('Recurring Schedule'!$F$25="","",IF(OR($A10&lt;'Recurring Schedule'!$F$25,$A10&gt;'Recurring Schedule'!$P$25),"",IF(IF('Recurring Schedule'!$N$25&gt;0,MOD($A10-'Recurring Schedule'!$F$25,'Recurring Schedule'!$N$25)=0,IF('Recurring Schedule'!$O$25&gt;0,AND(DAY($A10)=MIN(DAY('Recurring Schedule'!$F$25),DAY(EOMONTH($A10,0))),MOD((YEAR($A10)-YEAR('Recurring Schedule'!$F$25))*12+MONTH($A10)-MONTH('Recurring Schedule'!$F$25),'Recurring Schedule'!$O$25)=0),IF('Recurring Schedule'!$E$25="Weekdays",WEEKDAY($A10,2)&lt;=5,$A10='Recurring Schedule'!$F$25))),20,""))))</f>
        <v/>
      </c>
      <c r="V10">
        <f>IF('Recurring Schedule'!$C$26="","",IF('Recurring Schedule'!$F$26="","",IF(OR($A10&lt;'Recurring Schedule'!$F$26,$A10&gt;'Recurring Schedule'!$P$26),"",IF(IF('Recurring Schedule'!$N$26&gt;0,MOD($A10-'Recurring Schedule'!$F$26,'Recurring Schedule'!$N$26)=0,IF('Recurring Schedule'!$O$26&gt;0,AND(DAY($A10)=MIN(DAY('Recurring Schedule'!$F$26),DAY(EOMONTH($A10,0))),MOD((YEAR($A10)-YEAR('Recurring Schedule'!$F$26))*12+MONTH($A10)-MONTH('Recurring Schedule'!$F$26),'Recurring Schedule'!$O$26)=0),IF('Recurring Schedule'!$E$26="Weekdays",WEEKDAY($A10,2)&lt;=5,$A10='Recurring Schedule'!$F$26))),21,""))))</f>
        <v/>
      </c>
      <c r="W10">
        <f>IF('Recurring Schedule'!$C$27="","",IF('Recurring Schedule'!$F$27="","",IF(OR($A10&lt;'Recurring Schedule'!$F$27,$A10&gt;'Recurring Schedule'!$P$27),"",IF(IF('Recurring Schedule'!$N$27&gt;0,MOD($A10-'Recurring Schedule'!$F$27,'Recurring Schedule'!$N$27)=0,IF('Recurring Schedule'!$O$27&gt;0,AND(DAY($A10)=MIN(DAY('Recurring Schedule'!$F$27),DAY(EOMONTH($A10,0))),MOD((YEAR($A10)-YEAR('Recurring Schedule'!$F$27))*12+MONTH($A10)-MONTH('Recurring Schedule'!$F$27),'Recurring Schedule'!$O$27)=0),IF('Recurring Schedule'!$E$27="Weekdays",WEEKDAY($A10,2)&lt;=5,$A10='Recurring Schedule'!$F$27))),22,""))))</f>
        <v/>
      </c>
      <c r="X10">
        <f>IF('Recurring Schedule'!$C$28="","",IF('Recurring Schedule'!$F$28="","",IF(OR($A10&lt;'Recurring Schedule'!$F$28,$A10&gt;'Recurring Schedule'!$P$28),"",IF(IF('Recurring Schedule'!$N$28&gt;0,MOD($A10-'Recurring Schedule'!$F$28,'Recurring Schedule'!$N$28)=0,IF('Recurring Schedule'!$O$28&gt;0,AND(DAY($A10)=MIN(DAY('Recurring Schedule'!$F$28),DAY(EOMONTH($A10,0))),MOD((YEAR($A10)-YEAR('Recurring Schedule'!$F$28))*12+MONTH($A10)-MONTH('Recurring Schedule'!$F$28),'Recurring Schedule'!$O$28)=0),IF('Recurring Schedule'!$E$28="Weekdays",WEEKDAY($A10,2)&lt;=5,$A10='Recurring Schedule'!$F$28))),23,""))))</f>
        <v/>
      </c>
      <c r="Y10">
        <f>IF('Recurring Schedule'!$C$29="","",IF('Recurring Schedule'!$F$29="","",IF(OR($A10&lt;'Recurring Schedule'!$F$29,$A10&gt;'Recurring Schedule'!$P$29),"",IF(IF('Recurring Schedule'!$N$29&gt;0,MOD($A10-'Recurring Schedule'!$F$29,'Recurring Schedule'!$N$29)=0,IF('Recurring Schedule'!$O$29&gt;0,AND(DAY($A10)=MIN(DAY('Recurring Schedule'!$F$29),DAY(EOMONTH($A10,0))),MOD((YEAR($A10)-YEAR('Recurring Schedule'!$F$29))*12+MONTH($A10)-MONTH('Recurring Schedule'!$F$29),'Recurring Schedule'!$O$29)=0),IF('Recurring Schedule'!$E$29="Weekdays",WEEKDAY($A10,2)&lt;=5,$A10='Recurring Schedule'!$F$29))),24,""))))</f>
        <v/>
      </c>
      <c r="Z10">
        <f>IF('Recurring Schedule'!$C$30="","",IF('Recurring Schedule'!$F$30="","",IF(OR($A10&lt;'Recurring Schedule'!$F$30,$A10&gt;'Recurring Schedule'!$P$30),"",IF(IF('Recurring Schedule'!$N$30&gt;0,MOD($A10-'Recurring Schedule'!$F$30,'Recurring Schedule'!$N$30)=0,IF('Recurring Schedule'!$O$30&gt;0,AND(DAY($A10)=MIN(DAY('Recurring Schedule'!$F$30),DAY(EOMONTH($A10,0))),MOD((YEAR($A10)-YEAR('Recurring Schedule'!$F$30))*12+MONTH($A10)-MONTH('Recurring Schedule'!$F$30),'Recurring Schedule'!$O$30)=0),IF('Recurring Schedule'!$E$30="Weekdays",WEEKDAY($A10,2)&lt;=5,$A10='Recurring Schedule'!$F$30))),25,""))))</f>
        <v/>
      </c>
      <c r="AA10">
        <f>IF('Recurring Schedule'!$C$31="","",IF('Recurring Schedule'!$F$31="","",IF(OR($A10&lt;'Recurring Schedule'!$F$31,$A10&gt;'Recurring Schedule'!$P$31),"",IF(IF('Recurring Schedule'!$N$31&gt;0,MOD($A10-'Recurring Schedule'!$F$31,'Recurring Schedule'!$N$31)=0,IF('Recurring Schedule'!$O$31&gt;0,AND(DAY($A10)=MIN(DAY('Recurring Schedule'!$F$31),DAY(EOMONTH($A10,0))),MOD((YEAR($A10)-YEAR('Recurring Schedule'!$F$31))*12+MONTH($A10)-MONTH('Recurring Schedule'!$F$31),'Recurring Schedule'!$O$31)=0),IF('Recurring Schedule'!$E$31="Weekdays",WEEKDAY($A10,2)&lt;=5,$A10='Recurring Schedule'!$F$31))),26,""))))</f>
        <v/>
      </c>
      <c r="AB10">
        <f>IF('Recurring Schedule'!$C$32="","",IF('Recurring Schedule'!$F$32="","",IF(OR($A10&lt;'Recurring Schedule'!$F$32,$A10&gt;'Recurring Schedule'!$P$32),"",IF(IF('Recurring Schedule'!$N$32&gt;0,MOD($A10-'Recurring Schedule'!$F$32,'Recurring Schedule'!$N$32)=0,IF('Recurring Schedule'!$O$32&gt;0,AND(DAY($A10)=MIN(DAY('Recurring Schedule'!$F$32),DAY(EOMONTH($A10,0))),MOD((YEAR($A10)-YEAR('Recurring Schedule'!$F$32))*12+MONTH($A10)-MONTH('Recurring Schedule'!$F$32),'Recurring Schedule'!$O$32)=0),IF('Recurring Schedule'!$E$32="Weekdays",WEEKDAY($A10,2)&lt;=5,$A10='Recurring Schedule'!$F$32))),27,""))))</f>
        <v/>
      </c>
      <c r="AC10">
        <f>IF('Recurring Schedule'!$C$33="","",IF('Recurring Schedule'!$F$33="","",IF(OR($A10&lt;'Recurring Schedule'!$F$33,$A10&gt;'Recurring Schedule'!$P$33),"",IF(IF('Recurring Schedule'!$N$33&gt;0,MOD($A10-'Recurring Schedule'!$F$33,'Recurring Schedule'!$N$33)=0,IF('Recurring Schedule'!$O$33&gt;0,AND(DAY($A10)=MIN(DAY('Recurring Schedule'!$F$33),DAY(EOMONTH($A10,0))),MOD((YEAR($A10)-YEAR('Recurring Schedule'!$F$33))*12+MONTH($A10)-MONTH('Recurring Schedule'!$F$33),'Recurring Schedule'!$O$33)=0),IF('Recurring Schedule'!$E$33="Weekdays",WEEKDAY($A10,2)&lt;=5,$A10='Recurring Schedule'!$F$33))),28,""))))</f>
        <v/>
      </c>
      <c r="AD10">
        <f>IF('Recurring Schedule'!$C$34="","",IF('Recurring Schedule'!$F$34="","",IF(OR($A10&lt;'Recurring Schedule'!$F$34,$A10&gt;'Recurring Schedule'!$P$34),"",IF(IF('Recurring Schedule'!$N$34&gt;0,MOD($A10-'Recurring Schedule'!$F$34,'Recurring Schedule'!$N$34)=0,IF('Recurring Schedule'!$O$34&gt;0,AND(DAY($A10)=MIN(DAY('Recurring Schedule'!$F$34),DAY(EOMONTH($A10,0))),MOD((YEAR($A10)-YEAR('Recurring Schedule'!$F$34))*12+MONTH($A10)-MONTH('Recurring Schedule'!$F$34),'Recurring Schedule'!$O$34)=0),IF('Recurring Schedule'!$E$34="Weekdays",WEEKDAY($A10,2)&lt;=5,$A10='Recurring Schedule'!$F$34))),29,""))))</f>
        <v/>
      </c>
      <c r="AE10">
        <f>IF('Recurring Schedule'!$C$35="","",IF('Recurring Schedule'!$F$35="","",IF(OR($A10&lt;'Recurring Schedule'!$F$35,$A10&gt;'Recurring Schedule'!$P$35),"",IF(IF('Recurring Schedule'!$N$35&gt;0,MOD($A10-'Recurring Schedule'!$F$35,'Recurring Schedule'!$N$35)=0,IF('Recurring Schedule'!$O$35&gt;0,AND(DAY($A10)=MIN(DAY('Recurring Schedule'!$F$35),DAY(EOMONTH($A10,0))),MOD((YEAR($A10)-YEAR('Recurring Schedule'!$F$35))*12+MONTH($A10)-MONTH('Recurring Schedule'!$F$35),'Recurring Schedule'!$O$35)=0),IF('Recurring Schedule'!$E$35="Weekdays",WEEKDAY($A10,2)&lt;=5,$A10='Recurring Schedule'!$F$35))),30,""))))</f>
        <v/>
      </c>
      <c r="AF10">
        <f>IF('Recurring Schedule'!$C$36="","",IF('Recurring Schedule'!$F$36="","",IF(OR($A10&lt;'Recurring Schedule'!$F$36,$A10&gt;'Recurring Schedule'!$P$36),"",IF(IF('Recurring Schedule'!$N$36&gt;0,MOD($A10-'Recurring Schedule'!$F$36,'Recurring Schedule'!$N$36)=0,IF('Recurring Schedule'!$O$36&gt;0,AND(DAY($A10)=MIN(DAY('Recurring Schedule'!$F$36),DAY(EOMONTH($A10,0))),MOD((YEAR($A10)-YEAR('Recurring Schedule'!$F$36))*12+MONTH($A10)-MONTH('Recurring Schedule'!$F$36),'Recurring Schedule'!$O$36)=0),IF('Recurring Schedule'!$E$36="Weekdays",WEEKDAY($A10,2)&lt;=5,$A10='Recurring Schedule'!$F$36))),31,""))))</f>
        <v/>
      </c>
      <c r="AG10">
        <f>IF('Recurring Schedule'!$C$37="","",IF('Recurring Schedule'!$F$37="","",IF(OR($A10&lt;'Recurring Schedule'!$F$37,$A10&gt;'Recurring Schedule'!$P$37),"",IF(IF('Recurring Schedule'!$N$37&gt;0,MOD($A10-'Recurring Schedule'!$F$37,'Recurring Schedule'!$N$37)=0,IF('Recurring Schedule'!$O$37&gt;0,AND(DAY($A10)=MIN(DAY('Recurring Schedule'!$F$37),DAY(EOMONTH($A10,0))),MOD((YEAR($A10)-YEAR('Recurring Schedule'!$F$37))*12+MONTH($A10)-MONTH('Recurring Schedule'!$F$37),'Recurring Schedule'!$O$37)=0),IF('Recurring Schedule'!$E$37="Weekdays",WEEKDAY($A10,2)&lt;=5,$A10='Recurring Schedule'!$F$37))),32,""))))</f>
        <v/>
      </c>
      <c r="AH10">
        <f>IF('Recurring Schedule'!$C$38="","",IF('Recurring Schedule'!$F$38="","",IF(OR($A10&lt;'Recurring Schedule'!$F$38,$A10&gt;'Recurring Schedule'!$P$38),"",IF(IF('Recurring Schedule'!$N$38&gt;0,MOD($A10-'Recurring Schedule'!$F$38,'Recurring Schedule'!$N$38)=0,IF('Recurring Schedule'!$O$38&gt;0,AND(DAY($A10)=MIN(DAY('Recurring Schedule'!$F$38),DAY(EOMONTH($A10,0))),MOD((YEAR($A10)-YEAR('Recurring Schedule'!$F$38))*12+MONTH($A10)-MONTH('Recurring Schedule'!$F$38),'Recurring Schedule'!$O$38)=0),IF('Recurring Schedule'!$E$38="Weekdays",WEEKDAY($A10,2)&lt;=5,$A10='Recurring Schedule'!$F$38))),33,""))))</f>
        <v/>
      </c>
      <c r="AI10">
        <f>IF('Recurring Schedule'!$C$39="","",IF('Recurring Schedule'!$F$39="","",IF(OR($A10&lt;'Recurring Schedule'!$F$39,$A10&gt;'Recurring Schedule'!$P$39),"",IF(IF('Recurring Schedule'!$N$39&gt;0,MOD($A10-'Recurring Schedule'!$F$39,'Recurring Schedule'!$N$39)=0,IF('Recurring Schedule'!$O$39&gt;0,AND(DAY($A10)=MIN(DAY('Recurring Schedule'!$F$39),DAY(EOMONTH($A10,0))),MOD((YEAR($A10)-YEAR('Recurring Schedule'!$F$39))*12+MONTH($A10)-MONTH('Recurring Schedule'!$F$39),'Recurring Schedule'!$O$39)=0),IF('Recurring Schedule'!$E$39="Weekdays",WEEKDAY($A10,2)&lt;=5,$A10='Recurring Schedule'!$F$39))),34,""))))</f>
        <v/>
      </c>
      <c r="AJ10">
        <f>IF('Recurring Schedule'!$C$40="","",IF('Recurring Schedule'!$F$40="","",IF(OR($A10&lt;'Recurring Schedule'!$F$40,$A10&gt;'Recurring Schedule'!$P$40),"",IF(IF('Recurring Schedule'!$N$40&gt;0,MOD($A10-'Recurring Schedule'!$F$40,'Recurring Schedule'!$N$40)=0,IF('Recurring Schedule'!$O$40&gt;0,AND(DAY($A10)=MIN(DAY('Recurring Schedule'!$F$40),DAY(EOMONTH($A10,0))),MOD((YEAR($A10)-YEAR('Recurring Schedule'!$F$40))*12+MONTH($A10)-MONTH('Recurring Schedule'!$F$40),'Recurring Schedule'!$O$40)=0),IF('Recurring Schedule'!$E$40="Weekdays",WEEKDAY($A10,2)&lt;=5,$A10='Recurring Schedule'!$F$40))),35,""))))</f>
        <v/>
      </c>
      <c r="AK10">
        <f>IF('Recurring Schedule'!$C$41="","",IF('Recurring Schedule'!$F$41="","",IF(OR($A10&lt;'Recurring Schedule'!$F$41,$A10&gt;'Recurring Schedule'!$P$41),"",IF(IF('Recurring Schedule'!$N$41&gt;0,MOD($A10-'Recurring Schedule'!$F$41,'Recurring Schedule'!$N$41)=0,IF('Recurring Schedule'!$O$41&gt;0,AND(DAY($A10)=MIN(DAY('Recurring Schedule'!$F$41),DAY(EOMONTH($A10,0))),MOD((YEAR($A10)-YEAR('Recurring Schedule'!$F$41))*12+MONTH($A10)-MONTH('Recurring Schedule'!$F$41),'Recurring Schedule'!$O$41)=0),IF('Recurring Schedule'!$E$41="Weekdays",WEEKDAY($A10,2)&lt;=5,$A10='Recurring Schedule'!$F$41))),36,""))))</f>
        <v/>
      </c>
      <c r="AL10">
        <f>IF('Recurring Schedule'!$C$42="","",IF('Recurring Schedule'!$F$42="","",IF(OR($A10&lt;'Recurring Schedule'!$F$42,$A10&gt;'Recurring Schedule'!$P$42),"",IF(IF('Recurring Schedule'!$N$42&gt;0,MOD($A10-'Recurring Schedule'!$F$42,'Recurring Schedule'!$N$42)=0,IF('Recurring Schedule'!$O$42&gt;0,AND(DAY($A10)=MIN(DAY('Recurring Schedule'!$F$42),DAY(EOMONTH($A10,0))),MOD((YEAR($A10)-YEAR('Recurring Schedule'!$F$42))*12+MONTH($A10)-MONTH('Recurring Schedule'!$F$42),'Recurring Schedule'!$O$42)=0),IF('Recurring Schedule'!$E$42="Weekdays",WEEKDAY($A10,2)&lt;=5,$A10='Recurring Schedule'!$F$42))),37,""))))</f>
        <v/>
      </c>
      <c r="AM10">
        <f>IF('Recurring Schedule'!$C$43="","",IF('Recurring Schedule'!$F$43="","",IF(OR($A10&lt;'Recurring Schedule'!$F$43,$A10&gt;'Recurring Schedule'!$P$43),"",IF(IF('Recurring Schedule'!$N$43&gt;0,MOD($A10-'Recurring Schedule'!$F$43,'Recurring Schedule'!$N$43)=0,IF('Recurring Schedule'!$O$43&gt;0,AND(DAY($A10)=MIN(DAY('Recurring Schedule'!$F$43),DAY(EOMONTH($A10,0))),MOD((YEAR($A10)-YEAR('Recurring Schedule'!$F$43))*12+MONTH($A10)-MONTH('Recurring Schedule'!$F$43),'Recurring Schedule'!$O$43)=0),IF('Recurring Schedule'!$E$43="Weekdays",WEEKDAY($A10,2)&lt;=5,$A10='Recurring Schedule'!$F$43))),38,""))))</f>
        <v/>
      </c>
      <c r="AN10">
        <f>IF('Recurring Schedule'!$C$44="","",IF('Recurring Schedule'!$F$44="","",IF(OR($A10&lt;'Recurring Schedule'!$F$44,$A10&gt;'Recurring Schedule'!$P$44),"",IF(IF('Recurring Schedule'!$N$44&gt;0,MOD($A10-'Recurring Schedule'!$F$44,'Recurring Schedule'!$N$44)=0,IF('Recurring Schedule'!$O$44&gt;0,AND(DAY($A10)=MIN(DAY('Recurring Schedule'!$F$44),DAY(EOMONTH($A10,0))),MOD((YEAR($A10)-YEAR('Recurring Schedule'!$F$44))*12+MONTH($A10)-MONTH('Recurring Schedule'!$F$44),'Recurring Schedule'!$O$44)=0),IF('Recurring Schedule'!$E$44="Weekdays",WEEKDAY($A10,2)&lt;=5,$A10='Recurring Schedule'!$F$44))),39,""))))</f>
        <v/>
      </c>
      <c r="AO10">
        <f>IF('Recurring Schedule'!$C$45="","",IF('Recurring Schedule'!$F$45="","",IF(OR($A10&lt;'Recurring Schedule'!$F$45,$A10&gt;'Recurring Schedule'!$P$45),"",IF(IF('Recurring Schedule'!$N$45&gt;0,MOD($A10-'Recurring Schedule'!$F$45,'Recurring Schedule'!$N$45)=0,IF('Recurring Schedule'!$O$45&gt;0,AND(DAY($A10)=MIN(DAY('Recurring Schedule'!$F$45),DAY(EOMONTH($A10,0))),MOD((YEAR($A10)-YEAR('Recurring Schedule'!$F$45))*12+MONTH($A10)-MONTH('Recurring Schedule'!$F$45),'Recurring Schedule'!$O$45)=0),IF('Recurring Schedule'!$E$45="Weekdays",WEEKDAY($A10,2)&lt;=5,$A10='Recurring Schedule'!$F$45))),40,""))))</f>
        <v/>
      </c>
      <c r="AP10">
        <f>COUNT(B10:AO10)</f>
        <v/>
      </c>
      <c r="AQ10">
        <f>AQ9+AP9</f>
        <v/>
      </c>
      <c r="AS10" t="inlineStr">
        <is>
          <t>R</t>
        </is>
      </c>
      <c r="AT10" t="n">
        <v>14</v>
      </c>
      <c r="AU10">
        <f>'Recurring Log'!C14&amp;""</f>
        <v/>
      </c>
      <c r="AV10">
        <f>'Recurring Log'!D14&amp;""</f>
        <v/>
      </c>
      <c r="AW10">
        <f>IF('Recurring Log'!E14="","",'Recurring Log'!E14)</f>
        <v/>
      </c>
      <c r="AX10">
        <f>IF('Recurring Log'!G14="","",'Recurring Log'!G14)</f>
        <v/>
      </c>
      <c r="AY10">
        <f>IF('Recurring Log'!H14="","",'Recurring Log'!H14)</f>
        <v/>
      </c>
      <c r="AZ10">
        <f>IF(AU10="","",IF('Recurring Log'!J14="","Not Started",'Recurring Log'!J14))</f>
        <v/>
      </c>
      <c r="BA10">
        <f>'Recurring Log'!L14&amp;""</f>
        <v/>
      </c>
      <c r="BB10">
        <f>'Recurring Log'!M14&amp;""</f>
        <v/>
      </c>
      <c r="BC10">
        <f>'Recurring Log'!N14&amp;""</f>
        <v/>
      </c>
      <c r="BD10">
        <f>'Recurring Log'!O14&amp;""</f>
        <v/>
      </c>
      <c r="BE10">
        <f>IF('Recurring Log'!K14="","",'Recurring Log'!K14)</f>
        <v/>
      </c>
      <c r="BF10">
        <f>IFERROR(MATCH(BA10,Setup!$L$6:$L$9,0),5)</f>
        <v/>
      </c>
      <c r="BG10">
        <f>IF(OR(AZ10="Done",AZ10="Cancelled"),1,0)</f>
        <v/>
      </c>
      <c r="BH10">
        <f>IF(AND(AU10&lt;&gt;"",ISNUMBER(AW10)),1,0)</f>
        <v/>
      </c>
      <c r="BI10">
        <f>IF(BH10=0,0,IF(AND(AW10&gt;='Tasks Filter'!$F$3,AW10&lt;='Tasks Filter'!$F$4,OR('Tasks Filter'!$I$3="",ISNUMBER(SEARCH('Tasks Filter'!$I$3,AU10))),OR('Tasks Filter'!$I$4="",BF10=IFERROR(MATCH('Tasks Filter'!$I$4,Setup!$L$6:$L$9,0),0)),OR('Tasks Filter'!$I$5="Both",AND('Tasks Filter'!$I$5="Yes",BB10="✓"),AND('Tasks Filter'!$I$5="No",BB10&lt;&gt;"✓")),OR('Tasks Filter'!$L$3="",AV10='Tasks Filter'!$L$3),OR('Tasks Filter'!$L$4="",AZ10='Tasks Filter'!$L$4),OR('Tasks Filter'!$L$5="",BC10='Tasks Filter'!$L$5),OR('Tasks Filter'!$O$3="",BD10='Tasks Filter'!$O$3),OR('Tasks Filter'!$O$4="Yes",BG10=0)),1,0))</f>
        <v/>
      </c>
      <c r="BJ10">
        <f>IF(BH10=0,"",IF('Tasks Filter'!$F$6="Descending",-1,1)*CHOOSE(MATCH('Tasks Filter'!$F$5,Lists!$G$2:$G$6,0),AW10,BF10,IFERROR(MATCH(AV10,Setup!$F$6:$F$15,0),99),IFERROR(MATCH(BC10,Setup!$H$6:$H$15,0),99),IFERROR(MATCH(AZ10,Setup!$J$6:$J$11,0),99))*1E+9+(AW10-40000)*10000+9)</f>
        <v/>
      </c>
      <c r="BK10">
        <f>IF(BI10=1,BJ10,"")</f>
        <v/>
      </c>
      <c r="BL10">
        <f>IF(AND(BH10=1,BG10=0,N(AW10)&lt;Setup!$D$7),(AW10-40000)*10000+9,"")</f>
        <v/>
      </c>
      <c r="BM10">
        <f>IF(AND(BH10=1,AZ10&lt;&gt;"Cancelled",N(AW10)&gt;=Dashboard!$AB$3,N(AW10)&lt;=Dashboard!$AB$3+6),(AW10-40000)*100000+BF10*10000+9,"")</f>
        <v/>
      </c>
      <c r="BN10">
        <f>IF(AND(BH10=1,AZ10&lt;&gt;"Cancelled"),BF10*10000+9,"")</f>
        <v/>
      </c>
    </row>
    <row r="11">
      <c r="A11">
        <f>Setup!$D$5+9</f>
        <v/>
      </c>
      <c r="B11">
        <f>IF('Recurring Schedule'!$C$6="","",IF('Recurring Schedule'!$F$6="","",IF(OR($A11&lt;'Recurring Schedule'!$F$6,$A11&gt;'Recurring Schedule'!$P$6),"",IF(IF('Recurring Schedule'!$N$6&gt;0,MOD($A11-'Recurring Schedule'!$F$6,'Recurring Schedule'!$N$6)=0,IF('Recurring Schedule'!$O$6&gt;0,AND(DAY($A11)=MIN(DAY('Recurring Schedule'!$F$6),DAY(EOMONTH($A11,0))),MOD((YEAR($A11)-YEAR('Recurring Schedule'!$F$6))*12+MONTH($A11)-MONTH('Recurring Schedule'!$F$6),'Recurring Schedule'!$O$6)=0),IF('Recurring Schedule'!$E$6="Weekdays",WEEKDAY($A11,2)&lt;=5,$A11='Recurring Schedule'!$F$6))),1,""))))</f>
        <v/>
      </c>
      <c r="C11">
        <f>IF('Recurring Schedule'!$C$7="","",IF('Recurring Schedule'!$F$7="","",IF(OR($A11&lt;'Recurring Schedule'!$F$7,$A11&gt;'Recurring Schedule'!$P$7),"",IF(IF('Recurring Schedule'!$N$7&gt;0,MOD($A11-'Recurring Schedule'!$F$7,'Recurring Schedule'!$N$7)=0,IF('Recurring Schedule'!$O$7&gt;0,AND(DAY($A11)=MIN(DAY('Recurring Schedule'!$F$7),DAY(EOMONTH($A11,0))),MOD((YEAR($A11)-YEAR('Recurring Schedule'!$F$7))*12+MONTH($A11)-MONTH('Recurring Schedule'!$F$7),'Recurring Schedule'!$O$7)=0),IF('Recurring Schedule'!$E$7="Weekdays",WEEKDAY($A11,2)&lt;=5,$A11='Recurring Schedule'!$F$7))),2,""))))</f>
        <v/>
      </c>
      <c r="D11">
        <f>IF('Recurring Schedule'!$C$8="","",IF('Recurring Schedule'!$F$8="","",IF(OR($A11&lt;'Recurring Schedule'!$F$8,$A11&gt;'Recurring Schedule'!$P$8),"",IF(IF('Recurring Schedule'!$N$8&gt;0,MOD($A11-'Recurring Schedule'!$F$8,'Recurring Schedule'!$N$8)=0,IF('Recurring Schedule'!$O$8&gt;0,AND(DAY($A11)=MIN(DAY('Recurring Schedule'!$F$8),DAY(EOMONTH($A11,0))),MOD((YEAR($A11)-YEAR('Recurring Schedule'!$F$8))*12+MONTH($A11)-MONTH('Recurring Schedule'!$F$8),'Recurring Schedule'!$O$8)=0),IF('Recurring Schedule'!$E$8="Weekdays",WEEKDAY($A11,2)&lt;=5,$A11='Recurring Schedule'!$F$8))),3,""))))</f>
        <v/>
      </c>
      <c r="E11">
        <f>IF('Recurring Schedule'!$C$9="","",IF('Recurring Schedule'!$F$9="","",IF(OR($A11&lt;'Recurring Schedule'!$F$9,$A11&gt;'Recurring Schedule'!$P$9),"",IF(IF('Recurring Schedule'!$N$9&gt;0,MOD($A11-'Recurring Schedule'!$F$9,'Recurring Schedule'!$N$9)=0,IF('Recurring Schedule'!$O$9&gt;0,AND(DAY($A11)=MIN(DAY('Recurring Schedule'!$F$9),DAY(EOMONTH($A11,0))),MOD((YEAR($A11)-YEAR('Recurring Schedule'!$F$9))*12+MONTH($A11)-MONTH('Recurring Schedule'!$F$9),'Recurring Schedule'!$O$9)=0),IF('Recurring Schedule'!$E$9="Weekdays",WEEKDAY($A11,2)&lt;=5,$A11='Recurring Schedule'!$F$9))),4,""))))</f>
        <v/>
      </c>
      <c r="F11">
        <f>IF('Recurring Schedule'!$C$10="","",IF('Recurring Schedule'!$F$10="","",IF(OR($A11&lt;'Recurring Schedule'!$F$10,$A11&gt;'Recurring Schedule'!$P$10),"",IF(IF('Recurring Schedule'!$N$10&gt;0,MOD($A11-'Recurring Schedule'!$F$10,'Recurring Schedule'!$N$10)=0,IF('Recurring Schedule'!$O$10&gt;0,AND(DAY($A11)=MIN(DAY('Recurring Schedule'!$F$10),DAY(EOMONTH($A11,0))),MOD((YEAR($A11)-YEAR('Recurring Schedule'!$F$10))*12+MONTH($A11)-MONTH('Recurring Schedule'!$F$10),'Recurring Schedule'!$O$10)=0),IF('Recurring Schedule'!$E$10="Weekdays",WEEKDAY($A11,2)&lt;=5,$A11='Recurring Schedule'!$F$10))),5,""))))</f>
        <v/>
      </c>
      <c r="G11">
        <f>IF('Recurring Schedule'!$C$11="","",IF('Recurring Schedule'!$F$11="","",IF(OR($A11&lt;'Recurring Schedule'!$F$11,$A11&gt;'Recurring Schedule'!$P$11),"",IF(IF('Recurring Schedule'!$N$11&gt;0,MOD($A11-'Recurring Schedule'!$F$11,'Recurring Schedule'!$N$11)=0,IF('Recurring Schedule'!$O$11&gt;0,AND(DAY($A11)=MIN(DAY('Recurring Schedule'!$F$11),DAY(EOMONTH($A11,0))),MOD((YEAR($A11)-YEAR('Recurring Schedule'!$F$11))*12+MONTH($A11)-MONTH('Recurring Schedule'!$F$11),'Recurring Schedule'!$O$11)=0),IF('Recurring Schedule'!$E$11="Weekdays",WEEKDAY($A11,2)&lt;=5,$A11='Recurring Schedule'!$F$11))),6,""))))</f>
        <v/>
      </c>
      <c r="H11">
        <f>IF('Recurring Schedule'!$C$12="","",IF('Recurring Schedule'!$F$12="","",IF(OR($A11&lt;'Recurring Schedule'!$F$12,$A11&gt;'Recurring Schedule'!$P$12),"",IF(IF('Recurring Schedule'!$N$12&gt;0,MOD($A11-'Recurring Schedule'!$F$12,'Recurring Schedule'!$N$12)=0,IF('Recurring Schedule'!$O$12&gt;0,AND(DAY($A11)=MIN(DAY('Recurring Schedule'!$F$12),DAY(EOMONTH($A11,0))),MOD((YEAR($A11)-YEAR('Recurring Schedule'!$F$12))*12+MONTH($A11)-MONTH('Recurring Schedule'!$F$12),'Recurring Schedule'!$O$12)=0),IF('Recurring Schedule'!$E$12="Weekdays",WEEKDAY($A11,2)&lt;=5,$A11='Recurring Schedule'!$F$12))),7,""))))</f>
        <v/>
      </c>
      <c r="I11">
        <f>IF('Recurring Schedule'!$C$13="","",IF('Recurring Schedule'!$F$13="","",IF(OR($A11&lt;'Recurring Schedule'!$F$13,$A11&gt;'Recurring Schedule'!$P$13),"",IF(IF('Recurring Schedule'!$N$13&gt;0,MOD($A11-'Recurring Schedule'!$F$13,'Recurring Schedule'!$N$13)=0,IF('Recurring Schedule'!$O$13&gt;0,AND(DAY($A11)=MIN(DAY('Recurring Schedule'!$F$13),DAY(EOMONTH($A11,0))),MOD((YEAR($A11)-YEAR('Recurring Schedule'!$F$13))*12+MONTH($A11)-MONTH('Recurring Schedule'!$F$13),'Recurring Schedule'!$O$13)=0),IF('Recurring Schedule'!$E$13="Weekdays",WEEKDAY($A11,2)&lt;=5,$A11='Recurring Schedule'!$F$13))),8,""))))</f>
        <v/>
      </c>
      <c r="J11">
        <f>IF('Recurring Schedule'!$C$14="","",IF('Recurring Schedule'!$F$14="","",IF(OR($A11&lt;'Recurring Schedule'!$F$14,$A11&gt;'Recurring Schedule'!$P$14),"",IF(IF('Recurring Schedule'!$N$14&gt;0,MOD($A11-'Recurring Schedule'!$F$14,'Recurring Schedule'!$N$14)=0,IF('Recurring Schedule'!$O$14&gt;0,AND(DAY($A11)=MIN(DAY('Recurring Schedule'!$F$14),DAY(EOMONTH($A11,0))),MOD((YEAR($A11)-YEAR('Recurring Schedule'!$F$14))*12+MONTH($A11)-MONTH('Recurring Schedule'!$F$14),'Recurring Schedule'!$O$14)=0),IF('Recurring Schedule'!$E$14="Weekdays",WEEKDAY($A11,2)&lt;=5,$A11='Recurring Schedule'!$F$14))),9,""))))</f>
        <v/>
      </c>
      <c r="K11">
        <f>IF('Recurring Schedule'!$C$15="","",IF('Recurring Schedule'!$F$15="","",IF(OR($A11&lt;'Recurring Schedule'!$F$15,$A11&gt;'Recurring Schedule'!$P$15),"",IF(IF('Recurring Schedule'!$N$15&gt;0,MOD($A11-'Recurring Schedule'!$F$15,'Recurring Schedule'!$N$15)=0,IF('Recurring Schedule'!$O$15&gt;0,AND(DAY($A11)=MIN(DAY('Recurring Schedule'!$F$15),DAY(EOMONTH($A11,0))),MOD((YEAR($A11)-YEAR('Recurring Schedule'!$F$15))*12+MONTH($A11)-MONTH('Recurring Schedule'!$F$15),'Recurring Schedule'!$O$15)=0),IF('Recurring Schedule'!$E$15="Weekdays",WEEKDAY($A11,2)&lt;=5,$A11='Recurring Schedule'!$F$15))),10,""))))</f>
        <v/>
      </c>
      <c r="L11">
        <f>IF('Recurring Schedule'!$C$16="","",IF('Recurring Schedule'!$F$16="","",IF(OR($A11&lt;'Recurring Schedule'!$F$16,$A11&gt;'Recurring Schedule'!$P$16),"",IF(IF('Recurring Schedule'!$N$16&gt;0,MOD($A11-'Recurring Schedule'!$F$16,'Recurring Schedule'!$N$16)=0,IF('Recurring Schedule'!$O$16&gt;0,AND(DAY($A11)=MIN(DAY('Recurring Schedule'!$F$16),DAY(EOMONTH($A11,0))),MOD((YEAR($A11)-YEAR('Recurring Schedule'!$F$16))*12+MONTH($A11)-MONTH('Recurring Schedule'!$F$16),'Recurring Schedule'!$O$16)=0),IF('Recurring Schedule'!$E$16="Weekdays",WEEKDAY($A11,2)&lt;=5,$A11='Recurring Schedule'!$F$16))),11,""))))</f>
        <v/>
      </c>
      <c r="M11">
        <f>IF('Recurring Schedule'!$C$17="","",IF('Recurring Schedule'!$F$17="","",IF(OR($A11&lt;'Recurring Schedule'!$F$17,$A11&gt;'Recurring Schedule'!$P$17),"",IF(IF('Recurring Schedule'!$N$17&gt;0,MOD($A11-'Recurring Schedule'!$F$17,'Recurring Schedule'!$N$17)=0,IF('Recurring Schedule'!$O$17&gt;0,AND(DAY($A11)=MIN(DAY('Recurring Schedule'!$F$17),DAY(EOMONTH($A11,0))),MOD((YEAR($A11)-YEAR('Recurring Schedule'!$F$17))*12+MONTH($A11)-MONTH('Recurring Schedule'!$F$17),'Recurring Schedule'!$O$17)=0),IF('Recurring Schedule'!$E$17="Weekdays",WEEKDAY($A11,2)&lt;=5,$A11='Recurring Schedule'!$F$17))),12,""))))</f>
        <v/>
      </c>
      <c r="N11">
        <f>IF('Recurring Schedule'!$C$18="","",IF('Recurring Schedule'!$F$18="","",IF(OR($A11&lt;'Recurring Schedule'!$F$18,$A11&gt;'Recurring Schedule'!$P$18),"",IF(IF('Recurring Schedule'!$N$18&gt;0,MOD($A11-'Recurring Schedule'!$F$18,'Recurring Schedule'!$N$18)=0,IF('Recurring Schedule'!$O$18&gt;0,AND(DAY($A11)=MIN(DAY('Recurring Schedule'!$F$18),DAY(EOMONTH($A11,0))),MOD((YEAR($A11)-YEAR('Recurring Schedule'!$F$18))*12+MONTH($A11)-MONTH('Recurring Schedule'!$F$18),'Recurring Schedule'!$O$18)=0),IF('Recurring Schedule'!$E$18="Weekdays",WEEKDAY($A11,2)&lt;=5,$A11='Recurring Schedule'!$F$18))),13,""))))</f>
        <v/>
      </c>
      <c r="O11">
        <f>IF('Recurring Schedule'!$C$19="","",IF('Recurring Schedule'!$F$19="","",IF(OR($A11&lt;'Recurring Schedule'!$F$19,$A11&gt;'Recurring Schedule'!$P$19),"",IF(IF('Recurring Schedule'!$N$19&gt;0,MOD($A11-'Recurring Schedule'!$F$19,'Recurring Schedule'!$N$19)=0,IF('Recurring Schedule'!$O$19&gt;0,AND(DAY($A11)=MIN(DAY('Recurring Schedule'!$F$19),DAY(EOMONTH($A11,0))),MOD((YEAR($A11)-YEAR('Recurring Schedule'!$F$19))*12+MONTH($A11)-MONTH('Recurring Schedule'!$F$19),'Recurring Schedule'!$O$19)=0),IF('Recurring Schedule'!$E$19="Weekdays",WEEKDAY($A11,2)&lt;=5,$A11='Recurring Schedule'!$F$19))),14,""))))</f>
        <v/>
      </c>
      <c r="P11">
        <f>IF('Recurring Schedule'!$C$20="","",IF('Recurring Schedule'!$F$20="","",IF(OR($A11&lt;'Recurring Schedule'!$F$20,$A11&gt;'Recurring Schedule'!$P$20),"",IF(IF('Recurring Schedule'!$N$20&gt;0,MOD($A11-'Recurring Schedule'!$F$20,'Recurring Schedule'!$N$20)=0,IF('Recurring Schedule'!$O$20&gt;0,AND(DAY($A11)=MIN(DAY('Recurring Schedule'!$F$20),DAY(EOMONTH($A11,0))),MOD((YEAR($A11)-YEAR('Recurring Schedule'!$F$20))*12+MONTH($A11)-MONTH('Recurring Schedule'!$F$20),'Recurring Schedule'!$O$20)=0),IF('Recurring Schedule'!$E$20="Weekdays",WEEKDAY($A11,2)&lt;=5,$A11='Recurring Schedule'!$F$20))),15,""))))</f>
        <v/>
      </c>
      <c r="Q11">
        <f>IF('Recurring Schedule'!$C$21="","",IF('Recurring Schedule'!$F$21="","",IF(OR($A11&lt;'Recurring Schedule'!$F$21,$A11&gt;'Recurring Schedule'!$P$21),"",IF(IF('Recurring Schedule'!$N$21&gt;0,MOD($A11-'Recurring Schedule'!$F$21,'Recurring Schedule'!$N$21)=0,IF('Recurring Schedule'!$O$21&gt;0,AND(DAY($A11)=MIN(DAY('Recurring Schedule'!$F$21),DAY(EOMONTH($A11,0))),MOD((YEAR($A11)-YEAR('Recurring Schedule'!$F$21))*12+MONTH($A11)-MONTH('Recurring Schedule'!$F$21),'Recurring Schedule'!$O$21)=0),IF('Recurring Schedule'!$E$21="Weekdays",WEEKDAY($A11,2)&lt;=5,$A11='Recurring Schedule'!$F$21))),16,""))))</f>
        <v/>
      </c>
      <c r="R11">
        <f>IF('Recurring Schedule'!$C$22="","",IF('Recurring Schedule'!$F$22="","",IF(OR($A11&lt;'Recurring Schedule'!$F$22,$A11&gt;'Recurring Schedule'!$P$22),"",IF(IF('Recurring Schedule'!$N$22&gt;0,MOD($A11-'Recurring Schedule'!$F$22,'Recurring Schedule'!$N$22)=0,IF('Recurring Schedule'!$O$22&gt;0,AND(DAY($A11)=MIN(DAY('Recurring Schedule'!$F$22),DAY(EOMONTH($A11,0))),MOD((YEAR($A11)-YEAR('Recurring Schedule'!$F$22))*12+MONTH($A11)-MONTH('Recurring Schedule'!$F$22),'Recurring Schedule'!$O$22)=0),IF('Recurring Schedule'!$E$22="Weekdays",WEEKDAY($A11,2)&lt;=5,$A11='Recurring Schedule'!$F$22))),17,""))))</f>
        <v/>
      </c>
      <c r="S11">
        <f>IF('Recurring Schedule'!$C$23="","",IF('Recurring Schedule'!$F$23="","",IF(OR($A11&lt;'Recurring Schedule'!$F$23,$A11&gt;'Recurring Schedule'!$P$23),"",IF(IF('Recurring Schedule'!$N$23&gt;0,MOD($A11-'Recurring Schedule'!$F$23,'Recurring Schedule'!$N$23)=0,IF('Recurring Schedule'!$O$23&gt;0,AND(DAY($A11)=MIN(DAY('Recurring Schedule'!$F$23),DAY(EOMONTH($A11,0))),MOD((YEAR($A11)-YEAR('Recurring Schedule'!$F$23))*12+MONTH($A11)-MONTH('Recurring Schedule'!$F$23),'Recurring Schedule'!$O$23)=0),IF('Recurring Schedule'!$E$23="Weekdays",WEEKDAY($A11,2)&lt;=5,$A11='Recurring Schedule'!$F$23))),18,""))))</f>
        <v/>
      </c>
      <c r="T11">
        <f>IF('Recurring Schedule'!$C$24="","",IF('Recurring Schedule'!$F$24="","",IF(OR($A11&lt;'Recurring Schedule'!$F$24,$A11&gt;'Recurring Schedule'!$P$24),"",IF(IF('Recurring Schedule'!$N$24&gt;0,MOD($A11-'Recurring Schedule'!$F$24,'Recurring Schedule'!$N$24)=0,IF('Recurring Schedule'!$O$24&gt;0,AND(DAY($A11)=MIN(DAY('Recurring Schedule'!$F$24),DAY(EOMONTH($A11,0))),MOD((YEAR($A11)-YEAR('Recurring Schedule'!$F$24))*12+MONTH($A11)-MONTH('Recurring Schedule'!$F$24),'Recurring Schedule'!$O$24)=0),IF('Recurring Schedule'!$E$24="Weekdays",WEEKDAY($A11,2)&lt;=5,$A11='Recurring Schedule'!$F$24))),19,""))))</f>
        <v/>
      </c>
      <c r="U11">
        <f>IF('Recurring Schedule'!$C$25="","",IF('Recurring Schedule'!$F$25="","",IF(OR($A11&lt;'Recurring Schedule'!$F$25,$A11&gt;'Recurring Schedule'!$P$25),"",IF(IF('Recurring Schedule'!$N$25&gt;0,MOD($A11-'Recurring Schedule'!$F$25,'Recurring Schedule'!$N$25)=0,IF('Recurring Schedule'!$O$25&gt;0,AND(DAY($A11)=MIN(DAY('Recurring Schedule'!$F$25),DAY(EOMONTH($A11,0))),MOD((YEAR($A11)-YEAR('Recurring Schedule'!$F$25))*12+MONTH($A11)-MONTH('Recurring Schedule'!$F$25),'Recurring Schedule'!$O$25)=0),IF('Recurring Schedule'!$E$25="Weekdays",WEEKDAY($A11,2)&lt;=5,$A11='Recurring Schedule'!$F$25))),20,""))))</f>
        <v/>
      </c>
      <c r="V11">
        <f>IF('Recurring Schedule'!$C$26="","",IF('Recurring Schedule'!$F$26="","",IF(OR($A11&lt;'Recurring Schedule'!$F$26,$A11&gt;'Recurring Schedule'!$P$26),"",IF(IF('Recurring Schedule'!$N$26&gt;0,MOD($A11-'Recurring Schedule'!$F$26,'Recurring Schedule'!$N$26)=0,IF('Recurring Schedule'!$O$26&gt;0,AND(DAY($A11)=MIN(DAY('Recurring Schedule'!$F$26),DAY(EOMONTH($A11,0))),MOD((YEAR($A11)-YEAR('Recurring Schedule'!$F$26))*12+MONTH($A11)-MONTH('Recurring Schedule'!$F$26),'Recurring Schedule'!$O$26)=0),IF('Recurring Schedule'!$E$26="Weekdays",WEEKDAY($A11,2)&lt;=5,$A11='Recurring Schedule'!$F$26))),21,""))))</f>
        <v/>
      </c>
      <c r="W11">
        <f>IF('Recurring Schedule'!$C$27="","",IF('Recurring Schedule'!$F$27="","",IF(OR($A11&lt;'Recurring Schedule'!$F$27,$A11&gt;'Recurring Schedule'!$P$27),"",IF(IF('Recurring Schedule'!$N$27&gt;0,MOD($A11-'Recurring Schedule'!$F$27,'Recurring Schedule'!$N$27)=0,IF('Recurring Schedule'!$O$27&gt;0,AND(DAY($A11)=MIN(DAY('Recurring Schedule'!$F$27),DAY(EOMONTH($A11,0))),MOD((YEAR($A11)-YEAR('Recurring Schedule'!$F$27))*12+MONTH($A11)-MONTH('Recurring Schedule'!$F$27),'Recurring Schedule'!$O$27)=0),IF('Recurring Schedule'!$E$27="Weekdays",WEEKDAY($A11,2)&lt;=5,$A11='Recurring Schedule'!$F$27))),22,""))))</f>
        <v/>
      </c>
      <c r="X11">
        <f>IF('Recurring Schedule'!$C$28="","",IF('Recurring Schedule'!$F$28="","",IF(OR($A11&lt;'Recurring Schedule'!$F$28,$A11&gt;'Recurring Schedule'!$P$28),"",IF(IF('Recurring Schedule'!$N$28&gt;0,MOD($A11-'Recurring Schedule'!$F$28,'Recurring Schedule'!$N$28)=0,IF('Recurring Schedule'!$O$28&gt;0,AND(DAY($A11)=MIN(DAY('Recurring Schedule'!$F$28),DAY(EOMONTH($A11,0))),MOD((YEAR($A11)-YEAR('Recurring Schedule'!$F$28))*12+MONTH($A11)-MONTH('Recurring Schedule'!$F$28),'Recurring Schedule'!$O$28)=0),IF('Recurring Schedule'!$E$28="Weekdays",WEEKDAY($A11,2)&lt;=5,$A11='Recurring Schedule'!$F$28))),23,""))))</f>
        <v/>
      </c>
      <c r="Y11">
        <f>IF('Recurring Schedule'!$C$29="","",IF('Recurring Schedule'!$F$29="","",IF(OR($A11&lt;'Recurring Schedule'!$F$29,$A11&gt;'Recurring Schedule'!$P$29),"",IF(IF('Recurring Schedule'!$N$29&gt;0,MOD($A11-'Recurring Schedule'!$F$29,'Recurring Schedule'!$N$29)=0,IF('Recurring Schedule'!$O$29&gt;0,AND(DAY($A11)=MIN(DAY('Recurring Schedule'!$F$29),DAY(EOMONTH($A11,0))),MOD((YEAR($A11)-YEAR('Recurring Schedule'!$F$29))*12+MONTH($A11)-MONTH('Recurring Schedule'!$F$29),'Recurring Schedule'!$O$29)=0),IF('Recurring Schedule'!$E$29="Weekdays",WEEKDAY($A11,2)&lt;=5,$A11='Recurring Schedule'!$F$29))),24,""))))</f>
        <v/>
      </c>
      <c r="Z11">
        <f>IF('Recurring Schedule'!$C$30="","",IF('Recurring Schedule'!$F$30="","",IF(OR($A11&lt;'Recurring Schedule'!$F$30,$A11&gt;'Recurring Schedule'!$P$30),"",IF(IF('Recurring Schedule'!$N$30&gt;0,MOD($A11-'Recurring Schedule'!$F$30,'Recurring Schedule'!$N$30)=0,IF('Recurring Schedule'!$O$30&gt;0,AND(DAY($A11)=MIN(DAY('Recurring Schedule'!$F$30),DAY(EOMONTH($A11,0))),MOD((YEAR($A11)-YEAR('Recurring Schedule'!$F$30))*12+MONTH($A11)-MONTH('Recurring Schedule'!$F$30),'Recurring Schedule'!$O$30)=0),IF('Recurring Schedule'!$E$30="Weekdays",WEEKDAY($A11,2)&lt;=5,$A11='Recurring Schedule'!$F$30))),25,""))))</f>
        <v/>
      </c>
      <c r="AA11">
        <f>IF('Recurring Schedule'!$C$31="","",IF('Recurring Schedule'!$F$31="","",IF(OR($A11&lt;'Recurring Schedule'!$F$31,$A11&gt;'Recurring Schedule'!$P$31),"",IF(IF('Recurring Schedule'!$N$31&gt;0,MOD($A11-'Recurring Schedule'!$F$31,'Recurring Schedule'!$N$31)=0,IF('Recurring Schedule'!$O$31&gt;0,AND(DAY($A11)=MIN(DAY('Recurring Schedule'!$F$31),DAY(EOMONTH($A11,0))),MOD((YEAR($A11)-YEAR('Recurring Schedule'!$F$31))*12+MONTH($A11)-MONTH('Recurring Schedule'!$F$31),'Recurring Schedule'!$O$31)=0),IF('Recurring Schedule'!$E$31="Weekdays",WEEKDAY($A11,2)&lt;=5,$A11='Recurring Schedule'!$F$31))),26,""))))</f>
        <v/>
      </c>
      <c r="AB11">
        <f>IF('Recurring Schedule'!$C$32="","",IF('Recurring Schedule'!$F$32="","",IF(OR($A11&lt;'Recurring Schedule'!$F$32,$A11&gt;'Recurring Schedule'!$P$32),"",IF(IF('Recurring Schedule'!$N$32&gt;0,MOD($A11-'Recurring Schedule'!$F$32,'Recurring Schedule'!$N$32)=0,IF('Recurring Schedule'!$O$32&gt;0,AND(DAY($A11)=MIN(DAY('Recurring Schedule'!$F$32),DAY(EOMONTH($A11,0))),MOD((YEAR($A11)-YEAR('Recurring Schedule'!$F$32))*12+MONTH($A11)-MONTH('Recurring Schedule'!$F$32),'Recurring Schedule'!$O$32)=0),IF('Recurring Schedule'!$E$32="Weekdays",WEEKDAY($A11,2)&lt;=5,$A11='Recurring Schedule'!$F$32))),27,""))))</f>
        <v/>
      </c>
      <c r="AC11">
        <f>IF('Recurring Schedule'!$C$33="","",IF('Recurring Schedule'!$F$33="","",IF(OR($A11&lt;'Recurring Schedule'!$F$33,$A11&gt;'Recurring Schedule'!$P$33),"",IF(IF('Recurring Schedule'!$N$33&gt;0,MOD($A11-'Recurring Schedule'!$F$33,'Recurring Schedule'!$N$33)=0,IF('Recurring Schedule'!$O$33&gt;0,AND(DAY($A11)=MIN(DAY('Recurring Schedule'!$F$33),DAY(EOMONTH($A11,0))),MOD((YEAR($A11)-YEAR('Recurring Schedule'!$F$33))*12+MONTH($A11)-MONTH('Recurring Schedule'!$F$33),'Recurring Schedule'!$O$33)=0),IF('Recurring Schedule'!$E$33="Weekdays",WEEKDAY($A11,2)&lt;=5,$A11='Recurring Schedule'!$F$33))),28,""))))</f>
        <v/>
      </c>
      <c r="AD11">
        <f>IF('Recurring Schedule'!$C$34="","",IF('Recurring Schedule'!$F$34="","",IF(OR($A11&lt;'Recurring Schedule'!$F$34,$A11&gt;'Recurring Schedule'!$P$34),"",IF(IF('Recurring Schedule'!$N$34&gt;0,MOD($A11-'Recurring Schedule'!$F$34,'Recurring Schedule'!$N$34)=0,IF('Recurring Schedule'!$O$34&gt;0,AND(DAY($A11)=MIN(DAY('Recurring Schedule'!$F$34),DAY(EOMONTH($A11,0))),MOD((YEAR($A11)-YEAR('Recurring Schedule'!$F$34))*12+MONTH($A11)-MONTH('Recurring Schedule'!$F$34),'Recurring Schedule'!$O$34)=0),IF('Recurring Schedule'!$E$34="Weekdays",WEEKDAY($A11,2)&lt;=5,$A11='Recurring Schedule'!$F$34))),29,""))))</f>
        <v/>
      </c>
      <c r="AE11">
        <f>IF('Recurring Schedule'!$C$35="","",IF('Recurring Schedule'!$F$35="","",IF(OR($A11&lt;'Recurring Schedule'!$F$35,$A11&gt;'Recurring Schedule'!$P$35),"",IF(IF('Recurring Schedule'!$N$35&gt;0,MOD($A11-'Recurring Schedule'!$F$35,'Recurring Schedule'!$N$35)=0,IF('Recurring Schedule'!$O$35&gt;0,AND(DAY($A11)=MIN(DAY('Recurring Schedule'!$F$35),DAY(EOMONTH($A11,0))),MOD((YEAR($A11)-YEAR('Recurring Schedule'!$F$35))*12+MONTH($A11)-MONTH('Recurring Schedule'!$F$35),'Recurring Schedule'!$O$35)=0),IF('Recurring Schedule'!$E$35="Weekdays",WEEKDAY($A11,2)&lt;=5,$A11='Recurring Schedule'!$F$35))),30,""))))</f>
        <v/>
      </c>
      <c r="AF11">
        <f>IF('Recurring Schedule'!$C$36="","",IF('Recurring Schedule'!$F$36="","",IF(OR($A11&lt;'Recurring Schedule'!$F$36,$A11&gt;'Recurring Schedule'!$P$36),"",IF(IF('Recurring Schedule'!$N$36&gt;0,MOD($A11-'Recurring Schedule'!$F$36,'Recurring Schedule'!$N$36)=0,IF('Recurring Schedule'!$O$36&gt;0,AND(DAY($A11)=MIN(DAY('Recurring Schedule'!$F$36),DAY(EOMONTH($A11,0))),MOD((YEAR($A11)-YEAR('Recurring Schedule'!$F$36))*12+MONTH($A11)-MONTH('Recurring Schedule'!$F$36),'Recurring Schedule'!$O$36)=0),IF('Recurring Schedule'!$E$36="Weekdays",WEEKDAY($A11,2)&lt;=5,$A11='Recurring Schedule'!$F$36))),31,""))))</f>
        <v/>
      </c>
      <c r="AG11">
        <f>IF('Recurring Schedule'!$C$37="","",IF('Recurring Schedule'!$F$37="","",IF(OR($A11&lt;'Recurring Schedule'!$F$37,$A11&gt;'Recurring Schedule'!$P$37),"",IF(IF('Recurring Schedule'!$N$37&gt;0,MOD($A11-'Recurring Schedule'!$F$37,'Recurring Schedule'!$N$37)=0,IF('Recurring Schedule'!$O$37&gt;0,AND(DAY($A11)=MIN(DAY('Recurring Schedule'!$F$37),DAY(EOMONTH($A11,0))),MOD((YEAR($A11)-YEAR('Recurring Schedule'!$F$37))*12+MONTH($A11)-MONTH('Recurring Schedule'!$F$37),'Recurring Schedule'!$O$37)=0),IF('Recurring Schedule'!$E$37="Weekdays",WEEKDAY($A11,2)&lt;=5,$A11='Recurring Schedule'!$F$37))),32,""))))</f>
        <v/>
      </c>
      <c r="AH11">
        <f>IF('Recurring Schedule'!$C$38="","",IF('Recurring Schedule'!$F$38="","",IF(OR($A11&lt;'Recurring Schedule'!$F$38,$A11&gt;'Recurring Schedule'!$P$38),"",IF(IF('Recurring Schedule'!$N$38&gt;0,MOD($A11-'Recurring Schedule'!$F$38,'Recurring Schedule'!$N$38)=0,IF('Recurring Schedule'!$O$38&gt;0,AND(DAY($A11)=MIN(DAY('Recurring Schedule'!$F$38),DAY(EOMONTH($A11,0))),MOD((YEAR($A11)-YEAR('Recurring Schedule'!$F$38))*12+MONTH($A11)-MONTH('Recurring Schedule'!$F$38),'Recurring Schedule'!$O$38)=0),IF('Recurring Schedule'!$E$38="Weekdays",WEEKDAY($A11,2)&lt;=5,$A11='Recurring Schedule'!$F$38))),33,""))))</f>
        <v/>
      </c>
      <c r="AI11">
        <f>IF('Recurring Schedule'!$C$39="","",IF('Recurring Schedule'!$F$39="","",IF(OR($A11&lt;'Recurring Schedule'!$F$39,$A11&gt;'Recurring Schedule'!$P$39),"",IF(IF('Recurring Schedule'!$N$39&gt;0,MOD($A11-'Recurring Schedule'!$F$39,'Recurring Schedule'!$N$39)=0,IF('Recurring Schedule'!$O$39&gt;0,AND(DAY($A11)=MIN(DAY('Recurring Schedule'!$F$39),DAY(EOMONTH($A11,0))),MOD((YEAR($A11)-YEAR('Recurring Schedule'!$F$39))*12+MONTH($A11)-MONTH('Recurring Schedule'!$F$39),'Recurring Schedule'!$O$39)=0),IF('Recurring Schedule'!$E$39="Weekdays",WEEKDAY($A11,2)&lt;=5,$A11='Recurring Schedule'!$F$39))),34,""))))</f>
        <v/>
      </c>
      <c r="AJ11">
        <f>IF('Recurring Schedule'!$C$40="","",IF('Recurring Schedule'!$F$40="","",IF(OR($A11&lt;'Recurring Schedule'!$F$40,$A11&gt;'Recurring Schedule'!$P$40),"",IF(IF('Recurring Schedule'!$N$40&gt;0,MOD($A11-'Recurring Schedule'!$F$40,'Recurring Schedule'!$N$40)=0,IF('Recurring Schedule'!$O$40&gt;0,AND(DAY($A11)=MIN(DAY('Recurring Schedule'!$F$40),DAY(EOMONTH($A11,0))),MOD((YEAR($A11)-YEAR('Recurring Schedule'!$F$40))*12+MONTH($A11)-MONTH('Recurring Schedule'!$F$40),'Recurring Schedule'!$O$40)=0),IF('Recurring Schedule'!$E$40="Weekdays",WEEKDAY($A11,2)&lt;=5,$A11='Recurring Schedule'!$F$40))),35,""))))</f>
        <v/>
      </c>
      <c r="AK11">
        <f>IF('Recurring Schedule'!$C$41="","",IF('Recurring Schedule'!$F$41="","",IF(OR($A11&lt;'Recurring Schedule'!$F$41,$A11&gt;'Recurring Schedule'!$P$41),"",IF(IF('Recurring Schedule'!$N$41&gt;0,MOD($A11-'Recurring Schedule'!$F$41,'Recurring Schedule'!$N$41)=0,IF('Recurring Schedule'!$O$41&gt;0,AND(DAY($A11)=MIN(DAY('Recurring Schedule'!$F$41),DAY(EOMONTH($A11,0))),MOD((YEAR($A11)-YEAR('Recurring Schedule'!$F$41))*12+MONTH($A11)-MONTH('Recurring Schedule'!$F$41),'Recurring Schedule'!$O$41)=0),IF('Recurring Schedule'!$E$41="Weekdays",WEEKDAY($A11,2)&lt;=5,$A11='Recurring Schedule'!$F$41))),36,""))))</f>
        <v/>
      </c>
      <c r="AL11">
        <f>IF('Recurring Schedule'!$C$42="","",IF('Recurring Schedule'!$F$42="","",IF(OR($A11&lt;'Recurring Schedule'!$F$42,$A11&gt;'Recurring Schedule'!$P$42),"",IF(IF('Recurring Schedule'!$N$42&gt;0,MOD($A11-'Recurring Schedule'!$F$42,'Recurring Schedule'!$N$42)=0,IF('Recurring Schedule'!$O$42&gt;0,AND(DAY($A11)=MIN(DAY('Recurring Schedule'!$F$42),DAY(EOMONTH($A11,0))),MOD((YEAR($A11)-YEAR('Recurring Schedule'!$F$42))*12+MONTH($A11)-MONTH('Recurring Schedule'!$F$42),'Recurring Schedule'!$O$42)=0),IF('Recurring Schedule'!$E$42="Weekdays",WEEKDAY($A11,2)&lt;=5,$A11='Recurring Schedule'!$F$42))),37,""))))</f>
        <v/>
      </c>
      <c r="AM11">
        <f>IF('Recurring Schedule'!$C$43="","",IF('Recurring Schedule'!$F$43="","",IF(OR($A11&lt;'Recurring Schedule'!$F$43,$A11&gt;'Recurring Schedule'!$P$43),"",IF(IF('Recurring Schedule'!$N$43&gt;0,MOD($A11-'Recurring Schedule'!$F$43,'Recurring Schedule'!$N$43)=0,IF('Recurring Schedule'!$O$43&gt;0,AND(DAY($A11)=MIN(DAY('Recurring Schedule'!$F$43),DAY(EOMONTH($A11,0))),MOD((YEAR($A11)-YEAR('Recurring Schedule'!$F$43))*12+MONTH($A11)-MONTH('Recurring Schedule'!$F$43),'Recurring Schedule'!$O$43)=0),IF('Recurring Schedule'!$E$43="Weekdays",WEEKDAY($A11,2)&lt;=5,$A11='Recurring Schedule'!$F$43))),38,""))))</f>
        <v/>
      </c>
      <c r="AN11">
        <f>IF('Recurring Schedule'!$C$44="","",IF('Recurring Schedule'!$F$44="","",IF(OR($A11&lt;'Recurring Schedule'!$F$44,$A11&gt;'Recurring Schedule'!$P$44),"",IF(IF('Recurring Schedule'!$N$44&gt;0,MOD($A11-'Recurring Schedule'!$F$44,'Recurring Schedule'!$N$44)=0,IF('Recurring Schedule'!$O$44&gt;0,AND(DAY($A11)=MIN(DAY('Recurring Schedule'!$F$44),DAY(EOMONTH($A11,0))),MOD((YEAR($A11)-YEAR('Recurring Schedule'!$F$44))*12+MONTH($A11)-MONTH('Recurring Schedule'!$F$44),'Recurring Schedule'!$O$44)=0),IF('Recurring Schedule'!$E$44="Weekdays",WEEKDAY($A11,2)&lt;=5,$A11='Recurring Schedule'!$F$44))),39,""))))</f>
        <v/>
      </c>
      <c r="AO11">
        <f>IF('Recurring Schedule'!$C$45="","",IF('Recurring Schedule'!$F$45="","",IF(OR($A11&lt;'Recurring Schedule'!$F$45,$A11&gt;'Recurring Schedule'!$P$45),"",IF(IF('Recurring Schedule'!$N$45&gt;0,MOD($A11-'Recurring Schedule'!$F$45,'Recurring Schedule'!$N$45)=0,IF('Recurring Schedule'!$O$45&gt;0,AND(DAY($A11)=MIN(DAY('Recurring Schedule'!$F$45),DAY(EOMONTH($A11,0))),MOD((YEAR($A11)-YEAR('Recurring Schedule'!$F$45))*12+MONTH($A11)-MONTH('Recurring Schedule'!$F$45),'Recurring Schedule'!$O$45)=0),IF('Recurring Schedule'!$E$45="Weekdays",WEEKDAY($A11,2)&lt;=5,$A11='Recurring Schedule'!$F$45))),40,""))))</f>
        <v/>
      </c>
      <c r="AP11">
        <f>COUNT(B11:AO11)</f>
        <v/>
      </c>
      <c r="AQ11">
        <f>AQ10+AP10</f>
        <v/>
      </c>
      <c r="AS11" t="inlineStr">
        <is>
          <t>R</t>
        </is>
      </c>
      <c r="AT11" t="n">
        <v>15</v>
      </c>
      <c r="AU11">
        <f>'Recurring Log'!C15&amp;""</f>
        <v/>
      </c>
      <c r="AV11">
        <f>'Recurring Log'!D15&amp;""</f>
        <v/>
      </c>
      <c r="AW11">
        <f>IF('Recurring Log'!E15="","",'Recurring Log'!E15)</f>
        <v/>
      </c>
      <c r="AX11">
        <f>IF('Recurring Log'!G15="","",'Recurring Log'!G15)</f>
        <v/>
      </c>
      <c r="AY11">
        <f>IF('Recurring Log'!H15="","",'Recurring Log'!H15)</f>
        <v/>
      </c>
      <c r="AZ11">
        <f>IF(AU11="","",IF('Recurring Log'!J15="","Not Started",'Recurring Log'!J15))</f>
        <v/>
      </c>
      <c r="BA11">
        <f>'Recurring Log'!L15&amp;""</f>
        <v/>
      </c>
      <c r="BB11">
        <f>'Recurring Log'!M15&amp;""</f>
        <v/>
      </c>
      <c r="BC11">
        <f>'Recurring Log'!N15&amp;""</f>
        <v/>
      </c>
      <c r="BD11">
        <f>'Recurring Log'!O15&amp;""</f>
        <v/>
      </c>
      <c r="BE11">
        <f>IF('Recurring Log'!K15="","",'Recurring Log'!K15)</f>
        <v/>
      </c>
      <c r="BF11">
        <f>IFERROR(MATCH(BA11,Setup!$L$6:$L$9,0),5)</f>
        <v/>
      </c>
      <c r="BG11">
        <f>IF(OR(AZ11="Done",AZ11="Cancelled"),1,0)</f>
        <v/>
      </c>
      <c r="BH11">
        <f>IF(AND(AU11&lt;&gt;"",ISNUMBER(AW11)),1,0)</f>
        <v/>
      </c>
      <c r="BI11">
        <f>IF(BH11=0,0,IF(AND(AW11&gt;='Tasks Filter'!$F$3,AW11&lt;='Tasks Filter'!$F$4,OR('Tasks Filter'!$I$3="",ISNUMBER(SEARCH('Tasks Filter'!$I$3,AU11))),OR('Tasks Filter'!$I$4="",BF11=IFERROR(MATCH('Tasks Filter'!$I$4,Setup!$L$6:$L$9,0),0)),OR('Tasks Filter'!$I$5="Both",AND('Tasks Filter'!$I$5="Yes",BB11="✓"),AND('Tasks Filter'!$I$5="No",BB11&lt;&gt;"✓")),OR('Tasks Filter'!$L$3="",AV11='Tasks Filter'!$L$3),OR('Tasks Filter'!$L$4="",AZ11='Tasks Filter'!$L$4),OR('Tasks Filter'!$L$5="",BC11='Tasks Filter'!$L$5),OR('Tasks Filter'!$O$3="",BD11='Tasks Filter'!$O$3),OR('Tasks Filter'!$O$4="Yes",BG11=0)),1,0))</f>
        <v/>
      </c>
      <c r="BJ11">
        <f>IF(BH11=0,"",IF('Tasks Filter'!$F$6="Descending",-1,1)*CHOOSE(MATCH('Tasks Filter'!$F$5,Lists!$G$2:$G$6,0),AW11,BF11,IFERROR(MATCH(AV11,Setup!$F$6:$F$15,0),99),IFERROR(MATCH(BC11,Setup!$H$6:$H$15,0),99),IFERROR(MATCH(AZ11,Setup!$J$6:$J$11,0),99))*1E+9+(AW11-40000)*10000+10)</f>
        <v/>
      </c>
      <c r="BK11">
        <f>IF(BI11=1,BJ11,"")</f>
        <v/>
      </c>
      <c r="BL11">
        <f>IF(AND(BH11=1,BG11=0,N(AW11)&lt;Setup!$D$7),(AW11-40000)*10000+10,"")</f>
        <v/>
      </c>
      <c r="BM11">
        <f>IF(AND(BH11=1,AZ11&lt;&gt;"Cancelled",N(AW11)&gt;=Dashboard!$AB$3,N(AW11)&lt;=Dashboard!$AB$3+6),(AW11-40000)*100000+BF11*10000+10,"")</f>
        <v/>
      </c>
      <c r="BN11">
        <f>IF(AND(BH11=1,AZ11&lt;&gt;"Cancelled"),BF11*10000+10,"")</f>
        <v/>
      </c>
    </row>
    <row r="12">
      <c r="A12">
        <f>Setup!$D$5+10</f>
        <v/>
      </c>
      <c r="B12">
        <f>IF('Recurring Schedule'!$C$6="","",IF('Recurring Schedule'!$F$6="","",IF(OR($A12&lt;'Recurring Schedule'!$F$6,$A12&gt;'Recurring Schedule'!$P$6),"",IF(IF('Recurring Schedule'!$N$6&gt;0,MOD($A12-'Recurring Schedule'!$F$6,'Recurring Schedule'!$N$6)=0,IF('Recurring Schedule'!$O$6&gt;0,AND(DAY($A12)=MIN(DAY('Recurring Schedule'!$F$6),DAY(EOMONTH($A12,0))),MOD((YEAR($A12)-YEAR('Recurring Schedule'!$F$6))*12+MONTH($A12)-MONTH('Recurring Schedule'!$F$6),'Recurring Schedule'!$O$6)=0),IF('Recurring Schedule'!$E$6="Weekdays",WEEKDAY($A12,2)&lt;=5,$A12='Recurring Schedule'!$F$6))),1,""))))</f>
        <v/>
      </c>
      <c r="C12">
        <f>IF('Recurring Schedule'!$C$7="","",IF('Recurring Schedule'!$F$7="","",IF(OR($A12&lt;'Recurring Schedule'!$F$7,$A12&gt;'Recurring Schedule'!$P$7),"",IF(IF('Recurring Schedule'!$N$7&gt;0,MOD($A12-'Recurring Schedule'!$F$7,'Recurring Schedule'!$N$7)=0,IF('Recurring Schedule'!$O$7&gt;0,AND(DAY($A12)=MIN(DAY('Recurring Schedule'!$F$7),DAY(EOMONTH($A12,0))),MOD((YEAR($A12)-YEAR('Recurring Schedule'!$F$7))*12+MONTH($A12)-MONTH('Recurring Schedule'!$F$7),'Recurring Schedule'!$O$7)=0),IF('Recurring Schedule'!$E$7="Weekdays",WEEKDAY($A12,2)&lt;=5,$A12='Recurring Schedule'!$F$7))),2,""))))</f>
        <v/>
      </c>
      <c r="D12">
        <f>IF('Recurring Schedule'!$C$8="","",IF('Recurring Schedule'!$F$8="","",IF(OR($A12&lt;'Recurring Schedule'!$F$8,$A12&gt;'Recurring Schedule'!$P$8),"",IF(IF('Recurring Schedule'!$N$8&gt;0,MOD($A12-'Recurring Schedule'!$F$8,'Recurring Schedule'!$N$8)=0,IF('Recurring Schedule'!$O$8&gt;0,AND(DAY($A12)=MIN(DAY('Recurring Schedule'!$F$8),DAY(EOMONTH($A12,0))),MOD((YEAR($A12)-YEAR('Recurring Schedule'!$F$8))*12+MONTH($A12)-MONTH('Recurring Schedule'!$F$8),'Recurring Schedule'!$O$8)=0),IF('Recurring Schedule'!$E$8="Weekdays",WEEKDAY($A12,2)&lt;=5,$A12='Recurring Schedule'!$F$8))),3,""))))</f>
        <v/>
      </c>
      <c r="E12">
        <f>IF('Recurring Schedule'!$C$9="","",IF('Recurring Schedule'!$F$9="","",IF(OR($A12&lt;'Recurring Schedule'!$F$9,$A12&gt;'Recurring Schedule'!$P$9),"",IF(IF('Recurring Schedule'!$N$9&gt;0,MOD($A12-'Recurring Schedule'!$F$9,'Recurring Schedule'!$N$9)=0,IF('Recurring Schedule'!$O$9&gt;0,AND(DAY($A12)=MIN(DAY('Recurring Schedule'!$F$9),DAY(EOMONTH($A12,0))),MOD((YEAR($A12)-YEAR('Recurring Schedule'!$F$9))*12+MONTH($A12)-MONTH('Recurring Schedule'!$F$9),'Recurring Schedule'!$O$9)=0),IF('Recurring Schedule'!$E$9="Weekdays",WEEKDAY($A12,2)&lt;=5,$A12='Recurring Schedule'!$F$9))),4,""))))</f>
        <v/>
      </c>
      <c r="F12">
        <f>IF('Recurring Schedule'!$C$10="","",IF('Recurring Schedule'!$F$10="","",IF(OR($A12&lt;'Recurring Schedule'!$F$10,$A12&gt;'Recurring Schedule'!$P$10),"",IF(IF('Recurring Schedule'!$N$10&gt;0,MOD($A12-'Recurring Schedule'!$F$10,'Recurring Schedule'!$N$10)=0,IF('Recurring Schedule'!$O$10&gt;0,AND(DAY($A12)=MIN(DAY('Recurring Schedule'!$F$10),DAY(EOMONTH($A12,0))),MOD((YEAR($A12)-YEAR('Recurring Schedule'!$F$10))*12+MONTH($A12)-MONTH('Recurring Schedule'!$F$10),'Recurring Schedule'!$O$10)=0),IF('Recurring Schedule'!$E$10="Weekdays",WEEKDAY($A12,2)&lt;=5,$A12='Recurring Schedule'!$F$10))),5,""))))</f>
        <v/>
      </c>
      <c r="G12">
        <f>IF('Recurring Schedule'!$C$11="","",IF('Recurring Schedule'!$F$11="","",IF(OR($A12&lt;'Recurring Schedule'!$F$11,$A12&gt;'Recurring Schedule'!$P$11),"",IF(IF('Recurring Schedule'!$N$11&gt;0,MOD($A12-'Recurring Schedule'!$F$11,'Recurring Schedule'!$N$11)=0,IF('Recurring Schedule'!$O$11&gt;0,AND(DAY($A12)=MIN(DAY('Recurring Schedule'!$F$11),DAY(EOMONTH($A12,0))),MOD((YEAR($A12)-YEAR('Recurring Schedule'!$F$11))*12+MONTH($A12)-MONTH('Recurring Schedule'!$F$11),'Recurring Schedule'!$O$11)=0),IF('Recurring Schedule'!$E$11="Weekdays",WEEKDAY($A12,2)&lt;=5,$A12='Recurring Schedule'!$F$11))),6,""))))</f>
        <v/>
      </c>
      <c r="H12">
        <f>IF('Recurring Schedule'!$C$12="","",IF('Recurring Schedule'!$F$12="","",IF(OR($A12&lt;'Recurring Schedule'!$F$12,$A12&gt;'Recurring Schedule'!$P$12),"",IF(IF('Recurring Schedule'!$N$12&gt;0,MOD($A12-'Recurring Schedule'!$F$12,'Recurring Schedule'!$N$12)=0,IF('Recurring Schedule'!$O$12&gt;0,AND(DAY($A12)=MIN(DAY('Recurring Schedule'!$F$12),DAY(EOMONTH($A12,0))),MOD((YEAR($A12)-YEAR('Recurring Schedule'!$F$12))*12+MONTH($A12)-MONTH('Recurring Schedule'!$F$12),'Recurring Schedule'!$O$12)=0),IF('Recurring Schedule'!$E$12="Weekdays",WEEKDAY($A12,2)&lt;=5,$A12='Recurring Schedule'!$F$12))),7,""))))</f>
        <v/>
      </c>
      <c r="I12">
        <f>IF('Recurring Schedule'!$C$13="","",IF('Recurring Schedule'!$F$13="","",IF(OR($A12&lt;'Recurring Schedule'!$F$13,$A12&gt;'Recurring Schedule'!$P$13),"",IF(IF('Recurring Schedule'!$N$13&gt;0,MOD($A12-'Recurring Schedule'!$F$13,'Recurring Schedule'!$N$13)=0,IF('Recurring Schedule'!$O$13&gt;0,AND(DAY($A12)=MIN(DAY('Recurring Schedule'!$F$13),DAY(EOMONTH($A12,0))),MOD((YEAR($A12)-YEAR('Recurring Schedule'!$F$13))*12+MONTH($A12)-MONTH('Recurring Schedule'!$F$13),'Recurring Schedule'!$O$13)=0),IF('Recurring Schedule'!$E$13="Weekdays",WEEKDAY($A12,2)&lt;=5,$A12='Recurring Schedule'!$F$13))),8,""))))</f>
        <v/>
      </c>
      <c r="J12">
        <f>IF('Recurring Schedule'!$C$14="","",IF('Recurring Schedule'!$F$14="","",IF(OR($A12&lt;'Recurring Schedule'!$F$14,$A12&gt;'Recurring Schedule'!$P$14),"",IF(IF('Recurring Schedule'!$N$14&gt;0,MOD($A12-'Recurring Schedule'!$F$14,'Recurring Schedule'!$N$14)=0,IF('Recurring Schedule'!$O$14&gt;0,AND(DAY($A12)=MIN(DAY('Recurring Schedule'!$F$14),DAY(EOMONTH($A12,0))),MOD((YEAR($A12)-YEAR('Recurring Schedule'!$F$14))*12+MONTH($A12)-MONTH('Recurring Schedule'!$F$14),'Recurring Schedule'!$O$14)=0),IF('Recurring Schedule'!$E$14="Weekdays",WEEKDAY($A12,2)&lt;=5,$A12='Recurring Schedule'!$F$14))),9,""))))</f>
        <v/>
      </c>
      <c r="K12">
        <f>IF('Recurring Schedule'!$C$15="","",IF('Recurring Schedule'!$F$15="","",IF(OR($A12&lt;'Recurring Schedule'!$F$15,$A12&gt;'Recurring Schedule'!$P$15),"",IF(IF('Recurring Schedule'!$N$15&gt;0,MOD($A12-'Recurring Schedule'!$F$15,'Recurring Schedule'!$N$15)=0,IF('Recurring Schedule'!$O$15&gt;0,AND(DAY($A12)=MIN(DAY('Recurring Schedule'!$F$15),DAY(EOMONTH($A12,0))),MOD((YEAR($A12)-YEAR('Recurring Schedule'!$F$15))*12+MONTH($A12)-MONTH('Recurring Schedule'!$F$15),'Recurring Schedule'!$O$15)=0),IF('Recurring Schedule'!$E$15="Weekdays",WEEKDAY($A12,2)&lt;=5,$A12='Recurring Schedule'!$F$15))),10,""))))</f>
        <v/>
      </c>
      <c r="L12">
        <f>IF('Recurring Schedule'!$C$16="","",IF('Recurring Schedule'!$F$16="","",IF(OR($A12&lt;'Recurring Schedule'!$F$16,$A12&gt;'Recurring Schedule'!$P$16),"",IF(IF('Recurring Schedule'!$N$16&gt;0,MOD($A12-'Recurring Schedule'!$F$16,'Recurring Schedule'!$N$16)=0,IF('Recurring Schedule'!$O$16&gt;0,AND(DAY($A12)=MIN(DAY('Recurring Schedule'!$F$16),DAY(EOMONTH($A12,0))),MOD((YEAR($A12)-YEAR('Recurring Schedule'!$F$16))*12+MONTH($A12)-MONTH('Recurring Schedule'!$F$16),'Recurring Schedule'!$O$16)=0),IF('Recurring Schedule'!$E$16="Weekdays",WEEKDAY($A12,2)&lt;=5,$A12='Recurring Schedule'!$F$16))),11,""))))</f>
        <v/>
      </c>
      <c r="M12">
        <f>IF('Recurring Schedule'!$C$17="","",IF('Recurring Schedule'!$F$17="","",IF(OR($A12&lt;'Recurring Schedule'!$F$17,$A12&gt;'Recurring Schedule'!$P$17),"",IF(IF('Recurring Schedule'!$N$17&gt;0,MOD($A12-'Recurring Schedule'!$F$17,'Recurring Schedule'!$N$17)=0,IF('Recurring Schedule'!$O$17&gt;0,AND(DAY($A12)=MIN(DAY('Recurring Schedule'!$F$17),DAY(EOMONTH($A12,0))),MOD((YEAR($A12)-YEAR('Recurring Schedule'!$F$17))*12+MONTH($A12)-MONTH('Recurring Schedule'!$F$17),'Recurring Schedule'!$O$17)=0),IF('Recurring Schedule'!$E$17="Weekdays",WEEKDAY($A12,2)&lt;=5,$A12='Recurring Schedule'!$F$17))),12,""))))</f>
        <v/>
      </c>
      <c r="N12">
        <f>IF('Recurring Schedule'!$C$18="","",IF('Recurring Schedule'!$F$18="","",IF(OR($A12&lt;'Recurring Schedule'!$F$18,$A12&gt;'Recurring Schedule'!$P$18),"",IF(IF('Recurring Schedule'!$N$18&gt;0,MOD($A12-'Recurring Schedule'!$F$18,'Recurring Schedule'!$N$18)=0,IF('Recurring Schedule'!$O$18&gt;0,AND(DAY($A12)=MIN(DAY('Recurring Schedule'!$F$18),DAY(EOMONTH($A12,0))),MOD((YEAR($A12)-YEAR('Recurring Schedule'!$F$18))*12+MONTH($A12)-MONTH('Recurring Schedule'!$F$18),'Recurring Schedule'!$O$18)=0),IF('Recurring Schedule'!$E$18="Weekdays",WEEKDAY($A12,2)&lt;=5,$A12='Recurring Schedule'!$F$18))),13,""))))</f>
        <v/>
      </c>
      <c r="O12">
        <f>IF('Recurring Schedule'!$C$19="","",IF('Recurring Schedule'!$F$19="","",IF(OR($A12&lt;'Recurring Schedule'!$F$19,$A12&gt;'Recurring Schedule'!$P$19),"",IF(IF('Recurring Schedule'!$N$19&gt;0,MOD($A12-'Recurring Schedule'!$F$19,'Recurring Schedule'!$N$19)=0,IF('Recurring Schedule'!$O$19&gt;0,AND(DAY($A12)=MIN(DAY('Recurring Schedule'!$F$19),DAY(EOMONTH($A12,0))),MOD((YEAR($A12)-YEAR('Recurring Schedule'!$F$19))*12+MONTH($A12)-MONTH('Recurring Schedule'!$F$19),'Recurring Schedule'!$O$19)=0),IF('Recurring Schedule'!$E$19="Weekdays",WEEKDAY($A12,2)&lt;=5,$A12='Recurring Schedule'!$F$19))),14,""))))</f>
        <v/>
      </c>
      <c r="P12">
        <f>IF('Recurring Schedule'!$C$20="","",IF('Recurring Schedule'!$F$20="","",IF(OR($A12&lt;'Recurring Schedule'!$F$20,$A12&gt;'Recurring Schedule'!$P$20),"",IF(IF('Recurring Schedule'!$N$20&gt;0,MOD($A12-'Recurring Schedule'!$F$20,'Recurring Schedule'!$N$20)=0,IF('Recurring Schedule'!$O$20&gt;0,AND(DAY($A12)=MIN(DAY('Recurring Schedule'!$F$20),DAY(EOMONTH($A12,0))),MOD((YEAR($A12)-YEAR('Recurring Schedule'!$F$20))*12+MONTH($A12)-MONTH('Recurring Schedule'!$F$20),'Recurring Schedule'!$O$20)=0),IF('Recurring Schedule'!$E$20="Weekdays",WEEKDAY($A12,2)&lt;=5,$A12='Recurring Schedule'!$F$20))),15,""))))</f>
        <v/>
      </c>
      <c r="Q12">
        <f>IF('Recurring Schedule'!$C$21="","",IF('Recurring Schedule'!$F$21="","",IF(OR($A12&lt;'Recurring Schedule'!$F$21,$A12&gt;'Recurring Schedule'!$P$21),"",IF(IF('Recurring Schedule'!$N$21&gt;0,MOD($A12-'Recurring Schedule'!$F$21,'Recurring Schedule'!$N$21)=0,IF('Recurring Schedule'!$O$21&gt;0,AND(DAY($A12)=MIN(DAY('Recurring Schedule'!$F$21),DAY(EOMONTH($A12,0))),MOD((YEAR($A12)-YEAR('Recurring Schedule'!$F$21))*12+MONTH($A12)-MONTH('Recurring Schedule'!$F$21),'Recurring Schedule'!$O$21)=0),IF('Recurring Schedule'!$E$21="Weekdays",WEEKDAY($A12,2)&lt;=5,$A12='Recurring Schedule'!$F$21))),16,""))))</f>
        <v/>
      </c>
      <c r="R12">
        <f>IF('Recurring Schedule'!$C$22="","",IF('Recurring Schedule'!$F$22="","",IF(OR($A12&lt;'Recurring Schedule'!$F$22,$A12&gt;'Recurring Schedule'!$P$22),"",IF(IF('Recurring Schedule'!$N$22&gt;0,MOD($A12-'Recurring Schedule'!$F$22,'Recurring Schedule'!$N$22)=0,IF('Recurring Schedule'!$O$22&gt;0,AND(DAY($A12)=MIN(DAY('Recurring Schedule'!$F$22),DAY(EOMONTH($A12,0))),MOD((YEAR($A12)-YEAR('Recurring Schedule'!$F$22))*12+MONTH($A12)-MONTH('Recurring Schedule'!$F$22),'Recurring Schedule'!$O$22)=0),IF('Recurring Schedule'!$E$22="Weekdays",WEEKDAY($A12,2)&lt;=5,$A12='Recurring Schedule'!$F$22))),17,""))))</f>
        <v/>
      </c>
      <c r="S12">
        <f>IF('Recurring Schedule'!$C$23="","",IF('Recurring Schedule'!$F$23="","",IF(OR($A12&lt;'Recurring Schedule'!$F$23,$A12&gt;'Recurring Schedule'!$P$23),"",IF(IF('Recurring Schedule'!$N$23&gt;0,MOD($A12-'Recurring Schedule'!$F$23,'Recurring Schedule'!$N$23)=0,IF('Recurring Schedule'!$O$23&gt;0,AND(DAY($A12)=MIN(DAY('Recurring Schedule'!$F$23),DAY(EOMONTH($A12,0))),MOD((YEAR($A12)-YEAR('Recurring Schedule'!$F$23))*12+MONTH($A12)-MONTH('Recurring Schedule'!$F$23),'Recurring Schedule'!$O$23)=0),IF('Recurring Schedule'!$E$23="Weekdays",WEEKDAY($A12,2)&lt;=5,$A12='Recurring Schedule'!$F$23))),18,""))))</f>
        <v/>
      </c>
      <c r="T12">
        <f>IF('Recurring Schedule'!$C$24="","",IF('Recurring Schedule'!$F$24="","",IF(OR($A12&lt;'Recurring Schedule'!$F$24,$A12&gt;'Recurring Schedule'!$P$24),"",IF(IF('Recurring Schedule'!$N$24&gt;0,MOD($A12-'Recurring Schedule'!$F$24,'Recurring Schedule'!$N$24)=0,IF('Recurring Schedule'!$O$24&gt;0,AND(DAY($A12)=MIN(DAY('Recurring Schedule'!$F$24),DAY(EOMONTH($A12,0))),MOD((YEAR($A12)-YEAR('Recurring Schedule'!$F$24))*12+MONTH($A12)-MONTH('Recurring Schedule'!$F$24),'Recurring Schedule'!$O$24)=0),IF('Recurring Schedule'!$E$24="Weekdays",WEEKDAY($A12,2)&lt;=5,$A12='Recurring Schedule'!$F$24))),19,""))))</f>
        <v/>
      </c>
      <c r="U12">
        <f>IF('Recurring Schedule'!$C$25="","",IF('Recurring Schedule'!$F$25="","",IF(OR($A12&lt;'Recurring Schedule'!$F$25,$A12&gt;'Recurring Schedule'!$P$25),"",IF(IF('Recurring Schedule'!$N$25&gt;0,MOD($A12-'Recurring Schedule'!$F$25,'Recurring Schedule'!$N$25)=0,IF('Recurring Schedule'!$O$25&gt;0,AND(DAY($A12)=MIN(DAY('Recurring Schedule'!$F$25),DAY(EOMONTH($A12,0))),MOD((YEAR($A12)-YEAR('Recurring Schedule'!$F$25))*12+MONTH($A12)-MONTH('Recurring Schedule'!$F$25),'Recurring Schedule'!$O$25)=0),IF('Recurring Schedule'!$E$25="Weekdays",WEEKDAY($A12,2)&lt;=5,$A12='Recurring Schedule'!$F$25))),20,""))))</f>
        <v/>
      </c>
      <c r="V12">
        <f>IF('Recurring Schedule'!$C$26="","",IF('Recurring Schedule'!$F$26="","",IF(OR($A12&lt;'Recurring Schedule'!$F$26,$A12&gt;'Recurring Schedule'!$P$26),"",IF(IF('Recurring Schedule'!$N$26&gt;0,MOD($A12-'Recurring Schedule'!$F$26,'Recurring Schedule'!$N$26)=0,IF('Recurring Schedule'!$O$26&gt;0,AND(DAY($A12)=MIN(DAY('Recurring Schedule'!$F$26),DAY(EOMONTH($A12,0))),MOD((YEAR($A12)-YEAR('Recurring Schedule'!$F$26))*12+MONTH($A12)-MONTH('Recurring Schedule'!$F$26),'Recurring Schedule'!$O$26)=0),IF('Recurring Schedule'!$E$26="Weekdays",WEEKDAY($A12,2)&lt;=5,$A12='Recurring Schedule'!$F$26))),21,""))))</f>
        <v/>
      </c>
      <c r="W12">
        <f>IF('Recurring Schedule'!$C$27="","",IF('Recurring Schedule'!$F$27="","",IF(OR($A12&lt;'Recurring Schedule'!$F$27,$A12&gt;'Recurring Schedule'!$P$27),"",IF(IF('Recurring Schedule'!$N$27&gt;0,MOD($A12-'Recurring Schedule'!$F$27,'Recurring Schedule'!$N$27)=0,IF('Recurring Schedule'!$O$27&gt;0,AND(DAY($A12)=MIN(DAY('Recurring Schedule'!$F$27),DAY(EOMONTH($A12,0))),MOD((YEAR($A12)-YEAR('Recurring Schedule'!$F$27))*12+MONTH($A12)-MONTH('Recurring Schedule'!$F$27),'Recurring Schedule'!$O$27)=0),IF('Recurring Schedule'!$E$27="Weekdays",WEEKDAY($A12,2)&lt;=5,$A12='Recurring Schedule'!$F$27))),22,""))))</f>
        <v/>
      </c>
      <c r="X12">
        <f>IF('Recurring Schedule'!$C$28="","",IF('Recurring Schedule'!$F$28="","",IF(OR($A12&lt;'Recurring Schedule'!$F$28,$A12&gt;'Recurring Schedule'!$P$28),"",IF(IF('Recurring Schedule'!$N$28&gt;0,MOD($A12-'Recurring Schedule'!$F$28,'Recurring Schedule'!$N$28)=0,IF('Recurring Schedule'!$O$28&gt;0,AND(DAY($A12)=MIN(DAY('Recurring Schedule'!$F$28),DAY(EOMONTH($A12,0))),MOD((YEAR($A12)-YEAR('Recurring Schedule'!$F$28))*12+MONTH($A12)-MONTH('Recurring Schedule'!$F$28),'Recurring Schedule'!$O$28)=0),IF('Recurring Schedule'!$E$28="Weekdays",WEEKDAY($A12,2)&lt;=5,$A12='Recurring Schedule'!$F$28))),23,""))))</f>
        <v/>
      </c>
      <c r="Y12">
        <f>IF('Recurring Schedule'!$C$29="","",IF('Recurring Schedule'!$F$29="","",IF(OR($A12&lt;'Recurring Schedule'!$F$29,$A12&gt;'Recurring Schedule'!$P$29),"",IF(IF('Recurring Schedule'!$N$29&gt;0,MOD($A12-'Recurring Schedule'!$F$29,'Recurring Schedule'!$N$29)=0,IF('Recurring Schedule'!$O$29&gt;0,AND(DAY($A12)=MIN(DAY('Recurring Schedule'!$F$29),DAY(EOMONTH($A12,0))),MOD((YEAR($A12)-YEAR('Recurring Schedule'!$F$29))*12+MONTH($A12)-MONTH('Recurring Schedule'!$F$29),'Recurring Schedule'!$O$29)=0),IF('Recurring Schedule'!$E$29="Weekdays",WEEKDAY($A12,2)&lt;=5,$A12='Recurring Schedule'!$F$29))),24,""))))</f>
        <v/>
      </c>
      <c r="Z12">
        <f>IF('Recurring Schedule'!$C$30="","",IF('Recurring Schedule'!$F$30="","",IF(OR($A12&lt;'Recurring Schedule'!$F$30,$A12&gt;'Recurring Schedule'!$P$30),"",IF(IF('Recurring Schedule'!$N$30&gt;0,MOD($A12-'Recurring Schedule'!$F$30,'Recurring Schedule'!$N$30)=0,IF('Recurring Schedule'!$O$30&gt;0,AND(DAY($A12)=MIN(DAY('Recurring Schedule'!$F$30),DAY(EOMONTH($A12,0))),MOD((YEAR($A12)-YEAR('Recurring Schedule'!$F$30))*12+MONTH($A12)-MONTH('Recurring Schedule'!$F$30),'Recurring Schedule'!$O$30)=0),IF('Recurring Schedule'!$E$30="Weekdays",WEEKDAY($A12,2)&lt;=5,$A12='Recurring Schedule'!$F$30))),25,""))))</f>
        <v/>
      </c>
      <c r="AA12">
        <f>IF('Recurring Schedule'!$C$31="","",IF('Recurring Schedule'!$F$31="","",IF(OR($A12&lt;'Recurring Schedule'!$F$31,$A12&gt;'Recurring Schedule'!$P$31),"",IF(IF('Recurring Schedule'!$N$31&gt;0,MOD($A12-'Recurring Schedule'!$F$31,'Recurring Schedule'!$N$31)=0,IF('Recurring Schedule'!$O$31&gt;0,AND(DAY($A12)=MIN(DAY('Recurring Schedule'!$F$31),DAY(EOMONTH($A12,0))),MOD((YEAR($A12)-YEAR('Recurring Schedule'!$F$31))*12+MONTH($A12)-MONTH('Recurring Schedule'!$F$31),'Recurring Schedule'!$O$31)=0),IF('Recurring Schedule'!$E$31="Weekdays",WEEKDAY($A12,2)&lt;=5,$A12='Recurring Schedule'!$F$31))),26,""))))</f>
        <v/>
      </c>
      <c r="AB12">
        <f>IF('Recurring Schedule'!$C$32="","",IF('Recurring Schedule'!$F$32="","",IF(OR($A12&lt;'Recurring Schedule'!$F$32,$A12&gt;'Recurring Schedule'!$P$32),"",IF(IF('Recurring Schedule'!$N$32&gt;0,MOD($A12-'Recurring Schedule'!$F$32,'Recurring Schedule'!$N$32)=0,IF('Recurring Schedule'!$O$32&gt;0,AND(DAY($A12)=MIN(DAY('Recurring Schedule'!$F$32),DAY(EOMONTH($A12,0))),MOD((YEAR($A12)-YEAR('Recurring Schedule'!$F$32))*12+MONTH($A12)-MONTH('Recurring Schedule'!$F$32),'Recurring Schedule'!$O$32)=0),IF('Recurring Schedule'!$E$32="Weekdays",WEEKDAY($A12,2)&lt;=5,$A12='Recurring Schedule'!$F$32))),27,""))))</f>
        <v/>
      </c>
      <c r="AC12">
        <f>IF('Recurring Schedule'!$C$33="","",IF('Recurring Schedule'!$F$33="","",IF(OR($A12&lt;'Recurring Schedule'!$F$33,$A12&gt;'Recurring Schedule'!$P$33),"",IF(IF('Recurring Schedule'!$N$33&gt;0,MOD($A12-'Recurring Schedule'!$F$33,'Recurring Schedule'!$N$33)=0,IF('Recurring Schedule'!$O$33&gt;0,AND(DAY($A12)=MIN(DAY('Recurring Schedule'!$F$33),DAY(EOMONTH($A12,0))),MOD((YEAR($A12)-YEAR('Recurring Schedule'!$F$33))*12+MONTH($A12)-MONTH('Recurring Schedule'!$F$33),'Recurring Schedule'!$O$33)=0),IF('Recurring Schedule'!$E$33="Weekdays",WEEKDAY($A12,2)&lt;=5,$A12='Recurring Schedule'!$F$33))),28,""))))</f>
        <v/>
      </c>
      <c r="AD12">
        <f>IF('Recurring Schedule'!$C$34="","",IF('Recurring Schedule'!$F$34="","",IF(OR($A12&lt;'Recurring Schedule'!$F$34,$A12&gt;'Recurring Schedule'!$P$34),"",IF(IF('Recurring Schedule'!$N$34&gt;0,MOD($A12-'Recurring Schedule'!$F$34,'Recurring Schedule'!$N$34)=0,IF('Recurring Schedule'!$O$34&gt;0,AND(DAY($A12)=MIN(DAY('Recurring Schedule'!$F$34),DAY(EOMONTH($A12,0))),MOD((YEAR($A12)-YEAR('Recurring Schedule'!$F$34))*12+MONTH($A12)-MONTH('Recurring Schedule'!$F$34),'Recurring Schedule'!$O$34)=0),IF('Recurring Schedule'!$E$34="Weekdays",WEEKDAY($A12,2)&lt;=5,$A12='Recurring Schedule'!$F$34))),29,""))))</f>
        <v/>
      </c>
      <c r="AE12">
        <f>IF('Recurring Schedule'!$C$35="","",IF('Recurring Schedule'!$F$35="","",IF(OR($A12&lt;'Recurring Schedule'!$F$35,$A12&gt;'Recurring Schedule'!$P$35),"",IF(IF('Recurring Schedule'!$N$35&gt;0,MOD($A12-'Recurring Schedule'!$F$35,'Recurring Schedule'!$N$35)=0,IF('Recurring Schedule'!$O$35&gt;0,AND(DAY($A12)=MIN(DAY('Recurring Schedule'!$F$35),DAY(EOMONTH($A12,0))),MOD((YEAR($A12)-YEAR('Recurring Schedule'!$F$35))*12+MONTH($A12)-MONTH('Recurring Schedule'!$F$35),'Recurring Schedule'!$O$35)=0),IF('Recurring Schedule'!$E$35="Weekdays",WEEKDAY($A12,2)&lt;=5,$A12='Recurring Schedule'!$F$35))),30,""))))</f>
        <v/>
      </c>
      <c r="AF12">
        <f>IF('Recurring Schedule'!$C$36="","",IF('Recurring Schedule'!$F$36="","",IF(OR($A12&lt;'Recurring Schedule'!$F$36,$A12&gt;'Recurring Schedule'!$P$36),"",IF(IF('Recurring Schedule'!$N$36&gt;0,MOD($A12-'Recurring Schedule'!$F$36,'Recurring Schedule'!$N$36)=0,IF('Recurring Schedule'!$O$36&gt;0,AND(DAY($A12)=MIN(DAY('Recurring Schedule'!$F$36),DAY(EOMONTH($A12,0))),MOD((YEAR($A12)-YEAR('Recurring Schedule'!$F$36))*12+MONTH($A12)-MONTH('Recurring Schedule'!$F$36),'Recurring Schedule'!$O$36)=0),IF('Recurring Schedule'!$E$36="Weekdays",WEEKDAY($A12,2)&lt;=5,$A12='Recurring Schedule'!$F$36))),31,""))))</f>
        <v/>
      </c>
      <c r="AG12">
        <f>IF('Recurring Schedule'!$C$37="","",IF('Recurring Schedule'!$F$37="","",IF(OR($A12&lt;'Recurring Schedule'!$F$37,$A12&gt;'Recurring Schedule'!$P$37),"",IF(IF('Recurring Schedule'!$N$37&gt;0,MOD($A12-'Recurring Schedule'!$F$37,'Recurring Schedule'!$N$37)=0,IF('Recurring Schedule'!$O$37&gt;0,AND(DAY($A12)=MIN(DAY('Recurring Schedule'!$F$37),DAY(EOMONTH($A12,0))),MOD((YEAR($A12)-YEAR('Recurring Schedule'!$F$37))*12+MONTH($A12)-MONTH('Recurring Schedule'!$F$37),'Recurring Schedule'!$O$37)=0),IF('Recurring Schedule'!$E$37="Weekdays",WEEKDAY($A12,2)&lt;=5,$A12='Recurring Schedule'!$F$37))),32,""))))</f>
        <v/>
      </c>
      <c r="AH12">
        <f>IF('Recurring Schedule'!$C$38="","",IF('Recurring Schedule'!$F$38="","",IF(OR($A12&lt;'Recurring Schedule'!$F$38,$A12&gt;'Recurring Schedule'!$P$38),"",IF(IF('Recurring Schedule'!$N$38&gt;0,MOD($A12-'Recurring Schedule'!$F$38,'Recurring Schedule'!$N$38)=0,IF('Recurring Schedule'!$O$38&gt;0,AND(DAY($A12)=MIN(DAY('Recurring Schedule'!$F$38),DAY(EOMONTH($A12,0))),MOD((YEAR($A12)-YEAR('Recurring Schedule'!$F$38))*12+MONTH($A12)-MONTH('Recurring Schedule'!$F$38),'Recurring Schedule'!$O$38)=0),IF('Recurring Schedule'!$E$38="Weekdays",WEEKDAY($A12,2)&lt;=5,$A12='Recurring Schedule'!$F$38))),33,""))))</f>
        <v/>
      </c>
      <c r="AI12">
        <f>IF('Recurring Schedule'!$C$39="","",IF('Recurring Schedule'!$F$39="","",IF(OR($A12&lt;'Recurring Schedule'!$F$39,$A12&gt;'Recurring Schedule'!$P$39),"",IF(IF('Recurring Schedule'!$N$39&gt;0,MOD($A12-'Recurring Schedule'!$F$39,'Recurring Schedule'!$N$39)=0,IF('Recurring Schedule'!$O$39&gt;0,AND(DAY($A12)=MIN(DAY('Recurring Schedule'!$F$39),DAY(EOMONTH($A12,0))),MOD((YEAR($A12)-YEAR('Recurring Schedule'!$F$39))*12+MONTH($A12)-MONTH('Recurring Schedule'!$F$39),'Recurring Schedule'!$O$39)=0),IF('Recurring Schedule'!$E$39="Weekdays",WEEKDAY($A12,2)&lt;=5,$A12='Recurring Schedule'!$F$39))),34,""))))</f>
        <v/>
      </c>
      <c r="AJ12">
        <f>IF('Recurring Schedule'!$C$40="","",IF('Recurring Schedule'!$F$40="","",IF(OR($A12&lt;'Recurring Schedule'!$F$40,$A12&gt;'Recurring Schedule'!$P$40),"",IF(IF('Recurring Schedule'!$N$40&gt;0,MOD($A12-'Recurring Schedule'!$F$40,'Recurring Schedule'!$N$40)=0,IF('Recurring Schedule'!$O$40&gt;0,AND(DAY($A12)=MIN(DAY('Recurring Schedule'!$F$40),DAY(EOMONTH($A12,0))),MOD((YEAR($A12)-YEAR('Recurring Schedule'!$F$40))*12+MONTH($A12)-MONTH('Recurring Schedule'!$F$40),'Recurring Schedule'!$O$40)=0),IF('Recurring Schedule'!$E$40="Weekdays",WEEKDAY($A12,2)&lt;=5,$A12='Recurring Schedule'!$F$40))),35,""))))</f>
        <v/>
      </c>
      <c r="AK12">
        <f>IF('Recurring Schedule'!$C$41="","",IF('Recurring Schedule'!$F$41="","",IF(OR($A12&lt;'Recurring Schedule'!$F$41,$A12&gt;'Recurring Schedule'!$P$41),"",IF(IF('Recurring Schedule'!$N$41&gt;0,MOD($A12-'Recurring Schedule'!$F$41,'Recurring Schedule'!$N$41)=0,IF('Recurring Schedule'!$O$41&gt;0,AND(DAY($A12)=MIN(DAY('Recurring Schedule'!$F$41),DAY(EOMONTH($A12,0))),MOD((YEAR($A12)-YEAR('Recurring Schedule'!$F$41))*12+MONTH($A12)-MONTH('Recurring Schedule'!$F$41),'Recurring Schedule'!$O$41)=0),IF('Recurring Schedule'!$E$41="Weekdays",WEEKDAY($A12,2)&lt;=5,$A12='Recurring Schedule'!$F$41))),36,""))))</f>
        <v/>
      </c>
      <c r="AL12">
        <f>IF('Recurring Schedule'!$C$42="","",IF('Recurring Schedule'!$F$42="","",IF(OR($A12&lt;'Recurring Schedule'!$F$42,$A12&gt;'Recurring Schedule'!$P$42),"",IF(IF('Recurring Schedule'!$N$42&gt;0,MOD($A12-'Recurring Schedule'!$F$42,'Recurring Schedule'!$N$42)=0,IF('Recurring Schedule'!$O$42&gt;0,AND(DAY($A12)=MIN(DAY('Recurring Schedule'!$F$42),DAY(EOMONTH($A12,0))),MOD((YEAR($A12)-YEAR('Recurring Schedule'!$F$42))*12+MONTH($A12)-MONTH('Recurring Schedule'!$F$42),'Recurring Schedule'!$O$42)=0),IF('Recurring Schedule'!$E$42="Weekdays",WEEKDAY($A12,2)&lt;=5,$A12='Recurring Schedule'!$F$42))),37,""))))</f>
        <v/>
      </c>
      <c r="AM12">
        <f>IF('Recurring Schedule'!$C$43="","",IF('Recurring Schedule'!$F$43="","",IF(OR($A12&lt;'Recurring Schedule'!$F$43,$A12&gt;'Recurring Schedule'!$P$43),"",IF(IF('Recurring Schedule'!$N$43&gt;0,MOD($A12-'Recurring Schedule'!$F$43,'Recurring Schedule'!$N$43)=0,IF('Recurring Schedule'!$O$43&gt;0,AND(DAY($A12)=MIN(DAY('Recurring Schedule'!$F$43),DAY(EOMONTH($A12,0))),MOD((YEAR($A12)-YEAR('Recurring Schedule'!$F$43))*12+MONTH($A12)-MONTH('Recurring Schedule'!$F$43),'Recurring Schedule'!$O$43)=0),IF('Recurring Schedule'!$E$43="Weekdays",WEEKDAY($A12,2)&lt;=5,$A12='Recurring Schedule'!$F$43))),38,""))))</f>
        <v/>
      </c>
      <c r="AN12">
        <f>IF('Recurring Schedule'!$C$44="","",IF('Recurring Schedule'!$F$44="","",IF(OR($A12&lt;'Recurring Schedule'!$F$44,$A12&gt;'Recurring Schedule'!$P$44),"",IF(IF('Recurring Schedule'!$N$44&gt;0,MOD($A12-'Recurring Schedule'!$F$44,'Recurring Schedule'!$N$44)=0,IF('Recurring Schedule'!$O$44&gt;0,AND(DAY($A12)=MIN(DAY('Recurring Schedule'!$F$44),DAY(EOMONTH($A12,0))),MOD((YEAR($A12)-YEAR('Recurring Schedule'!$F$44))*12+MONTH($A12)-MONTH('Recurring Schedule'!$F$44),'Recurring Schedule'!$O$44)=0),IF('Recurring Schedule'!$E$44="Weekdays",WEEKDAY($A12,2)&lt;=5,$A12='Recurring Schedule'!$F$44))),39,""))))</f>
        <v/>
      </c>
      <c r="AO12">
        <f>IF('Recurring Schedule'!$C$45="","",IF('Recurring Schedule'!$F$45="","",IF(OR($A12&lt;'Recurring Schedule'!$F$45,$A12&gt;'Recurring Schedule'!$P$45),"",IF(IF('Recurring Schedule'!$N$45&gt;0,MOD($A12-'Recurring Schedule'!$F$45,'Recurring Schedule'!$N$45)=0,IF('Recurring Schedule'!$O$45&gt;0,AND(DAY($A12)=MIN(DAY('Recurring Schedule'!$F$45),DAY(EOMONTH($A12,0))),MOD((YEAR($A12)-YEAR('Recurring Schedule'!$F$45))*12+MONTH($A12)-MONTH('Recurring Schedule'!$F$45),'Recurring Schedule'!$O$45)=0),IF('Recurring Schedule'!$E$45="Weekdays",WEEKDAY($A12,2)&lt;=5,$A12='Recurring Schedule'!$F$45))),40,""))))</f>
        <v/>
      </c>
      <c r="AP12">
        <f>COUNT(B12:AO12)</f>
        <v/>
      </c>
      <c r="AQ12">
        <f>AQ11+AP11</f>
        <v/>
      </c>
      <c r="AS12" t="inlineStr">
        <is>
          <t>R</t>
        </is>
      </c>
      <c r="AT12" t="n">
        <v>16</v>
      </c>
      <c r="AU12">
        <f>'Recurring Log'!C16&amp;""</f>
        <v/>
      </c>
      <c r="AV12">
        <f>'Recurring Log'!D16&amp;""</f>
        <v/>
      </c>
      <c r="AW12">
        <f>IF('Recurring Log'!E16="","",'Recurring Log'!E16)</f>
        <v/>
      </c>
      <c r="AX12">
        <f>IF('Recurring Log'!G16="","",'Recurring Log'!G16)</f>
        <v/>
      </c>
      <c r="AY12">
        <f>IF('Recurring Log'!H16="","",'Recurring Log'!H16)</f>
        <v/>
      </c>
      <c r="AZ12">
        <f>IF(AU12="","",IF('Recurring Log'!J16="","Not Started",'Recurring Log'!J16))</f>
        <v/>
      </c>
      <c r="BA12">
        <f>'Recurring Log'!L16&amp;""</f>
        <v/>
      </c>
      <c r="BB12">
        <f>'Recurring Log'!M16&amp;""</f>
        <v/>
      </c>
      <c r="BC12">
        <f>'Recurring Log'!N16&amp;""</f>
        <v/>
      </c>
      <c r="BD12">
        <f>'Recurring Log'!O16&amp;""</f>
        <v/>
      </c>
      <c r="BE12">
        <f>IF('Recurring Log'!K16="","",'Recurring Log'!K16)</f>
        <v/>
      </c>
      <c r="BF12">
        <f>IFERROR(MATCH(BA12,Setup!$L$6:$L$9,0),5)</f>
        <v/>
      </c>
      <c r="BG12">
        <f>IF(OR(AZ12="Done",AZ12="Cancelled"),1,0)</f>
        <v/>
      </c>
      <c r="BH12">
        <f>IF(AND(AU12&lt;&gt;"",ISNUMBER(AW12)),1,0)</f>
        <v/>
      </c>
      <c r="BI12">
        <f>IF(BH12=0,0,IF(AND(AW12&gt;='Tasks Filter'!$F$3,AW12&lt;='Tasks Filter'!$F$4,OR('Tasks Filter'!$I$3="",ISNUMBER(SEARCH('Tasks Filter'!$I$3,AU12))),OR('Tasks Filter'!$I$4="",BF12=IFERROR(MATCH('Tasks Filter'!$I$4,Setup!$L$6:$L$9,0),0)),OR('Tasks Filter'!$I$5="Both",AND('Tasks Filter'!$I$5="Yes",BB12="✓"),AND('Tasks Filter'!$I$5="No",BB12&lt;&gt;"✓")),OR('Tasks Filter'!$L$3="",AV12='Tasks Filter'!$L$3),OR('Tasks Filter'!$L$4="",AZ12='Tasks Filter'!$L$4),OR('Tasks Filter'!$L$5="",BC12='Tasks Filter'!$L$5),OR('Tasks Filter'!$O$3="",BD12='Tasks Filter'!$O$3),OR('Tasks Filter'!$O$4="Yes",BG12=0)),1,0))</f>
        <v/>
      </c>
      <c r="BJ12">
        <f>IF(BH12=0,"",IF('Tasks Filter'!$F$6="Descending",-1,1)*CHOOSE(MATCH('Tasks Filter'!$F$5,Lists!$G$2:$G$6,0),AW12,BF12,IFERROR(MATCH(AV12,Setup!$F$6:$F$15,0),99),IFERROR(MATCH(BC12,Setup!$H$6:$H$15,0),99),IFERROR(MATCH(AZ12,Setup!$J$6:$J$11,0),99))*1E+9+(AW12-40000)*10000+11)</f>
        <v/>
      </c>
      <c r="BK12">
        <f>IF(BI12=1,BJ12,"")</f>
        <v/>
      </c>
      <c r="BL12">
        <f>IF(AND(BH12=1,BG12=0,N(AW12)&lt;Setup!$D$7),(AW12-40000)*10000+11,"")</f>
        <v/>
      </c>
      <c r="BM12">
        <f>IF(AND(BH12=1,AZ12&lt;&gt;"Cancelled",N(AW12)&gt;=Dashboard!$AB$3,N(AW12)&lt;=Dashboard!$AB$3+6),(AW12-40000)*100000+BF12*10000+11,"")</f>
        <v/>
      </c>
      <c r="BN12">
        <f>IF(AND(BH12=1,AZ12&lt;&gt;"Cancelled"),BF12*10000+11,"")</f>
        <v/>
      </c>
    </row>
    <row r="13">
      <c r="A13">
        <f>Setup!$D$5+11</f>
        <v/>
      </c>
      <c r="B13">
        <f>IF('Recurring Schedule'!$C$6="","",IF('Recurring Schedule'!$F$6="","",IF(OR($A13&lt;'Recurring Schedule'!$F$6,$A13&gt;'Recurring Schedule'!$P$6),"",IF(IF('Recurring Schedule'!$N$6&gt;0,MOD($A13-'Recurring Schedule'!$F$6,'Recurring Schedule'!$N$6)=0,IF('Recurring Schedule'!$O$6&gt;0,AND(DAY($A13)=MIN(DAY('Recurring Schedule'!$F$6),DAY(EOMONTH($A13,0))),MOD((YEAR($A13)-YEAR('Recurring Schedule'!$F$6))*12+MONTH($A13)-MONTH('Recurring Schedule'!$F$6),'Recurring Schedule'!$O$6)=0),IF('Recurring Schedule'!$E$6="Weekdays",WEEKDAY($A13,2)&lt;=5,$A13='Recurring Schedule'!$F$6))),1,""))))</f>
        <v/>
      </c>
      <c r="C13">
        <f>IF('Recurring Schedule'!$C$7="","",IF('Recurring Schedule'!$F$7="","",IF(OR($A13&lt;'Recurring Schedule'!$F$7,$A13&gt;'Recurring Schedule'!$P$7),"",IF(IF('Recurring Schedule'!$N$7&gt;0,MOD($A13-'Recurring Schedule'!$F$7,'Recurring Schedule'!$N$7)=0,IF('Recurring Schedule'!$O$7&gt;0,AND(DAY($A13)=MIN(DAY('Recurring Schedule'!$F$7),DAY(EOMONTH($A13,0))),MOD((YEAR($A13)-YEAR('Recurring Schedule'!$F$7))*12+MONTH($A13)-MONTH('Recurring Schedule'!$F$7),'Recurring Schedule'!$O$7)=0),IF('Recurring Schedule'!$E$7="Weekdays",WEEKDAY($A13,2)&lt;=5,$A13='Recurring Schedule'!$F$7))),2,""))))</f>
        <v/>
      </c>
      <c r="D13">
        <f>IF('Recurring Schedule'!$C$8="","",IF('Recurring Schedule'!$F$8="","",IF(OR($A13&lt;'Recurring Schedule'!$F$8,$A13&gt;'Recurring Schedule'!$P$8),"",IF(IF('Recurring Schedule'!$N$8&gt;0,MOD($A13-'Recurring Schedule'!$F$8,'Recurring Schedule'!$N$8)=0,IF('Recurring Schedule'!$O$8&gt;0,AND(DAY($A13)=MIN(DAY('Recurring Schedule'!$F$8),DAY(EOMONTH($A13,0))),MOD((YEAR($A13)-YEAR('Recurring Schedule'!$F$8))*12+MONTH($A13)-MONTH('Recurring Schedule'!$F$8),'Recurring Schedule'!$O$8)=0),IF('Recurring Schedule'!$E$8="Weekdays",WEEKDAY($A13,2)&lt;=5,$A13='Recurring Schedule'!$F$8))),3,""))))</f>
        <v/>
      </c>
      <c r="E13">
        <f>IF('Recurring Schedule'!$C$9="","",IF('Recurring Schedule'!$F$9="","",IF(OR($A13&lt;'Recurring Schedule'!$F$9,$A13&gt;'Recurring Schedule'!$P$9),"",IF(IF('Recurring Schedule'!$N$9&gt;0,MOD($A13-'Recurring Schedule'!$F$9,'Recurring Schedule'!$N$9)=0,IF('Recurring Schedule'!$O$9&gt;0,AND(DAY($A13)=MIN(DAY('Recurring Schedule'!$F$9),DAY(EOMONTH($A13,0))),MOD((YEAR($A13)-YEAR('Recurring Schedule'!$F$9))*12+MONTH($A13)-MONTH('Recurring Schedule'!$F$9),'Recurring Schedule'!$O$9)=0),IF('Recurring Schedule'!$E$9="Weekdays",WEEKDAY($A13,2)&lt;=5,$A13='Recurring Schedule'!$F$9))),4,""))))</f>
        <v/>
      </c>
      <c r="F13">
        <f>IF('Recurring Schedule'!$C$10="","",IF('Recurring Schedule'!$F$10="","",IF(OR($A13&lt;'Recurring Schedule'!$F$10,$A13&gt;'Recurring Schedule'!$P$10),"",IF(IF('Recurring Schedule'!$N$10&gt;0,MOD($A13-'Recurring Schedule'!$F$10,'Recurring Schedule'!$N$10)=0,IF('Recurring Schedule'!$O$10&gt;0,AND(DAY($A13)=MIN(DAY('Recurring Schedule'!$F$10),DAY(EOMONTH($A13,0))),MOD((YEAR($A13)-YEAR('Recurring Schedule'!$F$10))*12+MONTH($A13)-MONTH('Recurring Schedule'!$F$10),'Recurring Schedule'!$O$10)=0),IF('Recurring Schedule'!$E$10="Weekdays",WEEKDAY($A13,2)&lt;=5,$A13='Recurring Schedule'!$F$10))),5,""))))</f>
        <v/>
      </c>
      <c r="G13">
        <f>IF('Recurring Schedule'!$C$11="","",IF('Recurring Schedule'!$F$11="","",IF(OR($A13&lt;'Recurring Schedule'!$F$11,$A13&gt;'Recurring Schedule'!$P$11),"",IF(IF('Recurring Schedule'!$N$11&gt;0,MOD($A13-'Recurring Schedule'!$F$11,'Recurring Schedule'!$N$11)=0,IF('Recurring Schedule'!$O$11&gt;0,AND(DAY($A13)=MIN(DAY('Recurring Schedule'!$F$11),DAY(EOMONTH($A13,0))),MOD((YEAR($A13)-YEAR('Recurring Schedule'!$F$11))*12+MONTH($A13)-MONTH('Recurring Schedule'!$F$11),'Recurring Schedule'!$O$11)=0),IF('Recurring Schedule'!$E$11="Weekdays",WEEKDAY($A13,2)&lt;=5,$A13='Recurring Schedule'!$F$11))),6,""))))</f>
        <v/>
      </c>
      <c r="H13">
        <f>IF('Recurring Schedule'!$C$12="","",IF('Recurring Schedule'!$F$12="","",IF(OR($A13&lt;'Recurring Schedule'!$F$12,$A13&gt;'Recurring Schedule'!$P$12),"",IF(IF('Recurring Schedule'!$N$12&gt;0,MOD($A13-'Recurring Schedule'!$F$12,'Recurring Schedule'!$N$12)=0,IF('Recurring Schedule'!$O$12&gt;0,AND(DAY($A13)=MIN(DAY('Recurring Schedule'!$F$12),DAY(EOMONTH($A13,0))),MOD((YEAR($A13)-YEAR('Recurring Schedule'!$F$12))*12+MONTH($A13)-MONTH('Recurring Schedule'!$F$12),'Recurring Schedule'!$O$12)=0),IF('Recurring Schedule'!$E$12="Weekdays",WEEKDAY($A13,2)&lt;=5,$A13='Recurring Schedule'!$F$12))),7,""))))</f>
        <v/>
      </c>
      <c r="I13">
        <f>IF('Recurring Schedule'!$C$13="","",IF('Recurring Schedule'!$F$13="","",IF(OR($A13&lt;'Recurring Schedule'!$F$13,$A13&gt;'Recurring Schedule'!$P$13),"",IF(IF('Recurring Schedule'!$N$13&gt;0,MOD($A13-'Recurring Schedule'!$F$13,'Recurring Schedule'!$N$13)=0,IF('Recurring Schedule'!$O$13&gt;0,AND(DAY($A13)=MIN(DAY('Recurring Schedule'!$F$13),DAY(EOMONTH($A13,0))),MOD((YEAR($A13)-YEAR('Recurring Schedule'!$F$13))*12+MONTH($A13)-MONTH('Recurring Schedule'!$F$13),'Recurring Schedule'!$O$13)=0),IF('Recurring Schedule'!$E$13="Weekdays",WEEKDAY($A13,2)&lt;=5,$A13='Recurring Schedule'!$F$13))),8,""))))</f>
        <v/>
      </c>
      <c r="J13">
        <f>IF('Recurring Schedule'!$C$14="","",IF('Recurring Schedule'!$F$14="","",IF(OR($A13&lt;'Recurring Schedule'!$F$14,$A13&gt;'Recurring Schedule'!$P$14),"",IF(IF('Recurring Schedule'!$N$14&gt;0,MOD($A13-'Recurring Schedule'!$F$14,'Recurring Schedule'!$N$14)=0,IF('Recurring Schedule'!$O$14&gt;0,AND(DAY($A13)=MIN(DAY('Recurring Schedule'!$F$14),DAY(EOMONTH($A13,0))),MOD((YEAR($A13)-YEAR('Recurring Schedule'!$F$14))*12+MONTH($A13)-MONTH('Recurring Schedule'!$F$14),'Recurring Schedule'!$O$14)=0),IF('Recurring Schedule'!$E$14="Weekdays",WEEKDAY($A13,2)&lt;=5,$A13='Recurring Schedule'!$F$14))),9,""))))</f>
        <v/>
      </c>
      <c r="K13">
        <f>IF('Recurring Schedule'!$C$15="","",IF('Recurring Schedule'!$F$15="","",IF(OR($A13&lt;'Recurring Schedule'!$F$15,$A13&gt;'Recurring Schedule'!$P$15),"",IF(IF('Recurring Schedule'!$N$15&gt;0,MOD($A13-'Recurring Schedule'!$F$15,'Recurring Schedule'!$N$15)=0,IF('Recurring Schedule'!$O$15&gt;0,AND(DAY($A13)=MIN(DAY('Recurring Schedule'!$F$15),DAY(EOMONTH($A13,0))),MOD((YEAR($A13)-YEAR('Recurring Schedule'!$F$15))*12+MONTH($A13)-MONTH('Recurring Schedule'!$F$15),'Recurring Schedule'!$O$15)=0),IF('Recurring Schedule'!$E$15="Weekdays",WEEKDAY($A13,2)&lt;=5,$A13='Recurring Schedule'!$F$15))),10,""))))</f>
        <v/>
      </c>
      <c r="L13">
        <f>IF('Recurring Schedule'!$C$16="","",IF('Recurring Schedule'!$F$16="","",IF(OR($A13&lt;'Recurring Schedule'!$F$16,$A13&gt;'Recurring Schedule'!$P$16),"",IF(IF('Recurring Schedule'!$N$16&gt;0,MOD($A13-'Recurring Schedule'!$F$16,'Recurring Schedule'!$N$16)=0,IF('Recurring Schedule'!$O$16&gt;0,AND(DAY($A13)=MIN(DAY('Recurring Schedule'!$F$16),DAY(EOMONTH($A13,0))),MOD((YEAR($A13)-YEAR('Recurring Schedule'!$F$16))*12+MONTH($A13)-MONTH('Recurring Schedule'!$F$16),'Recurring Schedule'!$O$16)=0),IF('Recurring Schedule'!$E$16="Weekdays",WEEKDAY($A13,2)&lt;=5,$A13='Recurring Schedule'!$F$16))),11,""))))</f>
        <v/>
      </c>
      <c r="M13">
        <f>IF('Recurring Schedule'!$C$17="","",IF('Recurring Schedule'!$F$17="","",IF(OR($A13&lt;'Recurring Schedule'!$F$17,$A13&gt;'Recurring Schedule'!$P$17),"",IF(IF('Recurring Schedule'!$N$17&gt;0,MOD($A13-'Recurring Schedule'!$F$17,'Recurring Schedule'!$N$17)=0,IF('Recurring Schedule'!$O$17&gt;0,AND(DAY($A13)=MIN(DAY('Recurring Schedule'!$F$17),DAY(EOMONTH($A13,0))),MOD((YEAR($A13)-YEAR('Recurring Schedule'!$F$17))*12+MONTH($A13)-MONTH('Recurring Schedule'!$F$17),'Recurring Schedule'!$O$17)=0),IF('Recurring Schedule'!$E$17="Weekdays",WEEKDAY($A13,2)&lt;=5,$A13='Recurring Schedule'!$F$17))),12,""))))</f>
        <v/>
      </c>
      <c r="N13">
        <f>IF('Recurring Schedule'!$C$18="","",IF('Recurring Schedule'!$F$18="","",IF(OR($A13&lt;'Recurring Schedule'!$F$18,$A13&gt;'Recurring Schedule'!$P$18),"",IF(IF('Recurring Schedule'!$N$18&gt;0,MOD($A13-'Recurring Schedule'!$F$18,'Recurring Schedule'!$N$18)=0,IF('Recurring Schedule'!$O$18&gt;0,AND(DAY($A13)=MIN(DAY('Recurring Schedule'!$F$18),DAY(EOMONTH($A13,0))),MOD((YEAR($A13)-YEAR('Recurring Schedule'!$F$18))*12+MONTH($A13)-MONTH('Recurring Schedule'!$F$18),'Recurring Schedule'!$O$18)=0),IF('Recurring Schedule'!$E$18="Weekdays",WEEKDAY($A13,2)&lt;=5,$A13='Recurring Schedule'!$F$18))),13,""))))</f>
        <v/>
      </c>
      <c r="O13">
        <f>IF('Recurring Schedule'!$C$19="","",IF('Recurring Schedule'!$F$19="","",IF(OR($A13&lt;'Recurring Schedule'!$F$19,$A13&gt;'Recurring Schedule'!$P$19),"",IF(IF('Recurring Schedule'!$N$19&gt;0,MOD($A13-'Recurring Schedule'!$F$19,'Recurring Schedule'!$N$19)=0,IF('Recurring Schedule'!$O$19&gt;0,AND(DAY($A13)=MIN(DAY('Recurring Schedule'!$F$19),DAY(EOMONTH($A13,0))),MOD((YEAR($A13)-YEAR('Recurring Schedule'!$F$19))*12+MONTH($A13)-MONTH('Recurring Schedule'!$F$19),'Recurring Schedule'!$O$19)=0),IF('Recurring Schedule'!$E$19="Weekdays",WEEKDAY($A13,2)&lt;=5,$A13='Recurring Schedule'!$F$19))),14,""))))</f>
        <v/>
      </c>
      <c r="P13">
        <f>IF('Recurring Schedule'!$C$20="","",IF('Recurring Schedule'!$F$20="","",IF(OR($A13&lt;'Recurring Schedule'!$F$20,$A13&gt;'Recurring Schedule'!$P$20),"",IF(IF('Recurring Schedule'!$N$20&gt;0,MOD($A13-'Recurring Schedule'!$F$20,'Recurring Schedule'!$N$20)=0,IF('Recurring Schedule'!$O$20&gt;0,AND(DAY($A13)=MIN(DAY('Recurring Schedule'!$F$20),DAY(EOMONTH($A13,0))),MOD((YEAR($A13)-YEAR('Recurring Schedule'!$F$20))*12+MONTH($A13)-MONTH('Recurring Schedule'!$F$20),'Recurring Schedule'!$O$20)=0),IF('Recurring Schedule'!$E$20="Weekdays",WEEKDAY($A13,2)&lt;=5,$A13='Recurring Schedule'!$F$20))),15,""))))</f>
        <v/>
      </c>
      <c r="Q13">
        <f>IF('Recurring Schedule'!$C$21="","",IF('Recurring Schedule'!$F$21="","",IF(OR($A13&lt;'Recurring Schedule'!$F$21,$A13&gt;'Recurring Schedule'!$P$21),"",IF(IF('Recurring Schedule'!$N$21&gt;0,MOD($A13-'Recurring Schedule'!$F$21,'Recurring Schedule'!$N$21)=0,IF('Recurring Schedule'!$O$21&gt;0,AND(DAY($A13)=MIN(DAY('Recurring Schedule'!$F$21),DAY(EOMONTH($A13,0))),MOD((YEAR($A13)-YEAR('Recurring Schedule'!$F$21))*12+MONTH($A13)-MONTH('Recurring Schedule'!$F$21),'Recurring Schedule'!$O$21)=0),IF('Recurring Schedule'!$E$21="Weekdays",WEEKDAY($A13,2)&lt;=5,$A13='Recurring Schedule'!$F$21))),16,""))))</f>
        <v/>
      </c>
      <c r="R13">
        <f>IF('Recurring Schedule'!$C$22="","",IF('Recurring Schedule'!$F$22="","",IF(OR($A13&lt;'Recurring Schedule'!$F$22,$A13&gt;'Recurring Schedule'!$P$22),"",IF(IF('Recurring Schedule'!$N$22&gt;0,MOD($A13-'Recurring Schedule'!$F$22,'Recurring Schedule'!$N$22)=0,IF('Recurring Schedule'!$O$22&gt;0,AND(DAY($A13)=MIN(DAY('Recurring Schedule'!$F$22),DAY(EOMONTH($A13,0))),MOD((YEAR($A13)-YEAR('Recurring Schedule'!$F$22))*12+MONTH($A13)-MONTH('Recurring Schedule'!$F$22),'Recurring Schedule'!$O$22)=0),IF('Recurring Schedule'!$E$22="Weekdays",WEEKDAY($A13,2)&lt;=5,$A13='Recurring Schedule'!$F$22))),17,""))))</f>
        <v/>
      </c>
      <c r="S13">
        <f>IF('Recurring Schedule'!$C$23="","",IF('Recurring Schedule'!$F$23="","",IF(OR($A13&lt;'Recurring Schedule'!$F$23,$A13&gt;'Recurring Schedule'!$P$23),"",IF(IF('Recurring Schedule'!$N$23&gt;0,MOD($A13-'Recurring Schedule'!$F$23,'Recurring Schedule'!$N$23)=0,IF('Recurring Schedule'!$O$23&gt;0,AND(DAY($A13)=MIN(DAY('Recurring Schedule'!$F$23),DAY(EOMONTH($A13,0))),MOD((YEAR($A13)-YEAR('Recurring Schedule'!$F$23))*12+MONTH($A13)-MONTH('Recurring Schedule'!$F$23),'Recurring Schedule'!$O$23)=0),IF('Recurring Schedule'!$E$23="Weekdays",WEEKDAY($A13,2)&lt;=5,$A13='Recurring Schedule'!$F$23))),18,""))))</f>
        <v/>
      </c>
      <c r="T13">
        <f>IF('Recurring Schedule'!$C$24="","",IF('Recurring Schedule'!$F$24="","",IF(OR($A13&lt;'Recurring Schedule'!$F$24,$A13&gt;'Recurring Schedule'!$P$24),"",IF(IF('Recurring Schedule'!$N$24&gt;0,MOD($A13-'Recurring Schedule'!$F$24,'Recurring Schedule'!$N$24)=0,IF('Recurring Schedule'!$O$24&gt;0,AND(DAY($A13)=MIN(DAY('Recurring Schedule'!$F$24),DAY(EOMONTH($A13,0))),MOD((YEAR($A13)-YEAR('Recurring Schedule'!$F$24))*12+MONTH($A13)-MONTH('Recurring Schedule'!$F$24),'Recurring Schedule'!$O$24)=0),IF('Recurring Schedule'!$E$24="Weekdays",WEEKDAY($A13,2)&lt;=5,$A13='Recurring Schedule'!$F$24))),19,""))))</f>
        <v/>
      </c>
      <c r="U13">
        <f>IF('Recurring Schedule'!$C$25="","",IF('Recurring Schedule'!$F$25="","",IF(OR($A13&lt;'Recurring Schedule'!$F$25,$A13&gt;'Recurring Schedule'!$P$25),"",IF(IF('Recurring Schedule'!$N$25&gt;0,MOD($A13-'Recurring Schedule'!$F$25,'Recurring Schedule'!$N$25)=0,IF('Recurring Schedule'!$O$25&gt;0,AND(DAY($A13)=MIN(DAY('Recurring Schedule'!$F$25),DAY(EOMONTH($A13,0))),MOD((YEAR($A13)-YEAR('Recurring Schedule'!$F$25))*12+MONTH($A13)-MONTH('Recurring Schedule'!$F$25),'Recurring Schedule'!$O$25)=0),IF('Recurring Schedule'!$E$25="Weekdays",WEEKDAY($A13,2)&lt;=5,$A13='Recurring Schedule'!$F$25))),20,""))))</f>
        <v/>
      </c>
      <c r="V13">
        <f>IF('Recurring Schedule'!$C$26="","",IF('Recurring Schedule'!$F$26="","",IF(OR($A13&lt;'Recurring Schedule'!$F$26,$A13&gt;'Recurring Schedule'!$P$26),"",IF(IF('Recurring Schedule'!$N$26&gt;0,MOD($A13-'Recurring Schedule'!$F$26,'Recurring Schedule'!$N$26)=0,IF('Recurring Schedule'!$O$26&gt;0,AND(DAY($A13)=MIN(DAY('Recurring Schedule'!$F$26),DAY(EOMONTH($A13,0))),MOD((YEAR($A13)-YEAR('Recurring Schedule'!$F$26))*12+MONTH($A13)-MONTH('Recurring Schedule'!$F$26),'Recurring Schedule'!$O$26)=0),IF('Recurring Schedule'!$E$26="Weekdays",WEEKDAY($A13,2)&lt;=5,$A13='Recurring Schedule'!$F$26))),21,""))))</f>
        <v/>
      </c>
      <c r="W13">
        <f>IF('Recurring Schedule'!$C$27="","",IF('Recurring Schedule'!$F$27="","",IF(OR($A13&lt;'Recurring Schedule'!$F$27,$A13&gt;'Recurring Schedule'!$P$27),"",IF(IF('Recurring Schedule'!$N$27&gt;0,MOD($A13-'Recurring Schedule'!$F$27,'Recurring Schedule'!$N$27)=0,IF('Recurring Schedule'!$O$27&gt;0,AND(DAY($A13)=MIN(DAY('Recurring Schedule'!$F$27),DAY(EOMONTH($A13,0))),MOD((YEAR($A13)-YEAR('Recurring Schedule'!$F$27))*12+MONTH($A13)-MONTH('Recurring Schedule'!$F$27),'Recurring Schedule'!$O$27)=0),IF('Recurring Schedule'!$E$27="Weekdays",WEEKDAY($A13,2)&lt;=5,$A13='Recurring Schedule'!$F$27))),22,""))))</f>
        <v/>
      </c>
      <c r="X13">
        <f>IF('Recurring Schedule'!$C$28="","",IF('Recurring Schedule'!$F$28="","",IF(OR($A13&lt;'Recurring Schedule'!$F$28,$A13&gt;'Recurring Schedule'!$P$28),"",IF(IF('Recurring Schedule'!$N$28&gt;0,MOD($A13-'Recurring Schedule'!$F$28,'Recurring Schedule'!$N$28)=0,IF('Recurring Schedule'!$O$28&gt;0,AND(DAY($A13)=MIN(DAY('Recurring Schedule'!$F$28),DAY(EOMONTH($A13,0))),MOD((YEAR($A13)-YEAR('Recurring Schedule'!$F$28))*12+MONTH($A13)-MONTH('Recurring Schedule'!$F$28),'Recurring Schedule'!$O$28)=0),IF('Recurring Schedule'!$E$28="Weekdays",WEEKDAY($A13,2)&lt;=5,$A13='Recurring Schedule'!$F$28))),23,""))))</f>
        <v/>
      </c>
      <c r="Y13">
        <f>IF('Recurring Schedule'!$C$29="","",IF('Recurring Schedule'!$F$29="","",IF(OR($A13&lt;'Recurring Schedule'!$F$29,$A13&gt;'Recurring Schedule'!$P$29),"",IF(IF('Recurring Schedule'!$N$29&gt;0,MOD($A13-'Recurring Schedule'!$F$29,'Recurring Schedule'!$N$29)=0,IF('Recurring Schedule'!$O$29&gt;0,AND(DAY($A13)=MIN(DAY('Recurring Schedule'!$F$29),DAY(EOMONTH($A13,0))),MOD((YEAR($A13)-YEAR('Recurring Schedule'!$F$29))*12+MONTH($A13)-MONTH('Recurring Schedule'!$F$29),'Recurring Schedule'!$O$29)=0),IF('Recurring Schedule'!$E$29="Weekdays",WEEKDAY($A13,2)&lt;=5,$A13='Recurring Schedule'!$F$29))),24,""))))</f>
        <v/>
      </c>
      <c r="Z13">
        <f>IF('Recurring Schedule'!$C$30="","",IF('Recurring Schedule'!$F$30="","",IF(OR($A13&lt;'Recurring Schedule'!$F$30,$A13&gt;'Recurring Schedule'!$P$30),"",IF(IF('Recurring Schedule'!$N$30&gt;0,MOD($A13-'Recurring Schedule'!$F$30,'Recurring Schedule'!$N$30)=0,IF('Recurring Schedule'!$O$30&gt;0,AND(DAY($A13)=MIN(DAY('Recurring Schedule'!$F$30),DAY(EOMONTH($A13,0))),MOD((YEAR($A13)-YEAR('Recurring Schedule'!$F$30))*12+MONTH($A13)-MONTH('Recurring Schedule'!$F$30),'Recurring Schedule'!$O$30)=0),IF('Recurring Schedule'!$E$30="Weekdays",WEEKDAY($A13,2)&lt;=5,$A13='Recurring Schedule'!$F$30))),25,""))))</f>
        <v/>
      </c>
      <c r="AA13">
        <f>IF('Recurring Schedule'!$C$31="","",IF('Recurring Schedule'!$F$31="","",IF(OR($A13&lt;'Recurring Schedule'!$F$31,$A13&gt;'Recurring Schedule'!$P$31),"",IF(IF('Recurring Schedule'!$N$31&gt;0,MOD($A13-'Recurring Schedule'!$F$31,'Recurring Schedule'!$N$31)=0,IF('Recurring Schedule'!$O$31&gt;0,AND(DAY($A13)=MIN(DAY('Recurring Schedule'!$F$31),DAY(EOMONTH($A13,0))),MOD((YEAR($A13)-YEAR('Recurring Schedule'!$F$31))*12+MONTH($A13)-MONTH('Recurring Schedule'!$F$31),'Recurring Schedule'!$O$31)=0),IF('Recurring Schedule'!$E$31="Weekdays",WEEKDAY($A13,2)&lt;=5,$A13='Recurring Schedule'!$F$31))),26,""))))</f>
        <v/>
      </c>
      <c r="AB13">
        <f>IF('Recurring Schedule'!$C$32="","",IF('Recurring Schedule'!$F$32="","",IF(OR($A13&lt;'Recurring Schedule'!$F$32,$A13&gt;'Recurring Schedule'!$P$32),"",IF(IF('Recurring Schedule'!$N$32&gt;0,MOD($A13-'Recurring Schedule'!$F$32,'Recurring Schedule'!$N$32)=0,IF('Recurring Schedule'!$O$32&gt;0,AND(DAY($A13)=MIN(DAY('Recurring Schedule'!$F$32),DAY(EOMONTH($A13,0))),MOD((YEAR($A13)-YEAR('Recurring Schedule'!$F$32))*12+MONTH($A13)-MONTH('Recurring Schedule'!$F$32),'Recurring Schedule'!$O$32)=0),IF('Recurring Schedule'!$E$32="Weekdays",WEEKDAY($A13,2)&lt;=5,$A13='Recurring Schedule'!$F$32))),27,""))))</f>
        <v/>
      </c>
      <c r="AC13">
        <f>IF('Recurring Schedule'!$C$33="","",IF('Recurring Schedule'!$F$33="","",IF(OR($A13&lt;'Recurring Schedule'!$F$33,$A13&gt;'Recurring Schedule'!$P$33),"",IF(IF('Recurring Schedule'!$N$33&gt;0,MOD($A13-'Recurring Schedule'!$F$33,'Recurring Schedule'!$N$33)=0,IF('Recurring Schedule'!$O$33&gt;0,AND(DAY($A13)=MIN(DAY('Recurring Schedule'!$F$33),DAY(EOMONTH($A13,0))),MOD((YEAR($A13)-YEAR('Recurring Schedule'!$F$33))*12+MONTH($A13)-MONTH('Recurring Schedule'!$F$33),'Recurring Schedule'!$O$33)=0),IF('Recurring Schedule'!$E$33="Weekdays",WEEKDAY($A13,2)&lt;=5,$A13='Recurring Schedule'!$F$33))),28,""))))</f>
        <v/>
      </c>
      <c r="AD13">
        <f>IF('Recurring Schedule'!$C$34="","",IF('Recurring Schedule'!$F$34="","",IF(OR($A13&lt;'Recurring Schedule'!$F$34,$A13&gt;'Recurring Schedule'!$P$34),"",IF(IF('Recurring Schedule'!$N$34&gt;0,MOD($A13-'Recurring Schedule'!$F$34,'Recurring Schedule'!$N$34)=0,IF('Recurring Schedule'!$O$34&gt;0,AND(DAY($A13)=MIN(DAY('Recurring Schedule'!$F$34),DAY(EOMONTH($A13,0))),MOD((YEAR($A13)-YEAR('Recurring Schedule'!$F$34))*12+MONTH($A13)-MONTH('Recurring Schedule'!$F$34),'Recurring Schedule'!$O$34)=0),IF('Recurring Schedule'!$E$34="Weekdays",WEEKDAY($A13,2)&lt;=5,$A13='Recurring Schedule'!$F$34))),29,""))))</f>
        <v/>
      </c>
      <c r="AE13">
        <f>IF('Recurring Schedule'!$C$35="","",IF('Recurring Schedule'!$F$35="","",IF(OR($A13&lt;'Recurring Schedule'!$F$35,$A13&gt;'Recurring Schedule'!$P$35),"",IF(IF('Recurring Schedule'!$N$35&gt;0,MOD($A13-'Recurring Schedule'!$F$35,'Recurring Schedule'!$N$35)=0,IF('Recurring Schedule'!$O$35&gt;0,AND(DAY($A13)=MIN(DAY('Recurring Schedule'!$F$35),DAY(EOMONTH($A13,0))),MOD((YEAR($A13)-YEAR('Recurring Schedule'!$F$35))*12+MONTH($A13)-MONTH('Recurring Schedule'!$F$35),'Recurring Schedule'!$O$35)=0),IF('Recurring Schedule'!$E$35="Weekdays",WEEKDAY($A13,2)&lt;=5,$A13='Recurring Schedule'!$F$35))),30,""))))</f>
        <v/>
      </c>
      <c r="AF13">
        <f>IF('Recurring Schedule'!$C$36="","",IF('Recurring Schedule'!$F$36="","",IF(OR($A13&lt;'Recurring Schedule'!$F$36,$A13&gt;'Recurring Schedule'!$P$36),"",IF(IF('Recurring Schedule'!$N$36&gt;0,MOD($A13-'Recurring Schedule'!$F$36,'Recurring Schedule'!$N$36)=0,IF('Recurring Schedule'!$O$36&gt;0,AND(DAY($A13)=MIN(DAY('Recurring Schedule'!$F$36),DAY(EOMONTH($A13,0))),MOD((YEAR($A13)-YEAR('Recurring Schedule'!$F$36))*12+MONTH($A13)-MONTH('Recurring Schedule'!$F$36),'Recurring Schedule'!$O$36)=0),IF('Recurring Schedule'!$E$36="Weekdays",WEEKDAY($A13,2)&lt;=5,$A13='Recurring Schedule'!$F$36))),31,""))))</f>
        <v/>
      </c>
      <c r="AG13">
        <f>IF('Recurring Schedule'!$C$37="","",IF('Recurring Schedule'!$F$37="","",IF(OR($A13&lt;'Recurring Schedule'!$F$37,$A13&gt;'Recurring Schedule'!$P$37),"",IF(IF('Recurring Schedule'!$N$37&gt;0,MOD($A13-'Recurring Schedule'!$F$37,'Recurring Schedule'!$N$37)=0,IF('Recurring Schedule'!$O$37&gt;0,AND(DAY($A13)=MIN(DAY('Recurring Schedule'!$F$37),DAY(EOMONTH($A13,0))),MOD((YEAR($A13)-YEAR('Recurring Schedule'!$F$37))*12+MONTH($A13)-MONTH('Recurring Schedule'!$F$37),'Recurring Schedule'!$O$37)=0),IF('Recurring Schedule'!$E$37="Weekdays",WEEKDAY($A13,2)&lt;=5,$A13='Recurring Schedule'!$F$37))),32,""))))</f>
        <v/>
      </c>
      <c r="AH13">
        <f>IF('Recurring Schedule'!$C$38="","",IF('Recurring Schedule'!$F$38="","",IF(OR($A13&lt;'Recurring Schedule'!$F$38,$A13&gt;'Recurring Schedule'!$P$38),"",IF(IF('Recurring Schedule'!$N$38&gt;0,MOD($A13-'Recurring Schedule'!$F$38,'Recurring Schedule'!$N$38)=0,IF('Recurring Schedule'!$O$38&gt;0,AND(DAY($A13)=MIN(DAY('Recurring Schedule'!$F$38),DAY(EOMONTH($A13,0))),MOD((YEAR($A13)-YEAR('Recurring Schedule'!$F$38))*12+MONTH($A13)-MONTH('Recurring Schedule'!$F$38),'Recurring Schedule'!$O$38)=0),IF('Recurring Schedule'!$E$38="Weekdays",WEEKDAY($A13,2)&lt;=5,$A13='Recurring Schedule'!$F$38))),33,""))))</f>
        <v/>
      </c>
      <c r="AI13">
        <f>IF('Recurring Schedule'!$C$39="","",IF('Recurring Schedule'!$F$39="","",IF(OR($A13&lt;'Recurring Schedule'!$F$39,$A13&gt;'Recurring Schedule'!$P$39),"",IF(IF('Recurring Schedule'!$N$39&gt;0,MOD($A13-'Recurring Schedule'!$F$39,'Recurring Schedule'!$N$39)=0,IF('Recurring Schedule'!$O$39&gt;0,AND(DAY($A13)=MIN(DAY('Recurring Schedule'!$F$39),DAY(EOMONTH($A13,0))),MOD((YEAR($A13)-YEAR('Recurring Schedule'!$F$39))*12+MONTH($A13)-MONTH('Recurring Schedule'!$F$39),'Recurring Schedule'!$O$39)=0),IF('Recurring Schedule'!$E$39="Weekdays",WEEKDAY($A13,2)&lt;=5,$A13='Recurring Schedule'!$F$39))),34,""))))</f>
        <v/>
      </c>
      <c r="AJ13">
        <f>IF('Recurring Schedule'!$C$40="","",IF('Recurring Schedule'!$F$40="","",IF(OR($A13&lt;'Recurring Schedule'!$F$40,$A13&gt;'Recurring Schedule'!$P$40),"",IF(IF('Recurring Schedule'!$N$40&gt;0,MOD($A13-'Recurring Schedule'!$F$40,'Recurring Schedule'!$N$40)=0,IF('Recurring Schedule'!$O$40&gt;0,AND(DAY($A13)=MIN(DAY('Recurring Schedule'!$F$40),DAY(EOMONTH($A13,0))),MOD((YEAR($A13)-YEAR('Recurring Schedule'!$F$40))*12+MONTH($A13)-MONTH('Recurring Schedule'!$F$40),'Recurring Schedule'!$O$40)=0),IF('Recurring Schedule'!$E$40="Weekdays",WEEKDAY($A13,2)&lt;=5,$A13='Recurring Schedule'!$F$40))),35,""))))</f>
        <v/>
      </c>
      <c r="AK13">
        <f>IF('Recurring Schedule'!$C$41="","",IF('Recurring Schedule'!$F$41="","",IF(OR($A13&lt;'Recurring Schedule'!$F$41,$A13&gt;'Recurring Schedule'!$P$41),"",IF(IF('Recurring Schedule'!$N$41&gt;0,MOD($A13-'Recurring Schedule'!$F$41,'Recurring Schedule'!$N$41)=0,IF('Recurring Schedule'!$O$41&gt;0,AND(DAY($A13)=MIN(DAY('Recurring Schedule'!$F$41),DAY(EOMONTH($A13,0))),MOD((YEAR($A13)-YEAR('Recurring Schedule'!$F$41))*12+MONTH($A13)-MONTH('Recurring Schedule'!$F$41),'Recurring Schedule'!$O$41)=0),IF('Recurring Schedule'!$E$41="Weekdays",WEEKDAY($A13,2)&lt;=5,$A13='Recurring Schedule'!$F$41))),36,""))))</f>
        <v/>
      </c>
      <c r="AL13">
        <f>IF('Recurring Schedule'!$C$42="","",IF('Recurring Schedule'!$F$42="","",IF(OR($A13&lt;'Recurring Schedule'!$F$42,$A13&gt;'Recurring Schedule'!$P$42),"",IF(IF('Recurring Schedule'!$N$42&gt;0,MOD($A13-'Recurring Schedule'!$F$42,'Recurring Schedule'!$N$42)=0,IF('Recurring Schedule'!$O$42&gt;0,AND(DAY($A13)=MIN(DAY('Recurring Schedule'!$F$42),DAY(EOMONTH($A13,0))),MOD((YEAR($A13)-YEAR('Recurring Schedule'!$F$42))*12+MONTH($A13)-MONTH('Recurring Schedule'!$F$42),'Recurring Schedule'!$O$42)=0),IF('Recurring Schedule'!$E$42="Weekdays",WEEKDAY($A13,2)&lt;=5,$A13='Recurring Schedule'!$F$42))),37,""))))</f>
        <v/>
      </c>
      <c r="AM13">
        <f>IF('Recurring Schedule'!$C$43="","",IF('Recurring Schedule'!$F$43="","",IF(OR($A13&lt;'Recurring Schedule'!$F$43,$A13&gt;'Recurring Schedule'!$P$43),"",IF(IF('Recurring Schedule'!$N$43&gt;0,MOD($A13-'Recurring Schedule'!$F$43,'Recurring Schedule'!$N$43)=0,IF('Recurring Schedule'!$O$43&gt;0,AND(DAY($A13)=MIN(DAY('Recurring Schedule'!$F$43),DAY(EOMONTH($A13,0))),MOD((YEAR($A13)-YEAR('Recurring Schedule'!$F$43))*12+MONTH($A13)-MONTH('Recurring Schedule'!$F$43),'Recurring Schedule'!$O$43)=0),IF('Recurring Schedule'!$E$43="Weekdays",WEEKDAY($A13,2)&lt;=5,$A13='Recurring Schedule'!$F$43))),38,""))))</f>
        <v/>
      </c>
      <c r="AN13">
        <f>IF('Recurring Schedule'!$C$44="","",IF('Recurring Schedule'!$F$44="","",IF(OR($A13&lt;'Recurring Schedule'!$F$44,$A13&gt;'Recurring Schedule'!$P$44),"",IF(IF('Recurring Schedule'!$N$44&gt;0,MOD($A13-'Recurring Schedule'!$F$44,'Recurring Schedule'!$N$44)=0,IF('Recurring Schedule'!$O$44&gt;0,AND(DAY($A13)=MIN(DAY('Recurring Schedule'!$F$44),DAY(EOMONTH($A13,0))),MOD((YEAR($A13)-YEAR('Recurring Schedule'!$F$44))*12+MONTH($A13)-MONTH('Recurring Schedule'!$F$44),'Recurring Schedule'!$O$44)=0),IF('Recurring Schedule'!$E$44="Weekdays",WEEKDAY($A13,2)&lt;=5,$A13='Recurring Schedule'!$F$44))),39,""))))</f>
        <v/>
      </c>
      <c r="AO13">
        <f>IF('Recurring Schedule'!$C$45="","",IF('Recurring Schedule'!$F$45="","",IF(OR($A13&lt;'Recurring Schedule'!$F$45,$A13&gt;'Recurring Schedule'!$P$45),"",IF(IF('Recurring Schedule'!$N$45&gt;0,MOD($A13-'Recurring Schedule'!$F$45,'Recurring Schedule'!$N$45)=0,IF('Recurring Schedule'!$O$45&gt;0,AND(DAY($A13)=MIN(DAY('Recurring Schedule'!$F$45),DAY(EOMONTH($A13,0))),MOD((YEAR($A13)-YEAR('Recurring Schedule'!$F$45))*12+MONTH($A13)-MONTH('Recurring Schedule'!$F$45),'Recurring Schedule'!$O$45)=0),IF('Recurring Schedule'!$E$45="Weekdays",WEEKDAY($A13,2)&lt;=5,$A13='Recurring Schedule'!$F$45))),40,""))))</f>
        <v/>
      </c>
      <c r="AP13">
        <f>COUNT(B13:AO13)</f>
        <v/>
      </c>
      <c r="AQ13">
        <f>AQ12+AP12</f>
        <v/>
      </c>
      <c r="AS13" t="inlineStr">
        <is>
          <t>R</t>
        </is>
      </c>
      <c r="AT13" t="n">
        <v>17</v>
      </c>
      <c r="AU13">
        <f>'Recurring Log'!C17&amp;""</f>
        <v/>
      </c>
      <c r="AV13">
        <f>'Recurring Log'!D17&amp;""</f>
        <v/>
      </c>
      <c r="AW13">
        <f>IF('Recurring Log'!E17="","",'Recurring Log'!E17)</f>
        <v/>
      </c>
      <c r="AX13">
        <f>IF('Recurring Log'!G17="","",'Recurring Log'!G17)</f>
        <v/>
      </c>
      <c r="AY13">
        <f>IF('Recurring Log'!H17="","",'Recurring Log'!H17)</f>
        <v/>
      </c>
      <c r="AZ13">
        <f>IF(AU13="","",IF('Recurring Log'!J17="","Not Started",'Recurring Log'!J17))</f>
        <v/>
      </c>
      <c r="BA13">
        <f>'Recurring Log'!L17&amp;""</f>
        <v/>
      </c>
      <c r="BB13">
        <f>'Recurring Log'!M17&amp;""</f>
        <v/>
      </c>
      <c r="BC13">
        <f>'Recurring Log'!N17&amp;""</f>
        <v/>
      </c>
      <c r="BD13">
        <f>'Recurring Log'!O17&amp;""</f>
        <v/>
      </c>
      <c r="BE13">
        <f>IF('Recurring Log'!K17="","",'Recurring Log'!K17)</f>
        <v/>
      </c>
      <c r="BF13">
        <f>IFERROR(MATCH(BA13,Setup!$L$6:$L$9,0),5)</f>
        <v/>
      </c>
      <c r="BG13">
        <f>IF(OR(AZ13="Done",AZ13="Cancelled"),1,0)</f>
        <v/>
      </c>
      <c r="BH13">
        <f>IF(AND(AU13&lt;&gt;"",ISNUMBER(AW13)),1,0)</f>
        <v/>
      </c>
      <c r="BI13">
        <f>IF(BH13=0,0,IF(AND(AW13&gt;='Tasks Filter'!$F$3,AW13&lt;='Tasks Filter'!$F$4,OR('Tasks Filter'!$I$3="",ISNUMBER(SEARCH('Tasks Filter'!$I$3,AU13))),OR('Tasks Filter'!$I$4="",BF13=IFERROR(MATCH('Tasks Filter'!$I$4,Setup!$L$6:$L$9,0),0)),OR('Tasks Filter'!$I$5="Both",AND('Tasks Filter'!$I$5="Yes",BB13="✓"),AND('Tasks Filter'!$I$5="No",BB13&lt;&gt;"✓")),OR('Tasks Filter'!$L$3="",AV13='Tasks Filter'!$L$3),OR('Tasks Filter'!$L$4="",AZ13='Tasks Filter'!$L$4),OR('Tasks Filter'!$L$5="",BC13='Tasks Filter'!$L$5),OR('Tasks Filter'!$O$3="",BD13='Tasks Filter'!$O$3),OR('Tasks Filter'!$O$4="Yes",BG13=0)),1,0))</f>
        <v/>
      </c>
      <c r="BJ13">
        <f>IF(BH13=0,"",IF('Tasks Filter'!$F$6="Descending",-1,1)*CHOOSE(MATCH('Tasks Filter'!$F$5,Lists!$G$2:$G$6,0),AW13,BF13,IFERROR(MATCH(AV13,Setup!$F$6:$F$15,0),99),IFERROR(MATCH(BC13,Setup!$H$6:$H$15,0),99),IFERROR(MATCH(AZ13,Setup!$J$6:$J$11,0),99))*1E+9+(AW13-40000)*10000+12)</f>
        <v/>
      </c>
      <c r="BK13">
        <f>IF(BI13=1,BJ13,"")</f>
        <v/>
      </c>
      <c r="BL13">
        <f>IF(AND(BH13=1,BG13=0,N(AW13)&lt;Setup!$D$7),(AW13-40000)*10000+12,"")</f>
        <v/>
      </c>
      <c r="BM13">
        <f>IF(AND(BH13=1,AZ13&lt;&gt;"Cancelled",N(AW13)&gt;=Dashboard!$AB$3,N(AW13)&lt;=Dashboard!$AB$3+6),(AW13-40000)*100000+BF13*10000+12,"")</f>
        <v/>
      </c>
      <c r="BN13">
        <f>IF(AND(BH13=1,AZ13&lt;&gt;"Cancelled"),BF13*10000+12,"")</f>
        <v/>
      </c>
    </row>
    <row r="14">
      <c r="A14">
        <f>Setup!$D$5+12</f>
        <v/>
      </c>
      <c r="B14">
        <f>IF('Recurring Schedule'!$C$6="","",IF('Recurring Schedule'!$F$6="","",IF(OR($A14&lt;'Recurring Schedule'!$F$6,$A14&gt;'Recurring Schedule'!$P$6),"",IF(IF('Recurring Schedule'!$N$6&gt;0,MOD($A14-'Recurring Schedule'!$F$6,'Recurring Schedule'!$N$6)=0,IF('Recurring Schedule'!$O$6&gt;0,AND(DAY($A14)=MIN(DAY('Recurring Schedule'!$F$6),DAY(EOMONTH($A14,0))),MOD((YEAR($A14)-YEAR('Recurring Schedule'!$F$6))*12+MONTH($A14)-MONTH('Recurring Schedule'!$F$6),'Recurring Schedule'!$O$6)=0),IF('Recurring Schedule'!$E$6="Weekdays",WEEKDAY($A14,2)&lt;=5,$A14='Recurring Schedule'!$F$6))),1,""))))</f>
        <v/>
      </c>
      <c r="C14">
        <f>IF('Recurring Schedule'!$C$7="","",IF('Recurring Schedule'!$F$7="","",IF(OR($A14&lt;'Recurring Schedule'!$F$7,$A14&gt;'Recurring Schedule'!$P$7),"",IF(IF('Recurring Schedule'!$N$7&gt;0,MOD($A14-'Recurring Schedule'!$F$7,'Recurring Schedule'!$N$7)=0,IF('Recurring Schedule'!$O$7&gt;0,AND(DAY($A14)=MIN(DAY('Recurring Schedule'!$F$7),DAY(EOMONTH($A14,0))),MOD((YEAR($A14)-YEAR('Recurring Schedule'!$F$7))*12+MONTH($A14)-MONTH('Recurring Schedule'!$F$7),'Recurring Schedule'!$O$7)=0),IF('Recurring Schedule'!$E$7="Weekdays",WEEKDAY($A14,2)&lt;=5,$A14='Recurring Schedule'!$F$7))),2,""))))</f>
        <v/>
      </c>
      <c r="D14">
        <f>IF('Recurring Schedule'!$C$8="","",IF('Recurring Schedule'!$F$8="","",IF(OR($A14&lt;'Recurring Schedule'!$F$8,$A14&gt;'Recurring Schedule'!$P$8),"",IF(IF('Recurring Schedule'!$N$8&gt;0,MOD($A14-'Recurring Schedule'!$F$8,'Recurring Schedule'!$N$8)=0,IF('Recurring Schedule'!$O$8&gt;0,AND(DAY($A14)=MIN(DAY('Recurring Schedule'!$F$8),DAY(EOMONTH($A14,0))),MOD((YEAR($A14)-YEAR('Recurring Schedule'!$F$8))*12+MONTH($A14)-MONTH('Recurring Schedule'!$F$8),'Recurring Schedule'!$O$8)=0),IF('Recurring Schedule'!$E$8="Weekdays",WEEKDAY($A14,2)&lt;=5,$A14='Recurring Schedule'!$F$8))),3,""))))</f>
        <v/>
      </c>
      <c r="E14">
        <f>IF('Recurring Schedule'!$C$9="","",IF('Recurring Schedule'!$F$9="","",IF(OR($A14&lt;'Recurring Schedule'!$F$9,$A14&gt;'Recurring Schedule'!$P$9),"",IF(IF('Recurring Schedule'!$N$9&gt;0,MOD($A14-'Recurring Schedule'!$F$9,'Recurring Schedule'!$N$9)=0,IF('Recurring Schedule'!$O$9&gt;0,AND(DAY($A14)=MIN(DAY('Recurring Schedule'!$F$9),DAY(EOMONTH($A14,0))),MOD((YEAR($A14)-YEAR('Recurring Schedule'!$F$9))*12+MONTH($A14)-MONTH('Recurring Schedule'!$F$9),'Recurring Schedule'!$O$9)=0),IF('Recurring Schedule'!$E$9="Weekdays",WEEKDAY($A14,2)&lt;=5,$A14='Recurring Schedule'!$F$9))),4,""))))</f>
        <v/>
      </c>
      <c r="F14">
        <f>IF('Recurring Schedule'!$C$10="","",IF('Recurring Schedule'!$F$10="","",IF(OR($A14&lt;'Recurring Schedule'!$F$10,$A14&gt;'Recurring Schedule'!$P$10),"",IF(IF('Recurring Schedule'!$N$10&gt;0,MOD($A14-'Recurring Schedule'!$F$10,'Recurring Schedule'!$N$10)=0,IF('Recurring Schedule'!$O$10&gt;0,AND(DAY($A14)=MIN(DAY('Recurring Schedule'!$F$10),DAY(EOMONTH($A14,0))),MOD((YEAR($A14)-YEAR('Recurring Schedule'!$F$10))*12+MONTH($A14)-MONTH('Recurring Schedule'!$F$10),'Recurring Schedule'!$O$10)=0),IF('Recurring Schedule'!$E$10="Weekdays",WEEKDAY($A14,2)&lt;=5,$A14='Recurring Schedule'!$F$10))),5,""))))</f>
        <v/>
      </c>
      <c r="G14">
        <f>IF('Recurring Schedule'!$C$11="","",IF('Recurring Schedule'!$F$11="","",IF(OR($A14&lt;'Recurring Schedule'!$F$11,$A14&gt;'Recurring Schedule'!$P$11),"",IF(IF('Recurring Schedule'!$N$11&gt;0,MOD($A14-'Recurring Schedule'!$F$11,'Recurring Schedule'!$N$11)=0,IF('Recurring Schedule'!$O$11&gt;0,AND(DAY($A14)=MIN(DAY('Recurring Schedule'!$F$11),DAY(EOMONTH($A14,0))),MOD((YEAR($A14)-YEAR('Recurring Schedule'!$F$11))*12+MONTH($A14)-MONTH('Recurring Schedule'!$F$11),'Recurring Schedule'!$O$11)=0),IF('Recurring Schedule'!$E$11="Weekdays",WEEKDAY($A14,2)&lt;=5,$A14='Recurring Schedule'!$F$11))),6,""))))</f>
        <v/>
      </c>
      <c r="H14">
        <f>IF('Recurring Schedule'!$C$12="","",IF('Recurring Schedule'!$F$12="","",IF(OR($A14&lt;'Recurring Schedule'!$F$12,$A14&gt;'Recurring Schedule'!$P$12),"",IF(IF('Recurring Schedule'!$N$12&gt;0,MOD($A14-'Recurring Schedule'!$F$12,'Recurring Schedule'!$N$12)=0,IF('Recurring Schedule'!$O$12&gt;0,AND(DAY($A14)=MIN(DAY('Recurring Schedule'!$F$12),DAY(EOMONTH($A14,0))),MOD((YEAR($A14)-YEAR('Recurring Schedule'!$F$12))*12+MONTH($A14)-MONTH('Recurring Schedule'!$F$12),'Recurring Schedule'!$O$12)=0),IF('Recurring Schedule'!$E$12="Weekdays",WEEKDAY($A14,2)&lt;=5,$A14='Recurring Schedule'!$F$12))),7,""))))</f>
        <v/>
      </c>
      <c r="I14">
        <f>IF('Recurring Schedule'!$C$13="","",IF('Recurring Schedule'!$F$13="","",IF(OR($A14&lt;'Recurring Schedule'!$F$13,$A14&gt;'Recurring Schedule'!$P$13),"",IF(IF('Recurring Schedule'!$N$13&gt;0,MOD($A14-'Recurring Schedule'!$F$13,'Recurring Schedule'!$N$13)=0,IF('Recurring Schedule'!$O$13&gt;0,AND(DAY($A14)=MIN(DAY('Recurring Schedule'!$F$13),DAY(EOMONTH($A14,0))),MOD((YEAR($A14)-YEAR('Recurring Schedule'!$F$13))*12+MONTH($A14)-MONTH('Recurring Schedule'!$F$13),'Recurring Schedule'!$O$13)=0),IF('Recurring Schedule'!$E$13="Weekdays",WEEKDAY($A14,2)&lt;=5,$A14='Recurring Schedule'!$F$13))),8,""))))</f>
        <v/>
      </c>
      <c r="J14">
        <f>IF('Recurring Schedule'!$C$14="","",IF('Recurring Schedule'!$F$14="","",IF(OR($A14&lt;'Recurring Schedule'!$F$14,$A14&gt;'Recurring Schedule'!$P$14),"",IF(IF('Recurring Schedule'!$N$14&gt;0,MOD($A14-'Recurring Schedule'!$F$14,'Recurring Schedule'!$N$14)=0,IF('Recurring Schedule'!$O$14&gt;0,AND(DAY($A14)=MIN(DAY('Recurring Schedule'!$F$14),DAY(EOMONTH($A14,0))),MOD((YEAR($A14)-YEAR('Recurring Schedule'!$F$14))*12+MONTH($A14)-MONTH('Recurring Schedule'!$F$14),'Recurring Schedule'!$O$14)=0),IF('Recurring Schedule'!$E$14="Weekdays",WEEKDAY($A14,2)&lt;=5,$A14='Recurring Schedule'!$F$14))),9,""))))</f>
        <v/>
      </c>
      <c r="K14">
        <f>IF('Recurring Schedule'!$C$15="","",IF('Recurring Schedule'!$F$15="","",IF(OR($A14&lt;'Recurring Schedule'!$F$15,$A14&gt;'Recurring Schedule'!$P$15),"",IF(IF('Recurring Schedule'!$N$15&gt;0,MOD($A14-'Recurring Schedule'!$F$15,'Recurring Schedule'!$N$15)=0,IF('Recurring Schedule'!$O$15&gt;0,AND(DAY($A14)=MIN(DAY('Recurring Schedule'!$F$15),DAY(EOMONTH($A14,0))),MOD((YEAR($A14)-YEAR('Recurring Schedule'!$F$15))*12+MONTH($A14)-MONTH('Recurring Schedule'!$F$15),'Recurring Schedule'!$O$15)=0),IF('Recurring Schedule'!$E$15="Weekdays",WEEKDAY($A14,2)&lt;=5,$A14='Recurring Schedule'!$F$15))),10,""))))</f>
        <v/>
      </c>
      <c r="L14">
        <f>IF('Recurring Schedule'!$C$16="","",IF('Recurring Schedule'!$F$16="","",IF(OR($A14&lt;'Recurring Schedule'!$F$16,$A14&gt;'Recurring Schedule'!$P$16),"",IF(IF('Recurring Schedule'!$N$16&gt;0,MOD($A14-'Recurring Schedule'!$F$16,'Recurring Schedule'!$N$16)=0,IF('Recurring Schedule'!$O$16&gt;0,AND(DAY($A14)=MIN(DAY('Recurring Schedule'!$F$16),DAY(EOMONTH($A14,0))),MOD((YEAR($A14)-YEAR('Recurring Schedule'!$F$16))*12+MONTH($A14)-MONTH('Recurring Schedule'!$F$16),'Recurring Schedule'!$O$16)=0),IF('Recurring Schedule'!$E$16="Weekdays",WEEKDAY($A14,2)&lt;=5,$A14='Recurring Schedule'!$F$16))),11,""))))</f>
        <v/>
      </c>
      <c r="M14">
        <f>IF('Recurring Schedule'!$C$17="","",IF('Recurring Schedule'!$F$17="","",IF(OR($A14&lt;'Recurring Schedule'!$F$17,$A14&gt;'Recurring Schedule'!$P$17),"",IF(IF('Recurring Schedule'!$N$17&gt;0,MOD($A14-'Recurring Schedule'!$F$17,'Recurring Schedule'!$N$17)=0,IF('Recurring Schedule'!$O$17&gt;0,AND(DAY($A14)=MIN(DAY('Recurring Schedule'!$F$17),DAY(EOMONTH($A14,0))),MOD((YEAR($A14)-YEAR('Recurring Schedule'!$F$17))*12+MONTH($A14)-MONTH('Recurring Schedule'!$F$17),'Recurring Schedule'!$O$17)=0),IF('Recurring Schedule'!$E$17="Weekdays",WEEKDAY($A14,2)&lt;=5,$A14='Recurring Schedule'!$F$17))),12,""))))</f>
        <v/>
      </c>
      <c r="N14">
        <f>IF('Recurring Schedule'!$C$18="","",IF('Recurring Schedule'!$F$18="","",IF(OR($A14&lt;'Recurring Schedule'!$F$18,$A14&gt;'Recurring Schedule'!$P$18),"",IF(IF('Recurring Schedule'!$N$18&gt;0,MOD($A14-'Recurring Schedule'!$F$18,'Recurring Schedule'!$N$18)=0,IF('Recurring Schedule'!$O$18&gt;0,AND(DAY($A14)=MIN(DAY('Recurring Schedule'!$F$18),DAY(EOMONTH($A14,0))),MOD((YEAR($A14)-YEAR('Recurring Schedule'!$F$18))*12+MONTH($A14)-MONTH('Recurring Schedule'!$F$18),'Recurring Schedule'!$O$18)=0),IF('Recurring Schedule'!$E$18="Weekdays",WEEKDAY($A14,2)&lt;=5,$A14='Recurring Schedule'!$F$18))),13,""))))</f>
        <v/>
      </c>
      <c r="O14">
        <f>IF('Recurring Schedule'!$C$19="","",IF('Recurring Schedule'!$F$19="","",IF(OR($A14&lt;'Recurring Schedule'!$F$19,$A14&gt;'Recurring Schedule'!$P$19),"",IF(IF('Recurring Schedule'!$N$19&gt;0,MOD($A14-'Recurring Schedule'!$F$19,'Recurring Schedule'!$N$19)=0,IF('Recurring Schedule'!$O$19&gt;0,AND(DAY($A14)=MIN(DAY('Recurring Schedule'!$F$19),DAY(EOMONTH($A14,0))),MOD((YEAR($A14)-YEAR('Recurring Schedule'!$F$19))*12+MONTH($A14)-MONTH('Recurring Schedule'!$F$19),'Recurring Schedule'!$O$19)=0),IF('Recurring Schedule'!$E$19="Weekdays",WEEKDAY($A14,2)&lt;=5,$A14='Recurring Schedule'!$F$19))),14,""))))</f>
        <v/>
      </c>
      <c r="P14">
        <f>IF('Recurring Schedule'!$C$20="","",IF('Recurring Schedule'!$F$20="","",IF(OR($A14&lt;'Recurring Schedule'!$F$20,$A14&gt;'Recurring Schedule'!$P$20),"",IF(IF('Recurring Schedule'!$N$20&gt;0,MOD($A14-'Recurring Schedule'!$F$20,'Recurring Schedule'!$N$20)=0,IF('Recurring Schedule'!$O$20&gt;0,AND(DAY($A14)=MIN(DAY('Recurring Schedule'!$F$20),DAY(EOMONTH($A14,0))),MOD((YEAR($A14)-YEAR('Recurring Schedule'!$F$20))*12+MONTH($A14)-MONTH('Recurring Schedule'!$F$20),'Recurring Schedule'!$O$20)=0),IF('Recurring Schedule'!$E$20="Weekdays",WEEKDAY($A14,2)&lt;=5,$A14='Recurring Schedule'!$F$20))),15,""))))</f>
        <v/>
      </c>
      <c r="Q14">
        <f>IF('Recurring Schedule'!$C$21="","",IF('Recurring Schedule'!$F$21="","",IF(OR($A14&lt;'Recurring Schedule'!$F$21,$A14&gt;'Recurring Schedule'!$P$21),"",IF(IF('Recurring Schedule'!$N$21&gt;0,MOD($A14-'Recurring Schedule'!$F$21,'Recurring Schedule'!$N$21)=0,IF('Recurring Schedule'!$O$21&gt;0,AND(DAY($A14)=MIN(DAY('Recurring Schedule'!$F$21),DAY(EOMONTH($A14,0))),MOD((YEAR($A14)-YEAR('Recurring Schedule'!$F$21))*12+MONTH($A14)-MONTH('Recurring Schedule'!$F$21),'Recurring Schedule'!$O$21)=0),IF('Recurring Schedule'!$E$21="Weekdays",WEEKDAY($A14,2)&lt;=5,$A14='Recurring Schedule'!$F$21))),16,""))))</f>
        <v/>
      </c>
      <c r="R14">
        <f>IF('Recurring Schedule'!$C$22="","",IF('Recurring Schedule'!$F$22="","",IF(OR($A14&lt;'Recurring Schedule'!$F$22,$A14&gt;'Recurring Schedule'!$P$22),"",IF(IF('Recurring Schedule'!$N$22&gt;0,MOD($A14-'Recurring Schedule'!$F$22,'Recurring Schedule'!$N$22)=0,IF('Recurring Schedule'!$O$22&gt;0,AND(DAY($A14)=MIN(DAY('Recurring Schedule'!$F$22),DAY(EOMONTH($A14,0))),MOD((YEAR($A14)-YEAR('Recurring Schedule'!$F$22))*12+MONTH($A14)-MONTH('Recurring Schedule'!$F$22),'Recurring Schedule'!$O$22)=0),IF('Recurring Schedule'!$E$22="Weekdays",WEEKDAY($A14,2)&lt;=5,$A14='Recurring Schedule'!$F$22))),17,""))))</f>
        <v/>
      </c>
      <c r="S14">
        <f>IF('Recurring Schedule'!$C$23="","",IF('Recurring Schedule'!$F$23="","",IF(OR($A14&lt;'Recurring Schedule'!$F$23,$A14&gt;'Recurring Schedule'!$P$23),"",IF(IF('Recurring Schedule'!$N$23&gt;0,MOD($A14-'Recurring Schedule'!$F$23,'Recurring Schedule'!$N$23)=0,IF('Recurring Schedule'!$O$23&gt;0,AND(DAY($A14)=MIN(DAY('Recurring Schedule'!$F$23),DAY(EOMONTH($A14,0))),MOD((YEAR($A14)-YEAR('Recurring Schedule'!$F$23))*12+MONTH($A14)-MONTH('Recurring Schedule'!$F$23),'Recurring Schedule'!$O$23)=0),IF('Recurring Schedule'!$E$23="Weekdays",WEEKDAY($A14,2)&lt;=5,$A14='Recurring Schedule'!$F$23))),18,""))))</f>
        <v/>
      </c>
      <c r="T14">
        <f>IF('Recurring Schedule'!$C$24="","",IF('Recurring Schedule'!$F$24="","",IF(OR($A14&lt;'Recurring Schedule'!$F$24,$A14&gt;'Recurring Schedule'!$P$24),"",IF(IF('Recurring Schedule'!$N$24&gt;0,MOD($A14-'Recurring Schedule'!$F$24,'Recurring Schedule'!$N$24)=0,IF('Recurring Schedule'!$O$24&gt;0,AND(DAY($A14)=MIN(DAY('Recurring Schedule'!$F$24),DAY(EOMONTH($A14,0))),MOD((YEAR($A14)-YEAR('Recurring Schedule'!$F$24))*12+MONTH($A14)-MONTH('Recurring Schedule'!$F$24),'Recurring Schedule'!$O$24)=0),IF('Recurring Schedule'!$E$24="Weekdays",WEEKDAY($A14,2)&lt;=5,$A14='Recurring Schedule'!$F$24))),19,""))))</f>
        <v/>
      </c>
      <c r="U14">
        <f>IF('Recurring Schedule'!$C$25="","",IF('Recurring Schedule'!$F$25="","",IF(OR($A14&lt;'Recurring Schedule'!$F$25,$A14&gt;'Recurring Schedule'!$P$25),"",IF(IF('Recurring Schedule'!$N$25&gt;0,MOD($A14-'Recurring Schedule'!$F$25,'Recurring Schedule'!$N$25)=0,IF('Recurring Schedule'!$O$25&gt;0,AND(DAY($A14)=MIN(DAY('Recurring Schedule'!$F$25),DAY(EOMONTH($A14,0))),MOD((YEAR($A14)-YEAR('Recurring Schedule'!$F$25))*12+MONTH($A14)-MONTH('Recurring Schedule'!$F$25),'Recurring Schedule'!$O$25)=0),IF('Recurring Schedule'!$E$25="Weekdays",WEEKDAY($A14,2)&lt;=5,$A14='Recurring Schedule'!$F$25))),20,""))))</f>
        <v/>
      </c>
      <c r="V14">
        <f>IF('Recurring Schedule'!$C$26="","",IF('Recurring Schedule'!$F$26="","",IF(OR($A14&lt;'Recurring Schedule'!$F$26,$A14&gt;'Recurring Schedule'!$P$26),"",IF(IF('Recurring Schedule'!$N$26&gt;0,MOD($A14-'Recurring Schedule'!$F$26,'Recurring Schedule'!$N$26)=0,IF('Recurring Schedule'!$O$26&gt;0,AND(DAY($A14)=MIN(DAY('Recurring Schedule'!$F$26),DAY(EOMONTH($A14,0))),MOD((YEAR($A14)-YEAR('Recurring Schedule'!$F$26))*12+MONTH($A14)-MONTH('Recurring Schedule'!$F$26),'Recurring Schedule'!$O$26)=0),IF('Recurring Schedule'!$E$26="Weekdays",WEEKDAY($A14,2)&lt;=5,$A14='Recurring Schedule'!$F$26))),21,""))))</f>
        <v/>
      </c>
      <c r="W14">
        <f>IF('Recurring Schedule'!$C$27="","",IF('Recurring Schedule'!$F$27="","",IF(OR($A14&lt;'Recurring Schedule'!$F$27,$A14&gt;'Recurring Schedule'!$P$27),"",IF(IF('Recurring Schedule'!$N$27&gt;0,MOD($A14-'Recurring Schedule'!$F$27,'Recurring Schedule'!$N$27)=0,IF('Recurring Schedule'!$O$27&gt;0,AND(DAY($A14)=MIN(DAY('Recurring Schedule'!$F$27),DAY(EOMONTH($A14,0))),MOD((YEAR($A14)-YEAR('Recurring Schedule'!$F$27))*12+MONTH($A14)-MONTH('Recurring Schedule'!$F$27),'Recurring Schedule'!$O$27)=0),IF('Recurring Schedule'!$E$27="Weekdays",WEEKDAY($A14,2)&lt;=5,$A14='Recurring Schedule'!$F$27))),22,""))))</f>
        <v/>
      </c>
      <c r="X14">
        <f>IF('Recurring Schedule'!$C$28="","",IF('Recurring Schedule'!$F$28="","",IF(OR($A14&lt;'Recurring Schedule'!$F$28,$A14&gt;'Recurring Schedule'!$P$28),"",IF(IF('Recurring Schedule'!$N$28&gt;0,MOD($A14-'Recurring Schedule'!$F$28,'Recurring Schedule'!$N$28)=0,IF('Recurring Schedule'!$O$28&gt;0,AND(DAY($A14)=MIN(DAY('Recurring Schedule'!$F$28),DAY(EOMONTH($A14,0))),MOD((YEAR($A14)-YEAR('Recurring Schedule'!$F$28))*12+MONTH($A14)-MONTH('Recurring Schedule'!$F$28),'Recurring Schedule'!$O$28)=0),IF('Recurring Schedule'!$E$28="Weekdays",WEEKDAY($A14,2)&lt;=5,$A14='Recurring Schedule'!$F$28))),23,""))))</f>
        <v/>
      </c>
      <c r="Y14">
        <f>IF('Recurring Schedule'!$C$29="","",IF('Recurring Schedule'!$F$29="","",IF(OR($A14&lt;'Recurring Schedule'!$F$29,$A14&gt;'Recurring Schedule'!$P$29),"",IF(IF('Recurring Schedule'!$N$29&gt;0,MOD($A14-'Recurring Schedule'!$F$29,'Recurring Schedule'!$N$29)=0,IF('Recurring Schedule'!$O$29&gt;0,AND(DAY($A14)=MIN(DAY('Recurring Schedule'!$F$29),DAY(EOMONTH($A14,0))),MOD((YEAR($A14)-YEAR('Recurring Schedule'!$F$29))*12+MONTH($A14)-MONTH('Recurring Schedule'!$F$29),'Recurring Schedule'!$O$29)=0),IF('Recurring Schedule'!$E$29="Weekdays",WEEKDAY($A14,2)&lt;=5,$A14='Recurring Schedule'!$F$29))),24,""))))</f>
        <v/>
      </c>
      <c r="Z14">
        <f>IF('Recurring Schedule'!$C$30="","",IF('Recurring Schedule'!$F$30="","",IF(OR($A14&lt;'Recurring Schedule'!$F$30,$A14&gt;'Recurring Schedule'!$P$30),"",IF(IF('Recurring Schedule'!$N$30&gt;0,MOD($A14-'Recurring Schedule'!$F$30,'Recurring Schedule'!$N$30)=0,IF('Recurring Schedule'!$O$30&gt;0,AND(DAY($A14)=MIN(DAY('Recurring Schedule'!$F$30),DAY(EOMONTH($A14,0))),MOD((YEAR($A14)-YEAR('Recurring Schedule'!$F$30))*12+MONTH($A14)-MONTH('Recurring Schedule'!$F$30),'Recurring Schedule'!$O$30)=0),IF('Recurring Schedule'!$E$30="Weekdays",WEEKDAY($A14,2)&lt;=5,$A14='Recurring Schedule'!$F$30))),25,""))))</f>
        <v/>
      </c>
      <c r="AA14">
        <f>IF('Recurring Schedule'!$C$31="","",IF('Recurring Schedule'!$F$31="","",IF(OR($A14&lt;'Recurring Schedule'!$F$31,$A14&gt;'Recurring Schedule'!$P$31),"",IF(IF('Recurring Schedule'!$N$31&gt;0,MOD($A14-'Recurring Schedule'!$F$31,'Recurring Schedule'!$N$31)=0,IF('Recurring Schedule'!$O$31&gt;0,AND(DAY($A14)=MIN(DAY('Recurring Schedule'!$F$31),DAY(EOMONTH($A14,0))),MOD((YEAR($A14)-YEAR('Recurring Schedule'!$F$31))*12+MONTH($A14)-MONTH('Recurring Schedule'!$F$31),'Recurring Schedule'!$O$31)=0),IF('Recurring Schedule'!$E$31="Weekdays",WEEKDAY($A14,2)&lt;=5,$A14='Recurring Schedule'!$F$31))),26,""))))</f>
        <v/>
      </c>
      <c r="AB14">
        <f>IF('Recurring Schedule'!$C$32="","",IF('Recurring Schedule'!$F$32="","",IF(OR($A14&lt;'Recurring Schedule'!$F$32,$A14&gt;'Recurring Schedule'!$P$32),"",IF(IF('Recurring Schedule'!$N$32&gt;0,MOD($A14-'Recurring Schedule'!$F$32,'Recurring Schedule'!$N$32)=0,IF('Recurring Schedule'!$O$32&gt;0,AND(DAY($A14)=MIN(DAY('Recurring Schedule'!$F$32),DAY(EOMONTH($A14,0))),MOD((YEAR($A14)-YEAR('Recurring Schedule'!$F$32))*12+MONTH($A14)-MONTH('Recurring Schedule'!$F$32),'Recurring Schedule'!$O$32)=0),IF('Recurring Schedule'!$E$32="Weekdays",WEEKDAY($A14,2)&lt;=5,$A14='Recurring Schedule'!$F$32))),27,""))))</f>
        <v/>
      </c>
      <c r="AC14">
        <f>IF('Recurring Schedule'!$C$33="","",IF('Recurring Schedule'!$F$33="","",IF(OR($A14&lt;'Recurring Schedule'!$F$33,$A14&gt;'Recurring Schedule'!$P$33),"",IF(IF('Recurring Schedule'!$N$33&gt;0,MOD($A14-'Recurring Schedule'!$F$33,'Recurring Schedule'!$N$33)=0,IF('Recurring Schedule'!$O$33&gt;0,AND(DAY($A14)=MIN(DAY('Recurring Schedule'!$F$33),DAY(EOMONTH($A14,0))),MOD((YEAR($A14)-YEAR('Recurring Schedule'!$F$33))*12+MONTH($A14)-MONTH('Recurring Schedule'!$F$33),'Recurring Schedule'!$O$33)=0),IF('Recurring Schedule'!$E$33="Weekdays",WEEKDAY($A14,2)&lt;=5,$A14='Recurring Schedule'!$F$33))),28,""))))</f>
        <v/>
      </c>
      <c r="AD14">
        <f>IF('Recurring Schedule'!$C$34="","",IF('Recurring Schedule'!$F$34="","",IF(OR($A14&lt;'Recurring Schedule'!$F$34,$A14&gt;'Recurring Schedule'!$P$34),"",IF(IF('Recurring Schedule'!$N$34&gt;0,MOD($A14-'Recurring Schedule'!$F$34,'Recurring Schedule'!$N$34)=0,IF('Recurring Schedule'!$O$34&gt;0,AND(DAY($A14)=MIN(DAY('Recurring Schedule'!$F$34),DAY(EOMONTH($A14,0))),MOD((YEAR($A14)-YEAR('Recurring Schedule'!$F$34))*12+MONTH($A14)-MONTH('Recurring Schedule'!$F$34),'Recurring Schedule'!$O$34)=0),IF('Recurring Schedule'!$E$34="Weekdays",WEEKDAY($A14,2)&lt;=5,$A14='Recurring Schedule'!$F$34))),29,""))))</f>
        <v/>
      </c>
      <c r="AE14">
        <f>IF('Recurring Schedule'!$C$35="","",IF('Recurring Schedule'!$F$35="","",IF(OR($A14&lt;'Recurring Schedule'!$F$35,$A14&gt;'Recurring Schedule'!$P$35),"",IF(IF('Recurring Schedule'!$N$35&gt;0,MOD($A14-'Recurring Schedule'!$F$35,'Recurring Schedule'!$N$35)=0,IF('Recurring Schedule'!$O$35&gt;0,AND(DAY($A14)=MIN(DAY('Recurring Schedule'!$F$35),DAY(EOMONTH($A14,0))),MOD((YEAR($A14)-YEAR('Recurring Schedule'!$F$35))*12+MONTH($A14)-MONTH('Recurring Schedule'!$F$35),'Recurring Schedule'!$O$35)=0),IF('Recurring Schedule'!$E$35="Weekdays",WEEKDAY($A14,2)&lt;=5,$A14='Recurring Schedule'!$F$35))),30,""))))</f>
        <v/>
      </c>
      <c r="AF14">
        <f>IF('Recurring Schedule'!$C$36="","",IF('Recurring Schedule'!$F$36="","",IF(OR($A14&lt;'Recurring Schedule'!$F$36,$A14&gt;'Recurring Schedule'!$P$36),"",IF(IF('Recurring Schedule'!$N$36&gt;0,MOD($A14-'Recurring Schedule'!$F$36,'Recurring Schedule'!$N$36)=0,IF('Recurring Schedule'!$O$36&gt;0,AND(DAY($A14)=MIN(DAY('Recurring Schedule'!$F$36),DAY(EOMONTH($A14,0))),MOD((YEAR($A14)-YEAR('Recurring Schedule'!$F$36))*12+MONTH($A14)-MONTH('Recurring Schedule'!$F$36),'Recurring Schedule'!$O$36)=0),IF('Recurring Schedule'!$E$36="Weekdays",WEEKDAY($A14,2)&lt;=5,$A14='Recurring Schedule'!$F$36))),31,""))))</f>
        <v/>
      </c>
      <c r="AG14">
        <f>IF('Recurring Schedule'!$C$37="","",IF('Recurring Schedule'!$F$37="","",IF(OR($A14&lt;'Recurring Schedule'!$F$37,$A14&gt;'Recurring Schedule'!$P$37),"",IF(IF('Recurring Schedule'!$N$37&gt;0,MOD($A14-'Recurring Schedule'!$F$37,'Recurring Schedule'!$N$37)=0,IF('Recurring Schedule'!$O$37&gt;0,AND(DAY($A14)=MIN(DAY('Recurring Schedule'!$F$37),DAY(EOMONTH($A14,0))),MOD((YEAR($A14)-YEAR('Recurring Schedule'!$F$37))*12+MONTH($A14)-MONTH('Recurring Schedule'!$F$37),'Recurring Schedule'!$O$37)=0),IF('Recurring Schedule'!$E$37="Weekdays",WEEKDAY($A14,2)&lt;=5,$A14='Recurring Schedule'!$F$37))),32,""))))</f>
        <v/>
      </c>
      <c r="AH14">
        <f>IF('Recurring Schedule'!$C$38="","",IF('Recurring Schedule'!$F$38="","",IF(OR($A14&lt;'Recurring Schedule'!$F$38,$A14&gt;'Recurring Schedule'!$P$38),"",IF(IF('Recurring Schedule'!$N$38&gt;0,MOD($A14-'Recurring Schedule'!$F$38,'Recurring Schedule'!$N$38)=0,IF('Recurring Schedule'!$O$38&gt;0,AND(DAY($A14)=MIN(DAY('Recurring Schedule'!$F$38),DAY(EOMONTH($A14,0))),MOD((YEAR($A14)-YEAR('Recurring Schedule'!$F$38))*12+MONTH($A14)-MONTH('Recurring Schedule'!$F$38),'Recurring Schedule'!$O$38)=0),IF('Recurring Schedule'!$E$38="Weekdays",WEEKDAY($A14,2)&lt;=5,$A14='Recurring Schedule'!$F$38))),33,""))))</f>
        <v/>
      </c>
      <c r="AI14">
        <f>IF('Recurring Schedule'!$C$39="","",IF('Recurring Schedule'!$F$39="","",IF(OR($A14&lt;'Recurring Schedule'!$F$39,$A14&gt;'Recurring Schedule'!$P$39),"",IF(IF('Recurring Schedule'!$N$39&gt;0,MOD($A14-'Recurring Schedule'!$F$39,'Recurring Schedule'!$N$39)=0,IF('Recurring Schedule'!$O$39&gt;0,AND(DAY($A14)=MIN(DAY('Recurring Schedule'!$F$39),DAY(EOMONTH($A14,0))),MOD((YEAR($A14)-YEAR('Recurring Schedule'!$F$39))*12+MONTH($A14)-MONTH('Recurring Schedule'!$F$39),'Recurring Schedule'!$O$39)=0),IF('Recurring Schedule'!$E$39="Weekdays",WEEKDAY($A14,2)&lt;=5,$A14='Recurring Schedule'!$F$39))),34,""))))</f>
        <v/>
      </c>
      <c r="AJ14">
        <f>IF('Recurring Schedule'!$C$40="","",IF('Recurring Schedule'!$F$40="","",IF(OR($A14&lt;'Recurring Schedule'!$F$40,$A14&gt;'Recurring Schedule'!$P$40),"",IF(IF('Recurring Schedule'!$N$40&gt;0,MOD($A14-'Recurring Schedule'!$F$40,'Recurring Schedule'!$N$40)=0,IF('Recurring Schedule'!$O$40&gt;0,AND(DAY($A14)=MIN(DAY('Recurring Schedule'!$F$40),DAY(EOMONTH($A14,0))),MOD((YEAR($A14)-YEAR('Recurring Schedule'!$F$40))*12+MONTH($A14)-MONTH('Recurring Schedule'!$F$40),'Recurring Schedule'!$O$40)=0),IF('Recurring Schedule'!$E$40="Weekdays",WEEKDAY($A14,2)&lt;=5,$A14='Recurring Schedule'!$F$40))),35,""))))</f>
        <v/>
      </c>
      <c r="AK14">
        <f>IF('Recurring Schedule'!$C$41="","",IF('Recurring Schedule'!$F$41="","",IF(OR($A14&lt;'Recurring Schedule'!$F$41,$A14&gt;'Recurring Schedule'!$P$41),"",IF(IF('Recurring Schedule'!$N$41&gt;0,MOD($A14-'Recurring Schedule'!$F$41,'Recurring Schedule'!$N$41)=0,IF('Recurring Schedule'!$O$41&gt;0,AND(DAY($A14)=MIN(DAY('Recurring Schedule'!$F$41),DAY(EOMONTH($A14,0))),MOD((YEAR($A14)-YEAR('Recurring Schedule'!$F$41))*12+MONTH($A14)-MONTH('Recurring Schedule'!$F$41),'Recurring Schedule'!$O$41)=0),IF('Recurring Schedule'!$E$41="Weekdays",WEEKDAY($A14,2)&lt;=5,$A14='Recurring Schedule'!$F$41))),36,""))))</f>
        <v/>
      </c>
      <c r="AL14">
        <f>IF('Recurring Schedule'!$C$42="","",IF('Recurring Schedule'!$F$42="","",IF(OR($A14&lt;'Recurring Schedule'!$F$42,$A14&gt;'Recurring Schedule'!$P$42),"",IF(IF('Recurring Schedule'!$N$42&gt;0,MOD($A14-'Recurring Schedule'!$F$42,'Recurring Schedule'!$N$42)=0,IF('Recurring Schedule'!$O$42&gt;0,AND(DAY($A14)=MIN(DAY('Recurring Schedule'!$F$42),DAY(EOMONTH($A14,0))),MOD((YEAR($A14)-YEAR('Recurring Schedule'!$F$42))*12+MONTH($A14)-MONTH('Recurring Schedule'!$F$42),'Recurring Schedule'!$O$42)=0),IF('Recurring Schedule'!$E$42="Weekdays",WEEKDAY($A14,2)&lt;=5,$A14='Recurring Schedule'!$F$42))),37,""))))</f>
        <v/>
      </c>
      <c r="AM14">
        <f>IF('Recurring Schedule'!$C$43="","",IF('Recurring Schedule'!$F$43="","",IF(OR($A14&lt;'Recurring Schedule'!$F$43,$A14&gt;'Recurring Schedule'!$P$43),"",IF(IF('Recurring Schedule'!$N$43&gt;0,MOD($A14-'Recurring Schedule'!$F$43,'Recurring Schedule'!$N$43)=0,IF('Recurring Schedule'!$O$43&gt;0,AND(DAY($A14)=MIN(DAY('Recurring Schedule'!$F$43),DAY(EOMONTH($A14,0))),MOD((YEAR($A14)-YEAR('Recurring Schedule'!$F$43))*12+MONTH($A14)-MONTH('Recurring Schedule'!$F$43),'Recurring Schedule'!$O$43)=0),IF('Recurring Schedule'!$E$43="Weekdays",WEEKDAY($A14,2)&lt;=5,$A14='Recurring Schedule'!$F$43))),38,""))))</f>
        <v/>
      </c>
      <c r="AN14">
        <f>IF('Recurring Schedule'!$C$44="","",IF('Recurring Schedule'!$F$44="","",IF(OR($A14&lt;'Recurring Schedule'!$F$44,$A14&gt;'Recurring Schedule'!$P$44),"",IF(IF('Recurring Schedule'!$N$44&gt;0,MOD($A14-'Recurring Schedule'!$F$44,'Recurring Schedule'!$N$44)=0,IF('Recurring Schedule'!$O$44&gt;0,AND(DAY($A14)=MIN(DAY('Recurring Schedule'!$F$44),DAY(EOMONTH($A14,0))),MOD((YEAR($A14)-YEAR('Recurring Schedule'!$F$44))*12+MONTH($A14)-MONTH('Recurring Schedule'!$F$44),'Recurring Schedule'!$O$44)=0),IF('Recurring Schedule'!$E$44="Weekdays",WEEKDAY($A14,2)&lt;=5,$A14='Recurring Schedule'!$F$44))),39,""))))</f>
        <v/>
      </c>
      <c r="AO14">
        <f>IF('Recurring Schedule'!$C$45="","",IF('Recurring Schedule'!$F$45="","",IF(OR($A14&lt;'Recurring Schedule'!$F$45,$A14&gt;'Recurring Schedule'!$P$45),"",IF(IF('Recurring Schedule'!$N$45&gt;0,MOD($A14-'Recurring Schedule'!$F$45,'Recurring Schedule'!$N$45)=0,IF('Recurring Schedule'!$O$45&gt;0,AND(DAY($A14)=MIN(DAY('Recurring Schedule'!$F$45),DAY(EOMONTH($A14,0))),MOD((YEAR($A14)-YEAR('Recurring Schedule'!$F$45))*12+MONTH($A14)-MONTH('Recurring Schedule'!$F$45),'Recurring Schedule'!$O$45)=0),IF('Recurring Schedule'!$E$45="Weekdays",WEEKDAY($A14,2)&lt;=5,$A14='Recurring Schedule'!$F$45))),40,""))))</f>
        <v/>
      </c>
      <c r="AP14">
        <f>COUNT(B14:AO14)</f>
        <v/>
      </c>
      <c r="AQ14">
        <f>AQ13+AP13</f>
        <v/>
      </c>
      <c r="AS14" t="inlineStr">
        <is>
          <t>R</t>
        </is>
      </c>
      <c r="AT14" t="n">
        <v>18</v>
      </c>
      <c r="AU14">
        <f>'Recurring Log'!C18&amp;""</f>
        <v/>
      </c>
      <c r="AV14">
        <f>'Recurring Log'!D18&amp;""</f>
        <v/>
      </c>
      <c r="AW14">
        <f>IF('Recurring Log'!E18="","",'Recurring Log'!E18)</f>
        <v/>
      </c>
      <c r="AX14">
        <f>IF('Recurring Log'!G18="","",'Recurring Log'!G18)</f>
        <v/>
      </c>
      <c r="AY14">
        <f>IF('Recurring Log'!H18="","",'Recurring Log'!H18)</f>
        <v/>
      </c>
      <c r="AZ14">
        <f>IF(AU14="","",IF('Recurring Log'!J18="","Not Started",'Recurring Log'!J18))</f>
        <v/>
      </c>
      <c r="BA14">
        <f>'Recurring Log'!L18&amp;""</f>
        <v/>
      </c>
      <c r="BB14">
        <f>'Recurring Log'!M18&amp;""</f>
        <v/>
      </c>
      <c r="BC14">
        <f>'Recurring Log'!N18&amp;""</f>
        <v/>
      </c>
      <c r="BD14">
        <f>'Recurring Log'!O18&amp;""</f>
        <v/>
      </c>
      <c r="BE14">
        <f>IF('Recurring Log'!K18="","",'Recurring Log'!K18)</f>
        <v/>
      </c>
      <c r="BF14">
        <f>IFERROR(MATCH(BA14,Setup!$L$6:$L$9,0),5)</f>
        <v/>
      </c>
      <c r="BG14">
        <f>IF(OR(AZ14="Done",AZ14="Cancelled"),1,0)</f>
        <v/>
      </c>
      <c r="BH14">
        <f>IF(AND(AU14&lt;&gt;"",ISNUMBER(AW14)),1,0)</f>
        <v/>
      </c>
      <c r="BI14">
        <f>IF(BH14=0,0,IF(AND(AW14&gt;='Tasks Filter'!$F$3,AW14&lt;='Tasks Filter'!$F$4,OR('Tasks Filter'!$I$3="",ISNUMBER(SEARCH('Tasks Filter'!$I$3,AU14))),OR('Tasks Filter'!$I$4="",BF14=IFERROR(MATCH('Tasks Filter'!$I$4,Setup!$L$6:$L$9,0),0)),OR('Tasks Filter'!$I$5="Both",AND('Tasks Filter'!$I$5="Yes",BB14="✓"),AND('Tasks Filter'!$I$5="No",BB14&lt;&gt;"✓")),OR('Tasks Filter'!$L$3="",AV14='Tasks Filter'!$L$3),OR('Tasks Filter'!$L$4="",AZ14='Tasks Filter'!$L$4),OR('Tasks Filter'!$L$5="",BC14='Tasks Filter'!$L$5),OR('Tasks Filter'!$O$3="",BD14='Tasks Filter'!$O$3),OR('Tasks Filter'!$O$4="Yes",BG14=0)),1,0))</f>
        <v/>
      </c>
      <c r="BJ14">
        <f>IF(BH14=0,"",IF('Tasks Filter'!$F$6="Descending",-1,1)*CHOOSE(MATCH('Tasks Filter'!$F$5,Lists!$G$2:$G$6,0),AW14,BF14,IFERROR(MATCH(AV14,Setup!$F$6:$F$15,0),99),IFERROR(MATCH(BC14,Setup!$H$6:$H$15,0),99),IFERROR(MATCH(AZ14,Setup!$J$6:$J$11,0),99))*1E+9+(AW14-40000)*10000+13)</f>
        <v/>
      </c>
      <c r="BK14">
        <f>IF(BI14=1,BJ14,"")</f>
        <v/>
      </c>
      <c r="BL14">
        <f>IF(AND(BH14=1,BG14=0,N(AW14)&lt;Setup!$D$7),(AW14-40000)*10000+13,"")</f>
        <v/>
      </c>
      <c r="BM14">
        <f>IF(AND(BH14=1,AZ14&lt;&gt;"Cancelled",N(AW14)&gt;=Dashboard!$AB$3,N(AW14)&lt;=Dashboard!$AB$3+6),(AW14-40000)*100000+BF14*10000+13,"")</f>
        <v/>
      </c>
      <c r="BN14">
        <f>IF(AND(BH14=1,AZ14&lt;&gt;"Cancelled"),BF14*10000+13,"")</f>
        <v/>
      </c>
    </row>
    <row r="15">
      <c r="A15">
        <f>Setup!$D$5+13</f>
        <v/>
      </c>
      <c r="B15">
        <f>IF('Recurring Schedule'!$C$6="","",IF('Recurring Schedule'!$F$6="","",IF(OR($A15&lt;'Recurring Schedule'!$F$6,$A15&gt;'Recurring Schedule'!$P$6),"",IF(IF('Recurring Schedule'!$N$6&gt;0,MOD($A15-'Recurring Schedule'!$F$6,'Recurring Schedule'!$N$6)=0,IF('Recurring Schedule'!$O$6&gt;0,AND(DAY($A15)=MIN(DAY('Recurring Schedule'!$F$6),DAY(EOMONTH($A15,0))),MOD((YEAR($A15)-YEAR('Recurring Schedule'!$F$6))*12+MONTH($A15)-MONTH('Recurring Schedule'!$F$6),'Recurring Schedule'!$O$6)=0),IF('Recurring Schedule'!$E$6="Weekdays",WEEKDAY($A15,2)&lt;=5,$A15='Recurring Schedule'!$F$6))),1,""))))</f>
        <v/>
      </c>
      <c r="C15">
        <f>IF('Recurring Schedule'!$C$7="","",IF('Recurring Schedule'!$F$7="","",IF(OR($A15&lt;'Recurring Schedule'!$F$7,$A15&gt;'Recurring Schedule'!$P$7),"",IF(IF('Recurring Schedule'!$N$7&gt;0,MOD($A15-'Recurring Schedule'!$F$7,'Recurring Schedule'!$N$7)=0,IF('Recurring Schedule'!$O$7&gt;0,AND(DAY($A15)=MIN(DAY('Recurring Schedule'!$F$7),DAY(EOMONTH($A15,0))),MOD((YEAR($A15)-YEAR('Recurring Schedule'!$F$7))*12+MONTH($A15)-MONTH('Recurring Schedule'!$F$7),'Recurring Schedule'!$O$7)=0),IF('Recurring Schedule'!$E$7="Weekdays",WEEKDAY($A15,2)&lt;=5,$A15='Recurring Schedule'!$F$7))),2,""))))</f>
        <v/>
      </c>
      <c r="D15">
        <f>IF('Recurring Schedule'!$C$8="","",IF('Recurring Schedule'!$F$8="","",IF(OR($A15&lt;'Recurring Schedule'!$F$8,$A15&gt;'Recurring Schedule'!$P$8),"",IF(IF('Recurring Schedule'!$N$8&gt;0,MOD($A15-'Recurring Schedule'!$F$8,'Recurring Schedule'!$N$8)=0,IF('Recurring Schedule'!$O$8&gt;0,AND(DAY($A15)=MIN(DAY('Recurring Schedule'!$F$8),DAY(EOMONTH($A15,0))),MOD((YEAR($A15)-YEAR('Recurring Schedule'!$F$8))*12+MONTH($A15)-MONTH('Recurring Schedule'!$F$8),'Recurring Schedule'!$O$8)=0),IF('Recurring Schedule'!$E$8="Weekdays",WEEKDAY($A15,2)&lt;=5,$A15='Recurring Schedule'!$F$8))),3,""))))</f>
        <v/>
      </c>
      <c r="E15">
        <f>IF('Recurring Schedule'!$C$9="","",IF('Recurring Schedule'!$F$9="","",IF(OR($A15&lt;'Recurring Schedule'!$F$9,$A15&gt;'Recurring Schedule'!$P$9),"",IF(IF('Recurring Schedule'!$N$9&gt;0,MOD($A15-'Recurring Schedule'!$F$9,'Recurring Schedule'!$N$9)=0,IF('Recurring Schedule'!$O$9&gt;0,AND(DAY($A15)=MIN(DAY('Recurring Schedule'!$F$9),DAY(EOMONTH($A15,0))),MOD((YEAR($A15)-YEAR('Recurring Schedule'!$F$9))*12+MONTH($A15)-MONTH('Recurring Schedule'!$F$9),'Recurring Schedule'!$O$9)=0),IF('Recurring Schedule'!$E$9="Weekdays",WEEKDAY($A15,2)&lt;=5,$A15='Recurring Schedule'!$F$9))),4,""))))</f>
        <v/>
      </c>
      <c r="F15">
        <f>IF('Recurring Schedule'!$C$10="","",IF('Recurring Schedule'!$F$10="","",IF(OR($A15&lt;'Recurring Schedule'!$F$10,$A15&gt;'Recurring Schedule'!$P$10),"",IF(IF('Recurring Schedule'!$N$10&gt;0,MOD($A15-'Recurring Schedule'!$F$10,'Recurring Schedule'!$N$10)=0,IF('Recurring Schedule'!$O$10&gt;0,AND(DAY($A15)=MIN(DAY('Recurring Schedule'!$F$10),DAY(EOMONTH($A15,0))),MOD((YEAR($A15)-YEAR('Recurring Schedule'!$F$10))*12+MONTH($A15)-MONTH('Recurring Schedule'!$F$10),'Recurring Schedule'!$O$10)=0),IF('Recurring Schedule'!$E$10="Weekdays",WEEKDAY($A15,2)&lt;=5,$A15='Recurring Schedule'!$F$10))),5,""))))</f>
        <v/>
      </c>
      <c r="G15">
        <f>IF('Recurring Schedule'!$C$11="","",IF('Recurring Schedule'!$F$11="","",IF(OR($A15&lt;'Recurring Schedule'!$F$11,$A15&gt;'Recurring Schedule'!$P$11),"",IF(IF('Recurring Schedule'!$N$11&gt;0,MOD($A15-'Recurring Schedule'!$F$11,'Recurring Schedule'!$N$11)=0,IF('Recurring Schedule'!$O$11&gt;0,AND(DAY($A15)=MIN(DAY('Recurring Schedule'!$F$11),DAY(EOMONTH($A15,0))),MOD((YEAR($A15)-YEAR('Recurring Schedule'!$F$11))*12+MONTH($A15)-MONTH('Recurring Schedule'!$F$11),'Recurring Schedule'!$O$11)=0),IF('Recurring Schedule'!$E$11="Weekdays",WEEKDAY($A15,2)&lt;=5,$A15='Recurring Schedule'!$F$11))),6,""))))</f>
        <v/>
      </c>
      <c r="H15">
        <f>IF('Recurring Schedule'!$C$12="","",IF('Recurring Schedule'!$F$12="","",IF(OR($A15&lt;'Recurring Schedule'!$F$12,$A15&gt;'Recurring Schedule'!$P$12),"",IF(IF('Recurring Schedule'!$N$12&gt;0,MOD($A15-'Recurring Schedule'!$F$12,'Recurring Schedule'!$N$12)=0,IF('Recurring Schedule'!$O$12&gt;0,AND(DAY($A15)=MIN(DAY('Recurring Schedule'!$F$12),DAY(EOMONTH($A15,0))),MOD((YEAR($A15)-YEAR('Recurring Schedule'!$F$12))*12+MONTH($A15)-MONTH('Recurring Schedule'!$F$12),'Recurring Schedule'!$O$12)=0),IF('Recurring Schedule'!$E$12="Weekdays",WEEKDAY($A15,2)&lt;=5,$A15='Recurring Schedule'!$F$12))),7,""))))</f>
        <v/>
      </c>
      <c r="I15">
        <f>IF('Recurring Schedule'!$C$13="","",IF('Recurring Schedule'!$F$13="","",IF(OR($A15&lt;'Recurring Schedule'!$F$13,$A15&gt;'Recurring Schedule'!$P$13),"",IF(IF('Recurring Schedule'!$N$13&gt;0,MOD($A15-'Recurring Schedule'!$F$13,'Recurring Schedule'!$N$13)=0,IF('Recurring Schedule'!$O$13&gt;0,AND(DAY($A15)=MIN(DAY('Recurring Schedule'!$F$13),DAY(EOMONTH($A15,0))),MOD((YEAR($A15)-YEAR('Recurring Schedule'!$F$13))*12+MONTH($A15)-MONTH('Recurring Schedule'!$F$13),'Recurring Schedule'!$O$13)=0),IF('Recurring Schedule'!$E$13="Weekdays",WEEKDAY($A15,2)&lt;=5,$A15='Recurring Schedule'!$F$13))),8,""))))</f>
        <v/>
      </c>
      <c r="J15">
        <f>IF('Recurring Schedule'!$C$14="","",IF('Recurring Schedule'!$F$14="","",IF(OR($A15&lt;'Recurring Schedule'!$F$14,$A15&gt;'Recurring Schedule'!$P$14),"",IF(IF('Recurring Schedule'!$N$14&gt;0,MOD($A15-'Recurring Schedule'!$F$14,'Recurring Schedule'!$N$14)=0,IF('Recurring Schedule'!$O$14&gt;0,AND(DAY($A15)=MIN(DAY('Recurring Schedule'!$F$14),DAY(EOMONTH($A15,0))),MOD((YEAR($A15)-YEAR('Recurring Schedule'!$F$14))*12+MONTH($A15)-MONTH('Recurring Schedule'!$F$14),'Recurring Schedule'!$O$14)=0),IF('Recurring Schedule'!$E$14="Weekdays",WEEKDAY($A15,2)&lt;=5,$A15='Recurring Schedule'!$F$14))),9,""))))</f>
        <v/>
      </c>
      <c r="K15">
        <f>IF('Recurring Schedule'!$C$15="","",IF('Recurring Schedule'!$F$15="","",IF(OR($A15&lt;'Recurring Schedule'!$F$15,$A15&gt;'Recurring Schedule'!$P$15),"",IF(IF('Recurring Schedule'!$N$15&gt;0,MOD($A15-'Recurring Schedule'!$F$15,'Recurring Schedule'!$N$15)=0,IF('Recurring Schedule'!$O$15&gt;0,AND(DAY($A15)=MIN(DAY('Recurring Schedule'!$F$15),DAY(EOMONTH($A15,0))),MOD((YEAR($A15)-YEAR('Recurring Schedule'!$F$15))*12+MONTH($A15)-MONTH('Recurring Schedule'!$F$15),'Recurring Schedule'!$O$15)=0),IF('Recurring Schedule'!$E$15="Weekdays",WEEKDAY($A15,2)&lt;=5,$A15='Recurring Schedule'!$F$15))),10,""))))</f>
        <v/>
      </c>
      <c r="L15">
        <f>IF('Recurring Schedule'!$C$16="","",IF('Recurring Schedule'!$F$16="","",IF(OR($A15&lt;'Recurring Schedule'!$F$16,$A15&gt;'Recurring Schedule'!$P$16),"",IF(IF('Recurring Schedule'!$N$16&gt;0,MOD($A15-'Recurring Schedule'!$F$16,'Recurring Schedule'!$N$16)=0,IF('Recurring Schedule'!$O$16&gt;0,AND(DAY($A15)=MIN(DAY('Recurring Schedule'!$F$16),DAY(EOMONTH($A15,0))),MOD((YEAR($A15)-YEAR('Recurring Schedule'!$F$16))*12+MONTH($A15)-MONTH('Recurring Schedule'!$F$16),'Recurring Schedule'!$O$16)=0),IF('Recurring Schedule'!$E$16="Weekdays",WEEKDAY($A15,2)&lt;=5,$A15='Recurring Schedule'!$F$16))),11,""))))</f>
        <v/>
      </c>
      <c r="M15">
        <f>IF('Recurring Schedule'!$C$17="","",IF('Recurring Schedule'!$F$17="","",IF(OR($A15&lt;'Recurring Schedule'!$F$17,$A15&gt;'Recurring Schedule'!$P$17),"",IF(IF('Recurring Schedule'!$N$17&gt;0,MOD($A15-'Recurring Schedule'!$F$17,'Recurring Schedule'!$N$17)=0,IF('Recurring Schedule'!$O$17&gt;0,AND(DAY($A15)=MIN(DAY('Recurring Schedule'!$F$17),DAY(EOMONTH($A15,0))),MOD((YEAR($A15)-YEAR('Recurring Schedule'!$F$17))*12+MONTH($A15)-MONTH('Recurring Schedule'!$F$17),'Recurring Schedule'!$O$17)=0),IF('Recurring Schedule'!$E$17="Weekdays",WEEKDAY($A15,2)&lt;=5,$A15='Recurring Schedule'!$F$17))),12,""))))</f>
        <v/>
      </c>
      <c r="N15">
        <f>IF('Recurring Schedule'!$C$18="","",IF('Recurring Schedule'!$F$18="","",IF(OR($A15&lt;'Recurring Schedule'!$F$18,$A15&gt;'Recurring Schedule'!$P$18),"",IF(IF('Recurring Schedule'!$N$18&gt;0,MOD($A15-'Recurring Schedule'!$F$18,'Recurring Schedule'!$N$18)=0,IF('Recurring Schedule'!$O$18&gt;0,AND(DAY($A15)=MIN(DAY('Recurring Schedule'!$F$18),DAY(EOMONTH($A15,0))),MOD((YEAR($A15)-YEAR('Recurring Schedule'!$F$18))*12+MONTH($A15)-MONTH('Recurring Schedule'!$F$18),'Recurring Schedule'!$O$18)=0),IF('Recurring Schedule'!$E$18="Weekdays",WEEKDAY($A15,2)&lt;=5,$A15='Recurring Schedule'!$F$18))),13,""))))</f>
        <v/>
      </c>
      <c r="O15">
        <f>IF('Recurring Schedule'!$C$19="","",IF('Recurring Schedule'!$F$19="","",IF(OR($A15&lt;'Recurring Schedule'!$F$19,$A15&gt;'Recurring Schedule'!$P$19),"",IF(IF('Recurring Schedule'!$N$19&gt;0,MOD($A15-'Recurring Schedule'!$F$19,'Recurring Schedule'!$N$19)=0,IF('Recurring Schedule'!$O$19&gt;0,AND(DAY($A15)=MIN(DAY('Recurring Schedule'!$F$19),DAY(EOMONTH($A15,0))),MOD((YEAR($A15)-YEAR('Recurring Schedule'!$F$19))*12+MONTH($A15)-MONTH('Recurring Schedule'!$F$19),'Recurring Schedule'!$O$19)=0),IF('Recurring Schedule'!$E$19="Weekdays",WEEKDAY($A15,2)&lt;=5,$A15='Recurring Schedule'!$F$19))),14,""))))</f>
        <v/>
      </c>
      <c r="P15">
        <f>IF('Recurring Schedule'!$C$20="","",IF('Recurring Schedule'!$F$20="","",IF(OR($A15&lt;'Recurring Schedule'!$F$20,$A15&gt;'Recurring Schedule'!$P$20),"",IF(IF('Recurring Schedule'!$N$20&gt;0,MOD($A15-'Recurring Schedule'!$F$20,'Recurring Schedule'!$N$20)=0,IF('Recurring Schedule'!$O$20&gt;0,AND(DAY($A15)=MIN(DAY('Recurring Schedule'!$F$20),DAY(EOMONTH($A15,0))),MOD((YEAR($A15)-YEAR('Recurring Schedule'!$F$20))*12+MONTH($A15)-MONTH('Recurring Schedule'!$F$20),'Recurring Schedule'!$O$20)=0),IF('Recurring Schedule'!$E$20="Weekdays",WEEKDAY($A15,2)&lt;=5,$A15='Recurring Schedule'!$F$20))),15,""))))</f>
        <v/>
      </c>
      <c r="Q15">
        <f>IF('Recurring Schedule'!$C$21="","",IF('Recurring Schedule'!$F$21="","",IF(OR($A15&lt;'Recurring Schedule'!$F$21,$A15&gt;'Recurring Schedule'!$P$21),"",IF(IF('Recurring Schedule'!$N$21&gt;0,MOD($A15-'Recurring Schedule'!$F$21,'Recurring Schedule'!$N$21)=0,IF('Recurring Schedule'!$O$21&gt;0,AND(DAY($A15)=MIN(DAY('Recurring Schedule'!$F$21),DAY(EOMONTH($A15,0))),MOD((YEAR($A15)-YEAR('Recurring Schedule'!$F$21))*12+MONTH($A15)-MONTH('Recurring Schedule'!$F$21),'Recurring Schedule'!$O$21)=0),IF('Recurring Schedule'!$E$21="Weekdays",WEEKDAY($A15,2)&lt;=5,$A15='Recurring Schedule'!$F$21))),16,""))))</f>
        <v/>
      </c>
      <c r="R15">
        <f>IF('Recurring Schedule'!$C$22="","",IF('Recurring Schedule'!$F$22="","",IF(OR($A15&lt;'Recurring Schedule'!$F$22,$A15&gt;'Recurring Schedule'!$P$22),"",IF(IF('Recurring Schedule'!$N$22&gt;0,MOD($A15-'Recurring Schedule'!$F$22,'Recurring Schedule'!$N$22)=0,IF('Recurring Schedule'!$O$22&gt;0,AND(DAY($A15)=MIN(DAY('Recurring Schedule'!$F$22),DAY(EOMONTH($A15,0))),MOD((YEAR($A15)-YEAR('Recurring Schedule'!$F$22))*12+MONTH($A15)-MONTH('Recurring Schedule'!$F$22),'Recurring Schedule'!$O$22)=0),IF('Recurring Schedule'!$E$22="Weekdays",WEEKDAY($A15,2)&lt;=5,$A15='Recurring Schedule'!$F$22))),17,""))))</f>
        <v/>
      </c>
      <c r="S15">
        <f>IF('Recurring Schedule'!$C$23="","",IF('Recurring Schedule'!$F$23="","",IF(OR($A15&lt;'Recurring Schedule'!$F$23,$A15&gt;'Recurring Schedule'!$P$23),"",IF(IF('Recurring Schedule'!$N$23&gt;0,MOD($A15-'Recurring Schedule'!$F$23,'Recurring Schedule'!$N$23)=0,IF('Recurring Schedule'!$O$23&gt;0,AND(DAY($A15)=MIN(DAY('Recurring Schedule'!$F$23),DAY(EOMONTH($A15,0))),MOD((YEAR($A15)-YEAR('Recurring Schedule'!$F$23))*12+MONTH($A15)-MONTH('Recurring Schedule'!$F$23),'Recurring Schedule'!$O$23)=0),IF('Recurring Schedule'!$E$23="Weekdays",WEEKDAY($A15,2)&lt;=5,$A15='Recurring Schedule'!$F$23))),18,""))))</f>
        <v/>
      </c>
      <c r="T15">
        <f>IF('Recurring Schedule'!$C$24="","",IF('Recurring Schedule'!$F$24="","",IF(OR($A15&lt;'Recurring Schedule'!$F$24,$A15&gt;'Recurring Schedule'!$P$24),"",IF(IF('Recurring Schedule'!$N$24&gt;0,MOD($A15-'Recurring Schedule'!$F$24,'Recurring Schedule'!$N$24)=0,IF('Recurring Schedule'!$O$24&gt;0,AND(DAY($A15)=MIN(DAY('Recurring Schedule'!$F$24),DAY(EOMONTH($A15,0))),MOD((YEAR($A15)-YEAR('Recurring Schedule'!$F$24))*12+MONTH($A15)-MONTH('Recurring Schedule'!$F$24),'Recurring Schedule'!$O$24)=0),IF('Recurring Schedule'!$E$24="Weekdays",WEEKDAY($A15,2)&lt;=5,$A15='Recurring Schedule'!$F$24))),19,""))))</f>
        <v/>
      </c>
      <c r="U15">
        <f>IF('Recurring Schedule'!$C$25="","",IF('Recurring Schedule'!$F$25="","",IF(OR($A15&lt;'Recurring Schedule'!$F$25,$A15&gt;'Recurring Schedule'!$P$25),"",IF(IF('Recurring Schedule'!$N$25&gt;0,MOD($A15-'Recurring Schedule'!$F$25,'Recurring Schedule'!$N$25)=0,IF('Recurring Schedule'!$O$25&gt;0,AND(DAY($A15)=MIN(DAY('Recurring Schedule'!$F$25),DAY(EOMONTH($A15,0))),MOD((YEAR($A15)-YEAR('Recurring Schedule'!$F$25))*12+MONTH($A15)-MONTH('Recurring Schedule'!$F$25),'Recurring Schedule'!$O$25)=0),IF('Recurring Schedule'!$E$25="Weekdays",WEEKDAY($A15,2)&lt;=5,$A15='Recurring Schedule'!$F$25))),20,""))))</f>
        <v/>
      </c>
      <c r="V15">
        <f>IF('Recurring Schedule'!$C$26="","",IF('Recurring Schedule'!$F$26="","",IF(OR($A15&lt;'Recurring Schedule'!$F$26,$A15&gt;'Recurring Schedule'!$P$26),"",IF(IF('Recurring Schedule'!$N$26&gt;0,MOD($A15-'Recurring Schedule'!$F$26,'Recurring Schedule'!$N$26)=0,IF('Recurring Schedule'!$O$26&gt;0,AND(DAY($A15)=MIN(DAY('Recurring Schedule'!$F$26),DAY(EOMONTH($A15,0))),MOD((YEAR($A15)-YEAR('Recurring Schedule'!$F$26))*12+MONTH($A15)-MONTH('Recurring Schedule'!$F$26),'Recurring Schedule'!$O$26)=0),IF('Recurring Schedule'!$E$26="Weekdays",WEEKDAY($A15,2)&lt;=5,$A15='Recurring Schedule'!$F$26))),21,""))))</f>
        <v/>
      </c>
      <c r="W15">
        <f>IF('Recurring Schedule'!$C$27="","",IF('Recurring Schedule'!$F$27="","",IF(OR($A15&lt;'Recurring Schedule'!$F$27,$A15&gt;'Recurring Schedule'!$P$27),"",IF(IF('Recurring Schedule'!$N$27&gt;0,MOD($A15-'Recurring Schedule'!$F$27,'Recurring Schedule'!$N$27)=0,IF('Recurring Schedule'!$O$27&gt;0,AND(DAY($A15)=MIN(DAY('Recurring Schedule'!$F$27),DAY(EOMONTH($A15,0))),MOD((YEAR($A15)-YEAR('Recurring Schedule'!$F$27))*12+MONTH($A15)-MONTH('Recurring Schedule'!$F$27),'Recurring Schedule'!$O$27)=0),IF('Recurring Schedule'!$E$27="Weekdays",WEEKDAY($A15,2)&lt;=5,$A15='Recurring Schedule'!$F$27))),22,""))))</f>
        <v/>
      </c>
      <c r="X15">
        <f>IF('Recurring Schedule'!$C$28="","",IF('Recurring Schedule'!$F$28="","",IF(OR($A15&lt;'Recurring Schedule'!$F$28,$A15&gt;'Recurring Schedule'!$P$28),"",IF(IF('Recurring Schedule'!$N$28&gt;0,MOD($A15-'Recurring Schedule'!$F$28,'Recurring Schedule'!$N$28)=0,IF('Recurring Schedule'!$O$28&gt;0,AND(DAY($A15)=MIN(DAY('Recurring Schedule'!$F$28),DAY(EOMONTH($A15,0))),MOD((YEAR($A15)-YEAR('Recurring Schedule'!$F$28))*12+MONTH($A15)-MONTH('Recurring Schedule'!$F$28),'Recurring Schedule'!$O$28)=0),IF('Recurring Schedule'!$E$28="Weekdays",WEEKDAY($A15,2)&lt;=5,$A15='Recurring Schedule'!$F$28))),23,""))))</f>
        <v/>
      </c>
      <c r="Y15">
        <f>IF('Recurring Schedule'!$C$29="","",IF('Recurring Schedule'!$F$29="","",IF(OR($A15&lt;'Recurring Schedule'!$F$29,$A15&gt;'Recurring Schedule'!$P$29),"",IF(IF('Recurring Schedule'!$N$29&gt;0,MOD($A15-'Recurring Schedule'!$F$29,'Recurring Schedule'!$N$29)=0,IF('Recurring Schedule'!$O$29&gt;0,AND(DAY($A15)=MIN(DAY('Recurring Schedule'!$F$29),DAY(EOMONTH($A15,0))),MOD((YEAR($A15)-YEAR('Recurring Schedule'!$F$29))*12+MONTH($A15)-MONTH('Recurring Schedule'!$F$29),'Recurring Schedule'!$O$29)=0),IF('Recurring Schedule'!$E$29="Weekdays",WEEKDAY($A15,2)&lt;=5,$A15='Recurring Schedule'!$F$29))),24,""))))</f>
        <v/>
      </c>
      <c r="Z15">
        <f>IF('Recurring Schedule'!$C$30="","",IF('Recurring Schedule'!$F$30="","",IF(OR($A15&lt;'Recurring Schedule'!$F$30,$A15&gt;'Recurring Schedule'!$P$30),"",IF(IF('Recurring Schedule'!$N$30&gt;0,MOD($A15-'Recurring Schedule'!$F$30,'Recurring Schedule'!$N$30)=0,IF('Recurring Schedule'!$O$30&gt;0,AND(DAY($A15)=MIN(DAY('Recurring Schedule'!$F$30),DAY(EOMONTH($A15,0))),MOD((YEAR($A15)-YEAR('Recurring Schedule'!$F$30))*12+MONTH($A15)-MONTH('Recurring Schedule'!$F$30),'Recurring Schedule'!$O$30)=0),IF('Recurring Schedule'!$E$30="Weekdays",WEEKDAY($A15,2)&lt;=5,$A15='Recurring Schedule'!$F$30))),25,""))))</f>
        <v/>
      </c>
      <c r="AA15">
        <f>IF('Recurring Schedule'!$C$31="","",IF('Recurring Schedule'!$F$31="","",IF(OR($A15&lt;'Recurring Schedule'!$F$31,$A15&gt;'Recurring Schedule'!$P$31),"",IF(IF('Recurring Schedule'!$N$31&gt;0,MOD($A15-'Recurring Schedule'!$F$31,'Recurring Schedule'!$N$31)=0,IF('Recurring Schedule'!$O$31&gt;0,AND(DAY($A15)=MIN(DAY('Recurring Schedule'!$F$31),DAY(EOMONTH($A15,0))),MOD((YEAR($A15)-YEAR('Recurring Schedule'!$F$31))*12+MONTH($A15)-MONTH('Recurring Schedule'!$F$31),'Recurring Schedule'!$O$31)=0),IF('Recurring Schedule'!$E$31="Weekdays",WEEKDAY($A15,2)&lt;=5,$A15='Recurring Schedule'!$F$31))),26,""))))</f>
        <v/>
      </c>
      <c r="AB15">
        <f>IF('Recurring Schedule'!$C$32="","",IF('Recurring Schedule'!$F$32="","",IF(OR($A15&lt;'Recurring Schedule'!$F$32,$A15&gt;'Recurring Schedule'!$P$32),"",IF(IF('Recurring Schedule'!$N$32&gt;0,MOD($A15-'Recurring Schedule'!$F$32,'Recurring Schedule'!$N$32)=0,IF('Recurring Schedule'!$O$32&gt;0,AND(DAY($A15)=MIN(DAY('Recurring Schedule'!$F$32),DAY(EOMONTH($A15,0))),MOD((YEAR($A15)-YEAR('Recurring Schedule'!$F$32))*12+MONTH($A15)-MONTH('Recurring Schedule'!$F$32),'Recurring Schedule'!$O$32)=0),IF('Recurring Schedule'!$E$32="Weekdays",WEEKDAY($A15,2)&lt;=5,$A15='Recurring Schedule'!$F$32))),27,""))))</f>
        <v/>
      </c>
      <c r="AC15">
        <f>IF('Recurring Schedule'!$C$33="","",IF('Recurring Schedule'!$F$33="","",IF(OR($A15&lt;'Recurring Schedule'!$F$33,$A15&gt;'Recurring Schedule'!$P$33),"",IF(IF('Recurring Schedule'!$N$33&gt;0,MOD($A15-'Recurring Schedule'!$F$33,'Recurring Schedule'!$N$33)=0,IF('Recurring Schedule'!$O$33&gt;0,AND(DAY($A15)=MIN(DAY('Recurring Schedule'!$F$33),DAY(EOMONTH($A15,0))),MOD((YEAR($A15)-YEAR('Recurring Schedule'!$F$33))*12+MONTH($A15)-MONTH('Recurring Schedule'!$F$33),'Recurring Schedule'!$O$33)=0),IF('Recurring Schedule'!$E$33="Weekdays",WEEKDAY($A15,2)&lt;=5,$A15='Recurring Schedule'!$F$33))),28,""))))</f>
        <v/>
      </c>
      <c r="AD15">
        <f>IF('Recurring Schedule'!$C$34="","",IF('Recurring Schedule'!$F$34="","",IF(OR($A15&lt;'Recurring Schedule'!$F$34,$A15&gt;'Recurring Schedule'!$P$34),"",IF(IF('Recurring Schedule'!$N$34&gt;0,MOD($A15-'Recurring Schedule'!$F$34,'Recurring Schedule'!$N$34)=0,IF('Recurring Schedule'!$O$34&gt;0,AND(DAY($A15)=MIN(DAY('Recurring Schedule'!$F$34),DAY(EOMONTH($A15,0))),MOD((YEAR($A15)-YEAR('Recurring Schedule'!$F$34))*12+MONTH($A15)-MONTH('Recurring Schedule'!$F$34),'Recurring Schedule'!$O$34)=0),IF('Recurring Schedule'!$E$34="Weekdays",WEEKDAY($A15,2)&lt;=5,$A15='Recurring Schedule'!$F$34))),29,""))))</f>
        <v/>
      </c>
      <c r="AE15">
        <f>IF('Recurring Schedule'!$C$35="","",IF('Recurring Schedule'!$F$35="","",IF(OR($A15&lt;'Recurring Schedule'!$F$35,$A15&gt;'Recurring Schedule'!$P$35),"",IF(IF('Recurring Schedule'!$N$35&gt;0,MOD($A15-'Recurring Schedule'!$F$35,'Recurring Schedule'!$N$35)=0,IF('Recurring Schedule'!$O$35&gt;0,AND(DAY($A15)=MIN(DAY('Recurring Schedule'!$F$35),DAY(EOMONTH($A15,0))),MOD((YEAR($A15)-YEAR('Recurring Schedule'!$F$35))*12+MONTH($A15)-MONTH('Recurring Schedule'!$F$35),'Recurring Schedule'!$O$35)=0),IF('Recurring Schedule'!$E$35="Weekdays",WEEKDAY($A15,2)&lt;=5,$A15='Recurring Schedule'!$F$35))),30,""))))</f>
        <v/>
      </c>
      <c r="AF15">
        <f>IF('Recurring Schedule'!$C$36="","",IF('Recurring Schedule'!$F$36="","",IF(OR($A15&lt;'Recurring Schedule'!$F$36,$A15&gt;'Recurring Schedule'!$P$36),"",IF(IF('Recurring Schedule'!$N$36&gt;0,MOD($A15-'Recurring Schedule'!$F$36,'Recurring Schedule'!$N$36)=0,IF('Recurring Schedule'!$O$36&gt;0,AND(DAY($A15)=MIN(DAY('Recurring Schedule'!$F$36),DAY(EOMONTH($A15,0))),MOD((YEAR($A15)-YEAR('Recurring Schedule'!$F$36))*12+MONTH($A15)-MONTH('Recurring Schedule'!$F$36),'Recurring Schedule'!$O$36)=0),IF('Recurring Schedule'!$E$36="Weekdays",WEEKDAY($A15,2)&lt;=5,$A15='Recurring Schedule'!$F$36))),31,""))))</f>
        <v/>
      </c>
      <c r="AG15">
        <f>IF('Recurring Schedule'!$C$37="","",IF('Recurring Schedule'!$F$37="","",IF(OR($A15&lt;'Recurring Schedule'!$F$37,$A15&gt;'Recurring Schedule'!$P$37),"",IF(IF('Recurring Schedule'!$N$37&gt;0,MOD($A15-'Recurring Schedule'!$F$37,'Recurring Schedule'!$N$37)=0,IF('Recurring Schedule'!$O$37&gt;0,AND(DAY($A15)=MIN(DAY('Recurring Schedule'!$F$37),DAY(EOMONTH($A15,0))),MOD((YEAR($A15)-YEAR('Recurring Schedule'!$F$37))*12+MONTH($A15)-MONTH('Recurring Schedule'!$F$37),'Recurring Schedule'!$O$37)=0),IF('Recurring Schedule'!$E$37="Weekdays",WEEKDAY($A15,2)&lt;=5,$A15='Recurring Schedule'!$F$37))),32,""))))</f>
        <v/>
      </c>
      <c r="AH15">
        <f>IF('Recurring Schedule'!$C$38="","",IF('Recurring Schedule'!$F$38="","",IF(OR($A15&lt;'Recurring Schedule'!$F$38,$A15&gt;'Recurring Schedule'!$P$38),"",IF(IF('Recurring Schedule'!$N$38&gt;0,MOD($A15-'Recurring Schedule'!$F$38,'Recurring Schedule'!$N$38)=0,IF('Recurring Schedule'!$O$38&gt;0,AND(DAY($A15)=MIN(DAY('Recurring Schedule'!$F$38),DAY(EOMONTH($A15,0))),MOD((YEAR($A15)-YEAR('Recurring Schedule'!$F$38))*12+MONTH($A15)-MONTH('Recurring Schedule'!$F$38),'Recurring Schedule'!$O$38)=0),IF('Recurring Schedule'!$E$38="Weekdays",WEEKDAY($A15,2)&lt;=5,$A15='Recurring Schedule'!$F$38))),33,""))))</f>
        <v/>
      </c>
      <c r="AI15">
        <f>IF('Recurring Schedule'!$C$39="","",IF('Recurring Schedule'!$F$39="","",IF(OR($A15&lt;'Recurring Schedule'!$F$39,$A15&gt;'Recurring Schedule'!$P$39),"",IF(IF('Recurring Schedule'!$N$39&gt;0,MOD($A15-'Recurring Schedule'!$F$39,'Recurring Schedule'!$N$39)=0,IF('Recurring Schedule'!$O$39&gt;0,AND(DAY($A15)=MIN(DAY('Recurring Schedule'!$F$39),DAY(EOMONTH($A15,0))),MOD((YEAR($A15)-YEAR('Recurring Schedule'!$F$39))*12+MONTH($A15)-MONTH('Recurring Schedule'!$F$39),'Recurring Schedule'!$O$39)=0),IF('Recurring Schedule'!$E$39="Weekdays",WEEKDAY($A15,2)&lt;=5,$A15='Recurring Schedule'!$F$39))),34,""))))</f>
        <v/>
      </c>
      <c r="AJ15">
        <f>IF('Recurring Schedule'!$C$40="","",IF('Recurring Schedule'!$F$40="","",IF(OR($A15&lt;'Recurring Schedule'!$F$40,$A15&gt;'Recurring Schedule'!$P$40),"",IF(IF('Recurring Schedule'!$N$40&gt;0,MOD($A15-'Recurring Schedule'!$F$40,'Recurring Schedule'!$N$40)=0,IF('Recurring Schedule'!$O$40&gt;0,AND(DAY($A15)=MIN(DAY('Recurring Schedule'!$F$40),DAY(EOMONTH($A15,0))),MOD((YEAR($A15)-YEAR('Recurring Schedule'!$F$40))*12+MONTH($A15)-MONTH('Recurring Schedule'!$F$40),'Recurring Schedule'!$O$40)=0),IF('Recurring Schedule'!$E$40="Weekdays",WEEKDAY($A15,2)&lt;=5,$A15='Recurring Schedule'!$F$40))),35,""))))</f>
        <v/>
      </c>
      <c r="AK15">
        <f>IF('Recurring Schedule'!$C$41="","",IF('Recurring Schedule'!$F$41="","",IF(OR($A15&lt;'Recurring Schedule'!$F$41,$A15&gt;'Recurring Schedule'!$P$41),"",IF(IF('Recurring Schedule'!$N$41&gt;0,MOD($A15-'Recurring Schedule'!$F$41,'Recurring Schedule'!$N$41)=0,IF('Recurring Schedule'!$O$41&gt;0,AND(DAY($A15)=MIN(DAY('Recurring Schedule'!$F$41),DAY(EOMONTH($A15,0))),MOD((YEAR($A15)-YEAR('Recurring Schedule'!$F$41))*12+MONTH($A15)-MONTH('Recurring Schedule'!$F$41),'Recurring Schedule'!$O$41)=0),IF('Recurring Schedule'!$E$41="Weekdays",WEEKDAY($A15,2)&lt;=5,$A15='Recurring Schedule'!$F$41))),36,""))))</f>
        <v/>
      </c>
      <c r="AL15">
        <f>IF('Recurring Schedule'!$C$42="","",IF('Recurring Schedule'!$F$42="","",IF(OR($A15&lt;'Recurring Schedule'!$F$42,$A15&gt;'Recurring Schedule'!$P$42),"",IF(IF('Recurring Schedule'!$N$42&gt;0,MOD($A15-'Recurring Schedule'!$F$42,'Recurring Schedule'!$N$42)=0,IF('Recurring Schedule'!$O$42&gt;0,AND(DAY($A15)=MIN(DAY('Recurring Schedule'!$F$42),DAY(EOMONTH($A15,0))),MOD((YEAR($A15)-YEAR('Recurring Schedule'!$F$42))*12+MONTH($A15)-MONTH('Recurring Schedule'!$F$42),'Recurring Schedule'!$O$42)=0),IF('Recurring Schedule'!$E$42="Weekdays",WEEKDAY($A15,2)&lt;=5,$A15='Recurring Schedule'!$F$42))),37,""))))</f>
        <v/>
      </c>
      <c r="AM15">
        <f>IF('Recurring Schedule'!$C$43="","",IF('Recurring Schedule'!$F$43="","",IF(OR($A15&lt;'Recurring Schedule'!$F$43,$A15&gt;'Recurring Schedule'!$P$43),"",IF(IF('Recurring Schedule'!$N$43&gt;0,MOD($A15-'Recurring Schedule'!$F$43,'Recurring Schedule'!$N$43)=0,IF('Recurring Schedule'!$O$43&gt;0,AND(DAY($A15)=MIN(DAY('Recurring Schedule'!$F$43),DAY(EOMONTH($A15,0))),MOD((YEAR($A15)-YEAR('Recurring Schedule'!$F$43))*12+MONTH($A15)-MONTH('Recurring Schedule'!$F$43),'Recurring Schedule'!$O$43)=0),IF('Recurring Schedule'!$E$43="Weekdays",WEEKDAY($A15,2)&lt;=5,$A15='Recurring Schedule'!$F$43))),38,""))))</f>
        <v/>
      </c>
      <c r="AN15">
        <f>IF('Recurring Schedule'!$C$44="","",IF('Recurring Schedule'!$F$44="","",IF(OR($A15&lt;'Recurring Schedule'!$F$44,$A15&gt;'Recurring Schedule'!$P$44),"",IF(IF('Recurring Schedule'!$N$44&gt;0,MOD($A15-'Recurring Schedule'!$F$44,'Recurring Schedule'!$N$44)=0,IF('Recurring Schedule'!$O$44&gt;0,AND(DAY($A15)=MIN(DAY('Recurring Schedule'!$F$44),DAY(EOMONTH($A15,0))),MOD((YEAR($A15)-YEAR('Recurring Schedule'!$F$44))*12+MONTH($A15)-MONTH('Recurring Schedule'!$F$44),'Recurring Schedule'!$O$44)=0),IF('Recurring Schedule'!$E$44="Weekdays",WEEKDAY($A15,2)&lt;=5,$A15='Recurring Schedule'!$F$44))),39,""))))</f>
        <v/>
      </c>
      <c r="AO15">
        <f>IF('Recurring Schedule'!$C$45="","",IF('Recurring Schedule'!$F$45="","",IF(OR($A15&lt;'Recurring Schedule'!$F$45,$A15&gt;'Recurring Schedule'!$P$45),"",IF(IF('Recurring Schedule'!$N$45&gt;0,MOD($A15-'Recurring Schedule'!$F$45,'Recurring Schedule'!$N$45)=0,IF('Recurring Schedule'!$O$45&gt;0,AND(DAY($A15)=MIN(DAY('Recurring Schedule'!$F$45),DAY(EOMONTH($A15,0))),MOD((YEAR($A15)-YEAR('Recurring Schedule'!$F$45))*12+MONTH($A15)-MONTH('Recurring Schedule'!$F$45),'Recurring Schedule'!$O$45)=0),IF('Recurring Schedule'!$E$45="Weekdays",WEEKDAY($A15,2)&lt;=5,$A15='Recurring Schedule'!$F$45))),40,""))))</f>
        <v/>
      </c>
      <c r="AP15">
        <f>COUNT(B15:AO15)</f>
        <v/>
      </c>
      <c r="AQ15">
        <f>AQ14+AP14</f>
        <v/>
      </c>
      <c r="AS15" t="inlineStr">
        <is>
          <t>R</t>
        </is>
      </c>
      <c r="AT15" t="n">
        <v>19</v>
      </c>
      <c r="AU15">
        <f>'Recurring Log'!C19&amp;""</f>
        <v/>
      </c>
      <c r="AV15">
        <f>'Recurring Log'!D19&amp;""</f>
        <v/>
      </c>
      <c r="AW15">
        <f>IF('Recurring Log'!E19="","",'Recurring Log'!E19)</f>
        <v/>
      </c>
      <c r="AX15">
        <f>IF('Recurring Log'!G19="","",'Recurring Log'!G19)</f>
        <v/>
      </c>
      <c r="AY15">
        <f>IF('Recurring Log'!H19="","",'Recurring Log'!H19)</f>
        <v/>
      </c>
      <c r="AZ15">
        <f>IF(AU15="","",IF('Recurring Log'!J19="","Not Started",'Recurring Log'!J19))</f>
        <v/>
      </c>
      <c r="BA15">
        <f>'Recurring Log'!L19&amp;""</f>
        <v/>
      </c>
      <c r="BB15">
        <f>'Recurring Log'!M19&amp;""</f>
        <v/>
      </c>
      <c r="BC15">
        <f>'Recurring Log'!N19&amp;""</f>
        <v/>
      </c>
      <c r="BD15">
        <f>'Recurring Log'!O19&amp;""</f>
        <v/>
      </c>
      <c r="BE15">
        <f>IF('Recurring Log'!K19="","",'Recurring Log'!K19)</f>
        <v/>
      </c>
      <c r="BF15">
        <f>IFERROR(MATCH(BA15,Setup!$L$6:$L$9,0),5)</f>
        <v/>
      </c>
      <c r="BG15">
        <f>IF(OR(AZ15="Done",AZ15="Cancelled"),1,0)</f>
        <v/>
      </c>
      <c r="BH15">
        <f>IF(AND(AU15&lt;&gt;"",ISNUMBER(AW15)),1,0)</f>
        <v/>
      </c>
      <c r="BI15">
        <f>IF(BH15=0,0,IF(AND(AW15&gt;='Tasks Filter'!$F$3,AW15&lt;='Tasks Filter'!$F$4,OR('Tasks Filter'!$I$3="",ISNUMBER(SEARCH('Tasks Filter'!$I$3,AU15))),OR('Tasks Filter'!$I$4="",BF15=IFERROR(MATCH('Tasks Filter'!$I$4,Setup!$L$6:$L$9,0),0)),OR('Tasks Filter'!$I$5="Both",AND('Tasks Filter'!$I$5="Yes",BB15="✓"),AND('Tasks Filter'!$I$5="No",BB15&lt;&gt;"✓")),OR('Tasks Filter'!$L$3="",AV15='Tasks Filter'!$L$3),OR('Tasks Filter'!$L$4="",AZ15='Tasks Filter'!$L$4),OR('Tasks Filter'!$L$5="",BC15='Tasks Filter'!$L$5),OR('Tasks Filter'!$O$3="",BD15='Tasks Filter'!$O$3),OR('Tasks Filter'!$O$4="Yes",BG15=0)),1,0))</f>
        <v/>
      </c>
      <c r="BJ15">
        <f>IF(BH15=0,"",IF('Tasks Filter'!$F$6="Descending",-1,1)*CHOOSE(MATCH('Tasks Filter'!$F$5,Lists!$G$2:$G$6,0),AW15,BF15,IFERROR(MATCH(AV15,Setup!$F$6:$F$15,0),99),IFERROR(MATCH(BC15,Setup!$H$6:$H$15,0),99),IFERROR(MATCH(AZ15,Setup!$J$6:$J$11,0),99))*1E+9+(AW15-40000)*10000+14)</f>
        <v/>
      </c>
      <c r="BK15">
        <f>IF(BI15=1,BJ15,"")</f>
        <v/>
      </c>
      <c r="BL15">
        <f>IF(AND(BH15=1,BG15=0,N(AW15)&lt;Setup!$D$7),(AW15-40000)*10000+14,"")</f>
        <v/>
      </c>
      <c r="BM15">
        <f>IF(AND(BH15=1,AZ15&lt;&gt;"Cancelled",N(AW15)&gt;=Dashboard!$AB$3,N(AW15)&lt;=Dashboard!$AB$3+6),(AW15-40000)*100000+BF15*10000+14,"")</f>
        <v/>
      </c>
      <c r="BN15">
        <f>IF(AND(BH15=1,AZ15&lt;&gt;"Cancelled"),BF15*10000+14,"")</f>
        <v/>
      </c>
    </row>
    <row r="16">
      <c r="A16">
        <f>Setup!$D$5+14</f>
        <v/>
      </c>
      <c r="B16">
        <f>IF('Recurring Schedule'!$C$6="","",IF('Recurring Schedule'!$F$6="","",IF(OR($A16&lt;'Recurring Schedule'!$F$6,$A16&gt;'Recurring Schedule'!$P$6),"",IF(IF('Recurring Schedule'!$N$6&gt;0,MOD($A16-'Recurring Schedule'!$F$6,'Recurring Schedule'!$N$6)=0,IF('Recurring Schedule'!$O$6&gt;0,AND(DAY($A16)=MIN(DAY('Recurring Schedule'!$F$6),DAY(EOMONTH($A16,0))),MOD((YEAR($A16)-YEAR('Recurring Schedule'!$F$6))*12+MONTH($A16)-MONTH('Recurring Schedule'!$F$6),'Recurring Schedule'!$O$6)=0),IF('Recurring Schedule'!$E$6="Weekdays",WEEKDAY($A16,2)&lt;=5,$A16='Recurring Schedule'!$F$6))),1,""))))</f>
        <v/>
      </c>
      <c r="C16">
        <f>IF('Recurring Schedule'!$C$7="","",IF('Recurring Schedule'!$F$7="","",IF(OR($A16&lt;'Recurring Schedule'!$F$7,$A16&gt;'Recurring Schedule'!$P$7),"",IF(IF('Recurring Schedule'!$N$7&gt;0,MOD($A16-'Recurring Schedule'!$F$7,'Recurring Schedule'!$N$7)=0,IF('Recurring Schedule'!$O$7&gt;0,AND(DAY($A16)=MIN(DAY('Recurring Schedule'!$F$7),DAY(EOMONTH($A16,0))),MOD((YEAR($A16)-YEAR('Recurring Schedule'!$F$7))*12+MONTH($A16)-MONTH('Recurring Schedule'!$F$7),'Recurring Schedule'!$O$7)=0),IF('Recurring Schedule'!$E$7="Weekdays",WEEKDAY($A16,2)&lt;=5,$A16='Recurring Schedule'!$F$7))),2,""))))</f>
        <v/>
      </c>
      <c r="D16">
        <f>IF('Recurring Schedule'!$C$8="","",IF('Recurring Schedule'!$F$8="","",IF(OR($A16&lt;'Recurring Schedule'!$F$8,$A16&gt;'Recurring Schedule'!$P$8),"",IF(IF('Recurring Schedule'!$N$8&gt;0,MOD($A16-'Recurring Schedule'!$F$8,'Recurring Schedule'!$N$8)=0,IF('Recurring Schedule'!$O$8&gt;0,AND(DAY($A16)=MIN(DAY('Recurring Schedule'!$F$8),DAY(EOMONTH($A16,0))),MOD((YEAR($A16)-YEAR('Recurring Schedule'!$F$8))*12+MONTH($A16)-MONTH('Recurring Schedule'!$F$8),'Recurring Schedule'!$O$8)=0),IF('Recurring Schedule'!$E$8="Weekdays",WEEKDAY($A16,2)&lt;=5,$A16='Recurring Schedule'!$F$8))),3,""))))</f>
        <v/>
      </c>
      <c r="E16">
        <f>IF('Recurring Schedule'!$C$9="","",IF('Recurring Schedule'!$F$9="","",IF(OR($A16&lt;'Recurring Schedule'!$F$9,$A16&gt;'Recurring Schedule'!$P$9),"",IF(IF('Recurring Schedule'!$N$9&gt;0,MOD($A16-'Recurring Schedule'!$F$9,'Recurring Schedule'!$N$9)=0,IF('Recurring Schedule'!$O$9&gt;0,AND(DAY($A16)=MIN(DAY('Recurring Schedule'!$F$9),DAY(EOMONTH($A16,0))),MOD((YEAR($A16)-YEAR('Recurring Schedule'!$F$9))*12+MONTH($A16)-MONTH('Recurring Schedule'!$F$9),'Recurring Schedule'!$O$9)=0),IF('Recurring Schedule'!$E$9="Weekdays",WEEKDAY($A16,2)&lt;=5,$A16='Recurring Schedule'!$F$9))),4,""))))</f>
        <v/>
      </c>
      <c r="F16">
        <f>IF('Recurring Schedule'!$C$10="","",IF('Recurring Schedule'!$F$10="","",IF(OR($A16&lt;'Recurring Schedule'!$F$10,$A16&gt;'Recurring Schedule'!$P$10),"",IF(IF('Recurring Schedule'!$N$10&gt;0,MOD($A16-'Recurring Schedule'!$F$10,'Recurring Schedule'!$N$10)=0,IF('Recurring Schedule'!$O$10&gt;0,AND(DAY($A16)=MIN(DAY('Recurring Schedule'!$F$10),DAY(EOMONTH($A16,0))),MOD((YEAR($A16)-YEAR('Recurring Schedule'!$F$10))*12+MONTH($A16)-MONTH('Recurring Schedule'!$F$10),'Recurring Schedule'!$O$10)=0),IF('Recurring Schedule'!$E$10="Weekdays",WEEKDAY($A16,2)&lt;=5,$A16='Recurring Schedule'!$F$10))),5,""))))</f>
        <v/>
      </c>
      <c r="G16">
        <f>IF('Recurring Schedule'!$C$11="","",IF('Recurring Schedule'!$F$11="","",IF(OR($A16&lt;'Recurring Schedule'!$F$11,$A16&gt;'Recurring Schedule'!$P$11),"",IF(IF('Recurring Schedule'!$N$11&gt;0,MOD($A16-'Recurring Schedule'!$F$11,'Recurring Schedule'!$N$11)=0,IF('Recurring Schedule'!$O$11&gt;0,AND(DAY($A16)=MIN(DAY('Recurring Schedule'!$F$11),DAY(EOMONTH($A16,0))),MOD((YEAR($A16)-YEAR('Recurring Schedule'!$F$11))*12+MONTH($A16)-MONTH('Recurring Schedule'!$F$11),'Recurring Schedule'!$O$11)=0),IF('Recurring Schedule'!$E$11="Weekdays",WEEKDAY($A16,2)&lt;=5,$A16='Recurring Schedule'!$F$11))),6,""))))</f>
        <v/>
      </c>
      <c r="H16">
        <f>IF('Recurring Schedule'!$C$12="","",IF('Recurring Schedule'!$F$12="","",IF(OR($A16&lt;'Recurring Schedule'!$F$12,$A16&gt;'Recurring Schedule'!$P$12),"",IF(IF('Recurring Schedule'!$N$12&gt;0,MOD($A16-'Recurring Schedule'!$F$12,'Recurring Schedule'!$N$12)=0,IF('Recurring Schedule'!$O$12&gt;0,AND(DAY($A16)=MIN(DAY('Recurring Schedule'!$F$12),DAY(EOMONTH($A16,0))),MOD((YEAR($A16)-YEAR('Recurring Schedule'!$F$12))*12+MONTH($A16)-MONTH('Recurring Schedule'!$F$12),'Recurring Schedule'!$O$12)=0),IF('Recurring Schedule'!$E$12="Weekdays",WEEKDAY($A16,2)&lt;=5,$A16='Recurring Schedule'!$F$12))),7,""))))</f>
        <v/>
      </c>
      <c r="I16">
        <f>IF('Recurring Schedule'!$C$13="","",IF('Recurring Schedule'!$F$13="","",IF(OR($A16&lt;'Recurring Schedule'!$F$13,$A16&gt;'Recurring Schedule'!$P$13),"",IF(IF('Recurring Schedule'!$N$13&gt;0,MOD($A16-'Recurring Schedule'!$F$13,'Recurring Schedule'!$N$13)=0,IF('Recurring Schedule'!$O$13&gt;0,AND(DAY($A16)=MIN(DAY('Recurring Schedule'!$F$13),DAY(EOMONTH($A16,0))),MOD((YEAR($A16)-YEAR('Recurring Schedule'!$F$13))*12+MONTH($A16)-MONTH('Recurring Schedule'!$F$13),'Recurring Schedule'!$O$13)=0),IF('Recurring Schedule'!$E$13="Weekdays",WEEKDAY($A16,2)&lt;=5,$A16='Recurring Schedule'!$F$13))),8,""))))</f>
        <v/>
      </c>
      <c r="J16">
        <f>IF('Recurring Schedule'!$C$14="","",IF('Recurring Schedule'!$F$14="","",IF(OR($A16&lt;'Recurring Schedule'!$F$14,$A16&gt;'Recurring Schedule'!$P$14),"",IF(IF('Recurring Schedule'!$N$14&gt;0,MOD($A16-'Recurring Schedule'!$F$14,'Recurring Schedule'!$N$14)=0,IF('Recurring Schedule'!$O$14&gt;0,AND(DAY($A16)=MIN(DAY('Recurring Schedule'!$F$14),DAY(EOMONTH($A16,0))),MOD((YEAR($A16)-YEAR('Recurring Schedule'!$F$14))*12+MONTH($A16)-MONTH('Recurring Schedule'!$F$14),'Recurring Schedule'!$O$14)=0),IF('Recurring Schedule'!$E$14="Weekdays",WEEKDAY($A16,2)&lt;=5,$A16='Recurring Schedule'!$F$14))),9,""))))</f>
        <v/>
      </c>
      <c r="K16">
        <f>IF('Recurring Schedule'!$C$15="","",IF('Recurring Schedule'!$F$15="","",IF(OR($A16&lt;'Recurring Schedule'!$F$15,$A16&gt;'Recurring Schedule'!$P$15),"",IF(IF('Recurring Schedule'!$N$15&gt;0,MOD($A16-'Recurring Schedule'!$F$15,'Recurring Schedule'!$N$15)=0,IF('Recurring Schedule'!$O$15&gt;0,AND(DAY($A16)=MIN(DAY('Recurring Schedule'!$F$15),DAY(EOMONTH($A16,0))),MOD((YEAR($A16)-YEAR('Recurring Schedule'!$F$15))*12+MONTH($A16)-MONTH('Recurring Schedule'!$F$15),'Recurring Schedule'!$O$15)=0),IF('Recurring Schedule'!$E$15="Weekdays",WEEKDAY($A16,2)&lt;=5,$A16='Recurring Schedule'!$F$15))),10,""))))</f>
        <v/>
      </c>
      <c r="L16">
        <f>IF('Recurring Schedule'!$C$16="","",IF('Recurring Schedule'!$F$16="","",IF(OR($A16&lt;'Recurring Schedule'!$F$16,$A16&gt;'Recurring Schedule'!$P$16),"",IF(IF('Recurring Schedule'!$N$16&gt;0,MOD($A16-'Recurring Schedule'!$F$16,'Recurring Schedule'!$N$16)=0,IF('Recurring Schedule'!$O$16&gt;0,AND(DAY($A16)=MIN(DAY('Recurring Schedule'!$F$16),DAY(EOMONTH($A16,0))),MOD((YEAR($A16)-YEAR('Recurring Schedule'!$F$16))*12+MONTH($A16)-MONTH('Recurring Schedule'!$F$16),'Recurring Schedule'!$O$16)=0),IF('Recurring Schedule'!$E$16="Weekdays",WEEKDAY($A16,2)&lt;=5,$A16='Recurring Schedule'!$F$16))),11,""))))</f>
        <v/>
      </c>
      <c r="M16">
        <f>IF('Recurring Schedule'!$C$17="","",IF('Recurring Schedule'!$F$17="","",IF(OR($A16&lt;'Recurring Schedule'!$F$17,$A16&gt;'Recurring Schedule'!$P$17),"",IF(IF('Recurring Schedule'!$N$17&gt;0,MOD($A16-'Recurring Schedule'!$F$17,'Recurring Schedule'!$N$17)=0,IF('Recurring Schedule'!$O$17&gt;0,AND(DAY($A16)=MIN(DAY('Recurring Schedule'!$F$17),DAY(EOMONTH($A16,0))),MOD((YEAR($A16)-YEAR('Recurring Schedule'!$F$17))*12+MONTH($A16)-MONTH('Recurring Schedule'!$F$17),'Recurring Schedule'!$O$17)=0),IF('Recurring Schedule'!$E$17="Weekdays",WEEKDAY($A16,2)&lt;=5,$A16='Recurring Schedule'!$F$17))),12,""))))</f>
        <v/>
      </c>
      <c r="N16">
        <f>IF('Recurring Schedule'!$C$18="","",IF('Recurring Schedule'!$F$18="","",IF(OR($A16&lt;'Recurring Schedule'!$F$18,$A16&gt;'Recurring Schedule'!$P$18),"",IF(IF('Recurring Schedule'!$N$18&gt;0,MOD($A16-'Recurring Schedule'!$F$18,'Recurring Schedule'!$N$18)=0,IF('Recurring Schedule'!$O$18&gt;0,AND(DAY($A16)=MIN(DAY('Recurring Schedule'!$F$18),DAY(EOMONTH($A16,0))),MOD((YEAR($A16)-YEAR('Recurring Schedule'!$F$18))*12+MONTH($A16)-MONTH('Recurring Schedule'!$F$18),'Recurring Schedule'!$O$18)=0),IF('Recurring Schedule'!$E$18="Weekdays",WEEKDAY($A16,2)&lt;=5,$A16='Recurring Schedule'!$F$18))),13,""))))</f>
        <v/>
      </c>
      <c r="O16">
        <f>IF('Recurring Schedule'!$C$19="","",IF('Recurring Schedule'!$F$19="","",IF(OR($A16&lt;'Recurring Schedule'!$F$19,$A16&gt;'Recurring Schedule'!$P$19),"",IF(IF('Recurring Schedule'!$N$19&gt;0,MOD($A16-'Recurring Schedule'!$F$19,'Recurring Schedule'!$N$19)=0,IF('Recurring Schedule'!$O$19&gt;0,AND(DAY($A16)=MIN(DAY('Recurring Schedule'!$F$19),DAY(EOMONTH($A16,0))),MOD((YEAR($A16)-YEAR('Recurring Schedule'!$F$19))*12+MONTH($A16)-MONTH('Recurring Schedule'!$F$19),'Recurring Schedule'!$O$19)=0),IF('Recurring Schedule'!$E$19="Weekdays",WEEKDAY($A16,2)&lt;=5,$A16='Recurring Schedule'!$F$19))),14,""))))</f>
        <v/>
      </c>
      <c r="P16">
        <f>IF('Recurring Schedule'!$C$20="","",IF('Recurring Schedule'!$F$20="","",IF(OR($A16&lt;'Recurring Schedule'!$F$20,$A16&gt;'Recurring Schedule'!$P$20),"",IF(IF('Recurring Schedule'!$N$20&gt;0,MOD($A16-'Recurring Schedule'!$F$20,'Recurring Schedule'!$N$20)=0,IF('Recurring Schedule'!$O$20&gt;0,AND(DAY($A16)=MIN(DAY('Recurring Schedule'!$F$20),DAY(EOMONTH($A16,0))),MOD((YEAR($A16)-YEAR('Recurring Schedule'!$F$20))*12+MONTH($A16)-MONTH('Recurring Schedule'!$F$20),'Recurring Schedule'!$O$20)=0),IF('Recurring Schedule'!$E$20="Weekdays",WEEKDAY($A16,2)&lt;=5,$A16='Recurring Schedule'!$F$20))),15,""))))</f>
        <v/>
      </c>
      <c r="Q16">
        <f>IF('Recurring Schedule'!$C$21="","",IF('Recurring Schedule'!$F$21="","",IF(OR($A16&lt;'Recurring Schedule'!$F$21,$A16&gt;'Recurring Schedule'!$P$21),"",IF(IF('Recurring Schedule'!$N$21&gt;0,MOD($A16-'Recurring Schedule'!$F$21,'Recurring Schedule'!$N$21)=0,IF('Recurring Schedule'!$O$21&gt;0,AND(DAY($A16)=MIN(DAY('Recurring Schedule'!$F$21),DAY(EOMONTH($A16,0))),MOD((YEAR($A16)-YEAR('Recurring Schedule'!$F$21))*12+MONTH($A16)-MONTH('Recurring Schedule'!$F$21),'Recurring Schedule'!$O$21)=0),IF('Recurring Schedule'!$E$21="Weekdays",WEEKDAY($A16,2)&lt;=5,$A16='Recurring Schedule'!$F$21))),16,""))))</f>
        <v/>
      </c>
      <c r="R16">
        <f>IF('Recurring Schedule'!$C$22="","",IF('Recurring Schedule'!$F$22="","",IF(OR($A16&lt;'Recurring Schedule'!$F$22,$A16&gt;'Recurring Schedule'!$P$22),"",IF(IF('Recurring Schedule'!$N$22&gt;0,MOD($A16-'Recurring Schedule'!$F$22,'Recurring Schedule'!$N$22)=0,IF('Recurring Schedule'!$O$22&gt;0,AND(DAY($A16)=MIN(DAY('Recurring Schedule'!$F$22),DAY(EOMONTH($A16,0))),MOD((YEAR($A16)-YEAR('Recurring Schedule'!$F$22))*12+MONTH($A16)-MONTH('Recurring Schedule'!$F$22),'Recurring Schedule'!$O$22)=0),IF('Recurring Schedule'!$E$22="Weekdays",WEEKDAY($A16,2)&lt;=5,$A16='Recurring Schedule'!$F$22))),17,""))))</f>
        <v/>
      </c>
      <c r="S16">
        <f>IF('Recurring Schedule'!$C$23="","",IF('Recurring Schedule'!$F$23="","",IF(OR($A16&lt;'Recurring Schedule'!$F$23,$A16&gt;'Recurring Schedule'!$P$23),"",IF(IF('Recurring Schedule'!$N$23&gt;0,MOD($A16-'Recurring Schedule'!$F$23,'Recurring Schedule'!$N$23)=0,IF('Recurring Schedule'!$O$23&gt;0,AND(DAY($A16)=MIN(DAY('Recurring Schedule'!$F$23),DAY(EOMONTH($A16,0))),MOD((YEAR($A16)-YEAR('Recurring Schedule'!$F$23))*12+MONTH($A16)-MONTH('Recurring Schedule'!$F$23),'Recurring Schedule'!$O$23)=0),IF('Recurring Schedule'!$E$23="Weekdays",WEEKDAY($A16,2)&lt;=5,$A16='Recurring Schedule'!$F$23))),18,""))))</f>
        <v/>
      </c>
      <c r="T16">
        <f>IF('Recurring Schedule'!$C$24="","",IF('Recurring Schedule'!$F$24="","",IF(OR($A16&lt;'Recurring Schedule'!$F$24,$A16&gt;'Recurring Schedule'!$P$24),"",IF(IF('Recurring Schedule'!$N$24&gt;0,MOD($A16-'Recurring Schedule'!$F$24,'Recurring Schedule'!$N$24)=0,IF('Recurring Schedule'!$O$24&gt;0,AND(DAY($A16)=MIN(DAY('Recurring Schedule'!$F$24),DAY(EOMONTH($A16,0))),MOD((YEAR($A16)-YEAR('Recurring Schedule'!$F$24))*12+MONTH($A16)-MONTH('Recurring Schedule'!$F$24),'Recurring Schedule'!$O$24)=0),IF('Recurring Schedule'!$E$24="Weekdays",WEEKDAY($A16,2)&lt;=5,$A16='Recurring Schedule'!$F$24))),19,""))))</f>
        <v/>
      </c>
      <c r="U16">
        <f>IF('Recurring Schedule'!$C$25="","",IF('Recurring Schedule'!$F$25="","",IF(OR($A16&lt;'Recurring Schedule'!$F$25,$A16&gt;'Recurring Schedule'!$P$25),"",IF(IF('Recurring Schedule'!$N$25&gt;0,MOD($A16-'Recurring Schedule'!$F$25,'Recurring Schedule'!$N$25)=0,IF('Recurring Schedule'!$O$25&gt;0,AND(DAY($A16)=MIN(DAY('Recurring Schedule'!$F$25),DAY(EOMONTH($A16,0))),MOD((YEAR($A16)-YEAR('Recurring Schedule'!$F$25))*12+MONTH($A16)-MONTH('Recurring Schedule'!$F$25),'Recurring Schedule'!$O$25)=0),IF('Recurring Schedule'!$E$25="Weekdays",WEEKDAY($A16,2)&lt;=5,$A16='Recurring Schedule'!$F$25))),20,""))))</f>
        <v/>
      </c>
      <c r="V16">
        <f>IF('Recurring Schedule'!$C$26="","",IF('Recurring Schedule'!$F$26="","",IF(OR($A16&lt;'Recurring Schedule'!$F$26,$A16&gt;'Recurring Schedule'!$P$26),"",IF(IF('Recurring Schedule'!$N$26&gt;0,MOD($A16-'Recurring Schedule'!$F$26,'Recurring Schedule'!$N$26)=0,IF('Recurring Schedule'!$O$26&gt;0,AND(DAY($A16)=MIN(DAY('Recurring Schedule'!$F$26),DAY(EOMONTH($A16,0))),MOD((YEAR($A16)-YEAR('Recurring Schedule'!$F$26))*12+MONTH($A16)-MONTH('Recurring Schedule'!$F$26),'Recurring Schedule'!$O$26)=0),IF('Recurring Schedule'!$E$26="Weekdays",WEEKDAY($A16,2)&lt;=5,$A16='Recurring Schedule'!$F$26))),21,""))))</f>
        <v/>
      </c>
      <c r="W16">
        <f>IF('Recurring Schedule'!$C$27="","",IF('Recurring Schedule'!$F$27="","",IF(OR($A16&lt;'Recurring Schedule'!$F$27,$A16&gt;'Recurring Schedule'!$P$27),"",IF(IF('Recurring Schedule'!$N$27&gt;0,MOD($A16-'Recurring Schedule'!$F$27,'Recurring Schedule'!$N$27)=0,IF('Recurring Schedule'!$O$27&gt;0,AND(DAY($A16)=MIN(DAY('Recurring Schedule'!$F$27),DAY(EOMONTH($A16,0))),MOD((YEAR($A16)-YEAR('Recurring Schedule'!$F$27))*12+MONTH($A16)-MONTH('Recurring Schedule'!$F$27),'Recurring Schedule'!$O$27)=0),IF('Recurring Schedule'!$E$27="Weekdays",WEEKDAY($A16,2)&lt;=5,$A16='Recurring Schedule'!$F$27))),22,""))))</f>
        <v/>
      </c>
      <c r="X16">
        <f>IF('Recurring Schedule'!$C$28="","",IF('Recurring Schedule'!$F$28="","",IF(OR($A16&lt;'Recurring Schedule'!$F$28,$A16&gt;'Recurring Schedule'!$P$28),"",IF(IF('Recurring Schedule'!$N$28&gt;0,MOD($A16-'Recurring Schedule'!$F$28,'Recurring Schedule'!$N$28)=0,IF('Recurring Schedule'!$O$28&gt;0,AND(DAY($A16)=MIN(DAY('Recurring Schedule'!$F$28),DAY(EOMONTH($A16,0))),MOD((YEAR($A16)-YEAR('Recurring Schedule'!$F$28))*12+MONTH($A16)-MONTH('Recurring Schedule'!$F$28),'Recurring Schedule'!$O$28)=0),IF('Recurring Schedule'!$E$28="Weekdays",WEEKDAY($A16,2)&lt;=5,$A16='Recurring Schedule'!$F$28))),23,""))))</f>
        <v/>
      </c>
      <c r="Y16">
        <f>IF('Recurring Schedule'!$C$29="","",IF('Recurring Schedule'!$F$29="","",IF(OR($A16&lt;'Recurring Schedule'!$F$29,$A16&gt;'Recurring Schedule'!$P$29),"",IF(IF('Recurring Schedule'!$N$29&gt;0,MOD($A16-'Recurring Schedule'!$F$29,'Recurring Schedule'!$N$29)=0,IF('Recurring Schedule'!$O$29&gt;0,AND(DAY($A16)=MIN(DAY('Recurring Schedule'!$F$29),DAY(EOMONTH($A16,0))),MOD((YEAR($A16)-YEAR('Recurring Schedule'!$F$29))*12+MONTH($A16)-MONTH('Recurring Schedule'!$F$29),'Recurring Schedule'!$O$29)=0),IF('Recurring Schedule'!$E$29="Weekdays",WEEKDAY($A16,2)&lt;=5,$A16='Recurring Schedule'!$F$29))),24,""))))</f>
        <v/>
      </c>
      <c r="Z16">
        <f>IF('Recurring Schedule'!$C$30="","",IF('Recurring Schedule'!$F$30="","",IF(OR($A16&lt;'Recurring Schedule'!$F$30,$A16&gt;'Recurring Schedule'!$P$30),"",IF(IF('Recurring Schedule'!$N$30&gt;0,MOD($A16-'Recurring Schedule'!$F$30,'Recurring Schedule'!$N$30)=0,IF('Recurring Schedule'!$O$30&gt;0,AND(DAY($A16)=MIN(DAY('Recurring Schedule'!$F$30),DAY(EOMONTH($A16,0))),MOD((YEAR($A16)-YEAR('Recurring Schedule'!$F$30))*12+MONTH($A16)-MONTH('Recurring Schedule'!$F$30),'Recurring Schedule'!$O$30)=0),IF('Recurring Schedule'!$E$30="Weekdays",WEEKDAY($A16,2)&lt;=5,$A16='Recurring Schedule'!$F$30))),25,""))))</f>
        <v/>
      </c>
      <c r="AA16">
        <f>IF('Recurring Schedule'!$C$31="","",IF('Recurring Schedule'!$F$31="","",IF(OR($A16&lt;'Recurring Schedule'!$F$31,$A16&gt;'Recurring Schedule'!$P$31),"",IF(IF('Recurring Schedule'!$N$31&gt;0,MOD($A16-'Recurring Schedule'!$F$31,'Recurring Schedule'!$N$31)=0,IF('Recurring Schedule'!$O$31&gt;0,AND(DAY($A16)=MIN(DAY('Recurring Schedule'!$F$31),DAY(EOMONTH($A16,0))),MOD((YEAR($A16)-YEAR('Recurring Schedule'!$F$31))*12+MONTH($A16)-MONTH('Recurring Schedule'!$F$31),'Recurring Schedule'!$O$31)=0),IF('Recurring Schedule'!$E$31="Weekdays",WEEKDAY($A16,2)&lt;=5,$A16='Recurring Schedule'!$F$31))),26,""))))</f>
        <v/>
      </c>
      <c r="AB16">
        <f>IF('Recurring Schedule'!$C$32="","",IF('Recurring Schedule'!$F$32="","",IF(OR($A16&lt;'Recurring Schedule'!$F$32,$A16&gt;'Recurring Schedule'!$P$32),"",IF(IF('Recurring Schedule'!$N$32&gt;0,MOD($A16-'Recurring Schedule'!$F$32,'Recurring Schedule'!$N$32)=0,IF('Recurring Schedule'!$O$32&gt;0,AND(DAY($A16)=MIN(DAY('Recurring Schedule'!$F$32),DAY(EOMONTH($A16,0))),MOD((YEAR($A16)-YEAR('Recurring Schedule'!$F$32))*12+MONTH($A16)-MONTH('Recurring Schedule'!$F$32),'Recurring Schedule'!$O$32)=0),IF('Recurring Schedule'!$E$32="Weekdays",WEEKDAY($A16,2)&lt;=5,$A16='Recurring Schedule'!$F$32))),27,""))))</f>
        <v/>
      </c>
      <c r="AC16">
        <f>IF('Recurring Schedule'!$C$33="","",IF('Recurring Schedule'!$F$33="","",IF(OR($A16&lt;'Recurring Schedule'!$F$33,$A16&gt;'Recurring Schedule'!$P$33),"",IF(IF('Recurring Schedule'!$N$33&gt;0,MOD($A16-'Recurring Schedule'!$F$33,'Recurring Schedule'!$N$33)=0,IF('Recurring Schedule'!$O$33&gt;0,AND(DAY($A16)=MIN(DAY('Recurring Schedule'!$F$33),DAY(EOMONTH($A16,0))),MOD((YEAR($A16)-YEAR('Recurring Schedule'!$F$33))*12+MONTH($A16)-MONTH('Recurring Schedule'!$F$33),'Recurring Schedule'!$O$33)=0),IF('Recurring Schedule'!$E$33="Weekdays",WEEKDAY($A16,2)&lt;=5,$A16='Recurring Schedule'!$F$33))),28,""))))</f>
        <v/>
      </c>
      <c r="AD16">
        <f>IF('Recurring Schedule'!$C$34="","",IF('Recurring Schedule'!$F$34="","",IF(OR($A16&lt;'Recurring Schedule'!$F$34,$A16&gt;'Recurring Schedule'!$P$34),"",IF(IF('Recurring Schedule'!$N$34&gt;0,MOD($A16-'Recurring Schedule'!$F$34,'Recurring Schedule'!$N$34)=0,IF('Recurring Schedule'!$O$34&gt;0,AND(DAY($A16)=MIN(DAY('Recurring Schedule'!$F$34),DAY(EOMONTH($A16,0))),MOD((YEAR($A16)-YEAR('Recurring Schedule'!$F$34))*12+MONTH($A16)-MONTH('Recurring Schedule'!$F$34),'Recurring Schedule'!$O$34)=0),IF('Recurring Schedule'!$E$34="Weekdays",WEEKDAY($A16,2)&lt;=5,$A16='Recurring Schedule'!$F$34))),29,""))))</f>
        <v/>
      </c>
      <c r="AE16">
        <f>IF('Recurring Schedule'!$C$35="","",IF('Recurring Schedule'!$F$35="","",IF(OR($A16&lt;'Recurring Schedule'!$F$35,$A16&gt;'Recurring Schedule'!$P$35),"",IF(IF('Recurring Schedule'!$N$35&gt;0,MOD($A16-'Recurring Schedule'!$F$35,'Recurring Schedule'!$N$35)=0,IF('Recurring Schedule'!$O$35&gt;0,AND(DAY($A16)=MIN(DAY('Recurring Schedule'!$F$35),DAY(EOMONTH($A16,0))),MOD((YEAR($A16)-YEAR('Recurring Schedule'!$F$35))*12+MONTH($A16)-MONTH('Recurring Schedule'!$F$35),'Recurring Schedule'!$O$35)=0),IF('Recurring Schedule'!$E$35="Weekdays",WEEKDAY($A16,2)&lt;=5,$A16='Recurring Schedule'!$F$35))),30,""))))</f>
        <v/>
      </c>
      <c r="AF16">
        <f>IF('Recurring Schedule'!$C$36="","",IF('Recurring Schedule'!$F$36="","",IF(OR($A16&lt;'Recurring Schedule'!$F$36,$A16&gt;'Recurring Schedule'!$P$36),"",IF(IF('Recurring Schedule'!$N$36&gt;0,MOD($A16-'Recurring Schedule'!$F$36,'Recurring Schedule'!$N$36)=0,IF('Recurring Schedule'!$O$36&gt;0,AND(DAY($A16)=MIN(DAY('Recurring Schedule'!$F$36),DAY(EOMONTH($A16,0))),MOD((YEAR($A16)-YEAR('Recurring Schedule'!$F$36))*12+MONTH($A16)-MONTH('Recurring Schedule'!$F$36),'Recurring Schedule'!$O$36)=0),IF('Recurring Schedule'!$E$36="Weekdays",WEEKDAY($A16,2)&lt;=5,$A16='Recurring Schedule'!$F$36))),31,""))))</f>
        <v/>
      </c>
      <c r="AG16">
        <f>IF('Recurring Schedule'!$C$37="","",IF('Recurring Schedule'!$F$37="","",IF(OR($A16&lt;'Recurring Schedule'!$F$37,$A16&gt;'Recurring Schedule'!$P$37),"",IF(IF('Recurring Schedule'!$N$37&gt;0,MOD($A16-'Recurring Schedule'!$F$37,'Recurring Schedule'!$N$37)=0,IF('Recurring Schedule'!$O$37&gt;0,AND(DAY($A16)=MIN(DAY('Recurring Schedule'!$F$37),DAY(EOMONTH($A16,0))),MOD((YEAR($A16)-YEAR('Recurring Schedule'!$F$37))*12+MONTH($A16)-MONTH('Recurring Schedule'!$F$37),'Recurring Schedule'!$O$37)=0),IF('Recurring Schedule'!$E$37="Weekdays",WEEKDAY($A16,2)&lt;=5,$A16='Recurring Schedule'!$F$37))),32,""))))</f>
        <v/>
      </c>
      <c r="AH16">
        <f>IF('Recurring Schedule'!$C$38="","",IF('Recurring Schedule'!$F$38="","",IF(OR($A16&lt;'Recurring Schedule'!$F$38,$A16&gt;'Recurring Schedule'!$P$38),"",IF(IF('Recurring Schedule'!$N$38&gt;0,MOD($A16-'Recurring Schedule'!$F$38,'Recurring Schedule'!$N$38)=0,IF('Recurring Schedule'!$O$38&gt;0,AND(DAY($A16)=MIN(DAY('Recurring Schedule'!$F$38),DAY(EOMONTH($A16,0))),MOD((YEAR($A16)-YEAR('Recurring Schedule'!$F$38))*12+MONTH($A16)-MONTH('Recurring Schedule'!$F$38),'Recurring Schedule'!$O$38)=0),IF('Recurring Schedule'!$E$38="Weekdays",WEEKDAY($A16,2)&lt;=5,$A16='Recurring Schedule'!$F$38))),33,""))))</f>
        <v/>
      </c>
      <c r="AI16">
        <f>IF('Recurring Schedule'!$C$39="","",IF('Recurring Schedule'!$F$39="","",IF(OR($A16&lt;'Recurring Schedule'!$F$39,$A16&gt;'Recurring Schedule'!$P$39),"",IF(IF('Recurring Schedule'!$N$39&gt;0,MOD($A16-'Recurring Schedule'!$F$39,'Recurring Schedule'!$N$39)=0,IF('Recurring Schedule'!$O$39&gt;0,AND(DAY($A16)=MIN(DAY('Recurring Schedule'!$F$39),DAY(EOMONTH($A16,0))),MOD((YEAR($A16)-YEAR('Recurring Schedule'!$F$39))*12+MONTH($A16)-MONTH('Recurring Schedule'!$F$39),'Recurring Schedule'!$O$39)=0),IF('Recurring Schedule'!$E$39="Weekdays",WEEKDAY($A16,2)&lt;=5,$A16='Recurring Schedule'!$F$39))),34,""))))</f>
        <v/>
      </c>
      <c r="AJ16">
        <f>IF('Recurring Schedule'!$C$40="","",IF('Recurring Schedule'!$F$40="","",IF(OR($A16&lt;'Recurring Schedule'!$F$40,$A16&gt;'Recurring Schedule'!$P$40),"",IF(IF('Recurring Schedule'!$N$40&gt;0,MOD($A16-'Recurring Schedule'!$F$40,'Recurring Schedule'!$N$40)=0,IF('Recurring Schedule'!$O$40&gt;0,AND(DAY($A16)=MIN(DAY('Recurring Schedule'!$F$40),DAY(EOMONTH($A16,0))),MOD((YEAR($A16)-YEAR('Recurring Schedule'!$F$40))*12+MONTH($A16)-MONTH('Recurring Schedule'!$F$40),'Recurring Schedule'!$O$40)=0),IF('Recurring Schedule'!$E$40="Weekdays",WEEKDAY($A16,2)&lt;=5,$A16='Recurring Schedule'!$F$40))),35,""))))</f>
        <v/>
      </c>
      <c r="AK16">
        <f>IF('Recurring Schedule'!$C$41="","",IF('Recurring Schedule'!$F$41="","",IF(OR($A16&lt;'Recurring Schedule'!$F$41,$A16&gt;'Recurring Schedule'!$P$41),"",IF(IF('Recurring Schedule'!$N$41&gt;0,MOD($A16-'Recurring Schedule'!$F$41,'Recurring Schedule'!$N$41)=0,IF('Recurring Schedule'!$O$41&gt;0,AND(DAY($A16)=MIN(DAY('Recurring Schedule'!$F$41),DAY(EOMONTH($A16,0))),MOD((YEAR($A16)-YEAR('Recurring Schedule'!$F$41))*12+MONTH($A16)-MONTH('Recurring Schedule'!$F$41),'Recurring Schedule'!$O$41)=0),IF('Recurring Schedule'!$E$41="Weekdays",WEEKDAY($A16,2)&lt;=5,$A16='Recurring Schedule'!$F$41))),36,""))))</f>
        <v/>
      </c>
      <c r="AL16">
        <f>IF('Recurring Schedule'!$C$42="","",IF('Recurring Schedule'!$F$42="","",IF(OR($A16&lt;'Recurring Schedule'!$F$42,$A16&gt;'Recurring Schedule'!$P$42),"",IF(IF('Recurring Schedule'!$N$42&gt;0,MOD($A16-'Recurring Schedule'!$F$42,'Recurring Schedule'!$N$42)=0,IF('Recurring Schedule'!$O$42&gt;0,AND(DAY($A16)=MIN(DAY('Recurring Schedule'!$F$42),DAY(EOMONTH($A16,0))),MOD((YEAR($A16)-YEAR('Recurring Schedule'!$F$42))*12+MONTH($A16)-MONTH('Recurring Schedule'!$F$42),'Recurring Schedule'!$O$42)=0),IF('Recurring Schedule'!$E$42="Weekdays",WEEKDAY($A16,2)&lt;=5,$A16='Recurring Schedule'!$F$42))),37,""))))</f>
        <v/>
      </c>
      <c r="AM16">
        <f>IF('Recurring Schedule'!$C$43="","",IF('Recurring Schedule'!$F$43="","",IF(OR($A16&lt;'Recurring Schedule'!$F$43,$A16&gt;'Recurring Schedule'!$P$43),"",IF(IF('Recurring Schedule'!$N$43&gt;0,MOD($A16-'Recurring Schedule'!$F$43,'Recurring Schedule'!$N$43)=0,IF('Recurring Schedule'!$O$43&gt;0,AND(DAY($A16)=MIN(DAY('Recurring Schedule'!$F$43),DAY(EOMONTH($A16,0))),MOD((YEAR($A16)-YEAR('Recurring Schedule'!$F$43))*12+MONTH($A16)-MONTH('Recurring Schedule'!$F$43),'Recurring Schedule'!$O$43)=0),IF('Recurring Schedule'!$E$43="Weekdays",WEEKDAY($A16,2)&lt;=5,$A16='Recurring Schedule'!$F$43))),38,""))))</f>
        <v/>
      </c>
      <c r="AN16">
        <f>IF('Recurring Schedule'!$C$44="","",IF('Recurring Schedule'!$F$44="","",IF(OR($A16&lt;'Recurring Schedule'!$F$44,$A16&gt;'Recurring Schedule'!$P$44),"",IF(IF('Recurring Schedule'!$N$44&gt;0,MOD($A16-'Recurring Schedule'!$F$44,'Recurring Schedule'!$N$44)=0,IF('Recurring Schedule'!$O$44&gt;0,AND(DAY($A16)=MIN(DAY('Recurring Schedule'!$F$44),DAY(EOMONTH($A16,0))),MOD((YEAR($A16)-YEAR('Recurring Schedule'!$F$44))*12+MONTH($A16)-MONTH('Recurring Schedule'!$F$44),'Recurring Schedule'!$O$44)=0),IF('Recurring Schedule'!$E$44="Weekdays",WEEKDAY($A16,2)&lt;=5,$A16='Recurring Schedule'!$F$44))),39,""))))</f>
        <v/>
      </c>
      <c r="AO16">
        <f>IF('Recurring Schedule'!$C$45="","",IF('Recurring Schedule'!$F$45="","",IF(OR($A16&lt;'Recurring Schedule'!$F$45,$A16&gt;'Recurring Schedule'!$P$45),"",IF(IF('Recurring Schedule'!$N$45&gt;0,MOD($A16-'Recurring Schedule'!$F$45,'Recurring Schedule'!$N$45)=0,IF('Recurring Schedule'!$O$45&gt;0,AND(DAY($A16)=MIN(DAY('Recurring Schedule'!$F$45),DAY(EOMONTH($A16,0))),MOD((YEAR($A16)-YEAR('Recurring Schedule'!$F$45))*12+MONTH($A16)-MONTH('Recurring Schedule'!$F$45),'Recurring Schedule'!$O$45)=0),IF('Recurring Schedule'!$E$45="Weekdays",WEEKDAY($A16,2)&lt;=5,$A16='Recurring Schedule'!$F$45))),40,""))))</f>
        <v/>
      </c>
      <c r="AP16">
        <f>COUNT(B16:AO16)</f>
        <v/>
      </c>
      <c r="AQ16">
        <f>AQ15+AP15</f>
        <v/>
      </c>
      <c r="AS16" t="inlineStr">
        <is>
          <t>R</t>
        </is>
      </c>
      <c r="AT16" t="n">
        <v>20</v>
      </c>
      <c r="AU16">
        <f>'Recurring Log'!C20&amp;""</f>
        <v/>
      </c>
      <c r="AV16">
        <f>'Recurring Log'!D20&amp;""</f>
        <v/>
      </c>
      <c r="AW16">
        <f>IF('Recurring Log'!E20="","",'Recurring Log'!E20)</f>
        <v/>
      </c>
      <c r="AX16">
        <f>IF('Recurring Log'!G20="","",'Recurring Log'!G20)</f>
        <v/>
      </c>
      <c r="AY16">
        <f>IF('Recurring Log'!H20="","",'Recurring Log'!H20)</f>
        <v/>
      </c>
      <c r="AZ16">
        <f>IF(AU16="","",IF('Recurring Log'!J20="","Not Started",'Recurring Log'!J20))</f>
        <v/>
      </c>
      <c r="BA16">
        <f>'Recurring Log'!L20&amp;""</f>
        <v/>
      </c>
      <c r="BB16">
        <f>'Recurring Log'!M20&amp;""</f>
        <v/>
      </c>
      <c r="BC16">
        <f>'Recurring Log'!N20&amp;""</f>
        <v/>
      </c>
      <c r="BD16">
        <f>'Recurring Log'!O20&amp;""</f>
        <v/>
      </c>
      <c r="BE16">
        <f>IF('Recurring Log'!K20="","",'Recurring Log'!K20)</f>
        <v/>
      </c>
      <c r="BF16">
        <f>IFERROR(MATCH(BA16,Setup!$L$6:$L$9,0),5)</f>
        <v/>
      </c>
      <c r="BG16">
        <f>IF(OR(AZ16="Done",AZ16="Cancelled"),1,0)</f>
        <v/>
      </c>
      <c r="BH16">
        <f>IF(AND(AU16&lt;&gt;"",ISNUMBER(AW16)),1,0)</f>
        <v/>
      </c>
      <c r="BI16">
        <f>IF(BH16=0,0,IF(AND(AW16&gt;='Tasks Filter'!$F$3,AW16&lt;='Tasks Filter'!$F$4,OR('Tasks Filter'!$I$3="",ISNUMBER(SEARCH('Tasks Filter'!$I$3,AU16))),OR('Tasks Filter'!$I$4="",BF16=IFERROR(MATCH('Tasks Filter'!$I$4,Setup!$L$6:$L$9,0),0)),OR('Tasks Filter'!$I$5="Both",AND('Tasks Filter'!$I$5="Yes",BB16="✓"),AND('Tasks Filter'!$I$5="No",BB16&lt;&gt;"✓")),OR('Tasks Filter'!$L$3="",AV16='Tasks Filter'!$L$3),OR('Tasks Filter'!$L$4="",AZ16='Tasks Filter'!$L$4),OR('Tasks Filter'!$L$5="",BC16='Tasks Filter'!$L$5),OR('Tasks Filter'!$O$3="",BD16='Tasks Filter'!$O$3),OR('Tasks Filter'!$O$4="Yes",BG16=0)),1,0))</f>
        <v/>
      </c>
      <c r="BJ16">
        <f>IF(BH16=0,"",IF('Tasks Filter'!$F$6="Descending",-1,1)*CHOOSE(MATCH('Tasks Filter'!$F$5,Lists!$G$2:$G$6,0),AW16,BF16,IFERROR(MATCH(AV16,Setup!$F$6:$F$15,0),99),IFERROR(MATCH(BC16,Setup!$H$6:$H$15,0),99),IFERROR(MATCH(AZ16,Setup!$J$6:$J$11,0),99))*1E+9+(AW16-40000)*10000+15)</f>
        <v/>
      </c>
      <c r="BK16">
        <f>IF(BI16=1,BJ16,"")</f>
        <v/>
      </c>
      <c r="BL16">
        <f>IF(AND(BH16=1,BG16=0,N(AW16)&lt;Setup!$D$7),(AW16-40000)*10000+15,"")</f>
        <v/>
      </c>
      <c r="BM16">
        <f>IF(AND(BH16=1,AZ16&lt;&gt;"Cancelled",N(AW16)&gt;=Dashboard!$AB$3,N(AW16)&lt;=Dashboard!$AB$3+6),(AW16-40000)*100000+BF16*10000+15,"")</f>
        <v/>
      </c>
      <c r="BN16">
        <f>IF(AND(BH16=1,AZ16&lt;&gt;"Cancelled"),BF16*10000+15,"")</f>
        <v/>
      </c>
    </row>
    <row r="17">
      <c r="A17">
        <f>Setup!$D$5+15</f>
        <v/>
      </c>
      <c r="B17">
        <f>IF('Recurring Schedule'!$C$6="","",IF('Recurring Schedule'!$F$6="","",IF(OR($A17&lt;'Recurring Schedule'!$F$6,$A17&gt;'Recurring Schedule'!$P$6),"",IF(IF('Recurring Schedule'!$N$6&gt;0,MOD($A17-'Recurring Schedule'!$F$6,'Recurring Schedule'!$N$6)=0,IF('Recurring Schedule'!$O$6&gt;0,AND(DAY($A17)=MIN(DAY('Recurring Schedule'!$F$6),DAY(EOMONTH($A17,0))),MOD((YEAR($A17)-YEAR('Recurring Schedule'!$F$6))*12+MONTH($A17)-MONTH('Recurring Schedule'!$F$6),'Recurring Schedule'!$O$6)=0),IF('Recurring Schedule'!$E$6="Weekdays",WEEKDAY($A17,2)&lt;=5,$A17='Recurring Schedule'!$F$6))),1,""))))</f>
        <v/>
      </c>
      <c r="C17">
        <f>IF('Recurring Schedule'!$C$7="","",IF('Recurring Schedule'!$F$7="","",IF(OR($A17&lt;'Recurring Schedule'!$F$7,$A17&gt;'Recurring Schedule'!$P$7),"",IF(IF('Recurring Schedule'!$N$7&gt;0,MOD($A17-'Recurring Schedule'!$F$7,'Recurring Schedule'!$N$7)=0,IF('Recurring Schedule'!$O$7&gt;0,AND(DAY($A17)=MIN(DAY('Recurring Schedule'!$F$7),DAY(EOMONTH($A17,0))),MOD((YEAR($A17)-YEAR('Recurring Schedule'!$F$7))*12+MONTH($A17)-MONTH('Recurring Schedule'!$F$7),'Recurring Schedule'!$O$7)=0),IF('Recurring Schedule'!$E$7="Weekdays",WEEKDAY($A17,2)&lt;=5,$A17='Recurring Schedule'!$F$7))),2,""))))</f>
        <v/>
      </c>
      <c r="D17">
        <f>IF('Recurring Schedule'!$C$8="","",IF('Recurring Schedule'!$F$8="","",IF(OR($A17&lt;'Recurring Schedule'!$F$8,$A17&gt;'Recurring Schedule'!$P$8),"",IF(IF('Recurring Schedule'!$N$8&gt;0,MOD($A17-'Recurring Schedule'!$F$8,'Recurring Schedule'!$N$8)=0,IF('Recurring Schedule'!$O$8&gt;0,AND(DAY($A17)=MIN(DAY('Recurring Schedule'!$F$8),DAY(EOMONTH($A17,0))),MOD((YEAR($A17)-YEAR('Recurring Schedule'!$F$8))*12+MONTH($A17)-MONTH('Recurring Schedule'!$F$8),'Recurring Schedule'!$O$8)=0),IF('Recurring Schedule'!$E$8="Weekdays",WEEKDAY($A17,2)&lt;=5,$A17='Recurring Schedule'!$F$8))),3,""))))</f>
        <v/>
      </c>
      <c r="E17">
        <f>IF('Recurring Schedule'!$C$9="","",IF('Recurring Schedule'!$F$9="","",IF(OR($A17&lt;'Recurring Schedule'!$F$9,$A17&gt;'Recurring Schedule'!$P$9),"",IF(IF('Recurring Schedule'!$N$9&gt;0,MOD($A17-'Recurring Schedule'!$F$9,'Recurring Schedule'!$N$9)=0,IF('Recurring Schedule'!$O$9&gt;0,AND(DAY($A17)=MIN(DAY('Recurring Schedule'!$F$9),DAY(EOMONTH($A17,0))),MOD((YEAR($A17)-YEAR('Recurring Schedule'!$F$9))*12+MONTH($A17)-MONTH('Recurring Schedule'!$F$9),'Recurring Schedule'!$O$9)=0),IF('Recurring Schedule'!$E$9="Weekdays",WEEKDAY($A17,2)&lt;=5,$A17='Recurring Schedule'!$F$9))),4,""))))</f>
        <v/>
      </c>
      <c r="F17">
        <f>IF('Recurring Schedule'!$C$10="","",IF('Recurring Schedule'!$F$10="","",IF(OR($A17&lt;'Recurring Schedule'!$F$10,$A17&gt;'Recurring Schedule'!$P$10),"",IF(IF('Recurring Schedule'!$N$10&gt;0,MOD($A17-'Recurring Schedule'!$F$10,'Recurring Schedule'!$N$10)=0,IF('Recurring Schedule'!$O$10&gt;0,AND(DAY($A17)=MIN(DAY('Recurring Schedule'!$F$10),DAY(EOMONTH($A17,0))),MOD((YEAR($A17)-YEAR('Recurring Schedule'!$F$10))*12+MONTH($A17)-MONTH('Recurring Schedule'!$F$10),'Recurring Schedule'!$O$10)=0),IF('Recurring Schedule'!$E$10="Weekdays",WEEKDAY($A17,2)&lt;=5,$A17='Recurring Schedule'!$F$10))),5,""))))</f>
        <v/>
      </c>
      <c r="G17">
        <f>IF('Recurring Schedule'!$C$11="","",IF('Recurring Schedule'!$F$11="","",IF(OR($A17&lt;'Recurring Schedule'!$F$11,$A17&gt;'Recurring Schedule'!$P$11),"",IF(IF('Recurring Schedule'!$N$11&gt;0,MOD($A17-'Recurring Schedule'!$F$11,'Recurring Schedule'!$N$11)=0,IF('Recurring Schedule'!$O$11&gt;0,AND(DAY($A17)=MIN(DAY('Recurring Schedule'!$F$11),DAY(EOMONTH($A17,0))),MOD((YEAR($A17)-YEAR('Recurring Schedule'!$F$11))*12+MONTH($A17)-MONTH('Recurring Schedule'!$F$11),'Recurring Schedule'!$O$11)=0),IF('Recurring Schedule'!$E$11="Weekdays",WEEKDAY($A17,2)&lt;=5,$A17='Recurring Schedule'!$F$11))),6,""))))</f>
        <v/>
      </c>
      <c r="H17">
        <f>IF('Recurring Schedule'!$C$12="","",IF('Recurring Schedule'!$F$12="","",IF(OR($A17&lt;'Recurring Schedule'!$F$12,$A17&gt;'Recurring Schedule'!$P$12),"",IF(IF('Recurring Schedule'!$N$12&gt;0,MOD($A17-'Recurring Schedule'!$F$12,'Recurring Schedule'!$N$12)=0,IF('Recurring Schedule'!$O$12&gt;0,AND(DAY($A17)=MIN(DAY('Recurring Schedule'!$F$12),DAY(EOMONTH($A17,0))),MOD((YEAR($A17)-YEAR('Recurring Schedule'!$F$12))*12+MONTH($A17)-MONTH('Recurring Schedule'!$F$12),'Recurring Schedule'!$O$12)=0),IF('Recurring Schedule'!$E$12="Weekdays",WEEKDAY($A17,2)&lt;=5,$A17='Recurring Schedule'!$F$12))),7,""))))</f>
        <v/>
      </c>
      <c r="I17">
        <f>IF('Recurring Schedule'!$C$13="","",IF('Recurring Schedule'!$F$13="","",IF(OR($A17&lt;'Recurring Schedule'!$F$13,$A17&gt;'Recurring Schedule'!$P$13),"",IF(IF('Recurring Schedule'!$N$13&gt;0,MOD($A17-'Recurring Schedule'!$F$13,'Recurring Schedule'!$N$13)=0,IF('Recurring Schedule'!$O$13&gt;0,AND(DAY($A17)=MIN(DAY('Recurring Schedule'!$F$13),DAY(EOMONTH($A17,0))),MOD((YEAR($A17)-YEAR('Recurring Schedule'!$F$13))*12+MONTH($A17)-MONTH('Recurring Schedule'!$F$13),'Recurring Schedule'!$O$13)=0),IF('Recurring Schedule'!$E$13="Weekdays",WEEKDAY($A17,2)&lt;=5,$A17='Recurring Schedule'!$F$13))),8,""))))</f>
        <v/>
      </c>
      <c r="J17">
        <f>IF('Recurring Schedule'!$C$14="","",IF('Recurring Schedule'!$F$14="","",IF(OR($A17&lt;'Recurring Schedule'!$F$14,$A17&gt;'Recurring Schedule'!$P$14),"",IF(IF('Recurring Schedule'!$N$14&gt;0,MOD($A17-'Recurring Schedule'!$F$14,'Recurring Schedule'!$N$14)=0,IF('Recurring Schedule'!$O$14&gt;0,AND(DAY($A17)=MIN(DAY('Recurring Schedule'!$F$14),DAY(EOMONTH($A17,0))),MOD((YEAR($A17)-YEAR('Recurring Schedule'!$F$14))*12+MONTH($A17)-MONTH('Recurring Schedule'!$F$14),'Recurring Schedule'!$O$14)=0),IF('Recurring Schedule'!$E$14="Weekdays",WEEKDAY($A17,2)&lt;=5,$A17='Recurring Schedule'!$F$14))),9,""))))</f>
        <v/>
      </c>
      <c r="K17">
        <f>IF('Recurring Schedule'!$C$15="","",IF('Recurring Schedule'!$F$15="","",IF(OR($A17&lt;'Recurring Schedule'!$F$15,$A17&gt;'Recurring Schedule'!$P$15),"",IF(IF('Recurring Schedule'!$N$15&gt;0,MOD($A17-'Recurring Schedule'!$F$15,'Recurring Schedule'!$N$15)=0,IF('Recurring Schedule'!$O$15&gt;0,AND(DAY($A17)=MIN(DAY('Recurring Schedule'!$F$15),DAY(EOMONTH($A17,0))),MOD((YEAR($A17)-YEAR('Recurring Schedule'!$F$15))*12+MONTH($A17)-MONTH('Recurring Schedule'!$F$15),'Recurring Schedule'!$O$15)=0),IF('Recurring Schedule'!$E$15="Weekdays",WEEKDAY($A17,2)&lt;=5,$A17='Recurring Schedule'!$F$15))),10,""))))</f>
        <v/>
      </c>
      <c r="L17">
        <f>IF('Recurring Schedule'!$C$16="","",IF('Recurring Schedule'!$F$16="","",IF(OR($A17&lt;'Recurring Schedule'!$F$16,$A17&gt;'Recurring Schedule'!$P$16),"",IF(IF('Recurring Schedule'!$N$16&gt;0,MOD($A17-'Recurring Schedule'!$F$16,'Recurring Schedule'!$N$16)=0,IF('Recurring Schedule'!$O$16&gt;0,AND(DAY($A17)=MIN(DAY('Recurring Schedule'!$F$16),DAY(EOMONTH($A17,0))),MOD((YEAR($A17)-YEAR('Recurring Schedule'!$F$16))*12+MONTH($A17)-MONTH('Recurring Schedule'!$F$16),'Recurring Schedule'!$O$16)=0),IF('Recurring Schedule'!$E$16="Weekdays",WEEKDAY($A17,2)&lt;=5,$A17='Recurring Schedule'!$F$16))),11,""))))</f>
        <v/>
      </c>
      <c r="M17">
        <f>IF('Recurring Schedule'!$C$17="","",IF('Recurring Schedule'!$F$17="","",IF(OR($A17&lt;'Recurring Schedule'!$F$17,$A17&gt;'Recurring Schedule'!$P$17),"",IF(IF('Recurring Schedule'!$N$17&gt;0,MOD($A17-'Recurring Schedule'!$F$17,'Recurring Schedule'!$N$17)=0,IF('Recurring Schedule'!$O$17&gt;0,AND(DAY($A17)=MIN(DAY('Recurring Schedule'!$F$17),DAY(EOMONTH($A17,0))),MOD((YEAR($A17)-YEAR('Recurring Schedule'!$F$17))*12+MONTH($A17)-MONTH('Recurring Schedule'!$F$17),'Recurring Schedule'!$O$17)=0),IF('Recurring Schedule'!$E$17="Weekdays",WEEKDAY($A17,2)&lt;=5,$A17='Recurring Schedule'!$F$17))),12,""))))</f>
        <v/>
      </c>
      <c r="N17">
        <f>IF('Recurring Schedule'!$C$18="","",IF('Recurring Schedule'!$F$18="","",IF(OR($A17&lt;'Recurring Schedule'!$F$18,$A17&gt;'Recurring Schedule'!$P$18),"",IF(IF('Recurring Schedule'!$N$18&gt;0,MOD($A17-'Recurring Schedule'!$F$18,'Recurring Schedule'!$N$18)=0,IF('Recurring Schedule'!$O$18&gt;0,AND(DAY($A17)=MIN(DAY('Recurring Schedule'!$F$18),DAY(EOMONTH($A17,0))),MOD((YEAR($A17)-YEAR('Recurring Schedule'!$F$18))*12+MONTH($A17)-MONTH('Recurring Schedule'!$F$18),'Recurring Schedule'!$O$18)=0),IF('Recurring Schedule'!$E$18="Weekdays",WEEKDAY($A17,2)&lt;=5,$A17='Recurring Schedule'!$F$18))),13,""))))</f>
        <v/>
      </c>
      <c r="O17">
        <f>IF('Recurring Schedule'!$C$19="","",IF('Recurring Schedule'!$F$19="","",IF(OR($A17&lt;'Recurring Schedule'!$F$19,$A17&gt;'Recurring Schedule'!$P$19),"",IF(IF('Recurring Schedule'!$N$19&gt;0,MOD($A17-'Recurring Schedule'!$F$19,'Recurring Schedule'!$N$19)=0,IF('Recurring Schedule'!$O$19&gt;0,AND(DAY($A17)=MIN(DAY('Recurring Schedule'!$F$19),DAY(EOMONTH($A17,0))),MOD((YEAR($A17)-YEAR('Recurring Schedule'!$F$19))*12+MONTH($A17)-MONTH('Recurring Schedule'!$F$19),'Recurring Schedule'!$O$19)=0),IF('Recurring Schedule'!$E$19="Weekdays",WEEKDAY($A17,2)&lt;=5,$A17='Recurring Schedule'!$F$19))),14,""))))</f>
        <v/>
      </c>
      <c r="P17">
        <f>IF('Recurring Schedule'!$C$20="","",IF('Recurring Schedule'!$F$20="","",IF(OR($A17&lt;'Recurring Schedule'!$F$20,$A17&gt;'Recurring Schedule'!$P$20),"",IF(IF('Recurring Schedule'!$N$20&gt;0,MOD($A17-'Recurring Schedule'!$F$20,'Recurring Schedule'!$N$20)=0,IF('Recurring Schedule'!$O$20&gt;0,AND(DAY($A17)=MIN(DAY('Recurring Schedule'!$F$20),DAY(EOMONTH($A17,0))),MOD((YEAR($A17)-YEAR('Recurring Schedule'!$F$20))*12+MONTH($A17)-MONTH('Recurring Schedule'!$F$20),'Recurring Schedule'!$O$20)=0),IF('Recurring Schedule'!$E$20="Weekdays",WEEKDAY($A17,2)&lt;=5,$A17='Recurring Schedule'!$F$20))),15,""))))</f>
        <v/>
      </c>
      <c r="Q17">
        <f>IF('Recurring Schedule'!$C$21="","",IF('Recurring Schedule'!$F$21="","",IF(OR($A17&lt;'Recurring Schedule'!$F$21,$A17&gt;'Recurring Schedule'!$P$21),"",IF(IF('Recurring Schedule'!$N$21&gt;0,MOD($A17-'Recurring Schedule'!$F$21,'Recurring Schedule'!$N$21)=0,IF('Recurring Schedule'!$O$21&gt;0,AND(DAY($A17)=MIN(DAY('Recurring Schedule'!$F$21),DAY(EOMONTH($A17,0))),MOD((YEAR($A17)-YEAR('Recurring Schedule'!$F$21))*12+MONTH($A17)-MONTH('Recurring Schedule'!$F$21),'Recurring Schedule'!$O$21)=0),IF('Recurring Schedule'!$E$21="Weekdays",WEEKDAY($A17,2)&lt;=5,$A17='Recurring Schedule'!$F$21))),16,""))))</f>
        <v/>
      </c>
      <c r="R17">
        <f>IF('Recurring Schedule'!$C$22="","",IF('Recurring Schedule'!$F$22="","",IF(OR($A17&lt;'Recurring Schedule'!$F$22,$A17&gt;'Recurring Schedule'!$P$22),"",IF(IF('Recurring Schedule'!$N$22&gt;0,MOD($A17-'Recurring Schedule'!$F$22,'Recurring Schedule'!$N$22)=0,IF('Recurring Schedule'!$O$22&gt;0,AND(DAY($A17)=MIN(DAY('Recurring Schedule'!$F$22),DAY(EOMONTH($A17,0))),MOD((YEAR($A17)-YEAR('Recurring Schedule'!$F$22))*12+MONTH($A17)-MONTH('Recurring Schedule'!$F$22),'Recurring Schedule'!$O$22)=0),IF('Recurring Schedule'!$E$22="Weekdays",WEEKDAY($A17,2)&lt;=5,$A17='Recurring Schedule'!$F$22))),17,""))))</f>
        <v/>
      </c>
      <c r="S17">
        <f>IF('Recurring Schedule'!$C$23="","",IF('Recurring Schedule'!$F$23="","",IF(OR($A17&lt;'Recurring Schedule'!$F$23,$A17&gt;'Recurring Schedule'!$P$23),"",IF(IF('Recurring Schedule'!$N$23&gt;0,MOD($A17-'Recurring Schedule'!$F$23,'Recurring Schedule'!$N$23)=0,IF('Recurring Schedule'!$O$23&gt;0,AND(DAY($A17)=MIN(DAY('Recurring Schedule'!$F$23),DAY(EOMONTH($A17,0))),MOD((YEAR($A17)-YEAR('Recurring Schedule'!$F$23))*12+MONTH($A17)-MONTH('Recurring Schedule'!$F$23),'Recurring Schedule'!$O$23)=0),IF('Recurring Schedule'!$E$23="Weekdays",WEEKDAY($A17,2)&lt;=5,$A17='Recurring Schedule'!$F$23))),18,""))))</f>
        <v/>
      </c>
      <c r="T17">
        <f>IF('Recurring Schedule'!$C$24="","",IF('Recurring Schedule'!$F$24="","",IF(OR($A17&lt;'Recurring Schedule'!$F$24,$A17&gt;'Recurring Schedule'!$P$24),"",IF(IF('Recurring Schedule'!$N$24&gt;0,MOD($A17-'Recurring Schedule'!$F$24,'Recurring Schedule'!$N$24)=0,IF('Recurring Schedule'!$O$24&gt;0,AND(DAY($A17)=MIN(DAY('Recurring Schedule'!$F$24),DAY(EOMONTH($A17,0))),MOD((YEAR($A17)-YEAR('Recurring Schedule'!$F$24))*12+MONTH($A17)-MONTH('Recurring Schedule'!$F$24),'Recurring Schedule'!$O$24)=0),IF('Recurring Schedule'!$E$24="Weekdays",WEEKDAY($A17,2)&lt;=5,$A17='Recurring Schedule'!$F$24))),19,""))))</f>
        <v/>
      </c>
      <c r="U17">
        <f>IF('Recurring Schedule'!$C$25="","",IF('Recurring Schedule'!$F$25="","",IF(OR($A17&lt;'Recurring Schedule'!$F$25,$A17&gt;'Recurring Schedule'!$P$25),"",IF(IF('Recurring Schedule'!$N$25&gt;0,MOD($A17-'Recurring Schedule'!$F$25,'Recurring Schedule'!$N$25)=0,IF('Recurring Schedule'!$O$25&gt;0,AND(DAY($A17)=MIN(DAY('Recurring Schedule'!$F$25),DAY(EOMONTH($A17,0))),MOD((YEAR($A17)-YEAR('Recurring Schedule'!$F$25))*12+MONTH($A17)-MONTH('Recurring Schedule'!$F$25),'Recurring Schedule'!$O$25)=0),IF('Recurring Schedule'!$E$25="Weekdays",WEEKDAY($A17,2)&lt;=5,$A17='Recurring Schedule'!$F$25))),20,""))))</f>
        <v/>
      </c>
      <c r="V17">
        <f>IF('Recurring Schedule'!$C$26="","",IF('Recurring Schedule'!$F$26="","",IF(OR($A17&lt;'Recurring Schedule'!$F$26,$A17&gt;'Recurring Schedule'!$P$26),"",IF(IF('Recurring Schedule'!$N$26&gt;0,MOD($A17-'Recurring Schedule'!$F$26,'Recurring Schedule'!$N$26)=0,IF('Recurring Schedule'!$O$26&gt;0,AND(DAY($A17)=MIN(DAY('Recurring Schedule'!$F$26),DAY(EOMONTH($A17,0))),MOD((YEAR($A17)-YEAR('Recurring Schedule'!$F$26))*12+MONTH($A17)-MONTH('Recurring Schedule'!$F$26),'Recurring Schedule'!$O$26)=0),IF('Recurring Schedule'!$E$26="Weekdays",WEEKDAY($A17,2)&lt;=5,$A17='Recurring Schedule'!$F$26))),21,""))))</f>
        <v/>
      </c>
      <c r="W17">
        <f>IF('Recurring Schedule'!$C$27="","",IF('Recurring Schedule'!$F$27="","",IF(OR($A17&lt;'Recurring Schedule'!$F$27,$A17&gt;'Recurring Schedule'!$P$27),"",IF(IF('Recurring Schedule'!$N$27&gt;0,MOD($A17-'Recurring Schedule'!$F$27,'Recurring Schedule'!$N$27)=0,IF('Recurring Schedule'!$O$27&gt;0,AND(DAY($A17)=MIN(DAY('Recurring Schedule'!$F$27),DAY(EOMONTH($A17,0))),MOD((YEAR($A17)-YEAR('Recurring Schedule'!$F$27))*12+MONTH($A17)-MONTH('Recurring Schedule'!$F$27),'Recurring Schedule'!$O$27)=0),IF('Recurring Schedule'!$E$27="Weekdays",WEEKDAY($A17,2)&lt;=5,$A17='Recurring Schedule'!$F$27))),22,""))))</f>
        <v/>
      </c>
      <c r="X17">
        <f>IF('Recurring Schedule'!$C$28="","",IF('Recurring Schedule'!$F$28="","",IF(OR($A17&lt;'Recurring Schedule'!$F$28,$A17&gt;'Recurring Schedule'!$P$28),"",IF(IF('Recurring Schedule'!$N$28&gt;0,MOD($A17-'Recurring Schedule'!$F$28,'Recurring Schedule'!$N$28)=0,IF('Recurring Schedule'!$O$28&gt;0,AND(DAY($A17)=MIN(DAY('Recurring Schedule'!$F$28),DAY(EOMONTH($A17,0))),MOD((YEAR($A17)-YEAR('Recurring Schedule'!$F$28))*12+MONTH($A17)-MONTH('Recurring Schedule'!$F$28),'Recurring Schedule'!$O$28)=0),IF('Recurring Schedule'!$E$28="Weekdays",WEEKDAY($A17,2)&lt;=5,$A17='Recurring Schedule'!$F$28))),23,""))))</f>
        <v/>
      </c>
      <c r="Y17">
        <f>IF('Recurring Schedule'!$C$29="","",IF('Recurring Schedule'!$F$29="","",IF(OR($A17&lt;'Recurring Schedule'!$F$29,$A17&gt;'Recurring Schedule'!$P$29),"",IF(IF('Recurring Schedule'!$N$29&gt;0,MOD($A17-'Recurring Schedule'!$F$29,'Recurring Schedule'!$N$29)=0,IF('Recurring Schedule'!$O$29&gt;0,AND(DAY($A17)=MIN(DAY('Recurring Schedule'!$F$29),DAY(EOMONTH($A17,0))),MOD((YEAR($A17)-YEAR('Recurring Schedule'!$F$29))*12+MONTH($A17)-MONTH('Recurring Schedule'!$F$29),'Recurring Schedule'!$O$29)=0),IF('Recurring Schedule'!$E$29="Weekdays",WEEKDAY($A17,2)&lt;=5,$A17='Recurring Schedule'!$F$29))),24,""))))</f>
        <v/>
      </c>
      <c r="Z17">
        <f>IF('Recurring Schedule'!$C$30="","",IF('Recurring Schedule'!$F$30="","",IF(OR($A17&lt;'Recurring Schedule'!$F$30,$A17&gt;'Recurring Schedule'!$P$30),"",IF(IF('Recurring Schedule'!$N$30&gt;0,MOD($A17-'Recurring Schedule'!$F$30,'Recurring Schedule'!$N$30)=0,IF('Recurring Schedule'!$O$30&gt;0,AND(DAY($A17)=MIN(DAY('Recurring Schedule'!$F$30),DAY(EOMONTH($A17,0))),MOD((YEAR($A17)-YEAR('Recurring Schedule'!$F$30))*12+MONTH($A17)-MONTH('Recurring Schedule'!$F$30),'Recurring Schedule'!$O$30)=0),IF('Recurring Schedule'!$E$30="Weekdays",WEEKDAY($A17,2)&lt;=5,$A17='Recurring Schedule'!$F$30))),25,""))))</f>
        <v/>
      </c>
      <c r="AA17">
        <f>IF('Recurring Schedule'!$C$31="","",IF('Recurring Schedule'!$F$31="","",IF(OR($A17&lt;'Recurring Schedule'!$F$31,$A17&gt;'Recurring Schedule'!$P$31),"",IF(IF('Recurring Schedule'!$N$31&gt;0,MOD($A17-'Recurring Schedule'!$F$31,'Recurring Schedule'!$N$31)=0,IF('Recurring Schedule'!$O$31&gt;0,AND(DAY($A17)=MIN(DAY('Recurring Schedule'!$F$31),DAY(EOMONTH($A17,0))),MOD((YEAR($A17)-YEAR('Recurring Schedule'!$F$31))*12+MONTH($A17)-MONTH('Recurring Schedule'!$F$31),'Recurring Schedule'!$O$31)=0),IF('Recurring Schedule'!$E$31="Weekdays",WEEKDAY($A17,2)&lt;=5,$A17='Recurring Schedule'!$F$31))),26,""))))</f>
        <v/>
      </c>
      <c r="AB17">
        <f>IF('Recurring Schedule'!$C$32="","",IF('Recurring Schedule'!$F$32="","",IF(OR($A17&lt;'Recurring Schedule'!$F$32,$A17&gt;'Recurring Schedule'!$P$32),"",IF(IF('Recurring Schedule'!$N$32&gt;0,MOD($A17-'Recurring Schedule'!$F$32,'Recurring Schedule'!$N$32)=0,IF('Recurring Schedule'!$O$32&gt;0,AND(DAY($A17)=MIN(DAY('Recurring Schedule'!$F$32),DAY(EOMONTH($A17,0))),MOD((YEAR($A17)-YEAR('Recurring Schedule'!$F$32))*12+MONTH($A17)-MONTH('Recurring Schedule'!$F$32),'Recurring Schedule'!$O$32)=0),IF('Recurring Schedule'!$E$32="Weekdays",WEEKDAY($A17,2)&lt;=5,$A17='Recurring Schedule'!$F$32))),27,""))))</f>
        <v/>
      </c>
      <c r="AC17">
        <f>IF('Recurring Schedule'!$C$33="","",IF('Recurring Schedule'!$F$33="","",IF(OR($A17&lt;'Recurring Schedule'!$F$33,$A17&gt;'Recurring Schedule'!$P$33),"",IF(IF('Recurring Schedule'!$N$33&gt;0,MOD($A17-'Recurring Schedule'!$F$33,'Recurring Schedule'!$N$33)=0,IF('Recurring Schedule'!$O$33&gt;0,AND(DAY($A17)=MIN(DAY('Recurring Schedule'!$F$33),DAY(EOMONTH($A17,0))),MOD((YEAR($A17)-YEAR('Recurring Schedule'!$F$33))*12+MONTH($A17)-MONTH('Recurring Schedule'!$F$33),'Recurring Schedule'!$O$33)=0),IF('Recurring Schedule'!$E$33="Weekdays",WEEKDAY($A17,2)&lt;=5,$A17='Recurring Schedule'!$F$33))),28,""))))</f>
        <v/>
      </c>
      <c r="AD17">
        <f>IF('Recurring Schedule'!$C$34="","",IF('Recurring Schedule'!$F$34="","",IF(OR($A17&lt;'Recurring Schedule'!$F$34,$A17&gt;'Recurring Schedule'!$P$34),"",IF(IF('Recurring Schedule'!$N$34&gt;0,MOD($A17-'Recurring Schedule'!$F$34,'Recurring Schedule'!$N$34)=0,IF('Recurring Schedule'!$O$34&gt;0,AND(DAY($A17)=MIN(DAY('Recurring Schedule'!$F$34),DAY(EOMONTH($A17,0))),MOD((YEAR($A17)-YEAR('Recurring Schedule'!$F$34))*12+MONTH($A17)-MONTH('Recurring Schedule'!$F$34),'Recurring Schedule'!$O$34)=0),IF('Recurring Schedule'!$E$34="Weekdays",WEEKDAY($A17,2)&lt;=5,$A17='Recurring Schedule'!$F$34))),29,""))))</f>
        <v/>
      </c>
      <c r="AE17">
        <f>IF('Recurring Schedule'!$C$35="","",IF('Recurring Schedule'!$F$35="","",IF(OR($A17&lt;'Recurring Schedule'!$F$35,$A17&gt;'Recurring Schedule'!$P$35),"",IF(IF('Recurring Schedule'!$N$35&gt;0,MOD($A17-'Recurring Schedule'!$F$35,'Recurring Schedule'!$N$35)=0,IF('Recurring Schedule'!$O$35&gt;0,AND(DAY($A17)=MIN(DAY('Recurring Schedule'!$F$35),DAY(EOMONTH($A17,0))),MOD((YEAR($A17)-YEAR('Recurring Schedule'!$F$35))*12+MONTH($A17)-MONTH('Recurring Schedule'!$F$35),'Recurring Schedule'!$O$35)=0),IF('Recurring Schedule'!$E$35="Weekdays",WEEKDAY($A17,2)&lt;=5,$A17='Recurring Schedule'!$F$35))),30,""))))</f>
        <v/>
      </c>
      <c r="AF17">
        <f>IF('Recurring Schedule'!$C$36="","",IF('Recurring Schedule'!$F$36="","",IF(OR($A17&lt;'Recurring Schedule'!$F$36,$A17&gt;'Recurring Schedule'!$P$36),"",IF(IF('Recurring Schedule'!$N$36&gt;0,MOD($A17-'Recurring Schedule'!$F$36,'Recurring Schedule'!$N$36)=0,IF('Recurring Schedule'!$O$36&gt;0,AND(DAY($A17)=MIN(DAY('Recurring Schedule'!$F$36),DAY(EOMONTH($A17,0))),MOD((YEAR($A17)-YEAR('Recurring Schedule'!$F$36))*12+MONTH($A17)-MONTH('Recurring Schedule'!$F$36),'Recurring Schedule'!$O$36)=0),IF('Recurring Schedule'!$E$36="Weekdays",WEEKDAY($A17,2)&lt;=5,$A17='Recurring Schedule'!$F$36))),31,""))))</f>
        <v/>
      </c>
      <c r="AG17">
        <f>IF('Recurring Schedule'!$C$37="","",IF('Recurring Schedule'!$F$37="","",IF(OR($A17&lt;'Recurring Schedule'!$F$37,$A17&gt;'Recurring Schedule'!$P$37),"",IF(IF('Recurring Schedule'!$N$37&gt;0,MOD($A17-'Recurring Schedule'!$F$37,'Recurring Schedule'!$N$37)=0,IF('Recurring Schedule'!$O$37&gt;0,AND(DAY($A17)=MIN(DAY('Recurring Schedule'!$F$37),DAY(EOMONTH($A17,0))),MOD((YEAR($A17)-YEAR('Recurring Schedule'!$F$37))*12+MONTH($A17)-MONTH('Recurring Schedule'!$F$37),'Recurring Schedule'!$O$37)=0),IF('Recurring Schedule'!$E$37="Weekdays",WEEKDAY($A17,2)&lt;=5,$A17='Recurring Schedule'!$F$37))),32,""))))</f>
        <v/>
      </c>
      <c r="AH17">
        <f>IF('Recurring Schedule'!$C$38="","",IF('Recurring Schedule'!$F$38="","",IF(OR($A17&lt;'Recurring Schedule'!$F$38,$A17&gt;'Recurring Schedule'!$P$38),"",IF(IF('Recurring Schedule'!$N$38&gt;0,MOD($A17-'Recurring Schedule'!$F$38,'Recurring Schedule'!$N$38)=0,IF('Recurring Schedule'!$O$38&gt;0,AND(DAY($A17)=MIN(DAY('Recurring Schedule'!$F$38),DAY(EOMONTH($A17,0))),MOD((YEAR($A17)-YEAR('Recurring Schedule'!$F$38))*12+MONTH($A17)-MONTH('Recurring Schedule'!$F$38),'Recurring Schedule'!$O$38)=0),IF('Recurring Schedule'!$E$38="Weekdays",WEEKDAY($A17,2)&lt;=5,$A17='Recurring Schedule'!$F$38))),33,""))))</f>
        <v/>
      </c>
      <c r="AI17">
        <f>IF('Recurring Schedule'!$C$39="","",IF('Recurring Schedule'!$F$39="","",IF(OR($A17&lt;'Recurring Schedule'!$F$39,$A17&gt;'Recurring Schedule'!$P$39),"",IF(IF('Recurring Schedule'!$N$39&gt;0,MOD($A17-'Recurring Schedule'!$F$39,'Recurring Schedule'!$N$39)=0,IF('Recurring Schedule'!$O$39&gt;0,AND(DAY($A17)=MIN(DAY('Recurring Schedule'!$F$39),DAY(EOMONTH($A17,0))),MOD((YEAR($A17)-YEAR('Recurring Schedule'!$F$39))*12+MONTH($A17)-MONTH('Recurring Schedule'!$F$39),'Recurring Schedule'!$O$39)=0),IF('Recurring Schedule'!$E$39="Weekdays",WEEKDAY($A17,2)&lt;=5,$A17='Recurring Schedule'!$F$39))),34,""))))</f>
        <v/>
      </c>
      <c r="AJ17">
        <f>IF('Recurring Schedule'!$C$40="","",IF('Recurring Schedule'!$F$40="","",IF(OR($A17&lt;'Recurring Schedule'!$F$40,$A17&gt;'Recurring Schedule'!$P$40),"",IF(IF('Recurring Schedule'!$N$40&gt;0,MOD($A17-'Recurring Schedule'!$F$40,'Recurring Schedule'!$N$40)=0,IF('Recurring Schedule'!$O$40&gt;0,AND(DAY($A17)=MIN(DAY('Recurring Schedule'!$F$40),DAY(EOMONTH($A17,0))),MOD((YEAR($A17)-YEAR('Recurring Schedule'!$F$40))*12+MONTH($A17)-MONTH('Recurring Schedule'!$F$40),'Recurring Schedule'!$O$40)=0),IF('Recurring Schedule'!$E$40="Weekdays",WEEKDAY($A17,2)&lt;=5,$A17='Recurring Schedule'!$F$40))),35,""))))</f>
        <v/>
      </c>
      <c r="AK17">
        <f>IF('Recurring Schedule'!$C$41="","",IF('Recurring Schedule'!$F$41="","",IF(OR($A17&lt;'Recurring Schedule'!$F$41,$A17&gt;'Recurring Schedule'!$P$41),"",IF(IF('Recurring Schedule'!$N$41&gt;0,MOD($A17-'Recurring Schedule'!$F$41,'Recurring Schedule'!$N$41)=0,IF('Recurring Schedule'!$O$41&gt;0,AND(DAY($A17)=MIN(DAY('Recurring Schedule'!$F$41),DAY(EOMONTH($A17,0))),MOD((YEAR($A17)-YEAR('Recurring Schedule'!$F$41))*12+MONTH($A17)-MONTH('Recurring Schedule'!$F$41),'Recurring Schedule'!$O$41)=0),IF('Recurring Schedule'!$E$41="Weekdays",WEEKDAY($A17,2)&lt;=5,$A17='Recurring Schedule'!$F$41))),36,""))))</f>
        <v/>
      </c>
      <c r="AL17">
        <f>IF('Recurring Schedule'!$C$42="","",IF('Recurring Schedule'!$F$42="","",IF(OR($A17&lt;'Recurring Schedule'!$F$42,$A17&gt;'Recurring Schedule'!$P$42),"",IF(IF('Recurring Schedule'!$N$42&gt;0,MOD($A17-'Recurring Schedule'!$F$42,'Recurring Schedule'!$N$42)=0,IF('Recurring Schedule'!$O$42&gt;0,AND(DAY($A17)=MIN(DAY('Recurring Schedule'!$F$42),DAY(EOMONTH($A17,0))),MOD((YEAR($A17)-YEAR('Recurring Schedule'!$F$42))*12+MONTH($A17)-MONTH('Recurring Schedule'!$F$42),'Recurring Schedule'!$O$42)=0),IF('Recurring Schedule'!$E$42="Weekdays",WEEKDAY($A17,2)&lt;=5,$A17='Recurring Schedule'!$F$42))),37,""))))</f>
        <v/>
      </c>
      <c r="AM17">
        <f>IF('Recurring Schedule'!$C$43="","",IF('Recurring Schedule'!$F$43="","",IF(OR($A17&lt;'Recurring Schedule'!$F$43,$A17&gt;'Recurring Schedule'!$P$43),"",IF(IF('Recurring Schedule'!$N$43&gt;0,MOD($A17-'Recurring Schedule'!$F$43,'Recurring Schedule'!$N$43)=0,IF('Recurring Schedule'!$O$43&gt;0,AND(DAY($A17)=MIN(DAY('Recurring Schedule'!$F$43),DAY(EOMONTH($A17,0))),MOD((YEAR($A17)-YEAR('Recurring Schedule'!$F$43))*12+MONTH($A17)-MONTH('Recurring Schedule'!$F$43),'Recurring Schedule'!$O$43)=0),IF('Recurring Schedule'!$E$43="Weekdays",WEEKDAY($A17,2)&lt;=5,$A17='Recurring Schedule'!$F$43))),38,""))))</f>
        <v/>
      </c>
      <c r="AN17">
        <f>IF('Recurring Schedule'!$C$44="","",IF('Recurring Schedule'!$F$44="","",IF(OR($A17&lt;'Recurring Schedule'!$F$44,$A17&gt;'Recurring Schedule'!$P$44),"",IF(IF('Recurring Schedule'!$N$44&gt;0,MOD($A17-'Recurring Schedule'!$F$44,'Recurring Schedule'!$N$44)=0,IF('Recurring Schedule'!$O$44&gt;0,AND(DAY($A17)=MIN(DAY('Recurring Schedule'!$F$44),DAY(EOMONTH($A17,0))),MOD((YEAR($A17)-YEAR('Recurring Schedule'!$F$44))*12+MONTH($A17)-MONTH('Recurring Schedule'!$F$44),'Recurring Schedule'!$O$44)=0),IF('Recurring Schedule'!$E$44="Weekdays",WEEKDAY($A17,2)&lt;=5,$A17='Recurring Schedule'!$F$44))),39,""))))</f>
        <v/>
      </c>
      <c r="AO17">
        <f>IF('Recurring Schedule'!$C$45="","",IF('Recurring Schedule'!$F$45="","",IF(OR($A17&lt;'Recurring Schedule'!$F$45,$A17&gt;'Recurring Schedule'!$P$45),"",IF(IF('Recurring Schedule'!$N$45&gt;0,MOD($A17-'Recurring Schedule'!$F$45,'Recurring Schedule'!$N$45)=0,IF('Recurring Schedule'!$O$45&gt;0,AND(DAY($A17)=MIN(DAY('Recurring Schedule'!$F$45),DAY(EOMONTH($A17,0))),MOD((YEAR($A17)-YEAR('Recurring Schedule'!$F$45))*12+MONTH($A17)-MONTH('Recurring Schedule'!$F$45),'Recurring Schedule'!$O$45)=0),IF('Recurring Schedule'!$E$45="Weekdays",WEEKDAY($A17,2)&lt;=5,$A17='Recurring Schedule'!$F$45))),40,""))))</f>
        <v/>
      </c>
      <c r="AP17">
        <f>COUNT(B17:AO17)</f>
        <v/>
      </c>
      <c r="AQ17">
        <f>AQ16+AP16</f>
        <v/>
      </c>
      <c r="AS17" t="inlineStr">
        <is>
          <t>R</t>
        </is>
      </c>
      <c r="AT17" t="n">
        <v>21</v>
      </c>
      <c r="AU17">
        <f>'Recurring Log'!C21&amp;""</f>
        <v/>
      </c>
      <c r="AV17">
        <f>'Recurring Log'!D21&amp;""</f>
        <v/>
      </c>
      <c r="AW17">
        <f>IF('Recurring Log'!E21="","",'Recurring Log'!E21)</f>
        <v/>
      </c>
      <c r="AX17">
        <f>IF('Recurring Log'!G21="","",'Recurring Log'!G21)</f>
        <v/>
      </c>
      <c r="AY17">
        <f>IF('Recurring Log'!H21="","",'Recurring Log'!H21)</f>
        <v/>
      </c>
      <c r="AZ17">
        <f>IF(AU17="","",IF('Recurring Log'!J21="","Not Started",'Recurring Log'!J21))</f>
        <v/>
      </c>
      <c r="BA17">
        <f>'Recurring Log'!L21&amp;""</f>
        <v/>
      </c>
      <c r="BB17">
        <f>'Recurring Log'!M21&amp;""</f>
        <v/>
      </c>
      <c r="BC17">
        <f>'Recurring Log'!N21&amp;""</f>
        <v/>
      </c>
      <c r="BD17">
        <f>'Recurring Log'!O21&amp;""</f>
        <v/>
      </c>
      <c r="BE17">
        <f>IF('Recurring Log'!K21="","",'Recurring Log'!K21)</f>
        <v/>
      </c>
      <c r="BF17">
        <f>IFERROR(MATCH(BA17,Setup!$L$6:$L$9,0),5)</f>
        <v/>
      </c>
      <c r="BG17">
        <f>IF(OR(AZ17="Done",AZ17="Cancelled"),1,0)</f>
        <v/>
      </c>
      <c r="BH17">
        <f>IF(AND(AU17&lt;&gt;"",ISNUMBER(AW17)),1,0)</f>
        <v/>
      </c>
      <c r="BI17">
        <f>IF(BH17=0,0,IF(AND(AW17&gt;='Tasks Filter'!$F$3,AW17&lt;='Tasks Filter'!$F$4,OR('Tasks Filter'!$I$3="",ISNUMBER(SEARCH('Tasks Filter'!$I$3,AU17))),OR('Tasks Filter'!$I$4="",BF17=IFERROR(MATCH('Tasks Filter'!$I$4,Setup!$L$6:$L$9,0),0)),OR('Tasks Filter'!$I$5="Both",AND('Tasks Filter'!$I$5="Yes",BB17="✓"),AND('Tasks Filter'!$I$5="No",BB17&lt;&gt;"✓")),OR('Tasks Filter'!$L$3="",AV17='Tasks Filter'!$L$3),OR('Tasks Filter'!$L$4="",AZ17='Tasks Filter'!$L$4),OR('Tasks Filter'!$L$5="",BC17='Tasks Filter'!$L$5),OR('Tasks Filter'!$O$3="",BD17='Tasks Filter'!$O$3),OR('Tasks Filter'!$O$4="Yes",BG17=0)),1,0))</f>
        <v/>
      </c>
      <c r="BJ17">
        <f>IF(BH17=0,"",IF('Tasks Filter'!$F$6="Descending",-1,1)*CHOOSE(MATCH('Tasks Filter'!$F$5,Lists!$G$2:$G$6,0),AW17,BF17,IFERROR(MATCH(AV17,Setup!$F$6:$F$15,0),99),IFERROR(MATCH(BC17,Setup!$H$6:$H$15,0),99),IFERROR(MATCH(AZ17,Setup!$J$6:$J$11,0),99))*1E+9+(AW17-40000)*10000+16)</f>
        <v/>
      </c>
      <c r="BK17">
        <f>IF(BI17=1,BJ17,"")</f>
        <v/>
      </c>
      <c r="BL17">
        <f>IF(AND(BH17=1,BG17=0,N(AW17)&lt;Setup!$D$7),(AW17-40000)*10000+16,"")</f>
        <v/>
      </c>
      <c r="BM17">
        <f>IF(AND(BH17=1,AZ17&lt;&gt;"Cancelled",N(AW17)&gt;=Dashboard!$AB$3,N(AW17)&lt;=Dashboard!$AB$3+6),(AW17-40000)*100000+BF17*10000+16,"")</f>
        <v/>
      </c>
      <c r="BN17">
        <f>IF(AND(BH17=1,AZ17&lt;&gt;"Cancelled"),BF17*10000+16,"")</f>
        <v/>
      </c>
    </row>
    <row r="18">
      <c r="A18">
        <f>Setup!$D$5+16</f>
        <v/>
      </c>
      <c r="B18">
        <f>IF('Recurring Schedule'!$C$6="","",IF('Recurring Schedule'!$F$6="","",IF(OR($A18&lt;'Recurring Schedule'!$F$6,$A18&gt;'Recurring Schedule'!$P$6),"",IF(IF('Recurring Schedule'!$N$6&gt;0,MOD($A18-'Recurring Schedule'!$F$6,'Recurring Schedule'!$N$6)=0,IF('Recurring Schedule'!$O$6&gt;0,AND(DAY($A18)=MIN(DAY('Recurring Schedule'!$F$6),DAY(EOMONTH($A18,0))),MOD((YEAR($A18)-YEAR('Recurring Schedule'!$F$6))*12+MONTH($A18)-MONTH('Recurring Schedule'!$F$6),'Recurring Schedule'!$O$6)=0),IF('Recurring Schedule'!$E$6="Weekdays",WEEKDAY($A18,2)&lt;=5,$A18='Recurring Schedule'!$F$6))),1,""))))</f>
        <v/>
      </c>
      <c r="C18">
        <f>IF('Recurring Schedule'!$C$7="","",IF('Recurring Schedule'!$F$7="","",IF(OR($A18&lt;'Recurring Schedule'!$F$7,$A18&gt;'Recurring Schedule'!$P$7),"",IF(IF('Recurring Schedule'!$N$7&gt;0,MOD($A18-'Recurring Schedule'!$F$7,'Recurring Schedule'!$N$7)=0,IF('Recurring Schedule'!$O$7&gt;0,AND(DAY($A18)=MIN(DAY('Recurring Schedule'!$F$7),DAY(EOMONTH($A18,0))),MOD((YEAR($A18)-YEAR('Recurring Schedule'!$F$7))*12+MONTH($A18)-MONTH('Recurring Schedule'!$F$7),'Recurring Schedule'!$O$7)=0),IF('Recurring Schedule'!$E$7="Weekdays",WEEKDAY($A18,2)&lt;=5,$A18='Recurring Schedule'!$F$7))),2,""))))</f>
        <v/>
      </c>
      <c r="D18">
        <f>IF('Recurring Schedule'!$C$8="","",IF('Recurring Schedule'!$F$8="","",IF(OR($A18&lt;'Recurring Schedule'!$F$8,$A18&gt;'Recurring Schedule'!$P$8),"",IF(IF('Recurring Schedule'!$N$8&gt;0,MOD($A18-'Recurring Schedule'!$F$8,'Recurring Schedule'!$N$8)=0,IF('Recurring Schedule'!$O$8&gt;0,AND(DAY($A18)=MIN(DAY('Recurring Schedule'!$F$8),DAY(EOMONTH($A18,0))),MOD((YEAR($A18)-YEAR('Recurring Schedule'!$F$8))*12+MONTH($A18)-MONTH('Recurring Schedule'!$F$8),'Recurring Schedule'!$O$8)=0),IF('Recurring Schedule'!$E$8="Weekdays",WEEKDAY($A18,2)&lt;=5,$A18='Recurring Schedule'!$F$8))),3,""))))</f>
        <v/>
      </c>
      <c r="E18">
        <f>IF('Recurring Schedule'!$C$9="","",IF('Recurring Schedule'!$F$9="","",IF(OR($A18&lt;'Recurring Schedule'!$F$9,$A18&gt;'Recurring Schedule'!$P$9),"",IF(IF('Recurring Schedule'!$N$9&gt;0,MOD($A18-'Recurring Schedule'!$F$9,'Recurring Schedule'!$N$9)=0,IF('Recurring Schedule'!$O$9&gt;0,AND(DAY($A18)=MIN(DAY('Recurring Schedule'!$F$9),DAY(EOMONTH($A18,0))),MOD((YEAR($A18)-YEAR('Recurring Schedule'!$F$9))*12+MONTH($A18)-MONTH('Recurring Schedule'!$F$9),'Recurring Schedule'!$O$9)=0),IF('Recurring Schedule'!$E$9="Weekdays",WEEKDAY($A18,2)&lt;=5,$A18='Recurring Schedule'!$F$9))),4,""))))</f>
        <v/>
      </c>
      <c r="F18">
        <f>IF('Recurring Schedule'!$C$10="","",IF('Recurring Schedule'!$F$10="","",IF(OR($A18&lt;'Recurring Schedule'!$F$10,$A18&gt;'Recurring Schedule'!$P$10),"",IF(IF('Recurring Schedule'!$N$10&gt;0,MOD($A18-'Recurring Schedule'!$F$10,'Recurring Schedule'!$N$10)=0,IF('Recurring Schedule'!$O$10&gt;0,AND(DAY($A18)=MIN(DAY('Recurring Schedule'!$F$10),DAY(EOMONTH($A18,0))),MOD((YEAR($A18)-YEAR('Recurring Schedule'!$F$10))*12+MONTH($A18)-MONTH('Recurring Schedule'!$F$10),'Recurring Schedule'!$O$10)=0),IF('Recurring Schedule'!$E$10="Weekdays",WEEKDAY($A18,2)&lt;=5,$A18='Recurring Schedule'!$F$10))),5,""))))</f>
        <v/>
      </c>
      <c r="G18">
        <f>IF('Recurring Schedule'!$C$11="","",IF('Recurring Schedule'!$F$11="","",IF(OR($A18&lt;'Recurring Schedule'!$F$11,$A18&gt;'Recurring Schedule'!$P$11),"",IF(IF('Recurring Schedule'!$N$11&gt;0,MOD($A18-'Recurring Schedule'!$F$11,'Recurring Schedule'!$N$11)=0,IF('Recurring Schedule'!$O$11&gt;0,AND(DAY($A18)=MIN(DAY('Recurring Schedule'!$F$11),DAY(EOMONTH($A18,0))),MOD((YEAR($A18)-YEAR('Recurring Schedule'!$F$11))*12+MONTH($A18)-MONTH('Recurring Schedule'!$F$11),'Recurring Schedule'!$O$11)=0),IF('Recurring Schedule'!$E$11="Weekdays",WEEKDAY($A18,2)&lt;=5,$A18='Recurring Schedule'!$F$11))),6,""))))</f>
        <v/>
      </c>
      <c r="H18">
        <f>IF('Recurring Schedule'!$C$12="","",IF('Recurring Schedule'!$F$12="","",IF(OR($A18&lt;'Recurring Schedule'!$F$12,$A18&gt;'Recurring Schedule'!$P$12),"",IF(IF('Recurring Schedule'!$N$12&gt;0,MOD($A18-'Recurring Schedule'!$F$12,'Recurring Schedule'!$N$12)=0,IF('Recurring Schedule'!$O$12&gt;0,AND(DAY($A18)=MIN(DAY('Recurring Schedule'!$F$12),DAY(EOMONTH($A18,0))),MOD((YEAR($A18)-YEAR('Recurring Schedule'!$F$12))*12+MONTH($A18)-MONTH('Recurring Schedule'!$F$12),'Recurring Schedule'!$O$12)=0),IF('Recurring Schedule'!$E$12="Weekdays",WEEKDAY($A18,2)&lt;=5,$A18='Recurring Schedule'!$F$12))),7,""))))</f>
        <v/>
      </c>
      <c r="I18">
        <f>IF('Recurring Schedule'!$C$13="","",IF('Recurring Schedule'!$F$13="","",IF(OR($A18&lt;'Recurring Schedule'!$F$13,$A18&gt;'Recurring Schedule'!$P$13),"",IF(IF('Recurring Schedule'!$N$13&gt;0,MOD($A18-'Recurring Schedule'!$F$13,'Recurring Schedule'!$N$13)=0,IF('Recurring Schedule'!$O$13&gt;0,AND(DAY($A18)=MIN(DAY('Recurring Schedule'!$F$13),DAY(EOMONTH($A18,0))),MOD((YEAR($A18)-YEAR('Recurring Schedule'!$F$13))*12+MONTH($A18)-MONTH('Recurring Schedule'!$F$13),'Recurring Schedule'!$O$13)=0),IF('Recurring Schedule'!$E$13="Weekdays",WEEKDAY($A18,2)&lt;=5,$A18='Recurring Schedule'!$F$13))),8,""))))</f>
        <v/>
      </c>
      <c r="J18">
        <f>IF('Recurring Schedule'!$C$14="","",IF('Recurring Schedule'!$F$14="","",IF(OR($A18&lt;'Recurring Schedule'!$F$14,$A18&gt;'Recurring Schedule'!$P$14),"",IF(IF('Recurring Schedule'!$N$14&gt;0,MOD($A18-'Recurring Schedule'!$F$14,'Recurring Schedule'!$N$14)=0,IF('Recurring Schedule'!$O$14&gt;0,AND(DAY($A18)=MIN(DAY('Recurring Schedule'!$F$14),DAY(EOMONTH($A18,0))),MOD((YEAR($A18)-YEAR('Recurring Schedule'!$F$14))*12+MONTH($A18)-MONTH('Recurring Schedule'!$F$14),'Recurring Schedule'!$O$14)=0),IF('Recurring Schedule'!$E$14="Weekdays",WEEKDAY($A18,2)&lt;=5,$A18='Recurring Schedule'!$F$14))),9,""))))</f>
        <v/>
      </c>
      <c r="K18">
        <f>IF('Recurring Schedule'!$C$15="","",IF('Recurring Schedule'!$F$15="","",IF(OR($A18&lt;'Recurring Schedule'!$F$15,$A18&gt;'Recurring Schedule'!$P$15),"",IF(IF('Recurring Schedule'!$N$15&gt;0,MOD($A18-'Recurring Schedule'!$F$15,'Recurring Schedule'!$N$15)=0,IF('Recurring Schedule'!$O$15&gt;0,AND(DAY($A18)=MIN(DAY('Recurring Schedule'!$F$15),DAY(EOMONTH($A18,0))),MOD((YEAR($A18)-YEAR('Recurring Schedule'!$F$15))*12+MONTH($A18)-MONTH('Recurring Schedule'!$F$15),'Recurring Schedule'!$O$15)=0),IF('Recurring Schedule'!$E$15="Weekdays",WEEKDAY($A18,2)&lt;=5,$A18='Recurring Schedule'!$F$15))),10,""))))</f>
        <v/>
      </c>
      <c r="L18">
        <f>IF('Recurring Schedule'!$C$16="","",IF('Recurring Schedule'!$F$16="","",IF(OR($A18&lt;'Recurring Schedule'!$F$16,$A18&gt;'Recurring Schedule'!$P$16),"",IF(IF('Recurring Schedule'!$N$16&gt;0,MOD($A18-'Recurring Schedule'!$F$16,'Recurring Schedule'!$N$16)=0,IF('Recurring Schedule'!$O$16&gt;0,AND(DAY($A18)=MIN(DAY('Recurring Schedule'!$F$16),DAY(EOMONTH($A18,0))),MOD((YEAR($A18)-YEAR('Recurring Schedule'!$F$16))*12+MONTH($A18)-MONTH('Recurring Schedule'!$F$16),'Recurring Schedule'!$O$16)=0),IF('Recurring Schedule'!$E$16="Weekdays",WEEKDAY($A18,2)&lt;=5,$A18='Recurring Schedule'!$F$16))),11,""))))</f>
        <v/>
      </c>
      <c r="M18">
        <f>IF('Recurring Schedule'!$C$17="","",IF('Recurring Schedule'!$F$17="","",IF(OR($A18&lt;'Recurring Schedule'!$F$17,$A18&gt;'Recurring Schedule'!$P$17),"",IF(IF('Recurring Schedule'!$N$17&gt;0,MOD($A18-'Recurring Schedule'!$F$17,'Recurring Schedule'!$N$17)=0,IF('Recurring Schedule'!$O$17&gt;0,AND(DAY($A18)=MIN(DAY('Recurring Schedule'!$F$17),DAY(EOMONTH($A18,0))),MOD((YEAR($A18)-YEAR('Recurring Schedule'!$F$17))*12+MONTH($A18)-MONTH('Recurring Schedule'!$F$17),'Recurring Schedule'!$O$17)=0),IF('Recurring Schedule'!$E$17="Weekdays",WEEKDAY($A18,2)&lt;=5,$A18='Recurring Schedule'!$F$17))),12,""))))</f>
        <v/>
      </c>
      <c r="N18">
        <f>IF('Recurring Schedule'!$C$18="","",IF('Recurring Schedule'!$F$18="","",IF(OR($A18&lt;'Recurring Schedule'!$F$18,$A18&gt;'Recurring Schedule'!$P$18),"",IF(IF('Recurring Schedule'!$N$18&gt;0,MOD($A18-'Recurring Schedule'!$F$18,'Recurring Schedule'!$N$18)=0,IF('Recurring Schedule'!$O$18&gt;0,AND(DAY($A18)=MIN(DAY('Recurring Schedule'!$F$18),DAY(EOMONTH($A18,0))),MOD((YEAR($A18)-YEAR('Recurring Schedule'!$F$18))*12+MONTH($A18)-MONTH('Recurring Schedule'!$F$18),'Recurring Schedule'!$O$18)=0),IF('Recurring Schedule'!$E$18="Weekdays",WEEKDAY($A18,2)&lt;=5,$A18='Recurring Schedule'!$F$18))),13,""))))</f>
        <v/>
      </c>
      <c r="O18">
        <f>IF('Recurring Schedule'!$C$19="","",IF('Recurring Schedule'!$F$19="","",IF(OR($A18&lt;'Recurring Schedule'!$F$19,$A18&gt;'Recurring Schedule'!$P$19),"",IF(IF('Recurring Schedule'!$N$19&gt;0,MOD($A18-'Recurring Schedule'!$F$19,'Recurring Schedule'!$N$19)=0,IF('Recurring Schedule'!$O$19&gt;0,AND(DAY($A18)=MIN(DAY('Recurring Schedule'!$F$19),DAY(EOMONTH($A18,0))),MOD((YEAR($A18)-YEAR('Recurring Schedule'!$F$19))*12+MONTH($A18)-MONTH('Recurring Schedule'!$F$19),'Recurring Schedule'!$O$19)=0),IF('Recurring Schedule'!$E$19="Weekdays",WEEKDAY($A18,2)&lt;=5,$A18='Recurring Schedule'!$F$19))),14,""))))</f>
        <v/>
      </c>
      <c r="P18">
        <f>IF('Recurring Schedule'!$C$20="","",IF('Recurring Schedule'!$F$20="","",IF(OR($A18&lt;'Recurring Schedule'!$F$20,$A18&gt;'Recurring Schedule'!$P$20),"",IF(IF('Recurring Schedule'!$N$20&gt;0,MOD($A18-'Recurring Schedule'!$F$20,'Recurring Schedule'!$N$20)=0,IF('Recurring Schedule'!$O$20&gt;0,AND(DAY($A18)=MIN(DAY('Recurring Schedule'!$F$20),DAY(EOMONTH($A18,0))),MOD((YEAR($A18)-YEAR('Recurring Schedule'!$F$20))*12+MONTH($A18)-MONTH('Recurring Schedule'!$F$20),'Recurring Schedule'!$O$20)=0),IF('Recurring Schedule'!$E$20="Weekdays",WEEKDAY($A18,2)&lt;=5,$A18='Recurring Schedule'!$F$20))),15,""))))</f>
        <v/>
      </c>
      <c r="Q18">
        <f>IF('Recurring Schedule'!$C$21="","",IF('Recurring Schedule'!$F$21="","",IF(OR($A18&lt;'Recurring Schedule'!$F$21,$A18&gt;'Recurring Schedule'!$P$21),"",IF(IF('Recurring Schedule'!$N$21&gt;0,MOD($A18-'Recurring Schedule'!$F$21,'Recurring Schedule'!$N$21)=0,IF('Recurring Schedule'!$O$21&gt;0,AND(DAY($A18)=MIN(DAY('Recurring Schedule'!$F$21),DAY(EOMONTH($A18,0))),MOD((YEAR($A18)-YEAR('Recurring Schedule'!$F$21))*12+MONTH($A18)-MONTH('Recurring Schedule'!$F$21),'Recurring Schedule'!$O$21)=0),IF('Recurring Schedule'!$E$21="Weekdays",WEEKDAY($A18,2)&lt;=5,$A18='Recurring Schedule'!$F$21))),16,""))))</f>
        <v/>
      </c>
      <c r="R18">
        <f>IF('Recurring Schedule'!$C$22="","",IF('Recurring Schedule'!$F$22="","",IF(OR($A18&lt;'Recurring Schedule'!$F$22,$A18&gt;'Recurring Schedule'!$P$22),"",IF(IF('Recurring Schedule'!$N$22&gt;0,MOD($A18-'Recurring Schedule'!$F$22,'Recurring Schedule'!$N$22)=0,IF('Recurring Schedule'!$O$22&gt;0,AND(DAY($A18)=MIN(DAY('Recurring Schedule'!$F$22),DAY(EOMONTH($A18,0))),MOD((YEAR($A18)-YEAR('Recurring Schedule'!$F$22))*12+MONTH($A18)-MONTH('Recurring Schedule'!$F$22),'Recurring Schedule'!$O$22)=0),IF('Recurring Schedule'!$E$22="Weekdays",WEEKDAY($A18,2)&lt;=5,$A18='Recurring Schedule'!$F$22))),17,""))))</f>
        <v/>
      </c>
      <c r="S18">
        <f>IF('Recurring Schedule'!$C$23="","",IF('Recurring Schedule'!$F$23="","",IF(OR($A18&lt;'Recurring Schedule'!$F$23,$A18&gt;'Recurring Schedule'!$P$23),"",IF(IF('Recurring Schedule'!$N$23&gt;0,MOD($A18-'Recurring Schedule'!$F$23,'Recurring Schedule'!$N$23)=0,IF('Recurring Schedule'!$O$23&gt;0,AND(DAY($A18)=MIN(DAY('Recurring Schedule'!$F$23),DAY(EOMONTH($A18,0))),MOD((YEAR($A18)-YEAR('Recurring Schedule'!$F$23))*12+MONTH($A18)-MONTH('Recurring Schedule'!$F$23),'Recurring Schedule'!$O$23)=0),IF('Recurring Schedule'!$E$23="Weekdays",WEEKDAY($A18,2)&lt;=5,$A18='Recurring Schedule'!$F$23))),18,""))))</f>
        <v/>
      </c>
      <c r="T18">
        <f>IF('Recurring Schedule'!$C$24="","",IF('Recurring Schedule'!$F$24="","",IF(OR($A18&lt;'Recurring Schedule'!$F$24,$A18&gt;'Recurring Schedule'!$P$24),"",IF(IF('Recurring Schedule'!$N$24&gt;0,MOD($A18-'Recurring Schedule'!$F$24,'Recurring Schedule'!$N$24)=0,IF('Recurring Schedule'!$O$24&gt;0,AND(DAY($A18)=MIN(DAY('Recurring Schedule'!$F$24),DAY(EOMONTH($A18,0))),MOD((YEAR($A18)-YEAR('Recurring Schedule'!$F$24))*12+MONTH($A18)-MONTH('Recurring Schedule'!$F$24),'Recurring Schedule'!$O$24)=0),IF('Recurring Schedule'!$E$24="Weekdays",WEEKDAY($A18,2)&lt;=5,$A18='Recurring Schedule'!$F$24))),19,""))))</f>
        <v/>
      </c>
      <c r="U18">
        <f>IF('Recurring Schedule'!$C$25="","",IF('Recurring Schedule'!$F$25="","",IF(OR($A18&lt;'Recurring Schedule'!$F$25,$A18&gt;'Recurring Schedule'!$P$25),"",IF(IF('Recurring Schedule'!$N$25&gt;0,MOD($A18-'Recurring Schedule'!$F$25,'Recurring Schedule'!$N$25)=0,IF('Recurring Schedule'!$O$25&gt;0,AND(DAY($A18)=MIN(DAY('Recurring Schedule'!$F$25),DAY(EOMONTH($A18,0))),MOD((YEAR($A18)-YEAR('Recurring Schedule'!$F$25))*12+MONTH($A18)-MONTH('Recurring Schedule'!$F$25),'Recurring Schedule'!$O$25)=0),IF('Recurring Schedule'!$E$25="Weekdays",WEEKDAY($A18,2)&lt;=5,$A18='Recurring Schedule'!$F$25))),20,""))))</f>
        <v/>
      </c>
      <c r="V18">
        <f>IF('Recurring Schedule'!$C$26="","",IF('Recurring Schedule'!$F$26="","",IF(OR($A18&lt;'Recurring Schedule'!$F$26,$A18&gt;'Recurring Schedule'!$P$26),"",IF(IF('Recurring Schedule'!$N$26&gt;0,MOD($A18-'Recurring Schedule'!$F$26,'Recurring Schedule'!$N$26)=0,IF('Recurring Schedule'!$O$26&gt;0,AND(DAY($A18)=MIN(DAY('Recurring Schedule'!$F$26),DAY(EOMONTH($A18,0))),MOD((YEAR($A18)-YEAR('Recurring Schedule'!$F$26))*12+MONTH($A18)-MONTH('Recurring Schedule'!$F$26),'Recurring Schedule'!$O$26)=0),IF('Recurring Schedule'!$E$26="Weekdays",WEEKDAY($A18,2)&lt;=5,$A18='Recurring Schedule'!$F$26))),21,""))))</f>
        <v/>
      </c>
      <c r="W18">
        <f>IF('Recurring Schedule'!$C$27="","",IF('Recurring Schedule'!$F$27="","",IF(OR($A18&lt;'Recurring Schedule'!$F$27,$A18&gt;'Recurring Schedule'!$P$27),"",IF(IF('Recurring Schedule'!$N$27&gt;0,MOD($A18-'Recurring Schedule'!$F$27,'Recurring Schedule'!$N$27)=0,IF('Recurring Schedule'!$O$27&gt;0,AND(DAY($A18)=MIN(DAY('Recurring Schedule'!$F$27),DAY(EOMONTH($A18,0))),MOD((YEAR($A18)-YEAR('Recurring Schedule'!$F$27))*12+MONTH($A18)-MONTH('Recurring Schedule'!$F$27),'Recurring Schedule'!$O$27)=0),IF('Recurring Schedule'!$E$27="Weekdays",WEEKDAY($A18,2)&lt;=5,$A18='Recurring Schedule'!$F$27))),22,""))))</f>
        <v/>
      </c>
      <c r="X18">
        <f>IF('Recurring Schedule'!$C$28="","",IF('Recurring Schedule'!$F$28="","",IF(OR($A18&lt;'Recurring Schedule'!$F$28,$A18&gt;'Recurring Schedule'!$P$28),"",IF(IF('Recurring Schedule'!$N$28&gt;0,MOD($A18-'Recurring Schedule'!$F$28,'Recurring Schedule'!$N$28)=0,IF('Recurring Schedule'!$O$28&gt;0,AND(DAY($A18)=MIN(DAY('Recurring Schedule'!$F$28),DAY(EOMONTH($A18,0))),MOD((YEAR($A18)-YEAR('Recurring Schedule'!$F$28))*12+MONTH($A18)-MONTH('Recurring Schedule'!$F$28),'Recurring Schedule'!$O$28)=0),IF('Recurring Schedule'!$E$28="Weekdays",WEEKDAY($A18,2)&lt;=5,$A18='Recurring Schedule'!$F$28))),23,""))))</f>
        <v/>
      </c>
      <c r="Y18">
        <f>IF('Recurring Schedule'!$C$29="","",IF('Recurring Schedule'!$F$29="","",IF(OR($A18&lt;'Recurring Schedule'!$F$29,$A18&gt;'Recurring Schedule'!$P$29),"",IF(IF('Recurring Schedule'!$N$29&gt;0,MOD($A18-'Recurring Schedule'!$F$29,'Recurring Schedule'!$N$29)=0,IF('Recurring Schedule'!$O$29&gt;0,AND(DAY($A18)=MIN(DAY('Recurring Schedule'!$F$29),DAY(EOMONTH($A18,0))),MOD((YEAR($A18)-YEAR('Recurring Schedule'!$F$29))*12+MONTH($A18)-MONTH('Recurring Schedule'!$F$29),'Recurring Schedule'!$O$29)=0),IF('Recurring Schedule'!$E$29="Weekdays",WEEKDAY($A18,2)&lt;=5,$A18='Recurring Schedule'!$F$29))),24,""))))</f>
        <v/>
      </c>
      <c r="Z18">
        <f>IF('Recurring Schedule'!$C$30="","",IF('Recurring Schedule'!$F$30="","",IF(OR($A18&lt;'Recurring Schedule'!$F$30,$A18&gt;'Recurring Schedule'!$P$30),"",IF(IF('Recurring Schedule'!$N$30&gt;0,MOD($A18-'Recurring Schedule'!$F$30,'Recurring Schedule'!$N$30)=0,IF('Recurring Schedule'!$O$30&gt;0,AND(DAY($A18)=MIN(DAY('Recurring Schedule'!$F$30),DAY(EOMONTH($A18,0))),MOD((YEAR($A18)-YEAR('Recurring Schedule'!$F$30))*12+MONTH($A18)-MONTH('Recurring Schedule'!$F$30),'Recurring Schedule'!$O$30)=0),IF('Recurring Schedule'!$E$30="Weekdays",WEEKDAY($A18,2)&lt;=5,$A18='Recurring Schedule'!$F$30))),25,""))))</f>
        <v/>
      </c>
      <c r="AA18">
        <f>IF('Recurring Schedule'!$C$31="","",IF('Recurring Schedule'!$F$31="","",IF(OR($A18&lt;'Recurring Schedule'!$F$31,$A18&gt;'Recurring Schedule'!$P$31),"",IF(IF('Recurring Schedule'!$N$31&gt;0,MOD($A18-'Recurring Schedule'!$F$31,'Recurring Schedule'!$N$31)=0,IF('Recurring Schedule'!$O$31&gt;0,AND(DAY($A18)=MIN(DAY('Recurring Schedule'!$F$31),DAY(EOMONTH($A18,0))),MOD((YEAR($A18)-YEAR('Recurring Schedule'!$F$31))*12+MONTH($A18)-MONTH('Recurring Schedule'!$F$31),'Recurring Schedule'!$O$31)=0),IF('Recurring Schedule'!$E$31="Weekdays",WEEKDAY($A18,2)&lt;=5,$A18='Recurring Schedule'!$F$31))),26,""))))</f>
        <v/>
      </c>
      <c r="AB18">
        <f>IF('Recurring Schedule'!$C$32="","",IF('Recurring Schedule'!$F$32="","",IF(OR($A18&lt;'Recurring Schedule'!$F$32,$A18&gt;'Recurring Schedule'!$P$32),"",IF(IF('Recurring Schedule'!$N$32&gt;0,MOD($A18-'Recurring Schedule'!$F$32,'Recurring Schedule'!$N$32)=0,IF('Recurring Schedule'!$O$32&gt;0,AND(DAY($A18)=MIN(DAY('Recurring Schedule'!$F$32),DAY(EOMONTH($A18,0))),MOD((YEAR($A18)-YEAR('Recurring Schedule'!$F$32))*12+MONTH($A18)-MONTH('Recurring Schedule'!$F$32),'Recurring Schedule'!$O$32)=0),IF('Recurring Schedule'!$E$32="Weekdays",WEEKDAY($A18,2)&lt;=5,$A18='Recurring Schedule'!$F$32))),27,""))))</f>
        <v/>
      </c>
      <c r="AC18">
        <f>IF('Recurring Schedule'!$C$33="","",IF('Recurring Schedule'!$F$33="","",IF(OR($A18&lt;'Recurring Schedule'!$F$33,$A18&gt;'Recurring Schedule'!$P$33),"",IF(IF('Recurring Schedule'!$N$33&gt;0,MOD($A18-'Recurring Schedule'!$F$33,'Recurring Schedule'!$N$33)=0,IF('Recurring Schedule'!$O$33&gt;0,AND(DAY($A18)=MIN(DAY('Recurring Schedule'!$F$33),DAY(EOMONTH($A18,0))),MOD((YEAR($A18)-YEAR('Recurring Schedule'!$F$33))*12+MONTH($A18)-MONTH('Recurring Schedule'!$F$33),'Recurring Schedule'!$O$33)=0),IF('Recurring Schedule'!$E$33="Weekdays",WEEKDAY($A18,2)&lt;=5,$A18='Recurring Schedule'!$F$33))),28,""))))</f>
        <v/>
      </c>
      <c r="AD18">
        <f>IF('Recurring Schedule'!$C$34="","",IF('Recurring Schedule'!$F$34="","",IF(OR($A18&lt;'Recurring Schedule'!$F$34,$A18&gt;'Recurring Schedule'!$P$34),"",IF(IF('Recurring Schedule'!$N$34&gt;0,MOD($A18-'Recurring Schedule'!$F$34,'Recurring Schedule'!$N$34)=0,IF('Recurring Schedule'!$O$34&gt;0,AND(DAY($A18)=MIN(DAY('Recurring Schedule'!$F$34),DAY(EOMONTH($A18,0))),MOD((YEAR($A18)-YEAR('Recurring Schedule'!$F$34))*12+MONTH($A18)-MONTH('Recurring Schedule'!$F$34),'Recurring Schedule'!$O$34)=0),IF('Recurring Schedule'!$E$34="Weekdays",WEEKDAY($A18,2)&lt;=5,$A18='Recurring Schedule'!$F$34))),29,""))))</f>
        <v/>
      </c>
      <c r="AE18">
        <f>IF('Recurring Schedule'!$C$35="","",IF('Recurring Schedule'!$F$35="","",IF(OR($A18&lt;'Recurring Schedule'!$F$35,$A18&gt;'Recurring Schedule'!$P$35),"",IF(IF('Recurring Schedule'!$N$35&gt;0,MOD($A18-'Recurring Schedule'!$F$35,'Recurring Schedule'!$N$35)=0,IF('Recurring Schedule'!$O$35&gt;0,AND(DAY($A18)=MIN(DAY('Recurring Schedule'!$F$35),DAY(EOMONTH($A18,0))),MOD((YEAR($A18)-YEAR('Recurring Schedule'!$F$35))*12+MONTH($A18)-MONTH('Recurring Schedule'!$F$35),'Recurring Schedule'!$O$35)=0),IF('Recurring Schedule'!$E$35="Weekdays",WEEKDAY($A18,2)&lt;=5,$A18='Recurring Schedule'!$F$35))),30,""))))</f>
        <v/>
      </c>
      <c r="AF18">
        <f>IF('Recurring Schedule'!$C$36="","",IF('Recurring Schedule'!$F$36="","",IF(OR($A18&lt;'Recurring Schedule'!$F$36,$A18&gt;'Recurring Schedule'!$P$36),"",IF(IF('Recurring Schedule'!$N$36&gt;0,MOD($A18-'Recurring Schedule'!$F$36,'Recurring Schedule'!$N$36)=0,IF('Recurring Schedule'!$O$36&gt;0,AND(DAY($A18)=MIN(DAY('Recurring Schedule'!$F$36),DAY(EOMONTH($A18,0))),MOD((YEAR($A18)-YEAR('Recurring Schedule'!$F$36))*12+MONTH($A18)-MONTH('Recurring Schedule'!$F$36),'Recurring Schedule'!$O$36)=0),IF('Recurring Schedule'!$E$36="Weekdays",WEEKDAY($A18,2)&lt;=5,$A18='Recurring Schedule'!$F$36))),31,""))))</f>
        <v/>
      </c>
      <c r="AG18">
        <f>IF('Recurring Schedule'!$C$37="","",IF('Recurring Schedule'!$F$37="","",IF(OR($A18&lt;'Recurring Schedule'!$F$37,$A18&gt;'Recurring Schedule'!$P$37),"",IF(IF('Recurring Schedule'!$N$37&gt;0,MOD($A18-'Recurring Schedule'!$F$37,'Recurring Schedule'!$N$37)=0,IF('Recurring Schedule'!$O$37&gt;0,AND(DAY($A18)=MIN(DAY('Recurring Schedule'!$F$37),DAY(EOMONTH($A18,0))),MOD((YEAR($A18)-YEAR('Recurring Schedule'!$F$37))*12+MONTH($A18)-MONTH('Recurring Schedule'!$F$37),'Recurring Schedule'!$O$37)=0),IF('Recurring Schedule'!$E$37="Weekdays",WEEKDAY($A18,2)&lt;=5,$A18='Recurring Schedule'!$F$37))),32,""))))</f>
        <v/>
      </c>
      <c r="AH18">
        <f>IF('Recurring Schedule'!$C$38="","",IF('Recurring Schedule'!$F$38="","",IF(OR($A18&lt;'Recurring Schedule'!$F$38,$A18&gt;'Recurring Schedule'!$P$38),"",IF(IF('Recurring Schedule'!$N$38&gt;0,MOD($A18-'Recurring Schedule'!$F$38,'Recurring Schedule'!$N$38)=0,IF('Recurring Schedule'!$O$38&gt;0,AND(DAY($A18)=MIN(DAY('Recurring Schedule'!$F$38),DAY(EOMONTH($A18,0))),MOD((YEAR($A18)-YEAR('Recurring Schedule'!$F$38))*12+MONTH($A18)-MONTH('Recurring Schedule'!$F$38),'Recurring Schedule'!$O$38)=0),IF('Recurring Schedule'!$E$38="Weekdays",WEEKDAY($A18,2)&lt;=5,$A18='Recurring Schedule'!$F$38))),33,""))))</f>
        <v/>
      </c>
      <c r="AI18">
        <f>IF('Recurring Schedule'!$C$39="","",IF('Recurring Schedule'!$F$39="","",IF(OR($A18&lt;'Recurring Schedule'!$F$39,$A18&gt;'Recurring Schedule'!$P$39),"",IF(IF('Recurring Schedule'!$N$39&gt;0,MOD($A18-'Recurring Schedule'!$F$39,'Recurring Schedule'!$N$39)=0,IF('Recurring Schedule'!$O$39&gt;0,AND(DAY($A18)=MIN(DAY('Recurring Schedule'!$F$39),DAY(EOMONTH($A18,0))),MOD((YEAR($A18)-YEAR('Recurring Schedule'!$F$39))*12+MONTH($A18)-MONTH('Recurring Schedule'!$F$39),'Recurring Schedule'!$O$39)=0),IF('Recurring Schedule'!$E$39="Weekdays",WEEKDAY($A18,2)&lt;=5,$A18='Recurring Schedule'!$F$39))),34,""))))</f>
        <v/>
      </c>
      <c r="AJ18">
        <f>IF('Recurring Schedule'!$C$40="","",IF('Recurring Schedule'!$F$40="","",IF(OR($A18&lt;'Recurring Schedule'!$F$40,$A18&gt;'Recurring Schedule'!$P$40),"",IF(IF('Recurring Schedule'!$N$40&gt;0,MOD($A18-'Recurring Schedule'!$F$40,'Recurring Schedule'!$N$40)=0,IF('Recurring Schedule'!$O$40&gt;0,AND(DAY($A18)=MIN(DAY('Recurring Schedule'!$F$40),DAY(EOMONTH($A18,0))),MOD((YEAR($A18)-YEAR('Recurring Schedule'!$F$40))*12+MONTH($A18)-MONTH('Recurring Schedule'!$F$40),'Recurring Schedule'!$O$40)=0),IF('Recurring Schedule'!$E$40="Weekdays",WEEKDAY($A18,2)&lt;=5,$A18='Recurring Schedule'!$F$40))),35,""))))</f>
        <v/>
      </c>
      <c r="AK18">
        <f>IF('Recurring Schedule'!$C$41="","",IF('Recurring Schedule'!$F$41="","",IF(OR($A18&lt;'Recurring Schedule'!$F$41,$A18&gt;'Recurring Schedule'!$P$41),"",IF(IF('Recurring Schedule'!$N$41&gt;0,MOD($A18-'Recurring Schedule'!$F$41,'Recurring Schedule'!$N$41)=0,IF('Recurring Schedule'!$O$41&gt;0,AND(DAY($A18)=MIN(DAY('Recurring Schedule'!$F$41),DAY(EOMONTH($A18,0))),MOD((YEAR($A18)-YEAR('Recurring Schedule'!$F$41))*12+MONTH($A18)-MONTH('Recurring Schedule'!$F$41),'Recurring Schedule'!$O$41)=0),IF('Recurring Schedule'!$E$41="Weekdays",WEEKDAY($A18,2)&lt;=5,$A18='Recurring Schedule'!$F$41))),36,""))))</f>
        <v/>
      </c>
      <c r="AL18">
        <f>IF('Recurring Schedule'!$C$42="","",IF('Recurring Schedule'!$F$42="","",IF(OR($A18&lt;'Recurring Schedule'!$F$42,$A18&gt;'Recurring Schedule'!$P$42),"",IF(IF('Recurring Schedule'!$N$42&gt;0,MOD($A18-'Recurring Schedule'!$F$42,'Recurring Schedule'!$N$42)=0,IF('Recurring Schedule'!$O$42&gt;0,AND(DAY($A18)=MIN(DAY('Recurring Schedule'!$F$42),DAY(EOMONTH($A18,0))),MOD((YEAR($A18)-YEAR('Recurring Schedule'!$F$42))*12+MONTH($A18)-MONTH('Recurring Schedule'!$F$42),'Recurring Schedule'!$O$42)=0),IF('Recurring Schedule'!$E$42="Weekdays",WEEKDAY($A18,2)&lt;=5,$A18='Recurring Schedule'!$F$42))),37,""))))</f>
        <v/>
      </c>
      <c r="AM18">
        <f>IF('Recurring Schedule'!$C$43="","",IF('Recurring Schedule'!$F$43="","",IF(OR($A18&lt;'Recurring Schedule'!$F$43,$A18&gt;'Recurring Schedule'!$P$43),"",IF(IF('Recurring Schedule'!$N$43&gt;0,MOD($A18-'Recurring Schedule'!$F$43,'Recurring Schedule'!$N$43)=0,IF('Recurring Schedule'!$O$43&gt;0,AND(DAY($A18)=MIN(DAY('Recurring Schedule'!$F$43),DAY(EOMONTH($A18,0))),MOD((YEAR($A18)-YEAR('Recurring Schedule'!$F$43))*12+MONTH($A18)-MONTH('Recurring Schedule'!$F$43),'Recurring Schedule'!$O$43)=0),IF('Recurring Schedule'!$E$43="Weekdays",WEEKDAY($A18,2)&lt;=5,$A18='Recurring Schedule'!$F$43))),38,""))))</f>
        <v/>
      </c>
      <c r="AN18">
        <f>IF('Recurring Schedule'!$C$44="","",IF('Recurring Schedule'!$F$44="","",IF(OR($A18&lt;'Recurring Schedule'!$F$44,$A18&gt;'Recurring Schedule'!$P$44),"",IF(IF('Recurring Schedule'!$N$44&gt;0,MOD($A18-'Recurring Schedule'!$F$44,'Recurring Schedule'!$N$44)=0,IF('Recurring Schedule'!$O$44&gt;0,AND(DAY($A18)=MIN(DAY('Recurring Schedule'!$F$44),DAY(EOMONTH($A18,0))),MOD((YEAR($A18)-YEAR('Recurring Schedule'!$F$44))*12+MONTH($A18)-MONTH('Recurring Schedule'!$F$44),'Recurring Schedule'!$O$44)=0),IF('Recurring Schedule'!$E$44="Weekdays",WEEKDAY($A18,2)&lt;=5,$A18='Recurring Schedule'!$F$44))),39,""))))</f>
        <v/>
      </c>
      <c r="AO18">
        <f>IF('Recurring Schedule'!$C$45="","",IF('Recurring Schedule'!$F$45="","",IF(OR($A18&lt;'Recurring Schedule'!$F$45,$A18&gt;'Recurring Schedule'!$P$45),"",IF(IF('Recurring Schedule'!$N$45&gt;0,MOD($A18-'Recurring Schedule'!$F$45,'Recurring Schedule'!$N$45)=0,IF('Recurring Schedule'!$O$45&gt;0,AND(DAY($A18)=MIN(DAY('Recurring Schedule'!$F$45),DAY(EOMONTH($A18,0))),MOD((YEAR($A18)-YEAR('Recurring Schedule'!$F$45))*12+MONTH($A18)-MONTH('Recurring Schedule'!$F$45),'Recurring Schedule'!$O$45)=0),IF('Recurring Schedule'!$E$45="Weekdays",WEEKDAY($A18,2)&lt;=5,$A18='Recurring Schedule'!$F$45))),40,""))))</f>
        <v/>
      </c>
      <c r="AP18">
        <f>COUNT(B18:AO18)</f>
        <v/>
      </c>
      <c r="AQ18">
        <f>AQ17+AP17</f>
        <v/>
      </c>
      <c r="AS18" t="inlineStr">
        <is>
          <t>R</t>
        </is>
      </c>
      <c r="AT18" t="n">
        <v>22</v>
      </c>
      <c r="AU18">
        <f>'Recurring Log'!C22&amp;""</f>
        <v/>
      </c>
      <c r="AV18">
        <f>'Recurring Log'!D22&amp;""</f>
        <v/>
      </c>
      <c r="AW18">
        <f>IF('Recurring Log'!E22="","",'Recurring Log'!E22)</f>
        <v/>
      </c>
      <c r="AX18">
        <f>IF('Recurring Log'!G22="","",'Recurring Log'!G22)</f>
        <v/>
      </c>
      <c r="AY18">
        <f>IF('Recurring Log'!H22="","",'Recurring Log'!H22)</f>
        <v/>
      </c>
      <c r="AZ18">
        <f>IF(AU18="","",IF('Recurring Log'!J22="","Not Started",'Recurring Log'!J22))</f>
        <v/>
      </c>
      <c r="BA18">
        <f>'Recurring Log'!L22&amp;""</f>
        <v/>
      </c>
      <c r="BB18">
        <f>'Recurring Log'!M22&amp;""</f>
        <v/>
      </c>
      <c r="BC18">
        <f>'Recurring Log'!N22&amp;""</f>
        <v/>
      </c>
      <c r="BD18">
        <f>'Recurring Log'!O22&amp;""</f>
        <v/>
      </c>
      <c r="BE18">
        <f>IF('Recurring Log'!K22="","",'Recurring Log'!K22)</f>
        <v/>
      </c>
      <c r="BF18">
        <f>IFERROR(MATCH(BA18,Setup!$L$6:$L$9,0),5)</f>
        <v/>
      </c>
      <c r="BG18">
        <f>IF(OR(AZ18="Done",AZ18="Cancelled"),1,0)</f>
        <v/>
      </c>
      <c r="BH18">
        <f>IF(AND(AU18&lt;&gt;"",ISNUMBER(AW18)),1,0)</f>
        <v/>
      </c>
      <c r="BI18">
        <f>IF(BH18=0,0,IF(AND(AW18&gt;='Tasks Filter'!$F$3,AW18&lt;='Tasks Filter'!$F$4,OR('Tasks Filter'!$I$3="",ISNUMBER(SEARCH('Tasks Filter'!$I$3,AU18))),OR('Tasks Filter'!$I$4="",BF18=IFERROR(MATCH('Tasks Filter'!$I$4,Setup!$L$6:$L$9,0),0)),OR('Tasks Filter'!$I$5="Both",AND('Tasks Filter'!$I$5="Yes",BB18="✓"),AND('Tasks Filter'!$I$5="No",BB18&lt;&gt;"✓")),OR('Tasks Filter'!$L$3="",AV18='Tasks Filter'!$L$3),OR('Tasks Filter'!$L$4="",AZ18='Tasks Filter'!$L$4),OR('Tasks Filter'!$L$5="",BC18='Tasks Filter'!$L$5),OR('Tasks Filter'!$O$3="",BD18='Tasks Filter'!$O$3),OR('Tasks Filter'!$O$4="Yes",BG18=0)),1,0))</f>
        <v/>
      </c>
      <c r="BJ18">
        <f>IF(BH18=0,"",IF('Tasks Filter'!$F$6="Descending",-1,1)*CHOOSE(MATCH('Tasks Filter'!$F$5,Lists!$G$2:$G$6,0),AW18,BF18,IFERROR(MATCH(AV18,Setup!$F$6:$F$15,0),99),IFERROR(MATCH(BC18,Setup!$H$6:$H$15,0),99),IFERROR(MATCH(AZ18,Setup!$J$6:$J$11,0),99))*1E+9+(AW18-40000)*10000+17)</f>
        <v/>
      </c>
      <c r="BK18">
        <f>IF(BI18=1,BJ18,"")</f>
        <v/>
      </c>
      <c r="BL18">
        <f>IF(AND(BH18=1,BG18=0,N(AW18)&lt;Setup!$D$7),(AW18-40000)*10000+17,"")</f>
        <v/>
      </c>
      <c r="BM18">
        <f>IF(AND(BH18=1,AZ18&lt;&gt;"Cancelled",N(AW18)&gt;=Dashboard!$AB$3,N(AW18)&lt;=Dashboard!$AB$3+6),(AW18-40000)*100000+BF18*10000+17,"")</f>
        <v/>
      </c>
      <c r="BN18">
        <f>IF(AND(BH18=1,AZ18&lt;&gt;"Cancelled"),BF18*10000+17,"")</f>
        <v/>
      </c>
    </row>
    <row r="19">
      <c r="A19">
        <f>Setup!$D$5+17</f>
        <v/>
      </c>
      <c r="B19">
        <f>IF('Recurring Schedule'!$C$6="","",IF('Recurring Schedule'!$F$6="","",IF(OR($A19&lt;'Recurring Schedule'!$F$6,$A19&gt;'Recurring Schedule'!$P$6),"",IF(IF('Recurring Schedule'!$N$6&gt;0,MOD($A19-'Recurring Schedule'!$F$6,'Recurring Schedule'!$N$6)=0,IF('Recurring Schedule'!$O$6&gt;0,AND(DAY($A19)=MIN(DAY('Recurring Schedule'!$F$6),DAY(EOMONTH($A19,0))),MOD((YEAR($A19)-YEAR('Recurring Schedule'!$F$6))*12+MONTH($A19)-MONTH('Recurring Schedule'!$F$6),'Recurring Schedule'!$O$6)=0),IF('Recurring Schedule'!$E$6="Weekdays",WEEKDAY($A19,2)&lt;=5,$A19='Recurring Schedule'!$F$6))),1,""))))</f>
        <v/>
      </c>
      <c r="C19">
        <f>IF('Recurring Schedule'!$C$7="","",IF('Recurring Schedule'!$F$7="","",IF(OR($A19&lt;'Recurring Schedule'!$F$7,$A19&gt;'Recurring Schedule'!$P$7),"",IF(IF('Recurring Schedule'!$N$7&gt;0,MOD($A19-'Recurring Schedule'!$F$7,'Recurring Schedule'!$N$7)=0,IF('Recurring Schedule'!$O$7&gt;0,AND(DAY($A19)=MIN(DAY('Recurring Schedule'!$F$7),DAY(EOMONTH($A19,0))),MOD((YEAR($A19)-YEAR('Recurring Schedule'!$F$7))*12+MONTH($A19)-MONTH('Recurring Schedule'!$F$7),'Recurring Schedule'!$O$7)=0),IF('Recurring Schedule'!$E$7="Weekdays",WEEKDAY($A19,2)&lt;=5,$A19='Recurring Schedule'!$F$7))),2,""))))</f>
        <v/>
      </c>
      <c r="D19">
        <f>IF('Recurring Schedule'!$C$8="","",IF('Recurring Schedule'!$F$8="","",IF(OR($A19&lt;'Recurring Schedule'!$F$8,$A19&gt;'Recurring Schedule'!$P$8),"",IF(IF('Recurring Schedule'!$N$8&gt;0,MOD($A19-'Recurring Schedule'!$F$8,'Recurring Schedule'!$N$8)=0,IF('Recurring Schedule'!$O$8&gt;0,AND(DAY($A19)=MIN(DAY('Recurring Schedule'!$F$8),DAY(EOMONTH($A19,0))),MOD((YEAR($A19)-YEAR('Recurring Schedule'!$F$8))*12+MONTH($A19)-MONTH('Recurring Schedule'!$F$8),'Recurring Schedule'!$O$8)=0),IF('Recurring Schedule'!$E$8="Weekdays",WEEKDAY($A19,2)&lt;=5,$A19='Recurring Schedule'!$F$8))),3,""))))</f>
        <v/>
      </c>
      <c r="E19">
        <f>IF('Recurring Schedule'!$C$9="","",IF('Recurring Schedule'!$F$9="","",IF(OR($A19&lt;'Recurring Schedule'!$F$9,$A19&gt;'Recurring Schedule'!$P$9),"",IF(IF('Recurring Schedule'!$N$9&gt;0,MOD($A19-'Recurring Schedule'!$F$9,'Recurring Schedule'!$N$9)=0,IF('Recurring Schedule'!$O$9&gt;0,AND(DAY($A19)=MIN(DAY('Recurring Schedule'!$F$9),DAY(EOMONTH($A19,0))),MOD((YEAR($A19)-YEAR('Recurring Schedule'!$F$9))*12+MONTH($A19)-MONTH('Recurring Schedule'!$F$9),'Recurring Schedule'!$O$9)=0),IF('Recurring Schedule'!$E$9="Weekdays",WEEKDAY($A19,2)&lt;=5,$A19='Recurring Schedule'!$F$9))),4,""))))</f>
        <v/>
      </c>
      <c r="F19">
        <f>IF('Recurring Schedule'!$C$10="","",IF('Recurring Schedule'!$F$10="","",IF(OR($A19&lt;'Recurring Schedule'!$F$10,$A19&gt;'Recurring Schedule'!$P$10),"",IF(IF('Recurring Schedule'!$N$10&gt;0,MOD($A19-'Recurring Schedule'!$F$10,'Recurring Schedule'!$N$10)=0,IF('Recurring Schedule'!$O$10&gt;0,AND(DAY($A19)=MIN(DAY('Recurring Schedule'!$F$10),DAY(EOMONTH($A19,0))),MOD((YEAR($A19)-YEAR('Recurring Schedule'!$F$10))*12+MONTH($A19)-MONTH('Recurring Schedule'!$F$10),'Recurring Schedule'!$O$10)=0),IF('Recurring Schedule'!$E$10="Weekdays",WEEKDAY($A19,2)&lt;=5,$A19='Recurring Schedule'!$F$10))),5,""))))</f>
        <v/>
      </c>
      <c r="G19">
        <f>IF('Recurring Schedule'!$C$11="","",IF('Recurring Schedule'!$F$11="","",IF(OR($A19&lt;'Recurring Schedule'!$F$11,$A19&gt;'Recurring Schedule'!$P$11),"",IF(IF('Recurring Schedule'!$N$11&gt;0,MOD($A19-'Recurring Schedule'!$F$11,'Recurring Schedule'!$N$11)=0,IF('Recurring Schedule'!$O$11&gt;0,AND(DAY($A19)=MIN(DAY('Recurring Schedule'!$F$11),DAY(EOMONTH($A19,0))),MOD((YEAR($A19)-YEAR('Recurring Schedule'!$F$11))*12+MONTH($A19)-MONTH('Recurring Schedule'!$F$11),'Recurring Schedule'!$O$11)=0),IF('Recurring Schedule'!$E$11="Weekdays",WEEKDAY($A19,2)&lt;=5,$A19='Recurring Schedule'!$F$11))),6,""))))</f>
        <v/>
      </c>
      <c r="H19">
        <f>IF('Recurring Schedule'!$C$12="","",IF('Recurring Schedule'!$F$12="","",IF(OR($A19&lt;'Recurring Schedule'!$F$12,$A19&gt;'Recurring Schedule'!$P$12),"",IF(IF('Recurring Schedule'!$N$12&gt;0,MOD($A19-'Recurring Schedule'!$F$12,'Recurring Schedule'!$N$12)=0,IF('Recurring Schedule'!$O$12&gt;0,AND(DAY($A19)=MIN(DAY('Recurring Schedule'!$F$12),DAY(EOMONTH($A19,0))),MOD((YEAR($A19)-YEAR('Recurring Schedule'!$F$12))*12+MONTH($A19)-MONTH('Recurring Schedule'!$F$12),'Recurring Schedule'!$O$12)=0),IF('Recurring Schedule'!$E$12="Weekdays",WEEKDAY($A19,2)&lt;=5,$A19='Recurring Schedule'!$F$12))),7,""))))</f>
        <v/>
      </c>
      <c r="I19">
        <f>IF('Recurring Schedule'!$C$13="","",IF('Recurring Schedule'!$F$13="","",IF(OR($A19&lt;'Recurring Schedule'!$F$13,$A19&gt;'Recurring Schedule'!$P$13),"",IF(IF('Recurring Schedule'!$N$13&gt;0,MOD($A19-'Recurring Schedule'!$F$13,'Recurring Schedule'!$N$13)=0,IF('Recurring Schedule'!$O$13&gt;0,AND(DAY($A19)=MIN(DAY('Recurring Schedule'!$F$13),DAY(EOMONTH($A19,0))),MOD((YEAR($A19)-YEAR('Recurring Schedule'!$F$13))*12+MONTH($A19)-MONTH('Recurring Schedule'!$F$13),'Recurring Schedule'!$O$13)=0),IF('Recurring Schedule'!$E$13="Weekdays",WEEKDAY($A19,2)&lt;=5,$A19='Recurring Schedule'!$F$13))),8,""))))</f>
        <v/>
      </c>
      <c r="J19">
        <f>IF('Recurring Schedule'!$C$14="","",IF('Recurring Schedule'!$F$14="","",IF(OR($A19&lt;'Recurring Schedule'!$F$14,$A19&gt;'Recurring Schedule'!$P$14),"",IF(IF('Recurring Schedule'!$N$14&gt;0,MOD($A19-'Recurring Schedule'!$F$14,'Recurring Schedule'!$N$14)=0,IF('Recurring Schedule'!$O$14&gt;0,AND(DAY($A19)=MIN(DAY('Recurring Schedule'!$F$14),DAY(EOMONTH($A19,0))),MOD((YEAR($A19)-YEAR('Recurring Schedule'!$F$14))*12+MONTH($A19)-MONTH('Recurring Schedule'!$F$14),'Recurring Schedule'!$O$14)=0),IF('Recurring Schedule'!$E$14="Weekdays",WEEKDAY($A19,2)&lt;=5,$A19='Recurring Schedule'!$F$14))),9,""))))</f>
        <v/>
      </c>
      <c r="K19">
        <f>IF('Recurring Schedule'!$C$15="","",IF('Recurring Schedule'!$F$15="","",IF(OR($A19&lt;'Recurring Schedule'!$F$15,$A19&gt;'Recurring Schedule'!$P$15),"",IF(IF('Recurring Schedule'!$N$15&gt;0,MOD($A19-'Recurring Schedule'!$F$15,'Recurring Schedule'!$N$15)=0,IF('Recurring Schedule'!$O$15&gt;0,AND(DAY($A19)=MIN(DAY('Recurring Schedule'!$F$15),DAY(EOMONTH($A19,0))),MOD((YEAR($A19)-YEAR('Recurring Schedule'!$F$15))*12+MONTH($A19)-MONTH('Recurring Schedule'!$F$15),'Recurring Schedule'!$O$15)=0),IF('Recurring Schedule'!$E$15="Weekdays",WEEKDAY($A19,2)&lt;=5,$A19='Recurring Schedule'!$F$15))),10,""))))</f>
        <v/>
      </c>
      <c r="L19">
        <f>IF('Recurring Schedule'!$C$16="","",IF('Recurring Schedule'!$F$16="","",IF(OR($A19&lt;'Recurring Schedule'!$F$16,$A19&gt;'Recurring Schedule'!$P$16),"",IF(IF('Recurring Schedule'!$N$16&gt;0,MOD($A19-'Recurring Schedule'!$F$16,'Recurring Schedule'!$N$16)=0,IF('Recurring Schedule'!$O$16&gt;0,AND(DAY($A19)=MIN(DAY('Recurring Schedule'!$F$16),DAY(EOMONTH($A19,0))),MOD((YEAR($A19)-YEAR('Recurring Schedule'!$F$16))*12+MONTH($A19)-MONTH('Recurring Schedule'!$F$16),'Recurring Schedule'!$O$16)=0),IF('Recurring Schedule'!$E$16="Weekdays",WEEKDAY($A19,2)&lt;=5,$A19='Recurring Schedule'!$F$16))),11,""))))</f>
        <v/>
      </c>
      <c r="M19">
        <f>IF('Recurring Schedule'!$C$17="","",IF('Recurring Schedule'!$F$17="","",IF(OR($A19&lt;'Recurring Schedule'!$F$17,$A19&gt;'Recurring Schedule'!$P$17),"",IF(IF('Recurring Schedule'!$N$17&gt;0,MOD($A19-'Recurring Schedule'!$F$17,'Recurring Schedule'!$N$17)=0,IF('Recurring Schedule'!$O$17&gt;0,AND(DAY($A19)=MIN(DAY('Recurring Schedule'!$F$17),DAY(EOMONTH($A19,0))),MOD((YEAR($A19)-YEAR('Recurring Schedule'!$F$17))*12+MONTH($A19)-MONTH('Recurring Schedule'!$F$17),'Recurring Schedule'!$O$17)=0),IF('Recurring Schedule'!$E$17="Weekdays",WEEKDAY($A19,2)&lt;=5,$A19='Recurring Schedule'!$F$17))),12,""))))</f>
        <v/>
      </c>
      <c r="N19">
        <f>IF('Recurring Schedule'!$C$18="","",IF('Recurring Schedule'!$F$18="","",IF(OR($A19&lt;'Recurring Schedule'!$F$18,$A19&gt;'Recurring Schedule'!$P$18),"",IF(IF('Recurring Schedule'!$N$18&gt;0,MOD($A19-'Recurring Schedule'!$F$18,'Recurring Schedule'!$N$18)=0,IF('Recurring Schedule'!$O$18&gt;0,AND(DAY($A19)=MIN(DAY('Recurring Schedule'!$F$18),DAY(EOMONTH($A19,0))),MOD((YEAR($A19)-YEAR('Recurring Schedule'!$F$18))*12+MONTH($A19)-MONTH('Recurring Schedule'!$F$18),'Recurring Schedule'!$O$18)=0),IF('Recurring Schedule'!$E$18="Weekdays",WEEKDAY($A19,2)&lt;=5,$A19='Recurring Schedule'!$F$18))),13,""))))</f>
        <v/>
      </c>
      <c r="O19">
        <f>IF('Recurring Schedule'!$C$19="","",IF('Recurring Schedule'!$F$19="","",IF(OR($A19&lt;'Recurring Schedule'!$F$19,$A19&gt;'Recurring Schedule'!$P$19),"",IF(IF('Recurring Schedule'!$N$19&gt;0,MOD($A19-'Recurring Schedule'!$F$19,'Recurring Schedule'!$N$19)=0,IF('Recurring Schedule'!$O$19&gt;0,AND(DAY($A19)=MIN(DAY('Recurring Schedule'!$F$19),DAY(EOMONTH($A19,0))),MOD((YEAR($A19)-YEAR('Recurring Schedule'!$F$19))*12+MONTH($A19)-MONTH('Recurring Schedule'!$F$19),'Recurring Schedule'!$O$19)=0),IF('Recurring Schedule'!$E$19="Weekdays",WEEKDAY($A19,2)&lt;=5,$A19='Recurring Schedule'!$F$19))),14,""))))</f>
        <v/>
      </c>
      <c r="P19">
        <f>IF('Recurring Schedule'!$C$20="","",IF('Recurring Schedule'!$F$20="","",IF(OR($A19&lt;'Recurring Schedule'!$F$20,$A19&gt;'Recurring Schedule'!$P$20),"",IF(IF('Recurring Schedule'!$N$20&gt;0,MOD($A19-'Recurring Schedule'!$F$20,'Recurring Schedule'!$N$20)=0,IF('Recurring Schedule'!$O$20&gt;0,AND(DAY($A19)=MIN(DAY('Recurring Schedule'!$F$20),DAY(EOMONTH($A19,0))),MOD((YEAR($A19)-YEAR('Recurring Schedule'!$F$20))*12+MONTH($A19)-MONTH('Recurring Schedule'!$F$20),'Recurring Schedule'!$O$20)=0),IF('Recurring Schedule'!$E$20="Weekdays",WEEKDAY($A19,2)&lt;=5,$A19='Recurring Schedule'!$F$20))),15,""))))</f>
        <v/>
      </c>
      <c r="Q19">
        <f>IF('Recurring Schedule'!$C$21="","",IF('Recurring Schedule'!$F$21="","",IF(OR($A19&lt;'Recurring Schedule'!$F$21,$A19&gt;'Recurring Schedule'!$P$21),"",IF(IF('Recurring Schedule'!$N$21&gt;0,MOD($A19-'Recurring Schedule'!$F$21,'Recurring Schedule'!$N$21)=0,IF('Recurring Schedule'!$O$21&gt;0,AND(DAY($A19)=MIN(DAY('Recurring Schedule'!$F$21),DAY(EOMONTH($A19,0))),MOD((YEAR($A19)-YEAR('Recurring Schedule'!$F$21))*12+MONTH($A19)-MONTH('Recurring Schedule'!$F$21),'Recurring Schedule'!$O$21)=0),IF('Recurring Schedule'!$E$21="Weekdays",WEEKDAY($A19,2)&lt;=5,$A19='Recurring Schedule'!$F$21))),16,""))))</f>
        <v/>
      </c>
      <c r="R19">
        <f>IF('Recurring Schedule'!$C$22="","",IF('Recurring Schedule'!$F$22="","",IF(OR($A19&lt;'Recurring Schedule'!$F$22,$A19&gt;'Recurring Schedule'!$P$22),"",IF(IF('Recurring Schedule'!$N$22&gt;0,MOD($A19-'Recurring Schedule'!$F$22,'Recurring Schedule'!$N$22)=0,IF('Recurring Schedule'!$O$22&gt;0,AND(DAY($A19)=MIN(DAY('Recurring Schedule'!$F$22),DAY(EOMONTH($A19,0))),MOD((YEAR($A19)-YEAR('Recurring Schedule'!$F$22))*12+MONTH($A19)-MONTH('Recurring Schedule'!$F$22),'Recurring Schedule'!$O$22)=0),IF('Recurring Schedule'!$E$22="Weekdays",WEEKDAY($A19,2)&lt;=5,$A19='Recurring Schedule'!$F$22))),17,""))))</f>
        <v/>
      </c>
      <c r="S19">
        <f>IF('Recurring Schedule'!$C$23="","",IF('Recurring Schedule'!$F$23="","",IF(OR($A19&lt;'Recurring Schedule'!$F$23,$A19&gt;'Recurring Schedule'!$P$23),"",IF(IF('Recurring Schedule'!$N$23&gt;0,MOD($A19-'Recurring Schedule'!$F$23,'Recurring Schedule'!$N$23)=0,IF('Recurring Schedule'!$O$23&gt;0,AND(DAY($A19)=MIN(DAY('Recurring Schedule'!$F$23),DAY(EOMONTH($A19,0))),MOD((YEAR($A19)-YEAR('Recurring Schedule'!$F$23))*12+MONTH($A19)-MONTH('Recurring Schedule'!$F$23),'Recurring Schedule'!$O$23)=0),IF('Recurring Schedule'!$E$23="Weekdays",WEEKDAY($A19,2)&lt;=5,$A19='Recurring Schedule'!$F$23))),18,""))))</f>
        <v/>
      </c>
      <c r="T19">
        <f>IF('Recurring Schedule'!$C$24="","",IF('Recurring Schedule'!$F$24="","",IF(OR($A19&lt;'Recurring Schedule'!$F$24,$A19&gt;'Recurring Schedule'!$P$24),"",IF(IF('Recurring Schedule'!$N$24&gt;0,MOD($A19-'Recurring Schedule'!$F$24,'Recurring Schedule'!$N$24)=0,IF('Recurring Schedule'!$O$24&gt;0,AND(DAY($A19)=MIN(DAY('Recurring Schedule'!$F$24),DAY(EOMONTH($A19,0))),MOD((YEAR($A19)-YEAR('Recurring Schedule'!$F$24))*12+MONTH($A19)-MONTH('Recurring Schedule'!$F$24),'Recurring Schedule'!$O$24)=0),IF('Recurring Schedule'!$E$24="Weekdays",WEEKDAY($A19,2)&lt;=5,$A19='Recurring Schedule'!$F$24))),19,""))))</f>
        <v/>
      </c>
      <c r="U19">
        <f>IF('Recurring Schedule'!$C$25="","",IF('Recurring Schedule'!$F$25="","",IF(OR($A19&lt;'Recurring Schedule'!$F$25,$A19&gt;'Recurring Schedule'!$P$25),"",IF(IF('Recurring Schedule'!$N$25&gt;0,MOD($A19-'Recurring Schedule'!$F$25,'Recurring Schedule'!$N$25)=0,IF('Recurring Schedule'!$O$25&gt;0,AND(DAY($A19)=MIN(DAY('Recurring Schedule'!$F$25),DAY(EOMONTH($A19,0))),MOD((YEAR($A19)-YEAR('Recurring Schedule'!$F$25))*12+MONTH($A19)-MONTH('Recurring Schedule'!$F$25),'Recurring Schedule'!$O$25)=0),IF('Recurring Schedule'!$E$25="Weekdays",WEEKDAY($A19,2)&lt;=5,$A19='Recurring Schedule'!$F$25))),20,""))))</f>
        <v/>
      </c>
      <c r="V19">
        <f>IF('Recurring Schedule'!$C$26="","",IF('Recurring Schedule'!$F$26="","",IF(OR($A19&lt;'Recurring Schedule'!$F$26,$A19&gt;'Recurring Schedule'!$P$26),"",IF(IF('Recurring Schedule'!$N$26&gt;0,MOD($A19-'Recurring Schedule'!$F$26,'Recurring Schedule'!$N$26)=0,IF('Recurring Schedule'!$O$26&gt;0,AND(DAY($A19)=MIN(DAY('Recurring Schedule'!$F$26),DAY(EOMONTH($A19,0))),MOD((YEAR($A19)-YEAR('Recurring Schedule'!$F$26))*12+MONTH($A19)-MONTH('Recurring Schedule'!$F$26),'Recurring Schedule'!$O$26)=0),IF('Recurring Schedule'!$E$26="Weekdays",WEEKDAY($A19,2)&lt;=5,$A19='Recurring Schedule'!$F$26))),21,""))))</f>
        <v/>
      </c>
      <c r="W19">
        <f>IF('Recurring Schedule'!$C$27="","",IF('Recurring Schedule'!$F$27="","",IF(OR($A19&lt;'Recurring Schedule'!$F$27,$A19&gt;'Recurring Schedule'!$P$27),"",IF(IF('Recurring Schedule'!$N$27&gt;0,MOD($A19-'Recurring Schedule'!$F$27,'Recurring Schedule'!$N$27)=0,IF('Recurring Schedule'!$O$27&gt;0,AND(DAY($A19)=MIN(DAY('Recurring Schedule'!$F$27),DAY(EOMONTH($A19,0))),MOD((YEAR($A19)-YEAR('Recurring Schedule'!$F$27))*12+MONTH($A19)-MONTH('Recurring Schedule'!$F$27),'Recurring Schedule'!$O$27)=0),IF('Recurring Schedule'!$E$27="Weekdays",WEEKDAY($A19,2)&lt;=5,$A19='Recurring Schedule'!$F$27))),22,""))))</f>
        <v/>
      </c>
      <c r="X19">
        <f>IF('Recurring Schedule'!$C$28="","",IF('Recurring Schedule'!$F$28="","",IF(OR($A19&lt;'Recurring Schedule'!$F$28,$A19&gt;'Recurring Schedule'!$P$28),"",IF(IF('Recurring Schedule'!$N$28&gt;0,MOD($A19-'Recurring Schedule'!$F$28,'Recurring Schedule'!$N$28)=0,IF('Recurring Schedule'!$O$28&gt;0,AND(DAY($A19)=MIN(DAY('Recurring Schedule'!$F$28),DAY(EOMONTH($A19,0))),MOD((YEAR($A19)-YEAR('Recurring Schedule'!$F$28))*12+MONTH($A19)-MONTH('Recurring Schedule'!$F$28),'Recurring Schedule'!$O$28)=0),IF('Recurring Schedule'!$E$28="Weekdays",WEEKDAY($A19,2)&lt;=5,$A19='Recurring Schedule'!$F$28))),23,""))))</f>
        <v/>
      </c>
      <c r="Y19">
        <f>IF('Recurring Schedule'!$C$29="","",IF('Recurring Schedule'!$F$29="","",IF(OR($A19&lt;'Recurring Schedule'!$F$29,$A19&gt;'Recurring Schedule'!$P$29),"",IF(IF('Recurring Schedule'!$N$29&gt;0,MOD($A19-'Recurring Schedule'!$F$29,'Recurring Schedule'!$N$29)=0,IF('Recurring Schedule'!$O$29&gt;0,AND(DAY($A19)=MIN(DAY('Recurring Schedule'!$F$29),DAY(EOMONTH($A19,0))),MOD((YEAR($A19)-YEAR('Recurring Schedule'!$F$29))*12+MONTH($A19)-MONTH('Recurring Schedule'!$F$29),'Recurring Schedule'!$O$29)=0),IF('Recurring Schedule'!$E$29="Weekdays",WEEKDAY($A19,2)&lt;=5,$A19='Recurring Schedule'!$F$29))),24,""))))</f>
        <v/>
      </c>
      <c r="Z19">
        <f>IF('Recurring Schedule'!$C$30="","",IF('Recurring Schedule'!$F$30="","",IF(OR($A19&lt;'Recurring Schedule'!$F$30,$A19&gt;'Recurring Schedule'!$P$30),"",IF(IF('Recurring Schedule'!$N$30&gt;0,MOD($A19-'Recurring Schedule'!$F$30,'Recurring Schedule'!$N$30)=0,IF('Recurring Schedule'!$O$30&gt;0,AND(DAY($A19)=MIN(DAY('Recurring Schedule'!$F$30),DAY(EOMONTH($A19,0))),MOD((YEAR($A19)-YEAR('Recurring Schedule'!$F$30))*12+MONTH($A19)-MONTH('Recurring Schedule'!$F$30),'Recurring Schedule'!$O$30)=0),IF('Recurring Schedule'!$E$30="Weekdays",WEEKDAY($A19,2)&lt;=5,$A19='Recurring Schedule'!$F$30))),25,""))))</f>
        <v/>
      </c>
      <c r="AA19">
        <f>IF('Recurring Schedule'!$C$31="","",IF('Recurring Schedule'!$F$31="","",IF(OR($A19&lt;'Recurring Schedule'!$F$31,$A19&gt;'Recurring Schedule'!$P$31),"",IF(IF('Recurring Schedule'!$N$31&gt;0,MOD($A19-'Recurring Schedule'!$F$31,'Recurring Schedule'!$N$31)=0,IF('Recurring Schedule'!$O$31&gt;0,AND(DAY($A19)=MIN(DAY('Recurring Schedule'!$F$31),DAY(EOMONTH($A19,0))),MOD((YEAR($A19)-YEAR('Recurring Schedule'!$F$31))*12+MONTH($A19)-MONTH('Recurring Schedule'!$F$31),'Recurring Schedule'!$O$31)=0),IF('Recurring Schedule'!$E$31="Weekdays",WEEKDAY($A19,2)&lt;=5,$A19='Recurring Schedule'!$F$31))),26,""))))</f>
        <v/>
      </c>
      <c r="AB19">
        <f>IF('Recurring Schedule'!$C$32="","",IF('Recurring Schedule'!$F$32="","",IF(OR($A19&lt;'Recurring Schedule'!$F$32,$A19&gt;'Recurring Schedule'!$P$32),"",IF(IF('Recurring Schedule'!$N$32&gt;0,MOD($A19-'Recurring Schedule'!$F$32,'Recurring Schedule'!$N$32)=0,IF('Recurring Schedule'!$O$32&gt;0,AND(DAY($A19)=MIN(DAY('Recurring Schedule'!$F$32),DAY(EOMONTH($A19,0))),MOD((YEAR($A19)-YEAR('Recurring Schedule'!$F$32))*12+MONTH($A19)-MONTH('Recurring Schedule'!$F$32),'Recurring Schedule'!$O$32)=0),IF('Recurring Schedule'!$E$32="Weekdays",WEEKDAY($A19,2)&lt;=5,$A19='Recurring Schedule'!$F$32))),27,""))))</f>
        <v/>
      </c>
      <c r="AC19">
        <f>IF('Recurring Schedule'!$C$33="","",IF('Recurring Schedule'!$F$33="","",IF(OR($A19&lt;'Recurring Schedule'!$F$33,$A19&gt;'Recurring Schedule'!$P$33),"",IF(IF('Recurring Schedule'!$N$33&gt;0,MOD($A19-'Recurring Schedule'!$F$33,'Recurring Schedule'!$N$33)=0,IF('Recurring Schedule'!$O$33&gt;0,AND(DAY($A19)=MIN(DAY('Recurring Schedule'!$F$33),DAY(EOMONTH($A19,0))),MOD((YEAR($A19)-YEAR('Recurring Schedule'!$F$33))*12+MONTH($A19)-MONTH('Recurring Schedule'!$F$33),'Recurring Schedule'!$O$33)=0),IF('Recurring Schedule'!$E$33="Weekdays",WEEKDAY($A19,2)&lt;=5,$A19='Recurring Schedule'!$F$33))),28,""))))</f>
        <v/>
      </c>
      <c r="AD19">
        <f>IF('Recurring Schedule'!$C$34="","",IF('Recurring Schedule'!$F$34="","",IF(OR($A19&lt;'Recurring Schedule'!$F$34,$A19&gt;'Recurring Schedule'!$P$34),"",IF(IF('Recurring Schedule'!$N$34&gt;0,MOD($A19-'Recurring Schedule'!$F$34,'Recurring Schedule'!$N$34)=0,IF('Recurring Schedule'!$O$34&gt;0,AND(DAY($A19)=MIN(DAY('Recurring Schedule'!$F$34),DAY(EOMONTH($A19,0))),MOD((YEAR($A19)-YEAR('Recurring Schedule'!$F$34))*12+MONTH($A19)-MONTH('Recurring Schedule'!$F$34),'Recurring Schedule'!$O$34)=0),IF('Recurring Schedule'!$E$34="Weekdays",WEEKDAY($A19,2)&lt;=5,$A19='Recurring Schedule'!$F$34))),29,""))))</f>
        <v/>
      </c>
      <c r="AE19">
        <f>IF('Recurring Schedule'!$C$35="","",IF('Recurring Schedule'!$F$35="","",IF(OR($A19&lt;'Recurring Schedule'!$F$35,$A19&gt;'Recurring Schedule'!$P$35),"",IF(IF('Recurring Schedule'!$N$35&gt;0,MOD($A19-'Recurring Schedule'!$F$35,'Recurring Schedule'!$N$35)=0,IF('Recurring Schedule'!$O$35&gt;0,AND(DAY($A19)=MIN(DAY('Recurring Schedule'!$F$35),DAY(EOMONTH($A19,0))),MOD((YEAR($A19)-YEAR('Recurring Schedule'!$F$35))*12+MONTH($A19)-MONTH('Recurring Schedule'!$F$35),'Recurring Schedule'!$O$35)=0),IF('Recurring Schedule'!$E$35="Weekdays",WEEKDAY($A19,2)&lt;=5,$A19='Recurring Schedule'!$F$35))),30,""))))</f>
        <v/>
      </c>
      <c r="AF19">
        <f>IF('Recurring Schedule'!$C$36="","",IF('Recurring Schedule'!$F$36="","",IF(OR($A19&lt;'Recurring Schedule'!$F$36,$A19&gt;'Recurring Schedule'!$P$36),"",IF(IF('Recurring Schedule'!$N$36&gt;0,MOD($A19-'Recurring Schedule'!$F$36,'Recurring Schedule'!$N$36)=0,IF('Recurring Schedule'!$O$36&gt;0,AND(DAY($A19)=MIN(DAY('Recurring Schedule'!$F$36),DAY(EOMONTH($A19,0))),MOD((YEAR($A19)-YEAR('Recurring Schedule'!$F$36))*12+MONTH($A19)-MONTH('Recurring Schedule'!$F$36),'Recurring Schedule'!$O$36)=0),IF('Recurring Schedule'!$E$36="Weekdays",WEEKDAY($A19,2)&lt;=5,$A19='Recurring Schedule'!$F$36))),31,""))))</f>
        <v/>
      </c>
      <c r="AG19">
        <f>IF('Recurring Schedule'!$C$37="","",IF('Recurring Schedule'!$F$37="","",IF(OR($A19&lt;'Recurring Schedule'!$F$37,$A19&gt;'Recurring Schedule'!$P$37),"",IF(IF('Recurring Schedule'!$N$37&gt;0,MOD($A19-'Recurring Schedule'!$F$37,'Recurring Schedule'!$N$37)=0,IF('Recurring Schedule'!$O$37&gt;0,AND(DAY($A19)=MIN(DAY('Recurring Schedule'!$F$37),DAY(EOMONTH($A19,0))),MOD((YEAR($A19)-YEAR('Recurring Schedule'!$F$37))*12+MONTH($A19)-MONTH('Recurring Schedule'!$F$37),'Recurring Schedule'!$O$37)=0),IF('Recurring Schedule'!$E$37="Weekdays",WEEKDAY($A19,2)&lt;=5,$A19='Recurring Schedule'!$F$37))),32,""))))</f>
        <v/>
      </c>
      <c r="AH19">
        <f>IF('Recurring Schedule'!$C$38="","",IF('Recurring Schedule'!$F$38="","",IF(OR($A19&lt;'Recurring Schedule'!$F$38,$A19&gt;'Recurring Schedule'!$P$38),"",IF(IF('Recurring Schedule'!$N$38&gt;0,MOD($A19-'Recurring Schedule'!$F$38,'Recurring Schedule'!$N$38)=0,IF('Recurring Schedule'!$O$38&gt;0,AND(DAY($A19)=MIN(DAY('Recurring Schedule'!$F$38),DAY(EOMONTH($A19,0))),MOD((YEAR($A19)-YEAR('Recurring Schedule'!$F$38))*12+MONTH($A19)-MONTH('Recurring Schedule'!$F$38),'Recurring Schedule'!$O$38)=0),IF('Recurring Schedule'!$E$38="Weekdays",WEEKDAY($A19,2)&lt;=5,$A19='Recurring Schedule'!$F$38))),33,""))))</f>
        <v/>
      </c>
      <c r="AI19">
        <f>IF('Recurring Schedule'!$C$39="","",IF('Recurring Schedule'!$F$39="","",IF(OR($A19&lt;'Recurring Schedule'!$F$39,$A19&gt;'Recurring Schedule'!$P$39),"",IF(IF('Recurring Schedule'!$N$39&gt;0,MOD($A19-'Recurring Schedule'!$F$39,'Recurring Schedule'!$N$39)=0,IF('Recurring Schedule'!$O$39&gt;0,AND(DAY($A19)=MIN(DAY('Recurring Schedule'!$F$39),DAY(EOMONTH($A19,0))),MOD((YEAR($A19)-YEAR('Recurring Schedule'!$F$39))*12+MONTH($A19)-MONTH('Recurring Schedule'!$F$39),'Recurring Schedule'!$O$39)=0),IF('Recurring Schedule'!$E$39="Weekdays",WEEKDAY($A19,2)&lt;=5,$A19='Recurring Schedule'!$F$39))),34,""))))</f>
        <v/>
      </c>
      <c r="AJ19">
        <f>IF('Recurring Schedule'!$C$40="","",IF('Recurring Schedule'!$F$40="","",IF(OR($A19&lt;'Recurring Schedule'!$F$40,$A19&gt;'Recurring Schedule'!$P$40),"",IF(IF('Recurring Schedule'!$N$40&gt;0,MOD($A19-'Recurring Schedule'!$F$40,'Recurring Schedule'!$N$40)=0,IF('Recurring Schedule'!$O$40&gt;0,AND(DAY($A19)=MIN(DAY('Recurring Schedule'!$F$40),DAY(EOMONTH($A19,0))),MOD((YEAR($A19)-YEAR('Recurring Schedule'!$F$40))*12+MONTH($A19)-MONTH('Recurring Schedule'!$F$40),'Recurring Schedule'!$O$40)=0),IF('Recurring Schedule'!$E$40="Weekdays",WEEKDAY($A19,2)&lt;=5,$A19='Recurring Schedule'!$F$40))),35,""))))</f>
        <v/>
      </c>
      <c r="AK19">
        <f>IF('Recurring Schedule'!$C$41="","",IF('Recurring Schedule'!$F$41="","",IF(OR($A19&lt;'Recurring Schedule'!$F$41,$A19&gt;'Recurring Schedule'!$P$41),"",IF(IF('Recurring Schedule'!$N$41&gt;0,MOD($A19-'Recurring Schedule'!$F$41,'Recurring Schedule'!$N$41)=0,IF('Recurring Schedule'!$O$41&gt;0,AND(DAY($A19)=MIN(DAY('Recurring Schedule'!$F$41),DAY(EOMONTH($A19,0))),MOD((YEAR($A19)-YEAR('Recurring Schedule'!$F$41))*12+MONTH($A19)-MONTH('Recurring Schedule'!$F$41),'Recurring Schedule'!$O$41)=0),IF('Recurring Schedule'!$E$41="Weekdays",WEEKDAY($A19,2)&lt;=5,$A19='Recurring Schedule'!$F$41))),36,""))))</f>
        <v/>
      </c>
      <c r="AL19">
        <f>IF('Recurring Schedule'!$C$42="","",IF('Recurring Schedule'!$F$42="","",IF(OR($A19&lt;'Recurring Schedule'!$F$42,$A19&gt;'Recurring Schedule'!$P$42),"",IF(IF('Recurring Schedule'!$N$42&gt;0,MOD($A19-'Recurring Schedule'!$F$42,'Recurring Schedule'!$N$42)=0,IF('Recurring Schedule'!$O$42&gt;0,AND(DAY($A19)=MIN(DAY('Recurring Schedule'!$F$42),DAY(EOMONTH($A19,0))),MOD((YEAR($A19)-YEAR('Recurring Schedule'!$F$42))*12+MONTH($A19)-MONTH('Recurring Schedule'!$F$42),'Recurring Schedule'!$O$42)=0),IF('Recurring Schedule'!$E$42="Weekdays",WEEKDAY($A19,2)&lt;=5,$A19='Recurring Schedule'!$F$42))),37,""))))</f>
        <v/>
      </c>
      <c r="AM19">
        <f>IF('Recurring Schedule'!$C$43="","",IF('Recurring Schedule'!$F$43="","",IF(OR($A19&lt;'Recurring Schedule'!$F$43,$A19&gt;'Recurring Schedule'!$P$43),"",IF(IF('Recurring Schedule'!$N$43&gt;0,MOD($A19-'Recurring Schedule'!$F$43,'Recurring Schedule'!$N$43)=0,IF('Recurring Schedule'!$O$43&gt;0,AND(DAY($A19)=MIN(DAY('Recurring Schedule'!$F$43),DAY(EOMONTH($A19,0))),MOD((YEAR($A19)-YEAR('Recurring Schedule'!$F$43))*12+MONTH($A19)-MONTH('Recurring Schedule'!$F$43),'Recurring Schedule'!$O$43)=0),IF('Recurring Schedule'!$E$43="Weekdays",WEEKDAY($A19,2)&lt;=5,$A19='Recurring Schedule'!$F$43))),38,""))))</f>
        <v/>
      </c>
      <c r="AN19">
        <f>IF('Recurring Schedule'!$C$44="","",IF('Recurring Schedule'!$F$44="","",IF(OR($A19&lt;'Recurring Schedule'!$F$44,$A19&gt;'Recurring Schedule'!$P$44),"",IF(IF('Recurring Schedule'!$N$44&gt;0,MOD($A19-'Recurring Schedule'!$F$44,'Recurring Schedule'!$N$44)=0,IF('Recurring Schedule'!$O$44&gt;0,AND(DAY($A19)=MIN(DAY('Recurring Schedule'!$F$44),DAY(EOMONTH($A19,0))),MOD((YEAR($A19)-YEAR('Recurring Schedule'!$F$44))*12+MONTH($A19)-MONTH('Recurring Schedule'!$F$44),'Recurring Schedule'!$O$44)=0),IF('Recurring Schedule'!$E$44="Weekdays",WEEKDAY($A19,2)&lt;=5,$A19='Recurring Schedule'!$F$44))),39,""))))</f>
        <v/>
      </c>
      <c r="AO19">
        <f>IF('Recurring Schedule'!$C$45="","",IF('Recurring Schedule'!$F$45="","",IF(OR($A19&lt;'Recurring Schedule'!$F$45,$A19&gt;'Recurring Schedule'!$P$45),"",IF(IF('Recurring Schedule'!$N$45&gt;0,MOD($A19-'Recurring Schedule'!$F$45,'Recurring Schedule'!$N$45)=0,IF('Recurring Schedule'!$O$45&gt;0,AND(DAY($A19)=MIN(DAY('Recurring Schedule'!$F$45),DAY(EOMONTH($A19,0))),MOD((YEAR($A19)-YEAR('Recurring Schedule'!$F$45))*12+MONTH($A19)-MONTH('Recurring Schedule'!$F$45),'Recurring Schedule'!$O$45)=0),IF('Recurring Schedule'!$E$45="Weekdays",WEEKDAY($A19,2)&lt;=5,$A19='Recurring Schedule'!$F$45))),40,""))))</f>
        <v/>
      </c>
      <c r="AP19">
        <f>COUNT(B19:AO19)</f>
        <v/>
      </c>
      <c r="AQ19">
        <f>AQ18+AP18</f>
        <v/>
      </c>
      <c r="AS19" t="inlineStr">
        <is>
          <t>R</t>
        </is>
      </c>
      <c r="AT19" t="n">
        <v>23</v>
      </c>
      <c r="AU19">
        <f>'Recurring Log'!C23&amp;""</f>
        <v/>
      </c>
      <c r="AV19">
        <f>'Recurring Log'!D23&amp;""</f>
        <v/>
      </c>
      <c r="AW19">
        <f>IF('Recurring Log'!E23="","",'Recurring Log'!E23)</f>
        <v/>
      </c>
      <c r="AX19">
        <f>IF('Recurring Log'!G23="","",'Recurring Log'!G23)</f>
        <v/>
      </c>
      <c r="AY19">
        <f>IF('Recurring Log'!H23="","",'Recurring Log'!H23)</f>
        <v/>
      </c>
      <c r="AZ19">
        <f>IF(AU19="","",IF('Recurring Log'!J23="","Not Started",'Recurring Log'!J23))</f>
        <v/>
      </c>
      <c r="BA19">
        <f>'Recurring Log'!L23&amp;""</f>
        <v/>
      </c>
      <c r="BB19">
        <f>'Recurring Log'!M23&amp;""</f>
        <v/>
      </c>
      <c r="BC19">
        <f>'Recurring Log'!N23&amp;""</f>
        <v/>
      </c>
      <c r="BD19">
        <f>'Recurring Log'!O23&amp;""</f>
        <v/>
      </c>
      <c r="BE19">
        <f>IF('Recurring Log'!K23="","",'Recurring Log'!K23)</f>
        <v/>
      </c>
      <c r="BF19">
        <f>IFERROR(MATCH(BA19,Setup!$L$6:$L$9,0),5)</f>
        <v/>
      </c>
      <c r="BG19">
        <f>IF(OR(AZ19="Done",AZ19="Cancelled"),1,0)</f>
        <v/>
      </c>
      <c r="BH19">
        <f>IF(AND(AU19&lt;&gt;"",ISNUMBER(AW19)),1,0)</f>
        <v/>
      </c>
      <c r="BI19">
        <f>IF(BH19=0,0,IF(AND(AW19&gt;='Tasks Filter'!$F$3,AW19&lt;='Tasks Filter'!$F$4,OR('Tasks Filter'!$I$3="",ISNUMBER(SEARCH('Tasks Filter'!$I$3,AU19))),OR('Tasks Filter'!$I$4="",BF19=IFERROR(MATCH('Tasks Filter'!$I$4,Setup!$L$6:$L$9,0),0)),OR('Tasks Filter'!$I$5="Both",AND('Tasks Filter'!$I$5="Yes",BB19="✓"),AND('Tasks Filter'!$I$5="No",BB19&lt;&gt;"✓")),OR('Tasks Filter'!$L$3="",AV19='Tasks Filter'!$L$3),OR('Tasks Filter'!$L$4="",AZ19='Tasks Filter'!$L$4),OR('Tasks Filter'!$L$5="",BC19='Tasks Filter'!$L$5),OR('Tasks Filter'!$O$3="",BD19='Tasks Filter'!$O$3),OR('Tasks Filter'!$O$4="Yes",BG19=0)),1,0))</f>
        <v/>
      </c>
      <c r="BJ19">
        <f>IF(BH19=0,"",IF('Tasks Filter'!$F$6="Descending",-1,1)*CHOOSE(MATCH('Tasks Filter'!$F$5,Lists!$G$2:$G$6,0),AW19,BF19,IFERROR(MATCH(AV19,Setup!$F$6:$F$15,0),99),IFERROR(MATCH(BC19,Setup!$H$6:$H$15,0),99),IFERROR(MATCH(AZ19,Setup!$J$6:$J$11,0),99))*1E+9+(AW19-40000)*10000+18)</f>
        <v/>
      </c>
      <c r="BK19">
        <f>IF(BI19=1,BJ19,"")</f>
        <v/>
      </c>
      <c r="BL19">
        <f>IF(AND(BH19=1,BG19=0,N(AW19)&lt;Setup!$D$7),(AW19-40000)*10000+18,"")</f>
        <v/>
      </c>
      <c r="BM19">
        <f>IF(AND(BH19=1,AZ19&lt;&gt;"Cancelled",N(AW19)&gt;=Dashboard!$AB$3,N(AW19)&lt;=Dashboard!$AB$3+6),(AW19-40000)*100000+BF19*10000+18,"")</f>
        <v/>
      </c>
      <c r="BN19">
        <f>IF(AND(BH19=1,AZ19&lt;&gt;"Cancelled"),BF19*10000+18,"")</f>
        <v/>
      </c>
    </row>
    <row r="20">
      <c r="A20">
        <f>Setup!$D$5+18</f>
        <v/>
      </c>
      <c r="B20">
        <f>IF('Recurring Schedule'!$C$6="","",IF('Recurring Schedule'!$F$6="","",IF(OR($A20&lt;'Recurring Schedule'!$F$6,$A20&gt;'Recurring Schedule'!$P$6),"",IF(IF('Recurring Schedule'!$N$6&gt;0,MOD($A20-'Recurring Schedule'!$F$6,'Recurring Schedule'!$N$6)=0,IF('Recurring Schedule'!$O$6&gt;0,AND(DAY($A20)=MIN(DAY('Recurring Schedule'!$F$6),DAY(EOMONTH($A20,0))),MOD((YEAR($A20)-YEAR('Recurring Schedule'!$F$6))*12+MONTH($A20)-MONTH('Recurring Schedule'!$F$6),'Recurring Schedule'!$O$6)=0),IF('Recurring Schedule'!$E$6="Weekdays",WEEKDAY($A20,2)&lt;=5,$A20='Recurring Schedule'!$F$6))),1,""))))</f>
        <v/>
      </c>
      <c r="C20">
        <f>IF('Recurring Schedule'!$C$7="","",IF('Recurring Schedule'!$F$7="","",IF(OR($A20&lt;'Recurring Schedule'!$F$7,$A20&gt;'Recurring Schedule'!$P$7),"",IF(IF('Recurring Schedule'!$N$7&gt;0,MOD($A20-'Recurring Schedule'!$F$7,'Recurring Schedule'!$N$7)=0,IF('Recurring Schedule'!$O$7&gt;0,AND(DAY($A20)=MIN(DAY('Recurring Schedule'!$F$7),DAY(EOMONTH($A20,0))),MOD((YEAR($A20)-YEAR('Recurring Schedule'!$F$7))*12+MONTH($A20)-MONTH('Recurring Schedule'!$F$7),'Recurring Schedule'!$O$7)=0),IF('Recurring Schedule'!$E$7="Weekdays",WEEKDAY($A20,2)&lt;=5,$A20='Recurring Schedule'!$F$7))),2,""))))</f>
        <v/>
      </c>
      <c r="D20">
        <f>IF('Recurring Schedule'!$C$8="","",IF('Recurring Schedule'!$F$8="","",IF(OR($A20&lt;'Recurring Schedule'!$F$8,$A20&gt;'Recurring Schedule'!$P$8),"",IF(IF('Recurring Schedule'!$N$8&gt;0,MOD($A20-'Recurring Schedule'!$F$8,'Recurring Schedule'!$N$8)=0,IF('Recurring Schedule'!$O$8&gt;0,AND(DAY($A20)=MIN(DAY('Recurring Schedule'!$F$8),DAY(EOMONTH($A20,0))),MOD((YEAR($A20)-YEAR('Recurring Schedule'!$F$8))*12+MONTH($A20)-MONTH('Recurring Schedule'!$F$8),'Recurring Schedule'!$O$8)=0),IF('Recurring Schedule'!$E$8="Weekdays",WEEKDAY($A20,2)&lt;=5,$A20='Recurring Schedule'!$F$8))),3,""))))</f>
        <v/>
      </c>
      <c r="E20">
        <f>IF('Recurring Schedule'!$C$9="","",IF('Recurring Schedule'!$F$9="","",IF(OR($A20&lt;'Recurring Schedule'!$F$9,$A20&gt;'Recurring Schedule'!$P$9),"",IF(IF('Recurring Schedule'!$N$9&gt;0,MOD($A20-'Recurring Schedule'!$F$9,'Recurring Schedule'!$N$9)=0,IF('Recurring Schedule'!$O$9&gt;0,AND(DAY($A20)=MIN(DAY('Recurring Schedule'!$F$9),DAY(EOMONTH($A20,0))),MOD((YEAR($A20)-YEAR('Recurring Schedule'!$F$9))*12+MONTH($A20)-MONTH('Recurring Schedule'!$F$9),'Recurring Schedule'!$O$9)=0),IF('Recurring Schedule'!$E$9="Weekdays",WEEKDAY($A20,2)&lt;=5,$A20='Recurring Schedule'!$F$9))),4,""))))</f>
        <v/>
      </c>
      <c r="F20">
        <f>IF('Recurring Schedule'!$C$10="","",IF('Recurring Schedule'!$F$10="","",IF(OR($A20&lt;'Recurring Schedule'!$F$10,$A20&gt;'Recurring Schedule'!$P$10),"",IF(IF('Recurring Schedule'!$N$10&gt;0,MOD($A20-'Recurring Schedule'!$F$10,'Recurring Schedule'!$N$10)=0,IF('Recurring Schedule'!$O$10&gt;0,AND(DAY($A20)=MIN(DAY('Recurring Schedule'!$F$10),DAY(EOMONTH($A20,0))),MOD((YEAR($A20)-YEAR('Recurring Schedule'!$F$10))*12+MONTH($A20)-MONTH('Recurring Schedule'!$F$10),'Recurring Schedule'!$O$10)=0),IF('Recurring Schedule'!$E$10="Weekdays",WEEKDAY($A20,2)&lt;=5,$A20='Recurring Schedule'!$F$10))),5,""))))</f>
        <v/>
      </c>
      <c r="G20">
        <f>IF('Recurring Schedule'!$C$11="","",IF('Recurring Schedule'!$F$11="","",IF(OR($A20&lt;'Recurring Schedule'!$F$11,$A20&gt;'Recurring Schedule'!$P$11),"",IF(IF('Recurring Schedule'!$N$11&gt;0,MOD($A20-'Recurring Schedule'!$F$11,'Recurring Schedule'!$N$11)=0,IF('Recurring Schedule'!$O$11&gt;0,AND(DAY($A20)=MIN(DAY('Recurring Schedule'!$F$11),DAY(EOMONTH($A20,0))),MOD((YEAR($A20)-YEAR('Recurring Schedule'!$F$11))*12+MONTH($A20)-MONTH('Recurring Schedule'!$F$11),'Recurring Schedule'!$O$11)=0),IF('Recurring Schedule'!$E$11="Weekdays",WEEKDAY($A20,2)&lt;=5,$A20='Recurring Schedule'!$F$11))),6,""))))</f>
        <v/>
      </c>
      <c r="H20">
        <f>IF('Recurring Schedule'!$C$12="","",IF('Recurring Schedule'!$F$12="","",IF(OR($A20&lt;'Recurring Schedule'!$F$12,$A20&gt;'Recurring Schedule'!$P$12),"",IF(IF('Recurring Schedule'!$N$12&gt;0,MOD($A20-'Recurring Schedule'!$F$12,'Recurring Schedule'!$N$12)=0,IF('Recurring Schedule'!$O$12&gt;0,AND(DAY($A20)=MIN(DAY('Recurring Schedule'!$F$12),DAY(EOMONTH($A20,0))),MOD((YEAR($A20)-YEAR('Recurring Schedule'!$F$12))*12+MONTH($A20)-MONTH('Recurring Schedule'!$F$12),'Recurring Schedule'!$O$12)=0),IF('Recurring Schedule'!$E$12="Weekdays",WEEKDAY($A20,2)&lt;=5,$A20='Recurring Schedule'!$F$12))),7,""))))</f>
        <v/>
      </c>
      <c r="I20">
        <f>IF('Recurring Schedule'!$C$13="","",IF('Recurring Schedule'!$F$13="","",IF(OR($A20&lt;'Recurring Schedule'!$F$13,$A20&gt;'Recurring Schedule'!$P$13),"",IF(IF('Recurring Schedule'!$N$13&gt;0,MOD($A20-'Recurring Schedule'!$F$13,'Recurring Schedule'!$N$13)=0,IF('Recurring Schedule'!$O$13&gt;0,AND(DAY($A20)=MIN(DAY('Recurring Schedule'!$F$13),DAY(EOMONTH($A20,0))),MOD((YEAR($A20)-YEAR('Recurring Schedule'!$F$13))*12+MONTH($A20)-MONTH('Recurring Schedule'!$F$13),'Recurring Schedule'!$O$13)=0),IF('Recurring Schedule'!$E$13="Weekdays",WEEKDAY($A20,2)&lt;=5,$A20='Recurring Schedule'!$F$13))),8,""))))</f>
        <v/>
      </c>
      <c r="J20">
        <f>IF('Recurring Schedule'!$C$14="","",IF('Recurring Schedule'!$F$14="","",IF(OR($A20&lt;'Recurring Schedule'!$F$14,$A20&gt;'Recurring Schedule'!$P$14),"",IF(IF('Recurring Schedule'!$N$14&gt;0,MOD($A20-'Recurring Schedule'!$F$14,'Recurring Schedule'!$N$14)=0,IF('Recurring Schedule'!$O$14&gt;0,AND(DAY($A20)=MIN(DAY('Recurring Schedule'!$F$14),DAY(EOMONTH($A20,0))),MOD((YEAR($A20)-YEAR('Recurring Schedule'!$F$14))*12+MONTH($A20)-MONTH('Recurring Schedule'!$F$14),'Recurring Schedule'!$O$14)=0),IF('Recurring Schedule'!$E$14="Weekdays",WEEKDAY($A20,2)&lt;=5,$A20='Recurring Schedule'!$F$14))),9,""))))</f>
        <v/>
      </c>
      <c r="K20">
        <f>IF('Recurring Schedule'!$C$15="","",IF('Recurring Schedule'!$F$15="","",IF(OR($A20&lt;'Recurring Schedule'!$F$15,$A20&gt;'Recurring Schedule'!$P$15),"",IF(IF('Recurring Schedule'!$N$15&gt;0,MOD($A20-'Recurring Schedule'!$F$15,'Recurring Schedule'!$N$15)=0,IF('Recurring Schedule'!$O$15&gt;0,AND(DAY($A20)=MIN(DAY('Recurring Schedule'!$F$15),DAY(EOMONTH($A20,0))),MOD((YEAR($A20)-YEAR('Recurring Schedule'!$F$15))*12+MONTH($A20)-MONTH('Recurring Schedule'!$F$15),'Recurring Schedule'!$O$15)=0),IF('Recurring Schedule'!$E$15="Weekdays",WEEKDAY($A20,2)&lt;=5,$A20='Recurring Schedule'!$F$15))),10,""))))</f>
        <v/>
      </c>
      <c r="L20">
        <f>IF('Recurring Schedule'!$C$16="","",IF('Recurring Schedule'!$F$16="","",IF(OR($A20&lt;'Recurring Schedule'!$F$16,$A20&gt;'Recurring Schedule'!$P$16),"",IF(IF('Recurring Schedule'!$N$16&gt;0,MOD($A20-'Recurring Schedule'!$F$16,'Recurring Schedule'!$N$16)=0,IF('Recurring Schedule'!$O$16&gt;0,AND(DAY($A20)=MIN(DAY('Recurring Schedule'!$F$16),DAY(EOMONTH($A20,0))),MOD((YEAR($A20)-YEAR('Recurring Schedule'!$F$16))*12+MONTH($A20)-MONTH('Recurring Schedule'!$F$16),'Recurring Schedule'!$O$16)=0),IF('Recurring Schedule'!$E$16="Weekdays",WEEKDAY($A20,2)&lt;=5,$A20='Recurring Schedule'!$F$16))),11,""))))</f>
        <v/>
      </c>
      <c r="M20">
        <f>IF('Recurring Schedule'!$C$17="","",IF('Recurring Schedule'!$F$17="","",IF(OR($A20&lt;'Recurring Schedule'!$F$17,$A20&gt;'Recurring Schedule'!$P$17),"",IF(IF('Recurring Schedule'!$N$17&gt;0,MOD($A20-'Recurring Schedule'!$F$17,'Recurring Schedule'!$N$17)=0,IF('Recurring Schedule'!$O$17&gt;0,AND(DAY($A20)=MIN(DAY('Recurring Schedule'!$F$17),DAY(EOMONTH($A20,0))),MOD((YEAR($A20)-YEAR('Recurring Schedule'!$F$17))*12+MONTH($A20)-MONTH('Recurring Schedule'!$F$17),'Recurring Schedule'!$O$17)=0),IF('Recurring Schedule'!$E$17="Weekdays",WEEKDAY($A20,2)&lt;=5,$A20='Recurring Schedule'!$F$17))),12,""))))</f>
        <v/>
      </c>
      <c r="N20">
        <f>IF('Recurring Schedule'!$C$18="","",IF('Recurring Schedule'!$F$18="","",IF(OR($A20&lt;'Recurring Schedule'!$F$18,$A20&gt;'Recurring Schedule'!$P$18),"",IF(IF('Recurring Schedule'!$N$18&gt;0,MOD($A20-'Recurring Schedule'!$F$18,'Recurring Schedule'!$N$18)=0,IF('Recurring Schedule'!$O$18&gt;0,AND(DAY($A20)=MIN(DAY('Recurring Schedule'!$F$18),DAY(EOMONTH($A20,0))),MOD((YEAR($A20)-YEAR('Recurring Schedule'!$F$18))*12+MONTH($A20)-MONTH('Recurring Schedule'!$F$18),'Recurring Schedule'!$O$18)=0),IF('Recurring Schedule'!$E$18="Weekdays",WEEKDAY($A20,2)&lt;=5,$A20='Recurring Schedule'!$F$18))),13,""))))</f>
        <v/>
      </c>
      <c r="O20">
        <f>IF('Recurring Schedule'!$C$19="","",IF('Recurring Schedule'!$F$19="","",IF(OR($A20&lt;'Recurring Schedule'!$F$19,$A20&gt;'Recurring Schedule'!$P$19),"",IF(IF('Recurring Schedule'!$N$19&gt;0,MOD($A20-'Recurring Schedule'!$F$19,'Recurring Schedule'!$N$19)=0,IF('Recurring Schedule'!$O$19&gt;0,AND(DAY($A20)=MIN(DAY('Recurring Schedule'!$F$19),DAY(EOMONTH($A20,0))),MOD((YEAR($A20)-YEAR('Recurring Schedule'!$F$19))*12+MONTH($A20)-MONTH('Recurring Schedule'!$F$19),'Recurring Schedule'!$O$19)=0),IF('Recurring Schedule'!$E$19="Weekdays",WEEKDAY($A20,2)&lt;=5,$A20='Recurring Schedule'!$F$19))),14,""))))</f>
        <v/>
      </c>
      <c r="P20">
        <f>IF('Recurring Schedule'!$C$20="","",IF('Recurring Schedule'!$F$20="","",IF(OR($A20&lt;'Recurring Schedule'!$F$20,$A20&gt;'Recurring Schedule'!$P$20),"",IF(IF('Recurring Schedule'!$N$20&gt;0,MOD($A20-'Recurring Schedule'!$F$20,'Recurring Schedule'!$N$20)=0,IF('Recurring Schedule'!$O$20&gt;0,AND(DAY($A20)=MIN(DAY('Recurring Schedule'!$F$20),DAY(EOMONTH($A20,0))),MOD((YEAR($A20)-YEAR('Recurring Schedule'!$F$20))*12+MONTH($A20)-MONTH('Recurring Schedule'!$F$20),'Recurring Schedule'!$O$20)=0),IF('Recurring Schedule'!$E$20="Weekdays",WEEKDAY($A20,2)&lt;=5,$A20='Recurring Schedule'!$F$20))),15,""))))</f>
        <v/>
      </c>
      <c r="Q20">
        <f>IF('Recurring Schedule'!$C$21="","",IF('Recurring Schedule'!$F$21="","",IF(OR($A20&lt;'Recurring Schedule'!$F$21,$A20&gt;'Recurring Schedule'!$P$21),"",IF(IF('Recurring Schedule'!$N$21&gt;0,MOD($A20-'Recurring Schedule'!$F$21,'Recurring Schedule'!$N$21)=0,IF('Recurring Schedule'!$O$21&gt;0,AND(DAY($A20)=MIN(DAY('Recurring Schedule'!$F$21),DAY(EOMONTH($A20,0))),MOD((YEAR($A20)-YEAR('Recurring Schedule'!$F$21))*12+MONTH($A20)-MONTH('Recurring Schedule'!$F$21),'Recurring Schedule'!$O$21)=0),IF('Recurring Schedule'!$E$21="Weekdays",WEEKDAY($A20,2)&lt;=5,$A20='Recurring Schedule'!$F$21))),16,""))))</f>
        <v/>
      </c>
      <c r="R20">
        <f>IF('Recurring Schedule'!$C$22="","",IF('Recurring Schedule'!$F$22="","",IF(OR($A20&lt;'Recurring Schedule'!$F$22,$A20&gt;'Recurring Schedule'!$P$22),"",IF(IF('Recurring Schedule'!$N$22&gt;0,MOD($A20-'Recurring Schedule'!$F$22,'Recurring Schedule'!$N$22)=0,IF('Recurring Schedule'!$O$22&gt;0,AND(DAY($A20)=MIN(DAY('Recurring Schedule'!$F$22),DAY(EOMONTH($A20,0))),MOD((YEAR($A20)-YEAR('Recurring Schedule'!$F$22))*12+MONTH($A20)-MONTH('Recurring Schedule'!$F$22),'Recurring Schedule'!$O$22)=0),IF('Recurring Schedule'!$E$22="Weekdays",WEEKDAY($A20,2)&lt;=5,$A20='Recurring Schedule'!$F$22))),17,""))))</f>
        <v/>
      </c>
      <c r="S20">
        <f>IF('Recurring Schedule'!$C$23="","",IF('Recurring Schedule'!$F$23="","",IF(OR($A20&lt;'Recurring Schedule'!$F$23,$A20&gt;'Recurring Schedule'!$P$23),"",IF(IF('Recurring Schedule'!$N$23&gt;0,MOD($A20-'Recurring Schedule'!$F$23,'Recurring Schedule'!$N$23)=0,IF('Recurring Schedule'!$O$23&gt;0,AND(DAY($A20)=MIN(DAY('Recurring Schedule'!$F$23),DAY(EOMONTH($A20,0))),MOD((YEAR($A20)-YEAR('Recurring Schedule'!$F$23))*12+MONTH($A20)-MONTH('Recurring Schedule'!$F$23),'Recurring Schedule'!$O$23)=0),IF('Recurring Schedule'!$E$23="Weekdays",WEEKDAY($A20,2)&lt;=5,$A20='Recurring Schedule'!$F$23))),18,""))))</f>
        <v/>
      </c>
      <c r="T20">
        <f>IF('Recurring Schedule'!$C$24="","",IF('Recurring Schedule'!$F$24="","",IF(OR($A20&lt;'Recurring Schedule'!$F$24,$A20&gt;'Recurring Schedule'!$P$24),"",IF(IF('Recurring Schedule'!$N$24&gt;0,MOD($A20-'Recurring Schedule'!$F$24,'Recurring Schedule'!$N$24)=0,IF('Recurring Schedule'!$O$24&gt;0,AND(DAY($A20)=MIN(DAY('Recurring Schedule'!$F$24),DAY(EOMONTH($A20,0))),MOD((YEAR($A20)-YEAR('Recurring Schedule'!$F$24))*12+MONTH($A20)-MONTH('Recurring Schedule'!$F$24),'Recurring Schedule'!$O$24)=0),IF('Recurring Schedule'!$E$24="Weekdays",WEEKDAY($A20,2)&lt;=5,$A20='Recurring Schedule'!$F$24))),19,""))))</f>
        <v/>
      </c>
      <c r="U20">
        <f>IF('Recurring Schedule'!$C$25="","",IF('Recurring Schedule'!$F$25="","",IF(OR($A20&lt;'Recurring Schedule'!$F$25,$A20&gt;'Recurring Schedule'!$P$25),"",IF(IF('Recurring Schedule'!$N$25&gt;0,MOD($A20-'Recurring Schedule'!$F$25,'Recurring Schedule'!$N$25)=0,IF('Recurring Schedule'!$O$25&gt;0,AND(DAY($A20)=MIN(DAY('Recurring Schedule'!$F$25),DAY(EOMONTH($A20,0))),MOD((YEAR($A20)-YEAR('Recurring Schedule'!$F$25))*12+MONTH($A20)-MONTH('Recurring Schedule'!$F$25),'Recurring Schedule'!$O$25)=0),IF('Recurring Schedule'!$E$25="Weekdays",WEEKDAY($A20,2)&lt;=5,$A20='Recurring Schedule'!$F$25))),20,""))))</f>
        <v/>
      </c>
      <c r="V20">
        <f>IF('Recurring Schedule'!$C$26="","",IF('Recurring Schedule'!$F$26="","",IF(OR($A20&lt;'Recurring Schedule'!$F$26,$A20&gt;'Recurring Schedule'!$P$26),"",IF(IF('Recurring Schedule'!$N$26&gt;0,MOD($A20-'Recurring Schedule'!$F$26,'Recurring Schedule'!$N$26)=0,IF('Recurring Schedule'!$O$26&gt;0,AND(DAY($A20)=MIN(DAY('Recurring Schedule'!$F$26),DAY(EOMONTH($A20,0))),MOD((YEAR($A20)-YEAR('Recurring Schedule'!$F$26))*12+MONTH($A20)-MONTH('Recurring Schedule'!$F$26),'Recurring Schedule'!$O$26)=0),IF('Recurring Schedule'!$E$26="Weekdays",WEEKDAY($A20,2)&lt;=5,$A20='Recurring Schedule'!$F$26))),21,""))))</f>
        <v/>
      </c>
      <c r="W20">
        <f>IF('Recurring Schedule'!$C$27="","",IF('Recurring Schedule'!$F$27="","",IF(OR($A20&lt;'Recurring Schedule'!$F$27,$A20&gt;'Recurring Schedule'!$P$27),"",IF(IF('Recurring Schedule'!$N$27&gt;0,MOD($A20-'Recurring Schedule'!$F$27,'Recurring Schedule'!$N$27)=0,IF('Recurring Schedule'!$O$27&gt;0,AND(DAY($A20)=MIN(DAY('Recurring Schedule'!$F$27),DAY(EOMONTH($A20,0))),MOD((YEAR($A20)-YEAR('Recurring Schedule'!$F$27))*12+MONTH($A20)-MONTH('Recurring Schedule'!$F$27),'Recurring Schedule'!$O$27)=0),IF('Recurring Schedule'!$E$27="Weekdays",WEEKDAY($A20,2)&lt;=5,$A20='Recurring Schedule'!$F$27))),22,""))))</f>
        <v/>
      </c>
      <c r="X20">
        <f>IF('Recurring Schedule'!$C$28="","",IF('Recurring Schedule'!$F$28="","",IF(OR($A20&lt;'Recurring Schedule'!$F$28,$A20&gt;'Recurring Schedule'!$P$28),"",IF(IF('Recurring Schedule'!$N$28&gt;0,MOD($A20-'Recurring Schedule'!$F$28,'Recurring Schedule'!$N$28)=0,IF('Recurring Schedule'!$O$28&gt;0,AND(DAY($A20)=MIN(DAY('Recurring Schedule'!$F$28),DAY(EOMONTH($A20,0))),MOD((YEAR($A20)-YEAR('Recurring Schedule'!$F$28))*12+MONTH($A20)-MONTH('Recurring Schedule'!$F$28),'Recurring Schedule'!$O$28)=0),IF('Recurring Schedule'!$E$28="Weekdays",WEEKDAY($A20,2)&lt;=5,$A20='Recurring Schedule'!$F$28))),23,""))))</f>
        <v/>
      </c>
      <c r="Y20">
        <f>IF('Recurring Schedule'!$C$29="","",IF('Recurring Schedule'!$F$29="","",IF(OR($A20&lt;'Recurring Schedule'!$F$29,$A20&gt;'Recurring Schedule'!$P$29),"",IF(IF('Recurring Schedule'!$N$29&gt;0,MOD($A20-'Recurring Schedule'!$F$29,'Recurring Schedule'!$N$29)=0,IF('Recurring Schedule'!$O$29&gt;0,AND(DAY($A20)=MIN(DAY('Recurring Schedule'!$F$29),DAY(EOMONTH($A20,0))),MOD((YEAR($A20)-YEAR('Recurring Schedule'!$F$29))*12+MONTH($A20)-MONTH('Recurring Schedule'!$F$29),'Recurring Schedule'!$O$29)=0),IF('Recurring Schedule'!$E$29="Weekdays",WEEKDAY($A20,2)&lt;=5,$A20='Recurring Schedule'!$F$29))),24,""))))</f>
        <v/>
      </c>
      <c r="Z20">
        <f>IF('Recurring Schedule'!$C$30="","",IF('Recurring Schedule'!$F$30="","",IF(OR($A20&lt;'Recurring Schedule'!$F$30,$A20&gt;'Recurring Schedule'!$P$30),"",IF(IF('Recurring Schedule'!$N$30&gt;0,MOD($A20-'Recurring Schedule'!$F$30,'Recurring Schedule'!$N$30)=0,IF('Recurring Schedule'!$O$30&gt;0,AND(DAY($A20)=MIN(DAY('Recurring Schedule'!$F$30),DAY(EOMONTH($A20,0))),MOD((YEAR($A20)-YEAR('Recurring Schedule'!$F$30))*12+MONTH($A20)-MONTH('Recurring Schedule'!$F$30),'Recurring Schedule'!$O$30)=0),IF('Recurring Schedule'!$E$30="Weekdays",WEEKDAY($A20,2)&lt;=5,$A20='Recurring Schedule'!$F$30))),25,""))))</f>
        <v/>
      </c>
      <c r="AA20">
        <f>IF('Recurring Schedule'!$C$31="","",IF('Recurring Schedule'!$F$31="","",IF(OR($A20&lt;'Recurring Schedule'!$F$31,$A20&gt;'Recurring Schedule'!$P$31),"",IF(IF('Recurring Schedule'!$N$31&gt;0,MOD($A20-'Recurring Schedule'!$F$31,'Recurring Schedule'!$N$31)=0,IF('Recurring Schedule'!$O$31&gt;0,AND(DAY($A20)=MIN(DAY('Recurring Schedule'!$F$31),DAY(EOMONTH($A20,0))),MOD((YEAR($A20)-YEAR('Recurring Schedule'!$F$31))*12+MONTH($A20)-MONTH('Recurring Schedule'!$F$31),'Recurring Schedule'!$O$31)=0),IF('Recurring Schedule'!$E$31="Weekdays",WEEKDAY($A20,2)&lt;=5,$A20='Recurring Schedule'!$F$31))),26,""))))</f>
        <v/>
      </c>
      <c r="AB20">
        <f>IF('Recurring Schedule'!$C$32="","",IF('Recurring Schedule'!$F$32="","",IF(OR($A20&lt;'Recurring Schedule'!$F$32,$A20&gt;'Recurring Schedule'!$P$32),"",IF(IF('Recurring Schedule'!$N$32&gt;0,MOD($A20-'Recurring Schedule'!$F$32,'Recurring Schedule'!$N$32)=0,IF('Recurring Schedule'!$O$32&gt;0,AND(DAY($A20)=MIN(DAY('Recurring Schedule'!$F$32),DAY(EOMONTH($A20,0))),MOD((YEAR($A20)-YEAR('Recurring Schedule'!$F$32))*12+MONTH($A20)-MONTH('Recurring Schedule'!$F$32),'Recurring Schedule'!$O$32)=0),IF('Recurring Schedule'!$E$32="Weekdays",WEEKDAY($A20,2)&lt;=5,$A20='Recurring Schedule'!$F$32))),27,""))))</f>
        <v/>
      </c>
      <c r="AC20">
        <f>IF('Recurring Schedule'!$C$33="","",IF('Recurring Schedule'!$F$33="","",IF(OR($A20&lt;'Recurring Schedule'!$F$33,$A20&gt;'Recurring Schedule'!$P$33),"",IF(IF('Recurring Schedule'!$N$33&gt;0,MOD($A20-'Recurring Schedule'!$F$33,'Recurring Schedule'!$N$33)=0,IF('Recurring Schedule'!$O$33&gt;0,AND(DAY($A20)=MIN(DAY('Recurring Schedule'!$F$33),DAY(EOMONTH($A20,0))),MOD((YEAR($A20)-YEAR('Recurring Schedule'!$F$33))*12+MONTH($A20)-MONTH('Recurring Schedule'!$F$33),'Recurring Schedule'!$O$33)=0),IF('Recurring Schedule'!$E$33="Weekdays",WEEKDAY($A20,2)&lt;=5,$A20='Recurring Schedule'!$F$33))),28,""))))</f>
        <v/>
      </c>
      <c r="AD20">
        <f>IF('Recurring Schedule'!$C$34="","",IF('Recurring Schedule'!$F$34="","",IF(OR($A20&lt;'Recurring Schedule'!$F$34,$A20&gt;'Recurring Schedule'!$P$34),"",IF(IF('Recurring Schedule'!$N$34&gt;0,MOD($A20-'Recurring Schedule'!$F$34,'Recurring Schedule'!$N$34)=0,IF('Recurring Schedule'!$O$34&gt;0,AND(DAY($A20)=MIN(DAY('Recurring Schedule'!$F$34),DAY(EOMONTH($A20,0))),MOD((YEAR($A20)-YEAR('Recurring Schedule'!$F$34))*12+MONTH($A20)-MONTH('Recurring Schedule'!$F$34),'Recurring Schedule'!$O$34)=0),IF('Recurring Schedule'!$E$34="Weekdays",WEEKDAY($A20,2)&lt;=5,$A20='Recurring Schedule'!$F$34))),29,""))))</f>
        <v/>
      </c>
      <c r="AE20">
        <f>IF('Recurring Schedule'!$C$35="","",IF('Recurring Schedule'!$F$35="","",IF(OR($A20&lt;'Recurring Schedule'!$F$35,$A20&gt;'Recurring Schedule'!$P$35),"",IF(IF('Recurring Schedule'!$N$35&gt;0,MOD($A20-'Recurring Schedule'!$F$35,'Recurring Schedule'!$N$35)=0,IF('Recurring Schedule'!$O$35&gt;0,AND(DAY($A20)=MIN(DAY('Recurring Schedule'!$F$35),DAY(EOMONTH($A20,0))),MOD((YEAR($A20)-YEAR('Recurring Schedule'!$F$35))*12+MONTH($A20)-MONTH('Recurring Schedule'!$F$35),'Recurring Schedule'!$O$35)=0),IF('Recurring Schedule'!$E$35="Weekdays",WEEKDAY($A20,2)&lt;=5,$A20='Recurring Schedule'!$F$35))),30,""))))</f>
        <v/>
      </c>
      <c r="AF20">
        <f>IF('Recurring Schedule'!$C$36="","",IF('Recurring Schedule'!$F$36="","",IF(OR($A20&lt;'Recurring Schedule'!$F$36,$A20&gt;'Recurring Schedule'!$P$36),"",IF(IF('Recurring Schedule'!$N$36&gt;0,MOD($A20-'Recurring Schedule'!$F$36,'Recurring Schedule'!$N$36)=0,IF('Recurring Schedule'!$O$36&gt;0,AND(DAY($A20)=MIN(DAY('Recurring Schedule'!$F$36),DAY(EOMONTH($A20,0))),MOD((YEAR($A20)-YEAR('Recurring Schedule'!$F$36))*12+MONTH($A20)-MONTH('Recurring Schedule'!$F$36),'Recurring Schedule'!$O$36)=0),IF('Recurring Schedule'!$E$36="Weekdays",WEEKDAY($A20,2)&lt;=5,$A20='Recurring Schedule'!$F$36))),31,""))))</f>
        <v/>
      </c>
      <c r="AG20">
        <f>IF('Recurring Schedule'!$C$37="","",IF('Recurring Schedule'!$F$37="","",IF(OR($A20&lt;'Recurring Schedule'!$F$37,$A20&gt;'Recurring Schedule'!$P$37),"",IF(IF('Recurring Schedule'!$N$37&gt;0,MOD($A20-'Recurring Schedule'!$F$37,'Recurring Schedule'!$N$37)=0,IF('Recurring Schedule'!$O$37&gt;0,AND(DAY($A20)=MIN(DAY('Recurring Schedule'!$F$37),DAY(EOMONTH($A20,0))),MOD((YEAR($A20)-YEAR('Recurring Schedule'!$F$37))*12+MONTH($A20)-MONTH('Recurring Schedule'!$F$37),'Recurring Schedule'!$O$37)=0),IF('Recurring Schedule'!$E$37="Weekdays",WEEKDAY($A20,2)&lt;=5,$A20='Recurring Schedule'!$F$37))),32,""))))</f>
        <v/>
      </c>
      <c r="AH20">
        <f>IF('Recurring Schedule'!$C$38="","",IF('Recurring Schedule'!$F$38="","",IF(OR($A20&lt;'Recurring Schedule'!$F$38,$A20&gt;'Recurring Schedule'!$P$38),"",IF(IF('Recurring Schedule'!$N$38&gt;0,MOD($A20-'Recurring Schedule'!$F$38,'Recurring Schedule'!$N$38)=0,IF('Recurring Schedule'!$O$38&gt;0,AND(DAY($A20)=MIN(DAY('Recurring Schedule'!$F$38),DAY(EOMONTH($A20,0))),MOD((YEAR($A20)-YEAR('Recurring Schedule'!$F$38))*12+MONTH($A20)-MONTH('Recurring Schedule'!$F$38),'Recurring Schedule'!$O$38)=0),IF('Recurring Schedule'!$E$38="Weekdays",WEEKDAY($A20,2)&lt;=5,$A20='Recurring Schedule'!$F$38))),33,""))))</f>
        <v/>
      </c>
      <c r="AI20">
        <f>IF('Recurring Schedule'!$C$39="","",IF('Recurring Schedule'!$F$39="","",IF(OR($A20&lt;'Recurring Schedule'!$F$39,$A20&gt;'Recurring Schedule'!$P$39),"",IF(IF('Recurring Schedule'!$N$39&gt;0,MOD($A20-'Recurring Schedule'!$F$39,'Recurring Schedule'!$N$39)=0,IF('Recurring Schedule'!$O$39&gt;0,AND(DAY($A20)=MIN(DAY('Recurring Schedule'!$F$39),DAY(EOMONTH($A20,0))),MOD((YEAR($A20)-YEAR('Recurring Schedule'!$F$39))*12+MONTH($A20)-MONTH('Recurring Schedule'!$F$39),'Recurring Schedule'!$O$39)=0),IF('Recurring Schedule'!$E$39="Weekdays",WEEKDAY($A20,2)&lt;=5,$A20='Recurring Schedule'!$F$39))),34,""))))</f>
        <v/>
      </c>
      <c r="AJ20">
        <f>IF('Recurring Schedule'!$C$40="","",IF('Recurring Schedule'!$F$40="","",IF(OR($A20&lt;'Recurring Schedule'!$F$40,$A20&gt;'Recurring Schedule'!$P$40),"",IF(IF('Recurring Schedule'!$N$40&gt;0,MOD($A20-'Recurring Schedule'!$F$40,'Recurring Schedule'!$N$40)=0,IF('Recurring Schedule'!$O$40&gt;0,AND(DAY($A20)=MIN(DAY('Recurring Schedule'!$F$40),DAY(EOMONTH($A20,0))),MOD((YEAR($A20)-YEAR('Recurring Schedule'!$F$40))*12+MONTH($A20)-MONTH('Recurring Schedule'!$F$40),'Recurring Schedule'!$O$40)=0),IF('Recurring Schedule'!$E$40="Weekdays",WEEKDAY($A20,2)&lt;=5,$A20='Recurring Schedule'!$F$40))),35,""))))</f>
        <v/>
      </c>
      <c r="AK20">
        <f>IF('Recurring Schedule'!$C$41="","",IF('Recurring Schedule'!$F$41="","",IF(OR($A20&lt;'Recurring Schedule'!$F$41,$A20&gt;'Recurring Schedule'!$P$41),"",IF(IF('Recurring Schedule'!$N$41&gt;0,MOD($A20-'Recurring Schedule'!$F$41,'Recurring Schedule'!$N$41)=0,IF('Recurring Schedule'!$O$41&gt;0,AND(DAY($A20)=MIN(DAY('Recurring Schedule'!$F$41),DAY(EOMONTH($A20,0))),MOD((YEAR($A20)-YEAR('Recurring Schedule'!$F$41))*12+MONTH($A20)-MONTH('Recurring Schedule'!$F$41),'Recurring Schedule'!$O$41)=0),IF('Recurring Schedule'!$E$41="Weekdays",WEEKDAY($A20,2)&lt;=5,$A20='Recurring Schedule'!$F$41))),36,""))))</f>
        <v/>
      </c>
      <c r="AL20">
        <f>IF('Recurring Schedule'!$C$42="","",IF('Recurring Schedule'!$F$42="","",IF(OR($A20&lt;'Recurring Schedule'!$F$42,$A20&gt;'Recurring Schedule'!$P$42),"",IF(IF('Recurring Schedule'!$N$42&gt;0,MOD($A20-'Recurring Schedule'!$F$42,'Recurring Schedule'!$N$42)=0,IF('Recurring Schedule'!$O$42&gt;0,AND(DAY($A20)=MIN(DAY('Recurring Schedule'!$F$42),DAY(EOMONTH($A20,0))),MOD((YEAR($A20)-YEAR('Recurring Schedule'!$F$42))*12+MONTH($A20)-MONTH('Recurring Schedule'!$F$42),'Recurring Schedule'!$O$42)=0),IF('Recurring Schedule'!$E$42="Weekdays",WEEKDAY($A20,2)&lt;=5,$A20='Recurring Schedule'!$F$42))),37,""))))</f>
        <v/>
      </c>
      <c r="AM20">
        <f>IF('Recurring Schedule'!$C$43="","",IF('Recurring Schedule'!$F$43="","",IF(OR($A20&lt;'Recurring Schedule'!$F$43,$A20&gt;'Recurring Schedule'!$P$43),"",IF(IF('Recurring Schedule'!$N$43&gt;0,MOD($A20-'Recurring Schedule'!$F$43,'Recurring Schedule'!$N$43)=0,IF('Recurring Schedule'!$O$43&gt;0,AND(DAY($A20)=MIN(DAY('Recurring Schedule'!$F$43),DAY(EOMONTH($A20,0))),MOD((YEAR($A20)-YEAR('Recurring Schedule'!$F$43))*12+MONTH($A20)-MONTH('Recurring Schedule'!$F$43),'Recurring Schedule'!$O$43)=0),IF('Recurring Schedule'!$E$43="Weekdays",WEEKDAY($A20,2)&lt;=5,$A20='Recurring Schedule'!$F$43))),38,""))))</f>
        <v/>
      </c>
      <c r="AN20">
        <f>IF('Recurring Schedule'!$C$44="","",IF('Recurring Schedule'!$F$44="","",IF(OR($A20&lt;'Recurring Schedule'!$F$44,$A20&gt;'Recurring Schedule'!$P$44),"",IF(IF('Recurring Schedule'!$N$44&gt;0,MOD($A20-'Recurring Schedule'!$F$44,'Recurring Schedule'!$N$44)=0,IF('Recurring Schedule'!$O$44&gt;0,AND(DAY($A20)=MIN(DAY('Recurring Schedule'!$F$44),DAY(EOMONTH($A20,0))),MOD((YEAR($A20)-YEAR('Recurring Schedule'!$F$44))*12+MONTH($A20)-MONTH('Recurring Schedule'!$F$44),'Recurring Schedule'!$O$44)=0),IF('Recurring Schedule'!$E$44="Weekdays",WEEKDAY($A20,2)&lt;=5,$A20='Recurring Schedule'!$F$44))),39,""))))</f>
        <v/>
      </c>
      <c r="AO20">
        <f>IF('Recurring Schedule'!$C$45="","",IF('Recurring Schedule'!$F$45="","",IF(OR($A20&lt;'Recurring Schedule'!$F$45,$A20&gt;'Recurring Schedule'!$P$45),"",IF(IF('Recurring Schedule'!$N$45&gt;0,MOD($A20-'Recurring Schedule'!$F$45,'Recurring Schedule'!$N$45)=0,IF('Recurring Schedule'!$O$45&gt;0,AND(DAY($A20)=MIN(DAY('Recurring Schedule'!$F$45),DAY(EOMONTH($A20,0))),MOD((YEAR($A20)-YEAR('Recurring Schedule'!$F$45))*12+MONTH($A20)-MONTH('Recurring Schedule'!$F$45),'Recurring Schedule'!$O$45)=0),IF('Recurring Schedule'!$E$45="Weekdays",WEEKDAY($A20,2)&lt;=5,$A20='Recurring Schedule'!$F$45))),40,""))))</f>
        <v/>
      </c>
      <c r="AP20">
        <f>COUNT(B20:AO20)</f>
        <v/>
      </c>
      <c r="AQ20">
        <f>AQ19+AP19</f>
        <v/>
      </c>
      <c r="AS20" t="inlineStr">
        <is>
          <t>R</t>
        </is>
      </c>
      <c r="AT20" t="n">
        <v>24</v>
      </c>
      <c r="AU20">
        <f>'Recurring Log'!C24&amp;""</f>
        <v/>
      </c>
      <c r="AV20">
        <f>'Recurring Log'!D24&amp;""</f>
        <v/>
      </c>
      <c r="AW20">
        <f>IF('Recurring Log'!E24="","",'Recurring Log'!E24)</f>
        <v/>
      </c>
      <c r="AX20">
        <f>IF('Recurring Log'!G24="","",'Recurring Log'!G24)</f>
        <v/>
      </c>
      <c r="AY20">
        <f>IF('Recurring Log'!H24="","",'Recurring Log'!H24)</f>
        <v/>
      </c>
      <c r="AZ20">
        <f>IF(AU20="","",IF('Recurring Log'!J24="","Not Started",'Recurring Log'!J24))</f>
        <v/>
      </c>
      <c r="BA20">
        <f>'Recurring Log'!L24&amp;""</f>
        <v/>
      </c>
      <c r="BB20">
        <f>'Recurring Log'!M24&amp;""</f>
        <v/>
      </c>
      <c r="BC20">
        <f>'Recurring Log'!N24&amp;""</f>
        <v/>
      </c>
      <c r="BD20">
        <f>'Recurring Log'!O24&amp;""</f>
        <v/>
      </c>
      <c r="BE20">
        <f>IF('Recurring Log'!K24="","",'Recurring Log'!K24)</f>
        <v/>
      </c>
      <c r="BF20">
        <f>IFERROR(MATCH(BA20,Setup!$L$6:$L$9,0),5)</f>
        <v/>
      </c>
      <c r="BG20">
        <f>IF(OR(AZ20="Done",AZ20="Cancelled"),1,0)</f>
        <v/>
      </c>
      <c r="BH20">
        <f>IF(AND(AU20&lt;&gt;"",ISNUMBER(AW20)),1,0)</f>
        <v/>
      </c>
      <c r="BI20">
        <f>IF(BH20=0,0,IF(AND(AW20&gt;='Tasks Filter'!$F$3,AW20&lt;='Tasks Filter'!$F$4,OR('Tasks Filter'!$I$3="",ISNUMBER(SEARCH('Tasks Filter'!$I$3,AU20))),OR('Tasks Filter'!$I$4="",BF20=IFERROR(MATCH('Tasks Filter'!$I$4,Setup!$L$6:$L$9,0),0)),OR('Tasks Filter'!$I$5="Both",AND('Tasks Filter'!$I$5="Yes",BB20="✓"),AND('Tasks Filter'!$I$5="No",BB20&lt;&gt;"✓")),OR('Tasks Filter'!$L$3="",AV20='Tasks Filter'!$L$3),OR('Tasks Filter'!$L$4="",AZ20='Tasks Filter'!$L$4),OR('Tasks Filter'!$L$5="",BC20='Tasks Filter'!$L$5),OR('Tasks Filter'!$O$3="",BD20='Tasks Filter'!$O$3),OR('Tasks Filter'!$O$4="Yes",BG20=0)),1,0))</f>
        <v/>
      </c>
      <c r="BJ20">
        <f>IF(BH20=0,"",IF('Tasks Filter'!$F$6="Descending",-1,1)*CHOOSE(MATCH('Tasks Filter'!$F$5,Lists!$G$2:$G$6,0),AW20,BF20,IFERROR(MATCH(AV20,Setup!$F$6:$F$15,0),99),IFERROR(MATCH(BC20,Setup!$H$6:$H$15,0),99),IFERROR(MATCH(AZ20,Setup!$J$6:$J$11,0),99))*1E+9+(AW20-40000)*10000+19)</f>
        <v/>
      </c>
      <c r="BK20">
        <f>IF(BI20=1,BJ20,"")</f>
        <v/>
      </c>
      <c r="BL20">
        <f>IF(AND(BH20=1,BG20=0,N(AW20)&lt;Setup!$D$7),(AW20-40000)*10000+19,"")</f>
        <v/>
      </c>
      <c r="BM20">
        <f>IF(AND(BH20=1,AZ20&lt;&gt;"Cancelled",N(AW20)&gt;=Dashboard!$AB$3,N(AW20)&lt;=Dashboard!$AB$3+6),(AW20-40000)*100000+BF20*10000+19,"")</f>
        <v/>
      </c>
      <c r="BN20">
        <f>IF(AND(BH20=1,AZ20&lt;&gt;"Cancelled"),BF20*10000+19,"")</f>
        <v/>
      </c>
    </row>
    <row r="21">
      <c r="A21">
        <f>Setup!$D$5+19</f>
        <v/>
      </c>
      <c r="B21">
        <f>IF('Recurring Schedule'!$C$6="","",IF('Recurring Schedule'!$F$6="","",IF(OR($A21&lt;'Recurring Schedule'!$F$6,$A21&gt;'Recurring Schedule'!$P$6),"",IF(IF('Recurring Schedule'!$N$6&gt;0,MOD($A21-'Recurring Schedule'!$F$6,'Recurring Schedule'!$N$6)=0,IF('Recurring Schedule'!$O$6&gt;0,AND(DAY($A21)=MIN(DAY('Recurring Schedule'!$F$6),DAY(EOMONTH($A21,0))),MOD((YEAR($A21)-YEAR('Recurring Schedule'!$F$6))*12+MONTH($A21)-MONTH('Recurring Schedule'!$F$6),'Recurring Schedule'!$O$6)=0),IF('Recurring Schedule'!$E$6="Weekdays",WEEKDAY($A21,2)&lt;=5,$A21='Recurring Schedule'!$F$6))),1,""))))</f>
        <v/>
      </c>
      <c r="C21">
        <f>IF('Recurring Schedule'!$C$7="","",IF('Recurring Schedule'!$F$7="","",IF(OR($A21&lt;'Recurring Schedule'!$F$7,$A21&gt;'Recurring Schedule'!$P$7),"",IF(IF('Recurring Schedule'!$N$7&gt;0,MOD($A21-'Recurring Schedule'!$F$7,'Recurring Schedule'!$N$7)=0,IF('Recurring Schedule'!$O$7&gt;0,AND(DAY($A21)=MIN(DAY('Recurring Schedule'!$F$7),DAY(EOMONTH($A21,0))),MOD((YEAR($A21)-YEAR('Recurring Schedule'!$F$7))*12+MONTH($A21)-MONTH('Recurring Schedule'!$F$7),'Recurring Schedule'!$O$7)=0),IF('Recurring Schedule'!$E$7="Weekdays",WEEKDAY($A21,2)&lt;=5,$A21='Recurring Schedule'!$F$7))),2,""))))</f>
        <v/>
      </c>
      <c r="D21">
        <f>IF('Recurring Schedule'!$C$8="","",IF('Recurring Schedule'!$F$8="","",IF(OR($A21&lt;'Recurring Schedule'!$F$8,$A21&gt;'Recurring Schedule'!$P$8),"",IF(IF('Recurring Schedule'!$N$8&gt;0,MOD($A21-'Recurring Schedule'!$F$8,'Recurring Schedule'!$N$8)=0,IF('Recurring Schedule'!$O$8&gt;0,AND(DAY($A21)=MIN(DAY('Recurring Schedule'!$F$8),DAY(EOMONTH($A21,0))),MOD((YEAR($A21)-YEAR('Recurring Schedule'!$F$8))*12+MONTH($A21)-MONTH('Recurring Schedule'!$F$8),'Recurring Schedule'!$O$8)=0),IF('Recurring Schedule'!$E$8="Weekdays",WEEKDAY($A21,2)&lt;=5,$A21='Recurring Schedule'!$F$8))),3,""))))</f>
        <v/>
      </c>
      <c r="E21">
        <f>IF('Recurring Schedule'!$C$9="","",IF('Recurring Schedule'!$F$9="","",IF(OR($A21&lt;'Recurring Schedule'!$F$9,$A21&gt;'Recurring Schedule'!$P$9),"",IF(IF('Recurring Schedule'!$N$9&gt;0,MOD($A21-'Recurring Schedule'!$F$9,'Recurring Schedule'!$N$9)=0,IF('Recurring Schedule'!$O$9&gt;0,AND(DAY($A21)=MIN(DAY('Recurring Schedule'!$F$9),DAY(EOMONTH($A21,0))),MOD((YEAR($A21)-YEAR('Recurring Schedule'!$F$9))*12+MONTH($A21)-MONTH('Recurring Schedule'!$F$9),'Recurring Schedule'!$O$9)=0),IF('Recurring Schedule'!$E$9="Weekdays",WEEKDAY($A21,2)&lt;=5,$A21='Recurring Schedule'!$F$9))),4,""))))</f>
        <v/>
      </c>
      <c r="F21">
        <f>IF('Recurring Schedule'!$C$10="","",IF('Recurring Schedule'!$F$10="","",IF(OR($A21&lt;'Recurring Schedule'!$F$10,$A21&gt;'Recurring Schedule'!$P$10),"",IF(IF('Recurring Schedule'!$N$10&gt;0,MOD($A21-'Recurring Schedule'!$F$10,'Recurring Schedule'!$N$10)=0,IF('Recurring Schedule'!$O$10&gt;0,AND(DAY($A21)=MIN(DAY('Recurring Schedule'!$F$10),DAY(EOMONTH($A21,0))),MOD((YEAR($A21)-YEAR('Recurring Schedule'!$F$10))*12+MONTH($A21)-MONTH('Recurring Schedule'!$F$10),'Recurring Schedule'!$O$10)=0),IF('Recurring Schedule'!$E$10="Weekdays",WEEKDAY($A21,2)&lt;=5,$A21='Recurring Schedule'!$F$10))),5,""))))</f>
        <v/>
      </c>
      <c r="G21">
        <f>IF('Recurring Schedule'!$C$11="","",IF('Recurring Schedule'!$F$11="","",IF(OR($A21&lt;'Recurring Schedule'!$F$11,$A21&gt;'Recurring Schedule'!$P$11),"",IF(IF('Recurring Schedule'!$N$11&gt;0,MOD($A21-'Recurring Schedule'!$F$11,'Recurring Schedule'!$N$11)=0,IF('Recurring Schedule'!$O$11&gt;0,AND(DAY($A21)=MIN(DAY('Recurring Schedule'!$F$11),DAY(EOMONTH($A21,0))),MOD((YEAR($A21)-YEAR('Recurring Schedule'!$F$11))*12+MONTH($A21)-MONTH('Recurring Schedule'!$F$11),'Recurring Schedule'!$O$11)=0),IF('Recurring Schedule'!$E$11="Weekdays",WEEKDAY($A21,2)&lt;=5,$A21='Recurring Schedule'!$F$11))),6,""))))</f>
        <v/>
      </c>
      <c r="H21">
        <f>IF('Recurring Schedule'!$C$12="","",IF('Recurring Schedule'!$F$12="","",IF(OR($A21&lt;'Recurring Schedule'!$F$12,$A21&gt;'Recurring Schedule'!$P$12),"",IF(IF('Recurring Schedule'!$N$12&gt;0,MOD($A21-'Recurring Schedule'!$F$12,'Recurring Schedule'!$N$12)=0,IF('Recurring Schedule'!$O$12&gt;0,AND(DAY($A21)=MIN(DAY('Recurring Schedule'!$F$12),DAY(EOMONTH($A21,0))),MOD((YEAR($A21)-YEAR('Recurring Schedule'!$F$12))*12+MONTH($A21)-MONTH('Recurring Schedule'!$F$12),'Recurring Schedule'!$O$12)=0),IF('Recurring Schedule'!$E$12="Weekdays",WEEKDAY($A21,2)&lt;=5,$A21='Recurring Schedule'!$F$12))),7,""))))</f>
        <v/>
      </c>
      <c r="I21">
        <f>IF('Recurring Schedule'!$C$13="","",IF('Recurring Schedule'!$F$13="","",IF(OR($A21&lt;'Recurring Schedule'!$F$13,$A21&gt;'Recurring Schedule'!$P$13),"",IF(IF('Recurring Schedule'!$N$13&gt;0,MOD($A21-'Recurring Schedule'!$F$13,'Recurring Schedule'!$N$13)=0,IF('Recurring Schedule'!$O$13&gt;0,AND(DAY($A21)=MIN(DAY('Recurring Schedule'!$F$13),DAY(EOMONTH($A21,0))),MOD((YEAR($A21)-YEAR('Recurring Schedule'!$F$13))*12+MONTH($A21)-MONTH('Recurring Schedule'!$F$13),'Recurring Schedule'!$O$13)=0),IF('Recurring Schedule'!$E$13="Weekdays",WEEKDAY($A21,2)&lt;=5,$A21='Recurring Schedule'!$F$13))),8,""))))</f>
        <v/>
      </c>
      <c r="J21">
        <f>IF('Recurring Schedule'!$C$14="","",IF('Recurring Schedule'!$F$14="","",IF(OR($A21&lt;'Recurring Schedule'!$F$14,$A21&gt;'Recurring Schedule'!$P$14),"",IF(IF('Recurring Schedule'!$N$14&gt;0,MOD($A21-'Recurring Schedule'!$F$14,'Recurring Schedule'!$N$14)=0,IF('Recurring Schedule'!$O$14&gt;0,AND(DAY($A21)=MIN(DAY('Recurring Schedule'!$F$14),DAY(EOMONTH($A21,0))),MOD((YEAR($A21)-YEAR('Recurring Schedule'!$F$14))*12+MONTH($A21)-MONTH('Recurring Schedule'!$F$14),'Recurring Schedule'!$O$14)=0),IF('Recurring Schedule'!$E$14="Weekdays",WEEKDAY($A21,2)&lt;=5,$A21='Recurring Schedule'!$F$14))),9,""))))</f>
        <v/>
      </c>
      <c r="K21">
        <f>IF('Recurring Schedule'!$C$15="","",IF('Recurring Schedule'!$F$15="","",IF(OR($A21&lt;'Recurring Schedule'!$F$15,$A21&gt;'Recurring Schedule'!$P$15),"",IF(IF('Recurring Schedule'!$N$15&gt;0,MOD($A21-'Recurring Schedule'!$F$15,'Recurring Schedule'!$N$15)=0,IF('Recurring Schedule'!$O$15&gt;0,AND(DAY($A21)=MIN(DAY('Recurring Schedule'!$F$15),DAY(EOMONTH($A21,0))),MOD((YEAR($A21)-YEAR('Recurring Schedule'!$F$15))*12+MONTH($A21)-MONTH('Recurring Schedule'!$F$15),'Recurring Schedule'!$O$15)=0),IF('Recurring Schedule'!$E$15="Weekdays",WEEKDAY($A21,2)&lt;=5,$A21='Recurring Schedule'!$F$15))),10,""))))</f>
        <v/>
      </c>
      <c r="L21">
        <f>IF('Recurring Schedule'!$C$16="","",IF('Recurring Schedule'!$F$16="","",IF(OR($A21&lt;'Recurring Schedule'!$F$16,$A21&gt;'Recurring Schedule'!$P$16),"",IF(IF('Recurring Schedule'!$N$16&gt;0,MOD($A21-'Recurring Schedule'!$F$16,'Recurring Schedule'!$N$16)=0,IF('Recurring Schedule'!$O$16&gt;0,AND(DAY($A21)=MIN(DAY('Recurring Schedule'!$F$16),DAY(EOMONTH($A21,0))),MOD((YEAR($A21)-YEAR('Recurring Schedule'!$F$16))*12+MONTH($A21)-MONTH('Recurring Schedule'!$F$16),'Recurring Schedule'!$O$16)=0),IF('Recurring Schedule'!$E$16="Weekdays",WEEKDAY($A21,2)&lt;=5,$A21='Recurring Schedule'!$F$16))),11,""))))</f>
        <v/>
      </c>
      <c r="M21">
        <f>IF('Recurring Schedule'!$C$17="","",IF('Recurring Schedule'!$F$17="","",IF(OR($A21&lt;'Recurring Schedule'!$F$17,$A21&gt;'Recurring Schedule'!$P$17),"",IF(IF('Recurring Schedule'!$N$17&gt;0,MOD($A21-'Recurring Schedule'!$F$17,'Recurring Schedule'!$N$17)=0,IF('Recurring Schedule'!$O$17&gt;0,AND(DAY($A21)=MIN(DAY('Recurring Schedule'!$F$17),DAY(EOMONTH($A21,0))),MOD((YEAR($A21)-YEAR('Recurring Schedule'!$F$17))*12+MONTH($A21)-MONTH('Recurring Schedule'!$F$17),'Recurring Schedule'!$O$17)=0),IF('Recurring Schedule'!$E$17="Weekdays",WEEKDAY($A21,2)&lt;=5,$A21='Recurring Schedule'!$F$17))),12,""))))</f>
        <v/>
      </c>
      <c r="N21">
        <f>IF('Recurring Schedule'!$C$18="","",IF('Recurring Schedule'!$F$18="","",IF(OR($A21&lt;'Recurring Schedule'!$F$18,$A21&gt;'Recurring Schedule'!$P$18),"",IF(IF('Recurring Schedule'!$N$18&gt;0,MOD($A21-'Recurring Schedule'!$F$18,'Recurring Schedule'!$N$18)=0,IF('Recurring Schedule'!$O$18&gt;0,AND(DAY($A21)=MIN(DAY('Recurring Schedule'!$F$18),DAY(EOMONTH($A21,0))),MOD((YEAR($A21)-YEAR('Recurring Schedule'!$F$18))*12+MONTH($A21)-MONTH('Recurring Schedule'!$F$18),'Recurring Schedule'!$O$18)=0),IF('Recurring Schedule'!$E$18="Weekdays",WEEKDAY($A21,2)&lt;=5,$A21='Recurring Schedule'!$F$18))),13,""))))</f>
        <v/>
      </c>
      <c r="O21">
        <f>IF('Recurring Schedule'!$C$19="","",IF('Recurring Schedule'!$F$19="","",IF(OR($A21&lt;'Recurring Schedule'!$F$19,$A21&gt;'Recurring Schedule'!$P$19),"",IF(IF('Recurring Schedule'!$N$19&gt;0,MOD($A21-'Recurring Schedule'!$F$19,'Recurring Schedule'!$N$19)=0,IF('Recurring Schedule'!$O$19&gt;0,AND(DAY($A21)=MIN(DAY('Recurring Schedule'!$F$19),DAY(EOMONTH($A21,0))),MOD((YEAR($A21)-YEAR('Recurring Schedule'!$F$19))*12+MONTH($A21)-MONTH('Recurring Schedule'!$F$19),'Recurring Schedule'!$O$19)=0),IF('Recurring Schedule'!$E$19="Weekdays",WEEKDAY($A21,2)&lt;=5,$A21='Recurring Schedule'!$F$19))),14,""))))</f>
        <v/>
      </c>
      <c r="P21">
        <f>IF('Recurring Schedule'!$C$20="","",IF('Recurring Schedule'!$F$20="","",IF(OR($A21&lt;'Recurring Schedule'!$F$20,$A21&gt;'Recurring Schedule'!$P$20),"",IF(IF('Recurring Schedule'!$N$20&gt;0,MOD($A21-'Recurring Schedule'!$F$20,'Recurring Schedule'!$N$20)=0,IF('Recurring Schedule'!$O$20&gt;0,AND(DAY($A21)=MIN(DAY('Recurring Schedule'!$F$20),DAY(EOMONTH($A21,0))),MOD((YEAR($A21)-YEAR('Recurring Schedule'!$F$20))*12+MONTH($A21)-MONTH('Recurring Schedule'!$F$20),'Recurring Schedule'!$O$20)=0),IF('Recurring Schedule'!$E$20="Weekdays",WEEKDAY($A21,2)&lt;=5,$A21='Recurring Schedule'!$F$20))),15,""))))</f>
        <v/>
      </c>
      <c r="Q21">
        <f>IF('Recurring Schedule'!$C$21="","",IF('Recurring Schedule'!$F$21="","",IF(OR($A21&lt;'Recurring Schedule'!$F$21,$A21&gt;'Recurring Schedule'!$P$21),"",IF(IF('Recurring Schedule'!$N$21&gt;0,MOD($A21-'Recurring Schedule'!$F$21,'Recurring Schedule'!$N$21)=0,IF('Recurring Schedule'!$O$21&gt;0,AND(DAY($A21)=MIN(DAY('Recurring Schedule'!$F$21),DAY(EOMONTH($A21,0))),MOD((YEAR($A21)-YEAR('Recurring Schedule'!$F$21))*12+MONTH($A21)-MONTH('Recurring Schedule'!$F$21),'Recurring Schedule'!$O$21)=0),IF('Recurring Schedule'!$E$21="Weekdays",WEEKDAY($A21,2)&lt;=5,$A21='Recurring Schedule'!$F$21))),16,""))))</f>
        <v/>
      </c>
      <c r="R21">
        <f>IF('Recurring Schedule'!$C$22="","",IF('Recurring Schedule'!$F$22="","",IF(OR($A21&lt;'Recurring Schedule'!$F$22,$A21&gt;'Recurring Schedule'!$P$22),"",IF(IF('Recurring Schedule'!$N$22&gt;0,MOD($A21-'Recurring Schedule'!$F$22,'Recurring Schedule'!$N$22)=0,IF('Recurring Schedule'!$O$22&gt;0,AND(DAY($A21)=MIN(DAY('Recurring Schedule'!$F$22),DAY(EOMONTH($A21,0))),MOD((YEAR($A21)-YEAR('Recurring Schedule'!$F$22))*12+MONTH($A21)-MONTH('Recurring Schedule'!$F$22),'Recurring Schedule'!$O$22)=0),IF('Recurring Schedule'!$E$22="Weekdays",WEEKDAY($A21,2)&lt;=5,$A21='Recurring Schedule'!$F$22))),17,""))))</f>
        <v/>
      </c>
      <c r="S21">
        <f>IF('Recurring Schedule'!$C$23="","",IF('Recurring Schedule'!$F$23="","",IF(OR($A21&lt;'Recurring Schedule'!$F$23,$A21&gt;'Recurring Schedule'!$P$23),"",IF(IF('Recurring Schedule'!$N$23&gt;0,MOD($A21-'Recurring Schedule'!$F$23,'Recurring Schedule'!$N$23)=0,IF('Recurring Schedule'!$O$23&gt;0,AND(DAY($A21)=MIN(DAY('Recurring Schedule'!$F$23),DAY(EOMONTH($A21,0))),MOD((YEAR($A21)-YEAR('Recurring Schedule'!$F$23))*12+MONTH($A21)-MONTH('Recurring Schedule'!$F$23),'Recurring Schedule'!$O$23)=0),IF('Recurring Schedule'!$E$23="Weekdays",WEEKDAY($A21,2)&lt;=5,$A21='Recurring Schedule'!$F$23))),18,""))))</f>
        <v/>
      </c>
      <c r="T21">
        <f>IF('Recurring Schedule'!$C$24="","",IF('Recurring Schedule'!$F$24="","",IF(OR($A21&lt;'Recurring Schedule'!$F$24,$A21&gt;'Recurring Schedule'!$P$24),"",IF(IF('Recurring Schedule'!$N$24&gt;0,MOD($A21-'Recurring Schedule'!$F$24,'Recurring Schedule'!$N$24)=0,IF('Recurring Schedule'!$O$24&gt;0,AND(DAY($A21)=MIN(DAY('Recurring Schedule'!$F$24),DAY(EOMONTH($A21,0))),MOD((YEAR($A21)-YEAR('Recurring Schedule'!$F$24))*12+MONTH($A21)-MONTH('Recurring Schedule'!$F$24),'Recurring Schedule'!$O$24)=0),IF('Recurring Schedule'!$E$24="Weekdays",WEEKDAY($A21,2)&lt;=5,$A21='Recurring Schedule'!$F$24))),19,""))))</f>
        <v/>
      </c>
      <c r="U21">
        <f>IF('Recurring Schedule'!$C$25="","",IF('Recurring Schedule'!$F$25="","",IF(OR($A21&lt;'Recurring Schedule'!$F$25,$A21&gt;'Recurring Schedule'!$P$25),"",IF(IF('Recurring Schedule'!$N$25&gt;0,MOD($A21-'Recurring Schedule'!$F$25,'Recurring Schedule'!$N$25)=0,IF('Recurring Schedule'!$O$25&gt;0,AND(DAY($A21)=MIN(DAY('Recurring Schedule'!$F$25),DAY(EOMONTH($A21,0))),MOD((YEAR($A21)-YEAR('Recurring Schedule'!$F$25))*12+MONTH($A21)-MONTH('Recurring Schedule'!$F$25),'Recurring Schedule'!$O$25)=0),IF('Recurring Schedule'!$E$25="Weekdays",WEEKDAY($A21,2)&lt;=5,$A21='Recurring Schedule'!$F$25))),20,""))))</f>
        <v/>
      </c>
      <c r="V21">
        <f>IF('Recurring Schedule'!$C$26="","",IF('Recurring Schedule'!$F$26="","",IF(OR($A21&lt;'Recurring Schedule'!$F$26,$A21&gt;'Recurring Schedule'!$P$26),"",IF(IF('Recurring Schedule'!$N$26&gt;0,MOD($A21-'Recurring Schedule'!$F$26,'Recurring Schedule'!$N$26)=0,IF('Recurring Schedule'!$O$26&gt;0,AND(DAY($A21)=MIN(DAY('Recurring Schedule'!$F$26),DAY(EOMONTH($A21,0))),MOD((YEAR($A21)-YEAR('Recurring Schedule'!$F$26))*12+MONTH($A21)-MONTH('Recurring Schedule'!$F$26),'Recurring Schedule'!$O$26)=0),IF('Recurring Schedule'!$E$26="Weekdays",WEEKDAY($A21,2)&lt;=5,$A21='Recurring Schedule'!$F$26))),21,""))))</f>
        <v/>
      </c>
      <c r="W21">
        <f>IF('Recurring Schedule'!$C$27="","",IF('Recurring Schedule'!$F$27="","",IF(OR($A21&lt;'Recurring Schedule'!$F$27,$A21&gt;'Recurring Schedule'!$P$27),"",IF(IF('Recurring Schedule'!$N$27&gt;0,MOD($A21-'Recurring Schedule'!$F$27,'Recurring Schedule'!$N$27)=0,IF('Recurring Schedule'!$O$27&gt;0,AND(DAY($A21)=MIN(DAY('Recurring Schedule'!$F$27),DAY(EOMONTH($A21,0))),MOD((YEAR($A21)-YEAR('Recurring Schedule'!$F$27))*12+MONTH($A21)-MONTH('Recurring Schedule'!$F$27),'Recurring Schedule'!$O$27)=0),IF('Recurring Schedule'!$E$27="Weekdays",WEEKDAY($A21,2)&lt;=5,$A21='Recurring Schedule'!$F$27))),22,""))))</f>
        <v/>
      </c>
      <c r="X21">
        <f>IF('Recurring Schedule'!$C$28="","",IF('Recurring Schedule'!$F$28="","",IF(OR($A21&lt;'Recurring Schedule'!$F$28,$A21&gt;'Recurring Schedule'!$P$28),"",IF(IF('Recurring Schedule'!$N$28&gt;0,MOD($A21-'Recurring Schedule'!$F$28,'Recurring Schedule'!$N$28)=0,IF('Recurring Schedule'!$O$28&gt;0,AND(DAY($A21)=MIN(DAY('Recurring Schedule'!$F$28),DAY(EOMONTH($A21,0))),MOD((YEAR($A21)-YEAR('Recurring Schedule'!$F$28))*12+MONTH($A21)-MONTH('Recurring Schedule'!$F$28),'Recurring Schedule'!$O$28)=0),IF('Recurring Schedule'!$E$28="Weekdays",WEEKDAY($A21,2)&lt;=5,$A21='Recurring Schedule'!$F$28))),23,""))))</f>
        <v/>
      </c>
      <c r="Y21">
        <f>IF('Recurring Schedule'!$C$29="","",IF('Recurring Schedule'!$F$29="","",IF(OR($A21&lt;'Recurring Schedule'!$F$29,$A21&gt;'Recurring Schedule'!$P$29),"",IF(IF('Recurring Schedule'!$N$29&gt;0,MOD($A21-'Recurring Schedule'!$F$29,'Recurring Schedule'!$N$29)=0,IF('Recurring Schedule'!$O$29&gt;0,AND(DAY($A21)=MIN(DAY('Recurring Schedule'!$F$29),DAY(EOMONTH($A21,0))),MOD((YEAR($A21)-YEAR('Recurring Schedule'!$F$29))*12+MONTH($A21)-MONTH('Recurring Schedule'!$F$29),'Recurring Schedule'!$O$29)=0),IF('Recurring Schedule'!$E$29="Weekdays",WEEKDAY($A21,2)&lt;=5,$A21='Recurring Schedule'!$F$29))),24,""))))</f>
        <v/>
      </c>
      <c r="Z21">
        <f>IF('Recurring Schedule'!$C$30="","",IF('Recurring Schedule'!$F$30="","",IF(OR($A21&lt;'Recurring Schedule'!$F$30,$A21&gt;'Recurring Schedule'!$P$30),"",IF(IF('Recurring Schedule'!$N$30&gt;0,MOD($A21-'Recurring Schedule'!$F$30,'Recurring Schedule'!$N$30)=0,IF('Recurring Schedule'!$O$30&gt;0,AND(DAY($A21)=MIN(DAY('Recurring Schedule'!$F$30),DAY(EOMONTH($A21,0))),MOD((YEAR($A21)-YEAR('Recurring Schedule'!$F$30))*12+MONTH($A21)-MONTH('Recurring Schedule'!$F$30),'Recurring Schedule'!$O$30)=0),IF('Recurring Schedule'!$E$30="Weekdays",WEEKDAY($A21,2)&lt;=5,$A21='Recurring Schedule'!$F$30))),25,""))))</f>
        <v/>
      </c>
      <c r="AA21">
        <f>IF('Recurring Schedule'!$C$31="","",IF('Recurring Schedule'!$F$31="","",IF(OR($A21&lt;'Recurring Schedule'!$F$31,$A21&gt;'Recurring Schedule'!$P$31),"",IF(IF('Recurring Schedule'!$N$31&gt;0,MOD($A21-'Recurring Schedule'!$F$31,'Recurring Schedule'!$N$31)=0,IF('Recurring Schedule'!$O$31&gt;0,AND(DAY($A21)=MIN(DAY('Recurring Schedule'!$F$31),DAY(EOMONTH($A21,0))),MOD((YEAR($A21)-YEAR('Recurring Schedule'!$F$31))*12+MONTH($A21)-MONTH('Recurring Schedule'!$F$31),'Recurring Schedule'!$O$31)=0),IF('Recurring Schedule'!$E$31="Weekdays",WEEKDAY($A21,2)&lt;=5,$A21='Recurring Schedule'!$F$31))),26,""))))</f>
        <v/>
      </c>
      <c r="AB21">
        <f>IF('Recurring Schedule'!$C$32="","",IF('Recurring Schedule'!$F$32="","",IF(OR($A21&lt;'Recurring Schedule'!$F$32,$A21&gt;'Recurring Schedule'!$P$32),"",IF(IF('Recurring Schedule'!$N$32&gt;0,MOD($A21-'Recurring Schedule'!$F$32,'Recurring Schedule'!$N$32)=0,IF('Recurring Schedule'!$O$32&gt;0,AND(DAY($A21)=MIN(DAY('Recurring Schedule'!$F$32),DAY(EOMONTH($A21,0))),MOD((YEAR($A21)-YEAR('Recurring Schedule'!$F$32))*12+MONTH($A21)-MONTH('Recurring Schedule'!$F$32),'Recurring Schedule'!$O$32)=0),IF('Recurring Schedule'!$E$32="Weekdays",WEEKDAY($A21,2)&lt;=5,$A21='Recurring Schedule'!$F$32))),27,""))))</f>
        <v/>
      </c>
      <c r="AC21">
        <f>IF('Recurring Schedule'!$C$33="","",IF('Recurring Schedule'!$F$33="","",IF(OR($A21&lt;'Recurring Schedule'!$F$33,$A21&gt;'Recurring Schedule'!$P$33),"",IF(IF('Recurring Schedule'!$N$33&gt;0,MOD($A21-'Recurring Schedule'!$F$33,'Recurring Schedule'!$N$33)=0,IF('Recurring Schedule'!$O$33&gt;0,AND(DAY($A21)=MIN(DAY('Recurring Schedule'!$F$33),DAY(EOMONTH($A21,0))),MOD((YEAR($A21)-YEAR('Recurring Schedule'!$F$33))*12+MONTH($A21)-MONTH('Recurring Schedule'!$F$33),'Recurring Schedule'!$O$33)=0),IF('Recurring Schedule'!$E$33="Weekdays",WEEKDAY($A21,2)&lt;=5,$A21='Recurring Schedule'!$F$33))),28,""))))</f>
        <v/>
      </c>
      <c r="AD21">
        <f>IF('Recurring Schedule'!$C$34="","",IF('Recurring Schedule'!$F$34="","",IF(OR($A21&lt;'Recurring Schedule'!$F$34,$A21&gt;'Recurring Schedule'!$P$34),"",IF(IF('Recurring Schedule'!$N$34&gt;0,MOD($A21-'Recurring Schedule'!$F$34,'Recurring Schedule'!$N$34)=0,IF('Recurring Schedule'!$O$34&gt;0,AND(DAY($A21)=MIN(DAY('Recurring Schedule'!$F$34),DAY(EOMONTH($A21,0))),MOD((YEAR($A21)-YEAR('Recurring Schedule'!$F$34))*12+MONTH($A21)-MONTH('Recurring Schedule'!$F$34),'Recurring Schedule'!$O$34)=0),IF('Recurring Schedule'!$E$34="Weekdays",WEEKDAY($A21,2)&lt;=5,$A21='Recurring Schedule'!$F$34))),29,""))))</f>
        <v/>
      </c>
      <c r="AE21">
        <f>IF('Recurring Schedule'!$C$35="","",IF('Recurring Schedule'!$F$35="","",IF(OR($A21&lt;'Recurring Schedule'!$F$35,$A21&gt;'Recurring Schedule'!$P$35),"",IF(IF('Recurring Schedule'!$N$35&gt;0,MOD($A21-'Recurring Schedule'!$F$35,'Recurring Schedule'!$N$35)=0,IF('Recurring Schedule'!$O$35&gt;0,AND(DAY($A21)=MIN(DAY('Recurring Schedule'!$F$35),DAY(EOMONTH($A21,0))),MOD((YEAR($A21)-YEAR('Recurring Schedule'!$F$35))*12+MONTH($A21)-MONTH('Recurring Schedule'!$F$35),'Recurring Schedule'!$O$35)=0),IF('Recurring Schedule'!$E$35="Weekdays",WEEKDAY($A21,2)&lt;=5,$A21='Recurring Schedule'!$F$35))),30,""))))</f>
        <v/>
      </c>
      <c r="AF21">
        <f>IF('Recurring Schedule'!$C$36="","",IF('Recurring Schedule'!$F$36="","",IF(OR($A21&lt;'Recurring Schedule'!$F$36,$A21&gt;'Recurring Schedule'!$P$36),"",IF(IF('Recurring Schedule'!$N$36&gt;0,MOD($A21-'Recurring Schedule'!$F$36,'Recurring Schedule'!$N$36)=0,IF('Recurring Schedule'!$O$36&gt;0,AND(DAY($A21)=MIN(DAY('Recurring Schedule'!$F$36),DAY(EOMONTH($A21,0))),MOD((YEAR($A21)-YEAR('Recurring Schedule'!$F$36))*12+MONTH($A21)-MONTH('Recurring Schedule'!$F$36),'Recurring Schedule'!$O$36)=0),IF('Recurring Schedule'!$E$36="Weekdays",WEEKDAY($A21,2)&lt;=5,$A21='Recurring Schedule'!$F$36))),31,""))))</f>
        <v/>
      </c>
      <c r="AG21">
        <f>IF('Recurring Schedule'!$C$37="","",IF('Recurring Schedule'!$F$37="","",IF(OR($A21&lt;'Recurring Schedule'!$F$37,$A21&gt;'Recurring Schedule'!$P$37),"",IF(IF('Recurring Schedule'!$N$37&gt;0,MOD($A21-'Recurring Schedule'!$F$37,'Recurring Schedule'!$N$37)=0,IF('Recurring Schedule'!$O$37&gt;0,AND(DAY($A21)=MIN(DAY('Recurring Schedule'!$F$37),DAY(EOMONTH($A21,0))),MOD((YEAR($A21)-YEAR('Recurring Schedule'!$F$37))*12+MONTH($A21)-MONTH('Recurring Schedule'!$F$37),'Recurring Schedule'!$O$37)=0),IF('Recurring Schedule'!$E$37="Weekdays",WEEKDAY($A21,2)&lt;=5,$A21='Recurring Schedule'!$F$37))),32,""))))</f>
        <v/>
      </c>
      <c r="AH21">
        <f>IF('Recurring Schedule'!$C$38="","",IF('Recurring Schedule'!$F$38="","",IF(OR($A21&lt;'Recurring Schedule'!$F$38,$A21&gt;'Recurring Schedule'!$P$38),"",IF(IF('Recurring Schedule'!$N$38&gt;0,MOD($A21-'Recurring Schedule'!$F$38,'Recurring Schedule'!$N$38)=0,IF('Recurring Schedule'!$O$38&gt;0,AND(DAY($A21)=MIN(DAY('Recurring Schedule'!$F$38),DAY(EOMONTH($A21,0))),MOD((YEAR($A21)-YEAR('Recurring Schedule'!$F$38))*12+MONTH($A21)-MONTH('Recurring Schedule'!$F$38),'Recurring Schedule'!$O$38)=0),IF('Recurring Schedule'!$E$38="Weekdays",WEEKDAY($A21,2)&lt;=5,$A21='Recurring Schedule'!$F$38))),33,""))))</f>
        <v/>
      </c>
      <c r="AI21">
        <f>IF('Recurring Schedule'!$C$39="","",IF('Recurring Schedule'!$F$39="","",IF(OR($A21&lt;'Recurring Schedule'!$F$39,$A21&gt;'Recurring Schedule'!$P$39),"",IF(IF('Recurring Schedule'!$N$39&gt;0,MOD($A21-'Recurring Schedule'!$F$39,'Recurring Schedule'!$N$39)=0,IF('Recurring Schedule'!$O$39&gt;0,AND(DAY($A21)=MIN(DAY('Recurring Schedule'!$F$39),DAY(EOMONTH($A21,0))),MOD((YEAR($A21)-YEAR('Recurring Schedule'!$F$39))*12+MONTH($A21)-MONTH('Recurring Schedule'!$F$39),'Recurring Schedule'!$O$39)=0),IF('Recurring Schedule'!$E$39="Weekdays",WEEKDAY($A21,2)&lt;=5,$A21='Recurring Schedule'!$F$39))),34,""))))</f>
        <v/>
      </c>
      <c r="AJ21">
        <f>IF('Recurring Schedule'!$C$40="","",IF('Recurring Schedule'!$F$40="","",IF(OR($A21&lt;'Recurring Schedule'!$F$40,$A21&gt;'Recurring Schedule'!$P$40),"",IF(IF('Recurring Schedule'!$N$40&gt;0,MOD($A21-'Recurring Schedule'!$F$40,'Recurring Schedule'!$N$40)=0,IF('Recurring Schedule'!$O$40&gt;0,AND(DAY($A21)=MIN(DAY('Recurring Schedule'!$F$40),DAY(EOMONTH($A21,0))),MOD((YEAR($A21)-YEAR('Recurring Schedule'!$F$40))*12+MONTH($A21)-MONTH('Recurring Schedule'!$F$40),'Recurring Schedule'!$O$40)=0),IF('Recurring Schedule'!$E$40="Weekdays",WEEKDAY($A21,2)&lt;=5,$A21='Recurring Schedule'!$F$40))),35,""))))</f>
        <v/>
      </c>
      <c r="AK21">
        <f>IF('Recurring Schedule'!$C$41="","",IF('Recurring Schedule'!$F$41="","",IF(OR($A21&lt;'Recurring Schedule'!$F$41,$A21&gt;'Recurring Schedule'!$P$41),"",IF(IF('Recurring Schedule'!$N$41&gt;0,MOD($A21-'Recurring Schedule'!$F$41,'Recurring Schedule'!$N$41)=0,IF('Recurring Schedule'!$O$41&gt;0,AND(DAY($A21)=MIN(DAY('Recurring Schedule'!$F$41),DAY(EOMONTH($A21,0))),MOD((YEAR($A21)-YEAR('Recurring Schedule'!$F$41))*12+MONTH($A21)-MONTH('Recurring Schedule'!$F$41),'Recurring Schedule'!$O$41)=0),IF('Recurring Schedule'!$E$41="Weekdays",WEEKDAY($A21,2)&lt;=5,$A21='Recurring Schedule'!$F$41))),36,""))))</f>
        <v/>
      </c>
      <c r="AL21">
        <f>IF('Recurring Schedule'!$C$42="","",IF('Recurring Schedule'!$F$42="","",IF(OR($A21&lt;'Recurring Schedule'!$F$42,$A21&gt;'Recurring Schedule'!$P$42),"",IF(IF('Recurring Schedule'!$N$42&gt;0,MOD($A21-'Recurring Schedule'!$F$42,'Recurring Schedule'!$N$42)=0,IF('Recurring Schedule'!$O$42&gt;0,AND(DAY($A21)=MIN(DAY('Recurring Schedule'!$F$42),DAY(EOMONTH($A21,0))),MOD((YEAR($A21)-YEAR('Recurring Schedule'!$F$42))*12+MONTH($A21)-MONTH('Recurring Schedule'!$F$42),'Recurring Schedule'!$O$42)=0),IF('Recurring Schedule'!$E$42="Weekdays",WEEKDAY($A21,2)&lt;=5,$A21='Recurring Schedule'!$F$42))),37,""))))</f>
        <v/>
      </c>
      <c r="AM21">
        <f>IF('Recurring Schedule'!$C$43="","",IF('Recurring Schedule'!$F$43="","",IF(OR($A21&lt;'Recurring Schedule'!$F$43,$A21&gt;'Recurring Schedule'!$P$43),"",IF(IF('Recurring Schedule'!$N$43&gt;0,MOD($A21-'Recurring Schedule'!$F$43,'Recurring Schedule'!$N$43)=0,IF('Recurring Schedule'!$O$43&gt;0,AND(DAY($A21)=MIN(DAY('Recurring Schedule'!$F$43),DAY(EOMONTH($A21,0))),MOD((YEAR($A21)-YEAR('Recurring Schedule'!$F$43))*12+MONTH($A21)-MONTH('Recurring Schedule'!$F$43),'Recurring Schedule'!$O$43)=0),IF('Recurring Schedule'!$E$43="Weekdays",WEEKDAY($A21,2)&lt;=5,$A21='Recurring Schedule'!$F$43))),38,""))))</f>
        <v/>
      </c>
      <c r="AN21">
        <f>IF('Recurring Schedule'!$C$44="","",IF('Recurring Schedule'!$F$44="","",IF(OR($A21&lt;'Recurring Schedule'!$F$44,$A21&gt;'Recurring Schedule'!$P$44),"",IF(IF('Recurring Schedule'!$N$44&gt;0,MOD($A21-'Recurring Schedule'!$F$44,'Recurring Schedule'!$N$44)=0,IF('Recurring Schedule'!$O$44&gt;0,AND(DAY($A21)=MIN(DAY('Recurring Schedule'!$F$44),DAY(EOMONTH($A21,0))),MOD((YEAR($A21)-YEAR('Recurring Schedule'!$F$44))*12+MONTH($A21)-MONTH('Recurring Schedule'!$F$44),'Recurring Schedule'!$O$44)=0),IF('Recurring Schedule'!$E$44="Weekdays",WEEKDAY($A21,2)&lt;=5,$A21='Recurring Schedule'!$F$44))),39,""))))</f>
        <v/>
      </c>
      <c r="AO21">
        <f>IF('Recurring Schedule'!$C$45="","",IF('Recurring Schedule'!$F$45="","",IF(OR($A21&lt;'Recurring Schedule'!$F$45,$A21&gt;'Recurring Schedule'!$P$45),"",IF(IF('Recurring Schedule'!$N$45&gt;0,MOD($A21-'Recurring Schedule'!$F$45,'Recurring Schedule'!$N$45)=0,IF('Recurring Schedule'!$O$45&gt;0,AND(DAY($A21)=MIN(DAY('Recurring Schedule'!$F$45),DAY(EOMONTH($A21,0))),MOD((YEAR($A21)-YEAR('Recurring Schedule'!$F$45))*12+MONTH($A21)-MONTH('Recurring Schedule'!$F$45),'Recurring Schedule'!$O$45)=0),IF('Recurring Schedule'!$E$45="Weekdays",WEEKDAY($A21,2)&lt;=5,$A21='Recurring Schedule'!$F$45))),40,""))))</f>
        <v/>
      </c>
      <c r="AP21">
        <f>COUNT(B21:AO21)</f>
        <v/>
      </c>
      <c r="AQ21">
        <f>AQ20+AP20</f>
        <v/>
      </c>
      <c r="AS21" t="inlineStr">
        <is>
          <t>R</t>
        </is>
      </c>
      <c r="AT21" t="n">
        <v>25</v>
      </c>
      <c r="AU21">
        <f>'Recurring Log'!C25&amp;""</f>
        <v/>
      </c>
      <c r="AV21">
        <f>'Recurring Log'!D25&amp;""</f>
        <v/>
      </c>
      <c r="AW21">
        <f>IF('Recurring Log'!E25="","",'Recurring Log'!E25)</f>
        <v/>
      </c>
      <c r="AX21">
        <f>IF('Recurring Log'!G25="","",'Recurring Log'!G25)</f>
        <v/>
      </c>
      <c r="AY21">
        <f>IF('Recurring Log'!H25="","",'Recurring Log'!H25)</f>
        <v/>
      </c>
      <c r="AZ21">
        <f>IF(AU21="","",IF('Recurring Log'!J25="","Not Started",'Recurring Log'!J25))</f>
        <v/>
      </c>
      <c r="BA21">
        <f>'Recurring Log'!L25&amp;""</f>
        <v/>
      </c>
      <c r="BB21">
        <f>'Recurring Log'!M25&amp;""</f>
        <v/>
      </c>
      <c r="BC21">
        <f>'Recurring Log'!N25&amp;""</f>
        <v/>
      </c>
      <c r="BD21">
        <f>'Recurring Log'!O25&amp;""</f>
        <v/>
      </c>
      <c r="BE21">
        <f>IF('Recurring Log'!K25="","",'Recurring Log'!K25)</f>
        <v/>
      </c>
      <c r="BF21">
        <f>IFERROR(MATCH(BA21,Setup!$L$6:$L$9,0),5)</f>
        <v/>
      </c>
      <c r="BG21">
        <f>IF(OR(AZ21="Done",AZ21="Cancelled"),1,0)</f>
        <v/>
      </c>
      <c r="BH21">
        <f>IF(AND(AU21&lt;&gt;"",ISNUMBER(AW21)),1,0)</f>
        <v/>
      </c>
      <c r="BI21">
        <f>IF(BH21=0,0,IF(AND(AW21&gt;='Tasks Filter'!$F$3,AW21&lt;='Tasks Filter'!$F$4,OR('Tasks Filter'!$I$3="",ISNUMBER(SEARCH('Tasks Filter'!$I$3,AU21))),OR('Tasks Filter'!$I$4="",BF21=IFERROR(MATCH('Tasks Filter'!$I$4,Setup!$L$6:$L$9,0),0)),OR('Tasks Filter'!$I$5="Both",AND('Tasks Filter'!$I$5="Yes",BB21="✓"),AND('Tasks Filter'!$I$5="No",BB21&lt;&gt;"✓")),OR('Tasks Filter'!$L$3="",AV21='Tasks Filter'!$L$3),OR('Tasks Filter'!$L$4="",AZ21='Tasks Filter'!$L$4),OR('Tasks Filter'!$L$5="",BC21='Tasks Filter'!$L$5),OR('Tasks Filter'!$O$3="",BD21='Tasks Filter'!$O$3),OR('Tasks Filter'!$O$4="Yes",BG21=0)),1,0))</f>
        <v/>
      </c>
      <c r="BJ21">
        <f>IF(BH21=0,"",IF('Tasks Filter'!$F$6="Descending",-1,1)*CHOOSE(MATCH('Tasks Filter'!$F$5,Lists!$G$2:$G$6,0),AW21,BF21,IFERROR(MATCH(AV21,Setup!$F$6:$F$15,0),99),IFERROR(MATCH(BC21,Setup!$H$6:$H$15,0),99),IFERROR(MATCH(AZ21,Setup!$J$6:$J$11,0),99))*1E+9+(AW21-40000)*10000+20)</f>
        <v/>
      </c>
      <c r="BK21">
        <f>IF(BI21=1,BJ21,"")</f>
        <v/>
      </c>
      <c r="BL21">
        <f>IF(AND(BH21=1,BG21=0,N(AW21)&lt;Setup!$D$7),(AW21-40000)*10000+20,"")</f>
        <v/>
      </c>
      <c r="BM21">
        <f>IF(AND(BH21=1,AZ21&lt;&gt;"Cancelled",N(AW21)&gt;=Dashboard!$AB$3,N(AW21)&lt;=Dashboard!$AB$3+6),(AW21-40000)*100000+BF21*10000+20,"")</f>
        <v/>
      </c>
      <c r="BN21">
        <f>IF(AND(BH21=1,AZ21&lt;&gt;"Cancelled"),BF21*10000+20,"")</f>
        <v/>
      </c>
    </row>
    <row r="22">
      <c r="A22">
        <f>Setup!$D$5+20</f>
        <v/>
      </c>
      <c r="B22">
        <f>IF('Recurring Schedule'!$C$6="","",IF('Recurring Schedule'!$F$6="","",IF(OR($A22&lt;'Recurring Schedule'!$F$6,$A22&gt;'Recurring Schedule'!$P$6),"",IF(IF('Recurring Schedule'!$N$6&gt;0,MOD($A22-'Recurring Schedule'!$F$6,'Recurring Schedule'!$N$6)=0,IF('Recurring Schedule'!$O$6&gt;0,AND(DAY($A22)=MIN(DAY('Recurring Schedule'!$F$6),DAY(EOMONTH($A22,0))),MOD((YEAR($A22)-YEAR('Recurring Schedule'!$F$6))*12+MONTH($A22)-MONTH('Recurring Schedule'!$F$6),'Recurring Schedule'!$O$6)=0),IF('Recurring Schedule'!$E$6="Weekdays",WEEKDAY($A22,2)&lt;=5,$A22='Recurring Schedule'!$F$6))),1,""))))</f>
        <v/>
      </c>
      <c r="C22">
        <f>IF('Recurring Schedule'!$C$7="","",IF('Recurring Schedule'!$F$7="","",IF(OR($A22&lt;'Recurring Schedule'!$F$7,$A22&gt;'Recurring Schedule'!$P$7),"",IF(IF('Recurring Schedule'!$N$7&gt;0,MOD($A22-'Recurring Schedule'!$F$7,'Recurring Schedule'!$N$7)=0,IF('Recurring Schedule'!$O$7&gt;0,AND(DAY($A22)=MIN(DAY('Recurring Schedule'!$F$7),DAY(EOMONTH($A22,0))),MOD((YEAR($A22)-YEAR('Recurring Schedule'!$F$7))*12+MONTH($A22)-MONTH('Recurring Schedule'!$F$7),'Recurring Schedule'!$O$7)=0),IF('Recurring Schedule'!$E$7="Weekdays",WEEKDAY($A22,2)&lt;=5,$A22='Recurring Schedule'!$F$7))),2,""))))</f>
        <v/>
      </c>
      <c r="D22">
        <f>IF('Recurring Schedule'!$C$8="","",IF('Recurring Schedule'!$F$8="","",IF(OR($A22&lt;'Recurring Schedule'!$F$8,$A22&gt;'Recurring Schedule'!$P$8),"",IF(IF('Recurring Schedule'!$N$8&gt;0,MOD($A22-'Recurring Schedule'!$F$8,'Recurring Schedule'!$N$8)=0,IF('Recurring Schedule'!$O$8&gt;0,AND(DAY($A22)=MIN(DAY('Recurring Schedule'!$F$8),DAY(EOMONTH($A22,0))),MOD((YEAR($A22)-YEAR('Recurring Schedule'!$F$8))*12+MONTH($A22)-MONTH('Recurring Schedule'!$F$8),'Recurring Schedule'!$O$8)=0),IF('Recurring Schedule'!$E$8="Weekdays",WEEKDAY($A22,2)&lt;=5,$A22='Recurring Schedule'!$F$8))),3,""))))</f>
        <v/>
      </c>
      <c r="E22">
        <f>IF('Recurring Schedule'!$C$9="","",IF('Recurring Schedule'!$F$9="","",IF(OR($A22&lt;'Recurring Schedule'!$F$9,$A22&gt;'Recurring Schedule'!$P$9),"",IF(IF('Recurring Schedule'!$N$9&gt;0,MOD($A22-'Recurring Schedule'!$F$9,'Recurring Schedule'!$N$9)=0,IF('Recurring Schedule'!$O$9&gt;0,AND(DAY($A22)=MIN(DAY('Recurring Schedule'!$F$9),DAY(EOMONTH($A22,0))),MOD((YEAR($A22)-YEAR('Recurring Schedule'!$F$9))*12+MONTH($A22)-MONTH('Recurring Schedule'!$F$9),'Recurring Schedule'!$O$9)=0),IF('Recurring Schedule'!$E$9="Weekdays",WEEKDAY($A22,2)&lt;=5,$A22='Recurring Schedule'!$F$9))),4,""))))</f>
        <v/>
      </c>
      <c r="F22">
        <f>IF('Recurring Schedule'!$C$10="","",IF('Recurring Schedule'!$F$10="","",IF(OR($A22&lt;'Recurring Schedule'!$F$10,$A22&gt;'Recurring Schedule'!$P$10),"",IF(IF('Recurring Schedule'!$N$10&gt;0,MOD($A22-'Recurring Schedule'!$F$10,'Recurring Schedule'!$N$10)=0,IF('Recurring Schedule'!$O$10&gt;0,AND(DAY($A22)=MIN(DAY('Recurring Schedule'!$F$10),DAY(EOMONTH($A22,0))),MOD((YEAR($A22)-YEAR('Recurring Schedule'!$F$10))*12+MONTH($A22)-MONTH('Recurring Schedule'!$F$10),'Recurring Schedule'!$O$10)=0),IF('Recurring Schedule'!$E$10="Weekdays",WEEKDAY($A22,2)&lt;=5,$A22='Recurring Schedule'!$F$10))),5,""))))</f>
        <v/>
      </c>
      <c r="G22">
        <f>IF('Recurring Schedule'!$C$11="","",IF('Recurring Schedule'!$F$11="","",IF(OR($A22&lt;'Recurring Schedule'!$F$11,$A22&gt;'Recurring Schedule'!$P$11),"",IF(IF('Recurring Schedule'!$N$11&gt;0,MOD($A22-'Recurring Schedule'!$F$11,'Recurring Schedule'!$N$11)=0,IF('Recurring Schedule'!$O$11&gt;0,AND(DAY($A22)=MIN(DAY('Recurring Schedule'!$F$11),DAY(EOMONTH($A22,0))),MOD((YEAR($A22)-YEAR('Recurring Schedule'!$F$11))*12+MONTH($A22)-MONTH('Recurring Schedule'!$F$11),'Recurring Schedule'!$O$11)=0),IF('Recurring Schedule'!$E$11="Weekdays",WEEKDAY($A22,2)&lt;=5,$A22='Recurring Schedule'!$F$11))),6,""))))</f>
        <v/>
      </c>
      <c r="H22">
        <f>IF('Recurring Schedule'!$C$12="","",IF('Recurring Schedule'!$F$12="","",IF(OR($A22&lt;'Recurring Schedule'!$F$12,$A22&gt;'Recurring Schedule'!$P$12),"",IF(IF('Recurring Schedule'!$N$12&gt;0,MOD($A22-'Recurring Schedule'!$F$12,'Recurring Schedule'!$N$12)=0,IF('Recurring Schedule'!$O$12&gt;0,AND(DAY($A22)=MIN(DAY('Recurring Schedule'!$F$12),DAY(EOMONTH($A22,0))),MOD((YEAR($A22)-YEAR('Recurring Schedule'!$F$12))*12+MONTH($A22)-MONTH('Recurring Schedule'!$F$12),'Recurring Schedule'!$O$12)=0),IF('Recurring Schedule'!$E$12="Weekdays",WEEKDAY($A22,2)&lt;=5,$A22='Recurring Schedule'!$F$12))),7,""))))</f>
        <v/>
      </c>
      <c r="I22">
        <f>IF('Recurring Schedule'!$C$13="","",IF('Recurring Schedule'!$F$13="","",IF(OR($A22&lt;'Recurring Schedule'!$F$13,$A22&gt;'Recurring Schedule'!$P$13),"",IF(IF('Recurring Schedule'!$N$13&gt;0,MOD($A22-'Recurring Schedule'!$F$13,'Recurring Schedule'!$N$13)=0,IF('Recurring Schedule'!$O$13&gt;0,AND(DAY($A22)=MIN(DAY('Recurring Schedule'!$F$13),DAY(EOMONTH($A22,0))),MOD((YEAR($A22)-YEAR('Recurring Schedule'!$F$13))*12+MONTH($A22)-MONTH('Recurring Schedule'!$F$13),'Recurring Schedule'!$O$13)=0),IF('Recurring Schedule'!$E$13="Weekdays",WEEKDAY($A22,2)&lt;=5,$A22='Recurring Schedule'!$F$13))),8,""))))</f>
        <v/>
      </c>
      <c r="J22">
        <f>IF('Recurring Schedule'!$C$14="","",IF('Recurring Schedule'!$F$14="","",IF(OR($A22&lt;'Recurring Schedule'!$F$14,$A22&gt;'Recurring Schedule'!$P$14),"",IF(IF('Recurring Schedule'!$N$14&gt;0,MOD($A22-'Recurring Schedule'!$F$14,'Recurring Schedule'!$N$14)=0,IF('Recurring Schedule'!$O$14&gt;0,AND(DAY($A22)=MIN(DAY('Recurring Schedule'!$F$14),DAY(EOMONTH($A22,0))),MOD((YEAR($A22)-YEAR('Recurring Schedule'!$F$14))*12+MONTH($A22)-MONTH('Recurring Schedule'!$F$14),'Recurring Schedule'!$O$14)=0),IF('Recurring Schedule'!$E$14="Weekdays",WEEKDAY($A22,2)&lt;=5,$A22='Recurring Schedule'!$F$14))),9,""))))</f>
        <v/>
      </c>
      <c r="K22">
        <f>IF('Recurring Schedule'!$C$15="","",IF('Recurring Schedule'!$F$15="","",IF(OR($A22&lt;'Recurring Schedule'!$F$15,$A22&gt;'Recurring Schedule'!$P$15),"",IF(IF('Recurring Schedule'!$N$15&gt;0,MOD($A22-'Recurring Schedule'!$F$15,'Recurring Schedule'!$N$15)=0,IF('Recurring Schedule'!$O$15&gt;0,AND(DAY($A22)=MIN(DAY('Recurring Schedule'!$F$15),DAY(EOMONTH($A22,0))),MOD((YEAR($A22)-YEAR('Recurring Schedule'!$F$15))*12+MONTH($A22)-MONTH('Recurring Schedule'!$F$15),'Recurring Schedule'!$O$15)=0),IF('Recurring Schedule'!$E$15="Weekdays",WEEKDAY($A22,2)&lt;=5,$A22='Recurring Schedule'!$F$15))),10,""))))</f>
        <v/>
      </c>
      <c r="L22">
        <f>IF('Recurring Schedule'!$C$16="","",IF('Recurring Schedule'!$F$16="","",IF(OR($A22&lt;'Recurring Schedule'!$F$16,$A22&gt;'Recurring Schedule'!$P$16),"",IF(IF('Recurring Schedule'!$N$16&gt;0,MOD($A22-'Recurring Schedule'!$F$16,'Recurring Schedule'!$N$16)=0,IF('Recurring Schedule'!$O$16&gt;0,AND(DAY($A22)=MIN(DAY('Recurring Schedule'!$F$16),DAY(EOMONTH($A22,0))),MOD((YEAR($A22)-YEAR('Recurring Schedule'!$F$16))*12+MONTH($A22)-MONTH('Recurring Schedule'!$F$16),'Recurring Schedule'!$O$16)=0),IF('Recurring Schedule'!$E$16="Weekdays",WEEKDAY($A22,2)&lt;=5,$A22='Recurring Schedule'!$F$16))),11,""))))</f>
        <v/>
      </c>
      <c r="M22">
        <f>IF('Recurring Schedule'!$C$17="","",IF('Recurring Schedule'!$F$17="","",IF(OR($A22&lt;'Recurring Schedule'!$F$17,$A22&gt;'Recurring Schedule'!$P$17),"",IF(IF('Recurring Schedule'!$N$17&gt;0,MOD($A22-'Recurring Schedule'!$F$17,'Recurring Schedule'!$N$17)=0,IF('Recurring Schedule'!$O$17&gt;0,AND(DAY($A22)=MIN(DAY('Recurring Schedule'!$F$17),DAY(EOMONTH($A22,0))),MOD((YEAR($A22)-YEAR('Recurring Schedule'!$F$17))*12+MONTH($A22)-MONTH('Recurring Schedule'!$F$17),'Recurring Schedule'!$O$17)=0),IF('Recurring Schedule'!$E$17="Weekdays",WEEKDAY($A22,2)&lt;=5,$A22='Recurring Schedule'!$F$17))),12,""))))</f>
        <v/>
      </c>
      <c r="N22">
        <f>IF('Recurring Schedule'!$C$18="","",IF('Recurring Schedule'!$F$18="","",IF(OR($A22&lt;'Recurring Schedule'!$F$18,$A22&gt;'Recurring Schedule'!$P$18),"",IF(IF('Recurring Schedule'!$N$18&gt;0,MOD($A22-'Recurring Schedule'!$F$18,'Recurring Schedule'!$N$18)=0,IF('Recurring Schedule'!$O$18&gt;0,AND(DAY($A22)=MIN(DAY('Recurring Schedule'!$F$18),DAY(EOMONTH($A22,0))),MOD((YEAR($A22)-YEAR('Recurring Schedule'!$F$18))*12+MONTH($A22)-MONTH('Recurring Schedule'!$F$18),'Recurring Schedule'!$O$18)=0),IF('Recurring Schedule'!$E$18="Weekdays",WEEKDAY($A22,2)&lt;=5,$A22='Recurring Schedule'!$F$18))),13,""))))</f>
        <v/>
      </c>
      <c r="O22">
        <f>IF('Recurring Schedule'!$C$19="","",IF('Recurring Schedule'!$F$19="","",IF(OR($A22&lt;'Recurring Schedule'!$F$19,$A22&gt;'Recurring Schedule'!$P$19),"",IF(IF('Recurring Schedule'!$N$19&gt;0,MOD($A22-'Recurring Schedule'!$F$19,'Recurring Schedule'!$N$19)=0,IF('Recurring Schedule'!$O$19&gt;0,AND(DAY($A22)=MIN(DAY('Recurring Schedule'!$F$19),DAY(EOMONTH($A22,0))),MOD((YEAR($A22)-YEAR('Recurring Schedule'!$F$19))*12+MONTH($A22)-MONTH('Recurring Schedule'!$F$19),'Recurring Schedule'!$O$19)=0),IF('Recurring Schedule'!$E$19="Weekdays",WEEKDAY($A22,2)&lt;=5,$A22='Recurring Schedule'!$F$19))),14,""))))</f>
        <v/>
      </c>
      <c r="P22">
        <f>IF('Recurring Schedule'!$C$20="","",IF('Recurring Schedule'!$F$20="","",IF(OR($A22&lt;'Recurring Schedule'!$F$20,$A22&gt;'Recurring Schedule'!$P$20),"",IF(IF('Recurring Schedule'!$N$20&gt;0,MOD($A22-'Recurring Schedule'!$F$20,'Recurring Schedule'!$N$20)=0,IF('Recurring Schedule'!$O$20&gt;0,AND(DAY($A22)=MIN(DAY('Recurring Schedule'!$F$20),DAY(EOMONTH($A22,0))),MOD((YEAR($A22)-YEAR('Recurring Schedule'!$F$20))*12+MONTH($A22)-MONTH('Recurring Schedule'!$F$20),'Recurring Schedule'!$O$20)=0),IF('Recurring Schedule'!$E$20="Weekdays",WEEKDAY($A22,2)&lt;=5,$A22='Recurring Schedule'!$F$20))),15,""))))</f>
        <v/>
      </c>
      <c r="Q22">
        <f>IF('Recurring Schedule'!$C$21="","",IF('Recurring Schedule'!$F$21="","",IF(OR($A22&lt;'Recurring Schedule'!$F$21,$A22&gt;'Recurring Schedule'!$P$21),"",IF(IF('Recurring Schedule'!$N$21&gt;0,MOD($A22-'Recurring Schedule'!$F$21,'Recurring Schedule'!$N$21)=0,IF('Recurring Schedule'!$O$21&gt;0,AND(DAY($A22)=MIN(DAY('Recurring Schedule'!$F$21),DAY(EOMONTH($A22,0))),MOD((YEAR($A22)-YEAR('Recurring Schedule'!$F$21))*12+MONTH($A22)-MONTH('Recurring Schedule'!$F$21),'Recurring Schedule'!$O$21)=0),IF('Recurring Schedule'!$E$21="Weekdays",WEEKDAY($A22,2)&lt;=5,$A22='Recurring Schedule'!$F$21))),16,""))))</f>
        <v/>
      </c>
      <c r="R22">
        <f>IF('Recurring Schedule'!$C$22="","",IF('Recurring Schedule'!$F$22="","",IF(OR($A22&lt;'Recurring Schedule'!$F$22,$A22&gt;'Recurring Schedule'!$P$22),"",IF(IF('Recurring Schedule'!$N$22&gt;0,MOD($A22-'Recurring Schedule'!$F$22,'Recurring Schedule'!$N$22)=0,IF('Recurring Schedule'!$O$22&gt;0,AND(DAY($A22)=MIN(DAY('Recurring Schedule'!$F$22),DAY(EOMONTH($A22,0))),MOD((YEAR($A22)-YEAR('Recurring Schedule'!$F$22))*12+MONTH($A22)-MONTH('Recurring Schedule'!$F$22),'Recurring Schedule'!$O$22)=0),IF('Recurring Schedule'!$E$22="Weekdays",WEEKDAY($A22,2)&lt;=5,$A22='Recurring Schedule'!$F$22))),17,""))))</f>
        <v/>
      </c>
      <c r="S22">
        <f>IF('Recurring Schedule'!$C$23="","",IF('Recurring Schedule'!$F$23="","",IF(OR($A22&lt;'Recurring Schedule'!$F$23,$A22&gt;'Recurring Schedule'!$P$23),"",IF(IF('Recurring Schedule'!$N$23&gt;0,MOD($A22-'Recurring Schedule'!$F$23,'Recurring Schedule'!$N$23)=0,IF('Recurring Schedule'!$O$23&gt;0,AND(DAY($A22)=MIN(DAY('Recurring Schedule'!$F$23),DAY(EOMONTH($A22,0))),MOD((YEAR($A22)-YEAR('Recurring Schedule'!$F$23))*12+MONTH($A22)-MONTH('Recurring Schedule'!$F$23),'Recurring Schedule'!$O$23)=0),IF('Recurring Schedule'!$E$23="Weekdays",WEEKDAY($A22,2)&lt;=5,$A22='Recurring Schedule'!$F$23))),18,""))))</f>
        <v/>
      </c>
      <c r="T22">
        <f>IF('Recurring Schedule'!$C$24="","",IF('Recurring Schedule'!$F$24="","",IF(OR($A22&lt;'Recurring Schedule'!$F$24,$A22&gt;'Recurring Schedule'!$P$24),"",IF(IF('Recurring Schedule'!$N$24&gt;0,MOD($A22-'Recurring Schedule'!$F$24,'Recurring Schedule'!$N$24)=0,IF('Recurring Schedule'!$O$24&gt;0,AND(DAY($A22)=MIN(DAY('Recurring Schedule'!$F$24),DAY(EOMONTH($A22,0))),MOD((YEAR($A22)-YEAR('Recurring Schedule'!$F$24))*12+MONTH($A22)-MONTH('Recurring Schedule'!$F$24),'Recurring Schedule'!$O$24)=0),IF('Recurring Schedule'!$E$24="Weekdays",WEEKDAY($A22,2)&lt;=5,$A22='Recurring Schedule'!$F$24))),19,""))))</f>
        <v/>
      </c>
      <c r="U22">
        <f>IF('Recurring Schedule'!$C$25="","",IF('Recurring Schedule'!$F$25="","",IF(OR($A22&lt;'Recurring Schedule'!$F$25,$A22&gt;'Recurring Schedule'!$P$25),"",IF(IF('Recurring Schedule'!$N$25&gt;0,MOD($A22-'Recurring Schedule'!$F$25,'Recurring Schedule'!$N$25)=0,IF('Recurring Schedule'!$O$25&gt;0,AND(DAY($A22)=MIN(DAY('Recurring Schedule'!$F$25),DAY(EOMONTH($A22,0))),MOD((YEAR($A22)-YEAR('Recurring Schedule'!$F$25))*12+MONTH($A22)-MONTH('Recurring Schedule'!$F$25),'Recurring Schedule'!$O$25)=0),IF('Recurring Schedule'!$E$25="Weekdays",WEEKDAY($A22,2)&lt;=5,$A22='Recurring Schedule'!$F$25))),20,""))))</f>
        <v/>
      </c>
      <c r="V22">
        <f>IF('Recurring Schedule'!$C$26="","",IF('Recurring Schedule'!$F$26="","",IF(OR($A22&lt;'Recurring Schedule'!$F$26,$A22&gt;'Recurring Schedule'!$P$26),"",IF(IF('Recurring Schedule'!$N$26&gt;0,MOD($A22-'Recurring Schedule'!$F$26,'Recurring Schedule'!$N$26)=0,IF('Recurring Schedule'!$O$26&gt;0,AND(DAY($A22)=MIN(DAY('Recurring Schedule'!$F$26),DAY(EOMONTH($A22,0))),MOD((YEAR($A22)-YEAR('Recurring Schedule'!$F$26))*12+MONTH($A22)-MONTH('Recurring Schedule'!$F$26),'Recurring Schedule'!$O$26)=0),IF('Recurring Schedule'!$E$26="Weekdays",WEEKDAY($A22,2)&lt;=5,$A22='Recurring Schedule'!$F$26))),21,""))))</f>
        <v/>
      </c>
      <c r="W22">
        <f>IF('Recurring Schedule'!$C$27="","",IF('Recurring Schedule'!$F$27="","",IF(OR($A22&lt;'Recurring Schedule'!$F$27,$A22&gt;'Recurring Schedule'!$P$27),"",IF(IF('Recurring Schedule'!$N$27&gt;0,MOD($A22-'Recurring Schedule'!$F$27,'Recurring Schedule'!$N$27)=0,IF('Recurring Schedule'!$O$27&gt;0,AND(DAY($A22)=MIN(DAY('Recurring Schedule'!$F$27),DAY(EOMONTH($A22,0))),MOD((YEAR($A22)-YEAR('Recurring Schedule'!$F$27))*12+MONTH($A22)-MONTH('Recurring Schedule'!$F$27),'Recurring Schedule'!$O$27)=0),IF('Recurring Schedule'!$E$27="Weekdays",WEEKDAY($A22,2)&lt;=5,$A22='Recurring Schedule'!$F$27))),22,""))))</f>
        <v/>
      </c>
      <c r="X22">
        <f>IF('Recurring Schedule'!$C$28="","",IF('Recurring Schedule'!$F$28="","",IF(OR($A22&lt;'Recurring Schedule'!$F$28,$A22&gt;'Recurring Schedule'!$P$28),"",IF(IF('Recurring Schedule'!$N$28&gt;0,MOD($A22-'Recurring Schedule'!$F$28,'Recurring Schedule'!$N$28)=0,IF('Recurring Schedule'!$O$28&gt;0,AND(DAY($A22)=MIN(DAY('Recurring Schedule'!$F$28),DAY(EOMONTH($A22,0))),MOD((YEAR($A22)-YEAR('Recurring Schedule'!$F$28))*12+MONTH($A22)-MONTH('Recurring Schedule'!$F$28),'Recurring Schedule'!$O$28)=0),IF('Recurring Schedule'!$E$28="Weekdays",WEEKDAY($A22,2)&lt;=5,$A22='Recurring Schedule'!$F$28))),23,""))))</f>
        <v/>
      </c>
      <c r="Y22">
        <f>IF('Recurring Schedule'!$C$29="","",IF('Recurring Schedule'!$F$29="","",IF(OR($A22&lt;'Recurring Schedule'!$F$29,$A22&gt;'Recurring Schedule'!$P$29),"",IF(IF('Recurring Schedule'!$N$29&gt;0,MOD($A22-'Recurring Schedule'!$F$29,'Recurring Schedule'!$N$29)=0,IF('Recurring Schedule'!$O$29&gt;0,AND(DAY($A22)=MIN(DAY('Recurring Schedule'!$F$29),DAY(EOMONTH($A22,0))),MOD((YEAR($A22)-YEAR('Recurring Schedule'!$F$29))*12+MONTH($A22)-MONTH('Recurring Schedule'!$F$29),'Recurring Schedule'!$O$29)=0),IF('Recurring Schedule'!$E$29="Weekdays",WEEKDAY($A22,2)&lt;=5,$A22='Recurring Schedule'!$F$29))),24,""))))</f>
        <v/>
      </c>
      <c r="Z22">
        <f>IF('Recurring Schedule'!$C$30="","",IF('Recurring Schedule'!$F$30="","",IF(OR($A22&lt;'Recurring Schedule'!$F$30,$A22&gt;'Recurring Schedule'!$P$30),"",IF(IF('Recurring Schedule'!$N$30&gt;0,MOD($A22-'Recurring Schedule'!$F$30,'Recurring Schedule'!$N$30)=0,IF('Recurring Schedule'!$O$30&gt;0,AND(DAY($A22)=MIN(DAY('Recurring Schedule'!$F$30),DAY(EOMONTH($A22,0))),MOD((YEAR($A22)-YEAR('Recurring Schedule'!$F$30))*12+MONTH($A22)-MONTH('Recurring Schedule'!$F$30),'Recurring Schedule'!$O$30)=0),IF('Recurring Schedule'!$E$30="Weekdays",WEEKDAY($A22,2)&lt;=5,$A22='Recurring Schedule'!$F$30))),25,""))))</f>
        <v/>
      </c>
      <c r="AA22">
        <f>IF('Recurring Schedule'!$C$31="","",IF('Recurring Schedule'!$F$31="","",IF(OR($A22&lt;'Recurring Schedule'!$F$31,$A22&gt;'Recurring Schedule'!$P$31),"",IF(IF('Recurring Schedule'!$N$31&gt;0,MOD($A22-'Recurring Schedule'!$F$31,'Recurring Schedule'!$N$31)=0,IF('Recurring Schedule'!$O$31&gt;0,AND(DAY($A22)=MIN(DAY('Recurring Schedule'!$F$31),DAY(EOMONTH($A22,0))),MOD((YEAR($A22)-YEAR('Recurring Schedule'!$F$31))*12+MONTH($A22)-MONTH('Recurring Schedule'!$F$31),'Recurring Schedule'!$O$31)=0),IF('Recurring Schedule'!$E$31="Weekdays",WEEKDAY($A22,2)&lt;=5,$A22='Recurring Schedule'!$F$31))),26,""))))</f>
        <v/>
      </c>
      <c r="AB22">
        <f>IF('Recurring Schedule'!$C$32="","",IF('Recurring Schedule'!$F$32="","",IF(OR($A22&lt;'Recurring Schedule'!$F$32,$A22&gt;'Recurring Schedule'!$P$32),"",IF(IF('Recurring Schedule'!$N$32&gt;0,MOD($A22-'Recurring Schedule'!$F$32,'Recurring Schedule'!$N$32)=0,IF('Recurring Schedule'!$O$32&gt;0,AND(DAY($A22)=MIN(DAY('Recurring Schedule'!$F$32),DAY(EOMONTH($A22,0))),MOD((YEAR($A22)-YEAR('Recurring Schedule'!$F$32))*12+MONTH($A22)-MONTH('Recurring Schedule'!$F$32),'Recurring Schedule'!$O$32)=0),IF('Recurring Schedule'!$E$32="Weekdays",WEEKDAY($A22,2)&lt;=5,$A22='Recurring Schedule'!$F$32))),27,""))))</f>
        <v/>
      </c>
      <c r="AC22">
        <f>IF('Recurring Schedule'!$C$33="","",IF('Recurring Schedule'!$F$33="","",IF(OR($A22&lt;'Recurring Schedule'!$F$33,$A22&gt;'Recurring Schedule'!$P$33),"",IF(IF('Recurring Schedule'!$N$33&gt;0,MOD($A22-'Recurring Schedule'!$F$33,'Recurring Schedule'!$N$33)=0,IF('Recurring Schedule'!$O$33&gt;0,AND(DAY($A22)=MIN(DAY('Recurring Schedule'!$F$33),DAY(EOMONTH($A22,0))),MOD((YEAR($A22)-YEAR('Recurring Schedule'!$F$33))*12+MONTH($A22)-MONTH('Recurring Schedule'!$F$33),'Recurring Schedule'!$O$33)=0),IF('Recurring Schedule'!$E$33="Weekdays",WEEKDAY($A22,2)&lt;=5,$A22='Recurring Schedule'!$F$33))),28,""))))</f>
        <v/>
      </c>
      <c r="AD22">
        <f>IF('Recurring Schedule'!$C$34="","",IF('Recurring Schedule'!$F$34="","",IF(OR($A22&lt;'Recurring Schedule'!$F$34,$A22&gt;'Recurring Schedule'!$P$34),"",IF(IF('Recurring Schedule'!$N$34&gt;0,MOD($A22-'Recurring Schedule'!$F$34,'Recurring Schedule'!$N$34)=0,IF('Recurring Schedule'!$O$34&gt;0,AND(DAY($A22)=MIN(DAY('Recurring Schedule'!$F$34),DAY(EOMONTH($A22,0))),MOD((YEAR($A22)-YEAR('Recurring Schedule'!$F$34))*12+MONTH($A22)-MONTH('Recurring Schedule'!$F$34),'Recurring Schedule'!$O$34)=0),IF('Recurring Schedule'!$E$34="Weekdays",WEEKDAY($A22,2)&lt;=5,$A22='Recurring Schedule'!$F$34))),29,""))))</f>
        <v/>
      </c>
      <c r="AE22">
        <f>IF('Recurring Schedule'!$C$35="","",IF('Recurring Schedule'!$F$35="","",IF(OR($A22&lt;'Recurring Schedule'!$F$35,$A22&gt;'Recurring Schedule'!$P$35),"",IF(IF('Recurring Schedule'!$N$35&gt;0,MOD($A22-'Recurring Schedule'!$F$35,'Recurring Schedule'!$N$35)=0,IF('Recurring Schedule'!$O$35&gt;0,AND(DAY($A22)=MIN(DAY('Recurring Schedule'!$F$35),DAY(EOMONTH($A22,0))),MOD((YEAR($A22)-YEAR('Recurring Schedule'!$F$35))*12+MONTH($A22)-MONTH('Recurring Schedule'!$F$35),'Recurring Schedule'!$O$35)=0),IF('Recurring Schedule'!$E$35="Weekdays",WEEKDAY($A22,2)&lt;=5,$A22='Recurring Schedule'!$F$35))),30,""))))</f>
        <v/>
      </c>
      <c r="AF22">
        <f>IF('Recurring Schedule'!$C$36="","",IF('Recurring Schedule'!$F$36="","",IF(OR($A22&lt;'Recurring Schedule'!$F$36,$A22&gt;'Recurring Schedule'!$P$36),"",IF(IF('Recurring Schedule'!$N$36&gt;0,MOD($A22-'Recurring Schedule'!$F$36,'Recurring Schedule'!$N$36)=0,IF('Recurring Schedule'!$O$36&gt;0,AND(DAY($A22)=MIN(DAY('Recurring Schedule'!$F$36),DAY(EOMONTH($A22,0))),MOD((YEAR($A22)-YEAR('Recurring Schedule'!$F$36))*12+MONTH($A22)-MONTH('Recurring Schedule'!$F$36),'Recurring Schedule'!$O$36)=0),IF('Recurring Schedule'!$E$36="Weekdays",WEEKDAY($A22,2)&lt;=5,$A22='Recurring Schedule'!$F$36))),31,""))))</f>
        <v/>
      </c>
      <c r="AG22">
        <f>IF('Recurring Schedule'!$C$37="","",IF('Recurring Schedule'!$F$37="","",IF(OR($A22&lt;'Recurring Schedule'!$F$37,$A22&gt;'Recurring Schedule'!$P$37),"",IF(IF('Recurring Schedule'!$N$37&gt;0,MOD($A22-'Recurring Schedule'!$F$37,'Recurring Schedule'!$N$37)=0,IF('Recurring Schedule'!$O$37&gt;0,AND(DAY($A22)=MIN(DAY('Recurring Schedule'!$F$37),DAY(EOMONTH($A22,0))),MOD((YEAR($A22)-YEAR('Recurring Schedule'!$F$37))*12+MONTH($A22)-MONTH('Recurring Schedule'!$F$37),'Recurring Schedule'!$O$37)=0),IF('Recurring Schedule'!$E$37="Weekdays",WEEKDAY($A22,2)&lt;=5,$A22='Recurring Schedule'!$F$37))),32,""))))</f>
        <v/>
      </c>
      <c r="AH22">
        <f>IF('Recurring Schedule'!$C$38="","",IF('Recurring Schedule'!$F$38="","",IF(OR($A22&lt;'Recurring Schedule'!$F$38,$A22&gt;'Recurring Schedule'!$P$38),"",IF(IF('Recurring Schedule'!$N$38&gt;0,MOD($A22-'Recurring Schedule'!$F$38,'Recurring Schedule'!$N$38)=0,IF('Recurring Schedule'!$O$38&gt;0,AND(DAY($A22)=MIN(DAY('Recurring Schedule'!$F$38),DAY(EOMONTH($A22,0))),MOD((YEAR($A22)-YEAR('Recurring Schedule'!$F$38))*12+MONTH($A22)-MONTH('Recurring Schedule'!$F$38),'Recurring Schedule'!$O$38)=0),IF('Recurring Schedule'!$E$38="Weekdays",WEEKDAY($A22,2)&lt;=5,$A22='Recurring Schedule'!$F$38))),33,""))))</f>
        <v/>
      </c>
      <c r="AI22">
        <f>IF('Recurring Schedule'!$C$39="","",IF('Recurring Schedule'!$F$39="","",IF(OR($A22&lt;'Recurring Schedule'!$F$39,$A22&gt;'Recurring Schedule'!$P$39),"",IF(IF('Recurring Schedule'!$N$39&gt;0,MOD($A22-'Recurring Schedule'!$F$39,'Recurring Schedule'!$N$39)=0,IF('Recurring Schedule'!$O$39&gt;0,AND(DAY($A22)=MIN(DAY('Recurring Schedule'!$F$39),DAY(EOMONTH($A22,0))),MOD((YEAR($A22)-YEAR('Recurring Schedule'!$F$39))*12+MONTH($A22)-MONTH('Recurring Schedule'!$F$39),'Recurring Schedule'!$O$39)=0),IF('Recurring Schedule'!$E$39="Weekdays",WEEKDAY($A22,2)&lt;=5,$A22='Recurring Schedule'!$F$39))),34,""))))</f>
        <v/>
      </c>
      <c r="AJ22">
        <f>IF('Recurring Schedule'!$C$40="","",IF('Recurring Schedule'!$F$40="","",IF(OR($A22&lt;'Recurring Schedule'!$F$40,$A22&gt;'Recurring Schedule'!$P$40),"",IF(IF('Recurring Schedule'!$N$40&gt;0,MOD($A22-'Recurring Schedule'!$F$40,'Recurring Schedule'!$N$40)=0,IF('Recurring Schedule'!$O$40&gt;0,AND(DAY($A22)=MIN(DAY('Recurring Schedule'!$F$40),DAY(EOMONTH($A22,0))),MOD((YEAR($A22)-YEAR('Recurring Schedule'!$F$40))*12+MONTH($A22)-MONTH('Recurring Schedule'!$F$40),'Recurring Schedule'!$O$40)=0),IF('Recurring Schedule'!$E$40="Weekdays",WEEKDAY($A22,2)&lt;=5,$A22='Recurring Schedule'!$F$40))),35,""))))</f>
        <v/>
      </c>
      <c r="AK22">
        <f>IF('Recurring Schedule'!$C$41="","",IF('Recurring Schedule'!$F$41="","",IF(OR($A22&lt;'Recurring Schedule'!$F$41,$A22&gt;'Recurring Schedule'!$P$41),"",IF(IF('Recurring Schedule'!$N$41&gt;0,MOD($A22-'Recurring Schedule'!$F$41,'Recurring Schedule'!$N$41)=0,IF('Recurring Schedule'!$O$41&gt;0,AND(DAY($A22)=MIN(DAY('Recurring Schedule'!$F$41),DAY(EOMONTH($A22,0))),MOD((YEAR($A22)-YEAR('Recurring Schedule'!$F$41))*12+MONTH($A22)-MONTH('Recurring Schedule'!$F$41),'Recurring Schedule'!$O$41)=0),IF('Recurring Schedule'!$E$41="Weekdays",WEEKDAY($A22,2)&lt;=5,$A22='Recurring Schedule'!$F$41))),36,""))))</f>
        <v/>
      </c>
      <c r="AL22">
        <f>IF('Recurring Schedule'!$C$42="","",IF('Recurring Schedule'!$F$42="","",IF(OR($A22&lt;'Recurring Schedule'!$F$42,$A22&gt;'Recurring Schedule'!$P$42),"",IF(IF('Recurring Schedule'!$N$42&gt;0,MOD($A22-'Recurring Schedule'!$F$42,'Recurring Schedule'!$N$42)=0,IF('Recurring Schedule'!$O$42&gt;0,AND(DAY($A22)=MIN(DAY('Recurring Schedule'!$F$42),DAY(EOMONTH($A22,0))),MOD((YEAR($A22)-YEAR('Recurring Schedule'!$F$42))*12+MONTH($A22)-MONTH('Recurring Schedule'!$F$42),'Recurring Schedule'!$O$42)=0),IF('Recurring Schedule'!$E$42="Weekdays",WEEKDAY($A22,2)&lt;=5,$A22='Recurring Schedule'!$F$42))),37,""))))</f>
        <v/>
      </c>
      <c r="AM22">
        <f>IF('Recurring Schedule'!$C$43="","",IF('Recurring Schedule'!$F$43="","",IF(OR($A22&lt;'Recurring Schedule'!$F$43,$A22&gt;'Recurring Schedule'!$P$43),"",IF(IF('Recurring Schedule'!$N$43&gt;0,MOD($A22-'Recurring Schedule'!$F$43,'Recurring Schedule'!$N$43)=0,IF('Recurring Schedule'!$O$43&gt;0,AND(DAY($A22)=MIN(DAY('Recurring Schedule'!$F$43),DAY(EOMONTH($A22,0))),MOD((YEAR($A22)-YEAR('Recurring Schedule'!$F$43))*12+MONTH($A22)-MONTH('Recurring Schedule'!$F$43),'Recurring Schedule'!$O$43)=0),IF('Recurring Schedule'!$E$43="Weekdays",WEEKDAY($A22,2)&lt;=5,$A22='Recurring Schedule'!$F$43))),38,""))))</f>
        <v/>
      </c>
      <c r="AN22">
        <f>IF('Recurring Schedule'!$C$44="","",IF('Recurring Schedule'!$F$44="","",IF(OR($A22&lt;'Recurring Schedule'!$F$44,$A22&gt;'Recurring Schedule'!$P$44),"",IF(IF('Recurring Schedule'!$N$44&gt;0,MOD($A22-'Recurring Schedule'!$F$44,'Recurring Schedule'!$N$44)=0,IF('Recurring Schedule'!$O$44&gt;0,AND(DAY($A22)=MIN(DAY('Recurring Schedule'!$F$44),DAY(EOMONTH($A22,0))),MOD((YEAR($A22)-YEAR('Recurring Schedule'!$F$44))*12+MONTH($A22)-MONTH('Recurring Schedule'!$F$44),'Recurring Schedule'!$O$44)=0),IF('Recurring Schedule'!$E$44="Weekdays",WEEKDAY($A22,2)&lt;=5,$A22='Recurring Schedule'!$F$44))),39,""))))</f>
        <v/>
      </c>
      <c r="AO22">
        <f>IF('Recurring Schedule'!$C$45="","",IF('Recurring Schedule'!$F$45="","",IF(OR($A22&lt;'Recurring Schedule'!$F$45,$A22&gt;'Recurring Schedule'!$P$45),"",IF(IF('Recurring Schedule'!$N$45&gt;0,MOD($A22-'Recurring Schedule'!$F$45,'Recurring Schedule'!$N$45)=0,IF('Recurring Schedule'!$O$45&gt;0,AND(DAY($A22)=MIN(DAY('Recurring Schedule'!$F$45),DAY(EOMONTH($A22,0))),MOD((YEAR($A22)-YEAR('Recurring Schedule'!$F$45))*12+MONTH($A22)-MONTH('Recurring Schedule'!$F$45),'Recurring Schedule'!$O$45)=0),IF('Recurring Schedule'!$E$45="Weekdays",WEEKDAY($A22,2)&lt;=5,$A22='Recurring Schedule'!$F$45))),40,""))))</f>
        <v/>
      </c>
      <c r="AP22">
        <f>COUNT(B22:AO22)</f>
        <v/>
      </c>
      <c r="AQ22">
        <f>AQ21+AP21</f>
        <v/>
      </c>
      <c r="AS22" t="inlineStr">
        <is>
          <t>R</t>
        </is>
      </c>
      <c r="AT22" t="n">
        <v>26</v>
      </c>
      <c r="AU22">
        <f>'Recurring Log'!C26&amp;""</f>
        <v/>
      </c>
      <c r="AV22">
        <f>'Recurring Log'!D26&amp;""</f>
        <v/>
      </c>
      <c r="AW22">
        <f>IF('Recurring Log'!E26="","",'Recurring Log'!E26)</f>
        <v/>
      </c>
      <c r="AX22">
        <f>IF('Recurring Log'!G26="","",'Recurring Log'!G26)</f>
        <v/>
      </c>
      <c r="AY22">
        <f>IF('Recurring Log'!H26="","",'Recurring Log'!H26)</f>
        <v/>
      </c>
      <c r="AZ22">
        <f>IF(AU22="","",IF('Recurring Log'!J26="","Not Started",'Recurring Log'!J26))</f>
        <v/>
      </c>
      <c r="BA22">
        <f>'Recurring Log'!L26&amp;""</f>
        <v/>
      </c>
      <c r="BB22">
        <f>'Recurring Log'!M26&amp;""</f>
        <v/>
      </c>
      <c r="BC22">
        <f>'Recurring Log'!N26&amp;""</f>
        <v/>
      </c>
      <c r="BD22">
        <f>'Recurring Log'!O26&amp;""</f>
        <v/>
      </c>
      <c r="BE22">
        <f>IF('Recurring Log'!K26="","",'Recurring Log'!K26)</f>
        <v/>
      </c>
      <c r="BF22">
        <f>IFERROR(MATCH(BA22,Setup!$L$6:$L$9,0),5)</f>
        <v/>
      </c>
      <c r="BG22">
        <f>IF(OR(AZ22="Done",AZ22="Cancelled"),1,0)</f>
        <v/>
      </c>
      <c r="BH22">
        <f>IF(AND(AU22&lt;&gt;"",ISNUMBER(AW22)),1,0)</f>
        <v/>
      </c>
      <c r="BI22">
        <f>IF(BH22=0,0,IF(AND(AW22&gt;='Tasks Filter'!$F$3,AW22&lt;='Tasks Filter'!$F$4,OR('Tasks Filter'!$I$3="",ISNUMBER(SEARCH('Tasks Filter'!$I$3,AU22))),OR('Tasks Filter'!$I$4="",BF22=IFERROR(MATCH('Tasks Filter'!$I$4,Setup!$L$6:$L$9,0),0)),OR('Tasks Filter'!$I$5="Both",AND('Tasks Filter'!$I$5="Yes",BB22="✓"),AND('Tasks Filter'!$I$5="No",BB22&lt;&gt;"✓")),OR('Tasks Filter'!$L$3="",AV22='Tasks Filter'!$L$3),OR('Tasks Filter'!$L$4="",AZ22='Tasks Filter'!$L$4),OR('Tasks Filter'!$L$5="",BC22='Tasks Filter'!$L$5),OR('Tasks Filter'!$O$3="",BD22='Tasks Filter'!$O$3),OR('Tasks Filter'!$O$4="Yes",BG22=0)),1,0))</f>
        <v/>
      </c>
      <c r="BJ22">
        <f>IF(BH22=0,"",IF('Tasks Filter'!$F$6="Descending",-1,1)*CHOOSE(MATCH('Tasks Filter'!$F$5,Lists!$G$2:$G$6,0),AW22,BF22,IFERROR(MATCH(AV22,Setup!$F$6:$F$15,0),99),IFERROR(MATCH(BC22,Setup!$H$6:$H$15,0),99),IFERROR(MATCH(AZ22,Setup!$J$6:$J$11,0),99))*1E+9+(AW22-40000)*10000+21)</f>
        <v/>
      </c>
      <c r="BK22">
        <f>IF(BI22=1,BJ22,"")</f>
        <v/>
      </c>
      <c r="BL22">
        <f>IF(AND(BH22=1,BG22=0,N(AW22)&lt;Setup!$D$7),(AW22-40000)*10000+21,"")</f>
        <v/>
      </c>
      <c r="BM22">
        <f>IF(AND(BH22=1,AZ22&lt;&gt;"Cancelled",N(AW22)&gt;=Dashboard!$AB$3,N(AW22)&lt;=Dashboard!$AB$3+6),(AW22-40000)*100000+BF22*10000+21,"")</f>
        <v/>
      </c>
      <c r="BN22">
        <f>IF(AND(BH22=1,AZ22&lt;&gt;"Cancelled"),BF22*10000+21,"")</f>
        <v/>
      </c>
    </row>
    <row r="23">
      <c r="A23">
        <f>Setup!$D$5+21</f>
        <v/>
      </c>
      <c r="B23">
        <f>IF('Recurring Schedule'!$C$6="","",IF('Recurring Schedule'!$F$6="","",IF(OR($A23&lt;'Recurring Schedule'!$F$6,$A23&gt;'Recurring Schedule'!$P$6),"",IF(IF('Recurring Schedule'!$N$6&gt;0,MOD($A23-'Recurring Schedule'!$F$6,'Recurring Schedule'!$N$6)=0,IF('Recurring Schedule'!$O$6&gt;0,AND(DAY($A23)=MIN(DAY('Recurring Schedule'!$F$6),DAY(EOMONTH($A23,0))),MOD((YEAR($A23)-YEAR('Recurring Schedule'!$F$6))*12+MONTH($A23)-MONTH('Recurring Schedule'!$F$6),'Recurring Schedule'!$O$6)=0),IF('Recurring Schedule'!$E$6="Weekdays",WEEKDAY($A23,2)&lt;=5,$A23='Recurring Schedule'!$F$6))),1,""))))</f>
        <v/>
      </c>
      <c r="C23">
        <f>IF('Recurring Schedule'!$C$7="","",IF('Recurring Schedule'!$F$7="","",IF(OR($A23&lt;'Recurring Schedule'!$F$7,$A23&gt;'Recurring Schedule'!$P$7),"",IF(IF('Recurring Schedule'!$N$7&gt;0,MOD($A23-'Recurring Schedule'!$F$7,'Recurring Schedule'!$N$7)=0,IF('Recurring Schedule'!$O$7&gt;0,AND(DAY($A23)=MIN(DAY('Recurring Schedule'!$F$7),DAY(EOMONTH($A23,0))),MOD((YEAR($A23)-YEAR('Recurring Schedule'!$F$7))*12+MONTH($A23)-MONTH('Recurring Schedule'!$F$7),'Recurring Schedule'!$O$7)=0),IF('Recurring Schedule'!$E$7="Weekdays",WEEKDAY($A23,2)&lt;=5,$A23='Recurring Schedule'!$F$7))),2,""))))</f>
        <v/>
      </c>
      <c r="D23">
        <f>IF('Recurring Schedule'!$C$8="","",IF('Recurring Schedule'!$F$8="","",IF(OR($A23&lt;'Recurring Schedule'!$F$8,$A23&gt;'Recurring Schedule'!$P$8),"",IF(IF('Recurring Schedule'!$N$8&gt;0,MOD($A23-'Recurring Schedule'!$F$8,'Recurring Schedule'!$N$8)=0,IF('Recurring Schedule'!$O$8&gt;0,AND(DAY($A23)=MIN(DAY('Recurring Schedule'!$F$8),DAY(EOMONTH($A23,0))),MOD((YEAR($A23)-YEAR('Recurring Schedule'!$F$8))*12+MONTH($A23)-MONTH('Recurring Schedule'!$F$8),'Recurring Schedule'!$O$8)=0),IF('Recurring Schedule'!$E$8="Weekdays",WEEKDAY($A23,2)&lt;=5,$A23='Recurring Schedule'!$F$8))),3,""))))</f>
        <v/>
      </c>
      <c r="E23">
        <f>IF('Recurring Schedule'!$C$9="","",IF('Recurring Schedule'!$F$9="","",IF(OR($A23&lt;'Recurring Schedule'!$F$9,$A23&gt;'Recurring Schedule'!$P$9),"",IF(IF('Recurring Schedule'!$N$9&gt;0,MOD($A23-'Recurring Schedule'!$F$9,'Recurring Schedule'!$N$9)=0,IF('Recurring Schedule'!$O$9&gt;0,AND(DAY($A23)=MIN(DAY('Recurring Schedule'!$F$9),DAY(EOMONTH($A23,0))),MOD((YEAR($A23)-YEAR('Recurring Schedule'!$F$9))*12+MONTH($A23)-MONTH('Recurring Schedule'!$F$9),'Recurring Schedule'!$O$9)=0),IF('Recurring Schedule'!$E$9="Weekdays",WEEKDAY($A23,2)&lt;=5,$A23='Recurring Schedule'!$F$9))),4,""))))</f>
        <v/>
      </c>
      <c r="F23">
        <f>IF('Recurring Schedule'!$C$10="","",IF('Recurring Schedule'!$F$10="","",IF(OR($A23&lt;'Recurring Schedule'!$F$10,$A23&gt;'Recurring Schedule'!$P$10),"",IF(IF('Recurring Schedule'!$N$10&gt;0,MOD($A23-'Recurring Schedule'!$F$10,'Recurring Schedule'!$N$10)=0,IF('Recurring Schedule'!$O$10&gt;0,AND(DAY($A23)=MIN(DAY('Recurring Schedule'!$F$10),DAY(EOMONTH($A23,0))),MOD((YEAR($A23)-YEAR('Recurring Schedule'!$F$10))*12+MONTH($A23)-MONTH('Recurring Schedule'!$F$10),'Recurring Schedule'!$O$10)=0),IF('Recurring Schedule'!$E$10="Weekdays",WEEKDAY($A23,2)&lt;=5,$A23='Recurring Schedule'!$F$10))),5,""))))</f>
        <v/>
      </c>
      <c r="G23">
        <f>IF('Recurring Schedule'!$C$11="","",IF('Recurring Schedule'!$F$11="","",IF(OR($A23&lt;'Recurring Schedule'!$F$11,$A23&gt;'Recurring Schedule'!$P$11),"",IF(IF('Recurring Schedule'!$N$11&gt;0,MOD($A23-'Recurring Schedule'!$F$11,'Recurring Schedule'!$N$11)=0,IF('Recurring Schedule'!$O$11&gt;0,AND(DAY($A23)=MIN(DAY('Recurring Schedule'!$F$11),DAY(EOMONTH($A23,0))),MOD((YEAR($A23)-YEAR('Recurring Schedule'!$F$11))*12+MONTH($A23)-MONTH('Recurring Schedule'!$F$11),'Recurring Schedule'!$O$11)=0),IF('Recurring Schedule'!$E$11="Weekdays",WEEKDAY($A23,2)&lt;=5,$A23='Recurring Schedule'!$F$11))),6,""))))</f>
        <v/>
      </c>
      <c r="H23">
        <f>IF('Recurring Schedule'!$C$12="","",IF('Recurring Schedule'!$F$12="","",IF(OR($A23&lt;'Recurring Schedule'!$F$12,$A23&gt;'Recurring Schedule'!$P$12),"",IF(IF('Recurring Schedule'!$N$12&gt;0,MOD($A23-'Recurring Schedule'!$F$12,'Recurring Schedule'!$N$12)=0,IF('Recurring Schedule'!$O$12&gt;0,AND(DAY($A23)=MIN(DAY('Recurring Schedule'!$F$12),DAY(EOMONTH($A23,0))),MOD((YEAR($A23)-YEAR('Recurring Schedule'!$F$12))*12+MONTH($A23)-MONTH('Recurring Schedule'!$F$12),'Recurring Schedule'!$O$12)=0),IF('Recurring Schedule'!$E$12="Weekdays",WEEKDAY($A23,2)&lt;=5,$A23='Recurring Schedule'!$F$12))),7,""))))</f>
        <v/>
      </c>
      <c r="I23">
        <f>IF('Recurring Schedule'!$C$13="","",IF('Recurring Schedule'!$F$13="","",IF(OR($A23&lt;'Recurring Schedule'!$F$13,$A23&gt;'Recurring Schedule'!$P$13),"",IF(IF('Recurring Schedule'!$N$13&gt;0,MOD($A23-'Recurring Schedule'!$F$13,'Recurring Schedule'!$N$13)=0,IF('Recurring Schedule'!$O$13&gt;0,AND(DAY($A23)=MIN(DAY('Recurring Schedule'!$F$13),DAY(EOMONTH($A23,0))),MOD((YEAR($A23)-YEAR('Recurring Schedule'!$F$13))*12+MONTH($A23)-MONTH('Recurring Schedule'!$F$13),'Recurring Schedule'!$O$13)=0),IF('Recurring Schedule'!$E$13="Weekdays",WEEKDAY($A23,2)&lt;=5,$A23='Recurring Schedule'!$F$13))),8,""))))</f>
        <v/>
      </c>
      <c r="J23">
        <f>IF('Recurring Schedule'!$C$14="","",IF('Recurring Schedule'!$F$14="","",IF(OR($A23&lt;'Recurring Schedule'!$F$14,$A23&gt;'Recurring Schedule'!$P$14),"",IF(IF('Recurring Schedule'!$N$14&gt;0,MOD($A23-'Recurring Schedule'!$F$14,'Recurring Schedule'!$N$14)=0,IF('Recurring Schedule'!$O$14&gt;0,AND(DAY($A23)=MIN(DAY('Recurring Schedule'!$F$14),DAY(EOMONTH($A23,0))),MOD((YEAR($A23)-YEAR('Recurring Schedule'!$F$14))*12+MONTH($A23)-MONTH('Recurring Schedule'!$F$14),'Recurring Schedule'!$O$14)=0),IF('Recurring Schedule'!$E$14="Weekdays",WEEKDAY($A23,2)&lt;=5,$A23='Recurring Schedule'!$F$14))),9,""))))</f>
        <v/>
      </c>
      <c r="K23">
        <f>IF('Recurring Schedule'!$C$15="","",IF('Recurring Schedule'!$F$15="","",IF(OR($A23&lt;'Recurring Schedule'!$F$15,$A23&gt;'Recurring Schedule'!$P$15),"",IF(IF('Recurring Schedule'!$N$15&gt;0,MOD($A23-'Recurring Schedule'!$F$15,'Recurring Schedule'!$N$15)=0,IF('Recurring Schedule'!$O$15&gt;0,AND(DAY($A23)=MIN(DAY('Recurring Schedule'!$F$15),DAY(EOMONTH($A23,0))),MOD((YEAR($A23)-YEAR('Recurring Schedule'!$F$15))*12+MONTH($A23)-MONTH('Recurring Schedule'!$F$15),'Recurring Schedule'!$O$15)=0),IF('Recurring Schedule'!$E$15="Weekdays",WEEKDAY($A23,2)&lt;=5,$A23='Recurring Schedule'!$F$15))),10,""))))</f>
        <v/>
      </c>
      <c r="L23">
        <f>IF('Recurring Schedule'!$C$16="","",IF('Recurring Schedule'!$F$16="","",IF(OR($A23&lt;'Recurring Schedule'!$F$16,$A23&gt;'Recurring Schedule'!$P$16),"",IF(IF('Recurring Schedule'!$N$16&gt;0,MOD($A23-'Recurring Schedule'!$F$16,'Recurring Schedule'!$N$16)=0,IF('Recurring Schedule'!$O$16&gt;0,AND(DAY($A23)=MIN(DAY('Recurring Schedule'!$F$16),DAY(EOMONTH($A23,0))),MOD((YEAR($A23)-YEAR('Recurring Schedule'!$F$16))*12+MONTH($A23)-MONTH('Recurring Schedule'!$F$16),'Recurring Schedule'!$O$16)=0),IF('Recurring Schedule'!$E$16="Weekdays",WEEKDAY($A23,2)&lt;=5,$A23='Recurring Schedule'!$F$16))),11,""))))</f>
        <v/>
      </c>
      <c r="M23">
        <f>IF('Recurring Schedule'!$C$17="","",IF('Recurring Schedule'!$F$17="","",IF(OR($A23&lt;'Recurring Schedule'!$F$17,$A23&gt;'Recurring Schedule'!$P$17),"",IF(IF('Recurring Schedule'!$N$17&gt;0,MOD($A23-'Recurring Schedule'!$F$17,'Recurring Schedule'!$N$17)=0,IF('Recurring Schedule'!$O$17&gt;0,AND(DAY($A23)=MIN(DAY('Recurring Schedule'!$F$17),DAY(EOMONTH($A23,0))),MOD((YEAR($A23)-YEAR('Recurring Schedule'!$F$17))*12+MONTH($A23)-MONTH('Recurring Schedule'!$F$17),'Recurring Schedule'!$O$17)=0),IF('Recurring Schedule'!$E$17="Weekdays",WEEKDAY($A23,2)&lt;=5,$A23='Recurring Schedule'!$F$17))),12,""))))</f>
        <v/>
      </c>
      <c r="N23">
        <f>IF('Recurring Schedule'!$C$18="","",IF('Recurring Schedule'!$F$18="","",IF(OR($A23&lt;'Recurring Schedule'!$F$18,$A23&gt;'Recurring Schedule'!$P$18),"",IF(IF('Recurring Schedule'!$N$18&gt;0,MOD($A23-'Recurring Schedule'!$F$18,'Recurring Schedule'!$N$18)=0,IF('Recurring Schedule'!$O$18&gt;0,AND(DAY($A23)=MIN(DAY('Recurring Schedule'!$F$18),DAY(EOMONTH($A23,0))),MOD((YEAR($A23)-YEAR('Recurring Schedule'!$F$18))*12+MONTH($A23)-MONTH('Recurring Schedule'!$F$18),'Recurring Schedule'!$O$18)=0),IF('Recurring Schedule'!$E$18="Weekdays",WEEKDAY($A23,2)&lt;=5,$A23='Recurring Schedule'!$F$18))),13,""))))</f>
        <v/>
      </c>
      <c r="O23">
        <f>IF('Recurring Schedule'!$C$19="","",IF('Recurring Schedule'!$F$19="","",IF(OR($A23&lt;'Recurring Schedule'!$F$19,$A23&gt;'Recurring Schedule'!$P$19),"",IF(IF('Recurring Schedule'!$N$19&gt;0,MOD($A23-'Recurring Schedule'!$F$19,'Recurring Schedule'!$N$19)=0,IF('Recurring Schedule'!$O$19&gt;0,AND(DAY($A23)=MIN(DAY('Recurring Schedule'!$F$19),DAY(EOMONTH($A23,0))),MOD((YEAR($A23)-YEAR('Recurring Schedule'!$F$19))*12+MONTH($A23)-MONTH('Recurring Schedule'!$F$19),'Recurring Schedule'!$O$19)=0),IF('Recurring Schedule'!$E$19="Weekdays",WEEKDAY($A23,2)&lt;=5,$A23='Recurring Schedule'!$F$19))),14,""))))</f>
        <v/>
      </c>
      <c r="P23">
        <f>IF('Recurring Schedule'!$C$20="","",IF('Recurring Schedule'!$F$20="","",IF(OR($A23&lt;'Recurring Schedule'!$F$20,$A23&gt;'Recurring Schedule'!$P$20),"",IF(IF('Recurring Schedule'!$N$20&gt;0,MOD($A23-'Recurring Schedule'!$F$20,'Recurring Schedule'!$N$20)=0,IF('Recurring Schedule'!$O$20&gt;0,AND(DAY($A23)=MIN(DAY('Recurring Schedule'!$F$20),DAY(EOMONTH($A23,0))),MOD((YEAR($A23)-YEAR('Recurring Schedule'!$F$20))*12+MONTH($A23)-MONTH('Recurring Schedule'!$F$20),'Recurring Schedule'!$O$20)=0),IF('Recurring Schedule'!$E$20="Weekdays",WEEKDAY($A23,2)&lt;=5,$A23='Recurring Schedule'!$F$20))),15,""))))</f>
        <v/>
      </c>
      <c r="Q23">
        <f>IF('Recurring Schedule'!$C$21="","",IF('Recurring Schedule'!$F$21="","",IF(OR($A23&lt;'Recurring Schedule'!$F$21,$A23&gt;'Recurring Schedule'!$P$21),"",IF(IF('Recurring Schedule'!$N$21&gt;0,MOD($A23-'Recurring Schedule'!$F$21,'Recurring Schedule'!$N$21)=0,IF('Recurring Schedule'!$O$21&gt;0,AND(DAY($A23)=MIN(DAY('Recurring Schedule'!$F$21),DAY(EOMONTH($A23,0))),MOD((YEAR($A23)-YEAR('Recurring Schedule'!$F$21))*12+MONTH($A23)-MONTH('Recurring Schedule'!$F$21),'Recurring Schedule'!$O$21)=0),IF('Recurring Schedule'!$E$21="Weekdays",WEEKDAY($A23,2)&lt;=5,$A23='Recurring Schedule'!$F$21))),16,""))))</f>
        <v/>
      </c>
      <c r="R23">
        <f>IF('Recurring Schedule'!$C$22="","",IF('Recurring Schedule'!$F$22="","",IF(OR($A23&lt;'Recurring Schedule'!$F$22,$A23&gt;'Recurring Schedule'!$P$22),"",IF(IF('Recurring Schedule'!$N$22&gt;0,MOD($A23-'Recurring Schedule'!$F$22,'Recurring Schedule'!$N$22)=0,IF('Recurring Schedule'!$O$22&gt;0,AND(DAY($A23)=MIN(DAY('Recurring Schedule'!$F$22),DAY(EOMONTH($A23,0))),MOD((YEAR($A23)-YEAR('Recurring Schedule'!$F$22))*12+MONTH($A23)-MONTH('Recurring Schedule'!$F$22),'Recurring Schedule'!$O$22)=0),IF('Recurring Schedule'!$E$22="Weekdays",WEEKDAY($A23,2)&lt;=5,$A23='Recurring Schedule'!$F$22))),17,""))))</f>
        <v/>
      </c>
      <c r="S23">
        <f>IF('Recurring Schedule'!$C$23="","",IF('Recurring Schedule'!$F$23="","",IF(OR($A23&lt;'Recurring Schedule'!$F$23,$A23&gt;'Recurring Schedule'!$P$23),"",IF(IF('Recurring Schedule'!$N$23&gt;0,MOD($A23-'Recurring Schedule'!$F$23,'Recurring Schedule'!$N$23)=0,IF('Recurring Schedule'!$O$23&gt;0,AND(DAY($A23)=MIN(DAY('Recurring Schedule'!$F$23),DAY(EOMONTH($A23,0))),MOD((YEAR($A23)-YEAR('Recurring Schedule'!$F$23))*12+MONTH($A23)-MONTH('Recurring Schedule'!$F$23),'Recurring Schedule'!$O$23)=0),IF('Recurring Schedule'!$E$23="Weekdays",WEEKDAY($A23,2)&lt;=5,$A23='Recurring Schedule'!$F$23))),18,""))))</f>
        <v/>
      </c>
      <c r="T23">
        <f>IF('Recurring Schedule'!$C$24="","",IF('Recurring Schedule'!$F$24="","",IF(OR($A23&lt;'Recurring Schedule'!$F$24,$A23&gt;'Recurring Schedule'!$P$24),"",IF(IF('Recurring Schedule'!$N$24&gt;0,MOD($A23-'Recurring Schedule'!$F$24,'Recurring Schedule'!$N$24)=0,IF('Recurring Schedule'!$O$24&gt;0,AND(DAY($A23)=MIN(DAY('Recurring Schedule'!$F$24),DAY(EOMONTH($A23,0))),MOD((YEAR($A23)-YEAR('Recurring Schedule'!$F$24))*12+MONTH($A23)-MONTH('Recurring Schedule'!$F$24),'Recurring Schedule'!$O$24)=0),IF('Recurring Schedule'!$E$24="Weekdays",WEEKDAY($A23,2)&lt;=5,$A23='Recurring Schedule'!$F$24))),19,""))))</f>
        <v/>
      </c>
      <c r="U23">
        <f>IF('Recurring Schedule'!$C$25="","",IF('Recurring Schedule'!$F$25="","",IF(OR($A23&lt;'Recurring Schedule'!$F$25,$A23&gt;'Recurring Schedule'!$P$25),"",IF(IF('Recurring Schedule'!$N$25&gt;0,MOD($A23-'Recurring Schedule'!$F$25,'Recurring Schedule'!$N$25)=0,IF('Recurring Schedule'!$O$25&gt;0,AND(DAY($A23)=MIN(DAY('Recurring Schedule'!$F$25),DAY(EOMONTH($A23,0))),MOD((YEAR($A23)-YEAR('Recurring Schedule'!$F$25))*12+MONTH($A23)-MONTH('Recurring Schedule'!$F$25),'Recurring Schedule'!$O$25)=0),IF('Recurring Schedule'!$E$25="Weekdays",WEEKDAY($A23,2)&lt;=5,$A23='Recurring Schedule'!$F$25))),20,""))))</f>
        <v/>
      </c>
      <c r="V23">
        <f>IF('Recurring Schedule'!$C$26="","",IF('Recurring Schedule'!$F$26="","",IF(OR($A23&lt;'Recurring Schedule'!$F$26,$A23&gt;'Recurring Schedule'!$P$26),"",IF(IF('Recurring Schedule'!$N$26&gt;0,MOD($A23-'Recurring Schedule'!$F$26,'Recurring Schedule'!$N$26)=0,IF('Recurring Schedule'!$O$26&gt;0,AND(DAY($A23)=MIN(DAY('Recurring Schedule'!$F$26),DAY(EOMONTH($A23,0))),MOD((YEAR($A23)-YEAR('Recurring Schedule'!$F$26))*12+MONTH($A23)-MONTH('Recurring Schedule'!$F$26),'Recurring Schedule'!$O$26)=0),IF('Recurring Schedule'!$E$26="Weekdays",WEEKDAY($A23,2)&lt;=5,$A23='Recurring Schedule'!$F$26))),21,""))))</f>
        <v/>
      </c>
      <c r="W23">
        <f>IF('Recurring Schedule'!$C$27="","",IF('Recurring Schedule'!$F$27="","",IF(OR($A23&lt;'Recurring Schedule'!$F$27,$A23&gt;'Recurring Schedule'!$P$27),"",IF(IF('Recurring Schedule'!$N$27&gt;0,MOD($A23-'Recurring Schedule'!$F$27,'Recurring Schedule'!$N$27)=0,IF('Recurring Schedule'!$O$27&gt;0,AND(DAY($A23)=MIN(DAY('Recurring Schedule'!$F$27),DAY(EOMONTH($A23,0))),MOD((YEAR($A23)-YEAR('Recurring Schedule'!$F$27))*12+MONTH($A23)-MONTH('Recurring Schedule'!$F$27),'Recurring Schedule'!$O$27)=0),IF('Recurring Schedule'!$E$27="Weekdays",WEEKDAY($A23,2)&lt;=5,$A23='Recurring Schedule'!$F$27))),22,""))))</f>
        <v/>
      </c>
      <c r="X23">
        <f>IF('Recurring Schedule'!$C$28="","",IF('Recurring Schedule'!$F$28="","",IF(OR($A23&lt;'Recurring Schedule'!$F$28,$A23&gt;'Recurring Schedule'!$P$28),"",IF(IF('Recurring Schedule'!$N$28&gt;0,MOD($A23-'Recurring Schedule'!$F$28,'Recurring Schedule'!$N$28)=0,IF('Recurring Schedule'!$O$28&gt;0,AND(DAY($A23)=MIN(DAY('Recurring Schedule'!$F$28),DAY(EOMONTH($A23,0))),MOD((YEAR($A23)-YEAR('Recurring Schedule'!$F$28))*12+MONTH($A23)-MONTH('Recurring Schedule'!$F$28),'Recurring Schedule'!$O$28)=0),IF('Recurring Schedule'!$E$28="Weekdays",WEEKDAY($A23,2)&lt;=5,$A23='Recurring Schedule'!$F$28))),23,""))))</f>
        <v/>
      </c>
      <c r="Y23">
        <f>IF('Recurring Schedule'!$C$29="","",IF('Recurring Schedule'!$F$29="","",IF(OR($A23&lt;'Recurring Schedule'!$F$29,$A23&gt;'Recurring Schedule'!$P$29),"",IF(IF('Recurring Schedule'!$N$29&gt;0,MOD($A23-'Recurring Schedule'!$F$29,'Recurring Schedule'!$N$29)=0,IF('Recurring Schedule'!$O$29&gt;0,AND(DAY($A23)=MIN(DAY('Recurring Schedule'!$F$29),DAY(EOMONTH($A23,0))),MOD((YEAR($A23)-YEAR('Recurring Schedule'!$F$29))*12+MONTH($A23)-MONTH('Recurring Schedule'!$F$29),'Recurring Schedule'!$O$29)=0),IF('Recurring Schedule'!$E$29="Weekdays",WEEKDAY($A23,2)&lt;=5,$A23='Recurring Schedule'!$F$29))),24,""))))</f>
        <v/>
      </c>
      <c r="Z23">
        <f>IF('Recurring Schedule'!$C$30="","",IF('Recurring Schedule'!$F$30="","",IF(OR($A23&lt;'Recurring Schedule'!$F$30,$A23&gt;'Recurring Schedule'!$P$30),"",IF(IF('Recurring Schedule'!$N$30&gt;0,MOD($A23-'Recurring Schedule'!$F$30,'Recurring Schedule'!$N$30)=0,IF('Recurring Schedule'!$O$30&gt;0,AND(DAY($A23)=MIN(DAY('Recurring Schedule'!$F$30),DAY(EOMONTH($A23,0))),MOD((YEAR($A23)-YEAR('Recurring Schedule'!$F$30))*12+MONTH($A23)-MONTH('Recurring Schedule'!$F$30),'Recurring Schedule'!$O$30)=0),IF('Recurring Schedule'!$E$30="Weekdays",WEEKDAY($A23,2)&lt;=5,$A23='Recurring Schedule'!$F$30))),25,""))))</f>
        <v/>
      </c>
      <c r="AA23">
        <f>IF('Recurring Schedule'!$C$31="","",IF('Recurring Schedule'!$F$31="","",IF(OR($A23&lt;'Recurring Schedule'!$F$31,$A23&gt;'Recurring Schedule'!$P$31),"",IF(IF('Recurring Schedule'!$N$31&gt;0,MOD($A23-'Recurring Schedule'!$F$31,'Recurring Schedule'!$N$31)=0,IF('Recurring Schedule'!$O$31&gt;0,AND(DAY($A23)=MIN(DAY('Recurring Schedule'!$F$31),DAY(EOMONTH($A23,0))),MOD((YEAR($A23)-YEAR('Recurring Schedule'!$F$31))*12+MONTH($A23)-MONTH('Recurring Schedule'!$F$31),'Recurring Schedule'!$O$31)=0),IF('Recurring Schedule'!$E$31="Weekdays",WEEKDAY($A23,2)&lt;=5,$A23='Recurring Schedule'!$F$31))),26,""))))</f>
        <v/>
      </c>
      <c r="AB23">
        <f>IF('Recurring Schedule'!$C$32="","",IF('Recurring Schedule'!$F$32="","",IF(OR($A23&lt;'Recurring Schedule'!$F$32,$A23&gt;'Recurring Schedule'!$P$32),"",IF(IF('Recurring Schedule'!$N$32&gt;0,MOD($A23-'Recurring Schedule'!$F$32,'Recurring Schedule'!$N$32)=0,IF('Recurring Schedule'!$O$32&gt;0,AND(DAY($A23)=MIN(DAY('Recurring Schedule'!$F$32),DAY(EOMONTH($A23,0))),MOD((YEAR($A23)-YEAR('Recurring Schedule'!$F$32))*12+MONTH($A23)-MONTH('Recurring Schedule'!$F$32),'Recurring Schedule'!$O$32)=0),IF('Recurring Schedule'!$E$32="Weekdays",WEEKDAY($A23,2)&lt;=5,$A23='Recurring Schedule'!$F$32))),27,""))))</f>
        <v/>
      </c>
      <c r="AC23">
        <f>IF('Recurring Schedule'!$C$33="","",IF('Recurring Schedule'!$F$33="","",IF(OR($A23&lt;'Recurring Schedule'!$F$33,$A23&gt;'Recurring Schedule'!$P$33),"",IF(IF('Recurring Schedule'!$N$33&gt;0,MOD($A23-'Recurring Schedule'!$F$33,'Recurring Schedule'!$N$33)=0,IF('Recurring Schedule'!$O$33&gt;0,AND(DAY($A23)=MIN(DAY('Recurring Schedule'!$F$33),DAY(EOMONTH($A23,0))),MOD((YEAR($A23)-YEAR('Recurring Schedule'!$F$33))*12+MONTH($A23)-MONTH('Recurring Schedule'!$F$33),'Recurring Schedule'!$O$33)=0),IF('Recurring Schedule'!$E$33="Weekdays",WEEKDAY($A23,2)&lt;=5,$A23='Recurring Schedule'!$F$33))),28,""))))</f>
        <v/>
      </c>
      <c r="AD23">
        <f>IF('Recurring Schedule'!$C$34="","",IF('Recurring Schedule'!$F$34="","",IF(OR($A23&lt;'Recurring Schedule'!$F$34,$A23&gt;'Recurring Schedule'!$P$34),"",IF(IF('Recurring Schedule'!$N$34&gt;0,MOD($A23-'Recurring Schedule'!$F$34,'Recurring Schedule'!$N$34)=0,IF('Recurring Schedule'!$O$34&gt;0,AND(DAY($A23)=MIN(DAY('Recurring Schedule'!$F$34),DAY(EOMONTH($A23,0))),MOD((YEAR($A23)-YEAR('Recurring Schedule'!$F$34))*12+MONTH($A23)-MONTH('Recurring Schedule'!$F$34),'Recurring Schedule'!$O$34)=0),IF('Recurring Schedule'!$E$34="Weekdays",WEEKDAY($A23,2)&lt;=5,$A23='Recurring Schedule'!$F$34))),29,""))))</f>
        <v/>
      </c>
      <c r="AE23">
        <f>IF('Recurring Schedule'!$C$35="","",IF('Recurring Schedule'!$F$35="","",IF(OR($A23&lt;'Recurring Schedule'!$F$35,$A23&gt;'Recurring Schedule'!$P$35),"",IF(IF('Recurring Schedule'!$N$35&gt;0,MOD($A23-'Recurring Schedule'!$F$35,'Recurring Schedule'!$N$35)=0,IF('Recurring Schedule'!$O$35&gt;0,AND(DAY($A23)=MIN(DAY('Recurring Schedule'!$F$35),DAY(EOMONTH($A23,0))),MOD((YEAR($A23)-YEAR('Recurring Schedule'!$F$35))*12+MONTH($A23)-MONTH('Recurring Schedule'!$F$35),'Recurring Schedule'!$O$35)=0),IF('Recurring Schedule'!$E$35="Weekdays",WEEKDAY($A23,2)&lt;=5,$A23='Recurring Schedule'!$F$35))),30,""))))</f>
        <v/>
      </c>
      <c r="AF23">
        <f>IF('Recurring Schedule'!$C$36="","",IF('Recurring Schedule'!$F$36="","",IF(OR($A23&lt;'Recurring Schedule'!$F$36,$A23&gt;'Recurring Schedule'!$P$36),"",IF(IF('Recurring Schedule'!$N$36&gt;0,MOD($A23-'Recurring Schedule'!$F$36,'Recurring Schedule'!$N$36)=0,IF('Recurring Schedule'!$O$36&gt;0,AND(DAY($A23)=MIN(DAY('Recurring Schedule'!$F$36),DAY(EOMONTH($A23,0))),MOD((YEAR($A23)-YEAR('Recurring Schedule'!$F$36))*12+MONTH($A23)-MONTH('Recurring Schedule'!$F$36),'Recurring Schedule'!$O$36)=0),IF('Recurring Schedule'!$E$36="Weekdays",WEEKDAY($A23,2)&lt;=5,$A23='Recurring Schedule'!$F$36))),31,""))))</f>
        <v/>
      </c>
      <c r="AG23">
        <f>IF('Recurring Schedule'!$C$37="","",IF('Recurring Schedule'!$F$37="","",IF(OR($A23&lt;'Recurring Schedule'!$F$37,$A23&gt;'Recurring Schedule'!$P$37),"",IF(IF('Recurring Schedule'!$N$37&gt;0,MOD($A23-'Recurring Schedule'!$F$37,'Recurring Schedule'!$N$37)=0,IF('Recurring Schedule'!$O$37&gt;0,AND(DAY($A23)=MIN(DAY('Recurring Schedule'!$F$37),DAY(EOMONTH($A23,0))),MOD((YEAR($A23)-YEAR('Recurring Schedule'!$F$37))*12+MONTH($A23)-MONTH('Recurring Schedule'!$F$37),'Recurring Schedule'!$O$37)=0),IF('Recurring Schedule'!$E$37="Weekdays",WEEKDAY($A23,2)&lt;=5,$A23='Recurring Schedule'!$F$37))),32,""))))</f>
        <v/>
      </c>
      <c r="AH23">
        <f>IF('Recurring Schedule'!$C$38="","",IF('Recurring Schedule'!$F$38="","",IF(OR($A23&lt;'Recurring Schedule'!$F$38,$A23&gt;'Recurring Schedule'!$P$38),"",IF(IF('Recurring Schedule'!$N$38&gt;0,MOD($A23-'Recurring Schedule'!$F$38,'Recurring Schedule'!$N$38)=0,IF('Recurring Schedule'!$O$38&gt;0,AND(DAY($A23)=MIN(DAY('Recurring Schedule'!$F$38),DAY(EOMONTH($A23,0))),MOD((YEAR($A23)-YEAR('Recurring Schedule'!$F$38))*12+MONTH($A23)-MONTH('Recurring Schedule'!$F$38),'Recurring Schedule'!$O$38)=0),IF('Recurring Schedule'!$E$38="Weekdays",WEEKDAY($A23,2)&lt;=5,$A23='Recurring Schedule'!$F$38))),33,""))))</f>
        <v/>
      </c>
      <c r="AI23">
        <f>IF('Recurring Schedule'!$C$39="","",IF('Recurring Schedule'!$F$39="","",IF(OR($A23&lt;'Recurring Schedule'!$F$39,$A23&gt;'Recurring Schedule'!$P$39),"",IF(IF('Recurring Schedule'!$N$39&gt;0,MOD($A23-'Recurring Schedule'!$F$39,'Recurring Schedule'!$N$39)=0,IF('Recurring Schedule'!$O$39&gt;0,AND(DAY($A23)=MIN(DAY('Recurring Schedule'!$F$39),DAY(EOMONTH($A23,0))),MOD((YEAR($A23)-YEAR('Recurring Schedule'!$F$39))*12+MONTH($A23)-MONTH('Recurring Schedule'!$F$39),'Recurring Schedule'!$O$39)=0),IF('Recurring Schedule'!$E$39="Weekdays",WEEKDAY($A23,2)&lt;=5,$A23='Recurring Schedule'!$F$39))),34,""))))</f>
        <v/>
      </c>
      <c r="AJ23">
        <f>IF('Recurring Schedule'!$C$40="","",IF('Recurring Schedule'!$F$40="","",IF(OR($A23&lt;'Recurring Schedule'!$F$40,$A23&gt;'Recurring Schedule'!$P$40),"",IF(IF('Recurring Schedule'!$N$40&gt;0,MOD($A23-'Recurring Schedule'!$F$40,'Recurring Schedule'!$N$40)=0,IF('Recurring Schedule'!$O$40&gt;0,AND(DAY($A23)=MIN(DAY('Recurring Schedule'!$F$40),DAY(EOMONTH($A23,0))),MOD((YEAR($A23)-YEAR('Recurring Schedule'!$F$40))*12+MONTH($A23)-MONTH('Recurring Schedule'!$F$40),'Recurring Schedule'!$O$40)=0),IF('Recurring Schedule'!$E$40="Weekdays",WEEKDAY($A23,2)&lt;=5,$A23='Recurring Schedule'!$F$40))),35,""))))</f>
        <v/>
      </c>
      <c r="AK23">
        <f>IF('Recurring Schedule'!$C$41="","",IF('Recurring Schedule'!$F$41="","",IF(OR($A23&lt;'Recurring Schedule'!$F$41,$A23&gt;'Recurring Schedule'!$P$41),"",IF(IF('Recurring Schedule'!$N$41&gt;0,MOD($A23-'Recurring Schedule'!$F$41,'Recurring Schedule'!$N$41)=0,IF('Recurring Schedule'!$O$41&gt;0,AND(DAY($A23)=MIN(DAY('Recurring Schedule'!$F$41),DAY(EOMONTH($A23,0))),MOD((YEAR($A23)-YEAR('Recurring Schedule'!$F$41))*12+MONTH($A23)-MONTH('Recurring Schedule'!$F$41),'Recurring Schedule'!$O$41)=0),IF('Recurring Schedule'!$E$41="Weekdays",WEEKDAY($A23,2)&lt;=5,$A23='Recurring Schedule'!$F$41))),36,""))))</f>
        <v/>
      </c>
      <c r="AL23">
        <f>IF('Recurring Schedule'!$C$42="","",IF('Recurring Schedule'!$F$42="","",IF(OR($A23&lt;'Recurring Schedule'!$F$42,$A23&gt;'Recurring Schedule'!$P$42),"",IF(IF('Recurring Schedule'!$N$42&gt;0,MOD($A23-'Recurring Schedule'!$F$42,'Recurring Schedule'!$N$42)=0,IF('Recurring Schedule'!$O$42&gt;0,AND(DAY($A23)=MIN(DAY('Recurring Schedule'!$F$42),DAY(EOMONTH($A23,0))),MOD((YEAR($A23)-YEAR('Recurring Schedule'!$F$42))*12+MONTH($A23)-MONTH('Recurring Schedule'!$F$42),'Recurring Schedule'!$O$42)=0),IF('Recurring Schedule'!$E$42="Weekdays",WEEKDAY($A23,2)&lt;=5,$A23='Recurring Schedule'!$F$42))),37,""))))</f>
        <v/>
      </c>
      <c r="AM23">
        <f>IF('Recurring Schedule'!$C$43="","",IF('Recurring Schedule'!$F$43="","",IF(OR($A23&lt;'Recurring Schedule'!$F$43,$A23&gt;'Recurring Schedule'!$P$43),"",IF(IF('Recurring Schedule'!$N$43&gt;0,MOD($A23-'Recurring Schedule'!$F$43,'Recurring Schedule'!$N$43)=0,IF('Recurring Schedule'!$O$43&gt;0,AND(DAY($A23)=MIN(DAY('Recurring Schedule'!$F$43),DAY(EOMONTH($A23,0))),MOD((YEAR($A23)-YEAR('Recurring Schedule'!$F$43))*12+MONTH($A23)-MONTH('Recurring Schedule'!$F$43),'Recurring Schedule'!$O$43)=0),IF('Recurring Schedule'!$E$43="Weekdays",WEEKDAY($A23,2)&lt;=5,$A23='Recurring Schedule'!$F$43))),38,""))))</f>
        <v/>
      </c>
      <c r="AN23">
        <f>IF('Recurring Schedule'!$C$44="","",IF('Recurring Schedule'!$F$44="","",IF(OR($A23&lt;'Recurring Schedule'!$F$44,$A23&gt;'Recurring Schedule'!$P$44),"",IF(IF('Recurring Schedule'!$N$44&gt;0,MOD($A23-'Recurring Schedule'!$F$44,'Recurring Schedule'!$N$44)=0,IF('Recurring Schedule'!$O$44&gt;0,AND(DAY($A23)=MIN(DAY('Recurring Schedule'!$F$44),DAY(EOMONTH($A23,0))),MOD((YEAR($A23)-YEAR('Recurring Schedule'!$F$44))*12+MONTH($A23)-MONTH('Recurring Schedule'!$F$44),'Recurring Schedule'!$O$44)=0),IF('Recurring Schedule'!$E$44="Weekdays",WEEKDAY($A23,2)&lt;=5,$A23='Recurring Schedule'!$F$44))),39,""))))</f>
        <v/>
      </c>
      <c r="AO23">
        <f>IF('Recurring Schedule'!$C$45="","",IF('Recurring Schedule'!$F$45="","",IF(OR($A23&lt;'Recurring Schedule'!$F$45,$A23&gt;'Recurring Schedule'!$P$45),"",IF(IF('Recurring Schedule'!$N$45&gt;0,MOD($A23-'Recurring Schedule'!$F$45,'Recurring Schedule'!$N$45)=0,IF('Recurring Schedule'!$O$45&gt;0,AND(DAY($A23)=MIN(DAY('Recurring Schedule'!$F$45),DAY(EOMONTH($A23,0))),MOD((YEAR($A23)-YEAR('Recurring Schedule'!$F$45))*12+MONTH($A23)-MONTH('Recurring Schedule'!$F$45),'Recurring Schedule'!$O$45)=0),IF('Recurring Schedule'!$E$45="Weekdays",WEEKDAY($A23,2)&lt;=5,$A23='Recurring Schedule'!$F$45))),40,""))))</f>
        <v/>
      </c>
      <c r="AP23">
        <f>COUNT(B23:AO23)</f>
        <v/>
      </c>
      <c r="AQ23">
        <f>AQ22+AP22</f>
        <v/>
      </c>
      <c r="AS23" t="inlineStr">
        <is>
          <t>R</t>
        </is>
      </c>
      <c r="AT23" t="n">
        <v>27</v>
      </c>
      <c r="AU23">
        <f>'Recurring Log'!C27&amp;""</f>
        <v/>
      </c>
      <c r="AV23">
        <f>'Recurring Log'!D27&amp;""</f>
        <v/>
      </c>
      <c r="AW23">
        <f>IF('Recurring Log'!E27="","",'Recurring Log'!E27)</f>
        <v/>
      </c>
      <c r="AX23">
        <f>IF('Recurring Log'!G27="","",'Recurring Log'!G27)</f>
        <v/>
      </c>
      <c r="AY23">
        <f>IF('Recurring Log'!H27="","",'Recurring Log'!H27)</f>
        <v/>
      </c>
      <c r="AZ23">
        <f>IF(AU23="","",IF('Recurring Log'!J27="","Not Started",'Recurring Log'!J27))</f>
        <v/>
      </c>
      <c r="BA23">
        <f>'Recurring Log'!L27&amp;""</f>
        <v/>
      </c>
      <c r="BB23">
        <f>'Recurring Log'!M27&amp;""</f>
        <v/>
      </c>
      <c r="BC23">
        <f>'Recurring Log'!N27&amp;""</f>
        <v/>
      </c>
      <c r="BD23">
        <f>'Recurring Log'!O27&amp;""</f>
        <v/>
      </c>
      <c r="BE23">
        <f>IF('Recurring Log'!K27="","",'Recurring Log'!K27)</f>
        <v/>
      </c>
      <c r="BF23">
        <f>IFERROR(MATCH(BA23,Setup!$L$6:$L$9,0),5)</f>
        <v/>
      </c>
      <c r="BG23">
        <f>IF(OR(AZ23="Done",AZ23="Cancelled"),1,0)</f>
        <v/>
      </c>
      <c r="BH23">
        <f>IF(AND(AU23&lt;&gt;"",ISNUMBER(AW23)),1,0)</f>
        <v/>
      </c>
      <c r="BI23">
        <f>IF(BH23=0,0,IF(AND(AW23&gt;='Tasks Filter'!$F$3,AW23&lt;='Tasks Filter'!$F$4,OR('Tasks Filter'!$I$3="",ISNUMBER(SEARCH('Tasks Filter'!$I$3,AU23))),OR('Tasks Filter'!$I$4="",BF23=IFERROR(MATCH('Tasks Filter'!$I$4,Setup!$L$6:$L$9,0),0)),OR('Tasks Filter'!$I$5="Both",AND('Tasks Filter'!$I$5="Yes",BB23="✓"),AND('Tasks Filter'!$I$5="No",BB23&lt;&gt;"✓")),OR('Tasks Filter'!$L$3="",AV23='Tasks Filter'!$L$3),OR('Tasks Filter'!$L$4="",AZ23='Tasks Filter'!$L$4),OR('Tasks Filter'!$L$5="",BC23='Tasks Filter'!$L$5),OR('Tasks Filter'!$O$3="",BD23='Tasks Filter'!$O$3),OR('Tasks Filter'!$O$4="Yes",BG23=0)),1,0))</f>
        <v/>
      </c>
      <c r="BJ23">
        <f>IF(BH23=0,"",IF('Tasks Filter'!$F$6="Descending",-1,1)*CHOOSE(MATCH('Tasks Filter'!$F$5,Lists!$G$2:$G$6,0),AW23,BF23,IFERROR(MATCH(AV23,Setup!$F$6:$F$15,0),99),IFERROR(MATCH(BC23,Setup!$H$6:$H$15,0),99),IFERROR(MATCH(AZ23,Setup!$J$6:$J$11,0),99))*1E+9+(AW23-40000)*10000+22)</f>
        <v/>
      </c>
      <c r="BK23">
        <f>IF(BI23=1,BJ23,"")</f>
        <v/>
      </c>
      <c r="BL23">
        <f>IF(AND(BH23=1,BG23=0,N(AW23)&lt;Setup!$D$7),(AW23-40000)*10000+22,"")</f>
        <v/>
      </c>
      <c r="BM23">
        <f>IF(AND(BH23=1,AZ23&lt;&gt;"Cancelled",N(AW23)&gt;=Dashboard!$AB$3,N(AW23)&lt;=Dashboard!$AB$3+6),(AW23-40000)*100000+BF23*10000+22,"")</f>
        <v/>
      </c>
      <c r="BN23">
        <f>IF(AND(BH23=1,AZ23&lt;&gt;"Cancelled"),BF23*10000+22,"")</f>
        <v/>
      </c>
    </row>
    <row r="24">
      <c r="A24">
        <f>Setup!$D$5+22</f>
        <v/>
      </c>
      <c r="B24">
        <f>IF('Recurring Schedule'!$C$6="","",IF('Recurring Schedule'!$F$6="","",IF(OR($A24&lt;'Recurring Schedule'!$F$6,$A24&gt;'Recurring Schedule'!$P$6),"",IF(IF('Recurring Schedule'!$N$6&gt;0,MOD($A24-'Recurring Schedule'!$F$6,'Recurring Schedule'!$N$6)=0,IF('Recurring Schedule'!$O$6&gt;0,AND(DAY($A24)=MIN(DAY('Recurring Schedule'!$F$6),DAY(EOMONTH($A24,0))),MOD((YEAR($A24)-YEAR('Recurring Schedule'!$F$6))*12+MONTH($A24)-MONTH('Recurring Schedule'!$F$6),'Recurring Schedule'!$O$6)=0),IF('Recurring Schedule'!$E$6="Weekdays",WEEKDAY($A24,2)&lt;=5,$A24='Recurring Schedule'!$F$6))),1,""))))</f>
        <v/>
      </c>
      <c r="C24">
        <f>IF('Recurring Schedule'!$C$7="","",IF('Recurring Schedule'!$F$7="","",IF(OR($A24&lt;'Recurring Schedule'!$F$7,$A24&gt;'Recurring Schedule'!$P$7),"",IF(IF('Recurring Schedule'!$N$7&gt;0,MOD($A24-'Recurring Schedule'!$F$7,'Recurring Schedule'!$N$7)=0,IF('Recurring Schedule'!$O$7&gt;0,AND(DAY($A24)=MIN(DAY('Recurring Schedule'!$F$7),DAY(EOMONTH($A24,0))),MOD((YEAR($A24)-YEAR('Recurring Schedule'!$F$7))*12+MONTH($A24)-MONTH('Recurring Schedule'!$F$7),'Recurring Schedule'!$O$7)=0),IF('Recurring Schedule'!$E$7="Weekdays",WEEKDAY($A24,2)&lt;=5,$A24='Recurring Schedule'!$F$7))),2,""))))</f>
        <v/>
      </c>
      <c r="D24">
        <f>IF('Recurring Schedule'!$C$8="","",IF('Recurring Schedule'!$F$8="","",IF(OR($A24&lt;'Recurring Schedule'!$F$8,$A24&gt;'Recurring Schedule'!$P$8),"",IF(IF('Recurring Schedule'!$N$8&gt;0,MOD($A24-'Recurring Schedule'!$F$8,'Recurring Schedule'!$N$8)=0,IF('Recurring Schedule'!$O$8&gt;0,AND(DAY($A24)=MIN(DAY('Recurring Schedule'!$F$8),DAY(EOMONTH($A24,0))),MOD((YEAR($A24)-YEAR('Recurring Schedule'!$F$8))*12+MONTH($A24)-MONTH('Recurring Schedule'!$F$8),'Recurring Schedule'!$O$8)=0),IF('Recurring Schedule'!$E$8="Weekdays",WEEKDAY($A24,2)&lt;=5,$A24='Recurring Schedule'!$F$8))),3,""))))</f>
        <v/>
      </c>
      <c r="E24">
        <f>IF('Recurring Schedule'!$C$9="","",IF('Recurring Schedule'!$F$9="","",IF(OR($A24&lt;'Recurring Schedule'!$F$9,$A24&gt;'Recurring Schedule'!$P$9),"",IF(IF('Recurring Schedule'!$N$9&gt;0,MOD($A24-'Recurring Schedule'!$F$9,'Recurring Schedule'!$N$9)=0,IF('Recurring Schedule'!$O$9&gt;0,AND(DAY($A24)=MIN(DAY('Recurring Schedule'!$F$9),DAY(EOMONTH($A24,0))),MOD((YEAR($A24)-YEAR('Recurring Schedule'!$F$9))*12+MONTH($A24)-MONTH('Recurring Schedule'!$F$9),'Recurring Schedule'!$O$9)=0),IF('Recurring Schedule'!$E$9="Weekdays",WEEKDAY($A24,2)&lt;=5,$A24='Recurring Schedule'!$F$9))),4,""))))</f>
        <v/>
      </c>
      <c r="F24">
        <f>IF('Recurring Schedule'!$C$10="","",IF('Recurring Schedule'!$F$10="","",IF(OR($A24&lt;'Recurring Schedule'!$F$10,$A24&gt;'Recurring Schedule'!$P$10),"",IF(IF('Recurring Schedule'!$N$10&gt;0,MOD($A24-'Recurring Schedule'!$F$10,'Recurring Schedule'!$N$10)=0,IF('Recurring Schedule'!$O$10&gt;0,AND(DAY($A24)=MIN(DAY('Recurring Schedule'!$F$10),DAY(EOMONTH($A24,0))),MOD((YEAR($A24)-YEAR('Recurring Schedule'!$F$10))*12+MONTH($A24)-MONTH('Recurring Schedule'!$F$10),'Recurring Schedule'!$O$10)=0),IF('Recurring Schedule'!$E$10="Weekdays",WEEKDAY($A24,2)&lt;=5,$A24='Recurring Schedule'!$F$10))),5,""))))</f>
        <v/>
      </c>
      <c r="G24">
        <f>IF('Recurring Schedule'!$C$11="","",IF('Recurring Schedule'!$F$11="","",IF(OR($A24&lt;'Recurring Schedule'!$F$11,$A24&gt;'Recurring Schedule'!$P$11),"",IF(IF('Recurring Schedule'!$N$11&gt;0,MOD($A24-'Recurring Schedule'!$F$11,'Recurring Schedule'!$N$11)=0,IF('Recurring Schedule'!$O$11&gt;0,AND(DAY($A24)=MIN(DAY('Recurring Schedule'!$F$11),DAY(EOMONTH($A24,0))),MOD((YEAR($A24)-YEAR('Recurring Schedule'!$F$11))*12+MONTH($A24)-MONTH('Recurring Schedule'!$F$11),'Recurring Schedule'!$O$11)=0),IF('Recurring Schedule'!$E$11="Weekdays",WEEKDAY($A24,2)&lt;=5,$A24='Recurring Schedule'!$F$11))),6,""))))</f>
        <v/>
      </c>
      <c r="H24">
        <f>IF('Recurring Schedule'!$C$12="","",IF('Recurring Schedule'!$F$12="","",IF(OR($A24&lt;'Recurring Schedule'!$F$12,$A24&gt;'Recurring Schedule'!$P$12),"",IF(IF('Recurring Schedule'!$N$12&gt;0,MOD($A24-'Recurring Schedule'!$F$12,'Recurring Schedule'!$N$12)=0,IF('Recurring Schedule'!$O$12&gt;0,AND(DAY($A24)=MIN(DAY('Recurring Schedule'!$F$12),DAY(EOMONTH($A24,0))),MOD((YEAR($A24)-YEAR('Recurring Schedule'!$F$12))*12+MONTH($A24)-MONTH('Recurring Schedule'!$F$12),'Recurring Schedule'!$O$12)=0),IF('Recurring Schedule'!$E$12="Weekdays",WEEKDAY($A24,2)&lt;=5,$A24='Recurring Schedule'!$F$12))),7,""))))</f>
        <v/>
      </c>
      <c r="I24">
        <f>IF('Recurring Schedule'!$C$13="","",IF('Recurring Schedule'!$F$13="","",IF(OR($A24&lt;'Recurring Schedule'!$F$13,$A24&gt;'Recurring Schedule'!$P$13),"",IF(IF('Recurring Schedule'!$N$13&gt;0,MOD($A24-'Recurring Schedule'!$F$13,'Recurring Schedule'!$N$13)=0,IF('Recurring Schedule'!$O$13&gt;0,AND(DAY($A24)=MIN(DAY('Recurring Schedule'!$F$13),DAY(EOMONTH($A24,0))),MOD((YEAR($A24)-YEAR('Recurring Schedule'!$F$13))*12+MONTH($A24)-MONTH('Recurring Schedule'!$F$13),'Recurring Schedule'!$O$13)=0),IF('Recurring Schedule'!$E$13="Weekdays",WEEKDAY($A24,2)&lt;=5,$A24='Recurring Schedule'!$F$13))),8,""))))</f>
        <v/>
      </c>
      <c r="J24">
        <f>IF('Recurring Schedule'!$C$14="","",IF('Recurring Schedule'!$F$14="","",IF(OR($A24&lt;'Recurring Schedule'!$F$14,$A24&gt;'Recurring Schedule'!$P$14),"",IF(IF('Recurring Schedule'!$N$14&gt;0,MOD($A24-'Recurring Schedule'!$F$14,'Recurring Schedule'!$N$14)=0,IF('Recurring Schedule'!$O$14&gt;0,AND(DAY($A24)=MIN(DAY('Recurring Schedule'!$F$14),DAY(EOMONTH($A24,0))),MOD((YEAR($A24)-YEAR('Recurring Schedule'!$F$14))*12+MONTH($A24)-MONTH('Recurring Schedule'!$F$14),'Recurring Schedule'!$O$14)=0),IF('Recurring Schedule'!$E$14="Weekdays",WEEKDAY($A24,2)&lt;=5,$A24='Recurring Schedule'!$F$14))),9,""))))</f>
        <v/>
      </c>
      <c r="K24">
        <f>IF('Recurring Schedule'!$C$15="","",IF('Recurring Schedule'!$F$15="","",IF(OR($A24&lt;'Recurring Schedule'!$F$15,$A24&gt;'Recurring Schedule'!$P$15),"",IF(IF('Recurring Schedule'!$N$15&gt;0,MOD($A24-'Recurring Schedule'!$F$15,'Recurring Schedule'!$N$15)=0,IF('Recurring Schedule'!$O$15&gt;0,AND(DAY($A24)=MIN(DAY('Recurring Schedule'!$F$15),DAY(EOMONTH($A24,0))),MOD((YEAR($A24)-YEAR('Recurring Schedule'!$F$15))*12+MONTH($A24)-MONTH('Recurring Schedule'!$F$15),'Recurring Schedule'!$O$15)=0),IF('Recurring Schedule'!$E$15="Weekdays",WEEKDAY($A24,2)&lt;=5,$A24='Recurring Schedule'!$F$15))),10,""))))</f>
        <v/>
      </c>
      <c r="L24">
        <f>IF('Recurring Schedule'!$C$16="","",IF('Recurring Schedule'!$F$16="","",IF(OR($A24&lt;'Recurring Schedule'!$F$16,$A24&gt;'Recurring Schedule'!$P$16),"",IF(IF('Recurring Schedule'!$N$16&gt;0,MOD($A24-'Recurring Schedule'!$F$16,'Recurring Schedule'!$N$16)=0,IF('Recurring Schedule'!$O$16&gt;0,AND(DAY($A24)=MIN(DAY('Recurring Schedule'!$F$16),DAY(EOMONTH($A24,0))),MOD((YEAR($A24)-YEAR('Recurring Schedule'!$F$16))*12+MONTH($A24)-MONTH('Recurring Schedule'!$F$16),'Recurring Schedule'!$O$16)=0),IF('Recurring Schedule'!$E$16="Weekdays",WEEKDAY($A24,2)&lt;=5,$A24='Recurring Schedule'!$F$16))),11,""))))</f>
        <v/>
      </c>
      <c r="M24">
        <f>IF('Recurring Schedule'!$C$17="","",IF('Recurring Schedule'!$F$17="","",IF(OR($A24&lt;'Recurring Schedule'!$F$17,$A24&gt;'Recurring Schedule'!$P$17),"",IF(IF('Recurring Schedule'!$N$17&gt;0,MOD($A24-'Recurring Schedule'!$F$17,'Recurring Schedule'!$N$17)=0,IF('Recurring Schedule'!$O$17&gt;0,AND(DAY($A24)=MIN(DAY('Recurring Schedule'!$F$17),DAY(EOMONTH($A24,0))),MOD((YEAR($A24)-YEAR('Recurring Schedule'!$F$17))*12+MONTH($A24)-MONTH('Recurring Schedule'!$F$17),'Recurring Schedule'!$O$17)=0),IF('Recurring Schedule'!$E$17="Weekdays",WEEKDAY($A24,2)&lt;=5,$A24='Recurring Schedule'!$F$17))),12,""))))</f>
        <v/>
      </c>
      <c r="N24">
        <f>IF('Recurring Schedule'!$C$18="","",IF('Recurring Schedule'!$F$18="","",IF(OR($A24&lt;'Recurring Schedule'!$F$18,$A24&gt;'Recurring Schedule'!$P$18),"",IF(IF('Recurring Schedule'!$N$18&gt;0,MOD($A24-'Recurring Schedule'!$F$18,'Recurring Schedule'!$N$18)=0,IF('Recurring Schedule'!$O$18&gt;0,AND(DAY($A24)=MIN(DAY('Recurring Schedule'!$F$18),DAY(EOMONTH($A24,0))),MOD((YEAR($A24)-YEAR('Recurring Schedule'!$F$18))*12+MONTH($A24)-MONTH('Recurring Schedule'!$F$18),'Recurring Schedule'!$O$18)=0),IF('Recurring Schedule'!$E$18="Weekdays",WEEKDAY($A24,2)&lt;=5,$A24='Recurring Schedule'!$F$18))),13,""))))</f>
        <v/>
      </c>
      <c r="O24">
        <f>IF('Recurring Schedule'!$C$19="","",IF('Recurring Schedule'!$F$19="","",IF(OR($A24&lt;'Recurring Schedule'!$F$19,$A24&gt;'Recurring Schedule'!$P$19),"",IF(IF('Recurring Schedule'!$N$19&gt;0,MOD($A24-'Recurring Schedule'!$F$19,'Recurring Schedule'!$N$19)=0,IF('Recurring Schedule'!$O$19&gt;0,AND(DAY($A24)=MIN(DAY('Recurring Schedule'!$F$19),DAY(EOMONTH($A24,0))),MOD((YEAR($A24)-YEAR('Recurring Schedule'!$F$19))*12+MONTH($A24)-MONTH('Recurring Schedule'!$F$19),'Recurring Schedule'!$O$19)=0),IF('Recurring Schedule'!$E$19="Weekdays",WEEKDAY($A24,2)&lt;=5,$A24='Recurring Schedule'!$F$19))),14,""))))</f>
        <v/>
      </c>
      <c r="P24">
        <f>IF('Recurring Schedule'!$C$20="","",IF('Recurring Schedule'!$F$20="","",IF(OR($A24&lt;'Recurring Schedule'!$F$20,$A24&gt;'Recurring Schedule'!$P$20),"",IF(IF('Recurring Schedule'!$N$20&gt;0,MOD($A24-'Recurring Schedule'!$F$20,'Recurring Schedule'!$N$20)=0,IF('Recurring Schedule'!$O$20&gt;0,AND(DAY($A24)=MIN(DAY('Recurring Schedule'!$F$20),DAY(EOMONTH($A24,0))),MOD((YEAR($A24)-YEAR('Recurring Schedule'!$F$20))*12+MONTH($A24)-MONTH('Recurring Schedule'!$F$20),'Recurring Schedule'!$O$20)=0),IF('Recurring Schedule'!$E$20="Weekdays",WEEKDAY($A24,2)&lt;=5,$A24='Recurring Schedule'!$F$20))),15,""))))</f>
        <v/>
      </c>
      <c r="Q24">
        <f>IF('Recurring Schedule'!$C$21="","",IF('Recurring Schedule'!$F$21="","",IF(OR($A24&lt;'Recurring Schedule'!$F$21,$A24&gt;'Recurring Schedule'!$P$21),"",IF(IF('Recurring Schedule'!$N$21&gt;0,MOD($A24-'Recurring Schedule'!$F$21,'Recurring Schedule'!$N$21)=0,IF('Recurring Schedule'!$O$21&gt;0,AND(DAY($A24)=MIN(DAY('Recurring Schedule'!$F$21),DAY(EOMONTH($A24,0))),MOD((YEAR($A24)-YEAR('Recurring Schedule'!$F$21))*12+MONTH($A24)-MONTH('Recurring Schedule'!$F$21),'Recurring Schedule'!$O$21)=0),IF('Recurring Schedule'!$E$21="Weekdays",WEEKDAY($A24,2)&lt;=5,$A24='Recurring Schedule'!$F$21))),16,""))))</f>
        <v/>
      </c>
      <c r="R24">
        <f>IF('Recurring Schedule'!$C$22="","",IF('Recurring Schedule'!$F$22="","",IF(OR($A24&lt;'Recurring Schedule'!$F$22,$A24&gt;'Recurring Schedule'!$P$22),"",IF(IF('Recurring Schedule'!$N$22&gt;0,MOD($A24-'Recurring Schedule'!$F$22,'Recurring Schedule'!$N$22)=0,IF('Recurring Schedule'!$O$22&gt;0,AND(DAY($A24)=MIN(DAY('Recurring Schedule'!$F$22),DAY(EOMONTH($A24,0))),MOD((YEAR($A24)-YEAR('Recurring Schedule'!$F$22))*12+MONTH($A24)-MONTH('Recurring Schedule'!$F$22),'Recurring Schedule'!$O$22)=0),IF('Recurring Schedule'!$E$22="Weekdays",WEEKDAY($A24,2)&lt;=5,$A24='Recurring Schedule'!$F$22))),17,""))))</f>
        <v/>
      </c>
      <c r="S24">
        <f>IF('Recurring Schedule'!$C$23="","",IF('Recurring Schedule'!$F$23="","",IF(OR($A24&lt;'Recurring Schedule'!$F$23,$A24&gt;'Recurring Schedule'!$P$23),"",IF(IF('Recurring Schedule'!$N$23&gt;0,MOD($A24-'Recurring Schedule'!$F$23,'Recurring Schedule'!$N$23)=0,IF('Recurring Schedule'!$O$23&gt;0,AND(DAY($A24)=MIN(DAY('Recurring Schedule'!$F$23),DAY(EOMONTH($A24,0))),MOD((YEAR($A24)-YEAR('Recurring Schedule'!$F$23))*12+MONTH($A24)-MONTH('Recurring Schedule'!$F$23),'Recurring Schedule'!$O$23)=0),IF('Recurring Schedule'!$E$23="Weekdays",WEEKDAY($A24,2)&lt;=5,$A24='Recurring Schedule'!$F$23))),18,""))))</f>
        <v/>
      </c>
      <c r="T24">
        <f>IF('Recurring Schedule'!$C$24="","",IF('Recurring Schedule'!$F$24="","",IF(OR($A24&lt;'Recurring Schedule'!$F$24,$A24&gt;'Recurring Schedule'!$P$24),"",IF(IF('Recurring Schedule'!$N$24&gt;0,MOD($A24-'Recurring Schedule'!$F$24,'Recurring Schedule'!$N$24)=0,IF('Recurring Schedule'!$O$24&gt;0,AND(DAY($A24)=MIN(DAY('Recurring Schedule'!$F$24),DAY(EOMONTH($A24,0))),MOD((YEAR($A24)-YEAR('Recurring Schedule'!$F$24))*12+MONTH($A24)-MONTH('Recurring Schedule'!$F$24),'Recurring Schedule'!$O$24)=0),IF('Recurring Schedule'!$E$24="Weekdays",WEEKDAY($A24,2)&lt;=5,$A24='Recurring Schedule'!$F$24))),19,""))))</f>
        <v/>
      </c>
      <c r="U24">
        <f>IF('Recurring Schedule'!$C$25="","",IF('Recurring Schedule'!$F$25="","",IF(OR($A24&lt;'Recurring Schedule'!$F$25,$A24&gt;'Recurring Schedule'!$P$25),"",IF(IF('Recurring Schedule'!$N$25&gt;0,MOD($A24-'Recurring Schedule'!$F$25,'Recurring Schedule'!$N$25)=0,IF('Recurring Schedule'!$O$25&gt;0,AND(DAY($A24)=MIN(DAY('Recurring Schedule'!$F$25),DAY(EOMONTH($A24,0))),MOD((YEAR($A24)-YEAR('Recurring Schedule'!$F$25))*12+MONTH($A24)-MONTH('Recurring Schedule'!$F$25),'Recurring Schedule'!$O$25)=0),IF('Recurring Schedule'!$E$25="Weekdays",WEEKDAY($A24,2)&lt;=5,$A24='Recurring Schedule'!$F$25))),20,""))))</f>
        <v/>
      </c>
      <c r="V24">
        <f>IF('Recurring Schedule'!$C$26="","",IF('Recurring Schedule'!$F$26="","",IF(OR($A24&lt;'Recurring Schedule'!$F$26,$A24&gt;'Recurring Schedule'!$P$26),"",IF(IF('Recurring Schedule'!$N$26&gt;0,MOD($A24-'Recurring Schedule'!$F$26,'Recurring Schedule'!$N$26)=0,IF('Recurring Schedule'!$O$26&gt;0,AND(DAY($A24)=MIN(DAY('Recurring Schedule'!$F$26),DAY(EOMONTH($A24,0))),MOD((YEAR($A24)-YEAR('Recurring Schedule'!$F$26))*12+MONTH($A24)-MONTH('Recurring Schedule'!$F$26),'Recurring Schedule'!$O$26)=0),IF('Recurring Schedule'!$E$26="Weekdays",WEEKDAY($A24,2)&lt;=5,$A24='Recurring Schedule'!$F$26))),21,""))))</f>
        <v/>
      </c>
      <c r="W24">
        <f>IF('Recurring Schedule'!$C$27="","",IF('Recurring Schedule'!$F$27="","",IF(OR($A24&lt;'Recurring Schedule'!$F$27,$A24&gt;'Recurring Schedule'!$P$27),"",IF(IF('Recurring Schedule'!$N$27&gt;0,MOD($A24-'Recurring Schedule'!$F$27,'Recurring Schedule'!$N$27)=0,IF('Recurring Schedule'!$O$27&gt;0,AND(DAY($A24)=MIN(DAY('Recurring Schedule'!$F$27),DAY(EOMONTH($A24,0))),MOD((YEAR($A24)-YEAR('Recurring Schedule'!$F$27))*12+MONTH($A24)-MONTH('Recurring Schedule'!$F$27),'Recurring Schedule'!$O$27)=0),IF('Recurring Schedule'!$E$27="Weekdays",WEEKDAY($A24,2)&lt;=5,$A24='Recurring Schedule'!$F$27))),22,""))))</f>
        <v/>
      </c>
      <c r="X24">
        <f>IF('Recurring Schedule'!$C$28="","",IF('Recurring Schedule'!$F$28="","",IF(OR($A24&lt;'Recurring Schedule'!$F$28,$A24&gt;'Recurring Schedule'!$P$28),"",IF(IF('Recurring Schedule'!$N$28&gt;0,MOD($A24-'Recurring Schedule'!$F$28,'Recurring Schedule'!$N$28)=0,IF('Recurring Schedule'!$O$28&gt;0,AND(DAY($A24)=MIN(DAY('Recurring Schedule'!$F$28),DAY(EOMONTH($A24,0))),MOD((YEAR($A24)-YEAR('Recurring Schedule'!$F$28))*12+MONTH($A24)-MONTH('Recurring Schedule'!$F$28),'Recurring Schedule'!$O$28)=0),IF('Recurring Schedule'!$E$28="Weekdays",WEEKDAY($A24,2)&lt;=5,$A24='Recurring Schedule'!$F$28))),23,""))))</f>
        <v/>
      </c>
      <c r="Y24">
        <f>IF('Recurring Schedule'!$C$29="","",IF('Recurring Schedule'!$F$29="","",IF(OR($A24&lt;'Recurring Schedule'!$F$29,$A24&gt;'Recurring Schedule'!$P$29),"",IF(IF('Recurring Schedule'!$N$29&gt;0,MOD($A24-'Recurring Schedule'!$F$29,'Recurring Schedule'!$N$29)=0,IF('Recurring Schedule'!$O$29&gt;0,AND(DAY($A24)=MIN(DAY('Recurring Schedule'!$F$29),DAY(EOMONTH($A24,0))),MOD((YEAR($A24)-YEAR('Recurring Schedule'!$F$29))*12+MONTH($A24)-MONTH('Recurring Schedule'!$F$29),'Recurring Schedule'!$O$29)=0),IF('Recurring Schedule'!$E$29="Weekdays",WEEKDAY($A24,2)&lt;=5,$A24='Recurring Schedule'!$F$29))),24,""))))</f>
        <v/>
      </c>
      <c r="Z24">
        <f>IF('Recurring Schedule'!$C$30="","",IF('Recurring Schedule'!$F$30="","",IF(OR($A24&lt;'Recurring Schedule'!$F$30,$A24&gt;'Recurring Schedule'!$P$30),"",IF(IF('Recurring Schedule'!$N$30&gt;0,MOD($A24-'Recurring Schedule'!$F$30,'Recurring Schedule'!$N$30)=0,IF('Recurring Schedule'!$O$30&gt;0,AND(DAY($A24)=MIN(DAY('Recurring Schedule'!$F$30),DAY(EOMONTH($A24,0))),MOD((YEAR($A24)-YEAR('Recurring Schedule'!$F$30))*12+MONTH($A24)-MONTH('Recurring Schedule'!$F$30),'Recurring Schedule'!$O$30)=0),IF('Recurring Schedule'!$E$30="Weekdays",WEEKDAY($A24,2)&lt;=5,$A24='Recurring Schedule'!$F$30))),25,""))))</f>
        <v/>
      </c>
      <c r="AA24">
        <f>IF('Recurring Schedule'!$C$31="","",IF('Recurring Schedule'!$F$31="","",IF(OR($A24&lt;'Recurring Schedule'!$F$31,$A24&gt;'Recurring Schedule'!$P$31),"",IF(IF('Recurring Schedule'!$N$31&gt;0,MOD($A24-'Recurring Schedule'!$F$31,'Recurring Schedule'!$N$31)=0,IF('Recurring Schedule'!$O$31&gt;0,AND(DAY($A24)=MIN(DAY('Recurring Schedule'!$F$31),DAY(EOMONTH($A24,0))),MOD((YEAR($A24)-YEAR('Recurring Schedule'!$F$31))*12+MONTH($A24)-MONTH('Recurring Schedule'!$F$31),'Recurring Schedule'!$O$31)=0),IF('Recurring Schedule'!$E$31="Weekdays",WEEKDAY($A24,2)&lt;=5,$A24='Recurring Schedule'!$F$31))),26,""))))</f>
        <v/>
      </c>
      <c r="AB24">
        <f>IF('Recurring Schedule'!$C$32="","",IF('Recurring Schedule'!$F$32="","",IF(OR($A24&lt;'Recurring Schedule'!$F$32,$A24&gt;'Recurring Schedule'!$P$32),"",IF(IF('Recurring Schedule'!$N$32&gt;0,MOD($A24-'Recurring Schedule'!$F$32,'Recurring Schedule'!$N$32)=0,IF('Recurring Schedule'!$O$32&gt;0,AND(DAY($A24)=MIN(DAY('Recurring Schedule'!$F$32),DAY(EOMONTH($A24,0))),MOD((YEAR($A24)-YEAR('Recurring Schedule'!$F$32))*12+MONTH($A24)-MONTH('Recurring Schedule'!$F$32),'Recurring Schedule'!$O$32)=0),IF('Recurring Schedule'!$E$32="Weekdays",WEEKDAY($A24,2)&lt;=5,$A24='Recurring Schedule'!$F$32))),27,""))))</f>
        <v/>
      </c>
      <c r="AC24">
        <f>IF('Recurring Schedule'!$C$33="","",IF('Recurring Schedule'!$F$33="","",IF(OR($A24&lt;'Recurring Schedule'!$F$33,$A24&gt;'Recurring Schedule'!$P$33),"",IF(IF('Recurring Schedule'!$N$33&gt;0,MOD($A24-'Recurring Schedule'!$F$33,'Recurring Schedule'!$N$33)=0,IF('Recurring Schedule'!$O$33&gt;0,AND(DAY($A24)=MIN(DAY('Recurring Schedule'!$F$33),DAY(EOMONTH($A24,0))),MOD((YEAR($A24)-YEAR('Recurring Schedule'!$F$33))*12+MONTH($A24)-MONTH('Recurring Schedule'!$F$33),'Recurring Schedule'!$O$33)=0),IF('Recurring Schedule'!$E$33="Weekdays",WEEKDAY($A24,2)&lt;=5,$A24='Recurring Schedule'!$F$33))),28,""))))</f>
        <v/>
      </c>
      <c r="AD24">
        <f>IF('Recurring Schedule'!$C$34="","",IF('Recurring Schedule'!$F$34="","",IF(OR($A24&lt;'Recurring Schedule'!$F$34,$A24&gt;'Recurring Schedule'!$P$34),"",IF(IF('Recurring Schedule'!$N$34&gt;0,MOD($A24-'Recurring Schedule'!$F$34,'Recurring Schedule'!$N$34)=0,IF('Recurring Schedule'!$O$34&gt;0,AND(DAY($A24)=MIN(DAY('Recurring Schedule'!$F$34),DAY(EOMONTH($A24,0))),MOD((YEAR($A24)-YEAR('Recurring Schedule'!$F$34))*12+MONTH($A24)-MONTH('Recurring Schedule'!$F$34),'Recurring Schedule'!$O$34)=0),IF('Recurring Schedule'!$E$34="Weekdays",WEEKDAY($A24,2)&lt;=5,$A24='Recurring Schedule'!$F$34))),29,""))))</f>
        <v/>
      </c>
      <c r="AE24">
        <f>IF('Recurring Schedule'!$C$35="","",IF('Recurring Schedule'!$F$35="","",IF(OR($A24&lt;'Recurring Schedule'!$F$35,$A24&gt;'Recurring Schedule'!$P$35),"",IF(IF('Recurring Schedule'!$N$35&gt;0,MOD($A24-'Recurring Schedule'!$F$35,'Recurring Schedule'!$N$35)=0,IF('Recurring Schedule'!$O$35&gt;0,AND(DAY($A24)=MIN(DAY('Recurring Schedule'!$F$35),DAY(EOMONTH($A24,0))),MOD((YEAR($A24)-YEAR('Recurring Schedule'!$F$35))*12+MONTH($A24)-MONTH('Recurring Schedule'!$F$35),'Recurring Schedule'!$O$35)=0),IF('Recurring Schedule'!$E$35="Weekdays",WEEKDAY($A24,2)&lt;=5,$A24='Recurring Schedule'!$F$35))),30,""))))</f>
        <v/>
      </c>
      <c r="AF24">
        <f>IF('Recurring Schedule'!$C$36="","",IF('Recurring Schedule'!$F$36="","",IF(OR($A24&lt;'Recurring Schedule'!$F$36,$A24&gt;'Recurring Schedule'!$P$36),"",IF(IF('Recurring Schedule'!$N$36&gt;0,MOD($A24-'Recurring Schedule'!$F$36,'Recurring Schedule'!$N$36)=0,IF('Recurring Schedule'!$O$36&gt;0,AND(DAY($A24)=MIN(DAY('Recurring Schedule'!$F$36),DAY(EOMONTH($A24,0))),MOD((YEAR($A24)-YEAR('Recurring Schedule'!$F$36))*12+MONTH($A24)-MONTH('Recurring Schedule'!$F$36),'Recurring Schedule'!$O$36)=0),IF('Recurring Schedule'!$E$36="Weekdays",WEEKDAY($A24,2)&lt;=5,$A24='Recurring Schedule'!$F$36))),31,""))))</f>
        <v/>
      </c>
      <c r="AG24">
        <f>IF('Recurring Schedule'!$C$37="","",IF('Recurring Schedule'!$F$37="","",IF(OR($A24&lt;'Recurring Schedule'!$F$37,$A24&gt;'Recurring Schedule'!$P$37),"",IF(IF('Recurring Schedule'!$N$37&gt;0,MOD($A24-'Recurring Schedule'!$F$37,'Recurring Schedule'!$N$37)=0,IF('Recurring Schedule'!$O$37&gt;0,AND(DAY($A24)=MIN(DAY('Recurring Schedule'!$F$37),DAY(EOMONTH($A24,0))),MOD((YEAR($A24)-YEAR('Recurring Schedule'!$F$37))*12+MONTH($A24)-MONTH('Recurring Schedule'!$F$37),'Recurring Schedule'!$O$37)=0),IF('Recurring Schedule'!$E$37="Weekdays",WEEKDAY($A24,2)&lt;=5,$A24='Recurring Schedule'!$F$37))),32,""))))</f>
        <v/>
      </c>
      <c r="AH24">
        <f>IF('Recurring Schedule'!$C$38="","",IF('Recurring Schedule'!$F$38="","",IF(OR($A24&lt;'Recurring Schedule'!$F$38,$A24&gt;'Recurring Schedule'!$P$38),"",IF(IF('Recurring Schedule'!$N$38&gt;0,MOD($A24-'Recurring Schedule'!$F$38,'Recurring Schedule'!$N$38)=0,IF('Recurring Schedule'!$O$38&gt;0,AND(DAY($A24)=MIN(DAY('Recurring Schedule'!$F$38),DAY(EOMONTH($A24,0))),MOD((YEAR($A24)-YEAR('Recurring Schedule'!$F$38))*12+MONTH($A24)-MONTH('Recurring Schedule'!$F$38),'Recurring Schedule'!$O$38)=0),IF('Recurring Schedule'!$E$38="Weekdays",WEEKDAY($A24,2)&lt;=5,$A24='Recurring Schedule'!$F$38))),33,""))))</f>
        <v/>
      </c>
      <c r="AI24">
        <f>IF('Recurring Schedule'!$C$39="","",IF('Recurring Schedule'!$F$39="","",IF(OR($A24&lt;'Recurring Schedule'!$F$39,$A24&gt;'Recurring Schedule'!$P$39),"",IF(IF('Recurring Schedule'!$N$39&gt;0,MOD($A24-'Recurring Schedule'!$F$39,'Recurring Schedule'!$N$39)=0,IF('Recurring Schedule'!$O$39&gt;0,AND(DAY($A24)=MIN(DAY('Recurring Schedule'!$F$39),DAY(EOMONTH($A24,0))),MOD((YEAR($A24)-YEAR('Recurring Schedule'!$F$39))*12+MONTH($A24)-MONTH('Recurring Schedule'!$F$39),'Recurring Schedule'!$O$39)=0),IF('Recurring Schedule'!$E$39="Weekdays",WEEKDAY($A24,2)&lt;=5,$A24='Recurring Schedule'!$F$39))),34,""))))</f>
        <v/>
      </c>
      <c r="AJ24">
        <f>IF('Recurring Schedule'!$C$40="","",IF('Recurring Schedule'!$F$40="","",IF(OR($A24&lt;'Recurring Schedule'!$F$40,$A24&gt;'Recurring Schedule'!$P$40),"",IF(IF('Recurring Schedule'!$N$40&gt;0,MOD($A24-'Recurring Schedule'!$F$40,'Recurring Schedule'!$N$40)=0,IF('Recurring Schedule'!$O$40&gt;0,AND(DAY($A24)=MIN(DAY('Recurring Schedule'!$F$40),DAY(EOMONTH($A24,0))),MOD((YEAR($A24)-YEAR('Recurring Schedule'!$F$40))*12+MONTH($A24)-MONTH('Recurring Schedule'!$F$40),'Recurring Schedule'!$O$40)=0),IF('Recurring Schedule'!$E$40="Weekdays",WEEKDAY($A24,2)&lt;=5,$A24='Recurring Schedule'!$F$40))),35,""))))</f>
        <v/>
      </c>
      <c r="AK24">
        <f>IF('Recurring Schedule'!$C$41="","",IF('Recurring Schedule'!$F$41="","",IF(OR($A24&lt;'Recurring Schedule'!$F$41,$A24&gt;'Recurring Schedule'!$P$41),"",IF(IF('Recurring Schedule'!$N$41&gt;0,MOD($A24-'Recurring Schedule'!$F$41,'Recurring Schedule'!$N$41)=0,IF('Recurring Schedule'!$O$41&gt;0,AND(DAY($A24)=MIN(DAY('Recurring Schedule'!$F$41),DAY(EOMONTH($A24,0))),MOD((YEAR($A24)-YEAR('Recurring Schedule'!$F$41))*12+MONTH($A24)-MONTH('Recurring Schedule'!$F$41),'Recurring Schedule'!$O$41)=0),IF('Recurring Schedule'!$E$41="Weekdays",WEEKDAY($A24,2)&lt;=5,$A24='Recurring Schedule'!$F$41))),36,""))))</f>
        <v/>
      </c>
      <c r="AL24">
        <f>IF('Recurring Schedule'!$C$42="","",IF('Recurring Schedule'!$F$42="","",IF(OR($A24&lt;'Recurring Schedule'!$F$42,$A24&gt;'Recurring Schedule'!$P$42),"",IF(IF('Recurring Schedule'!$N$42&gt;0,MOD($A24-'Recurring Schedule'!$F$42,'Recurring Schedule'!$N$42)=0,IF('Recurring Schedule'!$O$42&gt;0,AND(DAY($A24)=MIN(DAY('Recurring Schedule'!$F$42),DAY(EOMONTH($A24,0))),MOD((YEAR($A24)-YEAR('Recurring Schedule'!$F$42))*12+MONTH($A24)-MONTH('Recurring Schedule'!$F$42),'Recurring Schedule'!$O$42)=0),IF('Recurring Schedule'!$E$42="Weekdays",WEEKDAY($A24,2)&lt;=5,$A24='Recurring Schedule'!$F$42))),37,""))))</f>
        <v/>
      </c>
      <c r="AM24">
        <f>IF('Recurring Schedule'!$C$43="","",IF('Recurring Schedule'!$F$43="","",IF(OR($A24&lt;'Recurring Schedule'!$F$43,$A24&gt;'Recurring Schedule'!$P$43),"",IF(IF('Recurring Schedule'!$N$43&gt;0,MOD($A24-'Recurring Schedule'!$F$43,'Recurring Schedule'!$N$43)=0,IF('Recurring Schedule'!$O$43&gt;0,AND(DAY($A24)=MIN(DAY('Recurring Schedule'!$F$43),DAY(EOMONTH($A24,0))),MOD((YEAR($A24)-YEAR('Recurring Schedule'!$F$43))*12+MONTH($A24)-MONTH('Recurring Schedule'!$F$43),'Recurring Schedule'!$O$43)=0),IF('Recurring Schedule'!$E$43="Weekdays",WEEKDAY($A24,2)&lt;=5,$A24='Recurring Schedule'!$F$43))),38,""))))</f>
        <v/>
      </c>
      <c r="AN24">
        <f>IF('Recurring Schedule'!$C$44="","",IF('Recurring Schedule'!$F$44="","",IF(OR($A24&lt;'Recurring Schedule'!$F$44,$A24&gt;'Recurring Schedule'!$P$44),"",IF(IF('Recurring Schedule'!$N$44&gt;0,MOD($A24-'Recurring Schedule'!$F$44,'Recurring Schedule'!$N$44)=0,IF('Recurring Schedule'!$O$44&gt;0,AND(DAY($A24)=MIN(DAY('Recurring Schedule'!$F$44),DAY(EOMONTH($A24,0))),MOD((YEAR($A24)-YEAR('Recurring Schedule'!$F$44))*12+MONTH($A24)-MONTH('Recurring Schedule'!$F$44),'Recurring Schedule'!$O$44)=0),IF('Recurring Schedule'!$E$44="Weekdays",WEEKDAY($A24,2)&lt;=5,$A24='Recurring Schedule'!$F$44))),39,""))))</f>
        <v/>
      </c>
      <c r="AO24">
        <f>IF('Recurring Schedule'!$C$45="","",IF('Recurring Schedule'!$F$45="","",IF(OR($A24&lt;'Recurring Schedule'!$F$45,$A24&gt;'Recurring Schedule'!$P$45),"",IF(IF('Recurring Schedule'!$N$45&gt;0,MOD($A24-'Recurring Schedule'!$F$45,'Recurring Schedule'!$N$45)=0,IF('Recurring Schedule'!$O$45&gt;0,AND(DAY($A24)=MIN(DAY('Recurring Schedule'!$F$45),DAY(EOMONTH($A24,0))),MOD((YEAR($A24)-YEAR('Recurring Schedule'!$F$45))*12+MONTH($A24)-MONTH('Recurring Schedule'!$F$45),'Recurring Schedule'!$O$45)=0),IF('Recurring Schedule'!$E$45="Weekdays",WEEKDAY($A24,2)&lt;=5,$A24='Recurring Schedule'!$F$45))),40,""))))</f>
        <v/>
      </c>
      <c r="AP24">
        <f>COUNT(B24:AO24)</f>
        <v/>
      </c>
      <c r="AQ24">
        <f>AQ23+AP23</f>
        <v/>
      </c>
      <c r="AS24" t="inlineStr">
        <is>
          <t>R</t>
        </is>
      </c>
      <c r="AT24" t="n">
        <v>28</v>
      </c>
      <c r="AU24">
        <f>'Recurring Log'!C28&amp;""</f>
        <v/>
      </c>
      <c r="AV24">
        <f>'Recurring Log'!D28&amp;""</f>
        <v/>
      </c>
      <c r="AW24">
        <f>IF('Recurring Log'!E28="","",'Recurring Log'!E28)</f>
        <v/>
      </c>
      <c r="AX24">
        <f>IF('Recurring Log'!G28="","",'Recurring Log'!G28)</f>
        <v/>
      </c>
      <c r="AY24">
        <f>IF('Recurring Log'!H28="","",'Recurring Log'!H28)</f>
        <v/>
      </c>
      <c r="AZ24">
        <f>IF(AU24="","",IF('Recurring Log'!J28="","Not Started",'Recurring Log'!J28))</f>
        <v/>
      </c>
      <c r="BA24">
        <f>'Recurring Log'!L28&amp;""</f>
        <v/>
      </c>
      <c r="BB24">
        <f>'Recurring Log'!M28&amp;""</f>
        <v/>
      </c>
      <c r="BC24">
        <f>'Recurring Log'!N28&amp;""</f>
        <v/>
      </c>
      <c r="BD24">
        <f>'Recurring Log'!O28&amp;""</f>
        <v/>
      </c>
      <c r="BE24">
        <f>IF('Recurring Log'!K28="","",'Recurring Log'!K28)</f>
        <v/>
      </c>
      <c r="BF24">
        <f>IFERROR(MATCH(BA24,Setup!$L$6:$L$9,0),5)</f>
        <v/>
      </c>
      <c r="BG24">
        <f>IF(OR(AZ24="Done",AZ24="Cancelled"),1,0)</f>
        <v/>
      </c>
      <c r="BH24">
        <f>IF(AND(AU24&lt;&gt;"",ISNUMBER(AW24)),1,0)</f>
        <v/>
      </c>
      <c r="BI24">
        <f>IF(BH24=0,0,IF(AND(AW24&gt;='Tasks Filter'!$F$3,AW24&lt;='Tasks Filter'!$F$4,OR('Tasks Filter'!$I$3="",ISNUMBER(SEARCH('Tasks Filter'!$I$3,AU24))),OR('Tasks Filter'!$I$4="",BF24=IFERROR(MATCH('Tasks Filter'!$I$4,Setup!$L$6:$L$9,0),0)),OR('Tasks Filter'!$I$5="Both",AND('Tasks Filter'!$I$5="Yes",BB24="✓"),AND('Tasks Filter'!$I$5="No",BB24&lt;&gt;"✓")),OR('Tasks Filter'!$L$3="",AV24='Tasks Filter'!$L$3),OR('Tasks Filter'!$L$4="",AZ24='Tasks Filter'!$L$4),OR('Tasks Filter'!$L$5="",BC24='Tasks Filter'!$L$5),OR('Tasks Filter'!$O$3="",BD24='Tasks Filter'!$O$3),OR('Tasks Filter'!$O$4="Yes",BG24=0)),1,0))</f>
        <v/>
      </c>
      <c r="BJ24">
        <f>IF(BH24=0,"",IF('Tasks Filter'!$F$6="Descending",-1,1)*CHOOSE(MATCH('Tasks Filter'!$F$5,Lists!$G$2:$G$6,0),AW24,BF24,IFERROR(MATCH(AV24,Setup!$F$6:$F$15,0),99),IFERROR(MATCH(BC24,Setup!$H$6:$H$15,0),99),IFERROR(MATCH(AZ24,Setup!$J$6:$J$11,0),99))*1E+9+(AW24-40000)*10000+23)</f>
        <v/>
      </c>
      <c r="BK24">
        <f>IF(BI24=1,BJ24,"")</f>
        <v/>
      </c>
      <c r="BL24">
        <f>IF(AND(BH24=1,BG24=0,N(AW24)&lt;Setup!$D$7),(AW24-40000)*10000+23,"")</f>
        <v/>
      </c>
      <c r="BM24">
        <f>IF(AND(BH24=1,AZ24&lt;&gt;"Cancelled",N(AW24)&gt;=Dashboard!$AB$3,N(AW24)&lt;=Dashboard!$AB$3+6),(AW24-40000)*100000+BF24*10000+23,"")</f>
        <v/>
      </c>
      <c r="BN24">
        <f>IF(AND(BH24=1,AZ24&lt;&gt;"Cancelled"),BF24*10000+23,"")</f>
        <v/>
      </c>
    </row>
    <row r="25">
      <c r="A25">
        <f>Setup!$D$5+23</f>
        <v/>
      </c>
      <c r="B25">
        <f>IF('Recurring Schedule'!$C$6="","",IF('Recurring Schedule'!$F$6="","",IF(OR($A25&lt;'Recurring Schedule'!$F$6,$A25&gt;'Recurring Schedule'!$P$6),"",IF(IF('Recurring Schedule'!$N$6&gt;0,MOD($A25-'Recurring Schedule'!$F$6,'Recurring Schedule'!$N$6)=0,IF('Recurring Schedule'!$O$6&gt;0,AND(DAY($A25)=MIN(DAY('Recurring Schedule'!$F$6),DAY(EOMONTH($A25,0))),MOD((YEAR($A25)-YEAR('Recurring Schedule'!$F$6))*12+MONTH($A25)-MONTH('Recurring Schedule'!$F$6),'Recurring Schedule'!$O$6)=0),IF('Recurring Schedule'!$E$6="Weekdays",WEEKDAY($A25,2)&lt;=5,$A25='Recurring Schedule'!$F$6))),1,""))))</f>
        <v/>
      </c>
      <c r="C25">
        <f>IF('Recurring Schedule'!$C$7="","",IF('Recurring Schedule'!$F$7="","",IF(OR($A25&lt;'Recurring Schedule'!$F$7,$A25&gt;'Recurring Schedule'!$P$7),"",IF(IF('Recurring Schedule'!$N$7&gt;0,MOD($A25-'Recurring Schedule'!$F$7,'Recurring Schedule'!$N$7)=0,IF('Recurring Schedule'!$O$7&gt;0,AND(DAY($A25)=MIN(DAY('Recurring Schedule'!$F$7),DAY(EOMONTH($A25,0))),MOD((YEAR($A25)-YEAR('Recurring Schedule'!$F$7))*12+MONTH($A25)-MONTH('Recurring Schedule'!$F$7),'Recurring Schedule'!$O$7)=0),IF('Recurring Schedule'!$E$7="Weekdays",WEEKDAY($A25,2)&lt;=5,$A25='Recurring Schedule'!$F$7))),2,""))))</f>
        <v/>
      </c>
      <c r="D25">
        <f>IF('Recurring Schedule'!$C$8="","",IF('Recurring Schedule'!$F$8="","",IF(OR($A25&lt;'Recurring Schedule'!$F$8,$A25&gt;'Recurring Schedule'!$P$8),"",IF(IF('Recurring Schedule'!$N$8&gt;0,MOD($A25-'Recurring Schedule'!$F$8,'Recurring Schedule'!$N$8)=0,IF('Recurring Schedule'!$O$8&gt;0,AND(DAY($A25)=MIN(DAY('Recurring Schedule'!$F$8),DAY(EOMONTH($A25,0))),MOD((YEAR($A25)-YEAR('Recurring Schedule'!$F$8))*12+MONTH($A25)-MONTH('Recurring Schedule'!$F$8),'Recurring Schedule'!$O$8)=0),IF('Recurring Schedule'!$E$8="Weekdays",WEEKDAY($A25,2)&lt;=5,$A25='Recurring Schedule'!$F$8))),3,""))))</f>
        <v/>
      </c>
      <c r="E25">
        <f>IF('Recurring Schedule'!$C$9="","",IF('Recurring Schedule'!$F$9="","",IF(OR($A25&lt;'Recurring Schedule'!$F$9,$A25&gt;'Recurring Schedule'!$P$9),"",IF(IF('Recurring Schedule'!$N$9&gt;0,MOD($A25-'Recurring Schedule'!$F$9,'Recurring Schedule'!$N$9)=0,IF('Recurring Schedule'!$O$9&gt;0,AND(DAY($A25)=MIN(DAY('Recurring Schedule'!$F$9),DAY(EOMONTH($A25,0))),MOD((YEAR($A25)-YEAR('Recurring Schedule'!$F$9))*12+MONTH($A25)-MONTH('Recurring Schedule'!$F$9),'Recurring Schedule'!$O$9)=0),IF('Recurring Schedule'!$E$9="Weekdays",WEEKDAY($A25,2)&lt;=5,$A25='Recurring Schedule'!$F$9))),4,""))))</f>
        <v/>
      </c>
      <c r="F25">
        <f>IF('Recurring Schedule'!$C$10="","",IF('Recurring Schedule'!$F$10="","",IF(OR($A25&lt;'Recurring Schedule'!$F$10,$A25&gt;'Recurring Schedule'!$P$10),"",IF(IF('Recurring Schedule'!$N$10&gt;0,MOD($A25-'Recurring Schedule'!$F$10,'Recurring Schedule'!$N$10)=0,IF('Recurring Schedule'!$O$10&gt;0,AND(DAY($A25)=MIN(DAY('Recurring Schedule'!$F$10),DAY(EOMONTH($A25,0))),MOD((YEAR($A25)-YEAR('Recurring Schedule'!$F$10))*12+MONTH($A25)-MONTH('Recurring Schedule'!$F$10),'Recurring Schedule'!$O$10)=0),IF('Recurring Schedule'!$E$10="Weekdays",WEEKDAY($A25,2)&lt;=5,$A25='Recurring Schedule'!$F$10))),5,""))))</f>
        <v/>
      </c>
      <c r="G25">
        <f>IF('Recurring Schedule'!$C$11="","",IF('Recurring Schedule'!$F$11="","",IF(OR($A25&lt;'Recurring Schedule'!$F$11,$A25&gt;'Recurring Schedule'!$P$11),"",IF(IF('Recurring Schedule'!$N$11&gt;0,MOD($A25-'Recurring Schedule'!$F$11,'Recurring Schedule'!$N$11)=0,IF('Recurring Schedule'!$O$11&gt;0,AND(DAY($A25)=MIN(DAY('Recurring Schedule'!$F$11),DAY(EOMONTH($A25,0))),MOD((YEAR($A25)-YEAR('Recurring Schedule'!$F$11))*12+MONTH($A25)-MONTH('Recurring Schedule'!$F$11),'Recurring Schedule'!$O$11)=0),IF('Recurring Schedule'!$E$11="Weekdays",WEEKDAY($A25,2)&lt;=5,$A25='Recurring Schedule'!$F$11))),6,""))))</f>
        <v/>
      </c>
      <c r="H25">
        <f>IF('Recurring Schedule'!$C$12="","",IF('Recurring Schedule'!$F$12="","",IF(OR($A25&lt;'Recurring Schedule'!$F$12,$A25&gt;'Recurring Schedule'!$P$12),"",IF(IF('Recurring Schedule'!$N$12&gt;0,MOD($A25-'Recurring Schedule'!$F$12,'Recurring Schedule'!$N$12)=0,IF('Recurring Schedule'!$O$12&gt;0,AND(DAY($A25)=MIN(DAY('Recurring Schedule'!$F$12),DAY(EOMONTH($A25,0))),MOD((YEAR($A25)-YEAR('Recurring Schedule'!$F$12))*12+MONTH($A25)-MONTH('Recurring Schedule'!$F$12),'Recurring Schedule'!$O$12)=0),IF('Recurring Schedule'!$E$12="Weekdays",WEEKDAY($A25,2)&lt;=5,$A25='Recurring Schedule'!$F$12))),7,""))))</f>
        <v/>
      </c>
      <c r="I25">
        <f>IF('Recurring Schedule'!$C$13="","",IF('Recurring Schedule'!$F$13="","",IF(OR($A25&lt;'Recurring Schedule'!$F$13,$A25&gt;'Recurring Schedule'!$P$13),"",IF(IF('Recurring Schedule'!$N$13&gt;0,MOD($A25-'Recurring Schedule'!$F$13,'Recurring Schedule'!$N$13)=0,IF('Recurring Schedule'!$O$13&gt;0,AND(DAY($A25)=MIN(DAY('Recurring Schedule'!$F$13),DAY(EOMONTH($A25,0))),MOD((YEAR($A25)-YEAR('Recurring Schedule'!$F$13))*12+MONTH($A25)-MONTH('Recurring Schedule'!$F$13),'Recurring Schedule'!$O$13)=0),IF('Recurring Schedule'!$E$13="Weekdays",WEEKDAY($A25,2)&lt;=5,$A25='Recurring Schedule'!$F$13))),8,""))))</f>
        <v/>
      </c>
      <c r="J25">
        <f>IF('Recurring Schedule'!$C$14="","",IF('Recurring Schedule'!$F$14="","",IF(OR($A25&lt;'Recurring Schedule'!$F$14,$A25&gt;'Recurring Schedule'!$P$14),"",IF(IF('Recurring Schedule'!$N$14&gt;0,MOD($A25-'Recurring Schedule'!$F$14,'Recurring Schedule'!$N$14)=0,IF('Recurring Schedule'!$O$14&gt;0,AND(DAY($A25)=MIN(DAY('Recurring Schedule'!$F$14),DAY(EOMONTH($A25,0))),MOD((YEAR($A25)-YEAR('Recurring Schedule'!$F$14))*12+MONTH($A25)-MONTH('Recurring Schedule'!$F$14),'Recurring Schedule'!$O$14)=0),IF('Recurring Schedule'!$E$14="Weekdays",WEEKDAY($A25,2)&lt;=5,$A25='Recurring Schedule'!$F$14))),9,""))))</f>
        <v/>
      </c>
      <c r="K25">
        <f>IF('Recurring Schedule'!$C$15="","",IF('Recurring Schedule'!$F$15="","",IF(OR($A25&lt;'Recurring Schedule'!$F$15,$A25&gt;'Recurring Schedule'!$P$15),"",IF(IF('Recurring Schedule'!$N$15&gt;0,MOD($A25-'Recurring Schedule'!$F$15,'Recurring Schedule'!$N$15)=0,IF('Recurring Schedule'!$O$15&gt;0,AND(DAY($A25)=MIN(DAY('Recurring Schedule'!$F$15),DAY(EOMONTH($A25,0))),MOD((YEAR($A25)-YEAR('Recurring Schedule'!$F$15))*12+MONTH($A25)-MONTH('Recurring Schedule'!$F$15),'Recurring Schedule'!$O$15)=0),IF('Recurring Schedule'!$E$15="Weekdays",WEEKDAY($A25,2)&lt;=5,$A25='Recurring Schedule'!$F$15))),10,""))))</f>
        <v/>
      </c>
      <c r="L25">
        <f>IF('Recurring Schedule'!$C$16="","",IF('Recurring Schedule'!$F$16="","",IF(OR($A25&lt;'Recurring Schedule'!$F$16,$A25&gt;'Recurring Schedule'!$P$16),"",IF(IF('Recurring Schedule'!$N$16&gt;0,MOD($A25-'Recurring Schedule'!$F$16,'Recurring Schedule'!$N$16)=0,IF('Recurring Schedule'!$O$16&gt;0,AND(DAY($A25)=MIN(DAY('Recurring Schedule'!$F$16),DAY(EOMONTH($A25,0))),MOD((YEAR($A25)-YEAR('Recurring Schedule'!$F$16))*12+MONTH($A25)-MONTH('Recurring Schedule'!$F$16),'Recurring Schedule'!$O$16)=0),IF('Recurring Schedule'!$E$16="Weekdays",WEEKDAY($A25,2)&lt;=5,$A25='Recurring Schedule'!$F$16))),11,""))))</f>
        <v/>
      </c>
      <c r="M25">
        <f>IF('Recurring Schedule'!$C$17="","",IF('Recurring Schedule'!$F$17="","",IF(OR($A25&lt;'Recurring Schedule'!$F$17,$A25&gt;'Recurring Schedule'!$P$17),"",IF(IF('Recurring Schedule'!$N$17&gt;0,MOD($A25-'Recurring Schedule'!$F$17,'Recurring Schedule'!$N$17)=0,IF('Recurring Schedule'!$O$17&gt;0,AND(DAY($A25)=MIN(DAY('Recurring Schedule'!$F$17),DAY(EOMONTH($A25,0))),MOD((YEAR($A25)-YEAR('Recurring Schedule'!$F$17))*12+MONTH($A25)-MONTH('Recurring Schedule'!$F$17),'Recurring Schedule'!$O$17)=0),IF('Recurring Schedule'!$E$17="Weekdays",WEEKDAY($A25,2)&lt;=5,$A25='Recurring Schedule'!$F$17))),12,""))))</f>
        <v/>
      </c>
      <c r="N25">
        <f>IF('Recurring Schedule'!$C$18="","",IF('Recurring Schedule'!$F$18="","",IF(OR($A25&lt;'Recurring Schedule'!$F$18,$A25&gt;'Recurring Schedule'!$P$18),"",IF(IF('Recurring Schedule'!$N$18&gt;0,MOD($A25-'Recurring Schedule'!$F$18,'Recurring Schedule'!$N$18)=0,IF('Recurring Schedule'!$O$18&gt;0,AND(DAY($A25)=MIN(DAY('Recurring Schedule'!$F$18),DAY(EOMONTH($A25,0))),MOD((YEAR($A25)-YEAR('Recurring Schedule'!$F$18))*12+MONTH($A25)-MONTH('Recurring Schedule'!$F$18),'Recurring Schedule'!$O$18)=0),IF('Recurring Schedule'!$E$18="Weekdays",WEEKDAY($A25,2)&lt;=5,$A25='Recurring Schedule'!$F$18))),13,""))))</f>
        <v/>
      </c>
      <c r="O25">
        <f>IF('Recurring Schedule'!$C$19="","",IF('Recurring Schedule'!$F$19="","",IF(OR($A25&lt;'Recurring Schedule'!$F$19,$A25&gt;'Recurring Schedule'!$P$19),"",IF(IF('Recurring Schedule'!$N$19&gt;0,MOD($A25-'Recurring Schedule'!$F$19,'Recurring Schedule'!$N$19)=0,IF('Recurring Schedule'!$O$19&gt;0,AND(DAY($A25)=MIN(DAY('Recurring Schedule'!$F$19),DAY(EOMONTH($A25,0))),MOD((YEAR($A25)-YEAR('Recurring Schedule'!$F$19))*12+MONTH($A25)-MONTH('Recurring Schedule'!$F$19),'Recurring Schedule'!$O$19)=0),IF('Recurring Schedule'!$E$19="Weekdays",WEEKDAY($A25,2)&lt;=5,$A25='Recurring Schedule'!$F$19))),14,""))))</f>
        <v/>
      </c>
      <c r="P25">
        <f>IF('Recurring Schedule'!$C$20="","",IF('Recurring Schedule'!$F$20="","",IF(OR($A25&lt;'Recurring Schedule'!$F$20,$A25&gt;'Recurring Schedule'!$P$20),"",IF(IF('Recurring Schedule'!$N$20&gt;0,MOD($A25-'Recurring Schedule'!$F$20,'Recurring Schedule'!$N$20)=0,IF('Recurring Schedule'!$O$20&gt;0,AND(DAY($A25)=MIN(DAY('Recurring Schedule'!$F$20),DAY(EOMONTH($A25,0))),MOD((YEAR($A25)-YEAR('Recurring Schedule'!$F$20))*12+MONTH($A25)-MONTH('Recurring Schedule'!$F$20),'Recurring Schedule'!$O$20)=0),IF('Recurring Schedule'!$E$20="Weekdays",WEEKDAY($A25,2)&lt;=5,$A25='Recurring Schedule'!$F$20))),15,""))))</f>
        <v/>
      </c>
      <c r="Q25">
        <f>IF('Recurring Schedule'!$C$21="","",IF('Recurring Schedule'!$F$21="","",IF(OR($A25&lt;'Recurring Schedule'!$F$21,$A25&gt;'Recurring Schedule'!$P$21),"",IF(IF('Recurring Schedule'!$N$21&gt;0,MOD($A25-'Recurring Schedule'!$F$21,'Recurring Schedule'!$N$21)=0,IF('Recurring Schedule'!$O$21&gt;0,AND(DAY($A25)=MIN(DAY('Recurring Schedule'!$F$21),DAY(EOMONTH($A25,0))),MOD((YEAR($A25)-YEAR('Recurring Schedule'!$F$21))*12+MONTH($A25)-MONTH('Recurring Schedule'!$F$21),'Recurring Schedule'!$O$21)=0),IF('Recurring Schedule'!$E$21="Weekdays",WEEKDAY($A25,2)&lt;=5,$A25='Recurring Schedule'!$F$21))),16,""))))</f>
        <v/>
      </c>
      <c r="R25">
        <f>IF('Recurring Schedule'!$C$22="","",IF('Recurring Schedule'!$F$22="","",IF(OR($A25&lt;'Recurring Schedule'!$F$22,$A25&gt;'Recurring Schedule'!$P$22),"",IF(IF('Recurring Schedule'!$N$22&gt;0,MOD($A25-'Recurring Schedule'!$F$22,'Recurring Schedule'!$N$22)=0,IF('Recurring Schedule'!$O$22&gt;0,AND(DAY($A25)=MIN(DAY('Recurring Schedule'!$F$22),DAY(EOMONTH($A25,0))),MOD((YEAR($A25)-YEAR('Recurring Schedule'!$F$22))*12+MONTH($A25)-MONTH('Recurring Schedule'!$F$22),'Recurring Schedule'!$O$22)=0),IF('Recurring Schedule'!$E$22="Weekdays",WEEKDAY($A25,2)&lt;=5,$A25='Recurring Schedule'!$F$22))),17,""))))</f>
        <v/>
      </c>
      <c r="S25">
        <f>IF('Recurring Schedule'!$C$23="","",IF('Recurring Schedule'!$F$23="","",IF(OR($A25&lt;'Recurring Schedule'!$F$23,$A25&gt;'Recurring Schedule'!$P$23),"",IF(IF('Recurring Schedule'!$N$23&gt;0,MOD($A25-'Recurring Schedule'!$F$23,'Recurring Schedule'!$N$23)=0,IF('Recurring Schedule'!$O$23&gt;0,AND(DAY($A25)=MIN(DAY('Recurring Schedule'!$F$23),DAY(EOMONTH($A25,0))),MOD((YEAR($A25)-YEAR('Recurring Schedule'!$F$23))*12+MONTH($A25)-MONTH('Recurring Schedule'!$F$23),'Recurring Schedule'!$O$23)=0),IF('Recurring Schedule'!$E$23="Weekdays",WEEKDAY($A25,2)&lt;=5,$A25='Recurring Schedule'!$F$23))),18,""))))</f>
        <v/>
      </c>
      <c r="T25">
        <f>IF('Recurring Schedule'!$C$24="","",IF('Recurring Schedule'!$F$24="","",IF(OR($A25&lt;'Recurring Schedule'!$F$24,$A25&gt;'Recurring Schedule'!$P$24),"",IF(IF('Recurring Schedule'!$N$24&gt;0,MOD($A25-'Recurring Schedule'!$F$24,'Recurring Schedule'!$N$24)=0,IF('Recurring Schedule'!$O$24&gt;0,AND(DAY($A25)=MIN(DAY('Recurring Schedule'!$F$24),DAY(EOMONTH($A25,0))),MOD((YEAR($A25)-YEAR('Recurring Schedule'!$F$24))*12+MONTH($A25)-MONTH('Recurring Schedule'!$F$24),'Recurring Schedule'!$O$24)=0),IF('Recurring Schedule'!$E$24="Weekdays",WEEKDAY($A25,2)&lt;=5,$A25='Recurring Schedule'!$F$24))),19,""))))</f>
        <v/>
      </c>
      <c r="U25">
        <f>IF('Recurring Schedule'!$C$25="","",IF('Recurring Schedule'!$F$25="","",IF(OR($A25&lt;'Recurring Schedule'!$F$25,$A25&gt;'Recurring Schedule'!$P$25),"",IF(IF('Recurring Schedule'!$N$25&gt;0,MOD($A25-'Recurring Schedule'!$F$25,'Recurring Schedule'!$N$25)=0,IF('Recurring Schedule'!$O$25&gt;0,AND(DAY($A25)=MIN(DAY('Recurring Schedule'!$F$25),DAY(EOMONTH($A25,0))),MOD((YEAR($A25)-YEAR('Recurring Schedule'!$F$25))*12+MONTH($A25)-MONTH('Recurring Schedule'!$F$25),'Recurring Schedule'!$O$25)=0),IF('Recurring Schedule'!$E$25="Weekdays",WEEKDAY($A25,2)&lt;=5,$A25='Recurring Schedule'!$F$25))),20,""))))</f>
        <v/>
      </c>
      <c r="V25">
        <f>IF('Recurring Schedule'!$C$26="","",IF('Recurring Schedule'!$F$26="","",IF(OR($A25&lt;'Recurring Schedule'!$F$26,$A25&gt;'Recurring Schedule'!$P$26),"",IF(IF('Recurring Schedule'!$N$26&gt;0,MOD($A25-'Recurring Schedule'!$F$26,'Recurring Schedule'!$N$26)=0,IF('Recurring Schedule'!$O$26&gt;0,AND(DAY($A25)=MIN(DAY('Recurring Schedule'!$F$26),DAY(EOMONTH($A25,0))),MOD((YEAR($A25)-YEAR('Recurring Schedule'!$F$26))*12+MONTH($A25)-MONTH('Recurring Schedule'!$F$26),'Recurring Schedule'!$O$26)=0),IF('Recurring Schedule'!$E$26="Weekdays",WEEKDAY($A25,2)&lt;=5,$A25='Recurring Schedule'!$F$26))),21,""))))</f>
        <v/>
      </c>
      <c r="W25">
        <f>IF('Recurring Schedule'!$C$27="","",IF('Recurring Schedule'!$F$27="","",IF(OR($A25&lt;'Recurring Schedule'!$F$27,$A25&gt;'Recurring Schedule'!$P$27),"",IF(IF('Recurring Schedule'!$N$27&gt;0,MOD($A25-'Recurring Schedule'!$F$27,'Recurring Schedule'!$N$27)=0,IF('Recurring Schedule'!$O$27&gt;0,AND(DAY($A25)=MIN(DAY('Recurring Schedule'!$F$27),DAY(EOMONTH($A25,0))),MOD((YEAR($A25)-YEAR('Recurring Schedule'!$F$27))*12+MONTH($A25)-MONTH('Recurring Schedule'!$F$27),'Recurring Schedule'!$O$27)=0),IF('Recurring Schedule'!$E$27="Weekdays",WEEKDAY($A25,2)&lt;=5,$A25='Recurring Schedule'!$F$27))),22,""))))</f>
        <v/>
      </c>
      <c r="X25">
        <f>IF('Recurring Schedule'!$C$28="","",IF('Recurring Schedule'!$F$28="","",IF(OR($A25&lt;'Recurring Schedule'!$F$28,$A25&gt;'Recurring Schedule'!$P$28),"",IF(IF('Recurring Schedule'!$N$28&gt;0,MOD($A25-'Recurring Schedule'!$F$28,'Recurring Schedule'!$N$28)=0,IF('Recurring Schedule'!$O$28&gt;0,AND(DAY($A25)=MIN(DAY('Recurring Schedule'!$F$28),DAY(EOMONTH($A25,0))),MOD((YEAR($A25)-YEAR('Recurring Schedule'!$F$28))*12+MONTH($A25)-MONTH('Recurring Schedule'!$F$28),'Recurring Schedule'!$O$28)=0),IF('Recurring Schedule'!$E$28="Weekdays",WEEKDAY($A25,2)&lt;=5,$A25='Recurring Schedule'!$F$28))),23,""))))</f>
        <v/>
      </c>
      <c r="Y25">
        <f>IF('Recurring Schedule'!$C$29="","",IF('Recurring Schedule'!$F$29="","",IF(OR($A25&lt;'Recurring Schedule'!$F$29,$A25&gt;'Recurring Schedule'!$P$29),"",IF(IF('Recurring Schedule'!$N$29&gt;0,MOD($A25-'Recurring Schedule'!$F$29,'Recurring Schedule'!$N$29)=0,IF('Recurring Schedule'!$O$29&gt;0,AND(DAY($A25)=MIN(DAY('Recurring Schedule'!$F$29),DAY(EOMONTH($A25,0))),MOD((YEAR($A25)-YEAR('Recurring Schedule'!$F$29))*12+MONTH($A25)-MONTH('Recurring Schedule'!$F$29),'Recurring Schedule'!$O$29)=0),IF('Recurring Schedule'!$E$29="Weekdays",WEEKDAY($A25,2)&lt;=5,$A25='Recurring Schedule'!$F$29))),24,""))))</f>
        <v/>
      </c>
      <c r="Z25">
        <f>IF('Recurring Schedule'!$C$30="","",IF('Recurring Schedule'!$F$30="","",IF(OR($A25&lt;'Recurring Schedule'!$F$30,$A25&gt;'Recurring Schedule'!$P$30),"",IF(IF('Recurring Schedule'!$N$30&gt;0,MOD($A25-'Recurring Schedule'!$F$30,'Recurring Schedule'!$N$30)=0,IF('Recurring Schedule'!$O$30&gt;0,AND(DAY($A25)=MIN(DAY('Recurring Schedule'!$F$30),DAY(EOMONTH($A25,0))),MOD((YEAR($A25)-YEAR('Recurring Schedule'!$F$30))*12+MONTH($A25)-MONTH('Recurring Schedule'!$F$30),'Recurring Schedule'!$O$30)=0),IF('Recurring Schedule'!$E$30="Weekdays",WEEKDAY($A25,2)&lt;=5,$A25='Recurring Schedule'!$F$30))),25,""))))</f>
        <v/>
      </c>
      <c r="AA25">
        <f>IF('Recurring Schedule'!$C$31="","",IF('Recurring Schedule'!$F$31="","",IF(OR($A25&lt;'Recurring Schedule'!$F$31,$A25&gt;'Recurring Schedule'!$P$31),"",IF(IF('Recurring Schedule'!$N$31&gt;0,MOD($A25-'Recurring Schedule'!$F$31,'Recurring Schedule'!$N$31)=0,IF('Recurring Schedule'!$O$31&gt;0,AND(DAY($A25)=MIN(DAY('Recurring Schedule'!$F$31),DAY(EOMONTH($A25,0))),MOD((YEAR($A25)-YEAR('Recurring Schedule'!$F$31))*12+MONTH($A25)-MONTH('Recurring Schedule'!$F$31),'Recurring Schedule'!$O$31)=0),IF('Recurring Schedule'!$E$31="Weekdays",WEEKDAY($A25,2)&lt;=5,$A25='Recurring Schedule'!$F$31))),26,""))))</f>
        <v/>
      </c>
      <c r="AB25">
        <f>IF('Recurring Schedule'!$C$32="","",IF('Recurring Schedule'!$F$32="","",IF(OR($A25&lt;'Recurring Schedule'!$F$32,$A25&gt;'Recurring Schedule'!$P$32),"",IF(IF('Recurring Schedule'!$N$32&gt;0,MOD($A25-'Recurring Schedule'!$F$32,'Recurring Schedule'!$N$32)=0,IF('Recurring Schedule'!$O$32&gt;0,AND(DAY($A25)=MIN(DAY('Recurring Schedule'!$F$32),DAY(EOMONTH($A25,0))),MOD((YEAR($A25)-YEAR('Recurring Schedule'!$F$32))*12+MONTH($A25)-MONTH('Recurring Schedule'!$F$32),'Recurring Schedule'!$O$32)=0),IF('Recurring Schedule'!$E$32="Weekdays",WEEKDAY($A25,2)&lt;=5,$A25='Recurring Schedule'!$F$32))),27,""))))</f>
        <v/>
      </c>
      <c r="AC25">
        <f>IF('Recurring Schedule'!$C$33="","",IF('Recurring Schedule'!$F$33="","",IF(OR($A25&lt;'Recurring Schedule'!$F$33,$A25&gt;'Recurring Schedule'!$P$33),"",IF(IF('Recurring Schedule'!$N$33&gt;0,MOD($A25-'Recurring Schedule'!$F$33,'Recurring Schedule'!$N$33)=0,IF('Recurring Schedule'!$O$33&gt;0,AND(DAY($A25)=MIN(DAY('Recurring Schedule'!$F$33),DAY(EOMONTH($A25,0))),MOD((YEAR($A25)-YEAR('Recurring Schedule'!$F$33))*12+MONTH($A25)-MONTH('Recurring Schedule'!$F$33),'Recurring Schedule'!$O$33)=0),IF('Recurring Schedule'!$E$33="Weekdays",WEEKDAY($A25,2)&lt;=5,$A25='Recurring Schedule'!$F$33))),28,""))))</f>
        <v/>
      </c>
      <c r="AD25">
        <f>IF('Recurring Schedule'!$C$34="","",IF('Recurring Schedule'!$F$34="","",IF(OR($A25&lt;'Recurring Schedule'!$F$34,$A25&gt;'Recurring Schedule'!$P$34),"",IF(IF('Recurring Schedule'!$N$34&gt;0,MOD($A25-'Recurring Schedule'!$F$34,'Recurring Schedule'!$N$34)=0,IF('Recurring Schedule'!$O$34&gt;0,AND(DAY($A25)=MIN(DAY('Recurring Schedule'!$F$34),DAY(EOMONTH($A25,0))),MOD((YEAR($A25)-YEAR('Recurring Schedule'!$F$34))*12+MONTH($A25)-MONTH('Recurring Schedule'!$F$34),'Recurring Schedule'!$O$34)=0),IF('Recurring Schedule'!$E$34="Weekdays",WEEKDAY($A25,2)&lt;=5,$A25='Recurring Schedule'!$F$34))),29,""))))</f>
        <v/>
      </c>
      <c r="AE25">
        <f>IF('Recurring Schedule'!$C$35="","",IF('Recurring Schedule'!$F$35="","",IF(OR($A25&lt;'Recurring Schedule'!$F$35,$A25&gt;'Recurring Schedule'!$P$35),"",IF(IF('Recurring Schedule'!$N$35&gt;0,MOD($A25-'Recurring Schedule'!$F$35,'Recurring Schedule'!$N$35)=0,IF('Recurring Schedule'!$O$35&gt;0,AND(DAY($A25)=MIN(DAY('Recurring Schedule'!$F$35),DAY(EOMONTH($A25,0))),MOD((YEAR($A25)-YEAR('Recurring Schedule'!$F$35))*12+MONTH($A25)-MONTH('Recurring Schedule'!$F$35),'Recurring Schedule'!$O$35)=0),IF('Recurring Schedule'!$E$35="Weekdays",WEEKDAY($A25,2)&lt;=5,$A25='Recurring Schedule'!$F$35))),30,""))))</f>
        <v/>
      </c>
      <c r="AF25">
        <f>IF('Recurring Schedule'!$C$36="","",IF('Recurring Schedule'!$F$36="","",IF(OR($A25&lt;'Recurring Schedule'!$F$36,$A25&gt;'Recurring Schedule'!$P$36),"",IF(IF('Recurring Schedule'!$N$36&gt;0,MOD($A25-'Recurring Schedule'!$F$36,'Recurring Schedule'!$N$36)=0,IF('Recurring Schedule'!$O$36&gt;0,AND(DAY($A25)=MIN(DAY('Recurring Schedule'!$F$36),DAY(EOMONTH($A25,0))),MOD((YEAR($A25)-YEAR('Recurring Schedule'!$F$36))*12+MONTH($A25)-MONTH('Recurring Schedule'!$F$36),'Recurring Schedule'!$O$36)=0),IF('Recurring Schedule'!$E$36="Weekdays",WEEKDAY($A25,2)&lt;=5,$A25='Recurring Schedule'!$F$36))),31,""))))</f>
        <v/>
      </c>
      <c r="AG25">
        <f>IF('Recurring Schedule'!$C$37="","",IF('Recurring Schedule'!$F$37="","",IF(OR($A25&lt;'Recurring Schedule'!$F$37,$A25&gt;'Recurring Schedule'!$P$37),"",IF(IF('Recurring Schedule'!$N$37&gt;0,MOD($A25-'Recurring Schedule'!$F$37,'Recurring Schedule'!$N$37)=0,IF('Recurring Schedule'!$O$37&gt;0,AND(DAY($A25)=MIN(DAY('Recurring Schedule'!$F$37),DAY(EOMONTH($A25,0))),MOD((YEAR($A25)-YEAR('Recurring Schedule'!$F$37))*12+MONTH($A25)-MONTH('Recurring Schedule'!$F$37),'Recurring Schedule'!$O$37)=0),IF('Recurring Schedule'!$E$37="Weekdays",WEEKDAY($A25,2)&lt;=5,$A25='Recurring Schedule'!$F$37))),32,""))))</f>
        <v/>
      </c>
      <c r="AH25">
        <f>IF('Recurring Schedule'!$C$38="","",IF('Recurring Schedule'!$F$38="","",IF(OR($A25&lt;'Recurring Schedule'!$F$38,$A25&gt;'Recurring Schedule'!$P$38),"",IF(IF('Recurring Schedule'!$N$38&gt;0,MOD($A25-'Recurring Schedule'!$F$38,'Recurring Schedule'!$N$38)=0,IF('Recurring Schedule'!$O$38&gt;0,AND(DAY($A25)=MIN(DAY('Recurring Schedule'!$F$38),DAY(EOMONTH($A25,0))),MOD((YEAR($A25)-YEAR('Recurring Schedule'!$F$38))*12+MONTH($A25)-MONTH('Recurring Schedule'!$F$38),'Recurring Schedule'!$O$38)=0),IF('Recurring Schedule'!$E$38="Weekdays",WEEKDAY($A25,2)&lt;=5,$A25='Recurring Schedule'!$F$38))),33,""))))</f>
        <v/>
      </c>
      <c r="AI25">
        <f>IF('Recurring Schedule'!$C$39="","",IF('Recurring Schedule'!$F$39="","",IF(OR($A25&lt;'Recurring Schedule'!$F$39,$A25&gt;'Recurring Schedule'!$P$39),"",IF(IF('Recurring Schedule'!$N$39&gt;0,MOD($A25-'Recurring Schedule'!$F$39,'Recurring Schedule'!$N$39)=0,IF('Recurring Schedule'!$O$39&gt;0,AND(DAY($A25)=MIN(DAY('Recurring Schedule'!$F$39),DAY(EOMONTH($A25,0))),MOD((YEAR($A25)-YEAR('Recurring Schedule'!$F$39))*12+MONTH($A25)-MONTH('Recurring Schedule'!$F$39),'Recurring Schedule'!$O$39)=0),IF('Recurring Schedule'!$E$39="Weekdays",WEEKDAY($A25,2)&lt;=5,$A25='Recurring Schedule'!$F$39))),34,""))))</f>
        <v/>
      </c>
      <c r="AJ25">
        <f>IF('Recurring Schedule'!$C$40="","",IF('Recurring Schedule'!$F$40="","",IF(OR($A25&lt;'Recurring Schedule'!$F$40,$A25&gt;'Recurring Schedule'!$P$40),"",IF(IF('Recurring Schedule'!$N$40&gt;0,MOD($A25-'Recurring Schedule'!$F$40,'Recurring Schedule'!$N$40)=0,IF('Recurring Schedule'!$O$40&gt;0,AND(DAY($A25)=MIN(DAY('Recurring Schedule'!$F$40),DAY(EOMONTH($A25,0))),MOD((YEAR($A25)-YEAR('Recurring Schedule'!$F$40))*12+MONTH($A25)-MONTH('Recurring Schedule'!$F$40),'Recurring Schedule'!$O$40)=0),IF('Recurring Schedule'!$E$40="Weekdays",WEEKDAY($A25,2)&lt;=5,$A25='Recurring Schedule'!$F$40))),35,""))))</f>
        <v/>
      </c>
      <c r="AK25">
        <f>IF('Recurring Schedule'!$C$41="","",IF('Recurring Schedule'!$F$41="","",IF(OR($A25&lt;'Recurring Schedule'!$F$41,$A25&gt;'Recurring Schedule'!$P$41),"",IF(IF('Recurring Schedule'!$N$41&gt;0,MOD($A25-'Recurring Schedule'!$F$41,'Recurring Schedule'!$N$41)=0,IF('Recurring Schedule'!$O$41&gt;0,AND(DAY($A25)=MIN(DAY('Recurring Schedule'!$F$41),DAY(EOMONTH($A25,0))),MOD((YEAR($A25)-YEAR('Recurring Schedule'!$F$41))*12+MONTH($A25)-MONTH('Recurring Schedule'!$F$41),'Recurring Schedule'!$O$41)=0),IF('Recurring Schedule'!$E$41="Weekdays",WEEKDAY($A25,2)&lt;=5,$A25='Recurring Schedule'!$F$41))),36,""))))</f>
        <v/>
      </c>
      <c r="AL25">
        <f>IF('Recurring Schedule'!$C$42="","",IF('Recurring Schedule'!$F$42="","",IF(OR($A25&lt;'Recurring Schedule'!$F$42,$A25&gt;'Recurring Schedule'!$P$42),"",IF(IF('Recurring Schedule'!$N$42&gt;0,MOD($A25-'Recurring Schedule'!$F$42,'Recurring Schedule'!$N$42)=0,IF('Recurring Schedule'!$O$42&gt;0,AND(DAY($A25)=MIN(DAY('Recurring Schedule'!$F$42),DAY(EOMONTH($A25,0))),MOD((YEAR($A25)-YEAR('Recurring Schedule'!$F$42))*12+MONTH($A25)-MONTH('Recurring Schedule'!$F$42),'Recurring Schedule'!$O$42)=0),IF('Recurring Schedule'!$E$42="Weekdays",WEEKDAY($A25,2)&lt;=5,$A25='Recurring Schedule'!$F$42))),37,""))))</f>
        <v/>
      </c>
      <c r="AM25">
        <f>IF('Recurring Schedule'!$C$43="","",IF('Recurring Schedule'!$F$43="","",IF(OR($A25&lt;'Recurring Schedule'!$F$43,$A25&gt;'Recurring Schedule'!$P$43),"",IF(IF('Recurring Schedule'!$N$43&gt;0,MOD($A25-'Recurring Schedule'!$F$43,'Recurring Schedule'!$N$43)=0,IF('Recurring Schedule'!$O$43&gt;0,AND(DAY($A25)=MIN(DAY('Recurring Schedule'!$F$43),DAY(EOMONTH($A25,0))),MOD((YEAR($A25)-YEAR('Recurring Schedule'!$F$43))*12+MONTH($A25)-MONTH('Recurring Schedule'!$F$43),'Recurring Schedule'!$O$43)=0),IF('Recurring Schedule'!$E$43="Weekdays",WEEKDAY($A25,2)&lt;=5,$A25='Recurring Schedule'!$F$43))),38,""))))</f>
        <v/>
      </c>
      <c r="AN25">
        <f>IF('Recurring Schedule'!$C$44="","",IF('Recurring Schedule'!$F$44="","",IF(OR($A25&lt;'Recurring Schedule'!$F$44,$A25&gt;'Recurring Schedule'!$P$44),"",IF(IF('Recurring Schedule'!$N$44&gt;0,MOD($A25-'Recurring Schedule'!$F$44,'Recurring Schedule'!$N$44)=0,IF('Recurring Schedule'!$O$44&gt;0,AND(DAY($A25)=MIN(DAY('Recurring Schedule'!$F$44),DAY(EOMONTH($A25,0))),MOD((YEAR($A25)-YEAR('Recurring Schedule'!$F$44))*12+MONTH($A25)-MONTH('Recurring Schedule'!$F$44),'Recurring Schedule'!$O$44)=0),IF('Recurring Schedule'!$E$44="Weekdays",WEEKDAY($A25,2)&lt;=5,$A25='Recurring Schedule'!$F$44))),39,""))))</f>
        <v/>
      </c>
      <c r="AO25">
        <f>IF('Recurring Schedule'!$C$45="","",IF('Recurring Schedule'!$F$45="","",IF(OR($A25&lt;'Recurring Schedule'!$F$45,$A25&gt;'Recurring Schedule'!$P$45),"",IF(IF('Recurring Schedule'!$N$45&gt;0,MOD($A25-'Recurring Schedule'!$F$45,'Recurring Schedule'!$N$45)=0,IF('Recurring Schedule'!$O$45&gt;0,AND(DAY($A25)=MIN(DAY('Recurring Schedule'!$F$45),DAY(EOMONTH($A25,0))),MOD((YEAR($A25)-YEAR('Recurring Schedule'!$F$45))*12+MONTH($A25)-MONTH('Recurring Schedule'!$F$45),'Recurring Schedule'!$O$45)=0),IF('Recurring Schedule'!$E$45="Weekdays",WEEKDAY($A25,2)&lt;=5,$A25='Recurring Schedule'!$F$45))),40,""))))</f>
        <v/>
      </c>
      <c r="AP25">
        <f>COUNT(B25:AO25)</f>
        <v/>
      </c>
      <c r="AQ25">
        <f>AQ24+AP24</f>
        <v/>
      </c>
      <c r="AS25" t="inlineStr">
        <is>
          <t>R</t>
        </is>
      </c>
      <c r="AT25" t="n">
        <v>29</v>
      </c>
      <c r="AU25">
        <f>'Recurring Log'!C29&amp;""</f>
        <v/>
      </c>
      <c r="AV25">
        <f>'Recurring Log'!D29&amp;""</f>
        <v/>
      </c>
      <c r="AW25">
        <f>IF('Recurring Log'!E29="","",'Recurring Log'!E29)</f>
        <v/>
      </c>
      <c r="AX25">
        <f>IF('Recurring Log'!G29="","",'Recurring Log'!G29)</f>
        <v/>
      </c>
      <c r="AY25">
        <f>IF('Recurring Log'!H29="","",'Recurring Log'!H29)</f>
        <v/>
      </c>
      <c r="AZ25">
        <f>IF(AU25="","",IF('Recurring Log'!J29="","Not Started",'Recurring Log'!J29))</f>
        <v/>
      </c>
      <c r="BA25">
        <f>'Recurring Log'!L29&amp;""</f>
        <v/>
      </c>
      <c r="BB25">
        <f>'Recurring Log'!M29&amp;""</f>
        <v/>
      </c>
      <c r="BC25">
        <f>'Recurring Log'!N29&amp;""</f>
        <v/>
      </c>
      <c r="BD25">
        <f>'Recurring Log'!O29&amp;""</f>
        <v/>
      </c>
      <c r="BE25">
        <f>IF('Recurring Log'!K29="","",'Recurring Log'!K29)</f>
        <v/>
      </c>
      <c r="BF25">
        <f>IFERROR(MATCH(BA25,Setup!$L$6:$L$9,0),5)</f>
        <v/>
      </c>
      <c r="BG25">
        <f>IF(OR(AZ25="Done",AZ25="Cancelled"),1,0)</f>
        <v/>
      </c>
      <c r="BH25">
        <f>IF(AND(AU25&lt;&gt;"",ISNUMBER(AW25)),1,0)</f>
        <v/>
      </c>
      <c r="BI25">
        <f>IF(BH25=0,0,IF(AND(AW25&gt;='Tasks Filter'!$F$3,AW25&lt;='Tasks Filter'!$F$4,OR('Tasks Filter'!$I$3="",ISNUMBER(SEARCH('Tasks Filter'!$I$3,AU25))),OR('Tasks Filter'!$I$4="",BF25=IFERROR(MATCH('Tasks Filter'!$I$4,Setup!$L$6:$L$9,0),0)),OR('Tasks Filter'!$I$5="Both",AND('Tasks Filter'!$I$5="Yes",BB25="✓"),AND('Tasks Filter'!$I$5="No",BB25&lt;&gt;"✓")),OR('Tasks Filter'!$L$3="",AV25='Tasks Filter'!$L$3),OR('Tasks Filter'!$L$4="",AZ25='Tasks Filter'!$L$4),OR('Tasks Filter'!$L$5="",BC25='Tasks Filter'!$L$5),OR('Tasks Filter'!$O$3="",BD25='Tasks Filter'!$O$3),OR('Tasks Filter'!$O$4="Yes",BG25=0)),1,0))</f>
        <v/>
      </c>
      <c r="BJ25">
        <f>IF(BH25=0,"",IF('Tasks Filter'!$F$6="Descending",-1,1)*CHOOSE(MATCH('Tasks Filter'!$F$5,Lists!$G$2:$G$6,0),AW25,BF25,IFERROR(MATCH(AV25,Setup!$F$6:$F$15,0),99),IFERROR(MATCH(BC25,Setup!$H$6:$H$15,0),99),IFERROR(MATCH(AZ25,Setup!$J$6:$J$11,0),99))*1E+9+(AW25-40000)*10000+24)</f>
        <v/>
      </c>
      <c r="BK25">
        <f>IF(BI25=1,BJ25,"")</f>
        <v/>
      </c>
      <c r="BL25">
        <f>IF(AND(BH25=1,BG25=0,N(AW25)&lt;Setup!$D$7),(AW25-40000)*10000+24,"")</f>
        <v/>
      </c>
      <c r="BM25">
        <f>IF(AND(BH25=1,AZ25&lt;&gt;"Cancelled",N(AW25)&gt;=Dashboard!$AB$3,N(AW25)&lt;=Dashboard!$AB$3+6),(AW25-40000)*100000+BF25*10000+24,"")</f>
        <v/>
      </c>
      <c r="BN25">
        <f>IF(AND(BH25=1,AZ25&lt;&gt;"Cancelled"),BF25*10000+24,"")</f>
        <v/>
      </c>
    </row>
    <row r="26">
      <c r="A26">
        <f>Setup!$D$5+24</f>
        <v/>
      </c>
      <c r="B26">
        <f>IF('Recurring Schedule'!$C$6="","",IF('Recurring Schedule'!$F$6="","",IF(OR($A26&lt;'Recurring Schedule'!$F$6,$A26&gt;'Recurring Schedule'!$P$6),"",IF(IF('Recurring Schedule'!$N$6&gt;0,MOD($A26-'Recurring Schedule'!$F$6,'Recurring Schedule'!$N$6)=0,IF('Recurring Schedule'!$O$6&gt;0,AND(DAY($A26)=MIN(DAY('Recurring Schedule'!$F$6),DAY(EOMONTH($A26,0))),MOD((YEAR($A26)-YEAR('Recurring Schedule'!$F$6))*12+MONTH($A26)-MONTH('Recurring Schedule'!$F$6),'Recurring Schedule'!$O$6)=0),IF('Recurring Schedule'!$E$6="Weekdays",WEEKDAY($A26,2)&lt;=5,$A26='Recurring Schedule'!$F$6))),1,""))))</f>
        <v/>
      </c>
      <c r="C26">
        <f>IF('Recurring Schedule'!$C$7="","",IF('Recurring Schedule'!$F$7="","",IF(OR($A26&lt;'Recurring Schedule'!$F$7,$A26&gt;'Recurring Schedule'!$P$7),"",IF(IF('Recurring Schedule'!$N$7&gt;0,MOD($A26-'Recurring Schedule'!$F$7,'Recurring Schedule'!$N$7)=0,IF('Recurring Schedule'!$O$7&gt;0,AND(DAY($A26)=MIN(DAY('Recurring Schedule'!$F$7),DAY(EOMONTH($A26,0))),MOD((YEAR($A26)-YEAR('Recurring Schedule'!$F$7))*12+MONTH($A26)-MONTH('Recurring Schedule'!$F$7),'Recurring Schedule'!$O$7)=0),IF('Recurring Schedule'!$E$7="Weekdays",WEEKDAY($A26,2)&lt;=5,$A26='Recurring Schedule'!$F$7))),2,""))))</f>
        <v/>
      </c>
      <c r="D26">
        <f>IF('Recurring Schedule'!$C$8="","",IF('Recurring Schedule'!$F$8="","",IF(OR($A26&lt;'Recurring Schedule'!$F$8,$A26&gt;'Recurring Schedule'!$P$8),"",IF(IF('Recurring Schedule'!$N$8&gt;0,MOD($A26-'Recurring Schedule'!$F$8,'Recurring Schedule'!$N$8)=0,IF('Recurring Schedule'!$O$8&gt;0,AND(DAY($A26)=MIN(DAY('Recurring Schedule'!$F$8),DAY(EOMONTH($A26,0))),MOD((YEAR($A26)-YEAR('Recurring Schedule'!$F$8))*12+MONTH($A26)-MONTH('Recurring Schedule'!$F$8),'Recurring Schedule'!$O$8)=0),IF('Recurring Schedule'!$E$8="Weekdays",WEEKDAY($A26,2)&lt;=5,$A26='Recurring Schedule'!$F$8))),3,""))))</f>
        <v/>
      </c>
      <c r="E26">
        <f>IF('Recurring Schedule'!$C$9="","",IF('Recurring Schedule'!$F$9="","",IF(OR($A26&lt;'Recurring Schedule'!$F$9,$A26&gt;'Recurring Schedule'!$P$9),"",IF(IF('Recurring Schedule'!$N$9&gt;0,MOD($A26-'Recurring Schedule'!$F$9,'Recurring Schedule'!$N$9)=0,IF('Recurring Schedule'!$O$9&gt;0,AND(DAY($A26)=MIN(DAY('Recurring Schedule'!$F$9),DAY(EOMONTH($A26,0))),MOD((YEAR($A26)-YEAR('Recurring Schedule'!$F$9))*12+MONTH($A26)-MONTH('Recurring Schedule'!$F$9),'Recurring Schedule'!$O$9)=0),IF('Recurring Schedule'!$E$9="Weekdays",WEEKDAY($A26,2)&lt;=5,$A26='Recurring Schedule'!$F$9))),4,""))))</f>
        <v/>
      </c>
      <c r="F26">
        <f>IF('Recurring Schedule'!$C$10="","",IF('Recurring Schedule'!$F$10="","",IF(OR($A26&lt;'Recurring Schedule'!$F$10,$A26&gt;'Recurring Schedule'!$P$10),"",IF(IF('Recurring Schedule'!$N$10&gt;0,MOD($A26-'Recurring Schedule'!$F$10,'Recurring Schedule'!$N$10)=0,IF('Recurring Schedule'!$O$10&gt;0,AND(DAY($A26)=MIN(DAY('Recurring Schedule'!$F$10),DAY(EOMONTH($A26,0))),MOD((YEAR($A26)-YEAR('Recurring Schedule'!$F$10))*12+MONTH($A26)-MONTH('Recurring Schedule'!$F$10),'Recurring Schedule'!$O$10)=0),IF('Recurring Schedule'!$E$10="Weekdays",WEEKDAY($A26,2)&lt;=5,$A26='Recurring Schedule'!$F$10))),5,""))))</f>
        <v/>
      </c>
      <c r="G26">
        <f>IF('Recurring Schedule'!$C$11="","",IF('Recurring Schedule'!$F$11="","",IF(OR($A26&lt;'Recurring Schedule'!$F$11,$A26&gt;'Recurring Schedule'!$P$11),"",IF(IF('Recurring Schedule'!$N$11&gt;0,MOD($A26-'Recurring Schedule'!$F$11,'Recurring Schedule'!$N$11)=0,IF('Recurring Schedule'!$O$11&gt;0,AND(DAY($A26)=MIN(DAY('Recurring Schedule'!$F$11),DAY(EOMONTH($A26,0))),MOD((YEAR($A26)-YEAR('Recurring Schedule'!$F$11))*12+MONTH($A26)-MONTH('Recurring Schedule'!$F$11),'Recurring Schedule'!$O$11)=0),IF('Recurring Schedule'!$E$11="Weekdays",WEEKDAY($A26,2)&lt;=5,$A26='Recurring Schedule'!$F$11))),6,""))))</f>
        <v/>
      </c>
      <c r="H26">
        <f>IF('Recurring Schedule'!$C$12="","",IF('Recurring Schedule'!$F$12="","",IF(OR($A26&lt;'Recurring Schedule'!$F$12,$A26&gt;'Recurring Schedule'!$P$12),"",IF(IF('Recurring Schedule'!$N$12&gt;0,MOD($A26-'Recurring Schedule'!$F$12,'Recurring Schedule'!$N$12)=0,IF('Recurring Schedule'!$O$12&gt;0,AND(DAY($A26)=MIN(DAY('Recurring Schedule'!$F$12),DAY(EOMONTH($A26,0))),MOD((YEAR($A26)-YEAR('Recurring Schedule'!$F$12))*12+MONTH($A26)-MONTH('Recurring Schedule'!$F$12),'Recurring Schedule'!$O$12)=0),IF('Recurring Schedule'!$E$12="Weekdays",WEEKDAY($A26,2)&lt;=5,$A26='Recurring Schedule'!$F$12))),7,""))))</f>
        <v/>
      </c>
      <c r="I26">
        <f>IF('Recurring Schedule'!$C$13="","",IF('Recurring Schedule'!$F$13="","",IF(OR($A26&lt;'Recurring Schedule'!$F$13,$A26&gt;'Recurring Schedule'!$P$13),"",IF(IF('Recurring Schedule'!$N$13&gt;0,MOD($A26-'Recurring Schedule'!$F$13,'Recurring Schedule'!$N$13)=0,IF('Recurring Schedule'!$O$13&gt;0,AND(DAY($A26)=MIN(DAY('Recurring Schedule'!$F$13),DAY(EOMONTH($A26,0))),MOD((YEAR($A26)-YEAR('Recurring Schedule'!$F$13))*12+MONTH($A26)-MONTH('Recurring Schedule'!$F$13),'Recurring Schedule'!$O$13)=0),IF('Recurring Schedule'!$E$13="Weekdays",WEEKDAY($A26,2)&lt;=5,$A26='Recurring Schedule'!$F$13))),8,""))))</f>
        <v/>
      </c>
      <c r="J26">
        <f>IF('Recurring Schedule'!$C$14="","",IF('Recurring Schedule'!$F$14="","",IF(OR($A26&lt;'Recurring Schedule'!$F$14,$A26&gt;'Recurring Schedule'!$P$14),"",IF(IF('Recurring Schedule'!$N$14&gt;0,MOD($A26-'Recurring Schedule'!$F$14,'Recurring Schedule'!$N$14)=0,IF('Recurring Schedule'!$O$14&gt;0,AND(DAY($A26)=MIN(DAY('Recurring Schedule'!$F$14),DAY(EOMONTH($A26,0))),MOD((YEAR($A26)-YEAR('Recurring Schedule'!$F$14))*12+MONTH($A26)-MONTH('Recurring Schedule'!$F$14),'Recurring Schedule'!$O$14)=0),IF('Recurring Schedule'!$E$14="Weekdays",WEEKDAY($A26,2)&lt;=5,$A26='Recurring Schedule'!$F$14))),9,""))))</f>
        <v/>
      </c>
      <c r="K26">
        <f>IF('Recurring Schedule'!$C$15="","",IF('Recurring Schedule'!$F$15="","",IF(OR($A26&lt;'Recurring Schedule'!$F$15,$A26&gt;'Recurring Schedule'!$P$15),"",IF(IF('Recurring Schedule'!$N$15&gt;0,MOD($A26-'Recurring Schedule'!$F$15,'Recurring Schedule'!$N$15)=0,IF('Recurring Schedule'!$O$15&gt;0,AND(DAY($A26)=MIN(DAY('Recurring Schedule'!$F$15),DAY(EOMONTH($A26,0))),MOD((YEAR($A26)-YEAR('Recurring Schedule'!$F$15))*12+MONTH($A26)-MONTH('Recurring Schedule'!$F$15),'Recurring Schedule'!$O$15)=0),IF('Recurring Schedule'!$E$15="Weekdays",WEEKDAY($A26,2)&lt;=5,$A26='Recurring Schedule'!$F$15))),10,""))))</f>
        <v/>
      </c>
      <c r="L26">
        <f>IF('Recurring Schedule'!$C$16="","",IF('Recurring Schedule'!$F$16="","",IF(OR($A26&lt;'Recurring Schedule'!$F$16,$A26&gt;'Recurring Schedule'!$P$16),"",IF(IF('Recurring Schedule'!$N$16&gt;0,MOD($A26-'Recurring Schedule'!$F$16,'Recurring Schedule'!$N$16)=0,IF('Recurring Schedule'!$O$16&gt;0,AND(DAY($A26)=MIN(DAY('Recurring Schedule'!$F$16),DAY(EOMONTH($A26,0))),MOD((YEAR($A26)-YEAR('Recurring Schedule'!$F$16))*12+MONTH($A26)-MONTH('Recurring Schedule'!$F$16),'Recurring Schedule'!$O$16)=0),IF('Recurring Schedule'!$E$16="Weekdays",WEEKDAY($A26,2)&lt;=5,$A26='Recurring Schedule'!$F$16))),11,""))))</f>
        <v/>
      </c>
      <c r="M26">
        <f>IF('Recurring Schedule'!$C$17="","",IF('Recurring Schedule'!$F$17="","",IF(OR($A26&lt;'Recurring Schedule'!$F$17,$A26&gt;'Recurring Schedule'!$P$17),"",IF(IF('Recurring Schedule'!$N$17&gt;0,MOD($A26-'Recurring Schedule'!$F$17,'Recurring Schedule'!$N$17)=0,IF('Recurring Schedule'!$O$17&gt;0,AND(DAY($A26)=MIN(DAY('Recurring Schedule'!$F$17),DAY(EOMONTH($A26,0))),MOD((YEAR($A26)-YEAR('Recurring Schedule'!$F$17))*12+MONTH($A26)-MONTH('Recurring Schedule'!$F$17),'Recurring Schedule'!$O$17)=0),IF('Recurring Schedule'!$E$17="Weekdays",WEEKDAY($A26,2)&lt;=5,$A26='Recurring Schedule'!$F$17))),12,""))))</f>
        <v/>
      </c>
      <c r="N26">
        <f>IF('Recurring Schedule'!$C$18="","",IF('Recurring Schedule'!$F$18="","",IF(OR($A26&lt;'Recurring Schedule'!$F$18,$A26&gt;'Recurring Schedule'!$P$18),"",IF(IF('Recurring Schedule'!$N$18&gt;0,MOD($A26-'Recurring Schedule'!$F$18,'Recurring Schedule'!$N$18)=0,IF('Recurring Schedule'!$O$18&gt;0,AND(DAY($A26)=MIN(DAY('Recurring Schedule'!$F$18),DAY(EOMONTH($A26,0))),MOD((YEAR($A26)-YEAR('Recurring Schedule'!$F$18))*12+MONTH($A26)-MONTH('Recurring Schedule'!$F$18),'Recurring Schedule'!$O$18)=0),IF('Recurring Schedule'!$E$18="Weekdays",WEEKDAY($A26,2)&lt;=5,$A26='Recurring Schedule'!$F$18))),13,""))))</f>
        <v/>
      </c>
      <c r="O26">
        <f>IF('Recurring Schedule'!$C$19="","",IF('Recurring Schedule'!$F$19="","",IF(OR($A26&lt;'Recurring Schedule'!$F$19,$A26&gt;'Recurring Schedule'!$P$19),"",IF(IF('Recurring Schedule'!$N$19&gt;0,MOD($A26-'Recurring Schedule'!$F$19,'Recurring Schedule'!$N$19)=0,IF('Recurring Schedule'!$O$19&gt;0,AND(DAY($A26)=MIN(DAY('Recurring Schedule'!$F$19),DAY(EOMONTH($A26,0))),MOD((YEAR($A26)-YEAR('Recurring Schedule'!$F$19))*12+MONTH($A26)-MONTH('Recurring Schedule'!$F$19),'Recurring Schedule'!$O$19)=0),IF('Recurring Schedule'!$E$19="Weekdays",WEEKDAY($A26,2)&lt;=5,$A26='Recurring Schedule'!$F$19))),14,""))))</f>
        <v/>
      </c>
      <c r="P26">
        <f>IF('Recurring Schedule'!$C$20="","",IF('Recurring Schedule'!$F$20="","",IF(OR($A26&lt;'Recurring Schedule'!$F$20,$A26&gt;'Recurring Schedule'!$P$20),"",IF(IF('Recurring Schedule'!$N$20&gt;0,MOD($A26-'Recurring Schedule'!$F$20,'Recurring Schedule'!$N$20)=0,IF('Recurring Schedule'!$O$20&gt;0,AND(DAY($A26)=MIN(DAY('Recurring Schedule'!$F$20),DAY(EOMONTH($A26,0))),MOD((YEAR($A26)-YEAR('Recurring Schedule'!$F$20))*12+MONTH($A26)-MONTH('Recurring Schedule'!$F$20),'Recurring Schedule'!$O$20)=0),IF('Recurring Schedule'!$E$20="Weekdays",WEEKDAY($A26,2)&lt;=5,$A26='Recurring Schedule'!$F$20))),15,""))))</f>
        <v/>
      </c>
      <c r="Q26">
        <f>IF('Recurring Schedule'!$C$21="","",IF('Recurring Schedule'!$F$21="","",IF(OR($A26&lt;'Recurring Schedule'!$F$21,$A26&gt;'Recurring Schedule'!$P$21),"",IF(IF('Recurring Schedule'!$N$21&gt;0,MOD($A26-'Recurring Schedule'!$F$21,'Recurring Schedule'!$N$21)=0,IF('Recurring Schedule'!$O$21&gt;0,AND(DAY($A26)=MIN(DAY('Recurring Schedule'!$F$21),DAY(EOMONTH($A26,0))),MOD((YEAR($A26)-YEAR('Recurring Schedule'!$F$21))*12+MONTH($A26)-MONTH('Recurring Schedule'!$F$21),'Recurring Schedule'!$O$21)=0),IF('Recurring Schedule'!$E$21="Weekdays",WEEKDAY($A26,2)&lt;=5,$A26='Recurring Schedule'!$F$21))),16,""))))</f>
        <v/>
      </c>
      <c r="R26">
        <f>IF('Recurring Schedule'!$C$22="","",IF('Recurring Schedule'!$F$22="","",IF(OR($A26&lt;'Recurring Schedule'!$F$22,$A26&gt;'Recurring Schedule'!$P$22),"",IF(IF('Recurring Schedule'!$N$22&gt;0,MOD($A26-'Recurring Schedule'!$F$22,'Recurring Schedule'!$N$22)=0,IF('Recurring Schedule'!$O$22&gt;0,AND(DAY($A26)=MIN(DAY('Recurring Schedule'!$F$22),DAY(EOMONTH($A26,0))),MOD((YEAR($A26)-YEAR('Recurring Schedule'!$F$22))*12+MONTH($A26)-MONTH('Recurring Schedule'!$F$22),'Recurring Schedule'!$O$22)=0),IF('Recurring Schedule'!$E$22="Weekdays",WEEKDAY($A26,2)&lt;=5,$A26='Recurring Schedule'!$F$22))),17,""))))</f>
        <v/>
      </c>
      <c r="S26">
        <f>IF('Recurring Schedule'!$C$23="","",IF('Recurring Schedule'!$F$23="","",IF(OR($A26&lt;'Recurring Schedule'!$F$23,$A26&gt;'Recurring Schedule'!$P$23),"",IF(IF('Recurring Schedule'!$N$23&gt;0,MOD($A26-'Recurring Schedule'!$F$23,'Recurring Schedule'!$N$23)=0,IF('Recurring Schedule'!$O$23&gt;0,AND(DAY($A26)=MIN(DAY('Recurring Schedule'!$F$23),DAY(EOMONTH($A26,0))),MOD((YEAR($A26)-YEAR('Recurring Schedule'!$F$23))*12+MONTH($A26)-MONTH('Recurring Schedule'!$F$23),'Recurring Schedule'!$O$23)=0),IF('Recurring Schedule'!$E$23="Weekdays",WEEKDAY($A26,2)&lt;=5,$A26='Recurring Schedule'!$F$23))),18,""))))</f>
        <v/>
      </c>
      <c r="T26">
        <f>IF('Recurring Schedule'!$C$24="","",IF('Recurring Schedule'!$F$24="","",IF(OR($A26&lt;'Recurring Schedule'!$F$24,$A26&gt;'Recurring Schedule'!$P$24),"",IF(IF('Recurring Schedule'!$N$24&gt;0,MOD($A26-'Recurring Schedule'!$F$24,'Recurring Schedule'!$N$24)=0,IF('Recurring Schedule'!$O$24&gt;0,AND(DAY($A26)=MIN(DAY('Recurring Schedule'!$F$24),DAY(EOMONTH($A26,0))),MOD((YEAR($A26)-YEAR('Recurring Schedule'!$F$24))*12+MONTH($A26)-MONTH('Recurring Schedule'!$F$24),'Recurring Schedule'!$O$24)=0),IF('Recurring Schedule'!$E$24="Weekdays",WEEKDAY($A26,2)&lt;=5,$A26='Recurring Schedule'!$F$24))),19,""))))</f>
        <v/>
      </c>
      <c r="U26">
        <f>IF('Recurring Schedule'!$C$25="","",IF('Recurring Schedule'!$F$25="","",IF(OR($A26&lt;'Recurring Schedule'!$F$25,$A26&gt;'Recurring Schedule'!$P$25),"",IF(IF('Recurring Schedule'!$N$25&gt;0,MOD($A26-'Recurring Schedule'!$F$25,'Recurring Schedule'!$N$25)=0,IF('Recurring Schedule'!$O$25&gt;0,AND(DAY($A26)=MIN(DAY('Recurring Schedule'!$F$25),DAY(EOMONTH($A26,0))),MOD((YEAR($A26)-YEAR('Recurring Schedule'!$F$25))*12+MONTH($A26)-MONTH('Recurring Schedule'!$F$25),'Recurring Schedule'!$O$25)=0),IF('Recurring Schedule'!$E$25="Weekdays",WEEKDAY($A26,2)&lt;=5,$A26='Recurring Schedule'!$F$25))),20,""))))</f>
        <v/>
      </c>
      <c r="V26">
        <f>IF('Recurring Schedule'!$C$26="","",IF('Recurring Schedule'!$F$26="","",IF(OR($A26&lt;'Recurring Schedule'!$F$26,$A26&gt;'Recurring Schedule'!$P$26),"",IF(IF('Recurring Schedule'!$N$26&gt;0,MOD($A26-'Recurring Schedule'!$F$26,'Recurring Schedule'!$N$26)=0,IF('Recurring Schedule'!$O$26&gt;0,AND(DAY($A26)=MIN(DAY('Recurring Schedule'!$F$26),DAY(EOMONTH($A26,0))),MOD((YEAR($A26)-YEAR('Recurring Schedule'!$F$26))*12+MONTH($A26)-MONTH('Recurring Schedule'!$F$26),'Recurring Schedule'!$O$26)=0),IF('Recurring Schedule'!$E$26="Weekdays",WEEKDAY($A26,2)&lt;=5,$A26='Recurring Schedule'!$F$26))),21,""))))</f>
        <v/>
      </c>
      <c r="W26">
        <f>IF('Recurring Schedule'!$C$27="","",IF('Recurring Schedule'!$F$27="","",IF(OR($A26&lt;'Recurring Schedule'!$F$27,$A26&gt;'Recurring Schedule'!$P$27),"",IF(IF('Recurring Schedule'!$N$27&gt;0,MOD($A26-'Recurring Schedule'!$F$27,'Recurring Schedule'!$N$27)=0,IF('Recurring Schedule'!$O$27&gt;0,AND(DAY($A26)=MIN(DAY('Recurring Schedule'!$F$27),DAY(EOMONTH($A26,0))),MOD((YEAR($A26)-YEAR('Recurring Schedule'!$F$27))*12+MONTH($A26)-MONTH('Recurring Schedule'!$F$27),'Recurring Schedule'!$O$27)=0),IF('Recurring Schedule'!$E$27="Weekdays",WEEKDAY($A26,2)&lt;=5,$A26='Recurring Schedule'!$F$27))),22,""))))</f>
        <v/>
      </c>
      <c r="X26">
        <f>IF('Recurring Schedule'!$C$28="","",IF('Recurring Schedule'!$F$28="","",IF(OR($A26&lt;'Recurring Schedule'!$F$28,$A26&gt;'Recurring Schedule'!$P$28),"",IF(IF('Recurring Schedule'!$N$28&gt;0,MOD($A26-'Recurring Schedule'!$F$28,'Recurring Schedule'!$N$28)=0,IF('Recurring Schedule'!$O$28&gt;0,AND(DAY($A26)=MIN(DAY('Recurring Schedule'!$F$28),DAY(EOMONTH($A26,0))),MOD((YEAR($A26)-YEAR('Recurring Schedule'!$F$28))*12+MONTH($A26)-MONTH('Recurring Schedule'!$F$28),'Recurring Schedule'!$O$28)=0),IF('Recurring Schedule'!$E$28="Weekdays",WEEKDAY($A26,2)&lt;=5,$A26='Recurring Schedule'!$F$28))),23,""))))</f>
        <v/>
      </c>
      <c r="Y26">
        <f>IF('Recurring Schedule'!$C$29="","",IF('Recurring Schedule'!$F$29="","",IF(OR($A26&lt;'Recurring Schedule'!$F$29,$A26&gt;'Recurring Schedule'!$P$29),"",IF(IF('Recurring Schedule'!$N$29&gt;0,MOD($A26-'Recurring Schedule'!$F$29,'Recurring Schedule'!$N$29)=0,IF('Recurring Schedule'!$O$29&gt;0,AND(DAY($A26)=MIN(DAY('Recurring Schedule'!$F$29),DAY(EOMONTH($A26,0))),MOD((YEAR($A26)-YEAR('Recurring Schedule'!$F$29))*12+MONTH($A26)-MONTH('Recurring Schedule'!$F$29),'Recurring Schedule'!$O$29)=0),IF('Recurring Schedule'!$E$29="Weekdays",WEEKDAY($A26,2)&lt;=5,$A26='Recurring Schedule'!$F$29))),24,""))))</f>
        <v/>
      </c>
      <c r="Z26">
        <f>IF('Recurring Schedule'!$C$30="","",IF('Recurring Schedule'!$F$30="","",IF(OR($A26&lt;'Recurring Schedule'!$F$30,$A26&gt;'Recurring Schedule'!$P$30),"",IF(IF('Recurring Schedule'!$N$30&gt;0,MOD($A26-'Recurring Schedule'!$F$30,'Recurring Schedule'!$N$30)=0,IF('Recurring Schedule'!$O$30&gt;0,AND(DAY($A26)=MIN(DAY('Recurring Schedule'!$F$30),DAY(EOMONTH($A26,0))),MOD((YEAR($A26)-YEAR('Recurring Schedule'!$F$30))*12+MONTH($A26)-MONTH('Recurring Schedule'!$F$30),'Recurring Schedule'!$O$30)=0),IF('Recurring Schedule'!$E$30="Weekdays",WEEKDAY($A26,2)&lt;=5,$A26='Recurring Schedule'!$F$30))),25,""))))</f>
        <v/>
      </c>
      <c r="AA26">
        <f>IF('Recurring Schedule'!$C$31="","",IF('Recurring Schedule'!$F$31="","",IF(OR($A26&lt;'Recurring Schedule'!$F$31,$A26&gt;'Recurring Schedule'!$P$31),"",IF(IF('Recurring Schedule'!$N$31&gt;0,MOD($A26-'Recurring Schedule'!$F$31,'Recurring Schedule'!$N$31)=0,IF('Recurring Schedule'!$O$31&gt;0,AND(DAY($A26)=MIN(DAY('Recurring Schedule'!$F$31),DAY(EOMONTH($A26,0))),MOD((YEAR($A26)-YEAR('Recurring Schedule'!$F$31))*12+MONTH($A26)-MONTH('Recurring Schedule'!$F$31),'Recurring Schedule'!$O$31)=0),IF('Recurring Schedule'!$E$31="Weekdays",WEEKDAY($A26,2)&lt;=5,$A26='Recurring Schedule'!$F$31))),26,""))))</f>
        <v/>
      </c>
      <c r="AB26">
        <f>IF('Recurring Schedule'!$C$32="","",IF('Recurring Schedule'!$F$32="","",IF(OR($A26&lt;'Recurring Schedule'!$F$32,$A26&gt;'Recurring Schedule'!$P$32),"",IF(IF('Recurring Schedule'!$N$32&gt;0,MOD($A26-'Recurring Schedule'!$F$32,'Recurring Schedule'!$N$32)=0,IF('Recurring Schedule'!$O$32&gt;0,AND(DAY($A26)=MIN(DAY('Recurring Schedule'!$F$32),DAY(EOMONTH($A26,0))),MOD((YEAR($A26)-YEAR('Recurring Schedule'!$F$32))*12+MONTH($A26)-MONTH('Recurring Schedule'!$F$32),'Recurring Schedule'!$O$32)=0),IF('Recurring Schedule'!$E$32="Weekdays",WEEKDAY($A26,2)&lt;=5,$A26='Recurring Schedule'!$F$32))),27,""))))</f>
        <v/>
      </c>
      <c r="AC26">
        <f>IF('Recurring Schedule'!$C$33="","",IF('Recurring Schedule'!$F$33="","",IF(OR($A26&lt;'Recurring Schedule'!$F$33,$A26&gt;'Recurring Schedule'!$P$33),"",IF(IF('Recurring Schedule'!$N$33&gt;0,MOD($A26-'Recurring Schedule'!$F$33,'Recurring Schedule'!$N$33)=0,IF('Recurring Schedule'!$O$33&gt;0,AND(DAY($A26)=MIN(DAY('Recurring Schedule'!$F$33),DAY(EOMONTH($A26,0))),MOD((YEAR($A26)-YEAR('Recurring Schedule'!$F$33))*12+MONTH($A26)-MONTH('Recurring Schedule'!$F$33),'Recurring Schedule'!$O$33)=0),IF('Recurring Schedule'!$E$33="Weekdays",WEEKDAY($A26,2)&lt;=5,$A26='Recurring Schedule'!$F$33))),28,""))))</f>
        <v/>
      </c>
      <c r="AD26">
        <f>IF('Recurring Schedule'!$C$34="","",IF('Recurring Schedule'!$F$34="","",IF(OR($A26&lt;'Recurring Schedule'!$F$34,$A26&gt;'Recurring Schedule'!$P$34),"",IF(IF('Recurring Schedule'!$N$34&gt;0,MOD($A26-'Recurring Schedule'!$F$34,'Recurring Schedule'!$N$34)=0,IF('Recurring Schedule'!$O$34&gt;0,AND(DAY($A26)=MIN(DAY('Recurring Schedule'!$F$34),DAY(EOMONTH($A26,0))),MOD((YEAR($A26)-YEAR('Recurring Schedule'!$F$34))*12+MONTH($A26)-MONTH('Recurring Schedule'!$F$34),'Recurring Schedule'!$O$34)=0),IF('Recurring Schedule'!$E$34="Weekdays",WEEKDAY($A26,2)&lt;=5,$A26='Recurring Schedule'!$F$34))),29,""))))</f>
        <v/>
      </c>
      <c r="AE26">
        <f>IF('Recurring Schedule'!$C$35="","",IF('Recurring Schedule'!$F$35="","",IF(OR($A26&lt;'Recurring Schedule'!$F$35,$A26&gt;'Recurring Schedule'!$P$35),"",IF(IF('Recurring Schedule'!$N$35&gt;0,MOD($A26-'Recurring Schedule'!$F$35,'Recurring Schedule'!$N$35)=0,IF('Recurring Schedule'!$O$35&gt;0,AND(DAY($A26)=MIN(DAY('Recurring Schedule'!$F$35),DAY(EOMONTH($A26,0))),MOD((YEAR($A26)-YEAR('Recurring Schedule'!$F$35))*12+MONTH($A26)-MONTH('Recurring Schedule'!$F$35),'Recurring Schedule'!$O$35)=0),IF('Recurring Schedule'!$E$35="Weekdays",WEEKDAY($A26,2)&lt;=5,$A26='Recurring Schedule'!$F$35))),30,""))))</f>
        <v/>
      </c>
      <c r="AF26">
        <f>IF('Recurring Schedule'!$C$36="","",IF('Recurring Schedule'!$F$36="","",IF(OR($A26&lt;'Recurring Schedule'!$F$36,$A26&gt;'Recurring Schedule'!$P$36),"",IF(IF('Recurring Schedule'!$N$36&gt;0,MOD($A26-'Recurring Schedule'!$F$36,'Recurring Schedule'!$N$36)=0,IF('Recurring Schedule'!$O$36&gt;0,AND(DAY($A26)=MIN(DAY('Recurring Schedule'!$F$36),DAY(EOMONTH($A26,0))),MOD((YEAR($A26)-YEAR('Recurring Schedule'!$F$36))*12+MONTH($A26)-MONTH('Recurring Schedule'!$F$36),'Recurring Schedule'!$O$36)=0),IF('Recurring Schedule'!$E$36="Weekdays",WEEKDAY($A26,2)&lt;=5,$A26='Recurring Schedule'!$F$36))),31,""))))</f>
        <v/>
      </c>
      <c r="AG26">
        <f>IF('Recurring Schedule'!$C$37="","",IF('Recurring Schedule'!$F$37="","",IF(OR($A26&lt;'Recurring Schedule'!$F$37,$A26&gt;'Recurring Schedule'!$P$37),"",IF(IF('Recurring Schedule'!$N$37&gt;0,MOD($A26-'Recurring Schedule'!$F$37,'Recurring Schedule'!$N$37)=0,IF('Recurring Schedule'!$O$37&gt;0,AND(DAY($A26)=MIN(DAY('Recurring Schedule'!$F$37),DAY(EOMONTH($A26,0))),MOD((YEAR($A26)-YEAR('Recurring Schedule'!$F$37))*12+MONTH($A26)-MONTH('Recurring Schedule'!$F$37),'Recurring Schedule'!$O$37)=0),IF('Recurring Schedule'!$E$37="Weekdays",WEEKDAY($A26,2)&lt;=5,$A26='Recurring Schedule'!$F$37))),32,""))))</f>
        <v/>
      </c>
      <c r="AH26">
        <f>IF('Recurring Schedule'!$C$38="","",IF('Recurring Schedule'!$F$38="","",IF(OR($A26&lt;'Recurring Schedule'!$F$38,$A26&gt;'Recurring Schedule'!$P$38),"",IF(IF('Recurring Schedule'!$N$38&gt;0,MOD($A26-'Recurring Schedule'!$F$38,'Recurring Schedule'!$N$38)=0,IF('Recurring Schedule'!$O$38&gt;0,AND(DAY($A26)=MIN(DAY('Recurring Schedule'!$F$38),DAY(EOMONTH($A26,0))),MOD((YEAR($A26)-YEAR('Recurring Schedule'!$F$38))*12+MONTH($A26)-MONTH('Recurring Schedule'!$F$38),'Recurring Schedule'!$O$38)=0),IF('Recurring Schedule'!$E$38="Weekdays",WEEKDAY($A26,2)&lt;=5,$A26='Recurring Schedule'!$F$38))),33,""))))</f>
        <v/>
      </c>
      <c r="AI26">
        <f>IF('Recurring Schedule'!$C$39="","",IF('Recurring Schedule'!$F$39="","",IF(OR($A26&lt;'Recurring Schedule'!$F$39,$A26&gt;'Recurring Schedule'!$P$39),"",IF(IF('Recurring Schedule'!$N$39&gt;0,MOD($A26-'Recurring Schedule'!$F$39,'Recurring Schedule'!$N$39)=0,IF('Recurring Schedule'!$O$39&gt;0,AND(DAY($A26)=MIN(DAY('Recurring Schedule'!$F$39),DAY(EOMONTH($A26,0))),MOD((YEAR($A26)-YEAR('Recurring Schedule'!$F$39))*12+MONTH($A26)-MONTH('Recurring Schedule'!$F$39),'Recurring Schedule'!$O$39)=0),IF('Recurring Schedule'!$E$39="Weekdays",WEEKDAY($A26,2)&lt;=5,$A26='Recurring Schedule'!$F$39))),34,""))))</f>
        <v/>
      </c>
      <c r="AJ26">
        <f>IF('Recurring Schedule'!$C$40="","",IF('Recurring Schedule'!$F$40="","",IF(OR($A26&lt;'Recurring Schedule'!$F$40,$A26&gt;'Recurring Schedule'!$P$40),"",IF(IF('Recurring Schedule'!$N$40&gt;0,MOD($A26-'Recurring Schedule'!$F$40,'Recurring Schedule'!$N$40)=0,IF('Recurring Schedule'!$O$40&gt;0,AND(DAY($A26)=MIN(DAY('Recurring Schedule'!$F$40),DAY(EOMONTH($A26,0))),MOD((YEAR($A26)-YEAR('Recurring Schedule'!$F$40))*12+MONTH($A26)-MONTH('Recurring Schedule'!$F$40),'Recurring Schedule'!$O$40)=0),IF('Recurring Schedule'!$E$40="Weekdays",WEEKDAY($A26,2)&lt;=5,$A26='Recurring Schedule'!$F$40))),35,""))))</f>
        <v/>
      </c>
      <c r="AK26">
        <f>IF('Recurring Schedule'!$C$41="","",IF('Recurring Schedule'!$F$41="","",IF(OR($A26&lt;'Recurring Schedule'!$F$41,$A26&gt;'Recurring Schedule'!$P$41),"",IF(IF('Recurring Schedule'!$N$41&gt;0,MOD($A26-'Recurring Schedule'!$F$41,'Recurring Schedule'!$N$41)=0,IF('Recurring Schedule'!$O$41&gt;0,AND(DAY($A26)=MIN(DAY('Recurring Schedule'!$F$41),DAY(EOMONTH($A26,0))),MOD((YEAR($A26)-YEAR('Recurring Schedule'!$F$41))*12+MONTH($A26)-MONTH('Recurring Schedule'!$F$41),'Recurring Schedule'!$O$41)=0),IF('Recurring Schedule'!$E$41="Weekdays",WEEKDAY($A26,2)&lt;=5,$A26='Recurring Schedule'!$F$41))),36,""))))</f>
        <v/>
      </c>
      <c r="AL26">
        <f>IF('Recurring Schedule'!$C$42="","",IF('Recurring Schedule'!$F$42="","",IF(OR($A26&lt;'Recurring Schedule'!$F$42,$A26&gt;'Recurring Schedule'!$P$42),"",IF(IF('Recurring Schedule'!$N$42&gt;0,MOD($A26-'Recurring Schedule'!$F$42,'Recurring Schedule'!$N$42)=0,IF('Recurring Schedule'!$O$42&gt;0,AND(DAY($A26)=MIN(DAY('Recurring Schedule'!$F$42),DAY(EOMONTH($A26,0))),MOD((YEAR($A26)-YEAR('Recurring Schedule'!$F$42))*12+MONTH($A26)-MONTH('Recurring Schedule'!$F$42),'Recurring Schedule'!$O$42)=0),IF('Recurring Schedule'!$E$42="Weekdays",WEEKDAY($A26,2)&lt;=5,$A26='Recurring Schedule'!$F$42))),37,""))))</f>
        <v/>
      </c>
      <c r="AM26">
        <f>IF('Recurring Schedule'!$C$43="","",IF('Recurring Schedule'!$F$43="","",IF(OR($A26&lt;'Recurring Schedule'!$F$43,$A26&gt;'Recurring Schedule'!$P$43),"",IF(IF('Recurring Schedule'!$N$43&gt;0,MOD($A26-'Recurring Schedule'!$F$43,'Recurring Schedule'!$N$43)=0,IF('Recurring Schedule'!$O$43&gt;0,AND(DAY($A26)=MIN(DAY('Recurring Schedule'!$F$43),DAY(EOMONTH($A26,0))),MOD((YEAR($A26)-YEAR('Recurring Schedule'!$F$43))*12+MONTH($A26)-MONTH('Recurring Schedule'!$F$43),'Recurring Schedule'!$O$43)=0),IF('Recurring Schedule'!$E$43="Weekdays",WEEKDAY($A26,2)&lt;=5,$A26='Recurring Schedule'!$F$43))),38,""))))</f>
        <v/>
      </c>
      <c r="AN26">
        <f>IF('Recurring Schedule'!$C$44="","",IF('Recurring Schedule'!$F$44="","",IF(OR($A26&lt;'Recurring Schedule'!$F$44,$A26&gt;'Recurring Schedule'!$P$44),"",IF(IF('Recurring Schedule'!$N$44&gt;0,MOD($A26-'Recurring Schedule'!$F$44,'Recurring Schedule'!$N$44)=0,IF('Recurring Schedule'!$O$44&gt;0,AND(DAY($A26)=MIN(DAY('Recurring Schedule'!$F$44),DAY(EOMONTH($A26,0))),MOD((YEAR($A26)-YEAR('Recurring Schedule'!$F$44))*12+MONTH($A26)-MONTH('Recurring Schedule'!$F$44),'Recurring Schedule'!$O$44)=0),IF('Recurring Schedule'!$E$44="Weekdays",WEEKDAY($A26,2)&lt;=5,$A26='Recurring Schedule'!$F$44))),39,""))))</f>
        <v/>
      </c>
      <c r="AO26">
        <f>IF('Recurring Schedule'!$C$45="","",IF('Recurring Schedule'!$F$45="","",IF(OR($A26&lt;'Recurring Schedule'!$F$45,$A26&gt;'Recurring Schedule'!$P$45),"",IF(IF('Recurring Schedule'!$N$45&gt;0,MOD($A26-'Recurring Schedule'!$F$45,'Recurring Schedule'!$N$45)=0,IF('Recurring Schedule'!$O$45&gt;0,AND(DAY($A26)=MIN(DAY('Recurring Schedule'!$F$45),DAY(EOMONTH($A26,0))),MOD((YEAR($A26)-YEAR('Recurring Schedule'!$F$45))*12+MONTH($A26)-MONTH('Recurring Schedule'!$F$45),'Recurring Schedule'!$O$45)=0),IF('Recurring Schedule'!$E$45="Weekdays",WEEKDAY($A26,2)&lt;=5,$A26='Recurring Schedule'!$F$45))),40,""))))</f>
        <v/>
      </c>
      <c r="AP26">
        <f>COUNT(B26:AO26)</f>
        <v/>
      </c>
      <c r="AQ26">
        <f>AQ25+AP25</f>
        <v/>
      </c>
      <c r="AS26" t="inlineStr">
        <is>
          <t>R</t>
        </is>
      </c>
      <c r="AT26" t="n">
        <v>30</v>
      </c>
      <c r="AU26">
        <f>'Recurring Log'!C30&amp;""</f>
        <v/>
      </c>
      <c r="AV26">
        <f>'Recurring Log'!D30&amp;""</f>
        <v/>
      </c>
      <c r="AW26">
        <f>IF('Recurring Log'!E30="","",'Recurring Log'!E30)</f>
        <v/>
      </c>
      <c r="AX26">
        <f>IF('Recurring Log'!G30="","",'Recurring Log'!G30)</f>
        <v/>
      </c>
      <c r="AY26">
        <f>IF('Recurring Log'!H30="","",'Recurring Log'!H30)</f>
        <v/>
      </c>
      <c r="AZ26">
        <f>IF(AU26="","",IF('Recurring Log'!J30="","Not Started",'Recurring Log'!J30))</f>
        <v/>
      </c>
      <c r="BA26">
        <f>'Recurring Log'!L30&amp;""</f>
        <v/>
      </c>
      <c r="BB26">
        <f>'Recurring Log'!M30&amp;""</f>
        <v/>
      </c>
      <c r="BC26">
        <f>'Recurring Log'!N30&amp;""</f>
        <v/>
      </c>
      <c r="BD26">
        <f>'Recurring Log'!O30&amp;""</f>
        <v/>
      </c>
      <c r="BE26">
        <f>IF('Recurring Log'!K30="","",'Recurring Log'!K30)</f>
        <v/>
      </c>
      <c r="BF26">
        <f>IFERROR(MATCH(BA26,Setup!$L$6:$L$9,0),5)</f>
        <v/>
      </c>
      <c r="BG26">
        <f>IF(OR(AZ26="Done",AZ26="Cancelled"),1,0)</f>
        <v/>
      </c>
      <c r="BH26">
        <f>IF(AND(AU26&lt;&gt;"",ISNUMBER(AW26)),1,0)</f>
        <v/>
      </c>
      <c r="BI26">
        <f>IF(BH26=0,0,IF(AND(AW26&gt;='Tasks Filter'!$F$3,AW26&lt;='Tasks Filter'!$F$4,OR('Tasks Filter'!$I$3="",ISNUMBER(SEARCH('Tasks Filter'!$I$3,AU26))),OR('Tasks Filter'!$I$4="",BF26=IFERROR(MATCH('Tasks Filter'!$I$4,Setup!$L$6:$L$9,0),0)),OR('Tasks Filter'!$I$5="Both",AND('Tasks Filter'!$I$5="Yes",BB26="✓"),AND('Tasks Filter'!$I$5="No",BB26&lt;&gt;"✓")),OR('Tasks Filter'!$L$3="",AV26='Tasks Filter'!$L$3),OR('Tasks Filter'!$L$4="",AZ26='Tasks Filter'!$L$4),OR('Tasks Filter'!$L$5="",BC26='Tasks Filter'!$L$5),OR('Tasks Filter'!$O$3="",BD26='Tasks Filter'!$O$3),OR('Tasks Filter'!$O$4="Yes",BG26=0)),1,0))</f>
        <v/>
      </c>
      <c r="BJ26">
        <f>IF(BH26=0,"",IF('Tasks Filter'!$F$6="Descending",-1,1)*CHOOSE(MATCH('Tasks Filter'!$F$5,Lists!$G$2:$G$6,0),AW26,BF26,IFERROR(MATCH(AV26,Setup!$F$6:$F$15,0),99),IFERROR(MATCH(BC26,Setup!$H$6:$H$15,0),99),IFERROR(MATCH(AZ26,Setup!$J$6:$J$11,0),99))*1E+9+(AW26-40000)*10000+25)</f>
        <v/>
      </c>
      <c r="BK26">
        <f>IF(BI26=1,BJ26,"")</f>
        <v/>
      </c>
      <c r="BL26">
        <f>IF(AND(BH26=1,BG26=0,N(AW26)&lt;Setup!$D$7),(AW26-40000)*10000+25,"")</f>
        <v/>
      </c>
      <c r="BM26">
        <f>IF(AND(BH26=1,AZ26&lt;&gt;"Cancelled",N(AW26)&gt;=Dashboard!$AB$3,N(AW26)&lt;=Dashboard!$AB$3+6),(AW26-40000)*100000+BF26*10000+25,"")</f>
        <v/>
      </c>
      <c r="BN26">
        <f>IF(AND(BH26=1,AZ26&lt;&gt;"Cancelled"),BF26*10000+25,"")</f>
        <v/>
      </c>
    </row>
    <row r="27">
      <c r="A27">
        <f>Setup!$D$5+25</f>
        <v/>
      </c>
      <c r="B27">
        <f>IF('Recurring Schedule'!$C$6="","",IF('Recurring Schedule'!$F$6="","",IF(OR($A27&lt;'Recurring Schedule'!$F$6,$A27&gt;'Recurring Schedule'!$P$6),"",IF(IF('Recurring Schedule'!$N$6&gt;0,MOD($A27-'Recurring Schedule'!$F$6,'Recurring Schedule'!$N$6)=0,IF('Recurring Schedule'!$O$6&gt;0,AND(DAY($A27)=MIN(DAY('Recurring Schedule'!$F$6),DAY(EOMONTH($A27,0))),MOD((YEAR($A27)-YEAR('Recurring Schedule'!$F$6))*12+MONTH($A27)-MONTH('Recurring Schedule'!$F$6),'Recurring Schedule'!$O$6)=0),IF('Recurring Schedule'!$E$6="Weekdays",WEEKDAY($A27,2)&lt;=5,$A27='Recurring Schedule'!$F$6))),1,""))))</f>
        <v/>
      </c>
      <c r="C27">
        <f>IF('Recurring Schedule'!$C$7="","",IF('Recurring Schedule'!$F$7="","",IF(OR($A27&lt;'Recurring Schedule'!$F$7,$A27&gt;'Recurring Schedule'!$P$7),"",IF(IF('Recurring Schedule'!$N$7&gt;0,MOD($A27-'Recurring Schedule'!$F$7,'Recurring Schedule'!$N$7)=0,IF('Recurring Schedule'!$O$7&gt;0,AND(DAY($A27)=MIN(DAY('Recurring Schedule'!$F$7),DAY(EOMONTH($A27,0))),MOD((YEAR($A27)-YEAR('Recurring Schedule'!$F$7))*12+MONTH($A27)-MONTH('Recurring Schedule'!$F$7),'Recurring Schedule'!$O$7)=0),IF('Recurring Schedule'!$E$7="Weekdays",WEEKDAY($A27,2)&lt;=5,$A27='Recurring Schedule'!$F$7))),2,""))))</f>
        <v/>
      </c>
      <c r="D27">
        <f>IF('Recurring Schedule'!$C$8="","",IF('Recurring Schedule'!$F$8="","",IF(OR($A27&lt;'Recurring Schedule'!$F$8,$A27&gt;'Recurring Schedule'!$P$8),"",IF(IF('Recurring Schedule'!$N$8&gt;0,MOD($A27-'Recurring Schedule'!$F$8,'Recurring Schedule'!$N$8)=0,IF('Recurring Schedule'!$O$8&gt;0,AND(DAY($A27)=MIN(DAY('Recurring Schedule'!$F$8),DAY(EOMONTH($A27,0))),MOD((YEAR($A27)-YEAR('Recurring Schedule'!$F$8))*12+MONTH($A27)-MONTH('Recurring Schedule'!$F$8),'Recurring Schedule'!$O$8)=0),IF('Recurring Schedule'!$E$8="Weekdays",WEEKDAY($A27,2)&lt;=5,$A27='Recurring Schedule'!$F$8))),3,""))))</f>
        <v/>
      </c>
      <c r="E27">
        <f>IF('Recurring Schedule'!$C$9="","",IF('Recurring Schedule'!$F$9="","",IF(OR($A27&lt;'Recurring Schedule'!$F$9,$A27&gt;'Recurring Schedule'!$P$9),"",IF(IF('Recurring Schedule'!$N$9&gt;0,MOD($A27-'Recurring Schedule'!$F$9,'Recurring Schedule'!$N$9)=0,IF('Recurring Schedule'!$O$9&gt;0,AND(DAY($A27)=MIN(DAY('Recurring Schedule'!$F$9),DAY(EOMONTH($A27,0))),MOD((YEAR($A27)-YEAR('Recurring Schedule'!$F$9))*12+MONTH($A27)-MONTH('Recurring Schedule'!$F$9),'Recurring Schedule'!$O$9)=0),IF('Recurring Schedule'!$E$9="Weekdays",WEEKDAY($A27,2)&lt;=5,$A27='Recurring Schedule'!$F$9))),4,""))))</f>
        <v/>
      </c>
      <c r="F27">
        <f>IF('Recurring Schedule'!$C$10="","",IF('Recurring Schedule'!$F$10="","",IF(OR($A27&lt;'Recurring Schedule'!$F$10,$A27&gt;'Recurring Schedule'!$P$10),"",IF(IF('Recurring Schedule'!$N$10&gt;0,MOD($A27-'Recurring Schedule'!$F$10,'Recurring Schedule'!$N$10)=0,IF('Recurring Schedule'!$O$10&gt;0,AND(DAY($A27)=MIN(DAY('Recurring Schedule'!$F$10),DAY(EOMONTH($A27,0))),MOD((YEAR($A27)-YEAR('Recurring Schedule'!$F$10))*12+MONTH($A27)-MONTH('Recurring Schedule'!$F$10),'Recurring Schedule'!$O$10)=0),IF('Recurring Schedule'!$E$10="Weekdays",WEEKDAY($A27,2)&lt;=5,$A27='Recurring Schedule'!$F$10))),5,""))))</f>
        <v/>
      </c>
      <c r="G27">
        <f>IF('Recurring Schedule'!$C$11="","",IF('Recurring Schedule'!$F$11="","",IF(OR($A27&lt;'Recurring Schedule'!$F$11,$A27&gt;'Recurring Schedule'!$P$11),"",IF(IF('Recurring Schedule'!$N$11&gt;0,MOD($A27-'Recurring Schedule'!$F$11,'Recurring Schedule'!$N$11)=0,IF('Recurring Schedule'!$O$11&gt;0,AND(DAY($A27)=MIN(DAY('Recurring Schedule'!$F$11),DAY(EOMONTH($A27,0))),MOD((YEAR($A27)-YEAR('Recurring Schedule'!$F$11))*12+MONTH($A27)-MONTH('Recurring Schedule'!$F$11),'Recurring Schedule'!$O$11)=0),IF('Recurring Schedule'!$E$11="Weekdays",WEEKDAY($A27,2)&lt;=5,$A27='Recurring Schedule'!$F$11))),6,""))))</f>
        <v/>
      </c>
      <c r="H27">
        <f>IF('Recurring Schedule'!$C$12="","",IF('Recurring Schedule'!$F$12="","",IF(OR($A27&lt;'Recurring Schedule'!$F$12,$A27&gt;'Recurring Schedule'!$P$12),"",IF(IF('Recurring Schedule'!$N$12&gt;0,MOD($A27-'Recurring Schedule'!$F$12,'Recurring Schedule'!$N$12)=0,IF('Recurring Schedule'!$O$12&gt;0,AND(DAY($A27)=MIN(DAY('Recurring Schedule'!$F$12),DAY(EOMONTH($A27,0))),MOD((YEAR($A27)-YEAR('Recurring Schedule'!$F$12))*12+MONTH($A27)-MONTH('Recurring Schedule'!$F$12),'Recurring Schedule'!$O$12)=0),IF('Recurring Schedule'!$E$12="Weekdays",WEEKDAY($A27,2)&lt;=5,$A27='Recurring Schedule'!$F$12))),7,""))))</f>
        <v/>
      </c>
      <c r="I27">
        <f>IF('Recurring Schedule'!$C$13="","",IF('Recurring Schedule'!$F$13="","",IF(OR($A27&lt;'Recurring Schedule'!$F$13,$A27&gt;'Recurring Schedule'!$P$13),"",IF(IF('Recurring Schedule'!$N$13&gt;0,MOD($A27-'Recurring Schedule'!$F$13,'Recurring Schedule'!$N$13)=0,IF('Recurring Schedule'!$O$13&gt;0,AND(DAY($A27)=MIN(DAY('Recurring Schedule'!$F$13),DAY(EOMONTH($A27,0))),MOD((YEAR($A27)-YEAR('Recurring Schedule'!$F$13))*12+MONTH($A27)-MONTH('Recurring Schedule'!$F$13),'Recurring Schedule'!$O$13)=0),IF('Recurring Schedule'!$E$13="Weekdays",WEEKDAY($A27,2)&lt;=5,$A27='Recurring Schedule'!$F$13))),8,""))))</f>
        <v/>
      </c>
      <c r="J27">
        <f>IF('Recurring Schedule'!$C$14="","",IF('Recurring Schedule'!$F$14="","",IF(OR($A27&lt;'Recurring Schedule'!$F$14,$A27&gt;'Recurring Schedule'!$P$14),"",IF(IF('Recurring Schedule'!$N$14&gt;0,MOD($A27-'Recurring Schedule'!$F$14,'Recurring Schedule'!$N$14)=0,IF('Recurring Schedule'!$O$14&gt;0,AND(DAY($A27)=MIN(DAY('Recurring Schedule'!$F$14),DAY(EOMONTH($A27,0))),MOD((YEAR($A27)-YEAR('Recurring Schedule'!$F$14))*12+MONTH($A27)-MONTH('Recurring Schedule'!$F$14),'Recurring Schedule'!$O$14)=0),IF('Recurring Schedule'!$E$14="Weekdays",WEEKDAY($A27,2)&lt;=5,$A27='Recurring Schedule'!$F$14))),9,""))))</f>
        <v/>
      </c>
      <c r="K27">
        <f>IF('Recurring Schedule'!$C$15="","",IF('Recurring Schedule'!$F$15="","",IF(OR($A27&lt;'Recurring Schedule'!$F$15,$A27&gt;'Recurring Schedule'!$P$15),"",IF(IF('Recurring Schedule'!$N$15&gt;0,MOD($A27-'Recurring Schedule'!$F$15,'Recurring Schedule'!$N$15)=0,IF('Recurring Schedule'!$O$15&gt;0,AND(DAY($A27)=MIN(DAY('Recurring Schedule'!$F$15),DAY(EOMONTH($A27,0))),MOD((YEAR($A27)-YEAR('Recurring Schedule'!$F$15))*12+MONTH($A27)-MONTH('Recurring Schedule'!$F$15),'Recurring Schedule'!$O$15)=0),IF('Recurring Schedule'!$E$15="Weekdays",WEEKDAY($A27,2)&lt;=5,$A27='Recurring Schedule'!$F$15))),10,""))))</f>
        <v/>
      </c>
      <c r="L27">
        <f>IF('Recurring Schedule'!$C$16="","",IF('Recurring Schedule'!$F$16="","",IF(OR($A27&lt;'Recurring Schedule'!$F$16,$A27&gt;'Recurring Schedule'!$P$16),"",IF(IF('Recurring Schedule'!$N$16&gt;0,MOD($A27-'Recurring Schedule'!$F$16,'Recurring Schedule'!$N$16)=0,IF('Recurring Schedule'!$O$16&gt;0,AND(DAY($A27)=MIN(DAY('Recurring Schedule'!$F$16),DAY(EOMONTH($A27,0))),MOD((YEAR($A27)-YEAR('Recurring Schedule'!$F$16))*12+MONTH($A27)-MONTH('Recurring Schedule'!$F$16),'Recurring Schedule'!$O$16)=0),IF('Recurring Schedule'!$E$16="Weekdays",WEEKDAY($A27,2)&lt;=5,$A27='Recurring Schedule'!$F$16))),11,""))))</f>
        <v/>
      </c>
      <c r="M27">
        <f>IF('Recurring Schedule'!$C$17="","",IF('Recurring Schedule'!$F$17="","",IF(OR($A27&lt;'Recurring Schedule'!$F$17,$A27&gt;'Recurring Schedule'!$P$17),"",IF(IF('Recurring Schedule'!$N$17&gt;0,MOD($A27-'Recurring Schedule'!$F$17,'Recurring Schedule'!$N$17)=0,IF('Recurring Schedule'!$O$17&gt;0,AND(DAY($A27)=MIN(DAY('Recurring Schedule'!$F$17),DAY(EOMONTH($A27,0))),MOD((YEAR($A27)-YEAR('Recurring Schedule'!$F$17))*12+MONTH($A27)-MONTH('Recurring Schedule'!$F$17),'Recurring Schedule'!$O$17)=0),IF('Recurring Schedule'!$E$17="Weekdays",WEEKDAY($A27,2)&lt;=5,$A27='Recurring Schedule'!$F$17))),12,""))))</f>
        <v/>
      </c>
      <c r="N27">
        <f>IF('Recurring Schedule'!$C$18="","",IF('Recurring Schedule'!$F$18="","",IF(OR($A27&lt;'Recurring Schedule'!$F$18,$A27&gt;'Recurring Schedule'!$P$18),"",IF(IF('Recurring Schedule'!$N$18&gt;0,MOD($A27-'Recurring Schedule'!$F$18,'Recurring Schedule'!$N$18)=0,IF('Recurring Schedule'!$O$18&gt;0,AND(DAY($A27)=MIN(DAY('Recurring Schedule'!$F$18),DAY(EOMONTH($A27,0))),MOD((YEAR($A27)-YEAR('Recurring Schedule'!$F$18))*12+MONTH($A27)-MONTH('Recurring Schedule'!$F$18),'Recurring Schedule'!$O$18)=0),IF('Recurring Schedule'!$E$18="Weekdays",WEEKDAY($A27,2)&lt;=5,$A27='Recurring Schedule'!$F$18))),13,""))))</f>
        <v/>
      </c>
      <c r="O27">
        <f>IF('Recurring Schedule'!$C$19="","",IF('Recurring Schedule'!$F$19="","",IF(OR($A27&lt;'Recurring Schedule'!$F$19,$A27&gt;'Recurring Schedule'!$P$19),"",IF(IF('Recurring Schedule'!$N$19&gt;0,MOD($A27-'Recurring Schedule'!$F$19,'Recurring Schedule'!$N$19)=0,IF('Recurring Schedule'!$O$19&gt;0,AND(DAY($A27)=MIN(DAY('Recurring Schedule'!$F$19),DAY(EOMONTH($A27,0))),MOD((YEAR($A27)-YEAR('Recurring Schedule'!$F$19))*12+MONTH($A27)-MONTH('Recurring Schedule'!$F$19),'Recurring Schedule'!$O$19)=0),IF('Recurring Schedule'!$E$19="Weekdays",WEEKDAY($A27,2)&lt;=5,$A27='Recurring Schedule'!$F$19))),14,""))))</f>
        <v/>
      </c>
      <c r="P27">
        <f>IF('Recurring Schedule'!$C$20="","",IF('Recurring Schedule'!$F$20="","",IF(OR($A27&lt;'Recurring Schedule'!$F$20,$A27&gt;'Recurring Schedule'!$P$20),"",IF(IF('Recurring Schedule'!$N$20&gt;0,MOD($A27-'Recurring Schedule'!$F$20,'Recurring Schedule'!$N$20)=0,IF('Recurring Schedule'!$O$20&gt;0,AND(DAY($A27)=MIN(DAY('Recurring Schedule'!$F$20),DAY(EOMONTH($A27,0))),MOD((YEAR($A27)-YEAR('Recurring Schedule'!$F$20))*12+MONTH($A27)-MONTH('Recurring Schedule'!$F$20),'Recurring Schedule'!$O$20)=0),IF('Recurring Schedule'!$E$20="Weekdays",WEEKDAY($A27,2)&lt;=5,$A27='Recurring Schedule'!$F$20))),15,""))))</f>
        <v/>
      </c>
      <c r="Q27">
        <f>IF('Recurring Schedule'!$C$21="","",IF('Recurring Schedule'!$F$21="","",IF(OR($A27&lt;'Recurring Schedule'!$F$21,$A27&gt;'Recurring Schedule'!$P$21),"",IF(IF('Recurring Schedule'!$N$21&gt;0,MOD($A27-'Recurring Schedule'!$F$21,'Recurring Schedule'!$N$21)=0,IF('Recurring Schedule'!$O$21&gt;0,AND(DAY($A27)=MIN(DAY('Recurring Schedule'!$F$21),DAY(EOMONTH($A27,0))),MOD((YEAR($A27)-YEAR('Recurring Schedule'!$F$21))*12+MONTH($A27)-MONTH('Recurring Schedule'!$F$21),'Recurring Schedule'!$O$21)=0),IF('Recurring Schedule'!$E$21="Weekdays",WEEKDAY($A27,2)&lt;=5,$A27='Recurring Schedule'!$F$21))),16,""))))</f>
        <v/>
      </c>
      <c r="R27">
        <f>IF('Recurring Schedule'!$C$22="","",IF('Recurring Schedule'!$F$22="","",IF(OR($A27&lt;'Recurring Schedule'!$F$22,$A27&gt;'Recurring Schedule'!$P$22),"",IF(IF('Recurring Schedule'!$N$22&gt;0,MOD($A27-'Recurring Schedule'!$F$22,'Recurring Schedule'!$N$22)=0,IF('Recurring Schedule'!$O$22&gt;0,AND(DAY($A27)=MIN(DAY('Recurring Schedule'!$F$22),DAY(EOMONTH($A27,0))),MOD((YEAR($A27)-YEAR('Recurring Schedule'!$F$22))*12+MONTH($A27)-MONTH('Recurring Schedule'!$F$22),'Recurring Schedule'!$O$22)=0),IF('Recurring Schedule'!$E$22="Weekdays",WEEKDAY($A27,2)&lt;=5,$A27='Recurring Schedule'!$F$22))),17,""))))</f>
        <v/>
      </c>
      <c r="S27">
        <f>IF('Recurring Schedule'!$C$23="","",IF('Recurring Schedule'!$F$23="","",IF(OR($A27&lt;'Recurring Schedule'!$F$23,$A27&gt;'Recurring Schedule'!$P$23),"",IF(IF('Recurring Schedule'!$N$23&gt;0,MOD($A27-'Recurring Schedule'!$F$23,'Recurring Schedule'!$N$23)=0,IF('Recurring Schedule'!$O$23&gt;0,AND(DAY($A27)=MIN(DAY('Recurring Schedule'!$F$23),DAY(EOMONTH($A27,0))),MOD((YEAR($A27)-YEAR('Recurring Schedule'!$F$23))*12+MONTH($A27)-MONTH('Recurring Schedule'!$F$23),'Recurring Schedule'!$O$23)=0),IF('Recurring Schedule'!$E$23="Weekdays",WEEKDAY($A27,2)&lt;=5,$A27='Recurring Schedule'!$F$23))),18,""))))</f>
        <v/>
      </c>
      <c r="T27">
        <f>IF('Recurring Schedule'!$C$24="","",IF('Recurring Schedule'!$F$24="","",IF(OR($A27&lt;'Recurring Schedule'!$F$24,$A27&gt;'Recurring Schedule'!$P$24),"",IF(IF('Recurring Schedule'!$N$24&gt;0,MOD($A27-'Recurring Schedule'!$F$24,'Recurring Schedule'!$N$24)=0,IF('Recurring Schedule'!$O$24&gt;0,AND(DAY($A27)=MIN(DAY('Recurring Schedule'!$F$24),DAY(EOMONTH($A27,0))),MOD((YEAR($A27)-YEAR('Recurring Schedule'!$F$24))*12+MONTH($A27)-MONTH('Recurring Schedule'!$F$24),'Recurring Schedule'!$O$24)=0),IF('Recurring Schedule'!$E$24="Weekdays",WEEKDAY($A27,2)&lt;=5,$A27='Recurring Schedule'!$F$24))),19,""))))</f>
        <v/>
      </c>
      <c r="U27">
        <f>IF('Recurring Schedule'!$C$25="","",IF('Recurring Schedule'!$F$25="","",IF(OR($A27&lt;'Recurring Schedule'!$F$25,$A27&gt;'Recurring Schedule'!$P$25),"",IF(IF('Recurring Schedule'!$N$25&gt;0,MOD($A27-'Recurring Schedule'!$F$25,'Recurring Schedule'!$N$25)=0,IF('Recurring Schedule'!$O$25&gt;0,AND(DAY($A27)=MIN(DAY('Recurring Schedule'!$F$25),DAY(EOMONTH($A27,0))),MOD((YEAR($A27)-YEAR('Recurring Schedule'!$F$25))*12+MONTH($A27)-MONTH('Recurring Schedule'!$F$25),'Recurring Schedule'!$O$25)=0),IF('Recurring Schedule'!$E$25="Weekdays",WEEKDAY($A27,2)&lt;=5,$A27='Recurring Schedule'!$F$25))),20,""))))</f>
        <v/>
      </c>
      <c r="V27">
        <f>IF('Recurring Schedule'!$C$26="","",IF('Recurring Schedule'!$F$26="","",IF(OR($A27&lt;'Recurring Schedule'!$F$26,$A27&gt;'Recurring Schedule'!$P$26),"",IF(IF('Recurring Schedule'!$N$26&gt;0,MOD($A27-'Recurring Schedule'!$F$26,'Recurring Schedule'!$N$26)=0,IF('Recurring Schedule'!$O$26&gt;0,AND(DAY($A27)=MIN(DAY('Recurring Schedule'!$F$26),DAY(EOMONTH($A27,0))),MOD((YEAR($A27)-YEAR('Recurring Schedule'!$F$26))*12+MONTH($A27)-MONTH('Recurring Schedule'!$F$26),'Recurring Schedule'!$O$26)=0),IF('Recurring Schedule'!$E$26="Weekdays",WEEKDAY($A27,2)&lt;=5,$A27='Recurring Schedule'!$F$26))),21,""))))</f>
        <v/>
      </c>
      <c r="W27">
        <f>IF('Recurring Schedule'!$C$27="","",IF('Recurring Schedule'!$F$27="","",IF(OR($A27&lt;'Recurring Schedule'!$F$27,$A27&gt;'Recurring Schedule'!$P$27),"",IF(IF('Recurring Schedule'!$N$27&gt;0,MOD($A27-'Recurring Schedule'!$F$27,'Recurring Schedule'!$N$27)=0,IF('Recurring Schedule'!$O$27&gt;0,AND(DAY($A27)=MIN(DAY('Recurring Schedule'!$F$27),DAY(EOMONTH($A27,0))),MOD((YEAR($A27)-YEAR('Recurring Schedule'!$F$27))*12+MONTH($A27)-MONTH('Recurring Schedule'!$F$27),'Recurring Schedule'!$O$27)=0),IF('Recurring Schedule'!$E$27="Weekdays",WEEKDAY($A27,2)&lt;=5,$A27='Recurring Schedule'!$F$27))),22,""))))</f>
        <v/>
      </c>
      <c r="X27">
        <f>IF('Recurring Schedule'!$C$28="","",IF('Recurring Schedule'!$F$28="","",IF(OR($A27&lt;'Recurring Schedule'!$F$28,$A27&gt;'Recurring Schedule'!$P$28),"",IF(IF('Recurring Schedule'!$N$28&gt;0,MOD($A27-'Recurring Schedule'!$F$28,'Recurring Schedule'!$N$28)=0,IF('Recurring Schedule'!$O$28&gt;0,AND(DAY($A27)=MIN(DAY('Recurring Schedule'!$F$28),DAY(EOMONTH($A27,0))),MOD((YEAR($A27)-YEAR('Recurring Schedule'!$F$28))*12+MONTH($A27)-MONTH('Recurring Schedule'!$F$28),'Recurring Schedule'!$O$28)=0),IF('Recurring Schedule'!$E$28="Weekdays",WEEKDAY($A27,2)&lt;=5,$A27='Recurring Schedule'!$F$28))),23,""))))</f>
        <v/>
      </c>
      <c r="Y27">
        <f>IF('Recurring Schedule'!$C$29="","",IF('Recurring Schedule'!$F$29="","",IF(OR($A27&lt;'Recurring Schedule'!$F$29,$A27&gt;'Recurring Schedule'!$P$29),"",IF(IF('Recurring Schedule'!$N$29&gt;0,MOD($A27-'Recurring Schedule'!$F$29,'Recurring Schedule'!$N$29)=0,IF('Recurring Schedule'!$O$29&gt;0,AND(DAY($A27)=MIN(DAY('Recurring Schedule'!$F$29),DAY(EOMONTH($A27,0))),MOD((YEAR($A27)-YEAR('Recurring Schedule'!$F$29))*12+MONTH($A27)-MONTH('Recurring Schedule'!$F$29),'Recurring Schedule'!$O$29)=0),IF('Recurring Schedule'!$E$29="Weekdays",WEEKDAY($A27,2)&lt;=5,$A27='Recurring Schedule'!$F$29))),24,""))))</f>
        <v/>
      </c>
      <c r="Z27">
        <f>IF('Recurring Schedule'!$C$30="","",IF('Recurring Schedule'!$F$30="","",IF(OR($A27&lt;'Recurring Schedule'!$F$30,$A27&gt;'Recurring Schedule'!$P$30),"",IF(IF('Recurring Schedule'!$N$30&gt;0,MOD($A27-'Recurring Schedule'!$F$30,'Recurring Schedule'!$N$30)=0,IF('Recurring Schedule'!$O$30&gt;0,AND(DAY($A27)=MIN(DAY('Recurring Schedule'!$F$30),DAY(EOMONTH($A27,0))),MOD((YEAR($A27)-YEAR('Recurring Schedule'!$F$30))*12+MONTH($A27)-MONTH('Recurring Schedule'!$F$30),'Recurring Schedule'!$O$30)=0),IF('Recurring Schedule'!$E$30="Weekdays",WEEKDAY($A27,2)&lt;=5,$A27='Recurring Schedule'!$F$30))),25,""))))</f>
        <v/>
      </c>
      <c r="AA27">
        <f>IF('Recurring Schedule'!$C$31="","",IF('Recurring Schedule'!$F$31="","",IF(OR($A27&lt;'Recurring Schedule'!$F$31,$A27&gt;'Recurring Schedule'!$P$31),"",IF(IF('Recurring Schedule'!$N$31&gt;0,MOD($A27-'Recurring Schedule'!$F$31,'Recurring Schedule'!$N$31)=0,IF('Recurring Schedule'!$O$31&gt;0,AND(DAY($A27)=MIN(DAY('Recurring Schedule'!$F$31),DAY(EOMONTH($A27,0))),MOD((YEAR($A27)-YEAR('Recurring Schedule'!$F$31))*12+MONTH($A27)-MONTH('Recurring Schedule'!$F$31),'Recurring Schedule'!$O$31)=0),IF('Recurring Schedule'!$E$31="Weekdays",WEEKDAY($A27,2)&lt;=5,$A27='Recurring Schedule'!$F$31))),26,""))))</f>
        <v/>
      </c>
      <c r="AB27">
        <f>IF('Recurring Schedule'!$C$32="","",IF('Recurring Schedule'!$F$32="","",IF(OR($A27&lt;'Recurring Schedule'!$F$32,$A27&gt;'Recurring Schedule'!$P$32),"",IF(IF('Recurring Schedule'!$N$32&gt;0,MOD($A27-'Recurring Schedule'!$F$32,'Recurring Schedule'!$N$32)=0,IF('Recurring Schedule'!$O$32&gt;0,AND(DAY($A27)=MIN(DAY('Recurring Schedule'!$F$32),DAY(EOMONTH($A27,0))),MOD((YEAR($A27)-YEAR('Recurring Schedule'!$F$32))*12+MONTH($A27)-MONTH('Recurring Schedule'!$F$32),'Recurring Schedule'!$O$32)=0),IF('Recurring Schedule'!$E$32="Weekdays",WEEKDAY($A27,2)&lt;=5,$A27='Recurring Schedule'!$F$32))),27,""))))</f>
        <v/>
      </c>
      <c r="AC27">
        <f>IF('Recurring Schedule'!$C$33="","",IF('Recurring Schedule'!$F$33="","",IF(OR($A27&lt;'Recurring Schedule'!$F$33,$A27&gt;'Recurring Schedule'!$P$33),"",IF(IF('Recurring Schedule'!$N$33&gt;0,MOD($A27-'Recurring Schedule'!$F$33,'Recurring Schedule'!$N$33)=0,IF('Recurring Schedule'!$O$33&gt;0,AND(DAY($A27)=MIN(DAY('Recurring Schedule'!$F$33),DAY(EOMONTH($A27,0))),MOD((YEAR($A27)-YEAR('Recurring Schedule'!$F$33))*12+MONTH($A27)-MONTH('Recurring Schedule'!$F$33),'Recurring Schedule'!$O$33)=0),IF('Recurring Schedule'!$E$33="Weekdays",WEEKDAY($A27,2)&lt;=5,$A27='Recurring Schedule'!$F$33))),28,""))))</f>
        <v/>
      </c>
      <c r="AD27">
        <f>IF('Recurring Schedule'!$C$34="","",IF('Recurring Schedule'!$F$34="","",IF(OR($A27&lt;'Recurring Schedule'!$F$34,$A27&gt;'Recurring Schedule'!$P$34),"",IF(IF('Recurring Schedule'!$N$34&gt;0,MOD($A27-'Recurring Schedule'!$F$34,'Recurring Schedule'!$N$34)=0,IF('Recurring Schedule'!$O$34&gt;0,AND(DAY($A27)=MIN(DAY('Recurring Schedule'!$F$34),DAY(EOMONTH($A27,0))),MOD((YEAR($A27)-YEAR('Recurring Schedule'!$F$34))*12+MONTH($A27)-MONTH('Recurring Schedule'!$F$34),'Recurring Schedule'!$O$34)=0),IF('Recurring Schedule'!$E$34="Weekdays",WEEKDAY($A27,2)&lt;=5,$A27='Recurring Schedule'!$F$34))),29,""))))</f>
        <v/>
      </c>
      <c r="AE27">
        <f>IF('Recurring Schedule'!$C$35="","",IF('Recurring Schedule'!$F$35="","",IF(OR($A27&lt;'Recurring Schedule'!$F$35,$A27&gt;'Recurring Schedule'!$P$35),"",IF(IF('Recurring Schedule'!$N$35&gt;0,MOD($A27-'Recurring Schedule'!$F$35,'Recurring Schedule'!$N$35)=0,IF('Recurring Schedule'!$O$35&gt;0,AND(DAY($A27)=MIN(DAY('Recurring Schedule'!$F$35),DAY(EOMONTH($A27,0))),MOD((YEAR($A27)-YEAR('Recurring Schedule'!$F$35))*12+MONTH($A27)-MONTH('Recurring Schedule'!$F$35),'Recurring Schedule'!$O$35)=0),IF('Recurring Schedule'!$E$35="Weekdays",WEEKDAY($A27,2)&lt;=5,$A27='Recurring Schedule'!$F$35))),30,""))))</f>
        <v/>
      </c>
      <c r="AF27">
        <f>IF('Recurring Schedule'!$C$36="","",IF('Recurring Schedule'!$F$36="","",IF(OR($A27&lt;'Recurring Schedule'!$F$36,$A27&gt;'Recurring Schedule'!$P$36),"",IF(IF('Recurring Schedule'!$N$36&gt;0,MOD($A27-'Recurring Schedule'!$F$36,'Recurring Schedule'!$N$36)=0,IF('Recurring Schedule'!$O$36&gt;0,AND(DAY($A27)=MIN(DAY('Recurring Schedule'!$F$36),DAY(EOMONTH($A27,0))),MOD((YEAR($A27)-YEAR('Recurring Schedule'!$F$36))*12+MONTH($A27)-MONTH('Recurring Schedule'!$F$36),'Recurring Schedule'!$O$36)=0),IF('Recurring Schedule'!$E$36="Weekdays",WEEKDAY($A27,2)&lt;=5,$A27='Recurring Schedule'!$F$36))),31,""))))</f>
        <v/>
      </c>
      <c r="AG27">
        <f>IF('Recurring Schedule'!$C$37="","",IF('Recurring Schedule'!$F$37="","",IF(OR($A27&lt;'Recurring Schedule'!$F$37,$A27&gt;'Recurring Schedule'!$P$37),"",IF(IF('Recurring Schedule'!$N$37&gt;0,MOD($A27-'Recurring Schedule'!$F$37,'Recurring Schedule'!$N$37)=0,IF('Recurring Schedule'!$O$37&gt;0,AND(DAY($A27)=MIN(DAY('Recurring Schedule'!$F$37),DAY(EOMONTH($A27,0))),MOD((YEAR($A27)-YEAR('Recurring Schedule'!$F$37))*12+MONTH($A27)-MONTH('Recurring Schedule'!$F$37),'Recurring Schedule'!$O$37)=0),IF('Recurring Schedule'!$E$37="Weekdays",WEEKDAY($A27,2)&lt;=5,$A27='Recurring Schedule'!$F$37))),32,""))))</f>
        <v/>
      </c>
      <c r="AH27">
        <f>IF('Recurring Schedule'!$C$38="","",IF('Recurring Schedule'!$F$38="","",IF(OR($A27&lt;'Recurring Schedule'!$F$38,$A27&gt;'Recurring Schedule'!$P$38),"",IF(IF('Recurring Schedule'!$N$38&gt;0,MOD($A27-'Recurring Schedule'!$F$38,'Recurring Schedule'!$N$38)=0,IF('Recurring Schedule'!$O$38&gt;0,AND(DAY($A27)=MIN(DAY('Recurring Schedule'!$F$38),DAY(EOMONTH($A27,0))),MOD((YEAR($A27)-YEAR('Recurring Schedule'!$F$38))*12+MONTH($A27)-MONTH('Recurring Schedule'!$F$38),'Recurring Schedule'!$O$38)=0),IF('Recurring Schedule'!$E$38="Weekdays",WEEKDAY($A27,2)&lt;=5,$A27='Recurring Schedule'!$F$38))),33,""))))</f>
        <v/>
      </c>
      <c r="AI27">
        <f>IF('Recurring Schedule'!$C$39="","",IF('Recurring Schedule'!$F$39="","",IF(OR($A27&lt;'Recurring Schedule'!$F$39,$A27&gt;'Recurring Schedule'!$P$39),"",IF(IF('Recurring Schedule'!$N$39&gt;0,MOD($A27-'Recurring Schedule'!$F$39,'Recurring Schedule'!$N$39)=0,IF('Recurring Schedule'!$O$39&gt;0,AND(DAY($A27)=MIN(DAY('Recurring Schedule'!$F$39),DAY(EOMONTH($A27,0))),MOD((YEAR($A27)-YEAR('Recurring Schedule'!$F$39))*12+MONTH($A27)-MONTH('Recurring Schedule'!$F$39),'Recurring Schedule'!$O$39)=0),IF('Recurring Schedule'!$E$39="Weekdays",WEEKDAY($A27,2)&lt;=5,$A27='Recurring Schedule'!$F$39))),34,""))))</f>
        <v/>
      </c>
      <c r="AJ27">
        <f>IF('Recurring Schedule'!$C$40="","",IF('Recurring Schedule'!$F$40="","",IF(OR($A27&lt;'Recurring Schedule'!$F$40,$A27&gt;'Recurring Schedule'!$P$40),"",IF(IF('Recurring Schedule'!$N$40&gt;0,MOD($A27-'Recurring Schedule'!$F$40,'Recurring Schedule'!$N$40)=0,IF('Recurring Schedule'!$O$40&gt;0,AND(DAY($A27)=MIN(DAY('Recurring Schedule'!$F$40),DAY(EOMONTH($A27,0))),MOD((YEAR($A27)-YEAR('Recurring Schedule'!$F$40))*12+MONTH($A27)-MONTH('Recurring Schedule'!$F$40),'Recurring Schedule'!$O$40)=0),IF('Recurring Schedule'!$E$40="Weekdays",WEEKDAY($A27,2)&lt;=5,$A27='Recurring Schedule'!$F$40))),35,""))))</f>
        <v/>
      </c>
      <c r="AK27">
        <f>IF('Recurring Schedule'!$C$41="","",IF('Recurring Schedule'!$F$41="","",IF(OR($A27&lt;'Recurring Schedule'!$F$41,$A27&gt;'Recurring Schedule'!$P$41),"",IF(IF('Recurring Schedule'!$N$41&gt;0,MOD($A27-'Recurring Schedule'!$F$41,'Recurring Schedule'!$N$41)=0,IF('Recurring Schedule'!$O$41&gt;0,AND(DAY($A27)=MIN(DAY('Recurring Schedule'!$F$41),DAY(EOMONTH($A27,0))),MOD((YEAR($A27)-YEAR('Recurring Schedule'!$F$41))*12+MONTH($A27)-MONTH('Recurring Schedule'!$F$41),'Recurring Schedule'!$O$41)=0),IF('Recurring Schedule'!$E$41="Weekdays",WEEKDAY($A27,2)&lt;=5,$A27='Recurring Schedule'!$F$41))),36,""))))</f>
        <v/>
      </c>
      <c r="AL27">
        <f>IF('Recurring Schedule'!$C$42="","",IF('Recurring Schedule'!$F$42="","",IF(OR($A27&lt;'Recurring Schedule'!$F$42,$A27&gt;'Recurring Schedule'!$P$42),"",IF(IF('Recurring Schedule'!$N$42&gt;0,MOD($A27-'Recurring Schedule'!$F$42,'Recurring Schedule'!$N$42)=0,IF('Recurring Schedule'!$O$42&gt;0,AND(DAY($A27)=MIN(DAY('Recurring Schedule'!$F$42),DAY(EOMONTH($A27,0))),MOD((YEAR($A27)-YEAR('Recurring Schedule'!$F$42))*12+MONTH($A27)-MONTH('Recurring Schedule'!$F$42),'Recurring Schedule'!$O$42)=0),IF('Recurring Schedule'!$E$42="Weekdays",WEEKDAY($A27,2)&lt;=5,$A27='Recurring Schedule'!$F$42))),37,""))))</f>
        <v/>
      </c>
      <c r="AM27">
        <f>IF('Recurring Schedule'!$C$43="","",IF('Recurring Schedule'!$F$43="","",IF(OR($A27&lt;'Recurring Schedule'!$F$43,$A27&gt;'Recurring Schedule'!$P$43),"",IF(IF('Recurring Schedule'!$N$43&gt;0,MOD($A27-'Recurring Schedule'!$F$43,'Recurring Schedule'!$N$43)=0,IF('Recurring Schedule'!$O$43&gt;0,AND(DAY($A27)=MIN(DAY('Recurring Schedule'!$F$43),DAY(EOMONTH($A27,0))),MOD((YEAR($A27)-YEAR('Recurring Schedule'!$F$43))*12+MONTH($A27)-MONTH('Recurring Schedule'!$F$43),'Recurring Schedule'!$O$43)=0),IF('Recurring Schedule'!$E$43="Weekdays",WEEKDAY($A27,2)&lt;=5,$A27='Recurring Schedule'!$F$43))),38,""))))</f>
        <v/>
      </c>
      <c r="AN27">
        <f>IF('Recurring Schedule'!$C$44="","",IF('Recurring Schedule'!$F$44="","",IF(OR($A27&lt;'Recurring Schedule'!$F$44,$A27&gt;'Recurring Schedule'!$P$44),"",IF(IF('Recurring Schedule'!$N$44&gt;0,MOD($A27-'Recurring Schedule'!$F$44,'Recurring Schedule'!$N$44)=0,IF('Recurring Schedule'!$O$44&gt;0,AND(DAY($A27)=MIN(DAY('Recurring Schedule'!$F$44),DAY(EOMONTH($A27,0))),MOD((YEAR($A27)-YEAR('Recurring Schedule'!$F$44))*12+MONTH($A27)-MONTH('Recurring Schedule'!$F$44),'Recurring Schedule'!$O$44)=0),IF('Recurring Schedule'!$E$44="Weekdays",WEEKDAY($A27,2)&lt;=5,$A27='Recurring Schedule'!$F$44))),39,""))))</f>
        <v/>
      </c>
      <c r="AO27">
        <f>IF('Recurring Schedule'!$C$45="","",IF('Recurring Schedule'!$F$45="","",IF(OR($A27&lt;'Recurring Schedule'!$F$45,$A27&gt;'Recurring Schedule'!$P$45),"",IF(IF('Recurring Schedule'!$N$45&gt;0,MOD($A27-'Recurring Schedule'!$F$45,'Recurring Schedule'!$N$45)=0,IF('Recurring Schedule'!$O$45&gt;0,AND(DAY($A27)=MIN(DAY('Recurring Schedule'!$F$45),DAY(EOMONTH($A27,0))),MOD((YEAR($A27)-YEAR('Recurring Schedule'!$F$45))*12+MONTH($A27)-MONTH('Recurring Schedule'!$F$45),'Recurring Schedule'!$O$45)=0),IF('Recurring Schedule'!$E$45="Weekdays",WEEKDAY($A27,2)&lt;=5,$A27='Recurring Schedule'!$F$45))),40,""))))</f>
        <v/>
      </c>
      <c r="AP27">
        <f>COUNT(B27:AO27)</f>
        <v/>
      </c>
      <c r="AQ27">
        <f>AQ26+AP26</f>
        <v/>
      </c>
      <c r="AS27" t="inlineStr">
        <is>
          <t>R</t>
        </is>
      </c>
      <c r="AT27" t="n">
        <v>31</v>
      </c>
      <c r="AU27">
        <f>'Recurring Log'!C31&amp;""</f>
        <v/>
      </c>
      <c r="AV27">
        <f>'Recurring Log'!D31&amp;""</f>
        <v/>
      </c>
      <c r="AW27">
        <f>IF('Recurring Log'!E31="","",'Recurring Log'!E31)</f>
        <v/>
      </c>
      <c r="AX27">
        <f>IF('Recurring Log'!G31="","",'Recurring Log'!G31)</f>
        <v/>
      </c>
      <c r="AY27">
        <f>IF('Recurring Log'!H31="","",'Recurring Log'!H31)</f>
        <v/>
      </c>
      <c r="AZ27">
        <f>IF(AU27="","",IF('Recurring Log'!J31="","Not Started",'Recurring Log'!J31))</f>
        <v/>
      </c>
      <c r="BA27">
        <f>'Recurring Log'!L31&amp;""</f>
        <v/>
      </c>
      <c r="BB27">
        <f>'Recurring Log'!M31&amp;""</f>
        <v/>
      </c>
      <c r="BC27">
        <f>'Recurring Log'!N31&amp;""</f>
        <v/>
      </c>
      <c r="BD27">
        <f>'Recurring Log'!O31&amp;""</f>
        <v/>
      </c>
      <c r="BE27">
        <f>IF('Recurring Log'!K31="","",'Recurring Log'!K31)</f>
        <v/>
      </c>
      <c r="BF27">
        <f>IFERROR(MATCH(BA27,Setup!$L$6:$L$9,0),5)</f>
        <v/>
      </c>
      <c r="BG27">
        <f>IF(OR(AZ27="Done",AZ27="Cancelled"),1,0)</f>
        <v/>
      </c>
      <c r="BH27">
        <f>IF(AND(AU27&lt;&gt;"",ISNUMBER(AW27)),1,0)</f>
        <v/>
      </c>
      <c r="BI27">
        <f>IF(BH27=0,0,IF(AND(AW27&gt;='Tasks Filter'!$F$3,AW27&lt;='Tasks Filter'!$F$4,OR('Tasks Filter'!$I$3="",ISNUMBER(SEARCH('Tasks Filter'!$I$3,AU27))),OR('Tasks Filter'!$I$4="",BF27=IFERROR(MATCH('Tasks Filter'!$I$4,Setup!$L$6:$L$9,0),0)),OR('Tasks Filter'!$I$5="Both",AND('Tasks Filter'!$I$5="Yes",BB27="✓"),AND('Tasks Filter'!$I$5="No",BB27&lt;&gt;"✓")),OR('Tasks Filter'!$L$3="",AV27='Tasks Filter'!$L$3),OR('Tasks Filter'!$L$4="",AZ27='Tasks Filter'!$L$4),OR('Tasks Filter'!$L$5="",BC27='Tasks Filter'!$L$5),OR('Tasks Filter'!$O$3="",BD27='Tasks Filter'!$O$3),OR('Tasks Filter'!$O$4="Yes",BG27=0)),1,0))</f>
        <v/>
      </c>
      <c r="BJ27">
        <f>IF(BH27=0,"",IF('Tasks Filter'!$F$6="Descending",-1,1)*CHOOSE(MATCH('Tasks Filter'!$F$5,Lists!$G$2:$G$6,0),AW27,BF27,IFERROR(MATCH(AV27,Setup!$F$6:$F$15,0),99),IFERROR(MATCH(BC27,Setup!$H$6:$H$15,0),99),IFERROR(MATCH(AZ27,Setup!$J$6:$J$11,0),99))*1E+9+(AW27-40000)*10000+26)</f>
        <v/>
      </c>
      <c r="BK27">
        <f>IF(BI27=1,BJ27,"")</f>
        <v/>
      </c>
      <c r="BL27">
        <f>IF(AND(BH27=1,BG27=0,N(AW27)&lt;Setup!$D$7),(AW27-40000)*10000+26,"")</f>
        <v/>
      </c>
      <c r="BM27">
        <f>IF(AND(BH27=1,AZ27&lt;&gt;"Cancelled",N(AW27)&gt;=Dashboard!$AB$3,N(AW27)&lt;=Dashboard!$AB$3+6),(AW27-40000)*100000+BF27*10000+26,"")</f>
        <v/>
      </c>
      <c r="BN27">
        <f>IF(AND(BH27=1,AZ27&lt;&gt;"Cancelled"),BF27*10000+26,"")</f>
        <v/>
      </c>
    </row>
    <row r="28">
      <c r="A28">
        <f>Setup!$D$5+26</f>
        <v/>
      </c>
      <c r="B28">
        <f>IF('Recurring Schedule'!$C$6="","",IF('Recurring Schedule'!$F$6="","",IF(OR($A28&lt;'Recurring Schedule'!$F$6,$A28&gt;'Recurring Schedule'!$P$6),"",IF(IF('Recurring Schedule'!$N$6&gt;0,MOD($A28-'Recurring Schedule'!$F$6,'Recurring Schedule'!$N$6)=0,IF('Recurring Schedule'!$O$6&gt;0,AND(DAY($A28)=MIN(DAY('Recurring Schedule'!$F$6),DAY(EOMONTH($A28,0))),MOD((YEAR($A28)-YEAR('Recurring Schedule'!$F$6))*12+MONTH($A28)-MONTH('Recurring Schedule'!$F$6),'Recurring Schedule'!$O$6)=0),IF('Recurring Schedule'!$E$6="Weekdays",WEEKDAY($A28,2)&lt;=5,$A28='Recurring Schedule'!$F$6))),1,""))))</f>
        <v/>
      </c>
      <c r="C28">
        <f>IF('Recurring Schedule'!$C$7="","",IF('Recurring Schedule'!$F$7="","",IF(OR($A28&lt;'Recurring Schedule'!$F$7,$A28&gt;'Recurring Schedule'!$P$7),"",IF(IF('Recurring Schedule'!$N$7&gt;0,MOD($A28-'Recurring Schedule'!$F$7,'Recurring Schedule'!$N$7)=0,IF('Recurring Schedule'!$O$7&gt;0,AND(DAY($A28)=MIN(DAY('Recurring Schedule'!$F$7),DAY(EOMONTH($A28,0))),MOD((YEAR($A28)-YEAR('Recurring Schedule'!$F$7))*12+MONTH($A28)-MONTH('Recurring Schedule'!$F$7),'Recurring Schedule'!$O$7)=0),IF('Recurring Schedule'!$E$7="Weekdays",WEEKDAY($A28,2)&lt;=5,$A28='Recurring Schedule'!$F$7))),2,""))))</f>
        <v/>
      </c>
      <c r="D28">
        <f>IF('Recurring Schedule'!$C$8="","",IF('Recurring Schedule'!$F$8="","",IF(OR($A28&lt;'Recurring Schedule'!$F$8,$A28&gt;'Recurring Schedule'!$P$8),"",IF(IF('Recurring Schedule'!$N$8&gt;0,MOD($A28-'Recurring Schedule'!$F$8,'Recurring Schedule'!$N$8)=0,IF('Recurring Schedule'!$O$8&gt;0,AND(DAY($A28)=MIN(DAY('Recurring Schedule'!$F$8),DAY(EOMONTH($A28,0))),MOD((YEAR($A28)-YEAR('Recurring Schedule'!$F$8))*12+MONTH($A28)-MONTH('Recurring Schedule'!$F$8),'Recurring Schedule'!$O$8)=0),IF('Recurring Schedule'!$E$8="Weekdays",WEEKDAY($A28,2)&lt;=5,$A28='Recurring Schedule'!$F$8))),3,""))))</f>
        <v/>
      </c>
      <c r="E28">
        <f>IF('Recurring Schedule'!$C$9="","",IF('Recurring Schedule'!$F$9="","",IF(OR($A28&lt;'Recurring Schedule'!$F$9,$A28&gt;'Recurring Schedule'!$P$9),"",IF(IF('Recurring Schedule'!$N$9&gt;0,MOD($A28-'Recurring Schedule'!$F$9,'Recurring Schedule'!$N$9)=0,IF('Recurring Schedule'!$O$9&gt;0,AND(DAY($A28)=MIN(DAY('Recurring Schedule'!$F$9),DAY(EOMONTH($A28,0))),MOD((YEAR($A28)-YEAR('Recurring Schedule'!$F$9))*12+MONTH($A28)-MONTH('Recurring Schedule'!$F$9),'Recurring Schedule'!$O$9)=0),IF('Recurring Schedule'!$E$9="Weekdays",WEEKDAY($A28,2)&lt;=5,$A28='Recurring Schedule'!$F$9))),4,""))))</f>
        <v/>
      </c>
      <c r="F28">
        <f>IF('Recurring Schedule'!$C$10="","",IF('Recurring Schedule'!$F$10="","",IF(OR($A28&lt;'Recurring Schedule'!$F$10,$A28&gt;'Recurring Schedule'!$P$10),"",IF(IF('Recurring Schedule'!$N$10&gt;0,MOD($A28-'Recurring Schedule'!$F$10,'Recurring Schedule'!$N$10)=0,IF('Recurring Schedule'!$O$10&gt;0,AND(DAY($A28)=MIN(DAY('Recurring Schedule'!$F$10),DAY(EOMONTH($A28,0))),MOD((YEAR($A28)-YEAR('Recurring Schedule'!$F$10))*12+MONTH($A28)-MONTH('Recurring Schedule'!$F$10),'Recurring Schedule'!$O$10)=0),IF('Recurring Schedule'!$E$10="Weekdays",WEEKDAY($A28,2)&lt;=5,$A28='Recurring Schedule'!$F$10))),5,""))))</f>
        <v/>
      </c>
      <c r="G28">
        <f>IF('Recurring Schedule'!$C$11="","",IF('Recurring Schedule'!$F$11="","",IF(OR($A28&lt;'Recurring Schedule'!$F$11,$A28&gt;'Recurring Schedule'!$P$11),"",IF(IF('Recurring Schedule'!$N$11&gt;0,MOD($A28-'Recurring Schedule'!$F$11,'Recurring Schedule'!$N$11)=0,IF('Recurring Schedule'!$O$11&gt;0,AND(DAY($A28)=MIN(DAY('Recurring Schedule'!$F$11),DAY(EOMONTH($A28,0))),MOD((YEAR($A28)-YEAR('Recurring Schedule'!$F$11))*12+MONTH($A28)-MONTH('Recurring Schedule'!$F$11),'Recurring Schedule'!$O$11)=0),IF('Recurring Schedule'!$E$11="Weekdays",WEEKDAY($A28,2)&lt;=5,$A28='Recurring Schedule'!$F$11))),6,""))))</f>
        <v/>
      </c>
      <c r="H28">
        <f>IF('Recurring Schedule'!$C$12="","",IF('Recurring Schedule'!$F$12="","",IF(OR($A28&lt;'Recurring Schedule'!$F$12,$A28&gt;'Recurring Schedule'!$P$12),"",IF(IF('Recurring Schedule'!$N$12&gt;0,MOD($A28-'Recurring Schedule'!$F$12,'Recurring Schedule'!$N$12)=0,IF('Recurring Schedule'!$O$12&gt;0,AND(DAY($A28)=MIN(DAY('Recurring Schedule'!$F$12),DAY(EOMONTH($A28,0))),MOD((YEAR($A28)-YEAR('Recurring Schedule'!$F$12))*12+MONTH($A28)-MONTH('Recurring Schedule'!$F$12),'Recurring Schedule'!$O$12)=0),IF('Recurring Schedule'!$E$12="Weekdays",WEEKDAY($A28,2)&lt;=5,$A28='Recurring Schedule'!$F$12))),7,""))))</f>
        <v/>
      </c>
      <c r="I28">
        <f>IF('Recurring Schedule'!$C$13="","",IF('Recurring Schedule'!$F$13="","",IF(OR($A28&lt;'Recurring Schedule'!$F$13,$A28&gt;'Recurring Schedule'!$P$13),"",IF(IF('Recurring Schedule'!$N$13&gt;0,MOD($A28-'Recurring Schedule'!$F$13,'Recurring Schedule'!$N$13)=0,IF('Recurring Schedule'!$O$13&gt;0,AND(DAY($A28)=MIN(DAY('Recurring Schedule'!$F$13),DAY(EOMONTH($A28,0))),MOD((YEAR($A28)-YEAR('Recurring Schedule'!$F$13))*12+MONTH($A28)-MONTH('Recurring Schedule'!$F$13),'Recurring Schedule'!$O$13)=0),IF('Recurring Schedule'!$E$13="Weekdays",WEEKDAY($A28,2)&lt;=5,$A28='Recurring Schedule'!$F$13))),8,""))))</f>
        <v/>
      </c>
      <c r="J28">
        <f>IF('Recurring Schedule'!$C$14="","",IF('Recurring Schedule'!$F$14="","",IF(OR($A28&lt;'Recurring Schedule'!$F$14,$A28&gt;'Recurring Schedule'!$P$14),"",IF(IF('Recurring Schedule'!$N$14&gt;0,MOD($A28-'Recurring Schedule'!$F$14,'Recurring Schedule'!$N$14)=0,IF('Recurring Schedule'!$O$14&gt;0,AND(DAY($A28)=MIN(DAY('Recurring Schedule'!$F$14),DAY(EOMONTH($A28,0))),MOD((YEAR($A28)-YEAR('Recurring Schedule'!$F$14))*12+MONTH($A28)-MONTH('Recurring Schedule'!$F$14),'Recurring Schedule'!$O$14)=0),IF('Recurring Schedule'!$E$14="Weekdays",WEEKDAY($A28,2)&lt;=5,$A28='Recurring Schedule'!$F$14))),9,""))))</f>
        <v/>
      </c>
      <c r="K28">
        <f>IF('Recurring Schedule'!$C$15="","",IF('Recurring Schedule'!$F$15="","",IF(OR($A28&lt;'Recurring Schedule'!$F$15,$A28&gt;'Recurring Schedule'!$P$15),"",IF(IF('Recurring Schedule'!$N$15&gt;0,MOD($A28-'Recurring Schedule'!$F$15,'Recurring Schedule'!$N$15)=0,IF('Recurring Schedule'!$O$15&gt;0,AND(DAY($A28)=MIN(DAY('Recurring Schedule'!$F$15),DAY(EOMONTH($A28,0))),MOD((YEAR($A28)-YEAR('Recurring Schedule'!$F$15))*12+MONTH($A28)-MONTH('Recurring Schedule'!$F$15),'Recurring Schedule'!$O$15)=0),IF('Recurring Schedule'!$E$15="Weekdays",WEEKDAY($A28,2)&lt;=5,$A28='Recurring Schedule'!$F$15))),10,""))))</f>
        <v/>
      </c>
      <c r="L28">
        <f>IF('Recurring Schedule'!$C$16="","",IF('Recurring Schedule'!$F$16="","",IF(OR($A28&lt;'Recurring Schedule'!$F$16,$A28&gt;'Recurring Schedule'!$P$16),"",IF(IF('Recurring Schedule'!$N$16&gt;0,MOD($A28-'Recurring Schedule'!$F$16,'Recurring Schedule'!$N$16)=0,IF('Recurring Schedule'!$O$16&gt;0,AND(DAY($A28)=MIN(DAY('Recurring Schedule'!$F$16),DAY(EOMONTH($A28,0))),MOD((YEAR($A28)-YEAR('Recurring Schedule'!$F$16))*12+MONTH($A28)-MONTH('Recurring Schedule'!$F$16),'Recurring Schedule'!$O$16)=0),IF('Recurring Schedule'!$E$16="Weekdays",WEEKDAY($A28,2)&lt;=5,$A28='Recurring Schedule'!$F$16))),11,""))))</f>
        <v/>
      </c>
      <c r="M28">
        <f>IF('Recurring Schedule'!$C$17="","",IF('Recurring Schedule'!$F$17="","",IF(OR($A28&lt;'Recurring Schedule'!$F$17,$A28&gt;'Recurring Schedule'!$P$17),"",IF(IF('Recurring Schedule'!$N$17&gt;0,MOD($A28-'Recurring Schedule'!$F$17,'Recurring Schedule'!$N$17)=0,IF('Recurring Schedule'!$O$17&gt;0,AND(DAY($A28)=MIN(DAY('Recurring Schedule'!$F$17),DAY(EOMONTH($A28,0))),MOD((YEAR($A28)-YEAR('Recurring Schedule'!$F$17))*12+MONTH($A28)-MONTH('Recurring Schedule'!$F$17),'Recurring Schedule'!$O$17)=0),IF('Recurring Schedule'!$E$17="Weekdays",WEEKDAY($A28,2)&lt;=5,$A28='Recurring Schedule'!$F$17))),12,""))))</f>
        <v/>
      </c>
      <c r="N28">
        <f>IF('Recurring Schedule'!$C$18="","",IF('Recurring Schedule'!$F$18="","",IF(OR($A28&lt;'Recurring Schedule'!$F$18,$A28&gt;'Recurring Schedule'!$P$18),"",IF(IF('Recurring Schedule'!$N$18&gt;0,MOD($A28-'Recurring Schedule'!$F$18,'Recurring Schedule'!$N$18)=0,IF('Recurring Schedule'!$O$18&gt;0,AND(DAY($A28)=MIN(DAY('Recurring Schedule'!$F$18),DAY(EOMONTH($A28,0))),MOD((YEAR($A28)-YEAR('Recurring Schedule'!$F$18))*12+MONTH($A28)-MONTH('Recurring Schedule'!$F$18),'Recurring Schedule'!$O$18)=0),IF('Recurring Schedule'!$E$18="Weekdays",WEEKDAY($A28,2)&lt;=5,$A28='Recurring Schedule'!$F$18))),13,""))))</f>
        <v/>
      </c>
      <c r="O28">
        <f>IF('Recurring Schedule'!$C$19="","",IF('Recurring Schedule'!$F$19="","",IF(OR($A28&lt;'Recurring Schedule'!$F$19,$A28&gt;'Recurring Schedule'!$P$19),"",IF(IF('Recurring Schedule'!$N$19&gt;0,MOD($A28-'Recurring Schedule'!$F$19,'Recurring Schedule'!$N$19)=0,IF('Recurring Schedule'!$O$19&gt;0,AND(DAY($A28)=MIN(DAY('Recurring Schedule'!$F$19),DAY(EOMONTH($A28,0))),MOD((YEAR($A28)-YEAR('Recurring Schedule'!$F$19))*12+MONTH($A28)-MONTH('Recurring Schedule'!$F$19),'Recurring Schedule'!$O$19)=0),IF('Recurring Schedule'!$E$19="Weekdays",WEEKDAY($A28,2)&lt;=5,$A28='Recurring Schedule'!$F$19))),14,""))))</f>
        <v/>
      </c>
      <c r="P28">
        <f>IF('Recurring Schedule'!$C$20="","",IF('Recurring Schedule'!$F$20="","",IF(OR($A28&lt;'Recurring Schedule'!$F$20,$A28&gt;'Recurring Schedule'!$P$20),"",IF(IF('Recurring Schedule'!$N$20&gt;0,MOD($A28-'Recurring Schedule'!$F$20,'Recurring Schedule'!$N$20)=0,IF('Recurring Schedule'!$O$20&gt;0,AND(DAY($A28)=MIN(DAY('Recurring Schedule'!$F$20),DAY(EOMONTH($A28,0))),MOD((YEAR($A28)-YEAR('Recurring Schedule'!$F$20))*12+MONTH($A28)-MONTH('Recurring Schedule'!$F$20),'Recurring Schedule'!$O$20)=0),IF('Recurring Schedule'!$E$20="Weekdays",WEEKDAY($A28,2)&lt;=5,$A28='Recurring Schedule'!$F$20))),15,""))))</f>
        <v/>
      </c>
      <c r="Q28">
        <f>IF('Recurring Schedule'!$C$21="","",IF('Recurring Schedule'!$F$21="","",IF(OR($A28&lt;'Recurring Schedule'!$F$21,$A28&gt;'Recurring Schedule'!$P$21),"",IF(IF('Recurring Schedule'!$N$21&gt;0,MOD($A28-'Recurring Schedule'!$F$21,'Recurring Schedule'!$N$21)=0,IF('Recurring Schedule'!$O$21&gt;0,AND(DAY($A28)=MIN(DAY('Recurring Schedule'!$F$21),DAY(EOMONTH($A28,0))),MOD((YEAR($A28)-YEAR('Recurring Schedule'!$F$21))*12+MONTH($A28)-MONTH('Recurring Schedule'!$F$21),'Recurring Schedule'!$O$21)=0),IF('Recurring Schedule'!$E$21="Weekdays",WEEKDAY($A28,2)&lt;=5,$A28='Recurring Schedule'!$F$21))),16,""))))</f>
        <v/>
      </c>
      <c r="R28">
        <f>IF('Recurring Schedule'!$C$22="","",IF('Recurring Schedule'!$F$22="","",IF(OR($A28&lt;'Recurring Schedule'!$F$22,$A28&gt;'Recurring Schedule'!$P$22),"",IF(IF('Recurring Schedule'!$N$22&gt;0,MOD($A28-'Recurring Schedule'!$F$22,'Recurring Schedule'!$N$22)=0,IF('Recurring Schedule'!$O$22&gt;0,AND(DAY($A28)=MIN(DAY('Recurring Schedule'!$F$22),DAY(EOMONTH($A28,0))),MOD((YEAR($A28)-YEAR('Recurring Schedule'!$F$22))*12+MONTH($A28)-MONTH('Recurring Schedule'!$F$22),'Recurring Schedule'!$O$22)=0),IF('Recurring Schedule'!$E$22="Weekdays",WEEKDAY($A28,2)&lt;=5,$A28='Recurring Schedule'!$F$22))),17,""))))</f>
        <v/>
      </c>
      <c r="S28">
        <f>IF('Recurring Schedule'!$C$23="","",IF('Recurring Schedule'!$F$23="","",IF(OR($A28&lt;'Recurring Schedule'!$F$23,$A28&gt;'Recurring Schedule'!$P$23),"",IF(IF('Recurring Schedule'!$N$23&gt;0,MOD($A28-'Recurring Schedule'!$F$23,'Recurring Schedule'!$N$23)=0,IF('Recurring Schedule'!$O$23&gt;0,AND(DAY($A28)=MIN(DAY('Recurring Schedule'!$F$23),DAY(EOMONTH($A28,0))),MOD((YEAR($A28)-YEAR('Recurring Schedule'!$F$23))*12+MONTH($A28)-MONTH('Recurring Schedule'!$F$23),'Recurring Schedule'!$O$23)=0),IF('Recurring Schedule'!$E$23="Weekdays",WEEKDAY($A28,2)&lt;=5,$A28='Recurring Schedule'!$F$23))),18,""))))</f>
        <v/>
      </c>
      <c r="T28">
        <f>IF('Recurring Schedule'!$C$24="","",IF('Recurring Schedule'!$F$24="","",IF(OR($A28&lt;'Recurring Schedule'!$F$24,$A28&gt;'Recurring Schedule'!$P$24),"",IF(IF('Recurring Schedule'!$N$24&gt;0,MOD($A28-'Recurring Schedule'!$F$24,'Recurring Schedule'!$N$24)=0,IF('Recurring Schedule'!$O$24&gt;0,AND(DAY($A28)=MIN(DAY('Recurring Schedule'!$F$24),DAY(EOMONTH($A28,0))),MOD((YEAR($A28)-YEAR('Recurring Schedule'!$F$24))*12+MONTH($A28)-MONTH('Recurring Schedule'!$F$24),'Recurring Schedule'!$O$24)=0),IF('Recurring Schedule'!$E$24="Weekdays",WEEKDAY($A28,2)&lt;=5,$A28='Recurring Schedule'!$F$24))),19,""))))</f>
        <v/>
      </c>
      <c r="U28">
        <f>IF('Recurring Schedule'!$C$25="","",IF('Recurring Schedule'!$F$25="","",IF(OR($A28&lt;'Recurring Schedule'!$F$25,$A28&gt;'Recurring Schedule'!$P$25),"",IF(IF('Recurring Schedule'!$N$25&gt;0,MOD($A28-'Recurring Schedule'!$F$25,'Recurring Schedule'!$N$25)=0,IF('Recurring Schedule'!$O$25&gt;0,AND(DAY($A28)=MIN(DAY('Recurring Schedule'!$F$25),DAY(EOMONTH($A28,0))),MOD((YEAR($A28)-YEAR('Recurring Schedule'!$F$25))*12+MONTH($A28)-MONTH('Recurring Schedule'!$F$25),'Recurring Schedule'!$O$25)=0),IF('Recurring Schedule'!$E$25="Weekdays",WEEKDAY($A28,2)&lt;=5,$A28='Recurring Schedule'!$F$25))),20,""))))</f>
        <v/>
      </c>
      <c r="V28">
        <f>IF('Recurring Schedule'!$C$26="","",IF('Recurring Schedule'!$F$26="","",IF(OR($A28&lt;'Recurring Schedule'!$F$26,$A28&gt;'Recurring Schedule'!$P$26),"",IF(IF('Recurring Schedule'!$N$26&gt;0,MOD($A28-'Recurring Schedule'!$F$26,'Recurring Schedule'!$N$26)=0,IF('Recurring Schedule'!$O$26&gt;0,AND(DAY($A28)=MIN(DAY('Recurring Schedule'!$F$26),DAY(EOMONTH($A28,0))),MOD((YEAR($A28)-YEAR('Recurring Schedule'!$F$26))*12+MONTH($A28)-MONTH('Recurring Schedule'!$F$26),'Recurring Schedule'!$O$26)=0),IF('Recurring Schedule'!$E$26="Weekdays",WEEKDAY($A28,2)&lt;=5,$A28='Recurring Schedule'!$F$26))),21,""))))</f>
        <v/>
      </c>
      <c r="W28">
        <f>IF('Recurring Schedule'!$C$27="","",IF('Recurring Schedule'!$F$27="","",IF(OR($A28&lt;'Recurring Schedule'!$F$27,$A28&gt;'Recurring Schedule'!$P$27),"",IF(IF('Recurring Schedule'!$N$27&gt;0,MOD($A28-'Recurring Schedule'!$F$27,'Recurring Schedule'!$N$27)=0,IF('Recurring Schedule'!$O$27&gt;0,AND(DAY($A28)=MIN(DAY('Recurring Schedule'!$F$27),DAY(EOMONTH($A28,0))),MOD((YEAR($A28)-YEAR('Recurring Schedule'!$F$27))*12+MONTH($A28)-MONTH('Recurring Schedule'!$F$27),'Recurring Schedule'!$O$27)=0),IF('Recurring Schedule'!$E$27="Weekdays",WEEKDAY($A28,2)&lt;=5,$A28='Recurring Schedule'!$F$27))),22,""))))</f>
        <v/>
      </c>
      <c r="X28">
        <f>IF('Recurring Schedule'!$C$28="","",IF('Recurring Schedule'!$F$28="","",IF(OR($A28&lt;'Recurring Schedule'!$F$28,$A28&gt;'Recurring Schedule'!$P$28),"",IF(IF('Recurring Schedule'!$N$28&gt;0,MOD($A28-'Recurring Schedule'!$F$28,'Recurring Schedule'!$N$28)=0,IF('Recurring Schedule'!$O$28&gt;0,AND(DAY($A28)=MIN(DAY('Recurring Schedule'!$F$28),DAY(EOMONTH($A28,0))),MOD((YEAR($A28)-YEAR('Recurring Schedule'!$F$28))*12+MONTH($A28)-MONTH('Recurring Schedule'!$F$28),'Recurring Schedule'!$O$28)=0),IF('Recurring Schedule'!$E$28="Weekdays",WEEKDAY($A28,2)&lt;=5,$A28='Recurring Schedule'!$F$28))),23,""))))</f>
        <v/>
      </c>
      <c r="Y28">
        <f>IF('Recurring Schedule'!$C$29="","",IF('Recurring Schedule'!$F$29="","",IF(OR($A28&lt;'Recurring Schedule'!$F$29,$A28&gt;'Recurring Schedule'!$P$29),"",IF(IF('Recurring Schedule'!$N$29&gt;0,MOD($A28-'Recurring Schedule'!$F$29,'Recurring Schedule'!$N$29)=0,IF('Recurring Schedule'!$O$29&gt;0,AND(DAY($A28)=MIN(DAY('Recurring Schedule'!$F$29),DAY(EOMONTH($A28,0))),MOD((YEAR($A28)-YEAR('Recurring Schedule'!$F$29))*12+MONTH($A28)-MONTH('Recurring Schedule'!$F$29),'Recurring Schedule'!$O$29)=0),IF('Recurring Schedule'!$E$29="Weekdays",WEEKDAY($A28,2)&lt;=5,$A28='Recurring Schedule'!$F$29))),24,""))))</f>
        <v/>
      </c>
      <c r="Z28">
        <f>IF('Recurring Schedule'!$C$30="","",IF('Recurring Schedule'!$F$30="","",IF(OR($A28&lt;'Recurring Schedule'!$F$30,$A28&gt;'Recurring Schedule'!$P$30),"",IF(IF('Recurring Schedule'!$N$30&gt;0,MOD($A28-'Recurring Schedule'!$F$30,'Recurring Schedule'!$N$30)=0,IF('Recurring Schedule'!$O$30&gt;0,AND(DAY($A28)=MIN(DAY('Recurring Schedule'!$F$30),DAY(EOMONTH($A28,0))),MOD((YEAR($A28)-YEAR('Recurring Schedule'!$F$30))*12+MONTH($A28)-MONTH('Recurring Schedule'!$F$30),'Recurring Schedule'!$O$30)=0),IF('Recurring Schedule'!$E$30="Weekdays",WEEKDAY($A28,2)&lt;=5,$A28='Recurring Schedule'!$F$30))),25,""))))</f>
        <v/>
      </c>
      <c r="AA28">
        <f>IF('Recurring Schedule'!$C$31="","",IF('Recurring Schedule'!$F$31="","",IF(OR($A28&lt;'Recurring Schedule'!$F$31,$A28&gt;'Recurring Schedule'!$P$31),"",IF(IF('Recurring Schedule'!$N$31&gt;0,MOD($A28-'Recurring Schedule'!$F$31,'Recurring Schedule'!$N$31)=0,IF('Recurring Schedule'!$O$31&gt;0,AND(DAY($A28)=MIN(DAY('Recurring Schedule'!$F$31),DAY(EOMONTH($A28,0))),MOD((YEAR($A28)-YEAR('Recurring Schedule'!$F$31))*12+MONTH($A28)-MONTH('Recurring Schedule'!$F$31),'Recurring Schedule'!$O$31)=0),IF('Recurring Schedule'!$E$31="Weekdays",WEEKDAY($A28,2)&lt;=5,$A28='Recurring Schedule'!$F$31))),26,""))))</f>
        <v/>
      </c>
      <c r="AB28">
        <f>IF('Recurring Schedule'!$C$32="","",IF('Recurring Schedule'!$F$32="","",IF(OR($A28&lt;'Recurring Schedule'!$F$32,$A28&gt;'Recurring Schedule'!$P$32),"",IF(IF('Recurring Schedule'!$N$32&gt;0,MOD($A28-'Recurring Schedule'!$F$32,'Recurring Schedule'!$N$32)=0,IF('Recurring Schedule'!$O$32&gt;0,AND(DAY($A28)=MIN(DAY('Recurring Schedule'!$F$32),DAY(EOMONTH($A28,0))),MOD((YEAR($A28)-YEAR('Recurring Schedule'!$F$32))*12+MONTH($A28)-MONTH('Recurring Schedule'!$F$32),'Recurring Schedule'!$O$32)=0),IF('Recurring Schedule'!$E$32="Weekdays",WEEKDAY($A28,2)&lt;=5,$A28='Recurring Schedule'!$F$32))),27,""))))</f>
        <v/>
      </c>
      <c r="AC28">
        <f>IF('Recurring Schedule'!$C$33="","",IF('Recurring Schedule'!$F$33="","",IF(OR($A28&lt;'Recurring Schedule'!$F$33,$A28&gt;'Recurring Schedule'!$P$33),"",IF(IF('Recurring Schedule'!$N$33&gt;0,MOD($A28-'Recurring Schedule'!$F$33,'Recurring Schedule'!$N$33)=0,IF('Recurring Schedule'!$O$33&gt;0,AND(DAY($A28)=MIN(DAY('Recurring Schedule'!$F$33),DAY(EOMONTH($A28,0))),MOD((YEAR($A28)-YEAR('Recurring Schedule'!$F$33))*12+MONTH($A28)-MONTH('Recurring Schedule'!$F$33),'Recurring Schedule'!$O$33)=0),IF('Recurring Schedule'!$E$33="Weekdays",WEEKDAY($A28,2)&lt;=5,$A28='Recurring Schedule'!$F$33))),28,""))))</f>
        <v/>
      </c>
      <c r="AD28">
        <f>IF('Recurring Schedule'!$C$34="","",IF('Recurring Schedule'!$F$34="","",IF(OR($A28&lt;'Recurring Schedule'!$F$34,$A28&gt;'Recurring Schedule'!$P$34),"",IF(IF('Recurring Schedule'!$N$34&gt;0,MOD($A28-'Recurring Schedule'!$F$34,'Recurring Schedule'!$N$34)=0,IF('Recurring Schedule'!$O$34&gt;0,AND(DAY($A28)=MIN(DAY('Recurring Schedule'!$F$34),DAY(EOMONTH($A28,0))),MOD((YEAR($A28)-YEAR('Recurring Schedule'!$F$34))*12+MONTH($A28)-MONTH('Recurring Schedule'!$F$34),'Recurring Schedule'!$O$34)=0),IF('Recurring Schedule'!$E$34="Weekdays",WEEKDAY($A28,2)&lt;=5,$A28='Recurring Schedule'!$F$34))),29,""))))</f>
        <v/>
      </c>
      <c r="AE28">
        <f>IF('Recurring Schedule'!$C$35="","",IF('Recurring Schedule'!$F$35="","",IF(OR($A28&lt;'Recurring Schedule'!$F$35,$A28&gt;'Recurring Schedule'!$P$35),"",IF(IF('Recurring Schedule'!$N$35&gt;0,MOD($A28-'Recurring Schedule'!$F$35,'Recurring Schedule'!$N$35)=0,IF('Recurring Schedule'!$O$35&gt;0,AND(DAY($A28)=MIN(DAY('Recurring Schedule'!$F$35),DAY(EOMONTH($A28,0))),MOD((YEAR($A28)-YEAR('Recurring Schedule'!$F$35))*12+MONTH($A28)-MONTH('Recurring Schedule'!$F$35),'Recurring Schedule'!$O$35)=0),IF('Recurring Schedule'!$E$35="Weekdays",WEEKDAY($A28,2)&lt;=5,$A28='Recurring Schedule'!$F$35))),30,""))))</f>
        <v/>
      </c>
      <c r="AF28">
        <f>IF('Recurring Schedule'!$C$36="","",IF('Recurring Schedule'!$F$36="","",IF(OR($A28&lt;'Recurring Schedule'!$F$36,$A28&gt;'Recurring Schedule'!$P$36),"",IF(IF('Recurring Schedule'!$N$36&gt;0,MOD($A28-'Recurring Schedule'!$F$36,'Recurring Schedule'!$N$36)=0,IF('Recurring Schedule'!$O$36&gt;0,AND(DAY($A28)=MIN(DAY('Recurring Schedule'!$F$36),DAY(EOMONTH($A28,0))),MOD((YEAR($A28)-YEAR('Recurring Schedule'!$F$36))*12+MONTH($A28)-MONTH('Recurring Schedule'!$F$36),'Recurring Schedule'!$O$36)=0),IF('Recurring Schedule'!$E$36="Weekdays",WEEKDAY($A28,2)&lt;=5,$A28='Recurring Schedule'!$F$36))),31,""))))</f>
        <v/>
      </c>
      <c r="AG28">
        <f>IF('Recurring Schedule'!$C$37="","",IF('Recurring Schedule'!$F$37="","",IF(OR($A28&lt;'Recurring Schedule'!$F$37,$A28&gt;'Recurring Schedule'!$P$37),"",IF(IF('Recurring Schedule'!$N$37&gt;0,MOD($A28-'Recurring Schedule'!$F$37,'Recurring Schedule'!$N$37)=0,IF('Recurring Schedule'!$O$37&gt;0,AND(DAY($A28)=MIN(DAY('Recurring Schedule'!$F$37),DAY(EOMONTH($A28,0))),MOD((YEAR($A28)-YEAR('Recurring Schedule'!$F$37))*12+MONTH($A28)-MONTH('Recurring Schedule'!$F$37),'Recurring Schedule'!$O$37)=0),IF('Recurring Schedule'!$E$37="Weekdays",WEEKDAY($A28,2)&lt;=5,$A28='Recurring Schedule'!$F$37))),32,""))))</f>
        <v/>
      </c>
      <c r="AH28">
        <f>IF('Recurring Schedule'!$C$38="","",IF('Recurring Schedule'!$F$38="","",IF(OR($A28&lt;'Recurring Schedule'!$F$38,$A28&gt;'Recurring Schedule'!$P$38),"",IF(IF('Recurring Schedule'!$N$38&gt;0,MOD($A28-'Recurring Schedule'!$F$38,'Recurring Schedule'!$N$38)=0,IF('Recurring Schedule'!$O$38&gt;0,AND(DAY($A28)=MIN(DAY('Recurring Schedule'!$F$38),DAY(EOMONTH($A28,0))),MOD((YEAR($A28)-YEAR('Recurring Schedule'!$F$38))*12+MONTH($A28)-MONTH('Recurring Schedule'!$F$38),'Recurring Schedule'!$O$38)=0),IF('Recurring Schedule'!$E$38="Weekdays",WEEKDAY($A28,2)&lt;=5,$A28='Recurring Schedule'!$F$38))),33,""))))</f>
        <v/>
      </c>
      <c r="AI28">
        <f>IF('Recurring Schedule'!$C$39="","",IF('Recurring Schedule'!$F$39="","",IF(OR($A28&lt;'Recurring Schedule'!$F$39,$A28&gt;'Recurring Schedule'!$P$39),"",IF(IF('Recurring Schedule'!$N$39&gt;0,MOD($A28-'Recurring Schedule'!$F$39,'Recurring Schedule'!$N$39)=0,IF('Recurring Schedule'!$O$39&gt;0,AND(DAY($A28)=MIN(DAY('Recurring Schedule'!$F$39),DAY(EOMONTH($A28,0))),MOD((YEAR($A28)-YEAR('Recurring Schedule'!$F$39))*12+MONTH($A28)-MONTH('Recurring Schedule'!$F$39),'Recurring Schedule'!$O$39)=0),IF('Recurring Schedule'!$E$39="Weekdays",WEEKDAY($A28,2)&lt;=5,$A28='Recurring Schedule'!$F$39))),34,""))))</f>
        <v/>
      </c>
      <c r="AJ28">
        <f>IF('Recurring Schedule'!$C$40="","",IF('Recurring Schedule'!$F$40="","",IF(OR($A28&lt;'Recurring Schedule'!$F$40,$A28&gt;'Recurring Schedule'!$P$40),"",IF(IF('Recurring Schedule'!$N$40&gt;0,MOD($A28-'Recurring Schedule'!$F$40,'Recurring Schedule'!$N$40)=0,IF('Recurring Schedule'!$O$40&gt;0,AND(DAY($A28)=MIN(DAY('Recurring Schedule'!$F$40),DAY(EOMONTH($A28,0))),MOD((YEAR($A28)-YEAR('Recurring Schedule'!$F$40))*12+MONTH($A28)-MONTH('Recurring Schedule'!$F$40),'Recurring Schedule'!$O$40)=0),IF('Recurring Schedule'!$E$40="Weekdays",WEEKDAY($A28,2)&lt;=5,$A28='Recurring Schedule'!$F$40))),35,""))))</f>
        <v/>
      </c>
      <c r="AK28">
        <f>IF('Recurring Schedule'!$C$41="","",IF('Recurring Schedule'!$F$41="","",IF(OR($A28&lt;'Recurring Schedule'!$F$41,$A28&gt;'Recurring Schedule'!$P$41),"",IF(IF('Recurring Schedule'!$N$41&gt;0,MOD($A28-'Recurring Schedule'!$F$41,'Recurring Schedule'!$N$41)=0,IF('Recurring Schedule'!$O$41&gt;0,AND(DAY($A28)=MIN(DAY('Recurring Schedule'!$F$41),DAY(EOMONTH($A28,0))),MOD((YEAR($A28)-YEAR('Recurring Schedule'!$F$41))*12+MONTH($A28)-MONTH('Recurring Schedule'!$F$41),'Recurring Schedule'!$O$41)=0),IF('Recurring Schedule'!$E$41="Weekdays",WEEKDAY($A28,2)&lt;=5,$A28='Recurring Schedule'!$F$41))),36,""))))</f>
        <v/>
      </c>
      <c r="AL28">
        <f>IF('Recurring Schedule'!$C$42="","",IF('Recurring Schedule'!$F$42="","",IF(OR($A28&lt;'Recurring Schedule'!$F$42,$A28&gt;'Recurring Schedule'!$P$42),"",IF(IF('Recurring Schedule'!$N$42&gt;0,MOD($A28-'Recurring Schedule'!$F$42,'Recurring Schedule'!$N$42)=0,IF('Recurring Schedule'!$O$42&gt;0,AND(DAY($A28)=MIN(DAY('Recurring Schedule'!$F$42),DAY(EOMONTH($A28,0))),MOD((YEAR($A28)-YEAR('Recurring Schedule'!$F$42))*12+MONTH($A28)-MONTH('Recurring Schedule'!$F$42),'Recurring Schedule'!$O$42)=0),IF('Recurring Schedule'!$E$42="Weekdays",WEEKDAY($A28,2)&lt;=5,$A28='Recurring Schedule'!$F$42))),37,""))))</f>
        <v/>
      </c>
      <c r="AM28">
        <f>IF('Recurring Schedule'!$C$43="","",IF('Recurring Schedule'!$F$43="","",IF(OR($A28&lt;'Recurring Schedule'!$F$43,$A28&gt;'Recurring Schedule'!$P$43),"",IF(IF('Recurring Schedule'!$N$43&gt;0,MOD($A28-'Recurring Schedule'!$F$43,'Recurring Schedule'!$N$43)=0,IF('Recurring Schedule'!$O$43&gt;0,AND(DAY($A28)=MIN(DAY('Recurring Schedule'!$F$43),DAY(EOMONTH($A28,0))),MOD((YEAR($A28)-YEAR('Recurring Schedule'!$F$43))*12+MONTH($A28)-MONTH('Recurring Schedule'!$F$43),'Recurring Schedule'!$O$43)=0),IF('Recurring Schedule'!$E$43="Weekdays",WEEKDAY($A28,2)&lt;=5,$A28='Recurring Schedule'!$F$43))),38,""))))</f>
        <v/>
      </c>
      <c r="AN28">
        <f>IF('Recurring Schedule'!$C$44="","",IF('Recurring Schedule'!$F$44="","",IF(OR($A28&lt;'Recurring Schedule'!$F$44,$A28&gt;'Recurring Schedule'!$P$44),"",IF(IF('Recurring Schedule'!$N$44&gt;0,MOD($A28-'Recurring Schedule'!$F$44,'Recurring Schedule'!$N$44)=0,IF('Recurring Schedule'!$O$44&gt;0,AND(DAY($A28)=MIN(DAY('Recurring Schedule'!$F$44),DAY(EOMONTH($A28,0))),MOD((YEAR($A28)-YEAR('Recurring Schedule'!$F$44))*12+MONTH($A28)-MONTH('Recurring Schedule'!$F$44),'Recurring Schedule'!$O$44)=0),IF('Recurring Schedule'!$E$44="Weekdays",WEEKDAY($A28,2)&lt;=5,$A28='Recurring Schedule'!$F$44))),39,""))))</f>
        <v/>
      </c>
      <c r="AO28">
        <f>IF('Recurring Schedule'!$C$45="","",IF('Recurring Schedule'!$F$45="","",IF(OR($A28&lt;'Recurring Schedule'!$F$45,$A28&gt;'Recurring Schedule'!$P$45),"",IF(IF('Recurring Schedule'!$N$45&gt;0,MOD($A28-'Recurring Schedule'!$F$45,'Recurring Schedule'!$N$45)=0,IF('Recurring Schedule'!$O$45&gt;0,AND(DAY($A28)=MIN(DAY('Recurring Schedule'!$F$45),DAY(EOMONTH($A28,0))),MOD((YEAR($A28)-YEAR('Recurring Schedule'!$F$45))*12+MONTH($A28)-MONTH('Recurring Schedule'!$F$45),'Recurring Schedule'!$O$45)=0),IF('Recurring Schedule'!$E$45="Weekdays",WEEKDAY($A28,2)&lt;=5,$A28='Recurring Schedule'!$F$45))),40,""))))</f>
        <v/>
      </c>
      <c r="AP28">
        <f>COUNT(B28:AO28)</f>
        <v/>
      </c>
      <c r="AQ28">
        <f>AQ27+AP27</f>
        <v/>
      </c>
      <c r="AS28" t="inlineStr">
        <is>
          <t>R</t>
        </is>
      </c>
      <c r="AT28" t="n">
        <v>32</v>
      </c>
      <c r="AU28">
        <f>'Recurring Log'!C32&amp;""</f>
        <v/>
      </c>
      <c r="AV28">
        <f>'Recurring Log'!D32&amp;""</f>
        <v/>
      </c>
      <c r="AW28">
        <f>IF('Recurring Log'!E32="","",'Recurring Log'!E32)</f>
        <v/>
      </c>
      <c r="AX28">
        <f>IF('Recurring Log'!G32="","",'Recurring Log'!G32)</f>
        <v/>
      </c>
      <c r="AY28">
        <f>IF('Recurring Log'!H32="","",'Recurring Log'!H32)</f>
        <v/>
      </c>
      <c r="AZ28">
        <f>IF(AU28="","",IF('Recurring Log'!J32="","Not Started",'Recurring Log'!J32))</f>
        <v/>
      </c>
      <c r="BA28">
        <f>'Recurring Log'!L32&amp;""</f>
        <v/>
      </c>
      <c r="BB28">
        <f>'Recurring Log'!M32&amp;""</f>
        <v/>
      </c>
      <c r="BC28">
        <f>'Recurring Log'!N32&amp;""</f>
        <v/>
      </c>
      <c r="BD28">
        <f>'Recurring Log'!O32&amp;""</f>
        <v/>
      </c>
      <c r="BE28">
        <f>IF('Recurring Log'!K32="","",'Recurring Log'!K32)</f>
        <v/>
      </c>
      <c r="BF28">
        <f>IFERROR(MATCH(BA28,Setup!$L$6:$L$9,0),5)</f>
        <v/>
      </c>
      <c r="BG28">
        <f>IF(OR(AZ28="Done",AZ28="Cancelled"),1,0)</f>
        <v/>
      </c>
      <c r="BH28">
        <f>IF(AND(AU28&lt;&gt;"",ISNUMBER(AW28)),1,0)</f>
        <v/>
      </c>
      <c r="BI28">
        <f>IF(BH28=0,0,IF(AND(AW28&gt;='Tasks Filter'!$F$3,AW28&lt;='Tasks Filter'!$F$4,OR('Tasks Filter'!$I$3="",ISNUMBER(SEARCH('Tasks Filter'!$I$3,AU28))),OR('Tasks Filter'!$I$4="",BF28=IFERROR(MATCH('Tasks Filter'!$I$4,Setup!$L$6:$L$9,0),0)),OR('Tasks Filter'!$I$5="Both",AND('Tasks Filter'!$I$5="Yes",BB28="✓"),AND('Tasks Filter'!$I$5="No",BB28&lt;&gt;"✓")),OR('Tasks Filter'!$L$3="",AV28='Tasks Filter'!$L$3),OR('Tasks Filter'!$L$4="",AZ28='Tasks Filter'!$L$4),OR('Tasks Filter'!$L$5="",BC28='Tasks Filter'!$L$5),OR('Tasks Filter'!$O$3="",BD28='Tasks Filter'!$O$3),OR('Tasks Filter'!$O$4="Yes",BG28=0)),1,0))</f>
        <v/>
      </c>
      <c r="BJ28">
        <f>IF(BH28=0,"",IF('Tasks Filter'!$F$6="Descending",-1,1)*CHOOSE(MATCH('Tasks Filter'!$F$5,Lists!$G$2:$G$6,0),AW28,BF28,IFERROR(MATCH(AV28,Setup!$F$6:$F$15,0),99),IFERROR(MATCH(BC28,Setup!$H$6:$H$15,0),99),IFERROR(MATCH(AZ28,Setup!$J$6:$J$11,0),99))*1E+9+(AW28-40000)*10000+27)</f>
        <v/>
      </c>
      <c r="BK28">
        <f>IF(BI28=1,BJ28,"")</f>
        <v/>
      </c>
      <c r="BL28">
        <f>IF(AND(BH28=1,BG28=0,N(AW28)&lt;Setup!$D$7),(AW28-40000)*10000+27,"")</f>
        <v/>
      </c>
      <c r="BM28">
        <f>IF(AND(BH28=1,AZ28&lt;&gt;"Cancelled",N(AW28)&gt;=Dashboard!$AB$3,N(AW28)&lt;=Dashboard!$AB$3+6),(AW28-40000)*100000+BF28*10000+27,"")</f>
        <v/>
      </c>
      <c r="BN28">
        <f>IF(AND(BH28=1,AZ28&lt;&gt;"Cancelled"),BF28*10000+27,"")</f>
        <v/>
      </c>
    </row>
    <row r="29">
      <c r="A29">
        <f>Setup!$D$5+27</f>
        <v/>
      </c>
      <c r="B29">
        <f>IF('Recurring Schedule'!$C$6="","",IF('Recurring Schedule'!$F$6="","",IF(OR($A29&lt;'Recurring Schedule'!$F$6,$A29&gt;'Recurring Schedule'!$P$6),"",IF(IF('Recurring Schedule'!$N$6&gt;0,MOD($A29-'Recurring Schedule'!$F$6,'Recurring Schedule'!$N$6)=0,IF('Recurring Schedule'!$O$6&gt;0,AND(DAY($A29)=MIN(DAY('Recurring Schedule'!$F$6),DAY(EOMONTH($A29,0))),MOD((YEAR($A29)-YEAR('Recurring Schedule'!$F$6))*12+MONTH($A29)-MONTH('Recurring Schedule'!$F$6),'Recurring Schedule'!$O$6)=0),IF('Recurring Schedule'!$E$6="Weekdays",WEEKDAY($A29,2)&lt;=5,$A29='Recurring Schedule'!$F$6))),1,""))))</f>
        <v/>
      </c>
      <c r="C29">
        <f>IF('Recurring Schedule'!$C$7="","",IF('Recurring Schedule'!$F$7="","",IF(OR($A29&lt;'Recurring Schedule'!$F$7,$A29&gt;'Recurring Schedule'!$P$7),"",IF(IF('Recurring Schedule'!$N$7&gt;0,MOD($A29-'Recurring Schedule'!$F$7,'Recurring Schedule'!$N$7)=0,IF('Recurring Schedule'!$O$7&gt;0,AND(DAY($A29)=MIN(DAY('Recurring Schedule'!$F$7),DAY(EOMONTH($A29,0))),MOD((YEAR($A29)-YEAR('Recurring Schedule'!$F$7))*12+MONTH($A29)-MONTH('Recurring Schedule'!$F$7),'Recurring Schedule'!$O$7)=0),IF('Recurring Schedule'!$E$7="Weekdays",WEEKDAY($A29,2)&lt;=5,$A29='Recurring Schedule'!$F$7))),2,""))))</f>
        <v/>
      </c>
      <c r="D29">
        <f>IF('Recurring Schedule'!$C$8="","",IF('Recurring Schedule'!$F$8="","",IF(OR($A29&lt;'Recurring Schedule'!$F$8,$A29&gt;'Recurring Schedule'!$P$8),"",IF(IF('Recurring Schedule'!$N$8&gt;0,MOD($A29-'Recurring Schedule'!$F$8,'Recurring Schedule'!$N$8)=0,IF('Recurring Schedule'!$O$8&gt;0,AND(DAY($A29)=MIN(DAY('Recurring Schedule'!$F$8),DAY(EOMONTH($A29,0))),MOD((YEAR($A29)-YEAR('Recurring Schedule'!$F$8))*12+MONTH($A29)-MONTH('Recurring Schedule'!$F$8),'Recurring Schedule'!$O$8)=0),IF('Recurring Schedule'!$E$8="Weekdays",WEEKDAY($A29,2)&lt;=5,$A29='Recurring Schedule'!$F$8))),3,""))))</f>
        <v/>
      </c>
      <c r="E29">
        <f>IF('Recurring Schedule'!$C$9="","",IF('Recurring Schedule'!$F$9="","",IF(OR($A29&lt;'Recurring Schedule'!$F$9,$A29&gt;'Recurring Schedule'!$P$9),"",IF(IF('Recurring Schedule'!$N$9&gt;0,MOD($A29-'Recurring Schedule'!$F$9,'Recurring Schedule'!$N$9)=0,IF('Recurring Schedule'!$O$9&gt;0,AND(DAY($A29)=MIN(DAY('Recurring Schedule'!$F$9),DAY(EOMONTH($A29,0))),MOD((YEAR($A29)-YEAR('Recurring Schedule'!$F$9))*12+MONTH($A29)-MONTH('Recurring Schedule'!$F$9),'Recurring Schedule'!$O$9)=0),IF('Recurring Schedule'!$E$9="Weekdays",WEEKDAY($A29,2)&lt;=5,$A29='Recurring Schedule'!$F$9))),4,""))))</f>
        <v/>
      </c>
      <c r="F29">
        <f>IF('Recurring Schedule'!$C$10="","",IF('Recurring Schedule'!$F$10="","",IF(OR($A29&lt;'Recurring Schedule'!$F$10,$A29&gt;'Recurring Schedule'!$P$10),"",IF(IF('Recurring Schedule'!$N$10&gt;0,MOD($A29-'Recurring Schedule'!$F$10,'Recurring Schedule'!$N$10)=0,IF('Recurring Schedule'!$O$10&gt;0,AND(DAY($A29)=MIN(DAY('Recurring Schedule'!$F$10),DAY(EOMONTH($A29,0))),MOD((YEAR($A29)-YEAR('Recurring Schedule'!$F$10))*12+MONTH($A29)-MONTH('Recurring Schedule'!$F$10),'Recurring Schedule'!$O$10)=0),IF('Recurring Schedule'!$E$10="Weekdays",WEEKDAY($A29,2)&lt;=5,$A29='Recurring Schedule'!$F$10))),5,""))))</f>
        <v/>
      </c>
      <c r="G29">
        <f>IF('Recurring Schedule'!$C$11="","",IF('Recurring Schedule'!$F$11="","",IF(OR($A29&lt;'Recurring Schedule'!$F$11,$A29&gt;'Recurring Schedule'!$P$11),"",IF(IF('Recurring Schedule'!$N$11&gt;0,MOD($A29-'Recurring Schedule'!$F$11,'Recurring Schedule'!$N$11)=0,IF('Recurring Schedule'!$O$11&gt;0,AND(DAY($A29)=MIN(DAY('Recurring Schedule'!$F$11),DAY(EOMONTH($A29,0))),MOD((YEAR($A29)-YEAR('Recurring Schedule'!$F$11))*12+MONTH($A29)-MONTH('Recurring Schedule'!$F$11),'Recurring Schedule'!$O$11)=0),IF('Recurring Schedule'!$E$11="Weekdays",WEEKDAY($A29,2)&lt;=5,$A29='Recurring Schedule'!$F$11))),6,""))))</f>
        <v/>
      </c>
      <c r="H29">
        <f>IF('Recurring Schedule'!$C$12="","",IF('Recurring Schedule'!$F$12="","",IF(OR($A29&lt;'Recurring Schedule'!$F$12,$A29&gt;'Recurring Schedule'!$P$12),"",IF(IF('Recurring Schedule'!$N$12&gt;0,MOD($A29-'Recurring Schedule'!$F$12,'Recurring Schedule'!$N$12)=0,IF('Recurring Schedule'!$O$12&gt;0,AND(DAY($A29)=MIN(DAY('Recurring Schedule'!$F$12),DAY(EOMONTH($A29,0))),MOD((YEAR($A29)-YEAR('Recurring Schedule'!$F$12))*12+MONTH($A29)-MONTH('Recurring Schedule'!$F$12),'Recurring Schedule'!$O$12)=0),IF('Recurring Schedule'!$E$12="Weekdays",WEEKDAY($A29,2)&lt;=5,$A29='Recurring Schedule'!$F$12))),7,""))))</f>
        <v/>
      </c>
      <c r="I29">
        <f>IF('Recurring Schedule'!$C$13="","",IF('Recurring Schedule'!$F$13="","",IF(OR($A29&lt;'Recurring Schedule'!$F$13,$A29&gt;'Recurring Schedule'!$P$13),"",IF(IF('Recurring Schedule'!$N$13&gt;0,MOD($A29-'Recurring Schedule'!$F$13,'Recurring Schedule'!$N$13)=0,IF('Recurring Schedule'!$O$13&gt;0,AND(DAY($A29)=MIN(DAY('Recurring Schedule'!$F$13),DAY(EOMONTH($A29,0))),MOD((YEAR($A29)-YEAR('Recurring Schedule'!$F$13))*12+MONTH($A29)-MONTH('Recurring Schedule'!$F$13),'Recurring Schedule'!$O$13)=0),IF('Recurring Schedule'!$E$13="Weekdays",WEEKDAY($A29,2)&lt;=5,$A29='Recurring Schedule'!$F$13))),8,""))))</f>
        <v/>
      </c>
      <c r="J29">
        <f>IF('Recurring Schedule'!$C$14="","",IF('Recurring Schedule'!$F$14="","",IF(OR($A29&lt;'Recurring Schedule'!$F$14,$A29&gt;'Recurring Schedule'!$P$14),"",IF(IF('Recurring Schedule'!$N$14&gt;0,MOD($A29-'Recurring Schedule'!$F$14,'Recurring Schedule'!$N$14)=0,IF('Recurring Schedule'!$O$14&gt;0,AND(DAY($A29)=MIN(DAY('Recurring Schedule'!$F$14),DAY(EOMONTH($A29,0))),MOD((YEAR($A29)-YEAR('Recurring Schedule'!$F$14))*12+MONTH($A29)-MONTH('Recurring Schedule'!$F$14),'Recurring Schedule'!$O$14)=0),IF('Recurring Schedule'!$E$14="Weekdays",WEEKDAY($A29,2)&lt;=5,$A29='Recurring Schedule'!$F$14))),9,""))))</f>
        <v/>
      </c>
      <c r="K29">
        <f>IF('Recurring Schedule'!$C$15="","",IF('Recurring Schedule'!$F$15="","",IF(OR($A29&lt;'Recurring Schedule'!$F$15,$A29&gt;'Recurring Schedule'!$P$15),"",IF(IF('Recurring Schedule'!$N$15&gt;0,MOD($A29-'Recurring Schedule'!$F$15,'Recurring Schedule'!$N$15)=0,IF('Recurring Schedule'!$O$15&gt;0,AND(DAY($A29)=MIN(DAY('Recurring Schedule'!$F$15),DAY(EOMONTH($A29,0))),MOD((YEAR($A29)-YEAR('Recurring Schedule'!$F$15))*12+MONTH($A29)-MONTH('Recurring Schedule'!$F$15),'Recurring Schedule'!$O$15)=0),IF('Recurring Schedule'!$E$15="Weekdays",WEEKDAY($A29,2)&lt;=5,$A29='Recurring Schedule'!$F$15))),10,""))))</f>
        <v/>
      </c>
      <c r="L29">
        <f>IF('Recurring Schedule'!$C$16="","",IF('Recurring Schedule'!$F$16="","",IF(OR($A29&lt;'Recurring Schedule'!$F$16,$A29&gt;'Recurring Schedule'!$P$16),"",IF(IF('Recurring Schedule'!$N$16&gt;0,MOD($A29-'Recurring Schedule'!$F$16,'Recurring Schedule'!$N$16)=0,IF('Recurring Schedule'!$O$16&gt;0,AND(DAY($A29)=MIN(DAY('Recurring Schedule'!$F$16),DAY(EOMONTH($A29,0))),MOD((YEAR($A29)-YEAR('Recurring Schedule'!$F$16))*12+MONTH($A29)-MONTH('Recurring Schedule'!$F$16),'Recurring Schedule'!$O$16)=0),IF('Recurring Schedule'!$E$16="Weekdays",WEEKDAY($A29,2)&lt;=5,$A29='Recurring Schedule'!$F$16))),11,""))))</f>
        <v/>
      </c>
      <c r="M29">
        <f>IF('Recurring Schedule'!$C$17="","",IF('Recurring Schedule'!$F$17="","",IF(OR($A29&lt;'Recurring Schedule'!$F$17,$A29&gt;'Recurring Schedule'!$P$17),"",IF(IF('Recurring Schedule'!$N$17&gt;0,MOD($A29-'Recurring Schedule'!$F$17,'Recurring Schedule'!$N$17)=0,IF('Recurring Schedule'!$O$17&gt;0,AND(DAY($A29)=MIN(DAY('Recurring Schedule'!$F$17),DAY(EOMONTH($A29,0))),MOD((YEAR($A29)-YEAR('Recurring Schedule'!$F$17))*12+MONTH($A29)-MONTH('Recurring Schedule'!$F$17),'Recurring Schedule'!$O$17)=0),IF('Recurring Schedule'!$E$17="Weekdays",WEEKDAY($A29,2)&lt;=5,$A29='Recurring Schedule'!$F$17))),12,""))))</f>
        <v/>
      </c>
      <c r="N29">
        <f>IF('Recurring Schedule'!$C$18="","",IF('Recurring Schedule'!$F$18="","",IF(OR($A29&lt;'Recurring Schedule'!$F$18,$A29&gt;'Recurring Schedule'!$P$18),"",IF(IF('Recurring Schedule'!$N$18&gt;0,MOD($A29-'Recurring Schedule'!$F$18,'Recurring Schedule'!$N$18)=0,IF('Recurring Schedule'!$O$18&gt;0,AND(DAY($A29)=MIN(DAY('Recurring Schedule'!$F$18),DAY(EOMONTH($A29,0))),MOD((YEAR($A29)-YEAR('Recurring Schedule'!$F$18))*12+MONTH($A29)-MONTH('Recurring Schedule'!$F$18),'Recurring Schedule'!$O$18)=0),IF('Recurring Schedule'!$E$18="Weekdays",WEEKDAY($A29,2)&lt;=5,$A29='Recurring Schedule'!$F$18))),13,""))))</f>
        <v/>
      </c>
      <c r="O29">
        <f>IF('Recurring Schedule'!$C$19="","",IF('Recurring Schedule'!$F$19="","",IF(OR($A29&lt;'Recurring Schedule'!$F$19,$A29&gt;'Recurring Schedule'!$P$19),"",IF(IF('Recurring Schedule'!$N$19&gt;0,MOD($A29-'Recurring Schedule'!$F$19,'Recurring Schedule'!$N$19)=0,IF('Recurring Schedule'!$O$19&gt;0,AND(DAY($A29)=MIN(DAY('Recurring Schedule'!$F$19),DAY(EOMONTH($A29,0))),MOD((YEAR($A29)-YEAR('Recurring Schedule'!$F$19))*12+MONTH($A29)-MONTH('Recurring Schedule'!$F$19),'Recurring Schedule'!$O$19)=0),IF('Recurring Schedule'!$E$19="Weekdays",WEEKDAY($A29,2)&lt;=5,$A29='Recurring Schedule'!$F$19))),14,""))))</f>
        <v/>
      </c>
      <c r="P29">
        <f>IF('Recurring Schedule'!$C$20="","",IF('Recurring Schedule'!$F$20="","",IF(OR($A29&lt;'Recurring Schedule'!$F$20,$A29&gt;'Recurring Schedule'!$P$20),"",IF(IF('Recurring Schedule'!$N$20&gt;0,MOD($A29-'Recurring Schedule'!$F$20,'Recurring Schedule'!$N$20)=0,IF('Recurring Schedule'!$O$20&gt;0,AND(DAY($A29)=MIN(DAY('Recurring Schedule'!$F$20),DAY(EOMONTH($A29,0))),MOD((YEAR($A29)-YEAR('Recurring Schedule'!$F$20))*12+MONTH($A29)-MONTH('Recurring Schedule'!$F$20),'Recurring Schedule'!$O$20)=0),IF('Recurring Schedule'!$E$20="Weekdays",WEEKDAY($A29,2)&lt;=5,$A29='Recurring Schedule'!$F$20))),15,""))))</f>
        <v/>
      </c>
      <c r="Q29">
        <f>IF('Recurring Schedule'!$C$21="","",IF('Recurring Schedule'!$F$21="","",IF(OR($A29&lt;'Recurring Schedule'!$F$21,$A29&gt;'Recurring Schedule'!$P$21),"",IF(IF('Recurring Schedule'!$N$21&gt;0,MOD($A29-'Recurring Schedule'!$F$21,'Recurring Schedule'!$N$21)=0,IF('Recurring Schedule'!$O$21&gt;0,AND(DAY($A29)=MIN(DAY('Recurring Schedule'!$F$21),DAY(EOMONTH($A29,0))),MOD((YEAR($A29)-YEAR('Recurring Schedule'!$F$21))*12+MONTH($A29)-MONTH('Recurring Schedule'!$F$21),'Recurring Schedule'!$O$21)=0),IF('Recurring Schedule'!$E$21="Weekdays",WEEKDAY($A29,2)&lt;=5,$A29='Recurring Schedule'!$F$21))),16,""))))</f>
        <v/>
      </c>
      <c r="R29">
        <f>IF('Recurring Schedule'!$C$22="","",IF('Recurring Schedule'!$F$22="","",IF(OR($A29&lt;'Recurring Schedule'!$F$22,$A29&gt;'Recurring Schedule'!$P$22),"",IF(IF('Recurring Schedule'!$N$22&gt;0,MOD($A29-'Recurring Schedule'!$F$22,'Recurring Schedule'!$N$22)=0,IF('Recurring Schedule'!$O$22&gt;0,AND(DAY($A29)=MIN(DAY('Recurring Schedule'!$F$22),DAY(EOMONTH($A29,0))),MOD((YEAR($A29)-YEAR('Recurring Schedule'!$F$22))*12+MONTH($A29)-MONTH('Recurring Schedule'!$F$22),'Recurring Schedule'!$O$22)=0),IF('Recurring Schedule'!$E$22="Weekdays",WEEKDAY($A29,2)&lt;=5,$A29='Recurring Schedule'!$F$22))),17,""))))</f>
        <v/>
      </c>
      <c r="S29">
        <f>IF('Recurring Schedule'!$C$23="","",IF('Recurring Schedule'!$F$23="","",IF(OR($A29&lt;'Recurring Schedule'!$F$23,$A29&gt;'Recurring Schedule'!$P$23),"",IF(IF('Recurring Schedule'!$N$23&gt;0,MOD($A29-'Recurring Schedule'!$F$23,'Recurring Schedule'!$N$23)=0,IF('Recurring Schedule'!$O$23&gt;0,AND(DAY($A29)=MIN(DAY('Recurring Schedule'!$F$23),DAY(EOMONTH($A29,0))),MOD((YEAR($A29)-YEAR('Recurring Schedule'!$F$23))*12+MONTH($A29)-MONTH('Recurring Schedule'!$F$23),'Recurring Schedule'!$O$23)=0),IF('Recurring Schedule'!$E$23="Weekdays",WEEKDAY($A29,2)&lt;=5,$A29='Recurring Schedule'!$F$23))),18,""))))</f>
        <v/>
      </c>
      <c r="T29">
        <f>IF('Recurring Schedule'!$C$24="","",IF('Recurring Schedule'!$F$24="","",IF(OR($A29&lt;'Recurring Schedule'!$F$24,$A29&gt;'Recurring Schedule'!$P$24),"",IF(IF('Recurring Schedule'!$N$24&gt;0,MOD($A29-'Recurring Schedule'!$F$24,'Recurring Schedule'!$N$24)=0,IF('Recurring Schedule'!$O$24&gt;0,AND(DAY($A29)=MIN(DAY('Recurring Schedule'!$F$24),DAY(EOMONTH($A29,0))),MOD((YEAR($A29)-YEAR('Recurring Schedule'!$F$24))*12+MONTH($A29)-MONTH('Recurring Schedule'!$F$24),'Recurring Schedule'!$O$24)=0),IF('Recurring Schedule'!$E$24="Weekdays",WEEKDAY($A29,2)&lt;=5,$A29='Recurring Schedule'!$F$24))),19,""))))</f>
        <v/>
      </c>
      <c r="U29">
        <f>IF('Recurring Schedule'!$C$25="","",IF('Recurring Schedule'!$F$25="","",IF(OR($A29&lt;'Recurring Schedule'!$F$25,$A29&gt;'Recurring Schedule'!$P$25),"",IF(IF('Recurring Schedule'!$N$25&gt;0,MOD($A29-'Recurring Schedule'!$F$25,'Recurring Schedule'!$N$25)=0,IF('Recurring Schedule'!$O$25&gt;0,AND(DAY($A29)=MIN(DAY('Recurring Schedule'!$F$25),DAY(EOMONTH($A29,0))),MOD((YEAR($A29)-YEAR('Recurring Schedule'!$F$25))*12+MONTH($A29)-MONTH('Recurring Schedule'!$F$25),'Recurring Schedule'!$O$25)=0),IF('Recurring Schedule'!$E$25="Weekdays",WEEKDAY($A29,2)&lt;=5,$A29='Recurring Schedule'!$F$25))),20,""))))</f>
        <v/>
      </c>
      <c r="V29">
        <f>IF('Recurring Schedule'!$C$26="","",IF('Recurring Schedule'!$F$26="","",IF(OR($A29&lt;'Recurring Schedule'!$F$26,$A29&gt;'Recurring Schedule'!$P$26),"",IF(IF('Recurring Schedule'!$N$26&gt;0,MOD($A29-'Recurring Schedule'!$F$26,'Recurring Schedule'!$N$26)=0,IF('Recurring Schedule'!$O$26&gt;0,AND(DAY($A29)=MIN(DAY('Recurring Schedule'!$F$26),DAY(EOMONTH($A29,0))),MOD((YEAR($A29)-YEAR('Recurring Schedule'!$F$26))*12+MONTH($A29)-MONTH('Recurring Schedule'!$F$26),'Recurring Schedule'!$O$26)=0),IF('Recurring Schedule'!$E$26="Weekdays",WEEKDAY($A29,2)&lt;=5,$A29='Recurring Schedule'!$F$26))),21,""))))</f>
        <v/>
      </c>
      <c r="W29">
        <f>IF('Recurring Schedule'!$C$27="","",IF('Recurring Schedule'!$F$27="","",IF(OR($A29&lt;'Recurring Schedule'!$F$27,$A29&gt;'Recurring Schedule'!$P$27),"",IF(IF('Recurring Schedule'!$N$27&gt;0,MOD($A29-'Recurring Schedule'!$F$27,'Recurring Schedule'!$N$27)=0,IF('Recurring Schedule'!$O$27&gt;0,AND(DAY($A29)=MIN(DAY('Recurring Schedule'!$F$27),DAY(EOMONTH($A29,0))),MOD((YEAR($A29)-YEAR('Recurring Schedule'!$F$27))*12+MONTH($A29)-MONTH('Recurring Schedule'!$F$27),'Recurring Schedule'!$O$27)=0),IF('Recurring Schedule'!$E$27="Weekdays",WEEKDAY($A29,2)&lt;=5,$A29='Recurring Schedule'!$F$27))),22,""))))</f>
        <v/>
      </c>
      <c r="X29">
        <f>IF('Recurring Schedule'!$C$28="","",IF('Recurring Schedule'!$F$28="","",IF(OR($A29&lt;'Recurring Schedule'!$F$28,$A29&gt;'Recurring Schedule'!$P$28),"",IF(IF('Recurring Schedule'!$N$28&gt;0,MOD($A29-'Recurring Schedule'!$F$28,'Recurring Schedule'!$N$28)=0,IF('Recurring Schedule'!$O$28&gt;0,AND(DAY($A29)=MIN(DAY('Recurring Schedule'!$F$28),DAY(EOMONTH($A29,0))),MOD((YEAR($A29)-YEAR('Recurring Schedule'!$F$28))*12+MONTH($A29)-MONTH('Recurring Schedule'!$F$28),'Recurring Schedule'!$O$28)=0),IF('Recurring Schedule'!$E$28="Weekdays",WEEKDAY($A29,2)&lt;=5,$A29='Recurring Schedule'!$F$28))),23,""))))</f>
        <v/>
      </c>
      <c r="Y29">
        <f>IF('Recurring Schedule'!$C$29="","",IF('Recurring Schedule'!$F$29="","",IF(OR($A29&lt;'Recurring Schedule'!$F$29,$A29&gt;'Recurring Schedule'!$P$29),"",IF(IF('Recurring Schedule'!$N$29&gt;0,MOD($A29-'Recurring Schedule'!$F$29,'Recurring Schedule'!$N$29)=0,IF('Recurring Schedule'!$O$29&gt;0,AND(DAY($A29)=MIN(DAY('Recurring Schedule'!$F$29),DAY(EOMONTH($A29,0))),MOD((YEAR($A29)-YEAR('Recurring Schedule'!$F$29))*12+MONTH($A29)-MONTH('Recurring Schedule'!$F$29),'Recurring Schedule'!$O$29)=0),IF('Recurring Schedule'!$E$29="Weekdays",WEEKDAY($A29,2)&lt;=5,$A29='Recurring Schedule'!$F$29))),24,""))))</f>
        <v/>
      </c>
      <c r="Z29">
        <f>IF('Recurring Schedule'!$C$30="","",IF('Recurring Schedule'!$F$30="","",IF(OR($A29&lt;'Recurring Schedule'!$F$30,$A29&gt;'Recurring Schedule'!$P$30),"",IF(IF('Recurring Schedule'!$N$30&gt;0,MOD($A29-'Recurring Schedule'!$F$30,'Recurring Schedule'!$N$30)=0,IF('Recurring Schedule'!$O$30&gt;0,AND(DAY($A29)=MIN(DAY('Recurring Schedule'!$F$30),DAY(EOMONTH($A29,0))),MOD((YEAR($A29)-YEAR('Recurring Schedule'!$F$30))*12+MONTH($A29)-MONTH('Recurring Schedule'!$F$30),'Recurring Schedule'!$O$30)=0),IF('Recurring Schedule'!$E$30="Weekdays",WEEKDAY($A29,2)&lt;=5,$A29='Recurring Schedule'!$F$30))),25,""))))</f>
        <v/>
      </c>
      <c r="AA29">
        <f>IF('Recurring Schedule'!$C$31="","",IF('Recurring Schedule'!$F$31="","",IF(OR($A29&lt;'Recurring Schedule'!$F$31,$A29&gt;'Recurring Schedule'!$P$31),"",IF(IF('Recurring Schedule'!$N$31&gt;0,MOD($A29-'Recurring Schedule'!$F$31,'Recurring Schedule'!$N$31)=0,IF('Recurring Schedule'!$O$31&gt;0,AND(DAY($A29)=MIN(DAY('Recurring Schedule'!$F$31),DAY(EOMONTH($A29,0))),MOD((YEAR($A29)-YEAR('Recurring Schedule'!$F$31))*12+MONTH($A29)-MONTH('Recurring Schedule'!$F$31),'Recurring Schedule'!$O$31)=0),IF('Recurring Schedule'!$E$31="Weekdays",WEEKDAY($A29,2)&lt;=5,$A29='Recurring Schedule'!$F$31))),26,""))))</f>
        <v/>
      </c>
      <c r="AB29">
        <f>IF('Recurring Schedule'!$C$32="","",IF('Recurring Schedule'!$F$32="","",IF(OR($A29&lt;'Recurring Schedule'!$F$32,$A29&gt;'Recurring Schedule'!$P$32),"",IF(IF('Recurring Schedule'!$N$32&gt;0,MOD($A29-'Recurring Schedule'!$F$32,'Recurring Schedule'!$N$32)=0,IF('Recurring Schedule'!$O$32&gt;0,AND(DAY($A29)=MIN(DAY('Recurring Schedule'!$F$32),DAY(EOMONTH($A29,0))),MOD((YEAR($A29)-YEAR('Recurring Schedule'!$F$32))*12+MONTH($A29)-MONTH('Recurring Schedule'!$F$32),'Recurring Schedule'!$O$32)=0),IF('Recurring Schedule'!$E$32="Weekdays",WEEKDAY($A29,2)&lt;=5,$A29='Recurring Schedule'!$F$32))),27,""))))</f>
        <v/>
      </c>
      <c r="AC29">
        <f>IF('Recurring Schedule'!$C$33="","",IF('Recurring Schedule'!$F$33="","",IF(OR($A29&lt;'Recurring Schedule'!$F$33,$A29&gt;'Recurring Schedule'!$P$33),"",IF(IF('Recurring Schedule'!$N$33&gt;0,MOD($A29-'Recurring Schedule'!$F$33,'Recurring Schedule'!$N$33)=0,IF('Recurring Schedule'!$O$33&gt;0,AND(DAY($A29)=MIN(DAY('Recurring Schedule'!$F$33),DAY(EOMONTH($A29,0))),MOD((YEAR($A29)-YEAR('Recurring Schedule'!$F$33))*12+MONTH($A29)-MONTH('Recurring Schedule'!$F$33),'Recurring Schedule'!$O$33)=0),IF('Recurring Schedule'!$E$33="Weekdays",WEEKDAY($A29,2)&lt;=5,$A29='Recurring Schedule'!$F$33))),28,""))))</f>
        <v/>
      </c>
      <c r="AD29">
        <f>IF('Recurring Schedule'!$C$34="","",IF('Recurring Schedule'!$F$34="","",IF(OR($A29&lt;'Recurring Schedule'!$F$34,$A29&gt;'Recurring Schedule'!$P$34),"",IF(IF('Recurring Schedule'!$N$34&gt;0,MOD($A29-'Recurring Schedule'!$F$34,'Recurring Schedule'!$N$34)=0,IF('Recurring Schedule'!$O$34&gt;0,AND(DAY($A29)=MIN(DAY('Recurring Schedule'!$F$34),DAY(EOMONTH($A29,0))),MOD((YEAR($A29)-YEAR('Recurring Schedule'!$F$34))*12+MONTH($A29)-MONTH('Recurring Schedule'!$F$34),'Recurring Schedule'!$O$34)=0),IF('Recurring Schedule'!$E$34="Weekdays",WEEKDAY($A29,2)&lt;=5,$A29='Recurring Schedule'!$F$34))),29,""))))</f>
        <v/>
      </c>
      <c r="AE29">
        <f>IF('Recurring Schedule'!$C$35="","",IF('Recurring Schedule'!$F$35="","",IF(OR($A29&lt;'Recurring Schedule'!$F$35,$A29&gt;'Recurring Schedule'!$P$35),"",IF(IF('Recurring Schedule'!$N$35&gt;0,MOD($A29-'Recurring Schedule'!$F$35,'Recurring Schedule'!$N$35)=0,IF('Recurring Schedule'!$O$35&gt;0,AND(DAY($A29)=MIN(DAY('Recurring Schedule'!$F$35),DAY(EOMONTH($A29,0))),MOD((YEAR($A29)-YEAR('Recurring Schedule'!$F$35))*12+MONTH($A29)-MONTH('Recurring Schedule'!$F$35),'Recurring Schedule'!$O$35)=0),IF('Recurring Schedule'!$E$35="Weekdays",WEEKDAY($A29,2)&lt;=5,$A29='Recurring Schedule'!$F$35))),30,""))))</f>
        <v/>
      </c>
      <c r="AF29">
        <f>IF('Recurring Schedule'!$C$36="","",IF('Recurring Schedule'!$F$36="","",IF(OR($A29&lt;'Recurring Schedule'!$F$36,$A29&gt;'Recurring Schedule'!$P$36),"",IF(IF('Recurring Schedule'!$N$36&gt;0,MOD($A29-'Recurring Schedule'!$F$36,'Recurring Schedule'!$N$36)=0,IF('Recurring Schedule'!$O$36&gt;0,AND(DAY($A29)=MIN(DAY('Recurring Schedule'!$F$36),DAY(EOMONTH($A29,0))),MOD((YEAR($A29)-YEAR('Recurring Schedule'!$F$36))*12+MONTH($A29)-MONTH('Recurring Schedule'!$F$36),'Recurring Schedule'!$O$36)=0),IF('Recurring Schedule'!$E$36="Weekdays",WEEKDAY($A29,2)&lt;=5,$A29='Recurring Schedule'!$F$36))),31,""))))</f>
        <v/>
      </c>
      <c r="AG29">
        <f>IF('Recurring Schedule'!$C$37="","",IF('Recurring Schedule'!$F$37="","",IF(OR($A29&lt;'Recurring Schedule'!$F$37,$A29&gt;'Recurring Schedule'!$P$37),"",IF(IF('Recurring Schedule'!$N$37&gt;0,MOD($A29-'Recurring Schedule'!$F$37,'Recurring Schedule'!$N$37)=0,IF('Recurring Schedule'!$O$37&gt;0,AND(DAY($A29)=MIN(DAY('Recurring Schedule'!$F$37),DAY(EOMONTH($A29,0))),MOD((YEAR($A29)-YEAR('Recurring Schedule'!$F$37))*12+MONTH($A29)-MONTH('Recurring Schedule'!$F$37),'Recurring Schedule'!$O$37)=0),IF('Recurring Schedule'!$E$37="Weekdays",WEEKDAY($A29,2)&lt;=5,$A29='Recurring Schedule'!$F$37))),32,""))))</f>
        <v/>
      </c>
      <c r="AH29">
        <f>IF('Recurring Schedule'!$C$38="","",IF('Recurring Schedule'!$F$38="","",IF(OR($A29&lt;'Recurring Schedule'!$F$38,$A29&gt;'Recurring Schedule'!$P$38),"",IF(IF('Recurring Schedule'!$N$38&gt;0,MOD($A29-'Recurring Schedule'!$F$38,'Recurring Schedule'!$N$38)=0,IF('Recurring Schedule'!$O$38&gt;0,AND(DAY($A29)=MIN(DAY('Recurring Schedule'!$F$38),DAY(EOMONTH($A29,0))),MOD((YEAR($A29)-YEAR('Recurring Schedule'!$F$38))*12+MONTH($A29)-MONTH('Recurring Schedule'!$F$38),'Recurring Schedule'!$O$38)=0),IF('Recurring Schedule'!$E$38="Weekdays",WEEKDAY($A29,2)&lt;=5,$A29='Recurring Schedule'!$F$38))),33,""))))</f>
        <v/>
      </c>
      <c r="AI29">
        <f>IF('Recurring Schedule'!$C$39="","",IF('Recurring Schedule'!$F$39="","",IF(OR($A29&lt;'Recurring Schedule'!$F$39,$A29&gt;'Recurring Schedule'!$P$39),"",IF(IF('Recurring Schedule'!$N$39&gt;0,MOD($A29-'Recurring Schedule'!$F$39,'Recurring Schedule'!$N$39)=0,IF('Recurring Schedule'!$O$39&gt;0,AND(DAY($A29)=MIN(DAY('Recurring Schedule'!$F$39),DAY(EOMONTH($A29,0))),MOD((YEAR($A29)-YEAR('Recurring Schedule'!$F$39))*12+MONTH($A29)-MONTH('Recurring Schedule'!$F$39),'Recurring Schedule'!$O$39)=0),IF('Recurring Schedule'!$E$39="Weekdays",WEEKDAY($A29,2)&lt;=5,$A29='Recurring Schedule'!$F$39))),34,""))))</f>
        <v/>
      </c>
      <c r="AJ29">
        <f>IF('Recurring Schedule'!$C$40="","",IF('Recurring Schedule'!$F$40="","",IF(OR($A29&lt;'Recurring Schedule'!$F$40,$A29&gt;'Recurring Schedule'!$P$40),"",IF(IF('Recurring Schedule'!$N$40&gt;0,MOD($A29-'Recurring Schedule'!$F$40,'Recurring Schedule'!$N$40)=0,IF('Recurring Schedule'!$O$40&gt;0,AND(DAY($A29)=MIN(DAY('Recurring Schedule'!$F$40),DAY(EOMONTH($A29,0))),MOD((YEAR($A29)-YEAR('Recurring Schedule'!$F$40))*12+MONTH($A29)-MONTH('Recurring Schedule'!$F$40),'Recurring Schedule'!$O$40)=0),IF('Recurring Schedule'!$E$40="Weekdays",WEEKDAY($A29,2)&lt;=5,$A29='Recurring Schedule'!$F$40))),35,""))))</f>
        <v/>
      </c>
      <c r="AK29">
        <f>IF('Recurring Schedule'!$C$41="","",IF('Recurring Schedule'!$F$41="","",IF(OR($A29&lt;'Recurring Schedule'!$F$41,$A29&gt;'Recurring Schedule'!$P$41),"",IF(IF('Recurring Schedule'!$N$41&gt;0,MOD($A29-'Recurring Schedule'!$F$41,'Recurring Schedule'!$N$41)=0,IF('Recurring Schedule'!$O$41&gt;0,AND(DAY($A29)=MIN(DAY('Recurring Schedule'!$F$41),DAY(EOMONTH($A29,0))),MOD((YEAR($A29)-YEAR('Recurring Schedule'!$F$41))*12+MONTH($A29)-MONTH('Recurring Schedule'!$F$41),'Recurring Schedule'!$O$41)=0),IF('Recurring Schedule'!$E$41="Weekdays",WEEKDAY($A29,2)&lt;=5,$A29='Recurring Schedule'!$F$41))),36,""))))</f>
        <v/>
      </c>
      <c r="AL29">
        <f>IF('Recurring Schedule'!$C$42="","",IF('Recurring Schedule'!$F$42="","",IF(OR($A29&lt;'Recurring Schedule'!$F$42,$A29&gt;'Recurring Schedule'!$P$42),"",IF(IF('Recurring Schedule'!$N$42&gt;0,MOD($A29-'Recurring Schedule'!$F$42,'Recurring Schedule'!$N$42)=0,IF('Recurring Schedule'!$O$42&gt;0,AND(DAY($A29)=MIN(DAY('Recurring Schedule'!$F$42),DAY(EOMONTH($A29,0))),MOD((YEAR($A29)-YEAR('Recurring Schedule'!$F$42))*12+MONTH($A29)-MONTH('Recurring Schedule'!$F$42),'Recurring Schedule'!$O$42)=0),IF('Recurring Schedule'!$E$42="Weekdays",WEEKDAY($A29,2)&lt;=5,$A29='Recurring Schedule'!$F$42))),37,""))))</f>
        <v/>
      </c>
      <c r="AM29">
        <f>IF('Recurring Schedule'!$C$43="","",IF('Recurring Schedule'!$F$43="","",IF(OR($A29&lt;'Recurring Schedule'!$F$43,$A29&gt;'Recurring Schedule'!$P$43),"",IF(IF('Recurring Schedule'!$N$43&gt;0,MOD($A29-'Recurring Schedule'!$F$43,'Recurring Schedule'!$N$43)=0,IF('Recurring Schedule'!$O$43&gt;0,AND(DAY($A29)=MIN(DAY('Recurring Schedule'!$F$43),DAY(EOMONTH($A29,0))),MOD((YEAR($A29)-YEAR('Recurring Schedule'!$F$43))*12+MONTH($A29)-MONTH('Recurring Schedule'!$F$43),'Recurring Schedule'!$O$43)=0),IF('Recurring Schedule'!$E$43="Weekdays",WEEKDAY($A29,2)&lt;=5,$A29='Recurring Schedule'!$F$43))),38,""))))</f>
        <v/>
      </c>
      <c r="AN29">
        <f>IF('Recurring Schedule'!$C$44="","",IF('Recurring Schedule'!$F$44="","",IF(OR($A29&lt;'Recurring Schedule'!$F$44,$A29&gt;'Recurring Schedule'!$P$44),"",IF(IF('Recurring Schedule'!$N$44&gt;0,MOD($A29-'Recurring Schedule'!$F$44,'Recurring Schedule'!$N$44)=0,IF('Recurring Schedule'!$O$44&gt;0,AND(DAY($A29)=MIN(DAY('Recurring Schedule'!$F$44),DAY(EOMONTH($A29,0))),MOD((YEAR($A29)-YEAR('Recurring Schedule'!$F$44))*12+MONTH($A29)-MONTH('Recurring Schedule'!$F$44),'Recurring Schedule'!$O$44)=0),IF('Recurring Schedule'!$E$44="Weekdays",WEEKDAY($A29,2)&lt;=5,$A29='Recurring Schedule'!$F$44))),39,""))))</f>
        <v/>
      </c>
      <c r="AO29">
        <f>IF('Recurring Schedule'!$C$45="","",IF('Recurring Schedule'!$F$45="","",IF(OR($A29&lt;'Recurring Schedule'!$F$45,$A29&gt;'Recurring Schedule'!$P$45),"",IF(IF('Recurring Schedule'!$N$45&gt;0,MOD($A29-'Recurring Schedule'!$F$45,'Recurring Schedule'!$N$45)=0,IF('Recurring Schedule'!$O$45&gt;0,AND(DAY($A29)=MIN(DAY('Recurring Schedule'!$F$45),DAY(EOMONTH($A29,0))),MOD((YEAR($A29)-YEAR('Recurring Schedule'!$F$45))*12+MONTH($A29)-MONTH('Recurring Schedule'!$F$45),'Recurring Schedule'!$O$45)=0),IF('Recurring Schedule'!$E$45="Weekdays",WEEKDAY($A29,2)&lt;=5,$A29='Recurring Schedule'!$F$45))),40,""))))</f>
        <v/>
      </c>
      <c r="AP29">
        <f>COUNT(B29:AO29)</f>
        <v/>
      </c>
      <c r="AQ29">
        <f>AQ28+AP28</f>
        <v/>
      </c>
      <c r="AS29" t="inlineStr">
        <is>
          <t>R</t>
        </is>
      </c>
      <c r="AT29" t="n">
        <v>33</v>
      </c>
      <c r="AU29">
        <f>'Recurring Log'!C33&amp;""</f>
        <v/>
      </c>
      <c r="AV29">
        <f>'Recurring Log'!D33&amp;""</f>
        <v/>
      </c>
      <c r="AW29">
        <f>IF('Recurring Log'!E33="","",'Recurring Log'!E33)</f>
        <v/>
      </c>
      <c r="AX29">
        <f>IF('Recurring Log'!G33="","",'Recurring Log'!G33)</f>
        <v/>
      </c>
      <c r="AY29">
        <f>IF('Recurring Log'!H33="","",'Recurring Log'!H33)</f>
        <v/>
      </c>
      <c r="AZ29">
        <f>IF(AU29="","",IF('Recurring Log'!J33="","Not Started",'Recurring Log'!J33))</f>
        <v/>
      </c>
      <c r="BA29">
        <f>'Recurring Log'!L33&amp;""</f>
        <v/>
      </c>
      <c r="BB29">
        <f>'Recurring Log'!M33&amp;""</f>
        <v/>
      </c>
      <c r="BC29">
        <f>'Recurring Log'!N33&amp;""</f>
        <v/>
      </c>
      <c r="BD29">
        <f>'Recurring Log'!O33&amp;""</f>
        <v/>
      </c>
      <c r="BE29">
        <f>IF('Recurring Log'!K33="","",'Recurring Log'!K33)</f>
        <v/>
      </c>
      <c r="BF29">
        <f>IFERROR(MATCH(BA29,Setup!$L$6:$L$9,0),5)</f>
        <v/>
      </c>
      <c r="BG29">
        <f>IF(OR(AZ29="Done",AZ29="Cancelled"),1,0)</f>
        <v/>
      </c>
      <c r="BH29">
        <f>IF(AND(AU29&lt;&gt;"",ISNUMBER(AW29)),1,0)</f>
        <v/>
      </c>
      <c r="BI29">
        <f>IF(BH29=0,0,IF(AND(AW29&gt;='Tasks Filter'!$F$3,AW29&lt;='Tasks Filter'!$F$4,OR('Tasks Filter'!$I$3="",ISNUMBER(SEARCH('Tasks Filter'!$I$3,AU29))),OR('Tasks Filter'!$I$4="",BF29=IFERROR(MATCH('Tasks Filter'!$I$4,Setup!$L$6:$L$9,0),0)),OR('Tasks Filter'!$I$5="Both",AND('Tasks Filter'!$I$5="Yes",BB29="✓"),AND('Tasks Filter'!$I$5="No",BB29&lt;&gt;"✓")),OR('Tasks Filter'!$L$3="",AV29='Tasks Filter'!$L$3),OR('Tasks Filter'!$L$4="",AZ29='Tasks Filter'!$L$4),OR('Tasks Filter'!$L$5="",BC29='Tasks Filter'!$L$5),OR('Tasks Filter'!$O$3="",BD29='Tasks Filter'!$O$3),OR('Tasks Filter'!$O$4="Yes",BG29=0)),1,0))</f>
        <v/>
      </c>
      <c r="BJ29">
        <f>IF(BH29=0,"",IF('Tasks Filter'!$F$6="Descending",-1,1)*CHOOSE(MATCH('Tasks Filter'!$F$5,Lists!$G$2:$G$6,0),AW29,BF29,IFERROR(MATCH(AV29,Setup!$F$6:$F$15,0),99),IFERROR(MATCH(BC29,Setup!$H$6:$H$15,0),99),IFERROR(MATCH(AZ29,Setup!$J$6:$J$11,0),99))*1E+9+(AW29-40000)*10000+28)</f>
        <v/>
      </c>
      <c r="BK29">
        <f>IF(BI29=1,BJ29,"")</f>
        <v/>
      </c>
      <c r="BL29">
        <f>IF(AND(BH29=1,BG29=0,N(AW29)&lt;Setup!$D$7),(AW29-40000)*10000+28,"")</f>
        <v/>
      </c>
      <c r="BM29">
        <f>IF(AND(BH29=1,AZ29&lt;&gt;"Cancelled",N(AW29)&gt;=Dashboard!$AB$3,N(AW29)&lt;=Dashboard!$AB$3+6),(AW29-40000)*100000+BF29*10000+28,"")</f>
        <v/>
      </c>
      <c r="BN29">
        <f>IF(AND(BH29=1,AZ29&lt;&gt;"Cancelled"),BF29*10000+28,"")</f>
        <v/>
      </c>
    </row>
    <row r="30">
      <c r="A30">
        <f>Setup!$D$5+28</f>
        <v/>
      </c>
      <c r="B30">
        <f>IF('Recurring Schedule'!$C$6="","",IF('Recurring Schedule'!$F$6="","",IF(OR($A30&lt;'Recurring Schedule'!$F$6,$A30&gt;'Recurring Schedule'!$P$6),"",IF(IF('Recurring Schedule'!$N$6&gt;0,MOD($A30-'Recurring Schedule'!$F$6,'Recurring Schedule'!$N$6)=0,IF('Recurring Schedule'!$O$6&gt;0,AND(DAY($A30)=MIN(DAY('Recurring Schedule'!$F$6),DAY(EOMONTH($A30,0))),MOD((YEAR($A30)-YEAR('Recurring Schedule'!$F$6))*12+MONTH($A30)-MONTH('Recurring Schedule'!$F$6),'Recurring Schedule'!$O$6)=0),IF('Recurring Schedule'!$E$6="Weekdays",WEEKDAY($A30,2)&lt;=5,$A30='Recurring Schedule'!$F$6))),1,""))))</f>
        <v/>
      </c>
      <c r="C30">
        <f>IF('Recurring Schedule'!$C$7="","",IF('Recurring Schedule'!$F$7="","",IF(OR($A30&lt;'Recurring Schedule'!$F$7,$A30&gt;'Recurring Schedule'!$P$7),"",IF(IF('Recurring Schedule'!$N$7&gt;0,MOD($A30-'Recurring Schedule'!$F$7,'Recurring Schedule'!$N$7)=0,IF('Recurring Schedule'!$O$7&gt;0,AND(DAY($A30)=MIN(DAY('Recurring Schedule'!$F$7),DAY(EOMONTH($A30,0))),MOD((YEAR($A30)-YEAR('Recurring Schedule'!$F$7))*12+MONTH($A30)-MONTH('Recurring Schedule'!$F$7),'Recurring Schedule'!$O$7)=0),IF('Recurring Schedule'!$E$7="Weekdays",WEEKDAY($A30,2)&lt;=5,$A30='Recurring Schedule'!$F$7))),2,""))))</f>
        <v/>
      </c>
      <c r="D30">
        <f>IF('Recurring Schedule'!$C$8="","",IF('Recurring Schedule'!$F$8="","",IF(OR($A30&lt;'Recurring Schedule'!$F$8,$A30&gt;'Recurring Schedule'!$P$8),"",IF(IF('Recurring Schedule'!$N$8&gt;0,MOD($A30-'Recurring Schedule'!$F$8,'Recurring Schedule'!$N$8)=0,IF('Recurring Schedule'!$O$8&gt;0,AND(DAY($A30)=MIN(DAY('Recurring Schedule'!$F$8),DAY(EOMONTH($A30,0))),MOD((YEAR($A30)-YEAR('Recurring Schedule'!$F$8))*12+MONTH($A30)-MONTH('Recurring Schedule'!$F$8),'Recurring Schedule'!$O$8)=0),IF('Recurring Schedule'!$E$8="Weekdays",WEEKDAY($A30,2)&lt;=5,$A30='Recurring Schedule'!$F$8))),3,""))))</f>
        <v/>
      </c>
      <c r="E30">
        <f>IF('Recurring Schedule'!$C$9="","",IF('Recurring Schedule'!$F$9="","",IF(OR($A30&lt;'Recurring Schedule'!$F$9,$A30&gt;'Recurring Schedule'!$P$9),"",IF(IF('Recurring Schedule'!$N$9&gt;0,MOD($A30-'Recurring Schedule'!$F$9,'Recurring Schedule'!$N$9)=0,IF('Recurring Schedule'!$O$9&gt;0,AND(DAY($A30)=MIN(DAY('Recurring Schedule'!$F$9),DAY(EOMONTH($A30,0))),MOD((YEAR($A30)-YEAR('Recurring Schedule'!$F$9))*12+MONTH($A30)-MONTH('Recurring Schedule'!$F$9),'Recurring Schedule'!$O$9)=0),IF('Recurring Schedule'!$E$9="Weekdays",WEEKDAY($A30,2)&lt;=5,$A30='Recurring Schedule'!$F$9))),4,""))))</f>
        <v/>
      </c>
      <c r="F30">
        <f>IF('Recurring Schedule'!$C$10="","",IF('Recurring Schedule'!$F$10="","",IF(OR($A30&lt;'Recurring Schedule'!$F$10,$A30&gt;'Recurring Schedule'!$P$10),"",IF(IF('Recurring Schedule'!$N$10&gt;0,MOD($A30-'Recurring Schedule'!$F$10,'Recurring Schedule'!$N$10)=0,IF('Recurring Schedule'!$O$10&gt;0,AND(DAY($A30)=MIN(DAY('Recurring Schedule'!$F$10),DAY(EOMONTH($A30,0))),MOD((YEAR($A30)-YEAR('Recurring Schedule'!$F$10))*12+MONTH($A30)-MONTH('Recurring Schedule'!$F$10),'Recurring Schedule'!$O$10)=0),IF('Recurring Schedule'!$E$10="Weekdays",WEEKDAY($A30,2)&lt;=5,$A30='Recurring Schedule'!$F$10))),5,""))))</f>
        <v/>
      </c>
      <c r="G30">
        <f>IF('Recurring Schedule'!$C$11="","",IF('Recurring Schedule'!$F$11="","",IF(OR($A30&lt;'Recurring Schedule'!$F$11,$A30&gt;'Recurring Schedule'!$P$11),"",IF(IF('Recurring Schedule'!$N$11&gt;0,MOD($A30-'Recurring Schedule'!$F$11,'Recurring Schedule'!$N$11)=0,IF('Recurring Schedule'!$O$11&gt;0,AND(DAY($A30)=MIN(DAY('Recurring Schedule'!$F$11),DAY(EOMONTH($A30,0))),MOD((YEAR($A30)-YEAR('Recurring Schedule'!$F$11))*12+MONTH($A30)-MONTH('Recurring Schedule'!$F$11),'Recurring Schedule'!$O$11)=0),IF('Recurring Schedule'!$E$11="Weekdays",WEEKDAY($A30,2)&lt;=5,$A30='Recurring Schedule'!$F$11))),6,""))))</f>
        <v/>
      </c>
      <c r="H30">
        <f>IF('Recurring Schedule'!$C$12="","",IF('Recurring Schedule'!$F$12="","",IF(OR($A30&lt;'Recurring Schedule'!$F$12,$A30&gt;'Recurring Schedule'!$P$12),"",IF(IF('Recurring Schedule'!$N$12&gt;0,MOD($A30-'Recurring Schedule'!$F$12,'Recurring Schedule'!$N$12)=0,IF('Recurring Schedule'!$O$12&gt;0,AND(DAY($A30)=MIN(DAY('Recurring Schedule'!$F$12),DAY(EOMONTH($A30,0))),MOD((YEAR($A30)-YEAR('Recurring Schedule'!$F$12))*12+MONTH($A30)-MONTH('Recurring Schedule'!$F$12),'Recurring Schedule'!$O$12)=0),IF('Recurring Schedule'!$E$12="Weekdays",WEEKDAY($A30,2)&lt;=5,$A30='Recurring Schedule'!$F$12))),7,""))))</f>
        <v/>
      </c>
      <c r="I30">
        <f>IF('Recurring Schedule'!$C$13="","",IF('Recurring Schedule'!$F$13="","",IF(OR($A30&lt;'Recurring Schedule'!$F$13,$A30&gt;'Recurring Schedule'!$P$13),"",IF(IF('Recurring Schedule'!$N$13&gt;0,MOD($A30-'Recurring Schedule'!$F$13,'Recurring Schedule'!$N$13)=0,IF('Recurring Schedule'!$O$13&gt;0,AND(DAY($A30)=MIN(DAY('Recurring Schedule'!$F$13),DAY(EOMONTH($A30,0))),MOD((YEAR($A30)-YEAR('Recurring Schedule'!$F$13))*12+MONTH($A30)-MONTH('Recurring Schedule'!$F$13),'Recurring Schedule'!$O$13)=0),IF('Recurring Schedule'!$E$13="Weekdays",WEEKDAY($A30,2)&lt;=5,$A30='Recurring Schedule'!$F$13))),8,""))))</f>
        <v/>
      </c>
      <c r="J30">
        <f>IF('Recurring Schedule'!$C$14="","",IF('Recurring Schedule'!$F$14="","",IF(OR($A30&lt;'Recurring Schedule'!$F$14,$A30&gt;'Recurring Schedule'!$P$14),"",IF(IF('Recurring Schedule'!$N$14&gt;0,MOD($A30-'Recurring Schedule'!$F$14,'Recurring Schedule'!$N$14)=0,IF('Recurring Schedule'!$O$14&gt;0,AND(DAY($A30)=MIN(DAY('Recurring Schedule'!$F$14),DAY(EOMONTH($A30,0))),MOD((YEAR($A30)-YEAR('Recurring Schedule'!$F$14))*12+MONTH($A30)-MONTH('Recurring Schedule'!$F$14),'Recurring Schedule'!$O$14)=0),IF('Recurring Schedule'!$E$14="Weekdays",WEEKDAY($A30,2)&lt;=5,$A30='Recurring Schedule'!$F$14))),9,""))))</f>
        <v/>
      </c>
      <c r="K30">
        <f>IF('Recurring Schedule'!$C$15="","",IF('Recurring Schedule'!$F$15="","",IF(OR($A30&lt;'Recurring Schedule'!$F$15,$A30&gt;'Recurring Schedule'!$P$15),"",IF(IF('Recurring Schedule'!$N$15&gt;0,MOD($A30-'Recurring Schedule'!$F$15,'Recurring Schedule'!$N$15)=0,IF('Recurring Schedule'!$O$15&gt;0,AND(DAY($A30)=MIN(DAY('Recurring Schedule'!$F$15),DAY(EOMONTH($A30,0))),MOD((YEAR($A30)-YEAR('Recurring Schedule'!$F$15))*12+MONTH($A30)-MONTH('Recurring Schedule'!$F$15),'Recurring Schedule'!$O$15)=0),IF('Recurring Schedule'!$E$15="Weekdays",WEEKDAY($A30,2)&lt;=5,$A30='Recurring Schedule'!$F$15))),10,""))))</f>
        <v/>
      </c>
      <c r="L30">
        <f>IF('Recurring Schedule'!$C$16="","",IF('Recurring Schedule'!$F$16="","",IF(OR($A30&lt;'Recurring Schedule'!$F$16,$A30&gt;'Recurring Schedule'!$P$16),"",IF(IF('Recurring Schedule'!$N$16&gt;0,MOD($A30-'Recurring Schedule'!$F$16,'Recurring Schedule'!$N$16)=0,IF('Recurring Schedule'!$O$16&gt;0,AND(DAY($A30)=MIN(DAY('Recurring Schedule'!$F$16),DAY(EOMONTH($A30,0))),MOD((YEAR($A30)-YEAR('Recurring Schedule'!$F$16))*12+MONTH($A30)-MONTH('Recurring Schedule'!$F$16),'Recurring Schedule'!$O$16)=0),IF('Recurring Schedule'!$E$16="Weekdays",WEEKDAY($A30,2)&lt;=5,$A30='Recurring Schedule'!$F$16))),11,""))))</f>
        <v/>
      </c>
      <c r="M30">
        <f>IF('Recurring Schedule'!$C$17="","",IF('Recurring Schedule'!$F$17="","",IF(OR($A30&lt;'Recurring Schedule'!$F$17,$A30&gt;'Recurring Schedule'!$P$17),"",IF(IF('Recurring Schedule'!$N$17&gt;0,MOD($A30-'Recurring Schedule'!$F$17,'Recurring Schedule'!$N$17)=0,IF('Recurring Schedule'!$O$17&gt;0,AND(DAY($A30)=MIN(DAY('Recurring Schedule'!$F$17),DAY(EOMONTH($A30,0))),MOD((YEAR($A30)-YEAR('Recurring Schedule'!$F$17))*12+MONTH($A30)-MONTH('Recurring Schedule'!$F$17),'Recurring Schedule'!$O$17)=0),IF('Recurring Schedule'!$E$17="Weekdays",WEEKDAY($A30,2)&lt;=5,$A30='Recurring Schedule'!$F$17))),12,""))))</f>
        <v/>
      </c>
      <c r="N30">
        <f>IF('Recurring Schedule'!$C$18="","",IF('Recurring Schedule'!$F$18="","",IF(OR($A30&lt;'Recurring Schedule'!$F$18,$A30&gt;'Recurring Schedule'!$P$18),"",IF(IF('Recurring Schedule'!$N$18&gt;0,MOD($A30-'Recurring Schedule'!$F$18,'Recurring Schedule'!$N$18)=0,IF('Recurring Schedule'!$O$18&gt;0,AND(DAY($A30)=MIN(DAY('Recurring Schedule'!$F$18),DAY(EOMONTH($A30,0))),MOD((YEAR($A30)-YEAR('Recurring Schedule'!$F$18))*12+MONTH($A30)-MONTH('Recurring Schedule'!$F$18),'Recurring Schedule'!$O$18)=0),IF('Recurring Schedule'!$E$18="Weekdays",WEEKDAY($A30,2)&lt;=5,$A30='Recurring Schedule'!$F$18))),13,""))))</f>
        <v/>
      </c>
      <c r="O30">
        <f>IF('Recurring Schedule'!$C$19="","",IF('Recurring Schedule'!$F$19="","",IF(OR($A30&lt;'Recurring Schedule'!$F$19,$A30&gt;'Recurring Schedule'!$P$19),"",IF(IF('Recurring Schedule'!$N$19&gt;0,MOD($A30-'Recurring Schedule'!$F$19,'Recurring Schedule'!$N$19)=0,IF('Recurring Schedule'!$O$19&gt;0,AND(DAY($A30)=MIN(DAY('Recurring Schedule'!$F$19),DAY(EOMONTH($A30,0))),MOD((YEAR($A30)-YEAR('Recurring Schedule'!$F$19))*12+MONTH($A30)-MONTH('Recurring Schedule'!$F$19),'Recurring Schedule'!$O$19)=0),IF('Recurring Schedule'!$E$19="Weekdays",WEEKDAY($A30,2)&lt;=5,$A30='Recurring Schedule'!$F$19))),14,""))))</f>
        <v/>
      </c>
      <c r="P30">
        <f>IF('Recurring Schedule'!$C$20="","",IF('Recurring Schedule'!$F$20="","",IF(OR($A30&lt;'Recurring Schedule'!$F$20,$A30&gt;'Recurring Schedule'!$P$20),"",IF(IF('Recurring Schedule'!$N$20&gt;0,MOD($A30-'Recurring Schedule'!$F$20,'Recurring Schedule'!$N$20)=0,IF('Recurring Schedule'!$O$20&gt;0,AND(DAY($A30)=MIN(DAY('Recurring Schedule'!$F$20),DAY(EOMONTH($A30,0))),MOD((YEAR($A30)-YEAR('Recurring Schedule'!$F$20))*12+MONTH($A30)-MONTH('Recurring Schedule'!$F$20),'Recurring Schedule'!$O$20)=0),IF('Recurring Schedule'!$E$20="Weekdays",WEEKDAY($A30,2)&lt;=5,$A30='Recurring Schedule'!$F$20))),15,""))))</f>
        <v/>
      </c>
      <c r="Q30">
        <f>IF('Recurring Schedule'!$C$21="","",IF('Recurring Schedule'!$F$21="","",IF(OR($A30&lt;'Recurring Schedule'!$F$21,$A30&gt;'Recurring Schedule'!$P$21),"",IF(IF('Recurring Schedule'!$N$21&gt;0,MOD($A30-'Recurring Schedule'!$F$21,'Recurring Schedule'!$N$21)=0,IF('Recurring Schedule'!$O$21&gt;0,AND(DAY($A30)=MIN(DAY('Recurring Schedule'!$F$21),DAY(EOMONTH($A30,0))),MOD((YEAR($A30)-YEAR('Recurring Schedule'!$F$21))*12+MONTH($A30)-MONTH('Recurring Schedule'!$F$21),'Recurring Schedule'!$O$21)=0),IF('Recurring Schedule'!$E$21="Weekdays",WEEKDAY($A30,2)&lt;=5,$A30='Recurring Schedule'!$F$21))),16,""))))</f>
        <v/>
      </c>
      <c r="R30">
        <f>IF('Recurring Schedule'!$C$22="","",IF('Recurring Schedule'!$F$22="","",IF(OR($A30&lt;'Recurring Schedule'!$F$22,$A30&gt;'Recurring Schedule'!$P$22),"",IF(IF('Recurring Schedule'!$N$22&gt;0,MOD($A30-'Recurring Schedule'!$F$22,'Recurring Schedule'!$N$22)=0,IF('Recurring Schedule'!$O$22&gt;0,AND(DAY($A30)=MIN(DAY('Recurring Schedule'!$F$22),DAY(EOMONTH($A30,0))),MOD((YEAR($A30)-YEAR('Recurring Schedule'!$F$22))*12+MONTH($A30)-MONTH('Recurring Schedule'!$F$22),'Recurring Schedule'!$O$22)=0),IF('Recurring Schedule'!$E$22="Weekdays",WEEKDAY($A30,2)&lt;=5,$A30='Recurring Schedule'!$F$22))),17,""))))</f>
        <v/>
      </c>
      <c r="S30">
        <f>IF('Recurring Schedule'!$C$23="","",IF('Recurring Schedule'!$F$23="","",IF(OR($A30&lt;'Recurring Schedule'!$F$23,$A30&gt;'Recurring Schedule'!$P$23),"",IF(IF('Recurring Schedule'!$N$23&gt;0,MOD($A30-'Recurring Schedule'!$F$23,'Recurring Schedule'!$N$23)=0,IF('Recurring Schedule'!$O$23&gt;0,AND(DAY($A30)=MIN(DAY('Recurring Schedule'!$F$23),DAY(EOMONTH($A30,0))),MOD((YEAR($A30)-YEAR('Recurring Schedule'!$F$23))*12+MONTH($A30)-MONTH('Recurring Schedule'!$F$23),'Recurring Schedule'!$O$23)=0),IF('Recurring Schedule'!$E$23="Weekdays",WEEKDAY($A30,2)&lt;=5,$A30='Recurring Schedule'!$F$23))),18,""))))</f>
        <v/>
      </c>
      <c r="T30">
        <f>IF('Recurring Schedule'!$C$24="","",IF('Recurring Schedule'!$F$24="","",IF(OR($A30&lt;'Recurring Schedule'!$F$24,$A30&gt;'Recurring Schedule'!$P$24),"",IF(IF('Recurring Schedule'!$N$24&gt;0,MOD($A30-'Recurring Schedule'!$F$24,'Recurring Schedule'!$N$24)=0,IF('Recurring Schedule'!$O$24&gt;0,AND(DAY($A30)=MIN(DAY('Recurring Schedule'!$F$24),DAY(EOMONTH($A30,0))),MOD((YEAR($A30)-YEAR('Recurring Schedule'!$F$24))*12+MONTH($A30)-MONTH('Recurring Schedule'!$F$24),'Recurring Schedule'!$O$24)=0),IF('Recurring Schedule'!$E$24="Weekdays",WEEKDAY($A30,2)&lt;=5,$A30='Recurring Schedule'!$F$24))),19,""))))</f>
        <v/>
      </c>
      <c r="U30">
        <f>IF('Recurring Schedule'!$C$25="","",IF('Recurring Schedule'!$F$25="","",IF(OR($A30&lt;'Recurring Schedule'!$F$25,$A30&gt;'Recurring Schedule'!$P$25),"",IF(IF('Recurring Schedule'!$N$25&gt;0,MOD($A30-'Recurring Schedule'!$F$25,'Recurring Schedule'!$N$25)=0,IF('Recurring Schedule'!$O$25&gt;0,AND(DAY($A30)=MIN(DAY('Recurring Schedule'!$F$25),DAY(EOMONTH($A30,0))),MOD((YEAR($A30)-YEAR('Recurring Schedule'!$F$25))*12+MONTH($A30)-MONTH('Recurring Schedule'!$F$25),'Recurring Schedule'!$O$25)=0),IF('Recurring Schedule'!$E$25="Weekdays",WEEKDAY($A30,2)&lt;=5,$A30='Recurring Schedule'!$F$25))),20,""))))</f>
        <v/>
      </c>
      <c r="V30">
        <f>IF('Recurring Schedule'!$C$26="","",IF('Recurring Schedule'!$F$26="","",IF(OR($A30&lt;'Recurring Schedule'!$F$26,$A30&gt;'Recurring Schedule'!$P$26),"",IF(IF('Recurring Schedule'!$N$26&gt;0,MOD($A30-'Recurring Schedule'!$F$26,'Recurring Schedule'!$N$26)=0,IF('Recurring Schedule'!$O$26&gt;0,AND(DAY($A30)=MIN(DAY('Recurring Schedule'!$F$26),DAY(EOMONTH($A30,0))),MOD((YEAR($A30)-YEAR('Recurring Schedule'!$F$26))*12+MONTH($A30)-MONTH('Recurring Schedule'!$F$26),'Recurring Schedule'!$O$26)=0),IF('Recurring Schedule'!$E$26="Weekdays",WEEKDAY($A30,2)&lt;=5,$A30='Recurring Schedule'!$F$26))),21,""))))</f>
        <v/>
      </c>
      <c r="W30">
        <f>IF('Recurring Schedule'!$C$27="","",IF('Recurring Schedule'!$F$27="","",IF(OR($A30&lt;'Recurring Schedule'!$F$27,$A30&gt;'Recurring Schedule'!$P$27),"",IF(IF('Recurring Schedule'!$N$27&gt;0,MOD($A30-'Recurring Schedule'!$F$27,'Recurring Schedule'!$N$27)=0,IF('Recurring Schedule'!$O$27&gt;0,AND(DAY($A30)=MIN(DAY('Recurring Schedule'!$F$27),DAY(EOMONTH($A30,0))),MOD((YEAR($A30)-YEAR('Recurring Schedule'!$F$27))*12+MONTH($A30)-MONTH('Recurring Schedule'!$F$27),'Recurring Schedule'!$O$27)=0),IF('Recurring Schedule'!$E$27="Weekdays",WEEKDAY($A30,2)&lt;=5,$A30='Recurring Schedule'!$F$27))),22,""))))</f>
        <v/>
      </c>
      <c r="X30">
        <f>IF('Recurring Schedule'!$C$28="","",IF('Recurring Schedule'!$F$28="","",IF(OR($A30&lt;'Recurring Schedule'!$F$28,$A30&gt;'Recurring Schedule'!$P$28),"",IF(IF('Recurring Schedule'!$N$28&gt;0,MOD($A30-'Recurring Schedule'!$F$28,'Recurring Schedule'!$N$28)=0,IF('Recurring Schedule'!$O$28&gt;0,AND(DAY($A30)=MIN(DAY('Recurring Schedule'!$F$28),DAY(EOMONTH($A30,0))),MOD((YEAR($A30)-YEAR('Recurring Schedule'!$F$28))*12+MONTH($A30)-MONTH('Recurring Schedule'!$F$28),'Recurring Schedule'!$O$28)=0),IF('Recurring Schedule'!$E$28="Weekdays",WEEKDAY($A30,2)&lt;=5,$A30='Recurring Schedule'!$F$28))),23,""))))</f>
        <v/>
      </c>
      <c r="Y30">
        <f>IF('Recurring Schedule'!$C$29="","",IF('Recurring Schedule'!$F$29="","",IF(OR($A30&lt;'Recurring Schedule'!$F$29,$A30&gt;'Recurring Schedule'!$P$29),"",IF(IF('Recurring Schedule'!$N$29&gt;0,MOD($A30-'Recurring Schedule'!$F$29,'Recurring Schedule'!$N$29)=0,IF('Recurring Schedule'!$O$29&gt;0,AND(DAY($A30)=MIN(DAY('Recurring Schedule'!$F$29),DAY(EOMONTH($A30,0))),MOD((YEAR($A30)-YEAR('Recurring Schedule'!$F$29))*12+MONTH($A30)-MONTH('Recurring Schedule'!$F$29),'Recurring Schedule'!$O$29)=0),IF('Recurring Schedule'!$E$29="Weekdays",WEEKDAY($A30,2)&lt;=5,$A30='Recurring Schedule'!$F$29))),24,""))))</f>
        <v/>
      </c>
      <c r="Z30">
        <f>IF('Recurring Schedule'!$C$30="","",IF('Recurring Schedule'!$F$30="","",IF(OR($A30&lt;'Recurring Schedule'!$F$30,$A30&gt;'Recurring Schedule'!$P$30),"",IF(IF('Recurring Schedule'!$N$30&gt;0,MOD($A30-'Recurring Schedule'!$F$30,'Recurring Schedule'!$N$30)=0,IF('Recurring Schedule'!$O$30&gt;0,AND(DAY($A30)=MIN(DAY('Recurring Schedule'!$F$30),DAY(EOMONTH($A30,0))),MOD((YEAR($A30)-YEAR('Recurring Schedule'!$F$30))*12+MONTH($A30)-MONTH('Recurring Schedule'!$F$30),'Recurring Schedule'!$O$30)=0),IF('Recurring Schedule'!$E$30="Weekdays",WEEKDAY($A30,2)&lt;=5,$A30='Recurring Schedule'!$F$30))),25,""))))</f>
        <v/>
      </c>
      <c r="AA30">
        <f>IF('Recurring Schedule'!$C$31="","",IF('Recurring Schedule'!$F$31="","",IF(OR($A30&lt;'Recurring Schedule'!$F$31,$A30&gt;'Recurring Schedule'!$P$31),"",IF(IF('Recurring Schedule'!$N$31&gt;0,MOD($A30-'Recurring Schedule'!$F$31,'Recurring Schedule'!$N$31)=0,IF('Recurring Schedule'!$O$31&gt;0,AND(DAY($A30)=MIN(DAY('Recurring Schedule'!$F$31),DAY(EOMONTH($A30,0))),MOD((YEAR($A30)-YEAR('Recurring Schedule'!$F$31))*12+MONTH($A30)-MONTH('Recurring Schedule'!$F$31),'Recurring Schedule'!$O$31)=0),IF('Recurring Schedule'!$E$31="Weekdays",WEEKDAY($A30,2)&lt;=5,$A30='Recurring Schedule'!$F$31))),26,""))))</f>
        <v/>
      </c>
      <c r="AB30">
        <f>IF('Recurring Schedule'!$C$32="","",IF('Recurring Schedule'!$F$32="","",IF(OR($A30&lt;'Recurring Schedule'!$F$32,$A30&gt;'Recurring Schedule'!$P$32),"",IF(IF('Recurring Schedule'!$N$32&gt;0,MOD($A30-'Recurring Schedule'!$F$32,'Recurring Schedule'!$N$32)=0,IF('Recurring Schedule'!$O$32&gt;0,AND(DAY($A30)=MIN(DAY('Recurring Schedule'!$F$32),DAY(EOMONTH($A30,0))),MOD((YEAR($A30)-YEAR('Recurring Schedule'!$F$32))*12+MONTH($A30)-MONTH('Recurring Schedule'!$F$32),'Recurring Schedule'!$O$32)=0),IF('Recurring Schedule'!$E$32="Weekdays",WEEKDAY($A30,2)&lt;=5,$A30='Recurring Schedule'!$F$32))),27,""))))</f>
        <v/>
      </c>
      <c r="AC30">
        <f>IF('Recurring Schedule'!$C$33="","",IF('Recurring Schedule'!$F$33="","",IF(OR($A30&lt;'Recurring Schedule'!$F$33,$A30&gt;'Recurring Schedule'!$P$33),"",IF(IF('Recurring Schedule'!$N$33&gt;0,MOD($A30-'Recurring Schedule'!$F$33,'Recurring Schedule'!$N$33)=0,IF('Recurring Schedule'!$O$33&gt;0,AND(DAY($A30)=MIN(DAY('Recurring Schedule'!$F$33),DAY(EOMONTH($A30,0))),MOD((YEAR($A30)-YEAR('Recurring Schedule'!$F$33))*12+MONTH($A30)-MONTH('Recurring Schedule'!$F$33),'Recurring Schedule'!$O$33)=0),IF('Recurring Schedule'!$E$33="Weekdays",WEEKDAY($A30,2)&lt;=5,$A30='Recurring Schedule'!$F$33))),28,""))))</f>
        <v/>
      </c>
      <c r="AD30">
        <f>IF('Recurring Schedule'!$C$34="","",IF('Recurring Schedule'!$F$34="","",IF(OR($A30&lt;'Recurring Schedule'!$F$34,$A30&gt;'Recurring Schedule'!$P$34),"",IF(IF('Recurring Schedule'!$N$34&gt;0,MOD($A30-'Recurring Schedule'!$F$34,'Recurring Schedule'!$N$34)=0,IF('Recurring Schedule'!$O$34&gt;0,AND(DAY($A30)=MIN(DAY('Recurring Schedule'!$F$34),DAY(EOMONTH($A30,0))),MOD((YEAR($A30)-YEAR('Recurring Schedule'!$F$34))*12+MONTH($A30)-MONTH('Recurring Schedule'!$F$34),'Recurring Schedule'!$O$34)=0),IF('Recurring Schedule'!$E$34="Weekdays",WEEKDAY($A30,2)&lt;=5,$A30='Recurring Schedule'!$F$34))),29,""))))</f>
        <v/>
      </c>
      <c r="AE30">
        <f>IF('Recurring Schedule'!$C$35="","",IF('Recurring Schedule'!$F$35="","",IF(OR($A30&lt;'Recurring Schedule'!$F$35,$A30&gt;'Recurring Schedule'!$P$35),"",IF(IF('Recurring Schedule'!$N$35&gt;0,MOD($A30-'Recurring Schedule'!$F$35,'Recurring Schedule'!$N$35)=0,IF('Recurring Schedule'!$O$35&gt;0,AND(DAY($A30)=MIN(DAY('Recurring Schedule'!$F$35),DAY(EOMONTH($A30,0))),MOD((YEAR($A30)-YEAR('Recurring Schedule'!$F$35))*12+MONTH($A30)-MONTH('Recurring Schedule'!$F$35),'Recurring Schedule'!$O$35)=0),IF('Recurring Schedule'!$E$35="Weekdays",WEEKDAY($A30,2)&lt;=5,$A30='Recurring Schedule'!$F$35))),30,""))))</f>
        <v/>
      </c>
      <c r="AF30">
        <f>IF('Recurring Schedule'!$C$36="","",IF('Recurring Schedule'!$F$36="","",IF(OR($A30&lt;'Recurring Schedule'!$F$36,$A30&gt;'Recurring Schedule'!$P$36),"",IF(IF('Recurring Schedule'!$N$36&gt;0,MOD($A30-'Recurring Schedule'!$F$36,'Recurring Schedule'!$N$36)=0,IF('Recurring Schedule'!$O$36&gt;0,AND(DAY($A30)=MIN(DAY('Recurring Schedule'!$F$36),DAY(EOMONTH($A30,0))),MOD((YEAR($A30)-YEAR('Recurring Schedule'!$F$36))*12+MONTH($A30)-MONTH('Recurring Schedule'!$F$36),'Recurring Schedule'!$O$36)=0),IF('Recurring Schedule'!$E$36="Weekdays",WEEKDAY($A30,2)&lt;=5,$A30='Recurring Schedule'!$F$36))),31,""))))</f>
        <v/>
      </c>
      <c r="AG30">
        <f>IF('Recurring Schedule'!$C$37="","",IF('Recurring Schedule'!$F$37="","",IF(OR($A30&lt;'Recurring Schedule'!$F$37,$A30&gt;'Recurring Schedule'!$P$37),"",IF(IF('Recurring Schedule'!$N$37&gt;0,MOD($A30-'Recurring Schedule'!$F$37,'Recurring Schedule'!$N$37)=0,IF('Recurring Schedule'!$O$37&gt;0,AND(DAY($A30)=MIN(DAY('Recurring Schedule'!$F$37),DAY(EOMONTH($A30,0))),MOD((YEAR($A30)-YEAR('Recurring Schedule'!$F$37))*12+MONTH($A30)-MONTH('Recurring Schedule'!$F$37),'Recurring Schedule'!$O$37)=0),IF('Recurring Schedule'!$E$37="Weekdays",WEEKDAY($A30,2)&lt;=5,$A30='Recurring Schedule'!$F$37))),32,""))))</f>
        <v/>
      </c>
      <c r="AH30">
        <f>IF('Recurring Schedule'!$C$38="","",IF('Recurring Schedule'!$F$38="","",IF(OR($A30&lt;'Recurring Schedule'!$F$38,$A30&gt;'Recurring Schedule'!$P$38),"",IF(IF('Recurring Schedule'!$N$38&gt;0,MOD($A30-'Recurring Schedule'!$F$38,'Recurring Schedule'!$N$38)=0,IF('Recurring Schedule'!$O$38&gt;0,AND(DAY($A30)=MIN(DAY('Recurring Schedule'!$F$38),DAY(EOMONTH($A30,0))),MOD((YEAR($A30)-YEAR('Recurring Schedule'!$F$38))*12+MONTH($A30)-MONTH('Recurring Schedule'!$F$38),'Recurring Schedule'!$O$38)=0),IF('Recurring Schedule'!$E$38="Weekdays",WEEKDAY($A30,2)&lt;=5,$A30='Recurring Schedule'!$F$38))),33,""))))</f>
        <v/>
      </c>
      <c r="AI30">
        <f>IF('Recurring Schedule'!$C$39="","",IF('Recurring Schedule'!$F$39="","",IF(OR($A30&lt;'Recurring Schedule'!$F$39,$A30&gt;'Recurring Schedule'!$P$39),"",IF(IF('Recurring Schedule'!$N$39&gt;0,MOD($A30-'Recurring Schedule'!$F$39,'Recurring Schedule'!$N$39)=0,IF('Recurring Schedule'!$O$39&gt;0,AND(DAY($A30)=MIN(DAY('Recurring Schedule'!$F$39),DAY(EOMONTH($A30,0))),MOD((YEAR($A30)-YEAR('Recurring Schedule'!$F$39))*12+MONTH($A30)-MONTH('Recurring Schedule'!$F$39),'Recurring Schedule'!$O$39)=0),IF('Recurring Schedule'!$E$39="Weekdays",WEEKDAY($A30,2)&lt;=5,$A30='Recurring Schedule'!$F$39))),34,""))))</f>
        <v/>
      </c>
      <c r="AJ30">
        <f>IF('Recurring Schedule'!$C$40="","",IF('Recurring Schedule'!$F$40="","",IF(OR($A30&lt;'Recurring Schedule'!$F$40,$A30&gt;'Recurring Schedule'!$P$40),"",IF(IF('Recurring Schedule'!$N$40&gt;0,MOD($A30-'Recurring Schedule'!$F$40,'Recurring Schedule'!$N$40)=0,IF('Recurring Schedule'!$O$40&gt;0,AND(DAY($A30)=MIN(DAY('Recurring Schedule'!$F$40),DAY(EOMONTH($A30,0))),MOD((YEAR($A30)-YEAR('Recurring Schedule'!$F$40))*12+MONTH($A30)-MONTH('Recurring Schedule'!$F$40),'Recurring Schedule'!$O$40)=0),IF('Recurring Schedule'!$E$40="Weekdays",WEEKDAY($A30,2)&lt;=5,$A30='Recurring Schedule'!$F$40))),35,""))))</f>
        <v/>
      </c>
      <c r="AK30">
        <f>IF('Recurring Schedule'!$C$41="","",IF('Recurring Schedule'!$F$41="","",IF(OR($A30&lt;'Recurring Schedule'!$F$41,$A30&gt;'Recurring Schedule'!$P$41),"",IF(IF('Recurring Schedule'!$N$41&gt;0,MOD($A30-'Recurring Schedule'!$F$41,'Recurring Schedule'!$N$41)=0,IF('Recurring Schedule'!$O$41&gt;0,AND(DAY($A30)=MIN(DAY('Recurring Schedule'!$F$41),DAY(EOMONTH($A30,0))),MOD((YEAR($A30)-YEAR('Recurring Schedule'!$F$41))*12+MONTH($A30)-MONTH('Recurring Schedule'!$F$41),'Recurring Schedule'!$O$41)=0),IF('Recurring Schedule'!$E$41="Weekdays",WEEKDAY($A30,2)&lt;=5,$A30='Recurring Schedule'!$F$41))),36,""))))</f>
        <v/>
      </c>
      <c r="AL30">
        <f>IF('Recurring Schedule'!$C$42="","",IF('Recurring Schedule'!$F$42="","",IF(OR($A30&lt;'Recurring Schedule'!$F$42,$A30&gt;'Recurring Schedule'!$P$42),"",IF(IF('Recurring Schedule'!$N$42&gt;0,MOD($A30-'Recurring Schedule'!$F$42,'Recurring Schedule'!$N$42)=0,IF('Recurring Schedule'!$O$42&gt;0,AND(DAY($A30)=MIN(DAY('Recurring Schedule'!$F$42),DAY(EOMONTH($A30,0))),MOD((YEAR($A30)-YEAR('Recurring Schedule'!$F$42))*12+MONTH($A30)-MONTH('Recurring Schedule'!$F$42),'Recurring Schedule'!$O$42)=0),IF('Recurring Schedule'!$E$42="Weekdays",WEEKDAY($A30,2)&lt;=5,$A30='Recurring Schedule'!$F$42))),37,""))))</f>
        <v/>
      </c>
      <c r="AM30">
        <f>IF('Recurring Schedule'!$C$43="","",IF('Recurring Schedule'!$F$43="","",IF(OR($A30&lt;'Recurring Schedule'!$F$43,$A30&gt;'Recurring Schedule'!$P$43),"",IF(IF('Recurring Schedule'!$N$43&gt;0,MOD($A30-'Recurring Schedule'!$F$43,'Recurring Schedule'!$N$43)=0,IF('Recurring Schedule'!$O$43&gt;0,AND(DAY($A30)=MIN(DAY('Recurring Schedule'!$F$43),DAY(EOMONTH($A30,0))),MOD((YEAR($A30)-YEAR('Recurring Schedule'!$F$43))*12+MONTH($A30)-MONTH('Recurring Schedule'!$F$43),'Recurring Schedule'!$O$43)=0),IF('Recurring Schedule'!$E$43="Weekdays",WEEKDAY($A30,2)&lt;=5,$A30='Recurring Schedule'!$F$43))),38,""))))</f>
        <v/>
      </c>
      <c r="AN30">
        <f>IF('Recurring Schedule'!$C$44="","",IF('Recurring Schedule'!$F$44="","",IF(OR($A30&lt;'Recurring Schedule'!$F$44,$A30&gt;'Recurring Schedule'!$P$44),"",IF(IF('Recurring Schedule'!$N$44&gt;0,MOD($A30-'Recurring Schedule'!$F$44,'Recurring Schedule'!$N$44)=0,IF('Recurring Schedule'!$O$44&gt;0,AND(DAY($A30)=MIN(DAY('Recurring Schedule'!$F$44),DAY(EOMONTH($A30,0))),MOD((YEAR($A30)-YEAR('Recurring Schedule'!$F$44))*12+MONTH($A30)-MONTH('Recurring Schedule'!$F$44),'Recurring Schedule'!$O$44)=0),IF('Recurring Schedule'!$E$44="Weekdays",WEEKDAY($A30,2)&lt;=5,$A30='Recurring Schedule'!$F$44))),39,""))))</f>
        <v/>
      </c>
      <c r="AO30">
        <f>IF('Recurring Schedule'!$C$45="","",IF('Recurring Schedule'!$F$45="","",IF(OR($A30&lt;'Recurring Schedule'!$F$45,$A30&gt;'Recurring Schedule'!$P$45),"",IF(IF('Recurring Schedule'!$N$45&gt;0,MOD($A30-'Recurring Schedule'!$F$45,'Recurring Schedule'!$N$45)=0,IF('Recurring Schedule'!$O$45&gt;0,AND(DAY($A30)=MIN(DAY('Recurring Schedule'!$F$45),DAY(EOMONTH($A30,0))),MOD((YEAR($A30)-YEAR('Recurring Schedule'!$F$45))*12+MONTH($A30)-MONTH('Recurring Schedule'!$F$45),'Recurring Schedule'!$O$45)=0),IF('Recurring Schedule'!$E$45="Weekdays",WEEKDAY($A30,2)&lt;=5,$A30='Recurring Schedule'!$F$45))),40,""))))</f>
        <v/>
      </c>
      <c r="AP30">
        <f>COUNT(B30:AO30)</f>
        <v/>
      </c>
      <c r="AQ30">
        <f>AQ29+AP29</f>
        <v/>
      </c>
      <c r="AS30" t="inlineStr">
        <is>
          <t>R</t>
        </is>
      </c>
      <c r="AT30" t="n">
        <v>34</v>
      </c>
      <c r="AU30">
        <f>'Recurring Log'!C34&amp;""</f>
        <v/>
      </c>
      <c r="AV30">
        <f>'Recurring Log'!D34&amp;""</f>
        <v/>
      </c>
      <c r="AW30">
        <f>IF('Recurring Log'!E34="","",'Recurring Log'!E34)</f>
        <v/>
      </c>
      <c r="AX30">
        <f>IF('Recurring Log'!G34="","",'Recurring Log'!G34)</f>
        <v/>
      </c>
      <c r="AY30">
        <f>IF('Recurring Log'!H34="","",'Recurring Log'!H34)</f>
        <v/>
      </c>
      <c r="AZ30">
        <f>IF(AU30="","",IF('Recurring Log'!J34="","Not Started",'Recurring Log'!J34))</f>
        <v/>
      </c>
      <c r="BA30">
        <f>'Recurring Log'!L34&amp;""</f>
        <v/>
      </c>
      <c r="BB30">
        <f>'Recurring Log'!M34&amp;""</f>
        <v/>
      </c>
      <c r="BC30">
        <f>'Recurring Log'!N34&amp;""</f>
        <v/>
      </c>
      <c r="BD30">
        <f>'Recurring Log'!O34&amp;""</f>
        <v/>
      </c>
      <c r="BE30">
        <f>IF('Recurring Log'!K34="","",'Recurring Log'!K34)</f>
        <v/>
      </c>
      <c r="BF30">
        <f>IFERROR(MATCH(BA30,Setup!$L$6:$L$9,0),5)</f>
        <v/>
      </c>
      <c r="BG30">
        <f>IF(OR(AZ30="Done",AZ30="Cancelled"),1,0)</f>
        <v/>
      </c>
      <c r="BH30">
        <f>IF(AND(AU30&lt;&gt;"",ISNUMBER(AW30)),1,0)</f>
        <v/>
      </c>
      <c r="BI30">
        <f>IF(BH30=0,0,IF(AND(AW30&gt;='Tasks Filter'!$F$3,AW30&lt;='Tasks Filter'!$F$4,OR('Tasks Filter'!$I$3="",ISNUMBER(SEARCH('Tasks Filter'!$I$3,AU30))),OR('Tasks Filter'!$I$4="",BF30=IFERROR(MATCH('Tasks Filter'!$I$4,Setup!$L$6:$L$9,0),0)),OR('Tasks Filter'!$I$5="Both",AND('Tasks Filter'!$I$5="Yes",BB30="✓"),AND('Tasks Filter'!$I$5="No",BB30&lt;&gt;"✓")),OR('Tasks Filter'!$L$3="",AV30='Tasks Filter'!$L$3),OR('Tasks Filter'!$L$4="",AZ30='Tasks Filter'!$L$4),OR('Tasks Filter'!$L$5="",BC30='Tasks Filter'!$L$5),OR('Tasks Filter'!$O$3="",BD30='Tasks Filter'!$O$3),OR('Tasks Filter'!$O$4="Yes",BG30=0)),1,0))</f>
        <v/>
      </c>
      <c r="BJ30">
        <f>IF(BH30=0,"",IF('Tasks Filter'!$F$6="Descending",-1,1)*CHOOSE(MATCH('Tasks Filter'!$F$5,Lists!$G$2:$G$6,0),AW30,BF30,IFERROR(MATCH(AV30,Setup!$F$6:$F$15,0),99),IFERROR(MATCH(BC30,Setup!$H$6:$H$15,0),99),IFERROR(MATCH(AZ30,Setup!$J$6:$J$11,0),99))*1E+9+(AW30-40000)*10000+29)</f>
        <v/>
      </c>
      <c r="BK30">
        <f>IF(BI30=1,BJ30,"")</f>
        <v/>
      </c>
      <c r="BL30">
        <f>IF(AND(BH30=1,BG30=0,N(AW30)&lt;Setup!$D$7),(AW30-40000)*10000+29,"")</f>
        <v/>
      </c>
      <c r="BM30">
        <f>IF(AND(BH30=1,AZ30&lt;&gt;"Cancelled",N(AW30)&gt;=Dashboard!$AB$3,N(AW30)&lt;=Dashboard!$AB$3+6),(AW30-40000)*100000+BF30*10000+29,"")</f>
        <v/>
      </c>
      <c r="BN30">
        <f>IF(AND(BH30=1,AZ30&lt;&gt;"Cancelled"),BF30*10000+29,"")</f>
        <v/>
      </c>
    </row>
    <row r="31">
      <c r="A31">
        <f>Setup!$D$5+29</f>
        <v/>
      </c>
      <c r="B31">
        <f>IF('Recurring Schedule'!$C$6="","",IF('Recurring Schedule'!$F$6="","",IF(OR($A31&lt;'Recurring Schedule'!$F$6,$A31&gt;'Recurring Schedule'!$P$6),"",IF(IF('Recurring Schedule'!$N$6&gt;0,MOD($A31-'Recurring Schedule'!$F$6,'Recurring Schedule'!$N$6)=0,IF('Recurring Schedule'!$O$6&gt;0,AND(DAY($A31)=MIN(DAY('Recurring Schedule'!$F$6),DAY(EOMONTH($A31,0))),MOD((YEAR($A31)-YEAR('Recurring Schedule'!$F$6))*12+MONTH($A31)-MONTH('Recurring Schedule'!$F$6),'Recurring Schedule'!$O$6)=0),IF('Recurring Schedule'!$E$6="Weekdays",WEEKDAY($A31,2)&lt;=5,$A31='Recurring Schedule'!$F$6))),1,""))))</f>
        <v/>
      </c>
      <c r="C31">
        <f>IF('Recurring Schedule'!$C$7="","",IF('Recurring Schedule'!$F$7="","",IF(OR($A31&lt;'Recurring Schedule'!$F$7,$A31&gt;'Recurring Schedule'!$P$7),"",IF(IF('Recurring Schedule'!$N$7&gt;0,MOD($A31-'Recurring Schedule'!$F$7,'Recurring Schedule'!$N$7)=0,IF('Recurring Schedule'!$O$7&gt;0,AND(DAY($A31)=MIN(DAY('Recurring Schedule'!$F$7),DAY(EOMONTH($A31,0))),MOD((YEAR($A31)-YEAR('Recurring Schedule'!$F$7))*12+MONTH($A31)-MONTH('Recurring Schedule'!$F$7),'Recurring Schedule'!$O$7)=0),IF('Recurring Schedule'!$E$7="Weekdays",WEEKDAY($A31,2)&lt;=5,$A31='Recurring Schedule'!$F$7))),2,""))))</f>
        <v/>
      </c>
      <c r="D31">
        <f>IF('Recurring Schedule'!$C$8="","",IF('Recurring Schedule'!$F$8="","",IF(OR($A31&lt;'Recurring Schedule'!$F$8,$A31&gt;'Recurring Schedule'!$P$8),"",IF(IF('Recurring Schedule'!$N$8&gt;0,MOD($A31-'Recurring Schedule'!$F$8,'Recurring Schedule'!$N$8)=0,IF('Recurring Schedule'!$O$8&gt;0,AND(DAY($A31)=MIN(DAY('Recurring Schedule'!$F$8),DAY(EOMONTH($A31,0))),MOD((YEAR($A31)-YEAR('Recurring Schedule'!$F$8))*12+MONTH($A31)-MONTH('Recurring Schedule'!$F$8),'Recurring Schedule'!$O$8)=0),IF('Recurring Schedule'!$E$8="Weekdays",WEEKDAY($A31,2)&lt;=5,$A31='Recurring Schedule'!$F$8))),3,""))))</f>
        <v/>
      </c>
      <c r="E31">
        <f>IF('Recurring Schedule'!$C$9="","",IF('Recurring Schedule'!$F$9="","",IF(OR($A31&lt;'Recurring Schedule'!$F$9,$A31&gt;'Recurring Schedule'!$P$9),"",IF(IF('Recurring Schedule'!$N$9&gt;0,MOD($A31-'Recurring Schedule'!$F$9,'Recurring Schedule'!$N$9)=0,IF('Recurring Schedule'!$O$9&gt;0,AND(DAY($A31)=MIN(DAY('Recurring Schedule'!$F$9),DAY(EOMONTH($A31,0))),MOD((YEAR($A31)-YEAR('Recurring Schedule'!$F$9))*12+MONTH($A31)-MONTH('Recurring Schedule'!$F$9),'Recurring Schedule'!$O$9)=0),IF('Recurring Schedule'!$E$9="Weekdays",WEEKDAY($A31,2)&lt;=5,$A31='Recurring Schedule'!$F$9))),4,""))))</f>
        <v/>
      </c>
      <c r="F31">
        <f>IF('Recurring Schedule'!$C$10="","",IF('Recurring Schedule'!$F$10="","",IF(OR($A31&lt;'Recurring Schedule'!$F$10,$A31&gt;'Recurring Schedule'!$P$10),"",IF(IF('Recurring Schedule'!$N$10&gt;0,MOD($A31-'Recurring Schedule'!$F$10,'Recurring Schedule'!$N$10)=0,IF('Recurring Schedule'!$O$10&gt;0,AND(DAY($A31)=MIN(DAY('Recurring Schedule'!$F$10),DAY(EOMONTH($A31,0))),MOD((YEAR($A31)-YEAR('Recurring Schedule'!$F$10))*12+MONTH($A31)-MONTH('Recurring Schedule'!$F$10),'Recurring Schedule'!$O$10)=0),IF('Recurring Schedule'!$E$10="Weekdays",WEEKDAY($A31,2)&lt;=5,$A31='Recurring Schedule'!$F$10))),5,""))))</f>
        <v/>
      </c>
      <c r="G31">
        <f>IF('Recurring Schedule'!$C$11="","",IF('Recurring Schedule'!$F$11="","",IF(OR($A31&lt;'Recurring Schedule'!$F$11,$A31&gt;'Recurring Schedule'!$P$11),"",IF(IF('Recurring Schedule'!$N$11&gt;0,MOD($A31-'Recurring Schedule'!$F$11,'Recurring Schedule'!$N$11)=0,IF('Recurring Schedule'!$O$11&gt;0,AND(DAY($A31)=MIN(DAY('Recurring Schedule'!$F$11),DAY(EOMONTH($A31,0))),MOD((YEAR($A31)-YEAR('Recurring Schedule'!$F$11))*12+MONTH($A31)-MONTH('Recurring Schedule'!$F$11),'Recurring Schedule'!$O$11)=0),IF('Recurring Schedule'!$E$11="Weekdays",WEEKDAY($A31,2)&lt;=5,$A31='Recurring Schedule'!$F$11))),6,""))))</f>
        <v/>
      </c>
      <c r="H31">
        <f>IF('Recurring Schedule'!$C$12="","",IF('Recurring Schedule'!$F$12="","",IF(OR($A31&lt;'Recurring Schedule'!$F$12,$A31&gt;'Recurring Schedule'!$P$12),"",IF(IF('Recurring Schedule'!$N$12&gt;0,MOD($A31-'Recurring Schedule'!$F$12,'Recurring Schedule'!$N$12)=0,IF('Recurring Schedule'!$O$12&gt;0,AND(DAY($A31)=MIN(DAY('Recurring Schedule'!$F$12),DAY(EOMONTH($A31,0))),MOD((YEAR($A31)-YEAR('Recurring Schedule'!$F$12))*12+MONTH($A31)-MONTH('Recurring Schedule'!$F$12),'Recurring Schedule'!$O$12)=0),IF('Recurring Schedule'!$E$12="Weekdays",WEEKDAY($A31,2)&lt;=5,$A31='Recurring Schedule'!$F$12))),7,""))))</f>
        <v/>
      </c>
      <c r="I31">
        <f>IF('Recurring Schedule'!$C$13="","",IF('Recurring Schedule'!$F$13="","",IF(OR($A31&lt;'Recurring Schedule'!$F$13,$A31&gt;'Recurring Schedule'!$P$13),"",IF(IF('Recurring Schedule'!$N$13&gt;0,MOD($A31-'Recurring Schedule'!$F$13,'Recurring Schedule'!$N$13)=0,IF('Recurring Schedule'!$O$13&gt;0,AND(DAY($A31)=MIN(DAY('Recurring Schedule'!$F$13),DAY(EOMONTH($A31,0))),MOD((YEAR($A31)-YEAR('Recurring Schedule'!$F$13))*12+MONTH($A31)-MONTH('Recurring Schedule'!$F$13),'Recurring Schedule'!$O$13)=0),IF('Recurring Schedule'!$E$13="Weekdays",WEEKDAY($A31,2)&lt;=5,$A31='Recurring Schedule'!$F$13))),8,""))))</f>
        <v/>
      </c>
      <c r="J31">
        <f>IF('Recurring Schedule'!$C$14="","",IF('Recurring Schedule'!$F$14="","",IF(OR($A31&lt;'Recurring Schedule'!$F$14,$A31&gt;'Recurring Schedule'!$P$14),"",IF(IF('Recurring Schedule'!$N$14&gt;0,MOD($A31-'Recurring Schedule'!$F$14,'Recurring Schedule'!$N$14)=0,IF('Recurring Schedule'!$O$14&gt;0,AND(DAY($A31)=MIN(DAY('Recurring Schedule'!$F$14),DAY(EOMONTH($A31,0))),MOD((YEAR($A31)-YEAR('Recurring Schedule'!$F$14))*12+MONTH($A31)-MONTH('Recurring Schedule'!$F$14),'Recurring Schedule'!$O$14)=0),IF('Recurring Schedule'!$E$14="Weekdays",WEEKDAY($A31,2)&lt;=5,$A31='Recurring Schedule'!$F$14))),9,""))))</f>
        <v/>
      </c>
      <c r="K31">
        <f>IF('Recurring Schedule'!$C$15="","",IF('Recurring Schedule'!$F$15="","",IF(OR($A31&lt;'Recurring Schedule'!$F$15,$A31&gt;'Recurring Schedule'!$P$15),"",IF(IF('Recurring Schedule'!$N$15&gt;0,MOD($A31-'Recurring Schedule'!$F$15,'Recurring Schedule'!$N$15)=0,IF('Recurring Schedule'!$O$15&gt;0,AND(DAY($A31)=MIN(DAY('Recurring Schedule'!$F$15),DAY(EOMONTH($A31,0))),MOD((YEAR($A31)-YEAR('Recurring Schedule'!$F$15))*12+MONTH($A31)-MONTH('Recurring Schedule'!$F$15),'Recurring Schedule'!$O$15)=0),IF('Recurring Schedule'!$E$15="Weekdays",WEEKDAY($A31,2)&lt;=5,$A31='Recurring Schedule'!$F$15))),10,""))))</f>
        <v/>
      </c>
      <c r="L31">
        <f>IF('Recurring Schedule'!$C$16="","",IF('Recurring Schedule'!$F$16="","",IF(OR($A31&lt;'Recurring Schedule'!$F$16,$A31&gt;'Recurring Schedule'!$P$16),"",IF(IF('Recurring Schedule'!$N$16&gt;0,MOD($A31-'Recurring Schedule'!$F$16,'Recurring Schedule'!$N$16)=0,IF('Recurring Schedule'!$O$16&gt;0,AND(DAY($A31)=MIN(DAY('Recurring Schedule'!$F$16),DAY(EOMONTH($A31,0))),MOD((YEAR($A31)-YEAR('Recurring Schedule'!$F$16))*12+MONTH($A31)-MONTH('Recurring Schedule'!$F$16),'Recurring Schedule'!$O$16)=0),IF('Recurring Schedule'!$E$16="Weekdays",WEEKDAY($A31,2)&lt;=5,$A31='Recurring Schedule'!$F$16))),11,""))))</f>
        <v/>
      </c>
      <c r="M31">
        <f>IF('Recurring Schedule'!$C$17="","",IF('Recurring Schedule'!$F$17="","",IF(OR($A31&lt;'Recurring Schedule'!$F$17,$A31&gt;'Recurring Schedule'!$P$17),"",IF(IF('Recurring Schedule'!$N$17&gt;0,MOD($A31-'Recurring Schedule'!$F$17,'Recurring Schedule'!$N$17)=0,IF('Recurring Schedule'!$O$17&gt;0,AND(DAY($A31)=MIN(DAY('Recurring Schedule'!$F$17),DAY(EOMONTH($A31,0))),MOD((YEAR($A31)-YEAR('Recurring Schedule'!$F$17))*12+MONTH($A31)-MONTH('Recurring Schedule'!$F$17),'Recurring Schedule'!$O$17)=0),IF('Recurring Schedule'!$E$17="Weekdays",WEEKDAY($A31,2)&lt;=5,$A31='Recurring Schedule'!$F$17))),12,""))))</f>
        <v/>
      </c>
      <c r="N31">
        <f>IF('Recurring Schedule'!$C$18="","",IF('Recurring Schedule'!$F$18="","",IF(OR($A31&lt;'Recurring Schedule'!$F$18,$A31&gt;'Recurring Schedule'!$P$18),"",IF(IF('Recurring Schedule'!$N$18&gt;0,MOD($A31-'Recurring Schedule'!$F$18,'Recurring Schedule'!$N$18)=0,IF('Recurring Schedule'!$O$18&gt;0,AND(DAY($A31)=MIN(DAY('Recurring Schedule'!$F$18),DAY(EOMONTH($A31,0))),MOD((YEAR($A31)-YEAR('Recurring Schedule'!$F$18))*12+MONTH($A31)-MONTH('Recurring Schedule'!$F$18),'Recurring Schedule'!$O$18)=0),IF('Recurring Schedule'!$E$18="Weekdays",WEEKDAY($A31,2)&lt;=5,$A31='Recurring Schedule'!$F$18))),13,""))))</f>
        <v/>
      </c>
      <c r="O31">
        <f>IF('Recurring Schedule'!$C$19="","",IF('Recurring Schedule'!$F$19="","",IF(OR($A31&lt;'Recurring Schedule'!$F$19,$A31&gt;'Recurring Schedule'!$P$19),"",IF(IF('Recurring Schedule'!$N$19&gt;0,MOD($A31-'Recurring Schedule'!$F$19,'Recurring Schedule'!$N$19)=0,IF('Recurring Schedule'!$O$19&gt;0,AND(DAY($A31)=MIN(DAY('Recurring Schedule'!$F$19),DAY(EOMONTH($A31,0))),MOD((YEAR($A31)-YEAR('Recurring Schedule'!$F$19))*12+MONTH($A31)-MONTH('Recurring Schedule'!$F$19),'Recurring Schedule'!$O$19)=0),IF('Recurring Schedule'!$E$19="Weekdays",WEEKDAY($A31,2)&lt;=5,$A31='Recurring Schedule'!$F$19))),14,""))))</f>
        <v/>
      </c>
      <c r="P31">
        <f>IF('Recurring Schedule'!$C$20="","",IF('Recurring Schedule'!$F$20="","",IF(OR($A31&lt;'Recurring Schedule'!$F$20,$A31&gt;'Recurring Schedule'!$P$20),"",IF(IF('Recurring Schedule'!$N$20&gt;0,MOD($A31-'Recurring Schedule'!$F$20,'Recurring Schedule'!$N$20)=0,IF('Recurring Schedule'!$O$20&gt;0,AND(DAY($A31)=MIN(DAY('Recurring Schedule'!$F$20),DAY(EOMONTH($A31,0))),MOD((YEAR($A31)-YEAR('Recurring Schedule'!$F$20))*12+MONTH($A31)-MONTH('Recurring Schedule'!$F$20),'Recurring Schedule'!$O$20)=0),IF('Recurring Schedule'!$E$20="Weekdays",WEEKDAY($A31,2)&lt;=5,$A31='Recurring Schedule'!$F$20))),15,""))))</f>
        <v/>
      </c>
      <c r="Q31">
        <f>IF('Recurring Schedule'!$C$21="","",IF('Recurring Schedule'!$F$21="","",IF(OR($A31&lt;'Recurring Schedule'!$F$21,$A31&gt;'Recurring Schedule'!$P$21),"",IF(IF('Recurring Schedule'!$N$21&gt;0,MOD($A31-'Recurring Schedule'!$F$21,'Recurring Schedule'!$N$21)=0,IF('Recurring Schedule'!$O$21&gt;0,AND(DAY($A31)=MIN(DAY('Recurring Schedule'!$F$21),DAY(EOMONTH($A31,0))),MOD((YEAR($A31)-YEAR('Recurring Schedule'!$F$21))*12+MONTH($A31)-MONTH('Recurring Schedule'!$F$21),'Recurring Schedule'!$O$21)=0),IF('Recurring Schedule'!$E$21="Weekdays",WEEKDAY($A31,2)&lt;=5,$A31='Recurring Schedule'!$F$21))),16,""))))</f>
        <v/>
      </c>
      <c r="R31">
        <f>IF('Recurring Schedule'!$C$22="","",IF('Recurring Schedule'!$F$22="","",IF(OR($A31&lt;'Recurring Schedule'!$F$22,$A31&gt;'Recurring Schedule'!$P$22),"",IF(IF('Recurring Schedule'!$N$22&gt;0,MOD($A31-'Recurring Schedule'!$F$22,'Recurring Schedule'!$N$22)=0,IF('Recurring Schedule'!$O$22&gt;0,AND(DAY($A31)=MIN(DAY('Recurring Schedule'!$F$22),DAY(EOMONTH($A31,0))),MOD((YEAR($A31)-YEAR('Recurring Schedule'!$F$22))*12+MONTH($A31)-MONTH('Recurring Schedule'!$F$22),'Recurring Schedule'!$O$22)=0),IF('Recurring Schedule'!$E$22="Weekdays",WEEKDAY($A31,2)&lt;=5,$A31='Recurring Schedule'!$F$22))),17,""))))</f>
        <v/>
      </c>
      <c r="S31">
        <f>IF('Recurring Schedule'!$C$23="","",IF('Recurring Schedule'!$F$23="","",IF(OR($A31&lt;'Recurring Schedule'!$F$23,$A31&gt;'Recurring Schedule'!$P$23),"",IF(IF('Recurring Schedule'!$N$23&gt;0,MOD($A31-'Recurring Schedule'!$F$23,'Recurring Schedule'!$N$23)=0,IF('Recurring Schedule'!$O$23&gt;0,AND(DAY($A31)=MIN(DAY('Recurring Schedule'!$F$23),DAY(EOMONTH($A31,0))),MOD((YEAR($A31)-YEAR('Recurring Schedule'!$F$23))*12+MONTH($A31)-MONTH('Recurring Schedule'!$F$23),'Recurring Schedule'!$O$23)=0),IF('Recurring Schedule'!$E$23="Weekdays",WEEKDAY($A31,2)&lt;=5,$A31='Recurring Schedule'!$F$23))),18,""))))</f>
        <v/>
      </c>
      <c r="T31">
        <f>IF('Recurring Schedule'!$C$24="","",IF('Recurring Schedule'!$F$24="","",IF(OR($A31&lt;'Recurring Schedule'!$F$24,$A31&gt;'Recurring Schedule'!$P$24),"",IF(IF('Recurring Schedule'!$N$24&gt;0,MOD($A31-'Recurring Schedule'!$F$24,'Recurring Schedule'!$N$24)=0,IF('Recurring Schedule'!$O$24&gt;0,AND(DAY($A31)=MIN(DAY('Recurring Schedule'!$F$24),DAY(EOMONTH($A31,0))),MOD((YEAR($A31)-YEAR('Recurring Schedule'!$F$24))*12+MONTH($A31)-MONTH('Recurring Schedule'!$F$24),'Recurring Schedule'!$O$24)=0),IF('Recurring Schedule'!$E$24="Weekdays",WEEKDAY($A31,2)&lt;=5,$A31='Recurring Schedule'!$F$24))),19,""))))</f>
        <v/>
      </c>
      <c r="U31">
        <f>IF('Recurring Schedule'!$C$25="","",IF('Recurring Schedule'!$F$25="","",IF(OR($A31&lt;'Recurring Schedule'!$F$25,$A31&gt;'Recurring Schedule'!$P$25),"",IF(IF('Recurring Schedule'!$N$25&gt;0,MOD($A31-'Recurring Schedule'!$F$25,'Recurring Schedule'!$N$25)=0,IF('Recurring Schedule'!$O$25&gt;0,AND(DAY($A31)=MIN(DAY('Recurring Schedule'!$F$25),DAY(EOMONTH($A31,0))),MOD((YEAR($A31)-YEAR('Recurring Schedule'!$F$25))*12+MONTH($A31)-MONTH('Recurring Schedule'!$F$25),'Recurring Schedule'!$O$25)=0),IF('Recurring Schedule'!$E$25="Weekdays",WEEKDAY($A31,2)&lt;=5,$A31='Recurring Schedule'!$F$25))),20,""))))</f>
        <v/>
      </c>
      <c r="V31">
        <f>IF('Recurring Schedule'!$C$26="","",IF('Recurring Schedule'!$F$26="","",IF(OR($A31&lt;'Recurring Schedule'!$F$26,$A31&gt;'Recurring Schedule'!$P$26),"",IF(IF('Recurring Schedule'!$N$26&gt;0,MOD($A31-'Recurring Schedule'!$F$26,'Recurring Schedule'!$N$26)=0,IF('Recurring Schedule'!$O$26&gt;0,AND(DAY($A31)=MIN(DAY('Recurring Schedule'!$F$26),DAY(EOMONTH($A31,0))),MOD((YEAR($A31)-YEAR('Recurring Schedule'!$F$26))*12+MONTH($A31)-MONTH('Recurring Schedule'!$F$26),'Recurring Schedule'!$O$26)=0),IF('Recurring Schedule'!$E$26="Weekdays",WEEKDAY($A31,2)&lt;=5,$A31='Recurring Schedule'!$F$26))),21,""))))</f>
        <v/>
      </c>
      <c r="W31">
        <f>IF('Recurring Schedule'!$C$27="","",IF('Recurring Schedule'!$F$27="","",IF(OR($A31&lt;'Recurring Schedule'!$F$27,$A31&gt;'Recurring Schedule'!$P$27),"",IF(IF('Recurring Schedule'!$N$27&gt;0,MOD($A31-'Recurring Schedule'!$F$27,'Recurring Schedule'!$N$27)=0,IF('Recurring Schedule'!$O$27&gt;0,AND(DAY($A31)=MIN(DAY('Recurring Schedule'!$F$27),DAY(EOMONTH($A31,0))),MOD((YEAR($A31)-YEAR('Recurring Schedule'!$F$27))*12+MONTH($A31)-MONTH('Recurring Schedule'!$F$27),'Recurring Schedule'!$O$27)=0),IF('Recurring Schedule'!$E$27="Weekdays",WEEKDAY($A31,2)&lt;=5,$A31='Recurring Schedule'!$F$27))),22,""))))</f>
        <v/>
      </c>
      <c r="X31">
        <f>IF('Recurring Schedule'!$C$28="","",IF('Recurring Schedule'!$F$28="","",IF(OR($A31&lt;'Recurring Schedule'!$F$28,$A31&gt;'Recurring Schedule'!$P$28),"",IF(IF('Recurring Schedule'!$N$28&gt;0,MOD($A31-'Recurring Schedule'!$F$28,'Recurring Schedule'!$N$28)=0,IF('Recurring Schedule'!$O$28&gt;0,AND(DAY($A31)=MIN(DAY('Recurring Schedule'!$F$28),DAY(EOMONTH($A31,0))),MOD((YEAR($A31)-YEAR('Recurring Schedule'!$F$28))*12+MONTH($A31)-MONTH('Recurring Schedule'!$F$28),'Recurring Schedule'!$O$28)=0),IF('Recurring Schedule'!$E$28="Weekdays",WEEKDAY($A31,2)&lt;=5,$A31='Recurring Schedule'!$F$28))),23,""))))</f>
        <v/>
      </c>
      <c r="Y31">
        <f>IF('Recurring Schedule'!$C$29="","",IF('Recurring Schedule'!$F$29="","",IF(OR($A31&lt;'Recurring Schedule'!$F$29,$A31&gt;'Recurring Schedule'!$P$29),"",IF(IF('Recurring Schedule'!$N$29&gt;0,MOD($A31-'Recurring Schedule'!$F$29,'Recurring Schedule'!$N$29)=0,IF('Recurring Schedule'!$O$29&gt;0,AND(DAY($A31)=MIN(DAY('Recurring Schedule'!$F$29),DAY(EOMONTH($A31,0))),MOD((YEAR($A31)-YEAR('Recurring Schedule'!$F$29))*12+MONTH($A31)-MONTH('Recurring Schedule'!$F$29),'Recurring Schedule'!$O$29)=0),IF('Recurring Schedule'!$E$29="Weekdays",WEEKDAY($A31,2)&lt;=5,$A31='Recurring Schedule'!$F$29))),24,""))))</f>
        <v/>
      </c>
      <c r="Z31">
        <f>IF('Recurring Schedule'!$C$30="","",IF('Recurring Schedule'!$F$30="","",IF(OR($A31&lt;'Recurring Schedule'!$F$30,$A31&gt;'Recurring Schedule'!$P$30),"",IF(IF('Recurring Schedule'!$N$30&gt;0,MOD($A31-'Recurring Schedule'!$F$30,'Recurring Schedule'!$N$30)=0,IF('Recurring Schedule'!$O$30&gt;0,AND(DAY($A31)=MIN(DAY('Recurring Schedule'!$F$30),DAY(EOMONTH($A31,0))),MOD((YEAR($A31)-YEAR('Recurring Schedule'!$F$30))*12+MONTH($A31)-MONTH('Recurring Schedule'!$F$30),'Recurring Schedule'!$O$30)=0),IF('Recurring Schedule'!$E$30="Weekdays",WEEKDAY($A31,2)&lt;=5,$A31='Recurring Schedule'!$F$30))),25,""))))</f>
        <v/>
      </c>
      <c r="AA31">
        <f>IF('Recurring Schedule'!$C$31="","",IF('Recurring Schedule'!$F$31="","",IF(OR($A31&lt;'Recurring Schedule'!$F$31,$A31&gt;'Recurring Schedule'!$P$31),"",IF(IF('Recurring Schedule'!$N$31&gt;0,MOD($A31-'Recurring Schedule'!$F$31,'Recurring Schedule'!$N$31)=0,IF('Recurring Schedule'!$O$31&gt;0,AND(DAY($A31)=MIN(DAY('Recurring Schedule'!$F$31),DAY(EOMONTH($A31,0))),MOD((YEAR($A31)-YEAR('Recurring Schedule'!$F$31))*12+MONTH($A31)-MONTH('Recurring Schedule'!$F$31),'Recurring Schedule'!$O$31)=0),IF('Recurring Schedule'!$E$31="Weekdays",WEEKDAY($A31,2)&lt;=5,$A31='Recurring Schedule'!$F$31))),26,""))))</f>
        <v/>
      </c>
      <c r="AB31">
        <f>IF('Recurring Schedule'!$C$32="","",IF('Recurring Schedule'!$F$32="","",IF(OR($A31&lt;'Recurring Schedule'!$F$32,$A31&gt;'Recurring Schedule'!$P$32),"",IF(IF('Recurring Schedule'!$N$32&gt;0,MOD($A31-'Recurring Schedule'!$F$32,'Recurring Schedule'!$N$32)=0,IF('Recurring Schedule'!$O$32&gt;0,AND(DAY($A31)=MIN(DAY('Recurring Schedule'!$F$32),DAY(EOMONTH($A31,0))),MOD((YEAR($A31)-YEAR('Recurring Schedule'!$F$32))*12+MONTH($A31)-MONTH('Recurring Schedule'!$F$32),'Recurring Schedule'!$O$32)=0),IF('Recurring Schedule'!$E$32="Weekdays",WEEKDAY($A31,2)&lt;=5,$A31='Recurring Schedule'!$F$32))),27,""))))</f>
        <v/>
      </c>
      <c r="AC31">
        <f>IF('Recurring Schedule'!$C$33="","",IF('Recurring Schedule'!$F$33="","",IF(OR($A31&lt;'Recurring Schedule'!$F$33,$A31&gt;'Recurring Schedule'!$P$33),"",IF(IF('Recurring Schedule'!$N$33&gt;0,MOD($A31-'Recurring Schedule'!$F$33,'Recurring Schedule'!$N$33)=0,IF('Recurring Schedule'!$O$33&gt;0,AND(DAY($A31)=MIN(DAY('Recurring Schedule'!$F$33),DAY(EOMONTH($A31,0))),MOD((YEAR($A31)-YEAR('Recurring Schedule'!$F$33))*12+MONTH($A31)-MONTH('Recurring Schedule'!$F$33),'Recurring Schedule'!$O$33)=0),IF('Recurring Schedule'!$E$33="Weekdays",WEEKDAY($A31,2)&lt;=5,$A31='Recurring Schedule'!$F$33))),28,""))))</f>
        <v/>
      </c>
      <c r="AD31">
        <f>IF('Recurring Schedule'!$C$34="","",IF('Recurring Schedule'!$F$34="","",IF(OR($A31&lt;'Recurring Schedule'!$F$34,$A31&gt;'Recurring Schedule'!$P$34),"",IF(IF('Recurring Schedule'!$N$34&gt;0,MOD($A31-'Recurring Schedule'!$F$34,'Recurring Schedule'!$N$34)=0,IF('Recurring Schedule'!$O$34&gt;0,AND(DAY($A31)=MIN(DAY('Recurring Schedule'!$F$34),DAY(EOMONTH($A31,0))),MOD((YEAR($A31)-YEAR('Recurring Schedule'!$F$34))*12+MONTH($A31)-MONTH('Recurring Schedule'!$F$34),'Recurring Schedule'!$O$34)=0),IF('Recurring Schedule'!$E$34="Weekdays",WEEKDAY($A31,2)&lt;=5,$A31='Recurring Schedule'!$F$34))),29,""))))</f>
        <v/>
      </c>
      <c r="AE31">
        <f>IF('Recurring Schedule'!$C$35="","",IF('Recurring Schedule'!$F$35="","",IF(OR($A31&lt;'Recurring Schedule'!$F$35,$A31&gt;'Recurring Schedule'!$P$35),"",IF(IF('Recurring Schedule'!$N$35&gt;0,MOD($A31-'Recurring Schedule'!$F$35,'Recurring Schedule'!$N$35)=0,IF('Recurring Schedule'!$O$35&gt;0,AND(DAY($A31)=MIN(DAY('Recurring Schedule'!$F$35),DAY(EOMONTH($A31,0))),MOD((YEAR($A31)-YEAR('Recurring Schedule'!$F$35))*12+MONTH($A31)-MONTH('Recurring Schedule'!$F$35),'Recurring Schedule'!$O$35)=0),IF('Recurring Schedule'!$E$35="Weekdays",WEEKDAY($A31,2)&lt;=5,$A31='Recurring Schedule'!$F$35))),30,""))))</f>
        <v/>
      </c>
      <c r="AF31">
        <f>IF('Recurring Schedule'!$C$36="","",IF('Recurring Schedule'!$F$36="","",IF(OR($A31&lt;'Recurring Schedule'!$F$36,$A31&gt;'Recurring Schedule'!$P$36),"",IF(IF('Recurring Schedule'!$N$36&gt;0,MOD($A31-'Recurring Schedule'!$F$36,'Recurring Schedule'!$N$36)=0,IF('Recurring Schedule'!$O$36&gt;0,AND(DAY($A31)=MIN(DAY('Recurring Schedule'!$F$36),DAY(EOMONTH($A31,0))),MOD((YEAR($A31)-YEAR('Recurring Schedule'!$F$36))*12+MONTH($A31)-MONTH('Recurring Schedule'!$F$36),'Recurring Schedule'!$O$36)=0),IF('Recurring Schedule'!$E$36="Weekdays",WEEKDAY($A31,2)&lt;=5,$A31='Recurring Schedule'!$F$36))),31,""))))</f>
        <v/>
      </c>
      <c r="AG31">
        <f>IF('Recurring Schedule'!$C$37="","",IF('Recurring Schedule'!$F$37="","",IF(OR($A31&lt;'Recurring Schedule'!$F$37,$A31&gt;'Recurring Schedule'!$P$37),"",IF(IF('Recurring Schedule'!$N$37&gt;0,MOD($A31-'Recurring Schedule'!$F$37,'Recurring Schedule'!$N$37)=0,IF('Recurring Schedule'!$O$37&gt;0,AND(DAY($A31)=MIN(DAY('Recurring Schedule'!$F$37),DAY(EOMONTH($A31,0))),MOD((YEAR($A31)-YEAR('Recurring Schedule'!$F$37))*12+MONTH($A31)-MONTH('Recurring Schedule'!$F$37),'Recurring Schedule'!$O$37)=0),IF('Recurring Schedule'!$E$37="Weekdays",WEEKDAY($A31,2)&lt;=5,$A31='Recurring Schedule'!$F$37))),32,""))))</f>
        <v/>
      </c>
      <c r="AH31">
        <f>IF('Recurring Schedule'!$C$38="","",IF('Recurring Schedule'!$F$38="","",IF(OR($A31&lt;'Recurring Schedule'!$F$38,$A31&gt;'Recurring Schedule'!$P$38),"",IF(IF('Recurring Schedule'!$N$38&gt;0,MOD($A31-'Recurring Schedule'!$F$38,'Recurring Schedule'!$N$38)=0,IF('Recurring Schedule'!$O$38&gt;0,AND(DAY($A31)=MIN(DAY('Recurring Schedule'!$F$38),DAY(EOMONTH($A31,0))),MOD((YEAR($A31)-YEAR('Recurring Schedule'!$F$38))*12+MONTH($A31)-MONTH('Recurring Schedule'!$F$38),'Recurring Schedule'!$O$38)=0),IF('Recurring Schedule'!$E$38="Weekdays",WEEKDAY($A31,2)&lt;=5,$A31='Recurring Schedule'!$F$38))),33,""))))</f>
        <v/>
      </c>
      <c r="AI31">
        <f>IF('Recurring Schedule'!$C$39="","",IF('Recurring Schedule'!$F$39="","",IF(OR($A31&lt;'Recurring Schedule'!$F$39,$A31&gt;'Recurring Schedule'!$P$39),"",IF(IF('Recurring Schedule'!$N$39&gt;0,MOD($A31-'Recurring Schedule'!$F$39,'Recurring Schedule'!$N$39)=0,IF('Recurring Schedule'!$O$39&gt;0,AND(DAY($A31)=MIN(DAY('Recurring Schedule'!$F$39),DAY(EOMONTH($A31,0))),MOD((YEAR($A31)-YEAR('Recurring Schedule'!$F$39))*12+MONTH($A31)-MONTH('Recurring Schedule'!$F$39),'Recurring Schedule'!$O$39)=0),IF('Recurring Schedule'!$E$39="Weekdays",WEEKDAY($A31,2)&lt;=5,$A31='Recurring Schedule'!$F$39))),34,""))))</f>
        <v/>
      </c>
      <c r="AJ31">
        <f>IF('Recurring Schedule'!$C$40="","",IF('Recurring Schedule'!$F$40="","",IF(OR($A31&lt;'Recurring Schedule'!$F$40,$A31&gt;'Recurring Schedule'!$P$40),"",IF(IF('Recurring Schedule'!$N$40&gt;0,MOD($A31-'Recurring Schedule'!$F$40,'Recurring Schedule'!$N$40)=0,IF('Recurring Schedule'!$O$40&gt;0,AND(DAY($A31)=MIN(DAY('Recurring Schedule'!$F$40),DAY(EOMONTH($A31,0))),MOD((YEAR($A31)-YEAR('Recurring Schedule'!$F$40))*12+MONTH($A31)-MONTH('Recurring Schedule'!$F$40),'Recurring Schedule'!$O$40)=0),IF('Recurring Schedule'!$E$40="Weekdays",WEEKDAY($A31,2)&lt;=5,$A31='Recurring Schedule'!$F$40))),35,""))))</f>
        <v/>
      </c>
      <c r="AK31">
        <f>IF('Recurring Schedule'!$C$41="","",IF('Recurring Schedule'!$F$41="","",IF(OR($A31&lt;'Recurring Schedule'!$F$41,$A31&gt;'Recurring Schedule'!$P$41),"",IF(IF('Recurring Schedule'!$N$41&gt;0,MOD($A31-'Recurring Schedule'!$F$41,'Recurring Schedule'!$N$41)=0,IF('Recurring Schedule'!$O$41&gt;0,AND(DAY($A31)=MIN(DAY('Recurring Schedule'!$F$41),DAY(EOMONTH($A31,0))),MOD((YEAR($A31)-YEAR('Recurring Schedule'!$F$41))*12+MONTH($A31)-MONTH('Recurring Schedule'!$F$41),'Recurring Schedule'!$O$41)=0),IF('Recurring Schedule'!$E$41="Weekdays",WEEKDAY($A31,2)&lt;=5,$A31='Recurring Schedule'!$F$41))),36,""))))</f>
        <v/>
      </c>
      <c r="AL31">
        <f>IF('Recurring Schedule'!$C$42="","",IF('Recurring Schedule'!$F$42="","",IF(OR($A31&lt;'Recurring Schedule'!$F$42,$A31&gt;'Recurring Schedule'!$P$42),"",IF(IF('Recurring Schedule'!$N$42&gt;0,MOD($A31-'Recurring Schedule'!$F$42,'Recurring Schedule'!$N$42)=0,IF('Recurring Schedule'!$O$42&gt;0,AND(DAY($A31)=MIN(DAY('Recurring Schedule'!$F$42),DAY(EOMONTH($A31,0))),MOD((YEAR($A31)-YEAR('Recurring Schedule'!$F$42))*12+MONTH($A31)-MONTH('Recurring Schedule'!$F$42),'Recurring Schedule'!$O$42)=0),IF('Recurring Schedule'!$E$42="Weekdays",WEEKDAY($A31,2)&lt;=5,$A31='Recurring Schedule'!$F$42))),37,""))))</f>
        <v/>
      </c>
      <c r="AM31">
        <f>IF('Recurring Schedule'!$C$43="","",IF('Recurring Schedule'!$F$43="","",IF(OR($A31&lt;'Recurring Schedule'!$F$43,$A31&gt;'Recurring Schedule'!$P$43),"",IF(IF('Recurring Schedule'!$N$43&gt;0,MOD($A31-'Recurring Schedule'!$F$43,'Recurring Schedule'!$N$43)=0,IF('Recurring Schedule'!$O$43&gt;0,AND(DAY($A31)=MIN(DAY('Recurring Schedule'!$F$43),DAY(EOMONTH($A31,0))),MOD((YEAR($A31)-YEAR('Recurring Schedule'!$F$43))*12+MONTH($A31)-MONTH('Recurring Schedule'!$F$43),'Recurring Schedule'!$O$43)=0),IF('Recurring Schedule'!$E$43="Weekdays",WEEKDAY($A31,2)&lt;=5,$A31='Recurring Schedule'!$F$43))),38,""))))</f>
        <v/>
      </c>
      <c r="AN31">
        <f>IF('Recurring Schedule'!$C$44="","",IF('Recurring Schedule'!$F$44="","",IF(OR($A31&lt;'Recurring Schedule'!$F$44,$A31&gt;'Recurring Schedule'!$P$44),"",IF(IF('Recurring Schedule'!$N$44&gt;0,MOD($A31-'Recurring Schedule'!$F$44,'Recurring Schedule'!$N$44)=0,IF('Recurring Schedule'!$O$44&gt;0,AND(DAY($A31)=MIN(DAY('Recurring Schedule'!$F$44),DAY(EOMONTH($A31,0))),MOD((YEAR($A31)-YEAR('Recurring Schedule'!$F$44))*12+MONTH($A31)-MONTH('Recurring Schedule'!$F$44),'Recurring Schedule'!$O$44)=0),IF('Recurring Schedule'!$E$44="Weekdays",WEEKDAY($A31,2)&lt;=5,$A31='Recurring Schedule'!$F$44))),39,""))))</f>
        <v/>
      </c>
      <c r="AO31">
        <f>IF('Recurring Schedule'!$C$45="","",IF('Recurring Schedule'!$F$45="","",IF(OR($A31&lt;'Recurring Schedule'!$F$45,$A31&gt;'Recurring Schedule'!$P$45),"",IF(IF('Recurring Schedule'!$N$45&gt;0,MOD($A31-'Recurring Schedule'!$F$45,'Recurring Schedule'!$N$45)=0,IF('Recurring Schedule'!$O$45&gt;0,AND(DAY($A31)=MIN(DAY('Recurring Schedule'!$F$45),DAY(EOMONTH($A31,0))),MOD((YEAR($A31)-YEAR('Recurring Schedule'!$F$45))*12+MONTH($A31)-MONTH('Recurring Schedule'!$F$45),'Recurring Schedule'!$O$45)=0),IF('Recurring Schedule'!$E$45="Weekdays",WEEKDAY($A31,2)&lt;=5,$A31='Recurring Schedule'!$F$45))),40,""))))</f>
        <v/>
      </c>
      <c r="AP31">
        <f>COUNT(B31:AO31)</f>
        <v/>
      </c>
      <c r="AQ31">
        <f>AQ30+AP30</f>
        <v/>
      </c>
      <c r="AS31" t="inlineStr">
        <is>
          <t>R</t>
        </is>
      </c>
      <c r="AT31" t="n">
        <v>35</v>
      </c>
      <c r="AU31">
        <f>'Recurring Log'!C35&amp;""</f>
        <v/>
      </c>
      <c r="AV31">
        <f>'Recurring Log'!D35&amp;""</f>
        <v/>
      </c>
      <c r="AW31">
        <f>IF('Recurring Log'!E35="","",'Recurring Log'!E35)</f>
        <v/>
      </c>
      <c r="AX31">
        <f>IF('Recurring Log'!G35="","",'Recurring Log'!G35)</f>
        <v/>
      </c>
      <c r="AY31">
        <f>IF('Recurring Log'!H35="","",'Recurring Log'!H35)</f>
        <v/>
      </c>
      <c r="AZ31">
        <f>IF(AU31="","",IF('Recurring Log'!J35="","Not Started",'Recurring Log'!J35))</f>
        <v/>
      </c>
      <c r="BA31">
        <f>'Recurring Log'!L35&amp;""</f>
        <v/>
      </c>
      <c r="BB31">
        <f>'Recurring Log'!M35&amp;""</f>
        <v/>
      </c>
      <c r="BC31">
        <f>'Recurring Log'!N35&amp;""</f>
        <v/>
      </c>
      <c r="BD31">
        <f>'Recurring Log'!O35&amp;""</f>
        <v/>
      </c>
      <c r="BE31">
        <f>IF('Recurring Log'!K35="","",'Recurring Log'!K35)</f>
        <v/>
      </c>
      <c r="BF31">
        <f>IFERROR(MATCH(BA31,Setup!$L$6:$L$9,0),5)</f>
        <v/>
      </c>
      <c r="BG31">
        <f>IF(OR(AZ31="Done",AZ31="Cancelled"),1,0)</f>
        <v/>
      </c>
      <c r="BH31">
        <f>IF(AND(AU31&lt;&gt;"",ISNUMBER(AW31)),1,0)</f>
        <v/>
      </c>
      <c r="BI31">
        <f>IF(BH31=0,0,IF(AND(AW31&gt;='Tasks Filter'!$F$3,AW31&lt;='Tasks Filter'!$F$4,OR('Tasks Filter'!$I$3="",ISNUMBER(SEARCH('Tasks Filter'!$I$3,AU31))),OR('Tasks Filter'!$I$4="",BF31=IFERROR(MATCH('Tasks Filter'!$I$4,Setup!$L$6:$L$9,0),0)),OR('Tasks Filter'!$I$5="Both",AND('Tasks Filter'!$I$5="Yes",BB31="✓"),AND('Tasks Filter'!$I$5="No",BB31&lt;&gt;"✓")),OR('Tasks Filter'!$L$3="",AV31='Tasks Filter'!$L$3),OR('Tasks Filter'!$L$4="",AZ31='Tasks Filter'!$L$4),OR('Tasks Filter'!$L$5="",BC31='Tasks Filter'!$L$5),OR('Tasks Filter'!$O$3="",BD31='Tasks Filter'!$O$3),OR('Tasks Filter'!$O$4="Yes",BG31=0)),1,0))</f>
        <v/>
      </c>
      <c r="BJ31">
        <f>IF(BH31=0,"",IF('Tasks Filter'!$F$6="Descending",-1,1)*CHOOSE(MATCH('Tasks Filter'!$F$5,Lists!$G$2:$G$6,0),AW31,BF31,IFERROR(MATCH(AV31,Setup!$F$6:$F$15,0),99),IFERROR(MATCH(BC31,Setup!$H$6:$H$15,0),99),IFERROR(MATCH(AZ31,Setup!$J$6:$J$11,0),99))*1E+9+(AW31-40000)*10000+30)</f>
        <v/>
      </c>
      <c r="BK31">
        <f>IF(BI31=1,BJ31,"")</f>
        <v/>
      </c>
      <c r="BL31">
        <f>IF(AND(BH31=1,BG31=0,N(AW31)&lt;Setup!$D$7),(AW31-40000)*10000+30,"")</f>
        <v/>
      </c>
      <c r="BM31">
        <f>IF(AND(BH31=1,AZ31&lt;&gt;"Cancelled",N(AW31)&gt;=Dashboard!$AB$3,N(AW31)&lt;=Dashboard!$AB$3+6),(AW31-40000)*100000+BF31*10000+30,"")</f>
        <v/>
      </c>
      <c r="BN31">
        <f>IF(AND(BH31=1,AZ31&lt;&gt;"Cancelled"),BF31*10000+30,"")</f>
        <v/>
      </c>
    </row>
    <row r="32">
      <c r="A32">
        <f>Setup!$D$5+30</f>
        <v/>
      </c>
      <c r="B32">
        <f>IF('Recurring Schedule'!$C$6="","",IF('Recurring Schedule'!$F$6="","",IF(OR($A32&lt;'Recurring Schedule'!$F$6,$A32&gt;'Recurring Schedule'!$P$6),"",IF(IF('Recurring Schedule'!$N$6&gt;0,MOD($A32-'Recurring Schedule'!$F$6,'Recurring Schedule'!$N$6)=0,IF('Recurring Schedule'!$O$6&gt;0,AND(DAY($A32)=MIN(DAY('Recurring Schedule'!$F$6),DAY(EOMONTH($A32,0))),MOD((YEAR($A32)-YEAR('Recurring Schedule'!$F$6))*12+MONTH($A32)-MONTH('Recurring Schedule'!$F$6),'Recurring Schedule'!$O$6)=0),IF('Recurring Schedule'!$E$6="Weekdays",WEEKDAY($A32,2)&lt;=5,$A32='Recurring Schedule'!$F$6))),1,""))))</f>
        <v/>
      </c>
      <c r="C32">
        <f>IF('Recurring Schedule'!$C$7="","",IF('Recurring Schedule'!$F$7="","",IF(OR($A32&lt;'Recurring Schedule'!$F$7,$A32&gt;'Recurring Schedule'!$P$7),"",IF(IF('Recurring Schedule'!$N$7&gt;0,MOD($A32-'Recurring Schedule'!$F$7,'Recurring Schedule'!$N$7)=0,IF('Recurring Schedule'!$O$7&gt;0,AND(DAY($A32)=MIN(DAY('Recurring Schedule'!$F$7),DAY(EOMONTH($A32,0))),MOD((YEAR($A32)-YEAR('Recurring Schedule'!$F$7))*12+MONTH($A32)-MONTH('Recurring Schedule'!$F$7),'Recurring Schedule'!$O$7)=0),IF('Recurring Schedule'!$E$7="Weekdays",WEEKDAY($A32,2)&lt;=5,$A32='Recurring Schedule'!$F$7))),2,""))))</f>
        <v/>
      </c>
      <c r="D32">
        <f>IF('Recurring Schedule'!$C$8="","",IF('Recurring Schedule'!$F$8="","",IF(OR($A32&lt;'Recurring Schedule'!$F$8,$A32&gt;'Recurring Schedule'!$P$8),"",IF(IF('Recurring Schedule'!$N$8&gt;0,MOD($A32-'Recurring Schedule'!$F$8,'Recurring Schedule'!$N$8)=0,IF('Recurring Schedule'!$O$8&gt;0,AND(DAY($A32)=MIN(DAY('Recurring Schedule'!$F$8),DAY(EOMONTH($A32,0))),MOD((YEAR($A32)-YEAR('Recurring Schedule'!$F$8))*12+MONTH($A32)-MONTH('Recurring Schedule'!$F$8),'Recurring Schedule'!$O$8)=0),IF('Recurring Schedule'!$E$8="Weekdays",WEEKDAY($A32,2)&lt;=5,$A32='Recurring Schedule'!$F$8))),3,""))))</f>
        <v/>
      </c>
      <c r="E32">
        <f>IF('Recurring Schedule'!$C$9="","",IF('Recurring Schedule'!$F$9="","",IF(OR($A32&lt;'Recurring Schedule'!$F$9,$A32&gt;'Recurring Schedule'!$P$9),"",IF(IF('Recurring Schedule'!$N$9&gt;0,MOD($A32-'Recurring Schedule'!$F$9,'Recurring Schedule'!$N$9)=0,IF('Recurring Schedule'!$O$9&gt;0,AND(DAY($A32)=MIN(DAY('Recurring Schedule'!$F$9),DAY(EOMONTH($A32,0))),MOD((YEAR($A32)-YEAR('Recurring Schedule'!$F$9))*12+MONTH($A32)-MONTH('Recurring Schedule'!$F$9),'Recurring Schedule'!$O$9)=0),IF('Recurring Schedule'!$E$9="Weekdays",WEEKDAY($A32,2)&lt;=5,$A32='Recurring Schedule'!$F$9))),4,""))))</f>
        <v/>
      </c>
      <c r="F32">
        <f>IF('Recurring Schedule'!$C$10="","",IF('Recurring Schedule'!$F$10="","",IF(OR($A32&lt;'Recurring Schedule'!$F$10,$A32&gt;'Recurring Schedule'!$P$10),"",IF(IF('Recurring Schedule'!$N$10&gt;0,MOD($A32-'Recurring Schedule'!$F$10,'Recurring Schedule'!$N$10)=0,IF('Recurring Schedule'!$O$10&gt;0,AND(DAY($A32)=MIN(DAY('Recurring Schedule'!$F$10),DAY(EOMONTH($A32,0))),MOD((YEAR($A32)-YEAR('Recurring Schedule'!$F$10))*12+MONTH($A32)-MONTH('Recurring Schedule'!$F$10),'Recurring Schedule'!$O$10)=0),IF('Recurring Schedule'!$E$10="Weekdays",WEEKDAY($A32,2)&lt;=5,$A32='Recurring Schedule'!$F$10))),5,""))))</f>
        <v/>
      </c>
      <c r="G32">
        <f>IF('Recurring Schedule'!$C$11="","",IF('Recurring Schedule'!$F$11="","",IF(OR($A32&lt;'Recurring Schedule'!$F$11,$A32&gt;'Recurring Schedule'!$P$11),"",IF(IF('Recurring Schedule'!$N$11&gt;0,MOD($A32-'Recurring Schedule'!$F$11,'Recurring Schedule'!$N$11)=0,IF('Recurring Schedule'!$O$11&gt;0,AND(DAY($A32)=MIN(DAY('Recurring Schedule'!$F$11),DAY(EOMONTH($A32,0))),MOD((YEAR($A32)-YEAR('Recurring Schedule'!$F$11))*12+MONTH($A32)-MONTH('Recurring Schedule'!$F$11),'Recurring Schedule'!$O$11)=0),IF('Recurring Schedule'!$E$11="Weekdays",WEEKDAY($A32,2)&lt;=5,$A32='Recurring Schedule'!$F$11))),6,""))))</f>
        <v/>
      </c>
      <c r="H32">
        <f>IF('Recurring Schedule'!$C$12="","",IF('Recurring Schedule'!$F$12="","",IF(OR($A32&lt;'Recurring Schedule'!$F$12,$A32&gt;'Recurring Schedule'!$P$12),"",IF(IF('Recurring Schedule'!$N$12&gt;0,MOD($A32-'Recurring Schedule'!$F$12,'Recurring Schedule'!$N$12)=0,IF('Recurring Schedule'!$O$12&gt;0,AND(DAY($A32)=MIN(DAY('Recurring Schedule'!$F$12),DAY(EOMONTH($A32,0))),MOD((YEAR($A32)-YEAR('Recurring Schedule'!$F$12))*12+MONTH($A32)-MONTH('Recurring Schedule'!$F$12),'Recurring Schedule'!$O$12)=0),IF('Recurring Schedule'!$E$12="Weekdays",WEEKDAY($A32,2)&lt;=5,$A32='Recurring Schedule'!$F$12))),7,""))))</f>
        <v/>
      </c>
      <c r="I32">
        <f>IF('Recurring Schedule'!$C$13="","",IF('Recurring Schedule'!$F$13="","",IF(OR($A32&lt;'Recurring Schedule'!$F$13,$A32&gt;'Recurring Schedule'!$P$13),"",IF(IF('Recurring Schedule'!$N$13&gt;0,MOD($A32-'Recurring Schedule'!$F$13,'Recurring Schedule'!$N$13)=0,IF('Recurring Schedule'!$O$13&gt;0,AND(DAY($A32)=MIN(DAY('Recurring Schedule'!$F$13),DAY(EOMONTH($A32,0))),MOD((YEAR($A32)-YEAR('Recurring Schedule'!$F$13))*12+MONTH($A32)-MONTH('Recurring Schedule'!$F$13),'Recurring Schedule'!$O$13)=0),IF('Recurring Schedule'!$E$13="Weekdays",WEEKDAY($A32,2)&lt;=5,$A32='Recurring Schedule'!$F$13))),8,""))))</f>
        <v/>
      </c>
      <c r="J32">
        <f>IF('Recurring Schedule'!$C$14="","",IF('Recurring Schedule'!$F$14="","",IF(OR($A32&lt;'Recurring Schedule'!$F$14,$A32&gt;'Recurring Schedule'!$P$14),"",IF(IF('Recurring Schedule'!$N$14&gt;0,MOD($A32-'Recurring Schedule'!$F$14,'Recurring Schedule'!$N$14)=0,IF('Recurring Schedule'!$O$14&gt;0,AND(DAY($A32)=MIN(DAY('Recurring Schedule'!$F$14),DAY(EOMONTH($A32,0))),MOD((YEAR($A32)-YEAR('Recurring Schedule'!$F$14))*12+MONTH($A32)-MONTH('Recurring Schedule'!$F$14),'Recurring Schedule'!$O$14)=0),IF('Recurring Schedule'!$E$14="Weekdays",WEEKDAY($A32,2)&lt;=5,$A32='Recurring Schedule'!$F$14))),9,""))))</f>
        <v/>
      </c>
      <c r="K32">
        <f>IF('Recurring Schedule'!$C$15="","",IF('Recurring Schedule'!$F$15="","",IF(OR($A32&lt;'Recurring Schedule'!$F$15,$A32&gt;'Recurring Schedule'!$P$15),"",IF(IF('Recurring Schedule'!$N$15&gt;0,MOD($A32-'Recurring Schedule'!$F$15,'Recurring Schedule'!$N$15)=0,IF('Recurring Schedule'!$O$15&gt;0,AND(DAY($A32)=MIN(DAY('Recurring Schedule'!$F$15),DAY(EOMONTH($A32,0))),MOD((YEAR($A32)-YEAR('Recurring Schedule'!$F$15))*12+MONTH($A32)-MONTH('Recurring Schedule'!$F$15),'Recurring Schedule'!$O$15)=0),IF('Recurring Schedule'!$E$15="Weekdays",WEEKDAY($A32,2)&lt;=5,$A32='Recurring Schedule'!$F$15))),10,""))))</f>
        <v/>
      </c>
      <c r="L32">
        <f>IF('Recurring Schedule'!$C$16="","",IF('Recurring Schedule'!$F$16="","",IF(OR($A32&lt;'Recurring Schedule'!$F$16,$A32&gt;'Recurring Schedule'!$P$16),"",IF(IF('Recurring Schedule'!$N$16&gt;0,MOD($A32-'Recurring Schedule'!$F$16,'Recurring Schedule'!$N$16)=0,IF('Recurring Schedule'!$O$16&gt;0,AND(DAY($A32)=MIN(DAY('Recurring Schedule'!$F$16),DAY(EOMONTH($A32,0))),MOD((YEAR($A32)-YEAR('Recurring Schedule'!$F$16))*12+MONTH($A32)-MONTH('Recurring Schedule'!$F$16),'Recurring Schedule'!$O$16)=0),IF('Recurring Schedule'!$E$16="Weekdays",WEEKDAY($A32,2)&lt;=5,$A32='Recurring Schedule'!$F$16))),11,""))))</f>
        <v/>
      </c>
      <c r="M32">
        <f>IF('Recurring Schedule'!$C$17="","",IF('Recurring Schedule'!$F$17="","",IF(OR($A32&lt;'Recurring Schedule'!$F$17,$A32&gt;'Recurring Schedule'!$P$17),"",IF(IF('Recurring Schedule'!$N$17&gt;0,MOD($A32-'Recurring Schedule'!$F$17,'Recurring Schedule'!$N$17)=0,IF('Recurring Schedule'!$O$17&gt;0,AND(DAY($A32)=MIN(DAY('Recurring Schedule'!$F$17),DAY(EOMONTH($A32,0))),MOD((YEAR($A32)-YEAR('Recurring Schedule'!$F$17))*12+MONTH($A32)-MONTH('Recurring Schedule'!$F$17),'Recurring Schedule'!$O$17)=0),IF('Recurring Schedule'!$E$17="Weekdays",WEEKDAY($A32,2)&lt;=5,$A32='Recurring Schedule'!$F$17))),12,""))))</f>
        <v/>
      </c>
      <c r="N32">
        <f>IF('Recurring Schedule'!$C$18="","",IF('Recurring Schedule'!$F$18="","",IF(OR($A32&lt;'Recurring Schedule'!$F$18,$A32&gt;'Recurring Schedule'!$P$18),"",IF(IF('Recurring Schedule'!$N$18&gt;0,MOD($A32-'Recurring Schedule'!$F$18,'Recurring Schedule'!$N$18)=0,IF('Recurring Schedule'!$O$18&gt;0,AND(DAY($A32)=MIN(DAY('Recurring Schedule'!$F$18),DAY(EOMONTH($A32,0))),MOD((YEAR($A32)-YEAR('Recurring Schedule'!$F$18))*12+MONTH($A32)-MONTH('Recurring Schedule'!$F$18),'Recurring Schedule'!$O$18)=0),IF('Recurring Schedule'!$E$18="Weekdays",WEEKDAY($A32,2)&lt;=5,$A32='Recurring Schedule'!$F$18))),13,""))))</f>
        <v/>
      </c>
      <c r="O32">
        <f>IF('Recurring Schedule'!$C$19="","",IF('Recurring Schedule'!$F$19="","",IF(OR($A32&lt;'Recurring Schedule'!$F$19,$A32&gt;'Recurring Schedule'!$P$19),"",IF(IF('Recurring Schedule'!$N$19&gt;0,MOD($A32-'Recurring Schedule'!$F$19,'Recurring Schedule'!$N$19)=0,IF('Recurring Schedule'!$O$19&gt;0,AND(DAY($A32)=MIN(DAY('Recurring Schedule'!$F$19),DAY(EOMONTH($A32,0))),MOD((YEAR($A32)-YEAR('Recurring Schedule'!$F$19))*12+MONTH($A32)-MONTH('Recurring Schedule'!$F$19),'Recurring Schedule'!$O$19)=0),IF('Recurring Schedule'!$E$19="Weekdays",WEEKDAY($A32,2)&lt;=5,$A32='Recurring Schedule'!$F$19))),14,""))))</f>
        <v/>
      </c>
      <c r="P32">
        <f>IF('Recurring Schedule'!$C$20="","",IF('Recurring Schedule'!$F$20="","",IF(OR($A32&lt;'Recurring Schedule'!$F$20,$A32&gt;'Recurring Schedule'!$P$20),"",IF(IF('Recurring Schedule'!$N$20&gt;0,MOD($A32-'Recurring Schedule'!$F$20,'Recurring Schedule'!$N$20)=0,IF('Recurring Schedule'!$O$20&gt;0,AND(DAY($A32)=MIN(DAY('Recurring Schedule'!$F$20),DAY(EOMONTH($A32,0))),MOD((YEAR($A32)-YEAR('Recurring Schedule'!$F$20))*12+MONTH($A32)-MONTH('Recurring Schedule'!$F$20),'Recurring Schedule'!$O$20)=0),IF('Recurring Schedule'!$E$20="Weekdays",WEEKDAY($A32,2)&lt;=5,$A32='Recurring Schedule'!$F$20))),15,""))))</f>
        <v/>
      </c>
      <c r="Q32">
        <f>IF('Recurring Schedule'!$C$21="","",IF('Recurring Schedule'!$F$21="","",IF(OR($A32&lt;'Recurring Schedule'!$F$21,$A32&gt;'Recurring Schedule'!$P$21),"",IF(IF('Recurring Schedule'!$N$21&gt;0,MOD($A32-'Recurring Schedule'!$F$21,'Recurring Schedule'!$N$21)=0,IF('Recurring Schedule'!$O$21&gt;0,AND(DAY($A32)=MIN(DAY('Recurring Schedule'!$F$21),DAY(EOMONTH($A32,0))),MOD((YEAR($A32)-YEAR('Recurring Schedule'!$F$21))*12+MONTH($A32)-MONTH('Recurring Schedule'!$F$21),'Recurring Schedule'!$O$21)=0),IF('Recurring Schedule'!$E$21="Weekdays",WEEKDAY($A32,2)&lt;=5,$A32='Recurring Schedule'!$F$21))),16,""))))</f>
        <v/>
      </c>
      <c r="R32">
        <f>IF('Recurring Schedule'!$C$22="","",IF('Recurring Schedule'!$F$22="","",IF(OR($A32&lt;'Recurring Schedule'!$F$22,$A32&gt;'Recurring Schedule'!$P$22),"",IF(IF('Recurring Schedule'!$N$22&gt;0,MOD($A32-'Recurring Schedule'!$F$22,'Recurring Schedule'!$N$22)=0,IF('Recurring Schedule'!$O$22&gt;0,AND(DAY($A32)=MIN(DAY('Recurring Schedule'!$F$22),DAY(EOMONTH($A32,0))),MOD((YEAR($A32)-YEAR('Recurring Schedule'!$F$22))*12+MONTH($A32)-MONTH('Recurring Schedule'!$F$22),'Recurring Schedule'!$O$22)=0),IF('Recurring Schedule'!$E$22="Weekdays",WEEKDAY($A32,2)&lt;=5,$A32='Recurring Schedule'!$F$22))),17,""))))</f>
        <v/>
      </c>
      <c r="S32">
        <f>IF('Recurring Schedule'!$C$23="","",IF('Recurring Schedule'!$F$23="","",IF(OR($A32&lt;'Recurring Schedule'!$F$23,$A32&gt;'Recurring Schedule'!$P$23),"",IF(IF('Recurring Schedule'!$N$23&gt;0,MOD($A32-'Recurring Schedule'!$F$23,'Recurring Schedule'!$N$23)=0,IF('Recurring Schedule'!$O$23&gt;0,AND(DAY($A32)=MIN(DAY('Recurring Schedule'!$F$23),DAY(EOMONTH($A32,0))),MOD((YEAR($A32)-YEAR('Recurring Schedule'!$F$23))*12+MONTH($A32)-MONTH('Recurring Schedule'!$F$23),'Recurring Schedule'!$O$23)=0),IF('Recurring Schedule'!$E$23="Weekdays",WEEKDAY($A32,2)&lt;=5,$A32='Recurring Schedule'!$F$23))),18,""))))</f>
        <v/>
      </c>
      <c r="T32">
        <f>IF('Recurring Schedule'!$C$24="","",IF('Recurring Schedule'!$F$24="","",IF(OR($A32&lt;'Recurring Schedule'!$F$24,$A32&gt;'Recurring Schedule'!$P$24),"",IF(IF('Recurring Schedule'!$N$24&gt;0,MOD($A32-'Recurring Schedule'!$F$24,'Recurring Schedule'!$N$24)=0,IF('Recurring Schedule'!$O$24&gt;0,AND(DAY($A32)=MIN(DAY('Recurring Schedule'!$F$24),DAY(EOMONTH($A32,0))),MOD((YEAR($A32)-YEAR('Recurring Schedule'!$F$24))*12+MONTH($A32)-MONTH('Recurring Schedule'!$F$24),'Recurring Schedule'!$O$24)=0),IF('Recurring Schedule'!$E$24="Weekdays",WEEKDAY($A32,2)&lt;=5,$A32='Recurring Schedule'!$F$24))),19,""))))</f>
        <v/>
      </c>
      <c r="U32">
        <f>IF('Recurring Schedule'!$C$25="","",IF('Recurring Schedule'!$F$25="","",IF(OR($A32&lt;'Recurring Schedule'!$F$25,$A32&gt;'Recurring Schedule'!$P$25),"",IF(IF('Recurring Schedule'!$N$25&gt;0,MOD($A32-'Recurring Schedule'!$F$25,'Recurring Schedule'!$N$25)=0,IF('Recurring Schedule'!$O$25&gt;0,AND(DAY($A32)=MIN(DAY('Recurring Schedule'!$F$25),DAY(EOMONTH($A32,0))),MOD((YEAR($A32)-YEAR('Recurring Schedule'!$F$25))*12+MONTH($A32)-MONTH('Recurring Schedule'!$F$25),'Recurring Schedule'!$O$25)=0),IF('Recurring Schedule'!$E$25="Weekdays",WEEKDAY($A32,2)&lt;=5,$A32='Recurring Schedule'!$F$25))),20,""))))</f>
        <v/>
      </c>
      <c r="V32">
        <f>IF('Recurring Schedule'!$C$26="","",IF('Recurring Schedule'!$F$26="","",IF(OR($A32&lt;'Recurring Schedule'!$F$26,$A32&gt;'Recurring Schedule'!$P$26),"",IF(IF('Recurring Schedule'!$N$26&gt;0,MOD($A32-'Recurring Schedule'!$F$26,'Recurring Schedule'!$N$26)=0,IF('Recurring Schedule'!$O$26&gt;0,AND(DAY($A32)=MIN(DAY('Recurring Schedule'!$F$26),DAY(EOMONTH($A32,0))),MOD((YEAR($A32)-YEAR('Recurring Schedule'!$F$26))*12+MONTH($A32)-MONTH('Recurring Schedule'!$F$26),'Recurring Schedule'!$O$26)=0),IF('Recurring Schedule'!$E$26="Weekdays",WEEKDAY($A32,2)&lt;=5,$A32='Recurring Schedule'!$F$26))),21,""))))</f>
        <v/>
      </c>
      <c r="W32">
        <f>IF('Recurring Schedule'!$C$27="","",IF('Recurring Schedule'!$F$27="","",IF(OR($A32&lt;'Recurring Schedule'!$F$27,$A32&gt;'Recurring Schedule'!$P$27),"",IF(IF('Recurring Schedule'!$N$27&gt;0,MOD($A32-'Recurring Schedule'!$F$27,'Recurring Schedule'!$N$27)=0,IF('Recurring Schedule'!$O$27&gt;0,AND(DAY($A32)=MIN(DAY('Recurring Schedule'!$F$27),DAY(EOMONTH($A32,0))),MOD((YEAR($A32)-YEAR('Recurring Schedule'!$F$27))*12+MONTH($A32)-MONTH('Recurring Schedule'!$F$27),'Recurring Schedule'!$O$27)=0),IF('Recurring Schedule'!$E$27="Weekdays",WEEKDAY($A32,2)&lt;=5,$A32='Recurring Schedule'!$F$27))),22,""))))</f>
        <v/>
      </c>
      <c r="X32">
        <f>IF('Recurring Schedule'!$C$28="","",IF('Recurring Schedule'!$F$28="","",IF(OR($A32&lt;'Recurring Schedule'!$F$28,$A32&gt;'Recurring Schedule'!$P$28),"",IF(IF('Recurring Schedule'!$N$28&gt;0,MOD($A32-'Recurring Schedule'!$F$28,'Recurring Schedule'!$N$28)=0,IF('Recurring Schedule'!$O$28&gt;0,AND(DAY($A32)=MIN(DAY('Recurring Schedule'!$F$28),DAY(EOMONTH($A32,0))),MOD((YEAR($A32)-YEAR('Recurring Schedule'!$F$28))*12+MONTH($A32)-MONTH('Recurring Schedule'!$F$28),'Recurring Schedule'!$O$28)=0),IF('Recurring Schedule'!$E$28="Weekdays",WEEKDAY($A32,2)&lt;=5,$A32='Recurring Schedule'!$F$28))),23,""))))</f>
        <v/>
      </c>
      <c r="Y32">
        <f>IF('Recurring Schedule'!$C$29="","",IF('Recurring Schedule'!$F$29="","",IF(OR($A32&lt;'Recurring Schedule'!$F$29,$A32&gt;'Recurring Schedule'!$P$29),"",IF(IF('Recurring Schedule'!$N$29&gt;0,MOD($A32-'Recurring Schedule'!$F$29,'Recurring Schedule'!$N$29)=0,IF('Recurring Schedule'!$O$29&gt;0,AND(DAY($A32)=MIN(DAY('Recurring Schedule'!$F$29),DAY(EOMONTH($A32,0))),MOD((YEAR($A32)-YEAR('Recurring Schedule'!$F$29))*12+MONTH($A32)-MONTH('Recurring Schedule'!$F$29),'Recurring Schedule'!$O$29)=0),IF('Recurring Schedule'!$E$29="Weekdays",WEEKDAY($A32,2)&lt;=5,$A32='Recurring Schedule'!$F$29))),24,""))))</f>
        <v/>
      </c>
      <c r="Z32">
        <f>IF('Recurring Schedule'!$C$30="","",IF('Recurring Schedule'!$F$30="","",IF(OR($A32&lt;'Recurring Schedule'!$F$30,$A32&gt;'Recurring Schedule'!$P$30),"",IF(IF('Recurring Schedule'!$N$30&gt;0,MOD($A32-'Recurring Schedule'!$F$30,'Recurring Schedule'!$N$30)=0,IF('Recurring Schedule'!$O$30&gt;0,AND(DAY($A32)=MIN(DAY('Recurring Schedule'!$F$30),DAY(EOMONTH($A32,0))),MOD((YEAR($A32)-YEAR('Recurring Schedule'!$F$30))*12+MONTH($A32)-MONTH('Recurring Schedule'!$F$30),'Recurring Schedule'!$O$30)=0),IF('Recurring Schedule'!$E$30="Weekdays",WEEKDAY($A32,2)&lt;=5,$A32='Recurring Schedule'!$F$30))),25,""))))</f>
        <v/>
      </c>
      <c r="AA32">
        <f>IF('Recurring Schedule'!$C$31="","",IF('Recurring Schedule'!$F$31="","",IF(OR($A32&lt;'Recurring Schedule'!$F$31,$A32&gt;'Recurring Schedule'!$P$31),"",IF(IF('Recurring Schedule'!$N$31&gt;0,MOD($A32-'Recurring Schedule'!$F$31,'Recurring Schedule'!$N$31)=0,IF('Recurring Schedule'!$O$31&gt;0,AND(DAY($A32)=MIN(DAY('Recurring Schedule'!$F$31),DAY(EOMONTH($A32,0))),MOD((YEAR($A32)-YEAR('Recurring Schedule'!$F$31))*12+MONTH($A32)-MONTH('Recurring Schedule'!$F$31),'Recurring Schedule'!$O$31)=0),IF('Recurring Schedule'!$E$31="Weekdays",WEEKDAY($A32,2)&lt;=5,$A32='Recurring Schedule'!$F$31))),26,""))))</f>
        <v/>
      </c>
      <c r="AB32">
        <f>IF('Recurring Schedule'!$C$32="","",IF('Recurring Schedule'!$F$32="","",IF(OR($A32&lt;'Recurring Schedule'!$F$32,$A32&gt;'Recurring Schedule'!$P$32),"",IF(IF('Recurring Schedule'!$N$32&gt;0,MOD($A32-'Recurring Schedule'!$F$32,'Recurring Schedule'!$N$32)=0,IF('Recurring Schedule'!$O$32&gt;0,AND(DAY($A32)=MIN(DAY('Recurring Schedule'!$F$32),DAY(EOMONTH($A32,0))),MOD((YEAR($A32)-YEAR('Recurring Schedule'!$F$32))*12+MONTH($A32)-MONTH('Recurring Schedule'!$F$32),'Recurring Schedule'!$O$32)=0),IF('Recurring Schedule'!$E$32="Weekdays",WEEKDAY($A32,2)&lt;=5,$A32='Recurring Schedule'!$F$32))),27,""))))</f>
        <v/>
      </c>
      <c r="AC32">
        <f>IF('Recurring Schedule'!$C$33="","",IF('Recurring Schedule'!$F$33="","",IF(OR($A32&lt;'Recurring Schedule'!$F$33,$A32&gt;'Recurring Schedule'!$P$33),"",IF(IF('Recurring Schedule'!$N$33&gt;0,MOD($A32-'Recurring Schedule'!$F$33,'Recurring Schedule'!$N$33)=0,IF('Recurring Schedule'!$O$33&gt;0,AND(DAY($A32)=MIN(DAY('Recurring Schedule'!$F$33),DAY(EOMONTH($A32,0))),MOD((YEAR($A32)-YEAR('Recurring Schedule'!$F$33))*12+MONTH($A32)-MONTH('Recurring Schedule'!$F$33),'Recurring Schedule'!$O$33)=0),IF('Recurring Schedule'!$E$33="Weekdays",WEEKDAY($A32,2)&lt;=5,$A32='Recurring Schedule'!$F$33))),28,""))))</f>
        <v/>
      </c>
      <c r="AD32">
        <f>IF('Recurring Schedule'!$C$34="","",IF('Recurring Schedule'!$F$34="","",IF(OR($A32&lt;'Recurring Schedule'!$F$34,$A32&gt;'Recurring Schedule'!$P$34),"",IF(IF('Recurring Schedule'!$N$34&gt;0,MOD($A32-'Recurring Schedule'!$F$34,'Recurring Schedule'!$N$34)=0,IF('Recurring Schedule'!$O$34&gt;0,AND(DAY($A32)=MIN(DAY('Recurring Schedule'!$F$34),DAY(EOMONTH($A32,0))),MOD((YEAR($A32)-YEAR('Recurring Schedule'!$F$34))*12+MONTH($A32)-MONTH('Recurring Schedule'!$F$34),'Recurring Schedule'!$O$34)=0),IF('Recurring Schedule'!$E$34="Weekdays",WEEKDAY($A32,2)&lt;=5,$A32='Recurring Schedule'!$F$34))),29,""))))</f>
        <v/>
      </c>
      <c r="AE32">
        <f>IF('Recurring Schedule'!$C$35="","",IF('Recurring Schedule'!$F$35="","",IF(OR($A32&lt;'Recurring Schedule'!$F$35,$A32&gt;'Recurring Schedule'!$P$35),"",IF(IF('Recurring Schedule'!$N$35&gt;0,MOD($A32-'Recurring Schedule'!$F$35,'Recurring Schedule'!$N$35)=0,IF('Recurring Schedule'!$O$35&gt;0,AND(DAY($A32)=MIN(DAY('Recurring Schedule'!$F$35),DAY(EOMONTH($A32,0))),MOD((YEAR($A32)-YEAR('Recurring Schedule'!$F$35))*12+MONTH($A32)-MONTH('Recurring Schedule'!$F$35),'Recurring Schedule'!$O$35)=0),IF('Recurring Schedule'!$E$35="Weekdays",WEEKDAY($A32,2)&lt;=5,$A32='Recurring Schedule'!$F$35))),30,""))))</f>
        <v/>
      </c>
      <c r="AF32">
        <f>IF('Recurring Schedule'!$C$36="","",IF('Recurring Schedule'!$F$36="","",IF(OR($A32&lt;'Recurring Schedule'!$F$36,$A32&gt;'Recurring Schedule'!$P$36),"",IF(IF('Recurring Schedule'!$N$36&gt;0,MOD($A32-'Recurring Schedule'!$F$36,'Recurring Schedule'!$N$36)=0,IF('Recurring Schedule'!$O$36&gt;0,AND(DAY($A32)=MIN(DAY('Recurring Schedule'!$F$36),DAY(EOMONTH($A32,0))),MOD((YEAR($A32)-YEAR('Recurring Schedule'!$F$36))*12+MONTH($A32)-MONTH('Recurring Schedule'!$F$36),'Recurring Schedule'!$O$36)=0),IF('Recurring Schedule'!$E$36="Weekdays",WEEKDAY($A32,2)&lt;=5,$A32='Recurring Schedule'!$F$36))),31,""))))</f>
        <v/>
      </c>
      <c r="AG32">
        <f>IF('Recurring Schedule'!$C$37="","",IF('Recurring Schedule'!$F$37="","",IF(OR($A32&lt;'Recurring Schedule'!$F$37,$A32&gt;'Recurring Schedule'!$P$37),"",IF(IF('Recurring Schedule'!$N$37&gt;0,MOD($A32-'Recurring Schedule'!$F$37,'Recurring Schedule'!$N$37)=0,IF('Recurring Schedule'!$O$37&gt;0,AND(DAY($A32)=MIN(DAY('Recurring Schedule'!$F$37),DAY(EOMONTH($A32,0))),MOD((YEAR($A32)-YEAR('Recurring Schedule'!$F$37))*12+MONTH($A32)-MONTH('Recurring Schedule'!$F$37),'Recurring Schedule'!$O$37)=0),IF('Recurring Schedule'!$E$37="Weekdays",WEEKDAY($A32,2)&lt;=5,$A32='Recurring Schedule'!$F$37))),32,""))))</f>
        <v/>
      </c>
      <c r="AH32">
        <f>IF('Recurring Schedule'!$C$38="","",IF('Recurring Schedule'!$F$38="","",IF(OR($A32&lt;'Recurring Schedule'!$F$38,$A32&gt;'Recurring Schedule'!$P$38),"",IF(IF('Recurring Schedule'!$N$38&gt;0,MOD($A32-'Recurring Schedule'!$F$38,'Recurring Schedule'!$N$38)=0,IF('Recurring Schedule'!$O$38&gt;0,AND(DAY($A32)=MIN(DAY('Recurring Schedule'!$F$38),DAY(EOMONTH($A32,0))),MOD((YEAR($A32)-YEAR('Recurring Schedule'!$F$38))*12+MONTH($A32)-MONTH('Recurring Schedule'!$F$38),'Recurring Schedule'!$O$38)=0),IF('Recurring Schedule'!$E$38="Weekdays",WEEKDAY($A32,2)&lt;=5,$A32='Recurring Schedule'!$F$38))),33,""))))</f>
        <v/>
      </c>
      <c r="AI32">
        <f>IF('Recurring Schedule'!$C$39="","",IF('Recurring Schedule'!$F$39="","",IF(OR($A32&lt;'Recurring Schedule'!$F$39,$A32&gt;'Recurring Schedule'!$P$39),"",IF(IF('Recurring Schedule'!$N$39&gt;0,MOD($A32-'Recurring Schedule'!$F$39,'Recurring Schedule'!$N$39)=0,IF('Recurring Schedule'!$O$39&gt;0,AND(DAY($A32)=MIN(DAY('Recurring Schedule'!$F$39),DAY(EOMONTH($A32,0))),MOD((YEAR($A32)-YEAR('Recurring Schedule'!$F$39))*12+MONTH($A32)-MONTH('Recurring Schedule'!$F$39),'Recurring Schedule'!$O$39)=0),IF('Recurring Schedule'!$E$39="Weekdays",WEEKDAY($A32,2)&lt;=5,$A32='Recurring Schedule'!$F$39))),34,""))))</f>
        <v/>
      </c>
      <c r="AJ32">
        <f>IF('Recurring Schedule'!$C$40="","",IF('Recurring Schedule'!$F$40="","",IF(OR($A32&lt;'Recurring Schedule'!$F$40,$A32&gt;'Recurring Schedule'!$P$40),"",IF(IF('Recurring Schedule'!$N$40&gt;0,MOD($A32-'Recurring Schedule'!$F$40,'Recurring Schedule'!$N$40)=0,IF('Recurring Schedule'!$O$40&gt;0,AND(DAY($A32)=MIN(DAY('Recurring Schedule'!$F$40),DAY(EOMONTH($A32,0))),MOD((YEAR($A32)-YEAR('Recurring Schedule'!$F$40))*12+MONTH($A32)-MONTH('Recurring Schedule'!$F$40),'Recurring Schedule'!$O$40)=0),IF('Recurring Schedule'!$E$40="Weekdays",WEEKDAY($A32,2)&lt;=5,$A32='Recurring Schedule'!$F$40))),35,""))))</f>
        <v/>
      </c>
      <c r="AK32">
        <f>IF('Recurring Schedule'!$C$41="","",IF('Recurring Schedule'!$F$41="","",IF(OR($A32&lt;'Recurring Schedule'!$F$41,$A32&gt;'Recurring Schedule'!$P$41),"",IF(IF('Recurring Schedule'!$N$41&gt;0,MOD($A32-'Recurring Schedule'!$F$41,'Recurring Schedule'!$N$41)=0,IF('Recurring Schedule'!$O$41&gt;0,AND(DAY($A32)=MIN(DAY('Recurring Schedule'!$F$41),DAY(EOMONTH($A32,0))),MOD((YEAR($A32)-YEAR('Recurring Schedule'!$F$41))*12+MONTH($A32)-MONTH('Recurring Schedule'!$F$41),'Recurring Schedule'!$O$41)=0),IF('Recurring Schedule'!$E$41="Weekdays",WEEKDAY($A32,2)&lt;=5,$A32='Recurring Schedule'!$F$41))),36,""))))</f>
        <v/>
      </c>
      <c r="AL32">
        <f>IF('Recurring Schedule'!$C$42="","",IF('Recurring Schedule'!$F$42="","",IF(OR($A32&lt;'Recurring Schedule'!$F$42,$A32&gt;'Recurring Schedule'!$P$42),"",IF(IF('Recurring Schedule'!$N$42&gt;0,MOD($A32-'Recurring Schedule'!$F$42,'Recurring Schedule'!$N$42)=0,IF('Recurring Schedule'!$O$42&gt;0,AND(DAY($A32)=MIN(DAY('Recurring Schedule'!$F$42),DAY(EOMONTH($A32,0))),MOD((YEAR($A32)-YEAR('Recurring Schedule'!$F$42))*12+MONTH($A32)-MONTH('Recurring Schedule'!$F$42),'Recurring Schedule'!$O$42)=0),IF('Recurring Schedule'!$E$42="Weekdays",WEEKDAY($A32,2)&lt;=5,$A32='Recurring Schedule'!$F$42))),37,""))))</f>
        <v/>
      </c>
      <c r="AM32">
        <f>IF('Recurring Schedule'!$C$43="","",IF('Recurring Schedule'!$F$43="","",IF(OR($A32&lt;'Recurring Schedule'!$F$43,$A32&gt;'Recurring Schedule'!$P$43),"",IF(IF('Recurring Schedule'!$N$43&gt;0,MOD($A32-'Recurring Schedule'!$F$43,'Recurring Schedule'!$N$43)=0,IF('Recurring Schedule'!$O$43&gt;0,AND(DAY($A32)=MIN(DAY('Recurring Schedule'!$F$43),DAY(EOMONTH($A32,0))),MOD((YEAR($A32)-YEAR('Recurring Schedule'!$F$43))*12+MONTH($A32)-MONTH('Recurring Schedule'!$F$43),'Recurring Schedule'!$O$43)=0),IF('Recurring Schedule'!$E$43="Weekdays",WEEKDAY($A32,2)&lt;=5,$A32='Recurring Schedule'!$F$43))),38,""))))</f>
        <v/>
      </c>
      <c r="AN32">
        <f>IF('Recurring Schedule'!$C$44="","",IF('Recurring Schedule'!$F$44="","",IF(OR($A32&lt;'Recurring Schedule'!$F$44,$A32&gt;'Recurring Schedule'!$P$44),"",IF(IF('Recurring Schedule'!$N$44&gt;0,MOD($A32-'Recurring Schedule'!$F$44,'Recurring Schedule'!$N$44)=0,IF('Recurring Schedule'!$O$44&gt;0,AND(DAY($A32)=MIN(DAY('Recurring Schedule'!$F$44),DAY(EOMONTH($A32,0))),MOD((YEAR($A32)-YEAR('Recurring Schedule'!$F$44))*12+MONTH($A32)-MONTH('Recurring Schedule'!$F$44),'Recurring Schedule'!$O$44)=0),IF('Recurring Schedule'!$E$44="Weekdays",WEEKDAY($A32,2)&lt;=5,$A32='Recurring Schedule'!$F$44))),39,""))))</f>
        <v/>
      </c>
      <c r="AO32">
        <f>IF('Recurring Schedule'!$C$45="","",IF('Recurring Schedule'!$F$45="","",IF(OR($A32&lt;'Recurring Schedule'!$F$45,$A32&gt;'Recurring Schedule'!$P$45),"",IF(IF('Recurring Schedule'!$N$45&gt;0,MOD($A32-'Recurring Schedule'!$F$45,'Recurring Schedule'!$N$45)=0,IF('Recurring Schedule'!$O$45&gt;0,AND(DAY($A32)=MIN(DAY('Recurring Schedule'!$F$45),DAY(EOMONTH($A32,0))),MOD((YEAR($A32)-YEAR('Recurring Schedule'!$F$45))*12+MONTH($A32)-MONTH('Recurring Schedule'!$F$45),'Recurring Schedule'!$O$45)=0),IF('Recurring Schedule'!$E$45="Weekdays",WEEKDAY($A32,2)&lt;=5,$A32='Recurring Schedule'!$F$45))),40,""))))</f>
        <v/>
      </c>
      <c r="AP32">
        <f>COUNT(B32:AO32)</f>
        <v/>
      </c>
      <c r="AQ32">
        <f>AQ31+AP31</f>
        <v/>
      </c>
      <c r="AS32" t="inlineStr">
        <is>
          <t>R</t>
        </is>
      </c>
      <c r="AT32" t="n">
        <v>36</v>
      </c>
      <c r="AU32">
        <f>'Recurring Log'!C36&amp;""</f>
        <v/>
      </c>
      <c r="AV32">
        <f>'Recurring Log'!D36&amp;""</f>
        <v/>
      </c>
      <c r="AW32">
        <f>IF('Recurring Log'!E36="","",'Recurring Log'!E36)</f>
        <v/>
      </c>
      <c r="AX32">
        <f>IF('Recurring Log'!G36="","",'Recurring Log'!G36)</f>
        <v/>
      </c>
      <c r="AY32">
        <f>IF('Recurring Log'!H36="","",'Recurring Log'!H36)</f>
        <v/>
      </c>
      <c r="AZ32">
        <f>IF(AU32="","",IF('Recurring Log'!J36="","Not Started",'Recurring Log'!J36))</f>
        <v/>
      </c>
      <c r="BA32">
        <f>'Recurring Log'!L36&amp;""</f>
        <v/>
      </c>
      <c r="BB32">
        <f>'Recurring Log'!M36&amp;""</f>
        <v/>
      </c>
      <c r="BC32">
        <f>'Recurring Log'!N36&amp;""</f>
        <v/>
      </c>
      <c r="BD32">
        <f>'Recurring Log'!O36&amp;""</f>
        <v/>
      </c>
      <c r="BE32">
        <f>IF('Recurring Log'!K36="","",'Recurring Log'!K36)</f>
        <v/>
      </c>
      <c r="BF32">
        <f>IFERROR(MATCH(BA32,Setup!$L$6:$L$9,0),5)</f>
        <v/>
      </c>
      <c r="BG32">
        <f>IF(OR(AZ32="Done",AZ32="Cancelled"),1,0)</f>
        <v/>
      </c>
      <c r="BH32">
        <f>IF(AND(AU32&lt;&gt;"",ISNUMBER(AW32)),1,0)</f>
        <v/>
      </c>
      <c r="BI32">
        <f>IF(BH32=0,0,IF(AND(AW32&gt;='Tasks Filter'!$F$3,AW32&lt;='Tasks Filter'!$F$4,OR('Tasks Filter'!$I$3="",ISNUMBER(SEARCH('Tasks Filter'!$I$3,AU32))),OR('Tasks Filter'!$I$4="",BF32=IFERROR(MATCH('Tasks Filter'!$I$4,Setup!$L$6:$L$9,0),0)),OR('Tasks Filter'!$I$5="Both",AND('Tasks Filter'!$I$5="Yes",BB32="✓"),AND('Tasks Filter'!$I$5="No",BB32&lt;&gt;"✓")),OR('Tasks Filter'!$L$3="",AV32='Tasks Filter'!$L$3),OR('Tasks Filter'!$L$4="",AZ32='Tasks Filter'!$L$4),OR('Tasks Filter'!$L$5="",BC32='Tasks Filter'!$L$5),OR('Tasks Filter'!$O$3="",BD32='Tasks Filter'!$O$3),OR('Tasks Filter'!$O$4="Yes",BG32=0)),1,0))</f>
        <v/>
      </c>
      <c r="BJ32">
        <f>IF(BH32=0,"",IF('Tasks Filter'!$F$6="Descending",-1,1)*CHOOSE(MATCH('Tasks Filter'!$F$5,Lists!$G$2:$G$6,0),AW32,BF32,IFERROR(MATCH(AV32,Setup!$F$6:$F$15,0),99),IFERROR(MATCH(BC32,Setup!$H$6:$H$15,0),99),IFERROR(MATCH(AZ32,Setup!$J$6:$J$11,0),99))*1E+9+(AW32-40000)*10000+31)</f>
        <v/>
      </c>
      <c r="BK32">
        <f>IF(BI32=1,BJ32,"")</f>
        <v/>
      </c>
      <c r="BL32">
        <f>IF(AND(BH32=1,BG32=0,N(AW32)&lt;Setup!$D$7),(AW32-40000)*10000+31,"")</f>
        <v/>
      </c>
      <c r="BM32">
        <f>IF(AND(BH32=1,AZ32&lt;&gt;"Cancelled",N(AW32)&gt;=Dashboard!$AB$3,N(AW32)&lt;=Dashboard!$AB$3+6),(AW32-40000)*100000+BF32*10000+31,"")</f>
        <v/>
      </c>
      <c r="BN32">
        <f>IF(AND(BH32=1,AZ32&lt;&gt;"Cancelled"),BF32*10000+31,"")</f>
        <v/>
      </c>
    </row>
    <row r="33">
      <c r="A33">
        <f>Setup!$D$5+31</f>
        <v/>
      </c>
      <c r="B33">
        <f>IF('Recurring Schedule'!$C$6="","",IF('Recurring Schedule'!$F$6="","",IF(OR($A33&lt;'Recurring Schedule'!$F$6,$A33&gt;'Recurring Schedule'!$P$6),"",IF(IF('Recurring Schedule'!$N$6&gt;0,MOD($A33-'Recurring Schedule'!$F$6,'Recurring Schedule'!$N$6)=0,IF('Recurring Schedule'!$O$6&gt;0,AND(DAY($A33)=MIN(DAY('Recurring Schedule'!$F$6),DAY(EOMONTH($A33,0))),MOD((YEAR($A33)-YEAR('Recurring Schedule'!$F$6))*12+MONTH($A33)-MONTH('Recurring Schedule'!$F$6),'Recurring Schedule'!$O$6)=0),IF('Recurring Schedule'!$E$6="Weekdays",WEEKDAY($A33,2)&lt;=5,$A33='Recurring Schedule'!$F$6))),1,""))))</f>
        <v/>
      </c>
      <c r="C33">
        <f>IF('Recurring Schedule'!$C$7="","",IF('Recurring Schedule'!$F$7="","",IF(OR($A33&lt;'Recurring Schedule'!$F$7,$A33&gt;'Recurring Schedule'!$P$7),"",IF(IF('Recurring Schedule'!$N$7&gt;0,MOD($A33-'Recurring Schedule'!$F$7,'Recurring Schedule'!$N$7)=0,IF('Recurring Schedule'!$O$7&gt;0,AND(DAY($A33)=MIN(DAY('Recurring Schedule'!$F$7),DAY(EOMONTH($A33,0))),MOD((YEAR($A33)-YEAR('Recurring Schedule'!$F$7))*12+MONTH($A33)-MONTH('Recurring Schedule'!$F$7),'Recurring Schedule'!$O$7)=0),IF('Recurring Schedule'!$E$7="Weekdays",WEEKDAY($A33,2)&lt;=5,$A33='Recurring Schedule'!$F$7))),2,""))))</f>
        <v/>
      </c>
      <c r="D33">
        <f>IF('Recurring Schedule'!$C$8="","",IF('Recurring Schedule'!$F$8="","",IF(OR($A33&lt;'Recurring Schedule'!$F$8,$A33&gt;'Recurring Schedule'!$P$8),"",IF(IF('Recurring Schedule'!$N$8&gt;0,MOD($A33-'Recurring Schedule'!$F$8,'Recurring Schedule'!$N$8)=0,IF('Recurring Schedule'!$O$8&gt;0,AND(DAY($A33)=MIN(DAY('Recurring Schedule'!$F$8),DAY(EOMONTH($A33,0))),MOD((YEAR($A33)-YEAR('Recurring Schedule'!$F$8))*12+MONTH($A33)-MONTH('Recurring Schedule'!$F$8),'Recurring Schedule'!$O$8)=0),IF('Recurring Schedule'!$E$8="Weekdays",WEEKDAY($A33,2)&lt;=5,$A33='Recurring Schedule'!$F$8))),3,""))))</f>
        <v/>
      </c>
      <c r="E33">
        <f>IF('Recurring Schedule'!$C$9="","",IF('Recurring Schedule'!$F$9="","",IF(OR($A33&lt;'Recurring Schedule'!$F$9,$A33&gt;'Recurring Schedule'!$P$9),"",IF(IF('Recurring Schedule'!$N$9&gt;0,MOD($A33-'Recurring Schedule'!$F$9,'Recurring Schedule'!$N$9)=0,IF('Recurring Schedule'!$O$9&gt;0,AND(DAY($A33)=MIN(DAY('Recurring Schedule'!$F$9),DAY(EOMONTH($A33,0))),MOD((YEAR($A33)-YEAR('Recurring Schedule'!$F$9))*12+MONTH($A33)-MONTH('Recurring Schedule'!$F$9),'Recurring Schedule'!$O$9)=0),IF('Recurring Schedule'!$E$9="Weekdays",WEEKDAY($A33,2)&lt;=5,$A33='Recurring Schedule'!$F$9))),4,""))))</f>
        <v/>
      </c>
      <c r="F33">
        <f>IF('Recurring Schedule'!$C$10="","",IF('Recurring Schedule'!$F$10="","",IF(OR($A33&lt;'Recurring Schedule'!$F$10,$A33&gt;'Recurring Schedule'!$P$10),"",IF(IF('Recurring Schedule'!$N$10&gt;0,MOD($A33-'Recurring Schedule'!$F$10,'Recurring Schedule'!$N$10)=0,IF('Recurring Schedule'!$O$10&gt;0,AND(DAY($A33)=MIN(DAY('Recurring Schedule'!$F$10),DAY(EOMONTH($A33,0))),MOD((YEAR($A33)-YEAR('Recurring Schedule'!$F$10))*12+MONTH($A33)-MONTH('Recurring Schedule'!$F$10),'Recurring Schedule'!$O$10)=0),IF('Recurring Schedule'!$E$10="Weekdays",WEEKDAY($A33,2)&lt;=5,$A33='Recurring Schedule'!$F$10))),5,""))))</f>
        <v/>
      </c>
      <c r="G33">
        <f>IF('Recurring Schedule'!$C$11="","",IF('Recurring Schedule'!$F$11="","",IF(OR($A33&lt;'Recurring Schedule'!$F$11,$A33&gt;'Recurring Schedule'!$P$11),"",IF(IF('Recurring Schedule'!$N$11&gt;0,MOD($A33-'Recurring Schedule'!$F$11,'Recurring Schedule'!$N$11)=0,IF('Recurring Schedule'!$O$11&gt;0,AND(DAY($A33)=MIN(DAY('Recurring Schedule'!$F$11),DAY(EOMONTH($A33,0))),MOD((YEAR($A33)-YEAR('Recurring Schedule'!$F$11))*12+MONTH($A33)-MONTH('Recurring Schedule'!$F$11),'Recurring Schedule'!$O$11)=0),IF('Recurring Schedule'!$E$11="Weekdays",WEEKDAY($A33,2)&lt;=5,$A33='Recurring Schedule'!$F$11))),6,""))))</f>
        <v/>
      </c>
      <c r="H33">
        <f>IF('Recurring Schedule'!$C$12="","",IF('Recurring Schedule'!$F$12="","",IF(OR($A33&lt;'Recurring Schedule'!$F$12,$A33&gt;'Recurring Schedule'!$P$12),"",IF(IF('Recurring Schedule'!$N$12&gt;0,MOD($A33-'Recurring Schedule'!$F$12,'Recurring Schedule'!$N$12)=0,IF('Recurring Schedule'!$O$12&gt;0,AND(DAY($A33)=MIN(DAY('Recurring Schedule'!$F$12),DAY(EOMONTH($A33,0))),MOD((YEAR($A33)-YEAR('Recurring Schedule'!$F$12))*12+MONTH($A33)-MONTH('Recurring Schedule'!$F$12),'Recurring Schedule'!$O$12)=0),IF('Recurring Schedule'!$E$12="Weekdays",WEEKDAY($A33,2)&lt;=5,$A33='Recurring Schedule'!$F$12))),7,""))))</f>
        <v/>
      </c>
      <c r="I33">
        <f>IF('Recurring Schedule'!$C$13="","",IF('Recurring Schedule'!$F$13="","",IF(OR($A33&lt;'Recurring Schedule'!$F$13,$A33&gt;'Recurring Schedule'!$P$13),"",IF(IF('Recurring Schedule'!$N$13&gt;0,MOD($A33-'Recurring Schedule'!$F$13,'Recurring Schedule'!$N$13)=0,IF('Recurring Schedule'!$O$13&gt;0,AND(DAY($A33)=MIN(DAY('Recurring Schedule'!$F$13),DAY(EOMONTH($A33,0))),MOD((YEAR($A33)-YEAR('Recurring Schedule'!$F$13))*12+MONTH($A33)-MONTH('Recurring Schedule'!$F$13),'Recurring Schedule'!$O$13)=0),IF('Recurring Schedule'!$E$13="Weekdays",WEEKDAY($A33,2)&lt;=5,$A33='Recurring Schedule'!$F$13))),8,""))))</f>
        <v/>
      </c>
      <c r="J33">
        <f>IF('Recurring Schedule'!$C$14="","",IF('Recurring Schedule'!$F$14="","",IF(OR($A33&lt;'Recurring Schedule'!$F$14,$A33&gt;'Recurring Schedule'!$P$14),"",IF(IF('Recurring Schedule'!$N$14&gt;0,MOD($A33-'Recurring Schedule'!$F$14,'Recurring Schedule'!$N$14)=0,IF('Recurring Schedule'!$O$14&gt;0,AND(DAY($A33)=MIN(DAY('Recurring Schedule'!$F$14),DAY(EOMONTH($A33,0))),MOD((YEAR($A33)-YEAR('Recurring Schedule'!$F$14))*12+MONTH($A33)-MONTH('Recurring Schedule'!$F$14),'Recurring Schedule'!$O$14)=0),IF('Recurring Schedule'!$E$14="Weekdays",WEEKDAY($A33,2)&lt;=5,$A33='Recurring Schedule'!$F$14))),9,""))))</f>
        <v/>
      </c>
      <c r="K33">
        <f>IF('Recurring Schedule'!$C$15="","",IF('Recurring Schedule'!$F$15="","",IF(OR($A33&lt;'Recurring Schedule'!$F$15,$A33&gt;'Recurring Schedule'!$P$15),"",IF(IF('Recurring Schedule'!$N$15&gt;0,MOD($A33-'Recurring Schedule'!$F$15,'Recurring Schedule'!$N$15)=0,IF('Recurring Schedule'!$O$15&gt;0,AND(DAY($A33)=MIN(DAY('Recurring Schedule'!$F$15),DAY(EOMONTH($A33,0))),MOD((YEAR($A33)-YEAR('Recurring Schedule'!$F$15))*12+MONTH($A33)-MONTH('Recurring Schedule'!$F$15),'Recurring Schedule'!$O$15)=0),IF('Recurring Schedule'!$E$15="Weekdays",WEEKDAY($A33,2)&lt;=5,$A33='Recurring Schedule'!$F$15))),10,""))))</f>
        <v/>
      </c>
      <c r="L33">
        <f>IF('Recurring Schedule'!$C$16="","",IF('Recurring Schedule'!$F$16="","",IF(OR($A33&lt;'Recurring Schedule'!$F$16,$A33&gt;'Recurring Schedule'!$P$16),"",IF(IF('Recurring Schedule'!$N$16&gt;0,MOD($A33-'Recurring Schedule'!$F$16,'Recurring Schedule'!$N$16)=0,IF('Recurring Schedule'!$O$16&gt;0,AND(DAY($A33)=MIN(DAY('Recurring Schedule'!$F$16),DAY(EOMONTH($A33,0))),MOD((YEAR($A33)-YEAR('Recurring Schedule'!$F$16))*12+MONTH($A33)-MONTH('Recurring Schedule'!$F$16),'Recurring Schedule'!$O$16)=0),IF('Recurring Schedule'!$E$16="Weekdays",WEEKDAY($A33,2)&lt;=5,$A33='Recurring Schedule'!$F$16))),11,""))))</f>
        <v/>
      </c>
      <c r="M33">
        <f>IF('Recurring Schedule'!$C$17="","",IF('Recurring Schedule'!$F$17="","",IF(OR($A33&lt;'Recurring Schedule'!$F$17,$A33&gt;'Recurring Schedule'!$P$17),"",IF(IF('Recurring Schedule'!$N$17&gt;0,MOD($A33-'Recurring Schedule'!$F$17,'Recurring Schedule'!$N$17)=0,IF('Recurring Schedule'!$O$17&gt;0,AND(DAY($A33)=MIN(DAY('Recurring Schedule'!$F$17),DAY(EOMONTH($A33,0))),MOD((YEAR($A33)-YEAR('Recurring Schedule'!$F$17))*12+MONTH($A33)-MONTH('Recurring Schedule'!$F$17),'Recurring Schedule'!$O$17)=0),IF('Recurring Schedule'!$E$17="Weekdays",WEEKDAY($A33,2)&lt;=5,$A33='Recurring Schedule'!$F$17))),12,""))))</f>
        <v/>
      </c>
      <c r="N33">
        <f>IF('Recurring Schedule'!$C$18="","",IF('Recurring Schedule'!$F$18="","",IF(OR($A33&lt;'Recurring Schedule'!$F$18,$A33&gt;'Recurring Schedule'!$P$18),"",IF(IF('Recurring Schedule'!$N$18&gt;0,MOD($A33-'Recurring Schedule'!$F$18,'Recurring Schedule'!$N$18)=0,IF('Recurring Schedule'!$O$18&gt;0,AND(DAY($A33)=MIN(DAY('Recurring Schedule'!$F$18),DAY(EOMONTH($A33,0))),MOD((YEAR($A33)-YEAR('Recurring Schedule'!$F$18))*12+MONTH($A33)-MONTH('Recurring Schedule'!$F$18),'Recurring Schedule'!$O$18)=0),IF('Recurring Schedule'!$E$18="Weekdays",WEEKDAY($A33,2)&lt;=5,$A33='Recurring Schedule'!$F$18))),13,""))))</f>
        <v/>
      </c>
      <c r="O33">
        <f>IF('Recurring Schedule'!$C$19="","",IF('Recurring Schedule'!$F$19="","",IF(OR($A33&lt;'Recurring Schedule'!$F$19,$A33&gt;'Recurring Schedule'!$P$19),"",IF(IF('Recurring Schedule'!$N$19&gt;0,MOD($A33-'Recurring Schedule'!$F$19,'Recurring Schedule'!$N$19)=0,IF('Recurring Schedule'!$O$19&gt;0,AND(DAY($A33)=MIN(DAY('Recurring Schedule'!$F$19),DAY(EOMONTH($A33,0))),MOD((YEAR($A33)-YEAR('Recurring Schedule'!$F$19))*12+MONTH($A33)-MONTH('Recurring Schedule'!$F$19),'Recurring Schedule'!$O$19)=0),IF('Recurring Schedule'!$E$19="Weekdays",WEEKDAY($A33,2)&lt;=5,$A33='Recurring Schedule'!$F$19))),14,""))))</f>
        <v/>
      </c>
      <c r="P33">
        <f>IF('Recurring Schedule'!$C$20="","",IF('Recurring Schedule'!$F$20="","",IF(OR($A33&lt;'Recurring Schedule'!$F$20,$A33&gt;'Recurring Schedule'!$P$20),"",IF(IF('Recurring Schedule'!$N$20&gt;0,MOD($A33-'Recurring Schedule'!$F$20,'Recurring Schedule'!$N$20)=0,IF('Recurring Schedule'!$O$20&gt;0,AND(DAY($A33)=MIN(DAY('Recurring Schedule'!$F$20),DAY(EOMONTH($A33,0))),MOD((YEAR($A33)-YEAR('Recurring Schedule'!$F$20))*12+MONTH($A33)-MONTH('Recurring Schedule'!$F$20),'Recurring Schedule'!$O$20)=0),IF('Recurring Schedule'!$E$20="Weekdays",WEEKDAY($A33,2)&lt;=5,$A33='Recurring Schedule'!$F$20))),15,""))))</f>
        <v/>
      </c>
      <c r="Q33">
        <f>IF('Recurring Schedule'!$C$21="","",IF('Recurring Schedule'!$F$21="","",IF(OR($A33&lt;'Recurring Schedule'!$F$21,$A33&gt;'Recurring Schedule'!$P$21),"",IF(IF('Recurring Schedule'!$N$21&gt;0,MOD($A33-'Recurring Schedule'!$F$21,'Recurring Schedule'!$N$21)=0,IF('Recurring Schedule'!$O$21&gt;0,AND(DAY($A33)=MIN(DAY('Recurring Schedule'!$F$21),DAY(EOMONTH($A33,0))),MOD((YEAR($A33)-YEAR('Recurring Schedule'!$F$21))*12+MONTH($A33)-MONTH('Recurring Schedule'!$F$21),'Recurring Schedule'!$O$21)=0),IF('Recurring Schedule'!$E$21="Weekdays",WEEKDAY($A33,2)&lt;=5,$A33='Recurring Schedule'!$F$21))),16,""))))</f>
        <v/>
      </c>
      <c r="R33">
        <f>IF('Recurring Schedule'!$C$22="","",IF('Recurring Schedule'!$F$22="","",IF(OR($A33&lt;'Recurring Schedule'!$F$22,$A33&gt;'Recurring Schedule'!$P$22),"",IF(IF('Recurring Schedule'!$N$22&gt;0,MOD($A33-'Recurring Schedule'!$F$22,'Recurring Schedule'!$N$22)=0,IF('Recurring Schedule'!$O$22&gt;0,AND(DAY($A33)=MIN(DAY('Recurring Schedule'!$F$22),DAY(EOMONTH($A33,0))),MOD((YEAR($A33)-YEAR('Recurring Schedule'!$F$22))*12+MONTH($A33)-MONTH('Recurring Schedule'!$F$22),'Recurring Schedule'!$O$22)=0),IF('Recurring Schedule'!$E$22="Weekdays",WEEKDAY($A33,2)&lt;=5,$A33='Recurring Schedule'!$F$22))),17,""))))</f>
        <v/>
      </c>
      <c r="S33">
        <f>IF('Recurring Schedule'!$C$23="","",IF('Recurring Schedule'!$F$23="","",IF(OR($A33&lt;'Recurring Schedule'!$F$23,$A33&gt;'Recurring Schedule'!$P$23),"",IF(IF('Recurring Schedule'!$N$23&gt;0,MOD($A33-'Recurring Schedule'!$F$23,'Recurring Schedule'!$N$23)=0,IF('Recurring Schedule'!$O$23&gt;0,AND(DAY($A33)=MIN(DAY('Recurring Schedule'!$F$23),DAY(EOMONTH($A33,0))),MOD((YEAR($A33)-YEAR('Recurring Schedule'!$F$23))*12+MONTH($A33)-MONTH('Recurring Schedule'!$F$23),'Recurring Schedule'!$O$23)=0),IF('Recurring Schedule'!$E$23="Weekdays",WEEKDAY($A33,2)&lt;=5,$A33='Recurring Schedule'!$F$23))),18,""))))</f>
        <v/>
      </c>
      <c r="T33">
        <f>IF('Recurring Schedule'!$C$24="","",IF('Recurring Schedule'!$F$24="","",IF(OR($A33&lt;'Recurring Schedule'!$F$24,$A33&gt;'Recurring Schedule'!$P$24),"",IF(IF('Recurring Schedule'!$N$24&gt;0,MOD($A33-'Recurring Schedule'!$F$24,'Recurring Schedule'!$N$24)=0,IF('Recurring Schedule'!$O$24&gt;0,AND(DAY($A33)=MIN(DAY('Recurring Schedule'!$F$24),DAY(EOMONTH($A33,0))),MOD((YEAR($A33)-YEAR('Recurring Schedule'!$F$24))*12+MONTH($A33)-MONTH('Recurring Schedule'!$F$24),'Recurring Schedule'!$O$24)=0),IF('Recurring Schedule'!$E$24="Weekdays",WEEKDAY($A33,2)&lt;=5,$A33='Recurring Schedule'!$F$24))),19,""))))</f>
        <v/>
      </c>
      <c r="U33">
        <f>IF('Recurring Schedule'!$C$25="","",IF('Recurring Schedule'!$F$25="","",IF(OR($A33&lt;'Recurring Schedule'!$F$25,$A33&gt;'Recurring Schedule'!$P$25),"",IF(IF('Recurring Schedule'!$N$25&gt;0,MOD($A33-'Recurring Schedule'!$F$25,'Recurring Schedule'!$N$25)=0,IF('Recurring Schedule'!$O$25&gt;0,AND(DAY($A33)=MIN(DAY('Recurring Schedule'!$F$25),DAY(EOMONTH($A33,0))),MOD((YEAR($A33)-YEAR('Recurring Schedule'!$F$25))*12+MONTH($A33)-MONTH('Recurring Schedule'!$F$25),'Recurring Schedule'!$O$25)=0),IF('Recurring Schedule'!$E$25="Weekdays",WEEKDAY($A33,2)&lt;=5,$A33='Recurring Schedule'!$F$25))),20,""))))</f>
        <v/>
      </c>
      <c r="V33">
        <f>IF('Recurring Schedule'!$C$26="","",IF('Recurring Schedule'!$F$26="","",IF(OR($A33&lt;'Recurring Schedule'!$F$26,$A33&gt;'Recurring Schedule'!$P$26),"",IF(IF('Recurring Schedule'!$N$26&gt;0,MOD($A33-'Recurring Schedule'!$F$26,'Recurring Schedule'!$N$26)=0,IF('Recurring Schedule'!$O$26&gt;0,AND(DAY($A33)=MIN(DAY('Recurring Schedule'!$F$26),DAY(EOMONTH($A33,0))),MOD((YEAR($A33)-YEAR('Recurring Schedule'!$F$26))*12+MONTH($A33)-MONTH('Recurring Schedule'!$F$26),'Recurring Schedule'!$O$26)=0),IF('Recurring Schedule'!$E$26="Weekdays",WEEKDAY($A33,2)&lt;=5,$A33='Recurring Schedule'!$F$26))),21,""))))</f>
        <v/>
      </c>
      <c r="W33">
        <f>IF('Recurring Schedule'!$C$27="","",IF('Recurring Schedule'!$F$27="","",IF(OR($A33&lt;'Recurring Schedule'!$F$27,$A33&gt;'Recurring Schedule'!$P$27),"",IF(IF('Recurring Schedule'!$N$27&gt;0,MOD($A33-'Recurring Schedule'!$F$27,'Recurring Schedule'!$N$27)=0,IF('Recurring Schedule'!$O$27&gt;0,AND(DAY($A33)=MIN(DAY('Recurring Schedule'!$F$27),DAY(EOMONTH($A33,0))),MOD((YEAR($A33)-YEAR('Recurring Schedule'!$F$27))*12+MONTH($A33)-MONTH('Recurring Schedule'!$F$27),'Recurring Schedule'!$O$27)=0),IF('Recurring Schedule'!$E$27="Weekdays",WEEKDAY($A33,2)&lt;=5,$A33='Recurring Schedule'!$F$27))),22,""))))</f>
        <v/>
      </c>
      <c r="X33">
        <f>IF('Recurring Schedule'!$C$28="","",IF('Recurring Schedule'!$F$28="","",IF(OR($A33&lt;'Recurring Schedule'!$F$28,$A33&gt;'Recurring Schedule'!$P$28),"",IF(IF('Recurring Schedule'!$N$28&gt;0,MOD($A33-'Recurring Schedule'!$F$28,'Recurring Schedule'!$N$28)=0,IF('Recurring Schedule'!$O$28&gt;0,AND(DAY($A33)=MIN(DAY('Recurring Schedule'!$F$28),DAY(EOMONTH($A33,0))),MOD((YEAR($A33)-YEAR('Recurring Schedule'!$F$28))*12+MONTH($A33)-MONTH('Recurring Schedule'!$F$28),'Recurring Schedule'!$O$28)=0),IF('Recurring Schedule'!$E$28="Weekdays",WEEKDAY($A33,2)&lt;=5,$A33='Recurring Schedule'!$F$28))),23,""))))</f>
        <v/>
      </c>
      <c r="Y33">
        <f>IF('Recurring Schedule'!$C$29="","",IF('Recurring Schedule'!$F$29="","",IF(OR($A33&lt;'Recurring Schedule'!$F$29,$A33&gt;'Recurring Schedule'!$P$29),"",IF(IF('Recurring Schedule'!$N$29&gt;0,MOD($A33-'Recurring Schedule'!$F$29,'Recurring Schedule'!$N$29)=0,IF('Recurring Schedule'!$O$29&gt;0,AND(DAY($A33)=MIN(DAY('Recurring Schedule'!$F$29),DAY(EOMONTH($A33,0))),MOD((YEAR($A33)-YEAR('Recurring Schedule'!$F$29))*12+MONTH($A33)-MONTH('Recurring Schedule'!$F$29),'Recurring Schedule'!$O$29)=0),IF('Recurring Schedule'!$E$29="Weekdays",WEEKDAY($A33,2)&lt;=5,$A33='Recurring Schedule'!$F$29))),24,""))))</f>
        <v/>
      </c>
      <c r="Z33">
        <f>IF('Recurring Schedule'!$C$30="","",IF('Recurring Schedule'!$F$30="","",IF(OR($A33&lt;'Recurring Schedule'!$F$30,$A33&gt;'Recurring Schedule'!$P$30),"",IF(IF('Recurring Schedule'!$N$30&gt;0,MOD($A33-'Recurring Schedule'!$F$30,'Recurring Schedule'!$N$30)=0,IF('Recurring Schedule'!$O$30&gt;0,AND(DAY($A33)=MIN(DAY('Recurring Schedule'!$F$30),DAY(EOMONTH($A33,0))),MOD((YEAR($A33)-YEAR('Recurring Schedule'!$F$30))*12+MONTH($A33)-MONTH('Recurring Schedule'!$F$30),'Recurring Schedule'!$O$30)=0),IF('Recurring Schedule'!$E$30="Weekdays",WEEKDAY($A33,2)&lt;=5,$A33='Recurring Schedule'!$F$30))),25,""))))</f>
        <v/>
      </c>
      <c r="AA33">
        <f>IF('Recurring Schedule'!$C$31="","",IF('Recurring Schedule'!$F$31="","",IF(OR($A33&lt;'Recurring Schedule'!$F$31,$A33&gt;'Recurring Schedule'!$P$31),"",IF(IF('Recurring Schedule'!$N$31&gt;0,MOD($A33-'Recurring Schedule'!$F$31,'Recurring Schedule'!$N$31)=0,IF('Recurring Schedule'!$O$31&gt;0,AND(DAY($A33)=MIN(DAY('Recurring Schedule'!$F$31),DAY(EOMONTH($A33,0))),MOD((YEAR($A33)-YEAR('Recurring Schedule'!$F$31))*12+MONTH($A33)-MONTH('Recurring Schedule'!$F$31),'Recurring Schedule'!$O$31)=0),IF('Recurring Schedule'!$E$31="Weekdays",WEEKDAY($A33,2)&lt;=5,$A33='Recurring Schedule'!$F$31))),26,""))))</f>
        <v/>
      </c>
      <c r="AB33">
        <f>IF('Recurring Schedule'!$C$32="","",IF('Recurring Schedule'!$F$32="","",IF(OR($A33&lt;'Recurring Schedule'!$F$32,$A33&gt;'Recurring Schedule'!$P$32),"",IF(IF('Recurring Schedule'!$N$32&gt;0,MOD($A33-'Recurring Schedule'!$F$32,'Recurring Schedule'!$N$32)=0,IF('Recurring Schedule'!$O$32&gt;0,AND(DAY($A33)=MIN(DAY('Recurring Schedule'!$F$32),DAY(EOMONTH($A33,0))),MOD((YEAR($A33)-YEAR('Recurring Schedule'!$F$32))*12+MONTH($A33)-MONTH('Recurring Schedule'!$F$32),'Recurring Schedule'!$O$32)=0),IF('Recurring Schedule'!$E$32="Weekdays",WEEKDAY($A33,2)&lt;=5,$A33='Recurring Schedule'!$F$32))),27,""))))</f>
        <v/>
      </c>
      <c r="AC33">
        <f>IF('Recurring Schedule'!$C$33="","",IF('Recurring Schedule'!$F$33="","",IF(OR($A33&lt;'Recurring Schedule'!$F$33,$A33&gt;'Recurring Schedule'!$P$33),"",IF(IF('Recurring Schedule'!$N$33&gt;0,MOD($A33-'Recurring Schedule'!$F$33,'Recurring Schedule'!$N$33)=0,IF('Recurring Schedule'!$O$33&gt;0,AND(DAY($A33)=MIN(DAY('Recurring Schedule'!$F$33),DAY(EOMONTH($A33,0))),MOD((YEAR($A33)-YEAR('Recurring Schedule'!$F$33))*12+MONTH($A33)-MONTH('Recurring Schedule'!$F$33),'Recurring Schedule'!$O$33)=0),IF('Recurring Schedule'!$E$33="Weekdays",WEEKDAY($A33,2)&lt;=5,$A33='Recurring Schedule'!$F$33))),28,""))))</f>
        <v/>
      </c>
      <c r="AD33">
        <f>IF('Recurring Schedule'!$C$34="","",IF('Recurring Schedule'!$F$34="","",IF(OR($A33&lt;'Recurring Schedule'!$F$34,$A33&gt;'Recurring Schedule'!$P$34),"",IF(IF('Recurring Schedule'!$N$34&gt;0,MOD($A33-'Recurring Schedule'!$F$34,'Recurring Schedule'!$N$34)=0,IF('Recurring Schedule'!$O$34&gt;0,AND(DAY($A33)=MIN(DAY('Recurring Schedule'!$F$34),DAY(EOMONTH($A33,0))),MOD((YEAR($A33)-YEAR('Recurring Schedule'!$F$34))*12+MONTH($A33)-MONTH('Recurring Schedule'!$F$34),'Recurring Schedule'!$O$34)=0),IF('Recurring Schedule'!$E$34="Weekdays",WEEKDAY($A33,2)&lt;=5,$A33='Recurring Schedule'!$F$34))),29,""))))</f>
        <v/>
      </c>
      <c r="AE33">
        <f>IF('Recurring Schedule'!$C$35="","",IF('Recurring Schedule'!$F$35="","",IF(OR($A33&lt;'Recurring Schedule'!$F$35,$A33&gt;'Recurring Schedule'!$P$35),"",IF(IF('Recurring Schedule'!$N$35&gt;0,MOD($A33-'Recurring Schedule'!$F$35,'Recurring Schedule'!$N$35)=0,IF('Recurring Schedule'!$O$35&gt;0,AND(DAY($A33)=MIN(DAY('Recurring Schedule'!$F$35),DAY(EOMONTH($A33,0))),MOD((YEAR($A33)-YEAR('Recurring Schedule'!$F$35))*12+MONTH($A33)-MONTH('Recurring Schedule'!$F$35),'Recurring Schedule'!$O$35)=0),IF('Recurring Schedule'!$E$35="Weekdays",WEEKDAY($A33,2)&lt;=5,$A33='Recurring Schedule'!$F$35))),30,""))))</f>
        <v/>
      </c>
      <c r="AF33">
        <f>IF('Recurring Schedule'!$C$36="","",IF('Recurring Schedule'!$F$36="","",IF(OR($A33&lt;'Recurring Schedule'!$F$36,$A33&gt;'Recurring Schedule'!$P$36),"",IF(IF('Recurring Schedule'!$N$36&gt;0,MOD($A33-'Recurring Schedule'!$F$36,'Recurring Schedule'!$N$36)=0,IF('Recurring Schedule'!$O$36&gt;0,AND(DAY($A33)=MIN(DAY('Recurring Schedule'!$F$36),DAY(EOMONTH($A33,0))),MOD((YEAR($A33)-YEAR('Recurring Schedule'!$F$36))*12+MONTH($A33)-MONTH('Recurring Schedule'!$F$36),'Recurring Schedule'!$O$36)=0),IF('Recurring Schedule'!$E$36="Weekdays",WEEKDAY($A33,2)&lt;=5,$A33='Recurring Schedule'!$F$36))),31,""))))</f>
        <v/>
      </c>
      <c r="AG33">
        <f>IF('Recurring Schedule'!$C$37="","",IF('Recurring Schedule'!$F$37="","",IF(OR($A33&lt;'Recurring Schedule'!$F$37,$A33&gt;'Recurring Schedule'!$P$37),"",IF(IF('Recurring Schedule'!$N$37&gt;0,MOD($A33-'Recurring Schedule'!$F$37,'Recurring Schedule'!$N$37)=0,IF('Recurring Schedule'!$O$37&gt;0,AND(DAY($A33)=MIN(DAY('Recurring Schedule'!$F$37),DAY(EOMONTH($A33,0))),MOD((YEAR($A33)-YEAR('Recurring Schedule'!$F$37))*12+MONTH($A33)-MONTH('Recurring Schedule'!$F$37),'Recurring Schedule'!$O$37)=0),IF('Recurring Schedule'!$E$37="Weekdays",WEEKDAY($A33,2)&lt;=5,$A33='Recurring Schedule'!$F$37))),32,""))))</f>
        <v/>
      </c>
      <c r="AH33">
        <f>IF('Recurring Schedule'!$C$38="","",IF('Recurring Schedule'!$F$38="","",IF(OR($A33&lt;'Recurring Schedule'!$F$38,$A33&gt;'Recurring Schedule'!$P$38),"",IF(IF('Recurring Schedule'!$N$38&gt;0,MOD($A33-'Recurring Schedule'!$F$38,'Recurring Schedule'!$N$38)=0,IF('Recurring Schedule'!$O$38&gt;0,AND(DAY($A33)=MIN(DAY('Recurring Schedule'!$F$38),DAY(EOMONTH($A33,0))),MOD((YEAR($A33)-YEAR('Recurring Schedule'!$F$38))*12+MONTH($A33)-MONTH('Recurring Schedule'!$F$38),'Recurring Schedule'!$O$38)=0),IF('Recurring Schedule'!$E$38="Weekdays",WEEKDAY($A33,2)&lt;=5,$A33='Recurring Schedule'!$F$38))),33,""))))</f>
        <v/>
      </c>
      <c r="AI33">
        <f>IF('Recurring Schedule'!$C$39="","",IF('Recurring Schedule'!$F$39="","",IF(OR($A33&lt;'Recurring Schedule'!$F$39,$A33&gt;'Recurring Schedule'!$P$39),"",IF(IF('Recurring Schedule'!$N$39&gt;0,MOD($A33-'Recurring Schedule'!$F$39,'Recurring Schedule'!$N$39)=0,IF('Recurring Schedule'!$O$39&gt;0,AND(DAY($A33)=MIN(DAY('Recurring Schedule'!$F$39),DAY(EOMONTH($A33,0))),MOD((YEAR($A33)-YEAR('Recurring Schedule'!$F$39))*12+MONTH($A33)-MONTH('Recurring Schedule'!$F$39),'Recurring Schedule'!$O$39)=0),IF('Recurring Schedule'!$E$39="Weekdays",WEEKDAY($A33,2)&lt;=5,$A33='Recurring Schedule'!$F$39))),34,""))))</f>
        <v/>
      </c>
      <c r="AJ33">
        <f>IF('Recurring Schedule'!$C$40="","",IF('Recurring Schedule'!$F$40="","",IF(OR($A33&lt;'Recurring Schedule'!$F$40,$A33&gt;'Recurring Schedule'!$P$40),"",IF(IF('Recurring Schedule'!$N$40&gt;0,MOD($A33-'Recurring Schedule'!$F$40,'Recurring Schedule'!$N$40)=0,IF('Recurring Schedule'!$O$40&gt;0,AND(DAY($A33)=MIN(DAY('Recurring Schedule'!$F$40),DAY(EOMONTH($A33,0))),MOD((YEAR($A33)-YEAR('Recurring Schedule'!$F$40))*12+MONTH($A33)-MONTH('Recurring Schedule'!$F$40),'Recurring Schedule'!$O$40)=0),IF('Recurring Schedule'!$E$40="Weekdays",WEEKDAY($A33,2)&lt;=5,$A33='Recurring Schedule'!$F$40))),35,""))))</f>
        <v/>
      </c>
      <c r="AK33">
        <f>IF('Recurring Schedule'!$C$41="","",IF('Recurring Schedule'!$F$41="","",IF(OR($A33&lt;'Recurring Schedule'!$F$41,$A33&gt;'Recurring Schedule'!$P$41),"",IF(IF('Recurring Schedule'!$N$41&gt;0,MOD($A33-'Recurring Schedule'!$F$41,'Recurring Schedule'!$N$41)=0,IF('Recurring Schedule'!$O$41&gt;0,AND(DAY($A33)=MIN(DAY('Recurring Schedule'!$F$41),DAY(EOMONTH($A33,0))),MOD((YEAR($A33)-YEAR('Recurring Schedule'!$F$41))*12+MONTH($A33)-MONTH('Recurring Schedule'!$F$41),'Recurring Schedule'!$O$41)=0),IF('Recurring Schedule'!$E$41="Weekdays",WEEKDAY($A33,2)&lt;=5,$A33='Recurring Schedule'!$F$41))),36,""))))</f>
        <v/>
      </c>
      <c r="AL33">
        <f>IF('Recurring Schedule'!$C$42="","",IF('Recurring Schedule'!$F$42="","",IF(OR($A33&lt;'Recurring Schedule'!$F$42,$A33&gt;'Recurring Schedule'!$P$42),"",IF(IF('Recurring Schedule'!$N$42&gt;0,MOD($A33-'Recurring Schedule'!$F$42,'Recurring Schedule'!$N$42)=0,IF('Recurring Schedule'!$O$42&gt;0,AND(DAY($A33)=MIN(DAY('Recurring Schedule'!$F$42),DAY(EOMONTH($A33,0))),MOD((YEAR($A33)-YEAR('Recurring Schedule'!$F$42))*12+MONTH($A33)-MONTH('Recurring Schedule'!$F$42),'Recurring Schedule'!$O$42)=0),IF('Recurring Schedule'!$E$42="Weekdays",WEEKDAY($A33,2)&lt;=5,$A33='Recurring Schedule'!$F$42))),37,""))))</f>
        <v/>
      </c>
      <c r="AM33">
        <f>IF('Recurring Schedule'!$C$43="","",IF('Recurring Schedule'!$F$43="","",IF(OR($A33&lt;'Recurring Schedule'!$F$43,$A33&gt;'Recurring Schedule'!$P$43),"",IF(IF('Recurring Schedule'!$N$43&gt;0,MOD($A33-'Recurring Schedule'!$F$43,'Recurring Schedule'!$N$43)=0,IF('Recurring Schedule'!$O$43&gt;0,AND(DAY($A33)=MIN(DAY('Recurring Schedule'!$F$43),DAY(EOMONTH($A33,0))),MOD((YEAR($A33)-YEAR('Recurring Schedule'!$F$43))*12+MONTH($A33)-MONTH('Recurring Schedule'!$F$43),'Recurring Schedule'!$O$43)=0),IF('Recurring Schedule'!$E$43="Weekdays",WEEKDAY($A33,2)&lt;=5,$A33='Recurring Schedule'!$F$43))),38,""))))</f>
        <v/>
      </c>
      <c r="AN33">
        <f>IF('Recurring Schedule'!$C$44="","",IF('Recurring Schedule'!$F$44="","",IF(OR($A33&lt;'Recurring Schedule'!$F$44,$A33&gt;'Recurring Schedule'!$P$44),"",IF(IF('Recurring Schedule'!$N$44&gt;0,MOD($A33-'Recurring Schedule'!$F$44,'Recurring Schedule'!$N$44)=0,IF('Recurring Schedule'!$O$44&gt;0,AND(DAY($A33)=MIN(DAY('Recurring Schedule'!$F$44),DAY(EOMONTH($A33,0))),MOD((YEAR($A33)-YEAR('Recurring Schedule'!$F$44))*12+MONTH($A33)-MONTH('Recurring Schedule'!$F$44),'Recurring Schedule'!$O$44)=0),IF('Recurring Schedule'!$E$44="Weekdays",WEEKDAY($A33,2)&lt;=5,$A33='Recurring Schedule'!$F$44))),39,""))))</f>
        <v/>
      </c>
      <c r="AO33">
        <f>IF('Recurring Schedule'!$C$45="","",IF('Recurring Schedule'!$F$45="","",IF(OR($A33&lt;'Recurring Schedule'!$F$45,$A33&gt;'Recurring Schedule'!$P$45),"",IF(IF('Recurring Schedule'!$N$45&gt;0,MOD($A33-'Recurring Schedule'!$F$45,'Recurring Schedule'!$N$45)=0,IF('Recurring Schedule'!$O$45&gt;0,AND(DAY($A33)=MIN(DAY('Recurring Schedule'!$F$45),DAY(EOMONTH($A33,0))),MOD((YEAR($A33)-YEAR('Recurring Schedule'!$F$45))*12+MONTH($A33)-MONTH('Recurring Schedule'!$F$45),'Recurring Schedule'!$O$45)=0),IF('Recurring Schedule'!$E$45="Weekdays",WEEKDAY($A33,2)&lt;=5,$A33='Recurring Schedule'!$F$45))),40,""))))</f>
        <v/>
      </c>
      <c r="AP33">
        <f>COUNT(B33:AO33)</f>
        <v/>
      </c>
      <c r="AQ33">
        <f>AQ32+AP32</f>
        <v/>
      </c>
      <c r="AS33" t="inlineStr">
        <is>
          <t>R</t>
        </is>
      </c>
      <c r="AT33" t="n">
        <v>37</v>
      </c>
      <c r="AU33">
        <f>'Recurring Log'!C37&amp;""</f>
        <v/>
      </c>
      <c r="AV33">
        <f>'Recurring Log'!D37&amp;""</f>
        <v/>
      </c>
      <c r="AW33">
        <f>IF('Recurring Log'!E37="","",'Recurring Log'!E37)</f>
        <v/>
      </c>
      <c r="AX33">
        <f>IF('Recurring Log'!G37="","",'Recurring Log'!G37)</f>
        <v/>
      </c>
      <c r="AY33">
        <f>IF('Recurring Log'!H37="","",'Recurring Log'!H37)</f>
        <v/>
      </c>
      <c r="AZ33">
        <f>IF(AU33="","",IF('Recurring Log'!J37="","Not Started",'Recurring Log'!J37))</f>
        <v/>
      </c>
      <c r="BA33">
        <f>'Recurring Log'!L37&amp;""</f>
        <v/>
      </c>
      <c r="BB33">
        <f>'Recurring Log'!M37&amp;""</f>
        <v/>
      </c>
      <c r="BC33">
        <f>'Recurring Log'!N37&amp;""</f>
        <v/>
      </c>
      <c r="BD33">
        <f>'Recurring Log'!O37&amp;""</f>
        <v/>
      </c>
      <c r="BE33">
        <f>IF('Recurring Log'!K37="","",'Recurring Log'!K37)</f>
        <v/>
      </c>
      <c r="BF33">
        <f>IFERROR(MATCH(BA33,Setup!$L$6:$L$9,0),5)</f>
        <v/>
      </c>
      <c r="BG33">
        <f>IF(OR(AZ33="Done",AZ33="Cancelled"),1,0)</f>
        <v/>
      </c>
      <c r="BH33">
        <f>IF(AND(AU33&lt;&gt;"",ISNUMBER(AW33)),1,0)</f>
        <v/>
      </c>
      <c r="BI33">
        <f>IF(BH33=0,0,IF(AND(AW33&gt;='Tasks Filter'!$F$3,AW33&lt;='Tasks Filter'!$F$4,OR('Tasks Filter'!$I$3="",ISNUMBER(SEARCH('Tasks Filter'!$I$3,AU33))),OR('Tasks Filter'!$I$4="",BF33=IFERROR(MATCH('Tasks Filter'!$I$4,Setup!$L$6:$L$9,0),0)),OR('Tasks Filter'!$I$5="Both",AND('Tasks Filter'!$I$5="Yes",BB33="✓"),AND('Tasks Filter'!$I$5="No",BB33&lt;&gt;"✓")),OR('Tasks Filter'!$L$3="",AV33='Tasks Filter'!$L$3),OR('Tasks Filter'!$L$4="",AZ33='Tasks Filter'!$L$4),OR('Tasks Filter'!$L$5="",BC33='Tasks Filter'!$L$5),OR('Tasks Filter'!$O$3="",BD33='Tasks Filter'!$O$3),OR('Tasks Filter'!$O$4="Yes",BG33=0)),1,0))</f>
        <v/>
      </c>
      <c r="BJ33">
        <f>IF(BH33=0,"",IF('Tasks Filter'!$F$6="Descending",-1,1)*CHOOSE(MATCH('Tasks Filter'!$F$5,Lists!$G$2:$G$6,0),AW33,BF33,IFERROR(MATCH(AV33,Setup!$F$6:$F$15,0),99),IFERROR(MATCH(BC33,Setup!$H$6:$H$15,0),99),IFERROR(MATCH(AZ33,Setup!$J$6:$J$11,0),99))*1E+9+(AW33-40000)*10000+32)</f>
        <v/>
      </c>
      <c r="BK33">
        <f>IF(BI33=1,BJ33,"")</f>
        <v/>
      </c>
      <c r="BL33">
        <f>IF(AND(BH33=1,BG33=0,N(AW33)&lt;Setup!$D$7),(AW33-40000)*10000+32,"")</f>
        <v/>
      </c>
      <c r="BM33">
        <f>IF(AND(BH33=1,AZ33&lt;&gt;"Cancelled",N(AW33)&gt;=Dashboard!$AB$3,N(AW33)&lt;=Dashboard!$AB$3+6),(AW33-40000)*100000+BF33*10000+32,"")</f>
        <v/>
      </c>
      <c r="BN33">
        <f>IF(AND(BH33=1,AZ33&lt;&gt;"Cancelled"),BF33*10000+32,"")</f>
        <v/>
      </c>
    </row>
    <row r="34">
      <c r="A34">
        <f>Setup!$D$5+32</f>
        <v/>
      </c>
      <c r="B34">
        <f>IF('Recurring Schedule'!$C$6="","",IF('Recurring Schedule'!$F$6="","",IF(OR($A34&lt;'Recurring Schedule'!$F$6,$A34&gt;'Recurring Schedule'!$P$6),"",IF(IF('Recurring Schedule'!$N$6&gt;0,MOD($A34-'Recurring Schedule'!$F$6,'Recurring Schedule'!$N$6)=0,IF('Recurring Schedule'!$O$6&gt;0,AND(DAY($A34)=MIN(DAY('Recurring Schedule'!$F$6),DAY(EOMONTH($A34,0))),MOD((YEAR($A34)-YEAR('Recurring Schedule'!$F$6))*12+MONTH($A34)-MONTH('Recurring Schedule'!$F$6),'Recurring Schedule'!$O$6)=0),IF('Recurring Schedule'!$E$6="Weekdays",WEEKDAY($A34,2)&lt;=5,$A34='Recurring Schedule'!$F$6))),1,""))))</f>
        <v/>
      </c>
      <c r="C34">
        <f>IF('Recurring Schedule'!$C$7="","",IF('Recurring Schedule'!$F$7="","",IF(OR($A34&lt;'Recurring Schedule'!$F$7,$A34&gt;'Recurring Schedule'!$P$7),"",IF(IF('Recurring Schedule'!$N$7&gt;0,MOD($A34-'Recurring Schedule'!$F$7,'Recurring Schedule'!$N$7)=0,IF('Recurring Schedule'!$O$7&gt;0,AND(DAY($A34)=MIN(DAY('Recurring Schedule'!$F$7),DAY(EOMONTH($A34,0))),MOD((YEAR($A34)-YEAR('Recurring Schedule'!$F$7))*12+MONTH($A34)-MONTH('Recurring Schedule'!$F$7),'Recurring Schedule'!$O$7)=0),IF('Recurring Schedule'!$E$7="Weekdays",WEEKDAY($A34,2)&lt;=5,$A34='Recurring Schedule'!$F$7))),2,""))))</f>
        <v/>
      </c>
      <c r="D34">
        <f>IF('Recurring Schedule'!$C$8="","",IF('Recurring Schedule'!$F$8="","",IF(OR($A34&lt;'Recurring Schedule'!$F$8,$A34&gt;'Recurring Schedule'!$P$8),"",IF(IF('Recurring Schedule'!$N$8&gt;0,MOD($A34-'Recurring Schedule'!$F$8,'Recurring Schedule'!$N$8)=0,IF('Recurring Schedule'!$O$8&gt;0,AND(DAY($A34)=MIN(DAY('Recurring Schedule'!$F$8),DAY(EOMONTH($A34,0))),MOD((YEAR($A34)-YEAR('Recurring Schedule'!$F$8))*12+MONTH($A34)-MONTH('Recurring Schedule'!$F$8),'Recurring Schedule'!$O$8)=0),IF('Recurring Schedule'!$E$8="Weekdays",WEEKDAY($A34,2)&lt;=5,$A34='Recurring Schedule'!$F$8))),3,""))))</f>
        <v/>
      </c>
      <c r="E34">
        <f>IF('Recurring Schedule'!$C$9="","",IF('Recurring Schedule'!$F$9="","",IF(OR($A34&lt;'Recurring Schedule'!$F$9,$A34&gt;'Recurring Schedule'!$P$9),"",IF(IF('Recurring Schedule'!$N$9&gt;0,MOD($A34-'Recurring Schedule'!$F$9,'Recurring Schedule'!$N$9)=0,IF('Recurring Schedule'!$O$9&gt;0,AND(DAY($A34)=MIN(DAY('Recurring Schedule'!$F$9),DAY(EOMONTH($A34,0))),MOD((YEAR($A34)-YEAR('Recurring Schedule'!$F$9))*12+MONTH($A34)-MONTH('Recurring Schedule'!$F$9),'Recurring Schedule'!$O$9)=0),IF('Recurring Schedule'!$E$9="Weekdays",WEEKDAY($A34,2)&lt;=5,$A34='Recurring Schedule'!$F$9))),4,""))))</f>
        <v/>
      </c>
      <c r="F34">
        <f>IF('Recurring Schedule'!$C$10="","",IF('Recurring Schedule'!$F$10="","",IF(OR($A34&lt;'Recurring Schedule'!$F$10,$A34&gt;'Recurring Schedule'!$P$10),"",IF(IF('Recurring Schedule'!$N$10&gt;0,MOD($A34-'Recurring Schedule'!$F$10,'Recurring Schedule'!$N$10)=0,IF('Recurring Schedule'!$O$10&gt;0,AND(DAY($A34)=MIN(DAY('Recurring Schedule'!$F$10),DAY(EOMONTH($A34,0))),MOD((YEAR($A34)-YEAR('Recurring Schedule'!$F$10))*12+MONTH($A34)-MONTH('Recurring Schedule'!$F$10),'Recurring Schedule'!$O$10)=0),IF('Recurring Schedule'!$E$10="Weekdays",WEEKDAY($A34,2)&lt;=5,$A34='Recurring Schedule'!$F$10))),5,""))))</f>
        <v/>
      </c>
      <c r="G34">
        <f>IF('Recurring Schedule'!$C$11="","",IF('Recurring Schedule'!$F$11="","",IF(OR($A34&lt;'Recurring Schedule'!$F$11,$A34&gt;'Recurring Schedule'!$P$11),"",IF(IF('Recurring Schedule'!$N$11&gt;0,MOD($A34-'Recurring Schedule'!$F$11,'Recurring Schedule'!$N$11)=0,IF('Recurring Schedule'!$O$11&gt;0,AND(DAY($A34)=MIN(DAY('Recurring Schedule'!$F$11),DAY(EOMONTH($A34,0))),MOD((YEAR($A34)-YEAR('Recurring Schedule'!$F$11))*12+MONTH($A34)-MONTH('Recurring Schedule'!$F$11),'Recurring Schedule'!$O$11)=0),IF('Recurring Schedule'!$E$11="Weekdays",WEEKDAY($A34,2)&lt;=5,$A34='Recurring Schedule'!$F$11))),6,""))))</f>
        <v/>
      </c>
      <c r="H34">
        <f>IF('Recurring Schedule'!$C$12="","",IF('Recurring Schedule'!$F$12="","",IF(OR($A34&lt;'Recurring Schedule'!$F$12,$A34&gt;'Recurring Schedule'!$P$12),"",IF(IF('Recurring Schedule'!$N$12&gt;0,MOD($A34-'Recurring Schedule'!$F$12,'Recurring Schedule'!$N$12)=0,IF('Recurring Schedule'!$O$12&gt;0,AND(DAY($A34)=MIN(DAY('Recurring Schedule'!$F$12),DAY(EOMONTH($A34,0))),MOD((YEAR($A34)-YEAR('Recurring Schedule'!$F$12))*12+MONTH($A34)-MONTH('Recurring Schedule'!$F$12),'Recurring Schedule'!$O$12)=0),IF('Recurring Schedule'!$E$12="Weekdays",WEEKDAY($A34,2)&lt;=5,$A34='Recurring Schedule'!$F$12))),7,""))))</f>
        <v/>
      </c>
      <c r="I34">
        <f>IF('Recurring Schedule'!$C$13="","",IF('Recurring Schedule'!$F$13="","",IF(OR($A34&lt;'Recurring Schedule'!$F$13,$A34&gt;'Recurring Schedule'!$P$13),"",IF(IF('Recurring Schedule'!$N$13&gt;0,MOD($A34-'Recurring Schedule'!$F$13,'Recurring Schedule'!$N$13)=0,IF('Recurring Schedule'!$O$13&gt;0,AND(DAY($A34)=MIN(DAY('Recurring Schedule'!$F$13),DAY(EOMONTH($A34,0))),MOD((YEAR($A34)-YEAR('Recurring Schedule'!$F$13))*12+MONTH($A34)-MONTH('Recurring Schedule'!$F$13),'Recurring Schedule'!$O$13)=0),IF('Recurring Schedule'!$E$13="Weekdays",WEEKDAY($A34,2)&lt;=5,$A34='Recurring Schedule'!$F$13))),8,""))))</f>
        <v/>
      </c>
      <c r="J34">
        <f>IF('Recurring Schedule'!$C$14="","",IF('Recurring Schedule'!$F$14="","",IF(OR($A34&lt;'Recurring Schedule'!$F$14,$A34&gt;'Recurring Schedule'!$P$14),"",IF(IF('Recurring Schedule'!$N$14&gt;0,MOD($A34-'Recurring Schedule'!$F$14,'Recurring Schedule'!$N$14)=0,IF('Recurring Schedule'!$O$14&gt;0,AND(DAY($A34)=MIN(DAY('Recurring Schedule'!$F$14),DAY(EOMONTH($A34,0))),MOD((YEAR($A34)-YEAR('Recurring Schedule'!$F$14))*12+MONTH($A34)-MONTH('Recurring Schedule'!$F$14),'Recurring Schedule'!$O$14)=0),IF('Recurring Schedule'!$E$14="Weekdays",WEEKDAY($A34,2)&lt;=5,$A34='Recurring Schedule'!$F$14))),9,""))))</f>
        <v/>
      </c>
      <c r="K34">
        <f>IF('Recurring Schedule'!$C$15="","",IF('Recurring Schedule'!$F$15="","",IF(OR($A34&lt;'Recurring Schedule'!$F$15,$A34&gt;'Recurring Schedule'!$P$15),"",IF(IF('Recurring Schedule'!$N$15&gt;0,MOD($A34-'Recurring Schedule'!$F$15,'Recurring Schedule'!$N$15)=0,IF('Recurring Schedule'!$O$15&gt;0,AND(DAY($A34)=MIN(DAY('Recurring Schedule'!$F$15),DAY(EOMONTH($A34,0))),MOD((YEAR($A34)-YEAR('Recurring Schedule'!$F$15))*12+MONTH($A34)-MONTH('Recurring Schedule'!$F$15),'Recurring Schedule'!$O$15)=0),IF('Recurring Schedule'!$E$15="Weekdays",WEEKDAY($A34,2)&lt;=5,$A34='Recurring Schedule'!$F$15))),10,""))))</f>
        <v/>
      </c>
      <c r="L34">
        <f>IF('Recurring Schedule'!$C$16="","",IF('Recurring Schedule'!$F$16="","",IF(OR($A34&lt;'Recurring Schedule'!$F$16,$A34&gt;'Recurring Schedule'!$P$16),"",IF(IF('Recurring Schedule'!$N$16&gt;0,MOD($A34-'Recurring Schedule'!$F$16,'Recurring Schedule'!$N$16)=0,IF('Recurring Schedule'!$O$16&gt;0,AND(DAY($A34)=MIN(DAY('Recurring Schedule'!$F$16),DAY(EOMONTH($A34,0))),MOD((YEAR($A34)-YEAR('Recurring Schedule'!$F$16))*12+MONTH($A34)-MONTH('Recurring Schedule'!$F$16),'Recurring Schedule'!$O$16)=0),IF('Recurring Schedule'!$E$16="Weekdays",WEEKDAY($A34,2)&lt;=5,$A34='Recurring Schedule'!$F$16))),11,""))))</f>
        <v/>
      </c>
      <c r="M34">
        <f>IF('Recurring Schedule'!$C$17="","",IF('Recurring Schedule'!$F$17="","",IF(OR($A34&lt;'Recurring Schedule'!$F$17,$A34&gt;'Recurring Schedule'!$P$17),"",IF(IF('Recurring Schedule'!$N$17&gt;0,MOD($A34-'Recurring Schedule'!$F$17,'Recurring Schedule'!$N$17)=0,IF('Recurring Schedule'!$O$17&gt;0,AND(DAY($A34)=MIN(DAY('Recurring Schedule'!$F$17),DAY(EOMONTH($A34,0))),MOD((YEAR($A34)-YEAR('Recurring Schedule'!$F$17))*12+MONTH($A34)-MONTH('Recurring Schedule'!$F$17),'Recurring Schedule'!$O$17)=0),IF('Recurring Schedule'!$E$17="Weekdays",WEEKDAY($A34,2)&lt;=5,$A34='Recurring Schedule'!$F$17))),12,""))))</f>
        <v/>
      </c>
      <c r="N34">
        <f>IF('Recurring Schedule'!$C$18="","",IF('Recurring Schedule'!$F$18="","",IF(OR($A34&lt;'Recurring Schedule'!$F$18,$A34&gt;'Recurring Schedule'!$P$18),"",IF(IF('Recurring Schedule'!$N$18&gt;0,MOD($A34-'Recurring Schedule'!$F$18,'Recurring Schedule'!$N$18)=0,IF('Recurring Schedule'!$O$18&gt;0,AND(DAY($A34)=MIN(DAY('Recurring Schedule'!$F$18),DAY(EOMONTH($A34,0))),MOD((YEAR($A34)-YEAR('Recurring Schedule'!$F$18))*12+MONTH($A34)-MONTH('Recurring Schedule'!$F$18),'Recurring Schedule'!$O$18)=0),IF('Recurring Schedule'!$E$18="Weekdays",WEEKDAY($A34,2)&lt;=5,$A34='Recurring Schedule'!$F$18))),13,""))))</f>
        <v/>
      </c>
      <c r="O34">
        <f>IF('Recurring Schedule'!$C$19="","",IF('Recurring Schedule'!$F$19="","",IF(OR($A34&lt;'Recurring Schedule'!$F$19,$A34&gt;'Recurring Schedule'!$P$19),"",IF(IF('Recurring Schedule'!$N$19&gt;0,MOD($A34-'Recurring Schedule'!$F$19,'Recurring Schedule'!$N$19)=0,IF('Recurring Schedule'!$O$19&gt;0,AND(DAY($A34)=MIN(DAY('Recurring Schedule'!$F$19),DAY(EOMONTH($A34,0))),MOD((YEAR($A34)-YEAR('Recurring Schedule'!$F$19))*12+MONTH($A34)-MONTH('Recurring Schedule'!$F$19),'Recurring Schedule'!$O$19)=0),IF('Recurring Schedule'!$E$19="Weekdays",WEEKDAY($A34,2)&lt;=5,$A34='Recurring Schedule'!$F$19))),14,""))))</f>
        <v/>
      </c>
      <c r="P34">
        <f>IF('Recurring Schedule'!$C$20="","",IF('Recurring Schedule'!$F$20="","",IF(OR($A34&lt;'Recurring Schedule'!$F$20,$A34&gt;'Recurring Schedule'!$P$20),"",IF(IF('Recurring Schedule'!$N$20&gt;0,MOD($A34-'Recurring Schedule'!$F$20,'Recurring Schedule'!$N$20)=0,IF('Recurring Schedule'!$O$20&gt;0,AND(DAY($A34)=MIN(DAY('Recurring Schedule'!$F$20),DAY(EOMONTH($A34,0))),MOD((YEAR($A34)-YEAR('Recurring Schedule'!$F$20))*12+MONTH($A34)-MONTH('Recurring Schedule'!$F$20),'Recurring Schedule'!$O$20)=0),IF('Recurring Schedule'!$E$20="Weekdays",WEEKDAY($A34,2)&lt;=5,$A34='Recurring Schedule'!$F$20))),15,""))))</f>
        <v/>
      </c>
      <c r="Q34">
        <f>IF('Recurring Schedule'!$C$21="","",IF('Recurring Schedule'!$F$21="","",IF(OR($A34&lt;'Recurring Schedule'!$F$21,$A34&gt;'Recurring Schedule'!$P$21),"",IF(IF('Recurring Schedule'!$N$21&gt;0,MOD($A34-'Recurring Schedule'!$F$21,'Recurring Schedule'!$N$21)=0,IF('Recurring Schedule'!$O$21&gt;0,AND(DAY($A34)=MIN(DAY('Recurring Schedule'!$F$21),DAY(EOMONTH($A34,0))),MOD((YEAR($A34)-YEAR('Recurring Schedule'!$F$21))*12+MONTH($A34)-MONTH('Recurring Schedule'!$F$21),'Recurring Schedule'!$O$21)=0),IF('Recurring Schedule'!$E$21="Weekdays",WEEKDAY($A34,2)&lt;=5,$A34='Recurring Schedule'!$F$21))),16,""))))</f>
        <v/>
      </c>
      <c r="R34">
        <f>IF('Recurring Schedule'!$C$22="","",IF('Recurring Schedule'!$F$22="","",IF(OR($A34&lt;'Recurring Schedule'!$F$22,$A34&gt;'Recurring Schedule'!$P$22),"",IF(IF('Recurring Schedule'!$N$22&gt;0,MOD($A34-'Recurring Schedule'!$F$22,'Recurring Schedule'!$N$22)=0,IF('Recurring Schedule'!$O$22&gt;0,AND(DAY($A34)=MIN(DAY('Recurring Schedule'!$F$22),DAY(EOMONTH($A34,0))),MOD((YEAR($A34)-YEAR('Recurring Schedule'!$F$22))*12+MONTH($A34)-MONTH('Recurring Schedule'!$F$22),'Recurring Schedule'!$O$22)=0),IF('Recurring Schedule'!$E$22="Weekdays",WEEKDAY($A34,2)&lt;=5,$A34='Recurring Schedule'!$F$22))),17,""))))</f>
        <v/>
      </c>
      <c r="S34">
        <f>IF('Recurring Schedule'!$C$23="","",IF('Recurring Schedule'!$F$23="","",IF(OR($A34&lt;'Recurring Schedule'!$F$23,$A34&gt;'Recurring Schedule'!$P$23),"",IF(IF('Recurring Schedule'!$N$23&gt;0,MOD($A34-'Recurring Schedule'!$F$23,'Recurring Schedule'!$N$23)=0,IF('Recurring Schedule'!$O$23&gt;0,AND(DAY($A34)=MIN(DAY('Recurring Schedule'!$F$23),DAY(EOMONTH($A34,0))),MOD((YEAR($A34)-YEAR('Recurring Schedule'!$F$23))*12+MONTH($A34)-MONTH('Recurring Schedule'!$F$23),'Recurring Schedule'!$O$23)=0),IF('Recurring Schedule'!$E$23="Weekdays",WEEKDAY($A34,2)&lt;=5,$A34='Recurring Schedule'!$F$23))),18,""))))</f>
        <v/>
      </c>
      <c r="T34">
        <f>IF('Recurring Schedule'!$C$24="","",IF('Recurring Schedule'!$F$24="","",IF(OR($A34&lt;'Recurring Schedule'!$F$24,$A34&gt;'Recurring Schedule'!$P$24),"",IF(IF('Recurring Schedule'!$N$24&gt;0,MOD($A34-'Recurring Schedule'!$F$24,'Recurring Schedule'!$N$24)=0,IF('Recurring Schedule'!$O$24&gt;0,AND(DAY($A34)=MIN(DAY('Recurring Schedule'!$F$24),DAY(EOMONTH($A34,0))),MOD((YEAR($A34)-YEAR('Recurring Schedule'!$F$24))*12+MONTH($A34)-MONTH('Recurring Schedule'!$F$24),'Recurring Schedule'!$O$24)=0),IF('Recurring Schedule'!$E$24="Weekdays",WEEKDAY($A34,2)&lt;=5,$A34='Recurring Schedule'!$F$24))),19,""))))</f>
        <v/>
      </c>
      <c r="U34">
        <f>IF('Recurring Schedule'!$C$25="","",IF('Recurring Schedule'!$F$25="","",IF(OR($A34&lt;'Recurring Schedule'!$F$25,$A34&gt;'Recurring Schedule'!$P$25),"",IF(IF('Recurring Schedule'!$N$25&gt;0,MOD($A34-'Recurring Schedule'!$F$25,'Recurring Schedule'!$N$25)=0,IF('Recurring Schedule'!$O$25&gt;0,AND(DAY($A34)=MIN(DAY('Recurring Schedule'!$F$25),DAY(EOMONTH($A34,0))),MOD((YEAR($A34)-YEAR('Recurring Schedule'!$F$25))*12+MONTH($A34)-MONTH('Recurring Schedule'!$F$25),'Recurring Schedule'!$O$25)=0),IF('Recurring Schedule'!$E$25="Weekdays",WEEKDAY($A34,2)&lt;=5,$A34='Recurring Schedule'!$F$25))),20,""))))</f>
        <v/>
      </c>
      <c r="V34">
        <f>IF('Recurring Schedule'!$C$26="","",IF('Recurring Schedule'!$F$26="","",IF(OR($A34&lt;'Recurring Schedule'!$F$26,$A34&gt;'Recurring Schedule'!$P$26),"",IF(IF('Recurring Schedule'!$N$26&gt;0,MOD($A34-'Recurring Schedule'!$F$26,'Recurring Schedule'!$N$26)=0,IF('Recurring Schedule'!$O$26&gt;0,AND(DAY($A34)=MIN(DAY('Recurring Schedule'!$F$26),DAY(EOMONTH($A34,0))),MOD((YEAR($A34)-YEAR('Recurring Schedule'!$F$26))*12+MONTH($A34)-MONTH('Recurring Schedule'!$F$26),'Recurring Schedule'!$O$26)=0),IF('Recurring Schedule'!$E$26="Weekdays",WEEKDAY($A34,2)&lt;=5,$A34='Recurring Schedule'!$F$26))),21,""))))</f>
        <v/>
      </c>
      <c r="W34">
        <f>IF('Recurring Schedule'!$C$27="","",IF('Recurring Schedule'!$F$27="","",IF(OR($A34&lt;'Recurring Schedule'!$F$27,$A34&gt;'Recurring Schedule'!$P$27),"",IF(IF('Recurring Schedule'!$N$27&gt;0,MOD($A34-'Recurring Schedule'!$F$27,'Recurring Schedule'!$N$27)=0,IF('Recurring Schedule'!$O$27&gt;0,AND(DAY($A34)=MIN(DAY('Recurring Schedule'!$F$27),DAY(EOMONTH($A34,0))),MOD((YEAR($A34)-YEAR('Recurring Schedule'!$F$27))*12+MONTH($A34)-MONTH('Recurring Schedule'!$F$27),'Recurring Schedule'!$O$27)=0),IF('Recurring Schedule'!$E$27="Weekdays",WEEKDAY($A34,2)&lt;=5,$A34='Recurring Schedule'!$F$27))),22,""))))</f>
        <v/>
      </c>
      <c r="X34">
        <f>IF('Recurring Schedule'!$C$28="","",IF('Recurring Schedule'!$F$28="","",IF(OR($A34&lt;'Recurring Schedule'!$F$28,$A34&gt;'Recurring Schedule'!$P$28),"",IF(IF('Recurring Schedule'!$N$28&gt;0,MOD($A34-'Recurring Schedule'!$F$28,'Recurring Schedule'!$N$28)=0,IF('Recurring Schedule'!$O$28&gt;0,AND(DAY($A34)=MIN(DAY('Recurring Schedule'!$F$28),DAY(EOMONTH($A34,0))),MOD((YEAR($A34)-YEAR('Recurring Schedule'!$F$28))*12+MONTH($A34)-MONTH('Recurring Schedule'!$F$28),'Recurring Schedule'!$O$28)=0),IF('Recurring Schedule'!$E$28="Weekdays",WEEKDAY($A34,2)&lt;=5,$A34='Recurring Schedule'!$F$28))),23,""))))</f>
        <v/>
      </c>
      <c r="Y34">
        <f>IF('Recurring Schedule'!$C$29="","",IF('Recurring Schedule'!$F$29="","",IF(OR($A34&lt;'Recurring Schedule'!$F$29,$A34&gt;'Recurring Schedule'!$P$29),"",IF(IF('Recurring Schedule'!$N$29&gt;0,MOD($A34-'Recurring Schedule'!$F$29,'Recurring Schedule'!$N$29)=0,IF('Recurring Schedule'!$O$29&gt;0,AND(DAY($A34)=MIN(DAY('Recurring Schedule'!$F$29),DAY(EOMONTH($A34,0))),MOD((YEAR($A34)-YEAR('Recurring Schedule'!$F$29))*12+MONTH($A34)-MONTH('Recurring Schedule'!$F$29),'Recurring Schedule'!$O$29)=0),IF('Recurring Schedule'!$E$29="Weekdays",WEEKDAY($A34,2)&lt;=5,$A34='Recurring Schedule'!$F$29))),24,""))))</f>
        <v/>
      </c>
      <c r="Z34">
        <f>IF('Recurring Schedule'!$C$30="","",IF('Recurring Schedule'!$F$30="","",IF(OR($A34&lt;'Recurring Schedule'!$F$30,$A34&gt;'Recurring Schedule'!$P$30),"",IF(IF('Recurring Schedule'!$N$30&gt;0,MOD($A34-'Recurring Schedule'!$F$30,'Recurring Schedule'!$N$30)=0,IF('Recurring Schedule'!$O$30&gt;0,AND(DAY($A34)=MIN(DAY('Recurring Schedule'!$F$30),DAY(EOMONTH($A34,0))),MOD((YEAR($A34)-YEAR('Recurring Schedule'!$F$30))*12+MONTH($A34)-MONTH('Recurring Schedule'!$F$30),'Recurring Schedule'!$O$30)=0),IF('Recurring Schedule'!$E$30="Weekdays",WEEKDAY($A34,2)&lt;=5,$A34='Recurring Schedule'!$F$30))),25,""))))</f>
        <v/>
      </c>
      <c r="AA34">
        <f>IF('Recurring Schedule'!$C$31="","",IF('Recurring Schedule'!$F$31="","",IF(OR($A34&lt;'Recurring Schedule'!$F$31,$A34&gt;'Recurring Schedule'!$P$31),"",IF(IF('Recurring Schedule'!$N$31&gt;0,MOD($A34-'Recurring Schedule'!$F$31,'Recurring Schedule'!$N$31)=0,IF('Recurring Schedule'!$O$31&gt;0,AND(DAY($A34)=MIN(DAY('Recurring Schedule'!$F$31),DAY(EOMONTH($A34,0))),MOD((YEAR($A34)-YEAR('Recurring Schedule'!$F$31))*12+MONTH($A34)-MONTH('Recurring Schedule'!$F$31),'Recurring Schedule'!$O$31)=0),IF('Recurring Schedule'!$E$31="Weekdays",WEEKDAY($A34,2)&lt;=5,$A34='Recurring Schedule'!$F$31))),26,""))))</f>
        <v/>
      </c>
      <c r="AB34">
        <f>IF('Recurring Schedule'!$C$32="","",IF('Recurring Schedule'!$F$32="","",IF(OR($A34&lt;'Recurring Schedule'!$F$32,$A34&gt;'Recurring Schedule'!$P$32),"",IF(IF('Recurring Schedule'!$N$32&gt;0,MOD($A34-'Recurring Schedule'!$F$32,'Recurring Schedule'!$N$32)=0,IF('Recurring Schedule'!$O$32&gt;0,AND(DAY($A34)=MIN(DAY('Recurring Schedule'!$F$32),DAY(EOMONTH($A34,0))),MOD((YEAR($A34)-YEAR('Recurring Schedule'!$F$32))*12+MONTH($A34)-MONTH('Recurring Schedule'!$F$32),'Recurring Schedule'!$O$32)=0),IF('Recurring Schedule'!$E$32="Weekdays",WEEKDAY($A34,2)&lt;=5,$A34='Recurring Schedule'!$F$32))),27,""))))</f>
        <v/>
      </c>
      <c r="AC34">
        <f>IF('Recurring Schedule'!$C$33="","",IF('Recurring Schedule'!$F$33="","",IF(OR($A34&lt;'Recurring Schedule'!$F$33,$A34&gt;'Recurring Schedule'!$P$33),"",IF(IF('Recurring Schedule'!$N$33&gt;0,MOD($A34-'Recurring Schedule'!$F$33,'Recurring Schedule'!$N$33)=0,IF('Recurring Schedule'!$O$33&gt;0,AND(DAY($A34)=MIN(DAY('Recurring Schedule'!$F$33),DAY(EOMONTH($A34,0))),MOD((YEAR($A34)-YEAR('Recurring Schedule'!$F$33))*12+MONTH($A34)-MONTH('Recurring Schedule'!$F$33),'Recurring Schedule'!$O$33)=0),IF('Recurring Schedule'!$E$33="Weekdays",WEEKDAY($A34,2)&lt;=5,$A34='Recurring Schedule'!$F$33))),28,""))))</f>
        <v/>
      </c>
      <c r="AD34">
        <f>IF('Recurring Schedule'!$C$34="","",IF('Recurring Schedule'!$F$34="","",IF(OR($A34&lt;'Recurring Schedule'!$F$34,$A34&gt;'Recurring Schedule'!$P$34),"",IF(IF('Recurring Schedule'!$N$34&gt;0,MOD($A34-'Recurring Schedule'!$F$34,'Recurring Schedule'!$N$34)=0,IF('Recurring Schedule'!$O$34&gt;0,AND(DAY($A34)=MIN(DAY('Recurring Schedule'!$F$34),DAY(EOMONTH($A34,0))),MOD((YEAR($A34)-YEAR('Recurring Schedule'!$F$34))*12+MONTH($A34)-MONTH('Recurring Schedule'!$F$34),'Recurring Schedule'!$O$34)=0),IF('Recurring Schedule'!$E$34="Weekdays",WEEKDAY($A34,2)&lt;=5,$A34='Recurring Schedule'!$F$34))),29,""))))</f>
        <v/>
      </c>
      <c r="AE34">
        <f>IF('Recurring Schedule'!$C$35="","",IF('Recurring Schedule'!$F$35="","",IF(OR($A34&lt;'Recurring Schedule'!$F$35,$A34&gt;'Recurring Schedule'!$P$35),"",IF(IF('Recurring Schedule'!$N$35&gt;0,MOD($A34-'Recurring Schedule'!$F$35,'Recurring Schedule'!$N$35)=0,IF('Recurring Schedule'!$O$35&gt;0,AND(DAY($A34)=MIN(DAY('Recurring Schedule'!$F$35),DAY(EOMONTH($A34,0))),MOD((YEAR($A34)-YEAR('Recurring Schedule'!$F$35))*12+MONTH($A34)-MONTH('Recurring Schedule'!$F$35),'Recurring Schedule'!$O$35)=0),IF('Recurring Schedule'!$E$35="Weekdays",WEEKDAY($A34,2)&lt;=5,$A34='Recurring Schedule'!$F$35))),30,""))))</f>
        <v/>
      </c>
      <c r="AF34">
        <f>IF('Recurring Schedule'!$C$36="","",IF('Recurring Schedule'!$F$36="","",IF(OR($A34&lt;'Recurring Schedule'!$F$36,$A34&gt;'Recurring Schedule'!$P$36),"",IF(IF('Recurring Schedule'!$N$36&gt;0,MOD($A34-'Recurring Schedule'!$F$36,'Recurring Schedule'!$N$36)=0,IF('Recurring Schedule'!$O$36&gt;0,AND(DAY($A34)=MIN(DAY('Recurring Schedule'!$F$36),DAY(EOMONTH($A34,0))),MOD((YEAR($A34)-YEAR('Recurring Schedule'!$F$36))*12+MONTH($A34)-MONTH('Recurring Schedule'!$F$36),'Recurring Schedule'!$O$36)=0),IF('Recurring Schedule'!$E$36="Weekdays",WEEKDAY($A34,2)&lt;=5,$A34='Recurring Schedule'!$F$36))),31,""))))</f>
        <v/>
      </c>
      <c r="AG34">
        <f>IF('Recurring Schedule'!$C$37="","",IF('Recurring Schedule'!$F$37="","",IF(OR($A34&lt;'Recurring Schedule'!$F$37,$A34&gt;'Recurring Schedule'!$P$37),"",IF(IF('Recurring Schedule'!$N$37&gt;0,MOD($A34-'Recurring Schedule'!$F$37,'Recurring Schedule'!$N$37)=0,IF('Recurring Schedule'!$O$37&gt;0,AND(DAY($A34)=MIN(DAY('Recurring Schedule'!$F$37),DAY(EOMONTH($A34,0))),MOD((YEAR($A34)-YEAR('Recurring Schedule'!$F$37))*12+MONTH($A34)-MONTH('Recurring Schedule'!$F$37),'Recurring Schedule'!$O$37)=0),IF('Recurring Schedule'!$E$37="Weekdays",WEEKDAY($A34,2)&lt;=5,$A34='Recurring Schedule'!$F$37))),32,""))))</f>
        <v/>
      </c>
      <c r="AH34">
        <f>IF('Recurring Schedule'!$C$38="","",IF('Recurring Schedule'!$F$38="","",IF(OR($A34&lt;'Recurring Schedule'!$F$38,$A34&gt;'Recurring Schedule'!$P$38),"",IF(IF('Recurring Schedule'!$N$38&gt;0,MOD($A34-'Recurring Schedule'!$F$38,'Recurring Schedule'!$N$38)=0,IF('Recurring Schedule'!$O$38&gt;0,AND(DAY($A34)=MIN(DAY('Recurring Schedule'!$F$38),DAY(EOMONTH($A34,0))),MOD((YEAR($A34)-YEAR('Recurring Schedule'!$F$38))*12+MONTH($A34)-MONTH('Recurring Schedule'!$F$38),'Recurring Schedule'!$O$38)=0),IF('Recurring Schedule'!$E$38="Weekdays",WEEKDAY($A34,2)&lt;=5,$A34='Recurring Schedule'!$F$38))),33,""))))</f>
        <v/>
      </c>
      <c r="AI34">
        <f>IF('Recurring Schedule'!$C$39="","",IF('Recurring Schedule'!$F$39="","",IF(OR($A34&lt;'Recurring Schedule'!$F$39,$A34&gt;'Recurring Schedule'!$P$39),"",IF(IF('Recurring Schedule'!$N$39&gt;0,MOD($A34-'Recurring Schedule'!$F$39,'Recurring Schedule'!$N$39)=0,IF('Recurring Schedule'!$O$39&gt;0,AND(DAY($A34)=MIN(DAY('Recurring Schedule'!$F$39),DAY(EOMONTH($A34,0))),MOD((YEAR($A34)-YEAR('Recurring Schedule'!$F$39))*12+MONTH($A34)-MONTH('Recurring Schedule'!$F$39),'Recurring Schedule'!$O$39)=0),IF('Recurring Schedule'!$E$39="Weekdays",WEEKDAY($A34,2)&lt;=5,$A34='Recurring Schedule'!$F$39))),34,""))))</f>
        <v/>
      </c>
      <c r="AJ34">
        <f>IF('Recurring Schedule'!$C$40="","",IF('Recurring Schedule'!$F$40="","",IF(OR($A34&lt;'Recurring Schedule'!$F$40,$A34&gt;'Recurring Schedule'!$P$40),"",IF(IF('Recurring Schedule'!$N$40&gt;0,MOD($A34-'Recurring Schedule'!$F$40,'Recurring Schedule'!$N$40)=0,IF('Recurring Schedule'!$O$40&gt;0,AND(DAY($A34)=MIN(DAY('Recurring Schedule'!$F$40),DAY(EOMONTH($A34,0))),MOD((YEAR($A34)-YEAR('Recurring Schedule'!$F$40))*12+MONTH($A34)-MONTH('Recurring Schedule'!$F$40),'Recurring Schedule'!$O$40)=0),IF('Recurring Schedule'!$E$40="Weekdays",WEEKDAY($A34,2)&lt;=5,$A34='Recurring Schedule'!$F$40))),35,""))))</f>
        <v/>
      </c>
      <c r="AK34">
        <f>IF('Recurring Schedule'!$C$41="","",IF('Recurring Schedule'!$F$41="","",IF(OR($A34&lt;'Recurring Schedule'!$F$41,$A34&gt;'Recurring Schedule'!$P$41),"",IF(IF('Recurring Schedule'!$N$41&gt;0,MOD($A34-'Recurring Schedule'!$F$41,'Recurring Schedule'!$N$41)=0,IF('Recurring Schedule'!$O$41&gt;0,AND(DAY($A34)=MIN(DAY('Recurring Schedule'!$F$41),DAY(EOMONTH($A34,0))),MOD((YEAR($A34)-YEAR('Recurring Schedule'!$F$41))*12+MONTH($A34)-MONTH('Recurring Schedule'!$F$41),'Recurring Schedule'!$O$41)=0),IF('Recurring Schedule'!$E$41="Weekdays",WEEKDAY($A34,2)&lt;=5,$A34='Recurring Schedule'!$F$41))),36,""))))</f>
        <v/>
      </c>
      <c r="AL34">
        <f>IF('Recurring Schedule'!$C$42="","",IF('Recurring Schedule'!$F$42="","",IF(OR($A34&lt;'Recurring Schedule'!$F$42,$A34&gt;'Recurring Schedule'!$P$42),"",IF(IF('Recurring Schedule'!$N$42&gt;0,MOD($A34-'Recurring Schedule'!$F$42,'Recurring Schedule'!$N$42)=0,IF('Recurring Schedule'!$O$42&gt;0,AND(DAY($A34)=MIN(DAY('Recurring Schedule'!$F$42),DAY(EOMONTH($A34,0))),MOD((YEAR($A34)-YEAR('Recurring Schedule'!$F$42))*12+MONTH($A34)-MONTH('Recurring Schedule'!$F$42),'Recurring Schedule'!$O$42)=0),IF('Recurring Schedule'!$E$42="Weekdays",WEEKDAY($A34,2)&lt;=5,$A34='Recurring Schedule'!$F$42))),37,""))))</f>
        <v/>
      </c>
      <c r="AM34">
        <f>IF('Recurring Schedule'!$C$43="","",IF('Recurring Schedule'!$F$43="","",IF(OR($A34&lt;'Recurring Schedule'!$F$43,$A34&gt;'Recurring Schedule'!$P$43),"",IF(IF('Recurring Schedule'!$N$43&gt;0,MOD($A34-'Recurring Schedule'!$F$43,'Recurring Schedule'!$N$43)=0,IF('Recurring Schedule'!$O$43&gt;0,AND(DAY($A34)=MIN(DAY('Recurring Schedule'!$F$43),DAY(EOMONTH($A34,0))),MOD((YEAR($A34)-YEAR('Recurring Schedule'!$F$43))*12+MONTH($A34)-MONTH('Recurring Schedule'!$F$43),'Recurring Schedule'!$O$43)=0),IF('Recurring Schedule'!$E$43="Weekdays",WEEKDAY($A34,2)&lt;=5,$A34='Recurring Schedule'!$F$43))),38,""))))</f>
        <v/>
      </c>
      <c r="AN34">
        <f>IF('Recurring Schedule'!$C$44="","",IF('Recurring Schedule'!$F$44="","",IF(OR($A34&lt;'Recurring Schedule'!$F$44,$A34&gt;'Recurring Schedule'!$P$44),"",IF(IF('Recurring Schedule'!$N$44&gt;0,MOD($A34-'Recurring Schedule'!$F$44,'Recurring Schedule'!$N$44)=0,IF('Recurring Schedule'!$O$44&gt;0,AND(DAY($A34)=MIN(DAY('Recurring Schedule'!$F$44),DAY(EOMONTH($A34,0))),MOD((YEAR($A34)-YEAR('Recurring Schedule'!$F$44))*12+MONTH($A34)-MONTH('Recurring Schedule'!$F$44),'Recurring Schedule'!$O$44)=0),IF('Recurring Schedule'!$E$44="Weekdays",WEEKDAY($A34,2)&lt;=5,$A34='Recurring Schedule'!$F$44))),39,""))))</f>
        <v/>
      </c>
      <c r="AO34">
        <f>IF('Recurring Schedule'!$C$45="","",IF('Recurring Schedule'!$F$45="","",IF(OR($A34&lt;'Recurring Schedule'!$F$45,$A34&gt;'Recurring Schedule'!$P$45),"",IF(IF('Recurring Schedule'!$N$45&gt;0,MOD($A34-'Recurring Schedule'!$F$45,'Recurring Schedule'!$N$45)=0,IF('Recurring Schedule'!$O$45&gt;0,AND(DAY($A34)=MIN(DAY('Recurring Schedule'!$F$45),DAY(EOMONTH($A34,0))),MOD((YEAR($A34)-YEAR('Recurring Schedule'!$F$45))*12+MONTH($A34)-MONTH('Recurring Schedule'!$F$45),'Recurring Schedule'!$O$45)=0),IF('Recurring Schedule'!$E$45="Weekdays",WEEKDAY($A34,2)&lt;=5,$A34='Recurring Schedule'!$F$45))),40,""))))</f>
        <v/>
      </c>
      <c r="AP34">
        <f>COUNT(B34:AO34)</f>
        <v/>
      </c>
      <c r="AQ34">
        <f>AQ33+AP33</f>
        <v/>
      </c>
      <c r="AS34" t="inlineStr">
        <is>
          <t>R</t>
        </is>
      </c>
      <c r="AT34" t="n">
        <v>38</v>
      </c>
      <c r="AU34">
        <f>'Recurring Log'!C38&amp;""</f>
        <v/>
      </c>
      <c r="AV34">
        <f>'Recurring Log'!D38&amp;""</f>
        <v/>
      </c>
      <c r="AW34">
        <f>IF('Recurring Log'!E38="","",'Recurring Log'!E38)</f>
        <v/>
      </c>
      <c r="AX34">
        <f>IF('Recurring Log'!G38="","",'Recurring Log'!G38)</f>
        <v/>
      </c>
      <c r="AY34">
        <f>IF('Recurring Log'!H38="","",'Recurring Log'!H38)</f>
        <v/>
      </c>
      <c r="AZ34">
        <f>IF(AU34="","",IF('Recurring Log'!J38="","Not Started",'Recurring Log'!J38))</f>
        <v/>
      </c>
      <c r="BA34">
        <f>'Recurring Log'!L38&amp;""</f>
        <v/>
      </c>
      <c r="BB34">
        <f>'Recurring Log'!M38&amp;""</f>
        <v/>
      </c>
      <c r="BC34">
        <f>'Recurring Log'!N38&amp;""</f>
        <v/>
      </c>
      <c r="BD34">
        <f>'Recurring Log'!O38&amp;""</f>
        <v/>
      </c>
      <c r="BE34">
        <f>IF('Recurring Log'!K38="","",'Recurring Log'!K38)</f>
        <v/>
      </c>
      <c r="BF34">
        <f>IFERROR(MATCH(BA34,Setup!$L$6:$L$9,0),5)</f>
        <v/>
      </c>
      <c r="BG34">
        <f>IF(OR(AZ34="Done",AZ34="Cancelled"),1,0)</f>
        <v/>
      </c>
      <c r="BH34">
        <f>IF(AND(AU34&lt;&gt;"",ISNUMBER(AW34)),1,0)</f>
        <v/>
      </c>
      <c r="BI34">
        <f>IF(BH34=0,0,IF(AND(AW34&gt;='Tasks Filter'!$F$3,AW34&lt;='Tasks Filter'!$F$4,OR('Tasks Filter'!$I$3="",ISNUMBER(SEARCH('Tasks Filter'!$I$3,AU34))),OR('Tasks Filter'!$I$4="",BF34=IFERROR(MATCH('Tasks Filter'!$I$4,Setup!$L$6:$L$9,0),0)),OR('Tasks Filter'!$I$5="Both",AND('Tasks Filter'!$I$5="Yes",BB34="✓"),AND('Tasks Filter'!$I$5="No",BB34&lt;&gt;"✓")),OR('Tasks Filter'!$L$3="",AV34='Tasks Filter'!$L$3),OR('Tasks Filter'!$L$4="",AZ34='Tasks Filter'!$L$4),OR('Tasks Filter'!$L$5="",BC34='Tasks Filter'!$L$5),OR('Tasks Filter'!$O$3="",BD34='Tasks Filter'!$O$3),OR('Tasks Filter'!$O$4="Yes",BG34=0)),1,0))</f>
        <v/>
      </c>
      <c r="BJ34">
        <f>IF(BH34=0,"",IF('Tasks Filter'!$F$6="Descending",-1,1)*CHOOSE(MATCH('Tasks Filter'!$F$5,Lists!$G$2:$G$6,0),AW34,BF34,IFERROR(MATCH(AV34,Setup!$F$6:$F$15,0),99),IFERROR(MATCH(BC34,Setup!$H$6:$H$15,0),99),IFERROR(MATCH(AZ34,Setup!$J$6:$J$11,0),99))*1E+9+(AW34-40000)*10000+33)</f>
        <v/>
      </c>
      <c r="BK34">
        <f>IF(BI34=1,BJ34,"")</f>
        <v/>
      </c>
      <c r="BL34">
        <f>IF(AND(BH34=1,BG34=0,N(AW34)&lt;Setup!$D$7),(AW34-40000)*10000+33,"")</f>
        <v/>
      </c>
      <c r="BM34">
        <f>IF(AND(BH34=1,AZ34&lt;&gt;"Cancelled",N(AW34)&gt;=Dashboard!$AB$3,N(AW34)&lt;=Dashboard!$AB$3+6),(AW34-40000)*100000+BF34*10000+33,"")</f>
        <v/>
      </c>
      <c r="BN34">
        <f>IF(AND(BH34=1,AZ34&lt;&gt;"Cancelled"),BF34*10000+33,"")</f>
        <v/>
      </c>
    </row>
    <row r="35">
      <c r="A35">
        <f>Setup!$D$5+33</f>
        <v/>
      </c>
      <c r="B35">
        <f>IF('Recurring Schedule'!$C$6="","",IF('Recurring Schedule'!$F$6="","",IF(OR($A35&lt;'Recurring Schedule'!$F$6,$A35&gt;'Recurring Schedule'!$P$6),"",IF(IF('Recurring Schedule'!$N$6&gt;0,MOD($A35-'Recurring Schedule'!$F$6,'Recurring Schedule'!$N$6)=0,IF('Recurring Schedule'!$O$6&gt;0,AND(DAY($A35)=MIN(DAY('Recurring Schedule'!$F$6),DAY(EOMONTH($A35,0))),MOD((YEAR($A35)-YEAR('Recurring Schedule'!$F$6))*12+MONTH($A35)-MONTH('Recurring Schedule'!$F$6),'Recurring Schedule'!$O$6)=0),IF('Recurring Schedule'!$E$6="Weekdays",WEEKDAY($A35,2)&lt;=5,$A35='Recurring Schedule'!$F$6))),1,""))))</f>
        <v/>
      </c>
      <c r="C35">
        <f>IF('Recurring Schedule'!$C$7="","",IF('Recurring Schedule'!$F$7="","",IF(OR($A35&lt;'Recurring Schedule'!$F$7,$A35&gt;'Recurring Schedule'!$P$7),"",IF(IF('Recurring Schedule'!$N$7&gt;0,MOD($A35-'Recurring Schedule'!$F$7,'Recurring Schedule'!$N$7)=0,IF('Recurring Schedule'!$O$7&gt;0,AND(DAY($A35)=MIN(DAY('Recurring Schedule'!$F$7),DAY(EOMONTH($A35,0))),MOD((YEAR($A35)-YEAR('Recurring Schedule'!$F$7))*12+MONTH($A35)-MONTH('Recurring Schedule'!$F$7),'Recurring Schedule'!$O$7)=0),IF('Recurring Schedule'!$E$7="Weekdays",WEEKDAY($A35,2)&lt;=5,$A35='Recurring Schedule'!$F$7))),2,""))))</f>
        <v/>
      </c>
      <c r="D35">
        <f>IF('Recurring Schedule'!$C$8="","",IF('Recurring Schedule'!$F$8="","",IF(OR($A35&lt;'Recurring Schedule'!$F$8,$A35&gt;'Recurring Schedule'!$P$8),"",IF(IF('Recurring Schedule'!$N$8&gt;0,MOD($A35-'Recurring Schedule'!$F$8,'Recurring Schedule'!$N$8)=0,IF('Recurring Schedule'!$O$8&gt;0,AND(DAY($A35)=MIN(DAY('Recurring Schedule'!$F$8),DAY(EOMONTH($A35,0))),MOD((YEAR($A35)-YEAR('Recurring Schedule'!$F$8))*12+MONTH($A35)-MONTH('Recurring Schedule'!$F$8),'Recurring Schedule'!$O$8)=0),IF('Recurring Schedule'!$E$8="Weekdays",WEEKDAY($A35,2)&lt;=5,$A35='Recurring Schedule'!$F$8))),3,""))))</f>
        <v/>
      </c>
      <c r="E35">
        <f>IF('Recurring Schedule'!$C$9="","",IF('Recurring Schedule'!$F$9="","",IF(OR($A35&lt;'Recurring Schedule'!$F$9,$A35&gt;'Recurring Schedule'!$P$9),"",IF(IF('Recurring Schedule'!$N$9&gt;0,MOD($A35-'Recurring Schedule'!$F$9,'Recurring Schedule'!$N$9)=0,IF('Recurring Schedule'!$O$9&gt;0,AND(DAY($A35)=MIN(DAY('Recurring Schedule'!$F$9),DAY(EOMONTH($A35,0))),MOD((YEAR($A35)-YEAR('Recurring Schedule'!$F$9))*12+MONTH($A35)-MONTH('Recurring Schedule'!$F$9),'Recurring Schedule'!$O$9)=0),IF('Recurring Schedule'!$E$9="Weekdays",WEEKDAY($A35,2)&lt;=5,$A35='Recurring Schedule'!$F$9))),4,""))))</f>
        <v/>
      </c>
      <c r="F35">
        <f>IF('Recurring Schedule'!$C$10="","",IF('Recurring Schedule'!$F$10="","",IF(OR($A35&lt;'Recurring Schedule'!$F$10,$A35&gt;'Recurring Schedule'!$P$10),"",IF(IF('Recurring Schedule'!$N$10&gt;0,MOD($A35-'Recurring Schedule'!$F$10,'Recurring Schedule'!$N$10)=0,IF('Recurring Schedule'!$O$10&gt;0,AND(DAY($A35)=MIN(DAY('Recurring Schedule'!$F$10),DAY(EOMONTH($A35,0))),MOD((YEAR($A35)-YEAR('Recurring Schedule'!$F$10))*12+MONTH($A35)-MONTH('Recurring Schedule'!$F$10),'Recurring Schedule'!$O$10)=0),IF('Recurring Schedule'!$E$10="Weekdays",WEEKDAY($A35,2)&lt;=5,$A35='Recurring Schedule'!$F$10))),5,""))))</f>
        <v/>
      </c>
      <c r="G35">
        <f>IF('Recurring Schedule'!$C$11="","",IF('Recurring Schedule'!$F$11="","",IF(OR($A35&lt;'Recurring Schedule'!$F$11,$A35&gt;'Recurring Schedule'!$P$11),"",IF(IF('Recurring Schedule'!$N$11&gt;0,MOD($A35-'Recurring Schedule'!$F$11,'Recurring Schedule'!$N$11)=0,IF('Recurring Schedule'!$O$11&gt;0,AND(DAY($A35)=MIN(DAY('Recurring Schedule'!$F$11),DAY(EOMONTH($A35,0))),MOD((YEAR($A35)-YEAR('Recurring Schedule'!$F$11))*12+MONTH($A35)-MONTH('Recurring Schedule'!$F$11),'Recurring Schedule'!$O$11)=0),IF('Recurring Schedule'!$E$11="Weekdays",WEEKDAY($A35,2)&lt;=5,$A35='Recurring Schedule'!$F$11))),6,""))))</f>
        <v/>
      </c>
      <c r="H35">
        <f>IF('Recurring Schedule'!$C$12="","",IF('Recurring Schedule'!$F$12="","",IF(OR($A35&lt;'Recurring Schedule'!$F$12,$A35&gt;'Recurring Schedule'!$P$12),"",IF(IF('Recurring Schedule'!$N$12&gt;0,MOD($A35-'Recurring Schedule'!$F$12,'Recurring Schedule'!$N$12)=0,IF('Recurring Schedule'!$O$12&gt;0,AND(DAY($A35)=MIN(DAY('Recurring Schedule'!$F$12),DAY(EOMONTH($A35,0))),MOD((YEAR($A35)-YEAR('Recurring Schedule'!$F$12))*12+MONTH($A35)-MONTH('Recurring Schedule'!$F$12),'Recurring Schedule'!$O$12)=0),IF('Recurring Schedule'!$E$12="Weekdays",WEEKDAY($A35,2)&lt;=5,$A35='Recurring Schedule'!$F$12))),7,""))))</f>
        <v/>
      </c>
      <c r="I35">
        <f>IF('Recurring Schedule'!$C$13="","",IF('Recurring Schedule'!$F$13="","",IF(OR($A35&lt;'Recurring Schedule'!$F$13,$A35&gt;'Recurring Schedule'!$P$13),"",IF(IF('Recurring Schedule'!$N$13&gt;0,MOD($A35-'Recurring Schedule'!$F$13,'Recurring Schedule'!$N$13)=0,IF('Recurring Schedule'!$O$13&gt;0,AND(DAY($A35)=MIN(DAY('Recurring Schedule'!$F$13),DAY(EOMONTH($A35,0))),MOD((YEAR($A35)-YEAR('Recurring Schedule'!$F$13))*12+MONTH($A35)-MONTH('Recurring Schedule'!$F$13),'Recurring Schedule'!$O$13)=0),IF('Recurring Schedule'!$E$13="Weekdays",WEEKDAY($A35,2)&lt;=5,$A35='Recurring Schedule'!$F$13))),8,""))))</f>
        <v/>
      </c>
      <c r="J35">
        <f>IF('Recurring Schedule'!$C$14="","",IF('Recurring Schedule'!$F$14="","",IF(OR($A35&lt;'Recurring Schedule'!$F$14,$A35&gt;'Recurring Schedule'!$P$14),"",IF(IF('Recurring Schedule'!$N$14&gt;0,MOD($A35-'Recurring Schedule'!$F$14,'Recurring Schedule'!$N$14)=0,IF('Recurring Schedule'!$O$14&gt;0,AND(DAY($A35)=MIN(DAY('Recurring Schedule'!$F$14),DAY(EOMONTH($A35,0))),MOD((YEAR($A35)-YEAR('Recurring Schedule'!$F$14))*12+MONTH($A35)-MONTH('Recurring Schedule'!$F$14),'Recurring Schedule'!$O$14)=0),IF('Recurring Schedule'!$E$14="Weekdays",WEEKDAY($A35,2)&lt;=5,$A35='Recurring Schedule'!$F$14))),9,""))))</f>
        <v/>
      </c>
      <c r="K35">
        <f>IF('Recurring Schedule'!$C$15="","",IF('Recurring Schedule'!$F$15="","",IF(OR($A35&lt;'Recurring Schedule'!$F$15,$A35&gt;'Recurring Schedule'!$P$15),"",IF(IF('Recurring Schedule'!$N$15&gt;0,MOD($A35-'Recurring Schedule'!$F$15,'Recurring Schedule'!$N$15)=0,IF('Recurring Schedule'!$O$15&gt;0,AND(DAY($A35)=MIN(DAY('Recurring Schedule'!$F$15),DAY(EOMONTH($A35,0))),MOD((YEAR($A35)-YEAR('Recurring Schedule'!$F$15))*12+MONTH($A35)-MONTH('Recurring Schedule'!$F$15),'Recurring Schedule'!$O$15)=0),IF('Recurring Schedule'!$E$15="Weekdays",WEEKDAY($A35,2)&lt;=5,$A35='Recurring Schedule'!$F$15))),10,""))))</f>
        <v/>
      </c>
      <c r="L35">
        <f>IF('Recurring Schedule'!$C$16="","",IF('Recurring Schedule'!$F$16="","",IF(OR($A35&lt;'Recurring Schedule'!$F$16,$A35&gt;'Recurring Schedule'!$P$16),"",IF(IF('Recurring Schedule'!$N$16&gt;0,MOD($A35-'Recurring Schedule'!$F$16,'Recurring Schedule'!$N$16)=0,IF('Recurring Schedule'!$O$16&gt;0,AND(DAY($A35)=MIN(DAY('Recurring Schedule'!$F$16),DAY(EOMONTH($A35,0))),MOD((YEAR($A35)-YEAR('Recurring Schedule'!$F$16))*12+MONTH($A35)-MONTH('Recurring Schedule'!$F$16),'Recurring Schedule'!$O$16)=0),IF('Recurring Schedule'!$E$16="Weekdays",WEEKDAY($A35,2)&lt;=5,$A35='Recurring Schedule'!$F$16))),11,""))))</f>
        <v/>
      </c>
      <c r="M35">
        <f>IF('Recurring Schedule'!$C$17="","",IF('Recurring Schedule'!$F$17="","",IF(OR($A35&lt;'Recurring Schedule'!$F$17,$A35&gt;'Recurring Schedule'!$P$17),"",IF(IF('Recurring Schedule'!$N$17&gt;0,MOD($A35-'Recurring Schedule'!$F$17,'Recurring Schedule'!$N$17)=0,IF('Recurring Schedule'!$O$17&gt;0,AND(DAY($A35)=MIN(DAY('Recurring Schedule'!$F$17),DAY(EOMONTH($A35,0))),MOD((YEAR($A35)-YEAR('Recurring Schedule'!$F$17))*12+MONTH($A35)-MONTH('Recurring Schedule'!$F$17),'Recurring Schedule'!$O$17)=0),IF('Recurring Schedule'!$E$17="Weekdays",WEEKDAY($A35,2)&lt;=5,$A35='Recurring Schedule'!$F$17))),12,""))))</f>
        <v/>
      </c>
      <c r="N35">
        <f>IF('Recurring Schedule'!$C$18="","",IF('Recurring Schedule'!$F$18="","",IF(OR($A35&lt;'Recurring Schedule'!$F$18,$A35&gt;'Recurring Schedule'!$P$18),"",IF(IF('Recurring Schedule'!$N$18&gt;0,MOD($A35-'Recurring Schedule'!$F$18,'Recurring Schedule'!$N$18)=0,IF('Recurring Schedule'!$O$18&gt;0,AND(DAY($A35)=MIN(DAY('Recurring Schedule'!$F$18),DAY(EOMONTH($A35,0))),MOD((YEAR($A35)-YEAR('Recurring Schedule'!$F$18))*12+MONTH($A35)-MONTH('Recurring Schedule'!$F$18),'Recurring Schedule'!$O$18)=0),IF('Recurring Schedule'!$E$18="Weekdays",WEEKDAY($A35,2)&lt;=5,$A35='Recurring Schedule'!$F$18))),13,""))))</f>
        <v/>
      </c>
      <c r="O35">
        <f>IF('Recurring Schedule'!$C$19="","",IF('Recurring Schedule'!$F$19="","",IF(OR($A35&lt;'Recurring Schedule'!$F$19,$A35&gt;'Recurring Schedule'!$P$19),"",IF(IF('Recurring Schedule'!$N$19&gt;0,MOD($A35-'Recurring Schedule'!$F$19,'Recurring Schedule'!$N$19)=0,IF('Recurring Schedule'!$O$19&gt;0,AND(DAY($A35)=MIN(DAY('Recurring Schedule'!$F$19),DAY(EOMONTH($A35,0))),MOD((YEAR($A35)-YEAR('Recurring Schedule'!$F$19))*12+MONTH($A35)-MONTH('Recurring Schedule'!$F$19),'Recurring Schedule'!$O$19)=0),IF('Recurring Schedule'!$E$19="Weekdays",WEEKDAY($A35,2)&lt;=5,$A35='Recurring Schedule'!$F$19))),14,""))))</f>
        <v/>
      </c>
      <c r="P35">
        <f>IF('Recurring Schedule'!$C$20="","",IF('Recurring Schedule'!$F$20="","",IF(OR($A35&lt;'Recurring Schedule'!$F$20,$A35&gt;'Recurring Schedule'!$P$20),"",IF(IF('Recurring Schedule'!$N$20&gt;0,MOD($A35-'Recurring Schedule'!$F$20,'Recurring Schedule'!$N$20)=0,IF('Recurring Schedule'!$O$20&gt;0,AND(DAY($A35)=MIN(DAY('Recurring Schedule'!$F$20),DAY(EOMONTH($A35,0))),MOD((YEAR($A35)-YEAR('Recurring Schedule'!$F$20))*12+MONTH($A35)-MONTH('Recurring Schedule'!$F$20),'Recurring Schedule'!$O$20)=0),IF('Recurring Schedule'!$E$20="Weekdays",WEEKDAY($A35,2)&lt;=5,$A35='Recurring Schedule'!$F$20))),15,""))))</f>
        <v/>
      </c>
      <c r="Q35">
        <f>IF('Recurring Schedule'!$C$21="","",IF('Recurring Schedule'!$F$21="","",IF(OR($A35&lt;'Recurring Schedule'!$F$21,$A35&gt;'Recurring Schedule'!$P$21),"",IF(IF('Recurring Schedule'!$N$21&gt;0,MOD($A35-'Recurring Schedule'!$F$21,'Recurring Schedule'!$N$21)=0,IF('Recurring Schedule'!$O$21&gt;0,AND(DAY($A35)=MIN(DAY('Recurring Schedule'!$F$21),DAY(EOMONTH($A35,0))),MOD((YEAR($A35)-YEAR('Recurring Schedule'!$F$21))*12+MONTH($A35)-MONTH('Recurring Schedule'!$F$21),'Recurring Schedule'!$O$21)=0),IF('Recurring Schedule'!$E$21="Weekdays",WEEKDAY($A35,2)&lt;=5,$A35='Recurring Schedule'!$F$21))),16,""))))</f>
        <v/>
      </c>
      <c r="R35">
        <f>IF('Recurring Schedule'!$C$22="","",IF('Recurring Schedule'!$F$22="","",IF(OR($A35&lt;'Recurring Schedule'!$F$22,$A35&gt;'Recurring Schedule'!$P$22),"",IF(IF('Recurring Schedule'!$N$22&gt;0,MOD($A35-'Recurring Schedule'!$F$22,'Recurring Schedule'!$N$22)=0,IF('Recurring Schedule'!$O$22&gt;0,AND(DAY($A35)=MIN(DAY('Recurring Schedule'!$F$22),DAY(EOMONTH($A35,0))),MOD((YEAR($A35)-YEAR('Recurring Schedule'!$F$22))*12+MONTH($A35)-MONTH('Recurring Schedule'!$F$22),'Recurring Schedule'!$O$22)=0),IF('Recurring Schedule'!$E$22="Weekdays",WEEKDAY($A35,2)&lt;=5,$A35='Recurring Schedule'!$F$22))),17,""))))</f>
        <v/>
      </c>
      <c r="S35">
        <f>IF('Recurring Schedule'!$C$23="","",IF('Recurring Schedule'!$F$23="","",IF(OR($A35&lt;'Recurring Schedule'!$F$23,$A35&gt;'Recurring Schedule'!$P$23),"",IF(IF('Recurring Schedule'!$N$23&gt;0,MOD($A35-'Recurring Schedule'!$F$23,'Recurring Schedule'!$N$23)=0,IF('Recurring Schedule'!$O$23&gt;0,AND(DAY($A35)=MIN(DAY('Recurring Schedule'!$F$23),DAY(EOMONTH($A35,0))),MOD((YEAR($A35)-YEAR('Recurring Schedule'!$F$23))*12+MONTH($A35)-MONTH('Recurring Schedule'!$F$23),'Recurring Schedule'!$O$23)=0),IF('Recurring Schedule'!$E$23="Weekdays",WEEKDAY($A35,2)&lt;=5,$A35='Recurring Schedule'!$F$23))),18,""))))</f>
        <v/>
      </c>
      <c r="T35">
        <f>IF('Recurring Schedule'!$C$24="","",IF('Recurring Schedule'!$F$24="","",IF(OR($A35&lt;'Recurring Schedule'!$F$24,$A35&gt;'Recurring Schedule'!$P$24),"",IF(IF('Recurring Schedule'!$N$24&gt;0,MOD($A35-'Recurring Schedule'!$F$24,'Recurring Schedule'!$N$24)=0,IF('Recurring Schedule'!$O$24&gt;0,AND(DAY($A35)=MIN(DAY('Recurring Schedule'!$F$24),DAY(EOMONTH($A35,0))),MOD((YEAR($A35)-YEAR('Recurring Schedule'!$F$24))*12+MONTH($A35)-MONTH('Recurring Schedule'!$F$24),'Recurring Schedule'!$O$24)=0),IF('Recurring Schedule'!$E$24="Weekdays",WEEKDAY($A35,2)&lt;=5,$A35='Recurring Schedule'!$F$24))),19,""))))</f>
        <v/>
      </c>
      <c r="U35">
        <f>IF('Recurring Schedule'!$C$25="","",IF('Recurring Schedule'!$F$25="","",IF(OR($A35&lt;'Recurring Schedule'!$F$25,$A35&gt;'Recurring Schedule'!$P$25),"",IF(IF('Recurring Schedule'!$N$25&gt;0,MOD($A35-'Recurring Schedule'!$F$25,'Recurring Schedule'!$N$25)=0,IF('Recurring Schedule'!$O$25&gt;0,AND(DAY($A35)=MIN(DAY('Recurring Schedule'!$F$25),DAY(EOMONTH($A35,0))),MOD((YEAR($A35)-YEAR('Recurring Schedule'!$F$25))*12+MONTH($A35)-MONTH('Recurring Schedule'!$F$25),'Recurring Schedule'!$O$25)=0),IF('Recurring Schedule'!$E$25="Weekdays",WEEKDAY($A35,2)&lt;=5,$A35='Recurring Schedule'!$F$25))),20,""))))</f>
        <v/>
      </c>
      <c r="V35">
        <f>IF('Recurring Schedule'!$C$26="","",IF('Recurring Schedule'!$F$26="","",IF(OR($A35&lt;'Recurring Schedule'!$F$26,$A35&gt;'Recurring Schedule'!$P$26),"",IF(IF('Recurring Schedule'!$N$26&gt;0,MOD($A35-'Recurring Schedule'!$F$26,'Recurring Schedule'!$N$26)=0,IF('Recurring Schedule'!$O$26&gt;0,AND(DAY($A35)=MIN(DAY('Recurring Schedule'!$F$26),DAY(EOMONTH($A35,0))),MOD((YEAR($A35)-YEAR('Recurring Schedule'!$F$26))*12+MONTH($A35)-MONTH('Recurring Schedule'!$F$26),'Recurring Schedule'!$O$26)=0),IF('Recurring Schedule'!$E$26="Weekdays",WEEKDAY($A35,2)&lt;=5,$A35='Recurring Schedule'!$F$26))),21,""))))</f>
        <v/>
      </c>
      <c r="W35">
        <f>IF('Recurring Schedule'!$C$27="","",IF('Recurring Schedule'!$F$27="","",IF(OR($A35&lt;'Recurring Schedule'!$F$27,$A35&gt;'Recurring Schedule'!$P$27),"",IF(IF('Recurring Schedule'!$N$27&gt;0,MOD($A35-'Recurring Schedule'!$F$27,'Recurring Schedule'!$N$27)=0,IF('Recurring Schedule'!$O$27&gt;0,AND(DAY($A35)=MIN(DAY('Recurring Schedule'!$F$27),DAY(EOMONTH($A35,0))),MOD((YEAR($A35)-YEAR('Recurring Schedule'!$F$27))*12+MONTH($A35)-MONTH('Recurring Schedule'!$F$27),'Recurring Schedule'!$O$27)=0),IF('Recurring Schedule'!$E$27="Weekdays",WEEKDAY($A35,2)&lt;=5,$A35='Recurring Schedule'!$F$27))),22,""))))</f>
        <v/>
      </c>
      <c r="X35">
        <f>IF('Recurring Schedule'!$C$28="","",IF('Recurring Schedule'!$F$28="","",IF(OR($A35&lt;'Recurring Schedule'!$F$28,$A35&gt;'Recurring Schedule'!$P$28),"",IF(IF('Recurring Schedule'!$N$28&gt;0,MOD($A35-'Recurring Schedule'!$F$28,'Recurring Schedule'!$N$28)=0,IF('Recurring Schedule'!$O$28&gt;0,AND(DAY($A35)=MIN(DAY('Recurring Schedule'!$F$28),DAY(EOMONTH($A35,0))),MOD((YEAR($A35)-YEAR('Recurring Schedule'!$F$28))*12+MONTH($A35)-MONTH('Recurring Schedule'!$F$28),'Recurring Schedule'!$O$28)=0),IF('Recurring Schedule'!$E$28="Weekdays",WEEKDAY($A35,2)&lt;=5,$A35='Recurring Schedule'!$F$28))),23,""))))</f>
        <v/>
      </c>
      <c r="Y35">
        <f>IF('Recurring Schedule'!$C$29="","",IF('Recurring Schedule'!$F$29="","",IF(OR($A35&lt;'Recurring Schedule'!$F$29,$A35&gt;'Recurring Schedule'!$P$29),"",IF(IF('Recurring Schedule'!$N$29&gt;0,MOD($A35-'Recurring Schedule'!$F$29,'Recurring Schedule'!$N$29)=0,IF('Recurring Schedule'!$O$29&gt;0,AND(DAY($A35)=MIN(DAY('Recurring Schedule'!$F$29),DAY(EOMONTH($A35,0))),MOD((YEAR($A35)-YEAR('Recurring Schedule'!$F$29))*12+MONTH($A35)-MONTH('Recurring Schedule'!$F$29),'Recurring Schedule'!$O$29)=0),IF('Recurring Schedule'!$E$29="Weekdays",WEEKDAY($A35,2)&lt;=5,$A35='Recurring Schedule'!$F$29))),24,""))))</f>
        <v/>
      </c>
      <c r="Z35">
        <f>IF('Recurring Schedule'!$C$30="","",IF('Recurring Schedule'!$F$30="","",IF(OR($A35&lt;'Recurring Schedule'!$F$30,$A35&gt;'Recurring Schedule'!$P$30),"",IF(IF('Recurring Schedule'!$N$30&gt;0,MOD($A35-'Recurring Schedule'!$F$30,'Recurring Schedule'!$N$30)=0,IF('Recurring Schedule'!$O$30&gt;0,AND(DAY($A35)=MIN(DAY('Recurring Schedule'!$F$30),DAY(EOMONTH($A35,0))),MOD((YEAR($A35)-YEAR('Recurring Schedule'!$F$30))*12+MONTH($A35)-MONTH('Recurring Schedule'!$F$30),'Recurring Schedule'!$O$30)=0),IF('Recurring Schedule'!$E$30="Weekdays",WEEKDAY($A35,2)&lt;=5,$A35='Recurring Schedule'!$F$30))),25,""))))</f>
        <v/>
      </c>
      <c r="AA35">
        <f>IF('Recurring Schedule'!$C$31="","",IF('Recurring Schedule'!$F$31="","",IF(OR($A35&lt;'Recurring Schedule'!$F$31,$A35&gt;'Recurring Schedule'!$P$31),"",IF(IF('Recurring Schedule'!$N$31&gt;0,MOD($A35-'Recurring Schedule'!$F$31,'Recurring Schedule'!$N$31)=0,IF('Recurring Schedule'!$O$31&gt;0,AND(DAY($A35)=MIN(DAY('Recurring Schedule'!$F$31),DAY(EOMONTH($A35,0))),MOD((YEAR($A35)-YEAR('Recurring Schedule'!$F$31))*12+MONTH($A35)-MONTH('Recurring Schedule'!$F$31),'Recurring Schedule'!$O$31)=0),IF('Recurring Schedule'!$E$31="Weekdays",WEEKDAY($A35,2)&lt;=5,$A35='Recurring Schedule'!$F$31))),26,""))))</f>
        <v/>
      </c>
      <c r="AB35">
        <f>IF('Recurring Schedule'!$C$32="","",IF('Recurring Schedule'!$F$32="","",IF(OR($A35&lt;'Recurring Schedule'!$F$32,$A35&gt;'Recurring Schedule'!$P$32),"",IF(IF('Recurring Schedule'!$N$32&gt;0,MOD($A35-'Recurring Schedule'!$F$32,'Recurring Schedule'!$N$32)=0,IF('Recurring Schedule'!$O$32&gt;0,AND(DAY($A35)=MIN(DAY('Recurring Schedule'!$F$32),DAY(EOMONTH($A35,0))),MOD((YEAR($A35)-YEAR('Recurring Schedule'!$F$32))*12+MONTH($A35)-MONTH('Recurring Schedule'!$F$32),'Recurring Schedule'!$O$32)=0),IF('Recurring Schedule'!$E$32="Weekdays",WEEKDAY($A35,2)&lt;=5,$A35='Recurring Schedule'!$F$32))),27,""))))</f>
        <v/>
      </c>
      <c r="AC35">
        <f>IF('Recurring Schedule'!$C$33="","",IF('Recurring Schedule'!$F$33="","",IF(OR($A35&lt;'Recurring Schedule'!$F$33,$A35&gt;'Recurring Schedule'!$P$33),"",IF(IF('Recurring Schedule'!$N$33&gt;0,MOD($A35-'Recurring Schedule'!$F$33,'Recurring Schedule'!$N$33)=0,IF('Recurring Schedule'!$O$33&gt;0,AND(DAY($A35)=MIN(DAY('Recurring Schedule'!$F$33),DAY(EOMONTH($A35,0))),MOD((YEAR($A35)-YEAR('Recurring Schedule'!$F$33))*12+MONTH($A35)-MONTH('Recurring Schedule'!$F$33),'Recurring Schedule'!$O$33)=0),IF('Recurring Schedule'!$E$33="Weekdays",WEEKDAY($A35,2)&lt;=5,$A35='Recurring Schedule'!$F$33))),28,""))))</f>
        <v/>
      </c>
      <c r="AD35">
        <f>IF('Recurring Schedule'!$C$34="","",IF('Recurring Schedule'!$F$34="","",IF(OR($A35&lt;'Recurring Schedule'!$F$34,$A35&gt;'Recurring Schedule'!$P$34),"",IF(IF('Recurring Schedule'!$N$34&gt;0,MOD($A35-'Recurring Schedule'!$F$34,'Recurring Schedule'!$N$34)=0,IF('Recurring Schedule'!$O$34&gt;0,AND(DAY($A35)=MIN(DAY('Recurring Schedule'!$F$34),DAY(EOMONTH($A35,0))),MOD((YEAR($A35)-YEAR('Recurring Schedule'!$F$34))*12+MONTH($A35)-MONTH('Recurring Schedule'!$F$34),'Recurring Schedule'!$O$34)=0),IF('Recurring Schedule'!$E$34="Weekdays",WEEKDAY($A35,2)&lt;=5,$A35='Recurring Schedule'!$F$34))),29,""))))</f>
        <v/>
      </c>
      <c r="AE35">
        <f>IF('Recurring Schedule'!$C$35="","",IF('Recurring Schedule'!$F$35="","",IF(OR($A35&lt;'Recurring Schedule'!$F$35,$A35&gt;'Recurring Schedule'!$P$35),"",IF(IF('Recurring Schedule'!$N$35&gt;0,MOD($A35-'Recurring Schedule'!$F$35,'Recurring Schedule'!$N$35)=0,IF('Recurring Schedule'!$O$35&gt;0,AND(DAY($A35)=MIN(DAY('Recurring Schedule'!$F$35),DAY(EOMONTH($A35,0))),MOD((YEAR($A35)-YEAR('Recurring Schedule'!$F$35))*12+MONTH($A35)-MONTH('Recurring Schedule'!$F$35),'Recurring Schedule'!$O$35)=0),IF('Recurring Schedule'!$E$35="Weekdays",WEEKDAY($A35,2)&lt;=5,$A35='Recurring Schedule'!$F$35))),30,""))))</f>
        <v/>
      </c>
      <c r="AF35">
        <f>IF('Recurring Schedule'!$C$36="","",IF('Recurring Schedule'!$F$36="","",IF(OR($A35&lt;'Recurring Schedule'!$F$36,$A35&gt;'Recurring Schedule'!$P$36),"",IF(IF('Recurring Schedule'!$N$36&gt;0,MOD($A35-'Recurring Schedule'!$F$36,'Recurring Schedule'!$N$36)=0,IF('Recurring Schedule'!$O$36&gt;0,AND(DAY($A35)=MIN(DAY('Recurring Schedule'!$F$36),DAY(EOMONTH($A35,0))),MOD((YEAR($A35)-YEAR('Recurring Schedule'!$F$36))*12+MONTH($A35)-MONTH('Recurring Schedule'!$F$36),'Recurring Schedule'!$O$36)=0),IF('Recurring Schedule'!$E$36="Weekdays",WEEKDAY($A35,2)&lt;=5,$A35='Recurring Schedule'!$F$36))),31,""))))</f>
        <v/>
      </c>
      <c r="AG35">
        <f>IF('Recurring Schedule'!$C$37="","",IF('Recurring Schedule'!$F$37="","",IF(OR($A35&lt;'Recurring Schedule'!$F$37,$A35&gt;'Recurring Schedule'!$P$37),"",IF(IF('Recurring Schedule'!$N$37&gt;0,MOD($A35-'Recurring Schedule'!$F$37,'Recurring Schedule'!$N$37)=0,IF('Recurring Schedule'!$O$37&gt;0,AND(DAY($A35)=MIN(DAY('Recurring Schedule'!$F$37),DAY(EOMONTH($A35,0))),MOD((YEAR($A35)-YEAR('Recurring Schedule'!$F$37))*12+MONTH($A35)-MONTH('Recurring Schedule'!$F$37),'Recurring Schedule'!$O$37)=0),IF('Recurring Schedule'!$E$37="Weekdays",WEEKDAY($A35,2)&lt;=5,$A35='Recurring Schedule'!$F$37))),32,""))))</f>
        <v/>
      </c>
      <c r="AH35">
        <f>IF('Recurring Schedule'!$C$38="","",IF('Recurring Schedule'!$F$38="","",IF(OR($A35&lt;'Recurring Schedule'!$F$38,$A35&gt;'Recurring Schedule'!$P$38),"",IF(IF('Recurring Schedule'!$N$38&gt;0,MOD($A35-'Recurring Schedule'!$F$38,'Recurring Schedule'!$N$38)=0,IF('Recurring Schedule'!$O$38&gt;0,AND(DAY($A35)=MIN(DAY('Recurring Schedule'!$F$38),DAY(EOMONTH($A35,0))),MOD((YEAR($A35)-YEAR('Recurring Schedule'!$F$38))*12+MONTH($A35)-MONTH('Recurring Schedule'!$F$38),'Recurring Schedule'!$O$38)=0),IF('Recurring Schedule'!$E$38="Weekdays",WEEKDAY($A35,2)&lt;=5,$A35='Recurring Schedule'!$F$38))),33,""))))</f>
        <v/>
      </c>
      <c r="AI35">
        <f>IF('Recurring Schedule'!$C$39="","",IF('Recurring Schedule'!$F$39="","",IF(OR($A35&lt;'Recurring Schedule'!$F$39,$A35&gt;'Recurring Schedule'!$P$39),"",IF(IF('Recurring Schedule'!$N$39&gt;0,MOD($A35-'Recurring Schedule'!$F$39,'Recurring Schedule'!$N$39)=0,IF('Recurring Schedule'!$O$39&gt;0,AND(DAY($A35)=MIN(DAY('Recurring Schedule'!$F$39),DAY(EOMONTH($A35,0))),MOD((YEAR($A35)-YEAR('Recurring Schedule'!$F$39))*12+MONTH($A35)-MONTH('Recurring Schedule'!$F$39),'Recurring Schedule'!$O$39)=0),IF('Recurring Schedule'!$E$39="Weekdays",WEEKDAY($A35,2)&lt;=5,$A35='Recurring Schedule'!$F$39))),34,""))))</f>
        <v/>
      </c>
      <c r="AJ35">
        <f>IF('Recurring Schedule'!$C$40="","",IF('Recurring Schedule'!$F$40="","",IF(OR($A35&lt;'Recurring Schedule'!$F$40,$A35&gt;'Recurring Schedule'!$P$40),"",IF(IF('Recurring Schedule'!$N$40&gt;0,MOD($A35-'Recurring Schedule'!$F$40,'Recurring Schedule'!$N$40)=0,IF('Recurring Schedule'!$O$40&gt;0,AND(DAY($A35)=MIN(DAY('Recurring Schedule'!$F$40),DAY(EOMONTH($A35,0))),MOD((YEAR($A35)-YEAR('Recurring Schedule'!$F$40))*12+MONTH($A35)-MONTH('Recurring Schedule'!$F$40),'Recurring Schedule'!$O$40)=0),IF('Recurring Schedule'!$E$40="Weekdays",WEEKDAY($A35,2)&lt;=5,$A35='Recurring Schedule'!$F$40))),35,""))))</f>
        <v/>
      </c>
      <c r="AK35">
        <f>IF('Recurring Schedule'!$C$41="","",IF('Recurring Schedule'!$F$41="","",IF(OR($A35&lt;'Recurring Schedule'!$F$41,$A35&gt;'Recurring Schedule'!$P$41),"",IF(IF('Recurring Schedule'!$N$41&gt;0,MOD($A35-'Recurring Schedule'!$F$41,'Recurring Schedule'!$N$41)=0,IF('Recurring Schedule'!$O$41&gt;0,AND(DAY($A35)=MIN(DAY('Recurring Schedule'!$F$41),DAY(EOMONTH($A35,0))),MOD((YEAR($A35)-YEAR('Recurring Schedule'!$F$41))*12+MONTH($A35)-MONTH('Recurring Schedule'!$F$41),'Recurring Schedule'!$O$41)=0),IF('Recurring Schedule'!$E$41="Weekdays",WEEKDAY($A35,2)&lt;=5,$A35='Recurring Schedule'!$F$41))),36,""))))</f>
        <v/>
      </c>
      <c r="AL35">
        <f>IF('Recurring Schedule'!$C$42="","",IF('Recurring Schedule'!$F$42="","",IF(OR($A35&lt;'Recurring Schedule'!$F$42,$A35&gt;'Recurring Schedule'!$P$42),"",IF(IF('Recurring Schedule'!$N$42&gt;0,MOD($A35-'Recurring Schedule'!$F$42,'Recurring Schedule'!$N$42)=0,IF('Recurring Schedule'!$O$42&gt;0,AND(DAY($A35)=MIN(DAY('Recurring Schedule'!$F$42),DAY(EOMONTH($A35,0))),MOD((YEAR($A35)-YEAR('Recurring Schedule'!$F$42))*12+MONTH($A35)-MONTH('Recurring Schedule'!$F$42),'Recurring Schedule'!$O$42)=0),IF('Recurring Schedule'!$E$42="Weekdays",WEEKDAY($A35,2)&lt;=5,$A35='Recurring Schedule'!$F$42))),37,""))))</f>
        <v/>
      </c>
      <c r="AM35">
        <f>IF('Recurring Schedule'!$C$43="","",IF('Recurring Schedule'!$F$43="","",IF(OR($A35&lt;'Recurring Schedule'!$F$43,$A35&gt;'Recurring Schedule'!$P$43),"",IF(IF('Recurring Schedule'!$N$43&gt;0,MOD($A35-'Recurring Schedule'!$F$43,'Recurring Schedule'!$N$43)=0,IF('Recurring Schedule'!$O$43&gt;0,AND(DAY($A35)=MIN(DAY('Recurring Schedule'!$F$43),DAY(EOMONTH($A35,0))),MOD((YEAR($A35)-YEAR('Recurring Schedule'!$F$43))*12+MONTH($A35)-MONTH('Recurring Schedule'!$F$43),'Recurring Schedule'!$O$43)=0),IF('Recurring Schedule'!$E$43="Weekdays",WEEKDAY($A35,2)&lt;=5,$A35='Recurring Schedule'!$F$43))),38,""))))</f>
        <v/>
      </c>
      <c r="AN35">
        <f>IF('Recurring Schedule'!$C$44="","",IF('Recurring Schedule'!$F$44="","",IF(OR($A35&lt;'Recurring Schedule'!$F$44,$A35&gt;'Recurring Schedule'!$P$44),"",IF(IF('Recurring Schedule'!$N$44&gt;0,MOD($A35-'Recurring Schedule'!$F$44,'Recurring Schedule'!$N$44)=0,IF('Recurring Schedule'!$O$44&gt;0,AND(DAY($A35)=MIN(DAY('Recurring Schedule'!$F$44),DAY(EOMONTH($A35,0))),MOD((YEAR($A35)-YEAR('Recurring Schedule'!$F$44))*12+MONTH($A35)-MONTH('Recurring Schedule'!$F$44),'Recurring Schedule'!$O$44)=0),IF('Recurring Schedule'!$E$44="Weekdays",WEEKDAY($A35,2)&lt;=5,$A35='Recurring Schedule'!$F$44))),39,""))))</f>
        <v/>
      </c>
      <c r="AO35">
        <f>IF('Recurring Schedule'!$C$45="","",IF('Recurring Schedule'!$F$45="","",IF(OR($A35&lt;'Recurring Schedule'!$F$45,$A35&gt;'Recurring Schedule'!$P$45),"",IF(IF('Recurring Schedule'!$N$45&gt;0,MOD($A35-'Recurring Schedule'!$F$45,'Recurring Schedule'!$N$45)=0,IF('Recurring Schedule'!$O$45&gt;0,AND(DAY($A35)=MIN(DAY('Recurring Schedule'!$F$45),DAY(EOMONTH($A35,0))),MOD((YEAR($A35)-YEAR('Recurring Schedule'!$F$45))*12+MONTH($A35)-MONTH('Recurring Schedule'!$F$45),'Recurring Schedule'!$O$45)=0),IF('Recurring Schedule'!$E$45="Weekdays",WEEKDAY($A35,2)&lt;=5,$A35='Recurring Schedule'!$F$45))),40,""))))</f>
        <v/>
      </c>
      <c r="AP35">
        <f>COUNT(B35:AO35)</f>
        <v/>
      </c>
      <c r="AQ35">
        <f>AQ34+AP34</f>
        <v/>
      </c>
      <c r="AS35" t="inlineStr">
        <is>
          <t>R</t>
        </is>
      </c>
      <c r="AT35" t="n">
        <v>39</v>
      </c>
      <c r="AU35">
        <f>'Recurring Log'!C39&amp;""</f>
        <v/>
      </c>
      <c r="AV35">
        <f>'Recurring Log'!D39&amp;""</f>
        <v/>
      </c>
      <c r="AW35">
        <f>IF('Recurring Log'!E39="","",'Recurring Log'!E39)</f>
        <v/>
      </c>
      <c r="AX35">
        <f>IF('Recurring Log'!G39="","",'Recurring Log'!G39)</f>
        <v/>
      </c>
      <c r="AY35">
        <f>IF('Recurring Log'!H39="","",'Recurring Log'!H39)</f>
        <v/>
      </c>
      <c r="AZ35">
        <f>IF(AU35="","",IF('Recurring Log'!J39="","Not Started",'Recurring Log'!J39))</f>
        <v/>
      </c>
      <c r="BA35">
        <f>'Recurring Log'!L39&amp;""</f>
        <v/>
      </c>
      <c r="BB35">
        <f>'Recurring Log'!M39&amp;""</f>
        <v/>
      </c>
      <c r="BC35">
        <f>'Recurring Log'!N39&amp;""</f>
        <v/>
      </c>
      <c r="BD35">
        <f>'Recurring Log'!O39&amp;""</f>
        <v/>
      </c>
      <c r="BE35">
        <f>IF('Recurring Log'!K39="","",'Recurring Log'!K39)</f>
        <v/>
      </c>
      <c r="BF35">
        <f>IFERROR(MATCH(BA35,Setup!$L$6:$L$9,0),5)</f>
        <v/>
      </c>
      <c r="BG35">
        <f>IF(OR(AZ35="Done",AZ35="Cancelled"),1,0)</f>
        <v/>
      </c>
      <c r="BH35">
        <f>IF(AND(AU35&lt;&gt;"",ISNUMBER(AW35)),1,0)</f>
        <v/>
      </c>
      <c r="BI35">
        <f>IF(BH35=0,0,IF(AND(AW35&gt;='Tasks Filter'!$F$3,AW35&lt;='Tasks Filter'!$F$4,OR('Tasks Filter'!$I$3="",ISNUMBER(SEARCH('Tasks Filter'!$I$3,AU35))),OR('Tasks Filter'!$I$4="",BF35=IFERROR(MATCH('Tasks Filter'!$I$4,Setup!$L$6:$L$9,0),0)),OR('Tasks Filter'!$I$5="Both",AND('Tasks Filter'!$I$5="Yes",BB35="✓"),AND('Tasks Filter'!$I$5="No",BB35&lt;&gt;"✓")),OR('Tasks Filter'!$L$3="",AV35='Tasks Filter'!$L$3),OR('Tasks Filter'!$L$4="",AZ35='Tasks Filter'!$L$4),OR('Tasks Filter'!$L$5="",BC35='Tasks Filter'!$L$5),OR('Tasks Filter'!$O$3="",BD35='Tasks Filter'!$O$3),OR('Tasks Filter'!$O$4="Yes",BG35=0)),1,0))</f>
        <v/>
      </c>
      <c r="BJ35">
        <f>IF(BH35=0,"",IF('Tasks Filter'!$F$6="Descending",-1,1)*CHOOSE(MATCH('Tasks Filter'!$F$5,Lists!$G$2:$G$6,0),AW35,BF35,IFERROR(MATCH(AV35,Setup!$F$6:$F$15,0),99),IFERROR(MATCH(BC35,Setup!$H$6:$H$15,0),99),IFERROR(MATCH(AZ35,Setup!$J$6:$J$11,0),99))*1E+9+(AW35-40000)*10000+34)</f>
        <v/>
      </c>
      <c r="BK35">
        <f>IF(BI35=1,BJ35,"")</f>
        <v/>
      </c>
      <c r="BL35">
        <f>IF(AND(BH35=1,BG35=0,N(AW35)&lt;Setup!$D$7),(AW35-40000)*10000+34,"")</f>
        <v/>
      </c>
      <c r="BM35">
        <f>IF(AND(BH35=1,AZ35&lt;&gt;"Cancelled",N(AW35)&gt;=Dashboard!$AB$3,N(AW35)&lt;=Dashboard!$AB$3+6),(AW35-40000)*100000+BF35*10000+34,"")</f>
        <v/>
      </c>
      <c r="BN35">
        <f>IF(AND(BH35=1,AZ35&lt;&gt;"Cancelled"),BF35*10000+34,"")</f>
        <v/>
      </c>
    </row>
    <row r="36">
      <c r="A36">
        <f>Setup!$D$5+34</f>
        <v/>
      </c>
      <c r="B36">
        <f>IF('Recurring Schedule'!$C$6="","",IF('Recurring Schedule'!$F$6="","",IF(OR($A36&lt;'Recurring Schedule'!$F$6,$A36&gt;'Recurring Schedule'!$P$6),"",IF(IF('Recurring Schedule'!$N$6&gt;0,MOD($A36-'Recurring Schedule'!$F$6,'Recurring Schedule'!$N$6)=0,IF('Recurring Schedule'!$O$6&gt;0,AND(DAY($A36)=MIN(DAY('Recurring Schedule'!$F$6),DAY(EOMONTH($A36,0))),MOD((YEAR($A36)-YEAR('Recurring Schedule'!$F$6))*12+MONTH($A36)-MONTH('Recurring Schedule'!$F$6),'Recurring Schedule'!$O$6)=0),IF('Recurring Schedule'!$E$6="Weekdays",WEEKDAY($A36,2)&lt;=5,$A36='Recurring Schedule'!$F$6))),1,""))))</f>
        <v/>
      </c>
      <c r="C36">
        <f>IF('Recurring Schedule'!$C$7="","",IF('Recurring Schedule'!$F$7="","",IF(OR($A36&lt;'Recurring Schedule'!$F$7,$A36&gt;'Recurring Schedule'!$P$7),"",IF(IF('Recurring Schedule'!$N$7&gt;0,MOD($A36-'Recurring Schedule'!$F$7,'Recurring Schedule'!$N$7)=0,IF('Recurring Schedule'!$O$7&gt;0,AND(DAY($A36)=MIN(DAY('Recurring Schedule'!$F$7),DAY(EOMONTH($A36,0))),MOD((YEAR($A36)-YEAR('Recurring Schedule'!$F$7))*12+MONTH($A36)-MONTH('Recurring Schedule'!$F$7),'Recurring Schedule'!$O$7)=0),IF('Recurring Schedule'!$E$7="Weekdays",WEEKDAY($A36,2)&lt;=5,$A36='Recurring Schedule'!$F$7))),2,""))))</f>
        <v/>
      </c>
      <c r="D36">
        <f>IF('Recurring Schedule'!$C$8="","",IF('Recurring Schedule'!$F$8="","",IF(OR($A36&lt;'Recurring Schedule'!$F$8,$A36&gt;'Recurring Schedule'!$P$8),"",IF(IF('Recurring Schedule'!$N$8&gt;0,MOD($A36-'Recurring Schedule'!$F$8,'Recurring Schedule'!$N$8)=0,IF('Recurring Schedule'!$O$8&gt;0,AND(DAY($A36)=MIN(DAY('Recurring Schedule'!$F$8),DAY(EOMONTH($A36,0))),MOD((YEAR($A36)-YEAR('Recurring Schedule'!$F$8))*12+MONTH($A36)-MONTH('Recurring Schedule'!$F$8),'Recurring Schedule'!$O$8)=0),IF('Recurring Schedule'!$E$8="Weekdays",WEEKDAY($A36,2)&lt;=5,$A36='Recurring Schedule'!$F$8))),3,""))))</f>
        <v/>
      </c>
      <c r="E36">
        <f>IF('Recurring Schedule'!$C$9="","",IF('Recurring Schedule'!$F$9="","",IF(OR($A36&lt;'Recurring Schedule'!$F$9,$A36&gt;'Recurring Schedule'!$P$9),"",IF(IF('Recurring Schedule'!$N$9&gt;0,MOD($A36-'Recurring Schedule'!$F$9,'Recurring Schedule'!$N$9)=0,IF('Recurring Schedule'!$O$9&gt;0,AND(DAY($A36)=MIN(DAY('Recurring Schedule'!$F$9),DAY(EOMONTH($A36,0))),MOD((YEAR($A36)-YEAR('Recurring Schedule'!$F$9))*12+MONTH($A36)-MONTH('Recurring Schedule'!$F$9),'Recurring Schedule'!$O$9)=0),IF('Recurring Schedule'!$E$9="Weekdays",WEEKDAY($A36,2)&lt;=5,$A36='Recurring Schedule'!$F$9))),4,""))))</f>
        <v/>
      </c>
      <c r="F36">
        <f>IF('Recurring Schedule'!$C$10="","",IF('Recurring Schedule'!$F$10="","",IF(OR($A36&lt;'Recurring Schedule'!$F$10,$A36&gt;'Recurring Schedule'!$P$10),"",IF(IF('Recurring Schedule'!$N$10&gt;0,MOD($A36-'Recurring Schedule'!$F$10,'Recurring Schedule'!$N$10)=0,IF('Recurring Schedule'!$O$10&gt;0,AND(DAY($A36)=MIN(DAY('Recurring Schedule'!$F$10),DAY(EOMONTH($A36,0))),MOD((YEAR($A36)-YEAR('Recurring Schedule'!$F$10))*12+MONTH($A36)-MONTH('Recurring Schedule'!$F$10),'Recurring Schedule'!$O$10)=0),IF('Recurring Schedule'!$E$10="Weekdays",WEEKDAY($A36,2)&lt;=5,$A36='Recurring Schedule'!$F$10))),5,""))))</f>
        <v/>
      </c>
      <c r="G36">
        <f>IF('Recurring Schedule'!$C$11="","",IF('Recurring Schedule'!$F$11="","",IF(OR($A36&lt;'Recurring Schedule'!$F$11,$A36&gt;'Recurring Schedule'!$P$11),"",IF(IF('Recurring Schedule'!$N$11&gt;0,MOD($A36-'Recurring Schedule'!$F$11,'Recurring Schedule'!$N$11)=0,IF('Recurring Schedule'!$O$11&gt;0,AND(DAY($A36)=MIN(DAY('Recurring Schedule'!$F$11),DAY(EOMONTH($A36,0))),MOD((YEAR($A36)-YEAR('Recurring Schedule'!$F$11))*12+MONTH($A36)-MONTH('Recurring Schedule'!$F$11),'Recurring Schedule'!$O$11)=0),IF('Recurring Schedule'!$E$11="Weekdays",WEEKDAY($A36,2)&lt;=5,$A36='Recurring Schedule'!$F$11))),6,""))))</f>
        <v/>
      </c>
      <c r="H36">
        <f>IF('Recurring Schedule'!$C$12="","",IF('Recurring Schedule'!$F$12="","",IF(OR($A36&lt;'Recurring Schedule'!$F$12,$A36&gt;'Recurring Schedule'!$P$12),"",IF(IF('Recurring Schedule'!$N$12&gt;0,MOD($A36-'Recurring Schedule'!$F$12,'Recurring Schedule'!$N$12)=0,IF('Recurring Schedule'!$O$12&gt;0,AND(DAY($A36)=MIN(DAY('Recurring Schedule'!$F$12),DAY(EOMONTH($A36,0))),MOD((YEAR($A36)-YEAR('Recurring Schedule'!$F$12))*12+MONTH($A36)-MONTH('Recurring Schedule'!$F$12),'Recurring Schedule'!$O$12)=0),IF('Recurring Schedule'!$E$12="Weekdays",WEEKDAY($A36,2)&lt;=5,$A36='Recurring Schedule'!$F$12))),7,""))))</f>
        <v/>
      </c>
      <c r="I36">
        <f>IF('Recurring Schedule'!$C$13="","",IF('Recurring Schedule'!$F$13="","",IF(OR($A36&lt;'Recurring Schedule'!$F$13,$A36&gt;'Recurring Schedule'!$P$13),"",IF(IF('Recurring Schedule'!$N$13&gt;0,MOD($A36-'Recurring Schedule'!$F$13,'Recurring Schedule'!$N$13)=0,IF('Recurring Schedule'!$O$13&gt;0,AND(DAY($A36)=MIN(DAY('Recurring Schedule'!$F$13),DAY(EOMONTH($A36,0))),MOD((YEAR($A36)-YEAR('Recurring Schedule'!$F$13))*12+MONTH($A36)-MONTH('Recurring Schedule'!$F$13),'Recurring Schedule'!$O$13)=0),IF('Recurring Schedule'!$E$13="Weekdays",WEEKDAY($A36,2)&lt;=5,$A36='Recurring Schedule'!$F$13))),8,""))))</f>
        <v/>
      </c>
      <c r="J36">
        <f>IF('Recurring Schedule'!$C$14="","",IF('Recurring Schedule'!$F$14="","",IF(OR($A36&lt;'Recurring Schedule'!$F$14,$A36&gt;'Recurring Schedule'!$P$14),"",IF(IF('Recurring Schedule'!$N$14&gt;0,MOD($A36-'Recurring Schedule'!$F$14,'Recurring Schedule'!$N$14)=0,IF('Recurring Schedule'!$O$14&gt;0,AND(DAY($A36)=MIN(DAY('Recurring Schedule'!$F$14),DAY(EOMONTH($A36,0))),MOD((YEAR($A36)-YEAR('Recurring Schedule'!$F$14))*12+MONTH($A36)-MONTH('Recurring Schedule'!$F$14),'Recurring Schedule'!$O$14)=0),IF('Recurring Schedule'!$E$14="Weekdays",WEEKDAY($A36,2)&lt;=5,$A36='Recurring Schedule'!$F$14))),9,""))))</f>
        <v/>
      </c>
      <c r="K36">
        <f>IF('Recurring Schedule'!$C$15="","",IF('Recurring Schedule'!$F$15="","",IF(OR($A36&lt;'Recurring Schedule'!$F$15,$A36&gt;'Recurring Schedule'!$P$15),"",IF(IF('Recurring Schedule'!$N$15&gt;0,MOD($A36-'Recurring Schedule'!$F$15,'Recurring Schedule'!$N$15)=0,IF('Recurring Schedule'!$O$15&gt;0,AND(DAY($A36)=MIN(DAY('Recurring Schedule'!$F$15),DAY(EOMONTH($A36,0))),MOD((YEAR($A36)-YEAR('Recurring Schedule'!$F$15))*12+MONTH($A36)-MONTH('Recurring Schedule'!$F$15),'Recurring Schedule'!$O$15)=0),IF('Recurring Schedule'!$E$15="Weekdays",WEEKDAY($A36,2)&lt;=5,$A36='Recurring Schedule'!$F$15))),10,""))))</f>
        <v/>
      </c>
      <c r="L36">
        <f>IF('Recurring Schedule'!$C$16="","",IF('Recurring Schedule'!$F$16="","",IF(OR($A36&lt;'Recurring Schedule'!$F$16,$A36&gt;'Recurring Schedule'!$P$16),"",IF(IF('Recurring Schedule'!$N$16&gt;0,MOD($A36-'Recurring Schedule'!$F$16,'Recurring Schedule'!$N$16)=0,IF('Recurring Schedule'!$O$16&gt;0,AND(DAY($A36)=MIN(DAY('Recurring Schedule'!$F$16),DAY(EOMONTH($A36,0))),MOD((YEAR($A36)-YEAR('Recurring Schedule'!$F$16))*12+MONTH($A36)-MONTH('Recurring Schedule'!$F$16),'Recurring Schedule'!$O$16)=0),IF('Recurring Schedule'!$E$16="Weekdays",WEEKDAY($A36,2)&lt;=5,$A36='Recurring Schedule'!$F$16))),11,""))))</f>
        <v/>
      </c>
      <c r="M36">
        <f>IF('Recurring Schedule'!$C$17="","",IF('Recurring Schedule'!$F$17="","",IF(OR($A36&lt;'Recurring Schedule'!$F$17,$A36&gt;'Recurring Schedule'!$P$17),"",IF(IF('Recurring Schedule'!$N$17&gt;0,MOD($A36-'Recurring Schedule'!$F$17,'Recurring Schedule'!$N$17)=0,IF('Recurring Schedule'!$O$17&gt;0,AND(DAY($A36)=MIN(DAY('Recurring Schedule'!$F$17),DAY(EOMONTH($A36,0))),MOD((YEAR($A36)-YEAR('Recurring Schedule'!$F$17))*12+MONTH($A36)-MONTH('Recurring Schedule'!$F$17),'Recurring Schedule'!$O$17)=0),IF('Recurring Schedule'!$E$17="Weekdays",WEEKDAY($A36,2)&lt;=5,$A36='Recurring Schedule'!$F$17))),12,""))))</f>
        <v/>
      </c>
      <c r="N36">
        <f>IF('Recurring Schedule'!$C$18="","",IF('Recurring Schedule'!$F$18="","",IF(OR($A36&lt;'Recurring Schedule'!$F$18,$A36&gt;'Recurring Schedule'!$P$18),"",IF(IF('Recurring Schedule'!$N$18&gt;0,MOD($A36-'Recurring Schedule'!$F$18,'Recurring Schedule'!$N$18)=0,IF('Recurring Schedule'!$O$18&gt;0,AND(DAY($A36)=MIN(DAY('Recurring Schedule'!$F$18),DAY(EOMONTH($A36,0))),MOD((YEAR($A36)-YEAR('Recurring Schedule'!$F$18))*12+MONTH($A36)-MONTH('Recurring Schedule'!$F$18),'Recurring Schedule'!$O$18)=0),IF('Recurring Schedule'!$E$18="Weekdays",WEEKDAY($A36,2)&lt;=5,$A36='Recurring Schedule'!$F$18))),13,""))))</f>
        <v/>
      </c>
      <c r="O36">
        <f>IF('Recurring Schedule'!$C$19="","",IF('Recurring Schedule'!$F$19="","",IF(OR($A36&lt;'Recurring Schedule'!$F$19,$A36&gt;'Recurring Schedule'!$P$19),"",IF(IF('Recurring Schedule'!$N$19&gt;0,MOD($A36-'Recurring Schedule'!$F$19,'Recurring Schedule'!$N$19)=0,IF('Recurring Schedule'!$O$19&gt;0,AND(DAY($A36)=MIN(DAY('Recurring Schedule'!$F$19),DAY(EOMONTH($A36,0))),MOD((YEAR($A36)-YEAR('Recurring Schedule'!$F$19))*12+MONTH($A36)-MONTH('Recurring Schedule'!$F$19),'Recurring Schedule'!$O$19)=0),IF('Recurring Schedule'!$E$19="Weekdays",WEEKDAY($A36,2)&lt;=5,$A36='Recurring Schedule'!$F$19))),14,""))))</f>
        <v/>
      </c>
      <c r="P36">
        <f>IF('Recurring Schedule'!$C$20="","",IF('Recurring Schedule'!$F$20="","",IF(OR($A36&lt;'Recurring Schedule'!$F$20,$A36&gt;'Recurring Schedule'!$P$20),"",IF(IF('Recurring Schedule'!$N$20&gt;0,MOD($A36-'Recurring Schedule'!$F$20,'Recurring Schedule'!$N$20)=0,IF('Recurring Schedule'!$O$20&gt;0,AND(DAY($A36)=MIN(DAY('Recurring Schedule'!$F$20),DAY(EOMONTH($A36,0))),MOD((YEAR($A36)-YEAR('Recurring Schedule'!$F$20))*12+MONTH($A36)-MONTH('Recurring Schedule'!$F$20),'Recurring Schedule'!$O$20)=0),IF('Recurring Schedule'!$E$20="Weekdays",WEEKDAY($A36,2)&lt;=5,$A36='Recurring Schedule'!$F$20))),15,""))))</f>
        <v/>
      </c>
      <c r="Q36">
        <f>IF('Recurring Schedule'!$C$21="","",IF('Recurring Schedule'!$F$21="","",IF(OR($A36&lt;'Recurring Schedule'!$F$21,$A36&gt;'Recurring Schedule'!$P$21),"",IF(IF('Recurring Schedule'!$N$21&gt;0,MOD($A36-'Recurring Schedule'!$F$21,'Recurring Schedule'!$N$21)=0,IF('Recurring Schedule'!$O$21&gt;0,AND(DAY($A36)=MIN(DAY('Recurring Schedule'!$F$21),DAY(EOMONTH($A36,0))),MOD((YEAR($A36)-YEAR('Recurring Schedule'!$F$21))*12+MONTH($A36)-MONTH('Recurring Schedule'!$F$21),'Recurring Schedule'!$O$21)=0),IF('Recurring Schedule'!$E$21="Weekdays",WEEKDAY($A36,2)&lt;=5,$A36='Recurring Schedule'!$F$21))),16,""))))</f>
        <v/>
      </c>
      <c r="R36">
        <f>IF('Recurring Schedule'!$C$22="","",IF('Recurring Schedule'!$F$22="","",IF(OR($A36&lt;'Recurring Schedule'!$F$22,$A36&gt;'Recurring Schedule'!$P$22),"",IF(IF('Recurring Schedule'!$N$22&gt;0,MOD($A36-'Recurring Schedule'!$F$22,'Recurring Schedule'!$N$22)=0,IF('Recurring Schedule'!$O$22&gt;0,AND(DAY($A36)=MIN(DAY('Recurring Schedule'!$F$22),DAY(EOMONTH($A36,0))),MOD((YEAR($A36)-YEAR('Recurring Schedule'!$F$22))*12+MONTH($A36)-MONTH('Recurring Schedule'!$F$22),'Recurring Schedule'!$O$22)=0),IF('Recurring Schedule'!$E$22="Weekdays",WEEKDAY($A36,2)&lt;=5,$A36='Recurring Schedule'!$F$22))),17,""))))</f>
        <v/>
      </c>
      <c r="S36">
        <f>IF('Recurring Schedule'!$C$23="","",IF('Recurring Schedule'!$F$23="","",IF(OR($A36&lt;'Recurring Schedule'!$F$23,$A36&gt;'Recurring Schedule'!$P$23),"",IF(IF('Recurring Schedule'!$N$23&gt;0,MOD($A36-'Recurring Schedule'!$F$23,'Recurring Schedule'!$N$23)=0,IF('Recurring Schedule'!$O$23&gt;0,AND(DAY($A36)=MIN(DAY('Recurring Schedule'!$F$23),DAY(EOMONTH($A36,0))),MOD((YEAR($A36)-YEAR('Recurring Schedule'!$F$23))*12+MONTH($A36)-MONTH('Recurring Schedule'!$F$23),'Recurring Schedule'!$O$23)=0),IF('Recurring Schedule'!$E$23="Weekdays",WEEKDAY($A36,2)&lt;=5,$A36='Recurring Schedule'!$F$23))),18,""))))</f>
        <v/>
      </c>
      <c r="T36">
        <f>IF('Recurring Schedule'!$C$24="","",IF('Recurring Schedule'!$F$24="","",IF(OR($A36&lt;'Recurring Schedule'!$F$24,$A36&gt;'Recurring Schedule'!$P$24),"",IF(IF('Recurring Schedule'!$N$24&gt;0,MOD($A36-'Recurring Schedule'!$F$24,'Recurring Schedule'!$N$24)=0,IF('Recurring Schedule'!$O$24&gt;0,AND(DAY($A36)=MIN(DAY('Recurring Schedule'!$F$24),DAY(EOMONTH($A36,0))),MOD((YEAR($A36)-YEAR('Recurring Schedule'!$F$24))*12+MONTH($A36)-MONTH('Recurring Schedule'!$F$24),'Recurring Schedule'!$O$24)=0),IF('Recurring Schedule'!$E$24="Weekdays",WEEKDAY($A36,2)&lt;=5,$A36='Recurring Schedule'!$F$24))),19,""))))</f>
        <v/>
      </c>
      <c r="U36">
        <f>IF('Recurring Schedule'!$C$25="","",IF('Recurring Schedule'!$F$25="","",IF(OR($A36&lt;'Recurring Schedule'!$F$25,$A36&gt;'Recurring Schedule'!$P$25),"",IF(IF('Recurring Schedule'!$N$25&gt;0,MOD($A36-'Recurring Schedule'!$F$25,'Recurring Schedule'!$N$25)=0,IF('Recurring Schedule'!$O$25&gt;0,AND(DAY($A36)=MIN(DAY('Recurring Schedule'!$F$25),DAY(EOMONTH($A36,0))),MOD((YEAR($A36)-YEAR('Recurring Schedule'!$F$25))*12+MONTH($A36)-MONTH('Recurring Schedule'!$F$25),'Recurring Schedule'!$O$25)=0),IF('Recurring Schedule'!$E$25="Weekdays",WEEKDAY($A36,2)&lt;=5,$A36='Recurring Schedule'!$F$25))),20,""))))</f>
        <v/>
      </c>
      <c r="V36">
        <f>IF('Recurring Schedule'!$C$26="","",IF('Recurring Schedule'!$F$26="","",IF(OR($A36&lt;'Recurring Schedule'!$F$26,$A36&gt;'Recurring Schedule'!$P$26),"",IF(IF('Recurring Schedule'!$N$26&gt;0,MOD($A36-'Recurring Schedule'!$F$26,'Recurring Schedule'!$N$26)=0,IF('Recurring Schedule'!$O$26&gt;0,AND(DAY($A36)=MIN(DAY('Recurring Schedule'!$F$26),DAY(EOMONTH($A36,0))),MOD((YEAR($A36)-YEAR('Recurring Schedule'!$F$26))*12+MONTH($A36)-MONTH('Recurring Schedule'!$F$26),'Recurring Schedule'!$O$26)=0),IF('Recurring Schedule'!$E$26="Weekdays",WEEKDAY($A36,2)&lt;=5,$A36='Recurring Schedule'!$F$26))),21,""))))</f>
        <v/>
      </c>
      <c r="W36">
        <f>IF('Recurring Schedule'!$C$27="","",IF('Recurring Schedule'!$F$27="","",IF(OR($A36&lt;'Recurring Schedule'!$F$27,$A36&gt;'Recurring Schedule'!$P$27),"",IF(IF('Recurring Schedule'!$N$27&gt;0,MOD($A36-'Recurring Schedule'!$F$27,'Recurring Schedule'!$N$27)=0,IF('Recurring Schedule'!$O$27&gt;0,AND(DAY($A36)=MIN(DAY('Recurring Schedule'!$F$27),DAY(EOMONTH($A36,0))),MOD((YEAR($A36)-YEAR('Recurring Schedule'!$F$27))*12+MONTH($A36)-MONTH('Recurring Schedule'!$F$27),'Recurring Schedule'!$O$27)=0),IF('Recurring Schedule'!$E$27="Weekdays",WEEKDAY($A36,2)&lt;=5,$A36='Recurring Schedule'!$F$27))),22,""))))</f>
        <v/>
      </c>
      <c r="X36">
        <f>IF('Recurring Schedule'!$C$28="","",IF('Recurring Schedule'!$F$28="","",IF(OR($A36&lt;'Recurring Schedule'!$F$28,$A36&gt;'Recurring Schedule'!$P$28),"",IF(IF('Recurring Schedule'!$N$28&gt;0,MOD($A36-'Recurring Schedule'!$F$28,'Recurring Schedule'!$N$28)=0,IF('Recurring Schedule'!$O$28&gt;0,AND(DAY($A36)=MIN(DAY('Recurring Schedule'!$F$28),DAY(EOMONTH($A36,0))),MOD((YEAR($A36)-YEAR('Recurring Schedule'!$F$28))*12+MONTH($A36)-MONTH('Recurring Schedule'!$F$28),'Recurring Schedule'!$O$28)=0),IF('Recurring Schedule'!$E$28="Weekdays",WEEKDAY($A36,2)&lt;=5,$A36='Recurring Schedule'!$F$28))),23,""))))</f>
        <v/>
      </c>
      <c r="Y36">
        <f>IF('Recurring Schedule'!$C$29="","",IF('Recurring Schedule'!$F$29="","",IF(OR($A36&lt;'Recurring Schedule'!$F$29,$A36&gt;'Recurring Schedule'!$P$29),"",IF(IF('Recurring Schedule'!$N$29&gt;0,MOD($A36-'Recurring Schedule'!$F$29,'Recurring Schedule'!$N$29)=0,IF('Recurring Schedule'!$O$29&gt;0,AND(DAY($A36)=MIN(DAY('Recurring Schedule'!$F$29),DAY(EOMONTH($A36,0))),MOD((YEAR($A36)-YEAR('Recurring Schedule'!$F$29))*12+MONTH($A36)-MONTH('Recurring Schedule'!$F$29),'Recurring Schedule'!$O$29)=0),IF('Recurring Schedule'!$E$29="Weekdays",WEEKDAY($A36,2)&lt;=5,$A36='Recurring Schedule'!$F$29))),24,""))))</f>
        <v/>
      </c>
      <c r="Z36">
        <f>IF('Recurring Schedule'!$C$30="","",IF('Recurring Schedule'!$F$30="","",IF(OR($A36&lt;'Recurring Schedule'!$F$30,$A36&gt;'Recurring Schedule'!$P$30),"",IF(IF('Recurring Schedule'!$N$30&gt;0,MOD($A36-'Recurring Schedule'!$F$30,'Recurring Schedule'!$N$30)=0,IF('Recurring Schedule'!$O$30&gt;0,AND(DAY($A36)=MIN(DAY('Recurring Schedule'!$F$30),DAY(EOMONTH($A36,0))),MOD((YEAR($A36)-YEAR('Recurring Schedule'!$F$30))*12+MONTH($A36)-MONTH('Recurring Schedule'!$F$30),'Recurring Schedule'!$O$30)=0),IF('Recurring Schedule'!$E$30="Weekdays",WEEKDAY($A36,2)&lt;=5,$A36='Recurring Schedule'!$F$30))),25,""))))</f>
        <v/>
      </c>
      <c r="AA36">
        <f>IF('Recurring Schedule'!$C$31="","",IF('Recurring Schedule'!$F$31="","",IF(OR($A36&lt;'Recurring Schedule'!$F$31,$A36&gt;'Recurring Schedule'!$P$31),"",IF(IF('Recurring Schedule'!$N$31&gt;0,MOD($A36-'Recurring Schedule'!$F$31,'Recurring Schedule'!$N$31)=0,IF('Recurring Schedule'!$O$31&gt;0,AND(DAY($A36)=MIN(DAY('Recurring Schedule'!$F$31),DAY(EOMONTH($A36,0))),MOD((YEAR($A36)-YEAR('Recurring Schedule'!$F$31))*12+MONTH($A36)-MONTH('Recurring Schedule'!$F$31),'Recurring Schedule'!$O$31)=0),IF('Recurring Schedule'!$E$31="Weekdays",WEEKDAY($A36,2)&lt;=5,$A36='Recurring Schedule'!$F$31))),26,""))))</f>
        <v/>
      </c>
      <c r="AB36">
        <f>IF('Recurring Schedule'!$C$32="","",IF('Recurring Schedule'!$F$32="","",IF(OR($A36&lt;'Recurring Schedule'!$F$32,$A36&gt;'Recurring Schedule'!$P$32),"",IF(IF('Recurring Schedule'!$N$32&gt;0,MOD($A36-'Recurring Schedule'!$F$32,'Recurring Schedule'!$N$32)=0,IF('Recurring Schedule'!$O$32&gt;0,AND(DAY($A36)=MIN(DAY('Recurring Schedule'!$F$32),DAY(EOMONTH($A36,0))),MOD((YEAR($A36)-YEAR('Recurring Schedule'!$F$32))*12+MONTH($A36)-MONTH('Recurring Schedule'!$F$32),'Recurring Schedule'!$O$32)=0),IF('Recurring Schedule'!$E$32="Weekdays",WEEKDAY($A36,2)&lt;=5,$A36='Recurring Schedule'!$F$32))),27,""))))</f>
        <v/>
      </c>
      <c r="AC36">
        <f>IF('Recurring Schedule'!$C$33="","",IF('Recurring Schedule'!$F$33="","",IF(OR($A36&lt;'Recurring Schedule'!$F$33,$A36&gt;'Recurring Schedule'!$P$33),"",IF(IF('Recurring Schedule'!$N$33&gt;0,MOD($A36-'Recurring Schedule'!$F$33,'Recurring Schedule'!$N$33)=0,IF('Recurring Schedule'!$O$33&gt;0,AND(DAY($A36)=MIN(DAY('Recurring Schedule'!$F$33),DAY(EOMONTH($A36,0))),MOD((YEAR($A36)-YEAR('Recurring Schedule'!$F$33))*12+MONTH($A36)-MONTH('Recurring Schedule'!$F$33),'Recurring Schedule'!$O$33)=0),IF('Recurring Schedule'!$E$33="Weekdays",WEEKDAY($A36,2)&lt;=5,$A36='Recurring Schedule'!$F$33))),28,""))))</f>
        <v/>
      </c>
      <c r="AD36">
        <f>IF('Recurring Schedule'!$C$34="","",IF('Recurring Schedule'!$F$34="","",IF(OR($A36&lt;'Recurring Schedule'!$F$34,$A36&gt;'Recurring Schedule'!$P$34),"",IF(IF('Recurring Schedule'!$N$34&gt;0,MOD($A36-'Recurring Schedule'!$F$34,'Recurring Schedule'!$N$34)=0,IF('Recurring Schedule'!$O$34&gt;0,AND(DAY($A36)=MIN(DAY('Recurring Schedule'!$F$34),DAY(EOMONTH($A36,0))),MOD((YEAR($A36)-YEAR('Recurring Schedule'!$F$34))*12+MONTH($A36)-MONTH('Recurring Schedule'!$F$34),'Recurring Schedule'!$O$34)=0),IF('Recurring Schedule'!$E$34="Weekdays",WEEKDAY($A36,2)&lt;=5,$A36='Recurring Schedule'!$F$34))),29,""))))</f>
        <v/>
      </c>
      <c r="AE36">
        <f>IF('Recurring Schedule'!$C$35="","",IF('Recurring Schedule'!$F$35="","",IF(OR($A36&lt;'Recurring Schedule'!$F$35,$A36&gt;'Recurring Schedule'!$P$35),"",IF(IF('Recurring Schedule'!$N$35&gt;0,MOD($A36-'Recurring Schedule'!$F$35,'Recurring Schedule'!$N$35)=0,IF('Recurring Schedule'!$O$35&gt;0,AND(DAY($A36)=MIN(DAY('Recurring Schedule'!$F$35),DAY(EOMONTH($A36,0))),MOD((YEAR($A36)-YEAR('Recurring Schedule'!$F$35))*12+MONTH($A36)-MONTH('Recurring Schedule'!$F$35),'Recurring Schedule'!$O$35)=0),IF('Recurring Schedule'!$E$35="Weekdays",WEEKDAY($A36,2)&lt;=5,$A36='Recurring Schedule'!$F$35))),30,""))))</f>
        <v/>
      </c>
      <c r="AF36">
        <f>IF('Recurring Schedule'!$C$36="","",IF('Recurring Schedule'!$F$36="","",IF(OR($A36&lt;'Recurring Schedule'!$F$36,$A36&gt;'Recurring Schedule'!$P$36),"",IF(IF('Recurring Schedule'!$N$36&gt;0,MOD($A36-'Recurring Schedule'!$F$36,'Recurring Schedule'!$N$36)=0,IF('Recurring Schedule'!$O$36&gt;0,AND(DAY($A36)=MIN(DAY('Recurring Schedule'!$F$36),DAY(EOMONTH($A36,0))),MOD((YEAR($A36)-YEAR('Recurring Schedule'!$F$36))*12+MONTH($A36)-MONTH('Recurring Schedule'!$F$36),'Recurring Schedule'!$O$36)=0),IF('Recurring Schedule'!$E$36="Weekdays",WEEKDAY($A36,2)&lt;=5,$A36='Recurring Schedule'!$F$36))),31,""))))</f>
        <v/>
      </c>
      <c r="AG36">
        <f>IF('Recurring Schedule'!$C$37="","",IF('Recurring Schedule'!$F$37="","",IF(OR($A36&lt;'Recurring Schedule'!$F$37,$A36&gt;'Recurring Schedule'!$P$37),"",IF(IF('Recurring Schedule'!$N$37&gt;0,MOD($A36-'Recurring Schedule'!$F$37,'Recurring Schedule'!$N$37)=0,IF('Recurring Schedule'!$O$37&gt;0,AND(DAY($A36)=MIN(DAY('Recurring Schedule'!$F$37),DAY(EOMONTH($A36,0))),MOD((YEAR($A36)-YEAR('Recurring Schedule'!$F$37))*12+MONTH($A36)-MONTH('Recurring Schedule'!$F$37),'Recurring Schedule'!$O$37)=0),IF('Recurring Schedule'!$E$37="Weekdays",WEEKDAY($A36,2)&lt;=5,$A36='Recurring Schedule'!$F$37))),32,""))))</f>
        <v/>
      </c>
      <c r="AH36">
        <f>IF('Recurring Schedule'!$C$38="","",IF('Recurring Schedule'!$F$38="","",IF(OR($A36&lt;'Recurring Schedule'!$F$38,$A36&gt;'Recurring Schedule'!$P$38),"",IF(IF('Recurring Schedule'!$N$38&gt;0,MOD($A36-'Recurring Schedule'!$F$38,'Recurring Schedule'!$N$38)=0,IF('Recurring Schedule'!$O$38&gt;0,AND(DAY($A36)=MIN(DAY('Recurring Schedule'!$F$38),DAY(EOMONTH($A36,0))),MOD((YEAR($A36)-YEAR('Recurring Schedule'!$F$38))*12+MONTH($A36)-MONTH('Recurring Schedule'!$F$38),'Recurring Schedule'!$O$38)=0),IF('Recurring Schedule'!$E$38="Weekdays",WEEKDAY($A36,2)&lt;=5,$A36='Recurring Schedule'!$F$38))),33,""))))</f>
        <v/>
      </c>
      <c r="AI36">
        <f>IF('Recurring Schedule'!$C$39="","",IF('Recurring Schedule'!$F$39="","",IF(OR($A36&lt;'Recurring Schedule'!$F$39,$A36&gt;'Recurring Schedule'!$P$39),"",IF(IF('Recurring Schedule'!$N$39&gt;0,MOD($A36-'Recurring Schedule'!$F$39,'Recurring Schedule'!$N$39)=0,IF('Recurring Schedule'!$O$39&gt;0,AND(DAY($A36)=MIN(DAY('Recurring Schedule'!$F$39),DAY(EOMONTH($A36,0))),MOD((YEAR($A36)-YEAR('Recurring Schedule'!$F$39))*12+MONTH($A36)-MONTH('Recurring Schedule'!$F$39),'Recurring Schedule'!$O$39)=0),IF('Recurring Schedule'!$E$39="Weekdays",WEEKDAY($A36,2)&lt;=5,$A36='Recurring Schedule'!$F$39))),34,""))))</f>
        <v/>
      </c>
      <c r="AJ36">
        <f>IF('Recurring Schedule'!$C$40="","",IF('Recurring Schedule'!$F$40="","",IF(OR($A36&lt;'Recurring Schedule'!$F$40,$A36&gt;'Recurring Schedule'!$P$40),"",IF(IF('Recurring Schedule'!$N$40&gt;0,MOD($A36-'Recurring Schedule'!$F$40,'Recurring Schedule'!$N$40)=0,IF('Recurring Schedule'!$O$40&gt;0,AND(DAY($A36)=MIN(DAY('Recurring Schedule'!$F$40),DAY(EOMONTH($A36,0))),MOD((YEAR($A36)-YEAR('Recurring Schedule'!$F$40))*12+MONTH($A36)-MONTH('Recurring Schedule'!$F$40),'Recurring Schedule'!$O$40)=0),IF('Recurring Schedule'!$E$40="Weekdays",WEEKDAY($A36,2)&lt;=5,$A36='Recurring Schedule'!$F$40))),35,""))))</f>
        <v/>
      </c>
      <c r="AK36">
        <f>IF('Recurring Schedule'!$C$41="","",IF('Recurring Schedule'!$F$41="","",IF(OR($A36&lt;'Recurring Schedule'!$F$41,$A36&gt;'Recurring Schedule'!$P$41),"",IF(IF('Recurring Schedule'!$N$41&gt;0,MOD($A36-'Recurring Schedule'!$F$41,'Recurring Schedule'!$N$41)=0,IF('Recurring Schedule'!$O$41&gt;0,AND(DAY($A36)=MIN(DAY('Recurring Schedule'!$F$41),DAY(EOMONTH($A36,0))),MOD((YEAR($A36)-YEAR('Recurring Schedule'!$F$41))*12+MONTH($A36)-MONTH('Recurring Schedule'!$F$41),'Recurring Schedule'!$O$41)=0),IF('Recurring Schedule'!$E$41="Weekdays",WEEKDAY($A36,2)&lt;=5,$A36='Recurring Schedule'!$F$41))),36,""))))</f>
        <v/>
      </c>
      <c r="AL36">
        <f>IF('Recurring Schedule'!$C$42="","",IF('Recurring Schedule'!$F$42="","",IF(OR($A36&lt;'Recurring Schedule'!$F$42,$A36&gt;'Recurring Schedule'!$P$42),"",IF(IF('Recurring Schedule'!$N$42&gt;0,MOD($A36-'Recurring Schedule'!$F$42,'Recurring Schedule'!$N$42)=0,IF('Recurring Schedule'!$O$42&gt;0,AND(DAY($A36)=MIN(DAY('Recurring Schedule'!$F$42),DAY(EOMONTH($A36,0))),MOD((YEAR($A36)-YEAR('Recurring Schedule'!$F$42))*12+MONTH($A36)-MONTH('Recurring Schedule'!$F$42),'Recurring Schedule'!$O$42)=0),IF('Recurring Schedule'!$E$42="Weekdays",WEEKDAY($A36,2)&lt;=5,$A36='Recurring Schedule'!$F$42))),37,""))))</f>
        <v/>
      </c>
      <c r="AM36">
        <f>IF('Recurring Schedule'!$C$43="","",IF('Recurring Schedule'!$F$43="","",IF(OR($A36&lt;'Recurring Schedule'!$F$43,$A36&gt;'Recurring Schedule'!$P$43),"",IF(IF('Recurring Schedule'!$N$43&gt;0,MOD($A36-'Recurring Schedule'!$F$43,'Recurring Schedule'!$N$43)=0,IF('Recurring Schedule'!$O$43&gt;0,AND(DAY($A36)=MIN(DAY('Recurring Schedule'!$F$43),DAY(EOMONTH($A36,0))),MOD((YEAR($A36)-YEAR('Recurring Schedule'!$F$43))*12+MONTH($A36)-MONTH('Recurring Schedule'!$F$43),'Recurring Schedule'!$O$43)=0),IF('Recurring Schedule'!$E$43="Weekdays",WEEKDAY($A36,2)&lt;=5,$A36='Recurring Schedule'!$F$43))),38,""))))</f>
        <v/>
      </c>
      <c r="AN36">
        <f>IF('Recurring Schedule'!$C$44="","",IF('Recurring Schedule'!$F$44="","",IF(OR($A36&lt;'Recurring Schedule'!$F$44,$A36&gt;'Recurring Schedule'!$P$44),"",IF(IF('Recurring Schedule'!$N$44&gt;0,MOD($A36-'Recurring Schedule'!$F$44,'Recurring Schedule'!$N$44)=0,IF('Recurring Schedule'!$O$44&gt;0,AND(DAY($A36)=MIN(DAY('Recurring Schedule'!$F$44),DAY(EOMONTH($A36,0))),MOD((YEAR($A36)-YEAR('Recurring Schedule'!$F$44))*12+MONTH($A36)-MONTH('Recurring Schedule'!$F$44),'Recurring Schedule'!$O$44)=0),IF('Recurring Schedule'!$E$44="Weekdays",WEEKDAY($A36,2)&lt;=5,$A36='Recurring Schedule'!$F$44))),39,""))))</f>
        <v/>
      </c>
      <c r="AO36">
        <f>IF('Recurring Schedule'!$C$45="","",IF('Recurring Schedule'!$F$45="","",IF(OR($A36&lt;'Recurring Schedule'!$F$45,$A36&gt;'Recurring Schedule'!$P$45),"",IF(IF('Recurring Schedule'!$N$45&gt;0,MOD($A36-'Recurring Schedule'!$F$45,'Recurring Schedule'!$N$45)=0,IF('Recurring Schedule'!$O$45&gt;0,AND(DAY($A36)=MIN(DAY('Recurring Schedule'!$F$45),DAY(EOMONTH($A36,0))),MOD((YEAR($A36)-YEAR('Recurring Schedule'!$F$45))*12+MONTH($A36)-MONTH('Recurring Schedule'!$F$45),'Recurring Schedule'!$O$45)=0),IF('Recurring Schedule'!$E$45="Weekdays",WEEKDAY($A36,2)&lt;=5,$A36='Recurring Schedule'!$F$45))),40,""))))</f>
        <v/>
      </c>
      <c r="AP36">
        <f>COUNT(B36:AO36)</f>
        <v/>
      </c>
      <c r="AQ36">
        <f>AQ35+AP35</f>
        <v/>
      </c>
      <c r="AS36" t="inlineStr">
        <is>
          <t>R</t>
        </is>
      </c>
      <c r="AT36" t="n">
        <v>40</v>
      </c>
      <c r="AU36">
        <f>'Recurring Log'!C40&amp;""</f>
        <v/>
      </c>
      <c r="AV36">
        <f>'Recurring Log'!D40&amp;""</f>
        <v/>
      </c>
      <c r="AW36">
        <f>IF('Recurring Log'!E40="","",'Recurring Log'!E40)</f>
        <v/>
      </c>
      <c r="AX36">
        <f>IF('Recurring Log'!G40="","",'Recurring Log'!G40)</f>
        <v/>
      </c>
      <c r="AY36">
        <f>IF('Recurring Log'!H40="","",'Recurring Log'!H40)</f>
        <v/>
      </c>
      <c r="AZ36">
        <f>IF(AU36="","",IF('Recurring Log'!J40="","Not Started",'Recurring Log'!J40))</f>
        <v/>
      </c>
      <c r="BA36">
        <f>'Recurring Log'!L40&amp;""</f>
        <v/>
      </c>
      <c r="BB36">
        <f>'Recurring Log'!M40&amp;""</f>
        <v/>
      </c>
      <c r="BC36">
        <f>'Recurring Log'!N40&amp;""</f>
        <v/>
      </c>
      <c r="BD36">
        <f>'Recurring Log'!O40&amp;""</f>
        <v/>
      </c>
      <c r="BE36">
        <f>IF('Recurring Log'!K40="","",'Recurring Log'!K40)</f>
        <v/>
      </c>
      <c r="BF36">
        <f>IFERROR(MATCH(BA36,Setup!$L$6:$L$9,0),5)</f>
        <v/>
      </c>
      <c r="BG36">
        <f>IF(OR(AZ36="Done",AZ36="Cancelled"),1,0)</f>
        <v/>
      </c>
      <c r="BH36">
        <f>IF(AND(AU36&lt;&gt;"",ISNUMBER(AW36)),1,0)</f>
        <v/>
      </c>
      <c r="BI36">
        <f>IF(BH36=0,0,IF(AND(AW36&gt;='Tasks Filter'!$F$3,AW36&lt;='Tasks Filter'!$F$4,OR('Tasks Filter'!$I$3="",ISNUMBER(SEARCH('Tasks Filter'!$I$3,AU36))),OR('Tasks Filter'!$I$4="",BF36=IFERROR(MATCH('Tasks Filter'!$I$4,Setup!$L$6:$L$9,0),0)),OR('Tasks Filter'!$I$5="Both",AND('Tasks Filter'!$I$5="Yes",BB36="✓"),AND('Tasks Filter'!$I$5="No",BB36&lt;&gt;"✓")),OR('Tasks Filter'!$L$3="",AV36='Tasks Filter'!$L$3),OR('Tasks Filter'!$L$4="",AZ36='Tasks Filter'!$L$4),OR('Tasks Filter'!$L$5="",BC36='Tasks Filter'!$L$5),OR('Tasks Filter'!$O$3="",BD36='Tasks Filter'!$O$3),OR('Tasks Filter'!$O$4="Yes",BG36=0)),1,0))</f>
        <v/>
      </c>
      <c r="BJ36">
        <f>IF(BH36=0,"",IF('Tasks Filter'!$F$6="Descending",-1,1)*CHOOSE(MATCH('Tasks Filter'!$F$5,Lists!$G$2:$G$6,0),AW36,BF36,IFERROR(MATCH(AV36,Setup!$F$6:$F$15,0),99),IFERROR(MATCH(BC36,Setup!$H$6:$H$15,0),99),IFERROR(MATCH(AZ36,Setup!$J$6:$J$11,0),99))*1E+9+(AW36-40000)*10000+35)</f>
        <v/>
      </c>
      <c r="BK36">
        <f>IF(BI36=1,BJ36,"")</f>
        <v/>
      </c>
      <c r="BL36">
        <f>IF(AND(BH36=1,BG36=0,N(AW36)&lt;Setup!$D$7),(AW36-40000)*10000+35,"")</f>
        <v/>
      </c>
      <c r="BM36">
        <f>IF(AND(BH36=1,AZ36&lt;&gt;"Cancelled",N(AW36)&gt;=Dashboard!$AB$3,N(AW36)&lt;=Dashboard!$AB$3+6),(AW36-40000)*100000+BF36*10000+35,"")</f>
        <v/>
      </c>
      <c r="BN36">
        <f>IF(AND(BH36=1,AZ36&lt;&gt;"Cancelled"),BF36*10000+35,"")</f>
        <v/>
      </c>
    </row>
    <row r="37">
      <c r="A37">
        <f>Setup!$D$5+35</f>
        <v/>
      </c>
      <c r="B37">
        <f>IF('Recurring Schedule'!$C$6="","",IF('Recurring Schedule'!$F$6="","",IF(OR($A37&lt;'Recurring Schedule'!$F$6,$A37&gt;'Recurring Schedule'!$P$6),"",IF(IF('Recurring Schedule'!$N$6&gt;0,MOD($A37-'Recurring Schedule'!$F$6,'Recurring Schedule'!$N$6)=0,IF('Recurring Schedule'!$O$6&gt;0,AND(DAY($A37)=MIN(DAY('Recurring Schedule'!$F$6),DAY(EOMONTH($A37,0))),MOD((YEAR($A37)-YEAR('Recurring Schedule'!$F$6))*12+MONTH($A37)-MONTH('Recurring Schedule'!$F$6),'Recurring Schedule'!$O$6)=0),IF('Recurring Schedule'!$E$6="Weekdays",WEEKDAY($A37,2)&lt;=5,$A37='Recurring Schedule'!$F$6))),1,""))))</f>
        <v/>
      </c>
      <c r="C37">
        <f>IF('Recurring Schedule'!$C$7="","",IF('Recurring Schedule'!$F$7="","",IF(OR($A37&lt;'Recurring Schedule'!$F$7,$A37&gt;'Recurring Schedule'!$P$7),"",IF(IF('Recurring Schedule'!$N$7&gt;0,MOD($A37-'Recurring Schedule'!$F$7,'Recurring Schedule'!$N$7)=0,IF('Recurring Schedule'!$O$7&gt;0,AND(DAY($A37)=MIN(DAY('Recurring Schedule'!$F$7),DAY(EOMONTH($A37,0))),MOD((YEAR($A37)-YEAR('Recurring Schedule'!$F$7))*12+MONTH($A37)-MONTH('Recurring Schedule'!$F$7),'Recurring Schedule'!$O$7)=0),IF('Recurring Schedule'!$E$7="Weekdays",WEEKDAY($A37,2)&lt;=5,$A37='Recurring Schedule'!$F$7))),2,""))))</f>
        <v/>
      </c>
      <c r="D37">
        <f>IF('Recurring Schedule'!$C$8="","",IF('Recurring Schedule'!$F$8="","",IF(OR($A37&lt;'Recurring Schedule'!$F$8,$A37&gt;'Recurring Schedule'!$P$8),"",IF(IF('Recurring Schedule'!$N$8&gt;0,MOD($A37-'Recurring Schedule'!$F$8,'Recurring Schedule'!$N$8)=0,IF('Recurring Schedule'!$O$8&gt;0,AND(DAY($A37)=MIN(DAY('Recurring Schedule'!$F$8),DAY(EOMONTH($A37,0))),MOD((YEAR($A37)-YEAR('Recurring Schedule'!$F$8))*12+MONTH($A37)-MONTH('Recurring Schedule'!$F$8),'Recurring Schedule'!$O$8)=0),IF('Recurring Schedule'!$E$8="Weekdays",WEEKDAY($A37,2)&lt;=5,$A37='Recurring Schedule'!$F$8))),3,""))))</f>
        <v/>
      </c>
      <c r="E37">
        <f>IF('Recurring Schedule'!$C$9="","",IF('Recurring Schedule'!$F$9="","",IF(OR($A37&lt;'Recurring Schedule'!$F$9,$A37&gt;'Recurring Schedule'!$P$9),"",IF(IF('Recurring Schedule'!$N$9&gt;0,MOD($A37-'Recurring Schedule'!$F$9,'Recurring Schedule'!$N$9)=0,IF('Recurring Schedule'!$O$9&gt;0,AND(DAY($A37)=MIN(DAY('Recurring Schedule'!$F$9),DAY(EOMONTH($A37,0))),MOD((YEAR($A37)-YEAR('Recurring Schedule'!$F$9))*12+MONTH($A37)-MONTH('Recurring Schedule'!$F$9),'Recurring Schedule'!$O$9)=0),IF('Recurring Schedule'!$E$9="Weekdays",WEEKDAY($A37,2)&lt;=5,$A37='Recurring Schedule'!$F$9))),4,""))))</f>
        <v/>
      </c>
      <c r="F37">
        <f>IF('Recurring Schedule'!$C$10="","",IF('Recurring Schedule'!$F$10="","",IF(OR($A37&lt;'Recurring Schedule'!$F$10,$A37&gt;'Recurring Schedule'!$P$10),"",IF(IF('Recurring Schedule'!$N$10&gt;0,MOD($A37-'Recurring Schedule'!$F$10,'Recurring Schedule'!$N$10)=0,IF('Recurring Schedule'!$O$10&gt;0,AND(DAY($A37)=MIN(DAY('Recurring Schedule'!$F$10),DAY(EOMONTH($A37,0))),MOD((YEAR($A37)-YEAR('Recurring Schedule'!$F$10))*12+MONTH($A37)-MONTH('Recurring Schedule'!$F$10),'Recurring Schedule'!$O$10)=0),IF('Recurring Schedule'!$E$10="Weekdays",WEEKDAY($A37,2)&lt;=5,$A37='Recurring Schedule'!$F$10))),5,""))))</f>
        <v/>
      </c>
      <c r="G37">
        <f>IF('Recurring Schedule'!$C$11="","",IF('Recurring Schedule'!$F$11="","",IF(OR($A37&lt;'Recurring Schedule'!$F$11,$A37&gt;'Recurring Schedule'!$P$11),"",IF(IF('Recurring Schedule'!$N$11&gt;0,MOD($A37-'Recurring Schedule'!$F$11,'Recurring Schedule'!$N$11)=0,IF('Recurring Schedule'!$O$11&gt;0,AND(DAY($A37)=MIN(DAY('Recurring Schedule'!$F$11),DAY(EOMONTH($A37,0))),MOD((YEAR($A37)-YEAR('Recurring Schedule'!$F$11))*12+MONTH($A37)-MONTH('Recurring Schedule'!$F$11),'Recurring Schedule'!$O$11)=0),IF('Recurring Schedule'!$E$11="Weekdays",WEEKDAY($A37,2)&lt;=5,$A37='Recurring Schedule'!$F$11))),6,""))))</f>
        <v/>
      </c>
      <c r="H37">
        <f>IF('Recurring Schedule'!$C$12="","",IF('Recurring Schedule'!$F$12="","",IF(OR($A37&lt;'Recurring Schedule'!$F$12,$A37&gt;'Recurring Schedule'!$P$12),"",IF(IF('Recurring Schedule'!$N$12&gt;0,MOD($A37-'Recurring Schedule'!$F$12,'Recurring Schedule'!$N$12)=0,IF('Recurring Schedule'!$O$12&gt;0,AND(DAY($A37)=MIN(DAY('Recurring Schedule'!$F$12),DAY(EOMONTH($A37,0))),MOD((YEAR($A37)-YEAR('Recurring Schedule'!$F$12))*12+MONTH($A37)-MONTH('Recurring Schedule'!$F$12),'Recurring Schedule'!$O$12)=0),IF('Recurring Schedule'!$E$12="Weekdays",WEEKDAY($A37,2)&lt;=5,$A37='Recurring Schedule'!$F$12))),7,""))))</f>
        <v/>
      </c>
      <c r="I37">
        <f>IF('Recurring Schedule'!$C$13="","",IF('Recurring Schedule'!$F$13="","",IF(OR($A37&lt;'Recurring Schedule'!$F$13,$A37&gt;'Recurring Schedule'!$P$13),"",IF(IF('Recurring Schedule'!$N$13&gt;0,MOD($A37-'Recurring Schedule'!$F$13,'Recurring Schedule'!$N$13)=0,IF('Recurring Schedule'!$O$13&gt;0,AND(DAY($A37)=MIN(DAY('Recurring Schedule'!$F$13),DAY(EOMONTH($A37,0))),MOD((YEAR($A37)-YEAR('Recurring Schedule'!$F$13))*12+MONTH($A37)-MONTH('Recurring Schedule'!$F$13),'Recurring Schedule'!$O$13)=0),IF('Recurring Schedule'!$E$13="Weekdays",WEEKDAY($A37,2)&lt;=5,$A37='Recurring Schedule'!$F$13))),8,""))))</f>
        <v/>
      </c>
      <c r="J37">
        <f>IF('Recurring Schedule'!$C$14="","",IF('Recurring Schedule'!$F$14="","",IF(OR($A37&lt;'Recurring Schedule'!$F$14,$A37&gt;'Recurring Schedule'!$P$14),"",IF(IF('Recurring Schedule'!$N$14&gt;0,MOD($A37-'Recurring Schedule'!$F$14,'Recurring Schedule'!$N$14)=0,IF('Recurring Schedule'!$O$14&gt;0,AND(DAY($A37)=MIN(DAY('Recurring Schedule'!$F$14),DAY(EOMONTH($A37,0))),MOD((YEAR($A37)-YEAR('Recurring Schedule'!$F$14))*12+MONTH($A37)-MONTH('Recurring Schedule'!$F$14),'Recurring Schedule'!$O$14)=0),IF('Recurring Schedule'!$E$14="Weekdays",WEEKDAY($A37,2)&lt;=5,$A37='Recurring Schedule'!$F$14))),9,""))))</f>
        <v/>
      </c>
      <c r="K37">
        <f>IF('Recurring Schedule'!$C$15="","",IF('Recurring Schedule'!$F$15="","",IF(OR($A37&lt;'Recurring Schedule'!$F$15,$A37&gt;'Recurring Schedule'!$P$15),"",IF(IF('Recurring Schedule'!$N$15&gt;0,MOD($A37-'Recurring Schedule'!$F$15,'Recurring Schedule'!$N$15)=0,IF('Recurring Schedule'!$O$15&gt;0,AND(DAY($A37)=MIN(DAY('Recurring Schedule'!$F$15),DAY(EOMONTH($A37,0))),MOD((YEAR($A37)-YEAR('Recurring Schedule'!$F$15))*12+MONTH($A37)-MONTH('Recurring Schedule'!$F$15),'Recurring Schedule'!$O$15)=0),IF('Recurring Schedule'!$E$15="Weekdays",WEEKDAY($A37,2)&lt;=5,$A37='Recurring Schedule'!$F$15))),10,""))))</f>
        <v/>
      </c>
      <c r="L37">
        <f>IF('Recurring Schedule'!$C$16="","",IF('Recurring Schedule'!$F$16="","",IF(OR($A37&lt;'Recurring Schedule'!$F$16,$A37&gt;'Recurring Schedule'!$P$16),"",IF(IF('Recurring Schedule'!$N$16&gt;0,MOD($A37-'Recurring Schedule'!$F$16,'Recurring Schedule'!$N$16)=0,IF('Recurring Schedule'!$O$16&gt;0,AND(DAY($A37)=MIN(DAY('Recurring Schedule'!$F$16),DAY(EOMONTH($A37,0))),MOD((YEAR($A37)-YEAR('Recurring Schedule'!$F$16))*12+MONTH($A37)-MONTH('Recurring Schedule'!$F$16),'Recurring Schedule'!$O$16)=0),IF('Recurring Schedule'!$E$16="Weekdays",WEEKDAY($A37,2)&lt;=5,$A37='Recurring Schedule'!$F$16))),11,""))))</f>
        <v/>
      </c>
      <c r="M37">
        <f>IF('Recurring Schedule'!$C$17="","",IF('Recurring Schedule'!$F$17="","",IF(OR($A37&lt;'Recurring Schedule'!$F$17,$A37&gt;'Recurring Schedule'!$P$17),"",IF(IF('Recurring Schedule'!$N$17&gt;0,MOD($A37-'Recurring Schedule'!$F$17,'Recurring Schedule'!$N$17)=0,IF('Recurring Schedule'!$O$17&gt;0,AND(DAY($A37)=MIN(DAY('Recurring Schedule'!$F$17),DAY(EOMONTH($A37,0))),MOD((YEAR($A37)-YEAR('Recurring Schedule'!$F$17))*12+MONTH($A37)-MONTH('Recurring Schedule'!$F$17),'Recurring Schedule'!$O$17)=0),IF('Recurring Schedule'!$E$17="Weekdays",WEEKDAY($A37,2)&lt;=5,$A37='Recurring Schedule'!$F$17))),12,""))))</f>
        <v/>
      </c>
      <c r="N37">
        <f>IF('Recurring Schedule'!$C$18="","",IF('Recurring Schedule'!$F$18="","",IF(OR($A37&lt;'Recurring Schedule'!$F$18,$A37&gt;'Recurring Schedule'!$P$18),"",IF(IF('Recurring Schedule'!$N$18&gt;0,MOD($A37-'Recurring Schedule'!$F$18,'Recurring Schedule'!$N$18)=0,IF('Recurring Schedule'!$O$18&gt;0,AND(DAY($A37)=MIN(DAY('Recurring Schedule'!$F$18),DAY(EOMONTH($A37,0))),MOD((YEAR($A37)-YEAR('Recurring Schedule'!$F$18))*12+MONTH($A37)-MONTH('Recurring Schedule'!$F$18),'Recurring Schedule'!$O$18)=0),IF('Recurring Schedule'!$E$18="Weekdays",WEEKDAY($A37,2)&lt;=5,$A37='Recurring Schedule'!$F$18))),13,""))))</f>
        <v/>
      </c>
      <c r="O37">
        <f>IF('Recurring Schedule'!$C$19="","",IF('Recurring Schedule'!$F$19="","",IF(OR($A37&lt;'Recurring Schedule'!$F$19,$A37&gt;'Recurring Schedule'!$P$19),"",IF(IF('Recurring Schedule'!$N$19&gt;0,MOD($A37-'Recurring Schedule'!$F$19,'Recurring Schedule'!$N$19)=0,IF('Recurring Schedule'!$O$19&gt;0,AND(DAY($A37)=MIN(DAY('Recurring Schedule'!$F$19),DAY(EOMONTH($A37,0))),MOD((YEAR($A37)-YEAR('Recurring Schedule'!$F$19))*12+MONTH($A37)-MONTH('Recurring Schedule'!$F$19),'Recurring Schedule'!$O$19)=0),IF('Recurring Schedule'!$E$19="Weekdays",WEEKDAY($A37,2)&lt;=5,$A37='Recurring Schedule'!$F$19))),14,""))))</f>
        <v/>
      </c>
      <c r="P37">
        <f>IF('Recurring Schedule'!$C$20="","",IF('Recurring Schedule'!$F$20="","",IF(OR($A37&lt;'Recurring Schedule'!$F$20,$A37&gt;'Recurring Schedule'!$P$20),"",IF(IF('Recurring Schedule'!$N$20&gt;0,MOD($A37-'Recurring Schedule'!$F$20,'Recurring Schedule'!$N$20)=0,IF('Recurring Schedule'!$O$20&gt;0,AND(DAY($A37)=MIN(DAY('Recurring Schedule'!$F$20),DAY(EOMONTH($A37,0))),MOD((YEAR($A37)-YEAR('Recurring Schedule'!$F$20))*12+MONTH($A37)-MONTH('Recurring Schedule'!$F$20),'Recurring Schedule'!$O$20)=0),IF('Recurring Schedule'!$E$20="Weekdays",WEEKDAY($A37,2)&lt;=5,$A37='Recurring Schedule'!$F$20))),15,""))))</f>
        <v/>
      </c>
      <c r="Q37">
        <f>IF('Recurring Schedule'!$C$21="","",IF('Recurring Schedule'!$F$21="","",IF(OR($A37&lt;'Recurring Schedule'!$F$21,$A37&gt;'Recurring Schedule'!$P$21),"",IF(IF('Recurring Schedule'!$N$21&gt;0,MOD($A37-'Recurring Schedule'!$F$21,'Recurring Schedule'!$N$21)=0,IF('Recurring Schedule'!$O$21&gt;0,AND(DAY($A37)=MIN(DAY('Recurring Schedule'!$F$21),DAY(EOMONTH($A37,0))),MOD((YEAR($A37)-YEAR('Recurring Schedule'!$F$21))*12+MONTH($A37)-MONTH('Recurring Schedule'!$F$21),'Recurring Schedule'!$O$21)=0),IF('Recurring Schedule'!$E$21="Weekdays",WEEKDAY($A37,2)&lt;=5,$A37='Recurring Schedule'!$F$21))),16,""))))</f>
        <v/>
      </c>
      <c r="R37">
        <f>IF('Recurring Schedule'!$C$22="","",IF('Recurring Schedule'!$F$22="","",IF(OR($A37&lt;'Recurring Schedule'!$F$22,$A37&gt;'Recurring Schedule'!$P$22),"",IF(IF('Recurring Schedule'!$N$22&gt;0,MOD($A37-'Recurring Schedule'!$F$22,'Recurring Schedule'!$N$22)=0,IF('Recurring Schedule'!$O$22&gt;0,AND(DAY($A37)=MIN(DAY('Recurring Schedule'!$F$22),DAY(EOMONTH($A37,0))),MOD((YEAR($A37)-YEAR('Recurring Schedule'!$F$22))*12+MONTH($A37)-MONTH('Recurring Schedule'!$F$22),'Recurring Schedule'!$O$22)=0),IF('Recurring Schedule'!$E$22="Weekdays",WEEKDAY($A37,2)&lt;=5,$A37='Recurring Schedule'!$F$22))),17,""))))</f>
        <v/>
      </c>
      <c r="S37">
        <f>IF('Recurring Schedule'!$C$23="","",IF('Recurring Schedule'!$F$23="","",IF(OR($A37&lt;'Recurring Schedule'!$F$23,$A37&gt;'Recurring Schedule'!$P$23),"",IF(IF('Recurring Schedule'!$N$23&gt;0,MOD($A37-'Recurring Schedule'!$F$23,'Recurring Schedule'!$N$23)=0,IF('Recurring Schedule'!$O$23&gt;0,AND(DAY($A37)=MIN(DAY('Recurring Schedule'!$F$23),DAY(EOMONTH($A37,0))),MOD((YEAR($A37)-YEAR('Recurring Schedule'!$F$23))*12+MONTH($A37)-MONTH('Recurring Schedule'!$F$23),'Recurring Schedule'!$O$23)=0),IF('Recurring Schedule'!$E$23="Weekdays",WEEKDAY($A37,2)&lt;=5,$A37='Recurring Schedule'!$F$23))),18,""))))</f>
        <v/>
      </c>
      <c r="T37">
        <f>IF('Recurring Schedule'!$C$24="","",IF('Recurring Schedule'!$F$24="","",IF(OR($A37&lt;'Recurring Schedule'!$F$24,$A37&gt;'Recurring Schedule'!$P$24),"",IF(IF('Recurring Schedule'!$N$24&gt;0,MOD($A37-'Recurring Schedule'!$F$24,'Recurring Schedule'!$N$24)=0,IF('Recurring Schedule'!$O$24&gt;0,AND(DAY($A37)=MIN(DAY('Recurring Schedule'!$F$24),DAY(EOMONTH($A37,0))),MOD((YEAR($A37)-YEAR('Recurring Schedule'!$F$24))*12+MONTH($A37)-MONTH('Recurring Schedule'!$F$24),'Recurring Schedule'!$O$24)=0),IF('Recurring Schedule'!$E$24="Weekdays",WEEKDAY($A37,2)&lt;=5,$A37='Recurring Schedule'!$F$24))),19,""))))</f>
        <v/>
      </c>
      <c r="U37">
        <f>IF('Recurring Schedule'!$C$25="","",IF('Recurring Schedule'!$F$25="","",IF(OR($A37&lt;'Recurring Schedule'!$F$25,$A37&gt;'Recurring Schedule'!$P$25),"",IF(IF('Recurring Schedule'!$N$25&gt;0,MOD($A37-'Recurring Schedule'!$F$25,'Recurring Schedule'!$N$25)=0,IF('Recurring Schedule'!$O$25&gt;0,AND(DAY($A37)=MIN(DAY('Recurring Schedule'!$F$25),DAY(EOMONTH($A37,0))),MOD((YEAR($A37)-YEAR('Recurring Schedule'!$F$25))*12+MONTH($A37)-MONTH('Recurring Schedule'!$F$25),'Recurring Schedule'!$O$25)=0),IF('Recurring Schedule'!$E$25="Weekdays",WEEKDAY($A37,2)&lt;=5,$A37='Recurring Schedule'!$F$25))),20,""))))</f>
        <v/>
      </c>
      <c r="V37">
        <f>IF('Recurring Schedule'!$C$26="","",IF('Recurring Schedule'!$F$26="","",IF(OR($A37&lt;'Recurring Schedule'!$F$26,$A37&gt;'Recurring Schedule'!$P$26),"",IF(IF('Recurring Schedule'!$N$26&gt;0,MOD($A37-'Recurring Schedule'!$F$26,'Recurring Schedule'!$N$26)=0,IF('Recurring Schedule'!$O$26&gt;0,AND(DAY($A37)=MIN(DAY('Recurring Schedule'!$F$26),DAY(EOMONTH($A37,0))),MOD((YEAR($A37)-YEAR('Recurring Schedule'!$F$26))*12+MONTH($A37)-MONTH('Recurring Schedule'!$F$26),'Recurring Schedule'!$O$26)=0),IF('Recurring Schedule'!$E$26="Weekdays",WEEKDAY($A37,2)&lt;=5,$A37='Recurring Schedule'!$F$26))),21,""))))</f>
        <v/>
      </c>
      <c r="W37">
        <f>IF('Recurring Schedule'!$C$27="","",IF('Recurring Schedule'!$F$27="","",IF(OR($A37&lt;'Recurring Schedule'!$F$27,$A37&gt;'Recurring Schedule'!$P$27),"",IF(IF('Recurring Schedule'!$N$27&gt;0,MOD($A37-'Recurring Schedule'!$F$27,'Recurring Schedule'!$N$27)=0,IF('Recurring Schedule'!$O$27&gt;0,AND(DAY($A37)=MIN(DAY('Recurring Schedule'!$F$27),DAY(EOMONTH($A37,0))),MOD((YEAR($A37)-YEAR('Recurring Schedule'!$F$27))*12+MONTH($A37)-MONTH('Recurring Schedule'!$F$27),'Recurring Schedule'!$O$27)=0),IF('Recurring Schedule'!$E$27="Weekdays",WEEKDAY($A37,2)&lt;=5,$A37='Recurring Schedule'!$F$27))),22,""))))</f>
        <v/>
      </c>
      <c r="X37">
        <f>IF('Recurring Schedule'!$C$28="","",IF('Recurring Schedule'!$F$28="","",IF(OR($A37&lt;'Recurring Schedule'!$F$28,$A37&gt;'Recurring Schedule'!$P$28),"",IF(IF('Recurring Schedule'!$N$28&gt;0,MOD($A37-'Recurring Schedule'!$F$28,'Recurring Schedule'!$N$28)=0,IF('Recurring Schedule'!$O$28&gt;0,AND(DAY($A37)=MIN(DAY('Recurring Schedule'!$F$28),DAY(EOMONTH($A37,0))),MOD((YEAR($A37)-YEAR('Recurring Schedule'!$F$28))*12+MONTH($A37)-MONTH('Recurring Schedule'!$F$28),'Recurring Schedule'!$O$28)=0),IF('Recurring Schedule'!$E$28="Weekdays",WEEKDAY($A37,2)&lt;=5,$A37='Recurring Schedule'!$F$28))),23,""))))</f>
        <v/>
      </c>
      <c r="Y37">
        <f>IF('Recurring Schedule'!$C$29="","",IF('Recurring Schedule'!$F$29="","",IF(OR($A37&lt;'Recurring Schedule'!$F$29,$A37&gt;'Recurring Schedule'!$P$29),"",IF(IF('Recurring Schedule'!$N$29&gt;0,MOD($A37-'Recurring Schedule'!$F$29,'Recurring Schedule'!$N$29)=0,IF('Recurring Schedule'!$O$29&gt;0,AND(DAY($A37)=MIN(DAY('Recurring Schedule'!$F$29),DAY(EOMONTH($A37,0))),MOD((YEAR($A37)-YEAR('Recurring Schedule'!$F$29))*12+MONTH($A37)-MONTH('Recurring Schedule'!$F$29),'Recurring Schedule'!$O$29)=0),IF('Recurring Schedule'!$E$29="Weekdays",WEEKDAY($A37,2)&lt;=5,$A37='Recurring Schedule'!$F$29))),24,""))))</f>
        <v/>
      </c>
      <c r="Z37">
        <f>IF('Recurring Schedule'!$C$30="","",IF('Recurring Schedule'!$F$30="","",IF(OR($A37&lt;'Recurring Schedule'!$F$30,$A37&gt;'Recurring Schedule'!$P$30),"",IF(IF('Recurring Schedule'!$N$30&gt;0,MOD($A37-'Recurring Schedule'!$F$30,'Recurring Schedule'!$N$30)=0,IF('Recurring Schedule'!$O$30&gt;0,AND(DAY($A37)=MIN(DAY('Recurring Schedule'!$F$30),DAY(EOMONTH($A37,0))),MOD((YEAR($A37)-YEAR('Recurring Schedule'!$F$30))*12+MONTH($A37)-MONTH('Recurring Schedule'!$F$30),'Recurring Schedule'!$O$30)=0),IF('Recurring Schedule'!$E$30="Weekdays",WEEKDAY($A37,2)&lt;=5,$A37='Recurring Schedule'!$F$30))),25,""))))</f>
        <v/>
      </c>
      <c r="AA37">
        <f>IF('Recurring Schedule'!$C$31="","",IF('Recurring Schedule'!$F$31="","",IF(OR($A37&lt;'Recurring Schedule'!$F$31,$A37&gt;'Recurring Schedule'!$P$31),"",IF(IF('Recurring Schedule'!$N$31&gt;0,MOD($A37-'Recurring Schedule'!$F$31,'Recurring Schedule'!$N$31)=0,IF('Recurring Schedule'!$O$31&gt;0,AND(DAY($A37)=MIN(DAY('Recurring Schedule'!$F$31),DAY(EOMONTH($A37,0))),MOD((YEAR($A37)-YEAR('Recurring Schedule'!$F$31))*12+MONTH($A37)-MONTH('Recurring Schedule'!$F$31),'Recurring Schedule'!$O$31)=0),IF('Recurring Schedule'!$E$31="Weekdays",WEEKDAY($A37,2)&lt;=5,$A37='Recurring Schedule'!$F$31))),26,""))))</f>
        <v/>
      </c>
      <c r="AB37">
        <f>IF('Recurring Schedule'!$C$32="","",IF('Recurring Schedule'!$F$32="","",IF(OR($A37&lt;'Recurring Schedule'!$F$32,$A37&gt;'Recurring Schedule'!$P$32),"",IF(IF('Recurring Schedule'!$N$32&gt;0,MOD($A37-'Recurring Schedule'!$F$32,'Recurring Schedule'!$N$32)=0,IF('Recurring Schedule'!$O$32&gt;0,AND(DAY($A37)=MIN(DAY('Recurring Schedule'!$F$32),DAY(EOMONTH($A37,0))),MOD((YEAR($A37)-YEAR('Recurring Schedule'!$F$32))*12+MONTH($A37)-MONTH('Recurring Schedule'!$F$32),'Recurring Schedule'!$O$32)=0),IF('Recurring Schedule'!$E$32="Weekdays",WEEKDAY($A37,2)&lt;=5,$A37='Recurring Schedule'!$F$32))),27,""))))</f>
        <v/>
      </c>
      <c r="AC37">
        <f>IF('Recurring Schedule'!$C$33="","",IF('Recurring Schedule'!$F$33="","",IF(OR($A37&lt;'Recurring Schedule'!$F$33,$A37&gt;'Recurring Schedule'!$P$33),"",IF(IF('Recurring Schedule'!$N$33&gt;0,MOD($A37-'Recurring Schedule'!$F$33,'Recurring Schedule'!$N$33)=0,IF('Recurring Schedule'!$O$33&gt;0,AND(DAY($A37)=MIN(DAY('Recurring Schedule'!$F$33),DAY(EOMONTH($A37,0))),MOD((YEAR($A37)-YEAR('Recurring Schedule'!$F$33))*12+MONTH($A37)-MONTH('Recurring Schedule'!$F$33),'Recurring Schedule'!$O$33)=0),IF('Recurring Schedule'!$E$33="Weekdays",WEEKDAY($A37,2)&lt;=5,$A37='Recurring Schedule'!$F$33))),28,""))))</f>
        <v/>
      </c>
      <c r="AD37">
        <f>IF('Recurring Schedule'!$C$34="","",IF('Recurring Schedule'!$F$34="","",IF(OR($A37&lt;'Recurring Schedule'!$F$34,$A37&gt;'Recurring Schedule'!$P$34),"",IF(IF('Recurring Schedule'!$N$34&gt;0,MOD($A37-'Recurring Schedule'!$F$34,'Recurring Schedule'!$N$34)=0,IF('Recurring Schedule'!$O$34&gt;0,AND(DAY($A37)=MIN(DAY('Recurring Schedule'!$F$34),DAY(EOMONTH($A37,0))),MOD((YEAR($A37)-YEAR('Recurring Schedule'!$F$34))*12+MONTH($A37)-MONTH('Recurring Schedule'!$F$34),'Recurring Schedule'!$O$34)=0),IF('Recurring Schedule'!$E$34="Weekdays",WEEKDAY($A37,2)&lt;=5,$A37='Recurring Schedule'!$F$34))),29,""))))</f>
        <v/>
      </c>
      <c r="AE37">
        <f>IF('Recurring Schedule'!$C$35="","",IF('Recurring Schedule'!$F$35="","",IF(OR($A37&lt;'Recurring Schedule'!$F$35,$A37&gt;'Recurring Schedule'!$P$35),"",IF(IF('Recurring Schedule'!$N$35&gt;0,MOD($A37-'Recurring Schedule'!$F$35,'Recurring Schedule'!$N$35)=0,IF('Recurring Schedule'!$O$35&gt;0,AND(DAY($A37)=MIN(DAY('Recurring Schedule'!$F$35),DAY(EOMONTH($A37,0))),MOD((YEAR($A37)-YEAR('Recurring Schedule'!$F$35))*12+MONTH($A37)-MONTH('Recurring Schedule'!$F$35),'Recurring Schedule'!$O$35)=0),IF('Recurring Schedule'!$E$35="Weekdays",WEEKDAY($A37,2)&lt;=5,$A37='Recurring Schedule'!$F$35))),30,""))))</f>
        <v/>
      </c>
      <c r="AF37">
        <f>IF('Recurring Schedule'!$C$36="","",IF('Recurring Schedule'!$F$36="","",IF(OR($A37&lt;'Recurring Schedule'!$F$36,$A37&gt;'Recurring Schedule'!$P$36),"",IF(IF('Recurring Schedule'!$N$36&gt;0,MOD($A37-'Recurring Schedule'!$F$36,'Recurring Schedule'!$N$36)=0,IF('Recurring Schedule'!$O$36&gt;0,AND(DAY($A37)=MIN(DAY('Recurring Schedule'!$F$36),DAY(EOMONTH($A37,0))),MOD((YEAR($A37)-YEAR('Recurring Schedule'!$F$36))*12+MONTH($A37)-MONTH('Recurring Schedule'!$F$36),'Recurring Schedule'!$O$36)=0),IF('Recurring Schedule'!$E$36="Weekdays",WEEKDAY($A37,2)&lt;=5,$A37='Recurring Schedule'!$F$36))),31,""))))</f>
        <v/>
      </c>
      <c r="AG37">
        <f>IF('Recurring Schedule'!$C$37="","",IF('Recurring Schedule'!$F$37="","",IF(OR($A37&lt;'Recurring Schedule'!$F$37,$A37&gt;'Recurring Schedule'!$P$37),"",IF(IF('Recurring Schedule'!$N$37&gt;0,MOD($A37-'Recurring Schedule'!$F$37,'Recurring Schedule'!$N$37)=0,IF('Recurring Schedule'!$O$37&gt;0,AND(DAY($A37)=MIN(DAY('Recurring Schedule'!$F$37),DAY(EOMONTH($A37,0))),MOD((YEAR($A37)-YEAR('Recurring Schedule'!$F$37))*12+MONTH($A37)-MONTH('Recurring Schedule'!$F$37),'Recurring Schedule'!$O$37)=0),IF('Recurring Schedule'!$E$37="Weekdays",WEEKDAY($A37,2)&lt;=5,$A37='Recurring Schedule'!$F$37))),32,""))))</f>
        <v/>
      </c>
      <c r="AH37">
        <f>IF('Recurring Schedule'!$C$38="","",IF('Recurring Schedule'!$F$38="","",IF(OR($A37&lt;'Recurring Schedule'!$F$38,$A37&gt;'Recurring Schedule'!$P$38),"",IF(IF('Recurring Schedule'!$N$38&gt;0,MOD($A37-'Recurring Schedule'!$F$38,'Recurring Schedule'!$N$38)=0,IF('Recurring Schedule'!$O$38&gt;0,AND(DAY($A37)=MIN(DAY('Recurring Schedule'!$F$38),DAY(EOMONTH($A37,0))),MOD((YEAR($A37)-YEAR('Recurring Schedule'!$F$38))*12+MONTH($A37)-MONTH('Recurring Schedule'!$F$38),'Recurring Schedule'!$O$38)=0),IF('Recurring Schedule'!$E$38="Weekdays",WEEKDAY($A37,2)&lt;=5,$A37='Recurring Schedule'!$F$38))),33,""))))</f>
        <v/>
      </c>
      <c r="AI37">
        <f>IF('Recurring Schedule'!$C$39="","",IF('Recurring Schedule'!$F$39="","",IF(OR($A37&lt;'Recurring Schedule'!$F$39,$A37&gt;'Recurring Schedule'!$P$39),"",IF(IF('Recurring Schedule'!$N$39&gt;0,MOD($A37-'Recurring Schedule'!$F$39,'Recurring Schedule'!$N$39)=0,IF('Recurring Schedule'!$O$39&gt;0,AND(DAY($A37)=MIN(DAY('Recurring Schedule'!$F$39),DAY(EOMONTH($A37,0))),MOD((YEAR($A37)-YEAR('Recurring Schedule'!$F$39))*12+MONTH($A37)-MONTH('Recurring Schedule'!$F$39),'Recurring Schedule'!$O$39)=0),IF('Recurring Schedule'!$E$39="Weekdays",WEEKDAY($A37,2)&lt;=5,$A37='Recurring Schedule'!$F$39))),34,""))))</f>
        <v/>
      </c>
      <c r="AJ37">
        <f>IF('Recurring Schedule'!$C$40="","",IF('Recurring Schedule'!$F$40="","",IF(OR($A37&lt;'Recurring Schedule'!$F$40,$A37&gt;'Recurring Schedule'!$P$40),"",IF(IF('Recurring Schedule'!$N$40&gt;0,MOD($A37-'Recurring Schedule'!$F$40,'Recurring Schedule'!$N$40)=0,IF('Recurring Schedule'!$O$40&gt;0,AND(DAY($A37)=MIN(DAY('Recurring Schedule'!$F$40),DAY(EOMONTH($A37,0))),MOD((YEAR($A37)-YEAR('Recurring Schedule'!$F$40))*12+MONTH($A37)-MONTH('Recurring Schedule'!$F$40),'Recurring Schedule'!$O$40)=0),IF('Recurring Schedule'!$E$40="Weekdays",WEEKDAY($A37,2)&lt;=5,$A37='Recurring Schedule'!$F$40))),35,""))))</f>
        <v/>
      </c>
      <c r="AK37">
        <f>IF('Recurring Schedule'!$C$41="","",IF('Recurring Schedule'!$F$41="","",IF(OR($A37&lt;'Recurring Schedule'!$F$41,$A37&gt;'Recurring Schedule'!$P$41),"",IF(IF('Recurring Schedule'!$N$41&gt;0,MOD($A37-'Recurring Schedule'!$F$41,'Recurring Schedule'!$N$41)=0,IF('Recurring Schedule'!$O$41&gt;0,AND(DAY($A37)=MIN(DAY('Recurring Schedule'!$F$41),DAY(EOMONTH($A37,0))),MOD((YEAR($A37)-YEAR('Recurring Schedule'!$F$41))*12+MONTH($A37)-MONTH('Recurring Schedule'!$F$41),'Recurring Schedule'!$O$41)=0),IF('Recurring Schedule'!$E$41="Weekdays",WEEKDAY($A37,2)&lt;=5,$A37='Recurring Schedule'!$F$41))),36,""))))</f>
        <v/>
      </c>
      <c r="AL37">
        <f>IF('Recurring Schedule'!$C$42="","",IF('Recurring Schedule'!$F$42="","",IF(OR($A37&lt;'Recurring Schedule'!$F$42,$A37&gt;'Recurring Schedule'!$P$42),"",IF(IF('Recurring Schedule'!$N$42&gt;0,MOD($A37-'Recurring Schedule'!$F$42,'Recurring Schedule'!$N$42)=0,IF('Recurring Schedule'!$O$42&gt;0,AND(DAY($A37)=MIN(DAY('Recurring Schedule'!$F$42),DAY(EOMONTH($A37,0))),MOD((YEAR($A37)-YEAR('Recurring Schedule'!$F$42))*12+MONTH($A37)-MONTH('Recurring Schedule'!$F$42),'Recurring Schedule'!$O$42)=0),IF('Recurring Schedule'!$E$42="Weekdays",WEEKDAY($A37,2)&lt;=5,$A37='Recurring Schedule'!$F$42))),37,""))))</f>
        <v/>
      </c>
      <c r="AM37">
        <f>IF('Recurring Schedule'!$C$43="","",IF('Recurring Schedule'!$F$43="","",IF(OR($A37&lt;'Recurring Schedule'!$F$43,$A37&gt;'Recurring Schedule'!$P$43),"",IF(IF('Recurring Schedule'!$N$43&gt;0,MOD($A37-'Recurring Schedule'!$F$43,'Recurring Schedule'!$N$43)=0,IF('Recurring Schedule'!$O$43&gt;0,AND(DAY($A37)=MIN(DAY('Recurring Schedule'!$F$43),DAY(EOMONTH($A37,0))),MOD((YEAR($A37)-YEAR('Recurring Schedule'!$F$43))*12+MONTH($A37)-MONTH('Recurring Schedule'!$F$43),'Recurring Schedule'!$O$43)=0),IF('Recurring Schedule'!$E$43="Weekdays",WEEKDAY($A37,2)&lt;=5,$A37='Recurring Schedule'!$F$43))),38,""))))</f>
        <v/>
      </c>
      <c r="AN37">
        <f>IF('Recurring Schedule'!$C$44="","",IF('Recurring Schedule'!$F$44="","",IF(OR($A37&lt;'Recurring Schedule'!$F$44,$A37&gt;'Recurring Schedule'!$P$44),"",IF(IF('Recurring Schedule'!$N$44&gt;0,MOD($A37-'Recurring Schedule'!$F$44,'Recurring Schedule'!$N$44)=0,IF('Recurring Schedule'!$O$44&gt;0,AND(DAY($A37)=MIN(DAY('Recurring Schedule'!$F$44),DAY(EOMONTH($A37,0))),MOD((YEAR($A37)-YEAR('Recurring Schedule'!$F$44))*12+MONTH($A37)-MONTH('Recurring Schedule'!$F$44),'Recurring Schedule'!$O$44)=0),IF('Recurring Schedule'!$E$44="Weekdays",WEEKDAY($A37,2)&lt;=5,$A37='Recurring Schedule'!$F$44))),39,""))))</f>
        <v/>
      </c>
      <c r="AO37">
        <f>IF('Recurring Schedule'!$C$45="","",IF('Recurring Schedule'!$F$45="","",IF(OR($A37&lt;'Recurring Schedule'!$F$45,$A37&gt;'Recurring Schedule'!$P$45),"",IF(IF('Recurring Schedule'!$N$45&gt;0,MOD($A37-'Recurring Schedule'!$F$45,'Recurring Schedule'!$N$45)=0,IF('Recurring Schedule'!$O$45&gt;0,AND(DAY($A37)=MIN(DAY('Recurring Schedule'!$F$45),DAY(EOMONTH($A37,0))),MOD((YEAR($A37)-YEAR('Recurring Schedule'!$F$45))*12+MONTH($A37)-MONTH('Recurring Schedule'!$F$45),'Recurring Schedule'!$O$45)=0),IF('Recurring Schedule'!$E$45="Weekdays",WEEKDAY($A37,2)&lt;=5,$A37='Recurring Schedule'!$F$45))),40,""))))</f>
        <v/>
      </c>
      <c r="AP37">
        <f>COUNT(B37:AO37)</f>
        <v/>
      </c>
      <c r="AQ37">
        <f>AQ36+AP36</f>
        <v/>
      </c>
      <c r="AS37" t="inlineStr">
        <is>
          <t>R</t>
        </is>
      </c>
      <c r="AT37" t="n">
        <v>41</v>
      </c>
      <c r="AU37">
        <f>'Recurring Log'!C41&amp;""</f>
        <v/>
      </c>
      <c r="AV37">
        <f>'Recurring Log'!D41&amp;""</f>
        <v/>
      </c>
      <c r="AW37">
        <f>IF('Recurring Log'!E41="","",'Recurring Log'!E41)</f>
        <v/>
      </c>
      <c r="AX37">
        <f>IF('Recurring Log'!G41="","",'Recurring Log'!G41)</f>
        <v/>
      </c>
      <c r="AY37">
        <f>IF('Recurring Log'!H41="","",'Recurring Log'!H41)</f>
        <v/>
      </c>
      <c r="AZ37">
        <f>IF(AU37="","",IF('Recurring Log'!J41="","Not Started",'Recurring Log'!J41))</f>
        <v/>
      </c>
      <c r="BA37">
        <f>'Recurring Log'!L41&amp;""</f>
        <v/>
      </c>
      <c r="BB37">
        <f>'Recurring Log'!M41&amp;""</f>
        <v/>
      </c>
      <c r="BC37">
        <f>'Recurring Log'!N41&amp;""</f>
        <v/>
      </c>
      <c r="BD37">
        <f>'Recurring Log'!O41&amp;""</f>
        <v/>
      </c>
      <c r="BE37">
        <f>IF('Recurring Log'!K41="","",'Recurring Log'!K41)</f>
        <v/>
      </c>
      <c r="BF37">
        <f>IFERROR(MATCH(BA37,Setup!$L$6:$L$9,0),5)</f>
        <v/>
      </c>
      <c r="BG37">
        <f>IF(OR(AZ37="Done",AZ37="Cancelled"),1,0)</f>
        <v/>
      </c>
      <c r="BH37">
        <f>IF(AND(AU37&lt;&gt;"",ISNUMBER(AW37)),1,0)</f>
        <v/>
      </c>
      <c r="BI37">
        <f>IF(BH37=0,0,IF(AND(AW37&gt;='Tasks Filter'!$F$3,AW37&lt;='Tasks Filter'!$F$4,OR('Tasks Filter'!$I$3="",ISNUMBER(SEARCH('Tasks Filter'!$I$3,AU37))),OR('Tasks Filter'!$I$4="",BF37=IFERROR(MATCH('Tasks Filter'!$I$4,Setup!$L$6:$L$9,0),0)),OR('Tasks Filter'!$I$5="Both",AND('Tasks Filter'!$I$5="Yes",BB37="✓"),AND('Tasks Filter'!$I$5="No",BB37&lt;&gt;"✓")),OR('Tasks Filter'!$L$3="",AV37='Tasks Filter'!$L$3),OR('Tasks Filter'!$L$4="",AZ37='Tasks Filter'!$L$4),OR('Tasks Filter'!$L$5="",BC37='Tasks Filter'!$L$5),OR('Tasks Filter'!$O$3="",BD37='Tasks Filter'!$O$3),OR('Tasks Filter'!$O$4="Yes",BG37=0)),1,0))</f>
        <v/>
      </c>
      <c r="BJ37">
        <f>IF(BH37=0,"",IF('Tasks Filter'!$F$6="Descending",-1,1)*CHOOSE(MATCH('Tasks Filter'!$F$5,Lists!$G$2:$G$6,0),AW37,BF37,IFERROR(MATCH(AV37,Setup!$F$6:$F$15,0),99),IFERROR(MATCH(BC37,Setup!$H$6:$H$15,0),99),IFERROR(MATCH(AZ37,Setup!$J$6:$J$11,0),99))*1E+9+(AW37-40000)*10000+36)</f>
        <v/>
      </c>
      <c r="BK37">
        <f>IF(BI37=1,BJ37,"")</f>
        <v/>
      </c>
      <c r="BL37">
        <f>IF(AND(BH37=1,BG37=0,N(AW37)&lt;Setup!$D$7),(AW37-40000)*10000+36,"")</f>
        <v/>
      </c>
      <c r="BM37">
        <f>IF(AND(BH37=1,AZ37&lt;&gt;"Cancelled",N(AW37)&gt;=Dashboard!$AB$3,N(AW37)&lt;=Dashboard!$AB$3+6),(AW37-40000)*100000+BF37*10000+36,"")</f>
        <v/>
      </c>
      <c r="BN37">
        <f>IF(AND(BH37=1,AZ37&lt;&gt;"Cancelled"),BF37*10000+36,"")</f>
        <v/>
      </c>
    </row>
    <row r="38">
      <c r="A38">
        <f>Setup!$D$5+36</f>
        <v/>
      </c>
      <c r="B38">
        <f>IF('Recurring Schedule'!$C$6="","",IF('Recurring Schedule'!$F$6="","",IF(OR($A38&lt;'Recurring Schedule'!$F$6,$A38&gt;'Recurring Schedule'!$P$6),"",IF(IF('Recurring Schedule'!$N$6&gt;0,MOD($A38-'Recurring Schedule'!$F$6,'Recurring Schedule'!$N$6)=0,IF('Recurring Schedule'!$O$6&gt;0,AND(DAY($A38)=MIN(DAY('Recurring Schedule'!$F$6),DAY(EOMONTH($A38,0))),MOD((YEAR($A38)-YEAR('Recurring Schedule'!$F$6))*12+MONTH($A38)-MONTH('Recurring Schedule'!$F$6),'Recurring Schedule'!$O$6)=0),IF('Recurring Schedule'!$E$6="Weekdays",WEEKDAY($A38,2)&lt;=5,$A38='Recurring Schedule'!$F$6))),1,""))))</f>
        <v/>
      </c>
      <c r="C38">
        <f>IF('Recurring Schedule'!$C$7="","",IF('Recurring Schedule'!$F$7="","",IF(OR($A38&lt;'Recurring Schedule'!$F$7,$A38&gt;'Recurring Schedule'!$P$7),"",IF(IF('Recurring Schedule'!$N$7&gt;0,MOD($A38-'Recurring Schedule'!$F$7,'Recurring Schedule'!$N$7)=0,IF('Recurring Schedule'!$O$7&gt;0,AND(DAY($A38)=MIN(DAY('Recurring Schedule'!$F$7),DAY(EOMONTH($A38,0))),MOD((YEAR($A38)-YEAR('Recurring Schedule'!$F$7))*12+MONTH($A38)-MONTH('Recurring Schedule'!$F$7),'Recurring Schedule'!$O$7)=0),IF('Recurring Schedule'!$E$7="Weekdays",WEEKDAY($A38,2)&lt;=5,$A38='Recurring Schedule'!$F$7))),2,""))))</f>
        <v/>
      </c>
      <c r="D38">
        <f>IF('Recurring Schedule'!$C$8="","",IF('Recurring Schedule'!$F$8="","",IF(OR($A38&lt;'Recurring Schedule'!$F$8,$A38&gt;'Recurring Schedule'!$P$8),"",IF(IF('Recurring Schedule'!$N$8&gt;0,MOD($A38-'Recurring Schedule'!$F$8,'Recurring Schedule'!$N$8)=0,IF('Recurring Schedule'!$O$8&gt;0,AND(DAY($A38)=MIN(DAY('Recurring Schedule'!$F$8),DAY(EOMONTH($A38,0))),MOD((YEAR($A38)-YEAR('Recurring Schedule'!$F$8))*12+MONTH($A38)-MONTH('Recurring Schedule'!$F$8),'Recurring Schedule'!$O$8)=0),IF('Recurring Schedule'!$E$8="Weekdays",WEEKDAY($A38,2)&lt;=5,$A38='Recurring Schedule'!$F$8))),3,""))))</f>
        <v/>
      </c>
      <c r="E38">
        <f>IF('Recurring Schedule'!$C$9="","",IF('Recurring Schedule'!$F$9="","",IF(OR($A38&lt;'Recurring Schedule'!$F$9,$A38&gt;'Recurring Schedule'!$P$9),"",IF(IF('Recurring Schedule'!$N$9&gt;0,MOD($A38-'Recurring Schedule'!$F$9,'Recurring Schedule'!$N$9)=0,IF('Recurring Schedule'!$O$9&gt;0,AND(DAY($A38)=MIN(DAY('Recurring Schedule'!$F$9),DAY(EOMONTH($A38,0))),MOD((YEAR($A38)-YEAR('Recurring Schedule'!$F$9))*12+MONTH($A38)-MONTH('Recurring Schedule'!$F$9),'Recurring Schedule'!$O$9)=0),IF('Recurring Schedule'!$E$9="Weekdays",WEEKDAY($A38,2)&lt;=5,$A38='Recurring Schedule'!$F$9))),4,""))))</f>
        <v/>
      </c>
      <c r="F38">
        <f>IF('Recurring Schedule'!$C$10="","",IF('Recurring Schedule'!$F$10="","",IF(OR($A38&lt;'Recurring Schedule'!$F$10,$A38&gt;'Recurring Schedule'!$P$10),"",IF(IF('Recurring Schedule'!$N$10&gt;0,MOD($A38-'Recurring Schedule'!$F$10,'Recurring Schedule'!$N$10)=0,IF('Recurring Schedule'!$O$10&gt;0,AND(DAY($A38)=MIN(DAY('Recurring Schedule'!$F$10),DAY(EOMONTH($A38,0))),MOD((YEAR($A38)-YEAR('Recurring Schedule'!$F$10))*12+MONTH($A38)-MONTH('Recurring Schedule'!$F$10),'Recurring Schedule'!$O$10)=0),IF('Recurring Schedule'!$E$10="Weekdays",WEEKDAY($A38,2)&lt;=5,$A38='Recurring Schedule'!$F$10))),5,""))))</f>
        <v/>
      </c>
      <c r="G38">
        <f>IF('Recurring Schedule'!$C$11="","",IF('Recurring Schedule'!$F$11="","",IF(OR($A38&lt;'Recurring Schedule'!$F$11,$A38&gt;'Recurring Schedule'!$P$11),"",IF(IF('Recurring Schedule'!$N$11&gt;0,MOD($A38-'Recurring Schedule'!$F$11,'Recurring Schedule'!$N$11)=0,IF('Recurring Schedule'!$O$11&gt;0,AND(DAY($A38)=MIN(DAY('Recurring Schedule'!$F$11),DAY(EOMONTH($A38,0))),MOD((YEAR($A38)-YEAR('Recurring Schedule'!$F$11))*12+MONTH($A38)-MONTH('Recurring Schedule'!$F$11),'Recurring Schedule'!$O$11)=0),IF('Recurring Schedule'!$E$11="Weekdays",WEEKDAY($A38,2)&lt;=5,$A38='Recurring Schedule'!$F$11))),6,""))))</f>
        <v/>
      </c>
      <c r="H38">
        <f>IF('Recurring Schedule'!$C$12="","",IF('Recurring Schedule'!$F$12="","",IF(OR($A38&lt;'Recurring Schedule'!$F$12,$A38&gt;'Recurring Schedule'!$P$12),"",IF(IF('Recurring Schedule'!$N$12&gt;0,MOD($A38-'Recurring Schedule'!$F$12,'Recurring Schedule'!$N$12)=0,IF('Recurring Schedule'!$O$12&gt;0,AND(DAY($A38)=MIN(DAY('Recurring Schedule'!$F$12),DAY(EOMONTH($A38,0))),MOD((YEAR($A38)-YEAR('Recurring Schedule'!$F$12))*12+MONTH($A38)-MONTH('Recurring Schedule'!$F$12),'Recurring Schedule'!$O$12)=0),IF('Recurring Schedule'!$E$12="Weekdays",WEEKDAY($A38,2)&lt;=5,$A38='Recurring Schedule'!$F$12))),7,""))))</f>
        <v/>
      </c>
      <c r="I38">
        <f>IF('Recurring Schedule'!$C$13="","",IF('Recurring Schedule'!$F$13="","",IF(OR($A38&lt;'Recurring Schedule'!$F$13,$A38&gt;'Recurring Schedule'!$P$13),"",IF(IF('Recurring Schedule'!$N$13&gt;0,MOD($A38-'Recurring Schedule'!$F$13,'Recurring Schedule'!$N$13)=0,IF('Recurring Schedule'!$O$13&gt;0,AND(DAY($A38)=MIN(DAY('Recurring Schedule'!$F$13),DAY(EOMONTH($A38,0))),MOD((YEAR($A38)-YEAR('Recurring Schedule'!$F$13))*12+MONTH($A38)-MONTH('Recurring Schedule'!$F$13),'Recurring Schedule'!$O$13)=0),IF('Recurring Schedule'!$E$13="Weekdays",WEEKDAY($A38,2)&lt;=5,$A38='Recurring Schedule'!$F$13))),8,""))))</f>
        <v/>
      </c>
      <c r="J38">
        <f>IF('Recurring Schedule'!$C$14="","",IF('Recurring Schedule'!$F$14="","",IF(OR($A38&lt;'Recurring Schedule'!$F$14,$A38&gt;'Recurring Schedule'!$P$14),"",IF(IF('Recurring Schedule'!$N$14&gt;0,MOD($A38-'Recurring Schedule'!$F$14,'Recurring Schedule'!$N$14)=0,IF('Recurring Schedule'!$O$14&gt;0,AND(DAY($A38)=MIN(DAY('Recurring Schedule'!$F$14),DAY(EOMONTH($A38,0))),MOD((YEAR($A38)-YEAR('Recurring Schedule'!$F$14))*12+MONTH($A38)-MONTH('Recurring Schedule'!$F$14),'Recurring Schedule'!$O$14)=0),IF('Recurring Schedule'!$E$14="Weekdays",WEEKDAY($A38,2)&lt;=5,$A38='Recurring Schedule'!$F$14))),9,""))))</f>
        <v/>
      </c>
      <c r="K38">
        <f>IF('Recurring Schedule'!$C$15="","",IF('Recurring Schedule'!$F$15="","",IF(OR($A38&lt;'Recurring Schedule'!$F$15,$A38&gt;'Recurring Schedule'!$P$15),"",IF(IF('Recurring Schedule'!$N$15&gt;0,MOD($A38-'Recurring Schedule'!$F$15,'Recurring Schedule'!$N$15)=0,IF('Recurring Schedule'!$O$15&gt;0,AND(DAY($A38)=MIN(DAY('Recurring Schedule'!$F$15),DAY(EOMONTH($A38,0))),MOD((YEAR($A38)-YEAR('Recurring Schedule'!$F$15))*12+MONTH($A38)-MONTH('Recurring Schedule'!$F$15),'Recurring Schedule'!$O$15)=0),IF('Recurring Schedule'!$E$15="Weekdays",WEEKDAY($A38,2)&lt;=5,$A38='Recurring Schedule'!$F$15))),10,""))))</f>
        <v/>
      </c>
      <c r="L38">
        <f>IF('Recurring Schedule'!$C$16="","",IF('Recurring Schedule'!$F$16="","",IF(OR($A38&lt;'Recurring Schedule'!$F$16,$A38&gt;'Recurring Schedule'!$P$16),"",IF(IF('Recurring Schedule'!$N$16&gt;0,MOD($A38-'Recurring Schedule'!$F$16,'Recurring Schedule'!$N$16)=0,IF('Recurring Schedule'!$O$16&gt;0,AND(DAY($A38)=MIN(DAY('Recurring Schedule'!$F$16),DAY(EOMONTH($A38,0))),MOD((YEAR($A38)-YEAR('Recurring Schedule'!$F$16))*12+MONTH($A38)-MONTH('Recurring Schedule'!$F$16),'Recurring Schedule'!$O$16)=0),IF('Recurring Schedule'!$E$16="Weekdays",WEEKDAY($A38,2)&lt;=5,$A38='Recurring Schedule'!$F$16))),11,""))))</f>
        <v/>
      </c>
      <c r="M38">
        <f>IF('Recurring Schedule'!$C$17="","",IF('Recurring Schedule'!$F$17="","",IF(OR($A38&lt;'Recurring Schedule'!$F$17,$A38&gt;'Recurring Schedule'!$P$17),"",IF(IF('Recurring Schedule'!$N$17&gt;0,MOD($A38-'Recurring Schedule'!$F$17,'Recurring Schedule'!$N$17)=0,IF('Recurring Schedule'!$O$17&gt;0,AND(DAY($A38)=MIN(DAY('Recurring Schedule'!$F$17),DAY(EOMONTH($A38,0))),MOD((YEAR($A38)-YEAR('Recurring Schedule'!$F$17))*12+MONTH($A38)-MONTH('Recurring Schedule'!$F$17),'Recurring Schedule'!$O$17)=0),IF('Recurring Schedule'!$E$17="Weekdays",WEEKDAY($A38,2)&lt;=5,$A38='Recurring Schedule'!$F$17))),12,""))))</f>
        <v/>
      </c>
      <c r="N38">
        <f>IF('Recurring Schedule'!$C$18="","",IF('Recurring Schedule'!$F$18="","",IF(OR($A38&lt;'Recurring Schedule'!$F$18,$A38&gt;'Recurring Schedule'!$P$18),"",IF(IF('Recurring Schedule'!$N$18&gt;0,MOD($A38-'Recurring Schedule'!$F$18,'Recurring Schedule'!$N$18)=0,IF('Recurring Schedule'!$O$18&gt;0,AND(DAY($A38)=MIN(DAY('Recurring Schedule'!$F$18),DAY(EOMONTH($A38,0))),MOD((YEAR($A38)-YEAR('Recurring Schedule'!$F$18))*12+MONTH($A38)-MONTH('Recurring Schedule'!$F$18),'Recurring Schedule'!$O$18)=0),IF('Recurring Schedule'!$E$18="Weekdays",WEEKDAY($A38,2)&lt;=5,$A38='Recurring Schedule'!$F$18))),13,""))))</f>
        <v/>
      </c>
      <c r="O38">
        <f>IF('Recurring Schedule'!$C$19="","",IF('Recurring Schedule'!$F$19="","",IF(OR($A38&lt;'Recurring Schedule'!$F$19,$A38&gt;'Recurring Schedule'!$P$19),"",IF(IF('Recurring Schedule'!$N$19&gt;0,MOD($A38-'Recurring Schedule'!$F$19,'Recurring Schedule'!$N$19)=0,IF('Recurring Schedule'!$O$19&gt;0,AND(DAY($A38)=MIN(DAY('Recurring Schedule'!$F$19),DAY(EOMONTH($A38,0))),MOD((YEAR($A38)-YEAR('Recurring Schedule'!$F$19))*12+MONTH($A38)-MONTH('Recurring Schedule'!$F$19),'Recurring Schedule'!$O$19)=0),IF('Recurring Schedule'!$E$19="Weekdays",WEEKDAY($A38,2)&lt;=5,$A38='Recurring Schedule'!$F$19))),14,""))))</f>
        <v/>
      </c>
      <c r="P38">
        <f>IF('Recurring Schedule'!$C$20="","",IF('Recurring Schedule'!$F$20="","",IF(OR($A38&lt;'Recurring Schedule'!$F$20,$A38&gt;'Recurring Schedule'!$P$20),"",IF(IF('Recurring Schedule'!$N$20&gt;0,MOD($A38-'Recurring Schedule'!$F$20,'Recurring Schedule'!$N$20)=0,IF('Recurring Schedule'!$O$20&gt;0,AND(DAY($A38)=MIN(DAY('Recurring Schedule'!$F$20),DAY(EOMONTH($A38,0))),MOD((YEAR($A38)-YEAR('Recurring Schedule'!$F$20))*12+MONTH($A38)-MONTH('Recurring Schedule'!$F$20),'Recurring Schedule'!$O$20)=0),IF('Recurring Schedule'!$E$20="Weekdays",WEEKDAY($A38,2)&lt;=5,$A38='Recurring Schedule'!$F$20))),15,""))))</f>
        <v/>
      </c>
      <c r="Q38">
        <f>IF('Recurring Schedule'!$C$21="","",IF('Recurring Schedule'!$F$21="","",IF(OR($A38&lt;'Recurring Schedule'!$F$21,$A38&gt;'Recurring Schedule'!$P$21),"",IF(IF('Recurring Schedule'!$N$21&gt;0,MOD($A38-'Recurring Schedule'!$F$21,'Recurring Schedule'!$N$21)=0,IF('Recurring Schedule'!$O$21&gt;0,AND(DAY($A38)=MIN(DAY('Recurring Schedule'!$F$21),DAY(EOMONTH($A38,0))),MOD((YEAR($A38)-YEAR('Recurring Schedule'!$F$21))*12+MONTH($A38)-MONTH('Recurring Schedule'!$F$21),'Recurring Schedule'!$O$21)=0),IF('Recurring Schedule'!$E$21="Weekdays",WEEKDAY($A38,2)&lt;=5,$A38='Recurring Schedule'!$F$21))),16,""))))</f>
        <v/>
      </c>
      <c r="R38">
        <f>IF('Recurring Schedule'!$C$22="","",IF('Recurring Schedule'!$F$22="","",IF(OR($A38&lt;'Recurring Schedule'!$F$22,$A38&gt;'Recurring Schedule'!$P$22),"",IF(IF('Recurring Schedule'!$N$22&gt;0,MOD($A38-'Recurring Schedule'!$F$22,'Recurring Schedule'!$N$22)=0,IF('Recurring Schedule'!$O$22&gt;0,AND(DAY($A38)=MIN(DAY('Recurring Schedule'!$F$22),DAY(EOMONTH($A38,0))),MOD((YEAR($A38)-YEAR('Recurring Schedule'!$F$22))*12+MONTH($A38)-MONTH('Recurring Schedule'!$F$22),'Recurring Schedule'!$O$22)=0),IF('Recurring Schedule'!$E$22="Weekdays",WEEKDAY($A38,2)&lt;=5,$A38='Recurring Schedule'!$F$22))),17,""))))</f>
        <v/>
      </c>
      <c r="S38">
        <f>IF('Recurring Schedule'!$C$23="","",IF('Recurring Schedule'!$F$23="","",IF(OR($A38&lt;'Recurring Schedule'!$F$23,$A38&gt;'Recurring Schedule'!$P$23),"",IF(IF('Recurring Schedule'!$N$23&gt;0,MOD($A38-'Recurring Schedule'!$F$23,'Recurring Schedule'!$N$23)=0,IF('Recurring Schedule'!$O$23&gt;0,AND(DAY($A38)=MIN(DAY('Recurring Schedule'!$F$23),DAY(EOMONTH($A38,0))),MOD((YEAR($A38)-YEAR('Recurring Schedule'!$F$23))*12+MONTH($A38)-MONTH('Recurring Schedule'!$F$23),'Recurring Schedule'!$O$23)=0),IF('Recurring Schedule'!$E$23="Weekdays",WEEKDAY($A38,2)&lt;=5,$A38='Recurring Schedule'!$F$23))),18,""))))</f>
        <v/>
      </c>
      <c r="T38">
        <f>IF('Recurring Schedule'!$C$24="","",IF('Recurring Schedule'!$F$24="","",IF(OR($A38&lt;'Recurring Schedule'!$F$24,$A38&gt;'Recurring Schedule'!$P$24),"",IF(IF('Recurring Schedule'!$N$24&gt;0,MOD($A38-'Recurring Schedule'!$F$24,'Recurring Schedule'!$N$24)=0,IF('Recurring Schedule'!$O$24&gt;0,AND(DAY($A38)=MIN(DAY('Recurring Schedule'!$F$24),DAY(EOMONTH($A38,0))),MOD((YEAR($A38)-YEAR('Recurring Schedule'!$F$24))*12+MONTH($A38)-MONTH('Recurring Schedule'!$F$24),'Recurring Schedule'!$O$24)=0),IF('Recurring Schedule'!$E$24="Weekdays",WEEKDAY($A38,2)&lt;=5,$A38='Recurring Schedule'!$F$24))),19,""))))</f>
        <v/>
      </c>
      <c r="U38">
        <f>IF('Recurring Schedule'!$C$25="","",IF('Recurring Schedule'!$F$25="","",IF(OR($A38&lt;'Recurring Schedule'!$F$25,$A38&gt;'Recurring Schedule'!$P$25),"",IF(IF('Recurring Schedule'!$N$25&gt;0,MOD($A38-'Recurring Schedule'!$F$25,'Recurring Schedule'!$N$25)=0,IF('Recurring Schedule'!$O$25&gt;0,AND(DAY($A38)=MIN(DAY('Recurring Schedule'!$F$25),DAY(EOMONTH($A38,0))),MOD((YEAR($A38)-YEAR('Recurring Schedule'!$F$25))*12+MONTH($A38)-MONTH('Recurring Schedule'!$F$25),'Recurring Schedule'!$O$25)=0),IF('Recurring Schedule'!$E$25="Weekdays",WEEKDAY($A38,2)&lt;=5,$A38='Recurring Schedule'!$F$25))),20,""))))</f>
        <v/>
      </c>
      <c r="V38">
        <f>IF('Recurring Schedule'!$C$26="","",IF('Recurring Schedule'!$F$26="","",IF(OR($A38&lt;'Recurring Schedule'!$F$26,$A38&gt;'Recurring Schedule'!$P$26),"",IF(IF('Recurring Schedule'!$N$26&gt;0,MOD($A38-'Recurring Schedule'!$F$26,'Recurring Schedule'!$N$26)=0,IF('Recurring Schedule'!$O$26&gt;0,AND(DAY($A38)=MIN(DAY('Recurring Schedule'!$F$26),DAY(EOMONTH($A38,0))),MOD((YEAR($A38)-YEAR('Recurring Schedule'!$F$26))*12+MONTH($A38)-MONTH('Recurring Schedule'!$F$26),'Recurring Schedule'!$O$26)=0),IF('Recurring Schedule'!$E$26="Weekdays",WEEKDAY($A38,2)&lt;=5,$A38='Recurring Schedule'!$F$26))),21,""))))</f>
        <v/>
      </c>
      <c r="W38">
        <f>IF('Recurring Schedule'!$C$27="","",IF('Recurring Schedule'!$F$27="","",IF(OR($A38&lt;'Recurring Schedule'!$F$27,$A38&gt;'Recurring Schedule'!$P$27),"",IF(IF('Recurring Schedule'!$N$27&gt;0,MOD($A38-'Recurring Schedule'!$F$27,'Recurring Schedule'!$N$27)=0,IF('Recurring Schedule'!$O$27&gt;0,AND(DAY($A38)=MIN(DAY('Recurring Schedule'!$F$27),DAY(EOMONTH($A38,0))),MOD((YEAR($A38)-YEAR('Recurring Schedule'!$F$27))*12+MONTH($A38)-MONTH('Recurring Schedule'!$F$27),'Recurring Schedule'!$O$27)=0),IF('Recurring Schedule'!$E$27="Weekdays",WEEKDAY($A38,2)&lt;=5,$A38='Recurring Schedule'!$F$27))),22,""))))</f>
        <v/>
      </c>
      <c r="X38">
        <f>IF('Recurring Schedule'!$C$28="","",IF('Recurring Schedule'!$F$28="","",IF(OR($A38&lt;'Recurring Schedule'!$F$28,$A38&gt;'Recurring Schedule'!$P$28),"",IF(IF('Recurring Schedule'!$N$28&gt;0,MOD($A38-'Recurring Schedule'!$F$28,'Recurring Schedule'!$N$28)=0,IF('Recurring Schedule'!$O$28&gt;0,AND(DAY($A38)=MIN(DAY('Recurring Schedule'!$F$28),DAY(EOMONTH($A38,0))),MOD((YEAR($A38)-YEAR('Recurring Schedule'!$F$28))*12+MONTH($A38)-MONTH('Recurring Schedule'!$F$28),'Recurring Schedule'!$O$28)=0),IF('Recurring Schedule'!$E$28="Weekdays",WEEKDAY($A38,2)&lt;=5,$A38='Recurring Schedule'!$F$28))),23,""))))</f>
        <v/>
      </c>
      <c r="Y38">
        <f>IF('Recurring Schedule'!$C$29="","",IF('Recurring Schedule'!$F$29="","",IF(OR($A38&lt;'Recurring Schedule'!$F$29,$A38&gt;'Recurring Schedule'!$P$29),"",IF(IF('Recurring Schedule'!$N$29&gt;0,MOD($A38-'Recurring Schedule'!$F$29,'Recurring Schedule'!$N$29)=0,IF('Recurring Schedule'!$O$29&gt;0,AND(DAY($A38)=MIN(DAY('Recurring Schedule'!$F$29),DAY(EOMONTH($A38,0))),MOD((YEAR($A38)-YEAR('Recurring Schedule'!$F$29))*12+MONTH($A38)-MONTH('Recurring Schedule'!$F$29),'Recurring Schedule'!$O$29)=0),IF('Recurring Schedule'!$E$29="Weekdays",WEEKDAY($A38,2)&lt;=5,$A38='Recurring Schedule'!$F$29))),24,""))))</f>
        <v/>
      </c>
      <c r="Z38">
        <f>IF('Recurring Schedule'!$C$30="","",IF('Recurring Schedule'!$F$30="","",IF(OR($A38&lt;'Recurring Schedule'!$F$30,$A38&gt;'Recurring Schedule'!$P$30),"",IF(IF('Recurring Schedule'!$N$30&gt;0,MOD($A38-'Recurring Schedule'!$F$30,'Recurring Schedule'!$N$30)=0,IF('Recurring Schedule'!$O$30&gt;0,AND(DAY($A38)=MIN(DAY('Recurring Schedule'!$F$30),DAY(EOMONTH($A38,0))),MOD((YEAR($A38)-YEAR('Recurring Schedule'!$F$30))*12+MONTH($A38)-MONTH('Recurring Schedule'!$F$30),'Recurring Schedule'!$O$30)=0),IF('Recurring Schedule'!$E$30="Weekdays",WEEKDAY($A38,2)&lt;=5,$A38='Recurring Schedule'!$F$30))),25,""))))</f>
        <v/>
      </c>
      <c r="AA38">
        <f>IF('Recurring Schedule'!$C$31="","",IF('Recurring Schedule'!$F$31="","",IF(OR($A38&lt;'Recurring Schedule'!$F$31,$A38&gt;'Recurring Schedule'!$P$31),"",IF(IF('Recurring Schedule'!$N$31&gt;0,MOD($A38-'Recurring Schedule'!$F$31,'Recurring Schedule'!$N$31)=0,IF('Recurring Schedule'!$O$31&gt;0,AND(DAY($A38)=MIN(DAY('Recurring Schedule'!$F$31),DAY(EOMONTH($A38,0))),MOD((YEAR($A38)-YEAR('Recurring Schedule'!$F$31))*12+MONTH($A38)-MONTH('Recurring Schedule'!$F$31),'Recurring Schedule'!$O$31)=0),IF('Recurring Schedule'!$E$31="Weekdays",WEEKDAY($A38,2)&lt;=5,$A38='Recurring Schedule'!$F$31))),26,""))))</f>
        <v/>
      </c>
      <c r="AB38">
        <f>IF('Recurring Schedule'!$C$32="","",IF('Recurring Schedule'!$F$32="","",IF(OR($A38&lt;'Recurring Schedule'!$F$32,$A38&gt;'Recurring Schedule'!$P$32),"",IF(IF('Recurring Schedule'!$N$32&gt;0,MOD($A38-'Recurring Schedule'!$F$32,'Recurring Schedule'!$N$32)=0,IF('Recurring Schedule'!$O$32&gt;0,AND(DAY($A38)=MIN(DAY('Recurring Schedule'!$F$32),DAY(EOMONTH($A38,0))),MOD((YEAR($A38)-YEAR('Recurring Schedule'!$F$32))*12+MONTH($A38)-MONTH('Recurring Schedule'!$F$32),'Recurring Schedule'!$O$32)=0),IF('Recurring Schedule'!$E$32="Weekdays",WEEKDAY($A38,2)&lt;=5,$A38='Recurring Schedule'!$F$32))),27,""))))</f>
        <v/>
      </c>
      <c r="AC38">
        <f>IF('Recurring Schedule'!$C$33="","",IF('Recurring Schedule'!$F$33="","",IF(OR($A38&lt;'Recurring Schedule'!$F$33,$A38&gt;'Recurring Schedule'!$P$33),"",IF(IF('Recurring Schedule'!$N$33&gt;0,MOD($A38-'Recurring Schedule'!$F$33,'Recurring Schedule'!$N$33)=0,IF('Recurring Schedule'!$O$33&gt;0,AND(DAY($A38)=MIN(DAY('Recurring Schedule'!$F$33),DAY(EOMONTH($A38,0))),MOD((YEAR($A38)-YEAR('Recurring Schedule'!$F$33))*12+MONTH($A38)-MONTH('Recurring Schedule'!$F$33),'Recurring Schedule'!$O$33)=0),IF('Recurring Schedule'!$E$33="Weekdays",WEEKDAY($A38,2)&lt;=5,$A38='Recurring Schedule'!$F$33))),28,""))))</f>
        <v/>
      </c>
      <c r="AD38">
        <f>IF('Recurring Schedule'!$C$34="","",IF('Recurring Schedule'!$F$34="","",IF(OR($A38&lt;'Recurring Schedule'!$F$34,$A38&gt;'Recurring Schedule'!$P$34),"",IF(IF('Recurring Schedule'!$N$34&gt;0,MOD($A38-'Recurring Schedule'!$F$34,'Recurring Schedule'!$N$34)=0,IF('Recurring Schedule'!$O$34&gt;0,AND(DAY($A38)=MIN(DAY('Recurring Schedule'!$F$34),DAY(EOMONTH($A38,0))),MOD((YEAR($A38)-YEAR('Recurring Schedule'!$F$34))*12+MONTH($A38)-MONTH('Recurring Schedule'!$F$34),'Recurring Schedule'!$O$34)=0),IF('Recurring Schedule'!$E$34="Weekdays",WEEKDAY($A38,2)&lt;=5,$A38='Recurring Schedule'!$F$34))),29,""))))</f>
        <v/>
      </c>
      <c r="AE38">
        <f>IF('Recurring Schedule'!$C$35="","",IF('Recurring Schedule'!$F$35="","",IF(OR($A38&lt;'Recurring Schedule'!$F$35,$A38&gt;'Recurring Schedule'!$P$35),"",IF(IF('Recurring Schedule'!$N$35&gt;0,MOD($A38-'Recurring Schedule'!$F$35,'Recurring Schedule'!$N$35)=0,IF('Recurring Schedule'!$O$35&gt;0,AND(DAY($A38)=MIN(DAY('Recurring Schedule'!$F$35),DAY(EOMONTH($A38,0))),MOD((YEAR($A38)-YEAR('Recurring Schedule'!$F$35))*12+MONTH($A38)-MONTH('Recurring Schedule'!$F$35),'Recurring Schedule'!$O$35)=0),IF('Recurring Schedule'!$E$35="Weekdays",WEEKDAY($A38,2)&lt;=5,$A38='Recurring Schedule'!$F$35))),30,""))))</f>
        <v/>
      </c>
      <c r="AF38">
        <f>IF('Recurring Schedule'!$C$36="","",IF('Recurring Schedule'!$F$36="","",IF(OR($A38&lt;'Recurring Schedule'!$F$36,$A38&gt;'Recurring Schedule'!$P$36),"",IF(IF('Recurring Schedule'!$N$36&gt;0,MOD($A38-'Recurring Schedule'!$F$36,'Recurring Schedule'!$N$36)=0,IF('Recurring Schedule'!$O$36&gt;0,AND(DAY($A38)=MIN(DAY('Recurring Schedule'!$F$36),DAY(EOMONTH($A38,0))),MOD((YEAR($A38)-YEAR('Recurring Schedule'!$F$36))*12+MONTH($A38)-MONTH('Recurring Schedule'!$F$36),'Recurring Schedule'!$O$36)=0),IF('Recurring Schedule'!$E$36="Weekdays",WEEKDAY($A38,2)&lt;=5,$A38='Recurring Schedule'!$F$36))),31,""))))</f>
        <v/>
      </c>
      <c r="AG38">
        <f>IF('Recurring Schedule'!$C$37="","",IF('Recurring Schedule'!$F$37="","",IF(OR($A38&lt;'Recurring Schedule'!$F$37,$A38&gt;'Recurring Schedule'!$P$37),"",IF(IF('Recurring Schedule'!$N$37&gt;0,MOD($A38-'Recurring Schedule'!$F$37,'Recurring Schedule'!$N$37)=0,IF('Recurring Schedule'!$O$37&gt;0,AND(DAY($A38)=MIN(DAY('Recurring Schedule'!$F$37),DAY(EOMONTH($A38,0))),MOD((YEAR($A38)-YEAR('Recurring Schedule'!$F$37))*12+MONTH($A38)-MONTH('Recurring Schedule'!$F$37),'Recurring Schedule'!$O$37)=0),IF('Recurring Schedule'!$E$37="Weekdays",WEEKDAY($A38,2)&lt;=5,$A38='Recurring Schedule'!$F$37))),32,""))))</f>
        <v/>
      </c>
      <c r="AH38">
        <f>IF('Recurring Schedule'!$C$38="","",IF('Recurring Schedule'!$F$38="","",IF(OR($A38&lt;'Recurring Schedule'!$F$38,$A38&gt;'Recurring Schedule'!$P$38),"",IF(IF('Recurring Schedule'!$N$38&gt;0,MOD($A38-'Recurring Schedule'!$F$38,'Recurring Schedule'!$N$38)=0,IF('Recurring Schedule'!$O$38&gt;0,AND(DAY($A38)=MIN(DAY('Recurring Schedule'!$F$38),DAY(EOMONTH($A38,0))),MOD((YEAR($A38)-YEAR('Recurring Schedule'!$F$38))*12+MONTH($A38)-MONTH('Recurring Schedule'!$F$38),'Recurring Schedule'!$O$38)=0),IF('Recurring Schedule'!$E$38="Weekdays",WEEKDAY($A38,2)&lt;=5,$A38='Recurring Schedule'!$F$38))),33,""))))</f>
        <v/>
      </c>
      <c r="AI38">
        <f>IF('Recurring Schedule'!$C$39="","",IF('Recurring Schedule'!$F$39="","",IF(OR($A38&lt;'Recurring Schedule'!$F$39,$A38&gt;'Recurring Schedule'!$P$39),"",IF(IF('Recurring Schedule'!$N$39&gt;0,MOD($A38-'Recurring Schedule'!$F$39,'Recurring Schedule'!$N$39)=0,IF('Recurring Schedule'!$O$39&gt;0,AND(DAY($A38)=MIN(DAY('Recurring Schedule'!$F$39),DAY(EOMONTH($A38,0))),MOD((YEAR($A38)-YEAR('Recurring Schedule'!$F$39))*12+MONTH($A38)-MONTH('Recurring Schedule'!$F$39),'Recurring Schedule'!$O$39)=0),IF('Recurring Schedule'!$E$39="Weekdays",WEEKDAY($A38,2)&lt;=5,$A38='Recurring Schedule'!$F$39))),34,""))))</f>
        <v/>
      </c>
      <c r="AJ38">
        <f>IF('Recurring Schedule'!$C$40="","",IF('Recurring Schedule'!$F$40="","",IF(OR($A38&lt;'Recurring Schedule'!$F$40,$A38&gt;'Recurring Schedule'!$P$40),"",IF(IF('Recurring Schedule'!$N$40&gt;0,MOD($A38-'Recurring Schedule'!$F$40,'Recurring Schedule'!$N$40)=0,IF('Recurring Schedule'!$O$40&gt;0,AND(DAY($A38)=MIN(DAY('Recurring Schedule'!$F$40),DAY(EOMONTH($A38,0))),MOD((YEAR($A38)-YEAR('Recurring Schedule'!$F$40))*12+MONTH($A38)-MONTH('Recurring Schedule'!$F$40),'Recurring Schedule'!$O$40)=0),IF('Recurring Schedule'!$E$40="Weekdays",WEEKDAY($A38,2)&lt;=5,$A38='Recurring Schedule'!$F$40))),35,""))))</f>
        <v/>
      </c>
      <c r="AK38">
        <f>IF('Recurring Schedule'!$C$41="","",IF('Recurring Schedule'!$F$41="","",IF(OR($A38&lt;'Recurring Schedule'!$F$41,$A38&gt;'Recurring Schedule'!$P$41),"",IF(IF('Recurring Schedule'!$N$41&gt;0,MOD($A38-'Recurring Schedule'!$F$41,'Recurring Schedule'!$N$41)=0,IF('Recurring Schedule'!$O$41&gt;0,AND(DAY($A38)=MIN(DAY('Recurring Schedule'!$F$41),DAY(EOMONTH($A38,0))),MOD((YEAR($A38)-YEAR('Recurring Schedule'!$F$41))*12+MONTH($A38)-MONTH('Recurring Schedule'!$F$41),'Recurring Schedule'!$O$41)=0),IF('Recurring Schedule'!$E$41="Weekdays",WEEKDAY($A38,2)&lt;=5,$A38='Recurring Schedule'!$F$41))),36,""))))</f>
        <v/>
      </c>
      <c r="AL38">
        <f>IF('Recurring Schedule'!$C$42="","",IF('Recurring Schedule'!$F$42="","",IF(OR($A38&lt;'Recurring Schedule'!$F$42,$A38&gt;'Recurring Schedule'!$P$42),"",IF(IF('Recurring Schedule'!$N$42&gt;0,MOD($A38-'Recurring Schedule'!$F$42,'Recurring Schedule'!$N$42)=0,IF('Recurring Schedule'!$O$42&gt;0,AND(DAY($A38)=MIN(DAY('Recurring Schedule'!$F$42),DAY(EOMONTH($A38,0))),MOD((YEAR($A38)-YEAR('Recurring Schedule'!$F$42))*12+MONTH($A38)-MONTH('Recurring Schedule'!$F$42),'Recurring Schedule'!$O$42)=0),IF('Recurring Schedule'!$E$42="Weekdays",WEEKDAY($A38,2)&lt;=5,$A38='Recurring Schedule'!$F$42))),37,""))))</f>
        <v/>
      </c>
      <c r="AM38">
        <f>IF('Recurring Schedule'!$C$43="","",IF('Recurring Schedule'!$F$43="","",IF(OR($A38&lt;'Recurring Schedule'!$F$43,$A38&gt;'Recurring Schedule'!$P$43),"",IF(IF('Recurring Schedule'!$N$43&gt;0,MOD($A38-'Recurring Schedule'!$F$43,'Recurring Schedule'!$N$43)=0,IF('Recurring Schedule'!$O$43&gt;0,AND(DAY($A38)=MIN(DAY('Recurring Schedule'!$F$43),DAY(EOMONTH($A38,0))),MOD((YEAR($A38)-YEAR('Recurring Schedule'!$F$43))*12+MONTH($A38)-MONTH('Recurring Schedule'!$F$43),'Recurring Schedule'!$O$43)=0),IF('Recurring Schedule'!$E$43="Weekdays",WEEKDAY($A38,2)&lt;=5,$A38='Recurring Schedule'!$F$43))),38,""))))</f>
        <v/>
      </c>
      <c r="AN38">
        <f>IF('Recurring Schedule'!$C$44="","",IF('Recurring Schedule'!$F$44="","",IF(OR($A38&lt;'Recurring Schedule'!$F$44,$A38&gt;'Recurring Schedule'!$P$44),"",IF(IF('Recurring Schedule'!$N$44&gt;0,MOD($A38-'Recurring Schedule'!$F$44,'Recurring Schedule'!$N$44)=0,IF('Recurring Schedule'!$O$44&gt;0,AND(DAY($A38)=MIN(DAY('Recurring Schedule'!$F$44),DAY(EOMONTH($A38,0))),MOD((YEAR($A38)-YEAR('Recurring Schedule'!$F$44))*12+MONTH($A38)-MONTH('Recurring Schedule'!$F$44),'Recurring Schedule'!$O$44)=0),IF('Recurring Schedule'!$E$44="Weekdays",WEEKDAY($A38,2)&lt;=5,$A38='Recurring Schedule'!$F$44))),39,""))))</f>
        <v/>
      </c>
      <c r="AO38">
        <f>IF('Recurring Schedule'!$C$45="","",IF('Recurring Schedule'!$F$45="","",IF(OR($A38&lt;'Recurring Schedule'!$F$45,$A38&gt;'Recurring Schedule'!$P$45),"",IF(IF('Recurring Schedule'!$N$45&gt;0,MOD($A38-'Recurring Schedule'!$F$45,'Recurring Schedule'!$N$45)=0,IF('Recurring Schedule'!$O$45&gt;0,AND(DAY($A38)=MIN(DAY('Recurring Schedule'!$F$45),DAY(EOMONTH($A38,0))),MOD((YEAR($A38)-YEAR('Recurring Schedule'!$F$45))*12+MONTH($A38)-MONTH('Recurring Schedule'!$F$45),'Recurring Schedule'!$O$45)=0),IF('Recurring Schedule'!$E$45="Weekdays",WEEKDAY($A38,2)&lt;=5,$A38='Recurring Schedule'!$F$45))),40,""))))</f>
        <v/>
      </c>
      <c r="AP38">
        <f>COUNT(B38:AO38)</f>
        <v/>
      </c>
      <c r="AQ38">
        <f>AQ37+AP37</f>
        <v/>
      </c>
      <c r="AS38" t="inlineStr">
        <is>
          <t>R</t>
        </is>
      </c>
      <c r="AT38" t="n">
        <v>42</v>
      </c>
      <c r="AU38">
        <f>'Recurring Log'!C42&amp;""</f>
        <v/>
      </c>
      <c r="AV38">
        <f>'Recurring Log'!D42&amp;""</f>
        <v/>
      </c>
      <c r="AW38">
        <f>IF('Recurring Log'!E42="","",'Recurring Log'!E42)</f>
        <v/>
      </c>
      <c r="AX38">
        <f>IF('Recurring Log'!G42="","",'Recurring Log'!G42)</f>
        <v/>
      </c>
      <c r="AY38">
        <f>IF('Recurring Log'!H42="","",'Recurring Log'!H42)</f>
        <v/>
      </c>
      <c r="AZ38">
        <f>IF(AU38="","",IF('Recurring Log'!J42="","Not Started",'Recurring Log'!J42))</f>
        <v/>
      </c>
      <c r="BA38">
        <f>'Recurring Log'!L42&amp;""</f>
        <v/>
      </c>
      <c r="BB38">
        <f>'Recurring Log'!M42&amp;""</f>
        <v/>
      </c>
      <c r="BC38">
        <f>'Recurring Log'!N42&amp;""</f>
        <v/>
      </c>
      <c r="BD38">
        <f>'Recurring Log'!O42&amp;""</f>
        <v/>
      </c>
      <c r="BE38">
        <f>IF('Recurring Log'!K42="","",'Recurring Log'!K42)</f>
        <v/>
      </c>
      <c r="BF38">
        <f>IFERROR(MATCH(BA38,Setup!$L$6:$L$9,0),5)</f>
        <v/>
      </c>
      <c r="BG38">
        <f>IF(OR(AZ38="Done",AZ38="Cancelled"),1,0)</f>
        <v/>
      </c>
      <c r="BH38">
        <f>IF(AND(AU38&lt;&gt;"",ISNUMBER(AW38)),1,0)</f>
        <v/>
      </c>
      <c r="BI38">
        <f>IF(BH38=0,0,IF(AND(AW38&gt;='Tasks Filter'!$F$3,AW38&lt;='Tasks Filter'!$F$4,OR('Tasks Filter'!$I$3="",ISNUMBER(SEARCH('Tasks Filter'!$I$3,AU38))),OR('Tasks Filter'!$I$4="",BF38=IFERROR(MATCH('Tasks Filter'!$I$4,Setup!$L$6:$L$9,0),0)),OR('Tasks Filter'!$I$5="Both",AND('Tasks Filter'!$I$5="Yes",BB38="✓"),AND('Tasks Filter'!$I$5="No",BB38&lt;&gt;"✓")),OR('Tasks Filter'!$L$3="",AV38='Tasks Filter'!$L$3),OR('Tasks Filter'!$L$4="",AZ38='Tasks Filter'!$L$4),OR('Tasks Filter'!$L$5="",BC38='Tasks Filter'!$L$5),OR('Tasks Filter'!$O$3="",BD38='Tasks Filter'!$O$3),OR('Tasks Filter'!$O$4="Yes",BG38=0)),1,0))</f>
        <v/>
      </c>
      <c r="BJ38">
        <f>IF(BH38=0,"",IF('Tasks Filter'!$F$6="Descending",-1,1)*CHOOSE(MATCH('Tasks Filter'!$F$5,Lists!$G$2:$G$6,0),AW38,BF38,IFERROR(MATCH(AV38,Setup!$F$6:$F$15,0),99),IFERROR(MATCH(BC38,Setup!$H$6:$H$15,0),99),IFERROR(MATCH(AZ38,Setup!$J$6:$J$11,0),99))*1E+9+(AW38-40000)*10000+37)</f>
        <v/>
      </c>
      <c r="BK38">
        <f>IF(BI38=1,BJ38,"")</f>
        <v/>
      </c>
      <c r="BL38">
        <f>IF(AND(BH38=1,BG38=0,N(AW38)&lt;Setup!$D$7),(AW38-40000)*10000+37,"")</f>
        <v/>
      </c>
      <c r="BM38">
        <f>IF(AND(BH38=1,AZ38&lt;&gt;"Cancelled",N(AW38)&gt;=Dashboard!$AB$3,N(AW38)&lt;=Dashboard!$AB$3+6),(AW38-40000)*100000+BF38*10000+37,"")</f>
        <v/>
      </c>
      <c r="BN38">
        <f>IF(AND(BH38=1,AZ38&lt;&gt;"Cancelled"),BF38*10000+37,"")</f>
        <v/>
      </c>
    </row>
    <row r="39">
      <c r="A39">
        <f>Setup!$D$5+37</f>
        <v/>
      </c>
      <c r="B39">
        <f>IF('Recurring Schedule'!$C$6="","",IF('Recurring Schedule'!$F$6="","",IF(OR($A39&lt;'Recurring Schedule'!$F$6,$A39&gt;'Recurring Schedule'!$P$6),"",IF(IF('Recurring Schedule'!$N$6&gt;0,MOD($A39-'Recurring Schedule'!$F$6,'Recurring Schedule'!$N$6)=0,IF('Recurring Schedule'!$O$6&gt;0,AND(DAY($A39)=MIN(DAY('Recurring Schedule'!$F$6),DAY(EOMONTH($A39,0))),MOD((YEAR($A39)-YEAR('Recurring Schedule'!$F$6))*12+MONTH($A39)-MONTH('Recurring Schedule'!$F$6),'Recurring Schedule'!$O$6)=0),IF('Recurring Schedule'!$E$6="Weekdays",WEEKDAY($A39,2)&lt;=5,$A39='Recurring Schedule'!$F$6))),1,""))))</f>
        <v/>
      </c>
      <c r="C39">
        <f>IF('Recurring Schedule'!$C$7="","",IF('Recurring Schedule'!$F$7="","",IF(OR($A39&lt;'Recurring Schedule'!$F$7,$A39&gt;'Recurring Schedule'!$P$7),"",IF(IF('Recurring Schedule'!$N$7&gt;0,MOD($A39-'Recurring Schedule'!$F$7,'Recurring Schedule'!$N$7)=0,IF('Recurring Schedule'!$O$7&gt;0,AND(DAY($A39)=MIN(DAY('Recurring Schedule'!$F$7),DAY(EOMONTH($A39,0))),MOD((YEAR($A39)-YEAR('Recurring Schedule'!$F$7))*12+MONTH($A39)-MONTH('Recurring Schedule'!$F$7),'Recurring Schedule'!$O$7)=0),IF('Recurring Schedule'!$E$7="Weekdays",WEEKDAY($A39,2)&lt;=5,$A39='Recurring Schedule'!$F$7))),2,""))))</f>
        <v/>
      </c>
      <c r="D39">
        <f>IF('Recurring Schedule'!$C$8="","",IF('Recurring Schedule'!$F$8="","",IF(OR($A39&lt;'Recurring Schedule'!$F$8,$A39&gt;'Recurring Schedule'!$P$8),"",IF(IF('Recurring Schedule'!$N$8&gt;0,MOD($A39-'Recurring Schedule'!$F$8,'Recurring Schedule'!$N$8)=0,IF('Recurring Schedule'!$O$8&gt;0,AND(DAY($A39)=MIN(DAY('Recurring Schedule'!$F$8),DAY(EOMONTH($A39,0))),MOD((YEAR($A39)-YEAR('Recurring Schedule'!$F$8))*12+MONTH($A39)-MONTH('Recurring Schedule'!$F$8),'Recurring Schedule'!$O$8)=0),IF('Recurring Schedule'!$E$8="Weekdays",WEEKDAY($A39,2)&lt;=5,$A39='Recurring Schedule'!$F$8))),3,""))))</f>
        <v/>
      </c>
      <c r="E39">
        <f>IF('Recurring Schedule'!$C$9="","",IF('Recurring Schedule'!$F$9="","",IF(OR($A39&lt;'Recurring Schedule'!$F$9,$A39&gt;'Recurring Schedule'!$P$9),"",IF(IF('Recurring Schedule'!$N$9&gt;0,MOD($A39-'Recurring Schedule'!$F$9,'Recurring Schedule'!$N$9)=0,IF('Recurring Schedule'!$O$9&gt;0,AND(DAY($A39)=MIN(DAY('Recurring Schedule'!$F$9),DAY(EOMONTH($A39,0))),MOD((YEAR($A39)-YEAR('Recurring Schedule'!$F$9))*12+MONTH($A39)-MONTH('Recurring Schedule'!$F$9),'Recurring Schedule'!$O$9)=0),IF('Recurring Schedule'!$E$9="Weekdays",WEEKDAY($A39,2)&lt;=5,$A39='Recurring Schedule'!$F$9))),4,""))))</f>
        <v/>
      </c>
      <c r="F39">
        <f>IF('Recurring Schedule'!$C$10="","",IF('Recurring Schedule'!$F$10="","",IF(OR($A39&lt;'Recurring Schedule'!$F$10,$A39&gt;'Recurring Schedule'!$P$10),"",IF(IF('Recurring Schedule'!$N$10&gt;0,MOD($A39-'Recurring Schedule'!$F$10,'Recurring Schedule'!$N$10)=0,IF('Recurring Schedule'!$O$10&gt;0,AND(DAY($A39)=MIN(DAY('Recurring Schedule'!$F$10),DAY(EOMONTH($A39,0))),MOD((YEAR($A39)-YEAR('Recurring Schedule'!$F$10))*12+MONTH($A39)-MONTH('Recurring Schedule'!$F$10),'Recurring Schedule'!$O$10)=0),IF('Recurring Schedule'!$E$10="Weekdays",WEEKDAY($A39,2)&lt;=5,$A39='Recurring Schedule'!$F$10))),5,""))))</f>
        <v/>
      </c>
      <c r="G39">
        <f>IF('Recurring Schedule'!$C$11="","",IF('Recurring Schedule'!$F$11="","",IF(OR($A39&lt;'Recurring Schedule'!$F$11,$A39&gt;'Recurring Schedule'!$P$11),"",IF(IF('Recurring Schedule'!$N$11&gt;0,MOD($A39-'Recurring Schedule'!$F$11,'Recurring Schedule'!$N$11)=0,IF('Recurring Schedule'!$O$11&gt;0,AND(DAY($A39)=MIN(DAY('Recurring Schedule'!$F$11),DAY(EOMONTH($A39,0))),MOD((YEAR($A39)-YEAR('Recurring Schedule'!$F$11))*12+MONTH($A39)-MONTH('Recurring Schedule'!$F$11),'Recurring Schedule'!$O$11)=0),IF('Recurring Schedule'!$E$11="Weekdays",WEEKDAY($A39,2)&lt;=5,$A39='Recurring Schedule'!$F$11))),6,""))))</f>
        <v/>
      </c>
      <c r="H39">
        <f>IF('Recurring Schedule'!$C$12="","",IF('Recurring Schedule'!$F$12="","",IF(OR($A39&lt;'Recurring Schedule'!$F$12,$A39&gt;'Recurring Schedule'!$P$12),"",IF(IF('Recurring Schedule'!$N$12&gt;0,MOD($A39-'Recurring Schedule'!$F$12,'Recurring Schedule'!$N$12)=0,IF('Recurring Schedule'!$O$12&gt;0,AND(DAY($A39)=MIN(DAY('Recurring Schedule'!$F$12),DAY(EOMONTH($A39,0))),MOD((YEAR($A39)-YEAR('Recurring Schedule'!$F$12))*12+MONTH($A39)-MONTH('Recurring Schedule'!$F$12),'Recurring Schedule'!$O$12)=0),IF('Recurring Schedule'!$E$12="Weekdays",WEEKDAY($A39,2)&lt;=5,$A39='Recurring Schedule'!$F$12))),7,""))))</f>
        <v/>
      </c>
      <c r="I39">
        <f>IF('Recurring Schedule'!$C$13="","",IF('Recurring Schedule'!$F$13="","",IF(OR($A39&lt;'Recurring Schedule'!$F$13,$A39&gt;'Recurring Schedule'!$P$13),"",IF(IF('Recurring Schedule'!$N$13&gt;0,MOD($A39-'Recurring Schedule'!$F$13,'Recurring Schedule'!$N$13)=0,IF('Recurring Schedule'!$O$13&gt;0,AND(DAY($A39)=MIN(DAY('Recurring Schedule'!$F$13),DAY(EOMONTH($A39,0))),MOD((YEAR($A39)-YEAR('Recurring Schedule'!$F$13))*12+MONTH($A39)-MONTH('Recurring Schedule'!$F$13),'Recurring Schedule'!$O$13)=0),IF('Recurring Schedule'!$E$13="Weekdays",WEEKDAY($A39,2)&lt;=5,$A39='Recurring Schedule'!$F$13))),8,""))))</f>
        <v/>
      </c>
      <c r="J39">
        <f>IF('Recurring Schedule'!$C$14="","",IF('Recurring Schedule'!$F$14="","",IF(OR($A39&lt;'Recurring Schedule'!$F$14,$A39&gt;'Recurring Schedule'!$P$14),"",IF(IF('Recurring Schedule'!$N$14&gt;0,MOD($A39-'Recurring Schedule'!$F$14,'Recurring Schedule'!$N$14)=0,IF('Recurring Schedule'!$O$14&gt;0,AND(DAY($A39)=MIN(DAY('Recurring Schedule'!$F$14),DAY(EOMONTH($A39,0))),MOD((YEAR($A39)-YEAR('Recurring Schedule'!$F$14))*12+MONTH($A39)-MONTH('Recurring Schedule'!$F$14),'Recurring Schedule'!$O$14)=0),IF('Recurring Schedule'!$E$14="Weekdays",WEEKDAY($A39,2)&lt;=5,$A39='Recurring Schedule'!$F$14))),9,""))))</f>
        <v/>
      </c>
      <c r="K39">
        <f>IF('Recurring Schedule'!$C$15="","",IF('Recurring Schedule'!$F$15="","",IF(OR($A39&lt;'Recurring Schedule'!$F$15,$A39&gt;'Recurring Schedule'!$P$15),"",IF(IF('Recurring Schedule'!$N$15&gt;0,MOD($A39-'Recurring Schedule'!$F$15,'Recurring Schedule'!$N$15)=0,IF('Recurring Schedule'!$O$15&gt;0,AND(DAY($A39)=MIN(DAY('Recurring Schedule'!$F$15),DAY(EOMONTH($A39,0))),MOD((YEAR($A39)-YEAR('Recurring Schedule'!$F$15))*12+MONTH($A39)-MONTH('Recurring Schedule'!$F$15),'Recurring Schedule'!$O$15)=0),IF('Recurring Schedule'!$E$15="Weekdays",WEEKDAY($A39,2)&lt;=5,$A39='Recurring Schedule'!$F$15))),10,""))))</f>
        <v/>
      </c>
      <c r="L39">
        <f>IF('Recurring Schedule'!$C$16="","",IF('Recurring Schedule'!$F$16="","",IF(OR($A39&lt;'Recurring Schedule'!$F$16,$A39&gt;'Recurring Schedule'!$P$16),"",IF(IF('Recurring Schedule'!$N$16&gt;0,MOD($A39-'Recurring Schedule'!$F$16,'Recurring Schedule'!$N$16)=0,IF('Recurring Schedule'!$O$16&gt;0,AND(DAY($A39)=MIN(DAY('Recurring Schedule'!$F$16),DAY(EOMONTH($A39,0))),MOD((YEAR($A39)-YEAR('Recurring Schedule'!$F$16))*12+MONTH($A39)-MONTH('Recurring Schedule'!$F$16),'Recurring Schedule'!$O$16)=0),IF('Recurring Schedule'!$E$16="Weekdays",WEEKDAY($A39,2)&lt;=5,$A39='Recurring Schedule'!$F$16))),11,""))))</f>
        <v/>
      </c>
      <c r="M39">
        <f>IF('Recurring Schedule'!$C$17="","",IF('Recurring Schedule'!$F$17="","",IF(OR($A39&lt;'Recurring Schedule'!$F$17,$A39&gt;'Recurring Schedule'!$P$17),"",IF(IF('Recurring Schedule'!$N$17&gt;0,MOD($A39-'Recurring Schedule'!$F$17,'Recurring Schedule'!$N$17)=0,IF('Recurring Schedule'!$O$17&gt;0,AND(DAY($A39)=MIN(DAY('Recurring Schedule'!$F$17),DAY(EOMONTH($A39,0))),MOD((YEAR($A39)-YEAR('Recurring Schedule'!$F$17))*12+MONTH($A39)-MONTH('Recurring Schedule'!$F$17),'Recurring Schedule'!$O$17)=0),IF('Recurring Schedule'!$E$17="Weekdays",WEEKDAY($A39,2)&lt;=5,$A39='Recurring Schedule'!$F$17))),12,""))))</f>
        <v/>
      </c>
      <c r="N39">
        <f>IF('Recurring Schedule'!$C$18="","",IF('Recurring Schedule'!$F$18="","",IF(OR($A39&lt;'Recurring Schedule'!$F$18,$A39&gt;'Recurring Schedule'!$P$18),"",IF(IF('Recurring Schedule'!$N$18&gt;0,MOD($A39-'Recurring Schedule'!$F$18,'Recurring Schedule'!$N$18)=0,IF('Recurring Schedule'!$O$18&gt;0,AND(DAY($A39)=MIN(DAY('Recurring Schedule'!$F$18),DAY(EOMONTH($A39,0))),MOD((YEAR($A39)-YEAR('Recurring Schedule'!$F$18))*12+MONTH($A39)-MONTH('Recurring Schedule'!$F$18),'Recurring Schedule'!$O$18)=0),IF('Recurring Schedule'!$E$18="Weekdays",WEEKDAY($A39,2)&lt;=5,$A39='Recurring Schedule'!$F$18))),13,""))))</f>
        <v/>
      </c>
      <c r="O39">
        <f>IF('Recurring Schedule'!$C$19="","",IF('Recurring Schedule'!$F$19="","",IF(OR($A39&lt;'Recurring Schedule'!$F$19,$A39&gt;'Recurring Schedule'!$P$19),"",IF(IF('Recurring Schedule'!$N$19&gt;0,MOD($A39-'Recurring Schedule'!$F$19,'Recurring Schedule'!$N$19)=0,IF('Recurring Schedule'!$O$19&gt;0,AND(DAY($A39)=MIN(DAY('Recurring Schedule'!$F$19),DAY(EOMONTH($A39,0))),MOD((YEAR($A39)-YEAR('Recurring Schedule'!$F$19))*12+MONTH($A39)-MONTH('Recurring Schedule'!$F$19),'Recurring Schedule'!$O$19)=0),IF('Recurring Schedule'!$E$19="Weekdays",WEEKDAY($A39,2)&lt;=5,$A39='Recurring Schedule'!$F$19))),14,""))))</f>
        <v/>
      </c>
      <c r="P39">
        <f>IF('Recurring Schedule'!$C$20="","",IF('Recurring Schedule'!$F$20="","",IF(OR($A39&lt;'Recurring Schedule'!$F$20,$A39&gt;'Recurring Schedule'!$P$20),"",IF(IF('Recurring Schedule'!$N$20&gt;0,MOD($A39-'Recurring Schedule'!$F$20,'Recurring Schedule'!$N$20)=0,IF('Recurring Schedule'!$O$20&gt;0,AND(DAY($A39)=MIN(DAY('Recurring Schedule'!$F$20),DAY(EOMONTH($A39,0))),MOD((YEAR($A39)-YEAR('Recurring Schedule'!$F$20))*12+MONTH($A39)-MONTH('Recurring Schedule'!$F$20),'Recurring Schedule'!$O$20)=0),IF('Recurring Schedule'!$E$20="Weekdays",WEEKDAY($A39,2)&lt;=5,$A39='Recurring Schedule'!$F$20))),15,""))))</f>
        <v/>
      </c>
      <c r="Q39">
        <f>IF('Recurring Schedule'!$C$21="","",IF('Recurring Schedule'!$F$21="","",IF(OR($A39&lt;'Recurring Schedule'!$F$21,$A39&gt;'Recurring Schedule'!$P$21),"",IF(IF('Recurring Schedule'!$N$21&gt;0,MOD($A39-'Recurring Schedule'!$F$21,'Recurring Schedule'!$N$21)=0,IF('Recurring Schedule'!$O$21&gt;0,AND(DAY($A39)=MIN(DAY('Recurring Schedule'!$F$21),DAY(EOMONTH($A39,0))),MOD((YEAR($A39)-YEAR('Recurring Schedule'!$F$21))*12+MONTH($A39)-MONTH('Recurring Schedule'!$F$21),'Recurring Schedule'!$O$21)=0),IF('Recurring Schedule'!$E$21="Weekdays",WEEKDAY($A39,2)&lt;=5,$A39='Recurring Schedule'!$F$21))),16,""))))</f>
        <v/>
      </c>
      <c r="R39">
        <f>IF('Recurring Schedule'!$C$22="","",IF('Recurring Schedule'!$F$22="","",IF(OR($A39&lt;'Recurring Schedule'!$F$22,$A39&gt;'Recurring Schedule'!$P$22),"",IF(IF('Recurring Schedule'!$N$22&gt;0,MOD($A39-'Recurring Schedule'!$F$22,'Recurring Schedule'!$N$22)=0,IF('Recurring Schedule'!$O$22&gt;0,AND(DAY($A39)=MIN(DAY('Recurring Schedule'!$F$22),DAY(EOMONTH($A39,0))),MOD((YEAR($A39)-YEAR('Recurring Schedule'!$F$22))*12+MONTH($A39)-MONTH('Recurring Schedule'!$F$22),'Recurring Schedule'!$O$22)=0),IF('Recurring Schedule'!$E$22="Weekdays",WEEKDAY($A39,2)&lt;=5,$A39='Recurring Schedule'!$F$22))),17,""))))</f>
        <v/>
      </c>
      <c r="S39">
        <f>IF('Recurring Schedule'!$C$23="","",IF('Recurring Schedule'!$F$23="","",IF(OR($A39&lt;'Recurring Schedule'!$F$23,$A39&gt;'Recurring Schedule'!$P$23),"",IF(IF('Recurring Schedule'!$N$23&gt;0,MOD($A39-'Recurring Schedule'!$F$23,'Recurring Schedule'!$N$23)=0,IF('Recurring Schedule'!$O$23&gt;0,AND(DAY($A39)=MIN(DAY('Recurring Schedule'!$F$23),DAY(EOMONTH($A39,0))),MOD((YEAR($A39)-YEAR('Recurring Schedule'!$F$23))*12+MONTH($A39)-MONTH('Recurring Schedule'!$F$23),'Recurring Schedule'!$O$23)=0),IF('Recurring Schedule'!$E$23="Weekdays",WEEKDAY($A39,2)&lt;=5,$A39='Recurring Schedule'!$F$23))),18,""))))</f>
        <v/>
      </c>
      <c r="T39">
        <f>IF('Recurring Schedule'!$C$24="","",IF('Recurring Schedule'!$F$24="","",IF(OR($A39&lt;'Recurring Schedule'!$F$24,$A39&gt;'Recurring Schedule'!$P$24),"",IF(IF('Recurring Schedule'!$N$24&gt;0,MOD($A39-'Recurring Schedule'!$F$24,'Recurring Schedule'!$N$24)=0,IF('Recurring Schedule'!$O$24&gt;0,AND(DAY($A39)=MIN(DAY('Recurring Schedule'!$F$24),DAY(EOMONTH($A39,0))),MOD((YEAR($A39)-YEAR('Recurring Schedule'!$F$24))*12+MONTH($A39)-MONTH('Recurring Schedule'!$F$24),'Recurring Schedule'!$O$24)=0),IF('Recurring Schedule'!$E$24="Weekdays",WEEKDAY($A39,2)&lt;=5,$A39='Recurring Schedule'!$F$24))),19,""))))</f>
        <v/>
      </c>
      <c r="U39">
        <f>IF('Recurring Schedule'!$C$25="","",IF('Recurring Schedule'!$F$25="","",IF(OR($A39&lt;'Recurring Schedule'!$F$25,$A39&gt;'Recurring Schedule'!$P$25),"",IF(IF('Recurring Schedule'!$N$25&gt;0,MOD($A39-'Recurring Schedule'!$F$25,'Recurring Schedule'!$N$25)=0,IF('Recurring Schedule'!$O$25&gt;0,AND(DAY($A39)=MIN(DAY('Recurring Schedule'!$F$25),DAY(EOMONTH($A39,0))),MOD((YEAR($A39)-YEAR('Recurring Schedule'!$F$25))*12+MONTH($A39)-MONTH('Recurring Schedule'!$F$25),'Recurring Schedule'!$O$25)=0),IF('Recurring Schedule'!$E$25="Weekdays",WEEKDAY($A39,2)&lt;=5,$A39='Recurring Schedule'!$F$25))),20,""))))</f>
        <v/>
      </c>
      <c r="V39">
        <f>IF('Recurring Schedule'!$C$26="","",IF('Recurring Schedule'!$F$26="","",IF(OR($A39&lt;'Recurring Schedule'!$F$26,$A39&gt;'Recurring Schedule'!$P$26),"",IF(IF('Recurring Schedule'!$N$26&gt;0,MOD($A39-'Recurring Schedule'!$F$26,'Recurring Schedule'!$N$26)=0,IF('Recurring Schedule'!$O$26&gt;0,AND(DAY($A39)=MIN(DAY('Recurring Schedule'!$F$26),DAY(EOMONTH($A39,0))),MOD((YEAR($A39)-YEAR('Recurring Schedule'!$F$26))*12+MONTH($A39)-MONTH('Recurring Schedule'!$F$26),'Recurring Schedule'!$O$26)=0),IF('Recurring Schedule'!$E$26="Weekdays",WEEKDAY($A39,2)&lt;=5,$A39='Recurring Schedule'!$F$26))),21,""))))</f>
        <v/>
      </c>
      <c r="W39">
        <f>IF('Recurring Schedule'!$C$27="","",IF('Recurring Schedule'!$F$27="","",IF(OR($A39&lt;'Recurring Schedule'!$F$27,$A39&gt;'Recurring Schedule'!$P$27),"",IF(IF('Recurring Schedule'!$N$27&gt;0,MOD($A39-'Recurring Schedule'!$F$27,'Recurring Schedule'!$N$27)=0,IF('Recurring Schedule'!$O$27&gt;0,AND(DAY($A39)=MIN(DAY('Recurring Schedule'!$F$27),DAY(EOMONTH($A39,0))),MOD((YEAR($A39)-YEAR('Recurring Schedule'!$F$27))*12+MONTH($A39)-MONTH('Recurring Schedule'!$F$27),'Recurring Schedule'!$O$27)=0),IF('Recurring Schedule'!$E$27="Weekdays",WEEKDAY($A39,2)&lt;=5,$A39='Recurring Schedule'!$F$27))),22,""))))</f>
        <v/>
      </c>
      <c r="X39">
        <f>IF('Recurring Schedule'!$C$28="","",IF('Recurring Schedule'!$F$28="","",IF(OR($A39&lt;'Recurring Schedule'!$F$28,$A39&gt;'Recurring Schedule'!$P$28),"",IF(IF('Recurring Schedule'!$N$28&gt;0,MOD($A39-'Recurring Schedule'!$F$28,'Recurring Schedule'!$N$28)=0,IF('Recurring Schedule'!$O$28&gt;0,AND(DAY($A39)=MIN(DAY('Recurring Schedule'!$F$28),DAY(EOMONTH($A39,0))),MOD((YEAR($A39)-YEAR('Recurring Schedule'!$F$28))*12+MONTH($A39)-MONTH('Recurring Schedule'!$F$28),'Recurring Schedule'!$O$28)=0),IF('Recurring Schedule'!$E$28="Weekdays",WEEKDAY($A39,2)&lt;=5,$A39='Recurring Schedule'!$F$28))),23,""))))</f>
        <v/>
      </c>
      <c r="Y39">
        <f>IF('Recurring Schedule'!$C$29="","",IF('Recurring Schedule'!$F$29="","",IF(OR($A39&lt;'Recurring Schedule'!$F$29,$A39&gt;'Recurring Schedule'!$P$29),"",IF(IF('Recurring Schedule'!$N$29&gt;0,MOD($A39-'Recurring Schedule'!$F$29,'Recurring Schedule'!$N$29)=0,IF('Recurring Schedule'!$O$29&gt;0,AND(DAY($A39)=MIN(DAY('Recurring Schedule'!$F$29),DAY(EOMONTH($A39,0))),MOD((YEAR($A39)-YEAR('Recurring Schedule'!$F$29))*12+MONTH($A39)-MONTH('Recurring Schedule'!$F$29),'Recurring Schedule'!$O$29)=0),IF('Recurring Schedule'!$E$29="Weekdays",WEEKDAY($A39,2)&lt;=5,$A39='Recurring Schedule'!$F$29))),24,""))))</f>
        <v/>
      </c>
      <c r="Z39">
        <f>IF('Recurring Schedule'!$C$30="","",IF('Recurring Schedule'!$F$30="","",IF(OR($A39&lt;'Recurring Schedule'!$F$30,$A39&gt;'Recurring Schedule'!$P$30),"",IF(IF('Recurring Schedule'!$N$30&gt;0,MOD($A39-'Recurring Schedule'!$F$30,'Recurring Schedule'!$N$30)=0,IF('Recurring Schedule'!$O$30&gt;0,AND(DAY($A39)=MIN(DAY('Recurring Schedule'!$F$30),DAY(EOMONTH($A39,0))),MOD((YEAR($A39)-YEAR('Recurring Schedule'!$F$30))*12+MONTH($A39)-MONTH('Recurring Schedule'!$F$30),'Recurring Schedule'!$O$30)=0),IF('Recurring Schedule'!$E$30="Weekdays",WEEKDAY($A39,2)&lt;=5,$A39='Recurring Schedule'!$F$30))),25,""))))</f>
        <v/>
      </c>
      <c r="AA39">
        <f>IF('Recurring Schedule'!$C$31="","",IF('Recurring Schedule'!$F$31="","",IF(OR($A39&lt;'Recurring Schedule'!$F$31,$A39&gt;'Recurring Schedule'!$P$31),"",IF(IF('Recurring Schedule'!$N$31&gt;0,MOD($A39-'Recurring Schedule'!$F$31,'Recurring Schedule'!$N$31)=0,IF('Recurring Schedule'!$O$31&gt;0,AND(DAY($A39)=MIN(DAY('Recurring Schedule'!$F$31),DAY(EOMONTH($A39,0))),MOD((YEAR($A39)-YEAR('Recurring Schedule'!$F$31))*12+MONTH($A39)-MONTH('Recurring Schedule'!$F$31),'Recurring Schedule'!$O$31)=0),IF('Recurring Schedule'!$E$31="Weekdays",WEEKDAY($A39,2)&lt;=5,$A39='Recurring Schedule'!$F$31))),26,""))))</f>
        <v/>
      </c>
      <c r="AB39">
        <f>IF('Recurring Schedule'!$C$32="","",IF('Recurring Schedule'!$F$32="","",IF(OR($A39&lt;'Recurring Schedule'!$F$32,$A39&gt;'Recurring Schedule'!$P$32),"",IF(IF('Recurring Schedule'!$N$32&gt;0,MOD($A39-'Recurring Schedule'!$F$32,'Recurring Schedule'!$N$32)=0,IF('Recurring Schedule'!$O$32&gt;0,AND(DAY($A39)=MIN(DAY('Recurring Schedule'!$F$32),DAY(EOMONTH($A39,0))),MOD((YEAR($A39)-YEAR('Recurring Schedule'!$F$32))*12+MONTH($A39)-MONTH('Recurring Schedule'!$F$32),'Recurring Schedule'!$O$32)=0),IF('Recurring Schedule'!$E$32="Weekdays",WEEKDAY($A39,2)&lt;=5,$A39='Recurring Schedule'!$F$32))),27,""))))</f>
        <v/>
      </c>
      <c r="AC39">
        <f>IF('Recurring Schedule'!$C$33="","",IF('Recurring Schedule'!$F$33="","",IF(OR($A39&lt;'Recurring Schedule'!$F$33,$A39&gt;'Recurring Schedule'!$P$33),"",IF(IF('Recurring Schedule'!$N$33&gt;0,MOD($A39-'Recurring Schedule'!$F$33,'Recurring Schedule'!$N$33)=0,IF('Recurring Schedule'!$O$33&gt;0,AND(DAY($A39)=MIN(DAY('Recurring Schedule'!$F$33),DAY(EOMONTH($A39,0))),MOD((YEAR($A39)-YEAR('Recurring Schedule'!$F$33))*12+MONTH($A39)-MONTH('Recurring Schedule'!$F$33),'Recurring Schedule'!$O$33)=0),IF('Recurring Schedule'!$E$33="Weekdays",WEEKDAY($A39,2)&lt;=5,$A39='Recurring Schedule'!$F$33))),28,""))))</f>
        <v/>
      </c>
      <c r="AD39">
        <f>IF('Recurring Schedule'!$C$34="","",IF('Recurring Schedule'!$F$34="","",IF(OR($A39&lt;'Recurring Schedule'!$F$34,$A39&gt;'Recurring Schedule'!$P$34),"",IF(IF('Recurring Schedule'!$N$34&gt;0,MOD($A39-'Recurring Schedule'!$F$34,'Recurring Schedule'!$N$34)=0,IF('Recurring Schedule'!$O$34&gt;0,AND(DAY($A39)=MIN(DAY('Recurring Schedule'!$F$34),DAY(EOMONTH($A39,0))),MOD((YEAR($A39)-YEAR('Recurring Schedule'!$F$34))*12+MONTH($A39)-MONTH('Recurring Schedule'!$F$34),'Recurring Schedule'!$O$34)=0),IF('Recurring Schedule'!$E$34="Weekdays",WEEKDAY($A39,2)&lt;=5,$A39='Recurring Schedule'!$F$34))),29,""))))</f>
        <v/>
      </c>
      <c r="AE39">
        <f>IF('Recurring Schedule'!$C$35="","",IF('Recurring Schedule'!$F$35="","",IF(OR($A39&lt;'Recurring Schedule'!$F$35,$A39&gt;'Recurring Schedule'!$P$35),"",IF(IF('Recurring Schedule'!$N$35&gt;0,MOD($A39-'Recurring Schedule'!$F$35,'Recurring Schedule'!$N$35)=0,IF('Recurring Schedule'!$O$35&gt;0,AND(DAY($A39)=MIN(DAY('Recurring Schedule'!$F$35),DAY(EOMONTH($A39,0))),MOD((YEAR($A39)-YEAR('Recurring Schedule'!$F$35))*12+MONTH($A39)-MONTH('Recurring Schedule'!$F$35),'Recurring Schedule'!$O$35)=0),IF('Recurring Schedule'!$E$35="Weekdays",WEEKDAY($A39,2)&lt;=5,$A39='Recurring Schedule'!$F$35))),30,""))))</f>
        <v/>
      </c>
      <c r="AF39">
        <f>IF('Recurring Schedule'!$C$36="","",IF('Recurring Schedule'!$F$36="","",IF(OR($A39&lt;'Recurring Schedule'!$F$36,$A39&gt;'Recurring Schedule'!$P$36),"",IF(IF('Recurring Schedule'!$N$36&gt;0,MOD($A39-'Recurring Schedule'!$F$36,'Recurring Schedule'!$N$36)=0,IF('Recurring Schedule'!$O$36&gt;0,AND(DAY($A39)=MIN(DAY('Recurring Schedule'!$F$36),DAY(EOMONTH($A39,0))),MOD((YEAR($A39)-YEAR('Recurring Schedule'!$F$36))*12+MONTH($A39)-MONTH('Recurring Schedule'!$F$36),'Recurring Schedule'!$O$36)=0),IF('Recurring Schedule'!$E$36="Weekdays",WEEKDAY($A39,2)&lt;=5,$A39='Recurring Schedule'!$F$36))),31,""))))</f>
        <v/>
      </c>
      <c r="AG39">
        <f>IF('Recurring Schedule'!$C$37="","",IF('Recurring Schedule'!$F$37="","",IF(OR($A39&lt;'Recurring Schedule'!$F$37,$A39&gt;'Recurring Schedule'!$P$37),"",IF(IF('Recurring Schedule'!$N$37&gt;0,MOD($A39-'Recurring Schedule'!$F$37,'Recurring Schedule'!$N$37)=0,IF('Recurring Schedule'!$O$37&gt;0,AND(DAY($A39)=MIN(DAY('Recurring Schedule'!$F$37),DAY(EOMONTH($A39,0))),MOD((YEAR($A39)-YEAR('Recurring Schedule'!$F$37))*12+MONTH($A39)-MONTH('Recurring Schedule'!$F$37),'Recurring Schedule'!$O$37)=0),IF('Recurring Schedule'!$E$37="Weekdays",WEEKDAY($A39,2)&lt;=5,$A39='Recurring Schedule'!$F$37))),32,""))))</f>
        <v/>
      </c>
      <c r="AH39">
        <f>IF('Recurring Schedule'!$C$38="","",IF('Recurring Schedule'!$F$38="","",IF(OR($A39&lt;'Recurring Schedule'!$F$38,$A39&gt;'Recurring Schedule'!$P$38),"",IF(IF('Recurring Schedule'!$N$38&gt;0,MOD($A39-'Recurring Schedule'!$F$38,'Recurring Schedule'!$N$38)=0,IF('Recurring Schedule'!$O$38&gt;0,AND(DAY($A39)=MIN(DAY('Recurring Schedule'!$F$38),DAY(EOMONTH($A39,0))),MOD((YEAR($A39)-YEAR('Recurring Schedule'!$F$38))*12+MONTH($A39)-MONTH('Recurring Schedule'!$F$38),'Recurring Schedule'!$O$38)=0),IF('Recurring Schedule'!$E$38="Weekdays",WEEKDAY($A39,2)&lt;=5,$A39='Recurring Schedule'!$F$38))),33,""))))</f>
        <v/>
      </c>
      <c r="AI39">
        <f>IF('Recurring Schedule'!$C$39="","",IF('Recurring Schedule'!$F$39="","",IF(OR($A39&lt;'Recurring Schedule'!$F$39,$A39&gt;'Recurring Schedule'!$P$39),"",IF(IF('Recurring Schedule'!$N$39&gt;0,MOD($A39-'Recurring Schedule'!$F$39,'Recurring Schedule'!$N$39)=0,IF('Recurring Schedule'!$O$39&gt;0,AND(DAY($A39)=MIN(DAY('Recurring Schedule'!$F$39),DAY(EOMONTH($A39,0))),MOD((YEAR($A39)-YEAR('Recurring Schedule'!$F$39))*12+MONTH($A39)-MONTH('Recurring Schedule'!$F$39),'Recurring Schedule'!$O$39)=0),IF('Recurring Schedule'!$E$39="Weekdays",WEEKDAY($A39,2)&lt;=5,$A39='Recurring Schedule'!$F$39))),34,""))))</f>
        <v/>
      </c>
      <c r="AJ39">
        <f>IF('Recurring Schedule'!$C$40="","",IF('Recurring Schedule'!$F$40="","",IF(OR($A39&lt;'Recurring Schedule'!$F$40,$A39&gt;'Recurring Schedule'!$P$40),"",IF(IF('Recurring Schedule'!$N$40&gt;0,MOD($A39-'Recurring Schedule'!$F$40,'Recurring Schedule'!$N$40)=0,IF('Recurring Schedule'!$O$40&gt;0,AND(DAY($A39)=MIN(DAY('Recurring Schedule'!$F$40),DAY(EOMONTH($A39,0))),MOD((YEAR($A39)-YEAR('Recurring Schedule'!$F$40))*12+MONTH($A39)-MONTH('Recurring Schedule'!$F$40),'Recurring Schedule'!$O$40)=0),IF('Recurring Schedule'!$E$40="Weekdays",WEEKDAY($A39,2)&lt;=5,$A39='Recurring Schedule'!$F$40))),35,""))))</f>
        <v/>
      </c>
      <c r="AK39">
        <f>IF('Recurring Schedule'!$C$41="","",IF('Recurring Schedule'!$F$41="","",IF(OR($A39&lt;'Recurring Schedule'!$F$41,$A39&gt;'Recurring Schedule'!$P$41),"",IF(IF('Recurring Schedule'!$N$41&gt;0,MOD($A39-'Recurring Schedule'!$F$41,'Recurring Schedule'!$N$41)=0,IF('Recurring Schedule'!$O$41&gt;0,AND(DAY($A39)=MIN(DAY('Recurring Schedule'!$F$41),DAY(EOMONTH($A39,0))),MOD((YEAR($A39)-YEAR('Recurring Schedule'!$F$41))*12+MONTH($A39)-MONTH('Recurring Schedule'!$F$41),'Recurring Schedule'!$O$41)=0),IF('Recurring Schedule'!$E$41="Weekdays",WEEKDAY($A39,2)&lt;=5,$A39='Recurring Schedule'!$F$41))),36,""))))</f>
        <v/>
      </c>
      <c r="AL39">
        <f>IF('Recurring Schedule'!$C$42="","",IF('Recurring Schedule'!$F$42="","",IF(OR($A39&lt;'Recurring Schedule'!$F$42,$A39&gt;'Recurring Schedule'!$P$42),"",IF(IF('Recurring Schedule'!$N$42&gt;0,MOD($A39-'Recurring Schedule'!$F$42,'Recurring Schedule'!$N$42)=0,IF('Recurring Schedule'!$O$42&gt;0,AND(DAY($A39)=MIN(DAY('Recurring Schedule'!$F$42),DAY(EOMONTH($A39,0))),MOD((YEAR($A39)-YEAR('Recurring Schedule'!$F$42))*12+MONTH($A39)-MONTH('Recurring Schedule'!$F$42),'Recurring Schedule'!$O$42)=0),IF('Recurring Schedule'!$E$42="Weekdays",WEEKDAY($A39,2)&lt;=5,$A39='Recurring Schedule'!$F$42))),37,""))))</f>
        <v/>
      </c>
      <c r="AM39">
        <f>IF('Recurring Schedule'!$C$43="","",IF('Recurring Schedule'!$F$43="","",IF(OR($A39&lt;'Recurring Schedule'!$F$43,$A39&gt;'Recurring Schedule'!$P$43),"",IF(IF('Recurring Schedule'!$N$43&gt;0,MOD($A39-'Recurring Schedule'!$F$43,'Recurring Schedule'!$N$43)=0,IF('Recurring Schedule'!$O$43&gt;0,AND(DAY($A39)=MIN(DAY('Recurring Schedule'!$F$43),DAY(EOMONTH($A39,0))),MOD((YEAR($A39)-YEAR('Recurring Schedule'!$F$43))*12+MONTH($A39)-MONTH('Recurring Schedule'!$F$43),'Recurring Schedule'!$O$43)=0),IF('Recurring Schedule'!$E$43="Weekdays",WEEKDAY($A39,2)&lt;=5,$A39='Recurring Schedule'!$F$43))),38,""))))</f>
        <v/>
      </c>
      <c r="AN39">
        <f>IF('Recurring Schedule'!$C$44="","",IF('Recurring Schedule'!$F$44="","",IF(OR($A39&lt;'Recurring Schedule'!$F$44,$A39&gt;'Recurring Schedule'!$P$44),"",IF(IF('Recurring Schedule'!$N$44&gt;0,MOD($A39-'Recurring Schedule'!$F$44,'Recurring Schedule'!$N$44)=0,IF('Recurring Schedule'!$O$44&gt;0,AND(DAY($A39)=MIN(DAY('Recurring Schedule'!$F$44),DAY(EOMONTH($A39,0))),MOD((YEAR($A39)-YEAR('Recurring Schedule'!$F$44))*12+MONTH($A39)-MONTH('Recurring Schedule'!$F$44),'Recurring Schedule'!$O$44)=0),IF('Recurring Schedule'!$E$44="Weekdays",WEEKDAY($A39,2)&lt;=5,$A39='Recurring Schedule'!$F$44))),39,""))))</f>
        <v/>
      </c>
      <c r="AO39">
        <f>IF('Recurring Schedule'!$C$45="","",IF('Recurring Schedule'!$F$45="","",IF(OR($A39&lt;'Recurring Schedule'!$F$45,$A39&gt;'Recurring Schedule'!$P$45),"",IF(IF('Recurring Schedule'!$N$45&gt;0,MOD($A39-'Recurring Schedule'!$F$45,'Recurring Schedule'!$N$45)=0,IF('Recurring Schedule'!$O$45&gt;0,AND(DAY($A39)=MIN(DAY('Recurring Schedule'!$F$45),DAY(EOMONTH($A39,0))),MOD((YEAR($A39)-YEAR('Recurring Schedule'!$F$45))*12+MONTH($A39)-MONTH('Recurring Schedule'!$F$45),'Recurring Schedule'!$O$45)=0),IF('Recurring Schedule'!$E$45="Weekdays",WEEKDAY($A39,2)&lt;=5,$A39='Recurring Schedule'!$F$45))),40,""))))</f>
        <v/>
      </c>
      <c r="AP39">
        <f>COUNT(B39:AO39)</f>
        <v/>
      </c>
      <c r="AQ39">
        <f>AQ38+AP38</f>
        <v/>
      </c>
      <c r="AS39" t="inlineStr">
        <is>
          <t>R</t>
        </is>
      </c>
      <c r="AT39" t="n">
        <v>43</v>
      </c>
      <c r="AU39">
        <f>'Recurring Log'!C43&amp;""</f>
        <v/>
      </c>
      <c r="AV39">
        <f>'Recurring Log'!D43&amp;""</f>
        <v/>
      </c>
      <c r="AW39">
        <f>IF('Recurring Log'!E43="","",'Recurring Log'!E43)</f>
        <v/>
      </c>
      <c r="AX39">
        <f>IF('Recurring Log'!G43="","",'Recurring Log'!G43)</f>
        <v/>
      </c>
      <c r="AY39">
        <f>IF('Recurring Log'!H43="","",'Recurring Log'!H43)</f>
        <v/>
      </c>
      <c r="AZ39">
        <f>IF(AU39="","",IF('Recurring Log'!J43="","Not Started",'Recurring Log'!J43))</f>
        <v/>
      </c>
      <c r="BA39">
        <f>'Recurring Log'!L43&amp;""</f>
        <v/>
      </c>
      <c r="BB39">
        <f>'Recurring Log'!M43&amp;""</f>
        <v/>
      </c>
      <c r="BC39">
        <f>'Recurring Log'!N43&amp;""</f>
        <v/>
      </c>
      <c r="BD39">
        <f>'Recurring Log'!O43&amp;""</f>
        <v/>
      </c>
      <c r="BE39">
        <f>IF('Recurring Log'!K43="","",'Recurring Log'!K43)</f>
        <v/>
      </c>
      <c r="BF39">
        <f>IFERROR(MATCH(BA39,Setup!$L$6:$L$9,0),5)</f>
        <v/>
      </c>
      <c r="BG39">
        <f>IF(OR(AZ39="Done",AZ39="Cancelled"),1,0)</f>
        <v/>
      </c>
      <c r="BH39">
        <f>IF(AND(AU39&lt;&gt;"",ISNUMBER(AW39)),1,0)</f>
        <v/>
      </c>
      <c r="BI39">
        <f>IF(BH39=0,0,IF(AND(AW39&gt;='Tasks Filter'!$F$3,AW39&lt;='Tasks Filter'!$F$4,OR('Tasks Filter'!$I$3="",ISNUMBER(SEARCH('Tasks Filter'!$I$3,AU39))),OR('Tasks Filter'!$I$4="",BF39=IFERROR(MATCH('Tasks Filter'!$I$4,Setup!$L$6:$L$9,0),0)),OR('Tasks Filter'!$I$5="Both",AND('Tasks Filter'!$I$5="Yes",BB39="✓"),AND('Tasks Filter'!$I$5="No",BB39&lt;&gt;"✓")),OR('Tasks Filter'!$L$3="",AV39='Tasks Filter'!$L$3),OR('Tasks Filter'!$L$4="",AZ39='Tasks Filter'!$L$4),OR('Tasks Filter'!$L$5="",BC39='Tasks Filter'!$L$5),OR('Tasks Filter'!$O$3="",BD39='Tasks Filter'!$O$3),OR('Tasks Filter'!$O$4="Yes",BG39=0)),1,0))</f>
        <v/>
      </c>
      <c r="BJ39">
        <f>IF(BH39=0,"",IF('Tasks Filter'!$F$6="Descending",-1,1)*CHOOSE(MATCH('Tasks Filter'!$F$5,Lists!$G$2:$G$6,0),AW39,BF39,IFERROR(MATCH(AV39,Setup!$F$6:$F$15,0),99),IFERROR(MATCH(BC39,Setup!$H$6:$H$15,0),99),IFERROR(MATCH(AZ39,Setup!$J$6:$J$11,0),99))*1E+9+(AW39-40000)*10000+38)</f>
        <v/>
      </c>
      <c r="BK39">
        <f>IF(BI39=1,BJ39,"")</f>
        <v/>
      </c>
      <c r="BL39">
        <f>IF(AND(BH39=1,BG39=0,N(AW39)&lt;Setup!$D$7),(AW39-40000)*10000+38,"")</f>
        <v/>
      </c>
      <c r="BM39">
        <f>IF(AND(BH39=1,AZ39&lt;&gt;"Cancelled",N(AW39)&gt;=Dashboard!$AB$3,N(AW39)&lt;=Dashboard!$AB$3+6),(AW39-40000)*100000+BF39*10000+38,"")</f>
        <v/>
      </c>
      <c r="BN39">
        <f>IF(AND(BH39=1,AZ39&lt;&gt;"Cancelled"),BF39*10000+38,"")</f>
        <v/>
      </c>
    </row>
    <row r="40">
      <c r="A40">
        <f>Setup!$D$5+38</f>
        <v/>
      </c>
      <c r="B40">
        <f>IF('Recurring Schedule'!$C$6="","",IF('Recurring Schedule'!$F$6="","",IF(OR($A40&lt;'Recurring Schedule'!$F$6,$A40&gt;'Recurring Schedule'!$P$6),"",IF(IF('Recurring Schedule'!$N$6&gt;0,MOD($A40-'Recurring Schedule'!$F$6,'Recurring Schedule'!$N$6)=0,IF('Recurring Schedule'!$O$6&gt;0,AND(DAY($A40)=MIN(DAY('Recurring Schedule'!$F$6),DAY(EOMONTH($A40,0))),MOD((YEAR($A40)-YEAR('Recurring Schedule'!$F$6))*12+MONTH($A40)-MONTH('Recurring Schedule'!$F$6),'Recurring Schedule'!$O$6)=0),IF('Recurring Schedule'!$E$6="Weekdays",WEEKDAY($A40,2)&lt;=5,$A40='Recurring Schedule'!$F$6))),1,""))))</f>
        <v/>
      </c>
      <c r="C40">
        <f>IF('Recurring Schedule'!$C$7="","",IF('Recurring Schedule'!$F$7="","",IF(OR($A40&lt;'Recurring Schedule'!$F$7,$A40&gt;'Recurring Schedule'!$P$7),"",IF(IF('Recurring Schedule'!$N$7&gt;0,MOD($A40-'Recurring Schedule'!$F$7,'Recurring Schedule'!$N$7)=0,IF('Recurring Schedule'!$O$7&gt;0,AND(DAY($A40)=MIN(DAY('Recurring Schedule'!$F$7),DAY(EOMONTH($A40,0))),MOD((YEAR($A40)-YEAR('Recurring Schedule'!$F$7))*12+MONTH($A40)-MONTH('Recurring Schedule'!$F$7),'Recurring Schedule'!$O$7)=0),IF('Recurring Schedule'!$E$7="Weekdays",WEEKDAY($A40,2)&lt;=5,$A40='Recurring Schedule'!$F$7))),2,""))))</f>
        <v/>
      </c>
      <c r="D40">
        <f>IF('Recurring Schedule'!$C$8="","",IF('Recurring Schedule'!$F$8="","",IF(OR($A40&lt;'Recurring Schedule'!$F$8,$A40&gt;'Recurring Schedule'!$P$8),"",IF(IF('Recurring Schedule'!$N$8&gt;0,MOD($A40-'Recurring Schedule'!$F$8,'Recurring Schedule'!$N$8)=0,IF('Recurring Schedule'!$O$8&gt;0,AND(DAY($A40)=MIN(DAY('Recurring Schedule'!$F$8),DAY(EOMONTH($A40,0))),MOD((YEAR($A40)-YEAR('Recurring Schedule'!$F$8))*12+MONTH($A40)-MONTH('Recurring Schedule'!$F$8),'Recurring Schedule'!$O$8)=0),IF('Recurring Schedule'!$E$8="Weekdays",WEEKDAY($A40,2)&lt;=5,$A40='Recurring Schedule'!$F$8))),3,""))))</f>
        <v/>
      </c>
      <c r="E40">
        <f>IF('Recurring Schedule'!$C$9="","",IF('Recurring Schedule'!$F$9="","",IF(OR($A40&lt;'Recurring Schedule'!$F$9,$A40&gt;'Recurring Schedule'!$P$9),"",IF(IF('Recurring Schedule'!$N$9&gt;0,MOD($A40-'Recurring Schedule'!$F$9,'Recurring Schedule'!$N$9)=0,IF('Recurring Schedule'!$O$9&gt;0,AND(DAY($A40)=MIN(DAY('Recurring Schedule'!$F$9),DAY(EOMONTH($A40,0))),MOD((YEAR($A40)-YEAR('Recurring Schedule'!$F$9))*12+MONTH($A40)-MONTH('Recurring Schedule'!$F$9),'Recurring Schedule'!$O$9)=0),IF('Recurring Schedule'!$E$9="Weekdays",WEEKDAY($A40,2)&lt;=5,$A40='Recurring Schedule'!$F$9))),4,""))))</f>
        <v/>
      </c>
      <c r="F40">
        <f>IF('Recurring Schedule'!$C$10="","",IF('Recurring Schedule'!$F$10="","",IF(OR($A40&lt;'Recurring Schedule'!$F$10,$A40&gt;'Recurring Schedule'!$P$10),"",IF(IF('Recurring Schedule'!$N$10&gt;0,MOD($A40-'Recurring Schedule'!$F$10,'Recurring Schedule'!$N$10)=0,IF('Recurring Schedule'!$O$10&gt;0,AND(DAY($A40)=MIN(DAY('Recurring Schedule'!$F$10),DAY(EOMONTH($A40,0))),MOD((YEAR($A40)-YEAR('Recurring Schedule'!$F$10))*12+MONTH($A40)-MONTH('Recurring Schedule'!$F$10),'Recurring Schedule'!$O$10)=0),IF('Recurring Schedule'!$E$10="Weekdays",WEEKDAY($A40,2)&lt;=5,$A40='Recurring Schedule'!$F$10))),5,""))))</f>
        <v/>
      </c>
      <c r="G40">
        <f>IF('Recurring Schedule'!$C$11="","",IF('Recurring Schedule'!$F$11="","",IF(OR($A40&lt;'Recurring Schedule'!$F$11,$A40&gt;'Recurring Schedule'!$P$11),"",IF(IF('Recurring Schedule'!$N$11&gt;0,MOD($A40-'Recurring Schedule'!$F$11,'Recurring Schedule'!$N$11)=0,IF('Recurring Schedule'!$O$11&gt;0,AND(DAY($A40)=MIN(DAY('Recurring Schedule'!$F$11),DAY(EOMONTH($A40,0))),MOD((YEAR($A40)-YEAR('Recurring Schedule'!$F$11))*12+MONTH($A40)-MONTH('Recurring Schedule'!$F$11),'Recurring Schedule'!$O$11)=0),IF('Recurring Schedule'!$E$11="Weekdays",WEEKDAY($A40,2)&lt;=5,$A40='Recurring Schedule'!$F$11))),6,""))))</f>
        <v/>
      </c>
      <c r="H40">
        <f>IF('Recurring Schedule'!$C$12="","",IF('Recurring Schedule'!$F$12="","",IF(OR($A40&lt;'Recurring Schedule'!$F$12,$A40&gt;'Recurring Schedule'!$P$12),"",IF(IF('Recurring Schedule'!$N$12&gt;0,MOD($A40-'Recurring Schedule'!$F$12,'Recurring Schedule'!$N$12)=0,IF('Recurring Schedule'!$O$12&gt;0,AND(DAY($A40)=MIN(DAY('Recurring Schedule'!$F$12),DAY(EOMONTH($A40,0))),MOD((YEAR($A40)-YEAR('Recurring Schedule'!$F$12))*12+MONTH($A40)-MONTH('Recurring Schedule'!$F$12),'Recurring Schedule'!$O$12)=0),IF('Recurring Schedule'!$E$12="Weekdays",WEEKDAY($A40,2)&lt;=5,$A40='Recurring Schedule'!$F$12))),7,""))))</f>
        <v/>
      </c>
      <c r="I40">
        <f>IF('Recurring Schedule'!$C$13="","",IF('Recurring Schedule'!$F$13="","",IF(OR($A40&lt;'Recurring Schedule'!$F$13,$A40&gt;'Recurring Schedule'!$P$13),"",IF(IF('Recurring Schedule'!$N$13&gt;0,MOD($A40-'Recurring Schedule'!$F$13,'Recurring Schedule'!$N$13)=0,IF('Recurring Schedule'!$O$13&gt;0,AND(DAY($A40)=MIN(DAY('Recurring Schedule'!$F$13),DAY(EOMONTH($A40,0))),MOD((YEAR($A40)-YEAR('Recurring Schedule'!$F$13))*12+MONTH($A40)-MONTH('Recurring Schedule'!$F$13),'Recurring Schedule'!$O$13)=0),IF('Recurring Schedule'!$E$13="Weekdays",WEEKDAY($A40,2)&lt;=5,$A40='Recurring Schedule'!$F$13))),8,""))))</f>
        <v/>
      </c>
      <c r="J40">
        <f>IF('Recurring Schedule'!$C$14="","",IF('Recurring Schedule'!$F$14="","",IF(OR($A40&lt;'Recurring Schedule'!$F$14,$A40&gt;'Recurring Schedule'!$P$14),"",IF(IF('Recurring Schedule'!$N$14&gt;0,MOD($A40-'Recurring Schedule'!$F$14,'Recurring Schedule'!$N$14)=0,IF('Recurring Schedule'!$O$14&gt;0,AND(DAY($A40)=MIN(DAY('Recurring Schedule'!$F$14),DAY(EOMONTH($A40,0))),MOD((YEAR($A40)-YEAR('Recurring Schedule'!$F$14))*12+MONTH($A40)-MONTH('Recurring Schedule'!$F$14),'Recurring Schedule'!$O$14)=0),IF('Recurring Schedule'!$E$14="Weekdays",WEEKDAY($A40,2)&lt;=5,$A40='Recurring Schedule'!$F$14))),9,""))))</f>
        <v/>
      </c>
      <c r="K40">
        <f>IF('Recurring Schedule'!$C$15="","",IF('Recurring Schedule'!$F$15="","",IF(OR($A40&lt;'Recurring Schedule'!$F$15,$A40&gt;'Recurring Schedule'!$P$15),"",IF(IF('Recurring Schedule'!$N$15&gt;0,MOD($A40-'Recurring Schedule'!$F$15,'Recurring Schedule'!$N$15)=0,IF('Recurring Schedule'!$O$15&gt;0,AND(DAY($A40)=MIN(DAY('Recurring Schedule'!$F$15),DAY(EOMONTH($A40,0))),MOD((YEAR($A40)-YEAR('Recurring Schedule'!$F$15))*12+MONTH($A40)-MONTH('Recurring Schedule'!$F$15),'Recurring Schedule'!$O$15)=0),IF('Recurring Schedule'!$E$15="Weekdays",WEEKDAY($A40,2)&lt;=5,$A40='Recurring Schedule'!$F$15))),10,""))))</f>
        <v/>
      </c>
      <c r="L40">
        <f>IF('Recurring Schedule'!$C$16="","",IF('Recurring Schedule'!$F$16="","",IF(OR($A40&lt;'Recurring Schedule'!$F$16,$A40&gt;'Recurring Schedule'!$P$16),"",IF(IF('Recurring Schedule'!$N$16&gt;0,MOD($A40-'Recurring Schedule'!$F$16,'Recurring Schedule'!$N$16)=0,IF('Recurring Schedule'!$O$16&gt;0,AND(DAY($A40)=MIN(DAY('Recurring Schedule'!$F$16),DAY(EOMONTH($A40,0))),MOD((YEAR($A40)-YEAR('Recurring Schedule'!$F$16))*12+MONTH($A40)-MONTH('Recurring Schedule'!$F$16),'Recurring Schedule'!$O$16)=0),IF('Recurring Schedule'!$E$16="Weekdays",WEEKDAY($A40,2)&lt;=5,$A40='Recurring Schedule'!$F$16))),11,""))))</f>
        <v/>
      </c>
      <c r="M40">
        <f>IF('Recurring Schedule'!$C$17="","",IF('Recurring Schedule'!$F$17="","",IF(OR($A40&lt;'Recurring Schedule'!$F$17,$A40&gt;'Recurring Schedule'!$P$17),"",IF(IF('Recurring Schedule'!$N$17&gt;0,MOD($A40-'Recurring Schedule'!$F$17,'Recurring Schedule'!$N$17)=0,IF('Recurring Schedule'!$O$17&gt;0,AND(DAY($A40)=MIN(DAY('Recurring Schedule'!$F$17),DAY(EOMONTH($A40,0))),MOD((YEAR($A40)-YEAR('Recurring Schedule'!$F$17))*12+MONTH($A40)-MONTH('Recurring Schedule'!$F$17),'Recurring Schedule'!$O$17)=0),IF('Recurring Schedule'!$E$17="Weekdays",WEEKDAY($A40,2)&lt;=5,$A40='Recurring Schedule'!$F$17))),12,""))))</f>
        <v/>
      </c>
      <c r="N40">
        <f>IF('Recurring Schedule'!$C$18="","",IF('Recurring Schedule'!$F$18="","",IF(OR($A40&lt;'Recurring Schedule'!$F$18,$A40&gt;'Recurring Schedule'!$P$18),"",IF(IF('Recurring Schedule'!$N$18&gt;0,MOD($A40-'Recurring Schedule'!$F$18,'Recurring Schedule'!$N$18)=0,IF('Recurring Schedule'!$O$18&gt;0,AND(DAY($A40)=MIN(DAY('Recurring Schedule'!$F$18),DAY(EOMONTH($A40,0))),MOD((YEAR($A40)-YEAR('Recurring Schedule'!$F$18))*12+MONTH($A40)-MONTH('Recurring Schedule'!$F$18),'Recurring Schedule'!$O$18)=0),IF('Recurring Schedule'!$E$18="Weekdays",WEEKDAY($A40,2)&lt;=5,$A40='Recurring Schedule'!$F$18))),13,""))))</f>
        <v/>
      </c>
      <c r="O40">
        <f>IF('Recurring Schedule'!$C$19="","",IF('Recurring Schedule'!$F$19="","",IF(OR($A40&lt;'Recurring Schedule'!$F$19,$A40&gt;'Recurring Schedule'!$P$19),"",IF(IF('Recurring Schedule'!$N$19&gt;0,MOD($A40-'Recurring Schedule'!$F$19,'Recurring Schedule'!$N$19)=0,IF('Recurring Schedule'!$O$19&gt;0,AND(DAY($A40)=MIN(DAY('Recurring Schedule'!$F$19),DAY(EOMONTH($A40,0))),MOD((YEAR($A40)-YEAR('Recurring Schedule'!$F$19))*12+MONTH($A40)-MONTH('Recurring Schedule'!$F$19),'Recurring Schedule'!$O$19)=0),IF('Recurring Schedule'!$E$19="Weekdays",WEEKDAY($A40,2)&lt;=5,$A40='Recurring Schedule'!$F$19))),14,""))))</f>
        <v/>
      </c>
      <c r="P40">
        <f>IF('Recurring Schedule'!$C$20="","",IF('Recurring Schedule'!$F$20="","",IF(OR($A40&lt;'Recurring Schedule'!$F$20,$A40&gt;'Recurring Schedule'!$P$20),"",IF(IF('Recurring Schedule'!$N$20&gt;0,MOD($A40-'Recurring Schedule'!$F$20,'Recurring Schedule'!$N$20)=0,IF('Recurring Schedule'!$O$20&gt;0,AND(DAY($A40)=MIN(DAY('Recurring Schedule'!$F$20),DAY(EOMONTH($A40,0))),MOD((YEAR($A40)-YEAR('Recurring Schedule'!$F$20))*12+MONTH($A40)-MONTH('Recurring Schedule'!$F$20),'Recurring Schedule'!$O$20)=0),IF('Recurring Schedule'!$E$20="Weekdays",WEEKDAY($A40,2)&lt;=5,$A40='Recurring Schedule'!$F$20))),15,""))))</f>
        <v/>
      </c>
      <c r="Q40">
        <f>IF('Recurring Schedule'!$C$21="","",IF('Recurring Schedule'!$F$21="","",IF(OR($A40&lt;'Recurring Schedule'!$F$21,$A40&gt;'Recurring Schedule'!$P$21),"",IF(IF('Recurring Schedule'!$N$21&gt;0,MOD($A40-'Recurring Schedule'!$F$21,'Recurring Schedule'!$N$21)=0,IF('Recurring Schedule'!$O$21&gt;0,AND(DAY($A40)=MIN(DAY('Recurring Schedule'!$F$21),DAY(EOMONTH($A40,0))),MOD((YEAR($A40)-YEAR('Recurring Schedule'!$F$21))*12+MONTH($A40)-MONTH('Recurring Schedule'!$F$21),'Recurring Schedule'!$O$21)=0),IF('Recurring Schedule'!$E$21="Weekdays",WEEKDAY($A40,2)&lt;=5,$A40='Recurring Schedule'!$F$21))),16,""))))</f>
        <v/>
      </c>
      <c r="R40">
        <f>IF('Recurring Schedule'!$C$22="","",IF('Recurring Schedule'!$F$22="","",IF(OR($A40&lt;'Recurring Schedule'!$F$22,$A40&gt;'Recurring Schedule'!$P$22),"",IF(IF('Recurring Schedule'!$N$22&gt;0,MOD($A40-'Recurring Schedule'!$F$22,'Recurring Schedule'!$N$22)=0,IF('Recurring Schedule'!$O$22&gt;0,AND(DAY($A40)=MIN(DAY('Recurring Schedule'!$F$22),DAY(EOMONTH($A40,0))),MOD((YEAR($A40)-YEAR('Recurring Schedule'!$F$22))*12+MONTH($A40)-MONTH('Recurring Schedule'!$F$22),'Recurring Schedule'!$O$22)=0),IF('Recurring Schedule'!$E$22="Weekdays",WEEKDAY($A40,2)&lt;=5,$A40='Recurring Schedule'!$F$22))),17,""))))</f>
        <v/>
      </c>
      <c r="S40">
        <f>IF('Recurring Schedule'!$C$23="","",IF('Recurring Schedule'!$F$23="","",IF(OR($A40&lt;'Recurring Schedule'!$F$23,$A40&gt;'Recurring Schedule'!$P$23),"",IF(IF('Recurring Schedule'!$N$23&gt;0,MOD($A40-'Recurring Schedule'!$F$23,'Recurring Schedule'!$N$23)=0,IF('Recurring Schedule'!$O$23&gt;0,AND(DAY($A40)=MIN(DAY('Recurring Schedule'!$F$23),DAY(EOMONTH($A40,0))),MOD((YEAR($A40)-YEAR('Recurring Schedule'!$F$23))*12+MONTH($A40)-MONTH('Recurring Schedule'!$F$23),'Recurring Schedule'!$O$23)=0),IF('Recurring Schedule'!$E$23="Weekdays",WEEKDAY($A40,2)&lt;=5,$A40='Recurring Schedule'!$F$23))),18,""))))</f>
        <v/>
      </c>
      <c r="T40">
        <f>IF('Recurring Schedule'!$C$24="","",IF('Recurring Schedule'!$F$24="","",IF(OR($A40&lt;'Recurring Schedule'!$F$24,$A40&gt;'Recurring Schedule'!$P$24),"",IF(IF('Recurring Schedule'!$N$24&gt;0,MOD($A40-'Recurring Schedule'!$F$24,'Recurring Schedule'!$N$24)=0,IF('Recurring Schedule'!$O$24&gt;0,AND(DAY($A40)=MIN(DAY('Recurring Schedule'!$F$24),DAY(EOMONTH($A40,0))),MOD((YEAR($A40)-YEAR('Recurring Schedule'!$F$24))*12+MONTH($A40)-MONTH('Recurring Schedule'!$F$24),'Recurring Schedule'!$O$24)=0),IF('Recurring Schedule'!$E$24="Weekdays",WEEKDAY($A40,2)&lt;=5,$A40='Recurring Schedule'!$F$24))),19,""))))</f>
        <v/>
      </c>
      <c r="U40">
        <f>IF('Recurring Schedule'!$C$25="","",IF('Recurring Schedule'!$F$25="","",IF(OR($A40&lt;'Recurring Schedule'!$F$25,$A40&gt;'Recurring Schedule'!$P$25),"",IF(IF('Recurring Schedule'!$N$25&gt;0,MOD($A40-'Recurring Schedule'!$F$25,'Recurring Schedule'!$N$25)=0,IF('Recurring Schedule'!$O$25&gt;0,AND(DAY($A40)=MIN(DAY('Recurring Schedule'!$F$25),DAY(EOMONTH($A40,0))),MOD((YEAR($A40)-YEAR('Recurring Schedule'!$F$25))*12+MONTH($A40)-MONTH('Recurring Schedule'!$F$25),'Recurring Schedule'!$O$25)=0),IF('Recurring Schedule'!$E$25="Weekdays",WEEKDAY($A40,2)&lt;=5,$A40='Recurring Schedule'!$F$25))),20,""))))</f>
        <v/>
      </c>
      <c r="V40">
        <f>IF('Recurring Schedule'!$C$26="","",IF('Recurring Schedule'!$F$26="","",IF(OR($A40&lt;'Recurring Schedule'!$F$26,$A40&gt;'Recurring Schedule'!$P$26),"",IF(IF('Recurring Schedule'!$N$26&gt;0,MOD($A40-'Recurring Schedule'!$F$26,'Recurring Schedule'!$N$26)=0,IF('Recurring Schedule'!$O$26&gt;0,AND(DAY($A40)=MIN(DAY('Recurring Schedule'!$F$26),DAY(EOMONTH($A40,0))),MOD((YEAR($A40)-YEAR('Recurring Schedule'!$F$26))*12+MONTH($A40)-MONTH('Recurring Schedule'!$F$26),'Recurring Schedule'!$O$26)=0),IF('Recurring Schedule'!$E$26="Weekdays",WEEKDAY($A40,2)&lt;=5,$A40='Recurring Schedule'!$F$26))),21,""))))</f>
        <v/>
      </c>
      <c r="W40">
        <f>IF('Recurring Schedule'!$C$27="","",IF('Recurring Schedule'!$F$27="","",IF(OR($A40&lt;'Recurring Schedule'!$F$27,$A40&gt;'Recurring Schedule'!$P$27),"",IF(IF('Recurring Schedule'!$N$27&gt;0,MOD($A40-'Recurring Schedule'!$F$27,'Recurring Schedule'!$N$27)=0,IF('Recurring Schedule'!$O$27&gt;0,AND(DAY($A40)=MIN(DAY('Recurring Schedule'!$F$27),DAY(EOMONTH($A40,0))),MOD((YEAR($A40)-YEAR('Recurring Schedule'!$F$27))*12+MONTH($A40)-MONTH('Recurring Schedule'!$F$27),'Recurring Schedule'!$O$27)=0),IF('Recurring Schedule'!$E$27="Weekdays",WEEKDAY($A40,2)&lt;=5,$A40='Recurring Schedule'!$F$27))),22,""))))</f>
        <v/>
      </c>
      <c r="X40">
        <f>IF('Recurring Schedule'!$C$28="","",IF('Recurring Schedule'!$F$28="","",IF(OR($A40&lt;'Recurring Schedule'!$F$28,$A40&gt;'Recurring Schedule'!$P$28),"",IF(IF('Recurring Schedule'!$N$28&gt;0,MOD($A40-'Recurring Schedule'!$F$28,'Recurring Schedule'!$N$28)=0,IF('Recurring Schedule'!$O$28&gt;0,AND(DAY($A40)=MIN(DAY('Recurring Schedule'!$F$28),DAY(EOMONTH($A40,0))),MOD((YEAR($A40)-YEAR('Recurring Schedule'!$F$28))*12+MONTH($A40)-MONTH('Recurring Schedule'!$F$28),'Recurring Schedule'!$O$28)=0),IF('Recurring Schedule'!$E$28="Weekdays",WEEKDAY($A40,2)&lt;=5,$A40='Recurring Schedule'!$F$28))),23,""))))</f>
        <v/>
      </c>
      <c r="Y40">
        <f>IF('Recurring Schedule'!$C$29="","",IF('Recurring Schedule'!$F$29="","",IF(OR($A40&lt;'Recurring Schedule'!$F$29,$A40&gt;'Recurring Schedule'!$P$29),"",IF(IF('Recurring Schedule'!$N$29&gt;0,MOD($A40-'Recurring Schedule'!$F$29,'Recurring Schedule'!$N$29)=0,IF('Recurring Schedule'!$O$29&gt;0,AND(DAY($A40)=MIN(DAY('Recurring Schedule'!$F$29),DAY(EOMONTH($A40,0))),MOD((YEAR($A40)-YEAR('Recurring Schedule'!$F$29))*12+MONTH($A40)-MONTH('Recurring Schedule'!$F$29),'Recurring Schedule'!$O$29)=0),IF('Recurring Schedule'!$E$29="Weekdays",WEEKDAY($A40,2)&lt;=5,$A40='Recurring Schedule'!$F$29))),24,""))))</f>
        <v/>
      </c>
      <c r="Z40">
        <f>IF('Recurring Schedule'!$C$30="","",IF('Recurring Schedule'!$F$30="","",IF(OR($A40&lt;'Recurring Schedule'!$F$30,$A40&gt;'Recurring Schedule'!$P$30),"",IF(IF('Recurring Schedule'!$N$30&gt;0,MOD($A40-'Recurring Schedule'!$F$30,'Recurring Schedule'!$N$30)=0,IF('Recurring Schedule'!$O$30&gt;0,AND(DAY($A40)=MIN(DAY('Recurring Schedule'!$F$30),DAY(EOMONTH($A40,0))),MOD((YEAR($A40)-YEAR('Recurring Schedule'!$F$30))*12+MONTH($A40)-MONTH('Recurring Schedule'!$F$30),'Recurring Schedule'!$O$30)=0),IF('Recurring Schedule'!$E$30="Weekdays",WEEKDAY($A40,2)&lt;=5,$A40='Recurring Schedule'!$F$30))),25,""))))</f>
        <v/>
      </c>
      <c r="AA40">
        <f>IF('Recurring Schedule'!$C$31="","",IF('Recurring Schedule'!$F$31="","",IF(OR($A40&lt;'Recurring Schedule'!$F$31,$A40&gt;'Recurring Schedule'!$P$31),"",IF(IF('Recurring Schedule'!$N$31&gt;0,MOD($A40-'Recurring Schedule'!$F$31,'Recurring Schedule'!$N$31)=0,IF('Recurring Schedule'!$O$31&gt;0,AND(DAY($A40)=MIN(DAY('Recurring Schedule'!$F$31),DAY(EOMONTH($A40,0))),MOD((YEAR($A40)-YEAR('Recurring Schedule'!$F$31))*12+MONTH($A40)-MONTH('Recurring Schedule'!$F$31),'Recurring Schedule'!$O$31)=0),IF('Recurring Schedule'!$E$31="Weekdays",WEEKDAY($A40,2)&lt;=5,$A40='Recurring Schedule'!$F$31))),26,""))))</f>
        <v/>
      </c>
      <c r="AB40">
        <f>IF('Recurring Schedule'!$C$32="","",IF('Recurring Schedule'!$F$32="","",IF(OR($A40&lt;'Recurring Schedule'!$F$32,$A40&gt;'Recurring Schedule'!$P$32),"",IF(IF('Recurring Schedule'!$N$32&gt;0,MOD($A40-'Recurring Schedule'!$F$32,'Recurring Schedule'!$N$32)=0,IF('Recurring Schedule'!$O$32&gt;0,AND(DAY($A40)=MIN(DAY('Recurring Schedule'!$F$32),DAY(EOMONTH($A40,0))),MOD((YEAR($A40)-YEAR('Recurring Schedule'!$F$32))*12+MONTH($A40)-MONTH('Recurring Schedule'!$F$32),'Recurring Schedule'!$O$32)=0),IF('Recurring Schedule'!$E$32="Weekdays",WEEKDAY($A40,2)&lt;=5,$A40='Recurring Schedule'!$F$32))),27,""))))</f>
        <v/>
      </c>
      <c r="AC40">
        <f>IF('Recurring Schedule'!$C$33="","",IF('Recurring Schedule'!$F$33="","",IF(OR($A40&lt;'Recurring Schedule'!$F$33,$A40&gt;'Recurring Schedule'!$P$33),"",IF(IF('Recurring Schedule'!$N$33&gt;0,MOD($A40-'Recurring Schedule'!$F$33,'Recurring Schedule'!$N$33)=0,IF('Recurring Schedule'!$O$33&gt;0,AND(DAY($A40)=MIN(DAY('Recurring Schedule'!$F$33),DAY(EOMONTH($A40,0))),MOD((YEAR($A40)-YEAR('Recurring Schedule'!$F$33))*12+MONTH($A40)-MONTH('Recurring Schedule'!$F$33),'Recurring Schedule'!$O$33)=0),IF('Recurring Schedule'!$E$33="Weekdays",WEEKDAY($A40,2)&lt;=5,$A40='Recurring Schedule'!$F$33))),28,""))))</f>
        <v/>
      </c>
      <c r="AD40">
        <f>IF('Recurring Schedule'!$C$34="","",IF('Recurring Schedule'!$F$34="","",IF(OR($A40&lt;'Recurring Schedule'!$F$34,$A40&gt;'Recurring Schedule'!$P$34),"",IF(IF('Recurring Schedule'!$N$34&gt;0,MOD($A40-'Recurring Schedule'!$F$34,'Recurring Schedule'!$N$34)=0,IF('Recurring Schedule'!$O$34&gt;0,AND(DAY($A40)=MIN(DAY('Recurring Schedule'!$F$34),DAY(EOMONTH($A40,0))),MOD((YEAR($A40)-YEAR('Recurring Schedule'!$F$34))*12+MONTH($A40)-MONTH('Recurring Schedule'!$F$34),'Recurring Schedule'!$O$34)=0),IF('Recurring Schedule'!$E$34="Weekdays",WEEKDAY($A40,2)&lt;=5,$A40='Recurring Schedule'!$F$34))),29,""))))</f>
        <v/>
      </c>
      <c r="AE40">
        <f>IF('Recurring Schedule'!$C$35="","",IF('Recurring Schedule'!$F$35="","",IF(OR($A40&lt;'Recurring Schedule'!$F$35,$A40&gt;'Recurring Schedule'!$P$35),"",IF(IF('Recurring Schedule'!$N$35&gt;0,MOD($A40-'Recurring Schedule'!$F$35,'Recurring Schedule'!$N$35)=0,IF('Recurring Schedule'!$O$35&gt;0,AND(DAY($A40)=MIN(DAY('Recurring Schedule'!$F$35),DAY(EOMONTH($A40,0))),MOD((YEAR($A40)-YEAR('Recurring Schedule'!$F$35))*12+MONTH($A40)-MONTH('Recurring Schedule'!$F$35),'Recurring Schedule'!$O$35)=0),IF('Recurring Schedule'!$E$35="Weekdays",WEEKDAY($A40,2)&lt;=5,$A40='Recurring Schedule'!$F$35))),30,""))))</f>
        <v/>
      </c>
      <c r="AF40">
        <f>IF('Recurring Schedule'!$C$36="","",IF('Recurring Schedule'!$F$36="","",IF(OR($A40&lt;'Recurring Schedule'!$F$36,$A40&gt;'Recurring Schedule'!$P$36),"",IF(IF('Recurring Schedule'!$N$36&gt;0,MOD($A40-'Recurring Schedule'!$F$36,'Recurring Schedule'!$N$36)=0,IF('Recurring Schedule'!$O$36&gt;0,AND(DAY($A40)=MIN(DAY('Recurring Schedule'!$F$36),DAY(EOMONTH($A40,0))),MOD((YEAR($A40)-YEAR('Recurring Schedule'!$F$36))*12+MONTH($A40)-MONTH('Recurring Schedule'!$F$36),'Recurring Schedule'!$O$36)=0),IF('Recurring Schedule'!$E$36="Weekdays",WEEKDAY($A40,2)&lt;=5,$A40='Recurring Schedule'!$F$36))),31,""))))</f>
        <v/>
      </c>
      <c r="AG40">
        <f>IF('Recurring Schedule'!$C$37="","",IF('Recurring Schedule'!$F$37="","",IF(OR($A40&lt;'Recurring Schedule'!$F$37,$A40&gt;'Recurring Schedule'!$P$37),"",IF(IF('Recurring Schedule'!$N$37&gt;0,MOD($A40-'Recurring Schedule'!$F$37,'Recurring Schedule'!$N$37)=0,IF('Recurring Schedule'!$O$37&gt;0,AND(DAY($A40)=MIN(DAY('Recurring Schedule'!$F$37),DAY(EOMONTH($A40,0))),MOD((YEAR($A40)-YEAR('Recurring Schedule'!$F$37))*12+MONTH($A40)-MONTH('Recurring Schedule'!$F$37),'Recurring Schedule'!$O$37)=0),IF('Recurring Schedule'!$E$37="Weekdays",WEEKDAY($A40,2)&lt;=5,$A40='Recurring Schedule'!$F$37))),32,""))))</f>
        <v/>
      </c>
      <c r="AH40">
        <f>IF('Recurring Schedule'!$C$38="","",IF('Recurring Schedule'!$F$38="","",IF(OR($A40&lt;'Recurring Schedule'!$F$38,$A40&gt;'Recurring Schedule'!$P$38),"",IF(IF('Recurring Schedule'!$N$38&gt;0,MOD($A40-'Recurring Schedule'!$F$38,'Recurring Schedule'!$N$38)=0,IF('Recurring Schedule'!$O$38&gt;0,AND(DAY($A40)=MIN(DAY('Recurring Schedule'!$F$38),DAY(EOMONTH($A40,0))),MOD((YEAR($A40)-YEAR('Recurring Schedule'!$F$38))*12+MONTH($A40)-MONTH('Recurring Schedule'!$F$38),'Recurring Schedule'!$O$38)=0),IF('Recurring Schedule'!$E$38="Weekdays",WEEKDAY($A40,2)&lt;=5,$A40='Recurring Schedule'!$F$38))),33,""))))</f>
        <v/>
      </c>
      <c r="AI40">
        <f>IF('Recurring Schedule'!$C$39="","",IF('Recurring Schedule'!$F$39="","",IF(OR($A40&lt;'Recurring Schedule'!$F$39,$A40&gt;'Recurring Schedule'!$P$39),"",IF(IF('Recurring Schedule'!$N$39&gt;0,MOD($A40-'Recurring Schedule'!$F$39,'Recurring Schedule'!$N$39)=0,IF('Recurring Schedule'!$O$39&gt;0,AND(DAY($A40)=MIN(DAY('Recurring Schedule'!$F$39),DAY(EOMONTH($A40,0))),MOD((YEAR($A40)-YEAR('Recurring Schedule'!$F$39))*12+MONTH($A40)-MONTH('Recurring Schedule'!$F$39),'Recurring Schedule'!$O$39)=0),IF('Recurring Schedule'!$E$39="Weekdays",WEEKDAY($A40,2)&lt;=5,$A40='Recurring Schedule'!$F$39))),34,""))))</f>
        <v/>
      </c>
      <c r="AJ40">
        <f>IF('Recurring Schedule'!$C$40="","",IF('Recurring Schedule'!$F$40="","",IF(OR($A40&lt;'Recurring Schedule'!$F$40,$A40&gt;'Recurring Schedule'!$P$40),"",IF(IF('Recurring Schedule'!$N$40&gt;0,MOD($A40-'Recurring Schedule'!$F$40,'Recurring Schedule'!$N$40)=0,IF('Recurring Schedule'!$O$40&gt;0,AND(DAY($A40)=MIN(DAY('Recurring Schedule'!$F$40),DAY(EOMONTH($A40,0))),MOD((YEAR($A40)-YEAR('Recurring Schedule'!$F$40))*12+MONTH($A40)-MONTH('Recurring Schedule'!$F$40),'Recurring Schedule'!$O$40)=0),IF('Recurring Schedule'!$E$40="Weekdays",WEEKDAY($A40,2)&lt;=5,$A40='Recurring Schedule'!$F$40))),35,""))))</f>
        <v/>
      </c>
      <c r="AK40">
        <f>IF('Recurring Schedule'!$C$41="","",IF('Recurring Schedule'!$F$41="","",IF(OR($A40&lt;'Recurring Schedule'!$F$41,$A40&gt;'Recurring Schedule'!$P$41),"",IF(IF('Recurring Schedule'!$N$41&gt;0,MOD($A40-'Recurring Schedule'!$F$41,'Recurring Schedule'!$N$41)=0,IF('Recurring Schedule'!$O$41&gt;0,AND(DAY($A40)=MIN(DAY('Recurring Schedule'!$F$41),DAY(EOMONTH($A40,0))),MOD((YEAR($A40)-YEAR('Recurring Schedule'!$F$41))*12+MONTH($A40)-MONTH('Recurring Schedule'!$F$41),'Recurring Schedule'!$O$41)=0),IF('Recurring Schedule'!$E$41="Weekdays",WEEKDAY($A40,2)&lt;=5,$A40='Recurring Schedule'!$F$41))),36,""))))</f>
        <v/>
      </c>
      <c r="AL40">
        <f>IF('Recurring Schedule'!$C$42="","",IF('Recurring Schedule'!$F$42="","",IF(OR($A40&lt;'Recurring Schedule'!$F$42,$A40&gt;'Recurring Schedule'!$P$42),"",IF(IF('Recurring Schedule'!$N$42&gt;0,MOD($A40-'Recurring Schedule'!$F$42,'Recurring Schedule'!$N$42)=0,IF('Recurring Schedule'!$O$42&gt;0,AND(DAY($A40)=MIN(DAY('Recurring Schedule'!$F$42),DAY(EOMONTH($A40,0))),MOD((YEAR($A40)-YEAR('Recurring Schedule'!$F$42))*12+MONTH($A40)-MONTH('Recurring Schedule'!$F$42),'Recurring Schedule'!$O$42)=0),IF('Recurring Schedule'!$E$42="Weekdays",WEEKDAY($A40,2)&lt;=5,$A40='Recurring Schedule'!$F$42))),37,""))))</f>
        <v/>
      </c>
      <c r="AM40">
        <f>IF('Recurring Schedule'!$C$43="","",IF('Recurring Schedule'!$F$43="","",IF(OR($A40&lt;'Recurring Schedule'!$F$43,$A40&gt;'Recurring Schedule'!$P$43),"",IF(IF('Recurring Schedule'!$N$43&gt;0,MOD($A40-'Recurring Schedule'!$F$43,'Recurring Schedule'!$N$43)=0,IF('Recurring Schedule'!$O$43&gt;0,AND(DAY($A40)=MIN(DAY('Recurring Schedule'!$F$43),DAY(EOMONTH($A40,0))),MOD((YEAR($A40)-YEAR('Recurring Schedule'!$F$43))*12+MONTH($A40)-MONTH('Recurring Schedule'!$F$43),'Recurring Schedule'!$O$43)=0),IF('Recurring Schedule'!$E$43="Weekdays",WEEKDAY($A40,2)&lt;=5,$A40='Recurring Schedule'!$F$43))),38,""))))</f>
        <v/>
      </c>
      <c r="AN40">
        <f>IF('Recurring Schedule'!$C$44="","",IF('Recurring Schedule'!$F$44="","",IF(OR($A40&lt;'Recurring Schedule'!$F$44,$A40&gt;'Recurring Schedule'!$P$44),"",IF(IF('Recurring Schedule'!$N$44&gt;0,MOD($A40-'Recurring Schedule'!$F$44,'Recurring Schedule'!$N$44)=0,IF('Recurring Schedule'!$O$44&gt;0,AND(DAY($A40)=MIN(DAY('Recurring Schedule'!$F$44),DAY(EOMONTH($A40,0))),MOD((YEAR($A40)-YEAR('Recurring Schedule'!$F$44))*12+MONTH($A40)-MONTH('Recurring Schedule'!$F$44),'Recurring Schedule'!$O$44)=0),IF('Recurring Schedule'!$E$44="Weekdays",WEEKDAY($A40,2)&lt;=5,$A40='Recurring Schedule'!$F$44))),39,""))))</f>
        <v/>
      </c>
      <c r="AO40">
        <f>IF('Recurring Schedule'!$C$45="","",IF('Recurring Schedule'!$F$45="","",IF(OR($A40&lt;'Recurring Schedule'!$F$45,$A40&gt;'Recurring Schedule'!$P$45),"",IF(IF('Recurring Schedule'!$N$45&gt;0,MOD($A40-'Recurring Schedule'!$F$45,'Recurring Schedule'!$N$45)=0,IF('Recurring Schedule'!$O$45&gt;0,AND(DAY($A40)=MIN(DAY('Recurring Schedule'!$F$45),DAY(EOMONTH($A40,0))),MOD((YEAR($A40)-YEAR('Recurring Schedule'!$F$45))*12+MONTH($A40)-MONTH('Recurring Schedule'!$F$45),'Recurring Schedule'!$O$45)=0),IF('Recurring Schedule'!$E$45="Weekdays",WEEKDAY($A40,2)&lt;=5,$A40='Recurring Schedule'!$F$45))),40,""))))</f>
        <v/>
      </c>
      <c r="AP40">
        <f>COUNT(B40:AO40)</f>
        <v/>
      </c>
      <c r="AQ40">
        <f>AQ39+AP39</f>
        <v/>
      </c>
      <c r="AS40" t="inlineStr">
        <is>
          <t>R</t>
        </is>
      </c>
      <c r="AT40" t="n">
        <v>44</v>
      </c>
      <c r="AU40">
        <f>'Recurring Log'!C44&amp;""</f>
        <v/>
      </c>
      <c r="AV40">
        <f>'Recurring Log'!D44&amp;""</f>
        <v/>
      </c>
      <c r="AW40">
        <f>IF('Recurring Log'!E44="","",'Recurring Log'!E44)</f>
        <v/>
      </c>
      <c r="AX40">
        <f>IF('Recurring Log'!G44="","",'Recurring Log'!G44)</f>
        <v/>
      </c>
      <c r="AY40">
        <f>IF('Recurring Log'!H44="","",'Recurring Log'!H44)</f>
        <v/>
      </c>
      <c r="AZ40">
        <f>IF(AU40="","",IF('Recurring Log'!J44="","Not Started",'Recurring Log'!J44))</f>
        <v/>
      </c>
      <c r="BA40">
        <f>'Recurring Log'!L44&amp;""</f>
        <v/>
      </c>
      <c r="BB40">
        <f>'Recurring Log'!M44&amp;""</f>
        <v/>
      </c>
      <c r="BC40">
        <f>'Recurring Log'!N44&amp;""</f>
        <v/>
      </c>
      <c r="BD40">
        <f>'Recurring Log'!O44&amp;""</f>
        <v/>
      </c>
      <c r="BE40">
        <f>IF('Recurring Log'!K44="","",'Recurring Log'!K44)</f>
        <v/>
      </c>
      <c r="BF40">
        <f>IFERROR(MATCH(BA40,Setup!$L$6:$L$9,0),5)</f>
        <v/>
      </c>
      <c r="BG40">
        <f>IF(OR(AZ40="Done",AZ40="Cancelled"),1,0)</f>
        <v/>
      </c>
      <c r="BH40">
        <f>IF(AND(AU40&lt;&gt;"",ISNUMBER(AW40)),1,0)</f>
        <v/>
      </c>
      <c r="BI40">
        <f>IF(BH40=0,0,IF(AND(AW40&gt;='Tasks Filter'!$F$3,AW40&lt;='Tasks Filter'!$F$4,OR('Tasks Filter'!$I$3="",ISNUMBER(SEARCH('Tasks Filter'!$I$3,AU40))),OR('Tasks Filter'!$I$4="",BF40=IFERROR(MATCH('Tasks Filter'!$I$4,Setup!$L$6:$L$9,0),0)),OR('Tasks Filter'!$I$5="Both",AND('Tasks Filter'!$I$5="Yes",BB40="✓"),AND('Tasks Filter'!$I$5="No",BB40&lt;&gt;"✓")),OR('Tasks Filter'!$L$3="",AV40='Tasks Filter'!$L$3),OR('Tasks Filter'!$L$4="",AZ40='Tasks Filter'!$L$4),OR('Tasks Filter'!$L$5="",BC40='Tasks Filter'!$L$5),OR('Tasks Filter'!$O$3="",BD40='Tasks Filter'!$O$3),OR('Tasks Filter'!$O$4="Yes",BG40=0)),1,0))</f>
        <v/>
      </c>
      <c r="BJ40">
        <f>IF(BH40=0,"",IF('Tasks Filter'!$F$6="Descending",-1,1)*CHOOSE(MATCH('Tasks Filter'!$F$5,Lists!$G$2:$G$6,0),AW40,BF40,IFERROR(MATCH(AV40,Setup!$F$6:$F$15,0),99),IFERROR(MATCH(BC40,Setup!$H$6:$H$15,0),99),IFERROR(MATCH(AZ40,Setup!$J$6:$J$11,0),99))*1E+9+(AW40-40000)*10000+39)</f>
        <v/>
      </c>
      <c r="BK40">
        <f>IF(BI40=1,BJ40,"")</f>
        <v/>
      </c>
      <c r="BL40">
        <f>IF(AND(BH40=1,BG40=0,N(AW40)&lt;Setup!$D$7),(AW40-40000)*10000+39,"")</f>
        <v/>
      </c>
      <c r="BM40">
        <f>IF(AND(BH40=1,AZ40&lt;&gt;"Cancelled",N(AW40)&gt;=Dashboard!$AB$3,N(AW40)&lt;=Dashboard!$AB$3+6),(AW40-40000)*100000+BF40*10000+39,"")</f>
        <v/>
      </c>
      <c r="BN40">
        <f>IF(AND(BH40=1,AZ40&lt;&gt;"Cancelled"),BF40*10000+39,"")</f>
        <v/>
      </c>
    </row>
    <row r="41">
      <c r="A41">
        <f>Setup!$D$5+39</f>
        <v/>
      </c>
      <c r="B41">
        <f>IF('Recurring Schedule'!$C$6="","",IF('Recurring Schedule'!$F$6="","",IF(OR($A41&lt;'Recurring Schedule'!$F$6,$A41&gt;'Recurring Schedule'!$P$6),"",IF(IF('Recurring Schedule'!$N$6&gt;0,MOD($A41-'Recurring Schedule'!$F$6,'Recurring Schedule'!$N$6)=0,IF('Recurring Schedule'!$O$6&gt;0,AND(DAY($A41)=MIN(DAY('Recurring Schedule'!$F$6),DAY(EOMONTH($A41,0))),MOD((YEAR($A41)-YEAR('Recurring Schedule'!$F$6))*12+MONTH($A41)-MONTH('Recurring Schedule'!$F$6),'Recurring Schedule'!$O$6)=0),IF('Recurring Schedule'!$E$6="Weekdays",WEEKDAY($A41,2)&lt;=5,$A41='Recurring Schedule'!$F$6))),1,""))))</f>
        <v/>
      </c>
      <c r="C41">
        <f>IF('Recurring Schedule'!$C$7="","",IF('Recurring Schedule'!$F$7="","",IF(OR($A41&lt;'Recurring Schedule'!$F$7,$A41&gt;'Recurring Schedule'!$P$7),"",IF(IF('Recurring Schedule'!$N$7&gt;0,MOD($A41-'Recurring Schedule'!$F$7,'Recurring Schedule'!$N$7)=0,IF('Recurring Schedule'!$O$7&gt;0,AND(DAY($A41)=MIN(DAY('Recurring Schedule'!$F$7),DAY(EOMONTH($A41,0))),MOD((YEAR($A41)-YEAR('Recurring Schedule'!$F$7))*12+MONTH($A41)-MONTH('Recurring Schedule'!$F$7),'Recurring Schedule'!$O$7)=0),IF('Recurring Schedule'!$E$7="Weekdays",WEEKDAY($A41,2)&lt;=5,$A41='Recurring Schedule'!$F$7))),2,""))))</f>
        <v/>
      </c>
      <c r="D41">
        <f>IF('Recurring Schedule'!$C$8="","",IF('Recurring Schedule'!$F$8="","",IF(OR($A41&lt;'Recurring Schedule'!$F$8,$A41&gt;'Recurring Schedule'!$P$8),"",IF(IF('Recurring Schedule'!$N$8&gt;0,MOD($A41-'Recurring Schedule'!$F$8,'Recurring Schedule'!$N$8)=0,IF('Recurring Schedule'!$O$8&gt;0,AND(DAY($A41)=MIN(DAY('Recurring Schedule'!$F$8),DAY(EOMONTH($A41,0))),MOD((YEAR($A41)-YEAR('Recurring Schedule'!$F$8))*12+MONTH($A41)-MONTH('Recurring Schedule'!$F$8),'Recurring Schedule'!$O$8)=0),IF('Recurring Schedule'!$E$8="Weekdays",WEEKDAY($A41,2)&lt;=5,$A41='Recurring Schedule'!$F$8))),3,""))))</f>
        <v/>
      </c>
      <c r="E41">
        <f>IF('Recurring Schedule'!$C$9="","",IF('Recurring Schedule'!$F$9="","",IF(OR($A41&lt;'Recurring Schedule'!$F$9,$A41&gt;'Recurring Schedule'!$P$9),"",IF(IF('Recurring Schedule'!$N$9&gt;0,MOD($A41-'Recurring Schedule'!$F$9,'Recurring Schedule'!$N$9)=0,IF('Recurring Schedule'!$O$9&gt;0,AND(DAY($A41)=MIN(DAY('Recurring Schedule'!$F$9),DAY(EOMONTH($A41,0))),MOD((YEAR($A41)-YEAR('Recurring Schedule'!$F$9))*12+MONTH($A41)-MONTH('Recurring Schedule'!$F$9),'Recurring Schedule'!$O$9)=0),IF('Recurring Schedule'!$E$9="Weekdays",WEEKDAY($A41,2)&lt;=5,$A41='Recurring Schedule'!$F$9))),4,""))))</f>
        <v/>
      </c>
      <c r="F41">
        <f>IF('Recurring Schedule'!$C$10="","",IF('Recurring Schedule'!$F$10="","",IF(OR($A41&lt;'Recurring Schedule'!$F$10,$A41&gt;'Recurring Schedule'!$P$10),"",IF(IF('Recurring Schedule'!$N$10&gt;0,MOD($A41-'Recurring Schedule'!$F$10,'Recurring Schedule'!$N$10)=0,IF('Recurring Schedule'!$O$10&gt;0,AND(DAY($A41)=MIN(DAY('Recurring Schedule'!$F$10),DAY(EOMONTH($A41,0))),MOD((YEAR($A41)-YEAR('Recurring Schedule'!$F$10))*12+MONTH($A41)-MONTH('Recurring Schedule'!$F$10),'Recurring Schedule'!$O$10)=0),IF('Recurring Schedule'!$E$10="Weekdays",WEEKDAY($A41,2)&lt;=5,$A41='Recurring Schedule'!$F$10))),5,""))))</f>
        <v/>
      </c>
      <c r="G41">
        <f>IF('Recurring Schedule'!$C$11="","",IF('Recurring Schedule'!$F$11="","",IF(OR($A41&lt;'Recurring Schedule'!$F$11,$A41&gt;'Recurring Schedule'!$P$11),"",IF(IF('Recurring Schedule'!$N$11&gt;0,MOD($A41-'Recurring Schedule'!$F$11,'Recurring Schedule'!$N$11)=0,IF('Recurring Schedule'!$O$11&gt;0,AND(DAY($A41)=MIN(DAY('Recurring Schedule'!$F$11),DAY(EOMONTH($A41,0))),MOD((YEAR($A41)-YEAR('Recurring Schedule'!$F$11))*12+MONTH($A41)-MONTH('Recurring Schedule'!$F$11),'Recurring Schedule'!$O$11)=0),IF('Recurring Schedule'!$E$11="Weekdays",WEEKDAY($A41,2)&lt;=5,$A41='Recurring Schedule'!$F$11))),6,""))))</f>
        <v/>
      </c>
      <c r="H41">
        <f>IF('Recurring Schedule'!$C$12="","",IF('Recurring Schedule'!$F$12="","",IF(OR($A41&lt;'Recurring Schedule'!$F$12,$A41&gt;'Recurring Schedule'!$P$12),"",IF(IF('Recurring Schedule'!$N$12&gt;0,MOD($A41-'Recurring Schedule'!$F$12,'Recurring Schedule'!$N$12)=0,IF('Recurring Schedule'!$O$12&gt;0,AND(DAY($A41)=MIN(DAY('Recurring Schedule'!$F$12),DAY(EOMONTH($A41,0))),MOD((YEAR($A41)-YEAR('Recurring Schedule'!$F$12))*12+MONTH($A41)-MONTH('Recurring Schedule'!$F$12),'Recurring Schedule'!$O$12)=0),IF('Recurring Schedule'!$E$12="Weekdays",WEEKDAY($A41,2)&lt;=5,$A41='Recurring Schedule'!$F$12))),7,""))))</f>
        <v/>
      </c>
      <c r="I41">
        <f>IF('Recurring Schedule'!$C$13="","",IF('Recurring Schedule'!$F$13="","",IF(OR($A41&lt;'Recurring Schedule'!$F$13,$A41&gt;'Recurring Schedule'!$P$13),"",IF(IF('Recurring Schedule'!$N$13&gt;0,MOD($A41-'Recurring Schedule'!$F$13,'Recurring Schedule'!$N$13)=0,IF('Recurring Schedule'!$O$13&gt;0,AND(DAY($A41)=MIN(DAY('Recurring Schedule'!$F$13),DAY(EOMONTH($A41,0))),MOD((YEAR($A41)-YEAR('Recurring Schedule'!$F$13))*12+MONTH($A41)-MONTH('Recurring Schedule'!$F$13),'Recurring Schedule'!$O$13)=0),IF('Recurring Schedule'!$E$13="Weekdays",WEEKDAY($A41,2)&lt;=5,$A41='Recurring Schedule'!$F$13))),8,""))))</f>
        <v/>
      </c>
      <c r="J41">
        <f>IF('Recurring Schedule'!$C$14="","",IF('Recurring Schedule'!$F$14="","",IF(OR($A41&lt;'Recurring Schedule'!$F$14,$A41&gt;'Recurring Schedule'!$P$14),"",IF(IF('Recurring Schedule'!$N$14&gt;0,MOD($A41-'Recurring Schedule'!$F$14,'Recurring Schedule'!$N$14)=0,IF('Recurring Schedule'!$O$14&gt;0,AND(DAY($A41)=MIN(DAY('Recurring Schedule'!$F$14),DAY(EOMONTH($A41,0))),MOD((YEAR($A41)-YEAR('Recurring Schedule'!$F$14))*12+MONTH($A41)-MONTH('Recurring Schedule'!$F$14),'Recurring Schedule'!$O$14)=0),IF('Recurring Schedule'!$E$14="Weekdays",WEEKDAY($A41,2)&lt;=5,$A41='Recurring Schedule'!$F$14))),9,""))))</f>
        <v/>
      </c>
      <c r="K41">
        <f>IF('Recurring Schedule'!$C$15="","",IF('Recurring Schedule'!$F$15="","",IF(OR($A41&lt;'Recurring Schedule'!$F$15,$A41&gt;'Recurring Schedule'!$P$15),"",IF(IF('Recurring Schedule'!$N$15&gt;0,MOD($A41-'Recurring Schedule'!$F$15,'Recurring Schedule'!$N$15)=0,IF('Recurring Schedule'!$O$15&gt;0,AND(DAY($A41)=MIN(DAY('Recurring Schedule'!$F$15),DAY(EOMONTH($A41,0))),MOD((YEAR($A41)-YEAR('Recurring Schedule'!$F$15))*12+MONTH($A41)-MONTH('Recurring Schedule'!$F$15),'Recurring Schedule'!$O$15)=0),IF('Recurring Schedule'!$E$15="Weekdays",WEEKDAY($A41,2)&lt;=5,$A41='Recurring Schedule'!$F$15))),10,""))))</f>
        <v/>
      </c>
      <c r="L41">
        <f>IF('Recurring Schedule'!$C$16="","",IF('Recurring Schedule'!$F$16="","",IF(OR($A41&lt;'Recurring Schedule'!$F$16,$A41&gt;'Recurring Schedule'!$P$16),"",IF(IF('Recurring Schedule'!$N$16&gt;0,MOD($A41-'Recurring Schedule'!$F$16,'Recurring Schedule'!$N$16)=0,IF('Recurring Schedule'!$O$16&gt;0,AND(DAY($A41)=MIN(DAY('Recurring Schedule'!$F$16),DAY(EOMONTH($A41,0))),MOD((YEAR($A41)-YEAR('Recurring Schedule'!$F$16))*12+MONTH($A41)-MONTH('Recurring Schedule'!$F$16),'Recurring Schedule'!$O$16)=0),IF('Recurring Schedule'!$E$16="Weekdays",WEEKDAY($A41,2)&lt;=5,$A41='Recurring Schedule'!$F$16))),11,""))))</f>
        <v/>
      </c>
      <c r="M41">
        <f>IF('Recurring Schedule'!$C$17="","",IF('Recurring Schedule'!$F$17="","",IF(OR($A41&lt;'Recurring Schedule'!$F$17,$A41&gt;'Recurring Schedule'!$P$17),"",IF(IF('Recurring Schedule'!$N$17&gt;0,MOD($A41-'Recurring Schedule'!$F$17,'Recurring Schedule'!$N$17)=0,IF('Recurring Schedule'!$O$17&gt;0,AND(DAY($A41)=MIN(DAY('Recurring Schedule'!$F$17),DAY(EOMONTH($A41,0))),MOD((YEAR($A41)-YEAR('Recurring Schedule'!$F$17))*12+MONTH($A41)-MONTH('Recurring Schedule'!$F$17),'Recurring Schedule'!$O$17)=0),IF('Recurring Schedule'!$E$17="Weekdays",WEEKDAY($A41,2)&lt;=5,$A41='Recurring Schedule'!$F$17))),12,""))))</f>
        <v/>
      </c>
      <c r="N41">
        <f>IF('Recurring Schedule'!$C$18="","",IF('Recurring Schedule'!$F$18="","",IF(OR($A41&lt;'Recurring Schedule'!$F$18,$A41&gt;'Recurring Schedule'!$P$18),"",IF(IF('Recurring Schedule'!$N$18&gt;0,MOD($A41-'Recurring Schedule'!$F$18,'Recurring Schedule'!$N$18)=0,IF('Recurring Schedule'!$O$18&gt;0,AND(DAY($A41)=MIN(DAY('Recurring Schedule'!$F$18),DAY(EOMONTH($A41,0))),MOD((YEAR($A41)-YEAR('Recurring Schedule'!$F$18))*12+MONTH($A41)-MONTH('Recurring Schedule'!$F$18),'Recurring Schedule'!$O$18)=0),IF('Recurring Schedule'!$E$18="Weekdays",WEEKDAY($A41,2)&lt;=5,$A41='Recurring Schedule'!$F$18))),13,""))))</f>
        <v/>
      </c>
      <c r="O41">
        <f>IF('Recurring Schedule'!$C$19="","",IF('Recurring Schedule'!$F$19="","",IF(OR($A41&lt;'Recurring Schedule'!$F$19,$A41&gt;'Recurring Schedule'!$P$19),"",IF(IF('Recurring Schedule'!$N$19&gt;0,MOD($A41-'Recurring Schedule'!$F$19,'Recurring Schedule'!$N$19)=0,IF('Recurring Schedule'!$O$19&gt;0,AND(DAY($A41)=MIN(DAY('Recurring Schedule'!$F$19),DAY(EOMONTH($A41,0))),MOD((YEAR($A41)-YEAR('Recurring Schedule'!$F$19))*12+MONTH($A41)-MONTH('Recurring Schedule'!$F$19),'Recurring Schedule'!$O$19)=0),IF('Recurring Schedule'!$E$19="Weekdays",WEEKDAY($A41,2)&lt;=5,$A41='Recurring Schedule'!$F$19))),14,""))))</f>
        <v/>
      </c>
      <c r="P41">
        <f>IF('Recurring Schedule'!$C$20="","",IF('Recurring Schedule'!$F$20="","",IF(OR($A41&lt;'Recurring Schedule'!$F$20,$A41&gt;'Recurring Schedule'!$P$20),"",IF(IF('Recurring Schedule'!$N$20&gt;0,MOD($A41-'Recurring Schedule'!$F$20,'Recurring Schedule'!$N$20)=0,IF('Recurring Schedule'!$O$20&gt;0,AND(DAY($A41)=MIN(DAY('Recurring Schedule'!$F$20),DAY(EOMONTH($A41,0))),MOD((YEAR($A41)-YEAR('Recurring Schedule'!$F$20))*12+MONTH($A41)-MONTH('Recurring Schedule'!$F$20),'Recurring Schedule'!$O$20)=0),IF('Recurring Schedule'!$E$20="Weekdays",WEEKDAY($A41,2)&lt;=5,$A41='Recurring Schedule'!$F$20))),15,""))))</f>
        <v/>
      </c>
      <c r="Q41">
        <f>IF('Recurring Schedule'!$C$21="","",IF('Recurring Schedule'!$F$21="","",IF(OR($A41&lt;'Recurring Schedule'!$F$21,$A41&gt;'Recurring Schedule'!$P$21),"",IF(IF('Recurring Schedule'!$N$21&gt;0,MOD($A41-'Recurring Schedule'!$F$21,'Recurring Schedule'!$N$21)=0,IF('Recurring Schedule'!$O$21&gt;0,AND(DAY($A41)=MIN(DAY('Recurring Schedule'!$F$21),DAY(EOMONTH($A41,0))),MOD((YEAR($A41)-YEAR('Recurring Schedule'!$F$21))*12+MONTH($A41)-MONTH('Recurring Schedule'!$F$21),'Recurring Schedule'!$O$21)=0),IF('Recurring Schedule'!$E$21="Weekdays",WEEKDAY($A41,2)&lt;=5,$A41='Recurring Schedule'!$F$21))),16,""))))</f>
        <v/>
      </c>
      <c r="R41">
        <f>IF('Recurring Schedule'!$C$22="","",IF('Recurring Schedule'!$F$22="","",IF(OR($A41&lt;'Recurring Schedule'!$F$22,$A41&gt;'Recurring Schedule'!$P$22),"",IF(IF('Recurring Schedule'!$N$22&gt;0,MOD($A41-'Recurring Schedule'!$F$22,'Recurring Schedule'!$N$22)=0,IF('Recurring Schedule'!$O$22&gt;0,AND(DAY($A41)=MIN(DAY('Recurring Schedule'!$F$22),DAY(EOMONTH($A41,0))),MOD((YEAR($A41)-YEAR('Recurring Schedule'!$F$22))*12+MONTH($A41)-MONTH('Recurring Schedule'!$F$22),'Recurring Schedule'!$O$22)=0),IF('Recurring Schedule'!$E$22="Weekdays",WEEKDAY($A41,2)&lt;=5,$A41='Recurring Schedule'!$F$22))),17,""))))</f>
        <v/>
      </c>
      <c r="S41">
        <f>IF('Recurring Schedule'!$C$23="","",IF('Recurring Schedule'!$F$23="","",IF(OR($A41&lt;'Recurring Schedule'!$F$23,$A41&gt;'Recurring Schedule'!$P$23),"",IF(IF('Recurring Schedule'!$N$23&gt;0,MOD($A41-'Recurring Schedule'!$F$23,'Recurring Schedule'!$N$23)=0,IF('Recurring Schedule'!$O$23&gt;0,AND(DAY($A41)=MIN(DAY('Recurring Schedule'!$F$23),DAY(EOMONTH($A41,0))),MOD((YEAR($A41)-YEAR('Recurring Schedule'!$F$23))*12+MONTH($A41)-MONTH('Recurring Schedule'!$F$23),'Recurring Schedule'!$O$23)=0),IF('Recurring Schedule'!$E$23="Weekdays",WEEKDAY($A41,2)&lt;=5,$A41='Recurring Schedule'!$F$23))),18,""))))</f>
        <v/>
      </c>
      <c r="T41">
        <f>IF('Recurring Schedule'!$C$24="","",IF('Recurring Schedule'!$F$24="","",IF(OR($A41&lt;'Recurring Schedule'!$F$24,$A41&gt;'Recurring Schedule'!$P$24),"",IF(IF('Recurring Schedule'!$N$24&gt;0,MOD($A41-'Recurring Schedule'!$F$24,'Recurring Schedule'!$N$24)=0,IF('Recurring Schedule'!$O$24&gt;0,AND(DAY($A41)=MIN(DAY('Recurring Schedule'!$F$24),DAY(EOMONTH($A41,0))),MOD((YEAR($A41)-YEAR('Recurring Schedule'!$F$24))*12+MONTH($A41)-MONTH('Recurring Schedule'!$F$24),'Recurring Schedule'!$O$24)=0),IF('Recurring Schedule'!$E$24="Weekdays",WEEKDAY($A41,2)&lt;=5,$A41='Recurring Schedule'!$F$24))),19,""))))</f>
        <v/>
      </c>
      <c r="U41">
        <f>IF('Recurring Schedule'!$C$25="","",IF('Recurring Schedule'!$F$25="","",IF(OR($A41&lt;'Recurring Schedule'!$F$25,$A41&gt;'Recurring Schedule'!$P$25),"",IF(IF('Recurring Schedule'!$N$25&gt;0,MOD($A41-'Recurring Schedule'!$F$25,'Recurring Schedule'!$N$25)=0,IF('Recurring Schedule'!$O$25&gt;0,AND(DAY($A41)=MIN(DAY('Recurring Schedule'!$F$25),DAY(EOMONTH($A41,0))),MOD((YEAR($A41)-YEAR('Recurring Schedule'!$F$25))*12+MONTH($A41)-MONTH('Recurring Schedule'!$F$25),'Recurring Schedule'!$O$25)=0),IF('Recurring Schedule'!$E$25="Weekdays",WEEKDAY($A41,2)&lt;=5,$A41='Recurring Schedule'!$F$25))),20,""))))</f>
        <v/>
      </c>
      <c r="V41">
        <f>IF('Recurring Schedule'!$C$26="","",IF('Recurring Schedule'!$F$26="","",IF(OR($A41&lt;'Recurring Schedule'!$F$26,$A41&gt;'Recurring Schedule'!$P$26),"",IF(IF('Recurring Schedule'!$N$26&gt;0,MOD($A41-'Recurring Schedule'!$F$26,'Recurring Schedule'!$N$26)=0,IF('Recurring Schedule'!$O$26&gt;0,AND(DAY($A41)=MIN(DAY('Recurring Schedule'!$F$26),DAY(EOMONTH($A41,0))),MOD((YEAR($A41)-YEAR('Recurring Schedule'!$F$26))*12+MONTH($A41)-MONTH('Recurring Schedule'!$F$26),'Recurring Schedule'!$O$26)=0),IF('Recurring Schedule'!$E$26="Weekdays",WEEKDAY($A41,2)&lt;=5,$A41='Recurring Schedule'!$F$26))),21,""))))</f>
        <v/>
      </c>
      <c r="W41">
        <f>IF('Recurring Schedule'!$C$27="","",IF('Recurring Schedule'!$F$27="","",IF(OR($A41&lt;'Recurring Schedule'!$F$27,$A41&gt;'Recurring Schedule'!$P$27),"",IF(IF('Recurring Schedule'!$N$27&gt;0,MOD($A41-'Recurring Schedule'!$F$27,'Recurring Schedule'!$N$27)=0,IF('Recurring Schedule'!$O$27&gt;0,AND(DAY($A41)=MIN(DAY('Recurring Schedule'!$F$27),DAY(EOMONTH($A41,0))),MOD((YEAR($A41)-YEAR('Recurring Schedule'!$F$27))*12+MONTH($A41)-MONTH('Recurring Schedule'!$F$27),'Recurring Schedule'!$O$27)=0),IF('Recurring Schedule'!$E$27="Weekdays",WEEKDAY($A41,2)&lt;=5,$A41='Recurring Schedule'!$F$27))),22,""))))</f>
        <v/>
      </c>
      <c r="X41">
        <f>IF('Recurring Schedule'!$C$28="","",IF('Recurring Schedule'!$F$28="","",IF(OR($A41&lt;'Recurring Schedule'!$F$28,$A41&gt;'Recurring Schedule'!$P$28),"",IF(IF('Recurring Schedule'!$N$28&gt;0,MOD($A41-'Recurring Schedule'!$F$28,'Recurring Schedule'!$N$28)=0,IF('Recurring Schedule'!$O$28&gt;0,AND(DAY($A41)=MIN(DAY('Recurring Schedule'!$F$28),DAY(EOMONTH($A41,0))),MOD((YEAR($A41)-YEAR('Recurring Schedule'!$F$28))*12+MONTH($A41)-MONTH('Recurring Schedule'!$F$28),'Recurring Schedule'!$O$28)=0),IF('Recurring Schedule'!$E$28="Weekdays",WEEKDAY($A41,2)&lt;=5,$A41='Recurring Schedule'!$F$28))),23,""))))</f>
        <v/>
      </c>
      <c r="Y41">
        <f>IF('Recurring Schedule'!$C$29="","",IF('Recurring Schedule'!$F$29="","",IF(OR($A41&lt;'Recurring Schedule'!$F$29,$A41&gt;'Recurring Schedule'!$P$29),"",IF(IF('Recurring Schedule'!$N$29&gt;0,MOD($A41-'Recurring Schedule'!$F$29,'Recurring Schedule'!$N$29)=0,IF('Recurring Schedule'!$O$29&gt;0,AND(DAY($A41)=MIN(DAY('Recurring Schedule'!$F$29),DAY(EOMONTH($A41,0))),MOD((YEAR($A41)-YEAR('Recurring Schedule'!$F$29))*12+MONTH($A41)-MONTH('Recurring Schedule'!$F$29),'Recurring Schedule'!$O$29)=0),IF('Recurring Schedule'!$E$29="Weekdays",WEEKDAY($A41,2)&lt;=5,$A41='Recurring Schedule'!$F$29))),24,""))))</f>
        <v/>
      </c>
      <c r="Z41">
        <f>IF('Recurring Schedule'!$C$30="","",IF('Recurring Schedule'!$F$30="","",IF(OR($A41&lt;'Recurring Schedule'!$F$30,$A41&gt;'Recurring Schedule'!$P$30),"",IF(IF('Recurring Schedule'!$N$30&gt;0,MOD($A41-'Recurring Schedule'!$F$30,'Recurring Schedule'!$N$30)=0,IF('Recurring Schedule'!$O$30&gt;0,AND(DAY($A41)=MIN(DAY('Recurring Schedule'!$F$30),DAY(EOMONTH($A41,0))),MOD((YEAR($A41)-YEAR('Recurring Schedule'!$F$30))*12+MONTH($A41)-MONTH('Recurring Schedule'!$F$30),'Recurring Schedule'!$O$30)=0),IF('Recurring Schedule'!$E$30="Weekdays",WEEKDAY($A41,2)&lt;=5,$A41='Recurring Schedule'!$F$30))),25,""))))</f>
        <v/>
      </c>
      <c r="AA41">
        <f>IF('Recurring Schedule'!$C$31="","",IF('Recurring Schedule'!$F$31="","",IF(OR($A41&lt;'Recurring Schedule'!$F$31,$A41&gt;'Recurring Schedule'!$P$31),"",IF(IF('Recurring Schedule'!$N$31&gt;0,MOD($A41-'Recurring Schedule'!$F$31,'Recurring Schedule'!$N$31)=0,IF('Recurring Schedule'!$O$31&gt;0,AND(DAY($A41)=MIN(DAY('Recurring Schedule'!$F$31),DAY(EOMONTH($A41,0))),MOD((YEAR($A41)-YEAR('Recurring Schedule'!$F$31))*12+MONTH($A41)-MONTH('Recurring Schedule'!$F$31),'Recurring Schedule'!$O$31)=0),IF('Recurring Schedule'!$E$31="Weekdays",WEEKDAY($A41,2)&lt;=5,$A41='Recurring Schedule'!$F$31))),26,""))))</f>
        <v/>
      </c>
      <c r="AB41">
        <f>IF('Recurring Schedule'!$C$32="","",IF('Recurring Schedule'!$F$32="","",IF(OR($A41&lt;'Recurring Schedule'!$F$32,$A41&gt;'Recurring Schedule'!$P$32),"",IF(IF('Recurring Schedule'!$N$32&gt;0,MOD($A41-'Recurring Schedule'!$F$32,'Recurring Schedule'!$N$32)=0,IF('Recurring Schedule'!$O$32&gt;0,AND(DAY($A41)=MIN(DAY('Recurring Schedule'!$F$32),DAY(EOMONTH($A41,0))),MOD((YEAR($A41)-YEAR('Recurring Schedule'!$F$32))*12+MONTH($A41)-MONTH('Recurring Schedule'!$F$32),'Recurring Schedule'!$O$32)=0),IF('Recurring Schedule'!$E$32="Weekdays",WEEKDAY($A41,2)&lt;=5,$A41='Recurring Schedule'!$F$32))),27,""))))</f>
        <v/>
      </c>
      <c r="AC41">
        <f>IF('Recurring Schedule'!$C$33="","",IF('Recurring Schedule'!$F$33="","",IF(OR($A41&lt;'Recurring Schedule'!$F$33,$A41&gt;'Recurring Schedule'!$P$33),"",IF(IF('Recurring Schedule'!$N$33&gt;0,MOD($A41-'Recurring Schedule'!$F$33,'Recurring Schedule'!$N$33)=0,IF('Recurring Schedule'!$O$33&gt;0,AND(DAY($A41)=MIN(DAY('Recurring Schedule'!$F$33),DAY(EOMONTH($A41,0))),MOD((YEAR($A41)-YEAR('Recurring Schedule'!$F$33))*12+MONTH($A41)-MONTH('Recurring Schedule'!$F$33),'Recurring Schedule'!$O$33)=0),IF('Recurring Schedule'!$E$33="Weekdays",WEEKDAY($A41,2)&lt;=5,$A41='Recurring Schedule'!$F$33))),28,""))))</f>
        <v/>
      </c>
      <c r="AD41">
        <f>IF('Recurring Schedule'!$C$34="","",IF('Recurring Schedule'!$F$34="","",IF(OR($A41&lt;'Recurring Schedule'!$F$34,$A41&gt;'Recurring Schedule'!$P$34),"",IF(IF('Recurring Schedule'!$N$34&gt;0,MOD($A41-'Recurring Schedule'!$F$34,'Recurring Schedule'!$N$34)=0,IF('Recurring Schedule'!$O$34&gt;0,AND(DAY($A41)=MIN(DAY('Recurring Schedule'!$F$34),DAY(EOMONTH($A41,0))),MOD((YEAR($A41)-YEAR('Recurring Schedule'!$F$34))*12+MONTH($A41)-MONTH('Recurring Schedule'!$F$34),'Recurring Schedule'!$O$34)=0),IF('Recurring Schedule'!$E$34="Weekdays",WEEKDAY($A41,2)&lt;=5,$A41='Recurring Schedule'!$F$34))),29,""))))</f>
        <v/>
      </c>
      <c r="AE41">
        <f>IF('Recurring Schedule'!$C$35="","",IF('Recurring Schedule'!$F$35="","",IF(OR($A41&lt;'Recurring Schedule'!$F$35,$A41&gt;'Recurring Schedule'!$P$35),"",IF(IF('Recurring Schedule'!$N$35&gt;0,MOD($A41-'Recurring Schedule'!$F$35,'Recurring Schedule'!$N$35)=0,IF('Recurring Schedule'!$O$35&gt;0,AND(DAY($A41)=MIN(DAY('Recurring Schedule'!$F$35),DAY(EOMONTH($A41,0))),MOD((YEAR($A41)-YEAR('Recurring Schedule'!$F$35))*12+MONTH($A41)-MONTH('Recurring Schedule'!$F$35),'Recurring Schedule'!$O$35)=0),IF('Recurring Schedule'!$E$35="Weekdays",WEEKDAY($A41,2)&lt;=5,$A41='Recurring Schedule'!$F$35))),30,""))))</f>
        <v/>
      </c>
      <c r="AF41">
        <f>IF('Recurring Schedule'!$C$36="","",IF('Recurring Schedule'!$F$36="","",IF(OR($A41&lt;'Recurring Schedule'!$F$36,$A41&gt;'Recurring Schedule'!$P$36),"",IF(IF('Recurring Schedule'!$N$36&gt;0,MOD($A41-'Recurring Schedule'!$F$36,'Recurring Schedule'!$N$36)=0,IF('Recurring Schedule'!$O$36&gt;0,AND(DAY($A41)=MIN(DAY('Recurring Schedule'!$F$36),DAY(EOMONTH($A41,0))),MOD((YEAR($A41)-YEAR('Recurring Schedule'!$F$36))*12+MONTH($A41)-MONTH('Recurring Schedule'!$F$36),'Recurring Schedule'!$O$36)=0),IF('Recurring Schedule'!$E$36="Weekdays",WEEKDAY($A41,2)&lt;=5,$A41='Recurring Schedule'!$F$36))),31,""))))</f>
        <v/>
      </c>
      <c r="AG41">
        <f>IF('Recurring Schedule'!$C$37="","",IF('Recurring Schedule'!$F$37="","",IF(OR($A41&lt;'Recurring Schedule'!$F$37,$A41&gt;'Recurring Schedule'!$P$37),"",IF(IF('Recurring Schedule'!$N$37&gt;0,MOD($A41-'Recurring Schedule'!$F$37,'Recurring Schedule'!$N$37)=0,IF('Recurring Schedule'!$O$37&gt;0,AND(DAY($A41)=MIN(DAY('Recurring Schedule'!$F$37),DAY(EOMONTH($A41,0))),MOD((YEAR($A41)-YEAR('Recurring Schedule'!$F$37))*12+MONTH($A41)-MONTH('Recurring Schedule'!$F$37),'Recurring Schedule'!$O$37)=0),IF('Recurring Schedule'!$E$37="Weekdays",WEEKDAY($A41,2)&lt;=5,$A41='Recurring Schedule'!$F$37))),32,""))))</f>
        <v/>
      </c>
      <c r="AH41">
        <f>IF('Recurring Schedule'!$C$38="","",IF('Recurring Schedule'!$F$38="","",IF(OR($A41&lt;'Recurring Schedule'!$F$38,$A41&gt;'Recurring Schedule'!$P$38),"",IF(IF('Recurring Schedule'!$N$38&gt;0,MOD($A41-'Recurring Schedule'!$F$38,'Recurring Schedule'!$N$38)=0,IF('Recurring Schedule'!$O$38&gt;0,AND(DAY($A41)=MIN(DAY('Recurring Schedule'!$F$38),DAY(EOMONTH($A41,0))),MOD((YEAR($A41)-YEAR('Recurring Schedule'!$F$38))*12+MONTH($A41)-MONTH('Recurring Schedule'!$F$38),'Recurring Schedule'!$O$38)=0),IF('Recurring Schedule'!$E$38="Weekdays",WEEKDAY($A41,2)&lt;=5,$A41='Recurring Schedule'!$F$38))),33,""))))</f>
        <v/>
      </c>
      <c r="AI41">
        <f>IF('Recurring Schedule'!$C$39="","",IF('Recurring Schedule'!$F$39="","",IF(OR($A41&lt;'Recurring Schedule'!$F$39,$A41&gt;'Recurring Schedule'!$P$39),"",IF(IF('Recurring Schedule'!$N$39&gt;0,MOD($A41-'Recurring Schedule'!$F$39,'Recurring Schedule'!$N$39)=0,IF('Recurring Schedule'!$O$39&gt;0,AND(DAY($A41)=MIN(DAY('Recurring Schedule'!$F$39),DAY(EOMONTH($A41,0))),MOD((YEAR($A41)-YEAR('Recurring Schedule'!$F$39))*12+MONTH($A41)-MONTH('Recurring Schedule'!$F$39),'Recurring Schedule'!$O$39)=0),IF('Recurring Schedule'!$E$39="Weekdays",WEEKDAY($A41,2)&lt;=5,$A41='Recurring Schedule'!$F$39))),34,""))))</f>
        <v/>
      </c>
      <c r="AJ41">
        <f>IF('Recurring Schedule'!$C$40="","",IF('Recurring Schedule'!$F$40="","",IF(OR($A41&lt;'Recurring Schedule'!$F$40,$A41&gt;'Recurring Schedule'!$P$40),"",IF(IF('Recurring Schedule'!$N$40&gt;0,MOD($A41-'Recurring Schedule'!$F$40,'Recurring Schedule'!$N$40)=0,IF('Recurring Schedule'!$O$40&gt;0,AND(DAY($A41)=MIN(DAY('Recurring Schedule'!$F$40),DAY(EOMONTH($A41,0))),MOD((YEAR($A41)-YEAR('Recurring Schedule'!$F$40))*12+MONTH($A41)-MONTH('Recurring Schedule'!$F$40),'Recurring Schedule'!$O$40)=0),IF('Recurring Schedule'!$E$40="Weekdays",WEEKDAY($A41,2)&lt;=5,$A41='Recurring Schedule'!$F$40))),35,""))))</f>
        <v/>
      </c>
      <c r="AK41">
        <f>IF('Recurring Schedule'!$C$41="","",IF('Recurring Schedule'!$F$41="","",IF(OR($A41&lt;'Recurring Schedule'!$F$41,$A41&gt;'Recurring Schedule'!$P$41),"",IF(IF('Recurring Schedule'!$N$41&gt;0,MOD($A41-'Recurring Schedule'!$F$41,'Recurring Schedule'!$N$41)=0,IF('Recurring Schedule'!$O$41&gt;0,AND(DAY($A41)=MIN(DAY('Recurring Schedule'!$F$41),DAY(EOMONTH($A41,0))),MOD((YEAR($A41)-YEAR('Recurring Schedule'!$F$41))*12+MONTH($A41)-MONTH('Recurring Schedule'!$F$41),'Recurring Schedule'!$O$41)=0),IF('Recurring Schedule'!$E$41="Weekdays",WEEKDAY($A41,2)&lt;=5,$A41='Recurring Schedule'!$F$41))),36,""))))</f>
        <v/>
      </c>
      <c r="AL41">
        <f>IF('Recurring Schedule'!$C$42="","",IF('Recurring Schedule'!$F$42="","",IF(OR($A41&lt;'Recurring Schedule'!$F$42,$A41&gt;'Recurring Schedule'!$P$42),"",IF(IF('Recurring Schedule'!$N$42&gt;0,MOD($A41-'Recurring Schedule'!$F$42,'Recurring Schedule'!$N$42)=0,IF('Recurring Schedule'!$O$42&gt;0,AND(DAY($A41)=MIN(DAY('Recurring Schedule'!$F$42),DAY(EOMONTH($A41,0))),MOD((YEAR($A41)-YEAR('Recurring Schedule'!$F$42))*12+MONTH($A41)-MONTH('Recurring Schedule'!$F$42),'Recurring Schedule'!$O$42)=0),IF('Recurring Schedule'!$E$42="Weekdays",WEEKDAY($A41,2)&lt;=5,$A41='Recurring Schedule'!$F$42))),37,""))))</f>
        <v/>
      </c>
      <c r="AM41">
        <f>IF('Recurring Schedule'!$C$43="","",IF('Recurring Schedule'!$F$43="","",IF(OR($A41&lt;'Recurring Schedule'!$F$43,$A41&gt;'Recurring Schedule'!$P$43),"",IF(IF('Recurring Schedule'!$N$43&gt;0,MOD($A41-'Recurring Schedule'!$F$43,'Recurring Schedule'!$N$43)=0,IF('Recurring Schedule'!$O$43&gt;0,AND(DAY($A41)=MIN(DAY('Recurring Schedule'!$F$43),DAY(EOMONTH($A41,0))),MOD((YEAR($A41)-YEAR('Recurring Schedule'!$F$43))*12+MONTH($A41)-MONTH('Recurring Schedule'!$F$43),'Recurring Schedule'!$O$43)=0),IF('Recurring Schedule'!$E$43="Weekdays",WEEKDAY($A41,2)&lt;=5,$A41='Recurring Schedule'!$F$43))),38,""))))</f>
        <v/>
      </c>
      <c r="AN41">
        <f>IF('Recurring Schedule'!$C$44="","",IF('Recurring Schedule'!$F$44="","",IF(OR($A41&lt;'Recurring Schedule'!$F$44,$A41&gt;'Recurring Schedule'!$P$44),"",IF(IF('Recurring Schedule'!$N$44&gt;0,MOD($A41-'Recurring Schedule'!$F$44,'Recurring Schedule'!$N$44)=0,IF('Recurring Schedule'!$O$44&gt;0,AND(DAY($A41)=MIN(DAY('Recurring Schedule'!$F$44),DAY(EOMONTH($A41,0))),MOD((YEAR($A41)-YEAR('Recurring Schedule'!$F$44))*12+MONTH($A41)-MONTH('Recurring Schedule'!$F$44),'Recurring Schedule'!$O$44)=0),IF('Recurring Schedule'!$E$44="Weekdays",WEEKDAY($A41,2)&lt;=5,$A41='Recurring Schedule'!$F$44))),39,""))))</f>
        <v/>
      </c>
      <c r="AO41">
        <f>IF('Recurring Schedule'!$C$45="","",IF('Recurring Schedule'!$F$45="","",IF(OR($A41&lt;'Recurring Schedule'!$F$45,$A41&gt;'Recurring Schedule'!$P$45),"",IF(IF('Recurring Schedule'!$N$45&gt;0,MOD($A41-'Recurring Schedule'!$F$45,'Recurring Schedule'!$N$45)=0,IF('Recurring Schedule'!$O$45&gt;0,AND(DAY($A41)=MIN(DAY('Recurring Schedule'!$F$45),DAY(EOMONTH($A41,0))),MOD((YEAR($A41)-YEAR('Recurring Schedule'!$F$45))*12+MONTH($A41)-MONTH('Recurring Schedule'!$F$45),'Recurring Schedule'!$O$45)=0),IF('Recurring Schedule'!$E$45="Weekdays",WEEKDAY($A41,2)&lt;=5,$A41='Recurring Schedule'!$F$45))),40,""))))</f>
        <v/>
      </c>
      <c r="AP41">
        <f>COUNT(B41:AO41)</f>
        <v/>
      </c>
      <c r="AQ41">
        <f>AQ40+AP40</f>
        <v/>
      </c>
      <c r="AS41" t="inlineStr">
        <is>
          <t>R</t>
        </is>
      </c>
      <c r="AT41" t="n">
        <v>45</v>
      </c>
      <c r="AU41">
        <f>'Recurring Log'!C45&amp;""</f>
        <v/>
      </c>
      <c r="AV41">
        <f>'Recurring Log'!D45&amp;""</f>
        <v/>
      </c>
      <c r="AW41">
        <f>IF('Recurring Log'!E45="","",'Recurring Log'!E45)</f>
        <v/>
      </c>
      <c r="AX41">
        <f>IF('Recurring Log'!G45="","",'Recurring Log'!G45)</f>
        <v/>
      </c>
      <c r="AY41">
        <f>IF('Recurring Log'!H45="","",'Recurring Log'!H45)</f>
        <v/>
      </c>
      <c r="AZ41">
        <f>IF(AU41="","",IF('Recurring Log'!J45="","Not Started",'Recurring Log'!J45))</f>
        <v/>
      </c>
      <c r="BA41">
        <f>'Recurring Log'!L45&amp;""</f>
        <v/>
      </c>
      <c r="BB41">
        <f>'Recurring Log'!M45&amp;""</f>
        <v/>
      </c>
      <c r="BC41">
        <f>'Recurring Log'!N45&amp;""</f>
        <v/>
      </c>
      <c r="BD41">
        <f>'Recurring Log'!O45&amp;""</f>
        <v/>
      </c>
      <c r="BE41">
        <f>IF('Recurring Log'!K45="","",'Recurring Log'!K45)</f>
        <v/>
      </c>
      <c r="BF41">
        <f>IFERROR(MATCH(BA41,Setup!$L$6:$L$9,0),5)</f>
        <v/>
      </c>
      <c r="BG41">
        <f>IF(OR(AZ41="Done",AZ41="Cancelled"),1,0)</f>
        <v/>
      </c>
      <c r="BH41">
        <f>IF(AND(AU41&lt;&gt;"",ISNUMBER(AW41)),1,0)</f>
        <v/>
      </c>
      <c r="BI41">
        <f>IF(BH41=0,0,IF(AND(AW41&gt;='Tasks Filter'!$F$3,AW41&lt;='Tasks Filter'!$F$4,OR('Tasks Filter'!$I$3="",ISNUMBER(SEARCH('Tasks Filter'!$I$3,AU41))),OR('Tasks Filter'!$I$4="",BF41=IFERROR(MATCH('Tasks Filter'!$I$4,Setup!$L$6:$L$9,0),0)),OR('Tasks Filter'!$I$5="Both",AND('Tasks Filter'!$I$5="Yes",BB41="✓"),AND('Tasks Filter'!$I$5="No",BB41&lt;&gt;"✓")),OR('Tasks Filter'!$L$3="",AV41='Tasks Filter'!$L$3),OR('Tasks Filter'!$L$4="",AZ41='Tasks Filter'!$L$4),OR('Tasks Filter'!$L$5="",BC41='Tasks Filter'!$L$5),OR('Tasks Filter'!$O$3="",BD41='Tasks Filter'!$O$3),OR('Tasks Filter'!$O$4="Yes",BG41=0)),1,0))</f>
        <v/>
      </c>
      <c r="BJ41">
        <f>IF(BH41=0,"",IF('Tasks Filter'!$F$6="Descending",-1,1)*CHOOSE(MATCH('Tasks Filter'!$F$5,Lists!$G$2:$G$6,0),AW41,BF41,IFERROR(MATCH(AV41,Setup!$F$6:$F$15,0),99),IFERROR(MATCH(BC41,Setup!$H$6:$H$15,0),99),IFERROR(MATCH(AZ41,Setup!$J$6:$J$11,0),99))*1E+9+(AW41-40000)*10000+40)</f>
        <v/>
      </c>
      <c r="BK41">
        <f>IF(BI41=1,BJ41,"")</f>
        <v/>
      </c>
      <c r="BL41">
        <f>IF(AND(BH41=1,BG41=0,N(AW41)&lt;Setup!$D$7),(AW41-40000)*10000+40,"")</f>
        <v/>
      </c>
      <c r="BM41">
        <f>IF(AND(BH41=1,AZ41&lt;&gt;"Cancelled",N(AW41)&gt;=Dashboard!$AB$3,N(AW41)&lt;=Dashboard!$AB$3+6),(AW41-40000)*100000+BF41*10000+40,"")</f>
        <v/>
      </c>
      <c r="BN41">
        <f>IF(AND(BH41=1,AZ41&lt;&gt;"Cancelled"),BF41*10000+40,"")</f>
        <v/>
      </c>
    </row>
    <row r="42">
      <c r="A42">
        <f>Setup!$D$5+40</f>
        <v/>
      </c>
      <c r="B42">
        <f>IF('Recurring Schedule'!$C$6="","",IF('Recurring Schedule'!$F$6="","",IF(OR($A42&lt;'Recurring Schedule'!$F$6,$A42&gt;'Recurring Schedule'!$P$6),"",IF(IF('Recurring Schedule'!$N$6&gt;0,MOD($A42-'Recurring Schedule'!$F$6,'Recurring Schedule'!$N$6)=0,IF('Recurring Schedule'!$O$6&gt;0,AND(DAY($A42)=MIN(DAY('Recurring Schedule'!$F$6),DAY(EOMONTH($A42,0))),MOD((YEAR($A42)-YEAR('Recurring Schedule'!$F$6))*12+MONTH($A42)-MONTH('Recurring Schedule'!$F$6),'Recurring Schedule'!$O$6)=0),IF('Recurring Schedule'!$E$6="Weekdays",WEEKDAY($A42,2)&lt;=5,$A42='Recurring Schedule'!$F$6))),1,""))))</f>
        <v/>
      </c>
      <c r="C42">
        <f>IF('Recurring Schedule'!$C$7="","",IF('Recurring Schedule'!$F$7="","",IF(OR($A42&lt;'Recurring Schedule'!$F$7,$A42&gt;'Recurring Schedule'!$P$7),"",IF(IF('Recurring Schedule'!$N$7&gt;0,MOD($A42-'Recurring Schedule'!$F$7,'Recurring Schedule'!$N$7)=0,IF('Recurring Schedule'!$O$7&gt;0,AND(DAY($A42)=MIN(DAY('Recurring Schedule'!$F$7),DAY(EOMONTH($A42,0))),MOD((YEAR($A42)-YEAR('Recurring Schedule'!$F$7))*12+MONTH($A42)-MONTH('Recurring Schedule'!$F$7),'Recurring Schedule'!$O$7)=0),IF('Recurring Schedule'!$E$7="Weekdays",WEEKDAY($A42,2)&lt;=5,$A42='Recurring Schedule'!$F$7))),2,""))))</f>
        <v/>
      </c>
      <c r="D42">
        <f>IF('Recurring Schedule'!$C$8="","",IF('Recurring Schedule'!$F$8="","",IF(OR($A42&lt;'Recurring Schedule'!$F$8,$A42&gt;'Recurring Schedule'!$P$8),"",IF(IF('Recurring Schedule'!$N$8&gt;0,MOD($A42-'Recurring Schedule'!$F$8,'Recurring Schedule'!$N$8)=0,IF('Recurring Schedule'!$O$8&gt;0,AND(DAY($A42)=MIN(DAY('Recurring Schedule'!$F$8),DAY(EOMONTH($A42,0))),MOD((YEAR($A42)-YEAR('Recurring Schedule'!$F$8))*12+MONTH($A42)-MONTH('Recurring Schedule'!$F$8),'Recurring Schedule'!$O$8)=0),IF('Recurring Schedule'!$E$8="Weekdays",WEEKDAY($A42,2)&lt;=5,$A42='Recurring Schedule'!$F$8))),3,""))))</f>
        <v/>
      </c>
      <c r="E42">
        <f>IF('Recurring Schedule'!$C$9="","",IF('Recurring Schedule'!$F$9="","",IF(OR($A42&lt;'Recurring Schedule'!$F$9,$A42&gt;'Recurring Schedule'!$P$9),"",IF(IF('Recurring Schedule'!$N$9&gt;0,MOD($A42-'Recurring Schedule'!$F$9,'Recurring Schedule'!$N$9)=0,IF('Recurring Schedule'!$O$9&gt;0,AND(DAY($A42)=MIN(DAY('Recurring Schedule'!$F$9),DAY(EOMONTH($A42,0))),MOD((YEAR($A42)-YEAR('Recurring Schedule'!$F$9))*12+MONTH($A42)-MONTH('Recurring Schedule'!$F$9),'Recurring Schedule'!$O$9)=0),IF('Recurring Schedule'!$E$9="Weekdays",WEEKDAY($A42,2)&lt;=5,$A42='Recurring Schedule'!$F$9))),4,""))))</f>
        <v/>
      </c>
      <c r="F42">
        <f>IF('Recurring Schedule'!$C$10="","",IF('Recurring Schedule'!$F$10="","",IF(OR($A42&lt;'Recurring Schedule'!$F$10,$A42&gt;'Recurring Schedule'!$P$10),"",IF(IF('Recurring Schedule'!$N$10&gt;0,MOD($A42-'Recurring Schedule'!$F$10,'Recurring Schedule'!$N$10)=0,IF('Recurring Schedule'!$O$10&gt;0,AND(DAY($A42)=MIN(DAY('Recurring Schedule'!$F$10),DAY(EOMONTH($A42,0))),MOD((YEAR($A42)-YEAR('Recurring Schedule'!$F$10))*12+MONTH($A42)-MONTH('Recurring Schedule'!$F$10),'Recurring Schedule'!$O$10)=0),IF('Recurring Schedule'!$E$10="Weekdays",WEEKDAY($A42,2)&lt;=5,$A42='Recurring Schedule'!$F$10))),5,""))))</f>
        <v/>
      </c>
      <c r="G42">
        <f>IF('Recurring Schedule'!$C$11="","",IF('Recurring Schedule'!$F$11="","",IF(OR($A42&lt;'Recurring Schedule'!$F$11,$A42&gt;'Recurring Schedule'!$P$11),"",IF(IF('Recurring Schedule'!$N$11&gt;0,MOD($A42-'Recurring Schedule'!$F$11,'Recurring Schedule'!$N$11)=0,IF('Recurring Schedule'!$O$11&gt;0,AND(DAY($A42)=MIN(DAY('Recurring Schedule'!$F$11),DAY(EOMONTH($A42,0))),MOD((YEAR($A42)-YEAR('Recurring Schedule'!$F$11))*12+MONTH($A42)-MONTH('Recurring Schedule'!$F$11),'Recurring Schedule'!$O$11)=0),IF('Recurring Schedule'!$E$11="Weekdays",WEEKDAY($A42,2)&lt;=5,$A42='Recurring Schedule'!$F$11))),6,""))))</f>
        <v/>
      </c>
      <c r="H42">
        <f>IF('Recurring Schedule'!$C$12="","",IF('Recurring Schedule'!$F$12="","",IF(OR($A42&lt;'Recurring Schedule'!$F$12,$A42&gt;'Recurring Schedule'!$P$12),"",IF(IF('Recurring Schedule'!$N$12&gt;0,MOD($A42-'Recurring Schedule'!$F$12,'Recurring Schedule'!$N$12)=0,IF('Recurring Schedule'!$O$12&gt;0,AND(DAY($A42)=MIN(DAY('Recurring Schedule'!$F$12),DAY(EOMONTH($A42,0))),MOD((YEAR($A42)-YEAR('Recurring Schedule'!$F$12))*12+MONTH($A42)-MONTH('Recurring Schedule'!$F$12),'Recurring Schedule'!$O$12)=0),IF('Recurring Schedule'!$E$12="Weekdays",WEEKDAY($A42,2)&lt;=5,$A42='Recurring Schedule'!$F$12))),7,""))))</f>
        <v/>
      </c>
      <c r="I42">
        <f>IF('Recurring Schedule'!$C$13="","",IF('Recurring Schedule'!$F$13="","",IF(OR($A42&lt;'Recurring Schedule'!$F$13,$A42&gt;'Recurring Schedule'!$P$13),"",IF(IF('Recurring Schedule'!$N$13&gt;0,MOD($A42-'Recurring Schedule'!$F$13,'Recurring Schedule'!$N$13)=0,IF('Recurring Schedule'!$O$13&gt;0,AND(DAY($A42)=MIN(DAY('Recurring Schedule'!$F$13),DAY(EOMONTH($A42,0))),MOD((YEAR($A42)-YEAR('Recurring Schedule'!$F$13))*12+MONTH($A42)-MONTH('Recurring Schedule'!$F$13),'Recurring Schedule'!$O$13)=0),IF('Recurring Schedule'!$E$13="Weekdays",WEEKDAY($A42,2)&lt;=5,$A42='Recurring Schedule'!$F$13))),8,""))))</f>
        <v/>
      </c>
      <c r="J42">
        <f>IF('Recurring Schedule'!$C$14="","",IF('Recurring Schedule'!$F$14="","",IF(OR($A42&lt;'Recurring Schedule'!$F$14,$A42&gt;'Recurring Schedule'!$P$14),"",IF(IF('Recurring Schedule'!$N$14&gt;0,MOD($A42-'Recurring Schedule'!$F$14,'Recurring Schedule'!$N$14)=0,IF('Recurring Schedule'!$O$14&gt;0,AND(DAY($A42)=MIN(DAY('Recurring Schedule'!$F$14),DAY(EOMONTH($A42,0))),MOD((YEAR($A42)-YEAR('Recurring Schedule'!$F$14))*12+MONTH($A42)-MONTH('Recurring Schedule'!$F$14),'Recurring Schedule'!$O$14)=0),IF('Recurring Schedule'!$E$14="Weekdays",WEEKDAY($A42,2)&lt;=5,$A42='Recurring Schedule'!$F$14))),9,""))))</f>
        <v/>
      </c>
      <c r="K42">
        <f>IF('Recurring Schedule'!$C$15="","",IF('Recurring Schedule'!$F$15="","",IF(OR($A42&lt;'Recurring Schedule'!$F$15,$A42&gt;'Recurring Schedule'!$P$15),"",IF(IF('Recurring Schedule'!$N$15&gt;0,MOD($A42-'Recurring Schedule'!$F$15,'Recurring Schedule'!$N$15)=0,IF('Recurring Schedule'!$O$15&gt;0,AND(DAY($A42)=MIN(DAY('Recurring Schedule'!$F$15),DAY(EOMONTH($A42,0))),MOD((YEAR($A42)-YEAR('Recurring Schedule'!$F$15))*12+MONTH($A42)-MONTH('Recurring Schedule'!$F$15),'Recurring Schedule'!$O$15)=0),IF('Recurring Schedule'!$E$15="Weekdays",WEEKDAY($A42,2)&lt;=5,$A42='Recurring Schedule'!$F$15))),10,""))))</f>
        <v/>
      </c>
      <c r="L42">
        <f>IF('Recurring Schedule'!$C$16="","",IF('Recurring Schedule'!$F$16="","",IF(OR($A42&lt;'Recurring Schedule'!$F$16,$A42&gt;'Recurring Schedule'!$P$16),"",IF(IF('Recurring Schedule'!$N$16&gt;0,MOD($A42-'Recurring Schedule'!$F$16,'Recurring Schedule'!$N$16)=0,IF('Recurring Schedule'!$O$16&gt;0,AND(DAY($A42)=MIN(DAY('Recurring Schedule'!$F$16),DAY(EOMONTH($A42,0))),MOD((YEAR($A42)-YEAR('Recurring Schedule'!$F$16))*12+MONTH($A42)-MONTH('Recurring Schedule'!$F$16),'Recurring Schedule'!$O$16)=0),IF('Recurring Schedule'!$E$16="Weekdays",WEEKDAY($A42,2)&lt;=5,$A42='Recurring Schedule'!$F$16))),11,""))))</f>
        <v/>
      </c>
      <c r="M42">
        <f>IF('Recurring Schedule'!$C$17="","",IF('Recurring Schedule'!$F$17="","",IF(OR($A42&lt;'Recurring Schedule'!$F$17,$A42&gt;'Recurring Schedule'!$P$17),"",IF(IF('Recurring Schedule'!$N$17&gt;0,MOD($A42-'Recurring Schedule'!$F$17,'Recurring Schedule'!$N$17)=0,IF('Recurring Schedule'!$O$17&gt;0,AND(DAY($A42)=MIN(DAY('Recurring Schedule'!$F$17),DAY(EOMONTH($A42,0))),MOD((YEAR($A42)-YEAR('Recurring Schedule'!$F$17))*12+MONTH($A42)-MONTH('Recurring Schedule'!$F$17),'Recurring Schedule'!$O$17)=0),IF('Recurring Schedule'!$E$17="Weekdays",WEEKDAY($A42,2)&lt;=5,$A42='Recurring Schedule'!$F$17))),12,""))))</f>
        <v/>
      </c>
      <c r="N42">
        <f>IF('Recurring Schedule'!$C$18="","",IF('Recurring Schedule'!$F$18="","",IF(OR($A42&lt;'Recurring Schedule'!$F$18,$A42&gt;'Recurring Schedule'!$P$18),"",IF(IF('Recurring Schedule'!$N$18&gt;0,MOD($A42-'Recurring Schedule'!$F$18,'Recurring Schedule'!$N$18)=0,IF('Recurring Schedule'!$O$18&gt;0,AND(DAY($A42)=MIN(DAY('Recurring Schedule'!$F$18),DAY(EOMONTH($A42,0))),MOD((YEAR($A42)-YEAR('Recurring Schedule'!$F$18))*12+MONTH($A42)-MONTH('Recurring Schedule'!$F$18),'Recurring Schedule'!$O$18)=0),IF('Recurring Schedule'!$E$18="Weekdays",WEEKDAY($A42,2)&lt;=5,$A42='Recurring Schedule'!$F$18))),13,""))))</f>
        <v/>
      </c>
      <c r="O42">
        <f>IF('Recurring Schedule'!$C$19="","",IF('Recurring Schedule'!$F$19="","",IF(OR($A42&lt;'Recurring Schedule'!$F$19,$A42&gt;'Recurring Schedule'!$P$19),"",IF(IF('Recurring Schedule'!$N$19&gt;0,MOD($A42-'Recurring Schedule'!$F$19,'Recurring Schedule'!$N$19)=0,IF('Recurring Schedule'!$O$19&gt;0,AND(DAY($A42)=MIN(DAY('Recurring Schedule'!$F$19),DAY(EOMONTH($A42,0))),MOD((YEAR($A42)-YEAR('Recurring Schedule'!$F$19))*12+MONTH($A42)-MONTH('Recurring Schedule'!$F$19),'Recurring Schedule'!$O$19)=0),IF('Recurring Schedule'!$E$19="Weekdays",WEEKDAY($A42,2)&lt;=5,$A42='Recurring Schedule'!$F$19))),14,""))))</f>
        <v/>
      </c>
      <c r="P42">
        <f>IF('Recurring Schedule'!$C$20="","",IF('Recurring Schedule'!$F$20="","",IF(OR($A42&lt;'Recurring Schedule'!$F$20,$A42&gt;'Recurring Schedule'!$P$20),"",IF(IF('Recurring Schedule'!$N$20&gt;0,MOD($A42-'Recurring Schedule'!$F$20,'Recurring Schedule'!$N$20)=0,IF('Recurring Schedule'!$O$20&gt;0,AND(DAY($A42)=MIN(DAY('Recurring Schedule'!$F$20),DAY(EOMONTH($A42,0))),MOD((YEAR($A42)-YEAR('Recurring Schedule'!$F$20))*12+MONTH($A42)-MONTH('Recurring Schedule'!$F$20),'Recurring Schedule'!$O$20)=0),IF('Recurring Schedule'!$E$20="Weekdays",WEEKDAY($A42,2)&lt;=5,$A42='Recurring Schedule'!$F$20))),15,""))))</f>
        <v/>
      </c>
      <c r="Q42">
        <f>IF('Recurring Schedule'!$C$21="","",IF('Recurring Schedule'!$F$21="","",IF(OR($A42&lt;'Recurring Schedule'!$F$21,$A42&gt;'Recurring Schedule'!$P$21),"",IF(IF('Recurring Schedule'!$N$21&gt;0,MOD($A42-'Recurring Schedule'!$F$21,'Recurring Schedule'!$N$21)=0,IF('Recurring Schedule'!$O$21&gt;0,AND(DAY($A42)=MIN(DAY('Recurring Schedule'!$F$21),DAY(EOMONTH($A42,0))),MOD((YEAR($A42)-YEAR('Recurring Schedule'!$F$21))*12+MONTH($A42)-MONTH('Recurring Schedule'!$F$21),'Recurring Schedule'!$O$21)=0),IF('Recurring Schedule'!$E$21="Weekdays",WEEKDAY($A42,2)&lt;=5,$A42='Recurring Schedule'!$F$21))),16,""))))</f>
        <v/>
      </c>
      <c r="R42">
        <f>IF('Recurring Schedule'!$C$22="","",IF('Recurring Schedule'!$F$22="","",IF(OR($A42&lt;'Recurring Schedule'!$F$22,$A42&gt;'Recurring Schedule'!$P$22),"",IF(IF('Recurring Schedule'!$N$22&gt;0,MOD($A42-'Recurring Schedule'!$F$22,'Recurring Schedule'!$N$22)=0,IF('Recurring Schedule'!$O$22&gt;0,AND(DAY($A42)=MIN(DAY('Recurring Schedule'!$F$22),DAY(EOMONTH($A42,0))),MOD((YEAR($A42)-YEAR('Recurring Schedule'!$F$22))*12+MONTH($A42)-MONTH('Recurring Schedule'!$F$22),'Recurring Schedule'!$O$22)=0),IF('Recurring Schedule'!$E$22="Weekdays",WEEKDAY($A42,2)&lt;=5,$A42='Recurring Schedule'!$F$22))),17,""))))</f>
        <v/>
      </c>
      <c r="S42">
        <f>IF('Recurring Schedule'!$C$23="","",IF('Recurring Schedule'!$F$23="","",IF(OR($A42&lt;'Recurring Schedule'!$F$23,$A42&gt;'Recurring Schedule'!$P$23),"",IF(IF('Recurring Schedule'!$N$23&gt;0,MOD($A42-'Recurring Schedule'!$F$23,'Recurring Schedule'!$N$23)=0,IF('Recurring Schedule'!$O$23&gt;0,AND(DAY($A42)=MIN(DAY('Recurring Schedule'!$F$23),DAY(EOMONTH($A42,0))),MOD((YEAR($A42)-YEAR('Recurring Schedule'!$F$23))*12+MONTH($A42)-MONTH('Recurring Schedule'!$F$23),'Recurring Schedule'!$O$23)=0),IF('Recurring Schedule'!$E$23="Weekdays",WEEKDAY($A42,2)&lt;=5,$A42='Recurring Schedule'!$F$23))),18,""))))</f>
        <v/>
      </c>
      <c r="T42">
        <f>IF('Recurring Schedule'!$C$24="","",IF('Recurring Schedule'!$F$24="","",IF(OR($A42&lt;'Recurring Schedule'!$F$24,$A42&gt;'Recurring Schedule'!$P$24),"",IF(IF('Recurring Schedule'!$N$24&gt;0,MOD($A42-'Recurring Schedule'!$F$24,'Recurring Schedule'!$N$24)=0,IF('Recurring Schedule'!$O$24&gt;0,AND(DAY($A42)=MIN(DAY('Recurring Schedule'!$F$24),DAY(EOMONTH($A42,0))),MOD((YEAR($A42)-YEAR('Recurring Schedule'!$F$24))*12+MONTH($A42)-MONTH('Recurring Schedule'!$F$24),'Recurring Schedule'!$O$24)=0),IF('Recurring Schedule'!$E$24="Weekdays",WEEKDAY($A42,2)&lt;=5,$A42='Recurring Schedule'!$F$24))),19,""))))</f>
        <v/>
      </c>
      <c r="U42">
        <f>IF('Recurring Schedule'!$C$25="","",IF('Recurring Schedule'!$F$25="","",IF(OR($A42&lt;'Recurring Schedule'!$F$25,$A42&gt;'Recurring Schedule'!$P$25),"",IF(IF('Recurring Schedule'!$N$25&gt;0,MOD($A42-'Recurring Schedule'!$F$25,'Recurring Schedule'!$N$25)=0,IF('Recurring Schedule'!$O$25&gt;0,AND(DAY($A42)=MIN(DAY('Recurring Schedule'!$F$25),DAY(EOMONTH($A42,0))),MOD((YEAR($A42)-YEAR('Recurring Schedule'!$F$25))*12+MONTH($A42)-MONTH('Recurring Schedule'!$F$25),'Recurring Schedule'!$O$25)=0),IF('Recurring Schedule'!$E$25="Weekdays",WEEKDAY($A42,2)&lt;=5,$A42='Recurring Schedule'!$F$25))),20,""))))</f>
        <v/>
      </c>
      <c r="V42">
        <f>IF('Recurring Schedule'!$C$26="","",IF('Recurring Schedule'!$F$26="","",IF(OR($A42&lt;'Recurring Schedule'!$F$26,$A42&gt;'Recurring Schedule'!$P$26),"",IF(IF('Recurring Schedule'!$N$26&gt;0,MOD($A42-'Recurring Schedule'!$F$26,'Recurring Schedule'!$N$26)=0,IF('Recurring Schedule'!$O$26&gt;0,AND(DAY($A42)=MIN(DAY('Recurring Schedule'!$F$26),DAY(EOMONTH($A42,0))),MOD((YEAR($A42)-YEAR('Recurring Schedule'!$F$26))*12+MONTH($A42)-MONTH('Recurring Schedule'!$F$26),'Recurring Schedule'!$O$26)=0),IF('Recurring Schedule'!$E$26="Weekdays",WEEKDAY($A42,2)&lt;=5,$A42='Recurring Schedule'!$F$26))),21,""))))</f>
        <v/>
      </c>
      <c r="W42">
        <f>IF('Recurring Schedule'!$C$27="","",IF('Recurring Schedule'!$F$27="","",IF(OR($A42&lt;'Recurring Schedule'!$F$27,$A42&gt;'Recurring Schedule'!$P$27),"",IF(IF('Recurring Schedule'!$N$27&gt;0,MOD($A42-'Recurring Schedule'!$F$27,'Recurring Schedule'!$N$27)=0,IF('Recurring Schedule'!$O$27&gt;0,AND(DAY($A42)=MIN(DAY('Recurring Schedule'!$F$27),DAY(EOMONTH($A42,0))),MOD((YEAR($A42)-YEAR('Recurring Schedule'!$F$27))*12+MONTH($A42)-MONTH('Recurring Schedule'!$F$27),'Recurring Schedule'!$O$27)=0),IF('Recurring Schedule'!$E$27="Weekdays",WEEKDAY($A42,2)&lt;=5,$A42='Recurring Schedule'!$F$27))),22,""))))</f>
        <v/>
      </c>
      <c r="X42">
        <f>IF('Recurring Schedule'!$C$28="","",IF('Recurring Schedule'!$F$28="","",IF(OR($A42&lt;'Recurring Schedule'!$F$28,$A42&gt;'Recurring Schedule'!$P$28),"",IF(IF('Recurring Schedule'!$N$28&gt;0,MOD($A42-'Recurring Schedule'!$F$28,'Recurring Schedule'!$N$28)=0,IF('Recurring Schedule'!$O$28&gt;0,AND(DAY($A42)=MIN(DAY('Recurring Schedule'!$F$28),DAY(EOMONTH($A42,0))),MOD((YEAR($A42)-YEAR('Recurring Schedule'!$F$28))*12+MONTH($A42)-MONTH('Recurring Schedule'!$F$28),'Recurring Schedule'!$O$28)=0),IF('Recurring Schedule'!$E$28="Weekdays",WEEKDAY($A42,2)&lt;=5,$A42='Recurring Schedule'!$F$28))),23,""))))</f>
        <v/>
      </c>
      <c r="Y42">
        <f>IF('Recurring Schedule'!$C$29="","",IF('Recurring Schedule'!$F$29="","",IF(OR($A42&lt;'Recurring Schedule'!$F$29,$A42&gt;'Recurring Schedule'!$P$29),"",IF(IF('Recurring Schedule'!$N$29&gt;0,MOD($A42-'Recurring Schedule'!$F$29,'Recurring Schedule'!$N$29)=0,IF('Recurring Schedule'!$O$29&gt;0,AND(DAY($A42)=MIN(DAY('Recurring Schedule'!$F$29),DAY(EOMONTH($A42,0))),MOD((YEAR($A42)-YEAR('Recurring Schedule'!$F$29))*12+MONTH($A42)-MONTH('Recurring Schedule'!$F$29),'Recurring Schedule'!$O$29)=0),IF('Recurring Schedule'!$E$29="Weekdays",WEEKDAY($A42,2)&lt;=5,$A42='Recurring Schedule'!$F$29))),24,""))))</f>
        <v/>
      </c>
      <c r="Z42">
        <f>IF('Recurring Schedule'!$C$30="","",IF('Recurring Schedule'!$F$30="","",IF(OR($A42&lt;'Recurring Schedule'!$F$30,$A42&gt;'Recurring Schedule'!$P$30),"",IF(IF('Recurring Schedule'!$N$30&gt;0,MOD($A42-'Recurring Schedule'!$F$30,'Recurring Schedule'!$N$30)=0,IF('Recurring Schedule'!$O$30&gt;0,AND(DAY($A42)=MIN(DAY('Recurring Schedule'!$F$30),DAY(EOMONTH($A42,0))),MOD((YEAR($A42)-YEAR('Recurring Schedule'!$F$30))*12+MONTH($A42)-MONTH('Recurring Schedule'!$F$30),'Recurring Schedule'!$O$30)=0),IF('Recurring Schedule'!$E$30="Weekdays",WEEKDAY($A42,2)&lt;=5,$A42='Recurring Schedule'!$F$30))),25,""))))</f>
        <v/>
      </c>
      <c r="AA42">
        <f>IF('Recurring Schedule'!$C$31="","",IF('Recurring Schedule'!$F$31="","",IF(OR($A42&lt;'Recurring Schedule'!$F$31,$A42&gt;'Recurring Schedule'!$P$31),"",IF(IF('Recurring Schedule'!$N$31&gt;0,MOD($A42-'Recurring Schedule'!$F$31,'Recurring Schedule'!$N$31)=0,IF('Recurring Schedule'!$O$31&gt;0,AND(DAY($A42)=MIN(DAY('Recurring Schedule'!$F$31),DAY(EOMONTH($A42,0))),MOD((YEAR($A42)-YEAR('Recurring Schedule'!$F$31))*12+MONTH($A42)-MONTH('Recurring Schedule'!$F$31),'Recurring Schedule'!$O$31)=0),IF('Recurring Schedule'!$E$31="Weekdays",WEEKDAY($A42,2)&lt;=5,$A42='Recurring Schedule'!$F$31))),26,""))))</f>
        <v/>
      </c>
      <c r="AB42">
        <f>IF('Recurring Schedule'!$C$32="","",IF('Recurring Schedule'!$F$32="","",IF(OR($A42&lt;'Recurring Schedule'!$F$32,$A42&gt;'Recurring Schedule'!$P$32),"",IF(IF('Recurring Schedule'!$N$32&gt;0,MOD($A42-'Recurring Schedule'!$F$32,'Recurring Schedule'!$N$32)=0,IF('Recurring Schedule'!$O$32&gt;0,AND(DAY($A42)=MIN(DAY('Recurring Schedule'!$F$32),DAY(EOMONTH($A42,0))),MOD((YEAR($A42)-YEAR('Recurring Schedule'!$F$32))*12+MONTH($A42)-MONTH('Recurring Schedule'!$F$32),'Recurring Schedule'!$O$32)=0),IF('Recurring Schedule'!$E$32="Weekdays",WEEKDAY($A42,2)&lt;=5,$A42='Recurring Schedule'!$F$32))),27,""))))</f>
        <v/>
      </c>
      <c r="AC42">
        <f>IF('Recurring Schedule'!$C$33="","",IF('Recurring Schedule'!$F$33="","",IF(OR($A42&lt;'Recurring Schedule'!$F$33,$A42&gt;'Recurring Schedule'!$P$33),"",IF(IF('Recurring Schedule'!$N$33&gt;0,MOD($A42-'Recurring Schedule'!$F$33,'Recurring Schedule'!$N$33)=0,IF('Recurring Schedule'!$O$33&gt;0,AND(DAY($A42)=MIN(DAY('Recurring Schedule'!$F$33),DAY(EOMONTH($A42,0))),MOD((YEAR($A42)-YEAR('Recurring Schedule'!$F$33))*12+MONTH($A42)-MONTH('Recurring Schedule'!$F$33),'Recurring Schedule'!$O$33)=0),IF('Recurring Schedule'!$E$33="Weekdays",WEEKDAY($A42,2)&lt;=5,$A42='Recurring Schedule'!$F$33))),28,""))))</f>
        <v/>
      </c>
      <c r="AD42">
        <f>IF('Recurring Schedule'!$C$34="","",IF('Recurring Schedule'!$F$34="","",IF(OR($A42&lt;'Recurring Schedule'!$F$34,$A42&gt;'Recurring Schedule'!$P$34),"",IF(IF('Recurring Schedule'!$N$34&gt;0,MOD($A42-'Recurring Schedule'!$F$34,'Recurring Schedule'!$N$34)=0,IF('Recurring Schedule'!$O$34&gt;0,AND(DAY($A42)=MIN(DAY('Recurring Schedule'!$F$34),DAY(EOMONTH($A42,0))),MOD((YEAR($A42)-YEAR('Recurring Schedule'!$F$34))*12+MONTH($A42)-MONTH('Recurring Schedule'!$F$34),'Recurring Schedule'!$O$34)=0),IF('Recurring Schedule'!$E$34="Weekdays",WEEKDAY($A42,2)&lt;=5,$A42='Recurring Schedule'!$F$34))),29,""))))</f>
        <v/>
      </c>
      <c r="AE42">
        <f>IF('Recurring Schedule'!$C$35="","",IF('Recurring Schedule'!$F$35="","",IF(OR($A42&lt;'Recurring Schedule'!$F$35,$A42&gt;'Recurring Schedule'!$P$35),"",IF(IF('Recurring Schedule'!$N$35&gt;0,MOD($A42-'Recurring Schedule'!$F$35,'Recurring Schedule'!$N$35)=0,IF('Recurring Schedule'!$O$35&gt;0,AND(DAY($A42)=MIN(DAY('Recurring Schedule'!$F$35),DAY(EOMONTH($A42,0))),MOD((YEAR($A42)-YEAR('Recurring Schedule'!$F$35))*12+MONTH($A42)-MONTH('Recurring Schedule'!$F$35),'Recurring Schedule'!$O$35)=0),IF('Recurring Schedule'!$E$35="Weekdays",WEEKDAY($A42,2)&lt;=5,$A42='Recurring Schedule'!$F$35))),30,""))))</f>
        <v/>
      </c>
      <c r="AF42">
        <f>IF('Recurring Schedule'!$C$36="","",IF('Recurring Schedule'!$F$36="","",IF(OR($A42&lt;'Recurring Schedule'!$F$36,$A42&gt;'Recurring Schedule'!$P$36),"",IF(IF('Recurring Schedule'!$N$36&gt;0,MOD($A42-'Recurring Schedule'!$F$36,'Recurring Schedule'!$N$36)=0,IF('Recurring Schedule'!$O$36&gt;0,AND(DAY($A42)=MIN(DAY('Recurring Schedule'!$F$36),DAY(EOMONTH($A42,0))),MOD((YEAR($A42)-YEAR('Recurring Schedule'!$F$36))*12+MONTH($A42)-MONTH('Recurring Schedule'!$F$36),'Recurring Schedule'!$O$36)=0),IF('Recurring Schedule'!$E$36="Weekdays",WEEKDAY($A42,2)&lt;=5,$A42='Recurring Schedule'!$F$36))),31,""))))</f>
        <v/>
      </c>
      <c r="AG42">
        <f>IF('Recurring Schedule'!$C$37="","",IF('Recurring Schedule'!$F$37="","",IF(OR($A42&lt;'Recurring Schedule'!$F$37,$A42&gt;'Recurring Schedule'!$P$37),"",IF(IF('Recurring Schedule'!$N$37&gt;0,MOD($A42-'Recurring Schedule'!$F$37,'Recurring Schedule'!$N$37)=0,IF('Recurring Schedule'!$O$37&gt;0,AND(DAY($A42)=MIN(DAY('Recurring Schedule'!$F$37),DAY(EOMONTH($A42,0))),MOD((YEAR($A42)-YEAR('Recurring Schedule'!$F$37))*12+MONTH($A42)-MONTH('Recurring Schedule'!$F$37),'Recurring Schedule'!$O$37)=0),IF('Recurring Schedule'!$E$37="Weekdays",WEEKDAY($A42,2)&lt;=5,$A42='Recurring Schedule'!$F$37))),32,""))))</f>
        <v/>
      </c>
      <c r="AH42">
        <f>IF('Recurring Schedule'!$C$38="","",IF('Recurring Schedule'!$F$38="","",IF(OR($A42&lt;'Recurring Schedule'!$F$38,$A42&gt;'Recurring Schedule'!$P$38),"",IF(IF('Recurring Schedule'!$N$38&gt;0,MOD($A42-'Recurring Schedule'!$F$38,'Recurring Schedule'!$N$38)=0,IF('Recurring Schedule'!$O$38&gt;0,AND(DAY($A42)=MIN(DAY('Recurring Schedule'!$F$38),DAY(EOMONTH($A42,0))),MOD((YEAR($A42)-YEAR('Recurring Schedule'!$F$38))*12+MONTH($A42)-MONTH('Recurring Schedule'!$F$38),'Recurring Schedule'!$O$38)=0),IF('Recurring Schedule'!$E$38="Weekdays",WEEKDAY($A42,2)&lt;=5,$A42='Recurring Schedule'!$F$38))),33,""))))</f>
        <v/>
      </c>
      <c r="AI42">
        <f>IF('Recurring Schedule'!$C$39="","",IF('Recurring Schedule'!$F$39="","",IF(OR($A42&lt;'Recurring Schedule'!$F$39,$A42&gt;'Recurring Schedule'!$P$39),"",IF(IF('Recurring Schedule'!$N$39&gt;0,MOD($A42-'Recurring Schedule'!$F$39,'Recurring Schedule'!$N$39)=0,IF('Recurring Schedule'!$O$39&gt;0,AND(DAY($A42)=MIN(DAY('Recurring Schedule'!$F$39),DAY(EOMONTH($A42,0))),MOD((YEAR($A42)-YEAR('Recurring Schedule'!$F$39))*12+MONTH($A42)-MONTH('Recurring Schedule'!$F$39),'Recurring Schedule'!$O$39)=0),IF('Recurring Schedule'!$E$39="Weekdays",WEEKDAY($A42,2)&lt;=5,$A42='Recurring Schedule'!$F$39))),34,""))))</f>
        <v/>
      </c>
      <c r="AJ42">
        <f>IF('Recurring Schedule'!$C$40="","",IF('Recurring Schedule'!$F$40="","",IF(OR($A42&lt;'Recurring Schedule'!$F$40,$A42&gt;'Recurring Schedule'!$P$40),"",IF(IF('Recurring Schedule'!$N$40&gt;0,MOD($A42-'Recurring Schedule'!$F$40,'Recurring Schedule'!$N$40)=0,IF('Recurring Schedule'!$O$40&gt;0,AND(DAY($A42)=MIN(DAY('Recurring Schedule'!$F$40),DAY(EOMONTH($A42,0))),MOD((YEAR($A42)-YEAR('Recurring Schedule'!$F$40))*12+MONTH($A42)-MONTH('Recurring Schedule'!$F$40),'Recurring Schedule'!$O$40)=0),IF('Recurring Schedule'!$E$40="Weekdays",WEEKDAY($A42,2)&lt;=5,$A42='Recurring Schedule'!$F$40))),35,""))))</f>
        <v/>
      </c>
      <c r="AK42">
        <f>IF('Recurring Schedule'!$C$41="","",IF('Recurring Schedule'!$F$41="","",IF(OR($A42&lt;'Recurring Schedule'!$F$41,$A42&gt;'Recurring Schedule'!$P$41),"",IF(IF('Recurring Schedule'!$N$41&gt;0,MOD($A42-'Recurring Schedule'!$F$41,'Recurring Schedule'!$N$41)=0,IF('Recurring Schedule'!$O$41&gt;0,AND(DAY($A42)=MIN(DAY('Recurring Schedule'!$F$41),DAY(EOMONTH($A42,0))),MOD((YEAR($A42)-YEAR('Recurring Schedule'!$F$41))*12+MONTH($A42)-MONTH('Recurring Schedule'!$F$41),'Recurring Schedule'!$O$41)=0),IF('Recurring Schedule'!$E$41="Weekdays",WEEKDAY($A42,2)&lt;=5,$A42='Recurring Schedule'!$F$41))),36,""))))</f>
        <v/>
      </c>
      <c r="AL42">
        <f>IF('Recurring Schedule'!$C$42="","",IF('Recurring Schedule'!$F$42="","",IF(OR($A42&lt;'Recurring Schedule'!$F$42,$A42&gt;'Recurring Schedule'!$P$42),"",IF(IF('Recurring Schedule'!$N$42&gt;0,MOD($A42-'Recurring Schedule'!$F$42,'Recurring Schedule'!$N$42)=0,IF('Recurring Schedule'!$O$42&gt;0,AND(DAY($A42)=MIN(DAY('Recurring Schedule'!$F$42),DAY(EOMONTH($A42,0))),MOD((YEAR($A42)-YEAR('Recurring Schedule'!$F$42))*12+MONTH($A42)-MONTH('Recurring Schedule'!$F$42),'Recurring Schedule'!$O$42)=0),IF('Recurring Schedule'!$E$42="Weekdays",WEEKDAY($A42,2)&lt;=5,$A42='Recurring Schedule'!$F$42))),37,""))))</f>
        <v/>
      </c>
      <c r="AM42">
        <f>IF('Recurring Schedule'!$C$43="","",IF('Recurring Schedule'!$F$43="","",IF(OR($A42&lt;'Recurring Schedule'!$F$43,$A42&gt;'Recurring Schedule'!$P$43),"",IF(IF('Recurring Schedule'!$N$43&gt;0,MOD($A42-'Recurring Schedule'!$F$43,'Recurring Schedule'!$N$43)=0,IF('Recurring Schedule'!$O$43&gt;0,AND(DAY($A42)=MIN(DAY('Recurring Schedule'!$F$43),DAY(EOMONTH($A42,0))),MOD((YEAR($A42)-YEAR('Recurring Schedule'!$F$43))*12+MONTH($A42)-MONTH('Recurring Schedule'!$F$43),'Recurring Schedule'!$O$43)=0),IF('Recurring Schedule'!$E$43="Weekdays",WEEKDAY($A42,2)&lt;=5,$A42='Recurring Schedule'!$F$43))),38,""))))</f>
        <v/>
      </c>
      <c r="AN42">
        <f>IF('Recurring Schedule'!$C$44="","",IF('Recurring Schedule'!$F$44="","",IF(OR($A42&lt;'Recurring Schedule'!$F$44,$A42&gt;'Recurring Schedule'!$P$44),"",IF(IF('Recurring Schedule'!$N$44&gt;0,MOD($A42-'Recurring Schedule'!$F$44,'Recurring Schedule'!$N$44)=0,IF('Recurring Schedule'!$O$44&gt;0,AND(DAY($A42)=MIN(DAY('Recurring Schedule'!$F$44),DAY(EOMONTH($A42,0))),MOD((YEAR($A42)-YEAR('Recurring Schedule'!$F$44))*12+MONTH($A42)-MONTH('Recurring Schedule'!$F$44),'Recurring Schedule'!$O$44)=0),IF('Recurring Schedule'!$E$44="Weekdays",WEEKDAY($A42,2)&lt;=5,$A42='Recurring Schedule'!$F$44))),39,""))))</f>
        <v/>
      </c>
      <c r="AO42">
        <f>IF('Recurring Schedule'!$C$45="","",IF('Recurring Schedule'!$F$45="","",IF(OR($A42&lt;'Recurring Schedule'!$F$45,$A42&gt;'Recurring Schedule'!$P$45),"",IF(IF('Recurring Schedule'!$N$45&gt;0,MOD($A42-'Recurring Schedule'!$F$45,'Recurring Schedule'!$N$45)=0,IF('Recurring Schedule'!$O$45&gt;0,AND(DAY($A42)=MIN(DAY('Recurring Schedule'!$F$45),DAY(EOMONTH($A42,0))),MOD((YEAR($A42)-YEAR('Recurring Schedule'!$F$45))*12+MONTH($A42)-MONTH('Recurring Schedule'!$F$45),'Recurring Schedule'!$O$45)=0),IF('Recurring Schedule'!$E$45="Weekdays",WEEKDAY($A42,2)&lt;=5,$A42='Recurring Schedule'!$F$45))),40,""))))</f>
        <v/>
      </c>
      <c r="AP42">
        <f>COUNT(B42:AO42)</f>
        <v/>
      </c>
      <c r="AQ42">
        <f>AQ41+AP41</f>
        <v/>
      </c>
      <c r="AS42" t="inlineStr">
        <is>
          <t>R</t>
        </is>
      </c>
      <c r="AT42" t="n">
        <v>46</v>
      </c>
      <c r="AU42">
        <f>'Recurring Log'!C46&amp;""</f>
        <v/>
      </c>
      <c r="AV42">
        <f>'Recurring Log'!D46&amp;""</f>
        <v/>
      </c>
      <c r="AW42">
        <f>IF('Recurring Log'!E46="","",'Recurring Log'!E46)</f>
        <v/>
      </c>
      <c r="AX42">
        <f>IF('Recurring Log'!G46="","",'Recurring Log'!G46)</f>
        <v/>
      </c>
      <c r="AY42">
        <f>IF('Recurring Log'!H46="","",'Recurring Log'!H46)</f>
        <v/>
      </c>
      <c r="AZ42">
        <f>IF(AU42="","",IF('Recurring Log'!J46="","Not Started",'Recurring Log'!J46))</f>
        <v/>
      </c>
      <c r="BA42">
        <f>'Recurring Log'!L46&amp;""</f>
        <v/>
      </c>
      <c r="BB42">
        <f>'Recurring Log'!M46&amp;""</f>
        <v/>
      </c>
      <c r="BC42">
        <f>'Recurring Log'!N46&amp;""</f>
        <v/>
      </c>
      <c r="BD42">
        <f>'Recurring Log'!O46&amp;""</f>
        <v/>
      </c>
      <c r="BE42">
        <f>IF('Recurring Log'!K46="","",'Recurring Log'!K46)</f>
        <v/>
      </c>
      <c r="BF42">
        <f>IFERROR(MATCH(BA42,Setup!$L$6:$L$9,0),5)</f>
        <v/>
      </c>
      <c r="BG42">
        <f>IF(OR(AZ42="Done",AZ42="Cancelled"),1,0)</f>
        <v/>
      </c>
      <c r="BH42">
        <f>IF(AND(AU42&lt;&gt;"",ISNUMBER(AW42)),1,0)</f>
        <v/>
      </c>
      <c r="BI42">
        <f>IF(BH42=0,0,IF(AND(AW42&gt;='Tasks Filter'!$F$3,AW42&lt;='Tasks Filter'!$F$4,OR('Tasks Filter'!$I$3="",ISNUMBER(SEARCH('Tasks Filter'!$I$3,AU42))),OR('Tasks Filter'!$I$4="",BF42=IFERROR(MATCH('Tasks Filter'!$I$4,Setup!$L$6:$L$9,0),0)),OR('Tasks Filter'!$I$5="Both",AND('Tasks Filter'!$I$5="Yes",BB42="✓"),AND('Tasks Filter'!$I$5="No",BB42&lt;&gt;"✓")),OR('Tasks Filter'!$L$3="",AV42='Tasks Filter'!$L$3),OR('Tasks Filter'!$L$4="",AZ42='Tasks Filter'!$L$4),OR('Tasks Filter'!$L$5="",BC42='Tasks Filter'!$L$5),OR('Tasks Filter'!$O$3="",BD42='Tasks Filter'!$O$3),OR('Tasks Filter'!$O$4="Yes",BG42=0)),1,0))</f>
        <v/>
      </c>
      <c r="BJ42">
        <f>IF(BH42=0,"",IF('Tasks Filter'!$F$6="Descending",-1,1)*CHOOSE(MATCH('Tasks Filter'!$F$5,Lists!$G$2:$G$6,0),AW42,BF42,IFERROR(MATCH(AV42,Setup!$F$6:$F$15,0),99),IFERROR(MATCH(BC42,Setup!$H$6:$H$15,0),99),IFERROR(MATCH(AZ42,Setup!$J$6:$J$11,0),99))*1E+9+(AW42-40000)*10000+41)</f>
        <v/>
      </c>
      <c r="BK42">
        <f>IF(BI42=1,BJ42,"")</f>
        <v/>
      </c>
      <c r="BL42">
        <f>IF(AND(BH42=1,BG42=0,N(AW42)&lt;Setup!$D$7),(AW42-40000)*10000+41,"")</f>
        <v/>
      </c>
      <c r="BM42">
        <f>IF(AND(BH42=1,AZ42&lt;&gt;"Cancelled",N(AW42)&gt;=Dashboard!$AB$3,N(AW42)&lt;=Dashboard!$AB$3+6),(AW42-40000)*100000+BF42*10000+41,"")</f>
        <v/>
      </c>
      <c r="BN42">
        <f>IF(AND(BH42=1,AZ42&lt;&gt;"Cancelled"),BF42*10000+41,"")</f>
        <v/>
      </c>
    </row>
    <row r="43">
      <c r="A43">
        <f>Setup!$D$5+41</f>
        <v/>
      </c>
      <c r="B43">
        <f>IF('Recurring Schedule'!$C$6="","",IF('Recurring Schedule'!$F$6="","",IF(OR($A43&lt;'Recurring Schedule'!$F$6,$A43&gt;'Recurring Schedule'!$P$6),"",IF(IF('Recurring Schedule'!$N$6&gt;0,MOD($A43-'Recurring Schedule'!$F$6,'Recurring Schedule'!$N$6)=0,IF('Recurring Schedule'!$O$6&gt;0,AND(DAY($A43)=MIN(DAY('Recurring Schedule'!$F$6),DAY(EOMONTH($A43,0))),MOD((YEAR($A43)-YEAR('Recurring Schedule'!$F$6))*12+MONTH($A43)-MONTH('Recurring Schedule'!$F$6),'Recurring Schedule'!$O$6)=0),IF('Recurring Schedule'!$E$6="Weekdays",WEEKDAY($A43,2)&lt;=5,$A43='Recurring Schedule'!$F$6))),1,""))))</f>
        <v/>
      </c>
      <c r="C43">
        <f>IF('Recurring Schedule'!$C$7="","",IF('Recurring Schedule'!$F$7="","",IF(OR($A43&lt;'Recurring Schedule'!$F$7,$A43&gt;'Recurring Schedule'!$P$7),"",IF(IF('Recurring Schedule'!$N$7&gt;0,MOD($A43-'Recurring Schedule'!$F$7,'Recurring Schedule'!$N$7)=0,IF('Recurring Schedule'!$O$7&gt;0,AND(DAY($A43)=MIN(DAY('Recurring Schedule'!$F$7),DAY(EOMONTH($A43,0))),MOD((YEAR($A43)-YEAR('Recurring Schedule'!$F$7))*12+MONTH($A43)-MONTH('Recurring Schedule'!$F$7),'Recurring Schedule'!$O$7)=0),IF('Recurring Schedule'!$E$7="Weekdays",WEEKDAY($A43,2)&lt;=5,$A43='Recurring Schedule'!$F$7))),2,""))))</f>
        <v/>
      </c>
      <c r="D43">
        <f>IF('Recurring Schedule'!$C$8="","",IF('Recurring Schedule'!$F$8="","",IF(OR($A43&lt;'Recurring Schedule'!$F$8,$A43&gt;'Recurring Schedule'!$P$8),"",IF(IF('Recurring Schedule'!$N$8&gt;0,MOD($A43-'Recurring Schedule'!$F$8,'Recurring Schedule'!$N$8)=0,IF('Recurring Schedule'!$O$8&gt;0,AND(DAY($A43)=MIN(DAY('Recurring Schedule'!$F$8),DAY(EOMONTH($A43,0))),MOD((YEAR($A43)-YEAR('Recurring Schedule'!$F$8))*12+MONTH($A43)-MONTH('Recurring Schedule'!$F$8),'Recurring Schedule'!$O$8)=0),IF('Recurring Schedule'!$E$8="Weekdays",WEEKDAY($A43,2)&lt;=5,$A43='Recurring Schedule'!$F$8))),3,""))))</f>
        <v/>
      </c>
      <c r="E43">
        <f>IF('Recurring Schedule'!$C$9="","",IF('Recurring Schedule'!$F$9="","",IF(OR($A43&lt;'Recurring Schedule'!$F$9,$A43&gt;'Recurring Schedule'!$P$9),"",IF(IF('Recurring Schedule'!$N$9&gt;0,MOD($A43-'Recurring Schedule'!$F$9,'Recurring Schedule'!$N$9)=0,IF('Recurring Schedule'!$O$9&gt;0,AND(DAY($A43)=MIN(DAY('Recurring Schedule'!$F$9),DAY(EOMONTH($A43,0))),MOD((YEAR($A43)-YEAR('Recurring Schedule'!$F$9))*12+MONTH($A43)-MONTH('Recurring Schedule'!$F$9),'Recurring Schedule'!$O$9)=0),IF('Recurring Schedule'!$E$9="Weekdays",WEEKDAY($A43,2)&lt;=5,$A43='Recurring Schedule'!$F$9))),4,""))))</f>
        <v/>
      </c>
      <c r="F43">
        <f>IF('Recurring Schedule'!$C$10="","",IF('Recurring Schedule'!$F$10="","",IF(OR($A43&lt;'Recurring Schedule'!$F$10,$A43&gt;'Recurring Schedule'!$P$10),"",IF(IF('Recurring Schedule'!$N$10&gt;0,MOD($A43-'Recurring Schedule'!$F$10,'Recurring Schedule'!$N$10)=0,IF('Recurring Schedule'!$O$10&gt;0,AND(DAY($A43)=MIN(DAY('Recurring Schedule'!$F$10),DAY(EOMONTH($A43,0))),MOD((YEAR($A43)-YEAR('Recurring Schedule'!$F$10))*12+MONTH($A43)-MONTH('Recurring Schedule'!$F$10),'Recurring Schedule'!$O$10)=0),IF('Recurring Schedule'!$E$10="Weekdays",WEEKDAY($A43,2)&lt;=5,$A43='Recurring Schedule'!$F$10))),5,""))))</f>
        <v/>
      </c>
      <c r="G43">
        <f>IF('Recurring Schedule'!$C$11="","",IF('Recurring Schedule'!$F$11="","",IF(OR($A43&lt;'Recurring Schedule'!$F$11,$A43&gt;'Recurring Schedule'!$P$11),"",IF(IF('Recurring Schedule'!$N$11&gt;0,MOD($A43-'Recurring Schedule'!$F$11,'Recurring Schedule'!$N$11)=0,IF('Recurring Schedule'!$O$11&gt;0,AND(DAY($A43)=MIN(DAY('Recurring Schedule'!$F$11),DAY(EOMONTH($A43,0))),MOD((YEAR($A43)-YEAR('Recurring Schedule'!$F$11))*12+MONTH($A43)-MONTH('Recurring Schedule'!$F$11),'Recurring Schedule'!$O$11)=0),IF('Recurring Schedule'!$E$11="Weekdays",WEEKDAY($A43,2)&lt;=5,$A43='Recurring Schedule'!$F$11))),6,""))))</f>
        <v/>
      </c>
      <c r="H43">
        <f>IF('Recurring Schedule'!$C$12="","",IF('Recurring Schedule'!$F$12="","",IF(OR($A43&lt;'Recurring Schedule'!$F$12,$A43&gt;'Recurring Schedule'!$P$12),"",IF(IF('Recurring Schedule'!$N$12&gt;0,MOD($A43-'Recurring Schedule'!$F$12,'Recurring Schedule'!$N$12)=0,IF('Recurring Schedule'!$O$12&gt;0,AND(DAY($A43)=MIN(DAY('Recurring Schedule'!$F$12),DAY(EOMONTH($A43,0))),MOD((YEAR($A43)-YEAR('Recurring Schedule'!$F$12))*12+MONTH($A43)-MONTH('Recurring Schedule'!$F$12),'Recurring Schedule'!$O$12)=0),IF('Recurring Schedule'!$E$12="Weekdays",WEEKDAY($A43,2)&lt;=5,$A43='Recurring Schedule'!$F$12))),7,""))))</f>
        <v/>
      </c>
      <c r="I43">
        <f>IF('Recurring Schedule'!$C$13="","",IF('Recurring Schedule'!$F$13="","",IF(OR($A43&lt;'Recurring Schedule'!$F$13,$A43&gt;'Recurring Schedule'!$P$13),"",IF(IF('Recurring Schedule'!$N$13&gt;0,MOD($A43-'Recurring Schedule'!$F$13,'Recurring Schedule'!$N$13)=0,IF('Recurring Schedule'!$O$13&gt;0,AND(DAY($A43)=MIN(DAY('Recurring Schedule'!$F$13),DAY(EOMONTH($A43,0))),MOD((YEAR($A43)-YEAR('Recurring Schedule'!$F$13))*12+MONTH($A43)-MONTH('Recurring Schedule'!$F$13),'Recurring Schedule'!$O$13)=0),IF('Recurring Schedule'!$E$13="Weekdays",WEEKDAY($A43,2)&lt;=5,$A43='Recurring Schedule'!$F$13))),8,""))))</f>
        <v/>
      </c>
      <c r="J43">
        <f>IF('Recurring Schedule'!$C$14="","",IF('Recurring Schedule'!$F$14="","",IF(OR($A43&lt;'Recurring Schedule'!$F$14,$A43&gt;'Recurring Schedule'!$P$14),"",IF(IF('Recurring Schedule'!$N$14&gt;0,MOD($A43-'Recurring Schedule'!$F$14,'Recurring Schedule'!$N$14)=0,IF('Recurring Schedule'!$O$14&gt;0,AND(DAY($A43)=MIN(DAY('Recurring Schedule'!$F$14),DAY(EOMONTH($A43,0))),MOD((YEAR($A43)-YEAR('Recurring Schedule'!$F$14))*12+MONTH($A43)-MONTH('Recurring Schedule'!$F$14),'Recurring Schedule'!$O$14)=0),IF('Recurring Schedule'!$E$14="Weekdays",WEEKDAY($A43,2)&lt;=5,$A43='Recurring Schedule'!$F$14))),9,""))))</f>
        <v/>
      </c>
      <c r="K43">
        <f>IF('Recurring Schedule'!$C$15="","",IF('Recurring Schedule'!$F$15="","",IF(OR($A43&lt;'Recurring Schedule'!$F$15,$A43&gt;'Recurring Schedule'!$P$15),"",IF(IF('Recurring Schedule'!$N$15&gt;0,MOD($A43-'Recurring Schedule'!$F$15,'Recurring Schedule'!$N$15)=0,IF('Recurring Schedule'!$O$15&gt;0,AND(DAY($A43)=MIN(DAY('Recurring Schedule'!$F$15),DAY(EOMONTH($A43,0))),MOD((YEAR($A43)-YEAR('Recurring Schedule'!$F$15))*12+MONTH($A43)-MONTH('Recurring Schedule'!$F$15),'Recurring Schedule'!$O$15)=0),IF('Recurring Schedule'!$E$15="Weekdays",WEEKDAY($A43,2)&lt;=5,$A43='Recurring Schedule'!$F$15))),10,""))))</f>
        <v/>
      </c>
      <c r="L43">
        <f>IF('Recurring Schedule'!$C$16="","",IF('Recurring Schedule'!$F$16="","",IF(OR($A43&lt;'Recurring Schedule'!$F$16,$A43&gt;'Recurring Schedule'!$P$16),"",IF(IF('Recurring Schedule'!$N$16&gt;0,MOD($A43-'Recurring Schedule'!$F$16,'Recurring Schedule'!$N$16)=0,IF('Recurring Schedule'!$O$16&gt;0,AND(DAY($A43)=MIN(DAY('Recurring Schedule'!$F$16),DAY(EOMONTH($A43,0))),MOD((YEAR($A43)-YEAR('Recurring Schedule'!$F$16))*12+MONTH($A43)-MONTH('Recurring Schedule'!$F$16),'Recurring Schedule'!$O$16)=0),IF('Recurring Schedule'!$E$16="Weekdays",WEEKDAY($A43,2)&lt;=5,$A43='Recurring Schedule'!$F$16))),11,""))))</f>
        <v/>
      </c>
      <c r="M43">
        <f>IF('Recurring Schedule'!$C$17="","",IF('Recurring Schedule'!$F$17="","",IF(OR($A43&lt;'Recurring Schedule'!$F$17,$A43&gt;'Recurring Schedule'!$P$17),"",IF(IF('Recurring Schedule'!$N$17&gt;0,MOD($A43-'Recurring Schedule'!$F$17,'Recurring Schedule'!$N$17)=0,IF('Recurring Schedule'!$O$17&gt;0,AND(DAY($A43)=MIN(DAY('Recurring Schedule'!$F$17),DAY(EOMONTH($A43,0))),MOD((YEAR($A43)-YEAR('Recurring Schedule'!$F$17))*12+MONTH($A43)-MONTH('Recurring Schedule'!$F$17),'Recurring Schedule'!$O$17)=0),IF('Recurring Schedule'!$E$17="Weekdays",WEEKDAY($A43,2)&lt;=5,$A43='Recurring Schedule'!$F$17))),12,""))))</f>
        <v/>
      </c>
      <c r="N43">
        <f>IF('Recurring Schedule'!$C$18="","",IF('Recurring Schedule'!$F$18="","",IF(OR($A43&lt;'Recurring Schedule'!$F$18,$A43&gt;'Recurring Schedule'!$P$18),"",IF(IF('Recurring Schedule'!$N$18&gt;0,MOD($A43-'Recurring Schedule'!$F$18,'Recurring Schedule'!$N$18)=0,IF('Recurring Schedule'!$O$18&gt;0,AND(DAY($A43)=MIN(DAY('Recurring Schedule'!$F$18),DAY(EOMONTH($A43,0))),MOD((YEAR($A43)-YEAR('Recurring Schedule'!$F$18))*12+MONTH($A43)-MONTH('Recurring Schedule'!$F$18),'Recurring Schedule'!$O$18)=0),IF('Recurring Schedule'!$E$18="Weekdays",WEEKDAY($A43,2)&lt;=5,$A43='Recurring Schedule'!$F$18))),13,""))))</f>
        <v/>
      </c>
      <c r="O43">
        <f>IF('Recurring Schedule'!$C$19="","",IF('Recurring Schedule'!$F$19="","",IF(OR($A43&lt;'Recurring Schedule'!$F$19,$A43&gt;'Recurring Schedule'!$P$19),"",IF(IF('Recurring Schedule'!$N$19&gt;0,MOD($A43-'Recurring Schedule'!$F$19,'Recurring Schedule'!$N$19)=0,IF('Recurring Schedule'!$O$19&gt;0,AND(DAY($A43)=MIN(DAY('Recurring Schedule'!$F$19),DAY(EOMONTH($A43,0))),MOD((YEAR($A43)-YEAR('Recurring Schedule'!$F$19))*12+MONTH($A43)-MONTH('Recurring Schedule'!$F$19),'Recurring Schedule'!$O$19)=0),IF('Recurring Schedule'!$E$19="Weekdays",WEEKDAY($A43,2)&lt;=5,$A43='Recurring Schedule'!$F$19))),14,""))))</f>
        <v/>
      </c>
      <c r="P43">
        <f>IF('Recurring Schedule'!$C$20="","",IF('Recurring Schedule'!$F$20="","",IF(OR($A43&lt;'Recurring Schedule'!$F$20,$A43&gt;'Recurring Schedule'!$P$20),"",IF(IF('Recurring Schedule'!$N$20&gt;0,MOD($A43-'Recurring Schedule'!$F$20,'Recurring Schedule'!$N$20)=0,IF('Recurring Schedule'!$O$20&gt;0,AND(DAY($A43)=MIN(DAY('Recurring Schedule'!$F$20),DAY(EOMONTH($A43,0))),MOD((YEAR($A43)-YEAR('Recurring Schedule'!$F$20))*12+MONTH($A43)-MONTH('Recurring Schedule'!$F$20),'Recurring Schedule'!$O$20)=0),IF('Recurring Schedule'!$E$20="Weekdays",WEEKDAY($A43,2)&lt;=5,$A43='Recurring Schedule'!$F$20))),15,""))))</f>
        <v/>
      </c>
      <c r="Q43">
        <f>IF('Recurring Schedule'!$C$21="","",IF('Recurring Schedule'!$F$21="","",IF(OR($A43&lt;'Recurring Schedule'!$F$21,$A43&gt;'Recurring Schedule'!$P$21),"",IF(IF('Recurring Schedule'!$N$21&gt;0,MOD($A43-'Recurring Schedule'!$F$21,'Recurring Schedule'!$N$21)=0,IF('Recurring Schedule'!$O$21&gt;0,AND(DAY($A43)=MIN(DAY('Recurring Schedule'!$F$21),DAY(EOMONTH($A43,0))),MOD((YEAR($A43)-YEAR('Recurring Schedule'!$F$21))*12+MONTH($A43)-MONTH('Recurring Schedule'!$F$21),'Recurring Schedule'!$O$21)=0),IF('Recurring Schedule'!$E$21="Weekdays",WEEKDAY($A43,2)&lt;=5,$A43='Recurring Schedule'!$F$21))),16,""))))</f>
        <v/>
      </c>
      <c r="R43">
        <f>IF('Recurring Schedule'!$C$22="","",IF('Recurring Schedule'!$F$22="","",IF(OR($A43&lt;'Recurring Schedule'!$F$22,$A43&gt;'Recurring Schedule'!$P$22),"",IF(IF('Recurring Schedule'!$N$22&gt;0,MOD($A43-'Recurring Schedule'!$F$22,'Recurring Schedule'!$N$22)=0,IF('Recurring Schedule'!$O$22&gt;0,AND(DAY($A43)=MIN(DAY('Recurring Schedule'!$F$22),DAY(EOMONTH($A43,0))),MOD((YEAR($A43)-YEAR('Recurring Schedule'!$F$22))*12+MONTH($A43)-MONTH('Recurring Schedule'!$F$22),'Recurring Schedule'!$O$22)=0),IF('Recurring Schedule'!$E$22="Weekdays",WEEKDAY($A43,2)&lt;=5,$A43='Recurring Schedule'!$F$22))),17,""))))</f>
        <v/>
      </c>
      <c r="S43">
        <f>IF('Recurring Schedule'!$C$23="","",IF('Recurring Schedule'!$F$23="","",IF(OR($A43&lt;'Recurring Schedule'!$F$23,$A43&gt;'Recurring Schedule'!$P$23),"",IF(IF('Recurring Schedule'!$N$23&gt;0,MOD($A43-'Recurring Schedule'!$F$23,'Recurring Schedule'!$N$23)=0,IF('Recurring Schedule'!$O$23&gt;0,AND(DAY($A43)=MIN(DAY('Recurring Schedule'!$F$23),DAY(EOMONTH($A43,0))),MOD((YEAR($A43)-YEAR('Recurring Schedule'!$F$23))*12+MONTH($A43)-MONTH('Recurring Schedule'!$F$23),'Recurring Schedule'!$O$23)=0),IF('Recurring Schedule'!$E$23="Weekdays",WEEKDAY($A43,2)&lt;=5,$A43='Recurring Schedule'!$F$23))),18,""))))</f>
        <v/>
      </c>
      <c r="T43">
        <f>IF('Recurring Schedule'!$C$24="","",IF('Recurring Schedule'!$F$24="","",IF(OR($A43&lt;'Recurring Schedule'!$F$24,$A43&gt;'Recurring Schedule'!$P$24),"",IF(IF('Recurring Schedule'!$N$24&gt;0,MOD($A43-'Recurring Schedule'!$F$24,'Recurring Schedule'!$N$24)=0,IF('Recurring Schedule'!$O$24&gt;0,AND(DAY($A43)=MIN(DAY('Recurring Schedule'!$F$24),DAY(EOMONTH($A43,0))),MOD((YEAR($A43)-YEAR('Recurring Schedule'!$F$24))*12+MONTH($A43)-MONTH('Recurring Schedule'!$F$24),'Recurring Schedule'!$O$24)=0),IF('Recurring Schedule'!$E$24="Weekdays",WEEKDAY($A43,2)&lt;=5,$A43='Recurring Schedule'!$F$24))),19,""))))</f>
        <v/>
      </c>
      <c r="U43">
        <f>IF('Recurring Schedule'!$C$25="","",IF('Recurring Schedule'!$F$25="","",IF(OR($A43&lt;'Recurring Schedule'!$F$25,$A43&gt;'Recurring Schedule'!$P$25),"",IF(IF('Recurring Schedule'!$N$25&gt;0,MOD($A43-'Recurring Schedule'!$F$25,'Recurring Schedule'!$N$25)=0,IF('Recurring Schedule'!$O$25&gt;0,AND(DAY($A43)=MIN(DAY('Recurring Schedule'!$F$25),DAY(EOMONTH($A43,0))),MOD((YEAR($A43)-YEAR('Recurring Schedule'!$F$25))*12+MONTH($A43)-MONTH('Recurring Schedule'!$F$25),'Recurring Schedule'!$O$25)=0),IF('Recurring Schedule'!$E$25="Weekdays",WEEKDAY($A43,2)&lt;=5,$A43='Recurring Schedule'!$F$25))),20,""))))</f>
        <v/>
      </c>
      <c r="V43">
        <f>IF('Recurring Schedule'!$C$26="","",IF('Recurring Schedule'!$F$26="","",IF(OR($A43&lt;'Recurring Schedule'!$F$26,$A43&gt;'Recurring Schedule'!$P$26),"",IF(IF('Recurring Schedule'!$N$26&gt;0,MOD($A43-'Recurring Schedule'!$F$26,'Recurring Schedule'!$N$26)=0,IF('Recurring Schedule'!$O$26&gt;0,AND(DAY($A43)=MIN(DAY('Recurring Schedule'!$F$26),DAY(EOMONTH($A43,0))),MOD((YEAR($A43)-YEAR('Recurring Schedule'!$F$26))*12+MONTH($A43)-MONTH('Recurring Schedule'!$F$26),'Recurring Schedule'!$O$26)=0),IF('Recurring Schedule'!$E$26="Weekdays",WEEKDAY($A43,2)&lt;=5,$A43='Recurring Schedule'!$F$26))),21,""))))</f>
        <v/>
      </c>
      <c r="W43">
        <f>IF('Recurring Schedule'!$C$27="","",IF('Recurring Schedule'!$F$27="","",IF(OR($A43&lt;'Recurring Schedule'!$F$27,$A43&gt;'Recurring Schedule'!$P$27),"",IF(IF('Recurring Schedule'!$N$27&gt;0,MOD($A43-'Recurring Schedule'!$F$27,'Recurring Schedule'!$N$27)=0,IF('Recurring Schedule'!$O$27&gt;0,AND(DAY($A43)=MIN(DAY('Recurring Schedule'!$F$27),DAY(EOMONTH($A43,0))),MOD((YEAR($A43)-YEAR('Recurring Schedule'!$F$27))*12+MONTH($A43)-MONTH('Recurring Schedule'!$F$27),'Recurring Schedule'!$O$27)=0),IF('Recurring Schedule'!$E$27="Weekdays",WEEKDAY($A43,2)&lt;=5,$A43='Recurring Schedule'!$F$27))),22,""))))</f>
        <v/>
      </c>
      <c r="X43">
        <f>IF('Recurring Schedule'!$C$28="","",IF('Recurring Schedule'!$F$28="","",IF(OR($A43&lt;'Recurring Schedule'!$F$28,$A43&gt;'Recurring Schedule'!$P$28),"",IF(IF('Recurring Schedule'!$N$28&gt;0,MOD($A43-'Recurring Schedule'!$F$28,'Recurring Schedule'!$N$28)=0,IF('Recurring Schedule'!$O$28&gt;0,AND(DAY($A43)=MIN(DAY('Recurring Schedule'!$F$28),DAY(EOMONTH($A43,0))),MOD((YEAR($A43)-YEAR('Recurring Schedule'!$F$28))*12+MONTH($A43)-MONTH('Recurring Schedule'!$F$28),'Recurring Schedule'!$O$28)=0),IF('Recurring Schedule'!$E$28="Weekdays",WEEKDAY($A43,2)&lt;=5,$A43='Recurring Schedule'!$F$28))),23,""))))</f>
        <v/>
      </c>
      <c r="Y43">
        <f>IF('Recurring Schedule'!$C$29="","",IF('Recurring Schedule'!$F$29="","",IF(OR($A43&lt;'Recurring Schedule'!$F$29,$A43&gt;'Recurring Schedule'!$P$29),"",IF(IF('Recurring Schedule'!$N$29&gt;0,MOD($A43-'Recurring Schedule'!$F$29,'Recurring Schedule'!$N$29)=0,IF('Recurring Schedule'!$O$29&gt;0,AND(DAY($A43)=MIN(DAY('Recurring Schedule'!$F$29),DAY(EOMONTH($A43,0))),MOD((YEAR($A43)-YEAR('Recurring Schedule'!$F$29))*12+MONTH($A43)-MONTH('Recurring Schedule'!$F$29),'Recurring Schedule'!$O$29)=0),IF('Recurring Schedule'!$E$29="Weekdays",WEEKDAY($A43,2)&lt;=5,$A43='Recurring Schedule'!$F$29))),24,""))))</f>
        <v/>
      </c>
      <c r="Z43">
        <f>IF('Recurring Schedule'!$C$30="","",IF('Recurring Schedule'!$F$30="","",IF(OR($A43&lt;'Recurring Schedule'!$F$30,$A43&gt;'Recurring Schedule'!$P$30),"",IF(IF('Recurring Schedule'!$N$30&gt;0,MOD($A43-'Recurring Schedule'!$F$30,'Recurring Schedule'!$N$30)=0,IF('Recurring Schedule'!$O$30&gt;0,AND(DAY($A43)=MIN(DAY('Recurring Schedule'!$F$30),DAY(EOMONTH($A43,0))),MOD((YEAR($A43)-YEAR('Recurring Schedule'!$F$30))*12+MONTH($A43)-MONTH('Recurring Schedule'!$F$30),'Recurring Schedule'!$O$30)=0),IF('Recurring Schedule'!$E$30="Weekdays",WEEKDAY($A43,2)&lt;=5,$A43='Recurring Schedule'!$F$30))),25,""))))</f>
        <v/>
      </c>
      <c r="AA43">
        <f>IF('Recurring Schedule'!$C$31="","",IF('Recurring Schedule'!$F$31="","",IF(OR($A43&lt;'Recurring Schedule'!$F$31,$A43&gt;'Recurring Schedule'!$P$31),"",IF(IF('Recurring Schedule'!$N$31&gt;0,MOD($A43-'Recurring Schedule'!$F$31,'Recurring Schedule'!$N$31)=0,IF('Recurring Schedule'!$O$31&gt;0,AND(DAY($A43)=MIN(DAY('Recurring Schedule'!$F$31),DAY(EOMONTH($A43,0))),MOD((YEAR($A43)-YEAR('Recurring Schedule'!$F$31))*12+MONTH($A43)-MONTH('Recurring Schedule'!$F$31),'Recurring Schedule'!$O$31)=0),IF('Recurring Schedule'!$E$31="Weekdays",WEEKDAY($A43,2)&lt;=5,$A43='Recurring Schedule'!$F$31))),26,""))))</f>
        <v/>
      </c>
      <c r="AB43">
        <f>IF('Recurring Schedule'!$C$32="","",IF('Recurring Schedule'!$F$32="","",IF(OR($A43&lt;'Recurring Schedule'!$F$32,$A43&gt;'Recurring Schedule'!$P$32),"",IF(IF('Recurring Schedule'!$N$32&gt;0,MOD($A43-'Recurring Schedule'!$F$32,'Recurring Schedule'!$N$32)=0,IF('Recurring Schedule'!$O$32&gt;0,AND(DAY($A43)=MIN(DAY('Recurring Schedule'!$F$32),DAY(EOMONTH($A43,0))),MOD((YEAR($A43)-YEAR('Recurring Schedule'!$F$32))*12+MONTH($A43)-MONTH('Recurring Schedule'!$F$32),'Recurring Schedule'!$O$32)=0),IF('Recurring Schedule'!$E$32="Weekdays",WEEKDAY($A43,2)&lt;=5,$A43='Recurring Schedule'!$F$32))),27,""))))</f>
        <v/>
      </c>
      <c r="AC43">
        <f>IF('Recurring Schedule'!$C$33="","",IF('Recurring Schedule'!$F$33="","",IF(OR($A43&lt;'Recurring Schedule'!$F$33,$A43&gt;'Recurring Schedule'!$P$33),"",IF(IF('Recurring Schedule'!$N$33&gt;0,MOD($A43-'Recurring Schedule'!$F$33,'Recurring Schedule'!$N$33)=0,IF('Recurring Schedule'!$O$33&gt;0,AND(DAY($A43)=MIN(DAY('Recurring Schedule'!$F$33),DAY(EOMONTH($A43,0))),MOD((YEAR($A43)-YEAR('Recurring Schedule'!$F$33))*12+MONTH($A43)-MONTH('Recurring Schedule'!$F$33),'Recurring Schedule'!$O$33)=0),IF('Recurring Schedule'!$E$33="Weekdays",WEEKDAY($A43,2)&lt;=5,$A43='Recurring Schedule'!$F$33))),28,""))))</f>
        <v/>
      </c>
      <c r="AD43">
        <f>IF('Recurring Schedule'!$C$34="","",IF('Recurring Schedule'!$F$34="","",IF(OR($A43&lt;'Recurring Schedule'!$F$34,$A43&gt;'Recurring Schedule'!$P$34),"",IF(IF('Recurring Schedule'!$N$34&gt;0,MOD($A43-'Recurring Schedule'!$F$34,'Recurring Schedule'!$N$34)=0,IF('Recurring Schedule'!$O$34&gt;0,AND(DAY($A43)=MIN(DAY('Recurring Schedule'!$F$34),DAY(EOMONTH($A43,0))),MOD((YEAR($A43)-YEAR('Recurring Schedule'!$F$34))*12+MONTH($A43)-MONTH('Recurring Schedule'!$F$34),'Recurring Schedule'!$O$34)=0),IF('Recurring Schedule'!$E$34="Weekdays",WEEKDAY($A43,2)&lt;=5,$A43='Recurring Schedule'!$F$34))),29,""))))</f>
        <v/>
      </c>
      <c r="AE43">
        <f>IF('Recurring Schedule'!$C$35="","",IF('Recurring Schedule'!$F$35="","",IF(OR($A43&lt;'Recurring Schedule'!$F$35,$A43&gt;'Recurring Schedule'!$P$35),"",IF(IF('Recurring Schedule'!$N$35&gt;0,MOD($A43-'Recurring Schedule'!$F$35,'Recurring Schedule'!$N$35)=0,IF('Recurring Schedule'!$O$35&gt;0,AND(DAY($A43)=MIN(DAY('Recurring Schedule'!$F$35),DAY(EOMONTH($A43,0))),MOD((YEAR($A43)-YEAR('Recurring Schedule'!$F$35))*12+MONTH($A43)-MONTH('Recurring Schedule'!$F$35),'Recurring Schedule'!$O$35)=0),IF('Recurring Schedule'!$E$35="Weekdays",WEEKDAY($A43,2)&lt;=5,$A43='Recurring Schedule'!$F$35))),30,""))))</f>
        <v/>
      </c>
      <c r="AF43">
        <f>IF('Recurring Schedule'!$C$36="","",IF('Recurring Schedule'!$F$36="","",IF(OR($A43&lt;'Recurring Schedule'!$F$36,$A43&gt;'Recurring Schedule'!$P$36),"",IF(IF('Recurring Schedule'!$N$36&gt;0,MOD($A43-'Recurring Schedule'!$F$36,'Recurring Schedule'!$N$36)=0,IF('Recurring Schedule'!$O$36&gt;0,AND(DAY($A43)=MIN(DAY('Recurring Schedule'!$F$36),DAY(EOMONTH($A43,0))),MOD((YEAR($A43)-YEAR('Recurring Schedule'!$F$36))*12+MONTH($A43)-MONTH('Recurring Schedule'!$F$36),'Recurring Schedule'!$O$36)=0),IF('Recurring Schedule'!$E$36="Weekdays",WEEKDAY($A43,2)&lt;=5,$A43='Recurring Schedule'!$F$36))),31,""))))</f>
        <v/>
      </c>
      <c r="AG43">
        <f>IF('Recurring Schedule'!$C$37="","",IF('Recurring Schedule'!$F$37="","",IF(OR($A43&lt;'Recurring Schedule'!$F$37,$A43&gt;'Recurring Schedule'!$P$37),"",IF(IF('Recurring Schedule'!$N$37&gt;0,MOD($A43-'Recurring Schedule'!$F$37,'Recurring Schedule'!$N$37)=0,IF('Recurring Schedule'!$O$37&gt;0,AND(DAY($A43)=MIN(DAY('Recurring Schedule'!$F$37),DAY(EOMONTH($A43,0))),MOD((YEAR($A43)-YEAR('Recurring Schedule'!$F$37))*12+MONTH($A43)-MONTH('Recurring Schedule'!$F$37),'Recurring Schedule'!$O$37)=0),IF('Recurring Schedule'!$E$37="Weekdays",WEEKDAY($A43,2)&lt;=5,$A43='Recurring Schedule'!$F$37))),32,""))))</f>
        <v/>
      </c>
      <c r="AH43">
        <f>IF('Recurring Schedule'!$C$38="","",IF('Recurring Schedule'!$F$38="","",IF(OR($A43&lt;'Recurring Schedule'!$F$38,$A43&gt;'Recurring Schedule'!$P$38),"",IF(IF('Recurring Schedule'!$N$38&gt;0,MOD($A43-'Recurring Schedule'!$F$38,'Recurring Schedule'!$N$38)=0,IF('Recurring Schedule'!$O$38&gt;0,AND(DAY($A43)=MIN(DAY('Recurring Schedule'!$F$38),DAY(EOMONTH($A43,0))),MOD((YEAR($A43)-YEAR('Recurring Schedule'!$F$38))*12+MONTH($A43)-MONTH('Recurring Schedule'!$F$38),'Recurring Schedule'!$O$38)=0),IF('Recurring Schedule'!$E$38="Weekdays",WEEKDAY($A43,2)&lt;=5,$A43='Recurring Schedule'!$F$38))),33,""))))</f>
        <v/>
      </c>
      <c r="AI43">
        <f>IF('Recurring Schedule'!$C$39="","",IF('Recurring Schedule'!$F$39="","",IF(OR($A43&lt;'Recurring Schedule'!$F$39,$A43&gt;'Recurring Schedule'!$P$39),"",IF(IF('Recurring Schedule'!$N$39&gt;0,MOD($A43-'Recurring Schedule'!$F$39,'Recurring Schedule'!$N$39)=0,IF('Recurring Schedule'!$O$39&gt;0,AND(DAY($A43)=MIN(DAY('Recurring Schedule'!$F$39),DAY(EOMONTH($A43,0))),MOD((YEAR($A43)-YEAR('Recurring Schedule'!$F$39))*12+MONTH($A43)-MONTH('Recurring Schedule'!$F$39),'Recurring Schedule'!$O$39)=0),IF('Recurring Schedule'!$E$39="Weekdays",WEEKDAY($A43,2)&lt;=5,$A43='Recurring Schedule'!$F$39))),34,""))))</f>
        <v/>
      </c>
      <c r="AJ43">
        <f>IF('Recurring Schedule'!$C$40="","",IF('Recurring Schedule'!$F$40="","",IF(OR($A43&lt;'Recurring Schedule'!$F$40,$A43&gt;'Recurring Schedule'!$P$40),"",IF(IF('Recurring Schedule'!$N$40&gt;0,MOD($A43-'Recurring Schedule'!$F$40,'Recurring Schedule'!$N$40)=0,IF('Recurring Schedule'!$O$40&gt;0,AND(DAY($A43)=MIN(DAY('Recurring Schedule'!$F$40),DAY(EOMONTH($A43,0))),MOD((YEAR($A43)-YEAR('Recurring Schedule'!$F$40))*12+MONTH($A43)-MONTH('Recurring Schedule'!$F$40),'Recurring Schedule'!$O$40)=0),IF('Recurring Schedule'!$E$40="Weekdays",WEEKDAY($A43,2)&lt;=5,$A43='Recurring Schedule'!$F$40))),35,""))))</f>
        <v/>
      </c>
      <c r="AK43">
        <f>IF('Recurring Schedule'!$C$41="","",IF('Recurring Schedule'!$F$41="","",IF(OR($A43&lt;'Recurring Schedule'!$F$41,$A43&gt;'Recurring Schedule'!$P$41),"",IF(IF('Recurring Schedule'!$N$41&gt;0,MOD($A43-'Recurring Schedule'!$F$41,'Recurring Schedule'!$N$41)=0,IF('Recurring Schedule'!$O$41&gt;0,AND(DAY($A43)=MIN(DAY('Recurring Schedule'!$F$41),DAY(EOMONTH($A43,0))),MOD((YEAR($A43)-YEAR('Recurring Schedule'!$F$41))*12+MONTH($A43)-MONTH('Recurring Schedule'!$F$41),'Recurring Schedule'!$O$41)=0),IF('Recurring Schedule'!$E$41="Weekdays",WEEKDAY($A43,2)&lt;=5,$A43='Recurring Schedule'!$F$41))),36,""))))</f>
        <v/>
      </c>
      <c r="AL43">
        <f>IF('Recurring Schedule'!$C$42="","",IF('Recurring Schedule'!$F$42="","",IF(OR($A43&lt;'Recurring Schedule'!$F$42,$A43&gt;'Recurring Schedule'!$P$42),"",IF(IF('Recurring Schedule'!$N$42&gt;0,MOD($A43-'Recurring Schedule'!$F$42,'Recurring Schedule'!$N$42)=0,IF('Recurring Schedule'!$O$42&gt;0,AND(DAY($A43)=MIN(DAY('Recurring Schedule'!$F$42),DAY(EOMONTH($A43,0))),MOD((YEAR($A43)-YEAR('Recurring Schedule'!$F$42))*12+MONTH($A43)-MONTH('Recurring Schedule'!$F$42),'Recurring Schedule'!$O$42)=0),IF('Recurring Schedule'!$E$42="Weekdays",WEEKDAY($A43,2)&lt;=5,$A43='Recurring Schedule'!$F$42))),37,""))))</f>
        <v/>
      </c>
      <c r="AM43">
        <f>IF('Recurring Schedule'!$C$43="","",IF('Recurring Schedule'!$F$43="","",IF(OR($A43&lt;'Recurring Schedule'!$F$43,$A43&gt;'Recurring Schedule'!$P$43),"",IF(IF('Recurring Schedule'!$N$43&gt;0,MOD($A43-'Recurring Schedule'!$F$43,'Recurring Schedule'!$N$43)=0,IF('Recurring Schedule'!$O$43&gt;0,AND(DAY($A43)=MIN(DAY('Recurring Schedule'!$F$43),DAY(EOMONTH($A43,0))),MOD((YEAR($A43)-YEAR('Recurring Schedule'!$F$43))*12+MONTH($A43)-MONTH('Recurring Schedule'!$F$43),'Recurring Schedule'!$O$43)=0),IF('Recurring Schedule'!$E$43="Weekdays",WEEKDAY($A43,2)&lt;=5,$A43='Recurring Schedule'!$F$43))),38,""))))</f>
        <v/>
      </c>
      <c r="AN43">
        <f>IF('Recurring Schedule'!$C$44="","",IF('Recurring Schedule'!$F$44="","",IF(OR($A43&lt;'Recurring Schedule'!$F$44,$A43&gt;'Recurring Schedule'!$P$44),"",IF(IF('Recurring Schedule'!$N$44&gt;0,MOD($A43-'Recurring Schedule'!$F$44,'Recurring Schedule'!$N$44)=0,IF('Recurring Schedule'!$O$44&gt;0,AND(DAY($A43)=MIN(DAY('Recurring Schedule'!$F$44),DAY(EOMONTH($A43,0))),MOD((YEAR($A43)-YEAR('Recurring Schedule'!$F$44))*12+MONTH($A43)-MONTH('Recurring Schedule'!$F$44),'Recurring Schedule'!$O$44)=0),IF('Recurring Schedule'!$E$44="Weekdays",WEEKDAY($A43,2)&lt;=5,$A43='Recurring Schedule'!$F$44))),39,""))))</f>
        <v/>
      </c>
      <c r="AO43">
        <f>IF('Recurring Schedule'!$C$45="","",IF('Recurring Schedule'!$F$45="","",IF(OR($A43&lt;'Recurring Schedule'!$F$45,$A43&gt;'Recurring Schedule'!$P$45),"",IF(IF('Recurring Schedule'!$N$45&gt;0,MOD($A43-'Recurring Schedule'!$F$45,'Recurring Schedule'!$N$45)=0,IF('Recurring Schedule'!$O$45&gt;0,AND(DAY($A43)=MIN(DAY('Recurring Schedule'!$F$45),DAY(EOMONTH($A43,0))),MOD((YEAR($A43)-YEAR('Recurring Schedule'!$F$45))*12+MONTH($A43)-MONTH('Recurring Schedule'!$F$45),'Recurring Schedule'!$O$45)=0),IF('Recurring Schedule'!$E$45="Weekdays",WEEKDAY($A43,2)&lt;=5,$A43='Recurring Schedule'!$F$45))),40,""))))</f>
        <v/>
      </c>
      <c r="AP43">
        <f>COUNT(B43:AO43)</f>
        <v/>
      </c>
      <c r="AQ43">
        <f>AQ42+AP42</f>
        <v/>
      </c>
      <c r="AS43" t="inlineStr">
        <is>
          <t>R</t>
        </is>
      </c>
      <c r="AT43" t="n">
        <v>47</v>
      </c>
      <c r="AU43">
        <f>'Recurring Log'!C47&amp;""</f>
        <v/>
      </c>
      <c r="AV43">
        <f>'Recurring Log'!D47&amp;""</f>
        <v/>
      </c>
      <c r="AW43">
        <f>IF('Recurring Log'!E47="","",'Recurring Log'!E47)</f>
        <v/>
      </c>
      <c r="AX43">
        <f>IF('Recurring Log'!G47="","",'Recurring Log'!G47)</f>
        <v/>
      </c>
      <c r="AY43">
        <f>IF('Recurring Log'!H47="","",'Recurring Log'!H47)</f>
        <v/>
      </c>
      <c r="AZ43">
        <f>IF(AU43="","",IF('Recurring Log'!J47="","Not Started",'Recurring Log'!J47))</f>
        <v/>
      </c>
      <c r="BA43">
        <f>'Recurring Log'!L47&amp;""</f>
        <v/>
      </c>
      <c r="BB43">
        <f>'Recurring Log'!M47&amp;""</f>
        <v/>
      </c>
      <c r="BC43">
        <f>'Recurring Log'!N47&amp;""</f>
        <v/>
      </c>
      <c r="BD43">
        <f>'Recurring Log'!O47&amp;""</f>
        <v/>
      </c>
      <c r="BE43">
        <f>IF('Recurring Log'!K47="","",'Recurring Log'!K47)</f>
        <v/>
      </c>
      <c r="BF43">
        <f>IFERROR(MATCH(BA43,Setup!$L$6:$L$9,0),5)</f>
        <v/>
      </c>
      <c r="BG43">
        <f>IF(OR(AZ43="Done",AZ43="Cancelled"),1,0)</f>
        <v/>
      </c>
      <c r="BH43">
        <f>IF(AND(AU43&lt;&gt;"",ISNUMBER(AW43)),1,0)</f>
        <v/>
      </c>
      <c r="BI43">
        <f>IF(BH43=0,0,IF(AND(AW43&gt;='Tasks Filter'!$F$3,AW43&lt;='Tasks Filter'!$F$4,OR('Tasks Filter'!$I$3="",ISNUMBER(SEARCH('Tasks Filter'!$I$3,AU43))),OR('Tasks Filter'!$I$4="",BF43=IFERROR(MATCH('Tasks Filter'!$I$4,Setup!$L$6:$L$9,0),0)),OR('Tasks Filter'!$I$5="Both",AND('Tasks Filter'!$I$5="Yes",BB43="✓"),AND('Tasks Filter'!$I$5="No",BB43&lt;&gt;"✓")),OR('Tasks Filter'!$L$3="",AV43='Tasks Filter'!$L$3),OR('Tasks Filter'!$L$4="",AZ43='Tasks Filter'!$L$4),OR('Tasks Filter'!$L$5="",BC43='Tasks Filter'!$L$5),OR('Tasks Filter'!$O$3="",BD43='Tasks Filter'!$O$3),OR('Tasks Filter'!$O$4="Yes",BG43=0)),1,0))</f>
        <v/>
      </c>
      <c r="BJ43">
        <f>IF(BH43=0,"",IF('Tasks Filter'!$F$6="Descending",-1,1)*CHOOSE(MATCH('Tasks Filter'!$F$5,Lists!$G$2:$G$6,0),AW43,BF43,IFERROR(MATCH(AV43,Setup!$F$6:$F$15,0),99),IFERROR(MATCH(BC43,Setup!$H$6:$H$15,0),99),IFERROR(MATCH(AZ43,Setup!$J$6:$J$11,0),99))*1E+9+(AW43-40000)*10000+42)</f>
        <v/>
      </c>
      <c r="BK43">
        <f>IF(BI43=1,BJ43,"")</f>
        <v/>
      </c>
      <c r="BL43">
        <f>IF(AND(BH43=1,BG43=0,N(AW43)&lt;Setup!$D$7),(AW43-40000)*10000+42,"")</f>
        <v/>
      </c>
      <c r="BM43">
        <f>IF(AND(BH43=1,AZ43&lt;&gt;"Cancelled",N(AW43)&gt;=Dashboard!$AB$3,N(AW43)&lt;=Dashboard!$AB$3+6),(AW43-40000)*100000+BF43*10000+42,"")</f>
        <v/>
      </c>
      <c r="BN43">
        <f>IF(AND(BH43=1,AZ43&lt;&gt;"Cancelled"),BF43*10000+42,"")</f>
        <v/>
      </c>
    </row>
    <row r="44">
      <c r="A44">
        <f>Setup!$D$5+42</f>
        <v/>
      </c>
      <c r="B44">
        <f>IF('Recurring Schedule'!$C$6="","",IF('Recurring Schedule'!$F$6="","",IF(OR($A44&lt;'Recurring Schedule'!$F$6,$A44&gt;'Recurring Schedule'!$P$6),"",IF(IF('Recurring Schedule'!$N$6&gt;0,MOD($A44-'Recurring Schedule'!$F$6,'Recurring Schedule'!$N$6)=0,IF('Recurring Schedule'!$O$6&gt;0,AND(DAY($A44)=MIN(DAY('Recurring Schedule'!$F$6),DAY(EOMONTH($A44,0))),MOD((YEAR($A44)-YEAR('Recurring Schedule'!$F$6))*12+MONTH($A44)-MONTH('Recurring Schedule'!$F$6),'Recurring Schedule'!$O$6)=0),IF('Recurring Schedule'!$E$6="Weekdays",WEEKDAY($A44,2)&lt;=5,$A44='Recurring Schedule'!$F$6))),1,""))))</f>
        <v/>
      </c>
      <c r="C44">
        <f>IF('Recurring Schedule'!$C$7="","",IF('Recurring Schedule'!$F$7="","",IF(OR($A44&lt;'Recurring Schedule'!$F$7,$A44&gt;'Recurring Schedule'!$P$7),"",IF(IF('Recurring Schedule'!$N$7&gt;0,MOD($A44-'Recurring Schedule'!$F$7,'Recurring Schedule'!$N$7)=0,IF('Recurring Schedule'!$O$7&gt;0,AND(DAY($A44)=MIN(DAY('Recurring Schedule'!$F$7),DAY(EOMONTH($A44,0))),MOD((YEAR($A44)-YEAR('Recurring Schedule'!$F$7))*12+MONTH($A44)-MONTH('Recurring Schedule'!$F$7),'Recurring Schedule'!$O$7)=0),IF('Recurring Schedule'!$E$7="Weekdays",WEEKDAY($A44,2)&lt;=5,$A44='Recurring Schedule'!$F$7))),2,""))))</f>
        <v/>
      </c>
      <c r="D44">
        <f>IF('Recurring Schedule'!$C$8="","",IF('Recurring Schedule'!$F$8="","",IF(OR($A44&lt;'Recurring Schedule'!$F$8,$A44&gt;'Recurring Schedule'!$P$8),"",IF(IF('Recurring Schedule'!$N$8&gt;0,MOD($A44-'Recurring Schedule'!$F$8,'Recurring Schedule'!$N$8)=0,IF('Recurring Schedule'!$O$8&gt;0,AND(DAY($A44)=MIN(DAY('Recurring Schedule'!$F$8),DAY(EOMONTH($A44,0))),MOD((YEAR($A44)-YEAR('Recurring Schedule'!$F$8))*12+MONTH($A44)-MONTH('Recurring Schedule'!$F$8),'Recurring Schedule'!$O$8)=0),IF('Recurring Schedule'!$E$8="Weekdays",WEEKDAY($A44,2)&lt;=5,$A44='Recurring Schedule'!$F$8))),3,""))))</f>
        <v/>
      </c>
      <c r="E44">
        <f>IF('Recurring Schedule'!$C$9="","",IF('Recurring Schedule'!$F$9="","",IF(OR($A44&lt;'Recurring Schedule'!$F$9,$A44&gt;'Recurring Schedule'!$P$9),"",IF(IF('Recurring Schedule'!$N$9&gt;0,MOD($A44-'Recurring Schedule'!$F$9,'Recurring Schedule'!$N$9)=0,IF('Recurring Schedule'!$O$9&gt;0,AND(DAY($A44)=MIN(DAY('Recurring Schedule'!$F$9),DAY(EOMONTH($A44,0))),MOD((YEAR($A44)-YEAR('Recurring Schedule'!$F$9))*12+MONTH($A44)-MONTH('Recurring Schedule'!$F$9),'Recurring Schedule'!$O$9)=0),IF('Recurring Schedule'!$E$9="Weekdays",WEEKDAY($A44,2)&lt;=5,$A44='Recurring Schedule'!$F$9))),4,""))))</f>
        <v/>
      </c>
      <c r="F44">
        <f>IF('Recurring Schedule'!$C$10="","",IF('Recurring Schedule'!$F$10="","",IF(OR($A44&lt;'Recurring Schedule'!$F$10,$A44&gt;'Recurring Schedule'!$P$10),"",IF(IF('Recurring Schedule'!$N$10&gt;0,MOD($A44-'Recurring Schedule'!$F$10,'Recurring Schedule'!$N$10)=0,IF('Recurring Schedule'!$O$10&gt;0,AND(DAY($A44)=MIN(DAY('Recurring Schedule'!$F$10),DAY(EOMONTH($A44,0))),MOD((YEAR($A44)-YEAR('Recurring Schedule'!$F$10))*12+MONTH($A44)-MONTH('Recurring Schedule'!$F$10),'Recurring Schedule'!$O$10)=0),IF('Recurring Schedule'!$E$10="Weekdays",WEEKDAY($A44,2)&lt;=5,$A44='Recurring Schedule'!$F$10))),5,""))))</f>
        <v/>
      </c>
      <c r="G44">
        <f>IF('Recurring Schedule'!$C$11="","",IF('Recurring Schedule'!$F$11="","",IF(OR($A44&lt;'Recurring Schedule'!$F$11,$A44&gt;'Recurring Schedule'!$P$11),"",IF(IF('Recurring Schedule'!$N$11&gt;0,MOD($A44-'Recurring Schedule'!$F$11,'Recurring Schedule'!$N$11)=0,IF('Recurring Schedule'!$O$11&gt;0,AND(DAY($A44)=MIN(DAY('Recurring Schedule'!$F$11),DAY(EOMONTH($A44,0))),MOD((YEAR($A44)-YEAR('Recurring Schedule'!$F$11))*12+MONTH($A44)-MONTH('Recurring Schedule'!$F$11),'Recurring Schedule'!$O$11)=0),IF('Recurring Schedule'!$E$11="Weekdays",WEEKDAY($A44,2)&lt;=5,$A44='Recurring Schedule'!$F$11))),6,""))))</f>
        <v/>
      </c>
      <c r="H44">
        <f>IF('Recurring Schedule'!$C$12="","",IF('Recurring Schedule'!$F$12="","",IF(OR($A44&lt;'Recurring Schedule'!$F$12,$A44&gt;'Recurring Schedule'!$P$12),"",IF(IF('Recurring Schedule'!$N$12&gt;0,MOD($A44-'Recurring Schedule'!$F$12,'Recurring Schedule'!$N$12)=0,IF('Recurring Schedule'!$O$12&gt;0,AND(DAY($A44)=MIN(DAY('Recurring Schedule'!$F$12),DAY(EOMONTH($A44,0))),MOD((YEAR($A44)-YEAR('Recurring Schedule'!$F$12))*12+MONTH($A44)-MONTH('Recurring Schedule'!$F$12),'Recurring Schedule'!$O$12)=0),IF('Recurring Schedule'!$E$12="Weekdays",WEEKDAY($A44,2)&lt;=5,$A44='Recurring Schedule'!$F$12))),7,""))))</f>
        <v/>
      </c>
      <c r="I44">
        <f>IF('Recurring Schedule'!$C$13="","",IF('Recurring Schedule'!$F$13="","",IF(OR($A44&lt;'Recurring Schedule'!$F$13,$A44&gt;'Recurring Schedule'!$P$13),"",IF(IF('Recurring Schedule'!$N$13&gt;0,MOD($A44-'Recurring Schedule'!$F$13,'Recurring Schedule'!$N$13)=0,IF('Recurring Schedule'!$O$13&gt;0,AND(DAY($A44)=MIN(DAY('Recurring Schedule'!$F$13),DAY(EOMONTH($A44,0))),MOD((YEAR($A44)-YEAR('Recurring Schedule'!$F$13))*12+MONTH($A44)-MONTH('Recurring Schedule'!$F$13),'Recurring Schedule'!$O$13)=0),IF('Recurring Schedule'!$E$13="Weekdays",WEEKDAY($A44,2)&lt;=5,$A44='Recurring Schedule'!$F$13))),8,""))))</f>
        <v/>
      </c>
      <c r="J44">
        <f>IF('Recurring Schedule'!$C$14="","",IF('Recurring Schedule'!$F$14="","",IF(OR($A44&lt;'Recurring Schedule'!$F$14,$A44&gt;'Recurring Schedule'!$P$14),"",IF(IF('Recurring Schedule'!$N$14&gt;0,MOD($A44-'Recurring Schedule'!$F$14,'Recurring Schedule'!$N$14)=0,IF('Recurring Schedule'!$O$14&gt;0,AND(DAY($A44)=MIN(DAY('Recurring Schedule'!$F$14),DAY(EOMONTH($A44,0))),MOD((YEAR($A44)-YEAR('Recurring Schedule'!$F$14))*12+MONTH($A44)-MONTH('Recurring Schedule'!$F$14),'Recurring Schedule'!$O$14)=0),IF('Recurring Schedule'!$E$14="Weekdays",WEEKDAY($A44,2)&lt;=5,$A44='Recurring Schedule'!$F$14))),9,""))))</f>
        <v/>
      </c>
      <c r="K44">
        <f>IF('Recurring Schedule'!$C$15="","",IF('Recurring Schedule'!$F$15="","",IF(OR($A44&lt;'Recurring Schedule'!$F$15,$A44&gt;'Recurring Schedule'!$P$15),"",IF(IF('Recurring Schedule'!$N$15&gt;0,MOD($A44-'Recurring Schedule'!$F$15,'Recurring Schedule'!$N$15)=0,IF('Recurring Schedule'!$O$15&gt;0,AND(DAY($A44)=MIN(DAY('Recurring Schedule'!$F$15),DAY(EOMONTH($A44,0))),MOD((YEAR($A44)-YEAR('Recurring Schedule'!$F$15))*12+MONTH($A44)-MONTH('Recurring Schedule'!$F$15),'Recurring Schedule'!$O$15)=0),IF('Recurring Schedule'!$E$15="Weekdays",WEEKDAY($A44,2)&lt;=5,$A44='Recurring Schedule'!$F$15))),10,""))))</f>
        <v/>
      </c>
      <c r="L44">
        <f>IF('Recurring Schedule'!$C$16="","",IF('Recurring Schedule'!$F$16="","",IF(OR($A44&lt;'Recurring Schedule'!$F$16,$A44&gt;'Recurring Schedule'!$P$16),"",IF(IF('Recurring Schedule'!$N$16&gt;0,MOD($A44-'Recurring Schedule'!$F$16,'Recurring Schedule'!$N$16)=0,IF('Recurring Schedule'!$O$16&gt;0,AND(DAY($A44)=MIN(DAY('Recurring Schedule'!$F$16),DAY(EOMONTH($A44,0))),MOD((YEAR($A44)-YEAR('Recurring Schedule'!$F$16))*12+MONTH($A44)-MONTH('Recurring Schedule'!$F$16),'Recurring Schedule'!$O$16)=0),IF('Recurring Schedule'!$E$16="Weekdays",WEEKDAY($A44,2)&lt;=5,$A44='Recurring Schedule'!$F$16))),11,""))))</f>
        <v/>
      </c>
      <c r="M44">
        <f>IF('Recurring Schedule'!$C$17="","",IF('Recurring Schedule'!$F$17="","",IF(OR($A44&lt;'Recurring Schedule'!$F$17,$A44&gt;'Recurring Schedule'!$P$17),"",IF(IF('Recurring Schedule'!$N$17&gt;0,MOD($A44-'Recurring Schedule'!$F$17,'Recurring Schedule'!$N$17)=0,IF('Recurring Schedule'!$O$17&gt;0,AND(DAY($A44)=MIN(DAY('Recurring Schedule'!$F$17),DAY(EOMONTH($A44,0))),MOD((YEAR($A44)-YEAR('Recurring Schedule'!$F$17))*12+MONTH($A44)-MONTH('Recurring Schedule'!$F$17),'Recurring Schedule'!$O$17)=0),IF('Recurring Schedule'!$E$17="Weekdays",WEEKDAY($A44,2)&lt;=5,$A44='Recurring Schedule'!$F$17))),12,""))))</f>
        <v/>
      </c>
      <c r="N44">
        <f>IF('Recurring Schedule'!$C$18="","",IF('Recurring Schedule'!$F$18="","",IF(OR($A44&lt;'Recurring Schedule'!$F$18,$A44&gt;'Recurring Schedule'!$P$18),"",IF(IF('Recurring Schedule'!$N$18&gt;0,MOD($A44-'Recurring Schedule'!$F$18,'Recurring Schedule'!$N$18)=0,IF('Recurring Schedule'!$O$18&gt;0,AND(DAY($A44)=MIN(DAY('Recurring Schedule'!$F$18),DAY(EOMONTH($A44,0))),MOD((YEAR($A44)-YEAR('Recurring Schedule'!$F$18))*12+MONTH($A44)-MONTH('Recurring Schedule'!$F$18),'Recurring Schedule'!$O$18)=0),IF('Recurring Schedule'!$E$18="Weekdays",WEEKDAY($A44,2)&lt;=5,$A44='Recurring Schedule'!$F$18))),13,""))))</f>
        <v/>
      </c>
      <c r="O44">
        <f>IF('Recurring Schedule'!$C$19="","",IF('Recurring Schedule'!$F$19="","",IF(OR($A44&lt;'Recurring Schedule'!$F$19,$A44&gt;'Recurring Schedule'!$P$19),"",IF(IF('Recurring Schedule'!$N$19&gt;0,MOD($A44-'Recurring Schedule'!$F$19,'Recurring Schedule'!$N$19)=0,IF('Recurring Schedule'!$O$19&gt;0,AND(DAY($A44)=MIN(DAY('Recurring Schedule'!$F$19),DAY(EOMONTH($A44,0))),MOD((YEAR($A44)-YEAR('Recurring Schedule'!$F$19))*12+MONTH($A44)-MONTH('Recurring Schedule'!$F$19),'Recurring Schedule'!$O$19)=0),IF('Recurring Schedule'!$E$19="Weekdays",WEEKDAY($A44,2)&lt;=5,$A44='Recurring Schedule'!$F$19))),14,""))))</f>
        <v/>
      </c>
      <c r="P44">
        <f>IF('Recurring Schedule'!$C$20="","",IF('Recurring Schedule'!$F$20="","",IF(OR($A44&lt;'Recurring Schedule'!$F$20,$A44&gt;'Recurring Schedule'!$P$20),"",IF(IF('Recurring Schedule'!$N$20&gt;0,MOD($A44-'Recurring Schedule'!$F$20,'Recurring Schedule'!$N$20)=0,IF('Recurring Schedule'!$O$20&gt;0,AND(DAY($A44)=MIN(DAY('Recurring Schedule'!$F$20),DAY(EOMONTH($A44,0))),MOD((YEAR($A44)-YEAR('Recurring Schedule'!$F$20))*12+MONTH($A44)-MONTH('Recurring Schedule'!$F$20),'Recurring Schedule'!$O$20)=0),IF('Recurring Schedule'!$E$20="Weekdays",WEEKDAY($A44,2)&lt;=5,$A44='Recurring Schedule'!$F$20))),15,""))))</f>
        <v/>
      </c>
      <c r="Q44">
        <f>IF('Recurring Schedule'!$C$21="","",IF('Recurring Schedule'!$F$21="","",IF(OR($A44&lt;'Recurring Schedule'!$F$21,$A44&gt;'Recurring Schedule'!$P$21),"",IF(IF('Recurring Schedule'!$N$21&gt;0,MOD($A44-'Recurring Schedule'!$F$21,'Recurring Schedule'!$N$21)=0,IF('Recurring Schedule'!$O$21&gt;0,AND(DAY($A44)=MIN(DAY('Recurring Schedule'!$F$21),DAY(EOMONTH($A44,0))),MOD((YEAR($A44)-YEAR('Recurring Schedule'!$F$21))*12+MONTH($A44)-MONTH('Recurring Schedule'!$F$21),'Recurring Schedule'!$O$21)=0),IF('Recurring Schedule'!$E$21="Weekdays",WEEKDAY($A44,2)&lt;=5,$A44='Recurring Schedule'!$F$21))),16,""))))</f>
        <v/>
      </c>
      <c r="R44">
        <f>IF('Recurring Schedule'!$C$22="","",IF('Recurring Schedule'!$F$22="","",IF(OR($A44&lt;'Recurring Schedule'!$F$22,$A44&gt;'Recurring Schedule'!$P$22),"",IF(IF('Recurring Schedule'!$N$22&gt;0,MOD($A44-'Recurring Schedule'!$F$22,'Recurring Schedule'!$N$22)=0,IF('Recurring Schedule'!$O$22&gt;0,AND(DAY($A44)=MIN(DAY('Recurring Schedule'!$F$22),DAY(EOMONTH($A44,0))),MOD((YEAR($A44)-YEAR('Recurring Schedule'!$F$22))*12+MONTH($A44)-MONTH('Recurring Schedule'!$F$22),'Recurring Schedule'!$O$22)=0),IF('Recurring Schedule'!$E$22="Weekdays",WEEKDAY($A44,2)&lt;=5,$A44='Recurring Schedule'!$F$22))),17,""))))</f>
        <v/>
      </c>
      <c r="S44">
        <f>IF('Recurring Schedule'!$C$23="","",IF('Recurring Schedule'!$F$23="","",IF(OR($A44&lt;'Recurring Schedule'!$F$23,$A44&gt;'Recurring Schedule'!$P$23),"",IF(IF('Recurring Schedule'!$N$23&gt;0,MOD($A44-'Recurring Schedule'!$F$23,'Recurring Schedule'!$N$23)=0,IF('Recurring Schedule'!$O$23&gt;0,AND(DAY($A44)=MIN(DAY('Recurring Schedule'!$F$23),DAY(EOMONTH($A44,0))),MOD((YEAR($A44)-YEAR('Recurring Schedule'!$F$23))*12+MONTH($A44)-MONTH('Recurring Schedule'!$F$23),'Recurring Schedule'!$O$23)=0),IF('Recurring Schedule'!$E$23="Weekdays",WEEKDAY($A44,2)&lt;=5,$A44='Recurring Schedule'!$F$23))),18,""))))</f>
        <v/>
      </c>
      <c r="T44">
        <f>IF('Recurring Schedule'!$C$24="","",IF('Recurring Schedule'!$F$24="","",IF(OR($A44&lt;'Recurring Schedule'!$F$24,$A44&gt;'Recurring Schedule'!$P$24),"",IF(IF('Recurring Schedule'!$N$24&gt;0,MOD($A44-'Recurring Schedule'!$F$24,'Recurring Schedule'!$N$24)=0,IF('Recurring Schedule'!$O$24&gt;0,AND(DAY($A44)=MIN(DAY('Recurring Schedule'!$F$24),DAY(EOMONTH($A44,0))),MOD((YEAR($A44)-YEAR('Recurring Schedule'!$F$24))*12+MONTH($A44)-MONTH('Recurring Schedule'!$F$24),'Recurring Schedule'!$O$24)=0),IF('Recurring Schedule'!$E$24="Weekdays",WEEKDAY($A44,2)&lt;=5,$A44='Recurring Schedule'!$F$24))),19,""))))</f>
        <v/>
      </c>
      <c r="U44">
        <f>IF('Recurring Schedule'!$C$25="","",IF('Recurring Schedule'!$F$25="","",IF(OR($A44&lt;'Recurring Schedule'!$F$25,$A44&gt;'Recurring Schedule'!$P$25),"",IF(IF('Recurring Schedule'!$N$25&gt;0,MOD($A44-'Recurring Schedule'!$F$25,'Recurring Schedule'!$N$25)=0,IF('Recurring Schedule'!$O$25&gt;0,AND(DAY($A44)=MIN(DAY('Recurring Schedule'!$F$25),DAY(EOMONTH($A44,0))),MOD((YEAR($A44)-YEAR('Recurring Schedule'!$F$25))*12+MONTH($A44)-MONTH('Recurring Schedule'!$F$25),'Recurring Schedule'!$O$25)=0),IF('Recurring Schedule'!$E$25="Weekdays",WEEKDAY($A44,2)&lt;=5,$A44='Recurring Schedule'!$F$25))),20,""))))</f>
        <v/>
      </c>
      <c r="V44">
        <f>IF('Recurring Schedule'!$C$26="","",IF('Recurring Schedule'!$F$26="","",IF(OR($A44&lt;'Recurring Schedule'!$F$26,$A44&gt;'Recurring Schedule'!$P$26),"",IF(IF('Recurring Schedule'!$N$26&gt;0,MOD($A44-'Recurring Schedule'!$F$26,'Recurring Schedule'!$N$26)=0,IF('Recurring Schedule'!$O$26&gt;0,AND(DAY($A44)=MIN(DAY('Recurring Schedule'!$F$26),DAY(EOMONTH($A44,0))),MOD((YEAR($A44)-YEAR('Recurring Schedule'!$F$26))*12+MONTH($A44)-MONTH('Recurring Schedule'!$F$26),'Recurring Schedule'!$O$26)=0),IF('Recurring Schedule'!$E$26="Weekdays",WEEKDAY($A44,2)&lt;=5,$A44='Recurring Schedule'!$F$26))),21,""))))</f>
        <v/>
      </c>
      <c r="W44">
        <f>IF('Recurring Schedule'!$C$27="","",IF('Recurring Schedule'!$F$27="","",IF(OR($A44&lt;'Recurring Schedule'!$F$27,$A44&gt;'Recurring Schedule'!$P$27),"",IF(IF('Recurring Schedule'!$N$27&gt;0,MOD($A44-'Recurring Schedule'!$F$27,'Recurring Schedule'!$N$27)=0,IF('Recurring Schedule'!$O$27&gt;0,AND(DAY($A44)=MIN(DAY('Recurring Schedule'!$F$27),DAY(EOMONTH($A44,0))),MOD((YEAR($A44)-YEAR('Recurring Schedule'!$F$27))*12+MONTH($A44)-MONTH('Recurring Schedule'!$F$27),'Recurring Schedule'!$O$27)=0),IF('Recurring Schedule'!$E$27="Weekdays",WEEKDAY($A44,2)&lt;=5,$A44='Recurring Schedule'!$F$27))),22,""))))</f>
        <v/>
      </c>
      <c r="X44">
        <f>IF('Recurring Schedule'!$C$28="","",IF('Recurring Schedule'!$F$28="","",IF(OR($A44&lt;'Recurring Schedule'!$F$28,$A44&gt;'Recurring Schedule'!$P$28),"",IF(IF('Recurring Schedule'!$N$28&gt;0,MOD($A44-'Recurring Schedule'!$F$28,'Recurring Schedule'!$N$28)=0,IF('Recurring Schedule'!$O$28&gt;0,AND(DAY($A44)=MIN(DAY('Recurring Schedule'!$F$28),DAY(EOMONTH($A44,0))),MOD((YEAR($A44)-YEAR('Recurring Schedule'!$F$28))*12+MONTH($A44)-MONTH('Recurring Schedule'!$F$28),'Recurring Schedule'!$O$28)=0),IF('Recurring Schedule'!$E$28="Weekdays",WEEKDAY($A44,2)&lt;=5,$A44='Recurring Schedule'!$F$28))),23,""))))</f>
        <v/>
      </c>
      <c r="Y44">
        <f>IF('Recurring Schedule'!$C$29="","",IF('Recurring Schedule'!$F$29="","",IF(OR($A44&lt;'Recurring Schedule'!$F$29,$A44&gt;'Recurring Schedule'!$P$29),"",IF(IF('Recurring Schedule'!$N$29&gt;0,MOD($A44-'Recurring Schedule'!$F$29,'Recurring Schedule'!$N$29)=0,IF('Recurring Schedule'!$O$29&gt;0,AND(DAY($A44)=MIN(DAY('Recurring Schedule'!$F$29),DAY(EOMONTH($A44,0))),MOD((YEAR($A44)-YEAR('Recurring Schedule'!$F$29))*12+MONTH($A44)-MONTH('Recurring Schedule'!$F$29),'Recurring Schedule'!$O$29)=0),IF('Recurring Schedule'!$E$29="Weekdays",WEEKDAY($A44,2)&lt;=5,$A44='Recurring Schedule'!$F$29))),24,""))))</f>
        <v/>
      </c>
      <c r="Z44">
        <f>IF('Recurring Schedule'!$C$30="","",IF('Recurring Schedule'!$F$30="","",IF(OR($A44&lt;'Recurring Schedule'!$F$30,$A44&gt;'Recurring Schedule'!$P$30),"",IF(IF('Recurring Schedule'!$N$30&gt;0,MOD($A44-'Recurring Schedule'!$F$30,'Recurring Schedule'!$N$30)=0,IF('Recurring Schedule'!$O$30&gt;0,AND(DAY($A44)=MIN(DAY('Recurring Schedule'!$F$30),DAY(EOMONTH($A44,0))),MOD((YEAR($A44)-YEAR('Recurring Schedule'!$F$30))*12+MONTH($A44)-MONTH('Recurring Schedule'!$F$30),'Recurring Schedule'!$O$30)=0),IF('Recurring Schedule'!$E$30="Weekdays",WEEKDAY($A44,2)&lt;=5,$A44='Recurring Schedule'!$F$30))),25,""))))</f>
        <v/>
      </c>
      <c r="AA44">
        <f>IF('Recurring Schedule'!$C$31="","",IF('Recurring Schedule'!$F$31="","",IF(OR($A44&lt;'Recurring Schedule'!$F$31,$A44&gt;'Recurring Schedule'!$P$31),"",IF(IF('Recurring Schedule'!$N$31&gt;0,MOD($A44-'Recurring Schedule'!$F$31,'Recurring Schedule'!$N$31)=0,IF('Recurring Schedule'!$O$31&gt;0,AND(DAY($A44)=MIN(DAY('Recurring Schedule'!$F$31),DAY(EOMONTH($A44,0))),MOD((YEAR($A44)-YEAR('Recurring Schedule'!$F$31))*12+MONTH($A44)-MONTH('Recurring Schedule'!$F$31),'Recurring Schedule'!$O$31)=0),IF('Recurring Schedule'!$E$31="Weekdays",WEEKDAY($A44,2)&lt;=5,$A44='Recurring Schedule'!$F$31))),26,""))))</f>
        <v/>
      </c>
      <c r="AB44">
        <f>IF('Recurring Schedule'!$C$32="","",IF('Recurring Schedule'!$F$32="","",IF(OR($A44&lt;'Recurring Schedule'!$F$32,$A44&gt;'Recurring Schedule'!$P$32),"",IF(IF('Recurring Schedule'!$N$32&gt;0,MOD($A44-'Recurring Schedule'!$F$32,'Recurring Schedule'!$N$32)=0,IF('Recurring Schedule'!$O$32&gt;0,AND(DAY($A44)=MIN(DAY('Recurring Schedule'!$F$32),DAY(EOMONTH($A44,0))),MOD((YEAR($A44)-YEAR('Recurring Schedule'!$F$32))*12+MONTH($A44)-MONTH('Recurring Schedule'!$F$32),'Recurring Schedule'!$O$32)=0),IF('Recurring Schedule'!$E$32="Weekdays",WEEKDAY($A44,2)&lt;=5,$A44='Recurring Schedule'!$F$32))),27,""))))</f>
        <v/>
      </c>
      <c r="AC44">
        <f>IF('Recurring Schedule'!$C$33="","",IF('Recurring Schedule'!$F$33="","",IF(OR($A44&lt;'Recurring Schedule'!$F$33,$A44&gt;'Recurring Schedule'!$P$33),"",IF(IF('Recurring Schedule'!$N$33&gt;0,MOD($A44-'Recurring Schedule'!$F$33,'Recurring Schedule'!$N$33)=0,IF('Recurring Schedule'!$O$33&gt;0,AND(DAY($A44)=MIN(DAY('Recurring Schedule'!$F$33),DAY(EOMONTH($A44,0))),MOD((YEAR($A44)-YEAR('Recurring Schedule'!$F$33))*12+MONTH($A44)-MONTH('Recurring Schedule'!$F$33),'Recurring Schedule'!$O$33)=0),IF('Recurring Schedule'!$E$33="Weekdays",WEEKDAY($A44,2)&lt;=5,$A44='Recurring Schedule'!$F$33))),28,""))))</f>
        <v/>
      </c>
      <c r="AD44">
        <f>IF('Recurring Schedule'!$C$34="","",IF('Recurring Schedule'!$F$34="","",IF(OR($A44&lt;'Recurring Schedule'!$F$34,$A44&gt;'Recurring Schedule'!$P$34),"",IF(IF('Recurring Schedule'!$N$34&gt;0,MOD($A44-'Recurring Schedule'!$F$34,'Recurring Schedule'!$N$34)=0,IF('Recurring Schedule'!$O$34&gt;0,AND(DAY($A44)=MIN(DAY('Recurring Schedule'!$F$34),DAY(EOMONTH($A44,0))),MOD((YEAR($A44)-YEAR('Recurring Schedule'!$F$34))*12+MONTH($A44)-MONTH('Recurring Schedule'!$F$34),'Recurring Schedule'!$O$34)=0),IF('Recurring Schedule'!$E$34="Weekdays",WEEKDAY($A44,2)&lt;=5,$A44='Recurring Schedule'!$F$34))),29,""))))</f>
        <v/>
      </c>
      <c r="AE44">
        <f>IF('Recurring Schedule'!$C$35="","",IF('Recurring Schedule'!$F$35="","",IF(OR($A44&lt;'Recurring Schedule'!$F$35,$A44&gt;'Recurring Schedule'!$P$35),"",IF(IF('Recurring Schedule'!$N$35&gt;0,MOD($A44-'Recurring Schedule'!$F$35,'Recurring Schedule'!$N$35)=0,IF('Recurring Schedule'!$O$35&gt;0,AND(DAY($A44)=MIN(DAY('Recurring Schedule'!$F$35),DAY(EOMONTH($A44,0))),MOD((YEAR($A44)-YEAR('Recurring Schedule'!$F$35))*12+MONTH($A44)-MONTH('Recurring Schedule'!$F$35),'Recurring Schedule'!$O$35)=0),IF('Recurring Schedule'!$E$35="Weekdays",WEEKDAY($A44,2)&lt;=5,$A44='Recurring Schedule'!$F$35))),30,""))))</f>
        <v/>
      </c>
      <c r="AF44">
        <f>IF('Recurring Schedule'!$C$36="","",IF('Recurring Schedule'!$F$36="","",IF(OR($A44&lt;'Recurring Schedule'!$F$36,$A44&gt;'Recurring Schedule'!$P$36),"",IF(IF('Recurring Schedule'!$N$36&gt;0,MOD($A44-'Recurring Schedule'!$F$36,'Recurring Schedule'!$N$36)=0,IF('Recurring Schedule'!$O$36&gt;0,AND(DAY($A44)=MIN(DAY('Recurring Schedule'!$F$36),DAY(EOMONTH($A44,0))),MOD((YEAR($A44)-YEAR('Recurring Schedule'!$F$36))*12+MONTH($A44)-MONTH('Recurring Schedule'!$F$36),'Recurring Schedule'!$O$36)=0),IF('Recurring Schedule'!$E$36="Weekdays",WEEKDAY($A44,2)&lt;=5,$A44='Recurring Schedule'!$F$36))),31,""))))</f>
        <v/>
      </c>
      <c r="AG44">
        <f>IF('Recurring Schedule'!$C$37="","",IF('Recurring Schedule'!$F$37="","",IF(OR($A44&lt;'Recurring Schedule'!$F$37,$A44&gt;'Recurring Schedule'!$P$37),"",IF(IF('Recurring Schedule'!$N$37&gt;0,MOD($A44-'Recurring Schedule'!$F$37,'Recurring Schedule'!$N$37)=0,IF('Recurring Schedule'!$O$37&gt;0,AND(DAY($A44)=MIN(DAY('Recurring Schedule'!$F$37),DAY(EOMONTH($A44,0))),MOD((YEAR($A44)-YEAR('Recurring Schedule'!$F$37))*12+MONTH($A44)-MONTH('Recurring Schedule'!$F$37),'Recurring Schedule'!$O$37)=0),IF('Recurring Schedule'!$E$37="Weekdays",WEEKDAY($A44,2)&lt;=5,$A44='Recurring Schedule'!$F$37))),32,""))))</f>
        <v/>
      </c>
      <c r="AH44">
        <f>IF('Recurring Schedule'!$C$38="","",IF('Recurring Schedule'!$F$38="","",IF(OR($A44&lt;'Recurring Schedule'!$F$38,$A44&gt;'Recurring Schedule'!$P$38),"",IF(IF('Recurring Schedule'!$N$38&gt;0,MOD($A44-'Recurring Schedule'!$F$38,'Recurring Schedule'!$N$38)=0,IF('Recurring Schedule'!$O$38&gt;0,AND(DAY($A44)=MIN(DAY('Recurring Schedule'!$F$38),DAY(EOMONTH($A44,0))),MOD((YEAR($A44)-YEAR('Recurring Schedule'!$F$38))*12+MONTH($A44)-MONTH('Recurring Schedule'!$F$38),'Recurring Schedule'!$O$38)=0),IF('Recurring Schedule'!$E$38="Weekdays",WEEKDAY($A44,2)&lt;=5,$A44='Recurring Schedule'!$F$38))),33,""))))</f>
        <v/>
      </c>
      <c r="AI44">
        <f>IF('Recurring Schedule'!$C$39="","",IF('Recurring Schedule'!$F$39="","",IF(OR($A44&lt;'Recurring Schedule'!$F$39,$A44&gt;'Recurring Schedule'!$P$39),"",IF(IF('Recurring Schedule'!$N$39&gt;0,MOD($A44-'Recurring Schedule'!$F$39,'Recurring Schedule'!$N$39)=0,IF('Recurring Schedule'!$O$39&gt;0,AND(DAY($A44)=MIN(DAY('Recurring Schedule'!$F$39),DAY(EOMONTH($A44,0))),MOD((YEAR($A44)-YEAR('Recurring Schedule'!$F$39))*12+MONTH($A44)-MONTH('Recurring Schedule'!$F$39),'Recurring Schedule'!$O$39)=0),IF('Recurring Schedule'!$E$39="Weekdays",WEEKDAY($A44,2)&lt;=5,$A44='Recurring Schedule'!$F$39))),34,""))))</f>
        <v/>
      </c>
      <c r="AJ44">
        <f>IF('Recurring Schedule'!$C$40="","",IF('Recurring Schedule'!$F$40="","",IF(OR($A44&lt;'Recurring Schedule'!$F$40,$A44&gt;'Recurring Schedule'!$P$40),"",IF(IF('Recurring Schedule'!$N$40&gt;0,MOD($A44-'Recurring Schedule'!$F$40,'Recurring Schedule'!$N$40)=0,IF('Recurring Schedule'!$O$40&gt;0,AND(DAY($A44)=MIN(DAY('Recurring Schedule'!$F$40),DAY(EOMONTH($A44,0))),MOD((YEAR($A44)-YEAR('Recurring Schedule'!$F$40))*12+MONTH($A44)-MONTH('Recurring Schedule'!$F$40),'Recurring Schedule'!$O$40)=0),IF('Recurring Schedule'!$E$40="Weekdays",WEEKDAY($A44,2)&lt;=5,$A44='Recurring Schedule'!$F$40))),35,""))))</f>
        <v/>
      </c>
      <c r="AK44">
        <f>IF('Recurring Schedule'!$C$41="","",IF('Recurring Schedule'!$F$41="","",IF(OR($A44&lt;'Recurring Schedule'!$F$41,$A44&gt;'Recurring Schedule'!$P$41),"",IF(IF('Recurring Schedule'!$N$41&gt;0,MOD($A44-'Recurring Schedule'!$F$41,'Recurring Schedule'!$N$41)=0,IF('Recurring Schedule'!$O$41&gt;0,AND(DAY($A44)=MIN(DAY('Recurring Schedule'!$F$41),DAY(EOMONTH($A44,0))),MOD((YEAR($A44)-YEAR('Recurring Schedule'!$F$41))*12+MONTH($A44)-MONTH('Recurring Schedule'!$F$41),'Recurring Schedule'!$O$41)=0),IF('Recurring Schedule'!$E$41="Weekdays",WEEKDAY($A44,2)&lt;=5,$A44='Recurring Schedule'!$F$41))),36,""))))</f>
        <v/>
      </c>
      <c r="AL44">
        <f>IF('Recurring Schedule'!$C$42="","",IF('Recurring Schedule'!$F$42="","",IF(OR($A44&lt;'Recurring Schedule'!$F$42,$A44&gt;'Recurring Schedule'!$P$42),"",IF(IF('Recurring Schedule'!$N$42&gt;0,MOD($A44-'Recurring Schedule'!$F$42,'Recurring Schedule'!$N$42)=0,IF('Recurring Schedule'!$O$42&gt;0,AND(DAY($A44)=MIN(DAY('Recurring Schedule'!$F$42),DAY(EOMONTH($A44,0))),MOD((YEAR($A44)-YEAR('Recurring Schedule'!$F$42))*12+MONTH($A44)-MONTH('Recurring Schedule'!$F$42),'Recurring Schedule'!$O$42)=0),IF('Recurring Schedule'!$E$42="Weekdays",WEEKDAY($A44,2)&lt;=5,$A44='Recurring Schedule'!$F$42))),37,""))))</f>
        <v/>
      </c>
      <c r="AM44">
        <f>IF('Recurring Schedule'!$C$43="","",IF('Recurring Schedule'!$F$43="","",IF(OR($A44&lt;'Recurring Schedule'!$F$43,$A44&gt;'Recurring Schedule'!$P$43),"",IF(IF('Recurring Schedule'!$N$43&gt;0,MOD($A44-'Recurring Schedule'!$F$43,'Recurring Schedule'!$N$43)=0,IF('Recurring Schedule'!$O$43&gt;0,AND(DAY($A44)=MIN(DAY('Recurring Schedule'!$F$43),DAY(EOMONTH($A44,0))),MOD((YEAR($A44)-YEAR('Recurring Schedule'!$F$43))*12+MONTH($A44)-MONTH('Recurring Schedule'!$F$43),'Recurring Schedule'!$O$43)=0),IF('Recurring Schedule'!$E$43="Weekdays",WEEKDAY($A44,2)&lt;=5,$A44='Recurring Schedule'!$F$43))),38,""))))</f>
        <v/>
      </c>
      <c r="AN44">
        <f>IF('Recurring Schedule'!$C$44="","",IF('Recurring Schedule'!$F$44="","",IF(OR($A44&lt;'Recurring Schedule'!$F$44,$A44&gt;'Recurring Schedule'!$P$44),"",IF(IF('Recurring Schedule'!$N$44&gt;0,MOD($A44-'Recurring Schedule'!$F$44,'Recurring Schedule'!$N$44)=0,IF('Recurring Schedule'!$O$44&gt;0,AND(DAY($A44)=MIN(DAY('Recurring Schedule'!$F$44),DAY(EOMONTH($A44,0))),MOD((YEAR($A44)-YEAR('Recurring Schedule'!$F$44))*12+MONTH($A44)-MONTH('Recurring Schedule'!$F$44),'Recurring Schedule'!$O$44)=0),IF('Recurring Schedule'!$E$44="Weekdays",WEEKDAY($A44,2)&lt;=5,$A44='Recurring Schedule'!$F$44))),39,""))))</f>
        <v/>
      </c>
      <c r="AO44">
        <f>IF('Recurring Schedule'!$C$45="","",IF('Recurring Schedule'!$F$45="","",IF(OR($A44&lt;'Recurring Schedule'!$F$45,$A44&gt;'Recurring Schedule'!$P$45),"",IF(IF('Recurring Schedule'!$N$45&gt;0,MOD($A44-'Recurring Schedule'!$F$45,'Recurring Schedule'!$N$45)=0,IF('Recurring Schedule'!$O$45&gt;0,AND(DAY($A44)=MIN(DAY('Recurring Schedule'!$F$45),DAY(EOMONTH($A44,0))),MOD((YEAR($A44)-YEAR('Recurring Schedule'!$F$45))*12+MONTH($A44)-MONTH('Recurring Schedule'!$F$45),'Recurring Schedule'!$O$45)=0),IF('Recurring Schedule'!$E$45="Weekdays",WEEKDAY($A44,2)&lt;=5,$A44='Recurring Schedule'!$F$45))),40,""))))</f>
        <v/>
      </c>
      <c r="AP44">
        <f>COUNT(B44:AO44)</f>
        <v/>
      </c>
      <c r="AQ44">
        <f>AQ43+AP43</f>
        <v/>
      </c>
      <c r="AS44" t="inlineStr">
        <is>
          <t>R</t>
        </is>
      </c>
      <c r="AT44" t="n">
        <v>48</v>
      </c>
      <c r="AU44">
        <f>'Recurring Log'!C48&amp;""</f>
        <v/>
      </c>
      <c r="AV44">
        <f>'Recurring Log'!D48&amp;""</f>
        <v/>
      </c>
      <c r="AW44">
        <f>IF('Recurring Log'!E48="","",'Recurring Log'!E48)</f>
        <v/>
      </c>
      <c r="AX44">
        <f>IF('Recurring Log'!G48="","",'Recurring Log'!G48)</f>
        <v/>
      </c>
      <c r="AY44">
        <f>IF('Recurring Log'!H48="","",'Recurring Log'!H48)</f>
        <v/>
      </c>
      <c r="AZ44">
        <f>IF(AU44="","",IF('Recurring Log'!J48="","Not Started",'Recurring Log'!J48))</f>
        <v/>
      </c>
      <c r="BA44">
        <f>'Recurring Log'!L48&amp;""</f>
        <v/>
      </c>
      <c r="BB44">
        <f>'Recurring Log'!M48&amp;""</f>
        <v/>
      </c>
      <c r="BC44">
        <f>'Recurring Log'!N48&amp;""</f>
        <v/>
      </c>
      <c r="BD44">
        <f>'Recurring Log'!O48&amp;""</f>
        <v/>
      </c>
      <c r="BE44">
        <f>IF('Recurring Log'!K48="","",'Recurring Log'!K48)</f>
        <v/>
      </c>
      <c r="BF44">
        <f>IFERROR(MATCH(BA44,Setup!$L$6:$L$9,0),5)</f>
        <v/>
      </c>
      <c r="BG44">
        <f>IF(OR(AZ44="Done",AZ44="Cancelled"),1,0)</f>
        <v/>
      </c>
      <c r="BH44">
        <f>IF(AND(AU44&lt;&gt;"",ISNUMBER(AW44)),1,0)</f>
        <v/>
      </c>
      <c r="BI44">
        <f>IF(BH44=0,0,IF(AND(AW44&gt;='Tasks Filter'!$F$3,AW44&lt;='Tasks Filter'!$F$4,OR('Tasks Filter'!$I$3="",ISNUMBER(SEARCH('Tasks Filter'!$I$3,AU44))),OR('Tasks Filter'!$I$4="",BF44=IFERROR(MATCH('Tasks Filter'!$I$4,Setup!$L$6:$L$9,0),0)),OR('Tasks Filter'!$I$5="Both",AND('Tasks Filter'!$I$5="Yes",BB44="✓"),AND('Tasks Filter'!$I$5="No",BB44&lt;&gt;"✓")),OR('Tasks Filter'!$L$3="",AV44='Tasks Filter'!$L$3),OR('Tasks Filter'!$L$4="",AZ44='Tasks Filter'!$L$4),OR('Tasks Filter'!$L$5="",BC44='Tasks Filter'!$L$5),OR('Tasks Filter'!$O$3="",BD44='Tasks Filter'!$O$3),OR('Tasks Filter'!$O$4="Yes",BG44=0)),1,0))</f>
        <v/>
      </c>
      <c r="BJ44">
        <f>IF(BH44=0,"",IF('Tasks Filter'!$F$6="Descending",-1,1)*CHOOSE(MATCH('Tasks Filter'!$F$5,Lists!$G$2:$G$6,0),AW44,BF44,IFERROR(MATCH(AV44,Setup!$F$6:$F$15,0),99),IFERROR(MATCH(BC44,Setup!$H$6:$H$15,0),99),IFERROR(MATCH(AZ44,Setup!$J$6:$J$11,0),99))*1E+9+(AW44-40000)*10000+43)</f>
        <v/>
      </c>
      <c r="BK44">
        <f>IF(BI44=1,BJ44,"")</f>
        <v/>
      </c>
      <c r="BL44">
        <f>IF(AND(BH44=1,BG44=0,N(AW44)&lt;Setup!$D$7),(AW44-40000)*10000+43,"")</f>
        <v/>
      </c>
      <c r="BM44">
        <f>IF(AND(BH44=1,AZ44&lt;&gt;"Cancelled",N(AW44)&gt;=Dashboard!$AB$3,N(AW44)&lt;=Dashboard!$AB$3+6),(AW44-40000)*100000+BF44*10000+43,"")</f>
        <v/>
      </c>
      <c r="BN44">
        <f>IF(AND(BH44=1,AZ44&lt;&gt;"Cancelled"),BF44*10000+43,"")</f>
        <v/>
      </c>
    </row>
    <row r="45">
      <c r="A45">
        <f>Setup!$D$5+43</f>
        <v/>
      </c>
      <c r="B45">
        <f>IF('Recurring Schedule'!$C$6="","",IF('Recurring Schedule'!$F$6="","",IF(OR($A45&lt;'Recurring Schedule'!$F$6,$A45&gt;'Recurring Schedule'!$P$6),"",IF(IF('Recurring Schedule'!$N$6&gt;0,MOD($A45-'Recurring Schedule'!$F$6,'Recurring Schedule'!$N$6)=0,IF('Recurring Schedule'!$O$6&gt;0,AND(DAY($A45)=MIN(DAY('Recurring Schedule'!$F$6),DAY(EOMONTH($A45,0))),MOD((YEAR($A45)-YEAR('Recurring Schedule'!$F$6))*12+MONTH($A45)-MONTH('Recurring Schedule'!$F$6),'Recurring Schedule'!$O$6)=0),IF('Recurring Schedule'!$E$6="Weekdays",WEEKDAY($A45,2)&lt;=5,$A45='Recurring Schedule'!$F$6))),1,""))))</f>
        <v/>
      </c>
      <c r="C45">
        <f>IF('Recurring Schedule'!$C$7="","",IF('Recurring Schedule'!$F$7="","",IF(OR($A45&lt;'Recurring Schedule'!$F$7,$A45&gt;'Recurring Schedule'!$P$7),"",IF(IF('Recurring Schedule'!$N$7&gt;0,MOD($A45-'Recurring Schedule'!$F$7,'Recurring Schedule'!$N$7)=0,IF('Recurring Schedule'!$O$7&gt;0,AND(DAY($A45)=MIN(DAY('Recurring Schedule'!$F$7),DAY(EOMONTH($A45,0))),MOD((YEAR($A45)-YEAR('Recurring Schedule'!$F$7))*12+MONTH($A45)-MONTH('Recurring Schedule'!$F$7),'Recurring Schedule'!$O$7)=0),IF('Recurring Schedule'!$E$7="Weekdays",WEEKDAY($A45,2)&lt;=5,$A45='Recurring Schedule'!$F$7))),2,""))))</f>
        <v/>
      </c>
      <c r="D45">
        <f>IF('Recurring Schedule'!$C$8="","",IF('Recurring Schedule'!$F$8="","",IF(OR($A45&lt;'Recurring Schedule'!$F$8,$A45&gt;'Recurring Schedule'!$P$8),"",IF(IF('Recurring Schedule'!$N$8&gt;0,MOD($A45-'Recurring Schedule'!$F$8,'Recurring Schedule'!$N$8)=0,IF('Recurring Schedule'!$O$8&gt;0,AND(DAY($A45)=MIN(DAY('Recurring Schedule'!$F$8),DAY(EOMONTH($A45,0))),MOD((YEAR($A45)-YEAR('Recurring Schedule'!$F$8))*12+MONTH($A45)-MONTH('Recurring Schedule'!$F$8),'Recurring Schedule'!$O$8)=0),IF('Recurring Schedule'!$E$8="Weekdays",WEEKDAY($A45,2)&lt;=5,$A45='Recurring Schedule'!$F$8))),3,""))))</f>
        <v/>
      </c>
      <c r="E45">
        <f>IF('Recurring Schedule'!$C$9="","",IF('Recurring Schedule'!$F$9="","",IF(OR($A45&lt;'Recurring Schedule'!$F$9,$A45&gt;'Recurring Schedule'!$P$9),"",IF(IF('Recurring Schedule'!$N$9&gt;0,MOD($A45-'Recurring Schedule'!$F$9,'Recurring Schedule'!$N$9)=0,IF('Recurring Schedule'!$O$9&gt;0,AND(DAY($A45)=MIN(DAY('Recurring Schedule'!$F$9),DAY(EOMONTH($A45,0))),MOD((YEAR($A45)-YEAR('Recurring Schedule'!$F$9))*12+MONTH($A45)-MONTH('Recurring Schedule'!$F$9),'Recurring Schedule'!$O$9)=0),IF('Recurring Schedule'!$E$9="Weekdays",WEEKDAY($A45,2)&lt;=5,$A45='Recurring Schedule'!$F$9))),4,""))))</f>
        <v/>
      </c>
      <c r="F45">
        <f>IF('Recurring Schedule'!$C$10="","",IF('Recurring Schedule'!$F$10="","",IF(OR($A45&lt;'Recurring Schedule'!$F$10,$A45&gt;'Recurring Schedule'!$P$10),"",IF(IF('Recurring Schedule'!$N$10&gt;0,MOD($A45-'Recurring Schedule'!$F$10,'Recurring Schedule'!$N$10)=0,IF('Recurring Schedule'!$O$10&gt;0,AND(DAY($A45)=MIN(DAY('Recurring Schedule'!$F$10),DAY(EOMONTH($A45,0))),MOD((YEAR($A45)-YEAR('Recurring Schedule'!$F$10))*12+MONTH($A45)-MONTH('Recurring Schedule'!$F$10),'Recurring Schedule'!$O$10)=0),IF('Recurring Schedule'!$E$10="Weekdays",WEEKDAY($A45,2)&lt;=5,$A45='Recurring Schedule'!$F$10))),5,""))))</f>
        <v/>
      </c>
      <c r="G45">
        <f>IF('Recurring Schedule'!$C$11="","",IF('Recurring Schedule'!$F$11="","",IF(OR($A45&lt;'Recurring Schedule'!$F$11,$A45&gt;'Recurring Schedule'!$P$11),"",IF(IF('Recurring Schedule'!$N$11&gt;0,MOD($A45-'Recurring Schedule'!$F$11,'Recurring Schedule'!$N$11)=0,IF('Recurring Schedule'!$O$11&gt;0,AND(DAY($A45)=MIN(DAY('Recurring Schedule'!$F$11),DAY(EOMONTH($A45,0))),MOD((YEAR($A45)-YEAR('Recurring Schedule'!$F$11))*12+MONTH($A45)-MONTH('Recurring Schedule'!$F$11),'Recurring Schedule'!$O$11)=0),IF('Recurring Schedule'!$E$11="Weekdays",WEEKDAY($A45,2)&lt;=5,$A45='Recurring Schedule'!$F$11))),6,""))))</f>
        <v/>
      </c>
      <c r="H45">
        <f>IF('Recurring Schedule'!$C$12="","",IF('Recurring Schedule'!$F$12="","",IF(OR($A45&lt;'Recurring Schedule'!$F$12,$A45&gt;'Recurring Schedule'!$P$12),"",IF(IF('Recurring Schedule'!$N$12&gt;0,MOD($A45-'Recurring Schedule'!$F$12,'Recurring Schedule'!$N$12)=0,IF('Recurring Schedule'!$O$12&gt;0,AND(DAY($A45)=MIN(DAY('Recurring Schedule'!$F$12),DAY(EOMONTH($A45,0))),MOD((YEAR($A45)-YEAR('Recurring Schedule'!$F$12))*12+MONTH($A45)-MONTH('Recurring Schedule'!$F$12),'Recurring Schedule'!$O$12)=0),IF('Recurring Schedule'!$E$12="Weekdays",WEEKDAY($A45,2)&lt;=5,$A45='Recurring Schedule'!$F$12))),7,""))))</f>
        <v/>
      </c>
      <c r="I45">
        <f>IF('Recurring Schedule'!$C$13="","",IF('Recurring Schedule'!$F$13="","",IF(OR($A45&lt;'Recurring Schedule'!$F$13,$A45&gt;'Recurring Schedule'!$P$13),"",IF(IF('Recurring Schedule'!$N$13&gt;0,MOD($A45-'Recurring Schedule'!$F$13,'Recurring Schedule'!$N$13)=0,IF('Recurring Schedule'!$O$13&gt;0,AND(DAY($A45)=MIN(DAY('Recurring Schedule'!$F$13),DAY(EOMONTH($A45,0))),MOD((YEAR($A45)-YEAR('Recurring Schedule'!$F$13))*12+MONTH($A45)-MONTH('Recurring Schedule'!$F$13),'Recurring Schedule'!$O$13)=0),IF('Recurring Schedule'!$E$13="Weekdays",WEEKDAY($A45,2)&lt;=5,$A45='Recurring Schedule'!$F$13))),8,""))))</f>
        <v/>
      </c>
      <c r="J45">
        <f>IF('Recurring Schedule'!$C$14="","",IF('Recurring Schedule'!$F$14="","",IF(OR($A45&lt;'Recurring Schedule'!$F$14,$A45&gt;'Recurring Schedule'!$P$14),"",IF(IF('Recurring Schedule'!$N$14&gt;0,MOD($A45-'Recurring Schedule'!$F$14,'Recurring Schedule'!$N$14)=0,IF('Recurring Schedule'!$O$14&gt;0,AND(DAY($A45)=MIN(DAY('Recurring Schedule'!$F$14),DAY(EOMONTH($A45,0))),MOD((YEAR($A45)-YEAR('Recurring Schedule'!$F$14))*12+MONTH($A45)-MONTH('Recurring Schedule'!$F$14),'Recurring Schedule'!$O$14)=0),IF('Recurring Schedule'!$E$14="Weekdays",WEEKDAY($A45,2)&lt;=5,$A45='Recurring Schedule'!$F$14))),9,""))))</f>
        <v/>
      </c>
      <c r="K45">
        <f>IF('Recurring Schedule'!$C$15="","",IF('Recurring Schedule'!$F$15="","",IF(OR($A45&lt;'Recurring Schedule'!$F$15,$A45&gt;'Recurring Schedule'!$P$15),"",IF(IF('Recurring Schedule'!$N$15&gt;0,MOD($A45-'Recurring Schedule'!$F$15,'Recurring Schedule'!$N$15)=0,IF('Recurring Schedule'!$O$15&gt;0,AND(DAY($A45)=MIN(DAY('Recurring Schedule'!$F$15),DAY(EOMONTH($A45,0))),MOD((YEAR($A45)-YEAR('Recurring Schedule'!$F$15))*12+MONTH($A45)-MONTH('Recurring Schedule'!$F$15),'Recurring Schedule'!$O$15)=0),IF('Recurring Schedule'!$E$15="Weekdays",WEEKDAY($A45,2)&lt;=5,$A45='Recurring Schedule'!$F$15))),10,""))))</f>
        <v/>
      </c>
      <c r="L45">
        <f>IF('Recurring Schedule'!$C$16="","",IF('Recurring Schedule'!$F$16="","",IF(OR($A45&lt;'Recurring Schedule'!$F$16,$A45&gt;'Recurring Schedule'!$P$16),"",IF(IF('Recurring Schedule'!$N$16&gt;0,MOD($A45-'Recurring Schedule'!$F$16,'Recurring Schedule'!$N$16)=0,IF('Recurring Schedule'!$O$16&gt;0,AND(DAY($A45)=MIN(DAY('Recurring Schedule'!$F$16),DAY(EOMONTH($A45,0))),MOD((YEAR($A45)-YEAR('Recurring Schedule'!$F$16))*12+MONTH($A45)-MONTH('Recurring Schedule'!$F$16),'Recurring Schedule'!$O$16)=0),IF('Recurring Schedule'!$E$16="Weekdays",WEEKDAY($A45,2)&lt;=5,$A45='Recurring Schedule'!$F$16))),11,""))))</f>
        <v/>
      </c>
      <c r="M45">
        <f>IF('Recurring Schedule'!$C$17="","",IF('Recurring Schedule'!$F$17="","",IF(OR($A45&lt;'Recurring Schedule'!$F$17,$A45&gt;'Recurring Schedule'!$P$17),"",IF(IF('Recurring Schedule'!$N$17&gt;0,MOD($A45-'Recurring Schedule'!$F$17,'Recurring Schedule'!$N$17)=0,IF('Recurring Schedule'!$O$17&gt;0,AND(DAY($A45)=MIN(DAY('Recurring Schedule'!$F$17),DAY(EOMONTH($A45,0))),MOD((YEAR($A45)-YEAR('Recurring Schedule'!$F$17))*12+MONTH($A45)-MONTH('Recurring Schedule'!$F$17),'Recurring Schedule'!$O$17)=0),IF('Recurring Schedule'!$E$17="Weekdays",WEEKDAY($A45,2)&lt;=5,$A45='Recurring Schedule'!$F$17))),12,""))))</f>
        <v/>
      </c>
      <c r="N45">
        <f>IF('Recurring Schedule'!$C$18="","",IF('Recurring Schedule'!$F$18="","",IF(OR($A45&lt;'Recurring Schedule'!$F$18,$A45&gt;'Recurring Schedule'!$P$18),"",IF(IF('Recurring Schedule'!$N$18&gt;0,MOD($A45-'Recurring Schedule'!$F$18,'Recurring Schedule'!$N$18)=0,IF('Recurring Schedule'!$O$18&gt;0,AND(DAY($A45)=MIN(DAY('Recurring Schedule'!$F$18),DAY(EOMONTH($A45,0))),MOD((YEAR($A45)-YEAR('Recurring Schedule'!$F$18))*12+MONTH($A45)-MONTH('Recurring Schedule'!$F$18),'Recurring Schedule'!$O$18)=0),IF('Recurring Schedule'!$E$18="Weekdays",WEEKDAY($A45,2)&lt;=5,$A45='Recurring Schedule'!$F$18))),13,""))))</f>
        <v/>
      </c>
      <c r="O45">
        <f>IF('Recurring Schedule'!$C$19="","",IF('Recurring Schedule'!$F$19="","",IF(OR($A45&lt;'Recurring Schedule'!$F$19,$A45&gt;'Recurring Schedule'!$P$19),"",IF(IF('Recurring Schedule'!$N$19&gt;0,MOD($A45-'Recurring Schedule'!$F$19,'Recurring Schedule'!$N$19)=0,IF('Recurring Schedule'!$O$19&gt;0,AND(DAY($A45)=MIN(DAY('Recurring Schedule'!$F$19),DAY(EOMONTH($A45,0))),MOD((YEAR($A45)-YEAR('Recurring Schedule'!$F$19))*12+MONTH($A45)-MONTH('Recurring Schedule'!$F$19),'Recurring Schedule'!$O$19)=0),IF('Recurring Schedule'!$E$19="Weekdays",WEEKDAY($A45,2)&lt;=5,$A45='Recurring Schedule'!$F$19))),14,""))))</f>
        <v/>
      </c>
      <c r="P45">
        <f>IF('Recurring Schedule'!$C$20="","",IF('Recurring Schedule'!$F$20="","",IF(OR($A45&lt;'Recurring Schedule'!$F$20,$A45&gt;'Recurring Schedule'!$P$20),"",IF(IF('Recurring Schedule'!$N$20&gt;0,MOD($A45-'Recurring Schedule'!$F$20,'Recurring Schedule'!$N$20)=0,IF('Recurring Schedule'!$O$20&gt;0,AND(DAY($A45)=MIN(DAY('Recurring Schedule'!$F$20),DAY(EOMONTH($A45,0))),MOD((YEAR($A45)-YEAR('Recurring Schedule'!$F$20))*12+MONTH($A45)-MONTH('Recurring Schedule'!$F$20),'Recurring Schedule'!$O$20)=0),IF('Recurring Schedule'!$E$20="Weekdays",WEEKDAY($A45,2)&lt;=5,$A45='Recurring Schedule'!$F$20))),15,""))))</f>
        <v/>
      </c>
      <c r="Q45">
        <f>IF('Recurring Schedule'!$C$21="","",IF('Recurring Schedule'!$F$21="","",IF(OR($A45&lt;'Recurring Schedule'!$F$21,$A45&gt;'Recurring Schedule'!$P$21),"",IF(IF('Recurring Schedule'!$N$21&gt;0,MOD($A45-'Recurring Schedule'!$F$21,'Recurring Schedule'!$N$21)=0,IF('Recurring Schedule'!$O$21&gt;0,AND(DAY($A45)=MIN(DAY('Recurring Schedule'!$F$21),DAY(EOMONTH($A45,0))),MOD((YEAR($A45)-YEAR('Recurring Schedule'!$F$21))*12+MONTH($A45)-MONTH('Recurring Schedule'!$F$21),'Recurring Schedule'!$O$21)=0),IF('Recurring Schedule'!$E$21="Weekdays",WEEKDAY($A45,2)&lt;=5,$A45='Recurring Schedule'!$F$21))),16,""))))</f>
        <v/>
      </c>
      <c r="R45">
        <f>IF('Recurring Schedule'!$C$22="","",IF('Recurring Schedule'!$F$22="","",IF(OR($A45&lt;'Recurring Schedule'!$F$22,$A45&gt;'Recurring Schedule'!$P$22),"",IF(IF('Recurring Schedule'!$N$22&gt;0,MOD($A45-'Recurring Schedule'!$F$22,'Recurring Schedule'!$N$22)=0,IF('Recurring Schedule'!$O$22&gt;0,AND(DAY($A45)=MIN(DAY('Recurring Schedule'!$F$22),DAY(EOMONTH($A45,0))),MOD((YEAR($A45)-YEAR('Recurring Schedule'!$F$22))*12+MONTH($A45)-MONTH('Recurring Schedule'!$F$22),'Recurring Schedule'!$O$22)=0),IF('Recurring Schedule'!$E$22="Weekdays",WEEKDAY($A45,2)&lt;=5,$A45='Recurring Schedule'!$F$22))),17,""))))</f>
        <v/>
      </c>
      <c r="S45">
        <f>IF('Recurring Schedule'!$C$23="","",IF('Recurring Schedule'!$F$23="","",IF(OR($A45&lt;'Recurring Schedule'!$F$23,$A45&gt;'Recurring Schedule'!$P$23),"",IF(IF('Recurring Schedule'!$N$23&gt;0,MOD($A45-'Recurring Schedule'!$F$23,'Recurring Schedule'!$N$23)=0,IF('Recurring Schedule'!$O$23&gt;0,AND(DAY($A45)=MIN(DAY('Recurring Schedule'!$F$23),DAY(EOMONTH($A45,0))),MOD((YEAR($A45)-YEAR('Recurring Schedule'!$F$23))*12+MONTH($A45)-MONTH('Recurring Schedule'!$F$23),'Recurring Schedule'!$O$23)=0),IF('Recurring Schedule'!$E$23="Weekdays",WEEKDAY($A45,2)&lt;=5,$A45='Recurring Schedule'!$F$23))),18,""))))</f>
        <v/>
      </c>
      <c r="T45">
        <f>IF('Recurring Schedule'!$C$24="","",IF('Recurring Schedule'!$F$24="","",IF(OR($A45&lt;'Recurring Schedule'!$F$24,$A45&gt;'Recurring Schedule'!$P$24),"",IF(IF('Recurring Schedule'!$N$24&gt;0,MOD($A45-'Recurring Schedule'!$F$24,'Recurring Schedule'!$N$24)=0,IF('Recurring Schedule'!$O$24&gt;0,AND(DAY($A45)=MIN(DAY('Recurring Schedule'!$F$24),DAY(EOMONTH($A45,0))),MOD((YEAR($A45)-YEAR('Recurring Schedule'!$F$24))*12+MONTH($A45)-MONTH('Recurring Schedule'!$F$24),'Recurring Schedule'!$O$24)=0),IF('Recurring Schedule'!$E$24="Weekdays",WEEKDAY($A45,2)&lt;=5,$A45='Recurring Schedule'!$F$24))),19,""))))</f>
        <v/>
      </c>
      <c r="U45">
        <f>IF('Recurring Schedule'!$C$25="","",IF('Recurring Schedule'!$F$25="","",IF(OR($A45&lt;'Recurring Schedule'!$F$25,$A45&gt;'Recurring Schedule'!$P$25),"",IF(IF('Recurring Schedule'!$N$25&gt;0,MOD($A45-'Recurring Schedule'!$F$25,'Recurring Schedule'!$N$25)=0,IF('Recurring Schedule'!$O$25&gt;0,AND(DAY($A45)=MIN(DAY('Recurring Schedule'!$F$25),DAY(EOMONTH($A45,0))),MOD((YEAR($A45)-YEAR('Recurring Schedule'!$F$25))*12+MONTH($A45)-MONTH('Recurring Schedule'!$F$25),'Recurring Schedule'!$O$25)=0),IF('Recurring Schedule'!$E$25="Weekdays",WEEKDAY($A45,2)&lt;=5,$A45='Recurring Schedule'!$F$25))),20,""))))</f>
        <v/>
      </c>
      <c r="V45">
        <f>IF('Recurring Schedule'!$C$26="","",IF('Recurring Schedule'!$F$26="","",IF(OR($A45&lt;'Recurring Schedule'!$F$26,$A45&gt;'Recurring Schedule'!$P$26),"",IF(IF('Recurring Schedule'!$N$26&gt;0,MOD($A45-'Recurring Schedule'!$F$26,'Recurring Schedule'!$N$26)=0,IF('Recurring Schedule'!$O$26&gt;0,AND(DAY($A45)=MIN(DAY('Recurring Schedule'!$F$26),DAY(EOMONTH($A45,0))),MOD((YEAR($A45)-YEAR('Recurring Schedule'!$F$26))*12+MONTH($A45)-MONTH('Recurring Schedule'!$F$26),'Recurring Schedule'!$O$26)=0),IF('Recurring Schedule'!$E$26="Weekdays",WEEKDAY($A45,2)&lt;=5,$A45='Recurring Schedule'!$F$26))),21,""))))</f>
        <v/>
      </c>
      <c r="W45">
        <f>IF('Recurring Schedule'!$C$27="","",IF('Recurring Schedule'!$F$27="","",IF(OR($A45&lt;'Recurring Schedule'!$F$27,$A45&gt;'Recurring Schedule'!$P$27),"",IF(IF('Recurring Schedule'!$N$27&gt;0,MOD($A45-'Recurring Schedule'!$F$27,'Recurring Schedule'!$N$27)=0,IF('Recurring Schedule'!$O$27&gt;0,AND(DAY($A45)=MIN(DAY('Recurring Schedule'!$F$27),DAY(EOMONTH($A45,0))),MOD((YEAR($A45)-YEAR('Recurring Schedule'!$F$27))*12+MONTH($A45)-MONTH('Recurring Schedule'!$F$27),'Recurring Schedule'!$O$27)=0),IF('Recurring Schedule'!$E$27="Weekdays",WEEKDAY($A45,2)&lt;=5,$A45='Recurring Schedule'!$F$27))),22,""))))</f>
        <v/>
      </c>
      <c r="X45">
        <f>IF('Recurring Schedule'!$C$28="","",IF('Recurring Schedule'!$F$28="","",IF(OR($A45&lt;'Recurring Schedule'!$F$28,$A45&gt;'Recurring Schedule'!$P$28),"",IF(IF('Recurring Schedule'!$N$28&gt;0,MOD($A45-'Recurring Schedule'!$F$28,'Recurring Schedule'!$N$28)=0,IF('Recurring Schedule'!$O$28&gt;0,AND(DAY($A45)=MIN(DAY('Recurring Schedule'!$F$28),DAY(EOMONTH($A45,0))),MOD((YEAR($A45)-YEAR('Recurring Schedule'!$F$28))*12+MONTH($A45)-MONTH('Recurring Schedule'!$F$28),'Recurring Schedule'!$O$28)=0),IF('Recurring Schedule'!$E$28="Weekdays",WEEKDAY($A45,2)&lt;=5,$A45='Recurring Schedule'!$F$28))),23,""))))</f>
        <v/>
      </c>
      <c r="Y45">
        <f>IF('Recurring Schedule'!$C$29="","",IF('Recurring Schedule'!$F$29="","",IF(OR($A45&lt;'Recurring Schedule'!$F$29,$A45&gt;'Recurring Schedule'!$P$29),"",IF(IF('Recurring Schedule'!$N$29&gt;0,MOD($A45-'Recurring Schedule'!$F$29,'Recurring Schedule'!$N$29)=0,IF('Recurring Schedule'!$O$29&gt;0,AND(DAY($A45)=MIN(DAY('Recurring Schedule'!$F$29),DAY(EOMONTH($A45,0))),MOD((YEAR($A45)-YEAR('Recurring Schedule'!$F$29))*12+MONTH($A45)-MONTH('Recurring Schedule'!$F$29),'Recurring Schedule'!$O$29)=0),IF('Recurring Schedule'!$E$29="Weekdays",WEEKDAY($A45,2)&lt;=5,$A45='Recurring Schedule'!$F$29))),24,""))))</f>
        <v/>
      </c>
      <c r="Z45">
        <f>IF('Recurring Schedule'!$C$30="","",IF('Recurring Schedule'!$F$30="","",IF(OR($A45&lt;'Recurring Schedule'!$F$30,$A45&gt;'Recurring Schedule'!$P$30),"",IF(IF('Recurring Schedule'!$N$30&gt;0,MOD($A45-'Recurring Schedule'!$F$30,'Recurring Schedule'!$N$30)=0,IF('Recurring Schedule'!$O$30&gt;0,AND(DAY($A45)=MIN(DAY('Recurring Schedule'!$F$30),DAY(EOMONTH($A45,0))),MOD((YEAR($A45)-YEAR('Recurring Schedule'!$F$30))*12+MONTH($A45)-MONTH('Recurring Schedule'!$F$30),'Recurring Schedule'!$O$30)=0),IF('Recurring Schedule'!$E$30="Weekdays",WEEKDAY($A45,2)&lt;=5,$A45='Recurring Schedule'!$F$30))),25,""))))</f>
        <v/>
      </c>
      <c r="AA45">
        <f>IF('Recurring Schedule'!$C$31="","",IF('Recurring Schedule'!$F$31="","",IF(OR($A45&lt;'Recurring Schedule'!$F$31,$A45&gt;'Recurring Schedule'!$P$31),"",IF(IF('Recurring Schedule'!$N$31&gt;0,MOD($A45-'Recurring Schedule'!$F$31,'Recurring Schedule'!$N$31)=0,IF('Recurring Schedule'!$O$31&gt;0,AND(DAY($A45)=MIN(DAY('Recurring Schedule'!$F$31),DAY(EOMONTH($A45,0))),MOD((YEAR($A45)-YEAR('Recurring Schedule'!$F$31))*12+MONTH($A45)-MONTH('Recurring Schedule'!$F$31),'Recurring Schedule'!$O$31)=0),IF('Recurring Schedule'!$E$31="Weekdays",WEEKDAY($A45,2)&lt;=5,$A45='Recurring Schedule'!$F$31))),26,""))))</f>
        <v/>
      </c>
      <c r="AB45">
        <f>IF('Recurring Schedule'!$C$32="","",IF('Recurring Schedule'!$F$32="","",IF(OR($A45&lt;'Recurring Schedule'!$F$32,$A45&gt;'Recurring Schedule'!$P$32),"",IF(IF('Recurring Schedule'!$N$32&gt;0,MOD($A45-'Recurring Schedule'!$F$32,'Recurring Schedule'!$N$32)=0,IF('Recurring Schedule'!$O$32&gt;0,AND(DAY($A45)=MIN(DAY('Recurring Schedule'!$F$32),DAY(EOMONTH($A45,0))),MOD((YEAR($A45)-YEAR('Recurring Schedule'!$F$32))*12+MONTH($A45)-MONTH('Recurring Schedule'!$F$32),'Recurring Schedule'!$O$32)=0),IF('Recurring Schedule'!$E$32="Weekdays",WEEKDAY($A45,2)&lt;=5,$A45='Recurring Schedule'!$F$32))),27,""))))</f>
        <v/>
      </c>
      <c r="AC45">
        <f>IF('Recurring Schedule'!$C$33="","",IF('Recurring Schedule'!$F$33="","",IF(OR($A45&lt;'Recurring Schedule'!$F$33,$A45&gt;'Recurring Schedule'!$P$33),"",IF(IF('Recurring Schedule'!$N$33&gt;0,MOD($A45-'Recurring Schedule'!$F$33,'Recurring Schedule'!$N$33)=0,IF('Recurring Schedule'!$O$33&gt;0,AND(DAY($A45)=MIN(DAY('Recurring Schedule'!$F$33),DAY(EOMONTH($A45,0))),MOD((YEAR($A45)-YEAR('Recurring Schedule'!$F$33))*12+MONTH($A45)-MONTH('Recurring Schedule'!$F$33),'Recurring Schedule'!$O$33)=0),IF('Recurring Schedule'!$E$33="Weekdays",WEEKDAY($A45,2)&lt;=5,$A45='Recurring Schedule'!$F$33))),28,""))))</f>
        <v/>
      </c>
      <c r="AD45">
        <f>IF('Recurring Schedule'!$C$34="","",IF('Recurring Schedule'!$F$34="","",IF(OR($A45&lt;'Recurring Schedule'!$F$34,$A45&gt;'Recurring Schedule'!$P$34),"",IF(IF('Recurring Schedule'!$N$34&gt;0,MOD($A45-'Recurring Schedule'!$F$34,'Recurring Schedule'!$N$34)=0,IF('Recurring Schedule'!$O$34&gt;0,AND(DAY($A45)=MIN(DAY('Recurring Schedule'!$F$34),DAY(EOMONTH($A45,0))),MOD((YEAR($A45)-YEAR('Recurring Schedule'!$F$34))*12+MONTH($A45)-MONTH('Recurring Schedule'!$F$34),'Recurring Schedule'!$O$34)=0),IF('Recurring Schedule'!$E$34="Weekdays",WEEKDAY($A45,2)&lt;=5,$A45='Recurring Schedule'!$F$34))),29,""))))</f>
        <v/>
      </c>
      <c r="AE45">
        <f>IF('Recurring Schedule'!$C$35="","",IF('Recurring Schedule'!$F$35="","",IF(OR($A45&lt;'Recurring Schedule'!$F$35,$A45&gt;'Recurring Schedule'!$P$35),"",IF(IF('Recurring Schedule'!$N$35&gt;0,MOD($A45-'Recurring Schedule'!$F$35,'Recurring Schedule'!$N$35)=0,IF('Recurring Schedule'!$O$35&gt;0,AND(DAY($A45)=MIN(DAY('Recurring Schedule'!$F$35),DAY(EOMONTH($A45,0))),MOD((YEAR($A45)-YEAR('Recurring Schedule'!$F$35))*12+MONTH($A45)-MONTH('Recurring Schedule'!$F$35),'Recurring Schedule'!$O$35)=0),IF('Recurring Schedule'!$E$35="Weekdays",WEEKDAY($A45,2)&lt;=5,$A45='Recurring Schedule'!$F$35))),30,""))))</f>
        <v/>
      </c>
      <c r="AF45">
        <f>IF('Recurring Schedule'!$C$36="","",IF('Recurring Schedule'!$F$36="","",IF(OR($A45&lt;'Recurring Schedule'!$F$36,$A45&gt;'Recurring Schedule'!$P$36),"",IF(IF('Recurring Schedule'!$N$36&gt;0,MOD($A45-'Recurring Schedule'!$F$36,'Recurring Schedule'!$N$36)=0,IF('Recurring Schedule'!$O$36&gt;0,AND(DAY($A45)=MIN(DAY('Recurring Schedule'!$F$36),DAY(EOMONTH($A45,0))),MOD((YEAR($A45)-YEAR('Recurring Schedule'!$F$36))*12+MONTH($A45)-MONTH('Recurring Schedule'!$F$36),'Recurring Schedule'!$O$36)=0),IF('Recurring Schedule'!$E$36="Weekdays",WEEKDAY($A45,2)&lt;=5,$A45='Recurring Schedule'!$F$36))),31,""))))</f>
        <v/>
      </c>
      <c r="AG45">
        <f>IF('Recurring Schedule'!$C$37="","",IF('Recurring Schedule'!$F$37="","",IF(OR($A45&lt;'Recurring Schedule'!$F$37,$A45&gt;'Recurring Schedule'!$P$37),"",IF(IF('Recurring Schedule'!$N$37&gt;0,MOD($A45-'Recurring Schedule'!$F$37,'Recurring Schedule'!$N$37)=0,IF('Recurring Schedule'!$O$37&gt;0,AND(DAY($A45)=MIN(DAY('Recurring Schedule'!$F$37),DAY(EOMONTH($A45,0))),MOD((YEAR($A45)-YEAR('Recurring Schedule'!$F$37))*12+MONTH($A45)-MONTH('Recurring Schedule'!$F$37),'Recurring Schedule'!$O$37)=0),IF('Recurring Schedule'!$E$37="Weekdays",WEEKDAY($A45,2)&lt;=5,$A45='Recurring Schedule'!$F$37))),32,""))))</f>
        <v/>
      </c>
      <c r="AH45">
        <f>IF('Recurring Schedule'!$C$38="","",IF('Recurring Schedule'!$F$38="","",IF(OR($A45&lt;'Recurring Schedule'!$F$38,$A45&gt;'Recurring Schedule'!$P$38),"",IF(IF('Recurring Schedule'!$N$38&gt;0,MOD($A45-'Recurring Schedule'!$F$38,'Recurring Schedule'!$N$38)=0,IF('Recurring Schedule'!$O$38&gt;0,AND(DAY($A45)=MIN(DAY('Recurring Schedule'!$F$38),DAY(EOMONTH($A45,0))),MOD((YEAR($A45)-YEAR('Recurring Schedule'!$F$38))*12+MONTH($A45)-MONTH('Recurring Schedule'!$F$38),'Recurring Schedule'!$O$38)=0),IF('Recurring Schedule'!$E$38="Weekdays",WEEKDAY($A45,2)&lt;=5,$A45='Recurring Schedule'!$F$38))),33,""))))</f>
        <v/>
      </c>
      <c r="AI45">
        <f>IF('Recurring Schedule'!$C$39="","",IF('Recurring Schedule'!$F$39="","",IF(OR($A45&lt;'Recurring Schedule'!$F$39,$A45&gt;'Recurring Schedule'!$P$39),"",IF(IF('Recurring Schedule'!$N$39&gt;0,MOD($A45-'Recurring Schedule'!$F$39,'Recurring Schedule'!$N$39)=0,IF('Recurring Schedule'!$O$39&gt;0,AND(DAY($A45)=MIN(DAY('Recurring Schedule'!$F$39),DAY(EOMONTH($A45,0))),MOD((YEAR($A45)-YEAR('Recurring Schedule'!$F$39))*12+MONTH($A45)-MONTH('Recurring Schedule'!$F$39),'Recurring Schedule'!$O$39)=0),IF('Recurring Schedule'!$E$39="Weekdays",WEEKDAY($A45,2)&lt;=5,$A45='Recurring Schedule'!$F$39))),34,""))))</f>
        <v/>
      </c>
      <c r="AJ45">
        <f>IF('Recurring Schedule'!$C$40="","",IF('Recurring Schedule'!$F$40="","",IF(OR($A45&lt;'Recurring Schedule'!$F$40,$A45&gt;'Recurring Schedule'!$P$40),"",IF(IF('Recurring Schedule'!$N$40&gt;0,MOD($A45-'Recurring Schedule'!$F$40,'Recurring Schedule'!$N$40)=0,IF('Recurring Schedule'!$O$40&gt;0,AND(DAY($A45)=MIN(DAY('Recurring Schedule'!$F$40),DAY(EOMONTH($A45,0))),MOD((YEAR($A45)-YEAR('Recurring Schedule'!$F$40))*12+MONTH($A45)-MONTH('Recurring Schedule'!$F$40),'Recurring Schedule'!$O$40)=0),IF('Recurring Schedule'!$E$40="Weekdays",WEEKDAY($A45,2)&lt;=5,$A45='Recurring Schedule'!$F$40))),35,""))))</f>
        <v/>
      </c>
      <c r="AK45">
        <f>IF('Recurring Schedule'!$C$41="","",IF('Recurring Schedule'!$F$41="","",IF(OR($A45&lt;'Recurring Schedule'!$F$41,$A45&gt;'Recurring Schedule'!$P$41),"",IF(IF('Recurring Schedule'!$N$41&gt;0,MOD($A45-'Recurring Schedule'!$F$41,'Recurring Schedule'!$N$41)=0,IF('Recurring Schedule'!$O$41&gt;0,AND(DAY($A45)=MIN(DAY('Recurring Schedule'!$F$41),DAY(EOMONTH($A45,0))),MOD((YEAR($A45)-YEAR('Recurring Schedule'!$F$41))*12+MONTH($A45)-MONTH('Recurring Schedule'!$F$41),'Recurring Schedule'!$O$41)=0),IF('Recurring Schedule'!$E$41="Weekdays",WEEKDAY($A45,2)&lt;=5,$A45='Recurring Schedule'!$F$41))),36,""))))</f>
        <v/>
      </c>
      <c r="AL45">
        <f>IF('Recurring Schedule'!$C$42="","",IF('Recurring Schedule'!$F$42="","",IF(OR($A45&lt;'Recurring Schedule'!$F$42,$A45&gt;'Recurring Schedule'!$P$42),"",IF(IF('Recurring Schedule'!$N$42&gt;0,MOD($A45-'Recurring Schedule'!$F$42,'Recurring Schedule'!$N$42)=0,IF('Recurring Schedule'!$O$42&gt;0,AND(DAY($A45)=MIN(DAY('Recurring Schedule'!$F$42),DAY(EOMONTH($A45,0))),MOD((YEAR($A45)-YEAR('Recurring Schedule'!$F$42))*12+MONTH($A45)-MONTH('Recurring Schedule'!$F$42),'Recurring Schedule'!$O$42)=0),IF('Recurring Schedule'!$E$42="Weekdays",WEEKDAY($A45,2)&lt;=5,$A45='Recurring Schedule'!$F$42))),37,""))))</f>
        <v/>
      </c>
      <c r="AM45">
        <f>IF('Recurring Schedule'!$C$43="","",IF('Recurring Schedule'!$F$43="","",IF(OR($A45&lt;'Recurring Schedule'!$F$43,$A45&gt;'Recurring Schedule'!$P$43),"",IF(IF('Recurring Schedule'!$N$43&gt;0,MOD($A45-'Recurring Schedule'!$F$43,'Recurring Schedule'!$N$43)=0,IF('Recurring Schedule'!$O$43&gt;0,AND(DAY($A45)=MIN(DAY('Recurring Schedule'!$F$43),DAY(EOMONTH($A45,0))),MOD((YEAR($A45)-YEAR('Recurring Schedule'!$F$43))*12+MONTH($A45)-MONTH('Recurring Schedule'!$F$43),'Recurring Schedule'!$O$43)=0),IF('Recurring Schedule'!$E$43="Weekdays",WEEKDAY($A45,2)&lt;=5,$A45='Recurring Schedule'!$F$43))),38,""))))</f>
        <v/>
      </c>
      <c r="AN45">
        <f>IF('Recurring Schedule'!$C$44="","",IF('Recurring Schedule'!$F$44="","",IF(OR($A45&lt;'Recurring Schedule'!$F$44,$A45&gt;'Recurring Schedule'!$P$44),"",IF(IF('Recurring Schedule'!$N$44&gt;0,MOD($A45-'Recurring Schedule'!$F$44,'Recurring Schedule'!$N$44)=0,IF('Recurring Schedule'!$O$44&gt;0,AND(DAY($A45)=MIN(DAY('Recurring Schedule'!$F$44),DAY(EOMONTH($A45,0))),MOD((YEAR($A45)-YEAR('Recurring Schedule'!$F$44))*12+MONTH($A45)-MONTH('Recurring Schedule'!$F$44),'Recurring Schedule'!$O$44)=0),IF('Recurring Schedule'!$E$44="Weekdays",WEEKDAY($A45,2)&lt;=5,$A45='Recurring Schedule'!$F$44))),39,""))))</f>
        <v/>
      </c>
      <c r="AO45">
        <f>IF('Recurring Schedule'!$C$45="","",IF('Recurring Schedule'!$F$45="","",IF(OR($A45&lt;'Recurring Schedule'!$F$45,$A45&gt;'Recurring Schedule'!$P$45),"",IF(IF('Recurring Schedule'!$N$45&gt;0,MOD($A45-'Recurring Schedule'!$F$45,'Recurring Schedule'!$N$45)=0,IF('Recurring Schedule'!$O$45&gt;0,AND(DAY($A45)=MIN(DAY('Recurring Schedule'!$F$45),DAY(EOMONTH($A45,0))),MOD((YEAR($A45)-YEAR('Recurring Schedule'!$F$45))*12+MONTH($A45)-MONTH('Recurring Schedule'!$F$45),'Recurring Schedule'!$O$45)=0),IF('Recurring Schedule'!$E$45="Weekdays",WEEKDAY($A45,2)&lt;=5,$A45='Recurring Schedule'!$F$45))),40,""))))</f>
        <v/>
      </c>
      <c r="AP45">
        <f>COUNT(B45:AO45)</f>
        <v/>
      </c>
      <c r="AQ45">
        <f>AQ44+AP44</f>
        <v/>
      </c>
      <c r="AS45" t="inlineStr">
        <is>
          <t>R</t>
        </is>
      </c>
      <c r="AT45" t="n">
        <v>49</v>
      </c>
      <c r="AU45">
        <f>'Recurring Log'!C49&amp;""</f>
        <v/>
      </c>
      <c r="AV45">
        <f>'Recurring Log'!D49&amp;""</f>
        <v/>
      </c>
      <c r="AW45">
        <f>IF('Recurring Log'!E49="","",'Recurring Log'!E49)</f>
        <v/>
      </c>
      <c r="AX45">
        <f>IF('Recurring Log'!G49="","",'Recurring Log'!G49)</f>
        <v/>
      </c>
      <c r="AY45">
        <f>IF('Recurring Log'!H49="","",'Recurring Log'!H49)</f>
        <v/>
      </c>
      <c r="AZ45">
        <f>IF(AU45="","",IF('Recurring Log'!J49="","Not Started",'Recurring Log'!J49))</f>
        <v/>
      </c>
      <c r="BA45">
        <f>'Recurring Log'!L49&amp;""</f>
        <v/>
      </c>
      <c r="BB45">
        <f>'Recurring Log'!M49&amp;""</f>
        <v/>
      </c>
      <c r="BC45">
        <f>'Recurring Log'!N49&amp;""</f>
        <v/>
      </c>
      <c r="BD45">
        <f>'Recurring Log'!O49&amp;""</f>
        <v/>
      </c>
      <c r="BE45">
        <f>IF('Recurring Log'!K49="","",'Recurring Log'!K49)</f>
        <v/>
      </c>
      <c r="BF45">
        <f>IFERROR(MATCH(BA45,Setup!$L$6:$L$9,0),5)</f>
        <v/>
      </c>
      <c r="BG45">
        <f>IF(OR(AZ45="Done",AZ45="Cancelled"),1,0)</f>
        <v/>
      </c>
      <c r="BH45">
        <f>IF(AND(AU45&lt;&gt;"",ISNUMBER(AW45)),1,0)</f>
        <v/>
      </c>
      <c r="BI45">
        <f>IF(BH45=0,0,IF(AND(AW45&gt;='Tasks Filter'!$F$3,AW45&lt;='Tasks Filter'!$F$4,OR('Tasks Filter'!$I$3="",ISNUMBER(SEARCH('Tasks Filter'!$I$3,AU45))),OR('Tasks Filter'!$I$4="",BF45=IFERROR(MATCH('Tasks Filter'!$I$4,Setup!$L$6:$L$9,0),0)),OR('Tasks Filter'!$I$5="Both",AND('Tasks Filter'!$I$5="Yes",BB45="✓"),AND('Tasks Filter'!$I$5="No",BB45&lt;&gt;"✓")),OR('Tasks Filter'!$L$3="",AV45='Tasks Filter'!$L$3),OR('Tasks Filter'!$L$4="",AZ45='Tasks Filter'!$L$4),OR('Tasks Filter'!$L$5="",BC45='Tasks Filter'!$L$5),OR('Tasks Filter'!$O$3="",BD45='Tasks Filter'!$O$3),OR('Tasks Filter'!$O$4="Yes",BG45=0)),1,0))</f>
        <v/>
      </c>
      <c r="BJ45">
        <f>IF(BH45=0,"",IF('Tasks Filter'!$F$6="Descending",-1,1)*CHOOSE(MATCH('Tasks Filter'!$F$5,Lists!$G$2:$G$6,0),AW45,BF45,IFERROR(MATCH(AV45,Setup!$F$6:$F$15,0),99),IFERROR(MATCH(BC45,Setup!$H$6:$H$15,0),99),IFERROR(MATCH(AZ45,Setup!$J$6:$J$11,0),99))*1E+9+(AW45-40000)*10000+44)</f>
        <v/>
      </c>
      <c r="BK45">
        <f>IF(BI45=1,BJ45,"")</f>
        <v/>
      </c>
      <c r="BL45">
        <f>IF(AND(BH45=1,BG45=0,N(AW45)&lt;Setup!$D$7),(AW45-40000)*10000+44,"")</f>
        <v/>
      </c>
      <c r="BM45">
        <f>IF(AND(BH45=1,AZ45&lt;&gt;"Cancelled",N(AW45)&gt;=Dashboard!$AB$3,N(AW45)&lt;=Dashboard!$AB$3+6),(AW45-40000)*100000+BF45*10000+44,"")</f>
        <v/>
      </c>
      <c r="BN45">
        <f>IF(AND(BH45=1,AZ45&lt;&gt;"Cancelled"),BF45*10000+44,"")</f>
        <v/>
      </c>
    </row>
    <row r="46">
      <c r="A46">
        <f>Setup!$D$5+44</f>
        <v/>
      </c>
      <c r="B46">
        <f>IF('Recurring Schedule'!$C$6="","",IF('Recurring Schedule'!$F$6="","",IF(OR($A46&lt;'Recurring Schedule'!$F$6,$A46&gt;'Recurring Schedule'!$P$6),"",IF(IF('Recurring Schedule'!$N$6&gt;0,MOD($A46-'Recurring Schedule'!$F$6,'Recurring Schedule'!$N$6)=0,IF('Recurring Schedule'!$O$6&gt;0,AND(DAY($A46)=MIN(DAY('Recurring Schedule'!$F$6),DAY(EOMONTH($A46,0))),MOD((YEAR($A46)-YEAR('Recurring Schedule'!$F$6))*12+MONTH($A46)-MONTH('Recurring Schedule'!$F$6),'Recurring Schedule'!$O$6)=0),IF('Recurring Schedule'!$E$6="Weekdays",WEEKDAY($A46,2)&lt;=5,$A46='Recurring Schedule'!$F$6))),1,""))))</f>
        <v/>
      </c>
      <c r="C46">
        <f>IF('Recurring Schedule'!$C$7="","",IF('Recurring Schedule'!$F$7="","",IF(OR($A46&lt;'Recurring Schedule'!$F$7,$A46&gt;'Recurring Schedule'!$P$7),"",IF(IF('Recurring Schedule'!$N$7&gt;0,MOD($A46-'Recurring Schedule'!$F$7,'Recurring Schedule'!$N$7)=0,IF('Recurring Schedule'!$O$7&gt;0,AND(DAY($A46)=MIN(DAY('Recurring Schedule'!$F$7),DAY(EOMONTH($A46,0))),MOD((YEAR($A46)-YEAR('Recurring Schedule'!$F$7))*12+MONTH($A46)-MONTH('Recurring Schedule'!$F$7),'Recurring Schedule'!$O$7)=0),IF('Recurring Schedule'!$E$7="Weekdays",WEEKDAY($A46,2)&lt;=5,$A46='Recurring Schedule'!$F$7))),2,""))))</f>
        <v/>
      </c>
      <c r="D46">
        <f>IF('Recurring Schedule'!$C$8="","",IF('Recurring Schedule'!$F$8="","",IF(OR($A46&lt;'Recurring Schedule'!$F$8,$A46&gt;'Recurring Schedule'!$P$8),"",IF(IF('Recurring Schedule'!$N$8&gt;0,MOD($A46-'Recurring Schedule'!$F$8,'Recurring Schedule'!$N$8)=0,IF('Recurring Schedule'!$O$8&gt;0,AND(DAY($A46)=MIN(DAY('Recurring Schedule'!$F$8),DAY(EOMONTH($A46,0))),MOD((YEAR($A46)-YEAR('Recurring Schedule'!$F$8))*12+MONTH($A46)-MONTH('Recurring Schedule'!$F$8),'Recurring Schedule'!$O$8)=0),IF('Recurring Schedule'!$E$8="Weekdays",WEEKDAY($A46,2)&lt;=5,$A46='Recurring Schedule'!$F$8))),3,""))))</f>
        <v/>
      </c>
      <c r="E46">
        <f>IF('Recurring Schedule'!$C$9="","",IF('Recurring Schedule'!$F$9="","",IF(OR($A46&lt;'Recurring Schedule'!$F$9,$A46&gt;'Recurring Schedule'!$P$9),"",IF(IF('Recurring Schedule'!$N$9&gt;0,MOD($A46-'Recurring Schedule'!$F$9,'Recurring Schedule'!$N$9)=0,IF('Recurring Schedule'!$O$9&gt;0,AND(DAY($A46)=MIN(DAY('Recurring Schedule'!$F$9),DAY(EOMONTH($A46,0))),MOD((YEAR($A46)-YEAR('Recurring Schedule'!$F$9))*12+MONTH($A46)-MONTH('Recurring Schedule'!$F$9),'Recurring Schedule'!$O$9)=0),IF('Recurring Schedule'!$E$9="Weekdays",WEEKDAY($A46,2)&lt;=5,$A46='Recurring Schedule'!$F$9))),4,""))))</f>
        <v/>
      </c>
      <c r="F46">
        <f>IF('Recurring Schedule'!$C$10="","",IF('Recurring Schedule'!$F$10="","",IF(OR($A46&lt;'Recurring Schedule'!$F$10,$A46&gt;'Recurring Schedule'!$P$10),"",IF(IF('Recurring Schedule'!$N$10&gt;0,MOD($A46-'Recurring Schedule'!$F$10,'Recurring Schedule'!$N$10)=0,IF('Recurring Schedule'!$O$10&gt;0,AND(DAY($A46)=MIN(DAY('Recurring Schedule'!$F$10),DAY(EOMONTH($A46,0))),MOD((YEAR($A46)-YEAR('Recurring Schedule'!$F$10))*12+MONTH($A46)-MONTH('Recurring Schedule'!$F$10),'Recurring Schedule'!$O$10)=0),IF('Recurring Schedule'!$E$10="Weekdays",WEEKDAY($A46,2)&lt;=5,$A46='Recurring Schedule'!$F$10))),5,""))))</f>
        <v/>
      </c>
      <c r="G46">
        <f>IF('Recurring Schedule'!$C$11="","",IF('Recurring Schedule'!$F$11="","",IF(OR($A46&lt;'Recurring Schedule'!$F$11,$A46&gt;'Recurring Schedule'!$P$11),"",IF(IF('Recurring Schedule'!$N$11&gt;0,MOD($A46-'Recurring Schedule'!$F$11,'Recurring Schedule'!$N$11)=0,IF('Recurring Schedule'!$O$11&gt;0,AND(DAY($A46)=MIN(DAY('Recurring Schedule'!$F$11),DAY(EOMONTH($A46,0))),MOD((YEAR($A46)-YEAR('Recurring Schedule'!$F$11))*12+MONTH($A46)-MONTH('Recurring Schedule'!$F$11),'Recurring Schedule'!$O$11)=0),IF('Recurring Schedule'!$E$11="Weekdays",WEEKDAY($A46,2)&lt;=5,$A46='Recurring Schedule'!$F$11))),6,""))))</f>
        <v/>
      </c>
      <c r="H46">
        <f>IF('Recurring Schedule'!$C$12="","",IF('Recurring Schedule'!$F$12="","",IF(OR($A46&lt;'Recurring Schedule'!$F$12,$A46&gt;'Recurring Schedule'!$P$12),"",IF(IF('Recurring Schedule'!$N$12&gt;0,MOD($A46-'Recurring Schedule'!$F$12,'Recurring Schedule'!$N$12)=0,IF('Recurring Schedule'!$O$12&gt;0,AND(DAY($A46)=MIN(DAY('Recurring Schedule'!$F$12),DAY(EOMONTH($A46,0))),MOD((YEAR($A46)-YEAR('Recurring Schedule'!$F$12))*12+MONTH($A46)-MONTH('Recurring Schedule'!$F$12),'Recurring Schedule'!$O$12)=0),IF('Recurring Schedule'!$E$12="Weekdays",WEEKDAY($A46,2)&lt;=5,$A46='Recurring Schedule'!$F$12))),7,""))))</f>
        <v/>
      </c>
      <c r="I46">
        <f>IF('Recurring Schedule'!$C$13="","",IF('Recurring Schedule'!$F$13="","",IF(OR($A46&lt;'Recurring Schedule'!$F$13,$A46&gt;'Recurring Schedule'!$P$13),"",IF(IF('Recurring Schedule'!$N$13&gt;0,MOD($A46-'Recurring Schedule'!$F$13,'Recurring Schedule'!$N$13)=0,IF('Recurring Schedule'!$O$13&gt;0,AND(DAY($A46)=MIN(DAY('Recurring Schedule'!$F$13),DAY(EOMONTH($A46,0))),MOD((YEAR($A46)-YEAR('Recurring Schedule'!$F$13))*12+MONTH($A46)-MONTH('Recurring Schedule'!$F$13),'Recurring Schedule'!$O$13)=0),IF('Recurring Schedule'!$E$13="Weekdays",WEEKDAY($A46,2)&lt;=5,$A46='Recurring Schedule'!$F$13))),8,""))))</f>
        <v/>
      </c>
      <c r="J46">
        <f>IF('Recurring Schedule'!$C$14="","",IF('Recurring Schedule'!$F$14="","",IF(OR($A46&lt;'Recurring Schedule'!$F$14,$A46&gt;'Recurring Schedule'!$P$14),"",IF(IF('Recurring Schedule'!$N$14&gt;0,MOD($A46-'Recurring Schedule'!$F$14,'Recurring Schedule'!$N$14)=0,IF('Recurring Schedule'!$O$14&gt;0,AND(DAY($A46)=MIN(DAY('Recurring Schedule'!$F$14),DAY(EOMONTH($A46,0))),MOD((YEAR($A46)-YEAR('Recurring Schedule'!$F$14))*12+MONTH($A46)-MONTH('Recurring Schedule'!$F$14),'Recurring Schedule'!$O$14)=0),IF('Recurring Schedule'!$E$14="Weekdays",WEEKDAY($A46,2)&lt;=5,$A46='Recurring Schedule'!$F$14))),9,""))))</f>
        <v/>
      </c>
      <c r="K46">
        <f>IF('Recurring Schedule'!$C$15="","",IF('Recurring Schedule'!$F$15="","",IF(OR($A46&lt;'Recurring Schedule'!$F$15,$A46&gt;'Recurring Schedule'!$P$15),"",IF(IF('Recurring Schedule'!$N$15&gt;0,MOD($A46-'Recurring Schedule'!$F$15,'Recurring Schedule'!$N$15)=0,IF('Recurring Schedule'!$O$15&gt;0,AND(DAY($A46)=MIN(DAY('Recurring Schedule'!$F$15),DAY(EOMONTH($A46,0))),MOD((YEAR($A46)-YEAR('Recurring Schedule'!$F$15))*12+MONTH($A46)-MONTH('Recurring Schedule'!$F$15),'Recurring Schedule'!$O$15)=0),IF('Recurring Schedule'!$E$15="Weekdays",WEEKDAY($A46,2)&lt;=5,$A46='Recurring Schedule'!$F$15))),10,""))))</f>
        <v/>
      </c>
      <c r="L46">
        <f>IF('Recurring Schedule'!$C$16="","",IF('Recurring Schedule'!$F$16="","",IF(OR($A46&lt;'Recurring Schedule'!$F$16,$A46&gt;'Recurring Schedule'!$P$16),"",IF(IF('Recurring Schedule'!$N$16&gt;0,MOD($A46-'Recurring Schedule'!$F$16,'Recurring Schedule'!$N$16)=0,IF('Recurring Schedule'!$O$16&gt;0,AND(DAY($A46)=MIN(DAY('Recurring Schedule'!$F$16),DAY(EOMONTH($A46,0))),MOD((YEAR($A46)-YEAR('Recurring Schedule'!$F$16))*12+MONTH($A46)-MONTH('Recurring Schedule'!$F$16),'Recurring Schedule'!$O$16)=0),IF('Recurring Schedule'!$E$16="Weekdays",WEEKDAY($A46,2)&lt;=5,$A46='Recurring Schedule'!$F$16))),11,""))))</f>
        <v/>
      </c>
      <c r="M46">
        <f>IF('Recurring Schedule'!$C$17="","",IF('Recurring Schedule'!$F$17="","",IF(OR($A46&lt;'Recurring Schedule'!$F$17,$A46&gt;'Recurring Schedule'!$P$17),"",IF(IF('Recurring Schedule'!$N$17&gt;0,MOD($A46-'Recurring Schedule'!$F$17,'Recurring Schedule'!$N$17)=0,IF('Recurring Schedule'!$O$17&gt;0,AND(DAY($A46)=MIN(DAY('Recurring Schedule'!$F$17),DAY(EOMONTH($A46,0))),MOD((YEAR($A46)-YEAR('Recurring Schedule'!$F$17))*12+MONTH($A46)-MONTH('Recurring Schedule'!$F$17),'Recurring Schedule'!$O$17)=0),IF('Recurring Schedule'!$E$17="Weekdays",WEEKDAY($A46,2)&lt;=5,$A46='Recurring Schedule'!$F$17))),12,""))))</f>
        <v/>
      </c>
      <c r="N46">
        <f>IF('Recurring Schedule'!$C$18="","",IF('Recurring Schedule'!$F$18="","",IF(OR($A46&lt;'Recurring Schedule'!$F$18,$A46&gt;'Recurring Schedule'!$P$18),"",IF(IF('Recurring Schedule'!$N$18&gt;0,MOD($A46-'Recurring Schedule'!$F$18,'Recurring Schedule'!$N$18)=0,IF('Recurring Schedule'!$O$18&gt;0,AND(DAY($A46)=MIN(DAY('Recurring Schedule'!$F$18),DAY(EOMONTH($A46,0))),MOD((YEAR($A46)-YEAR('Recurring Schedule'!$F$18))*12+MONTH($A46)-MONTH('Recurring Schedule'!$F$18),'Recurring Schedule'!$O$18)=0),IF('Recurring Schedule'!$E$18="Weekdays",WEEKDAY($A46,2)&lt;=5,$A46='Recurring Schedule'!$F$18))),13,""))))</f>
        <v/>
      </c>
      <c r="O46">
        <f>IF('Recurring Schedule'!$C$19="","",IF('Recurring Schedule'!$F$19="","",IF(OR($A46&lt;'Recurring Schedule'!$F$19,$A46&gt;'Recurring Schedule'!$P$19),"",IF(IF('Recurring Schedule'!$N$19&gt;0,MOD($A46-'Recurring Schedule'!$F$19,'Recurring Schedule'!$N$19)=0,IF('Recurring Schedule'!$O$19&gt;0,AND(DAY($A46)=MIN(DAY('Recurring Schedule'!$F$19),DAY(EOMONTH($A46,0))),MOD((YEAR($A46)-YEAR('Recurring Schedule'!$F$19))*12+MONTH($A46)-MONTH('Recurring Schedule'!$F$19),'Recurring Schedule'!$O$19)=0),IF('Recurring Schedule'!$E$19="Weekdays",WEEKDAY($A46,2)&lt;=5,$A46='Recurring Schedule'!$F$19))),14,""))))</f>
        <v/>
      </c>
      <c r="P46">
        <f>IF('Recurring Schedule'!$C$20="","",IF('Recurring Schedule'!$F$20="","",IF(OR($A46&lt;'Recurring Schedule'!$F$20,$A46&gt;'Recurring Schedule'!$P$20),"",IF(IF('Recurring Schedule'!$N$20&gt;0,MOD($A46-'Recurring Schedule'!$F$20,'Recurring Schedule'!$N$20)=0,IF('Recurring Schedule'!$O$20&gt;0,AND(DAY($A46)=MIN(DAY('Recurring Schedule'!$F$20),DAY(EOMONTH($A46,0))),MOD((YEAR($A46)-YEAR('Recurring Schedule'!$F$20))*12+MONTH($A46)-MONTH('Recurring Schedule'!$F$20),'Recurring Schedule'!$O$20)=0),IF('Recurring Schedule'!$E$20="Weekdays",WEEKDAY($A46,2)&lt;=5,$A46='Recurring Schedule'!$F$20))),15,""))))</f>
        <v/>
      </c>
      <c r="Q46">
        <f>IF('Recurring Schedule'!$C$21="","",IF('Recurring Schedule'!$F$21="","",IF(OR($A46&lt;'Recurring Schedule'!$F$21,$A46&gt;'Recurring Schedule'!$P$21),"",IF(IF('Recurring Schedule'!$N$21&gt;0,MOD($A46-'Recurring Schedule'!$F$21,'Recurring Schedule'!$N$21)=0,IF('Recurring Schedule'!$O$21&gt;0,AND(DAY($A46)=MIN(DAY('Recurring Schedule'!$F$21),DAY(EOMONTH($A46,0))),MOD((YEAR($A46)-YEAR('Recurring Schedule'!$F$21))*12+MONTH($A46)-MONTH('Recurring Schedule'!$F$21),'Recurring Schedule'!$O$21)=0),IF('Recurring Schedule'!$E$21="Weekdays",WEEKDAY($A46,2)&lt;=5,$A46='Recurring Schedule'!$F$21))),16,""))))</f>
        <v/>
      </c>
      <c r="R46">
        <f>IF('Recurring Schedule'!$C$22="","",IF('Recurring Schedule'!$F$22="","",IF(OR($A46&lt;'Recurring Schedule'!$F$22,$A46&gt;'Recurring Schedule'!$P$22),"",IF(IF('Recurring Schedule'!$N$22&gt;0,MOD($A46-'Recurring Schedule'!$F$22,'Recurring Schedule'!$N$22)=0,IF('Recurring Schedule'!$O$22&gt;0,AND(DAY($A46)=MIN(DAY('Recurring Schedule'!$F$22),DAY(EOMONTH($A46,0))),MOD((YEAR($A46)-YEAR('Recurring Schedule'!$F$22))*12+MONTH($A46)-MONTH('Recurring Schedule'!$F$22),'Recurring Schedule'!$O$22)=0),IF('Recurring Schedule'!$E$22="Weekdays",WEEKDAY($A46,2)&lt;=5,$A46='Recurring Schedule'!$F$22))),17,""))))</f>
        <v/>
      </c>
      <c r="S46">
        <f>IF('Recurring Schedule'!$C$23="","",IF('Recurring Schedule'!$F$23="","",IF(OR($A46&lt;'Recurring Schedule'!$F$23,$A46&gt;'Recurring Schedule'!$P$23),"",IF(IF('Recurring Schedule'!$N$23&gt;0,MOD($A46-'Recurring Schedule'!$F$23,'Recurring Schedule'!$N$23)=0,IF('Recurring Schedule'!$O$23&gt;0,AND(DAY($A46)=MIN(DAY('Recurring Schedule'!$F$23),DAY(EOMONTH($A46,0))),MOD((YEAR($A46)-YEAR('Recurring Schedule'!$F$23))*12+MONTH($A46)-MONTH('Recurring Schedule'!$F$23),'Recurring Schedule'!$O$23)=0),IF('Recurring Schedule'!$E$23="Weekdays",WEEKDAY($A46,2)&lt;=5,$A46='Recurring Schedule'!$F$23))),18,""))))</f>
        <v/>
      </c>
      <c r="T46">
        <f>IF('Recurring Schedule'!$C$24="","",IF('Recurring Schedule'!$F$24="","",IF(OR($A46&lt;'Recurring Schedule'!$F$24,$A46&gt;'Recurring Schedule'!$P$24),"",IF(IF('Recurring Schedule'!$N$24&gt;0,MOD($A46-'Recurring Schedule'!$F$24,'Recurring Schedule'!$N$24)=0,IF('Recurring Schedule'!$O$24&gt;0,AND(DAY($A46)=MIN(DAY('Recurring Schedule'!$F$24),DAY(EOMONTH($A46,0))),MOD((YEAR($A46)-YEAR('Recurring Schedule'!$F$24))*12+MONTH($A46)-MONTH('Recurring Schedule'!$F$24),'Recurring Schedule'!$O$24)=0),IF('Recurring Schedule'!$E$24="Weekdays",WEEKDAY($A46,2)&lt;=5,$A46='Recurring Schedule'!$F$24))),19,""))))</f>
        <v/>
      </c>
      <c r="U46">
        <f>IF('Recurring Schedule'!$C$25="","",IF('Recurring Schedule'!$F$25="","",IF(OR($A46&lt;'Recurring Schedule'!$F$25,$A46&gt;'Recurring Schedule'!$P$25),"",IF(IF('Recurring Schedule'!$N$25&gt;0,MOD($A46-'Recurring Schedule'!$F$25,'Recurring Schedule'!$N$25)=0,IF('Recurring Schedule'!$O$25&gt;0,AND(DAY($A46)=MIN(DAY('Recurring Schedule'!$F$25),DAY(EOMONTH($A46,0))),MOD((YEAR($A46)-YEAR('Recurring Schedule'!$F$25))*12+MONTH($A46)-MONTH('Recurring Schedule'!$F$25),'Recurring Schedule'!$O$25)=0),IF('Recurring Schedule'!$E$25="Weekdays",WEEKDAY($A46,2)&lt;=5,$A46='Recurring Schedule'!$F$25))),20,""))))</f>
        <v/>
      </c>
      <c r="V46">
        <f>IF('Recurring Schedule'!$C$26="","",IF('Recurring Schedule'!$F$26="","",IF(OR($A46&lt;'Recurring Schedule'!$F$26,$A46&gt;'Recurring Schedule'!$P$26),"",IF(IF('Recurring Schedule'!$N$26&gt;0,MOD($A46-'Recurring Schedule'!$F$26,'Recurring Schedule'!$N$26)=0,IF('Recurring Schedule'!$O$26&gt;0,AND(DAY($A46)=MIN(DAY('Recurring Schedule'!$F$26),DAY(EOMONTH($A46,0))),MOD((YEAR($A46)-YEAR('Recurring Schedule'!$F$26))*12+MONTH($A46)-MONTH('Recurring Schedule'!$F$26),'Recurring Schedule'!$O$26)=0),IF('Recurring Schedule'!$E$26="Weekdays",WEEKDAY($A46,2)&lt;=5,$A46='Recurring Schedule'!$F$26))),21,""))))</f>
        <v/>
      </c>
      <c r="W46">
        <f>IF('Recurring Schedule'!$C$27="","",IF('Recurring Schedule'!$F$27="","",IF(OR($A46&lt;'Recurring Schedule'!$F$27,$A46&gt;'Recurring Schedule'!$P$27),"",IF(IF('Recurring Schedule'!$N$27&gt;0,MOD($A46-'Recurring Schedule'!$F$27,'Recurring Schedule'!$N$27)=0,IF('Recurring Schedule'!$O$27&gt;0,AND(DAY($A46)=MIN(DAY('Recurring Schedule'!$F$27),DAY(EOMONTH($A46,0))),MOD((YEAR($A46)-YEAR('Recurring Schedule'!$F$27))*12+MONTH($A46)-MONTH('Recurring Schedule'!$F$27),'Recurring Schedule'!$O$27)=0),IF('Recurring Schedule'!$E$27="Weekdays",WEEKDAY($A46,2)&lt;=5,$A46='Recurring Schedule'!$F$27))),22,""))))</f>
        <v/>
      </c>
      <c r="X46">
        <f>IF('Recurring Schedule'!$C$28="","",IF('Recurring Schedule'!$F$28="","",IF(OR($A46&lt;'Recurring Schedule'!$F$28,$A46&gt;'Recurring Schedule'!$P$28),"",IF(IF('Recurring Schedule'!$N$28&gt;0,MOD($A46-'Recurring Schedule'!$F$28,'Recurring Schedule'!$N$28)=0,IF('Recurring Schedule'!$O$28&gt;0,AND(DAY($A46)=MIN(DAY('Recurring Schedule'!$F$28),DAY(EOMONTH($A46,0))),MOD((YEAR($A46)-YEAR('Recurring Schedule'!$F$28))*12+MONTH($A46)-MONTH('Recurring Schedule'!$F$28),'Recurring Schedule'!$O$28)=0),IF('Recurring Schedule'!$E$28="Weekdays",WEEKDAY($A46,2)&lt;=5,$A46='Recurring Schedule'!$F$28))),23,""))))</f>
        <v/>
      </c>
      <c r="Y46">
        <f>IF('Recurring Schedule'!$C$29="","",IF('Recurring Schedule'!$F$29="","",IF(OR($A46&lt;'Recurring Schedule'!$F$29,$A46&gt;'Recurring Schedule'!$P$29),"",IF(IF('Recurring Schedule'!$N$29&gt;0,MOD($A46-'Recurring Schedule'!$F$29,'Recurring Schedule'!$N$29)=0,IF('Recurring Schedule'!$O$29&gt;0,AND(DAY($A46)=MIN(DAY('Recurring Schedule'!$F$29),DAY(EOMONTH($A46,0))),MOD((YEAR($A46)-YEAR('Recurring Schedule'!$F$29))*12+MONTH($A46)-MONTH('Recurring Schedule'!$F$29),'Recurring Schedule'!$O$29)=0),IF('Recurring Schedule'!$E$29="Weekdays",WEEKDAY($A46,2)&lt;=5,$A46='Recurring Schedule'!$F$29))),24,""))))</f>
        <v/>
      </c>
      <c r="Z46">
        <f>IF('Recurring Schedule'!$C$30="","",IF('Recurring Schedule'!$F$30="","",IF(OR($A46&lt;'Recurring Schedule'!$F$30,$A46&gt;'Recurring Schedule'!$P$30),"",IF(IF('Recurring Schedule'!$N$30&gt;0,MOD($A46-'Recurring Schedule'!$F$30,'Recurring Schedule'!$N$30)=0,IF('Recurring Schedule'!$O$30&gt;0,AND(DAY($A46)=MIN(DAY('Recurring Schedule'!$F$30),DAY(EOMONTH($A46,0))),MOD((YEAR($A46)-YEAR('Recurring Schedule'!$F$30))*12+MONTH($A46)-MONTH('Recurring Schedule'!$F$30),'Recurring Schedule'!$O$30)=0),IF('Recurring Schedule'!$E$30="Weekdays",WEEKDAY($A46,2)&lt;=5,$A46='Recurring Schedule'!$F$30))),25,""))))</f>
        <v/>
      </c>
      <c r="AA46">
        <f>IF('Recurring Schedule'!$C$31="","",IF('Recurring Schedule'!$F$31="","",IF(OR($A46&lt;'Recurring Schedule'!$F$31,$A46&gt;'Recurring Schedule'!$P$31),"",IF(IF('Recurring Schedule'!$N$31&gt;0,MOD($A46-'Recurring Schedule'!$F$31,'Recurring Schedule'!$N$31)=0,IF('Recurring Schedule'!$O$31&gt;0,AND(DAY($A46)=MIN(DAY('Recurring Schedule'!$F$31),DAY(EOMONTH($A46,0))),MOD((YEAR($A46)-YEAR('Recurring Schedule'!$F$31))*12+MONTH($A46)-MONTH('Recurring Schedule'!$F$31),'Recurring Schedule'!$O$31)=0),IF('Recurring Schedule'!$E$31="Weekdays",WEEKDAY($A46,2)&lt;=5,$A46='Recurring Schedule'!$F$31))),26,""))))</f>
        <v/>
      </c>
      <c r="AB46">
        <f>IF('Recurring Schedule'!$C$32="","",IF('Recurring Schedule'!$F$32="","",IF(OR($A46&lt;'Recurring Schedule'!$F$32,$A46&gt;'Recurring Schedule'!$P$32),"",IF(IF('Recurring Schedule'!$N$32&gt;0,MOD($A46-'Recurring Schedule'!$F$32,'Recurring Schedule'!$N$32)=0,IF('Recurring Schedule'!$O$32&gt;0,AND(DAY($A46)=MIN(DAY('Recurring Schedule'!$F$32),DAY(EOMONTH($A46,0))),MOD((YEAR($A46)-YEAR('Recurring Schedule'!$F$32))*12+MONTH($A46)-MONTH('Recurring Schedule'!$F$32),'Recurring Schedule'!$O$32)=0),IF('Recurring Schedule'!$E$32="Weekdays",WEEKDAY($A46,2)&lt;=5,$A46='Recurring Schedule'!$F$32))),27,""))))</f>
        <v/>
      </c>
      <c r="AC46">
        <f>IF('Recurring Schedule'!$C$33="","",IF('Recurring Schedule'!$F$33="","",IF(OR($A46&lt;'Recurring Schedule'!$F$33,$A46&gt;'Recurring Schedule'!$P$33),"",IF(IF('Recurring Schedule'!$N$33&gt;0,MOD($A46-'Recurring Schedule'!$F$33,'Recurring Schedule'!$N$33)=0,IF('Recurring Schedule'!$O$33&gt;0,AND(DAY($A46)=MIN(DAY('Recurring Schedule'!$F$33),DAY(EOMONTH($A46,0))),MOD((YEAR($A46)-YEAR('Recurring Schedule'!$F$33))*12+MONTH($A46)-MONTH('Recurring Schedule'!$F$33),'Recurring Schedule'!$O$33)=0),IF('Recurring Schedule'!$E$33="Weekdays",WEEKDAY($A46,2)&lt;=5,$A46='Recurring Schedule'!$F$33))),28,""))))</f>
        <v/>
      </c>
      <c r="AD46">
        <f>IF('Recurring Schedule'!$C$34="","",IF('Recurring Schedule'!$F$34="","",IF(OR($A46&lt;'Recurring Schedule'!$F$34,$A46&gt;'Recurring Schedule'!$P$34),"",IF(IF('Recurring Schedule'!$N$34&gt;0,MOD($A46-'Recurring Schedule'!$F$34,'Recurring Schedule'!$N$34)=0,IF('Recurring Schedule'!$O$34&gt;0,AND(DAY($A46)=MIN(DAY('Recurring Schedule'!$F$34),DAY(EOMONTH($A46,0))),MOD((YEAR($A46)-YEAR('Recurring Schedule'!$F$34))*12+MONTH($A46)-MONTH('Recurring Schedule'!$F$34),'Recurring Schedule'!$O$34)=0),IF('Recurring Schedule'!$E$34="Weekdays",WEEKDAY($A46,2)&lt;=5,$A46='Recurring Schedule'!$F$34))),29,""))))</f>
        <v/>
      </c>
      <c r="AE46">
        <f>IF('Recurring Schedule'!$C$35="","",IF('Recurring Schedule'!$F$35="","",IF(OR($A46&lt;'Recurring Schedule'!$F$35,$A46&gt;'Recurring Schedule'!$P$35),"",IF(IF('Recurring Schedule'!$N$35&gt;0,MOD($A46-'Recurring Schedule'!$F$35,'Recurring Schedule'!$N$35)=0,IF('Recurring Schedule'!$O$35&gt;0,AND(DAY($A46)=MIN(DAY('Recurring Schedule'!$F$35),DAY(EOMONTH($A46,0))),MOD((YEAR($A46)-YEAR('Recurring Schedule'!$F$35))*12+MONTH($A46)-MONTH('Recurring Schedule'!$F$35),'Recurring Schedule'!$O$35)=0),IF('Recurring Schedule'!$E$35="Weekdays",WEEKDAY($A46,2)&lt;=5,$A46='Recurring Schedule'!$F$35))),30,""))))</f>
        <v/>
      </c>
      <c r="AF46">
        <f>IF('Recurring Schedule'!$C$36="","",IF('Recurring Schedule'!$F$36="","",IF(OR($A46&lt;'Recurring Schedule'!$F$36,$A46&gt;'Recurring Schedule'!$P$36),"",IF(IF('Recurring Schedule'!$N$36&gt;0,MOD($A46-'Recurring Schedule'!$F$36,'Recurring Schedule'!$N$36)=0,IF('Recurring Schedule'!$O$36&gt;0,AND(DAY($A46)=MIN(DAY('Recurring Schedule'!$F$36),DAY(EOMONTH($A46,0))),MOD((YEAR($A46)-YEAR('Recurring Schedule'!$F$36))*12+MONTH($A46)-MONTH('Recurring Schedule'!$F$36),'Recurring Schedule'!$O$36)=0),IF('Recurring Schedule'!$E$36="Weekdays",WEEKDAY($A46,2)&lt;=5,$A46='Recurring Schedule'!$F$36))),31,""))))</f>
        <v/>
      </c>
      <c r="AG46">
        <f>IF('Recurring Schedule'!$C$37="","",IF('Recurring Schedule'!$F$37="","",IF(OR($A46&lt;'Recurring Schedule'!$F$37,$A46&gt;'Recurring Schedule'!$P$37),"",IF(IF('Recurring Schedule'!$N$37&gt;0,MOD($A46-'Recurring Schedule'!$F$37,'Recurring Schedule'!$N$37)=0,IF('Recurring Schedule'!$O$37&gt;0,AND(DAY($A46)=MIN(DAY('Recurring Schedule'!$F$37),DAY(EOMONTH($A46,0))),MOD((YEAR($A46)-YEAR('Recurring Schedule'!$F$37))*12+MONTH($A46)-MONTH('Recurring Schedule'!$F$37),'Recurring Schedule'!$O$37)=0),IF('Recurring Schedule'!$E$37="Weekdays",WEEKDAY($A46,2)&lt;=5,$A46='Recurring Schedule'!$F$37))),32,""))))</f>
        <v/>
      </c>
      <c r="AH46">
        <f>IF('Recurring Schedule'!$C$38="","",IF('Recurring Schedule'!$F$38="","",IF(OR($A46&lt;'Recurring Schedule'!$F$38,$A46&gt;'Recurring Schedule'!$P$38),"",IF(IF('Recurring Schedule'!$N$38&gt;0,MOD($A46-'Recurring Schedule'!$F$38,'Recurring Schedule'!$N$38)=0,IF('Recurring Schedule'!$O$38&gt;0,AND(DAY($A46)=MIN(DAY('Recurring Schedule'!$F$38),DAY(EOMONTH($A46,0))),MOD((YEAR($A46)-YEAR('Recurring Schedule'!$F$38))*12+MONTH($A46)-MONTH('Recurring Schedule'!$F$38),'Recurring Schedule'!$O$38)=0),IF('Recurring Schedule'!$E$38="Weekdays",WEEKDAY($A46,2)&lt;=5,$A46='Recurring Schedule'!$F$38))),33,""))))</f>
        <v/>
      </c>
      <c r="AI46">
        <f>IF('Recurring Schedule'!$C$39="","",IF('Recurring Schedule'!$F$39="","",IF(OR($A46&lt;'Recurring Schedule'!$F$39,$A46&gt;'Recurring Schedule'!$P$39),"",IF(IF('Recurring Schedule'!$N$39&gt;0,MOD($A46-'Recurring Schedule'!$F$39,'Recurring Schedule'!$N$39)=0,IF('Recurring Schedule'!$O$39&gt;0,AND(DAY($A46)=MIN(DAY('Recurring Schedule'!$F$39),DAY(EOMONTH($A46,0))),MOD((YEAR($A46)-YEAR('Recurring Schedule'!$F$39))*12+MONTH($A46)-MONTH('Recurring Schedule'!$F$39),'Recurring Schedule'!$O$39)=0),IF('Recurring Schedule'!$E$39="Weekdays",WEEKDAY($A46,2)&lt;=5,$A46='Recurring Schedule'!$F$39))),34,""))))</f>
        <v/>
      </c>
      <c r="AJ46">
        <f>IF('Recurring Schedule'!$C$40="","",IF('Recurring Schedule'!$F$40="","",IF(OR($A46&lt;'Recurring Schedule'!$F$40,$A46&gt;'Recurring Schedule'!$P$40),"",IF(IF('Recurring Schedule'!$N$40&gt;0,MOD($A46-'Recurring Schedule'!$F$40,'Recurring Schedule'!$N$40)=0,IF('Recurring Schedule'!$O$40&gt;0,AND(DAY($A46)=MIN(DAY('Recurring Schedule'!$F$40),DAY(EOMONTH($A46,0))),MOD((YEAR($A46)-YEAR('Recurring Schedule'!$F$40))*12+MONTH($A46)-MONTH('Recurring Schedule'!$F$40),'Recurring Schedule'!$O$40)=0),IF('Recurring Schedule'!$E$40="Weekdays",WEEKDAY($A46,2)&lt;=5,$A46='Recurring Schedule'!$F$40))),35,""))))</f>
        <v/>
      </c>
      <c r="AK46">
        <f>IF('Recurring Schedule'!$C$41="","",IF('Recurring Schedule'!$F$41="","",IF(OR($A46&lt;'Recurring Schedule'!$F$41,$A46&gt;'Recurring Schedule'!$P$41),"",IF(IF('Recurring Schedule'!$N$41&gt;0,MOD($A46-'Recurring Schedule'!$F$41,'Recurring Schedule'!$N$41)=0,IF('Recurring Schedule'!$O$41&gt;0,AND(DAY($A46)=MIN(DAY('Recurring Schedule'!$F$41),DAY(EOMONTH($A46,0))),MOD((YEAR($A46)-YEAR('Recurring Schedule'!$F$41))*12+MONTH($A46)-MONTH('Recurring Schedule'!$F$41),'Recurring Schedule'!$O$41)=0),IF('Recurring Schedule'!$E$41="Weekdays",WEEKDAY($A46,2)&lt;=5,$A46='Recurring Schedule'!$F$41))),36,""))))</f>
        <v/>
      </c>
      <c r="AL46">
        <f>IF('Recurring Schedule'!$C$42="","",IF('Recurring Schedule'!$F$42="","",IF(OR($A46&lt;'Recurring Schedule'!$F$42,$A46&gt;'Recurring Schedule'!$P$42),"",IF(IF('Recurring Schedule'!$N$42&gt;0,MOD($A46-'Recurring Schedule'!$F$42,'Recurring Schedule'!$N$42)=0,IF('Recurring Schedule'!$O$42&gt;0,AND(DAY($A46)=MIN(DAY('Recurring Schedule'!$F$42),DAY(EOMONTH($A46,0))),MOD((YEAR($A46)-YEAR('Recurring Schedule'!$F$42))*12+MONTH($A46)-MONTH('Recurring Schedule'!$F$42),'Recurring Schedule'!$O$42)=0),IF('Recurring Schedule'!$E$42="Weekdays",WEEKDAY($A46,2)&lt;=5,$A46='Recurring Schedule'!$F$42))),37,""))))</f>
        <v/>
      </c>
      <c r="AM46">
        <f>IF('Recurring Schedule'!$C$43="","",IF('Recurring Schedule'!$F$43="","",IF(OR($A46&lt;'Recurring Schedule'!$F$43,$A46&gt;'Recurring Schedule'!$P$43),"",IF(IF('Recurring Schedule'!$N$43&gt;0,MOD($A46-'Recurring Schedule'!$F$43,'Recurring Schedule'!$N$43)=0,IF('Recurring Schedule'!$O$43&gt;0,AND(DAY($A46)=MIN(DAY('Recurring Schedule'!$F$43),DAY(EOMONTH($A46,0))),MOD((YEAR($A46)-YEAR('Recurring Schedule'!$F$43))*12+MONTH($A46)-MONTH('Recurring Schedule'!$F$43),'Recurring Schedule'!$O$43)=0),IF('Recurring Schedule'!$E$43="Weekdays",WEEKDAY($A46,2)&lt;=5,$A46='Recurring Schedule'!$F$43))),38,""))))</f>
        <v/>
      </c>
      <c r="AN46">
        <f>IF('Recurring Schedule'!$C$44="","",IF('Recurring Schedule'!$F$44="","",IF(OR($A46&lt;'Recurring Schedule'!$F$44,$A46&gt;'Recurring Schedule'!$P$44),"",IF(IF('Recurring Schedule'!$N$44&gt;0,MOD($A46-'Recurring Schedule'!$F$44,'Recurring Schedule'!$N$44)=0,IF('Recurring Schedule'!$O$44&gt;0,AND(DAY($A46)=MIN(DAY('Recurring Schedule'!$F$44),DAY(EOMONTH($A46,0))),MOD((YEAR($A46)-YEAR('Recurring Schedule'!$F$44))*12+MONTH($A46)-MONTH('Recurring Schedule'!$F$44),'Recurring Schedule'!$O$44)=0),IF('Recurring Schedule'!$E$44="Weekdays",WEEKDAY($A46,2)&lt;=5,$A46='Recurring Schedule'!$F$44))),39,""))))</f>
        <v/>
      </c>
      <c r="AO46">
        <f>IF('Recurring Schedule'!$C$45="","",IF('Recurring Schedule'!$F$45="","",IF(OR($A46&lt;'Recurring Schedule'!$F$45,$A46&gt;'Recurring Schedule'!$P$45),"",IF(IF('Recurring Schedule'!$N$45&gt;0,MOD($A46-'Recurring Schedule'!$F$45,'Recurring Schedule'!$N$45)=0,IF('Recurring Schedule'!$O$45&gt;0,AND(DAY($A46)=MIN(DAY('Recurring Schedule'!$F$45),DAY(EOMONTH($A46,0))),MOD((YEAR($A46)-YEAR('Recurring Schedule'!$F$45))*12+MONTH($A46)-MONTH('Recurring Schedule'!$F$45),'Recurring Schedule'!$O$45)=0),IF('Recurring Schedule'!$E$45="Weekdays",WEEKDAY($A46,2)&lt;=5,$A46='Recurring Schedule'!$F$45))),40,""))))</f>
        <v/>
      </c>
      <c r="AP46">
        <f>COUNT(B46:AO46)</f>
        <v/>
      </c>
      <c r="AQ46">
        <f>AQ45+AP45</f>
        <v/>
      </c>
      <c r="AS46" t="inlineStr">
        <is>
          <t>R</t>
        </is>
      </c>
      <c r="AT46" t="n">
        <v>50</v>
      </c>
      <c r="AU46">
        <f>'Recurring Log'!C50&amp;""</f>
        <v/>
      </c>
      <c r="AV46">
        <f>'Recurring Log'!D50&amp;""</f>
        <v/>
      </c>
      <c r="AW46">
        <f>IF('Recurring Log'!E50="","",'Recurring Log'!E50)</f>
        <v/>
      </c>
      <c r="AX46">
        <f>IF('Recurring Log'!G50="","",'Recurring Log'!G50)</f>
        <v/>
      </c>
      <c r="AY46">
        <f>IF('Recurring Log'!H50="","",'Recurring Log'!H50)</f>
        <v/>
      </c>
      <c r="AZ46">
        <f>IF(AU46="","",IF('Recurring Log'!J50="","Not Started",'Recurring Log'!J50))</f>
        <v/>
      </c>
      <c r="BA46">
        <f>'Recurring Log'!L50&amp;""</f>
        <v/>
      </c>
      <c r="BB46">
        <f>'Recurring Log'!M50&amp;""</f>
        <v/>
      </c>
      <c r="BC46">
        <f>'Recurring Log'!N50&amp;""</f>
        <v/>
      </c>
      <c r="BD46">
        <f>'Recurring Log'!O50&amp;""</f>
        <v/>
      </c>
      <c r="BE46">
        <f>IF('Recurring Log'!K50="","",'Recurring Log'!K50)</f>
        <v/>
      </c>
      <c r="BF46">
        <f>IFERROR(MATCH(BA46,Setup!$L$6:$L$9,0),5)</f>
        <v/>
      </c>
      <c r="BG46">
        <f>IF(OR(AZ46="Done",AZ46="Cancelled"),1,0)</f>
        <v/>
      </c>
      <c r="BH46">
        <f>IF(AND(AU46&lt;&gt;"",ISNUMBER(AW46)),1,0)</f>
        <v/>
      </c>
      <c r="BI46">
        <f>IF(BH46=0,0,IF(AND(AW46&gt;='Tasks Filter'!$F$3,AW46&lt;='Tasks Filter'!$F$4,OR('Tasks Filter'!$I$3="",ISNUMBER(SEARCH('Tasks Filter'!$I$3,AU46))),OR('Tasks Filter'!$I$4="",BF46=IFERROR(MATCH('Tasks Filter'!$I$4,Setup!$L$6:$L$9,0),0)),OR('Tasks Filter'!$I$5="Both",AND('Tasks Filter'!$I$5="Yes",BB46="✓"),AND('Tasks Filter'!$I$5="No",BB46&lt;&gt;"✓")),OR('Tasks Filter'!$L$3="",AV46='Tasks Filter'!$L$3),OR('Tasks Filter'!$L$4="",AZ46='Tasks Filter'!$L$4),OR('Tasks Filter'!$L$5="",BC46='Tasks Filter'!$L$5),OR('Tasks Filter'!$O$3="",BD46='Tasks Filter'!$O$3),OR('Tasks Filter'!$O$4="Yes",BG46=0)),1,0))</f>
        <v/>
      </c>
      <c r="BJ46">
        <f>IF(BH46=0,"",IF('Tasks Filter'!$F$6="Descending",-1,1)*CHOOSE(MATCH('Tasks Filter'!$F$5,Lists!$G$2:$G$6,0),AW46,BF46,IFERROR(MATCH(AV46,Setup!$F$6:$F$15,0),99),IFERROR(MATCH(BC46,Setup!$H$6:$H$15,0),99),IFERROR(MATCH(AZ46,Setup!$J$6:$J$11,0),99))*1E+9+(AW46-40000)*10000+45)</f>
        <v/>
      </c>
      <c r="BK46">
        <f>IF(BI46=1,BJ46,"")</f>
        <v/>
      </c>
      <c r="BL46">
        <f>IF(AND(BH46=1,BG46=0,N(AW46)&lt;Setup!$D$7),(AW46-40000)*10000+45,"")</f>
        <v/>
      </c>
      <c r="BM46">
        <f>IF(AND(BH46=1,AZ46&lt;&gt;"Cancelled",N(AW46)&gt;=Dashboard!$AB$3,N(AW46)&lt;=Dashboard!$AB$3+6),(AW46-40000)*100000+BF46*10000+45,"")</f>
        <v/>
      </c>
      <c r="BN46">
        <f>IF(AND(BH46=1,AZ46&lt;&gt;"Cancelled"),BF46*10000+45,"")</f>
        <v/>
      </c>
    </row>
    <row r="47">
      <c r="A47">
        <f>Setup!$D$5+45</f>
        <v/>
      </c>
      <c r="B47">
        <f>IF('Recurring Schedule'!$C$6="","",IF('Recurring Schedule'!$F$6="","",IF(OR($A47&lt;'Recurring Schedule'!$F$6,$A47&gt;'Recurring Schedule'!$P$6),"",IF(IF('Recurring Schedule'!$N$6&gt;0,MOD($A47-'Recurring Schedule'!$F$6,'Recurring Schedule'!$N$6)=0,IF('Recurring Schedule'!$O$6&gt;0,AND(DAY($A47)=MIN(DAY('Recurring Schedule'!$F$6),DAY(EOMONTH($A47,0))),MOD((YEAR($A47)-YEAR('Recurring Schedule'!$F$6))*12+MONTH($A47)-MONTH('Recurring Schedule'!$F$6),'Recurring Schedule'!$O$6)=0),IF('Recurring Schedule'!$E$6="Weekdays",WEEKDAY($A47,2)&lt;=5,$A47='Recurring Schedule'!$F$6))),1,""))))</f>
        <v/>
      </c>
      <c r="C47">
        <f>IF('Recurring Schedule'!$C$7="","",IF('Recurring Schedule'!$F$7="","",IF(OR($A47&lt;'Recurring Schedule'!$F$7,$A47&gt;'Recurring Schedule'!$P$7),"",IF(IF('Recurring Schedule'!$N$7&gt;0,MOD($A47-'Recurring Schedule'!$F$7,'Recurring Schedule'!$N$7)=0,IF('Recurring Schedule'!$O$7&gt;0,AND(DAY($A47)=MIN(DAY('Recurring Schedule'!$F$7),DAY(EOMONTH($A47,0))),MOD((YEAR($A47)-YEAR('Recurring Schedule'!$F$7))*12+MONTH($A47)-MONTH('Recurring Schedule'!$F$7),'Recurring Schedule'!$O$7)=0),IF('Recurring Schedule'!$E$7="Weekdays",WEEKDAY($A47,2)&lt;=5,$A47='Recurring Schedule'!$F$7))),2,""))))</f>
        <v/>
      </c>
      <c r="D47">
        <f>IF('Recurring Schedule'!$C$8="","",IF('Recurring Schedule'!$F$8="","",IF(OR($A47&lt;'Recurring Schedule'!$F$8,$A47&gt;'Recurring Schedule'!$P$8),"",IF(IF('Recurring Schedule'!$N$8&gt;0,MOD($A47-'Recurring Schedule'!$F$8,'Recurring Schedule'!$N$8)=0,IF('Recurring Schedule'!$O$8&gt;0,AND(DAY($A47)=MIN(DAY('Recurring Schedule'!$F$8),DAY(EOMONTH($A47,0))),MOD((YEAR($A47)-YEAR('Recurring Schedule'!$F$8))*12+MONTH($A47)-MONTH('Recurring Schedule'!$F$8),'Recurring Schedule'!$O$8)=0),IF('Recurring Schedule'!$E$8="Weekdays",WEEKDAY($A47,2)&lt;=5,$A47='Recurring Schedule'!$F$8))),3,""))))</f>
        <v/>
      </c>
      <c r="E47">
        <f>IF('Recurring Schedule'!$C$9="","",IF('Recurring Schedule'!$F$9="","",IF(OR($A47&lt;'Recurring Schedule'!$F$9,$A47&gt;'Recurring Schedule'!$P$9),"",IF(IF('Recurring Schedule'!$N$9&gt;0,MOD($A47-'Recurring Schedule'!$F$9,'Recurring Schedule'!$N$9)=0,IF('Recurring Schedule'!$O$9&gt;0,AND(DAY($A47)=MIN(DAY('Recurring Schedule'!$F$9),DAY(EOMONTH($A47,0))),MOD((YEAR($A47)-YEAR('Recurring Schedule'!$F$9))*12+MONTH($A47)-MONTH('Recurring Schedule'!$F$9),'Recurring Schedule'!$O$9)=0),IF('Recurring Schedule'!$E$9="Weekdays",WEEKDAY($A47,2)&lt;=5,$A47='Recurring Schedule'!$F$9))),4,""))))</f>
        <v/>
      </c>
      <c r="F47">
        <f>IF('Recurring Schedule'!$C$10="","",IF('Recurring Schedule'!$F$10="","",IF(OR($A47&lt;'Recurring Schedule'!$F$10,$A47&gt;'Recurring Schedule'!$P$10),"",IF(IF('Recurring Schedule'!$N$10&gt;0,MOD($A47-'Recurring Schedule'!$F$10,'Recurring Schedule'!$N$10)=0,IF('Recurring Schedule'!$O$10&gt;0,AND(DAY($A47)=MIN(DAY('Recurring Schedule'!$F$10),DAY(EOMONTH($A47,0))),MOD((YEAR($A47)-YEAR('Recurring Schedule'!$F$10))*12+MONTH($A47)-MONTH('Recurring Schedule'!$F$10),'Recurring Schedule'!$O$10)=0),IF('Recurring Schedule'!$E$10="Weekdays",WEEKDAY($A47,2)&lt;=5,$A47='Recurring Schedule'!$F$10))),5,""))))</f>
        <v/>
      </c>
      <c r="G47">
        <f>IF('Recurring Schedule'!$C$11="","",IF('Recurring Schedule'!$F$11="","",IF(OR($A47&lt;'Recurring Schedule'!$F$11,$A47&gt;'Recurring Schedule'!$P$11),"",IF(IF('Recurring Schedule'!$N$11&gt;0,MOD($A47-'Recurring Schedule'!$F$11,'Recurring Schedule'!$N$11)=0,IF('Recurring Schedule'!$O$11&gt;0,AND(DAY($A47)=MIN(DAY('Recurring Schedule'!$F$11),DAY(EOMONTH($A47,0))),MOD((YEAR($A47)-YEAR('Recurring Schedule'!$F$11))*12+MONTH($A47)-MONTH('Recurring Schedule'!$F$11),'Recurring Schedule'!$O$11)=0),IF('Recurring Schedule'!$E$11="Weekdays",WEEKDAY($A47,2)&lt;=5,$A47='Recurring Schedule'!$F$11))),6,""))))</f>
        <v/>
      </c>
      <c r="H47">
        <f>IF('Recurring Schedule'!$C$12="","",IF('Recurring Schedule'!$F$12="","",IF(OR($A47&lt;'Recurring Schedule'!$F$12,$A47&gt;'Recurring Schedule'!$P$12),"",IF(IF('Recurring Schedule'!$N$12&gt;0,MOD($A47-'Recurring Schedule'!$F$12,'Recurring Schedule'!$N$12)=0,IF('Recurring Schedule'!$O$12&gt;0,AND(DAY($A47)=MIN(DAY('Recurring Schedule'!$F$12),DAY(EOMONTH($A47,0))),MOD((YEAR($A47)-YEAR('Recurring Schedule'!$F$12))*12+MONTH($A47)-MONTH('Recurring Schedule'!$F$12),'Recurring Schedule'!$O$12)=0),IF('Recurring Schedule'!$E$12="Weekdays",WEEKDAY($A47,2)&lt;=5,$A47='Recurring Schedule'!$F$12))),7,""))))</f>
        <v/>
      </c>
      <c r="I47">
        <f>IF('Recurring Schedule'!$C$13="","",IF('Recurring Schedule'!$F$13="","",IF(OR($A47&lt;'Recurring Schedule'!$F$13,$A47&gt;'Recurring Schedule'!$P$13),"",IF(IF('Recurring Schedule'!$N$13&gt;0,MOD($A47-'Recurring Schedule'!$F$13,'Recurring Schedule'!$N$13)=0,IF('Recurring Schedule'!$O$13&gt;0,AND(DAY($A47)=MIN(DAY('Recurring Schedule'!$F$13),DAY(EOMONTH($A47,0))),MOD((YEAR($A47)-YEAR('Recurring Schedule'!$F$13))*12+MONTH($A47)-MONTH('Recurring Schedule'!$F$13),'Recurring Schedule'!$O$13)=0),IF('Recurring Schedule'!$E$13="Weekdays",WEEKDAY($A47,2)&lt;=5,$A47='Recurring Schedule'!$F$13))),8,""))))</f>
        <v/>
      </c>
      <c r="J47">
        <f>IF('Recurring Schedule'!$C$14="","",IF('Recurring Schedule'!$F$14="","",IF(OR($A47&lt;'Recurring Schedule'!$F$14,$A47&gt;'Recurring Schedule'!$P$14),"",IF(IF('Recurring Schedule'!$N$14&gt;0,MOD($A47-'Recurring Schedule'!$F$14,'Recurring Schedule'!$N$14)=0,IF('Recurring Schedule'!$O$14&gt;0,AND(DAY($A47)=MIN(DAY('Recurring Schedule'!$F$14),DAY(EOMONTH($A47,0))),MOD((YEAR($A47)-YEAR('Recurring Schedule'!$F$14))*12+MONTH($A47)-MONTH('Recurring Schedule'!$F$14),'Recurring Schedule'!$O$14)=0),IF('Recurring Schedule'!$E$14="Weekdays",WEEKDAY($A47,2)&lt;=5,$A47='Recurring Schedule'!$F$14))),9,""))))</f>
        <v/>
      </c>
      <c r="K47">
        <f>IF('Recurring Schedule'!$C$15="","",IF('Recurring Schedule'!$F$15="","",IF(OR($A47&lt;'Recurring Schedule'!$F$15,$A47&gt;'Recurring Schedule'!$P$15),"",IF(IF('Recurring Schedule'!$N$15&gt;0,MOD($A47-'Recurring Schedule'!$F$15,'Recurring Schedule'!$N$15)=0,IF('Recurring Schedule'!$O$15&gt;0,AND(DAY($A47)=MIN(DAY('Recurring Schedule'!$F$15),DAY(EOMONTH($A47,0))),MOD((YEAR($A47)-YEAR('Recurring Schedule'!$F$15))*12+MONTH($A47)-MONTH('Recurring Schedule'!$F$15),'Recurring Schedule'!$O$15)=0),IF('Recurring Schedule'!$E$15="Weekdays",WEEKDAY($A47,2)&lt;=5,$A47='Recurring Schedule'!$F$15))),10,""))))</f>
        <v/>
      </c>
      <c r="L47">
        <f>IF('Recurring Schedule'!$C$16="","",IF('Recurring Schedule'!$F$16="","",IF(OR($A47&lt;'Recurring Schedule'!$F$16,$A47&gt;'Recurring Schedule'!$P$16),"",IF(IF('Recurring Schedule'!$N$16&gt;0,MOD($A47-'Recurring Schedule'!$F$16,'Recurring Schedule'!$N$16)=0,IF('Recurring Schedule'!$O$16&gt;0,AND(DAY($A47)=MIN(DAY('Recurring Schedule'!$F$16),DAY(EOMONTH($A47,0))),MOD((YEAR($A47)-YEAR('Recurring Schedule'!$F$16))*12+MONTH($A47)-MONTH('Recurring Schedule'!$F$16),'Recurring Schedule'!$O$16)=0),IF('Recurring Schedule'!$E$16="Weekdays",WEEKDAY($A47,2)&lt;=5,$A47='Recurring Schedule'!$F$16))),11,""))))</f>
        <v/>
      </c>
      <c r="M47">
        <f>IF('Recurring Schedule'!$C$17="","",IF('Recurring Schedule'!$F$17="","",IF(OR($A47&lt;'Recurring Schedule'!$F$17,$A47&gt;'Recurring Schedule'!$P$17),"",IF(IF('Recurring Schedule'!$N$17&gt;0,MOD($A47-'Recurring Schedule'!$F$17,'Recurring Schedule'!$N$17)=0,IF('Recurring Schedule'!$O$17&gt;0,AND(DAY($A47)=MIN(DAY('Recurring Schedule'!$F$17),DAY(EOMONTH($A47,0))),MOD((YEAR($A47)-YEAR('Recurring Schedule'!$F$17))*12+MONTH($A47)-MONTH('Recurring Schedule'!$F$17),'Recurring Schedule'!$O$17)=0),IF('Recurring Schedule'!$E$17="Weekdays",WEEKDAY($A47,2)&lt;=5,$A47='Recurring Schedule'!$F$17))),12,""))))</f>
        <v/>
      </c>
      <c r="N47">
        <f>IF('Recurring Schedule'!$C$18="","",IF('Recurring Schedule'!$F$18="","",IF(OR($A47&lt;'Recurring Schedule'!$F$18,$A47&gt;'Recurring Schedule'!$P$18),"",IF(IF('Recurring Schedule'!$N$18&gt;0,MOD($A47-'Recurring Schedule'!$F$18,'Recurring Schedule'!$N$18)=0,IF('Recurring Schedule'!$O$18&gt;0,AND(DAY($A47)=MIN(DAY('Recurring Schedule'!$F$18),DAY(EOMONTH($A47,0))),MOD((YEAR($A47)-YEAR('Recurring Schedule'!$F$18))*12+MONTH($A47)-MONTH('Recurring Schedule'!$F$18),'Recurring Schedule'!$O$18)=0),IF('Recurring Schedule'!$E$18="Weekdays",WEEKDAY($A47,2)&lt;=5,$A47='Recurring Schedule'!$F$18))),13,""))))</f>
        <v/>
      </c>
      <c r="O47">
        <f>IF('Recurring Schedule'!$C$19="","",IF('Recurring Schedule'!$F$19="","",IF(OR($A47&lt;'Recurring Schedule'!$F$19,$A47&gt;'Recurring Schedule'!$P$19),"",IF(IF('Recurring Schedule'!$N$19&gt;0,MOD($A47-'Recurring Schedule'!$F$19,'Recurring Schedule'!$N$19)=0,IF('Recurring Schedule'!$O$19&gt;0,AND(DAY($A47)=MIN(DAY('Recurring Schedule'!$F$19),DAY(EOMONTH($A47,0))),MOD((YEAR($A47)-YEAR('Recurring Schedule'!$F$19))*12+MONTH($A47)-MONTH('Recurring Schedule'!$F$19),'Recurring Schedule'!$O$19)=0),IF('Recurring Schedule'!$E$19="Weekdays",WEEKDAY($A47,2)&lt;=5,$A47='Recurring Schedule'!$F$19))),14,""))))</f>
        <v/>
      </c>
      <c r="P47">
        <f>IF('Recurring Schedule'!$C$20="","",IF('Recurring Schedule'!$F$20="","",IF(OR($A47&lt;'Recurring Schedule'!$F$20,$A47&gt;'Recurring Schedule'!$P$20),"",IF(IF('Recurring Schedule'!$N$20&gt;0,MOD($A47-'Recurring Schedule'!$F$20,'Recurring Schedule'!$N$20)=0,IF('Recurring Schedule'!$O$20&gt;0,AND(DAY($A47)=MIN(DAY('Recurring Schedule'!$F$20),DAY(EOMONTH($A47,0))),MOD((YEAR($A47)-YEAR('Recurring Schedule'!$F$20))*12+MONTH($A47)-MONTH('Recurring Schedule'!$F$20),'Recurring Schedule'!$O$20)=0),IF('Recurring Schedule'!$E$20="Weekdays",WEEKDAY($A47,2)&lt;=5,$A47='Recurring Schedule'!$F$20))),15,""))))</f>
        <v/>
      </c>
      <c r="Q47">
        <f>IF('Recurring Schedule'!$C$21="","",IF('Recurring Schedule'!$F$21="","",IF(OR($A47&lt;'Recurring Schedule'!$F$21,$A47&gt;'Recurring Schedule'!$P$21),"",IF(IF('Recurring Schedule'!$N$21&gt;0,MOD($A47-'Recurring Schedule'!$F$21,'Recurring Schedule'!$N$21)=0,IF('Recurring Schedule'!$O$21&gt;0,AND(DAY($A47)=MIN(DAY('Recurring Schedule'!$F$21),DAY(EOMONTH($A47,0))),MOD((YEAR($A47)-YEAR('Recurring Schedule'!$F$21))*12+MONTH($A47)-MONTH('Recurring Schedule'!$F$21),'Recurring Schedule'!$O$21)=0),IF('Recurring Schedule'!$E$21="Weekdays",WEEKDAY($A47,2)&lt;=5,$A47='Recurring Schedule'!$F$21))),16,""))))</f>
        <v/>
      </c>
      <c r="R47">
        <f>IF('Recurring Schedule'!$C$22="","",IF('Recurring Schedule'!$F$22="","",IF(OR($A47&lt;'Recurring Schedule'!$F$22,$A47&gt;'Recurring Schedule'!$P$22),"",IF(IF('Recurring Schedule'!$N$22&gt;0,MOD($A47-'Recurring Schedule'!$F$22,'Recurring Schedule'!$N$22)=0,IF('Recurring Schedule'!$O$22&gt;0,AND(DAY($A47)=MIN(DAY('Recurring Schedule'!$F$22),DAY(EOMONTH($A47,0))),MOD((YEAR($A47)-YEAR('Recurring Schedule'!$F$22))*12+MONTH($A47)-MONTH('Recurring Schedule'!$F$22),'Recurring Schedule'!$O$22)=0),IF('Recurring Schedule'!$E$22="Weekdays",WEEKDAY($A47,2)&lt;=5,$A47='Recurring Schedule'!$F$22))),17,""))))</f>
        <v/>
      </c>
      <c r="S47">
        <f>IF('Recurring Schedule'!$C$23="","",IF('Recurring Schedule'!$F$23="","",IF(OR($A47&lt;'Recurring Schedule'!$F$23,$A47&gt;'Recurring Schedule'!$P$23),"",IF(IF('Recurring Schedule'!$N$23&gt;0,MOD($A47-'Recurring Schedule'!$F$23,'Recurring Schedule'!$N$23)=0,IF('Recurring Schedule'!$O$23&gt;0,AND(DAY($A47)=MIN(DAY('Recurring Schedule'!$F$23),DAY(EOMONTH($A47,0))),MOD((YEAR($A47)-YEAR('Recurring Schedule'!$F$23))*12+MONTH($A47)-MONTH('Recurring Schedule'!$F$23),'Recurring Schedule'!$O$23)=0),IF('Recurring Schedule'!$E$23="Weekdays",WEEKDAY($A47,2)&lt;=5,$A47='Recurring Schedule'!$F$23))),18,""))))</f>
        <v/>
      </c>
      <c r="T47">
        <f>IF('Recurring Schedule'!$C$24="","",IF('Recurring Schedule'!$F$24="","",IF(OR($A47&lt;'Recurring Schedule'!$F$24,$A47&gt;'Recurring Schedule'!$P$24),"",IF(IF('Recurring Schedule'!$N$24&gt;0,MOD($A47-'Recurring Schedule'!$F$24,'Recurring Schedule'!$N$24)=0,IF('Recurring Schedule'!$O$24&gt;0,AND(DAY($A47)=MIN(DAY('Recurring Schedule'!$F$24),DAY(EOMONTH($A47,0))),MOD((YEAR($A47)-YEAR('Recurring Schedule'!$F$24))*12+MONTH($A47)-MONTH('Recurring Schedule'!$F$24),'Recurring Schedule'!$O$24)=0),IF('Recurring Schedule'!$E$24="Weekdays",WEEKDAY($A47,2)&lt;=5,$A47='Recurring Schedule'!$F$24))),19,""))))</f>
        <v/>
      </c>
      <c r="U47">
        <f>IF('Recurring Schedule'!$C$25="","",IF('Recurring Schedule'!$F$25="","",IF(OR($A47&lt;'Recurring Schedule'!$F$25,$A47&gt;'Recurring Schedule'!$P$25),"",IF(IF('Recurring Schedule'!$N$25&gt;0,MOD($A47-'Recurring Schedule'!$F$25,'Recurring Schedule'!$N$25)=0,IF('Recurring Schedule'!$O$25&gt;0,AND(DAY($A47)=MIN(DAY('Recurring Schedule'!$F$25),DAY(EOMONTH($A47,0))),MOD((YEAR($A47)-YEAR('Recurring Schedule'!$F$25))*12+MONTH($A47)-MONTH('Recurring Schedule'!$F$25),'Recurring Schedule'!$O$25)=0),IF('Recurring Schedule'!$E$25="Weekdays",WEEKDAY($A47,2)&lt;=5,$A47='Recurring Schedule'!$F$25))),20,""))))</f>
        <v/>
      </c>
      <c r="V47">
        <f>IF('Recurring Schedule'!$C$26="","",IF('Recurring Schedule'!$F$26="","",IF(OR($A47&lt;'Recurring Schedule'!$F$26,$A47&gt;'Recurring Schedule'!$P$26),"",IF(IF('Recurring Schedule'!$N$26&gt;0,MOD($A47-'Recurring Schedule'!$F$26,'Recurring Schedule'!$N$26)=0,IF('Recurring Schedule'!$O$26&gt;0,AND(DAY($A47)=MIN(DAY('Recurring Schedule'!$F$26),DAY(EOMONTH($A47,0))),MOD((YEAR($A47)-YEAR('Recurring Schedule'!$F$26))*12+MONTH($A47)-MONTH('Recurring Schedule'!$F$26),'Recurring Schedule'!$O$26)=0),IF('Recurring Schedule'!$E$26="Weekdays",WEEKDAY($A47,2)&lt;=5,$A47='Recurring Schedule'!$F$26))),21,""))))</f>
        <v/>
      </c>
      <c r="W47">
        <f>IF('Recurring Schedule'!$C$27="","",IF('Recurring Schedule'!$F$27="","",IF(OR($A47&lt;'Recurring Schedule'!$F$27,$A47&gt;'Recurring Schedule'!$P$27),"",IF(IF('Recurring Schedule'!$N$27&gt;0,MOD($A47-'Recurring Schedule'!$F$27,'Recurring Schedule'!$N$27)=0,IF('Recurring Schedule'!$O$27&gt;0,AND(DAY($A47)=MIN(DAY('Recurring Schedule'!$F$27),DAY(EOMONTH($A47,0))),MOD((YEAR($A47)-YEAR('Recurring Schedule'!$F$27))*12+MONTH($A47)-MONTH('Recurring Schedule'!$F$27),'Recurring Schedule'!$O$27)=0),IF('Recurring Schedule'!$E$27="Weekdays",WEEKDAY($A47,2)&lt;=5,$A47='Recurring Schedule'!$F$27))),22,""))))</f>
        <v/>
      </c>
      <c r="X47">
        <f>IF('Recurring Schedule'!$C$28="","",IF('Recurring Schedule'!$F$28="","",IF(OR($A47&lt;'Recurring Schedule'!$F$28,$A47&gt;'Recurring Schedule'!$P$28),"",IF(IF('Recurring Schedule'!$N$28&gt;0,MOD($A47-'Recurring Schedule'!$F$28,'Recurring Schedule'!$N$28)=0,IF('Recurring Schedule'!$O$28&gt;0,AND(DAY($A47)=MIN(DAY('Recurring Schedule'!$F$28),DAY(EOMONTH($A47,0))),MOD((YEAR($A47)-YEAR('Recurring Schedule'!$F$28))*12+MONTH($A47)-MONTH('Recurring Schedule'!$F$28),'Recurring Schedule'!$O$28)=0),IF('Recurring Schedule'!$E$28="Weekdays",WEEKDAY($A47,2)&lt;=5,$A47='Recurring Schedule'!$F$28))),23,""))))</f>
        <v/>
      </c>
      <c r="Y47">
        <f>IF('Recurring Schedule'!$C$29="","",IF('Recurring Schedule'!$F$29="","",IF(OR($A47&lt;'Recurring Schedule'!$F$29,$A47&gt;'Recurring Schedule'!$P$29),"",IF(IF('Recurring Schedule'!$N$29&gt;0,MOD($A47-'Recurring Schedule'!$F$29,'Recurring Schedule'!$N$29)=0,IF('Recurring Schedule'!$O$29&gt;0,AND(DAY($A47)=MIN(DAY('Recurring Schedule'!$F$29),DAY(EOMONTH($A47,0))),MOD((YEAR($A47)-YEAR('Recurring Schedule'!$F$29))*12+MONTH($A47)-MONTH('Recurring Schedule'!$F$29),'Recurring Schedule'!$O$29)=0),IF('Recurring Schedule'!$E$29="Weekdays",WEEKDAY($A47,2)&lt;=5,$A47='Recurring Schedule'!$F$29))),24,""))))</f>
        <v/>
      </c>
      <c r="Z47">
        <f>IF('Recurring Schedule'!$C$30="","",IF('Recurring Schedule'!$F$30="","",IF(OR($A47&lt;'Recurring Schedule'!$F$30,$A47&gt;'Recurring Schedule'!$P$30),"",IF(IF('Recurring Schedule'!$N$30&gt;0,MOD($A47-'Recurring Schedule'!$F$30,'Recurring Schedule'!$N$30)=0,IF('Recurring Schedule'!$O$30&gt;0,AND(DAY($A47)=MIN(DAY('Recurring Schedule'!$F$30),DAY(EOMONTH($A47,0))),MOD((YEAR($A47)-YEAR('Recurring Schedule'!$F$30))*12+MONTH($A47)-MONTH('Recurring Schedule'!$F$30),'Recurring Schedule'!$O$30)=0),IF('Recurring Schedule'!$E$30="Weekdays",WEEKDAY($A47,2)&lt;=5,$A47='Recurring Schedule'!$F$30))),25,""))))</f>
        <v/>
      </c>
      <c r="AA47">
        <f>IF('Recurring Schedule'!$C$31="","",IF('Recurring Schedule'!$F$31="","",IF(OR($A47&lt;'Recurring Schedule'!$F$31,$A47&gt;'Recurring Schedule'!$P$31),"",IF(IF('Recurring Schedule'!$N$31&gt;0,MOD($A47-'Recurring Schedule'!$F$31,'Recurring Schedule'!$N$31)=0,IF('Recurring Schedule'!$O$31&gt;0,AND(DAY($A47)=MIN(DAY('Recurring Schedule'!$F$31),DAY(EOMONTH($A47,0))),MOD((YEAR($A47)-YEAR('Recurring Schedule'!$F$31))*12+MONTH($A47)-MONTH('Recurring Schedule'!$F$31),'Recurring Schedule'!$O$31)=0),IF('Recurring Schedule'!$E$31="Weekdays",WEEKDAY($A47,2)&lt;=5,$A47='Recurring Schedule'!$F$31))),26,""))))</f>
        <v/>
      </c>
      <c r="AB47">
        <f>IF('Recurring Schedule'!$C$32="","",IF('Recurring Schedule'!$F$32="","",IF(OR($A47&lt;'Recurring Schedule'!$F$32,$A47&gt;'Recurring Schedule'!$P$32),"",IF(IF('Recurring Schedule'!$N$32&gt;0,MOD($A47-'Recurring Schedule'!$F$32,'Recurring Schedule'!$N$32)=0,IF('Recurring Schedule'!$O$32&gt;0,AND(DAY($A47)=MIN(DAY('Recurring Schedule'!$F$32),DAY(EOMONTH($A47,0))),MOD((YEAR($A47)-YEAR('Recurring Schedule'!$F$32))*12+MONTH($A47)-MONTH('Recurring Schedule'!$F$32),'Recurring Schedule'!$O$32)=0),IF('Recurring Schedule'!$E$32="Weekdays",WEEKDAY($A47,2)&lt;=5,$A47='Recurring Schedule'!$F$32))),27,""))))</f>
        <v/>
      </c>
      <c r="AC47">
        <f>IF('Recurring Schedule'!$C$33="","",IF('Recurring Schedule'!$F$33="","",IF(OR($A47&lt;'Recurring Schedule'!$F$33,$A47&gt;'Recurring Schedule'!$P$33),"",IF(IF('Recurring Schedule'!$N$33&gt;0,MOD($A47-'Recurring Schedule'!$F$33,'Recurring Schedule'!$N$33)=0,IF('Recurring Schedule'!$O$33&gt;0,AND(DAY($A47)=MIN(DAY('Recurring Schedule'!$F$33),DAY(EOMONTH($A47,0))),MOD((YEAR($A47)-YEAR('Recurring Schedule'!$F$33))*12+MONTH($A47)-MONTH('Recurring Schedule'!$F$33),'Recurring Schedule'!$O$33)=0),IF('Recurring Schedule'!$E$33="Weekdays",WEEKDAY($A47,2)&lt;=5,$A47='Recurring Schedule'!$F$33))),28,""))))</f>
        <v/>
      </c>
      <c r="AD47">
        <f>IF('Recurring Schedule'!$C$34="","",IF('Recurring Schedule'!$F$34="","",IF(OR($A47&lt;'Recurring Schedule'!$F$34,$A47&gt;'Recurring Schedule'!$P$34),"",IF(IF('Recurring Schedule'!$N$34&gt;0,MOD($A47-'Recurring Schedule'!$F$34,'Recurring Schedule'!$N$34)=0,IF('Recurring Schedule'!$O$34&gt;0,AND(DAY($A47)=MIN(DAY('Recurring Schedule'!$F$34),DAY(EOMONTH($A47,0))),MOD((YEAR($A47)-YEAR('Recurring Schedule'!$F$34))*12+MONTH($A47)-MONTH('Recurring Schedule'!$F$34),'Recurring Schedule'!$O$34)=0),IF('Recurring Schedule'!$E$34="Weekdays",WEEKDAY($A47,2)&lt;=5,$A47='Recurring Schedule'!$F$34))),29,""))))</f>
        <v/>
      </c>
      <c r="AE47">
        <f>IF('Recurring Schedule'!$C$35="","",IF('Recurring Schedule'!$F$35="","",IF(OR($A47&lt;'Recurring Schedule'!$F$35,$A47&gt;'Recurring Schedule'!$P$35),"",IF(IF('Recurring Schedule'!$N$35&gt;0,MOD($A47-'Recurring Schedule'!$F$35,'Recurring Schedule'!$N$35)=0,IF('Recurring Schedule'!$O$35&gt;0,AND(DAY($A47)=MIN(DAY('Recurring Schedule'!$F$35),DAY(EOMONTH($A47,0))),MOD((YEAR($A47)-YEAR('Recurring Schedule'!$F$35))*12+MONTH($A47)-MONTH('Recurring Schedule'!$F$35),'Recurring Schedule'!$O$35)=0),IF('Recurring Schedule'!$E$35="Weekdays",WEEKDAY($A47,2)&lt;=5,$A47='Recurring Schedule'!$F$35))),30,""))))</f>
        <v/>
      </c>
      <c r="AF47">
        <f>IF('Recurring Schedule'!$C$36="","",IF('Recurring Schedule'!$F$36="","",IF(OR($A47&lt;'Recurring Schedule'!$F$36,$A47&gt;'Recurring Schedule'!$P$36),"",IF(IF('Recurring Schedule'!$N$36&gt;0,MOD($A47-'Recurring Schedule'!$F$36,'Recurring Schedule'!$N$36)=0,IF('Recurring Schedule'!$O$36&gt;0,AND(DAY($A47)=MIN(DAY('Recurring Schedule'!$F$36),DAY(EOMONTH($A47,0))),MOD((YEAR($A47)-YEAR('Recurring Schedule'!$F$36))*12+MONTH($A47)-MONTH('Recurring Schedule'!$F$36),'Recurring Schedule'!$O$36)=0),IF('Recurring Schedule'!$E$36="Weekdays",WEEKDAY($A47,2)&lt;=5,$A47='Recurring Schedule'!$F$36))),31,""))))</f>
        <v/>
      </c>
      <c r="AG47">
        <f>IF('Recurring Schedule'!$C$37="","",IF('Recurring Schedule'!$F$37="","",IF(OR($A47&lt;'Recurring Schedule'!$F$37,$A47&gt;'Recurring Schedule'!$P$37),"",IF(IF('Recurring Schedule'!$N$37&gt;0,MOD($A47-'Recurring Schedule'!$F$37,'Recurring Schedule'!$N$37)=0,IF('Recurring Schedule'!$O$37&gt;0,AND(DAY($A47)=MIN(DAY('Recurring Schedule'!$F$37),DAY(EOMONTH($A47,0))),MOD((YEAR($A47)-YEAR('Recurring Schedule'!$F$37))*12+MONTH($A47)-MONTH('Recurring Schedule'!$F$37),'Recurring Schedule'!$O$37)=0),IF('Recurring Schedule'!$E$37="Weekdays",WEEKDAY($A47,2)&lt;=5,$A47='Recurring Schedule'!$F$37))),32,""))))</f>
        <v/>
      </c>
      <c r="AH47">
        <f>IF('Recurring Schedule'!$C$38="","",IF('Recurring Schedule'!$F$38="","",IF(OR($A47&lt;'Recurring Schedule'!$F$38,$A47&gt;'Recurring Schedule'!$P$38),"",IF(IF('Recurring Schedule'!$N$38&gt;0,MOD($A47-'Recurring Schedule'!$F$38,'Recurring Schedule'!$N$38)=0,IF('Recurring Schedule'!$O$38&gt;0,AND(DAY($A47)=MIN(DAY('Recurring Schedule'!$F$38),DAY(EOMONTH($A47,0))),MOD((YEAR($A47)-YEAR('Recurring Schedule'!$F$38))*12+MONTH($A47)-MONTH('Recurring Schedule'!$F$38),'Recurring Schedule'!$O$38)=0),IF('Recurring Schedule'!$E$38="Weekdays",WEEKDAY($A47,2)&lt;=5,$A47='Recurring Schedule'!$F$38))),33,""))))</f>
        <v/>
      </c>
      <c r="AI47">
        <f>IF('Recurring Schedule'!$C$39="","",IF('Recurring Schedule'!$F$39="","",IF(OR($A47&lt;'Recurring Schedule'!$F$39,$A47&gt;'Recurring Schedule'!$P$39),"",IF(IF('Recurring Schedule'!$N$39&gt;0,MOD($A47-'Recurring Schedule'!$F$39,'Recurring Schedule'!$N$39)=0,IF('Recurring Schedule'!$O$39&gt;0,AND(DAY($A47)=MIN(DAY('Recurring Schedule'!$F$39),DAY(EOMONTH($A47,0))),MOD((YEAR($A47)-YEAR('Recurring Schedule'!$F$39))*12+MONTH($A47)-MONTH('Recurring Schedule'!$F$39),'Recurring Schedule'!$O$39)=0),IF('Recurring Schedule'!$E$39="Weekdays",WEEKDAY($A47,2)&lt;=5,$A47='Recurring Schedule'!$F$39))),34,""))))</f>
        <v/>
      </c>
      <c r="AJ47">
        <f>IF('Recurring Schedule'!$C$40="","",IF('Recurring Schedule'!$F$40="","",IF(OR($A47&lt;'Recurring Schedule'!$F$40,$A47&gt;'Recurring Schedule'!$P$40),"",IF(IF('Recurring Schedule'!$N$40&gt;0,MOD($A47-'Recurring Schedule'!$F$40,'Recurring Schedule'!$N$40)=0,IF('Recurring Schedule'!$O$40&gt;0,AND(DAY($A47)=MIN(DAY('Recurring Schedule'!$F$40),DAY(EOMONTH($A47,0))),MOD((YEAR($A47)-YEAR('Recurring Schedule'!$F$40))*12+MONTH($A47)-MONTH('Recurring Schedule'!$F$40),'Recurring Schedule'!$O$40)=0),IF('Recurring Schedule'!$E$40="Weekdays",WEEKDAY($A47,2)&lt;=5,$A47='Recurring Schedule'!$F$40))),35,""))))</f>
        <v/>
      </c>
      <c r="AK47">
        <f>IF('Recurring Schedule'!$C$41="","",IF('Recurring Schedule'!$F$41="","",IF(OR($A47&lt;'Recurring Schedule'!$F$41,$A47&gt;'Recurring Schedule'!$P$41),"",IF(IF('Recurring Schedule'!$N$41&gt;0,MOD($A47-'Recurring Schedule'!$F$41,'Recurring Schedule'!$N$41)=0,IF('Recurring Schedule'!$O$41&gt;0,AND(DAY($A47)=MIN(DAY('Recurring Schedule'!$F$41),DAY(EOMONTH($A47,0))),MOD((YEAR($A47)-YEAR('Recurring Schedule'!$F$41))*12+MONTH($A47)-MONTH('Recurring Schedule'!$F$41),'Recurring Schedule'!$O$41)=0),IF('Recurring Schedule'!$E$41="Weekdays",WEEKDAY($A47,2)&lt;=5,$A47='Recurring Schedule'!$F$41))),36,""))))</f>
        <v/>
      </c>
      <c r="AL47">
        <f>IF('Recurring Schedule'!$C$42="","",IF('Recurring Schedule'!$F$42="","",IF(OR($A47&lt;'Recurring Schedule'!$F$42,$A47&gt;'Recurring Schedule'!$P$42),"",IF(IF('Recurring Schedule'!$N$42&gt;0,MOD($A47-'Recurring Schedule'!$F$42,'Recurring Schedule'!$N$42)=0,IF('Recurring Schedule'!$O$42&gt;0,AND(DAY($A47)=MIN(DAY('Recurring Schedule'!$F$42),DAY(EOMONTH($A47,0))),MOD((YEAR($A47)-YEAR('Recurring Schedule'!$F$42))*12+MONTH($A47)-MONTH('Recurring Schedule'!$F$42),'Recurring Schedule'!$O$42)=0),IF('Recurring Schedule'!$E$42="Weekdays",WEEKDAY($A47,2)&lt;=5,$A47='Recurring Schedule'!$F$42))),37,""))))</f>
        <v/>
      </c>
      <c r="AM47">
        <f>IF('Recurring Schedule'!$C$43="","",IF('Recurring Schedule'!$F$43="","",IF(OR($A47&lt;'Recurring Schedule'!$F$43,$A47&gt;'Recurring Schedule'!$P$43),"",IF(IF('Recurring Schedule'!$N$43&gt;0,MOD($A47-'Recurring Schedule'!$F$43,'Recurring Schedule'!$N$43)=0,IF('Recurring Schedule'!$O$43&gt;0,AND(DAY($A47)=MIN(DAY('Recurring Schedule'!$F$43),DAY(EOMONTH($A47,0))),MOD((YEAR($A47)-YEAR('Recurring Schedule'!$F$43))*12+MONTH($A47)-MONTH('Recurring Schedule'!$F$43),'Recurring Schedule'!$O$43)=0),IF('Recurring Schedule'!$E$43="Weekdays",WEEKDAY($A47,2)&lt;=5,$A47='Recurring Schedule'!$F$43))),38,""))))</f>
        <v/>
      </c>
      <c r="AN47">
        <f>IF('Recurring Schedule'!$C$44="","",IF('Recurring Schedule'!$F$44="","",IF(OR($A47&lt;'Recurring Schedule'!$F$44,$A47&gt;'Recurring Schedule'!$P$44),"",IF(IF('Recurring Schedule'!$N$44&gt;0,MOD($A47-'Recurring Schedule'!$F$44,'Recurring Schedule'!$N$44)=0,IF('Recurring Schedule'!$O$44&gt;0,AND(DAY($A47)=MIN(DAY('Recurring Schedule'!$F$44),DAY(EOMONTH($A47,0))),MOD((YEAR($A47)-YEAR('Recurring Schedule'!$F$44))*12+MONTH($A47)-MONTH('Recurring Schedule'!$F$44),'Recurring Schedule'!$O$44)=0),IF('Recurring Schedule'!$E$44="Weekdays",WEEKDAY($A47,2)&lt;=5,$A47='Recurring Schedule'!$F$44))),39,""))))</f>
        <v/>
      </c>
      <c r="AO47">
        <f>IF('Recurring Schedule'!$C$45="","",IF('Recurring Schedule'!$F$45="","",IF(OR($A47&lt;'Recurring Schedule'!$F$45,$A47&gt;'Recurring Schedule'!$P$45),"",IF(IF('Recurring Schedule'!$N$45&gt;0,MOD($A47-'Recurring Schedule'!$F$45,'Recurring Schedule'!$N$45)=0,IF('Recurring Schedule'!$O$45&gt;0,AND(DAY($A47)=MIN(DAY('Recurring Schedule'!$F$45),DAY(EOMONTH($A47,0))),MOD((YEAR($A47)-YEAR('Recurring Schedule'!$F$45))*12+MONTH($A47)-MONTH('Recurring Schedule'!$F$45),'Recurring Schedule'!$O$45)=0),IF('Recurring Schedule'!$E$45="Weekdays",WEEKDAY($A47,2)&lt;=5,$A47='Recurring Schedule'!$F$45))),40,""))))</f>
        <v/>
      </c>
      <c r="AP47">
        <f>COUNT(B47:AO47)</f>
        <v/>
      </c>
      <c r="AQ47">
        <f>AQ46+AP46</f>
        <v/>
      </c>
      <c r="AS47" t="inlineStr">
        <is>
          <t>R</t>
        </is>
      </c>
      <c r="AT47" t="n">
        <v>51</v>
      </c>
      <c r="AU47">
        <f>'Recurring Log'!C51&amp;""</f>
        <v/>
      </c>
      <c r="AV47">
        <f>'Recurring Log'!D51&amp;""</f>
        <v/>
      </c>
      <c r="AW47">
        <f>IF('Recurring Log'!E51="","",'Recurring Log'!E51)</f>
        <v/>
      </c>
      <c r="AX47">
        <f>IF('Recurring Log'!G51="","",'Recurring Log'!G51)</f>
        <v/>
      </c>
      <c r="AY47">
        <f>IF('Recurring Log'!H51="","",'Recurring Log'!H51)</f>
        <v/>
      </c>
      <c r="AZ47">
        <f>IF(AU47="","",IF('Recurring Log'!J51="","Not Started",'Recurring Log'!J51))</f>
        <v/>
      </c>
      <c r="BA47">
        <f>'Recurring Log'!L51&amp;""</f>
        <v/>
      </c>
      <c r="BB47">
        <f>'Recurring Log'!M51&amp;""</f>
        <v/>
      </c>
      <c r="BC47">
        <f>'Recurring Log'!N51&amp;""</f>
        <v/>
      </c>
      <c r="BD47">
        <f>'Recurring Log'!O51&amp;""</f>
        <v/>
      </c>
      <c r="BE47">
        <f>IF('Recurring Log'!K51="","",'Recurring Log'!K51)</f>
        <v/>
      </c>
      <c r="BF47">
        <f>IFERROR(MATCH(BA47,Setup!$L$6:$L$9,0),5)</f>
        <v/>
      </c>
      <c r="BG47">
        <f>IF(OR(AZ47="Done",AZ47="Cancelled"),1,0)</f>
        <v/>
      </c>
      <c r="BH47">
        <f>IF(AND(AU47&lt;&gt;"",ISNUMBER(AW47)),1,0)</f>
        <v/>
      </c>
      <c r="BI47">
        <f>IF(BH47=0,0,IF(AND(AW47&gt;='Tasks Filter'!$F$3,AW47&lt;='Tasks Filter'!$F$4,OR('Tasks Filter'!$I$3="",ISNUMBER(SEARCH('Tasks Filter'!$I$3,AU47))),OR('Tasks Filter'!$I$4="",BF47=IFERROR(MATCH('Tasks Filter'!$I$4,Setup!$L$6:$L$9,0),0)),OR('Tasks Filter'!$I$5="Both",AND('Tasks Filter'!$I$5="Yes",BB47="✓"),AND('Tasks Filter'!$I$5="No",BB47&lt;&gt;"✓")),OR('Tasks Filter'!$L$3="",AV47='Tasks Filter'!$L$3),OR('Tasks Filter'!$L$4="",AZ47='Tasks Filter'!$L$4),OR('Tasks Filter'!$L$5="",BC47='Tasks Filter'!$L$5),OR('Tasks Filter'!$O$3="",BD47='Tasks Filter'!$O$3),OR('Tasks Filter'!$O$4="Yes",BG47=0)),1,0))</f>
        <v/>
      </c>
      <c r="BJ47">
        <f>IF(BH47=0,"",IF('Tasks Filter'!$F$6="Descending",-1,1)*CHOOSE(MATCH('Tasks Filter'!$F$5,Lists!$G$2:$G$6,0),AW47,BF47,IFERROR(MATCH(AV47,Setup!$F$6:$F$15,0),99),IFERROR(MATCH(BC47,Setup!$H$6:$H$15,0),99),IFERROR(MATCH(AZ47,Setup!$J$6:$J$11,0),99))*1E+9+(AW47-40000)*10000+46)</f>
        <v/>
      </c>
      <c r="BK47">
        <f>IF(BI47=1,BJ47,"")</f>
        <v/>
      </c>
      <c r="BL47">
        <f>IF(AND(BH47=1,BG47=0,N(AW47)&lt;Setup!$D$7),(AW47-40000)*10000+46,"")</f>
        <v/>
      </c>
      <c r="BM47">
        <f>IF(AND(BH47=1,AZ47&lt;&gt;"Cancelled",N(AW47)&gt;=Dashboard!$AB$3,N(AW47)&lt;=Dashboard!$AB$3+6),(AW47-40000)*100000+BF47*10000+46,"")</f>
        <v/>
      </c>
      <c r="BN47">
        <f>IF(AND(BH47=1,AZ47&lt;&gt;"Cancelled"),BF47*10000+46,"")</f>
        <v/>
      </c>
    </row>
    <row r="48">
      <c r="A48">
        <f>Setup!$D$5+46</f>
        <v/>
      </c>
      <c r="B48">
        <f>IF('Recurring Schedule'!$C$6="","",IF('Recurring Schedule'!$F$6="","",IF(OR($A48&lt;'Recurring Schedule'!$F$6,$A48&gt;'Recurring Schedule'!$P$6),"",IF(IF('Recurring Schedule'!$N$6&gt;0,MOD($A48-'Recurring Schedule'!$F$6,'Recurring Schedule'!$N$6)=0,IF('Recurring Schedule'!$O$6&gt;0,AND(DAY($A48)=MIN(DAY('Recurring Schedule'!$F$6),DAY(EOMONTH($A48,0))),MOD((YEAR($A48)-YEAR('Recurring Schedule'!$F$6))*12+MONTH($A48)-MONTH('Recurring Schedule'!$F$6),'Recurring Schedule'!$O$6)=0),IF('Recurring Schedule'!$E$6="Weekdays",WEEKDAY($A48,2)&lt;=5,$A48='Recurring Schedule'!$F$6))),1,""))))</f>
        <v/>
      </c>
      <c r="C48">
        <f>IF('Recurring Schedule'!$C$7="","",IF('Recurring Schedule'!$F$7="","",IF(OR($A48&lt;'Recurring Schedule'!$F$7,$A48&gt;'Recurring Schedule'!$P$7),"",IF(IF('Recurring Schedule'!$N$7&gt;0,MOD($A48-'Recurring Schedule'!$F$7,'Recurring Schedule'!$N$7)=0,IF('Recurring Schedule'!$O$7&gt;0,AND(DAY($A48)=MIN(DAY('Recurring Schedule'!$F$7),DAY(EOMONTH($A48,0))),MOD((YEAR($A48)-YEAR('Recurring Schedule'!$F$7))*12+MONTH($A48)-MONTH('Recurring Schedule'!$F$7),'Recurring Schedule'!$O$7)=0),IF('Recurring Schedule'!$E$7="Weekdays",WEEKDAY($A48,2)&lt;=5,$A48='Recurring Schedule'!$F$7))),2,""))))</f>
        <v/>
      </c>
      <c r="D48">
        <f>IF('Recurring Schedule'!$C$8="","",IF('Recurring Schedule'!$F$8="","",IF(OR($A48&lt;'Recurring Schedule'!$F$8,$A48&gt;'Recurring Schedule'!$P$8),"",IF(IF('Recurring Schedule'!$N$8&gt;0,MOD($A48-'Recurring Schedule'!$F$8,'Recurring Schedule'!$N$8)=0,IF('Recurring Schedule'!$O$8&gt;0,AND(DAY($A48)=MIN(DAY('Recurring Schedule'!$F$8),DAY(EOMONTH($A48,0))),MOD((YEAR($A48)-YEAR('Recurring Schedule'!$F$8))*12+MONTH($A48)-MONTH('Recurring Schedule'!$F$8),'Recurring Schedule'!$O$8)=0),IF('Recurring Schedule'!$E$8="Weekdays",WEEKDAY($A48,2)&lt;=5,$A48='Recurring Schedule'!$F$8))),3,""))))</f>
        <v/>
      </c>
      <c r="E48">
        <f>IF('Recurring Schedule'!$C$9="","",IF('Recurring Schedule'!$F$9="","",IF(OR($A48&lt;'Recurring Schedule'!$F$9,$A48&gt;'Recurring Schedule'!$P$9),"",IF(IF('Recurring Schedule'!$N$9&gt;0,MOD($A48-'Recurring Schedule'!$F$9,'Recurring Schedule'!$N$9)=0,IF('Recurring Schedule'!$O$9&gt;0,AND(DAY($A48)=MIN(DAY('Recurring Schedule'!$F$9),DAY(EOMONTH($A48,0))),MOD((YEAR($A48)-YEAR('Recurring Schedule'!$F$9))*12+MONTH($A48)-MONTH('Recurring Schedule'!$F$9),'Recurring Schedule'!$O$9)=0),IF('Recurring Schedule'!$E$9="Weekdays",WEEKDAY($A48,2)&lt;=5,$A48='Recurring Schedule'!$F$9))),4,""))))</f>
        <v/>
      </c>
      <c r="F48">
        <f>IF('Recurring Schedule'!$C$10="","",IF('Recurring Schedule'!$F$10="","",IF(OR($A48&lt;'Recurring Schedule'!$F$10,$A48&gt;'Recurring Schedule'!$P$10),"",IF(IF('Recurring Schedule'!$N$10&gt;0,MOD($A48-'Recurring Schedule'!$F$10,'Recurring Schedule'!$N$10)=0,IF('Recurring Schedule'!$O$10&gt;0,AND(DAY($A48)=MIN(DAY('Recurring Schedule'!$F$10),DAY(EOMONTH($A48,0))),MOD((YEAR($A48)-YEAR('Recurring Schedule'!$F$10))*12+MONTH($A48)-MONTH('Recurring Schedule'!$F$10),'Recurring Schedule'!$O$10)=0),IF('Recurring Schedule'!$E$10="Weekdays",WEEKDAY($A48,2)&lt;=5,$A48='Recurring Schedule'!$F$10))),5,""))))</f>
        <v/>
      </c>
      <c r="G48">
        <f>IF('Recurring Schedule'!$C$11="","",IF('Recurring Schedule'!$F$11="","",IF(OR($A48&lt;'Recurring Schedule'!$F$11,$A48&gt;'Recurring Schedule'!$P$11),"",IF(IF('Recurring Schedule'!$N$11&gt;0,MOD($A48-'Recurring Schedule'!$F$11,'Recurring Schedule'!$N$11)=0,IF('Recurring Schedule'!$O$11&gt;0,AND(DAY($A48)=MIN(DAY('Recurring Schedule'!$F$11),DAY(EOMONTH($A48,0))),MOD((YEAR($A48)-YEAR('Recurring Schedule'!$F$11))*12+MONTH($A48)-MONTH('Recurring Schedule'!$F$11),'Recurring Schedule'!$O$11)=0),IF('Recurring Schedule'!$E$11="Weekdays",WEEKDAY($A48,2)&lt;=5,$A48='Recurring Schedule'!$F$11))),6,""))))</f>
        <v/>
      </c>
      <c r="H48">
        <f>IF('Recurring Schedule'!$C$12="","",IF('Recurring Schedule'!$F$12="","",IF(OR($A48&lt;'Recurring Schedule'!$F$12,$A48&gt;'Recurring Schedule'!$P$12),"",IF(IF('Recurring Schedule'!$N$12&gt;0,MOD($A48-'Recurring Schedule'!$F$12,'Recurring Schedule'!$N$12)=0,IF('Recurring Schedule'!$O$12&gt;0,AND(DAY($A48)=MIN(DAY('Recurring Schedule'!$F$12),DAY(EOMONTH($A48,0))),MOD((YEAR($A48)-YEAR('Recurring Schedule'!$F$12))*12+MONTH($A48)-MONTH('Recurring Schedule'!$F$12),'Recurring Schedule'!$O$12)=0),IF('Recurring Schedule'!$E$12="Weekdays",WEEKDAY($A48,2)&lt;=5,$A48='Recurring Schedule'!$F$12))),7,""))))</f>
        <v/>
      </c>
      <c r="I48">
        <f>IF('Recurring Schedule'!$C$13="","",IF('Recurring Schedule'!$F$13="","",IF(OR($A48&lt;'Recurring Schedule'!$F$13,$A48&gt;'Recurring Schedule'!$P$13),"",IF(IF('Recurring Schedule'!$N$13&gt;0,MOD($A48-'Recurring Schedule'!$F$13,'Recurring Schedule'!$N$13)=0,IF('Recurring Schedule'!$O$13&gt;0,AND(DAY($A48)=MIN(DAY('Recurring Schedule'!$F$13),DAY(EOMONTH($A48,0))),MOD((YEAR($A48)-YEAR('Recurring Schedule'!$F$13))*12+MONTH($A48)-MONTH('Recurring Schedule'!$F$13),'Recurring Schedule'!$O$13)=0),IF('Recurring Schedule'!$E$13="Weekdays",WEEKDAY($A48,2)&lt;=5,$A48='Recurring Schedule'!$F$13))),8,""))))</f>
        <v/>
      </c>
      <c r="J48">
        <f>IF('Recurring Schedule'!$C$14="","",IF('Recurring Schedule'!$F$14="","",IF(OR($A48&lt;'Recurring Schedule'!$F$14,$A48&gt;'Recurring Schedule'!$P$14),"",IF(IF('Recurring Schedule'!$N$14&gt;0,MOD($A48-'Recurring Schedule'!$F$14,'Recurring Schedule'!$N$14)=0,IF('Recurring Schedule'!$O$14&gt;0,AND(DAY($A48)=MIN(DAY('Recurring Schedule'!$F$14),DAY(EOMONTH($A48,0))),MOD((YEAR($A48)-YEAR('Recurring Schedule'!$F$14))*12+MONTH($A48)-MONTH('Recurring Schedule'!$F$14),'Recurring Schedule'!$O$14)=0),IF('Recurring Schedule'!$E$14="Weekdays",WEEKDAY($A48,2)&lt;=5,$A48='Recurring Schedule'!$F$14))),9,""))))</f>
        <v/>
      </c>
      <c r="K48">
        <f>IF('Recurring Schedule'!$C$15="","",IF('Recurring Schedule'!$F$15="","",IF(OR($A48&lt;'Recurring Schedule'!$F$15,$A48&gt;'Recurring Schedule'!$P$15),"",IF(IF('Recurring Schedule'!$N$15&gt;0,MOD($A48-'Recurring Schedule'!$F$15,'Recurring Schedule'!$N$15)=0,IF('Recurring Schedule'!$O$15&gt;0,AND(DAY($A48)=MIN(DAY('Recurring Schedule'!$F$15),DAY(EOMONTH($A48,0))),MOD((YEAR($A48)-YEAR('Recurring Schedule'!$F$15))*12+MONTH($A48)-MONTH('Recurring Schedule'!$F$15),'Recurring Schedule'!$O$15)=0),IF('Recurring Schedule'!$E$15="Weekdays",WEEKDAY($A48,2)&lt;=5,$A48='Recurring Schedule'!$F$15))),10,""))))</f>
        <v/>
      </c>
      <c r="L48">
        <f>IF('Recurring Schedule'!$C$16="","",IF('Recurring Schedule'!$F$16="","",IF(OR($A48&lt;'Recurring Schedule'!$F$16,$A48&gt;'Recurring Schedule'!$P$16),"",IF(IF('Recurring Schedule'!$N$16&gt;0,MOD($A48-'Recurring Schedule'!$F$16,'Recurring Schedule'!$N$16)=0,IF('Recurring Schedule'!$O$16&gt;0,AND(DAY($A48)=MIN(DAY('Recurring Schedule'!$F$16),DAY(EOMONTH($A48,0))),MOD((YEAR($A48)-YEAR('Recurring Schedule'!$F$16))*12+MONTH($A48)-MONTH('Recurring Schedule'!$F$16),'Recurring Schedule'!$O$16)=0),IF('Recurring Schedule'!$E$16="Weekdays",WEEKDAY($A48,2)&lt;=5,$A48='Recurring Schedule'!$F$16))),11,""))))</f>
        <v/>
      </c>
      <c r="M48">
        <f>IF('Recurring Schedule'!$C$17="","",IF('Recurring Schedule'!$F$17="","",IF(OR($A48&lt;'Recurring Schedule'!$F$17,$A48&gt;'Recurring Schedule'!$P$17),"",IF(IF('Recurring Schedule'!$N$17&gt;0,MOD($A48-'Recurring Schedule'!$F$17,'Recurring Schedule'!$N$17)=0,IF('Recurring Schedule'!$O$17&gt;0,AND(DAY($A48)=MIN(DAY('Recurring Schedule'!$F$17),DAY(EOMONTH($A48,0))),MOD((YEAR($A48)-YEAR('Recurring Schedule'!$F$17))*12+MONTH($A48)-MONTH('Recurring Schedule'!$F$17),'Recurring Schedule'!$O$17)=0),IF('Recurring Schedule'!$E$17="Weekdays",WEEKDAY($A48,2)&lt;=5,$A48='Recurring Schedule'!$F$17))),12,""))))</f>
        <v/>
      </c>
      <c r="N48">
        <f>IF('Recurring Schedule'!$C$18="","",IF('Recurring Schedule'!$F$18="","",IF(OR($A48&lt;'Recurring Schedule'!$F$18,$A48&gt;'Recurring Schedule'!$P$18),"",IF(IF('Recurring Schedule'!$N$18&gt;0,MOD($A48-'Recurring Schedule'!$F$18,'Recurring Schedule'!$N$18)=0,IF('Recurring Schedule'!$O$18&gt;0,AND(DAY($A48)=MIN(DAY('Recurring Schedule'!$F$18),DAY(EOMONTH($A48,0))),MOD((YEAR($A48)-YEAR('Recurring Schedule'!$F$18))*12+MONTH($A48)-MONTH('Recurring Schedule'!$F$18),'Recurring Schedule'!$O$18)=0),IF('Recurring Schedule'!$E$18="Weekdays",WEEKDAY($A48,2)&lt;=5,$A48='Recurring Schedule'!$F$18))),13,""))))</f>
        <v/>
      </c>
      <c r="O48">
        <f>IF('Recurring Schedule'!$C$19="","",IF('Recurring Schedule'!$F$19="","",IF(OR($A48&lt;'Recurring Schedule'!$F$19,$A48&gt;'Recurring Schedule'!$P$19),"",IF(IF('Recurring Schedule'!$N$19&gt;0,MOD($A48-'Recurring Schedule'!$F$19,'Recurring Schedule'!$N$19)=0,IF('Recurring Schedule'!$O$19&gt;0,AND(DAY($A48)=MIN(DAY('Recurring Schedule'!$F$19),DAY(EOMONTH($A48,0))),MOD((YEAR($A48)-YEAR('Recurring Schedule'!$F$19))*12+MONTH($A48)-MONTH('Recurring Schedule'!$F$19),'Recurring Schedule'!$O$19)=0),IF('Recurring Schedule'!$E$19="Weekdays",WEEKDAY($A48,2)&lt;=5,$A48='Recurring Schedule'!$F$19))),14,""))))</f>
        <v/>
      </c>
      <c r="P48">
        <f>IF('Recurring Schedule'!$C$20="","",IF('Recurring Schedule'!$F$20="","",IF(OR($A48&lt;'Recurring Schedule'!$F$20,$A48&gt;'Recurring Schedule'!$P$20),"",IF(IF('Recurring Schedule'!$N$20&gt;0,MOD($A48-'Recurring Schedule'!$F$20,'Recurring Schedule'!$N$20)=0,IF('Recurring Schedule'!$O$20&gt;0,AND(DAY($A48)=MIN(DAY('Recurring Schedule'!$F$20),DAY(EOMONTH($A48,0))),MOD((YEAR($A48)-YEAR('Recurring Schedule'!$F$20))*12+MONTH($A48)-MONTH('Recurring Schedule'!$F$20),'Recurring Schedule'!$O$20)=0),IF('Recurring Schedule'!$E$20="Weekdays",WEEKDAY($A48,2)&lt;=5,$A48='Recurring Schedule'!$F$20))),15,""))))</f>
        <v/>
      </c>
      <c r="Q48">
        <f>IF('Recurring Schedule'!$C$21="","",IF('Recurring Schedule'!$F$21="","",IF(OR($A48&lt;'Recurring Schedule'!$F$21,$A48&gt;'Recurring Schedule'!$P$21),"",IF(IF('Recurring Schedule'!$N$21&gt;0,MOD($A48-'Recurring Schedule'!$F$21,'Recurring Schedule'!$N$21)=0,IF('Recurring Schedule'!$O$21&gt;0,AND(DAY($A48)=MIN(DAY('Recurring Schedule'!$F$21),DAY(EOMONTH($A48,0))),MOD((YEAR($A48)-YEAR('Recurring Schedule'!$F$21))*12+MONTH($A48)-MONTH('Recurring Schedule'!$F$21),'Recurring Schedule'!$O$21)=0),IF('Recurring Schedule'!$E$21="Weekdays",WEEKDAY($A48,2)&lt;=5,$A48='Recurring Schedule'!$F$21))),16,""))))</f>
        <v/>
      </c>
      <c r="R48">
        <f>IF('Recurring Schedule'!$C$22="","",IF('Recurring Schedule'!$F$22="","",IF(OR($A48&lt;'Recurring Schedule'!$F$22,$A48&gt;'Recurring Schedule'!$P$22),"",IF(IF('Recurring Schedule'!$N$22&gt;0,MOD($A48-'Recurring Schedule'!$F$22,'Recurring Schedule'!$N$22)=0,IF('Recurring Schedule'!$O$22&gt;0,AND(DAY($A48)=MIN(DAY('Recurring Schedule'!$F$22),DAY(EOMONTH($A48,0))),MOD((YEAR($A48)-YEAR('Recurring Schedule'!$F$22))*12+MONTH($A48)-MONTH('Recurring Schedule'!$F$22),'Recurring Schedule'!$O$22)=0),IF('Recurring Schedule'!$E$22="Weekdays",WEEKDAY($A48,2)&lt;=5,$A48='Recurring Schedule'!$F$22))),17,""))))</f>
        <v/>
      </c>
      <c r="S48">
        <f>IF('Recurring Schedule'!$C$23="","",IF('Recurring Schedule'!$F$23="","",IF(OR($A48&lt;'Recurring Schedule'!$F$23,$A48&gt;'Recurring Schedule'!$P$23),"",IF(IF('Recurring Schedule'!$N$23&gt;0,MOD($A48-'Recurring Schedule'!$F$23,'Recurring Schedule'!$N$23)=0,IF('Recurring Schedule'!$O$23&gt;0,AND(DAY($A48)=MIN(DAY('Recurring Schedule'!$F$23),DAY(EOMONTH($A48,0))),MOD((YEAR($A48)-YEAR('Recurring Schedule'!$F$23))*12+MONTH($A48)-MONTH('Recurring Schedule'!$F$23),'Recurring Schedule'!$O$23)=0),IF('Recurring Schedule'!$E$23="Weekdays",WEEKDAY($A48,2)&lt;=5,$A48='Recurring Schedule'!$F$23))),18,""))))</f>
        <v/>
      </c>
      <c r="T48">
        <f>IF('Recurring Schedule'!$C$24="","",IF('Recurring Schedule'!$F$24="","",IF(OR($A48&lt;'Recurring Schedule'!$F$24,$A48&gt;'Recurring Schedule'!$P$24),"",IF(IF('Recurring Schedule'!$N$24&gt;0,MOD($A48-'Recurring Schedule'!$F$24,'Recurring Schedule'!$N$24)=0,IF('Recurring Schedule'!$O$24&gt;0,AND(DAY($A48)=MIN(DAY('Recurring Schedule'!$F$24),DAY(EOMONTH($A48,0))),MOD((YEAR($A48)-YEAR('Recurring Schedule'!$F$24))*12+MONTH($A48)-MONTH('Recurring Schedule'!$F$24),'Recurring Schedule'!$O$24)=0),IF('Recurring Schedule'!$E$24="Weekdays",WEEKDAY($A48,2)&lt;=5,$A48='Recurring Schedule'!$F$24))),19,""))))</f>
        <v/>
      </c>
      <c r="U48">
        <f>IF('Recurring Schedule'!$C$25="","",IF('Recurring Schedule'!$F$25="","",IF(OR($A48&lt;'Recurring Schedule'!$F$25,$A48&gt;'Recurring Schedule'!$P$25),"",IF(IF('Recurring Schedule'!$N$25&gt;0,MOD($A48-'Recurring Schedule'!$F$25,'Recurring Schedule'!$N$25)=0,IF('Recurring Schedule'!$O$25&gt;0,AND(DAY($A48)=MIN(DAY('Recurring Schedule'!$F$25),DAY(EOMONTH($A48,0))),MOD((YEAR($A48)-YEAR('Recurring Schedule'!$F$25))*12+MONTH($A48)-MONTH('Recurring Schedule'!$F$25),'Recurring Schedule'!$O$25)=0),IF('Recurring Schedule'!$E$25="Weekdays",WEEKDAY($A48,2)&lt;=5,$A48='Recurring Schedule'!$F$25))),20,""))))</f>
        <v/>
      </c>
      <c r="V48">
        <f>IF('Recurring Schedule'!$C$26="","",IF('Recurring Schedule'!$F$26="","",IF(OR($A48&lt;'Recurring Schedule'!$F$26,$A48&gt;'Recurring Schedule'!$P$26),"",IF(IF('Recurring Schedule'!$N$26&gt;0,MOD($A48-'Recurring Schedule'!$F$26,'Recurring Schedule'!$N$26)=0,IF('Recurring Schedule'!$O$26&gt;0,AND(DAY($A48)=MIN(DAY('Recurring Schedule'!$F$26),DAY(EOMONTH($A48,0))),MOD((YEAR($A48)-YEAR('Recurring Schedule'!$F$26))*12+MONTH($A48)-MONTH('Recurring Schedule'!$F$26),'Recurring Schedule'!$O$26)=0),IF('Recurring Schedule'!$E$26="Weekdays",WEEKDAY($A48,2)&lt;=5,$A48='Recurring Schedule'!$F$26))),21,""))))</f>
        <v/>
      </c>
      <c r="W48">
        <f>IF('Recurring Schedule'!$C$27="","",IF('Recurring Schedule'!$F$27="","",IF(OR($A48&lt;'Recurring Schedule'!$F$27,$A48&gt;'Recurring Schedule'!$P$27),"",IF(IF('Recurring Schedule'!$N$27&gt;0,MOD($A48-'Recurring Schedule'!$F$27,'Recurring Schedule'!$N$27)=0,IF('Recurring Schedule'!$O$27&gt;0,AND(DAY($A48)=MIN(DAY('Recurring Schedule'!$F$27),DAY(EOMONTH($A48,0))),MOD((YEAR($A48)-YEAR('Recurring Schedule'!$F$27))*12+MONTH($A48)-MONTH('Recurring Schedule'!$F$27),'Recurring Schedule'!$O$27)=0),IF('Recurring Schedule'!$E$27="Weekdays",WEEKDAY($A48,2)&lt;=5,$A48='Recurring Schedule'!$F$27))),22,""))))</f>
        <v/>
      </c>
      <c r="X48">
        <f>IF('Recurring Schedule'!$C$28="","",IF('Recurring Schedule'!$F$28="","",IF(OR($A48&lt;'Recurring Schedule'!$F$28,$A48&gt;'Recurring Schedule'!$P$28),"",IF(IF('Recurring Schedule'!$N$28&gt;0,MOD($A48-'Recurring Schedule'!$F$28,'Recurring Schedule'!$N$28)=0,IF('Recurring Schedule'!$O$28&gt;0,AND(DAY($A48)=MIN(DAY('Recurring Schedule'!$F$28),DAY(EOMONTH($A48,0))),MOD((YEAR($A48)-YEAR('Recurring Schedule'!$F$28))*12+MONTH($A48)-MONTH('Recurring Schedule'!$F$28),'Recurring Schedule'!$O$28)=0),IF('Recurring Schedule'!$E$28="Weekdays",WEEKDAY($A48,2)&lt;=5,$A48='Recurring Schedule'!$F$28))),23,""))))</f>
        <v/>
      </c>
      <c r="Y48">
        <f>IF('Recurring Schedule'!$C$29="","",IF('Recurring Schedule'!$F$29="","",IF(OR($A48&lt;'Recurring Schedule'!$F$29,$A48&gt;'Recurring Schedule'!$P$29),"",IF(IF('Recurring Schedule'!$N$29&gt;0,MOD($A48-'Recurring Schedule'!$F$29,'Recurring Schedule'!$N$29)=0,IF('Recurring Schedule'!$O$29&gt;0,AND(DAY($A48)=MIN(DAY('Recurring Schedule'!$F$29),DAY(EOMONTH($A48,0))),MOD((YEAR($A48)-YEAR('Recurring Schedule'!$F$29))*12+MONTH($A48)-MONTH('Recurring Schedule'!$F$29),'Recurring Schedule'!$O$29)=0),IF('Recurring Schedule'!$E$29="Weekdays",WEEKDAY($A48,2)&lt;=5,$A48='Recurring Schedule'!$F$29))),24,""))))</f>
        <v/>
      </c>
      <c r="Z48">
        <f>IF('Recurring Schedule'!$C$30="","",IF('Recurring Schedule'!$F$30="","",IF(OR($A48&lt;'Recurring Schedule'!$F$30,$A48&gt;'Recurring Schedule'!$P$30),"",IF(IF('Recurring Schedule'!$N$30&gt;0,MOD($A48-'Recurring Schedule'!$F$30,'Recurring Schedule'!$N$30)=0,IF('Recurring Schedule'!$O$30&gt;0,AND(DAY($A48)=MIN(DAY('Recurring Schedule'!$F$30),DAY(EOMONTH($A48,0))),MOD((YEAR($A48)-YEAR('Recurring Schedule'!$F$30))*12+MONTH($A48)-MONTH('Recurring Schedule'!$F$30),'Recurring Schedule'!$O$30)=0),IF('Recurring Schedule'!$E$30="Weekdays",WEEKDAY($A48,2)&lt;=5,$A48='Recurring Schedule'!$F$30))),25,""))))</f>
        <v/>
      </c>
      <c r="AA48">
        <f>IF('Recurring Schedule'!$C$31="","",IF('Recurring Schedule'!$F$31="","",IF(OR($A48&lt;'Recurring Schedule'!$F$31,$A48&gt;'Recurring Schedule'!$P$31),"",IF(IF('Recurring Schedule'!$N$31&gt;0,MOD($A48-'Recurring Schedule'!$F$31,'Recurring Schedule'!$N$31)=0,IF('Recurring Schedule'!$O$31&gt;0,AND(DAY($A48)=MIN(DAY('Recurring Schedule'!$F$31),DAY(EOMONTH($A48,0))),MOD((YEAR($A48)-YEAR('Recurring Schedule'!$F$31))*12+MONTH($A48)-MONTH('Recurring Schedule'!$F$31),'Recurring Schedule'!$O$31)=0),IF('Recurring Schedule'!$E$31="Weekdays",WEEKDAY($A48,2)&lt;=5,$A48='Recurring Schedule'!$F$31))),26,""))))</f>
        <v/>
      </c>
      <c r="AB48">
        <f>IF('Recurring Schedule'!$C$32="","",IF('Recurring Schedule'!$F$32="","",IF(OR($A48&lt;'Recurring Schedule'!$F$32,$A48&gt;'Recurring Schedule'!$P$32),"",IF(IF('Recurring Schedule'!$N$32&gt;0,MOD($A48-'Recurring Schedule'!$F$32,'Recurring Schedule'!$N$32)=0,IF('Recurring Schedule'!$O$32&gt;0,AND(DAY($A48)=MIN(DAY('Recurring Schedule'!$F$32),DAY(EOMONTH($A48,0))),MOD((YEAR($A48)-YEAR('Recurring Schedule'!$F$32))*12+MONTH($A48)-MONTH('Recurring Schedule'!$F$32),'Recurring Schedule'!$O$32)=0),IF('Recurring Schedule'!$E$32="Weekdays",WEEKDAY($A48,2)&lt;=5,$A48='Recurring Schedule'!$F$32))),27,""))))</f>
        <v/>
      </c>
      <c r="AC48">
        <f>IF('Recurring Schedule'!$C$33="","",IF('Recurring Schedule'!$F$33="","",IF(OR($A48&lt;'Recurring Schedule'!$F$33,$A48&gt;'Recurring Schedule'!$P$33),"",IF(IF('Recurring Schedule'!$N$33&gt;0,MOD($A48-'Recurring Schedule'!$F$33,'Recurring Schedule'!$N$33)=0,IF('Recurring Schedule'!$O$33&gt;0,AND(DAY($A48)=MIN(DAY('Recurring Schedule'!$F$33),DAY(EOMONTH($A48,0))),MOD((YEAR($A48)-YEAR('Recurring Schedule'!$F$33))*12+MONTH($A48)-MONTH('Recurring Schedule'!$F$33),'Recurring Schedule'!$O$33)=0),IF('Recurring Schedule'!$E$33="Weekdays",WEEKDAY($A48,2)&lt;=5,$A48='Recurring Schedule'!$F$33))),28,""))))</f>
        <v/>
      </c>
      <c r="AD48">
        <f>IF('Recurring Schedule'!$C$34="","",IF('Recurring Schedule'!$F$34="","",IF(OR($A48&lt;'Recurring Schedule'!$F$34,$A48&gt;'Recurring Schedule'!$P$34),"",IF(IF('Recurring Schedule'!$N$34&gt;0,MOD($A48-'Recurring Schedule'!$F$34,'Recurring Schedule'!$N$34)=0,IF('Recurring Schedule'!$O$34&gt;0,AND(DAY($A48)=MIN(DAY('Recurring Schedule'!$F$34),DAY(EOMONTH($A48,0))),MOD((YEAR($A48)-YEAR('Recurring Schedule'!$F$34))*12+MONTH($A48)-MONTH('Recurring Schedule'!$F$34),'Recurring Schedule'!$O$34)=0),IF('Recurring Schedule'!$E$34="Weekdays",WEEKDAY($A48,2)&lt;=5,$A48='Recurring Schedule'!$F$34))),29,""))))</f>
        <v/>
      </c>
      <c r="AE48">
        <f>IF('Recurring Schedule'!$C$35="","",IF('Recurring Schedule'!$F$35="","",IF(OR($A48&lt;'Recurring Schedule'!$F$35,$A48&gt;'Recurring Schedule'!$P$35),"",IF(IF('Recurring Schedule'!$N$35&gt;0,MOD($A48-'Recurring Schedule'!$F$35,'Recurring Schedule'!$N$35)=0,IF('Recurring Schedule'!$O$35&gt;0,AND(DAY($A48)=MIN(DAY('Recurring Schedule'!$F$35),DAY(EOMONTH($A48,0))),MOD((YEAR($A48)-YEAR('Recurring Schedule'!$F$35))*12+MONTH($A48)-MONTH('Recurring Schedule'!$F$35),'Recurring Schedule'!$O$35)=0),IF('Recurring Schedule'!$E$35="Weekdays",WEEKDAY($A48,2)&lt;=5,$A48='Recurring Schedule'!$F$35))),30,""))))</f>
        <v/>
      </c>
      <c r="AF48">
        <f>IF('Recurring Schedule'!$C$36="","",IF('Recurring Schedule'!$F$36="","",IF(OR($A48&lt;'Recurring Schedule'!$F$36,$A48&gt;'Recurring Schedule'!$P$36),"",IF(IF('Recurring Schedule'!$N$36&gt;0,MOD($A48-'Recurring Schedule'!$F$36,'Recurring Schedule'!$N$36)=0,IF('Recurring Schedule'!$O$36&gt;0,AND(DAY($A48)=MIN(DAY('Recurring Schedule'!$F$36),DAY(EOMONTH($A48,0))),MOD((YEAR($A48)-YEAR('Recurring Schedule'!$F$36))*12+MONTH($A48)-MONTH('Recurring Schedule'!$F$36),'Recurring Schedule'!$O$36)=0),IF('Recurring Schedule'!$E$36="Weekdays",WEEKDAY($A48,2)&lt;=5,$A48='Recurring Schedule'!$F$36))),31,""))))</f>
        <v/>
      </c>
      <c r="AG48">
        <f>IF('Recurring Schedule'!$C$37="","",IF('Recurring Schedule'!$F$37="","",IF(OR($A48&lt;'Recurring Schedule'!$F$37,$A48&gt;'Recurring Schedule'!$P$37),"",IF(IF('Recurring Schedule'!$N$37&gt;0,MOD($A48-'Recurring Schedule'!$F$37,'Recurring Schedule'!$N$37)=0,IF('Recurring Schedule'!$O$37&gt;0,AND(DAY($A48)=MIN(DAY('Recurring Schedule'!$F$37),DAY(EOMONTH($A48,0))),MOD((YEAR($A48)-YEAR('Recurring Schedule'!$F$37))*12+MONTH($A48)-MONTH('Recurring Schedule'!$F$37),'Recurring Schedule'!$O$37)=0),IF('Recurring Schedule'!$E$37="Weekdays",WEEKDAY($A48,2)&lt;=5,$A48='Recurring Schedule'!$F$37))),32,""))))</f>
        <v/>
      </c>
      <c r="AH48">
        <f>IF('Recurring Schedule'!$C$38="","",IF('Recurring Schedule'!$F$38="","",IF(OR($A48&lt;'Recurring Schedule'!$F$38,$A48&gt;'Recurring Schedule'!$P$38),"",IF(IF('Recurring Schedule'!$N$38&gt;0,MOD($A48-'Recurring Schedule'!$F$38,'Recurring Schedule'!$N$38)=0,IF('Recurring Schedule'!$O$38&gt;0,AND(DAY($A48)=MIN(DAY('Recurring Schedule'!$F$38),DAY(EOMONTH($A48,0))),MOD((YEAR($A48)-YEAR('Recurring Schedule'!$F$38))*12+MONTH($A48)-MONTH('Recurring Schedule'!$F$38),'Recurring Schedule'!$O$38)=0),IF('Recurring Schedule'!$E$38="Weekdays",WEEKDAY($A48,2)&lt;=5,$A48='Recurring Schedule'!$F$38))),33,""))))</f>
        <v/>
      </c>
      <c r="AI48">
        <f>IF('Recurring Schedule'!$C$39="","",IF('Recurring Schedule'!$F$39="","",IF(OR($A48&lt;'Recurring Schedule'!$F$39,$A48&gt;'Recurring Schedule'!$P$39),"",IF(IF('Recurring Schedule'!$N$39&gt;0,MOD($A48-'Recurring Schedule'!$F$39,'Recurring Schedule'!$N$39)=0,IF('Recurring Schedule'!$O$39&gt;0,AND(DAY($A48)=MIN(DAY('Recurring Schedule'!$F$39),DAY(EOMONTH($A48,0))),MOD((YEAR($A48)-YEAR('Recurring Schedule'!$F$39))*12+MONTH($A48)-MONTH('Recurring Schedule'!$F$39),'Recurring Schedule'!$O$39)=0),IF('Recurring Schedule'!$E$39="Weekdays",WEEKDAY($A48,2)&lt;=5,$A48='Recurring Schedule'!$F$39))),34,""))))</f>
        <v/>
      </c>
      <c r="AJ48">
        <f>IF('Recurring Schedule'!$C$40="","",IF('Recurring Schedule'!$F$40="","",IF(OR($A48&lt;'Recurring Schedule'!$F$40,$A48&gt;'Recurring Schedule'!$P$40),"",IF(IF('Recurring Schedule'!$N$40&gt;0,MOD($A48-'Recurring Schedule'!$F$40,'Recurring Schedule'!$N$40)=0,IF('Recurring Schedule'!$O$40&gt;0,AND(DAY($A48)=MIN(DAY('Recurring Schedule'!$F$40),DAY(EOMONTH($A48,0))),MOD((YEAR($A48)-YEAR('Recurring Schedule'!$F$40))*12+MONTH($A48)-MONTH('Recurring Schedule'!$F$40),'Recurring Schedule'!$O$40)=0),IF('Recurring Schedule'!$E$40="Weekdays",WEEKDAY($A48,2)&lt;=5,$A48='Recurring Schedule'!$F$40))),35,""))))</f>
        <v/>
      </c>
      <c r="AK48">
        <f>IF('Recurring Schedule'!$C$41="","",IF('Recurring Schedule'!$F$41="","",IF(OR($A48&lt;'Recurring Schedule'!$F$41,$A48&gt;'Recurring Schedule'!$P$41),"",IF(IF('Recurring Schedule'!$N$41&gt;0,MOD($A48-'Recurring Schedule'!$F$41,'Recurring Schedule'!$N$41)=0,IF('Recurring Schedule'!$O$41&gt;0,AND(DAY($A48)=MIN(DAY('Recurring Schedule'!$F$41),DAY(EOMONTH($A48,0))),MOD((YEAR($A48)-YEAR('Recurring Schedule'!$F$41))*12+MONTH($A48)-MONTH('Recurring Schedule'!$F$41),'Recurring Schedule'!$O$41)=0),IF('Recurring Schedule'!$E$41="Weekdays",WEEKDAY($A48,2)&lt;=5,$A48='Recurring Schedule'!$F$41))),36,""))))</f>
        <v/>
      </c>
      <c r="AL48">
        <f>IF('Recurring Schedule'!$C$42="","",IF('Recurring Schedule'!$F$42="","",IF(OR($A48&lt;'Recurring Schedule'!$F$42,$A48&gt;'Recurring Schedule'!$P$42),"",IF(IF('Recurring Schedule'!$N$42&gt;0,MOD($A48-'Recurring Schedule'!$F$42,'Recurring Schedule'!$N$42)=0,IF('Recurring Schedule'!$O$42&gt;0,AND(DAY($A48)=MIN(DAY('Recurring Schedule'!$F$42),DAY(EOMONTH($A48,0))),MOD((YEAR($A48)-YEAR('Recurring Schedule'!$F$42))*12+MONTH($A48)-MONTH('Recurring Schedule'!$F$42),'Recurring Schedule'!$O$42)=0),IF('Recurring Schedule'!$E$42="Weekdays",WEEKDAY($A48,2)&lt;=5,$A48='Recurring Schedule'!$F$42))),37,""))))</f>
        <v/>
      </c>
      <c r="AM48">
        <f>IF('Recurring Schedule'!$C$43="","",IF('Recurring Schedule'!$F$43="","",IF(OR($A48&lt;'Recurring Schedule'!$F$43,$A48&gt;'Recurring Schedule'!$P$43),"",IF(IF('Recurring Schedule'!$N$43&gt;0,MOD($A48-'Recurring Schedule'!$F$43,'Recurring Schedule'!$N$43)=0,IF('Recurring Schedule'!$O$43&gt;0,AND(DAY($A48)=MIN(DAY('Recurring Schedule'!$F$43),DAY(EOMONTH($A48,0))),MOD((YEAR($A48)-YEAR('Recurring Schedule'!$F$43))*12+MONTH($A48)-MONTH('Recurring Schedule'!$F$43),'Recurring Schedule'!$O$43)=0),IF('Recurring Schedule'!$E$43="Weekdays",WEEKDAY($A48,2)&lt;=5,$A48='Recurring Schedule'!$F$43))),38,""))))</f>
        <v/>
      </c>
      <c r="AN48">
        <f>IF('Recurring Schedule'!$C$44="","",IF('Recurring Schedule'!$F$44="","",IF(OR($A48&lt;'Recurring Schedule'!$F$44,$A48&gt;'Recurring Schedule'!$P$44),"",IF(IF('Recurring Schedule'!$N$44&gt;0,MOD($A48-'Recurring Schedule'!$F$44,'Recurring Schedule'!$N$44)=0,IF('Recurring Schedule'!$O$44&gt;0,AND(DAY($A48)=MIN(DAY('Recurring Schedule'!$F$44),DAY(EOMONTH($A48,0))),MOD((YEAR($A48)-YEAR('Recurring Schedule'!$F$44))*12+MONTH($A48)-MONTH('Recurring Schedule'!$F$44),'Recurring Schedule'!$O$44)=0),IF('Recurring Schedule'!$E$44="Weekdays",WEEKDAY($A48,2)&lt;=5,$A48='Recurring Schedule'!$F$44))),39,""))))</f>
        <v/>
      </c>
      <c r="AO48">
        <f>IF('Recurring Schedule'!$C$45="","",IF('Recurring Schedule'!$F$45="","",IF(OR($A48&lt;'Recurring Schedule'!$F$45,$A48&gt;'Recurring Schedule'!$P$45),"",IF(IF('Recurring Schedule'!$N$45&gt;0,MOD($A48-'Recurring Schedule'!$F$45,'Recurring Schedule'!$N$45)=0,IF('Recurring Schedule'!$O$45&gt;0,AND(DAY($A48)=MIN(DAY('Recurring Schedule'!$F$45),DAY(EOMONTH($A48,0))),MOD((YEAR($A48)-YEAR('Recurring Schedule'!$F$45))*12+MONTH($A48)-MONTH('Recurring Schedule'!$F$45),'Recurring Schedule'!$O$45)=0),IF('Recurring Schedule'!$E$45="Weekdays",WEEKDAY($A48,2)&lt;=5,$A48='Recurring Schedule'!$F$45))),40,""))))</f>
        <v/>
      </c>
      <c r="AP48">
        <f>COUNT(B48:AO48)</f>
        <v/>
      </c>
      <c r="AQ48">
        <f>AQ47+AP47</f>
        <v/>
      </c>
      <c r="AS48" t="inlineStr">
        <is>
          <t>R</t>
        </is>
      </c>
      <c r="AT48" t="n">
        <v>52</v>
      </c>
      <c r="AU48">
        <f>'Recurring Log'!C52&amp;""</f>
        <v/>
      </c>
      <c r="AV48">
        <f>'Recurring Log'!D52&amp;""</f>
        <v/>
      </c>
      <c r="AW48">
        <f>IF('Recurring Log'!E52="","",'Recurring Log'!E52)</f>
        <v/>
      </c>
      <c r="AX48">
        <f>IF('Recurring Log'!G52="","",'Recurring Log'!G52)</f>
        <v/>
      </c>
      <c r="AY48">
        <f>IF('Recurring Log'!H52="","",'Recurring Log'!H52)</f>
        <v/>
      </c>
      <c r="AZ48">
        <f>IF(AU48="","",IF('Recurring Log'!J52="","Not Started",'Recurring Log'!J52))</f>
        <v/>
      </c>
      <c r="BA48">
        <f>'Recurring Log'!L52&amp;""</f>
        <v/>
      </c>
      <c r="BB48">
        <f>'Recurring Log'!M52&amp;""</f>
        <v/>
      </c>
      <c r="BC48">
        <f>'Recurring Log'!N52&amp;""</f>
        <v/>
      </c>
      <c r="BD48">
        <f>'Recurring Log'!O52&amp;""</f>
        <v/>
      </c>
      <c r="BE48">
        <f>IF('Recurring Log'!K52="","",'Recurring Log'!K52)</f>
        <v/>
      </c>
      <c r="BF48">
        <f>IFERROR(MATCH(BA48,Setup!$L$6:$L$9,0),5)</f>
        <v/>
      </c>
      <c r="BG48">
        <f>IF(OR(AZ48="Done",AZ48="Cancelled"),1,0)</f>
        <v/>
      </c>
      <c r="BH48">
        <f>IF(AND(AU48&lt;&gt;"",ISNUMBER(AW48)),1,0)</f>
        <v/>
      </c>
      <c r="BI48">
        <f>IF(BH48=0,0,IF(AND(AW48&gt;='Tasks Filter'!$F$3,AW48&lt;='Tasks Filter'!$F$4,OR('Tasks Filter'!$I$3="",ISNUMBER(SEARCH('Tasks Filter'!$I$3,AU48))),OR('Tasks Filter'!$I$4="",BF48=IFERROR(MATCH('Tasks Filter'!$I$4,Setup!$L$6:$L$9,0),0)),OR('Tasks Filter'!$I$5="Both",AND('Tasks Filter'!$I$5="Yes",BB48="✓"),AND('Tasks Filter'!$I$5="No",BB48&lt;&gt;"✓")),OR('Tasks Filter'!$L$3="",AV48='Tasks Filter'!$L$3),OR('Tasks Filter'!$L$4="",AZ48='Tasks Filter'!$L$4),OR('Tasks Filter'!$L$5="",BC48='Tasks Filter'!$L$5),OR('Tasks Filter'!$O$3="",BD48='Tasks Filter'!$O$3),OR('Tasks Filter'!$O$4="Yes",BG48=0)),1,0))</f>
        <v/>
      </c>
      <c r="BJ48">
        <f>IF(BH48=0,"",IF('Tasks Filter'!$F$6="Descending",-1,1)*CHOOSE(MATCH('Tasks Filter'!$F$5,Lists!$G$2:$G$6,0),AW48,BF48,IFERROR(MATCH(AV48,Setup!$F$6:$F$15,0),99),IFERROR(MATCH(BC48,Setup!$H$6:$H$15,0),99),IFERROR(MATCH(AZ48,Setup!$J$6:$J$11,0),99))*1E+9+(AW48-40000)*10000+47)</f>
        <v/>
      </c>
      <c r="BK48">
        <f>IF(BI48=1,BJ48,"")</f>
        <v/>
      </c>
      <c r="BL48">
        <f>IF(AND(BH48=1,BG48=0,N(AW48)&lt;Setup!$D$7),(AW48-40000)*10000+47,"")</f>
        <v/>
      </c>
      <c r="BM48">
        <f>IF(AND(BH48=1,AZ48&lt;&gt;"Cancelled",N(AW48)&gt;=Dashboard!$AB$3,N(AW48)&lt;=Dashboard!$AB$3+6),(AW48-40000)*100000+BF48*10000+47,"")</f>
        <v/>
      </c>
      <c r="BN48">
        <f>IF(AND(BH48=1,AZ48&lt;&gt;"Cancelled"),BF48*10000+47,"")</f>
        <v/>
      </c>
    </row>
    <row r="49">
      <c r="A49">
        <f>Setup!$D$5+47</f>
        <v/>
      </c>
      <c r="B49">
        <f>IF('Recurring Schedule'!$C$6="","",IF('Recurring Schedule'!$F$6="","",IF(OR($A49&lt;'Recurring Schedule'!$F$6,$A49&gt;'Recurring Schedule'!$P$6),"",IF(IF('Recurring Schedule'!$N$6&gt;0,MOD($A49-'Recurring Schedule'!$F$6,'Recurring Schedule'!$N$6)=0,IF('Recurring Schedule'!$O$6&gt;0,AND(DAY($A49)=MIN(DAY('Recurring Schedule'!$F$6),DAY(EOMONTH($A49,0))),MOD((YEAR($A49)-YEAR('Recurring Schedule'!$F$6))*12+MONTH($A49)-MONTH('Recurring Schedule'!$F$6),'Recurring Schedule'!$O$6)=0),IF('Recurring Schedule'!$E$6="Weekdays",WEEKDAY($A49,2)&lt;=5,$A49='Recurring Schedule'!$F$6))),1,""))))</f>
        <v/>
      </c>
      <c r="C49">
        <f>IF('Recurring Schedule'!$C$7="","",IF('Recurring Schedule'!$F$7="","",IF(OR($A49&lt;'Recurring Schedule'!$F$7,$A49&gt;'Recurring Schedule'!$P$7),"",IF(IF('Recurring Schedule'!$N$7&gt;0,MOD($A49-'Recurring Schedule'!$F$7,'Recurring Schedule'!$N$7)=0,IF('Recurring Schedule'!$O$7&gt;0,AND(DAY($A49)=MIN(DAY('Recurring Schedule'!$F$7),DAY(EOMONTH($A49,0))),MOD((YEAR($A49)-YEAR('Recurring Schedule'!$F$7))*12+MONTH($A49)-MONTH('Recurring Schedule'!$F$7),'Recurring Schedule'!$O$7)=0),IF('Recurring Schedule'!$E$7="Weekdays",WEEKDAY($A49,2)&lt;=5,$A49='Recurring Schedule'!$F$7))),2,""))))</f>
        <v/>
      </c>
      <c r="D49">
        <f>IF('Recurring Schedule'!$C$8="","",IF('Recurring Schedule'!$F$8="","",IF(OR($A49&lt;'Recurring Schedule'!$F$8,$A49&gt;'Recurring Schedule'!$P$8),"",IF(IF('Recurring Schedule'!$N$8&gt;0,MOD($A49-'Recurring Schedule'!$F$8,'Recurring Schedule'!$N$8)=0,IF('Recurring Schedule'!$O$8&gt;0,AND(DAY($A49)=MIN(DAY('Recurring Schedule'!$F$8),DAY(EOMONTH($A49,0))),MOD((YEAR($A49)-YEAR('Recurring Schedule'!$F$8))*12+MONTH($A49)-MONTH('Recurring Schedule'!$F$8),'Recurring Schedule'!$O$8)=0),IF('Recurring Schedule'!$E$8="Weekdays",WEEKDAY($A49,2)&lt;=5,$A49='Recurring Schedule'!$F$8))),3,""))))</f>
        <v/>
      </c>
      <c r="E49">
        <f>IF('Recurring Schedule'!$C$9="","",IF('Recurring Schedule'!$F$9="","",IF(OR($A49&lt;'Recurring Schedule'!$F$9,$A49&gt;'Recurring Schedule'!$P$9),"",IF(IF('Recurring Schedule'!$N$9&gt;0,MOD($A49-'Recurring Schedule'!$F$9,'Recurring Schedule'!$N$9)=0,IF('Recurring Schedule'!$O$9&gt;0,AND(DAY($A49)=MIN(DAY('Recurring Schedule'!$F$9),DAY(EOMONTH($A49,0))),MOD((YEAR($A49)-YEAR('Recurring Schedule'!$F$9))*12+MONTH($A49)-MONTH('Recurring Schedule'!$F$9),'Recurring Schedule'!$O$9)=0),IF('Recurring Schedule'!$E$9="Weekdays",WEEKDAY($A49,2)&lt;=5,$A49='Recurring Schedule'!$F$9))),4,""))))</f>
        <v/>
      </c>
      <c r="F49">
        <f>IF('Recurring Schedule'!$C$10="","",IF('Recurring Schedule'!$F$10="","",IF(OR($A49&lt;'Recurring Schedule'!$F$10,$A49&gt;'Recurring Schedule'!$P$10),"",IF(IF('Recurring Schedule'!$N$10&gt;0,MOD($A49-'Recurring Schedule'!$F$10,'Recurring Schedule'!$N$10)=0,IF('Recurring Schedule'!$O$10&gt;0,AND(DAY($A49)=MIN(DAY('Recurring Schedule'!$F$10),DAY(EOMONTH($A49,0))),MOD((YEAR($A49)-YEAR('Recurring Schedule'!$F$10))*12+MONTH($A49)-MONTH('Recurring Schedule'!$F$10),'Recurring Schedule'!$O$10)=0),IF('Recurring Schedule'!$E$10="Weekdays",WEEKDAY($A49,2)&lt;=5,$A49='Recurring Schedule'!$F$10))),5,""))))</f>
        <v/>
      </c>
      <c r="G49">
        <f>IF('Recurring Schedule'!$C$11="","",IF('Recurring Schedule'!$F$11="","",IF(OR($A49&lt;'Recurring Schedule'!$F$11,$A49&gt;'Recurring Schedule'!$P$11),"",IF(IF('Recurring Schedule'!$N$11&gt;0,MOD($A49-'Recurring Schedule'!$F$11,'Recurring Schedule'!$N$11)=0,IF('Recurring Schedule'!$O$11&gt;0,AND(DAY($A49)=MIN(DAY('Recurring Schedule'!$F$11),DAY(EOMONTH($A49,0))),MOD((YEAR($A49)-YEAR('Recurring Schedule'!$F$11))*12+MONTH($A49)-MONTH('Recurring Schedule'!$F$11),'Recurring Schedule'!$O$11)=0),IF('Recurring Schedule'!$E$11="Weekdays",WEEKDAY($A49,2)&lt;=5,$A49='Recurring Schedule'!$F$11))),6,""))))</f>
        <v/>
      </c>
      <c r="H49">
        <f>IF('Recurring Schedule'!$C$12="","",IF('Recurring Schedule'!$F$12="","",IF(OR($A49&lt;'Recurring Schedule'!$F$12,$A49&gt;'Recurring Schedule'!$P$12),"",IF(IF('Recurring Schedule'!$N$12&gt;0,MOD($A49-'Recurring Schedule'!$F$12,'Recurring Schedule'!$N$12)=0,IF('Recurring Schedule'!$O$12&gt;0,AND(DAY($A49)=MIN(DAY('Recurring Schedule'!$F$12),DAY(EOMONTH($A49,0))),MOD((YEAR($A49)-YEAR('Recurring Schedule'!$F$12))*12+MONTH($A49)-MONTH('Recurring Schedule'!$F$12),'Recurring Schedule'!$O$12)=0),IF('Recurring Schedule'!$E$12="Weekdays",WEEKDAY($A49,2)&lt;=5,$A49='Recurring Schedule'!$F$12))),7,""))))</f>
        <v/>
      </c>
      <c r="I49">
        <f>IF('Recurring Schedule'!$C$13="","",IF('Recurring Schedule'!$F$13="","",IF(OR($A49&lt;'Recurring Schedule'!$F$13,$A49&gt;'Recurring Schedule'!$P$13),"",IF(IF('Recurring Schedule'!$N$13&gt;0,MOD($A49-'Recurring Schedule'!$F$13,'Recurring Schedule'!$N$13)=0,IF('Recurring Schedule'!$O$13&gt;0,AND(DAY($A49)=MIN(DAY('Recurring Schedule'!$F$13),DAY(EOMONTH($A49,0))),MOD((YEAR($A49)-YEAR('Recurring Schedule'!$F$13))*12+MONTH($A49)-MONTH('Recurring Schedule'!$F$13),'Recurring Schedule'!$O$13)=0),IF('Recurring Schedule'!$E$13="Weekdays",WEEKDAY($A49,2)&lt;=5,$A49='Recurring Schedule'!$F$13))),8,""))))</f>
        <v/>
      </c>
      <c r="J49">
        <f>IF('Recurring Schedule'!$C$14="","",IF('Recurring Schedule'!$F$14="","",IF(OR($A49&lt;'Recurring Schedule'!$F$14,$A49&gt;'Recurring Schedule'!$P$14),"",IF(IF('Recurring Schedule'!$N$14&gt;0,MOD($A49-'Recurring Schedule'!$F$14,'Recurring Schedule'!$N$14)=0,IF('Recurring Schedule'!$O$14&gt;0,AND(DAY($A49)=MIN(DAY('Recurring Schedule'!$F$14),DAY(EOMONTH($A49,0))),MOD((YEAR($A49)-YEAR('Recurring Schedule'!$F$14))*12+MONTH($A49)-MONTH('Recurring Schedule'!$F$14),'Recurring Schedule'!$O$14)=0),IF('Recurring Schedule'!$E$14="Weekdays",WEEKDAY($A49,2)&lt;=5,$A49='Recurring Schedule'!$F$14))),9,""))))</f>
        <v/>
      </c>
      <c r="K49">
        <f>IF('Recurring Schedule'!$C$15="","",IF('Recurring Schedule'!$F$15="","",IF(OR($A49&lt;'Recurring Schedule'!$F$15,$A49&gt;'Recurring Schedule'!$P$15),"",IF(IF('Recurring Schedule'!$N$15&gt;0,MOD($A49-'Recurring Schedule'!$F$15,'Recurring Schedule'!$N$15)=0,IF('Recurring Schedule'!$O$15&gt;0,AND(DAY($A49)=MIN(DAY('Recurring Schedule'!$F$15),DAY(EOMONTH($A49,0))),MOD((YEAR($A49)-YEAR('Recurring Schedule'!$F$15))*12+MONTH($A49)-MONTH('Recurring Schedule'!$F$15),'Recurring Schedule'!$O$15)=0),IF('Recurring Schedule'!$E$15="Weekdays",WEEKDAY($A49,2)&lt;=5,$A49='Recurring Schedule'!$F$15))),10,""))))</f>
        <v/>
      </c>
      <c r="L49">
        <f>IF('Recurring Schedule'!$C$16="","",IF('Recurring Schedule'!$F$16="","",IF(OR($A49&lt;'Recurring Schedule'!$F$16,$A49&gt;'Recurring Schedule'!$P$16),"",IF(IF('Recurring Schedule'!$N$16&gt;0,MOD($A49-'Recurring Schedule'!$F$16,'Recurring Schedule'!$N$16)=0,IF('Recurring Schedule'!$O$16&gt;0,AND(DAY($A49)=MIN(DAY('Recurring Schedule'!$F$16),DAY(EOMONTH($A49,0))),MOD((YEAR($A49)-YEAR('Recurring Schedule'!$F$16))*12+MONTH($A49)-MONTH('Recurring Schedule'!$F$16),'Recurring Schedule'!$O$16)=0),IF('Recurring Schedule'!$E$16="Weekdays",WEEKDAY($A49,2)&lt;=5,$A49='Recurring Schedule'!$F$16))),11,""))))</f>
        <v/>
      </c>
      <c r="M49">
        <f>IF('Recurring Schedule'!$C$17="","",IF('Recurring Schedule'!$F$17="","",IF(OR($A49&lt;'Recurring Schedule'!$F$17,$A49&gt;'Recurring Schedule'!$P$17),"",IF(IF('Recurring Schedule'!$N$17&gt;0,MOD($A49-'Recurring Schedule'!$F$17,'Recurring Schedule'!$N$17)=0,IF('Recurring Schedule'!$O$17&gt;0,AND(DAY($A49)=MIN(DAY('Recurring Schedule'!$F$17),DAY(EOMONTH($A49,0))),MOD((YEAR($A49)-YEAR('Recurring Schedule'!$F$17))*12+MONTH($A49)-MONTH('Recurring Schedule'!$F$17),'Recurring Schedule'!$O$17)=0),IF('Recurring Schedule'!$E$17="Weekdays",WEEKDAY($A49,2)&lt;=5,$A49='Recurring Schedule'!$F$17))),12,""))))</f>
        <v/>
      </c>
      <c r="N49">
        <f>IF('Recurring Schedule'!$C$18="","",IF('Recurring Schedule'!$F$18="","",IF(OR($A49&lt;'Recurring Schedule'!$F$18,$A49&gt;'Recurring Schedule'!$P$18),"",IF(IF('Recurring Schedule'!$N$18&gt;0,MOD($A49-'Recurring Schedule'!$F$18,'Recurring Schedule'!$N$18)=0,IF('Recurring Schedule'!$O$18&gt;0,AND(DAY($A49)=MIN(DAY('Recurring Schedule'!$F$18),DAY(EOMONTH($A49,0))),MOD((YEAR($A49)-YEAR('Recurring Schedule'!$F$18))*12+MONTH($A49)-MONTH('Recurring Schedule'!$F$18),'Recurring Schedule'!$O$18)=0),IF('Recurring Schedule'!$E$18="Weekdays",WEEKDAY($A49,2)&lt;=5,$A49='Recurring Schedule'!$F$18))),13,""))))</f>
        <v/>
      </c>
      <c r="O49">
        <f>IF('Recurring Schedule'!$C$19="","",IF('Recurring Schedule'!$F$19="","",IF(OR($A49&lt;'Recurring Schedule'!$F$19,$A49&gt;'Recurring Schedule'!$P$19),"",IF(IF('Recurring Schedule'!$N$19&gt;0,MOD($A49-'Recurring Schedule'!$F$19,'Recurring Schedule'!$N$19)=0,IF('Recurring Schedule'!$O$19&gt;0,AND(DAY($A49)=MIN(DAY('Recurring Schedule'!$F$19),DAY(EOMONTH($A49,0))),MOD((YEAR($A49)-YEAR('Recurring Schedule'!$F$19))*12+MONTH($A49)-MONTH('Recurring Schedule'!$F$19),'Recurring Schedule'!$O$19)=0),IF('Recurring Schedule'!$E$19="Weekdays",WEEKDAY($A49,2)&lt;=5,$A49='Recurring Schedule'!$F$19))),14,""))))</f>
        <v/>
      </c>
      <c r="P49">
        <f>IF('Recurring Schedule'!$C$20="","",IF('Recurring Schedule'!$F$20="","",IF(OR($A49&lt;'Recurring Schedule'!$F$20,$A49&gt;'Recurring Schedule'!$P$20),"",IF(IF('Recurring Schedule'!$N$20&gt;0,MOD($A49-'Recurring Schedule'!$F$20,'Recurring Schedule'!$N$20)=0,IF('Recurring Schedule'!$O$20&gt;0,AND(DAY($A49)=MIN(DAY('Recurring Schedule'!$F$20),DAY(EOMONTH($A49,0))),MOD((YEAR($A49)-YEAR('Recurring Schedule'!$F$20))*12+MONTH($A49)-MONTH('Recurring Schedule'!$F$20),'Recurring Schedule'!$O$20)=0),IF('Recurring Schedule'!$E$20="Weekdays",WEEKDAY($A49,2)&lt;=5,$A49='Recurring Schedule'!$F$20))),15,""))))</f>
        <v/>
      </c>
      <c r="Q49">
        <f>IF('Recurring Schedule'!$C$21="","",IF('Recurring Schedule'!$F$21="","",IF(OR($A49&lt;'Recurring Schedule'!$F$21,$A49&gt;'Recurring Schedule'!$P$21),"",IF(IF('Recurring Schedule'!$N$21&gt;0,MOD($A49-'Recurring Schedule'!$F$21,'Recurring Schedule'!$N$21)=0,IF('Recurring Schedule'!$O$21&gt;0,AND(DAY($A49)=MIN(DAY('Recurring Schedule'!$F$21),DAY(EOMONTH($A49,0))),MOD((YEAR($A49)-YEAR('Recurring Schedule'!$F$21))*12+MONTH($A49)-MONTH('Recurring Schedule'!$F$21),'Recurring Schedule'!$O$21)=0),IF('Recurring Schedule'!$E$21="Weekdays",WEEKDAY($A49,2)&lt;=5,$A49='Recurring Schedule'!$F$21))),16,""))))</f>
        <v/>
      </c>
      <c r="R49">
        <f>IF('Recurring Schedule'!$C$22="","",IF('Recurring Schedule'!$F$22="","",IF(OR($A49&lt;'Recurring Schedule'!$F$22,$A49&gt;'Recurring Schedule'!$P$22),"",IF(IF('Recurring Schedule'!$N$22&gt;0,MOD($A49-'Recurring Schedule'!$F$22,'Recurring Schedule'!$N$22)=0,IF('Recurring Schedule'!$O$22&gt;0,AND(DAY($A49)=MIN(DAY('Recurring Schedule'!$F$22),DAY(EOMONTH($A49,0))),MOD((YEAR($A49)-YEAR('Recurring Schedule'!$F$22))*12+MONTH($A49)-MONTH('Recurring Schedule'!$F$22),'Recurring Schedule'!$O$22)=0),IF('Recurring Schedule'!$E$22="Weekdays",WEEKDAY($A49,2)&lt;=5,$A49='Recurring Schedule'!$F$22))),17,""))))</f>
        <v/>
      </c>
      <c r="S49">
        <f>IF('Recurring Schedule'!$C$23="","",IF('Recurring Schedule'!$F$23="","",IF(OR($A49&lt;'Recurring Schedule'!$F$23,$A49&gt;'Recurring Schedule'!$P$23),"",IF(IF('Recurring Schedule'!$N$23&gt;0,MOD($A49-'Recurring Schedule'!$F$23,'Recurring Schedule'!$N$23)=0,IF('Recurring Schedule'!$O$23&gt;0,AND(DAY($A49)=MIN(DAY('Recurring Schedule'!$F$23),DAY(EOMONTH($A49,0))),MOD((YEAR($A49)-YEAR('Recurring Schedule'!$F$23))*12+MONTH($A49)-MONTH('Recurring Schedule'!$F$23),'Recurring Schedule'!$O$23)=0),IF('Recurring Schedule'!$E$23="Weekdays",WEEKDAY($A49,2)&lt;=5,$A49='Recurring Schedule'!$F$23))),18,""))))</f>
        <v/>
      </c>
      <c r="T49">
        <f>IF('Recurring Schedule'!$C$24="","",IF('Recurring Schedule'!$F$24="","",IF(OR($A49&lt;'Recurring Schedule'!$F$24,$A49&gt;'Recurring Schedule'!$P$24),"",IF(IF('Recurring Schedule'!$N$24&gt;0,MOD($A49-'Recurring Schedule'!$F$24,'Recurring Schedule'!$N$24)=0,IF('Recurring Schedule'!$O$24&gt;0,AND(DAY($A49)=MIN(DAY('Recurring Schedule'!$F$24),DAY(EOMONTH($A49,0))),MOD((YEAR($A49)-YEAR('Recurring Schedule'!$F$24))*12+MONTH($A49)-MONTH('Recurring Schedule'!$F$24),'Recurring Schedule'!$O$24)=0),IF('Recurring Schedule'!$E$24="Weekdays",WEEKDAY($A49,2)&lt;=5,$A49='Recurring Schedule'!$F$24))),19,""))))</f>
        <v/>
      </c>
      <c r="U49">
        <f>IF('Recurring Schedule'!$C$25="","",IF('Recurring Schedule'!$F$25="","",IF(OR($A49&lt;'Recurring Schedule'!$F$25,$A49&gt;'Recurring Schedule'!$P$25),"",IF(IF('Recurring Schedule'!$N$25&gt;0,MOD($A49-'Recurring Schedule'!$F$25,'Recurring Schedule'!$N$25)=0,IF('Recurring Schedule'!$O$25&gt;0,AND(DAY($A49)=MIN(DAY('Recurring Schedule'!$F$25),DAY(EOMONTH($A49,0))),MOD((YEAR($A49)-YEAR('Recurring Schedule'!$F$25))*12+MONTH($A49)-MONTH('Recurring Schedule'!$F$25),'Recurring Schedule'!$O$25)=0),IF('Recurring Schedule'!$E$25="Weekdays",WEEKDAY($A49,2)&lt;=5,$A49='Recurring Schedule'!$F$25))),20,""))))</f>
        <v/>
      </c>
      <c r="V49">
        <f>IF('Recurring Schedule'!$C$26="","",IF('Recurring Schedule'!$F$26="","",IF(OR($A49&lt;'Recurring Schedule'!$F$26,$A49&gt;'Recurring Schedule'!$P$26),"",IF(IF('Recurring Schedule'!$N$26&gt;0,MOD($A49-'Recurring Schedule'!$F$26,'Recurring Schedule'!$N$26)=0,IF('Recurring Schedule'!$O$26&gt;0,AND(DAY($A49)=MIN(DAY('Recurring Schedule'!$F$26),DAY(EOMONTH($A49,0))),MOD((YEAR($A49)-YEAR('Recurring Schedule'!$F$26))*12+MONTH($A49)-MONTH('Recurring Schedule'!$F$26),'Recurring Schedule'!$O$26)=0),IF('Recurring Schedule'!$E$26="Weekdays",WEEKDAY($A49,2)&lt;=5,$A49='Recurring Schedule'!$F$26))),21,""))))</f>
        <v/>
      </c>
      <c r="W49">
        <f>IF('Recurring Schedule'!$C$27="","",IF('Recurring Schedule'!$F$27="","",IF(OR($A49&lt;'Recurring Schedule'!$F$27,$A49&gt;'Recurring Schedule'!$P$27),"",IF(IF('Recurring Schedule'!$N$27&gt;0,MOD($A49-'Recurring Schedule'!$F$27,'Recurring Schedule'!$N$27)=0,IF('Recurring Schedule'!$O$27&gt;0,AND(DAY($A49)=MIN(DAY('Recurring Schedule'!$F$27),DAY(EOMONTH($A49,0))),MOD((YEAR($A49)-YEAR('Recurring Schedule'!$F$27))*12+MONTH($A49)-MONTH('Recurring Schedule'!$F$27),'Recurring Schedule'!$O$27)=0),IF('Recurring Schedule'!$E$27="Weekdays",WEEKDAY($A49,2)&lt;=5,$A49='Recurring Schedule'!$F$27))),22,""))))</f>
        <v/>
      </c>
      <c r="X49">
        <f>IF('Recurring Schedule'!$C$28="","",IF('Recurring Schedule'!$F$28="","",IF(OR($A49&lt;'Recurring Schedule'!$F$28,$A49&gt;'Recurring Schedule'!$P$28),"",IF(IF('Recurring Schedule'!$N$28&gt;0,MOD($A49-'Recurring Schedule'!$F$28,'Recurring Schedule'!$N$28)=0,IF('Recurring Schedule'!$O$28&gt;0,AND(DAY($A49)=MIN(DAY('Recurring Schedule'!$F$28),DAY(EOMONTH($A49,0))),MOD((YEAR($A49)-YEAR('Recurring Schedule'!$F$28))*12+MONTH($A49)-MONTH('Recurring Schedule'!$F$28),'Recurring Schedule'!$O$28)=0),IF('Recurring Schedule'!$E$28="Weekdays",WEEKDAY($A49,2)&lt;=5,$A49='Recurring Schedule'!$F$28))),23,""))))</f>
        <v/>
      </c>
      <c r="Y49">
        <f>IF('Recurring Schedule'!$C$29="","",IF('Recurring Schedule'!$F$29="","",IF(OR($A49&lt;'Recurring Schedule'!$F$29,$A49&gt;'Recurring Schedule'!$P$29),"",IF(IF('Recurring Schedule'!$N$29&gt;0,MOD($A49-'Recurring Schedule'!$F$29,'Recurring Schedule'!$N$29)=0,IF('Recurring Schedule'!$O$29&gt;0,AND(DAY($A49)=MIN(DAY('Recurring Schedule'!$F$29),DAY(EOMONTH($A49,0))),MOD((YEAR($A49)-YEAR('Recurring Schedule'!$F$29))*12+MONTH($A49)-MONTH('Recurring Schedule'!$F$29),'Recurring Schedule'!$O$29)=0),IF('Recurring Schedule'!$E$29="Weekdays",WEEKDAY($A49,2)&lt;=5,$A49='Recurring Schedule'!$F$29))),24,""))))</f>
        <v/>
      </c>
      <c r="Z49">
        <f>IF('Recurring Schedule'!$C$30="","",IF('Recurring Schedule'!$F$30="","",IF(OR($A49&lt;'Recurring Schedule'!$F$30,$A49&gt;'Recurring Schedule'!$P$30),"",IF(IF('Recurring Schedule'!$N$30&gt;0,MOD($A49-'Recurring Schedule'!$F$30,'Recurring Schedule'!$N$30)=0,IF('Recurring Schedule'!$O$30&gt;0,AND(DAY($A49)=MIN(DAY('Recurring Schedule'!$F$30),DAY(EOMONTH($A49,0))),MOD((YEAR($A49)-YEAR('Recurring Schedule'!$F$30))*12+MONTH($A49)-MONTH('Recurring Schedule'!$F$30),'Recurring Schedule'!$O$30)=0),IF('Recurring Schedule'!$E$30="Weekdays",WEEKDAY($A49,2)&lt;=5,$A49='Recurring Schedule'!$F$30))),25,""))))</f>
        <v/>
      </c>
      <c r="AA49">
        <f>IF('Recurring Schedule'!$C$31="","",IF('Recurring Schedule'!$F$31="","",IF(OR($A49&lt;'Recurring Schedule'!$F$31,$A49&gt;'Recurring Schedule'!$P$31),"",IF(IF('Recurring Schedule'!$N$31&gt;0,MOD($A49-'Recurring Schedule'!$F$31,'Recurring Schedule'!$N$31)=0,IF('Recurring Schedule'!$O$31&gt;0,AND(DAY($A49)=MIN(DAY('Recurring Schedule'!$F$31),DAY(EOMONTH($A49,0))),MOD((YEAR($A49)-YEAR('Recurring Schedule'!$F$31))*12+MONTH($A49)-MONTH('Recurring Schedule'!$F$31),'Recurring Schedule'!$O$31)=0),IF('Recurring Schedule'!$E$31="Weekdays",WEEKDAY($A49,2)&lt;=5,$A49='Recurring Schedule'!$F$31))),26,""))))</f>
        <v/>
      </c>
      <c r="AB49">
        <f>IF('Recurring Schedule'!$C$32="","",IF('Recurring Schedule'!$F$32="","",IF(OR($A49&lt;'Recurring Schedule'!$F$32,$A49&gt;'Recurring Schedule'!$P$32),"",IF(IF('Recurring Schedule'!$N$32&gt;0,MOD($A49-'Recurring Schedule'!$F$32,'Recurring Schedule'!$N$32)=0,IF('Recurring Schedule'!$O$32&gt;0,AND(DAY($A49)=MIN(DAY('Recurring Schedule'!$F$32),DAY(EOMONTH($A49,0))),MOD((YEAR($A49)-YEAR('Recurring Schedule'!$F$32))*12+MONTH($A49)-MONTH('Recurring Schedule'!$F$32),'Recurring Schedule'!$O$32)=0),IF('Recurring Schedule'!$E$32="Weekdays",WEEKDAY($A49,2)&lt;=5,$A49='Recurring Schedule'!$F$32))),27,""))))</f>
        <v/>
      </c>
      <c r="AC49">
        <f>IF('Recurring Schedule'!$C$33="","",IF('Recurring Schedule'!$F$33="","",IF(OR($A49&lt;'Recurring Schedule'!$F$33,$A49&gt;'Recurring Schedule'!$P$33),"",IF(IF('Recurring Schedule'!$N$33&gt;0,MOD($A49-'Recurring Schedule'!$F$33,'Recurring Schedule'!$N$33)=0,IF('Recurring Schedule'!$O$33&gt;0,AND(DAY($A49)=MIN(DAY('Recurring Schedule'!$F$33),DAY(EOMONTH($A49,0))),MOD((YEAR($A49)-YEAR('Recurring Schedule'!$F$33))*12+MONTH($A49)-MONTH('Recurring Schedule'!$F$33),'Recurring Schedule'!$O$33)=0),IF('Recurring Schedule'!$E$33="Weekdays",WEEKDAY($A49,2)&lt;=5,$A49='Recurring Schedule'!$F$33))),28,""))))</f>
        <v/>
      </c>
      <c r="AD49">
        <f>IF('Recurring Schedule'!$C$34="","",IF('Recurring Schedule'!$F$34="","",IF(OR($A49&lt;'Recurring Schedule'!$F$34,$A49&gt;'Recurring Schedule'!$P$34),"",IF(IF('Recurring Schedule'!$N$34&gt;0,MOD($A49-'Recurring Schedule'!$F$34,'Recurring Schedule'!$N$34)=0,IF('Recurring Schedule'!$O$34&gt;0,AND(DAY($A49)=MIN(DAY('Recurring Schedule'!$F$34),DAY(EOMONTH($A49,0))),MOD((YEAR($A49)-YEAR('Recurring Schedule'!$F$34))*12+MONTH($A49)-MONTH('Recurring Schedule'!$F$34),'Recurring Schedule'!$O$34)=0),IF('Recurring Schedule'!$E$34="Weekdays",WEEKDAY($A49,2)&lt;=5,$A49='Recurring Schedule'!$F$34))),29,""))))</f>
        <v/>
      </c>
      <c r="AE49">
        <f>IF('Recurring Schedule'!$C$35="","",IF('Recurring Schedule'!$F$35="","",IF(OR($A49&lt;'Recurring Schedule'!$F$35,$A49&gt;'Recurring Schedule'!$P$35),"",IF(IF('Recurring Schedule'!$N$35&gt;0,MOD($A49-'Recurring Schedule'!$F$35,'Recurring Schedule'!$N$35)=0,IF('Recurring Schedule'!$O$35&gt;0,AND(DAY($A49)=MIN(DAY('Recurring Schedule'!$F$35),DAY(EOMONTH($A49,0))),MOD((YEAR($A49)-YEAR('Recurring Schedule'!$F$35))*12+MONTH($A49)-MONTH('Recurring Schedule'!$F$35),'Recurring Schedule'!$O$35)=0),IF('Recurring Schedule'!$E$35="Weekdays",WEEKDAY($A49,2)&lt;=5,$A49='Recurring Schedule'!$F$35))),30,""))))</f>
        <v/>
      </c>
      <c r="AF49">
        <f>IF('Recurring Schedule'!$C$36="","",IF('Recurring Schedule'!$F$36="","",IF(OR($A49&lt;'Recurring Schedule'!$F$36,$A49&gt;'Recurring Schedule'!$P$36),"",IF(IF('Recurring Schedule'!$N$36&gt;0,MOD($A49-'Recurring Schedule'!$F$36,'Recurring Schedule'!$N$36)=0,IF('Recurring Schedule'!$O$36&gt;0,AND(DAY($A49)=MIN(DAY('Recurring Schedule'!$F$36),DAY(EOMONTH($A49,0))),MOD((YEAR($A49)-YEAR('Recurring Schedule'!$F$36))*12+MONTH($A49)-MONTH('Recurring Schedule'!$F$36),'Recurring Schedule'!$O$36)=0),IF('Recurring Schedule'!$E$36="Weekdays",WEEKDAY($A49,2)&lt;=5,$A49='Recurring Schedule'!$F$36))),31,""))))</f>
        <v/>
      </c>
      <c r="AG49">
        <f>IF('Recurring Schedule'!$C$37="","",IF('Recurring Schedule'!$F$37="","",IF(OR($A49&lt;'Recurring Schedule'!$F$37,$A49&gt;'Recurring Schedule'!$P$37),"",IF(IF('Recurring Schedule'!$N$37&gt;0,MOD($A49-'Recurring Schedule'!$F$37,'Recurring Schedule'!$N$37)=0,IF('Recurring Schedule'!$O$37&gt;0,AND(DAY($A49)=MIN(DAY('Recurring Schedule'!$F$37),DAY(EOMONTH($A49,0))),MOD((YEAR($A49)-YEAR('Recurring Schedule'!$F$37))*12+MONTH($A49)-MONTH('Recurring Schedule'!$F$37),'Recurring Schedule'!$O$37)=0),IF('Recurring Schedule'!$E$37="Weekdays",WEEKDAY($A49,2)&lt;=5,$A49='Recurring Schedule'!$F$37))),32,""))))</f>
        <v/>
      </c>
      <c r="AH49">
        <f>IF('Recurring Schedule'!$C$38="","",IF('Recurring Schedule'!$F$38="","",IF(OR($A49&lt;'Recurring Schedule'!$F$38,$A49&gt;'Recurring Schedule'!$P$38),"",IF(IF('Recurring Schedule'!$N$38&gt;0,MOD($A49-'Recurring Schedule'!$F$38,'Recurring Schedule'!$N$38)=0,IF('Recurring Schedule'!$O$38&gt;0,AND(DAY($A49)=MIN(DAY('Recurring Schedule'!$F$38),DAY(EOMONTH($A49,0))),MOD((YEAR($A49)-YEAR('Recurring Schedule'!$F$38))*12+MONTH($A49)-MONTH('Recurring Schedule'!$F$38),'Recurring Schedule'!$O$38)=0),IF('Recurring Schedule'!$E$38="Weekdays",WEEKDAY($A49,2)&lt;=5,$A49='Recurring Schedule'!$F$38))),33,""))))</f>
        <v/>
      </c>
      <c r="AI49">
        <f>IF('Recurring Schedule'!$C$39="","",IF('Recurring Schedule'!$F$39="","",IF(OR($A49&lt;'Recurring Schedule'!$F$39,$A49&gt;'Recurring Schedule'!$P$39),"",IF(IF('Recurring Schedule'!$N$39&gt;0,MOD($A49-'Recurring Schedule'!$F$39,'Recurring Schedule'!$N$39)=0,IF('Recurring Schedule'!$O$39&gt;0,AND(DAY($A49)=MIN(DAY('Recurring Schedule'!$F$39),DAY(EOMONTH($A49,0))),MOD((YEAR($A49)-YEAR('Recurring Schedule'!$F$39))*12+MONTH($A49)-MONTH('Recurring Schedule'!$F$39),'Recurring Schedule'!$O$39)=0),IF('Recurring Schedule'!$E$39="Weekdays",WEEKDAY($A49,2)&lt;=5,$A49='Recurring Schedule'!$F$39))),34,""))))</f>
        <v/>
      </c>
      <c r="AJ49">
        <f>IF('Recurring Schedule'!$C$40="","",IF('Recurring Schedule'!$F$40="","",IF(OR($A49&lt;'Recurring Schedule'!$F$40,$A49&gt;'Recurring Schedule'!$P$40),"",IF(IF('Recurring Schedule'!$N$40&gt;0,MOD($A49-'Recurring Schedule'!$F$40,'Recurring Schedule'!$N$40)=0,IF('Recurring Schedule'!$O$40&gt;0,AND(DAY($A49)=MIN(DAY('Recurring Schedule'!$F$40),DAY(EOMONTH($A49,0))),MOD((YEAR($A49)-YEAR('Recurring Schedule'!$F$40))*12+MONTH($A49)-MONTH('Recurring Schedule'!$F$40),'Recurring Schedule'!$O$40)=0),IF('Recurring Schedule'!$E$40="Weekdays",WEEKDAY($A49,2)&lt;=5,$A49='Recurring Schedule'!$F$40))),35,""))))</f>
        <v/>
      </c>
      <c r="AK49">
        <f>IF('Recurring Schedule'!$C$41="","",IF('Recurring Schedule'!$F$41="","",IF(OR($A49&lt;'Recurring Schedule'!$F$41,$A49&gt;'Recurring Schedule'!$P$41),"",IF(IF('Recurring Schedule'!$N$41&gt;0,MOD($A49-'Recurring Schedule'!$F$41,'Recurring Schedule'!$N$41)=0,IF('Recurring Schedule'!$O$41&gt;0,AND(DAY($A49)=MIN(DAY('Recurring Schedule'!$F$41),DAY(EOMONTH($A49,0))),MOD((YEAR($A49)-YEAR('Recurring Schedule'!$F$41))*12+MONTH($A49)-MONTH('Recurring Schedule'!$F$41),'Recurring Schedule'!$O$41)=0),IF('Recurring Schedule'!$E$41="Weekdays",WEEKDAY($A49,2)&lt;=5,$A49='Recurring Schedule'!$F$41))),36,""))))</f>
        <v/>
      </c>
      <c r="AL49">
        <f>IF('Recurring Schedule'!$C$42="","",IF('Recurring Schedule'!$F$42="","",IF(OR($A49&lt;'Recurring Schedule'!$F$42,$A49&gt;'Recurring Schedule'!$P$42),"",IF(IF('Recurring Schedule'!$N$42&gt;0,MOD($A49-'Recurring Schedule'!$F$42,'Recurring Schedule'!$N$42)=0,IF('Recurring Schedule'!$O$42&gt;0,AND(DAY($A49)=MIN(DAY('Recurring Schedule'!$F$42),DAY(EOMONTH($A49,0))),MOD((YEAR($A49)-YEAR('Recurring Schedule'!$F$42))*12+MONTH($A49)-MONTH('Recurring Schedule'!$F$42),'Recurring Schedule'!$O$42)=0),IF('Recurring Schedule'!$E$42="Weekdays",WEEKDAY($A49,2)&lt;=5,$A49='Recurring Schedule'!$F$42))),37,""))))</f>
        <v/>
      </c>
      <c r="AM49">
        <f>IF('Recurring Schedule'!$C$43="","",IF('Recurring Schedule'!$F$43="","",IF(OR($A49&lt;'Recurring Schedule'!$F$43,$A49&gt;'Recurring Schedule'!$P$43),"",IF(IF('Recurring Schedule'!$N$43&gt;0,MOD($A49-'Recurring Schedule'!$F$43,'Recurring Schedule'!$N$43)=0,IF('Recurring Schedule'!$O$43&gt;0,AND(DAY($A49)=MIN(DAY('Recurring Schedule'!$F$43),DAY(EOMONTH($A49,0))),MOD((YEAR($A49)-YEAR('Recurring Schedule'!$F$43))*12+MONTH($A49)-MONTH('Recurring Schedule'!$F$43),'Recurring Schedule'!$O$43)=0),IF('Recurring Schedule'!$E$43="Weekdays",WEEKDAY($A49,2)&lt;=5,$A49='Recurring Schedule'!$F$43))),38,""))))</f>
        <v/>
      </c>
      <c r="AN49">
        <f>IF('Recurring Schedule'!$C$44="","",IF('Recurring Schedule'!$F$44="","",IF(OR($A49&lt;'Recurring Schedule'!$F$44,$A49&gt;'Recurring Schedule'!$P$44),"",IF(IF('Recurring Schedule'!$N$44&gt;0,MOD($A49-'Recurring Schedule'!$F$44,'Recurring Schedule'!$N$44)=0,IF('Recurring Schedule'!$O$44&gt;0,AND(DAY($A49)=MIN(DAY('Recurring Schedule'!$F$44),DAY(EOMONTH($A49,0))),MOD((YEAR($A49)-YEAR('Recurring Schedule'!$F$44))*12+MONTH($A49)-MONTH('Recurring Schedule'!$F$44),'Recurring Schedule'!$O$44)=0),IF('Recurring Schedule'!$E$44="Weekdays",WEEKDAY($A49,2)&lt;=5,$A49='Recurring Schedule'!$F$44))),39,""))))</f>
        <v/>
      </c>
      <c r="AO49">
        <f>IF('Recurring Schedule'!$C$45="","",IF('Recurring Schedule'!$F$45="","",IF(OR($A49&lt;'Recurring Schedule'!$F$45,$A49&gt;'Recurring Schedule'!$P$45),"",IF(IF('Recurring Schedule'!$N$45&gt;0,MOD($A49-'Recurring Schedule'!$F$45,'Recurring Schedule'!$N$45)=0,IF('Recurring Schedule'!$O$45&gt;0,AND(DAY($A49)=MIN(DAY('Recurring Schedule'!$F$45),DAY(EOMONTH($A49,0))),MOD((YEAR($A49)-YEAR('Recurring Schedule'!$F$45))*12+MONTH($A49)-MONTH('Recurring Schedule'!$F$45),'Recurring Schedule'!$O$45)=0),IF('Recurring Schedule'!$E$45="Weekdays",WEEKDAY($A49,2)&lt;=5,$A49='Recurring Schedule'!$F$45))),40,""))))</f>
        <v/>
      </c>
      <c r="AP49">
        <f>COUNT(B49:AO49)</f>
        <v/>
      </c>
      <c r="AQ49">
        <f>AQ48+AP48</f>
        <v/>
      </c>
      <c r="AS49" t="inlineStr">
        <is>
          <t>R</t>
        </is>
      </c>
      <c r="AT49" t="n">
        <v>53</v>
      </c>
      <c r="AU49">
        <f>'Recurring Log'!C53&amp;""</f>
        <v/>
      </c>
      <c r="AV49">
        <f>'Recurring Log'!D53&amp;""</f>
        <v/>
      </c>
      <c r="AW49">
        <f>IF('Recurring Log'!E53="","",'Recurring Log'!E53)</f>
        <v/>
      </c>
      <c r="AX49">
        <f>IF('Recurring Log'!G53="","",'Recurring Log'!G53)</f>
        <v/>
      </c>
      <c r="AY49">
        <f>IF('Recurring Log'!H53="","",'Recurring Log'!H53)</f>
        <v/>
      </c>
      <c r="AZ49">
        <f>IF(AU49="","",IF('Recurring Log'!J53="","Not Started",'Recurring Log'!J53))</f>
        <v/>
      </c>
      <c r="BA49">
        <f>'Recurring Log'!L53&amp;""</f>
        <v/>
      </c>
      <c r="BB49">
        <f>'Recurring Log'!M53&amp;""</f>
        <v/>
      </c>
      <c r="BC49">
        <f>'Recurring Log'!N53&amp;""</f>
        <v/>
      </c>
      <c r="BD49">
        <f>'Recurring Log'!O53&amp;""</f>
        <v/>
      </c>
      <c r="BE49">
        <f>IF('Recurring Log'!K53="","",'Recurring Log'!K53)</f>
        <v/>
      </c>
      <c r="BF49">
        <f>IFERROR(MATCH(BA49,Setup!$L$6:$L$9,0),5)</f>
        <v/>
      </c>
      <c r="BG49">
        <f>IF(OR(AZ49="Done",AZ49="Cancelled"),1,0)</f>
        <v/>
      </c>
      <c r="BH49">
        <f>IF(AND(AU49&lt;&gt;"",ISNUMBER(AW49)),1,0)</f>
        <v/>
      </c>
      <c r="BI49">
        <f>IF(BH49=0,0,IF(AND(AW49&gt;='Tasks Filter'!$F$3,AW49&lt;='Tasks Filter'!$F$4,OR('Tasks Filter'!$I$3="",ISNUMBER(SEARCH('Tasks Filter'!$I$3,AU49))),OR('Tasks Filter'!$I$4="",BF49=IFERROR(MATCH('Tasks Filter'!$I$4,Setup!$L$6:$L$9,0),0)),OR('Tasks Filter'!$I$5="Both",AND('Tasks Filter'!$I$5="Yes",BB49="✓"),AND('Tasks Filter'!$I$5="No",BB49&lt;&gt;"✓")),OR('Tasks Filter'!$L$3="",AV49='Tasks Filter'!$L$3),OR('Tasks Filter'!$L$4="",AZ49='Tasks Filter'!$L$4),OR('Tasks Filter'!$L$5="",BC49='Tasks Filter'!$L$5),OR('Tasks Filter'!$O$3="",BD49='Tasks Filter'!$O$3),OR('Tasks Filter'!$O$4="Yes",BG49=0)),1,0))</f>
        <v/>
      </c>
      <c r="BJ49">
        <f>IF(BH49=0,"",IF('Tasks Filter'!$F$6="Descending",-1,1)*CHOOSE(MATCH('Tasks Filter'!$F$5,Lists!$G$2:$G$6,0),AW49,BF49,IFERROR(MATCH(AV49,Setup!$F$6:$F$15,0),99),IFERROR(MATCH(BC49,Setup!$H$6:$H$15,0),99),IFERROR(MATCH(AZ49,Setup!$J$6:$J$11,0),99))*1E+9+(AW49-40000)*10000+48)</f>
        <v/>
      </c>
      <c r="BK49">
        <f>IF(BI49=1,BJ49,"")</f>
        <v/>
      </c>
      <c r="BL49">
        <f>IF(AND(BH49=1,BG49=0,N(AW49)&lt;Setup!$D$7),(AW49-40000)*10000+48,"")</f>
        <v/>
      </c>
      <c r="BM49">
        <f>IF(AND(BH49=1,AZ49&lt;&gt;"Cancelled",N(AW49)&gt;=Dashboard!$AB$3,N(AW49)&lt;=Dashboard!$AB$3+6),(AW49-40000)*100000+BF49*10000+48,"")</f>
        <v/>
      </c>
      <c r="BN49">
        <f>IF(AND(BH49=1,AZ49&lt;&gt;"Cancelled"),BF49*10000+48,"")</f>
        <v/>
      </c>
    </row>
    <row r="50">
      <c r="A50">
        <f>Setup!$D$5+48</f>
        <v/>
      </c>
      <c r="B50">
        <f>IF('Recurring Schedule'!$C$6="","",IF('Recurring Schedule'!$F$6="","",IF(OR($A50&lt;'Recurring Schedule'!$F$6,$A50&gt;'Recurring Schedule'!$P$6),"",IF(IF('Recurring Schedule'!$N$6&gt;0,MOD($A50-'Recurring Schedule'!$F$6,'Recurring Schedule'!$N$6)=0,IF('Recurring Schedule'!$O$6&gt;0,AND(DAY($A50)=MIN(DAY('Recurring Schedule'!$F$6),DAY(EOMONTH($A50,0))),MOD((YEAR($A50)-YEAR('Recurring Schedule'!$F$6))*12+MONTH($A50)-MONTH('Recurring Schedule'!$F$6),'Recurring Schedule'!$O$6)=0),IF('Recurring Schedule'!$E$6="Weekdays",WEEKDAY($A50,2)&lt;=5,$A50='Recurring Schedule'!$F$6))),1,""))))</f>
        <v/>
      </c>
      <c r="C50">
        <f>IF('Recurring Schedule'!$C$7="","",IF('Recurring Schedule'!$F$7="","",IF(OR($A50&lt;'Recurring Schedule'!$F$7,$A50&gt;'Recurring Schedule'!$P$7),"",IF(IF('Recurring Schedule'!$N$7&gt;0,MOD($A50-'Recurring Schedule'!$F$7,'Recurring Schedule'!$N$7)=0,IF('Recurring Schedule'!$O$7&gt;0,AND(DAY($A50)=MIN(DAY('Recurring Schedule'!$F$7),DAY(EOMONTH($A50,0))),MOD((YEAR($A50)-YEAR('Recurring Schedule'!$F$7))*12+MONTH($A50)-MONTH('Recurring Schedule'!$F$7),'Recurring Schedule'!$O$7)=0),IF('Recurring Schedule'!$E$7="Weekdays",WEEKDAY($A50,2)&lt;=5,$A50='Recurring Schedule'!$F$7))),2,""))))</f>
        <v/>
      </c>
      <c r="D50">
        <f>IF('Recurring Schedule'!$C$8="","",IF('Recurring Schedule'!$F$8="","",IF(OR($A50&lt;'Recurring Schedule'!$F$8,$A50&gt;'Recurring Schedule'!$P$8),"",IF(IF('Recurring Schedule'!$N$8&gt;0,MOD($A50-'Recurring Schedule'!$F$8,'Recurring Schedule'!$N$8)=0,IF('Recurring Schedule'!$O$8&gt;0,AND(DAY($A50)=MIN(DAY('Recurring Schedule'!$F$8),DAY(EOMONTH($A50,0))),MOD((YEAR($A50)-YEAR('Recurring Schedule'!$F$8))*12+MONTH($A50)-MONTH('Recurring Schedule'!$F$8),'Recurring Schedule'!$O$8)=0),IF('Recurring Schedule'!$E$8="Weekdays",WEEKDAY($A50,2)&lt;=5,$A50='Recurring Schedule'!$F$8))),3,""))))</f>
        <v/>
      </c>
      <c r="E50">
        <f>IF('Recurring Schedule'!$C$9="","",IF('Recurring Schedule'!$F$9="","",IF(OR($A50&lt;'Recurring Schedule'!$F$9,$A50&gt;'Recurring Schedule'!$P$9),"",IF(IF('Recurring Schedule'!$N$9&gt;0,MOD($A50-'Recurring Schedule'!$F$9,'Recurring Schedule'!$N$9)=0,IF('Recurring Schedule'!$O$9&gt;0,AND(DAY($A50)=MIN(DAY('Recurring Schedule'!$F$9),DAY(EOMONTH($A50,0))),MOD((YEAR($A50)-YEAR('Recurring Schedule'!$F$9))*12+MONTH($A50)-MONTH('Recurring Schedule'!$F$9),'Recurring Schedule'!$O$9)=0),IF('Recurring Schedule'!$E$9="Weekdays",WEEKDAY($A50,2)&lt;=5,$A50='Recurring Schedule'!$F$9))),4,""))))</f>
        <v/>
      </c>
      <c r="F50">
        <f>IF('Recurring Schedule'!$C$10="","",IF('Recurring Schedule'!$F$10="","",IF(OR($A50&lt;'Recurring Schedule'!$F$10,$A50&gt;'Recurring Schedule'!$P$10),"",IF(IF('Recurring Schedule'!$N$10&gt;0,MOD($A50-'Recurring Schedule'!$F$10,'Recurring Schedule'!$N$10)=0,IF('Recurring Schedule'!$O$10&gt;0,AND(DAY($A50)=MIN(DAY('Recurring Schedule'!$F$10),DAY(EOMONTH($A50,0))),MOD((YEAR($A50)-YEAR('Recurring Schedule'!$F$10))*12+MONTH($A50)-MONTH('Recurring Schedule'!$F$10),'Recurring Schedule'!$O$10)=0),IF('Recurring Schedule'!$E$10="Weekdays",WEEKDAY($A50,2)&lt;=5,$A50='Recurring Schedule'!$F$10))),5,""))))</f>
        <v/>
      </c>
      <c r="G50">
        <f>IF('Recurring Schedule'!$C$11="","",IF('Recurring Schedule'!$F$11="","",IF(OR($A50&lt;'Recurring Schedule'!$F$11,$A50&gt;'Recurring Schedule'!$P$11),"",IF(IF('Recurring Schedule'!$N$11&gt;0,MOD($A50-'Recurring Schedule'!$F$11,'Recurring Schedule'!$N$11)=0,IF('Recurring Schedule'!$O$11&gt;0,AND(DAY($A50)=MIN(DAY('Recurring Schedule'!$F$11),DAY(EOMONTH($A50,0))),MOD((YEAR($A50)-YEAR('Recurring Schedule'!$F$11))*12+MONTH($A50)-MONTH('Recurring Schedule'!$F$11),'Recurring Schedule'!$O$11)=0),IF('Recurring Schedule'!$E$11="Weekdays",WEEKDAY($A50,2)&lt;=5,$A50='Recurring Schedule'!$F$11))),6,""))))</f>
        <v/>
      </c>
      <c r="H50">
        <f>IF('Recurring Schedule'!$C$12="","",IF('Recurring Schedule'!$F$12="","",IF(OR($A50&lt;'Recurring Schedule'!$F$12,$A50&gt;'Recurring Schedule'!$P$12),"",IF(IF('Recurring Schedule'!$N$12&gt;0,MOD($A50-'Recurring Schedule'!$F$12,'Recurring Schedule'!$N$12)=0,IF('Recurring Schedule'!$O$12&gt;0,AND(DAY($A50)=MIN(DAY('Recurring Schedule'!$F$12),DAY(EOMONTH($A50,0))),MOD((YEAR($A50)-YEAR('Recurring Schedule'!$F$12))*12+MONTH($A50)-MONTH('Recurring Schedule'!$F$12),'Recurring Schedule'!$O$12)=0),IF('Recurring Schedule'!$E$12="Weekdays",WEEKDAY($A50,2)&lt;=5,$A50='Recurring Schedule'!$F$12))),7,""))))</f>
        <v/>
      </c>
      <c r="I50">
        <f>IF('Recurring Schedule'!$C$13="","",IF('Recurring Schedule'!$F$13="","",IF(OR($A50&lt;'Recurring Schedule'!$F$13,$A50&gt;'Recurring Schedule'!$P$13),"",IF(IF('Recurring Schedule'!$N$13&gt;0,MOD($A50-'Recurring Schedule'!$F$13,'Recurring Schedule'!$N$13)=0,IF('Recurring Schedule'!$O$13&gt;0,AND(DAY($A50)=MIN(DAY('Recurring Schedule'!$F$13),DAY(EOMONTH($A50,0))),MOD((YEAR($A50)-YEAR('Recurring Schedule'!$F$13))*12+MONTH($A50)-MONTH('Recurring Schedule'!$F$13),'Recurring Schedule'!$O$13)=0),IF('Recurring Schedule'!$E$13="Weekdays",WEEKDAY($A50,2)&lt;=5,$A50='Recurring Schedule'!$F$13))),8,""))))</f>
        <v/>
      </c>
      <c r="J50">
        <f>IF('Recurring Schedule'!$C$14="","",IF('Recurring Schedule'!$F$14="","",IF(OR($A50&lt;'Recurring Schedule'!$F$14,$A50&gt;'Recurring Schedule'!$P$14),"",IF(IF('Recurring Schedule'!$N$14&gt;0,MOD($A50-'Recurring Schedule'!$F$14,'Recurring Schedule'!$N$14)=0,IF('Recurring Schedule'!$O$14&gt;0,AND(DAY($A50)=MIN(DAY('Recurring Schedule'!$F$14),DAY(EOMONTH($A50,0))),MOD((YEAR($A50)-YEAR('Recurring Schedule'!$F$14))*12+MONTH($A50)-MONTH('Recurring Schedule'!$F$14),'Recurring Schedule'!$O$14)=0),IF('Recurring Schedule'!$E$14="Weekdays",WEEKDAY($A50,2)&lt;=5,$A50='Recurring Schedule'!$F$14))),9,""))))</f>
        <v/>
      </c>
      <c r="K50">
        <f>IF('Recurring Schedule'!$C$15="","",IF('Recurring Schedule'!$F$15="","",IF(OR($A50&lt;'Recurring Schedule'!$F$15,$A50&gt;'Recurring Schedule'!$P$15),"",IF(IF('Recurring Schedule'!$N$15&gt;0,MOD($A50-'Recurring Schedule'!$F$15,'Recurring Schedule'!$N$15)=0,IF('Recurring Schedule'!$O$15&gt;0,AND(DAY($A50)=MIN(DAY('Recurring Schedule'!$F$15),DAY(EOMONTH($A50,0))),MOD((YEAR($A50)-YEAR('Recurring Schedule'!$F$15))*12+MONTH($A50)-MONTH('Recurring Schedule'!$F$15),'Recurring Schedule'!$O$15)=0),IF('Recurring Schedule'!$E$15="Weekdays",WEEKDAY($A50,2)&lt;=5,$A50='Recurring Schedule'!$F$15))),10,""))))</f>
        <v/>
      </c>
      <c r="L50">
        <f>IF('Recurring Schedule'!$C$16="","",IF('Recurring Schedule'!$F$16="","",IF(OR($A50&lt;'Recurring Schedule'!$F$16,$A50&gt;'Recurring Schedule'!$P$16),"",IF(IF('Recurring Schedule'!$N$16&gt;0,MOD($A50-'Recurring Schedule'!$F$16,'Recurring Schedule'!$N$16)=0,IF('Recurring Schedule'!$O$16&gt;0,AND(DAY($A50)=MIN(DAY('Recurring Schedule'!$F$16),DAY(EOMONTH($A50,0))),MOD((YEAR($A50)-YEAR('Recurring Schedule'!$F$16))*12+MONTH($A50)-MONTH('Recurring Schedule'!$F$16),'Recurring Schedule'!$O$16)=0),IF('Recurring Schedule'!$E$16="Weekdays",WEEKDAY($A50,2)&lt;=5,$A50='Recurring Schedule'!$F$16))),11,""))))</f>
        <v/>
      </c>
      <c r="M50">
        <f>IF('Recurring Schedule'!$C$17="","",IF('Recurring Schedule'!$F$17="","",IF(OR($A50&lt;'Recurring Schedule'!$F$17,$A50&gt;'Recurring Schedule'!$P$17),"",IF(IF('Recurring Schedule'!$N$17&gt;0,MOD($A50-'Recurring Schedule'!$F$17,'Recurring Schedule'!$N$17)=0,IF('Recurring Schedule'!$O$17&gt;0,AND(DAY($A50)=MIN(DAY('Recurring Schedule'!$F$17),DAY(EOMONTH($A50,0))),MOD((YEAR($A50)-YEAR('Recurring Schedule'!$F$17))*12+MONTH($A50)-MONTH('Recurring Schedule'!$F$17),'Recurring Schedule'!$O$17)=0),IF('Recurring Schedule'!$E$17="Weekdays",WEEKDAY($A50,2)&lt;=5,$A50='Recurring Schedule'!$F$17))),12,""))))</f>
        <v/>
      </c>
      <c r="N50">
        <f>IF('Recurring Schedule'!$C$18="","",IF('Recurring Schedule'!$F$18="","",IF(OR($A50&lt;'Recurring Schedule'!$F$18,$A50&gt;'Recurring Schedule'!$P$18),"",IF(IF('Recurring Schedule'!$N$18&gt;0,MOD($A50-'Recurring Schedule'!$F$18,'Recurring Schedule'!$N$18)=0,IF('Recurring Schedule'!$O$18&gt;0,AND(DAY($A50)=MIN(DAY('Recurring Schedule'!$F$18),DAY(EOMONTH($A50,0))),MOD((YEAR($A50)-YEAR('Recurring Schedule'!$F$18))*12+MONTH($A50)-MONTH('Recurring Schedule'!$F$18),'Recurring Schedule'!$O$18)=0),IF('Recurring Schedule'!$E$18="Weekdays",WEEKDAY($A50,2)&lt;=5,$A50='Recurring Schedule'!$F$18))),13,""))))</f>
        <v/>
      </c>
      <c r="O50">
        <f>IF('Recurring Schedule'!$C$19="","",IF('Recurring Schedule'!$F$19="","",IF(OR($A50&lt;'Recurring Schedule'!$F$19,$A50&gt;'Recurring Schedule'!$P$19),"",IF(IF('Recurring Schedule'!$N$19&gt;0,MOD($A50-'Recurring Schedule'!$F$19,'Recurring Schedule'!$N$19)=0,IF('Recurring Schedule'!$O$19&gt;0,AND(DAY($A50)=MIN(DAY('Recurring Schedule'!$F$19),DAY(EOMONTH($A50,0))),MOD((YEAR($A50)-YEAR('Recurring Schedule'!$F$19))*12+MONTH($A50)-MONTH('Recurring Schedule'!$F$19),'Recurring Schedule'!$O$19)=0),IF('Recurring Schedule'!$E$19="Weekdays",WEEKDAY($A50,2)&lt;=5,$A50='Recurring Schedule'!$F$19))),14,""))))</f>
        <v/>
      </c>
      <c r="P50">
        <f>IF('Recurring Schedule'!$C$20="","",IF('Recurring Schedule'!$F$20="","",IF(OR($A50&lt;'Recurring Schedule'!$F$20,$A50&gt;'Recurring Schedule'!$P$20),"",IF(IF('Recurring Schedule'!$N$20&gt;0,MOD($A50-'Recurring Schedule'!$F$20,'Recurring Schedule'!$N$20)=0,IF('Recurring Schedule'!$O$20&gt;0,AND(DAY($A50)=MIN(DAY('Recurring Schedule'!$F$20),DAY(EOMONTH($A50,0))),MOD((YEAR($A50)-YEAR('Recurring Schedule'!$F$20))*12+MONTH($A50)-MONTH('Recurring Schedule'!$F$20),'Recurring Schedule'!$O$20)=0),IF('Recurring Schedule'!$E$20="Weekdays",WEEKDAY($A50,2)&lt;=5,$A50='Recurring Schedule'!$F$20))),15,""))))</f>
        <v/>
      </c>
      <c r="Q50">
        <f>IF('Recurring Schedule'!$C$21="","",IF('Recurring Schedule'!$F$21="","",IF(OR($A50&lt;'Recurring Schedule'!$F$21,$A50&gt;'Recurring Schedule'!$P$21),"",IF(IF('Recurring Schedule'!$N$21&gt;0,MOD($A50-'Recurring Schedule'!$F$21,'Recurring Schedule'!$N$21)=0,IF('Recurring Schedule'!$O$21&gt;0,AND(DAY($A50)=MIN(DAY('Recurring Schedule'!$F$21),DAY(EOMONTH($A50,0))),MOD((YEAR($A50)-YEAR('Recurring Schedule'!$F$21))*12+MONTH($A50)-MONTH('Recurring Schedule'!$F$21),'Recurring Schedule'!$O$21)=0),IF('Recurring Schedule'!$E$21="Weekdays",WEEKDAY($A50,2)&lt;=5,$A50='Recurring Schedule'!$F$21))),16,""))))</f>
        <v/>
      </c>
      <c r="R50">
        <f>IF('Recurring Schedule'!$C$22="","",IF('Recurring Schedule'!$F$22="","",IF(OR($A50&lt;'Recurring Schedule'!$F$22,$A50&gt;'Recurring Schedule'!$P$22),"",IF(IF('Recurring Schedule'!$N$22&gt;0,MOD($A50-'Recurring Schedule'!$F$22,'Recurring Schedule'!$N$22)=0,IF('Recurring Schedule'!$O$22&gt;0,AND(DAY($A50)=MIN(DAY('Recurring Schedule'!$F$22),DAY(EOMONTH($A50,0))),MOD((YEAR($A50)-YEAR('Recurring Schedule'!$F$22))*12+MONTH($A50)-MONTH('Recurring Schedule'!$F$22),'Recurring Schedule'!$O$22)=0),IF('Recurring Schedule'!$E$22="Weekdays",WEEKDAY($A50,2)&lt;=5,$A50='Recurring Schedule'!$F$22))),17,""))))</f>
        <v/>
      </c>
      <c r="S50">
        <f>IF('Recurring Schedule'!$C$23="","",IF('Recurring Schedule'!$F$23="","",IF(OR($A50&lt;'Recurring Schedule'!$F$23,$A50&gt;'Recurring Schedule'!$P$23),"",IF(IF('Recurring Schedule'!$N$23&gt;0,MOD($A50-'Recurring Schedule'!$F$23,'Recurring Schedule'!$N$23)=0,IF('Recurring Schedule'!$O$23&gt;0,AND(DAY($A50)=MIN(DAY('Recurring Schedule'!$F$23),DAY(EOMONTH($A50,0))),MOD((YEAR($A50)-YEAR('Recurring Schedule'!$F$23))*12+MONTH($A50)-MONTH('Recurring Schedule'!$F$23),'Recurring Schedule'!$O$23)=0),IF('Recurring Schedule'!$E$23="Weekdays",WEEKDAY($A50,2)&lt;=5,$A50='Recurring Schedule'!$F$23))),18,""))))</f>
        <v/>
      </c>
      <c r="T50">
        <f>IF('Recurring Schedule'!$C$24="","",IF('Recurring Schedule'!$F$24="","",IF(OR($A50&lt;'Recurring Schedule'!$F$24,$A50&gt;'Recurring Schedule'!$P$24),"",IF(IF('Recurring Schedule'!$N$24&gt;0,MOD($A50-'Recurring Schedule'!$F$24,'Recurring Schedule'!$N$24)=0,IF('Recurring Schedule'!$O$24&gt;0,AND(DAY($A50)=MIN(DAY('Recurring Schedule'!$F$24),DAY(EOMONTH($A50,0))),MOD((YEAR($A50)-YEAR('Recurring Schedule'!$F$24))*12+MONTH($A50)-MONTH('Recurring Schedule'!$F$24),'Recurring Schedule'!$O$24)=0),IF('Recurring Schedule'!$E$24="Weekdays",WEEKDAY($A50,2)&lt;=5,$A50='Recurring Schedule'!$F$24))),19,""))))</f>
        <v/>
      </c>
      <c r="U50">
        <f>IF('Recurring Schedule'!$C$25="","",IF('Recurring Schedule'!$F$25="","",IF(OR($A50&lt;'Recurring Schedule'!$F$25,$A50&gt;'Recurring Schedule'!$P$25),"",IF(IF('Recurring Schedule'!$N$25&gt;0,MOD($A50-'Recurring Schedule'!$F$25,'Recurring Schedule'!$N$25)=0,IF('Recurring Schedule'!$O$25&gt;0,AND(DAY($A50)=MIN(DAY('Recurring Schedule'!$F$25),DAY(EOMONTH($A50,0))),MOD((YEAR($A50)-YEAR('Recurring Schedule'!$F$25))*12+MONTH($A50)-MONTH('Recurring Schedule'!$F$25),'Recurring Schedule'!$O$25)=0),IF('Recurring Schedule'!$E$25="Weekdays",WEEKDAY($A50,2)&lt;=5,$A50='Recurring Schedule'!$F$25))),20,""))))</f>
        <v/>
      </c>
      <c r="V50">
        <f>IF('Recurring Schedule'!$C$26="","",IF('Recurring Schedule'!$F$26="","",IF(OR($A50&lt;'Recurring Schedule'!$F$26,$A50&gt;'Recurring Schedule'!$P$26),"",IF(IF('Recurring Schedule'!$N$26&gt;0,MOD($A50-'Recurring Schedule'!$F$26,'Recurring Schedule'!$N$26)=0,IF('Recurring Schedule'!$O$26&gt;0,AND(DAY($A50)=MIN(DAY('Recurring Schedule'!$F$26),DAY(EOMONTH($A50,0))),MOD((YEAR($A50)-YEAR('Recurring Schedule'!$F$26))*12+MONTH($A50)-MONTH('Recurring Schedule'!$F$26),'Recurring Schedule'!$O$26)=0),IF('Recurring Schedule'!$E$26="Weekdays",WEEKDAY($A50,2)&lt;=5,$A50='Recurring Schedule'!$F$26))),21,""))))</f>
        <v/>
      </c>
      <c r="W50">
        <f>IF('Recurring Schedule'!$C$27="","",IF('Recurring Schedule'!$F$27="","",IF(OR($A50&lt;'Recurring Schedule'!$F$27,$A50&gt;'Recurring Schedule'!$P$27),"",IF(IF('Recurring Schedule'!$N$27&gt;0,MOD($A50-'Recurring Schedule'!$F$27,'Recurring Schedule'!$N$27)=0,IF('Recurring Schedule'!$O$27&gt;0,AND(DAY($A50)=MIN(DAY('Recurring Schedule'!$F$27),DAY(EOMONTH($A50,0))),MOD((YEAR($A50)-YEAR('Recurring Schedule'!$F$27))*12+MONTH($A50)-MONTH('Recurring Schedule'!$F$27),'Recurring Schedule'!$O$27)=0),IF('Recurring Schedule'!$E$27="Weekdays",WEEKDAY($A50,2)&lt;=5,$A50='Recurring Schedule'!$F$27))),22,""))))</f>
        <v/>
      </c>
      <c r="X50">
        <f>IF('Recurring Schedule'!$C$28="","",IF('Recurring Schedule'!$F$28="","",IF(OR($A50&lt;'Recurring Schedule'!$F$28,$A50&gt;'Recurring Schedule'!$P$28),"",IF(IF('Recurring Schedule'!$N$28&gt;0,MOD($A50-'Recurring Schedule'!$F$28,'Recurring Schedule'!$N$28)=0,IF('Recurring Schedule'!$O$28&gt;0,AND(DAY($A50)=MIN(DAY('Recurring Schedule'!$F$28),DAY(EOMONTH($A50,0))),MOD((YEAR($A50)-YEAR('Recurring Schedule'!$F$28))*12+MONTH($A50)-MONTH('Recurring Schedule'!$F$28),'Recurring Schedule'!$O$28)=0),IF('Recurring Schedule'!$E$28="Weekdays",WEEKDAY($A50,2)&lt;=5,$A50='Recurring Schedule'!$F$28))),23,""))))</f>
        <v/>
      </c>
      <c r="Y50">
        <f>IF('Recurring Schedule'!$C$29="","",IF('Recurring Schedule'!$F$29="","",IF(OR($A50&lt;'Recurring Schedule'!$F$29,$A50&gt;'Recurring Schedule'!$P$29),"",IF(IF('Recurring Schedule'!$N$29&gt;0,MOD($A50-'Recurring Schedule'!$F$29,'Recurring Schedule'!$N$29)=0,IF('Recurring Schedule'!$O$29&gt;0,AND(DAY($A50)=MIN(DAY('Recurring Schedule'!$F$29),DAY(EOMONTH($A50,0))),MOD((YEAR($A50)-YEAR('Recurring Schedule'!$F$29))*12+MONTH($A50)-MONTH('Recurring Schedule'!$F$29),'Recurring Schedule'!$O$29)=0),IF('Recurring Schedule'!$E$29="Weekdays",WEEKDAY($A50,2)&lt;=5,$A50='Recurring Schedule'!$F$29))),24,""))))</f>
        <v/>
      </c>
      <c r="Z50">
        <f>IF('Recurring Schedule'!$C$30="","",IF('Recurring Schedule'!$F$30="","",IF(OR($A50&lt;'Recurring Schedule'!$F$30,$A50&gt;'Recurring Schedule'!$P$30),"",IF(IF('Recurring Schedule'!$N$30&gt;0,MOD($A50-'Recurring Schedule'!$F$30,'Recurring Schedule'!$N$30)=0,IF('Recurring Schedule'!$O$30&gt;0,AND(DAY($A50)=MIN(DAY('Recurring Schedule'!$F$30),DAY(EOMONTH($A50,0))),MOD((YEAR($A50)-YEAR('Recurring Schedule'!$F$30))*12+MONTH($A50)-MONTH('Recurring Schedule'!$F$30),'Recurring Schedule'!$O$30)=0),IF('Recurring Schedule'!$E$30="Weekdays",WEEKDAY($A50,2)&lt;=5,$A50='Recurring Schedule'!$F$30))),25,""))))</f>
        <v/>
      </c>
      <c r="AA50">
        <f>IF('Recurring Schedule'!$C$31="","",IF('Recurring Schedule'!$F$31="","",IF(OR($A50&lt;'Recurring Schedule'!$F$31,$A50&gt;'Recurring Schedule'!$P$31),"",IF(IF('Recurring Schedule'!$N$31&gt;0,MOD($A50-'Recurring Schedule'!$F$31,'Recurring Schedule'!$N$31)=0,IF('Recurring Schedule'!$O$31&gt;0,AND(DAY($A50)=MIN(DAY('Recurring Schedule'!$F$31),DAY(EOMONTH($A50,0))),MOD((YEAR($A50)-YEAR('Recurring Schedule'!$F$31))*12+MONTH($A50)-MONTH('Recurring Schedule'!$F$31),'Recurring Schedule'!$O$31)=0),IF('Recurring Schedule'!$E$31="Weekdays",WEEKDAY($A50,2)&lt;=5,$A50='Recurring Schedule'!$F$31))),26,""))))</f>
        <v/>
      </c>
      <c r="AB50">
        <f>IF('Recurring Schedule'!$C$32="","",IF('Recurring Schedule'!$F$32="","",IF(OR($A50&lt;'Recurring Schedule'!$F$32,$A50&gt;'Recurring Schedule'!$P$32),"",IF(IF('Recurring Schedule'!$N$32&gt;0,MOD($A50-'Recurring Schedule'!$F$32,'Recurring Schedule'!$N$32)=0,IF('Recurring Schedule'!$O$32&gt;0,AND(DAY($A50)=MIN(DAY('Recurring Schedule'!$F$32),DAY(EOMONTH($A50,0))),MOD((YEAR($A50)-YEAR('Recurring Schedule'!$F$32))*12+MONTH($A50)-MONTH('Recurring Schedule'!$F$32),'Recurring Schedule'!$O$32)=0),IF('Recurring Schedule'!$E$32="Weekdays",WEEKDAY($A50,2)&lt;=5,$A50='Recurring Schedule'!$F$32))),27,""))))</f>
        <v/>
      </c>
      <c r="AC50">
        <f>IF('Recurring Schedule'!$C$33="","",IF('Recurring Schedule'!$F$33="","",IF(OR($A50&lt;'Recurring Schedule'!$F$33,$A50&gt;'Recurring Schedule'!$P$33),"",IF(IF('Recurring Schedule'!$N$33&gt;0,MOD($A50-'Recurring Schedule'!$F$33,'Recurring Schedule'!$N$33)=0,IF('Recurring Schedule'!$O$33&gt;0,AND(DAY($A50)=MIN(DAY('Recurring Schedule'!$F$33),DAY(EOMONTH($A50,0))),MOD((YEAR($A50)-YEAR('Recurring Schedule'!$F$33))*12+MONTH($A50)-MONTH('Recurring Schedule'!$F$33),'Recurring Schedule'!$O$33)=0),IF('Recurring Schedule'!$E$33="Weekdays",WEEKDAY($A50,2)&lt;=5,$A50='Recurring Schedule'!$F$33))),28,""))))</f>
        <v/>
      </c>
      <c r="AD50">
        <f>IF('Recurring Schedule'!$C$34="","",IF('Recurring Schedule'!$F$34="","",IF(OR($A50&lt;'Recurring Schedule'!$F$34,$A50&gt;'Recurring Schedule'!$P$34),"",IF(IF('Recurring Schedule'!$N$34&gt;0,MOD($A50-'Recurring Schedule'!$F$34,'Recurring Schedule'!$N$34)=0,IF('Recurring Schedule'!$O$34&gt;0,AND(DAY($A50)=MIN(DAY('Recurring Schedule'!$F$34),DAY(EOMONTH($A50,0))),MOD((YEAR($A50)-YEAR('Recurring Schedule'!$F$34))*12+MONTH($A50)-MONTH('Recurring Schedule'!$F$34),'Recurring Schedule'!$O$34)=0),IF('Recurring Schedule'!$E$34="Weekdays",WEEKDAY($A50,2)&lt;=5,$A50='Recurring Schedule'!$F$34))),29,""))))</f>
        <v/>
      </c>
      <c r="AE50">
        <f>IF('Recurring Schedule'!$C$35="","",IF('Recurring Schedule'!$F$35="","",IF(OR($A50&lt;'Recurring Schedule'!$F$35,$A50&gt;'Recurring Schedule'!$P$35),"",IF(IF('Recurring Schedule'!$N$35&gt;0,MOD($A50-'Recurring Schedule'!$F$35,'Recurring Schedule'!$N$35)=0,IF('Recurring Schedule'!$O$35&gt;0,AND(DAY($A50)=MIN(DAY('Recurring Schedule'!$F$35),DAY(EOMONTH($A50,0))),MOD((YEAR($A50)-YEAR('Recurring Schedule'!$F$35))*12+MONTH($A50)-MONTH('Recurring Schedule'!$F$35),'Recurring Schedule'!$O$35)=0),IF('Recurring Schedule'!$E$35="Weekdays",WEEKDAY($A50,2)&lt;=5,$A50='Recurring Schedule'!$F$35))),30,""))))</f>
        <v/>
      </c>
      <c r="AF50">
        <f>IF('Recurring Schedule'!$C$36="","",IF('Recurring Schedule'!$F$36="","",IF(OR($A50&lt;'Recurring Schedule'!$F$36,$A50&gt;'Recurring Schedule'!$P$36),"",IF(IF('Recurring Schedule'!$N$36&gt;0,MOD($A50-'Recurring Schedule'!$F$36,'Recurring Schedule'!$N$36)=0,IF('Recurring Schedule'!$O$36&gt;0,AND(DAY($A50)=MIN(DAY('Recurring Schedule'!$F$36),DAY(EOMONTH($A50,0))),MOD((YEAR($A50)-YEAR('Recurring Schedule'!$F$36))*12+MONTH($A50)-MONTH('Recurring Schedule'!$F$36),'Recurring Schedule'!$O$36)=0),IF('Recurring Schedule'!$E$36="Weekdays",WEEKDAY($A50,2)&lt;=5,$A50='Recurring Schedule'!$F$36))),31,""))))</f>
        <v/>
      </c>
      <c r="AG50">
        <f>IF('Recurring Schedule'!$C$37="","",IF('Recurring Schedule'!$F$37="","",IF(OR($A50&lt;'Recurring Schedule'!$F$37,$A50&gt;'Recurring Schedule'!$P$37),"",IF(IF('Recurring Schedule'!$N$37&gt;0,MOD($A50-'Recurring Schedule'!$F$37,'Recurring Schedule'!$N$37)=0,IF('Recurring Schedule'!$O$37&gt;0,AND(DAY($A50)=MIN(DAY('Recurring Schedule'!$F$37),DAY(EOMONTH($A50,0))),MOD((YEAR($A50)-YEAR('Recurring Schedule'!$F$37))*12+MONTH($A50)-MONTH('Recurring Schedule'!$F$37),'Recurring Schedule'!$O$37)=0),IF('Recurring Schedule'!$E$37="Weekdays",WEEKDAY($A50,2)&lt;=5,$A50='Recurring Schedule'!$F$37))),32,""))))</f>
        <v/>
      </c>
      <c r="AH50">
        <f>IF('Recurring Schedule'!$C$38="","",IF('Recurring Schedule'!$F$38="","",IF(OR($A50&lt;'Recurring Schedule'!$F$38,$A50&gt;'Recurring Schedule'!$P$38),"",IF(IF('Recurring Schedule'!$N$38&gt;0,MOD($A50-'Recurring Schedule'!$F$38,'Recurring Schedule'!$N$38)=0,IF('Recurring Schedule'!$O$38&gt;0,AND(DAY($A50)=MIN(DAY('Recurring Schedule'!$F$38),DAY(EOMONTH($A50,0))),MOD((YEAR($A50)-YEAR('Recurring Schedule'!$F$38))*12+MONTH($A50)-MONTH('Recurring Schedule'!$F$38),'Recurring Schedule'!$O$38)=0),IF('Recurring Schedule'!$E$38="Weekdays",WEEKDAY($A50,2)&lt;=5,$A50='Recurring Schedule'!$F$38))),33,""))))</f>
        <v/>
      </c>
      <c r="AI50">
        <f>IF('Recurring Schedule'!$C$39="","",IF('Recurring Schedule'!$F$39="","",IF(OR($A50&lt;'Recurring Schedule'!$F$39,$A50&gt;'Recurring Schedule'!$P$39),"",IF(IF('Recurring Schedule'!$N$39&gt;0,MOD($A50-'Recurring Schedule'!$F$39,'Recurring Schedule'!$N$39)=0,IF('Recurring Schedule'!$O$39&gt;0,AND(DAY($A50)=MIN(DAY('Recurring Schedule'!$F$39),DAY(EOMONTH($A50,0))),MOD((YEAR($A50)-YEAR('Recurring Schedule'!$F$39))*12+MONTH($A50)-MONTH('Recurring Schedule'!$F$39),'Recurring Schedule'!$O$39)=0),IF('Recurring Schedule'!$E$39="Weekdays",WEEKDAY($A50,2)&lt;=5,$A50='Recurring Schedule'!$F$39))),34,""))))</f>
        <v/>
      </c>
      <c r="AJ50">
        <f>IF('Recurring Schedule'!$C$40="","",IF('Recurring Schedule'!$F$40="","",IF(OR($A50&lt;'Recurring Schedule'!$F$40,$A50&gt;'Recurring Schedule'!$P$40),"",IF(IF('Recurring Schedule'!$N$40&gt;0,MOD($A50-'Recurring Schedule'!$F$40,'Recurring Schedule'!$N$40)=0,IF('Recurring Schedule'!$O$40&gt;0,AND(DAY($A50)=MIN(DAY('Recurring Schedule'!$F$40),DAY(EOMONTH($A50,0))),MOD((YEAR($A50)-YEAR('Recurring Schedule'!$F$40))*12+MONTH($A50)-MONTH('Recurring Schedule'!$F$40),'Recurring Schedule'!$O$40)=0),IF('Recurring Schedule'!$E$40="Weekdays",WEEKDAY($A50,2)&lt;=5,$A50='Recurring Schedule'!$F$40))),35,""))))</f>
        <v/>
      </c>
      <c r="AK50">
        <f>IF('Recurring Schedule'!$C$41="","",IF('Recurring Schedule'!$F$41="","",IF(OR($A50&lt;'Recurring Schedule'!$F$41,$A50&gt;'Recurring Schedule'!$P$41),"",IF(IF('Recurring Schedule'!$N$41&gt;0,MOD($A50-'Recurring Schedule'!$F$41,'Recurring Schedule'!$N$41)=0,IF('Recurring Schedule'!$O$41&gt;0,AND(DAY($A50)=MIN(DAY('Recurring Schedule'!$F$41),DAY(EOMONTH($A50,0))),MOD((YEAR($A50)-YEAR('Recurring Schedule'!$F$41))*12+MONTH($A50)-MONTH('Recurring Schedule'!$F$41),'Recurring Schedule'!$O$41)=0),IF('Recurring Schedule'!$E$41="Weekdays",WEEKDAY($A50,2)&lt;=5,$A50='Recurring Schedule'!$F$41))),36,""))))</f>
        <v/>
      </c>
      <c r="AL50">
        <f>IF('Recurring Schedule'!$C$42="","",IF('Recurring Schedule'!$F$42="","",IF(OR($A50&lt;'Recurring Schedule'!$F$42,$A50&gt;'Recurring Schedule'!$P$42),"",IF(IF('Recurring Schedule'!$N$42&gt;0,MOD($A50-'Recurring Schedule'!$F$42,'Recurring Schedule'!$N$42)=0,IF('Recurring Schedule'!$O$42&gt;0,AND(DAY($A50)=MIN(DAY('Recurring Schedule'!$F$42),DAY(EOMONTH($A50,0))),MOD((YEAR($A50)-YEAR('Recurring Schedule'!$F$42))*12+MONTH($A50)-MONTH('Recurring Schedule'!$F$42),'Recurring Schedule'!$O$42)=0),IF('Recurring Schedule'!$E$42="Weekdays",WEEKDAY($A50,2)&lt;=5,$A50='Recurring Schedule'!$F$42))),37,""))))</f>
        <v/>
      </c>
      <c r="AM50">
        <f>IF('Recurring Schedule'!$C$43="","",IF('Recurring Schedule'!$F$43="","",IF(OR($A50&lt;'Recurring Schedule'!$F$43,$A50&gt;'Recurring Schedule'!$P$43),"",IF(IF('Recurring Schedule'!$N$43&gt;0,MOD($A50-'Recurring Schedule'!$F$43,'Recurring Schedule'!$N$43)=0,IF('Recurring Schedule'!$O$43&gt;0,AND(DAY($A50)=MIN(DAY('Recurring Schedule'!$F$43),DAY(EOMONTH($A50,0))),MOD((YEAR($A50)-YEAR('Recurring Schedule'!$F$43))*12+MONTH($A50)-MONTH('Recurring Schedule'!$F$43),'Recurring Schedule'!$O$43)=0),IF('Recurring Schedule'!$E$43="Weekdays",WEEKDAY($A50,2)&lt;=5,$A50='Recurring Schedule'!$F$43))),38,""))))</f>
        <v/>
      </c>
      <c r="AN50">
        <f>IF('Recurring Schedule'!$C$44="","",IF('Recurring Schedule'!$F$44="","",IF(OR($A50&lt;'Recurring Schedule'!$F$44,$A50&gt;'Recurring Schedule'!$P$44),"",IF(IF('Recurring Schedule'!$N$44&gt;0,MOD($A50-'Recurring Schedule'!$F$44,'Recurring Schedule'!$N$44)=0,IF('Recurring Schedule'!$O$44&gt;0,AND(DAY($A50)=MIN(DAY('Recurring Schedule'!$F$44),DAY(EOMONTH($A50,0))),MOD((YEAR($A50)-YEAR('Recurring Schedule'!$F$44))*12+MONTH($A50)-MONTH('Recurring Schedule'!$F$44),'Recurring Schedule'!$O$44)=0),IF('Recurring Schedule'!$E$44="Weekdays",WEEKDAY($A50,2)&lt;=5,$A50='Recurring Schedule'!$F$44))),39,""))))</f>
        <v/>
      </c>
      <c r="AO50">
        <f>IF('Recurring Schedule'!$C$45="","",IF('Recurring Schedule'!$F$45="","",IF(OR($A50&lt;'Recurring Schedule'!$F$45,$A50&gt;'Recurring Schedule'!$P$45),"",IF(IF('Recurring Schedule'!$N$45&gt;0,MOD($A50-'Recurring Schedule'!$F$45,'Recurring Schedule'!$N$45)=0,IF('Recurring Schedule'!$O$45&gt;0,AND(DAY($A50)=MIN(DAY('Recurring Schedule'!$F$45),DAY(EOMONTH($A50,0))),MOD((YEAR($A50)-YEAR('Recurring Schedule'!$F$45))*12+MONTH($A50)-MONTH('Recurring Schedule'!$F$45),'Recurring Schedule'!$O$45)=0),IF('Recurring Schedule'!$E$45="Weekdays",WEEKDAY($A50,2)&lt;=5,$A50='Recurring Schedule'!$F$45))),40,""))))</f>
        <v/>
      </c>
      <c r="AP50">
        <f>COUNT(B50:AO50)</f>
        <v/>
      </c>
      <c r="AQ50">
        <f>AQ49+AP49</f>
        <v/>
      </c>
      <c r="AS50" t="inlineStr">
        <is>
          <t>R</t>
        </is>
      </c>
      <c r="AT50" t="n">
        <v>54</v>
      </c>
      <c r="AU50">
        <f>'Recurring Log'!C54&amp;""</f>
        <v/>
      </c>
      <c r="AV50">
        <f>'Recurring Log'!D54&amp;""</f>
        <v/>
      </c>
      <c r="AW50">
        <f>IF('Recurring Log'!E54="","",'Recurring Log'!E54)</f>
        <v/>
      </c>
      <c r="AX50">
        <f>IF('Recurring Log'!G54="","",'Recurring Log'!G54)</f>
        <v/>
      </c>
      <c r="AY50">
        <f>IF('Recurring Log'!H54="","",'Recurring Log'!H54)</f>
        <v/>
      </c>
      <c r="AZ50">
        <f>IF(AU50="","",IF('Recurring Log'!J54="","Not Started",'Recurring Log'!J54))</f>
        <v/>
      </c>
      <c r="BA50">
        <f>'Recurring Log'!L54&amp;""</f>
        <v/>
      </c>
      <c r="BB50">
        <f>'Recurring Log'!M54&amp;""</f>
        <v/>
      </c>
      <c r="BC50">
        <f>'Recurring Log'!N54&amp;""</f>
        <v/>
      </c>
      <c r="BD50">
        <f>'Recurring Log'!O54&amp;""</f>
        <v/>
      </c>
      <c r="BE50">
        <f>IF('Recurring Log'!K54="","",'Recurring Log'!K54)</f>
        <v/>
      </c>
      <c r="BF50">
        <f>IFERROR(MATCH(BA50,Setup!$L$6:$L$9,0),5)</f>
        <v/>
      </c>
      <c r="BG50">
        <f>IF(OR(AZ50="Done",AZ50="Cancelled"),1,0)</f>
        <v/>
      </c>
      <c r="BH50">
        <f>IF(AND(AU50&lt;&gt;"",ISNUMBER(AW50)),1,0)</f>
        <v/>
      </c>
      <c r="BI50">
        <f>IF(BH50=0,0,IF(AND(AW50&gt;='Tasks Filter'!$F$3,AW50&lt;='Tasks Filter'!$F$4,OR('Tasks Filter'!$I$3="",ISNUMBER(SEARCH('Tasks Filter'!$I$3,AU50))),OR('Tasks Filter'!$I$4="",BF50=IFERROR(MATCH('Tasks Filter'!$I$4,Setup!$L$6:$L$9,0),0)),OR('Tasks Filter'!$I$5="Both",AND('Tasks Filter'!$I$5="Yes",BB50="✓"),AND('Tasks Filter'!$I$5="No",BB50&lt;&gt;"✓")),OR('Tasks Filter'!$L$3="",AV50='Tasks Filter'!$L$3),OR('Tasks Filter'!$L$4="",AZ50='Tasks Filter'!$L$4),OR('Tasks Filter'!$L$5="",BC50='Tasks Filter'!$L$5),OR('Tasks Filter'!$O$3="",BD50='Tasks Filter'!$O$3),OR('Tasks Filter'!$O$4="Yes",BG50=0)),1,0))</f>
        <v/>
      </c>
      <c r="BJ50">
        <f>IF(BH50=0,"",IF('Tasks Filter'!$F$6="Descending",-1,1)*CHOOSE(MATCH('Tasks Filter'!$F$5,Lists!$G$2:$G$6,0),AW50,BF50,IFERROR(MATCH(AV50,Setup!$F$6:$F$15,0),99),IFERROR(MATCH(BC50,Setup!$H$6:$H$15,0),99),IFERROR(MATCH(AZ50,Setup!$J$6:$J$11,0),99))*1E+9+(AW50-40000)*10000+49)</f>
        <v/>
      </c>
      <c r="BK50">
        <f>IF(BI50=1,BJ50,"")</f>
        <v/>
      </c>
      <c r="BL50">
        <f>IF(AND(BH50=1,BG50=0,N(AW50)&lt;Setup!$D$7),(AW50-40000)*10000+49,"")</f>
        <v/>
      </c>
      <c r="BM50">
        <f>IF(AND(BH50=1,AZ50&lt;&gt;"Cancelled",N(AW50)&gt;=Dashboard!$AB$3,N(AW50)&lt;=Dashboard!$AB$3+6),(AW50-40000)*100000+BF50*10000+49,"")</f>
        <v/>
      </c>
      <c r="BN50">
        <f>IF(AND(BH50=1,AZ50&lt;&gt;"Cancelled"),BF50*10000+49,"")</f>
        <v/>
      </c>
    </row>
    <row r="51">
      <c r="A51">
        <f>Setup!$D$5+49</f>
        <v/>
      </c>
      <c r="B51">
        <f>IF('Recurring Schedule'!$C$6="","",IF('Recurring Schedule'!$F$6="","",IF(OR($A51&lt;'Recurring Schedule'!$F$6,$A51&gt;'Recurring Schedule'!$P$6),"",IF(IF('Recurring Schedule'!$N$6&gt;0,MOD($A51-'Recurring Schedule'!$F$6,'Recurring Schedule'!$N$6)=0,IF('Recurring Schedule'!$O$6&gt;0,AND(DAY($A51)=MIN(DAY('Recurring Schedule'!$F$6),DAY(EOMONTH($A51,0))),MOD((YEAR($A51)-YEAR('Recurring Schedule'!$F$6))*12+MONTH($A51)-MONTH('Recurring Schedule'!$F$6),'Recurring Schedule'!$O$6)=0),IF('Recurring Schedule'!$E$6="Weekdays",WEEKDAY($A51,2)&lt;=5,$A51='Recurring Schedule'!$F$6))),1,""))))</f>
        <v/>
      </c>
      <c r="C51">
        <f>IF('Recurring Schedule'!$C$7="","",IF('Recurring Schedule'!$F$7="","",IF(OR($A51&lt;'Recurring Schedule'!$F$7,$A51&gt;'Recurring Schedule'!$P$7),"",IF(IF('Recurring Schedule'!$N$7&gt;0,MOD($A51-'Recurring Schedule'!$F$7,'Recurring Schedule'!$N$7)=0,IF('Recurring Schedule'!$O$7&gt;0,AND(DAY($A51)=MIN(DAY('Recurring Schedule'!$F$7),DAY(EOMONTH($A51,0))),MOD((YEAR($A51)-YEAR('Recurring Schedule'!$F$7))*12+MONTH($A51)-MONTH('Recurring Schedule'!$F$7),'Recurring Schedule'!$O$7)=0),IF('Recurring Schedule'!$E$7="Weekdays",WEEKDAY($A51,2)&lt;=5,$A51='Recurring Schedule'!$F$7))),2,""))))</f>
        <v/>
      </c>
      <c r="D51">
        <f>IF('Recurring Schedule'!$C$8="","",IF('Recurring Schedule'!$F$8="","",IF(OR($A51&lt;'Recurring Schedule'!$F$8,$A51&gt;'Recurring Schedule'!$P$8),"",IF(IF('Recurring Schedule'!$N$8&gt;0,MOD($A51-'Recurring Schedule'!$F$8,'Recurring Schedule'!$N$8)=0,IF('Recurring Schedule'!$O$8&gt;0,AND(DAY($A51)=MIN(DAY('Recurring Schedule'!$F$8),DAY(EOMONTH($A51,0))),MOD((YEAR($A51)-YEAR('Recurring Schedule'!$F$8))*12+MONTH($A51)-MONTH('Recurring Schedule'!$F$8),'Recurring Schedule'!$O$8)=0),IF('Recurring Schedule'!$E$8="Weekdays",WEEKDAY($A51,2)&lt;=5,$A51='Recurring Schedule'!$F$8))),3,""))))</f>
        <v/>
      </c>
      <c r="E51">
        <f>IF('Recurring Schedule'!$C$9="","",IF('Recurring Schedule'!$F$9="","",IF(OR($A51&lt;'Recurring Schedule'!$F$9,$A51&gt;'Recurring Schedule'!$P$9),"",IF(IF('Recurring Schedule'!$N$9&gt;0,MOD($A51-'Recurring Schedule'!$F$9,'Recurring Schedule'!$N$9)=0,IF('Recurring Schedule'!$O$9&gt;0,AND(DAY($A51)=MIN(DAY('Recurring Schedule'!$F$9),DAY(EOMONTH($A51,0))),MOD((YEAR($A51)-YEAR('Recurring Schedule'!$F$9))*12+MONTH($A51)-MONTH('Recurring Schedule'!$F$9),'Recurring Schedule'!$O$9)=0),IF('Recurring Schedule'!$E$9="Weekdays",WEEKDAY($A51,2)&lt;=5,$A51='Recurring Schedule'!$F$9))),4,""))))</f>
        <v/>
      </c>
      <c r="F51">
        <f>IF('Recurring Schedule'!$C$10="","",IF('Recurring Schedule'!$F$10="","",IF(OR($A51&lt;'Recurring Schedule'!$F$10,$A51&gt;'Recurring Schedule'!$P$10),"",IF(IF('Recurring Schedule'!$N$10&gt;0,MOD($A51-'Recurring Schedule'!$F$10,'Recurring Schedule'!$N$10)=0,IF('Recurring Schedule'!$O$10&gt;0,AND(DAY($A51)=MIN(DAY('Recurring Schedule'!$F$10),DAY(EOMONTH($A51,0))),MOD((YEAR($A51)-YEAR('Recurring Schedule'!$F$10))*12+MONTH($A51)-MONTH('Recurring Schedule'!$F$10),'Recurring Schedule'!$O$10)=0),IF('Recurring Schedule'!$E$10="Weekdays",WEEKDAY($A51,2)&lt;=5,$A51='Recurring Schedule'!$F$10))),5,""))))</f>
        <v/>
      </c>
      <c r="G51">
        <f>IF('Recurring Schedule'!$C$11="","",IF('Recurring Schedule'!$F$11="","",IF(OR($A51&lt;'Recurring Schedule'!$F$11,$A51&gt;'Recurring Schedule'!$P$11),"",IF(IF('Recurring Schedule'!$N$11&gt;0,MOD($A51-'Recurring Schedule'!$F$11,'Recurring Schedule'!$N$11)=0,IF('Recurring Schedule'!$O$11&gt;0,AND(DAY($A51)=MIN(DAY('Recurring Schedule'!$F$11),DAY(EOMONTH($A51,0))),MOD((YEAR($A51)-YEAR('Recurring Schedule'!$F$11))*12+MONTH($A51)-MONTH('Recurring Schedule'!$F$11),'Recurring Schedule'!$O$11)=0),IF('Recurring Schedule'!$E$11="Weekdays",WEEKDAY($A51,2)&lt;=5,$A51='Recurring Schedule'!$F$11))),6,""))))</f>
        <v/>
      </c>
      <c r="H51">
        <f>IF('Recurring Schedule'!$C$12="","",IF('Recurring Schedule'!$F$12="","",IF(OR($A51&lt;'Recurring Schedule'!$F$12,$A51&gt;'Recurring Schedule'!$P$12),"",IF(IF('Recurring Schedule'!$N$12&gt;0,MOD($A51-'Recurring Schedule'!$F$12,'Recurring Schedule'!$N$12)=0,IF('Recurring Schedule'!$O$12&gt;0,AND(DAY($A51)=MIN(DAY('Recurring Schedule'!$F$12),DAY(EOMONTH($A51,0))),MOD((YEAR($A51)-YEAR('Recurring Schedule'!$F$12))*12+MONTH($A51)-MONTH('Recurring Schedule'!$F$12),'Recurring Schedule'!$O$12)=0),IF('Recurring Schedule'!$E$12="Weekdays",WEEKDAY($A51,2)&lt;=5,$A51='Recurring Schedule'!$F$12))),7,""))))</f>
        <v/>
      </c>
      <c r="I51">
        <f>IF('Recurring Schedule'!$C$13="","",IF('Recurring Schedule'!$F$13="","",IF(OR($A51&lt;'Recurring Schedule'!$F$13,$A51&gt;'Recurring Schedule'!$P$13),"",IF(IF('Recurring Schedule'!$N$13&gt;0,MOD($A51-'Recurring Schedule'!$F$13,'Recurring Schedule'!$N$13)=0,IF('Recurring Schedule'!$O$13&gt;0,AND(DAY($A51)=MIN(DAY('Recurring Schedule'!$F$13),DAY(EOMONTH($A51,0))),MOD((YEAR($A51)-YEAR('Recurring Schedule'!$F$13))*12+MONTH($A51)-MONTH('Recurring Schedule'!$F$13),'Recurring Schedule'!$O$13)=0),IF('Recurring Schedule'!$E$13="Weekdays",WEEKDAY($A51,2)&lt;=5,$A51='Recurring Schedule'!$F$13))),8,""))))</f>
        <v/>
      </c>
      <c r="J51">
        <f>IF('Recurring Schedule'!$C$14="","",IF('Recurring Schedule'!$F$14="","",IF(OR($A51&lt;'Recurring Schedule'!$F$14,$A51&gt;'Recurring Schedule'!$P$14),"",IF(IF('Recurring Schedule'!$N$14&gt;0,MOD($A51-'Recurring Schedule'!$F$14,'Recurring Schedule'!$N$14)=0,IF('Recurring Schedule'!$O$14&gt;0,AND(DAY($A51)=MIN(DAY('Recurring Schedule'!$F$14),DAY(EOMONTH($A51,0))),MOD((YEAR($A51)-YEAR('Recurring Schedule'!$F$14))*12+MONTH($A51)-MONTH('Recurring Schedule'!$F$14),'Recurring Schedule'!$O$14)=0),IF('Recurring Schedule'!$E$14="Weekdays",WEEKDAY($A51,2)&lt;=5,$A51='Recurring Schedule'!$F$14))),9,""))))</f>
        <v/>
      </c>
      <c r="K51">
        <f>IF('Recurring Schedule'!$C$15="","",IF('Recurring Schedule'!$F$15="","",IF(OR($A51&lt;'Recurring Schedule'!$F$15,$A51&gt;'Recurring Schedule'!$P$15),"",IF(IF('Recurring Schedule'!$N$15&gt;0,MOD($A51-'Recurring Schedule'!$F$15,'Recurring Schedule'!$N$15)=0,IF('Recurring Schedule'!$O$15&gt;0,AND(DAY($A51)=MIN(DAY('Recurring Schedule'!$F$15),DAY(EOMONTH($A51,0))),MOD((YEAR($A51)-YEAR('Recurring Schedule'!$F$15))*12+MONTH($A51)-MONTH('Recurring Schedule'!$F$15),'Recurring Schedule'!$O$15)=0),IF('Recurring Schedule'!$E$15="Weekdays",WEEKDAY($A51,2)&lt;=5,$A51='Recurring Schedule'!$F$15))),10,""))))</f>
        <v/>
      </c>
      <c r="L51">
        <f>IF('Recurring Schedule'!$C$16="","",IF('Recurring Schedule'!$F$16="","",IF(OR($A51&lt;'Recurring Schedule'!$F$16,$A51&gt;'Recurring Schedule'!$P$16),"",IF(IF('Recurring Schedule'!$N$16&gt;0,MOD($A51-'Recurring Schedule'!$F$16,'Recurring Schedule'!$N$16)=0,IF('Recurring Schedule'!$O$16&gt;0,AND(DAY($A51)=MIN(DAY('Recurring Schedule'!$F$16),DAY(EOMONTH($A51,0))),MOD((YEAR($A51)-YEAR('Recurring Schedule'!$F$16))*12+MONTH($A51)-MONTH('Recurring Schedule'!$F$16),'Recurring Schedule'!$O$16)=0),IF('Recurring Schedule'!$E$16="Weekdays",WEEKDAY($A51,2)&lt;=5,$A51='Recurring Schedule'!$F$16))),11,""))))</f>
        <v/>
      </c>
      <c r="M51">
        <f>IF('Recurring Schedule'!$C$17="","",IF('Recurring Schedule'!$F$17="","",IF(OR($A51&lt;'Recurring Schedule'!$F$17,$A51&gt;'Recurring Schedule'!$P$17),"",IF(IF('Recurring Schedule'!$N$17&gt;0,MOD($A51-'Recurring Schedule'!$F$17,'Recurring Schedule'!$N$17)=0,IF('Recurring Schedule'!$O$17&gt;0,AND(DAY($A51)=MIN(DAY('Recurring Schedule'!$F$17),DAY(EOMONTH($A51,0))),MOD((YEAR($A51)-YEAR('Recurring Schedule'!$F$17))*12+MONTH($A51)-MONTH('Recurring Schedule'!$F$17),'Recurring Schedule'!$O$17)=0),IF('Recurring Schedule'!$E$17="Weekdays",WEEKDAY($A51,2)&lt;=5,$A51='Recurring Schedule'!$F$17))),12,""))))</f>
        <v/>
      </c>
      <c r="N51">
        <f>IF('Recurring Schedule'!$C$18="","",IF('Recurring Schedule'!$F$18="","",IF(OR($A51&lt;'Recurring Schedule'!$F$18,$A51&gt;'Recurring Schedule'!$P$18),"",IF(IF('Recurring Schedule'!$N$18&gt;0,MOD($A51-'Recurring Schedule'!$F$18,'Recurring Schedule'!$N$18)=0,IF('Recurring Schedule'!$O$18&gt;0,AND(DAY($A51)=MIN(DAY('Recurring Schedule'!$F$18),DAY(EOMONTH($A51,0))),MOD((YEAR($A51)-YEAR('Recurring Schedule'!$F$18))*12+MONTH($A51)-MONTH('Recurring Schedule'!$F$18),'Recurring Schedule'!$O$18)=0),IF('Recurring Schedule'!$E$18="Weekdays",WEEKDAY($A51,2)&lt;=5,$A51='Recurring Schedule'!$F$18))),13,""))))</f>
        <v/>
      </c>
      <c r="O51">
        <f>IF('Recurring Schedule'!$C$19="","",IF('Recurring Schedule'!$F$19="","",IF(OR($A51&lt;'Recurring Schedule'!$F$19,$A51&gt;'Recurring Schedule'!$P$19),"",IF(IF('Recurring Schedule'!$N$19&gt;0,MOD($A51-'Recurring Schedule'!$F$19,'Recurring Schedule'!$N$19)=0,IF('Recurring Schedule'!$O$19&gt;0,AND(DAY($A51)=MIN(DAY('Recurring Schedule'!$F$19),DAY(EOMONTH($A51,0))),MOD((YEAR($A51)-YEAR('Recurring Schedule'!$F$19))*12+MONTH($A51)-MONTH('Recurring Schedule'!$F$19),'Recurring Schedule'!$O$19)=0),IF('Recurring Schedule'!$E$19="Weekdays",WEEKDAY($A51,2)&lt;=5,$A51='Recurring Schedule'!$F$19))),14,""))))</f>
        <v/>
      </c>
      <c r="P51">
        <f>IF('Recurring Schedule'!$C$20="","",IF('Recurring Schedule'!$F$20="","",IF(OR($A51&lt;'Recurring Schedule'!$F$20,$A51&gt;'Recurring Schedule'!$P$20),"",IF(IF('Recurring Schedule'!$N$20&gt;0,MOD($A51-'Recurring Schedule'!$F$20,'Recurring Schedule'!$N$20)=0,IF('Recurring Schedule'!$O$20&gt;0,AND(DAY($A51)=MIN(DAY('Recurring Schedule'!$F$20),DAY(EOMONTH($A51,0))),MOD((YEAR($A51)-YEAR('Recurring Schedule'!$F$20))*12+MONTH($A51)-MONTH('Recurring Schedule'!$F$20),'Recurring Schedule'!$O$20)=0),IF('Recurring Schedule'!$E$20="Weekdays",WEEKDAY($A51,2)&lt;=5,$A51='Recurring Schedule'!$F$20))),15,""))))</f>
        <v/>
      </c>
      <c r="Q51">
        <f>IF('Recurring Schedule'!$C$21="","",IF('Recurring Schedule'!$F$21="","",IF(OR($A51&lt;'Recurring Schedule'!$F$21,$A51&gt;'Recurring Schedule'!$P$21),"",IF(IF('Recurring Schedule'!$N$21&gt;0,MOD($A51-'Recurring Schedule'!$F$21,'Recurring Schedule'!$N$21)=0,IF('Recurring Schedule'!$O$21&gt;0,AND(DAY($A51)=MIN(DAY('Recurring Schedule'!$F$21),DAY(EOMONTH($A51,0))),MOD((YEAR($A51)-YEAR('Recurring Schedule'!$F$21))*12+MONTH($A51)-MONTH('Recurring Schedule'!$F$21),'Recurring Schedule'!$O$21)=0),IF('Recurring Schedule'!$E$21="Weekdays",WEEKDAY($A51,2)&lt;=5,$A51='Recurring Schedule'!$F$21))),16,""))))</f>
        <v/>
      </c>
      <c r="R51">
        <f>IF('Recurring Schedule'!$C$22="","",IF('Recurring Schedule'!$F$22="","",IF(OR($A51&lt;'Recurring Schedule'!$F$22,$A51&gt;'Recurring Schedule'!$P$22),"",IF(IF('Recurring Schedule'!$N$22&gt;0,MOD($A51-'Recurring Schedule'!$F$22,'Recurring Schedule'!$N$22)=0,IF('Recurring Schedule'!$O$22&gt;0,AND(DAY($A51)=MIN(DAY('Recurring Schedule'!$F$22),DAY(EOMONTH($A51,0))),MOD((YEAR($A51)-YEAR('Recurring Schedule'!$F$22))*12+MONTH($A51)-MONTH('Recurring Schedule'!$F$22),'Recurring Schedule'!$O$22)=0),IF('Recurring Schedule'!$E$22="Weekdays",WEEKDAY($A51,2)&lt;=5,$A51='Recurring Schedule'!$F$22))),17,""))))</f>
        <v/>
      </c>
      <c r="S51">
        <f>IF('Recurring Schedule'!$C$23="","",IF('Recurring Schedule'!$F$23="","",IF(OR($A51&lt;'Recurring Schedule'!$F$23,$A51&gt;'Recurring Schedule'!$P$23),"",IF(IF('Recurring Schedule'!$N$23&gt;0,MOD($A51-'Recurring Schedule'!$F$23,'Recurring Schedule'!$N$23)=0,IF('Recurring Schedule'!$O$23&gt;0,AND(DAY($A51)=MIN(DAY('Recurring Schedule'!$F$23),DAY(EOMONTH($A51,0))),MOD((YEAR($A51)-YEAR('Recurring Schedule'!$F$23))*12+MONTH($A51)-MONTH('Recurring Schedule'!$F$23),'Recurring Schedule'!$O$23)=0),IF('Recurring Schedule'!$E$23="Weekdays",WEEKDAY($A51,2)&lt;=5,$A51='Recurring Schedule'!$F$23))),18,""))))</f>
        <v/>
      </c>
      <c r="T51">
        <f>IF('Recurring Schedule'!$C$24="","",IF('Recurring Schedule'!$F$24="","",IF(OR($A51&lt;'Recurring Schedule'!$F$24,$A51&gt;'Recurring Schedule'!$P$24),"",IF(IF('Recurring Schedule'!$N$24&gt;0,MOD($A51-'Recurring Schedule'!$F$24,'Recurring Schedule'!$N$24)=0,IF('Recurring Schedule'!$O$24&gt;0,AND(DAY($A51)=MIN(DAY('Recurring Schedule'!$F$24),DAY(EOMONTH($A51,0))),MOD((YEAR($A51)-YEAR('Recurring Schedule'!$F$24))*12+MONTH($A51)-MONTH('Recurring Schedule'!$F$24),'Recurring Schedule'!$O$24)=0),IF('Recurring Schedule'!$E$24="Weekdays",WEEKDAY($A51,2)&lt;=5,$A51='Recurring Schedule'!$F$24))),19,""))))</f>
        <v/>
      </c>
      <c r="U51">
        <f>IF('Recurring Schedule'!$C$25="","",IF('Recurring Schedule'!$F$25="","",IF(OR($A51&lt;'Recurring Schedule'!$F$25,$A51&gt;'Recurring Schedule'!$P$25),"",IF(IF('Recurring Schedule'!$N$25&gt;0,MOD($A51-'Recurring Schedule'!$F$25,'Recurring Schedule'!$N$25)=0,IF('Recurring Schedule'!$O$25&gt;0,AND(DAY($A51)=MIN(DAY('Recurring Schedule'!$F$25),DAY(EOMONTH($A51,0))),MOD((YEAR($A51)-YEAR('Recurring Schedule'!$F$25))*12+MONTH($A51)-MONTH('Recurring Schedule'!$F$25),'Recurring Schedule'!$O$25)=0),IF('Recurring Schedule'!$E$25="Weekdays",WEEKDAY($A51,2)&lt;=5,$A51='Recurring Schedule'!$F$25))),20,""))))</f>
        <v/>
      </c>
      <c r="V51">
        <f>IF('Recurring Schedule'!$C$26="","",IF('Recurring Schedule'!$F$26="","",IF(OR($A51&lt;'Recurring Schedule'!$F$26,$A51&gt;'Recurring Schedule'!$P$26),"",IF(IF('Recurring Schedule'!$N$26&gt;0,MOD($A51-'Recurring Schedule'!$F$26,'Recurring Schedule'!$N$26)=0,IF('Recurring Schedule'!$O$26&gt;0,AND(DAY($A51)=MIN(DAY('Recurring Schedule'!$F$26),DAY(EOMONTH($A51,0))),MOD((YEAR($A51)-YEAR('Recurring Schedule'!$F$26))*12+MONTH($A51)-MONTH('Recurring Schedule'!$F$26),'Recurring Schedule'!$O$26)=0),IF('Recurring Schedule'!$E$26="Weekdays",WEEKDAY($A51,2)&lt;=5,$A51='Recurring Schedule'!$F$26))),21,""))))</f>
        <v/>
      </c>
      <c r="W51">
        <f>IF('Recurring Schedule'!$C$27="","",IF('Recurring Schedule'!$F$27="","",IF(OR($A51&lt;'Recurring Schedule'!$F$27,$A51&gt;'Recurring Schedule'!$P$27),"",IF(IF('Recurring Schedule'!$N$27&gt;0,MOD($A51-'Recurring Schedule'!$F$27,'Recurring Schedule'!$N$27)=0,IF('Recurring Schedule'!$O$27&gt;0,AND(DAY($A51)=MIN(DAY('Recurring Schedule'!$F$27),DAY(EOMONTH($A51,0))),MOD((YEAR($A51)-YEAR('Recurring Schedule'!$F$27))*12+MONTH($A51)-MONTH('Recurring Schedule'!$F$27),'Recurring Schedule'!$O$27)=0),IF('Recurring Schedule'!$E$27="Weekdays",WEEKDAY($A51,2)&lt;=5,$A51='Recurring Schedule'!$F$27))),22,""))))</f>
        <v/>
      </c>
      <c r="X51">
        <f>IF('Recurring Schedule'!$C$28="","",IF('Recurring Schedule'!$F$28="","",IF(OR($A51&lt;'Recurring Schedule'!$F$28,$A51&gt;'Recurring Schedule'!$P$28),"",IF(IF('Recurring Schedule'!$N$28&gt;0,MOD($A51-'Recurring Schedule'!$F$28,'Recurring Schedule'!$N$28)=0,IF('Recurring Schedule'!$O$28&gt;0,AND(DAY($A51)=MIN(DAY('Recurring Schedule'!$F$28),DAY(EOMONTH($A51,0))),MOD((YEAR($A51)-YEAR('Recurring Schedule'!$F$28))*12+MONTH($A51)-MONTH('Recurring Schedule'!$F$28),'Recurring Schedule'!$O$28)=0),IF('Recurring Schedule'!$E$28="Weekdays",WEEKDAY($A51,2)&lt;=5,$A51='Recurring Schedule'!$F$28))),23,""))))</f>
        <v/>
      </c>
      <c r="Y51">
        <f>IF('Recurring Schedule'!$C$29="","",IF('Recurring Schedule'!$F$29="","",IF(OR($A51&lt;'Recurring Schedule'!$F$29,$A51&gt;'Recurring Schedule'!$P$29),"",IF(IF('Recurring Schedule'!$N$29&gt;0,MOD($A51-'Recurring Schedule'!$F$29,'Recurring Schedule'!$N$29)=0,IF('Recurring Schedule'!$O$29&gt;0,AND(DAY($A51)=MIN(DAY('Recurring Schedule'!$F$29),DAY(EOMONTH($A51,0))),MOD((YEAR($A51)-YEAR('Recurring Schedule'!$F$29))*12+MONTH($A51)-MONTH('Recurring Schedule'!$F$29),'Recurring Schedule'!$O$29)=0),IF('Recurring Schedule'!$E$29="Weekdays",WEEKDAY($A51,2)&lt;=5,$A51='Recurring Schedule'!$F$29))),24,""))))</f>
        <v/>
      </c>
      <c r="Z51">
        <f>IF('Recurring Schedule'!$C$30="","",IF('Recurring Schedule'!$F$30="","",IF(OR($A51&lt;'Recurring Schedule'!$F$30,$A51&gt;'Recurring Schedule'!$P$30),"",IF(IF('Recurring Schedule'!$N$30&gt;0,MOD($A51-'Recurring Schedule'!$F$30,'Recurring Schedule'!$N$30)=0,IF('Recurring Schedule'!$O$30&gt;0,AND(DAY($A51)=MIN(DAY('Recurring Schedule'!$F$30),DAY(EOMONTH($A51,0))),MOD((YEAR($A51)-YEAR('Recurring Schedule'!$F$30))*12+MONTH($A51)-MONTH('Recurring Schedule'!$F$30),'Recurring Schedule'!$O$30)=0),IF('Recurring Schedule'!$E$30="Weekdays",WEEKDAY($A51,2)&lt;=5,$A51='Recurring Schedule'!$F$30))),25,""))))</f>
        <v/>
      </c>
      <c r="AA51">
        <f>IF('Recurring Schedule'!$C$31="","",IF('Recurring Schedule'!$F$31="","",IF(OR($A51&lt;'Recurring Schedule'!$F$31,$A51&gt;'Recurring Schedule'!$P$31),"",IF(IF('Recurring Schedule'!$N$31&gt;0,MOD($A51-'Recurring Schedule'!$F$31,'Recurring Schedule'!$N$31)=0,IF('Recurring Schedule'!$O$31&gt;0,AND(DAY($A51)=MIN(DAY('Recurring Schedule'!$F$31),DAY(EOMONTH($A51,0))),MOD((YEAR($A51)-YEAR('Recurring Schedule'!$F$31))*12+MONTH($A51)-MONTH('Recurring Schedule'!$F$31),'Recurring Schedule'!$O$31)=0),IF('Recurring Schedule'!$E$31="Weekdays",WEEKDAY($A51,2)&lt;=5,$A51='Recurring Schedule'!$F$31))),26,""))))</f>
        <v/>
      </c>
      <c r="AB51">
        <f>IF('Recurring Schedule'!$C$32="","",IF('Recurring Schedule'!$F$32="","",IF(OR($A51&lt;'Recurring Schedule'!$F$32,$A51&gt;'Recurring Schedule'!$P$32),"",IF(IF('Recurring Schedule'!$N$32&gt;0,MOD($A51-'Recurring Schedule'!$F$32,'Recurring Schedule'!$N$32)=0,IF('Recurring Schedule'!$O$32&gt;0,AND(DAY($A51)=MIN(DAY('Recurring Schedule'!$F$32),DAY(EOMONTH($A51,0))),MOD((YEAR($A51)-YEAR('Recurring Schedule'!$F$32))*12+MONTH($A51)-MONTH('Recurring Schedule'!$F$32),'Recurring Schedule'!$O$32)=0),IF('Recurring Schedule'!$E$32="Weekdays",WEEKDAY($A51,2)&lt;=5,$A51='Recurring Schedule'!$F$32))),27,""))))</f>
        <v/>
      </c>
      <c r="AC51">
        <f>IF('Recurring Schedule'!$C$33="","",IF('Recurring Schedule'!$F$33="","",IF(OR($A51&lt;'Recurring Schedule'!$F$33,$A51&gt;'Recurring Schedule'!$P$33),"",IF(IF('Recurring Schedule'!$N$33&gt;0,MOD($A51-'Recurring Schedule'!$F$33,'Recurring Schedule'!$N$33)=0,IF('Recurring Schedule'!$O$33&gt;0,AND(DAY($A51)=MIN(DAY('Recurring Schedule'!$F$33),DAY(EOMONTH($A51,0))),MOD((YEAR($A51)-YEAR('Recurring Schedule'!$F$33))*12+MONTH($A51)-MONTH('Recurring Schedule'!$F$33),'Recurring Schedule'!$O$33)=0),IF('Recurring Schedule'!$E$33="Weekdays",WEEKDAY($A51,2)&lt;=5,$A51='Recurring Schedule'!$F$33))),28,""))))</f>
        <v/>
      </c>
      <c r="AD51">
        <f>IF('Recurring Schedule'!$C$34="","",IF('Recurring Schedule'!$F$34="","",IF(OR($A51&lt;'Recurring Schedule'!$F$34,$A51&gt;'Recurring Schedule'!$P$34),"",IF(IF('Recurring Schedule'!$N$34&gt;0,MOD($A51-'Recurring Schedule'!$F$34,'Recurring Schedule'!$N$34)=0,IF('Recurring Schedule'!$O$34&gt;0,AND(DAY($A51)=MIN(DAY('Recurring Schedule'!$F$34),DAY(EOMONTH($A51,0))),MOD((YEAR($A51)-YEAR('Recurring Schedule'!$F$34))*12+MONTH($A51)-MONTH('Recurring Schedule'!$F$34),'Recurring Schedule'!$O$34)=0),IF('Recurring Schedule'!$E$34="Weekdays",WEEKDAY($A51,2)&lt;=5,$A51='Recurring Schedule'!$F$34))),29,""))))</f>
        <v/>
      </c>
      <c r="AE51">
        <f>IF('Recurring Schedule'!$C$35="","",IF('Recurring Schedule'!$F$35="","",IF(OR($A51&lt;'Recurring Schedule'!$F$35,$A51&gt;'Recurring Schedule'!$P$35),"",IF(IF('Recurring Schedule'!$N$35&gt;0,MOD($A51-'Recurring Schedule'!$F$35,'Recurring Schedule'!$N$35)=0,IF('Recurring Schedule'!$O$35&gt;0,AND(DAY($A51)=MIN(DAY('Recurring Schedule'!$F$35),DAY(EOMONTH($A51,0))),MOD((YEAR($A51)-YEAR('Recurring Schedule'!$F$35))*12+MONTH($A51)-MONTH('Recurring Schedule'!$F$35),'Recurring Schedule'!$O$35)=0),IF('Recurring Schedule'!$E$35="Weekdays",WEEKDAY($A51,2)&lt;=5,$A51='Recurring Schedule'!$F$35))),30,""))))</f>
        <v/>
      </c>
      <c r="AF51">
        <f>IF('Recurring Schedule'!$C$36="","",IF('Recurring Schedule'!$F$36="","",IF(OR($A51&lt;'Recurring Schedule'!$F$36,$A51&gt;'Recurring Schedule'!$P$36),"",IF(IF('Recurring Schedule'!$N$36&gt;0,MOD($A51-'Recurring Schedule'!$F$36,'Recurring Schedule'!$N$36)=0,IF('Recurring Schedule'!$O$36&gt;0,AND(DAY($A51)=MIN(DAY('Recurring Schedule'!$F$36),DAY(EOMONTH($A51,0))),MOD((YEAR($A51)-YEAR('Recurring Schedule'!$F$36))*12+MONTH($A51)-MONTH('Recurring Schedule'!$F$36),'Recurring Schedule'!$O$36)=0),IF('Recurring Schedule'!$E$36="Weekdays",WEEKDAY($A51,2)&lt;=5,$A51='Recurring Schedule'!$F$36))),31,""))))</f>
        <v/>
      </c>
      <c r="AG51">
        <f>IF('Recurring Schedule'!$C$37="","",IF('Recurring Schedule'!$F$37="","",IF(OR($A51&lt;'Recurring Schedule'!$F$37,$A51&gt;'Recurring Schedule'!$P$37),"",IF(IF('Recurring Schedule'!$N$37&gt;0,MOD($A51-'Recurring Schedule'!$F$37,'Recurring Schedule'!$N$37)=0,IF('Recurring Schedule'!$O$37&gt;0,AND(DAY($A51)=MIN(DAY('Recurring Schedule'!$F$37),DAY(EOMONTH($A51,0))),MOD((YEAR($A51)-YEAR('Recurring Schedule'!$F$37))*12+MONTH($A51)-MONTH('Recurring Schedule'!$F$37),'Recurring Schedule'!$O$37)=0),IF('Recurring Schedule'!$E$37="Weekdays",WEEKDAY($A51,2)&lt;=5,$A51='Recurring Schedule'!$F$37))),32,""))))</f>
        <v/>
      </c>
      <c r="AH51">
        <f>IF('Recurring Schedule'!$C$38="","",IF('Recurring Schedule'!$F$38="","",IF(OR($A51&lt;'Recurring Schedule'!$F$38,$A51&gt;'Recurring Schedule'!$P$38),"",IF(IF('Recurring Schedule'!$N$38&gt;0,MOD($A51-'Recurring Schedule'!$F$38,'Recurring Schedule'!$N$38)=0,IF('Recurring Schedule'!$O$38&gt;0,AND(DAY($A51)=MIN(DAY('Recurring Schedule'!$F$38),DAY(EOMONTH($A51,0))),MOD((YEAR($A51)-YEAR('Recurring Schedule'!$F$38))*12+MONTH($A51)-MONTH('Recurring Schedule'!$F$38),'Recurring Schedule'!$O$38)=0),IF('Recurring Schedule'!$E$38="Weekdays",WEEKDAY($A51,2)&lt;=5,$A51='Recurring Schedule'!$F$38))),33,""))))</f>
        <v/>
      </c>
      <c r="AI51">
        <f>IF('Recurring Schedule'!$C$39="","",IF('Recurring Schedule'!$F$39="","",IF(OR($A51&lt;'Recurring Schedule'!$F$39,$A51&gt;'Recurring Schedule'!$P$39),"",IF(IF('Recurring Schedule'!$N$39&gt;0,MOD($A51-'Recurring Schedule'!$F$39,'Recurring Schedule'!$N$39)=0,IF('Recurring Schedule'!$O$39&gt;0,AND(DAY($A51)=MIN(DAY('Recurring Schedule'!$F$39),DAY(EOMONTH($A51,0))),MOD((YEAR($A51)-YEAR('Recurring Schedule'!$F$39))*12+MONTH($A51)-MONTH('Recurring Schedule'!$F$39),'Recurring Schedule'!$O$39)=0),IF('Recurring Schedule'!$E$39="Weekdays",WEEKDAY($A51,2)&lt;=5,$A51='Recurring Schedule'!$F$39))),34,""))))</f>
        <v/>
      </c>
      <c r="AJ51">
        <f>IF('Recurring Schedule'!$C$40="","",IF('Recurring Schedule'!$F$40="","",IF(OR($A51&lt;'Recurring Schedule'!$F$40,$A51&gt;'Recurring Schedule'!$P$40),"",IF(IF('Recurring Schedule'!$N$40&gt;0,MOD($A51-'Recurring Schedule'!$F$40,'Recurring Schedule'!$N$40)=0,IF('Recurring Schedule'!$O$40&gt;0,AND(DAY($A51)=MIN(DAY('Recurring Schedule'!$F$40),DAY(EOMONTH($A51,0))),MOD((YEAR($A51)-YEAR('Recurring Schedule'!$F$40))*12+MONTH($A51)-MONTH('Recurring Schedule'!$F$40),'Recurring Schedule'!$O$40)=0),IF('Recurring Schedule'!$E$40="Weekdays",WEEKDAY($A51,2)&lt;=5,$A51='Recurring Schedule'!$F$40))),35,""))))</f>
        <v/>
      </c>
      <c r="AK51">
        <f>IF('Recurring Schedule'!$C$41="","",IF('Recurring Schedule'!$F$41="","",IF(OR($A51&lt;'Recurring Schedule'!$F$41,$A51&gt;'Recurring Schedule'!$P$41),"",IF(IF('Recurring Schedule'!$N$41&gt;0,MOD($A51-'Recurring Schedule'!$F$41,'Recurring Schedule'!$N$41)=0,IF('Recurring Schedule'!$O$41&gt;0,AND(DAY($A51)=MIN(DAY('Recurring Schedule'!$F$41),DAY(EOMONTH($A51,0))),MOD((YEAR($A51)-YEAR('Recurring Schedule'!$F$41))*12+MONTH($A51)-MONTH('Recurring Schedule'!$F$41),'Recurring Schedule'!$O$41)=0),IF('Recurring Schedule'!$E$41="Weekdays",WEEKDAY($A51,2)&lt;=5,$A51='Recurring Schedule'!$F$41))),36,""))))</f>
        <v/>
      </c>
      <c r="AL51">
        <f>IF('Recurring Schedule'!$C$42="","",IF('Recurring Schedule'!$F$42="","",IF(OR($A51&lt;'Recurring Schedule'!$F$42,$A51&gt;'Recurring Schedule'!$P$42),"",IF(IF('Recurring Schedule'!$N$42&gt;0,MOD($A51-'Recurring Schedule'!$F$42,'Recurring Schedule'!$N$42)=0,IF('Recurring Schedule'!$O$42&gt;0,AND(DAY($A51)=MIN(DAY('Recurring Schedule'!$F$42),DAY(EOMONTH($A51,0))),MOD((YEAR($A51)-YEAR('Recurring Schedule'!$F$42))*12+MONTH($A51)-MONTH('Recurring Schedule'!$F$42),'Recurring Schedule'!$O$42)=0),IF('Recurring Schedule'!$E$42="Weekdays",WEEKDAY($A51,2)&lt;=5,$A51='Recurring Schedule'!$F$42))),37,""))))</f>
        <v/>
      </c>
      <c r="AM51">
        <f>IF('Recurring Schedule'!$C$43="","",IF('Recurring Schedule'!$F$43="","",IF(OR($A51&lt;'Recurring Schedule'!$F$43,$A51&gt;'Recurring Schedule'!$P$43),"",IF(IF('Recurring Schedule'!$N$43&gt;0,MOD($A51-'Recurring Schedule'!$F$43,'Recurring Schedule'!$N$43)=0,IF('Recurring Schedule'!$O$43&gt;0,AND(DAY($A51)=MIN(DAY('Recurring Schedule'!$F$43),DAY(EOMONTH($A51,0))),MOD((YEAR($A51)-YEAR('Recurring Schedule'!$F$43))*12+MONTH($A51)-MONTH('Recurring Schedule'!$F$43),'Recurring Schedule'!$O$43)=0),IF('Recurring Schedule'!$E$43="Weekdays",WEEKDAY($A51,2)&lt;=5,$A51='Recurring Schedule'!$F$43))),38,""))))</f>
        <v/>
      </c>
      <c r="AN51">
        <f>IF('Recurring Schedule'!$C$44="","",IF('Recurring Schedule'!$F$44="","",IF(OR($A51&lt;'Recurring Schedule'!$F$44,$A51&gt;'Recurring Schedule'!$P$44),"",IF(IF('Recurring Schedule'!$N$44&gt;0,MOD($A51-'Recurring Schedule'!$F$44,'Recurring Schedule'!$N$44)=0,IF('Recurring Schedule'!$O$44&gt;0,AND(DAY($A51)=MIN(DAY('Recurring Schedule'!$F$44),DAY(EOMONTH($A51,0))),MOD((YEAR($A51)-YEAR('Recurring Schedule'!$F$44))*12+MONTH($A51)-MONTH('Recurring Schedule'!$F$44),'Recurring Schedule'!$O$44)=0),IF('Recurring Schedule'!$E$44="Weekdays",WEEKDAY($A51,2)&lt;=5,$A51='Recurring Schedule'!$F$44))),39,""))))</f>
        <v/>
      </c>
      <c r="AO51">
        <f>IF('Recurring Schedule'!$C$45="","",IF('Recurring Schedule'!$F$45="","",IF(OR($A51&lt;'Recurring Schedule'!$F$45,$A51&gt;'Recurring Schedule'!$P$45),"",IF(IF('Recurring Schedule'!$N$45&gt;0,MOD($A51-'Recurring Schedule'!$F$45,'Recurring Schedule'!$N$45)=0,IF('Recurring Schedule'!$O$45&gt;0,AND(DAY($A51)=MIN(DAY('Recurring Schedule'!$F$45),DAY(EOMONTH($A51,0))),MOD((YEAR($A51)-YEAR('Recurring Schedule'!$F$45))*12+MONTH($A51)-MONTH('Recurring Schedule'!$F$45),'Recurring Schedule'!$O$45)=0),IF('Recurring Schedule'!$E$45="Weekdays",WEEKDAY($A51,2)&lt;=5,$A51='Recurring Schedule'!$F$45))),40,""))))</f>
        <v/>
      </c>
      <c r="AP51">
        <f>COUNT(B51:AO51)</f>
        <v/>
      </c>
      <c r="AQ51">
        <f>AQ50+AP50</f>
        <v/>
      </c>
      <c r="AS51" t="inlineStr">
        <is>
          <t>R</t>
        </is>
      </c>
      <c r="AT51" t="n">
        <v>55</v>
      </c>
      <c r="AU51">
        <f>'Recurring Log'!C55&amp;""</f>
        <v/>
      </c>
      <c r="AV51">
        <f>'Recurring Log'!D55&amp;""</f>
        <v/>
      </c>
      <c r="AW51">
        <f>IF('Recurring Log'!E55="","",'Recurring Log'!E55)</f>
        <v/>
      </c>
      <c r="AX51">
        <f>IF('Recurring Log'!G55="","",'Recurring Log'!G55)</f>
        <v/>
      </c>
      <c r="AY51">
        <f>IF('Recurring Log'!H55="","",'Recurring Log'!H55)</f>
        <v/>
      </c>
      <c r="AZ51">
        <f>IF(AU51="","",IF('Recurring Log'!J55="","Not Started",'Recurring Log'!J55))</f>
        <v/>
      </c>
      <c r="BA51">
        <f>'Recurring Log'!L55&amp;""</f>
        <v/>
      </c>
      <c r="BB51">
        <f>'Recurring Log'!M55&amp;""</f>
        <v/>
      </c>
      <c r="BC51">
        <f>'Recurring Log'!N55&amp;""</f>
        <v/>
      </c>
      <c r="BD51">
        <f>'Recurring Log'!O55&amp;""</f>
        <v/>
      </c>
      <c r="BE51">
        <f>IF('Recurring Log'!K55="","",'Recurring Log'!K55)</f>
        <v/>
      </c>
      <c r="BF51">
        <f>IFERROR(MATCH(BA51,Setup!$L$6:$L$9,0),5)</f>
        <v/>
      </c>
      <c r="BG51">
        <f>IF(OR(AZ51="Done",AZ51="Cancelled"),1,0)</f>
        <v/>
      </c>
      <c r="BH51">
        <f>IF(AND(AU51&lt;&gt;"",ISNUMBER(AW51)),1,0)</f>
        <v/>
      </c>
      <c r="BI51">
        <f>IF(BH51=0,0,IF(AND(AW51&gt;='Tasks Filter'!$F$3,AW51&lt;='Tasks Filter'!$F$4,OR('Tasks Filter'!$I$3="",ISNUMBER(SEARCH('Tasks Filter'!$I$3,AU51))),OR('Tasks Filter'!$I$4="",BF51=IFERROR(MATCH('Tasks Filter'!$I$4,Setup!$L$6:$L$9,0),0)),OR('Tasks Filter'!$I$5="Both",AND('Tasks Filter'!$I$5="Yes",BB51="✓"),AND('Tasks Filter'!$I$5="No",BB51&lt;&gt;"✓")),OR('Tasks Filter'!$L$3="",AV51='Tasks Filter'!$L$3),OR('Tasks Filter'!$L$4="",AZ51='Tasks Filter'!$L$4),OR('Tasks Filter'!$L$5="",BC51='Tasks Filter'!$L$5),OR('Tasks Filter'!$O$3="",BD51='Tasks Filter'!$O$3),OR('Tasks Filter'!$O$4="Yes",BG51=0)),1,0))</f>
        <v/>
      </c>
      <c r="BJ51">
        <f>IF(BH51=0,"",IF('Tasks Filter'!$F$6="Descending",-1,1)*CHOOSE(MATCH('Tasks Filter'!$F$5,Lists!$G$2:$G$6,0),AW51,BF51,IFERROR(MATCH(AV51,Setup!$F$6:$F$15,0),99),IFERROR(MATCH(BC51,Setup!$H$6:$H$15,0),99),IFERROR(MATCH(AZ51,Setup!$J$6:$J$11,0),99))*1E+9+(AW51-40000)*10000+50)</f>
        <v/>
      </c>
      <c r="BK51">
        <f>IF(BI51=1,BJ51,"")</f>
        <v/>
      </c>
      <c r="BL51">
        <f>IF(AND(BH51=1,BG51=0,N(AW51)&lt;Setup!$D$7),(AW51-40000)*10000+50,"")</f>
        <v/>
      </c>
      <c r="BM51">
        <f>IF(AND(BH51=1,AZ51&lt;&gt;"Cancelled",N(AW51)&gt;=Dashboard!$AB$3,N(AW51)&lt;=Dashboard!$AB$3+6),(AW51-40000)*100000+BF51*10000+50,"")</f>
        <v/>
      </c>
      <c r="BN51">
        <f>IF(AND(BH51=1,AZ51&lt;&gt;"Cancelled"),BF51*10000+50,"")</f>
        <v/>
      </c>
    </row>
    <row r="52">
      <c r="A52">
        <f>Setup!$D$5+50</f>
        <v/>
      </c>
      <c r="B52">
        <f>IF('Recurring Schedule'!$C$6="","",IF('Recurring Schedule'!$F$6="","",IF(OR($A52&lt;'Recurring Schedule'!$F$6,$A52&gt;'Recurring Schedule'!$P$6),"",IF(IF('Recurring Schedule'!$N$6&gt;0,MOD($A52-'Recurring Schedule'!$F$6,'Recurring Schedule'!$N$6)=0,IF('Recurring Schedule'!$O$6&gt;0,AND(DAY($A52)=MIN(DAY('Recurring Schedule'!$F$6),DAY(EOMONTH($A52,0))),MOD((YEAR($A52)-YEAR('Recurring Schedule'!$F$6))*12+MONTH($A52)-MONTH('Recurring Schedule'!$F$6),'Recurring Schedule'!$O$6)=0),IF('Recurring Schedule'!$E$6="Weekdays",WEEKDAY($A52,2)&lt;=5,$A52='Recurring Schedule'!$F$6))),1,""))))</f>
        <v/>
      </c>
      <c r="C52">
        <f>IF('Recurring Schedule'!$C$7="","",IF('Recurring Schedule'!$F$7="","",IF(OR($A52&lt;'Recurring Schedule'!$F$7,$A52&gt;'Recurring Schedule'!$P$7),"",IF(IF('Recurring Schedule'!$N$7&gt;0,MOD($A52-'Recurring Schedule'!$F$7,'Recurring Schedule'!$N$7)=0,IF('Recurring Schedule'!$O$7&gt;0,AND(DAY($A52)=MIN(DAY('Recurring Schedule'!$F$7),DAY(EOMONTH($A52,0))),MOD((YEAR($A52)-YEAR('Recurring Schedule'!$F$7))*12+MONTH($A52)-MONTH('Recurring Schedule'!$F$7),'Recurring Schedule'!$O$7)=0),IF('Recurring Schedule'!$E$7="Weekdays",WEEKDAY($A52,2)&lt;=5,$A52='Recurring Schedule'!$F$7))),2,""))))</f>
        <v/>
      </c>
      <c r="D52">
        <f>IF('Recurring Schedule'!$C$8="","",IF('Recurring Schedule'!$F$8="","",IF(OR($A52&lt;'Recurring Schedule'!$F$8,$A52&gt;'Recurring Schedule'!$P$8),"",IF(IF('Recurring Schedule'!$N$8&gt;0,MOD($A52-'Recurring Schedule'!$F$8,'Recurring Schedule'!$N$8)=0,IF('Recurring Schedule'!$O$8&gt;0,AND(DAY($A52)=MIN(DAY('Recurring Schedule'!$F$8),DAY(EOMONTH($A52,0))),MOD((YEAR($A52)-YEAR('Recurring Schedule'!$F$8))*12+MONTH($A52)-MONTH('Recurring Schedule'!$F$8),'Recurring Schedule'!$O$8)=0),IF('Recurring Schedule'!$E$8="Weekdays",WEEKDAY($A52,2)&lt;=5,$A52='Recurring Schedule'!$F$8))),3,""))))</f>
        <v/>
      </c>
      <c r="E52">
        <f>IF('Recurring Schedule'!$C$9="","",IF('Recurring Schedule'!$F$9="","",IF(OR($A52&lt;'Recurring Schedule'!$F$9,$A52&gt;'Recurring Schedule'!$P$9),"",IF(IF('Recurring Schedule'!$N$9&gt;0,MOD($A52-'Recurring Schedule'!$F$9,'Recurring Schedule'!$N$9)=0,IF('Recurring Schedule'!$O$9&gt;0,AND(DAY($A52)=MIN(DAY('Recurring Schedule'!$F$9),DAY(EOMONTH($A52,0))),MOD((YEAR($A52)-YEAR('Recurring Schedule'!$F$9))*12+MONTH($A52)-MONTH('Recurring Schedule'!$F$9),'Recurring Schedule'!$O$9)=0),IF('Recurring Schedule'!$E$9="Weekdays",WEEKDAY($A52,2)&lt;=5,$A52='Recurring Schedule'!$F$9))),4,""))))</f>
        <v/>
      </c>
      <c r="F52">
        <f>IF('Recurring Schedule'!$C$10="","",IF('Recurring Schedule'!$F$10="","",IF(OR($A52&lt;'Recurring Schedule'!$F$10,$A52&gt;'Recurring Schedule'!$P$10),"",IF(IF('Recurring Schedule'!$N$10&gt;0,MOD($A52-'Recurring Schedule'!$F$10,'Recurring Schedule'!$N$10)=0,IF('Recurring Schedule'!$O$10&gt;0,AND(DAY($A52)=MIN(DAY('Recurring Schedule'!$F$10),DAY(EOMONTH($A52,0))),MOD((YEAR($A52)-YEAR('Recurring Schedule'!$F$10))*12+MONTH($A52)-MONTH('Recurring Schedule'!$F$10),'Recurring Schedule'!$O$10)=0),IF('Recurring Schedule'!$E$10="Weekdays",WEEKDAY($A52,2)&lt;=5,$A52='Recurring Schedule'!$F$10))),5,""))))</f>
        <v/>
      </c>
      <c r="G52">
        <f>IF('Recurring Schedule'!$C$11="","",IF('Recurring Schedule'!$F$11="","",IF(OR($A52&lt;'Recurring Schedule'!$F$11,$A52&gt;'Recurring Schedule'!$P$11),"",IF(IF('Recurring Schedule'!$N$11&gt;0,MOD($A52-'Recurring Schedule'!$F$11,'Recurring Schedule'!$N$11)=0,IF('Recurring Schedule'!$O$11&gt;0,AND(DAY($A52)=MIN(DAY('Recurring Schedule'!$F$11),DAY(EOMONTH($A52,0))),MOD((YEAR($A52)-YEAR('Recurring Schedule'!$F$11))*12+MONTH($A52)-MONTH('Recurring Schedule'!$F$11),'Recurring Schedule'!$O$11)=0),IF('Recurring Schedule'!$E$11="Weekdays",WEEKDAY($A52,2)&lt;=5,$A52='Recurring Schedule'!$F$11))),6,""))))</f>
        <v/>
      </c>
      <c r="H52">
        <f>IF('Recurring Schedule'!$C$12="","",IF('Recurring Schedule'!$F$12="","",IF(OR($A52&lt;'Recurring Schedule'!$F$12,$A52&gt;'Recurring Schedule'!$P$12),"",IF(IF('Recurring Schedule'!$N$12&gt;0,MOD($A52-'Recurring Schedule'!$F$12,'Recurring Schedule'!$N$12)=0,IF('Recurring Schedule'!$O$12&gt;0,AND(DAY($A52)=MIN(DAY('Recurring Schedule'!$F$12),DAY(EOMONTH($A52,0))),MOD((YEAR($A52)-YEAR('Recurring Schedule'!$F$12))*12+MONTH($A52)-MONTH('Recurring Schedule'!$F$12),'Recurring Schedule'!$O$12)=0),IF('Recurring Schedule'!$E$12="Weekdays",WEEKDAY($A52,2)&lt;=5,$A52='Recurring Schedule'!$F$12))),7,""))))</f>
        <v/>
      </c>
      <c r="I52">
        <f>IF('Recurring Schedule'!$C$13="","",IF('Recurring Schedule'!$F$13="","",IF(OR($A52&lt;'Recurring Schedule'!$F$13,$A52&gt;'Recurring Schedule'!$P$13),"",IF(IF('Recurring Schedule'!$N$13&gt;0,MOD($A52-'Recurring Schedule'!$F$13,'Recurring Schedule'!$N$13)=0,IF('Recurring Schedule'!$O$13&gt;0,AND(DAY($A52)=MIN(DAY('Recurring Schedule'!$F$13),DAY(EOMONTH($A52,0))),MOD((YEAR($A52)-YEAR('Recurring Schedule'!$F$13))*12+MONTH($A52)-MONTH('Recurring Schedule'!$F$13),'Recurring Schedule'!$O$13)=0),IF('Recurring Schedule'!$E$13="Weekdays",WEEKDAY($A52,2)&lt;=5,$A52='Recurring Schedule'!$F$13))),8,""))))</f>
        <v/>
      </c>
      <c r="J52">
        <f>IF('Recurring Schedule'!$C$14="","",IF('Recurring Schedule'!$F$14="","",IF(OR($A52&lt;'Recurring Schedule'!$F$14,$A52&gt;'Recurring Schedule'!$P$14),"",IF(IF('Recurring Schedule'!$N$14&gt;0,MOD($A52-'Recurring Schedule'!$F$14,'Recurring Schedule'!$N$14)=0,IF('Recurring Schedule'!$O$14&gt;0,AND(DAY($A52)=MIN(DAY('Recurring Schedule'!$F$14),DAY(EOMONTH($A52,0))),MOD((YEAR($A52)-YEAR('Recurring Schedule'!$F$14))*12+MONTH($A52)-MONTH('Recurring Schedule'!$F$14),'Recurring Schedule'!$O$14)=0),IF('Recurring Schedule'!$E$14="Weekdays",WEEKDAY($A52,2)&lt;=5,$A52='Recurring Schedule'!$F$14))),9,""))))</f>
        <v/>
      </c>
      <c r="K52">
        <f>IF('Recurring Schedule'!$C$15="","",IF('Recurring Schedule'!$F$15="","",IF(OR($A52&lt;'Recurring Schedule'!$F$15,$A52&gt;'Recurring Schedule'!$P$15),"",IF(IF('Recurring Schedule'!$N$15&gt;0,MOD($A52-'Recurring Schedule'!$F$15,'Recurring Schedule'!$N$15)=0,IF('Recurring Schedule'!$O$15&gt;0,AND(DAY($A52)=MIN(DAY('Recurring Schedule'!$F$15),DAY(EOMONTH($A52,0))),MOD((YEAR($A52)-YEAR('Recurring Schedule'!$F$15))*12+MONTH($A52)-MONTH('Recurring Schedule'!$F$15),'Recurring Schedule'!$O$15)=0),IF('Recurring Schedule'!$E$15="Weekdays",WEEKDAY($A52,2)&lt;=5,$A52='Recurring Schedule'!$F$15))),10,""))))</f>
        <v/>
      </c>
      <c r="L52">
        <f>IF('Recurring Schedule'!$C$16="","",IF('Recurring Schedule'!$F$16="","",IF(OR($A52&lt;'Recurring Schedule'!$F$16,$A52&gt;'Recurring Schedule'!$P$16),"",IF(IF('Recurring Schedule'!$N$16&gt;0,MOD($A52-'Recurring Schedule'!$F$16,'Recurring Schedule'!$N$16)=0,IF('Recurring Schedule'!$O$16&gt;0,AND(DAY($A52)=MIN(DAY('Recurring Schedule'!$F$16),DAY(EOMONTH($A52,0))),MOD((YEAR($A52)-YEAR('Recurring Schedule'!$F$16))*12+MONTH($A52)-MONTH('Recurring Schedule'!$F$16),'Recurring Schedule'!$O$16)=0),IF('Recurring Schedule'!$E$16="Weekdays",WEEKDAY($A52,2)&lt;=5,$A52='Recurring Schedule'!$F$16))),11,""))))</f>
        <v/>
      </c>
      <c r="M52">
        <f>IF('Recurring Schedule'!$C$17="","",IF('Recurring Schedule'!$F$17="","",IF(OR($A52&lt;'Recurring Schedule'!$F$17,$A52&gt;'Recurring Schedule'!$P$17),"",IF(IF('Recurring Schedule'!$N$17&gt;0,MOD($A52-'Recurring Schedule'!$F$17,'Recurring Schedule'!$N$17)=0,IF('Recurring Schedule'!$O$17&gt;0,AND(DAY($A52)=MIN(DAY('Recurring Schedule'!$F$17),DAY(EOMONTH($A52,0))),MOD((YEAR($A52)-YEAR('Recurring Schedule'!$F$17))*12+MONTH($A52)-MONTH('Recurring Schedule'!$F$17),'Recurring Schedule'!$O$17)=0),IF('Recurring Schedule'!$E$17="Weekdays",WEEKDAY($A52,2)&lt;=5,$A52='Recurring Schedule'!$F$17))),12,""))))</f>
        <v/>
      </c>
      <c r="N52">
        <f>IF('Recurring Schedule'!$C$18="","",IF('Recurring Schedule'!$F$18="","",IF(OR($A52&lt;'Recurring Schedule'!$F$18,$A52&gt;'Recurring Schedule'!$P$18),"",IF(IF('Recurring Schedule'!$N$18&gt;0,MOD($A52-'Recurring Schedule'!$F$18,'Recurring Schedule'!$N$18)=0,IF('Recurring Schedule'!$O$18&gt;0,AND(DAY($A52)=MIN(DAY('Recurring Schedule'!$F$18),DAY(EOMONTH($A52,0))),MOD((YEAR($A52)-YEAR('Recurring Schedule'!$F$18))*12+MONTH($A52)-MONTH('Recurring Schedule'!$F$18),'Recurring Schedule'!$O$18)=0),IF('Recurring Schedule'!$E$18="Weekdays",WEEKDAY($A52,2)&lt;=5,$A52='Recurring Schedule'!$F$18))),13,""))))</f>
        <v/>
      </c>
      <c r="O52">
        <f>IF('Recurring Schedule'!$C$19="","",IF('Recurring Schedule'!$F$19="","",IF(OR($A52&lt;'Recurring Schedule'!$F$19,$A52&gt;'Recurring Schedule'!$P$19),"",IF(IF('Recurring Schedule'!$N$19&gt;0,MOD($A52-'Recurring Schedule'!$F$19,'Recurring Schedule'!$N$19)=0,IF('Recurring Schedule'!$O$19&gt;0,AND(DAY($A52)=MIN(DAY('Recurring Schedule'!$F$19),DAY(EOMONTH($A52,0))),MOD((YEAR($A52)-YEAR('Recurring Schedule'!$F$19))*12+MONTH($A52)-MONTH('Recurring Schedule'!$F$19),'Recurring Schedule'!$O$19)=0),IF('Recurring Schedule'!$E$19="Weekdays",WEEKDAY($A52,2)&lt;=5,$A52='Recurring Schedule'!$F$19))),14,""))))</f>
        <v/>
      </c>
      <c r="P52">
        <f>IF('Recurring Schedule'!$C$20="","",IF('Recurring Schedule'!$F$20="","",IF(OR($A52&lt;'Recurring Schedule'!$F$20,$A52&gt;'Recurring Schedule'!$P$20),"",IF(IF('Recurring Schedule'!$N$20&gt;0,MOD($A52-'Recurring Schedule'!$F$20,'Recurring Schedule'!$N$20)=0,IF('Recurring Schedule'!$O$20&gt;0,AND(DAY($A52)=MIN(DAY('Recurring Schedule'!$F$20),DAY(EOMONTH($A52,0))),MOD((YEAR($A52)-YEAR('Recurring Schedule'!$F$20))*12+MONTH($A52)-MONTH('Recurring Schedule'!$F$20),'Recurring Schedule'!$O$20)=0),IF('Recurring Schedule'!$E$20="Weekdays",WEEKDAY($A52,2)&lt;=5,$A52='Recurring Schedule'!$F$20))),15,""))))</f>
        <v/>
      </c>
      <c r="Q52">
        <f>IF('Recurring Schedule'!$C$21="","",IF('Recurring Schedule'!$F$21="","",IF(OR($A52&lt;'Recurring Schedule'!$F$21,$A52&gt;'Recurring Schedule'!$P$21),"",IF(IF('Recurring Schedule'!$N$21&gt;0,MOD($A52-'Recurring Schedule'!$F$21,'Recurring Schedule'!$N$21)=0,IF('Recurring Schedule'!$O$21&gt;0,AND(DAY($A52)=MIN(DAY('Recurring Schedule'!$F$21),DAY(EOMONTH($A52,0))),MOD((YEAR($A52)-YEAR('Recurring Schedule'!$F$21))*12+MONTH($A52)-MONTH('Recurring Schedule'!$F$21),'Recurring Schedule'!$O$21)=0),IF('Recurring Schedule'!$E$21="Weekdays",WEEKDAY($A52,2)&lt;=5,$A52='Recurring Schedule'!$F$21))),16,""))))</f>
        <v/>
      </c>
      <c r="R52">
        <f>IF('Recurring Schedule'!$C$22="","",IF('Recurring Schedule'!$F$22="","",IF(OR($A52&lt;'Recurring Schedule'!$F$22,$A52&gt;'Recurring Schedule'!$P$22),"",IF(IF('Recurring Schedule'!$N$22&gt;0,MOD($A52-'Recurring Schedule'!$F$22,'Recurring Schedule'!$N$22)=0,IF('Recurring Schedule'!$O$22&gt;0,AND(DAY($A52)=MIN(DAY('Recurring Schedule'!$F$22),DAY(EOMONTH($A52,0))),MOD((YEAR($A52)-YEAR('Recurring Schedule'!$F$22))*12+MONTH($A52)-MONTH('Recurring Schedule'!$F$22),'Recurring Schedule'!$O$22)=0),IF('Recurring Schedule'!$E$22="Weekdays",WEEKDAY($A52,2)&lt;=5,$A52='Recurring Schedule'!$F$22))),17,""))))</f>
        <v/>
      </c>
      <c r="S52">
        <f>IF('Recurring Schedule'!$C$23="","",IF('Recurring Schedule'!$F$23="","",IF(OR($A52&lt;'Recurring Schedule'!$F$23,$A52&gt;'Recurring Schedule'!$P$23),"",IF(IF('Recurring Schedule'!$N$23&gt;0,MOD($A52-'Recurring Schedule'!$F$23,'Recurring Schedule'!$N$23)=0,IF('Recurring Schedule'!$O$23&gt;0,AND(DAY($A52)=MIN(DAY('Recurring Schedule'!$F$23),DAY(EOMONTH($A52,0))),MOD((YEAR($A52)-YEAR('Recurring Schedule'!$F$23))*12+MONTH($A52)-MONTH('Recurring Schedule'!$F$23),'Recurring Schedule'!$O$23)=0),IF('Recurring Schedule'!$E$23="Weekdays",WEEKDAY($A52,2)&lt;=5,$A52='Recurring Schedule'!$F$23))),18,""))))</f>
        <v/>
      </c>
      <c r="T52">
        <f>IF('Recurring Schedule'!$C$24="","",IF('Recurring Schedule'!$F$24="","",IF(OR($A52&lt;'Recurring Schedule'!$F$24,$A52&gt;'Recurring Schedule'!$P$24),"",IF(IF('Recurring Schedule'!$N$24&gt;0,MOD($A52-'Recurring Schedule'!$F$24,'Recurring Schedule'!$N$24)=0,IF('Recurring Schedule'!$O$24&gt;0,AND(DAY($A52)=MIN(DAY('Recurring Schedule'!$F$24),DAY(EOMONTH($A52,0))),MOD((YEAR($A52)-YEAR('Recurring Schedule'!$F$24))*12+MONTH($A52)-MONTH('Recurring Schedule'!$F$24),'Recurring Schedule'!$O$24)=0),IF('Recurring Schedule'!$E$24="Weekdays",WEEKDAY($A52,2)&lt;=5,$A52='Recurring Schedule'!$F$24))),19,""))))</f>
        <v/>
      </c>
      <c r="U52">
        <f>IF('Recurring Schedule'!$C$25="","",IF('Recurring Schedule'!$F$25="","",IF(OR($A52&lt;'Recurring Schedule'!$F$25,$A52&gt;'Recurring Schedule'!$P$25),"",IF(IF('Recurring Schedule'!$N$25&gt;0,MOD($A52-'Recurring Schedule'!$F$25,'Recurring Schedule'!$N$25)=0,IF('Recurring Schedule'!$O$25&gt;0,AND(DAY($A52)=MIN(DAY('Recurring Schedule'!$F$25),DAY(EOMONTH($A52,0))),MOD((YEAR($A52)-YEAR('Recurring Schedule'!$F$25))*12+MONTH($A52)-MONTH('Recurring Schedule'!$F$25),'Recurring Schedule'!$O$25)=0),IF('Recurring Schedule'!$E$25="Weekdays",WEEKDAY($A52,2)&lt;=5,$A52='Recurring Schedule'!$F$25))),20,""))))</f>
        <v/>
      </c>
      <c r="V52">
        <f>IF('Recurring Schedule'!$C$26="","",IF('Recurring Schedule'!$F$26="","",IF(OR($A52&lt;'Recurring Schedule'!$F$26,$A52&gt;'Recurring Schedule'!$P$26),"",IF(IF('Recurring Schedule'!$N$26&gt;0,MOD($A52-'Recurring Schedule'!$F$26,'Recurring Schedule'!$N$26)=0,IF('Recurring Schedule'!$O$26&gt;0,AND(DAY($A52)=MIN(DAY('Recurring Schedule'!$F$26),DAY(EOMONTH($A52,0))),MOD((YEAR($A52)-YEAR('Recurring Schedule'!$F$26))*12+MONTH($A52)-MONTH('Recurring Schedule'!$F$26),'Recurring Schedule'!$O$26)=0),IF('Recurring Schedule'!$E$26="Weekdays",WEEKDAY($A52,2)&lt;=5,$A52='Recurring Schedule'!$F$26))),21,""))))</f>
        <v/>
      </c>
      <c r="W52">
        <f>IF('Recurring Schedule'!$C$27="","",IF('Recurring Schedule'!$F$27="","",IF(OR($A52&lt;'Recurring Schedule'!$F$27,$A52&gt;'Recurring Schedule'!$P$27),"",IF(IF('Recurring Schedule'!$N$27&gt;0,MOD($A52-'Recurring Schedule'!$F$27,'Recurring Schedule'!$N$27)=0,IF('Recurring Schedule'!$O$27&gt;0,AND(DAY($A52)=MIN(DAY('Recurring Schedule'!$F$27),DAY(EOMONTH($A52,0))),MOD((YEAR($A52)-YEAR('Recurring Schedule'!$F$27))*12+MONTH($A52)-MONTH('Recurring Schedule'!$F$27),'Recurring Schedule'!$O$27)=0),IF('Recurring Schedule'!$E$27="Weekdays",WEEKDAY($A52,2)&lt;=5,$A52='Recurring Schedule'!$F$27))),22,""))))</f>
        <v/>
      </c>
      <c r="X52">
        <f>IF('Recurring Schedule'!$C$28="","",IF('Recurring Schedule'!$F$28="","",IF(OR($A52&lt;'Recurring Schedule'!$F$28,$A52&gt;'Recurring Schedule'!$P$28),"",IF(IF('Recurring Schedule'!$N$28&gt;0,MOD($A52-'Recurring Schedule'!$F$28,'Recurring Schedule'!$N$28)=0,IF('Recurring Schedule'!$O$28&gt;0,AND(DAY($A52)=MIN(DAY('Recurring Schedule'!$F$28),DAY(EOMONTH($A52,0))),MOD((YEAR($A52)-YEAR('Recurring Schedule'!$F$28))*12+MONTH($A52)-MONTH('Recurring Schedule'!$F$28),'Recurring Schedule'!$O$28)=0),IF('Recurring Schedule'!$E$28="Weekdays",WEEKDAY($A52,2)&lt;=5,$A52='Recurring Schedule'!$F$28))),23,""))))</f>
        <v/>
      </c>
      <c r="Y52">
        <f>IF('Recurring Schedule'!$C$29="","",IF('Recurring Schedule'!$F$29="","",IF(OR($A52&lt;'Recurring Schedule'!$F$29,$A52&gt;'Recurring Schedule'!$P$29),"",IF(IF('Recurring Schedule'!$N$29&gt;0,MOD($A52-'Recurring Schedule'!$F$29,'Recurring Schedule'!$N$29)=0,IF('Recurring Schedule'!$O$29&gt;0,AND(DAY($A52)=MIN(DAY('Recurring Schedule'!$F$29),DAY(EOMONTH($A52,0))),MOD((YEAR($A52)-YEAR('Recurring Schedule'!$F$29))*12+MONTH($A52)-MONTH('Recurring Schedule'!$F$29),'Recurring Schedule'!$O$29)=0),IF('Recurring Schedule'!$E$29="Weekdays",WEEKDAY($A52,2)&lt;=5,$A52='Recurring Schedule'!$F$29))),24,""))))</f>
        <v/>
      </c>
      <c r="Z52">
        <f>IF('Recurring Schedule'!$C$30="","",IF('Recurring Schedule'!$F$30="","",IF(OR($A52&lt;'Recurring Schedule'!$F$30,$A52&gt;'Recurring Schedule'!$P$30),"",IF(IF('Recurring Schedule'!$N$30&gt;0,MOD($A52-'Recurring Schedule'!$F$30,'Recurring Schedule'!$N$30)=0,IF('Recurring Schedule'!$O$30&gt;0,AND(DAY($A52)=MIN(DAY('Recurring Schedule'!$F$30),DAY(EOMONTH($A52,0))),MOD((YEAR($A52)-YEAR('Recurring Schedule'!$F$30))*12+MONTH($A52)-MONTH('Recurring Schedule'!$F$30),'Recurring Schedule'!$O$30)=0),IF('Recurring Schedule'!$E$30="Weekdays",WEEKDAY($A52,2)&lt;=5,$A52='Recurring Schedule'!$F$30))),25,""))))</f>
        <v/>
      </c>
      <c r="AA52">
        <f>IF('Recurring Schedule'!$C$31="","",IF('Recurring Schedule'!$F$31="","",IF(OR($A52&lt;'Recurring Schedule'!$F$31,$A52&gt;'Recurring Schedule'!$P$31),"",IF(IF('Recurring Schedule'!$N$31&gt;0,MOD($A52-'Recurring Schedule'!$F$31,'Recurring Schedule'!$N$31)=0,IF('Recurring Schedule'!$O$31&gt;0,AND(DAY($A52)=MIN(DAY('Recurring Schedule'!$F$31),DAY(EOMONTH($A52,0))),MOD((YEAR($A52)-YEAR('Recurring Schedule'!$F$31))*12+MONTH($A52)-MONTH('Recurring Schedule'!$F$31),'Recurring Schedule'!$O$31)=0),IF('Recurring Schedule'!$E$31="Weekdays",WEEKDAY($A52,2)&lt;=5,$A52='Recurring Schedule'!$F$31))),26,""))))</f>
        <v/>
      </c>
      <c r="AB52">
        <f>IF('Recurring Schedule'!$C$32="","",IF('Recurring Schedule'!$F$32="","",IF(OR($A52&lt;'Recurring Schedule'!$F$32,$A52&gt;'Recurring Schedule'!$P$32),"",IF(IF('Recurring Schedule'!$N$32&gt;0,MOD($A52-'Recurring Schedule'!$F$32,'Recurring Schedule'!$N$32)=0,IF('Recurring Schedule'!$O$32&gt;0,AND(DAY($A52)=MIN(DAY('Recurring Schedule'!$F$32),DAY(EOMONTH($A52,0))),MOD((YEAR($A52)-YEAR('Recurring Schedule'!$F$32))*12+MONTH($A52)-MONTH('Recurring Schedule'!$F$32),'Recurring Schedule'!$O$32)=0),IF('Recurring Schedule'!$E$32="Weekdays",WEEKDAY($A52,2)&lt;=5,$A52='Recurring Schedule'!$F$32))),27,""))))</f>
        <v/>
      </c>
      <c r="AC52">
        <f>IF('Recurring Schedule'!$C$33="","",IF('Recurring Schedule'!$F$33="","",IF(OR($A52&lt;'Recurring Schedule'!$F$33,$A52&gt;'Recurring Schedule'!$P$33),"",IF(IF('Recurring Schedule'!$N$33&gt;0,MOD($A52-'Recurring Schedule'!$F$33,'Recurring Schedule'!$N$33)=0,IF('Recurring Schedule'!$O$33&gt;0,AND(DAY($A52)=MIN(DAY('Recurring Schedule'!$F$33),DAY(EOMONTH($A52,0))),MOD((YEAR($A52)-YEAR('Recurring Schedule'!$F$33))*12+MONTH($A52)-MONTH('Recurring Schedule'!$F$33),'Recurring Schedule'!$O$33)=0),IF('Recurring Schedule'!$E$33="Weekdays",WEEKDAY($A52,2)&lt;=5,$A52='Recurring Schedule'!$F$33))),28,""))))</f>
        <v/>
      </c>
      <c r="AD52">
        <f>IF('Recurring Schedule'!$C$34="","",IF('Recurring Schedule'!$F$34="","",IF(OR($A52&lt;'Recurring Schedule'!$F$34,$A52&gt;'Recurring Schedule'!$P$34),"",IF(IF('Recurring Schedule'!$N$34&gt;0,MOD($A52-'Recurring Schedule'!$F$34,'Recurring Schedule'!$N$34)=0,IF('Recurring Schedule'!$O$34&gt;0,AND(DAY($A52)=MIN(DAY('Recurring Schedule'!$F$34),DAY(EOMONTH($A52,0))),MOD((YEAR($A52)-YEAR('Recurring Schedule'!$F$34))*12+MONTH($A52)-MONTH('Recurring Schedule'!$F$34),'Recurring Schedule'!$O$34)=0),IF('Recurring Schedule'!$E$34="Weekdays",WEEKDAY($A52,2)&lt;=5,$A52='Recurring Schedule'!$F$34))),29,""))))</f>
        <v/>
      </c>
      <c r="AE52">
        <f>IF('Recurring Schedule'!$C$35="","",IF('Recurring Schedule'!$F$35="","",IF(OR($A52&lt;'Recurring Schedule'!$F$35,$A52&gt;'Recurring Schedule'!$P$35),"",IF(IF('Recurring Schedule'!$N$35&gt;0,MOD($A52-'Recurring Schedule'!$F$35,'Recurring Schedule'!$N$35)=0,IF('Recurring Schedule'!$O$35&gt;0,AND(DAY($A52)=MIN(DAY('Recurring Schedule'!$F$35),DAY(EOMONTH($A52,0))),MOD((YEAR($A52)-YEAR('Recurring Schedule'!$F$35))*12+MONTH($A52)-MONTH('Recurring Schedule'!$F$35),'Recurring Schedule'!$O$35)=0),IF('Recurring Schedule'!$E$35="Weekdays",WEEKDAY($A52,2)&lt;=5,$A52='Recurring Schedule'!$F$35))),30,""))))</f>
        <v/>
      </c>
      <c r="AF52">
        <f>IF('Recurring Schedule'!$C$36="","",IF('Recurring Schedule'!$F$36="","",IF(OR($A52&lt;'Recurring Schedule'!$F$36,$A52&gt;'Recurring Schedule'!$P$36),"",IF(IF('Recurring Schedule'!$N$36&gt;0,MOD($A52-'Recurring Schedule'!$F$36,'Recurring Schedule'!$N$36)=0,IF('Recurring Schedule'!$O$36&gt;0,AND(DAY($A52)=MIN(DAY('Recurring Schedule'!$F$36),DAY(EOMONTH($A52,0))),MOD((YEAR($A52)-YEAR('Recurring Schedule'!$F$36))*12+MONTH($A52)-MONTH('Recurring Schedule'!$F$36),'Recurring Schedule'!$O$36)=0),IF('Recurring Schedule'!$E$36="Weekdays",WEEKDAY($A52,2)&lt;=5,$A52='Recurring Schedule'!$F$36))),31,""))))</f>
        <v/>
      </c>
      <c r="AG52">
        <f>IF('Recurring Schedule'!$C$37="","",IF('Recurring Schedule'!$F$37="","",IF(OR($A52&lt;'Recurring Schedule'!$F$37,$A52&gt;'Recurring Schedule'!$P$37),"",IF(IF('Recurring Schedule'!$N$37&gt;0,MOD($A52-'Recurring Schedule'!$F$37,'Recurring Schedule'!$N$37)=0,IF('Recurring Schedule'!$O$37&gt;0,AND(DAY($A52)=MIN(DAY('Recurring Schedule'!$F$37),DAY(EOMONTH($A52,0))),MOD((YEAR($A52)-YEAR('Recurring Schedule'!$F$37))*12+MONTH($A52)-MONTH('Recurring Schedule'!$F$37),'Recurring Schedule'!$O$37)=0),IF('Recurring Schedule'!$E$37="Weekdays",WEEKDAY($A52,2)&lt;=5,$A52='Recurring Schedule'!$F$37))),32,""))))</f>
        <v/>
      </c>
      <c r="AH52">
        <f>IF('Recurring Schedule'!$C$38="","",IF('Recurring Schedule'!$F$38="","",IF(OR($A52&lt;'Recurring Schedule'!$F$38,$A52&gt;'Recurring Schedule'!$P$38),"",IF(IF('Recurring Schedule'!$N$38&gt;0,MOD($A52-'Recurring Schedule'!$F$38,'Recurring Schedule'!$N$38)=0,IF('Recurring Schedule'!$O$38&gt;0,AND(DAY($A52)=MIN(DAY('Recurring Schedule'!$F$38),DAY(EOMONTH($A52,0))),MOD((YEAR($A52)-YEAR('Recurring Schedule'!$F$38))*12+MONTH($A52)-MONTH('Recurring Schedule'!$F$38),'Recurring Schedule'!$O$38)=0),IF('Recurring Schedule'!$E$38="Weekdays",WEEKDAY($A52,2)&lt;=5,$A52='Recurring Schedule'!$F$38))),33,""))))</f>
        <v/>
      </c>
      <c r="AI52">
        <f>IF('Recurring Schedule'!$C$39="","",IF('Recurring Schedule'!$F$39="","",IF(OR($A52&lt;'Recurring Schedule'!$F$39,$A52&gt;'Recurring Schedule'!$P$39),"",IF(IF('Recurring Schedule'!$N$39&gt;0,MOD($A52-'Recurring Schedule'!$F$39,'Recurring Schedule'!$N$39)=0,IF('Recurring Schedule'!$O$39&gt;0,AND(DAY($A52)=MIN(DAY('Recurring Schedule'!$F$39),DAY(EOMONTH($A52,0))),MOD((YEAR($A52)-YEAR('Recurring Schedule'!$F$39))*12+MONTH($A52)-MONTH('Recurring Schedule'!$F$39),'Recurring Schedule'!$O$39)=0),IF('Recurring Schedule'!$E$39="Weekdays",WEEKDAY($A52,2)&lt;=5,$A52='Recurring Schedule'!$F$39))),34,""))))</f>
        <v/>
      </c>
      <c r="AJ52">
        <f>IF('Recurring Schedule'!$C$40="","",IF('Recurring Schedule'!$F$40="","",IF(OR($A52&lt;'Recurring Schedule'!$F$40,$A52&gt;'Recurring Schedule'!$P$40),"",IF(IF('Recurring Schedule'!$N$40&gt;0,MOD($A52-'Recurring Schedule'!$F$40,'Recurring Schedule'!$N$40)=0,IF('Recurring Schedule'!$O$40&gt;0,AND(DAY($A52)=MIN(DAY('Recurring Schedule'!$F$40),DAY(EOMONTH($A52,0))),MOD((YEAR($A52)-YEAR('Recurring Schedule'!$F$40))*12+MONTH($A52)-MONTH('Recurring Schedule'!$F$40),'Recurring Schedule'!$O$40)=0),IF('Recurring Schedule'!$E$40="Weekdays",WEEKDAY($A52,2)&lt;=5,$A52='Recurring Schedule'!$F$40))),35,""))))</f>
        <v/>
      </c>
      <c r="AK52">
        <f>IF('Recurring Schedule'!$C$41="","",IF('Recurring Schedule'!$F$41="","",IF(OR($A52&lt;'Recurring Schedule'!$F$41,$A52&gt;'Recurring Schedule'!$P$41),"",IF(IF('Recurring Schedule'!$N$41&gt;0,MOD($A52-'Recurring Schedule'!$F$41,'Recurring Schedule'!$N$41)=0,IF('Recurring Schedule'!$O$41&gt;0,AND(DAY($A52)=MIN(DAY('Recurring Schedule'!$F$41),DAY(EOMONTH($A52,0))),MOD((YEAR($A52)-YEAR('Recurring Schedule'!$F$41))*12+MONTH($A52)-MONTH('Recurring Schedule'!$F$41),'Recurring Schedule'!$O$41)=0),IF('Recurring Schedule'!$E$41="Weekdays",WEEKDAY($A52,2)&lt;=5,$A52='Recurring Schedule'!$F$41))),36,""))))</f>
        <v/>
      </c>
      <c r="AL52">
        <f>IF('Recurring Schedule'!$C$42="","",IF('Recurring Schedule'!$F$42="","",IF(OR($A52&lt;'Recurring Schedule'!$F$42,$A52&gt;'Recurring Schedule'!$P$42),"",IF(IF('Recurring Schedule'!$N$42&gt;0,MOD($A52-'Recurring Schedule'!$F$42,'Recurring Schedule'!$N$42)=0,IF('Recurring Schedule'!$O$42&gt;0,AND(DAY($A52)=MIN(DAY('Recurring Schedule'!$F$42),DAY(EOMONTH($A52,0))),MOD((YEAR($A52)-YEAR('Recurring Schedule'!$F$42))*12+MONTH($A52)-MONTH('Recurring Schedule'!$F$42),'Recurring Schedule'!$O$42)=0),IF('Recurring Schedule'!$E$42="Weekdays",WEEKDAY($A52,2)&lt;=5,$A52='Recurring Schedule'!$F$42))),37,""))))</f>
        <v/>
      </c>
      <c r="AM52">
        <f>IF('Recurring Schedule'!$C$43="","",IF('Recurring Schedule'!$F$43="","",IF(OR($A52&lt;'Recurring Schedule'!$F$43,$A52&gt;'Recurring Schedule'!$P$43),"",IF(IF('Recurring Schedule'!$N$43&gt;0,MOD($A52-'Recurring Schedule'!$F$43,'Recurring Schedule'!$N$43)=0,IF('Recurring Schedule'!$O$43&gt;0,AND(DAY($A52)=MIN(DAY('Recurring Schedule'!$F$43),DAY(EOMONTH($A52,0))),MOD((YEAR($A52)-YEAR('Recurring Schedule'!$F$43))*12+MONTH($A52)-MONTH('Recurring Schedule'!$F$43),'Recurring Schedule'!$O$43)=0),IF('Recurring Schedule'!$E$43="Weekdays",WEEKDAY($A52,2)&lt;=5,$A52='Recurring Schedule'!$F$43))),38,""))))</f>
        <v/>
      </c>
      <c r="AN52">
        <f>IF('Recurring Schedule'!$C$44="","",IF('Recurring Schedule'!$F$44="","",IF(OR($A52&lt;'Recurring Schedule'!$F$44,$A52&gt;'Recurring Schedule'!$P$44),"",IF(IF('Recurring Schedule'!$N$44&gt;0,MOD($A52-'Recurring Schedule'!$F$44,'Recurring Schedule'!$N$44)=0,IF('Recurring Schedule'!$O$44&gt;0,AND(DAY($A52)=MIN(DAY('Recurring Schedule'!$F$44),DAY(EOMONTH($A52,0))),MOD((YEAR($A52)-YEAR('Recurring Schedule'!$F$44))*12+MONTH($A52)-MONTH('Recurring Schedule'!$F$44),'Recurring Schedule'!$O$44)=0),IF('Recurring Schedule'!$E$44="Weekdays",WEEKDAY($A52,2)&lt;=5,$A52='Recurring Schedule'!$F$44))),39,""))))</f>
        <v/>
      </c>
      <c r="AO52">
        <f>IF('Recurring Schedule'!$C$45="","",IF('Recurring Schedule'!$F$45="","",IF(OR($A52&lt;'Recurring Schedule'!$F$45,$A52&gt;'Recurring Schedule'!$P$45),"",IF(IF('Recurring Schedule'!$N$45&gt;0,MOD($A52-'Recurring Schedule'!$F$45,'Recurring Schedule'!$N$45)=0,IF('Recurring Schedule'!$O$45&gt;0,AND(DAY($A52)=MIN(DAY('Recurring Schedule'!$F$45),DAY(EOMONTH($A52,0))),MOD((YEAR($A52)-YEAR('Recurring Schedule'!$F$45))*12+MONTH($A52)-MONTH('Recurring Schedule'!$F$45),'Recurring Schedule'!$O$45)=0),IF('Recurring Schedule'!$E$45="Weekdays",WEEKDAY($A52,2)&lt;=5,$A52='Recurring Schedule'!$F$45))),40,""))))</f>
        <v/>
      </c>
      <c r="AP52">
        <f>COUNT(B52:AO52)</f>
        <v/>
      </c>
      <c r="AQ52">
        <f>AQ51+AP51</f>
        <v/>
      </c>
      <c r="AS52" t="inlineStr">
        <is>
          <t>R</t>
        </is>
      </c>
      <c r="AT52" t="n">
        <v>56</v>
      </c>
      <c r="AU52">
        <f>'Recurring Log'!C56&amp;""</f>
        <v/>
      </c>
      <c r="AV52">
        <f>'Recurring Log'!D56&amp;""</f>
        <v/>
      </c>
      <c r="AW52">
        <f>IF('Recurring Log'!E56="","",'Recurring Log'!E56)</f>
        <v/>
      </c>
      <c r="AX52">
        <f>IF('Recurring Log'!G56="","",'Recurring Log'!G56)</f>
        <v/>
      </c>
      <c r="AY52">
        <f>IF('Recurring Log'!H56="","",'Recurring Log'!H56)</f>
        <v/>
      </c>
      <c r="AZ52">
        <f>IF(AU52="","",IF('Recurring Log'!J56="","Not Started",'Recurring Log'!J56))</f>
        <v/>
      </c>
      <c r="BA52">
        <f>'Recurring Log'!L56&amp;""</f>
        <v/>
      </c>
      <c r="BB52">
        <f>'Recurring Log'!M56&amp;""</f>
        <v/>
      </c>
      <c r="BC52">
        <f>'Recurring Log'!N56&amp;""</f>
        <v/>
      </c>
      <c r="BD52">
        <f>'Recurring Log'!O56&amp;""</f>
        <v/>
      </c>
      <c r="BE52">
        <f>IF('Recurring Log'!K56="","",'Recurring Log'!K56)</f>
        <v/>
      </c>
      <c r="BF52">
        <f>IFERROR(MATCH(BA52,Setup!$L$6:$L$9,0),5)</f>
        <v/>
      </c>
      <c r="BG52">
        <f>IF(OR(AZ52="Done",AZ52="Cancelled"),1,0)</f>
        <v/>
      </c>
      <c r="BH52">
        <f>IF(AND(AU52&lt;&gt;"",ISNUMBER(AW52)),1,0)</f>
        <v/>
      </c>
      <c r="BI52">
        <f>IF(BH52=0,0,IF(AND(AW52&gt;='Tasks Filter'!$F$3,AW52&lt;='Tasks Filter'!$F$4,OR('Tasks Filter'!$I$3="",ISNUMBER(SEARCH('Tasks Filter'!$I$3,AU52))),OR('Tasks Filter'!$I$4="",BF52=IFERROR(MATCH('Tasks Filter'!$I$4,Setup!$L$6:$L$9,0),0)),OR('Tasks Filter'!$I$5="Both",AND('Tasks Filter'!$I$5="Yes",BB52="✓"),AND('Tasks Filter'!$I$5="No",BB52&lt;&gt;"✓")),OR('Tasks Filter'!$L$3="",AV52='Tasks Filter'!$L$3),OR('Tasks Filter'!$L$4="",AZ52='Tasks Filter'!$L$4),OR('Tasks Filter'!$L$5="",BC52='Tasks Filter'!$L$5),OR('Tasks Filter'!$O$3="",BD52='Tasks Filter'!$O$3),OR('Tasks Filter'!$O$4="Yes",BG52=0)),1,0))</f>
        <v/>
      </c>
      <c r="BJ52">
        <f>IF(BH52=0,"",IF('Tasks Filter'!$F$6="Descending",-1,1)*CHOOSE(MATCH('Tasks Filter'!$F$5,Lists!$G$2:$G$6,0),AW52,BF52,IFERROR(MATCH(AV52,Setup!$F$6:$F$15,0),99),IFERROR(MATCH(BC52,Setup!$H$6:$H$15,0),99),IFERROR(MATCH(AZ52,Setup!$J$6:$J$11,0),99))*1E+9+(AW52-40000)*10000+51)</f>
        <v/>
      </c>
      <c r="BK52">
        <f>IF(BI52=1,BJ52,"")</f>
        <v/>
      </c>
      <c r="BL52">
        <f>IF(AND(BH52=1,BG52=0,N(AW52)&lt;Setup!$D$7),(AW52-40000)*10000+51,"")</f>
        <v/>
      </c>
      <c r="BM52">
        <f>IF(AND(BH52=1,AZ52&lt;&gt;"Cancelled",N(AW52)&gt;=Dashboard!$AB$3,N(AW52)&lt;=Dashboard!$AB$3+6),(AW52-40000)*100000+BF52*10000+51,"")</f>
        <v/>
      </c>
      <c r="BN52">
        <f>IF(AND(BH52=1,AZ52&lt;&gt;"Cancelled"),BF52*10000+51,"")</f>
        <v/>
      </c>
    </row>
    <row r="53">
      <c r="A53">
        <f>Setup!$D$5+51</f>
        <v/>
      </c>
      <c r="B53">
        <f>IF('Recurring Schedule'!$C$6="","",IF('Recurring Schedule'!$F$6="","",IF(OR($A53&lt;'Recurring Schedule'!$F$6,$A53&gt;'Recurring Schedule'!$P$6),"",IF(IF('Recurring Schedule'!$N$6&gt;0,MOD($A53-'Recurring Schedule'!$F$6,'Recurring Schedule'!$N$6)=0,IF('Recurring Schedule'!$O$6&gt;0,AND(DAY($A53)=MIN(DAY('Recurring Schedule'!$F$6),DAY(EOMONTH($A53,0))),MOD((YEAR($A53)-YEAR('Recurring Schedule'!$F$6))*12+MONTH($A53)-MONTH('Recurring Schedule'!$F$6),'Recurring Schedule'!$O$6)=0),IF('Recurring Schedule'!$E$6="Weekdays",WEEKDAY($A53,2)&lt;=5,$A53='Recurring Schedule'!$F$6))),1,""))))</f>
        <v/>
      </c>
      <c r="C53">
        <f>IF('Recurring Schedule'!$C$7="","",IF('Recurring Schedule'!$F$7="","",IF(OR($A53&lt;'Recurring Schedule'!$F$7,$A53&gt;'Recurring Schedule'!$P$7),"",IF(IF('Recurring Schedule'!$N$7&gt;0,MOD($A53-'Recurring Schedule'!$F$7,'Recurring Schedule'!$N$7)=0,IF('Recurring Schedule'!$O$7&gt;0,AND(DAY($A53)=MIN(DAY('Recurring Schedule'!$F$7),DAY(EOMONTH($A53,0))),MOD((YEAR($A53)-YEAR('Recurring Schedule'!$F$7))*12+MONTH($A53)-MONTH('Recurring Schedule'!$F$7),'Recurring Schedule'!$O$7)=0),IF('Recurring Schedule'!$E$7="Weekdays",WEEKDAY($A53,2)&lt;=5,$A53='Recurring Schedule'!$F$7))),2,""))))</f>
        <v/>
      </c>
      <c r="D53">
        <f>IF('Recurring Schedule'!$C$8="","",IF('Recurring Schedule'!$F$8="","",IF(OR($A53&lt;'Recurring Schedule'!$F$8,$A53&gt;'Recurring Schedule'!$P$8),"",IF(IF('Recurring Schedule'!$N$8&gt;0,MOD($A53-'Recurring Schedule'!$F$8,'Recurring Schedule'!$N$8)=0,IF('Recurring Schedule'!$O$8&gt;0,AND(DAY($A53)=MIN(DAY('Recurring Schedule'!$F$8),DAY(EOMONTH($A53,0))),MOD((YEAR($A53)-YEAR('Recurring Schedule'!$F$8))*12+MONTH($A53)-MONTH('Recurring Schedule'!$F$8),'Recurring Schedule'!$O$8)=0),IF('Recurring Schedule'!$E$8="Weekdays",WEEKDAY($A53,2)&lt;=5,$A53='Recurring Schedule'!$F$8))),3,""))))</f>
        <v/>
      </c>
      <c r="E53">
        <f>IF('Recurring Schedule'!$C$9="","",IF('Recurring Schedule'!$F$9="","",IF(OR($A53&lt;'Recurring Schedule'!$F$9,$A53&gt;'Recurring Schedule'!$P$9),"",IF(IF('Recurring Schedule'!$N$9&gt;0,MOD($A53-'Recurring Schedule'!$F$9,'Recurring Schedule'!$N$9)=0,IF('Recurring Schedule'!$O$9&gt;0,AND(DAY($A53)=MIN(DAY('Recurring Schedule'!$F$9),DAY(EOMONTH($A53,0))),MOD((YEAR($A53)-YEAR('Recurring Schedule'!$F$9))*12+MONTH($A53)-MONTH('Recurring Schedule'!$F$9),'Recurring Schedule'!$O$9)=0),IF('Recurring Schedule'!$E$9="Weekdays",WEEKDAY($A53,2)&lt;=5,$A53='Recurring Schedule'!$F$9))),4,""))))</f>
        <v/>
      </c>
      <c r="F53">
        <f>IF('Recurring Schedule'!$C$10="","",IF('Recurring Schedule'!$F$10="","",IF(OR($A53&lt;'Recurring Schedule'!$F$10,$A53&gt;'Recurring Schedule'!$P$10),"",IF(IF('Recurring Schedule'!$N$10&gt;0,MOD($A53-'Recurring Schedule'!$F$10,'Recurring Schedule'!$N$10)=0,IF('Recurring Schedule'!$O$10&gt;0,AND(DAY($A53)=MIN(DAY('Recurring Schedule'!$F$10),DAY(EOMONTH($A53,0))),MOD((YEAR($A53)-YEAR('Recurring Schedule'!$F$10))*12+MONTH($A53)-MONTH('Recurring Schedule'!$F$10),'Recurring Schedule'!$O$10)=0),IF('Recurring Schedule'!$E$10="Weekdays",WEEKDAY($A53,2)&lt;=5,$A53='Recurring Schedule'!$F$10))),5,""))))</f>
        <v/>
      </c>
      <c r="G53">
        <f>IF('Recurring Schedule'!$C$11="","",IF('Recurring Schedule'!$F$11="","",IF(OR($A53&lt;'Recurring Schedule'!$F$11,$A53&gt;'Recurring Schedule'!$P$11),"",IF(IF('Recurring Schedule'!$N$11&gt;0,MOD($A53-'Recurring Schedule'!$F$11,'Recurring Schedule'!$N$11)=0,IF('Recurring Schedule'!$O$11&gt;0,AND(DAY($A53)=MIN(DAY('Recurring Schedule'!$F$11),DAY(EOMONTH($A53,0))),MOD((YEAR($A53)-YEAR('Recurring Schedule'!$F$11))*12+MONTH($A53)-MONTH('Recurring Schedule'!$F$11),'Recurring Schedule'!$O$11)=0),IF('Recurring Schedule'!$E$11="Weekdays",WEEKDAY($A53,2)&lt;=5,$A53='Recurring Schedule'!$F$11))),6,""))))</f>
        <v/>
      </c>
      <c r="H53">
        <f>IF('Recurring Schedule'!$C$12="","",IF('Recurring Schedule'!$F$12="","",IF(OR($A53&lt;'Recurring Schedule'!$F$12,$A53&gt;'Recurring Schedule'!$P$12),"",IF(IF('Recurring Schedule'!$N$12&gt;0,MOD($A53-'Recurring Schedule'!$F$12,'Recurring Schedule'!$N$12)=0,IF('Recurring Schedule'!$O$12&gt;0,AND(DAY($A53)=MIN(DAY('Recurring Schedule'!$F$12),DAY(EOMONTH($A53,0))),MOD((YEAR($A53)-YEAR('Recurring Schedule'!$F$12))*12+MONTH($A53)-MONTH('Recurring Schedule'!$F$12),'Recurring Schedule'!$O$12)=0),IF('Recurring Schedule'!$E$12="Weekdays",WEEKDAY($A53,2)&lt;=5,$A53='Recurring Schedule'!$F$12))),7,""))))</f>
        <v/>
      </c>
      <c r="I53">
        <f>IF('Recurring Schedule'!$C$13="","",IF('Recurring Schedule'!$F$13="","",IF(OR($A53&lt;'Recurring Schedule'!$F$13,$A53&gt;'Recurring Schedule'!$P$13),"",IF(IF('Recurring Schedule'!$N$13&gt;0,MOD($A53-'Recurring Schedule'!$F$13,'Recurring Schedule'!$N$13)=0,IF('Recurring Schedule'!$O$13&gt;0,AND(DAY($A53)=MIN(DAY('Recurring Schedule'!$F$13),DAY(EOMONTH($A53,0))),MOD((YEAR($A53)-YEAR('Recurring Schedule'!$F$13))*12+MONTH($A53)-MONTH('Recurring Schedule'!$F$13),'Recurring Schedule'!$O$13)=0),IF('Recurring Schedule'!$E$13="Weekdays",WEEKDAY($A53,2)&lt;=5,$A53='Recurring Schedule'!$F$13))),8,""))))</f>
        <v/>
      </c>
      <c r="J53">
        <f>IF('Recurring Schedule'!$C$14="","",IF('Recurring Schedule'!$F$14="","",IF(OR($A53&lt;'Recurring Schedule'!$F$14,$A53&gt;'Recurring Schedule'!$P$14),"",IF(IF('Recurring Schedule'!$N$14&gt;0,MOD($A53-'Recurring Schedule'!$F$14,'Recurring Schedule'!$N$14)=0,IF('Recurring Schedule'!$O$14&gt;0,AND(DAY($A53)=MIN(DAY('Recurring Schedule'!$F$14),DAY(EOMONTH($A53,0))),MOD((YEAR($A53)-YEAR('Recurring Schedule'!$F$14))*12+MONTH($A53)-MONTH('Recurring Schedule'!$F$14),'Recurring Schedule'!$O$14)=0),IF('Recurring Schedule'!$E$14="Weekdays",WEEKDAY($A53,2)&lt;=5,$A53='Recurring Schedule'!$F$14))),9,""))))</f>
        <v/>
      </c>
      <c r="K53">
        <f>IF('Recurring Schedule'!$C$15="","",IF('Recurring Schedule'!$F$15="","",IF(OR($A53&lt;'Recurring Schedule'!$F$15,$A53&gt;'Recurring Schedule'!$P$15),"",IF(IF('Recurring Schedule'!$N$15&gt;0,MOD($A53-'Recurring Schedule'!$F$15,'Recurring Schedule'!$N$15)=0,IF('Recurring Schedule'!$O$15&gt;0,AND(DAY($A53)=MIN(DAY('Recurring Schedule'!$F$15),DAY(EOMONTH($A53,0))),MOD((YEAR($A53)-YEAR('Recurring Schedule'!$F$15))*12+MONTH($A53)-MONTH('Recurring Schedule'!$F$15),'Recurring Schedule'!$O$15)=0),IF('Recurring Schedule'!$E$15="Weekdays",WEEKDAY($A53,2)&lt;=5,$A53='Recurring Schedule'!$F$15))),10,""))))</f>
        <v/>
      </c>
      <c r="L53">
        <f>IF('Recurring Schedule'!$C$16="","",IF('Recurring Schedule'!$F$16="","",IF(OR($A53&lt;'Recurring Schedule'!$F$16,$A53&gt;'Recurring Schedule'!$P$16),"",IF(IF('Recurring Schedule'!$N$16&gt;0,MOD($A53-'Recurring Schedule'!$F$16,'Recurring Schedule'!$N$16)=0,IF('Recurring Schedule'!$O$16&gt;0,AND(DAY($A53)=MIN(DAY('Recurring Schedule'!$F$16),DAY(EOMONTH($A53,0))),MOD((YEAR($A53)-YEAR('Recurring Schedule'!$F$16))*12+MONTH($A53)-MONTH('Recurring Schedule'!$F$16),'Recurring Schedule'!$O$16)=0),IF('Recurring Schedule'!$E$16="Weekdays",WEEKDAY($A53,2)&lt;=5,$A53='Recurring Schedule'!$F$16))),11,""))))</f>
        <v/>
      </c>
      <c r="M53">
        <f>IF('Recurring Schedule'!$C$17="","",IF('Recurring Schedule'!$F$17="","",IF(OR($A53&lt;'Recurring Schedule'!$F$17,$A53&gt;'Recurring Schedule'!$P$17),"",IF(IF('Recurring Schedule'!$N$17&gt;0,MOD($A53-'Recurring Schedule'!$F$17,'Recurring Schedule'!$N$17)=0,IF('Recurring Schedule'!$O$17&gt;0,AND(DAY($A53)=MIN(DAY('Recurring Schedule'!$F$17),DAY(EOMONTH($A53,0))),MOD((YEAR($A53)-YEAR('Recurring Schedule'!$F$17))*12+MONTH($A53)-MONTH('Recurring Schedule'!$F$17),'Recurring Schedule'!$O$17)=0),IF('Recurring Schedule'!$E$17="Weekdays",WEEKDAY($A53,2)&lt;=5,$A53='Recurring Schedule'!$F$17))),12,""))))</f>
        <v/>
      </c>
      <c r="N53">
        <f>IF('Recurring Schedule'!$C$18="","",IF('Recurring Schedule'!$F$18="","",IF(OR($A53&lt;'Recurring Schedule'!$F$18,$A53&gt;'Recurring Schedule'!$P$18),"",IF(IF('Recurring Schedule'!$N$18&gt;0,MOD($A53-'Recurring Schedule'!$F$18,'Recurring Schedule'!$N$18)=0,IF('Recurring Schedule'!$O$18&gt;0,AND(DAY($A53)=MIN(DAY('Recurring Schedule'!$F$18),DAY(EOMONTH($A53,0))),MOD((YEAR($A53)-YEAR('Recurring Schedule'!$F$18))*12+MONTH($A53)-MONTH('Recurring Schedule'!$F$18),'Recurring Schedule'!$O$18)=0),IF('Recurring Schedule'!$E$18="Weekdays",WEEKDAY($A53,2)&lt;=5,$A53='Recurring Schedule'!$F$18))),13,""))))</f>
        <v/>
      </c>
      <c r="O53">
        <f>IF('Recurring Schedule'!$C$19="","",IF('Recurring Schedule'!$F$19="","",IF(OR($A53&lt;'Recurring Schedule'!$F$19,$A53&gt;'Recurring Schedule'!$P$19),"",IF(IF('Recurring Schedule'!$N$19&gt;0,MOD($A53-'Recurring Schedule'!$F$19,'Recurring Schedule'!$N$19)=0,IF('Recurring Schedule'!$O$19&gt;0,AND(DAY($A53)=MIN(DAY('Recurring Schedule'!$F$19),DAY(EOMONTH($A53,0))),MOD((YEAR($A53)-YEAR('Recurring Schedule'!$F$19))*12+MONTH($A53)-MONTH('Recurring Schedule'!$F$19),'Recurring Schedule'!$O$19)=0),IF('Recurring Schedule'!$E$19="Weekdays",WEEKDAY($A53,2)&lt;=5,$A53='Recurring Schedule'!$F$19))),14,""))))</f>
        <v/>
      </c>
      <c r="P53">
        <f>IF('Recurring Schedule'!$C$20="","",IF('Recurring Schedule'!$F$20="","",IF(OR($A53&lt;'Recurring Schedule'!$F$20,$A53&gt;'Recurring Schedule'!$P$20),"",IF(IF('Recurring Schedule'!$N$20&gt;0,MOD($A53-'Recurring Schedule'!$F$20,'Recurring Schedule'!$N$20)=0,IF('Recurring Schedule'!$O$20&gt;0,AND(DAY($A53)=MIN(DAY('Recurring Schedule'!$F$20),DAY(EOMONTH($A53,0))),MOD((YEAR($A53)-YEAR('Recurring Schedule'!$F$20))*12+MONTH($A53)-MONTH('Recurring Schedule'!$F$20),'Recurring Schedule'!$O$20)=0),IF('Recurring Schedule'!$E$20="Weekdays",WEEKDAY($A53,2)&lt;=5,$A53='Recurring Schedule'!$F$20))),15,""))))</f>
        <v/>
      </c>
      <c r="Q53">
        <f>IF('Recurring Schedule'!$C$21="","",IF('Recurring Schedule'!$F$21="","",IF(OR($A53&lt;'Recurring Schedule'!$F$21,$A53&gt;'Recurring Schedule'!$P$21),"",IF(IF('Recurring Schedule'!$N$21&gt;0,MOD($A53-'Recurring Schedule'!$F$21,'Recurring Schedule'!$N$21)=0,IF('Recurring Schedule'!$O$21&gt;0,AND(DAY($A53)=MIN(DAY('Recurring Schedule'!$F$21),DAY(EOMONTH($A53,0))),MOD((YEAR($A53)-YEAR('Recurring Schedule'!$F$21))*12+MONTH($A53)-MONTH('Recurring Schedule'!$F$21),'Recurring Schedule'!$O$21)=0),IF('Recurring Schedule'!$E$21="Weekdays",WEEKDAY($A53,2)&lt;=5,$A53='Recurring Schedule'!$F$21))),16,""))))</f>
        <v/>
      </c>
      <c r="R53">
        <f>IF('Recurring Schedule'!$C$22="","",IF('Recurring Schedule'!$F$22="","",IF(OR($A53&lt;'Recurring Schedule'!$F$22,$A53&gt;'Recurring Schedule'!$P$22),"",IF(IF('Recurring Schedule'!$N$22&gt;0,MOD($A53-'Recurring Schedule'!$F$22,'Recurring Schedule'!$N$22)=0,IF('Recurring Schedule'!$O$22&gt;0,AND(DAY($A53)=MIN(DAY('Recurring Schedule'!$F$22),DAY(EOMONTH($A53,0))),MOD((YEAR($A53)-YEAR('Recurring Schedule'!$F$22))*12+MONTH($A53)-MONTH('Recurring Schedule'!$F$22),'Recurring Schedule'!$O$22)=0),IF('Recurring Schedule'!$E$22="Weekdays",WEEKDAY($A53,2)&lt;=5,$A53='Recurring Schedule'!$F$22))),17,""))))</f>
        <v/>
      </c>
      <c r="S53">
        <f>IF('Recurring Schedule'!$C$23="","",IF('Recurring Schedule'!$F$23="","",IF(OR($A53&lt;'Recurring Schedule'!$F$23,$A53&gt;'Recurring Schedule'!$P$23),"",IF(IF('Recurring Schedule'!$N$23&gt;0,MOD($A53-'Recurring Schedule'!$F$23,'Recurring Schedule'!$N$23)=0,IF('Recurring Schedule'!$O$23&gt;0,AND(DAY($A53)=MIN(DAY('Recurring Schedule'!$F$23),DAY(EOMONTH($A53,0))),MOD((YEAR($A53)-YEAR('Recurring Schedule'!$F$23))*12+MONTH($A53)-MONTH('Recurring Schedule'!$F$23),'Recurring Schedule'!$O$23)=0),IF('Recurring Schedule'!$E$23="Weekdays",WEEKDAY($A53,2)&lt;=5,$A53='Recurring Schedule'!$F$23))),18,""))))</f>
        <v/>
      </c>
      <c r="T53">
        <f>IF('Recurring Schedule'!$C$24="","",IF('Recurring Schedule'!$F$24="","",IF(OR($A53&lt;'Recurring Schedule'!$F$24,$A53&gt;'Recurring Schedule'!$P$24),"",IF(IF('Recurring Schedule'!$N$24&gt;0,MOD($A53-'Recurring Schedule'!$F$24,'Recurring Schedule'!$N$24)=0,IF('Recurring Schedule'!$O$24&gt;0,AND(DAY($A53)=MIN(DAY('Recurring Schedule'!$F$24),DAY(EOMONTH($A53,0))),MOD((YEAR($A53)-YEAR('Recurring Schedule'!$F$24))*12+MONTH($A53)-MONTH('Recurring Schedule'!$F$24),'Recurring Schedule'!$O$24)=0),IF('Recurring Schedule'!$E$24="Weekdays",WEEKDAY($A53,2)&lt;=5,$A53='Recurring Schedule'!$F$24))),19,""))))</f>
        <v/>
      </c>
      <c r="U53">
        <f>IF('Recurring Schedule'!$C$25="","",IF('Recurring Schedule'!$F$25="","",IF(OR($A53&lt;'Recurring Schedule'!$F$25,$A53&gt;'Recurring Schedule'!$P$25),"",IF(IF('Recurring Schedule'!$N$25&gt;0,MOD($A53-'Recurring Schedule'!$F$25,'Recurring Schedule'!$N$25)=0,IF('Recurring Schedule'!$O$25&gt;0,AND(DAY($A53)=MIN(DAY('Recurring Schedule'!$F$25),DAY(EOMONTH($A53,0))),MOD((YEAR($A53)-YEAR('Recurring Schedule'!$F$25))*12+MONTH($A53)-MONTH('Recurring Schedule'!$F$25),'Recurring Schedule'!$O$25)=0),IF('Recurring Schedule'!$E$25="Weekdays",WEEKDAY($A53,2)&lt;=5,$A53='Recurring Schedule'!$F$25))),20,""))))</f>
        <v/>
      </c>
      <c r="V53">
        <f>IF('Recurring Schedule'!$C$26="","",IF('Recurring Schedule'!$F$26="","",IF(OR($A53&lt;'Recurring Schedule'!$F$26,$A53&gt;'Recurring Schedule'!$P$26),"",IF(IF('Recurring Schedule'!$N$26&gt;0,MOD($A53-'Recurring Schedule'!$F$26,'Recurring Schedule'!$N$26)=0,IF('Recurring Schedule'!$O$26&gt;0,AND(DAY($A53)=MIN(DAY('Recurring Schedule'!$F$26),DAY(EOMONTH($A53,0))),MOD((YEAR($A53)-YEAR('Recurring Schedule'!$F$26))*12+MONTH($A53)-MONTH('Recurring Schedule'!$F$26),'Recurring Schedule'!$O$26)=0),IF('Recurring Schedule'!$E$26="Weekdays",WEEKDAY($A53,2)&lt;=5,$A53='Recurring Schedule'!$F$26))),21,""))))</f>
        <v/>
      </c>
      <c r="W53">
        <f>IF('Recurring Schedule'!$C$27="","",IF('Recurring Schedule'!$F$27="","",IF(OR($A53&lt;'Recurring Schedule'!$F$27,$A53&gt;'Recurring Schedule'!$P$27),"",IF(IF('Recurring Schedule'!$N$27&gt;0,MOD($A53-'Recurring Schedule'!$F$27,'Recurring Schedule'!$N$27)=0,IF('Recurring Schedule'!$O$27&gt;0,AND(DAY($A53)=MIN(DAY('Recurring Schedule'!$F$27),DAY(EOMONTH($A53,0))),MOD((YEAR($A53)-YEAR('Recurring Schedule'!$F$27))*12+MONTH($A53)-MONTH('Recurring Schedule'!$F$27),'Recurring Schedule'!$O$27)=0),IF('Recurring Schedule'!$E$27="Weekdays",WEEKDAY($A53,2)&lt;=5,$A53='Recurring Schedule'!$F$27))),22,""))))</f>
        <v/>
      </c>
      <c r="X53">
        <f>IF('Recurring Schedule'!$C$28="","",IF('Recurring Schedule'!$F$28="","",IF(OR($A53&lt;'Recurring Schedule'!$F$28,$A53&gt;'Recurring Schedule'!$P$28),"",IF(IF('Recurring Schedule'!$N$28&gt;0,MOD($A53-'Recurring Schedule'!$F$28,'Recurring Schedule'!$N$28)=0,IF('Recurring Schedule'!$O$28&gt;0,AND(DAY($A53)=MIN(DAY('Recurring Schedule'!$F$28),DAY(EOMONTH($A53,0))),MOD((YEAR($A53)-YEAR('Recurring Schedule'!$F$28))*12+MONTH($A53)-MONTH('Recurring Schedule'!$F$28),'Recurring Schedule'!$O$28)=0),IF('Recurring Schedule'!$E$28="Weekdays",WEEKDAY($A53,2)&lt;=5,$A53='Recurring Schedule'!$F$28))),23,""))))</f>
        <v/>
      </c>
      <c r="Y53">
        <f>IF('Recurring Schedule'!$C$29="","",IF('Recurring Schedule'!$F$29="","",IF(OR($A53&lt;'Recurring Schedule'!$F$29,$A53&gt;'Recurring Schedule'!$P$29),"",IF(IF('Recurring Schedule'!$N$29&gt;0,MOD($A53-'Recurring Schedule'!$F$29,'Recurring Schedule'!$N$29)=0,IF('Recurring Schedule'!$O$29&gt;0,AND(DAY($A53)=MIN(DAY('Recurring Schedule'!$F$29),DAY(EOMONTH($A53,0))),MOD((YEAR($A53)-YEAR('Recurring Schedule'!$F$29))*12+MONTH($A53)-MONTH('Recurring Schedule'!$F$29),'Recurring Schedule'!$O$29)=0),IF('Recurring Schedule'!$E$29="Weekdays",WEEKDAY($A53,2)&lt;=5,$A53='Recurring Schedule'!$F$29))),24,""))))</f>
        <v/>
      </c>
      <c r="Z53">
        <f>IF('Recurring Schedule'!$C$30="","",IF('Recurring Schedule'!$F$30="","",IF(OR($A53&lt;'Recurring Schedule'!$F$30,$A53&gt;'Recurring Schedule'!$P$30),"",IF(IF('Recurring Schedule'!$N$30&gt;0,MOD($A53-'Recurring Schedule'!$F$30,'Recurring Schedule'!$N$30)=0,IF('Recurring Schedule'!$O$30&gt;0,AND(DAY($A53)=MIN(DAY('Recurring Schedule'!$F$30),DAY(EOMONTH($A53,0))),MOD((YEAR($A53)-YEAR('Recurring Schedule'!$F$30))*12+MONTH($A53)-MONTH('Recurring Schedule'!$F$30),'Recurring Schedule'!$O$30)=0),IF('Recurring Schedule'!$E$30="Weekdays",WEEKDAY($A53,2)&lt;=5,$A53='Recurring Schedule'!$F$30))),25,""))))</f>
        <v/>
      </c>
      <c r="AA53">
        <f>IF('Recurring Schedule'!$C$31="","",IF('Recurring Schedule'!$F$31="","",IF(OR($A53&lt;'Recurring Schedule'!$F$31,$A53&gt;'Recurring Schedule'!$P$31),"",IF(IF('Recurring Schedule'!$N$31&gt;0,MOD($A53-'Recurring Schedule'!$F$31,'Recurring Schedule'!$N$31)=0,IF('Recurring Schedule'!$O$31&gt;0,AND(DAY($A53)=MIN(DAY('Recurring Schedule'!$F$31),DAY(EOMONTH($A53,0))),MOD((YEAR($A53)-YEAR('Recurring Schedule'!$F$31))*12+MONTH($A53)-MONTH('Recurring Schedule'!$F$31),'Recurring Schedule'!$O$31)=0),IF('Recurring Schedule'!$E$31="Weekdays",WEEKDAY($A53,2)&lt;=5,$A53='Recurring Schedule'!$F$31))),26,""))))</f>
        <v/>
      </c>
      <c r="AB53">
        <f>IF('Recurring Schedule'!$C$32="","",IF('Recurring Schedule'!$F$32="","",IF(OR($A53&lt;'Recurring Schedule'!$F$32,$A53&gt;'Recurring Schedule'!$P$32),"",IF(IF('Recurring Schedule'!$N$32&gt;0,MOD($A53-'Recurring Schedule'!$F$32,'Recurring Schedule'!$N$32)=0,IF('Recurring Schedule'!$O$32&gt;0,AND(DAY($A53)=MIN(DAY('Recurring Schedule'!$F$32),DAY(EOMONTH($A53,0))),MOD((YEAR($A53)-YEAR('Recurring Schedule'!$F$32))*12+MONTH($A53)-MONTH('Recurring Schedule'!$F$32),'Recurring Schedule'!$O$32)=0),IF('Recurring Schedule'!$E$32="Weekdays",WEEKDAY($A53,2)&lt;=5,$A53='Recurring Schedule'!$F$32))),27,""))))</f>
        <v/>
      </c>
      <c r="AC53">
        <f>IF('Recurring Schedule'!$C$33="","",IF('Recurring Schedule'!$F$33="","",IF(OR($A53&lt;'Recurring Schedule'!$F$33,$A53&gt;'Recurring Schedule'!$P$33),"",IF(IF('Recurring Schedule'!$N$33&gt;0,MOD($A53-'Recurring Schedule'!$F$33,'Recurring Schedule'!$N$33)=0,IF('Recurring Schedule'!$O$33&gt;0,AND(DAY($A53)=MIN(DAY('Recurring Schedule'!$F$33),DAY(EOMONTH($A53,0))),MOD((YEAR($A53)-YEAR('Recurring Schedule'!$F$33))*12+MONTH($A53)-MONTH('Recurring Schedule'!$F$33),'Recurring Schedule'!$O$33)=0),IF('Recurring Schedule'!$E$33="Weekdays",WEEKDAY($A53,2)&lt;=5,$A53='Recurring Schedule'!$F$33))),28,""))))</f>
        <v/>
      </c>
      <c r="AD53">
        <f>IF('Recurring Schedule'!$C$34="","",IF('Recurring Schedule'!$F$34="","",IF(OR($A53&lt;'Recurring Schedule'!$F$34,$A53&gt;'Recurring Schedule'!$P$34),"",IF(IF('Recurring Schedule'!$N$34&gt;0,MOD($A53-'Recurring Schedule'!$F$34,'Recurring Schedule'!$N$34)=0,IF('Recurring Schedule'!$O$34&gt;0,AND(DAY($A53)=MIN(DAY('Recurring Schedule'!$F$34),DAY(EOMONTH($A53,0))),MOD((YEAR($A53)-YEAR('Recurring Schedule'!$F$34))*12+MONTH($A53)-MONTH('Recurring Schedule'!$F$34),'Recurring Schedule'!$O$34)=0),IF('Recurring Schedule'!$E$34="Weekdays",WEEKDAY($A53,2)&lt;=5,$A53='Recurring Schedule'!$F$34))),29,""))))</f>
        <v/>
      </c>
      <c r="AE53">
        <f>IF('Recurring Schedule'!$C$35="","",IF('Recurring Schedule'!$F$35="","",IF(OR($A53&lt;'Recurring Schedule'!$F$35,$A53&gt;'Recurring Schedule'!$P$35),"",IF(IF('Recurring Schedule'!$N$35&gt;0,MOD($A53-'Recurring Schedule'!$F$35,'Recurring Schedule'!$N$35)=0,IF('Recurring Schedule'!$O$35&gt;0,AND(DAY($A53)=MIN(DAY('Recurring Schedule'!$F$35),DAY(EOMONTH($A53,0))),MOD((YEAR($A53)-YEAR('Recurring Schedule'!$F$35))*12+MONTH($A53)-MONTH('Recurring Schedule'!$F$35),'Recurring Schedule'!$O$35)=0),IF('Recurring Schedule'!$E$35="Weekdays",WEEKDAY($A53,2)&lt;=5,$A53='Recurring Schedule'!$F$35))),30,""))))</f>
        <v/>
      </c>
      <c r="AF53">
        <f>IF('Recurring Schedule'!$C$36="","",IF('Recurring Schedule'!$F$36="","",IF(OR($A53&lt;'Recurring Schedule'!$F$36,$A53&gt;'Recurring Schedule'!$P$36),"",IF(IF('Recurring Schedule'!$N$36&gt;0,MOD($A53-'Recurring Schedule'!$F$36,'Recurring Schedule'!$N$36)=0,IF('Recurring Schedule'!$O$36&gt;0,AND(DAY($A53)=MIN(DAY('Recurring Schedule'!$F$36),DAY(EOMONTH($A53,0))),MOD((YEAR($A53)-YEAR('Recurring Schedule'!$F$36))*12+MONTH($A53)-MONTH('Recurring Schedule'!$F$36),'Recurring Schedule'!$O$36)=0),IF('Recurring Schedule'!$E$36="Weekdays",WEEKDAY($A53,2)&lt;=5,$A53='Recurring Schedule'!$F$36))),31,""))))</f>
        <v/>
      </c>
      <c r="AG53">
        <f>IF('Recurring Schedule'!$C$37="","",IF('Recurring Schedule'!$F$37="","",IF(OR($A53&lt;'Recurring Schedule'!$F$37,$A53&gt;'Recurring Schedule'!$P$37),"",IF(IF('Recurring Schedule'!$N$37&gt;0,MOD($A53-'Recurring Schedule'!$F$37,'Recurring Schedule'!$N$37)=0,IF('Recurring Schedule'!$O$37&gt;0,AND(DAY($A53)=MIN(DAY('Recurring Schedule'!$F$37),DAY(EOMONTH($A53,0))),MOD((YEAR($A53)-YEAR('Recurring Schedule'!$F$37))*12+MONTH($A53)-MONTH('Recurring Schedule'!$F$37),'Recurring Schedule'!$O$37)=0),IF('Recurring Schedule'!$E$37="Weekdays",WEEKDAY($A53,2)&lt;=5,$A53='Recurring Schedule'!$F$37))),32,""))))</f>
        <v/>
      </c>
      <c r="AH53">
        <f>IF('Recurring Schedule'!$C$38="","",IF('Recurring Schedule'!$F$38="","",IF(OR($A53&lt;'Recurring Schedule'!$F$38,$A53&gt;'Recurring Schedule'!$P$38),"",IF(IF('Recurring Schedule'!$N$38&gt;0,MOD($A53-'Recurring Schedule'!$F$38,'Recurring Schedule'!$N$38)=0,IF('Recurring Schedule'!$O$38&gt;0,AND(DAY($A53)=MIN(DAY('Recurring Schedule'!$F$38),DAY(EOMONTH($A53,0))),MOD((YEAR($A53)-YEAR('Recurring Schedule'!$F$38))*12+MONTH($A53)-MONTH('Recurring Schedule'!$F$38),'Recurring Schedule'!$O$38)=0),IF('Recurring Schedule'!$E$38="Weekdays",WEEKDAY($A53,2)&lt;=5,$A53='Recurring Schedule'!$F$38))),33,""))))</f>
        <v/>
      </c>
      <c r="AI53">
        <f>IF('Recurring Schedule'!$C$39="","",IF('Recurring Schedule'!$F$39="","",IF(OR($A53&lt;'Recurring Schedule'!$F$39,$A53&gt;'Recurring Schedule'!$P$39),"",IF(IF('Recurring Schedule'!$N$39&gt;0,MOD($A53-'Recurring Schedule'!$F$39,'Recurring Schedule'!$N$39)=0,IF('Recurring Schedule'!$O$39&gt;0,AND(DAY($A53)=MIN(DAY('Recurring Schedule'!$F$39),DAY(EOMONTH($A53,0))),MOD((YEAR($A53)-YEAR('Recurring Schedule'!$F$39))*12+MONTH($A53)-MONTH('Recurring Schedule'!$F$39),'Recurring Schedule'!$O$39)=0),IF('Recurring Schedule'!$E$39="Weekdays",WEEKDAY($A53,2)&lt;=5,$A53='Recurring Schedule'!$F$39))),34,""))))</f>
        <v/>
      </c>
      <c r="AJ53">
        <f>IF('Recurring Schedule'!$C$40="","",IF('Recurring Schedule'!$F$40="","",IF(OR($A53&lt;'Recurring Schedule'!$F$40,$A53&gt;'Recurring Schedule'!$P$40),"",IF(IF('Recurring Schedule'!$N$40&gt;0,MOD($A53-'Recurring Schedule'!$F$40,'Recurring Schedule'!$N$40)=0,IF('Recurring Schedule'!$O$40&gt;0,AND(DAY($A53)=MIN(DAY('Recurring Schedule'!$F$40),DAY(EOMONTH($A53,0))),MOD((YEAR($A53)-YEAR('Recurring Schedule'!$F$40))*12+MONTH($A53)-MONTH('Recurring Schedule'!$F$40),'Recurring Schedule'!$O$40)=0),IF('Recurring Schedule'!$E$40="Weekdays",WEEKDAY($A53,2)&lt;=5,$A53='Recurring Schedule'!$F$40))),35,""))))</f>
        <v/>
      </c>
      <c r="AK53">
        <f>IF('Recurring Schedule'!$C$41="","",IF('Recurring Schedule'!$F$41="","",IF(OR($A53&lt;'Recurring Schedule'!$F$41,$A53&gt;'Recurring Schedule'!$P$41),"",IF(IF('Recurring Schedule'!$N$41&gt;0,MOD($A53-'Recurring Schedule'!$F$41,'Recurring Schedule'!$N$41)=0,IF('Recurring Schedule'!$O$41&gt;0,AND(DAY($A53)=MIN(DAY('Recurring Schedule'!$F$41),DAY(EOMONTH($A53,0))),MOD((YEAR($A53)-YEAR('Recurring Schedule'!$F$41))*12+MONTH($A53)-MONTH('Recurring Schedule'!$F$41),'Recurring Schedule'!$O$41)=0),IF('Recurring Schedule'!$E$41="Weekdays",WEEKDAY($A53,2)&lt;=5,$A53='Recurring Schedule'!$F$41))),36,""))))</f>
        <v/>
      </c>
      <c r="AL53">
        <f>IF('Recurring Schedule'!$C$42="","",IF('Recurring Schedule'!$F$42="","",IF(OR($A53&lt;'Recurring Schedule'!$F$42,$A53&gt;'Recurring Schedule'!$P$42),"",IF(IF('Recurring Schedule'!$N$42&gt;0,MOD($A53-'Recurring Schedule'!$F$42,'Recurring Schedule'!$N$42)=0,IF('Recurring Schedule'!$O$42&gt;0,AND(DAY($A53)=MIN(DAY('Recurring Schedule'!$F$42),DAY(EOMONTH($A53,0))),MOD((YEAR($A53)-YEAR('Recurring Schedule'!$F$42))*12+MONTH($A53)-MONTH('Recurring Schedule'!$F$42),'Recurring Schedule'!$O$42)=0),IF('Recurring Schedule'!$E$42="Weekdays",WEEKDAY($A53,2)&lt;=5,$A53='Recurring Schedule'!$F$42))),37,""))))</f>
        <v/>
      </c>
      <c r="AM53">
        <f>IF('Recurring Schedule'!$C$43="","",IF('Recurring Schedule'!$F$43="","",IF(OR($A53&lt;'Recurring Schedule'!$F$43,$A53&gt;'Recurring Schedule'!$P$43),"",IF(IF('Recurring Schedule'!$N$43&gt;0,MOD($A53-'Recurring Schedule'!$F$43,'Recurring Schedule'!$N$43)=0,IF('Recurring Schedule'!$O$43&gt;0,AND(DAY($A53)=MIN(DAY('Recurring Schedule'!$F$43),DAY(EOMONTH($A53,0))),MOD((YEAR($A53)-YEAR('Recurring Schedule'!$F$43))*12+MONTH($A53)-MONTH('Recurring Schedule'!$F$43),'Recurring Schedule'!$O$43)=0),IF('Recurring Schedule'!$E$43="Weekdays",WEEKDAY($A53,2)&lt;=5,$A53='Recurring Schedule'!$F$43))),38,""))))</f>
        <v/>
      </c>
      <c r="AN53">
        <f>IF('Recurring Schedule'!$C$44="","",IF('Recurring Schedule'!$F$44="","",IF(OR($A53&lt;'Recurring Schedule'!$F$44,$A53&gt;'Recurring Schedule'!$P$44),"",IF(IF('Recurring Schedule'!$N$44&gt;0,MOD($A53-'Recurring Schedule'!$F$44,'Recurring Schedule'!$N$44)=0,IF('Recurring Schedule'!$O$44&gt;0,AND(DAY($A53)=MIN(DAY('Recurring Schedule'!$F$44),DAY(EOMONTH($A53,0))),MOD((YEAR($A53)-YEAR('Recurring Schedule'!$F$44))*12+MONTH($A53)-MONTH('Recurring Schedule'!$F$44),'Recurring Schedule'!$O$44)=0),IF('Recurring Schedule'!$E$44="Weekdays",WEEKDAY($A53,2)&lt;=5,$A53='Recurring Schedule'!$F$44))),39,""))))</f>
        <v/>
      </c>
      <c r="AO53">
        <f>IF('Recurring Schedule'!$C$45="","",IF('Recurring Schedule'!$F$45="","",IF(OR($A53&lt;'Recurring Schedule'!$F$45,$A53&gt;'Recurring Schedule'!$P$45),"",IF(IF('Recurring Schedule'!$N$45&gt;0,MOD($A53-'Recurring Schedule'!$F$45,'Recurring Schedule'!$N$45)=0,IF('Recurring Schedule'!$O$45&gt;0,AND(DAY($A53)=MIN(DAY('Recurring Schedule'!$F$45),DAY(EOMONTH($A53,0))),MOD((YEAR($A53)-YEAR('Recurring Schedule'!$F$45))*12+MONTH($A53)-MONTH('Recurring Schedule'!$F$45),'Recurring Schedule'!$O$45)=0),IF('Recurring Schedule'!$E$45="Weekdays",WEEKDAY($A53,2)&lt;=5,$A53='Recurring Schedule'!$F$45))),40,""))))</f>
        <v/>
      </c>
      <c r="AP53">
        <f>COUNT(B53:AO53)</f>
        <v/>
      </c>
      <c r="AQ53">
        <f>AQ52+AP52</f>
        <v/>
      </c>
      <c r="AS53" t="inlineStr">
        <is>
          <t>R</t>
        </is>
      </c>
      <c r="AT53" t="n">
        <v>57</v>
      </c>
      <c r="AU53">
        <f>'Recurring Log'!C57&amp;""</f>
        <v/>
      </c>
      <c r="AV53">
        <f>'Recurring Log'!D57&amp;""</f>
        <v/>
      </c>
      <c r="AW53">
        <f>IF('Recurring Log'!E57="","",'Recurring Log'!E57)</f>
        <v/>
      </c>
      <c r="AX53">
        <f>IF('Recurring Log'!G57="","",'Recurring Log'!G57)</f>
        <v/>
      </c>
      <c r="AY53">
        <f>IF('Recurring Log'!H57="","",'Recurring Log'!H57)</f>
        <v/>
      </c>
      <c r="AZ53">
        <f>IF(AU53="","",IF('Recurring Log'!J57="","Not Started",'Recurring Log'!J57))</f>
        <v/>
      </c>
      <c r="BA53">
        <f>'Recurring Log'!L57&amp;""</f>
        <v/>
      </c>
      <c r="BB53">
        <f>'Recurring Log'!M57&amp;""</f>
        <v/>
      </c>
      <c r="BC53">
        <f>'Recurring Log'!N57&amp;""</f>
        <v/>
      </c>
      <c r="BD53">
        <f>'Recurring Log'!O57&amp;""</f>
        <v/>
      </c>
      <c r="BE53">
        <f>IF('Recurring Log'!K57="","",'Recurring Log'!K57)</f>
        <v/>
      </c>
      <c r="BF53">
        <f>IFERROR(MATCH(BA53,Setup!$L$6:$L$9,0),5)</f>
        <v/>
      </c>
      <c r="BG53">
        <f>IF(OR(AZ53="Done",AZ53="Cancelled"),1,0)</f>
        <v/>
      </c>
      <c r="BH53">
        <f>IF(AND(AU53&lt;&gt;"",ISNUMBER(AW53)),1,0)</f>
        <v/>
      </c>
      <c r="BI53">
        <f>IF(BH53=0,0,IF(AND(AW53&gt;='Tasks Filter'!$F$3,AW53&lt;='Tasks Filter'!$F$4,OR('Tasks Filter'!$I$3="",ISNUMBER(SEARCH('Tasks Filter'!$I$3,AU53))),OR('Tasks Filter'!$I$4="",BF53=IFERROR(MATCH('Tasks Filter'!$I$4,Setup!$L$6:$L$9,0),0)),OR('Tasks Filter'!$I$5="Both",AND('Tasks Filter'!$I$5="Yes",BB53="✓"),AND('Tasks Filter'!$I$5="No",BB53&lt;&gt;"✓")),OR('Tasks Filter'!$L$3="",AV53='Tasks Filter'!$L$3),OR('Tasks Filter'!$L$4="",AZ53='Tasks Filter'!$L$4),OR('Tasks Filter'!$L$5="",BC53='Tasks Filter'!$L$5),OR('Tasks Filter'!$O$3="",BD53='Tasks Filter'!$O$3),OR('Tasks Filter'!$O$4="Yes",BG53=0)),1,0))</f>
        <v/>
      </c>
      <c r="BJ53">
        <f>IF(BH53=0,"",IF('Tasks Filter'!$F$6="Descending",-1,1)*CHOOSE(MATCH('Tasks Filter'!$F$5,Lists!$G$2:$G$6,0),AW53,BF53,IFERROR(MATCH(AV53,Setup!$F$6:$F$15,0),99),IFERROR(MATCH(BC53,Setup!$H$6:$H$15,0),99),IFERROR(MATCH(AZ53,Setup!$J$6:$J$11,0),99))*1E+9+(AW53-40000)*10000+52)</f>
        <v/>
      </c>
      <c r="BK53">
        <f>IF(BI53=1,BJ53,"")</f>
        <v/>
      </c>
      <c r="BL53">
        <f>IF(AND(BH53=1,BG53=0,N(AW53)&lt;Setup!$D$7),(AW53-40000)*10000+52,"")</f>
        <v/>
      </c>
      <c r="BM53">
        <f>IF(AND(BH53=1,AZ53&lt;&gt;"Cancelled",N(AW53)&gt;=Dashboard!$AB$3,N(AW53)&lt;=Dashboard!$AB$3+6),(AW53-40000)*100000+BF53*10000+52,"")</f>
        <v/>
      </c>
      <c r="BN53">
        <f>IF(AND(BH53=1,AZ53&lt;&gt;"Cancelled"),BF53*10000+52,"")</f>
        <v/>
      </c>
    </row>
    <row r="54">
      <c r="A54">
        <f>Setup!$D$5+52</f>
        <v/>
      </c>
      <c r="B54">
        <f>IF('Recurring Schedule'!$C$6="","",IF('Recurring Schedule'!$F$6="","",IF(OR($A54&lt;'Recurring Schedule'!$F$6,$A54&gt;'Recurring Schedule'!$P$6),"",IF(IF('Recurring Schedule'!$N$6&gt;0,MOD($A54-'Recurring Schedule'!$F$6,'Recurring Schedule'!$N$6)=0,IF('Recurring Schedule'!$O$6&gt;0,AND(DAY($A54)=MIN(DAY('Recurring Schedule'!$F$6),DAY(EOMONTH($A54,0))),MOD((YEAR($A54)-YEAR('Recurring Schedule'!$F$6))*12+MONTH($A54)-MONTH('Recurring Schedule'!$F$6),'Recurring Schedule'!$O$6)=0),IF('Recurring Schedule'!$E$6="Weekdays",WEEKDAY($A54,2)&lt;=5,$A54='Recurring Schedule'!$F$6))),1,""))))</f>
        <v/>
      </c>
      <c r="C54">
        <f>IF('Recurring Schedule'!$C$7="","",IF('Recurring Schedule'!$F$7="","",IF(OR($A54&lt;'Recurring Schedule'!$F$7,$A54&gt;'Recurring Schedule'!$P$7),"",IF(IF('Recurring Schedule'!$N$7&gt;0,MOD($A54-'Recurring Schedule'!$F$7,'Recurring Schedule'!$N$7)=0,IF('Recurring Schedule'!$O$7&gt;0,AND(DAY($A54)=MIN(DAY('Recurring Schedule'!$F$7),DAY(EOMONTH($A54,0))),MOD((YEAR($A54)-YEAR('Recurring Schedule'!$F$7))*12+MONTH($A54)-MONTH('Recurring Schedule'!$F$7),'Recurring Schedule'!$O$7)=0),IF('Recurring Schedule'!$E$7="Weekdays",WEEKDAY($A54,2)&lt;=5,$A54='Recurring Schedule'!$F$7))),2,""))))</f>
        <v/>
      </c>
      <c r="D54">
        <f>IF('Recurring Schedule'!$C$8="","",IF('Recurring Schedule'!$F$8="","",IF(OR($A54&lt;'Recurring Schedule'!$F$8,$A54&gt;'Recurring Schedule'!$P$8),"",IF(IF('Recurring Schedule'!$N$8&gt;0,MOD($A54-'Recurring Schedule'!$F$8,'Recurring Schedule'!$N$8)=0,IF('Recurring Schedule'!$O$8&gt;0,AND(DAY($A54)=MIN(DAY('Recurring Schedule'!$F$8),DAY(EOMONTH($A54,0))),MOD((YEAR($A54)-YEAR('Recurring Schedule'!$F$8))*12+MONTH($A54)-MONTH('Recurring Schedule'!$F$8),'Recurring Schedule'!$O$8)=0),IF('Recurring Schedule'!$E$8="Weekdays",WEEKDAY($A54,2)&lt;=5,$A54='Recurring Schedule'!$F$8))),3,""))))</f>
        <v/>
      </c>
      <c r="E54">
        <f>IF('Recurring Schedule'!$C$9="","",IF('Recurring Schedule'!$F$9="","",IF(OR($A54&lt;'Recurring Schedule'!$F$9,$A54&gt;'Recurring Schedule'!$P$9),"",IF(IF('Recurring Schedule'!$N$9&gt;0,MOD($A54-'Recurring Schedule'!$F$9,'Recurring Schedule'!$N$9)=0,IF('Recurring Schedule'!$O$9&gt;0,AND(DAY($A54)=MIN(DAY('Recurring Schedule'!$F$9),DAY(EOMONTH($A54,0))),MOD((YEAR($A54)-YEAR('Recurring Schedule'!$F$9))*12+MONTH($A54)-MONTH('Recurring Schedule'!$F$9),'Recurring Schedule'!$O$9)=0),IF('Recurring Schedule'!$E$9="Weekdays",WEEKDAY($A54,2)&lt;=5,$A54='Recurring Schedule'!$F$9))),4,""))))</f>
        <v/>
      </c>
      <c r="F54">
        <f>IF('Recurring Schedule'!$C$10="","",IF('Recurring Schedule'!$F$10="","",IF(OR($A54&lt;'Recurring Schedule'!$F$10,$A54&gt;'Recurring Schedule'!$P$10),"",IF(IF('Recurring Schedule'!$N$10&gt;0,MOD($A54-'Recurring Schedule'!$F$10,'Recurring Schedule'!$N$10)=0,IF('Recurring Schedule'!$O$10&gt;0,AND(DAY($A54)=MIN(DAY('Recurring Schedule'!$F$10),DAY(EOMONTH($A54,0))),MOD((YEAR($A54)-YEAR('Recurring Schedule'!$F$10))*12+MONTH($A54)-MONTH('Recurring Schedule'!$F$10),'Recurring Schedule'!$O$10)=0),IF('Recurring Schedule'!$E$10="Weekdays",WEEKDAY($A54,2)&lt;=5,$A54='Recurring Schedule'!$F$10))),5,""))))</f>
        <v/>
      </c>
      <c r="G54">
        <f>IF('Recurring Schedule'!$C$11="","",IF('Recurring Schedule'!$F$11="","",IF(OR($A54&lt;'Recurring Schedule'!$F$11,$A54&gt;'Recurring Schedule'!$P$11),"",IF(IF('Recurring Schedule'!$N$11&gt;0,MOD($A54-'Recurring Schedule'!$F$11,'Recurring Schedule'!$N$11)=0,IF('Recurring Schedule'!$O$11&gt;0,AND(DAY($A54)=MIN(DAY('Recurring Schedule'!$F$11),DAY(EOMONTH($A54,0))),MOD((YEAR($A54)-YEAR('Recurring Schedule'!$F$11))*12+MONTH($A54)-MONTH('Recurring Schedule'!$F$11),'Recurring Schedule'!$O$11)=0),IF('Recurring Schedule'!$E$11="Weekdays",WEEKDAY($A54,2)&lt;=5,$A54='Recurring Schedule'!$F$11))),6,""))))</f>
        <v/>
      </c>
      <c r="H54">
        <f>IF('Recurring Schedule'!$C$12="","",IF('Recurring Schedule'!$F$12="","",IF(OR($A54&lt;'Recurring Schedule'!$F$12,$A54&gt;'Recurring Schedule'!$P$12),"",IF(IF('Recurring Schedule'!$N$12&gt;0,MOD($A54-'Recurring Schedule'!$F$12,'Recurring Schedule'!$N$12)=0,IF('Recurring Schedule'!$O$12&gt;0,AND(DAY($A54)=MIN(DAY('Recurring Schedule'!$F$12),DAY(EOMONTH($A54,0))),MOD((YEAR($A54)-YEAR('Recurring Schedule'!$F$12))*12+MONTH($A54)-MONTH('Recurring Schedule'!$F$12),'Recurring Schedule'!$O$12)=0),IF('Recurring Schedule'!$E$12="Weekdays",WEEKDAY($A54,2)&lt;=5,$A54='Recurring Schedule'!$F$12))),7,""))))</f>
        <v/>
      </c>
      <c r="I54">
        <f>IF('Recurring Schedule'!$C$13="","",IF('Recurring Schedule'!$F$13="","",IF(OR($A54&lt;'Recurring Schedule'!$F$13,$A54&gt;'Recurring Schedule'!$P$13),"",IF(IF('Recurring Schedule'!$N$13&gt;0,MOD($A54-'Recurring Schedule'!$F$13,'Recurring Schedule'!$N$13)=0,IF('Recurring Schedule'!$O$13&gt;0,AND(DAY($A54)=MIN(DAY('Recurring Schedule'!$F$13),DAY(EOMONTH($A54,0))),MOD((YEAR($A54)-YEAR('Recurring Schedule'!$F$13))*12+MONTH($A54)-MONTH('Recurring Schedule'!$F$13),'Recurring Schedule'!$O$13)=0),IF('Recurring Schedule'!$E$13="Weekdays",WEEKDAY($A54,2)&lt;=5,$A54='Recurring Schedule'!$F$13))),8,""))))</f>
        <v/>
      </c>
      <c r="J54">
        <f>IF('Recurring Schedule'!$C$14="","",IF('Recurring Schedule'!$F$14="","",IF(OR($A54&lt;'Recurring Schedule'!$F$14,$A54&gt;'Recurring Schedule'!$P$14),"",IF(IF('Recurring Schedule'!$N$14&gt;0,MOD($A54-'Recurring Schedule'!$F$14,'Recurring Schedule'!$N$14)=0,IF('Recurring Schedule'!$O$14&gt;0,AND(DAY($A54)=MIN(DAY('Recurring Schedule'!$F$14),DAY(EOMONTH($A54,0))),MOD((YEAR($A54)-YEAR('Recurring Schedule'!$F$14))*12+MONTH($A54)-MONTH('Recurring Schedule'!$F$14),'Recurring Schedule'!$O$14)=0),IF('Recurring Schedule'!$E$14="Weekdays",WEEKDAY($A54,2)&lt;=5,$A54='Recurring Schedule'!$F$14))),9,""))))</f>
        <v/>
      </c>
      <c r="K54">
        <f>IF('Recurring Schedule'!$C$15="","",IF('Recurring Schedule'!$F$15="","",IF(OR($A54&lt;'Recurring Schedule'!$F$15,$A54&gt;'Recurring Schedule'!$P$15),"",IF(IF('Recurring Schedule'!$N$15&gt;0,MOD($A54-'Recurring Schedule'!$F$15,'Recurring Schedule'!$N$15)=0,IF('Recurring Schedule'!$O$15&gt;0,AND(DAY($A54)=MIN(DAY('Recurring Schedule'!$F$15),DAY(EOMONTH($A54,0))),MOD((YEAR($A54)-YEAR('Recurring Schedule'!$F$15))*12+MONTH($A54)-MONTH('Recurring Schedule'!$F$15),'Recurring Schedule'!$O$15)=0),IF('Recurring Schedule'!$E$15="Weekdays",WEEKDAY($A54,2)&lt;=5,$A54='Recurring Schedule'!$F$15))),10,""))))</f>
        <v/>
      </c>
      <c r="L54">
        <f>IF('Recurring Schedule'!$C$16="","",IF('Recurring Schedule'!$F$16="","",IF(OR($A54&lt;'Recurring Schedule'!$F$16,$A54&gt;'Recurring Schedule'!$P$16),"",IF(IF('Recurring Schedule'!$N$16&gt;0,MOD($A54-'Recurring Schedule'!$F$16,'Recurring Schedule'!$N$16)=0,IF('Recurring Schedule'!$O$16&gt;0,AND(DAY($A54)=MIN(DAY('Recurring Schedule'!$F$16),DAY(EOMONTH($A54,0))),MOD((YEAR($A54)-YEAR('Recurring Schedule'!$F$16))*12+MONTH($A54)-MONTH('Recurring Schedule'!$F$16),'Recurring Schedule'!$O$16)=0),IF('Recurring Schedule'!$E$16="Weekdays",WEEKDAY($A54,2)&lt;=5,$A54='Recurring Schedule'!$F$16))),11,""))))</f>
        <v/>
      </c>
      <c r="M54">
        <f>IF('Recurring Schedule'!$C$17="","",IF('Recurring Schedule'!$F$17="","",IF(OR($A54&lt;'Recurring Schedule'!$F$17,$A54&gt;'Recurring Schedule'!$P$17),"",IF(IF('Recurring Schedule'!$N$17&gt;0,MOD($A54-'Recurring Schedule'!$F$17,'Recurring Schedule'!$N$17)=0,IF('Recurring Schedule'!$O$17&gt;0,AND(DAY($A54)=MIN(DAY('Recurring Schedule'!$F$17),DAY(EOMONTH($A54,0))),MOD((YEAR($A54)-YEAR('Recurring Schedule'!$F$17))*12+MONTH($A54)-MONTH('Recurring Schedule'!$F$17),'Recurring Schedule'!$O$17)=0),IF('Recurring Schedule'!$E$17="Weekdays",WEEKDAY($A54,2)&lt;=5,$A54='Recurring Schedule'!$F$17))),12,""))))</f>
        <v/>
      </c>
      <c r="N54">
        <f>IF('Recurring Schedule'!$C$18="","",IF('Recurring Schedule'!$F$18="","",IF(OR($A54&lt;'Recurring Schedule'!$F$18,$A54&gt;'Recurring Schedule'!$P$18),"",IF(IF('Recurring Schedule'!$N$18&gt;0,MOD($A54-'Recurring Schedule'!$F$18,'Recurring Schedule'!$N$18)=0,IF('Recurring Schedule'!$O$18&gt;0,AND(DAY($A54)=MIN(DAY('Recurring Schedule'!$F$18),DAY(EOMONTH($A54,0))),MOD((YEAR($A54)-YEAR('Recurring Schedule'!$F$18))*12+MONTH($A54)-MONTH('Recurring Schedule'!$F$18),'Recurring Schedule'!$O$18)=0),IF('Recurring Schedule'!$E$18="Weekdays",WEEKDAY($A54,2)&lt;=5,$A54='Recurring Schedule'!$F$18))),13,""))))</f>
        <v/>
      </c>
      <c r="O54">
        <f>IF('Recurring Schedule'!$C$19="","",IF('Recurring Schedule'!$F$19="","",IF(OR($A54&lt;'Recurring Schedule'!$F$19,$A54&gt;'Recurring Schedule'!$P$19),"",IF(IF('Recurring Schedule'!$N$19&gt;0,MOD($A54-'Recurring Schedule'!$F$19,'Recurring Schedule'!$N$19)=0,IF('Recurring Schedule'!$O$19&gt;0,AND(DAY($A54)=MIN(DAY('Recurring Schedule'!$F$19),DAY(EOMONTH($A54,0))),MOD((YEAR($A54)-YEAR('Recurring Schedule'!$F$19))*12+MONTH($A54)-MONTH('Recurring Schedule'!$F$19),'Recurring Schedule'!$O$19)=0),IF('Recurring Schedule'!$E$19="Weekdays",WEEKDAY($A54,2)&lt;=5,$A54='Recurring Schedule'!$F$19))),14,""))))</f>
        <v/>
      </c>
      <c r="P54">
        <f>IF('Recurring Schedule'!$C$20="","",IF('Recurring Schedule'!$F$20="","",IF(OR($A54&lt;'Recurring Schedule'!$F$20,$A54&gt;'Recurring Schedule'!$P$20),"",IF(IF('Recurring Schedule'!$N$20&gt;0,MOD($A54-'Recurring Schedule'!$F$20,'Recurring Schedule'!$N$20)=0,IF('Recurring Schedule'!$O$20&gt;0,AND(DAY($A54)=MIN(DAY('Recurring Schedule'!$F$20),DAY(EOMONTH($A54,0))),MOD((YEAR($A54)-YEAR('Recurring Schedule'!$F$20))*12+MONTH($A54)-MONTH('Recurring Schedule'!$F$20),'Recurring Schedule'!$O$20)=0),IF('Recurring Schedule'!$E$20="Weekdays",WEEKDAY($A54,2)&lt;=5,$A54='Recurring Schedule'!$F$20))),15,""))))</f>
        <v/>
      </c>
      <c r="Q54">
        <f>IF('Recurring Schedule'!$C$21="","",IF('Recurring Schedule'!$F$21="","",IF(OR($A54&lt;'Recurring Schedule'!$F$21,$A54&gt;'Recurring Schedule'!$P$21),"",IF(IF('Recurring Schedule'!$N$21&gt;0,MOD($A54-'Recurring Schedule'!$F$21,'Recurring Schedule'!$N$21)=0,IF('Recurring Schedule'!$O$21&gt;0,AND(DAY($A54)=MIN(DAY('Recurring Schedule'!$F$21),DAY(EOMONTH($A54,0))),MOD((YEAR($A54)-YEAR('Recurring Schedule'!$F$21))*12+MONTH($A54)-MONTH('Recurring Schedule'!$F$21),'Recurring Schedule'!$O$21)=0),IF('Recurring Schedule'!$E$21="Weekdays",WEEKDAY($A54,2)&lt;=5,$A54='Recurring Schedule'!$F$21))),16,""))))</f>
        <v/>
      </c>
      <c r="R54">
        <f>IF('Recurring Schedule'!$C$22="","",IF('Recurring Schedule'!$F$22="","",IF(OR($A54&lt;'Recurring Schedule'!$F$22,$A54&gt;'Recurring Schedule'!$P$22),"",IF(IF('Recurring Schedule'!$N$22&gt;0,MOD($A54-'Recurring Schedule'!$F$22,'Recurring Schedule'!$N$22)=0,IF('Recurring Schedule'!$O$22&gt;0,AND(DAY($A54)=MIN(DAY('Recurring Schedule'!$F$22),DAY(EOMONTH($A54,0))),MOD((YEAR($A54)-YEAR('Recurring Schedule'!$F$22))*12+MONTH($A54)-MONTH('Recurring Schedule'!$F$22),'Recurring Schedule'!$O$22)=0),IF('Recurring Schedule'!$E$22="Weekdays",WEEKDAY($A54,2)&lt;=5,$A54='Recurring Schedule'!$F$22))),17,""))))</f>
        <v/>
      </c>
      <c r="S54">
        <f>IF('Recurring Schedule'!$C$23="","",IF('Recurring Schedule'!$F$23="","",IF(OR($A54&lt;'Recurring Schedule'!$F$23,$A54&gt;'Recurring Schedule'!$P$23),"",IF(IF('Recurring Schedule'!$N$23&gt;0,MOD($A54-'Recurring Schedule'!$F$23,'Recurring Schedule'!$N$23)=0,IF('Recurring Schedule'!$O$23&gt;0,AND(DAY($A54)=MIN(DAY('Recurring Schedule'!$F$23),DAY(EOMONTH($A54,0))),MOD((YEAR($A54)-YEAR('Recurring Schedule'!$F$23))*12+MONTH($A54)-MONTH('Recurring Schedule'!$F$23),'Recurring Schedule'!$O$23)=0),IF('Recurring Schedule'!$E$23="Weekdays",WEEKDAY($A54,2)&lt;=5,$A54='Recurring Schedule'!$F$23))),18,""))))</f>
        <v/>
      </c>
      <c r="T54">
        <f>IF('Recurring Schedule'!$C$24="","",IF('Recurring Schedule'!$F$24="","",IF(OR($A54&lt;'Recurring Schedule'!$F$24,$A54&gt;'Recurring Schedule'!$P$24),"",IF(IF('Recurring Schedule'!$N$24&gt;0,MOD($A54-'Recurring Schedule'!$F$24,'Recurring Schedule'!$N$24)=0,IF('Recurring Schedule'!$O$24&gt;0,AND(DAY($A54)=MIN(DAY('Recurring Schedule'!$F$24),DAY(EOMONTH($A54,0))),MOD((YEAR($A54)-YEAR('Recurring Schedule'!$F$24))*12+MONTH($A54)-MONTH('Recurring Schedule'!$F$24),'Recurring Schedule'!$O$24)=0),IF('Recurring Schedule'!$E$24="Weekdays",WEEKDAY($A54,2)&lt;=5,$A54='Recurring Schedule'!$F$24))),19,""))))</f>
        <v/>
      </c>
      <c r="U54">
        <f>IF('Recurring Schedule'!$C$25="","",IF('Recurring Schedule'!$F$25="","",IF(OR($A54&lt;'Recurring Schedule'!$F$25,$A54&gt;'Recurring Schedule'!$P$25),"",IF(IF('Recurring Schedule'!$N$25&gt;0,MOD($A54-'Recurring Schedule'!$F$25,'Recurring Schedule'!$N$25)=0,IF('Recurring Schedule'!$O$25&gt;0,AND(DAY($A54)=MIN(DAY('Recurring Schedule'!$F$25),DAY(EOMONTH($A54,0))),MOD((YEAR($A54)-YEAR('Recurring Schedule'!$F$25))*12+MONTH($A54)-MONTH('Recurring Schedule'!$F$25),'Recurring Schedule'!$O$25)=0),IF('Recurring Schedule'!$E$25="Weekdays",WEEKDAY($A54,2)&lt;=5,$A54='Recurring Schedule'!$F$25))),20,""))))</f>
        <v/>
      </c>
      <c r="V54">
        <f>IF('Recurring Schedule'!$C$26="","",IF('Recurring Schedule'!$F$26="","",IF(OR($A54&lt;'Recurring Schedule'!$F$26,$A54&gt;'Recurring Schedule'!$P$26),"",IF(IF('Recurring Schedule'!$N$26&gt;0,MOD($A54-'Recurring Schedule'!$F$26,'Recurring Schedule'!$N$26)=0,IF('Recurring Schedule'!$O$26&gt;0,AND(DAY($A54)=MIN(DAY('Recurring Schedule'!$F$26),DAY(EOMONTH($A54,0))),MOD((YEAR($A54)-YEAR('Recurring Schedule'!$F$26))*12+MONTH($A54)-MONTH('Recurring Schedule'!$F$26),'Recurring Schedule'!$O$26)=0),IF('Recurring Schedule'!$E$26="Weekdays",WEEKDAY($A54,2)&lt;=5,$A54='Recurring Schedule'!$F$26))),21,""))))</f>
        <v/>
      </c>
      <c r="W54">
        <f>IF('Recurring Schedule'!$C$27="","",IF('Recurring Schedule'!$F$27="","",IF(OR($A54&lt;'Recurring Schedule'!$F$27,$A54&gt;'Recurring Schedule'!$P$27),"",IF(IF('Recurring Schedule'!$N$27&gt;0,MOD($A54-'Recurring Schedule'!$F$27,'Recurring Schedule'!$N$27)=0,IF('Recurring Schedule'!$O$27&gt;0,AND(DAY($A54)=MIN(DAY('Recurring Schedule'!$F$27),DAY(EOMONTH($A54,0))),MOD((YEAR($A54)-YEAR('Recurring Schedule'!$F$27))*12+MONTH($A54)-MONTH('Recurring Schedule'!$F$27),'Recurring Schedule'!$O$27)=0),IF('Recurring Schedule'!$E$27="Weekdays",WEEKDAY($A54,2)&lt;=5,$A54='Recurring Schedule'!$F$27))),22,""))))</f>
        <v/>
      </c>
      <c r="X54">
        <f>IF('Recurring Schedule'!$C$28="","",IF('Recurring Schedule'!$F$28="","",IF(OR($A54&lt;'Recurring Schedule'!$F$28,$A54&gt;'Recurring Schedule'!$P$28),"",IF(IF('Recurring Schedule'!$N$28&gt;0,MOD($A54-'Recurring Schedule'!$F$28,'Recurring Schedule'!$N$28)=0,IF('Recurring Schedule'!$O$28&gt;0,AND(DAY($A54)=MIN(DAY('Recurring Schedule'!$F$28),DAY(EOMONTH($A54,0))),MOD((YEAR($A54)-YEAR('Recurring Schedule'!$F$28))*12+MONTH($A54)-MONTH('Recurring Schedule'!$F$28),'Recurring Schedule'!$O$28)=0),IF('Recurring Schedule'!$E$28="Weekdays",WEEKDAY($A54,2)&lt;=5,$A54='Recurring Schedule'!$F$28))),23,""))))</f>
        <v/>
      </c>
      <c r="Y54">
        <f>IF('Recurring Schedule'!$C$29="","",IF('Recurring Schedule'!$F$29="","",IF(OR($A54&lt;'Recurring Schedule'!$F$29,$A54&gt;'Recurring Schedule'!$P$29),"",IF(IF('Recurring Schedule'!$N$29&gt;0,MOD($A54-'Recurring Schedule'!$F$29,'Recurring Schedule'!$N$29)=0,IF('Recurring Schedule'!$O$29&gt;0,AND(DAY($A54)=MIN(DAY('Recurring Schedule'!$F$29),DAY(EOMONTH($A54,0))),MOD((YEAR($A54)-YEAR('Recurring Schedule'!$F$29))*12+MONTH($A54)-MONTH('Recurring Schedule'!$F$29),'Recurring Schedule'!$O$29)=0),IF('Recurring Schedule'!$E$29="Weekdays",WEEKDAY($A54,2)&lt;=5,$A54='Recurring Schedule'!$F$29))),24,""))))</f>
        <v/>
      </c>
      <c r="Z54">
        <f>IF('Recurring Schedule'!$C$30="","",IF('Recurring Schedule'!$F$30="","",IF(OR($A54&lt;'Recurring Schedule'!$F$30,$A54&gt;'Recurring Schedule'!$P$30),"",IF(IF('Recurring Schedule'!$N$30&gt;0,MOD($A54-'Recurring Schedule'!$F$30,'Recurring Schedule'!$N$30)=0,IF('Recurring Schedule'!$O$30&gt;0,AND(DAY($A54)=MIN(DAY('Recurring Schedule'!$F$30),DAY(EOMONTH($A54,0))),MOD((YEAR($A54)-YEAR('Recurring Schedule'!$F$30))*12+MONTH($A54)-MONTH('Recurring Schedule'!$F$30),'Recurring Schedule'!$O$30)=0),IF('Recurring Schedule'!$E$30="Weekdays",WEEKDAY($A54,2)&lt;=5,$A54='Recurring Schedule'!$F$30))),25,""))))</f>
        <v/>
      </c>
      <c r="AA54">
        <f>IF('Recurring Schedule'!$C$31="","",IF('Recurring Schedule'!$F$31="","",IF(OR($A54&lt;'Recurring Schedule'!$F$31,$A54&gt;'Recurring Schedule'!$P$31),"",IF(IF('Recurring Schedule'!$N$31&gt;0,MOD($A54-'Recurring Schedule'!$F$31,'Recurring Schedule'!$N$31)=0,IF('Recurring Schedule'!$O$31&gt;0,AND(DAY($A54)=MIN(DAY('Recurring Schedule'!$F$31),DAY(EOMONTH($A54,0))),MOD((YEAR($A54)-YEAR('Recurring Schedule'!$F$31))*12+MONTH($A54)-MONTH('Recurring Schedule'!$F$31),'Recurring Schedule'!$O$31)=0),IF('Recurring Schedule'!$E$31="Weekdays",WEEKDAY($A54,2)&lt;=5,$A54='Recurring Schedule'!$F$31))),26,""))))</f>
        <v/>
      </c>
      <c r="AB54">
        <f>IF('Recurring Schedule'!$C$32="","",IF('Recurring Schedule'!$F$32="","",IF(OR($A54&lt;'Recurring Schedule'!$F$32,$A54&gt;'Recurring Schedule'!$P$32),"",IF(IF('Recurring Schedule'!$N$32&gt;0,MOD($A54-'Recurring Schedule'!$F$32,'Recurring Schedule'!$N$32)=0,IF('Recurring Schedule'!$O$32&gt;0,AND(DAY($A54)=MIN(DAY('Recurring Schedule'!$F$32),DAY(EOMONTH($A54,0))),MOD((YEAR($A54)-YEAR('Recurring Schedule'!$F$32))*12+MONTH($A54)-MONTH('Recurring Schedule'!$F$32),'Recurring Schedule'!$O$32)=0),IF('Recurring Schedule'!$E$32="Weekdays",WEEKDAY($A54,2)&lt;=5,$A54='Recurring Schedule'!$F$32))),27,""))))</f>
        <v/>
      </c>
      <c r="AC54">
        <f>IF('Recurring Schedule'!$C$33="","",IF('Recurring Schedule'!$F$33="","",IF(OR($A54&lt;'Recurring Schedule'!$F$33,$A54&gt;'Recurring Schedule'!$P$33),"",IF(IF('Recurring Schedule'!$N$33&gt;0,MOD($A54-'Recurring Schedule'!$F$33,'Recurring Schedule'!$N$33)=0,IF('Recurring Schedule'!$O$33&gt;0,AND(DAY($A54)=MIN(DAY('Recurring Schedule'!$F$33),DAY(EOMONTH($A54,0))),MOD((YEAR($A54)-YEAR('Recurring Schedule'!$F$33))*12+MONTH($A54)-MONTH('Recurring Schedule'!$F$33),'Recurring Schedule'!$O$33)=0),IF('Recurring Schedule'!$E$33="Weekdays",WEEKDAY($A54,2)&lt;=5,$A54='Recurring Schedule'!$F$33))),28,""))))</f>
        <v/>
      </c>
      <c r="AD54">
        <f>IF('Recurring Schedule'!$C$34="","",IF('Recurring Schedule'!$F$34="","",IF(OR($A54&lt;'Recurring Schedule'!$F$34,$A54&gt;'Recurring Schedule'!$P$34),"",IF(IF('Recurring Schedule'!$N$34&gt;0,MOD($A54-'Recurring Schedule'!$F$34,'Recurring Schedule'!$N$34)=0,IF('Recurring Schedule'!$O$34&gt;0,AND(DAY($A54)=MIN(DAY('Recurring Schedule'!$F$34),DAY(EOMONTH($A54,0))),MOD((YEAR($A54)-YEAR('Recurring Schedule'!$F$34))*12+MONTH($A54)-MONTH('Recurring Schedule'!$F$34),'Recurring Schedule'!$O$34)=0),IF('Recurring Schedule'!$E$34="Weekdays",WEEKDAY($A54,2)&lt;=5,$A54='Recurring Schedule'!$F$34))),29,""))))</f>
        <v/>
      </c>
      <c r="AE54">
        <f>IF('Recurring Schedule'!$C$35="","",IF('Recurring Schedule'!$F$35="","",IF(OR($A54&lt;'Recurring Schedule'!$F$35,$A54&gt;'Recurring Schedule'!$P$35),"",IF(IF('Recurring Schedule'!$N$35&gt;0,MOD($A54-'Recurring Schedule'!$F$35,'Recurring Schedule'!$N$35)=0,IF('Recurring Schedule'!$O$35&gt;0,AND(DAY($A54)=MIN(DAY('Recurring Schedule'!$F$35),DAY(EOMONTH($A54,0))),MOD((YEAR($A54)-YEAR('Recurring Schedule'!$F$35))*12+MONTH($A54)-MONTH('Recurring Schedule'!$F$35),'Recurring Schedule'!$O$35)=0),IF('Recurring Schedule'!$E$35="Weekdays",WEEKDAY($A54,2)&lt;=5,$A54='Recurring Schedule'!$F$35))),30,""))))</f>
        <v/>
      </c>
      <c r="AF54">
        <f>IF('Recurring Schedule'!$C$36="","",IF('Recurring Schedule'!$F$36="","",IF(OR($A54&lt;'Recurring Schedule'!$F$36,$A54&gt;'Recurring Schedule'!$P$36),"",IF(IF('Recurring Schedule'!$N$36&gt;0,MOD($A54-'Recurring Schedule'!$F$36,'Recurring Schedule'!$N$36)=0,IF('Recurring Schedule'!$O$36&gt;0,AND(DAY($A54)=MIN(DAY('Recurring Schedule'!$F$36),DAY(EOMONTH($A54,0))),MOD((YEAR($A54)-YEAR('Recurring Schedule'!$F$36))*12+MONTH($A54)-MONTH('Recurring Schedule'!$F$36),'Recurring Schedule'!$O$36)=0),IF('Recurring Schedule'!$E$36="Weekdays",WEEKDAY($A54,2)&lt;=5,$A54='Recurring Schedule'!$F$36))),31,""))))</f>
        <v/>
      </c>
      <c r="AG54">
        <f>IF('Recurring Schedule'!$C$37="","",IF('Recurring Schedule'!$F$37="","",IF(OR($A54&lt;'Recurring Schedule'!$F$37,$A54&gt;'Recurring Schedule'!$P$37),"",IF(IF('Recurring Schedule'!$N$37&gt;0,MOD($A54-'Recurring Schedule'!$F$37,'Recurring Schedule'!$N$37)=0,IF('Recurring Schedule'!$O$37&gt;0,AND(DAY($A54)=MIN(DAY('Recurring Schedule'!$F$37),DAY(EOMONTH($A54,0))),MOD((YEAR($A54)-YEAR('Recurring Schedule'!$F$37))*12+MONTH($A54)-MONTH('Recurring Schedule'!$F$37),'Recurring Schedule'!$O$37)=0),IF('Recurring Schedule'!$E$37="Weekdays",WEEKDAY($A54,2)&lt;=5,$A54='Recurring Schedule'!$F$37))),32,""))))</f>
        <v/>
      </c>
      <c r="AH54">
        <f>IF('Recurring Schedule'!$C$38="","",IF('Recurring Schedule'!$F$38="","",IF(OR($A54&lt;'Recurring Schedule'!$F$38,$A54&gt;'Recurring Schedule'!$P$38),"",IF(IF('Recurring Schedule'!$N$38&gt;0,MOD($A54-'Recurring Schedule'!$F$38,'Recurring Schedule'!$N$38)=0,IF('Recurring Schedule'!$O$38&gt;0,AND(DAY($A54)=MIN(DAY('Recurring Schedule'!$F$38),DAY(EOMONTH($A54,0))),MOD((YEAR($A54)-YEAR('Recurring Schedule'!$F$38))*12+MONTH($A54)-MONTH('Recurring Schedule'!$F$38),'Recurring Schedule'!$O$38)=0),IF('Recurring Schedule'!$E$38="Weekdays",WEEKDAY($A54,2)&lt;=5,$A54='Recurring Schedule'!$F$38))),33,""))))</f>
        <v/>
      </c>
      <c r="AI54">
        <f>IF('Recurring Schedule'!$C$39="","",IF('Recurring Schedule'!$F$39="","",IF(OR($A54&lt;'Recurring Schedule'!$F$39,$A54&gt;'Recurring Schedule'!$P$39),"",IF(IF('Recurring Schedule'!$N$39&gt;0,MOD($A54-'Recurring Schedule'!$F$39,'Recurring Schedule'!$N$39)=0,IF('Recurring Schedule'!$O$39&gt;0,AND(DAY($A54)=MIN(DAY('Recurring Schedule'!$F$39),DAY(EOMONTH($A54,0))),MOD((YEAR($A54)-YEAR('Recurring Schedule'!$F$39))*12+MONTH($A54)-MONTH('Recurring Schedule'!$F$39),'Recurring Schedule'!$O$39)=0),IF('Recurring Schedule'!$E$39="Weekdays",WEEKDAY($A54,2)&lt;=5,$A54='Recurring Schedule'!$F$39))),34,""))))</f>
        <v/>
      </c>
      <c r="AJ54">
        <f>IF('Recurring Schedule'!$C$40="","",IF('Recurring Schedule'!$F$40="","",IF(OR($A54&lt;'Recurring Schedule'!$F$40,$A54&gt;'Recurring Schedule'!$P$40),"",IF(IF('Recurring Schedule'!$N$40&gt;0,MOD($A54-'Recurring Schedule'!$F$40,'Recurring Schedule'!$N$40)=0,IF('Recurring Schedule'!$O$40&gt;0,AND(DAY($A54)=MIN(DAY('Recurring Schedule'!$F$40),DAY(EOMONTH($A54,0))),MOD((YEAR($A54)-YEAR('Recurring Schedule'!$F$40))*12+MONTH($A54)-MONTH('Recurring Schedule'!$F$40),'Recurring Schedule'!$O$40)=0),IF('Recurring Schedule'!$E$40="Weekdays",WEEKDAY($A54,2)&lt;=5,$A54='Recurring Schedule'!$F$40))),35,""))))</f>
        <v/>
      </c>
      <c r="AK54">
        <f>IF('Recurring Schedule'!$C$41="","",IF('Recurring Schedule'!$F$41="","",IF(OR($A54&lt;'Recurring Schedule'!$F$41,$A54&gt;'Recurring Schedule'!$P$41),"",IF(IF('Recurring Schedule'!$N$41&gt;0,MOD($A54-'Recurring Schedule'!$F$41,'Recurring Schedule'!$N$41)=0,IF('Recurring Schedule'!$O$41&gt;0,AND(DAY($A54)=MIN(DAY('Recurring Schedule'!$F$41),DAY(EOMONTH($A54,0))),MOD((YEAR($A54)-YEAR('Recurring Schedule'!$F$41))*12+MONTH($A54)-MONTH('Recurring Schedule'!$F$41),'Recurring Schedule'!$O$41)=0),IF('Recurring Schedule'!$E$41="Weekdays",WEEKDAY($A54,2)&lt;=5,$A54='Recurring Schedule'!$F$41))),36,""))))</f>
        <v/>
      </c>
      <c r="AL54">
        <f>IF('Recurring Schedule'!$C$42="","",IF('Recurring Schedule'!$F$42="","",IF(OR($A54&lt;'Recurring Schedule'!$F$42,$A54&gt;'Recurring Schedule'!$P$42),"",IF(IF('Recurring Schedule'!$N$42&gt;0,MOD($A54-'Recurring Schedule'!$F$42,'Recurring Schedule'!$N$42)=0,IF('Recurring Schedule'!$O$42&gt;0,AND(DAY($A54)=MIN(DAY('Recurring Schedule'!$F$42),DAY(EOMONTH($A54,0))),MOD((YEAR($A54)-YEAR('Recurring Schedule'!$F$42))*12+MONTH($A54)-MONTH('Recurring Schedule'!$F$42),'Recurring Schedule'!$O$42)=0),IF('Recurring Schedule'!$E$42="Weekdays",WEEKDAY($A54,2)&lt;=5,$A54='Recurring Schedule'!$F$42))),37,""))))</f>
        <v/>
      </c>
      <c r="AM54">
        <f>IF('Recurring Schedule'!$C$43="","",IF('Recurring Schedule'!$F$43="","",IF(OR($A54&lt;'Recurring Schedule'!$F$43,$A54&gt;'Recurring Schedule'!$P$43),"",IF(IF('Recurring Schedule'!$N$43&gt;0,MOD($A54-'Recurring Schedule'!$F$43,'Recurring Schedule'!$N$43)=0,IF('Recurring Schedule'!$O$43&gt;0,AND(DAY($A54)=MIN(DAY('Recurring Schedule'!$F$43),DAY(EOMONTH($A54,0))),MOD((YEAR($A54)-YEAR('Recurring Schedule'!$F$43))*12+MONTH($A54)-MONTH('Recurring Schedule'!$F$43),'Recurring Schedule'!$O$43)=0),IF('Recurring Schedule'!$E$43="Weekdays",WEEKDAY($A54,2)&lt;=5,$A54='Recurring Schedule'!$F$43))),38,""))))</f>
        <v/>
      </c>
      <c r="AN54">
        <f>IF('Recurring Schedule'!$C$44="","",IF('Recurring Schedule'!$F$44="","",IF(OR($A54&lt;'Recurring Schedule'!$F$44,$A54&gt;'Recurring Schedule'!$P$44),"",IF(IF('Recurring Schedule'!$N$44&gt;0,MOD($A54-'Recurring Schedule'!$F$44,'Recurring Schedule'!$N$44)=0,IF('Recurring Schedule'!$O$44&gt;0,AND(DAY($A54)=MIN(DAY('Recurring Schedule'!$F$44),DAY(EOMONTH($A54,0))),MOD((YEAR($A54)-YEAR('Recurring Schedule'!$F$44))*12+MONTH($A54)-MONTH('Recurring Schedule'!$F$44),'Recurring Schedule'!$O$44)=0),IF('Recurring Schedule'!$E$44="Weekdays",WEEKDAY($A54,2)&lt;=5,$A54='Recurring Schedule'!$F$44))),39,""))))</f>
        <v/>
      </c>
      <c r="AO54">
        <f>IF('Recurring Schedule'!$C$45="","",IF('Recurring Schedule'!$F$45="","",IF(OR($A54&lt;'Recurring Schedule'!$F$45,$A54&gt;'Recurring Schedule'!$P$45),"",IF(IF('Recurring Schedule'!$N$45&gt;0,MOD($A54-'Recurring Schedule'!$F$45,'Recurring Schedule'!$N$45)=0,IF('Recurring Schedule'!$O$45&gt;0,AND(DAY($A54)=MIN(DAY('Recurring Schedule'!$F$45),DAY(EOMONTH($A54,0))),MOD((YEAR($A54)-YEAR('Recurring Schedule'!$F$45))*12+MONTH($A54)-MONTH('Recurring Schedule'!$F$45),'Recurring Schedule'!$O$45)=0),IF('Recurring Schedule'!$E$45="Weekdays",WEEKDAY($A54,2)&lt;=5,$A54='Recurring Schedule'!$F$45))),40,""))))</f>
        <v/>
      </c>
      <c r="AP54">
        <f>COUNT(B54:AO54)</f>
        <v/>
      </c>
      <c r="AQ54">
        <f>AQ53+AP53</f>
        <v/>
      </c>
      <c r="AS54" t="inlineStr">
        <is>
          <t>R</t>
        </is>
      </c>
      <c r="AT54" t="n">
        <v>58</v>
      </c>
      <c r="AU54">
        <f>'Recurring Log'!C58&amp;""</f>
        <v/>
      </c>
      <c r="AV54">
        <f>'Recurring Log'!D58&amp;""</f>
        <v/>
      </c>
      <c r="AW54">
        <f>IF('Recurring Log'!E58="","",'Recurring Log'!E58)</f>
        <v/>
      </c>
      <c r="AX54">
        <f>IF('Recurring Log'!G58="","",'Recurring Log'!G58)</f>
        <v/>
      </c>
      <c r="AY54">
        <f>IF('Recurring Log'!H58="","",'Recurring Log'!H58)</f>
        <v/>
      </c>
      <c r="AZ54">
        <f>IF(AU54="","",IF('Recurring Log'!J58="","Not Started",'Recurring Log'!J58))</f>
        <v/>
      </c>
      <c r="BA54">
        <f>'Recurring Log'!L58&amp;""</f>
        <v/>
      </c>
      <c r="BB54">
        <f>'Recurring Log'!M58&amp;""</f>
        <v/>
      </c>
      <c r="BC54">
        <f>'Recurring Log'!N58&amp;""</f>
        <v/>
      </c>
      <c r="BD54">
        <f>'Recurring Log'!O58&amp;""</f>
        <v/>
      </c>
      <c r="BE54">
        <f>IF('Recurring Log'!K58="","",'Recurring Log'!K58)</f>
        <v/>
      </c>
      <c r="BF54">
        <f>IFERROR(MATCH(BA54,Setup!$L$6:$L$9,0),5)</f>
        <v/>
      </c>
      <c r="BG54">
        <f>IF(OR(AZ54="Done",AZ54="Cancelled"),1,0)</f>
        <v/>
      </c>
      <c r="BH54">
        <f>IF(AND(AU54&lt;&gt;"",ISNUMBER(AW54)),1,0)</f>
        <v/>
      </c>
      <c r="BI54">
        <f>IF(BH54=0,0,IF(AND(AW54&gt;='Tasks Filter'!$F$3,AW54&lt;='Tasks Filter'!$F$4,OR('Tasks Filter'!$I$3="",ISNUMBER(SEARCH('Tasks Filter'!$I$3,AU54))),OR('Tasks Filter'!$I$4="",BF54=IFERROR(MATCH('Tasks Filter'!$I$4,Setup!$L$6:$L$9,0),0)),OR('Tasks Filter'!$I$5="Both",AND('Tasks Filter'!$I$5="Yes",BB54="✓"),AND('Tasks Filter'!$I$5="No",BB54&lt;&gt;"✓")),OR('Tasks Filter'!$L$3="",AV54='Tasks Filter'!$L$3),OR('Tasks Filter'!$L$4="",AZ54='Tasks Filter'!$L$4),OR('Tasks Filter'!$L$5="",BC54='Tasks Filter'!$L$5),OR('Tasks Filter'!$O$3="",BD54='Tasks Filter'!$O$3),OR('Tasks Filter'!$O$4="Yes",BG54=0)),1,0))</f>
        <v/>
      </c>
      <c r="BJ54">
        <f>IF(BH54=0,"",IF('Tasks Filter'!$F$6="Descending",-1,1)*CHOOSE(MATCH('Tasks Filter'!$F$5,Lists!$G$2:$G$6,0),AW54,BF54,IFERROR(MATCH(AV54,Setup!$F$6:$F$15,0),99),IFERROR(MATCH(BC54,Setup!$H$6:$H$15,0),99),IFERROR(MATCH(AZ54,Setup!$J$6:$J$11,0),99))*1E+9+(AW54-40000)*10000+53)</f>
        <v/>
      </c>
      <c r="BK54">
        <f>IF(BI54=1,BJ54,"")</f>
        <v/>
      </c>
      <c r="BL54">
        <f>IF(AND(BH54=1,BG54=0,N(AW54)&lt;Setup!$D$7),(AW54-40000)*10000+53,"")</f>
        <v/>
      </c>
      <c r="BM54">
        <f>IF(AND(BH54=1,AZ54&lt;&gt;"Cancelled",N(AW54)&gt;=Dashboard!$AB$3,N(AW54)&lt;=Dashboard!$AB$3+6),(AW54-40000)*100000+BF54*10000+53,"")</f>
        <v/>
      </c>
      <c r="BN54">
        <f>IF(AND(BH54=1,AZ54&lt;&gt;"Cancelled"),BF54*10000+53,"")</f>
        <v/>
      </c>
    </row>
    <row r="55">
      <c r="A55">
        <f>Setup!$D$5+53</f>
        <v/>
      </c>
      <c r="B55">
        <f>IF('Recurring Schedule'!$C$6="","",IF('Recurring Schedule'!$F$6="","",IF(OR($A55&lt;'Recurring Schedule'!$F$6,$A55&gt;'Recurring Schedule'!$P$6),"",IF(IF('Recurring Schedule'!$N$6&gt;0,MOD($A55-'Recurring Schedule'!$F$6,'Recurring Schedule'!$N$6)=0,IF('Recurring Schedule'!$O$6&gt;0,AND(DAY($A55)=MIN(DAY('Recurring Schedule'!$F$6),DAY(EOMONTH($A55,0))),MOD((YEAR($A55)-YEAR('Recurring Schedule'!$F$6))*12+MONTH($A55)-MONTH('Recurring Schedule'!$F$6),'Recurring Schedule'!$O$6)=0),IF('Recurring Schedule'!$E$6="Weekdays",WEEKDAY($A55,2)&lt;=5,$A55='Recurring Schedule'!$F$6))),1,""))))</f>
        <v/>
      </c>
      <c r="C55">
        <f>IF('Recurring Schedule'!$C$7="","",IF('Recurring Schedule'!$F$7="","",IF(OR($A55&lt;'Recurring Schedule'!$F$7,$A55&gt;'Recurring Schedule'!$P$7),"",IF(IF('Recurring Schedule'!$N$7&gt;0,MOD($A55-'Recurring Schedule'!$F$7,'Recurring Schedule'!$N$7)=0,IF('Recurring Schedule'!$O$7&gt;0,AND(DAY($A55)=MIN(DAY('Recurring Schedule'!$F$7),DAY(EOMONTH($A55,0))),MOD((YEAR($A55)-YEAR('Recurring Schedule'!$F$7))*12+MONTH($A55)-MONTH('Recurring Schedule'!$F$7),'Recurring Schedule'!$O$7)=0),IF('Recurring Schedule'!$E$7="Weekdays",WEEKDAY($A55,2)&lt;=5,$A55='Recurring Schedule'!$F$7))),2,""))))</f>
        <v/>
      </c>
      <c r="D55">
        <f>IF('Recurring Schedule'!$C$8="","",IF('Recurring Schedule'!$F$8="","",IF(OR($A55&lt;'Recurring Schedule'!$F$8,$A55&gt;'Recurring Schedule'!$P$8),"",IF(IF('Recurring Schedule'!$N$8&gt;0,MOD($A55-'Recurring Schedule'!$F$8,'Recurring Schedule'!$N$8)=0,IF('Recurring Schedule'!$O$8&gt;0,AND(DAY($A55)=MIN(DAY('Recurring Schedule'!$F$8),DAY(EOMONTH($A55,0))),MOD((YEAR($A55)-YEAR('Recurring Schedule'!$F$8))*12+MONTH($A55)-MONTH('Recurring Schedule'!$F$8),'Recurring Schedule'!$O$8)=0),IF('Recurring Schedule'!$E$8="Weekdays",WEEKDAY($A55,2)&lt;=5,$A55='Recurring Schedule'!$F$8))),3,""))))</f>
        <v/>
      </c>
      <c r="E55">
        <f>IF('Recurring Schedule'!$C$9="","",IF('Recurring Schedule'!$F$9="","",IF(OR($A55&lt;'Recurring Schedule'!$F$9,$A55&gt;'Recurring Schedule'!$P$9),"",IF(IF('Recurring Schedule'!$N$9&gt;0,MOD($A55-'Recurring Schedule'!$F$9,'Recurring Schedule'!$N$9)=0,IF('Recurring Schedule'!$O$9&gt;0,AND(DAY($A55)=MIN(DAY('Recurring Schedule'!$F$9),DAY(EOMONTH($A55,0))),MOD((YEAR($A55)-YEAR('Recurring Schedule'!$F$9))*12+MONTH($A55)-MONTH('Recurring Schedule'!$F$9),'Recurring Schedule'!$O$9)=0),IF('Recurring Schedule'!$E$9="Weekdays",WEEKDAY($A55,2)&lt;=5,$A55='Recurring Schedule'!$F$9))),4,""))))</f>
        <v/>
      </c>
      <c r="F55">
        <f>IF('Recurring Schedule'!$C$10="","",IF('Recurring Schedule'!$F$10="","",IF(OR($A55&lt;'Recurring Schedule'!$F$10,$A55&gt;'Recurring Schedule'!$P$10),"",IF(IF('Recurring Schedule'!$N$10&gt;0,MOD($A55-'Recurring Schedule'!$F$10,'Recurring Schedule'!$N$10)=0,IF('Recurring Schedule'!$O$10&gt;0,AND(DAY($A55)=MIN(DAY('Recurring Schedule'!$F$10),DAY(EOMONTH($A55,0))),MOD((YEAR($A55)-YEAR('Recurring Schedule'!$F$10))*12+MONTH($A55)-MONTH('Recurring Schedule'!$F$10),'Recurring Schedule'!$O$10)=0),IF('Recurring Schedule'!$E$10="Weekdays",WEEKDAY($A55,2)&lt;=5,$A55='Recurring Schedule'!$F$10))),5,""))))</f>
        <v/>
      </c>
      <c r="G55">
        <f>IF('Recurring Schedule'!$C$11="","",IF('Recurring Schedule'!$F$11="","",IF(OR($A55&lt;'Recurring Schedule'!$F$11,$A55&gt;'Recurring Schedule'!$P$11),"",IF(IF('Recurring Schedule'!$N$11&gt;0,MOD($A55-'Recurring Schedule'!$F$11,'Recurring Schedule'!$N$11)=0,IF('Recurring Schedule'!$O$11&gt;0,AND(DAY($A55)=MIN(DAY('Recurring Schedule'!$F$11),DAY(EOMONTH($A55,0))),MOD((YEAR($A55)-YEAR('Recurring Schedule'!$F$11))*12+MONTH($A55)-MONTH('Recurring Schedule'!$F$11),'Recurring Schedule'!$O$11)=0),IF('Recurring Schedule'!$E$11="Weekdays",WEEKDAY($A55,2)&lt;=5,$A55='Recurring Schedule'!$F$11))),6,""))))</f>
        <v/>
      </c>
      <c r="H55">
        <f>IF('Recurring Schedule'!$C$12="","",IF('Recurring Schedule'!$F$12="","",IF(OR($A55&lt;'Recurring Schedule'!$F$12,$A55&gt;'Recurring Schedule'!$P$12),"",IF(IF('Recurring Schedule'!$N$12&gt;0,MOD($A55-'Recurring Schedule'!$F$12,'Recurring Schedule'!$N$12)=0,IF('Recurring Schedule'!$O$12&gt;0,AND(DAY($A55)=MIN(DAY('Recurring Schedule'!$F$12),DAY(EOMONTH($A55,0))),MOD((YEAR($A55)-YEAR('Recurring Schedule'!$F$12))*12+MONTH($A55)-MONTH('Recurring Schedule'!$F$12),'Recurring Schedule'!$O$12)=0),IF('Recurring Schedule'!$E$12="Weekdays",WEEKDAY($A55,2)&lt;=5,$A55='Recurring Schedule'!$F$12))),7,""))))</f>
        <v/>
      </c>
      <c r="I55">
        <f>IF('Recurring Schedule'!$C$13="","",IF('Recurring Schedule'!$F$13="","",IF(OR($A55&lt;'Recurring Schedule'!$F$13,$A55&gt;'Recurring Schedule'!$P$13),"",IF(IF('Recurring Schedule'!$N$13&gt;0,MOD($A55-'Recurring Schedule'!$F$13,'Recurring Schedule'!$N$13)=0,IF('Recurring Schedule'!$O$13&gt;0,AND(DAY($A55)=MIN(DAY('Recurring Schedule'!$F$13),DAY(EOMONTH($A55,0))),MOD((YEAR($A55)-YEAR('Recurring Schedule'!$F$13))*12+MONTH($A55)-MONTH('Recurring Schedule'!$F$13),'Recurring Schedule'!$O$13)=0),IF('Recurring Schedule'!$E$13="Weekdays",WEEKDAY($A55,2)&lt;=5,$A55='Recurring Schedule'!$F$13))),8,""))))</f>
        <v/>
      </c>
      <c r="J55">
        <f>IF('Recurring Schedule'!$C$14="","",IF('Recurring Schedule'!$F$14="","",IF(OR($A55&lt;'Recurring Schedule'!$F$14,$A55&gt;'Recurring Schedule'!$P$14),"",IF(IF('Recurring Schedule'!$N$14&gt;0,MOD($A55-'Recurring Schedule'!$F$14,'Recurring Schedule'!$N$14)=0,IF('Recurring Schedule'!$O$14&gt;0,AND(DAY($A55)=MIN(DAY('Recurring Schedule'!$F$14),DAY(EOMONTH($A55,0))),MOD((YEAR($A55)-YEAR('Recurring Schedule'!$F$14))*12+MONTH($A55)-MONTH('Recurring Schedule'!$F$14),'Recurring Schedule'!$O$14)=0),IF('Recurring Schedule'!$E$14="Weekdays",WEEKDAY($A55,2)&lt;=5,$A55='Recurring Schedule'!$F$14))),9,""))))</f>
        <v/>
      </c>
      <c r="K55">
        <f>IF('Recurring Schedule'!$C$15="","",IF('Recurring Schedule'!$F$15="","",IF(OR($A55&lt;'Recurring Schedule'!$F$15,$A55&gt;'Recurring Schedule'!$P$15),"",IF(IF('Recurring Schedule'!$N$15&gt;0,MOD($A55-'Recurring Schedule'!$F$15,'Recurring Schedule'!$N$15)=0,IF('Recurring Schedule'!$O$15&gt;0,AND(DAY($A55)=MIN(DAY('Recurring Schedule'!$F$15),DAY(EOMONTH($A55,0))),MOD((YEAR($A55)-YEAR('Recurring Schedule'!$F$15))*12+MONTH($A55)-MONTH('Recurring Schedule'!$F$15),'Recurring Schedule'!$O$15)=0),IF('Recurring Schedule'!$E$15="Weekdays",WEEKDAY($A55,2)&lt;=5,$A55='Recurring Schedule'!$F$15))),10,""))))</f>
        <v/>
      </c>
      <c r="L55">
        <f>IF('Recurring Schedule'!$C$16="","",IF('Recurring Schedule'!$F$16="","",IF(OR($A55&lt;'Recurring Schedule'!$F$16,$A55&gt;'Recurring Schedule'!$P$16),"",IF(IF('Recurring Schedule'!$N$16&gt;0,MOD($A55-'Recurring Schedule'!$F$16,'Recurring Schedule'!$N$16)=0,IF('Recurring Schedule'!$O$16&gt;0,AND(DAY($A55)=MIN(DAY('Recurring Schedule'!$F$16),DAY(EOMONTH($A55,0))),MOD((YEAR($A55)-YEAR('Recurring Schedule'!$F$16))*12+MONTH($A55)-MONTH('Recurring Schedule'!$F$16),'Recurring Schedule'!$O$16)=0),IF('Recurring Schedule'!$E$16="Weekdays",WEEKDAY($A55,2)&lt;=5,$A55='Recurring Schedule'!$F$16))),11,""))))</f>
        <v/>
      </c>
      <c r="M55">
        <f>IF('Recurring Schedule'!$C$17="","",IF('Recurring Schedule'!$F$17="","",IF(OR($A55&lt;'Recurring Schedule'!$F$17,$A55&gt;'Recurring Schedule'!$P$17),"",IF(IF('Recurring Schedule'!$N$17&gt;0,MOD($A55-'Recurring Schedule'!$F$17,'Recurring Schedule'!$N$17)=0,IF('Recurring Schedule'!$O$17&gt;0,AND(DAY($A55)=MIN(DAY('Recurring Schedule'!$F$17),DAY(EOMONTH($A55,0))),MOD((YEAR($A55)-YEAR('Recurring Schedule'!$F$17))*12+MONTH($A55)-MONTH('Recurring Schedule'!$F$17),'Recurring Schedule'!$O$17)=0),IF('Recurring Schedule'!$E$17="Weekdays",WEEKDAY($A55,2)&lt;=5,$A55='Recurring Schedule'!$F$17))),12,""))))</f>
        <v/>
      </c>
      <c r="N55">
        <f>IF('Recurring Schedule'!$C$18="","",IF('Recurring Schedule'!$F$18="","",IF(OR($A55&lt;'Recurring Schedule'!$F$18,$A55&gt;'Recurring Schedule'!$P$18),"",IF(IF('Recurring Schedule'!$N$18&gt;0,MOD($A55-'Recurring Schedule'!$F$18,'Recurring Schedule'!$N$18)=0,IF('Recurring Schedule'!$O$18&gt;0,AND(DAY($A55)=MIN(DAY('Recurring Schedule'!$F$18),DAY(EOMONTH($A55,0))),MOD((YEAR($A55)-YEAR('Recurring Schedule'!$F$18))*12+MONTH($A55)-MONTH('Recurring Schedule'!$F$18),'Recurring Schedule'!$O$18)=0),IF('Recurring Schedule'!$E$18="Weekdays",WEEKDAY($A55,2)&lt;=5,$A55='Recurring Schedule'!$F$18))),13,""))))</f>
        <v/>
      </c>
      <c r="O55">
        <f>IF('Recurring Schedule'!$C$19="","",IF('Recurring Schedule'!$F$19="","",IF(OR($A55&lt;'Recurring Schedule'!$F$19,$A55&gt;'Recurring Schedule'!$P$19),"",IF(IF('Recurring Schedule'!$N$19&gt;0,MOD($A55-'Recurring Schedule'!$F$19,'Recurring Schedule'!$N$19)=0,IF('Recurring Schedule'!$O$19&gt;0,AND(DAY($A55)=MIN(DAY('Recurring Schedule'!$F$19),DAY(EOMONTH($A55,0))),MOD((YEAR($A55)-YEAR('Recurring Schedule'!$F$19))*12+MONTH($A55)-MONTH('Recurring Schedule'!$F$19),'Recurring Schedule'!$O$19)=0),IF('Recurring Schedule'!$E$19="Weekdays",WEEKDAY($A55,2)&lt;=5,$A55='Recurring Schedule'!$F$19))),14,""))))</f>
        <v/>
      </c>
      <c r="P55">
        <f>IF('Recurring Schedule'!$C$20="","",IF('Recurring Schedule'!$F$20="","",IF(OR($A55&lt;'Recurring Schedule'!$F$20,$A55&gt;'Recurring Schedule'!$P$20),"",IF(IF('Recurring Schedule'!$N$20&gt;0,MOD($A55-'Recurring Schedule'!$F$20,'Recurring Schedule'!$N$20)=0,IF('Recurring Schedule'!$O$20&gt;0,AND(DAY($A55)=MIN(DAY('Recurring Schedule'!$F$20),DAY(EOMONTH($A55,0))),MOD((YEAR($A55)-YEAR('Recurring Schedule'!$F$20))*12+MONTH($A55)-MONTH('Recurring Schedule'!$F$20),'Recurring Schedule'!$O$20)=0),IF('Recurring Schedule'!$E$20="Weekdays",WEEKDAY($A55,2)&lt;=5,$A55='Recurring Schedule'!$F$20))),15,""))))</f>
        <v/>
      </c>
      <c r="Q55">
        <f>IF('Recurring Schedule'!$C$21="","",IF('Recurring Schedule'!$F$21="","",IF(OR($A55&lt;'Recurring Schedule'!$F$21,$A55&gt;'Recurring Schedule'!$P$21),"",IF(IF('Recurring Schedule'!$N$21&gt;0,MOD($A55-'Recurring Schedule'!$F$21,'Recurring Schedule'!$N$21)=0,IF('Recurring Schedule'!$O$21&gt;0,AND(DAY($A55)=MIN(DAY('Recurring Schedule'!$F$21),DAY(EOMONTH($A55,0))),MOD((YEAR($A55)-YEAR('Recurring Schedule'!$F$21))*12+MONTH($A55)-MONTH('Recurring Schedule'!$F$21),'Recurring Schedule'!$O$21)=0),IF('Recurring Schedule'!$E$21="Weekdays",WEEKDAY($A55,2)&lt;=5,$A55='Recurring Schedule'!$F$21))),16,""))))</f>
        <v/>
      </c>
      <c r="R55">
        <f>IF('Recurring Schedule'!$C$22="","",IF('Recurring Schedule'!$F$22="","",IF(OR($A55&lt;'Recurring Schedule'!$F$22,$A55&gt;'Recurring Schedule'!$P$22),"",IF(IF('Recurring Schedule'!$N$22&gt;0,MOD($A55-'Recurring Schedule'!$F$22,'Recurring Schedule'!$N$22)=0,IF('Recurring Schedule'!$O$22&gt;0,AND(DAY($A55)=MIN(DAY('Recurring Schedule'!$F$22),DAY(EOMONTH($A55,0))),MOD((YEAR($A55)-YEAR('Recurring Schedule'!$F$22))*12+MONTH($A55)-MONTH('Recurring Schedule'!$F$22),'Recurring Schedule'!$O$22)=0),IF('Recurring Schedule'!$E$22="Weekdays",WEEKDAY($A55,2)&lt;=5,$A55='Recurring Schedule'!$F$22))),17,""))))</f>
        <v/>
      </c>
      <c r="S55">
        <f>IF('Recurring Schedule'!$C$23="","",IF('Recurring Schedule'!$F$23="","",IF(OR($A55&lt;'Recurring Schedule'!$F$23,$A55&gt;'Recurring Schedule'!$P$23),"",IF(IF('Recurring Schedule'!$N$23&gt;0,MOD($A55-'Recurring Schedule'!$F$23,'Recurring Schedule'!$N$23)=0,IF('Recurring Schedule'!$O$23&gt;0,AND(DAY($A55)=MIN(DAY('Recurring Schedule'!$F$23),DAY(EOMONTH($A55,0))),MOD((YEAR($A55)-YEAR('Recurring Schedule'!$F$23))*12+MONTH($A55)-MONTH('Recurring Schedule'!$F$23),'Recurring Schedule'!$O$23)=0),IF('Recurring Schedule'!$E$23="Weekdays",WEEKDAY($A55,2)&lt;=5,$A55='Recurring Schedule'!$F$23))),18,""))))</f>
        <v/>
      </c>
      <c r="T55">
        <f>IF('Recurring Schedule'!$C$24="","",IF('Recurring Schedule'!$F$24="","",IF(OR($A55&lt;'Recurring Schedule'!$F$24,$A55&gt;'Recurring Schedule'!$P$24),"",IF(IF('Recurring Schedule'!$N$24&gt;0,MOD($A55-'Recurring Schedule'!$F$24,'Recurring Schedule'!$N$24)=0,IF('Recurring Schedule'!$O$24&gt;0,AND(DAY($A55)=MIN(DAY('Recurring Schedule'!$F$24),DAY(EOMONTH($A55,0))),MOD((YEAR($A55)-YEAR('Recurring Schedule'!$F$24))*12+MONTH($A55)-MONTH('Recurring Schedule'!$F$24),'Recurring Schedule'!$O$24)=0),IF('Recurring Schedule'!$E$24="Weekdays",WEEKDAY($A55,2)&lt;=5,$A55='Recurring Schedule'!$F$24))),19,""))))</f>
        <v/>
      </c>
      <c r="U55">
        <f>IF('Recurring Schedule'!$C$25="","",IF('Recurring Schedule'!$F$25="","",IF(OR($A55&lt;'Recurring Schedule'!$F$25,$A55&gt;'Recurring Schedule'!$P$25),"",IF(IF('Recurring Schedule'!$N$25&gt;0,MOD($A55-'Recurring Schedule'!$F$25,'Recurring Schedule'!$N$25)=0,IF('Recurring Schedule'!$O$25&gt;0,AND(DAY($A55)=MIN(DAY('Recurring Schedule'!$F$25),DAY(EOMONTH($A55,0))),MOD((YEAR($A55)-YEAR('Recurring Schedule'!$F$25))*12+MONTH($A55)-MONTH('Recurring Schedule'!$F$25),'Recurring Schedule'!$O$25)=0),IF('Recurring Schedule'!$E$25="Weekdays",WEEKDAY($A55,2)&lt;=5,$A55='Recurring Schedule'!$F$25))),20,""))))</f>
        <v/>
      </c>
      <c r="V55">
        <f>IF('Recurring Schedule'!$C$26="","",IF('Recurring Schedule'!$F$26="","",IF(OR($A55&lt;'Recurring Schedule'!$F$26,$A55&gt;'Recurring Schedule'!$P$26),"",IF(IF('Recurring Schedule'!$N$26&gt;0,MOD($A55-'Recurring Schedule'!$F$26,'Recurring Schedule'!$N$26)=0,IF('Recurring Schedule'!$O$26&gt;0,AND(DAY($A55)=MIN(DAY('Recurring Schedule'!$F$26),DAY(EOMONTH($A55,0))),MOD((YEAR($A55)-YEAR('Recurring Schedule'!$F$26))*12+MONTH($A55)-MONTH('Recurring Schedule'!$F$26),'Recurring Schedule'!$O$26)=0),IF('Recurring Schedule'!$E$26="Weekdays",WEEKDAY($A55,2)&lt;=5,$A55='Recurring Schedule'!$F$26))),21,""))))</f>
        <v/>
      </c>
      <c r="W55">
        <f>IF('Recurring Schedule'!$C$27="","",IF('Recurring Schedule'!$F$27="","",IF(OR($A55&lt;'Recurring Schedule'!$F$27,$A55&gt;'Recurring Schedule'!$P$27),"",IF(IF('Recurring Schedule'!$N$27&gt;0,MOD($A55-'Recurring Schedule'!$F$27,'Recurring Schedule'!$N$27)=0,IF('Recurring Schedule'!$O$27&gt;0,AND(DAY($A55)=MIN(DAY('Recurring Schedule'!$F$27),DAY(EOMONTH($A55,0))),MOD((YEAR($A55)-YEAR('Recurring Schedule'!$F$27))*12+MONTH($A55)-MONTH('Recurring Schedule'!$F$27),'Recurring Schedule'!$O$27)=0),IF('Recurring Schedule'!$E$27="Weekdays",WEEKDAY($A55,2)&lt;=5,$A55='Recurring Schedule'!$F$27))),22,""))))</f>
        <v/>
      </c>
      <c r="X55">
        <f>IF('Recurring Schedule'!$C$28="","",IF('Recurring Schedule'!$F$28="","",IF(OR($A55&lt;'Recurring Schedule'!$F$28,$A55&gt;'Recurring Schedule'!$P$28),"",IF(IF('Recurring Schedule'!$N$28&gt;0,MOD($A55-'Recurring Schedule'!$F$28,'Recurring Schedule'!$N$28)=0,IF('Recurring Schedule'!$O$28&gt;0,AND(DAY($A55)=MIN(DAY('Recurring Schedule'!$F$28),DAY(EOMONTH($A55,0))),MOD((YEAR($A55)-YEAR('Recurring Schedule'!$F$28))*12+MONTH($A55)-MONTH('Recurring Schedule'!$F$28),'Recurring Schedule'!$O$28)=0),IF('Recurring Schedule'!$E$28="Weekdays",WEEKDAY($A55,2)&lt;=5,$A55='Recurring Schedule'!$F$28))),23,""))))</f>
        <v/>
      </c>
      <c r="Y55">
        <f>IF('Recurring Schedule'!$C$29="","",IF('Recurring Schedule'!$F$29="","",IF(OR($A55&lt;'Recurring Schedule'!$F$29,$A55&gt;'Recurring Schedule'!$P$29),"",IF(IF('Recurring Schedule'!$N$29&gt;0,MOD($A55-'Recurring Schedule'!$F$29,'Recurring Schedule'!$N$29)=0,IF('Recurring Schedule'!$O$29&gt;0,AND(DAY($A55)=MIN(DAY('Recurring Schedule'!$F$29),DAY(EOMONTH($A55,0))),MOD((YEAR($A55)-YEAR('Recurring Schedule'!$F$29))*12+MONTH($A55)-MONTH('Recurring Schedule'!$F$29),'Recurring Schedule'!$O$29)=0),IF('Recurring Schedule'!$E$29="Weekdays",WEEKDAY($A55,2)&lt;=5,$A55='Recurring Schedule'!$F$29))),24,""))))</f>
        <v/>
      </c>
      <c r="Z55">
        <f>IF('Recurring Schedule'!$C$30="","",IF('Recurring Schedule'!$F$30="","",IF(OR($A55&lt;'Recurring Schedule'!$F$30,$A55&gt;'Recurring Schedule'!$P$30),"",IF(IF('Recurring Schedule'!$N$30&gt;0,MOD($A55-'Recurring Schedule'!$F$30,'Recurring Schedule'!$N$30)=0,IF('Recurring Schedule'!$O$30&gt;0,AND(DAY($A55)=MIN(DAY('Recurring Schedule'!$F$30),DAY(EOMONTH($A55,0))),MOD((YEAR($A55)-YEAR('Recurring Schedule'!$F$30))*12+MONTH($A55)-MONTH('Recurring Schedule'!$F$30),'Recurring Schedule'!$O$30)=0),IF('Recurring Schedule'!$E$30="Weekdays",WEEKDAY($A55,2)&lt;=5,$A55='Recurring Schedule'!$F$30))),25,""))))</f>
        <v/>
      </c>
      <c r="AA55">
        <f>IF('Recurring Schedule'!$C$31="","",IF('Recurring Schedule'!$F$31="","",IF(OR($A55&lt;'Recurring Schedule'!$F$31,$A55&gt;'Recurring Schedule'!$P$31),"",IF(IF('Recurring Schedule'!$N$31&gt;0,MOD($A55-'Recurring Schedule'!$F$31,'Recurring Schedule'!$N$31)=0,IF('Recurring Schedule'!$O$31&gt;0,AND(DAY($A55)=MIN(DAY('Recurring Schedule'!$F$31),DAY(EOMONTH($A55,0))),MOD((YEAR($A55)-YEAR('Recurring Schedule'!$F$31))*12+MONTH($A55)-MONTH('Recurring Schedule'!$F$31),'Recurring Schedule'!$O$31)=0),IF('Recurring Schedule'!$E$31="Weekdays",WEEKDAY($A55,2)&lt;=5,$A55='Recurring Schedule'!$F$31))),26,""))))</f>
        <v/>
      </c>
      <c r="AB55">
        <f>IF('Recurring Schedule'!$C$32="","",IF('Recurring Schedule'!$F$32="","",IF(OR($A55&lt;'Recurring Schedule'!$F$32,$A55&gt;'Recurring Schedule'!$P$32),"",IF(IF('Recurring Schedule'!$N$32&gt;0,MOD($A55-'Recurring Schedule'!$F$32,'Recurring Schedule'!$N$32)=0,IF('Recurring Schedule'!$O$32&gt;0,AND(DAY($A55)=MIN(DAY('Recurring Schedule'!$F$32),DAY(EOMONTH($A55,0))),MOD((YEAR($A55)-YEAR('Recurring Schedule'!$F$32))*12+MONTH($A55)-MONTH('Recurring Schedule'!$F$32),'Recurring Schedule'!$O$32)=0),IF('Recurring Schedule'!$E$32="Weekdays",WEEKDAY($A55,2)&lt;=5,$A55='Recurring Schedule'!$F$32))),27,""))))</f>
        <v/>
      </c>
      <c r="AC55">
        <f>IF('Recurring Schedule'!$C$33="","",IF('Recurring Schedule'!$F$33="","",IF(OR($A55&lt;'Recurring Schedule'!$F$33,$A55&gt;'Recurring Schedule'!$P$33),"",IF(IF('Recurring Schedule'!$N$33&gt;0,MOD($A55-'Recurring Schedule'!$F$33,'Recurring Schedule'!$N$33)=0,IF('Recurring Schedule'!$O$33&gt;0,AND(DAY($A55)=MIN(DAY('Recurring Schedule'!$F$33),DAY(EOMONTH($A55,0))),MOD((YEAR($A55)-YEAR('Recurring Schedule'!$F$33))*12+MONTH($A55)-MONTH('Recurring Schedule'!$F$33),'Recurring Schedule'!$O$33)=0),IF('Recurring Schedule'!$E$33="Weekdays",WEEKDAY($A55,2)&lt;=5,$A55='Recurring Schedule'!$F$33))),28,""))))</f>
        <v/>
      </c>
      <c r="AD55">
        <f>IF('Recurring Schedule'!$C$34="","",IF('Recurring Schedule'!$F$34="","",IF(OR($A55&lt;'Recurring Schedule'!$F$34,$A55&gt;'Recurring Schedule'!$P$34),"",IF(IF('Recurring Schedule'!$N$34&gt;0,MOD($A55-'Recurring Schedule'!$F$34,'Recurring Schedule'!$N$34)=0,IF('Recurring Schedule'!$O$34&gt;0,AND(DAY($A55)=MIN(DAY('Recurring Schedule'!$F$34),DAY(EOMONTH($A55,0))),MOD((YEAR($A55)-YEAR('Recurring Schedule'!$F$34))*12+MONTH($A55)-MONTH('Recurring Schedule'!$F$34),'Recurring Schedule'!$O$34)=0),IF('Recurring Schedule'!$E$34="Weekdays",WEEKDAY($A55,2)&lt;=5,$A55='Recurring Schedule'!$F$34))),29,""))))</f>
        <v/>
      </c>
      <c r="AE55">
        <f>IF('Recurring Schedule'!$C$35="","",IF('Recurring Schedule'!$F$35="","",IF(OR($A55&lt;'Recurring Schedule'!$F$35,$A55&gt;'Recurring Schedule'!$P$35),"",IF(IF('Recurring Schedule'!$N$35&gt;0,MOD($A55-'Recurring Schedule'!$F$35,'Recurring Schedule'!$N$35)=0,IF('Recurring Schedule'!$O$35&gt;0,AND(DAY($A55)=MIN(DAY('Recurring Schedule'!$F$35),DAY(EOMONTH($A55,0))),MOD((YEAR($A55)-YEAR('Recurring Schedule'!$F$35))*12+MONTH($A55)-MONTH('Recurring Schedule'!$F$35),'Recurring Schedule'!$O$35)=0),IF('Recurring Schedule'!$E$35="Weekdays",WEEKDAY($A55,2)&lt;=5,$A55='Recurring Schedule'!$F$35))),30,""))))</f>
        <v/>
      </c>
      <c r="AF55">
        <f>IF('Recurring Schedule'!$C$36="","",IF('Recurring Schedule'!$F$36="","",IF(OR($A55&lt;'Recurring Schedule'!$F$36,$A55&gt;'Recurring Schedule'!$P$36),"",IF(IF('Recurring Schedule'!$N$36&gt;0,MOD($A55-'Recurring Schedule'!$F$36,'Recurring Schedule'!$N$36)=0,IF('Recurring Schedule'!$O$36&gt;0,AND(DAY($A55)=MIN(DAY('Recurring Schedule'!$F$36),DAY(EOMONTH($A55,0))),MOD((YEAR($A55)-YEAR('Recurring Schedule'!$F$36))*12+MONTH($A55)-MONTH('Recurring Schedule'!$F$36),'Recurring Schedule'!$O$36)=0),IF('Recurring Schedule'!$E$36="Weekdays",WEEKDAY($A55,2)&lt;=5,$A55='Recurring Schedule'!$F$36))),31,""))))</f>
        <v/>
      </c>
      <c r="AG55">
        <f>IF('Recurring Schedule'!$C$37="","",IF('Recurring Schedule'!$F$37="","",IF(OR($A55&lt;'Recurring Schedule'!$F$37,$A55&gt;'Recurring Schedule'!$P$37),"",IF(IF('Recurring Schedule'!$N$37&gt;0,MOD($A55-'Recurring Schedule'!$F$37,'Recurring Schedule'!$N$37)=0,IF('Recurring Schedule'!$O$37&gt;0,AND(DAY($A55)=MIN(DAY('Recurring Schedule'!$F$37),DAY(EOMONTH($A55,0))),MOD((YEAR($A55)-YEAR('Recurring Schedule'!$F$37))*12+MONTH($A55)-MONTH('Recurring Schedule'!$F$37),'Recurring Schedule'!$O$37)=0),IF('Recurring Schedule'!$E$37="Weekdays",WEEKDAY($A55,2)&lt;=5,$A55='Recurring Schedule'!$F$37))),32,""))))</f>
        <v/>
      </c>
      <c r="AH55">
        <f>IF('Recurring Schedule'!$C$38="","",IF('Recurring Schedule'!$F$38="","",IF(OR($A55&lt;'Recurring Schedule'!$F$38,$A55&gt;'Recurring Schedule'!$P$38),"",IF(IF('Recurring Schedule'!$N$38&gt;0,MOD($A55-'Recurring Schedule'!$F$38,'Recurring Schedule'!$N$38)=0,IF('Recurring Schedule'!$O$38&gt;0,AND(DAY($A55)=MIN(DAY('Recurring Schedule'!$F$38),DAY(EOMONTH($A55,0))),MOD((YEAR($A55)-YEAR('Recurring Schedule'!$F$38))*12+MONTH($A55)-MONTH('Recurring Schedule'!$F$38),'Recurring Schedule'!$O$38)=0),IF('Recurring Schedule'!$E$38="Weekdays",WEEKDAY($A55,2)&lt;=5,$A55='Recurring Schedule'!$F$38))),33,""))))</f>
        <v/>
      </c>
      <c r="AI55">
        <f>IF('Recurring Schedule'!$C$39="","",IF('Recurring Schedule'!$F$39="","",IF(OR($A55&lt;'Recurring Schedule'!$F$39,$A55&gt;'Recurring Schedule'!$P$39),"",IF(IF('Recurring Schedule'!$N$39&gt;0,MOD($A55-'Recurring Schedule'!$F$39,'Recurring Schedule'!$N$39)=0,IF('Recurring Schedule'!$O$39&gt;0,AND(DAY($A55)=MIN(DAY('Recurring Schedule'!$F$39),DAY(EOMONTH($A55,0))),MOD((YEAR($A55)-YEAR('Recurring Schedule'!$F$39))*12+MONTH($A55)-MONTH('Recurring Schedule'!$F$39),'Recurring Schedule'!$O$39)=0),IF('Recurring Schedule'!$E$39="Weekdays",WEEKDAY($A55,2)&lt;=5,$A55='Recurring Schedule'!$F$39))),34,""))))</f>
        <v/>
      </c>
      <c r="AJ55">
        <f>IF('Recurring Schedule'!$C$40="","",IF('Recurring Schedule'!$F$40="","",IF(OR($A55&lt;'Recurring Schedule'!$F$40,$A55&gt;'Recurring Schedule'!$P$40),"",IF(IF('Recurring Schedule'!$N$40&gt;0,MOD($A55-'Recurring Schedule'!$F$40,'Recurring Schedule'!$N$40)=0,IF('Recurring Schedule'!$O$40&gt;0,AND(DAY($A55)=MIN(DAY('Recurring Schedule'!$F$40),DAY(EOMONTH($A55,0))),MOD((YEAR($A55)-YEAR('Recurring Schedule'!$F$40))*12+MONTH($A55)-MONTH('Recurring Schedule'!$F$40),'Recurring Schedule'!$O$40)=0),IF('Recurring Schedule'!$E$40="Weekdays",WEEKDAY($A55,2)&lt;=5,$A55='Recurring Schedule'!$F$40))),35,""))))</f>
        <v/>
      </c>
      <c r="AK55">
        <f>IF('Recurring Schedule'!$C$41="","",IF('Recurring Schedule'!$F$41="","",IF(OR($A55&lt;'Recurring Schedule'!$F$41,$A55&gt;'Recurring Schedule'!$P$41),"",IF(IF('Recurring Schedule'!$N$41&gt;0,MOD($A55-'Recurring Schedule'!$F$41,'Recurring Schedule'!$N$41)=0,IF('Recurring Schedule'!$O$41&gt;0,AND(DAY($A55)=MIN(DAY('Recurring Schedule'!$F$41),DAY(EOMONTH($A55,0))),MOD((YEAR($A55)-YEAR('Recurring Schedule'!$F$41))*12+MONTH($A55)-MONTH('Recurring Schedule'!$F$41),'Recurring Schedule'!$O$41)=0),IF('Recurring Schedule'!$E$41="Weekdays",WEEKDAY($A55,2)&lt;=5,$A55='Recurring Schedule'!$F$41))),36,""))))</f>
        <v/>
      </c>
      <c r="AL55">
        <f>IF('Recurring Schedule'!$C$42="","",IF('Recurring Schedule'!$F$42="","",IF(OR($A55&lt;'Recurring Schedule'!$F$42,$A55&gt;'Recurring Schedule'!$P$42),"",IF(IF('Recurring Schedule'!$N$42&gt;0,MOD($A55-'Recurring Schedule'!$F$42,'Recurring Schedule'!$N$42)=0,IF('Recurring Schedule'!$O$42&gt;0,AND(DAY($A55)=MIN(DAY('Recurring Schedule'!$F$42),DAY(EOMONTH($A55,0))),MOD((YEAR($A55)-YEAR('Recurring Schedule'!$F$42))*12+MONTH($A55)-MONTH('Recurring Schedule'!$F$42),'Recurring Schedule'!$O$42)=0),IF('Recurring Schedule'!$E$42="Weekdays",WEEKDAY($A55,2)&lt;=5,$A55='Recurring Schedule'!$F$42))),37,""))))</f>
        <v/>
      </c>
      <c r="AM55">
        <f>IF('Recurring Schedule'!$C$43="","",IF('Recurring Schedule'!$F$43="","",IF(OR($A55&lt;'Recurring Schedule'!$F$43,$A55&gt;'Recurring Schedule'!$P$43),"",IF(IF('Recurring Schedule'!$N$43&gt;0,MOD($A55-'Recurring Schedule'!$F$43,'Recurring Schedule'!$N$43)=0,IF('Recurring Schedule'!$O$43&gt;0,AND(DAY($A55)=MIN(DAY('Recurring Schedule'!$F$43),DAY(EOMONTH($A55,0))),MOD((YEAR($A55)-YEAR('Recurring Schedule'!$F$43))*12+MONTH($A55)-MONTH('Recurring Schedule'!$F$43),'Recurring Schedule'!$O$43)=0),IF('Recurring Schedule'!$E$43="Weekdays",WEEKDAY($A55,2)&lt;=5,$A55='Recurring Schedule'!$F$43))),38,""))))</f>
        <v/>
      </c>
      <c r="AN55">
        <f>IF('Recurring Schedule'!$C$44="","",IF('Recurring Schedule'!$F$44="","",IF(OR($A55&lt;'Recurring Schedule'!$F$44,$A55&gt;'Recurring Schedule'!$P$44),"",IF(IF('Recurring Schedule'!$N$44&gt;0,MOD($A55-'Recurring Schedule'!$F$44,'Recurring Schedule'!$N$44)=0,IF('Recurring Schedule'!$O$44&gt;0,AND(DAY($A55)=MIN(DAY('Recurring Schedule'!$F$44),DAY(EOMONTH($A55,0))),MOD((YEAR($A55)-YEAR('Recurring Schedule'!$F$44))*12+MONTH($A55)-MONTH('Recurring Schedule'!$F$44),'Recurring Schedule'!$O$44)=0),IF('Recurring Schedule'!$E$44="Weekdays",WEEKDAY($A55,2)&lt;=5,$A55='Recurring Schedule'!$F$44))),39,""))))</f>
        <v/>
      </c>
      <c r="AO55">
        <f>IF('Recurring Schedule'!$C$45="","",IF('Recurring Schedule'!$F$45="","",IF(OR($A55&lt;'Recurring Schedule'!$F$45,$A55&gt;'Recurring Schedule'!$P$45),"",IF(IF('Recurring Schedule'!$N$45&gt;0,MOD($A55-'Recurring Schedule'!$F$45,'Recurring Schedule'!$N$45)=0,IF('Recurring Schedule'!$O$45&gt;0,AND(DAY($A55)=MIN(DAY('Recurring Schedule'!$F$45),DAY(EOMONTH($A55,0))),MOD((YEAR($A55)-YEAR('Recurring Schedule'!$F$45))*12+MONTH($A55)-MONTH('Recurring Schedule'!$F$45),'Recurring Schedule'!$O$45)=0),IF('Recurring Schedule'!$E$45="Weekdays",WEEKDAY($A55,2)&lt;=5,$A55='Recurring Schedule'!$F$45))),40,""))))</f>
        <v/>
      </c>
      <c r="AP55">
        <f>COUNT(B55:AO55)</f>
        <v/>
      </c>
      <c r="AQ55">
        <f>AQ54+AP54</f>
        <v/>
      </c>
      <c r="AS55" t="inlineStr">
        <is>
          <t>R</t>
        </is>
      </c>
      <c r="AT55" t="n">
        <v>59</v>
      </c>
      <c r="AU55">
        <f>'Recurring Log'!C59&amp;""</f>
        <v/>
      </c>
      <c r="AV55">
        <f>'Recurring Log'!D59&amp;""</f>
        <v/>
      </c>
      <c r="AW55">
        <f>IF('Recurring Log'!E59="","",'Recurring Log'!E59)</f>
        <v/>
      </c>
      <c r="AX55">
        <f>IF('Recurring Log'!G59="","",'Recurring Log'!G59)</f>
        <v/>
      </c>
      <c r="AY55">
        <f>IF('Recurring Log'!H59="","",'Recurring Log'!H59)</f>
        <v/>
      </c>
      <c r="AZ55">
        <f>IF(AU55="","",IF('Recurring Log'!J59="","Not Started",'Recurring Log'!J59))</f>
        <v/>
      </c>
      <c r="BA55">
        <f>'Recurring Log'!L59&amp;""</f>
        <v/>
      </c>
      <c r="BB55">
        <f>'Recurring Log'!M59&amp;""</f>
        <v/>
      </c>
      <c r="BC55">
        <f>'Recurring Log'!N59&amp;""</f>
        <v/>
      </c>
      <c r="BD55">
        <f>'Recurring Log'!O59&amp;""</f>
        <v/>
      </c>
      <c r="BE55">
        <f>IF('Recurring Log'!K59="","",'Recurring Log'!K59)</f>
        <v/>
      </c>
      <c r="BF55">
        <f>IFERROR(MATCH(BA55,Setup!$L$6:$L$9,0),5)</f>
        <v/>
      </c>
      <c r="BG55">
        <f>IF(OR(AZ55="Done",AZ55="Cancelled"),1,0)</f>
        <v/>
      </c>
      <c r="BH55">
        <f>IF(AND(AU55&lt;&gt;"",ISNUMBER(AW55)),1,0)</f>
        <v/>
      </c>
      <c r="BI55">
        <f>IF(BH55=0,0,IF(AND(AW55&gt;='Tasks Filter'!$F$3,AW55&lt;='Tasks Filter'!$F$4,OR('Tasks Filter'!$I$3="",ISNUMBER(SEARCH('Tasks Filter'!$I$3,AU55))),OR('Tasks Filter'!$I$4="",BF55=IFERROR(MATCH('Tasks Filter'!$I$4,Setup!$L$6:$L$9,0),0)),OR('Tasks Filter'!$I$5="Both",AND('Tasks Filter'!$I$5="Yes",BB55="✓"),AND('Tasks Filter'!$I$5="No",BB55&lt;&gt;"✓")),OR('Tasks Filter'!$L$3="",AV55='Tasks Filter'!$L$3),OR('Tasks Filter'!$L$4="",AZ55='Tasks Filter'!$L$4),OR('Tasks Filter'!$L$5="",BC55='Tasks Filter'!$L$5),OR('Tasks Filter'!$O$3="",BD55='Tasks Filter'!$O$3),OR('Tasks Filter'!$O$4="Yes",BG55=0)),1,0))</f>
        <v/>
      </c>
      <c r="BJ55">
        <f>IF(BH55=0,"",IF('Tasks Filter'!$F$6="Descending",-1,1)*CHOOSE(MATCH('Tasks Filter'!$F$5,Lists!$G$2:$G$6,0),AW55,BF55,IFERROR(MATCH(AV55,Setup!$F$6:$F$15,0),99),IFERROR(MATCH(BC55,Setup!$H$6:$H$15,0),99),IFERROR(MATCH(AZ55,Setup!$J$6:$J$11,0),99))*1E+9+(AW55-40000)*10000+54)</f>
        <v/>
      </c>
      <c r="BK55">
        <f>IF(BI55=1,BJ55,"")</f>
        <v/>
      </c>
      <c r="BL55">
        <f>IF(AND(BH55=1,BG55=0,N(AW55)&lt;Setup!$D$7),(AW55-40000)*10000+54,"")</f>
        <v/>
      </c>
      <c r="BM55">
        <f>IF(AND(BH55=1,AZ55&lt;&gt;"Cancelled",N(AW55)&gt;=Dashboard!$AB$3,N(AW55)&lt;=Dashboard!$AB$3+6),(AW55-40000)*100000+BF55*10000+54,"")</f>
        <v/>
      </c>
      <c r="BN55">
        <f>IF(AND(BH55=1,AZ55&lt;&gt;"Cancelled"),BF55*10000+54,"")</f>
        <v/>
      </c>
    </row>
    <row r="56">
      <c r="A56">
        <f>Setup!$D$5+54</f>
        <v/>
      </c>
      <c r="B56">
        <f>IF('Recurring Schedule'!$C$6="","",IF('Recurring Schedule'!$F$6="","",IF(OR($A56&lt;'Recurring Schedule'!$F$6,$A56&gt;'Recurring Schedule'!$P$6),"",IF(IF('Recurring Schedule'!$N$6&gt;0,MOD($A56-'Recurring Schedule'!$F$6,'Recurring Schedule'!$N$6)=0,IF('Recurring Schedule'!$O$6&gt;0,AND(DAY($A56)=MIN(DAY('Recurring Schedule'!$F$6),DAY(EOMONTH($A56,0))),MOD((YEAR($A56)-YEAR('Recurring Schedule'!$F$6))*12+MONTH($A56)-MONTH('Recurring Schedule'!$F$6),'Recurring Schedule'!$O$6)=0),IF('Recurring Schedule'!$E$6="Weekdays",WEEKDAY($A56,2)&lt;=5,$A56='Recurring Schedule'!$F$6))),1,""))))</f>
        <v/>
      </c>
      <c r="C56">
        <f>IF('Recurring Schedule'!$C$7="","",IF('Recurring Schedule'!$F$7="","",IF(OR($A56&lt;'Recurring Schedule'!$F$7,$A56&gt;'Recurring Schedule'!$P$7),"",IF(IF('Recurring Schedule'!$N$7&gt;0,MOD($A56-'Recurring Schedule'!$F$7,'Recurring Schedule'!$N$7)=0,IF('Recurring Schedule'!$O$7&gt;0,AND(DAY($A56)=MIN(DAY('Recurring Schedule'!$F$7),DAY(EOMONTH($A56,0))),MOD((YEAR($A56)-YEAR('Recurring Schedule'!$F$7))*12+MONTH($A56)-MONTH('Recurring Schedule'!$F$7),'Recurring Schedule'!$O$7)=0),IF('Recurring Schedule'!$E$7="Weekdays",WEEKDAY($A56,2)&lt;=5,$A56='Recurring Schedule'!$F$7))),2,""))))</f>
        <v/>
      </c>
      <c r="D56">
        <f>IF('Recurring Schedule'!$C$8="","",IF('Recurring Schedule'!$F$8="","",IF(OR($A56&lt;'Recurring Schedule'!$F$8,$A56&gt;'Recurring Schedule'!$P$8),"",IF(IF('Recurring Schedule'!$N$8&gt;0,MOD($A56-'Recurring Schedule'!$F$8,'Recurring Schedule'!$N$8)=0,IF('Recurring Schedule'!$O$8&gt;0,AND(DAY($A56)=MIN(DAY('Recurring Schedule'!$F$8),DAY(EOMONTH($A56,0))),MOD((YEAR($A56)-YEAR('Recurring Schedule'!$F$8))*12+MONTH($A56)-MONTH('Recurring Schedule'!$F$8),'Recurring Schedule'!$O$8)=0),IF('Recurring Schedule'!$E$8="Weekdays",WEEKDAY($A56,2)&lt;=5,$A56='Recurring Schedule'!$F$8))),3,""))))</f>
        <v/>
      </c>
      <c r="E56">
        <f>IF('Recurring Schedule'!$C$9="","",IF('Recurring Schedule'!$F$9="","",IF(OR($A56&lt;'Recurring Schedule'!$F$9,$A56&gt;'Recurring Schedule'!$P$9),"",IF(IF('Recurring Schedule'!$N$9&gt;0,MOD($A56-'Recurring Schedule'!$F$9,'Recurring Schedule'!$N$9)=0,IF('Recurring Schedule'!$O$9&gt;0,AND(DAY($A56)=MIN(DAY('Recurring Schedule'!$F$9),DAY(EOMONTH($A56,0))),MOD((YEAR($A56)-YEAR('Recurring Schedule'!$F$9))*12+MONTH($A56)-MONTH('Recurring Schedule'!$F$9),'Recurring Schedule'!$O$9)=0),IF('Recurring Schedule'!$E$9="Weekdays",WEEKDAY($A56,2)&lt;=5,$A56='Recurring Schedule'!$F$9))),4,""))))</f>
        <v/>
      </c>
      <c r="F56">
        <f>IF('Recurring Schedule'!$C$10="","",IF('Recurring Schedule'!$F$10="","",IF(OR($A56&lt;'Recurring Schedule'!$F$10,$A56&gt;'Recurring Schedule'!$P$10),"",IF(IF('Recurring Schedule'!$N$10&gt;0,MOD($A56-'Recurring Schedule'!$F$10,'Recurring Schedule'!$N$10)=0,IF('Recurring Schedule'!$O$10&gt;0,AND(DAY($A56)=MIN(DAY('Recurring Schedule'!$F$10),DAY(EOMONTH($A56,0))),MOD((YEAR($A56)-YEAR('Recurring Schedule'!$F$10))*12+MONTH($A56)-MONTH('Recurring Schedule'!$F$10),'Recurring Schedule'!$O$10)=0),IF('Recurring Schedule'!$E$10="Weekdays",WEEKDAY($A56,2)&lt;=5,$A56='Recurring Schedule'!$F$10))),5,""))))</f>
        <v/>
      </c>
      <c r="G56">
        <f>IF('Recurring Schedule'!$C$11="","",IF('Recurring Schedule'!$F$11="","",IF(OR($A56&lt;'Recurring Schedule'!$F$11,$A56&gt;'Recurring Schedule'!$P$11),"",IF(IF('Recurring Schedule'!$N$11&gt;0,MOD($A56-'Recurring Schedule'!$F$11,'Recurring Schedule'!$N$11)=0,IF('Recurring Schedule'!$O$11&gt;0,AND(DAY($A56)=MIN(DAY('Recurring Schedule'!$F$11),DAY(EOMONTH($A56,0))),MOD((YEAR($A56)-YEAR('Recurring Schedule'!$F$11))*12+MONTH($A56)-MONTH('Recurring Schedule'!$F$11),'Recurring Schedule'!$O$11)=0),IF('Recurring Schedule'!$E$11="Weekdays",WEEKDAY($A56,2)&lt;=5,$A56='Recurring Schedule'!$F$11))),6,""))))</f>
        <v/>
      </c>
      <c r="H56">
        <f>IF('Recurring Schedule'!$C$12="","",IF('Recurring Schedule'!$F$12="","",IF(OR($A56&lt;'Recurring Schedule'!$F$12,$A56&gt;'Recurring Schedule'!$P$12),"",IF(IF('Recurring Schedule'!$N$12&gt;0,MOD($A56-'Recurring Schedule'!$F$12,'Recurring Schedule'!$N$12)=0,IF('Recurring Schedule'!$O$12&gt;0,AND(DAY($A56)=MIN(DAY('Recurring Schedule'!$F$12),DAY(EOMONTH($A56,0))),MOD((YEAR($A56)-YEAR('Recurring Schedule'!$F$12))*12+MONTH($A56)-MONTH('Recurring Schedule'!$F$12),'Recurring Schedule'!$O$12)=0),IF('Recurring Schedule'!$E$12="Weekdays",WEEKDAY($A56,2)&lt;=5,$A56='Recurring Schedule'!$F$12))),7,""))))</f>
        <v/>
      </c>
      <c r="I56">
        <f>IF('Recurring Schedule'!$C$13="","",IF('Recurring Schedule'!$F$13="","",IF(OR($A56&lt;'Recurring Schedule'!$F$13,$A56&gt;'Recurring Schedule'!$P$13),"",IF(IF('Recurring Schedule'!$N$13&gt;0,MOD($A56-'Recurring Schedule'!$F$13,'Recurring Schedule'!$N$13)=0,IF('Recurring Schedule'!$O$13&gt;0,AND(DAY($A56)=MIN(DAY('Recurring Schedule'!$F$13),DAY(EOMONTH($A56,0))),MOD((YEAR($A56)-YEAR('Recurring Schedule'!$F$13))*12+MONTH($A56)-MONTH('Recurring Schedule'!$F$13),'Recurring Schedule'!$O$13)=0),IF('Recurring Schedule'!$E$13="Weekdays",WEEKDAY($A56,2)&lt;=5,$A56='Recurring Schedule'!$F$13))),8,""))))</f>
        <v/>
      </c>
      <c r="J56">
        <f>IF('Recurring Schedule'!$C$14="","",IF('Recurring Schedule'!$F$14="","",IF(OR($A56&lt;'Recurring Schedule'!$F$14,$A56&gt;'Recurring Schedule'!$P$14),"",IF(IF('Recurring Schedule'!$N$14&gt;0,MOD($A56-'Recurring Schedule'!$F$14,'Recurring Schedule'!$N$14)=0,IF('Recurring Schedule'!$O$14&gt;0,AND(DAY($A56)=MIN(DAY('Recurring Schedule'!$F$14),DAY(EOMONTH($A56,0))),MOD((YEAR($A56)-YEAR('Recurring Schedule'!$F$14))*12+MONTH($A56)-MONTH('Recurring Schedule'!$F$14),'Recurring Schedule'!$O$14)=0),IF('Recurring Schedule'!$E$14="Weekdays",WEEKDAY($A56,2)&lt;=5,$A56='Recurring Schedule'!$F$14))),9,""))))</f>
        <v/>
      </c>
      <c r="K56">
        <f>IF('Recurring Schedule'!$C$15="","",IF('Recurring Schedule'!$F$15="","",IF(OR($A56&lt;'Recurring Schedule'!$F$15,$A56&gt;'Recurring Schedule'!$P$15),"",IF(IF('Recurring Schedule'!$N$15&gt;0,MOD($A56-'Recurring Schedule'!$F$15,'Recurring Schedule'!$N$15)=0,IF('Recurring Schedule'!$O$15&gt;0,AND(DAY($A56)=MIN(DAY('Recurring Schedule'!$F$15),DAY(EOMONTH($A56,0))),MOD((YEAR($A56)-YEAR('Recurring Schedule'!$F$15))*12+MONTH($A56)-MONTH('Recurring Schedule'!$F$15),'Recurring Schedule'!$O$15)=0),IF('Recurring Schedule'!$E$15="Weekdays",WEEKDAY($A56,2)&lt;=5,$A56='Recurring Schedule'!$F$15))),10,""))))</f>
        <v/>
      </c>
      <c r="L56">
        <f>IF('Recurring Schedule'!$C$16="","",IF('Recurring Schedule'!$F$16="","",IF(OR($A56&lt;'Recurring Schedule'!$F$16,$A56&gt;'Recurring Schedule'!$P$16),"",IF(IF('Recurring Schedule'!$N$16&gt;0,MOD($A56-'Recurring Schedule'!$F$16,'Recurring Schedule'!$N$16)=0,IF('Recurring Schedule'!$O$16&gt;0,AND(DAY($A56)=MIN(DAY('Recurring Schedule'!$F$16),DAY(EOMONTH($A56,0))),MOD((YEAR($A56)-YEAR('Recurring Schedule'!$F$16))*12+MONTH($A56)-MONTH('Recurring Schedule'!$F$16),'Recurring Schedule'!$O$16)=0),IF('Recurring Schedule'!$E$16="Weekdays",WEEKDAY($A56,2)&lt;=5,$A56='Recurring Schedule'!$F$16))),11,""))))</f>
        <v/>
      </c>
      <c r="M56">
        <f>IF('Recurring Schedule'!$C$17="","",IF('Recurring Schedule'!$F$17="","",IF(OR($A56&lt;'Recurring Schedule'!$F$17,$A56&gt;'Recurring Schedule'!$P$17),"",IF(IF('Recurring Schedule'!$N$17&gt;0,MOD($A56-'Recurring Schedule'!$F$17,'Recurring Schedule'!$N$17)=0,IF('Recurring Schedule'!$O$17&gt;0,AND(DAY($A56)=MIN(DAY('Recurring Schedule'!$F$17),DAY(EOMONTH($A56,0))),MOD((YEAR($A56)-YEAR('Recurring Schedule'!$F$17))*12+MONTH($A56)-MONTH('Recurring Schedule'!$F$17),'Recurring Schedule'!$O$17)=0),IF('Recurring Schedule'!$E$17="Weekdays",WEEKDAY($A56,2)&lt;=5,$A56='Recurring Schedule'!$F$17))),12,""))))</f>
        <v/>
      </c>
      <c r="N56">
        <f>IF('Recurring Schedule'!$C$18="","",IF('Recurring Schedule'!$F$18="","",IF(OR($A56&lt;'Recurring Schedule'!$F$18,$A56&gt;'Recurring Schedule'!$P$18),"",IF(IF('Recurring Schedule'!$N$18&gt;0,MOD($A56-'Recurring Schedule'!$F$18,'Recurring Schedule'!$N$18)=0,IF('Recurring Schedule'!$O$18&gt;0,AND(DAY($A56)=MIN(DAY('Recurring Schedule'!$F$18),DAY(EOMONTH($A56,0))),MOD((YEAR($A56)-YEAR('Recurring Schedule'!$F$18))*12+MONTH($A56)-MONTH('Recurring Schedule'!$F$18),'Recurring Schedule'!$O$18)=0),IF('Recurring Schedule'!$E$18="Weekdays",WEEKDAY($A56,2)&lt;=5,$A56='Recurring Schedule'!$F$18))),13,""))))</f>
        <v/>
      </c>
      <c r="O56">
        <f>IF('Recurring Schedule'!$C$19="","",IF('Recurring Schedule'!$F$19="","",IF(OR($A56&lt;'Recurring Schedule'!$F$19,$A56&gt;'Recurring Schedule'!$P$19),"",IF(IF('Recurring Schedule'!$N$19&gt;0,MOD($A56-'Recurring Schedule'!$F$19,'Recurring Schedule'!$N$19)=0,IF('Recurring Schedule'!$O$19&gt;0,AND(DAY($A56)=MIN(DAY('Recurring Schedule'!$F$19),DAY(EOMONTH($A56,0))),MOD((YEAR($A56)-YEAR('Recurring Schedule'!$F$19))*12+MONTH($A56)-MONTH('Recurring Schedule'!$F$19),'Recurring Schedule'!$O$19)=0),IF('Recurring Schedule'!$E$19="Weekdays",WEEKDAY($A56,2)&lt;=5,$A56='Recurring Schedule'!$F$19))),14,""))))</f>
        <v/>
      </c>
      <c r="P56">
        <f>IF('Recurring Schedule'!$C$20="","",IF('Recurring Schedule'!$F$20="","",IF(OR($A56&lt;'Recurring Schedule'!$F$20,$A56&gt;'Recurring Schedule'!$P$20),"",IF(IF('Recurring Schedule'!$N$20&gt;0,MOD($A56-'Recurring Schedule'!$F$20,'Recurring Schedule'!$N$20)=0,IF('Recurring Schedule'!$O$20&gt;0,AND(DAY($A56)=MIN(DAY('Recurring Schedule'!$F$20),DAY(EOMONTH($A56,0))),MOD((YEAR($A56)-YEAR('Recurring Schedule'!$F$20))*12+MONTH($A56)-MONTH('Recurring Schedule'!$F$20),'Recurring Schedule'!$O$20)=0),IF('Recurring Schedule'!$E$20="Weekdays",WEEKDAY($A56,2)&lt;=5,$A56='Recurring Schedule'!$F$20))),15,""))))</f>
        <v/>
      </c>
      <c r="Q56">
        <f>IF('Recurring Schedule'!$C$21="","",IF('Recurring Schedule'!$F$21="","",IF(OR($A56&lt;'Recurring Schedule'!$F$21,$A56&gt;'Recurring Schedule'!$P$21),"",IF(IF('Recurring Schedule'!$N$21&gt;0,MOD($A56-'Recurring Schedule'!$F$21,'Recurring Schedule'!$N$21)=0,IF('Recurring Schedule'!$O$21&gt;0,AND(DAY($A56)=MIN(DAY('Recurring Schedule'!$F$21),DAY(EOMONTH($A56,0))),MOD((YEAR($A56)-YEAR('Recurring Schedule'!$F$21))*12+MONTH($A56)-MONTH('Recurring Schedule'!$F$21),'Recurring Schedule'!$O$21)=0),IF('Recurring Schedule'!$E$21="Weekdays",WEEKDAY($A56,2)&lt;=5,$A56='Recurring Schedule'!$F$21))),16,""))))</f>
        <v/>
      </c>
      <c r="R56">
        <f>IF('Recurring Schedule'!$C$22="","",IF('Recurring Schedule'!$F$22="","",IF(OR($A56&lt;'Recurring Schedule'!$F$22,$A56&gt;'Recurring Schedule'!$P$22),"",IF(IF('Recurring Schedule'!$N$22&gt;0,MOD($A56-'Recurring Schedule'!$F$22,'Recurring Schedule'!$N$22)=0,IF('Recurring Schedule'!$O$22&gt;0,AND(DAY($A56)=MIN(DAY('Recurring Schedule'!$F$22),DAY(EOMONTH($A56,0))),MOD((YEAR($A56)-YEAR('Recurring Schedule'!$F$22))*12+MONTH($A56)-MONTH('Recurring Schedule'!$F$22),'Recurring Schedule'!$O$22)=0),IF('Recurring Schedule'!$E$22="Weekdays",WEEKDAY($A56,2)&lt;=5,$A56='Recurring Schedule'!$F$22))),17,""))))</f>
        <v/>
      </c>
      <c r="S56">
        <f>IF('Recurring Schedule'!$C$23="","",IF('Recurring Schedule'!$F$23="","",IF(OR($A56&lt;'Recurring Schedule'!$F$23,$A56&gt;'Recurring Schedule'!$P$23),"",IF(IF('Recurring Schedule'!$N$23&gt;0,MOD($A56-'Recurring Schedule'!$F$23,'Recurring Schedule'!$N$23)=0,IF('Recurring Schedule'!$O$23&gt;0,AND(DAY($A56)=MIN(DAY('Recurring Schedule'!$F$23),DAY(EOMONTH($A56,0))),MOD((YEAR($A56)-YEAR('Recurring Schedule'!$F$23))*12+MONTH($A56)-MONTH('Recurring Schedule'!$F$23),'Recurring Schedule'!$O$23)=0),IF('Recurring Schedule'!$E$23="Weekdays",WEEKDAY($A56,2)&lt;=5,$A56='Recurring Schedule'!$F$23))),18,""))))</f>
        <v/>
      </c>
      <c r="T56">
        <f>IF('Recurring Schedule'!$C$24="","",IF('Recurring Schedule'!$F$24="","",IF(OR($A56&lt;'Recurring Schedule'!$F$24,$A56&gt;'Recurring Schedule'!$P$24),"",IF(IF('Recurring Schedule'!$N$24&gt;0,MOD($A56-'Recurring Schedule'!$F$24,'Recurring Schedule'!$N$24)=0,IF('Recurring Schedule'!$O$24&gt;0,AND(DAY($A56)=MIN(DAY('Recurring Schedule'!$F$24),DAY(EOMONTH($A56,0))),MOD((YEAR($A56)-YEAR('Recurring Schedule'!$F$24))*12+MONTH($A56)-MONTH('Recurring Schedule'!$F$24),'Recurring Schedule'!$O$24)=0),IF('Recurring Schedule'!$E$24="Weekdays",WEEKDAY($A56,2)&lt;=5,$A56='Recurring Schedule'!$F$24))),19,""))))</f>
        <v/>
      </c>
      <c r="U56">
        <f>IF('Recurring Schedule'!$C$25="","",IF('Recurring Schedule'!$F$25="","",IF(OR($A56&lt;'Recurring Schedule'!$F$25,$A56&gt;'Recurring Schedule'!$P$25),"",IF(IF('Recurring Schedule'!$N$25&gt;0,MOD($A56-'Recurring Schedule'!$F$25,'Recurring Schedule'!$N$25)=0,IF('Recurring Schedule'!$O$25&gt;0,AND(DAY($A56)=MIN(DAY('Recurring Schedule'!$F$25),DAY(EOMONTH($A56,0))),MOD((YEAR($A56)-YEAR('Recurring Schedule'!$F$25))*12+MONTH($A56)-MONTH('Recurring Schedule'!$F$25),'Recurring Schedule'!$O$25)=0),IF('Recurring Schedule'!$E$25="Weekdays",WEEKDAY($A56,2)&lt;=5,$A56='Recurring Schedule'!$F$25))),20,""))))</f>
        <v/>
      </c>
      <c r="V56">
        <f>IF('Recurring Schedule'!$C$26="","",IF('Recurring Schedule'!$F$26="","",IF(OR($A56&lt;'Recurring Schedule'!$F$26,$A56&gt;'Recurring Schedule'!$P$26),"",IF(IF('Recurring Schedule'!$N$26&gt;0,MOD($A56-'Recurring Schedule'!$F$26,'Recurring Schedule'!$N$26)=0,IF('Recurring Schedule'!$O$26&gt;0,AND(DAY($A56)=MIN(DAY('Recurring Schedule'!$F$26),DAY(EOMONTH($A56,0))),MOD((YEAR($A56)-YEAR('Recurring Schedule'!$F$26))*12+MONTH($A56)-MONTH('Recurring Schedule'!$F$26),'Recurring Schedule'!$O$26)=0),IF('Recurring Schedule'!$E$26="Weekdays",WEEKDAY($A56,2)&lt;=5,$A56='Recurring Schedule'!$F$26))),21,""))))</f>
        <v/>
      </c>
      <c r="W56">
        <f>IF('Recurring Schedule'!$C$27="","",IF('Recurring Schedule'!$F$27="","",IF(OR($A56&lt;'Recurring Schedule'!$F$27,$A56&gt;'Recurring Schedule'!$P$27),"",IF(IF('Recurring Schedule'!$N$27&gt;0,MOD($A56-'Recurring Schedule'!$F$27,'Recurring Schedule'!$N$27)=0,IF('Recurring Schedule'!$O$27&gt;0,AND(DAY($A56)=MIN(DAY('Recurring Schedule'!$F$27),DAY(EOMONTH($A56,0))),MOD((YEAR($A56)-YEAR('Recurring Schedule'!$F$27))*12+MONTH($A56)-MONTH('Recurring Schedule'!$F$27),'Recurring Schedule'!$O$27)=0),IF('Recurring Schedule'!$E$27="Weekdays",WEEKDAY($A56,2)&lt;=5,$A56='Recurring Schedule'!$F$27))),22,""))))</f>
        <v/>
      </c>
      <c r="X56">
        <f>IF('Recurring Schedule'!$C$28="","",IF('Recurring Schedule'!$F$28="","",IF(OR($A56&lt;'Recurring Schedule'!$F$28,$A56&gt;'Recurring Schedule'!$P$28),"",IF(IF('Recurring Schedule'!$N$28&gt;0,MOD($A56-'Recurring Schedule'!$F$28,'Recurring Schedule'!$N$28)=0,IF('Recurring Schedule'!$O$28&gt;0,AND(DAY($A56)=MIN(DAY('Recurring Schedule'!$F$28),DAY(EOMONTH($A56,0))),MOD((YEAR($A56)-YEAR('Recurring Schedule'!$F$28))*12+MONTH($A56)-MONTH('Recurring Schedule'!$F$28),'Recurring Schedule'!$O$28)=0),IF('Recurring Schedule'!$E$28="Weekdays",WEEKDAY($A56,2)&lt;=5,$A56='Recurring Schedule'!$F$28))),23,""))))</f>
        <v/>
      </c>
      <c r="Y56">
        <f>IF('Recurring Schedule'!$C$29="","",IF('Recurring Schedule'!$F$29="","",IF(OR($A56&lt;'Recurring Schedule'!$F$29,$A56&gt;'Recurring Schedule'!$P$29),"",IF(IF('Recurring Schedule'!$N$29&gt;0,MOD($A56-'Recurring Schedule'!$F$29,'Recurring Schedule'!$N$29)=0,IF('Recurring Schedule'!$O$29&gt;0,AND(DAY($A56)=MIN(DAY('Recurring Schedule'!$F$29),DAY(EOMONTH($A56,0))),MOD((YEAR($A56)-YEAR('Recurring Schedule'!$F$29))*12+MONTH($A56)-MONTH('Recurring Schedule'!$F$29),'Recurring Schedule'!$O$29)=0),IF('Recurring Schedule'!$E$29="Weekdays",WEEKDAY($A56,2)&lt;=5,$A56='Recurring Schedule'!$F$29))),24,""))))</f>
        <v/>
      </c>
      <c r="Z56">
        <f>IF('Recurring Schedule'!$C$30="","",IF('Recurring Schedule'!$F$30="","",IF(OR($A56&lt;'Recurring Schedule'!$F$30,$A56&gt;'Recurring Schedule'!$P$30),"",IF(IF('Recurring Schedule'!$N$30&gt;0,MOD($A56-'Recurring Schedule'!$F$30,'Recurring Schedule'!$N$30)=0,IF('Recurring Schedule'!$O$30&gt;0,AND(DAY($A56)=MIN(DAY('Recurring Schedule'!$F$30),DAY(EOMONTH($A56,0))),MOD((YEAR($A56)-YEAR('Recurring Schedule'!$F$30))*12+MONTH($A56)-MONTH('Recurring Schedule'!$F$30),'Recurring Schedule'!$O$30)=0),IF('Recurring Schedule'!$E$30="Weekdays",WEEKDAY($A56,2)&lt;=5,$A56='Recurring Schedule'!$F$30))),25,""))))</f>
        <v/>
      </c>
      <c r="AA56">
        <f>IF('Recurring Schedule'!$C$31="","",IF('Recurring Schedule'!$F$31="","",IF(OR($A56&lt;'Recurring Schedule'!$F$31,$A56&gt;'Recurring Schedule'!$P$31),"",IF(IF('Recurring Schedule'!$N$31&gt;0,MOD($A56-'Recurring Schedule'!$F$31,'Recurring Schedule'!$N$31)=0,IF('Recurring Schedule'!$O$31&gt;0,AND(DAY($A56)=MIN(DAY('Recurring Schedule'!$F$31),DAY(EOMONTH($A56,0))),MOD((YEAR($A56)-YEAR('Recurring Schedule'!$F$31))*12+MONTH($A56)-MONTH('Recurring Schedule'!$F$31),'Recurring Schedule'!$O$31)=0),IF('Recurring Schedule'!$E$31="Weekdays",WEEKDAY($A56,2)&lt;=5,$A56='Recurring Schedule'!$F$31))),26,""))))</f>
        <v/>
      </c>
      <c r="AB56">
        <f>IF('Recurring Schedule'!$C$32="","",IF('Recurring Schedule'!$F$32="","",IF(OR($A56&lt;'Recurring Schedule'!$F$32,$A56&gt;'Recurring Schedule'!$P$32),"",IF(IF('Recurring Schedule'!$N$32&gt;0,MOD($A56-'Recurring Schedule'!$F$32,'Recurring Schedule'!$N$32)=0,IF('Recurring Schedule'!$O$32&gt;0,AND(DAY($A56)=MIN(DAY('Recurring Schedule'!$F$32),DAY(EOMONTH($A56,0))),MOD((YEAR($A56)-YEAR('Recurring Schedule'!$F$32))*12+MONTH($A56)-MONTH('Recurring Schedule'!$F$32),'Recurring Schedule'!$O$32)=0),IF('Recurring Schedule'!$E$32="Weekdays",WEEKDAY($A56,2)&lt;=5,$A56='Recurring Schedule'!$F$32))),27,""))))</f>
        <v/>
      </c>
      <c r="AC56">
        <f>IF('Recurring Schedule'!$C$33="","",IF('Recurring Schedule'!$F$33="","",IF(OR($A56&lt;'Recurring Schedule'!$F$33,$A56&gt;'Recurring Schedule'!$P$33),"",IF(IF('Recurring Schedule'!$N$33&gt;0,MOD($A56-'Recurring Schedule'!$F$33,'Recurring Schedule'!$N$33)=0,IF('Recurring Schedule'!$O$33&gt;0,AND(DAY($A56)=MIN(DAY('Recurring Schedule'!$F$33),DAY(EOMONTH($A56,0))),MOD((YEAR($A56)-YEAR('Recurring Schedule'!$F$33))*12+MONTH($A56)-MONTH('Recurring Schedule'!$F$33),'Recurring Schedule'!$O$33)=0),IF('Recurring Schedule'!$E$33="Weekdays",WEEKDAY($A56,2)&lt;=5,$A56='Recurring Schedule'!$F$33))),28,""))))</f>
        <v/>
      </c>
      <c r="AD56">
        <f>IF('Recurring Schedule'!$C$34="","",IF('Recurring Schedule'!$F$34="","",IF(OR($A56&lt;'Recurring Schedule'!$F$34,$A56&gt;'Recurring Schedule'!$P$34),"",IF(IF('Recurring Schedule'!$N$34&gt;0,MOD($A56-'Recurring Schedule'!$F$34,'Recurring Schedule'!$N$34)=0,IF('Recurring Schedule'!$O$34&gt;0,AND(DAY($A56)=MIN(DAY('Recurring Schedule'!$F$34),DAY(EOMONTH($A56,0))),MOD((YEAR($A56)-YEAR('Recurring Schedule'!$F$34))*12+MONTH($A56)-MONTH('Recurring Schedule'!$F$34),'Recurring Schedule'!$O$34)=0),IF('Recurring Schedule'!$E$34="Weekdays",WEEKDAY($A56,2)&lt;=5,$A56='Recurring Schedule'!$F$34))),29,""))))</f>
        <v/>
      </c>
      <c r="AE56">
        <f>IF('Recurring Schedule'!$C$35="","",IF('Recurring Schedule'!$F$35="","",IF(OR($A56&lt;'Recurring Schedule'!$F$35,$A56&gt;'Recurring Schedule'!$P$35),"",IF(IF('Recurring Schedule'!$N$35&gt;0,MOD($A56-'Recurring Schedule'!$F$35,'Recurring Schedule'!$N$35)=0,IF('Recurring Schedule'!$O$35&gt;0,AND(DAY($A56)=MIN(DAY('Recurring Schedule'!$F$35),DAY(EOMONTH($A56,0))),MOD((YEAR($A56)-YEAR('Recurring Schedule'!$F$35))*12+MONTH($A56)-MONTH('Recurring Schedule'!$F$35),'Recurring Schedule'!$O$35)=0),IF('Recurring Schedule'!$E$35="Weekdays",WEEKDAY($A56,2)&lt;=5,$A56='Recurring Schedule'!$F$35))),30,""))))</f>
        <v/>
      </c>
      <c r="AF56">
        <f>IF('Recurring Schedule'!$C$36="","",IF('Recurring Schedule'!$F$36="","",IF(OR($A56&lt;'Recurring Schedule'!$F$36,$A56&gt;'Recurring Schedule'!$P$36),"",IF(IF('Recurring Schedule'!$N$36&gt;0,MOD($A56-'Recurring Schedule'!$F$36,'Recurring Schedule'!$N$36)=0,IF('Recurring Schedule'!$O$36&gt;0,AND(DAY($A56)=MIN(DAY('Recurring Schedule'!$F$36),DAY(EOMONTH($A56,0))),MOD((YEAR($A56)-YEAR('Recurring Schedule'!$F$36))*12+MONTH($A56)-MONTH('Recurring Schedule'!$F$36),'Recurring Schedule'!$O$36)=0),IF('Recurring Schedule'!$E$36="Weekdays",WEEKDAY($A56,2)&lt;=5,$A56='Recurring Schedule'!$F$36))),31,""))))</f>
        <v/>
      </c>
      <c r="AG56">
        <f>IF('Recurring Schedule'!$C$37="","",IF('Recurring Schedule'!$F$37="","",IF(OR($A56&lt;'Recurring Schedule'!$F$37,$A56&gt;'Recurring Schedule'!$P$37),"",IF(IF('Recurring Schedule'!$N$37&gt;0,MOD($A56-'Recurring Schedule'!$F$37,'Recurring Schedule'!$N$37)=0,IF('Recurring Schedule'!$O$37&gt;0,AND(DAY($A56)=MIN(DAY('Recurring Schedule'!$F$37),DAY(EOMONTH($A56,0))),MOD((YEAR($A56)-YEAR('Recurring Schedule'!$F$37))*12+MONTH($A56)-MONTH('Recurring Schedule'!$F$37),'Recurring Schedule'!$O$37)=0),IF('Recurring Schedule'!$E$37="Weekdays",WEEKDAY($A56,2)&lt;=5,$A56='Recurring Schedule'!$F$37))),32,""))))</f>
        <v/>
      </c>
      <c r="AH56">
        <f>IF('Recurring Schedule'!$C$38="","",IF('Recurring Schedule'!$F$38="","",IF(OR($A56&lt;'Recurring Schedule'!$F$38,$A56&gt;'Recurring Schedule'!$P$38),"",IF(IF('Recurring Schedule'!$N$38&gt;0,MOD($A56-'Recurring Schedule'!$F$38,'Recurring Schedule'!$N$38)=0,IF('Recurring Schedule'!$O$38&gt;0,AND(DAY($A56)=MIN(DAY('Recurring Schedule'!$F$38),DAY(EOMONTH($A56,0))),MOD((YEAR($A56)-YEAR('Recurring Schedule'!$F$38))*12+MONTH($A56)-MONTH('Recurring Schedule'!$F$38),'Recurring Schedule'!$O$38)=0),IF('Recurring Schedule'!$E$38="Weekdays",WEEKDAY($A56,2)&lt;=5,$A56='Recurring Schedule'!$F$38))),33,""))))</f>
        <v/>
      </c>
      <c r="AI56">
        <f>IF('Recurring Schedule'!$C$39="","",IF('Recurring Schedule'!$F$39="","",IF(OR($A56&lt;'Recurring Schedule'!$F$39,$A56&gt;'Recurring Schedule'!$P$39),"",IF(IF('Recurring Schedule'!$N$39&gt;0,MOD($A56-'Recurring Schedule'!$F$39,'Recurring Schedule'!$N$39)=0,IF('Recurring Schedule'!$O$39&gt;0,AND(DAY($A56)=MIN(DAY('Recurring Schedule'!$F$39),DAY(EOMONTH($A56,0))),MOD((YEAR($A56)-YEAR('Recurring Schedule'!$F$39))*12+MONTH($A56)-MONTH('Recurring Schedule'!$F$39),'Recurring Schedule'!$O$39)=0),IF('Recurring Schedule'!$E$39="Weekdays",WEEKDAY($A56,2)&lt;=5,$A56='Recurring Schedule'!$F$39))),34,""))))</f>
        <v/>
      </c>
      <c r="AJ56">
        <f>IF('Recurring Schedule'!$C$40="","",IF('Recurring Schedule'!$F$40="","",IF(OR($A56&lt;'Recurring Schedule'!$F$40,$A56&gt;'Recurring Schedule'!$P$40),"",IF(IF('Recurring Schedule'!$N$40&gt;0,MOD($A56-'Recurring Schedule'!$F$40,'Recurring Schedule'!$N$40)=0,IF('Recurring Schedule'!$O$40&gt;0,AND(DAY($A56)=MIN(DAY('Recurring Schedule'!$F$40),DAY(EOMONTH($A56,0))),MOD((YEAR($A56)-YEAR('Recurring Schedule'!$F$40))*12+MONTH($A56)-MONTH('Recurring Schedule'!$F$40),'Recurring Schedule'!$O$40)=0),IF('Recurring Schedule'!$E$40="Weekdays",WEEKDAY($A56,2)&lt;=5,$A56='Recurring Schedule'!$F$40))),35,""))))</f>
        <v/>
      </c>
      <c r="AK56">
        <f>IF('Recurring Schedule'!$C$41="","",IF('Recurring Schedule'!$F$41="","",IF(OR($A56&lt;'Recurring Schedule'!$F$41,$A56&gt;'Recurring Schedule'!$P$41),"",IF(IF('Recurring Schedule'!$N$41&gt;0,MOD($A56-'Recurring Schedule'!$F$41,'Recurring Schedule'!$N$41)=0,IF('Recurring Schedule'!$O$41&gt;0,AND(DAY($A56)=MIN(DAY('Recurring Schedule'!$F$41),DAY(EOMONTH($A56,0))),MOD((YEAR($A56)-YEAR('Recurring Schedule'!$F$41))*12+MONTH($A56)-MONTH('Recurring Schedule'!$F$41),'Recurring Schedule'!$O$41)=0),IF('Recurring Schedule'!$E$41="Weekdays",WEEKDAY($A56,2)&lt;=5,$A56='Recurring Schedule'!$F$41))),36,""))))</f>
        <v/>
      </c>
      <c r="AL56">
        <f>IF('Recurring Schedule'!$C$42="","",IF('Recurring Schedule'!$F$42="","",IF(OR($A56&lt;'Recurring Schedule'!$F$42,$A56&gt;'Recurring Schedule'!$P$42),"",IF(IF('Recurring Schedule'!$N$42&gt;0,MOD($A56-'Recurring Schedule'!$F$42,'Recurring Schedule'!$N$42)=0,IF('Recurring Schedule'!$O$42&gt;0,AND(DAY($A56)=MIN(DAY('Recurring Schedule'!$F$42),DAY(EOMONTH($A56,0))),MOD((YEAR($A56)-YEAR('Recurring Schedule'!$F$42))*12+MONTH($A56)-MONTH('Recurring Schedule'!$F$42),'Recurring Schedule'!$O$42)=0),IF('Recurring Schedule'!$E$42="Weekdays",WEEKDAY($A56,2)&lt;=5,$A56='Recurring Schedule'!$F$42))),37,""))))</f>
        <v/>
      </c>
      <c r="AM56">
        <f>IF('Recurring Schedule'!$C$43="","",IF('Recurring Schedule'!$F$43="","",IF(OR($A56&lt;'Recurring Schedule'!$F$43,$A56&gt;'Recurring Schedule'!$P$43),"",IF(IF('Recurring Schedule'!$N$43&gt;0,MOD($A56-'Recurring Schedule'!$F$43,'Recurring Schedule'!$N$43)=0,IF('Recurring Schedule'!$O$43&gt;0,AND(DAY($A56)=MIN(DAY('Recurring Schedule'!$F$43),DAY(EOMONTH($A56,0))),MOD((YEAR($A56)-YEAR('Recurring Schedule'!$F$43))*12+MONTH($A56)-MONTH('Recurring Schedule'!$F$43),'Recurring Schedule'!$O$43)=0),IF('Recurring Schedule'!$E$43="Weekdays",WEEKDAY($A56,2)&lt;=5,$A56='Recurring Schedule'!$F$43))),38,""))))</f>
        <v/>
      </c>
      <c r="AN56">
        <f>IF('Recurring Schedule'!$C$44="","",IF('Recurring Schedule'!$F$44="","",IF(OR($A56&lt;'Recurring Schedule'!$F$44,$A56&gt;'Recurring Schedule'!$P$44),"",IF(IF('Recurring Schedule'!$N$44&gt;0,MOD($A56-'Recurring Schedule'!$F$44,'Recurring Schedule'!$N$44)=0,IF('Recurring Schedule'!$O$44&gt;0,AND(DAY($A56)=MIN(DAY('Recurring Schedule'!$F$44),DAY(EOMONTH($A56,0))),MOD((YEAR($A56)-YEAR('Recurring Schedule'!$F$44))*12+MONTH($A56)-MONTH('Recurring Schedule'!$F$44),'Recurring Schedule'!$O$44)=0),IF('Recurring Schedule'!$E$44="Weekdays",WEEKDAY($A56,2)&lt;=5,$A56='Recurring Schedule'!$F$44))),39,""))))</f>
        <v/>
      </c>
      <c r="AO56">
        <f>IF('Recurring Schedule'!$C$45="","",IF('Recurring Schedule'!$F$45="","",IF(OR($A56&lt;'Recurring Schedule'!$F$45,$A56&gt;'Recurring Schedule'!$P$45),"",IF(IF('Recurring Schedule'!$N$45&gt;0,MOD($A56-'Recurring Schedule'!$F$45,'Recurring Schedule'!$N$45)=0,IF('Recurring Schedule'!$O$45&gt;0,AND(DAY($A56)=MIN(DAY('Recurring Schedule'!$F$45),DAY(EOMONTH($A56,0))),MOD((YEAR($A56)-YEAR('Recurring Schedule'!$F$45))*12+MONTH($A56)-MONTH('Recurring Schedule'!$F$45),'Recurring Schedule'!$O$45)=0),IF('Recurring Schedule'!$E$45="Weekdays",WEEKDAY($A56,2)&lt;=5,$A56='Recurring Schedule'!$F$45))),40,""))))</f>
        <v/>
      </c>
      <c r="AP56">
        <f>COUNT(B56:AO56)</f>
        <v/>
      </c>
      <c r="AQ56">
        <f>AQ55+AP55</f>
        <v/>
      </c>
      <c r="AS56" t="inlineStr">
        <is>
          <t>R</t>
        </is>
      </c>
      <c r="AT56" t="n">
        <v>60</v>
      </c>
      <c r="AU56">
        <f>'Recurring Log'!C60&amp;""</f>
        <v/>
      </c>
      <c r="AV56">
        <f>'Recurring Log'!D60&amp;""</f>
        <v/>
      </c>
      <c r="AW56">
        <f>IF('Recurring Log'!E60="","",'Recurring Log'!E60)</f>
        <v/>
      </c>
      <c r="AX56">
        <f>IF('Recurring Log'!G60="","",'Recurring Log'!G60)</f>
        <v/>
      </c>
      <c r="AY56">
        <f>IF('Recurring Log'!H60="","",'Recurring Log'!H60)</f>
        <v/>
      </c>
      <c r="AZ56">
        <f>IF(AU56="","",IF('Recurring Log'!J60="","Not Started",'Recurring Log'!J60))</f>
        <v/>
      </c>
      <c r="BA56">
        <f>'Recurring Log'!L60&amp;""</f>
        <v/>
      </c>
      <c r="BB56">
        <f>'Recurring Log'!M60&amp;""</f>
        <v/>
      </c>
      <c r="BC56">
        <f>'Recurring Log'!N60&amp;""</f>
        <v/>
      </c>
      <c r="BD56">
        <f>'Recurring Log'!O60&amp;""</f>
        <v/>
      </c>
      <c r="BE56">
        <f>IF('Recurring Log'!K60="","",'Recurring Log'!K60)</f>
        <v/>
      </c>
      <c r="BF56">
        <f>IFERROR(MATCH(BA56,Setup!$L$6:$L$9,0),5)</f>
        <v/>
      </c>
      <c r="BG56">
        <f>IF(OR(AZ56="Done",AZ56="Cancelled"),1,0)</f>
        <v/>
      </c>
      <c r="BH56">
        <f>IF(AND(AU56&lt;&gt;"",ISNUMBER(AW56)),1,0)</f>
        <v/>
      </c>
      <c r="BI56">
        <f>IF(BH56=0,0,IF(AND(AW56&gt;='Tasks Filter'!$F$3,AW56&lt;='Tasks Filter'!$F$4,OR('Tasks Filter'!$I$3="",ISNUMBER(SEARCH('Tasks Filter'!$I$3,AU56))),OR('Tasks Filter'!$I$4="",BF56=IFERROR(MATCH('Tasks Filter'!$I$4,Setup!$L$6:$L$9,0),0)),OR('Tasks Filter'!$I$5="Both",AND('Tasks Filter'!$I$5="Yes",BB56="✓"),AND('Tasks Filter'!$I$5="No",BB56&lt;&gt;"✓")),OR('Tasks Filter'!$L$3="",AV56='Tasks Filter'!$L$3),OR('Tasks Filter'!$L$4="",AZ56='Tasks Filter'!$L$4),OR('Tasks Filter'!$L$5="",BC56='Tasks Filter'!$L$5),OR('Tasks Filter'!$O$3="",BD56='Tasks Filter'!$O$3),OR('Tasks Filter'!$O$4="Yes",BG56=0)),1,0))</f>
        <v/>
      </c>
      <c r="BJ56">
        <f>IF(BH56=0,"",IF('Tasks Filter'!$F$6="Descending",-1,1)*CHOOSE(MATCH('Tasks Filter'!$F$5,Lists!$G$2:$G$6,0),AW56,BF56,IFERROR(MATCH(AV56,Setup!$F$6:$F$15,0),99),IFERROR(MATCH(BC56,Setup!$H$6:$H$15,0),99),IFERROR(MATCH(AZ56,Setup!$J$6:$J$11,0),99))*1E+9+(AW56-40000)*10000+55)</f>
        <v/>
      </c>
      <c r="BK56">
        <f>IF(BI56=1,BJ56,"")</f>
        <v/>
      </c>
      <c r="BL56">
        <f>IF(AND(BH56=1,BG56=0,N(AW56)&lt;Setup!$D$7),(AW56-40000)*10000+55,"")</f>
        <v/>
      </c>
      <c r="BM56">
        <f>IF(AND(BH56=1,AZ56&lt;&gt;"Cancelled",N(AW56)&gt;=Dashboard!$AB$3,N(AW56)&lt;=Dashboard!$AB$3+6),(AW56-40000)*100000+BF56*10000+55,"")</f>
        <v/>
      </c>
      <c r="BN56">
        <f>IF(AND(BH56=1,AZ56&lt;&gt;"Cancelled"),BF56*10000+55,"")</f>
        <v/>
      </c>
    </row>
    <row r="57">
      <c r="A57">
        <f>Setup!$D$5+55</f>
        <v/>
      </c>
      <c r="B57">
        <f>IF('Recurring Schedule'!$C$6="","",IF('Recurring Schedule'!$F$6="","",IF(OR($A57&lt;'Recurring Schedule'!$F$6,$A57&gt;'Recurring Schedule'!$P$6),"",IF(IF('Recurring Schedule'!$N$6&gt;0,MOD($A57-'Recurring Schedule'!$F$6,'Recurring Schedule'!$N$6)=0,IF('Recurring Schedule'!$O$6&gt;0,AND(DAY($A57)=MIN(DAY('Recurring Schedule'!$F$6),DAY(EOMONTH($A57,0))),MOD((YEAR($A57)-YEAR('Recurring Schedule'!$F$6))*12+MONTH($A57)-MONTH('Recurring Schedule'!$F$6),'Recurring Schedule'!$O$6)=0),IF('Recurring Schedule'!$E$6="Weekdays",WEEKDAY($A57,2)&lt;=5,$A57='Recurring Schedule'!$F$6))),1,""))))</f>
        <v/>
      </c>
      <c r="C57">
        <f>IF('Recurring Schedule'!$C$7="","",IF('Recurring Schedule'!$F$7="","",IF(OR($A57&lt;'Recurring Schedule'!$F$7,$A57&gt;'Recurring Schedule'!$P$7),"",IF(IF('Recurring Schedule'!$N$7&gt;0,MOD($A57-'Recurring Schedule'!$F$7,'Recurring Schedule'!$N$7)=0,IF('Recurring Schedule'!$O$7&gt;0,AND(DAY($A57)=MIN(DAY('Recurring Schedule'!$F$7),DAY(EOMONTH($A57,0))),MOD((YEAR($A57)-YEAR('Recurring Schedule'!$F$7))*12+MONTH($A57)-MONTH('Recurring Schedule'!$F$7),'Recurring Schedule'!$O$7)=0),IF('Recurring Schedule'!$E$7="Weekdays",WEEKDAY($A57,2)&lt;=5,$A57='Recurring Schedule'!$F$7))),2,""))))</f>
        <v/>
      </c>
      <c r="D57">
        <f>IF('Recurring Schedule'!$C$8="","",IF('Recurring Schedule'!$F$8="","",IF(OR($A57&lt;'Recurring Schedule'!$F$8,$A57&gt;'Recurring Schedule'!$P$8),"",IF(IF('Recurring Schedule'!$N$8&gt;0,MOD($A57-'Recurring Schedule'!$F$8,'Recurring Schedule'!$N$8)=0,IF('Recurring Schedule'!$O$8&gt;0,AND(DAY($A57)=MIN(DAY('Recurring Schedule'!$F$8),DAY(EOMONTH($A57,0))),MOD((YEAR($A57)-YEAR('Recurring Schedule'!$F$8))*12+MONTH($A57)-MONTH('Recurring Schedule'!$F$8),'Recurring Schedule'!$O$8)=0),IF('Recurring Schedule'!$E$8="Weekdays",WEEKDAY($A57,2)&lt;=5,$A57='Recurring Schedule'!$F$8))),3,""))))</f>
        <v/>
      </c>
      <c r="E57">
        <f>IF('Recurring Schedule'!$C$9="","",IF('Recurring Schedule'!$F$9="","",IF(OR($A57&lt;'Recurring Schedule'!$F$9,$A57&gt;'Recurring Schedule'!$P$9),"",IF(IF('Recurring Schedule'!$N$9&gt;0,MOD($A57-'Recurring Schedule'!$F$9,'Recurring Schedule'!$N$9)=0,IF('Recurring Schedule'!$O$9&gt;0,AND(DAY($A57)=MIN(DAY('Recurring Schedule'!$F$9),DAY(EOMONTH($A57,0))),MOD((YEAR($A57)-YEAR('Recurring Schedule'!$F$9))*12+MONTH($A57)-MONTH('Recurring Schedule'!$F$9),'Recurring Schedule'!$O$9)=0),IF('Recurring Schedule'!$E$9="Weekdays",WEEKDAY($A57,2)&lt;=5,$A57='Recurring Schedule'!$F$9))),4,""))))</f>
        <v/>
      </c>
      <c r="F57">
        <f>IF('Recurring Schedule'!$C$10="","",IF('Recurring Schedule'!$F$10="","",IF(OR($A57&lt;'Recurring Schedule'!$F$10,$A57&gt;'Recurring Schedule'!$P$10),"",IF(IF('Recurring Schedule'!$N$10&gt;0,MOD($A57-'Recurring Schedule'!$F$10,'Recurring Schedule'!$N$10)=0,IF('Recurring Schedule'!$O$10&gt;0,AND(DAY($A57)=MIN(DAY('Recurring Schedule'!$F$10),DAY(EOMONTH($A57,0))),MOD((YEAR($A57)-YEAR('Recurring Schedule'!$F$10))*12+MONTH($A57)-MONTH('Recurring Schedule'!$F$10),'Recurring Schedule'!$O$10)=0),IF('Recurring Schedule'!$E$10="Weekdays",WEEKDAY($A57,2)&lt;=5,$A57='Recurring Schedule'!$F$10))),5,""))))</f>
        <v/>
      </c>
      <c r="G57">
        <f>IF('Recurring Schedule'!$C$11="","",IF('Recurring Schedule'!$F$11="","",IF(OR($A57&lt;'Recurring Schedule'!$F$11,$A57&gt;'Recurring Schedule'!$P$11),"",IF(IF('Recurring Schedule'!$N$11&gt;0,MOD($A57-'Recurring Schedule'!$F$11,'Recurring Schedule'!$N$11)=0,IF('Recurring Schedule'!$O$11&gt;0,AND(DAY($A57)=MIN(DAY('Recurring Schedule'!$F$11),DAY(EOMONTH($A57,0))),MOD((YEAR($A57)-YEAR('Recurring Schedule'!$F$11))*12+MONTH($A57)-MONTH('Recurring Schedule'!$F$11),'Recurring Schedule'!$O$11)=0),IF('Recurring Schedule'!$E$11="Weekdays",WEEKDAY($A57,2)&lt;=5,$A57='Recurring Schedule'!$F$11))),6,""))))</f>
        <v/>
      </c>
      <c r="H57">
        <f>IF('Recurring Schedule'!$C$12="","",IF('Recurring Schedule'!$F$12="","",IF(OR($A57&lt;'Recurring Schedule'!$F$12,$A57&gt;'Recurring Schedule'!$P$12),"",IF(IF('Recurring Schedule'!$N$12&gt;0,MOD($A57-'Recurring Schedule'!$F$12,'Recurring Schedule'!$N$12)=0,IF('Recurring Schedule'!$O$12&gt;0,AND(DAY($A57)=MIN(DAY('Recurring Schedule'!$F$12),DAY(EOMONTH($A57,0))),MOD((YEAR($A57)-YEAR('Recurring Schedule'!$F$12))*12+MONTH($A57)-MONTH('Recurring Schedule'!$F$12),'Recurring Schedule'!$O$12)=0),IF('Recurring Schedule'!$E$12="Weekdays",WEEKDAY($A57,2)&lt;=5,$A57='Recurring Schedule'!$F$12))),7,""))))</f>
        <v/>
      </c>
      <c r="I57">
        <f>IF('Recurring Schedule'!$C$13="","",IF('Recurring Schedule'!$F$13="","",IF(OR($A57&lt;'Recurring Schedule'!$F$13,$A57&gt;'Recurring Schedule'!$P$13),"",IF(IF('Recurring Schedule'!$N$13&gt;0,MOD($A57-'Recurring Schedule'!$F$13,'Recurring Schedule'!$N$13)=0,IF('Recurring Schedule'!$O$13&gt;0,AND(DAY($A57)=MIN(DAY('Recurring Schedule'!$F$13),DAY(EOMONTH($A57,0))),MOD((YEAR($A57)-YEAR('Recurring Schedule'!$F$13))*12+MONTH($A57)-MONTH('Recurring Schedule'!$F$13),'Recurring Schedule'!$O$13)=0),IF('Recurring Schedule'!$E$13="Weekdays",WEEKDAY($A57,2)&lt;=5,$A57='Recurring Schedule'!$F$13))),8,""))))</f>
        <v/>
      </c>
      <c r="J57">
        <f>IF('Recurring Schedule'!$C$14="","",IF('Recurring Schedule'!$F$14="","",IF(OR($A57&lt;'Recurring Schedule'!$F$14,$A57&gt;'Recurring Schedule'!$P$14),"",IF(IF('Recurring Schedule'!$N$14&gt;0,MOD($A57-'Recurring Schedule'!$F$14,'Recurring Schedule'!$N$14)=0,IF('Recurring Schedule'!$O$14&gt;0,AND(DAY($A57)=MIN(DAY('Recurring Schedule'!$F$14),DAY(EOMONTH($A57,0))),MOD((YEAR($A57)-YEAR('Recurring Schedule'!$F$14))*12+MONTH($A57)-MONTH('Recurring Schedule'!$F$14),'Recurring Schedule'!$O$14)=0),IF('Recurring Schedule'!$E$14="Weekdays",WEEKDAY($A57,2)&lt;=5,$A57='Recurring Schedule'!$F$14))),9,""))))</f>
        <v/>
      </c>
      <c r="K57">
        <f>IF('Recurring Schedule'!$C$15="","",IF('Recurring Schedule'!$F$15="","",IF(OR($A57&lt;'Recurring Schedule'!$F$15,$A57&gt;'Recurring Schedule'!$P$15),"",IF(IF('Recurring Schedule'!$N$15&gt;0,MOD($A57-'Recurring Schedule'!$F$15,'Recurring Schedule'!$N$15)=0,IF('Recurring Schedule'!$O$15&gt;0,AND(DAY($A57)=MIN(DAY('Recurring Schedule'!$F$15),DAY(EOMONTH($A57,0))),MOD((YEAR($A57)-YEAR('Recurring Schedule'!$F$15))*12+MONTH($A57)-MONTH('Recurring Schedule'!$F$15),'Recurring Schedule'!$O$15)=0),IF('Recurring Schedule'!$E$15="Weekdays",WEEKDAY($A57,2)&lt;=5,$A57='Recurring Schedule'!$F$15))),10,""))))</f>
        <v/>
      </c>
      <c r="L57">
        <f>IF('Recurring Schedule'!$C$16="","",IF('Recurring Schedule'!$F$16="","",IF(OR($A57&lt;'Recurring Schedule'!$F$16,$A57&gt;'Recurring Schedule'!$P$16),"",IF(IF('Recurring Schedule'!$N$16&gt;0,MOD($A57-'Recurring Schedule'!$F$16,'Recurring Schedule'!$N$16)=0,IF('Recurring Schedule'!$O$16&gt;0,AND(DAY($A57)=MIN(DAY('Recurring Schedule'!$F$16),DAY(EOMONTH($A57,0))),MOD((YEAR($A57)-YEAR('Recurring Schedule'!$F$16))*12+MONTH($A57)-MONTH('Recurring Schedule'!$F$16),'Recurring Schedule'!$O$16)=0),IF('Recurring Schedule'!$E$16="Weekdays",WEEKDAY($A57,2)&lt;=5,$A57='Recurring Schedule'!$F$16))),11,""))))</f>
        <v/>
      </c>
      <c r="M57">
        <f>IF('Recurring Schedule'!$C$17="","",IF('Recurring Schedule'!$F$17="","",IF(OR($A57&lt;'Recurring Schedule'!$F$17,$A57&gt;'Recurring Schedule'!$P$17),"",IF(IF('Recurring Schedule'!$N$17&gt;0,MOD($A57-'Recurring Schedule'!$F$17,'Recurring Schedule'!$N$17)=0,IF('Recurring Schedule'!$O$17&gt;0,AND(DAY($A57)=MIN(DAY('Recurring Schedule'!$F$17),DAY(EOMONTH($A57,0))),MOD((YEAR($A57)-YEAR('Recurring Schedule'!$F$17))*12+MONTH($A57)-MONTH('Recurring Schedule'!$F$17),'Recurring Schedule'!$O$17)=0),IF('Recurring Schedule'!$E$17="Weekdays",WEEKDAY($A57,2)&lt;=5,$A57='Recurring Schedule'!$F$17))),12,""))))</f>
        <v/>
      </c>
      <c r="N57">
        <f>IF('Recurring Schedule'!$C$18="","",IF('Recurring Schedule'!$F$18="","",IF(OR($A57&lt;'Recurring Schedule'!$F$18,$A57&gt;'Recurring Schedule'!$P$18),"",IF(IF('Recurring Schedule'!$N$18&gt;0,MOD($A57-'Recurring Schedule'!$F$18,'Recurring Schedule'!$N$18)=0,IF('Recurring Schedule'!$O$18&gt;0,AND(DAY($A57)=MIN(DAY('Recurring Schedule'!$F$18),DAY(EOMONTH($A57,0))),MOD((YEAR($A57)-YEAR('Recurring Schedule'!$F$18))*12+MONTH($A57)-MONTH('Recurring Schedule'!$F$18),'Recurring Schedule'!$O$18)=0),IF('Recurring Schedule'!$E$18="Weekdays",WEEKDAY($A57,2)&lt;=5,$A57='Recurring Schedule'!$F$18))),13,""))))</f>
        <v/>
      </c>
      <c r="O57">
        <f>IF('Recurring Schedule'!$C$19="","",IF('Recurring Schedule'!$F$19="","",IF(OR($A57&lt;'Recurring Schedule'!$F$19,$A57&gt;'Recurring Schedule'!$P$19),"",IF(IF('Recurring Schedule'!$N$19&gt;0,MOD($A57-'Recurring Schedule'!$F$19,'Recurring Schedule'!$N$19)=0,IF('Recurring Schedule'!$O$19&gt;0,AND(DAY($A57)=MIN(DAY('Recurring Schedule'!$F$19),DAY(EOMONTH($A57,0))),MOD((YEAR($A57)-YEAR('Recurring Schedule'!$F$19))*12+MONTH($A57)-MONTH('Recurring Schedule'!$F$19),'Recurring Schedule'!$O$19)=0),IF('Recurring Schedule'!$E$19="Weekdays",WEEKDAY($A57,2)&lt;=5,$A57='Recurring Schedule'!$F$19))),14,""))))</f>
        <v/>
      </c>
      <c r="P57">
        <f>IF('Recurring Schedule'!$C$20="","",IF('Recurring Schedule'!$F$20="","",IF(OR($A57&lt;'Recurring Schedule'!$F$20,$A57&gt;'Recurring Schedule'!$P$20),"",IF(IF('Recurring Schedule'!$N$20&gt;0,MOD($A57-'Recurring Schedule'!$F$20,'Recurring Schedule'!$N$20)=0,IF('Recurring Schedule'!$O$20&gt;0,AND(DAY($A57)=MIN(DAY('Recurring Schedule'!$F$20),DAY(EOMONTH($A57,0))),MOD((YEAR($A57)-YEAR('Recurring Schedule'!$F$20))*12+MONTH($A57)-MONTH('Recurring Schedule'!$F$20),'Recurring Schedule'!$O$20)=0),IF('Recurring Schedule'!$E$20="Weekdays",WEEKDAY($A57,2)&lt;=5,$A57='Recurring Schedule'!$F$20))),15,""))))</f>
        <v/>
      </c>
      <c r="Q57">
        <f>IF('Recurring Schedule'!$C$21="","",IF('Recurring Schedule'!$F$21="","",IF(OR($A57&lt;'Recurring Schedule'!$F$21,$A57&gt;'Recurring Schedule'!$P$21),"",IF(IF('Recurring Schedule'!$N$21&gt;0,MOD($A57-'Recurring Schedule'!$F$21,'Recurring Schedule'!$N$21)=0,IF('Recurring Schedule'!$O$21&gt;0,AND(DAY($A57)=MIN(DAY('Recurring Schedule'!$F$21),DAY(EOMONTH($A57,0))),MOD((YEAR($A57)-YEAR('Recurring Schedule'!$F$21))*12+MONTH($A57)-MONTH('Recurring Schedule'!$F$21),'Recurring Schedule'!$O$21)=0),IF('Recurring Schedule'!$E$21="Weekdays",WEEKDAY($A57,2)&lt;=5,$A57='Recurring Schedule'!$F$21))),16,""))))</f>
        <v/>
      </c>
      <c r="R57">
        <f>IF('Recurring Schedule'!$C$22="","",IF('Recurring Schedule'!$F$22="","",IF(OR($A57&lt;'Recurring Schedule'!$F$22,$A57&gt;'Recurring Schedule'!$P$22),"",IF(IF('Recurring Schedule'!$N$22&gt;0,MOD($A57-'Recurring Schedule'!$F$22,'Recurring Schedule'!$N$22)=0,IF('Recurring Schedule'!$O$22&gt;0,AND(DAY($A57)=MIN(DAY('Recurring Schedule'!$F$22),DAY(EOMONTH($A57,0))),MOD((YEAR($A57)-YEAR('Recurring Schedule'!$F$22))*12+MONTH($A57)-MONTH('Recurring Schedule'!$F$22),'Recurring Schedule'!$O$22)=0),IF('Recurring Schedule'!$E$22="Weekdays",WEEKDAY($A57,2)&lt;=5,$A57='Recurring Schedule'!$F$22))),17,""))))</f>
        <v/>
      </c>
      <c r="S57">
        <f>IF('Recurring Schedule'!$C$23="","",IF('Recurring Schedule'!$F$23="","",IF(OR($A57&lt;'Recurring Schedule'!$F$23,$A57&gt;'Recurring Schedule'!$P$23),"",IF(IF('Recurring Schedule'!$N$23&gt;0,MOD($A57-'Recurring Schedule'!$F$23,'Recurring Schedule'!$N$23)=0,IF('Recurring Schedule'!$O$23&gt;0,AND(DAY($A57)=MIN(DAY('Recurring Schedule'!$F$23),DAY(EOMONTH($A57,0))),MOD((YEAR($A57)-YEAR('Recurring Schedule'!$F$23))*12+MONTH($A57)-MONTH('Recurring Schedule'!$F$23),'Recurring Schedule'!$O$23)=0),IF('Recurring Schedule'!$E$23="Weekdays",WEEKDAY($A57,2)&lt;=5,$A57='Recurring Schedule'!$F$23))),18,""))))</f>
        <v/>
      </c>
      <c r="T57">
        <f>IF('Recurring Schedule'!$C$24="","",IF('Recurring Schedule'!$F$24="","",IF(OR($A57&lt;'Recurring Schedule'!$F$24,$A57&gt;'Recurring Schedule'!$P$24),"",IF(IF('Recurring Schedule'!$N$24&gt;0,MOD($A57-'Recurring Schedule'!$F$24,'Recurring Schedule'!$N$24)=0,IF('Recurring Schedule'!$O$24&gt;0,AND(DAY($A57)=MIN(DAY('Recurring Schedule'!$F$24),DAY(EOMONTH($A57,0))),MOD((YEAR($A57)-YEAR('Recurring Schedule'!$F$24))*12+MONTH($A57)-MONTH('Recurring Schedule'!$F$24),'Recurring Schedule'!$O$24)=0),IF('Recurring Schedule'!$E$24="Weekdays",WEEKDAY($A57,2)&lt;=5,$A57='Recurring Schedule'!$F$24))),19,""))))</f>
        <v/>
      </c>
      <c r="U57">
        <f>IF('Recurring Schedule'!$C$25="","",IF('Recurring Schedule'!$F$25="","",IF(OR($A57&lt;'Recurring Schedule'!$F$25,$A57&gt;'Recurring Schedule'!$P$25),"",IF(IF('Recurring Schedule'!$N$25&gt;0,MOD($A57-'Recurring Schedule'!$F$25,'Recurring Schedule'!$N$25)=0,IF('Recurring Schedule'!$O$25&gt;0,AND(DAY($A57)=MIN(DAY('Recurring Schedule'!$F$25),DAY(EOMONTH($A57,0))),MOD((YEAR($A57)-YEAR('Recurring Schedule'!$F$25))*12+MONTH($A57)-MONTH('Recurring Schedule'!$F$25),'Recurring Schedule'!$O$25)=0),IF('Recurring Schedule'!$E$25="Weekdays",WEEKDAY($A57,2)&lt;=5,$A57='Recurring Schedule'!$F$25))),20,""))))</f>
        <v/>
      </c>
      <c r="V57">
        <f>IF('Recurring Schedule'!$C$26="","",IF('Recurring Schedule'!$F$26="","",IF(OR($A57&lt;'Recurring Schedule'!$F$26,$A57&gt;'Recurring Schedule'!$P$26),"",IF(IF('Recurring Schedule'!$N$26&gt;0,MOD($A57-'Recurring Schedule'!$F$26,'Recurring Schedule'!$N$26)=0,IF('Recurring Schedule'!$O$26&gt;0,AND(DAY($A57)=MIN(DAY('Recurring Schedule'!$F$26),DAY(EOMONTH($A57,0))),MOD((YEAR($A57)-YEAR('Recurring Schedule'!$F$26))*12+MONTH($A57)-MONTH('Recurring Schedule'!$F$26),'Recurring Schedule'!$O$26)=0),IF('Recurring Schedule'!$E$26="Weekdays",WEEKDAY($A57,2)&lt;=5,$A57='Recurring Schedule'!$F$26))),21,""))))</f>
        <v/>
      </c>
      <c r="W57">
        <f>IF('Recurring Schedule'!$C$27="","",IF('Recurring Schedule'!$F$27="","",IF(OR($A57&lt;'Recurring Schedule'!$F$27,$A57&gt;'Recurring Schedule'!$P$27),"",IF(IF('Recurring Schedule'!$N$27&gt;0,MOD($A57-'Recurring Schedule'!$F$27,'Recurring Schedule'!$N$27)=0,IF('Recurring Schedule'!$O$27&gt;0,AND(DAY($A57)=MIN(DAY('Recurring Schedule'!$F$27),DAY(EOMONTH($A57,0))),MOD((YEAR($A57)-YEAR('Recurring Schedule'!$F$27))*12+MONTH($A57)-MONTH('Recurring Schedule'!$F$27),'Recurring Schedule'!$O$27)=0),IF('Recurring Schedule'!$E$27="Weekdays",WEEKDAY($A57,2)&lt;=5,$A57='Recurring Schedule'!$F$27))),22,""))))</f>
        <v/>
      </c>
      <c r="X57">
        <f>IF('Recurring Schedule'!$C$28="","",IF('Recurring Schedule'!$F$28="","",IF(OR($A57&lt;'Recurring Schedule'!$F$28,$A57&gt;'Recurring Schedule'!$P$28),"",IF(IF('Recurring Schedule'!$N$28&gt;0,MOD($A57-'Recurring Schedule'!$F$28,'Recurring Schedule'!$N$28)=0,IF('Recurring Schedule'!$O$28&gt;0,AND(DAY($A57)=MIN(DAY('Recurring Schedule'!$F$28),DAY(EOMONTH($A57,0))),MOD((YEAR($A57)-YEAR('Recurring Schedule'!$F$28))*12+MONTH($A57)-MONTH('Recurring Schedule'!$F$28),'Recurring Schedule'!$O$28)=0),IF('Recurring Schedule'!$E$28="Weekdays",WEEKDAY($A57,2)&lt;=5,$A57='Recurring Schedule'!$F$28))),23,""))))</f>
        <v/>
      </c>
      <c r="Y57">
        <f>IF('Recurring Schedule'!$C$29="","",IF('Recurring Schedule'!$F$29="","",IF(OR($A57&lt;'Recurring Schedule'!$F$29,$A57&gt;'Recurring Schedule'!$P$29),"",IF(IF('Recurring Schedule'!$N$29&gt;0,MOD($A57-'Recurring Schedule'!$F$29,'Recurring Schedule'!$N$29)=0,IF('Recurring Schedule'!$O$29&gt;0,AND(DAY($A57)=MIN(DAY('Recurring Schedule'!$F$29),DAY(EOMONTH($A57,0))),MOD((YEAR($A57)-YEAR('Recurring Schedule'!$F$29))*12+MONTH($A57)-MONTH('Recurring Schedule'!$F$29),'Recurring Schedule'!$O$29)=0),IF('Recurring Schedule'!$E$29="Weekdays",WEEKDAY($A57,2)&lt;=5,$A57='Recurring Schedule'!$F$29))),24,""))))</f>
        <v/>
      </c>
      <c r="Z57">
        <f>IF('Recurring Schedule'!$C$30="","",IF('Recurring Schedule'!$F$30="","",IF(OR($A57&lt;'Recurring Schedule'!$F$30,$A57&gt;'Recurring Schedule'!$P$30),"",IF(IF('Recurring Schedule'!$N$30&gt;0,MOD($A57-'Recurring Schedule'!$F$30,'Recurring Schedule'!$N$30)=0,IF('Recurring Schedule'!$O$30&gt;0,AND(DAY($A57)=MIN(DAY('Recurring Schedule'!$F$30),DAY(EOMONTH($A57,0))),MOD((YEAR($A57)-YEAR('Recurring Schedule'!$F$30))*12+MONTH($A57)-MONTH('Recurring Schedule'!$F$30),'Recurring Schedule'!$O$30)=0),IF('Recurring Schedule'!$E$30="Weekdays",WEEKDAY($A57,2)&lt;=5,$A57='Recurring Schedule'!$F$30))),25,""))))</f>
        <v/>
      </c>
      <c r="AA57">
        <f>IF('Recurring Schedule'!$C$31="","",IF('Recurring Schedule'!$F$31="","",IF(OR($A57&lt;'Recurring Schedule'!$F$31,$A57&gt;'Recurring Schedule'!$P$31),"",IF(IF('Recurring Schedule'!$N$31&gt;0,MOD($A57-'Recurring Schedule'!$F$31,'Recurring Schedule'!$N$31)=0,IF('Recurring Schedule'!$O$31&gt;0,AND(DAY($A57)=MIN(DAY('Recurring Schedule'!$F$31),DAY(EOMONTH($A57,0))),MOD((YEAR($A57)-YEAR('Recurring Schedule'!$F$31))*12+MONTH($A57)-MONTH('Recurring Schedule'!$F$31),'Recurring Schedule'!$O$31)=0),IF('Recurring Schedule'!$E$31="Weekdays",WEEKDAY($A57,2)&lt;=5,$A57='Recurring Schedule'!$F$31))),26,""))))</f>
        <v/>
      </c>
      <c r="AB57">
        <f>IF('Recurring Schedule'!$C$32="","",IF('Recurring Schedule'!$F$32="","",IF(OR($A57&lt;'Recurring Schedule'!$F$32,$A57&gt;'Recurring Schedule'!$P$32),"",IF(IF('Recurring Schedule'!$N$32&gt;0,MOD($A57-'Recurring Schedule'!$F$32,'Recurring Schedule'!$N$32)=0,IF('Recurring Schedule'!$O$32&gt;0,AND(DAY($A57)=MIN(DAY('Recurring Schedule'!$F$32),DAY(EOMONTH($A57,0))),MOD((YEAR($A57)-YEAR('Recurring Schedule'!$F$32))*12+MONTH($A57)-MONTH('Recurring Schedule'!$F$32),'Recurring Schedule'!$O$32)=0),IF('Recurring Schedule'!$E$32="Weekdays",WEEKDAY($A57,2)&lt;=5,$A57='Recurring Schedule'!$F$32))),27,""))))</f>
        <v/>
      </c>
      <c r="AC57">
        <f>IF('Recurring Schedule'!$C$33="","",IF('Recurring Schedule'!$F$33="","",IF(OR($A57&lt;'Recurring Schedule'!$F$33,$A57&gt;'Recurring Schedule'!$P$33),"",IF(IF('Recurring Schedule'!$N$33&gt;0,MOD($A57-'Recurring Schedule'!$F$33,'Recurring Schedule'!$N$33)=0,IF('Recurring Schedule'!$O$33&gt;0,AND(DAY($A57)=MIN(DAY('Recurring Schedule'!$F$33),DAY(EOMONTH($A57,0))),MOD((YEAR($A57)-YEAR('Recurring Schedule'!$F$33))*12+MONTH($A57)-MONTH('Recurring Schedule'!$F$33),'Recurring Schedule'!$O$33)=0),IF('Recurring Schedule'!$E$33="Weekdays",WEEKDAY($A57,2)&lt;=5,$A57='Recurring Schedule'!$F$33))),28,""))))</f>
        <v/>
      </c>
      <c r="AD57">
        <f>IF('Recurring Schedule'!$C$34="","",IF('Recurring Schedule'!$F$34="","",IF(OR($A57&lt;'Recurring Schedule'!$F$34,$A57&gt;'Recurring Schedule'!$P$34),"",IF(IF('Recurring Schedule'!$N$34&gt;0,MOD($A57-'Recurring Schedule'!$F$34,'Recurring Schedule'!$N$34)=0,IF('Recurring Schedule'!$O$34&gt;0,AND(DAY($A57)=MIN(DAY('Recurring Schedule'!$F$34),DAY(EOMONTH($A57,0))),MOD((YEAR($A57)-YEAR('Recurring Schedule'!$F$34))*12+MONTH($A57)-MONTH('Recurring Schedule'!$F$34),'Recurring Schedule'!$O$34)=0),IF('Recurring Schedule'!$E$34="Weekdays",WEEKDAY($A57,2)&lt;=5,$A57='Recurring Schedule'!$F$34))),29,""))))</f>
        <v/>
      </c>
      <c r="AE57">
        <f>IF('Recurring Schedule'!$C$35="","",IF('Recurring Schedule'!$F$35="","",IF(OR($A57&lt;'Recurring Schedule'!$F$35,$A57&gt;'Recurring Schedule'!$P$35),"",IF(IF('Recurring Schedule'!$N$35&gt;0,MOD($A57-'Recurring Schedule'!$F$35,'Recurring Schedule'!$N$35)=0,IF('Recurring Schedule'!$O$35&gt;0,AND(DAY($A57)=MIN(DAY('Recurring Schedule'!$F$35),DAY(EOMONTH($A57,0))),MOD((YEAR($A57)-YEAR('Recurring Schedule'!$F$35))*12+MONTH($A57)-MONTH('Recurring Schedule'!$F$35),'Recurring Schedule'!$O$35)=0),IF('Recurring Schedule'!$E$35="Weekdays",WEEKDAY($A57,2)&lt;=5,$A57='Recurring Schedule'!$F$35))),30,""))))</f>
        <v/>
      </c>
      <c r="AF57">
        <f>IF('Recurring Schedule'!$C$36="","",IF('Recurring Schedule'!$F$36="","",IF(OR($A57&lt;'Recurring Schedule'!$F$36,$A57&gt;'Recurring Schedule'!$P$36),"",IF(IF('Recurring Schedule'!$N$36&gt;0,MOD($A57-'Recurring Schedule'!$F$36,'Recurring Schedule'!$N$36)=0,IF('Recurring Schedule'!$O$36&gt;0,AND(DAY($A57)=MIN(DAY('Recurring Schedule'!$F$36),DAY(EOMONTH($A57,0))),MOD((YEAR($A57)-YEAR('Recurring Schedule'!$F$36))*12+MONTH($A57)-MONTH('Recurring Schedule'!$F$36),'Recurring Schedule'!$O$36)=0),IF('Recurring Schedule'!$E$36="Weekdays",WEEKDAY($A57,2)&lt;=5,$A57='Recurring Schedule'!$F$36))),31,""))))</f>
        <v/>
      </c>
      <c r="AG57">
        <f>IF('Recurring Schedule'!$C$37="","",IF('Recurring Schedule'!$F$37="","",IF(OR($A57&lt;'Recurring Schedule'!$F$37,$A57&gt;'Recurring Schedule'!$P$37),"",IF(IF('Recurring Schedule'!$N$37&gt;0,MOD($A57-'Recurring Schedule'!$F$37,'Recurring Schedule'!$N$37)=0,IF('Recurring Schedule'!$O$37&gt;0,AND(DAY($A57)=MIN(DAY('Recurring Schedule'!$F$37),DAY(EOMONTH($A57,0))),MOD((YEAR($A57)-YEAR('Recurring Schedule'!$F$37))*12+MONTH($A57)-MONTH('Recurring Schedule'!$F$37),'Recurring Schedule'!$O$37)=0),IF('Recurring Schedule'!$E$37="Weekdays",WEEKDAY($A57,2)&lt;=5,$A57='Recurring Schedule'!$F$37))),32,""))))</f>
        <v/>
      </c>
      <c r="AH57">
        <f>IF('Recurring Schedule'!$C$38="","",IF('Recurring Schedule'!$F$38="","",IF(OR($A57&lt;'Recurring Schedule'!$F$38,$A57&gt;'Recurring Schedule'!$P$38),"",IF(IF('Recurring Schedule'!$N$38&gt;0,MOD($A57-'Recurring Schedule'!$F$38,'Recurring Schedule'!$N$38)=0,IF('Recurring Schedule'!$O$38&gt;0,AND(DAY($A57)=MIN(DAY('Recurring Schedule'!$F$38),DAY(EOMONTH($A57,0))),MOD((YEAR($A57)-YEAR('Recurring Schedule'!$F$38))*12+MONTH($A57)-MONTH('Recurring Schedule'!$F$38),'Recurring Schedule'!$O$38)=0),IF('Recurring Schedule'!$E$38="Weekdays",WEEKDAY($A57,2)&lt;=5,$A57='Recurring Schedule'!$F$38))),33,""))))</f>
        <v/>
      </c>
      <c r="AI57">
        <f>IF('Recurring Schedule'!$C$39="","",IF('Recurring Schedule'!$F$39="","",IF(OR($A57&lt;'Recurring Schedule'!$F$39,$A57&gt;'Recurring Schedule'!$P$39),"",IF(IF('Recurring Schedule'!$N$39&gt;0,MOD($A57-'Recurring Schedule'!$F$39,'Recurring Schedule'!$N$39)=0,IF('Recurring Schedule'!$O$39&gt;0,AND(DAY($A57)=MIN(DAY('Recurring Schedule'!$F$39),DAY(EOMONTH($A57,0))),MOD((YEAR($A57)-YEAR('Recurring Schedule'!$F$39))*12+MONTH($A57)-MONTH('Recurring Schedule'!$F$39),'Recurring Schedule'!$O$39)=0),IF('Recurring Schedule'!$E$39="Weekdays",WEEKDAY($A57,2)&lt;=5,$A57='Recurring Schedule'!$F$39))),34,""))))</f>
        <v/>
      </c>
      <c r="AJ57">
        <f>IF('Recurring Schedule'!$C$40="","",IF('Recurring Schedule'!$F$40="","",IF(OR($A57&lt;'Recurring Schedule'!$F$40,$A57&gt;'Recurring Schedule'!$P$40),"",IF(IF('Recurring Schedule'!$N$40&gt;0,MOD($A57-'Recurring Schedule'!$F$40,'Recurring Schedule'!$N$40)=0,IF('Recurring Schedule'!$O$40&gt;0,AND(DAY($A57)=MIN(DAY('Recurring Schedule'!$F$40),DAY(EOMONTH($A57,0))),MOD((YEAR($A57)-YEAR('Recurring Schedule'!$F$40))*12+MONTH($A57)-MONTH('Recurring Schedule'!$F$40),'Recurring Schedule'!$O$40)=0),IF('Recurring Schedule'!$E$40="Weekdays",WEEKDAY($A57,2)&lt;=5,$A57='Recurring Schedule'!$F$40))),35,""))))</f>
        <v/>
      </c>
      <c r="AK57">
        <f>IF('Recurring Schedule'!$C$41="","",IF('Recurring Schedule'!$F$41="","",IF(OR($A57&lt;'Recurring Schedule'!$F$41,$A57&gt;'Recurring Schedule'!$P$41),"",IF(IF('Recurring Schedule'!$N$41&gt;0,MOD($A57-'Recurring Schedule'!$F$41,'Recurring Schedule'!$N$41)=0,IF('Recurring Schedule'!$O$41&gt;0,AND(DAY($A57)=MIN(DAY('Recurring Schedule'!$F$41),DAY(EOMONTH($A57,0))),MOD((YEAR($A57)-YEAR('Recurring Schedule'!$F$41))*12+MONTH($A57)-MONTH('Recurring Schedule'!$F$41),'Recurring Schedule'!$O$41)=0),IF('Recurring Schedule'!$E$41="Weekdays",WEEKDAY($A57,2)&lt;=5,$A57='Recurring Schedule'!$F$41))),36,""))))</f>
        <v/>
      </c>
      <c r="AL57">
        <f>IF('Recurring Schedule'!$C$42="","",IF('Recurring Schedule'!$F$42="","",IF(OR($A57&lt;'Recurring Schedule'!$F$42,$A57&gt;'Recurring Schedule'!$P$42),"",IF(IF('Recurring Schedule'!$N$42&gt;0,MOD($A57-'Recurring Schedule'!$F$42,'Recurring Schedule'!$N$42)=0,IF('Recurring Schedule'!$O$42&gt;0,AND(DAY($A57)=MIN(DAY('Recurring Schedule'!$F$42),DAY(EOMONTH($A57,0))),MOD((YEAR($A57)-YEAR('Recurring Schedule'!$F$42))*12+MONTH($A57)-MONTH('Recurring Schedule'!$F$42),'Recurring Schedule'!$O$42)=0),IF('Recurring Schedule'!$E$42="Weekdays",WEEKDAY($A57,2)&lt;=5,$A57='Recurring Schedule'!$F$42))),37,""))))</f>
        <v/>
      </c>
      <c r="AM57">
        <f>IF('Recurring Schedule'!$C$43="","",IF('Recurring Schedule'!$F$43="","",IF(OR($A57&lt;'Recurring Schedule'!$F$43,$A57&gt;'Recurring Schedule'!$P$43),"",IF(IF('Recurring Schedule'!$N$43&gt;0,MOD($A57-'Recurring Schedule'!$F$43,'Recurring Schedule'!$N$43)=0,IF('Recurring Schedule'!$O$43&gt;0,AND(DAY($A57)=MIN(DAY('Recurring Schedule'!$F$43),DAY(EOMONTH($A57,0))),MOD((YEAR($A57)-YEAR('Recurring Schedule'!$F$43))*12+MONTH($A57)-MONTH('Recurring Schedule'!$F$43),'Recurring Schedule'!$O$43)=0),IF('Recurring Schedule'!$E$43="Weekdays",WEEKDAY($A57,2)&lt;=5,$A57='Recurring Schedule'!$F$43))),38,""))))</f>
        <v/>
      </c>
      <c r="AN57">
        <f>IF('Recurring Schedule'!$C$44="","",IF('Recurring Schedule'!$F$44="","",IF(OR($A57&lt;'Recurring Schedule'!$F$44,$A57&gt;'Recurring Schedule'!$P$44),"",IF(IF('Recurring Schedule'!$N$44&gt;0,MOD($A57-'Recurring Schedule'!$F$44,'Recurring Schedule'!$N$44)=0,IF('Recurring Schedule'!$O$44&gt;0,AND(DAY($A57)=MIN(DAY('Recurring Schedule'!$F$44),DAY(EOMONTH($A57,0))),MOD((YEAR($A57)-YEAR('Recurring Schedule'!$F$44))*12+MONTH($A57)-MONTH('Recurring Schedule'!$F$44),'Recurring Schedule'!$O$44)=0),IF('Recurring Schedule'!$E$44="Weekdays",WEEKDAY($A57,2)&lt;=5,$A57='Recurring Schedule'!$F$44))),39,""))))</f>
        <v/>
      </c>
      <c r="AO57">
        <f>IF('Recurring Schedule'!$C$45="","",IF('Recurring Schedule'!$F$45="","",IF(OR($A57&lt;'Recurring Schedule'!$F$45,$A57&gt;'Recurring Schedule'!$P$45),"",IF(IF('Recurring Schedule'!$N$45&gt;0,MOD($A57-'Recurring Schedule'!$F$45,'Recurring Schedule'!$N$45)=0,IF('Recurring Schedule'!$O$45&gt;0,AND(DAY($A57)=MIN(DAY('Recurring Schedule'!$F$45),DAY(EOMONTH($A57,0))),MOD((YEAR($A57)-YEAR('Recurring Schedule'!$F$45))*12+MONTH($A57)-MONTH('Recurring Schedule'!$F$45),'Recurring Schedule'!$O$45)=0),IF('Recurring Schedule'!$E$45="Weekdays",WEEKDAY($A57,2)&lt;=5,$A57='Recurring Schedule'!$F$45))),40,""))))</f>
        <v/>
      </c>
      <c r="AP57">
        <f>COUNT(B57:AO57)</f>
        <v/>
      </c>
      <c r="AQ57">
        <f>AQ56+AP56</f>
        <v/>
      </c>
      <c r="AS57" t="inlineStr">
        <is>
          <t>R</t>
        </is>
      </c>
      <c r="AT57" t="n">
        <v>61</v>
      </c>
      <c r="AU57">
        <f>'Recurring Log'!C61&amp;""</f>
        <v/>
      </c>
      <c r="AV57">
        <f>'Recurring Log'!D61&amp;""</f>
        <v/>
      </c>
      <c r="AW57">
        <f>IF('Recurring Log'!E61="","",'Recurring Log'!E61)</f>
        <v/>
      </c>
      <c r="AX57">
        <f>IF('Recurring Log'!G61="","",'Recurring Log'!G61)</f>
        <v/>
      </c>
      <c r="AY57">
        <f>IF('Recurring Log'!H61="","",'Recurring Log'!H61)</f>
        <v/>
      </c>
      <c r="AZ57">
        <f>IF(AU57="","",IF('Recurring Log'!J61="","Not Started",'Recurring Log'!J61))</f>
        <v/>
      </c>
      <c r="BA57">
        <f>'Recurring Log'!L61&amp;""</f>
        <v/>
      </c>
      <c r="BB57">
        <f>'Recurring Log'!M61&amp;""</f>
        <v/>
      </c>
      <c r="BC57">
        <f>'Recurring Log'!N61&amp;""</f>
        <v/>
      </c>
      <c r="BD57">
        <f>'Recurring Log'!O61&amp;""</f>
        <v/>
      </c>
      <c r="BE57">
        <f>IF('Recurring Log'!K61="","",'Recurring Log'!K61)</f>
        <v/>
      </c>
      <c r="BF57">
        <f>IFERROR(MATCH(BA57,Setup!$L$6:$L$9,0),5)</f>
        <v/>
      </c>
      <c r="BG57">
        <f>IF(OR(AZ57="Done",AZ57="Cancelled"),1,0)</f>
        <v/>
      </c>
      <c r="BH57">
        <f>IF(AND(AU57&lt;&gt;"",ISNUMBER(AW57)),1,0)</f>
        <v/>
      </c>
      <c r="BI57">
        <f>IF(BH57=0,0,IF(AND(AW57&gt;='Tasks Filter'!$F$3,AW57&lt;='Tasks Filter'!$F$4,OR('Tasks Filter'!$I$3="",ISNUMBER(SEARCH('Tasks Filter'!$I$3,AU57))),OR('Tasks Filter'!$I$4="",BF57=IFERROR(MATCH('Tasks Filter'!$I$4,Setup!$L$6:$L$9,0),0)),OR('Tasks Filter'!$I$5="Both",AND('Tasks Filter'!$I$5="Yes",BB57="✓"),AND('Tasks Filter'!$I$5="No",BB57&lt;&gt;"✓")),OR('Tasks Filter'!$L$3="",AV57='Tasks Filter'!$L$3),OR('Tasks Filter'!$L$4="",AZ57='Tasks Filter'!$L$4),OR('Tasks Filter'!$L$5="",BC57='Tasks Filter'!$L$5),OR('Tasks Filter'!$O$3="",BD57='Tasks Filter'!$O$3),OR('Tasks Filter'!$O$4="Yes",BG57=0)),1,0))</f>
        <v/>
      </c>
      <c r="BJ57">
        <f>IF(BH57=0,"",IF('Tasks Filter'!$F$6="Descending",-1,1)*CHOOSE(MATCH('Tasks Filter'!$F$5,Lists!$G$2:$G$6,0),AW57,BF57,IFERROR(MATCH(AV57,Setup!$F$6:$F$15,0),99),IFERROR(MATCH(BC57,Setup!$H$6:$H$15,0),99),IFERROR(MATCH(AZ57,Setup!$J$6:$J$11,0),99))*1E+9+(AW57-40000)*10000+56)</f>
        <v/>
      </c>
      <c r="BK57">
        <f>IF(BI57=1,BJ57,"")</f>
        <v/>
      </c>
      <c r="BL57">
        <f>IF(AND(BH57=1,BG57=0,N(AW57)&lt;Setup!$D$7),(AW57-40000)*10000+56,"")</f>
        <v/>
      </c>
      <c r="BM57">
        <f>IF(AND(BH57=1,AZ57&lt;&gt;"Cancelled",N(AW57)&gt;=Dashboard!$AB$3,N(AW57)&lt;=Dashboard!$AB$3+6),(AW57-40000)*100000+BF57*10000+56,"")</f>
        <v/>
      </c>
      <c r="BN57">
        <f>IF(AND(BH57=1,AZ57&lt;&gt;"Cancelled"),BF57*10000+56,"")</f>
        <v/>
      </c>
    </row>
    <row r="58">
      <c r="A58">
        <f>Setup!$D$5+56</f>
        <v/>
      </c>
      <c r="B58">
        <f>IF('Recurring Schedule'!$C$6="","",IF('Recurring Schedule'!$F$6="","",IF(OR($A58&lt;'Recurring Schedule'!$F$6,$A58&gt;'Recurring Schedule'!$P$6),"",IF(IF('Recurring Schedule'!$N$6&gt;0,MOD($A58-'Recurring Schedule'!$F$6,'Recurring Schedule'!$N$6)=0,IF('Recurring Schedule'!$O$6&gt;0,AND(DAY($A58)=MIN(DAY('Recurring Schedule'!$F$6),DAY(EOMONTH($A58,0))),MOD((YEAR($A58)-YEAR('Recurring Schedule'!$F$6))*12+MONTH($A58)-MONTH('Recurring Schedule'!$F$6),'Recurring Schedule'!$O$6)=0),IF('Recurring Schedule'!$E$6="Weekdays",WEEKDAY($A58,2)&lt;=5,$A58='Recurring Schedule'!$F$6))),1,""))))</f>
        <v/>
      </c>
      <c r="C58">
        <f>IF('Recurring Schedule'!$C$7="","",IF('Recurring Schedule'!$F$7="","",IF(OR($A58&lt;'Recurring Schedule'!$F$7,$A58&gt;'Recurring Schedule'!$P$7),"",IF(IF('Recurring Schedule'!$N$7&gt;0,MOD($A58-'Recurring Schedule'!$F$7,'Recurring Schedule'!$N$7)=0,IF('Recurring Schedule'!$O$7&gt;0,AND(DAY($A58)=MIN(DAY('Recurring Schedule'!$F$7),DAY(EOMONTH($A58,0))),MOD((YEAR($A58)-YEAR('Recurring Schedule'!$F$7))*12+MONTH($A58)-MONTH('Recurring Schedule'!$F$7),'Recurring Schedule'!$O$7)=0),IF('Recurring Schedule'!$E$7="Weekdays",WEEKDAY($A58,2)&lt;=5,$A58='Recurring Schedule'!$F$7))),2,""))))</f>
        <v/>
      </c>
      <c r="D58">
        <f>IF('Recurring Schedule'!$C$8="","",IF('Recurring Schedule'!$F$8="","",IF(OR($A58&lt;'Recurring Schedule'!$F$8,$A58&gt;'Recurring Schedule'!$P$8),"",IF(IF('Recurring Schedule'!$N$8&gt;0,MOD($A58-'Recurring Schedule'!$F$8,'Recurring Schedule'!$N$8)=0,IF('Recurring Schedule'!$O$8&gt;0,AND(DAY($A58)=MIN(DAY('Recurring Schedule'!$F$8),DAY(EOMONTH($A58,0))),MOD((YEAR($A58)-YEAR('Recurring Schedule'!$F$8))*12+MONTH($A58)-MONTH('Recurring Schedule'!$F$8),'Recurring Schedule'!$O$8)=0),IF('Recurring Schedule'!$E$8="Weekdays",WEEKDAY($A58,2)&lt;=5,$A58='Recurring Schedule'!$F$8))),3,""))))</f>
        <v/>
      </c>
      <c r="E58">
        <f>IF('Recurring Schedule'!$C$9="","",IF('Recurring Schedule'!$F$9="","",IF(OR($A58&lt;'Recurring Schedule'!$F$9,$A58&gt;'Recurring Schedule'!$P$9),"",IF(IF('Recurring Schedule'!$N$9&gt;0,MOD($A58-'Recurring Schedule'!$F$9,'Recurring Schedule'!$N$9)=0,IF('Recurring Schedule'!$O$9&gt;0,AND(DAY($A58)=MIN(DAY('Recurring Schedule'!$F$9),DAY(EOMONTH($A58,0))),MOD((YEAR($A58)-YEAR('Recurring Schedule'!$F$9))*12+MONTH($A58)-MONTH('Recurring Schedule'!$F$9),'Recurring Schedule'!$O$9)=0),IF('Recurring Schedule'!$E$9="Weekdays",WEEKDAY($A58,2)&lt;=5,$A58='Recurring Schedule'!$F$9))),4,""))))</f>
        <v/>
      </c>
      <c r="F58">
        <f>IF('Recurring Schedule'!$C$10="","",IF('Recurring Schedule'!$F$10="","",IF(OR($A58&lt;'Recurring Schedule'!$F$10,$A58&gt;'Recurring Schedule'!$P$10),"",IF(IF('Recurring Schedule'!$N$10&gt;0,MOD($A58-'Recurring Schedule'!$F$10,'Recurring Schedule'!$N$10)=0,IF('Recurring Schedule'!$O$10&gt;0,AND(DAY($A58)=MIN(DAY('Recurring Schedule'!$F$10),DAY(EOMONTH($A58,0))),MOD((YEAR($A58)-YEAR('Recurring Schedule'!$F$10))*12+MONTH($A58)-MONTH('Recurring Schedule'!$F$10),'Recurring Schedule'!$O$10)=0),IF('Recurring Schedule'!$E$10="Weekdays",WEEKDAY($A58,2)&lt;=5,$A58='Recurring Schedule'!$F$10))),5,""))))</f>
        <v/>
      </c>
      <c r="G58">
        <f>IF('Recurring Schedule'!$C$11="","",IF('Recurring Schedule'!$F$11="","",IF(OR($A58&lt;'Recurring Schedule'!$F$11,$A58&gt;'Recurring Schedule'!$P$11),"",IF(IF('Recurring Schedule'!$N$11&gt;0,MOD($A58-'Recurring Schedule'!$F$11,'Recurring Schedule'!$N$11)=0,IF('Recurring Schedule'!$O$11&gt;0,AND(DAY($A58)=MIN(DAY('Recurring Schedule'!$F$11),DAY(EOMONTH($A58,0))),MOD((YEAR($A58)-YEAR('Recurring Schedule'!$F$11))*12+MONTH($A58)-MONTH('Recurring Schedule'!$F$11),'Recurring Schedule'!$O$11)=0),IF('Recurring Schedule'!$E$11="Weekdays",WEEKDAY($A58,2)&lt;=5,$A58='Recurring Schedule'!$F$11))),6,""))))</f>
        <v/>
      </c>
      <c r="H58">
        <f>IF('Recurring Schedule'!$C$12="","",IF('Recurring Schedule'!$F$12="","",IF(OR($A58&lt;'Recurring Schedule'!$F$12,$A58&gt;'Recurring Schedule'!$P$12),"",IF(IF('Recurring Schedule'!$N$12&gt;0,MOD($A58-'Recurring Schedule'!$F$12,'Recurring Schedule'!$N$12)=0,IF('Recurring Schedule'!$O$12&gt;0,AND(DAY($A58)=MIN(DAY('Recurring Schedule'!$F$12),DAY(EOMONTH($A58,0))),MOD((YEAR($A58)-YEAR('Recurring Schedule'!$F$12))*12+MONTH($A58)-MONTH('Recurring Schedule'!$F$12),'Recurring Schedule'!$O$12)=0),IF('Recurring Schedule'!$E$12="Weekdays",WEEKDAY($A58,2)&lt;=5,$A58='Recurring Schedule'!$F$12))),7,""))))</f>
        <v/>
      </c>
      <c r="I58">
        <f>IF('Recurring Schedule'!$C$13="","",IF('Recurring Schedule'!$F$13="","",IF(OR($A58&lt;'Recurring Schedule'!$F$13,$A58&gt;'Recurring Schedule'!$P$13),"",IF(IF('Recurring Schedule'!$N$13&gt;0,MOD($A58-'Recurring Schedule'!$F$13,'Recurring Schedule'!$N$13)=0,IF('Recurring Schedule'!$O$13&gt;0,AND(DAY($A58)=MIN(DAY('Recurring Schedule'!$F$13),DAY(EOMONTH($A58,0))),MOD((YEAR($A58)-YEAR('Recurring Schedule'!$F$13))*12+MONTH($A58)-MONTH('Recurring Schedule'!$F$13),'Recurring Schedule'!$O$13)=0),IF('Recurring Schedule'!$E$13="Weekdays",WEEKDAY($A58,2)&lt;=5,$A58='Recurring Schedule'!$F$13))),8,""))))</f>
        <v/>
      </c>
      <c r="J58">
        <f>IF('Recurring Schedule'!$C$14="","",IF('Recurring Schedule'!$F$14="","",IF(OR($A58&lt;'Recurring Schedule'!$F$14,$A58&gt;'Recurring Schedule'!$P$14),"",IF(IF('Recurring Schedule'!$N$14&gt;0,MOD($A58-'Recurring Schedule'!$F$14,'Recurring Schedule'!$N$14)=0,IF('Recurring Schedule'!$O$14&gt;0,AND(DAY($A58)=MIN(DAY('Recurring Schedule'!$F$14),DAY(EOMONTH($A58,0))),MOD((YEAR($A58)-YEAR('Recurring Schedule'!$F$14))*12+MONTH($A58)-MONTH('Recurring Schedule'!$F$14),'Recurring Schedule'!$O$14)=0),IF('Recurring Schedule'!$E$14="Weekdays",WEEKDAY($A58,2)&lt;=5,$A58='Recurring Schedule'!$F$14))),9,""))))</f>
        <v/>
      </c>
      <c r="K58">
        <f>IF('Recurring Schedule'!$C$15="","",IF('Recurring Schedule'!$F$15="","",IF(OR($A58&lt;'Recurring Schedule'!$F$15,$A58&gt;'Recurring Schedule'!$P$15),"",IF(IF('Recurring Schedule'!$N$15&gt;0,MOD($A58-'Recurring Schedule'!$F$15,'Recurring Schedule'!$N$15)=0,IF('Recurring Schedule'!$O$15&gt;0,AND(DAY($A58)=MIN(DAY('Recurring Schedule'!$F$15),DAY(EOMONTH($A58,0))),MOD((YEAR($A58)-YEAR('Recurring Schedule'!$F$15))*12+MONTH($A58)-MONTH('Recurring Schedule'!$F$15),'Recurring Schedule'!$O$15)=0),IF('Recurring Schedule'!$E$15="Weekdays",WEEKDAY($A58,2)&lt;=5,$A58='Recurring Schedule'!$F$15))),10,""))))</f>
        <v/>
      </c>
      <c r="L58">
        <f>IF('Recurring Schedule'!$C$16="","",IF('Recurring Schedule'!$F$16="","",IF(OR($A58&lt;'Recurring Schedule'!$F$16,$A58&gt;'Recurring Schedule'!$P$16),"",IF(IF('Recurring Schedule'!$N$16&gt;0,MOD($A58-'Recurring Schedule'!$F$16,'Recurring Schedule'!$N$16)=0,IF('Recurring Schedule'!$O$16&gt;0,AND(DAY($A58)=MIN(DAY('Recurring Schedule'!$F$16),DAY(EOMONTH($A58,0))),MOD((YEAR($A58)-YEAR('Recurring Schedule'!$F$16))*12+MONTH($A58)-MONTH('Recurring Schedule'!$F$16),'Recurring Schedule'!$O$16)=0),IF('Recurring Schedule'!$E$16="Weekdays",WEEKDAY($A58,2)&lt;=5,$A58='Recurring Schedule'!$F$16))),11,""))))</f>
        <v/>
      </c>
      <c r="M58">
        <f>IF('Recurring Schedule'!$C$17="","",IF('Recurring Schedule'!$F$17="","",IF(OR($A58&lt;'Recurring Schedule'!$F$17,$A58&gt;'Recurring Schedule'!$P$17),"",IF(IF('Recurring Schedule'!$N$17&gt;0,MOD($A58-'Recurring Schedule'!$F$17,'Recurring Schedule'!$N$17)=0,IF('Recurring Schedule'!$O$17&gt;0,AND(DAY($A58)=MIN(DAY('Recurring Schedule'!$F$17),DAY(EOMONTH($A58,0))),MOD((YEAR($A58)-YEAR('Recurring Schedule'!$F$17))*12+MONTH($A58)-MONTH('Recurring Schedule'!$F$17),'Recurring Schedule'!$O$17)=0),IF('Recurring Schedule'!$E$17="Weekdays",WEEKDAY($A58,2)&lt;=5,$A58='Recurring Schedule'!$F$17))),12,""))))</f>
        <v/>
      </c>
      <c r="N58">
        <f>IF('Recurring Schedule'!$C$18="","",IF('Recurring Schedule'!$F$18="","",IF(OR($A58&lt;'Recurring Schedule'!$F$18,$A58&gt;'Recurring Schedule'!$P$18),"",IF(IF('Recurring Schedule'!$N$18&gt;0,MOD($A58-'Recurring Schedule'!$F$18,'Recurring Schedule'!$N$18)=0,IF('Recurring Schedule'!$O$18&gt;0,AND(DAY($A58)=MIN(DAY('Recurring Schedule'!$F$18),DAY(EOMONTH($A58,0))),MOD((YEAR($A58)-YEAR('Recurring Schedule'!$F$18))*12+MONTH($A58)-MONTH('Recurring Schedule'!$F$18),'Recurring Schedule'!$O$18)=0),IF('Recurring Schedule'!$E$18="Weekdays",WEEKDAY($A58,2)&lt;=5,$A58='Recurring Schedule'!$F$18))),13,""))))</f>
        <v/>
      </c>
      <c r="O58">
        <f>IF('Recurring Schedule'!$C$19="","",IF('Recurring Schedule'!$F$19="","",IF(OR($A58&lt;'Recurring Schedule'!$F$19,$A58&gt;'Recurring Schedule'!$P$19),"",IF(IF('Recurring Schedule'!$N$19&gt;0,MOD($A58-'Recurring Schedule'!$F$19,'Recurring Schedule'!$N$19)=0,IF('Recurring Schedule'!$O$19&gt;0,AND(DAY($A58)=MIN(DAY('Recurring Schedule'!$F$19),DAY(EOMONTH($A58,0))),MOD((YEAR($A58)-YEAR('Recurring Schedule'!$F$19))*12+MONTH($A58)-MONTH('Recurring Schedule'!$F$19),'Recurring Schedule'!$O$19)=0),IF('Recurring Schedule'!$E$19="Weekdays",WEEKDAY($A58,2)&lt;=5,$A58='Recurring Schedule'!$F$19))),14,""))))</f>
        <v/>
      </c>
      <c r="P58">
        <f>IF('Recurring Schedule'!$C$20="","",IF('Recurring Schedule'!$F$20="","",IF(OR($A58&lt;'Recurring Schedule'!$F$20,$A58&gt;'Recurring Schedule'!$P$20),"",IF(IF('Recurring Schedule'!$N$20&gt;0,MOD($A58-'Recurring Schedule'!$F$20,'Recurring Schedule'!$N$20)=0,IF('Recurring Schedule'!$O$20&gt;0,AND(DAY($A58)=MIN(DAY('Recurring Schedule'!$F$20),DAY(EOMONTH($A58,0))),MOD((YEAR($A58)-YEAR('Recurring Schedule'!$F$20))*12+MONTH($A58)-MONTH('Recurring Schedule'!$F$20),'Recurring Schedule'!$O$20)=0),IF('Recurring Schedule'!$E$20="Weekdays",WEEKDAY($A58,2)&lt;=5,$A58='Recurring Schedule'!$F$20))),15,""))))</f>
        <v/>
      </c>
      <c r="Q58">
        <f>IF('Recurring Schedule'!$C$21="","",IF('Recurring Schedule'!$F$21="","",IF(OR($A58&lt;'Recurring Schedule'!$F$21,$A58&gt;'Recurring Schedule'!$P$21),"",IF(IF('Recurring Schedule'!$N$21&gt;0,MOD($A58-'Recurring Schedule'!$F$21,'Recurring Schedule'!$N$21)=0,IF('Recurring Schedule'!$O$21&gt;0,AND(DAY($A58)=MIN(DAY('Recurring Schedule'!$F$21),DAY(EOMONTH($A58,0))),MOD((YEAR($A58)-YEAR('Recurring Schedule'!$F$21))*12+MONTH($A58)-MONTH('Recurring Schedule'!$F$21),'Recurring Schedule'!$O$21)=0),IF('Recurring Schedule'!$E$21="Weekdays",WEEKDAY($A58,2)&lt;=5,$A58='Recurring Schedule'!$F$21))),16,""))))</f>
        <v/>
      </c>
      <c r="R58">
        <f>IF('Recurring Schedule'!$C$22="","",IF('Recurring Schedule'!$F$22="","",IF(OR($A58&lt;'Recurring Schedule'!$F$22,$A58&gt;'Recurring Schedule'!$P$22),"",IF(IF('Recurring Schedule'!$N$22&gt;0,MOD($A58-'Recurring Schedule'!$F$22,'Recurring Schedule'!$N$22)=0,IF('Recurring Schedule'!$O$22&gt;0,AND(DAY($A58)=MIN(DAY('Recurring Schedule'!$F$22),DAY(EOMONTH($A58,0))),MOD((YEAR($A58)-YEAR('Recurring Schedule'!$F$22))*12+MONTH($A58)-MONTH('Recurring Schedule'!$F$22),'Recurring Schedule'!$O$22)=0),IF('Recurring Schedule'!$E$22="Weekdays",WEEKDAY($A58,2)&lt;=5,$A58='Recurring Schedule'!$F$22))),17,""))))</f>
        <v/>
      </c>
      <c r="S58">
        <f>IF('Recurring Schedule'!$C$23="","",IF('Recurring Schedule'!$F$23="","",IF(OR($A58&lt;'Recurring Schedule'!$F$23,$A58&gt;'Recurring Schedule'!$P$23),"",IF(IF('Recurring Schedule'!$N$23&gt;0,MOD($A58-'Recurring Schedule'!$F$23,'Recurring Schedule'!$N$23)=0,IF('Recurring Schedule'!$O$23&gt;0,AND(DAY($A58)=MIN(DAY('Recurring Schedule'!$F$23),DAY(EOMONTH($A58,0))),MOD((YEAR($A58)-YEAR('Recurring Schedule'!$F$23))*12+MONTH($A58)-MONTH('Recurring Schedule'!$F$23),'Recurring Schedule'!$O$23)=0),IF('Recurring Schedule'!$E$23="Weekdays",WEEKDAY($A58,2)&lt;=5,$A58='Recurring Schedule'!$F$23))),18,""))))</f>
        <v/>
      </c>
      <c r="T58">
        <f>IF('Recurring Schedule'!$C$24="","",IF('Recurring Schedule'!$F$24="","",IF(OR($A58&lt;'Recurring Schedule'!$F$24,$A58&gt;'Recurring Schedule'!$P$24),"",IF(IF('Recurring Schedule'!$N$24&gt;0,MOD($A58-'Recurring Schedule'!$F$24,'Recurring Schedule'!$N$24)=0,IF('Recurring Schedule'!$O$24&gt;0,AND(DAY($A58)=MIN(DAY('Recurring Schedule'!$F$24),DAY(EOMONTH($A58,0))),MOD((YEAR($A58)-YEAR('Recurring Schedule'!$F$24))*12+MONTH($A58)-MONTH('Recurring Schedule'!$F$24),'Recurring Schedule'!$O$24)=0),IF('Recurring Schedule'!$E$24="Weekdays",WEEKDAY($A58,2)&lt;=5,$A58='Recurring Schedule'!$F$24))),19,""))))</f>
        <v/>
      </c>
      <c r="U58">
        <f>IF('Recurring Schedule'!$C$25="","",IF('Recurring Schedule'!$F$25="","",IF(OR($A58&lt;'Recurring Schedule'!$F$25,$A58&gt;'Recurring Schedule'!$P$25),"",IF(IF('Recurring Schedule'!$N$25&gt;0,MOD($A58-'Recurring Schedule'!$F$25,'Recurring Schedule'!$N$25)=0,IF('Recurring Schedule'!$O$25&gt;0,AND(DAY($A58)=MIN(DAY('Recurring Schedule'!$F$25),DAY(EOMONTH($A58,0))),MOD((YEAR($A58)-YEAR('Recurring Schedule'!$F$25))*12+MONTH($A58)-MONTH('Recurring Schedule'!$F$25),'Recurring Schedule'!$O$25)=0),IF('Recurring Schedule'!$E$25="Weekdays",WEEKDAY($A58,2)&lt;=5,$A58='Recurring Schedule'!$F$25))),20,""))))</f>
        <v/>
      </c>
      <c r="V58">
        <f>IF('Recurring Schedule'!$C$26="","",IF('Recurring Schedule'!$F$26="","",IF(OR($A58&lt;'Recurring Schedule'!$F$26,$A58&gt;'Recurring Schedule'!$P$26),"",IF(IF('Recurring Schedule'!$N$26&gt;0,MOD($A58-'Recurring Schedule'!$F$26,'Recurring Schedule'!$N$26)=0,IF('Recurring Schedule'!$O$26&gt;0,AND(DAY($A58)=MIN(DAY('Recurring Schedule'!$F$26),DAY(EOMONTH($A58,0))),MOD((YEAR($A58)-YEAR('Recurring Schedule'!$F$26))*12+MONTH($A58)-MONTH('Recurring Schedule'!$F$26),'Recurring Schedule'!$O$26)=0),IF('Recurring Schedule'!$E$26="Weekdays",WEEKDAY($A58,2)&lt;=5,$A58='Recurring Schedule'!$F$26))),21,""))))</f>
        <v/>
      </c>
      <c r="W58">
        <f>IF('Recurring Schedule'!$C$27="","",IF('Recurring Schedule'!$F$27="","",IF(OR($A58&lt;'Recurring Schedule'!$F$27,$A58&gt;'Recurring Schedule'!$P$27),"",IF(IF('Recurring Schedule'!$N$27&gt;0,MOD($A58-'Recurring Schedule'!$F$27,'Recurring Schedule'!$N$27)=0,IF('Recurring Schedule'!$O$27&gt;0,AND(DAY($A58)=MIN(DAY('Recurring Schedule'!$F$27),DAY(EOMONTH($A58,0))),MOD((YEAR($A58)-YEAR('Recurring Schedule'!$F$27))*12+MONTH($A58)-MONTH('Recurring Schedule'!$F$27),'Recurring Schedule'!$O$27)=0),IF('Recurring Schedule'!$E$27="Weekdays",WEEKDAY($A58,2)&lt;=5,$A58='Recurring Schedule'!$F$27))),22,""))))</f>
        <v/>
      </c>
      <c r="X58">
        <f>IF('Recurring Schedule'!$C$28="","",IF('Recurring Schedule'!$F$28="","",IF(OR($A58&lt;'Recurring Schedule'!$F$28,$A58&gt;'Recurring Schedule'!$P$28),"",IF(IF('Recurring Schedule'!$N$28&gt;0,MOD($A58-'Recurring Schedule'!$F$28,'Recurring Schedule'!$N$28)=0,IF('Recurring Schedule'!$O$28&gt;0,AND(DAY($A58)=MIN(DAY('Recurring Schedule'!$F$28),DAY(EOMONTH($A58,0))),MOD((YEAR($A58)-YEAR('Recurring Schedule'!$F$28))*12+MONTH($A58)-MONTH('Recurring Schedule'!$F$28),'Recurring Schedule'!$O$28)=0),IF('Recurring Schedule'!$E$28="Weekdays",WEEKDAY($A58,2)&lt;=5,$A58='Recurring Schedule'!$F$28))),23,""))))</f>
        <v/>
      </c>
      <c r="Y58">
        <f>IF('Recurring Schedule'!$C$29="","",IF('Recurring Schedule'!$F$29="","",IF(OR($A58&lt;'Recurring Schedule'!$F$29,$A58&gt;'Recurring Schedule'!$P$29),"",IF(IF('Recurring Schedule'!$N$29&gt;0,MOD($A58-'Recurring Schedule'!$F$29,'Recurring Schedule'!$N$29)=0,IF('Recurring Schedule'!$O$29&gt;0,AND(DAY($A58)=MIN(DAY('Recurring Schedule'!$F$29),DAY(EOMONTH($A58,0))),MOD((YEAR($A58)-YEAR('Recurring Schedule'!$F$29))*12+MONTH($A58)-MONTH('Recurring Schedule'!$F$29),'Recurring Schedule'!$O$29)=0),IF('Recurring Schedule'!$E$29="Weekdays",WEEKDAY($A58,2)&lt;=5,$A58='Recurring Schedule'!$F$29))),24,""))))</f>
        <v/>
      </c>
      <c r="Z58">
        <f>IF('Recurring Schedule'!$C$30="","",IF('Recurring Schedule'!$F$30="","",IF(OR($A58&lt;'Recurring Schedule'!$F$30,$A58&gt;'Recurring Schedule'!$P$30),"",IF(IF('Recurring Schedule'!$N$30&gt;0,MOD($A58-'Recurring Schedule'!$F$30,'Recurring Schedule'!$N$30)=0,IF('Recurring Schedule'!$O$30&gt;0,AND(DAY($A58)=MIN(DAY('Recurring Schedule'!$F$30),DAY(EOMONTH($A58,0))),MOD((YEAR($A58)-YEAR('Recurring Schedule'!$F$30))*12+MONTH($A58)-MONTH('Recurring Schedule'!$F$30),'Recurring Schedule'!$O$30)=0),IF('Recurring Schedule'!$E$30="Weekdays",WEEKDAY($A58,2)&lt;=5,$A58='Recurring Schedule'!$F$30))),25,""))))</f>
        <v/>
      </c>
      <c r="AA58">
        <f>IF('Recurring Schedule'!$C$31="","",IF('Recurring Schedule'!$F$31="","",IF(OR($A58&lt;'Recurring Schedule'!$F$31,$A58&gt;'Recurring Schedule'!$P$31),"",IF(IF('Recurring Schedule'!$N$31&gt;0,MOD($A58-'Recurring Schedule'!$F$31,'Recurring Schedule'!$N$31)=0,IF('Recurring Schedule'!$O$31&gt;0,AND(DAY($A58)=MIN(DAY('Recurring Schedule'!$F$31),DAY(EOMONTH($A58,0))),MOD((YEAR($A58)-YEAR('Recurring Schedule'!$F$31))*12+MONTH($A58)-MONTH('Recurring Schedule'!$F$31),'Recurring Schedule'!$O$31)=0),IF('Recurring Schedule'!$E$31="Weekdays",WEEKDAY($A58,2)&lt;=5,$A58='Recurring Schedule'!$F$31))),26,""))))</f>
        <v/>
      </c>
      <c r="AB58">
        <f>IF('Recurring Schedule'!$C$32="","",IF('Recurring Schedule'!$F$32="","",IF(OR($A58&lt;'Recurring Schedule'!$F$32,$A58&gt;'Recurring Schedule'!$P$32),"",IF(IF('Recurring Schedule'!$N$32&gt;0,MOD($A58-'Recurring Schedule'!$F$32,'Recurring Schedule'!$N$32)=0,IF('Recurring Schedule'!$O$32&gt;0,AND(DAY($A58)=MIN(DAY('Recurring Schedule'!$F$32),DAY(EOMONTH($A58,0))),MOD((YEAR($A58)-YEAR('Recurring Schedule'!$F$32))*12+MONTH($A58)-MONTH('Recurring Schedule'!$F$32),'Recurring Schedule'!$O$32)=0),IF('Recurring Schedule'!$E$32="Weekdays",WEEKDAY($A58,2)&lt;=5,$A58='Recurring Schedule'!$F$32))),27,""))))</f>
        <v/>
      </c>
      <c r="AC58">
        <f>IF('Recurring Schedule'!$C$33="","",IF('Recurring Schedule'!$F$33="","",IF(OR($A58&lt;'Recurring Schedule'!$F$33,$A58&gt;'Recurring Schedule'!$P$33),"",IF(IF('Recurring Schedule'!$N$33&gt;0,MOD($A58-'Recurring Schedule'!$F$33,'Recurring Schedule'!$N$33)=0,IF('Recurring Schedule'!$O$33&gt;0,AND(DAY($A58)=MIN(DAY('Recurring Schedule'!$F$33),DAY(EOMONTH($A58,0))),MOD((YEAR($A58)-YEAR('Recurring Schedule'!$F$33))*12+MONTH($A58)-MONTH('Recurring Schedule'!$F$33),'Recurring Schedule'!$O$33)=0),IF('Recurring Schedule'!$E$33="Weekdays",WEEKDAY($A58,2)&lt;=5,$A58='Recurring Schedule'!$F$33))),28,""))))</f>
        <v/>
      </c>
      <c r="AD58">
        <f>IF('Recurring Schedule'!$C$34="","",IF('Recurring Schedule'!$F$34="","",IF(OR($A58&lt;'Recurring Schedule'!$F$34,$A58&gt;'Recurring Schedule'!$P$34),"",IF(IF('Recurring Schedule'!$N$34&gt;0,MOD($A58-'Recurring Schedule'!$F$34,'Recurring Schedule'!$N$34)=0,IF('Recurring Schedule'!$O$34&gt;0,AND(DAY($A58)=MIN(DAY('Recurring Schedule'!$F$34),DAY(EOMONTH($A58,0))),MOD((YEAR($A58)-YEAR('Recurring Schedule'!$F$34))*12+MONTH($A58)-MONTH('Recurring Schedule'!$F$34),'Recurring Schedule'!$O$34)=0),IF('Recurring Schedule'!$E$34="Weekdays",WEEKDAY($A58,2)&lt;=5,$A58='Recurring Schedule'!$F$34))),29,""))))</f>
        <v/>
      </c>
      <c r="AE58">
        <f>IF('Recurring Schedule'!$C$35="","",IF('Recurring Schedule'!$F$35="","",IF(OR($A58&lt;'Recurring Schedule'!$F$35,$A58&gt;'Recurring Schedule'!$P$35),"",IF(IF('Recurring Schedule'!$N$35&gt;0,MOD($A58-'Recurring Schedule'!$F$35,'Recurring Schedule'!$N$35)=0,IF('Recurring Schedule'!$O$35&gt;0,AND(DAY($A58)=MIN(DAY('Recurring Schedule'!$F$35),DAY(EOMONTH($A58,0))),MOD((YEAR($A58)-YEAR('Recurring Schedule'!$F$35))*12+MONTH($A58)-MONTH('Recurring Schedule'!$F$35),'Recurring Schedule'!$O$35)=0),IF('Recurring Schedule'!$E$35="Weekdays",WEEKDAY($A58,2)&lt;=5,$A58='Recurring Schedule'!$F$35))),30,""))))</f>
        <v/>
      </c>
      <c r="AF58">
        <f>IF('Recurring Schedule'!$C$36="","",IF('Recurring Schedule'!$F$36="","",IF(OR($A58&lt;'Recurring Schedule'!$F$36,$A58&gt;'Recurring Schedule'!$P$36),"",IF(IF('Recurring Schedule'!$N$36&gt;0,MOD($A58-'Recurring Schedule'!$F$36,'Recurring Schedule'!$N$36)=0,IF('Recurring Schedule'!$O$36&gt;0,AND(DAY($A58)=MIN(DAY('Recurring Schedule'!$F$36),DAY(EOMONTH($A58,0))),MOD((YEAR($A58)-YEAR('Recurring Schedule'!$F$36))*12+MONTH($A58)-MONTH('Recurring Schedule'!$F$36),'Recurring Schedule'!$O$36)=0),IF('Recurring Schedule'!$E$36="Weekdays",WEEKDAY($A58,2)&lt;=5,$A58='Recurring Schedule'!$F$36))),31,""))))</f>
        <v/>
      </c>
      <c r="AG58">
        <f>IF('Recurring Schedule'!$C$37="","",IF('Recurring Schedule'!$F$37="","",IF(OR($A58&lt;'Recurring Schedule'!$F$37,$A58&gt;'Recurring Schedule'!$P$37),"",IF(IF('Recurring Schedule'!$N$37&gt;0,MOD($A58-'Recurring Schedule'!$F$37,'Recurring Schedule'!$N$37)=0,IF('Recurring Schedule'!$O$37&gt;0,AND(DAY($A58)=MIN(DAY('Recurring Schedule'!$F$37),DAY(EOMONTH($A58,0))),MOD((YEAR($A58)-YEAR('Recurring Schedule'!$F$37))*12+MONTH($A58)-MONTH('Recurring Schedule'!$F$37),'Recurring Schedule'!$O$37)=0),IF('Recurring Schedule'!$E$37="Weekdays",WEEKDAY($A58,2)&lt;=5,$A58='Recurring Schedule'!$F$37))),32,""))))</f>
        <v/>
      </c>
      <c r="AH58">
        <f>IF('Recurring Schedule'!$C$38="","",IF('Recurring Schedule'!$F$38="","",IF(OR($A58&lt;'Recurring Schedule'!$F$38,$A58&gt;'Recurring Schedule'!$P$38),"",IF(IF('Recurring Schedule'!$N$38&gt;0,MOD($A58-'Recurring Schedule'!$F$38,'Recurring Schedule'!$N$38)=0,IF('Recurring Schedule'!$O$38&gt;0,AND(DAY($A58)=MIN(DAY('Recurring Schedule'!$F$38),DAY(EOMONTH($A58,0))),MOD((YEAR($A58)-YEAR('Recurring Schedule'!$F$38))*12+MONTH($A58)-MONTH('Recurring Schedule'!$F$38),'Recurring Schedule'!$O$38)=0),IF('Recurring Schedule'!$E$38="Weekdays",WEEKDAY($A58,2)&lt;=5,$A58='Recurring Schedule'!$F$38))),33,""))))</f>
        <v/>
      </c>
      <c r="AI58">
        <f>IF('Recurring Schedule'!$C$39="","",IF('Recurring Schedule'!$F$39="","",IF(OR($A58&lt;'Recurring Schedule'!$F$39,$A58&gt;'Recurring Schedule'!$P$39),"",IF(IF('Recurring Schedule'!$N$39&gt;0,MOD($A58-'Recurring Schedule'!$F$39,'Recurring Schedule'!$N$39)=0,IF('Recurring Schedule'!$O$39&gt;0,AND(DAY($A58)=MIN(DAY('Recurring Schedule'!$F$39),DAY(EOMONTH($A58,0))),MOD((YEAR($A58)-YEAR('Recurring Schedule'!$F$39))*12+MONTH($A58)-MONTH('Recurring Schedule'!$F$39),'Recurring Schedule'!$O$39)=0),IF('Recurring Schedule'!$E$39="Weekdays",WEEKDAY($A58,2)&lt;=5,$A58='Recurring Schedule'!$F$39))),34,""))))</f>
        <v/>
      </c>
      <c r="AJ58">
        <f>IF('Recurring Schedule'!$C$40="","",IF('Recurring Schedule'!$F$40="","",IF(OR($A58&lt;'Recurring Schedule'!$F$40,$A58&gt;'Recurring Schedule'!$P$40),"",IF(IF('Recurring Schedule'!$N$40&gt;0,MOD($A58-'Recurring Schedule'!$F$40,'Recurring Schedule'!$N$40)=0,IF('Recurring Schedule'!$O$40&gt;0,AND(DAY($A58)=MIN(DAY('Recurring Schedule'!$F$40),DAY(EOMONTH($A58,0))),MOD((YEAR($A58)-YEAR('Recurring Schedule'!$F$40))*12+MONTH($A58)-MONTH('Recurring Schedule'!$F$40),'Recurring Schedule'!$O$40)=0),IF('Recurring Schedule'!$E$40="Weekdays",WEEKDAY($A58,2)&lt;=5,$A58='Recurring Schedule'!$F$40))),35,""))))</f>
        <v/>
      </c>
      <c r="AK58">
        <f>IF('Recurring Schedule'!$C$41="","",IF('Recurring Schedule'!$F$41="","",IF(OR($A58&lt;'Recurring Schedule'!$F$41,$A58&gt;'Recurring Schedule'!$P$41),"",IF(IF('Recurring Schedule'!$N$41&gt;0,MOD($A58-'Recurring Schedule'!$F$41,'Recurring Schedule'!$N$41)=0,IF('Recurring Schedule'!$O$41&gt;0,AND(DAY($A58)=MIN(DAY('Recurring Schedule'!$F$41),DAY(EOMONTH($A58,0))),MOD((YEAR($A58)-YEAR('Recurring Schedule'!$F$41))*12+MONTH($A58)-MONTH('Recurring Schedule'!$F$41),'Recurring Schedule'!$O$41)=0),IF('Recurring Schedule'!$E$41="Weekdays",WEEKDAY($A58,2)&lt;=5,$A58='Recurring Schedule'!$F$41))),36,""))))</f>
        <v/>
      </c>
      <c r="AL58">
        <f>IF('Recurring Schedule'!$C$42="","",IF('Recurring Schedule'!$F$42="","",IF(OR($A58&lt;'Recurring Schedule'!$F$42,$A58&gt;'Recurring Schedule'!$P$42),"",IF(IF('Recurring Schedule'!$N$42&gt;0,MOD($A58-'Recurring Schedule'!$F$42,'Recurring Schedule'!$N$42)=0,IF('Recurring Schedule'!$O$42&gt;0,AND(DAY($A58)=MIN(DAY('Recurring Schedule'!$F$42),DAY(EOMONTH($A58,0))),MOD((YEAR($A58)-YEAR('Recurring Schedule'!$F$42))*12+MONTH($A58)-MONTH('Recurring Schedule'!$F$42),'Recurring Schedule'!$O$42)=0),IF('Recurring Schedule'!$E$42="Weekdays",WEEKDAY($A58,2)&lt;=5,$A58='Recurring Schedule'!$F$42))),37,""))))</f>
        <v/>
      </c>
      <c r="AM58">
        <f>IF('Recurring Schedule'!$C$43="","",IF('Recurring Schedule'!$F$43="","",IF(OR($A58&lt;'Recurring Schedule'!$F$43,$A58&gt;'Recurring Schedule'!$P$43),"",IF(IF('Recurring Schedule'!$N$43&gt;0,MOD($A58-'Recurring Schedule'!$F$43,'Recurring Schedule'!$N$43)=0,IF('Recurring Schedule'!$O$43&gt;0,AND(DAY($A58)=MIN(DAY('Recurring Schedule'!$F$43),DAY(EOMONTH($A58,0))),MOD((YEAR($A58)-YEAR('Recurring Schedule'!$F$43))*12+MONTH($A58)-MONTH('Recurring Schedule'!$F$43),'Recurring Schedule'!$O$43)=0),IF('Recurring Schedule'!$E$43="Weekdays",WEEKDAY($A58,2)&lt;=5,$A58='Recurring Schedule'!$F$43))),38,""))))</f>
        <v/>
      </c>
      <c r="AN58">
        <f>IF('Recurring Schedule'!$C$44="","",IF('Recurring Schedule'!$F$44="","",IF(OR($A58&lt;'Recurring Schedule'!$F$44,$A58&gt;'Recurring Schedule'!$P$44),"",IF(IF('Recurring Schedule'!$N$44&gt;0,MOD($A58-'Recurring Schedule'!$F$44,'Recurring Schedule'!$N$44)=0,IF('Recurring Schedule'!$O$44&gt;0,AND(DAY($A58)=MIN(DAY('Recurring Schedule'!$F$44),DAY(EOMONTH($A58,0))),MOD((YEAR($A58)-YEAR('Recurring Schedule'!$F$44))*12+MONTH($A58)-MONTH('Recurring Schedule'!$F$44),'Recurring Schedule'!$O$44)=0),IF('Recurring Schedule'!$E$44="Weekdays",WEEKDAY($A58,2)&lt;=5,$A58='Recurring Schedule'!$F$44))),39,""))))</f>
        <v/>
      </c>
      <c r="AO58">
        <f>IF('Recurring Schedule'!$C$45="","",IF('Recurring Schedule'!$F$45="","",IF(OR($A58&lt;'Recurring Schedule'!$F$45,$A58&gt;'Recurring Schedule'!$P$45),"",IF(IF('Recurring Schedule'!$N$45&gt;0,MOD($A58-'Recurring Schedule'!$F$45,'Recurring Schedule'!$N$45)=0,IF('Recurring Schedule'!$O$45&gt;0,AND(DAY($A58)=MIN(DAY('Recurring Schedule'!$F$45),DAY(EOMONTH($A58,0))),MOD((YEAR($A58)-YEAR('Recurring Schedule'!$F$45))*12+MONTH($A58)-MONTH('Recurring Schedule'!$F$45),'Recurring Schedule'!$O$45)=0),IF('Recurring Schedule'!$E$45="Weekdays",WEEKDAY($A58,2)&lt;=5,$A58='Recurring Schedule'!$F$45))),40,""))))</f>
        <v/>
      </c>
      <c r="AP58">
        <f>COUNT(B58:AO58)</f>
        <v/>
      </c>
      <c r="AQ58">
        <f>AQ57+AP57</f>
        <v/>
      </c>
      <c r="AS58" t="inlineStr">
        <is>
          <t>R</t>
        </is>
      </c>
      <c r="AT58" t="n">
        <v>62</v>
      </c>
      <c r="AU58">
        <f>'Recurring Log'!C62&amp;""</f>
        <v/>
      </c>
      <c r="AV58">
        <f>'Recurring Log'!D62&amp;""</f>
        <v/>
      </c>
      <c r="AW58">
        <f>IF('Recurring Log'!E62="","",'Recurring Log'!E62)</f>
        <v/>
      </c>
      <c r="AX58">
        <f>IF('Recurring Log'!G62="","",'Recurring Log'!G62)</f>
        <v/>
      </c>
      <c r="AY58">
        <f>IF('Recurring Log'!H62="","",'Recurring Log'!H62)</f>
        <v/>
      </c>
      <c r="AZ58">
        <f>IF(AU58="","",IF('Recurring Log'!J62="","Not Started",'Recurring Log'!J62))</f>
        <v/>
      </c>
      <c r="BA58">
        <f>'Recurring Log'!L62&amp;""</f>
        <v/>
      </c>
      <c r="BB58">
        <f>'Recurring Log'!M62&amp;""</f>
        <v/>
      </c>
      <c r="BC58">
        <f>'Recurring Log'!N62&amp;""</f>
        <v/>
      </c>
      <c r="BD58">
        <f>'Recurring Log'!O62&amp;""</f>
        <v/>
      </c>
      <c r="BE58">
        <f>IF('Recurring Log'!K62="","",'Recurring Log'!K62)</f>
        <v/>
      </c>
      <c r="BF58">
        <f>IFERROR(MATCH(BA58,Setup!$L$6:$L$9,0),5)</f>
        <v/>
      </c>
      <c r="BG58">
        <f>IF(OR(AZ58="Done",AZ58="Cancelled"),1,0)</f>
        <v/>
      </c>
      <c r="BH58">
        <f>IF(AND(AU58&lt;&gt;"",ISNUMBER(AW58)),1,0)</f>
        <v/>
      </c>
      <c r="BI58">
        <f>IF(BH58=0,0,IF(AND(AW58&gt;='Tasks Filter'!$F$3,AW58&lt;='Tasks Filter'!$F$4,OR('Tasks Filter'!$I$3="",ISNUMBER(SEARCH('Tasks Filter'!$I$3,AU58))),OR('Tasks Filter'!$I$4="",BF58=IFERROR(MATCH('Tasks Filter'!$I$4,Setup!$L$6:$L$9,0),0)),OR('Tasks Filter'!$I$5="Both",AND('Tasks Filter'!$I$5="Yes",BB58="✓"),AND('Tasks Filter'!$I$5="No",BB58&lt;&gt;"✓")),OR('Tasks Filter'!$L$3="",AV58='Tasks Filter'!$L$3),OR('Tasks Filter'!$L$4="",AZ58='Tasks Filter'!$L$4),OR('Tasks Filter'!$L$5="",BC58='Tasks Filter'!$L$5),OR('Tasks Filter'!$O$3="",BD58='Tasks Filter'!$O$3),OR('Tasks Filter'!$O$4="Yes",BG58=0)),1,0))</f>
        <v/>
      </c>
      <c r="BJ58">
        <f>IF(BH58=0,"",IF('Tasks Filter'!$F$6="Descending",-1,1)*CHOOSE(MATCH('Tasks Filter'!$F$5,Lists!$G$2:$G$6,0),AW58,BF58,IFERROR(MATCH(AV58,Setup!$F$6:$F$15,0),99),IFERROR(MATCH(BC58,Setup!$H$6:$H$15,0),99),IFERROR(MATCH(AZ58,Setup!$J$6:$J$11,0),99))*1E+9+(AW58-40000)*10000+57)</f>
        <v/>
      </c>
      <c r="BK58">
        <f>IF(BI58=1,BJ58,"")</f>
        <v/>
      </c>
      <c r="BL58">
        <f>IF(AND(BH58=1,BG58=0,N(AW58)&lt;Setup!$D$7),(AW58-40000)*10000+57,"")</f>
        <v/>
      </c>
      <c r="BM58">
        <f>IF(AND(BH58=1,AZ58&lt;&gt;"Cancelled",N(AW58)&gt;=Dashboard!$AB$3,N(AW58)&lt;=Dashboard!$AB$3+6),(AW58-40000)*100000+BF58*10000+57,"")</f>
        <v/>
      </c>
      <c r="BN58">
        <f>IF(AND(BH58=1,AZ58&lt;&gt;"Cancelled"),BF58*10000+57,"")</f>
        <v/>
      </c>
    </row>
    <row r="59">
      <c r="A59">
        <f>Setup!$D$5+57</f>
        <v/>
      </c>
      <c r="B59">
        <f>IF('Recurring Schedule'!$C$6="","",IF('Recurring Schedule'!$F$6="","",IF(OR($A59&lt;'Recurring Schedule'!$F$6,$A59&gt;'Recurring Schedule'!$P$6),"",IF(IF('Recurring Schedule'!$N$6&gt;0,MOD($A59-'Recurring Schedule'!$F$6,'Recurring Schedule'!$N$6)=0,IF('Recurring Schedule'!$O$6&gt;0,AND(DAY($A59)=MIN(DAY('Recurring Schedule'!$F$6),DAY(EOMONTH($A59,0))),MOD((YEAR($A59)-YEAR('Recurring Schedule'!$F$6))*12+MONTH($A59)-MONTH('Recurring Schedule'!$F$6),'Recurring Schedule'!$O$6)=0),IF('Recurring Schedule'!$E$6="Weekdays",WEEKDAY($A59,2)&lt;=5,$A59='Recurring Schedule'!$F$6))),1,""))))</f>
        <v/>
      </c>
      <c r="C59">
        <f>IF('Recurring Schedule'!$C$7="","",IF('Recurring Schedule'!$F$7="","",IF(OR($A59&lt;'Recurring Schedule'!$F$7,$A59&gt;'Recurring Schedule'!$P$7),"",IF(IF('Recurring Schedule'!$N$7&gt;0,MOD($A59-'Recurring Schedule'!$F$7,'Recurring Schedule'!$N$7)=0,IF('Recurring Schedule'!$O$7&gt;0,AND(DAY($A59)=MIN(DAY('Recurring Schedule'!$F$7),DAY(EOMONTH($A59,0))),MOD((YEAR($A59)-YEAR('Recurring Schedule'!$F$7))*12+MONTH($A59)-MONTH('Recurring Schedule'!$F$7),'Recurring Schedule'!$O$7)=0),IF('Recurring Schedule'!$E$7="Weekdays",WEEKDAY($A59,2)&lt;=5,$A59='Recurring Schedule'!$F$7))),2,""))))</f>
        <v/>
      </c>
      <c r="D59">
        <f>IF('Recurring Schedule'!$C$8="","",IF('Recurring Schedule'!$F$8="","",IF(OR($A59&lt;'Recurring Schedule'!$F$8,$A59&gt;'Recurring Schedule'!$P$8),"",IF(IF('Recurring Schedule'!$N$8&gt;0,MOD($A59-'Recurring Schedule'!$F$8,'Recurring Schedule'!$N$8)=0,IF('Recurring Schedule'!$O$8&gt;0,AND(DAY($A59)=MIN(DAY('Recurring Schedule'!$F$8),DAY(EOMONTH($A59,0))),MOD((YEAR($A59)-YEAR('Recurring Schedule'!$F$8))*12+MONTH($A59)-MONTH('Recurring Schedule'!$F$8),'Recurring Schedule'!$O$8)=0),IF('Recurring Schedule'!$E$8="Weekdays",WEEKDAY($A59,2)&lt;=5,$A59='Recurring Schedule'!$F$8))),3,""))))</f>
        <v/>
      </c>
      <c r="E59">
        <f>IF('Recurring Schedule'!$C$9="","",IF('Recurring Schedule'!$F$9="","",IF(OR($A59&lt;'Recurring Schedule'!$F$9,$A59&gt;'Recurring Schedule'!$P$9),"",IF(IF('Recurring Schedule'!$N$9&gt;0,MOD($A59-'Recurring Schedule'!$F$9,'Recurring Schedule'!$N$9)=0,IF('Recurring Schedule'!$O$9&gt;0,AND(DAY($A59)=MIN(DAY('Recurring Schedule'!$F$9),DAY(EOMONTH($A59,0))),MOD((YEAR($A59)-YEAR('Recurring Schedule'!$F$9))*12+MONTH($A59)-MONTH('Recurring Schedule'!$F$9),'Recurring Schedule'!$O$9)=0),IF('Recurring Schedule'!$E$9="Weekdays",WEEKDAY($A59,2)&lt;=5,$A59='Recurring Schedule'!$F$9))),4,""))))</f>
        <v/>
      </c>
      <c r="F59">
        <f>IF('Recurring Schedule'!$C$10="","",IF('Recurring Schedule'!$F$10="","",IF(OR($A59&lt;'Recurring Schedule'!$F$10,$A59&gt;'Recurring Schedule'!$P$10),"",IF(IF('Recurring Schedule'!$N$10&gt;0,MOD($A59-'Recurring Schedule'!$F$10,'Recurring Schedule'!$N$10)=0,IF('Recurring Schedule'!$O$10&gt;0,AND(DAY($A59)=MIN(DAY('Recurring Schedule'!$F$10),DAY(EOMONTH($A59,0))),MOD((YEAR($A59)-YEAR('Recurring Schedule'!$F$10))*12+MONTH($A59)-MONTH('Recurring Schedule'!$F$10),'Recurring Schedule'!$O$10)=0),IF('Recurring Schedule'!$E$10="Weekdays",WEEKDAY($A59,2)&lt;=5,$A59='Recurring Schedule'!$F$10))),5,""))))</f>
        <v/>
      </c>
      <c r="G59">
        <f>IF('Recurring Schedule'!$C$11="","",IF('Recurring Schedule'!$F$11="","",IF(OR($A59&lt;'Recurring Schedule'!$F$11,$A59&gt;'Recurring Schedule'!$P$11),"",IF(IF('Recurring Schedule'!$N$11&gt;0,MOD($A59-'Recurring Schedule'!$F$11,'Recurring Schedule'!$N$11)=0,IF('Recurring Schedule'!$O$11&gt;0,AND(DAY($A59)=MIN(DAY('Recurring Schedule'!$F$11),DAY(EOMONTH($A59,0))),MOD((YEAR($A59)-YEAR('Recurring Schedule'!$F$11))*12+MONTH($A59)-MONTH('Recurring Schedule'!$F$11),'Recurring Schedule'!$O$11)=0),IF('Recurring Schedule'!$E$11="Weekdays",WEEKDAY($A59,2)&lt;=5,$A59='Recurring Schedule'!$F$11))),6,""))))</f>
        <v/>
      </c>
      <c r="H59">
        <f>IF('Recurring Schedule'!$C$12="","",IF('Recurring Schedule'!$F$12="","",IF(OR($A59&lt;'Recurring Schedule'!$F$12,$A59&gt;'Recurring Schedule'!$P$12),"",IF(IF('Recurring Schedule'!$N$12&gt;0,MOD($A59-'Recurring Schedule'!$F$12,'Recurring Schedule'!$N$12)=0,IF('Recurring Schedule'!$O$12&gt;0,AND(DAY($A59)=MIN(DAY('Recurring Schedule'!$F$12),DAY(EOMONTH($A59,0))),MOD((YEAR($A59)-YEAR('Recurring Schedule'!$F$12))*12+MONTH($A59)-MONTH('Recurring Schedule'!$F$12),'Recurring Schedule'!$O$12)=0),IF('Recurring Schedule'!$E$12="Weekdays",WEEKDAY($A59,2)&lt;=5,$A59='Recurring Schedule'!$F$12))),7,""))))</f>
        <v/>
      </c>
      <c r="I59">
        <f>IF('Recurring Schedule'!$C$13="","",IF('Recurring Schedule'!$F$13="","",IF(OR($A59&lt;'Recurring Schedule'!$F$13,$A59&gt;'Recurring Schedule'!$P$13),"",IF(IF('Recurring Schedule'!$N$13&gt;0,MOD($A59-'Recurring Schedule'!$F$13,'Recurring Schedule'!$N$13)=0,IF('Recurring Schedule'!$O$13&gt;0,AND(DAY($A59)=MIN(DAY('Recurring Schedule'!$F$13),DAY(EOMONTH($A59,0))),MOD((YEAR($A59)-YEAR('Recurring Schedule'!$F$13))*12+MONTH($A59)-MONTH('Recurring Schedule'!$F$13),'Recurring Schedule'!$O$13)=0),IF('Recurring Schedule'!$E$13="Weekdays",WEEKDAY($A59,2)&lt;=5,$A59='Recurring Schedule'!$F$13))),8,""))))</f>
        <v/>
      </c>
      <c r="J59">
        <f>IF('Recurring Schedule'!$C$14="","",IF('Recurring Schedule'!$F$14="","",IF(OR($A59&lt;'Recurring Schedule'!$F$14,$A59&gt;'Recurring Schedule'!$P$14),"",IF(IF('Recurring Schedule'!$N$14&gt;0,MOD($A59-'Recurring Schedule'!$F$14,'Recurring Schedule'!$N$14)=0,IF('Recurring Schedule'!$O$14&gt;0,AND(DAY($A59)=MIN(DAY('Recurring Schedule'!$F$14),DAY(EOMONTH($A59,0))),MOD((YEAR($A59)-YEAR('Recurring Schedule'!$F$14))*12+MONTH($A59)-MONTH('Recurring Schedule'!$F$14),'Recurring Schedule'!$O$14)=0),IF('Recurring Schedule'!$E$14="Weekdays",WEEKDAY($A59,2)&lt;=5,$A59='Recurring Schedule'!$F$14))),9,""))))</f>
        <v/>
      </c>
      <c r="K59">
        <f>IF('Recurring Schedule'!$C$15="","",IF('Recurring Schedule'!$F$15="","",IF(OR($A59&lt;'Recurring Schedule'!$F$15,$A59&gt;'Recurring Schedule'!$P$15),"",IF(IF('Recurring Schedule'!$N$15&gt;0,MOD($A59-'Recurring Schedule'!$F$15,'Recurring Schedule'!$N$15)=0,IF('Recurring Schedule'!$O$15&gt;0,AND(DAY($A59)=MIN(DAY('Recurring Schedule'!$F$15),DAY(EOMONTH($A59,0))),MOD((YEAR($A59)-YEAR('Recurring Schedule'!$F$15))*12+MONTH($A59)-MONTH('Recurring Schedule'!$F$15),'Recurring Schedule'!$O$15)=0),IF('Recurring Schedule'!$E$15="Weekdays",WEEKDAY($A59,2)&lt;=5,$A59='Recurring Schedule'!$F$15))),10,""))))</f>
        <v/>
      </c>
      <c r="L59">
        <f>IF('Recurring Schedule'!$C$16="","",IF('Recurring Schedule'!$F$16="","",IF(OR($A59&lt;'Recurring Schedule'!$F$16,$A59&gt;'Recurring Schedule'!$P$16),"",IF(IF('Recurring Schedule'!$N$16&gt;0,MOD($A59-'Recurring Schedule'!$F$16,'Recurring Schedule'!$N$16)=0,IF('Recurring Schedule'!$O$16&gt;0,AND(DAY($A59)=MIN(DAY('Recurring Schedule'!$F$16),DAY(EOMONTH($A59,0))),MOD((YEAR($A59)-YEAR('Recurring Schedule'!$F$16))*12+MONTH($A59)-MONTH('Recurring Schedule'!$F$16),'Recurring Schedule'!$O$16)=0),IF('Recurring Schedule'!$E$16="Weekdays",WEEKDAY($A59,2)&lt;=5,$A59='Recurring Schedule'!$F$16))),11,""))))</f>
        <v/>
      </c>
      <c r="M59">
        <f>IF('Recurring Schedule'!$C$17="","",IF('Recurring Schedule'!$F$17="","",IF(OR($A59&lt;'Recurring Schedule'!$F$17,$A59&gt;'Recurring Schedule'!$P$17),"",IF(IF('Recurring Schedule'!$N$17&gt;0,MOD($A59-'Recurring Schedule'!$F$17,'Recurring Schedule'!$N$17)=0,IF('Recurring Schedule'!$O$17&gt;0,AND(DAY($A59)=MIN(DAY('Recurring Schedule'!$F$17),DAY(EOMONTH($A59,0))),MOD((YEAR($A59)-YEAR('Recurring Schedule'!$F$17))*12+MONTH($A59)-MONTH('Recurring Schedule'!$F$17),'Recurring Schedule'!$O$17)=0),IF('Recurring Schedule'!$E$17="Weekdays",WEEKDAY($A59,2)&lt;=5,$A59='Recurring Schedule'!$F$17))),12,""))))</f>
        <v/>
      </c>
      <c r="N59">
        <f>IF('Recurring Schedule'!$C$18="","",IF('Recurring Schedule'!$F$18="","",IF(OR($A59&lt;'Recurring Schedule'!$F$18,$A59&gt;'Recurring Schedule'!$P$18),"",IF(IF('Recurring Schedule'!$N$18&gt;0,MOD($A59-'Recurring Schedule'!$F$18,'Recurring Schedule'!$N$18)=0,IF('Recurring Schedule'!$O$18&gt;0,AND(DAY($A59)=MIN(DAY('Recurring Schedule'!$F$18),DAY(EOMONTH($A59,0))),MOD((YEAR($A59)-YEAR('Recurring Schedule'!$F$18))*12+MONTH($A59)-MONTH('Recurring Schedule'!$F$18),'Recurring Schedule'!$O$18)=0),IF('Recurring Schedule'!$E$18="Weekdays",WEEKDAY($A59,2)&lt;=5,$A59='Recurring Schedule'!$F$18))),13,""))))</f>
        <v/>
      </c>
      <c r="O59">
        <f>IF('Recurring Schedule'!$C$19="","",IF('Recurring Schedule'!$F$19="","",IF(OR($A59&lt;'Recurring Schedule'!$F$19,$A59&gt;'Recurring Schedule'!$P$19),"",IF(IF('Recurring Schedule'!$N$19&gt;0,MOD($A59-'Recurring Schedule'!$F$19,'Recurring Schedule'!$N$19)=0,IF('Recurring Schedule'!$O$19&gt;0,AND(DAY($A59)=MIN(DAY('Recurring Schedule'!$F$19),DAY(EOMONTH($A59,0))),MOD((YEAR($A59)-YEAR('Recurring Schedule'!$F$19))*12+MONTH($A59)-MONTH('Recurring Schedule'!$F$19),'Recurring Schedule'!$O$19)=0),IF('Recurring Schedule'!$E$19="Weekdays",WEEKDAY($A59,2)&lt;=5,$A59='Recurring Schedule'!$F$19))),14,""))))</f>
        <v/>
      </c>
      <c r="P59">
        <f>IF('Recurring Schedule'!$C$20="","",IF('Recurring Schedule'!$F$20="","",IF(OR($A59&lt;'Recurring Schedule'!$F$20,$A59&gt;'Recurring Schedule'!$P$20),"",IF(IF('Recurring Schedule'!$N$20&gt;0,MOD($A59-'Recurring Schedule'!$F$20,'Recurring Schedule'!$N$20)=0,IF('Recurring Schedule'!$O$20&gt;0,AND(DAY($A59)=MIN(DAY('Recurring Schedule'!$F$20),DAY(EOMONTH($A59,0))),MOD((YEAR($A59)-YEAR('Recurring Schedule'!$F$20))*12+MONTH($A59)-MONTH('Recurring Schedule'!$F$20),'Recurring Schedule'!$O$20)=0),IF('Recurring Schedule'!$E$20="Weekdays",WEEKDAY($A59,2)&lt;=5,$A59='Recurring Schedule'!$F$20))),15,""))))</f>
        <v/>
      </c>
      <c r="Q59">
        <f>IF('Recurring Schedule'!$C$21="","",IF('Recurring Schedule'!$F$21="","",IF(OR($A59&lt;'Recurring Schedule'!$F$21,$A59&gt;'Recurring Schedule'!$P$21),"",IF(IF('Recurring Schedule'!$N$21&gt;0,MOD($A59-'Recurring Schedule'!$F$21,'Recurring Schedule'!$N$21)=0,IF('Recurring Schedule'!$O$21&gt;0,AND(DAY($A59)=MIN(DAY('Recurring Schedule'!$F$21),DAY(EOMONTH($A59,0))),MOD((YEAR($A59)-YEAR('Recurring Schedule'!$F$21))*12+MONTH($A59)-MONTH('Recurring Schedule'!$F$21),'Recurring Schedule'!$O$21)=0),IF('Recurring Schedule'!$E$21="Weekdays",WEEKDAY($A59,2)&lt;=5,$A59='Recurring Schedule'!$F$21))),16,""))))</f>
        <v/>
      </c>
      <c r="R59">
        <f>IF('Recurring Schedule'!$C$22="","",IF('Recurring Schedule'!$F$22="","",IF(OR($A59&lt;'Recurring Schedule'!$F$22,$A59&gt;'Recurring Schedule'!$P$22),"",IF(IF('Recurring Schedule'!$N$22&gt;0,MOD($A59-'Recurring Schedule'!$F$22,'Recurring Schedule'!$N$22)=0,IF('Recurring Schedule'!$O$22&gt;0,AND(DAY($A59)=MIN(DAY('Recurring Schedule'!$F$22),DAY(EOMONTH($A59,0))),MOD((YEAR($A59)-YEAR('Recurring Schedule'!$F$22))*12+MONTH($A59)-MONTH('Recurring Schedule'!$F$22),'Recurring Schedule'!$O$22)=0),IF('Recurring Schedule'!$E$22="Weekdays",WEEKDAY($A59,2)&lt;=5,$A59='Recurring Schedule'!$F$22))),17,""))))</f>
        <v/>
      </c>
      <c r="S59">
        <f>IF('Recurring Schedule'!$C$23="","",IF('Recurring Schedule'!$F$23="","",IF(OR($A59&lt;'Recurring Schedule'!$F$23,$A59&gt;'Recurring Schedule'!$P$23),"",IF(IF('Recurring Schedule'!$N$23&gt;0,MOD($A59-'Recurring Schedule'!$F$23,'Recurring Schedule'!$N$23)=0,IF('Recurring Schedule'!$O$23&gt;0,AND(DAY($A59)=MIN(DAY('Recurring Schedule'!$F$23),DAY(EOMONTH($A59,0))),MOD((YEAR($A59)-YEAR('Recurring Schedule'!$F$23))*12+MONTH($A59)-MONTH('Recurring Schedule'!$F$23),'Recurring Schedule'!$O$23)=0),IF('Recurring Schedule'!$E$23="Weekdays",WEEKDAY($A59,2)&lt;=5,$A59='Recurring Schedule'!$F$23))),18,""))))</f>
        <v/>
      </c>
      <c r="T59">
        <f>IF('Recurring Schedule'!$C$24="","",IF('Recurring Schedule'!$F$24="","",IF(OR($A59&lt;'Recurring Schedule'!$F$24,$A59&gt;'Recurring Schedule'!$P$24),"",IF(IF('Recurring Schedule'!$N$24&gt;0,MOD($A59-'Recurring Schedule'!$F$24,'Recurring Schedule'!$N$24)=0,IF('Recurring Schedule'!$O$24&gt;0,AND(DAY($A59)=MIN(DAY('Recurring Schedule'!$F$24),DAY(EOMONTH($A59,0))),MOD((YEAR($A59)-YEAR('Recurring Schedule'!$F$24))*12+MONTH($A59)-MONTH('Recurring Schedule'!$F$24),'Recurring Schedule'!$O$24)=0),IF('Recurring Schedule'!$E$24="Weekdays",WEEKDAY($A59,2)&lt;=5,$A59='Recurring Schedule'!$F$24))),19,""))))</f>
        <v/>
      </c>
      <c r="U59">
        <f>IF('Recurring Schedule'!$C$25="","",IF('Recurring Schedule'!$F$25="","",IF(OR($A59&lt;'Recurring Schedule'!$F$25,$A59&gt;'Recurring Schedule'!$P$25),"",IF(IF('Recurring Schedule'!$N$25&gt;0,MOD($A59-'Recurring Schedule'!$F$25,'Recurring Schedule'!$N$25)=0,IF('Recurring Schedule'!$O$25&gt;0,AND(DAY($A59)=MIN(DAY('Recurring Schedule'!$F$25),DAY(EOMONTH($A59,0))),MOD((YEAR($A59)-YEAR('Recurring Schedule'!$F$25))*12+MONTH($A59)-MONTH('Recurring Schedule'!$F$25),'Recurring Schedule'!$O$25)=0),IF('Recurring Schedule'!$E$25="Weekdays",WEEKDAY($A59,2)&lt;=5,$A59='Recurring Schedule'!$F$25))),20,""))))</f>
        <v/>
      </c>
      <c r="V59">
        <f>IF('Recurring Schedule'!$C$26="","",IF('Recurring Schedule'!$F$26="","",IF(OR($A59&lt;'Recurring Schedule'!$F$26,$A59&gt;'Recurring Schedule'!$P$26),"",IF(IF('Recurring Schedule'!$N$26&gt;0,MOD($A59-'Recurring Schedule'!$F$26,'Recurring Schedule'!$N$26)=0,IF('Recurring Schedule'!$O$26&gt;0,AND(DAY($A59)=MIN(DAY('Recurring Schedule'!$F$26),DAY(EOMONTH($A59,0))),MOD((YEAR($A59)-YEAR('Recurring Schedule'!$F$26))*12+MONTH($A59)-MONTH('Recurring Schedule'!$F$26),'Recurring Schedule'!$O$26)=0),IF('Recurring Schedule'!$E$26="Weekdays",WEEKDAY($A59,2)&lt;=5,$A59='Recurring Schedule'!$F$26))),21,""))))</f>
        <v/>
      </c>
      <c r="W59">
        <f>IF('Recurring Schedule'!$C$27="","",IF('Recurring Schedule'!$F$27="","",IF(OR($A59&lt;'Recurring Schedule'!$F$27,$A59&gt;'Recurring Schedule'!$P$27),"",IF(IF('Recurring Schedule'!$N$27&gt;0,MOD($A59-'Recurring Schedule'!$F$27,'Recurring Schedule'!$N$27)=0,IF('Recurring Schedule'!$O$27&gt;0,AND(DAY($A59)=MIN(DAY('Recurring Schedule'!$F$27),DAY(EOMONTH($A59,0))),MOD((YEAR($A59)-YEAR('Recurring Schedule'!$F$27))*12+MONTH($A59)-MONTH('Recurring Schedule'!$F$27),'Recurring Schedule'!$O$27)=0),IF('Recurring Schedule'!$E$27="Weekdays",WEEKDAY($A59,2)&lt;=5,$A59='Recurring Schedule'!$F$27))),22,""))))</f>
        <v/>
      </c>
      <c r="X59">
        <f>IF('Recurring Schedule'!$C$28="","",IF('Recurring Schedule'!$F$28="","",IF(OR($A59&lt;'Recurring Schedule'!$F$28,$A59&gt;'Recurring Schedule'!$P$28),"",IF(IF('Recurring Schedule'!$N$28&gt;0,MOD($A59-'Recurring Schedule'!$F$28,'Recurring Schedule'!$N$28)=0,IF('Recurring Schedule'!$O$28&gt;0,AND(DAY($A59)=MIN(DAY('Recurring Schedule'!$F$28),DAY(EOMONTH($A59,0))),MOD((YEAR($A59)-YEAR('Recurring Schedule'!$F$28))*12+MONTH($A59)-MONTH('Recurring Schedule'!$F$28),'Recurring Schedule'!$O$28)=0),IF('Recurring Schedule'!$E$28="Weekdays",WEEKDAY($A59,2)&lt;=5,$A59='Recurring Schedule'!$F$28))),23,""))))</f>
        <v/>
      </c>
      <c r="Y59">
        <f>IF('Recurring Schedule'!$C$29="","",IF('Recurring Schedule'!$F$29="","",IF(OR($A59&lt;'Recurring Schedule'!$F$29,$A59&gt;'Recurring Schedule'!$P$29),"",IF(IF('Recurring Schedule'!$N$29&gt;0,MOD($A59-'Recurring Schedule'!$F$29,'Recurring Schedule'!$N$29)=0,IF('Recurring Schedule'!$O$29&gt;0,AND(DAY($A59)=MIN(DAY('Recurring Schedule'!$F$29),DAY(EOMONTH($A59,0))),MOD((YEAR($A59)-YEAR('Recurring Schedule'!$F$29))*12+MONTH($A59)-MONTH('Recurring Schedule'!$F$29),'Recurring Schedule'!$O$29)=0),IF('Recurring Schedule'!$E$29="Weekdays",WEEKDAY($A59,2)&lt;=5,$A59='Recurring Schedule'!$F$29))),24,""))))</f>
        <v/>
      </c>
      <c r="Z59">
        <f>IF('Recurring Schedule'!$C$30="","",IF('Recurring Schedule'!$F$30="","",IF(OR($A59&lt;'Recurring Schedule'!$F$30,$A59&gt;'Recurring Schedule'!$P$30),"",IF(IF('Recurring Schedule'!$N$30&gt;0,MOD($A59-'Recurring Schedule'!$F$30,'Recurring Schedule'!$N$30)=0,IF('Recurring Schedule'!$O$30&gt;0,AND(DAY($A59)=MIN(DAY('Recurring Schedule'!$F$30),DAY(EOMONTH($A59,0))),MOD((YEAR($A59)-YEAR('Recurring Schedule'!$F$30))*12+MONTH($A59)-MONTH('Recurring Schedule'!$F$30),'Recurring Schedule'!$O$30)=0),IF('Recurring Schedule'!$E$30="Weekdays",WEEKDAY($A59,2)&lt;=5,$A59='Recurring Schedule'!$F$30))),25,""))))</f>
        <v/>
      </c>
      <c r="AA59">
        <f>IF('Recurring Schedule'!$C$31="","",IF('Recurring Schedule'!$F$31="","",IF(OR($A59&lt;'Recurring Schedule'!$F$31,$A59&gt;'Recurring Schedule'!$P$31),"",IF(IF('Recurring Schedule'!$N$31&gt;0,MOD($A59-'Recurring Schedule'!$F$31,'Recurring Schedule'!$N$31)=0,IF('Recurring Schedule'!$O$31&gt;0,AND(DAY($A59)=MIN(DAY('Recurring Schedule'!$F$31),DAY(EOMONTH($A59,0))),MOD((YEAR($A59)-YEAR('Recurring Schedule'!$F$31))*12+MONTH($A59)-MONTH('Recurring Schedule'!$F$31),'Recurring Schedule'!$O$31)=0),IF('Recurring Schedule'!$E$31="Weekdays",WEEKDAY($A59,2)&lt;=5,$A59='Recurring Schedule'!$F$31))),26,""))))</f>
        <v/>
      </c>
      <c r="AB59">
        <f>IF('Recurring Schedule'!$C$32="","",IF('Recurring Schedule'!$F$32="","",IF(OR($A59&lt;'Recurring Schedule'!$F$32,$A59&gt;'Recurring Schedule'!$P$32),"",IF(IF('Recurring Schedule'!$N$32&gt;0,MOD($A59-'Recurring Schedule'!$F$32,'Recurring Schedule'!$N$32)=0,IF('Recurring Schedule'!$O$32&gt;0,AND(DAY($A59)=MIN(DAY('Recurring Schedule'!$F$32),DAY(EOMONTH($A59,0))),MOD((YEAR($A59)-YEAR('Recurring Schedule'!$F$32))*12+MONTH($A59)-MONTH('Recurring Schedule'!$F$32),'Recurring Schedule'!$O$32)=0),IF('Recurring Schedule'!$E$32="Weekdays",WEEKDAY($A59,2)&lt;=5,$A59='Recurring Schedule'!$F$32))),27,""))))</f>
        <v/>
      </c>
      <c r="AC59">
        <f>IF('Recurring Schedule'!$C$33="","",IF('Recurring Schedule'!$F$33="","",IF(OR($A59&lt;'Recurring Schedule'!$F$33,$A59&gt;'Recurring Schedule'!$P$33),"",IF(IF('Recurring Schedule'!$N$33&gt;0,MOD($A59-'Recurring Schedule'!$F$33,'Recurring Schedule'!$N$33)=0,IF('Recurring Schedule'!$O$33&gt;0,AND(DAY($A59)=MIN(DAY('Recurring Schedule'!$F$33),DAY(EOMONTH($A59,0))),MOD((YEAR($A59)-YEAR('Recurring Schedule'!$F$33))*12+MONTH($A59)-MONTH('Recurring Schedule'!$F$33),'Recurring Schedule'!$O$33)=0),IF('Recurring Schedule'!$E$33="Weekdays",WEEKDAY($A59,2)&lt;=5,$A59='Recurring Schedule'!$F$33))),28,""))))</f>
        <v/>
      </c>
      <c r="AD59">
        <f>IF('Recurring Schedule'!$C$34="","",IF('Recurring Schedule'!$F$34="","",IF(OR($A59&lt;'Recurring Schedule'!$F$34,$A59&gt;'Recurring Schedule'!$P$34),"",IF(IF('Recurring Schedule'!$N$34&gt;0,MOD($A59-'Recurring Schedule'!$F$34,'Recurring Schedule'!$N$34)=0,IF('Recurring Schedule'!$O$34&gt;0,AND(DAY($A59)=MIN(DAY('Recurring Schedule'!$F$34),DAY(EOMONTH($A59,0))),MOD((YEAR($A59)-YEAR('Recurring Schedule'!$F$34))*12+MONTH($A59)-MONTH('Recurring Schedule'!$F$34),'Recurring Schedule'!$O$34)=0),IF('Recurring Schedule'!$E$34="Weekdays",WEEKDAY($A59,2)&lt;=5,$A59='Recurring Schedule'!$F$34))),29,""))))</f>
        <v/>
      </c>
      <c r="AE59">
        <f>IF('Recurring Schedule'!$C$35="","",IF('Recurring Schedule'!$F$35="","",IF(OR($A59&lt;'Recurring Schedule'!$F$35,$A59&gt;'Recurring Schedule'!$P$35),"",IF(IF('Recurring Schedule'!$N$35&gt;0,MOD($A59-'Recurring Schedule'!$F$35,'Recurring Schedule'!$N$35)=0,IF('Recurring Schedule'!$O$35&gt;0,AND(DAY($A59)=MIN(DAY('Recurring Schedule'!$F$35),DAY(EOMONTH($A59,0))),MOD((YEAR($A59)-YEAR('Recurring Schedule'!$F$35))*12+MONTH($A59)-MONTH('Recurring Schedule'!$F$35),'Recurring Schedule'!$O$35)=0),IF('Recurring Schedule'!$E$35="Weekdays",WEEKDAY($A59,2)&lt;=5,$A59='Recurring Schedule'!$F$35))),30,""))))</f>
        <v/>
      </c>
      <c r="AF59">
        <f>IF('Recurring Schedule'!$C$36="","",IF('Recurring Schedule'!$F$36="","",IF(OR($A59&lt;'Recurring Schedule'!$F$36,$A59&gt;'Recurring Schedule'!$P$36),"",IF(IF('Recurring Schedule'!$N$36&gt;0,MOD($A59-'Recurring Schedule'!$F$36,'Recurring Schedule'!$N$36)=0,IF('Recurring Schedule'!$O$36&gt;0,AND(DAY($A59)=MIN(DAY('Recurring Schedule'!$F$36),DAY(EOMONTH($A59,0))),MOD((YEAR($A59)-YEAR('Recurring Schedule'!$F$36))*12+MONTH($A59)-MONTH('Recurring Schedule'!$F$36),'Recurring Schedule'!$O$36)=0),IF('Recurring Schedule'!$E$36="Weekdays",WEEKDAY($A59,2)&lt;=5,$A59='Recurring Schedule'!$F$36))),31,""))))</f>
        <v/>
      </c>
      <c r="AG59">
        <f>IF('Recurring Schedule'!$C$37="","",IF('Recurring Schedule'!$F$37="","",IF(OR($A59&lt;'Recurring Schedule'!$F$37,$A59&gt;'Recurring Schedule'!$P$37),"",IF(IF('Recurring Schedule'!$N$37&gt;0,MOD($A59-'Recurring Schedule'!$F$37,'Recurring Schedule'!$N$37)=0,IF('Recurring Schedule'!$O$37&gt;0,AND(DAY($A59)=MIN(DAY('Recurring Schedule'!$F$37),DAY(EOMONTH($A59,0))),MOD((YEAR($A59)-YEAR('Recurring Schedule'!$F$37))*12+MONTH($A59)-MONTH('Recurring Schedule'!$F$37),'Recurring Schedule'!$O$37)=0),IF('Recurring Schedule'!$E$37="Weekdays",WEEKDAY($A59,2)&lt;=5,$A59='Recurring Schedule'!$F$37))),32,""))))</f>
        <v/>
      </c>
      <c r="AH59">
        <f>IF('Recurring Schedule'!$C$38="","",IF('Recurring Schedule'!$F$38="","",IF(OR($A59&lt;'Recurring Schedule'!$F$38,$A59&gt;'Recurring Schedule'!$P$38),"",IF(IF('Recurring Schedule'!$N$38&gt;0,MOD($A59-'Recurring Schedule'!$F$38,'Recurring Schedule'!$N$38)=0,IF('Recurring Schedule'!$O$38&gt;0,AND(DAY($A59)=MIN(DAY('Recurring Schedule'!$F$38),DAY(EOMONTH($A59,0))),MOD((YEAR($A59)-YEAR('Recurring Schedule'!$F$38))*12+MONTH($A59)-MONTH('Recurring Schedule'!$F$38),'Recurring Schedule'!$O$38)=0),IF('Recurring Schedule'!$E$38="Weekdays",WEEKDAY($A59,2)&lt;=5,$A59='Recurring Schedule'!$F$38))),33,""))))</f>
        <v/>
      </c>
      <c r="AI59">
        <f>IF('Recurring Schedule'!$C$39="","",IF('Recurring Schedule'!$F$39="","",IF(OR($A59&lt;'Recurring Schedule'!$F$39,$A59&gt;'Recurring Schedule'!$P$39),"",IF(IF('Recurring Schedule'!$N$39&gt;0,MOD($A59-'Recurring Schedule'!$F$39,'Recurring Schedule'!$N$39)=0,IF('Recurring Schedule'!$O$39&gt;0,AND(DAY($A59)=MIN(DAY('Recurring Schedule'!$F$39),DAY(EOMONTH($A59,0))),MOD((YEAR($A59)-YEAR('Recurring Schedule'!$F$39))*12+MONTH($A59)-MONTH('Recurring Schedule'!$F$39),'Recurring Schedule'!$O$39)=0),IF('Recurring Schedule'!$E$39="Weekdays",WEEKDAY($A59,2)&lt;=5,$A59='Recurring Schedule'!$F$39))),34,""))))</f>
        <v/>
      </c>
      <c r="AJ59">
        <f>IF('Recurring Schedule'!$C$40="","",IF('Recurring Schedule'!$F$40="","",IF(OR($A59&lt;'Recurring Schedule'!$F$40,$A59&gt;'Recurring Schedule'!$P$40),"",IF(IF('Recurring Schedule'!$N$40&gt;0,MOD($A59-'Recurring Schedule'!$F$40,'Recurring Schedule'!$N$40)=0,IF('Recurring Schedule'!$O$40&gt;0,AND(DAY($A59)=MIN(DAY('Recurring Schedule'!$F$40),DAY(EOMONTH($A59,0))),MOD((YEAR($A59)-YEAR('Recurring Schedule'!$F$40))*12+MONTH($A59)-MONTH('Recurring Schedule'!$F$40),'Recurring Schedule'!$O$40)=0),IF('Recurring Schedule'!$E$40="Weekdays",WEEKDAY($A59,2)&lt;=5,$A59='Recurring Schedule'!$F$40))),35,""))))</f>
        <v/>
      </c>
      <c r="AK59">
        <f>IF('Recurring Schedule'!$C$41="","",IF('Recurring Schedule'!$F$41="","",IF(OR($A59&lt;'Recurring Schedule'!$F$41,$A59&gt;'Recurring Schedule'!$P$41),"",IF(IF('Recurring Schedule'!$N$41&gt;0,MOD($A59-'Recurring Schedule'!$F$41,'Recurring Schedule'!$N$41)=0,IF('Recurring Schedule'!$O$41&gt;0,AND(DAY($A59)=MIN(DAY('Recurring Schedule'!$F$41),DAY(EOMONTH($A59,0))),MOD((YEAR($A59)-YEAR('Recurring Schedule'!$F$41))*12+MONTH($A59)-MONTH('Recurring Schedule'!$F$41),'Recurring Schedule'!$O$41)=0),IF('Recurring Schedule'!$E$41="Weekdays",WEEKDAY($A59,2)&lt;=5,$A59='Recurring Schedule'!$F$41))),36,""))))</f>
        <v/>
      </c>
      <c r="AL59">
        <f>IF('Recurring Schedule'!$C$42="","",IF('Recurring Schedule'!$F$42="","",IF(OR($A59&lt;'Recurring Schedule'!$F$42,$A59&gt;'Recurring Schedule'!$P$42),"",IF(IF('Recurring Schedule'!$N$42&gt;0,MOD($A59-'Recurring Schedule'!$F$42,'Recurring Schedule'!$N$42)=0,IF('Recurring Schedule'!$O$42&gt;0,AND(DAY($A59)=MIN(DAY('Recurring Schedule'!$F$42),DAY(EOMONTH($A59,0))),MOD((YEAR($A59)-YEAR('Recurring Schedule'!$F$42))*12+MONTH($A59)-MONTH('Recurring Schedule'!$F$42),'Recurring Schedule'!$O$42)=0),IF('Recurring Schedule'!$E$42="Weekdays",WEEKDAY($A59,2)&lt;=5,$A59='Recurring Schedule'!$F$42))),37,""))))</f>
        <v/>
      </c>
      <c r="AM59">
        <f>IF('Recurring Schedule'!$C$43="","",IF('Recurring Schedule'!$F$43="","",IF(OR($A59&lt;'Recurring Schedule'!$F$43,$A59&gt;'Recurring Schedule'!$P$43),"",IF(IF('Recurring Schedule'!$N$43&gt;0,MOD($A59-'Recurring Schedule'!$F$43,'Recurring Schedule'!$N$43)=0,IF('Recurring Schedule'!$O$43&gt;0,AND(DAY($A59)=MIN(DAY('Recurring Schedule'!$F$43),DAY(EOMONTH($A59,0))),MOD((YEAR($A59)-YEAR('Recurring Schedule'!$F$43))*12+MONTH($A59)-MONTH('Recurring Schedule'!$F$43),'Recurring Schedule'!$O$43)=0),IF('Recurring Schedule'!$E$43="Weekdays",WEEKDAY($A59,2)&lt;=5,$A59='Recurring Schedule'!$F$43))),38,""))))</f>
        <v/>
      </c>
      <c r="AN59">
        <f>IF('Recurring Schedule'!$C$44="","",IF('Recurring Schedule'!$F$44="","",IF(OR($A59&lt;'Recurring Schedule'!$F$44,$A59&gt;'Recurring Schedule'!$P$44),"",IF(IF('Recurring Schedule'!$N$44&gt;0,MOD($A59-'Recurring Schedule'!$F$44,'Recurring Schedule'!$N$44)=0,IF('Recurring Schedule'!$O$44&gt;0,AND(DAY($A59)=MIN(DAY('Recurring Schedule'!$F$44),DAY(EOMONTH($A59,0))),MOD((YEAR($A59)-YEAR('Recurring Schedule'!$F$44))*12+MONTH($A59)-MONTH('Recurring Schedule'!$F$44),'Recurring Schedule'!$O$44)=0),IF('Recurring Schedule'!$E$44="Weekdays",WEEKDAY($A59,2)&lt;=5,$A59='Recurring Schedule'!$F$44))),39,""))))</f>
        <v/>
      </c>
      <c r="AO59">
        <f>IF('Recurring Schedule'!$C$45="","",IF('Recurring Schedule'!$F$45="","",IF(OR($A59&lt;'Recurring Schedule'!$F$45,$A59&gt;'Recurring Schedule'!$P$45),"",IF(IF('Recurring Schedule'!$N$45&gt;0,MOD($A59-'Recurring Schedule'!$F$45,'Recurring Schedule'!$N$45)=0,IF('Recurring Schedule'!$O$45&gt;0,AND(DAY($A59)=MIN(DAY('Recurring Schedule'!$F$45),DAY(EOMONTH($A59,0))),MOD((YEAR($A59)-YEAR('Recurring Schedule'!$F$45))*12+MONTH($A59)-MONTH('Recurring Schedule'!$F$45),'Recurring Schedule'!$O$45)=0),IF('Recurring Schedule'!$E$45="Weekdays",WEEKDAY($A59,2)&lt;=5,$A59='Recurring Schedule'!$F$45))),40,""))))</f>
        <v/>
      </c>
      <c r="AP59">
        <f>COUNT(B59:AO59)</f>
        <v/>
      </c>
      <c r="AQ59">
        <f>AQ58+AP58</f>
        <v/>
      </c>
      <c r="AS59" t="inlineStr">
        <is>
          <t>R</t>
        </is>
      </c>
      <c r="AT59" t="n">
        <v>63</v>
      </c>
      <c r="AU59">
        <f>'Recurring Log'!C63&amp;""</f>
        <v/>
      </c>
      <c r="AV59">
        <f>'Recurring Log'!D63&amp;""</f>
        <v/>
      </c>
      <c r="AW59">
        <f>IF('Recurring Log'!E63="","",'Recurring Log'!E63)</f>
        <v/>
      </c>
      <c r="AX59">
        <f>IF('Recurring Log'!G63="","",'Recurring Log'!G63)</f>
        <v/>
      </c>
      <c r="AY59">
        <f>IF('Recurring Log'!H63="","",'Recurring Log'!H63)</f>
        <v/>
      </c>
      <c r="AZ59">
        <f>IF(AU59="","",IF('Recurring Log'!J63="","Not Started",'Recurring Log'!J63))</f>
        <v/>
      </c>
      <c r="BA59">
        <f>'Recurring Log'!L63&amp;""</f>
        <v/>
      </c>
      <c r="BB59">
        <f>'Recurring Log'!M63&amp;""</f>
        <v/>
      </c>
      <c r="BC59">
        <f>'Recurring Log'!N63&amp;""</f>
        <v/>
      </c>
      <c r="BD59">
        <f>'Recurring Log'!O63&amp;""</f>
        <v/>
      </c>
      <c r="BE59">
        <f>IF('Recurring Log'!K63="","",'Recurring Log'!K63)</f>
        <v/>
      </c>
      <c r="BF59">
        <f>IFERROR(MATCH(BA59,Setup!$L$6:$L$9,0),5)</f>
        <v/>
      </c>
      <c r="BG59">
        <f>IF(OR(AZ59="Done",AZ59="Cancelled"),1,0)</f>
        <v/>
      </c>
      <c r="BH59">
        <f>IF(AND(AU59&lt;&gt;"",ISNUMBER(AW59)),1,0)</f>
        <v/>
      </c>
      <c r="BI59">
        <f>IF(BH59=0,0,IF(AND(AW59&gt;='Tasks Filter'!$F$3,AW59&lt;='Tasks Filter'!$F$4,OR('Tasks Filter'!$I$3="",ISNUMBER(SEARCH('Tasks Filter'!$I$3,AU59))),OR('Tasks Filter'!$I$4="",BF59=IFERROR(MATCH('Tasks Filter'!$I$4,Setup!$L$6:$L$9,0),0)),OR('Tasks Filter'!$I$5="Both",AND('Tasks Filter'!$I$5="Yes",BB59="✓"),AND('Tasks Filter'!$I$5="No",BB59&lt;&gt;"✓")),OR('Tasks Filter'!$L$3="",AV59='Tasks Filter'!$L$3),OR('Tasks Filter'!$L$4="",AZ59='Tasks Filter'!$L$4),OR('Tasks Filter'!$L$5="",BC59='Tasks Filter'!$L$5),OR('Tasks Filter'!$O$3="",BD59='Tasks Filter'!$O$3),OR('Tasks Filter'!$O$4="Yes",BG59=0)),1,0))</f>
        <v/>
      </c>
      <c r="BJ59">
        <f>IF(BH59=0,"",IF('Tasks Filter'!$F$6="Descending",-1,1)*CHOOSE(MATCH('Tasks Filter'!$F$5,Lists!$G$2:$G$6,0),AW59,BF59,IFERROR(MATCH(AV59,Setup!$F$6:$F$15,0),99),IFERROR(MATCH(BC59,Setup!$H$6:$H$15,0),99),IFERROR(MATCH(AZ59,Setup!$J$6:$J$11,0),99))*1E+9+(AW59-40000)*10000+58)</f>
        <v/>
      </c>
      <c r="BK59">
        <f>IF(BI59=1,BJ59,"")</f>
        <v/>
      </c>
      <c r="BL59">
        <f>IF(AND(BH59=1,BG59=0,N(AW59)&lt;Setup!$D$7),(AW59-40000)*10000+58,"")</f>
        <v/>
      </c>
      <c r="BM59">
        <f>IF(AND(BH59=1,AZ59&lt;&gt;"Cancelled",N(AW59)&gt;=Dashboard!$AB$3,N(AW59)&lt;=Dashboard!$AB$3+6),(AW59-40000)*100000+BF59*10000+58,"")</f>
        <v/>
      </c>
      <c r="BN59">
        <f>IF(AND(BH59=1,AZ59&lt;&gt;"Cancelled"),BF59*10000+58,"")</f>
        <v/>
      </c>
    </row>
    <row r="60">
      <c r="A60">
        <f>Setup!$D$5+58</f>
        <v/>
      </c>
      <c r="B60">
        <f>IF('Recurring Schedule'!$C$6="","",IF('Recurring Schedule'!$F$6="","",IF(OR($A60&lt;'Recurring Schedule'!$F$6,$A60&gt;'Recurring Schedule'!$P$6),"",IF(IF('Recurring Schedule'!$N$6&gt;0,MOD($A60-'Recurring Schedule'!$F$6,'Recurring Schedule'!$N$6)=0,IF('Recurring Schedule'!$O$6&gt;0,AND(DAY($A60)=MIN(DAY('Recurring Schedule'!$F$6),DAY(EOMONTH($A60,0))),MOD((YEAR($A60)-YEAR('Recurring Schedule'!$F$6))*12+MONTH($A60)-MONTH('Recurring Schedule'!$F$6),'Recurring Schedule'!$O$6)=0),IF('Recurring Schedule'!$E$6="Weekdays",WEEKDAY($A60,2)&lt;=5,$A60='Recurring Schedule'!$F$6))),1,""))))</f>
        <v/>
      </c>
      <c r="C60">
        <f>IF('Recurring Schedule'!$C$7="","",IF('Recurring Schedule'!$F$7="","",IF(OR($A60&lt;'Recurring Schedule'!$F$7,$A60&gt;'Recurring Schedule'!$P$7),"",IF(IF('Recurring Schedule'!$N$7&gt;0,MOD($A60-'Recurring Schedule'!$F$7,'Recurring Schedule'!$N$7)=0,IF('Recurring Schedule'!$O$7&gt;0,AND(DAY($A60)=MIN(DAY('Recurring Schedule'!$F$7),DAY(EOMONTH($A60,0))),MOD((YEAR($A60)-YEAR('Recurring Schedule'!$F$7))*12+MONTH($A60)-MONTH('Recurring Schedule'!$F$7),'Recurring Schedule'!$O$7)=0),IF('Recurring Schedule'!$E$7="Weekdays",WEEKDAY($A60,2)&lt;=5,$A60='Recurring Schedule'!$F$7))),2,""))))</f>
        <v/>
      </c>
      <c r="D60">
        <f>IF('Recurring Schedule'!$C$8="","",IF('Recurring Schedule'!$F$8="","",IF(OR($A60&lt;'Recurring Schedule'!$F$8,$A60&gt;'Recurring Schedule'!$P$8),"",IF(IF('Recurring Schedule'!$N$8&gt;0,MOD($A60-'Recurring Schedule'!$F$8,'Recurring Schedule'!$N$8)=0,IF('Recurring Schedule'!$O$8&gt;0,AND(DAY($A60)=MIN(DAY('Recurring Schedule'!$F$8),DAY(EOMONTH($A60,0))),MOD((YEAR($A60)-YEAR('Recurring Schedule'!$F$8))*12+MONTH($A60)-MONTH('Recurring Schedule'!$F$8),'Recurring Schedule'!$O$8)=0),IF('Recurring Schedule'!$E$8="Weekdays",WEEKDAY($A60,2)&lt;=5,$A60='Recurring Schedule'!$F$8))),3,""))))</f>
        <v/>
      </c>
      <c r="E60">
        <f>IF('Recurring Schedule'!$C$9="","",IF('Recurring Schedule'!$F$9="","",IF(OR($A60&lt;'Recurring Schedule'!$F$9,$A60&gt;'Recurring Schedule'!$P$9),"",IF(IF('Recurring Schedule'!$N$9&gt;0,MOD($A60-'Recurring Schedule'!$F$9,'Recurring Schedule'!$N$9)=0,IF('Recurring Schedule'!$O$9&gt;0,AND(DAY($A60)=MIN(DAY('Recurring Schedule'!$F$9),DAY(EOMONTH($A60,0))),MOD((YEAR($A60)-YEAR('Recurring Schedule'!$F$9))*12+MONTH($A60)-MONTH('Recurring Schedule'!$F$9),'Recurring Schedule'!$O$9)=0),IF('Recurring Schedule'!$E$9="Weekdays",WEEKDAY($A60,2)&lt;=5,$A60='Recurring Schedule'!$F$9))),4,""))))</f>
        <v/>
      </c>
      <c r="F60">
        <f>IF('Recurring Schedule'!$C$10="","",IF('Recurring Schedule'!$F$10="","",IF(OR($A60&lt;'Recurring Schedule'!$F$10,$A60&gt;'Recurring Schedule'!$P$10),"",IF(IF('Recurring Schedule'!$N$10&gt;0,MOD($A60-'Recurring Schedule'!$F$10,'Recurring Schedule'!$N$10)=0,IF('Recurring Schedule'!$O$10&gt;0,AND(DAY($A60)=MIN(DAY('Recurring Schedule'!$F$10),DAY(EOMONTH($A60,0))),MOD((YEAR($A60)-YEAR('Recurring Schedule'!$F$10))*12+MONTH($A60)-MONTH('Recurring Schedule'!$F$10),'Recurring Schedule'!$O$10)=0),IF('Recurring Schedule'!$E$10="Weekdays",WEEKDAY($A60,2)&lt;=5,$A60='Recurring Schedule'!$F$10))),5,""))))</f>
        <v/>
      </c>
      <c r="G60">
        <f>IF('Recurring Schedule'!$C$11="","",IF('Recurring Schedule'!$F$11="","",IF(OR($A60&lt;'Recurring Schedule'!$F$11,$A60&gt;'Recurring Schedule'!$P$11),"",IF(IF('Recurring Schedule'!$N$11&gt;0,MOD($A60-'Recurring Schedule'!$F$11,'Recurring Schedule'!$N$11)=0,IF('Recurring Schedule'!$O$11&gt;0,AND(DAY($A60)=MIN(DAY('Recurring Schedule'!$F$11),DAY(EOMONTH($A60,0))),MOD((YEAR($A60)-YEAR('Recurring Schedule'!$F$11))*12+MONTH($A60)-MONTH('Recurring Schedule'!$F$11),'Recurring Schedule'!$O$11)=0),IF('Recurring Schedule'!$E$11="Weekdays",WEEKDAY($A60,2)&lt;=5,$A60='Recurring Schedule'!$F$11))),6,""))))</f>
        <v/>
      </c>
      <c r="H60">
        <f>IF('Recurring Schedule'!$C$12="","",IF('Recurring Schedule'!$F$12="","",IF(OR($A60&lt;'Recurring Schedule'!$F$12,$A60&gt;'Recurring Schedule'!$P$12),"",IF(IF('Recurring Schedule'!$N$12&gt;0,MOD($A60-'Recurring Schedule'!$F$12,'Recurring Schedule'!$N$12)=0,IF('Recurring Schedule'!$O$12&gt;0,AND(DAY($A60)=MIN(DAY('Recurring Schedule'!$F$12),DAY(EOMONTH($A60,0))),MOD((YEAR($A60)-YEAR('Recurring Schedule'!$F$12))*12+MONTH($A60)-MONTH('Recurring Schedule'!$F$12),'Recurring Schedule'!$O$12)=0),IF('Recurring Schedule'!$E$12="Weekdays",WEEKDAY($A60,2)&lt;=5,$A60='Recurring Schedule'!$F$12))),7,""))))</f>
        <v/>
      </c>
      <c r="I60">
        <f>IF('Recurring Schedule'!$C$13="","",IF('Recurring Schedule'!$F$13="","",IF(OR($A60&lt;'Recurring Schedule'!$F$13,$A60&gt;'Recurring Schedule'!$P$13),"",IF(IF('Recurring Schedule'!$N$13&gt;0,MOD($A60-'Recurring Schedule'!$F$13,'Recurring Schedule'!$N$13)=0,IF('Recurring Schedule'!$O$13&gt;0,AND(DAY($A60)=MIN(DAY('Recurring Schedule'!$F$13),DAY(EOMONTH($A60,0))),MOD((YEAR($A60)-YEAR('Recurring Schedule'!$F$13))*12+MONTH($A60)-MONTH('Recurring Schedule'!$F$13),'Recurring Schedule'!$O$13)=0),IF('Recurring Schedule'!$E$13="Weekdays",WEEKDAY($A60,2)&lt;=5,$A60='Recurring Schedule'!$F$13))),8,""))))</f>
        <v/>
      </c>
      <c r="J60">
        <f>IF('Recurring Schedule'!$C$14="","",IF('Recurring Schedule'!$F$14="","",IF(OR($A60&lt;'Recurring Schedule'!$F$14,$A60&gt;'Recurring Schedule'!$P$14),"",IF(IF('Recurring Schedule'!$N$14&gt;0,MOD($A60-'Recurring Schedule'!$F$14,'Recurring Schedule'!$N$14)=0,IF('Recurring Schedule'!$O$14&gt;0,AND(DAY($A60)=MIN(DAY('Recurring Schedule'!$F$14),DAY(EOMONTH($A60,0))),MOD((YEAR($A60)-YEAR('Recurring Schedule'!$F$14))*12+MONTH($A60)-MONTH('Recurring Schedule'!$F$14),'Recurring Schedule'!$O$14)=0),IF('Recurring Schedule'!$E$14="Weekdays",WEEKDAY($A60,2)&lt;=5,$A60='Recurring Schedule'!$F$14))),9,""))))</f>
        <v/>
      </c>
      <c r="K60">
        <f>IF('Recurring Schedule'!$C$15="","",IF('Recurring Schedule'!$F$15="","",IF(OR($A60&lt;'Recurring Schedule'!$F$15,$A60&gt;'Recurring Schedule'!$P$15),"",IF(IF('Recurring Schedule'!$N$15&gt;0,MOD($A60-'Recurring Schedule'!$F$15,'Recurring Schedule'!$N$15)=0,IF('Recurring Schedule'!$O$15&gt;0,AND(DAY($A60)=MIN(DAY('Recurring Schedule'!$F$15),DAY(EOMONTH($A60,0))),MOD((YEAR($A60)-YEAR('Recurring Schedule'!$F$15))*12+MONTH($A60)-MONTH('Recurring Schedule'!$F$15),'Recurring Schedule'!$O$15)=0),IF('Recurring Schedule'!$E$15="Weekdays",WEEKDAY($A60,2)&lt;=5,$A60='Recurring Schedule'!$F$15))),10,""))))</f>
        <v/>
      </c>
      <c r="L60">
        <f>IF('Recurring Schedule'!$C$16="","",IF('Recurring Schedule'!$F$16="","",IF(OR($A60&lt;'Recurring Schedule'!$F$16,$A60&gt;'Recurring Schedule'!$P$16),"",IF(IF('Recurring Schedule'!$N$16&gt;0,MOD($A60-'Recurring Schedule'!$F$16,'Recurring Schedule'!$N$16)=0,IF('Recurring Schedule'!$O$16&gt;0,AND(DAY($A60)=MIN(DAY('Recurring Schedule'!$F$16),DAY(EOMONTH($A60,0))),MOD((YEAR($A60)-YEAR('Recurring Schedule'!$F$16))*12+MONTH($A60)-MONTH('Recurring Schedule'!$F$16),'Recurring Schedule'!$O$16)=0),IF('Recurring Schedule'!$E$16="Weekdays",WEEKDAY($A60,2)&lt;=5,$A60='Recurring Schedule'!$F$16))),11,""))))</f>
        <v/>
      </c>
      <c r="M60">
        <f>IF('Recurring Schedule'!$C$17="","",IF('Recurring Schedule'!$F$17="","",IF(OR($A60&lt;'Recurring Schedule'!$F$17,$A60&gt;'Recurring Schedule'!$P$17),"",IF(IF('Recurring Schedule'!$N$17&gt;0,MOD($A60-'Recurring Schedule'!$F$17,'Recurring Schedule'!$N$17)=0,IF('Recurring Schedule'!$O$17&gt;0,AND(DAY($A60)=MIN(DAY('Recurring Schedule'!$F$17),DAY(EOMONTH($A60,0))),MOD((YEAR($A60)-YEAR('Recurring Schedule'!$F$17))*12+MONTH($A60)-MONTH('Recurring Schedule'!$F$17),'Recurring Schedule'!$O$17)=0),IF('Recurring Schedule'!$E$17="Weekdays",WEEKDAY($A60,2)&lt;=5,$A60='Recurring Schedule'!$F$17))),12,""))))</f>
        <v/>
      </c>
      <c r="N60">
        <f>IF('Recurring Schedule'!$C$18="","",IF('Recurring Schedule'!$F$18="","",IF(OR($A60&lt;'Recurring Schedule'!$F$18,$A60&gt;'Recurring Schedule'!$P$18),"",IF(IF('Recurring Schedule'!$N$18&gt;0,MOD($A60-'Recurring Schedule'!$F$18,'Recurring Schedule'!$N$18)=0,IF('Recurring Schedule'!$O$18&gt;0,AND(DAY($A60)=MIN(DAY('Recurring Schedule'!$F$18),DAY(EOMONTH($A60,0))),MOD((YEAR($A60)-YEAR('Recurring Schedule'!$F$18))*12+MONTH($A60)-MONTH('Recurring Schedule'!$F$18),'Recurring Schedule'!$O$18)=0),IF('Recurring Schedule'!$E$18="Weekdays",WEEKDAY($A60,2)&lt;=5,$A60='Recurring Schedule'!$F$18))),13,""))))</f>
        <v/>
      </c>
      <c r="O60">
        <f>IF('Recurring Schedule'!$C$19="","",IF('Recurring Schedule'!$F$19="","",IF(OR($A60&lt;'Recurring Schedule'!$F$19,$A60&gt;'Recurring Schedule'!$P$19),"",IF(IF('Recurring Schedule'!$N$19&gt;0,MOD($A60-'Recurring Schedule'!$F$19,'Recurring Schedule'!$N$19)=0,IF('Recurring Schedule'!$O$19&gt;0,AND(DAY($A60)=MIN(DAY('Recurring Schedule'!$F$19),DAY(EOMONTH($A60,0))),MOD((YEAR($A60)-YEAR('Recurring Schedule'!$F$19))*12+MONTH($A60)-MONTH('Recurring Schedule'!$F$19),'Recurring Schedule'!$O$19)=0),IF('Recurring Schedule'!$E$19="Weekdays",WEEKDAY($A60,2)&lt;=5,$A60='Recurring Schedule'!$F$19))),14,""))))</f>
        <v/>
      </c>
      <c r="P60">
        <f>IF('Recurring Schedule'!$C$20="","",IF('Recurring Schedule'!$F$20="","",IF(OR($A60&lt;'Recurring Schedule'!$F$20,$A60&gt;'Recurring Schedule'!$P$20),"",IF(IF('Recurring Schedule'!$N$20&gt;0,MOD($A60-'Recurring Schedule'!$F$20,'Recurring Schedule'!$N$20)=0,IF('Recurring Schedule'!$O$20&gt;0,AND(DAY($A60)=MIN(DAY('Recurring Schedule'!$F$20),DAY(EOMONTH($A60,0))),MOD((YEAR($A60)-YEAR('Recurring Schedule'!$F$20))*12+MONTH($A60)-MONTH('Recurring Schedule'!$F$20),'Recurring Schedule'!$O$20)=0),IF('Recurring Schedule'!$E$20="Weekdays",WEEKDAY($A60,2)&lt;=5,$A60='Recurring Schedule'!$F$20))),15,""))))</f>
        <v/>
      </c>
      <c r="Q60">
        <f>IF('Recurring Schedule'!$C$21="","",IF('Recurring Schedule'!$F$21="","",IF(OR($A60&lt;'Recurring Schedule'!$F$21,$A60&gt;'Recurring Schedule'!$P$21),"",IF(IF('Recurring Schedule'!$N$21&gt;0,MOD($A60-'Recurring Schedule'!$F$21,'Recurring Schedule'!$N$21)=0,IF('Recurring Schedule'!$O$21&gt;0,AND(DAY($A60)=MIN(DAY('Recurring Schedule'!$F$21),DAY(EOMONTH($A60,0))),MOD((YEAR($A60)-YEAR('Recurring Schedule'!$F$21))*12+MONTH($A60)-MONTH('Recurring Schedule'!$F$21),'Recurring Schedule'!$O$21)=0),IF('Recurring Schedule'!$E$21="Weekdays",WEEKDAY($A60,2)&lt;=5,$A60='Recurring Schedule'!$F$21))),16,""))))</f>
        <v/>
      </c>
      <c r="R60">
        <f>IF('Recurring Schedule'!$C$22="","",IF('Recurring Schedule'!$F$22="","",IF(OR($A60&lt;'Recurring Schedule'!$F$22,$A60&gt;'Recurring Schedule'!$P$22),"",IF(IF('Recurring Schedule'!$N$22&gt;0,MOD($A60-'Recurring Schedule'!$F$22,'Recurring Schedule'!$N$22)=0,IF('Recurring Schedule'!$O$22&gt;0,AND(DAY($A60)=MIN(DAY('Recurring Schedule'!$F$22),DAY(EOMONTH($A60,0))),MOD((YEAR($A60)-YEAR('Recurring Schedule'!$F$22))*12+MONTH($A60)-MONTH('Recurring Schedule'!$F$22),'Recurring Schedule'!$O$22)=0),IF('Recurring Schedule'!$E$22="Weekdays",WEEKDAY($A60,2)&lt;=5,$A60='Recurring Schedule'!$F$22))),17,""))))</f>
        <v/>
      </c>
      <c r="S60">
        <f>IF('Recurring Schedule'!$C$23="","",IF('Recurring Schedule'!$F$23="","",IF(OR($A60&lt;'Recurring Schedule'!$F$23,$A60&gt;'Recurring Schedule'!$P$23),"",IF(IF('Recurring Schedule'!$N$23&gt;0,MOD($A60-'Recurring Schedule'!$F$23,'Recurring Schedule'!$N$23)=0,IF('Recurring Schedule'!$O$23&gt;0,AND(DAY($A60)=MIN(DAY('Recurring Schedule'!$F$23),DAY(EOMONTH($A60,0))),MOD((YEAR($A60)-YEAR('Recurring Schedule'!$F$23))*12+MONTH($A60)-MONTH('Recurring Schedule'!$F$23),'Recurring Schedule'!$O$23)=0),IF('Recurring Schedule'!$E$23="Weekdays",WEEKDAY($A60,2)&lt;=5,$A60='Recurring Schedule'!$F$23))),18,""))))</f>
        <v/>
      </c>
      <c r="T60">
        <f>IF('Recurring Schedule'!$C$24="","",IF('Recurring Schedule'!$F$24="","",IF(OR($A60&lt;'Recurring Schedule'!$F$24,$A60&gt;'Recurring Schedule'!$P$24),"",IF(IF('Recurring Schedule'!$N$24&gt;0,MOD($A60-'Recurring Schedule'!$F$24,'Recurring Schedule'!$N$24)=0,IF('Recurring Schedule'!$O$24&gt;0,AND(DAY($A60)=MIN(DAY('Recurring Schedule'!$F$24),DAY(EOMONTH($A60,0))),MOD((YEAR($A60)-YEAR('Recurring Schedule'!$F$24))*12+MONTH($A60)-MONTH('Recurring Schedule'!$F$24),'Recurring Schedule'!$O$24)=0),IF('Recurring Schedule'!$E$24="Weekdays",WEEKDAY($A60,2)&lt;=5,$A60='Recurring Schedule'!$F$24))),19,""))))</f>
        <v/>
      </c>
      <c r="U60">
        <f>IF('Recurring Schedule'!$C$25="","",IF('Recurring Schedule'!$F$25="","",IF(OR($A60&lt;'Recurring Schedule'!$F$25,$A60&gt;'Recurring Schedule'!$P$25),"",IF(IF('Recurring Schedule'!$N$25&gt;0,MOD($A60-'Recurring Schedule'!$F$25,'Recurring Schedule'!$N$25)=0,IF('Recurring Schedule'!$O$25&gt;0,AND(DAY($A60)=MIN(DAY('Recurring Schedule'!$F$25),DAY(EOMONTH($A60,0))),MOD((YEAR($A60)-YEAR('Recurring Schedule'!$F$25))*12+MONTH($A60)-MONTH('Recurring Schedule'!$F$25),'Recurring Schedule'!$O$25)=0),IF('Recurring Schedule'!$E$25="Weekdays",WEEKDAY($A60,2)&lt;=5,$A60='Recurring Schedule'!$F$25))),20,""))))</f>
        <v/>
      </c>
      <c r="V60">
        <f>IF('Recurring Schedule'!$C$26="","",IF('Recurring Schedule'!$F$26="","",IF(OR($A60&lt;'Recurring Schedule'!$F$26,$A60&gt;'Recurring Schedule'!$P$26),"",IF(IF('Recurring Schedule'!$N$26&gt;0,MOD($A60-'Recurring Schedule'!$F$26,'Recurring Schedule'!$N$26)=0,IF('Recurring Schedule'!$O$26&gt;0,AND(DAY($A60)=MIN(DAY('Recurring Schedule'!$F$26),DAY(EOMONTH($A60,0))),MOD((YEAR($A60)-YEAR('Recurring Schedule'!$F$26))*12+MONTH($A60)-MONTH('Recurring Schedule'!$F$26),'Recurring Schedule'!$O$26)=0),IF('Recurring Schedule'!$E$26="Weekdays",WEEKDAY($A60,2)&lt;=5,$A60='Recurring Schedule'!$F$26))),21,""))))</f>
        <v/>
      </c>
      <c r="W60">
        <f>IF('Recurring Schedule'!$C$27="","",IF('Recurring Schedule'!$F$27="","",IF(OR($A60&lt;'Recurring Schedule'!$F$27,$A60&gt;'Recurring Schedule'!$P$27),"",IF(IF('Recurring Schedule'!$N$27&gt;0,MOD($A60-'Recurring Schedule'!$F$27,'Recurring Schedule'!$N$27)=0,IF('Recurring Schedule'!$O$27&gt;0,AND(DAY($A60)=MIN(DAY('Recurring Schedule'!$F$27),DAY(EOMONTH($A60,0))),MOD((YEAR($A60)-YEAR('Recurring Schedule'!$F$27))*12+MONTH($A60)-MONTH('Recurring Schedule'!$F$27),'Recurring Schedule'!$O$27)=0),IF('Recurring Schedule'!$E$27="Weekdays",WEEKDAY($A60,2)&lt;=5,$A60='Recurring Schedule'!$F$27))),22,""))))</f>
        <v/>
      </c>
      <c r="X60">
        <f>IF('Recurring Schedule'!$C$28="","",IF('Recurring Schedule'!$F$28="","",IF(OR($A60&lt;'Recurring Schedule'!$F$28,$A60&gt;'Recurring Schedule'!$P$28),"",IF(IF('Recurring Schedule'!$N$28&gt;0,MOD($A60-'Recurring Schedule'!$F$28,'Recurring Schedule'!$N$28)=0,IF('Recurring Schedule'!$O$28&gt;0,AND(DAY($A60)=MIN(DAY('Recurring Schedule'!$F$28),DAY(EOMONTH($A60,0))),MOD((YEAR($A60)-YEAR('Recurring Schedule'!$F$28))*12+MONTH($A60)-MONTH('Recurring Schedule'!$F$28),'Recurring Schedule'!$O$28)=0),IF('Recurring Schedule'!$E$28="Weekdays",WEEKDAY($A60,2)&lt;=5,$A60='Recurring Schedule'!$F$28))),23,""))))</f>
        <v/>
      </c>
      <c r="Y60">
        <f>IF('Recurring Schedule'!$C$29="","",IF('Recurring Schedule'!$F$29="","",IF(OR($A60&lt;'Recurring Schedule'!$F$29,$A60&gt;'Recurring Schedule'!$P$29),"",IF(IF('Recurring Schedule'!$N$29&gt;0,MOD($A60-'Recurring Schedule'!$F$29,'Recurring Schedule'!$N$29)=0,IF('Recurring Schedule'!$O$29&gt;0,AND(DAY($A60)=MIN(DAY('Recurring Schedule'!$F$29),DAY(EOMONTH($A60,0))),MOD((YEAR($A60)-YEAR('Recurring Schedule'!$F$29))*12+MONTH($A60)-MONTH('Recurring Schedule'!$F$29),'Recurring Schedule'!$O$29)=0),IF('Recurring Schedule'!$E$29="Weekdays",WEEKDAY($A60,2)&lt;=5,$A60='Recurring Schedule'!$F$29))),24,""))))</f>
        <v/>
      </c>
      <c r="Z60">
        <f>IF('Recurring Schedule'!$C$30="","",IF('Recurring Schedule'!$F$30="","",IF(OR($A60&lt;'Recurring Schedule'!$F$30,$A60&gt;'Recurring Schedule'!$P$30),"",IF(IF('Recurring Schedule'!$N$30&gt;0,MOD($A60-'Recurring Schedule'!$F$30,'Recurring Schedule'!$N$30)=0,IF('Recurring Schedule'!$O$30&gt;0,AND(DAY($A60)=MIN(DAY('Recurring Schedule'!$F$30),DAY(EOMONTH($A60,0))),MOD((YEAR($A60)-YEAR('Recurring Schedule'!$F$30))*12+MONTH($A60)-MONTH('Recurring Schedule'!$F$30),'Recurring Schedule'!$O$30)=0),IF('Recurring Schedule'!$E$30="Weekdays",WEEKDAY($A60,2)&lt;=5,$A60='Recurring Schedule'!$F$30))),25,""))))</f>
        <v/>
      </c>
      <c r="AA60">
        <f>IF('Recurring Schedule'!$C$31="","",IF('Recurring Schedule'!$F$31="","",IF(OR($A60&lt;'Recurring Schedule'!$F$31,$A60&gt;'Recurring Schedule'!$P$31),"",IF(IF('Recurring Schedule'!$N$31&gt;0,MOD($A60-'Recurring Schedule'!$F$31,'Recurring Schedule'!$N$31)=0,IF('Recurring Schedule'!$O$31&gt;0,AND(DAY($A60)=MIN(DAY('Recurring Schedule'!$F$31),DAY(EOMONTH($A60,0))),MOD((YEAR($A60)-YEAR('Recurring Schedule'!$F$31))*12+MONTH($A60)-MONTH('Recurring Schedule'!$F$31),'Recurring Schedule'!$O$31)=0),IF('Recurring Schedule'!$E$31="Weekdays",WEEKDAY($A60,2)&lt;=5,$A60='Recurring Schedule'!$F$31))),26,""))))</f>
        <v/>
      </c>
      <c r="AB60">
        <f>IF('Recurring Schedule'!$C$32="","",IF('Recurring Schedule'!$F$32="","",IF(OR($A60&lt;'Recurring Schedule'!$F$32,$A60&gt;'Recurring Schedule'!$P$32),"",IF(IF('Recurring Schedule'!$N$32&gt;0,MOD($A60-'Recurring Schedule'!$F$32,'Recurring Schedule'!$N$32)=0,IF('Recurring Schedule'!$O$32&gt;0,AND(DAY($A60)=MIN(DAY('Recurring Schedule'!$F$32),DAY(EOMONTH($A60,0))),MOD((YEAR($A60)-YEAR('Recurring Schedule'!$F$32))*12+MONTH($A60)-MONTH('Recurring Schedule'!$F$32),'Recurring Schedule'!$O$32)=0),IF('Recurring Schedule'!$E$32="Weekdays",WEEKDAY($A60,2)&lt;=5,$A60='Recurring Schedule'!$F$32))),27,""))))</f>
        <v/>
      </c>
      <c r="AC60">
        <f>IF('Recurring Schedule'!$C$33="","",IF('Recurring Schedule'!$F$33="","",IF(OR($A60&lt;'Recurring Schedule'!$F$33,$A60&gt;'Recurring Schedule'!$P$33),"",IF(IF('Recurring Schedule'!$N$33&gt;0,MOD($A60-'Recurring Schedule'!$F$33,'Recurring Schedule'!$N$33)=0,IF('Recurring Schedule'!$O$33&gt;0,AND(DAY($A60)=MIN(DAY('Recurring Schedule'!$F$33),DAY(EOMONTH($A60,0))),MOD((YEAR($A60)-YEAR('Recurring Schedule'!$F$33))*12+MONTH($A60)-MONTH('Recurring Schedule'!$F$33),'Recurring Schedule'!$O$33)=0),IF('Recurring Schedule'!$E$33="Weekdays",WEEKDAY($A60,2)&lt;=5,$A60='Recurring Schedule'!$F$33))),28,""))))</f>
        <v/>
      </c>
      <c r="AD60">
        <f>IF('Recurring Schedule'!$C$34="","",IF('Recurring Schedule'!$F$34="","",IF(OR($A60&lt;'Recurring Schedule'!$F$34,$A60&gt;'Recurring Schedule'!$P$34),"",IF(IF('Recurring Schedule'!$N$34&gt;0,MOD($A60-'Recurring Schedule'!$F$34,'Recurring Schedule'!$N$34)=0,IF('Recurring Schedule'!$O$34&gt;0,AND(DAY($A60)=MIN(DAY('Recurring Schedule'!$F$34),DAY(EOMONTH($A60,0))),MOD((YEAR($A60)-YEAR('Recurring Schedule'!$F$34))*12+MONTH($A60)-MONTH('Recurring Schedule'!$F$34),'Recurring Schedule'!$O$34)=0),IF('Recurring Schedule'!$E$34="Weekdays",WEEKDAY($A60,2)&lt;=5,$A60='Recurring Schedule'!$F$34))),29,""))))</f>
        <v/>
      </c>
      <c r="AE60">
        <f>IF('Recurring Schedule'!$C$35="","",IF('Recurring Schedule'!$F$35="","",IF(OR($A60&lt;'Recurring Schedule'!$F$35,$A60&gt;'Recurring Schedule'!$P$35),"",IF(IF('Recurring Schedule'!$N$35&gt;0,MOD($A60-'Recurring Schedule'!$F$35,'Recurring Schedule'!$N$35)=0,IF('Recurring Schedule'!$O$35&gt;0,AND(DAY($A60)=MIN(DAY('Recurring Schedule'!$F$35),DAY(EOMONTH($A60,0))),MOD((YEAR($A60)-YEAR('Recurring Schedule'!$F$35))*12+MONTH($A60)-MONTH('Recurring Schedule'!$F$35),'Recurring Schedule'!$O$35)=0),IF('Recurring Schedule'!$E$35="Weekdays",WEEKDAY($A60,2)&lt;=5,$A60='Recurring Schedule'!$F$35))),30,""))))</f>
        <v/>
      </c>
      <c r="AF60">
        <f>IF('Recurring Schedule'!$C$36="","",IF('Recurring Schedule'!$F$36="","",IF(OR($A60&lt;'Recurring Schedule'!$F$36,$A60&gt;'Recurring Schedule'!$P$36),"",IF(IF('Recurring Schedule'!$N$36&gt;0,MOD($A60-'Recurring Schedule'!$F$36,'Recurring Schedule'!$N$36)=0,IF('Recurring Schedule'!$O$36&gt;0,AND(DAY($A60)=MIN(DAY('Recurring Schedule'!$F$36),DAY(EOMONTH($A60,0))),MOD((YEAR($A60)-YEAR('Recurring Schedule'!$F$36))*12+MONTH($A60)-MONTH('Recurring Schedule'!$F$36),'Recurring Schedule'!$O$36)=0),IF('Recurring Schedule'!$E$36="Weekdays",WEEKDAY($A60,2)&lt;=5,$A60='Recurring Schedule'!$F$36))),31,""))))</f>
        <v/>
      </c>
      <c r="AG60">
        <f>IF('Recurring Schedule'!$C$37="","",IF('Recurring Schedule'!$F$37="","",IF(OR($A60&lt;'Recurring Schedule'!$F$37,$A60&gt;'Recurring Schedule'!$P$37),"",IF(IF('Recurring Schedule'!$N$37&gt;0,MOD($A60-'Recurring Schedule'!$F$37,'Recurring Schedule'!$N$37)=0,IF('Recurring Schedule'!$O$37&gt;0,AND(DAY($A60)=MIN(DAY('Recurring Schedule'!$F$37),DAY(EOMONTH($A60,0))),MOD((YEAR($A60)-YEAR('Recurring Schedule'!$F$37))*12+MONTH($A60)-MONTH('Recurring Schedule'!$F$37),'Recurring Schedule'!$O$37)=0),IF('Recurring Schedule'!$E$37="Weekdays",WEEKDAY($A60,2)&lt;=5,$A60='Recurring Schedule'!$F$37))),32,""))))</f>
        <v/>
      </c>
      <c r="AH60">
        <f>IF('Recurring Schedule'!$C$38="","",IF('Recurring Schedule'!$F$38="","",IF(OR($A60&lt;'Recurring Schedule'!$F$38,$A60&gt;'Recurring Schedule'!$P$38),"",IF(IF('Recurring Schedule'!$N$38&gt;0,MOD($A60-'Recurring Schedule'!$F$38,'Recurring Schedule'!$N$38)=0,IF('Recurring Schedule'!$O$38&gt;0,AND(DAY($A60)=MIN(DAY('Recurring Schedule'!$F$38),DAY(EOMONTH($A60,0))),MOD((YEAR($A60)-YEAR('Recurring Schedule'!$F$38))*12+MONTH($A60)-MONTH('Recurring Schedule'!$F$38),'Recurring Schedule'!$O$38)=0),IF('Recurring Schedule'!$E$38="Weekdays",WEEKDAY($A60,2)&lt;=5,$A60='Recurring Schedule'!$F$38))),33,""))))</f>
        <v/>
      </c>
      <c r="AI60">
        <f>IF('Recurring Schedule'!$C$39="","",IF('Recurring Schedule'!$F$39="","",IF(OR($A60&lt;'Recurring Schedule'!$F$39,$A60&gt;'Recurring Schedule'!$P$39),"",IF(IF('Recurring Schedule'!$N$39&gt;0,MOD($A60-'Recurring Schedule'!$F$39,'Recurring Schedule'!$N$39)=0,IF('Recurring Schedule'!$O$39&gt;0,AND(DAY($A60)=MIN(DAY('Recurring Schedule'!$F$39),DAY(EOMONTH($A60,0))),MOD((YEAR($A60)-YEAR('Recurring Schedule'!$F$39))*12+MONTH($A60)-MONTH('Recurring Schedule'!$F$39),'Recurring Schedule'!$O$39)=0),IF('Recurring Schedule'!$E$39="Weekdays",WEEKDAY($A60,2)&lt;=5,$A60='Recurring Schedule'!$F$39))),34,""))))</f>
        <v/>
      </c>
      <c r="AJ60">
        <f>IF('Recurring Schedule'!$C$40="","",IF('Recurring Schedule'!$F$40="","",IF(OR($A60&lt;'Recurring Schedule'!$F$40,$A60&gt;'Recurring Schedule'!$P$40),"",IF(IF('Recurring Schedule'!$N$40&gt;0,MOD($A60-'Recurring Schedule'!$F$40,'Recurring Schedule'!$N$40)=0,IF('Recurring Schedule'!$O$40&gt;0,AND(DAY($A60)=MIN(DAY('Recurring Schedule'!$F$40),DAY(EOMONTH($A60,0))),MOD((YEAR($A60)-YEAR('Recurring Schedule'!$F$40))*12+MONTH($A60)-MONTH('Recurring Schedule'!$F$40),'Recurring Schedule'!$O$40)=0),IF('Recurring Schedule'!$E$40="Weekdays",WEEKDAY($A60,2)&lt;=5,$A60='Recurring Schedule'!$F$40))),35,""))))</f>
        <v/>
      </c>
      <c r="AK60">
        <f>IF('Recurring Schedule'!$C$41="","",IF('Recurring Schedule'!$F$41="","",IF(OR($A60&lt;'Recurring Schedule'!$F$41,$A60&gt;'Recurring Schedule'!$P$41),"",IF(IF('Recurring Schedule'!$N$41&gt;0,MOD($A60-'Recurring Schedule'!$F$41,'Recurring Schedule'!$N$41)=0,IF('Recurring Schedule'!$O$41&gt;0,AND(DAY($A60)=MIN(DAY('Recurring Schedule'!$F$41),DAY(EOMONTH($A60,0))),MOD((YEAR($A60)-YEAR('Recurring Schedule'!$F$41))*12+MONTH($A60)-MONTH('Recurring Schedule'!$F$41),'Recurring Schedule'!$O$41)=0),IF('Recurring Schedule'!$E$41="Weekdays",WEEKDAY($A60,2)&lt;=5,$A60='Recurring Schedule'!$F$41))),36,""))))</f>
        <v/>
      </c>
      <c r="AL60">
        <f>IF('Recurring Schedule'!$C$42="","",IF('Recurring Schedule'!$F$42="","",IF(OR($A60&lt;'Recurring Schedule'!$F$42,$A60&gt;'Recurring Schedule'!$P$42),"",IF(IF('Recurring Schedule'!$N$42&gt;0,MOD($A60-'Recurring Schedule'!$F$42,'Recurring Schedule'!$N$42)=0,IF('Recurring Schedule'!$O$42&gt;0,AND(DAY($A60)=MIN(DAY('Recurring Schedule'!$F$42),DAY(EOMONTH($A60,0))),MOD((YEAR($A60)-YEAR('Recurring Schedule'!$F$42))*12+MONTH($A60)-MONTH('Recurring Schedule'!$F$42),'Recurring Schedule'!$O$42)=0),IF('Recurring Schedule'!$E$42="Weekdays",WEEKDAY($A60,2)&lt;=5,$A60='Recurring Schedule'!$F$42))),37,""))))</f>
        <v/>
      </c>
      <c r="AM60">
        <f>IF('Recurring Schedule'!$C$43="","",IF('Recurring Schedule'!$F$43="","",IF(OR($A60&lt;'Recurring Schedule'!$F$43,$A60&gt;'Recurring Schedule'!$P$43),"",IF(IF('Recurring Schedule'!$N$43&gt;0,MOD($A60-'Recurring Schedule'!$F$43,'Recurring Schedule'!$N$43)=0,IF('Recurring Schedule'!$O$43&gt;0,AND(DAY($A60)=MIN(DAY('Recurring Schedule'!$F$43),DAY(EOMONTH($A60,0))),MOD((YEAR($A60)-YEAR('Recurring Schedule'!$F$43))*12+MONTH($A60)-MONTH('Recurring Schedule'!$F$43),'Recurring Schedule'!$O$43)=0),IF('Recurring Schedule'!$E$43="Weekdays",WEEKDAY($A60,2)&lt;=5,$A60='Recurring Schedule'!$F$43))),38,""))))</f>
        <v/>
      </c>
      <c r="AN60">
        <f>IF('Recurring Schedule'!$C$44="","",IF('Recurring Schedule'!$F$44="","",IF(OR($A60&lt;'Recurring Schedule'!$F$44,$A60&gt;'Recurring Schedule'!$P$44),"",IF(IF('Recurring Schedule'!$N$44&gt;0,MOD($A60-'Recurring Schedule'!$F$44,'Recurring Schedule'!$N$44)=0,IF('Recurring Schedule'!$O$44&gt;0,AND(DAY($A60)=MIN(DAY('Recurring Schedule'!$F$44),DAY(EOMONTH($A60,0))),MOD((YEAR($A60)-YEAR('Recurring Schedule'!$F$44))*12+MONTH($A60)-MONTH('Recurring Schedule'!$F$44),'Recurring Schedule'!$O$44)=0),IF('Recurring Schedule'!$E$44="Weekdays",WEEKDAY($A60,2)&lt;=5,$A60='Recurring Schedule'!$F$44))),39,""))))</f>
        <v/>
      </c>
      <c r="AO60">
        <f>IF('Recurring Schedule'!$C$45="","",IF('Recurring Schedule'!$F$45="","",IF(OR($A60&lt;'Recurring Schedule'!$F$45,$A60&gt;'Recurring Schedule'!$P$45),"",IF(IF('Recurring Schedule'!$N$45&gt;0,MOD($A60-'Recurring Schedule'!$F$45,'Recurring Schedule'!$N$45)=0,IF('Recurring Schedule'!$O$45&gt;0,AND(DAY($A60)=MIN(DAY('Recurring Schedule'!$F$45),DAY(EOMONTH($A60,0))),MOD((YEAR($A60)-YEAR('Recurring Schedule'!$F$45))*12+MONTH($A60)-MONTH('Recurring Schedule'!$F$45),'Recurring Schedule'!$O$45)=0),IF('Recurring Schedule'!$E$45="Weekdays",WEEKDAY($A60,2)&lt;=5,$A60='Recurring Schedule'!$F$45))),40,""))))</f>
        <v/>
      </c>
      <c r="AP60">
        <f>COUNT(B60:AO60)</f>
        <v/>
      </c>
      <c r="AQ60">
        <f>AQ59+AP59</f>
        <v/>
      </c>
      <c r="AS60" t="inlineStr">
        <is>
          <t>R</t>
        </is>
      </c>
      <c r="AT60" t="n">
        <v>64</v>
      </c>
      <c r="AU60">
        <f>'Recurring Log'!C64&amp;""</f>
        <v/>
      </c>
      <c r="AV60">
        <f>'Recurring Log'!D64&amp;""</f>
        <v/>
      </c>
      <c r="AW60">
        <f>IF('Recurring Log'!E64="","",'Recurring Log'!E64)</f>
        <v/>
      </c>
      <c r="AX60">
        <f>IF('Recurring Log'!G64="","",'Recurring Log'!G64)</f>
        <v/>
      </c>
      <c r="AY60">
        <f>IF('Recurring Log'!H64="","",'Recurring Log'!H64)</f>
        <v/>
      </c>
      <c r="AZ60">
        <f>IF(AU60="","",IF('Recurring Log'!J64="","Not Started",'Recurring Log'!J64))</f>
        <v/>
      </c>
      <c r="BA60">
        <f>'Recurring Log'!L64&amp;""</f>
        <v/>
      </c>
      <c r="BB60">
        <f>'Recurring Log'!M64&amp;""</f>
        <v/>
      </c>
      <c r="BC60">
        <f>'Recurring Log'!N64&amp;""</f>
        <v/>
      </c>
      <c r="BD60">
        <f>'Recurring Log'!O64&amp;""</f>
        <v/>
      </c>
      <c r="BE60">
        <f>IF('Recurring Log'!K64="","",'Recurring Log'!K64)</f>
        <v/>
      </c>
      <c r="BF60">
        <f>IFERROR(MATCH(BA60,Setup!$L$6:$L$9,0),5)</f>
        <v/>
      </c>
      <c r="BG60">
        <f>IF(OR(AZ60="Done",AZ60="Cancelled"),1,0)</f>
        <v/>
      </c>
      <c r="BH60">
        <f>IF(AND(AU60&lt;&gt;"",ISNUMBER(AW60)),1,0)</f>
        <v/>
      </c>
      <c r="BI60">
        <f>IF(BH60=0,0,IF(AND(AW60&gt;='Tasks Filter'!$F$3,AW60&lt;='Tasks Filter'!$F$4,OR('Tasks Filter'!$I$3="",ISNUMBER(SEARCH('Tasks Filter'!$I$3,AU60))),OR('Tasks Filter'!$I$4="",BF60=IFERROR(MATCH('Tasks Filter'!$I$4,Setup!$L$6:$L$9,0),0)),OR('Tasks Filter'!$I$5="Both",AND('Tasks Filter'!$I$5="Yes",BB60="✓"),AND('Tasks Filter'!$I$5="No",BB60&lt;&gt;"✓")),OR('Tasks Filter'!$L$3="",AV60='Tasks Filter'!$L$3),OR('Tasks Filter'!$L$4="",AZ60='Tasks Filter'!$L$4),OR('Tasks Filter'!$L$5="",BC60='Tasks Filter'!$L$5),OR('Tasks Filter'!$O$3="",BD60='Tasks Filter'!$O$3),OR('Tasks Filter'!$O$4="Yes",BG60=0)),1,0))</f>
        <v/>
      </c>
      <c r="BJ60">
        <f>IF(BH60=0,"",IF('Tasks Filter'!$F$6="Descending",-1,1)*CHOOSE(MATCH('Tasks Filter'!$F$5,Lists!$G$2:$G$6,0),AW60,BF60,IFERROR(MATCH(AV60,Setup!$F$6:$F$15,0),99),IFERROR(MATCH(BC60,Setup!$H$6:$H$15,0),99),IFERROR(MATCH(AZ60,Setup!$J$6:$J$11,0),99))*1E+9+(AW60-40000)*10000+59)</f>
        <v/>
      </c>
      <c r="BK60">
        <f>IF(BI60=1,BJ60,"")</f>
        <v/>
      </c>
      <c r="BL60">
        <f>IF(AND(BH60=1,BG60=0,N(AW60)&lt;Setup!$D$7),(AW60-40000)*10000+59,"")</f>
        <v/>
      </c>
      <c r="BM60">
        <f>IF(AND(BH60=1,AZ60&lt;&gt;"Cancelled",N(AW60)&gt;=Dashboard!$AB$3,N(AW60)&lt;=Dashboard!$AB$3+6),(AW60-40000)*100000+BF60*10000+59,"")</f>
        <v/>
      </c>
      <c r="BN60">
        <f>IF(AND(BH60=1,AZ60&lt;&gt;"Cancelled"),BF60*10000+59,"")</f>
        <v/>
      </c>
    </row>
    <row r="61">
      <c r="A61">
        <f>Setup!$D$5+59</f>
        <v/>
      </c>
      <c r="B61">
        <f>IF('Recurring Schedule'!$C$6="","",IF('Recurring Schedule'!$F$6="","",IF(OR($A61&lt;'Recurring Schedule'!$F$6,$A61&gt;'Recurring Schedule'!$P$6),"",IF(IF('Recurring Schedule'!$N$6&gt;0,MOD($A61-'Recurring Schedule'!$F$6,'Recurring Schedule'!$N$6)=0,IF('Recurring Schedule'!$O$6&gt;0,AND(DAY($A61)=MIN(DAY('Recurring Schedule'!$F$6),DAY(EOMONTH($A61,0))),MOD((YEAR($A61)-YEAR('Recurring Schedule'!$F$6))*12+MONTH($A61)-MONTH('Recurring Schedule'!$F$6),'Recurring Schedule'!$O$6)=0),IF('Recurring Schedule'!$E$6="Weekdays",WEEKDAY($A61,2)&lt;=5,$A61='Recurring Schedule'!$F$6))),1,""))))</f>
        <v/>
      </c>
      <c r="C61">
        <f>IF('Recurring Schedule'!$C$7="","",IF('Recurring Schedule'!$F$7="","",IF(OR($A61&lt;'Recurring Schedule'!$F$7,$A61&gt;'Recurring Schedule'!$P$7),"",IF(IF('Recurring Schedule'!$N$7&gt;0,MOD($A61-'Recurring Schedule'!$F$7,'Recurring Schedule'!$N$7)=0,IF('Recurring Schedule'!$O$7&gt;0,AND(DAY($A61)=MIN(DAY('Recurring Schedule'!$F$7),DAY(EOMONTH($A61,0))),MOD((YEAR($A61)-YEAR('Recurring Schedule'!$F$7))*12+MONTH($A61)-MONTH('Recurring Schedule'!$F$7),'Recurring Schedule'!$O$7)=0),IF('Recurring Schedule'!$E$7="Weekdays",WEEKDAY($A61,2)&lt;=5,$A61='Recurring Schedule'!$F$7))),2,""))))</f>
        <v/>
      </c>
      <c r="D61">
        <f>IF('Recurring Schedule'!$C$8="","",IF('Recurring Schedule'!$F$8="","",IF(OR($A61&lt;'Recurring Schedule'!$F$8,$A61&gt;'Recurring Schedule'!$P$8),"",IF(IF('Recurring Schedule'!$N$8&gt;0,MOD($A61-'Recurring Schedule'!$F$8,'Recurring Schedule'!$N$8)=0,IF('Recurring Schedule'!$O$8&gt;0,AND(DAY($A61)=MIN(DAY('Recurring Schedule'!$F$8),DAY(EOMONTH($A61,0))),MOD((YEAR($A61)-YEAR('Recurring Schedule'!$F$8))*12+MONTH($A61)-MONTH('Recurring Schedule'!$F$8),'Recurring Schedule'!$O$8)=0),IF('Recurring Schedule'!$E$8="Weekdays",WEEKDAY($A61,2)&lt;=5,$A61='Recurring Schedule'!$F$8))),3,""))))</f>
        <v/>
      </c>
      <c r="E61">
        <f>IF('Recurring Schedule'!$C$9="","",IF('Recurring Schedule'!$F$9="","",IF(OR($A61&lt;'Recurring Schedule'!$F$9,$A61&gt;'Recurring Schedule'!$P$9),"",IF(IF('Recurring Schedule'!$N$9&gt;0,MOD($A61-'Recurring Schedule'!$F$9,'Recurring Schedule'!$N$9)=0,IF('Recurring Schedule'!$O$9&gt;0,AND(DAY($A61)=MIN(DAY('Recurring Schedule'!$F$9),DAY(EOMONTH($A61,0))),MOD((YEAR($A61)-YEAR('Recurring Schedule'!$F$9))*12+MONTH($A61)-MONTH('Recurring Schedule'!$F$9),'Recurring Schedule'!$O$9)=0),IF('Recurring Schedule'!$E$9="Weekdays",WEEKDAY($A61,2)&lt;=5,$A61='Recurring Schedule'!$F$9))),4,""))))</f>
        <v/>
      </c>
      <c r="F61">
        <f>IF('Recurring Schedule'!$C$10="","",IF('Recurring Schedule'!$F$10="","",IF(OR($A61&lt;'Recurring Schedule'!$F$10,$A61&gt;'Recurring Schedule'!$P$10),"",IF(IF('Recurring Schedule'!$N$10&gt;0,MOD($A61-'Recurring Schedule'!$F$10,'Recurring Schedule'!$N$10)=0,IF('Recurring Schedule'!$O$10&gt;0,AND(DAY($A61)=MIN(DAY('Recurring Schedule'!$F$10),DAY(EOMONTH($A61,0))),MOD((YEAR($A61)-YEAR('Recurring Schedule'!$F$10))*12+MONTH($A61)-MONTH('Recurring Schedule'!$F$10),'Recurring Schedule'!$O$10)=0),IF('Recurring Schedule'!$E$10="Weekdays",WEEKDAY($A61,2)&lt;=5,$A61='Recurring Schedule'!$F$10))),5,""))))</f>
        <v/>
      </c>
      <c r="G61">
        <f>IF('Recurring Schedule'!$C$11="","",IF('Recurring Schedule'!$F$11="","",IF(OR($A61&lt;'Recurring Schedule'!$F$11,$A61&gt;'Recurring Schedule'!$P$11),"",IF(IF('Recurring Schedule'!$N$11&gt;0,MOD($A61-'Recurring Schedule'!$F$11,'Recurring Schedule'!$N$11)=0,IF('Recurring Schedule'!$O$11&gt;0,AND(DAY($A61)=MIN(DAY('Recurring Schedule'!$F$11),DAY(EOMONTH($A61,0))),MOD((YEAR($A61)-YEAR('Recurring Schedule'!$F$11))*12+MONTH($A61)-MONTH('Recurring Schedule'!$F$11),'Recurring Schedule'!$O$11)=0),IF('Recurring Schedule'!$E$11="Weekdays",WEEKDAY($A61,2)&lt;=5,$A61='Recurring Schedule'!$F$11))),6,""))))</f>
        <v/>
      </c>
      <c r="H61">
        <f>IF('Recurring Schedule'!$C$12="","",IF('Recurring Schedule'!$F$12="","",IF(OR($A61&lt;'Recurring Schedule'!$F$12,$A61&gt;'Recurring Schedule'!$P$12),"",IF(IF('Recurring Schedule'!$N$12&gt;0,MOD($A61-'Recurring Schedule'!$F$12,'Recurring Schedule'!$N$12)=0,IF('Recurring Schedule'!$O$12&gt;0,AND(DAY($A61)=MIN(DAY('Recurring Schedule'!$F$12),DAY(EOMONTH($A61,0))),MOD((YEAR($A61)-YEAR('Recurring Schedule'!$F$12))*12+MONTH($A61)-MONTH('Recurring Schedule'!$F$12),'Recurring Schedule'!$O$12)=0),IF('Recurring Schedule'!$E$12="Weekdays",WEEKDAY($A61,2)&lt;=5,$A61='Recurring Schedule'!$F$12))),7,""))))</f>
        <v/>
      </c>
      <c r="I61">
        <f>IF('Recurring Schedule'!$C$13="","",IF('Recurring Schedule'!$F$13="","",IF(OR($A61&lt;'Recurring Schedule'!$F$13,$A61&gt;'Recurring Schedule'!$P$13),"",IF(IF('Recurring Schedule'!$N$13&gt;0,MOD($A61-'Recurring Schedule'!$F$13,'Recurring Schedule'!$N$13)=0,IF('Recurring Schedule'!$O$13&gt;0,AND(DAY($A61)=MIN(DAY('Recurring Schedule'!$F$13),DAY(EOMONTH($A61,0))),MOD((YEAR($A61)-YEAR('Recurring Schedule'!$F$13))*12+MONTH($A61)-MONTH('Recurring Schedule'!$F$13),'Recurring Schedule'!$O$13)=0),IF('Recurring Schedule'!$E$13="Weekdays",WEEKDAY($A61,2)&lt;=5,$A61='Recurring Schedule'!$F$13))),8,""))))</f>
        <v/>
      </c>
      <c r="J61">
        <f>IF('Recurring Schedule'!$C$14="","",IF('Recurring Schedule'!$F$14="","",IF(OR($A61&lt;'Recurring Schedule'!$F$14,$A61&gt;'Recurring Schedule'!$P$14),"",IF(IF('Recurring Schedule'!$N$14&gt;0,MOD($A61-'Recurring Schedule'!$F$14,'Recurring Schedule'!$N$14)=0,IF('Recurring Schedule'!$O$14&gt;0,AND(DAY($A61)=MIN(DAY('Recurring Schedule'!$F$14),DAY(EOMONTH($A61,0))),MOD((YEAR($A61)-YEAR('Recurring Schedule'!$F$14))*12+MONTH($A61)-MONTH('Recurring Schedule'!$F$14),'Recurring Schedule'!$O$14)=0),IF('Recurring Schedule'!$E$14="Weekdays",WEEKDAY($A61,2)&lt;=5,$A61='Recurring Schedule'!$F$14))),9,""))))</f>
        <v/>
      </c>
      <c r="K61">
        <f>IF('Recurring Schedule'!$C$15="","",IF('Recurring Schedule'!$F$15="","",IF(OR($A61&lt;'Recurring Schedule'!$F$15,$A61&gt;'Recurring Schedule'!$P$15),"",IF(IF('Recurring Schedule'!$N$15&gt;0,MOD($A61-'Recurring Schedule'!$F$15,'Recurring Schedule'!$N$15)=0,IF('Recurring Schedule'!$O$15&gt;0,AND(DAY($A61)=MIN(DAY('Recurring Schedule'!$F$15),DAY(EOMONTH($A61,0))),MOD((YEAR($A61)-YEAR('Recurring Schedule'!$F$15))*12+MONTH($A61)-MONTH('Recurring Schedule'!$F$15),'Recurring Schedule'!$O$15)=0),IF('Recurring Schedule'!$E$15="Weekdays",WEEKDAY($A61,2)&lt;=5,$A61='Recurring Schedule'!$F$15))),10,""))))</f>
        <v/>
      </c>
      <c r="L61">
        <f>IF('Recurring Schedule'!$C$16="","",IF('Recurring Schedule'!$F$16="","",IF(OR($A61&lt;'Recurring Schedule'!$F$16,$A61&gt;'Recurring Schedule'!$P$16),"",IF(IF('Recurring Schedule'!$N$16&gt;0,MOD($A61-'Recurring Schedule'!$F$16,'Recurring Schedule'!$N$16)=0,IF('Recurring Schedule'!$O$16&gt;0,AND(DAY($A61)=MIN(DAY('Recurring Schedule'!$F$16),DAY(EOMONTH($A61,0))),MOD((YEAR($A61)-YEAR('Recurring Schedule'!$F$16))*12+MONTH($A61)-MONTH('Recurring Schedule'!$F$16),'Recurring Schedule'!$O$16)=0),IF('Recurring Schedule'!$E$16="Weekdays",WEEKDAY($A61,2)&lt;=5,$A61='Recurring Schedule'!$F$16))),11,""))))</f>
        <v/>
      </c>
      <c r="M61">
        <f>IF('Recurring Schedule'!$C$17="","",IF('Recurring Schedule'!$F$17="","",IF(OR($A61&lt;'Recurring Schedule'!$F$17,$A61&gt;'Recurring Schedule'!$P$17),"",IF(IF('Recurring Schedule'!$N$17&gt;0,MOD($A61-'Recurring Schedule'!$F$17,'Recurring Schedule'!$N$17)=0,IF('Recurring Schedule'!$O$17&gt;0,AND(DAY($A61)=MIN(DAY('Recurring Schedule'!$F$17),DAY(EOMONTH($A61,0))),MOD((YEAR($A61)-YEAR('Recurring Schedule'!$F$17))*12+MONTH($A61)-MONTH('Recurring Schedule'!$F$17),'Recurring Schedule'!$O$17)=0),IF('Recurring Schedule'!$E$17="Weekdays",WEEKDAY($A61,2)&lt;=5,$A61='Recurring Schedule'!$F$17))),12,""))))</f>
        <v/>
      </c>
      <c r="N61">
        <f>IF('Recurring Schedule'!$C$18="","",IF('Recurring Schedule'!$F$18="","",IF(OR($A61&lt;'Recurring Schedule'!$F$18,$A61&gt;'Recurring Schedule'!$P$18),"",IF(IF('Recurring Schedule'!$N$18&gt;0,MOD($A61-'Recurring Schedule'!$F$18,'Recurring Schedule'!$N$18)=0,IF('Recurring Schedule'!$O$18&gt;0,AND(DAY($A61)=MIN(DAY('Recurring Schedule'!$F$18),DAY(EOMONTH($A61,0))),MOD((YEAR($A61)-YEAR('Recurring Schedule'!$F$18))*12+MONTH($A61)-MONTH('Recurring Schedule'!$F$18),'Recurring Schedule'!$O$18)=0),IF('Recurring Schedule'!$E$18="Weekdays",WEEKDAY($A61,2)&lt;=5,$A61='Recurring Schedule'!$F$18))),13,""))))</f>
        <v/>
      </c>
      <c r="O61">
        <f>IF('Recurring Schedule'!$C$19="","",IF('Recurring Schedule'!$F$19="","",IF(OR($A61&lt;'Recurring Schedule'!$F$19,$A61&gt;'Recurring Schedule'!$P$19),"",IF(IF('Recurring Schedule'!$N$19&gt;0,MOD($A61-'Recurring Schedule'!$F$19,'Recurring Schedule'!$N$19)=0,IF('Recurring Schedule'!$O$19&gt;0,AND(DAY($A61)=MIN(DAY('Recurring Schedule'!$F$19),DAY(EOMONTH($A61,0))),MOD((YEAR($A61)-YEAR('Recurring Schedule'!$F$19))*12+MONTH($A61)-MONTH('Recurring Schedule'!$F$19),'Recurring Schedule'!$O$19)=0),IF('Recurring Schedule'!$E$19="Weekdays",WEEKDAY($A61,2)&lt;=5,$A61='Recurring Schedule'!$F$19))),14,""))))</f>
        <v/>
      </c>
      <c r="P61">
        <f>IF('Recurring Schedule'!$C$20="","",IF('Recurring Schedule'!$F$20="","",IF(OR($A61&lt;'Recurring Schedule'!$F$20,$A61&gt;'Recurring Schedule'!$P$20),"",IF(IF('Recurring Schedule'!$N$20&gt;0,MOD($A61-'Recurring Schedule'!$F$20,'Recurring Schedule'!$N$20)=0,IF('Recurring Schedule'!$O$20&gt;0,AND(DAY($A61)=MIN(DAY('Recurring Schedule'!$F$20),DAY(EOMONTH($A61,0))),MOD((YEAR($A61)-YEAR('Recurring Schedule'!$F$20))*12+MONTH($A61)-MONTH('Recurring Schedule'!$F$20),'Recurring Schedule'!$O$20)=0),IF('Recurring Schedule'!$E$20="Weekdays",WEEKDAY($A61,2)&lt;=5,$A61='Recurring Schedule'!$F$20))),15,""))))</f>
        <v/>
      </c>
      <c r="Q61">
        <f>IF('Recurring Schedule'!$C$21="","",IF('Recurring Schedule'!$F$21="","",IF(OR($A61&lt;'Recurring Schedule'!$F$21,$A61&gt;'Recurring Schedule'!$P$21),"",IF(IF('Recurring Schedule'!$N$21&gt;0,MOD($A61-'Recurring Schedule'!$F$21,'Recurring Schedule'!$N$21)=0,IF('Recurring Schedule'!$O$21&gt;0,AND(DAY($A61)=MIN(DAY('Recurring Schedule'!$F$21),DAY(EOMONTH($A61,0))),MOD((YEAR($A61)-YEAR('Recurring Schedule'!$F$21))*12+MONTH($A61)-MONTH('Recurring Schedule'!$F$21),'Recurring Schedule'!$O$21)=0),IF('Recurring Schedule'!$E$21="Weekdays",WEEKDAY($A61,2)&lt;=5,$A61='Recurring Schedule'!$F$21))),16,""))))</f>
        <v/>
      </c>
      <c r="R61">
        <f>IF('Recurring Schedule'!$C$22="","",IF('Recurring Schedule'!$F$22="","",IF(OR($A61&lt;'Recurring Schedule'!$F$22,$A61&gt;'Recurring Schedule'!$P$22),"",IF(IF('Recurring Schedule'!$N$22&gt;0,MOD($A61-'Recurring Schedule'!$F$22,'Recurring Schedule'!$N$22)=0,IF('Recurring Schedule'!$O$22&gt;0,AND(DAY($A61)=MIN(DAY('Recurring Schedule'!$F$22),DAY(EOMONTH($A61,0))),MOD((YEAR($A61)-YEAR('Recurring Schedule'!$F$22))*12+MONTH($A61)-MONTH('Recurring Schedule'!$F$22),'Recurring Schedule'!$O$22)=0),IF('Recurring Schedule'!$E$22="Weekdays",WEEKDAY($A61,2)&lt;=5,$A61='Recurring Schedule'!$F$22))),17,""))))</f>
        <v/>
      </c>
      <c r="S61">
        <f>IF('Recurring Schedule'!$C$23="","",IF('Recurring Schedule'!$F$23="","",IF(OR($A61&lt;'Recurring Schedule'!$F$23,$A61&gt;'Recurring Schedule'!$P$23),"",IF(IF('Recurring Schedule'!$N$23&gt;0,MOD($A61-'Recurring Schedule'!$F$23,'Recurring Schedule'!$N$23)=0,IF('Recurring Schedule'!$O$23&gt;0,AND(DAY($A61)=MIN(DAY('Recurring Schedule'!$F$23),DAY(EOMONTH($A61,0))),MOD((YEAR($A61)-YEAR('Recurring Schedule'!$F$23))*12+MONTH($A61)-MONTH('Recurring Schedule'!$F$23),'Recurring Schedule'!$O$23)=0),IF('Recurring Schedule'!$E$23="Weekdays",WEEKDAY($A61,2)&lt;=5,$A61='Recurring Schedule'!$F$23))),18,""))))</f>
        <v/>
      </c>
      <c r="T61">
        <f>IF('Recurring Schedule'!$C$24="","",IF('Recurring Schedule'!$F$24="","",IF(OR($A61&lt;'Recurring Schedule'!$F$24,$A61&gt;'Recurring Schedule'!$P$24),"",IF(IF('Recurring Schedule'!$N$24&gt;0,MOD($A61-'Recurring Schedule'!$F$24,'Recurring Schedule'!$N$24)=0,IF('Recurring Schedule'!$O$24&gt;0,AND(DAY($A61)=MIN(DAY('Recurring Schedule'!$F$24),DAY(EOMONTH($A61,0))),MOD((YEAR($A61)-YEAR('Recurring Schedule'!$F$24))*12+MONTH($A61)-MONTH('Recurring Schedule'!$F$24),'Recurring Schedule'!$O$24)=0),IF('Recurring Schedule'!$E$24="Weekdays",WEEKDAY($A61,2)&lt;=5,$A61='Recurring Schedule'!$F$24))),19,""))))</f>
        <v/>
      </c>
      <c r="U61">
        <f>IF('Recurring Schedule'!$C$25="","",IF('Recurring Schedule'!$F$25="","",IF(OR($A61&lt;'Recurring Schedule'!$F$25,$A61&gt;'Recurring Schedule'!$P$25),"",IF(IF('Recurring Schedule'!$N$25&gt;0,MOD($A61-'Recurring Schedule'!$F$25,'Recurring Schedule'!$N$25)=0,IF('Recurring Schedule'!$O$25&gt;0,AND(DAY($A61)=MIN(DAY('Recurring Schedule'!$F$25),DAY(EOMONTH($A61,0))),MOD((YEAR($A61)-YEAR('Recurring Schedule'!$F$25))*12+MONTH($A61)-MONTH('Recurring Schedule'!$F$25),'Recurring Schedule'!$O$25)=0),IF('Recurring Schedule'!$E$25="Weekdays",WEEKDAY($A61,2)&lt;=5,$A61='Recurring Schedule'!$F$25))),20,""))))</f>
        <v/>
      </c>
      <c r="V61">
        <f>IF('Recurring Schedule'!$C$26="","",IF('Recurring Schedule'!$F$26="","",IF(OR($A61&lt;'Recurring Schedule'!$F$26,$A61&gt;'Recurring Schedule'!$P$26),"",IF(IF('Recurring Schedule'!$N$26&gt;0,MOD($A61-'Recurring Schedule'!$F$26,'Recurring Schedule'!$N$26)=0,IF('Recurring Schedule'!$O$26&gt;0,AND(DAY($A61)=MIN(DAY('Recurring Schedule'!$F$26),DAY(EOMONTH($A61,0))),MOD((YEAR($A61)-YEAR('Recurring Schedule'!$F$26))*12+MONTH($A61)-MONTH('Recurring Schedule'!$F$26),'Recurring Schedule'!$O$26)=0),IF('Recurring Schedule'!$E$26="Weekdays",WEEKDAY($A61,2)&lt;=5,$A61='Recurring Schedule'!$F$26))),21,""))))</f>
        <v/>
      </c>
      <c r="W61">
        <f>IF('Recurring Schedule'!$C$27="","",IF('Recurring Schedule'!$F$27="","",IF(OR($A61&lt;'Recurring Schedule'!$F$27,$A61&gt;'Recurring Schedule'!$P$27),"",IF(IF('Recurring Schedule'!$N$27&gt;0,MOD($A61-'Recurring Schedule'!$F$27,'Recurring Schedule'!$N$27)=0,IF('Recurring Schedule'!$O$27&gt;0,AND(DAY($A61)=MIN(DAY('Recurring Schedule'!$F$27),DAY(EOMONTH($A61,0))),MOD((YEAR($A61)-YEAR('Recurring Schedule'!$F$27))*12+MONTH($A61)-MONTH('Recurring Schedule'!$F$27),'Recurring Schedule'!$O$27)=0),IF('Recurring Schedule'!$E$27="Weekdays",WEEKDAY($A61,2)&lt;=5,$A61='Recurring Schedule'!$F$27))),22,""))))</f>
        <v/>
      </c>
      <c r="X61">
        <f>IF('Recurring Schedule'!$C$28="","",IF('Recurring Schedule'!$F$28="","",IF(OR($A61&lt;'Recurring Schedule'!$F$28,$A61&gt;'Recurring Schedule'!$P$28),"",IF(IF('Recurring Schedule'!$N$28&gt;0,MOD($A61-'Recurring Schedule'!$F$28,'Recurring Schedule'!$N$28)=0,IF('Recurring Schedule'!$O$28&gt;0,AND(DAY($A61)=MIN(DAY('Recurring Schedule'!$F$28),DAY(EOMONTH($A61,0))),MOD((YEAR($A61)-YEAR('Recurring Schedule'!$F$28))*12+MONTH($A61)-MONTH('Recurring Schedule'!$F$28),'Recurring Schedule'!$O$28)=0),IF('Recurring Schedule'!$E$28="Weekdays",WEEKDAY($A61,2)&lt;=5,$A61='Recurring Schedule'!$F$28))),23,""))))</f>
        <v/>
      </c>
      <c r="Y61">
        <f>IF('Recurring Schedule'!$C$29="","",IF('Recurring Schedule'!$F$29="","",IF(OR($A61&lt;'Recurring Schedule'!$F$29,$A61&gt;'Recurring Schedule'!$P$29),"",IF(IF('Recurring Schedule'!$N$29&gt;0,MOD($A61-'Recurring Schedule'!$F$29,'Recurring Schedule'!$N$29)=0,IF('Recurring Schedule'!$O$29&gt;0,AND(DAY($A61)=MIN(DAY('Recurring Schedule'!$F$29),DAY(EOMONTH($A61,0))),MOD((YEAR($A61)-YEAR('Recurring Schedule'!$F$29))*12+MONTH($A61)-MONTH('Recurring Schedule'!$F$29),'Recurring Schedule'!$O$29)=0),IF('Recurring Schedule'!$E$29="Weekdays",WEEKDAY($A61,2)&lt;=5,$A61='Recurring Schedule'!$F$29))),24,""))))</f>
        <v/>
      </c>
      <c r="Z61">
        <f>IF('Recurring Schedule'!$C$30="","",IF('Recurring Schedule'!$F$30="","",IF(OR($A61&lt;'Recurring Schedule'!$F$30,$A61&gt;'Recurring Schedule'!$P$30),"",IF(IF('Recurring Schedule'!$N$30&gt;0,MOD($A61-'Recurring Schedule'!$F$30,'Recurring Schedule'!$N$30)=0,IF('Recurring Schedule'!$O$30&gt;0,AND(DAY($A61)=MIN(DAY('Recurring Schedule'!$F$30),DAY(EOMONTH($A61,0))),MOD((YEAR($A61)-YEAR('Recurring Schedule'!$F$30))*12+MONTH($A61)-MONTH('Recurring Schedule'!$F$30),'Recurring Schedule'!$O$30)=0),IF('Recurring Schedule'!$E$30="Weekdays",WEEKDAY($A61,2)&lt;=5,$A61='Recurring Schedule'!$F$30))),25,""))))</f>
        <v/>
      </c>
      <c r="AA61">
        <f>IF('Recurring Schedule'!$C$31="","",IF('Recurring Schedule'!$F$31="","",IF(OR($A61&lt;'Recurring Schedule'!$F$31,$A61&gt;'Recurring Schedule'!$P$31),"",IF(IF('Recurring Schedule'!$N$31&gt;0,MOD($A61-'Recurring Schedule'!$F$31,'Recurring Schedule'!$N$31)=0,IF('Recurring Schedule'!$O$31&gt;0,AND(DAY($A61)=MIN(DAY('Recurring Schedule'!$F$31),DAY(EOMONTH($A61,0))),MOD((YEAR($A61)-YEAR('Recurring Schedule'!$F$31))*12+MONTH($A61)-MONTH('Recurring Schedule'!$F$31),'Recurring Schedule'!$O$31)=0),IF('Recurring Schedule'!$E$31="Weekdays",WEEKDAY($A61,2)&lt;=5,$A61='Recurring Schedule'!$F$31))),26,""))))</f>
        <v/>
      </c>
      <c r="AB61">
        <f>IF('Recurring Schedule'!$C$32="","",IF('Recurring Schedule'!$F$32="","",IF(OR($A61&lt;'Recurring Schedule'!$F$32,$A61&gt;'Recurring Schedule'!$P$32),"",IF(IF('Recurring Schedule'!$N$32&gt;0,MOD($A61-'Recurring Schedule'!$F$32,'Recurring Schedule'!$N$32)=0,IF('Recurring Schedule'!$O$32&gt;0,AND(DAY($A61)=MIN(DAY('Recurring Schedule'!$F$32),DAY(EOMONTH($A61,0))),MOD((YEAR($A61)-YEAR('Recurring Schedule'!$F$32))*12+MONTH($A61)-MONTH('Recurring Schedule'!$F$32),'Recurring Schedule'!$O$32)=0),IF('Recurring Schedule'!$E$32="Weekdays",WEEKDAY($A61,2)&lt;=5,$A61='Recurring Schedule'!$F$32))),27,""))))</f>
        <v/>
      </c>
      <c r="AC61">
        <f>IF('Recurring Schedule'!$C$33="","",IF('Recurring Schedule'!$F$33="","",IF(OR($A61&lt;'Recurring Schedule'!$F$33,$A61&gt;'Recurring Schedule'!$P$33),"",IF(IF('Recurring Schedule'!$N$33&gt;0,MOD($A61-'Recurring Schedule'!$F$33,'Recurring Schedule'!$N$33)=0,IF('Recurring Schedule'!$O$33&gt;0,AND(DAY($A61)=MIN(DAY('Recurring Schedule'!$F$33),DAY(EOMONTH($A61,0))),MOD((YEAR($A61)-YEAR('Recurring Schedule'!$F$33))*12+MONTH($A61)-MONTH('Recurring Schedule'!$F$33),'Recurring Schedule'!$O$33)=0),IF('Recurring Schedule'!$E$33="Weekdays",WEEKDAY($A61,2)&lt;=5,$A61='Recurring Schedule'!$F$33))),28,""))))</f>
        <v/>
      </c>
      <c r="AD61">
        <f>IF('Recurring Schedule'!$C$34="","",IF('Recurring Schedule'!$F$34="","",IF(OR($A61&lt;'Recurring Schedule'!$F$34,$A61&gt;'Recurring Schedule'!$P$34),"",IF(IF('Recurring Schedule'!$N$34&gt;0,MOD($A61-'Recurring Schedule'!$F$34,'Recurring Schedule'!$N$34)=0,IF('Recurring Schedule'!$O$34&gt;0,AND(DAY($A61)=MIN(DAY('Recurring Schedule'!$F$34),DAY(EOMONTH($A61,0))),MOD((YEAR($A61)-YEAR('Recurring Schedule'!$F$34))*12+MONTH($A61)-MONTH('Recurring Schedule'!$F$34),'Recurring Schedule'!$O$34)=0),IF('Recurring Schedule'!$E$34="Weekdays",WEEKDAY($A61,2)&lt;=5,$A61='Recurring Schedule'!$F$34))),29,""))))</f>
        <v/>
      </c>
      <c r="AE61">
        <f>IF('Recurring Schedule'!$C$35="","",IF('Recurring Schedule'!$F$35="","",IF(OR($A61&lt;'Recurring Schedule'!$F$35,$A61&gt;'Recurring Schedule'!$P$35),"",IF(IF('Recurring Schedule'!$N$35&gt;0,MOD($A61-'Recurring Schedule'!$F$35,'Recurring Schedule'!$N$35)=0,IF('Recurring Schedule'!$O$35&gt;0,AND(DAY($A61)=MIN(DAY('Recurring Schedule'!$F$35),DAY(EOMONTH($A61,0))),MOD((YEAR($A61)-YEAR('Recurring Schedule'!$F$35))*12+MONTH($A61)-MONTH('Recurring Schedule'!$F$35),'Recurring Schedule'!$O$35)=0),IF('Recurring Schedule'!$E$35="Weekdays",WEEKDAY($A61,2)&lt;=5,$A61='Recurring Schedule'!$F$35))),30,""))))</f>
        <v/>
      </c>
      <c r="AF61">
        <f>IF('Recurring Schedule'!$C$36="","",IF('Recurring Schedule'!$F$36="","",IF(OR($A61&lt;'Recurring Schedule'!$F$36,$A61&gt;'Recurring Schedule'!$P$36),"",IF(IF('Recurring Schedule'!$N$36&gt;0,MOD($A61-'Recurring Schedule'!$F$36,'Recurring Schedule'!$N$36)=0,IF('Recurring Schedule'!$O$36&gt;0,AND(DAY($A61)=MIN(DAY('Recurring Schedule'!$F$36),DAY(EOMONTH($A61,0))),MOD((YEAR($A61)-YEAR('Recurring Schedule'!$F$36))*12+MONTH($A61)-MONTH('Recurring Schedule'!$F$36),'Recurring Schedule'!$O$36)=0),IF('Recurring Schedule'!$E$36="Weekdays",WEEKDAY($A61,2)&lt;=5,$A61='Recurring Schedule'!$F$36))),31,""))))</f>
        <v/>
      </c>
      <c r="AG61">
        <f>IF('Recurring Schedule'!$C$37="","",IF('Recurring Schedule'!$F$37="","",IF(OR($A61&lt;'Recurring Schedule'!$F$37,$A61&gt;'Recurring Schedule'!$P$37),"",IF(IF('Recurring Schedule'!$N$37&gt;0,MOD($A61-'Recurring Schedule'!$F$37,'Recurring Schedule'!$N$37)=0,IF('Recurring Schedule'!$O$37&gt;0,AND(DAY($A61)=MIN(DAY('Recurring Schedule'!$F$37),DAY(EOMONTH($A61,0))),MOD((YEAR($A61)-YEAR('Recurring Schedule'!$F$37))*12+MONTH($A61)-MONTH('Recurring Schedule'!$F$37),'Recurring Schedule'!$O$37)=0),IF('Recurring Schedule'!$E$37="Weekdays",WEEKDAY($A61,2)&lt;=5,$A61='Recurring Schedule'!$F$37))),32,""))))</f>
        <v/>
      </c>
      <c r="AH61">
        <f>IF('Recurring Schedule'!$C$38="","",IF('Recurring Schedule'!$F$38="","",IF(OR($A61&lt;'Recurring Schedule'!$F$38,$A61&gt;'Recurring Schedule'!$P$38),"",IF(IF('Recurring Schedule'!$N$38&gt;0,MOD($A61-'Recurring Schedule'!$F$38,'Recurring Schedule'!$N$38)=0,IF('Recurring Schedule'!$O$38&gt;0,AND(DAY($A61)=MIN(DAY('Recurring Schedule'!$F$38),DAY(EOMONTH($A61,0))),MOD((YEAR($A61)-YEAR('Recurring Schedule'!$F$38))*12+MONTH($A61)-MONTH('Recurring Schedule'!$F$38),'Recurring Schedule'!$O$38)=0),IF('Recurring Schedule'!$E$38="Weekdays",WEEKDAY($A61,2)&lt;=5,$A61='Recurring Schedule'!$F$38))),33,""))))</f>
        <v/>
      </c>
      <c r="AI61">
        <f>IF('Recurring Schedule'!$C$39="","",IF('Recurring Schedule'!$F$39="","",IF(OR($A61&lt;'Recurring Schedule'!$F$39,$A61&gt;'Recurring Schedule'!$P$39),"",IF(IF('Recurring Schedule'!$N$39&gt;0,MOD($A61-'Recurring Schedule'!$F$39,'Recurring Schedule'!$N$39)=0,IF('Recurring Schedule'!$O$39&gt;0,AND(DAY($A61)=MIN(DAY('Recurring Schedule'!$F$39),DAY(EOMONTH($A61,0))),MOD((YEAR($A61)-YEAR('Recurring Schedule'!$F$39))*12+MONTH($A61)-MONTH('Recurring Schedule'!$F$39),'Recurring Schedule'!$O$39)=0),IF('Recurring Schedule'!$E$39="Weekdays",WEEKDAY($A61,2)&lt;=5,$A61='Recurring Schedule'!$F$39))),34,""))))</f>
        <v/>
      </c>
      <c r="AJ61">
        <f>IF('Recurring Schedule'!$C$40="","",IF('Recurring Schedule'!$F$40="","",IF(OR($A61&lt;'Recurring Schedule'!$F$40,$A61&gt;'Recurring Schedule'!$P$40),"",IF(IF('Recurring Schedule'!$N$40&gt;0,MOD($A61-'Recurring Schedule'!$F$40,'Recurring Schedule'!$N$40)=0,IF('Recurring Schedule'!$O$40&gt;0,AND(DAY($A61)=MIN(DAY('Recurring Schedule'!$F$40),DAY(EOMONTH($A61,0))),MOD((YEAR($A61)-YEAR('Recurring Schedule'!$F$40))*12+MONTH($A61)-MONTH('Recurring Schedule'!$F$40),'Recurring Schedule'!$O$40)=0),IF('Recurring Schedule'!$E$40="Weekdays",WEEKDAY($A61,2)&lt;=5,$A61='Recurring Schedule'!$F$40))),35,""))))</f>
        <v/>
      </c>
      <c r="AK61">
        <f>IF('Recurring Schedule'!$C$41="","",IF('Recurring Schedule'!$F$41="","",IF(OR($A61&lt;'Recurring Schedule'!$F$41,$A61&gt;'Recurring Schedule'!$P$41),"",IF(IF('Recurring Schedule'!$N$41&gt;0,MOD($A61-'Recurring Schedule'!$F$41,'Recurring Schedule'!$N$41)=0,IF('Recurring Schedule'!$O$41&gt;0,AND(DAY($A61)=MIN(DAY('Recurring Schedule'!$F$41),DAY(EOMONTH($A61,0))),MOD((YEAR($A61)-YEAR('Recurring Schedule'!$F$41))*12+MONTH($A61)-MONTH('Recurring Schedule'!$F$41),'Recurring Schedule'!$O$41)=0),IF('Recurring Schedule'!$E$41="Weekdays",WEEKDAY($A61,2)&lt;=5,$A61='Recurring Schedule'!$F$41))),36,""))))</f>
        <v/>
      </c>
      <c r="AL61">
        <f>IF('Recurring Schedule'!$C$42="","",IF('Recurring Schedule'!$F$42="","",IF(OR($A61&lt;'Recurring Schedule'!$F$42,$A61&gt;'Recurring Schedule'!$P$42),"",IF(IF('Recurring Schedule'!$N$42&gt;0,MOD($A61-'Recurring Schedule'!$F$42,'Recurring Schedule'!$N$42)=0,IF('Recurring Schedule'!$O$42&gt;0,AND(DAY($A61)=MIN(DAY('Recurring Schedule'!$F$42),DAY(EOMONTH($A61,0))),MOD((YEAR($A61)-YEAR('Recurring Schedule'!$F$42))*12+MONTH($A61)-MONTH('Recurring Schedule'!$F$42),'Recurring Schedule'!$O$42)=0),IF('Recurring Schedule'!$E$42="Weekdays",WEEKDAY($A61,2)&lt;=5,$A61='Recurring Schedule'!$F$42))),37,""))))</f>
        <v/>
      </c>
      <c r="AM61">
        <f>IF('Recurring Schedule'!$C$43="","",IF('Recurring Schedule'!$F$43="","",IF(OR($A61&lt;'Recurring Schedule'!$F$43,$A61&gt;'Recurring Schedule'!$P$43),"",IF(IF('Recurring Schedule'!$N$43&gt;0,MOD($A61-'Recurring Schedule'!$F$43,'Recurring Schedule'!$N$43)=0,IF('Recurring Schedule'!$O$43&gt;0,AND(DAY($A61)=MIN(DAY('Recurring Schedule'!$F$43),DAY(EOMONTH($A61,0))),MOD((YEAR($A61)-YEAR('Recurring Schedule'!$F$43))*12+MONTH($A61)-MONTH('Recurring Schedule'!$F$43),'Recurring Schedule'!$O$43)=0),IF('Recurring Schedule'!$E$43="Weekdays",WEEKDAY($A61,2)&lt;=5,$A61='Recurring Schedule'!$F$43))),38,""))))</f>
        <v/>
      </c>
      <c r="AN61">
        <f>IF('Recurring Schedule'!$C$44="","",IF('Recurring Schedule'!$F$44="","",IF(OR($A61&lt;'Recurring Schedule'!$F$44,$A61&gt;'Recurring Schedule'!$P$44),"",IF(IF('Recurring Schedule'!$N$44&gt;0,MOD($A61-'Recurring Schedule'!$F$44,'Recurring Schedule'!$N$44)=0,IF('Recurring Schedule'!$O$44&gt;0,AND(DAY($A61)=MIN(DAY('Recurring Schedule'!$F$44),DAY(EOMONTH($A61,0))),MOD((YEAR($A61)-YEAR('Recurring Schedule'!$F$44))*12+MONTH($A61)-MONTH('Recurring Schedule'!$F$44),'Recurring Schedule'!$O$44)=0),IF('Recurring Schedule'!$E$44="Weekdays",WEEKDAY($A61,2)&lt;=5,$A61='Recurring Schedule'!$F$44))),39,""))))</f>
        <v/>
      </c>
      <c r="AO61">
        <f>IF('Recurring Schedule'!$C$45="","",IF('Recurring Schedule'!$F$45="","",IF(OR($A61&lt;'Recurring Schedule'!$F$45,$A61&gt;'Recurring Schedule'!$P$45),"",IF(IF('Recurring Schedule'!$N$45&gt;0,MOD($A61-'Recurring Schedule'!$F$45,'Recurring Schedule'!$N$45)=0,IF('Recurring Schedule'!$O$45&gt;0,AND(DAY($A61)=MIN(DAY('Recurring Schedule'!$F$45),DAY(EOMONTH($A61,0))),MOD((YEAR($A61)-YEAR('Recurring Schedule'!$F$45))*12+MONTH($A61)-MONTH('Recurring Schedule'!$F$45),'Recurring Schedule'!$O$45)=0),IF('Recurring Schedule'!$E$45="Weekdays",WEEKDAY($A61,2)&lt;=5,$A61='Recurring Schedule'!$F$45))),40,""))))</f>
        <v/>
      </c>
      <c r="AP61">
        <f>COUNT(B61:AO61)</f>
        <v/>
      </c>
      <c r="AQ61">
        <f>AQ60+AP60</f>
        <v/>
      </c>
      <c r="AS61" t="inlineStr">
        <is>
          <t>R</t>
        </is>
      </c>
      <c r="AT61" t="n">
        <v>65</v>
      </c>
      <c r="AU61">
        <f>'Recurring Log'!C65&amp;""</f>
        <v/>
      </c>
      <c r="AV61">
        <f>'Recurring Log'!D65&amp;""</f>
        <v/>
      </c>
      <c r="AW61">
        <f>IF('Recurring Log'!E65="","",'Recurring Log'!E65)</f>
        <v/>
      </c>
      <c r="AX61">
        <f>IF('Recurring Log'!G65="","",'Recurring Log'!G65)</f>
        <v/>
      </c>
      <c r="AY61">
        <f>IF('Recurring Log'!H65="","",'Recurring Log'!H65)</f>
        <v/>
      </c>
      <c r="AZ61">
        <f>IF(AU61="","",IF('Recurring Log'!J65="","Not Started",'Recurring Log'!J65))</f>
        <v/>
      </c>
      <c r="BA61">
        <f>'Recurring Log'!L65&amp;""</f>
        <v/>
      </c>
      <c r="BB61">
        <f>'Recurring Log'!M65&amp;""</f>
        <v/>
      </c>
      <c r="BC61">
        <f>'Recurring Log'!N65&amp;""</f>
        <v/>
      </c>
      <c r="BD61">
        <f>'Recurring Log'!O65&amp;""</f>
        <v/>
      </c>
      <c r="BE61">
        <f>IF('Recurring Log'!K65="","",'Recurring Log'!K65)</f>
        <v/>
      </c>
      <c r="BF61">
        <f>IFERROR(MATCH(BA61,Setup!$L$6:$L$9,0),5)</f>
        <v/>
      </c>
      <c r="BG61">
        <f>IF(OR(AZ61="Done",AZ61="Cancelled"),1,0)</f>
        <v/>
      </c>
      <c r="BH61">
        <f>IF(AND(AU61&lt;&gt;"",ISNUMBER(AW61)),1,0)</f>
        <v/>
      </c>
      <c r="BI61">
        <f>IF(BH61=0,0,IF(AND(AW61&gt;='Tasks Filter'!$F$3,AW61&lt;='Tasks Filter'!$F$4,OR('Tasks Filter'!$I$3="",ISNUMBER(SEARCH('Tasks Filter'!$I$3,AU61))),OR('Tasks Filter'!$I$4="",BF61=IFERROR(MATCH('Tasks Filter'!$I$4,Setup!$L$6:$L$9,0),0)),OR('Tasks Filter'!$I$5="Both",AND('Tasks Filter'!$I$5="Yes",BB61="✓"),AND('Tasks Filter'!$I$5="No",BB61&lt;&gt;"✓")),OR('Tasks Filter'!$L$3="",AV61='Tasks Filter'!$L$3),OR('Tasks Filter'!$L$4="",AZ61='Tasks Filter'!$L$4),OR('Tasks Filter'!$L$5="",BC61='Tasks Filter'!$L$5),OR('Tasks Filter'!$O$3="",BD61='Tasks Filter'!$O$3),OR('Tasks Filter'!$O$4="Yes",BG61=0)),1,0))</f>
        <v/>
      </c>
      <c r="BJ61">
        <f>IF(BH61=0,"",IF('Tasks Filter'!$F$6="Descending",-1,1)*CHOOSE(MATCH('Tasks Filter'!$F$5,Lists!$G$2:$G$6,0),AW61,BF61,IFERROR(MATCH(AV61,Setup!$F$6:$F$15,0),99),IFERROR(MATCH(BC61,Setup!$H$6:$H$15,0),99),IFERROR(MATCH(AZ61,Setup!$J$6:$J$11,0),99))*1E+9+(AW61-40000)*10000+60)</f>
        <v/>
      </c>
      <c r="BK61">
        <f>IF(BI61=1,BJ61,"")</f>
        <v/>
      </c>
      <c r="BL61">
        <f>IF(AND(BH61=1,BG61=0,N(AW61)&lt;Setup!$D$7),(AW61-40000)*10000+60,"")</f>
        <v/>
      </c>
      <c r="BM61">
        <f>IF(AND(BH61=1,AZ61&lt;&gt;"Cancelled",N(AW61)&gt;=Dashboard!$AB$3,N(AW61)&lt;=Dashboard!$AB$3+6),(AW61-40000)*100000+BF61*10000+60,"")</f>
        <v/>
      </c>
      <c r="BN61">
        <f>IF(AND(BH61=1,AZ61&lt;&gt;"Cancelled"),BF61*10000+60,"")</f>
        <v/>
      </c>
    </row>
    <row r="62">
      <c r="A62">
        <f>Setup!$D$5+60</f>
        <v/>
      </c>
      <c r="B62">
        <f>IF('Recurring Schedule'!$C$6="","",IF('Recurring Schedule'!$F$6="","",IF(OR($A62&lt;'Recurring Schedule'!$F$6,$A62&gt;'Recurring Schedule'!$P$6),"",IF(IF('Recurring Schedule'!$N$6&gt;0,MOD($A62-'Recurring Schedule'!$F$6,'Recurring Schedule'!$N$6)=0,IF('Recurring Schedule'!$O$6&gt;0,AND(DAY($A62)=MIN(DAY('Recurring Schedule'!$F$6),DAY(EOMONTH($A62,0))),MOD((YEAR($A62)-YEAR('Recurring Schedule'!$F$6))*12+MONTH($A62)-MONTH('Recurring Schedule'!$F$6),'Recurring Schedule'!$O$6)=0),IF('Recurring Schedule'!$E$6="Weekdays",WEEKDAY($A62,2)&lt;=5,$A62='Recurring Schedule'!$F$6))),1,""))))</f>
        <v/>
      </c>
      <c r="C62">
        <f>IF('Recurring Schedule'!$C$7="","",IF('Recurring Schedule'!$F$7="","",IF(OR($A62&lt;'Recurring Schedule'!$F$7,$A62&gt;'Recurring Schedule'!$P$7),"",IF(IF('Recurring Schedule'!$N$7&gt;0,MOD($A62-'Recurring Schedule'!$F$7,'Recurring Schedule'!$N$7)=0,IF('Recurring Schedule'!$O$7&gt;0,AND(DAY($A62)=MIN(DAY('Recurring Schedule'!$F$7),DAY(EOMONTH($A62,0))),MOD((YEAR($A62)-YEAR('Recurring Schedule'!$F$7))*12+MONTH($A62)-MONTH('Recurring Schedule'!$F$7),'Recurring Schedule'!$O$7)=0),IF('Recurring Schedule'!$E$7="Weekdays",WEEKDAY($A62,2)&lt;=5,$A62='Recurring Schedule'!$F$7))),2,""))))</f>
        <v/>
      </c>
      <c r="D62">
        <f>IF('Recurring Schedule'!$C$8="","",IF('Recurring Schedule'!$F$8="","",IF(OR($A62&lt;'Recurring Schedule'!$F$8,$A62&gt;'Recurring Schedule'!$P$8),"",IF(IF('Recurring Schedule'!$N$8&gt;0,MOD($A62-'Recurring Schedule'!$F$8,'Recurring Schedule'!$N$8)=0,IF('Recurring Schedule'!$O$8&gt;0,AND(DAY($A62)=MIN(DAY('Recurring Schedule'!$F$8),DAY(EOMONTH($A62,0))),MOD((YEAR($A62)-YEAR('Recurring Schedule'!$F$8))*12+MONTH($A62)-MONTH('Recurring Schedule'!$F$8),'Recurring Schedule'!$O$8)=0),IF('Recurring Schedule'!$E$8="Weekdays",WEEKDAY($A62,2)&lt;=5,$A62='Recurring Schedule'!$F$8))),3,""))))</f>
        <v/>
      </c>
      <c r="E62">
        <f>IF('Recurring Schedule'!$C$9="","",IF('Recurring Schedule'!$F$9="","",IF(OR($A62&lt;'Recurring Schedule'!$F$9,$A62&gt;'Recurring Schedule'!$P$9),"",IF(IF('Recurring Schedule'!$N$9&gt;0,MOD($A62-'Recurring Schedule'!$F$9,'Recurring Schedule'!$N$9)=0,IF('Recurring Schedule'!$O$9&gt;0,AND(DAY($A62)=MIN(DAY('Recurring Schedule'!$F$9),DAY(EOMONTH($A62,0))),MOD((YEAR($A62)-YEAR('Recurring Schedule'!$F$9))*12+MONTH($A62)-MONTH('Recurring Schedule'!$F$9),'Recurring Schedule'!$O$9)=0),IF('Recurring Schedule'!$E$9="Weekdays",WEEKDAY($A62,2)&lt;=5,$A62='Recurring Schedule'!$F$9))),4,""))))</f>
        <v/>
      </c>
      <c r="F62">
        <f>IF('Recurring Schedule'!$C$10="","",IF('Recurring Schedule'!$F$10="","",IF(OR($A62&lt;'Recurring Schedule'!$F$10,$A62&gt;'Recurring Schedule'!$P$10),"",IF(IF('Recurring Schedule'!$N$10&gt;0,MOD($A62-'Recurring Schedule'!$F$10,'Recurring Schedule'!$N$10)=0,IF('Recurring Schedule'!$O$10&gt;0,AND(DAY($A62)=MIN(DAY('Recurring Schedule'!$F$10),DAY(EOMONTH($A62,0))),MOD((YEAR($A62)-YEAR('Recurring Schedule'!$F$10))*12+MONTH($A62)-MONTH('Recurring Schedule'!$F$10),'Recurring Schedule'!$O$10)=0),IF('Recurring Schedule'!$E$10="Weekdays",WEEKDAY($A62,2)&lt;=5,$A62='Recurring Schedule'!$F$10))),5,""))))</f>
        <v/>
      </c>
      <c r="G62">
        <f>IF('Recurring Schedule'!$C$11="","",IF('Recurring Schedule'!$F$11="","",IF(OR($A62&lt;'Recurring Schedule'!$F$11,$A62&gt;'Recurring Schedule'!$P$11),"",IF(IF('Recurring Schedule'!$N$11&gt;0,MOD($A62-'Recurring Schedule'!$F$11,'Recurring Schedule'!$N$11)=0,IF('Recurring Schedule'!$O$11&gt;0,AND(DAY($A62)=MIN(DAY('Recurring Schedule'!$F$11),DAY(EOMONTH($A62,0))),MOD((YEAR($A62)-YEAR('Recurring Schedule'!$F$11))*12+MONTH($A62)-MONTH('Recurring Schedule'!$F$11),'Recurring Schedule'!$O$11)=0),IF('Recurring Schedule'!$E$11="Weekdays",WEEKDAY($A62,2)&lt;=5,$A62='Recurring Schedule'!$F$11))),6,""))))</f>
        <v/>
      </c>
      <c r="H62">
        <f>IF('Recurring Schedule'!$C$12="","",IF('Recurring Schedule'!$F$12="","",IF(OR($A62&lt;'Recurring Schedule'!$F$12,$A62&gt;'Recurring Schedule'!$P$12),"",IF(IF('Recurring Schedule'!$N$12&gt;0,MOD($A62-'Recurring Schedule'!$F$12,'Recurring Schedule'!$N$12)=0,IF('Recurring Schedule'!$O$12&gt;0,AND(DAY($A62)=MIN(DAY('Recurring Schedule'!$F$12),DAY(EOMONTH($A62,0))),MOD((YEAR($A62)-YEAR('Recurring Schedule'!$F$12))*12+MONTH($A62)-MONTH('Recurring Schedule'!$F$12),'Recurring Schedule'!$O$12)=0),IF('Recurring Schedule'!$E$12="Weekdays",WEEKDAY($A62,2)&lt;=5,$A62='Recurring Schedule'!$F$12))),7,""))))</f>
        <v/>
      </c>
      <c r="I62">
        <f>IF('Recurring Schedule'!$C$13="","",IF('Recurring Schedule'!$F$13="","",IF(OR($A62&lt;'Recurring Schedule'!$F$13,$A62&gt;'Recurring Schedule'!$P$13),"",IF(IF('Recurring Schedule'!$N$13&gt;0,MOD($A62-'Recurring Schedule'!$F$13,'Recurring Schedule'!$N$13)=0,IF('Recurring Schedule'!$O$13&gt;0,AND(DAY($A62)=MIN(DAY('Recurring Schedule'!$F$13),DAY(EOMONTH($A62,0))),MOD((YEAR($A62)-YEAR('Recurring Schedule'!$F$13))*12+MONTH($A62)-MONTH('Recurring Schedule'!$F$13),'Recurring Schedule'!$O$13)=0),IF('Recurring Schedule'!$E$13="Weekdays",WEEKDAY($A62,2)&lt;=5,$A62='Recurring Schedule'!$F$13))),8,""))))</f>
        <v/>
      </c>
      <c r="J62">
        <f>IF('Recurring Schedule'!$C$14="","",IF('Recurring Schedule'!$F$14="","",IF(OR($A62&lt;'Recurring Schedule'!$F$14,$A62&gt;'Recurring Schedule'!$P$14),"",IF(IF('Recurring Schedule'!$N$14&gt;0,MOD($A62-'Recurring Schedule'!$F$14,'Recurring Schedule'!$N$14)=0,IF('Recurring Schedule'!$O$14&gt;0,AND(DAY($A62)=MIN(DAY('Recurring Schedule'!$F$14),DAY(EOMONTH($A62,0))),MOD((YEAR($A62)-YEAR('Recurring Schedule'!$F$14))*12+MONTH($A62)-MONTH('Recurring Schedule'!$F$14),'Recurring Schedule'!$O$14)=0),IF('Recurring Schedule'!$E$14="Weekdays",WEEKDAY($A62,2)&lt;=5,$A62='Recurring Schedule'!$F$14))),9,""))))</f>
        <v/>
      </c>
      <c r="K62">
        <f>IF('Recurring Schedule'!$C$15="","",IF('Recurring Schedule'!$F$15="","",IF(OR($A62&lt;'Recurring Schedule'!$F$15,$A62&gt;'Recurring Schedule'!$P$15),"",IF(IF('Recurring Schedule'!$N$15&gt;0,MOD($A62-'Recurring Schedule'!$F$15,'Recurring Schedule'!$N$15)=0,IF('Recurring Schedule'!$O$15&gt;0,AND(DAY($A62)=MIN(DAY('Recurring Schedule'!$F$15),DAY(EOMONTH($A62,0))),MOD((YEAR($A62)-YEAR('Recurring Schedule'!$F$15))*12+MONTH($A62)-MONTH('Recurring Schedule'!$F$15),'Recurring Schedule'!$O$15)=0),IF('Recurring Schedule'!$E$15="Weekdays",WEEKDAY($A62,2)&lt;=5,$A62='Recurring Schedule'!$F$15))),10,""))))</f>
        <v/>
      </c>
      <c r="L62">
        <f>IF('Recurring Schedule'!$C$16="","",IF('Recurring Schedule'!$F$16="","",IF(OR($A62&lt;'Recurring Schedule'!$F$16,$A62&gt;'Recurring Schedule'!$P$16),"",IF(IF('Recurring Schedule'!$N$16&gt;0,MOD($A62-'Recurring Schedule'!$F$16,'Recurring Schedule'!$N$16)=0,IF('Recurring Schedule'!$O$16&gt;0,AND(DAY($A62)=MIN(DAY('Recurring Schedule'!$F$16),DAY(EOMONTH($A62,0))),MOD((YEAR($A62)-YEAR('Recurring Schedule'!$F$16))*12+MONTH($A62)-MONTH('Recurring Schedule'!$F$16),'Recurring Schedule'!$O$16)=0),IF('Recurring Schedule'!$E$16="Weekdays",WEEKDAY($A62,2)&lt;=5,$A62='Recurring Schedule'!$F$16))),11,""))))</f>
        <v/>
      </c>
      <c r="M62">
        <f>IF('Recurring Schedule'!$C$17="","",IF('Recurring Schedule'!$F$17="","",IF(OR($A62&lt;'Recurring Schedule'!$F$17,$A62&gt;'Recurring Schedule'!$P$17),"",IF(IF('Recurring Schedule'!$N$17&gt;0,MOD($A62-'Recurring Schedule'!$F$17,'Recurring Schedule'!$N$17)=0,IF('Recurring Schedule'!$O$17&gt;0,AND(DAY($A62)=MIN(DAY('Recurring Schedule'!$F$17),DAY(EOMONTH($A62,0))),MOD((YEAR($A62)-YEAR('Recurring Schedule'!$F$17))*12+MONTH($A62)-MONTH('Recurring Schedule'!$F$17),'Recurring Schedule'!$O$17)=0),IF('Recurring Schedule'!$E$17="Weekdays",WEEKDAY($A62,2)&lt;=5,$A62='Recurring Schedule'!$F$17))),12,""))))</f>
        <v/>
      </c>
      <c r="N62">
        <f>IF('Recurring Schedule'!$C$18="","",IF('Recurring Schedule'!$F$18="","",IF(OR($A62&lt;'Recurring Schedule'!$F$18,$A62&gt;'Recurring Schedule'!$P$18),"",IF(IF('Recurring Schedule'!$N$18&gt;0,MOD($A62-'Recurring Schedule'!$F$18,'Recurring Schedule'!$N$18)=0,IF('Recurring Schedule'!$O$18&gt;0,AND(DAY($A62)=MIN(DAY('Recurring Schedule'!$F$18),DAY(EOMONTH($A62,0))),MOD((YEAR($A62)-YEAR('Recurring Schedule'!$F$18))*12+MONTH($A62)-MONTH('Recurring Schedule'!$F$18),'Recurring Schedule'!$O$18)=0),IF('Recurring Schedule'!$E$18="Weekdays",WEEKDAY($A62,2)&lt;=5,$A62='Recurring Schedule'!$F$18))),13,""))))</f>
        <v/>
      </c>
      <c r="O62">
        <f>IF('Recurring Schedule'!$C$19="","",IF('Recurring Schedule'!$F$19="","",IF(OR($A62&lt;'Recurring Schedule'!$F$19,$A62&gt;'Recurring Schedule'!$P$19),"",IF(IF('Recurring Schedule'!$N$19&gt;0,MOD($A62-'Recurring Schedule'!$F$19,'Recurring Schedule'!$N$19)=0,IF('Recurring Schedule'!$O$19&gt;0,AND(DAY($A62)=MIN(DAY('Recurring Schedule'!$F$19),DAY(EOMONTH($A62,0))),MOD((YEAR($A62)-YEAR('Recurring Schedule'!$F$19))*12+MONTH($A62)-MONTH('Recurring Schedule'!$F$19),'Recurring Schedule'!$O$19)=0),IF('Recurring Schedule'!$E$19="Weekdays",WEEKDAY($A62,2)&lt;=5,$A62='Recurring Schedule'!$F$19))),14,""))))</f>
        <v/>
      </c>
      <c r="P62">
        <f>IF('Recurring Schedule'!$C$20="","",IF('Recurring Schedule'!$F$20="","",IF(OR($A62&lt;'Recurring Schedule'!$F$20,$A62&gt;'Recurring Schedule'!$P$20),"",IF(IF('Recurring Schedule'!$N$20&gt;0,MOD($A62-'Recurring Schedule'!$F$20,'Recurring Schedule'!$N$20)=0,IF('Recurring Schedule'!$O$20&gt;0,AND(DAY($A62)=MIN(DAY('Recurring Schedule'!$F$20),DAY(EOMONTH($A62,0))),MOD((YEAR($A62)-YEAR('Recurring Schedule'!$F$20))*12+MONTH($A62)-MONTH('Recurring Schedule'!$F$20),'Recurring Schedule'!$O$20)=0),IF('Recurring Schedule'!$E$20="Weekdays",WEEKDAY($A62,2)&lt;=5,$A62='Recurring Schedule'!$F$20))),15,""))))</f>
        <v/>
      </c>
      <c r="Q62">
        <f>IF('Recurring Schedule'!$C$21="","",IF('Recurring Schedule'!$F$21="","",IF(OR($A62&lt;'Recurring Schedule'!$F$21,$A62&gt;'Recurring Schedule'!$P$21),"",IF(IF('Recurring Schedule'!$N$21&gt;0,MOD($A62-'Recurring Schedule'!$F$21,'Recurring Schedule'!$N$21)=0,IF('Recurring Schedule'!$O$21&gt;0,AND(DAY($A62)=MIN(DAY('Recurring Schedule'!$F$21),DAY(EOMONTH($A62,0))),MOD((YEAR($A62)-YEAR('Recurring Schedule'!$F$21))*12+MONTH($A62)-MONTH('Recurring Schedule'!$F$21),'Recurring Schedule'!$O$21)=0),IF('Recurring Schedule'!$E$21="Weekdays",WEEKDAY($A62,2)&lt;=5,$A62='Recurring Schedule'!$F$21))),16,""))))</f>
        <v/>
      </c>
      <c r="R62">
        <f>IF('Recurring Schedule'!$C$22="","",IF('Recurring Schedule'!$F$22="","",IF(OR($A62&lt;'Recurring Schedule'!$F$22,$A62&gt;'Recurring Schedule'!$P$22),"",IF(IF('Recurring Schedule'!$N$22&gt;0,MOD($A62-'Recurring Schedule'!$F$22,'Recurring Schedule'!$N$22)=0,IF('Recurring Schedule'!$O$22&gt;0,AND(DAY($A62)=MIN(DAY('Recurring Schedule'!$F$22),DAY(EOMONTH($A62,0))),MOD((YEAR($A62)-YEAR('Recurring Schedule'!$F$22))*12+MONTH($A62)-MONTH('Recurring Schedule'!$F$22),'Recurring Schedule'!$O$22)=0),IF('Recurring Schedule'!$E$22="Weekdays",WEEKDAY($A62,2)&lt;=5,$A62='Recurring Schedule'!$F$22))),17,""))))</f>
        <v/>
      </c>
      <c r="S62">
        <f>IF('Recurring Schedule'!$C$23="","",IF('Recurring Schedule'!$F$23="","",IF(OR($A62&lt;'Recurring Schedule'!$F$23,$A62&gt;'Recurring Schedule'!$P$23),"",IF(IF('Recurring Schedule'!$N$23&gt;0,MOD($A62-'Recurring Schedule'!$F$23,'Recurring Schedule'!$N$23)=0,IF('Recurring Schedule'!$O$23&gt;0,AND(DAY($A62)=MIN(DAY('Recurring Schedule'!$F$23),DAY(EOMONTH($A62,0))),MOD((YEAR($A62)-YEAR('Recurring Schedule'!$F$23))*12+MONTH($A62)-MONTH('Recurring Schedule'!$F$23),'Recurring Schedule'!$O$23)=0),IF('Recurring Schedule'!$E$23="Weekdays",WEEKDAY($A62,2)&lt;=5,$A62='Recurring Schedule'!$F$23))),18,""))))</f>
        <v/>
      </c>
      <c r="T62">
        <f>IF('Recurring Schedule'!$C$24="","",IF('Recurring Schedule'!$F$24="","",IF(OR($A62&lt;'Recurring Schedule'!$F$24,$A62&gt;'Recurring Schedule'!$P$24),"",IF(IF('Recurring Schedule'!$N$24&gt;0,MOD($A62-'Recurring Schedule'!$F$24,'Recurring Schedule'!$N$24)=0,IF('Recurring Schedule'!$O$24&gt;0,AND(DAY($A62)=MIN(DAY('Recurring Schedule'!$F$24),DAY(EOMONTH($A62,0))),MOD((YEAR($A62)-YEAR('Recurring Schedule'!$F$24))*12+MONTH($A62)-MONTH('Recurring Schedule'!$F$24),'Recurring Schedule'!$O$24)=0),IF('Recurring Schedule'!$E$24="Weekdays",WEEKDAY($A62,2)&lt;=5,$A62='Recurring Schedule'!$F$24))),19,""))))</f>
        <v/>
      </c>
      <c r="U62">
        <f>IF('Recurring Schedule'!$C$25="","",IF('Recurring Schedule'!$F$25="","",IF(OR($A62&lt;'Recurring Schedule'!$F$25,$A62&gt;'Recurring Schedule'!$P$25),"",IF(IF('Recurring Schedule'!$N$25&gt;0,MOD($A62-'Recurring Schedule'!$F$25,'Recurring Schedule'!$N$25)=0,IF('Recurring Schedule'!$O$25&gt;0,AND(DAY($A62)=MIN(DAY('Recurring Schedule'!$F$25),DAY(EOMONTH($A62,0))),MOD((YEAR($A62)-YEAR('Recurring Schedule'!$F$25))*12+MONTH($A62)-MONTH('Recurring Schedule'!$F$25),'Recurring Schedule'!$O$25)=0),IF('Recurring Schedule'!$E$25="Weekdays",WEEKDAY($A62,2)&lt;=5,$A62='Recurring Schedule'!$F$25))),20,""))))</f>
        <v/>
      </c>
      <c r="V62">
        <f>IF('Recurring Schedule'!$C$26="","",IF('Recurring Schedule'!$F$26="","",IF(OR($A62&lt;'Recurring Schedule'!$F$26,$A62&gt;'Recurring Schedule'!$P$26),"",IF(IF('Recurring Schedule'!$N$26&gt;0,MOD($A62-'Recurring Schedule'!$F$26,'Recurring Schedule'!$N$26)=0,IF('Recurring Schedule'!$O$26&gt;0,AND(DAY($A62)=MIN(DAY('Recurring Schedule'!$F$26),DAY(EOMONTH($A62,0))),MOD((YEAR($A62)-YEAR('Recurring Schedule'!$F$26))*12+MONTH($A62)-MONTH('Recurring Schedule'!$F$26),'Recurring Schedule'!$O$26)=0),IF('Recurring Schedule'!$E$26="Weekdays",WEEKDAY($A62,2)&lt;=5,$A62='Recurring Schedule'!$F$26))),21,""))))</f>
        <v/>
      </c>
      <c r="W62">
        <f>IF('Recurring Schedule'!$C$27="","",IF('Recurring Schedule'!$F$27="","",IF(OR($A62&lt;'Recurring Schedule'!$F$27,$A62&gt;'Recurring Schedule'!$P$27),"",IF(IF('Recurring Schedule'!$N$27&gt;0,MOD($A62-'Recurring Schedule'!$F$27,'Recurring Schedule'!$N$27)=0,IF('Recurring Schedule'!$O$27&gt;0,AND(DAY($A62)=MIN(DAY('Recurring Schedule'!$F$27),DAY(EOMONTH($A62,0))),MOD((YEAR($A62)-YEAR('Recurring Schedule'!$F$27))*12+MONTH($A62)-MONTH('Recurring Schedule'!$F$27),'Recurring Schedule'!$O$27)=0),IF('Recurring Schedule'!$E$27="Weekdays",WEEKDAY($A62,2)&lt;=5,$A62='Recurring Schedule'!$F$27))),22,""))))</f>
        <v/>
      </c>
      <c r="X62">
        <f>IF('Recurring Schedule'!$C$28="","",IF('Recurring Schedule'!$F$28="","",IF(OR($A62&lt;'Recurring Schedule'!$F$28,$A62&gt;'Recurring Schedule'!$P$28),"",IF(IF('Recurring Schedule'!$N$28&gt;0,MOD($A62-'Recurring Schedule'!$F$28,'Recurring Schedule'!$N$28)=0,IF('Recurring Schedule'!$O$28&gt;0,AND(DAY($A62)=MIN(DAY('Recurring Schedule'!$F$28),DAY(EOMONTH($A62,0))),MOD((YEAR($A62)-YEAR('Recurring Schedule'!$F$28))*12+MONTH($A62)-MONTH('Recurring Schedule'!$F$28),'Recurring Schedule'!$O$28)=0),IF('Recurring Schedule'!$E$28="Weekdays",WEEKDAY($A62,2)&lt;=5,$A62='Recurring Schedule'!$F$28))),23,""))))</f>
        <v/>
      </c>
      <c r="Y62">
        <f>IF('Recurring Schedule'!$C$29="","",IF('Recurring Schedule'!$F$29="","",IF(OR($A62&lt;'Recurring Schedule'!$F$29,$A62&gt;'Recurring Schedule'!$P$29),"",IF(IF('Recurring Schedule'!$N$29&gt;0,MOD($A62-'Recurring Schedule'!$F$29,'Recurring Schedule'!$N$29)=0,IF('Recurring Schedule'!$O$29&gt;0,AND(DAY($A62)=MIN(DAY('Recurring Schedule'!$F$29),DAY(EOMONTH($A62,0))),MOD((YEAR($A62)-YEAR('Recurring Schedule'!$F$29))*12+MONTH($A62)-MONTH('Recurring Schedule'!$F$29),'Recurring Schedule'!$O$29)=0),IF('Recurring Schedule'!$E$29="Weekdays",WEEKDAY($A62,2)&lt;=5,$A62='Recurring Schedule'!$F$29))),24,""))))</f>
        <v/>
      </c>
      <c r="Z62">
        <f>IF('Recurring Schedule'!$C$30="","",IF('Recurring Schedule'!$F$30="","",IF(OR($A62&lt;'Recurring Schedule'!$F$30,$A62&gt;'Recurring Schedule'!$P$30),"",IF(IF('Recurring Schedule'!$N$30&gt;0,MOD($A62-'Recurring Schedule'!$F$30,'Recurring Schedule'!$N$30)=0,IF('Recurring Schedule'!$O$30&gt;0,AND(DAY($A62)=MIN(DAY('Recurring Schedule'!$F$30),DAY(EOMONTH($A62,0))),MOD((YEAR($A62)-YEAR('Recurring Schedule'!$F$30))*12+MONTH($A62)-MONTH('Recurring Schedule'!$F$30),'Recurring Schedule'!$O$30)=0),IF('Recurring Schedule'!$E$30="Weekdays",WEEKDAY($A62,2)&lt;=5,$A62='Recurring Schedule'!$F$30))),25,""))))</f>
        <v/>
      </c>
      <c r="AA62">
        <f>IF('Recurring Schedule'!$C$31="","",IF('Recurring Schedule'!$F$31="","",IF(OR($A62&lt;'Recurring Schedule'!$F$31,$A62&gt;'Recurring Schedule'!$P$31),"",IF(IF('Recurring Schedule'!$N$31&gt;0,MOD($A62-'Recurring Schedule'!$F$31,'Recurring Schedule'!$N$31)=0,IF('Recurring Schedule'!$O$31&gt;0,AND(DAY($A62)=MIN(DAY('Recurring Schedule'!$F$31),DAY(EOMONTH($A62,0))),MOD((YEAR($A62)-YEAR('Recurring Schedule'!$F$31))*12+MONTH($A62)-MONTH('Recurring Schedule'!$F$31),'Recurring Schedule'!$O$31)=0),IF('Recurring Schedule'!$E$31="Weekdays",WEEKDAY($A62,2)&lt;=5,$A62='Recurring Schedule'!$F$31))),26,""))))</f>
        <v/>
      </c>
      <c r="AB62">
        <f>IF('Recurring Schedule'!$C$32="","",IF('Recurring Schedule'!$F$32="","",IF(OR($A62&lt;'Recurring Schedule'!$F$32,$A62&gt;'Recurring Schedule'!$P$32),"",IF(IF('Recurring Schedule'!$N$32&gt;0,MOD($A62-'Recurring Schedule'!$F$32,'Recurring Schedule'!$N$32)=0,IF('Recurring Schedule'!$O$32&gt;0,AND(DAY($A62)=MIN(DAY('Recurring Schedule'!$F$32),DAY(EOMONTH($A62,0))),MOD((YEAR($A62)-YEAR('Recurring Schedule'!$F$32))*12+MONTH($A62)-MONTH('Recurring Schedule'!$F$32),'Recurring Schedule'!$O$32)=0),IF('Recurring Schedule'!$E$32="Weekdays",WEEKDAY($A62,2)&lt;=5,$A62='Recurring Schedule'!$F$32))),27,""))))</f>
        <v/>
      </c>
      <c r="AC62">
        <f>IF('Recurring Schedule'!$C$33="","",IF('Recurring Schedule'!$F$33="","",IF(OR($A62&lt;'Recurring Schedule'!$F$33,$A62&gt;'Recurring Schedule'!$P$33),"",IF(IF('Recurring Schedule'!$N$33&gt;0,MOD($A62-'Recurring Schedule'!$F$33,'Recurring Schedule'!$N$33)=0,IF('Recurring Schedule'!$O$33&gt;0,AND(DAY($A62)=MIN(DAY('Recurring Schedule'!$F$33),DAY(EOMONTH($A62,0))),MOD((YEAR($A62)-YEAR('Recurring Schedule'!$F$33))*12+MONTH($A62)-MONTH('Recurring Schedule'!$F$33),'Recurring Schedule'!$O$33)=0),IF('Recurring Schedule'!$E$33="Weekdays",WEEKDAY($A62,2)&lt;=5,$A62='Recurring Schedule'!$F$33))),28,""))))</f>
        <v/>
      </c>
      <c r="AD62">
        <f>IF('Recurring Schedule'!$C$34="","",IF('Recurring Schedule'!$F$34="","",IF(OR($A62&lt;'Recurring Schedule'!$F$34,$A62&gt;'Recurring Schedule'!$P$34),"",IF(IF('Recurring Schedule'!$N$34&gt;0,MOD($A62-'Recurring Schedule'!$F$34,'Recurring Schedule'!$N$34)=0,IF('Recurring Schedule'!$O$34&gt;0,AND(DAY($A62)=MIN(DAY('Recurring Schedule'!$F$34),DAY(EOMONTH($A62,0))),MOD((YEAR($A62)-YEAR('Recurring Schedule'!$F$34))*12+MONTH($A62)-MONTH('Recurring Schedule'!$F$34),'Recurring Schedule'!$O$34)=0),IF('Recurring Schedule'!$E$34="Weekdays",WEEKDAY($A62,2)&lt;=5,$A62='Recurring Schedule'!$F$34))),29,""))))</f>
        <v/>
      </c>
      <c r="AE62">
        <f>IF('Recurring Schedule'!$C$35="","",IF('Recurring Schedule'!$F$35="","",IF(OR($A62&lt;'Recurring Schedule'!$F$35,$A62&gt;'Recurring Schedule'!$P$35),"",IF(IF('Recurring Schedule'!$N$35&gt;0,MOD($A62-'Recurring Schedule'!$F$35,'Recurring Schedule'!$N$35)=0,IF('Recurring Schedule'!$O$35&gt;0,AND(DAY($A62)=MIN(DAY('Recurring Schedule'!$F$35),DAY(EOMONTH($A62,0))),MOD((YEAR($A62)-YEAR('Recurring Schedule'!$F$35))*12+MONTH($A62)-MONTH('Recurring Schedule'!$F$35),'Recurring Schedule'!$O$35)=0),IF('Recurring Schedule'!$E$35="Weekdays",WEEKDAY($A62,2)&lt;=5,$A62='Recurring Schedule'!$F$35))),30,""))))</f>
        <v/>
      </c>
      <c r="AF62">
        <f>IF('Recurring Schedule'!$C$36="","",IF('Recurring Schedule'!$F$36="","",IF(OR($A62&lt;'Recurring Schedule'!$F$36,$A62&gt;'Recurring Schedule'!$P$36),"",IF(IF('Recurring Schedule'!$N$36&gt;0,MOD($A62-'Recurring Schedule'!$F$36,'Recurring Schedule'!$N$36)=0,IF('Recurring Schedule'!$O$36&gt;0,AND(DAY($A62)=MIN(DAY('Recurring Schedule'!$F$36),DAY(EOMONTH($A62,0))),MOD((YEAR($A62)-YEAR('Recurring Schedule'!$F$36))*12+MONTH($A62)-MONTH('Recurring Schedule'!$F$36),'Recurring Schedule'!$O$36)=0),IF('Recurring Schedule'!$E$36="Weekdays",WEEKDAY($A62,2)&lt;=5,$A62='Recurring Schedule'!$F$36))),31,""))))</f>
        <v/>
      </c>
      <c r="AG62">
        <f>IF('Recurring Schedule'!$C$37="","",IF('Recurring Schedule'!$F$37="","",IF(OR($A62&lt;'Recurring Schedule'!$F$37,$A62&gt;'Recurring Schedule'!$P$37),"",IF(IF('Recurring Schedule'!$N$37&gt;0,MOD($A62-'Recurring Schedule'!$F$37,'Recurring Schedule'!$N$37)=0,IF('Recurring Schedule'!$O$37&gt;0,AND(DAY($A62)=MIN(DAY('Recurring Schedule'!$F$37),DAY(EOMONTH($A62,0))),MOD((YEAR($A62)-YEAR('Recurring Schedule'!$F$37))*12+MONTH($A62)-MONTH('Recurring Schedule'!$F$37),'Recurring Schedule'!$O$37)=0),IF('Recurring Schedule'!$E$37="Weekdays",WEEKDAY($A62,2)&lt;=5,$A62='Recurring Schedule'!$F$37))),32,""))))</f>
        <v/>
      </c>
      <c r="AH62">
        <f>IF('Recurring Schedule'!$C$38="","",IF('Recurring Schedule'!$F$38="","",IF(OR($A62&lt;'Recurring Schedule'!$F$38,$A62&gt;'Recurring Schedule'!$P$38),"",IF(IF('Recurring Schedule'!$N$38&gt;0,MOD($A62-'Recurring Schedule'!$F$38,'Recurring Schedule'!$N$38)=0,IF('Recurring Schedule'!$O$38&gt;0,AND(DAY($A62)=MIN(DAY('Recurring Schedule'!$F$38),DAY(EOMONTH($A62,0))),MOD((YEAR($A62)-YEAR('Recurring Schedule'!$F$38))*12+MONTH($A62)-MONTH('Recurring Schedule'!$F$38),'Recurring Schedule'!$O$38)=0),IF('Recurring Schedule'!$E$38="Weekdays",WEEKDAY($A62,2)&lt;=5,$A62='Recurring Schedule'!$F$38))),33,""))))</f>
        <v/>
      </c>
      <c r="AI62">
        <f>IF('Recurring Schedule'!$C$39="","",IF('Recurring Schedule'!$F$39="","",IF(OR($A62&lt;'Recurring Schedule'!$F$39,$A62&gt;'Recurring Schedule'!$P$39),"",IF(IF('Recurring Schedule'!$N$39&gt;0,MOD($A62-'Recurring Schedule'!$F$39,'Recurring Schedule'!$N$39)=0,IF('Recurring Schedule'!$O$39&gt;0,AND(DAY($A62)=MIN(DAY('Recurring Schedule'!$F$39),DAY(EOMONTH($A62,0))),MOD((YEAR($A62)-YEAR('Recurring Schedule'!$F$39))*12+MONTH($A62)-MONTH('Recurring Schedule'!$F$39),'Recurring Schedule'!$O$39)=0),IF('Recurring Schedule'!$E$39="Weekdays",WEEKDAY($A62,2)&lt;=5,$A62='Recurring Schedule'!$F$39))),34,""))))</f>
        <v/>
      </c>
      <c r="AJ62">
        <f>IF('Recurring Schedule'!$C$40="","",IF('Recurring Schedule'!$F$40="","",IF(OR($A62&lt;'Recurring Schedule'!$F$40,$A62&gt;'Recurring Schedule'!$P$40),"",IF(IF('Recurring Schedule'!$N$40&gt;0,MOD($A62-'Recurring Schedule'!$F$40,'Recurring Schedule'!$N$40)=0,IF('Recurring Schedule'!$O$40&gt;0,AND(DAY($A62)=MIN(DAY('Recurring Schedule'!$F$40),DAY(EOMONTH($A62,0))),MOD((YEAR($A62)-YEAR('Recurring Schedule'!$F$40))*12+MONTH($A62)-MONTH('Recurring Schedule'!$F$40),'Recurring Schedule'!$O$40)=0),IF('Recurring Schedule'!$E$40="Weekdays",WEEKDAY($A62,2)&lt;=5,$A62='Recurring Schedule'!$F$40))),35,""))))</f>
        <v/>
      </c>
      <c r="AK62">
        <f>IF('Recurring Schedule'!$C$41="","",IF('Recurring Schedule'!$F$41="","",IF(OR($A62&lt;'Recurring Schedule'!$F$41,$A62&gt;'Recurring Schedule'!$P$41),"",IF(IF('Recurring Schedule'!$N$41&gt;0,MOD($A62-'Recurring Schedule'!$F$41,'Recurring Schedule'!$N$41)=0,IF('Recurring Schedule'!$O$41&gt;0,AND(DAY($A62)=MIN(DAY('Recurring Schedule'!$F$41),DAY(EOMONTH($A62,0))),MOD((YEAR($A62)-YEAR('Recurring Schedule'!$F$41))*12+MONTH($A62)-MONTH('Recurring Schedule'!$F$41),'Recurring Schedule'!$O$41)=0),IF('Recurring Schedule'!$E$41="Weekdays",WEEKDAY($A62,2)&lt;=5,$A62='Recurring Schedule'!$F$41))),36,""))))</f>
        <v/>
      </c>
      <c r="AL62">
        <f>IF('Recurring Schedule'!$C$42="","",IF('Recurring Schedule'!$F$42="","",IF(OR($A62&lt;'Recurring Schedule'!$F$42,$A62&gt;'Recurring Schedule'!$P$42),"",IF(IF('Recurring Schedule'!$N$42&gt;0,MOD($A62-'Recurring Schedule'!$F$42,'Recurring Schedule'!$N$42)=0,IF('Recurring Schedule'!$O$42&gt;0,AND(DAY($A62)=MIN(DAY('Recurring Schedule'!$F$42),DAY(EOMONTH($A62,0))),MOD((YEAR($A62)-YEAR('Recurring Schedule'!$F$42))*12+MONTH($A62)-MONTH('Recurring Schedule'!$F$42),'Recurring Schedule'!$O$42)=0),IF('Recurring Schedule'!$E$42="Weekdays",WEEKDAY($A62,2)&lt;=5,$A62='Recurring Schedule'!$F$42))),37,""))))</f>
        <v/>
      </c>
      <c r="AM62">
        <f>IF('Recurring Schedule'!$C$43="","",IF('Recurring Schedule'!$F$43="","",IF(OR($A62&lt;'Recurring Schedule'!$F$43,$A62&gt;'Recurring Schedule'!$P$43),"",IF(IF('Recurring Schedule'!$N$43&gt;0,MOD($A62-'Recurring Schedule'!$F$43,'Recurring Schedule'!$N$43)=0,IF('Recurring Schedule'!$O$43&gt;0,AND(DAY($A62)=MIN(DAY('Recurring Schedule'!$F$43),DAY(EOMONTH($A62,0))),MOD((YEAR($A62)-YEAR('Recurring Schedule'!$F$43))*12+MONTH($A62)-MONTH('Recurring Schedule'!$F$43),'Recurring Schedule'!$O$43)=0),IF('Recurring Schedule'!$E$43="Weekdays",WEEKDAY($A62,2)&lt;=5,$A62='Recurring Schedule'!$F$43))),38,""))))</f>
        <v/>
      </c>
      <c r="AN62">
        <f>IF('Recurring Schedule'!$C$44="","",IF('Recurring Schedule'!$F$44="","",IF(OR($A62&lt;'Recurring Schedule'!$F$44,$A62&gt;'Recurring Schedule'!$P$44),"",IF(IF('Recurring Schedule'!$N$44&gt;0,MOD($A62-'Recurring Schedule'!$F$44,'Recurring Schedule'!$N$44)=0,IF('Recurring Schedule'!$O$44&gt;0,AND(DAY($A62)=MIN(DAY('Recurring Schedule'!$F$44),DAY(EOMONTH($A62,0))),MOD((YEAR($A62)-YEAR('Recurring Schedule'!$F$44))*12+MONTH($A62)-MONTH('Recurring Schedule'!$F$44),'Recurring Schedule'!$O$44)=0),IF('Recurring Schedule'!$E$44="Weekdays",WEEKDAY($A62,2)&lt;=5,$A62='Recurring Schedule'!$F$44))),39,""))))</f>
        <v/>
      </c>
      <c r="AO62">
        <f>IF('Recurring Schedule'!$C$45="","",IF('Recurring Schedule'!$F$45="","",IF(OR($A62&lt;'Recurring Schedule'!$F$45,$A62&gt;'Recurring Schedule'!$P$45),"",IF(IF('Recurring Schedule'!$N$45&gt;0,MOD($A62-'Recurring Schedule'!$F$45,'Recurring Schedule'!$N$45)=0,IF('Recurring Schedule'!$O$45&gt;0,AND(DAY($A62)=MIN(DAY('Recurring Schedule'!$F$45),DAY(EOMONTH($A62,0))),MOD((YEAR($A62)-YEAR('Recurring Schedule'!$F$45))*12+MONTH($A62)-MONTH('Recurring Schedule'!$F$45),'Recurring Schedule'!$O$45)=0),IF('Recurring Schedule'!$E$45="Weekdays",WEEKDAY($A62,2)&lt;=5,$A62='Recurring Schedule'!$F$45))),40,""))))</f>
        <v/>
      </c>
      <c r="AP62">
        <f>COUNT(B62:AO62)</f>
        <v/>
      </c>
      <c r="AQ62">
        <f>AQ61+AP61</f>
        <v/>
      </c>
      <c r="AS62" t="inlineStr">
        <is>
          <t>R</t>
        </is>
      </c>
      <c r="AT62" t="n">
        <v>66</v>
      </c>
      <c r="AU62">
        <f>'Recurring Log'!C66&amp;""</f>
        <v/>
      </c>
      <c r="AV62">
        <f>'Recurring Log'!D66&amp;""</f>
        <v/>
      </c>
      <c r="AW62">
        <f>IF('Recurring Log'!E66="","",'Recurring Log'!E66)</f>
        <v/>
      </c>
      <c r="AX62">
        <f>IF('Recurring Log'!G66="","",'Recurring Log'!G66)</f>
        <v/>
      </c>
      <c r="AY62">
        <f>IF('Recurring Log'!H66="","",'Recurring Log'!H66)</f>
        <v/>
      </c>
      <c r="AZ62">
        <f>IF(AU62="","",IF('Recurring Log'!J66="","Not Started",'Recurring Log'!J66))</f>
        <v/>
      </c>
      <c r="BA62">
        <f>'Recurring Log'!L66&amp;""</f>
        <v/>
      </c>
      <c r="BB62">
        <f>'Recurring Log'!M66&amp;""</f>
        <v/>
      </c>
      <c r="BC62">
        <f>'Recurring Log'!N66&amp;""</f>
        <v/>
      </c>
      <c r="BD62">
        <f>'Recurring Log'!O66&amp;""</f>
        <v/>
      </c>
      <c r="BE62">
        <f>IF('Recurring Log'!K66="","",'Recurring Log'!K66)</f>
        <v/>
      </c>
      <c r="BF62">
        <f>IFERROR(MATCH(BA62,Setup!$L$6:$L$9,0),5)</f>
        <v/>
      </c>
      <c r="BG62">
        <f>IF(OR(AZ62="Done",AZ62="Cancelled"),1,0)</f>
        <v/>
      </c>
      <c r="BH62">
        <f>IF(AND(AU62&lt;&gt;"",ISNUMBER(AW62)),1,0)</f>
        <v/>
      </c>
      <c r="BI62">
        <f>IF(BH62=0,0,IF(AND(AW62&gt;='Tasks Filter'!$F$3,AW62&lt;='Tasks Filter'!$F$4,OR('Tasks Filter'!$I$3="",ISNUMBER(SEARCH('Tasks Filter'!$I$3,AU62))),OR('Tasks Filter'!$I$4="",BF62=IFERROR(MATCH('Tasks Filter'!$I$4,Setup!$L$6:$L$9,0),0)),OR('Tasks Filter'!$I$5="Both",AND('Tasks Filter'!$I$5="Yes",BB62="✓"),AND('Tasks Filter'!$I$5="No",BB62&lt;&gt;"✓")),OR('Tasks Filter'!$L$3="",AV62='Tasks Filter'!$L$3),OR('Tasks Filter'!$L$4="",AZ62='Tasks Filter'!$L$4),OR('Tasks Filter'!$L$5="",BC62='Tasks Filter'!$L$5),OR('Tasks Filter'!$O$3="",BD62='Tasks Filter'!$O$3),OR('Tasks Filter'!$O$4="Yes",BG62=0)),1,0))</f>
        <v/>
      </c>
      <c r="BJ62">
        <f>IF(BH62=0,"",IF('Tasks Filter'!$F$6="Descending",-1,1)*CHOOSE(MATCH('Tasks Filter'!$F$5,Lists!$G$2:$G$6,0),AW62,BF62,IFERROR(MATCH(AV62,Setup!$F$6:$F$15,0),99),IFERROR(MATCH(BC62,Setup!$H$6:$H$15,0),99),IFERROR(MATCH(AZ62,Setup!$J$6:$J$11,0),99))*1E+9+(AW62-40000)*10000+61)</f>
        <v/>
      </c>
      <c r="BK62">
        <f>IF(BI62=1,BJ62,"")</f>
        <v/>
      </c>
      <c r="BL62">
        <f>IF(AND(BH62=1,BG62=0,N(AW62)&lt;Setup!$D$7),(AW62-40000)*10000+61,"")</f>
        <v/>
      </c>
      <c r="BM62">
        <f>IF(AND(BH62=1,AZ62&lt;&gt;"Cancelled",N(AW62)&gt;=Dashboard!$AB$3,N(AW62)&lt;=Dashboard!$AB$3+6),(AW62-40000)*100000+BF62*10000+61,"")</f>
        <v/>
      </c>
      <c r="BN62">
        <f>IF(AND(BH62=1,AZ62&lt;&gt;"Cancelled"),BF62*10000+61,"")</f>
        <v/>
      </c>
    </row>
    <row r="63">
      <c r="A63">
        <f>Setup!$D$5+61</f>
        <v/>
      </c>
      <c r="B63">
        <f>IF('Recurring Schedule'!$C$6="","",IF('Recurring Schedule'!$F$6="","",IF(OR($A63&lt;'Recurring Schedule'!$F$6,$A63&gt;'Recurring Schedule'!$P$6),"",IF(IF('Recurring Schedule'!$N$6&gt;0,MOD($A63-'Recurring Schedule'!$F$6,'Recurring Schedule'!$N$6)=0,IF('Recurring Schedule'!$O$6&gt;0,AND(DAY($A63)=MIN(DAY('Recurring Schedule'!$F$6),DAY(EOMONTH($A63,0))),MOD((YEAR($A63)-YEAR('Recurring Schedule'!$F$6))*12+MONTH($A63)-MONTH('Recurring Schedule'!$F$6),'Recurring Schedule'!$O$6)=0),IF('Recurring Schedule'!$E$6="Weekdays",WEEKDAY($A63,2)&lt;=5,$A63='Recurring Schedule'!$F$6))),1,""))))</f>
        <v/>
      </c>
      <c r="C63">
        <f>IF('Recurring Schedule'!$C$7="","",IF('Recurring Schedule'!$F$7="","",IF(OR($A63&lt;'Recurring Schedule'!$F$7,$A63&gt;'Recurring Schedule'!$P$7),"",IF(IF('Recurring Schedule'!$N$7&gt;0,MOD($A63-'Recurring Schedule'!$F$7,'Recurring Schedule'!$N$7)=0,IF('Recurring Schedule'!$O$7&gt;0,AND(DAY($A63)=MIN(DAY('Recurring Schedule'!$F$7),DAY(EOMONTH($A63,0))),MOD((YEAR($A63)-YEAR('Recurring Schedule'!$F$7))*12+MONTH($A63)-MONTH('Recurring Schedule'!$F$7),'Recurring Schedule'!$O$7)=0),IF('Recurring Schedule'!$E$7="Weekdays",WEEKDAY($A63,2)&lt;=5,$A63='Recurring Schedule'!$F$7))),2,""))))</f>
        <v/>
      </c>
      <c r="D63">
        <f>IF('Recurring Schedule'!$C$8="","",IF('Recurring Schedule'!$F$8="","",IF(OR($A63&lt;'Recurring Schedule'!$F$8,$A63&gt;'Recurring Schedule'!$P$8),"",IF(IF('Recurring Schedule'!$N$8&gt;0,MOD($A63-'Recurring Schedule'!$F$8,'Recurring Schedule'!$N$8)=0,IF('Recurring Schedule'!$O$8&gt;0,AND(DAY($A63)=MIN(DAY('Recurring Schedule'!$F$8),DAY(EOMONTH($A63,0))),MOD((YEAR($A63)-YEAR('Recurring Schedule'!$F$8))*12+MONTH($A63)-MONTH('Recurring Schedule'!$F$8),'Recurring Schedule'!$O$8)=0),IF('Recurring Schedule'!$E$8="Weekdays",WEEKDAY($A63,2)&lt;=5,$A63='Recurring Schedule'!$F$8))),3,""))))</f>
        <v/>
      </c>
      <c r="E63">
        <f>IF('Recurring Schedule'!$C$9="","",IF('Recurring Schedule'!$F$9="","",IF(OR($A63&lt;'Recurring Schedule'!$F$9,$A63&gt;'Recurring Schedule'!$P$9),"",IF(IF('Recurring Schedule'!$N$9&gt;0,MOD($A63-'Recurring Schedule'!$F$9,'Recurring Schedule'!$N$9)=0,IF('Recurring Schedule'!$O$9&gt;0,AND(DAY($A63)=MIN(DAY('Recurring Schedule'!$F$9),DAY(EOMONTH($A63,0))),MOD((YEAR($A63)-YEAR('Recurring Schedule'!$F$9))*12+MONTH($A63)-MONTH('Recurring Schedule'!$F$9),'Recurring Schedule'!$O$9)=0),IF('Recurring Schedule'!$E$9="Weekdays",WEEKDAY($A63,2)&lt;=5,$A63='Recurring Schedule'!$F$9))),4,""))))</f>
        <v/>
      </c>
      <c r="F63">
        <f>IF('Recurring Schedule'!$C$10="","",IF('Recurring Schedule'!$F$10="","",IF(OR($A63&lt;'Recurring Schedule'!$F$10,$A63&gt;'Recurring Schedule'!$P$10),"",IF(IF('Recurring Schedule'!$N$10&gt;0,MOD($A63-'Recurring Schedule'!$F$10,'Recurring Schedule'!$N$10)=0,IF('Recurring Schedule'!$O$10&gt;0,AND(DAY($A63)=MIN(DAY('Recurring Schedule'!$F$10),DAY(EOMONTH($A63,0))),MOD((YEAR($A63)-YEAR('Recurring Schedule'!$F$10))*12+MONTH($A63)-MONTH('Recurring Schedule'!$F$10),'Recurring Schedule'!$O$10)=0),IF('Recurring Schedule'!$E$10="Weekdays",WEEKDAY($A63,2)&lt;=5,$A63='Recurring Schedule'!$F$10))),5,""))))</f>
        <v/>
      </c>
      <c r="G63">
        <f>IF('Recurring Schedule'!$C$11="","",IF('Recurring Schedule'!$F$11="","",IF(OR($A63&lt;'Recurring Schedule'!$F$11,$A63&gt;'Recurring Schedule'!$P$11),"",IF(IF('Recurring Schedule'!$N$11&gt;0,MOD($A63-'Recurring Schedule'!$F$11,'Recurring Schedule'!$N$11)=0,IF('Recurring Schedule'!$O$11&gt;0,AND(DAY($A63)=MIN(DAY('Recurring Schedule'!$F$11),DAY(EOMONTH($A63,0))),MOD((YEAR($A63)-YEAR('Recurring Schedule'!$F$11))*12+MONTH($A63)-MONTH('Recurring Schedule'!$F$11),'Recurring Schedule'!$O$11)=0),IF('Recurring Schedule'!$E$11="Weekdays",WEEKDAY($A63,2)&lt;=5,$A63='Recurring Schedule'!$F$11))),6,""))))</f>
        <v/>
      </c>
      <c r="H63">
        <f>IF('Recurring Schedule'!$C$12="","",IF('Recurring Schedule'!$F$12="","",IF(OR($A63&lt;'Recurring Schedule'!$F$12,$A63&gt;'Recurring Schedule'!$P$12),"",IF(IF('Recurring Schedule'!$N$12&gt;0,MOD($A63-'Recurring Schedule'!$F$12,'Recurring Schedule'!$N$12)=0,IF('Recurring Schedule'!$O$12&gt;0,AND(DAY($A63)=MIN(DAY('Recurring Schedule'!$F$12),DAY(EOMONTH($A63,0))),MOD((YEAR($A63)-YEAR('Recurring Schedule'!$F$12))*12+MONTH($A63)-MONTH('Recurring Schedule'!$F$12),'Recurring Schedule'!$O$12)=0),IF('Recurring Schedule'!$E$12="Weekdays",WEEKDAY($A63,2)&lt;=5,$A63='Recurring Schedule'!$F$12))),7,""))))</f>
        <v/>
      </c>
      <c r="I63">
        <f>IF('Recurring Schedule'!$C$13="","",IF('Recurring Schedule'!$F$13="","",IF(OR($A63&lt;'Recurring Schedule'!$F$13,$A63&gt;'Recurring Schedule'!$P$13),"",IF(IF('Recurring Schedule'!$N$13&gt;0,MOD($A63-'Recurring Schedule'!$F$13,'Recurring Schedule'!$N$13)=0,IF('Recurring Schedule'!$O$13&gt;0,AND(DAY($A63)=MIN(DAY('Recurring Schedule'!$F$13),DAY(EOMONTH($A63,0))),MOD((YEAR($A63)-YEAR('Recurring Schedule'!$F$13))*12+MONTH($A63)-MONTH('Recurring Schedule'!$F$13),'Recurring Schedule'!$O$13)=0),IF('Recurring Schedule'!$E$13="Weekdays",WEEKDAY($A63,2)&lt;=5,$A63='Recurring Schedule'!$F$13))),8,""))))</f>
        <v/>
      </c>
      <c r="J63">
        <f>IF('Recurring Schedule'!$C$14="","",IF('Recurring Schedule'!$F$14="","",IF(OR($A63&lt;'Recurring Schedule'!$F$14,$A63&gt;'Recurring Schedule'!$P$14),"",IF(IF('Recurring Schedule'!$N$14&gt;0,MOD($A63-'Recurring Schedule'!$F$14,'Recurring Schedule'!$N$14)=0,IF('Recurring Schedule'!$O$14&gt;0,AND(DAY($A63)=MIN(DAY('Recurring Schedule'!$F$14),DAY(EOMONTH($A63,0))),MOD((YEAR($A63)-YEAR('Recurring Schedule'!$F$14))*12+MONTH($A63)-MONTH('Recurring Schedule'!$F$14),'Recurring Schedule'!$O$14)=0),IF('Recurring Schedule'!$E$14="Weekdays",WEEKDAY($A63,2)&lt;=5,$A63='Recurring Schedule'!$F$14))),9,""))))</f>
        <v/>
      </c>
      <c r="K63">
        <f>IF('Recurring Schedule'!$C$15="","",IF('Recurring Schedule'!$F$15="","",IF(OR($A63&lt;'Recurring Schedule'!$F$15,$A63&gt;'Recurring Schedule'!$P$15),"",IF(IF('Recurring Schedule'!$N$15&gt;0,MOD($A63-'Recurring Schedule'!$F$15,'Recurring Schedule'!$N$15)=0,IF('Recurring Schedule'!$O$15&gt;0,AND(DAY($A63)=MIN(DAY('Recurring Schedule'!$F$15),DAY(EOMONTH($A63,0))),MOD((YEAR($A63)-YEAR('Recurring Schedule'!$F$15))*12+MONTH($A63)-MONTH('Recurring Schedule'!$F$15),'Recurring Schedule'!$O$15)=0),IF('Recurring Schedule'!$E$15="Weekdays",WEEKDAY($A63,2)&lt;=5,$A63='Recurring Schedule'!$F$15))),10,""))))</f>
        <v/>
      </c>
      <c r="L63">
        <f>IF('Recurring Schedule'!$C$16="","",IF('Recurring Schedule'!$F$16="","",IF(OR($A63&lt;'Recurring Schedule'!$F$16,$A63&gt;'Recurring Schedule'!$P$16),"",IF(IF('Recurring Schedule'!$N$16&gt;0,MOD($A63-'Recurring Schedule'!$F$16,'Recurring Schedule'!$N$16)=0,IF('Recurring Schedule'!$O$16&gt;0,AND(DAY($A63)=MIN(DAY('Recurring Schedule'!$F$16),DAY(EOMONTH($A63,0))),MOD((YEAR($A63)-YEAR('Recurring Schedule'!$F$16))*12+MONTH($A63)-MONTH('Recurring Schedule'!$F$16),'Recurring Schedule'!$O$16)=0),IF('Recurring Schedule'!$E$16="Weekdays",WEEKDAY($A63,2)&lt;=5,$A63='Recurring Schedule'!$F$16))),11,""))))</f>
        <v/>
      </c>
      <c r="M63">
        <f>IF('Recurring Schedule'!$C$17="","",IF('Recurring Schedule'!$F$17="","",IF(OR($A63&lt;'Recurring Schedule'!$F$17,$A63&gt;'Recurring Schedule'!$P$17),"",IF(IF('Recurring Schedule'!$N$17&gt;0,MOD($A63-'Recurring Schedule'!$F$17,'Recurring Schedule'!$N$17)=0,IF('Recurring Schedule'!$O$17&gt;0,AND(DAY($A63)=MIN(DAY('Recurring Schedule'!$F$17),DAY(EOMONTH($A63,0))),MOD((YEAR($A63)-YEAR('Recurring Schedule'!$F$17))*12+MONTH($A63)-MONTH('Recurring Schedule'!$F$17),'Recurring Schedule'!$O$17)=0),IF('Recurring Schedule'!$E$17="Weekdays",WEEKDAY($A63,2)&lt;=5,$A63='Recurring Schedule'!$F$17))),12,""))))</f>
        <v/>
      </c>
      <c r="N63">
        <f>IF('Recurring Schedule'!$C$18="","",IF('Recurring Schedule'!$F$18="","",IF(OR($A63&lt;'Recurring Schedule'!$F$18,$A63&gt;'Recurring Schedule'!$P$18),"",IF(IF('Recurring Schedule'!$N$18&gt;0,MOD($A63-'Recurring Schedule'!$F$18,'Recurring Schedule'!$N$18)=0,IF('Recurring Schedule'!$O$18&gt;0,AND(DAY($A63)=MIN(DAY('Recurring Schedule'!$F$18),DAY(EOMONTH($A63,0))),MOD((YEAR($A63)-YEAR('Recurring Schedule'!$F$18))*12+MONTH($A63)-MONTH('Recurring Schedule'!$F$18),'Recurring Schedule'!$O$18)=0),IF('Recurring Schedule'!$E$18="Weekdays",WEEKDAY($A63,2)&lt;=5,$A63='Recurring Schedule'!$F$18))),13,""))))</f>
        <v/>
      </c>
      <c r="O63">
        <f>IF('Recurring Schedule'!$C$19="","",IF('Recurring Schedule'!$F$19="","",IF(OR($A63&lt;'Recurring Schedule'!$F$19,$A63&gt;'Recurring Schedule'!$P$19),"",IF(IF('Recurring Schedule'!$N$19&gt;0,MOD($A63-'Recurring Schedule'!$F$19,'Recurring Schedule'!$N$19)=0,IF('Recurring Schedule'!$O$19&gt;0,AND(DAY($A63)=MIN(DAY('Recurring Schedule'!$F$19),DAY(EOMONTH($A63,0))),MOD((YEAR($A63)-YEAR('Recurring Schedule'!$F$19))*12+MONTH($A63)-MONTH('Recurring Schedule'!$F$19),'Recurring Schedule'!$O$19)=0),IF('Recurring Schedule'!$E$19="Weekdays",WEEKDAY($A63,2)&lt;=5,$A63='Recurring Schedule'!$F$19))),14,""))))</f>
        <v/>
      </c>
      <c r="P63">
        <f>IF('Recurring Schedule'!$C$20="","",IF('Recurring Schedule'!$F$20="","",IF(OR($A63&lt;'Recurring Schedule'!$F$20,$A63&gt;'Recurring Schedule'!$P$20),"",IF(IF('Recurring Schedule'!$N$20&gt;0,MOD($A63-'Recurring Schedule'!$F$20,'Recurring Schedule'!$N$20)=0,IF('Recurring Schedule'!$O$20&gt;0,AND(DAY($A63)=MIN(DAY('Recurring Schedule'!$F$20),DAY(EOMONTH($A63,0))),MOD((YEAR($A63)-YEAR('Recurring Schedule'!$F$20))*12+MONTH($A63)-MONTH('Recurring Schedule'!$F$20),'Recurring Schedule'!$O$20)=0),IF('Recurring Schedule'!$E$20="Weekdays",WEEKDAY($A63,2)&lt;=5,$A63='Recurring Schedule'!$F$20))),15,""))))</f>
        <v/>
      </c>
      <c r="Q63">
        <f>IF('Recurring Schedule'!$C$21="","",IF('Recurring Schedule'!$F$21="","",IF(OR($A63&lt;'Recurring Schedule'!$F$21,$A63&gt;'Recurring Schedule'!$P$21),"",IF(IF('Recurring Schedule'!$N$21&gt;0,MOD($A63-'Recurring Schedule'!$F$21,'Recurring Schedule'!$N$21)=0,IF('Recurring Schedule'!$O$21&gt;0,AND(DAY($A63)=MIN(DAY('Recurring Schedule'!$F$21),DAY(EOMONTH($A63,0))),MOD((YEAR($A63)-YEAR('Recurring Schedule'!$F$21))*12+MONTH($A63)-MONTH('Recurring Schedule'!$F$21),'Recurring Schedule'!$O$21)=0),IF('Recurring Schedule'!$E$21="Weekdays",WEEKDAY($A63,2)&lt;=5,$A63='Recurring Schedule'!$F$21))),16,""))))</f>
        <v/>
      </c>
      <c r="R63">
        <f>IF('Recurring Schedule'!$C$22="","",IF('Recurring Schedule'!$F$22="","",IF(OR($A63&lt;'Recurring Schedule'!$F$22,$A63&gt;'Recurring Schedule'!$P$22),"",IF(IF('Recurring Schedule'!$N$22&gt;0,MOD($A63-'Recurring Schedule'!$F$22,'Recurring Schedule'!$N$22)=0,IF('Recurring Schedule'!$O$22&gt;0,AND(DAY($A63)=MIN(DAY('Recurring Schedule'!$F$22),DAY(EOMONTH($A63,0))),MOD((YEAR($A63)-YEAR('Recurring Schedule'!$F$22))*12+MONTH($A63)-MONTH('Recurring Schedule'!$F$22),'Recurring Schedule'!$O$22)=0),IF('Recurring Schedule'!$E$22="Weekdays",WEEKDAY($A63,2)&lt;=5,$A63='Recurring Schedule'!$F$22))),17,""))))</f>
        <v/>
      </c>
      <c r="S63">
        <f>IF('Recurring Schedule'!$C$23="","",IF('Recurring Schedule'!$F$23="","",IF(OR($A63&lt;'Recurring Schedule'!$F$23,$A63&gt;'Recurring Schedule'!$P$23),"",IF(IF('Recurring Schedule'!$N$23&gt;0,MOD($A63-'Recurring Schedule'!$F$23,'Recurring Schedule'!$N$23)=0,IF('Recurring Schedule'!$O$23&gt;0,AND(DAY($A63)=MIN(DAY('Recurring Schedule'!$F$23),DAY(EOMONTH($A63,0))),MOD((YEAR($A63)-YEAR('Recurring Schedule'!$F$23))*12+MONTH($A63)-MONTH('Recurring Schedule'!$F$23),'Recurring Schedule'!$O$23)=0),IF('Recurring Schedule'!$E$23="Weekdays",WEEKDAY($A63,2)&lt;=5,$A63='Recurring Schedule'!$F$23))),18,""))))</f>
        <v/>
      </c>
      <c r="T63">
        <f>IF('Recurring Schedule'!$C$24="","",IF('Recurring Schedule'!$F$24="","",IF(OR($A63&lt;'Recurring Schedule'!$F$24,$A63&gt;'Recurring Schedule'!$P$24),"",IF(IF('Recurring Schedule'!$N$24&gt;0,MOD($A63-'Recurring Schedule'!$F$24,'Recurring Schedule'!$N$24)=0,IF('Recurring Schedule'!$O$24&gt;0,AND(DAY($A63)=MIN(DAY('Recurring Schedule'!$F$24),DAY(EOMONTH($A63,0))),MOD((YEAR($A63)-YEAR('Recurring Schedule'!$F$24))*12+MONTH($A63)-MONTH('Recurring Schedule'!$F$24),'Recurring Schedule'!$O$24)=0),IF('Recurring Schedule'!$E$24="Weekdays",WEEKDAY($A63,2)&lt;=5,$A63='Recurring Schedule'!$F$24))),19,""))))</f>
        <v/>
      </c>
      <c r="U63">
        <f>IF('Recurring Schedule'!$C$25="","",IF('Recurring Schedule'!$F$25="","",IF(OR($A63&lt;'Recurring Schedule'!$F$25,$A63&gt;'Recurring Schedule'!$P$25),"",IF(IF('Recurring Schedule'!$N$25&gt;0,MOD($A63-'Recurring Schedule'!$F$25,'Recurring Schedule'!$N$25)=0,IF('Recurring Schedule'!$O$25&gt;0,AND(DAY($A63)=MIN(DAY('Recurring Schedule'!$F$25),DAY(EOMONTH($A63,0))),MOD((YEAR($A63)-YEAR('Recurring Schedule'!$F$25))*12+MONTH($A63)-MONTH('Recurring Schedule'!$F$25),'Recurring Schedule'!$O$25)=0),IF('Recurring Schedule'!$E$25="Weekdays",WEEKDAY($A63,2)&lt;=5,$A63='Recurring Schedule'!$F$25))),20,""))))</f>
        <v/>
      </c>
      <c r="V63">
        <f>IF('Recurring Schedule'!$C$26="","",IF('Recurring Schedule'!$F$26="","",IF(OR($A63&lt;'Recurring Schedule'!$F$26,$A63&gt;'Recurring Schedule'!$P$26),"",IF(IF('Recurring Schedule'!$N$26&gt;0,MOD($A63-'Recurring Schedule'!$F$26,'Recurring Schedule'!$N$26)=0,IF('Recurring Schedule'!$O$26&gt;0,AND(DAY($A63)=MIN(DAY('Recurring Schedule'!$F$26),DAY(EOMONTH($A63,0))),MOD((YEAR($A63)-YEAR('Recurring Schedule'!$F$26))*12+MONTH($A63)-MONTH('Recurring Schedule'!$F$26),'Recurring Schedule'!$O$26)=0),IF('Recurring Schedule'!$E$26="Weekdays",WEEKDAY($A63,2)&lt;=5,$A63='Recurring Schedule'!$F$26))),21,""))))</f>
        <v/>
      </c>
      <c r="W63">
        <f>IF('Recurring Schedule'!$C$27="","",IF('Recurring Schedule'!$F$27="","",IF(OR($A63&lt;'Recurring Schedule'!$F$27,$A63&gt;'Recurring Schedule'!$P$27),"",IF(IF('Recurring Schedule'!$N$27&gt;0,MOD($A63-'Recurring Schedule'!$F$27,'Recurring Schedule'!$N$27)=0,IF('Recurring Schedule'!$O$27&gt;0,AND(DAY($A63)=MIN(DAY('Recurring Schedule'!$F$27),DAY(EOMONTH($A63,0))),MOD((YEAR($A63)-YEAR('Recurring Schedule'!$F$27))*12+MONTH($A63)-MONTH('Recurring Schedule'!$F$27),'Recurring Schedule'!$O$27)=0),IF('Recurring Schedule'!$E$27="Weekdays",WEEKDAY($A63,2)&lt;=5,$A63='Recurring Schedule'!$F$27))),22,""))))</f>
        <v/>
      </c>
      <c r="X63">
        <f>IF('Recurring Schedule'!$C$28="","",IF('Recurring Schedule'!$F$28="","",IF(OR($A63&lt;'Recurring Schedule'!$F$28,$A63&gt;'Recurring Schedule'!$P$28),"",IF(IF('Recurring Schedule'!$N$28&gt;0,MOD($A63-'Recurring Schedule'!$F$28,'Recurring Schedule'!$N$28)=0,IF('Recurring Schedule'!$O$28&gt;0,AND(DAY($A63)=MIN(DAY('Recurring Schedule'!$F$28),DAY(EOMONTH($A63,0))),MOD((YEAR($A63)-YEAR('Recurring Schedule'!$F$28))*12+MONTH($A63)-MONTH('Recurring Schedule'!$F$28),'Recurring Schedule'!$O$28)=0),IF('Recurring Schedule'!$E$28="Weekdays",WEEKDAY($A63,2)&lt;=5,$A63='Recurring Schedule'!$F$28))),23,""))))</f>
        <v/>
      </c>
      <c r="Y63">
        <f>IF('Recurring Schedule'!$C$29="","",IF('Recurring Schedule'!$F$29="","",IF(OR($A63&lt;'Recurring Schedule'!$F$29,$A63&gt;'Recurring Schedule'!$P$29),"",IF(IF('Recurring Schedule'!$N$29&gt;0,MOD($A63-'Recurring Schedule'!$F$29,'Recurring Schedule'!$N$29)=0,IF('Recurring Schedule'!$O$29&gt;0,AND(DAY($A63)=MIN(DAY('Recurring Schedule'!$F$29),DAY(EOMONTH($A63,0))),MOD((YEAR($A63)-YEAR('Recurring Schedule'!$F$29))*12+MONTH($A63)-MONTH('Recurring Schedule'!$F$29),'Recurring Schedule'!$O$29)=0),IF('Recurring Schedule'!$E$29="Weekdays",WEEKDAY($A63,2)&lt;=5,$A63='Recurring Schedule'!$F$29))),24,""))))</f>
        <v/>
      </c>
      <c r="Z63">
        <f>IF('Recurring Schedule'!$C$30="","",IF('Recurring Schedule'!$F$30="","",IF(OR($A63&lt;'Recurring Schedule'!$F$30,$A63&gt;'Recurring Schedule'!$P$30),"",IF(IF('Recurring Schedule'!$N$30&gt;0,MOD($A63-'Recurring Schedule'!$F$30,'Recurring Schedule'!$N$30)=0,IF('Recurring Schedule'!$O$30&gt;0,AND(DAY($A63)=MIN(DAY('Recurring Schedule'!$F$30),DAY(EOMONTH($A63,0))),MOD((YEAR($A63)-YEAR('Recurring Schedule'!$F$30))*12+MONTH($A63)-MONTH('Recurring Schedule'!$F$30),'Recurring Schedule'!$O$30)=0),IF('Recurring Schedule'!$E$30="Weekdays",WEEKDAY($A63,2)&lt;=5,$A63='Recurring Schedule'!$F$30))),25,""))))</f>
        <v/>
      </c>
      <c r="AA63">
        <f>IF('Recurring Schedule'!$C$31="","",IF('Recurring Schedule'!$F$31="","",IF(OR($A63&lt;'Recurring Schedule'!$F$31,$A63&gt;'Recurring Schedule'!$P$31),"",IF(IF('Recurring Schedule'!$N$31&gt;0,MOD($A63-'Recurring Schedule'!$F$31,'Recurring Schedule'!$N$31)=0,IF('Recurring Schedule'!$O$31&gt;0,AND(DAY($A63)=MIN(DAY('Recurring Schedule'!$F$31),DAY(EOMONTH($A63,0))),MOD((YEAR($A63)-YEAR('Recurring Schedule'!$F$31))*12+MONTH($A63)-MONTH('Recurring Schedule'!$F$31),'Recurring Schedule'!$O$31)=0),IF('Recurring Schedule'!$E$31="Weekdays",WEEKDAY($A63,2)&lt;=5,$A63='Recurring Schedule'!$F$31))),26,""))))</f>
        <v/>
      </c>
      <c r="AB63">
        <f>IF('Recurring Schedule'!$C$32="","",IF('Recurring Schedule'!$F$32="","",IF(OR($A63&lt;'Recurring Schedule'!$F$32,$A63&gt;'Recurring Schedule'!$P$32),"",IF(IF('Recurring Schedule'!$N$32&gt;0,MOD($A63-'Recurring Schedule'!$F$32,'Recurring Schedule'!$N$32)=0,IF('Recurring Schedule'!$O$32&gt;0,AND(DAY($A63)=MIN(DAY('Recurring Schedule'!$F$32),DAY(EOMONTH($A63,0))),MOD((YEAR($A63)-YEAR('Recurring Schedule'!$F$32))*12+MONTH($A63)-MONTH('Recurring Schedule'!$F$32),'Recurring Schedule'!$O$32)=0),IF('Recurring Schedule'!$E$32="Weekdays",WEEKDAY($A63,2)&lt;=5,$A63='Recurring Schedule'!$F$32))),27,""))))</f>
        <v/>
      </c>
      <c r="AC63">
        <f>IF('Recurring Schedule'!$C$33="","",IF('Recurring Schedule'!$F$33="","",IF(OR($A63&lt;'Recurring Schedule'!$F$33,$A63&gt;'Recurring Schedule'!$P$33),"",IF(IF('Recurring Schedule'!$N$33&gt;0,MOD($A63-'Recurring Schedule'!$F$33,'Recurring Schedule'!$N$33)=0,IF('Recurring Schedule'!$O$33&gt;0,AND(DAY($A63)=MIN(DAY('Recurring Schedule'!$F$33),DAY(EOMONTH($A63,0))),MOD((YEAR($A63)-YEAR('Recurring Schedule'!$F$33))*12+MONTH($A63)-MONTH('Recurring Schedule'!$F$33),'Recurring Schedule'!$O$33)=0),IF('Recurring Schedule'!$E$33="Weekdays",WEEKDAY($A63,2)&lt;=5,$A63='Recurring Schedule'!$F$33))),28,""))))</f>
        <v/>
      </c>
      <c r="AD63">
        <f>IF('Recurring Schedule'!$C$34="","",IF('Recurring Schedule'!$F$34="","",IF(OR($A63&lt;'Recurring Schedule'!$F$34,$A63&gt;'Recurring Schedule'!$P$34),"",IF(IF('Recurring Schedule'!$N$34&gt;0,MOD($A63-'Recurring Schedule'!$F$34,'Recurring Schedule'!$N$34)=0,IF('Recurring Schedule'!$O$34&gt;0,AND(DAY($A63)=MIN(DAY('Recurring Schedule'!$F$34),DAY(EOMONTH($A63,0))),MOD((YEAR($A63)-YEAR('Recurring Schedule'!$F$34))*12+MONTH($A63)-MONTH('Recurring Schedule'!$F$34),'Recurring Schedule'!$O$34)=0),IF('Recurring Schedule'!$E$34="Weekdays",WEEKDAY($A63,2)&lt;=5,$A63='Recurring Schedule'!$F$34))),29,""))))</f>
        <v/>
      </c>
      <c r="AE63">
        <f>IF('Recurring Schedule'!$C$35="","",IF('Recurring Schedule'!$F$35="","",IF(OR($A63&lt;'Recurring Schedule'!$F$35,$A63&gt;'Recurring Schedule'!$P$35),"",IF(IF('Recurring Schedule'!$N$35&gt;0,MOD($A63-'Recurring Schedule'!$F$35,'Recurring Schedule'!$N$35)=0,IF('Recurring Schedule'!$O$35&gt;0,AND(DAY($A63)=MIN(DAY('Recurring Schedule'!$F$35),DAY(EOMONTH($A63,0))),MOD((YEAR($A63)-YEAR('Recurring Schedule'!$F$35))*12+MONTH($A63)-MONTH('Recurring Schedule'!$F$35),'Recurring Schedule'!$O$35)=0),IF('Recurring Schedule'!$E$35="Weekdays",WEEKDAY($A63,2)&lt;=5,$A63='Recurring Schedule'!$F$35))),30,""))))</f>
        <v/>
      </c>
      <c r="AF63">
        <f>IF('Recurring Schedule'!$C$36="","",IF('Recurring Schedule'!$F$36="","",IF(OR($A63&lt;'Recurring Schedule'!$F$36,$A63&gt;'Recurring Schedule'!$P$36),"",IF(IF('Recurring Schedule'!$N$36&gt;0,MOD($A63-'Recurring Schedule'!$F$36,'Recurring Schedule'!$N$36)=0,IF('Recurring Schedule'!$O$36&gt;0,AND(DAY($A63)=MIN(DAY('Recurring Schedule'!$F$36),DAY(EOMONTH($A63,0))),MOD((YEAR($A63)-YEAR('Recurring Schedule'!$F$36))*12+MONTH($A63)-MONTH('Recurring Schedule'!$F$36),'Recurring Schedule'!$O$36)=0),IF('Recurring Schedule'!$E$36="Weekdays",WEEKDAY($A63,2)&lt;=5,$A63='Recurring Schedule'!$F$36))),31,""))))</f>
        <v/>
      </c>
      <c r="AG63">
        <f>IF('Recurring Schedule'!$C$37="","",IF('Recurring Schedule'!$F$37="","",IF(OR($A63&lt;'Recurring Schedule'!$F$37,$A63&gt;'Recurring Schedule'!$P$37),"",IF(IF('Recurring Schedule'!$N$37&gt;0,MOD($A63-'Recurring Schedule'!$F$37,'Recurring Schedule'!$N$37)=0,IF('Recurring Schedule'!$O$37&gt;0,AND(DAY($A63)=MIN(DAY('Recurring Schedule'!$F$37),DAY(EOMONTH($A63,0))),MOD((YEAR($A63)-YEAR('Recurring Schedule'!$F$37))*12+MONTH($A63)-MONTH('Recurring Schedule'!$F$37),'Recurring Schedule'!$O$37)=0),IF('Recurring Schedule'!$E$37="Weekdays",WEEKDAY($A63,2)&lt;=5,$A63='Recurring Schedule'!$F$37))),32,""))))</f>
        <v/>
      </c>
      <c r="AH63">
        <f>IF('Recurring Schedule'!$C$38="","",IF('Recurring Schedule'!$F$38="","",IF(OR($A63&lt;'Recurring Schedule'!$F$38,$A63&gt;'Recurring Schedule'!$P$38),"",IF(IF('Recurring Schedule'!$N$38&gt;0,MOD($A63-'Recurring Schedule'!$F$38,'Recurring Schedule'!$N$38)=0,IF('Recurring Schedule'!$O$38&gt;0,AND(DAY($A63)=MIN(DAY('Recurring Schedule'!$F$38),DAY(EOMONTH($A63,0))),MOD((YEAR($A63)-YEAR('Recurring Schedule'!$F$38))*12+MONTH($A63)-MONTH('Recurring Schedule'!$F$38),'Recurring Schedule'!$O$38)=0),IF('Recurring Schedule'!$E$38="Weekdays",WEEKDAY($A63,2)&lt;=5,$A63='Recurring Schedule'!$F$38))),33,""))))</f>
        <v/>
      </c>
      <c r="AI63">
        <f>IF('Recurring Schedule'!$C$39="","",IF('Recurring Schedule'!$F$39="","",IF(OR($A63&lt;'Recurring Schedule'!$F$39,$A63&gt;'Recurring Schedule'!$P$39),"",IF(IF('Recurring Schedule'!$N$39&gt;0,MOD($A63-'Recurring Schedule'!$F$39,'Recurring Schedule'!$N$39)=0,IF('Recurring Schedule'!$O$39&gt;0,AND(DAY($A63)=MIN(DAY('Recurring Schedule'!$F$39),DAY(EOMONTH($A63,0))),MOD((YEAR($A63)-YEAR('Recurring Schedule'!$F$39))*12+MONTH($A63)-MONTH('Recurring Schedule'!$F$39),'Recurring Schedule'!$O$39)=0),IF('Recurring Schedule'!$E$39="Weekdays",WEEKDAY($A63,2)&lt;=5,$A63='Recurring Schedule'!$F$39))),34,""))))</f>
        <v/>
      </c>
      <c r="AJ63">
        <f>IF('Recurring Schedule'!$C$40="","",IF('Recurring Schedule'!$F$40="","",IF(OR($A63&lt;'Recurring Schedule'!$F$40,$A63&gt;'Recurring Schedule'!$P$40),"",IF(IF('Recurring Schedule'!$N$40&gt;0,MOD($A63-'Recurring Schedule'!$F$40,'Recurring Schedule'!$N$40)=0,IF('Recurring Schedule'!$O$40&gt;0,AND(DAY($A63)=MIN(DAY('Recurring Schedule'!$F$40),DAY(EOMONTH($A63,0))),MOD((YEAR($A63)-YEAR('Recurring Schedule'!$F$40))*12+MONTH($A63)-MONTH('Recurring Schedule'!$F$40),'Recurring Schedule'!$O$40)=0),IF('Recurring Schedule'!$E$40="Weekdays",WEEKDAY($A63,2)&lt;=5,$A63='Recurring Schedule'!$F$40))),35,""))))</f>
        <v/>
      </c>
      <c r="AK63">
        <f>IF('Recurring Schedule'!$C$41="","",IF('Recurring Schedule'!$F$41="","",IF(OR($A63&lt;'Recurring Schedule'!$F$41,$A63&gt;'Recurring Schedule'!$P$41),"",IF(IF('Recurring Schedule'!$N$41&gt;0,MOD($A63-'Recurring Schedule'!$F$41,'Recurring Schedule'!$N$41)=0,IF('Recurring Schedule'!$O$41&gt;0,AND(DAY($A63)=MIN(DAY('Recurring Schedule'!$F$41),DAY(EOMONTH($A63,0))),MOD((YEAR($A63)-YEAR('Recurring Schedule'!$F$41))*12+MONTH($A63)-MONTH('Recurring Schedule'!$F$41),'Recurring Schedule'!$O$41)=0),IF('Recurring Schedule'!$E$41="Weekdays",WEEKDAY($A63,2)&lt;=5,$A63='Recurring Schedule'!$F$41))),36,""))))</f>
        <v/>
      </c>
      <c r="AL63">
        <f>IF('Recurring Schedule'!$C$42="","",IF('Recurring Schedule'!$F$42="","",IF(OR($A63&lt;'Recurring Schedule'!$F$42,$A63&gt;'Recurring Schedule'!$P$42),"",IF(IF('Recurring Schedule'!$N$42&gt;0,MOD($A63-'Recurring Schedule'!$F$42,'Recurring Schedule'!$N$42)=0,IF('Recurring Schedule'!$O$42&gt;0,AND(DAY($A63)=MIN(DAY('Recurring Schedule'!$F$42),DAY(EOMONTH($A63,0))),MOD((YEAR($A63)-YEAR('Recurring Schedule'!$F$42))*12+MONTH($A63)-MONTH('Recurring Schedule'!$F$42),'Recurring Schedule'!$O$42)=0),IF('Recurring Schedule'!$E$42="Weekdays",WEEKDAY($A63,2)&lt;=5,$A63='Recurring Schedule'!$F$42))),37,""))))</f>
        <v/>
      </c>
      <c r="AM63">
        <f>IF('Recurring Schedule'!$C$43="","",IF('Recurring Schedule'!$F$43="","",IF(OR($A63&lt;'Recurring Schedule'!$F$43,$A63&gt;'Recurring Schedule'!$P$43),"",IF(IF('Recurring Schedule'!$N$43&gt;0,MOD($A63-'Recurring Schedule'!$F$43,'Recurring Schedule'!$N$43)=0,IF('Recurring Schedule'!$O$43&gt;0,AND(DAY($A63)=MIN(DAY('Recurring Schedule'!$F$43),DAY(EOMONTH($A63,0))),MOD((YEAR($A63)-YEAR('Recurring Schedule'!$F$43))*12+MONTH($A63)-MONTH('Recurring Schedule'!$F$43),'Recurring Schedule'!$O$43)=0),IF('Recurring Schedule'!$E$43="Weekdays",WEEKDAY($A63,2)&lt;=5,$A63='Recurring Schedule'!$F$43))),38,""))))</f>
        <v/>
      </c>
      <c r="AN63">
        <f>IF('Recurring Schedule'!$C$44="","",IF('Recurring Schedule'!$F$44="","",IF(OR($A63&lt;'Recurring Schedule'!$F$44,$A63&gt;'Recurring Schedule'!$P$44),"",IF(IF('Recurring Schedule'!$N$44&gt;0,MOD($A63-'Recurring Schedule'!$F$44,'Recurring Schedule'!$N$44)=0,IF('Recurring Schedule'!$O$44&gt;0,AND(DAY($A63)=MIN(DAY('Recurring Schedule'!$F$44),DAY(EOMONTH($A63,0))),MOD((YEAR($A63)-YEAR('Recurring Schedule'!$F$44))*12+MONTH($A63)-MONTH('Recurring Schedule'!$F$44),'Recurring Schedule'!$O$44)=0),IF('Recurring Schedule'!$E$44="Weekdays",WEEKDAY($A63,2)&lt;=5,$A63='Recurring Schedule'!$F$44))),39,""))))</f>
        <v/>
      </c>
      <c r="AO63">
        <f>IF('Recurring Schedule'!$C$45="","",IF('Recurring Schedule'!$F$45="","",IF(OR($A63&lt;'Recurring Schedule'!$F$45,$A63&gt;'Recurring Schedule'!$P$45),"",IF(IF('Recurring Schedule'!$N$45&gt;0,MOD($A63-'Recurring Schedule'!$F$45,'Recurring Schedule'!$N$45)=0,IF('Recurring Schedule'!$O$45&gt;0,AND(DAY($A63)=MIN(DAY('Recurring Schedule'!$F$45),DAY(EOMONTH($A63,0))),MOD((YEAR($A63)-YEAR('Recurring Schedule'!$F$45))*12+MONTH($A63)-MONTH('Recurring Schedule'!$F$45),'Recurring Schedule'!$O$45)=0),IF('Recurring Schedule'!$E$45="Weekdays",WEEKDAY($A63,2)&lt;=5,$A63='Recurring Schedule'!$F$45))),40,""))))</f>
        <v/>
      </c>
      <c r="AP63">
        <f>COUNT(B63:AO63)</f>
        <v/>
      </c>
      <c r="AQ63">
        <f>AQ62+AP62</f>
        <v/>
      </c>
      <c r="AS63" t="inlineStr">
        <is>
          <t>R</t>
        </is>
      </c>
      <c r="AT63" t="n">
        <v>67</v>
      </c>
      <c r="AU63">
        <f>'Recurring Log'!C67&amp;""</f>
        <v/>
      </c>
      <c r="AV63">
        <f>'Recurring Log'!D67&amp;""</f>
        <v/>
      </c>
      <c r="AW63">
        <f>IF('Recurring Log'!E67="","",'Recurring Log'!E67)</f>
        <v/>
      </c>
      <c r="AX63">
        <f>IF('Recurring Log'!G67="","",'Recurring Log'!G67)</f>
        <v/>
      </c>
      <c r="AY63">
        <f>IF('Recurring Log'!H67="","",'Recurring Log'!H67)</f>
        <v/>
      </c>
      <c r="AZ63">
        <f>IF(AU63="","",IF('Recurring Log'!J67="","Not Started",'Recurring Log'!J67))</f>
        <v/>
      </c>
      <c r="BA63">
        <f>'Recurring Log'!L67&amp;""</f>
        <v/>
      </c>
      <c r="BB63">
        <f>'Recurring Log'!M67&amp;""</f>
        <v/>
      </c>
      <c r="BC63">
        <f>'Recurring Log'!N67&amp;""</f>
        <v/>
      </c>
      <c r="BD63">
        <f>'Recurring Log'!O67&amp;""</f>
        <v/>
      </c>
      <c r="BE63">
        <f>IF('Recurring Log'!K67="","",'Recurring Log'!K67)</f>
        <v/>
      </c>
      <c r="BF63">
        <f>IFERROR(MATCH(BA63,Setup!$L$6:$L$9,0),5)</f>
        <v/>
      </c>
      <c r="BG63">
        <f>IF(OR(AZ63="Done",AZ63="Cancelled"),1,0)</f>
        <v/>
      </c>
      <c r="BH63">
        <f>IF(AND(AU63&lt;&gt;"",ISNUMBER(AW63)),1,0)</f>
        <v/>
      </c>
      <c r="BI63">
        <f>IF(BH63=0,0,IF(AND(AW63&gt;='Tasks Filter'!$F$3,AW63&lt;='Tasks Filter'!$F$4,OR('Tasks Filter'!$I$3="",ISNUMBER(SEARCH('Tasks Filter'!$I$3,AU63))),OR('Tasks Filter'!$I$4="",BF63=IFERROR(MATCH('Tasks Filter'!$I$4,Setup!$L$6:$L$9,0),0)),OR('Tasks Filter'!$I$5="Both",AND('Tasks Filter'!$I$5="Yes",BB63="✓"),AND('Tasks Filter'!$I$5="No",BB63&lt;&gt;"✓")),OR('Tasks Filter'!$L$3="",AV63='Tasks Filter'!$L$3),OR('Tasks Filter'!$L$4="",AZ63='Tasks Filter'!$L$4),OR('Tasks Filter'!$L$5="",BC63='Tasks Filter'!$L$5),OR('Tasks Filter'!$O$3="",BD63='Tasks Filter'!$O$3),OR('Tasks Filter'!$O$4="Yes",BG63=0)),1,0))</f>
        <v/>
      </c>
      <c r="BJ63">
        <f>IF(BH63=0,"",IF('Tasks Filter'!$F$6="Descending",-1,1)*CHOOSE(MATCH('Tasks Filter'!$F$5,Lists!$G$2:$G$6,0),AW63,BF63,IFERROR(MATCH(AV63,Setup!$F$6:$F$15,0),99),IFERROR(MATCH(BC63,Setup!$H$6:$H$15,0),99),IFERROR(MATCH(AZ63,Setup!$J$6:$J$11,0),99))*1E+9+(AW63-40000)*10000+62)</f>
        <v/>
      </c>
      <c r="BK63">
        <f>IF(BI63=1,BJ63,"")</f>
        <v/>
      </c>
      <c r="BL63">
        <f>IF(AND(BH63=1,BG63=0,N(AW63)&lt;Setup!$D$7),(AW63-40000)*10000+62,"")</f>
        <v/>
      </c>
      <c r="BM63">
        <f>IF(AND(BH63=1,AZ63&lt;&gt;"Cancelled",N(AW63)&gt;=Dashboard!$AB$3,N(AW63)&lt;=Dashboard!$AB$3+6),(AW63-40000)*100000+BF63*10000+62,"")</f>
        <v/>
      </c>
      <c r="BN63">
        <f>IF(AND(BH63=1,AZ63&lt;&gt;"Cancelled"),BF63*10000+62,"")</f>
        <v/>
      </c>
    </row>
    <row r="64">
      <c r="A64">
        <f>Setup!$D$5+62</f>
        <v/>
      </c>
      <c r="B64">
        <f>IF('Recurring Schedule'!$C$6="","",IF('Recurring Schedule'!$F$6="","",IF(OR($A64&lt;'Recurring Schedule'!$F$6,$A64&gt;'Recurring Schedule'!$P$6),"",IF(IF('Recurring Schedule'!$N$6&gt;0,MOD($A64-'Recurring Schedule'!$F$6,'Recurring Schedule'!$N$6)=0,IF('Recurring Schedule'!$O$6&gt;0,AND(DAY($A64)=MIN(DAY('Recurring Schedule'!$F$6),DAY(EOMONTH($A64,0))),MOD((YEAR($A64)-YEAR('Recurring Schedule'!$F$6))*12+MONTH($A64)-MONTH('Recurring Schedule'!$F$6),'Recurring Schedule'!$O$6)=0),IF('Recurring Schedule'!$E$6="Weekdays",WEEKDAY($A64,2)&lt;=5,$A64='Recurring Schedule'!$F$6))),1,""))))</f>
        <v/>
      </c>
      <c r="C64">
        <f>IF('Recurring Schedule'!$C$7="","",IF('Recurring Schedule'!$F$7="","",IF(OR($A64&lt;'Recurring Schedule'!$F$7,$A64&gt;'Recurring Schedule'!$P$7),"",IF(IF('Recurring Schedule'!$N$7&gt;0,MOD($A64-'Recurring Schedule'!$F$7,'Recurring Schedule'!$N$7)=0,IF('Recurring Schedule'!$O$7&gt;0,AND(DAY($A64)=MIN(DAY('Recurring Schedule'!$F$7),DAY(EOMONTH($A64,0))),MOD((YEAR($A64)-YEAR('Recurring Schedule'!$F$7))*12+MONTH($A64)-MONTH('Recurring Schedule'!$F$7),'Recurring Schedule'!$O$7)=0),IF('Recurring Schedule'!$E$7="Weekdays",WEEKDAY($A64,2)&lt;=5,$A64='Recurring Schedule'!$F$7))),2,""))))</f>
        <v/>
      </c>
      <c r="D64">
        <f>IF('Recurring Schedule'!$C$8="","",IF('Recurring Schedule'!$F$8="","",IF(OR($A64&lt;'Recurring Schedule'!$F$8,$A64&gt;'Recurring Schedule'!$P$8),"",IF(IF('Recurring Schedule'!$N$8&gt;0,MOD($A64-'Recurring Schedule'!$F$8,'Recurring Schedule'!$N$8)=0,IF('Recurring Schedule'!$O$8&gt;0,AND(DAY($A64)=MIN(DAY('Recurring Schedule'!$F$8),DAY(EOMONTH($A64,0))),MOD((YEAR($A64)-YEAR('Recurring Schedule'!$F$8))*12+MONTH($A64)-MONTH('Recurring Schedule'!$F$8),'Recurring Schedule'!$O$8)=0),IF('Recurring Schedule'!$E$8="Weekdays",WEEKDAY($A64,2)&lt;=5,$A64='Recurring Schedule'!$F$8))),3,""))))</f>
        <v/>
      </c>
      <c r="E64">
        <f>IF('Recurring Schedule'!$C$9="","",IF('Recurring Schedule'!$F$9="","",IF(OR($A64&lt;'Recurring Schedule'!$F$9,$A64&gt;'Recurring Schedule'!$P$9),"",IF(IF('Recurring Schedule'!$N$9&gt;0,MOD($A64-'Recurring Schedule'!$F$9,'Recurring Schedule'!$N$9)=0,IF('Recurring Schedule'!$O$9&gt;0,AND(DAY($A64)=MIN(DAY('Recurring Schedule'!$F$9),DAY(EOMONTH($A64,0))),MOD((YEAR($A64)-YEAR('Recurring Schedule'!$F$9))*12+MONTH($A64)-MONTH('Recurring Schedule'!$F$9),'Recurring Schedule'!$O$9)=0),IF('Recurring Schedule'!$E$9="Weekdays",WEEKDAY($A64,2)&lt;=5,$A64='Recurring Schedule'!$F$9))),4,""))))</f>
        <v/>
      </c>
      <c r="F64">
        <f>IF('Recurring Schedule'!$C$10="","",IF('Recurring Schedule'!$F$10="","",IF(OR($A64&lt;'Recurring Schedule'!$F$10,$A64&gt;'Recurring Schedule'!$P$10),"",IF(IF('Recurring Schedule'!$N$10&gt;0,MOD($A64-'Recurring Schedule'!$F$10,'Recurring Schedule'!$N$10)=0,IF('Recurring Schedule'!$O$10&gt;0,AND(DAY($A64)=MIN(DAY('Recurring Schedule'!$F$10),DAY(EOMONTH($A64,0))),MOD((YEAR($A64)-YEAR('Recurring Schedule'!$F$10))*12+MONTH($A64)-MONTH('Recurring Schedule'!$F$10),'Recurring Schedule'!$O$10)=0),IF('Recurring Schedule'!$E$10="Weekdays",WEEKDAY($A64,2)&lt;=5,$A64='Recurring Schedule'!$F$10))),5,""))))</f>
        <v/>
      </c>
      <c r="G64">
        <f>IF('Recurring Schedule'!$C$11="","",IF('Recurring Schedule'!$F$11="","",IF(OR($A64&lt;'Recurring Schedule'!$F$11,$A64&gt;'Recurring Schedule'!$P$11),"",IF(IF('Recurring Schedule'!$N$11&gt;0,MOD($A64-'Recurring Schedule'!$F$11,'Recurring Schedule'!$N$11)=0,IF('Recurring Schedule'!$O$11&gt;0,AND(DAY($A64)=MIN(DAY('Recurring Schedule'!$F$11),DAY(EOMONTH($A64,0))),MOD((YEAR($A64)-YEAR('Recurring Schedule'!$F$11))*12+MONTH($A64)-MONTH('Recurring Schedule'!$F$11),'Recurring Schedule'!$O$11)=0),IF('Recurring Schedule'!$E$11="Weekdays",WEEKDAY($A64,2)&lt;=5,$A64='Recurring Schedule'!$F$11))),6,""))))</f>
        <v/>
      </c>
      <c r="H64">
        <f>IF('Recurring Schedule'!$C$12="","",IF('Recurring Schedule'!$F$12="","",IF(OR($A64&lt;'Recurring Schedule'!$F$12,$A64&gt;'Recurring Schedule'!$P$12),"",IF(IF('Recurring Schedule'!$N$12&gt;0,MOD($A64-'Recurring Schedule'!$F$12,'Recurring Schedule'!$N$12)=0,IF('Recurring Schedule'!$O$12&gt;0,AND(DAY($A64)=MIN(DAY('Recurring Schedule'!$F$12),DAY(EOMONTH($A64,0))),MOD((YEAR($A64)-YEAR('Recurring Schedule'!$F$12))*12+MONTH($A64)-MONTH('Recurring Schedule'!$F$12),'Recurring Schedule'!$O$12)=0),IF('Recurring Schedule'!$E$12="Weekdays",WEEKDAY($A64,2)&lt;=5,$A64='Recurring Schedule'!$F$12))),7,""))))</f>
        <v/>
      </c>
      <c r="I64">
        <f>IF('Recurring Schedule'!$C$13="","",IF('Recurring Schedule'!$F$13="","",IF(OR($A64&lt;'Recurring Schedule'!$F$13,$A64&gt;'Recurring Schedule'!$P$13),"",IF(IF('Recurring Schedule'!$N$13&gt;0,MOD($A64-'Recurring Schedule'!$F$13,'Recurring Schedule'!$N$13)=0,IF('Recurring Schedule'!$O$13&gt;0,AND(DAY($A64)=MIN(DAY('Recurring Schedule'!$F$13),DAY(EOMONTH($A64,0))),MOD((YEAR($A64)-YEAR('Recurring Schedule'!$F$13))*12+MONTH($A64)-MONTH('Recurring Schedule'!$F$13),'Recurring Schedule'!$O$13)=0),IF('Recurring Schedule'!$E$13="Weekdays",WEEKDAY($A64,2)&lt;=5,$A64='Recurring Schedule'!$F$13))),8,""))))</f>
        <v/>
      </c>
      <c r="J64">
        <f>IF('Recurring Schedule'!$C$14="","",IF('Recurring Schedule'!$F$14="","",IF(OR($A64&lt;'Recurring Schedule'!$F$14,$A64&gt;'Recurring Schedule'!$P$14),"",IF(IF('Recurring Schedule'!$N$14&gt;0,MOD($A64-'Recurring Schedule'!$F$14,'Recurring Schedule'!$N$14)=0,IF('Recurring Schedule'!$O$14&gt;0,AND(DAY($A64)=MIN(DAY('Recurring Schedule'!$F$14),DAY(EOMONTH($A64,0))),MOD((YEAR($A64)-YEAR('Recurring Schedule'!$F$14))*12+MONTH($A64)-MONTH('Recurring Schedule'!$F$14),'Recurring Schedule'!$O$14)=0),IF('Recurring Schedule'!$E$14="Weekdays",WEEKDAY($A64,2)&lt;=5,$A64='Recurring Schedule'!$F$14))),9,""))))</f>
        <v/>
      </c>
      <c r="K64">
        <f>IF('Recurring Schedule'!$C$15="","",IF('Recurring Schedule'!$F$15="","",IF(OR($A64&lt;'Recurring Schedule'!$F$15,$A64&gt;'Recurring Schedule'!$P$15),"",IF(IF('Recurring Schedule'!$N$15&gt;0,MOD($A64-'Recurring Schedule'!$F$15,'Recurring Schedule'!$N$15)=0,IF('Recurring Schedule'!$O$15&gt;0,AND(DAY($A64)=MIN(DAY('Recurring Schedule'!$F$15),DAY(EOMONTH($A64,0))),MOD((YEAR($A64)-YEAR('Recurring Schedule'!$F$15))*12+MONTH($A64)-MONTH('Recurring Schedule'!$F$15),'Recurring Schedule'!$O$15)=0),IF('Recurring Schedule'!$E$15="Weekdays",WEEKDAY($A64,2)&lt;=5,$A64='Recurring Schedule'!$F$15))),10,""))))</f>
        <v/>
      </c>
      <c r="L64">
        <f>IF('Recurring Schedule'!$C$16="","",IF('Recurring Schedule'!$F$16="","",IF(OR($A64&lt;'Recurring Schedule'!$F$16,$A64&gt;'Recurring Schedule'!$P$16),"",IF(IF('Recurring Schedule'!$N$16&gt;0,MOD($A64-'Recurring Schedule'!$F$16,'Recurring Schedule'!$N$16)=0,IF('Recurring Schedule'!$O$16&gt;0,AND(DAY($A64)=MIN(DAY('Recurring Schedule'!$F$16),DAY(EOMONTH($A64,0))),MOD((YEAR($A64)-YEAR('Recurring Schedule'!$F$16))*12+MONTH($A64)-MONTH('Recurring Schedule'!$F$16),'Recurring Schedule'!$O$16)=0),IF('Recurring Schedule'!$E$16="Weekdays",WEEKDAY($A64,2)&lt;=5,$A64='Recurring Schedule'!$F$16))),11,""))))</f>
        <v/>
      </c>
      <c r="M64">
        <f>IF('Recurring Schedule'!$C$17="","",IF('Recurring Schedule'!$F$17="","",IF(OR($A64&lt;'Recurring Schedule'!$F$17,$A64&gt;'Recurring Schedule'!$P$17),"",IF(IF('Recurring Schedule'!$N$17&gt;0,MOD($A64-'Recurring Schedule'!$F$17,'Recurring Schedule'!$N$17)=0,IF('Recurring Schedule'!$O$17&gt;0,AND(DAY($A64)=MIN(DAY('Recurring Schedule'!$F$17),DAY(EOMONTH($A64,0))),MOD((YEAR($A64)-YEAR('Recurring Schedule'!$F$17))*12+MONTH($A64)-MONTH('Recurring Schedule'!$F$17),'Recurring Schedule'!$O$17)=0),IF('Recurring Schedule'!$E$17="Weekdays",WEEKDAY($A64,2)&lt;=5,$A64='Recurring Schedule'!$F$17))),12,""))))</f>
        <v/>
      </c>
      <c r="N64">
        <f>IF('Recurring Schedule'!$C$18="","",IF('Recurring Schedule'!$F$18="","",IF(OR($A64&lt;'Recurring Schedule'!$F$18,$A64&gt;'Recurring Schedule'!$P$18),"",IF(IF('Recurring Schedule'!$N$18&gt;0,MOD($A64-'Recurring Schedule'!$F$18,'Recurring Schedule'!$N$18)=0,IF('Recurring Schedule'!$O$18&gt;0,AND(DAY($A64)=MIN(DAY('Recurring Schedule'!$F$18),DAY(EOMONTH($A64,0))),MOD((YEAR($A64)-YEAR('Recurring Schedule'!$F$18))*12+MONTH($A64)-MONTH('Recurring Schedule'!$F$18),'Recurring Schedule'!$O$18)=0),IF('Recurring Schedule'!$E$18="Weekdays",WEEKDAY($A64,2)&lt;=5,$A64='Recurring Schedule'!$F$18))),13,""))))</f>
        <v/>
      </c>
      <c r="O64">
        <f>IF('Recurring Schedule'!$C$19="","",IF('Recurring Schedule'!$F$19="","",IF(OR($A64&lt;'Recurring Schedule'!$F$19,$A64&gt;'Recurring Schedule'!$P$19),"",IF(IF('Recurring Schedule'!$N$19&gt;0,MOD($A64-'Recurring Schedule'!$F$19,'Recurring Schedule'!$N$19)=0,IF('Recurring Schedule'!$O$19&gt;0,AND(DAY($A64)=MIN(DAY('Recurring Schedule'!$F$19),DAY(EOMONTH($A64,0))),MOD((YEAR($A64)-YEAR('Recurring Schedule'!$F$19))*12+MONTH($A64)-MONTH('Recurring Schedule'!$F$19),'Recurring Schedule'!$O$19)=0),IF('Recurring Schedule'!$E$19="Weekdays",WEEKDAY($A64,2)&lt;=5,$A64='Recurring Schedule'!$F$19))),14,""))))</f>
        <v/>
      </c>
      <c r="P64">
        <f>IF('Recurring Schedule'!$C$20="","",IF('Recurring Schedule'!$F$20="","",IF(OR($A64&lt;'Recurring Schedule'!$F$20,$A64&gt;'Recurring Schedule'!$P$20),"",IF(IF('Recurring Schedule'!$N$20&gt;0,MOD($A64-'Recurring Schedule'!$F$20,'Recurring Schedule'!$N$20)=0,IF('Recurring Schedule'!$O$20&gt;0,AND(DAY($A64)=MIN(DAY('Recurring Schedule'!$F$20),DAY(EOMONTH($A64,0))),MOD((YEAR($A64)-YEAR('Recurring Schedule'!$F$20))*12+MONTH($A64)-MONTH('Recurring Schedule'!$F$20),'Recurring Schedule'!$O$20)=0),IF('Recurring Schedule'!$E$20="Weekdays",WEEKDAY($A64,2)&lt;=5,$A64='Recurring Schedule'!$F$20))),15,""))))</f>
        <v/>
      </c>
      <c r="Q64">
        <f>IF('Recurring Schedule'!$C$21="","",IF('Recurring Schedule'!$F$21="","",IF(OR($A64&lt;'Recurring Schedule'!$F$21,$A64&gt;'Recurring Schedule'!$P$21),"",IF(IF('Recurring Schedule'!$N$21&gt;0,MOD($A64-'Recurring Schedule'!$F$21,'Recurring Schedule'!$N$21)=0,IF('Recurring Schedule'!$O$21&gt;0,AND(DAY($A64)=MIN(DAY('Recurring Schedule'!$F$21),DAY(EOMONTH($A64,0))),MOD((YEAR($A64)-YEAR('Recurring Schedule'!$F$21))*12+MONTH($A64)-MONTH('Recurring Schedule'!$F$21),'Recurring Schedule'!$O$21)=0),IF('Recurring Schedule'!$E$21="Weekdays",WEEKDAY($A64,2)&lt;=5,$A64='Recurring Schedule'!$F$21))),16,""))))</f>
        <v/>
      </c>
      <c r="R64">
        <f>IF('Recurring Schedule'!$C$22="","",IF('Recurring Schedule'!$F$22="","",IF(OR($A64&lt;'Recurring Schedule'!$F$22,$A64&gt;'Recurring Schedule'!$P$22),"",IF(IF('Recurring Schedule'!$N$22&gt;0,MOD($A64-'Recurring Schedule'!$F$22,'Recurring Schedule'!$N$22)=0,IF('Recurring Schedule'!$O$22&gt;0,AND(DAY($A64)=MIN(DAY('Recurring Schedule'!$F$22),DAY(EOMONTH($A64,0))),MOD((YEAR($A64)-YEAR('Recurring Schedule'!$F$22))*12+MONTH($A64)-MONTH('Recurring Schedule'!$F$22),'Recurring Schedule'!$O$22)=0),IF('Recurring Schedule'!$E$22="Weekdays",WEEKDAY($A64,2)&lt;=5,$A64='Recurring Schedule'!$F$22))),17,""))))</f>
        <v/>
      </c>
      <c r="S64">
        <f>IF('Recurring Schedule'!$C$23="","",IF('Recurring Schedule'!$F$23="","",IF(OR($A64&lt;'Recurring Schedule'!$F$23,$A64&gt;'Recurring Schedule'!$P$23),"",IF(IF('Recurring Schedule'!$N$23&gt;0,MOD($A64-'Recurring Schedule'!$F$23,'Recurring Schedule'!$N$23)=0,IF('Recurring Schedule'!$O$23&gt;0,AND(DAY($A64)=MIN(DAY('Recurring Schedule'!$F$23),DAY(EOMONTH($A64,0))),MOD((YEAR($A64)-YEAR('Recurring Schedule'!$F$23))*12+MONTH($A64)-MONTH('Recurring Schedule'!$F$23),'Recurring Schedule'!$O$23)=0),IF('Recurring Schedule'!$E$23="Weekdays",WEEKDAY($A64,2)&lt;=5,$A64='Recurring Schedule'!$F$23))),18,""))))</f>
        <v/>
      </c>
      <c r="T64">
        <f>IF('Recurring Schedule'!$C$24="","",IF('Recurring Schedule'!$F$24="","",IF(OR($A64&lt;'Recurring Schedule'!$F$24,$A64&gt;'Recurring Schedule'!$P$24),"",IF(IF('Recurring Schedule'!$N$24&gt;0,MOD($A64-'Recurring Schedule'!$F$24,'Recurring Schedule'!$N$24)=0,IF('Recurring Schedule'!$O$24&gt;0,AND(DAY($A64)=MIN(DAY('Recurring Schedule'!$F$24),DAY(EOMONTH($A64,0))),MOD((YEAR($A64)-YEAR('Recurring Schedule'!$F$24))*12+MONTH($A64)-MONTH('Recurring Schedule'!$F$24),'Recurring Schedule'!$O$24)=0),IF('Recurring Schedule'!$E$24="Weekdays",WEEKDAY($A64,2)&lt;=5,$A64='Recurring Schedule'!$F$24))),19,""))))</f>
        <v/>
      </c>
      <c r="U64">
        <f>IF('Recurring Schedule'!$C$25="","",IF('Recurring Schedule'!$F$25="","",IF(OR($A64&lt;'Recurring Schedule'!$F$25,$A64&gt;'Recurring Schedule'!$P$25),"",IF(IF('Recurring Schedule'!$N$25&gt;0,MOD($A64-'Recurring Schedule'!$F$25,'Recurring Schedule'!$N$25)=0,IF('Recurring Schedule'!$O$25&gt;0,AND(DAY($A64)=MIN(DAY('Recurring Schedule'!$F$25),DAY(EOMONTH($A64,0))),MOD((YEAR($A64)-YEAR('Recurring Schedule'!$F$25))*12+MONTH($A64)-MONTH('Recurring Schedule'!$F$25),'Recurring Schedule'!$O$25)=0),IF('Recurring Schedule'!$E$25="Weekdays",WEEKDAY($A64,2)&lt;=5,$A64='Recurring Schedule'!$F$25))),20,""))))</f>
        <v/>
      </c>
      <c r="V64">
        <f>IF('Recurring Schedule'!$C$26="","",IF('Recurring Schedule'!$F$26="","",IF(OR($A64&lt;'Recurring Schedule'!$F$26,$A64&gt;'Recurring Schedule'!$P$26),"",IF(IF('Recurring Schedule'!$N$26&gt;0,MOD($A64-'Recurring Schedule'!$F$26,'Recurring Schedule'!$N$26)=0,IF('Recurring Schedule'!$O$26&gt;0,AND(DAY($A64)=MIN(DAY('Recurring Schedule'!$F$26),DAY(EOMONTH($A64,0))),MOD((YEAR($A64)-YEAR('Recurring Schedule'!$F$26))*12+MONTH($A64)-MONTH('Recurring Schedule'!$F$26),'Recurring Schedule'!$O$26)=0),IF('Recurring Schedule'!$E$26="Weekdays",WEEKDAY($A64,2)&lt;=5,$A64='Recurring Schedule'!$F$26))),21,""))))</f>
        <v/>
      </c>
      <c r="W64">
        <f>IF('Recurring Schedule'!$C$27="","",IF('Recurring Schedule'!$F$27="","",IF(OR($A64&lt;'Recurring Schedule'!$F$27,$A64&gt;'Recurring Schedule'!$P$27),"",IF(IF('Recurring Schedule'!$N$27&gt;0,MOD($A64-'Recurring Schedule'!$F$27,'Recurring Schedule'!$N$27)=0,IF('Recurring Schedule'!$O$27&gt;0,AND(DAY($A64)=MIN(DAY('Recurring Schedule'!$F$27),DAY(EOMONTH($A64,0))),MOD((YEAR($A64)-YEAR('Recurring Schedule'!$F$27))*12+MONTH($A64)-MONTH('Recurring Schedule'!$F$27),'Recurring Schedule'!$O$27)=0),IF('Recurring Schedule'!$E$27="Weekdays",WEEKDAY($A64,2)&lt;=5,$A64='Recurring Schedule'!$F$27))),22,""))))</f>
        <v/>
      </c>
      <c r="X64">
        <f>IF('Recurring Schedule'!$C$28="","",IF('Recurring Schedule'!$F$28="","",IF(OR($A64&lt;'Recurring Schedule'!$F$28,$A64&gt;'Recurring Schedule'!$P$28),"",IF(IF('Recurring Schedule'!$N$28&gt;0,MOD($A64-'Recurring Schedule'!$F$28,'Recurring Schedule'!$N$28)=0,IF('Recurring Schedule'!$O$28&gt;0,AND(DAY($A64)=MIN(DAY('Recurring Schedule'!$F$28),DAY(EOMONTH($A64,0))),MOD((YEAR($A64)-YEAR('Recurring Schedule'!$F$28))*12+MONTH($A64)-MONTH('Recurring Schedule'!$F$28),'Recurring Schedule'!$O$28)=0),IF('Recurring Schedule'!$E$28="Weekdays",WEEKDAY($A64,2)&lt;=5,$A64='Recurring Schedule'!$F$28))),23,""))))</f>
        <v/>
      </c>
      <c r="Y64">
        <f>IF('Recurring Schedule'!$C$29="","",IF('Recurring Schedule'!$F$29="","",IF(OR($A64&lt;'Recurring Schedule'!$F$29,$A64&gt;'Recurring Schedule'!$P$29),"",IF(IF('Recurring Schedule'!$N$29&gt;0,MOD($A64-'Recurring Schedule'!$F$29,'Recurring Schedule'!$N$29)=0,IF('Recurring Schedule'!$O$29&gt;0,AND(DAY($A64)=MIN(DAY('Recurring Schedule'!$F$29),DAY(EOMONTH($A64,0))),MOD((YEAR($A64)-YEAR('Recurring Schedule'!$F$29))*12+MONTH($A64)-MONTH('Recurring Schedule'!$F$29),'Recurring Schedule'!$O$29)=0),IF('Recurring Schedule'!$E$29="Weekdays",WEEKDAY($A64,2)&lt;=5,$A64='Recurring Schedule'!$F$29))),24,""))))</f>
        <v/>
      </c>
      <c r="Z64">
        <f>IF('Recurring Schedule'!$C$30="","",IF('Recurring Schedule'!$F$30="","",IF(OR($A64&lt;'Recurring Schedule'!$F$30,$A64&gt;'Recurring Schedule'!$P$30),"",IF(IF('Recurring Schedule'!$N$30&gt;0,MOD($A64-'Recurring Schedule'!$F$30,'Recurring Schedule'!$N$30)=0,IF('Recurring Schedule'!$O$30&gt;0,AND(DAY($A64)=MIN(DAY('Recurring Schedule'!$F$30),DAY(EOMONTH($A64,0))),MOD((YEAR($A64)-YEAR('Recurring Schedule'!$F$30))*12+MONTH($A64)-MONTH('Recurring Schedule'!$F$30),'Recurring Schedule'!$O$30)=0),IF('Recurring Schedule'!$E$30="Weekdays",WEEKDAY($A64,2)&lt;=5,$A64='Recurring Schedule'!$F$30))),25,""))))</f>
        <v/>
      </c>
      <c r="AA64">
        <f>IF('Recurring Schedule'!$C$31="","",IF('Recurring Schedule'!$F$31="","",IF(OR($A64&lt;'Recurring Schedule'!$F$31,$A64&gt;'Recurring Schedule'!$P$31),"",IF(IF('Recurring Schedule'!$N$31&gt;0,MOD($A64-'Recurring Schedule'!$F$31,'Recurring Schedule'!$N$31)=0,IF('Recurring Schedule'!$O$31&gt;0,AND(DAY($A64)=MIN(DAY('Recurring Schedule'!$F$31),DAY(EOMONTH($A64,0))),MOD((YEAR($A64)-YEAR('Recurring Schedule'!$F$31))*12+MONTH($A64)-MONTH('Recurring Schedule'!$F$31),'Recurring Schedule'!$O$31)=0),IF('Recurring Schedule'!$E$31="Weekdays",WEEKDAY($A64,2)&lt;=5,$A64='Recurring Schedule'!$F$31))),26,""))))</f>
        <v/>
      </c>
      <c r="AB64">
        <f>IF('Recurring Schedule'!$C$32="","",IF('Recurring Schedule'!$F$32="","",IF(OR($A64&lt;'Recurring Schedule'!$F$32,$A64&gt;'Recurring Schedule'!$P$32),"",IF(IF('Recurring Schedule'!$N$32&gt;0,MOD($A64-'Recurring Schedule'!$F$32,'Recurring Schedule'!$N$32)=0,IF('Recurring Schedule'!$O$32&gt;0,AND(DAY($A64)=MIN(DAY('Recurring Schedule'!$F$32),DAY(EOMONTH($A64,0))),MOD((YEAR($A64)-YEAR('Recurring Schedule'!$F$32))*12+MONTH($A64)-MONTH('Recurring Schedule'!$F$32),'Recurring Schedule'!$O$32)=0),IF('Recurring Schedule'!$E$32="Weekdays",WEEKDAY($A64,2)&lt;=5,$A64='Recurring Schedule'!$F$32))),27,""))))</f>
        <v/>
      </c>
      <c r="AC64">
        <f>IF('Recurring Schedule'!$C$33="","",IF('Recurring Schedule'!$F$33="","",IF(OR($A64&lt;'Recurring Schedule'!$F$33,$A64&gt;'Recurring Schedule'!$P$33),"",IF(IF('Recurring Schedule'!$N$33&gt;0,MOD($A64-'Recurring Schedule'!$F$33,'Recurring Schedule'!$N$33)=0,IF('Recurring Schedule'!$O$33&gt;0,AND(DAY($A64)=MIN(DAY('Recurring Schedule'!$F$33),DAY(EOMONTH($A64,0))),MOD((YEAR($A64)-YEAR('Recurring Schedule'!$F$33))*12+MONTH($A64)-MONTH('Recurring Schedule'!$F$33),'Recurring Schedule'!$O$33)=0),IF('Recurring Schedule'!$E$33="Weekdays",WEEKDAY($A64,2)&lt;=5,$A64='Recurring Schedule'!$F$33))),28,""))))</f>
        <v/>
      </c>
      <c r="AD64">
        <f>IF('Recurring Schedule'!$C$34="","",IF('Recurring Schedule'!$F$34="","",IF(OR($A64&lt;'Recurring Schedule'!$F$34,$A64&gt;'Recurring Schedule'!$P$34),"",IF(IF('Recurring Schedule'!$N$34&gt;0,MOD($A64-'Recurring Schedule'!$F$34,'Recurring Schedule'!$N$34)=0,IF('Recurring Schedule'!$O$34&gt;0,AND(DAY($A64)=MIN(DAY('Recurring Schedule'!$F$34),DAY(EOMONTH($A64,0))),MOD((YEAR($A64)-YEAR('Recurring Schedule'!$F$34))*12+MONTH($A64)-MONTH('Recurring Schedule'!$F$34),'Recurring Schedule'!$O$34)=0),IF('Recurring Schedule'!$E$34="Weekdays",WEEKDAY($A64,2)&lt;=5,$A64='Recurring Schedule'!$F$34))),29,""))))</f>
        <v/>
      </c>
      <c r="AE64">
        <f>IF('Recurring Schedule'!$C$35="","",IF('Recurring Schedule'!$F$35="","",IF(OR($A64&lt;'Recurring Schedule'!$F$35,$A64&gt;'Recurring Schedule'!$P$35),"",IF(IF('Recurring Schedule'!$N$35&gt;0,MOD($A64-'Recurring Schedule'!$F$35,'Recurring Schedule'!$N$35)=0,IF('Recurring Schedule'!$O$35&gt;0,AND(DAY($A64)=MIN(DAY('Recurring Schedule'!$F$35),DAY(EOMONTH($A64,0))),MOD((YEAR($A64)-YEAR('Recurring Schedule'!$F$35))*12+MONTH($A64)-MONTH('Recurring Schedule'!$F$35),'Recurring Schedule'!$O$35)=0),IF('Recurring Schedule'!$E$35="Weekdays",WEEKDAY($A64,2)&lt;=5,$A64='Recurring Schedule'!$F$35))),30,""))))</f>
        <v/>
      </c>
      <c r="AF64">
        <f>IF('Recurring Schedule'!$C$36="","",IF('Recurring Schedule'!$F$36="","",IF(OR($A64&lt;'Recurring Schedule'!$F$36,$A64&gt;'Recurring Schedule'!$P$36),"",IF(IF('Recurring Schedule'!$N$36&gt;0,MOD($A64-'Recurring Schedule'!$F$36,'Recurring Schedule'!$N$36)=0,IF('Recurring Schedule'!$O$36&gt;0,AND(DAY($A64)=MIN(DAY('Recurring Schedule'!$F$36),DAY(EOMONTH($A64,0))),MOD((YEAR($A64)-YEAR('Recurring Schedule'!$F$36))*12+MONTH($A64)-MONTH('Recurring Schedule'!$F$36),'Recurring Schedule'!$O$36)=0),IF('Recurring Schedule'!$E$36="Weekdays",WEEKDAY($A64,2)&lt;=5,$A64='Recurring Schedule'!$F$36))),31,""))))</f>
        <v/>
      </c>
      <c r="AG64">
        <f>IF('Recurring Schedule'!$C$37="","",IF('Recurring Schedule'!$F$37="","",IF(OR($A64&lt;'Recurring Schedule'!$F$37,$A64&gt;'Recurring Schedule'!$P$37),"",IF(IF('Recurring Schedule'!$N$37&gt;0,MOD($A64-'Recurring Schedule'!$F$37,'Recurring Schedule'!$N$37)=0,IF('Recurring Schedule'!$O$37&gt;0,AND(DAY($A64)=MIN(DAY('Recurring Schedule'!$F$37),DAY(EOMONTH($A64,0))),MOD((YEAR($A64)-YEAR('Recurring Schedule'!$F$37))*12+MONTH($A64)-MONTH('Recurring Schedule'!$F$37),'Recurring Schedule'!$O$37)=0),IF('Recurring Schedule'!$E$37="Weekdays",WEEKDAY($A64,2)&lt;=5,$A64='Recurring Schedule'!$F$37))),32,""))))</f>
        <v/>
      </c>
      <c r="AH64">
        <f>IF('Recurring Schedule'!$C$38="","",IF('Recurring Schedule'!$F$38="","",IF(OR($A64&lt;'Recurring Schedule'!$F$38,$A64&gt;'Recurring Schedule'!$P$38),"",IF(IF('Recurring Schedule'!$N$38&gt;0,MOD($A64-'Recurring Schedule'!$F$38,'Recurring Schedule'!$N$38)=0,IF('Recurring Schedule'!$O$38&gt;0,AND(DAY($A64)=MIN(DAY('Recurring Schedule'!$F$38),DAY(EOMONTH($A64,0))),MOD((YEAR($A64)-YEAR('Recurring Schedule'!$F$38))*12+MONTH($A64)-MONTH('Recurring Schedule'!$F$38),'Recurring Schedule'!$O$38)=0),IF('Recurring Schedule'!$E$38="Weekdays",WEEKDAY($A64,2)&lt;=5,$A64='Recurring Schedule'!$F$38))),33,""))))</f>
        <v/>
      </c>
      <c r="AI64">
        <f>IF('Recurring Schedule'!$C$39="","",IF('Recurring Schedule'!$F$39="","",IF(OR($A64&lt;'Recurring Schedule'!$F$39,$A64&gt;'Recurring Schedule'!$P$39),"",IF(IF('Recurring Schedule'!$N$39&gt;0,MOD($A64-'Recurring Schedule'!$F$39,'Recurring Schedule'!$N$39)=0,IF('Recurring Schedule'!$O$39&gt;0,AND(DAY($A64)=MIN(DAY('Recurring Schedule'!$F$39),DAY(EOMONTH($A64,0))),MOD((YEAR($A64)-YEAR('Recurring Schedule'!$F$39))*12+MONTH($A64)-MONTH('Recurring Schedule'!$F$39),'Recurring Schedule'!$O$39)=0),IF('Recurring Schedule'!$E$39="Weekdays",WEEKDAY($A64,2)&lt;=5,$A64='Recurring Schedule'!$F$39))),34,""))))</f>
        <v/>
      </c>
      <c r="AJ64">
        <f>IF('Recurring Schedule'!$C$40="","",IF('Recurring Schedule'!$F$40="","",IF(OR($A64&lt;'Recurring Schedule'!$F$40,$A64&gt;'Recurring Schedule'!$P$40),"",IF(IF('Recurring Schedule'!$N$40&gt;0,MOD($A64-'Recurring Schedule'!$F$40,'Recurring Schedule'!$N$40)=0,IF('Recurring Schedule'!$O$40&gt;0,AND(DAY($A64)=MIN(DAY('Recurring Schedule'!$F$40),DAY(EOMONTH($A64,0))),MOD((YEAR($A64)-YEAR('Recurring Schedule'!$F$40))*12+MONTH($A64)-MONTH('Recurring Schedule'!$F$40),'Recurring Schedule'!$O$40)=0),IF('Recurring Schedule'!$E$40="Weekdays",WEEKDAY($A64,2)&lt;=5,$A64='Recurring Schedule'!$F$40))),35,""))))</f>
        <v/>
      </c>
      <c r="AK64">
        <f>IF('Recurring Schedule'!$C$41="","",IF('Recurring Schedule'!$F$41="","",IF(OR($A64&lt;'Recurring Schedule'!$F$41,$A64&gt;'Recurring Schedule'!$P$41),"",IF(IF('Recurring Schedule'!$N$41&gt;0,MOD($A64-'Recurring Schedule'!$F$41,'Recurring Schedule'!$N$41)=0,IF('Recurring Schedule'!$O$41&gt;0,AND(DAY($A64)=MIN(DAY('Recurring Schedule'!$F$41),DAY(EOMONTH($A64,0))),MOD((YEAR($A64)-YEAR('Recurring Schedule'!$F$41))*12+MONTH($A64)-MONTH('Recurring Schedule'!$F$41),'Recurring Schedule'!$O$41)=0),IF('Recurring Schedule'!$E$41="Weekdays",WEEKDAY($A64,2)&lt;=5,$A64='Recurring Schedule'!$F$41))),36,""))))</f>
        <v/>
      </c>
      <c r="AL64">
        <f>IF('Recurring Schedule'!$C$42="","",IF('Recurring Schedule'!$F$42="","",IF(OR($A64&lt;'Recurring Schedule'!$F$42,$A64&gt;'Recurring Schedule'!$P$42),"",IF(IF('Recurring Schedule'!$N$42&gt;0,MOD($A64-'Recurring Schedule'!$F$42,'Recurring Schedule'!$N$42)=0,IF('Recurring Schedule'!$O$42&gt;0,AND(DAY($A64)=MIN(DAY('Recurring Schedule'!$F$42),DAY(EOMONTH($A64,0))),MOD((YEAR($A64)-YEAR('Recurring Schedule'!$F$42))*12+MONTH($A64)-MONTH('Recurring Schedule'!$F$42),'Recurring Schedule'!$O$42)=0),IF('Recurring Schedule'!$E$42="Weekdays",WEEKDAY($A64,2)&lt;=5,$A64='Recurring Schedule'!$F$42))),37,""))))</f>
        <v/>
      </c>
      <c r="AM64">
        <f>IF('Recurring Schedule'!$C$43="","",IF('Recurring Schedule'!$F$43="","",IF(OR($A64&lt;'Recurring Schedule'!$F$43,$A64&gt;'Recurring Schedule'!$P$43),"",IF(IF('Recurring Schedule'!$N$43&gt;0,MOD($A64-'Recurring Schedule'!$F$43,'Recurring Schedule'!$N$43)=0,IF('Recurring Schedule'!$O$43&gt;0,AND(DAY($A64)=MIN(DAY('Recurring Schedule'!$F$43),DAY(EOMONTH($A64,0))),MOD((YEAR($A64)-YEAR('Recurring Schedule'!$F$43))*12+MONTH($A64)-MONTH('Recurring Schedule'!$F$43),'Recurring Schedule'!$O$43)=0),IF('Recurring Schedule'!$E$43="Weekdays",WEEKDAY($A64,2)&lt;=5,$A64='Recurring Schedule'!$F$43))),38,""))))</f>
        <v/>
      </c>
      <c r="AN64">
        <f>IF('Recurring Schedule'!$C$44="","",IF('Recurring Schedule'!$F$44="","",IF(OR($A64&lt;'Recurring Schedule'!$F$44,$A64&gt;'Recurring Schedule'!$P$44),"",IF(IF('Recurring Schedule'!$N$44&gt;0,MOD($A64-'Recurring Schedule'!$F$44,'Recurring Schedule'!$N$44)=0,IF('Recurring Schedule'!$O$44&gt;0,AND(DAY($A64)=MIN(DAY('Recurring Schedule'!$F$44),DAY(EOMONTH($A64,0))),MOD((YEAR($A64)-YEAR('Recurring Schedule'!$F$44))*12+MONTH($A64)-MONTH('Recurring Schedule'!$F$44),'Recurring Schedule'!$O$44)=0),IF('Recurring Schedule'!$E$44="Weekdays",WEEKDAY($A64,2)&lt;=5,$A64='Recurring Schedule'!$F$44))),39,""))))</f>
        <v/>
      </c>
      <c r="AO64">
        <f>IF('Recurring Schedule'!$C$45="","",IF('Recurring Schedule'!$F$45="","",IF(OR($A64&lt;'Recurring Schedule'!$F$45,$A64&gt;'Recurring Schedule'!$P$45),"",IF(IF('Recurring Schedule'!$N$45&gt;0,MOD($A64-'Recurring Schedule'!$F$45,'Recurring Schedule'!$N$45)=0,IF('Recurring Schedule'!$O$45&gt;0,AND(DAY($A64)=MIN(DAY('Recurring Schedule'!$F$45),DAY(EOMONTH($A64,0))),MOD((YEAR($A64)-YEAR('Recurring Schedule'!$F$45))*12+MONTH($A64)-MONTH('Recurring Schedule'!$F$45),'Recurring Schedule'!$O$45)=0),IF('Recurring Schedule'!$E$45="Weekdays",WEEKDAY($A64,2)&lt;=5,$A64='Recurring Schedule'!$F$45))),40,""))))</f>
        <v/>
      </c>
      <c r="AP64">
        <f>COUNT(B64:AO64)</f>
        <v/>
      </c>
      <c r="AQ64">
        <f>AQ63+AP63</f>
        <v/>
      </c>
      <c r="AS64" t="inlineStr">
        <is>
          <t>R</t>
        </is>
      </c>
      <c r="AT64" t="n">
        <v>68</v>
      </c>
      <c r="AU64">
        <f>'Recurring Log'!C68&amp;""</f>
        <v/>
      </c>
      <c r="AV64">
        <f>'Recurring Log'!D68&amp;""</f>
        <v/>
      </c>
      <c r="AW64">
        <f>IF('Recurring Log'!E68="","",'Recurring Log'!E68)</f>
        <v/>
      </c>
      <c r="AX64">
        <f>IF('Recurring Log'!G68="","",'Recurring Log'!G68)</f>
        <v/>
      </c>
      <c r="AY64">
        <f>IF('Recurring Log'!H68="","",'Recurring Log'!H68)</f>
        <v/>
      </c>
      <c r="AZ64">
        <f>IF(AU64="","",IF('Recurring Log'!J68="","Not Started",'Recurring Log'!J68))</f>
        <v/>
      </c>
      <c r="BA64">
        <f>'Recurring Log'!L68&amp;""</f>
        <v/>
      </c>
      <c r="BB64">
        <f>'Recurring Log'!M68&amp;""</f>
        <v/>
      </c>
      <c r="BC64">
        <f>'Recurring Log'!N68&amp;""</f>
        <v/>
      </c>
      <c r="BD64">
        <f>'Recurring Log'!O68&amp;""</f>
        <v/>
      </c>
      <c r="BE64">
        <f>IF('Recurring Log'!K68="","",'Recurring Log'!K68)</f>
        <v/>
      </c>
      <c r="BF64">
        <f>IFERROR(MATCH(BA64,Setup!$L$6:$L$9,0),5)</f>
        <v/>
      </c>
      <c r="BG64">
        <f>IF(OR(AZ64="Done",AZ64="Cancelled"),1,0)</f>
        <v/>
      </c>
      <c r="BH64">
        <f>IF(AND(AU64&lt;&gt;"",ISNUMBER(AW64)),1,0)</f>
        <v/>
      </c>
      <c r="BI64">
        <f>IF(BH64=0,0,IF(AND(AW64&gt;='Tasks Filter'!$F$3,AW64&lt;='Tasks Filter'!$F$4,OR('Tasks Filter'!$I$3="",ISNUMBER(SEARCH('Tasks Filter'!$I$3,AU64))),OR('Tasks Filter'!$I$4="",BF64=IFERROR(MATCH('Tasks Filter'!$I$4,Setup!$L$6:$L$9,0),0)),OR('Tasks Filter'!$I$5="Both",AND('Tasks Filter'!$I$5="Yes",BB64="✓"),AND('Tasks Filter'!$I$5="No",BB64&lt;&gt;"✓")),OR('Tasks Filter'!$L$3="",AV64='Tasks Filter'!$L$3),OR('Tasks Filter'!$L$4="",AZ64='Tasks Filter'!$L$4),OR('Tasks Filter'!$L$5="",BC64='Tasks Filter'!$L$5),OR('Tasks Filter'!$O$3="",BD64='Tasks Filter'!$O$3),OR('Tasks Filter'!$O$4="Yes",BG64=0)),1,0))</f>
        <v/>
      </c>
      <c r="BJ64">
        <f>IF(BH64=0,"",IF('Tasks Filter'!$F$6="Descending",-1,1)*CHOOSE(MATCH('Tasks Filter'!$F$5,Lists!$G$2:$G$6,0),AW64,BF64,IFERROR(MATCH(AV64,Setup!$F$6:$F$15,0),99),IFERROR(MATCH(BC64,Setup!$H$6:$H$15,0),99),IFERROR(MATCH(AZ64,Setup!$J$6:$J$11,0),99))*1E+9+(AW64-40000)*10000+63)</f>
        <v/>
      </c>
      <c r="BK64">
        <f>IF(BI64=1,BJ64,"")</f>
        <v/>
      </c>
      <c r="BL64">
        <f>IF(AND(BH64=1,BG64=0,N(AW64)&lt;Setup!$D$7),(AW64-40000)*10000+63,"")</f>
        <v/>
      </c>
      <c r="BM64">
        <f>IF(AND(BH64=1,AZ64&lt;&gt;"Cancelled",N(AW64)&gt;=Dashboard!$AB$3,N(AW64)&lt;=Dashboard!$AB$3+6),(AW64-40000)*100000+BF64*10000+63,"")</f>
        <v/>
      </c>
      <c r="BN64">
        <f>IF(AND(BH64=1,AZ64&lt;&gt;"Cancelled"),BF64*10000+63,"")</f>
        <v/>
      </c>
    </row>
    <row r="65">
      <c r="A65">
        <f>Setup!$D$5+63</f>
        <v/>
      </c>
      <c r="B65">
        <f>IF('Recurring Schedule'!$C$6="","",IF('Recurring Schedule'!$F$6="","",IF(OR($A65&lt;'Recurring Schedule'!$F$6,$A65&gt;'Recurring Schedule'!$P$6),"",IF(IF('Recurring Schedule'!$N$6&gt;0,MOD($A65-'Recurring Schedule'!$F$6,'Recurring Schedule'!$N$6)=0,IF('Recurring Schedule'!$O$6&gt;0,AND(DAY($A65)=MIN(DAY('Recurring Schedule'!$F$6),DAY(EOMONTH($A65,0))),MOD((YEAR($A65)-YEAR('Recurring Schedule'!$F$6))*12+MONTH($A65)-MONTH('Recurring Schedule'!$F$6),'Recurring Schedule'!$O$6)=0),IF('Recurring Schedule'!$E$6="Weekdays",WEEKDAY($A65,2)&lt;=5,$A65='Recurring Schedule'!$F$6))),1,""))))</f>
        <v/>
      </c>
      <c r="C65">
        <f>IF('Recurring Schedule'!$C$7="","",IF('Recurring Schedule'!$F$7="","",IF(OR($A65&lt;'Recurring Schedule'!$F$7,$A65&gt;'Recurring Schedule'!$P$7),"",IF(IF('Recurring Schedule'!$N$7&gt;0,MOD($A65-'Recurring Schedule'!$F$7,'Recurring Schedule'!$N$7)=0,IF('Recurring Schedule'!$O$7&gt;0,AND(DAY($A65)=MIN(DAY('Recurring Schedule'!$F$7),DAY(EOMONTH($A65,0))),MOD((YEAR($A65)-YEAR('Recurring Schedule'!$F$7))*12+MONTH($A65)-MONTH('Recurring Schedule'!$F$7),'Recurring Schedule'!$O$7)=0),IF('Recurring Schedule'!$E$7="Weekdays",WEEKDAY($A65,2)&lt;=5,$A65='Recurring Schedule'!$F$7))),2,""))))</f>
        <v/>
      </c>
      <c r="D65">
        <f>IF('Recurring Schedule'!$C$8="","",IF('Recurring Schedule'!$F$8="","",IF(OR($A65&lt;'Recurring Schedule'!$F$8,$A65&gt;'Recurring Schedule'!$P$8),"",IF(IF('Recurring Schedule'!$N$8&gt;0,MOD($A65-'Recurring Schedule'!$F$8,'Recurring Schedule'!$N$8)=0,IF('Recurring Schedule'!$O$8&gt;0,AND(DAY($A65)=MIN(DAY('Recurring Schedule'!$F$8),DAY(EOMONTH($A65,0))),MOD((YEAR($A65)-YEAR('Recurring Schedule'!$F$8))*12+MONTH($A65)-MONTH('Recurring Schedule'!$F$8),'Recurring Schedule'!$O$8)=0),IF('Recurring Schedule'!$E$8="Weekdays",WEEKDAY($A65,2)&lt;=5,$A65='Recurring Schedule'!$F$8))),3,""))))</f>
        <v/>
      </c>
      <c r="E65">
        <f>IF('Recurring Schedule'!$C$9="","",IF('Recurring Schedule'!$F$9="","",IF(OR($A65&lt;'Recurring Schedule'!$F$9,$A65&gt;'Recurring Schedule'!$P$9),"",IF(IF('Recurring Schedule'!$N$9&gt;0,MOD($A65-'Recurring Schedule'!$F$9,'Recurring Schedule'!$N$9)=0,IF('Recurring Schedule'!$O$9&gt;0,AND(DAY($A65)=MIN(DAY('Recurring Schedule'!$F$9),DAY(EOMONTH($A65,0))),MOD((YEAR($A65)-YEAR('Recurring Schedule'!$F$9))*12+MONTH($A65)-MONTH('Recurring Schedule'!$F$9),'Recurring Schedule'!$O$9)=0),IF('Recurring Schedule'!$E$9="Weekdays",WEEKDAY($A65,2)&lt;=5,$A65='Recurring Schedule'!$F$9))),4,""))))</f>
        <v/>
      </c>
      <c r="F65">
        <f>IF('Recurring Schedule'!$C$10="","",IF('Recurring Schedule'!$F$10="","",IF(OR($A65&lt;'Recurring Schedule'!$F$10,$A65&gt;'Recurring Schedule'!$P$10),"",IF(IF('Recurring Schedule'!$N$10&gt;0,MOD($A65-'Recurring Schedule'!$F$10,'Recurring Schedule'!$N$10)=0,IF('Recurring Schedule'!$O$10&gt;0,AND(DAY($A65)=MIN(DAY('Recurring Schedule'!$F$10),DAY(EOMONTH($A65,0))),MOD((YEAR($A65)-YEAR('Recurring Schedule'!$F$10))*12+MONTH($A65)-MONTH('Recurring Schedule'!$F$10),'Recurring Schedule'!$O$10)=0),IF('Recurring Schedule'!$E$10="Weekdays",WEEKDAY($A65,2)&lt;=5,$A65='Recurring Schedule'!$F$10))),5,""))))</f>
        <v/>
      </c>
      <c r="G65">
        <f>IF('Recurring Schedule'!$C$11="","",IF('Recurring Schedule'!$F$11="","",IF(OR($A65&lt;'Recurring Schedule'!$F$11,$A65&gt;'Recurring Schedule'!$P$11),"",IF(IF('Recurring Schedule'!$N$11&gt;0,MOD($A65-'Recurring Schedule'!$F$11,'Recurring Schedule'!$N$11)=0,IF('Recurring Schedule'!$O$11&gt;0,AND(DAY($A65)=MIN(DAY('Recurring Schedule'!$F$11),DAY(EOMONTH($A65,0))),MOD((YEAR($A65)-YEAR('Recurring Schedule'!$F$11))*12+MONTH($A65)-MONTH('Recurring Schedule'!$F$11),'Recurring Schedule'!$O$11)=0),IF('Recurring Schedule'!$E$11="Weekdays",WEEKDAY($A65,2)&lt;=5,$A65='Recurring Schedule'!$F$11))),6,""))))</f>
        <v/>
      </c>
      <c r="H65">
        <f>IF('Recurring Schedule'!$C$12="","",IF('Recurring Schedule'!$F$12="","",IF(OR($A65&lt;'Recurring Schedule'!$F$12,$A65&gt;'Recurring Schedule'!$P$12),"",IF(IF('Recurring Schedule'!$N$12&gt;0,MOD($A65-'Recurring Schedule'!$F$12,'Recurring Schedule'!$N$12)=0,IF('Recurring Schedule'!$O$12&gt;0,AND(DAY($A65)=MIN(DAY('Recurring Schedule'!$F$12),DAY(EOMONTH($A65,0))),MOD((YEAR($A65)-YEAR('Recurring Schedule'!$F$12))*12+MONTH($A65)-MONTH('Recurring Schedule'!$F$12),'Recurring Schedule'!$O$12)=0),IF('Recurring Schedule'!$E$12="Weekdays",WEEKDAY($A65,2)&lt;=5,$A65='Recurring Schedule'!$F$12))),7,""))))</f>
        <v/>
      </c>
      <c r="I65">
        <f>IF('Recurring Schedule'!$C$13="","",IF('Recurring Schedule'!$F$13="","",IF(OR($A65&lt;'Recurring Schedule'!$F$13,$A65&gt;'Recurring Schedule'!$P$13),"",IF(IF('Recurring Schedule'!$N$13&gt;0,MOD($A65-'Recurring Schedule'!$F$13,'Recurring Schedule'!$N$13)=0,IF('Recurring Schedule'!$O$13&gt;0,AND(DAY($A65)=MIN(DAY('Recurring Schedule'!$F$13),DAY(EOMONTH($A65,0))),MOD((YEAR($A65)-YEAR('Recurring Schedule'!$F$13))*12+MONTH($A65)-MONTH('Recurring Schedule'!$F$13),'Recurring Schedule'!$O$13)=0),IF('Recurring Schedule'!$E$13="Weekdays",WEEKDAY($A65,2)&lt;=5,$A65='Recurring Schedule'!$F$13))),8,""))))</f>
        <v/>
      </c>
      <c r="J65">
        <f>IF('Recurring Schedule'!$C$14="","",IF('Recurring Schedule'!$F$14="","",IF(OR($A65&lt;'Recurring Schedule'!$F$14,$A65&gt;'Recurring Schedule'!$P$14),"",IF(IF('Recurring Schedule'!$N$14&gt;0,MOD($A65-'Recurring Schedule'!$F$14,'Recurring Schedule'!$N$14)=0,IF('Recurring Schedule'!$O$14&gt;0,AND(DAY($A65)=MIN(DAY('Recurring Schedule'!$F$14),DAY(EOMONTH($A65,0))),MOD((YEAR($A65)-YEAR('Recurring Schedule'!$F$14))*12+MONTH($A65)-MONTH('Recurring Schedule'!$F$14),'Recurring Schedule'!$O$14)=0),IF('Recurring Schedule'!$E$14="Weekdays",WEEKDAY($A65,2)&lt;=5,$A65='Recurring Schedule'!$F$14))),9,""))))</f>
        <v/>
      </c>
      <c r="K65">
        <f>IF('Recurring Schedule'!$C$15="","",IF('Recurring Schedule'!$F$15="","",IF(OR($A65&lt;'Recurring Schedule'!$F$15,$A65&gt;'Recurring Schedule'!$P$15),"",IF(IF('Recurring Schedule'!$N$15&gt;0,MOD($A65-'Recurring Schedule'!$F$15,'Recurring Schedule'!$N$15)=0,IF('Recurring Schedule'!$O$15&gt;0,AND(DAY($A65)=MIN(DAY('Recurring Schedule'!$F$15),DAY(EOMONTH($A65,0))),MOD((YEAR($A65)-YEAR('Recurring Schedule'!$F$15))*12+MONTH($A65)-MONTH('Recurring Schedule'!$F$15),'Recurring Schedule'!$O$15)=0),IF('Recurring Schedule'!$E$15="Weekdays",WEEKDAY($A65,2)&lt;=5,$A65='Recurring Schedule'!$F$15))),10,""))))</f>
        <v/>
      </c>
      <c r="L65">
        <f>IF('Recurring Schedule'!$C$16="","",IF('Recurring Schedule'!$F$16="","",IF(OR($A65&lt;'Recurring Schedule'!$F$16,$A65&gt;'Recurring Schedule'!$P$16),"",IF(IF('Recurring Schedule'!$N$16&gt;0,MOD($A65-'Recurring Schedule'!$F$16,'Recurring Schedule'!$N$16)=0,IF('Recurring Schedule'!$O$16&gt;0,AND(DAY($A65)=MIN(DAY('Recurring Schedule'!$F$16),DAY(EOMONTH($A65,0))),MOD((YEAR($A65)-YEAR('Recurring Schedule'!$F$16))*12+MONTH($A65)-MONTH('Recurring Schedule'!$F$16),'Recurring Schedule'!$O$16)=0),IF('Recurring Schedule'!$E$16="Weekdays",WEEKDAY($A65,2)&lt;=5,$A65='Recurring Schedule'!$F$16))),11,""))))</f>
        <v/>
      </c>
      <c r="M65">
        <f>IF('Recurring Schedule'!$C$17="","",IF('Recurring Schedule'!$F$17="","",IF(OR($A65&lt;'Recurring Schedule'!$F$17,$A65&gt;'Recurring Schedule'!$P$17),"",IF(IF('Recurring Schedule'!$N$17&gt;0,MOD($A65-'Recurring Schedule'!$F$17,'Recurring Schedule'!$N$17)=0,IF('Recurring Schedule'!$O$17&gt;0,AND(DAY($A65)=MIN(DAY('Recurring Schedule'!$F$17),DAY(EOMONTH($A65,0))),MOD((YEAR($A65)-YEAR('Recurring Schedule'!$F$17))*12+MONTH($A65)-MONTH('Recurring Schedule'!$F$17),'Recurring Schedule'!$O$17)=0),IF('Recurring Schedule'!$E$17="Weekdays",WEEKDAY($A65,2)&lt;=5,$A65='Recurring Schedule'!$F$17))),12,""))))</f>
        <v/>
      </c>
      <c r="N65">
        <f>IF('Recurring Schedule'!$C$18="","",IF('Recurring Schedule'!$F$18="","",IF(OR($A65&lt;'Recurring Schedule'!$F$18,$A65&gt;'Recurring Schedule'!$P$18),"",IF(IF('Recurring Schedule'!$N$18&gt;0,MOD($A65-'Recurring Schedule'!$F$18,'Recurring Schedule'!$N$18)=0,IF('Recurring Schedule'!$O$18&gt;0,AND(DAY($A65)=MIN(DAY('Recurring Schedule'!$F$18),DAY(EOMONTH($A65,0))),MOD((YEAR($A65)-YEAR('Recurring Schedule'!$F$18))*12+MONTH($A65)-MONTH('Recurring Schedule'!$F$18),'Recurring Schedule'!$O$18)=0),IF('Recurring Schedule'!$E$18="Weekdays",WEEKDAY($A65,2)&lt;=5,$A65='Recurring Schedule'!$F$18))),13,""))))</f>
        <v/>
      </c>
      <c r="O65">
        <f>IF('Recurring Schedule'!$C$19="","",IF('Recurring Schedule'!$F$19="","",IF(OR($A65&lt;'Recurring Schedule'!$F$19,$A65&gt;'Recurring Schedule'!$P$19),"",IF(IF('Recurring Schedule'!$N$19&gt;0,MOD($A65-'Recurring Schedule'!$F$19,'Recurring Schedule'!$N$19)=0,IF('Recurring Schedule'!$O$19&gt;0,AND(DAY($A65)=MIN(DAY('Recurring Schedule'!$F$19),DAY(EOMONTH($A65,0))),MOD((YEAR($A65)-YEAR('Recurring Schedule'!$F$19))*12+MONTH($A65)-MONTH('Recurring Schedule'!$F$19),'Recurring Schedule'!$O$19)=0),IF('Recurring Schedule'!$E$19="Weekdays",WEEKDAY($A65,2)&lt;=5,$A65='Recurring Schedule'!$F$19))),14,""))))</f>
        <v/>
      </c>
      <c r="P65">
        <f>IF('Recurring Schedule'!$C$20="","",IF('Recurring Schedule'!$F$20="","",IF(OR($A65&lt;'Recurring Schedule'!$F$20,$A65&gt;'Recurring Schedule'!$P$20),"",IF(IF('Recurring Schedule'!$N$20&gt;0,MOD($A65-'Recurring Schedule'!$F$20,'Recurring Schedule'!$N$20)=0,IF('Recurring Schedule'!$O$20&gt;0,AND(DAY($A65)=MIN(DAY('Recurring Schedule'!$F$20),DAY(EOMONTH($A65,0))),MOD((YEAR($A65)-YEAR('Recurring Schedule'!$F$20))*12+MONTH($A65)-MONTH('Recurring Schedule'!$F$20),'Recurring Schedule'!$O$20)=0),IF('Recurring Schedule'!$E$20="Weekdays",WEEKDAY($A65,2)&lt;=5,$A65='Recurring Schedule'!$F$20))),15,""))))</f>
        <v/>
      </c>
      <c r="Q65">
        <f>IF('Recurring Schedule'!$C$21="","",IF('Recurring Schedule'!$F$21="","",IF(OR($A65&lt;'Recurring Schedule'!$F$21,$A65&gt;'Recurring Schedule'!$P$21),"",IF(IF('Recurring Schedule'!$N$21&gt;0,MOD($A65-'Recurring Schedule'!$F$21,'Recurring Schedule'!$N$21)=0,IF('Recurring Schedule'!$O$21&gt;0,AND(DAY($A65)=MIN(DAY('Recurring Schedule'!$F$21),DAY(EOMONTH($A65,0))),MOD((YEAR($A65)-YEAR('Recurring Schedule'!$F$21))*12+MONTH($A65)-MONTH('Recurring Schedule'!$F$21),'Recurring Schedule'!$O$21)=0),IF('Recurring Schedule'!$E$21="Weekdays",WEEKDAY($A65,2)&lt;=5,$A65='Recurring Schedule'!$F$21))),16,""))))</f>
        <v/>
      </c>
      <c r="R65">
        <f>IF('Recurring Schedule'!$C$22="","",IF('Recurring Schedule'!$F$22="","",IF(OR($A65&lt;'Recurring Schedule'!$F$22,$A65&gt;'Recurring Schedule'!$P$22),"",IF(IF('Recurring Schedule'!$N$22&gt;0,MOD($A65-'Recurring Schedule'!$F$22,'Recurring Schedule'!$N$22)=0,IF('Recurring Schedule'!$O$22&gt;0,AND(DAY($A65)=MIN(DAY('Recurring Schedule'!$F$22),DAY(EOMONTH($A65,0))),MOD((YEAR($A65)-YEAR('Recurring Schedule'!$F$22))*12+MONTH($A65)-MONTH('Recurring Schedule'!$F$22),'Recurring Schedule'!$O$22)=0),IF('Recurring Schedule'!$E$22="Weekdays",WEEKDAY($A65,2)&lt;=5,$A65='Recurring Schedule'!$F$22))),17,""))))</f>
        <v/>
      </c>
      <c r="S65">
        <f>IF('Recurring Schedule'!$C$23="","",IF('Recurring Schedule'!$F$23="","",IF(OR($A65&lt;'Recurring Schedule'!$F$23,$A65&gt;'Recurring Schedule'!$P$23),"",IF(IF('Recurring Schedule'!$N$23&gt;0,MOD($A65-'Recurring Schedule'!$F$23,'Recurring Schedule'!$N$23)=0,IF('Recurring Schedule'!$O$23&gt;0,AND(DAY($A65)=MIN(DAY('Recurring Schedule'!$F$23),DAY(EOMONTH($A65,0))),MOD((YEAR($A65)-YEAR('Recurring Schedule'!$F$23))*12+MONTH($A65)-MONTH('Recurring Schedule'!$F$23),'Recurring Schedule'!$O$23)=0),IF('Recurring Schedule'!$E$23="Weekdays",WEEKDAY($A65,2)&lt;=5,$A65='Recurring Schedule'!$F$23))),18,""))))</f>
        <v/>
      </c>
      <c r="T65">
        <f>IF('Recurring Schedule'!$C$24="","",IF('Recurring Schedule'!$F$24="","",IF(OR($A65&lt;'Recurring Schedule'!$F$24,$A65&gt;'Recurring Schedule'!$P$24),"",IF(IF('Recurring Schedule'!$N$24&gt;0,MOD($A65-'Recurring Schedule'!$F$24,'Recurring Schedule'!$N$24)=0,IF('Recurring Schedule'!$O$24&gt;0,AND(DAY($A65)=MIN(DAY('Recurring Schedule'!$F$24),DAY(EOMONTH($A65,0))),MOD((YEAR($A65)-YEAR('Recurring Schedule'!$F$24))*12+MONTH($A65)-MONTH('Recurring Schedule'!$F$24),'Recurring Schedule'!$O$24)=0),IF('Recurring Schedule'!$E$24="Weekdays",WEEKDAY($A65,2)&lt;=5,$A65='Recurring Schedule'!$F$24))),19,""))))</f>
        <v/>
      </c>
      <c r="U65">
        <f>IF('Recurring Schedule'!$C$25="","",IF('Recurring Schedule'!$F$25="","",IF(OR($A65&lt;'Recurring Schedule'!$F$25,$A65&gt;'Recurring Schedule'!$P$25),"",IF(IF('Recurring Schedule'!$N$25&gt;0,MOD($A65-'Recurring Schedule'!$F$25,'Recurring Schedule'!$N$25)=0,IF('Recurring Schedule'!$O$25&gt;0,AND(DAY($A65)=MIN(DAY('Recurring Schedule'!$F$25),DAY(EOMONTH($A65,0))),MOD((YEAR($A65)-YEAR('Recurring Schedule'!$F$25))*12+MONTH($A65)-MONTH('Recurring Schedule'!$F$25),'Recurring Schedule'!$O$25)=0),IF('Recurring Schedule'!$E$25="Weekdays",WEEKDAY($A65,2)&lt;=5,$A65='Recurring Schedule'!$F$25))),20,""))))</f>
        <v/>
      </c>
      <c r="V65">
        <f>IF('Recurring Schedule'!$C$26="","",IF('Recurring Schedule'!$F$26="","",IF(OR($A65&lt;'Recurring Schedule'!$F$26,$A65&gt;'Recurring Schedule'!$P$26),"",IF(IF('Recurring Schedule'!$N$26&gt;0,MOD($A65-'Recurring Schedule'!$F$26,'Recurring Schedule'!$N$26)=0,IF('Recurring Schedule'!$O$26&gt;0,AND(DAY($A65)=MIN(DAY('Recurring Schedule'!$F$26),DAY(EOMONTH($A65,0))),MOD((YEAR($A65)-YEAR('Recurring Schedule'!$F$26))*12+MONTH($A65)-MONTH('Recurring Schedule'!$F$26),'Recurring Schedule'!$O$26)=0),IF('Recurring Schedule'!$E$26="Weekdays",WEEKDAY($A65,2)&lt;=5,$A65='Recurring Schedule'!$F$26))),21,""))))</f>
        <v/>
      </c>
      <c r="W65">
        <f>IF('Recurring Schedule'!$C$27="","",IF('Recurring Schedule'!$F$27="","",IF(OR($A65&lt;'Recurring Schedule'!$F$27,$A65&gt;'Recurring Schedule'!$P$27),"",IF(IF('Recurring Schedule'!$N$27&gt;0,MOD($A65-'Recurring Schedule'!$F$27,'Recurring Schedule'!$N$27)=0,IF('Recurring Schedule'!$O$27&gt;0,AND(DAY($A65)=MIN(DAY('Recurring Schedule'!$F$27),DAY(EOMONTH($A65,0))),MOD((YEAR($A65)-YEAR('Recurring Schedule'!$F$27))*12+MONTH($A65)-MONTH('Recurring Schedule'!$F$27),'Recurring Schedule'!$O$27)=0),IF('Recurring Schedule'!$E$27="Weekdays",WEEKDAY($A65,2)&lt;=5,$A65='Recurring Schedule'!$F$27))),22,""))))</f>
        <v/>
      </c>
      <c r="X65">
        <f>IF('Recurring Schedule'!$C$28="","",IF('Recurring Schedule'!$F$28="","",IF(OR($A65&lt;'Recurring Schedule'!$F$28,$A65&gt;'Recurring Schedule'!$P$28),"",IF(IF('Recurring Schedule'!$N$28&gt;0,MOD($A65-'Recurring Schedule'!$F$28,'Recurring Schedule'!$N$28)=0,IF('Recurring Schedule'!$O$28&gt;0,AND(DAY($A65)=MIN(DAY('Recurring Schedule'!$F$28),DAY(EOMONTH($A65,0))),MOD((YEAR($A65)-YEAR('Recurring Schedule'!$F$28))*12+MONTH($A65)-MONTH('Recurring Schedule'!$F$28),'Recurring Schedule'!$O$28)=0),IF('Recurring Schedule'!$E$28="Weekdays",WEEKDAY($A65,2)&lt;=5,$A65='Recurring Schedule'!$F$28))),23,""))))</f>
        <v/>
      </c>
      <c r="Y65">
        <f>IF('Recurring Schedule'!$C$29="","",IF('Recurring Schedule'!$F$29="","",IF(OR($A65&lt;'Recurring Schedule'!$F$29,$A65&gt;'Recurring Schedule'!$P$29),"",IF(IF('Recurring Schedule'!$N$29&gt;0,MOD($A65-'Recurring Schedule'!$F$29,'Recurring Schedule'!$N$29)=0,IF('Recurring Schedule'!$O$29&gt;0,AND(DAY($A65)=MIN(DAY('Recurring Schedule'!$F$29),DAY(EOMONTH($A65,0))),MOD((YEAR($A65)-YEAR('Recurring Schedule'!$F$29))*12+MONTH($A65)-MONTH('Recurring Schedule'!$F$29),'Recurring Schedule'!$O$29)=0),IF('Recurring Schedule'!$E$29="Weekdays",WEEKDAY($A65,2)&lt;=5,$A65='Recurring Schedule'!$F$29))),24,""))))</f>
        <v/>
      </c>
      <c r="Z65">
        <f>IF('Recurring Schedule'!$C$30="","",IF('Recurring Schedule'!$F$30="","",IF(OR($A65&lt;'Recurring Schedule'!$F$30,$A65&gt;'Recurring Schedule'!$P$30),"",IF(IF('Recurring Schedule'!$N$30&gt;0,MOD($A65-'Recurring Schedule'!$F$30,'Recurring Schedule'!$N$30)=0,IF('Recurring Schedule'!$O$30&gt;0,AND(DAY($A65)=MIN(DAY('Recurring Schedule'!$F$30),DAY(EOMONTH($A65,0))),MOD((YEAR($A65)-YEAR('Recurring Schedule'!$F$30))*12+MONTH($A65)-MONTH('Recurring Schedule'!$F$30),'Recurring Schedule'!$O$30)=0),IF('Recurring Schedule'!$E$30="Weekdays",WEEKDAY($A65,2)&lt;=5,$A65='Recurring Schedule'!$F$30))),25,""))))</f>
        <v/>
      </c>
      <c r="AA65">
        <f>IF('Recurring Schedule'!$C$31="","",IF('Recurring Schedule'!$F$31="","",IF(OR($A65&lt;'Recurring Schedule'!$F$31,$A65&gt;'Recurring Schedule'!$P$31),"",IF(IF('Recurring Schedule'!$N$31&gt;0,MOD($A65-'Recurring Schedule'!$F$31,'Recurring Schedule'!$N$31)=0,IF('Recurring Schedule'!$O$31&gt;0,AND(DAY($A65)=MIN(DAY('Recurring Schedule'!$F$31),DAY(EOMONTH($A65,0))),MOD((YEAR($A65)-YEAR('Recurring Schedule'!$F$31))*12+MONTH($A65)-MONTH('Recurring Schedule'!$F$31),'Recurring Schedule'!$O$31)=0),IF('Recurring Schedule'!$E$31="Weekdays",WEEKDAY($A65,2)&lt;=5,$A65='Recurring Schedule'!$F$31))),26,""))))</f>
        <v/>
      </c>
      <c r="AB65">
        <f>IF('Recurring Schedule'!$C$32="","",IF('Recurring Schedule'!$F$32="","",IF(OR($A65&lt;'Recurring Schedule'!$F$32,$A65&gt;'Recurring Schedule'!$P$32),"",IF(IF('Recurring Schedule'!$N$32&gt;0,MOD($A65-'Recurring Schedule'!$F$32,'Recurring Schedule'!$N$32)=0,IF('Recurring Schedule'!$O$32&gt;0,AND(DAY($A65)=MIN(DAY('Recurring Schedule'!$F$32),DAY(EOMONTH($A65,0))),MOD((YEAR($A65)-YEAR('Recurring Schedule'!$F$32))*12+MONTH($A65)-MONTH('Recurring Schedule'!$F$32),'Recurring Schedule'!$O$32)=0),IF('Recurring Schedule'!$E$32="Weekdays",WEEKDAY($A65,2)&lt;=5,$A65='Recurring Schedule'!$F$32))),27,""))))</f>
        <v/>
      </c>
      <c r="AC65">
        <f>IF('Recurring Schedule'!$C$33="","",IF('Recurring Schedule'!$F$33="","",IF(OR($A65&lt;'Recurring Schedule'!$F$33,$A65&gt;'Recurring Schedule'!$P$33),"",IF(IF('Recurring Schedule'!$N$33&gt;0,MOD($A65-'Recurring Schedule'!$F$33,'Recurring Schedule'!$N$33)=0,IF('Recurring Schedule'!$O$33&gt;0,AND(DAY($A65)=MIN(DAY('Recurring Schedule'!$F$33),DAY(EOMONTH($A65,0))),MOD((YEAR($A65)-YEAR('Recurring Schedule'!$F$33))*12+MONTH($A65)-MONTH('Recurring Schedule'!$F$33),'Recurring Schedule'!$O$33)=0),IF('Recurring Schedule'!$E$33="Weekdays",WEEKDAY($A65,2)&lt;=5,$A65='Recurring Schedule'!$F$33))),28,""))))</f>
        <v/>
      </c>
      <c r="AD65">
        <f>IF('Recurring Schedule'!$C$34="","",IF('Recurring Schedule'!$F$34="","",IF(OR($A65&lt;'Recurring Schedule'!$F$34,$A65&gt;'Recurring Schedule'!$P$34),"",IF(IF('Recurring Schedule'!$N$34&gt;0,MOD($A65-'Recurring Schedule'!$F$34,'Recurring Schedule'!$N$34)=0,IF('Recurring Schedule'!$O$34&gt;0,AND(DAY($A65)=MIN(DAY('Recurring Schedule'!$F$34),DAY(EOMONTH($A65,0))),MOD((YEAR($A65)-YEAR('Recurring Schedule'!$F$34))*12+MONTH($A65)-MONTH('Recurring Schedule'!$F$34),'Recurring Schedule'!$O$34)=0),IF('Recurring Schedule'!$E$34="Weekdays",WEEKDAY($A65,2)&lt;=5,$A65='Recurring Schedule'!$F$34))),29,""))))</f>
        <v/>
      </c>
      <c r="AE65">
        <f>IF('Recurring Schedule'!$C$35="","",IF('Recurring Schedule'!$F$35="","",IF(OR($A65&lt;'Recurring Schedule'!$F$35,$A65&gt;'Recurring Schedule'!$P$35),"",IF(IF('Recurring Schedule'!$N$35&gt;0,MOD($A65-'Recurring Schedule'!$F$35,'Recurring Schedule'!$N$35)=0,IF('Recurring Schedule'!$O$35&gt;0,AND(DAY($A65)=MIN(DAY('Recurring Schedule'!$F$35),DAY(EOMONTH($A65,0))),MOD((YEAR($A65)-YEAR('Recurring Schedule'!$F$35))*12+MONTH($A65)-MONTH('Recurring Schedule'!$F$35),'Recurring Schedule'!$O$35)=0),IF('Recurring Schedule'!$E$35="Weekdays",WEEKDAY($A65,2)&lt;=5,$A65='Recurring Schedule'!$F$35))),30,""))))</f>
        <v/>
      </c>
      <c r="AF65">
        <f>IF('Recurring Schedule'!$C$36="","",IF('Recurring Schedule'!$F$36="","",IF(OR($A65&lt;'Recurring Schedule'!$F$36,$A65&gt;'Recurring Schedule'!$P$36),"",IF(IF('Recurring Schedule'!$N$36&gt;0,MOD($A65-'Recurring Schedule'!$F$36,'Recurring Schedule'!$N$36)=0,IF('Recurring Schedule'!$O$36&gt;0,AND(DAY($A65)=MIN(DAY('Recurring Schedule'!$F$36),DAY(EOMONTH($A65,0))),MOD((YEAR($A65)-YEAR('Recurring Schedule'!$F$36))*12+MONTH($A65)-MONTH('Recurring Schedule'!$F$36),'Recurring Schedule'!$O$36)=0),IF('Recurring Schedule'!$E$36="Weekdays",WEEKDAY($A65,2)&lt;=5,$A65='Recurring Schedule'!$F$36))),31,""))))</f>
        <v/>
      </c>
      <c r="AG65">
        <f>IF('Recurring Schedule'!$C$37="","",IF('Recurring Schedule'!$F$37="","",IF(OR($A65&lt;'Recurring Schedule'!$F$37,$A65&gt;'Recurring Schedule'!$P$37),"",IF(IF('Recurring Schedule'!$N$37&gt;0,MOD($A65-'Recurring Schedule'!$F$37,'Recurring Schedule'!$N$37)=0,IF('Recurring Schedule'!$O$37&gt;0,AND(DAY($A65)=MIN(DAY('Recurring Schedule'!$F$37),DAY(EOMONTH($A65,0))),MOD((YEAR($A65)-YEAR('Recurring Schedule'!$F$37))*12+MONTH($A65)-MONTH('Recurring Schedule'!$F$37),'Recurring Schedule'!$O$37)=0),IF('Recurring Schedule'!$E$37="Weekdays",WEEKDAY($A65,2)&lt;=5,$A65='Recurring Schedule'!$F$37))),32,""))))</f>
        <v/>
      </c>
      <c r="AH65">
        <f>IF('Recurring Schedule'!$C$38="","",IF('Recurring Schedule'!$F$38="","",IF(OR($A65&lt;'Recurring Schedule'!$F$38,$A65&gt;'Recurring Schedule'!$P$38),"",IF(IF('Recurring Schedule'!$N$38&gt;0,MOD($A65-'Recurring Schedule'!$F$38,'Recurring Schedule'!$N$38)=0,IF('Recurring Schedule'!$O$38&gt;0,AND(DAY($A65)=MIN(DAY('Recurring Schedule'!$F$38),DAY(EOMONTH($A65,0))),MOD((YEAR($A65)-YEAR('Recurring Schedule'!$F$38))*12+MONTH($A65)-MONTH('Recurring Schedule'!$F$38),'Recurring Schedule'!$O$38)=0),IF('Recurring Schedule'!$E$38="Weekdays",WEEKDAY($A65,2)&lt;=5,$A65='Recurring Schedule'!$F$38))),33,""))))</f>
        <v/>
      </c>
      <c r="AI65">
        <f>IF('Recurring Schedule'!$C$39="","",IF('Recurring Schedule'!$F$39="","",IF(OR($A65&lt;'Recurring Schedule'!$F$39,$A65&gt;'Recurring Schedule'!$P$39),"",IF(IF('Recurring Schedule'!$N$39&gt;0,MOD($A65-'Recurring Schedule'!$F$39,'Recurring Schedule'!$N$39)=0,IF('Recurring Schedule'!$O$39&gt;0,AND(DAY($A65)=MIN(DAY('Recurring Schedule'!$F$39),DAY(EOMONTH($A65,0))),MOD((YEAR($A65)-YEAR('Recurring Schedule'!$F$39))*12+MONTH($A65)-MONTH('Recurring Schedule'!$F$39),'Recurring Schedule'!$O$39)=0),IF('Recurring Schedule'!$E$39="Weekdays",WEEKDAY($A65,2)&lt;=5,$A65='Recurring Schedule'!$F$39))),34,""))))</f>
        <v/>
      </c>
      <c r="AJ65">
        <f>IF('Recurring Schedule'!$C$40="","",IF('Recurring Schedule'!$F$40="","",IF(OR($A65&lt;'Recurring Schedule'!$F$40,$A65&gt;'Recurring Schedule'!$P$40),"",IF(IF('Recurring Schedule'!$N$40&gt;0,MOD($A65-'Recurring Schedule'!$F$40,'Recurring Schedule'!$N$40)=0,IF('Recurring Schedule'!$O$40&gt;0,AND(DAY($A65)=MIN(DAY('Recurring Schedule'!$F$40),DAY(EOMONTH($A65,0))),MOD((YEAR($A65)-YEAR('Recurring Schedule'!$F$40))*12+MONTH($A65)-MONTH('Recurring Schedule'!$F$40),'Recurring Schedule'!$O$40)=0),IF('Recurring Schedule'!$E$40="Weekdays",WEEKDAY($A65,2)&lt;=5,$A65='Recurring Schedule'!$F$40))),35,""))))</f>
        <v/>
      </c>
      <c r="AK65">
        <f>IF('Recurring Schedule'!$C$41="","",IF('Recurring Schedule'!$F$41="","",IF(OR($A65&lt;'Recurring Schedule'!$F$41,$A65&gt;'Recurring Schedule'!$P$41),"",IF(IF('Recurring Schedule'!$N$41&gt;0,MOD($A65-'Recurring Schedule'!$F$41,'Recurring Schedule'!$N$41)=0,IF('Recurring Schedule'!$O$41&gt;0,AND(DAY($A65)=MIN(DAY('Recurring Schedule'!$F$41),DAY(EOMONTH($A65,0))),MOD((YEAR($A65)-YEAR('Recurring Schedule'!$F$41))*12+MONTH($A65)-MONTH('Recurring Schedule'!$F$41),'Recurring Schedule'!$O$41)=0),IF('Recurring Schedule'!$E$41="Weekdays",WEEKDAY($A65,2)&lt;=5,$A65='Recurring Schedule'!$F$41))),36,""))))</f>
        <v/>
      </c>
      <c r="AL65">
        <f>IF('Recurring Schedule'!$C$42="","",IF('Recurring Schedule'!$F$42="","",IF(OR($A65&lt;'Recurring Schedule'!$F$42,$A65&gt;'Recurring Schedule'!$P$42),"",IF(IF('Recurring Schedule'!$N$42&gt;0,MOD($A65-'Recurring Schedule'!$F$42,'Recurring Schedule'!$N$42)=0,IF('Recurring Schedule'!$O$42&gt;0,AND(DAY($A65)=MIN(DAY('Recurring Schedule'!$F$42),DAY(EOMONTH($A65,0))),MOD((YEAR($A65)-YEAR('Recurring Schedule'!$F$42))*12+MONTH($A65)-MONTH('Recurring Schedule'!$F$42),'Recurring Schedule'!$O$42)=0),IF('Recurring Schedule'!$E$42="Weekdays",WEEKDAY($A65,2)&lt;=5,$A65='Recurring Schedule'!$F$42))),37,""))))</f>
        <v/>
      </c>
      <c r="AM65">
        <f>IF('Recurring Schedule'!$C$43="","",IF('Recurring Schedule'!$F$43="","",IF(OR($A65&lt;'Recurring Schedule'!$F$43,$A65&gt;'Recurring Schedule'!$P$43),"",IF(IF('Recurring Schedule'!$N$43&gt;0,MOD($A65-'Recurring Schedule'!$F$43,'Recurring Schedule'!$N$43)=0,IF('Recurring Schedule'!$O$43&gt;0,AND(DAY($A65)=MIN(DAY('Recurring Schedule'!$F$43),DAY(EOMONTH($A65,0))),MOD((YEAR($A65)-YEAR('Recurring Schedule'!$F$43))*12+MONTH($A65)-MONTH('Recurring Schedule'!$F$43),'Recurring Schedule'!$O$43)=0),IF('Recurring Schedule'!$E$43="Weekdays",WEEKDAY($A65,2)&lt;=5,$A65='Recurring Schedule'!$F$43))),38,""))))</f>
        <v/>
      </c>
      <c r="AN65">
        <f>IF('Recurring Schedule'!$C$44="","",IF('Recurring Schedule'!$F$44="","",IF(OR($A65&lt;'Recurring Schedule'!$F$44,$A65&gt;'Recurring Schedule'!$P$44),"",IF(IF('Recurring Schedule'!$N$44&gt;0,MOD($A65-'Recurring Schedule'!$F$44,'Recurring Schedule'!$N$44)=0,IF('Recurring Schedule'!$O$44&gt;0,AND(DAY($A65)=MIN(DAY('Recurring Schedule'!$F$44),DAY(EOMONTH($A65,0))),MOD((YEAR($A65)-YEAR('Recurring Schedule'!$F$44))*12+MONTH($A65)-MONTH('Recurring Schedule'!$F$44),'Recurring Schedule'!$O$44)=0),IF('Recurring Schedule'!$E$44="Weekdays",WEEKDAY($A65,2)&lt;=5,$A65='Recurring Schedule'!$F$44))),39,""))))</f>
        <v/>
      </c>
      <c r="AO65">
        <f>IF('Recurring Schedule'!$C$45="","",IF('Recurring Schedule'!$F$45="","",IF(OR($A65&lt;'Recurring Schedule'!$F$45,$A65&gt;'Recurring Schedule'!$P$45),"",IF(IF('Recurring Schedule'!$N$45&gt;0,MOD($A65-'Recurring Schedule'!$F$45,'Recurring Schedule'!$N$45)=0,IF('Recurring Schedule'!$O$45&gt;0,AND(DAY($A65)=MIN(DAY('Recurring Schedule'!$F$45),DAY(EOMONTH($A65,0))),MOD((YEAR($A65)-YEAR('Recurring Schedule'!$F$45))*12+MONTH($A65)-MONTH('Recurring Schedule'!$F$45),'Recurring Schedule'!$O$45)=0),IF('Recurring Schedule'!$E$45="Weekdays",WEEKDAY($A65,2)&lt;=5,$A65='Recurring Schedule'!$F$45))),40,""))))</f>
        <v/>
      </c>
      <c r="AP65">
        <f>COUNT(B65:AO65)</f>
        <v/>
      </c>
      <c r="AQ65">
        <f>AQ64+AP64</f>
        <v/>
      </c>
      <c r="AS65" t="inlineStr">
        <is>
          <t>R</t>
        </is>
      </c>
      <c r="AT65" t="n">
        <v>69</v>
      </c>
      <c r="AU65">
        <f>'Recurring Log'!C69&amp;""</f>
        <v/>
      </c>
      <c r="AV65">
        <f>'Recurring Log'!D69&amp;""</f>
        <v/>
      </c>
      <c r="AW65">
        <f>IF('Recurring Log'!E69="","",'Recurring Log'!E69)</f>
        <v/>
      </c>
      <c r="AX65">
        <f>IF('Recurring Log'!G69="","",'Recurring Log'!G69)</f>
        <v/>
      </c>
      <c r="AY65">
        <f>IF('Recurring Log'!H69="","",'Recurring Log'!H69)</f>
        <v/>
      </c>
      <c r="AZ65">
        <f>IF(AU65="","",IF('Recurring Log'!J69="","Not Started",'Recurring Log'!J69))</f>
        <v/>
      </c>
      <c r="BA65">
        <f>'Recurring Log'!L69&amp;""</f>
        <v/>
      </c>
      <c r="BB65">
        <f>'Recurring Log'!M69&amp;""</f>
        <v/>
      </c>
      <c r="BC65">
        <f>'Recurring Log'!N69&amp;""</f>
        <v/>
      </c>
      <c r="BD65">
        <f>'Recurring Log'!O69&amp;""</f>
        <v/>
      </c>
      <c r="BE65">
        <f>IF('Recurring Log'!K69="","",'Recurring Log'!K69)</f>
        <v/>
      </c>
      <c r="BF65">
        <f>IFERROR(MATCH(BA65,Setup!$L$6:$L$9,0),5)</f>
        <v/>
      </c>
      <c r="BG65">
        <f>IF(OR(AZ65="Done",AZ65="Cancelled"),1,0)</f>
        <v/>
      </c>
      <c r="BH65">
        <f>IF(AND(AU65&lt;&gt;"",ISNUMBER(AW65)),1,0)</f>
        <v/>
      </c>
      <c r="BI65">
        <f>IF(BH65=0,0,IF(AND(AW65&gt;='Tasks Filter'!$F$3,AW65&lt;='Tasks Filter'!$F$4,OR('Tasks Filter'!$I$3="",ISNUMBER(SEARCH('Tasks Filter'!$I$3,AU65))),OR('Tasks Filter'!$I$4="",BF65=IFERROR(MATCH('Tasks Filter'!$I$4,Setup!$L$6:$L$9,0),0)),OR('Tasks Filter'!$I$5="Both",AND('Tasks Filter'!$I$5="Yes",BB65="✓"),AND('Tasks Filter'!$I$5="No",BB65&lt;&gt;"✓")),OR('Tasks Filter'!$L$3="",AV65='Tasks Filter'!$L$3),OR('Tasks Filter'!$L$4="",AZ65='Tasks Filter'!$L$4),OR('Tasks Filter'!$L$5="",BC65='Tasks Filter'!$L$5),OR('Tasks Filter'!$O$3="",BD65='Tasks Filter'!$O$3),OR('Tasks Filter'!$O$4="Yes",BG65=0)),1,0))</f>
        <v/>
      </c>
      <c r="BJ65">
        <f>IF(BH65=0,"",IF('Tasks Filter'!$F$6="Descending",-1,1)*CHOOSE(MATCH('Tasks Filter'!$F$5,Lists!$G$2:$G$6,0),AW65,BF65,IFERROR(MATCH(AV65,Setup!$F$6:$F$15,0),99),IFERROR(MATCH(BC65,Setup!$H$6:$H$15,0),99),IFERROR(MATCH(AZ65,Setup!$J$6:$J$11,0),99))*1E+9+(AW65-40000)*10000+64)</f>
        <v/>
      </c>
      <c r="BK65">
        <f>IF(BI65=1,BJ65,"")</f>
        <v/>
      </c>
      <c r="BL65">
        <f>IF(AND(BH65=1,BG65=0,N(AW65)&lt;Setup!$D$7),(AW65-40000)*10000+64,"")</f>
        <v/>
      </c>
      <c r="BM65">
        <f>IF(AND(BH65=1,AZ65&lt;&gt;"Cancelled",N(AW65)&gt;=Dashboard!$AB$3,N(AW65)&lt;=Dashboard!$AB$3+6),(AW65-40000)*100000+BF65*10000+64,"")</f>
        <v/>
      </c>
      <c r="BN65">
        <f>IF(AND(BH65=1,AZ65&lt;&gt;"Cancelled"),BF65*10000+64,"")</f>
        <v/>
      </c>
    </row>
    <row r="66">
      <c r="A66">
        <f>Setup!$D$5+64</f>
        <v/>
      </c>
      <c r="B66">
        <f>IF('Recurring Schedule'!$C$6="","",IF('Recurring Schedule'!$F$6="","",IF(OR($A66&lt;'Recurring Schedule'!$F$6,$A66&gt;'Recurring Schedule'!$P$6),"",IF(IF('Recurring Schedule'!$N$6&gt;0,MOD($A66-'Recurring Schedule'!$F$6,'Recurring Schedule'!$N$6)=0,IF('Recurring Schedule'!$O$6&gt;0,AND(DAY($A66)=MIN(DAY('Recurring Schedule'!$F$6),DAY(EOMONTH($A66,0))),MOD((YEAR($A66)-YEAR('Recurring Schedule'!$F$6))*12+MONTH($A66)-MONTH('Recurring Schedule'!$F$6),'Recurring Schedule'!$O$6)=0),IF('Recurring Schedule'!$E$6="Weekdays",WEEKDAY($A66,2)&lt;=5,$A66='Recurring Schedule'!$F$6))),1,""))))</f>
        <v/>
      </c>
      <c r="C66">
        <f>IF('Recurring Schedule'!$C$7="","",IF('Recurring Schedule'!$F$7="","",IF(OR($A66&lt;'Recurring Schedule'!$F$7,$A66&gt;'Recurring Schedule'!$P$7),"",IF(IF('Recurring Schedule'!$N$7&gt;0,MOD($A66-'Recurring Schedule'!$F$7,'Recurring Schedule'!$N$7)=0,IF('Recurring Schedule'!$O$7&gt;0,AND(DAY($A66)=MIN(DAY('Recurring Schedule'!$F$7),DAY(EOMONTH($A66,0))),MOD((YEAR($A66)-YEAR('Recurring Schedule'!$F$7))*12+MONTH($A66)-MONTH('Recurring Schedule'!$F$7),'Recurring Schedule'!$O$7)=0),IF('Recurring Schedule'!$E$7="Weekdays",WEEKDAY($A66,2)&lt;=5,$A66='Recurring Schedule'!$F$7))),2,""))))</f>
        <v/>
      </c>
      <c r="D66">
        <f>IF('Recurring Schedule'!$C$8="","",IF('Recurring Schedule'!$F$8="","",IF(OR($A66&lt;'Recurring Schedule'!$F$8,$A66&gt;'Recurring Schedule'!$P$8),"",IF(IF('Recurring Schedule'!$N$8&gt;0,MOD($A66-'Recurring Schedule'!$F$8,'Recurring Schedule'!$N$8)=0,IF('Recurring Schedule'!$O$8&gt;0,AND(DAY($A66)=MIN(DAY('Recurring Schedule'!$F$8),DAY(EOMONTH($A66,0))),MOD((YEAR($A66)-YEAR('Recurring Schedule'!$F$8))*12+MONTH($A66)-MONTH('Recurring Schedule'!$F$8),'Recurring Schedule'!$O$8)=0),IF('Recurring Schedule'!$E$8="Weekdays",WEEKDAY($A66,2)&lt;=5,$A66='Recurring Schedule'!$F$8))),3,""))))</f>
        <v/>
      </c>
      <c r="E66">
        <f>IF('Recurring Schedule'!$C$9="","",IF('Recurring Schedule'!$F$9="","",IF(OR($A66&lt;'Recurring Schedule'!$F$9,$A66&gt;'Recurring Schedule'!$P$9),"",IF(IF('Recurring Schedule'!$N$9&gt;0,MOD($A66-'Recurring Schedule'!$F$9,'Recurring Schedule'!$N$9)=0,IF('Recurring Schedule'!$O$9&gt;0,AND(DAY($A66)=MIN(DAY('Recurring Schedule'!$F$9),DAY(EOMONTH($A66,0))),MOD((YEAR($A66)-YEAR('Recurring Schedule'!$F$9))*12+MONTH($A66)-MONTH('Recurring Schedule'!$F$9),'Recurring Schedule'!$O$9)=0),IF('Recurring Schedule'!$E$9="Weekdays",WEEKDAY($A66,2)&lt;=5,$A66='Recurring Schedule'!$F$9))),4,""))))</f>
        <v/>
      </c>
      <c r="F66">
        <f>IF('Recurring Schedule'!$C$10="","",IF('Recurring Schedule'!$F$10="","",IF(OR($A66&lt;'Recurring Schedule'!$F$10,$A66&gt;'Recurring Schedule'!$P$10),"",IF(IF('Recurring Schedule'!$N$10&gt;0,MOD($A66-'Recurring Schedule'!$F$10,'Recurring Schedule'!$N$10)=0,IF('Recurring Schedule'!$O$10&gt;0,AND(DAY($A66)=MIN(DAY('Recurring Schedule'!$F$10),DAY(EOMONTH($A66,0))),MOD((YEAR($A66)-YEAR('Recurring Schedule'!$F$10))*12+MONTH($A66)-MONTH('Recurring Schedule'!$F$10),'Recurring Schedule'!$O$10)=0),IF('Recurring Schedule'!$E$10="Weekdays",WEEKDAY($A66,2)&lt;=5,$A66='Recurring Schedule'!$F$10))),5,""))))</f>
        <v/>
      </c>
      <c r="G66">
        <f>IF('Recurring Schedule'!$C$11="","",IF('Recurring Schedule'!$F$11="","",IF(OR($A66&lt;'Recurring Schedule'!$F$11,$A66&gt;'Recurring Schedule'!$P$11),"",IF(IF('Recurring Schedule'!$N$11&gt;0,MOD($A66-'Recurring Schedule'!$F$11,'Recurring Schedule'!$N$11)=0,IF('Recurring Schedule'!$O$11&gt;0,AND(DAY($A66)=MIN(DAY('Recurring Schedule'!$F$11),DAY(EOMONTH($A66,0))),MOD((YEAR($A66)-YEAR('Recurring Schedule'!$F$11))*12+MONTH($A66)-MONTH('Recurring Schedule'!$F$11),'Recurring Schedule'!$O$11)=0),IF('Recurring Schedule'!$E$11="Weekdays",WEEKDAY($A66,2)&lt;=5,$A66='Recurring Schedule'!$F$11))),6,""))))</f>
        <v/>
      </c>
      <c r="H66">
        <f>IF('Recurring Schedule'!$C$12="","",IF('Recurring Schedule'!$F$12="","",IF(OR($A66&lt;'Recurring Schedule'!$F$12,$A66&gt;'Recurring Schedule'!$P$12),"",IF(IF('Recurring Schedule'!$N$12&gt;0,MOD($A66-'Recurring Schedule'!$F$12,'Recurring Schedule'!$N$12)=0,IF('Recurring Schedule'!$O$12&gt;0,AND(DAY($A66)=MIN(DAY('Recurring Schedule'!$F$12),DAY(EOMONTH($A66,0))),MOD((YEAR($A66)-YEAR('Recurring Schedule'!$F$12))*12+MONTH($A66)-MONTH('Recurring Schedule'!$F$12),'Recurring Schedule'!$O$12)=0),IF('Recurring Schedule'!$E$12="Weekdays",WEEKDAY($A66,2)&lt;=5,$A66='Recurring Schedule'!$F$12))),7,""))))</f>
        <v/>
      </c>
      <c r="I66">
        <f>IF('Recurring Schedule'!$C$13="","",IF('Recurring Schedule'!$F$13="","",IF(OR($A66&lt;'Recurring Schedule'!$F$13,$A66&gt;'Recurring Schedule'!$P$13),"",IF(IF('Recurring Schedule'!$N$13&gt;0,MOD($A66-'Recurring Schedule'!$F$13,'Recurring Schedule'!$N$13)=0,IF('Recurring Schedule'!$O$13&gt;0,AND(DAY($A66)=MIN(DAY('Recurring Schedule'!$F$13),DAY(EOMONTH($A66,0))),MOD((YEAR($A66)-YEAR('Recurring Schedule'!$F$13))*12+MONTH($A66)-MONTH('Recurring Schedule'!$F$13),'Recurring Schedule'!$O$13)=0),IF('Recurring Schedule'!$E$13="Weekdays",WEEKDAY($A66,2)&lt;=5,$A66='Recurring Schedule'!$F$13))),8,""))))</f>
        <v/>
      </c>
      <c r="J66">
        <f>IF('Recurring Schedule'!$C$14="","",IF('Recurring Schedule'!$F$14="","",IF(OR($A66&lt;'Recurring Schedule'!$F$14,$A66&gt;'Recurring Schedule'!$P$14),"",IF(IF('Recurring Schedule'!$N$14&gt;0,MOD($A66-'Recurring Schedule'!$F$14,'Recurring Schedule'!$N$14)=0,IF('Recurring Schedule'!$O$14&gt;0,AND(DAY($A66)=MIN(DAY('Recurring Schedule'!$F$14),DAY(EOMONTH($A66,0))),MOD((YEAR($A66)-YEAR('Recurring Schedule'!$F$14))*12+MONTH($A66)-MONTH('Recurring Schedule'!$F$14),'Recurring Schedule'!$O$14)=0),IF('Recurring Schedule'!$E$14="Weekdays",WEEKDAY($A66,2)&lt;=5,$A66='Recurring Schedule'!$F$14))),9,""))))</f>
        <v/>
      </c>
      <c r="K66">
        <f>IF('Recurring Schedule'!$C$15="","",IF('Recurring Schedule'!$F$15="","",IF(OR($A66&lt;'Recurring Schedule'!$F$15,$A66&gt;'Recurring Schedule'!$P$15),"",IF(IF('Recurring Schedule'!$N$15&gt;0,MOD($A66-'Recurring Schedule'!$F$15,'Recurring Schedule'!$N$15)=0,IF('Recurring Schedule'!$O$15&gt;0,AND(DAY($A66)=MIN(DAY('Recurring Schedule'!$F$15),DAY(EOMONTH($A66,0))),MOD((YEAR($A66)-YEAR('Recurring Schedule'!$F$15))*12+MONTH($A66)-MONTH('Recurring Schedule'!$F$15),'Recurring Schedule'!$O$15)=0),IF('Recurring Schedule'!$E$15="Weekdays",WEEKDAY($A66,2)&lt;=5,$A66='Recurring Schedule'!$F$15))),10,""))))</f>
        <v/>
      </c>
      <c r="L66">
        <f>IF('Recurring Schedule'!$C$16="","",IF('Recurring Schedule'!$F$16="","",IF(OR($A66&lt;'Recurring Schedule'!$F$16,$A66&gt;'Recurring Schedule'!$P$16),"",IF(IF('Recurring Schedule'!$N$16&gt;0,MOD($A66-'Recurring Schedule'!$F$16,'Recurring Schedule'!$N$16)=0,IF('Recurring Schedule'!$O$16&gt;0,AND(DAY($A66)=MIN(DAY('Recurring Schedule'!$F$16),DAY(EOMONTH($A66,0))),MOD((YEAR($A66)-YEAR('Recurring Schedule'!$F$16))*12+MONTH($A66)-MONTH('Recurring Schedule'!$F$16),'Recurring Schedule'!$O$16)=0),IF('Recurring Schedule'!$E$16="Weekdays",WEEKDAY($A66,2)&lt;=5,$A66='Recurring Schedule'!$F$16))),11,""))))</f>
        <v/>
      </c>
      <c r="M66">
        <f>IF('Recurring Schedule'!$C$17="","",IF('Recurring Schedule'!$F$17="","",IF(OR($A66&lt;'Recurring Schedule'!$F$17,$A66&gt;'Recurring Schedule'!$P$17),"",IF(IF('Recurring Schedule'!$N$17&gt;0,MOD($A66-'Recurring Schedule'!$F$17,'Recurring Schedule'!$N$17)=0,IF('Recurring Schedule'!$O$17&gt;0,AND(DAY($A66)=MIN(DAY('Recurring Schedule'!$F$17),DAY(EOMONTH($A66,0))),MOD((YEAR($A66)-YEAR('Recurring Schedule'!$F$17))*12+MONTH($A66)-MONTH('Recurring Schedule'!$F$17),'Recurring Schedule'!$O$17)=0),IF('Recurring Schedule'!$E$17="Weekdays",WEEKDAY($A66,2)&lt;=5,$A66='Recurring Schedule'!$F$17))),12,""))))</f>
        <v/>
      </c>
      <c r="N66">
        <f>IF('Recurring Schedule'!$C$18="","",IF('Recurring Schedule'!$F$18="","",IF(OR($A66&lt;'Recurring Schedule'!$F$18,$A66&gt;'Recurring Schedule'!$P$18),"",IF(IF('Recurring Schedule'!$N$18&gt;0,MOD($A66-'Recurring Schedule'!$F$18,'Recurring Schedule'!$N$18)=0,IF('Recurring Schedule'!$O$18&gt;0,AND(DAY($A66)=MIN(DAY('Recurring Schedule'!$F$18),DAY(EOMONTH($A66,0))),MOD((YEAR($A66)-YEAR('Recurring Schedule'!$F$18))*12+MONTH($A66)-MONTH('Recurring Schedule'!$F$18),'Recurring Schedule'!$O$18)=0),IF('Recurring Schedule'!$E$18="Weekdays",WEEKDAY($A66,2)&lt;=5,$A66='Recurring Schedule'!$F$18))),13,""))))</f>
        <v/>
      </c>
      <c r="O66">
        <f>IF('Recurring Schedule'!$C$19="","",IF('Recurring Schedule'!$F$19="","",IF(OR($A66&lt;'Recurring Schedule'!$F$19,$A66&gt;'Recurring Schedule'!$P$19),"",IF(IF('Recurring Schedule'!$N$19&gt;0,MOD($A66-'Recurring Schedule'!$F$19,'Recurring Schedule'!$N$19)=0,IF('Recurring Schedule'!$O$19&gt;0,AND(DAY($A66)=MIN(DAY('Recurring Schedule'!$F$19),DAY(EOMONTH($A66,0))),MOD((YEAR($A66)-YEAR('Recurring Schedule'!$F$19))*12+MONTH($A66)-MONTH('Recurring Schedule'!$F$19),'Recurring Schedule'!$O$19)=0),IF('Recurring Schedule'!$E$19="Weekdays",WEEKDAY($A66,2)&lt;=5,$A66='Recurring Schedule'!$F$19))),14,""))))</f>
        <v/>
      </c>
      <c r="P66">
        <f>IF('Recurring Schedule'!$C$20="","",IF('Recurring Schedule'!$F$20="","",IF(OR($A66&lt;'Recurring Schedule'!$F$20,$A66&gt;'Recurring Schedule'!$P$20),"",IF(IF('Recurring Schedule'!$N$20&gt;0,MOD($A66-'Recurring Schedule'!$F$20,'Recurring Schedule'!$N$20)=0,IF('Recurring Schedule'!$O$20&gt;0,AND(DAY($A66)=MIN(DAY('Recurring Schedule'!$F$20),DAY(EOMONTH($A66,0))),MOD((YEAR($A66)-YEAR('Recurring Schedule'!$F$20))*12+MONTH($A66)-MONTH('Recurring Schedule'!$F$20),'Recurring Schedule'!$O$20)=0),IF('Recurring Schedule'!$E$20="Weekdays",WEEKDAY($A66,2)&lt;=5,$A66='Recurring Schedule'!$F$20))),15,""))))</f>
        <v/>
      </c>
      <c r="Q66">
        <f>IF('Recurring Schedule'!$C$21="","",IF('Recurring Schedule'!$F$21="","",IF(OR($A66&lt;'Recurring Schedule'!$F$21,$A66&gt;'Recurring Schedule'!$P$21),"",IF(IF('Recurring Schedule'!$N$21&gt;0,MOD($A66-'Recurring Schedule'!$F$21,'Recurring Schedule'!$N$21)=0,IF('Recurring Schedule'!$O$21&gt;0,AND(DAY($A66)=MIN(DAY('Recurring Schedule'!$F$21),DAY(EOMONTH($A66,0))),MOD((YEAR($A66)-YEAR('Recurring Schedule'!$F$21))*12+MONTH($A66)-MONTH('Recurring Schedule'!$F$21),'Recurring Schedule'!$O$21)=0),IF('Recurring Schedule'!$E$21="Weekdays",WEEKDAY($A66,2)&lt;=5,$A66='Recurring Schedule'!$F$21))),16,""))))</f>
        <v/>
      </c>
      <c r="R66">
        <f>IF('Recurring Schedule'!$C$22="","",IF('Recurring Schedule'!$F$22="","",IF(OR($A66&lt;'Recurring Schedule'!$F$22,$A66&gt;'Recurring Schedule'!$P$22),"",IF(IF('Recurring Schedule'!$N$22&gt;0,MOD($A66-'Recurring Schedule'!$F$22,'Recurring Schedule'!$N$22)=0,IF('Recurring Schedule'!$O$22&gt;0,AND(DAY($A66)=MIN(DAY('Recurring Schedule'!$F$22),DAY(EOMONTH($A66,0))),MOD((YEAR($A66)-YEAR('Recurring Schedule'!$F$22))*12+MONTH($A66)-MONTH('Recurring Schedule'!$F$22),'Recurring Schedule'!$O$22)=0),IF('Recurring Schedule'!$E$22="Weekdays",WEEKDAY($A66,2)&lt;=5,$A66='Recurring Schedule'!$F$22))),17,""))))</f>
        <v/>
      </c>
      <c r="S66">
        <f>IF('Recurring Schedule'!$C$23="","",IF('Recurring Schedule'!$F$23="","",IF(OR($A66&lt;'Recurring Schedule'!$F$23,$A66&gt;'Recurring Schedule'!$P$23),"",IF(IF('Recurring Schedule'!$N$23&gt;0,MOD($A66-'Recurring Schedule'!$F$23,'Recurring Schedule'!$N$23)=0,IF('Recurring Schedule'!$O$23&gt;0,AND(DAY($A66)=MIN(DAY('Recurring Schedule'!$F$23),DAY(EOMONTH($A66,0))),MOD((YEAR($A66)-YEAR('Recurring Schedule'!$F$23))*12+MONTH($A66)-MONTH('Recurring Schedule'!$F$23),'Recurring Schedule'!$O$23)=0),IF('Recurring Schedule'!$E$23="Weekdays",WEEKDAY($A66,2)&lt;=5,$A66='Recurring Schedule'!$F$23))),18,""))))</f>
        <v/>
      </c>
      <c r="T66">
        <f>IF('Recurring Schedule'!$C$24="","",IF('Recurring Schedule'!$F$24="","",IF(OR($A66&lt;'Recurring Schedule'!$F$24,$A66&gt;'Recurring Schedule'!$P$24),"",IF(IF('Recurring Schedule'!$N$24&gt;0,MOD($A66-'Recurring Schedule'!$F$24,'Recurring Schedule'!$N$24)=0,IF('Recurring Schedule'!$O$24&gt;0,AND(DAY($A66)=MIN(DAY('Recurring Schedule'!$F$24),DAY(EOMONTH($A66,0))),MOD((YEAR($A66)-YEAR('Recurring Schedule'!$F$24))*12+MONTH($A66)-MONTH('Recurring Schedule'!$F$24),'Recurring Schedule'!$O$24)=0),IF('Recurring Schedule'!$E$24="Weekdays",WEEKDAY($A66,2)&lt;=5,$A66='Recurring Schedule'!$F$24))),19,""))))</f>
        <v/>
      </c>
      <c r="U66">
        <f>IF('Recurring Schedule'!$C$25="","",IF('Recurring Schedule'!$F$25="","",IF(OR($A66&lt;'Recurring Schedule'!$F$25,$A66&gt;'Recurring Schedule'!$P$25),"",IF(IF('Recurring Schedule'!$N$25&gt;0,MOD($A66-'Recurring Schedule'!$F$25,'Recurring Schedule'!$N$25)=0,IF('Recurring Schedule'!$O$25&gt;0,AND(DAY($A66)=MIN(DAY('Recurring Schedule'!$F$25),DAY(EOMONTH($A66,0))),MOD((YEAR($A66)-YEAR('Recurring Schedule'!$F$25))*12+MONTH($A66)-MONTH('Recurring Schedule'!$F$25),'Recurring Schedule'!$O$25)=0),IF('Recurring Schedule'!$E$25="Weekdays",WEEKDAY($A66,2)&lt;=5,$A66='Recurring Schedule'!$F$25))),20,""))))</f>
        <v/>
      </c>
      <c r="V66">
        <f>IF('Recurring Schedule'!$C$26="","",IF('Recurring Schedule'!$F$26="","",IF(OR($A66&lt;'Recurring Schedule'!$F$26,$A66&gt;'Recurring Schedule'!$P$26),"",IF(IF('Recurring Schedule'!$N$26&gt;0,MOD($A66-'Recurring Schedule'!$F$26,'Recurring Schedule'!$N$26)=0,IF('Recurring Schedule'!$O$26&gt;0,AND(DAY($A66)=MIN(DAY('Recurring Schedule'!$F$26),DAY(EOMONTH($A66,0))),MOD((YEAR($A66)-YEAR('Recurring Schedule'!$F$26))*12+MONTH($A66)-MONTH('Recurring Schedule'!$F$26),'Recurring Schedule'!$O$26)=0),IF('Recurring Schedule'!$E$26="Weekdays",WEEKDAY($A66,2)&lt;=5,$A66='Recurring Schedule'!$F$26))),21,""))))</f>
        <v/>
      </c>
      <c r="W66">
        <f>IF('Recurring Schedule'!$C$27="","",IF('Recurring Schedule'!$F$27="","",IF(OR($A66&lt;'Recurring Schedule'!$F$27,$A66&gt;'Recurring Schedule'!$P$27),"",IF(IF('Recurring Schedule'!$N$27&gt;0,MOD($A66-'Recurring Schedule'!$F$27,'Recurring Schedule'!$N$27)=0,IF('Recurring Schedule'!$O$27&gt;0,AND(DAY($A66)=MIN(DAY('Recurring Schedule'!$F$27),DAY(EOMONTH($A66,0))),MOD((YEAR($A66)-YEAR('Recurring Schedule'!$F$27))*12+MONTH($A66)-MONTH('Recurring Schedule'!$F$27),'Recurring Schedule'!$O$27)=0),IF('Recurring Schedule'!$E$27="Weekdays",WEEKDAY($A66,2)&lt;=5,$A66='Recurring Schedule'!$F$27))),22,""))))</f>
        <v/>
      </c>
      <c r="X66">
        <f>IF('Recurring Schedule'!$C$28="","",IF('Recurring Schedule'!$F$28="","",IF(OR($A66&lt;'Recurring Schedule'!$F$28,$A66&gt;'Recurring Schedule'!$P$28),"",IF(IF('Recurring Schedule'!$N$28&gt;0,MOD($A66-'Recurring Schedule'!$F$28,'Recurring Schedule'!$N$28)=0,IF('Recurring Schedule'!$O$28&gt;0,AND(DAY($A66)=MIN(DAY('Recurring Schedule'!$F$28),DAY(EOMONTH($A66,0))),MOD((YEAR($A66)-YEAR('Recurring Schedule'!$F$28))*12+MONTH($A66)-MONTH('Recurring Schedule'!$F$28),'Recurring Schedule'!$O$28)=0),IF('Recurring Schedule'!$E$28="Weekdays",WEEKDAY($A66,2)&lt;=5,$A66='Recurring Schedule'!$F$28))),23,""))))</f>
        <v/>
      </c>
      <c r="Y66">
        <f>IF('Recurring Schedule'!$C$29="","",IF('Recurring Schedule'!$F$29="","",IF(OR($A66&lt;'Recurring Schedule'!$F$29,$A66&gt;'Recurring Schedule'!$P$29),"",IF(IF('Recurring Schedule'!$N$29&gt;0,MOD($A66-'Recurring Schedule'!$F$29,'Recurring Schedule'!$N$29)=0,IF('Recurring Schedule'!$O$29&gt;0,AND(DAY($A66)=MIN(DAY('Recurring Schedule'!$F$29),DAY(EOMONTH($A66,0))),MOD((YEAR($A66)-YEAR('Recurring Schedule'!$F$29))*12+MONTH($A66)-MONTH('Recurring Schedule'!$F$29),'Recurring Schedule'!$O$29)=0),IF('Recurring Schedule'!$E$29="Weekdays",WEEKDAY($A66,2)&lt;=5,$A66='Recurring Schedule'!$F$29))),24,""))))</f>
        <v/>
      </c>
      <c r="Z66">
        <f>IF('Recurring Schedule'!$C$30="","",IF('Recurring Schedule'!$F$30="","",IF(OR($A66&lt;'Recurring Schedule'!$F$30,$A66&gt;'Recurring Schedule'!$P$30),"",IF(IF('Recurring Schedule'!$N$30&gt;0,MOD($A66-'Recurring Schedule'!$F$30,'Recurring Schedule'!$N$30)=0,IF('Recurring Schedule'!$O$30&gt;0,AND(DAY($A66)=MIN(DAY('Recurring Schedule'!$F$30),DAY(EOMONTH($A66,0))),MOD((YEAR($A66)-YEAR('Recurring Schedule'!$F$30))*12+MONTH($A66)-MONTH('Recurring Schedule'!$F$30),'Recurring Schedule'!$O$30)=0),IF('Recurring Schedule'!$E$30="Weekdays",WEEKDAY($A66,2)&lt;=5,$A66='Recurring Schedule'!$F$30))),25,""))))</f>
        <v/>
      </c>
      <c r="AA66">
        <f>IF('Recurring Schedule'!$C$31="","",IF('Recurring Schedule'!$F$31="","",IF(OR($A66&lt;'Recurring Schedule'!$F$31,$A66&gt;'Recurring Schedule'!$P$31),"",IF(IF('Recurring Schedule'!$N$31&gt;0,MOD($A66-'Recurring Schedule'!$F$31,'Recurring Schedule'!$N$31)=0,IF('Recurring Schedule'!$O$31&gt;0,AND(DAY($A66)=MIN(DAY('Recurring Schedule'!$F$31),DAY(EOMONTH($A66,0))),MOD((YEAR($A66)-YEAR('Recurring Schedule'!$F$31))*12+MONTH($A66)-MONTH('Recurring Schedule'!$F$31),'Recurring Schedule'!$O$31)=0),IF('Recurring Schedule'!$E$31="Weekdays",WEEKDAY($A66,2)&lt;=5,$A66='Recurring Schedule'!$F$31))),26,""))))</f>
        <v/>
      </c>
      <c r="AB66">
        <f>IF('Recurring Schedule'!$C$32="","",IF('Recurring Schedule'!$F$32="","",IF(OR($A66&lt;'Recurring Schedule'!$F$32,$A66&gt;'Recurring Schedule'!$P$32),"",IF(IF('Recurring Schedule'!$N$32&gt;0,MOD($A66-'Recurring Schedule'!$F$32,'Recurring Schedule'!$N$32)=0,IF('Recurring Schedule'!$O$32&gt;0,AND(DAY($A66)=MIN(DAY('Recurring Schedule'!$F$32),DAY(EOMONTH($A66,0))),MOD((YEAR($A66)-YEAR('Recurring Schedule'!$F$32))*12+MONTH($A66)-MONTH('Recurring Schedule'!$F$32),'Recurring Schedule'!$O$32)=0),IF('Recurring Schedule'!$E$32="Weekdays",WEEKDAY($A66,2)&lt;=5,$A66='Recurring Schedule'!$F$32))),27,""))))</f>
        <v/>
      </c>
      <c r="AC66">
        <f>IF('Recurring Schedule'!$C$33="","",IF('Recurring Schedule'!$F$33="","",IF(OR($A66&lt;'Recurring Schedule'!$F$33,$A66&gt;'Recurring Schedule'!$P$33),"",IF(IF('Recurring Schedule'!$N$33&gt;0,MOD($A66-'Recurring Schedule'!$F$33,'Recurring Schedule'!$N$33)=0,IF('Recurring Schedule'!$O$33&gt;0,AND(DAY($A66)=MIN(DAY('Recurring Schedule'!$F$33),DAY(EOMONTH($A66,0))),MOD((YEAR($A66)-YEAR('Recurring Schedule'!$F$33))*12+MONTH($A66)-MONTH('Recurring Schedule'!$F$33),'Recurring Schedule'!$O$33)=0),IF('Recurring Schedule'!$E$33="Weekdays",WEEKDAY($A66,2)&lt;=5,$A66='Recurring Schedule'!$F$33))),28,""))))</f>
        <v/>
      </c>
      <c r="AD66">
        <f>IF('Recurring Schedule'!$C$34="","",IF('Recurring Schedule'!$F$34="","",IF(OR($A66&lt;'Recurring Schedule'!$F$34,$A66&gt;'Recurring Schedule'!$P$34),"",IF(IF('Recurring Schedule'!$N$34&gt;0,MOD($A66-'Recurring Schedule'!$F$34,'Recurring Schedule'!$N$34)=0,IF('Recurring Schedule'!$O$34&gt;0,AND(DAY($A66)=MIN(DAY('Recurring Schedule'!$F$34),DAY(EOMONTH($A66,0))),MOD((YEAR($A66)-YEAR('Recurring Schedule'!$F$34))*12+MONTH($A66)-MONTH('Recurring Schedule'!$F$34),'Recurring Schedule'!$O$34)=0),IF('Recurring Schedule'!$E$34="Weekdays",WEEKDAY($A66,2)&lt;=5,$A66='Recurring Schedule'!$F$34))),29,""))))</f>
        <v/>
      </c>
      <c r="AE66">
        <f>IF('Recurring Schedule'!$C$35="","",IF('Recurring Schedule'!$F$35="","",IF(OR($A66&lt;'Recurring Schedule'!$F$35,$A66&gt;'Recurring Schedule'!$P$35),"",IF(IF('Recurring Schedule'!$N$35&gt;0,MOD($A66-'Recurring Schedule'!$F$35,'Recurring Schedule'!$N$35)=0,IF('Recurring Schedule'!$O$35&gt;0,AND(DAY($A66)=MIN(DAY('Recurring Schedule'!$F$35),DAY(EOMONTH($A66,0))),MOD((YEAR($A66)-YEAR('Recurring Schedule'!$F$35))*12+MONTH($A66)-MONTH('Recurring Schedule'!$F$35),'Recurring Schedule'!$O$35)=0),IF('Recurring Schedule'!$E$35="Weekdays",WEEKDAY($A66,2)&lt;=5,$A66='Recurring Schedule'!$F$35))),30,""))))</f>
        <v/>
      </c>
      <c r="AF66">
        <f>IF('Recurring Schedule'!$C$36="","",IF('Recurring Schedule'!$F$36="","",IF(OR($A66&lt;'Recurring Schedule'!$F$36,$A66&gt;'Recurring Schedule'!$P$36),"",IF(IF('Recurring Schedule'!$N$36&gt;0,MOD($A66-'Recurring Schedule'!$F$36,'Recurring Schedule'!$N$36)=0,IF('Recurring Schedule'!$O$36&gt;0,AND(DAY($A66)=MIN(DAY('Recurring Schedule'!$F$36),DAY(EOMONTH($A66,0))),MOD((YEAR($A66)-YEAR('Recurring Schedule'!$F$36))*12+MONTH($A66)-MONTH('Recurring Schedule'!$F$36),'Recurring Schedule'!$O$36)=0),IF('Recurring Schedule'!$E$36="Weekdays",WEEKDAY($A66,2)&lt;=5,$A66='Recurring Schedule'!$F$36))),31,""))))</f>
        <v/>
      </c>
      <c r="AG66">
        <f>IF('Recurring Schedule'!$C$37="","",IF('Recurring Schedule'!$F$37="","",IF(OR($A66&lt;'Recurring Schedule'!$F$37,$A66&gt;'Recurring Schedule'!$P$37),"",IF(IF('Recurring Schedule'!$N$37&gt;0,MOD($A66-'Recurring Schedule'!$F$37,'Recurring Schedule'!$N$37)=0,IF('Recurring Schedule'!$O$37&gt;0,AND(DAY($A66)=MIN(DAY('Recurring Schedule'!$F$37),DAY(EOMONTH($A66,0))),MOD((YEAR($A66)-YEAR('Recurring Schedule'!$F$37))*12+MONTH($A66)-MONTH('Recurring Schedule'!$F$37),'Recurring Schedule'!$O$37)=0),IF('Recurring Schedule'!$E$37="Weekdays",WEEKDAY($A66,2)&lt;=5,$A66='Recurring Schedule'!$F$37))),32,""))))</f>
        <v/>
      </c>
      <c r="AH66">
        <f>IF('Recurring Schedule'!$C$38="","",IF('Recurring Schedule'!$F$38="","",IF(OR($A66&lt;'Recurring Schedule'!$F$38,$A66&gt;'Recurring Schedule'!$P$38),"",IF(IF('Recurring Schedule'!$N$38&gt;0,MOD($A66-'Recurring Schedule'!$F$38,'Recurring Schedule'!$N$38)=0,IF('Recurring Schedule'!$O$38&gt;0,AND(DAY($A66)=MIN(DAY('Recurring Schedule'!$F$38),DAY(EOMONTH($A66,0))),MOD((YEAR($A66)-YEAR('Recurring Schedule'!$F$38))*12+MONTH($A66)-MONTH('Recurring Schedule'!$F$38),'Recurring Schedule'!$O$38)=0),IF('Recurring Schedule'!$E$38="Weekdays",WEEKDAY($A66,2)&lt;=5,$A66='Recurring Schedule'!$F$38))),33,""))))</f>
        <v/>
      </c>
      <c r="AI66">
        <f>IF('Recurring Schedule'!$C$39="","",IF('Recurring Schedule'!$F$39="","",IF(OR($A66&lt;'Recurring Schedule'!$F$39,$A66&gt;'Recurring Schedule'!$P$39),"",IF(IF('Recurring Schedule'!$N$39&gt;0,MOD($A66-'Recurring Schedule'!$F$39,'Recurring Schedule'!$N$39)=0,IF('Recurring Schedule'!$O$39&gt;0,AND(DAY($A66)=MIN(DAY('Recurring Schedule'!$F$39),DAY(EOMONTH($A66,0))),MOD((YEAR($A66)-YEAR('Recurring Schedule'!$F$39))*12+MONTH($A66)-MONTH('Recurring Schedule'!$F$39),'Recurring Schedule'!$O$39)=0),IF('Recurring Schedule'!$E$39="Weekdays",WEEKDAY($A66,2)&lt;=5,$A66='Recurring Schedule'!$F$39))),34,""))))</f>
        <v/>
      </c>
      <c r="AJ66">
        <f>IF('Recurring Schedule'!$C$40="","",IF('Recurring Schedule'!$F$40="","",IF(OR($A66&lt;'Recurring Schedule'!$F$40,$A66&gt;'Recurring Schedule'!$P$40),"",IF(IF('Recurring Schedule'!$N$40&gt;0,MOD($A66-'Recurring Schedule'!$F$40,'Recurring Schedule'!$N$40)=0,IF('Recurring Schedule'!$O$40&gt;0,AND(DAY($A66)=MIN(DAY('Recurring Schedule'!$F$40),DAY(EOMONTH($A66,0))),MOD((YEAR($A66)-YEAR('Recurring Schedule'!$F$40))*12+MONTH($A66)-MONTH('Recurring Schedule'!$F$40),'Recurring Schedule'!$O$40)=0),IF('Recurring Schedule'!$E$40="Weekdays",WEEKDAY($A66,2)&lt;=5,$A66='Recurring Schedule'!$F$40))),35,""))))</f>
        <v/>
      </c>
      <c r="AK66">
        <f>IF('Recurring Schedule'!$C$41="","",IF('Recurring Schedule'!$F$41="","",IF(OR($A66&lt;'Recurring Schedule'!$F$41,$A66&gt;'Recurring Schedule'!$P$41),"",IF(IF('Recurring Schedule'!$N$41&gt;0,MOD($A66-'Recurring Schedule'!$F$41,'Recurring Schedule'!$N$41)=0,IF('Recurring Schedule'!$O$41&gt;0,AND(DAY($A66)=MIN(DAY('Recurring Schedule'!$F$41),DAY(EOMONTH($A66,0))),MOD((YEAR($A66)-YEAR('Recurring Schedule'!$F$41))*12+MONTH($A66)-MONTH('Recurring Schedule'!$F$41),'Recurring Schedule'!$O$41)=0),IF('Recurring Schedule'!$E$41="Weekdays",WEEKDAY($A66,2)&lt;=5,$A66='Recurring Schedule'!$F$41))),36,""))))</f>
        <v/>
      </c>
      <c r="AL66">
        <f>IF('Recurring Schedule'!$C$42="","",IF('Recurring Schedule'!$F$42="","",IF(OR($A66&lt;'Recurring Schedule'!$F$42,$A66&gt;'Recurring Schedule'!$P$42),"",IF(IF('Recurring Schedule'!$N$42&gt;0,MOD($A66-'Recurring Schedule'!$F$42,'Recurring Schedule'!$N$42)=0,IF('Recurring Schedule'!$O$42&gt;0,AND(DAY($A66)=MIN(DAY('Recurring Schedule'!$F$42),DAY(EOMONTH($A66,0))),MOD((YEAR($A66)-YEAR('Recurring Schedule'!$F$42))*12+MONTH($A66)-MONTH('Recurring Schedule'!$F$42),'Recurring Schedule'!$O$42)=0),IF('Recurring Schedule'!$E$42="Weekdays",WEEKDAY($A66,2)&lt;=5,$A66='Recurring Schedule'!$F$42))),37,""))))</f>
        <v/>
      </c>
      <c r="AM66">
        <f>IF('Recurring Schedule'!$C$43="","",IF('Recurring Schedule'!$F$43="","",IF(OR($A66&lt;'Recurring Schedule'!$F$43,$A66&gt;'Recurring Schedule'!$P$43),"",IF(IF('Recurring Schedule'!$N$43&gt;0,MOD($A66-'Recurring Schedule'!$F$43,'Recurring Schedule'!$N$43)=0,IF('Recurring Schedule'!$O$43&gt;0,AND(DAY($A66)=MIN(DAY('Recurring Schedule'!$F$43),DAY(EOMONTH($A66,0))),MOD((YEAR($A66)-YEAR('Recurring Schedule'!$F$43))*12+MONTH($A66)-MONTH('Recurring Schedule'!$F$43),'Recurring Schedule'!$O$43)=0),IF('Recurring Schedule'!$E$43="Weekdays",WEEKDAY($A66,2)&lt;=5,$A66='Recurring Schedule'!$F$43))),38,""))))</f>
        <v/>
      </c>
      <c r="AN66">
        <f>IF('Recurring Schedule'!$C$44="","",IF('Recurring Schedule'!$F$44="","",IF(OR($A66&lt;'Recurring Schedule'!$F$44,$A66&gt;'Recurring Schedule'!$P$44),"",IF(IF('Recurring Schedule'!$N$44&gt;0,MOD($A66-'Recurring Schedule'!$F$44,'Recurring Schedule'!$N$44)=0,IF('Recurring Schedule'!$O$44&gt;0,AND(DAY($A66)=MIN(DAY('Recurring Schedule'!$F$44),DAY(EOMONTH($A66,0))),MOD((YEAR($A66)-YEAR('Recurring Schedule'!$F$44))*12+MONTH($A66)-MONTH('Recurring Schedule'!$F$44),'Recurring Schedule'!$O$44)=0),IF('Recurring Schedule'!$E$44="Weekdays",WEEKDAY($A66,2)&lt;=5,$A66='Recurring Schedule'!$F$44))),39,""))))</f>
        <v/>
      </c>
      <c r="AO66">
        <f>IF('Recurring Schedule'!$C$45="","",IF('Recurring Schedule'!$F$45="","",IF(OR($A66&lt;'Recurring Schedule'!$F$45,$A66&gt;'Recurring Schedule'!$P$45),"",IF(IF('Recurring Schedule'!$N$45&gt;0,MOD($A66-'Recurring Schedule'!$F$45,'Recurring Schedule'!$N$45)=0,IF('Recurring Schedule'!$O$45&gt;0,AND(DAY($A66)=MIN(DAY('Recurring Schedule'!$F$45),DAY(EOMONTH($A66,0))),MOD((YEAR($A66)-YEAR('Recurring Schedule'!$F$45))*12+MONTH($A66)-MONTH('Recurring Schedule'!$F$45),'Recurring Schedule'!$O$45)=0),IF('Recurring Schedule'!$E$45="Weekdays",WEEKDAY($A66,2)&lt;=5,$A66='Recurring Schedule'!$F$45))),40,""))))</f>
        <v/>
      </c>
      <c r="AP66">
        <f>COUNT(B66:AO66)</f>
        <v/>
      </c>
      <c r="AQ66">
        <f>AQ65+AP65</f>
        <v/>
      </c>
      <c r="AS66" t="inlineStr">
        <is>
          <t>R</t>
        </is>
      </c>
      <c r="AT66" t="n">
        <v>70</v>
      </c>
      <c r="AU66">
        <f>'Recurring Log'!C70&amp;""</f>
        <v/>
      </c>
      <c r="AV66">
        <f>'Recurring Log'!D70&amp;""</f>
        <v/>
      </c>
      <c r="AW66">
        <f>IF('Recurring Log'!E70="","",'Recurring Log'!E70)</f>
        <v/>
      </c>
      <c r="AX66">
        <f>IF('Recurring Log'!G70="","",'Recurring Log'!G70)</f>
        <v/>
      </c>
      <c r="AY66">
        <f>IF('Recurring Log'!H70="","",'Recurring Log'!H70)</f>
        <v/>
      </c>
      <c r="AZ66">
        <f>IF(AU66="","",IF('Recurring Log'!J70="","Not Started",'Recurring Log'!J70))</f>
        <v/>
      </c>
      <c r="BA66">
        <f>'Recurring Log'!L70&amp;""</f>
        <v/>
      </c>
      <c r="BB66">
        <f>'Recurring Log'!M70&amp;""</f>
        <v/>
      </c>
      <c r="BC66">
        <f>'Recurring Log'!N70&amp;""</f>
        <v/>
      </c>
      <c r="BD66">
        <f>'Recurring Log'!O70&amp;""</f>
        <v/>
      </c>
      <c r="BE66">
        <f>IF('Recurring Log'!K70="","",'Recurring Log'!K70)</f>
        <v/>
      </c>
      <c r="BF66">
        <f>IFERROR(MATCH(BA66,Setup!$L$6:$L$9,0),5)</f>
        <v/>
      </c>
      <c r="BG66">
        <f>IF(OR(AZ66="Done",AZ66="Cancelled"),1,0)</f>
        <v/>
      </c>
      <c r="BH66">
        <f>IF(AND(AU66&lt;&gt;"",ISNUMBER(AW66)),1,0)</f>
        <v/>
      </c>
      <c r="BI66">
        <f>IF(BH66=0,0,IF(AND(AW66&gt;='Tasks Filter'!$F$3,AW66&lt;='Tasks Filter'!$F$4,OR('Tasks Filter'!$I$3="",ISNUMBER(SEARCH('Tasks Filter'!$I$3,AU66))),OR('Tasks Filter'!$I$4="",BF66=IFERROR(MATCH('Tasks Filter'!$I$4,Setup!$L$6:$L$9,0),0)),OR('Tasks Filter'!$I$5="Both",AND('Tasks Filter'!$I$5="Yes",BB66="✓"),AND('Tasks Filter'!$I$5="No",BB66&lt;&gt;"✓")),OR('Tasks Filter'!$L$3="",AV66='Tasks Filter'!$L$3),OR('Tasks Filter'!$L$4="",AZ66='Tasks Filter'!$L$4),OR('Tasks Filter'!$L$5="",BC66='Tasks Filter'!$L$5),OR('Tasks Filter'!$O$3="",BD66='Tasks Filter'!$O$3),OR('Tasks Filter'!$O$4="Yes",BG66=0)),1,0))</f>
        <v/>
      </c>
      <c r="BJ66">
        <f>IF(BH66=0,"",IF('Tasks Filter'!$F$6="Descending",-1,1)*CHOOSE(MATCH('Tasks Filter'!$F$5,Lists!$G$2:$G$6,0),AW66,BF66,IFERROR(MATCH(AV66,Setup!$F$6:$F$15,0),99),IFERROR(MATCH(BC66,Setup!$H$6:$H$15,0),99),IFERROR(MATCH(AZ66,Setup!$J$6:$J$11,0),99))*1E+9+(AW66-40000)*10000+65)</f>
        <v/>
      </c>
      <c r="BK66">
        <f>IF(BI66=1,BJ66,"")</f>
        <v/>
      </c>
      <c r="BL66">
        <f>IF(AND(BH66=1,BG66=0,N(AW66)&lt;Setup!$D$7),(AW66-40000)*10000+65,"")</f>
        <v/>
      </c>
      <c r="BM66">
        <f>IF(AND(BH66=1,AZ66&lt;&gt;"Cancelled",N(AW66)&gt;=Dashboard!$AB$3,N(AW66)&lt;=Dashboard!$AB$3+6),(AW66-40000)*100000+BF66*10000+65,"")</f>
        <v/>
      </c>
      <c r="BN66">
        <f>IF(AND(BH66=1,AZ66&lt;&gt;"Cancelled"),BF66*10000+65,"")</f>
        <v/>
      </c>
    </row>
    <row r="67">
      <c r="A67">
        <f>Setup!$D$5+65</f>
        <v/>
      </c>
      <c r="B67">
        <f>IF('Recurring Schedule'!$C$6="","",IF('Recurring Schedule'!$F$6="","",IF(OR($A67&lt;'Recurring Schedule'!$F$6,$A67&gt;'Recurring Schedule'!$P$6),"",IF(IF('Recurring Schedule'!$N$6&gt;0,MOD($A67-'Recurring Schedule'!$F$6,'Recurring Schedule'!$N$6)=0,IF('Recurring Schedule'!$O$6&gt;0,AND(DAY($A67)=MIN(DAY('Recurring Schedule'!$F$6),DAY(EOMONTH($A67,0))),MOD((YEAR($A67)-YEAR('Recurring Schedule'!$F$6))*12+MONTH($A67)-MONTH('Recurring Schedule'!$F$6),'Recurring Schedule'!$O$6)=0),IF('Recurring Schedule'!$E$6="Weekdays",WEEKDAY($A67,2)&lt;=5,$A67='Recurring Schedule'!$F$6))),1,""))))</f>
        <v/>
      </c>
      <c r="C67">
        <f>IF('Recurring Schedule'!$C$7="","",IF('Recurring Schedule'!$F$7="","",IF(OR($A67&lt;'Recurring Schedule'!$F$7,$A67&gt;'Recurring Schedule'!$P$7),"",IF(IF('Recurring Schedule'!$N$7&gt;0,MOD($A67-'Recurring Schedule'!$F$7,'Recurring Schedule'!$N$7)=0,IF('Recurring Schedule'!$O$7&gt;0,AND(DAY($A67)=MIN(DAY('Recurring Schedule'!$F$7),DAY(EOMONTH($A67,0))),MOD((YEAR($A67)-YEAR('Recurring Schedule'!$F$7))*12+MONTH($A67)-MONTH('Recurring Schedule'!$F$7),'Recurring Schedule'!$O$7)=0),IF('Recurring Schedule'!$E$7="Weekdays",WEEKDAY($A67,2)&lt;=5,$A67='Recurring Schedule'!$F$7))),2,""))))</f>
        <v/>
      </c>
      <c r="D67">
        <f>IF('Recurring Schedule'!$C$8="","",IF('Recurring Schedule'!$F$8="","",IF(OR($A67&lt;'Recurring Schedule'!$F$8,$A67&gt;'Recurring Schedule'!$P$8),"",IF(IF('Recurring Schedule'!$N$8&gt;0,MOD($A67-'Recurring Schedule'!$F$8,'Recurring Schedule'!$N$8)=0,IF('Recurring Schedule'!$O$8&gt;0,AND(DAY($A67)=MIN(DAY('Recurring Schedule'!$F$8),DAY(EOMONTH($A67,0))),MOD((YEAR($A67)-YEAR('Recurring Schedule'!$F$8))*12+MONTH($A67)-MONTH('Recurring Schedule'!$F$8),'Recurring Schedule'!$O$8)=0),IF('Recurring Schedule'!$E$8="Weekdays",WEEKDAY($A67,2)&lt;=5,$A67='Recurring Schedule'!$F$8))),3,""))))</f>
        <v/>
      </c>
      <c r="E67">
        <f>IF('Recurring Schedule'!$C$9="","",IF('Recurring Schedule'!$F$9="","",IF(OR($A67&lt;'Recurring Schedule'!$F$9,$A67&gt;'Recurring Schedule'!$P$9),"",IF(IF('Recurring Schedule'!$N$9&gt;0,MOD($A67-'Recurring Schedule'!$F$9,'Recurring Schedule'!$N$9)=0,IF('Recurring Schedule'!$O$9&gt;0,AND(DAY($A67)=MIN(DAY('Recurring Schedule'!$F$9),DAY(EOMONTH($A67,0))),MOD((YEAR($A67)-YEAR('Recurring Schedule'!$F$9))*12+MONTH($A67)-MONTH('Recurring Schedule'!$F$9),'Recurring Schedule'!$O$9)=0),IF('Recurring Schedule'!$E$9="Weekdays",WEEKDAY($A67,2)&lt;=5,$A67='Recurring Schedule'!$F$9))),4,""))))</f>
        <v/>
      </c>
      <c r="F67">
        <f>IF('Recurring Schedule'!$C$10="","",IF('Recurring Schedule'!$F$10="","",IF(OR($A67&lt;'Recurring Schedule'!$F$10,$A67&gt;'Recurring Schedule'!$P$10),"",IF(IF('Recurring Schedule'!$N$10&gt;0,MOD($A67-'Recurring Schedule'!$F$10,'Recurring Schedule'!$N$10)=0,IF('Recurring Schedule'!$O$10&gt;0,AND(DAY($A67)=MIN(DAY('Recurring Schedule'!$F$10),DAY(EOMONTH($A67,0))),MOD((YEAR($A67)-YEAR('Recurring Schedule'!$F$10))*12+MONTH($A67)-MONTH('Recurring Schedule'!$F$10),'Recurring Schedule'!$O$10)=0),IF('Recurring Schedule'!$E$10="Weekdays",WEEKDAY($A67,2)&lt;=5,$A67='Recurring Schedule'!$F$10))),5,""))))</f>
        <v/>
      </c>
      <c r="G67">
        <f>IF('Recurring Schedule'!$C$11="","",IF('Recurring Schedule'!$F$11="","",IF(OR($A67&lt;'Recurring Schedule'!$F$11,$A67&gt;'Recurring Schedule'!$P$11),"",IF(IF('Recurring Schedule'!$N$11&gt;0,MOD($A67-'Recurring Schedule'!$F$11,'Recurring Schedule'!$N$11)=0,IF('Recurring Schedule'!$O$11&gt;0,AND(DAY($A67)=MIN(DAY('Recurring Schedule'!$F$11),DAY(EOMONTH($A67,0))),MOD((YEAR($A67)-YEAR('Recurring Schedule'!$F$11))*12+MONTH($A67)-MONTH('Recurring Schedule'!$F$11),'Recurring Schedule'!$O$11)=0),IF('Recurring Schedule'!$E$11="Weekdays",WEEKDAY($A67,2)&lt;=5,$A67='Recurring Schedule'!$F$11))),6,""))))</f>
        <v/>
      </c>
      <c r="H67">
        <f>IF('Recurring Schedule'!$C$12="","",IF('Recurring Schedule'!$F$12="","",IF(OR($A67&lt;'Recurring Schedule'!$F$12,$A67&gt;'Recurring Schedule'!$P$12),"",IF(IF('Recurring Schedule'!$N$12&gt;0,MOD($A67-'Recurring Schedule'!$F$12,'Recurring Schedule'!$N$12)=0,IF('Recurring Schedule'!$O$12&gt;0,AND(DAY($A67)=MIN(DAY('Recurring Schedule'!$F$12),DAY(EOMONTH($A67,0))),MOD((YEAR($A67)-YEAR('Recurring Schedule'!$F$12))*12+MONTH($A67)-MONTH('Recurring Schedule'!$F$12),'Recurring Schedule'!$O$12)=0),IF('Recurring Schedule'!$E$12="Weekdays",WEEKDAY($A67,2)&lt;=5,$A67='Recurring Schedule'!$F$12))),7,""))))</f>
        <v/>
      </c>
      <c r="I67">
        <f>IF('Recurring Schedule'!$C$13="","",IF('Recurring Schedule'!$F$13="","",IF(OR($A67&lt;'Recurring Schedule'!$F$13,$A67&gt;'Recurring Schedule'!$P$13),"",IF(IF('Recurring Schedule'!$N$13&gt;0,MOD($A67-'Recurring Schedule'!$F$13,'Recurring Schedule'!$N$13)=0,IF('Recurring Schedule'!$O$13&gt;0,AND(DAY($A67)=MIN(DAY('Recurring Schedule'!$F$13),DAY(EOMONTH($A67,0))),MOD((YEAR($A67)-YEAR('Recurring Schedule'!$F$13))*12+MONTH($A67)-MONTH('Recurring Schedule'!$F$13),'Recurring Schedule'!$O$13)=0),IF('Recurring Schedule'!$E$13="Weekdays",WEEKDAY($A67,2)&lt;=5,$A67='Recurring Schedule'!$F$13))),8,""))))</f>
        <v/>
      </c>
      <c r="J67">
        <f>IF('Recurring Schedule'!$C$14="","",IF('Recurring Schedule'!$F$14="","",IF(OR($A67&lt;'Recurring Schedule'!$F$14,$A67&gt;'Recurring Schedule'!$P$14),"",IF(IF('Recurring Schedule'!$N$14&gt;0,MOD($A67-'Recurring Schedule'!$F$14,'Recurring Schedule'!$N$14)=0,IF('Recurring Schedule'!$O$14&gt;0,AND(DAY($A67)=MIN(DAY('Recurring Schedule'!$F$14),DAY(EOMONTH($A67,0))),MOD((YEAR($A67)-YEAR('Recurring Schedule'!$F$14))*12+MONTH($A67)-MONTH('Recurring Schedule'!$F$14),'Recurring Schedule'!$O$14)=0),IF('Recurring Schedule'!$E$14="Weekdays",WEEKDAY($A67,2)&lt;=5,$A67='Recurring Schedule'!$F$14))),9,""))))</f>
        <v/>
      </c>
      <c r="K67">
        <f>IF('Recurring Schedule'!$C$15="","",IF('Recurring Schedule'!$F$15="","",IF(OR($A67&lt;'Recurring Schedule'!$F$15,$A67&gt;'Recurring Schedule'!$P$15),"",IF(IF('Recurring Schedule'!$N$15&gt;0,MOD($A67-'Recurring Schedule'!$F$15,'Recurring Schedule'!$N$15)=0,IF('Recurring Schedule'!$O$15&gt;0,AND(DAY($A67)=MIN(DAY('Recurring Schedule'!$F$15),DAY(EOMONTH($A67,0))),MOD((YEAR($A67)-YEAR('Recurring Schedule'!$F$15))*12+MONTH($A67)-MONTH('Recurring Schedule'!$F$15),'Recurring Schedule'!$O$15)=0),IF('Recurring Schedule'!$E$15="Weekdays",WEEKDAY($A67,2)&lt;=5,$A67='Recurring Schedule'!$F$15))),10,""))))</f>
        <v/>
      </c>
      <c r="L67">
        <f>IF('Recurring Schedule'!$C$16="","",IF('Recurring Schedule'!$F$16="","",IF(OR($A67&lt;'Recurring Schedule'!$F$16,$A67&gt;'Recurring Schedule'!$P$16),"",IF(IF('Recurring Schedule'!$N$16&gt;0,MOD($A67-'Recurring Schedule'!$F$16,'Recurring Schedule'!$N$16)=0,IF('Recurring Schedule'!$O$16&gt;0,AND(DAY($A67)=MIN(DAY('Recurring Schedule'!$F$16),DAY(EOMONTH($A67,0))),MOD((YEAR($A67)-YEAR('Recurring Schedule'!$F$16))*12+MONTH($A67)-MONTH('Recurring Schedule'!$F$16),'Recurring Schedule'!$O$16)=0),IF('Recurring Schedule'!$E$16="Weekdays",WEEKDAY($A67,2)&lt;=5,$A67='Recurring Schedule'!$F$16))),11,""))))</f>
        <v/>
      </c>
      <c r="M67">
        <f>IF('Recurring Schedule'!$C$17="","",IF('Recurring Schedule'!$F$17="","",IF(OR($A67&lt;'Recurring Schedule'!$F$17,$A67&gt;'Recurring Schedule'!$P$17),"",IF(IF('Recurring Schedule'!$N$17&gt;0,MOD($A67-'Recurring Schedule'!$F$17,'Recurring Schedule'!$N$17)=0,IF('Recurring Schedule'!$O$17&gt;0,AND(DAY($A67)=MIN(DAY('Recurring Schedule'!$F$17),DAY(EOMONTH($A67,0))),MOD((YEAR($A67)-YEAR('Recurring Schedule'!$F$17))*12+MONTH($A67)-MONTH('Recurring Schedule'!$F$17),'Recurring Schedule'!$O$17)=0),IF('Recurring Schedule'!$E$17="Weekdays",WEEKDAY($A67,2)&lt;=5,$A67='Recurring Schedule'!$F$17))),12,""))))</f>
        <v/>
      </c>
      <c r="N67">
        <f>IF('Recurring Schedule'!$C$18="","",IF('Recurring Schedule'!$F$18="","",IF(OR($A67&lt;'Recurring Schedule'!$F$18,$A67&gt;'Recurring Schedule'!$P$18),"",IF(IF('Recurring Schedule'!$N$18&gt;0,MOD($A67-'Recurring Schedule'!$F$18,'Recurring Schedule'!$N$18)=0,IF('Recurring Schedule'!$O$18&gt;0,AND(DAY($A67)=MIN(DAY('Recurring Schedule'!$F$18),DAY(EOMONTH($A67,0))),MOD((YEAR($A67)-YEAR('Recurring Schedule'!$F$18))*12+MONTH($A67)-MONTH('Recurring Schedule'!$F$18),'Recurring Schedule'!$O$18)=0),IF('Recurring Schedule'!$E$18="Weekdays",WEEKDAY($A67,2)&lt;=5,$A67='Recurring Schedule'!$F$18))),13,""))))</f>
        <v/>
      </c>
      <c r="O67">
        <f>IF('Recurring Schedule'!$C$19="","",IF('Recurring Schedule'!$F$19="","",IF(OR($A67&lt;'Recurring Schedule'!$F$19,$A67&gt;'Recurring Schedule'!$P$19),"",IF(IF('Recurring Schedule'!$N$19&gt;0,MOD($A67-'Recurring Schedule'!$F$19,'Recurring Schedule'!$N$19)=0,IF('Recurring Schedule'!$O$19&gt;0,AND(DAY($A67)=MIN(DAY('Recurring Schedule'!$F$19),DAY(EOMONTH($A67,0))),MOD((YEAR($A67)-YEAR('Recurring Schedule'!$F$19))*12+MONTH($A67)-MONTH('Recurring Schedule'!$F$19),'Recurring Schedule'!$O$19)=0),IF('Recurring Schedule'!$E$19="Weekdays",WEEKDAY($A67,2)&lt;=5,$A67='Recurring Schedule'!$F$19))),14,""))))</f>
        <v/>
      </c>
      <c r="P67">
        <f>IF('Recurring Schedule'!$C$20="","",IF('Recurring Schedule'!$F$20="","",IF(OR($A67&lt;'Recurring Schedule'!$F$20,$A67&gt;'Recurring Schedule'!$P$20),"",IF(IF('Recurring Schedule'!$N$20&gt;0,MOD($A67-'Recurring Schedule'!$F$20,'Recurring Schedule'!$N$20)=0,IF('Recurring Schedule'!$O$20&gt;0,AND(DAY($A67)=MIN(DAY('Recurring Schedule'!$F$20),DAY(EOMONTH($A67,0))),MOD((YEAR($A67)-YEAR('Recurring Schedule'!$F$20))*12+MONTH($A67)-MONTH('Recurring Schedule'!$F$20),'Recurring Schedule'!$O$20)=0),IF('Recurring Schedule'!$E$20="Weekdays",WEEKDAY($A67,2)&lt;=5,$A67='Recurring Schedule'!$F$20))),15,""))))</f>
        <v/>
      </c>
      <c r="Q67">
        <f>IF('Recurring Schedule'!$C$21="","",IF('Recurring Schedule'!$F$21="","",IF(OR($A67&lt;'Recurring Schedule'!$F$21,$A67&gt;'Recurring Schedule'!$P$21),"",IF(IF('Recurring Schedule'!$N$21&gt;0,MOD($A67-'Recurring Schedule'!$F$21,'Recurring Schedule'!$N$21)=0,IF('Recurring Schedule'!$O$21&gt;0,AND(DAY($A67)=MIN(DAY('Recurring Schedule'!$F$21),DAY(EOMONTH($A67,0))),MOD((YEAR($A67)-YEAR('Recurring Schedule'!$F$21))*12+MONTH($A67)-MONTH('Recurring Schedule'!$F$21),'Recurring Schedule'!$O$21)=0),IF('Recurring Schedule'!$E$21="Weekdays",WEEKDAY($A67,2)&lt;=5,$A67='Recurring Schedule'!$F$21))),16,""))))</f>
        <v/>
      </c>
      <c r="R67">
        <f>IF('Recurring Schedule'!$C$22="","",IF('Recurring Schedule'!$F$22="","",IF(OR($A67&lt;'Recurring Schedule'!$F$22,$A67&gt;'Recurring Schedule'!$P$22),"",IF(IF('Recurring Schedule'!$N$22&gt;0,MOD($A67-'Recurring Schedule'!$F$22,'Recurring Schedule'!$N$22)=0,IF('Recurring Schedule'!$O$22&gt;0,AND(DAY($A67)=MIN(DAY('Recurring Schedule'!$F$22),DAY(EOMONTH($A67,0))),MOD((YEAR($A67)-YEAR('Recurring Schedule'!$F$22))*12+MONTH($A67)-MONTH('Recurring Schedule'!$F$22),'Recurring Schedule'!$O$22)=0),IF('Recurring Schedule'!$E$22="Weekdays",WEEKDAY($A67,2)&lt;=5,$A67='Recurring Schedule'!$F$22))),17,""))))</f>
        <v/>
      </c>
      <c r="S67">
        <f>IF('Recurring Schedule'!$C$23="","",IF('Recurring Schedule'!$F$23="","",IF(OR($A67&lt;'Recurring Schedule'!$F$23,$A67&gt;'Recurring Schedule'!$P$23),"",IF(IF('Recurring Schedule'!$N$23&gt;0,MOD($A67-'Recurring Schedule'!$F$23,'Recurring Schedule'!$N$23)=0,IF('Recurring Schedule'!$O$23&gt;0,AND(DAY($A67)=MIN(DAY('Recurring Schedule'!$F$23),DAY(EOMONTH($A67,0))),MOD((YEAR($A67)-YEAR('Recurring Schedule'!$F$23))*12+MONTH($A67)-MONTH('Recurring Schedule'!$F$23),'Recurring Schedule'!$O$23)=0),IF('Recurring Schedule'!$E$23="Weekdays",WEEKDAY($A67,2)&lt;=5,$A67='Recurring Schedule'!$F$23))),18,""))))</f>
        <v/>
      </c>
      <c r="T67">
        <f>IF('Recurring Schedule'!$C$24="","",IF('Recurring Schedule'!$F$24="","",IF(OR($A67&lt;'Recurring Schedule'!$F$24,$A67&gt;'Recurring Schedule'!$P$24),"",IF(IF('Recurring Schedule'!$N$24&gt;0,MOD($A67-'Recurring Schedule'!$F$24,'Recurring Schedule'!$N$24)=0,IF('Recurring Schedule'!$O$24&gt;0,AND(DAY($A67)=MIN(DAY('Recurring Schedule'!$F$24),DAY(EOMONTH($A67,0))),MOD((YEAR($A67)-YEAR('Recurring Schedule'!$F$24))*12+MONTH($A67)-MONTH('Recurring Schedule'!$F$24),'Recurring Schedule'!$O$24)=0),IF('Recurring Schedule'!$E$24="Weekdays",WEEKDAY($A67,2)&lt;=5,$A67='Recurring Schedule'!$F$24))),19,""))))</f>
        <v/>
      </c>
      <c r="U67">
        <f>IF('Recurring Schedule'!$C$25="","",IF('Recurring Schedule'!$F$25="","",IF(OR($A67&lt;'Recurring Schedule'!$F$25,$A67&gt;'Recurring Schedule'!$P$25),"",IF(IF('Recurring Schedule'!$N$25&gt;0,MOD($A67-'Recurring Schedule'!$F$25,'Recurring Schedule'!$N$25)=0,IF('Recurring Schedule'!$O$25&gt;0,AND(DAY($A67)=MIN(DAY('Recurring Schedule'!$F$25),DAY(EOMONTH($A67,0))),MOD((YEAR($A67)-YEAR('Recurring Schedule'!$F$25))*12+MONTH($A67)-MONTH('Recurring Schedule'!$F$25),'Recurring Schedule'!$O$25)=0),IF('Recurring Schedule'!$E$25="Weekdays",WEEKDAY($A67,2)&lt;=5,$A67='Recurring Schedule'!$F$25))),20,""))))</f>
        <v/>
      </c>
      <c r="V67">
        <f>IF('Recurring Schedule'!$C$26="","",IF('Recurring Schedule'!$F$26="","",IF(OR($A67&lt;'Recurring Schedule'!$F$26,$A67&gt;'Recurring Schedule'!$P$26),"",IF(IF('Recurring Schedule'!$N$26&gt;0,MOD($A67-'Recurring Schedule'!$F$26,'Recurring Schedule'!$N$26)=0,IF('Recurring Schedule'!$O$26&gt;0,AND(DAY($A67)=MIN(DAY('Recurring Schedule'!$F$26),DAY(EOMONTH($A67,0))),MOD((YEAR($A67)-YEAR('Recurring Schedule'!$F$26))*12+MONTH($A67)-MONTH('Recurring Schedule'!$F$26),'Recurring Schedule'!$O$26)=0),IF('Recurring Schedule'!$E$26="Weekdays",WEEKDAY($A67,2)&lt;=5,$A67='Recurring Schedule'!$F$26))),21,""))))</f>
        <v/>
      </c>
      <c r="W67">
        <f>IF('Recurring Schedule'!$C$27="","",IF('Recurring Schedule'!$F$27="","",IF(OR($A67&lt;'Recurring Schedule'!$F$27,$A67&gt;'Recurring Schedule'!$P$27),"",IF(IF('Recurring Schedule'!$N$27&gt;0,MOD($A67-'Recurring Schedule'!$F$27,'Recurring Schedule'!$N$27)=0,IF('Recurring Schedule'!$O$27&gt;0,AND(DAY($A67)=MIN(DAY('Recurring Schedule'!$F$27),DAY(EOMONTH($A67,0))),MOD((YEAR($A67)-YEAR('Recurring Schedule'!$F$27))*12+MONTH($A67)-MONTH('Recurring Schedule'!$F$27),'Recurring Schedule'!$O$27)=0),IF('Recurring Schedule'!$E$27="Weekdays",WEEKDAY($A67,2)&lt;=5,$A67='Recurring Schedule'!$F$27))),22,""))))</f>
        <v/>
      </c>
      <c r="X67">
        <f>IF('Recurring Schedule'!$C$28="","",IF('Recurring Schedule'!$F$28="","",IF(OR($A67&lt;'Recurring Schedule'!$F$28,$A67&gt;'Recurring Schedule'!$P$28),"",IF(IF('Recurring Schedule'!$N$28&gt;0,MOD($A67-'Recurring Schedule'!$F$28,'Recurring Schedule'!$N$28)=0,IF('Recurring Schedule'!$O$28&gt;0,AND(DAY($A67)=MIN(DAY('Recurring Schedule'!$F$28),DAY(EOMONTH($A67,0))),MOD((YEAR($A67)-YEAR('Recurring Schedule'!$F$28))*12+MONTH($A67)-MONTH('Recurring Schedule'!$F$28),'Recurring Schedule'!$O$28)=0),IF('Recurring Schedule'!$E$28="Weekdays",WEEKDAY($A67,2)&lt;=5,$A67='Recurring Schedule'!$F$28))),23,""))))</f>
        <v/>
      </c>
      <c r="Y67">
        <f>IF('Recurring Schedule'!$C$29="","",IF('Recurring Schedule'!$F$29="","",IF(OR($A67&lt;'Recurring Schedule'!$F$29,$A67&gt;'Recurring Schedule'!$P$29),"",IF(IF('Recurring Schedule'!$N$29&gt;0,MOD($A67-'Recurring Schedule'!$F$29,'Recurring Schedule'!$N$29)=0,IF('Recurring Schedule'!$O$29&gt;0,AND(DAY($A67)=MIN(DAY('Recurring Schedule'!$F$29),DAY(EOMONTH($A67,0))),MOD((YEAR($A67)-YEAR('Recurring Schedule'!$F$29))*12+MONTH($A67)-MONTH('Recurring Schedule'!$F$29),'Recurring Schedule'!$O$29)=0),IF('Recurring Schedule'!$E$29="Weekdays",WEEKDAY($A67,2)&lt;=5,$A67='Recurring Schedule'!$F$29))),24,""))))</f>
        <v/>
      </c>
      <c r="Z67">
        <f>IF('Recurring Schedule'!$C$30="","",IF('Recurring Schedule'!$F$30="","",IF(OR($A67&lt;'Recurring Schedule'!$F$30,$A67&gt;'Recurring Schedule'!$P$30),"",IF(IF('Recurring Schedule'!$N$30&gt;0,MOD($A67-'Recurring Schedule'!$F$30,'Recurring Schedule'!$N$30)=0,IF('Recurring Schedule'!$O$30&gt;0,AND(DAY($A67)=MIN(DAY('Recurring Schedule'!$F$30),DAY(EOMONTH($A67,0))),MOD((YEAR($A67)-YEAR('Recurring Schedule'!$F$30))*12+MONTH($A67)-MONTH('Recurring Schedule'!$F$30),'Recurring Schedule'!$O$30)=0),IF('Recurring Schedule'!$E$30="Weekdays",WEEKDAY($A67,2)&lt;=5,$A67='Recurring Schedule'!$F$30))),25,""))))</f>
        <v/>
      </c>
      <c r="AA67">
        <f>IF('Recurring Schedule'!$C$31="","",IF('Recurring Schedule'!$F$31="","",IF(OR($A67&lt;'Recurring Schedule'!$F$31,$A67&gt;'Recurring Schedule'!$P$31),"",IF(IF('Recurring Schedule'!$N$31&gt;0,MOD($A67-'Recurring Schedule'!$F$31,'Recurring Schedule'!$N$31)=0,IF('Recurring Schedule'!$O$31&gt;0,AND(DAY($A67)=MIN(DAY('Recurring Schedule'!$F$31),DAY(EOMONTH($A67,0))),MOD((YEAR($A67)-YEAR('Recurring Schedule'!$F$31))*12+MONTH($A67)-MONTH('Recurring Schedule'!$F$31),'Recurring Schedule'!$O$31)=0),IF('Recurring Schedule'!$E$31="Weekdays",WEEKDAY($A67,2)&lt;=5,$A67='Recurring Schedule'!$F$31))),26,""))))</f>
        <v/>
      </c>
      <c r="AB67">
        <f>IF('Recurring Schedule'!$C$32="","",IF('Recurring Schedule'!$F$32="","",IF(OR($A67&lt;'Recurring Schedule'!$F$32,$A67&gt;'Recurring Schedule'!$P$32),"",IF(IF('Recurring Schedule'!$N$32&gt;0,MOD($A67-'Recurring Schedule'!$F$32,'Recurring Schedule'!$N$32)=0,IF('Recurring Schedule'!$O$32&gt;0,AND(DAY($A67)=MIN(DAY('Recurring Schedule'!$F$32),DAY(EOMONTH($A67,0))),MOD((YEAR($A67)-YEAR('Recurring Schedule'!$F$32))*12+MONTH($A67)-MONTH('Recurring Schedule'!$F$32),'Recurring Schedule'!$O$32)=0),IF('Recurring Schedule'!$E$32="Weekdays",WEEKDAY($A67,2)&lt;=5,$A67='Recurring Schedule'!$F$32))),27,""))))</f>
        <v/>
      </c>
      <c r="AC67">
        <f>IF('Recurring Schedule'!$C$33="","",IF('Recurring Schedule'!$F$33="","",IF(OR($A67&lt;'Recurring Schedule'!$F$33,$A67&gt;'Recurring Schedule'!$P$33),"",IF(IF('Recurring Schedule'!$N$33&gt;0,MOD($A67-'Recurring Schedule'!$F$33,'Recurring Schedule'!$N$33)=0,IF('Recurring Schedule'!$O$33&gt;0,AND(DAY($A67)=MIN(DAY('Recurring Schedule'!$F$33),DAY(EOMONTH($A67,0))),MOD((YEAR($A67)-YEAR('Recurring Schedule'!$F$33))*12+MONTH($A67)-MONTH('Recurring Schedule'!$F$33),'Recurring Schedule'!$O$33)=0),IF('Recurring Schedule'!$E$33="Weekdays",WEEKDAY($A67,2)&lt;=5,$A67='Recurring Schedule'!$F$33))),28,""))))</f>
        <v/>
      </c>
      <c r="AD67">
        <f>IF('Recurring Schedule'!$C$34="","",IF('Recurring Schedule'!$F$34="","",IF(OR($A67&lt;'Recurring Schedule'!$F$34,$A67&gt;'Recurring Schedule'!$P$34),"",IF(IF('Recurring Schedule'!$N$34&gt;0,MOD($A67-'Recurring Schedule'!$F$34,'Recurring Schedule'!$N$34)=0,IF('Recurring Schedule'!$O$34&gt;0,AND(DAY($A67)=MIN(DAY('Recurring Schedule'!$F$34),DAY(EOMONTH($A67,0))),MOD((YEAR($A67)-YEAR('Recurring Schedule'!$F$34))*12+MONTH($A67)-MONTH('Recurring Schedule'!$F$34),'Recurring Schedule'!$O$34)=0),IF('Recurring Schedule'!$E$34="Weekdays",WEEKDAY($A67,2)&lt;=5,$A67='Recurring Schedule'!$F$34))),29,""))))</f>
        <v/>
      </c>
      <c r="AE67">
        <f>IF('Recurring Schedule'!$C$35="","",IF('Recurring Schedule'!$F$35="","",IF(OR($A67&lt;'Recurring Schedule'!$F$35,$A67&gt;'Recurring Schedule'!$P$35),"",IF(IF('Recurring Schedule'!$N$35&gt;0,MOD($A67-'Recurring Schedule'!$F$35,'Recurring Schedule'!$N$35)=0,IF('Recurring Schedule'!$O$35&gt;0,AND(DAY($A67)=MIN(DAY('Recurring Schedule'!$F$35),DAY(EOMONTH($A67,0))),MOD((YEAR($A67)-YEAR('Recurring Schedule'!$F$35))*12+MONTH($A67)-MONTH('Recurring Schedule'!$F$35),'Recurring Schedule'!$O$35)=0),IF('Recurring Schedule'!$E$35="Weekdays",WEEKDAY($A67,2)&lt;=5,$A67='Recurring Schedule'!$F$35))),30,""))))</f>
        <v/>
      </c>
      <c r="AF67">
        <f>IF('Recurring Schedule'!$C$36="","",IF('Recurring Schedule'!$F$36="","",IF(OR($A67&lt;'Recurring Schedule'!$F$36,$A67&gt;'Recurring Schedule'!$P$36),"",IF(IF('Recurring Schedule'!$N$36&gt;0,MOD($A67-'Recurring Schedule'!$F$36,'Recurring Schedule'!$N$36)=0,IF('Recurring Schedule'!$O$36&gt;0,AND(DAY($A67)=MIN(DAY('Recurring Schedule'!$F$36),DAY(EOMONTH($A67,0))),MOD((YEAR($A67)-YEAR('Recurring Schedule'!$F$36))*12+MONTH($A67)-MONTH('Recurring Schedule'!$F$36),'Recurring Schedule'!$O$36)=0),IF('Recurring Schedule'!$E$36="Weekdays",WEEKDAY($A67,2)&lt;=5,$A67='Recurring Schedule'!$F$36))),31,""))))</f>
        <v/>
      </c>
      <c r="AG67">
        <f>IF('Recurring Schedule'!$C$37="","",IF('Recurring Schedule'!$F$37="","",IF(OR($A67&lt;'Recurring Schedule'!$F$37,$A67&gt;'Recurring Schedule'!$P$37),"",IF(IF('Recurring Schedule'!$N$37&gt;0,MOD($A67-'Recurring Schedule'!$F$37,'Recurring Schedule'!$N$37)=0,IF('Recurring Schedule'!$O$37&gt;0,AND(DAY($A67)=MIN(DAY('Recurring Schedule'!$F$37),DAY(EOMONTH($A67,0))),MOD((YEAR($A67)-YEAR('Recurring Schedule'!$F$37))*12+MONTH($A67)-MONTH('Recurring Schedule'!$F$37),'Recurring Schedule'!$O$37)=0),IF('Recurring Schedule'!$E$37="Weekdays",WEEKDAY($A67,2)&lt;=5,$A67='Recurring Schedule'!$F$37))),32,""))))</f>
        <v/>
      </c>
      <c r="AH67">
        <f>IF('Recurring Schedule'!$C$38="","",IF('Recurring Schedule'!$F$38="","",IF(OR($A67&lt;'Recurring Schedule'!$F$38,$A67&gt;'Recurring Schedule'!$P$38),"",IF(IF('Recurring Schedule'!$N$38&gt;0,MOD($A67-'Recurring Schedule'!$F$38,'Recurring Schedule'!$N$38)=0,IF('Recurring Schedule'!$O$38&gt;0,AND(DAY($A67)=MIN(DAY('Recurring Schedule'!$F$38),DAY(EOMONTH($A67,0))),MOD((YEAR($A67)-YEAR('Recurring Schedule'!$F$38))*12+MONTH($A67)-MONTH('Recurring Schedule'!$F$38),'Recurring Schedule'!$O$38)=0),IF('Recurring Schedule'!$E$38="Weekdays",WEEKDAY($A67,2)&lt;=5,$A67='Recurring Schedule'!$F$38))),33,""))))</f>
        <v/>
      </c>
      <c r="AI67">
        <f>IF('Recurring Schedule'!$C$39="","",IF('Recurring Schedule'!$F$39="","",IF(OR($A67&lt;'Recurring Schedule'!$F$39,$A67&gt;'Recurring Schedule'!$P$39),"",IF(IF('Recurring Schedule'!$N$39&gt;0,MOD($A67-'Recurring Schedule'!$F$39,'Recurring Schedule'!$N$39)=0,IF('Recurring Schedule'!$O$39&gt;0,AND(DAY($A67)=MIN(DAY('Recurring Schedule'!$F$39),DAY(EOMONTH($A67,0))),MOD((YEAR($A67)-YEAR('Recurring Schedule'!$F$39))*12+MONTH($A67)-MONTH('Recurring Schedule'!$F$39),'Recurring Schedule'!$O$39)=0),IF('Recurring Schedule'!$E$39="Weekdays",WEEKDAY($A67,2)&lt;=5,$A67='Recurring Schedule'!$F$39))),34,""))))</f>
        <v/>
      </c>
      <c r="AJ67">
        <f>IF('Recurring Schedule'!$C$40="","",IF('Recurring Schedule'!$F$40="","",IF(OR($A67&lt;'Recurring Schedule'!$F$40,$A67&gt;'Recurring Schedule'!$P$40),"",IF(IF('Recurring Schedule'!$N$40&gt;0,MOD($A67-'Recurring Schedule'!$F$40,'Recurring Schedule'!$N$40)=0,IF('Recurring Schedule'!$O$40&gt;0,AND(DAY($A67)=MIN(DAY('Recurring Schedule'!$F$40),DAY(EOMONTH($A67,0))),MOD((YEAR($A67)-YEAR('Recurring Schedule'!$F$40))*12+MONTH($A67)-MONTH('Recurring Schedule'!$F$40),'Recurring Schedule'!$O$40)=0),IF('Recurring Schedule'!$E$40="Weekdays",WEEKDAY($A67,2)&lt;=5,$A67='Recurring Schedule'!$F$40))),35,""))))</f>
        <v/>
      </c>
      <c r="AK67">
        <f>IF('Recurring Schedule'!$C$41="","",IF('Recurring Schedule'!$F$41="","",IF(OR($A67&lt;'Recurring Schedule'!$F$41,$A67&gt;'Recurring Schedule'!$P$41),"",IF(IF('Recurring Schedule'!$N$41&gt;0,MOD($A67-'Recurring Schedule'!$F$41,'Recurring Schedule'!$N$41)=0,IF('Recurring Schedule'!$O$41&gt;0,AND(DAY($A67)=MIN(DAY('Recurring Schedule'!$F$41),DAY(EOMONTH($A67,0))),MOD((YEAR($A67)-YEAR('Recurring Schedule'!$F$41))*12+MONTH($A67)-MONTH('Recurring Schedule'!$F$41),'Recurring Schedule'!$O$41)=0),IF('Recurring Schedule'!$E$41="Weekdays",WEEKDAY($A67,2)&lt;=5,$A67='Recurring Schedule'!$F$41))),36,""))))</f>
        <v/>
      </c>
      <c r="AL67">
        <f>IF('Recurring Schedule'!$C$42="","",IF('Recurring Schedule'!$F$42="","",IF(OR($A67&lt;'Recurring Schedule'!$F$42,$A67&gt;'Recurring Schedule'!$P$42),"",IF(IF('Recurring Schedule'!$N$42&gt;0,MOD($A67-'Recurring Schedule'!$F$42,'Recurring Schedule'!$N$42)=0,IF('Recurring Schedule'!$O$42&gt;0,AND(DAY($A67)=MIN(DAY('Recurring Schedule'!$F$42),DAY(EOMONTH($A67,0))),MOD((YEAR($A67)-YEAR('Recurring Schedule'!$F$42))*12+MONTH($A67)-MONTH('Recurring Schedule'!$F$42),'Recurring Schedule'!$O$42)=0),IF('Recurring Schedule'!$E$42="Weekdays",WEEKDAY($A67,2)&lt;=5,$A67='Recurring Schedule'!$F$42))),37,""))))</f>
        <v/>
      </c>
      <c r="AM67">
        <f>IF('Recurring Schedule'!$C$43="","",IF('Recurring Schedule'!$F$43="","",IF(OR($A67&lt;'Recurring Schedule'!$F$43,$A67&gt;'Recurring Schedule'!$P$43),"",IF(IF('Recurring Schedule'!$N$43&gt;0,MOD($A67-'Recurring Schedule'!$F$43,'Recurring Schedule'!$N$43)=0,IF('Recurring Schedule'!$O$43&gt;0,AND(DAY($A67)=MIN(DAY('Recurring Schedule'!$F$43),DAY(EOMONTH($A67,0))),MOD((YEAR($A67)-YEAR('Recurring Schedule'!$F$43))*12+MONTH($A67)-MONTH('Recurring Schedule'!$F$43),'Recurring Schedule'!$O$43)=0),IF('Recurring Schedule'!$E$43="Weekdays",WEEKDAY($A67,2)&lt;=5,$A67='Recurring Schedule'!$F$43))),38,""))))</f>
        <v/>
      </c>
      <c r="AN67">
        <f>IF('Recurring Schedule'!$C$44="","",IF('Recurring Schedule'!$F$44="","",IF(OR($A67&lt;'Recurring Schedule'!$F$44,$A67&gt;'Recurring Schedule'!$P$44),"",IF(IF('Recurring Schedule'!$N$44&gt;0,MOD($A67-'Recurring Schedule'!$F$44,'Recurring Schedule'!$N$44)=0,IF('Recurring Schedule'!$O$44&gt;0,AND(DAY($A67)=MIN(DAY('Recurring Schedule'!$F$44),DAY(EOMONTH($A67,0))),MOD((YEAR($A67)-YEAR('Recurring Schedule'!$F$44))*12+MONTH($A67)-MONTH('Recurring Schedule'!$F$44),'Recurring Schedule'!$O$44)=0),IF('Recurring Schedule'!$E$44="Weekdays",WEEKDAY($A67,2)&lt;=5,$A67='Recurring Schedule'!$F$44))),39,""))))</f>
        <v/>
      </c>
      <c r="AO67">
        <f>IF('Recurring Schedule'!$C$45="","",IF('Recurring Schedule'!$F$45="","",IF(OR($A67&lt;'Recurring Schedule'!$F$45,$A67&gt;'Recurring Schedule'!$P$45),"",IF(IF('Recurring Schedule'!$N$45&gt;0,MOD($A67-'Recurring Schedule'!$F$45,'Recurring Schedule'!$N$45)=0,IF('Recurring Schedule'!$O$45&gt;0,AND(DAY($A67)=MIN(DAY('Recurring Schedule'!$F$45),DAY(EOMONTH($A67,0))),MOD((YEAR($A67)-YEAR('Recurring Schedule'!$F$45))*12+MONTH($A67)-MONTH('Recurring Schedule'!$F$45),'Recurring Schedule'!$O$45)=0),IF('Recurring Schedule'!$E$45="Weekdays",WEEKDAY($A67,2)&lt;=5,$A67='Recurring Schedule'!$F$45))),40,""))))</f>
        <v/>
      </c>
      <c r="AP67">
        <f>COUNT(B67:AO67)</f>
        <v/>
      </c>
      <c r="AQ67">
        <f>AQ66+AP66</f>
        <v/>
      </c>
      <c r="AS67" t="inlineStr">
        <is>
          <t>R</t>
        </is>
      </c>
      <c r="AT67" t="n">
        <v>71</v>
      </c>
      <c r="AU67">
        <f>'Recurring Log'!C71&amp;""</f>
        <v/>
      </c>
      <c r="AV67">
        <f>'Recurring Log'!D71&amp;""</f>
        <v/>
      </c>
      <c r="AW67">
        <f>IF('Recurring Log'!E71="","",'Recurring Log'!E71)</f>
        <v/>
      </c>
      <c r="AX67">
        <f>IF('Recurring Log'!G71="","",'Recurring Log'!G71)</f>
        <v/>
      </c>
      <c r="AY67">
        <f>IF('Recurring Log'!H71="","",'Recurring Log'!H71)</f>
        <v/>
      </c>
      <c r="AZ67">
        <f>IF(AU67="","",IF('Recurring Log'!J71="","Not Started",'Recurring Log'!J71))</f>
        <v/>
      </c>
      <c r="BA67">
        <f>'Recurring Log'!L71&amp;""</f>
        <v/>
      </c>
      <c r="BB67">
        <f>'Recurring Log'!M71&amp;""</f>
        <v/>
      </c>
      <c r="BC67">
        <f>'Recurring Log'!N71&amp;""</f>
        <v/>
      </c>
      <c r="BD67">
        <f>'Recurring Log'!O71&amp;""</f>
        <v/>
      </c>
      <c r="BE67">
        <f>IF('Recurring Log'!K71="","",'Recurring Log'!K71)</f>
        <v/>
      </c>
      <c r="BF67">
        <f>IFERROR(MATCH(BA67,Setup!$L$6:$L$9,0),5)</f>
        <v/>
      </c>
      <c r="BG67">
        <f>IF(OR(AZ67="Done",AZ67="Cancelled"),1,0)</f>
        <v/>
      </c>
      <c r="BH67">
        <f>IF(AND(AU67&lt;&gt;"",ISNUMBER(AW67)),1,0)</f>
        <v/>
      </c>
      <c r="BI67">
        <f>IF(BH67=0,0,IF(AND(AW67&gt;='Tasks Filter'!$F$3,AW67&lt;='Tasks Filter'!$F$4,OR('Tasks Filter'!$I$3="",ISNUMBER(SEARCH('Tasks Filter'!$I$3,AU67))),OR('Tasks Filter'!$I$4="",BF67=IFERROR(MATCH('Tasks Filter'!$I$4,Setup!$L$6:$L$9,0),0)),OR('Tasks Filter'!$I$5="Both",AND('Tasks Filter'!$I$5="Yes",BB67="✓"),AND('Tasks Filter'!$I$5="No",BB67&lt;&gt;"✓")),OR('Tasks Filter'!$L$3="",AV67='Tasks Filter'!$L$3),OR('Tasks Filter'!$L$4="",AZ67='Tasks Filter'!$L$4),OR('Tasks Filter'!$L$5="",BC67='Tasks Filter'!$L$5),OR('Tasks Filter'!$O$3="",BD67='Tasks Filter'!$O$3),OR('Tasks Filter'!$O$4="Yes",BG67=0)),1,0))</f>
        <v/>
      </c>
      <c r="BJ67">
        <f>IF(BH67=0,"",IF('Tasks Filter'!$F$6="Descending",-1,1)*CHOOSE(MATCH('Tasks Filter'!$F$5,Lists!$G$2:$G$6,0),AW67,BF67,IFERROR(MATCH(AV67,Setup!$F$6:$F$15,0),99),IFERROR(MATCH(BC67,Setup!$H$6:$H$15,0),99),IFERROR(MATCH(AZ67,Setup!$J$6:$J$11,0),99))*1E+9+(AW67-40000)*10000+66)</f>
        <v/>
      </c>
      <c r="BK67">
        <f>IF(BI67=1,BJ67,"")</f>
        <v/>
      </c>
      <c r="BL67">
        <f>IF(AND(BH67=1,BG67=0,N(AW67)&lt;Setup!$D$7),(AW67-40000)*10000+66,"")</f>
        <v/>
      </c>
      <c r="BM67">
        <f>IF(AND(BH67=1,AZ67&lt;&gt;"Cancelled",N(AW67)&gt;=Dashboard!$AB$3,N(AW67)&lt;=Dashboard!$AB$3+6),(AW67-40000)*100000+BF67*10000+66,"")</f>
        <v/>
      </c>
      <c r="BN67">
        <f>IF(AND(BH67=1,AZ67&lt;&gt;"Cancelled"),BF67*10000+66,"")</f>
        <v/>
      </c>
    </row>
    <row r="68">
      <c r="A68">
        <f>Setup!$D$5+66</f>
        <v/>
      </c>
      <c r="B68">
        <f>IF('Recurring Schedule'!$C$6="","",IF('Recurring Schedule'!$F$6="","",IF(OR($A68&lt;'Recurring Schedule'!$F$6,$A68&gt;'Recurring Schedule'!$P$6),"",IF(IF('Recurring Schedule'!$N$6&gt;0,MOD($A68-'Recurring Schedule'!$F$6,'Recurring Schedule'!$N$6)=0,IF('Recurring Schedule'!$O$6&gt;0,AND(DAY($A68)=MIN(DAY('Recurring Schedule'!$F$6),DAY(EOMONTH($A68,0))),MOD((YEAR($A68)-YEAR('Recurring Schedule'!$F$6))*12+MONTH($A68)-MONTH('Recurring Schedule'!$F$6),'Recurring Schedule'!$O$6)=0),IF('Recurring Schedule'!$E$6="Weekdays",WEEKDAY($A68,2)&lt;=5,$A68='Recurring Schedule'!$F$6))),1,""))))</f>
        <v/>
      </c>
      <c r="C68">
        <f>IF('Recurring Schedule'!$C$7="","",IF('Recurring Schedule'!$F$7="","",IF(OR($A68&lt;'Recurring Schedule'!$F$7,$A68&gt;'Recurring Schedule'!$P$7),"",IF(IF('Recurring Schedule'!$N$7&gt;0,MOD($A68-'Recurring Schedule'!$F$7,'Recurring Schedule'!$N$7)=0,IF('Recurring Schedule'!$O$7&gt;0,AND(DAY($A68)=MIN(DAY('Recurring Schedule'!$F$7),DAY(EOMONTH($A68,0))),MOD((YEAR($A68)-YEAR('Recurring Schedule'!$F$7))*12+MONTH($A68)-MONTH('Recurring Schedule'!$F$7),'Recurring Schedule'!$O$7)=0),IF('Recurring Schedule'!$E$7="Weekdays",WEEKDAY($A68,2)&lt;=5,$A68='Recurring Schedule'!$F$7))),2,""))))</f>
        <v/>
      </c>
      <c r="D68">
        <f>IF('Recurring Schedule'!$C$8="","",IF('Recurring Schedule'!$F$8="","",IF(OR($A68&lt;'Recurring Schedule'!$F$8,$A68&gt;'Recurring Schedule'!$P$8),"",IF(IF('Recurring Schedule'!$N$8&gt;0,MOD($A68-'Recurring Schedule'!$F$8,'Recurring Schedule'!$N$8)=0,IF('Recurring Schedule'!$O$8&gt;0,AND(DAY($A68)=MIN(DAY('Recurring Schedule'!$F$8),DAY(EOMONTH($A68,0))),MOD((YEAR($A68)-YEAR('Recurring Schedule'!$F$8))*12+MONTH($A68)-MONTH('Recurring Schedule'!$F$8),'Recurring Schedule'!$O$8)=0),IF('Recurring Schedule'!$E$8="Weekdays",WEEKDAY($A68,2)&lt;=5,$A68='Recurring Schedule'!$F$8))),3,""))))</f>
        <v/>
      </c>
      <c r="E68">
        <f>IF('Recurring Schedule'!$C$9="","",IF('Recurring Schedule'!$F$9="","",IF(OR($A68&lt;'Recurring Schedule'!$F$9,$A68&gt;'Recurring Schedule'!$P$9),"",IF(IF('Recurring Schedule'!$N$9&gt;0,MOD($A68-'Recurring Schedule'!$F$9,'Recurring Schedule'!$N$9)=0,IF('Recurring Schedule'!$O$9&gt;0,AND(DAY($A68)=MIN(DAY('Recurring Schedule'!$F$9),DAY(EOMONTH($A68,0))),MOD((YEAR($A68)-YEAR('Recurring Schedule'!$F$9))*12+MONTH($A68)-MONTH('Recurring Schedule'!$F$9),'Recurring Schedule'!$O$9)=0),IF('Recurring Schedule'!$E$9="Weekdays",WEEKDAY($A68,2)&lt;=5,$A68='Recurring Schedule'!$F$9))),4,""))))</f>
        <v/>
      </c>
      <c r="F68">
        <f>IF('Recurring Schedule'!$C$10="","",IF('Recurring Schedule'!$F$10="","",IF(OR($A68&lt;'Recurring Schedule'!$F$10,$A68&gt;'Recurring Schedule'!$P$10),"",IF(IF('Recurring Schedule'!$N$10&gt;0,MOD($A68-'Recurring Schedule'!$F$10,'Recurring Schedule'!$N$10)=0,IF('Recurring Schedule'!$O$10&gt;0,AND(DAY($A68)=MIN(DAY('Recurring Schedule'!$F$10),DAY(EOMONTH($A68,0))),MOD((YEAR($A68)-YEAR('Recurring Schedule'!$F$10))*12+MONTH($A68)-MONTH('Recurring Schedule'!$F$10),'Recurring Schedule'!$O$10)=0),IF('Recurring Schedule'!$E$10="Weekdays",WEEKDAY($A68,2)&lt;=5,$A68='Recurring Schedule'!$F$10))),5,""))))</f>
        <v/>
      </c>
      <c r="G68">
        <f>IF('Recurring Schedule'!$C$11="","",IF('Recurring Schedule'!$F$11="","",IF(OR($A68&lt;'Recurring Schedule'!$F$11,$A68&gt;'Recurring Schedule'!$P$11),"",IF(IF('Recurring Schedule'!$N$11&gt;0,MOD($A68-'Recurring Schedule'!$F$11,'Recurring Schedule'!$N$11)=0,IF('Recurring Schedule'!$O$11&gt;0,AND(DAY($A68)=MIN(DAY('Recurring Schedule'!$F$11),DAY(EOMONTH($A68,0))),MOD((YEAR($A68)-YEAR('Recurring Schedule'!$F$11))*12+MONTH($A68)-MONTH('Recurring Schedule'!$F$11),'Recurring Schedule'!$O$11)=0),IF('Recurring Schedule'!$E$11="Weekdays",WEEKDAY($A68,2)&lt;=5,$A68='Recurring Schedule'!$F$11))),6,""))))</f>
        <v/>
      </c>
      <c r="H68">
        <f>IF('Recurring Schedule'!$C$12="","",IF('Recurring Schedule'!$F$12="","",IF(OR($A68&lt;'Recurring Schedule'!$F$12,$A68&gt;'Recurring Schedule'!$P$12),"",IF(IF('Recurring Schedule'!$N$12&gt;0,MOD($A68-'Recurring Schedule'!$F$12,'Recurring Schedule'!$N$12)=0,IF('Recurring Schedule'!$O$12&gt;0,AND(DAY($A68)=MIN(DAY('Recurring Schedule'!$F$12),DAY(EOMONTH($A68,0))),MOD((YEAR($A68)-YEAR('Recurring Schedule'!$F$12))*12+MONTH($A68)-MONTH('Recurring Schedule'!$F$12),'Recurring Schedule'!$O$12)=0),IF('Recurring Schedule'!$E$12="Weekdays",WEEKDAY($A68,2)&lt;=5,$A68='Recurring Schedule'!$F$12))),7,""))))</f>
        <v/>
      </c>
      <c r="I68">
        <f>IF('Recurring Schedule'!$C$13="","",IF('Recurring Schedule'!$F$13="","",IF(OR($A68&lt;'Recurring Schedule'!$F$13,$A68&gt;'Recurring Schedule'!$P$13),"",IF(IF('Recurring Schedule'!$N$13&gt;0,MOD($A68-'Recurring Schedule'!$F$13,'Recurring Schedule'!$N$13)=0,IF('Recurring Schedule'!$O$13&gt;0,AND(DAY($A68)=MIN(DAY('Recurring Schedule'!$F$13),DAY(EOMONTH($A68,0))),MOD((YEAR($A68)-YEAR('Recurring Schedule'!$F$13))*12+MONTH($A68)-MONTH('Recurring Schedule'!$F$13),'Recurring Schedule'!$O$13)=0),IF('Recurring Schedule'!$E$13="Weekdays",WEEKDAY($A68,2)&lt;=5,$A68='Recurring Schedule'!$F$13))),8,""))))</f>
        <v/>
      </c>
      <c r="J68">
        <f>IF('Recurring Schedule'!$C$14="","",IF('Recurring Schedule'!$F$14="","",IF(OR($A68&lt;'Recurring Schedule'!$F$14,$A68&gt;'Recurring Schedule'!$P$14),"",IF(IF('Recurring Schedule'!$N$14&gt;0,MOD($A68-'Recurring Schedule'!$F$14,'Recurring Schedule'!$N$14)=0,IF('Recurring Schedule'!$O$14&gt;0,AND(DAY($A68)=MIN(DAY('Recurring Schedule'!$F$14),DAY(EOMONTH($A68,0))),MOD((YEAR($A68)-YEAR('Recurring Schedule'!$F$14))*12+MONTH($A68)-MONTH('Recurring Schedule'!$F$14),'Recurring Schedule'!$O$14)=0),IF('Recurring Schedule'!$E$14="Weekdays",WEEKDAY($A68,2)&lt;=5,$A68='Recurring Schedule'!$F$14))),9,""))))</f>
        <v/>
      </c>
      <c r="K68">
        <f>IF('Recurring Schedule'!$C$15="","",IF('Recurring Schedule'!$F$15="","",IF(OR($A68&lt;'Recurring Schedule'!$F$15,$A68&gt;'Recurring Schedule'!$P$15),"",IF(IF('Recurring Schedule'!$N$15&gt;0,MOD($A68-'Recurring Schedule'!$F$15,'Recurring Schedule'!$N$15)=0,IF('Recurring Schedule'!$O$15&gt;0,AND(DAY($A68)=MIN(DAY('Recurring Schedule'!$F$15),DAY(EOMONTH($A68,0))),MOD((YEAR($A68)-YEAR('Recurring Schedule'!$F$15))*12+MONTH($A68)-MONTH('Recurring Schedule'!$F$15),'Recurring Schedule'!$O$15)=0),IF('Recurring Schedule'!$E$15="Weekdays",WEEKDAY($A68,2)&lt;=5,$A68='Recurring Schedule'!$F$15))),10,""))))</f>
        <v/>
      </c>
      <c r="L68">
        <f>IF('Recurring Schedule'!$C$16="","",IF('Recurring Schedule'!$F$16="","",IF(OR($A68&lt;'Recurring Schedule'!$F$16,$A68&gt;'Recurring Schedule'!$P$16),"",IF(IF('Recurring Schedule'!$N$16&gt;0,MOD($A68-'Recurring Schedule'!$F$16,'Recurring Schedule'!$N$16)=0,IF('Recurring Schedule'!$O$16&gt;0,AND(DAY($A68)=MIN(DAY('Recurring Schedule'!$F$16),DAY(EOMONTH($A68,0))),MOD((YEAR($A68)-YEAR('Recurring Schedule'!$F$16))*12+MONTH($A68)-MONTH('Recurring Schedule'!$F$16),'Recurring Schedule'!$O$16)=0),IF('Recurring Schedule'!$E$16="Weekdays",WEEKDAY($A68,2)&lt;=5,$A68='Recurring Schedule'!$F$16))),11,""))))</f>
        <v/>
      </c>
      <c r="M68">
        <f>IF('Recurring Schedule'!$C$17="","",IF('Recurring Schedule'!$F$17="","",IF(OR($A68&lt;'Recurring Schedule'!$F$17,$A68&gt;'Recurring Schedule'!$P$17),"",IF(IF('Recurring Schedule'!$N$17&gt;0,MOD($A68-'Recurring Schedule'!$F$17,'Recurring Schedule'!$N$17)=0,IF('Recurring Schedule'!$O$17&gt;0,AND(DAY($A68)=MIN(DAY('Recurring Schedule'!$F$17),DAY(EOMONTH($A68,0))),MOD((YEAR($A68)-YEAR('Recurring Schedule'!$F$17))*12+MONTH($A68)-MONTH('Recurring Schedule'!$F$17),'Recurring Schedule'!$O$17)=0),IF('Recurring Schedule'!$E$17="Weekdays",WEEKDAY($A68,2)&lt;=5,$A68='Recurring Schedule'!$F$17))),12,""))))</f>
        <v/>
      </c>
      <c r="N68">
        <f>IF('Recurring Schedule'!$C$18="","",IF('Recurring Schedule'!$F$18="","",IF(OR($A68&lt;'Recurring Schedule'!$F$18,$A68&gt;'Recurring Schedule'!$P$18),"",IF(IF('Recurring Schedule'!$N$18&gt;0,MOD($A68-'Recurring Schedule'!$F$18,'Recurring Schedule'!$N$18)=0,IF('Recurring Schedule'!$O$18&gt;0,AND(DAY($A68)=MIN(DAY('Recurring Schedule'!$F$18),DAY(EOMONTH($A68,0))),MOD((YEAR($A68)-YEAR('Recurring Schedule'!$F$18))*12+MONTH($A68)-MONTH('Recurring Schedule'!$F$18),'Recurring Schedule'!$O$18)=0),IF('Recurring Schedule'!$E$18="Weekdays",WEEKDAY($A68,2)&lt;=5,$A68='Recurring Schedule'!$F$18))),13,""))))</f>
        <v/>
      </c>
      <c r="O68">
        <f>IF('Recurring Schedule'!$C$19="","",IF('Recurring Schedule'!$F$19="","",IF(OR($A68&lt;'Recurring Schedule'!$F$19,$A68&gt;'Recurring Schedule'!$P$19),"",IF(IF('Recurring Schedule'!$N$19&gt;0,MOD($A68-'Recurring Schedule'!$F$19,'Recurring Schedule'!$N$19)=0,IF('Recurring Schedule'!$O$19&gt;0,AND(DAY($A68)=MIN(DAY('Recurring Schedule'!$F$19),DAY(EOMONTH($A68,0))),MOD((YEAR($A68)-YEAR('Recurring Schedule'!$F$19))*12+MONTH($A68)-MONTH('Recurring Schedule'!$F$19),'Recurring Schedule'!$O$19)=0),IF('Recurring Schedule'!$E$19="Weekdays",WEEKDAY($A68,2)&lt;=5,$A68='Recurring Schedule'!$F$19))),14,""))))</f>
        <v/>
      </c>
      <c r="P68">
        <f>IF('Recurring Schedule'!$C$20="","",IF('Recurring Schedule'!$F$20="","",IF(OR($A68&lt;'Recurring Schedule'!$F$20,$A68&gt;'Recurring Schedule'!$P$20),"",IF(IF('Recurring Schedule'!$N$20&gt;0,MOD($A68-'Recurring Schedule'!$F$20,'Recurring Schedule'!$N$20)=0,IF('Recurring Schedule'!$O$20&gt;0,AND(DAY($A68)=MIN(DAY('Recurring Schedule'!$F$20),DAY(EOMONTH($A68,0))),MOD((YEAR($A68)-YEAR('Recurring Schedule'!$F$20))*12+MONTH($A68)-MONTH('Recurring Schedule'!$F$20),'Recurring Schedule'!$O$20)=0),IF('Recurring Schedule'!$E$20="Weekdays",WEEKDAY($A68,2)&lt;=5,$A68='Recurring Schedule'!$F$20))),15,""))))</f>
        <v/>
      </c>
      <c r="Q68">
        <f>IF('Recurring Schedule'!$C$21="","",IF('Recurring Schedule'!$F$21="","",IF(OR($A68&lt;'Recurring Schedule'!$F$21,$A68&gt;'Recurring Schedule'!$P$21),"",IF(IF('Recurring Schedule'!$N$21&gt;0,MOD($A68-'Recurring Schedule'!$F$21,'Recurring Schedule'!$N$21)=0,IF('Recurring Schedule'!$O$21&gt;0,AND(DAY($A68)=MIN(DAY('Recurring Schedule'!$F$21),DAY(EOMONTH($A68,0))),MOD((YEAR($A68)-YEAR('Recurring Schedule'!$F$21))*12+MONTH($A68)-MONTH('Recurring Schedule'!$F$21),'Recurring Schedule'!$O$21)=0),IF('Recurring Schedule'!$E$21="Weekdays",WEEKDAY($A68,2)&lt;=5,$A68='Recurring Schedule'!$F$21))),16,""))))</f>
        <v/>
      </c>
      <c r="R68">
        <f>IF('Recurring Schedule'!$C$22="","",IF('Recurring Schedule'!$F$22="","",IF(OR($A68&lt;'Recurring Schedule'!$F$22,$A68&gt;'Recurring Schedule'!$P$22),"",IF(IF('Recurring Schedule'!$N$22&gt;0,MOD($A68-'Recurring Schedule'!$F$22,'Recurring Schedule'!$N$22)=0,IF('Recurring Schedule'!$O$22&gt;0,AND(DAY($A68)=MIN(DAY('Recurring Schedule'!$F$22),DAY(EOMONTH($A68,0))),MOD((YEAR($A68)-YEAR('Recurring Schedule'!$F$22))*12+MONTH($A68)-MONTH('Recurring Schedule'!$F$22),'Recurring Schedule'!$O$22)=0),IF('Recurring Schedule'!$E$22="Weekdays",WEEKDAY($A68,2)&lt;=5,$A68='Recurring Schedule'!$F$22))),17,""))))</f>
        <v/>
      </c>
      <c r="S68">
        <f>IF('Recurring Schedule'!$C$23="","",IF('Recurring Schedule'!$F$23="","",IF(OR($A68&lt;'Recurring Schedule'!$F$23,$A68&gt;'Recurring Schedule'!$P$23),"",IF(IF('Recurring Schedule'!$N$23&gt;0,MOD($A68-'Recurring Schedule'!$F$23,'Recurring Schedule'!$N$23)=0,IF('Recurring Schedule'!$O$23&gt;0,AND(DAY($A68)=MIN(DAY('Recurring Schedule'!$F$23),DAY(EOMONTH($A68,0))),MOD((YEAR($A68)-YEAR('Recurring Schedule'!$F$23))*12+MONTH($A68)-MONTH('Recurring Schedule'!$F$23),'Recurring Schedule'!$O$23)=0),IF('Recurring Schedule'!$E$23="Weekdays",WEEKDAY($A68,2)&lt;=5,$A68='Recurring Schedule'!$F$23))),18,""))))</f>
        <v/>
      </c>
      <c r="T68">
        <f>IF('Recurring Schedule'!$C$24="","",IF('Recurring Schedule'!$F$24="","",IF(OR($A68&lt;'Recurring Schedule'!$F$24,$A68&gt;'Recurring Schedule'!$P$24),"",IF(IF('Recurring Schedule'!$N$24&gt;0,MOD($A68-'Recurring Schedule'!$F$24,'Recurring Schedule'!$N$24)=0,IF('Recurring Schedule'!$O$24&gt;0,AND(DAY($A68)=MIN(DAY('Recurring Schedule'!$F$24),DAY(EOMONTH($A68,0))),MOD((YEAR($A68)-YEAR('Recurring Schedule'!$F$24))*12+MONTH($A68)-MONTH('Recurring Schedule'!$F$24),'Recurring Schedule'!$O$24)=0),IF('Recurring Schedule'!$E$24="Weekdays",WEEKDAY($A68,2)&lt;=5,$A68='Recurring Schedule'!$F$24))),19,""))))</f>
        <v/>
      </c>
      <c r="U68">
        <f>IF('Recurring Schedule'!$C$25="","",IF('Recurring Schedule'!$F$25="","",IF(OR($A68&lt;'Recurring Schedule'!$F$25,$A68&gt;'Recurring Schedule'!$P$25),"",IF(IF('Recurring Schedule'!$N$25&gt;0,MOD($A68-'Recurring Schedule'!$F$25,'Recurring Schedule'!$N$25)=0,IF('Recurring Schedule'!$O$25&gt;0,AND(DAY($A68)=MIN(DAY('Recurring Schedule'!$F$25),DAY(EOMONTH($A68,0))),MOD((YEAR($A68)-YEAR('Recurring Schedule'!$F$25))*12+MONTH($A68)-MONTH('Recurring Schedule'!$F$25),'Recurring Schedule'!$O$25)=0),IF('Recurring Schedule'!$E$25="Weekdays",WEEKDAY($A68,2)&lt;=5,$A68='Recurring Schedule'!$F$25))),20,""))))</f>
        <v/>
      </c>
      <c r="V68">
        <f>IF('Recurring Schedule'!$C$26="","",IF('Recurring Schedule'!$F$26="","",IF(OR($A68&lt;'Recurring Schedule'!$F$26,$A68&gt;'Recurring Schedule'!$P$26),"",IF(IF('Recurring Schedule'!$N$26&gt;0,MOD($A68-'Recurring Schedule'!$F$26,'Recurring Schedule'!$N$26)=0,IF('Recurring Schedule'!$O$26&gt;0,AND(DAY($A68)=MIN(DAY('Recurring Schedule'!$F$26),DAY(EOMONTH($A68,0))),MOD((YEAR($A68)-YEAR('Recurring Schedule'!$F$26))*12+MONTH($A68)-MONTH('Recurring Schedule'!$F$26),'Recurring Schedule'!$O$26)=0),IF('Recurring Schedule'!$E$26="Weekdays",WEEKDAY($A68,2)&lt;=5,$A68='Recurring Schedule'!$F$26))),21,""))))</f>
        <v/>
      </c>
      <c r="W68">
        <f>IF('Recurring Schedule'!$C$27="","",IF('Recurring Schedule'!$F$27="","",IF(OR($A68&lt;'Recurring Schedule'!$F$27,$A68&gt;'Recurring Schedule'!$P$27),"",IF(IF('Recurring Schedule'!$N$27&gt;0,MOD($A68-'Recurring Schedule'!$F$27,'Recurring Schedule'!$N$27)=0,IF('Recurring Schedule'!$O$27&gt;0,AND(DAY($A68)=MIN(DAY('Recurring Schedule'!$F$27),DAY(EOMONTH($A68,0))),MOD((YEAR($A68)-YEAR('Recurring Schedule'!$F$27))*12+MONTH($A68)-MONTH('Recurring Schedule'!$F$27),'Recurring Schedule'!$O$27)=0),IF('Recurring Schedule'!$E$27="Weekdays",WEEKDAY($A68,2)&lt;=5,$A68='Recurring Schedule'!$F$27))),22,""))))</f>
        <v/>
      </c>
      <c r="X68">
        <f>IF('Recurring Schedule'!$C$28="","",IF('Recurring Schedule'!$F$28="","",IF(OR($A68&lt;'Recurring Schedule'!$F$28,$A68&gt;'Recurring Schedule'!$P$28),"",IF(IF('Recurring Schedule'!$N$28&gt;0,MOD($A68-'Recurring Schedule'!$F$28,'Recurring Schedule'!$N$28)=0,IF('Recurring Schedule'!$O$28&gt;0,AND(DAY($A68)=MIN(DAY('Recurring Schedule'!$F$28),DAY(EOMONTH($A68,0))),MOD((YEAR($A68)-YEAR('Recurring Schedule'!$F$28))*12+MONTH($A68)-MONTH('Recurring Schedule'!$F$28),'Recurring Schedule'!$O$28)=0),IF('Recurring Schedule'!$E$28="Weekdays",WEEKDAY($A68,2)&lt;=5,$A68='Recurring Schedule'!$F$28))),23,""))))</f>
        <v/>
      </c>
      <c r="Y68">
        <f>IF('Recurring Schedule'!$C$29="","",IF('Recurring Schedule'!$F$29="","",IF(OR($A68&lt;'Recurring Schedule'!$F$29,$A68&gt;'Recurring Schedule'!$P$29),"",IF(IF('Recurring Schedule'!$N$29&gt;0,MOD($A68-'Recurring Schedule'!$F$29,'Recurring Schedule'!$N$29)=0,IF('Recurring Schedule'!$O$29&gt;0,AND(DAY($A68)=MIN(DAY('Recurring Schedule'!$F$29),DAY(EOMONTH($A68,0))),MOD((YEAR($A68)-YEAR('Recurring Schedule'!$F$29))*12+MONTH($A68)-MONTH('Recurring Schedule'!$F$29),'Recurring Schedule'!$O$29)=0),IF('Recurring Schedule'!$E$29="Weekdays",WEEKDAY($A68,2)&lt;=5,$A68='Recurring Schedule'!$F$29))),24,""))))</f>
        <v/>
      </c>
      <c r="Z68">
        <f>IF('Recurring Schedule'!$C$30="","",IF('Recurring Schedule'!$F$30="","",IF(OR($A68&lt;'Recurring Schedule'!$F$30,$A68&gt;'Recurring Schedule'!$P$30),"",IF(IF('Recurring Schedule'!$N$30&gt;0,MOD($A68-'Recurring Schedule'!$F$30,'Recurring Schedule'!$N$30)=0,IF('Recurring Schedule'!$O$30&gt;0,AND(DAY($A68)=MIN(DAY('Recurring Schedule'!$F$30),DAY(EOMONTH($A68,0))),MOD((YEAR($A68)-YEAR('Recurring Schedule'!$F$30))*12+MONTH($A68)-MONTH('Recurring Schedule'!$F$30),'Recurring Schedule'!$O$30)=0),IF('Recurring Schedule'!$E$30="Weekdays",WEEKDAY($A68,2)&lt;=5,$A68='Recurring Schedule'!$F$30))),25,""))))</f>
        <v/>
      </c>
      <c r="AA68">
        <f>IF('Recurring Schedule'!$C$31="","",IF('Recurring Schedule'!$F$31="","",IF(OR($A68&lt;'Recurring Schedule'!$F$31,$A68&gt;'Recurring Schedule'!$P$31),"",IF(IF('Recurring Schedule'!$N$31&gt;0,MOD($A68-'Recurring Schedule'!$F$31,'Recurring Schedule'!$N$31)=0,IF('Recurring Schedule'!$O$31&gt;0,AND(DAY($A68)=MIN(DAY('Recurring Schedule'!$F$31),DAY(EOMONTH($A68,0))),MOD((YEAR($A68)-YEAR('Recurring Schedule'!$F$31))*12+MONTH($A68)-MONTH('Recurring Schedule'!$F$31),'Recurring Schedule'!$O$31)=0),IF('Recurring Schedule'!$E$31="Weekdays",WEEKDAY($A68,2)&lt;=5,$A68='Recurring Schedule'!$F$31))),26,""))))</f>
        <v/>
      </c>
      <c r="AB68">
        <f>IF('Recurring Schedule'!$C$32="","",IF('Recurring Schedule'!$F$32="","",IF(OR($A68&lt;'Recurring Schedule'!$F$32,$A68&gt;'Recurring Schedule'!$P$32),"",IF(IF('Recurring Schedule'!$N$32&gt;0,MOD($A68-'Recurring Schedule'!$F$32,'Recurring Schedule'!$N$32)=0,IF('Recurring Schedule'!$O$32&gt;0,AND(DAY($A68)=MIN(DAY('Recurring Schedule'!$F$32),DAY(EOMONTH($A68,0))),MOD((YEAR($A68)-YEAR('Recurring Schedule'!$F$32))*12+MONTH($A68)-MONTH('Recurring Schedule'!$F$32),'Recurring Schedule'!$O$32)=0),IF('Recurring Schedule'!$E$32="Weekdays",WEEKDAY($A68,2)&lt;=5,$A68='Recurring Schedule'!$F$32))),27,""))))</f>
        <v/>
      </c>
      <c r="AC68">
        <f>IF('Recurring Schedule'!$C$33="","",IF('Recurring Schedule'!$F$33="","",IF(OR($A68&lt;'Recurring Schedule'!$F$33,$A68&gt;'Recurring Schedule'!$P$33),"",IF(IF('Recurring Schedule'!$N$33&gt;0,MOD($A68-'Recurring Schedule'!$F$33,'Recurring Schedule'!$N$33)=0,IF('Recurring Schedule'!$O$33&gt;0,AND(DAY($A68)=MIN(DAY('Recurring Schedule'!$F$33),DAY(EOMONTH($A68,0))),MOD((YEAR($A68)-YEAR('Recurring Schedule'!$F$33))*12+MONTH($A68)-MONTH('Recurring Schedule'!$F$33),'Recurring Schedule'!$O$33)=0),IF('Recurring Schedule'!$E$33="Weekdays",WEEKDAY($A68,2)&lt;=5,$A68='Recurring Schedule'!$F$33))),28,""))))</f>
        <v/>
      </c>
      <c r="AD68">
        <f>IF('Recurring Schedule'!$C$34="","",IF('Recurring Schedule'!$F$34="","",IF(OR($A68&lt;'Recurring Schedule'!$F$34,$A68&gt;'Recurring Schedule'!$P$34),"",IF(IF('Recurring Schedule'!$N$34&gt;0,MOD($A68-'Recurring Schedule'!$F$34,'Recurring Schedule'!$N$34)=0,IF('Recurring Schedule'!$O$34&gt;0,AND(DAY($A68)=MIN(DAY('Recurring Schedule'!$F$34),DAY(EOMONTH($A68,0))),MOD((YEAR($A68)-YEAR('Recurring Schedule'!$F$34))*12+MONTH($A68)-MONTH('Recurring Schedule'!$F$34),'Recurring Schedule'!$O$34)=0),IF('Recurring Schedule'!$E$34="Weekdays",WEEKDAY($A68,2)&lt;=5,$A68='Recurring Schedule'!$F$34))),29,""))))</f>
        <v/>
      </c>
      <c r="AE68">
        <f>IF('Recurring Schedule'!$C$35="","",IF('Recurring Schedule'!$F$35="","",IF(OR($A68&lt;'Recurring Schedule'!$F$35,$A68&gt;'Recurring Schedule'!$P$35),"",IF(IF('Recurring Schedule'!$N$35&gt;0,MOD($A68-'Recurring Schedule'!$F$35,'Recurring Schedule'!$N$35)=0,IF('Recurring Schedule'!$O$35&gt;0,AND(DAY($A68)=MIN(DAY('Recurring Schedule'!$F$35),DAY(EOMONTH($A68,0))),MOD((YEAR($A68)-YEAR('Recurring Schedule'!$F$35))*12+MONTH($A68)-MONTH('Recurring Schedule'!$F$35),'Recurring Schedule'!$O$35)=0),IF('Recurring Schedule'!$E$35="Weekdays",WEEKDAY($A68,2)&lt;=5,$A68='Recurring Schedule'!$F$35))),30,""))))</f>
        <v/>
      </c>
      <c r="AF68">
        <f>IF('Recurring Schedule'!$C$36="","",IF('Recurring Schedule'!$F$36="","",IF(OR($A68&lt;'Recurring Schedule'!$F$36,$A68&gt;'Recurring Schedule'!$P$36),"",IF(IF('Recurring Schedule'!$N$36&gt;0,MOD($A68-'Recurring Schedule'!$F$36,'Recurring Schedule'!$N$36)=0,IF('Recurring Schedule'!$O$36&gt;0,AND(DAY($A68)=MIN(DAY('Recurring Schedule'!$F$36),DAY(EOMONTH($A68,0))),MOD((YEAR($A68)-YEAR('Recurring Schedule'!$F$36))*12+MONTH($A68)-MONTH('Recurring Schedule'!$F$36),'Recurring Schedule'!$O$36)=0),IF('Recurring Schedule'!$E$36="Weekdays",WEEKDAY($A68,2)&lt;=5,$A68='Recurring Schedule'!$F$36))),31,""))))</f>
        <v/>
      </c>
      <c r="AG68">
        <f>IF('Recurring Schedule'!$C$37="","",IF('Recurring Schedule'!$F$37="","",IF(OR($A68&lt;'Recurring Schedule'!$F$37,$A68&gt;'Recurring Schedule'!$P$37),"",IF(IF('Recurring Schedule'!$N$37&gt;0,MOD($A68-'Recurring Schedule'!$F$37,'Recurring Schedule'!$N$37)=0,IF('Recurring Schedule'!$O$37&gt;0,AND(DAY($A68)=MIN(DAY('Recurring Schedule'!$F$37),DAY(EOMONTH($A68,0))),MOD((YEAR($A68)-YEAR('Recurring Schedule'!$F$37))*12+MONTH($A68)-MONTH('Recurring Schedule'!$F$37),'Recurring Schedule'!$O$37)=0),IF('Recurring Schedule'!$E$37="Weekdays",WEEKDAY($A68,2)&lt;=5,$A68='Recurring Schedule'!$F$37))),32,""))))</f>
        <v/>
      </c>
      <c r="AH68">
        <f>IF('Recurring Schedule'!$C$38="","",IF('Recurring Schedule'!$F$38="","",IF(OR($A68&lt;'Recurring Schedule'!$F$38,$A68&gt;'Recurring Schedule'!$P$38),"",IF(IF('Recurring Schedule'!$N$38&gt;0,MOD($A68-'Recurring Schedule'!$F$38,'Recurring Schedule'!$N$38)=0,IF('Recurring Schedule'!$O$38&gt;0,AND(DAY($A68)=MIN(DAY('Recurring Schedule'!$F$38),DAY(EOMONTH($A68,0))),MOD((YEAR($A68)-YEAR('Recurring Schedule'!$F$38))*12+MONTH($A68)-MONTH('Recurring Schedule'!$F$38),'Recurring Schedule'!$O$38)=0),IF('Recurring Schedule'!$E$38="Weekdays",WEEKDAY($A68,2)&lt;=5,$A68='Recurring Schedule'!$F$38))),33,""))))</f>
        <v/>
      </c>
      <c r="AI68">
        <f>IF('Recurring Schedule'!$C$39="","",IF('Recurring Schedule'!$F$39="","",IF(OR($A68&lt;'Recurring Schedule'!$F$39,$A68&gt;'Recurring Schedule'!$P$39),"",IF(IF('Recurring Schedule'!$N$39&gt;0,MOD($A68-'Recurring Schedule'!$F$39,'Recurring Schedule'!$N$39)=0,IF('Recurring Schedule'!$O$39&gt;0,AND(DAY($A68)=MIN(DAY('Recurring Schedule'!$F$39),DAY(EOMONTH($A68,0))),MOD((YEAR($A68)-YEAR('Recurring Schedule'!$F$39))*12+MONTH($A68)-MONTH('Recurring Schedule'!$F$39),'Recurring Schedule'!$O$39)=0),IF('Recurring Schedule'!$E$39="Weekdays",WEEKDAY($A68,2)&lt;=5,$A68='Recurring Schedule'!$F$39))),34,""))))</f>
        <v/>
      </c>
      <c r="AJ68">
        <f>IF('Recurring Schedule'!$C$40="","",IF('Recurring Schedule'!$F$40="","",IF(OR($A68&lt;'Recurring Schedule'!$F$40,$A68&gt;'Recurring Schedule'!$P$40),"",IF(IF('Recurring Schedule'!$N$40&gt;0,MOD($A68-'Recurring Schedule'!$F$40,'Recurring Schedule'!$N$40)=0,IF('Recurring Schedule'!$O$40&gt;0,AND(DAY($A68)=MIN(DAY('Recurring Schedule'!$F$40),DAY(EOMONTH($A68,0))),MOD((YEAR($A68)-YEAR('Recurring Schedule'!$F$40))*12+MONTH($A68)-MONTH('Recurring Schedule'!$F$40),'Recurring Schedule'!$O$40)=0),IF('Recurring Schedule'!$E$40="Weekdays",WEEKDAY($A68,2)&lt;=5,$A68='Recurring Schedule'!$F$40))),35,""))))</f>
        <v/>
      </c>
      <c r="AK68">
        <f>IF('Recurring Schedule'!$C$41="","",IF('Recurring Schedule'!$F$41="","",IF(OR($A68&lt;'Recurring Schedule'!$F$41,$A68&gt;'Recurring Schedule'!$P$41),"",IF(IF('Recurring Schedule'!$N$41&gt;0,MOD($A68-'Recurring Schedule'!$F$41,'Recurring Schedule'!$N$41)=0,IF('Recurring Schedule'!$O$41&gt;0,AND(DAY($A68)=MIN(DAY('Recurring Schedule'!$F$41),DAY(EOMONTH($A68,0))),MOD((YEAR($A68)-YEAR('Recurring Schedule'!$F$41))*12+MONTH($A68)-MONTH('Recurring Schedule'!$F$41),'Recurring Schedule'!$O$41)=0),IF('Recurring Schedule'!$E$41="Weekdays",WEEKDAY($A68,2)&lt;=5,$A68='Recurring Schedule'!$F$41))),36,""))))</f>
        <v/>
      </c>
      <c r="AL68">
        <f>IF('Recurring Schedule'!$C$42="","",IF('Recurring Schedule'!$F$42="","",IF(OR($A68&lt;'Recurring Schedule'!$F$42,$A68&gt;'Recurring Schedule'!$P$42),"",IF(IF('Recurring Schedule'!$N$42&gt;0,MOD($A68-'Recurring Schedule'!$F$42,'Recurring Schedule'!$N$42)=0,IF('Recurring Schedule'!$O$42&gt;0,AND(DAY($A68)=MIN(DAY('Recurring Schedule'!$F$42),DAY(EOMONTH($A68,0))),MOD((YEAR($A68)-YEAR('Recurring Schedule'!$F$42))*12+MONTH($A68)-MONTH('Recurring Schedule'!$F$42),'Recurring Schedule'!$O$42)=0),IF('Recurring Schedule'!$E$42="Weekdays",WEEKDAY($A68,2)&lt;=5,$A68='Recurring Schedule'!$F$42))),37,""))))</f>
        <v/>
      </c>
      <c r="AM68">
        <f>IF('Recurring Schedule'!$C$43="","",IF('Recurring Schedule'!$F$43="","",IF(OR($A68&lt;'Recurring Schedule'!$F$43,$A68&gt;'Recurring Schedule'!$P$43),"",IF(IF('Recurring Schedule'!$N$43&gt;0,MOD($A68-'Recurring Schedule'!$F$43,'Recurring Schedule'!$N$43)=0,IF('Recurring Schedule'!$O$43&gt;0,AND(DAY($A68)=MIN(DAY('Recurring Schedule'!$F$43),DAY(EOMONTH($A68,0))),MOD((YEAR($A68)-YEAR('Recurring Schedule'!$F$43))*12+MONTH($A68)-MONTH('Recurring Schedule'!$F$43),'Recurring Schedule'!$O$43)=0),IF('Recurring Schedule'!$E$43="Weekdays",WEEKDAY($A68,2)&lt;=5,$A68='Recurring Schedule'!$F$43))),38,""))))</f>
        <v/>
      </c>
      <c r="AN68">
        <f>IF('Recurring Schedule'!$C$44="","",IF('Recurring Schedule'!$F$44="","",IF(OR($A68&lt;'Recurring Schedule'!$F$44,$A68&gt;'Recurring Schedule'!$P$44),"",IF(IF('Recurring Schedule'!$N$44&gt;0,MOD($A68-'Recurring Schedule'!$F$44,'Recurring Schedule'!$N$44)=0,IF('Recurring Schedule'!$O$44&gt;0,AND(DAY($A68)=MIN(DAY('Recurring Schedule'!$F$44),DAY(EOMONTH($A68,0))),MOD((YEAR($A68)-YEAR('Recurring Schedule'!$F$44))*12+MONTH($A68)-MONTH('Recurring Schedule'!$F$44),'Recurring Schedule'!$O$44)=0),IF('Recurring Schedule'!$E$44="Weekdays",WEEKDAY($A68,2)&lt;=5,$A68='Recurring Schedule'!$F$44))),39,""))))</f>
        <v/>
      </c>
      <c r="AO68">
        <f>IF('Recurring Schedule'!$C$45="","",IF('Recurring Schedule'!$F$45="","",IF(OR($A68&lt;'Recurring Schedule'!$F$45,$A68&gt;'Recurring Schedule'!$P$45),"",IF(IF('Recurring Schedule'!$N$45&gt;0,MOD($A68-'Recurring Schedule'!$F$45,'Recurring Schedule'!$N$45)=0,IF('Recurring Schedule'!$O$45&gt;0,AND(DAY($A68)=MIN(DAY('Recurring Schedule'!$F$45),DAY(EOMONTH($A68,0))),MOD((YEAR($A68)-YEAR('Recurring Schedule'!$F$45))*12+MONTH($A68)-MONTH('Recurring Schedule'!$F$45),'Recurring Schedule'!$O$45)=0),IF('Recurring Schedule'!$E$45="Weekdays",WEEKDAY($A68,2)&lt;=5,$A68='Recurring Schedule'!$F$45))),40,""))))</f>
        <v/>
      </c>
      <c r="AP68">
        <f>COUNT(B68:AO68)</f>
        <v/>
      </c>
      <c r="AQ68">
        <f>AQ67+AP67</f>
        <v/>
      </c>
      <c r="AS68" t="inlineStr">
        <is>
          <t>R</t>
        </is>
      </c>
      <c r="AT68" t="n">
        <v>72</v>
      </c>
      <c r="AU68">
        <f>'Recurring Log'!C72&amp;""</f>
        <v/>
      </c>
      <c r="AV68">
        <f>'Recurring Log'!D72&amp;""</f>
        <v/>
      </c>
      <c r="AW68">
        <f>IF('Recurring Log'!E72="","",'Recurring Log'!E72)</f>
        <v/>
      </c>
      <c r="AX68">
        <f>IF('Recurring Log'!G72="","",'Recurring Log'!G72)</f>
        <v/>
      </c>
      <c r="AY68">
        <f>IF('Recurring Log'!H72="","",'Recurring Log'!H72)</f>
        <v/>
      </c>
      <c r="AZ68">
        <f>IF(AU68="","",IF('Recurring Log'!J72="","Not Started",'Recurring Log'!J72))</f>
        <v/>
      </c>
      <c r="BA68">
        <f>'Recurring Log'!L72&amp;""</f>
        <v/>
      </c>
      <c r="BB68">
        <f>'Recurring Log'!M72&amp;""</f>
        <v/>
      </c>
      <c r="BC68">
        <f>'Recurring Log'!N72&amp;""</f>
        <v/>
      </c>
      <c r="BD68">
        <f>'Recurring Log'!O72&amp;""</f>
        <v/>
      </c>
      <c r="BE68">
        <f>IF('Recurring Log'!K72="","",'Recurring Log'!K72)</f>
        <v/>
      </c>
      <c r="BF68">
        <f>IFERROR(MATCH(BA68,Setup!$L$6:$L$9,0),5)</f>
        <v/>
      </c>
      <c r="BG68">
        <f>IF(OR(AZ68="Done",AZ68="Cancelled"),1,0)</f>
        <v/>
      </c>
      <c r="BH68">
        <f>IF(AND(AU68&lt;&gt;"",ISNUMBER(AW68)),1,0)</f>
        <v/>
      </c>
      <c r="BI68">
        <f>IF(BH68=0,0,IF(AND(AW68&gt;='Tasks Filter'!$F$3,AW68&lt;='Tasks Filter'!$F$4,OR('Tasks Filter'!$I$3="",ISNUMBER(SEARCH('Tasks Filter'!$I$3,AU68))),OR('Tasks Filter'!$I$4="",BF68=IFERROR(MATCH('Tasks Filter'!$I$4,Setup!$L$6:$L$9,0),0)),OR('Tasks Filter'!$I$5="Both",AND('Tasks Filter'!$I$5="Yes",BB68="✓"),AND('Tasks Filter'!$I$5="No",BB68&lt;&gt;"✓")),OR('Tasks Filter'!$L$3="",AV68='Tasks Filter'!$L$3),OR('Tasks Filter'!$L$4="",AZ68='Tasks Filter'!$L$4),OR('Tasks Filter'!$L$5="",BC68='Tasks Filter'!$L$5),OR('Tasks Filter'!$O$3="",BD68='Tasks Filter'!$O$3),OR('Tasks Filter'!$O$4="Yes",BG68=0)),1,0))</f>
        <v/>
      </c>
      <c r="BJ68">
        <f>IF(BH68=0,"",IF('Tasks Filter'!$F$6="Descending",-1,1)*CHOOSE(MATCH('Tasks Filter'!$F$5,Lists!$G$2:$G$6,0),AW68,BF68,IFERROR(MATCH(AV68,Setup!$F$6:$F$15,0),99),IFERROR(MATCH(BC68,Setup!$H$6:$H$15,0),99),IFERROR(MATCH(AZ68,Setup!$J$6:$J$11,0),99))*1E+9+(AW68-40000)*10000+67)</f>
        <v/>
      </c>
      <c r="BK68">
        <f>IF(BI68=1,BJ68,"")</f>
        <v/>
      </c>
      <c r="BL68">
        <f>IF(AND(BH68=1,BG68=0,N(AW68)&lt;Setup!$D$7),(AW68-40000)*10000+67,"")</f>
        <v/>
      </c>
      <c r="BM68">
        <f>IF(AND(BH68=1,AZ68&lt;&gt;"Cancelled",N(AW68)&gt;=Dashboard!$AB$3,N(AW68)&lt;=Dashboard!$AB$3+6),(AW68-40000)*100000+BF68*10000+67,"")</f>
        <v/>
      </c>
      <c r="BN68">
        <f>IF(AND(BH68=1,AZ68&lt;&gt;"Cancelled"),BF68*10000+67,"")</f>
        <v/>
      </c>
    </row>
    <row r="69">
      <c r="A69">
        <f>Setup!$D$5+67</f>
        <v/>
      </c>
      <c r="B69">
        <f>IF('Recurring Schedule'!$C$6="","",IF('Recurring Schedule'!$F$6="","",IF(OR($A69&lt;'Recurring Schedule'!$F$6,$A69&gt;'Recurring Schedule'!$P$6),"",IF(IF('Recurring Schedule'!$N$6&gt;0,MOD($A69-'Recurring Schedule'!$F$6,'Recurring Schedule'!$N$6)=0,IF('Recurring Schedule'!$O$6&gt;0,AND(DAY($A69)=MIN(DAY('Recurring Schedule'!$F$6),DAY(EOMONTH($A69,0))),MOD((YEAR($A69)-YEAR('Recurring Schedule'!$F$6))*12+MONTH($A69)-MONTH('Recurring Schedule'!$F$6),'Recurring Schedule'!$O$6)=0),IF('Recurring Schedule'!$E$6="Weekdays",WEEKDAY($A69,2)&lt;=5,$A69='Recurring Schedule'!$F$6))),1,""))))</f>
        <v/>
      </c>
      <c r="C69">
        <f>IF('Recurring Schedule'!$C$7="","",IF('Recurring Schedule'!$F$7="","",IF(OR($A69&lt;'Recurring Schedule'!$F$7,$A69&gt;'Recurring Schedule'!$P$7),"",IF(IF('Recurring Schedule'!$N$7&gt;0,MOD($A69-'Recurring Schedule'!$F$7,'Recurring Schedule'!$N$7)=0,IF('Recurring Schedule'!$O$7&gt;0,AND(DAY($A69)=MIN(DAY('Recurring Schedule'!$F$7),DAY(EOMONTH($A69,0))),MOD((YEAR($A69)-YEAR('Recurring Schedule'!$F$7))*12+MONTH($A69)-MONTH('Recurring Schedule'!$F$7),'Recurring Schedule'!$O$7)=0),IF('Recurring Schedule'!$E$7="Weekdays",WEEKDAY($A69,2)&lt;=5,$A69='Recurring Schedule'!$F$7))),2,""))))</f>
        <v/>
      </c>
      <c r="D69">
        <f>IF('Recurring Schedule'!$C$8="","",IF('Recurring Schedule'!$F$8="","",IF(OR($A69&lt;'Recurring Schedule'!$F$8,$A69&gt;'Recurring Schedule'!$P$8),"",IF(IF('Recurring Schedule'!$N$8&gt;0,MOD($A69-'Recurring Schedule'!$F$8,'Recurring Schedule'!$N$8)=0,IF('Recurring Schedule'!$O$8&gt;0,AND(DAY($A69)=MIN(DAY('Recurring Schedule'!$F$8),DAY(EOMONTH($A69,0))),MOD((YEAR($A69)-YEAR('Recurring Schedule'!$F$8))*12+MONTH($A69)-MONTH('Recurring Schedule'!$F$8),'Recurring Schedule'!$O$8)=0),IF('Recurring Schedule'!$E$8="Weekdays",WEEKDAY($A69,2)&lt;=5,$A69='Recurring Schedule'!$F$8))),3,""))))</f>
        <v/>
      </c>
      <c r="E69">
        <f>IF('Recurring Schedule'!$C$9="","",IF('Recurring Schedule'!$F$9="","",IF(OR($A69&lt;'Recurring Schedule'!$F$9,$A69&gt;'Recurring Schedule'!$P$9),"",IF(IF('Recurring Schedule'!$N$9&gt;0,MOD($A69-'Recurring Schedule'!$F$9,'Recurring Schedule'!$N$9)=0,IF('Recurring Schedule'!$O$9&gt;0,AND(DAY($A69)=MIN(DAY('Recurring Schedule'!$F$9),DAY(EOMONTH($A69,0))),MOD((YEAR($A69)-YEAR('Recurring Schedule'!$F$9))*12+MONTH($A69)-MONTH('Recurring Schedule'!$F$9),'Recurring Schedule'!$O$9)=0),IF('Recurring Schedule'!$E$9="Weekdays",WEEKDAY($A69,2)&lt;=5,$A69='Recurring Schedule'!$F$9))),4,""))))</f>
        <v/>
      </c>
      <c r="F69">
        <f>IF('Recurring Schedule'!$C$10="","",IF('Recurring Schedule'!$F$10="","",IF(OR($A69&lt;'Recurring Schedule'!$F$10,$A69&gt;'Recurring Schedule'!$P$10),"",IF(IF('Recurring Schedule'!$N$10&gt;0,MOD($A69-'Recurring Schedule'!$F$10,'Recurring Schedule'!$N$10)=0,IF('Recurring Schedule'!$O$10&gt;0,AND(DAY($A69)=MIN(DAY('Recurring Schedule'!$F$10),DAY(EOMONTH($A69,0))),MOD((YEAR($A69)-YEAR('Recurring Schedule'!$F$10))*12+MONTH($A69)-MONTH('Recurring Schedule'!$F$10),'Recurring Schedule'!$O$10)=0),IF('Recurring Schedule'!$E$10="Weekdays",WEEKDAY($A69,2)&lt;=5,$A69='Recurring Schedule'!$F$10))),5,""))))</f>
        <v/>
      </c>
      <c r="G69">
        <f>IF('Recurring Schedule'!$C$11="","",IF('Recurring Schedule'!$F$11="","",IF(OR($A69&lt;'Recurring Schedule'!$F$11,$A69&gt;'Recurring Schedule'!$P$11),"",IF(IF('Recurring Schedule'!$N$11&gt;0,MOD($A69-'Recurring Schedule'!$F$11,'Recurring Schedule'!$N$11)=0,IF('Recurring Schedule'!$O$11&gt;0,AND(DAY($A69)=MIN(DAY('Recurring Schedule'!$F$11),DAY(EOMONTH($A69,0))),MOD((YEAR($A69)-YEAR('Recurring Schedule'!$F$11))*12+MONTH($A69)-MONTH('Recurring Schedule'!$F$11),'Recurring Schedule'!$O$11)=0),IF('Recurring Schedule'!$E$11="Weekdays",WEEKDAY($A69,2)&lt;=5,$A69='Recurring Schedule'!$F$11))),6,""))))</f>
        <v/>
      </c>
      <c r="H69">
        <f>IF('Recurring Schedule'!$C$12="","",IF('Recurring Schedule'!$F$12="","",IF(OR($A69&lt;'Recurring Schedule'!$F$12,$A69&gt;'Recurring Schedule'!$P$12),"",IF(IF('Recurring Schedule'!$N$12&gt;0,MOD($A69-'Recurring Schedule'!$F$12,'Recurring Schedule'!$N$12)=0,IF('Recurring Schedule'!$O$12&gt;0,AND(DAY($A69)=MIN(DAY('Recurring Schedule'!$F$12),DAY(EOMONTH($A69,0))),MOD((YEAR($A69)-YEAR('Recurring Schedule'!$F$12))*12+MONTH($A69)-MONTH('Recurring Schedule'!$F$12),'Recurring Schedule'!$O$12)=0),IF('Recurring Schedule'!$E$12="Weekdays",WEEKDAY($A69,2)&lt;=5,$A69='Recurring Schedule'!$F$12))),7,""))))</f>
        <v/>
      </c>
      <c r="I69">
        <f>IF('Recurring Schedule'!$C$13="","",IF('Recurring Schedule'!$F$13="","",IF(OR($A69&lt;'Recurring Schedule'!$F$13,$A69&gt;'Recurring Schedule'!$P$13),"",IF(IF('Recurring Schedule'!$N$13&gt;0,MOD($A69-'Recurring Schedule'!$F$13,'Recurring Schedule'!$N$13)=0,IF('Recurring Schedule'!$O$13&gt;0,AND(DAY($A69)=MIN(DAY('Recurring Schedule'!$F$13),DAY(EOMONTH($A69,0))),MOD((YEAR($A69)-YEAR('Recurring Schedule'!$F$13))*12+MONTH($A69)-MONTH('Recurring Schedule'!$F$13),'Recurring Schedule'!$O$13)=0),IF('Recurring Schedule'!$E$13="Weekdays",WEEKDAY($A69,2)&lt;=5,$A69='Recurring Schedule'!$F$13))),8,""))))</f>
        <v/>
      </c>
      <c r="J69">
        <f>IF('Recurring Schedule'!$C$14="","",IF('Recurring Schedule'!$F$14="","",IF(OR($A69&lt;'Recurring Schedule'!$F$14,$A69&gt;'Recurring Schedule'!$P$14),"",IF(IF('Recurring Schedule'!$N$14&gt;0,MOD($A69-'Recurring Schedule'!$F$14,'Recurring Schedule'!$N$14)=0,IF('Recurring Schedule'!$O$14&gt;0,AND(DAY($A69)=MIN(DAY('Recurring Schedule'!$F$14),DAY(EOMONTH($A69,0))),MOD((YEAR($A69)-YEAR('Recurring Schedule'!$F$14))*12+MONTH($A69)-MONTH('Recurring Schedule'!$F$14),'Recurring Schedule'!$O$14)=0),IF('Recurring Schedule'!$E$14="Weekdays",WEEKDAY($A69,2)&lt;=5,$A69='Recurring Schedule'!$F$14))),9,""))))</f>
        <v/>
      </c>
      <c r="K69">
        <f>IF('Recurring Schedule'!$C$15="","",IF('Recurring Schedule'!$F$15="","",IF(OR($A69&lt;'Recurring Schedule'!$F$15,$A69&gt;'Recurring Schedule'!$P$15),"",IF(IF('Recurring Schedule'!$N$15&gt;0,MOD($A69-'Recurring Schedule'!$F$15,'Recurring Schedule'!$N$15)=0,IF('Recurring Schedule'!$O$15&gt;0,AND(DAY($A69)=MIN(DAY('Recurring Schedule'!$F$15),DAY(EOMONTH($A69,0))),MOD((YEAR($A69)-YEAR('Recurring Schedule'!$F$15))*12+MONTH($A69)-MONTH('Recurring Schedule'!$F$15),'Recurring Schedule'!$O$15)=0),IF('Recurring Schedule'!$E$15="Weekdays",WEEKDAY($A69,2)&lt;=5,$A69='Recurring Schedule'!$F$15))),10,""))))</f>
        <v/>
      </c>
      <c r="L69">
        <f>IF('Recurring Schedule'!$C$16="","",IF('Recurring Schedule'!$F$16="","",IF(OR($A69&lt;'Recurring Schedule'!$F$16,$A69&gt;'Recurring Schedule'!$P$16),"",IF(IF('Recurring Schedule'!$N$16&gt;0,MOD($A69-'Recurring Schedule'!$F$16,'Recurring Schedule'!$N$16)=0,IF('Recurring Schedule'!$O$16&gt;0,AND(DAY($A69)=MIN(DAY('Recurring Schedule'!$F$16),DAY(EOMONTH($A69,0))),MOD((YEAR($A69)-YEAR('Recurring Schedule'!$F$16))*12+MONTH($A69)-MONTH('Recurring Schedule'!$F$16),'Recurring Schedule'!$O$16)=0),IF('Recurring Schedule'!$E$16="Weekdays",WEEKDAY($A69,2)&lt;=5,$A69='Recurring Schedule'!$F$16))),11,""))))</f>
        <v/>
      </c>
      <c r="M69">
        <f>IF('Recurring Schedule'!$C$17="","",IF('Recurring Schedule'!$F$17="","",IF(OR($A69&lt;'Recurring Schedule'!$F$17,$A69&gt;'Recurring Schedule'!$P$17),"",IF(IF('Recurring Schedule'!$N$17&gt;0,MOD($A69-'Recurring Schedule'!$F$17,'Recurring Schedule'!$N$17)=0,IF('Recurring Schedule'!$O$17&gt;0,AND(DAY($A69)=MIN(DAY('Recurring Schedule'!$F$17),DAY(EOMONTH($A69,0))),MOD((YEAR($A69)-YEAR('Recurring Schedule'!$F$17))*12+MONTH($A69)-MONTH('Recurring Schedule'!$F$17),'Recurring Schedule'!$O$17)=0),IF('Recurring Schedule'!$E$17="Weekdays",WEEKDAY($A69,2)&lt;=5,$A69='Recurring Schedule'!$F$17))),12,""))))</f>
        <v/>
      </c>
      <c r="N69">
        <f>IF('Recurring Schedule'!$C$18="","",IF('Recurring Schedule'!$F$18="","",IF(OR($A69&lt;'Recurring Schedule'!$F$18,$A69&gt;'Recurring Schedule'!$P$18),"",IF(IF('Recurring Schedule'!$N$18&gt;0,MOD($A69-'Recurring Schedule'!$F$18,'Recurring Schedule'!$N$18)=0,IF('Recurring Schedule'!$O$18&gt;0,AND(DAY($A69)=MIN(DAY('Recurring Schedule'!$F$18),DAY(EOMONTH($A69,0))),MOD((YEAR($A69)-YEAR('Recurring Schedule'!$F$18))*12+MONTH($A69)-MONTH('Recurring Schedule'!$F$18),'Recurring Schedule'!$O$18)=0),IF('Recurring Schedule'!$E$18="Weekdays",WEEKDAY($A69,2)&lt;=5,$A69='Recurring Schedule'!$F$18))),13,""))))</f>
        <v/>
      </c>
      <c r="O69">
        <f>IF('Recurring Schedule'!$C$19="","",IF('Recurring Schedule'!$F$19="","",IF(OR($A69&lt;'Recurring Schedule'!$F$19,$A69&gt;'Recurring Schedule'!$P$19),"",IF(IF('Recurring Schedule'!$N$19&gt;0,MOD($A69-'Recurring Schedule'!$F$19,'Recurring Schedule'!$N$19)=0,IF('Recurring Schedule'!$O$19&gt;0,AND(DAY($A69)=MIN(DAY('Recurring Schedule'!$F$19),DAY(EOMONTH($A69,0))),MOD((YEAR($A69)-YEAR('Recurring Schedule'!$F$19))*12+MONTH($A69)-MONTH('Recurring Schedule'!$F$19),'Recurring Schedule'!$O$19)=0),IF('Recurring Schedule'!$E$19="Weekdays",WEEKDAY($A69,2)&lt;=5,$A69='Recurring Schedule'!$F$19))),14,""))))</f>
        <v/>
      </c>
      <c r="P69">
        <f>IF('Recurring Schedule'!$C$20="","",IF('Recurring Schedule'!$F$20="","",IF(OR($A69&lt;'Recurring Schedule'!$F$20,$A69&gt;'Recurring Schedule'!$P$20),"",IF(IF('Recurring Schedule'!$N$20&gt;0,MOD($A69-'Recurring Schedule'!$F$20,'Recurring Schedule'!$N$20)=0,IF('Recurring Schedule'!$O$20&gt;0,AND(DAY($A69)=MIN(DAY('Recurring Schedule'!$F$20),DAY(EOMONTH($A69,0))),MOD((YEAR($A69)-YEAR('Recurring Schedule'!$F$20))*12+MONTH($A69)-MONTH('Recurring Schedule'!$F$20),'Recurring Schedule'!$O$20)=0),IF('Recurring Schedule'!$E$20="Weekdays",WEEKDAY($A69,2)&lt;=5,$A69='Recurring Schedule'!$F$20))),15,""))))</f>
        <v/>
      </c>
      <c r="Q69">
        <f>IF('Recurring Schedule'!$C$21="","",IF('Recurring Schedule'!$F$21="","",IF(OR($A69&lt;'Recurring Schedule'!$F$21,$A69&gt;'Recurring Schedule'!$P$21),"",IF(IF('Recurring Schedule'!$N$21&gt;0,MOD($A69-'Recurring Schedule'!$F$21,'Recurring Schedule'!$N$21)=0,IF('Recurring Schedule'!$O$21&gt;0,AND(DAY($A69)=MIN(DAY('Recurring Schedule'!$F$21),DAY(EOMONTH($A69,0))),MOD((YEAR($A69)-YEAR('Recurring Schedule'!$F$21))*12+MONTH($A69)-MONTH('Recurring Schedule'!$F$21),'Recurring Schedule'!$O$21)=0),IF('Recurring Schedule'!$E$21="Weekdays",WEEKDAY($A69,2)&lt;=5,$A69='Recurring Schedule'!$F$21))),16,""))))</f>
        <v/>
      </c>
      <c r="R69">
        <f>IF('Recurring Schedule'!$C$22="","",IF('Recurring Schedule'!$F$22="","",IF(OR($A69&lt;'Recurring Schedule'!$F$22,$A69&gt;'Recurring Schedule'!$P$22),"",IF(IF('Recurring Schedule'!$N$22&gt;0,MOD($A69-'Recurring Schedule'!$F$22,'Recurring Schedule'!$N$22)=0,IF('Recurring Schedule'!$O$22&gt;0,AND(DAY($A69)=MIN(DAY('Recurring Schedule'!$F$22),DAY(EOMONTH($A69,0))),MOD((YEAR($A69)-YEAR('Recurring Schedule'!$F$22))*12+MONTH($A69)-MONTH('Recurring Schedule'!$F$22),'Recurring Schedule'!$O$22)=0),IF('Recurring Schedule'!$E$22="Weekdays",WEEKDAY($A69,2)&lt;=5,$A69='Recurring Schedule'!$F$22))),17,""))))</f>
        <v/>
      </c>
      <c r="S69">
        <f>IF('Recurring Schedule'!$C$23="","",IF('Recurring Schedule'!$F$23="","",IF(OR($A69&lt;'Recurring Schedule'!$F$23,$A69&gt;'Recurring Schedule'!$P$23),"",IF(IF('Recurring Schedule'!$N$23&gt;0,MOD($A69-'Recurring Schedule'!$F$23,'Recurring Schedule'!$N$23)=0,IF('Recurring Schedule'!$O$23&gt;0,AND(DAY($A69)=MIN(DAY('Recurring Schedule'!$F$23),DAY(EOMONTH($A69,0))),MOD((YEAR($A69)-YEAR('Recurring Schedule'!$F$23))*12+MONTH($A69)-MONTH('Recurring Schedule'!$F$23),'Recurring Schedule'!$O$23)=0),IF('Recurring Schedule'!$E$23="Weekdays",WEEKDAY($A69,2)&lt;=5,$A69='Recurring Schedule'!$F$23))),18,""))))</f>
        <v/>
      </c>
      <c r="T69">
        <f>IF('Recurring Schedule'!$C$24="","",IF('Recurring Schedule'!$F$24="","",IF(OR($A69&lt;'Recurring Schedule'!$F$24,$A69&gt;'Recurring Schedule'!$P$24),"",IF(IF('Recurring Schedule'!$N$24&gt;0,MOD($A69-'Recurring Schedule'!$F$24,'Recurring Schedule'!$N$24)=0,IF('Recurring Schedule'!$O$24&gt;0,AND(DAY($A69)=MIN(DAY('Recurring Schedule'!$F$24),DAY(EOMONTH($A69,0))),MOD((YEAR($A69)-YEAR('Recurring Schedule'!$F$24))*12+MONTH($A69)-MONTH('Recurring Schedule'!$F$24),'Recurring Schedule'!$O$24)=0),IF('Recurring Schedule'!$E$24="Weekdays",WEEKDAY($A69,2)&lt;=5,$A69='Recurring Schedule'!$F$24))),19,""))))</f>
        <v/>
      </c>
      <c r="U69">
        <f>IF('Recurring Schedule'!$C$25="","",IF('Recurring Schedule'!$F$25="","",IF(OR($A69&lt;'Recurring Schedule'!$F$25,$A69&gt;'Recurring Schedule'!$P$25),"",IF(IF('Recurring Schedule'!$N$25&gt;0,MOD($A69-'Recurring Schedule'!$F$25,'Recurring Schedule'!$N$25)=0,IF('Recurring Schedule'!$O$25&gt;0,AND(DAY($A69)=MIN(DAY('Recurring Schedule'!$F$25),DAY(EOMONTH($A69,0))),MOD((YEAR($A69)-YEAR('Recurring Schedule'!$F$25))*12+MONTH($A69)-MONTH('Recurring Schedule'!$F$25),'Recurring Schedule'!$O$25)=0),IF('Recurring Schedule'!$E$25="Weekdays",WEEKDAY($A69,2)&lt;=5,$A69='Recurring Schedule'!$F$25))),20,""))))</f>
        <v/>
      </c>
      <c r="V69">
        <f>IF('Recurring Schedule'!$C$26="","",IF('Recurring Schedule'!$F$26="","",IF(OR($A69&lt;'Recurring Schedule'!$F$26,$A69&gt;'Recurring Schedule'!$P$26),"",IF(IF('Recurring Schedule'!$N$26&gt;0,MOD($A69-'Recurring Schedule'!$F$26,'Recurring Schedule'!$N$26)=0,IF('Recurring Schedule'!$O$26&gt;0,AND(DAY($A69)=MIN(DAY('Recurring Schedule'!$F$26),DAY(EOMONTH($A69,0))),MOD((YEAR($A69)-YEAR('Recurring Schedule'!$F$26))*12+MONTH($A69)-MONTH('Recurring Schedule'!$F$26),'Recurring Schedule'!$O$26)=0),IF('Recurring Schedule'!$E$26="Weekdays",WEEKDAY($A69,2)&lt;=5,$A69='Recurring Schedule'!$F$26))),21,""))))</f>
        <v/>
      </c>
      <c r="W69">
        <f>IF('Recurring Schedule'!$C$27="","",IF('Recurring Schedule'!$F$27="","",IF(OR($A69&lt;'Recurring Schedule'!$F$27,$A69&gt;'Recurring Schedule'!$P$27),"",IF(IF('Recurring Schedule'!$N$27&gt;0,MOD($A69-'Recurring Schedule'!$F$27,'Recurring Schedule'!$N$27)=0,IF('Recurring Schedule'!$O$27&gt;0,AND(DAY($A69)=MIN(DAY('Recurring Schedule'!$F$27),DAY(EOMONTH($A69,0))),MOD((YEAR($A69)-YEAR('Recurring Schedule'!$F$27))*12+MONTH($A69)-MONTH('Recurring Schedule'!$F$27),'Recurring Schedule'!$O$27)=0),IF('Recurring Schedule'!$E$27="Weekdays",WEEKDAY($A69,2)&lt;=5,$A69='Recurring Schedule'!$F$27))),22,""))))</f>
        <v/>
      </c>
      <c r="X69">
        <f>IF('Recurring Schedule'!$C$28="","",IF('Recurring Schedule'!$F$28="","",IF(OR($A69&lt;'Recurring Schedule'!$F$28,$A69&gt;'Recurring Schedule'!$P$28),"",IF(IF('Recurring Schedule'!$N$28&gt;0,MOD($A69-'Recurring Schedule'!$F$28,'Recurring Schedule'!$N$28)=0,IF('Recurring Schedule'!$O$28&gt;0,AND(DAY($A69)=MIN(DAY('Recurring Schedule'!$F$28),DAY(EOMONTH($A69,0))),MOD((YEAR($A69)-YEAR('Recurring Schedule'!$F$28))*12+MONTH($A69)-MONTH('Recurring Schedule'!$F$28),'Recurring Schedule'!$O$28)=0),IF('Recurring Schedule'!$E$28="Weekdays",WEEKDAY($A69,2)&lt;=5,$A69='Recurring Schedule'!$F$28))),23,""))))</f>
        <v/>
      </c>
      <c r="Y69">
        <f>IF('Recurring Schedule'!$C$29="","",IF('Recurring Schedule'!$F$29="","",IF(OR($A69&lt;'Recurring Schedule'!$F$29,$A69&gt;'Recurring Schedule'!$P$29),"",IF(IF('Recurring Schedule'!$N$29&gt;0,MOD($A69-'Recurring Schedule'!$F$29,'Recurring Schedule'!$N$29)=0,IF('Recurring Schedule'!$O$29&gt;0,AND(DAY($A69)=MIN(DAY('Recurring Schedule'!$F$29),DAY(EOMONTH($A69,0))),MOD((YEAR($A69)-YEAR('Recurring Schedule'!$F$29))*12+MONTH($A69)-MONTH('Recurring Schedule'!$F$29),'Recurring Schedule'!$O$29)=0),IF('Recurring Schedule'!$E$29="Weekdays",WEEKDAY($A69,2)&lt;=5,$A69='Recurring Schedule'!$F$29))),24,""))))</f>
        <v/>
      </c>
      <c r="Z69">
        <f>IF('Recurring Schedule'!$C$30="","",IF('Recurring Schedule'!$F$30="","",IF(OR($A69&lt;'Recurring Schedule'!$F$30,$A69&gt;'Recurring Schedule'!$P$30),"",IF(IF('Recurring Schedule'!$N$30&gt;0,MOD($A69-'Recurring Schedule'!$F$30,'Recurring Schedule'!$N$30)=0,IF('Recurring Schedule'!$O$30&gt;0,AND(DAY($A69)=MIN(DAY('Recurring Schedule'!$F$30),DAY(EOMONTH($A69,0))),MOD((YEAR($A69)-YEAR('Recurring Schedule'!$F$30))*12+MONTH($A69)-MONTH('Recurring Schedule'!$F$30),'Recurring Schedule'!$O$30)=0),IF('Recurring Schedule'!$E$30="Weekdays",WEEKDAY($A69,2)&lt;=5,$A69='Recurring Schedule'!$F$30))),25,""))))</f>
        <v/>
      </c>
      <c r="AA69">
        <f>IF('Recurring Schedule'!$C$31="","",IF('Recurring Schedule'!$F$31="","",IF(OR($A69&lt;'Recurring Schedule'!$F$31,$A69&gt;'Recurring Schedule'!$P$31),"",IF(IF('Recurring Schedule'!$N$31&gt;0,MOD($A69-'Recurring Schedule'!$F$31,'Recurring Schedule'!$N$31)=0,IF('Recurring Schedule'!$O$31&gt;0,AND(DAY($A69)=MIN(DAY('Recurring Schedule'!$F$31),DAY(EOMONTH($A69,0))),MOD((YEAR($A69)-YEAR('Recurring Schedule'!$F$31))*12+MONTH($A69)-MONTH('Recurring Schedule'!$F$31),'Recurring Schedule'!$O$31)=0),IF('Recurring Schedule'!$E$31="Weekdays",WEEKDAY($A69,2)&lt;=5,$A69='Recurring Schedule'!$F$31))),26,""))))</f>
        <v/>
      </c>
      <c r="AB69">
        <f>IF('Recurring Schedule'!$C$32="","",IF('Recurring Schedule'!$F$32="","",IF(OR($A69&lt;'Recurring Schedule'!$F$32,$A69&gt;'Recurring Schedule'!$P$32),"",IF(IF('Recurring Schedule'!$N$32&gt;0,MOD($A69-'Recurring Schedule'!$F$32,'Recurring Schedule'!$N$32)=0,IF('Recurring Schedule'!$O$32&gt;0,AND(DAY($A69)=MIN(DAY('Recurring Schedule'!$F$32),DAY(EOMONTH($A69,0))),MOD((YEAR($A69)-YEAR('Recurring Schedule'!$F$32))*12+MONTH($A69)-MONTH('Recurring Schedule'!$F$32),'Recurring Schedule'!$O$32)=0),IF('Recurring Schedule'!$E$32="Weekdays",WEEKDAY($A69,2)&lt;=5,$A69='Recurring Schedule'!$F$32))),27,""))))</f>
        <v/>
      </c>
      <c r="AC69">
        <f>IF('Recurring Schedule'!$C$33="","",IF('Recurring Schedule'!$F$33="","",IF(OR($A69&lt;'Recurring Schedule'!$F$33,$A69&gt;'Recurring Schedule'!$P$33),"",IF(IF('Recurring Schedule'!$N$33&gt;0,MOD($A69-'Recurring Schedule'!$F$33,'Recurring Schedule'!$N$33)=0,IF('Recurring Schedule'!$O$33&gt;0,AND(DAY($A69)=MIN(DAY('Recurring Schedule'!$F$33),DAY(EOMONTH($A69,0))),MOD((YEAR($A69)-YEAR('Recurring Schedule'!$F$33))*12+MONTH($A69)-MONTH('Recurring Schedule'!$F$33),'Recurring Schedule'!$O$33)=0),IF('Recurring Schedule'!$E$33="Weekdays",WEEKDAY($A69,2)&lt;=5,$A69='Recurring Schedule'!$F$33))),28,""))))</f>
        <v/>
      </c>
      <c r="AD69">
        <f>IF('Recurring Schedule'!$C$34="","",IF('Recurring Schedule'!$F$34="","",IF(OR($A69&lt;'Recurring Schedule'!$F$34,$A69&gt;'Recurring Schedule'!$P$34),"",IF(IF('Recurring Schedule'!$N$34&gt;0,MOD($A69-'Recurring Schedule'!$F$34,'Recurring Schedule'!$N$34)=0,IF('Recurring Schedule'!$O$34&gt;0,AND(DAY($A69)=MIN(DAY('Recurring Schedule'!$F$34),DAY(EOMONTH($A69,0))),MOD((YEAR($A69)-YEAR('Recurring Schedule'!$F$34))*12+MONTH($A69)-MONTH('Recurring Schedule'!$F$34),'Recurring Schedule'!$O$34)=0),IF('Recurring Schedule'!$E$34="Weekdays",WEEKDAY($A69,2)&lt;=5,$A69='Recurring Schedule'!$F$34))),29,""))))</f>
        <v/>
      </c>
      <c r="AE69">
        <f>IF('Recurring Schedule'!$C$35="","",IF('Recurring Schedule'!$F$35="","",IF(OR($A69&lt;'Recurring Schedule'!$F$35,$A69&gt;'Recurring Schedule'!$P$35),"",IF(IF('Recurring Schedule'!$N$35&gt;0,MOD($A69-'Recurring Schedule'!$F$35,'Recurring Schedule'!$N$35)=0,IF('Recurring Schedule'!$O$35&gt;0,AND(DAY($A69)=MIN(DAY('Recurring Schedule'!$F$35),DAY(EOMONTH($A69,0))),MOD((YEAR($A69)-YEAR('Recurring Schedule'!$F$35))*12+MONTH($A69)-MONTH('Recurring Schedule'!$F$35),'Recurring Schedule'!$O$35)=0),IF('Recurring Schedule'!$E$35="Weekdays",WEEKDAY($A69,2)&lt;=5,$A69='Recurring Schedule'!$F$35))),30,""))))</f>
        <v/>
      </c>
      <c r="AF69">
        <f>IF('Recurring Schedule'!$C$36="","",IF('Recurring Schedule'!$F$36="","",IF(OR($A69&lt;'Recurring Schedule'!$F$36,$A69&gt;'Recurring Schedule'!$P$36),"",IF(IF('Recurring Schedule'!$N$36&gt;0,MOD($A69-'Recurring Schedule'!$F$36,'Recurring Schedule'!$N$36)=0,IF('Recurring Schedule'!$O$36&gt;0,AND(DAY($A69)=MIN(DAY('Recurring Schedule'!$F$36),DAY(EOMONTH($A69,0))),MOD((YEAR($A69)-YEAR('Recurring Schedule'!$F$36))*12+MONTH($A69)-MONTH('Recurring Schedule'!$F$36),'Recurring Schedule'!$O$36)=0),IF('Recurring Schedule'!$E$36="Weekdays",WEEKDAY($A69,2)&lt;=5,$A69='Recurring Schedule'!$F$36))),31,""))))</f>
        <v/>
      </c>
      <c r="AG69">
        <f>IF('Recurring Schedule'!$C$37="","",IF('Recurring Schedule'!$F$37="","",IF(OR($A69&lt;'Recurring Schedule'!$F$37,$A69&gt;'Recurring Schedule'!$P$37),"",IF(IF('Recurring Schedule'!$N$37&gt;0,MOD($A69-'Recurring Schedule'!$F$37,'Recurring Schedule'!$N$37)=0,IF('Recurring Schedule'!$O$37&gt;0,AND(DAY($A69)=MIN(DAY('Recurring Schedule'!$F$37),DAY(EOMONTH($A69,0))),MOD((YEAR($A69)-YEAR('Recurring Schedule'!$F$37))*12+MONTH($A69)-MONTH('Recurring Schedule'!$F$37),'Recurring Schedule'!$O$37)=0),IF('Recurring Schedule'!$E$37="Weekdays",WEEKDAY($A69,2)&lt;=5,$A69='Recurring Schedule'!$F$37))),32,""))))</f>
        <v/>
      </c>
      <c r="AH69">
        <f>IF('Recurring Schedule'!$C$38="","",IF('Recurring Schedule'!$F$38="","",IF(OR($A69&lt;'Recurring Schedule'!$F$38,$A69&gt;'Recurring Schedule'!$P$38),"",IF(IF('Recurring Schedule'!$N$38&gt;0,MOD($A69-'Recurring Schedule'!$F$38,'Recurring Schedule'!$N$38)=0,IF('Recurring Schedule'!$O$38&gt;0,AND(DAY($A69)=MIN(DAY('Recurring Schedule'!$F$38),DAY(EOMONTH($A69,0))),MOD((YEAR($A69)-YEAR('Recurring Schedule'!$F$38))*12+MONTH($A69)-MONTH('Recurring Schedule'!$F$38),'Recurring Schedule'!$O$38)=0),IF('Recurring Schedule'!$E$38="Weekdays",WEEKDAY($A69,2)&lt;=5,$A69='Recurring Schedule'!$F$38))),33,""))))</f>
        <v/>
      </c>
      <c r="AI69">
        <f>IF('Recurring Schedule'!$C$39="","",IF('Recurring Schedule'!$F$39="","",IF(OR($A69&lt;'Recurring Schedule'!$F$39,$A69&gt;'Recurring Schedule'!$P$39),"",IF(IF('Recurring Schedule'!$N$39&gt;0,MOD($A69-'Recurring Schedule'!$F$39,'Recurring Schedule'!$N$39)=0,IF('Recurring Schedule'!$O$39&gt;0,AND(DAY($A69)=MIN(DAY('Recurring Schedule'!$F$39),DAY(EOMONTH($A69,0))),MOD((YEAR($A69)-YEAR('Recurring Schedule'!$F$39))*12+MONTH($A69)-MONTH('Recurring Schedule'!$F$39),'Recurring Schedule'!$O$39)=0),IF('Recurring Schedule'!$E$39="Weekdays",WEEKDAY($A69,2)&lt;=5,$A69='Recurring Schedule'!$F$39))),34,""))))</f>
        <v/>
      </c>
      <c r="AJ69">
        <f>IF('Recurring Schedule'!$C$40="","",IF('Recurring Schedule'!$F$40="","",IF(OR($A69&lt;'Recurring Schedule'!$F$40,$A69&gt;'Recurring Schedule'!$P$40),"",IF(IF('Recurring Schedule'!$N$40&gt;0,MOD($A69-'Recurring Schedule'!$F$40,'Recurring Schedule'!$N$40)=0,IF('Recurring Schedule'!$O$40&gt;0,AND(DAY($A69)=MIN(DAY('Recurring Schedule'!$F$40),DAY(EOMONTH($A69,0))),MOD((YEAR($A69)-YEAR('Recurring Schedule'!$F$40))*12+MONTH($A69)-MONTH('Recurring Schedule'!$F$40),'Recurring Schedule'!$O$40)=0),IF('Recurring Schedule'!$E$40="Weekdays",WEEKDAY($A69,2)&lt;=5,$A69='Recurring Schedule'!$F$40))),35,""))))</f>
        <v/>
      </c>
      <c r="AK69">
        <f>IF('Recurring Schedule'!$C$41="","",IF('Recurring Schedule'!$F$41="","",IF(OR($A69&lt;'Recurring Schedule'!$F$41,$A69&gt;'Recurring Schedule'!$P$41),"",IF(IF('Recurring Schedule'!$N$41&gt;0,MOD($A69-'Recurring Schedule'!$F$41,'Recurring Schedule'!$N$41)=0,IF('Recurring Schedule'!$O$41&gt;0,AND(DAY($A69)=MIN(DAY('Recurring Schedule'!$F$41),DAY(EOMONTH($A69,0))),MOD((YEAR($A69)-YEAR('Recurring Schedule'!$F$41))*12+MONTH($A69)-MONTH('Recurring Schedule'!$F$41),'Recurring Schedule'!$O$41)=0),IF('Recurring Schedule'!$E$41="Weekdays",WEEKDAY($A69,2)&lt;=5,$A69='Recurring Schedule'!$F$41))),36,""))))</f>
        <v/>
      </c>
      <c r="AL69">
        <f>IF('Recurring Schedule'!$C$42="","",IF('Recurring Schedule'!$F$42="","",IF(OR($A69&lt;'Recurring Schedule'!$F$42,$A69&gt;'Recurring Schedule'!$P$42),"",IF(IF('Recurring Schedule'!$N$42&gt;0,MOD($A69-'Recurring Schedule'!$F$42,'Recurring Schedule'!$N$42)=0,IF('Recurring Schedule'!$O$42&gt;0,AND(DAY($A69)=MIN(DAY('Recurring Schedule'!$F$42),DAY(EOMONTH($A69,0))),MOD((YEAR($A69)-YEAR('Recurring Schedule'!$F$42))*12+MONTH($A69)-MONTH('Recurring Schedule'!$F$42),'Recurring Schedule'!$O$42)=0),IF('Recurring Schedule'!$E$42="Weekdays",WEEKDAY($A69,2)&lt;=5,$A69='Recurring Schedule'!$F$42))),37,""))))</f>
        <v/>
      </c>
      <c r="AM69">
        <f>IF('Recurring Schedule'!$C$43="","",IF('Recurring Schedule'!$F$43="","",IF(OR($A69&lt;'Recurring Schedule'!$F$43,$A69&gt;'Recurring Schedule'!$P$43),"",IF(IF('Recurring Schedule'!$N$43&gt;0,MOD($A69-'Recurring Schedule'!$F$43,'Recurring Schedule'!$N$43)=0,IF('Recurring Schedule'!$O$43&gt;0,AND(DAY($A69)=MIN(DAY('Recurring Schedule'!$F$43),DAY(EOMONTH($A69,0))),MOD((YEAR($A69)-YEAR('Recurring Schedule'!$F$43))*12+MONTH($A69)-MONTH('Recurring Schedule'!$F$43),'Recurring Schedule'!$O$43)=0),IF('Recurring Schedule'!$E$43="Weekdays",WEEKDAY($A69,2)&lt;=5,$A69='Recurring Schedule'!$F$43))),38,""))))</f>
        <v/>
      </c>
      <c r="AN69">
        <f>IF('Recurring Schedule'!$C$44="","",IF('Recurring Schedule'!$F$44="","",IF(OR($A69&lt;'Recurring Schedule'!$F$44,$A69&gt;'Recurring Schedule'!$P$44),"",IF(IF('Recurring Schedule'!$N$44&gt;0,MOD($A69-'Recurring Schedule'!$F$44,'Recurring Schedule'!$N$44)=0,IF('Recurring Schedule'!$O$44&gt;0,AND(DAY($A69)=MIN(DAY('Recurring Schedule'!$F$44),DAY(EOMONTH($A69,0))),MOD((YEAR($A69)-YEAR('Recurring Schedule'!$F$44))*12+MONTH($A69)-MONTH('Recurring Schedule'!$F$44),'Recurring Schedule'!$O$44)=0),IF('Recurring Schedule'!$E$44="Weekdays",WEEKDAY($A69,2)&lt;=5,$A69='Recurring Schedule'!$F$44))),39,""))))</f>
        <v/>
      </c>
      <c r="AO69">
        <f>IF('Recurring Schedule'!$C$45="","",IF('Recurring Schedule'!$F$45="","",IF(OR($A69&lt;'Recurring Schedule'!$F$45,$A69&gt;'Recurring Schedule'!$P$45),"",IF(IF('Recurring Schedule'!$N$45&gt;0,MOD($A69-'Recurring Schedule'!$F$45,'Recurring Schedule'!$N$45)=0,IF('Recurring Schedule'!$O$45&gt;0,AND(DAY($A69)=MIN(DAY('Recurring Schedule'!$F$45),DAY(EOMONTH($A69,0))),MOD((YEAR($A69)-YEAR('Recurring Schedule'!$F$45))*12+MONTH($A69)-MONTH('Recurring Schedule'!$F$45),'Recurring Schedule'!$O$45)=0),IF('Recurring Schedule'!$E$45="Weekdays",WEEKDAY($A69,2)&lt;=5,$A69='Recurring Schedule'!$F$45))),40,""))))</f>
        <v/>
      </c>
      <c r="AP69">
        <f>COUNT(B69:AO69)</f>
        <v/>
      </c>
      <c r="AQ69">
        <f>AQ68+AP68</f>
        <v/>
      </c>
      <c r="AS69" t="inlineStr">
        <is>
          <t>R</t>
        </is>
      </c>
      <c r="AT69" t="n">
        <v>73</v>
      </c>
      <c r="AU69">
        <f>'Recurring Log'!C73&amp;""</f>
        <v/>
      </c>
      <c r="AV69">
        <f>'Recurring Log'!D73&amp;""</f>
        <v/>
      </c>
      <c r="AW69">
        <f>IF('Recurring Log'!E73="","",'Recurring Log'!E73)</f>
        <v/>
      </c>
      <c r="AX69">
        <f>IF('Recurring Log'!G73="","",'Recurring Log'!G73)</f>
        <v/>
      </c>
      <c r="AY69">
        <f>IF('Recurring Log'!H73="","",'Recurring Log'!H73)</f>
        <v/>
      </c>
      <c r="AZ69">
        <f>IF(AU69="","",IF('Recurring Log'!J73="","Not Started",'Recurring Log'!J73))</f>
        <v/>
      </c>
      <c r="BA69">
        <f>'Recurring Log'!L73&amp;""</f>
        <v/>
      </c>
      <c r="BB69">
        <f>'Recurring Log'!M73&amp;""</f>
        <v/>
      </c>
      <c r="BC69">
        <f>'Recurring Log'!N73&amp;""</f>
        <v/>
      </c>
      <c r="BD69">
        <f>'Recurring Log'!O73&amp;""</f>
        <v/>
      </c>
      <c r="BE69">
        <f>IF('Recurring Log'!K73="","",'Recurring Log'!K73)</f>
        <v/>
      </c>
      <c r="BF69">
        <f>IFERROR(MATCH(BA69,Setup!$L$6:$L$9,0),5)</f>
        <v/>
      </c>
      <c r="BG69">
        <f>IF(OR(AZ69="Done",AZ69="Cancelled"),1,0)</f>
        <v/>
      </c>
      <c r="BH69">
        <f>IF(AND(AU69&lt;&gt;"",ISNUMBER(AW69)),1,0)</f>
        <v/>
      </c>
      <c r="BI69">
        <f>IF(BH69=0,0,IF(AND(AW69&gt;='Tasks Filter'!$F$3,AW69&lt;='Tasks Filter'!$F$4,OR('Tasks Filter'!$I$3="",ISNUMBER(SEARCH('Tasks Filter'!$I$3,AU69))),OR('Tasks Filter'!$I$4="",BF69=IFERROR(MATCH('Tasks Filter'!$I$4,Setup!$L$6:$L$9,0),0)),OR('Tasks Filter'!$I$5="Both",AND('Tasks Filter'!$I$5="Yes",BB69="✓"),AND('Tasks Filter'!$I$5="No",BB69&lt;&gt;"✓")),OR('Tasks Filter'!$L$3="",AV69='Tasks Filter'!$L$3),OR('Tasks Filter'!$L$4="",AZ69='Tasks Filter'!$L$4),OR('Tasks Filter'!$L$5="",BC69='Tasks Filter'!$L$5),OR('Tasks Filter'!$O$3="",BD69='Tasks Filter'!$O$3),OR('Tasks Filter'!$O$4="Yes",BG69=0)),1,0))</f>
        <v/>
      </c>
      <c r="BJ69">
        <f>IF(BH69=0,"",IF('Tasks Filter'!$F$6="Descending",-1,1)*CHOOSE(MATCH('Tasks Filter'!$F$5,Lists!$G$2:$G$6,0),AW69,BF69,IFERROR(MATCH(AV69,Setup!$F$6:$F$15,0),99),IFERROR(MATCH(BC69,Setup!$H$6:$H$15,0),99),IFERROR(MATCH(AZ69,Setup!$J$6:$J$11,0),99))*1E+9+(AW69-40000)*10000+68)</f>
        <v/>
      </c>
      <c r="BK69">
        <f>IF(BI69=1,BJ69,"")</f>
        <v/>
      </c>
      <c r="BL69">
        <f>IF(AND(BH69=1,BG69=0,N(AW69)&lt;Setup!$D$7),(AW69-40000)*10000+68,"")</f>
        <v/>
      </c>
      <c r="BM69">
        <f>IF(AND(BH69=1,AZ69&lt;&gt;"Cancelled",N(AW69)&gt;=Dashboard!$AB$3,N(AW69)&lt;=Dashboard!$AB$3+6),(AW69-40000)*100000+BF69*10000+68,"")</f>
        <v/>
      </c>
      <c r="BN69">
        <f>IF(AND(BH69=1,AZ69&lt;&gt;"Cancelled"),BF69*10000+68,"")</f>
        <v/>
      </c>
    </row>
    <row r="70">
      <c r="A70">
        <f>Setup!$D$5+68</f>
        <v/>
      </c>
      <c r="B70">
        <f>IF('Recurring Schedule'!$C$6="","",IF('Recurring Schedule'!$F$6="","",IF(OR($A70&lt;'Recurring Schedule'!$F$6,$A70&gt;'Recurring Schedule'!$P$6),"",IF(IF('Recurring Schedule'!$N$6&gt;0,MOD($A70-'Recurring Schedule'!$F$6,'Recurring Schedule'!$N$6)=0,IF('Recurring Schedule'!$O$6&gt;0,AND(DAY($A70)=MIN(DAY('Recurring Schedule'!$F$6),DAY(EOMONTH($A70,0))),MOD((YEAR($A70)-YEAR('Recurring Schedule'!$F$6))*12+MONTH($A70)-MONTH('Recurring Schedule'!$F$6),'Recurring Schedule'!$O$6)=0),IF('Recurring Schedule'!$E$6="Weekdays",WEEKDAY($A70,2)&lt;=5,$A70='Recurring Schedule'!$F$6))),1,""))))</f>
        <v/>
      </c>
      <c r="C70">
        <f>IF('Recurring Schedule'!$C$7="","",IF('Recurring Schedule'!$F$7="","",IF(OR($A70&lt;'Recurring Schedule'!$F$7,$A70&gt;'Recurring Schedule'!$P$7),"",IF(IF('Recurring Schedule'!$N$7&gt;0,MOD($A70-'Recurring Schedule'!$F$7,'Recurring Schedule'!$N$7)=0,IF('Recurring Schedule'!$O$7&gt;0,AND(DAY($A70)=MIN(DAY('Recurring Schedule'!$F$7),DAY(EOMONTH($A70,0))),MOD((YEAR($A70)-YEAR('Recurring Schedule'!$F$7))*12+MONTH($A70)-MONTH('Recurring Schedule'!$F$7),'Recurring Schedule'!$O$7)=0),IF('Recurring Schedule'!$E$7="Weekdays",WEEKDAY($A70,2)&lt;=5,$A70='Recurring Schedule'!$F$7))),2,""))))</f>
        <v/>
      </c>
      <c r="D70">
        <f>IF('Recurring Schedule'!$C$8="","",IF('Recurring Schedule'!$F$8="","",IF(OR($A70&lt;'Recurring Schedule'!$F$8,$A70&gt;'Recurring Schedule'!$P$8),"",IF(IF('Recurring Schedule'!$N$8&gt;0,MOD($A70-'Recurring Schedule'!$F$8,'Recurring Schedule'!$N$8)=0,IF('Recurring Schedule'!$O$8&gt;0,AND(DAY($A70)=MIN(DAY('Recurring Schedule'!$F$8),DAY(EOMONTH($A70,0))),MOD((YEAR($A70)-YEAR('Recurring Schedule'!$F$8))*12+MONTH($A70)-MONTH('Recurring Schedule'!$F$8),'Recurring Schedule'!$O$8)=0),IF('Recurring Schedule'!$E$8="Weekdays",WEEKDAY($A70,2)&lt;=5,$A70='Recurring Schedule'!$F$8))),3,""))))</f>
        <v/>
      </c>
      <c r="E70">
        <f>IF('Recurring Schedule'!$C$9="","",IF('Recurring Schedule'!$F$9="","",IF(OR($A70&lt;'Recurring Schedule'!$F$9,$A70&gt;'Recurring Schedule'!$P$9),"",IF(IF('Recurring Schedule'!$N$9&gt;0,MOD($A70-'Recurring Schedule'!$F$9,'Recurring Schedule'!$N$9)=0,IF('Recurring Schedule'!$O$9&gt;0,AND(DAY($A70)=MIN(DAY('Recurring Schedule'!$F$9),DAY(EOMONTH($A70,0))),MOD((YEAR($A70)-YEAR('Recurring Schedule'!$F$9))*12+MONTH($A70)-MONTH('Recurring Schedule'!$F$9),'Recurring Schedule'!$O$9)=0),IF('Recurring Schedule'!$E$9="Weekdays",WEEKDAY($A70,2)&lt;=5,$A70='Recurring Schedule'!$F$9))),4,""))))</f>
        <v/>
      </c>
      <c r="F70">
        <f>IF('Recurring Schedule'!$C$10="","",IF('Recurring Schedule'!$F$10="","",IF(OR($A70&lt;'Recurring Schedule'!$F$10,$A70&gt;'Recurring Schedule'!$P$10),"",IF(IF('Recurring Schedule'!$N$10&gt;0,MOD($A70-'Recurring Schedule'!$F$10,'Recurring Schedule'!$N$10)=0,IF('Recurring Schedule'!$O$10&gt;0,AND(DAY($A70)=MIN(DAY('Recurring Schedule'!$F$10),DAY(EOMONTH($A70,0))),MOD((YEAR($A70)-YEAR('Recurring Schedule'!$F$10))*12+MONTH($A70)-MONTH('Recurring Schedule'!$F$10),'Recurring Schedule'!$O$10)=0),IF('Recurring Schedule'!$E$10="Weekdays",WEEKDAY($A70,2)&lt;=5,$A70='Recurring Schedule'!$F$10))),5,""))))</f>
        <v/>
      </c>
      <c r="G70">
        <f>IF('Recurring Schedule'!$C$11="","",IF('Recurring Schedule'!$F$11="","",IF(OR($A70&lt;'Recurring Schedule'!$F$11,$A70&gt;'Recurring Schedule'!$P$11),"",IF(IF('Recurring Schedule'!$N$11&gt;0,MOD($A70-'Recurring Schedule'!$F$11,'Recurring Schedule'!$N$11)=0,IF('Recurring Schedule'!$O$11&gt;0,AND(DAY($A70)=MIN(DAY('Recurring Schedule'!$F$11),DAY(EOMONTH($A70,0))),MOD((YEAR($A70)-YEAR('Recurring Schedule'!$F$11))*12+MONTH($A70)-MONTH('Recurring Schedule'!$F$11),'Recurring Schedule'!$O$11)=0),IF('Recurring Schedule'!$E$11="Weekdays",WEEKDAY($A70,2)&lt;=5,$A70='Recurring Schedule'!$F$11))),6,""))))</f>
        <v/>
      </c>
      <c r="H70">
        <f>IF('Recurring Schedule'!$C$12="","",IF('Recurring Schedule'!$F$12="","",IF(OR($A70&lt;'Recurring Schedule'!$F$12,$A70&gt;'Recurring Schedule'!$P$12),"",IF(IF('Recurring Schedule'!$N$12&gt;0,MOD($A70-'Recurring Schedule'!$F$12,'Recurring Schedule'!$N$12)=0,IF('Recurring Schedule'!$O$12&gt;0,AND(DAY($A70)=MIN(DAY('Recurring Schedule'!$F$12),DAY(EOMONTH($A70,0))),MOD((YEAR($A70)-YEAR('Recurring Schedule'!$F$12))*12+MONTH($A70)-MONTH('Recurring Schedule'!$F$12),'Recurring Schedule'!$O$12)=0),IF('Recurring Schedule'!$E$12="Weekdays",WEEKDAY($A70,2)&lt;=5,$A70='Recurring Schedule'!$F$12))),7,""))))</f>
        <v/>
      </c>
      <c r="I70">
        <f>IF('Recurring Schedule'!$C$13="","",IF('Recurring Schedule'!$F$13="","",IF(OR($A70&lt;'Recurring Schedule'!$F$13,$A70&gt;'Recurring Schedule'!$P$13),"",IF(IF('Recurring Schedule'!$N$13&gt;0,MOD($A70-'Recurring Schedule'!$F$13,'Recurring Schedule'!$N$13)=0,IF('Recurring Schedule'!$O$13&gt;0,AND(DAY($A70)=MIN(DAY('Recurring Schedule'!$F$13),DAY(EOMONTH($A70,0))),MOD((YEAR($A70)-YEAR('Recurring Schedule'!$F$13))*12+MONTH($A70)-MONTH('Recurring Schedule'!$F$13),'Recurring Schedule'!$O$13)=0),IF('Recurring Schedule'!$E$13="Weekdays",WEEKDAY($A70,2)&lt;=5,$A70='Recurring Schedule'!$F$13))),8,""))))</f>
        <v/>
      </c>
      <c r="J70">
        <f>IF('Recurring Schedule'!$C$14="","",IF('Recurring Schedule'!$F$14="","",IF(OR($A70&lt;'Recurring Schedule'!$F$14,$A70&gt;'Recurring Schedule'!$P$14),"",IF(IF('Recurring Schedule'!$N$14&gt;0,MOD($A70-'Recurring Schedule'!$F$14,'Recurring Schedule'!$N$14)=0,IF('Recurring Schedule'!$O$14&gt;0,AND(DAY($A70)=MIN(DAY('Recurring Schedule'!$F$14),DAY(EOMONTH($A70,0))),MOD((YEAR($A70)-YEAR('Recurring Schedule'!$F$14))*12+MONTH($A70)-MONTH('Recurring Schedule'!$F$14),'Recurring Schedule'!$O$14)=0),IF('Recurring Schedule'!$E$14="Weekdays",WEEKDAY($A70,2)&lt;=5,$A70='Recurring Schedule'!$F$14))),9,""))))</f>
        <v/>
      </c>
      <c r="K70">
        <f>IF('Recurring Schedule'!$C$15="","",IF('Recurring Schedule'!$F$15="","",IF(OR($A70&lt;'Recurring Schedule'!$F$15,$A70&gt;'Recurring Schedule'!$P$15),"",IF(IF('Recurring Schedule'!$N$15&gt;0,MOD($A70-'Recurring Schedule'!$F$15,'Recurring Schedule'!$N$15)=0,IF('Recurring Schedule'!$O$15&gt;0,AND(DAY($A70)=MIN(DAY('Recurring Schedule'!$F$15),DAY(EOMONTH($A70,0))),MOD((YEAR($A70)-YEAR('Recurring Schedule'!$F$15))*12+MONTH($A70)-MONTH('Recurring Schedule'!$F$15),'Recurring Schedule'!$O$15)=0),IF('Recurring Schedule'!$E$15="Weekdays",WEEKDAY($A70,2)&lt;=5,$A70='Recurring Schedule'!$F$15))),10,""))))</f>
        <v/>
      </c>
      <c r="L70">
        <f>IF('Recurring Schedule'!$C$16="","",IF('Recurring Schedule'!$F$16="","",IF(OR($A70&lt;'Recurring Schedule'!$F$16,$A70&gt;'Recurring Schedule'!$P$16),"",IF(IF('Recurring Schedule'!$N$16&gt;0,MOD($A70-'Recurring Schedule'!$F$16,'Recurring Schedule'!$N$16)=0,IF('Recurring Schedule'!$O$16&gt;0,AND(DAY($A70)=MIN(DAY('Recurring Schedule'!$F$16),DAY(EOMONTH($A70,0))),MOD((YEAR($A70)-YEAR('Recurring Schedule'!$F$16))*12+MONTH($A70)-MONTH('Recurring Schedule'!$F$16),'Recurring Schedule'!$O$16)=0),IF('Recurring Schedule'!$E$16="Weekdays",WEEKDAY($A70,2)&lt;=5,$A70='Recurring Schedule'!$F$16))),11,""))))</f>
        <v/>
      </c>
      <c r="M70">
        <f>IF('Recurring Schedule'!$C$17="","",IF('Recurring Schedule'!$F$17="","",IF(OR($A70&lt;'Recurring Schedule'!$F$17,$A70&gt;'Recurring Schedule'!$P$17),"",IF(IF('Recurring Schedule'!$N$17&gt;0,MOD($A70-'Recurring Schedule'!$F$17,'Recurring Schedule'!$N$17)=0,IF('Recurring Schedule'!$O$17&gt;0,AND(DAY($A70)=MIN(DAY('Recurring Schedule'!$F$17),DAY(EOMONTH($A70,0))),MOD((YEAR($A70)-YEAR('Recurring Schedule'!$F$17))*12+MONTH($A70)-MONTH('Recurring Schedule'!$F$17),'Recurring Schedule'!$O$17)=0),IF('Recurring Schedule'!$E$17="Weekdays",WEEKDAY($A70,2)&lt;=5,$A70='Recurring Schedule'!$F$17))),12,""))))</f>
        <v/>
      </c>
      <c r="N70">
        <f>IF('Recurring Schedule'!$C$18="","",IF('Recurring Schedule'!$F$18="","",IF(OR($A70&lt;'Recurring Schedule'!$F$18,$A70&gt;'Recurring Schedule'!$P$18),"",IF(IF('Recurring Schedule'!$N$18&gt;0,MOD($A70-'Recurring Schedule'!$F$18,'Recurring Schedule'!$N$18)=0,IF('Recurring Schedule'!$O$18&gt;0,AND(DAY($A70)=MIN(DAY('Recurring Schedule'!$F$18),DAY(EOMONTH($A70,0))),MOD((YEAR($A70)-YEAR('Recurring Schedule'!$F$18))*12+MONTH($A70)-MONTH('Recurring Schedule'!$F$18),'Recurring Schedule'!$O$18)=0),IF('Recurring Schedule'!$E$18="Weekdays",WEEKDAY($A70,2)&lt;=5,$A70='Recurring Schedule'!$F$18))),13,""))))</f>
        <v/>
      </c>
      <c r="O70">
        <f>IF('Recurring Schedule'!$C$19="","",IF('Recurring Schedule'!$F$19="","",IF(OR($A70&lt;'Recurring Schedule'!$F$19,$A70&gt;'Recurring Schedule'!$P$19),"",IF(IF('Recurring Schedule'!$N$19&gt;0,MOD($A70-'Recurring Schedule'!$F$19,'Recurring Schedule'!$N$19)=0,IF('Recurring Schedule'!$O$19&gt;0,AND(DAY($A70)=MIN(DAY('Recurring Schedule'!$F$19),DAY(EOMONTH($A70,0))),MOD((YEAR($A70)-YEAR('Recurring Schedule'!$F$19))*12+MONTH($A70)-MONTH('Recurring Schedule'!$F$19),'Recurring Schedule'!$O$19)=0),IF('Recurring Schedule'!$E$19="Weekdays",WEEKDAY($A70,2)&lt;=5,$A70='Recurring Schedule'!$F$19))),14,""))))</f>
        <v/>
      </c>
      <c r="P70">
        <f>IF('Recurring Schedule'!$C$20="","",IF('Recurring Schedule'!$F$20="","",IF(OR($A70&lt;'Recurring Schedule'!$F$20,$A70&gt;'Recurring Schedule'!$P$20),"",IF(IF('Recurring Schedule'!$N$20&gt;0,MOD($A70-'Recurring Schedule'!$F$20,'Recurring Schedule'!$N$20)=0,IF('Recurring Schedule'!$O$20&gt;0,AND(DAY($A70)=MIN(DAY('Recurring Schedule'!$F$20),DAY(EOMONTH($A70,0))),MOD((YEAR($A70)-YEAR('Recurring Schedule'!$F$20))*12+MONTH($A70)-MONTH('Recurring Schedule'!$F$20),'Recurring Schedule'!$O$20)=0),IF('Recurring Schedule'!$E$20="Weekdays",WEEKDAY($A70,2)&lt;=5,$A70='Recurring Schedule'!$F$20))),15,""))))</f>
        <v/>
      </c>
      <c r="Q70">
        <f>IF('Recurring Schedule'!$C$21="","",IF('Recurring Schedule'!$F$21="","",IF(OR($A70&lt;'Recurring Schedule'!$F$21,$A70&gt;'Recurring Schedule'!$P$21),"",IF(IF('Recurring Schedule'!$N$21&gt;0,MOD($A70-'Recurring Schedule'!$F$21,'Recurring Schedule'!$N$21)=0,IF('Recurring Schedule'!$O$21&gt;0,AND(DAY($A70)=MIN(DAY('Recurring Schedule'!$F$21),DAY(EOMONTH($A70,0))),MOD((YEAR($A70)-YEAR('Recurring Schedule'!$F$21))*12+MONTH($A70)-MONTH('Recurring Schedule'!$F$21),'Recurring Schedule'!$O$21)=0),IF('Recurring Schedule'!$E$21="Weekdays",WEEKDAY($A70,2)&lt;=5,$A70='Recurring Schedule'!$F$21))),16,""))))</f>
        <v/>
      </c>
      <c r="R70">
        <f>IF('Recurring Schedule'!$C$22="","",IF('Recurring Schedule'!$F$22="","",IF(OR($A70&lt;'Recurring Schedule'!$F$22,$A70&gt;'Recurring Schedule'!$P$22),"",IF(IF('Recurring Schedule'!$N$22&gt;0,MOD($A70-'Recurring Schedule'!$F$22,'Recurring Schedule'!$N$22)=0,IF('Recurring Schedule'!$O$22&gt;0,AND(DAY($A70)=MIN(DAY('Recurring Schedule'!$F$22),DAY(EOMONTH($A70,0))),MOD((YEAR($A70)-YEAR('Recurring Schedule'!$F$22))*12+MONTH($A70)-MONTH('Recurring Schedule'!$F$22),'Recurring Schedule'!$O$22)=0),IF('Recurring Schedule'!$E$22="Weekdays",WEEKDAY($A70,2)&lt;=5,$A70='Recurring Schedule'!$F$22))),17,""))))</f>
        <v/>
      </c>
      <c r="S70">
        <f>IF('Recurring Schedule'!$C$23="","",IF('Recurring Schedule'!$F$23="","",IF(OR($A70&lt;'Recurring Schedule'!$F$23,$A70&gt;'Recurring Schedule'!$P$23),"",IF(IF('Recurring Schedule'!$N$23&gt;0,MOD($A70-'Recurring Schedule'!$F$23,'Recurring Schedule'!$N$23)=0,IF('Recurring Schedule'!$O$23&gt;0,AND(DAY($A70)=MIN(DAY('Recurring Schedule'!$F$23),DAY(EOMONTH($A70,0))),MOD((YEAR($A70)-YEAR('Recurring Schedule'!$F$23))*12+MONTH($A70)-MONTH('Recurring Schedule'!$F$23),'Recurring Schedule'!$O$23)=0),IF('Recurring Schedule'!$E$23="Weekdays",WEEKDAY($A70,2)&lt;=5,$A70='Recurring Schedule'!$F$23))),18,""))))</f>
        <v/>
      </c>
      <c r="T70">
        <f>IF('Recurring Schedule'!$C$24="","",IF('Recurring Schedule'!$F$24="","",IF(OR($A70&lt;'Recurring Schedule'!$F$24,$A70&gt;'Recurring Schedule'!$P$24),"",IF(IF('Recurring Schedule'!$N$24&gt;0,MOD($A70-'Recurring Schedule'!$F$24,'Recurring Schedule'!$N$24)=0,IF('Recurring Schedule'!$O$24&gt;0,AND(DAY($A70)=MIN(DAY('Recurring Schedule'!$F$24),DAY(EOMONTH($A70,0))),MOD((YEAR($A70)-YEAR('Recurring Schedule'!$F$24))*12+MONTH($A70)-MONTH('Recurring Schedule'!$F$24),'Recurring Schedule'!$O$24)=0),IF('Recurring Schedule'!$E$24="Weekdays",WEEKDAY($A70,2)&lt;=5,$A70='Recurring Schedule'!$F$24))),19,""))))</f>
        <v/>
      </c>
      <c r="U70">
        <f>IF('Recurring Schedule'!$C$25="","",IF('Recurring Schedule'!$F$25="","",IF(OR($A70&lt;'Recurring Schedule'!$F$25,$A70&gt;'Recurring Schedule'!$P$25),"",IF(IF('Recurring Schedule'!$N$25&gt;0,MOD($A70-'Recurring Schedule'!$F$25,'Recurring Schedule'!$N$25)=0,IF('Recurring Schedule'!$O$25&gt;0,AND(DAY($A70)=MIN(DAY('Recurring Schedule'!$F$25),DAY(EOMONTH($A70,0))),MOD((YEAR($A70)-YEAR('Recurring Schedule'!$F$25))*12+MONTH($A70)-MONTH('Recurring Schedule'!$F$25),'Recurring Schedule'!$O$25)=0),IF('Recurring Schedule'!$E$25="Weekdays",WEEKDAY($A70,2)&lt;=5,$A70='Recurring Schedule'!$F$25))),20,""))))</f>
        <v/>
      </c>
      <c r="V70">
        <f>IF('Recurring Schedule'!$C$26="","",IF('Recurring Schedule'!$F$26="","",IF(OR($A70&lt;'Recurring Schedule'!$F$26,$A70&gt;'Recurring Schedule'!$P$26),"",IF(IF('Recurring Schedule'!$N$26&gt;0,MOD($A70-'Recurring Schedule'!$F$26,'Recurring Schedule'!$N$26)=0,IF('Recurring Schedule'!$O$26&gt;0,AND(DAY($A70)=MIN(DAY('Recurring Schedule'!$F$26),DAY(EOMONTH($A70,0))),MOD((YEAR($A70)-YEAR('Recurring Schedule'!$F$26))*12+MONTH($A70)-MONTH('Recurring Schedule'!$F$26),'Recurring Schedule'!$O$26)=0),IF('Recurring Schedule'!$E$26="Weekdays",WEEKDAY($A70,2)&lt;=5,$A70='Recurring Schedule'!$F$26))),21,""))))</f>
        <v/>
      </c>
      <c r="W70">
        <f>IF('Recurring Schedule'!$C$27="","",IF('Recurring Schedule'!$F$27="","",IF(OR($A70&lt;'Recurring Schedule'!$F$27,$A70&gt;'Recurring Schedule'!$P$27),"",IF(IF('Recurring Schedule'!$N$27&gt;0,MOD($A70-'Recurring Schedule'!$F$27,'Recurring Schedule'!$N$27)=0,IF('Recurring Schedule'!$O$27&gt;0,AND(DAY($A70)=MIN(DAY('Recurring Schedule'!$F$27),DAY(EOMONTH($A70,0))),MOD((YEAR($A70)-YEAR('Recurring Schedule'!$F$27))*12+MONTH($A70)-MONTH('Recurring Schedule'!$F$27),'Recurring Schedule'!$O$27)=0),IF('Recurring Schedule'!$E$27="Weekdays",WEEKDAY($A70,2)&lt;=5,$A70='Recurring Schedule'!$F$27))),22,""))))</f>
        <v/>
      </c>
      <c r="X70">
        <f>IF('Recurring Schedule'!$C$28="","",IF('Recurring Schedule'!$F$28="","",IF(OR($A70&lt;'Recurring Schedule'!$F$28,$A70&gt;'Recurring Schedule'!$P$28),"",IF(IF('Recurring Schedule'!$N$28&gt;0,MOD($A70-'Recurring Schedule'!$F$28,'Recurring Schedule'!$N$28)=0,IF('Recurring Schedule'!$O$28&gt;0,AND(DAY($A70)=MIN(DAY('Recurring Schedule'!$F$28),DAY(EOMONTH($A70,0))),MOD((YEAR($A70)-YEAR('Recurring Schedule'!$F$28))*12+MONTH($A70)-MONTH('Recurring Schedule'!$F$28),'Recurring Schedule'!$O$28)=0),IF('Recurring Schedule'!$E$28="Weekdays",WEEKDAY($A70,2)&lt;=5,$A70='Recurring Schedule'!$F$28))),23,""))))</f>
        <v/>
      </c>
      <c r="Y70">
        <f>IF('Recurring Schedule'!$C$29="","",IF('Recurring Schedule'!$F$29="","",IF(OR($A70&lt;'Recurring Schedule'!$F$29,$A70&gt;'Recurring Schedule'!$P$29),"",IF(IF('Recurring Schedule'!$N$29&gt;0,MOD($A70-'Recurring Schedule'!$F$29,'Recurring Schedule'!$N$29)=0,IF('Recurring Schedule'!$O$29&gt;0,AND(DAY($A70)=MIN(DAY('Recurring Schedule'!$F$29),DAY(EOMONTH($A70,0))),MOD((YEAR($A70)-YEAR('Recurring Schedule'!$F$29))*12+MONTH($A70)-MONTH('Recurring Schedule'!$F$29),'Recurring Schedule'!$O$29)=0),IF('Recurring Schedule'!$E$29="Weekdays",WEEKDAY($A70,2)&lt;=5,$A70='Recurring Schedule'!$F$29))),24,""))))</f>
        <v/>
      </c>
      <c r="Z70">
        <f>IF('Recurring Schedule'!$C$30="","",IF('Recurring Schedule'!$F$30="","",IF(OR($A70&lt;'Recurring Schedule'!$F$30,$A70&gt;'Recurring Schedule'!$P$30),"",IF(IF('Recurring Schedule'!$N$30&gt;0,MOD($A70-'Recurring Schedule'!$F$30,'Recurring Schedule'!$N$30)=0,IF('Recurring Schedule'!$O$30&gt;0,AND(DAY($A70)=MIN(DAY('Recurring Schedule'!$F$30),DAY(EOMONTH($A70,0))),MOD((YEAR($A70)-YEAR('Recurring Schedule'!$F$30))*12+MONTH($A70)-MONTH('Recurring Schedule'!$F$30),'Recurring Schedule'!$O$30)=0),IF('Recurring Schedule'!$E$30="Weekdays",WEEKDAY($A70,2)&lt;=5,$A70='Recurring Schedule'!$F$30))),25,""))))</f>
        <v/>
      </c>
      <c r="AA70">
        <f>IF('Recurring Schedule'!$C$31="","",IF('Recurring Schedule'!$F$31="","",IF(OR($A70&lt;'Recurring Schedule'!$F$31,$A70&gt;'Recurring Schedule'!$P$31),"",IF(IF('Recurring Schedule'!$N$31&gt;0,MOD($A70-'Recurring Schedule'!$F$31,'Recurring Schedule'!$N$31)=0,IF('Recurring Schedule'!$O$31&gt;0,AND(DAY($A70)=MIN(DAY('Recurring Schedule'!$F$31),DAY(EOMONTH($A70,0))),MOD((YEAR($A70)-YEAR('Recurring Schedule'!$F$31))*12+MONTH($A70)-MONTH('Recurring Schedule'!$F$31),'Recurring Schedule'!$O$31)=0),IF('Recurring Schedule'!$E$31="Weekdays",WEEKDAY($A70,2)&lt;=5,$A70='Recurring Schedule'!$F$31))),26,""))))</f>
        <v/>
      </c>
      <c r="AB70">
        <f>IF('Recurring Schedule'!$C$32="","",IF('Recurring Schedule'!$F$32="","",IF(OR($A70&lt;'Recurring Schedule'!$F$32,$A70&gt;'Recurring Schedule'!$P$32),"",IF(IF('Recurring Schedule'!$N$32&gt;0,MOD($A70-'Recurring Schedule'!$F$32,'Recurring Schedule'!$N$32)=0,IF('Recurring Schedule'!$O$32&gt;0,AND(DAY($A70)=MIN(DAY('Recurring Schedule'!$F$32),DAY(EOMONTH($A70,0))),MOD((YEAR($A70)-YEAR('Recurring Schedule'!$F$32))*12+MONTH($A70)-MONTH('Recurring Schedule'!$F$32),'Recurring Schedule'!$O$32)=0),IF('Recurring Schedule'!$E$32="Weekdays",WEEKDAY($A70,2)&lt;=5,$A70='Recurring Schedule'!$F$32))),27,""))))</f>
        <v/>
      </c>
      <c r="AC70">
        <f>IF('Recurring Schedule'!$C$33="","",IF('Recurring Schedule'!$F$33="","",IF(OR($A70&lt;'Recurring Schedule'!$F$33,$A70&gt;'Recurring Schedule'!$P$33),"",IF(IF('Recurring Schedule'!$N$33&gt;0,MOD($A70-'Recurring Schedule'!$F$33,'Recurring Schedule'!$N$33)=0,IF('Recurring Schedule'!$O$33&gt;0,AND(DAY($A70)=MIN(DAY('Recurring Schedule'!$F$33),DAY(EOMONTH($A70,0))),MOD((YEAR($A70)-YEAR('Recurring Schedule'!$F$33))*12+MONTH($A70)-MONTH('Recurring Schedule'!$F$33),'Recurring Schedule'!$O$33)=0),IF('Recurring Schedule'!$E$33="Weekdays",WEEKDAY($A70,2)&lt;=5,$A70='Recurring Schedule'!$F$33))),28,""))))</f>
        <v/>
      </c>
      <c r="AD70">
        <f>IF('Recurring Schedule'!$C$34="","",IF('Recurring Schedule'!$F$34="","",IF(OR($A70&lt;'Recurring Schedule'!$F$34,$A70&gt;'Recurring Schedule'!$P$34),"",IF(IF('Recurring Schedule'!$N$34&gt;0,MOD($A70-'Recurring Schedule'!$F$34,'Recurring Schedule'!$N$34)=0,IF('Recurring Schedule'!$O$34&gt;0,AND(DAY($A70)=MIN(DAY('Recurring Schedule'!$F$34),DAY(EOMONTH($A70,0))),MOD((YEAR($A70)-YEAR('Recurring Schedule'!$F$34))*12+MONTH($A70)-MONTH('Recurring Schedule'!$F$34),'Recurring Schedule'!$O$34)=0),IF('Recurring Schedule'!$E$34="Weekdays",WEEKDAY($A70,2)&lt;=5,$A70='Recurring Schedule'!$F$34))),29,""))))</f>
        <v/>
      </c>
      <c r="AE70">
        <f>IF('Recurring Schedule'!$C$35="","",IF('Recurring Schedule'!$F$35="","",IF(OR($A70&lt;'Recurring Schedule'!$F$35,$A70&gt;'Recurring Schedule'!$P$35),"",IF(IF('Recurring Schedule'!$N$35&gt;0,MOD($A70-'Recurring Schedule'!$F$35,'Recurring Schedule'!$N$35)=0,IF('Recurring Schedule'!$O$35&gt;0,AND(DAY($A70)=MIN(DAY('Recurring Schedule'!$F$35),DAY(EOMONTH($A70,0))),MOD((YEAR($A70)-YEAR('Recurring Schedule'!$F$35))*12+MONTH($A70)-MONTH('Recurring Schedule'!$F$35),'Recurring Schedule'!$O$35)=0),IF('Recurring Schedule'!$E$35="Weekdays",WEEKDAY($A70,2)&lt;=5,$A70='Recurring Schedule'!$F$35))),30,""))))</f>
        <v/>
      </c>
      <c r="AF70">
        <f>IF('Recurring Schedule'!$C$36="","",IF('Recurring Schedule'!$F$36="","",IF(OR($A70&lt;'Recurring Schedule'!$F$36,$A70&gt;'Recurring Schedule'!$P$36),"",IF(IF('Recurring Schedule'!$N$36&gt;0,MOD($A70-'Recurring Schedule'!$F$36,'Recurring Schedule'!$N$36)=0,IF('Recurring Schedule'!$O$36&gt;0,AND(DAY($A70)=MIN(DAY('Recurring Schedule'!$F$36),DAY(EOMONTH($A70,0))),MOD((YEAR($A70)-YEAR('Recurring Schedule'!$F$36))*12+MONTH($A70)-MONTH('Recurring Schedule'!$F$36),'Recurring Schedule'!$O$36)=0),IF('Recurring Schedule'!$E$36="Weekdays",WEEKDAY($A70,2)&lt;=5,$A70='Recurring Schedule'!$F$36))),31,""))))</f>
        <v/>
      </c>
      <c r="AG70">
        <f>IF('Recurring Schedule'!$C$37="","",IF('Recurring Schedule'!$F$37="","",IF(OR($A70&lt;'Recurring Schedule'!$F$37,$A70&gt;'Recurring Schedule'!$P$37),"",IF(IF('Recurring Schedule'!$N$37&gt;0,MOD($A70-'Recurring Schedule'!$F$37,'Recurring Schedule'!$N$37)=0,IF('Recurring Schedule'!$O$37&gt;0,AND(DAY($A70)=MIN(DAY('Recurring Schedule'!$F$37),DAY(EOMONTH($A70,0))),MOD((YEAR($A70)-YEAR('Recurring Schedule'!$F$37))*12+MONTH($A70)-MONTH('Recurring Schedule'!$F$37),'Recurring Schedule'!$O$37)=0),IF('Recurring Schedule'!$E$37="Weekdays",WEEKDAY($A70,2)&lt;=5,$A70='Recurring Schedule'!$F$37))),32,""))))</f>
        <v/>
      </c>
      <c r="AH70">
        <f>IF('Recurring Schedule'!$C$38="","",IF('Recurring Schedule'!$F$38="","",IF(OR($A70&lt;'Recurring Schedule'!$F$38,$A70&gt;'Recurring Schedule'!$P$38),"",IF(IF('Recurring Schedule'!$N$38&gt;0,MOD($A70-'Recurring Schedule'!$F$38,'Recurring Schedule'!$N$38)=0,IF('Recurring Schedule'!$O$38&gt;0,AND(DAY($A70)=MIN(DAY('Recurring Schedule'!$F$38),DAY(EOMONTH($A70,0))),MOD((YEAR($A70)-YEAR('Recurring Schedule'!$F$38))*12+MONTH($A70)-MONTH('Recurring Schedule'!$F$38),'Recurring Schedule'!$O$38)=0),IF('Recurring Schedule'!$E$38="Weekdays",WEEKDAY($A70,2)&lt;=5,$A70='Recurring Schedule'!$F$38))),33,""))))</f>
        <v/>
      </c>
      <c r="AI70">
        <f>IF('Recurring Schedule'!$C$39="","",IF('Recurring Schedule'!$F$39="","",IF(OR($A70&lt;'Recurring Schedule'!$F$39,$A70&gt;'Recurring Schedule'!$P$39),"",IF(IF('Recurring Schedule'!$N$39&gt;0,MOD($A70-'Recurring Schedule'!$F$39,'Recurring Schedule'!$N$39)=0,IF('Recurring Schedule'!$O$39&gt;0,AND(DAY($A70)=MIN(DAY('Recurring Schedule'!$F$39),DAY(EOMONTH($A70,0))),MOD((YEAR($A70)-YEAR('Recurring Schedule'!$F$39))*12+MONTH($A70)-MONTH('Recurring Schedule'!$F$39),'Recurring Schedule'!$O$39)=0),IF('Recurring Schedule'!$E$39="Weekdays",WEEKDAY($A70,2)&lt;=5,$A70='Recurring Schedule'!$F$39))),34,""))))</f>
        <v/>
      </c>
      <c r="AJ70">
        <f>IF('Recurring Schedule'!$C$40="","",IF('Recurring Schedule'!$F$40="","",IF(OR($A70&lt;'Recurring Schedule'!$F$40,$A70&gt;'Recurring Schedule'!$P$40),"",IF(IF('Recurring Schedule'!$N$40&gt;0,MOD($A70-'Recurring Schedule'!$F$40,'Recurring Schedule'!$N$40)=0,IF('Recurring Schedule'!$O$40&gt;0,AND(DAY($A70)=MIN(DAY('Recurring Schedule'!$F$40),DAY(EOMONTH($A70,0))),MOD((YEAR($A70)-YEAR('Recurring Schedule'!$F$40))*12+MONTH($A70)-MONTH('Recurring Schedule'!$F$40),'Recurring Schedule'!$O$40)=0),IF('Recurring Schedule'!$E$40="Weekdays",WEEKDAY($A70,2)&lt;=5,$A70='Recurring Schedule'!$F$40))),35,""))))</f>
        <v/>
      </c>
      <c r="AK70">
        <f>IF('Recurring Schedule'!$C$41="","",IF('Recurring Schedule'!$F$41="","",IF(OR($A70&lt;'Recurring Schedule'!$F$41,$A70&gt;'Recurring Schedule'!$P$41),"",IF(IF('Recurring Schedule'!$N$41&gt;0,MOD($A70-'Recurring Schedule'!$F$41,'Recurring Schedule'!$N$41)=0,IF('Recurring Schedule'!$O$41&gt;0,AND(DAY($A70)=MIN(DAY('Recurring Schedule'!$F$41),DAY(EOMONTH($A70,0))),MOD((YEAR($A70)-YEAR('Recurring Schedule'!$F$41))*12+MONTH($A70)-MONTH('Recurring Schedule'!$F$41),'Recurring Schedule'!$O$41)=0),IF('Recurring Schedule'!$E$41="Weekdays",WEEKDAY($A70,2)&lt;=5,$A70='Recurring Schedule'!$F$41))),36,""))))</f>
        <v/>
      </c>
      <c r="AL70">
        <f>IF('Recurring Schedule'!$C$42="","",IF('Recurring Schedule'!$F$42="","",IF(OR($A70&lt;'Recurring Schedule'!$F$42,$A70&gt;'Recurring Schedule'!$P$42),"",IF(IF('Recurring Schedule'!$N$42&gt;0,MOD($A70-'Recurring Schedule'!$F$42,'Recurring Schedule'!$N$42)=0,IF('Recurring Schedule'!$O$42&gt;0,AND(DAY($A70)=MIN(DAY('Recurring Schedule'!$F$42),DAY(EOMONTH($A70,0))),MOD((YEAR($A70)-YEAR('Recurring Schedule'!$F$42))*12+MONTH($A70)-MONTH('Recurring Schedule'!$F$42),'Recurring Schedule'!$O$42)=0),IF('Recurring Schedule'!$E$42="Weekdays",WEEKDAY($A70,2)&lt;=5,$A70='Recurring Schedule'!$F$42))),37,""))))</f>
        <v/>
      </c>
      <c r="AM70">
        <f>IF('Recurring Schedule'!$C$43="","",IF('Recurring Schedule'!$F$43="","",IF(OR($A70&lt;'Recurring Schedule'!$F$43,$A70&gt;'Recurring Schedule'!$P$43),"",IF(IF('Recurring Schedule'!$N$43&gt;0,MOD($A70-'Recurring Schedule'!$F$43,'Recurring Schedule'!$N$43)=0,IF('Recurring Schedule'!$O$43&gt;0,AND(DAY($A70)=MIN(DAY('Recurring Schedule'!$F$43),DAY(EOMONTH($A70,0))),MOD((YEAR($A70)-YEAR('Recurring Schedule'!$F$43))*12+MONTH($A70)-MONTH('Recurring Schedule'!$F$43),'Recurring Schedule'!$O$43)=0),IF('Recurring Schedule'!$E$43="Weekdays",WEEKDAY($A70,2)&lt;=5,$A70='Recurring Schedule'!$F$43))),38,""))))</f>
        <v/>
      </c>
      <c r="AN70">
        <f>IF('Recurring Schedule'!$C$44="","",IF('Recurring Schedule'!$F$44="","",IF(OR($A70&lt;'Recurring Schedule'!$F$44,$A70&gt;'Recurring Schedule'!$P$44),"",IF(IF('Recurring Schedule'!$N$44&gt;0,MOD($A70-'Recurring Schedule'!$F$44,'Recurring Schedule'!$N$44)=0,IF('Recurring Schedule'!$O$44&gt;0,AND(DAY($A70)=MIN(DAY('Recurring Schedule'!$F$44),DAY(EOMONTH($A70,0))),MOD((YEAR($A70)-YEAR('Recurring Schedule'!$F$44))*12+MONTH($A70)-MONTH('Recurring Schedule'!$F$44),'Recurring Schedule'!$O$44)=0),IF('Recurring Schedule'!$E$44="Weekdays",WEEKDAY($A70,2)&lt;=5,$A70='Recurring Schedule'!$F$44))),39,""))))</f>
        <v/>
      </c>
      <c r="AO70">
        <f>IF('Recurring Schedule'!$C$45="","",IF('Recurring Schedule'!$F$45="","",IF(OR($A70&lt;'Recurring Schedule'!$F$45,$A70&gt;'Recurring Schedule'!$P$45),"",IF(IF('Recurring Schedule'!$N$45&gt;0,MOD($A70-'Recurring Schedule'!$F$45,'Recurring Schedule'!$N$45)=0,IF('Recurring Schedule'!$O$45&gt;0,AND(DAY($A70)=MIN(DAY('Recurring Schedule'!$F$45),DAY(EOMONTH($A70,0))),MOD((YEAR($A70)-YEAR('Recurring Schedule'!$F$45))*12+MONTH($A70)-MONTH('Recurring Schedule'!$F$45),'Recurring Schedule'!$O$45)=0),IF('Recurring Schedule'!$E$45="Weekdays",WEEKDAY($A70,2)&lt;=5,$A70='Recurring Schedule'!$F$45))),40,""))))</f>
        <v/>
      </c>
      <c r="AP70">
        <f>COUNT(B70:AO70)</f>
        <v/>
      </c>
      <c r="AQ70">
        <f>AQ69+AP69</f>
        <v/>
      </c>
      <c r="AS70" t="inlineStr">
        <is>
          <t>R</t>
        </is>
      </c>
      <c r="AT70" t="n">
        <v>74</v>
      </c>
      <c r="AU70">
        <f>'Recurring Log'!C74&amp;""</f>
        <v/>
      </c>
      <c r="AV70">
        <f>'Recurring Log'!D74&amp;""</f>
        <v/>
      </c>
      <c r="AW70">
        <f>IF('Recurring Log'!E74="","",'Recurring Log'!E74)</f>
        <v/>
      </c>
      <c r="AX70">
        <f>IF('Recurring Log'!G74="","",'Recurring Log'!G74)</f>
        <v/>
      </c>
      <c r="AY70">
        <f>IF('Recurring Log'!H74="","",'Recurring Log'!H74)</f>
        <v/>
      </c>
      <c r="AZ70">
        <f>IF(AU70="","",IF('Recurring Log'!J74="","Not Started",'Recurring Log'!J74))</f>
        <v/>
      </c>
      <c r="BA70">
        <f>'Recurring Log'!L74&amp;""</f>
        <v/>
      </c>
      <c r="BB70">
        <f>'Recurring Log'!M74&amp;""</f>
        <v/>
      </c>
      <c r="BC70">
        <f>'Recurring Log'!N74&amp;""</f>
        <v/>
      </c>
      <c r="BD70">
        <f>'Recurring Log'!O74&amp;""</f>
        <v/>
      </c>
      <c r="BE70">
        <f>IF('Recurring Log'!K74="","",'Recurring Log'!K74)</f>
        <v/>
      </c>
      <c r="BF70">
        <f>IFERROR(MATCH(BA70,Setup!$L$6:$L$9,0),5)</f>
        <v/>
      </c>
      <c r="BG70">
        <f>IF(OR(AZ70="Done",AZ70="Cancelled"),1,0)</f>
        <v/>
      </c>
      <c r="BH70">
        <f>IF(AND(AU70&lt;&gt;"",ISNUMBER(AW70)),1,0)</f>
        <v/>
      </c>
      <c r="BI70">
        <f>IF(BH70=0,0,IF(AND(AW70&gt;='Tasks Filter'!$F$3,AW70&lt;='Tasks Filter'!$F$4,OR('Tasks Filter'!$I$3="",ISNUMBER(SEARCH('Tasks Filter'!$I$3,AU70))),OR('Tasks Filter'!$I$4="",BF70=IFERROR(MATCH('Tasks Filter'!$I$4,Setup!$L$6:$L$9,0),0)),OR('Tasks Filter'!$I$5="Both",AND('Tasks Filter'!$I$5="Yes",BB70="✓"),AND('Tasks Filter'!$I$5="No",BB70&lt;&gt;"✓")),OR('Tasks Filter'!$L$3="",AV70='Tasks Filter'!$L$3),OR('Tasks Filter'!$L$4="",AZ70='Tasks Filter'!$L$4),OR('Tasks Filter'!$L$5="",BC70='Tasks Filter'!$L$5),OR('Tasks Filter'!$O$3="",BD70='Tasks Filter'!$O$3),OR('Tasks Filter'!$O$4="Yes",BG70=0)),1,0))</f>
        <v/>
      </c>
      <c r="BJ70">
        <f>IF(BH70=0,"",IF('Tasks Filter'!$F$6="Descending",-1,1)*CHOOSE(MATCH('Tasks Filter'!$F$5,Lists!$G$2:$G$6,0),AW70,BF70,IFERROR(MATCH(AV70,Setup!$F$6:$F$15,0),99),IFERROR(MATCH(BC70,Setup!$H$6:$H$15,0),99),IFERROR(MATCH(AZ70,Setup!$J$6:$J$11,0),99))*1E+9+(AW70-40000)*10000+69)</f>
        <v/>
      </c>
      <c r="BK70">
        <f>IF(BI70=1,BJ70,"")</f>
        <v/>
      </c>
      <c r="BL70">
        <f>IF(AND(BH70=1,BG70=0,N(AW70)&lt;Setup!$D$7),(AW70-40000)*10000+69,"")</f>
        <v/>
      </c>
      <c r="BM70">
        <f>IF(AND(BH70=1,AZ70&lt;&gt;"Cancelled",N(AW70)&gt;=Dashboard!$AB$3,N(AW70)&lt;=Dashboard!$AB$3+6),(AW70-40000)*100000+BF70*10000+69,"")</f>
        <v/>
      </c>
      <c r="BN70">
        <f>IF(AND(BH70=1,AZ70&lt;&gt;"Cancelled"),BF70*10000+69,"")</f>
        <v/>
      </c>
    </row>
    <row r="71">
      <c r="A71">
        <f>Setup!$D$5+69</f>
        <v/>
      </c>
      <c r="B71">
        <f>IF('Recurring Schedule'!$C$6="","",IF('Recurring Schedule'!$F$6="","",IF(OR($A71&lt;'Recurring Schedule'!$F$6,$A71&gt;'Recurring Schedule'!$P$6),"",IF(IF('Recurring Schedule'!$N$6&gt;0,MOD($A71-'Recurring Schedule'!$F$6,'Recurring Schedule'!$N$6)=0,IF('Recurring Schedule'!$O$6&gt;0,AND(DAY($A71)=MIN(DAY('Recurring Schedule'!$F$6),DAY(EOMONTH($A71,0))),MOD((YEAR($A71)-YEAR('Recurring Schedule'!$F$6))*12+MONTH($A71)-MONTH('Recurring Schedule'!$F$6),'Recurring Schedule'!$O$6)=0),IF('Recurring Schedule'!$E$6="Weekdays",WEEKDAY($A71,2)&lt;=5,$A71='Recurring Schedule'!$F$6))),1,""))))</f>
        <v/>
      </c>
      <c r="C71">
        <f>IF('Recurring Schedule'!$C$7="","",IF('Recurring Schedule'!$F$7="","",IF(OR($A71&lt;'Recurring Schedule'!$F$7,$A71&gt;'Recurring Schedule'!$P$7),"",IF(IF('Recurring Schedule'!$N$7&gt;0,MOD($A71-'Recurring Schedule'!$F$7,'Recurring Schedule'!$N$7)=0,IF('Recurring Schedule'!$O$7&gt;0,AND(DAY($A71)=MIN(DAY('Recurring Schedule'!$F$7),DAY(EOMONTH($A71,0))),MOD((YEAR($A71)-YEAR('Recurring Schedule'!$F$7))*12+MONTH($A71)-MONTH('Recurring Schedule'!$F$7),'Recurring Schedule'!$O$7)=0),IF('Recurring Schedule'!$E$7="Weekdays",WEEKDAY($A71,2)&lt;=5,$A71='Recurring Schedule'!$F$7))),2,""))))</f>
        <v/>
      </c>
      <c r="D71">
        <f>IF('Recurring Schedule'!$C$8="","",IF('Recurring Schedule'!$F$8="","",IF(OR($A71&lt;'Recurring Schedule'!$F$8,$A71&gt;'Recurring Schedule'!$P$8),"",IF(IF('Recurring Schedule'!$N$8&gt;0,MOD($A71-'Recurring Schedule'!$F$8,'Recurring Schedule'!$N$8)=0,IF('Recurring Schedule'!$O$8&gt;0,AND(DAY($A71)=MIN(DAY('Recurring Schedule'!$F$8),DAY(EOMONTH($A71,0))),MOD((YEAR($A71)-YEAR('Recurring Schedule'!$F$8))*12+MONTH($A71)-MONTH('Recurring Schedule'!$F$8),'Recurring Schedule'!$O$8)=0),IF('Recurring Schedule'!$E$8="Weekdays",WEEKDAY($A71,2)&lt;=5,$A71='Recurring Schedule'!$F$8))),3,""))))</f>
        <v/>
      </c>
      <c r="E71">
        <f>IF('Recurring Schedule'!$C$9="","",IF('Recurring Schedule'!$F$9="","",IF(OR($A71&lt;'Recurring Schedule'!$F$9,$A71&gt;'Recurring Schedule'!$P$9),"",IF(IF('Recurring Schedule'!$N$9&gt;0,MOD($A71-'Recurring Schedule'!$F$9,'Recurring Schedule'!$N$9)=0,IF('Recurring Schedule'!$O$9&gt;0,AND(DAY($A71)=MIN(DAY('Recurring Schedule'!$F$9),DAY(EOMONTH($A71,0))),MOD((YEAR($A71)-YEAR('Recurring Schedule'!$F$9))*12+MONTH($A71)-MONTH('Recurring Schedule'!$F$9),'Recurring Schedule'!$O$9)=0),IF('Recurring Schedule'!$E$9="Weekdays",WEEKDAY($A71,2)&lt;=5,$A71='Recurring Schedule'!$F$9))),4,""))))</f>
        <v/>
      </c>
      <c r="F71">
        <f>IF('Recurring Schedule'!$C$10="","",IF('Recurring Schedule'!$F$10="","",IF(OR($A71&lt;'Recurring Schedule'!$F$10,$A71&gt;'Recurring Schedule'!$P$10),"",IF(IF('Recurring Schedule'!$N$10&gt;0,MOD($A71-'Recurring Schedule'!$F$10,'Recurring Schedule'!$N$10)=0,IF('Recurring Schedule'!$O$10&gt;0,AND(DAY($A71)=MIN(DAY('Recurring Schedule'!$F$10),DAY(EOMONTH($A71,0))),MOD((YEAR($A71)-YEAR('Recurring Schedule'!$F$10))*12+MONTH($A71)-MONTH('Recurring Schedule'!$F$10),'Recurring Schedule'!$O$10)=0),IF('Recurring Schedule'!$E$10="Weekdays",WEEKDAY($A71,2)&lt;=5,$A71='Recurring Schedule'!$F$10))),5,""))))</f>
        <v/>
      </c>
      <c r="G71">
        <f>IF('Recurring Schedule'!$C$11="","",IF('Recurring Schedule'!$F$11="","",IF(OR($A71&lt;'Recurring Schedule'!$F$11,$A71&gt;'Recurring Schedule'!$P$11),"",IF(IF('Recurring Schedule'!$N$11&gt;0,MOD($A71-'Recurring Schedule'!$F$11,'Recurring Schedule'!$N$11)=0,IF('Recurring Schedule'!$O$11&gt;0,AND(DAY($A71)=MIN(DAY('Recurring Schedule'!$F$11),DAY(EOMONTH($A71,0))),MOD((YEAR($A71)-YEAR('Recurring Schedule'!$F$11))*12+MONTH($A71)-MONTH('Recurring Schedule'!$F$11),'Recurring Schedule'!$O$11)=0),IF('Recurring Schedule'!$E$11="Weekdays",WEEKDAY($A71,2)&lt;=5,$A71='Recurring Schedule'!$F$11))),6,""))))</f>
        <v/>
      </c>
      <c r="H71">
        <f>IF('Recurring Schedule'!$C$12="","",IF('Recurring Schedule'!$F$12="","",IF(OR($A71&lt;'Recurring Schedule'!$F$12,$A71&gt;'Recurring Schedule'!$P$12),"",IF(IF('Recurring Schedule'!$N$12&gt;0,MOD($A71-'Recurring Schedule'!$F$12,'Recurring Schedule'!$N$12)=0,IF('Recurring Schedule'!$O$12&gt;0,AND(DAY($A71)=MIN(DAY('Recurring Schedule'!$F$12),DAY(EOMONTH($A71,0))),MOD((YEAR($A71)-YEAR('Recurring Schedule'!$F$12))*12+MONTH($A71)-MONTH('Recurring Schedule'!$F$12),'Recurring Schedule'!$O$12)=0),IF('Recurring Schedule'!$E$12="Weekdays",WEEKDAY($A71,2)&lt;=5,$A71='Recurring Schedule'!$F$12))),7,""))))</f>
        <v/>
      </c>
      <c r="I71">
        <f>IF('Recurring Schedule'!$C$13="","",IF('Recurring Schedule'!$F$13="","",IF(OR($A71&lt;'Recurring Schedule'!$F$13,$A71&gt;'Recurring Schedule'!$P$13),"",IF(IF('Recurring Schedule'!$N$13&gt;0,MOD($A71-'Recurring Schedule'!$F$13,'Recurring Schedule'!$N$13)=0,IF('Recurring Schedule'!$O$13&gt;0,AND(DAY($A71)=MIN(DAY('Recurring Schedule'!$F$13),DAY(EOMONTH($A71,0))),MOD((YEAR($A71)-YEAR('Recurring Schedule'!$F$13))*12+MONTH($A71)-MONTH('Recurring Schedule'!$F$13),'Recurring Schedule'!$O$13)=0),IF('Recurring Schedule'!$E$13="Weekdays",WEEKDAY($A71,2)&lt;=5,$A71='Recurring Schedule'!$F$13))),8,""))))</f>
        <v/>
      </c>
      <c r="J71">
        <f>IF('Recurring Schedule'!$C$14="","",IF('Recurring Schedule'!$F$14="","",IF(OR($A71&lt;'Recurring Schedule'!$F$14,$A71&gt;'Recurring Schedule'!$P$14),"",IF(IF('Recurring Schedule'!$N$14&gt;0,MOD($A71-'Recurring Schedule'!$F$14,'Recurring Schedule'!$N$14)=0,IF('Recurring Schedule'!$O$14&gt;0,AND(DAY($A71)=MIN(DAY('Recurring Schedule'!$F$14),DAY(EOMONTH($A71,0))),MOD((YEAR($A71)-YEAR('Recurring Schedule'!$F$14))*12+MONTH($A71)-MONTH('Recurring Schedule'!$F$14),'Recurring Schedule'!$O$14)=0),IF('Recurring Schedule'!$E$14="Weekdays",WEEKDAY($A71,2)&lt;=5,$A71='Recurring Schedule'!$F$14))),9,""))))</f>
        <v/>
      </c>
      <c r="K71">
        <f>IF('Recurring Schedule'!$C$15="","",IF('Recurring Schedule'!$F$15="","",IF(OR($A71&lt;'Recurring Schedule'!$F$15,$A71&gt;'Recurring Schedule'!$P$15),"",IF(IF('Recurring Schedule'!$N$15&gt;0,MOD($A71-'Recurring Schedule'!$F$15,'Recurring Schedule'!$N$15)=0,IF('Recurring Schedule'!$O$15&gt;0,AND(DAY($A71)=MIN(DAY('Recurring Schedule'!$F$15),DAY(EOMONTH($A71,0))),MOD((YEAR($A71)-YEAR('Recurring Schedule'!$F$15))*12+MONTH($A71)-MONTH('Recurring Schedule'!$F$15),'Recurring Schedule'!$O$15)=0),IF('Recurring Schedule'!$E$15="Weekdays",WEEKDAY($A71,2)&lt;=5,$A71='Recurring Schedule'!$F$15))),10,""))))</f>
        <v/>
      </c>
      <c r="L71">
        <f>IF('Recurring Schedule'!$C$16="","",IF('Recurring Schedule'!$F$16="","",IF(OR($A71&lt;'Recurring Schedule'!$F$16,$A71&gt;'Recurring Schedule'!$P$16),"",IF(IF('Recurring Schedule'!$N$16&gt;0,MOD($A71-'Recurring Schedule'!$F$16,'Recurring Schedule'!$N$16)=0,IF('Recurring Schedule'!$O$16&gt;0,AND(DAY($A71)=MIN(DAY('Recurring Schedule'!$F$16),DAY(EOMONTH($A71,0))),MOD((YEAR($A71)-YEAR('Recurring Schedule'!$F$16))*12+MONTH($A71)-MONTH('Recurring Schedule'!$F$16),'Recurring Schedule'!$O$16)=0),IF('Recurring Schedule'!$E$16="Weekdays",WEEKDAY($A71,2)&lt;=5,$A71='Recurring Schedule'!$F$16))),11,""))))</f>
        <v/>
      </c>
      <c r="M71">
        <f>IF('Recurring Schedule'!$C$17="","",IF('Recurring Schedule'!$F$17="","",IF(OR($A71&lt;'Recurring Schedule'!$F$17,$A71&gt;'Recurring Schedule'!$P$17),"",IF(IF('Recurring Schedule'!$N$17&gt;0,MOD($A71-'Recurring Schedule'!$F$17,'Recurring Schedule'!$N$17)=0,IF('Recurring Schedule'!$O$17&gt;0,AND(DAY($A71)=MIN(DAY('Recurring Schedule'!$F$17),DAY(EOMONTH($A71,0))),MOD((YEAR($A71)-YEAR('Recurring Schedule'!$F$17))*12+MONTH($A71)-MONTH('Recurring Schedule'!$F$17),'Recurring Schedule'!$O$17)=0),IF('Recurring Schedule'!$E$17="Weekdays",WEEKDAY($A71,2)&lt;=5,$A71='Recurring Schedule'!$F$17))),12,""))))</f>
        <v/>
      </c>
      <c r="N71">
        <f>IF('Recurring Schedule'!$C$18="","",IF('Recurring Schedule'!$F$18="","",IF(OR($A71&lt;'Recurring Schedule'!$F$18,$A71&gt;'Recurring Schedule'!$P$18),"",IF(IF('Recurring Schedule'!$N$18&gt;0,MOD($A71-'Recurring Schedule'!$F$18,'Recurring Schedule'!$N$18)=0,IF('Recurring Schedule'!$O$18&gt;0,AND(DAY($A71)=MIN(DAY('Recurring Schedule'!$F$18),DAY(EOMONTH($A71,0))),MOD((YEAR($A71)-YEAR('Recurring Schedule'!$F$18))*12+MONTH($A71)-MONTH('Recurring Schedule'!$F$18),'Recurring Schedule'!$O$18)=0),IF('Recurring Schedule'!$E$18="Weekdays",WEEKDAY($A71,2)&lt;=5,$A71='Recurring Schedule'!$F$18))),13,""))))</f>
        <v/>
      </c>
      <c r="O71">
        <f>IF('Recurring Schedule'!$C$19="","",IF('Recurring Schedule'!$F$19="","",IF(OR($A71&lt;'Recurring Schedule'!$F$19,$A71&gt;'Recurring Schedule'!$P$19),"",IF(IF('Recurring Schedule'!$N$19&gt;0,MOD($A71-'Recurring Schedule'!$F$19,'Recurring Schedule'!$N$19)=0,IF('Recurring Schedule'!$O$19&gt;0,AND(DAY($A71)=MIN(DAY('Recurring Schedule'!$F$19),DAY(EOMONTH($A71,0))),MOD((YEAR($A71)-YEAR('Recurring Schedule'!$F$19))*12+MONTH($A71)-MONTH('Recurring Schedule'!$F$19),'Recurring Schedule'!$O$19)=0),IF('Recurring Schedule'!$E$19="Weekdays",WEEKDAY($A71,2)&lt;=5,$A71='Recurring Schedule'!$F$19))),14,""))))</f>
        <v/>
      </c>
      <c r="P71">
        <f>IF('Recurring Schedule'!$C$20="","",IF('Recurring Schedule'!$F$20="","",IF(OR($A71&lt;'Recurring Schedule'!$F$20,$A71&gt;'Recurring Schedule'!$P$20),"",IF(IF('Recurring Schedule'!$N$20&gt;0,MOD($A71-'Recurring Schedule'!$F$20,'Recurring Schedule'!$N$20)=0,IF('Recurring Schedule'!$O$20&gt;0,AND(DAY($A71)=MIN(DAY('Recurring Schedule'!$F$20),DAY(EOMONTH($A71,0))),MOD((YEAR($A71)-YEAR('Recurring Schedule'!$F$20))*12+MONTH($A71)-MONTH('Recurring Schedule'!$F$20),'Recurring Schedule'!$O$20)=0),IF('Recurring Schedule'!$E$20="Weekdays",WEEKDAY($A71,2)&lt;=5,$A71='Recurring Schedule'!$F$20))),15,""))))</f>
        <v/>
      </c>
      <c r="Q71">
        <f>IF('Recurring Schedule'!$C$21="","",IF('Recurring Schedule'!$F$21="","",IF(OR($A71&lt;'Recurring Schedule'!$F$21,$A71&gt;'Recurring Schedule'!$P$21),"",IF(IF('Recurring Schedule'!$N$21&gt;0,MOD($A71-'Recurring Schedule'!$F$21,'Recurring Schedule'!$N$21)=0,IF('Recurring Schedule'!$O$21&gt;0,AND(DAY($A71)=MIN(DAY('Recurring Schedule'!$F$21),DAY(EOMONTH($A71,0))),MOD((YEAR($A71)-YEAR('Recurring Schedule'!$F$21))*12+MONTH($A71)-MONTH('Recurring Schedule'!$F$21),'Recurring Schedule'!$O$21)=0),IF('Recurring Schedule'!$E$21="Weekdays",WEEKDAY($A71,2)&lt;=5,$A71='Recurring Schedule'!$F$21))),16,""))))</f>
        <v/>
      </c>
      <c r="R71">
        <f>IF('Recurring Schedule'!$C$22="","",IF('Recurring Schedule'!$F$22="","",IF(OR($A71&lt;'Recurring Schedule'!$F$22,$A71&gt;'Recurring Schedule'!$P$22),"",IF(IF('Recurring Schedule'!$N$22&gt;0,MOD($A71-'Recurring Schedule'!$F$22,'Recurring Schedule'!$N$22)=0,IF('Recurring Schedule'!$O$22&gt;0,AND(DAY($A71)=MIN(DAY('Recurring Schedule'!$F$22),DAY(EOMONTH($A71,0))),MOD((YEAR($A71)-YEAR('Recurring Schedule'!$F$22))*12+MONTH($A71)-MONTH('Recurring Schedule'!$F$22),'Recurring Schedule'!$O$22)=0),IF('Recurring Schedule'!$E$22="Weekdays",WEEKDAY($A71,2)&lt;=5,$A71='Recurring Schedule'!$F$22))),17,""))))</f>
        <v/>
      </c>
      <c r="S71">
        <f>IF('Recurring Schedule'!$C$23="","",IF('Recurring Schedule'!$F$23="","",IF(OR($A71&lt;'Recurring Schedule'!$F$23,$A71&gt;'Recurring Schedule'!$P$23),"",IF(IF('Recurring Schedule'!$N$23&gt;0,MOD($A71-'Recurring Schedule'!$F$23,'Recurring Schedule'!$N$23)=0,IF('Recurring Schedule'!$O$23&gt;0,AND(DAY($A71)=MIN(DAY('Recurring Schedule'!$F$23),DAY(EOMONTH($A71,0))),MOD((YEAR($A71)-YEAR('Recurring Schedule'!$F$23))*12+MONTH($A71)-MONTH('Recurring Schedule'!$F$23),'Recurring Schedule'!$O$23)=0),IF('Recurring Schedule'!$E$23="Weekdays",WEEKDAY($A71,2)&lt;=5,$A71='Recurring Schedule'!$F$23))),18,""))))</f>
        <v/>
      </c>
      <c r="T71">
        <f>IF('Recurring Schedule'!$C$24="","",IF('Recurring Schedule'!$F$24="","",IF(OR($A71&lt;'Recurring Schedule'!$F$24,$A71&gt;'Recurring Schedule'!$P$24),"",IF(IF('Recurring Schedule'!$N$24&gt;0,MOD($A71-'Recurring Schedule'!$F$24,'Recurring Schedule'!$N$24)=0,IF('Recurring Schedule'!$O$24&gt;0,AND(DAY($A71)=MIN(DAY('Recurring Schedule'!$F$24),DAY(EOMONTH($A71,0))),MOD((YEAR($A71)-YEAR('Recurring Schedule'!$F$24))*12+MONTH($A71)-MONTH('Recurring Schedule'!$F$24),'Recurring Schedule'!$O$24)=0),IF('Recurring Schedule'!$E$24="Weekdays",WEEKDAY($A71,2)&lt;=5,$A71='Recurring Schedule'!$F$24))),19,""))))</f>
        <v/>
      </c>
      <c r="U71">
        <f>IF('Recurring Schedule'!$C$25="","",IF('Recurring Schedule'!$F$25="","",IF(OR($A71&lt;'Recurring Schedule'!$F$25,$A71&gt;'Recurring Schedule'!$P$25),"",IF(IF('Recurring Schedule'!$N$25&gt;0,MOD($A71-'Recurring Schedule'!$F$25,'Recurring Schedule'!$N$25)=0,IF('Recurring Schedule'!$O$25&gt;0,AND(DAY($A71)=MIN(DAY('Recurring Schedule'!$F$25),DAY(EOMONTH($A71,0))),MOD((YEAR($A71)-YEAR('Recurring Schedule'!$F$25))*12+MONTH($A71)-MONTH('Recurring Schedule'!$F$25),'Recurring Schedule'!$O$25)=0),IF('Recurring Schedule'!$E$25="Weekdays",WEEKDAY($A71,2)&lt;=5,$A71='Recurring Schedule'!$F$25))),20,""))))</f>
        <v/>
      </c>
      <c r="V71">
        <f>IF('Recurring Schedule'!$C$26="","",IF('Recurring Schedule'!$F$26="","",IF(OR($A71&lt;'Recurring Schedule'!$F$26,$A71&gt;'Recurring Schedule'!$P$26),"",IF(IF('Recurring Schedule'!$N$26&gt;0,MOD($A71-'Recurring Schedule'!$F$26,'Recurring Schedule'!$N$26)=0,IF('Recurring Schedule'!$O$26&gt;0,AND(DAY($A71)=MIN(DAY('Recurring Schedule'!$F$26),DAY(EOMONTH($A71,0))),MOD((YEAR($A71)-YEAR('Recurring Schedule'!$F$26))*12+MONTH($A71)-MONTH('Recurring Schedule'!$F$26),'Recurring Schedule'!$O$26)=0),IF('Recurring Schedule'!$E$26="Weekdays",WEEKDAY($A71,2)&lt;=5,$A71='Recurring Schedule'!$F$26))),21,""))))</f>
        <v/>
      </c>
      <c r="W71">
        <f>IF('Recurring Schedule'!$C$27="","",IF('Recurring Schedule'!$F$27="","",IF(OR($A71&lt;'Recurring Schedule'!$F$27,$A71&gt;'Recurring Schedule'!$P$27),"",IF(IF('Recurring Schedule'!$N$27&gt;0,MOD($A71-'Recurring Schedule'!$F$27,'Recurring Schedule'!$N$27)=0,IF('Recurring Schedule'!$O$27&gt;0,AND(DAY($A71)=MIN(DAY('Recurring Schedule'!$F$27),DAY(EOMONTH($A71,0))),MOD((YEAR($A71)-YEAR('Recurring Schedule'!$F$27))*12+MONTH($A71)-MONTH('Recurring Schedule'!$F$27),'Recurring Schedule'!$O$27)=0),IF('Recurring Schedule'!$E$27="Weekdays",WEEKDAY($A71,2)&lt;=5,$A71='Recurring Schedule'!$F$27))),22,""))))</f>
        <v/>
      </c>
      <c r="X71">
        <f>IF('Recurring Schedule'!$C$28="","",IF('Recurring Schedule'!$F$28="","",IF(OR($A71&lt;'Recurring Schedule'!$F$28,$A71&gt;'Recurring Schedule'!$P$28),"",IF(IF('Recurring Schedule'!$N$28&gt;0,MOD($A71-'Recurring Schedule'!$F$28,'Recurring Schedule'!$N$28)=0,IF('Recurring Schedule'!$O$28&gt;0,AND(DAY($A71)=MIN(DAY('Recurring Schedule'!$F$28),DAY(EOMONTH($A71,0))),MOD((YEAR($A71)-YEAR('Recurring Schedule'!$F$28))*12+MONTH($A71)-MONTH('Recurring Schedule'!$F$28),'Recurring Schedule'!$O$28)=0),IF('Recurring Schedule'!$E$28="Weekdays",WEEKDAY($A71,2)&lt;=5,$A71='Recurring Schedule'!$F$28))),23,""))))</f>
        <v/>
      </c>
      <c r="Y71">
        <f>IF('Recurring Schedule'!$C$29="","",IF('Recurring Schedule'!$F$29="","",IF(OR($A71&lt;'Recurring Schedule'!$F$29,$A71&gt;'Recurring Schedule'!$P$29),"",IF(IF('Recurring Schedule'!$N$29&gt;0,MOD($A71-'Recurring Schedule'!$F$29,'Recurring Schedule'!$N$29)=0,IF('Recurring Schedule'!$O$29&gt;0,AND(DAY($A71)=MIN(DAY('Recurring Schedule'!$F$29),DAY(EOMONTH($A71,0))),MOD((YEAR($A71)-YEAR('Recurring Schedule'!$F$29))*12+MONTH($A71)-MONTH('Recurring Schedule'!$F$29),'Recurring Schedule'!$O$29)=0),IF('Recurring Schedule'!$E$29="Weekdays",WEEKDAY($A71,2)&lt;=5,$A71='Recurring Schedule'!$F$29))),24,""))))</f>
        <v/>
      </c>
      <c r="Z71">
        <f>IF('Recurring Schedule'!$C$30="","",IF('Recurring Schedule'!$F$30="","",IF(OR($A71&lt;'Recurring Schedule'!$F$30,$A71&gt;'Recurring Schedule'!$P$30),"",IF(IF('Recurring Schedule'!$N$30&gt;0,MOD($A71-'Recurring Schedule'!$F$30,'Recurring Schedule'!$N$30)=0,IF('Recurring Schedule'!$O$30&gt;0,AND(DAY($A71)=MIN(DAY('Recurring Schedule'!$F$30),DAY(EOMONTH($A71,0))),MOD((YEAR($A71)-YEAR('Recurring Schedule'!$F$30))*12+MONTH($A71)-MONTH('Recurring Schedule'!$F$30),'Recurring Schedule'!$O$30)=0),IF('Recurring Schedule'!$E$30="Weekdays",WEEKDAY($A71,2)&lt;=5,$A71='Recurring Schedule'!$F$30))),25,""))))</f>
        <v/>
      </c>
      <c r="AA71">
        <f>IF('Recurring Schedule'!$C$31="","",IF('Recurring Schedule'!$F$31="","",IF(OR($A71&lt;'Recurring Schedule'!$F$31,$A71&gt;'Recurring Schedule'!$P$31),"",IF(IF('Recurring Schedule'!$N$31&gt;0,MOD($A71-'Recurring Schedule'!$F$31,'Recurring Schedule'!$N$31)=0,IF('Recurring Schedule'!$O$31&gt;0,AND(DAY($A71)=MIN(DAY('Recurring Schedule'!$F$31),DAY(EOMONTH($A71,0))),MOD((YEAR($A71)-YEAR('Recurring Schedule'!$F$31))*12+MONTH($A71)-MONTH('Recurring Schedule'!$F$31),'Recurring Schedule'!$O$31)=0),IF('Recurring Schedule'!$E$31="Weekdays",WEEKDAY($A71,2)&lt;=5,$A71='Recurring Schedule'!$F$31))),26,""))))</f>
        <v/>
      </c>
      <c r="AB71">
        <f>IF('Recurring Schedule'!$C$32="","",IF('Recurring Schedule'!$F$32="","",IF(OR($A71&lt;'Recurring Schedule'!$F$32,$A71&gt;'Recurring Schedule'!$P$32),"",IF(IF('Recurring Schedule'!$N$32&gt;0,MOD($A71-'Recurring Schedule'!$F$32,'Recurring Schedule'!$N$32)=0,IF('Recurring Schedule'!$O$32&gt;0,AND(DAY($A71)=MIN(DAY('Recurring Schedule'!$F$32),DAY(EOMONTH($A71,0))),MOD((YEAR($A71)-YEAR('Recurring Schedule'!$F$32))*12+MONTH($A71)-MONTH('Recurring Schedule'!$F$32),'Recurring Schedule'!$O$32)=0),IF('Recurring Schedule'!$E$32="Weekdays",WEEKDAY($A71,2)&lt;=5,$A71='Recurring Schedule'!$F$32))),27,""))))</f>
        <v/>
      </c>
      <c r="AC71">
        <f>IF('Recurring Schedule'!$C$33="","",IF('Recurring Schedule'!$F$33="","",IF(OR($A71&lt;'Recurring Schedule'!$F$33,$A71&gt;'Recurring Schedule'!$P$33),"",IF(IF('Recurring Schedule'!$N$33&gt;0,MOD($A71-'Recurring Schedule'!$F$33,'Recurring Schedule'!$N$33)=0,IF('Recurring Schedule'!$O$33&gt;0,AND(DAY($A71)=MIN(DAY('Recurring Schedule'!$F$33),DAY(EOMONTH($A71,0))),MOD((YEAR($A71)-YEAR('Recurring Schedule'!$F$33))*12+MONTH($A71)-MONTH('Recurring Schedule'!$F$33),'Recurring Schedule'!$O$33)=0),IF('Recurring Schedule'!$E$33="Weekdays",WEEKDAY($A71,2)&lt;=5,$A71='Recurring Schedule'!$F$33))),28,""))))</f>
        <v/>
      </c>
      <c r="AD71">
        <f>IF('Recurring Schedule'!$C$34="","",IF('Recurring Schedule'!$F$34="","",IF(OR($A71&lt;'Recurring Schedule'!$F$34,$A71&gt;'Recurring Schedule'!$P$34),"",IF(IF('Recurring Schedule'!$N$34&gt;0,MOD($A71-'Recurring Schedule'!$F$34,'Recurring Schedule'!$N$34)=0,IF('Recurring Schedule'!$O$34&gt;0,AND(DAY($A71)=MIN(DAY('Recurring Schedule'!$F$34),DAY(EOMONTH($A71,0))),MOD((YEAR($A71)-YEAR('Recurring Schedule'!$F$34))*12+MONTH($A71)-MONTH('Recurring Schedule'!$F$34),'Recurring Schedule'!$O$34)=0),IF('Recurring Schedule'!$E$34="Weekdays",WEEKDAY($A71,2)&lt;=5,$A71='Recurring Schedule'!$F$34))),29,""))))</f>
        <v/>
      </c>
      <c r="AE71">
        <f>IF('Recurring Schedule'!$C$35="","",IF('Recurring Schedule'!$F$35="","",IF(OR($A71&lt;'Recurring Schedule'!$F$35,$A71&gt;'Recurring Schedule'!$P$35),"",IF(IF('Recurring Schedule'!$N$35&gt;0,MOD($A71-'Recurring Schedule'!$F$35,'Recurring Schedule'!$N$35)=0,IF('Recurring Schedule'!$O$35&gt;0,AND(DAY($A71)=MIN(DAY('Recurring Schedule'!$F$35),DAY(EOMONTH($A71,0))),MOD((YEAR($A71)-YEAR('Recurring Schedule'!$F$35))*12+MONTH($A71)-MONTH('Recurring Schedule'!$F$35),'Recurring Schedule'!$O$35)=0),IF('Recurring Schedule'!$E$35="Weekdays",WEEKDAY($A71,2)&lt;=5,$A71='Recurring Schedule'!$F$35))),30,""))))</f>
        <v/>
      </c>
      <c r="AF71">
        <f>IF('Recurring Schedule'!$C$36="","",IF('Recurring Schedule'!$F$36="","",IF(OR($A71&lt;'Recurring Schedule'!$F$36,$A71&gt;'Recurring Schedule'!$P$36),"",IF(IF('Recurring Schedule'!$N$36&gt;0,MOD($A71-'Recurring Schedule'!$F$36,'Recurring Schedule'!$N$36)=0,IF('Recurring Schedule'!$O$36&gt;0,AND(DAY($A71)=MIN(DAY('Recurring Schedule'!$F$36),DAY(EOMONTH($A71,0))),MOD((YEAR($A71)-YEAR('Recurring Schedule'!$F$36))*12+MONTH($A71)-MONTH('Recurring Schedule'!$F$36),'Recurring Schedule'!$O$36)=0),IF('Recurring Schedule'!$E$36="Weekdays",WEEKDAY($A71,2)&lt;=5,$A71='Recurring Schedule'!$F$36))),31,""))))</f>
        <v/>
      </c>
      <c r="AG71">
        <f>IF('Recurring Schedule'!$C$37="","",IF('Recurring Schedule'!$F$37="","",IF(OR($A71&lt;'Recurring Schedule'!$F$37,$A71&gt;'Recurring Schedule'!$P$37),"",IF(IF('Recurring Schedule'!$N$37&gt;0,MOD($A71-'Recurring Schedule'!$F$37,'Recurring Schedule'!$N$37)=0,IF('Recurring Schedule'!$O$37&gt;0,AND(DAY($A71)=MIN(DAY('Recurring Schedule'!$F$37),DAY(EOMONTH($A71,0))),MOD((YEAR($A71)-YEAR('Recurring Schedule'!$F$37))*12+MONTH($A71)-MONTH('Recurring Schedule'!$F$37),'Recurring Schedule'!$O$37)=0),IF('Recurring Schedule'!$E$37="Weekdays",WEEKDAY($A71,2)&lt;=5,$A71='Recurring Schedule'!$F$37))),32,""))))</f>
        <v/>
      </c>
      <c r="AH71">
        <f>IF('Recurring Schedule'!$C$38="","",IF('Recurring Schedule'!$F$38="","",IF(OR($A71&lt;'Recurring Schedule'!$F$38,$A71&gt;'Recurring Schedule'!$P$38),"",IF(IF('Recurring Schedule'!$N$38&gt;0,MOD($A71-'Recurring Schedule'!$F$38,'Recurring Schedule'!$N$38)=0,IF('Recurring Schedule'!$O$38&gt;0,AND(DAY($A71)=MIN(DAY('Recurring Schedule'!$F$38),DAY(EOMONTH($A71,0))),MOD((YEAR($A71)-YEAR('Recurring Schedule'!$F$38))*12+MONTH($A71)-MONTH('Recurring Schedule'!$F$38),'Recurring Schedule'!$O$38)=0),IF('Recurring Schedule'!$E$38="Weekdays",WEEKDAY($A71,2)&lt;=5,$A71='Recurring Schedule'!$F$38))),33,""))))</f>
        <v/>
      </c>
      <c r="AI71">
        <f>IF('Recurring Schedule'!$C$39="","",IF('Recurring Schedule'!$F$39="","",IF(OR($A71&lt;'Recurring Schedule'!$F$39,$A71&gt;'Recurring Schedule'!$P$39),"",IF(IF('Recurring Schedule'!$N$39&gt;0,MOD($A71-'Recurring Schedule'!$F$39,'Recurring Schedule'!$N$39)=0,IF('Recurring Schedule'!$O$39&gt;0,AND(DAY($A71)=MIN(DAY('Recurring Schedule'!$F$39),DAY(EOMONTH($A71,0))),MOD((YEAR($A71)-YEAR('Recurring Schedule'!$F$39))*12+MONTH($A71)-MONTH('Recurring Schedule'!$F$39),'Recurring Schedule'!$O$39)=0),IF('Recurring Schedule'!$E$39="Weekdays",WEEKDAY($A71,2)&lt;=5,$A71='Recurring Schedule'!$F$39))),34,""))))</f>
        <v/>
      </c>
      <c r="AJ71">
        <f>IF('Recurring Schedule'!$C$40="","",IF('Recurring Schedule'!$F$40="","",IF(OR($A71&lt;'Recurring Schedule'!$F$40,$A71&gt;'Recurring Schedule'!$P$40),"",IF(IF('Recurring Schedule'!$N$40&gt;0,MOD($A71-'Recurring Schedule'!$F$40,'Recurring Schedule'!$N$40)=0,IF('Recurring Schedule'!$O$40&gt;0,AND(DAY($A71)=MIN(DAY('Recurring Schedule'!$F$40),DAY(EOMONTH($A71,0))),MOD((YEAR($A71)-YEAR('Recurring Schedule'!$F$40))*12+MONTH($A71)-MONTH('Recurring Schedule'!$F$40),'Recurring Schedule'!$O$40)=0),IF('Recurring Schedule'!$E$40="Weekdays",WEEKDAY($A71,2)&lt;=5,$A71='Recurring Schedule'!$F$40))),35,""))))</f>
        <v/>
      </c>
      <c r="AK71">
        <f>IF('Recurring Schedule'!$C$41="","",IF('Recurring Schedule'!$F$41="","",IF(OR($A71&lt;'Recurring Schedule'!$F$41,$A71&gt;'Recurring Schedule'!$P$41),"",IF(IF('Recurring Schedule'!$N$41&gt;0,MOD($A71-'Recurring Schedule'!$F$41,'Recurring Schedule'!$N$41)=0,IF('Recurring Schedule'!$O$41&gt;0,AND(DAY($A71)=MIN(DAY('Recurring Schedule'!$F$41),DAY(EOMONTH($A71,0))),MOD((YEAR($A71)-YEAR('Recurring Schedule'!$F$41))*12+MONTH($A71)-MONTH('Recurring Schedule'!$F$41),'Recurring Schedule'!$O$41)=0),IF('Recurring Schedule'!$E$41="Weekdays",WEEKDAY($A71,2)&lt;=5,$A71='Recurring Schedule'!$F$41))),36,""))))</f>
        <v/>
      </c>
      <c r="AL71">
        <f>IF('Recurring Schedule'!$C$42="","",IF('Recurring Schedule'!$F$42="","",IF(OR($A71&lt;'Recurring Schedule'!$F$42,$A71&gt;'Recurring Schedule'!$P$42),"",IF(IF('Recurring Schedule'!$N$42&gt;0,MOD($A71-'Recurring Schedule'!$F$42,'Recurring Schedule'!$N$42)=0,IF('Recurring Schedule'!$O$42&gt;0,AND(DAY($A71)=MIN(DAY('Recurring Schedule'!$F$42),DAY(EOMONTH($A71,0))),MOD((YEAR($A71)-YEAR('Recurring Schedule'!$F$42))*12+MONTH($A71)-MONTH('Recurring Schedule'!$F$42),'Recurring Schedule'!$O$42)=0),IF('Recurring Schedule'!$E$42="Weekdays",WEEKDAY($A71,2)&lt;=5,$A71='Recurring Schedule'!$F$42))),37,""))))</f>
        <v/>
      </c>
      <c r="AM71">
        <f>IF('Recurring Schedule'!$C$43="","",IF('Recurring Schedule'!$F$43="","",IF(OR($A71&lt;'Recurring Schedule'!$F$43,$A71&gt;'Recurring Schedule'!$P$43),"",IF(IF('Recurring Schedule'!$N$43&gt;0,MOD($A71-'Recurring Schedule'!$F$43,'Recurring Schedule'!$N$43)=0,IF('Recurring Schedule'!$O$43&gt;0,AND(DAY($A71)=MIN(DAY('Recurring Schedule'!$F$43),DAY(EOMONTH($A71,0))),MOD((YEAR($A71)-YEAR('Recurring Schedule'!$F$43))*12+MONTH($A71)-MONTH('Recurring Schedule'!$F$43),'Recurring Schedule'!$O$43)=0),IF('Recurring Schedule'!$E$43="Weekdays",WEEKDAY($A71,2)&lt;=5,$A71='Recurring Schedule'!$F$43))),38,""))))</f>
        <v/>
      </c>
      <c r="AN71">
        <f>IF('Recurring Schedule'!$C$44="","",IF('Recurring Schedule'!$F$44="","",IF(OR($A71&lt;'Recurring Schedule'!$F$44,$A71&gt;'Recurring Schedule'!$P$44),"",IF(IF('Recurring Schedule'!$N$44&gt;0,MOD($A71-'Recurring Schedule'!$F$44,'Recurring Schedule'!$N$44)=0,IF('Recurring Schedule'!$O$44&gt;0,AND(DAY($A71)=MIN(DAY('Recurring Schedule'!$F$44),DAY(EOMONTH($A71,0))),MOD((YEAR($A71)-YEAR('Recurring Schedule'!$F$44))*12+MONTH($A71)-MONTH('Recurring Schedule'!$F$44),'Recurring Schedule'!$O$44)=0),IF('Recurring Schedule'!$E$44="Weekdays",WEEKDAY($A71,2)&lt;=5,$A71='Recurring Schedule'!$F$44))),39,""))))</f>
        <v/>
      </c>
      <c r="AO71">
        <f>IF('Recurring Schedule'!$C$45="","",IF('Recurring Schedule'!$F$45="","",IF(OR($A71&lt;'Recurring Schedule'!$F$45,$A71&gt;'Recurring Schedule'!$P$45),"",IF(IF('Recurring Schedule'!$N$45&gt;0,MOD($A71-'Recurring Schedule'!$F$45,'Recurring Schedule'!$N$45)=0,IF('Recurring Schedule'!$O$45&gt;0,AND(DAY($A71)=MIN(DAY('Recurring Schedule'!$F$45),DAY(EOMONTH($A71,0))),MOD((YEAR($A71)-YEAR('Recurring Schedule'!$F$45))*12+MONTH($A71)-MONTH('Recurring Schedule'!$F$45),'Recurring Schedule'!$O$45)=0),IF('Recurring Schedule'!$E$45="Weekdays",WEEKDAY($A71,2)&lt;=5,$A71='Recurring Schedule'!$F$45))),40,""))))</f>
        <v/>
      </c>
      <c r="AP71">
        <f>COUNT(B71:AO71)</f>
        <v/>
      </c>
      <c r="AQ71">
        <f>AQ70+AP70</f>
        <v/>
      </c>
      <c r="AS71" t="inlineStr">
        <is>
          <t>R</t>
        </is>
      </c>
      <c r="AT71" t="n">
        <v>75</v>
      </c>
      <c r="AU71">
        <f>'Recurring Log'!C75&amp;""</f>
        <v/>
      </c>
      <c r="AV71">
        <f>'Recurring Log'!D75&amp;""</f>
        <v/>
      </c>
      <c r="AW71">
        <f>IF('Recurring Log'!E75="","",'Recurring Log'!E75)</f>
        <v/>
      </c>
      <c r="AX71">
        <f>IF('Recurring Log'!G75="","",'Recurring Log'!G75)</f>
        <v/>
      </c>
      <c r="AY71">
        <f>IF('Recurring Log'!H75="","",'Recurring Log'!H75)</f>
        <v/>
      </c>
      <c r="AZ71">
        <f>IF(AU71="","",IF('Recurring Log'!J75="","Not Started",'Recurring Log'!J75))</f>
        <v/>
      </c>
      <c r="BA71">
        <f>'Recurring Log'!L75&amp;""</f>
        <v/>
      </c>
      <c r="BB71">
        <f>'Recurring Log'!M75&amp;""</f>
        <v/>
      </c>
      <c r="BC71">
        <f>'Recurring Log'!N75&amp;""</f>
        <v/>
      </c>
      <c r="BD71">
        <f>'Recurring Log'!O75&amp;""</f>
        <v/>
      </c>
      <c r="BE71">
        <f>IF('Recurring Log'!K75="","",'Recurring Log'!K75)</f>
        <v/>
      </c>
      <c r="BF71">
        <f>IFERROR(MATCH(BA71,Setup!$L$6:$L$9,0),5)</f>
        <v/>
      </c>
      <c r="BG71">
        <f>IF(OR(AZ71="Done",AZ71="Cancelled"),1,0)</f>
        <v/>
      </c>
      <c r="BH71">
        <f>IF(AND(AU71&lt;&gt;"",ISNUMBER(AW71)),1,0)</f>
        <v/>
      </c>
      <c r="BI71">
        <f>IF(BH71=0,0,IF(AND(AW71&gt;='Tasks Filter'!$F$3,AW71&lt;='Tasks Filter'!$F$4,OR('Tasks Filter'!$I$3="",ISNUMBER(SEARCH('Tasks Filter'!$I$3,AU71))),OR('Tasks Filter'!$I$4="",BF71=IFERROR(MATCH('Tasks Filter'!$I$4,Setup!$L$6:$L$9,0),0)),OR('Tasks Filter'!$I$5="Both",AND('Tasks Filter'!$I$5="Yes",BB71="✓"),AND('Tasks Filter'!$I$5="No",BB71&lt;&gt;"✓")),OR('Tasks Filter'!$L$3="",AV71='Tasks Filter'!$L$3),OR('Tasks Filter'!$L$4="",AZ71='Tasks Filter'!$L$4),OR('Tasks Filter'!$L$5="",BC71='Tasks Filter'!$L$5),OR('Tasks Filter'!$O$3="",BD71='Tasks Filter'!$O$3),OR('Tasks Filter'!$O$4="Yes",BG71=0)),1,0))</f>
        <v/>
      </c>
      <c r="BJ71">
        <f>IF(BH71=0,"",IF('Tasks Filter'!$F$6="Descending",-1,1)*CHOOSE(MATCH('Tasks Filter'!$F$5,Lists!$G$2:$G$6,0),AW71,BF71,IFERROR(MATCH(AV71,Setup!$F$6:$F$15,0),99),IFERROR(MATCH(BC71,Setup!$H$6:$H$15,0),99),IFERROR(MATCH(AZ71,Setup!$J$6:$J$11,0),99))*1E+9+(AW71-40000)*10000+70)</f>
        <v/>
      </c>
      <c r="BK71">
        <f>IF(BI71=1,BJ71,"")</f>
        <v/>
      </c>
      <c r="BL71">
        <f>IF(AND(BH71=1,BG71=0,N(AW71)&lt;Setup!$D$7),(AW71-40000)*10000+70,"")</f>
        <v/>
      </c>
      <c r="BM71">
        <f>IF(AND(BH71=1,AZ71&lt;&gt;"Cancelled",N(AW71)&gt;=Dashboard!$AB$3,N(AW71)&lt;=Dashboard!$AB$3+6),(AW71-40000)*100000+BF71*10000+70,"")</f>
        <v/>
      </c>
      <c r="BN71">
        <f>IF(AND(BH71=1,AZ71&lt;&gt;"Cancelled"),BF71*10000+70,"")</f>
        <v/>
      </c>
    </row>
    <row r="72">
      <c r="A72">
        <f>Setup!$D$5+70</f>
        <v/>
      </c>
      <c r="B72">
        <f>IF('Recurring Schedule'!$C$6="","",IF('Recurring Schedule'!$F$6="","",IF(OR($A72&lt;'Recurring Schedule'!$F$6,$A72&gt;'Recurring Schedule'!$P$6),"",IF(IF('Recurring Schedule'!$N$6&gt;0,MOD($A72-'Recurring Schedule'!$F$6,'Recurring Schedule'!$N$6)=0,IF('Recurring Schedule'!$O$6&gt;0,AND(DAY($A72)=MIN(DAY('Recurring Schedule'!$F$6),DAY(EOMONTH($A72,0))),MOD((YEAR($A72)-YEAR('Recurring Schedule'!$F$6))*12+MONTH($A72)-MONTH('Recurring Schedule'!$F$6),'Recurring Schedule'!$O$6)=0),IF('Recurring Schedule'!$E$6="Weekdays",WEEKDAY($A72,2)&lt;=5,$A72='Recurring Schedule'!$F$6))),1,""))))</f>
        <v/>
      </c>
      <c r="C72">
        <f>IF('Recurring Schedule'!$C$7="","",IF('Recurring Schedule'!$F$7="","",IF(OR($A72&lt;'Recurring Schedule'!$F$7,$A72&gt;'Recurring Schedule'!$P$7),"",IF(IF('Recurring Schedule'!$N$7&gt;0,MOD($A72-'Recurring Schedule'!$F$7,'Recurring Schedule'!$N$7)=0,IF('Recurring Schedule'!$O$7&gt;0,AND(DAY($A72)=MIN(DAY('Recurring Schedule'!$F$7),DAY(EOMONTH($A72,0))),MOD((YEAR($A72)-YEAR('Recurring Schedule'!$F$7))*12+MONTH($A72)-MONTH('Recurring Schedule'!$F$7),'Recurring Schedule'!$O$7)=0),IF('Recurring Schedule'!$E$7="Weekdays",WEEKDAY($A72,2)&lt;=5,$A72='Recurring Schedule'!$F$7))),2,""))))</f>
        <v/>
      </c>
      <c r="D72">
        <f>IF('Recurring Schedule'!$C$8="","",IF('Recurring Schedule'!$F$8="","",IF(OR($A72&lt;'Recurring Schedule'!$F$8,$A72&gt;'Recurring Schedule'!$P$8),"",IF(IF('Recurring Schedule'!$N$8&gt;0,MOD($A72-'Recurring Schedule'!$F$8,'Recurring Schedule'!$N$8)=0,IF('Recurring Schedule'!$O$8&gt;0,AND(DAY($A72)=MIN(DAY('Recurring Schedule'!$F$8),DAY(EOMONTH($A72,0))),MOD((YEAR($A72)-YEAR('Recurring Schedule'!$F$8))*12+MONTH($A72)-MONTH('Recurring Schedule'!$F$8),'Recurring Schedule'!$O$8)=0),IF('Recurring Schedule'!$E$8="Weekdays",WEEKDAY($A72,2)&lt;=5,$A72='Recurring Schedule'!$F$8))),3,""))))</f>
        <v/>
      </c>
      <c r="E72">
        <f>IF('Recurring Schedule'!$C$9="","",IF('Recurring Schedule'!$F$9="","",IF(OR($A72&lt;'Recurring Schedule'!$F$9,$A72&gt;'Recurring Schedule'!$P$9),"",IF(IF('Recurring Schedule'!$N$9&gt;0,MOD($A72-'Recurring Schedule'!$F$9,'Recurring Schedule'!$N$9)=0,IF('Recurring Schedule'!$O$9&gt;0,AND(DAY($A72)=MIN(DAY('Recurring Schedule'!$F$9),DAY(EOMONTH($A72,0))),MOD((YEAR($A72)-YEAR('Recurring Schedule'!$F$9))*12+MONTH($A72)-MONTH('Recurring Schedule'!$F$9),'Recurring Schedule'!$O$9)=0),IF('Recurring Schedule'!$E$9="Weekdays",WEEKDAY($A72,2)&lt;=5,$A72='Recurring Schedule'!$F$9))),4,""))))</f>
        <v/>
      </c>
      <c r="F72">
        <f>IF('Recurring Schedule'!$C$10="","",IF('Recurring Schedule'!$F$10="","",IF(OR($A72&lt;'Recurring Schedule'!$F$10,$A72&gt;'Recurring Schedule'!$P$10),"",IF(IF('Recurring Schedule'!$N$10&gt;0,MOD($A72-'Recurring Schedule'!$F$10,'Recurring Schedule'!$N$10)=0,IF('Recurring Schedule'!$O$10&gt;0,AND(DAY($A72)=MIN(DAY('Recurring Schedule'!$F$10),DAY(EOMONTH($A72,0))),MOD((YEAR($A72)-YEAR('Recurring Schedule'!$F$10))*12+MONTH($A72)-MONTH('Recurring Schedule'!$F$10),'Recurring Schedule'!$O$10)=0),IF('Recurring Schedule'!$E$10="Weekdays",WEEKDAY($A72,2)&lt;=5,$A72='Recurring Schedule'!$F$10))),5,""))))</f>
        <v/>
      </c>
      <c r="G72">
        <f>IF('Recurring Schedule'!$C$11="","",IF('Recurring Schedule'!$F$11="","",IF(OR($A72&lt;'Recurring Schedule'!$F$11,$A72&gt;'Recurring Schedule'!$P$11),"",IF(IF('Recurring Schedule'!$N$11&gt;0,MOD($A72-'Recurring Schedule'!$F$11,'Recurring Schedule'!$N$11)=0,IF('Recurring Schedule'!$O$11&gt;0,AND(DAY($A72)=MIN(DAY('Recurring Schedule'!$F$11),DAY(EOMONTH($A72,0))),MOD((YEAR($A72)-YEAR('Recurring Schedule'!$F$11))*12+MONTH($A72)-MONTH('Recurring Schedule'!$F$11),'Recurring Schedule'!$O$11)=0),IF('Recurring Schedule'!$E$11="Weekdays",WEEKDAY($A72,2)&lt;=5,$A72='Recurring Schedule'!$F$11))),6,""))))</f>
        <v/>
      </c>
      <c r="H72">
        <f>IF('Recurring Schedule'!$C$12="","",IF('Recurring Schedule'!$F$12="","",IF(OR($A72&lt;'Recurring Schedule'!$F$12,$A72&gt;'Recurring Schedule'!$P$12),"",IF(IF('Recurring Schedule'!$N$12&gt;0,MOD($A72-'Recurring Schedule'!$F$12,'Recurring Schedule'!$N$12)=0,IF('Recurring Schedule'!$O$12&gt;0,AND(DAY($A72)=MIN(DAY('Recurring Schedule'!$F$12),DAY(EOMONTH($A72,0))),MOD((YEAR($A72)-YEAR('Recurring Schedule'!$F$12))*12+MONTH($A72)-MONTH('Recurring Schedule'!$F$12),'Recurring Schedule'!$O$12)=0),IF('Recurring Schedule'!$E$12="Weekdays",WEEKDAY($A72,2)&lt;=5,$A72='Recurring Schedule'!$F$12))),7,""))))</f>
        <v/>
      </c>
      <c r="I72">
        <f>IF('Recurring Schedule'!$C$13="","",IF('Recurring Schedule'!$F$13="","",IF(OR($A72&lt;'Recurring Schedule'!$F$13,$A72&gt;'Recurring Schedule'!$P$13),"",IF(IF('Recurring Schedule'!$N$13&gt;0,MOD($A72-'Recurring Schedule'!$F$13,'Recurring Schedule'!$N$13)=0,IF('Recurring Schedule'!$O$13&gt;0,AND(DAY($A72)=MIN(DAY('Recurring Schedule'!$F$13),DAY(EOMONTH($A72,0))),MOD((YEAR($A72)-YEAR('Recurring Schedule'!$F$13))*12+MONTH($A72)-MONTH('Recurring Schedule'!$F$13),'Recurring Schedule'!$O$13)=0),IF('Recurring Schedule'!$E$13="Weekdays",WEEKDAY($A72,2)&lt;=5,$A72='Recurring Schedule'!$F$13))),8,""))))</f>
        <v/>
      </c>
      <c r="J72">
        <f>IF('Recurring Schedule'!$C$14="","",IF('Recurring Schedule'!$F$14="","",IF(OR($A72&lt;'Recurring Schedule'!$F$14,$A72&gt;'Recurring Schedule'!$P$14),"",IF(IF('Recurring Schedule'!$N$14&gt;0,MOD($A72-'Recurring Schedule'!$F$14,'Recurring Schedule'!$N$14)=0,IF('Recurring Schedule'!$O$14&gt;0,AND(DAY($A72)=MIN(DAY('Recurring Schedule'!$F$14),DAY(EOMONTH($A72,0))),MOD((YEAR($A72)-YEAR('Recurring Schedule'!$F$14))*12+MONTH($A72)-MONTH('Recurring Schedule'!$F$14),'Recurring Schedule'!$O$14)=0),IF('Recurring Schedule'!$E$14="Weekdays",WEEKDAY($A72,2)&lt;=5,$A72='Recurring Schedule'!$F$14))),9,""))))</f>
        <v/>
      </c>
      <c r="K72">
        <f>IF('Recurring Schedule'!$C$15="","",IF('Recurring Schedule'!$F$15="","",IF(OR($A72&lt;'Recurring Schedule'!$F$15,$A72&gt;'Recurring Schedule'!$P$15),"",IF(IF('Recurring Schedule'!$N$15&gt;0,MOD($A72-'Recurring Schedule'!$F$15,'Recurring Schedule'!$N$15)=0,IF('Recurring Schedule'!$O$15&gt;0,AND(DAY($A72)=MIN(DAY('Recurring Schedule'!$F$15),DAY(EOMONTH($A72,0))),MOD((YEAR($A72)-YEAR('Recurring Schedule'!$F$15))*12+MONTH($A72)-MONTH('Recurring Schedule'!$F$15),'Recurring Schedule'!$O$15)=0),IF('Recurring Schedule'!$E$15="Weekdays",WEEKDAY($A72,2)&lt;=5,$A72='Recurring Schedule'!$F$15))),10,""))))</f>
        <v/>
      </c>
      <c r="L72">
        <f>IF('Recurring Schedule'!$C$16="","",IF('Recurring Schedule'!$F$16="","",IF(OR($A72&lt;'Recurring Schedule'!$F$16,$A72&gt;'Recurring Schedule'!$P$16),"",IF(IF('Recurring Schedule'!$N$16&gt;0,MOD($A72-'Recurring Schedule'!$F$16,'Recurring Schedule'!$N$16)=0,IF('Recurring Schedule'!$O$16&gt;0,AND(DAY($A72)=MIN(DAY('Recurring Schedule'!$F$16),DAY(EOMONTH($A72,0))),MOD((YEAR($A72)-YEAR('Recurring Schedule'!$F$16))*12+MONTH($A72)-MONTH('Recurring Schedule'!$F$16),'Recurring Schedule'!$O$16)=0),IF('Recurring Schedule'!$E$16="Weekdays",WEEKDAY($A72,2)&lt;=5,$A72='Recurring Schedule'!$F$16))),11,""))))</f>
        <v/>
      </c>
      <c r="M72">
        <f>IF('Recurring Schedule'!$C$17="","",IF('Recurring Schedule'!$F$17="","",IF(OR($A72&lt;'Recurring Schedule'!$F$17,$A72&gt;'Recurring Schedule'!$P$17),"",IF(IF('Recurring Schedule'!$N$17&gt;0,MOD($A72-'Recurring Schedule'!$F$17,'Recurring Schedule'!$N$17)=0,IF('Recurring Schedule'!$O$17&gt;0,AND(DAY($A72)=MIN(DAY('Recurring Schedule'!$F$17),DAY(EOMONTH($A72,0))),MOD((YEAR($A72)-YEAR('Recurring Schedule'!$F$17))*12+MONTH($A72)-MONTH('Recurring Schedule'!$F$17),'Recurring Schedule'!$O$17)=0),IF('Recurring Schedule'!$E$17="Weekdays",WEEKDAY($A72,2)&lt;=5,$A72='Recurring Schedule'!$F$17))),12,""))))</f>
        <v/>
      </c>
      <c r="N72">
        <f>IF('Recurring Schedule'!$C$18="","",IF('Recurring Schedule'!$F$18="","",IF(OR($A72&lt;'Recurring Schedule'!$F$18,$A72&gt;'Recurring Schedule'!$P$18),"",IF(IF('Recurring Schedule'!$N$18&gt;0,MOD($A72-'Recurring Schedule'!$F$18,'Recurring Schedule'!$N$18)=0,IF('Recurring Schedule'!$O$18&gt;0,AND(DAY($A72)=MIN(DAY('Recurring Schedule'!$F$18),DAY(EOMONTH($A72,0))),MOD((YEAR($A72)-YEAR('Recurring Schedule'!$F$18))*12+MONTH($A72)-MONTH('Recurring Schedule'!$F$18),'Recurring Schedule'!$O$18)=0),IF('Recurring Schedule'!$E$18="Weekdays",WEEKDAY($A72,2)&lt;=5,$A72='Recurring Schedule'!$F$18))),13,""))))</f>
        <v/>
      </c>
      <c r="O72">
        <f>IF('Recurring Schedule'!$C$19="","",IF('Recurring Schedule'!$F$19="","",IF(OR($A72&lt;'Recurring Schedule'!$F$19,$A72&gt;'Recurring Schedule'!$P$19),"",IF(IF('Recurring Schedule'!$N$19&gt;0,MOD($A72-'Recurring Schedule'!$F$19,'Recurring Schedule'!$N$19)=0,IF('Recurring Schedule'!$O$19&gt;0,AND(DAY($A72)=MIN(DAY('Recurring Schedule'!$F$19),DAY(EOMONTH($A72,0))),MOD((YEAR($A72)-YEAR('Recurring Schedule'!$F$19))*12+MONTH($A72)-MONTH('Recurring Schedule'!$F$19),'Recurring Schedule'!$O$19)=0),IF('Recurring Schedule'!$E$19="Weekdays",WEEKDAY($A72,2)&lt;=5,$A72='Recurring Schedule'!$F$19))),14,""))))</f>
        <v/>
      </c>
      <c r="P72">
        <f>IF('Recurring Schedule'!$C$20="","",IF('Recurring Schedule'!$F$20="","",IF(OR($A72&lt;'Recurring Schedule'!$F$20,$A72&gt;'Recurring Schedule'!$P$20),"",IF(IF('Recurring Schedule'!$N$20&gt;0,MOD($A72-'Recurring Schedule'!$F$20,'Recurring Schedule'!$N$20)=0,IF('Recurring Schedule'!$O$20&gt;0,AND(DAY($A72)=MIN(DAY('Recurring Schedule'!$F$20),DAY(EOMONTH($A72,0))),MOD((YEAR($A72)-YEAR('Recurring Schedule'!$F$20))*12+MONTH($A72)-MONTH('Recurring Schedule'!$F$20),'Recurring Schedule'!$O$20)=0),IF('Recurring Schedule'!$E$20="Weekdays",WEEKDAY($A72,2)&lt;=5,$A72='Recurring Schedule'!$F$20))),15,""))))</f>
        <v/>
      </c>
      <c r="Q72">
        <f>IF('Recurring Schedule'!$C$21="","",IF('Recurring Schedule'!$F$21="","",IF(OR($A72&lt;'Recurring Schedule'!$F$21,$A72&gt;'Recurring Schedule'!$P$21),"",IF(IF('Recurring Schedule'!$N$21&gt;0,MOD($A72-'Recurring Schedule'!$F$21,'Recurring Schedule'!$N$21)=0,IF('Recurring Schedule'!$O$21&gt;0,AND(DAY($A72)=MIN(DAY('Recurring Schedule'!$F$21),DAY(EOMONTH($A72,0))),MOD((YEAR($A72)-YEAR('Recurring Schedule'!$F$21))*12+MONTH($A72)-MONTH('Recurring Schedule'!$F$21),'Recurring Schedule'!$O$21)=0),IF('Recurring Schedule'!$E$21="Weekdays",WEEKDAY($A72,2)&lt;=5,$A72='Recurring Schedule'!$F$21))),16,""))))</f>
        <v/>
      </c>
      <c r="R72">
        <f>IF('Recurring Schedule'!$C$22="","",IF('Recurring Schedule'!$F$22="","",IF(OR($A72&lt;'Recurring Schedule'!$F$22,$A72&gt;'Recurring Schedule'!$P$22),"",IF(IF('Recurring Schedule'!$N$22&gt;0,MOD($A72-'Recurring Schedule'!$F$22,'Recurring Schedule'!$N$22)=0,IF('Recurring Schedule'!$O$22&gt;0,AND(DAY($A72)=MIN(DAY('Recurring Schedule'!$F$22),DAY(EOMONTH($A72,0))),MOD((YEAR($A72)-YEAR('Recurring Schedule'!$F$22))*12+MONTH($A72)-MONTH('Recurring Schedule'!$F$22),'Recurring Schedule'!$O$22)=0),IF('Recurring Schedule'!$E$22="Weekdays",WEEKDAY($A72,2)&lt;=5,$A72='Recurring Schedule'!$F$22))),17,""))))</f>
        <v/>
      </c>
      <c r="S72">
        <f>IF('Recurring Schedule'!$C$23="","",IF('Recurring Schedule'!$F$23="","",IF(OR($A72&lt;'Recurring Schedule'!$F$23,$A72&gt;'Recurring Schedule'!$P$23),"",IF(IF('Recurring Schedule'!$N$23&gt;0,MOD($A72-'Recurring Schedule'!$F$23,'Recurring Schedule'!$N$23)=0,IF('Recurring Schedule'!$O$23&gt;0,AND(DAY($A72)=MIN(DAY('Recurring Schedule'!$F$23),DAY(EOMONTH($A72,0))),MOD((YEAR($A72)-YEAR('Recurring Schedule'!$F$23))*12+MONTH($A72)-MONTH('Recurring Schedule'!$F$23),'Recurring Schedule'!$O$23)=0),IF('Recurring Schedule'!$E$23="Weekdays",WEEKDAY($A72,2)&lt;=5,$A72='Recurring Schedule'!$F$23))),18,""))))</f>
        <v/>
      </c>
      <c r="T72">
        <f>IF('Recurring Schedule'!$C$24="","",IF('Recurring Schedule'!$F$24="","",IF(OR($A72&lt;'Recurring Schedule'!$F$24,$A72&gt;'Recurring Schedule'!$P$24),"",IF(IF('Recurring Schedule'!$N$24&gt;0,MOD($A72-'Recurring Schedule'!$F$24,'Recurring Schedule'!$N$24)=0,IF('Recurring Schedule'!$O$24&gt;0,AND(DAY($A72)=MIN(DAY('Recurring Schedule'!$F$24),DAY(EOMONTH($A72,0))),MOD((YEAR($A72)-YEAR('Recurring Schedule'!$F$24))*12+MONTH($A72)-MONTH('Recurring Schedule'!$F$24),'Recurring Schedule'!$O$24)=0),IF('Recurring Schedule'!$E$24="Weekdays",WEEKDAY($A72,2)&lt;=5,$A72='Recurring Schedule'!$F$24))),19,""))))</f>
        <v/>
      </c>
      <c r="U72">
        <f>IF('Recurring Schedule'!$C$25="","",IF('Recurring Schedule'!$F$25="","",IF(OR($A72&lt;'Recurring Schedule'!$F$25,$A72&gt;'Recurring Schedule'!$P$25),"",IF(IF('Recurring Schedule'!$N$25&gt;0,MOD($A72-'Recurring Schedule'!$F$25,'Recurring Schedule'!$N$25)=0,IF('Recurring Schedule'!$O$25&gt;0,AND(DAY($A72)=MIN(DAY('Recurring Schedule'!$F$25),DAY(EOMONTH($A72,0))),MOD((YEAR($A72)-YEAR('Recurring Schedule'!$F$25))*12+MONTH($A72)-MONTH('Recurring Schedule'!$F$25),'Recurring Schedule'!$O$25)=0),IF('Recurring Schedule'!$E$25="Weekdays",WEEKDAY($A72,2)&lt;=5,$A72='Recurring Schedule'!$F$25))),20,""))))</f>
        <v/>
      </c>
      <c r="V72">
        <f>IF('Recurring Schedule'!$C$26="","",IF('Recurring Schedule'!$F$26="","",IF(OR($A72&lt;'Recurring Schedule'!$F$26,$A72&gt;'Recurring Schedule'!$P$26),"",IF(IF('Recurring Schedule'!$N$26&gt;0,MOD($A72-'Recurring Schedule'!$F$26,'Recurring Schedule'!$N$26)=0,IF('Recurring Schedule'!$O$26&gt;0,AND(DAY($A72)=MIN(DAY('Recurring Schedule'!$F$26),DAY(EOMONTH($A72,0))),MOD((YEAR($A72)-YEAR('Recurring Schedule'!$F$26))*12+MONTH($A72)-MONTH('Recurring Schedule'!$F$26),'Recurring Schedule'!$O$26)=0),IF('Recurring Schedule'!$E$26="Weekdays",WEEKDAY($A72,2)&lt;=5,$A72='Recurring Schedule'!$F$26))),21,""))))</f>
        <v/>
      </c>
      <c r="W72">
        <f>IF('Recurring Schedule'!$C$27="","",IF('Recurring Schedule'!$F$27="","",IF(OR($A72&lt;'Recurring Schedule'!$F$27,$A72&gt;'Recurring Schedule'!$P$27),"",IF(IF('Recurring Schedule'!$N$27&gt;0,MOD($A72-'Recurring Schedule'!$F$27,'Recurring Schedule'!$N$27)=0,IF('Recurring Schedule'!$O$27&gt;0,AND(DAY($A72)=MIN(DAY('Recurring Schedule'!$F$27),DAY(EOMONTH($A72,0))),MOD((YEAR($A72)-YEAR('Recurring Schedule'!$F$27))*12+MONTH($A72)-MONTH('Recurring Schedule'!$F$27),'Recurring Schedule'!$O$27)=0),IF('Recurring Schedule'!$E$27="Weekdays",WEEKDAY($A72,2)&lt;=5,$A72='Recurring Schedule'!$F$27))),22,""))))</f>
        <v/>
      </c>
      <c r="X72">
        <f>IF('Recurring Schedule'!$C$28="","",IF('Recurring Schedule'!$F$28="","",IF(OR($A72&lt;'Recurring Schedule'!$F$28,$A72&gt;'Recurring Schedule'!$P$28),"",IF(IF('Recurring Schedule'!$N$28&gt;0,MOD($A72-'Recurring Schedule'!$F$28,'Recurring Schedule'!$N$28)=0,IF('Recurring Schedule'!$O$28&gt;0,AND(DAY($A72)=MIN(DAY('Recurring Schedule'!$F$28),DAY(EOMONTH($A72,0))),MOD((YEAR($A72)-YEAR('Recurring Schedule'!$F$28))*12+MONTH($A72)-MONTH('Recurring Schedule'!$F$28),'Recurring Schedule'!$O$28)=0),IF('Recurring Schedule'!$E$28="Weekdays",WEEKDAY($A72,2)&lt;=5,$A72='Recurring Schedule'!$F$28))),23,""))))</f>
        <v/>
      </c>
      <c r="Y72">
        <f>IF('Recurring Schedule'!$C$29="","",IF('Recurring Schedule'!$F$29="","",IF(OR($A72&lt;'Recurring Schedule'!$F$29,$A72&gt;'Recurring Schedule'!$P$29),"",IF(IF('Recurring Schedule'!$N$29&gt;0,MOD($A72-'Recurring Schedule'!$F$29,'Recurring Schedule'!$N$29)=0,IF('Recurring Schedule'!$O$29&gt;0,AND(DAY($A72)=MIN(DAY('Recurring Schedule'!$F$29),DAY(EOMONTH($A72,0))),MOD((YEAR($A72)-YEAR('Recurring Schedule'!$F$29))*12+MONTH($A72)-MONTH('Recurring Schedule'!$F$29),'Recurring Schedule'!$O$29)=0),IF('Recurring Schedule'!$E$29="Weekdays",WEEKDAY($A72,2)&lt;=5,$A72='Recurring Schedule'!$F$29))),24,""))))</f>
        <v/>
      </c>
      <c r="Z72">
        <f>IF('Recurring Schedule'!$C$30="","",IF('Recurring Schedule'!$F$30="","",IF(OR($A72&lt;'Recurring Schedule'!$F$30,$A72&gt;'Recurring Schedule'!$P$30),"",IF(IF('Recurring Schedule'!$N$30&gt;0,MOD($A72-'Recurring Schedule'!$F$30,'Recurring Schedule'!$N$30)=0,IF('Recurring Schedule'!$O$30&gt;0,AND(DAY($A72)=MIN(DAY('Recurring Schedule'!$F$30),DAY(EOMONTH($A72,0))),MOD((YEAR($A72)-YEAR('Recurring Schedule'!$F$30))*12+MONTH($A72)-MONTH('Recurring Schedule'!$F$30),'Recurring Schedule'!$O$30)=0),IF('Recurring Schedule'!$E$30="Weekdays",WEEKDAY($A72,2)&lt;=5,$A72='Recurring Schedule'!$F$30))),25,""))))</f>
        <v/>
      </c>
      <c r="AA72">
        <f>IF('Recurring Schedule'!$C$31="","",IF('Recurring Schedule'!$F$31="","",IF(OR($A72&lt;'Recurring Schedule'!$F$31,$A72&gt;'Recurring Schedule'!$P$31),"",IF(IF('Recurring Schedule'!$N$31&gt;0,MOD($A72-'Recurring Schedule'!$F$31,'Recurring Schedule'!$N$31)=0,IF('Recurring Schedule'!$O$31&gt;0,AND(DAY($A72)=MIN(DAY('Recurring Schedule'!$F$31),DAY(EOMONTH($A72,0))),MOD((YEAR($A72)-YEAR('Recurring Schedule'!$F$31))*12+MONTH($A72)-MONTH('Recurring Schedule'!$F$31),'Recurring Schedule'!$O$31)=0),IF('Recurring Schedule'!$E$31="Weekdays",WEEKDAY($A72,2)&lt;=5,$A72='Recurring Schedule'!$F$31))),26,""))))</f>
        <v/>
      </c>
      <c r="AB72">
        <f>IF('Recurring Schedule'!$C$32="","",IF('Recurring Schedule'!$F$32="","",IF(OR($A72&lt;'Recurring Schedule'!$F$32,$A72&gt;'Recurring Schedule'!$P$32),"",IF(IF('Recurring Schedule'!$N$32&gt;0,MOD($A72-'Recurring Schedule'!$F$32,'Recurring Schedule'!$N$32)=0,IF('Recurring Schedule'!$O$32&gt;0,AND(DAY($A72)=MIN(DAY('Recurring Schedule'!$F$32),DAY(EOMONTH($A72,0))),MOD((YEAR($A72)-YEAR('Recurring Schedule'!$F$32))*12+MONTH($A72)-MONTH('Recurring Schedule'!$F$32),'Recurring Schedule'!$O$32)=0),IF('Recurring Schedule'!$E$32="Weekdays",WEEKDAY($A72,2)&lt;=5,$A72='Recurring Schedule'!$F$32))),27,""))))</f>
        <v/>
      </c>
      <c r="AC72">
        <f>IF('Recurring Schedule'!$C$33="","",IF('Recurring Schedule'!$F$33="","",IF(OR($A72&lt;'Recurring Schedule'!$F$33,$A72&gt;'Recurring Schedule'!$P$33),"",IF(IF('Recurring Schedule'!$N$33&gt;0,MOD($A72-'Recurring Schedule'!$F$33,'Recurring Schedule'!$N$33)=0,IF('Recurring Schedule'!$O$33&gt;0,AND(DAY($A72)=MIN(DAY('Recurring Schedule'!$F$33),DAY(EOMONTH($A72,0))),MOD((YEAR($A72)-YEAR('Recurring Schedule'!$F$33))*12+MONTH($A72)-MONTH('Recurring Schedule'!$F$33),'Recurring Schedule'!$O$33)=0),IF('Recurring Schedule'!$E$33="Weekdays",WEEKDAY($A72,2)&lt;=5,$A72='Recurring Schedule'!$F$33))),28,""))))</f>
        <v/>
      </c>
      <c r="AD72">
        <f>IF('Recurring Schedule'!$C$34="","",IF('Recurring Schedule'!$F$34="","",IF(OR($A72&lt;'Recurring Schedule'!$F$34,$A72&gt;'Recurring Schedule'!$P$34),"",IF(IF('Recurring Schedule'!$N$34&gt;0,MOD($A72-'Recurring Schedule'!$F$34,'Recurring Schedule'!$N$34)=0,IF('Recurring Schedule'!$O$34&gt;0,AND(DAY($A72)=MIN(DAY('Recurring Schedule'!$F$34),DAY(EOMONTH($A72,0))),MOD((YEAR($A72)-YEAR('Recurring Schedule'!$F$34))*12+MONTH($A72)-MONTH('Recurring Schedule'!$F$34),'Recurring Schedule'!$O$34)=0),IF('Recurring Schedule'!$E$34="Weekdays",WEEKDAY($A72,2)&lt;=5,$A72='Recurring Schedule'!$F$34))),29,""))))</f>
        <v/>
      </c>
      <c r="AE72">
        <f>IF('Recurring Schedule'!$C$35="","",IF('Recurring Schedule'!$F$35="","",IF(OR($A72&lt;'Recurring Schedule'!$F$35,$A72&gt;'Recurring Schedule'!$P$35),"",IF(IF('Recurring Schedule'!$N$35&gt;0,MOD($A72-'Recurring Schedule'!$F$35,'Recurring Schedule'!$N$35)=0,IF('Recurring Schedule'!$O$35&gt;0,AND(DAY($A72)=MIN(DAY('Recurring Schedule'!$F$35),DAY(EOMONTH($A72,0))),MOD((YEAR($A72)-YEAR('Recurring Schedule'!$F$35))*12+MONTH($A72)-MONTH('Recurring Schedule'!$F$35),'Recurring Schedule'!$O$35)=0),IF('Recurring Schedule'!$E$35="Weekdays",WEEKDAY($A72,2)&lt;=5,$A72='Recurring Schedule'!$F$35))),30,""))))</f>
        <v/>
      </c>
      <c r="AF72">
        <f>IF('Recurring Schedule'!$C$36="","",IF('Recurring Schedule'!$F$36="","",IF(OR($A72&lt;'Recurring Schedule'!$F$36,$A72&gt;'Recurring Schedule'!$P$36),"",IF(IF('Recurring Schedule'!$N$36&gt;0,MOD($A72-'Recurring Schedule'!$F$36,'Recurring Schedule'!$N$36)=0,IF('Recurring Schedule'!$O$36&gt;0,AND(DAY($A72)=MIN(DAY('Recurring Schedule'!$F$36),DAY(EOMONTH($A72,0))),MOD((YEAR($A72)-YEAR('Recurring Schedule'!$F$36))*12+MONTH($A72)-MONTH('Recurring Schedule'!$F$36),'Recurring Schedule'!$O$36)=0),IF('Recurring Schedule'!$E$36="Weekdays",WEEKDAY($A72,2)&lt;=5,$A72='Recurring Schedule'!$F$36))),31,""))))</f>
        <v/>
      </c>
      <c r="AG72">
        <f>IF('Recurring Schedule'!$C$37="","",IF('Recurring Schedule'!$F$37="","",IF(OR($A72&lt;'Recurring Schedule'!$F$37,$A72&gt;'Recurring Schedule'!$P$37),"",IF(IF('Recurring Schedule'!$N$37&gt;0,MOD($A72-'Recurring Schedule'!$F$37,'Recurring Schedule'!$N$37)=0,IF('Recurring Schedule'!$O$37&gt;0,AND(DAY($A72)=MIN(DAY('Recurring Schedule'!$F$37),DAY(EOMONTH($A72,0))),MOD((YEAR($A72)-YEAR('Recurring Schedule'!$F$37))*12+MONTH($A72)-MONTH('Recurring Schedule'!$F$37),'Recurring Schedule'!$O$37)=0),IF('Recurring Schedule'!$E$37="Weekdays",WEEKDAY($A72,2)&lt;=5,$A72='Recurring Schedule'!$F$37))),32,""))))</f>
        <v/>
      </c>
      <c r="AH72">
        <f>IF('Recurring Schedule'!$C$38="","",IF('Recurring Schedule'!$F$38="","",IF(OR($A72&lt;'Recurring Schedule'!$F$38,$A72&gt;'Recurring Schedule'!$P$38),"",IF(IF('Recurring Schedule'!$N$38&gt;0,MOD($A72-'Recurring Schedule'!$F$38,'Recurring Schedule'!$N$38)=0,IF('Recurring Schedule'!$O$38&gt;0,AND(DAY($A72)=MIN(DAY('Recurring Schedule'!$F$38),DAY(EOMONTH($A72,0))),MOD((YEAR($A72)-YEAR('Recurring Schedule'!$F$38))*12+MONTH($A72)-MONTH('Recurring Schedule'!$F$38),'Recurring Schedule'!$O$38)=0),IF('Recurring Schedule'!$E$38="Weekdays",WEEKDAY($A72,2)&lt;=5,$A72='Recurring Schedule'!$F$38))),33,""))))</f>
        <v/>
      </c>
      <c r="AI72">
        <f>IF('Recurring Schedule'!$C$39="","",IF('Recurring Schedule'!$F$39="","",IF(OR($A72&lt;'Recurring Schedule'!$F$39,$A72&gt;'Recurring Schedule'!$P$39),"",IF(IF('Recurring Schedule'!$N$39&gt;0,MOD($A72-'Recurring Schedule'!$F$39,'Recurring Schedule'!$N$39)=0,IF('Recurring Schedule'!$O$39&gt;0,AND(DAY($A72)=MIN(DAY('Recurring Schedule'!$F$39),DAY(EOMONTH($A72,0))),MOD((YEAR($A72)-YEAR('Recurring Schedule'!$F$39))*12+MONTH($A72)-MONTH('Recurring Schedule'!$F$39),'Recurring Schedule'!$O$39)=0),IF('Recurring Schedule'!$E$39="Weekdays",WEEKDAY($A72,2)&lt;=5,$A72='Recurring Schedule'!$F$39))),34,""))))</f>
        <v/>
      </c>
      <c r="AJ72">
        <f>IF('Recurring Schedule'!$C$40="","",IF('Recurring Schedule'!$F$40="","",IF(OR($A72&lt;'Recurring Schedule'!$F$40,$A72&gt;'Recurring Schedule'!$P$40),"",IF(IF('Recurring Schedule'!$N$40&gt;0,MOD($A72-'Recurring Schedule'!$F$40,'Recurring Schedule'!$N$40)=0,IF('Recurring Schedule'!$O$40&gt;0,AND(DAY($A72)=MIN(DAY('Recurring Schedule'!$F$40),DAY(EOMONTH($A72,0))),MOD((YEAR($A72)-YEAR('Recurring Schedule'!$F$40))*12+MONTH($A72)-MONTH('Recurring Schedule'!$F$40),'Recurring Schedule'!$O$40)=0),IF('Recurring Schedule'!$E$40="Weekdays",WEEKDAY($A72,2)&lt;=5,$A72='Recurring Schedule'!$F$40))),35,""))))</f>
        <v/>
      </c>
      <c r="AK72">
        <f>IF('Recurring Schedule'!$C$41="","",IF('Recurring Schedule'!$F$41="","",IF(OR($A72&lt;'Recurring Schedule'!$F$41,$A72&gt;'Recurring Schedule'!$P$41),"",IF(IF('Recurring Schedule'!$N$41&gt;0,MOD($A72-'Recurring Schedule'!$F$41,'Recurring Schedule'!$N$41)=0,IF('Recurring Schedule'!$O$41&gt;0,AND(DAY($A72)=MIN(DAY('Recurring Schedule'!$F$41),DAY(EOMONTH($A72,0))),MOD((YEAR($A72)-YEAR('Recurring Schedule'!$F$41))*12+MONTH($A72)-MONTH('Recurring Schedule'!$F$41),'Recurring Schedule'!$O$41)=0),IF('Recurring Schedule'!$E$41="Weekdays",WEEKDAY($A72,2)&lt;=5,$A72='Recurring Schedule'!$F$41))),36,""))))</f>
        <v/>
      </c>
      <c r="AL72">
        <f>IF('Recurring Schedule'!$C$42="","",IF('Recurring Schedule'!$F$42="","",IF(OR($A72&lt;'Recurring Schedule'!$F$42,$A72&gt;'Recurring Schedule'!$P$42),"",IF(IF('Recurring Schedule'!$N$42&gt;0,MOD($A72-'Recurring Schedule'!$F$42,'Recurring Schedule'!$N$42)=0,IF('Recurring Schedule'!$O$42&gt;0,AND(DAY($A72)=MIN(DAY('Recurring Schedule'!$F$42),DAY(EOMONTH($A72,0))),MOD((YEAR($A72)-YEAR('Recurring Schedule'!$F$42))*12+MONTH($A72)-MONTH('Recurring Schedule'!$F$42),'Recurring Schedule'!$O$42)=0),IF('Recurring Schedule'!$E$42="Weekdays",WEEKDAY($A72,2)&lt;=5,$A72='Recurring Schedule'!$F$42))),37,""))))</f>
        <v/>
      </c>
      <c r="AM72">
        <f>IF('Recurring Schedule'!$C$43="","",IF('Recurring Schedule'!$F$43="","",IF(OR($A72&lt;'Recurring Schedule'!$F$43,$A72&gt;'Recurring Schedule'!$P$43),"",IF(IF('Recurring Schedule'!$N$43&gt;0,MOD($A72-'Recurring Schedule'!$F$43,'Recurring Schedule'!$N$43)=0,IF('Recurring Schedule'!$O$43&gt;0,AND(DAY($A72)=MIN(DAY('Recurring Schedule'!$F$43),DAY(EOMONTH($A72,0))),MOD((YEAR($A72)-YEAR('Recurring Schedule'!$F$43))*12+MONTH($A72)-MONTH('Recurring Schedule'!$F$43),'Recurring Schedule'!$O$43)=0),IF('Recurring Schedule'!$E$43="Weekdays",WEEKDAY($A72,2)&lt;=5,$A72='Recurring Schedule'!$F$43))),38,""))))</f>
        <v/>
      </c>
      <c r="AN72">
        <f>IF('Recurring Schedule'!$C$44="","",IF('Recurring Schedule'!$F$44="","",IF(OR($A72&lt;'Recurring Schedule'!$F$44,$A72&gt;'Recurring Schedule'!$P$44),"",IF(IF('Recurring Schedule'!$N$44&gt;0,MOD($A72-'Recurring Schedule'!$F$44,'Recurring Schedule'!$N$44)=0,IF('Recurring Schedule'!$O$44&gt;0,AND(DAY($A72)=MIN(DAY('Recurring Schedule'!$F$44),DAY(EOMONTH($A72,0))),MOD((YEAR($A72)-YEAR('Recurring Schedule'!$F$44))*12+MONTH($A72)-MONTH('Recurring Schedule'!$F$44),'Recurring Schedule'!$O$44)=0),IF('Recurring Schedule'!$E$44="Weekdays",WEEKDAY($A72,2)&lt;=5,$A72='Recurring Schedule'!$F$44))),39,""))))</f>
        <v/>
      </c>
      <c r="AO72">
        <f>IF('Recurring Schedule'!$C$45="","",IF('Recurring Schedule'!$F$45="","",IF(OR($A72&lt;'Recurring Schedule'!$F$45,$A72&gt;'Recurring Schedule'!$P$45),"",IF(IF('Recurring Schedule'!$N$45&gt;0,MOD($A72-'Recurring Schedule'!$F$45,'Recurring Schedule'!$N$45)=0,IF('Recurring Schedule'!$O$45&gt;0,AND(DAY($A72)=MIN(DAY('Recurring Schedule'!$F$45),DAY(EOMONTH($A72,0))),MOD((YEAR($A72)-YEAR('Recurring Schedule'!$F$45))*12+MONTH($A72)-MONTH('Recurring Schedule'!$F$45),'Recurring Schedule'!$O$45)=0),IF('Recurring Schedule'!$E$45="Weekdays",WEEKDAY($A72,2)&lt;=5,$A72='Recurring Schedule'!$F$45))),40,""))))</f>
        <v/>
      </c>
      <c r="AP72">
        <f>COUNT(B72:AO72)</f>
        <v/>
      </c>
      <c r="AQ72">
        <f>AQ71+AP71</f>
        <v/>
      </c>
      <c r="AS72" t="inlineStr">
        <is>
          <t>R</t>
        </is>
      </c>
      <c r="AT72" t="n">
        <v>76</v>
      </c>
      <c r="AU72">
        <f>'Recurring Log'!C76&amp;""</f>
        <v/>
      </c>
      <c r="AV72">
        <f>'Recurring Log'!D76&amp;""</f>
        <v/>
      </c>
      <c r="AW72">
        <f>IF('Recurring Log'!E76="","",'Recurring Log'!E76)</f>
        <v/>
      </c>
      <c r="AX72">
        <f>IF('Recurring Log'!G76="","",'Recurring Log'!G76)</f>
        <v/>
      </c>
      <c r="AY72">
        <f>IF('Recurring Log'!H76="","",'Recurring Log'!H76)</f>
        <v/>
      </c>
      <c r="AZ72">
        <f>IF(AU72="","",IF('Recurring Log'!J76="","Not Started",'Recurring Log'!J76))</f>
        <v/>
      </c>
      <c r="BA72">
        <f>'Recurring Log'!L76&amp;""</f>
        <v/>
      </c>
      <c r="BB72">
        <f>'Recurring Log'!M76&amp;""</f>
        <v/>
      </c>
      <c r="BC72">
        <f>'Recurring Log'!N76&amp;""</f>
        <v/>
      </c>
      <c r="BD72">
        <f>'Recurring Log'!O76&amp;""</f>
        <v/>
      </c>
      <c r="BE72">
        <f>IF('Recurring Log'!K76="","",'Recurring Log'!K76)</f>
        <v/>
      </c>
      <c r="BF72">
        <f>IFERROR(MATCH(BA72,Setup!$L$6:$L$9,0),5)</f>
        <v/>
      </c>
      <c r="BG72">
        <f>IF(OR(AZ72="Done",AZ72="Cancelled"),1,0)</f>
        <v/>
      </c>
      <c r="BH72">
        <f>IF(AND(AU72&lt;&gt;"",ISNUMBER(AW72)),1,0)</f>
        <v/>
      </c>
      <c r="BI72">
        <f>IF(BH72=0,0,IF(AND(AW72&gt;='Tasks Filter'!$F$3,AW72&lt;='Tasks Filter'!$F$4,OR('Tasks Filter'!$I$3="",ISNUMBER(SEARCH('Tasks Filter'!$I$3,AU72))),OR('Tasks Filter'!$I$4="",BF72=IFERROR(MATCH('Tasks Filter'!$I$4,Setup!$L$6:$L$9,0),0)),OR('Tasks Filter'!$I$5="Both",AND('Tasks Filter'!$I$5="Yes",BB72="✓"),AND('Tasks Filter'!$I$5="No",BB72&lt;&gt;"✓")),OR('Tasks Filter'!$L$3="",AV72='Tasks Filter'!$L$3),OR('Tasks Filter'!$L$4="",AZ72='Tasks Filter'!$L$4),OR('Tasks Filter'!$L$5="",BC72='Tasks Filter'!$L$5),OR('Tasks Filter'!$O$3="",BD72='Tasks Filter'!$O$3),OR('Tasks Filter'!$O$4="Yes",BG72=0)),1,0))</f>
        <v/>
      </c>
      <c r="BJ72">
        <f>IF(BH72=0,"",IF('Tasks Filter'!$F$6="Descending",-1,1)*CHOOSE(MATCH('Tasks Filter'!$F$5,Lists!$G$2:$G$6,0),AW72,BF72,IFERROR(MATCH(AV72,Setup!$F$6:$F$15,0),99),IFERROR(MATCH(BC72,Setup!$H$6:$H$15,0),99),IFERROR(MATCH(AZ72,Setup!$J$6:$J$11,0),99))*1E+9+(AW72-40000)*10000+71)</f>
        <v/>
      </c>
      <c r="BK72">
        <f>IF(BI72=1,BJ72,"")</f>
        <v/>
      </c>
      <c r="BL72">
        <f>IF(AND(BH72=1,BG72=0,N(AW72)&lt;Setup!$D$7),(AW72-40000)*10000+71,"")</f>
        <v/>
      </c>
      <c r="BM72">
        <f>IF(AND(BH72=1,AZ72&lt;&gt;"Cancelled",N(AW72)&gt;=Dashboard!$AB$3,N(AW72)&lt;=Dashboard!$AB$3+6),(AW72-40000)*100000+BF72*10000+71,"")</f>
        <v/>
      </c>
      <c r="BN72">
        <f>IF(AND(BH72=1,AZ72&lt;&gt;"Cancelled"),BF72*10000+71,"")</f>
        <v/>
      </c>
    </row>
    <row r="73">
      <c r="A73">
        <f>Setup!$D$5+71</f>
        <v/>
      </c>
      <c r="B73">
        <f>IF('Recurring Schedule'!$C$6="","",IF('Recurring Schedule'!$F$6="","",IF(OR($A73&lt;'Recurring Schedule'!$F$6,$A73&gt;'Recurring Schedule'!$P$6),"",IF(IF('Recurring Schedule'!$N$6&gt;0,MOD($A73-'Recurring Schedule'!$F$6,'Recurring Schedule'!$N$6)=0,IF('Recurring Schedule'!$O$6&gt;0,AND(DAY($A73)=MIN(DAY('Recurring Schedule'!$F$6),DAY(EOMONTH($A73,0))),MOD((YEAR($A73)-YEAR('Recurring Schedule'!$F$6))*12+MONTH($A73)-MONTH('Recurring Schedule'!$F$6),'Recurring Schedule'!$O$6)=0),IF('Recurring Schedule'!$E$6="Weekdays",WEEKDAY($A73,2)&lt;=5,$A73='Recurring Schedule'!$F$6))),1,""))))</f>
        <v/>
      </c>
      <c r="C73">
        <f>IF('Recurring Schedule'!$C$7="","",IF('Recurring Schedule'!$F$7="","",IF(OR($A73&lt;'Recurring Schedule'!$F$7,$A73&gt;'Recurring Schedule'!$P$7),"",IF(IF('Recurring Schedule'!$N$7&gt;0,MOD($A73-'Recurring Schedule'!$F$7,'Recurring Schedule'!$N$7)=0,IF('Recurring Schedule'!$O$7&gt;0,AND(DAY($A73)=MIN(DAY('Recurring Schedule'!$F$7),DAY(EOMONTH($A73,0))),MOD((YEAR($A73)-YEAR('Recurring Schedule'!$F$7))*12+MONTH($A73)-MONTH('Recurring Schedule'!$F$7),'Recurring Schedule'!$O$7)=0),IF('Recurring Schedule'!$E$7="Weekdays",WEEKDAY($A73,2)&lt;=5,$A73='Recurring Schedule'!$F$7))),2,""))))</f>
        <v/>
      </c>
      <c r="D73">
        <f>IF('Recurring Schedule'!$C$8="","",IF('Recurring Schedule'!$F$8="","",IF(OR($A73&lt;'Recurring Schedule'!$F$8,$A73&gt;'Recurring Schedule'!$P$8),"",IF(IF('Recurring Schedule'!$N$8&gt;0,MOD($A73-'Recurring Schedule'!$F$8,'Recurring Schedule'!$N$8)=0,IF('Recurring Schedule'!$O$8&gt;0,AND(DAY($A73)=MIN(DAY('Recurring Schedule'!$F$8),DAY(EOMONTH($A73,0))),MOD((YEAR($A73)-YEAR('Recurring Schedule'!$F$8))*12+MONTH($A73)-MONTH('Recurring Schedule'!$F$8),'Recurring Schedule'!$O$8)=0),IF('Recurring Schedule'!$E$8="Weekdays",WEEKDAY($A73,2)&lt;=5,$A73='Recurring Schedule'!$F$8))),3,""))))</f>
        <v/>
      </c>
      <c r="E73">
        <f>IF('Recurring Schedule'!$C$9="","",IF('Recurring Schedule'!$F$9="","",IF(OR($A73&lt;'Recurring Schedule'!$F$9,$A73&gt;'Recurring Schedule'!$P$9),"",IF(IF('Recurring Schedule'!$N$9&gt;0,MOD($A73-'Recurring Schedule'!$F$9,'Recurring Schedule'!$N$9)=0,IF('Recurring Schedule'!$O$9&gt;0,AND(DAY($A73)=MIN(DAY('Recurring Schedule'!$F$9),DAY(EOMONTH($A73,0))),MOD((YEAR($A73)-YEAR('Recurring Schedule'!$F$9))*12+MONTH($A73)-MONTH('Recurring Schedule'!$F$9),'Recurring Schedule'!$O$9)=0),IF('Recurring Schedule'!$E$9="Weekdays",WEEKDAY($A73,2)&lt;=5,$A73='Recurring Schedule'!$F$9))),4,""))))</f>
        <v/>
      </c>
      <c r="F73">
        <f>IF('Recurring Schedule'!$C$10="","",IF('Recurring Schedule'!$F$10="","",IF(OR($A73&lt;'Recurring Schedule'!$F$10,$A73&gt;'Recurring Schedule'!$P$10),"",IF(IF('Recurring Schedule'!$N$10&gt;0,MOD($A73-'Recurring Schedule'!$F$10,'Recurring Schedule'!$N$10)=0,IF('Recurring Schedule'!$O$10&gt;0,AND(DAY($A73)=MIN(DAY('Recurring Schedule'!$F$10),DAY(EOMONTH($A73,0))),MOD((YEAR($A73)-YEAR('Recurring Schedule'!$F$10))*12+MONTH($A73)-MONTH('Recurring Schedule'!$F$10),'Recurring Schedule'!$O$10)=0),IF('Recurring Schedule'!$E$10="Weekdays",WEEKDAY($A73,2)&lt;=5,$A73='Recurring Schedule'!$F$10))),5,""))))</f>
        <v/>
      </c>
      <c r="G73">
        <f>IF('Recurring Schedule'!$C$11="","",IF('Recurring Schedule'!$F$11="","",IF(OR($A73&lt;'Recurring Schedule'!$F$11,$A73&gt;'Recurring Schedule'!$P$11),"",IF(IF('Recurring Schedule'!$N$11&gt;0,MOD($A73-'Recurring Schedule'!$F$11,'Recurring Schedule'!$N$11)=0,IF('Recurring Schedule'!$O$11&gt;0,AND(DAY($A73)=MIN(DAY('Recurring Schedule'!$F$11),DAY(EOMONTH($A73,0))),MOD((YEAR($A73)-YEAR('Recurring Schedule'!$F$11))*12+MONTH($A73)-MONTH('Recurring Schedule'!$F$11),'Recurring Schedule'!$O$11)=0),IF('Recurring Schedule'!$E$11="Weekdays",WEEKDAY($A73,2)&lt;=5,$A73='Recurring Schedule'!$F$11))),6,""))))</f>
        <v/>
      </c>
      <c r="H73">
        <f>IF('Recurring Schedule'!$C$12="","",IF('Recurring Schedule'!$F$12="","",IF(OR($A73&lt;'Recurring Schedule'!$F$12,$A73&gt;'Recurring Schedule'!$P$12),"",IF(IF('Recurring Schedule'!$N$12&gt;0,MOD($A73-'Recurring Schedule'!$F$12,'Recurring Schedule'!$N$12)=0,IF('Recurring Schedule'!$O$12&gt;0,AND(DAY($A73)=MIN(DAY('Recurring Schedule'!$F$12),DAY(EOMONTH($A73,0))),MOD((YEAR($A73)-YEAR('Recurring Schedule'!$F$12))*12+MONTH($A73)-MONTH('Recurring Schedule'!$F$12),'Recurring Schedule'!$O$12)=0),IF('Recurring Schedule'!$E$12="Weekdays",WEEKDAY($A73,2)&lt;=5,$A73='Recurring Schedule'!$F$12))),7,""))))</f>
        <v/>
      </c>
      <c r="I73">
        <f>IF('Recurring Schedule'!$C$13="","",IF('Recurring Schedule'!$F$13="","",IF(OR($A73&lt;'Recurring Schedule'!$F$13,$A73&gt;'Recurring Schedule'!$P$13),"",IF(IF('Recurring Schedule'!$N$13&gt;0,MOD($A73-'Recurring Schedule'!$F$13,'Recurring Schedule'!$N$13)=0,IF('Recurring Schedule'!$O$13&gt;0,AND(DAY($A73)=MIN(DAY('Recurring Schedule'!$F$13),DAY(EOMONTH($A73,0))),MOD((YEAR($A73)-YEAR('Recurring Schedule'!$F$13))*12+MONTH($A73)-MONTH('Recurring Schedule'!$F$13),'Recurring Schedule'!$O$13)=0),IF('Recurring Schedule'!$E$13="Weekdays",WEEKDAY($A73,2)&lt;=5,$A73='Recurring Schedule'!$F$13))),8,""))))</f>
        <v/>
      </c>
      <c r="J73">
        <f>IF('Recurring Schedule'!$C$14="","",IF('Recurring Schedule'!$F$14="","",IF(OR($A73&lt;'Recurring Schedule'!$F$14,$A73&gt;'Recurring Schedule'!$P$14),"",IF(IF('Recurring Schedule'!$N$14&gt;0,MOD($A73-'Recurring Schedule'!$F$14,'Recurring Schedule'!$N$14)=0,IF('Recurring Schedule'!$O$14&gt;0,AND(DAY($A73)=MIN(DAY('Recurring Schedule'!$F$14),DAY(EOMONTH($A73,0))),MOD((YEAR($A73)-YEAR('Recurring Schedule'!$F$14))*12+MONTH($A73)-MONTH('Recurring Schedule'!$F$14),'Recurring Schedule'!$O$14)=0),IF('Recurring Schedule'!$E$14="Weekdays",WEEKDAY($A73,2)&lt;=5,$A73='Recurring Schedule'!$F$14))),9,""))))</f>
        <v/>
      </c>
      <c r="K73">
        <f>IF('Recurring Schedule'!$C$15="","",IF('Recurring Schedule'!$F$15="","",IF(OR($A73&lt;'Recurring Schedule'!$F$15,$A73&gt;'Recurring Schedule'!$P$15),"",IF(IF('Recurring Schedule'!$N$15&gt;0,MOD($A73-'Recurring Schedule'!$F$15,'Recurring Schedule'!$N$15)=0,IF('Recurring Schedule'!$O$15&gt;0,AND(DAY($A73)=MIN(DAY('Recurring Schedule'!$F$15),DAY(EOMONTH($A73,0))),MOD((YEAR($A73)-YEAR('Recurring Schedule'!$F$15))*12+MONTH($A73)-MONTH('Recurring Schedule'!$F$15),'Recurring Schedule'!$O$15)=0),IF('Recurring Schedule'!$E$15="Weekdays",WEEKDAY($A73,2)&lt;=5,$A73='Recurring Schedule'!$F$15))),10,""))))</f>
        <v/>
      </c>
      <c r="L73">
        <f>IF('Recurring Schedule'!$C$16="","",IF('Recurring Schedule'!$F$16="","",IF(OR($A73&lt;'Recurring Schedule'!$F$16,$A73&gt;'Recurring Schedule'!$P$16),"",IF(IF('Recurring Schedule'!$N$16&gt;0,MOD($A73-'Recurring Schedule'!$F$16,'Recurring Schedule'!$N$16)=0,IF('Recurring Schedule'!$O$16&gt;0,AND(DAY($A73)=MIN(DAY('Recurring Schedule'!$F$16),DAY(EOMONTH($A73,0))),MOD((YEAR($A73)-YEAR('Recurring Schedule'!$F$16))*12+MONTH($A73)-MONTH('Recurring Schedule'!$F$16),'Recurring Schedule'!$O$16)=0),IF('Recurring Schedule'!$E$16="Weekdays",WEEKDAY($A73,2)&lt;=5,$A73='Recurring Schedule'!$F$16))),11,""))))</f>
        <v/>
      </c>
      <c r="M73">
        <f>IF('Recurring Schedule'!$C$17="","",IF('Recurring Schedule'!$F$17="","",IF(OR($A73&lt;'Recurring Schedule'!$F$17,$A73&gt;'Recurring Schedule'!$P$17),"",IF(IF('Recurring Schedule'!$N$17&gt;0,MOD($A73-'Recurring Schedule'!$F$17,'Recurring Schedule'!$N$17)=0,IF('Recurring Schedule'!$O$17&gt;0,AND(DAY($A73)=MIN(DAY('Recurring Schedule'!$F$17),DAY(EOMONTH($A73,0))),MOD((YEAR($A73)-YEAR('Recurring Schedule'!$F$17))*12+MONTH($A73)-MONTH('Recurring Schedule'!$F$17),'Recurring Schedule'!$O$17)=0),IF('Recurring Schedule'!$E$17="Weekdays",WEEKDAY($A73,2)&lt;=5,$A73='Recurring Schedule'!$F$17))),12,""))))</f>
        <v/>
      </c>
      <c r="N73">
        <f>IF('Recurring Schedule'!$C$18="","",IF('Recurring Schedule'!$F$18="","",IF(OR($A73&lt;'Recurring Schedule'!$F$18,$A73&gt;'Recurring Schedule'!$P$18),"",IF(IF('Recurring Schedule'!$N$18&gt;0,MOD($A73-'Recurring Schedule'!$F$18,'Recurring Schedule'!$N$18)=0,IF('Recurring Schedule'!$O$18&gt;0,AND(DAY($A73)=MIN(DAY('Recurring Schedule'!$F$18),DAY(EOMONTH($A73,0))),MOD((YEAR($A73)-YEAR('Recurring Schedule'!$F$18))*12+MONTH($A73)-MONTH('Recurring Schedule'!$F$18),'Recurring Schedule'!$O$18)=0),IF('Recurring Schedule'!$E$18="Weekdays",WEEKDAY($A73,2)&lt;=5,$A73='Recurring Schedule'!$F$18))),13,""))))</f>
        <v/>
      </c>
      <c r="O73">
        <f>IF('Recurring Schedule'!$C$19="","",IF('Recurring Schedule'!$F$19="","",IF(OR($A73&lt;'Recurring Schedule'!$F$19,$A73&gt;'Recurring Schedule'!$P$19),"",IF(IF('Recurring Schedule'!$N$19&gt;0,MOD($A73-'Recurring Schedule'!$F$19,'Recurring Schedule'!$N$19)=0,IF('Recurring Schedule'!$O$19&gt;0,AND(DAY($A73)=MIN(DAY('Recurring Schedule'!$F$19),DAY(EOMONTH($A73,0))),MOD((YEAR($A73)-YEAR('Recurring Schedule'!$F$19))*12+MONTH($A73)-MONTH('Recurring Schedule'!$F$19),'Recurring Schedule'!$O$19)=0),IF('Recurring Schedule'!$E$19="Weekdays",WEEKDAY($A73,2)&lt;=5,$A73='Recurring Schedule'!$F$19))),14,""))))</f>
        <v/>
      </c>
      <c r="P73">
        <f>IF('Recurring Schedule'!$C$20="","",IF('Recurring Schedule'!$F$20="","",IF(OR($A73&lt;'Recurring Schedule'!$F$20,$A73&gt;'Recurring Schedule'!$P$20),"",IF(IF('Recurring Schedule'!$N$20&gt;0,MOD($A73-'Recurring Schedule'!$F$20,'Recurring Schedule'!$N$20)=0,IF('Recurring Schedule'!$O$20&gt;0,AND(DAY($A73)=MIN(DAY('Recurring Schedule'!$F$20),DAY(EOMONTH($A73,0))),MOD((YEAR($A73)-YEAR('Recurring Schedule'!$F$20))*12+MONTH($A73)-MONTH('Recurring Schedule'!$F$20),'Recurring Schedule'!$O$20)=0),IF('Recurring Schedule'!$E$20="Weekdays",WEEKDAY($A73,2)&lt;=5,$A73='Recurring Schedule'!$F$20))),15,""))))</f>
        <v/>
      </c>
      <c r="Q73">
        <f>IF('Recurring Schedule'!$C$21="","",IF('Recurring Schedule'!$F$21="","",IF(OR($A73&lt;'Recurring Schedule'!$F$21,$A73&gt;'Recurring Schedule'!$P$21),"",IF(IF('Recurring Schedule'!$N$21&gt;0,MOD($A73-'Recurring Schedule'!$F$21,'Recurring Schedule'!$N$21)=0,IF('Recurring Schedule'!$O$21&gt;0,AND(DAY($A73)=MIN(DAY('Recurring Schedule'!$F$21),DAY(EOMONTH($A73,0))),MOD((YEAR($A73)-YEAR('Recurring Schedule'!$F$21))*12+MONTH($A73)-MONTH('Recurring Schedule'!$F$21),'Recurring Schedule'!$O$21)=0),IF('Recurring Schedule'!$E$21="Weekdays",WEEKDAY($A73,2)&lt;=5,$A73='Recurring Schedule'!$F$21))),16,""))))</f>
        <v/>
      </c>
      <c r="R73">
        <f>IF('Recurring Schedule'!$C$22="","",IF('Recurring Schedule'!$F$22="","",IF(OR($A73&lt;'Recurring Schedule'!$F$22,$A73&gt;'Recurring Schedule'!$P$22),"",IF(IF('Recurring Schedule'!$N$22&gt;0,MOD($A73-'Recurring Schedule'!$F$22,'Recurring Schedule'!$N$22)=0,IF('Recurring Schedule'!$O$22&gt;0,AND(DAY($A73)=MIN(DAY('Recurring Schedule'!$F$22),DAY(EOMONTH($A73,0))),MOD((YEAR($A73)-YEAR('Recurring Schedule'!$F$22))*12+MONTH($A73)-MONTH('Recurring Schedule'!$F$22),'Recurring Schedule'!$O$22)=0),IF('Recurring Schedule'!$E$22="Weekdays",WEEKDAY($A73,2)&lt;=5,$A73='Recurring Schedule'!$F$22))),17,""))))</f>
        <v/>
      </c>
      <c r="S73">
        <f>IF('Recurring Schedule'!$C$23="","",IF('Recurring Schedule'!$F$23="","",IF(OR($A73&lt;'Recurring Schedule'!$F$23,$A73&gt;'Recurring Schedule'!$P$23),"",IF(IF('Recurring Schedule'!$N$23&gt;0,MOD($A73-'Recurring Schedule'!$F$23,'Recurring Schedule'!$N$23)=0,IF('Recurring Schedule'!$O$23&gt;0,AND(DAY($A73)=MIN(DAY('Recurring Schedule'!$F$23),DAY(EOMONTH($A73,0))),MOD((YEAR($A73)-YEAR('Recurring Schedule'!$F$23))*12+MONTH($A73)-MONTH('Recurring Schedule'!$F$23),'Recurring Schedule'!$O$23)=0),IF('Recurring Schedule'!$E$23="Weekdays",WEEKDAY($A73,2)&lt;=5,$A73='Recurring Schedule'!$F$23))),18,""))))</f>
        <v/>
      </c>
      <c r="T73">
        <f>IF('Recurring Schedule'!$C$24="","",IF('Recurring Schedule'!$F$24="","",IF(OR($A73&lt;'Recurring Schedule'!$F$24,$A73&gt;'Recurring Schedule'!$P$24),"",IF(IF('Recurring Schedule'!$N$24&gt;0,MOD($A73-'Recurring Schedule'!$F$24,'Recurring Schedule'!$N$24)=0,IF('Recurring Schedule'!$O$24&gt;0,AND(DAY($A73)=MIN(DAY('Recurring Schedule'!$F$24),DAY(EOMONTH($A73,0))),MOD((YEAR($A73)-YEAR('Recurring Schedule'!$F$24))*12+MONTH($A73)-MONTH('Recurring Schedule'!$F$24),'Recurring Schedule'!$O$24)=0),IF('Recurring Schedule'!$E$24="Weekdays",WEEKDAY($A73,2)&lt;=5,$A73='Recurring Schedule'!$F$24))),19,""))))</f>
        <v/>
      </c>
      <c r="U73">
        <f>IF('Recurring Schedule'!$C$25="","",IF('Recurring Schedule'!$F$25="","",IF(OR($A73&lt;'Recurring Schedule'!$F$25,$A73&gt;'Recurring Schedule'!$P$25),"",IF(IF('Recurring Schedule'!$N$25&gt;0,MOD($A73-'Recurring Schedule'!$F$25,'Recurring Schedule'!$N$25)=0,IF('Recurring Schedule'!$O$25&gt;0,AND(DAY($A73)=MIN(DAY('Recurring Schedule'!$F$25),DAY(EOMONTH($A73,0))),MOD((YEAR($A73)-YEAR('Recurring Schedule'!$F$25))*12+MONTH($A73)-MONTH('Recurring Schedule'!$F$25),'Recurring Schedule'!$O$25)=0),IF('Recurring Schedule'!$E$25="Weekdays",WEEKDAY($A73,2)&lt;=5,$A73='Recurring Schedule'!$F$25))),20,""))))</f>
        <v/>
      </c>
      <c r="V73">
        <f>IF('Recurring Schedule'!$C$26="","",IF('Recurring Schedule'!$F$26="","",IF(OR($A73&lt;'Recurring Schedule'!$F$26,$A73&gt;'Recurring Schedule'!$P$26),"",IF(IF('Recurring Schedule'!$N$26&gt;0,MOD($A73-'Recurring Schedule'!$F$26,'Recurring Schedule'!$N$26)=0,IF('Recurring Schedule'!$O$26&gt;0,AND(DAY($A73)=MIN(DAY('Recurring Schedule'!$F$26),DAY(EOMONTH($A73,0))),MOD((YEAR($A73)-YEAR('Recurring Schedule'!$F$26))*12+MONTH($A73)-MONTH('Recurring Schedule'!$F$26),'Recurring Schedule'!$O$26)=0),IF('Recurring Schedule'!$E$26="Weekdays",WEEKDAY($A73,2)&lt;=5,$A73='Recurring Schedule'!$F$26))),21,""))))</f>
        <v/>
      </c>
      <c r="W73">
        <f>IF('Recurring Schedule'!$C$27="","",IF('Recurring Schedule'!$F$27="","",IF(OR($A73&lt;'Recurring Schedule'!$F$27,$A73&gt;'Recurring Schedule'!$P$27),"",IF(IF('Recurring Schedule'!$N$27&gt;0,MOD($A73-'Recurring Schedule'!$F$27,'Recurring Schedule'!$N$27)=0,IF('Recurring Schedule'!$O$27&gt;0,AND(DAY($A73)=MIN(DAY('Recurring Schedule'!$F$27),DAY(EOMONTH($A73,0))),MOD((YEAR($A73)-YEAR('Recurring Schedule'!$F$27))*12+MONTH($A73)-MONTH('Recurring Schedule'!$F$27),'Recurring Schedule'!$O$27)=0),IF('Recurring Schedule'!$E$27="Weekdays",WEEKDAY($A73,2)&lt;=5,$A73='Recurring Schedule'!$F$27))),22,""))))</f>
        <v/>
      </c>
      <c r="X73">
        <f>IF('Recurring Schedule'!$C$28="","",IF('Recurring Schedule'!$F$28="","",IF(OR($A73&lt;'Recurring Schedule'!$F$28,$A73&gt;'Recurring Schedule'!$P$28),"",IF(IF('Recurring Schedule'!$N$28&gt;0,MOD($A73-'Recurring Schedule'!$F$28,'Recurring Schedule'!$N$28)=0,IF('Recurring Schedule'!$O$28&gt;0,AND(DAY($A73)=MIN(DAY('Recurring Schedule'!$F$28),DAY(EOMONTH($A73,0))),MOD((YEAR($A73)-YEAR('Recurring Schedule'!$F$28))*12+MONTH($A73)-MONTH('Recurring Schedule'!$F$28),'Recurring Schedule'!$O$28)=0),IF('Recurring Schedule'!$E$28="Weekdays",WEEKDAY($A73,2)&lt;=5,$A73='Recurring Schedule'!$F$28))),23,""))))</f>
        <v/>
      </c>
      <c r="Y73">
        <f>IF('Recurring Schedule'!$C$29="","",IF('Recurring Schedule'!$F$29="","",IF(OR($A73&lt;'Recurring Schedule'!$F$29,$A73&gt;'Recurring Schedule'!$P$29),"",IF(IF('Recurring Schedule'!$N$29&gt;0,MOD($A73-'Recurring Schedule'!$F$29,'Recurring Schedule'!$N$29)=0,IF('Recurring Schedule'!$O$29&gt;0,AND(DAY($A73)=MIN(DAY('Recurring Schedule'!$F$29),DAY(EOMONTH($A73,0))),MOD((YEAR($A73)-YEAR('Recurring Schedule'!$F$29))*12+MONTH($A73)-MONTH('Recurring Schedule'!$F$29),'Recurring Schedule'!$O$29)=0),IF('Recurring Schedule'!$E$29="Weekdays",WEEKDAY($A73,2)&lt;=5,$A73='Recurring Schedule'!$F$29))),24,""))))</f>
        <v/>
      </c>
      <c r="Z73">
        <f>IF('Recurring Schedule'!$C$30="","",IF('Recurring Schedule'!$F$30="","",IF(OR($A73&lt;'Recurring Schedule'!$F$30,$A73&gt;'Recurring Schedule'!$P$30),"",IF(IF('Recurring Schedule'!$N$30&gt;0,MOD($A73-'Recurring Schedule'!$F$30,'Recurring Schedule'!$N$30)=0,IF('Recurring Schedule'!$O$30&gt;0,AND(DAY($A73)=MIN(DAY('Recurring Schedule'!$F$30),DAY(EOMONTH($A73,0))),MOD((YEAR($A73)-YEAR('Recurring Schedule'!$F$30))*12+MONTH($A73)-MONTH('Recurring Schedule'!$F$30),'Recurring Schedule'!$O$30)=0),IF('Recurring Schedule'!$E$30="Weekdays",WEEKDAY($A73,2)&lt;=5,$A73='Recurring Schedule'!$F$30))),25,""))))</f>
        <v/>
      </c>
      <c r="AA73">
        <f>IF('Recurring Schedule'!$C$31="","",IF('Recurring Schedule'!$F$31="","",IF(OR($A73&lt;'Recurring Schedule'!$F$31,$A73&gt;'Recurring Schedule'!$P$31),"",IF(IF('Recurring Schedule'!$N$31&gt;0,MOD($A73-'Recurring Schedule'!$F$31,'Recurring Schedule'!$N$31)=0,IF('Recurring Schedule'!$O$31&gt;0,AND(DAY($A73)=MIN(DAY('Recurring Schedule'!$F$31),DAY(EOMONTH($A73,0))),MOD((YEAR($A73)-YEAR('Recurring Schedule'!$F$31))*12+MONTH($A73)-MONTH('Recurring Schedule'!$F$31),'Recurring Schedule'!$O$31)=0),IF('Recurring Schedule'!$E$31="Weekdays",WEEKDAY($A73,2)&lt;=5,$A73='Recurring Schedule'!$F$31))),26,""))))</f>
        <v/>
      </c>
      <c r="AB73">
        <f>IF('Recurring Schedule'!$C$32="","",IF('Recurring Schedule'!$F$32="","",IF(OR($A73&lt;'Recurring Schedule'!$F$32,$A73&gt;'Recurring Schedule'!$P$32),"",IF(IF('Recurring Schedule'!$N$32&gt;0,MOD($A73-'Recurring Schedule'!$F$32,'Recurring Schedule'!$N$32)=0,IF('Recurring Schedule'!$O$32&gt;0,AND(DAY($A73)=MIN(DAY('Recurring Schedule'!$F$32),DAY(EOMONTH($A73,0))),MOD((YEAR($A73)-YEAR('Recurring Schedule'!$F$32))*12+MONTH($A73)-MONTH('Recurring Schedule'!$F$32),'Recurring Schedule'!$O$32)=0),IF('Recurring Schedule'!$E$32="Weekdays",WEEKDAY($A73,2)&lt;=5,$A73='Recurring Schedule'!$F$32))),27,""))))</f>
        <v/>
      </c>
      <c r="AC73">
        <f>IF('Recurring Schedule'!$C$33="","",IF('Recurring Schedule'!$F$33="","",IF(OR($A73&lt;'Recurring Schedule'!$F$33,$A73&gt;'Recurring Schedule'!$P$33),"",IF(IF('Recurring Schedule'!$N$33&gt;0,MOD($A73-'Recurring Schedule'!$F$33,'Recurring Schedule'!$N$33)=0,IF('Recurring Schedule'!$O$33&gt;0,AND(DAY($A73)=MIN(DAY('Recurring Schedule'!$F$33),DAY(EOMONTH($A73,0))),MOD((YEAR($A73)-YEAR('Recurring Schedule'!$F$33))*12+MONTH($A73)-MONTH('Recurring Schedule'!$F$33),'Recurring Schedule'!$O$33)=0),IF('Recurring Schedule'!$E$33="Weekdays",WEEKDAY($A73,2)&lt;=5,$A73='Recurring Schedule'!$F$33))),28,""))))</f>
        <v/>
      </c>
      <c r="AD73">
        <f>IF('Recurring Schedule'!$C$34="","",IF('Recurring Schedule'!$F$34="","",IF(OR($A73&lt;'Recurring Schedule'!$F$34,$A73&gt;'Recurring Schedule'!$P$34),"",IF(IF('Recurring Schedule'!$N$34&gt;0,MOD($A73-'Recurring Schedule'!$F$34,'Recurring Schedule'!$N$34)=0,IF('Recurring Schedule'!$O$34&gt;0,AND(DAY($A73)=MIN(DAY('Recurring Schedule'!$F$34),DAY(EOMONTH($A73,0))),MOD((YEAR($A73)-YEAR('Recurring Schedule'!$F$34))*12+MONTH($A73)-MONTH('Recurring Schedule'!$F$34),'Recurring Schedule'!$O$34)=0),IF('Recurring Schedule'!$E$34="Weekdays",WEEKDAY($A73,2)&lt;=5,$A73='Recurring Schedule'!$F$34))),29,""))))</f>
        <v/>
      </c>
      <c r="AE73">
        <f>IF('Recurring Schedule'!$C$35="","",IF('Recurring Schedule'!$F$35="","",IF(OR($A73&lt;'Recurring Schedule'!$F$35,$A73&gt;'Recurring Schedule'!$P$35),"",IF(IF('Recurring Schedule'!$N$35&gt;0,MOD($A73-'Recurring Schedule'!$F$35,'Recurring Schedule'!$N$35)=0,IF('Recurring Schedule'!$O$35&gt;0,AND(DAY($A73)=MIN(DAY('Recurring Schedule'!$F$35),DAY(EOMONTH($A73,0))),MOD((YEAR($A73)-YEAR('Recurring Schedule'!$F$35))*12+MONTH($A73)-MONTH('Recurring Schedule'!$F$35),'Recurring Schedule'!$O$35)=0),IF('Recurring Schedule'!$E$35="Weekdays",WEEKDAY($A73,2)&lt;=5,$A73='Recurring Schedule'!$F$35))),30,""))))</f>
        <v/>
      </c>
      <c r="AF73">
        <f>IF('Recurring Schedule'!$C$36="","",IF('Recurring Schedule'!$F$36="","",IF(OR($A73&lt;'Recurring Schedule'!$F$36,$A73&gt;'Recurring Schedule'!$P$36),"",IF(IF('Recurring Schedule'!$N$36&gt;0,MOD($A73-'Recurring Schedule'!$F$36,'Recurring Schedule'!$N$36)=0,IF('Recurring Schedule'!$O$36&gt;0,AND(DAY($A73)=MIN(DAY('Recurring Schedule'!$F$36),DAY(EOMONTH($A73,0))),MOD((YEAR($A73)-YEAR('Recurring Schedule'!$F$36))*12+MONTH($A73)-MONTH('Recurring Schedule'!$F$36),'Recurring Schedule'!$O$36)=0),IF('Recurring Schedule'!$E$36="Weekdays",WEEKDAY($A73,2)&lt;=5,$A73='Recurring Schedule'!$F$36))),31,""))))</f>
        <v/>
      </c>
      <c r="AG73">
        <f>IF('Recurring Schedule'!$C$37="","",IF('Recurring Schedule'!$F$37="","",IF(OR($A73&lt;'Recurring Schedule'!$F$37,$A73&gt;'Recurring Schedule'!$P$37),"",IF(IF('Recurring Schedule'!$N$37&gt;0,MOD($A73-'Recurring Schedule'!$F$37,'Recurring Schedule'!$N$37)=0,IF('Recurring Schedule'!$O$37&gt;0,AND(DAY($A73)=MIN(DAY('Recurring Schedule'!$F$37),DAY(EOMONTH($A73,0))),MOD((YEAR($A73)-YEAR('Recurring Schedule'!$F$37))*12+MONTH($A73)-MONTH('Recurring Schedule'!$F$37),'Recurring Schedule'!$O$37)=0),IF('Recurring Schedule'!$E$37="Weekdays",WEEKDAY($A73,2)&lt;=5,$A73='Recurring Schedule'!$F$37))),32,""))))</f>
        <v/>
      </c>
      <c r="AH73">
        <f>IF('Recurring Schedule'!$C$38="","",IF('Recurring Schedule'!$F$38="","",IF(OR($A73&lt;'Recurring Schedule'!$F$38,$A73&gt;'Recurring Schedule'!$P$38),"",IF(IF('Recurring Schedule'!$N$38&gt;0,MOD($A73-'Recurring Schedule'!$F$38,'Recurring Schedule'!$N$38)=0,IF('Recurring Schedule'!$O$38&gt;0,AND(DAY($A73)=MIN(DAY('Recurring Schedule'!$F$38),DAY(EOMONTH($A73,0))),MOD((YEAR($A73)-YEAR('Recurring Schedule'!$F$38))*12+MONTH($A73)-MONTH('Recurring Schedule'!$F$38),'Recurring Schedule'!$O$38)=0),IF('Recurring Schedule'!$E$38="Weekdays",WEEKDAY($A73,2)&lt;=5,$A73='Recurring Schedule'!$F$38))),33,""))))</f>
        <v/>
      </c>
      <c r="AI73">
        <f>IF('Recurring Schedule'!$C$39="","",IF('Recurring Schedule'!$F$39="","",IF(OR($A73&lt;'Recurring Schedule'!$F$39,$A73&gt;'Recurring Schedule'!$P$39),"",IF(IF('Recurring Schedule'!$N$39&gt;0,MOD($A73-'Recurring Schedule'!$F$39,'Recurring Schedule'!$N$39)=0,IF('Recurring Schedule'!$O$39&gt;0,AND(DAY($A73)=MIN(DAY('Recurring Schedule'!$F$39),DAY(EOMONTH($A73,0))),MOD((YEAR($A73)-YEAR('Recurring Schedule'!$F$39))*12+MONTH($A73)-MONTH('Recurring Schedule'!$F$39),'Recurring Schedule'!$O$39)=0),IF('Recurring Schedule'!$E$39="Weekdays",WEEKDAY($A73,2)&lt;=5,$A73='Recurring Schedule'!$F$39))),34,""))))</f>
        <v/>
      </c>
      <c r="AJ73">
        <f>IF('Recurring Schedule'!$C$40="","",IF('Recurring Schedule'!$F$40="","",IF(OR($A73&lt;'Recurring Schedule'!$F$40,$A73&gt;'Recurring Schedule'!$P$40),"",IF(IF('Recurring Schedule'!$N$40&gt;0,MOD($A73-'Recurring Schedule'!$F$40,'Recurring Schedule'!$N$40)=0,IF('Recurring Schedule'!$O$40&gt;0,AND(DAY($A73)=MIN(DAY('Recurring Schedule'!$F$40),DAY(EOMONTH($A73,0))),MOD((YEAR($A73)-YEAR('Recurring Schedule'!$F$40))*12+MONTH($A73)-MONTH('Recurring Schedule'!$F$40),'Recurring Schedule'!$O$40)=0),IF('Recurring Schedule'!$E$40="Weekdays",WEEKDAY($A73,2)&lt;=5,$A73='Recurring Schedule'!$F$40))),35,""))))</f>
        <v/>
      </c>
      <c r="AK73">
        <f>IF('Recurring Schedule'!$C$41="","",IF('Recurring Schedule'!$F$41="","",IF(OR($A73&lt;'Recurring Schedule'!$F$41,$A73&gt;'Recurring Schedule'!$P$41),"",IF(IF('Recurring Schedule'!$N$41&gt;0,MOD($A73-'Recurring Schedule'!$F$41,'Recurring Schedule'!$N$41)=0,IF('Recurring Schedule'!$O$41&gt;0,AND(DAY($A73)=MIN(DAY('Recurring Schedule'!$F$41),DAY(EOMONTH($A73,0))),MOD((YEAR($A73)-YEAR('Recurring Schedule'!$F$41))*12+MONTH($A73)-MONTH('Recurring Schedule'!$F$41),'Recurring Schedule'!$O$41)=0),IF('Recurring Schedule'!$E$41="Weekdays",WEEKDAY($A73,2)&lt;=5,$A73='Recurring Schedule'!$F$41))),36,""))))</f>
        <v/>
      </c>
      <c r="AL73">
        <f>IF('Recurring Schedule'!$C$42="","",IF('Recurring Schedule'!$F$42="","",IF(OR($A73&lt;'Recurring Schedule'!$F$42,$A73&gt;'Recurring Schedule'!$P$42),"",IF(IF('Recurring Schedule'!$N$42&gt;0,MOD($A73-'Recurring Schedule'!$F$42,'Recurring Schedule'!$N$42)=0,IF('Recurring Schedule'!$O$42&gt;0,AND(DAY($A73)=MIN(DAY('Recurring Schedule'!$F$42),DAY(EOMONTH($A73,0))),MOD((YEAR($A73)-YEAR('Recurring Schedule'!$F$42))*12+MONTH($A73)-MONTH('Recurring Schedule'!$F$42),'Recurring Schedule'!$O$42)=0),IF('Recurring Schedule'!$E$42="Weekdays",WEEKDAY($A73,2)&lt;=5,$A73='Recurring Schedule'!$F$42))),37,""))))</f>
        <v/>
      </c>
      <c r="AM73">
        <f>IF('Recurring Schedule'!$C$43="","",IF('Recurring Schedule'!$F$43="","",IF(OR($A73&lt;'Recurring Schedule'!$F$43,$A73&gt;'Recurring Schedule'!$P$43),"",IF(IF('Recurring Schedule'!$N$43&gt;0,MOD($A73-'Recurring Schedule'!$F$43,'Recurring Schedule'!$N$43)=0,IF('Recurring Schedule'!$O$43&gt;0,AND(DAY($A73)=MIN(DAY('Recurring Schedule'!$F$43),DAY(EOMONTH($A73,0))),MOD((YEAR($A73)-YEAR('Recurring Schedule'!$F$43))*12+MONTH($A73)-MONTH('Recurring Schedule'!$F$43),'Recurring Schedule'!$O$43)=0),IF('Recurring Schedule'!$E$43="Weekdays",WEEKDAY($A73,2)&lt;=5,$A73='Recurring Schedule'!$F$43))),38,""))))</f>
        <v/>
      </c>
      <c r="AN73">
        <f>IF('Recurring Schedule'!$C$44="","",IF('Recurring Schedule'!$F$44="","",IF(OR($A73&lt;'Recurring Schedule'!$F$44,$A73&gt;'Recurring Schedule'!$P$44),"",IF(IF('Recurring Schedule'!$N$44&gt;0,MOD($A73-'Recurring Schedule'!$F$44,'Recurring Schedule'!$N$44)=0,IF('Recurring Schedule'!$O$44&gt;0,AND(DAY($A73)=MIN(DAY('Recurring Schedule'!$F$44),DAY(EOMONTH($A73,0))),MOD((YEAR($A73)-YEAR('Recurring Schedule'!$F$44))*12+MONTH($A73)-MONTH('Recurring Schedule'!$F$44),'Recurring Schedule'!$O$44)=0),IF('Recurring Schedule'!$E$44="Weekdays",WEEKDAY($A73,2)&lt;=5,$A73='Recurring Schedule'!$F$44))),39,""))))</f>
        <v/>
      </c>
      <c r="AO73">
        <f>IF('Recurring Schedule'!$C$45="","",IF('Recurring Schedule'!$F$45="","",IF(OR($A73&lt;'Recurring Schedule'!$F$45,$A73&gt;'Recurring Schedule'!$P$45),"",IF(IF('Recurring Schedule'!$N$45&gt;0,MOD($A73-'Recurring Schedule'!$F$45,'Recurring Schedule'!$N$45)=0,IF('Recurring Schedule'!$O$45&gt;0,AND(DAY($A73)=MIN(DAY('Recurring Schedule'!$F$45),DAY(EOMONTH($A73,0))),MOD((YEAR($A73)-YEAR('Recurring Schedule'!$F$45))*12+MONTH($A73)-MONTH('Recurring Schedule'!$F$45),'Recurring Schedule'!$O$45)=0),IF('Recurring Schedule'!$E$45="Weekdays",WEEKDAY($A73,2)&lt;=5,$A73='Recurring Schedule'!$F$45))),40,""))))</f>
        <v/>
      </c>
      <c r="AP73">
        <f>COUNT(B73:AO73)</f>
        <v/>
      </c>
      <c r="AQ73">
        <f>AQ72+AP72</f>
        <v/>
      </c>
      <c r="AS73" t="inlineStr">
        <is>
          <t>R</t>
        </is>
      </c>
      <c r="AT73" t="n">
        <v>77</v>
      </c>
      <c r="AU73">
        <f>'Recurring Log'!C77&amp;""</f>
        <v/>
      </c>
      <c r="AV73">
        <f>'Recurring Log'!D77&amp;""</f>
        <v/>
      </c>
      <c r="AW73">
        <f>IF('Recurring Log'!E77="","",'Recurring Log'!E77)</f>
        <v/>
      </c>
      <c r="AX73">
        <f>IF('Recurring Log'!G77="","",'Recurring Log'!G77)</f>
        <v/>
      </c>
      <c r="AY73">
        <f>IF('Recurring Log'!H77="","",'Recurring Log'!H77)</f>
        <v/>
      </c>
      <c r="AZ73">
        <f>IF(AU73="","",IF('Recurring Log'!J77="","Not Started",'Recurring Log'!J77))</f>
        <v/>
      </c>
      <c r="BA73">
        <f>'Recurring Log'!L77&amp;""</f>
        <v/>
      </c>
      <c r="BB73">
        <f>'Recurring Log'!M77&amp;""</f>
        <v/>
      </c>
      <c r="BC73">
        <f>'Recurring Log'!N77&amp;""</f>
        <v/>
      </c>
      <c r="BD73">
        <f>'Recurring Log'!O77&amp;""</f>
        <v/>
      </c>
      <c r="BE73">
        <f>IF('Recurring Log'!K77="","",'Recurring Log'!K77)</f>
        <v/>
      </c>
      <c r="BF73">
        <f>IFERROR(MATCH(BA73,Setup!$L$6:$L$9,0),5)</f>
        <v/>
      </c>
      <c r="BG73">
        <f>IF(OR(AZ73="Done",AZ73="Cancelled"),1,0)</f>
        <v/>
      </c>
      <c r="BH73">
        <f>IF(AND(AU73&lt;&gt;"",ISNUMBER(AW73)),1,0)</f>
        <v/>
      </c>
      <c r="BI73">
        <f>IF(BH73=0,0,IF(AND(AW73&gt;='Tasks Filter'!$F$3,AW73&lt;='Tasks Filter'!$F$4,OR('Tasks Filter'!$I$3="",ISNUMBER(SEARCH('Tasks Filter'!$I$3,AU73))),OR('Tasks Filter'!$I$4="",BF73=IFERROR(MATCH('Tasks Filter'!$I$4,Setup!$L$6:$L$9,0),0)),OR('Tasks Filter'!$I$5="Both",AND('Tasks Filter'!$I$5="Yes",BB73="✓"),AND('Tasks Filter'!$I$5="No",BB73&lt;&gt;"✓")),OR('Tasks Filter'!$L$3="",AV73='Tasks Filter'!$L$3),OR('Tasks Filter'!$L$4="",AZ73='Tasks Filter'!$L$4),OR('Tasks Filter'!$L$5="",BC73='Tasks Filter'!$L$5),OR('Tasks Filter'!$O$3="",BD73='Tasks Filter'!$O$3),OR('Tasks Filter'!$O$4="Yes",BG73=0)),1,0))</f>
        <v/>
      </c>
      <c r="BJ73">
        <f>IF(BH73=0,"",IF('Tasks Filter'!$F$6="Descending",-1,1)*CHOOSE(MATCH('Tasks Filter'!$F$5,Lists!$G$2:$G$6,0),AW73,BF73,IFERROR(MATCH(AV73,Setup!$F$6:$F$15,0),99),IFERROR(MATCH(BC73,Setup!$H$6:$H$15,0),99),IFERROR(MATCH(AZ73,Setup!$J$6:$J$11,0),99))*1E+9+(AW73-40000)*10000+72)</f>
        <v/>
      </c>
      <c r="BK73">
        <f>IF(BI73=1,BJ73,"")</f>
        <v/>
      </c>
      <c r="BL73">
        <f>IF(AND(BH73=1,BG73=0,N(AW73)&lt;Setup!$D$7),(AW73-40000)*10000+72,"")</f>
        <v/>
      </c>
      <c r="BM73">
        <f>IF(AND(BH73=1,AZ73&lt;&gt;"Cancelled",N(AW73)&gt;=Dashboard!$AB$3,N(AW73)&lt;=Dashboard!$AB$3+6),(AW73-40000)*100000+BF73*10000+72,"")</f>
        <v/>
      </c>
      <c r="BN73">
        <f>IF(AND(BH73=1,AZ73&lt;&gt;"Cancelled"),BF73*10000+72,"")</f>
        <v/>
      </c>
    </row>
    <row r="74">
      <c r="A74">
        <f>Setup!$D$5+72</f>
        <v/>
      </c>
      <c r="B74">
        <f>IF('Recurring Schedule'!$C$6="","",IF('Recurring Schedule'!$F$6="","",IF(OR($A74&lt;'Recurring Schedule'!$F$6,$A74&gt;'Recurring Schedule'!$P$6),"",IF(IF('Recurring Schedule'!$N$6&gt;0,MOD($A74-'Recurring Schedule'!$F$6,'Recurring Schedule'!$N$6)=0,IF('Recurring Schedule'!$O$6&gt;0,AND(DAY($A74)=MIN(DAY('Recurring Schedule'!$F$6),DAY(EOMONTH($A74,0))),MOD((YEAR($A74)-YEAR('Recurring Schedule'!$F$6))*12+MONTH($A74)-MONTH('Recurring Schedule'!$F$6),'Recurring Schedule'!$O$6)=0),IF('Recurring Schedule'!$E$6="Weekdays",WEEKDAY($A74,2)&lt;=5,$A74='Recurring Schedule'!$F$6))),1,""))))</f>
        <v/>
      </c>
      <c r="C74">
        <f>IF('Recurring Schedule'!$C$7="","",IF('Recurring Schedule'!$F$7="","",IF(OR($A74&lt;'Recurring Schedule'!$F$7,$A74&gt;'Recurring Schedule'!$P$7),"",IF(IF('Recurring Schedule'!$N$7&gt;0,MOD($A74-'Recurring Schedule'!$F$7,'Recurring Schedule'!$N$7)=0,IF('Recurring Schedule'!$O$7&gt;0,AND(DAY($A74)=MIN(DAY('Recurring Schedule'!$F$7),DAY(EOMONTH($A74,0))),MOD((YEAR($A74)-YEAR('Recurring Schedule'!$F$7))*12+MONTH($A74)-MONTH('Recurring Schedule'!$F$7),'Recurring Schedule'!$O$7)=0),IF('Recurring Schedule'!$E$7="Weekdays",WEEKDAY($A74,2)&lt;=5,$A74='Recurring Schedule'!$F$7))),2,""))))</f>
        <v/>
      </c>
      <c r="D74">
        <f>IF('Recurring Schedule'!$C$8="","",IF('Recurring Schedule'!$F$8="","",IF(OR($A74&lt;'Recurring Schedule'!$F$8,$A74&gt;'Recurring Schedule'!$P$8),"",IF(IF('Recurring Schedule'!$N$8&gt;0,MOD($A74-'Recurring Schedule'!$F$8,'Recurring Schedule'!$N$8)=0,IF('Recurring Schedule'!$O$8&gt;0,AND(DAY($A74)=MIN(DAY('Recurring Schedule'!$F$8),DAY(EOMONTH($A74,0))),MOD((YEAR($A74)-YEAR('Recurring Schedule'!$F$8))*12+MONTH($A74)-MONTH('Recurring Schedule'!$F$8),'Recurring Schedule'!$O$8)=0),IF('Recurring Schedule'!$E$8="Weekdays",WEEKDAY($A74,2)&lt;=5,$A74='Recurring Schedule'!$F$8))),3,""))))</f>
        <v/>
      </c>
      <c r="E74">
        <f>IF('Recurring Schedule'!$C$9="","",IF('Recurring Schedule'!$F$9="","",IF(OR($A74&lt;'Recurring Schedule'!$F$9,$A74&gt;'Recurring Schedule'!$P$9),"",IF(IF('Recurring Schedule'!$N$9&gt;0,MOD($A74-'Recurring Schedule'!$F$9,'Recurring Schedule'!$N$9)=0,IF('Recurring Schedule'!$O$9&gt;0,AND(DAY($A74)=MIN(DAY('Recurring Schedule'!$F$9),DAY(EOMONTH($A74,0))),MOD((YEAR($A74)-YEAR('Recurring Schedule'!$F$9))*12+MONTH($A74)-MONTH('Recurring Schedule'!$F$9),'Recurring Schedule'!$O$9)=0),IF('Recurring Schedule'!$E$9="Weekdays",WEEKDAY($A74,2)&lt;=5,$A74='Recurring Schedule'!$F$9))),4,""))))</f>
        <v/>
      </c>
      <c r="F74">
        <f>IF('Recurring Schedule'!$C$10="","",IF('Recurring Schedule'!$F$10="","",IF(OR($A74&lt;'Recurring Schedule'!$F$10,$A74&gt;'Recurring Schedule'!$P$10),"",IF(IF('Recurring Schedule'!$N$10&gt;0,MOD($A74-'Recurring Schedule'!$F$10,'Recurring Schedule'!$N$10)=0,IF('Recurring Schedule'!$O$10&gt;0,AND(DAY($A74)=MIN(DAY('Recurring Schedule'!$F$10),DAY(EOMONTH($A74,0))),MOD((YEAR($A74)-YEAR('Recurring Schedule'!$F$10))*12+MONTH($A74)-MONTH('Recurring Schedule'!$F$10),'Recurring Schedule'!$O$10)=0),IF('Recurring Schedule'!$E$10="Weekdays",WEEKDAY($A74,2)&lt;=5,$A74='Recurring Schedule'!$F$10))),5,""))))</f>
        <v/>
      </c>
      <c r="G74">
        <f>IF('Recurring Schedule'!$C$11="","",IF('Recurring Schedule'!$F$11="","",IF(OR($A74&lt;'Recurring Schedule'!$F$11,$A74&gt;'Recurring Schedule'!$P$11),"",IF(IF('Recurring Schedule'!$N$11&gt;0,MOD($A74-'Recurring Schedule'!$F$11,'Recurring Schedule'!$N$11)=0,IF('Recurring Schedule'!$O$11&gt;0,AND(DAY($A74)=MIN(DAY('Recurring Schedule'!$F$11),DAY(EOMONTH($A74,0))),MOD((YEAR($A74)-YEAR('Recurring Schedule'!$F$11))*12+MONTH($A74)-MONTH('Recurring Schedule'!$F$11),'Recurring Schedule'!$O$11)=0),IF('Recurring Schedule'!$E$11="Weekdays",WEEKDAY($A74,2)&lt;=5,$A74='Recurring Schedule'!$F$11))),6,""))))</f>
        <v/>
      </c>
      <c r="H74">
        <f>IF('Recurring Schedule'!$C$12="","",IF('Recurring Schedule'!$F$12="","",IF(OR($A74&lt;'Recurring Schedule'!$F$12,$A74&gt;'Recurring Schedule'!$P$12),"",IF(IF('Recurring Schedule'!$N$12&gt;0,MOD($A74-'Recurring Schedule'!$F$12,'Recurring Schedule'!$N$12)=0,IF('Recurring Schedule'!$O$12&gt;0,AND(DAY($A74)=MIN(DAY('Recurring Schedule'!$F$12),DAY(EOMONTH($A74,0))),MOD((YEAR($A74)-YEAR('Recurring Schedule'!$F$12))*12+MONTH($A74)-MONTH('Recurring Schedule'!$F$12),'Recurring Schedule'!$O$12)=0),IF('Recurring Schedule'!$E$12="Weekdays",WEEKDAY($A74,2)&lt;=5,$A74='Recurring Schedule'!$F$12))),7,""))))</f>
        <v/>
      </c>
      <c r="I74">
        <f>IF('Recurring Schedule'!$C$13="","",IF('Recurring Schedule'!$F$13="","",IF(OR($A74&lt;'Recurring Schedule'!$F$13,$A74&gt;'Recurring Schedule'!$P$13),"",IF(IF('Recurring Schedule'!$N$13&gt;0,MOD($A74-'Recurring Schedule'!$F$13,'Recurring Schedule'!$N$13)=0,IF('Recurring Schedule'!$O$13&gt;0,AND(DAY($A74)=MIN(DAY('Recurring Schedule'!$F$13),DAY(EOMONTH($A74,0))),MOD((YEAR($A74)-YEAR('Recurring Schedule'!$F$13))*12+MONTH($A74)-MONTH('Recurring Schedule'!$F$13),'Recurring Schedule'!$O$13)=0),IF('Recurring Schedule'!$E$13="Weekdays",WEEKDAY($A74,2)&lt;=5,$A74='Recurring Schedule'!$F$13))),8,""))))</f>
        <v/>
      </c>
      <c r="J74">
        <f>IF('Recurring Schedule'!$C$14="","",IF('Recurring Schedule'!$F$14="","",IF(OR($A74&lt;'Recurring Schedule'!$F$14,$A74&gt;'Recurring Schedule'!$P$14),"",IF(IF('Recurring Schedule'!$N$14&gt;0,MOD($A74-'Recurring Schedule'!$F$14,'Recurring Schedule'!$N$14)=0,IF('Recurring Schedule'!$O$14&gt;0,AND(DAY($A74)=MIN(DAY('Recurring Schedule'!$F$14),DAY(EOMONTH($A74,0))),MOD((YEAR($A74)-YEAR('Recurring Schedule'!$F$14))*12+MONTH($A74)-MONTH('Recurring Schedule'!$F$14),'Recurring Schedule'!$O$14)=0),IF('Recurring Schedule'!$E$14="Weekdays",WEEKDAY($A74,2)&lt;=5,$A74='Recurring Schedule'!$F$14))),9,""))))</f>
        <v/>
      </c>
      <c r="K74">
        <f>IF('Recurring Schedule'!$C$15="","",IF('Recurring Schedule'!$F$15="","",IF(OR($A74&lt;'Recurring Schedule'!$F$15,$A74&gt;'Recurring Schedule'!$P$15),"",IF(IF('Recurring Schedule'!$N$15&gt;0,MOD($A74-'Recurring Schedule'!$F$15,'Recurring Schedule'!$N$15)=0,IF('Recurring Schedule'!$O$15&gt;0,AND(DAY($A74)=MIN(DAY('Recurring Schedule'!$F$15),DAY(EOMONTH($A74,0))),MOD((YEAR($A74)-YEAR('Recurring Schedule'!$F$15))*12+MONTH($A74)-MONTH('Recurring Schedule'!$F$15),'Recurring Schedule'!$O$15)=0),IF('Recurring Schedule'!$E$15="Weekdays",WEEKDAY($A74,2)&lt;=5,$A74='Recurring Schedule'!$F$15))),10,""))))</f>
        <v/>
      </c>
      <c r="L74">
        <f>IF('Recurring Schedule'!$C$16="","",IF('Recurring Schedule'!$F$16="","",IF(OR($A74&lt;'Recurring Schedule'!$F$16,$A74&gt;'Recurring Schedule'!$P$16),"",IF(IF('Recurring Schedule'!$N$16&gt;0,MOD($A74-'Recurring Schedule'!$F$16,'Recurring Schedule'!$N$16)=0,IF('Recurring Schedule'!$O$16&gt;0,AND(DAY($A74)=MIN(DAY('Recurring Schedule'!$F$16),DAY(EOMONTH($A74,0))),MOD((YEAR($A74)-YEAR('Recurring Schedule'!$F$16))*12+MONTH($A74)-MONTH('Recurring Schedule'!$F$16),'Recurring Schedule'!$O$16)=0),IF('Recurring Schedule'!$E$16="Weekdays",WEEKDAY($A74,2)&lt;=5,$A74='Recurring Schedule'!$F$16))),11,""))))</f>
        <v/>
      </c>
      <c r="M74">
        <f>IF('Recurring Schedule'!$C$17="","",IF('Recurring Schedule'!$F$17="","",IF(OR($A74&lt;'Recurring Schedule'!$F$17,$A74&gt;'Recurring Schedule'!$P$17),"",IF(IF('Recurring Schedule'!$N$17&gt;0,MOD($A74-'Recurring Schedule'!$F$17,'Recurring Schedule'!$N$17)=0,IF('Recurring Schedule'!$O$17&gt;0,AND(DAY($A74)=MIN(DAY('Recurring Schedule'!$F$17),DAY(EOMONTH($A74,0))),MOD((YEAR($A74)-YEAR('Recurring Schedule'!$F$17))*12+MONTH($A74)-MONTH('Recurring Schedule'!$F$17),'Recurring Schedule'!$O$17)=0),IF('Recurring Schedule'!$E$17="Weekdays",WEEKDAY($A74,2)&lt;=5,$A74='Recurring Schedule'!$F$17))),12,""))))</f>
        <v/>
      </c>
      <c r="N74">
        <f>IF('Recurring Schedule'!$C$18="","",IF('Recurring Schedule'!$F$18="","",IF(OR($A74&lt;'Recurring Schedule'!$F$18,$A74&gt;'Recurring Schedule'!$P$18),"",IF(IF('Recurring Schedule'!$N$18&gt;0,MOD($A74-'Recurring Schedule'!$F$18,'Recurring Schedule'!$N$18)=0,IF('Recurring Schedule'!$O$18&gt;0,AND(DAY($A74)=MIN(DAY('Recurring Schedule'!$F$18),DAY(EOMONTH($A74,0))),MOD((YEAR($A74)-YEAR('Recurring Schedule'!$F$18))*12+MONTH($A74)-MONTH('Recurring Schedule'!$F$18),'Recurring Schedule'!$O$18)=0),IF('Recurring Schedule'!$E$18="Weekdays",WEEKDAY($A74,2)&lt;=5,$A74='Recurring Schedule'!$F$18))),13,""))))</f>
        <v/>
      </c>
      <c r="O74">
        <f>IF('Recurring Schedule'!$C$19="","",IF('Recurring Schedule'!$F$19="","",IF(OR($A74&lt;'Recurring Schedule'!$F$19,$A74&gt;'Recurring Schedule'!$P$19),"",IF(IF('Recurring Schedule'!$N$19&gt;0,MOD($A74-'Recurring Schedule'!$F$19,'Recurring Schedule'!$N$19)=0,IF('Recurring Schedule'!$O$19&gt;0,AND(DAY($A74)=MIN(DAY('Recurring Schedule'!$F$19),DAY(EOMONTH($A74,0))),MOD((YEAR($A74)-YEAR('Recurring Schedule'!$F$19))*12+MONTH($A74)-MONTH('Recurring Schedule'!$F$19),'Recurring Schedule'!$O$19)=0),IF('Recurring Schedule'!$E$19="Weekdays",WEEKDAY($A74,2)&lt;=5,$A74='Recurring Schedule'!$F$19))),14,""))))</f>
        <v/>
      </c>
      <c r="P74">
        <f>IF('Recurring Schedule'!$C$20="","",IF('Recurring Schedule'!$F$20="","",IF(OR($A74&lt;'Recurring Schedule'!$F$20,$A74&gt;'Recurring Schedule'!$P$20),"",IF(IF('Recurring Schedule'!$N$20&gt;0,MOD($A74-'Recurring Schedule'!$F$20,'Recurring Schedule'!$N$20)=0,IF('Recurring Schedule'!$O$20&gt;0,AND(DAY($A74)=MIN(DAY('Recurring Schedule'!$F$20),DAY(EOMONTH($A74,0))),MOD((YEAR($A74)-YEAR('Recurring Schedule'!$F$20))*12+MONTH($A74)-MONTH('Recurring Schedule'!$F$20),'Recurring Schedule'!$O$20)=0),IF('Recurring Schedule'!$E$20="Weekdays",WEEKDAY($A74,2)&lt;=5,$A74='Recurring Schedule'!$F$20))),15,""))))</f>
        <v/>
      </c>
      <c r="Q74">
        <f>IF('Recurring Schedule'!$C$21="","",IF('Recurring Schedule'!$F$21="","",IF(OR($A74&lt;'Recurring Schedule'!$F$21,$A74&gt;'Recurring Schedule'!$P$21),"",IF(IF('Recurring Schedule'!$N$21&gt;0,MOD($A74-'Recurring Schedule'!$F$21,'Recurring Schedule'!$N$21)=0,IF('Recurring Schedule'!$O$21&gt;0,AND(DAY($A74)=MIN(DAY('Recurring Schedule'!$F$21),DAY(EOMONTH($A74,0))),MOD((YEAR($A74)-YEAR('Recurring Schedule'!$F$21))*12+MONTH($A74)-MONTH('Recurring Schedule'!$F$21),'Recurring Schedule'!$O$21)=0),IF('Recurring Schedule'!$E$21="Weekdays",WEEKDAY($A74,2)&lt;=5,$A74='Recurring Schedule'!$F$21))),16,""))))</f>
        <v/>
      </c>
      <c r="R74">
        <f>IF('Recurring Schedule'!$C$22="","",IF('Recurring Schedule'!$F$22="","",IF(OR($A74&lt;'Recurring Schedule'!$F$22,$A74&gt;'Recurring Schedule'!$P$22),"",IF(IF('Recurring Schedule'!$N$22&gt;0,MOD($A74-'Recurring Schedule'!$F$22,'Recurring Schedule'!$N$22)=0,IF('Recurring Schedule'!$O$22&gt;0,AND(DAY($A74)=MIN(DAY('Recurring Schedule'!$F$22),DAY(EOMONTH($A74,0))),MOD((YEAR($A74)-YEAR('Recurring Schedule'!$F$22))*12+MONTH($A74)-MONTH('Recurring Schedule'!$F$22),'Recurring Schedule'!$O$22)=0),IF('Recurring Schedule'!$E$22="Weekdays",WEEKDAY($A74,2)&lt;=5,$A74='Recurring Schedule'!$F$22))),17,""))))</f>
        <v/>
      </c>
      <c r="S74">
        <f>IF('Recurring Schedule'!$C$23="","",IF('Recurring Schedule'!$F$23="","",IF(OR($A74&lt;'Recurring Schedule'!$F$23,$A74&gt;'Recurring Schedule'!$P$23),"",IF(IF('Recurring Schedule'!$N$23&gt;0,MOD($A74-'Recurring Schedule'!$F$23,'Recurring Schedule'!$N$23)=0,IF('Recurring Schedule'!$O$23&gt;0,AND(DAY($A74)=MIN(DAY('Recurring Schedule'!$F$23),DAY(EOMONTH($A74,0))),MOD((YEAR($A74)-YEAR('Recurring Schedule'!$F$23))*12+MONTH($A74)-MONTH('Recurring Schedule'!$F$23),'Recurring Schedule'!$O$23)=0),IF('Recurring Schedule'!$E$23="Weekdays",WEEKDAY($A74,2)&lt;=5,$A74='Recurring Schedule'!$F$23))),18,""))))</f>
        <v/>
      </c>
      <c r="T74">
        <f>IF('Recurring Schedule'!$C$24="","",IF('Recurring Schedule'!$F$24="","",IF(OR($A74&lt;'Recurring Schedule'!$F$24,$A74&gt;'Recurring Schedule'!$P$24),"",IF(IF('Recurring Schedule'!$N$24&gt;0,MOD($A74-'Recurring Schedule'!$F$24,'Recurring Schedule'!$N$24)=0,IF('Recurring Schedule'!$O$24&gt;0,AND(DAY($A74)=MIN(DAY('Recurring Schedule'!$F$24),DAY(EOMONTH($A74,0))),MOD((YEAR($A74)-YEAR('Recurring Schedule'!$F$24))*12+MONTH($A74)-MONTH('Recurring Schedule'!$F$24),'Recurring Schedule'!$O$24)=0),IF('Recurring Schedule'!$E$24="Weekdays",WEEKDAY($A74,2)&lt;=5,$A74='Recurring Schedule'!$F$24))),19,""))))</f>
        <v/>
      </c>
      <c r="U74">
        <f>IF('Recurring Schedule'!$C$25="","",IF('Recurring Schedule'!$F$25="","",IF(OR($A74&lt;'Recurring Schedule'!$F$25,$A74&gt;'Recurring Schedule'!$P$25),"",IF(IF('Recurring Schedule'!$N$25&gt;0,MOD($A74-'Recurring Schedule'!$F$25,'Recurring Schedule'!$N$25)=0,IF('Recurring Schedule'!$O$25&gt;0,AND(DAY($A74)=MIN(DAY('Recurring Schedule'!$F$25),DAY(EOMONTH($A74,0))),MOD((YEAR($A74)-YEAR('Recurring Schedule'!$F$25))*12+MONTH($A74)-MONTH('Recurring Schedule'!$F$25),'Recurring Schedule'!$O$25)=0),IF('Recurring Schedule'!$E$25="Weekdays",WEEKDAY($A74,2)&lt;=5,$A74='Recurring Schedule'!$F$25))),20,""))))</f>
        <v/>
      </c>
      <c r="V74">
        <f>IF('Recurring Schedule'!$C$26="","",IF('Recurring Schedule'!$F$26="","",IF(OR($A74&lt;'Recurring Schedule'!$F$26,$A74&gt;'Recurring Schedule'!$P$26),"",IF(IF('Recurring Schedule'!$N$26&gt;0,MOD($A74-'Recurring Schedule'!$F$26,'Recurring Schedule'!$N$26)=0,IF('Recurring Schedule'!$O$26&gt;0,AND(DAY($A74)=MIN(DAY('Recurring Schedule'!$F$26),DAY(EOMONTH($A74,0))),MOD((YEAR($A74)-YEAR('Recurring Schedule'!$F$26))*12+MONTH($A74)-MONTH('Recurring Schedule'!$F$26),'Recurring Schedule'!$O$26)=0),IF('Recurring Schedule'!$E$26="Weekdays",WEEKDAY($A74,2)&lt;=5,$A74='Recurring Schedule'!$F$26))),21,""))))</f>
        <v/>
      </c>
      <c r="W74">
        <f>IF('Recurring Schedule'!$C$27="","",IF('Recurring Schedule'!$F$27="","",IF(OR($A74&lt;'Recurring Schedule'!$F$27,$A74&gt;'Recurring Schedule'!$P$27),"",IF(IF('Recurring Schedule'!$N$27&gt;0,MOD($A74-'Recurring Schedule'!$F$27,'Recurring Schedule'!$N$27)=0,IF('Recurring Schedule'!$O$27&gt;0,AND(DAY($A74)=MIN(DAY('Recurring Schedule'!$F$27),DAY(EOMONTH($A74,0))),MOD((YEAR($A74)-YEAR('Recurring Schedule'!$F$27))*12+MONTH($A74)-MONTH('Recurring Schedule'!$F$27),'Recurring Schedule'!$O$27)=0),IF('Recurring Schedule'!$E$27="Weekdays",WEEKDAY($A74,2)&lt;=5,$A74='Recurring Schedule'!$F$27))),22,""))))</f>
        <v/>
      </c>
      <c r="X74">
        <f>IF('Recurring Schedule'!$C$28="","",IF('Recurring Schedule'!$F$28="","",IF(OR($A74&lt;'Recurring Schedule'!$F$28,$A74&gt;'Recurring Schedule'!$P$28),"",IF(IF('Recurring Schedule'!$N$28&gt;0,MOD($A74-'Recurring Schedule'!$F$28,'Recurring Schedule'!$N$28)=0,IF('Recurring Schedule'!$O$28&gt;0,AND(DAY($A74)=MIN(DAY('Recurring Schedule'!$F$28),DAY(EOMONTH($A74,0))),MOD((YEAR($A74)-YEAR('Recurring Schedule'!$F$28))*12+MONTH($A74)-MONTH('Recurring Schedule'!$F$28),'Recurring Schedule'!$O$28)=0),IF('Recurring Schedule'!$E$28="Weekdays",WEEKDAY($A74,2)&lt;=5,$A74='Recurring Schedule'!$F$28))),23,""))))</f>
        <v/>
      </c>
      <c r="Y74">
        <f>IF('Recurring Schedule'!$C$29="","",IF('Recurring Schedule'!$F$29="","",IF(OR($A74&lt;'Recurring Schedule'!$F$29,$A74&gt;'Recurring Schedule'!$P$29),"",IF(IF('Recurring Schedule'!$N$29&gt;0,MOD($A74-'Recurring Schedule'!$F$29,'Recurring Schedule'!$N$29)=0,IF('Recurring Schedule'!$O$29&gt;0,AND(DAY($A74)=MIN(DAY('Recurring Schedule'!$F$29),DAY(EOMONTH($A74,0))),MOD((YEAR($A74)-YEAR('Recurring Schedule'!$F$29))*12+MONTH($A74)-MONTH('Recurring Schedule'!$F$29),'Recurring Schedule'!$O$29)=0),IF('Recurring Schedule'!$E$29="Weekdays",WEEKDAY($A74,2)&lt;=5,$A74='Recurring Schedule'!$F$29))),24,""))))</f>
        <v/>
      </c>
      <c r="Z74">
        <f>IF('Recurring Schedule'!$C$30="","",IF('Recurring Schedule'!$F$30="","",IF(OR($A74&lt;'Recurring Schedule'!$F$30,$A74&gt;'Recurring Schedule'!$P$30),"",IF(IF('Recurring Schedule'!$N$30&gt;0,MOD($A74-'Recurring Schedule'!$F$30,'Recurring Schedule'!$N$30)=0,IF('Recurring Schedule'!$O$30&gt;0,AND(DAY($A74)=MIN(DAY('Recurring Schedule'!$F$30),DAY(EOMONTH($A74,0))),MOD((YEAR($A74)-YEAR('Recurring Schedule'!$F$30))*12+MONTH($A74)-MONTH('Recurring Schedule'!$F$30),'Recurring Schedule'!$O$30)=0),IF('Recurring Schedule'!$E$30="Weekdays",WEEKDAY($A74,2)&lt;=5,$A74='Recurring Schedule'!$F$30))),25,""))))</f>
        <v/>
      </c>
      <c r="AA74">
        <f>IF('Recurring Schedule'!$C$31="","",IF('Recurring Schedule'!$F$31="","",IF(OR($A74&lt;'Recurring Schedule'!$F$31,$A74&gt;'Recurring Schedule'!$P$31),"",IF(IF('Recurring Schedule'!$N$31&gt;0,MOD($A74-'Recurring Schedule'!$F$31,'Recurring Schedule'!$N$31)=0,IF('Recurring Schedule'!$O$31&gt;0,AND(DAY($A74)=MIN(DAY('Recurring Schedule'!$F$31),DAY(EOMONTH($A74,0))),MOD((YEAR($A74)-YEAR('Recurring Schedule'!$F$31))*12+MONTH($A74)-MONTH('Recurring Schedule'!$F$31),'Recurring Schedule'!$O$31)=0),IF('Recurring Schedule'!$E$31="Weekdays",WEEKDAY($A74,2)&lt;=5,$A74='Recurring Schedule'!$F$31))),26,""))))</f>
        <v/>
      </c>
      <c r="AB74">
        <f>IF('Recurring Schedule'!$C$32="","",IF('Recurring Schedule'!$F$32="","",IF(OR($A74&lt;'Recurring Schedule'!$F$32,$A74&gt;'Recurring Schedule'!$P$32),"",IF(IF('Recurring Schedule'!$N$32&gt;0,MOD($A74-'Recurring Schedule'!$F$32,'Recurring Schedule'!$N$32)=0,IF('Recurring Schedule'!$O$32&gt;0,AND(DAY($A74)=MIN(DAY('Recurring Schedule'!$F$32),DAY(EOMONTH($A74,0))),MOD((YEAR($A74)-YEAR('Recurring Schedule'!$F$32))*12+MONTH($A74)-MONTH('Recurring Schedule'!$F$32),'Recurring Schedule'!$O$32)=0),IF('Recurring Schedule'!$E$32="Weekdays",WEEKDAY($A74,2)&lt;=5,$A74='Recurring Schedule'!$F$32))),27,""))))</f>
        <v/>
      </c>
      <c r="AC74">
        <f>IF('Recurring Schedule'!$C$33="","",IF('Recurring Schedule'!$F$33="","",IF(OR($A74&lt;'Recurring Schedule'!$F$33,$A74&gt;'Recurring Schedule'!$P$33),"",IF(IF('Recurring Schedule'!$N$33&gt;0,MOD($A74-'Recurring Schedule'!$F$33,'Recurring Schedule'!$N$33)=0,IF('Recurring Schedule'!$O$33&gt;0,AND(DAY($A74)=MIN(DAY('Recurring Schedule'!$F$33),DAY(EOMONTH($A74,0))),MOD((YEAR($A74)-YEAR('Recurring Schedule'!$F$33))*12+MONTH($A74)-MONTH('Recurring Schedule'!$F$33),'Recurring Schedule'!$O$33)=0),IF('Recurring Schedule'!$E$33="Weekdays",WEEKDAY($A74,2)&lt;=5,$A74='Recurring Schedule'!$F$33))),28,""))))</f>
        <v/>
      </c>
      <c r="AD74">
        <f>IF('Recurring Schedule'!$C$34="","",IF('Recurring Schedule'!$F$34="","",IF(OR($A74&lt;'Recurring Schedule'!$F$34,$A74&gt;'Recurring Schedule'!$P$34),"",IF(IF('Recurring Schedule'!$N$34&gt;0,MOD($A74-'Recurring Schedule'!$F$34,'Recurring Schedule'!$N$34)=0,IF('Recurring Schedule'!$O$34&gt;0,AND(DAY($A74)=MIN(DAY('Recurring Schedule'!$F$34),DAY(EOMONTH($A74,0))),MOD((YEAR($A74)-YEAR('Recurring Schedule'!$F$34))*12+MONTH($A74)-MONTH('Recurring Schedule'!$F$34),'Recurring Schedule'!$O$34)=0),IF('Recurring Schedule'!$E$34="Weekdays",WEEKDAY($A74,2)&lt;=5,$A74='Recurring Schedule'!$F$34))),29,""))))</f>
        <v/>
      </c>
      <c r="AE74">
        <f>IF('Recurring Schedule'!$C$35="","",IF('Recurring Schedule'!$F$35="","",IF(OR($A74&lt;'Recurring Schedule'!$F$35,$A74&gt;'Recurring Schedule'!$P$35),"",IF(IF('Recurring Schedule'!$N$35&gt;0,MOD($A74-'Recurring Schedule'!$F$35,'Recurring Schedule'!$N$35)=0,IF('Recurring Schedule'!$O$35&gt;0,AND(DAY($A74)=MIN(DAY('Recurring Schedule'!$F$35),DAY(EOMONTH($A74,0))),MOD((YEAR($A74)-YEAR('Recurring Schedule'!$F$35))*12+MONTH($A74)-MONTH('Recurring Schedule'!$F$35),'Recurring Schedule'!$O$35)=0),IF('Recurring Schedule'!$E$35="Weekdays",WEEKDAY($A74,2)&lt;=5,$A74='Recurring Schedule'!$F$35))),30,""))))</f>
        <v/>
      </c>
      <c r="AF74">
        <f>IF('Recurring Schedule'!$C$36="","",IF('Recurring Schedule'!$F$36="","",IF(OR($A74&lt;'Recurring Schedule'!$F$36,$A74&gt;'Recurring Schedule'!$P$36),"",IF(IF('Recurring Schedule'!$N$36&gt;0,MOD($A74-'Recurring Schedule'!$F$36,'Recurring Schedule'!$N$36)=0,IF('Recurring Schedule'!$O$36&gt;0,AND(DAY($A74)=MIN(DAY('Recurring Schedule'!$F$36),DAY(EOMONTH($A74,0))),MOD((YEAR($A74)-YEAR('Recurring Schedule'!$F$36))*12+MONTH($A74)-MONTH('Recurring Schedule'!$F$36),'Recurring Schedule'!$O$36)=0),IF('Recurring Schedule'!$E$36="Weekdays",WEEKDAY($A74,2)&lt;=5,$A74='Recurring Schedule'!$F$36))),31,""))))</f>
        <v/>
      </c>
      <c r="AG74">
        <f>IF('Recurring Schedule'!$C$37="","",IF('Recurring Schedule'!$F$37="","",IF(OR($A74&lt;'Recurring Schedule'!$F$37,$A74&gt;'Recurring Schedule'!$P$37),"",IF(IF('Recurring Schedule'!$N$37&gt;0,MOD($A74-'Recurring Schedule'!$F$37,'Recurring Schedule'!$N$37)=0,IF('Recurring Schedule'!$O$37&gt;0,AND(DAY($A74)=MIN(DAY('Recurring Schedule'!$F$37),DAY(EOMONTH($A74,0))),MOD((YEAR($A74)-YEAR('Recurring Schedule'!$F$37))*12+MONTH($A74)-MONTH('Recurring Schedule'!$F$37),'Recurring Schedule'!$O$37)=0),IF('Recurring Schedule'!$E$37="Weekdays",WEEKDAY($A74,2)&lt;=5,$A74='Recurring Schedule'!$F$37))),32,""))))</f>
        <v/>
      </c>
      <c r="AH74">
        <f>IF('Recurring Schedule'!$C$38="","",IF('Recurring Schedule'!$F$38="","",IF(OR($A74&lt;'Recurring Schedule'!$F$38,$A74&gt;'Recurring Schedule'!$P$38),"",IF(IF('Recurring Schedule'!$N$38&gt;0,MOD($A74-'Recurring Schedule'!$F$38,'Recurring Schedule'!$N$38)=0,IF('Recurring Schedule'!$O$38&gt;0,AND(DAY($A74)=MIN(DAY('Recurring Schedule'!$F$38),DAY(EOMONTH($A74,0))),MOD((YEAR($A74)-YEAR('Recurring Schedule'!$F$38))*12+MONTH($A74)-MONTH('Recurring Schedule'!$F$38),'Recurring Schedule'!$O$38)=0),IF('Recurring Schedule'!$E$38="Weekdays",WEEKDAY($A74,2)&lt;=5,$A74='Recurring Schedule'!$F$38))),33,""))))</f>
        <v/>
      </c>
      <c r="AI74">
        <f>IF('Recurring Schedule'!$C$39="","",IF('Recurring Schedule'!$F$39="","",IF(OR($A74&lt;'Recurring Schedule'!$F$39,$A74&gt;'Recurring Schedule'!$P$39),"",IF(IF('Recurring Schedule'!$N$39&gt;0,MOD($A74-'Recurring Schedule'!$F$39,'Recurring Schedule'!$N$39)=0,IF('Recurring Schedule'!$O$39&gt;0,AND(DAY($A74)=MIN(DAY('Recurring Schedule'!$F$39),DAY(EOMONTH($A74,0))),MOD((YEAR($A74)-YEAR('Recurring Schedule'!$F$39))*12+MONTH($A74)-MONTH('Recurring Schedule'!$F$39),'Recurring Schedule'!$O$39)=0),IF('Recurring Schedule'!$E$39="Weekdays",WEEKDAY($A74,2)&lt;=5,$A74='Recurring Schedule'!$F$39))),34,""))))</f>
        <v/>
      </c>
      <c r="AJ74">
        <f>IF('Recurring Schedule'!$C$40="","",IF('Recurring Schedule'!$F$40="","",IF(OR($A74&lt;'Recurring Schedule'!$F$40,$A74&gt;'Recurring Schedule'!$P$40),"",IF(IF('Recurring Schedule'!$N$40&gt;0,MOD($A74-'Recurring Schedule'!$F$40,'Recurring Schedule'!$N$40)=0,IF('Recurring Schedule'!$O$40&gt;0,AND(DAY($A74)=MIN(DAY('Recurring Schedule'!$F$40),DAY(EOMONTH($A74,0))),MOD((YEAR($A74)-YEAR('Recurring Schedule'!$F$40))*12+MONTH($A74)-MONTH('Recurring Schedule'!$F$40),'Recurring Schedule'!$O$40)=0),IF('Recurring Schedule'!$E$40="Weekdays",WEEKDAY($A74,2)&lt;=5,$A74='Recurring Schedule'!$F$40))),35,""))))</f>
        <v/>
      </c>
      <c r="AK74">
        <f>IF('Recurring Schedule'!$C$41="","",IF('Recurring Schedule'!$F$41="","",IF(OR($A74&lt;'Recurring Schedule'!$F$41,$A74&gt;'Recurring Schedule'!$P$41),"",IF(IF('Recurring Schedule'!$N$41&gt;0,MOD($A74-'Recurring Schedule'!$F$41,'Recurring Schedule'!$N$41)=0,IF('Recurring Schedule'!$O$41&gt;0,AND(DAY($A74)=MIN(DAY('Recurring Schedule'!$F$41),DAY(EOMONTH($A74,0))),MOD((YEAR($A74)-YEAR('Recurring Schedule'!$F$41))*12+MONTH($A74)-MONTH('Recurring Schedule'!$F$41),'Recurring Schedule'!$O$41)=0),IF('Recurring Schedule'!$E$41="Weekdays",WEEKDAY($A74,2)&lt;=5,$A74='Recurring Schedule'!$F$41))),36,""))))</f>
        <v/>
      </c>
      <c r="AL74">
        <f>IF('Recurring Schedule'!$C$42="","",IF('Recurring Schedule'!$F$42="","",IF(OR($A74&lt;'Recurring Schedule'!$F$42,$A74&gt;'Recurring Schedule'!$P$42),"",IF(IF('Recurring Schedule'!$N$42&gt;0,MOD($A74-'Recurring Schedule'!$F$42,'Recurring Schedule'!$N$42)=0,IF('Recurring Schedule'!$O$42&gt;0,AND(DAY($A74)=MIN(DAY('Recurring Schedule'!$F$42),DAY(EOMONTH($A74,0))),MOD((YEAR($A74)-YEAR('Recurring Schedule'!$F$42))*12+MONTH($A74)-MONTH('Recurring Schedule'!$F$42),'Recurring Schedule'!$O$42)=0),IF('Recurring Schedule'!$E$42="Weekdays",WEEKDAY($A74,2)&lt;=5,$A74='Recurring Schedule'!$F$42))),37,""))))</f>
        <v/>
      </c>
      <c r="AM74">
        <f>IF('Recurring Schedule'!$C$43="","",IF('Recurring Schedule'!$F$43="","",IF(OR($A74&lt;'Recurring Schedule'!$F$43,$A74&gt;'Recurring Schedule'!$P$43),"",IF(IF('Recurring Schedule'!$N$43&gt;0,MOD($A74-'Recurring Schedule'!$F$43,'Recurring Schedule'!$N$43)=0,IF('Recurring Schedule'!$O$43&gt;0,AND(DAY($A74)=MIN(DAY('Recurring Schedule'!$F$43),DAY(EOMONTH($A74,0))),MOD((YEAR($A74)-YEAR('Recurring Schedule'!$F$43))*12+MONTH($A74)-MONTH('Recurring Schedule'!$F$43),'Recurring Schedule'!$O$43)=0),IF('Recurring Schedule'!$E$43="Weekdays",WEEKDAY($A74,2)&lt;=5,$A74='Recurring Schedule'!$F$43))),38,""))))</f>
        <v/>
      </c>
      <c r="AN74">
        <f>IF('Recurring Schedule'!$C$44="","",IF('Recurring Schedule'!$F$44="","",IF(OR($A74&lt;'Recurring Schedule'!$F$44,$A74&gt;'Recurring Schedule'!$P$44),"",IF(IF('Recurring Schedule'!$N$44&gt;0,MOD($A74-'Recurring Schedule'!$F$44,'Recurring Schedule'!$N$44)=0,IF('Recurring Schedule'!$O$44&gt;0,AND(DAY($A74)=MIN(DAY('Recurring Schedule'!$F$44),DAY(EOMONTH($A74,0))),MOD((YEAR($A74)-YEAR('Recurring Schedule'!$F$44))*12+MONTH($A74)-MONTH('Recurring Schedule'!$F$44),'Recurring Schedule'!$O$44)=0),IF('Recurring Schedule'!$E$44="Weekdays",WEEKDAY($A74,2)&lt;=5,$A74='Recurring Schedule'!$F$44))),39,""))))</f>
        <v/>
      </c>
      <c r="AO74">
        <f>IF('Recurring Schedule'!$C$45="","",IF('Recurring Schedule'!$F$45="","",IF(OR($A74&lt;'Recurring Schedule'!$F$45,$A74&gt;'Recurring Schedule'!$P$45),"",IF(IF('Recurring Schedule'!$N$45&gt;0,MOD($A74-'Recurring Schedule'!$F$45,'Recurring Schedule'!$N$45)=0,IF('Recurring Schedule'!$O$45&gt;0,AND(DAY($A74)=MIN(DAY('Recurring Schedule'!$F$45),DAY(EOMONTH($A74,0))),MOD((YEAR($A74)-YEAR('Recurring Schedule'!$F$45))*12+MONTH($A74)-MONTH('Recurring Schedule'!$F$45),'Recurring Schedule'!$O$45)=0),IF('Recurring Schedule'!$E$45="Weekdays",WEEKDAY($A74,2)&lt;=5,$A74='Recurring Schedule'!$F$45))),40,""))))</f>
        <v/>
      </c>
      <c r="AP74">
        <f>COUNT(B74:AO74)</f>
        <v/>
      </c>
      <c r="AQ74">
        <f>AQ73+AP73</f>
        <v/>
      </c>
      <c r="AS74" t="inlineStr">
        <is>
          <t>R</t>
        </is>
      </c>
      <c r="AT74" t="n">
        <v>78</v>
      </c>
      <c r="AU74">
        <f>'Recurring Log'!C78&amp;""</f>
        <v/>
      </c>
      <c r="AV74">
        <f>'Recurring Log'!D78&amp;""</f>
        <v/>
      </c>
      <c r="AW74">
        <f>IF('Recurring Log'!E78="","",'Recurring Log'!E78)</f>
        <v/>
      </c>
      <c r="AX74">
        <f>IF('Recurring Log'!G78="","",'Recurring Log'!G78)</f>
        <v/>
      </c>
      <c r="AY74">
        <f>IF('Recurring Log'!H78="","",'Recurring Log'!H78)</f>
        <v/>
      </c>
      <c r="AZ74">
        <f>IF(AU74="","",IF('Recurring Log'!J78="","Not Started",'Recurring Log'!J78))</f>
        <v/>
      </c>
      <c r="BA74">
        <f>'Recurring Log'!L78&amp;""</f>
        <v/>
      </c>
      <c r="BB74">
        <f>'Recurring Log'!M78&amp;""</f>
        <v/>
      </c>
      <c r="BC74">
        <f>'Recurring Log'!N78&amp;""</f>
        <v/>
      </c>
      <c r="BD74">
        <f>'Recurring Log'!O78&amp;""</f>
        <v/>
      </c>
      <c r="BE74">
        <f>IF('Recurring Log'!K78="","",'Recurring Log'!K78)</f>
        <v/>
      </c>
      <c r="BF74">
        <f>IFERROR(MATCH(BA74,Setup!$L$6:$L$9,0),5)</f>
        <v/>
      </c>
      <c r="BG74">
        <f>IF(OR(AZ74="Done",AZ74="Cancelled"),1,0)</f>
        <v/>
      </c>
      <c r="BH74">
        <f>IF(AND(AU74&lt;&gt;"",ISNUMBER(AW74)),1,0)</f>
        <v/>
      </c>
      <c r="BI74">
        <f>IF(BH74=0,0,IF(AND(AW74&gt;='Tasks Filter'!$F$3,AW74&lt;='Tasks Filter'!$F$4,OR('Tasks Filter'!$I$3="",ISNUMBER(SEARCH('Tasks Filter'!$I$3,AU74))),OR('Tasks Filter'!$I$4="",BF74=IFERROR(MATCH('Tasks Filter'!$I$4,Setup!$L$6:$L$9,0),0)),OR('Tasks Filter'!$I$5="Both",AND('Tasks Filter'!$I$5="Yes",BB74="✓"),AND('Tasks Filter'!$I$5="No",BB74&lt;&gt;"✓")),OR('Tasks Filter'!$L$3="",AV74='Tasks Filter'!$L$3),OR('Tasks Filter'!$L$4="",AZ74='Tasks Filter'!$L$4),OR('Tasks Filter'!$L$5="",BC74='Tasks Filter'!$L$5),OR('Tasks Filter'!$O$3="",BD74='Tasks Filter'!$O$3),OR('Tasks Filter'!$O$4="Yes",BG74=0)),1,0))</f>
        <v/>
      </c>
      <c r="BJ74">
        <f>IF(BH74=0,"",IF('Tasks Filter'!$F$6="Descending",-1,1)*CHOOSE(MATCH('Tasks Filter'!$F$5,Lists!$G$2:$G$6,0),AW74,BF74,IFERROR(MATCH(AV74,Setup!$F$6:$F$15,0),99),IFERROR(MATCH(BC74,Setup!$H$6:$H$15,0),99),IFERROR(MATCH(AZ74,Setup!$J$6:$J$11,0),99))*1E+9+(AW74-40000)*10000+73)</f>
        <v/>
      </c>
      <c r="BK74">
        <f>IF(BI74=1,BJ74,"")</f>
        <v/>
      </c>
      <c r="BL74">
        <f>IF(AND(BH74=1,BG74=0,N(AW74)&lt;Setup!$D$7),(AW74-40000)*10000+73,"")</f>
        <v/>
      </c>
      <c r="BM74">
        <f>IF(AND(BH74=1,AZ74&lt;&gt;"Cancelled",N(AW74)&gt;=Dashboard!$AB$3,N(AW74)&lt;=Dashboard!$AB$3+6),(AW74-40000)*100000+BF74*10000+73,"")</f>
        <v/>
      </c>
      <c r="BN74">
        <f>IF(AND(BH74=1,AZ74&lt;&gt;"Cancelled"),BF74*10000+73,"")</f>
        <v/>
      </c>
    </row>
    <row r="75">
      <c r="A75">
        <f>Setup!$D$5+73</f>
        <v/>
      </c>
      <c r="B75">
        <f>IF('Recurring Schedule'!$C$6="","",IF('Recurring Schedule'!$F$6="","",IF(OR($A75&lt;'Recurring Schedule'!$F$6,$A75&gt;'Recurring Schedule'!$P$6),"",IF(IF('Recurring Schedule'!$N$6&gt;0,MOD($A75-'Recurring Schedule'!$F$6,'Recurring Schedule'!$N$6)=0,IF('Recurring Schedule'!$O$6&gt;0,AND(DAY($A75)=MIN(DAY('Recurring Schedule'!$F$6),DAY(EOMONTH($A75,0))),MOD((YEAR($A75)-YEAR('Recurring Schedule'!$F$6))*12+MONTH($A75)-MONTH('Recurring Schedule'!$F$6),'Recurring Schedule'!$O$6)=0),IF('Recurring Schedule'!$E$6="Weekdays",WEEKDAY($A75,2)&lt;=5,$A75='Recurring Schedule'!$F$6))),1,""))))</f>
        <v/>
      </c>
      <c r="C75">
        <f>IF('Recurring Schedule'!$C$7="","",IF('Recurring Schedule'!$F$7="","",IF(OR($A75&lt;'Recurring Schedule'!$F$7,$A75&gt;'Recurring Schedule'!$P$7),"",IF(IF('Recurring Schedule'!$N$7&gt;0,MOD($A75-'Recurring Schedule'!$F$7,'Recurring Schedule'!$N$7)=0,IF('Recurring Schedule'!$O$7&gt;0,AND(DAY($A75)=MIN(DAY('Recurring Schedule'!$F$7),DAY(EOMONTH($A75,0))),MOD((YEAR($A75)-YEAR('Recurring Schedule'!$F$7))*12+MONTH($A75)-MONTH('Recurring Schedule'!$F$7),'Recurring Schedule'!$O$7)=0),IF('Recurring Schedule'!$E$7="Weekdays",WEEKDAY($A75,2)&lt;=5,$A75='Recurring Schedule'!$F$7))),2,""))))</f>
        <v/>
      </c>
      <c r="D75">
        <f>IF('Recurring Schedule'!$C$8="","",IF('Recurring Schedule'!$F$8="","",IF(OR($A75&lt;'Recurring Schedule'!$F$8,$A75&gt;'Recurring Schedule'!$P$8),"",IF(IF('Recurring Schedule'!$N$8&gt;0,MOD($A75-'Recurring Schedule'!$F$8,'Recurring Schedule'!$N$8)=0,IF('Recurring Schedule'!$O$8&gt;0,AND(DAY($A75)=MIN(DAY('Recurring Schedule'!$F$8),DAY(EOMONTH($A75,0))),MOD((YEAR($A75)-YEAR('Recurring Schedule'!$F$8))*12+MONTH($A75)-MONTH('Recurring Schedule'!$F$8),'Recurring Schedule'!$O$8)=0),IF('Recurring Schedule'!$E$8="Weekdays",WEEKDAY($A75,2)&lt;=5,$A75='Recurring Schedule'!$F$8))),3,""))))</f>
        <v/>
      </c>
      <c r="E75">
        <f>IF('Recurring Schedule'!$C$9="","",IF('Recurring Schedule'!$F$9="","",IF(OR($A75&lt;'Recurring Schedule'!$F$9,$A75&gt;'Recurring Schedule'!$P$9),"",IF(IF('Recurring Schedule'!$N$9&gt;0,MOD($A75-'Recurring Schedule'!$F$9,'Recurring Schedule'!$N$9)=0,IF('Recurring Schedule'!$O$9&gt;0,AND(DAY($A75)=MIN(DAY('Recurring Schedule'!$F$9),DAY(EOMONTH($A75,0))),MOD((YEAR($A75)-YEAR('Recurring Schedule'!$F$9))*12+MONTH($A75)-MONTH('Recurring Schedule'!$F$9),'Recurring Schedule'!$O$9)=0),IF('Recurring Schedule'!$E$9="Weekdays",WEEKDAY($A75,2)&lt;=5,$A75='Recurring Schedule'!$F$9))),4,""))))</f>
        <v/>
      </c>
      <c r="F75">
        <f>IF('Recurring Schedule'!$C$10="","",IF('Recurring Schedule'!$F$10="","",IF(OR($A75&lt;'Recurring Schedule'!$F$10,$A75&gt;'Recurring Schedule'!$P$10),"",IF(IF('Recurring Schedule'!$N$10&gt;0,MOD($A75-'Recurring Schedule'!$F$10,'Recurring Schedule'!$N$10)=0,IF('Recurring Schedule'!$O$10&gt;0,AND(DAY($A75)=MIN(DAY('Recurring Schedule'!$F$10),DAY(EOMONTH($A75,0))),MOD((YEAR($A75)-YEAR('Recurring Schedule'!$F$10))*12+MONTH($A75)-MONTH('Recurring Schedule'!$F$10),'Recurring Schedule'!$O$10)=0),IF('Recurring Schedule'!$E$10="Weekdays",WEEKDAY($A75,2)&lt;=5,$A75='Recurring Schedule'!$F$10))),5,""))))</f>
        <v/>
      </c>
      <c r="G75">
        <f>IF('Recurring Schedule'!$C$11="","",IF('Recurring Schedule'!$F$11="","",IF(OR($A75&lt;'Recurring Schedule'!$F$11,$A75&gt;'Recurring Schedule'!$P$11),"",IF(IF('Recurring Schedule'!$N$11&gt;0,MOD($A75-'Recurring Schedule'!$F$11,'Recurring Schedule'!$N$11)=0,IF('Recurring Schedule'!$O$11&gt;0,AND(DAY($A75)=MIN(DAY('Recurring Schedule'!$F$11),DAY(EOMONTH($A75,0))),MOD((YEAR($A75)-YEAR('Recurring Schedule'!$F$11))*12+MONTH($A75)-MONTH('Recurring Schedule'!$F$11),'Recurring Schedule'!$O$11)=0),IF('Recurring Schedule'!$E$11="Weekdays",WEEKDAY($A75,2)&lt;=5,$A75='Recurring Schedule'!$F$11))),6,""))))</f>
        <v/>
      </c>
      <c r="H75">
        <f>IF('Recurring Schedule'!$C$12="","",IF('Recurring Schedule'!$F$12="","",IF(OR($A75&lt;'Recurring Schedule'!$F$12,$A75&gt;'Recurring Schedule'!$P$12),"",IF(IF('Recurring Schedule'!$N$12&gt;0,MOD($A75-'Recurring Schedule'!$F$12,'Recurring Schedule'!$N$12)=0,IF('Recurring Schedule'!$O$12&gt;0,AND(DAY($A75)=MIN(DAY('Recurring Schedule'!$F$12),DAY(EOMONTH($A75,0))),MOD((YEAR($A75)-YEAR('Recurring Schedule'!$F$12))*12+MONTH($A75)-MONTH('Recurring Schedule'!$F$12),'Recurring Schedule'!$O$12)=0),IF('Recurring Schedule'!$E$12="Weekdays",WEEKDAY($A75,2)&lt;=5,$A75='Recurring Schedule'!$F$12))),7,""))))</f>
        <v/>
      </c>
      <c r="I75">
        <f>IF('Recurring Schedule'!$C$13="","",IF('Recurring Schedule'!$F$13="","",IF(OR($A75&lt;'Recurring Schedule'!$F$13,$A75&gt;'Recurring Schedule'!$P$13),"",IF(IF('Recurring Schedule'!$N$13&gt;0,MOD($A75-'Recurring Schedule'!$F$13,'Recurring Schedule'!$N$13)=0,IF('Recurring Schedule'!$O$13&gt;0,AND(DAY($A75)=MIN(DAY('Recurring Schedule'!$F$13),DAY(EOMONTH($A75,0))),MOD((YEAR($A75)-YEAR('Recurring Schedule'!$F$13))*12+MONTH($A75)-MONTH('Recurring Schedule'!$F$13),'Recurring Schedule'!$O$13)=0),IF('Recurring Schedule'!$E$13="Weekdays",WEEKDAY($A75,2)&lt;=5,$A75='Recurring Schedule'!$F$13))),8,""))))</f>
        <v/>
      </c>
      <c r="J75">
        <f>IF('Recurring Schedule'!$C$14="","",IF('Recurring Schedule'!$F$14="","",IF(OR($A75&lt;'Recurring Schedule'!$F$14,$A75&gt;'Recurring Schedule'!$P$14),"",IF(IF('Recurring Schedule'!$N$14&gt;0,MOD($A75-'Recurring Schedule'!$F$14,'Recurring Schedule'!$N$14)=0,IF('Recurring Schedule'!$O$14&gt;0,AND(DAY($A75)=MIN(DAY('Recurring Schedule'!$F$14),DAY(EOMONTH($A75,0))),MOD((YEAR($A75)-YEAR('Recurring Schedule'!$F$14))*12+MONTH($A75)-MONTH('Recurring Schedule'!$F$14),'Recurring Schedule'!$O$14)=0),IF('Recurring Schedule'!$E$14="Weekdays",WEEKDAY($A75,2)&lt;=5,$A75='Recurring Schedule'!$F$14))),9,""))))</f>
        <v/>
      </c>
      <c r="K75">
        <f>IF('Recurring Schedule'!$C$15="","",IF('Recurring Schedule'!$F$15="","",IF(OR($A75&lt;'Recurring Schedule'!$F$15,$A75&gt;'Recurring Schedule'!$P$15),"",IF(IF('Recurring Schedule'!$N$15&gt;0,MOD($A75-'Recurring Schedule'!$F$15,'Recurring Schedule'!$N$15)=0,IF('Recurring Schedule'!$O$15&gt;0,AND(DAY($A75)=MIN(DAY('Recurring Schedule'!$F$15),DAY(EOMONTH($A75,0))),MOD((YEAR($A75)-YEAR('Recurring Schedule'!$F$15))*12+MONTH($A75)-MONTH('Recurring Schedule'!$F$15),'Recurring Schedule'!$O$15)=0),IF('Recurring Schedule'!$E$15="Weekdays",WEEKDAY($A75,2)&lt;=5,$A75='Recurring Schedule'!$F$15))),10,""))))</f>
        <v/>
      </c>
      <c r="L75">
        <f>IF('Recurring Schedule'!$C$16="","",IF('Recurring Schedule'!$F$16="","",IF(OR($A75&lt;'Recurring Schedule'!$F$16,$A75&gt;'Recurring Schedule'!$P$16),"",IF(IF('Recurring Schedule'!$N$16&gt;0,MOD($A75-'Recurring Schedule'!$F$16,'Recurring Schedule'!$N$16)=0,IF('Recurring Schedule'!$O$16&gt;0,AND(DAY($A75)=MIN(DAY('Recurring Schedule'!$F$16),DAY(EOMONTH($A75,0))),MOD((YEAR($A75)-YEAR('Recurring Schedule'!$F$16))*12+MONTH($A75)-MONTH('Recurring Schedule'!$F$16),'Recurring Schedule'!$O$16)=0),IF('Recurring Schedule'!$E$16="Weekdays",WEEKDAY($A75,2)&lt;=5,$A75='Recurring Schedule'!$F$16))),11,""))))</f>
        <v/>
      </c>
      <c r="M75">
        <f>IF('Recurring Schedule'!$C$17="","",IF('Recurring Schedule'!$F$17="","",IF(OR($A75&lt;'Recurring Schedule'!$F$17,$A75&gt;'Recurring Schedule'!$P$17),"",IF(IF('Recurring Schedule'!$N$17&gt;0,MOD($A75-'Recurring Schedule'!$F$17,'Recurring Schedule'!$N$17)=0,IF('Recurring Schedule'!$O$17&gt;0,AND(DAY($A75)=MIN(DAY('Recurring Schedule'!$F$17),DAY(EOMONTH($A75,0))),MOD((YEAR($A75)-YEAR('Recurring Schedule'!$F$17))*12+MONTH($A75)-MONTH('Recurring Schedule'!$F$17),'Recurring Schedule'!$O$17)=0),IF('Recurring Schedule'!$E$17="Weekdays",WEEKDAY($A75,2)&lt;=5,$A75='Recurring Schedule'!$F$17))),12,""))))</f>
        <v/>
      </c>
      <c r="N75">
        <f>IF('Recurring Schedule'!$C$18="","",IF('Recurring Schedule'!$F$18="","",IF(OR($A75&lt;'Recurring Schedule'!$F$18,$A75&gt;'Recurring Schedule'!$P$18),"",IF(IF('Recurring Schedule'!$N$18&gt;0,MOD($A75-'Recurring Schedule'!$F$18,'Recurring Schedule'!$N$18)=0,IF('Recurring Schedule'!$O$18&gt;0,AND(DAY($A75)=MIN(DAY('Recurring Schedule'!$F$18),DAY(EOMONTH($A75,0))),MOD((YEAR($A75)-YEAR('Recurring Schedule'!$F$18))*12+MONTH($A75)-MONTH('Recurring Schedule'!$F$18),'Recurring Schedule'!$O$18)=0),IF('Recurring Schedule'!$E$18="Weekdays",WEEKDAY($A75,2)&lt;=5,$A75='Recurring Schedule'!$F$18))),13,""))))</f>
        <v/>
      </c>
      <c r="O75">
        <f>IF('Recurring Schedule'!$C$19="","",IF('Recurring Schedule'!$F$19="","",IF(OR($A75&lt;'Recurring Schedule'!$F$19,$A75&gt;'Recurring Schedule'!$P$19),"",IF(IF('Recurring Schedule'!$N$19&gt;0,MOD($A75-'Recurring Schedule'!$F$19,'Recurring Schedule'!$N$19)=0,IF('Recurring Schedule'!$O$19&gt;0,AND(DAY($A75)=MIN(DAY('Recurring Schedule'!$F$19),DAY(EOMONTH($A75,0))),MOD((YEAR($A75)-YEAR('Recurring Schedule'!$F$19))*12+MONTH($A75)-MONTH('Recurring Schedule'!$F$19),'Recurring Schedule'!$O$19)=0),IF('Recurring Schedule'!$E$19="Weekdays",WEEKDAY($A75,2)&lt;=5,$A75='Recurring Schedule'!$F$19))),14,""))))</f>
        <v/>
      </c>
      <c r="P75">
        <f>IF('Recurring Schedule'!$C$20="","",IF('Recurring Schedule'!$F$20="","",IF(OR($A75&lt;'Recurring Schedule'!$F$20,$A75&gt;'Recurring Schedule'!$P$20),"",IF(IF('Recurring Schedule'!$N$20&gt;0,MOD($A75-'Recurring Schedule'!$F$20,'Recurring Schedule'!$N$20)=0,IF('Recurring Schedule'!$O$20&gt;0,AND(DAY($A75)=MIN(DAY('Recurring Schedule'!$F$20),DAY(EOMONTH($A75,0))),MOD((YEAR($A75)-YEAR('Recurring Schedule'!$F$20))*12+MONTH($A75)-MONTH('Recurring Schedule'!$F$20),'Recurring Schedule'!$O$20)=0),IF('Recurring Schedule'!$E$20="Weekdays",WEEKDAY($A75,2)&lt;=5,$A75='Recurring Schedule'!$F$20))),15,""))))</f>
        <v/>
      </c>
      <c r="Q75">
        <f>IF('Recurring Schedule'!$C$21="","",IF('Recurring Schedule'!$F$21="","",IF(OR($A75&lt;'Recurring Schedule'!$F$21,$A75&gt;'Recurring Schedule'!$P$21),"",IF(IF('Recurring Schedule'!$N$21&gt;0,MOD($A75-'Recurring Schedule'!$F$21,'Recurring Schedule'!$N$21)=0,IF('Recurring Schedule'!$O$21&gt;0,AND(DAY($A75)=MIN(DAY('Recurring Schedule'!$F$21),DAY(EOMONTH($A75,0))),MOD((YEAR($A75)-YEAR('Recurring Schedule'!$F$21))*12+MONTH($A75)-MONTH('Recurring Schedule'!$F$21),'Recurring Schedule'!$O$21)=0),IF('Recurring Schedule'!$E$21="Weekdays",WEEKDAY($A75,2)&lt;=5,$A75='Recurring Schedule'!$F$21))),16,""))))</f>
        <v/>
      </c>
      <c r="R75">
        <f>IF('Recurring Schedule'!$C$22="","",IF('Recurring Schedule'!$F$22="","",IF(OR($A75&lt;'Recurring Schedule'!$F$22,$A75&gt;'Recurring Schedule'!$P$22),"",IF(IF('Recurring Schedule'!$N$22&gt;0,MOD($A75-'Recurring Schedule'!$F$22,'Recurring Schedule'!$N$22)=0,IF('Recurring Schedule'!$O$22&gt;0,AND(DAY($A75)=MIN(DAY('Recurring Schedule'!$F$22),DAY(EOMONTH($A75,0))),MOD((YEAR($A75)-YEAR('Recurring Schedule'!$F$22))*12+MONTH($A75)-MONTH('Recurring Schedule'!$F$22),'Recurring Schedule'!$O$22)=0),IF('Recurring Schedule'!$E$22="Weekdays",WEEKDAY($A75,2)&lt;=5,$A75='Recurring Schedule'!$F$22))),17,""))))</f>
        <v/>
      </c>
      <c r="S75">
        <f>IF('Recurring Schedule'!$C$23="","",IF('Recurring Schedule'!$F$23="","",IF(OR($A75&lt;'Recurring Schedule'!$F$23,$A75&gt;'Recurring Schedule'!$P$23),"",IF(IF('Recurring Schedule'!$N$23&gt;0,MOD($A75-'Recurring Schedule'!$F$23,'Recurring Schedule'!$N$23)=0,IF('Recurring Schedule'!$O$23&gt;0,AND(DAY($A75)=MIN(DAY('Recurring Schedule'!$F$23),DAY(EOMONTH($A75,0))),MOD((YEAR($A75)-YEAR('Recurring Schedule'!$F$23))*12+MONTH($A75)-MONTH('Recurring Schedule'!$F$23),'Recurring Schedule'!$O$23)=0),IF('Recurring Schedule'!$E$23="Weekdays",WEEKDAY($A75,2)&lt;=5,$A75='Recurring Schedule'!$F$23))),18,""))))</f>
        <v/>
      </c>
      <c r="T75">
        <f>IF('Recurring Schedule'!$C$24="","",IF('Recurring Schedule'!$F$24="","",IF(OR($A75&lt;'Recurring Schedule'!$F$24,$A75&gt;'Recurring Schedule'!$P$24),"",IF(IF('Recurring Schedule'!$N$24&gt;0,MOD($A75-'Recurring Schedule'!$F$24,'Recurring Schedule'!$N$24)=0,IF('Recurring Schedule'!$O$24&gt;0,AND(DAY($A75)=MIN(DAY('Recurring Schedule'!$F$24),DAY(EOMONTH($A75,0))),MOD((YEAR($A75)-YEAR('Recurring Schedule'!$F$24))*12+MONTH($A75)-MONTH('Recurring Schedule'!$F$24),'Recurring Schedule'!$O$24)=0),IF('Recurring Schedule'!$E$24="Weekdays",WEEKDAY($A75,2)&lt;=5,$A75='Recurring Schedule'!$F$24))),19,""))))</f>
        <v/>
      </c>
      <c r="U75">
        <f>IF('Recurring Schedule'!$C$25="","",IF('Recurring Schedule'!$F$25="","",IF(OR($A75&lt;'Recurring Schedule'!$F$25,$A75&gt;'Recurring Schedule'!$P$25),"",IF(IF('Recurring Schedule'!$N$25&gt;0,MOD($A75-'Recurring Schedule'!$F$25,'Recurring Schedule'!$N$25)=0,IF('Recurring Schedule'!$O$25&gt;0,AND(DAY($A75)=MIN(DAY('Recurring Schedule'!$F$25),DAY(EOMONTH($A75,0))),MOD((YEAR($A75)-YEAR('Recurring Schedule'!$F$25))*12+MONTH($A75)-MONTH('Recurring Schedule'!$F$25),'Recurring Schedule'!$O$25)=0),IF('Recurring Schedule'!$E$25="Weekdays",WEEKDAY($A75,2)&lt;=5,$A75='Recurring Schedule'!$F$25))),20,""))))</f>
        <v/>
      </c>
      <c r="V75">
        <f>IF('Recurring Schedule'!$C$26="","",IF('Recurring Schedule'!$F$26="","",IF(OR($A75&lt;'Recurring Schedule'!$F$26,$A75&gt;'Recurring Schedule'!$P$26),"",IF(IF('Recurring Schedule'!$N$26&gt;0,MOD($A75-'Recurring Schedule'!$F$26,'Recurring Schedule'!$N$26)=0,IF('Recurring Schedule'!$O$26&gt;0,AND(DAY($A75)=MIN(DAY('Recurring Schedule'!$F$26),DAY(EOMONTH($A75,0))),MOD((YEAR($A75)-YEAR('Recurring Schedule'!$F$26))*12+MONTH($A75)-MONTH('Recurring Schedule'!$F$26),'Recurring Schedule'!$O$26)=0),IF('Recurring Schedule'!$E$26="Weekdays",WEEKDAY($A75,2)&lt;=5,$A75='Recurring Schedule'!$F$26))),21,""))))</f>
        <v/>
      </c>
      <c r="W75">
        <f>IF('Recurring Schedule'!$C$27="","",IF('Recurring Schedule'!$F$27="","",IF(OR($A75&lt;'Recurring Schedule'!$F$27,$A75&gt;'Recurring Schedule'!$P$27),"",IF(IF('Recurring Schedule'!$N$27&gt;0,MOD($A75-'Recurring Schedule'!$F$27,'Recurring Schedule'!$N$27)=0,IF('Recurring Schedule'!$O$27&gt;0,AND(DAY($A75)=MIN(DAY('Recurring Schedule'!$F$27),DAY(EOMONTH($A75,0))),MOD((YEAR($A75)-YEAR('Recurring Schedule'!$F$27))*12+MONTH($A75)-MONTH('Recurring Schedule'!$F$27),'Recurring Schedule'!$O$27)=0),IF('Recurring Schedule'!$E$27="Weekdays",WEEKDAY($A75,2)&lt;=5,$A75='Recurring Schedule'!$F$27))),22,""))))</f>
        <v/>
      </c>
      <c r="X75">
        <f>IF('Recurring Schedule'!$C$28="","",IF('Recurring Schedule'!$F$28="","",IF(OR($A75&lt;'Recurring Schedule'!$F$28,$A75&gt;'Recurring Schedule'!$P$28),"",IF(IF('Recurring Schedule'!$N$28&gt;0,MOD($A75-'Recurring Schedule'!$F$28,'Recurring Schedule'!$N$28)=0,IF('Recurring Schedule'!$O$28&gt;0,AND(DAY($A75)=MIN(DAY('Recurring Schedule'!$F$28),DAY(EOMONTH($A75,0))),MOD((YEAR($A75)-YEAR('Recurring Schedule'!$F$28))*12+MONTH($A75)-MONTH('Recurring Schedule'!$F$28),'Recurring Schedule'!$O$28)=0),IF('Recurring Schedule'!$E$28="Weekdays",WEEKDAY($A75,2)&lt;=5,$A75='Recurring Schedule'!$F$28))),23,""))))</f>
        <v/>
      </c>
      <c r="Y75">
        <f>IF('Recurring Schedule'!$C$29="","",IF('Recurring Schedule'!$F$29="","",IF(OR($A75&lt;'Recurring Schedule'!$F$29,$A75&gt;'Recurring Schedule'!$P$29),"",IF(IF('Recurring Schedule'!$N$29&gt;0,MOD($A75-'Recurring Schedule'!$F$29,'Recurring Schedule'!$N$29)=0,IF('Recurring Schedule'!$O$29&gt;0,AND(DAY($A75)=MIN(DAY('Recurring Schedule'!$F$29),DAY(EOMONTH($A75,0))),MOD((YEAR($A75)-YEAR('Recurring Schedule'!$F$29))*12+MONTH($A75)-MONTH('Recurring Schedule'!$F$29),'Recurring Schedule'!$O$29)=0),IF('Recurring Schedule'!$E$29="Weekdays",WEEKDAY($A75,2)&lt;=5,$A75='Recurring Schedule'!$F$29))),24,""))))</f>
        <v/>
      </c>
      <c r="Z75">
        <f>IF('Recurring Schedule'!$C$30="","",IF('Recurring Schedule'!$F$30="","",IF(OR($A75&lt;'Recurring Schedule'!$F$30,$A75&gt;'Recurring Schedule'!$P$30),"",IF(IF('Recurring Schedule'!$N$30&gt;0,MOD($A75-'Recurring Schedule'!$F$30,'Recurring Schedule'!$N$30)=0,IF('Recurring Schedule'!$O$30&gt;0,AND(DAY($A75)=MIN(DAY('Recurring Schedule'!$F$30),DAY(EOMONTH($A75,0))),MOD((YEAR($A75)-YEAR('Recurring Schedule'!$F$30))*12+MONTH($A75)-MONTH('Recurring Schedule'!$F$30),'Recurring Schedule'!$O$30)=0),IF('Recurring Schedule'!$E$30="Weekdays",WEEKDAY($A75,2)&lt;=5,$A75='Recurring Schedule'!$F$30))),25,""))))</f>
        <v/>
      </c>
      <c r="AA75">
        <f>IF('Recurring Schedule'!$C$31="","",IF('Recurring Schedule'!$F$31="","",IF(OR($A75&lt;'Recurring Schedule'!$F$31,$A75&gt;'Recurring Schedule'!$P$31),"",IF(IF('Recurring Schedule'!$N$31&gt;0,MOD($A75-'Recurring Schedule'!$F$31,'Recurring Schedule'!$N$31)=0,IF('Recurring Schedule'!$O$31&gt;0,AND(DAY($A75)=MIN(DAY('Recurring Schedule'!$F$31),DAY(EOMONTH($A75,0))),MOD((YEAR($A75)-YEAR('Recurring Schedule'!$F$31))*12+MONTH($A75)-MONTH('Recurring Schedule'!$F$31),'Recurring Schedule'!$O$31)=0),IF('Recurring Schedule'!$E$31="Weekdays",WEEKDAY($A75,2)&lt;=5,$A75='Recurring Schedule'!$F$31))),26,""))))</f>
        <v/>
      </c>
      <c r="AB75">
        <f>IF('Recurring Schedule'!$C$32="","",IF('Recurring Schedule'!$F$32="","",IF(OR($A75&lt;'Recurring Schedule'!$F$32,$A75&gt;'Recurring Schedule'!$P$32),"",IF(IF('Recurring Schedule'!$N$32&gt;0,MOD($A75-'Recurring Schedule'!$F$32,'Recurring Schedule'!$N$32)=0,IF('Recurring Schedule'!$O$32&gt;0,AND(DAY($A75)=MIN(DAY('Recurring Schedule'!$F$32),DAY(EOMONTH($A75,0))),MOD((YEAR($A75)-YEAR('Recurring Schedule'!$F$32))*12+MONTH($A75)-MONTH('Recurring Schedule'!$F$32),'Recurring Schedule'!$O$32)=0),IF('Recurring Schedule'!$E$32="Weekdays",WEEKDAY($A75,2)&lt;=5,$A75='Recurring Schedule'!$F$32))),27,""))))</f>
        <v/>
      </c>
      <c r="AC75">
        <f>IF('Recurring Schedule'!$C$33="","",IF('Recurring Schedule'!$F$33="","",IF(OR($A75&lt;'Recurring Schedule'!$F$33,$A75&gt;'Recurring Schedule'!$P$33),"",IF(IF('Recurring Schedule'!$N$33&gt;0,MOD($A75-'Recurring Schedule'!$F$33,'Recurring Schedule'!$N$33)=0,IF('Recurring Schedule'!$O$33&gt;0,AND(DAY($A75)=MIN(DAY('Recurring Schedule'!$F$33),DAY(EOMONTH($A75,0))),MOD((YEAR($A75)-YEAR('Recurring Schedule'!$F$33))*12+MONTH($A75)-MONTH('Recurring Schedule'!$F$33),'Recurring Schedule'!$O$33)=0),IF('Recurring Schedule'!$E$33="Weekdays",WEEKDAY($A75,2)&lt;=5,$A75='Recurring Schedule'!$F$33))),28,""))))</f>
        <v/>
      </c>
      <c r="AD75">
        <f>IF('Recurring Schedule'!$C$34="","",IF('Recurring Schedule'!$F$34="","",IF(OR($A75&lt;'Recurring Schedule'!$F$34,$A75&gt;'Recurring Schedule'!$P$34),"",IF(IF('Recurring Schedule'!$N$34&gt;0,MOD($A75-'Recurring Schedule'!$F$34,'Recurring Schedule'!$N$34)=0,IF('Recurring Schedule'!$O$34&gt;0,AND(DAY($A75)=MIN(DAY('Recurring Schedule'!$F$34),DAY(EOMONTH($A75,0))),MOD((YEAR($A75)-YEAR('Recurring Schedule'!$F$34))*12+MONTH($A75)-MONTH('Recurring Schedule'!$F$34),'Recurring Schedule'!$O$34)=0),IF('Recurring Schedule'!$E$34="Weekdays",WEEKDAY($A75,2)&lt;=5,$A75='Recurring Schedule'!$F$34))),29,""))))</f>
        <v/>
      </c>
      <c r="AE75">
        <f>IF('Recurring Schedule'!$C$35="","",IF('Recurring Schedule'!$F$35="","",IF(OR($A75&lt;'Recurring Schedule'!$F$35,$A75&gt;'Recurring Schedule'!$P$35),"",IF(IF('Recurring Schedule'!$N$35&gt;0,MOD($A75-'Recurring Schedule'!$F$35,'Recurring Schedule'!$N$35)=0,IF('Recurring Schedule'!$O$35&gt;0,AND(DAY($A75)=MIN(DAY('Recurring Schedule'!$F$35),DAY(EOMONTH($A75,0))),MOD((YEAR($A75)-YEAR('Recurring Schedule'!$F$35))*12+MONTH($A75)-MONTH('Recurring Schedule'!$F$35),'Recurring Schedule'!$O$35)=0),IF('Recurring Schedule'!$E$35="Weekdays",WEEKDAY($A75,2)&lt;=5,$A75='Recurring Schedule'!$F$35))),30,""))))</f>
        <v/>
      </c>
      <c r="AF75">
        <f>IF('Recurring Schedule'!$C$36="","",IF('Recurring Schedule'!$F$36="","",IF(OR($A75&lt;'Recurring Schedule'!$F$36,$A75&gt;'Recurring Schedule'!$P$36),"",IF(IF('Recurring Schedule'!$N$36&gt;0,MOD($A75-'Recurring Schedule'!$F$36,'Recurring Schedule'!$N$36)=0,IF('Recurring Schedule'!$O$36&gt;0,AND(DAY($A75)=MIN(DAY('Recurring Schedule'!$F$36),DAY(EOMONTH($A75,0))),MOD((YEAR($A75)-YEAR('Recurring Schedule'!$F$36))*12+MONTH($A75)-MONTH('Recurring Schedule'!$F$36),'Recurring Schedule'!$O$36)=0),IF('Recurring Schedule'!$E$36="Weekdays",WEEKDAY($A75,2)&lt;=5,$A75='Recurring Schedule'!$F$36))),31,""))))</f>
        <v/>
      </c>
      <c r="AG75">
        <f>IF('Recurring Schedule'!$C$37="","",IF('Recurring Schedule'!$F$37="","",IF(OR($A75&lt;'Recurring Schedule'!$F$37,$A75&gt;'Recurring Schedule'!$P$37),"",IF(IF('Recurring Schedule'!$N$37&gt;0,MOD($A75-'Recurring Schedule'!$F$37,'Recurring Schedule'!$N$37)=0,IF('Recurring Schedule'!$O$37&gt;0,AND(DAY($A75)=MIN(DAY('Recurring Schedule'!$F$37),DAY(EOMONTH($A75,0))),MOD((YEAR($A75)-YEAR('Recurring Schedule'!$F$37))*12+MONTH($A75)-MONTH('Recurring Schedule'!$F$37),'Recurring Schedule'!$O$37)=0),IF('Recurring Schedule'!$E$37="Weekdays",WEEKDAY($A75,2)&lt;=5,$A75='Recurring Schedule'!$F$37))),32,""))))</f>
        <v/>
      </c>
      <c r="AH75">
        <f>IF('Recurring Schedule'!$C$38="","",IF('Recurring Schedule'!$F$38="","",IF(OR($A75&lt;'Recurring Schedule'!$F$38,$A75&gt;'Recurring Schedule'!$P$38),"",IF(IF('Recurring Schedule'!$N$38&gt;0,MOD($A75-'Recurring Schedule'!$F$38,'Recurring Schedule'!$N$38)=0,IF('Recurring Schedule'!$O$38&gt;0,AND(DAY($A75)=MIN(DAY('Recurring Schedule'!$F$38),DAY(EOMONTH($A75,0))),MOD((YEAR($A75)-YEAR('Recurring Schedule'!$F$38))*12+MONTH($A75)-MONTH('Recurring Schedule'!$F$38),'Recurring Schedule'!$O$38)=0),IF('Recurring Schedule'!$E$38="Weekdays",WEEKDAY($A75,2)&lt;=5,$A75='Recurring Schedule'!$F$38))),33,""))))</f>
        <v/>
      </c>
      <c r="AI75">
        <f>IF('Recurring Schedule'!$C$39="","",IF('Recurring Schedule'!$F$39="","",IF(OR($A75&lt;'Recurring Schedule'!$F$39,$A75&gt;'Recurring Schedule'!$P$39),"",IF(IF('Recurring Schedule'!$N$39&gt;0,MOD($A75-'Recurring Schedule'!$F$39,'Recurring Schedule'!$N$39)=0,IF('Recurring Schedule'!$O$39&gt;0,AND(DAY($A75)=MIN(DAY('Recurring Schedule'!$F$39),DAY(EOMONTH($A75,0))),MOD((YEAR($A75)-YEAR('Recurring Schedule'!$F$39))*12+MONTH($A75)-MONTH('Recurring Schedule'!$F$39),'Recurring Schedule'!$O$39)=0),IF('Recurring Schedule'!$E$39="Weekdays",WEEKDAY($A75,2)&lt;=5,$A75='Recurring Schedule'!$F$39))),34,""))))</f>
        <v/>
      </c>
      <c r="AJ75">
        <f>IF('Recurring Schedule'!$C$40="","",IF('Recurring Schedule'!$F$40="","",IF(OR($A75&lt;'Recurring Schedule'!$F$40,$A75&gt;'Recurring Schedule'!$P$40),"",IF(IF('Recurring Schedule'!$N$40&gt;0,MOD($A75-'Recurring Schedule'!$F$40,'Recurring Schedule'!$N$40)=0,IF('Recurring Schedule'!$O$40&gt;0,AND(DAY($A75)=MIN(DAY('Recurring Schedule'!$F$40),DAY(EOMONTH($A75,0))),MOD((YEAR($A75)-YEAR('Recurring Schedule'!$F$40))*12+MONTH($A75)-MONTH('Recurring Schedule'!$F$40),'Recurring Schedule'!$O$40)=0),IF('Recurring Schedule'!$E$40="Weekdays",WEEKDAY($A75,2)&lt;=5,$A75='Recurring Schedule'!$F$40))),35,""))))</f>
        <v/>
      </c>
      <c r="AK75">
        <f>IF('Recurring Schedule'!$C$41="","",IF('Recurring Schedule'!$F$41="","",IF(OR($A75&lt;'Recurring Schedule'!$F$41,$A75&gt;'Recurring Schedule'!$P$41),"",IF(IF('Recurring Schedule'!$N$41&gt;0,MOD($A75-'Recurring Schedule'!$F$41,'Recurring Schedule'!$N$41)=0,IF('Recurring Schedule'!$O$41&gt;0,AND(DAY($A75)=MIN(DAY('Recurring Schedule'!$F$41),DAY(EOMONTH($A75,0))),MOD((YEAR($A75)-YEAR('Recurring Schedule'!$F$41))*12+MONTH($A75)-MONTH('Recurring Schedule'!$F$41),'Recurring Schedule'!$O$41)=0),IF('Recurring Schedule'!$E$41="Weekdays",WEEKDAY($A75,2)&lt;=5,$A75='Recurring Schedule'!$F$41))),36,""))))</f>
        <v/>
      </c>
      <c r="AL75">
        <f>IF('Recurring Schedule'!$C$42="","",IF('Recurring Schedule'!$F$42="","",IF(OR($A75&lt;'Recurring Schedule'!$F$42,$A75&gt;'Recurring Schedule'!$P$42),"",IF(IF('Recurring Schedule'!$N$42&gt;0,MOD($A75-'Recurring Schedule'!$F$42,'Recurring Schedule'!$N$42)=0,IF('Recurring Schedule'!$O$42&gt;0,AND(DAY($A75)=MIN(DAY('Recurring Schedule'!$F$42),DAY(EOMONTH($A75,0))),MOD((YEAR($A75)-YEAR('Recurring Schedule'!$F$42))*12+MONTH($A75)-MONTH('Recurring Schedule'!$F$42),'Recurring Schedule'!$O$42)=0),IF('Recurring Schedule'!$E$42="Weekdays",WEEKDAY($A75,2)&lt;=5,$A75='Recurring Schedule'!$F$42))),37,""))))</f>
        <v/>
      </c>
      <c r="AM75">
        <f>IF('Recurring Schedule'!$C$43="","",IF('Recurring Schedule'!$F$43="","",IF(OR($A75&lt;'Recurring Schedule'!$F$43,$A75&gt;'Recurring Schedule'!$P$43),"",IF(IF('Recurring Schedule'!$N$43&gt;0,MOD($A75-'Recurring Schedule'!$F$43,'Recurring Schedule'!$N$43)=0,IF('Recurring Schedule'!$O$43&gt;0,AND(DAY($A75)=MIN(DAY('Recurring Schedule'!$F$43),DAY(EOMONTH($A75,0))),MOD((YEAR($A75)-YEAR('Recurring Schedule'!$F$43))*12+MONTH($A75)-MONTH('Recurring Schedule'!$F$43),'Recurring Schedule'!$O$43)=0),IF('Recurring Schedule'!$E$43="Weekdays",WEEKDAY($A75,2)&lt;=5,$A75='Recurring Schedule'!$F$43))),38,""))))</f>
        <v/>
      </c>
      <c r="AN75">
        <f>IF('Recurring Schedule'!$C$44="","",IF('Recurring Schedule'!$F$44="","",IF(OR($A75&lt;'Recurring Schedule'!$F$44,$A75&gt;'Recurring Schedule'!$P$44),"",IF(IF('Recurring Schedule'!$N$44&gt;0,MOD($A75-'Recurring Schedule'!$F$44,'Recurring Schedule'!$N$44)=0,IF('Recurring Schedule'!$O$44&gt;0,AND(DAY($A75)=MIN(DAY('Recurring Schedule'!$F$44),DAY(EOMONTH($A75,0))),MOD((YEAR($A75)-YEAR('Recurring Schedule'!$F$44))*12+MONTH($A75)-MONTH('Recurring Schedule'!$F$44),'Recurring Schedule'!$O$44)=0),IF('Recurring Schedule'!$E$44="Weekdays",WEEKDAY($A75,2)&lt;=5,$A75='Recurring Schedule'!$F$44))),39,""))))</f>
        <v/>
      </c>
      <c r="AO75">
        <f>IF('Recurring Schedule'!$C$45="","",IF('Recurring Schedule'!$F$45="","",IF(OR($A75&lt;'Recurring Schedule'!$F$45,$A75&gt;'Recurring Schedule'!$P$45),"",IF(IF('Recurring Schedule'!$N$45&gt;0,MOD($A75-'Recurring Schedule'!$F$45,'Recurring Schedule'!$N$45)=0,IF('Recurring Schedule'!$O$45&gt;0,AND(DAY($A75)=MIN(DAY('Recurring Schedule'!$F$45),DAY(EOMONTH($A75,0))),MOD((YEAR($A75)-YEAR('Recurring Schedule'!$F$45))*12+MONTH($A75)-MONTH('Recurring Schedule'!$F$45),'Recurring Schedule'!$O$45)=0),IF('Recurring Schedule'!$E$45="Weekdays",WEEKDAY($A75,2)&lt;=5,$A75='Recurring Schedule'!$F$45))),40,""))))</f>
        <v/>
      </c>
      <c r="AP75">
        <f>COUNT(B75:AO75)</f>
        <v/>
      </c>
      <c r="AQ75">
        <f>AQ74+AP74</f>
        <v/>
      </c>
      <c r="AS75" t="inlineStr">
        <is>
          <t>R</t>
        </is>
      </c>
      <c r="AT75" t="n">
        <v>79</v>
      </c>
      <c r="AU75">
        <f>'Recurring Log'!C79&amp;""</f>
        <v/>
      </c>
      <c r="AV75">
        <f>'Recurring Log'!D79&amp;""</f>
        <v/>
      </c>
      <c r="AW75">
        <f>IF('Recurring Log'!E79="","",'Recurring Log'!E79)</f>
        <v/>
      </c>
      <c r="AX75">
        <f>IF('Recurring Log'!G79="","",'Recurring Log'!G79)</f>
        <v/>
      </c>
      <c r="AY75">
        <f>IF('Recurring Log'!H79="","",'Recurring Log'!H79)</f>
        <v/>
      </c>
      <c r="AZ75">
        <f>IF(AU75="","",IF('Recurring Log'!J79="","Not Started",'Recurring Log'!J79))</f>
        <v/>
      </c>
      <c r="BA75">
        <f>'Recurring Log'!L79&amp;""</f>
        <v/>
      </c>
      <c r="BB75">
        <f>'Recurring Log'!M79&amp;""</f>
        <v/>
      </c>
      <c r="BC75">
        <f>'Recurring Log'!N79&amp;""</f>
        <v/>
      </c>
      <c r="BD75">
        <f>'Recurring Log'!O79&amp;""</f>
        <v/>
      </c>
      <c r="BE75">
        <f>IF('Recurring Log'!K79="","",'Recurring Log'!K79)</f>
        <v/>
      </c>
      <c r="BF75">
        <f>IFERROR(MATCH(BA75,Setup!$L$6:$L$9,0),5)</f>
        <v/>
      </c>
      <c r="BG75">
        <f>IF(OR(AZ75="Done",AZ75="Cancelled"),1,0)</f>
        <v/>
      </c>
      <c r="BH75">
        <f>IF(AND(AU75&lt;&gt;"",ISNUMBER(AW75)),1,0)</f>
        <v/>
      </c>
      <c r="BI75">
        <f>IF(BH75=0,0,IF(AND(AW75&gt;='Tasks Filter'!$F$3,AW75&lt;='Tasks Filter'!$F$4,OR('Tasks Filter'!$I$3="",ISNUMBER(SEARCH('Tasks Filter'!$I$3,AU75))),OR('Tasks Filter'!$I$4="",BF75=IFERROR(MATCH('Tasks Filter'!$I$4,Setup!$L$6:$L$9,0),0)),OR('Tasks Filter'!$I$5="Both",AND('Tasks Filter'!$I$5="Yes",BB75="✓"),AND('Tasks Filter'!$I$5="No",BB75&lt;&gt;"✓")),OR('Tasks Filter'!$L$3="",AV75='Tasks Filter'!$L$3),OR('Tasks Filter'!$L$4="",AZ75='Tasks Filter'!$L$4),OR('Tasks Filter'!$L$5="",BC75='Tasks Filter'!$L$5),OR('Tasks Filter'!$O$3="",BD75='Tasks Filter'!$O$3),OR('Tasks Filter'!$O$4="Yes",BG75=0)),1,0))</f>
        <v/>
      </c>
      <c r="BJ75">
        <f>IF(BH75=0,"",IF('Tasks Filter'!$F$6="Descending",-1,1)*CHOOSE(MATCH('Tasks Filter'!$F$5,Lists!$G$2:$G$6,0),AW75,BF75,IFERROR(MATCH(AV75,Setup!$F$6:$F$15,0),99),IFERROR(MATCH(BC75,Setup!$H$6:$H$15,0),99),IFERROR(MATCH(AZ75,Setup!$J$6:$J$11,0),99))*1E+9+(AW75-40000)*10000+74)</f>
        <v/>
      </c>
      <c r="BK75">
        <f>IF(BI75=1,BJ75,"")</f>
        <v/>
      </c>
      <c r="BL75">
        <f>IF(AND(BH75=1,BG75=0,N(AW75)&lt;Setup!$D$7),(AW75-40000)*10000+74,"")</f>
        <v/>
      </c>
      <c r="BM75">
        <f>IF(AND(BH75=1,AZ75&lt;&gt;"Cancelled",N(AW75)&gt;=Dashboard!$AB$3,N(AW75)&lt;=Dashboard!$AB$3+6),(AW75-40000)*100000+BF75*10000+74,"")</f>
        <v/>
      </c>
      <c r="BN75">
        <f>IF(AND(BH75=1,AZ75&lt;&gt;"Cancelled"),BF75*10000+74,"")</f>
        <v/>
      </c>
    </row>
    <row r="76">
      <c r="A76">
        <f>Setup!$D$5+74</f>
        <v/>
      </c>
      <c r="B76">
        <f>IF('Recurring Schedule'!$C$6="","",IF('Recurring Schedule'!$F$6="","",IF(OR($A76&lt;'Recurring Schedule'!$F$6,$A76&gt;'Recurring Schedule'!$P$6),"",IF(IF('Recurring Schedule'!$N$6&gt;0,MOD($A76-'Recurring Schedule'!$F$6,'Recurring Schedule'!$N$6)=0,IF('Recurring Schedule'!$O$6&gt;0,AND(DAY($A76)=MIN(DAY('Recurring Schedule'!$F$6),DAY(EOMONTH($A76,0))),MOD((YEAR($A76)-YEAR('Recurring Schedule'!$F$6))*12+MONTH($A76)-MONTH('Recurring Schedule'!$F$6),'Recurring Schedule'!$O$6)=0),IF('Recurring Schedule'!$E$6="Weekdays",WEEKDAY($A76,2)&lt;=5,$A76='Recurring Schedule'!$F$6))),1,""))))</f>
        <v/>
      </c>
      <c r="C76">
        <f>IF('Recurring Schedule'!$C$7="","",IF('Recurring Schedule'!$F$7="","",IF(OR($A76&lt;'Recurring Schedule'!$F$7,$A76&gt;'Recurring Schedule'!$P$7),"",IF(IF('Recurring Schedule'!$N$7&gt;0,MOD($A76-'Recurring Schedule'!$F$7,'Recurring Schedule'!$N$7)=0,IF('Recurring Schedule'!$O$7&gt;0,AND(DAY($A76)=MIN(DAY('Recurring Schedule'!$F$7),DAY(EOMONTH($A76,0))),MOD((YEAR($A76)-YEAR('Recurring Schedule'!$F$7))*12+MONTH($A76)-MONTH('Recurring Schedule'!$F$7),'Recurring Schedule'!$O$7)=0),IF('Recurring Schedule'!$E$7="Weekdays",WEEKDAY($A76,2)&lt;=5,$A76='Recurring Schedule'!$F$7))),2,""))))</f>
        <v/>
      </c>
      <c r="D76">
        <f>IF('Recurring Schedule'!$C$8="","",IF('Recurring Schedule'!$F$8="","",IF(OR($A76&lt;'Recurring Schedule'!$F$8,$A76&gt;'Recurring Schedule'!$P$8),"",IF(IF('Recurring Schedule'!$N$8&gt;0,MOD($A76-'Recurring Schedule'!$F$8,'Recurring Schedule'!$N$8)=0,IF('Recurring Schedule'!$O$8&gt;0,AND(DAY($A76)=MIN(DAY('Recurring Schedule'!$F$8),DAY(EOMONTH($A76,0))),MOD((YEAR($A76)-YEAR('Recurring Schedule'!$F$8))*12+MONTH($A76)-MONTH('Recurring Schedule'!$F$8),'Recurring Schedule'!$O$8)=0),IF('Recurring Schedule'!$E$8="Weekdays",WEEKDAY($A76,2)&lt;=5,$A76='Recurring Schedule'!$F$8))),3,""))))</f>
        <v/>
      </c>
      <c r="E76">
        <f>IF('Recurring Schedule'!$C$9="","",IF('Recurring Schedule'!$F$9="","",IF(OR($A76&lt;'Recurring Schedule'!$F$9,$A76&gt;'Recurring Schedule'!$P$9),"",IF(IF('Recurring Schedule'!$N$9&gt;0,MOD($A76-'Recurring Schedule'!$F$9,'Recurring Schedule'!$N$9)=0,IF('Recurring Schedule'!$O$9&gt;0,AND(DAY($A76)=MIN(DAY('Recurring Schedule'!$F$9),DAY(EOMONTH($A76,0))),MOD((YEAR($A76)-YEAR('Recurring Schedule'!$F$9))*12+MONTH($A76)-MONTH('Recurring Schedule'!$F$9),'Recurring Schedule'!$O$9)=0),IF('Recurring Schedule'!$E$9="Weekdays",WEEKDAY($A76,2)&lt;=5,$A76='Recurring Schedule'!$F$9))),4,""))))</f>
        <v/>
      </c>
      <c r="F76">
        <f>IF('Recurring Schedule'!$C$10="","",IF('Recurring Schedule'!$F$10="","",IF(OR($A76&lt;'Recurring Schedule'!$F$10,$A76&gt;'Recurring Schedule'!$P$10),"",IF(IF('Recurring Schedule'!$N$10&gt;0,MOD($A76-'Recurring Schedule'!$F$10,'Recurring Schedule'!$N$10)=0,IF('Recurring Schedule'!$O$10&gt;0,AND(DAY($A76)=MIN(DAY('Recurring Schedule'!$F$10),DAY(EOMONTH($A76,0))),MOD((YEAR($A76)-YEAR('Recurring Schedule'!$F$10))*12+MONTH($A76)-MONTH('Recurring Schedule'!$F$10),'Recurring Schedule'!$O$10)=0),IF('Recurring Schedule'!$E$10="Weekdays",WEEKDAY($A76,2)&lt;=5,$A76='Recurring Schedule'!$F$10))),5,""))))</f>
        <v/>
      </c>
      <c r="G76">
        <f>IF('Recurring Schedule'!$C$11="","",IF('Recurring Schedule'!$F$11="","",IF(OR($A76&lt;'Recurring Schedule'!$F$11,$A76&gt;'Recurring Schedule'!$P$11),"",IF(IF('Recurring Schedule'!$N$11&gt;0,MOD($A76-'Recurring Schedule'!$F$11,'Recurring Schedule'!$N$11)=0,IF('Recurring Schedule'!$O$11&gt;0,AND(DAY($A76)=MIN(DAY('Recurring Schedule'!$F$11),DAY(EOMONTH($A76,0))),MOD((YEAR($A76)-YEAR('Recurring Schedule'!$F$11))*12+MONTH($A76)-MONTH('Recurring Schedule'!$F$11),'Recurring Schedule'!$O$11)=0),IF('Recurring Schedule'!$E$11="Weekdays",WEEKDAY($A76,2)&lt;=5,$A76='Recurring Schedule'!$F$11))),6,""))))</f>
        <v/>
      </c>
      <c r="H76">
        <f>IF('Recurring Schedule'!$C$12="","",IF('Recurring Schedule'!$F$12="","",IF(OR($A76&lt;'Recurring Schedule'!$F$12,$A76&gt;'Recurring Schedule'!$P$12),"",IF(IF('Recurring Schedule'!$N$12&gt;0,MOD($A76-'Recurring Schedule'!$F$12,'Recurring Schedule'!$N$12)=0,IF('Recurring Schedule'!$O$12&gt;0,AND(DAY($A76)=MIN(DAY('Recurring Schedule'!$F$12),DAY(EOMONTH($A76,0))),MOD((YEAR($A76)-YEAR('Recurring Schedule'!$F$12))*12+MONTH($A76)-MONTH('Recurring Schedule'!$F$12),'Recurring Schedule'!$O$12)=0),IF('Recurring Schedule'!$E$12="Weekdays",WEEKDAY($A76,2)&lt;=5,$A76='Recurring Schedule'!$F$12))),7,""))))</f>
        <v/>
      </c>
      <c r="I76">
        <f>IF('Recurring Schedule'!$C$13="","",IF('Recurring Schedule'!$F$13="","",IF(OR($A76&lt;'Recurring Schedule'!$F$13,$A76&gt;'Recurring Schedule'!$P$13),"",IF(IF('Recurring Schedule'!$N$13&gt;0,MOD($A76-'Recurring Schedule'!$F$13,'Recurring Schedule'!$N$13)=0,IF('Recurring Schedule'!$O$13&gt;0,AND(DAY($A76)=MIN(DAY('Recurring Schedule'!$F$13),DAY(EOMONTH($A76,0))),MOD((YEAR($A76)-YEAR('Recurring Schedule'!$F$13))*12+MONTH($A76)-MONTH('Recurring Schedule'!$F$13),'Recurring Schedule'!$O$13)=0),IF('Recurring Schedule'!$E$13="Weekdays",WEEKDAY($A76,2)&lt;=5,$A76='Recurring Schedule'!$F$13))),8,""))))</f>
        <v/>
      </c>
      <c r="J76">
        <f>IF('Recurring Schedule'!$C$14="","",IF('Recurring Schedule'!$F$14="","",IF(OR($A76&lt;'Recurring Schedule'!$F$14,$A76&gt;'Recurring Schedule'!$P$14),"",IF(IF('Recurring Schedule'!$N$14&gt;0,MOD($A76-'Recurring Schedule'!$F$14,'Recurring Schedule'!$N$14)=0,IF('Recurring Schedule'!$O$14&gt;0,AND(DAY($A76)=MIN(DAY('Recurring Schedule'!$F$14),DAY(EOMONTH($A76,0))),MOD((YEAR($A76)-YEAR('Recurring Schedule'!$F$14))*12+MONTH($A76)-MONTH('Recurring Schedule'!$F$14),'Recurring Schedule'!$O$14)=0),IF('Recurring Schedule'!$E$14="Weekdays",WEEKDAY($A76,2)&lt;=5,$A76='Recurring Schedule'!$F$14))),9,""))))</f>
        <v/>
      </c>
      <c r="K76">
        <f>IF('Recurring Schedule'!$C$15="","",IF('Recurring Schedule'!$F$15="","",IF(OR($A76&lt;'Recurring Schedule'!$F$15,$A76&gt;'Recurring Schedule'!$P$15),"",IF(IF('Recurring Schedule'!$N$15&gt;0,MOD($A76-'Recurring Schedule'!$F$15,'Recurring Schedule'!$N$15)=0,IF('Recurring Schedule'!$O$15&gt;0,AND(DAY($A76)=MIN(DAY('Recurring Schedule'!$F$15),DAY(EOMONTH($A76,0))),MOD((YEAR($A76)-YEAR('Recurring Schedule'!$F$15))*12+MONTH($A76)-MONTH('Recurring Schedule'!$F$15),'Recurring Schedule'!$O$15)=0),IF('Recurring Schedule'!$E$15="Weekdays",WEEKDAY($A76,2)&lt;=5,$A76='Recurring Schedule'!$F$15))),10,""))))</f>
        <v/>
      </c>
      <c r="L76">
        <f>IF('Recurring Schedule'!$C$16="","",IF('Recurring Schedule'!$F$16="","",IF(OR($A76&lt;'Recurring Schedule'!$F$16,$A76&gt;'Recurring Schedule'!$P$16),"",IF(IF('Recurring Schedule'!$N$16&gt;0,MOD($A76-'Recurring Schedule'!$F$16,'Recurring Schedule'!$N$16)=0,IF('Recurring Schedule'!$O$16&gt;0,AND(DAY($A76)=MIN(DAY('Recurring Schedule'!$F$16),DAY(EOMONTH($A76,0))),MOD((YEAR($A76)-YEAR('Recurring Schedule'!$F$16))*12+MONTH($A76)-MONTH('Recurring Schedule'!$F$16),'Recurring Schedule'!$O$16)=0),IF('Recurring Schedule'!$E$16="Weekdays",WEEKDAY($A76,2)&lt;=5,$A76='Recurring Schedule'!$F$16))),11,""))))</f>
        <v/>
      </c>
      <c r="M76">
        <f>IF('Recurring Schedule'!$C$17="","",IF('Recurring Schedule'!$F$17="","",IF(OR($A76&lt;'Recurring Schedule'!$F$17,$A76&gt;'Recurring Schedule'!$P$17),"",IF(IF('Recurring Schedule'!$N$17&gt;0,MOD($A76-'Recurring Schedule'!$F$17,'Recurring Schedule'!$N$17)=0,IF('Recurring Schedule'!$O$17&gt;0,AND(DAY($A76)=MIN(DAY('Recurring Schedule'!$F$17),DAY(EOMONTH($A76,0))),MOD((YEAR($A76)-YEAR('Recurring Schedule'!$F$17))*12+MONTH($A76)-MONTH('Recurring Schedule'!$F$17),'Recurring Schedule'!$O$17)=0),IF('Recurring Schedule'!$E$17="Weekdays",WEEKDAY($A76,2)&lt;=5,$A76='Recurring Schedule'!$F$17))),12,""))))</f>
        <v/>
      </c>
      <c r="N76">
        <f>IF('Recurring Schedule'!$C$18="","",IF('Recurring Schedule'!$F$18="","",IF(OR($A76&lt;'Recurring Schedule'!$F$18,$A76&gt;'Recurring Schedule'!$P$18),"",IF(IF('Recurring Schedule'!$N$18&gt;0,MOD($A76-'Recurring Schedule'!$F$18,'Recurring Schedule'!$N$18)=0,IF('Recurring Schedule'!$O$18&gt;0,AND(DAY($A76)=MIN(DAY('Recurring Schedule'!$F$18),DAY(EOMONTH($A76,0))),MOD((YEAR($A76)-YEAR('Recurring Schedule'!$F$18))*12+MONTH($A76)-MONTH('Recurring Schedule'!$F$18),'Recurring Schedule'!$O$18)=0),IF('Recurring Schedule'!$E$18="Weekdays",WEEKDAY($A76,2)&lt;=5,$A76='Recurring Schedule'!$F$18))),13,""))))</f>
        <v/>
      </c>
      <c r="O76">
        <f>IF('Recurring Schedule'!$C$19="","",IF('Recurring Schedule'!$F$19="","",IF(OR($A76&lt;'Recurring Schedule'!$F$19,$A76&gt;'Recurring Schedule'!$P$19),"",IF(IF('Recurring Schedule'!$N$19&gt;0,MOD($A76-'Recurring Schedule'!$F$19,'Recurring Schedule'!$N$19)=0,IF('Recurring Schedule'!$O$19&gt;0,AND(DAY($A76)=MIN(DAY('Recurring Schedule'!$F$19),DAY(EOMONTH($A76,0))),MOD((YEAR($A76)-YEAR('Recurring Schedule'!$F$19))*12+MONTH($A76)-MONTH('Recurring Schedule'!$F$19),'Recurring Schedule'!$O$19)=0),IF('Recurring Schedule'!$E$19="Weekdays",WEEKDAY($A76,2)&lt;=5,$A76='Recurring Schedule'!$F$19))),14,""))))</f>
        <v/>
      </c>
      <c r="P76">
        <f>IF('Recurring Schedule'!$C$20="","",IF('Recurring Schedule'!$F$20="","",IF(OR($A76&lt;'Recurring Schedule'!$F$20,$A76&gt;'Recurring Schedule'!$P$20),"",IF(IF('Recurring Schedule'!$N$20&gt;0,MOD($A76-'Recurring Schedule'!$F$20,'Recurring Schedule'!$N$20)=0,IF('Recurring Schedule'!$O$20&gt;0,AND(DAY($A76)=MIN(DAY('Recurring Schedule'!$F$20),DAY(EOMONTH($A76,0))),MOD((YEAR($A76)-YEAR('Recurring Schedule'!$F$20))*12+MONTH($A76)-MONTH('Recurring Schedule'!$F$20),'Recurring Schedule'!$O$20)=0),IF('Recurring Schedule'!$E$20="Weekdays",WEEKDAY($A76,2)&lt;=5,$A76='Recurring Schedule'!$F$20))),15,""))))</f>
        <v/>
      </c>
      <c r="Q76">
        <f>IF('Recurring Schedule'!$C$21="","",IF('Recurring Schedule'!$F$21="","",IF(OR($A76&lt;'Recurring Schedule'!$F$21,$A76&gt;'Recurring Schedule'!$P$21),"",IF(IF('Recurring Schedule'!$N$21&gt;0,MOD($A76-'Recurring Schedule'!$F$21,'Recurring Schedule'!$N$21)=0,IF('Recurring Schedule'!$O$21&gt;0,AND(DAY($A76)=MIN(DAY('Recurring Schedule'!$F$21),DAY(EOMONTH($A76,0))),MOD((YEAR($A76)-YEAR('Recurring Schedule'!$F$21))*12+MONTH($A76)-MONTH('Recurring Schedule'!$F$21),'Recurring Schedule'!$O$21)=0),IF('Recurring Schedule'!$E$21="Weekdays",WEEKDAY($A76,2)&lt;=5,$A76='Recurring Schedule'!$F$21))),16,""))))</f>
        <v/>
      </c>
      <c r="R76">
        <f>IF('Recurring Schedule'!$C$22="","",IF('Recurring Schedule'!$F$22="","",IF(OR($A76&lt;'Recurring Schedule'!$F$22,$A76&gt;'Recurring Schedule'!$P$22),"",IF(IF('Recurring Schedule'!$N$22&gt;0,MOD($A76-'Recurring Schedule'!$F$22,'Recurring Schedule'!$N$22)=0,IF('Recurring Schedule'!$O$22&gt;0,AND(DAY($A76)=MIN(DAY('Recurring Schedule'!$F$22),DAY(EOMONTH($A76,0))),MOD((YEAR($A76)-YEAR('Recurring Schedule'!$F$22))*12+MONTH($A76)-MONTH('Recurring Schedule'!$F$22),'Recurring Schedule'!$O$22)=0),IF('Recurring Schedule'!$E$22="Weekdays",WEEKDAY($A76,2)&lt;=5,$A76='Recurring Schedule'!$F$22))),17,""))))</f>
        <v/>
      </c>
      <c r="S76">
        <f>IF('Recurring Schedule'!$C$23="","",IF('Recurring Schedule'!$F$23="","",IF(OR($A76&lt;'Recurring Schedule'!$F$23,$A76&gt;'Recurring Schedule'!$P$23),"",IF(IF('Recurring Schedule'!$N$23&gt;0,MOD($A76-'Recurring Schedule'!$F$23,'Recurring Schedule'!$N$23)=0,IF('Recurring Schedule'!$O$23&gt;0,AND(DAY($A76)=MIN(DAY('Recurring Schedule'!$F$23),DAY(EOMONTH($A76,0))),MOD((YEAR($A76)-YEAR('Recurring Schedule'!$F$23))*12+MONTH($A76)-MONTH('Recurring Schedule'!$F$23),'Recurring Schedule'!$O$23)=0),IF('Recurring Schedule'!$E$23="Weekdays",WEEKDAY($A76,2)&lt;=5,$A76='Recurring Schedule'!$F$23))),18,""))))</f>
        <v/>
      </c>
      <c r="T76">
        <f>IF('Recurring Schedule'!$C$24="","",IF('Recurring Schedule'!$F$24="","",IF(OR($A76&lt;'Recurring Schedule'!$F$24,$A76&gt;'Recurring Schedule'!$P$24),"",IF(IF('Recurring Schedule'!$N$24&gt;0,MOD($A76-'Recurring Schedule'!$F$24,'Recurring Schedule'!$N$24)=0,IF('Recurring Schedule'!$O$24&gt;0,AND(DAY($A76)=MIN(DAY('Recurring Schedule'!$F$24),DAY(EOMONTH($A76,0))),MOD((YEAR($A76)-YEAR('Recurring Schedule'!$F$24))*12+MONTH($A76)-MONTH('Recurring Schedule'!$F$24),'Recurring Schedule'!$O$24)=0),IF('Recurring Schedule'!$E$24="Weekdays",WEEKDAY($A76,2)&lt;=5,$A76='Recurring Schedule'!$F$24))),19,""))))</f>
        <v/>
      </c>
      <c r="U76">
        <f>IF('Recurring Schedule'!$C$25="","",IF('Recurring Schedule'!$F$25="","",IF(OR($A76&lt;'Recurring Schedule'!$F$25,$A76&gt;'Recurring Schedule'!$P$25),"",IF(IF('Recurring Schedule'!$N$25&gt;0,MOD($A76-'Recurring Schedule'!$F$25,'Recurring Schedule'!$N$25)=0,IF('Recurring Schedule'!$O$25&gt;0,AND(DAY($A76)=MIN(DAY('Recurring Schedule'!$F$25),DAY(EOMONTH($A76,0))),MOD((YEAR($A76)-YEAR('Recurring Schedule'!$F$25))*12+MONTH($A76)-MONTH('Recurring Schedule'!$F$25),'Recurring Schedule'!$O$25)=0),IF('Recurring Schedule'!$E$25="Weekdays",WEEKDAY($A76,2)&lt;=5,$A76='Recurring Schedule'!$F$25))),20,""))))</f>
        <v/>
      </c>
      <c r="V76">
        <f>IF('Recurring Schedule'!$C$26="","",IF('Recurring Schedule'!$F$26="","",IF(OR($A76&lt;'Recurring Schedule'!$F$26,$A76&gt;'Recurring Schedule'!$P$26),"",IF(IF('Recurring Schedule'!$N$26&gt;0,MOD($A76-'Recurring Schedule'!$F$26,'Recurring Schedule'!$N$26)=0,IF('Recurring Schedule'!$O$26&gt;0,AND(DAY($A76)=MIN(DAY('Recurring Schedule'!$F$26),DAY(EOMONTH($A76,0))),MOD((YEAR($A76)-YEAR('Recurring Schedule'!$F$26))*12+MONTH($A76)-MONTH('Recurring Schedule'!$F$26),'Recurring Schedule'!$O$26)=0),IF('Recurring Schedule'!$E$26="Weekdays",WEEKDAY($A76,2)&lt;=5,$A76='Recurring Schedule'!$F$26))),21,""))))</f>
        <v/>
      </c>
      <c r="W76">
        <f>IF('Recurring Schedule'!$C$27="","",IF('Recurring Schedule'!$F$27="","",IF(OR($A76&lt;'Recurring Schedule'!$F$27,$A76&gt;'Recurring Schedule'!$P$27),"",IF(IF('Recurring Schedule'!$N$27&gt;0,MOD($A76-'Recurring Schedule'!$F$27,'Recurring Schedule'!$N$27)=0,IF('Recurring Schedule'!$O$27&gt;0,AND(DAY($A76)=MIN(DAY('Recurring Schedule'!$F$27),DAY(EOMONTH($A76,0))),MOD((YEAR($A76)-YEAR('Recurring Schedule'!$F$27))*12+MONTH($A76)-MONTH('Recurring Schedule'!$F$27),'Recurring Schedule'!$O$27)=0),IF('Recurring Schedule'!$E$27="Weekdays",WEEKDAY($A76,2)&lt;=5,$A76='Recurring Schedule'!$F$27))),22,""))))</f>
        <v/>
      </c>
      <c r="X76">
        <f>IF('Recurring Schedule'!$C$28="","",IF('Recurring Schedule'!$F$28="","",IF(OR($A76&lt;'Recurring Schedule'!$F$28,$A76&gt;'Recurring Schedule'!$P$28),"",IF(IF('Recurring Schedule'!$N$28&gt;0,MOD($A76-'Recurring Schedule'!$F$28,'Recurring Schedule'!$N$28)=0,IF('Recurring Schedule'!$O$28&gt;0,AND(DAY($A76)=MIN(DAY('Recurring Schedule'!$F$28),DAY(EOMONTH($A76,0))),MOD((YEAR($A76)-YEAR('Recurring Schedule'!$F$28))*12+MONTH($A76)-MONTH('Recurring Schedule'!$F$28),'Recurring Schedule'!$O$28)=0),IF('Recurring Schedule'!$E$28="Weekdays",WEEKDAY($A76,2)&lt;=5,$A76='Recurring Schedule'!$F$28))),23,""))))</f>
        <v/>
      </c>
      <c r="Y76">
        <f>IF('Recurring Schedule'!$C$29="","",IF('Recurring Schedule'!$F$29="","",IF(OR($A76&lt;'Recurring Schedule'!$F$29,$A76&gt;'Recurring Schedule'!$P$29),"",IF(IF('Recurring Schedule'!$N$29&gt;0,MOD($A76-'Recurring Schedule'!$F$29,'Recurring Schedule'!$N$29)=0,IF('Recurring Schedule'!$O$29&gt;0,AND(DAY($A76)=MIN(DAY('Recurring Schedule'!$F$29),DAY(EOMONTH($A76,0))),MOD((YEAR($A76)-YEAR('Recurring Schedule'!$F$29))*12+MONTH($A76)-MONTH('Recurring Schedule'!$F$29),'Recurring Schedule'!$O$29)=0),IF('Recurring Schedule'!$E$29="Weekdays",WEEKDAY($A76,2)&lt;=5,$A76='Recurring Schedule'!$F$29))),24,""))))</f>
        <v/>
      </c>
      <c r="Z76">
        <f>IF('Recurring Schedule'!$C$30="","",IF('Recurring Schedule'!$F$30="","",IF(OR($A76&lt;'Recurring Schedule'!$F$30,$A76&gt;'Recurring Schedule'!$P$30),"",IF(IF('Recurring Schedule'!$N$30&gt;0,MOD($A76-'Recurring Schedule'!$F$30,'Recurring Schedule'!$N$30)=0,IF('Recurring Schedule'!$O$30&gt;0,AND(DAY($A76)=MIN(DAY('Recurring Schedule'!$F$30),DAY(EOMONTH($A76,0))),MOD((YEAR($A76)-YEAR('Recurring Schedule'!$F$30))*12+MONTH($A76)-MONTH('Recurring Schedule'!$F$30),'Recurring Schedule'!$O$30)=0),IF('Recurring Schedule'!$E$30="Weekdays",WEEKDAY($A76,2)&lt;=5,$A76='Recurring Schedule'!$F$30))),25,""))))</f>
        <v/>
      </c>
      <c r="AA76">
        <f>IF('Recurring Schedule'!$C$31="","",IF('Recurring Schedule'!$F$31="","",IF(OR($A76&lt;'Recurring Schedule'!$F$31,$A76&gt;'Recurring Schedule'!$P$31),"",IF(IF('Recurring Schedule'!$N$31&gt;0,MOD($A76-'Recurring Schedule'!$F$31,'Recurring Schedule'!$N$31)=0,IF('Recurring Schedule'!$O$31&gt;0,AND(DAY($A76)=MIN(DAY('Recurring Schedule'!$F$31),DAY(EOMONTH($A76,0))),MOD((YEAR($A76)-YEAR('Recurring Schedule'!$F$31))*12+MONTH($A76)-MONTH('Recurring Schedule'!$F$31),'Recurring Schedule'!$O$31)=0),IF('Recurring Schedule'!$E$31="Weekdays",WEEKDAY($A76,2)&lt;=5,$A76='Recurring Schedule'!$F$31))),26,""))))</f>
        <v/>
      </c>
      <c r="AB76">
        <f>IF('Recurring Schedule'!$C$32="","",IF('Recurring Schedule'!$F$32="","",IF(OR($A76&lt;'Recurring Schedule'!$F$32,$A76&gt;'Recurring Schedule'!$P$32),"",IF(IF('Recurring Schedule'!$N$32&gt;0,MOD($A76-'Recurring Schedule'!$F$32,'Recurring Schedule'!$N$32)=0,IF('Recurring Schedule'!$O$32&gt;0,AND(DAY($A76)=MIN(DAY('Recurring Schedule'!$F$32),DAY(EOMONTH($A76,0))),MOD((YEAR($A76)-YEAR('Recurring Schedule'!$F$32))*12+MONTH($A76)-MONTH('Recurring Schedule'!$F$32),'Recurring Schedule'!$O$32)=0),IF('Recurring Schedule'!$E$32="Weekdays",WEEKDAY($A76,2)&lt;=5,$A76='Recurring Schedule'!$F$32))),27,""))))</f>
        <v/>
      </c>
      <c r="AC76">
        <f>IF('Recurring Schedule'!$C$33="","",IF('Recurring Schedule'!$F$33="","",IF(OR($A76&lt;'Recurring Schedule'!$F$33,$A76&gt;'Recurring Schedule'!$P$33),"",IF(IF('Recurring Schedule'!$N$33&gt;0,MOD($A76-'Recurring Schedule'!$F$33,'Recurring Schedule'!$N$33)=0,IF('Recurring Schedule'!$O$33&gt;0,AND(DAY($A76)=MIN(DAY('Recurring Schedule'!$F$33),DAY(EOMONTH($A76,0))),MOD((YEAR($A76)-YEAR('Recurring Schedule'!$F$33))*12+MONTH($A76)-MONTH('Recurring Schedule'!$F$33),'Recurring Schedule'!$O$33)=0),IF('Recurring Schedule'!$E$33="Weekdays",WEEKDAY($A76,2)&lt;=5,$A76='Recurring Schedule'!$F$33))),28,""))))</f>
        <v/>
      </c>
      <c r="AD76">
        <f>IF('Recurring Schedule'!$C$34="","",IF('Recurring Schedule'!$F$34="","",IF(OR($A76&lt;'Recurring Schedule'!$F$34,$A76&gt;'Recurring Schedule'!$P$34),"",IF(IF('Recurring Schedule'!$N$34&gt;0,MOD($A76-'Recurring Schedule'!$F$34,'Recurring Schedule'!$N$34)=0,IF('Recurring Schedule'!$O$34&gt;0,AND(DAY($A76)=MIN(DAY('Recurring Schedule'!$F$34),DAY(EOMONTH($A76,0))),MOD((YEAR($A76)-YEAR('Recurring Schedule'!$F$34))*12+MONTH($A76)-MONTH('Recurring Schedule'!$F$34),'Recurring Schedule'!$O$34)=0),IF('Recurring Schedule'!$E$34="Weekdays",WEEKDAY($A76,2)&lt;=5,$A76='Recurring Schedule'!$F$34))),29,""))))</f>
        <v/>
      </c>
      <c r="AE76">
        <f>IF('Recurring Schedule'!$C$35="","",IF('Recurring Schedule'!$F$35="","",IF(OR($A76&lt;'Recurring Schedule'!$F$35,$A76&gt;'Recurring Schedule'!$P$35),"",IF(IF('Recurring Schedule'!$N$35&gt;0,MOD($A76-'Recurring Schedule'!$F$35,'Recurring Schedule'!$N$35)=0,IF('Recurring Schedule'!$O$35&gt;0,AND(DAY($A76)=MIN(DAY('Recurring Schedule'!$F$35),DAY(EOMONTH($A76,0))),MOD((YEAR($A76)-YEAR('Recurring Schedule'!$F$35))*12+MONTH($A76)-MONTH('Recurring Schedule'!$F$35),'Recurring Schedule'!$O$35)=0),IF('Recurring Schedule'!$E$35="Weekdays",WEEKDAY($A76,2)&lt;=5,$A76='Recurring Schedule'!$F$35))),30,""))))</f>
        <v/>
      </c>
      <c r="AF76">
        <f>IF('Recurring Schedule'!$C$36="","",IF('Recurring Schedule'!$F$36="","",IF(OR($A76&lt;'Recurring Schedule'!$F$36,$A76&gt;'Recurring Schedule'!$P$36),"",IF(IF('Recurring Schedule'!$N$36&gt;0,MOD($A76-'Recurring Schedule'!$F$36,'Recurring Schedule'!$N$36)=0,IF('Recurring Schedule'!$O$36&gt;0,AND(DAY($A76)=MIN(DAY('Recurring Schedule'!$F$36),DAY(EOMONTH($A76,0))),MOD((YEAR($A76)-YEAR('Recurring Schedule'!$F$36))*12+MONTH($A76)-MONTH('Recurring Schedule'!$F$36),'Recurring Schedule'!$O$36)=0),IF('Recurring Schedule'!$E$36="Weekdays",WEEKDAY($A76,2)&lt;=5,$A76='Recurring Schedule'!$F$36))),31,""))))</f>
        <v/>
      </c>
      <c r="AG76">
        <f>IF('Recurring Schedule'!$C$37="","",IF('Recurring Schedule'!$F$37="","",IF(OR($A76&lt;'Recurring Schedule'!$F$37,$A76&gt;'Recurring Schedule'!$P$37),"",IF(IF('Recurring Schedule'!$N$37&gt;0,MOD($A76-'Recurring Schedule'!$F$37,'Recurring Schedule'!$N$37)=0,IF('Recurring Schedule'!$O$37&gt;0,AND(DAY($A76)=MIN(DAY('Recurring Schedule'!$F$37),DAY(EOMONTH($A76,0))),MOD((YEAR($A76)-YEAR('Recurring Schedule'!$F$37))*12+MONTH($A76)-MONTH('Recurring Schedule'!$F$37),'Recurring Schedule'!$O$37)=0),IF('Recurring Schedule'!$E$37="Weekdays",WEEKDAY($A76,2)&lt;=5,$A76='Recurring Schedule'!$F$37))),32,""))))</f>
        <v/>
      </c>
      <c r="AH76">
        <f>IF('Recurring Schedule'!$C$38="","",IF('Recurring Schedule'!$F$38="","",IF(OR($A76&lt;'Recurring Schedule'!$F$38,$A76&gt;'Recurring Schedule'!$P$38),"",IF(IF('Recurring Schedule'!$N$38&gt;0,MOD($A76-'Recurring Schedule'!$F$38,'Recurring Schedule'!$N$38)=0,IF('Recurring Schedule'!$O$38&gt;0,AND(DAY($A76)=MIN(DAY('Recurring Schedule'!$F$38),DAY(EOMONTH($A76,0))),MOD((YEAR($A76)-YEAR('Recurring Schedule'!$F$38))*12+MONTH($A76)-MONTH('Recurring Schedule'!$F$38),'Recurring Schedule'!$O$38)=0),IF('Recurring Schedule'!$E$38="Weekdays",WEEKDAY($A76,2)&lt;=5,$A76='Recurring Schedule'!$F$38))),33,""))))</f>
        <v/>
      </c>
      <c r="AI76">
        <f>IF('Recurring Schedule'!$C$39="","",IF('Recurring Schedule'!$F$39="","",IF(OR($A76&lt;'Recurring Schedule'!$F$39,$A76&gt;'Recurring Schedule'!$P$39),"",IF(IF('Recurring Schedule'!$N$39&gt;0,MOD($A76-'Recurring Schedule'!$F$39,'Recurring Schedule'!$N$39)=0,IF('Recurring Schedule'!$O$39&gt;0,AND(DAY($A76)=MIN(DAY('Recurring Schedule'!$F$39),DAY(EOMONTH($A76,0))),MOD((YEAR($A76)-YEAR('Recurring Schedule'!$F$39))*12+MONTH($A76)-MONTH('Recurring Schedule'!$F$39),'Recurring Schedule'!$O$39)=0),IF('Recurring Schedule'!$E$39="Weekdays",WEEKDAY($A76,2)&lt;=5,$A76='Recurring Schedule'!$F$39))),34,""))))</f>
        <v/>
      </c>
      <c r="AJ76">
        <f>IF('Recurring Schedule'!$C$40="","",IF('Recurring Schedule'!$F$40="","",IF(OR($A76&lt;'Recurring Schedule'!$F$40,$A76&gt;'Recurring Schedule'!$P$40),"",IF(IF('Recurring Schedule'!$N$40&gt;0,MOD($A76-'Recurring Schedule'!$F$40,'Recurring Schedule'!$N$40)=0,IF('Recurring Schedule'!$O$40&gt;0,AND(DAY($A76)=MIN(DAY('Recurring Schedule'!$F$40),DAY(EOMONTH($A76,0))),MOD((YEAR($A76)-YEAR('Recurring Schedule'!$F$40))*12+MONTH($A76)-MONTH('Recurring Schedule'!$F$40),'Recurring Schedule'!$O$40)=0),IF('Recurring Schedule'!$E$40="Weekdays",WEEKDAY($A76,2)&lt;=5,$A76='Recurring Schedule'!$F$40))),35,""))))</f>
        <v/>
      </c>
      <c r="AK76">
        <f>IF('Recurring Schedule'!$C$41="","",IF('Recurring Schedule'!$F$41="","",IF(OR($A76&lt;'Recurring Schedule'!$F$41,$A76&gt;'Recurring Schedule'!$P$41),"",IF(IF('Recurring Schedule'!$N$41&gt;0,MOD($A76-'Recurring Schedule'!$F$41,'Recurring Schedule'!$N$41)=0,IF('Recurring Schedule'!$O$41&gt;0,AND(DAY($A76)=MIN(DAY('Recurring Schedule'!$F$41),DAY(EOMONTH($A76,0))),MOD((YEAR($A76)-YEAR('Recurring Schedule'!$F$41))*12+MONTH($A76)-MONTH('Recurring Schedule'!$F$41),'Recurring Schedule'!$O$41)=0),IF('Recurring Schedule'!$E$41="Weekdays",WEEKDAY($A76,2)&lt;=5,$A76='Recurring Schedule'!$F$41))),36,""))))</f>
        <v/>
      </c>
      <c r="AL76">
        <f>IF('Recurring Schedule'!$C$42="","",IF('Recurring Schedule'!$F$42="","",IF(OR($A76&lt;'Recurring Schedule'!$F$42,$A76&gt;'Recurring Schedule'!$P$42),"",IF(IF('Recurring Schedule'!$N$42&gt;0,MOD($A76-'Recurring Schedule'!$F$42,'Recurring Schedule'!$N$42)=0,IF('Recurring Schedule'!$O$42&gt;0,AND(DAY($A76)=MIN(DAY('Recurring Schedule'!$F$42),DAY(EOMONTH($A76,0))),MOD((YEAR($A76)-YEAR('Recurring Schedule'!$F$42))*12+MONTH($A76)-MONTH('Recurring Schedule'!$F$42),'Recurring Schedule'!$O$42)=0),IF('Recurring Schedule'!$E$42="Weekdays",WEEKDAY($A76,2)&lt;=5,$A76='Recurring Schedule'!$F$42))),37,""))))</f>
        <v/>
      </c>
      <c r="AM76">
        <f>IF('Recurring Schedule'!$C$43="","",IF('Recurring Schedule'!$F$43="","",IF(OR($A76&lt;'Recurring Schedule'!$F$43,$A76&gt;'Recurring Schedule'!$P$43),"",IF(IF('Recurring Schedule'!$N$43&gt;0,MOD($A76-'Recurring Schedule'!$F$43,'Recurring Schedule'!$N$43)=0,IF('Recurring Schedule'!$O$43&gt;0,AND(DAY($A76)=MIN(DAY('Recurring Schedule'!$F$43),DAY(EOMONTH($A76,0))),MOD((YEAR($A76)-YEAR('Recurring Schedule'!$F$43))*12+MONTH($A76)-MONTH('Recurring Schedule'!$F$43),'Recurring Schedule'!$O$43)=0),IF('Recurring Schedule'!$E$43="Weekdays",WEEKDAY($A76,2)&lt;=5,$A76='Recurring Schedule'!$F$43))),38,""))))</f>
        <v/>
      </c>
      <c r="AN76">
        <f>IF('Recurring Schedule'!$C$44="","",IF('Recurring Schedule'!$F$44="","",IF(OR($A76&lt;'Recurring Schedule'!$F$44,$A76&gt;'Recurring Schedule'!$P$44),"",IF(IF('Recurring Schedule'!$N$44&gt;0,MOD($A76-'Recurring Schedule'!$F$44,'Recurring Schedule'!$N$44)=0,IF('Recurring Schedule'!$O$44&gt;0,AND(DAY($A76)=MIN(DAY('Recurring Schedule'!$F$44),DAY(EOMONTH($A76,0))),MOD((YEAR($A76)-YEAR('Recurring Schedule'!$F$44))*12+MONTH($A76)-MONTH('Recurring Schedule'!$F$44),'Recurring Schedule'!$O$44)=0),IF('Recurring Schedule'!$E$44="Weekdays",WEEKDAY($A76,2)&lt;=5,$A76='Recurring Schedule'!$F$44))),39,""))))</f>
        <v/>
      </c>
      <c r="AO76">
        <f>IF('Recurring Schedule'!$C$45="","",IF('Recurring Schedule'!$F$45="","",IF(OR($A76&lt;'Recurring Schedule'!$F$45,$A76&gt;'Recurring Schedule'!$P$45),"",IF(IF('Recurring Schedule'!$N$45&gt;0,MOD($A76-'Recurring Schedule'!$F$45,'Recurring Schedule'!$N$45)=0,IF('Recurring Schedule'!$O$45&gt;0,AND(DAY($A76)=MIN(DAY('Recurring Schedule'!$F$45),DAY(EOMONTH($A76,0))),MOD((YEAR($A76)-YEAR('Recurring Schedule'!$F$45))*12+MONTH($A76)-MONTH('Recurring Schedule'!$F$45),'Recurring Schedule'!$O$45)=0),IF('Recurring Schedule'!$E$45="Weekdays",WEEKDAY($A76,2)&lt;=5,$A76='Recurring Schedule'!$F$45))),40,""))))</f>
        <v/>
      </c>
      <c r="AP76">
        <f>COUNT(B76:AO76)</f>
        <v/>
      </c>
      <c r="AQ76">
        <f>AQ75+AP75</f>
        <v/>
      </c>
      <c r="AS76" t="inlineStr">
        <is>
          <t>R</t>
        </is>
      </c>
      <c r="AT76" t="n">
        <v>80</v>
      </c>
      <c r="AU76">
        <f>'Recurring Log'!C80&amp;""</f>
        <v/>
      </c>
      <c r="AV76">
        <f>'Recurring Log'!D80&amp;""</f>
        <v/>
      </c>
      <c r="AW76">
        <f>IF('Recurring Log'!E80="","",'Recurring Log'!E80)</f>
        <v/>
      </c>
      <c r="AX76">
        <f>IF('Recurring Log'!G80="","",'Recurring Log'!G80)</f>
        <v/>
      </c>
      <c r="AY76">
        <f>IF('Recurring Log'!H80="","",'Recurring Log'!H80)</f>
        <v/>
      </c>
      <c r="AZ76">
        <f>IF(AU76="","",IF('Recurring Log'!J80="","Not Started",'Recurring Log'!J80))</f>
        <v/>
      </c>
      <c r="BA76">
        <f>'Recurring Log'!L80&amp;""</f>
        <v/>
      </c>
      <c r="BB76">
        <f>'Recurring Log'!M80&amp;""</f>
        <v/>
      </c>
      <c r="BC76">
        <f>'Recurring Log'!N80&amp;""</f>
        <v/>
      </c>
      <c r="BD76">
        <f>'Recurring Log'!O80&amp;""</f>
        <v/>
      </c>
      <c r="BE76">
        <f>IF('Recurring Log'!K80="","",'Recurring Log'!K80)</f>
        <v/>
      </c>
      <c r="BF76">
        <f>IFERROR(MATCH(BA76,Setup!$L$6:$L$9,0),5)</f>
        <v/>
      </c>
      <c r="BG76">
        <f>IF(OR(AZ76="Done",AZ76="Cancelled"),1,0)</f>
        <v/>
      </c>
      <c r="BH76">
        <f>IF(AND(AU76&lt;&gt;"",ISNUMBER(AW76)),1,0)</f>
        <v/>
      </c>
      <c r="BI76">
        <f>IF(BH76=0,0,IF(AND(AW76&gt;='Tasks Filter'!$F$3,AW76&lt;='Tasks Filter'!$F$4,OR('Tasks Filter'!$I$3="",ISNUMBER(SEARCH('Tasks Filter'!$I$3,AU76))),OR('Tasks Filter'!$I$4="",BF76=IFERROR(MATCH('Tasks Filter'!$I$4,Setup!$L$6:$L$9,0),0)),OR('Tasks Filter'!$I$5="Both",AND('Tasks Filter'!$I$5="Yes",BB76="✓"),AND('Tasks Filter'!$I$5="No",BB76&lt;&gt;"✓")),OR('Tasks Filter'!$L$3="",AV76='Tasks Filter'!$L$3),OR('Tasks Filter'!$L$4="",AZ76='Tasks Filter'!$L$4),OR('Tasks Filter'!$L$5="",BC76='Tasks Filter'!$L$5),OR('Tasks Filter'!$O$3="",BD76='Tasks Filter'!$O$3),OR('Tasks Filter'!$O$4="Yes",BG76=0)),1,0))</f>
        <v/>
      </c>
      <c r="BJ76">
        <f>IF(BH76=0,"",IF('Tasks Filter'!$F$6="Descending",-1,1)*CHOOSE(MATCH('Tasks Filter'!$F$5,Lists!$G$2:$G$6,0),AW76,BF76,IFERROR(MATCH(AV76,Setup!$F$6:$F$15,0),99),IFERROR(MATCH(BC76,Setup!$H$6:$H$15,0),99),IFERROR(MATCH(AZ76,Setup!$J$6:$J$11,0),99))*1E+9+(AW76-40000)*10000+75)</f>
        <v/>
      </c>
      <c r="BK76">
        <f>IF(BI76=1,BJ76,"")</f>
        <v/>
      </c>
      <c r="BL76">
        <f>IF(AND(BH76=1,BG76=0,N(AW76)&lt;Setup!$D$7),(AW76-40000)*10000+75,"")</f>
        <v/>
      </c>
      <c r="BM76">
        <f>IF(AND(BH76=1,AZ76&lt;&gt;"Cancelled",N(AW76)&gt;=Dashboard!$AB$3,N(AW76)&lt;=Dashboard!$AB$3+6),(AW76-40000)*100000+BF76*10000+75,"")</f>
        <v/>
      </c>
      <c r="BN76">
        <f>IF(AND(BH76=1,AZ76&lt;&gt;"Cancelled"),BF76*10000+75,"")</f>
        <v/>
      </c>
    </row>
    <row r="77">
      <c r="A77">
        <f>Setup!$D$5+75</f>
        <v/>
      </c>
      <c r="B77">
        <f>IF('Recurring Schedule'!$C$6="","",IF('Recurring Schedule'!$F$6="","",IF(OR($A77&lt;'Recurring Schedule'!$F$6,$A77&gt;'Recurring Schedule'!$P$6),"",IF(IF('Recurring Schedule'!$N$6&gt;0,MOD($A77-'Recurring Schedule'!$F$6,'Recurring Schedule'!$N$6)=0,IF('Recurring Schedule'!$O$6&gt;0,AND(DAY($A77)=MIN(DAY('Recurring Schedule'!$F$6),DAY(EOMONTH($A77,0))),MOD((YEAR($A77)-YEAR('Recurring Schedule'!$F$6))*12+MONTH($A77)-MONTH('Recurring Schedule'!$F$6),'Recurring Schedule'!$O$6)=0),IF('Recurring Schedule'!$E$6="Weekdays",WEEKDAY($A77,2)&lt;=5,$A77='Recurring Schedule'!$F$6))),1,""))))</f>
        <v/>
      </c>
      <c r="C77">
        <f>IF('Recurring Schedule'!$C$7="","",IF('Recurring Schedule'!$F$7="","",IF(OR($A77&lt;'Recurring Schedule'!$F$7,$A77&gt;'Recurring Schedule'!$P$7),"",IF(IF('Recurring Schedule'!$N$7&gt;0,MOD($A77-'Recurring Schedule'!$F$7,'Recurring Schedule'!$N$7)=0,IF('Recurring Schedule'!$O$7&gt;0,AND(DAY($A77)=MIN(DAY('Recurring Schedule'!$F$7),DAY(EOMONTH($A77,0))),MOD((YEAR($A77)-YEAR('Recurring Schedule'!$F$7))*12+MONTH($A77)-MONTH('Recurring Schedule'!$F$7),'Recurring Schedule'!$O$7)=0),IF('Recurring Schedule'!$E$7="Weekdays",WEEKDAY($A77,2)&lt;=5,$A77='Recurring Schedule'!$F$7))),2,""))))</f>
        <v/>
      </c>
      <c r="D77">
        <f>IF('Recurring Schedule'!$C$8="","",IF('Recurring Schedule'!$F$8="","",IF(OR($A77&lt;'Recurring Schedule'!$F$8,$A77&gt;'Recurring Schedule'!$P$8),"",IF(IF('Recurring Schedule'!$N$8&gt;0,MOD($A77-'Recurring Schedule'!$F$8,'Recurring Schedule'!$N$8)=0,IF('Recurring Schedule'!$O$8&gt;0,AND(DAY($A77)=MIN(DAY('Recurring Schedule'!$F$8),DAY(EOMONTH($A77,0))),MOD((YEAR($A77)-YEAR('Recurring Schedule'!$F$8))*12+MONTH($A77)-MONTH('Recurring Schedule'!$F$8),'Recurring Schedule'!$O$8)=0),IF('Recurring Schedule'!$E$8="Weekdays",WEEKDAY($A77,2)&lt;=5,$A77='Recurring Schedule'!$F$8))),3,""))))</f>
        <v/>
      </c>
      <c r="E77">
        <f>IF('Recurring Schedule'!$C$9="","",IF('Recurring Schedule'!$F$9="","",IF(OR($A77&lt;'Recurring Schedule'!$F$9,$A77&gt;'Recurring Schedule'!$P$9),"",IF(IF('Recurring Schedule'!$N$9&gt;0,MOD($A77-'Recurring Schedule'!$F$9,'Recurring Schedule'!$N$9)=0,IF('Recurring Schedule'!$O$9&gt;0,AND(DAY($A77)=MIN(DAY('Recurring Schedule'!$F$9),DAY(EOMONTH($A77,0))),MOD((YEAR($A77)-YEAR('Recurring Schedule'!$F$9))*12+MONTH($A77)-MONTH('Recurring Schedule'!$F$9),'Recurring Schedule'!$O$9)=0),IF('Recurring Schedule'!$E$9="Weekdays",WEEKDAY($A77,2)&lt;=5,$A77='Recurring Schedule'!$F$9))),4,""))))</f>
        <v/>
      </c>
      <c r="F77">
        <f>IF('Recurring Schedule'!$C$10="","",IF('Recurring Schedule'!$F$10="","",IF(OR($A77&lt;'Recurring Schedule'!$F$10,$A77&gt;'Recurring Schedule'!$P$10),"",IF(IF('Recurring Schedule'!$N$10&gt;0,MOD($A77-'Recurring Schedule'!$F$10,'Recurring Schedule'!$N$10)=0,IF('Recurring Schedule'!$O$10&gt;0,AND(DAY($A77)=MIN(DAY('Recurring Schedule'!$F$10),DAY(EOMONTH($A77,0))),MOD((YEAR($A77)-YEAR('Recurring Schedule'!$F$10))*12+MONTH($A77)-MONTH('Recurring Schedule'!$F$10),'Recurring Schedule'!$O$10)=0),IF('Recurring Schedule'!$E$10="Weekdays",WEEKDAY($A77,2)&lt;=5,$A77='Recurring Schedule'!$F$10))),5,""))))</f>
        <v/>
      </c>
      <c r="G77">
        <f>IF('Recurring Schedule'!$C$11="","",IF('Recurring Schedule'!$F$11="","",IF(OR($A77&lt;'Recurring Schedule'!$F$11,$A77&gt;'Recurring Schedule'!$P$11),"",IF(IF('Recurring Schedule'!$N$11&gt;0,MOD($A77-'Recurring Schedule'!$F$11,'Recurring Schedule'!$N$11)=0,IF('Recurring Schedule'!$O$11&gt;0,AND(DAY($A77)=MIN(DAY('Recurring Schedule'!$F$11),DAY(EOMONTH($A77,0))),MOD((YEAR($A77)-YEAR('Recurring Schedule'!$F$11))*12+MONTH($A77)-MONTH('Recurring Schedule'!$F$11),'Recurring Schedule'!$O$11)=0),IF('Recurring Schedule'!$E$11="Weekdays",WEEKDAY($A77,2)&lt;=5,$A77='Recurring Schedule'!$F$11))),6,""))))</f>
        <v/>
      </c>
      <c r="H77">
        <f>IF('Recurring Schedule'!$C$12="","",IF('Recurring Schedule'!$F$12="","",IF(OR($A77&lt;'Recurring Schedule'!$F$12,$A77&gt;'Recurring Schedule'!$P$12),"",IF(IF('Recurring Schedule'!$N$12&gt;0,MOD($A77-'Recurring Schedule'!$F$12,'Recurring Schedule'!$N$12)=0,IF('Recurring Schedule'!$O$12&gt;0,AND(DAY($A77)=MIN(DAY('Recurring Schedule'!$F$12),DAY(EOMONTH($A77,0))),MOD((YEAR($A77)-YEAR('Recurring Schedule'!$F$12))*12+MONTH($A77)-MONTH('Recurring Schedule'!$F$12),'Recurring Schedule'!$O$12)=0),IF('Recurring Schedule'!$E$12="Weekdays",WEEKDAY($A77,2)&lt;=5,$A77='Recurring Schedule'!$F$12))),7,""))))</f>
        <v/>
      </c>
      <c r="I77">
        <f>IF('Recurring Schedule'!$C$13="","",IF('Recurring Schedule'!$F$13="","",IF(OR($A77&lt;'Recurring Schedule'!$F$13,$A77&gt;'Recurring Schedule'!$P$13),"",IF(IF('Recurring Schedule'!$N$13&gt;0,MOD($A77-'Recurring Schedule'!$F$13,'Recurring Schedule'!$N$13)=0,IF('Recurring Schedule'!$O$13&gt;0,AND(DAY($A77)=MIN(DAY('Recurring Schedule'!$F$13),DAY(EOMONTH($A77,0))),MOD((YEAR($A77)-YEAR('Recurring Schedule'!$F$13))*12+MONTH($A77)-MONTH('Recurring Schedule'!$F$13),'Recurring Schedule'!$O$13)=0),IF('Recurring Schedule'!$E$13="Weekdays",WEEKDAY($A77,2)&lt;=5,$A77='Recurring Schedule'!$F$13))),8,""))))</f>
        <v/>
      </c>
      <c r="J77">
        <f>IF('Recurring Schedule'!$C$14="","",IF('Recurring Schedule'!$F$14="","",IF(OR($A77&lt;'Recurring Schedule'!$F$14,$A77&gt;'Recurring Schedule'!$P$14),"",IF(IF('Recurring Schedule'!$N$14&gt;0,MOD($A77-'Recurring Schedule'!$F$14,'Recurring Schedule'!$N$14)=0,IF('Recurring Schedule'!$O$14&gt;0,AND(DAY($A77)=MIN(DAY('Recurring Schedule'!$F$14),DAY(EOMONTH($A77,0))),MOD((YEAR($A77)-YEAR('Recurring Schedule'!$F$14))*12+MONTH($A77)-MONTH('Recurring Schedule'!$F$14),'Recurring Schedule'!$O$14)=0),IF('Recurring Schedule'!$E$14="Weekdays",WEEKDAY($A77,2)&lt;=5,$A77='Recurring Schedule'!$F$14))),9,""))))</f>
        <v/>
      </c>
      <c r="K77">
        <f>IF('Recurring Schedule'!$C$15="","",IF('Recurring Schedule'!$F$15="","",IF(OR($A77&lt;'Recurring Schedule'!$F$15,$A77&gt;'Recurring Schedule'!$P$15),"",IF(IF('Recurring Schedule'!$N$15&gt;0,MOD($A77-'Recurring Schedule'!$F$15,'Recurring Schedule'!$N$15)=0,IF('Recurring Schedule'!$O$15&gt;0,AND(DAY($A77)=MIN(DAY('Recurring Schedule'!$F$15),DAY(EOMONTH($A77,0))),MOD((YEAR($A77)-YEAR('Recurring Schedule'!$F$15))*12+MONTH($A77)-MONTH('Recurring Schedule'!$F$15),'Recurring Schedule'!$O$15)=0),IF('Recurring Schedule'!$E$15="Weekdays",WEEKDAY($A77,2)&lt;=5,$A77='Recurring Schedule'!$F$15))),10,""))))</f>
        <v/>
      </c>
      <c r="L77">
        <f>IF('Recurring Schedule'!$C$16="","",IF('Recurring Schedule'!$F$16="","",IF(OR($A77&lt;'Recurring Schedule'!$F$16,$A77&gt;'Recurring Schedule'!$P$16),"",IF(IF('Recurring Schedule'!$N$16&gt;0,MOD($A77-'Recurring Schedule'!$F$16,'Recurring Schedule'!$N$16)=0,IF('Recurring Schedule'!$O$16&gt;0,AND(DAY($A77)=MIN(DAY('Recurring Schedule'!$F$16),DAY(EOMONTH($A77,0))),MOD((YEAR($A77)-YEAR('Recurring Schedule'!$F$16))*12+MONTH($A77)-MONTH('Recurring Schedule'!$F$16),'Recurring Schedule'!$O$16)=0),IF('Recurring Schedule'!$E$16="Weekdays",WEEKDAY($A77,2)&lt;=5,$A77='Recurring Schedule'!$F$16))),11,""))))</f>
        <v/>
      </c>
      <c r="M77">
        <f>IF('Recurring Schedule'!$C$17="","",IF('Recurring Schedule'!$F$17="","",IF(OR($A77&lt;'Recurring Schedule'!$F$17,$A77&gt;'Recurring Schedule'!$P$17),"",IF(IF('Recurring Schedule'!$N$17&gt;0,MOD($A77-'Recurring Schedule'!$F$17,'Recurring Schedule'!$N$17)=0,IF('Recurring Schedule'!$O$17&gt;0,AND(DAY($A77)=MIN(DAY('Recurring Schedule'!$F$17),DAY(EOMONTH($A77,0))),MOD((YEAR($A77)-YEAR('Recurring Schedule'!$F$17))*12+MONTH($A77)-MONTH('Recurring Schedule'!$F$17),'Recurring Schedule'!$O$17)=0),IF('Recurring Schedule'!$E$17="Weekdays",WEEKDAY($A77,2)&lt;=5,$A77='Recurring Schedule'!$F$17))),12,""))))</f>
        <v/>
      </c>
      <c r="N77">
        <f>IF('Recurring Schedule'!$C$18="","",IF('Recurring Schedule'!$F$18="","",IF(OR($A77&lt;'Recurring Schedule'!$F$18,$A77&gt;'Recurring Schedule'!$P$18),"",IF(IF('Recurring Schedule'!$N$18&gt;0,MOD($A77-'Recurring Schedule'!$F$18,'Recurring Schedule'!$N$18)=0,IF('Recurring Schedule'!$O$18&gt;0,AND(DAY($A77)=MIN(DAY('Recurring Schedule'!$F$18),DAY(EOMONTH($A77,0))),MOD((YEAR($A77)-YEAR('Recurring Schedule'!$F$18))*12+MONTH($A77)-MONTH('Recurring Schedule'!$F$18),'Recurring Schedule'!$O$18)=0),IF('Recurring Schedule'!$E$18="Weekdays",WEEKDAY($A77,2)&lt;=5,$A77='Recurring Schedule'!$F$18))),13,""))))</f>
        <v/>
      </c>
      <c r="O77">
        <f>IF('Recurring Schedule'!$C$19="","",IF('Recurring Schedule'!$F$19="","",IF(OR($A77&lt;'Recurring Schedule'!$F$19,$A77&gt;'Recurring Schedule'!$P$19),"",IF(IF('Recurring Schedule'!$N$19&gt;0,MOD($A77-'Recurring Schedule'!$F$19,'Recurring Schedule'!$N$19)=0,IF('Recurring Schedule'!$O$19&gt;0,AND(DAY($A77)=MIN(DAY('Recurring Schedule'!$F$19),DAY(EOMONTH($A77,0))),MOD((YEAR($A77)-YEAR('Recurring Schedule'!$F$19))*12+MONTH($A77)-MONTH('Recurring Schedule'!$F$19),'Recurring Schedule'!$O$19)=0),IF('Recurring Schedule'!$E$19="Weekdays",WEEKDAY($A77,2)&lt;=5,$A77='Recurring Schedule'!$F$19))),14,""))))</f>
        <v/>
      </c>
      <c r="P77">
        <f>IF('Recurring Schedule'!$C$20="","",IF('Recurring Schedule'!$F$20="","",IF(OR($A77&lt;'Recurring Schedule'!$F$20,$A77&gt;'Recurring Schedule'!$P$20),"",IF(IF('Recurring Schedule'!$N$20&gt;0,MOD($A77-'Recurring Schedule'!$F$20,'Recurring Schedule'!$N$20)=0,IF('Recurring Schedule'!$O$20&gt;0,AND(DAY($A77)=MIN(DAY('Recurring Schedule'!$F$20),DAY(EOMONTH($A77,0))),MOD((YEAR($A77)-YEAR('Recurring Schedule'!$F$20))*12+MONTH($A77)-MONTH('Recurring Schedule'!$F$20),'Recurring Schedule'!$O$20)=0),IF('Recurring Schedule'!$E$20="Weekdays",WEEKDAY($A77,2)&lt;=5,$A77='Recurring Schedule'!$F$20))),15,""))))</f>
        <v/>
      </c>
      <c r="Q77">
        <f>IF('Recurring Schedule'!$C$21="","",IF('Recurring Schedule'!$F$21="","",IF(OR($A77&lt;'Recurring Schedule'!$F$21,$A77&gt;'Recurring Schedule'!$P$21),"",IF(IF('Recurring Schedule'!$N$21&gt;0,MOD($A77-'Recurring Schedule'!$F$21,'Recurring Schedule'!$N$21)=0,IF('Recurring Schedule'!$O$21&gt;0,AND(DAY($A77)=MIN(DAY('Recurring Schedule'!$F$21),DAY(EOMONTH($A77,0))),MOD((YEAR($A77)-YEAR('Recurring Schedule'!$F$21))*12+MONTH($A77)-MONTH('Recurring Schedule'!$F$21),'Recurring Schedule'!$O$21)=0),IF('Recurring Schedule'!$E$21="Weekdays",WEEKDAY($A77,2)&lt;=5,$A77='Recurring Schedule'!$F$21))),16,""))))</f>
        <v/>
      </c>
      <c r="R77">
        <f>IF('Recurring Schedule'!$C$22="","",IF('Recurring Schedule'!$F$22="","",IF(OR($A77&lt;'Recurring Schedule'!$F$22,$A77&gt;'Recurring Schedule'!$P$22),"",IF(IF('Recurring Schedule'!$N$22&gt;0,MOD($A77-'Recurring Schedule'!$F$22,'Recurring Schedule'!$N$22)=0,IF('Recurring Schedule'!$O$22&gt;0,AND(DAY($A77)=MIN(DAY('Recurring Schedule'!$F$22),DAY(EOMONTH($A77,0))),MOD((YEAR($A77)-YEAR('Recurring Schedule'!$F$22))*12+MONTH($A77)-MONTH('Recurring Schedule'!$F$22),'Recurring Schedule'!$O$22)=0),IF('Recurring Schedule'!$E$22="Weekdays",WEEKDAY($A77,2)&lt;=5,$A77='Recurring Schedule'!$F$22))),17,""))))</f>
        <v/>
      </c>
      <c r="S77">
        <f>IF('Recurring Schedule'!$C$23="","",IF('Recurring Schedule'!$F$23="","",IF(OR($A77&lt;'Recurring Schedule'!$F$23,$A77&gt;'Recurring Schedule'!$P$23),"",IF(IF('Recurring Schedule'!$N$23&gt;0,MOD($A77-'Recurring Schedule'!$F$23,'Recurring Schedule'!$N$23)=0,IF('Recurring Schedule'!$O$23&gt;0,AND(DAY($A77)=MIN(DAY('Recurring Schedule'!$F$23),DAY(EOMONTH($A77,0))),MOD((YEAR($A77)-YEAR('Recurring Schedule'!$F$23))*12+MONTH($A77)-MONTH('Recurring Schedule'!$F$23),'Recurring Schedule'!$O$23)=0),IF('Recurring Schedule'!$E$23="Weekdays",WEEKDAY($A77,2)&lt;=5,$A77='Recurring Schedule'!$F$23))),18,""))))</f>
        <v/>
      </c>
      <c r="T77">
        <f>IF('Recurring Schedule'!$C$24="","",IF('Recurring Schedule'!$F$24="","",IF(OR($A77&lt;'Recurring Schedule'!$F$24,$A77&gt;'Recurring Schedule'!$P$24),"",IF(IF('Recurring Schedule'!$N$24&gt;0,MOD($A77-'Recurring Schedule'!$F$24,'Recurring Schedule'!$N$24)=0,IF('Recurring Schedule'!$O$24&gt;0,AND(DAY($A77)=MIN(DAY('Recurring Schedule'!$F$24),DAY(EOMONTH($A77,0))),MOD((YEAR($A77)-YEAR('Recurring Schedule'!$F$24))*12+MONTH($A77)-MONTH('Recurring Schedule'!$F$24),'Recurring Schedule'!$O$24)=0),IF('Recurring Schedule'!$E$24="Weekdays",WEEKDAY($A77,2)&lt;=5,$A77='Recurring Schedule'!$F$24))),19,""))))</f>
        <v/>
      </c>
      <c r="U77">
        <f>IF('Recurring Schedule'!$C$25="","",IF('Recurring Schedule'!$F$25="","",IF(OR($A77&lt;'Recurring Schedule'!$F$25,$A77&gt;'Recurring Schedule'!$P$25),"",IF(IF('Recurring Schedule'!$N$25&gt;0,MOD($A77-'Recurring Schedule'!$F$25,'Recurring Schedule'!$N$25)=0,IF('Recurring Schedule'!$O$25&gt;0,AND(DAY($A77)=MIN(DAY('Recurring Schedule'!$F$25),DAY(EOMONTH($A77,0))),MOD((YEAR($A77)-YEAR('Recurring Schedule'!$F$25))*12+MONTH($A77)-MONTH('Recurring Schedule'!$F$25),'Recurring Schedule'!$O$25)=0),IF('Recurring Schedule'!$E$25="Weekdays",WEEKDAY($A77,2)&lt;=5,$A77='Recurring Schedule'!$F$25))),20,""))))</f>
        <v/>
      </c>
      <c r="V77">
        <f>IF('Recurring Schedule'!$C$26="","",IF('Recurring Schedule'!$F$26="","",IF(OR($A77&lt;'Recurring Schedule'!$F$26,$A77&gt;'Recurring Schedule'!$P$26),"",IF(IF('Recurring Schedule'!$N$26&gt;0,MOD($A77-'Recurring Schedule'!$F$26,'Recurring Schedule'!$N$26)=0,IF('Recurring Schedule'!$O$26&gt;0,AND(DAY($A77)=MIN(DAY('Recurring Schedule'!$F$26),DAY(EOMONTH($A77,0))),MOD((YEAR($A77)-YEAR('Recurring Schedule'!$F$26))*12+MONTH($A77)-MONTH('Recurring Schedule'!$F$26),'Recurring Schedule'!$O$26)=0),IF('Recurring Schedule'!$E$26="Weekdays",WEEKDAY($A77,2)&lt;=5,$A77='Recurring Schedule'!$F$26))),21,""))))</f>
        <v/>
      </c>
      <c r="W77">
        <f>IF('Recurring Schedule'!$C$27="","",IF('Recurring Schedule'!$F$27="","",IF(OR($A77&lt;'Recurring Schedule'!$F$27,$A77&gt;'Recurring Schedule'!$P$27),"",IF(IF('Recurring Schedule'!$N$27&gt;0,MOD($A77-'Recurring Schedule'!$F$27,'Recurring Schedule'!$N$27)=0,IF('Recurring Schedule'!$O$27&gt;0,AND(DAY($A77)=MIN(DAY('Recurring Schedule'!$F$27),DAY(EOMONTH($A77,0))),MOD((YEAR($A77)-YEAR('Recurring Schedule'!$F$27))*12+MONTH($A77)-MONTH('Recurring Schedule'!$F$27),'Recurring Schedule'!$O$27)=0),IF('Recurring Schedule'!$E$27="Weekdays",WEEKDAY($A77,2)&lt;=5,$A77='Recurring Schedule'!$F$27))),22,""))))</f>
        <v/>
      </c>
      <c r="X77">
        <f>IF('Recurring Schedule'!$C$28="","",IF('Recurring Schedule'!$F$28="","",IF(OR($A77&lt;'Recurring Schedule'!$F$28,$A77&gt;'Recurring Schedule'!$P$28),"",IF(IF('Recurring Schedule'!$N$28&gt;0,MOD($A77-'Recurring Schedule'!$F$28,'Recurring Schedule'!$N$28)=0,IF('Recurring Schedule'!$O$28&gt;0,AND(DAY($A77)=MIN(DAY('Recurring Schedule'!$F$28),DAY(EOMONTH($A77,0))),MOD((YEAR($A77)-YEAR('Recurring Schedule'!$F$28))*12+MONTH($A77)-MONTH('Recurring Schedule'!$F$28),'Recurring Schedule'!$O$28)=0),IF('Recurring Schedule'!$E$28="Weekdays",WEEKDAY($A77,2)&lt;=5,$A77='Recurring Schedule'!$F$28))),23,""))))</f>
        <v/>
      </c>
      <c r="Y77">
        <f>IF('Recurring Schedule'!$C$29="","",IF('Recurring Schedule'!$F$29="","",IF(OR($A77&lt;'Recurring Schedule'!$F$29,$A77&gt;'Recurring Schedule'!$P$29),"",IF(IF('Recurring Schedule'!$N$29&gt;0,MOD($A77-'Recurring Schedule'!$F$29,'Recurring Schedule'!$N$29)=0,IF('Recurring Schedule'!$O$29&gt;0,AND(DAY($A77)=MIN(DAY('Recurring Schedule'!$F$29),DAY(EOMONTH($A77,0))),MOD((YEAR($A77)-YEAR('Recurring Schedule'!$F$29))*12+MONTH($A77)-MONTH('Recurring Schedule'!$F$29),'Recurring Schedule'!$O$29)=0),IF('Recurring Schedule'!$E$29="Weekdays",WEEKDAY($A77,2)&lt;=5,$A77='Recurring Schedule'!$F$29))),24,""))))</f>
        <v/>
      </c>
      <c r="Z77">
        <f>IF('Recurring Schedule'!$C$30="","",IF('Recurring Schedule'!$F$30="","",IF(OR($A77&lt;'Recurring Schedule'!$F$30,$A77&gt;'Recurring Schedule'!$P$30),"",IF(IF('Recurring Schedule'!$N$30&gt;0,MOD($A77-'Recurring Schedule'!$F$30,'Recurring Schedule'!$N$30)=0,IF('Recurring Schedule'!$O$30&gt;0,AND(DAY($A77)=MIN(DAY('Recurring Schedule'!$F$30),DAY(EOMONTH($A77,0))),MOD((YEAR($A77)-YEAR('Recurring Schedule'!$F$30))*12+MONTH($A77)-MONTH('Recurring Schedule'!$F$30),'Recurring Schedule'!$O$30)=0),IF('Recurring Schedule'!$E$30="Weekdays",WEEKDAY($A77,2)&lt;=5,$A77='Recurring Schedule'!$F$30))),25,""))))</f>
        <v/>
      </c>
      <c r="AA77">
        <f>IF('Recurring Schedule'!$C$31="","",IF('Recurring Schedule'!$F$31="","",IF(OR($A77&lt;'Recurring Schedule'!$F$31,$A77&gt;'Recurring Schedule'!$P$31),"",IF(IF('Recurring Schedule'!$N$31&gt;0,MOD($A77-'Recurring Schedule'!$F$31,'Recurring Schedule'!$N$31)=0,IF('Recurring Schedule'!$O$31&gt;0,AND(DAY($A77)=MIN(DAY('Recurring Schedule'!$F$31),DAY(EOMONTH($A77,0))),MOD((YEAR($A77)-YEAR('Recurring Schedule'!$F$31))*12+MONTH($A77)-MONTH('Recurring Schedule'!$F$31),'Recurring Schedule'!$O$31)=0),IF('Recurring Schedule'!$E$31="Weekdays",WEEKDAY($A77,2)&lt;=5,$A77='Recurring Schedule'!$F$31))),26,""))))</f>
        <v/>
      </c>
      <c r="AB77">
        <f>IF('Recurring Schedule'!$C$32="","",IF('Recurring Schedule'!$F$32="","",IF(OR($A77&lt;'Recurring Schedule'!$F$32,$A77&gt;'Recurring Schedule'!$P$32),"",IF(IF('Recurring Schedule'!$N$32&gt;0,MOD($A77-'Recurring Schedule'!$F$32,'Recurring Schedule'!$N$32)=0,IF('Recurring Schedule'!$O$32&gt;0,AND(DAY($A77)=MIN(DAY('Recurring Schedule'!$F$32),DAY(EOMONTH($A77,0))),MOD((YEAR($A77)-YEAR('Recurring Schedule'!$F$32))*12+MONTH($A77)-MONTH('Recurring Schedule'!$F$32),'Recurring Schedule'!$O$32)=0),IF('Recurring Schedule'!$E$32="Weekdays",WEEKDAY($A77,2)&lt;=5,$A77='Recurring Schedule'!$F$32))),27,""))))</f>
        <v/>
      </c>
      <c r="AC77">
        <f>IF('Recurring Schedule'!$C$33="","",IF('Recurring Schedule'!$F$33="","",IF(OR($A77&lt;'Recurring Schedule'!$F$33,$A77&gt;'Recurring Schedule'!$P$33),"",IF(IF('Recurring Schedule'!$N$33&gt;0,MOD($A77-'Recurring Schedule'!$F$33,'Recurring Schedule'!$N$33)=0,IF('Recurring Schedule'!$O$33&gt;0,AND(DAY($A77)=MIN(DAY('Recurring Schedule'!$F$33),DAY(EOMONTH($A77,0))),MOD((YEAR($A77)-YEAR('Recurring Schedule'!$F$33))*12+MONTH($A77)-MONTH('Recurring Schedule'!$F$33),'Recurring Schedule'!$O$33)=0),IF('Recurring Schedule'!$E$33="Weekdays",WEEKDAY($A77,2)&lt;=5,$A77='Recurring Schedule'!$F$33))),28,""))))</f>
        <v/>
      </c>
      <c r="AD77">
        <f>IF('Recurring Schedule'!$C$34="","",IF('Recurring Schedule'!$F$34="","",IF(OR($A77&lt;'Recurring Schedule'!$F$34,$A77&gt;'Recurring Schedule'!$P$34),"",IF(IF('Recurring Schedule'!$N$34&gt;0,MOD($A77-'Recurring Schedule'!$F$34,'Recurring Schedule'!$N$34)=0,IF('Recurring Schedule'!$O$34&gt;0,AND(DAY($A77)=MIN(DAY('Recurring Schedule'!$F$34),DAY(EOMONTH($A77,0))),MOD((YEAR($A77)-YEAR('Recurring Schedule'!$F$34))*12+MONTH($A77)-MONTH('Recurring Schedule'!$F$34),'Recurring Schedule'!$O$34)=0),IF('Recurring Schedule'!$E$34="Weekdays",WEEKDAY($A77,2)&lt;=5,$A77='Recurring Schedule'!$F$34))),29,""))))</f>
        <v/>
      </c>
      <c r="AE77">
        <f>IF('Recurring Schedule'!$C$35="","",IF('Recurring Schedule'!$F$35="","",IF(OR($A77&lt;'Recurring Schedule'!$F$35,$A77&gt;'Recurring Schedule'!$P$35),"",IF(IF('Recurring Schedule'!$N$35&gt;0,MOD($A77-'Recurring Schedule'!$F$35,'Recurring Schedule'!$N$35)=0,IF('Recurring Schedule'!$O$35&gt;0,AND(DAY($A77)=MIN(DAY('Recurring Schedule'!$F$35),DAY(EOMONTH($A77,0))),MOD((YEAR($A77)-YEAR('Recurring Schedule'!$F$35))*12+MONTH($A77)-MONTH('Recurring Schedule'!$F$35),'Recurring Schedule'!$O$35)=0),IF('Recurring Schedule'!$E$35="Weekdays",WEEKDAY($A77,2)&lt;=5,$A77='Recurring Schedule'!$F$35))),30,""))))</f>
        <v/>
      </c>
      <c r="AF77">
        <f>IF('Recurring Schedule'!$C$36="","",IF('Recurring Schedule'!$F$36="","",IF(OR($A77&lt;'Recurring Schedule'!$F$36,$A77&gt;'Recurring Schedule'!$P$36),"",IF(IF('Recurring Schedule'!$N$36&gt;0,MOD($A77-'Recurring Schedule'!$F$36,'Recurring Schedule'!$N$36)=0,IF('Recurring Schedule'!$O$36&gt;0,AND(DAY($A77)=MIN(DAY('Recurring Schedule'!$F$36),DAY(EOMONTH($A77,0))),MOD((YEAR($A77)-YEAR('Recurring Schedule'!$F$36))*12+MONTH($A77)-MONTH('Recurring Schedule'!$F$36),'Recurring Schedule'!$O$36)=0),IF('Recurring Schedule'!$E$36="Weekdays",WEEKDAY($A77,2)&lt;=5,$A77='Recurring Schedule'!$F$36))),31,""))))</f>
        <v/>
      </c>
      <c r="AG77">
        <f>IF('Recurring Schedule'!$C$37="","",IF('Recurring Schedule'!$F$37="","",IF(OR($A77&lt;'Recurring Schedule'!$F$37,$A77&gt;'Recurring Schedule'!$P$37),"",IF(IF('Recurring Schedule'!$N$37&gt;0,MOD($A77-'Recurring Schedule'!$F$37,'Recurring Schedule'!$N$37)=0,IF('Recurring Schedule'!$O$37&gt;0,AND(DAY($A77)=MIN(DAY('Recurring Schedule'!$F$37),DAY(EOMONTH($A77,0))),MOD((YEAR($A77)-YEAR('Recurring Schedule'!$F$37))*12+MONTH($A77)-MONTH('Recurring Schedule'!$F$37),'Recurring Schedule'!$O$37)=0),IF('Recurring Schedule'!$E$37="Weekdays",WEEKDAY($A77,2)&lt;=5,$A77='Recurring Schedule'!$F$37))),32,""))))</f>
        <v/>
      </c>
      <c r="AH77">
        <f>IF('Recurring Schedule'!$C$38="","",IF('Recurring Schedule'!$F$38="","",IF(OR($A77&lt;'Recurring Schedule'!$F$38,$A77&gt;'Recurring Schedule'!$P$38),"",IF(IF('Recurring Schedule'!$N$38&gt;0,MOD($A77-'Recurring Schedule'!$F$38,'Recurring Schedule'!$N$38)=0,IF('Recurring Schedule'!$O$38&gt;0,AND(DAY($A77)=MIN(DAY('Recurring Schedule'!$F$38),DAY(EOMONTH($A77,0))),MOD((YEAR($A77)-YEAR('Recurring Schedule'!$F$38))*12+MONTH($A77)-MONTH('Recurring Schedule'!$F$38),'Recurring Schedule'!$O$38)=0),IF('Recurring Schedule'!$E$38="Weekdays",WEEKDAY($A77,2)&lt;=5,$A77='Recurring Schedule'!$F$38))),33,""))))</f>
        <v/>
      </c>
      <c r="AI77">
        <f>IF('Recurring Schedule'!$C$39="","",IF('Recurring Schedule'!$F$39="","",IF(OR($A77&lt;'Recurring Schedule'!$F$39,$A77&gt;'Recurring Schedule'!$P$39),"",IF(IF('Recurring Schedule'!$N$39&gt;0,MOD($A77-'Recurring Schedule'!$F$39,'Recurring Schedule'!$N$39)=0,IF('Recurring Schedule'!$O$39&gt;0,AND(DAY($A77)=MIN(DAY('Recurring Schedule'!$F$39),DAY(EOMONTH($A77,0))),MOD((YEAR($A77)-YEAR('Recurring Schedule'!$F$39))*12+MONTH($A77)-MONTH('Recurring Schedule'!$F$39),'Recurring Schedule'!$O$39)=0),IF('Recurring Schedule'!$E$39="Weekdays",WEEKDAY($A77,2)&lt;=5,$A77='Recurring Schedule'!$F$39))),34,""))))</f>
        <v/>
      </c>
      <c r="AJ77">
        <f>IF('Recurring Schedule'!$C$40="","",IF('Recurring Schedule'!$F$40="","",IF(OR($A77&lt;'Recurring Schedule'!$F$40,$A77&gt;'Recurring Schedule'!$P$40),"",IF(IF('Recurring Schedule'!$N$40&gt;0,MOD($A77-'Recurring Schedule'!$F$40,'Recurring Schedule'!$N$40)=0,IF('Recurring Schedule'!$O$40&gt;0,AND(DAY($A77)=MIN(DAY('Recurring Schedule'!$F$40),DAY(EOMONTH($A77,0))),MOD((YEAR($A77)-YEAR('Recurring Schedule'!$F$40))*12+MONTH($A77)-MONTH('Recurring Schedule'!$F$40),'Recurring Schedule'!$O$40)=0),IF('Recurring Schedule'!$E$40="Weekdays",WEEKDAY($A77,2)&lt;=5,$A77='Recurring Schedule'!$F$40))),35,""))))</f>
        <v/>
      </c>
      <c r="AK77">
        <f>IF('Recurring Schedule'!$C$41="","",IF('Recurring Schedule'!$F$41="","",IF(OR($A77&lt;'Recurring Schedule'!$F$41,$A77&gt;'Recurring Schedule'!$P$41),"",IF(IF('Recurring Schedule'!$N$41&gt;0,MOD($A77-'Recurring Schedule'!$F$41,'Recurring Schedule'!$N$41)=0,IF('Recurring Schedule'!$O$41&gt;0,AND(DAY($A77)=MIN(DAY('Recurring Schedule'!$F$41),DAY(EOMONTH($A77,0))),MOD((YEAR($A77)-YEAR('Recurring Schedule'!$F$41))*12+MONTH($A77)-MONTH('Recurring Schedule'!$F$41),'Recurring Schedule'!$O$41)=0),IF('Recurring Schedule'!$E$41="Weekdays",WEEKDAY($A77,2)&lt;=5,$A77='Recurring Schedule'!$F$41))),36,""))))</f>
        <v/>
      </c>
      <c r="AL77">
        <f>IF('Recurring Schedule'!$C$42="","",IF('Recurring Schedule'!$F$42="","",IF(OR($A77&lt;'Recurring Schedule'!$F$42,$A77&gt;'Recurring Schedule'!$P$42),"",IF(IF('Recurring Schedule'!$N$42&gt;0,MOD($A77-'Recurring Schedule'!$F$42,'Recurring Schedule'!$N$42)=0,IF('Recurring Schedule'!$O$42&gt;0,AND(DAY($A77)=MIN(DAY('Recurring Schedule'!$F$42),DAY(EOMONTH($A77,0))),MOD((YEAR($A77)-YEAR('Recurring Schedule'!$F$42))*12+MONTH($A77)-MONTH('Recurring Schedule'!$F$42),'Recurring Schedule'!$O$42)=0),IF('Recurring Schedule'!$E$42="Weekdays",WEEKDAY($A77,2)&lt;=5,$A77='Recurring Schedule'!$F$42))),37,""))))</f>
        <v/>
      </c>
      <c r="AM77">
        <f>IF('Recurring Schedule'!$C$43="","",IF('Recurring Schedule'!$F$43="","",IF(OR($A77&lt;'Recurring Schedule'!$F$43,$A77&gt;'Recurring Schedule'!$P$43),"",IF(IF('Recurring Schedule'!$N$43&gt;0,MOD($A77-'Recurring Schedule'!$F$43,'Recurring Schedule'!$N$43)=0,IF('Recurring Schedule'!$O$43&gt;0,AND(DAY($A77)=MIN(DAY('Recurring Schedule'!$F$43),DAY(EOMONTH($A77,0))),MOD((YEAR($A77)-YEAR('Recurring Schedule'!$F$43))*12+MONTH($A77)-MONTH('Recurring Schedule'!$F$43),'Recurring Schedule'!$O$43)=0),IF('Recurring Schedule'!$E$43="Weekdays",WEEKDAY($A77,2)&lt;=5,$A77='Recurring Schedule'!$F$43))),38,""))))</f>
        <v/>
      </c>
      <c r="AN77">
        <f>IF('Recurring Schedule'!$C$44="","",IF('Recurring Schedule'!$F$44="","",IF(OR($A77&lt;'Recurring Schedule'!$F$44,$A77&gt;'Recurring Schedule'!$P$44),"",IF(IF('Recurring Schedule'!$N$44&gt;0,MOD($A77-'Recurring Schedule'!$F$44,'Recurring Schedule'!$N$44)=0,IF('Recurring Schedule'!$O$44&gt;0,AND(DAY($A77)=MIN(DAY('Recurring Schedule'!$F$44),DAY(EOMONTH($A77,0))),MOD((YEAR($A77)-YEAR('Recurring Schedule'!$F$44))*12+MONTH($A77)-MONTH('Recurring Schedule'!$F$44),'Recurring Schedule'!$O$44)=0),IF('Recurring Schedule'!$E$44="Weekdays",WEEKDAY($A77,2)&lt;=5,$A77='Recurring Schedule'!$F$44))),39,""))))</f>
        <v/>
      </c>
      <c r="AO77">
        <f>IF('Recurring Schedule'!$C$45="","",IF('Recurring Schedule'!$F$45="","",IF(OR($A77&lt;'Recurring Schedule'!$F$45,$A77&gt;'Recurring Schedule'!$P$45),"",IF(IF('Recurring Schedule'!$N$45&gt;0,MOD($A77-'Recurring Schedule'!$F$45,'Recurring Schedule'!$N$45)=0,IF('Recurring Schedule'!$O$45&gt;0,AND(DAY($A77)=MIN(DAY('Recurring Schedule'!$F$45),DAY(EOMONTH($A77,0))),MOD((YEAR($A77)-YEAR('Recurring Schedule'!$F$45))*12+MONTH($A77)-MONTH('Recurring Schedule'!$F$45),'Recurring Schedule'!$O$45)=0),IF('Recurring Schedule'!$E$45="Weekdays",WEEKDAY($A77,2)&lt;=5,$A77='Recurring Schedule'!$F$45))),40,""))))</f>
        <v/>
      </c>
      <c r="AP77">
        <f>COUNT(B77:AO77)</f>
        <v/>
      </c>
      <c r="AQ77">
        <f>AQ76+AP76</f>
        <v/>
      </c>
      <c r="AS77" t="inlineStr">
        <is>
          <t>R</t>
        </is>
      </c>
      <c r="AT77" t="n">
        <v>81</v>
      </c>
      <c r="AU77">
        <f>'Recurring Log'!C81&amp;""</f>
        <v/>
      </c>
      <c r="AV77">
        <f>'Recurring Log'!D81&amp;""</f>
        <v/>
      </c>
      <c r="AW77">
        <f>IF('Recurring Log'!E81="","",'Recurring Log'!E81)</f>
        <v/>
      </c>
      <c r="AX77">
        <f>IF('Recurring Log'!G81="","",'Recurring Log'!G81)</f>
        <v/>
      </c>
      <c r="AY77">
        <f>IF('Recurring Log'!H81="","",'Recurring Log'!H81)</f>
        <v/>
      </c>
      <c r="AZ77">
        <f>IF(AU77="","",IF('Recurring Log'!J81="","Not Started",'Recurring Log'!J81))</f>
        <v/>
      </c>
      <c r="BA77">
        <f>'Recurring Log'!L81&amp;""</f>
        <v/>
      </c>
      <c r="BB77">
        <f>'Recurring Log'!M81&amp;""</f>
        <v/>
      </c>
      <c r="BC77">
        <f>'Recurring Log'!N81&amp;""</f>
        <v/>
      </c>
      <c r="BD77">
        <f>'Recurring Log'!O81&amp;""</f>
        <v/>
      </c>
      <c r="BE77">
        <f>IF('Recurring Log'!K81="","",'Recurring Log'!K81)</f>
        <v/>
      </c>
      <c r="BF77">
        <f>IFERROR(MATCH(BA77,Setup!$L$6:$L$9,0),5)</f>
        <v/>
      </c>
      <c r="BG77">
        <f>IF(OR(AZ77="Done",AZ77="Cancelled"),1,0)</f>
        <v/>
      </c>
      <c r="BH77">
        <f>IF(AND(AU77&lt;&gt;"",ISNUMBER(AW77)),1,0)</f>
        <v/>
      </c>
      <c r="BI77">
        <f>IF(BH77=0,0,IF(AND(AW77&gt;='Tasks Filter'!$F$3,AW77&lt;='Tasks Filter'!$F$4,OR('Tasks Filter'!$I$3="",ISNUMBER(SEARCH('Tasks Filter'!$I$3,AU77))),OR('Tasks Filter'!$I$4="",BF77=IFERROR(MATCH('Tasks Filter'!$I$4,Setup!$L$6:$L$9,0),0)),OR('Tasks Filter'!$I$5="Both",AND('Tasks Filter'!$I$5="Yes",BB77="✓"),AND('Tasks Filter'!$I$5="No",BB77&lt;&gt;"✓")),OR('Tasks Filter'!$L$3="",AV77='Tasks Filter'!$L$3),OR('Tasks Filter'!$L$4="",AZ77='Tasks Filter'!$L$4),OR('Tasks Filter'!$L$5="",BC77='Tasks Filter'!$L$5),OR('Tasks Filter'!$O$3="",BD77='Tasks Filter'!$O$3),OR('Tasks Filter'!$O$4="Yes",BG77=0)),1,0))</f>
        <v/>
      </c>
      <c r="BJ77">
        <f>IF(BH77=0,"",IF('Tasks Filter'!$F$6="Descending",-1,1)*CHOOSE(MATCH('Tasks Filter'!$F$5,Lists!$G$2:$G$6,0),AW77,BF77,IFERROR(MATCH(AV77,Setup!$F$6:$F$15,0),99),IFERROR(MATCH(BC77,Setup!$H$6:$H$15,0),99),IFERROR(MATCH(AZ77,Setup!$J$6:$J$11,0),99))*1E+9+(AW77-40000)*10000+76)</f>
        <v/>
      </c>
      <c r="BK77">
        <f>IF(BI77=1,BJ77,"")</f>
        <v/>
      </c>
      <c r="BL77">
        <f>IF(AND(BH77=1,BG77=0,N(AW77)&lt;Setup!$D$7),(AW77-40000)*10000+76,"")</f>
        <v/>
      </c>
      <c r="BM77">
        <f>IF(AND(BH77=1,AZ77&lt;&gt;"Cancelled",N(AW77)&gt;=Dashboard!$AB$3,N(AW77)&lt;=Dashboard!$AB$3+6),(AW77-40000)*100000+BF77*10000+76,"")</f>
        <v/>
      </c>
      <c r="BN77">
        <f>IF(AND(BH77=1,AZ77&lt;&gt;"Cancelled"),BF77*10000+76,"")</f>
        <v/>
      </c>
    </row>
    <row r="78">
      <c r="A78">
        <f>Setup!$D$5+76</f>
        <v/>
      </c>
      <c r="B78">
        <f>IF('Recurring Schedule'!$C$6="","",IF('Recurring Schedule'!$F$6="","",IF(OR($A78&lt;'Recurring Schedule'!$F$6,$A78&gt;'Recurring Schedule'!$P$6),"",IF(IF('Recurring Schedule'!$N$6&gt;0,MOD($A78-'Recurring Schedule'!$F$6,'Recurring Schedule'!$N$6)=0,IF('Recurring Schedule'!$O$6&gt;0,AND(DAY($A78)=MIN(DAY('Recurring Schedule'!$F$6),DAY(EOMONTH($A78,0))),MOD((YEAR($A78)-YEAR('Recurring Schedule'!$F$6))*12+MONTH($A78)-MONTH('Recurring Schedule'!$F$6),'Recurring Schedule'!$O$6)=0),IF('Recurring Schedule'!$E$6="Weekdays",WEEKDAY($A78,2)&lt;=5,$A78='Recurring Schedule'!$F$6))),1,""))))</f>
        <v/>
      </c>
      <c r="C78">
        <f>IF('Recurring Schedule'!$C$7="","",IF('Recurring Schedule'!$F$7="","",IF(OR($A78&lt;'Recurring Schedule'!$F$7,$A78&gt;'Recurring Schedule'!$P$7),"",IF(IF('Recurring Schedule'!$N$7&gt;0,MOD($A78-'Recurring Schedule'!$F$7,'Recurring Schedule'!$N$7)=0,IF('Recurring Schedule'!$O$7&gt;0,AND(DAY($A78)=MIN(DAY('Recurring Schedule'!$F$7),DAY(EOMONTH($A78,0))),MOD((YEAR($A78)-YEAR('Recurring Schedule'!$F$7))*12+MONTH($A78)-MONTH('Recurring Schedule'!$F$7),'Recurring Schedule'!$O$7)=0),IF('Recurring Schedule'!$E$7="Weekdays",WEEKDAY($A78,2)&lt;=5,$A78='Recurring Schedule'!$F$7))),2,""))))</f>
        <v/>
      </c>
      <c r="D78">
        <f>IF('Recurring Schedule'!$C$8="","",IF('Recurring Schedule'!$F$8="","",IF(OR($A78&lt;'Recurring Schedule'!$F$8,$A78&gt;'Recurring Schedule'!$P$8),"",IF(IF('Recurring Schedule'!$N$8&gt;0,MOD($A78-'Recurring Schedule'!$F$8,'Recurring Schedule'!$N$8)=0,IF('Recurring Schedule'!$O$8&gt;0,AND(DAY($A78)=MIN(DAY('Recurring Schedule'!$F$8),DAY(EOMONTH($A78,0))),MOD((YEAR($A78)-YEAR('Recurring Schedule'!$F$8))*12+MONTH($A78)-MONTH('Recurring Schedule'!$F$8),'Recurring Schedule'!$O$8)=0),IF('Recurring Schedule'!$E$8="Weekdays",WEEKDAY($A78,2)&lt;=5,$A78='Recurring Schedule'!$F$8))),3,""))))</f>
        <v/>
      </c>
      <c r="E78">
        <f>IF('Recurring Schedule'!$C$9="","",IF('Recurring Schedule'!$F$9="","",IF(OR($A78&lt;'Recurring Schedule'!$F$9,$A78&gt;'Recurring Schedule'!$P$9),"",IF(IF('Recurring Schedule'!$N$9&gt;0,MOD($A78-'Recurring Schedule'!$F$9,'Recurring Schedule'!$N$9)=0,IF('Recurring Schedule'!$O$9&gt;0,AND(DAY($A78)=MIN(DAY('Recurring Schedule'!$F$9),DAY(EOMONTH($A78,0))),MOD((YEAR($A78)-YEAR('Recurring Schedule'!$F$9))*12+MONTH($A78)-MONTH('Recurring Schedule'!$F$9),'Recurring Schedule'!$O$9)=0),IF('Recurring Schedule'!$E$9="Weekdays",WEEKDAY($A78,2)&lt;=5,$A78='Recurring Schedule'!$F$9))),4,""))))</f>
        <v/>
      </c>
      <c r="F78">
        <f>IF('Recurring Schedule'!$C$10="","",IF('Recurring Schedule'!$F$10="","",IF(OR($A78&lt;'Recurring Schedule'!$F$10,$A78&gt;'Recurring Schedule'!$P$10),"",IF(IF('Recurring Schedule'!$N$10&gt;0,MOD($A78-'Recurring Schedule'!$F$10,'Recurring Schedule'!$N$10)=0,IF('Recurring Schedule'!$O$10&gt;0,AND(DAY($A78)=MIN(DAY('Recurring Schedule'!$F$10),DAY(EOMONTH($A78,0))),MOD((YEAR($A78)-YEAR('Recurring Schedule'!$F$10))*12+MONTH($A78)-MONTH('Recurring Schedule'!$F$10),'Recurring Schedule'!$O$10)=0),IF('Recurring Schedule'!$E$10="Weekdays",WEEKDAY($A78,2)&lt;=5,$A78='Recurring Schedule'!$F$10))),5,""))))</f>
        <v/>
      </c>
      <c r="G78">
        <f>IF('Recurring Schedule'!$C$11="","",IF('Recurring Schedule'!$F$11="","",IF(OR($A78&lt;'Recurring Schedule'!$F$11,$A78&gt;'Recurring Schedule'!$P$11),"",IF(IF('Recurring Schedule'!$N$11&gt;0,MOD($A78-'Recurring Schedule'!$F$11,'Recurring Schedule'!$N$11)=0,IF('Recurring Schedule'!$O$11&gt;0,AND(DAY($A78)=MIN(DAY('Recurring Schedule'!$F$11),DAY(EOMONTH($A78,0))),MOD((YEAR($A78)-YEAR('Recurring Schedule'!$F$11))*12+MONTH($A78)-MONTH('Recurring Schedule'!$F$11),'Recurring Schedule'!$O$11)=0),IF('Recurring Schedule'!$E$11="Weekdays",WEEKDAY($A78,2)&lt;=5,$A78='Recurring Schedule'!$F$11))),6,""))))</f>
        <v/>
      </c>
      <c r="H78">
        <f>IF('Recurring Schedule'!$C$12="","",IF('Recurring Schedule'!$F$12="","",IF(OR($A78&lt;'Recurring Schedule'!$F$12,$A78&gt;'Recurring Schedule'!$P$12),"",IF(IF('Recurring Schedule'!$N$12&gt;0,MOD($A78-'Recurring Schedule'!$F$12,'Recurring Schedule'!$N$12)=0,IF('Recurring Schedule'!$O$12&gt;0,AND(DAY($A78)=MIN(DAY('Recurring Schedule'!$F$12),DAY(EOMONTH($A78,0))),MOD((YEAR($A78)-YEAR('Recurring Schedule'!$F$12))*12+MONTH($A78)-MONTH('Recurring Schedule'!$F$12),'Recurring Schedule'!$O$12)=0),IF('Recurring Schedule'!$E$12="Weekdays",WEEKDAY($A78,2)&lt;=5,$A78='Recurring Schedule'!$F$12))),7,""))))</f>
        <v/>
      </c>
      <c r="I78">
        <f>IF('Recurring Schedule'!$C$13="","",IF('Recurring Schedule'!$F$13="","",IF(OR($A78&lt;'Recurring Schedule'!$F$13,$A78&gt;'Recurring Schedule'!$P$13),"",IF(IF('Recurring Schedule'!$N$13&gt;0,MOD($A78-'Recurring Schedule'!$F$13,'Recurring Schedule'!$N$13)=0,IF('Recurring Schedule'!$O$13&gt;0,AND(DAY($A78)=MIN(DAY('Recurring Schedule'!$F$13),DAY(EOMONTH($A78,0))),MOD((YEAR($A78)-YEAR('Recurring Schedule'!$F$13))*12+MONTH($A78)-MONTH('Recurring Schedule'!$F$13),'Recurring Schedule'!$O$13)=0),IF('Recurring Schedule'!$E$13="Weekdays",WEEKDAY($A78,2)&lt;=5,$A78='Recurring Schedule'!$F$13))),8,""))))</f>
        <v/>
      </c>
      <c r="J78">
        <f>IF('Recurring Schedule'!$C$14="","",IF('Recurring Schedule'!$F$14="","",IF(OR($A78&lt;'Recurring Schedule'!$F$14,$A78&gt;'Recurring Schedule'!$P$14),"",IF(IF('Recurring Schedule'!$N$14&gt;0,MOD($A78-'Recurring Schedule'!$F$14,'Recurring Schedule'!$N$14)=0,IF('Recurring Schedule'!$O$14&gt;0,AND(DAY($A78)=MIN(DAY('Recurring Schedule'!$F$14),DAY(EOMONTH($A78,0))),MOD((YEAR($A78)-YEAR('Recurring Schedule'!$F$14))*12+MONTH($A78)-MONTH('Recurring Schedule'!$F$14),'Recurring Schedule'!$O$14)=0),IF('Recurring Schedule'!$E$14="Weekdays",WEEKDAY($A78,2)&lt;=5,$A78='Recurring Schedule'!$F$14))),9,""))))</f>
        <v/>
      </c>
      <c r="K78">
        <f>IF('Recurring Schedule'!$C$15="","",IF('Recurring Schedule'!$F$15="","",IF(OR($A78&lt;'Recurring Schedule'!$F$15,$A78&gt;'Recurring Schedule'!$P$15),"",IF(IF('Recurring Schedule'!$N$15&gt;0,MOD($A78-'Recurring Schedule'!$F$15,'Recurring Schedule'!$N$15)=0,IF('Recurring Schedule'!$O$15&gt;0,AND(DAY($A78)=MIN(DAY('Recurring Schedule'!$F$15),DAY(EOMONTH($A78,0))),MOD((YEAR($A78)-YEAR('Recurring Schedule'!$F$15))*12+MONTH($A78)-MONTH('Recurring Schedule'!$F$15),'Recurring Schedule'!$O$15)=0),IF('Recurring Schedule'!$E$15="Weekdays",WEEKDAY($A78,2)&lt;=5,$A78='Recurring Schedule'!$F$15))),10,""))))</f>
        <v/>
      </c>
      <c r="L78">
        <f>IF('Recurring Schedule'!$C$16="","",IF('Recurring Schedule'!$F$16="","",IF(OR($A78&lt;'Recurring Schedule'!$F$16,$A78&gt;'Recurring Schedule'!$P$16),"",IF(IF('Recurring Schedule'!$N$16&gt;0,MOD($A78-'Recurring Schedule'!$F$16,'Recurring Schedule'!$N$16)=0,IF('Recurring Schedule'!$O$16&gt;0,AND(DAY($A78)=MIN(DAY('Recurring Schedule'!$F$16),DAY(EOMONTH($A78,0))),MOD((YEAR($A78)-YEAR('Recurring Schedule'!$F$16))*12+MONTH($A78)-MONTH('Recurring Schedule'!$F$16),'Recurring Schedule'!$O$16)=0),IF('Recurring Schedule'!$E$16="Weekdays",WEEKDAY($A78,2)&lt;=5,$A78='Recurring Schedule'!$F$16))),11,""))))</f>
        <v/>
      </c>
      <c r="M78">
        <f>IF('Recurring Schedule'!$C$17="","",IF('Recurring Schedule'!$F$17="","",IF(OR($A78&lt;'Recurring Schedule'!$F$17,$A78&gt;'Recurring Schedule'!$P$17),"",IF(IF('Recurring Schedule'!$N$17&gt;0,MOD($A78-'Recurring Schedule'!$F$17,'Recurring Schedule'!$N$17)=0,IF('Recurring Schedule'!$O$17&gt;0,AND(DAY($A78)=MIN(DAY('Recurring Schedule'!$F$17),DAY(EOMONTH($A78,0))),MOD((YEAR($A78)-YEAR('Recurring Schedule'!$F$17))*12+MONTH($A78)-MONTH('Recurring Schedule'!$F$17),'Recurring Schedule'!$O$17)=0),IF('Recurring Schedule'!$E$17="Weekdays",WEEKDAY($A78,2)&lt;=5,$A78='Recurring Schedule'!$F$17))),12,""))))</f>
        <v/>
      </c>
      <c r="N78">
        <f>IF('Recurring Schedule'!$C$18="","",IF('Recurring Schedule'!$F$18="","",IF(OR($A78&lt;'Recurring Schedule'!$F$18,$A78&gt;'Recurring Schedule'!$P$18),"",IF(IF('Recurring Schedule'!$N$18&gt;0,MOD($A78-'Recurring Schedule'!$F$18,'Recurring Schedule'!$N$18)=0,IF('Recurring Schedule'!$O$18&gt;0,AND(DAY($A78)=MIN(DAY('Recurring Schedule'!$F$18),DAY(EOMONTH($A78,0))),MOD((YEAR($A78)-YEAR('Recurring Schedule'!$F$18))*12+MONTH($A78)-MONTH('Recurring Schedule'!$F$18),'Recurring Schedule'!$O$18)=0),IF('Recurring Schedule'!$E$18="Weekdays",WEEKDAY($A78,2)&lt;=5,$A78='Recurring Schedule'!$F$18))),13,""))))</f>
        <v/>
      </c>
      <c r="O78">
        <f>IF('Recurring Schedule'!$C$19="","",IF('Recurring Schedule'!$F$19="","",IF(OR($A78&lt;'Recurring Schedule'!$F$19,$A78&gt;'Recurring Schedule'!$P$19),"",IF(IF('Recurring Schedule'!$N$19&gt;0,MOD($A78-'Recurring Schedule'!$F$19,'Recurring Schedule'!$N$19)=0,IF('Recurring Schedule'!$O$19&gt;0,AND(DAY($A78)=MIN(DAY('Recurring Schedule'!$F$19),DAY(EOMONTH($A78,0))),MOD((YEAR($A78)-YEAR('Recurring Schedule'!$F$19))*12+MONTH($A78)-MONTH('Recurring Schedule'!$F$19),'Recurring Schedule'!$O$19)=0),IF('Recurring Schedule'!$E$19="Weekdays",WEEKDAY($A78,2)&lt;=5,$A78='Recurring Schedule'!$F$19))),14,""))))</f>
        <v/>
      </c>
      <c r="P78">
        <f>IF('Recurring Schedule'!$C$20="","",IF('Recurring Schedule'!$F$20="","",IF(OR($A78&lt;'Recurring Schedule'!$F$20,$A78&gt;'Recurring Schedule'!$P$20),"",IF(IF('Recurring Schedule'!$N$20&gt;0,MOD($A78-'Recurring Schedule'!$F$20,'Recurring Schedule'!$N$20)=0,IF('Recurring Schedule'!$O$20&gt;0,AND(DAY($A78)=MIN(DAY('Recurring Schedule'!$F$20),DAY(EOMONTH($A78,0))),MOD((YEAR($A78)-YEAR('Recurring Schedule'!$F$20))*12+MONTH($A78)-MONTH('Recurring Schedule'!$F$20),'Recurring Schedule'!$O$20)=0),IF('Recurring Schedule'!$E$20="Weekdays",WEEKDAY($A78,2)&lt;=5,$A78='Recurring Schedule'!$F$20))),15,""))))</f>
        <v/>
      </c>
      <c r="Q78">
        <f>IF('Recurring Schedule'!$C$21="","",IF('Recurring Schedule'!$F$21="","",IF(OR($A78&lt;'Recurring Schedule'!$F$21,$A78&gt;'Recurring Schedule'!$P$21),"",IF(IF('Recurring Schedule'!$N$21&gt;0,MOD($A78-'Recurring Schedule'!$F$21,'Recurring Schedule'!$N$21)=0,IF('Recurring Schedule'!$O$21&gt;0,AND(DAY($A78)=MIN(DAY('Recurring Schedule'!$F$21),DAY(EOMONTH($A78,0))),MOD((YEAR($A78)-YEAR('Recurring Schedule'!$F$21))*12+MONTH($A78)-MONTH('Recurring Schedule'!$F$21),'Recurring Schedule'!$O$21)=0),IF('Recurring Schedule'!$E$21="Weekdays",WEEKDAY($A78,2)&lt;=5,$A78='Recurring Schedule'!$F$21))),16,""))))</f>
        <v/>
      </c>
      <c r="R78">
        <f>IF('Recurring Schedule'!$C$22="","",IF('Recurring Schedule'!$F$22="","",IF(OR($A78&lt;'Recurring Schedule'!$F$22,$A78&gt;'Recurring Schedule'!$P$22),"",IF(IF('Recurring Schedule'!$N$22&gt;0,MOD($A78-'Recurring Schedule'!$F$22,'Recurring Schedule'!$N$22)=0,IF('Recurring Schedule'!$O$22&gt;0,AND(DAY($A78)=MIN(DAY('Recurring Schedule'!$F$22),DAY(EOMONTH($A78,0))),MOD((YEAR($A78)-YEAR('Recurring Schedule'!$F$22))*12+MONTH($A78)-MONTH('Recurring Schedule'!$F$22),'Recurring Schedule'!$O$22)=0),IF('Recurring Schedule'!$E$22="Weekdays",WEEKDAY($A78,2)&lt;=5,$A78='Recurring Schedule'!$F$22))),17,""))))</f>
        <v/>
      </c>
      <c r="S78">
        <f>IF('Recurring Schedule'!$C$23="","",IF('Recurring Schedule'!$F$23="","",IF(OR($A78&lt;'Recurring Schedule'!$F$23,$A78&gt;'Recurring Schedule'!$P$23),"",IF(IF('Recurring Schedule'!$N$23&gt;0,MOD($A78-'Recurring Schedule'!$F$23,'Recurring Schedule'!$N$23)=0,IF('Recurring Schedule'!$O$23&gt;0,AND(DAY($A78)=MIN(DAY('Recurring Schedule'!$F$23),DAY(EOMONTH($A78,0))),MOD((YEAR($A78)-YEAR('Recurring Schedule'!$F$23))*12+MONTH($A78)-MONTH('Recurring Schedule'!$F$23),'Recurring Schedule'!$O$23)=0),IF('Recurring Schedule'!$E$23="Weekdays",WEEKDAY($A78,2)&lt;=5,$A78='Recurring Schedule'!$F$23))),18,""))))</f>
        <v/>
      </c>
      <c r="T78">
        <f>IF('Recurring Schedule'!$C$24="","",IF('Recurring Schedule'!$F$24="","",IF(OR($A78&lt;'Recurring Schedule'!$F$24,$A78&gt;'Recurring Schedule'!$P$24),"",IF(IF('Recurring Schedule'!$N$24&gt;0,MOD($A78-'Recurring Schedule'!$F$24,'Recurring Schedule'!$N$24)=0,IF('Recurring Schedule'!$O$24&gt;0,AND(DAY($A78)=MIN(DAY('Recurring Schedule'!$F$24),DAY(EOMONTH($A78,0))),MOD((YEAR($A78)-YEAR('Recurring Schedule'!$F$24))*12+MONTH($A78)-MONTH('Recurring Schedule'!$F$24),'Recurring Schedule'!$O$24)=0),IF('Recurring Schedule'!$E$24="Weekdays",WEEKDAY($A78,2)&lt;=5,$A78='Recurring Schedule'!$F$24))),19,""))))</f>
        <v/>
      </c>
      <c r="U78">
        <f>IF('Recurring Schedule'!$C$25="","",IF('Recurring Schedule'!$F$25="","",IF(OR($A78&lt;'Recurring Schedule'!$F$25,$A78&gt;'Recurring Schedule'!$P$25),"",IF(IF('Recurring Schedule'!$N$25&gt;0,MOD($A78-'Recurring Schedule'!$F$25,'Recurring Schedule'!$N$25)=0,IF('Recurring Schedule'!$O$25&gt;0,AND(DAY($A78)=MIN(DAY('Recurring Schedule'!$F$25),DAY(EOMONTH($A78,0))),MOD((YEAR($A78)-YEAR('Recurring Schedule'!$F$25))*12+MONTH($A78)-MONTH('Recurring Schedule'!$F$25),'Recurring Schedule'!$O$25)=0),IF('Recurring Schedule'!$E$25="Weekdays",WEEKDAY($A78,2)&lt;=5,$A78='Recurring Schedule'!$F$25))),20,""))))</f>
        <v/>
      </c>
      <c r="V78">
        <f>IF('Recurring Schedule'!$C$26="","",IF('Recurring Schedule'!$F$26="","",IF(OR($A78&lt;'Recurring Schedule'!$F$26,$A78&gt;'Recurring Schedule'!$P$26),"",IF(IF('Recurring Schedule'!$N$26&gt;0,MOD($A78-'Recurring Schedule'!$F$26,'Recurring Schedule'!$N$26)=0,IF('Recurring Schedule'!$O$26&gt;0,AND(DAY($A78)=MIN(DAY('Recurring Schedule'!$F$26),DAY(EOMONTH($A78,0))),MOD((YEAR($A78)-YEAR('Recurring Schedule'!$F$26))*12+MONTH($A78)-MONTH('Recurring Schedule'!$F$26),'Recurring Schedule'!$O$26)=0),IF('Recurring Schedule'!$E$26="Weekdays",WEEKDAY($A78,2)&lt;=5,$A78='Recurring Schedule'!$F$26))),21,""))))</f>
        <v/>
      </c>
      <c r="W78">
        <f>IF('Recurring Schedule'!$C$27="","",IF('Recurring Schedule'!$F$27="","",IF(OR($A78&lt;'Recurring Schedule'!$F$27,$A78&gt;'Recurring Schedule'!$P$27),"",IF(IF('Recurring Schedule'!$N$27&gt;0,MOD($A78-'Recurring Schedule'!$F$27,'Recurring Schedule'!$N$27)=0,IF('Recurring Schedule'!$O$27&gt;0,AND(DAY($A78)=MIN(DAY('Recurring Schedule'!$F$27),DAY(EOMONTH($A78,0))),MOD((YEAR($A78)-YEAR('Recurring Schedule'!$F$27))*12+MONTH($A78)-MONTH('Recurring Schedule'!$F$27),'Recurring Schedule'!$O$27)=0),IF('Recurring Schedule'!$E$27="Weekdays",WEEKDAY($A78,2)&lt;=5,$A78='Recurring Schedule'!$F$27))),22,""))))</f>
        <v/>
      </c>
      <c r="X78">
        <f>IF('Recurring Schedule'!$C$28="","",IF('Recurring Schedule'!$F$28="","",IF(OR($A78&lt;'Recurring Schedule'!$F$28,$A78&gt;'Recurring Schedule'!$P$28),"",IF(IF('Recurring Schedule'!$N$28&gt;0,MOD($A78-'Recurring Schedule'!$F$28,'Recurring Schedule'!$N$28)=0,IF('Recurring Schedule'!$O$28&gt;0,AND(DAY($A78)=MIN(DAY('Recurring Schedule'!$F$28),DAY(EOMONTH($A78,0))),MOD((YEAR($A78)-YEAR('Recurring Schedule'!$F$28))*12+MONTH($A78)-MONTH('Recurring Schedule'!$F$28),'Recurring Schedule'!$O$28)=0),IF('Recurring Schedule'!$E$28="Weekdays",WEEKDAY($A78,2)&lt;=5,$A78='Recurring Schedule'!$F$28))),23,""))))</f>
        <v/>
      </c>
      <c r="Y78">
        <f>IF('Recurring Schedule'!$C$29="","",IF('Recurring Schedule'!$F$29="","",IF(OR($A78&lt;'Recurring Schedule'!$F$29,$A78&gt;'Recurring Schedule'!$P$29),"",IF(IF('Recurring Schedule'!$N$29&gt;0,MOD($A78-'Recurring Schedule'!$F$29,'Recurring Schedule'!$N$29)=0,IF('Recurring Schedule'!$O$29&gt;0,AND(DAY($A78)=MIN(DAY('Recurring Schedule'!$F$29),DAY(EOMONTH($A78,0))),MOD((YEAR($A78)-YEAR('Recurring Schedule'!$F$29))*12+MONTH($A78)-MONTH('Recurring Schedule'!$F$29),'Recurring Schedule'!$O$29)=0),IF('Recurring Schedule'!$E$29="Weekdays",WEEKDAY($A78,2)&lt;=5,$A78='Recurring Schedule'!$F$29))),24,""))))</f>
        <v/>
      </c>
      <c r="Z78">
        <f>IF('Recurring Schedule'!$C$30="","",IF('Recurring Schedule'!$F$30="","",IF(OR($A78&lt;'Recurring Schedule'!$F$30,$A78&gt;'Recurring Schedule'!$P$30),"",IF(IF('Recurring Schedule'!$N$30&gt;0,MOD($A78-'Recurring Schedule'!$F$30,'Recurring Schedule'!$N$30)=0,IF('Recurring Schedule'!$O$30&gt;0,AND(DAY($A78)=MIN(DAY('Recurring Schedule'!$F$30),DAY(EOMONTH($A78,0))),MOD((YEAR($A78)-YEAR('Recurring Schedule'!$F$30))*12+MONTH($A78)-MONTH('Recurring Schedule'!$F$30),'Recurring Schedule'!$O$30)=0),IF('Recurring Schedule'!$E$30="Weekdays",WEEKDAY($A78,2)&lt;=5,$A78='Recurring Schedule'!$F$30))),25,""))))</f>
        <v/>
      </c>
      <c r="AA78">
        <f>IF('Recurring Schedule'!$C$31="","",IF('Recurring Schedule'!$F$31="","",IF(OR($A78&lt;'Recurring Schedule'!$F$31,$A78&gt;'Recurring Schedule'!$P$31),"",IF(IF('Recurring Schedule'!$N$31&gt;0,MOD($A78-'Recurring Schedule'!$F$31,'Recurring Schedule'!$N$31)=0,IF('Recurring Schedule'!$O$31&gt;0,AND(DAY($A78)=MIN(DAY('Recurring Schedule'!$F$31),DAY(EOMONTH($A78,0))),MOD((YEAR($A78)-YEAR('Recurring Schedule'!$F$31))*12+MONTH($A78)-MONTH('Recurring Schedule'!$F$31),'Recurring Schedule'!$O$31)=0),IF('Recurring Schedule'!$E$31="Weekdays",WEEKDAY($A78,2)&lt;=5,$A78='Recurring Schedule'!$F$31))),26,""))))</f>
        <v/>
      </c>
      <c r="AB78">
        <f>IF('Recurring Schedule'!$C$32="","",IF('Recurring Schedule'!$F$32="","",IF(OR($A78&lt;'Recurring Schedule'!$F$32,$A78&gt;'Recurring Schedule'!$P$32),"",IF(IF('Recurring Schedule'!$N$32&gt;0,MOD($A78-'Recurring Schedule'!$F$32,'Recurring Schedule'!$N$32)=0,IF('Recurring Schedule'!$O$32&gt;0,AND(DAY($A78)=MIN(DAY('Recurring Schedule'!$F$32),DAY(EOMONTH($A78,0))),MOD((YEAR($A78)-YEAR('Recurring Schedule'!$F$32))*12+MONTH($A78)-MONTH('Recurring Schedule'!$F$32),'Recurring Schedule'!$O$32)=0),IF('Recurring Schedule'!$E$32="Weekdays",WEEKDAY($A78,2)&lt;=5,$A78='Recurring Schedule'!$F$32))),27,""))))</f>
        <v/>
      </c>
      <c r="AC78">
        <f>IF('Recurring Schedule'!$C$33="","",IF('Recurring Schedule'!$F$33="","",IF(OR($A78&lt;'Recurring Schedule'!$F$33,$A78&gt;'Recurring Schedule'!$P$33),"",IF(IF('Recurring Schedule'!$N$33&gt;0,MOD($A78-'Recurring Schedule'!$F$33,'Recurring Schedule'!$N$33)=0,IF('Recurring Schedule'!$O$33&gt;0,AND(DAY($A78)=MIN(DAY('Recurring Schedule'!$F$33),DAY(EOMONTH($A78,0))),MOD((YEAR($A78)-YEAR('Recurring Schedule'!$F$33))*12+MONTH($A78)-MONTH('Recurring Schedule'!$F$33),'Recurring Schedule'!$O$33)=0),IF('Recurring Schedule'!$E$33="Weekdays",WEEKDAY($A78,2)&lt;=5,$A78='Recurring Schedule'!$F$33))),28,""))))</f>
        <v/>
      </c>
      <c r="AD78">
        <f>IF('Recurring Schedule'!$C$34="","",IF('Recurring Schedule'!$F$34="","",IF(OR($A78&lt;'Recurring Schedule'!$F$34,$A78&gt;'Recurring Schedule'!$P$34),"",IF(IF('Recurring Schedule'!$N$34&gt;0,MOD($A78-'Recurring Schedule'!$F$34,'Recurring Schedule'!$N$34)=0,IF('Recurring Schedule'!$O$34&gt;0,AND(DAY($A78)=MIN(DAY('Recurring Schedule'!$F$34),DAY(EOMONTH($A78,0))),MOD((YEAR($A78)-YEAR('Recurring Schedule'!$F$34))*12+MONTH($A78)-MONTH('Recurring Schedule'!$F$34),'Recurring Schedule'!$O$34)=0),IF('Recurring Schedule'!$E$34="Weekdays",WEEKDAY($A78,2)&lt;=5,$A78='Recurring Schedule'!$F$34))),29,""))))</f>
        <v/>
      </c>
      <c r="AE78">
        <f>IF('Recurring Schedule'!$C$35="","",IF('Recurring Schedule'!$F$35="","",IF(OR($A78&lt;'Recurring Schedule'!$F$35,$A78&gt;'Recurring Schedule'!$P$35),"",IF(IF('Recurring Schedule'!$N$35&gt;0,MOD($A78-'Recurring Schedule'!$F$35,'Recurring Schedule'!$N$35)=0,IF('Recurring Schedule'!$O$35&gt;0,AND(DAY($A78)=MIN(DAY('Recurring Schedule'!$F$35),DAY(EOMONTH($A78,0))),MOD((YEAR($A78)-YEAR('Recurring Schedule'!$F$35))*12+MONTH($A78)-MONTH('Recurring Schedule'!$F$35),'Recurring Schedule'!$O$35)=0),IF('Recurring Schedule'!$E$35="Weekdays",WEEKDAY($A78,2)&lt;=5,$A78='Recurring Schedule'!$F$35))),30,""))))</f>
        <v/>
      </c>
      <c r="AF78">
        <f>IF('Recurring Schedule'!$C$36="","",IF('Recurring Schedule'!$F$36="","",IF(OR($A78&lt;'Recurring Schedule'!$F$36,$A78&gt;'Recurring Schedule'!$P$36),"",IF(IF('Recurring Schedule'!$N$36&gt;0,MOD($A78-'Recurring Schedule'!$F$36,'Recurring Schedule'!$N$36)=0,IF('Recurring Schedule'!$O$36&gt;0,AND(DAY($A78)=MIN(DAY('Recurring Schedule'!$F$36),DAY(EOMONTH($A78,0))),MOD((YEAR($A78)-YEAR('Recurring Schedule'!$F$36))*12+MONTH($A78)-MONTH('Recurring Schedule'!$F$36),'Recurring Schedule'!$O$36)=0),IF('Recurring Schedule'!$E$36="Weekdays",WEEKDAY($A78,2)&lt;=5,$A78='Recurring Schedule'!$F$36))),31,""))))</f>
        <v/>
      </c>
      <c r="AG78">
        <f>IF('Recurring Schedule'!$C$37="","",IF('Recurring Schedule'!$F$37="","",IF(OR($A78&lt;'Recurring Schedule'!$F$37,$A78&gt;'Recurring Schedule'!$P$37),"",IF(IF('Recurring Schedule'!$N$37&gt;0,MOD($A78-'Recurring Schedule'!$F$37,'Recurring Schedule'!$N$37)=0,IF('Recurring Schedule'!$O$37&gt;0,AND(DAY($A78)=MIN(DAY('Recurring Schedule'!$F$37),DAY(EOMONTH($A78,0))),MOD((YEAR($A78)-YEAR('Recurring Schedule'!$F$37))*12+MONTH($A78)-MONTH('Recurring Schedule'!$F$37),'Recurring Schedule'!$O$37)=0),IF('Recurring Schedule'!$E$37="Weekdays",WEEKDAY($A78,2)&lt;=5,$A78='Recurring Schedule'!$F$37))),32,""))))</f>
        <v/>
      </c>
      <c r="AH78">
        <f>IF('Recurring Schedule'!$C$38="","",IF('Recurring Schedule'!$F$38="","",IF(OR($A78&lt;'Recurring Schedule'!$F$38,$A78&gt;'Recurring Schedule'!$P$38),"",IF(IF('Recurring Schedule'!$N$38&gt;0,MOD($A78-'Recurring Schedule'!$F$38,'Recurring Schedule'!$N$38)=0,IF('Recurring Schedule'!$O$38&gt;0,AND(DAY($A78)=MIN(DAY('Recurring Schedule'!$F$38),DAY(EOMONTH($A78,0))),MOD((YEAR($A78)-YEAR('Recurring Schedule'!$F$38))*12+MONTH($A78)-MONTH('Recurring Schedule'!$F$38),'Recurring Schedule'!$O$38)=0),IF('Recurring Schedule'!$E$38="Weekdays",WEEKDAY($A78,2)&lt;=5,$A78='Recurring Schedule'!$F$38))),33,""))))</f>
        <v/>
      </c>
      <c r="AI78">
        <f>IF('Recurring Schedule'!$C$39="","",IF('Recurring Schedule'!$F$39="","",IF(OR($A78&lt;'Recurring Schedule'!$F$39,$A78&gt;'Recurring Schedule'!$P$39),"",IF(IF('Recurring Schedule'!$N$39&gt;0,MOD($A78-'Recurring Schedule'!$F$39,'Recurring Schedule'!$N$39)=0,IF('Recurring Schedule'!$O$39&gt;0,AND(DAY($A78)=MIN(DAY('Recurring Schedule'!$F$39),DAY(EOMONTH($A78,0))),MOD((YEAR($A78)-YEAR('Recurring Schedule'!$F$39))*12+MONTH($A78)-MONTH('Recurring Schedule'!$F$39),'Recurring Schedule'!$O$39)=0),IF('Recurring Schedule'!$E$39="Weekdays",WEEKDAY($A78,2)&lt;=5,$A78='Recurring Schedule'!$F$39))),34,""))))</f>
        <v/>
      </c>
      <c r="AJ78">
        <f>IF('Recurring Schedule'!$C$40="","",IF('Recurring Schedule'!$F$40="","",IF(OR($A78&lt;'Recurring Schedule'!$F$40,$A78&gt;'Recurring Schedule'!$P$40),"",IF(IF('Recurring Schedule'!$N$40&gt;0,MOD($A78-'Recurring Schedule'!$F$40,'Recurring Schedule'!$N$40)=0,IF('Recurring Schedule'!$O$40&gt;0,AND(DAY($A78)=MIN(DAY('Recurring Schedule'!$F$40),DAY(EOMONTH($A78,0))),MOD((YEAR($A78)-YEAR('Recurring Schedule'!$F$40))*12+MONTH($A78)-MONTH('Recurring Schedule'!$F$40),'Recurring Schedule'!$O$40)=0),IF('Recurring Schedule'!$E$40="Weekdays",WEEKDAY($A78,2)&lt;=5,$A78='Recurring Schedule'!$F$40))),35,""))))</f>
        <v/>
      </c>
      <c r="AK78">
        <f>IF('Recurring Schedule'!$C$41="","",IF('Recurring Schedule'!$F$41="","",IF(OR($A78&lt;'Recurring Schedule'!$F$41,$A78&gt;'Recurring Schedule'!$P$41),"",IF(IF('Recurring Schedule'!$N$41&gt;0,MOD($A78-'Recurring Schedule'!$F$41,'Recurring Schedule'!$N$41)=0,IF('Recurring Schedule'!$O$41&gt;0,AND(DAY($A78)=MIN(DAY('Recurring Schedule'!$F$41),DAY(EOMONTH($A78,0))),MOD((YEAR($A78)-YEAR('Recurring Schedule'!$F$41))*12+MONTH($A78)-MONTH('Recurring Schedule'!$F$41),'Recurring Schedule'!$O$41)=0),IF('Recurring Schedule'!$E$41="Weekdays",WEEKDAY($A78,2)&lt;=5,$A78='Recurring Schedule'!$F$41))),36,""))))</f>
        <v/>
      </c>
      <c r="AL78">
        <f>IF('Recurring Schedule'!$C$42="","",IF('Recurring Schedule'!$F$42="","",IF(OR($A78&lt;'Recurring Schedule'!$F$42,$A78&gt;'Recurring Schedule'!$P$42),"",IF(IF('Recurring Schedule'!$N$42&gt;0,MOD($A78-'Recurring Schedule'!$F$42,'Recurring Schedule'!$N$42)=0,IF('Recurring Schedule'!$O$42&gt;0,AND(DAY($A78)=MIN(DAY('Recurring Schedule'!$F$42),DAY(EOMONTH($A78,0))),MOD((YEAR($A78)-YEAR('Recurring Schedule'!$F$42))*12+MONTH($A78)-MONTH('Recurring Schedule'!$F$42),'Recurring Schedule'!$O$42)=0),IF('Recurring Schedule'!$E$42="Weekdays",WEEKDAY($A78,2)&lt;=5,$A78='Recurring Schedule'!$F$42))),37,""))))</f>
        <v/>
      </c>
      <c r="AM78">
        <f>IF('Recurring Schedule'!$C$43="","",IF('Recurring Schedule'!$F$43="","",IF(OR($A78&lt;'Recurring Schedule'!$F$43,$A78&gt;'Recurring Schedule'!$P$43),"",IF(IF('Recurring Schedule'!$N$43&gt;0,MOD($A78-'Recurring Schedule'!$F$43,'Recurring Schedule'!$N$43)=0,IF('Recurring Schedule'!$O$43&gt;0,AND(DAY($A78)=MIN(DAY('Recurring Schedule'!$F$43),DAY(EOMONTH($A78,0))),MOD((YEAR($A78)-YEAR('Recurring Schedule'!$F$43))*12+MONTH($A78)-MONTH('Recurring Schedule'!$F$43),'Recurring Schedule'!$O$43)=0),IF('Recurring Schedule'!$E$43="Weekdays",WEEKDAY($A78,2)&lt;=5,$A78='Recurring Schedule'!$F$43))),38,""))))</f>
        <v/>
      </c>
      <c r="AN78">
        <f>IF('Recurring Schedule'!$C$44="","",IF('Recurring Schedule'!$F$44="","",IF(OR($A78&lt;'Recurring Schedule'!$F$44,$A78&gt;'Recurring Schedule'!$P$44),"",IF(IF('Recurring Schedule'!$N$44&gt;0,MOD($A78-'Recurring Schedule'!$F$44,'Recurring Schedule'!$N$44)=0,IF('Recurring Schedule'!$O$44&gt;0,AND(DAY($A78)=MIN(DAY('Recurring Schedule'!$F$44),DAY(EOMONTH($A78,0))),MOD((YEAR($A78)-YEAR('Recurring Schedule'!$F$44))*12+MONTH($A78)-MONTH('Recurring Schedule'!$F$44),'Recurring Schedule'!$O$44)=0),IF('Recurring Schedule'!$E$44="Weekdays",WEEKDAY($A78,2)&lt;=5,$A78='Recurring Schedule'!$F$44))),39,""))))</f>
        <v/>
      </c>
      <c r="AO78">
        <f>IF('Recurring Schedule'!$C$45="","",IF('Recurring Schedule'!$F$45="","",IF(OR($A78&lt;'Recurring Schedule'!$F$45,$A78&gt;'Recurring Schedule'!$P$45),"",IF(IF('Recurring Schedule'!$N$45&gt;0,MOD($A78-'Recurring Schedule'!$F$45,'Recurring Schedule'!$N$45)=0,IF('Recurring Schedule'!$O$45&gt;0,AND(DAY($A78)=MIN(DAY('Recurring Schedule'!$F$45),DAY(EOMONTH($A78,0))),MOD((YEAR($A78)-YEAR('Recurring Schedule'!$F$45))*12+MONTH($A78)-MONTH('Recurring Schedule'!$F$45),'Recurring Schedule'!$O$45)=0),IF('Recurring Schedule'!$E$45="Weekdays",WEEKDAY($A78,2)&lt;=5,$A78='Recurring Schedule'!$F$45))),40,""))))</f>
        <v/>
      </c>
      <c r="AP78">
        <f>COUNT(B78:AO78)</f>
        <v/>
      </c>
      <c r="AQ78">
        <f>AQ77+AP77</f>
        <v/>
      </c>
      <c r="AS78" t="inlineStr">
        <is>
          <t>R</t>
        </is>
      </c>
      <c r="AT78" t="n">
        <v>82</v>
      </c>
      <c r="AU78">
        <f>'Recurring Log'!C82&amp;""</f>
        <v/>
      </c>
      <c r="AV78">
        <f>'Recurring Log'!D82&amp;""</f>
        <v/>
      </c>
      <c r="AW78">
        <f>IF('Recurring Log'!E82="","",'Recurring Log'!E82)</f>
        <v/>
      </c>
      <c r="AX78">
        <f>IF('Recurring Log'!G82="","",'Recurring Log'!G82)</f>
        <v/>
      </c>
      <c r="AY78">
        <f>IF('Recurring Log'!H82="","",'Recurring Log'!H82)</f>
        <v/>
      </c>
      <c r="AZ78">
        <f>IF(AU78="","",IF('Recurring Log'!J82="","Not Started",'Recurring Log'!J82))</f>
        <v/>
      </c>
      <c r="BA78">
        <f>'Recurring Log'!L82&amp;""</f>
        <v/>
      </c>
      <c r="BB78">
        <f>'Recurring Log'!M82&amp;""</f>
        <v/>
      </c>
      <c r="BC78">
        <f>'Recurring Log'!N82&amp;""</f>
        <v/>
      </c>
      <c r="BD78">
        <f>'Recurring Log'!O82&amp;""</f>
        <v/>
      </c>
      <c r="BE78">
        <f>IF('Recurring Log'!K82="","",'Recurring Log'!K82)</f>
        <v/>
      </c>
      <c r="BF78">
        <f>IFERROR(MATCH(BA78,Setup!$L$6:$L$9,0),5)</f>
        <v/>
      </c>
      <c r="BG78">
        <f>IF(OR(AZ78="Done",AZ78="Cancelled"),1,0)</f>
        <v/>
      </c>
      <c r="BH78">
        <f>IF(AND(AU78&lt;&gt;"",ISNUMBER(AW78)),1,0)</f>
        <v/>
      </c>
      <c r="BI78">
        <f>IF(BH78=0,0,IF(AND(AW78&gt;='Tasks Filter'!$F$3,AW78&lt;='Tasks Filter'!$F$4,OR('Tasks Filter'!$I$3="",ISNUMBER(SEARCH('Tasks Filter'!$I$3,AU78))),OR('Tasks Filter'!$I$4="",BF78=IFERROR(MATCH('Tasks Filter'!$I$4,Setup!$L$6:$L$9,0),0)),OR('Tasks Filter'!$I$5="Both",AND('Tasks Filter'!$I$5="Yes",BB78="✓"),AND('Tasks Filter'!$I$5="No",BB78&lt;&gt;"✓")),OR('Tasks Filter'!$L$3="",AV78='Tasks Filter'!$L$3),OR('Tasks Filter'!$L$4="",AZ78='Tasks Filter'!$L$4),OR('Tasks Filter'!$L$5="",BC78='Tasks Filter'!$L$5),OR('Tasks Filter'!$O$3="",BD78='Tasks Filter'!$O$3),OR('Tasks Filter'!$O$4="Yes",BG78=0)),1,0))</f>
        <v/>
      </c>
      <c r="BJ78">
        <f>IF(BH78=0,"",IF('Tasks Filter'!$F$6="Descending",-1,1)*CHOOSE(MATCH('Tasks Filter'!$F$5,Lists!$G$2:$G$6,0),AW78,BF78,IFERROR(MATCH(AV78,Setup!$F$6:$F$15,0),99),IFERROR(MATCH(BC78,Setup!$H$6:$H$15,0),99),IFERROR(MATCH(AZ78,Setup!$J$6:$J$11,0),99))*1E+9+(AW78-40000)*10000+77)</f>
        <v/>
      </c>
      <c r="BK78">
        <f>IF(BI78=1,BJ78,"")</f>
        <v/>
      </c>
      <c r="BL78">
        <f>IF(AND(BH78=1,BG78=0,N(AW78)&lt;Setup!$D$7),(AW78-40000)*10000+77,"")</f>
        <v/>
      </c>
      <c r="BM78">
        <f>IF(AND(BH78=1,AZ78&lt;&gt;"Cancelled",N(AW78)&gt;=Dashboard!$AB$3,N(AW78)&lt;=Dashboard!$AB$3+6),(AW78-40000)*100000+BF78*10000+77,"")</f>
        <v/>
      </c>
      <c r="BN78">
        <f>IF(AND(BH78=1,AZ78&lt;&gt;"Cancelled"),BF78*10000+77,"")</f>
        <v/>
      </c>
    </row>
    <row r="79">
      <c r="A79">
        <f>Setup!$D$5+77</f>
        <v/>
      </c>
      <c r="B79">
        <f>IF('Recurring Schedule'!$C$6="","",IF('Recurring Schedule'!$F$6="","",IF(OR($A79&lt;'Recurring Schedule'!$F$6,$A79&gt;'Recurring Schedule'!$P$6),"",IF(IF('Recurring Schedule'!$N$6&gt;0,MOD($A79-'Recurring Schedule'!$F$6,'Recurring Schedule'!$N$6)=0,IF('Recurring Schedule'!$O$6&gt;0,AND(DAY($A79)=MIN(DAY('Recurring Schedule'!$F$6),DAY(EOMONTH($A79,0))),MOD((YEAR($A79)-YEAR('Recurring Schedule'!$F$6))*12+MONTH($A79)-MONTH('Recurring Schedule'!$F$6),'Recurring Schedule'!$O$6)=0),IF('Recurring Schedule'!$E$6="Weekdays",WEEKDAY($A79,2)&lt;=5,$A79='Recurring Schedule'!$F$6))),1,""))))</f>
        <v/>
      </c>
      <c r="C79">
        <f>IF('Recurring Schedule'!$C$7="","",IF('Recurring Schedule'!$F$7="","",IF(OR($A79&lt;'Recurring Schedule'!$F$7,$A79&gt;'Recurring Schedule'!$P$7),"",IF(IF('Recurring Schedule'!$N$7&gt;0,MOD($A79-'Recurring Schedule'!$F$7,'Recurring Schedule'!$N$7)=0,IF('Recurring Schedule'!$O$7&gt;0,AND(DAY($A79)=MIN(DAY('Recurring Schedule'!$F$7),DAY(EOMONTH($A79,0))),MOD((YEAR($A79)-YEAR('Recurring Schedule'!$F$7))*12+MONTH($A79)-MONTH('Recurring Schedule'!$F$7),'Recurring Schedule'!$O$7)=0),IF('Recurring Schedule'!$E$7="Weekdays",WEEKDAY($A79,2)&lt;=5,$A79='Recurring Schedule'!$F$7))),2,""))))</f>
        <v/>
      </c>
      <c r="D79">
        <f>IF('Recurring Schedule'!$C$8="","",IF('Recurring Schedule'!$F$8="","",IF(OR($A79&lt;'Recurring Schedule'!$F$8,$A79&gt;'Recurring Schedule'!$P$8),"",IF(IF('Recurring Schedule'!$N$8&gt;0,MOD($A79-'Recurring Schedule'!$F$8,'Recurring Schedule'!$N$8)=0,IF('Recurring Schedule'!$O$8&gt;0,AND(DAY($A79)=MIN(DAY('Recurring Schedule'!$F$8),DAY(EOMONTH($A79,0))),MOD((YEAR($A79)-YEAR('Recurring Schedule'!$F$8))*12+MONTH($A79)-MONTH('Recurring Schedule'!$F$8),'Recurring Schedule'!$O$8)=0),IF('Recurring Schedule'!$E$8="Weekdays",WEEKDAY($A79,2)&lt;=5,$A79='Recurring Schedule'!$F$8))),3,""))))</f>
        <v/>
      </c>
      <c r="E79">
        <f>IF('Recurring Schedule'!$C$9="","",IF('Recurring Schedule'!$F$9="","",IF(OR($A79&lt;'Recurring Schedule'!$F$9,$A79&gt;'Recurring Schedule'!$P$9),"",IF(IF('Recurring Schedule'!$N$9&gt;0,MOD($A79-'Recurring Schedule'!$F$9,'Recurring Schedule'!$N$9)=0,IF('Recurring Schedule'!$O$9&gt;0,AND(DAY($A79)=MIN(DAY('Recurring Schedule'!$F$9),DAY(EOMONTH($A79,0))),MOD((YEAR($A79)-YEAR('Recurring Schedule'!$F$9))*12+MONTH($A79)-MONTH('Recurring Schedule'!$F$9),'Recurring Schedule'!$O$9)=0),IF('Recurring Schedule'!$E$9="Weekdays",WEEKDAY($A79,2)&lt;=5,$A79='Recurring Schedule'!$F$9))),4,""))))</f>
        <v/>
      </c>
      <c r="F79">
        <f>IF('Recurring Schedule'!$C$10="","",IF('Recurring Schedule'!$F$10="","",IF(OR($A79&lt;'Recurring Schedule'!$F$10,$A79&gt;'Recurring Schedule'!$P$10),"",IF(IF('Recurring Schedule'!$N$10&gt;0,MOD($A79-'Recurring Schedule'!$F$10,'Recurring Schedule'!$N$10)=0,IF('Recurring Schedule'!$O$10&gt;0,AND(DAY($A79)=MIN(DAY('Recurring Schedule'!$F$10),DAY(EOMONTH($A79,0))),MOD((YEAR($A79)-YEAR('Recurring Schedule'!$F$10))*12+MONTH($A79)-MONTH('Recurring Schedule'!$F$10),'Recurring Schedule'!$O$10)=0),IF('Recurring Schedule'!$E$10="Weekdays",WEEKDAY($A79,2)&lt;=5,$A79='Recurring Schedule'!$F$10))),5,""))))</f>
        <v/>
      </c>
      <c r="G79">
        <f>IF('Recurring Schedule'!$C$11="","",IF('Recurring Schedule'!$F$11="","",IF(OR($A79&lt;'Recurring Schedule'!$F$11,$A79&gt;'Recurring Schedule'!$P$11),"",IF(IF('Recurring Schedule'!$N$11&gt;0,MOD($A79-'Recurring Schedule'!$F$11,'Recurring Schedule'!$N$11)=0,IF('Recurring Schedule'!$O$11&gt;0,AND(DAY($A79)=MIN(DAY('Recurring Schedule'!$F$11),DAY(EOMONTH($A79,0))),MOD((YEAR($A79)-YEAR('Recurring Schedule'!$F$11))*12+MONTH($A79)-MONTH('Recurring Schedule'!$F$11),'Recurring Schedule'!$O$11)=0),IF('Recurring Schedule'!$E$11="Weekdays",WEEKDAY($A79,2)&lt;=5,$A79='Recurring Schedule'!$F$11))),6,""))))</f>
        <v/>
      </c>
      <c r="H79">
        <f>IF('Recurring Schedule'!$C$12="","",IF('Recurring Schedule'!$F$12="","",IF(OR($A79&lt;'Recurring Schedule'!$F$12,$A79&gt;'Recurring Schedule'!$P$12),"",IF(IF('Recurring Schedule'!$N$12&gt;0,MOD($A79-'Recurring Schedule'!$F$12,'Recurring Schedule'!$N$12)=0,IF('Recurring Schedule'!$O$12&gt;0,AND(DAY($A79)=MIN(DAY('Recurring Schedule'!$F$12),DAY(EOMONTH($A79,0))),MOD((YEAR($A79)-YEAR('Recurring Schedule'!$F$12))*12+MONTH($A79)-MONTH('Recurring Schedule'!$F$12),'Recurring Schedule'!$O$12)=0),IF('Recurring Schedule'!$E$12="Weekdays",WEEKDAY($A79,2)&lt;=5,$A79='Recurring Schedule'!$F$12))),7,""))))</f>
        <v/>
      </c>
      <c r="I79">
        <f>IF('Recurring Schedule'!$C$13="","",IF('Recurring Schedule'!$F$13="","",IF(OR($A79&lt;'Recurring Schedule'!$F$13,$A79&gt;'Recurring Schedule'!$P$13),"",IF(IF('Recurring Schedule'!$N$13&gt;0,MOD($A79-'Recurring Schedule'!$F$13,'Recurring Schedule'!$N$13)=0,IF('Recurring Schedule'!$O$13&gt;0,AND(DAY($A79)=MIN(DAY('Recurring Schedule'!$F$13),DAY(EOMONTH($A79,0))),MOD((YEAR($A79)-YEAR('Recurring Schedule'!$F$13))*12+MONTH($A79)-MONTH('Recurring Schedule'!$F$13),'Recurring Schedule'!$O$13)=0),IF('Recurring Schedule'!$E$13="Weekdays",WEEKDAY($A79,2)&lt;=5,$A79='Recurring Schedule'!$F$13))),8,""))))</f>
        <v/>
      </c>
      <c r="J79">
        <f>IF('Recurring Schedule'!$C$14="","",IF('Recurring Schedule'!$F$14="","",IF(OR($A79&lt;'Recurring Schedule'!$F$14,$A79&gt;'Recurring Schedule'!$P$14),"",IF(IF('Recurring Schedule'!$N$14&gt;0,MOD($A79-'Recurring Schedule'!$F$14,'Recurring Schedule'!$N$14)=0,IF('Recurring Schedule'!$O$14&gt;0,AND(DAY($A79)=MIN(DAY('Recurring Schedule'!$F$14),DAY(EOMONTH($A79,0))),MOD((YEAR($A79)-YEAR('Recurring Schedule'!$F$14))*12+MONTH($A79)-MONTH('Recurring Schedule'!$F$14),'Recurring Schedule'!$O$14)=0),IF('Recurring Schedule'!$E$14="Weekdays",WEEKDAY($A79,2)&lt;=5,$A79='Recurring Schedule'!$F$14))),9,""))))</f>
        <v/>
      </c>
      <c r="K79">
        <f>IF('Recurring Schedule'!$C$15="","",IF('Recurring Schedule'!$F$15="","",IF(OR($A79&lt;'Recurring Schedule'!$F$15,$A79&gt;'Recurring Schedule'!$P$15),"",IF(IF('Recurring Schedule'!$N$15&gt;0,MOD($A79-'Recurring Schedule'!$F$15,'Recurring Schedule'!$N$15)=0,IF('Recurring Schedule'!$O$15&gt;0,AND(DAY($A79)=MIN(DAY('Recurring Schedule'!$F$15),DAY(EOMONTH($A79,0))),MOD((YEAR($A79)-YEAR('Recurring Schedule'!$F$15))*12+MONTH($A79)-MONTH('Recurring Schedule'!$F$15),'Recurring Schedule'!$O$15)=0),IF('Recurring Schedule'!$E$15="Weekdays",WEEKDAY($A79,2)&lt;=5,$A79='Recurring Schedule'!$F$15))),10,""))))</f>
        <v/>
      </c>
      <c r="L79">
        <f>IF('Recurring Schedule'!$C$16="","",IF('Recurring Schedule'!$F$16="","",IF(OR($A79&lt;'Recurring Schedule'!$F$16,$A79&gt;'Recurring Schedule'!$P$16),"",IF(IF('Recurring Schedule'!$N$16&gt;0,MOD($A79-'Recurring Schedule'!$F$16,'Recurring Schedule'!$N$16)=0,IF('Recurring Schedule'!$O$16&gt;0,AND(DAY($A79)=MIN(DAY('Recurring Schedule'!$F$16),DAY(EOMONTH($A79,0))),MOD((YEAR($A79)-YEAR('Recurring Schedule'!$F$16))*12+MONTH($A79)-MONTH('Recurring Schedule'!$F$16),'Recurring Schedule'!$O$16)=0),IF('Recurring Schedule'!$E$16="Weekdays",WEEKDAY($A79,2)&lt;=5,$A79='Recurring Schedule'!$F$16))),11,""))))</f>
        <v/>
      </c>
      <c r="M79">
        <f>IF('Recurring Schedule'!$C$17="","",IF('Recurring Schedule'!$F$17="","",IF(OR($A79&lt;'Recurring Schedule'!$F$17,$A79&gt;'Recurring Schedule'!$P$17),"",IF(IF('Recurring Schedule'!$N$17&gt;0,MOD($A79-'Recurring Schedule'!$F$17,'Recurring Schedule'!$N$17)=0,IF('Recurring Schedule'!$O$17&gt;0,AND(DAY($A79)=MIN(DAY('Recurring Schedule'!$F$17),DAY(EOMONTH($A79,0))),MOD((YEAR($A79)-YEAR('Recurring Schedule'!$F$17))*12+MONTH($A79)-MONTH('Recurring Schedule'!$F$17),'Recurring Schedule'!$O$17)=0),IF('Recurring Schedule'!$E$17="Weekdays",WEEKDAY($A79,2)&lt;=5,$A79='Recurring Schedule'!$F$17))),12,""))))</f>
        <v/>
      </c>
      <c r="N79">
        <f>IF('Recurring Schedule'!$C$18="","",IF('Recurring Schedule'!$F$18="","",IF(OR($A79&lt;'Recurring Schedule'!$F$18,$A79&gt;'Recurring Schedule'!$P$18),"",IF(IF('Recurring Schedule'!$N$18&gt;0,MOD($A79-'Recurring Schedule'!$F$18,'Recurring Schedule'!$N$18)=0,IF('Recurring Schedule'!$O$18&gt;0,AND(DAY($A79)=MIN(DAY('Recurring Schedule'!$F$18),DAY(EOMONTH($A79,0))),MOD((YEAR($A79)-YEAR('Recurring Schedule'!$F$18))*12+MONTH($A79)-MONTH('Recurring Schedule'!$F$18),'Recurring Schedule'!$O$18)=0),IF('Recurring Schedule'!$E$18="Weekdays",WEEKDAY($A79,2)&lt;=5,$A79='Recurring Schedule'!$F$18))),13,""))))</f>
        <v/>
      </c>
      <c r="O79">
        <f>IF('Recurring Schedule'!$C$19="","",IF('Recurring Schedule'!$F$19="","",IF(OR($A79&lt;'Recurring Schedule'!$F$19,$A79&gt;'Recurring Schedule'!$P$19),"",IF(IF('Recurring Schedule'!$N$19&gt;0,MOD($A79-'Recurring Schedule'!$F$19,'Recurring Schedule'!$N$19)=0,IF('Recurring Schedule'!$O$19&gt;0,AND(DAY($A79)=MIN(DAY('Recurring Schedule'!$F$19),DAY(EOMONTH($A79,0))),MOD((YEAR($A79)-YEAR('Recurring Schedule'!$F$19))*12+MONTH($A79)-MONTH('Recurring Schedule'!$F$19),'Recurring Schedule'!$O$19)=0),IF('Recurring Schedule'!$E$19="Weekdays",WEEKDAY($A79,2)&lt;=5,$A79='Recurring Schedule'!$F$19))),14,""))))</f>
        <v/>
      </c>
      <c r="P79">
        <f>IF('Recurring Schedule'!$C$20="","",IF('Recurring Schedule'!$F$20="","",IF(OR($A79&lt;'Recurring Schedule'!$F$20,$A79&gt;'Recurring Schedule'!$P$20),"",IF(IF('Recurring Schedule'!$N$20&gt;0,MOD($A79-'Recurring Schedule'!$F$20,'Recurring Schedule'!$N$20)=0,IF('Recurring Schedule'!$O$20&gt;0,AND(DAY($A79)=MIN(DAY('Recurring Schedule'!$F$20),DAY(EOMONTH($A79,0))),MOD((YEAR($A79)-YEAR('Recurring Schedule'!$F$20))*12+MONTH($A79)-MONTH('Recurring Schedule'!$F$20),'Recurring Schedule'!$O$20)=0),IF('Recurring Schedule'!$E$20="Weekdays",WEEKDAY($A79,2)&lt;=5,$A79='Recurring Schedule'!$F$20))),15,""))))</f>
        <v/>
      </c>
      <c r="Q79">
        <f>IF('Recurring Schedule'!$C$21="","",IF('Recurring Schedule'!$F$21="","",IF(OR($A79&lt;'Recurring Schedule'!$F$21,$A79&gt;'Recurring Schedule'!$P$21),"",IF(IF('Recurring Schedule'!$N$21&gt;0,MOD($A79-'Recurring Schedule'!$F$21,'Recurring Schedule'!$N$21)=0,IF('Recurring Schedule'!$O$21&gt;0,AND(DAY($A79)=MIN(DAY('Recurring Schedule'!$F$21),DAY(EOMONTH($A79,0))),MOD((YEAR($A79)-YEAR('Recurring Schedule'!$F$21))*12+MONTH($A79)-MONTH('Recurring Schedule'!$F$21),'Recurring Schedule'!$O$21)=0),IF('Recurring Schedule'!$E$21="Weekdays",WEEKDAY($A79,2)&lt;=5,$A79='Recurring Schedule'!$F$21))),16,""))))</f>
        <v/>
      </c>
      <c r="R79">
        <f>IF('Recurring Schedule'!$C$22="","",IF('Recurring Schedule'!$F$22="","",IF(OR($A79&lt;'Recurring Schedule'!$F$22,$A79&gt;'Recurring Schedule'!$P$22),"",IF(IF('Recurring Schedule'!$N$22&gt;0,MOD($A79-'Recurring Schedule'!$F$22,'Recurring Schedule'!$N$22)=0,IF('Recurring Schedule'!$O$22&gt;0,AND(DAY($A79)=MIN(DAY('Recurring Schedule'!$F$22),DAY(EOMONTH($A79,0))),MOD((YEAR($A79)-YEAR('Recurring Schedule'!$F$22))*12+MONTH($A79)-MONTH('Recurring Schedule'!$F$22),'Recurring Schedule'!$O$22)=0),IF('Recurring Schedule'!$E$22="Weekdays",WEEKDAY($A79,2)&lt;=5,$A79='Recurring Schedule'!$F$22))),17,""))))</f>
        <v/>
      </c>
      <c r="S79">
        <f>IF('Recurring Schedule'!$C$23="","",IF('Recurring Schedule'!$F$23="","",IF(OR($A79&lt;'Recurring Schedule'!$F$23,$A79&gt;'Recurring Schedule'!$P$23),"",IF(IF('Recurring Schedule'!$N$23&gt;0,MOD($A79-'Recurring Schedule'!$F$23,'Recurring Schedule'!$N$23)=0,IF('Recurring Schedule'!$O$23&gt;0,AND(DAY($A79)=MIN(DAY('Recurring Schedule'!$F$23),DAY(EOMONTH($A79,0))),MOD((YEAR($A79)-YEAR('Recurring Schedule'!$F$23))*12+MONTH($A79)-MONTH('Recurring Schedule'!$F$23),'Recurring Schedule'!$O$23)=0),IF('Recurring Schedule'!$E$23="Weekdays",WEEKDAY($A79,2)&lt;=5,$A79='Recurring Schedule'!$F$23))),18,""))))</f>
        <v/>
      </c>
      <c r="T79">
        <f>IF('Recurring Schedule'!$C$24="","",IF('Recurring Schedule'!$F$24="","",IF(OR($A79&lt;'Recurring Schedule'!$F$24,$A79&gt;'Recurring Schedule'!$P$24),"",IF(IF('Recurring Schedule'!$N$24&gt;0,MOD($A79-'Recurring Schedule'!$F$24,'Recurring Schedule'!$N$24)=0,IF('Recurring Schedule'!$O$24&gt;0,AND(DAY($A79)=MIN(DAY('Recurring Schedule'!$F$24),DAY(EOMONTH($A79,0))),MOD((YEAR($A79)-YEAR('Recurring Schedule'!$F$24))*12+MONTH($A79)-MONTH('Recurring Schedule'!$F$24),'Recurring Schedule'!$O$24)=0),IF('Recurring Schedule'!$E$24="Weekdays",WEEKDAY($A79,2)&lt;=5,$A79='Recurring Schedule'!$F$24))),19,""))))</f>
        <v/>
      </c>
      <c r="U79">
        <f>IF('Recurring Schedule'!$C$25="","",IF('Recurring Schedule'!$F$25="","",IF(OR($A79&lt;'Recurring Schedule'!$F$25,$A79&gt;'Recurring Schedule'!$P$25),"",IF(IF('Recurring Schedule'!$N$25&gt;0,MOD($A79-'Recurring Schedule'!$F$25,'Recurring Schedule'!$N$25)=0,IF('Recurring Schedule'!$O$25&gt;0,AND(DAY($A79)=MIN(DAY('Recurring Schedule'!$F$25),DAY(EOMONTH($A79,0))),MOD((YEAR($A79)-YEAR('Recurring Schedule'!$F$25))*12+MONTH($A79)-MONTH('Recurring Schedule'!$F$25),'Recurring Schedule'!$O$25)=0),IF('Recurring Schedule'!$E$25="Weekdays",WEEKDAY($A79,2)&lt;=5,$A79='Recurring Schedule'!$F$25))),20,""))))</f>
        <v/>
      </c>
      <c r="V79">
        <f>IF('Recurring Schedule'!$C$26="","",IF('Recurring Schedule'!$F$26="","",IF(OR($A79&lt;'Recurring Schedule'!$F$26,$A79&gt;'Recurring Schedule'!$P$26),"",IF(IF('Recurring Schedule'!$N$26&gt;0,MOD($A79-'Recurring Schedule'!$F$26,'Recurring Schedule'!$N$26)=0,IF('Recurring Schedule'!$O$26&gt;0,AND(DAY($A79)=MIN(DAY('Recurring Schedule'!$F$26),DAY(EOMONTH($A79,0))),MOD((YEAR($A79)-YEAR('Recurring Schedule'!$F$26))*12+MONTH($A79)-MONTH('Recurring Schedule'!$F$26),'Recurring Schedule'!$O$26)=0),IF('Recurring Schedule'!$E$26="Weekdays",WEEKDAY($A79,2)&lt;=5,$A79='Recurring Schedule'!$F$26))),21,""))))</f>
        <v/>
      </c>
      <c r="W79">
        <f>IF('Recurring Schedule'!$C$27="","",IF('Recurring Schedule'!$F$27="","",IF(OR($A79&lt;'Recurring Schedule'!$F$27,$A79&gt;'Recurring Schedule'!$P$27),"",IF(IF('Recurring Schedule'!$N$27&gt;0,MOD($A79-'Recurring Schedule'!$F$27,'Recurring Schedule'!$N$27)=0,IF('Recurring Schedule'!$O$27&gt;0,AND(DAY($A79)=MIN(DAY('Recurring Schedule'!$F$27),DAY(EOMONTH($A79,0))),MOD((YEAR($A79)-YEAR('Recurring Schedule'!$F$27))*12+MONTH($A79)-MONTH('Recurring Schedule'!$F$27),'Recurring Schedule'!$O$27)=0),IF('Recurring Schedule'!$E$27="Weekdays",WEEKDAY($A79,2)&lt;=5,$A79='Recurring Schedule'!$F$27))),22,""))))</f>
        <v/>
      </c>
      <c r="X79">
        <f>IF('Recurring Schedule'!$C$28="","",IF('Recurring Schedule'!$F$28="","",IF(OR($A79&lt;'Recurring Schedule'!$F$28,$A79&gt;'Recurring Schedule'!$P$28),"",IF(IF('Recurring Schedule'!$N$28&gt;0,MOD($A79-'Recurring Schedule'!$F$28,'Recurring Schedule'!$N$28)=0,IF('Recurring Schedule'!$O$28&gt;0,AND(DAY($A79)=MIN(DAY('Recurring Schedule'!$F$28),DAY(EOMONTH($A79,0))),MOD((YEAR($A79)-YEAR('Recurring Schedule'!$F$28))*12+MONTH($A79)-MONTH('Recurring Schedule'!$F$28),'Recurring Schedule'!$O$28)=0),IF('Recurring Schedule'!$E$28="Weekdays",WEEKDAY($A79,2)&lt;=5,$A79='Recurring Schedule'!$F$28))),23,""))))</f>
        <v/>
      </c>
      <c r="Y79">
        <f>IF('Recurring Schedule'!$C$29="","",IF('Recurring Schedule'!$F$29="","",IF(OR($A79&lt;'Recurring Schedule'!$F$29,$A79&gt;'Recurring Schedule'!$P$29),"",IF(IF('Recurring Schedule'!$N$29&gt;0,MOD($A79-'Recurring Schedule'!$F$29,'Recurring Schedule'!$N$29)=0,IF('Recurring Schedule'!$O$29&gt;0,AND(DAY($A79)=MIN(DAY('Recurring Schedule'!$F$29),DAY(EOMONTH($A79,0))),MOD((YEAR($A79)-YEAR('Recurring Schedule'!$F$29))*12+MONTH($A79)-MONTH('Recurring Schedule'!$F$29),'Recurring Schedule'!$O$29)=0),IF('Recurring Schedule'!$E$29="Weekdays",WEEKDAY($A79,2)&lt;=5,$A79='Recurring Schedule'!$F$29))),24,""))))</f>
        <v/>
      </c>
      <c r="Z79">
        <f>IF('Recurring Schedule'!$C$30="","",IF('Recurring Schedule'!$F$30="","",IF(OR($A79&lt;'Recurring Schedule'!$F$30,$A79&gt;'Recurring Schedule'!$P$30),"",IF(IF('Recurring Schedule'!$N$30&gt;0,MOD($A79-'Recurring Schedule'!$F$30,'Recurring Schedule'!$N$30)=0,IF('Recurring Schedule'!$O$30&gt;0,AND(DAY($A79)=MIN(DAY('Recurring Schedule'!$F$30),DAY(EOMONTH($A79,0))),MOD((YEAR($A79)-YEAR('Recurring Schedule'!$F$30))*12+MONTH($A79)-MONTH('Recurring Schedule'!$F$30),'Recurring Schedule'!$O$30)=0),IF('Recurring Schedule'!$E$30="Weekdays",WEEKDAY($A79,2)&lt;=5,$A79='Recurring Schedule'!$F$30))),25,""))))</f>
        <v/>
      </c>
      <c r="AA79">
        <f>IF('Recurring Schedule'!$C$31="","",IF('Recurring Schedule'!$F$31="","",IF(OR($A79&lt;'Recurring Schedule'!$F$31,$A79&gt;'Recurring Schedule'!$P$31),"",IF(IF('Recurring Schedule'!$N$31&gt;0,MOD($A79-'Recurring Schedule'!$F$31,'Recurring Schedule'!$N$31)=0,IF('Recurring Schedule'!$O$31&gt;0,AND(DAY($A79)=MIN(DAY('Recurring Schedule'!$F$31),DAY(EOMONTH($A79,0))),MOD((YEAR($A79)-YEAR('Recurring Schedule'!$F$31))*12+MONTH($A79)-MONTH('Recurring Schedule'!$F$31),'Recurring Schedule'!$O$31)=0),IF('Recurring Schedule'!$E$31="Weekdays",WEEKDAY($A79,2)&lt;=5,$A79='Recurring Schedule'!$F$31))),26,""))))</f>
        <v/>
      </c>
      <c r="AB79">
        <f>IF('Recurring Schedule'!$C$32="","",IF('Recurring Schedule'!$F$32="","",IF(OR($A79&lt;'Recurring Schedule'!$F$32,$A79&gt;'Recurring Schedule'!$P$32),"",IF(IF('Recurring Schedule'!$N$32&gt;0,MOD($A79-'Recurring Schedule'!$F$32,'Recurring Schedule'!$N$32)=0,IF('Recurring Schedule'!$O$32&gt;0,AND(DAY($A79)=MIN(DAY('Recurring Schedule'!$F$32),DAY(EOMONTH($A79,0))),MOD((YEAR($A79)-YEAR('Recurring Schedule'!$F$32))*12+MONTH($A79)-MONTH('Recurring Schedule'!$F$32),'Recurring Schedule'!$O$32)=0),IF('Recurring Schedule'!$E$32="Weekdays",WEEKDAY($A79,2)&lt;=5,$A79='Recurring Schedule'!$F$32))),27,""))))</f>
        <v/>
      </c>
      <c r="AC79">
        <f>IF('Recurring Schedule'!$C$33="","",IF('Recurring Schedule'!$F$33="","",IF(OR($A79&lt;'Recurring Schedule'!$F$33,$A79&gt;'Recurring Schedule'!$P$33),"",IF(IF('Recurring Schedule'!$N$33&gt;0,MOD($A79-'Recurring Schedule'!$F$33,'Recurring Schedule'!$N$33)=0,IF('Recurring Schedule'!$O$33&gt;0,AND(DAY($A79)=MIN(DAY('Recurring Schedule'!$F$33),DAY(EOMONTH($A79,0))),MOD((YEAR($A79)-YEAR('Recurring Schedule'!$F$33))*12+MONTH($A79)-MONTH('Recurring Schedule'!$F$33),'Recurring Schedule'!$O$33)=0),IF('Recurring Schedule'!$E$33="Weekdays",WEEKDAY($A79,2)&lt;=5,$A79='Recurring Schedule'!$F$33))),28,""))))</f>
        <v/>
      </c>
      <c r="AD79">
        <f>IF('Recurring Schedule'!$C$34="","",IF('Recurring Schedule'!$F$34="","",IF(OR($A79&lt;'Recurring Schedule'!$F$34,$A79&gt;'Recurring Schedule'!$P$34),"",IF(IF('Recurring Schedule'!$N$34&gt;0,MOD($A79-'Recurring Schedule'!$F$34,'Recurring Schedule'!$N$34)=0,IF('Recurring Schedule'!$O$34&gt;0,AND(DAY($A79)=MIN(DAY('Recurring Schedule'!$F$34),DAY(EOMONTH($A79,0))),MOD((YEAR($A79)-YEAR('Recurring Schedule'!$F$34))*12+MONTH($A79)-MONTH('Recurring Schedule'!$F$34),'Recurring Schedule'!$O$34)=0),IF('Recurring Schedule'!$E$34="Weekdays",WEEKDAY($A79,2)&lt;=5,$A79='Recurring Schedule'!$F$34))),29,""))))</f>
        <v/>
      </c>
      <c r="AE79">
        <f>IF('Recurring Schedule'!$C$35="","",IF('Recurring Schedule'!$F$35="","",IF(OR($A79&lt;'Recurring Schedule'!$F$35,$A79&gt;'Recurring Schedule'!$P$35),"",IF(IF('Recurring Schedule'!$N$35&gt;0,MOD($A79-'Recurring Schedule'!$F$35,'Recurring Schedule'!$N$35)=0,IF('Recurring Schedule'!$O$35&gt;0,AND(DAY($A79)=MIN(DAY('Recurring Schedule'!$F$35),DAY(EOMONTH($A79,0))),MOD((YEAR($A79)-YEAR('Recurring Schedule'!$F$35))*12+MONTH($A79)-MONTH('Recurring Schedule'!$F$35),'Recurring Schedule'!$O$35)=0),IF('Recurring Schedule'!$E$35="Weekdays",WEEKDAY($A79,2)&lt;=5,$A79='Recurring Schedule'!$F$35))),30,""))))</f>
        <v/>
      </c>
      <c r="AF79">
        <f>IF('Recurring Schedule'!$C$36="","",IF('Recurring Schedule'!$F$36="","",IF(OR($A79&lt;'Recurring Schedule'!$F$36,$A79&gt;'Recurring Schedule'!$P$36),"",IF(IF('Recurring Schedule'!$N$36&gt;0,MOD($A79-'Recurring Schedule'!$F$36,'Recurring Schedule'!$N$36)=0,IF('Recurring Schedule'!$O$36&gt;0,AND(DAY($A79)=MIN(DAY('Recurring Schedule'!$F$36),DAY(EOMONTH($A79,0))),MOD((YEAR($A79)-YEAR('Recurring Schedule'!$F$36))*12+MONTH($A79)-MONTH('Recurring Schedule'!$F$36),'Recurring Schedule'!$O$36)=0),IF('Recurring Schedule'!$E$36="Weekdays",WEEKDAY($A79,2)&lt;=5,$A79='Recurring Schedule'!$F$36))),31,""))))</f>
        <v/>
      </c>
      <c r="AG79">
        <f>IF('Recurring Schedule'!$C$37="","",IF('Recurring Schedule'!$F$37="","",IF(OR($A79&lt;'Recurring Schedule'!$F$37,$A79&gt;'Recurring Schedule'!$P$37),"",IF(IF('Recurring Schedule'!$N$37&gt;0,MOD($A79-'Recurring Schedule'!$F$37,'Recurring Schedule'!$N$37)=0,IF('Recurring Schedule'!$O$37&gt;0,AND(DAY($A79)=MIN(DAY('Recurring Schedule'!$F$37),DAY(EOMONTH($A79,0))),MOD((YEAR($A79)-YEAR('Recurring Schedule'!$F$37))*12+MONTH($A79)-MONTH('Recurring Schedule'!$F$37),'Recurring Schedule'!$O$37)=0),IF('Recurring Schedule'!$E$37="Weekdays",WEEKDAY($A79,2)&lt;=5,$A79='Recurring Schedule'!$F$37))),32,""))))</f>
        <v/>
      </c>
      <c r="AH79">
        <f>IF('Recurring Schedule'!$C$38="","",IF('Recurring Schedule'!$F$38="","",IF(OR($A79&lt;'Recurring Schedule'!$F$38,$A79&gt;'Recurring Schedule'!$P$38),"",IF(IF('Recurring Schedule'!$N$38&gt;0,MOD($A79-'Recurring Schedule'!$F$38,'Recurring Schedule'!$N$38)=0,IF('Recurring Schedule'!$O$38&gt;0,AND(DAY($A79)=MIN(DAY('Recurring Schedule'!$F$38),DAY(EOMONTH($A79,0))),MOD((YEAR($A79)-YEAR('Recurring Schedule'!$F$38))*12+MONTH($A79)-MONTH('Recurring Schedule'!$F$38),'Recurring Schedule'!$O$38)=0),IF('Recurring Schedule'!$E$38="Weekdays",WEEKDAY($A79,2)&lt;=5,$A79='Recurring Schedule'!$F$38))),33,""))))</f>
        <v/>
      </c>
      <c r="AI79">
        <f>IF('Recurring Schedule'!$C$39="","",IF('Recurring Schedule'!$F$39="","",IF(OR($A79&lt;'Recurring Schedule'!$F$39,$A79&gt;'Recurring Schedule'!$P$39),"",IF(IF('Recurring Schedule'!$N$39&gt;0,MOD($A79-'Recurring Schedule'!$F$39,'Recurring Schedule'!$N$39)=0,IF('Recurring Schedule'!$O$39&gt;0,AND(DAY($A79)=MIN(DAY('Recurring Schedule'!$F$39),DAY(EOMONTH($A79,0))),MOD((YEAR($A79)-YEAR('Recurring Schedule'!$F$39))*12+MONTH($A79)-MONTH('Recurring Schedule'!$F$39),'Recurring Schedule'!$O$39)=0),IF('Recurring Schedule'!$E$39="Weekdays",WEEKDAY($A79,2)&lt;=5,$A79='Recurring Schedule'!$F$39))),34,""))))</f>
        <v/>
      </c>
      <c r="AJ79">
        <f>IF('Recurring Schedule'!$C$40="","",IF('Recurring Schedule'!$F$40="","",IF(OR($A79&lt;'Recurring Schedule'!$F$40,$A79&gt;'Recurring Schedule'!$P$40),"",IF(IF('Recurring Schedule'!$N$40&gt;0,MOD($A79-'Recurring Schedule'!$F$40,'Recurring Schedule'!$N$40)=0,IF('Recurring Schedule'!$O$40&gt;0,AND(DAY($A79)=MIN(DAY('Recurring Schedule'!$F$40),DAY(EOMONTH($A79,0))),MOD((YEAR($A79)-YEAR('Recurring Schedule'!$F$40))*12+MONTH($A79)-MONTH('Recurring Schedule'!$F$40),'Recurring Schedule'!$O$40)=0),IF('Recurring Schedule'!$E$40="Weekdays",WEEKDAY($A79,2)&lt;=5,$A79='Recurring Schedule'!$F$40))),35,""))))</f>
        <v/>
      </c>
      <c r="AK79">
        <f>IF('Recurring Schedule'!$C$41="","",IF('Recurring Schedule'!$F$41="","",IF(OR($A79&lt;'Recurring Schedule'!$F$41,$A79&gt;'Recurring Schedule'!$P$41),"",IF(IF('Recurring Schedule'!$N$41&gt;0,MOD($A79-'Recurring Schedule'!$F$41,'Recurring Schedule'!$N$41)=0,IF('Recurring Schedule'!$O$41&gt;0,AND(DAY($A79)=MIN(DAY('Recurring Schedule'!$F$41),DAY(EOMONTH($A79,0))),MOD((YEAR($A79)-YEAR('Recurring Schedule'!$F$41))*12+MONTH($A79)-MONTH('Recurring Schedule'!$F$41),'Recurring Schedule'!$O$41)=0),IF('Recurring Schedule'!$E$41="Weekdays",WEEKDAY($A79,2)&lt;=5,$A79='Recurring Schedule'!$F$41))),36,""))))</f>
        <v/>
      </c>
      <c r="AL79">
        <f>IF('Recurring Schedule'!$C$42="","",IF('Recurring Schedule'!$F$42="","",IF(OR($A79&lt;'Recurring Schedule'!$F$42,$A79&gt;'Recurring Schedule'!$P$42),"",IF(IF('Recurring Schedule'!$N$42&gt;0,MOD($A79-'Recurring Schedule'!$F$42,'Recurring Schedule'!$N$42)=0,IF('Recurring Schedule'!$O$42&gt;0,AND(DAY($A79)=MIN(DAY('Recurring Schedule'!$F$42),DAY(EOMONTH($A79,0))),MOD((YEAR($A79)-YEAR('Recurring Schedule'!$F$42))*12+MONTH($A79)-MONTH('Recurring Schedule'!$F$42),'Recurring Schedule'!$O$42)=0),IF('Recurring Schedule'!$E$42="Weekdays",WEEKDAY($A79,2)&lt;=5,$A79='Recurring Schedule'!$F$42))),37,""))))</f>
        <v/>
      </c>
      <c r="AM79">
        <f>IF('Recurring Schedule'!$C$43="","",IF('Recurring Schedule'!$F$43="","",IF(OR($A79&lt;'Recurring Schedule'!$F$43,$A79&gt;'Recurring Schedule'!$P$43),"",IF(IF('Recurring Schedule'!$N$43&gt;0,MOD($A79-'Recurring Schedule'!$F$43,'Recurring Schedule'!$N$43)=0,IF('Recurring Schedule'!$O$43&gt;0,AND(DAY($A79)=MIN(DAY('Recurring Schedule'!$F$43),DAY(EOMONTH($A79,0))),MOD((YEAR($A79)-YEAR('Recurring Schedule'!$F$43))*12+MONTH($A79)-MONTH('Recurring Schedule'!$F$43),'Recurring Schedule'!$O$43)=0),IF('Recurring Schedule'!$E$43="Weekdays",WEEKDAY($A79,2)&lt;=5,$A79='Recurring Schedule'!$F$43))),38,""))))</f>
        <v/>
      </c>
      <c r="AN79">
        <f>IF('Recurring Schedule'!$C$44="","",IF('Recurring Schedule'!$F$44="","",IF(OR($A79&lt;'Recurring Schedule'!$F$44,$A79&gt;'Recurring Schedule'!$P$44),"",IF(IF('Recurring Schedule'!$N$44&gt;0,MOD($A79-'Recurring Schedule'!$F$44,'Recurring Schedule'!$N$44)=0,IF('Recurring Schedule'!$O$44&gt;0,AND(DAY($A79)=MIN(DAY('Recurring Schedule'!$F$44),DAY(EOMONTH($A79,0))),MOD((YEAR($A79)-YEAR('Recurring Schedule'!$F$44))*12+MONTH($A79)-MONTH('Recurring Schedule'!$F$44),'Recurring Schedule'!$O$44)=0),IF('Recurring Schedule'!$E$44="Weekdays",WEEKDAY($A79,2)&lt;=5,$A79='Recurring Schedule'!$F$44))),39,""))))</f>
        <v/>
      </c>
      <c r="AO79">
        <f>IF('Recurring Schedule'!$C$45="","",IF('Recurring Schedule'!$F$45="","",IF(OR($A79&lt;'Recurring Schedule'!$F$45,$A79&gt;'Recurring Schedule'!$P$45),"",IF(IF('Recurring Schedule'!$N$45&gt;0,MOD($A79-'Recurring Schedule'!$F$45,'Recurring Schedule'!$N$45)=0,IF('Recurring Schedule'!$O$45&gt;0,AND(DAY($A79)=MIN(DAY('Recurring Schedule'!$F$45),DAY(EOMONTH($A79,0))),MOD((YEAR($A79)-YEAR('Recurring Schedule'!$F$45))*12+MONTH($A79)-MONTH('Recurring Schedule'!$F$45),'Recurring Schedule'!$O$45)=0),IF('Recurring Schedule'!$E$45="Weekdays",WEEKDAY($A79,2)&lt;=5,$A79='Recurring Schedule'!$F$45))),40,""))))</f>
        <v/>
      </c>
      <c r="AP79">
        <f>COUNT(B79:AO79)</f>
        <v/>
      </c>
      <c r="AQ79">
        <f>AQ78+AP78</f>
        <v/>
      </c>
      <c r="AS79" t="inlineStr">
        <is>
          <t>R</t>
        </is>
      </c>
      <c r="AT79" t="n">
        <v>83</v>
      </c>
      <c r="AU79">
        <f>'Recurring Log'!C83&amp;""</f>
        <v/>
      </c>
      <c r="AV79">
        <f>'Recurring Log'!D83&amp;""</f>
        <v/>
      </c>
      <c r="AW79">
        <f>IF('Recurring Log'!E83="","",'Recurring Log'!E83)</f>
        <v/>
      </c>
      <c r="AX79">
        <f>IF('Recurring Log'!G83="","",'Recurring Log'!G83)</f>
        <v/>
      </c>
      <c r="AY79">
        <f>IF('Recurring Log'!H83="","",'Recurring Log'!H83)</f>
        <v/>
      </c>
      <c r="AZ79">
        <f>IF(AU79="","",IF('Recurring Log'!J83="","Not Started",'Recurring Log'!J83))</f>
        <v/>
      </c>
      <c r="BA79">
        <f>'Recurring Log'!L83&amp;""</f>
        <v/>
      </c>
      <c r="BB79">
        <f>'Recurring Log'!M83&amp;""</f>
        <v/>
      </c>
      <c r="BC79">
        <f>'Recurring Log'!N83&amp;""</f>
        <v/>
      </c>
      <c r="BD79">
        <f>'Recurring Log'!O83&amp;""</f>
        <v/>
      </c>
      <c r="BE79">
        <f>IF('Recurring Log'!K83="","",'Recurring Log'!K83)</f>
        <v/>
      </c>
      <c r="BF79">
        <f>IFERROR(MATCH(BA79,Setup!$L$6:$L$9,0),5)</f>
        <v/>
      </c>
      <c r="BG79">
        <f>IF(OR(AZ79="Done",AZ79="Cancelled"),1,0)</f>
        <v/>
      </c>
      <c r="BH79">
        <f>IF(AND(AU79&lt;&gt;"",ISNUMBER(AW79)),1,0)</f>
        <v/>
      </c>
      <c r="BI79">
        <f>IF(BH79=0,0,IF(AND(AW79&gt;='Tasks Filter'!$F$3,AW79&lt;='Tasks Filter'!$F$4,OR('Tasks Filter'!$I$3="",ISNUMBER(SEARCH('Tasks Filter'!$I$3,AU79))),OR('Tasks Filter'!$I$4="",BF79=IFERROR(MATCH('Tasks Filter'!$I$4,Setup!$L$6:$L$9,0),0)),OR('Tasks Filter'!$I$5="Both",AND('Tasks Filter'!$I$5="Yes",BB79="✓"),AND('Tasks Filter'!$I$5="No",BB79&lt;&gt;"✓")),OR('Tasks Filter'!$L$3="",AV79='Tasks Filter'!$L$3),OR('Tasks Filter'!$L$4="",AZ79='Tasks Filter'!$L$4),OR('Tasks Filter'!$L$5="",BC79='Tasks Filter'!$L$5),OR('Tasks Filter'!$O$3="",BD79='Tasks Filter'!$O$3),OR('Tasks Filter'!$O$4="Yes",BG79=0)),1,0))</f>
        <v/>
      </c>
      <c r="BJ79">
        <f>IF(BH79=0,"",IF('Tasks Filter'!$F$6="Descending",-1,1)*CHOOSE(MATCH('Tasks Filter'!$F$5,Lists!$G$2:$G$6,0),AW79,BF79,IFERROR(MATCH(AV79,Setup!$F$6:$F$15,0),99),IFERROR(MATCH(BC79,Setup!$H$6:$H$15,0),99),IFERROR(MATCH(AZ79,Setup!$J$6:$J$11,0),99))*1E+9+(AW79-40000)*10000+78)</f>
        <v/>
      </c>
      <c r="BK79">
        <f>IF(BI79=1,BJ79,"")</f>
        <v/>
      </c>
      <c r="BL79">
        <f>IF(AND(BH79=1,BG79=0,N(AW79)&lt;Setup!$D$7),(AW79-40000)*10000+78,"")</f>
        <v/>
      </c>
      <c r="BM79">
        <f>IF(AND(BH79=1,AZ79&lt;&gt;"Cancelled",N(AW79)&gt;=Dashboard!$AB$3,N(AW79)&lt;=Dashboard!$AB$3+6),(AW79-40000)*100000+BF79*10000+78,"")</f>
        <v/>
      </c>
      <c r="BN79">
        <f>IF(AND(BH79=1,AZ79&lt;&gt;"Cancelled"),BF79*10000+78,"")</f>
        <v/>
      </c>
    </row>
    <row r="80">
      <c r="A80">
        <f>Setup!$D$5+78</f>
        <v/>
      </c>
      <c r="B80">
        <f>IF('Recurring Schedule'!$C$6="","",IF('Recurring Schedule'!$F$6="","",IF(OR($A80&lt;'Recurring Schedule'!$F$6,$A80&gt;'Recurring Schedule'!$P$6),"",IF(IF('Recurring Schedule'!$N$6&gt;0,MOD($A80-'Recurring Schedule'!$F$6,'Recurring Schedule'!$N$6)=0,IF('Recurring Schedule'!$O$6&gt;0,AND(DAY($A80)=MIN(DAY('Recurring Schedule'!$F$6),DAY(EOMONTH($A80,0))),MOD((YEAR($A80)-YEAR('Recurring Schedule'!$F$6))*12+MONTH($A80)-MONTH('Recurring Schedule'!$F$6),'Recurring Schedule'!$O$6)=0),IF('Recurring Schedule'!$E$6="Weekdays",WEEKDAY($A80,2)&lt;=5,$A80='Recurring Schedule'!$F$6))),1,""))))</f>
        <v/>
      </c>
      <c r="C80">
        <f>IF('Recurring Schedule'!$C$7="","",IF('Recurring Schedule'!$F$7="","",IF(OR($A80&lt;'Recurring Schedule'!$F$7,$A80&gt;'Recurring Schedule'!$P$7),"",IF(IF('Recurring Schedule'!$N$7&gt;0,MOD($A80-'Recurring Schedule'!$F$7,'Recurring Schedule'!$N$7)=0,IF('Recurring Schedule'!$O$7&gt;0,AND(DAY($A80)=MIN(DAY('Recurring Schedule'!$F$7),DAY(EOMONTH($A80,0))),MOD((YEAR($A80)-YEAR('Recurring Schedule'!$F$7))*12+MONTH($A80)-MONTH('Recurring Schedule'!$F$7),'Recurring Schedule'!$O$7)=0),IF('Recurring Schedule'!$E$7="Weekdays",WEEKDAY($A80,2)&lt;=5,$A80='Recurring Schedule'!$F$7))),2,""))))</f>
        <v/>
      </c>
      <c r="D80">
        <f>IF('Recurring Schedule'!$C$8="","",IF('Recurring Schedule'!$F$8="","",IF(OR($A80&lt;'Recurring Schedule'!$F$8,$A80&gt;'Recurring Schedule'!$P$8),"",IF(IF('Recurring Schedule'!$N$8&gt;0,MOD($A80-'Recurring Schedule'!$F$8,'Recurring Schedule'!$N$8)=0,IF('Recurring Schedule'!$O$8&gt;0,AND(DAY($A80)=MIN(DAY('Recurring Schedule'!$F$8),DAY(EOMONTH($A80,0))),MOD((YEAR($A80)-YEAR('Recurring Schedule'!$F$8))*12+MONTH($A80)-MONTH('Recurring Schedule'!$F$8),'Recurring Schedule'!$O$8)=0),IF('Recurring Schedule'!$E$8="Weekdays",WEEKDAY($A80,2)&lt;=5,$A80='Recurring Schedule'!$F$8))),3,""))))</f>
        <v/>
      </c>
      <c r="E80">
        <f>IF('Recurring Schedule'!$C$9="","",IF('Recurring Schedule'!$F$9="","",IF(OR($A80&lt;'Recurring Schedule'!$F$9,$A80&gt;'Recurring Schedule'!$P$9),"",IF(IF('Recurring Schedule'!$N$9&gt;0,MOD($A80-'Recurring Schedule'!$F$9,'Recurring Schedule'!$N$9)=0,IF('Recurring Schedule'!$O$9&gt;0,AND(DAY($A80)=MIN(DAY('Recurring Schedule'!$F$9),DAY(EOMONTH($A80,0))),MOD((YEAR($A80)-YEAR('Recurring Schedule'!$F$9))*12+MONTH($A80)-MONTH('Recurring Schedule'!$F$9),'Recurring Schedule'!$O$9)=0),IF('Recurring Schedule'!$E$9="Weekdays",WEEKDAY($A80,2)&lt;=5,$A80='Recurring Schedule'!$F$9))),4,""))))</f>
        <v/>
      </c>
      <c r="F80">
        <f>IF('Recurring Schedule'!$C$10="","",IF('Recurring Schedule'!$F$10="","",IF(OR($A80&lt;'Recurring Schedule'!$F$10,$A80&gt;'Recurring Schedule'!$P$10),"",IF(IF('Recurring Schedule'!$N$10&gt;0,MOD($A80-'Recurring Schedule'!$F$10,'Recurring Schedule'!$N$10)=0,IF('Recurring Schedule'!$O$10&gt;0,AND(DAY($A80)=MIN(DAY('Recurring Schedule'!$F$10),DAY(EOMONTH($A80,0))),MOD((YEAR($A80)-YEAR('Recurring Schedule'!$F$10))*12+MONTH($A80)-MONTH('Recurring Schedule'!$F$10),'Recurring Schedule'!$O$10)=0),IF('Recurring Schedule'!$E$10="Weekdays",WEEKDAY($A80,2)&lt;=5,$A80='Recurring Schedule'!$F$10))),5,""))))</f>
        <v/>
      </c>
      <c r="G80">
        <f>IF('Recurring Schedule'!$C$11="","",IF('Recurring Schedule'!$F$11="","",IF(OR($A80&lt;'Recurring Schedule'!$F$11,$A80&gt;'Recurring Schedule'!$P$11),"",IF(IF('Recurring Schedule'!$N$11&gt;0,MOD($A80-'Recurring Schedule'!$F$11,'Recurring Schedule'!$N$11)=0,IF('Recurring Schedule'!$O$11&gt;0,AND(DAY($A80)=MIN(DAY('Recurring Schedule'!$F$11),DAY(EOMONTH($A80,0))),MOD((YEAR($A80)-YEAR('Recurring Schedule'!$F$11))*12+MONTH($A80)-MONTH('Recurring Schedule'!$F$11),'Recurring Schedule'!$O$11)=0),IF('Recurring Schedule'!$E$11="Weekdays",WEEKDAY($A80,2)&lt;=5,$A80='Recurring Schedule'!$F$11))),6,""))))</f>
        <v/>
      </c>
      <c r="H80">
        <f>IF('Recurring Schedule'!$C$12="","",IF('Recurring Schedule'!$F$12="","",IF(OR($A80&lt;'Recurring Schedule'!$F$12,$A80&gt;'Recurring Schedule'!$P$12),"",IF(IF('Recurring Schedule'!$N$12&gt;0,MOD($A80-'Recurring Schedule'!$F$12,'Recurring Schedule'!$N$12)=0,IF('Recurring Schedule'!$O$12&gt;0,AND(DAY($A80)=MIN(DAY('Recurring Schedule'!$F$12),DAY(EOMONTH($A80,0))),MOD((YEAR($A80)-YEAR('Recurring Schedule'!$F$12))*12+MONTH($A80)-MONTH('Recurring Schedule'!$F$12),'Recurring Schedule'!$O$12)=0),IF('Recurring Schedule'!$E$12="Weekdays",WEEKDAY($A80,2)&lt;=5,$A80='Recurring Schedule'!$F$12))),7,""))))</f>
        <v/>
      </c>
      <c r="I80">
        <f>IF('Recurring Schedule'!$C$13="","",IF('Recurring Schedule'!$F$13="","",IF(OR($A80&lt;'Recurring Schedule'!$F$13,$A80&gt;'Recurring Schedule'!$P$13),"",IF(IF('Recurring Schedule'!$N$13&gt;0,MOD($A80-'Recurring Schedule'!$F$13,'Recurring Schedule'!$N$13)=0,IF('Recurring Schedule'!$O$13&gt;0,AND(DAY($A80)=MIN(DAY('Recurring Schedule'!$F$13),DAY(EOMONTH($A80,0))),MOD((YEAR($A80)-YEAR('Recurring Schedule'!$F$13))*12+MONTH($A80)-MONTH('Recurring Schedule'!$F$13),'Recurring Schedule'!$O$13)=0),IF('Recurring Schedule'!$E$13="Weekdays",WEEKDAY($A80,2)&lt;=5,$A80='Recurring Schedule'!$F$13))),8,""))))</f>
        <v/>
      </c>
      <c r="J80">
        <f>IF('Recurring Schedule'!$C$14="","",IF('Recurring Schedule'!$F$14="","",IF(OR($A80&lt;'Recurring Schedule'!$F$14,$A80&gt;'Recurring Schedule'!$P$14),"",IF(IF('Recurring Schedule'!$N$14&gt;0,MOD($A80-'Recurring Schedule'!$F$14,'Recurring Schedule'!$N$14)=0,IF('Recurring Schedule'!$O$14&gt;0,AND(DAY($A80)=MIN(DAY('Recurring Schedule'!$F$14),DAY(EOMONTH($A80,0))),MOD((YEAR($A80)-YEAR('Recurring Schedule'!$F$14))*12+MONTH($A80)-MONTH('Recurring Schedule'!$F$14),'Recurring Schedule'!$O$14)=0),IF('Recurring Schedule'!$E$14="Weekdays",WEEKDAY($A80,2)&lt;=5,$A80='Recurring Schedule'!$F$14))),9,""))))</f>
        <v/>
      </c>
      <c r="K80">
        <f>IF('Recurring Schedule'!$C$15="","",IF('Recurring Schedule'!$F$15="","",IF(OR($A80&lt;'Recurring Schedule'!$F$15,$A80&gt;'Recurring Schedule'!$P$15),"",IF(IF('Recurring Schedule'!$N$15&gt;0,MOD($A80-'Recurring Schedule'!$F$15,'Recurring Schedule'!$N$15)=0,IF('Recurring Schedule'!$O$15&gt;0,AND(DAY($A80)=MIN(DAY('Recurring Schedule'!$F$15),DAY(EOMONTH($A80,0))),MOD((YEAR($A80)-YEAR('Recurring Schedule'!$F$15))*12+MONTH($A80)-MONTH('Recurring Schedule'!$F$15),'Recurring Schedule'!$O$15)=0),IF('Recurring Schedule'!$E$15="Weekdays",WEEKDAY($A80,2)&lt;=5,$A80='Recurring Schedule'!$F$15))),10,""))))</f>
        <v/>
      </c>
      <c r="L80">
        <f>IF('Recurring Schedule'!$C$16="","",IF('Recurring Schedule'!$F$16="","",IF(OR($A80&lt;'Recurring Schedule'!$F$16,$A80&gt;'Recurring Schedule'!$P$16),"",IF(IF('Recurring Schedule'!$N$16&gt;0,MOD($A80-'Recurring Schedule'!$F$16,'Recurring Schedule'!$N$16)=0,IF('Recurring Schedule'!$O$16&gt;0,AND(DAY($A80)=MIN(DAY('Recurring Schedule'!$F$16),DAY(EOMONTH($A80,0))),MOD((YEAR($A80)-YEAR('Recurring Schedule'!$F$16))*12+MONTH($A80)-MONTH('Recurring Schedule'!$F$16),'Recurring Schedule'!$O$16)=0),IF('Recurring Schedule'!$E$16="Weekdays",WEEKDAY($A80,2)&lt;=5,$A80='Recurring Schedule'!$F$16))),11,""))))</f>
        <v/>
      </c>
      <c r="M80">
        <f>IF('Recurring Schedule'!$C$17="","",IF('Recurring Schedule'!$F$17="","",IF(OR($A80&lt;'Recurring Schedule'!$F$17,$A80&gt;'Recurring Schedule'!$P$17),"",IF(IF('Recurring Schedule'!$N$17&gt;0,MOD($A80-'Recurring Schedule'!$F$17,'Recurring Schedule'!$N$17)=0,IF('Recurring Schedule'!$O$17&gt;0,AND(DAY($A80)=MIN(DAY('Recurring Schedule'!$F$17),DAY(EOMONTH($A80,0))),MOD((YEAR($A80)-YEAR('Recurring Schedule'!$F$17))*12+MONTH($A80)-MONTH('Recurring Schedule'!$F$17),'Recurring Schedule'!$O$17)=0),IF('Recurring Schedule'!$E$17="Weekdays",WEEKDAY($A80,2)&lt;=5,$A80='Recurring Schedule'!$F$17))),12,""))))</f>
        <v/>
      </c>
      <c r="N80">
        <f>IF('Recurring Schedule'!$C$18="","",IF('Recurring Schedule'!$F$18="","",IF(OR($A80&lt;'Recurring Schedule'!$F$18,$A80&gt;'Recurring Schedule'!$P$18),"",IF(IF('Recurring Schedule'!$N$18&gt;0,MOD($A80-'Recurring Schedule'!$F$18,'Recurring Schedule'!$N$18)=0,IF('Recurring Schedule'!$O$18&gt;0,AND(DAY($A80)=MIN(DAY('Recurring Schedule'!$F$18),DAY(EOMONTH($A80,0))),MOD((YEAR($A80)-YEAR('Recurring Schedule'!$F$18))*12+MONTH($A80)-MONTH('Recurring Schedule'!$F$18),'Recurring Schedule'!$O$18)=0),IF('Recurring Schedule'!$E$18="Weekdays",WEEKDAY($A80,2)&lt;=5,$A80='Recurring Schedule'!$F$18))),13,""))))</f>
        <v/>
      </c>
      <c r="O80">
        <f>IF('Recurring Schedule'!$C$19="","",IF('Recurring Schedule'!$F$19="","",IF(OR($A80&lt;'Recurring Schedule'!$F$19,$A80&gt;'Recurring Schedule'!$P$19),"",IF(IF('Recurring Schedule'!$N$19&gt;0,MOD($A80-'Recurring Schedule'!$F$19,'Recurring Schedule'!$N$19)=0,IF('Recurring Schedule'!$O$19&gt;0,AND(DAY($A80)=MIN(DAY('Recurring Schedule'!$F$19),DAY(EOMONTH($A80,0))),MOD((YEAR($A80)-YEAR('Recurring Schedule'!$F$19))*12+MONTH($A80)-MONTH('Recurring Schedule'!$F$19),'Recurring Schedule'!$O$19)=0),IF('Recurring Schedule'!$E$19="Weekdays",WEEKDAY($A80,2)&lt;=5,$A80='Recurring Schedule'!$F$19))),14,""))))</f>
        <v/>
      </c>
      <c r="P80">
        <f>IF('Recurring Schedule'!$C$20="","",IF('Recurring Schedule'!$F$20="","",IF(OR($A80&lt;'Recurring Schedule'!$F$20,$A80&gt;'Recurring Schedule'!$P$20),"",IF(IF('Recurring Schedule'!$N$20&gt;0,MOD($A80-'Recurring Schedule'!$F$20,'Recurring Schedule'!$N$20)=0,IF('Recurring Schedule'!$O$20&gt;0,AND(DAY($A80)=MIN(DAY('Recurring Schedule'!$F$20),DAY(EOMONTH($A80,0))),MOD((YEAR($A80)-YEAR('Recurring Schedule'!$F$20))*12+MONTH($A80)-MONTH('Recurring Schedule'!$F$20),'Recurring Schedule'!$O$20)=0),IF('Recurring Schedule'!$E$20="Weekdays",WEEKDAY($A80,2)&lt;=5,$A80='Recurring Schedule'!$F$20))),15,""))))</f>
        <v/>
      </c>
      <c r="Q80">
        <f>IF('Recurring Schedule'!$C$21="","",IF('Recurring Schedule'!$F$21="","",IF(OR($A80&lt;'Recurring Schedule'!$F$21,$A80&gt;'Recurring Schedule'!$P$21),"",IF(IF('Recurring Schedule'!$N$21&gt;0,MOD($A80-'Recurring Schedule'!$F$21,'Recurring Schedule'!$N$21)=0,IF('Recurring Schedule'!$O$21&gt;0,AND(DAY($A80)=MIN(DAY('Recurring Schedule'!$F$21),DAY(EOMONTH($A80,0))),MOD((YEAR($A80)-YEAR('Recurring Schedule'!$F$21))*12+MONTH($A80)-MONTH('Recurring Schedule'!$F$21),'Recurring Schedule'!$O$21)=0),IF('Recurring Schedule'!$E$21="Weekdays",WEEKDAY($A80,2)&lt;=5,$A80='Recurring Schedule'!$F$21))),16,""))))</f>
        <v/>
      </c>
      <c r="R80">
        <f>IF('Recurring Schedule'!$C$22="","",IF('Recurring Schedule'!$F$22="","",IF(OR($A80&lt;'Recurring Schedule'!$F$22,$A80&gt;'Recurring Schedule'!$P$22),"",IF(IF('Recurring Schedule'!$N$22&gt;0,MOD($A80-'Recurring Schedule'!$F$22,'Recurring Schedule'!$N$22)=0,IF('Recurring Schedule'!$O$22&gt;0,AND(DAY($A80)=MIN(DAY('Recurring Schedule'!$F$22),DAY(EOMONTH($A80,0))),MOD((YEAR($A80)-YEAR('Recurring Schedule'!$F$22))*12+MONTH($A80)-MONTH('Recurring Schedule'!$F$22),'Recurring Schedule'!$O$22)=0),IF('Recurring Schedule'!$E$22="Weekdays",WEEKDAY($A80,2)&lt;=5,$A80='Recurring Schedule'!$F$22))),17,""))))</f>
        <v/>
      </c>
      <c r="S80">
        <f>IF('Recurring Schedule'!$C$23="","",IF('Recurring Schedule'!$F$23="","",IF(OR($A80&lt;'Recurring Schedule'!$F$23,$A80&gt;'Recurring Schedule'!$P$23),"",IF(IF('Recurring Schedule'!$N$23&gt;0,MOD($A80-'Recurring Schedule'!$F$23,'Recurring Schedule'!$N$23)=0,IF('Recurring Schedule'!$O$23&gt;0,AND(DAY($A80)=MIN(DAY('Recurring Schedule'!$F$23),DAY(EOMONTH($A80,0))),MOD((YEAR($A80)-YEAR('Recurring Schedule'!$F$23))*12+MONTH($A80)-MONTH('Recurring Schedule'!$F$23),'Recurring Schedule'!$O$23)=0),IF('Recurring Schedule'!$E$23="Weekdays",WEEKDAY($A80,2)&lt;=5,$A80='Recurring Schedule'!$F$23))),18,""))))</f>
        <v/>
      </c>
      <c r="T80">
        <f>IF('Recurring Schedule'!$C$24="","",IF('Recurring Schedule'!$F$24="","",IF(OR($A80&lt;'Recurring Schedule'!$F$24,$A80&gt;'Recurring Schedule'!$P$24),"",IF(IF('Recurring Schedule'!$N$24&gt;0,MOD($A80-'Recurring Schedule'!$F$24,'Recurring Schedule'!$N$24)=0,IF('Recurring Schedule'!$O$24&gt;0,AND(DAY($A80)=MIN(DAY('Recurring Schedule'!$F$24),DAY(EOMONTH($A80,0))),MOD((YEAR($A80)-YEAR('Recurring Schedule'!$F$24))*12+MONTH($A80)-MONTH('Recurring Schedule'!$F$24),'Recurring Schedule'!$O$24)=0),IF('Recurring Schedule'!$E$24="Weekdays",WEEKDAY($A80,2)&lt;=5,$A80='Recurring Schedule'!$F$24))),19,""))))</f>
        <v/>
      </c>
      <c r="U80">
        <f>IF('Recurring Schedule'!$C$25="","",IF('Recurring Schedule'!$F$25="","",IF(OR($A80&lt;'Recurring Schedule'!$F$25,$A80&gt;'Recurring Schedule'!$P$25),"",IF(IF('Recurring Schedule'!$N$25&gt;0,MOD($A80-'Recurring Schedule'!$F$25,'Recurring Schedule'!$N$25)=0,IF('Recurring Schedule'!$O$25&gt;0,AND(DAY($A80)=MIN(DAY('Recurring Schedule'!$F$25),DAY(EOMONTH($A80,0))),MOD((YEAR($A80)-YEAR('Recurring Schedule'!$F$25))*12+MONTH($A80)-MONTH('Recurring Schedule'!$F$25),'Recurring Schedule'!$O$25)=0),IF('Recurring Schedule'!$E$25="Weekdays",WEEKDAY($A80,2)&lt;=5,$A80='Recurring Schedule'!$F$25))),20,""))))</f>
        <v/>
      </c>
      <c r="V80">
        <f>IF('Recurring Schedule'!$C$26="","",IF('Recurring Schedule'!$F$26="","",IF(OR($A80&lt;'Recurring Schedule'!$F$26,$A80&gt;'Recurring Schedule'!$P$26),"",IF(IF('Recurring Schedule'!$N$26&gt;0,MOD($A80-'Recurring Schedule'!$F$26,'Recurring Schedule'!$N$26)=0,IF('Recurring Schedule'!$O$26&gt;0,AND(DAY($A80)=MIN(DAY('Recurring Schedule'!$F$26),DAY(EOMONTH($A80,0))),MOD((YEAR($A80)-YEAR('Recurring Schedule'!$F$26))*12+MONTH($A80)-MONTH('Recurring Schedule'!$F$26),'Recurring Schedule'!$O$26)=0),IF('Recurring Schedule'!$E$26="Weekdays",WEEKDAY($A80,2)&lt;=5,$A80='Recurring Schedule'!$F$26))),21,""))))</f>
        <v/>
      </c>
      <c r="W80">
        <f>IF('Recurring Schedule'!$C$27="","",IF('Recurring Schedule'!$F$27="","",IF(OR($A80&lt;'Recurring Schedule'!$F$27,$A80&gt;'Recurring Schedule'!$P$27),"",IF(IF('Recurring Schedule'!$N$27&gt;0,MOD($A80-'Recurring Schedule'!$F$27,'Recurring Schedule'!$N$27)=0,IF('Recurring Schedule'!$O$27&gt;0,AND(DAY($A80)=MIN(DAY('Recurring Schedule'!$F$27),DAY(EOMONTH($A80,0))),MOD((YEAR($A80)-YEAR('Recurring Schedule'!$F$27))*12+MONTH($A80)-MONTH('Recurring Schedule'!$F$27),'Recurring Schedule'!$O$27)=0),IF('Recurring Schedule'!$E$27="Weekdays",WEEKDAY($A80,2)&lt;=5,$A80='Recurring Schedule'!$F$27))),22,""))))</f>
        <v/>
      </c>
      <c r="X80">
        <f>IF('Recurring Schedule'!$C$28="","",IF('Recurring Schedule'!$F$28="","",IF(OR($A80&lt;'Recurring Schedule'!$F$28,$A80&gt;'Recurring Schedule'!$P$28),"",IF(IF('Recurring Schedule'!$N$28&gt;0,MOD($A80-'Recurring Schedule'!$F$28,'Recurring Schedule'!$N$28)=0,IF('Recurring Schedule'!$O$28&gt;0,AND(DAY($A80)=MIN(DAY('Recurring Schedule'!$F$28),DAY(EOMONTH($A80,0))),MOD((YEAR($A80)-YEAR('Recurring Schedule'!$F$28))*12+MONTH($A80)-MONTH('Recurring Schedule'!$F$28),'Recurring Schedule'!$O$28)=0),IF('Recurring Schedule'!$E$28="Weekdays",WEEKDAY($A80,2)&lt;=5,$A80='Recurring Schedule'!$F$28))),23,""))))</f>
        <v/>
      </c>
      <c r="Y80">
        <f>IF('Recurring Schedule'!$C$29="","",IF('Recurring Schedule'!$F$29="","",IF(OR($A80&lt;'Recurring Schedule'!$F$29,$A80&gt;'Recurring Schedule'!$P$29),"",IF(IF('Recurring Schedule'!$N$29&gt;0,MOD($A80-'Recurring Schedule'!$F$29,'Recurring Schedule'!$N$29)=0,IF('Recurring Schedule'!$O$29&gt;0,AND(DAY($A80)=MIN(DAY('Recurring Schedule'!$F$29),DAY(EOMONTH($A80,0))),MOD((YEAR($A80)-YEAR('Recurring Schedule'!$F$29))*12+MONTH($A80)-MONTH('Recurring Schedule'!$F$29),'Recurring Schedule'!$O$29)=0),IF('Recurring Schedule'!$E$29="Weekdays",WEEKDAY($A80,2)&lt;=5,$A80='Recurring Schedule'!$F$29))),24,""))))</f>
        <v/>
      </c>
      <c r="Z80">
        <f>IF('Recurring Schedule'!$C$30="","",IF('Recurring Schedule'!$F$30="","",IF(OR($A80&lt;'Recurring Schedule'!$F$30,$A80&gt;'Recurring Schedule'!$P$30),"",IF(IF('Recurring Schedule'!$N$30&gt;0,MOD($A80-'Recurring Schedule'!$F$30,'Recurring Schedule'!$N$30)=0,IF('Recurring Schedule'!$O$30&gt;0,AND(DAY($A80)=MIN(DAY('Recurring Schedule'!$F$30),DAY(EOMONTH($A80,0))),MOD((YEAR($A80)-YEAR('Recurring Schedule'!$F$30))*12+MONTH($A80)-MONTH('Recurring Schedule'!$F$30),'Recurring Schedule'!$O$30)=0),IF('Recurring Schedule'!$E$30="Weekdays",WEEKDAY($A80,2)&lt;=5,$A80='Recurring Schedule'!$F$30))),25,""))))</f>
        <v/>
      </c>
      <c r="AA80">
        <f>IF('Recurring Schedule'!$C$31="","",IF('Recurring Schedule'!$F$31="","",IF(OR($A80&lt;'Recurring Schedule'!$F$31,$A80&gt;'Recurring Schedule'!$P$31),"",IF(IF('Recurring Schedule'!$N$31&gt;0,MOD($A80-'Recurring Schedule'!$F$31,'Recurring Schedule'!$N$31)=0,IF('Recurring Schedule'!$O$31&gt;0,AND(DAY($A80)=MIN(DAY('Recurring Schedule'!$F$31),DAY(EOMONTH($A80,0))),MOD((YEAR($A80)-YEAR('Recurring Schedule'!$F$31))*12+MONTH($A80)-MONTH('Recurring Schedule'!$F$31),'Recurring Schedule'!$O$31)=0),IF('Recurring Schedule'!$E$31="Weekdays",WEEKDAY($A80,2)&lt;=5,$A80='Recurring Schedule'!$F$31))),26,""))))</f>
        <v/>
      </c>
      <c r="AB80">
        <f>IF('Recurring Schedule'!$C$32="","",IF('Recurring Schedule'!$F$32="","",IF(OR($A80&lt;'Recurring Schedule'!$F$32,$A80&gt;'Recurring Schedule'!$P$32),"",IF(IF('Recurring Schedule'!$N$32&gt;0,MOD($A80-'Recurring Schedule'!$F$32,'Recurring Schedule'!$N$32)=0,IF('Recurring Schedule'!$O$32&gt;0,AND(DAY($A80)=MIN(DAY('Recurring Schedule'!$F$32),DAY(EOMONTH($A80,0))),MOD((YEAR($A80)-YEAR('Recurring Schedule'!$F$32))*12+MONTH($A80)-MONTH('Recurring Schedule'!$F$32),'Recurring Schedule'!$O$32)=0),IF('Recurring Schedule'!$E$32="Weekdays",WEEKDAY($A80,2)&lt;=5,$A80='Recurring Schedule'!$F$32))),27,""))))</f>
        <v/>
      </c>
      <c r="AC80">
        <f>IF('Recurring Schedule'!$C$33="","",IF('Recurring Schedule'!$F$33="","",IF(OR($A80&lt;'Recurring Schedule'!$F$33,$A80&gt;'Recurring Schedule'!$P$33),"",IF(IF('Recurring Schedule'!$N$33&gt;0,MOD($A80-'Recurring Schedule'!$F$33,'Recurring Schedule'!$N$33)=0,IF('Recurring Schedule'!$O$33&gt;0,AND(DAY($A80)=MIN(DAY('Recurring Schedule'!$F$33),DAY(EOMONTH($A80,0))),MOD((YEAR($A80)-YEAR('Recurring Schedule'!$F$33))*12+MONTH($A80)-MONTH('Recurring Schedule'!$F$33),'Recurring Schedule'!$O$33)=0),IF('Recurring Schedule'!$E$33="Weekdays",WEEKDAY($A80,2)&lt;=5,$A80='Recurring Schedule'!$F$33))),28,""))))</f>
        <v/>
      </c>
      <c r="AD80">
        <f>IF('Recurring Schedule'!$C$34="","",IF('Recurring Schedule'!$F$34="","",IF(OR($A80&lt;'Recurring Schedule'!$F$34,$A80&gt;'Recurring Schedule'!$P$34),"",IF(IF('Recurring Schedule'!$N$34&gt;0,MOD($A80-'Recurring Schedule'!$F$34,'Recurring Schedule'!$N$34)=0,IF('Recurring Schedule'!$O$34&gt;0,AND(DAY($A80)=MIN(DAY('Recurring Schedule'!$F$34),DAY(EOMONTH($A80,0))),MOD((YEAR($A80)-YEAR('Recurring Schedule'!$F$34))*12+MONTH($A80)-MONTH('Recurring Schedule'!$F$34),'Recurring Schedule'!$O$34)=0),IF('Recurring Schedule'!$E$34="Weekdays",WEEKDAY($A80,2)&lt;=5,$A80='Recurring Schedule'!$F$34))),29,""))))</f>
        <v/>
      </c>
      <c r="AE80">
        <f>IF('Recurring Schedule'!$C$35="","",IF('Recurring Schedule'!$F$35="","",IF(OR($A80&lt;'Recurring Schedule'!$F$35,$A80&gt;'Recurring Schedule'!$P$35),"",IF(IF('Recurring Schedule'!$N$35&gt;0,MOD($A80-'Recurring Schedule'!$F$35,'Recurring Schedule'!$N$35)=0,IF('Recurring Schedule'!$O$35&gt;0,AND(DAY($A80)=MIN(DAY('Recurring Schedule'!$F$35),DAY(EOMONTH($A80,0))),MOD((YEAR($A80)-YEAR('Recurring Schedule'!$F$35))*12+MONTH($A80)-MONTH('Recurring Schedule'!$F$35),'Recurring Schedule'!$O$35)=0),IF('Recurring Schedule'!$E$35="Weekdays",WEEKDAY($A80,2)&lt;=5,$A80='Recurring Schedule'!$F$35))),30,""))))</f>
        <v/>
      </c>
      <c r="AF80">
        <f>IF('Recurring Schedule'!$C$36="","",IF('Recurring Schedule'!$F$36="","",IF(OR($A80&lt;'Recurring Schedule'!$F$36,$A80&gt;'Recurring Schedule'!$P$36),"",IF(IF('Recurring Schedule'!$N$36&gt;0,MOD($A80-'Recurring Schedule'!$F$36,'Recurring Schedule'!$N$36)=0,IF('Recurring Schedule'!$O$36&gt;0,AND(DAY($A80)=MIN(DAY('Recurring Schedule'!$F$36),DAY(EOMONTH($A80,0))),MOD((YEAR($A80)-YEAR('Recurring Schedule'!$F$36))*12+MONTH($A80)-MONTH('Recurring Schedule'!$F$36),'Recurring Schedule'!$O$36)=0),IF('Recurring Schedule'!$E$36="Weekdays",WEEKDAY($A80,2)&lt;=5,$A80='Recurring Schedule'!$F$36))),31,""))))</f>
        <v/>
      </c>
      <c r="AG80">
        <f>IF('Recurring Schedule'!$C$37="","",IF('Recurring Schedule'!$F$37="","",IF(OR($A80&lt;'Recurring Schedule'!$F$37,$A80&gt;'Recurring Schedule'!$P$37),"",IF(IF('Recurring Schedule'!$N$37&gt;0,MOD($A80-'Recurring Schedule'!$F$37,'Recurring Schedule'!$N$37)=0,IF('Recurring Schedule'!$O$37&gt;0,AND(DAY($A80)=MIN(DAY('Recurring Schedule'!$F$37),DAY(EOMONTH($A80,0))),MOD((YEAR($A80)-YEAR('Recurring Schedule'!$F$37))*12+MONTH($A80)-MONTH('Recurring Schedule'!$F$37),'Recurring Schedule'!$O$37)=0),IF('Recurring Schedule'!$E$37="Weekdays",WEEKDAY($A80,2)&lt;=5,$A80='Recurring Schedule'!$F$37))),32,""))))</f>
        <v/>
      </c>
      <c r="AH80">
        <f>IF('Recurring Schedule'!$C$38="","",IF('Recurring Schedule'!$F$38="","",IF(OR($A80&lt;'Recurring Schedule'!$F$38,$A80&gt;'Recurring Schedule'!$P$38),"",IF(IF('Recurring Schedule'!$N$38&gt;0,MOD($A80-'Recurring Schedule'!$F$38,'Recurring Schedule'!$N$38)=0,IF('Recurring Schedule'!$O$38&gt;0,AND(DAY($A80)=MIN(DAY('Recurring Schedule'!$F$38),DAY(EOMONTH($A80,0))),MOD((YEAR($A80)-YEAR('Recurring Schedule'!$F$38))*12+MONTH($A80)-MONTH('Recurring Schedule'!$F$38),'Recurring Schedule'!$O$38)=0),IF('Recurring Schedule'!$E$38="Weekdays",WEEKDAY($A80,2)&lt;=5,$A80='Recurring Schedule'!$F$38))),33,""))))</f>
        <v/>
      </c>
      <c r="AI80">
        <f>IF('Recurring Schedule'!$C$39="","",IF('Recurring Schedule'!$F$39="","",IF(OR($A80&lt;'Recurring Schedule'!$F$39,$A80&gt;'Recurring Schedule'!$P$39),"",IF(IF('Recurring Schedule'!$N$39&gt;0,MOD($A80-'Recurring Schedule'!$F$39,'Recurring Schedule'!$N$39)=0,IF('Recurring Schedule'!$O$39&gt;0,AND(DAY($A80)=MIN(DAY('Recurring Schedule'!$F$39),DAY(EOMONTH($A80,0))),MOD((YEAR($A80)-YEAR('Recurring Schedule'!$F$39))*12+MONTH($A80)-MONTH('Recurring Schedule'!$F$39),'Recurring Schedule'!$O$39)=0),IF('Recurring Schedule'!$E$39="Weekdays",WEEKDAY($A80,2)&lt;=5,$A80='Recurring Schedule'!$F$39))),34,""))))</f>
        <v/>
      </c>
      <c r="AJ80">
        <f>IF('Recurring Schedule'!$C$40="","",IF('Recurring Schedule'!$F$40="","",IF(OR($A80&lt;'Recurring Schedule'!$F$40,$A80&gt;'Recurring Schedule'!$P$40),"",IF(IF('Recurring Schedule'!$N$40&gt;0,MOD($A80-'Recurring Schedule'!$F$40,'Recurring Schedule'!$N$40)=0,IF('Recurring Schedule'!$O$40&gt;0,AND(DAY($A80)=MIN(DAY('Recurring Schedule'!$F$40),DAY(EOMONTH($A80,0))),MOD((YEAR($A80)-YEAR('Recurring Schedule'!$F$40))*12+MONTH($A80)-MONTH('Recurring Schedule'!$F$40),'Recurring Schedule'!$O$40)=0),IF('Recurring Schedule'!$E$40="Weekdays",WEEKDAY($A80,2)&lt;=5,$A80='Recurring Schedule'!$F$40))),35,""))))</f>
        <v/>
      </c>
      <c r="AK80">
        <f>IF('Recurring Schedule'!$C$41="","",IF('Recurring Schedule'!$F$41="","",IF(OR($A80&lt;'Recurring Schedule'!$F$41,$A80&gt;'Recurring Schedule'!$P$41),"",IF(IF('Recurring Schedule'!$N$41&gt;0,MOD($A80-'Recurring Schedule'!$F$41,'Recurring Schedule'!$N$41)=0,IF('Recurring Schedule'!$O$41&gt;0,AND(DAY($A80)=MIN(DAY('Recurring Schedule'!$F$41),DAY(EOMONTH($A80,0))),MOD((YEAR($A80)-YEAR('Recurring Schedule'!$F$41))*12+MONTH($A80)-MONTH('Recurring Schedule'!$F$41),'Recurring Schedule'!$O$41)=0),IF('Recurring Schedule'!$E$41="Weekdays",WEEKDAY($A80,2)&lt;=5,$A80='Recurring Schedule'!$F$41))),36,""))))</f>
        <v/>
      </c>
      <c r="AL80">
        <f>IF('Recurring Schedule'!$C$42="","",IF('Recurring Schedule'!$F$42="","",IF(OR($A80&lt;'Recurring Schedule'!$F$42,$A80&gt;'Recurring Schedule'!$P$42),"",IF(IF('Recurring Schedule'!$N$42&gt;0,MOD($A80-'Recurring Schedule'!$F$42,'Recurring Schedule'!$N$42)=0,IF('Recurring Schedule'!$O$42&gt;0,AND(DAY($A80)=MIN(DAY('Recurring Schedule'!$F$42),DAY(EOMONTH($A80,0))),MOD((YEAR($A80)-YEAR('Recurring Schedule'!$F$42))*12+MONTH($A80)-MONTH('Recurring Schedule'!$F$42),'Recurring Schedule'!$O$42)=0),IF('Recurring Schedule'!$E$42="Weekdays",WEEKDAY($A80,2)&lt;=5,$A80='Recurring Schedule'!$F$42))),37,""))))</f>
        <v/>
      </c>
      <c r="AM80">
        <f>IF('Recurring Schedule'!$C$43="","",IF('Recurring Schedule'!$F$43="","",IF(OR($A80&lt;'Recurring Schedule'!$F$43,$A80&gt;'Recurring Schedule'!$P$43),"",IF(IF('Recurring Schedule'!$N$43&gt;0,MOD($A80-'Recurring Schedule'!$F$43,'Recurring Schedule'!$N$43)=0,IF('Recurring Schedule'!$O$43&gt;0,AND(DAY($A80)=MIN(DAY('Recurring Schedule'!$F$43),DAY(EOMONTH($A80,0))),MOD((YEAR($A80)-YEAR('Recurring Schedule'!$F$43))*12+MONTH($A80)-MONTH('Recurring Schedule'!$F$43),'Recurring Schedule'!$O$43)=0),IF('Recurring Schedule'!$E$43="Weekdays",WEEKDAY($A80,2)&lt;=5,$A80='Recurring Schedule'!$F$43))),38,""))))</f>
        <v/>
      </c>
      <c r="AN80">
        <f>IF('Recurring Schedule'!$C$44="","",IF('Recurring Schedule'!$F$44="","",IF(OR($A80&lt;'Recurring Schedule'!$F$44,$A80&gt;'Recurring Schedule'!$P$44),"",IF(IF('Recurring Schedule'!$N$44&gt;0,MOD($A80-'Recurring Schedule'!$F$44,'Recurring Schedule'!$N$44)=0,IF('Recurring Schedule'!$O$44&gt;0,AND(DAY($A80)=MIN(DAY('Recurring Schedule'!$F$44),DAY(EOMONTH($A80,0))),MOD((YEAR($A80)-YEAR('Recurring Schedule'!$F$44))*12+MONTH($A80)-MONTH('Recurring Schedule'!$F$44),'Recurring Schedule'!$O$44)=0),IF('Recurring Schedule'!$E$44="Weekdays",WEEKDAY($A80,2)&lt;=5,$A80='Recurring Schedule'!$F$44))),39,""))))</f>
        <v/>
      </c>
      <c r="AO80">
        <f>IF('Recurring Schedule'!$C$45="","",IF('Recurring Schedule'!$F$45="","",IF(OR($A80&lt;'Recurring Schedule'!$F$45,$A80&gt;'Recurring Schedule'!$P$45),"",IF(IF('Recurring Schedule'!$N$45&gt;0,MOD($A80-'Recurring Schedule'!$F$45,'Recurring Schedule'!$N$45)=0,IF('Recurring Schedule'!$O$45&gt;0,AND(DAY($A80)=MIN(DAY('Recurring Schedule'!$F$45),DAY(EOMONTH($A80,0))),MOD((YEAR($A80)-YEAR('Recurring Schedule'!$F$45))*12+MONTH($A80)-MONTH('Recurring Schedule'!$F$45),'Recurring Schedule'!$O$45)=0),IF('Recurring Schedule'!$E$45="Weekdays",WEEKDAY($A80,2)&lt;=5,$A80='Recurring Schedule'!$F$45))),40,""))))</f>
        <v/>
      </c>
      <c r="AP80">
        <f>COUNT(B80:AO80)</f>
        <v/>
      </c>
      <c r="AQ80">
        <f>AQ79+AP79</f>
        <v/>
      </c>
      <c r="AS80" t="inlineStr">
        <is>
          <t>R</t>
        </is>
      </c>
      <c r="AT80" t="n">
        <v>84</v>
      </c>
      <c r="AU80">
        <f>'Recurring Log'!C84&amp;""</f>
        <v/>
      </c>
      <c r="AV80">
        <f>'Recurring Log'!D84&amp;""</f>
        <v/>
      </c>
      <c r="AW80">
        <f>IF('Recurring Log'!E84="","",'Recurring Log'!E84)</f>
        <v/>
      </c>
      <c r="AX80">
        <f>IF('Recurring Log'!G84="","",'Recurring Log'!G84)</f>
        <v/>
      </c>
      <c r="AY80">
        <f>IF('Recurring Log'!H84="","",'Recurring Log'!H84)</f>
        <v/>
      </c>
      <c r="AZ80">
        <f>IF(AU80="","",IF('Recurring Log'!J84="","Not Started",'Recurring Log'!J84))</f>
        <v/>
      </c>
      <c r="BA80">
        <f>'Recurring Log'!L84&amp;""</f>
        <v/>
      </c>
      <c r="BB80">
        <f>'Recurring Log'!M84&amp;""</f>
        <v/>
      </c>
      <c r="BC80">
        <f>'Recurring Log'!N84&amp;""</f>
        <v/>
      </c>
      <c r="BD80">
        <f>'Recurring Log'!O84&amp;""</f>
        <v/>
      </c>
      <c r="BE80">
        <f>IF('Recurring Log'!K84="","",'Recurring Log'!K84)</f>
        <v/>
      </c>
      <c r="BF80">
        <f>IFERROR(MATCH(BA80,Setup!$L$6:$L$9,0),5)</f>
        <v/>
      </c>
      <c r="BG80">
        <f>IF(OR(AZ80="Done",AZ80="Cancelled"),1,0)</f>
        <v/>
      </c>
      <c r="BH80">
        <f>IF(AND(AU80&lt;&gt;"",ISNUMBER(AW80)),1,0)</f>
        <v/>
      </c>
      <c r="BI80">
        <f>IF(BH80=0,0,IF(AND(AW80&gt;='Tasks Filter'!$F$3,AW80&lt;='Tasks Filter'!$F$4,OR('Tasks Filter'!$I$3="",ISNUMBER(SEARCH('Tasks Filter'!$I$3,AU80))),OR('Tasks Filter'!$I$4="",BF80=IFERROR(MATCH('Tasks Filter'!$I$4,Setup!$L$6:$L$9,0),0)),OR('Tasks Filter'!$I$5="Both",AND('Tasks Filter'!$I$5="Yes",BB80="✓"),AND('Tasks Filter'!$I$5="No",BB80&lt;&gt;"✓")),OR('Tasks Filter'!$L$3="",AV80='Tasks Filter'!$L$3),OR('Tasks Filter'!$L$4="",AZ80='Tasks Filter'!$L$4),OR('Tasks Filter'!$L$5="",BC80='Tasks Filter'!$L$5),OR('Tasks Filter'!$O$3="",BD80='Tasks Filter'!$O$3),OR('Tasks Filter'!$O$4="Yes",BG80=0)),1,0))</f>
        <v/>
      </c>
      <c r="BJ80">
        <f>IF(BH80=0,"",IF('Tasks Filter'!$F$6="Descending",-1,1)*CHOOSE(MATCH('Tasks Filter'!$F$5,Lists!$G$2:$G$6,0),AW80,BF80,IFERROR(MATCH(AV80,Setup!$F$6:$F$15,0),99),IFERROR(MATCH(BC80,Setup!$H$6:$H$15,0),99),IFERROR(MATCH(AZ80,Setup!$J$6:$J$11,0),99))*1E+9+(AW80-40000)*10000+79)</f>
        <v/>
      </c>
      <c r="BK80">
        <f>IF(BI80=1,BJ80,"")</f>
        <v/>
      </c>
      <c r="BL80">
        <f>IF(AND(BH80=1,BG80=0,N(AW80)&lt;Setup!$D$7),(AW80-40000)*10000+79,"")</f>
        <v/>
      </c>
      <c r="BM80">
        <f>IF(AND(BH80=1,AZ80&lt;&gt;"Cancelled",N(AW80)&gt;=Dashboard!$AB$3,N(AW80)&lt;=Dashboard!$AB$3+6),(AW80-40000)*100000+BF80*10000+79,"")</f>
        <v/>
      </c>
      <c r="BN80">
        <f>IF(AND(BH80=1,AZ80&lt;&gt;"Cancelled"),BF80*10000+79,"")</f>
        <v/>
      </c>
    </row>
    <row r="81">
      <c r="A81">
        <f>Setup!$D$5+79</f>
        <v/>
      </c>
      <c r="B81">
        <f>IF('Recurring Schedule'!$C$6="","",IF('Recurring Schedule'!$F$6="","",IF(OR($A81&lt;'Recurring Schedule'!$F$6,$A81&gt;'Recurring Schedule'!$P$6),"",IF(IF('Recurring Schedule'!$N$6&gt;0,MOD($A81-'Recurring Schedule'!$F$6,'Recurring Schedule'!$N$6)=0,IF('Recurring Schedule'!$O$6&gt;0,AND(DAY($A81)=MIN(DAY('Recurring Schedule'!$F$6),DAY(EOMONTH($A81,0))),MOD((YEAR($A81)-YEAR('Recurring Schedule'!$F$6))*12+MONTH($A81)-MONTH('Recurring Schedule'!$F$6),'Recurring Schedule'!$O$6)=0),IF('Recurring Schedule'!$E$6="Weekdays",WEEKDAY($A81,2)&lt;=5,$A81='Recurring Schedule'!$F$6))),1,""))))</f>
        <v/>
      </c>
      <c r="C81">
        <f>IF('Recurring Schedule'!$C$7="","",IF('Recurring Schedule'!$F$7="","",IF(OR($A81&lt;'Recurring Schedule'!$F$7,$A81&gt;'Recurring Schedule'!$P$7),"",IF(IF('Recurring Schedule'!$N$7&gt;0,MOD($A81-'Recurring Schedule'!$F$7,'Recurring Schedule'!$N$7)=0,IF('Recurring Schedule'!$O$7&gt;0,AND(DAY($A81)=MIN(DAY('Recurring Schedule'!$F$7),DAY(EOMONTH($A81,0))),MOD((YEAR($A81)-YEAR('Recurring Schedule'!$F$7))*12+MONTH($A81)-MONTH('Recurring Schedule'!$F$7),'Recurring Schedule'!$O$7)=0),IF('Recurring Schedule'!$E$7="Weekdays",WEEKDAY($A81,2)&lt;=5,$A81='Recurring Schedule'!$F$7))),2,""))))</f>
        <v/>
      </c>
      <c r="D81">
        <f>IF('Recurring Schedule'!$C$8="","",IF('Recurring Schedule'!$F$8="","",IF(OR($A81&lt;'Recurring Schedule'!$F$8,$A81&gt;'Recurring Schedule'!$P$8),"",IF(IF('Recurring Schedule'!$N$8&gt;0,MOD($A81-'Recurring Schedule'!$F$8,'Recurring Schedule'!$N$8)=0,IF('Recurring Schedule'!$O$8&gt;0,AND(DAY($A81)=MIN(DAY('Recurring Schedule'!$F$8),DAY(EOMONTH($A81,0))),MOD((YEAR($A81)-YEAR('Recurring Schedule'!$F$8))*12+MONTH($A81)-MONTH('Recurring Schedule'!$F$8),'Recurring Schedule'!$O$8)=0),IF('Recurring Schedule'!$E$8="Weekdays",WEEKDAY($A81,2)&lt;=5,$A81='Recurring Schedule'!$F$8))),3,""))))</f>
        <v/>
      </c>
      <c r="E81">
        <f>IF('Recurring Schedule'!$C$9="","",IF('Recurring Schedule'!$F$9="","",IF(OR($A81&lt;'Recurring Schedule'!$F$9,$A81&gt;'Recurring Schedule'!$P$9),"",IF(IF('Recurring Schedule'!$N$9&gt;0,MOD($A81-'Recurring Schedule'!$F$9,'Recurring Schedule'!$N$9)=0,IF('Recurring Schedule'!$O$9&gt;0,AND(DAY($A81)=MIN(DAY('Recurring Schedule'!$F$9),DAY(EOMONTH($A81,0))),MOD((YEAR($A81)-YEAR('Recurring Schedule'!$F$9))*12+MONTH($A81)-MONTH('Recurring Schedule'!$F$9),'Recurring Schedule'!$O$9)=0),IF('Recurring Schedule'!$E$9="Weekdays",WEEKDAY($A81,2)&lt;=5,$A81='Recurring Schedule'!$F$9))),4,""))))</f>
        <v/>
      </c>
      <c r="F81">
        <f>IF('Recurring Schedule'!$C$10="","",IF('Recurring Schedule'!$F$10="","",IF(OR($A81&lt;'Recurring Schedule'!$F$10,$A81&gt;'Recurring Schedule'!$P$10),"",IF(IF('Recurring Schedule'!$N$10&gt;0,MOD($A81-'Recurring Schedule'!$F$10,'Recurring Schedule'!$N$10)=0,IF('Recurring Schedule'!$O$10&gt;0,AND(DAY($A81)=MIN(DAY('Recurring Schedule'!$F$10),DAY(EOMONTH($A81,0))),MOD((YEAR($A81)-YEAR('Recurring Schedule'!$F$10))*12+MONTH($A81)-MONTH('Recurring Schedule'!$F$10),'Recurring Schedule'!$O$10)=0),IF('Recurring Schedule'!$E$10="Weekdays",WEEKDAY($A81,2)&lt;=5,$A81='Recurring Schedule'!$F$10))),5,""))))</f>
        <v/>
      </c>
      <c r="G81">
        <f>IF('Recurring Schedule'!$C$11="","",IF('Recurring Schedule'!$F$11="","",IF(OR($A81&lt;'Recurring Schedule'!$F$11,$A81&gt;'Recurring Schedule'!$P$11),"",IF(IF('Recurring Schedule'!$N$11&gt;0,MOD($A81-'Recurring Schedule'!$F$11,'Recurring Schedule'!$N$11)=0,IF('Recurring Schedule'!$O$11&gt;0,AND(DAY($A81)=MIN(DAY('Recurring Schedule'!$F$11),DAY(EOMONTH($A81,0))),MOD((YEAR($A81)-YEAR('Recurring Schedule'!$F$11))*12+MONTH($A81)-MONTH('Recurring Schedule'!$F$11),'Recurring Schedule'!$O$11)=0),IF('Recurring Schedule'!$E$11="Weekdays",WEEKDAY($A81,2)&lt;=5,$A81='Recurring Schedule'!$F$11))),6,""))))</f>
        <v/>
      </c>
      <c r="H81">
        <f>IF('Recurring Schedule'!$C$12="","",IF('Recurring Schedule'!$F$12="","",IF(OR($A81&lt;'Recurring Schedule'!$F$12,$A81&gt;'Recurring Schedule'!$P$12),"",IF(IF('Recurring Schedule'!$N$12&gt;0,MOD($A81-'Recurring Schedule'!$F$12,'Recurring Schedule'!$N$12)=0,IF('Recurring Schedule'!$O$12&gt;0,AND(DAY($A81)=MIN(DAY('Recurring Schedule'!$F$12),DAY(EOMONTH($A81,0))),MOD((YEAR($A81)-YEAR('Recurring Schedule'!$F$12))*12+MONTH($A81)-MONTH('Recurring Schedule'!$F$12),'Recurring Schedule'!$O$12)=0),IF('Recurring Schedule'!$E$12="Weekdays",WEEKDAY($A81,2)&lt;=5,$A81='Recurring Schedule'!$F$12))),7,""))))</f>
        <v/>
      </c>
      <c r="I81">
        <f>IF('Recurring Schedule'!$C$13="","",IF('Recurring Schedule'!$F$13="","",IF(OR($A81&lt;'Recurring Schedule'!$F$13,$A81&gt;'Recurring Schedule'!$P$13),"",IF(IF('Recurring Schedule'!$N$13&gt;0,MOD($A81-'Recurring Schedule'!$F$13,'Recurring Schedule'!$N$13)=0,IF('Recurring Schedule'!$O$13&gt;0,AND(DAY($A81)=MIN(DAY('Recurring Schedule'!$F$13),DAY(EOMONTH($A81,0))),MOD((YEAR($A81)-YEAR('Recurring Schedule'!$F$13))*12+MONTH($A81)-MONTH('Recurring Schedule'!$F$13),'Recurring Schedule'!$O$13)=0),IF('Recurring Schedule'!$E$13="Weekdays",WEEKDAY($A81,2)&lt;=5,$A81='Recurring Schedule'!$F$13))),8,""))))</f>
        <v/>
      </c>
      <c r="J81">
        <f>IF('Recurring Schedule'!$C$14="","",IF('Recurring Schedule'!$F$14="","",IF(OR($A81&lt;'Recurring Schedule'!$F$14,$A81&gt;'Recurring Schedule'!$P$14),"",IF(IF('Recurring Schedule'!$N$14&gt;0,MOD($A81-'Recurring Schedule'!$F$14,'Recurring Schedule'!$N$14)=0,IF('Recurring Schedule'!$O$14&gt;0,AND(DAY($A81)=MIN(DAY('Recurring Schedule'!$F$14),DAY(EOMONTH($A81,0))),MOD((YEAR($A81)-YEAR('Recurring Schedule'!$F$14))*12+MONTH($A81)-MONTH('Recurring Schedule'!$F$14),'Recurring Schedule'!$O$14)=0),IF('Recurring Schedule'!$E$14="Weekdays",WEEKDAY($A81,2)&lt;=5,$A81='Recurring Schedule'!$F$14))),9,""))))</f>
        <v/>
      </c>
      <c r="K81">
        <f>IF('Recurring Schedule'!$C$15="","",IF('Recurring Schedule'!$F$15="","",IF(OR($A81&lt;'Recurring Schedule'!$F$15,$A81&gt;'Recurring Schedule'!$P$15),"",IF(IF('Recurring Schedule'!$N$15&gt;0,MOD($A81-'Recurring Schedule'!$F$15,'Recurring Schedule'!$N$15)=0,IF('Recurring Schedule'!$O$15&gt;0,AND(DAY($A81)=MIN(DAY('Recurring Schedule'!$F$15),DAY(EOMONTH($A81,0))),MOD((YEAR($A81)-YEAR('Recurring Schedule'!$F$15))*12+MONTH($A81)-MONTH('Recurring Schedule'!$F$15),'Recurring Schedule'!$O$15)=0),IF('Recurring Schedule'!$E$15="Weekdays",WEEKDAY($A81,2)&lt;=5,$A81='Recurring Schedule'!$F$15))),10,""))))</f>
        <v/>
      </c>
      <c r="L81">
        <f>IF('Recurring Schedule'!$C$16="","",IF('Recurring Schedule'!$F$16="","",IF(OR($A81&lt;'Recurring Schedule'!$F$16,$A81&gt;'Recurring Schedule'!$P$16),"",IF(IF('Recurring Schedule'!$N$16&gt;0,MOD($A81-'Recurring Schedule'!$F$16,'Recurring Schedule'!$N$16)=0,IF('Recurring Schedule'!$O$16&gt;0,AND(DAY($A81)=MIN(DAY('Recurring Schedule'!$F$16),DAY(EOMONTH($A81,0))),MOD((YEAR($A81)-YEAR('Recurring Schedule'!$F$16))*12+MONTH($A81)-MONTH('Recurring Schedule'!$F$16),'Recurring Schedule'!$O$16)=0),IF('Recurring Schedule'!$E$16="Weekdays",WEEKDAY($A81,2)&lt;=5,$A81='Recurring Schedule'!$F$16))),11,""))))</f>
        <v/>
      </c>
      <c r="M81">
        <f>IF('Recurring Schedule'!$C$17="","",IF('Recurring Schedule'!$F$17="","",IF(OR($A81&lt;'Recurring Schedule'!$F$17,$A81&gt;'Recurring Schedule'!$P$17),"",IF(IF('Recurring Schedule'!$N$17&gt;0,MOD($A81-'Recurring Schedule'!$F$17,'Recurring Schedule'!$N$17)=0,IF('Recurring Schedule'!$O$17&gt;0,AND(DAY($A81)=MIN(DAY('Recurring Schedule'!$F$17),DAY(EOMONTH($A81,0))),MOD((YEAR($A81)-YEAR('Recurring Schedule'!$F$17))*12+MONTH($A81)-MONTH('Recurring Schedule'!$F$17),'Recurring Schedule'!$O$17)=0),IF('Recurring Schedule'!$E$17="Weekdays",WEEKDAY($A81,2)&lt;=5,$A81='Recurring Schedule'!$F$17))),12,""))))</f>
        <v/>
      </c>
      <c r="N81">
        <f>IF('Recurring Schedule'!$C$18="","",IF('Recurring Schedule'!$F$18="","",IF(OR($A81&lt;'Recurring Schedule'!$F$18,$A81&gt;'Recurring Schedule'!$P$18),"",IF(IF('Recurring Schedule'!$N$18&gt;0,MOD($A81-'Recurring Schedule'!$F$18,'Recurring Schedule'!$N$18)=0,IF('Recurring Schedule'!$O$18&gt;0,AND(DAY($A81)=MIN(DAY('Recurring Schedule'!$F$18),DAY(EOMONTH($A81,0))),MOD((YEAR($A81)-YEAR('Recurring Schedule'!$F$18))*12+MONTH($A81)-MONTH('Recurring Schedule'!$F$18),'Recurring Schedule'!$O$18)=0),IF('Recurring Schedule'!$E$18="Weekdays",WEEKDAY($A81,2)&lt;=5,$A81='Recurring Schedule'!$F$18))),13,""))))</f>
        <v/>
      </c>
      <c r="O81">
        <f>IF('Recurring Schedule'!$C$19="","",IF('Recurring Schedule'!$F$19="","",IF(OR($A81&lt;'Recurring Schedule'!$F$19,$A81&gt;'Recurring Schedule'!$P$19),"",IF(IF('Recurring Schedule'!$N$19&gt;0,MOD($A81-'Recurring Schedule'!$F$19,'Recurring Schedule'!$N$19)=0,IF('Recurring Schedule'!$O$19&gt;0,AND(DAY($A81)=MIN(DAY('Recurring Schedule'!$F$19),DAY(EOMONTH($A81,0))),MOD((YEAR($A81)-YEAR('Recurring Schedule'!$F$19))*12+MONTH($A81)-MONTH('Recurring Schedule'!$F$19),'Recurring Schedule'!$O$19)=0),IF('Recurring Schedule'!$E$19="Weekdays",WEEKDAY($A81,2)&lt;=5,$A81='Recurring Schedule'!$F$19))),14,""))))</f>
        <v/>
      </c>
      <c r="P81">
        <f>IF('Recurring Schedule'!$C$20="","",IF('Recurring Schedule'!$F$20="","",IF(OR($A81&lt;'Recurring Schedule'!$F$20,$A81&gt;'Recurring Schedule'!$P$20),"",IF(IF('Recurring Schedule'!$N$20&gt;0,MOD($A81-'Recurring Schedule'!$F$20,'Recurring Schedule'!$N$20)=0,IF('Recurring Schedule'!$O$20&gt;0,AND(DAY($A81)=MIN(DAY('Recurring Schedule'!$F$20),DAY(EOMONTH($A81,0))),MOD((YEAR($A81)-YEAR('Recurring Schedule'!$F$20))*12+MONTH($A81)-MONTH('Recurring Schedule'!$F$20),'Recurring Schedule'!$O$20)=0),IF('Recurring Schedule'!$E$20="Weekdays",WEEKDAY($A81,2)&lt;=5,$A81='Recurring Schedule'!$F$20))),15,""))))</f>
        <v/>
      </c>
      <c r="Q81">
        <f>IF('Recurring Schedule'!$C$21="","",IF('Recurring Schedule'!$F$21="","",IF(OR($A81&lt;'Recurring Schedule'!$F$21,$A81&gt;'Recurring Schedule'!$P$21),"",IF(IF('Recurring Schedule'!$N$21&gt;0,MOD($A81-'Recurring Schedule'!$F$21,'Recurring Schedule'!$N$21)=0,IF('Recurring Schedule'!$O$21&gt;0,AND(DAY($A81)=MIN(DAY('Recurring Schedule'!$F$21),DAY(EOMONTH($A81,0))),MOD((YEAR($A81)-YEAR('Recurring Schedule'!$F$21))*12+MONTH($A81)-MONTH('Recurring Schedule'!$F$21),'Recurring Schedule'!$O$21)=0),IF('Recurring Schedule'!$E$21="Weekdays",WEEKDAY($A81,2)&lt;=5,$A81='Recurring Schedule'!$F$21))),16,""))))</f>
        <v/>
      </c>
      <c r="R81">
        <f>IF('Recurring Schedule'!$C$22="","",IF('Recurring Schedule'!$F$22="","",IF(OR($A81&lt;'Recurring Schedule'!$F$22,$A81&gt;'Recurring Schedule'!$P$22),"",IF(IF('Recurring Schedule'!$N$22&gt;0,MOD($A81-'Recurring Schedule'!$F$22,'Recurring Schedule'!$N$22)=0,IF('Recurring Schedule'!$O$22&gt;0,AND(DAY($A81)=MIN(DAY('Recurring Schedule'!$F$22),DAY(EOMONTH($A81,0))),MOD((YEAR($A81)-YEAR('Recurring Schedule'!$F$22))*12+MONTH($A81)-MONTH('Recurring Schedule'!$F$22),'Recurring Schedule'!$O$22)=0),IF('Recurring Schedule'!$E$22="Weekdays",WEEKDAY($A81,2)&lt;=5,$A81='Recurring Schedule'!$F$22))),17,""))))</f>
        <v/>
      </c>
      <c r="S81">
        <f>IF('Recurring Schedule'!$C$23="","",IF('Recurring Schedule'!$F$23="","",IF(OR($A81&lt;'Recurring Schedule'!$F$23,$A81&gt;'Recurring Schedule'!$P$23),"",IF(IF('Recurring Schedule'!$N$23&gt;0,MOD($A81-'Recurring Schedule'!$F$23,'Recurring Schedule'!$N$23)=0,IF('Recurring Schedule'!$O$23&gt;0,AND(DAY($A81)=MIN(DAY('Recurring Schedule'!$F$23),DAY(EOMONTH($A81,0))),MOD((YEAR($A81)-YEAR('Recurring Schedule'!$F$23))*12+MONTH($A81)-MONTH('Recurring Schedule'!$F$23),'Recurring Schedule'!$O$23)=0),IF('Recurring Schedule'!$E$23="Weekdays",WEEKDAY($A81,2)&lt;=5,$A81='Recurring Schedule'!$F$23))),18,""))))</f>
        <v/>
      </c>
      <c r="T81">
        <f>IF('Recurring Schedule'!$C$24="","",IF('Recurring Schedule'!$F$24="","",IF(OR($A81&lt;'Recurring Schedule'!$F$24,$A81&gt;'Recurring Schedule'!$P$24),"",IF(IF('Recurring Schedule'!$N$24&gt;0,MOD($A81-'Recurring Schedule'!$F$24,'Recurring Schedule'!$N$24)=0,IF('Recurring Schedule'!$O$24&gt;0,AND(DAY($A81)=MIN(DAY('Recurring Schedule'!$F$24),DAY(EOMONTH($A81,0))),MOD((YEAR($A81)-YEAR('Recurring Schedule'!$F$24))*12+MONTH($A81)-MONTH('Recurring Schedule'!$F$24),'Recurring Schedule'!$O$24)=0),IF('Recurring Schedule'!$E$24="Weekdays",WEEKDAY($A81,2)&lt;=5,$A81='Recurring Schedule'!$F$24))),19,""))))</f>
        <v/>
      </c>
      <c r="U81">
        <f>IF('Recurring Schedule'!$C$25="","",IF('Recurring Schedule'!$F$25="","",IF(OR($A81&lt;'Recurring Schedule'!$F$25,$A81&gt;'Recurring Schedule'!$P$25),"",IF(IF('Recurring Schedule'!$N$25&gt;0,MOD($A81-'Recurring Schedule'!$F$25,'Recurring Schedule'!$N$25)=0,IF('Recurring Schedule'!$O$25&gt;0,AND(DAY($A81)=MIN(DAY('Recurring Schedule'!$F$25),DAY(EOMONTH($A81,0))),MOD((YEAR($A81)-YEAR('Recurring Schedule'!$F$25))*12+MONTH($A81)-MONTH('Recurring Schedule'!$F$25),'Recurring Schedule'!$O$25)=0),IF('Recurring Schedule'!$E$25="Weekdays",WEEKDAY($A81,2)&lt;=5,$A81='Recurring Schedule'!$F$25))),20,""))))</f>
        <v/>
      </c>
      <c r="V81">
        <f>IF('Recurring Schedule'!$C$26="","",IF('Recurring Schedule'!$F$26="","",IF(OR($A81&lt;'Recurring Schedule'!$F$26,$A81&gt;'Recurring Schedule'!$P$26),"",IF(IF('Recurring Schedule'!$N$26&gt;0,MOD($A81-'Recurring Schedule'!$F$26,'Recurring Schedule'!$N$26)=0,IF('Recurring Schedule'!$O$26&gt;0,AND(DAY($A81)=MIN(DAY('Recurring Schedule'!$F$26),DAY(EOMONTH($A81,0))),MOD((YEAR($A81)-YEAR('Recurring Schedule'!$F$26))*12+MONTH($A81)-MONTH('Recurring Schedule'!$F$26),'Recurring Schedule'!$O$26)=0),IF('Recurring Schedule'!$E$26="Weekdays",WEEKDAY($A81,2)&lt;=5,$A81='Recurring Schedule'!$F$26))),21,""))))</f>
        <v/>
      </c>
      <c r="W81">
        <f>IF('Recurring Schedule'!$C$27="","",IF('Recurring Schedule'!$F$27="","",IF(OR($A81&lt;'Recurring Schedule'!$F$27,$A81&gt;'Recurring Schedule'!$P$27),"",IF(IF('Recurring Schedule'!$N$27&gt;0,MOD($A81-'Recurring Schedule'!$F$27,'Recurring Schedule'!$N$27)=0,IF('Recurring Schedule'!$O$27&gt;0,AND(DAY($A81)=MIN(DAY('Recurring Schedule'!$F$27),DAY(EOMONTH($A81,0))),MOD((YEAR($A81)-YEAR('Recurring Schedule'!$F$27))*12+MONTH($A81)-MONTH('Recurring Schedule'!$F$27),'Recurring Schedule'!$O$27)=0),IF('Recurring Schedule'!$E$27="Weekdays",WEEKDAY($A81,2)&lt;=5,$A81='Recurring Schedule'!$F$27))),22,""))))</f>
        <v/>
      </c>
      <c r="X81">
        <f>IF('Recurring Schedule'!$C$28="","",IF('Recurring Schedule'!$F$28="","",IF(OR($A81&lt;'Recurring Schedule'!$F$28,$A81&gt;'Recurring Schedule'!$P$28),"",IF(IF('Recurring Schedule'!$N$28&gt;0,MOD($A81-'Recurring Schedule'!$F$28,'Recurring Schedule'!$N$28)=0,IF('Recurring Schedule'!$O$28&gt;0,AND(DAY($A81)=MIN(DAY('Recurring Schedule'!$F$28),DAY(EOMONTH($A81,0))),MOD((YEAR($A81)-YEAR('Recurring Schedule'!$F$28))*12+MONTH($A81)-MONTH('Recurring Schedule'!$F$28),'Recurring Schedule'!$O$28)=0),IF('Recurring Schedule'!$E$28="Weekdays",WEEKDAY($A81,2)&lt;=5,$A81='Recurring Schedule'!$F$28))),23,""))))</f>
        <v/>
      </c>
      <c r="Y81">
        <f>IF('Recurring Schedule'!$C$29="","",IF('Recurring Schedule'!$F$29="","",IF(OR($A81&lt;'Recurring Schedule'!$F$29,$A81&gt;'Recurring Schedule'!$P$29),"",IF(IF('Recurring Schedule'!$N$29&gt;0,MOD($A81-'Recurring Schedule'!$F$29,'Recurring Schedule'!$N$29)=0,IF('Recurring Schedule'!$O$29&gt;0,AND(DAY($A81)=MIN(DAY('Recurring Schedule'!$F$29),DAY(EOMONTH($A81,0))),MOD((YEAR($A81)-YEAR('Recurring Schedule'!$F$29))*12+MONTH($A81)-MONTH('Recurring Schedule'!$F$29),'Recurring Schedule'!$O$29)=0),IF('Recurring Schedule'!$E$29="Weekdays",WEEKDAY($A81,2)&lt;=5,$A81='Recurring Schedule'!$F$29))),24,""))))</f>
        <v/>
      </c>
      <c r="Z81">
        <f>IF('Recurring Schedule'!$C$30="","",IF('Recurring Schedule'!$F$30="","",IF(OR($A81&lt;'Recurring Schedule'!$F$30,$A81&gt;'Recurring Schedule'!$P$30),"",IF(IF('Recurring Schedule'!$N$30&gt;0,MOD($A81-'Recurring Schedule'!$F$30,'Recurring Schedule'!$N$30)=0,IF('Recurring Schedule'!$O$30&gt;0,AND(DAY($A81)=MIN(DAY('Recurring Schedule'!$F$30),DAY(EOMONTH($A81,0))),MOD((YEAR($A81)-YEAR('Recurring Schedule'!$F$30))*12+MONTH($A81)-MONTH('Recurring Schedule'!$F$30),'Recurring Schedule'!$O$30)=0),IF('Recurring Schedule'!$E$30="Weekdays",WEEKDAY($A81,2)&lt;=5,$A81='Recurring Schedule'!$F$30))),25,""))))</f>
        <v/>
      </c>
      <c r="AA81">
        <f>IF('Recurring Schedule'!$C$31="","",IF('Recurring Schedule'!$F$31="","",IF(OR($A81&lt;'Recurring Schedule'!$F$31,$A81&gt;'Recurring Schedule'!$P$31),"",IF(IF('Recurring Schedule'!$N$31&gt;0,MOD($A81-'Recurring Schedule'!$F$31,'Recurring Schedule'!$N$31)=0,IF('Recurring Schedule'!$O$31&gt;0,AND(DAY($A81)=MIN(DAY('Recurring Schedule'!$F$31),DAY(EOMONTH($A81,0))),MOD((YEAR($A81)-YEAR('Recurring Schedule'!$F$31))*12+MONTH($A81)-MONTH('Recurring Schedule'!$F$31),'Recurring Schedule'!$O$31)=0),IF('Recurring Schedule'!$E$31="Weekdays",WEEKDAY($A81,2)&lt;=5,$A81='Recurring Schedule'!$F$31))),26,""))))</f>
        <v/>
      </c>
      <c r="AB81">
        <f>IF('Recurring Schedule'!$C$32="","",IF('Recurring Schedule'!$F$32="","",IF(OR($A81&lt;'Recurring Schedule'!$F$32,$A81&gt;'Recurring Schedule'!$P$32),"",IF(IF('Recurring Schedule'!$N$32&gt;0,MOD($A81-'Recurring Schedule'!$F$32,'Recurring Schedule'!$N$32)=0,IF('Recurring Schedule'!$O$32&gt;0,AND(DAY($A81)=MIN(DAY('Recurring Schedule'!$F$32),DAY(EOMONTH($A81,0))),MOD((YEAR($A81)-YEAR('Recurring Schedule'!$F$32))*12+MONTH($A81)-MONTH('Recurring Schedule'!$F$32),'Recurring Schedule'!$O$32)=0),IF('Recurring Schedule'!$E$32="Weekdays",WEEKDAY($A81,2)&lt;=5,$A81='Recurring Schedule'!$F$32))),27,""))))</f>
        <v/>
      </c>
      <c r="AC81">
        <f>IF('Recurring Schedule'!$C$33="","",IF('Recurring Schedule'!$F$33="","",IF(OR($A81&lt;'Recurring Schedule'!$F$33,$A81&gt;'Recurring Schedule'!$P$33),"",IF(IF('Recurring Schedule'!$N$33&gt;0,MOD($A81-'Recurring Schedule'!$F$33,'Recurring Schedule'!$N$33)=0,IF('Recurring Schedule'!$O$33&gt;0,AND(DAY($A81)=MIN(DAY('Recurring Schedule'!$F$33),DAY(EOMONTH($A81,0))),MOD((YEAR($A81)-YEAR('Recurring Schedule'!$F$33))*12+MONTH($A81)-MONTH('Recurring Schedule'!$F$33),'Recurring Schedule'!$O$33)=0),IF('Recurring Schedule'!$E$33="Weekdays",WEEKDAY($A81,2)&lt;=5,$A81='Recurring Schedule'!$F$33))),28,""))))</f>
        <v/>
      </c>
      <c r="AD81">
        <f>IF('Recurring Schedule'!$C$34="","",IF('Recurring Schedule'!$F$34="","",IF(OR($A81&lt;'Recurring Schedule'!$F$34,$A81&gt;'Recurring Schedule'!$P$34),"",IF(IF('Recurring Schedule'!$N$34&gt;0,MOD($A81-'Recurring Schedule'!$F$34,'Recurring Schedule'!$N$34)=0,IF('Recurring Schedule'!$O$34&gt;0,AND(DAY($A81)=MIN(DAY('Recurring Schedule'!$F$34),DAY(EOMONTH($A81,0))),MOD((YEAR($A81)-YEAR('Recurring Schedule'!$F$34))*12+MONTH($A81)-MONTH('Recurring Schedule'!$F$34),'Recurring Schedule'!$O$34)=0),IF('Recurring Schedule'!$E$34="Weekdays",WEEKDAY($A81,2)&lt;=5,$A81='Recurring Schedule'!$F$34))),29,""))))</f>
        <v/>
      </c>
      <c r="AE81">
        <f>IF('Recurring Schedule'!$C$35="","",IF('Recurring Schedule'!$F$35="","",IF(OR($A81&lt;'Recurring Schedule'!$F$35,$A81&gt;'Recurring Schedule'!$P$35),"",IF(IF('Recurring Schedule'!$N$35&gt;0,MOD($A81-'Recurring Schedule'!$F$35,'Recurring Schedule'!$N$35)=0,IF('Recurring Schedule'!$O$35&gt;0,AND(DAY($A81)=MIN(DAY('Recurring Schedule'!$F$35),DAY(EOMONTH($A81,0))),MOD((YEAR($A81)-YEAR('Recurring Schedule'!$F$35))*12+MONTH($A81)-MONTH('Recurring Schedule'!$F$35),'Recurring Schedule'!$O$35)=0),IF('Recurring Schedule'!$E$35="Weekdays",WEEKDAY($A81,2)&lt;=5,$A81='Recurring Schedule'!$F$35))),30,""))))</f>
        <v/>
      </c>
      <c r="AF81">
        <f>IF('Recurring Schedule'!$C$36="","",IF('Recurring Schedule'!$F$36="","",IF(OR($A81&lt;'Recurring Schedule'!$F$36,$A81&gt;'Recurring Schedule'!$P$36),"",IF(IF('Recurring Schedule'!$N$36&gt;0,MOD($A81-'Recurring Schedule'!$F$36,'Recurring Schedule'!$N$36)=0,IF('Recurring Schedule'!$O$36&gt;0,AND(DAY($A81)=MIN(DAY('Recurring Schedule'!$F$36),DAY(EOMONTH($A81,0))),MOD((YEAR($A81)-YEAR('Recurring Schedule'!$F$36))*12+MONTH($A81)-MONTH('Recurring Schedule'!$F$36),'Recurring Schedule'!$O$36)=0),IF('Recurring Schedule'!$E$36="Weekdays",WEEKDAY($A81,2)&lt;=5,$A81='Recurring Schedule'!$F$36))),31,""))))</f>
        <v/>
      </c>
      <c r="AG81">
        <f>IF('Recurring Schedule'!$C$37="","",IF('Recurring Schedule'!$F$37="","",IF(OR($A81&lt;'Recurring Schedule'!$F$37,$A81&gt;'Recurring Schedule'!$P$37),"",IF(IF('Recurring Schedule'!$N$37&gt;0,MOD($A81-'Recurring Schedule'!$F$37,'Recurring Schedule'!$N$37)=0,IF('Recurring Schedule'!$O$37&gt;0,AND(DAY($A81)=MIN(DAY('Recurring Schedule'!$F$37),DAY(EOMONTH($A81,0))),MOD((YEAR($A81)-YEAR('Recurring Schedule'!$F$37))*12+MONTH($A81)-MONTH('Recurring Schedule'!$F$37),'Recurring Schedule'!$O$37)=0),IF('Recurring Schedule'!$E$37="Weekdays",WEEKDAY($A81,2)&lt;=5,$A81='Recurring Schedule'!$F$37))),32,""))))</f>
        <v/>
      </c>
      <c r="AH81">
        <f>IF('Recurring Schedule'!$C$38="","",IF('Recurring Schedule'!$F$38="","",IF(OR($A81&lt;'Recurring Schedule'!$F$38,$A81&gt;'Recurring Schedule'!$P$38),"",IF(IF('Recurring Schedule'!$N$38&gt;0,MOD($A81-'Recurring Schedule'!$F$38,'Recurring Schedule'!$N$38)=0,IF('Recurring Schedule'!$O$38&gt;0,AND(DAY($A81)=MIN(DAY('Recurring Schedule'!$F$38),DAY(EOMONTH($A81,0))),MOD((YEAR($A81)-YEAR('Recurring Schedule'!$F$38))*12+MONTH($A81)-MONTH('Recurring Schedule'!$F$38),'Recurring Schedule'!$O$38)=0),IF('Recurring Schedule'!$E$38="Weekdays",WEEKDAY($A81,2)&lt;=5,$A81='Recurring Schedule'!$F$38))),33,""))))</f>
        <v/>
      </c>
      <c r="AI81">
        <f>IF('Recurring Schedule'!$C$39="","",IF('Recurring Schedule'!$F$39="","",IF(OR($A81&lt;'Recurring Schedule'!$F$39,$A81&gt;'Recurring Schedule'!$P$39),"",IF(IF('Recurring Schedule'!$N$39&gt;0,MOD($A81-'Recurring Schedule'!$F$39,'Recurring Schedule'!$N$39)=0,IF('Recurring Schedule'!$O$39&gt;0,AND(DAY($A81)=MIN(DAY('Recurring Schedule'!$F$39),DAY(EOMONTH($A81,0))),MOD((YEAR($A81)-YEAR('Recurring Schedule'!$F$39))*12+MONTH($A81)-MONTH('Recurring Schedule'!$F$39),'Recurring Schedule'!$O$39)=0),IF('Recurring Schedule'!$E$39="Weekdays",WEEKDAY($A81,2)&lt;=5,$A81='Recurring Schedule'!$F$39))),34,""))))</f>
        <v/>
      </c>
      <c r="AJ81">
        <f>IF('Recurring Schedule'!$C$40="","",IF('Recurring Schedule'!$F$40="","",IF(OR($A81&lt;'Recurring Schedule'!$F$40,$A81&gt;'Recurring Schedule'!$P$40),"",IF(IF('Recurring Schedule'!$N$40&gt;0,MOD($A81-'Recurring Schedule'!$F$40,'Recurring Schedule'!$N$40)=0,IF('Recurring Schedule'!$O$40&gt;0,AND(DAY($A81)=MIN(DAY('Recurring Schedule'!$F$40),DAY(EOMONTH($A81,0))),MOD((YEAR($A81)-YEAR('Recurring Schedule'!$F$40))*12+MONTH($A81)-MONTH('Recurring Schedule'!$F$40),'Recurring Schedule'!$O$40)=0),IF('Recurring Schedule'!$E$40="Weekdays",WEEKDAY($A81,2)&lt;=5,$A81='Recurring Schedule'!$F$40))),35,""))))</f>
        <v/>
      </c>
      <c r="AK81">
        <f>IF('Recurring Schedule'!$C$41="","",IF('Recurring Schedule'!$F$41="","",IF(OR($A81&lt;'Recurring Schedule'!$F$41,$A81&gt;'Recurring Schedule'!$P$41),"",IF(IF('Recurring Schedule'!$N$41&gt;0,MOD($A81-'Recurring Schedule'!$F$41,'Recurring Schedule'!$N$41)=0,IF('Recurring Schedule'!$O$41&gt;0,AND(DAY($A81)=MIN(DAY('Recurring Schedule'!$F$41),DAY(EOMONTH($A81,0))),MOD((YEAR($A81)-YEAR('Recurring Schedule'!$F$41))*12+MONTH($A81)-MONTH('Recurring Schedule'!$F$41),'Recurring Schedule'!$O$41)=0),IF('Recurring Schedule'!$E$41="Weekdays",WEEKDAY($A81,2)&lt;=5,$A81='Recurring Schedule'!$F$41))),36,""))))</f>
        <v/>
      </c>
      <c r="AL81">
        <f>IF('Recurring Schedule'!$C$42="","",IF('Recurring Schedule'!$F$42="","",IF(OR($A81&lt;'Recurring Schedule'!$F$42,$A81&gt;'Recurring Schedule'!$P$42),"",IF(IF('Recurring Schedule'!$N$42&gt;0,MOD($A81-'Recurring Schedule'!$F$42,'Recurring Schedule'!$N$42)=0,IF('Recurring Schedule'!$O$42&gt;0,AND(DAY($A81)=MIN(DAY('Recurring Schedule'!$F$42),DAY(EOMONTH($A81,0))),MOD((YEAR($A81)-YEAR('Recurring Schedule'!$F$42))*12+MONTH($A81)-MONTH('Recurring Schedule'!$F$42),'Recurring Schedule'!$O$42)=0),IF('Recurring Schedule'!$E$42="Weekdays",WEEKDAY($A81,2)&lt;=5,$A81='Recurring Schedule'!$F$42))),37,""))))</f>
        <v/>
      </c>
      <c r="AM81">
        <f>IF('Recurring Schedule'!$C$43="","",IF('Recurring Schedule'!$F$43="","",IF(OR($A81&lt;'Recurring Schedule'!$F$43,$A81&gt;'Recurring Schedule'!$P$43),"",IF(IF('Recurring Schedule'!$N$43&gt;0,MOD($A81-'Recurring Schedule'!$F$43,'Recurring Schedule'!$N$43)=0,IF('Recurring Schedule'!$O$43&gt;0,AND(DAY($A81)=MIN(DAY('Recurring Schedule'!$F$43),DAY(EOMONTH($A81,0))),MOD((YEAR($A81)-YEAR('Recurring Schedule'!$F$43))*12+MONTH($A81)-MONTH('Recurring Schedule'!$F$43),'Recurring Schedule'!$O$43)=0),IF('Recurring Schedule'!$E$43="Weekdays",WEEKDAY($A81,2)&lt;=5,$A81='Recurring Schedule'!$F$43))),38,""))))</f>
        <v/>
      </c>
      <c r="AN81">
        <f>IF('Recurring Schedule'!$C$44="","",IF('Recurring Schedule'!$F$44="","",IF(OR($A81&lt;'Recurring Schedule'!$F$44,$A81&gt;'Recurring Schedule'!$P$44),"",IF(IF('Recurring Schedule'!$N$44&gt;0,MOD($A81-'Recurring Schedule'!$F$44,'Recurring Schedule'!$N$44)=0,IF('Recurring Schedule'!$O$44&gt;0,AND(DAY($A81)=MIN(DAY('Recurring Schedule'!$F$44),DAY(EOMONTH($A81,0))),MOD((YEAR($A81)-YEAR('Recurring Schedule'!$F$44))*12+MONTH($A81)-MONTH('Recurring Schedule'!$F$44),'Recurring Schedule'!$O$44)=0),IF('Recurring Schedule'!$E$44="Weekdays",WEEKDAY($A81,2)&lt;=5,$A81='Recurring Schedule'!$F$44))),39,""))))</f>
        <v/>
      </c>
      <c r="AO81">
        <f>IF('Recurring Schedule'!$C$45="","",IF('Recurring Schedule'!$F$45="","",IF(OR($A81&lt;'Recurring Schedule'!$F$45,$A81&gt;'Recurring Schedule'!$P$45),"",IF(IF('Recurring Schedule'!$N$45&gt;0,MOD($A81-'Recurring Schedule'!$F$45,'Recurring Schedule'!$N$45)=0,IF('Recurring Schedule'!$O$45&gt;0,AND(DAY($A81)=MIN(DAY('Recurring Schedule'!$F$45),DAY(EOMONTH($A81,0))),MOD((YEAR($A81)-YEAR('Recurring Schedule'!$F$45))*12+MONTH($A81)-MONTH('Recurring Schedule'!$F$45),'Recurring Schedule'!$O$45)=0),IF('Recurring Schedule'!$E$45="Weekdays",WEEKDAY($A81,2)&lt;=5,$A81='Recurring Schedule'!$F$45))),40,""))))</f>
        <v/>
      </c>
      <c r="AP81">
        <f>COUNT(B81:AO81)</f>
        <v/>
      </c>
      <c r="AQ81">
        <f>AQ80+AP80</f>
        <v/>
      </c>
      <c r="AS81" t="inlineStr">
        <is>
          <t>R</t>
        </is>
      </c>
      <c r="AT81" t="n">
        <v>85</v>
      </c>
      <c r="AU81">
        <f>'Recurring Log'!C85&amp;""</f>
        <v/>
      </c>
      <c r="AV81">
        <f>'Recurring Log'!D85&amp;""</f>
        <v/>
      </c>
      <c r="AW81">
        <f>IF('Recurring Log'!E85="","",'Recurring Log'!E85)</f>
        <v/>
      </c>
      <c r="AX81">
        <f>IF('Recurring Log'!G85="","",'Recurring Log'!G85)</f>
        <v/>
      </c>
      <c r="AY81">
        <f>IF('Recurring Log'!H85="","",'Recurring Log'!H85)</f>
        <v/>
      </c>
      <c r="AZ81">
        <f>IF(AU81="","",IF('Recurring Log'!J85="","Not Started",'Recurring Log'!J85))</f>
        <v/>
      </c>
      <c r="BA81">
        <f>'Recurring Log'!L85&amp;""</f>
        <v/>
      </c>
      <c r="BB81">
        <f>'Recurring Log'!M85&amp;""</f>
        <v/>
      </c>
      <c r="BC81">
        <f>'Recurring Log'!N85&amp;""</f>
        <v/>
      </c>
      <c r="BD81">
        <f>'Recurring Log'!O85&amp;""</f>
        <v/>
      </c>
      <c r="BE81">
        <f>IF('Recurring Log'!K85="","",'Recurring Log'!K85)</f>
        <v/>
      </c>
      <c r="BF81">
        <f>IFERROR(MATCH(BA81,Setup!$L$6:$L$9,0),5)</f>
        <v/>
      </c>
      <c r="BG81">
        <f>IF(OR(AZ81="Done",AZ81="Cancelled"),1,0)</f>
        <v/>
      </c>
      <c r="BH81">
        <f>IF(AND(AU81&lt;&gt;"",ISNUMBER(AW81)),1,0)</f>
        <v/>
      </c>
      <c r="BI81">
        <f>IF(BH81=0,0,IF(AND(AW81&gt;='Tasks Filter'!$F$3,AW81&lt;='Tasks Filter'!$F$4,OR('Tasks Filter'!$I$3="",ISNUMBER(SEARCH('Tasks Filter'!$I$3,AU81))),OR('Tasks Filter'!$I$4="",BF81=IFERROR(MATCH('Tasks Filter'!$I$4,Setup!$L$6:$L$9,0),0)),OR('Tasks Filter'!$I$5="Both",AND('Tasks Filter'!$I$5="Yes",BB81="✓"),AND('Tasks Filter'!$I$5="No",BB81&lt;&gt;"✓")),OR('Tasks Filter'!$L$3="",AV81='Tasks Filter'!$L$3),OR('Tasks Filter'!$L$4="",AZ81='Tasks Filter'!$L$4),OR('Tasks Filter'!$L$5="",BC81='Tasks Filter'!$L$5),OR('Tasks Filter'!$O$3="",BD81='Tasks Filter'!$O$3),OR('Tasks Filter'!$O$4="Yes",BG81=0)),1,0))</f>
        <v/>
      </c>
      <c r="BJ81">
        <f>IF(BH81=0,"",IF('Tasks Filter'!$F$6="Descending",-1,1)*CHOOSE(MATCH('Tasks Filter'!$F$5,Lists!$G$2:$G$6,0),AW81,BF81,IFERROR(MATCH(AV81,Setup!$F$6:$F$15,0),99),IFERROR(MATCH(BC81,Setup!$H$6:$H$15,0),99),IFERROR(MATCH(AZ81,Setup!$J$6:$J$11,0),99))*1E+9+(AW81-40000)*10000+80)</f>
        <v/>
      </c>
      <c r="BK81">
        <f>IF(BI81=1,BJ81,"")</f>
        <v/>
      </c>
      <c r="BL81">
        <f>IF(AND(BH81=1,BG81=0,N(AW81)&lt;Setup!$D$7),(AW81-40000)*10000+80,"")</f>
        <v/>
      </c>
      <c r="BM81">
        <f>IF(AND(BH81=1,AZ81&lt;&gt;"Cancelled",N(AW81)&gt;=Dashboard!$AB$3,N(AW81)&lt;=Dashboard!$AB$3+6),(AW81-40000)*100000+BF81*10000+80,"")</f>
        <v/>
      </c>
      <c r="BN81">
        <f>IF(AND(BH81=1,AZ81&lt;&gt;"Cancelled"),BF81*10000+80,"")</f>
        <v/>
      </c>
    </row>
    <row r="82">
      <c r="A82">
        <f>Setup!$D$5+80</f>
        <v/>
      </c>
      <c r="B82">
        <f>IF('Recurring Schedule'!$C$6="","",IF('Recurring Schedule'!$F$6="","",IF(OR($A82&lt;'Recurring Schedule'!$F$6,$A82&gt;'Recurring Schedule'!$P$6),"",IF(IF('Recurring Schedule'!$N$6&gt;0,MOD($A82-'Recurring Schedule'!$F$6,'Recurring Schedule'!$N$6)=0,IF('Recurring Schedule'!$O$6&gt;0,AND(DAY($A82)=MIN(DAY('Recurring Schedule'!$F$6),DAY(EOMONTH($A82,0))),MOD((YEAR($A82)-YEAR('Recurring Schedule'!$F$6))*12+MONTH($A82)-MONTH('Recurring Schedule'!$F$6),'Recurring Schedule'!$O$6)=0),IF('Recurring Schedule'!$E$6="Weekdays",WEEKDAY($A82,2)&lt;=5,$A82='Recurring Schedule'!$F$6))),1,""))))</f>
        <v/>
      </c>
      <c r="C82">
        <f>IF('Recurring Schedule'!$C$7="","",IF('Recurring Schedule'!$F$7="","",IF(OR($A82&lt;'Recurring Schedule'!$F$7,$A82&gt;'Recurring Schedule'!$P$7),"",IF(IF('Recurring Schedule'!$N$7&gt;0,MOD($A82-'Recurring Schedule'!$F$7,'Recurring Schedule'!$N$7)=0,IF('Recurring Schedule'!$O$7&gt;0,AND(DAY($A82)=MIN(DAY('Recurring Schedule'!$F$7),DAY(EOMONTH($A82,0))),MOD((YEAR($A82)-YEAR('Recurring Schedule'!$F$7))*12+MONTH($A82)-MONTH('Recurring Schedule'!$F$7),'Recurring Schedule'!$O$7)=0),IF('Recurring Schedule'!$E$7="Weekdays",WEEKDAY($A82,2)&lt;=5,$A82='Recurring Schedule'!$F$7))),2,""))))</f>
        <v/>
      </c>
      <c r="D82">
        <f>IF('Recurring Schedule'!$C$8="","",IF('Recurring Schedule'!$F$8="","",IF(OR($A82&lt;'Recurring Schedule'!$F$8,$A82&gt;'Recurring Schedule'!$P$8),"",IF(IF('Recurring Schedule'!$N$8&gt;0,MOD($A82-'Recurring Schedule'!$F$8,'Recurring Schedule'!$N$8)=0,IF('Recurring Schedule'!$O$8&gt;0,AND(DAY($A82)=MIN(DAY('Recurring Schedule'!$F$8),DAY(EOMONTH($A82,0))),MOD((YEAR($A82)-YEAR('Recurring Schedule'!$F$8))*12+MONTH($A82)-MONTH('Recurring Schedule'!$F$8),'Recurring Schedule'!$O$8)=0),IF('Recurring Schedule'!$E$8="Weekdays",WEEKDAY($A82,2)&lt;=5,$A82='Recurring Schedule'!$F$8))),3,""))))</f>
        <v/>
      </c>
      <c r="E82">
        <f>IF('Recurring Schedule'!$C$9="","",IF('Recurring Schedule'!$F$9="","",IF(OR($A82&lt;'Recurring Schedule'!$F$9,$A82&gt;'Recurring Schedule'!$P$9),"",IF(IF('Recurring Schedule'!$N$9&gt;0,MOD($A82-'Recurring Schedule'!$F$9,'Recurring Schedule'!$N$9)=0,IF('Recurring Schedule'!$O$9&gt;0,AND(DAY($A82)=MIN(DAY('Recurring Schedule'!$F$9),DAY(EOMONTH($A82,0))),MOD((YEAR($A82)-YEAR('Recurring Schedule'!$F$9))*12+MONTH($A82)-MONTH('Recurring Schedule'!$F$9),'Recurring Schedule'!$O$9)=0),IF('Recurring Schedule'!$E$9="Weekdays",WEEKDAY($A82,2)&lt;=5,$A82='Recurring Schedule'!$F$9))),4,""))))</f>
        <v/>
      </c>
      <c r="F82">
        <f>IF('Recurring Schedule'!$C$10="","",IF('Recurring Schedule'!$F$10="","",IF(OR($A82&lt;'Recurring Schedule'!$F$10,$A82&gt;'Recurring Schedule'!$P$10),"",IF(IF('Recurring Schedule'!$N$10&gt;0,MOD($A82-'Recurring Schedule'!$F$10,'Recurring Schedule'!$N$10)=0,IF('Recurring Schedule'!$O$10&gt;0,AND(DAY($A82)=MIN(DAY('Recurring Schedule'!$F$10),DAY(EOMONTH($A82,0))),MOD((YEAR($A82)-YEAR('Recurring Schedule'!$F$10))*12+MONTH($A82)-MONTH('Recurring Schedule'!$F$10),'Recurring Schedule'!$O$10)=0),IF('Recurring Schedule'!$E$10="Weekdays",WEEKDAY($A82,2)&lt;=5,$A82='Recurring Schedule'!$F$10))),5,""))))</f>
        <v/>
      </c>
      <c r="G82">
        <f>IF('Recurring Schedule'!$C$11="","",IF('Recurring Schedule'!$F$11="","",IF(OR($A82&lt;'Recurring Schedule'!$F$11,$A82&gt;'Recurring Schedule'!$P$11),"",IF(IF('Recurring Schedule'!$N$11&gt;0,MOD($A82-'Recurring Schedule'!$F$11,'Recurring Schedule'!$N$11)=0,IF('Recurring Schedule'!$O$11&gt;0,AND(DAY($A82)=MIN(DAY('Recurring Schedule'!$F$11),DAY(EOMONTH($A82,0))),MOD((YEAR($A82)-YEAR('Recurring Schedule'!$F$11))*12+MONTH($A82)-MONTH('Recurring Schedule'!$F$11),'Recurring Schedule'!$O$11)=0),IF('Recurring Schedule'!$E$11="Weekdays",WEEKDAY($A82,2)&lt;=5,$A82='Recurring Schedule'!$F$11))),6,""))))</f>
        <v/>
      </c>
      <c r="H82">
        <f>IF('Recurring Schedule'!$C$12="","",IF('Recurring Schedule'!$F$12="","",IF(OR($A82&lt;'Recurring Schedule'!$F$12,$A82&gt;'Recurring Schedule'!$P$12),"",IF(IF('Recurring Schedule'!$N$12&gt;0,MOD($A82-'Recurring Schedule'!$F$12,'Recurring Schedule'!$N$12)=0,IF('Recurring Schedule'!$O$12&gt;0,AND(DAY($A82)=MIN(DAY('Recurring Schedule'!$F$12),DAY(EOMONTH($A82,0))),MOD((YEAR($A82)-YEAR('Recurring Schedule'!$F$12))*12+MONTH($A82)-MONTH('Recurring Schedule'!$F$12),'Recurring Schedule'!$O$12)=0),IF('Recurring Schedule'!$E$12="Weekdays",WEEKDAY($A82,2)&lt;=5,$A82='Recurring Schedule'!$F$12))),7,""))))</f>
        <v/>
      </c>
      <c r="I82">
        <f>IF('Recurring Schedule'!$C$13="","",IF('Recurring Schedule'!$F$13="","",IF(OR($A82&lt;'Recurring Schedule'!$F$13,$A82&gt;'Recurring Schedule'!$P$13),"",IF(IF('Recurring Schedule'!$N$13&gt;0,MOD($A82-'Recurring Schedule'!$F$13,'Recurring Schedule'!$N$13)=0,IF('Recurring Schedule'!$O$13&gt;0,AND(DAY($A82)=MIN(DAY('Recurring Schedule'!$F$13),DAY(EOMONTH($A82,0))),MOD((YEAR($A82)-YEAR('Recurring Schedule'!$F$13))*12+MONTH($A82)-MONTH('Recurring Schedule'!$F$13),'Recurring Schedule'!$O$13)=0),IF('Recurring Schedule'!$E$13="Weekdays",WEEKDAY($A82,2)&lt;=5,$A82='Recurring Schedule'!$F$13))),8,""))))</f>
        <v/>
      </c>
      <c r="J82">
        <f>IF('Recurring Schedule'!$C$14="","",IF('Recurring Schedule'!$F$14="","",IF(OR($A82&lt;'Recurring Schedule'!$F$14,$A82&gt;'Recurring Schedule'!$P$14),"",IF(IF('Recurring Schedule'!$N$14&gt;0,MOD($A82-'Recurring Schedule'!$F$14,'Recurring Schedule'!$N$14)=0,IF('Recurring Schedule'!$O$14&gt;0,AND(DAY($A82)=MIN(DAY('Recurring Schedule'!$F$14),DAY(EOMONTH($A82,0))),MOD((YEAR($A82)-YEAR('Recurring Schedule'!$F$14))*12+MONTH($A82)-MONTH('Recurring Schedule'!$F$14),'Recurring Schedule'!$O$14)=0),IF('Recurring Schedule'!$E$14="Weekdays",WEEKDAY($A82,2)&lt;=5,$A82='Recurring Schedule'!$F$14))),9,""))))</f>
        <v/>
      </c>
      <c r="K82">
        <f>IF('Recurring Schedule'!$C$15="","",IF('Recurring Schedule'!$F$15="","",IF(OR($A82&lt;'Recurring Schedule'!$F$15,$A82&gt;'Recurring Schedule'!$P$15),"",IF(IF('Recurring Schedule'!$N$15&gt;0,MOD($A82-'Recurring Schedule'!$F$15,'Recurring Schedule'!$N$15)=0,IF('Recurring Schedule'!$O$15&gt;0,AND(DAY($A82)=MIN(DAY('Recurring Schedule'!$F$15),DAY(EOMONTH($A82,0))),MOD((YEAR($A82)-YEAR('Recurring Schedule'!$F$15))*12+MONTH($A82)-MONTH('Recurring Schedule'!$F$15),'Recurring Schedule'!$O$15)=0),IF('Recurring Schedule'!$E$15="Weekdays",WEEKDAY($A82,2)&lt;=5,$A82='Recurring Schedule'!$F$15))),10,""))))</f>
        <v/>
      </c>
      <c r="L82">
        <f>IF('Recurring Schedule'!$C$16="","",IF('Recurring Schedule'!$F$16="","",IF(OR($A82&lt;'Recurring Schedule'!$F$16,$A82&gt;'Recurring Schedule'!$P$16),"",IF(IF('Recurring Schedule'!$N$16&gt;0,MOD($A82-'Recurring Schedule'!$F$16,'Recurring Schedule'!$N$16)=0,IF('Recurring Schedule'!$O$16&gt;0,AND(DAY($A82)=MIN(DAY('Recurring Schedule'!$F$16),DAY(EOMONTH($A82,0))),MOD((YEAR($A82)-YEAR('Recurring Schedule'!$F$16))*12+MONTH($A82)-MONTH('Recurring Schedule'!$F$16),'Recurring Schedule'!$O$16)=0),IF('Recurring Schedule'!$E$16="Weekdays",WEEKDAY($A82,2)&lt;=5,$A82='Recurring Schedule'!$F$16))),11,""))))</f>
        <v/>
      </c>
      <c r="M82">
        <f>IF('Recurring Schedule'!$C$17="","",IF('Recurring Schedule'!$F$17="","",IF(OR($A82&lt;'Recurring Schedule'!$F$17,$A82&gt;'Recurring Schedule'!$P$17),"",IF(IF('Recurring Schedule'!$N$17&gt;0,MOD($A82-'Recurring Schedule'!$F$17,'Recurring Schedule'!$N$17)=0,IF('Recurring Schedule'!$O$17&gt;0,AND(DAY($A82)=MIN(DAY('Recurring Schedule'!$F$17),DAY(EOMONTH($A82,0))),MOD((YEAR($A82)-YEAR('Recurring Schedule'!$F$17))*12+MONTH($A82)-MONTH('Recurring Schedule'!$F$17),'Recurring Schedule'!$O$17)=0),IF('Recurring Schedule'!$E$17="Weekdays",WEEKDAY($A82,2)&lt;=5,$A82='Recurring Schedule'!$F$17))),12,""))))</f>
        <v/>
      </c>
      <c r="N82">
        <f>IF('Recurring Schedule'!$C$18="","",IF('Recurring Schedule'!$F$18="","",IF(OR($A82&lt;'Recurring Schedule'!$F$18,$A82&gt;'Recurring Schedule'!$P$18),"",IF(IF('Recurring Schedule'!$N$18&gt;0,MOD($A82-'Recurring Schedule'!$F$18,'Recurring Schedule'!$N$18)=0,IF('Recurring Schedule'!$O$18&gt;0,AND(DAY($A82)=MIN(DAY('Recurring Schedule'!$F$18),DAY(EOMONTH($A82,0))),MOD((YEAR($A82)-YEAR('Recurring Schedule'!$F$18))*12+MONTH($A82)-MONTH('Recurring Schedule'!$F$18),'Recurring Schedule'!$O$18)=0),IF('Recurring Schedule'!$E$18="Weekdays",WEEKDAY($A82,2)&lt;=5,$A82='Recurring Schedule'!$F$18))),13,""))))</f>
        <v/>
      </c>
      <c r="O82">
        <f>IF('Recurring Schedule'!$C$19="","",IF('Recurring Schedule'!$F$19="","",IF(OR($A82&lt;'Recurring Schedule'!$F$19,$A82&gt;'Recurring Schedule'!$P$19),"",IF(IF('Recurring Schedule'!$N$19&gt;0,MOD($A82-'Recurring Schedule'!$F$19,'Recurring Schedule'!$N$19)=0,IF('Recurring Schedule'!$O$19&gt;0,AND(DAY($A82)=MIN(DAY('Recurring Schedule'!$F$19),DAY(EOMONTH($A82,0))),MOD((YEAR($A82)-YEAR('Recurring Schedule'!$F$19))*12+MONTH($A82)-MONTH('Recurring Schedule'!$F$19),'Recurring Schedule'!$O$19)=0),IF('Recurring Schedule'!$E$19="Weekdays",WEEKDAY($A82,2)&lt;=5,$A82='Recurring Schedule'!$F$19))),14,""))))</f>
        <v/>
      </c>
      <c r="P82">
        <f>IF('Recurring Schedule'!$C$20="","",IF('Recurring Schedule'!$F$20="","",IF(OR($A82&lt;'Recurring Schedule'!$F$20,$A82&gt;'Recurring Schedule'!$P$20),"",IF(IF('Recurring Schedule'!$N$20&gt;0,MOD($A82-'Recurring Schedule'!$F$20,'Recurring Schedule'!$N$20)=0,IF('Recurring Schedule'!$O$20&gt;0,AND(DAY($A82)=MIN(DAY('Recurring Schedule'!$F$20),DAY(EOMONTH($A82,0))),MOD((YEAR($A82)-YEAR('Recurring Schedule'!$F$20))*12+MONTH($A82)-MONTH('Recurring Schedule'!$F$20),'Recurring Schedule'!$O$20)=0),IF('Recurring Schedule'!$E$20="Weekdays",WEEKDAY($A82,2)&lt;=5,$A82='Recurring Schedule'!$F$20))),15,""))))</f>
        <v/>
      </c>
      <c r="Q82">
        <f>IF('Recurring Schedule'!$C$21="","",IF('Recurring Schedule'!$F$21="","",IF(OR($A82&lt;'Recurring Schedule'!$F$21,$A82&gt;'Recurring Schedule'!$P$21),"",IF(IF('Recurring Schedule'!$N$21&gt;0,MOD($A82-'Recurring Schedule'!$F$21,'Recurring Schedule'!$N$21)=0,IF('Recurring Schedule'!$O$21&gt;0,AND(DAY($A82)=MIN(DAY('Recurring Schedule'!$F$21),DAY(EOMONTH($A82,0))),MOD((YEAR($A82)-YEAR('Recurring Schedule'!$F$21))*12+MONTH($A82)-MONTH('Recurring Schedule'!$F$21),'Recurring Schedule'!$O$21)=0),IF('Recurring Schedule'!$E$21="Weekdays",WEEKDAY($A82,2)&lt;=5,$A82='Recurring Schedule'!$F$21))),16,""))))</f>
        <v/>
      </c>
      <c r="R82">
        <f>IF('Recurring Schedule'!$C$22="","",IF('Recurring Schedule'!$F$22="","",IF(OR($A82&lt;'Recurring Schedule'!$F$22,$A82&gt;'Recurring Schedule'!$P$22),"",IF(IF('Recurring Schedule'!$N$22&gt;0,MOD($A82-'Recurring Schedule'!$F$22,'Recurring Schedule'!$N$22)=0,IF('Recurring Schedule'!$O$22&gt;0,AND(DAY($A82)=MIN(DAY('Recurring Schedule'!$F$22),DAY(EOMONTH($A82,0))),MOD((YEAR($A82)-YEAR('Recurring Schedule'!$F$22))*12+MONTH($A82)-MONTH('Recurring Schedule'!$F$22),'Recurring Schedule'!$O$22)=0),IF('Recurring Schedule'!$E$22="Weekdays",WEEKDAY($A82,2)&lt;=5,$A82='Recurring Schedule'!$F$22))),17,""))))</f>
        <v/>
      </c>
      <c r="S82">
        <f>IF('Recurring Schedule'!$C$23="","",IF('Recurring Schedule'!$F$23="","",IF(OR($A82&lt;'Recurring Schedule'!$F$23,$A82&gt;'Recurring Schedule'!$P$23),"",IF(IF('Recurring Schedule'!$N$23&gt;0,MOD($A82-'Recurring Schedule'!$F$23,'Recurring Schedule'!$N$23)=0,IF('Recurring Schedule'!$O$23&gt;0,AND(DAY($A82)=MIN(DAY('Recurring Schedule'!$F$23),DAY(EOMONTH($A82,0))),MOD((YEAR($A82)-YEAR('Recurring Schedule'!$F$23))*12+MONTH($A82)-MONTH('Recurring Schedule'!$F$23),'Recurring Schedule'!$O$23)=0),IF('Recurring Schedule'!$E$23="Weekdays",WEEKDAY($A82,2)&lt;=5,$A82='Recurring Schedule'!$F$23))),18,""))))</f>
        <v/>
      </c>
      <c r="T82">
        <f>IF('Recurring Schedule'!$C$24="","",IF('Recurring Schedule'!$F$24="","",IF(OR($A82&lt;'Recurring Schedule'!$F$24,$A82&gt;'Recurring Schedule'!$P$24),"",IF(IF('Recurring Schedule'!$N$24&gt;0,MOD($A82-'Recurring Schedule'!$F$24,'Recurring Schedule'!$N$24)=0,IF('Recurring Schedule'!$O$24&gt;0,AND(DAY($A82)=MIN(DAY('Recurring Schedule'!$F$24),DAY(EOMONTH($A82,0))),MOD((YEAR($A82)-YEAR('Recurring Schedule'!$F$24))*12+MONTH($A82)-MONTH('Recurring Schedule'!$F$24),'Recurring Schedule'!$O$24)=0),IF('Recurring Schedule'!$E$24="Weekdays",WEEKDAY($A82,2)&lt;=5,$A82='Recurring Schedule'!$F$24))),19,""))))</f>
        <v/>
      </c>
      <c r="U82">
        <f>IF('Recurring Schedule'!$C$25="","",IF('Recurring Schedule'!$F$25="","",IF(OR($A82&lt;'Recurring Schedule'!$F$25,$A82&gt;'Recurring Schedule'!$P$25),"",IF(IF('Recurring Schedule'!$N$25&gt;0,MOD($A82-'Recurring Schedule'!$F$25,'Recurring Schedule'!$N$25)=0,IF('Recurring Schedule'!$O$25&gt;0,AND(DAY($A82)=MIN(DAY('Recurring Schedule'!$F$25),DAY(EOMONTH($A82,0))),MOD((YEAR($A82)-YEAR('Recurring Schedule'!$F$25))*12+MONTH($A82)-MONTH('Recurring Schedule'!$F$25),'Recurring Schedule'!$O$25)=0),IF('Recurring Schedule'!$E$25="Weekdays",WEEKDAY($A82,2)&lt;=5,$A82='Recurring Schedule'!$F$25))),20,""))))</f>
        <v/>
      </c>
      <c r="V82">
        <f>IF('Recurring Schedule'!$C$26="","",IF('Recurring Schedule'!$F$26="","",IF(OR($A82&lt;'Recurring Schedule'!$F$26,$A82&gt;'Recurring Schedule'!$P$26),"",IF(IF('Recurring Schedule'!$N$26&gt;0,MOD($A82-'Recurring Schedule'!$F$26,'Recurring Schedule'!$N$26)=0,IF('Recurring Schedule'!$O$26&gt;0,AND(DAY($A82)=MIN(DAY('Recurring Schedule'!$F$26),DAY(EOMONTH($A82,0))),MOD((YEAR($A82)-YEAR('Recurring Schedule'!$F$26))*12+MONTH($A82)-MONTH('Recurring Schedule'!$F$26),'Recurring Schedule'!$O$26)=0),IF('Recurring Schedule'!$E$26="Weekdays",WEEKDAY($A82,2)&lt;=5,$A82='Recurring Schedule'!$F$26))),21,""))))</f>
        <v/>
      </c>
      <c r="W82">
        <f>IF('Recurring Schedule'!$C$27="","",IF('Recurring Schedule'!$F$27="","",IF(OR($A82&lt;'Recurring Schedule'!$F$27,$A82&gt;'Recurring Schedule'!$P$27),"",IF(IF('Recurring Schedule'!$N$27&gt;0,MOD($A82-'Recurring Schedule'!$F$27,'Recurring Schedule'!$N$27)=0,IF('Recurring Schedule'!$O$27&gt;0,AND(DAY($A82)=MIN(DAY('Recurring Schedule'!$F$27),DAY(EOMONTH($A82,0))),MOD((YEAR($A82)-YEAR('Recurring Schedule'!$F$27))*12+MONTH($A82)-MONTH('Recurring Schedule'!$F$27),'Recurring Schedule'!$O$27)=0),IF('Recurring Schedule'!$E$27="Weekdays",WEEKDAY($A82,2)&lt;=5,$A82='Recurring Schedule'!$F$27))),22,""))))</f>
        <v/>
      </c>
      <c r="X82">
        <f>IF('Recurring Schedule'!$C$28="","",IF('Recurring Schedule'!$F$28="","",IF(OR($A82&lt;'Recurring Schedule'!$F$28,$A82&gt;'Recurring Schedule'!$P$28),"",IF(IF('Recurring Schedule'!$N$28&gt;0,MOD($A82-'Recurring Schedule'!$F$28,'Recurring Schedule'!$N$28)=0,IF('Recurring Schedule'!$O$28&gt;0,AND(DAY($A82)=MIN(DAY('Recurring Schedule'!$F$28),DAY(EOMONTH($A82,0))),MOD((YEAR($A82)-YEAR('Recurring Schedule'!$F$28))*12+MONTH($A82)-MONTH('Recurring Schedule'!$F$28),'Recurring Schedule'!$O$28)=0),IF('Recurring Schedule'!$E$28="Weekdays",WEEKDAY($A82,2)&lt;=5,$A82='Recurring Schedule'!$F$28))),23,""))))</f>
        <v/>
      </c>
      <c r="Y82">
        <f>IF('Recurring Schedule'!$C$29="","",IF('Recurring Schedule'!$F$29="","",IF(OR($A82&lt;'Recurring Schedule'!$F$29,$A82&gt;'Recurring Schedule'!$P$29),"",IF(IF('Recurring Schedule'!$N$29&gt;0,MOD($A82-'Recurring Schedule'!$F$29,'Recurring Schedule'!$N$29)=0,IF('Recurring Schedule'!$O$29&gt;0,AND(DAY($A82)=MIN(DAY('Recurring Schedule'!$F$29),DAY(EOMONTH($A82,0))),MOD((YEAR($A82)-YEAR('Recurring Schedule'!$F$29))*12+MONTH($A82)-MONTH('Recurring Schedule'!$F$29),'Recurring Schedule'!$O$29)=0),IF('Recurring Schedule'!$E$29="Weekdays",WEEKDAY($A82,2)&lt;=5,$A82='Recurring Schedule'!$F$29))),24,""))))</f>
        <v/>
      </c>
      <c r="Z82">
        <f>IF('Recurring Schedule'!$C$30="","",IF('Recurring Schedule'!$F$30="","",IF(OR($A82&lt;'Recurring Schedule'!$F$30,$A82&gt;'Recurring Schedule'!$P$30),"",IF(IF('Recurring Schedule'!$N$30&gt;0,MOD($A82-'Recurring Schedule'!$F$30,'Recurring Schedule'!$N$30)=0,IF('Recurring Schedule'!$O$30&gt;0,AND(DAY($A82)=MIN(DAY('Recurring Schedule'!$F$30),DAY(EOMONTH($A82,0))),MOD((YEAR($A82)-YEAR('Recurring Schedule'!$F$30))*12+MONTH($A82)-MONTH('Recurring Schedule'!$F$30),'Recurring Schedule'!$O$30)=0),IF('Recurring Schedule'!$E$30="Weekdays",WEEKDAY($A82,2)&lt;=5,$A82='Recurring Schedule'!$F$30))),25,""))))</f>
        <v/>
      </c>
      <c r="AA82">
        <f>IF('Recurring Schedule'!$C$31="","",IF('Recurring Schedule'!$F$31="","",IF(OR($A82&lt;'Recurring Schedule'!$F$31,$A82&gt;'Recurring Schedule'!$P$31),"",IF(IF('Recurring Schedule'!$N$31&gt;0,MOD($A82-'Recurring Schedule'!$F$31,'Recurring Schedule'!$N$31)=0,IF('Recurring Schedule'!$O$31&gt;0,AND(DAY($A82)=MIN(DAY('Recurring Schedule'!$F$31),DAY(EOMONTH($A82,0))),MOD((YEAR($A82)-YEAR('Recurring Schedule'!$F$31))*12+MONTH($A82)-MONTH('Recurring Schedule'!$F$31),'Recurring Schedule'!$O$31)=0),IF('Recurring Schedule'!$E$31="Weekdays",WEEKDAY($A82,2)&lt;=5,$A82='Recurring Schedule'!$F$31))),26,""))))</f>
        <v/>
      </c>
      <c r="AB82">
        <f>IF('Recurring Schedule'!$C$32="","",IF('Recurring Schedule'!$F$32="","",IF(OR($A82&lt;'Recurring Schedule'!$F$32,$A82&gt;'Recurring Schedule'!$P$32),"",IF(IF('Recurring Schedule'!$N$32&gt;0,MOD($A82-'Recurring Schedule'!$F$32,'Recurring Schedule'!$N$32)=0,IF('Recurring Schedule'!$O$32&gt;0,AND(DAY($A82)=MIN(DAY('Recurring Schedule'!$F$32),DAY(EOMONTH($A82,0))),MOD((YEAR($A82)-YEAR('Recurring Schedule'!$F$32))*12+MONTH($A82)-MONTH('Recurring Schedule'!$F$32),'Recurring Schedule'!$O$32)=0),IF('Recurring Schedule'!$E$32="Weekdays",WEEKDAY($A82,2)&lt;=5,$A82='Recurring Schedule'!$F$32))),27,""))))</f>
        <v/>
      </c>
      <c r="AC82">
        <f>IF('Recurring Schedule'!$C$33="","",IF('Recurring Schedule'!$F$33="","",IF(OR($A82&lt;'Recurring Schedule'!$F$33,$A82&gt;'Recurring Schedule'!$P$33),"",IF(IF('Recurring Schedule'!$N$33&gt;0,MOD($A82-'Recurring Schedule'!$F$33,'Recurring Schedule'!$N$33)=0,IF('Recurring Schedule'!$O$33&gt;0,AND(DAY($A82)=MIN(DAY('Recurring Schedule'!$F$33),DAY(EOMONTH($A82,0))),MOD((YEAR($A82)-YEAR('Recurring Schedule'!$F$33))*12+MONTH($A82)-MONTH('Recurring Schedule'!$F$33),'Recurring Schedule'!$O$33)=0),IF('Recurring Schedule'!$E$33="Weekdays",WEEKDAY($A82,2)&lt;=5,$A82='Recurring Schedule'!$F$33))),28,""))))</f>
        <v/>
      </c>
      <c r="AD82">
        <f>IF('Recurring Schedule'!$C$34="","",IF('Recurring Schedule'!$F$34="","",IF(OR($A82&lt;'Recurring Schedule'!$F$34,$A82&gt;'Recurring Schedule'!$P$34),"",IF(IF('Recurring Schedule'!$N$34&gt;0,MOD($A82-'Recurring Schedule'!$F$34,'Recurring Schedule'!$N$34)=0,IF('Recurring Schedule'!$O$34&gt;0,AND(DAY($A82)=MIN(DAY('Recurring Schedule'!$F$34),DAY(EOMONTH($A82,0))),MOD((YEAR($A82)-YEAR('Recurring Schedule'!$F$34))*12+MONTH($A82)-MONTH('Recurring Schedule'!$F$34),'Recurring Schedule'!$O$34)=0),IF('Recurring Schedule'!$E$34="Weekdays",WEEKDAY($A82,2)&lt;=5,$A82='Recurring Schedule'!$F$34))),29,""))))</f>
        <v/>
      </c>
      <c r="AE82">
        <f>IF('Recurring Schedule'!$C$35="","",IF('Recurring Schedule'!$F$35="","",IF(OR($A82&lt;'Recurring Schedule'!$F$35,$A82&gt;'Recurring Schedule'!$P$35),"",IF(IF('Recurring Schedule'!$N$35&gt;0,MOD($A82-'Recurring Schedule'!$F$35,'Recurring Schedule'!$N$35)=0,IF('Recurring Schedule'!$O$35&gt;0,AND(DAY($A82)=MIN(DAY('Recurring Schedule'!$F$35),DAY(EOMONTH($A82,0))),MOD((YEAR($A82)-YEAR('Recurring Schedule'!$F$35))*12+MONTH($A82)-MONTH('Recurring Schedule'!$F$35),'Recurring Schedule'!$O$35)=0),IF('Recurring Schedule'!$E$35="Weekdays",WEEKDAY($A82,2)&lt;=5,$A82='Recurring Schedule'!$F$35))),30,""))))</f>
        <v/>
      </c>
      <c r="AF82">
        <f>IF('Recurring Schedule'!$C$36="","",IF('Recurring Schedule'!$F$36="","",IF(OR($A82&lt;'Recurring Schedule'!$F$36,$A82&gt;'Recurring Schedule'!$P$36),"",IF(IF('Recurring Schedule'!$N$36&gt;0,MOD($A82-'Recurring Schedule'!$F$36,'Recurring Schedule'!$N$36)=0,IF('Recurring Schedule'!$O$36&gt;0,AND(DAY($A82)=MIN(DAY('Recurring Schedule'!$F$36),DAY(EOMONTH($A82,0))),MOD((YEAR($A82)-YEAR('Recurring Schedule'!$F$36))*12+MONTH($A82)-MONTH('Recurring Schedule'!$F$36),'Recurring Schedule'!$O$36)=0),IF('Recurring Schedule'!$E$36="Weekdays",WEEKDAY($A82,2)&lt;=5,$A82='Recurring Schedule'!$F$36))),31,""))))</f>
        <v/>
      </c>
      <c r="AG82">
        <f>IF('Recurring Schedule'!$C$37="","",IF('Recurring Schedule'!$F$37="","",IF(OR($A82&lt;'Recurring Schedule'!$F$37,$A82&gt;'Recurring Schedule'!$P$37),"",IF(IF('Recurring Schedule'!$N$37&gt;0,MOD($A82-'Recurring Schedule'!$F$37,'Recurring Schedule'!$N$37)=0,IF('Recurring Schedule'!$O$37&gt;0,AND(DAY($A82)=MIN(DAY('Recurring Schedule'!$F$37),DAY(EOMONTH($A82,0))),MOD((YEAR($A82)-YEAR('Recurring Schedule'!$F$37))*12+MONTH($A82)-MONTH('Recurring Schedule'!$F$37),'Recurring Schedule'!$O$37)=0),IF('Recurring Schedule'!$E$37="Weekdays",WEEKDAY($A82,2)&lt;=5,$A82='Recurring Schedule'!$F$37))),32,""))))</f>
        <v/>
      </c>
      <c r="AH82">
        <f>IF('Recurring Schedule'!$C$38="","",IF('Recurring Schedule'!$F$38="","",IF(OR($A82&lt;'Recurring Schedule'!$F$38,$A82&gt;'Recurring Schedule'!$P$38),"",IF(IF('Recurring Schedule'!$N$38&gt;0,MOD($A82-'Recurring Schedule'!$F$38,'Recurring Schedule'!$N$38)=0,IF('Recurring Schedule'!$O$38&gt;0,AND(DAY($A82)=MIN(DAY('Recurring Schedule'!$F$38),DAY(EOMONTH($A82,0))),MOD((YEAR($A82)-YEAR('Recurring Schedule'!$F$38))*12+MONTH($A82)-MONTH('Recurring Schedule'!$F$38),'Recurring Schedule'!$O$38)=0),IF('Recurring Schedule'!$E$38="Weekdays",WEEKDAY($A82,2)&lt;=5,$A82='Recurring Schedule'!$F$38))),33,""))))</f>
        <v/>
      </c>
      <c r="AI82">
        <f>IF('Recurring Schedule'!$C$39="","",IF('Recurring Schedule'!$F$39="","",IF(OR($A82&lt;'Recurring Schedule'!$F$39,$A82&gt;'Recurring Schedule'!$P$39),"",IF(IF('Recurring Schedule'!$N$39&gt;0,MOD($A82-'Recurring Schedule'!$F$39,'Recurring Schedule'!$N$39)=0,IF('Recurring Schedule'!$O$39&gt;0,AND(DAY($A82)=MIN(DAY('Recurring Schedule'!$F$39),DAY(EOMONTH($A82,0))),MOD((YEAR($A82)-YEAR('Recurring Schedule'!$F$39))*12+MONTH($A82)-MONTH('Recurring Schedule'!$F$39),'Recurring Schedule'!$O$39)=0),IF('Recurring Schedule'!$E$39="Weekdays",WEEKDAY($A82,2)&lt;=5,$A82='Recurring Schedule'!$F$39))),34,""))))</f>
        <v/>
      </c>
      <c r="AJ82">
        <f>IF('Recurring Schedule'!$C$40="","",IF('Recurring Schedule'!$F$40="","",IF(OR($A82&lt;'Recurring Schedule'!$F$40,$A82&gt;'Recurring Schedule'!$P$40),"",IF(IF('Recurring Schedule'!$N$40&gt;0,MOD($A82-'Recurring Schedule'!$F$40,'Recurring Schedule'!$N$40)=0,IF('Recurring Schedule'!$O$40&gt;0,AND(DAY($A82)=MIN(DAY('Recurring Schedule'!$F$40),DAY(EOMONTH($A82,0))),MOD((YEAR($A82)-YEAR('Recurring Schedule'!$F$40))*12+MONTH($A82)-MONTH('Recurring Schedule'!$F$40),'Recurring Schedule'!$O$40)=0),IF('Recurring Schedule'!$E$40="Weekdays",WEEKDAY($A82,2)&lt;=5,$A82='Recurring Schedule'!$F$40))),35,""))))</f>
        <v/>
      </c>
      <c r="AK82">
        <f>IF('Recurring Schedule'!$C$41="","",IF('Recurring Schedule'!$F$41="","",IF(OR($A82&lt;'Recurring Schedule'!$F$41,$A82&gt;'Recurring Schedule'!$P$41),"",IF(IF('Recurring Schedule'!$N$41&gt;0,MOD($A82-'Recurring Schedule'!$F$41,'Recurring Schedule'!$N$41)=0,IF('Recurring Schedule'!$O$41&gt;0,AND(DAY($A82)=MIN(DAY('Recurring Schedule'!$F$41),DAY(EOMONTH($A82,0))),MOD((YEAR($A82)-YEAR('Recurring Schedule'!$F$41))*12+MONTH($A82)-MONTH('Recurring Schedule'!$F$41),'Recurring Schedule'!$O$41)=0),IF('Recurring Schedule'!$E$41="Weekdays",WEEKDAY($A82,2)&lt;=5,$A82='Recurring Schedule'!$F$41))),36,""))))</f>
        <v/>
      </c>
      <c r="AL82">
        <f>IF('Recurring Schedule'!$C$42="","",IF('Recurring Schedule'!$F$42="","",IF(OR($A82&lt;'Recurring Schedule'!$F$42,$A82&gt;'Recurring Schedule'!$P$42),"",IF(IF('Recurring Schedule'!$N$42&gt;0,MOD($A82-'Recurring Schedule'!$F$42,'Recurring Schedule'!$N$42)=0,IF('Recurring Schedule'!$O$42&gt;0,AND(DAY($A82)=MIN(DAY('Recurring Schedule'!$F$42),DAY(EOMONTH($A82,0))),MOD((YEAR($A82)-YEAR('Recurring Schedule'!$F$42))*12+MONTH($A82)-MONTH('Recurring Schedule'!$F$42),'Recurring Schedule'!$O$42)=0),IF('Recurring Schedule'!$E$42="Weekdays",WEEKDAY($A82,2)&lt;=5,$A82='Recurring Schedule'!$F$42))),37,""))))</f>
        <v/>
      </c>
      <c r="AM82">
        <f>IF('Recurring Schedule'!$C$43="","",IF('Recurring Schedule'!$F$43="","",IF(OR($A82&lt;'Recurring Schedule'!$F$43,$A82&gt;'Recurring Schedule'!$P$43),"",IF(IF('Recurring Schedule'!$N$43&gt;0,MOD($A82-'Recurring Schedule'!$F$43,'Recurring Schedule'!$N$43)=0,IF('Recurring Schedule'!$O$43&gt;0,AND(DAY($A82)=MIN(DAY('Recurring Schedule'!$F$43),DAY(EOMONTH($A82,0))),MOD((YEAR($A82)-YEAR('Recurring Schedule'!$F$43))*12+MONTH($A82)-MONTH('Recurring Schedule'!$F$43),'Recurring Schedule'!$O$43)=0),IF('Recurring Schedule'!$E$43="Weekdays",WEEKDAY($A82,2)&lt;=5,$A82='Recurring Schedule'!$F$43))),38,""))))</f>
        <v/>
      </c>
      <c r="AN82">
        <f>IF('Recurring Schedule'!$C$44="","",IF('Recurring Schedule'!$F$44="","",IF(OR($A82&lt;'Recurring Schedule'!$F$44,$A82&gt;'Recurring Schedule'!$P$44),"",IF(IF('Recurring Schedule'!$N$44&gt;0,MOD($A82-'Recurring Schedule'!$F$44,'Recurring Schedule'!$N$44)=0,IF('Recurring Schedule'!$O$44&gt;0,AND(DAY($A82)=MIN(DAY('Recurring Schedule'!$F$44),DAY(EOMONTH($A82,0))),MOD((YEAR($A82)-YEAR('Recurring Schedule'!$F$44))*12+MONTH($A82)-MONTH('Recurring Schedule'!$F$44),'Recurring Schedule'!$O$44)=0),IF('Recurring Schedule'!$E$44="Weekdays",WEEKDAY($A82,2)&lt;=5,$A82='Recurring Schedule'!$F$44))),39,""))))</f>
        <v/>
      </c>
      <c r="AO82">
        <f>IF('Recurring Schedule'!$C$45="","",IF('Recurring Schedule'!$F$45="","",IF(OR($A82&lt;'Recurring Schedule'!$F$45,$A82&gt;'Recurring Schedule'!$P$45),"",IF(IF('Recurring Schedule'!$N$45&gt;0,MOD($A82-'Recurring Schedule'!$F$45,'Recurring Schedule'!$N$45)=0,IF('Recurring Schedule'!$O$45&gt;0,AND(DAY($A82)=MIN(DAY('Recurring Schedule'!$F$45),DAY(EOMONTH($A82,0))),MOD((YEAR($A82)-YEAR('Recurring Schedule'!$F$45))*12+MONTH($A82)-MONTH('Recurring Schedule'!$F$45),'Recurring Schedule'!$O$45)=0),IF('Recurring Schedule'!$E$45="Weekdays",WEEKDAY($A82,2)&lt;=5,$A82='Recurring Schedule'!$F$45))),40,""))))</f>
        <v/>
      </c>
      <c r="AP82">
        <f>COUNT(B82:AO82)</f>
        <v/>
      </c>
      <c r="AQ82">
        <f>AQ81+AP81</f>
        <v/>
      </c>
      <c r="AS82" t="inlineStr">
        <is>
          <t>R</t>
        </is>
      </c>
      <c r="AT82" t="n">
        <v>86</v>
      </c>
      <c r="AU82">
        <f>'Recurring Log'!C86&amp;""</f>
        <v/>
      </c>
      <c r="AV82">
        <f>'Recurring Log'!D86&amp;""</f>
        <v/>
      </c>
      <c r="AW82">
        <f>IF('Recurring Log'!E86="","",'Recurring Log'!E86)</f>
        <v/>
      </c>
      <c r="AX82">
        <f>IF('Recurring Log'!G86="","",'Recurring Log'!G86)</f>
        <v/>
      </c>
      <c r="AY82">
        <f>IF('Recurring Log'!H86="","",'Recurring Log'!H86)</f>
        <v/>
      </c>
      <c r="AZ82">
        <f>IF(AU82="","",IF('Recurring Log'!J86="","Not Started",'Recurring Log'!J86))</f>
        <v/>
      </c>
      <c r="BA82">
        <f>'Recurring Log'!L86&amp;""</f>
        <v/>
      </c>
      <c r="BB82">
        <f>'Recurring Log'!M86&amp;""</f>
        <v/>
      </c>
      <c r="BC82">
        <f>'Recurring Log'!N86&amp;""</f>
        <v/>
      </c>
      <c r="BD82">
        <f>'Recurring Log'!O86&amp;""</f>
        <v/>
      </c>
      <c r="BE82">
        <f>IF('Recurring Log'!K86="","",'Recurring Log'!K86)</f>
        <v/>
      </c>
      <c r="BF82">
        <f>IFERROR(MATCH(BA82,Setup!$L$6:$L$9,0),5)</f>
        <v/>
      </c>
      <c r="BG82">
        <f>IF(OR(AZ82="Done",AZ82="Cancelled"),1,0)</f>
        <v/>
      </c>
      <c r="BH82">
        <f>IF(AND(AU82&lt;&gt;"",ISNUMBER(AW82)),1,0)</f>
        <v/>
      </c>
      <c r="BI82">
        <f>IF(BH82=0,0,IF(AND(AW82&gt;='Tasks Filter'!$F$3,AW82&lt;='Tasks Filter'!$F$4,OR('Tasks Filter'!$I$3="",ISNUMBER(SEARCH('Tasks Filter'!$I$3,AU82))),OR('Tasks Filter'!$I$4="",BF82=IFERROR(MATCH('Tasks Filter'!$I$4,Setup!$L$6:$L$9,0),0)),OR('Tasks Filter'!$I$5="Both",AND('Tasks Filter'!$I$5="Yes",BB82="✓"),AND('Tasks Filter'!$I$5="No",BB82&lt;&gt;"✓")),OR('Tasks Filter'!$L$3="",AV82='Tasks Filter'!$L$3),OR('Tasks Filter'!$L$4="",AZ82='Tasks Filter'!$L$4),OR('Tasks Filter'!$L$5="",BC82='Tasks Filter'!$L$5),OR('Tasks Filter'!$O$3="",BD82='Tasks Filter'!$O$3),OR('Tasks Filter'!$O$4="Yes",BG82=0)),1,0))</f>
        <v/>
      </c>
      <c r="BJ82">
        <f>IF(BH82=0,"",IF('Tasks Filter'!$F$6="Descending",-1,1)*CHOOSE(MATCH('Tasks Filter'!$F$5,Lists!$G$2:$G$6,0),AW82,BF82,IFERROR(MATCH(AV82,Setup!$F$6:$F$15,0),99),IFERROR(MATCH(BC82,Setup!$H$6:$H$15,0),99),IFERROR(MATCH(AZ82,Setup!$J$6:$J$11,0),99))*1E+9+(AW82-40000)*10000+81)</f>
        <v/>
      </c>
      <c r="BK82">
        <f>IF(BI82=1,BJ82,"")</f>
        <v/>
      </c>
      <c r="BL82">
        <f>IF(AND(BH82=1,BG82=0,N(AW82)&lt;Setup!$D$7),(AW82-40000)*10000+81,"")</f>
        <v/>
      </c>
      <c r="BM82">
        <f>IF(AND(BH82=1,AZ82&lt;&gt;"Cancelled",N(AW82)&gt;=Dashboard!$AB$3,N(AW82)&lt;=Dashboard!$AB$3+6),(AW82-40000)*100000+BF82*10000+81,"")</f>
        <v/>
      </c>
      <c r="BN82">
        <f>IF(AND(BH82=1,AZ82&lt;&gt;"Cancelled"),BF82*10000+81,"")</f>
        <v/>
      </c>
    </row>
    <row r="83">
      <c r="A83">
        <f>Setup!$D$5+81</f>
        <v/>
      </c>
      <c r="B83">
        <f>IF('Recurring Schedule'!$C$6="","",IF('Recurring Schedule'!$F$6="","",IF(OR($A83&lt;'Recurring Schedule'!$F$6,$A83&gt;'Recurring Schedule'!$P$6),"",IF(IF('Recurring Schedule'!$N$6&gt;0,MOD($A83-'Recurring Schedule'!$F$6,'Recurring Schedule'!$N$6)=0,IF('Recurring Schedule'!$O$6&gt;0,AND(DAY($A83)=MIN(DAY('Recurring Schedule'!$F$6),DAY(EOMONTH($A83,0))),MOD((YEAR($A83)-YEAR('Recurring Schedule'!$F$6))*12+MONTH($A83)-MONTH('Recurring Schedule'!$F$6),'Recurring Schedule'!$O$6)=0),IF('Recurring Schedule'!$E$6="Weekdays",WEEKDAY($A83,2)&lt;=5,$A83='Recurring Schedule'!$F$6))),1,""))))</f>
        <v/>
      </c>
      <c r="C83">
        <f>IF('Recurring Schedule'!$C$7="","",IF('Recurring Schedule'!$F$7="","",IF(OR($A83&lt;'Recurring Schedule'!$F$7,$A83&gt;'Recurring Schedule'!$P$7),"",IF(IF('Recurring Schedule'!$N$7&gt;0,MOD($A83-'Recurring Schedule'!$F$7,'Recurring Schedule'!$N$7)=0,IF('Recurring Schedule'!$O$7&gt;0,AND(DAY($A83)=MIN(DAY('Recurring Schedule'!$F$7),DAY(EOMONTH($A83,0))),MOD((YEAR($A83)-YEAR('Recurring Schedule'!$F$7))*12+MONTH($A83)-MONTH('Recurring Schedule'!$F$7),'Recurring Schedule'!$O$7)=0),IF('Recurring Schedule'!$E$7="Weekdays",WEEKDAY($A83,2)&lt;=5,$A83='Recurring Schedule'!$F$7))),2,""))))</f>
        <v/>
      </c>
      <c r="D83">
        <f>IF('Recurring Schedule'!$C$8="","",IF('Recurring Schedule'!$F$8="","",IF(OR($A83&lt;'Recurring Schedule'!$F$8,$A83&gt;'Recurring Schedule'!$P$8),"",IF(IF('Recurring Schedule'!$N$8&gt;0,MOD($A83-'Recurring Schedule'!$F$8,'Recurring Schedule'!$N$8)=0,IF('Recurring Schedule'!$O$8&gt;0,AND(DAY($A83)=MIN(DAY('Recurring Schedule'!$F$8),DAY(EOMONTH($A83,0))),MOD((YEAR($A83)-YEAR('Recurring Schedule'!$F$8))*12+MONTH($A83)-MONTH('Recurring Schedule'!$F$8),'Recurring Schedule'!$O$8)=0),IF('Recurring Schedule'!$E$8="Weekdays",WEEKDAY($A83,2)&lt;=5,$A83='Recurring Schedule'!$F$8))),3,""))))</f>
        <v/>
      </c>
      <c r="E83">
        <f>IF('Recurring Schedule'!$C$9="","",IF('Recurring Schedule'!$F$9="","",IF(OR($A83&lt;'Recurring Schedule'!$F$9,$A83&gt;'Recurring Schedule'!$P$9),"",IF(IF('Recurring Schedule'!$N$9&gt;0,MOD($A83-'Recurring Schedule'!$F$9,'Recurring Schedule'!$N$9)=0,IF('Recurring Schedule'!$O$9&gt;0,AND(DAY($A83)=MIN(DAY('Recurring Schedule'!$F$9),DAY(EOMONTH($A83,0))),MOD((YEAR($A83)-YEAR('Recurring Schedule'!$F$9))*12+MONTH($A83)-MONTH('Recurring Schedule'!$F$9),'Recurring Schedule'!$O$9)=0),IF('Recurring Schedule'!$E$9="Weekdays",WEEKDAY($A83,2)&lt;=5,$A83='Recurring Schedule'!$F$9))),4,""))))</f>
        <v/>
      </c>
      <c r="F83">
        <f>IF('Recurring Schedule'!$C$10="","",IF('Recurring Schedule'!$F$10="","",IF(OR($A83&lt;'Recurring Schedule'!$F$10,$A83&gt;'Recurring Schedule'!$P$10),"",IF(IF('Recurring Schedule'!$N$10&gt;0,MOD($A83-'Recurring Schedule'!$F$10,'Recurring Schedule'!$N$10)=0,IF('Recurring Schedule'!$O$10&gt;0,AND(DAY($A83)=MIN(DAY('Recurring Schedule'!$F$10),DAY(EOMONTH($A83,0))),MOD((YEAR($A83)-YEAR('Recurring Schedule'!$F$10))*12+MONTH($A83)-MONTH('Recurring Schedule'!$F$10),'Recurring Schedule'!$O$10)=0),IF('Recurring Schedule'!$E$10="Weekdays",WEEKDAY($A83,2)&lt;=5,$A83='Recurring Schedule'!$F$10))),5,""))))</f>
        <v/>
      </c>
      <c r="G83">
        <f>IF('Recurring Schedule'!$C$11="","",IF('Recurring Schedule'!$F$11="","",IF(OR($A83&lt;'Recurring Schedule'!$F$11,$A83&gt;'Recurring Schedule'!$P$11),"",IF(IF('Recurring Schedule'!$N$11&gt;0,MOD($A83-'Recurring Schedule'!$F$11,'Recurring Schedule'!$N$11)=0,IF('Recurring Schedule'!$O$11&gt;0,AND(DAY($A83)=MIN(DAY('Recurring Schedule'!$F$11),DAY(EOMONTH($A83,0))),MOD((YEAR($A83)-YEAR('Recurring Schedule'!$F$11))*12+MONTH($A83)-MONTH('Recurring Schedule'!$F$11),'Recurring Schedule'!$O$11)=0),IF('Recurring Schedule'!$E$11="Weekdays",WEEKDAY($A83,2)&lt;=5,$A83='Recurring Schedule'!$F$11))),6,""))))</f>
        <v/>
      </c>
      <c r="H83">
        <f>IF('Recurring Schedule'!$C$12="","",IF('Recurring Schedule'!$F$12="","",IF(OR($A83&lt;'Recurring Schedule'!$F$12,$A83&gt;'Recurring Schedule'!$P$12),"",IF(IF('Recurring Schedule'!$N$12&gt;0,MOD($A83-'Recurring Schedule'!$F$12,'Recurring Schedule'!$N$12)=0,IF('Recurring Schedule'!$O$12&gt;0,AND(DAY($A83)=MIN(DAY('Recurring Schedule'!$F$12),DAY(EOMONTH($A83,0))),MOD((YEAR($A83)-YEAR('Recurring Schedule'!$F$12))*12+MONTH($A83)-MONTH('Recurring Schedule'!$F$12),'Recurring Schedule'!$O$12)=0),IF('Recurring Schedule'!$E$12="Weekdays",WEEKDAY($A83,2)&lt;=5,$A83='Recurring Schedule'!$F$12))),7,""))))</f>
        <v/>
      </c>
      <c r="I83">
        <f>IF('Recurring Schedule'!$C$13="","",IF('Recurring Schedule'!$F$13="","",IF(OR($A83&lt;'Recurring Schedule'!$F$13,$A83&gt;'Recurring Schedule'!$P$13),"",IF(IF('Recurring Schedule'!$N$13&gt;0,MOD($A83-'Recurring Schedule'!$F$13,'Recurring Schedule'!$N$13)=0,IF('Recurring Schedule'!$O$13&gt;0,AND(DAY($A83)=MIN(DAY('Recurring Schedule'!$F$13),DAY(EOMONTH($A83,0))),MOD((YEAR($A83)-YEAR('Recurring Schedule'!$F$13))*12+MONTH($A83)-MONTH('Recurring Schedule'!$F$13),'Recurring Schedule'!$O$13)=0),IF('Recurring Schedule'!$E$13="Weekdays",WEEKDAY($A83,2)&lt;=5,$A83='Recurring Schedule'!$F$13))),8,""))))</f>
        <v/>
      </c>
      <c r="J83">
        <f>IF('Recurring Schedule'!$C$14="","",IF('Recurring Schedule'!$F$14="","",IF(OR($A83&lt;'Recurring Schedule'!$F$14,$A83&gt;'Recurring Schedule'!$P$14),"",IF(IF('Recurring Schedule'!$N$14&gt;0,MOD($A83-'Recurring Schedule'!$F$14,'Recurring Schedule'!$N$14)=0,IF('Recurring Schedule'!$O$14&gt;0,AND(DAY($A83)=MIN(DAY('Recurring Schedule'!$F$14),DAY(EOMONTH($A83,0))),MOD((YEAR($A83)-YEAR('Recurring Schedule'!$F$14))*12+MONTH($A83)-MONTH('Recurring Schedule'!$F$14),'Recurring Schedule'!$O$14)=0),IF('Recurring Schedule'!$E$14="Weekdays",WEEKDAY($A83,2)&lt;=5,$A83='Recurring Schedule'!$F$14))),9,""))))</f>
        <v/>
      </c>
      <c r="K83">
        <f>IF('Recurring Schedule'!$C$15="","",IF('Recurring Schedule'!$F$15="","",IF(OR($A83&lt;'Recurring Schedule'!$F$15,$A83&gt;'Recurring Schedule'!$P$15),"",IF(IF('Recurring Schedule'!$N$15&gt;0,MOD($A83-'Recurring Schedule'!$F$15,'Recurring Schedule'!$N$15)=0,IF('Recurring Schedule'!$O$15&gt;0,AND(DAY($A83)=MIN(DAY('Recurring Schedule'!$F$15),DAY(EOMONTH($A83,0))),MOD((YEAR($A83)-YEAR('Recurring Schedule'!$F$15))*12+MONTH($A83)-MONTH('Recurring Schedule'!$F$15),'Recurring Schedule'!$O$15)=0),IF('Recurring Schedule'!$E$15="Weekdays",WEEKDAY($A83,2)&lt;=5,$A83='Recurring Schedule'!$F$15))),10,""))))</f>
        <v/>
      </c>
      <c r="L83">
        <f>IF('Recurring Schedule'!$C$16="","",IF('Recurring Schedule'!$F$16="","",IF(OR($A83&lt;'Recurring Schedule'!$F$16,$A83&gt;'Recurring Schedule'!$P$16),"",IF(IF('Recurring Schedule'!$N$16&gt;0,MOD($A83-'Recurring Schedule'!$F$16,'Recurring Schedule'!$N$16)=0,IF('Recurring Schedule'!$O$16&gt;0,AND(DAY($A83)=MIN(DAY('Recurring Schedule'!$F$16),DAY(EOMONTH($A83,0))),MOD((YEAR($A83)-YEAR('Recurring Schedule'!$F$16))*12+MONTH($A83)-MONTH('Recurring Schedule'!$F$16),'Recurring Schedule'!$O$16)=0),IF('Recurring Schedule'!$E$16="Weekdays",WEEKDAY($A83,2)&lt;=5,$A83='Recurring Schedule'!$F$16))),11,""))))</f>
        <v/>
      </c>
      <c r="M83">
        <f>IF('Recurring Schedule'!$C$17="","",IF('Recurring Schedule'!$F$17="","",IF(OR($A83&lt;'Recurring Schedule'!$F$17,$A83&gt;'Recurring Schedule'!$P$17),"",IF(IF('Recurring Schedule'!$N$17&gt;0,MOD($A83-'Recurring Schedule'!$F$17,'Recurring Schedule'!$N$17)=0,IF('Recurring Schedule'!$O$17&gt;0,AND(DAY($A83)=MIN(DAY('Recurring Schedule'!$F$17),DAY(EOMONTH($A83,0))),MOD((YEAR($A83)-YEAR('Recurring Schedule'!$F$17))*12+MONTH($A83)-MONTH('Recurring Schedule'!$F$17),'Recurring Schedule'!$O$17)=0),IF('Recurring Schedule'!$E$17="Weekdays",WEEKDAY($A83,2)&lt;=5,$A83='Recurring Schedule'!$F$17))),12,""))))</f>
        <v/>
      </c>
      <c r="N83">
        <f>IF('Recurring Schedule'!$C$18="","",IF('Recurring Schedule'!$F$18="","",IF(OR($A83&lt;'Recurring Schedule'!$F$18,$A83&gt;'Recurring Schedule'!$P$18),"",IF(IF('Recurring Schedule'!$N$18&gt;0,MOD($A83-'Recurring Schedule'!$F$18,'Recurring Schedule'!$N$18)=0,IF('Recurring Schedule'!$O$18&gt;0,AND(DAY($A83)=MIN(DAY('Recurring Schedule'!$F$18),DAY(EOMONTH($A83,0))),MOD((YEAR($A83)-YEAR('Recurring Schedule'!$F$18))*12+MONTH($A83)-MONTH('Recurring Schedule'!$F$18),'Recurring Schedule'!$O$18)=0),IF('Recurring Schedule'!$E$18="Weekdays",WEEKDAY($A83,2)&lt;=5,$A83='Recurring Schedule'!$F$18))),13,""))))</f>
        <v/>
      </c>
      <c r="O83">
        <f>IF('Recurring Schedule'!$C$19="","",IF('Recurring Schedule'!$F$19="","",IF(OR($A83&lt;'Recurring Schedule'!$F$19,$A83&gt;'Recurring Schedule'!$P$19),"",IF(IF('Recurring Schedule'!$N$19&gt;0,MOD($A83-'Recurring Schedule'!$F$19,'Recurring Schedule'!$N$19)=0,IF('Recurring Schedule'!$O$19&gt;0,AND(DAY($A83)=MIN(DAY('Recurring Schedule'!$F$19),DAY(EOMONTH($A83,0))),MOD((YEAR($A83)-YEAR('Recurring Schedule'!$F$19))*12+MONTH($A83)-MONTH('Recurring Schedule'!$F$19),'Recurring Schedule'!$O$19)=0),IF('Recurring Schedule'!$E$19="Weekdays",WEEKDAY($A83,2)&lt;=5,$A83='Recurring Schedule'!$F$19))),14,""))))</f>
        <v/>
      </c>
      <c r="P83">
        <f>IF('Recurring Schedule'!$C$20="","",IF('Recurring Schedule'!$F$20="","",IF(OR($A83&lt;'Recurring Schedule'!$F$20,$A83&gt;'Recurring Schedule'!$P$20),"",IF(IF('Recurring Schedule'!$N$20&gt;0,MOD($A83-'Recurring Schedule'!$F$20,'Recurring Schedule'!$N$20)=0,IF('Recurring Schedule'!$O$20&gt;0,AND(DAY($A83)=MIN(DAY('Recurring Schedule'!$F$20),DAY(EOMONTH($A83,0))),MOD((YEAR($A83)-YEAR('Recurring Schedule'!$F$20))*12+MONTH($A83)-MONTH('Recurring Schedule'!$F$20),'Recurring Schedule'!$O$20)=0),IF('Recurring Schedule'!$E$20="Weekdays",WEEKDAY($A83,2)&lt;=5,$A83='Recurring Schedule'!$F$20))),15,""))))</f>
        <v/>
      </c>
      <c r="Q83">
        <f>IF('Recurring Schedule'!$C$21="","",IF('Recurring Schedule'!$F$21="","",IF(OR($A83&lt;'Recurring Schedule'!$F$21,$A83&gt;'Recurring Schedule'!$P$21),"",IF(IF('Recurring Schedule'!$N$21&gt;0,MOD($A83-'Recurring Schedule'!$F$21,'Recurring Schedule'!$N$21)=0,IF('Recurring Schedule'!$O$21&gt;0,AND(DAY($A83)=MIN(DAY('Recurring Schedule'!$F$21),DAY(EOMONTH($A83,0))),MOD((YEAR($A83)-YEAR('Recurring Schedule'!$F$21))*12+MONTH($A83)-MONTH('Recurring Schedule'!$F$21),'Recurring Schedule'!$O$21)=0),IF('Recurring Schedule'!$E$21="Weekdays",WEEKDAY($A83,2)&lt;=5,$A83='Recurring Schedule'!$F$21))),16,""))))</f>
        <v/>
      </c>
      <c r="R83">
        <f>IF('Recurring Schedule'!$C$22="","",IF('Recurring Schedule'!$F$22="","",IF(OR($A83&lt;'Recurring Schedule'!$F$22,$A83&gt;'Recurring Schedule'!$P$22),"",IF(IF('Recurring Schedule'!$N$22&gt;0,MOD($A83-'Recurring Schedule'!$F$22,'Recurring Schedule'!$N$22)=0,IF('Recurring Schedule'!$O$22&gt;0,AND(DAY($A83)=MIN(DAY('Recurring Schedule'!$F$22),DAY(EOMONTH($A83,0))),MOD((YEAR($A83)-YEAR('Recurring Schedule'!$F$22))*12+MONTH($A83)-MONTH('Recurring Schedule'!$F$22),'Recurring Schedule'!$O$22)=0),IF('Recurring Schedule'!$E$22="Weekdays",WEEKDAY($A83,2)&lt;=5,$A83='Recurring Schedule'!$F$22))),17,""))))</f>
        <v/>
      </c>
      <c r="S83">
        <f>IF('Recurring Schedule'!$C$23="","",IF('Recurring Schedule'!$F$23="","",IF(OR($A83&lt;'Recurring Schedule'!$F$23,$A83&gt;'Recurring Schedule'!$P$23),"",IF(IF('Recurring Schedule'!$N$23&gt;0,MOD($A83-'Recurring Schedule'!$F$23,'Recurring Schedule'!$N$23)=0,IF('Recurring Schedule'!$O$23&gt;0,AND(DAY($A83)=MIN(DAY('Recurring Schedule'!$F$23),DAY(EOMONTH($A83,0))),MOD((YEAR($A83)-YEAR('Recurring Schedule'!$F$23))*12+MONTH($A83)-MONTH('Recurring Schedule'!$F$23),'Recurring Schedule'!$O$23)=0),IF('Recurring Schedule'!$E$23="Weekdays",WEEKDAY($A83,2)&lt;=5,$A83='Recurring Schedule'!$F$23))),18,""))))</f>
        <v/>
      </c>
      <c r="T83">
        <f>IF('Recurring Schedule'!$C$24="","",IF('Recurring Schedule'!$F$24="","",IF(OR($A83&lt;'Recurring Schedule'!$F$24,$A83&gt;'Recurring Schedule'!$P$24),"",IF(IF('Recurring Schedule'!$N$24&gt;0,MOD($A83-'Recurring Schedule'!$F$24,'Recurring Schedule'!$N$24)=0,IF('Recurring Schedule'!$O$24&gt;0,AND(DAY($A83)=MIN(DAY('Recurring Schedule'!$F$24),DAY(EOMONTH($A83,0))),MOD((YEAR($A83)-YEAR('Recurring Schedule'!$F$24))*12+MONTH($A83)-MONTH('Recurring Schedule'!$F$24),'Recurring Schedule'!$O$24)=0),IF('Recurring Schedule'!$E$24="Weekdays",WEEKDAY($A83,2)&lt;=5,$A83='Recurring Schedule'!$F$24))),19,""))))</f>
        <v/>
      </c>
      <c r="U83">
        <f>IF('Recurring Schedule'!$C$25="","",IF('Recurring Schedule'!$F$25="","",IF(OR($A83&lt;'Recurring Schedule'!$F$25,$A83&gt;'Recurring Schedule'!$P$25),"",IF(IF('Recurring Schedule'!$N$25&gt;0,MOD($A83-'Recurring Schedule'!$F$25,'Recurring Schedule'!$N$25)=0,IF('Recurring Schedule'!$O$25&gt;0,AND(DAY($A83)=MIN(DAY('Recurring Schedule'!$F$25),DAY(EOMONTH($A83,0))),MOD((YEAR($A83)-YEAR('Recurring Schedule'!$F$25))*12+MONTH($A83)-MONTH('Recurring Schedule'!$F$25),'Recurring Schedule'!$O$25)=0),IF('Recurring Schedule'!$E$25="Weekdays",WEEKDAY($A83,2)&lt;=5,$A83='Recurring Schedule'!$F$25))),20,""))))</f>
        <v/>
      </c>
      <c r="V83">
        <f>IF('Recurring Schedule'!$C$26="","",IF('Recurring Schedule'!$F$26="","",IF(OR($A83&lt;'Recurring Schedule'!$F$26,$A83&gt;'Recurring Schedule'!$P$26),"",IF(IF('Recurring Schedule'!$N$26&gt;0,MOD($A83-'Recurring Schedule'!$F$26,'Recurring Schedule'!$N$26)=0,IF('Recurring Schedule'!$O$26&gt;0,AND(DAY($A83)=MIN(DAY('Recurring Schedule'!$F$26),DAY(EOMONTH($A83,0))),MOD((YEAR($A83)-YEAR('Recurring Schedule'!$F$26))*12+MONTH($A83)-MONTH('Recurring Schedule'!$F$26),'Recurring Schedule'!$O$26)=0),IF('Recurring Schedule'!$E$26="Weekdays",WEEKDAY($A83,2)&lt;=5,$A83='Recurring Schedule'!$F$26))),21,""))))</f>
        <v/>
      </c>
      <c r="W83">
        <f>IF('Recurring Schedule'!$C$27="","",IF('Recurring Schedule'!$F$27="","",IF(OR($A83&lt;'Recurring Schedule'!$F$27,$A83&gt;'Recurring Schedule'!$P$27),"",IF(IF('Recurring Schedule'!$N$27&gt;0,MOD($A83-'Recurring Schedule'!$F$27,'Recurring Schedule'!$N$27)=0,IF('Recurring Schedule'!$O$27&gt;0,AND(DAY($A83)=MIN(DAY('Recurring Schedule'!$F$27),DAY(EOMONTH($A83,0))),MOD((YEAR($A83)-YEAR('Recurring Schedule'!$F$27))*12+MONTH($A83)-MONTH('Recurring Schedule'!$F$27),'Recurring Schedule'!$O$27)=0),IF('Recurring Schedule'!$E$27="Weekdays",WEEKDAY($A83,2)&lt;=5,$A83='Recurring Schedule'!$F$27))),22,""))))</f>
        <v/>
      </c>
      <c r="X83">
        <f>IF('Recurring Schedule'!$C$28="","",IF('Recurring Schedule'!$F$28="","",IF(OR($A83&lt;'Recurring Schedule'!$F$28,$A83&gt;'Recurring Schedule'!$P$28),"",IF(IF('Recurring Schedule'!$N$28&gt;0,MOD($A83-'Recurring Schedule'!$F$28,'Recurring Schedule'!$N$28)=0,IF('Recurring Schedule'!$O$28&gt;0,AND(DAY($A83)=MIN(DAY('Recurring Schedule'!$F$28),DAY(EOMONTH($A83,0))),MOD((YEAR($A83)-YEAR('Recurring Schedule'!$F$28))*12+MONTH($A83)-MONTH('Recurring Schedule'!$F$28),'Recurring Schedule'!$O$28)=0),IF('Recurring Schedule'!$E$28="Weekdays",WEEKDAY($A83,2)&lt;=5,$A83='Recurring Schedule'!$F$28))),23,""))))</f>
        <v/>
      </c>
      <c r="Y83">
        <f>IF('Recurring Schedule'!$C$29="","",IF('Recurring Schedule'!$F$29="","",IF(OR($A83&lt;'Recurring Schedule'!$F$29,$A83&gt;'Recurring Schedule'!$P$29),"",IF(IF('Recurring Schedule'!$N$29&gt;0,MOD($A83-'Recurring Schedule'!$F$29,'Recurring Schedule'!$N$29)=0,IF('Recurring Schedule'!$O$29&gt;0,AND(DAY($A83)=MIN(DAY('Recurring Schedule'!$F$29),DAY(EOMONTH($A83,0))),MOD((YEAR($A83)-YEAR('Recurring Schedule'!$F$29))*12+MONTH($A83)-MONTH('Recurring Schedule'!$F$29),'Recurring Schedule'!$O$29)=0),IF('Recurring Schedule'!$E$29="Weekdays",WEEKDAY($A83,2)&lt;=5,$A83='Recurring Schedule'!$F$29))),24,""))))</f>
        <v/>
      </c>
      <c r="Z83">
        <f>IF('Recurring Schedule'!$C$30="","",IF('Recurring Schedule'!$F$30="","",IF(OR($A83&lt;'Recurring Schedule'!$F$30,$A83&gt;'Recurring Schedule'!$P$30),"",IF(IF('Recurring Schedule'!$N$30&gt;0,MOD($A83-'Recurring Schedule'!$F$30,'Recurring Schedule'!$N$30)=0,IF('Recurring Schedule'!$O$30&gt;0,AND(DAY($A83)=MIN(DAY('Recurring Schedule'!$F$30),DAY(EOMONTH($A83,0))),MOD((YEAR($A83)-YEAR('Recurring Schedule'!$F$30))*12+MONTH($A83)-MONTH('Recurring Schedule'!$F$30),'Recurring Schedule'!$O$30)=0),IF('Recurring Schedule'!$E$30="Weekdays",WEEKDAY($A83,2)&lt;=5,$A83='Recurring Schedule'!$F$30))),25,""))))</f>
        <v/>
      </c>
      <c r="AA83">
        <f>IF('Recurring Schedule'!$C$31="","",IF('Recurring Schedule'!$F$31="","",IF(OR($A83&lt;'Recurring Schedule'!$F$31,$A83&gt;'Recurring Schedule'!$P$31),"",IF(IF('Recurring Schedule'!$N$31&gt;0,MOD($A83-'Recurring Schedule'!$F$31,'Recurring Schedule'!$N$31)=0,IF('Recurring Schedule'!$O$31&gt;0,AND(DAY($A83)=MIN(DAY('Recurring Schedule'!$F$31),DAY(EOMONTH($A83,0))),MOD((YEAR($A83)-YEAR('Recurring Schedule'!$F$31))*12+MONTH($A83)-MONTH('Recurring Schedule'!$F$31),'Recurring Schedule'!$O$31)=0),IF('Recurring Schedule'!$E$31="Weekdays",WEEKDAY($A83,2)&lt;=5,$A83='Recurring Schedule'!$F$31))),26,""))))</f>
        <v/>
      </c>
      <c r="AB83">
        <f>IF('Recurring Schedule'!$C$32="","",IF('Recurring Schedule'!$F$32="","",IF(OR($A83&lt;'Recurring Schedule'!$F$32,$A83&gt;'Recurring Schedule'!$P$32),"",IF(IF('Recurring Schedule'!$N$32&gt;0,MOD($A83-'Recurring Schedule'!$F$32,'Recurring Schedule'!$N$32)=0,IF('Recurring Schedule'!$O$32&gt;0,AND(DAY($A83)=MIN(DAY('Recurring Schedule'!$F$32),DAY(EOMONTH($A83,0))),MOD((YEAR($A83)-YEAR('Recurring Schedule'!$F$32))*12+MONTH($A83)-MONTH('Recurring Schedule'!$F$32),'Recurring Schedule'!$O$32)=0),IF('Recurring Schedule'!$E$32="Weekdays",WEEKDAY($A83,2)&lt;=5,$A83='Recurring Schedule'!$F$32))),27,""))))</f>
        <v/>
      </c>
      <c r="AC83">
        <f>IF('Recurring Schedule'!$C$33="","",IF('Recurring Schedule'!$F$33="","",IF(OR($A83&lt;'Recurring Schedule'!$F$33,$A83&gt;'Recurring Schedule'!$P$33),"",IF(IF('Recurring Schedule'!$N$33&gt;0,MOD($A83-'Recurring Schedule'!$F$33,'Recurring Schedule'!$N$33)=0,IF('Recurring Schedule'!$O$33&gt;0,AND(DAY($A83)=MIN(DAY('Recurring Schedule'!$F$33),DAY(EOMONTH($A83,0))),MOD((YEAR($A83)-YEAR('Recurring Schedule'!$F$33))*12+MONTH($A83)-MONTH('Recurring Schedule'!$F$33),'Recurring Schedule'!$O$33)=0),IF('Recurring Schedule'!$E$33="Weekdays",WEEKDAY($A83,2)&lt;=5,$A83='Recurring Schedule'!$F$33))),28,""))))</f>
        <v/>
      </c>
      <c r="AD83">
        <f>IF('Recurring Schedule'!$C$34="","",IF('Recurring Schedule'!$F$34="","",IF(OR($A83&lt;'Recurring Schedule'!$F$34,$A83&gt;'Recurring Schedule'!$P$34),"",IF(IF('Recurring Schedule'!$N$34&gt;0,MOD($A83-'Recurring Schedule'!$F$34,'Recurring Schedule'!$N$34)=0,IF('Recurring Schedule'!$O$34&gt;0,AND(DAY($A83)=MIN(DAY('Recurring Schedule'!$F$34),DAY(EOMONTH($A83,0))),MOD((YEAR($A83)-YEAR('Recurring Schedule'!$F$34))*12+MONTH($A83)-MONTH('Recurring Schedule'!$F$34),'Recurring Schedule'!$O$34)=0),IF('Recurring Schedule'!$E$34="Weekdays",WEEKDAY($A83,2)&lt;=5,$A83='Recurring Schedule'!$F$34))),29,""))))</f>
        <v/>
      </c>
      <c r="AE83">
        <f>IF('Recurring Schedule'!$C$35="","",IF('Recurring Schedule'!$F$35="","",IF(OR($A83&lt;'Recurring Schedule'!$F$35,$A83&gt;'Recurring Schedule'!$P$35),"",IF(IF('Recurring Schedule'!$N$35&gt;0,MOD($A83-'Recurring Schedule'!$F$35,'Recurring Schedule'!$N$35)=0,IF('Recurring Schedule'!$O$35&gt;0,AND(DAY($A83)=MIN(DAY('Recurring Schedule'!$F$35),DAY(EOMONTH($A83,0))),MOD((YEAR($A83)-YEAR('Recurring Schedule'!$F$35))*12+MONTH($A83)-MONTH('Recurring Schedule'!$F$35),'Recurring Schedule'!$O$35)=0),IF('Recurring Schedule'!$E$35="Weekdays",WEEKDAY($A83,2)&lt;=5,$A83='Recurring Schedule'!$F$35))),30,""))))</f>
        <v/>
      </c>
      <c r="AF83">
        <f>IF('Recurring Schedule'!$C$36="","",IF('Recurring Schedule'!$F$36="","",IF(OR($A83&lt;'Recurring Schedule'!$F$36,$A83&gt;'Recurring Schedule'!$P$36),"",IF(IF('Recurring Schedule'!$N$36&gt;0,MOD($A83-'Recurring Schedule'!$F$36,'Recurring Schedule'!$N$36)=0,IF('Recurring Schedule'!$O$36&gt;0,AND(DAY($A83)=MIN(DAY('Recurring Schedule'!$F$36),DAY(EOMONTH($A83,0))),MOD((YEAR($A83)-YEAR('Recurring Schedule'!$F$36))*12+MONTH($A83)-MONTH('Recurring Schedule'!$F$36),'Recurring Schedule'!$O$36)=0),IF('Recurring Schedule'!$E$36="Weekdays",WEEKDAY($A83,2)&lt;=5,$A83='Recurring Schedule'!$F$36))),31,""))))</f>
        <v/>
      </c>
      <c r="AG83">
        <f>IF('Recurring Schedule'!$C$37="","",IF('Recurring Schedule'!$F$37="","",IF(OR($A83&lt;'Recurring Schedule'!$F$37,$A83&gt;'Recurring Schedule'!$P$37),"",IF(IF('Recurring Schedule'!$N$37&gt;0,MOD($A83-'Recurring Schedule'!$F$37,'Recurring Schedule'!$N$37)=0,IF('Recurring Schedule'!$O$37&gt;0,AND(DAY($A83)=MIN(DAY('Recurring Schedule'!$F$37),DAY(EOMONTH($A83,0))),MOD((YEAR($A83)-YEAR('Recurring Schedule'!$F$37))*12+MONTH($A83)-MONTH('Recurring Schedule'!$F$37),'Recurring Schedule'!$O$37)=0),IF('Recurring Schedule'!$E$37="Weekdays",WEEKDAY($A83,2)&lt;=5,$A83='Recurring Schedule'!$F$37))),32,""))))</f>
        <v/>
      </c>
      <c r="AH83">
        <f>IF('Recurring Schedule'!$C$38="","",IF('Recurring Schedule'!$F$38="","",IF(OR($A83&lt;'Recurring Schedule'!$F$38,$A83&gt;'Recurring Schedule'!$P$38),"",IF(IF('Recurring Schedule'!$N$38&gt;0,MOD($A83-'Recurring Schedule'!$F$38,'Recurring Schedule'!$N$38)=0,IF('Recurring Schedule'!$O$38&gt;0,AND(DAY($A83)=MIN(DAY('Recurring Schedule'!$F$38),DAY(EOMONTH($A83,0))),MOD((YEAR($A83)-YEAR('Recurring Schedule'!$F$38))*12+MONTH($A83)-MONTH('Recurring Schedule'!$F$38),'Recurring Schedule'!$O$38)=0),IF('Recurring Schedule'!$E$38="Weekdays",WEEKDAY($A83,2)&lt;=5,$A83='Recurring Schedule'!$F$38))),33,""))))</f>
        <v/>
      </c>
      <c r="AI83">
        <f>IF('Recurring Schedule'!$C$39="","",IF('Recurring Schedule'!$F$39="","",IF(OR($A83&lt;'Recurring Schedule'!$F$39,$A83&gt;'Recurring Schedule'!$P$39),"",IF(IF('Recurring Schedule'!$N$39&gt;0,MOD($A83-'Recurring Schedule'!$F$39,'Recurring Schedule'!$N$39)=0,IF('Recurring Schedule'!$O$39&gt;0,AND(DAY($A83)=MIN(DAY('Recurring Schedule'!$F$39),DAY(EOMONTH($A83,0))),MOD((YEAR($A83)-YEAR('Recurring Schedule'!$F$39))*12+MONTH($A83)-MONTH('Recurring Schedule'!$F$39),'Recurring Schedule'!$O$39)=0),IF('Recurring Schedule'!$E$39="Weekdays",WEEKDAY($A83,2)&lt;=5,$A83='Recurring Schedule'!$F$39))),34,""))))</f>
        <v/>
      </c>
      <c r="AJ83">
        <f>IF('Recurring Schedule'!$C$40="","",IF('Recurring Schedule'!$F$40="","",IF(OR($A83&lt;'Recurring Schedule'!$F$40,$A83&gt;'Recurring Schedule'!$P$40),"",IF(IF('Recurring Schedule'!$N$40&gt;0,MOD($A83-'Recurring Schedule'!$F$40,'Recurring Schedule'!$N$40)=0,IF('Recurring Schedule'!$O$40&gt;0,AND(DAY($A83)=MIN(DAY('Recurring Schedule'!$F$40),DAY(EOMONTH($A83,0))),MOD((YEAR($A83)-YEAR('Recurring Schedule'!$F$40))*12+MONTH($A83)-MONTH('Recurring Schedule'!$F$40),'Recurring Schedule'!$O$40)=0),IF('Recurring Schedule'!$E$40="Weekdays",WEEKDAY($A83,2)&lt;=5,$A83='Recurring Schedule'!$F$40))),35,""))))</f>
        <v/>
      </c>
      <c r="AK83">
        <f>IF('Recurring Schedule'!$C$41="","",IF('Recurring Schedule'!$F$41="","",IF(OR($A83&lt;'Recurring Schedule'!$F$41,$A83&gt;'Recurring Schedule'!$P$41),"",IF(IF('Recurring Schedule'!$N$41&gt;0,MOD($A83-'Recurring Schedule'!$F$41,'Recurring Schedule'!$N$41)=0,IF('Recurring Schedule'!$O$41&gt;0,AND(DAY($A83)=MIN(DAY('Recurring Schedule'!$F$41),DAY(EOMONTH($A83,0))),MOD((YEAR($A83)-YEAR('Recurring Schedule'!$F$41))*12+MONTH($A83)-MONTH('Recurring Schedule'!$F$41),'Recurring Schedule'!$O$41)=0),IF('Recurring Schedule'!$E$41="Weekdays",WEEKDAY($A83,2)&lt;=5,$A83='Recurring Schedule'!$F$41))),36,""))))</f>
        <v/>
      </c>
      <c r="AL83">
        <f>IF('Recurring Schedule'!$C$42="","",IF('Recurring Schedule'!$F$42="","",IF(OR($A83&lt;'Recurring Schedule'!$F$42,$A83&gt;'Recurring Schedule'!$P$42),"",IF(IF('Recurring Schedule'!$N$42&gt;0,MOD($A83-'Recurring Schedule'!$F$42,'Recurring Schedule'!$N$42)=0,IF('Recurring Schedule'!$O$42&gt;0,AND(DAY($A83)=MIN(DAY('Recurring Schedule'!$F$42),DAY(EOMONTH($A83,0))),MOD((YEAR($A83)-YEAR('Recurring Schedule'!$F$42))*12+MONTH($A83)-MONTH('Recurring Schedule'!$F$42),'Recurring Schedule'!$O$42)=0),IF('Recurring Schedule'!$E$42="Weekdays",WEEKDAY($A83,2)&lt;=5,$A83='Recurring Schedule'!$F$42))),37,""))))</f>
        <v/>
      </c>
      <c r="AM83">
        <f>IF('Recurring Schedule'!$C$43="","",IF('Recurring Schedule'!$F$43="","",IF(OR($A83&lt;'Recurring Schedule'!$F$43,$A83&gt;'Recurring Schedule'!$P$43),"",IF(IF('Recurring Schedule'!$N$43&gt;0,MOD($A83-'Recurring Schedule'!$F$43,'Recurring Schedule'!$N$43)=0,IF('Recurring Schedule'!$O$43&gt;0,AND(DAY($A83)=MIN(DAY('Recurring Schedule'!$F$43),DAY(EOMONTH($A83,0))),MOD((YEAR($A83)-YEAR('Recurring Schedule'!$F$43))*12+MONTH($A83)-MONTH('Recurring Schedule'!$F$43),'Recurring Schedule'!$O$43)=0),IF('Recurring Schedule'!$E$43="Weekdays",WEEKDAY($A83,2)&lt;=5,$A83='Recurring Schedule'!$F$43))),38,""))))</f>
        <v/>
      </c>
      <c r="AN83">
        <f>IF('Recurring Schedule'!$C$44="","",IF('Recurring Schedule'!$F$44="","",IF(OR($A83&lt;'Recurring Schedule'!$F$44,$A83&gt;'Recurring Schedule'!$P$44),"",IF(IF('Recurring Schedule'!$N$44&gt;0,MOD($A83-'Recurring Schedule'!$F$44,'Recurring Schedule'!$N$44)=0,IF('Recurring Schedule'!$O$44&gt;0,AND(DAY($A83)=MIN(DAY('Recurring Schedule'!$F$44),DAY(EOMONTH($A83,0))),MOD((YEAR($A83)-YEAR('Recurring Schedule'!$F$44))*12+MONTH($A83)-MONTH('Recurring Schedule'!$F$44),'Recurring Schedule'!$O$44)=0),IF('Recurring Schedule'!$E$44="Weekdays",WEEKDAY($A83,2)&lt;=5,$A83='Recurring Schedule'!$F$44))),39,""))))</f>
        <v/>
      </c>
      <c r="AO83">
        <f>IF('Recurring Schedule'!$C$45="","",IF('Recurring Schedule'!$F$45="","",IF(OR($A83&lt;'Recurring Schedule'!$F$45,$A83&gt;'Recurring Schedule'!$P$45),"",IF(IF('Recurring Schedule'!$N$45&gt;0,MOD($A83-'Recurring Schedule'!$F$45,'Recurring Schedule'!$N$45)=0,IF('Recurring Schedule'!$O$45&gt;0,AND(DAY($A83)=MIN(DAY('Recurring Schedule'!$F$45),DAY(EOMONTH($A83,0))),MOD((YEAR($A83)-YEAR('Recurring Schedule'!$F$45))*12+MONTH($A83)-MONTH('Recurring Schedule'!$F$45),'Recurring Schedule'!$O$45)=0),IF('Recurring Schedule'!$E$45="Weekdays",WEEKDAY($A83,2)&lt;=5,$A83='Recurring Schedule'!$F$45))),40,""))))</f>
        <v/>
      </c>
      <c r="AP83">
        <f>COUNT(B83:AO83)</f>
        <v/>
      </c>
      <c r="AQ83">
        <f>AQ82+AP82</f>
        <v/>
      </c>
      <c r="AS83" t="inlineStr">
        <is>
          <t>R</t>
        </is>
      </c>
      <c r="AT83" t="n">
        <v>87</v>
      </c>
      <c r="AU83">
        <f>'Recurring Log'!C87&amp;""</f>
        <v/>
      </c>
      <c r="AV83">
        <f>'Recurring Log'!D87&amp;""</f>
        <v/>
      </c>
      <c r="AW83">
        <f>IF('Recurring Log'!E87="","",'Recurring Log'!E87)</f>
        <v/>
      </c>
      <c r="AX83">
        <f>IF('Recurring Log'!G87="","",'Recurring Log'!G87)</f>
        <v/>
      </c>
      <c r="AY83">
        <f>IF('Recurring Log'!H87="","",'Recurring Log'!H87)</f>
        <v/>
      </c>
      <c r="AZ83">
        <f>IF(AU83="","",IF('Recurring Log'!J87="","Not Started",'Recurring Log'!J87))</f>
        <v/>
      </c>
      <c r="BA83">
        <f>'Recurring Log'!L87&amp;""</f>
        <v/>
      </c>
      <c r="BB83">
        <f>'Recurring Log'!M87&amp;""</f>
        <v/>
      </c>
      <c r="BC83">
        <f>'Recurring Log'!N87&amp;""</f>
        <v/>
      </c>
      <c r="BD83">
        <f>'Recurring Log'!O87&amp;""</f>
        <v/>
      </c>
      <c r="BE83">
        <f>IF('Recurring Log'!K87="","",'Recurring Log'!K87)</f>
        <v/>
      </c>
      <c r="BF83">
        <f>IFERROR(MATCH(BA83,Setup!$L$6:$L$9,0),5)</f>
        <v/>
      </c>
      <c r="BG83">
        <f>IF(OR(AZ83="Done",AZ83="Cancelled"),1,0)</f>
        <v/>
      </c>
      <c r="BH83">
        <f>IF(AND(AU83&lt;&gt;"",ISNUMBER(AW83)),1,0)</f>
        <v/>
      </c>
      <c r="BI83">
        <f>IF(BH83=0,0,IF(AND(AW83&gt;='Tasks Filter'!$F$3,AW83&lt;='Tasks Filter'!$F$4,OR('Tasks Filter'!$I$3="",ISNUMBER(SEARCH('Tasks Filter'!$I$3,AU83))),OR('Tasks Filter'!$I$4="",BF83=IFERROR(MATCH('Tasks Filter'!$I$4,Setup!$L$6:$L$9,0),0)),OR('Tasks Filter'!$I$5="Both",AND('Tasks Filter'!$I$5="Yes",BB83="✓"),AND('Tasks Filter'!$I$5="No",BB83&lt;&gt;"✓")),OR('Tasks Filter'!$L$3="",AV83='Tasks Filter'!$L$3),OR('Tasks Filter'!$L$4="",AZ83='Tasks Filter'!$L$4),OR('Tasks Filter'!$L$5="",BC83='Tasks Filter'!$L$5),OR('Tasks Filter'!$O$3="",BD83='Tasks Filter'!$O$3),OR('Tasks Filter'!$O$4="Yes",BG83=0)),1,0))</f>
        <v/>
      </c>
      <c r="BJ83">
        <f>IF(BH83=0,"",IF('Tasks Filter'!$F$6="Descending",-1,1)*CHOOSE(MATCH('Tasks Filter'!$F$5,Lists!$G$2:$G$6,0),AW83,BF83,IFERROR(MATCH(AV83,Setup!$F$6:$F$15,0),99),IFERROR(MATCH(BC83,Setup!$H$6:$H$15,0),99),IFERROR(MATCH(AZ83,Setup!$J$6:$J$11,0),99))*1E+9+(AW83-40000)*10000+82)</f>
        <v/>
      </c>
      <c r="BK83">
        <f>IF(BI83=1,BJ83,"")</f>
        <v/>
      </c>
      <c r="BL83">
        <f>IF(AND(BH83=1,BG83=0,N(AW83)&lt;Setup!$D$7),(AW83-40000)*10000+82,"")</f>
        <v/>
      </c>
      <c r="BM83">
        <f>IF(AND(BH83=1,AZ83&lt;&gt;"Cancelled",N(AW83)&gt;=Dashboard!$AB$3,N(AW83)&lt;=Dashboard!$AB$3+6),(AW83-40000)*100000+BF83*10000+82,"")</f>
        <v/>
      </c>
      <c r="BN83">
        <f>IF(AND(BH83=1,AZ83&lt;&gt;"Cancelled"),BF83*10000+82,"")</f>
        <v/>
      </c>
    </row>
    <row r="84">
      <c r="A84">
        <f>Setup!$D$5+82</f>
        <v/>
      </c>
      <c r="B84">
        <f>IF('Recurring Schedule'!$C$6="","",IF('Recurring Schedule'!$F$6="","",IF(OR($A84&lt;'Recurring Schedule'!$F$6,$A84&gt;'Recurring Schedule'!$P$6),"",IF(IF('Recurring Schedule'!$N$6&gt;0,MOD($A84-'Recurring Schedule'!$F$6,'Recurring Schedule'!$N$6)=0,IF('Recurring Schedule'!$O$6&gt;0,AND(DAY($A84)=MIN(DAY('Recurring Schedule'!$F$6),DAY(EOMONTH($A84,0))),MOD((YEAR($A84)-YEAR('Recurring Schedule'!$F$6))*12+MONTH($A84)-MONTH('Recurring Schedule'!$F$6),'Recurring Schedule'!$O$6)=0),IF('Recurring Schedule'!$E$6="Weekdays",WEEKDAY($A84,2)&lt;=5,$A84='Recurring Schedule'!$F$6))),1,""))))</f>
        <v/>
      </c>
      <c r="C84">
        <f>IF('Recurring Schedule'!$C$7="","",IF('Recurring Schedule'!$F$7="","",IF(OR($A84&lt;'Recurring Schedule'!$F$7,$A84&gt;'Recurring Schedule'!$P$7),"",IF(IF('Recurring Schedule'!$N$7&gt;0,MOD($A84-'Recurring Schedule'!$F$7,'Recurring Schedule'!$N$7)=0,IF('Recurring Schedule'!$O$7&gt;0,AND(DAY($A84)=MIN(DAY('Recurring Schedule'!$F$7),DAY(EOMONTH($A84,0))),MOD((YEAR($A84)-YEAR('Recurring Schedule'!$F$7))*12+MONTH($A84)-MONTH('Recurring Schedule'!$F$7),'Recurring Schedule'!$O$7)=0),IF('Recurring Schedule'!$E$7="Weekdays",WEEKDAY($A84,2)&lt;=5,$A84='Recurring Schedule'!$F$7))),2,""))))</f>
        <v/>
      </c>
      <c r="D84">
        <f>IF('Recurring Schedule'!$C$8="","",IF('Recurring Schedule'!$F$8="","",IF(OR($A84&lt;'Recurring Schedule'!$F$8,$A84&gt;'Recurring Schedule'!$P$8),"",IF(IF('Recurring Schedule'!$N$8&gt;0,MOD($A84-'Recurring Schedule'!$F$8,'Recurring Schedule'!$N$8)=0,IF('Recurring Schedule'!$O$8&gt;0,AND(DAY($A84)=MIN(DAY('Recurring Schedule'!$F$8),DAY(EOMONTH($A84,0))),MOD((YEAR($A84)-YEAR('Recurring Schedule'!$F$8))*12+MONTH($A84)-MONTH('Recurring Schedule'!$F$8),'Recurring Schedule'!$O$8)=0),IF('Recurring Schedule'!$E$8="Weekdays",WEEKDAY($A84,2)&lt;=5,$A84='Recurring Schedule'!$F$8))),3,""))))</f>
        <v/>
      </c>
      <c r="E84">
        <f>IF('Recurring Schedule'!$C$9="","",IF('Recurring Schedule'!$F$9="","",IF(OR($A84&lt;'Recurring Schedule'!$F$9,$A84&gt;'Recurring Schedule'!$P$9),"",IF(IF('Recurring Schedule'!$N$9&gt;0,MOD($A84-'Recurring Schedule'!$F$9,'Recurring Schedule'!$N$9)=0,IF('Recurring Schedule'!$O$9&gt;0,AND(DAY($A84)=MIN(DAY('Recurring Schedule'!$F$9),DAY(EOMONTH($A84,0))),MOD((YEAR($A84)-YEAR('Recurring Schedule'!$F$9))*12+MONTH($A84)-MONTH('Recurring Schedule'!$F$9),'Recurring Schedule'!$O$9)=0),IF('Recurring Schedule'!$E$9="Weekdays",WEEKDAY($A84,2)&lt;=5,$A84='Recurring Schedule'!$F$9))),4,""))))</f>
        <v/>
      </c>
      <c r="F84">
        <f>IF('Recurring Schedule'!$C$10="","",IF('Recurring Schedule'!$F$10="","",IF(OR($A84&lt;'Recurring Schedule'!$F$10,$A84&gt;'Recurring Schedule'!$P$10),"",IF(IF('Recurring Schedule'!$N$10&gt;0,MOD($A84-'Recurring Schedule'!$F$10,'Recurring Schedule'!$N$10)=0,IF('Recurring Schedule'!$O$10&gt;0,AND(DAY($A84)=MIN(DAY('Recurring Schedule'!$F$10),DAY(EOMONTH($A84,0))),MOD((YEAR($A84)-YEAR('Recurring Schedule'!$F$10))*12+MONTH($A84)-MONTH('Recurring Schedule'!$F$10),'Recurring Schedule'!$O$10)=0),IF('Recurring Schedule'!$E$10="Weekdays",WEEKDAY($A84,2)&lt;=5,$A84='Recurring Schedule'!$F$10))),5,""))))</f>
        <v/>
      </c>
      <c r="G84">
        <f>IF('Recurring Schedule'!$C$11="","",IF('Recurring Schedule'!$F$11="","",IF(OR($A84&lt;'Recurring Schedule'!$F$11,$A84&gt;'Recurring Schedule'!$P$11),"",IF(IF('Recurring Schedule'!$N$11&gt;0,MOD($A84-'Recurring Schedule'!$F$11,'Recurring Schedule'!$N$11)=0,IF('Recurring Schedule'!$O$11&gt;0,AND(DAY($A84)=MIN(DAY('Recurring Schedule'!$F$11),DAY(EOMONTH($A84,0))),MOD((YEAR($A84)-YEAR('Recurring Schedule'!$F$11))*12+MONTH($A84)-MONTH('Recurring Schedule'!$F$11),'Recurring Schedule'!$O$11)=0),IF('Recurring Schedule'!$E$11="Weekdays",WEEKDAY($A84,2)&lt;=5,$A84='Recurring Schedule'!$F$11))),6,""))))</f>
        <v/>
      </c>
      <c r="H84">
        <f>IF('Recurring Schedule'!$C$12="","",IF('Recurring Schedule'!$F$12="","",IF(OR($A84&lt;'Recurring Schedule'!$F$12,$A84&gt;'Recurring Schedule'!$P$12),"",IF(IF('Recurring Schedule'!$N$12&gt;0,MOD($A84-'Recurring Schedule'!$F$12,'Recurring Schedule'!$N$12)=0,IF('Recurring Schedule'!$O$12&gt;0,AND(DAY($A84)=MIN(DAY('Recurring Schedule'!$F$12),DAY(EOMONTH($A84,0))),MOD((YEAR($A84)-YEAR('Recurring Schedule'!$F$12))*12+MONTH($A84)-MONTH('Recurring Schedule'!$F$12),'Recurring Schedule'!$O$12)=0),IF('Recurring Schedule'!$E$12="Weekdays",WEEKDAY($A84,2)&lt;=5,$A84='Recurring Schedule'!$F$12))),7,""))))</f>
        <v/>
      </c>
      <c r="I84">
        <f>IF('Recurring Schedule'!$C$13="","",IF('Recurring Schedule'!$F$13="","",IF(OR($A84&lt;'Recurring Schedule'!$F$13,$A84&gt;'Recurring Schedule'!$P$13),"",IF(IF('Recurring Schedule'!$N$13&gt;0,MOD($A84-'Recurring Schedule'!$F$13,'Recurring Schedule'!$N$13)=0,IF('Recurring Schedule'!$O$13&gt;0,AND(DAY($A84)=MIN(DAY('Recurring Schedule'!$F$13),DAY(EOMONTH($A84,0))),MOD((YEAR($A84)-YEAR('Recurring Schedule'!$F$13))*12+MONTH($A84)-MONTH('Recurring Schedule'!$F$13),'Recurring Schedule'!$O$13)=0),IF('Recurring Schedule'!$E$13="Weekdays",WEEKDAY($A84,2)&lt;=5,$A84='Recurring Schedule'!$F$13))),8,""))))</f>
        <v/>
      </c>
      <c r="J84">
        <f>IF('Recurring Schedule'!$C$14="","",IF('Recurring Schedule'!$F$14="","",IF(OR($A84&lt;'Recurring Schedule'!$F$14,$A84&gt;'Recurring Schedule'!$P$14),"",IF(IF('Recurring Schedule'!$N$14&gt;0,MOD($A84-'Recurring Schedule'!$F$14,'Recurring Schedule'!$N$14)=0,IF('Recurring Schedule'!$O$14&gt;0,AND(DAY($A84)=MIN(DAY('Recurring Schedule'!$F$14),DAY(EOMONTH($A84,0))),MOD((YEAR($A84)-YEAR('Recurring Schedule'!$F$14))*12+MONTH($A84)-MONTH('Recurring Schedule'!$F$14),'Recurring Schedule'!$O$14)=0),IF('Recurring Schedule'!$E$14="Weekdays",WEEKDAY($A84,2)&lt;=5,$A84='Recurring Schedule'!$F$14))),9,""))))</f>
        <v/>
      </c>
      <c r="K84">
        <f>IF('Recurring Schedule'!$C$15="","",IF('Recurring Schedule'!$F$15="","",IF(OR($A84&lt;'Recurring Schedule'!$F$15,$A84&gt;'Recurring Schedule'!$P$15),"",IF(IF('Recurring Schedule'!$N$15&gt;0,MOD($A84-'Recurring Schedule'!$F$15,'Recurring Schedule'!$N$15)=0,IF('Recurring Schedule'!$O$15&gt;0,AND(DAY($A84)=MIN(DAY('Recurring Schedule'!$F$15),DAY(EOMONTH($A84,0))),MOD((YEAR($A84)-YEAR('Recurring Schedule'!$F$15))*12+MONTH($A84)-MONTH('Recurring Schedule'!$F$15),'Recurring Schedule'!$O$15)=0),IF('Recurring Schedule'!$E$15="Weekdays",WEEKDAY($A84,2)&lt;=5,$A84='Recurring Schedule'!$F$15))),10,""))))</f>
        <v/>
      </c>
      <c r="L84">
        <f>IF('Recurring Schedule'!$C$16="","",IF('Recurring Schedule'!$F$16="","",IF(OR($A84&lt;'Recurring Schedule'!$F$16,$A84&gt;'Recurring Schedule'!$P$16),"",IF(IF('Recurring Schedule'!$N$16&gt;0,MOD($A84-'Recurring Schedule'!$F$16,'Recurring Schedule'!$N$16)=0,IF('Recurring Schedule'!$O$16&gt;0,AND(DAY($A84)=MIN(DAY('Recurring Schedule'!$F$16),DAY(EOMONTH($A84,0))),MOD((YEAR($A84)-YEAR('Recurring Schedule'!$F$16))*12+MONTH($A84)-MONTH('Recurring Schedule'!$F$16),'Recurring Schedule'!$O$16)=0),IF('Recurring Schedule'!$E$16="Weekdays",WEEKDAY($A84,2)&lt;=5,$A84='Recurring Schedule'!$F$16))),11,""))))</f>
        <v/>
      </c>
      <c r="M84">
        <f>IF('Recurring Schedule'!$C$17="","",IF('Recurring Schedule'!$F$17="","",IF(OR($A84&lt;'Recurring Schedule'!$F$17,$A84&gt;'Recurring Schedule'!$P$17),"",IF(IF('Recurring Schedule'!$N$17&gt;0,MOD($A84-'Recurring Schedule'!$F$17,'Recurring Schedule'!$N$17)=0,IF('Recurring Schedule'!$O$17&gt;0,AND(DAY($A84)=MIN(DAY('Recurring Schedule'!$F$17),DAY(EOMONTH($A84,0))),MOD((YEAR($A84)-YEAR('Recurring Schedule'!$F$17))*12+MONTH($A84)-MONTH('Recurring Schedule'!$F$17),'Recurring Schedule'!$O$17)=0),IF('Recurring Schedule'!$E$17="Weekdays",WEEKDAY($A84,2)&lt;=5,$A84='Recurring Schedule'!$F$17))),12,""))))</f>
        <v/>
      </c>
      <c r="N84">
        <f>IF('Recurring Schedule'!$C$18="","",IF('Recurring Schedule'!$F$18="","",IF(OR($A84&lt;'Recurring Schedule'!$F$18,$A84&gt;'Recurring Schedule'!$P$18),"",IF(IF('Recurring Schedule'!$N$18&gt;0,MOD($A84-'Recurring Schedule'!$F$18,'Recurring Schedule'!$N$18)=0,IF('Recurring Schedule'!$O$18&gt;0,AND(DAY($A84)=MIN(DAY('Recurring Schedule'!$F$18),DAY(EOMONTH($A84,0))),MOD((YEAR($A84)-YEAR('Recurring Schedule'!$F$18))*12+MONTH($A84)-MONTH('Recurring Schedule'!$F$18),'Recurring Schedule'!$O$18)=0),IF('Recurring Schedule'!$E$18="Weekdays",WEEKDAY($A84,2)&lt;=5,$A84='Recurring Schedule'!$F$18))),13,""))))</f>
        <v/>
      </c>
      <c r="O84">
        <f>IF('Recurring Schedule'!$C$19="","",IF('Recurring Schedule'!$F$19="","",IF(OR($A84&lt;'Recurring Schedule'!$F$19,$A84&gt;'Recurring Schedule'!$P$19),"",IF(IF('Recurring Schedule'!$N$19&gt;0,MOD($A84-'Recurring Schedule'!$F$19,'Recurring Schedule'!$N$19)=0,IF('Recurring Schedule'!$O$19&gt;0,AND(DAY($A84)=MIN(DAY('Recurring Schedule'!$F$19),DAY(EOMONTH($A84,0))),MOD((YEAR($A84)-YEAR('Recurring Schedule'!$F$19))*12+MONTH($A84)-MONTH('Recurring Schedule'!$F$19),'Recurring Schedule'!$O$19)=0),IF('Recurring Schedule'!$E$19="Weekdays",WEEKDAY($A84,2)&lt;=5,$A84='Recurring Schedule'!$F$19))),14,""))))</f>
        <v/>
      </c>
      <c r="P84">
        <f>IF('Recurring Schedule'!$C$20="","",IF('Recurring Schedule'!$F$20="","",IF(OR($A84&lt;'Recurring Schedule'!$F$20,$A84&gt;'Recurring Schedule'!$P$20),"",IF(IF('Recurring Schedule'!$N$20&gt;0,MOD($A84-'Recurring Schedule'!$F$20,'Recurring Schedule'!$N$20)=0,IF('Recurring Schedule'!$O$20&gt;0,AND(DAY($A84)=MIN(DAY('Recurring Schedule'!$F$20),DAY(EOMONTH($A84,0))),MOD((YEAR($A84)-YEAR('Recurring Schedule'!$F$20))*12+MONTH($A84)-MONTH('Recurring Schedule'!$F$20),'Recurring Schedule'!$O$20)=0),IF('Recurring Schedule'!$E$20="Weekdays",WEEKDAY($A84,2)&lt;=5,$A84='Recurring Schedule'!$F$20))),15,""))))</f>
        <v/>
      </c>
      <c r="Q84">
        <f>IF('Recurring Schedule'!$C$21="","",IF('Recurring Schedule'!$F$21="","",IF(OR($A84&lt;'Recurring Schedule'!$F$21,$A84&gt;'Recurring Schedule'!$P$21),"",IF(IF('Recurring Schedule'!$N$21&gt;0,MOD($A84-'Recurring Schedule'!$F$21,'Recurring Schedule'!$N$21)=0,IF('Recurring Schedule'!$O$21&gt;0,AND(DAY($A84)=MIN(DAY('Recurring Schedule'!$F$21),DAY(EOMONTH($A84,0))),MOD((YEAR($A84)-YEAR('Recurring Schedule'!$F$21))*12+MONTH($A84)-MONTH('Recurring Schedule'!$F$21),'Recurring Schedule'!$O$21)=0),IF('Recurring Schedule'!$E$21="Weekdays",WEEKDAY($A84,2)&lt;=5,$A84='Recurring Schedule'!$F$21))),16,""))))</f>
        <v/>
      </c>
      <c r="R84">
        <f>IF('Recurring Schedule'!$C$22="","",IF('Recurring Schedule'!$F$22="","",IF(OR($A84&lt;'Recurring Schedule'!$F$22,$A84&gt;'Recurring Schedule'!$P$22),"",IF(IF('Recurring Schedule'!$N$22&gt;0,MOD($A84-'Recurring Schedule'!$F$22,'Recurring Schedule'!$N$22)=0,IF('Recurring Schedule'!$O$22&gt;0,AND(DAY($A84)=MIN(DAY('Recurring Schedule'!$F$22),DAY(EOMONTH($A84,0))),MOD((YEAR($A84)-YEAR('Recurring Schedule'!$F$22))*12+MONTH($A84)-MONTH('Recurring Schedule'!$F$22),'Recurring Schedule'!$O$22)=0),IF('Recurring Schedule'!$E$22="Weekdays",WEEKDAY($A84,2)&lt;=5,$A84='Recurring Schedule'!$F$22))),17,""))))</f>
        <v/>
      </c>
      <c r="S84">
        <f>IF('Recurring Schedule'!$C$23="","",IF('Recurring Schedule'!$F$23="","",IF(OR($A84&lt;'Recurring Schedule'!$F$23,$A84&gt;'Recurring Schedule'!$P$23),"",IF(IF('Recurring Schedule'!$N$23&gt;0,MOD($A84-'Recurring Schedule'!$F$23,'Recurring Schedule'!$N$23)=0,IF('Recurring Schedule'!$O$23&gt;0,AND(DAY($A84)=MIN(DAY('Recurring Schedule'!$F$23),DAY(EOMONTH($A84,0))),MOD((YEAR($A84)-YEAR('Recurring Schedule'!$F$23))*12+MONTH($A84)-MONTH('Recurring Schedule'!$F$23),'Recurring Schedule'!$O$23)=0),IF('Recurring Schedule'!$E$23="Weekdays",WEEKDAY($A84,2)&lt;=5,$A84='Recurring Schedule'!$F$23))),18,""))))</f>
        <v/>
      </c>
      <c r="T84">
        <f>IF('Recurring Schedule'!$C$24="","",IF('Recurring Schedule'!$F$24="","",IF(OR($A84&lt;'Recurring Schedule'!$F$24,$A84&gt;'Recurring Schedule'!$P$24),"",IF(IF('Recurring Schedule'!$N$24&gt;0,MOD($A84-'Recurring Schedule'!$F$24,'Recurring Schedule'!$N$24)=0,IF('Recurring Schedule'!$O$24&gt;0,AND(DAY($A84)=MIN(DAY('Recurring Schedule'!$F$24),DAY(EOMONTH($A84,0))),MOD((YEAR($A84)-YEAR('Recurring Schedule'!$F$24))*12+MONTH($A84)-MONTH('Recurring Schedule'!$F$24),'Recurring Schedule'!$O$24)=0),IF('Recurring Schedule'!$E$24="Weekdays",WEEKDAY($A84,2)&lt;=5,$A84='Recurring Schedule'!$F$24))),19,""))))</f>
        <v/>
      </c>
      <c r="U84">
        <f>IF('Recurring Schedule'!$C$25="","",IF('Recurring Schedule'!$F$25="","",IF(OR($A84&lt;'Recurring Schedule'!$F$25,$A84&gt;'Recurring Schedule'!$P$25),"",IF(IF('Recurring Schedule'!$N$25&gt;0,MOD($A84-'Recurring Schedule'!$F$25,'Recurring Schedule'!$N$25)=0,IF('Recurring Schedule'!$O$25&gt;0,AND(DAY($A84)=MIN(DAY('Recurring Schedule'!$F$25),DAY(EOMONTH($A84,0))),MOD((YEAR($A84)-YEAR('Recurring Schedule'!$F$25))*12+MONTH($A84)-MONTH('Recurring Schedule'!$F$25),'Recurring Schedule'!$O$25)=0),IF('Recurring Schedule'!$E$25="Weekdays",WEEKDAY($A84,2)&lt;=5,$A84='Recurring Schedule'!$F$25))),20,""))))</f>
        <v/>
      </c>
      <c r="V84">
        <f>IF('Recurring Schedule'!$C$26="","",IF('Recurring Schedule'!$F$26="","",IF(OR($A84&lt;'Recurring Schedule'!$F$26,$A84&gt;'Recurring Schedule'!$P$26),"",IF(IF('Recurring Schedule'!$N$26&gt;0,MOD($A84-'Recurring Schedule'!$F$26,'Recurring Schedule'!$N$26)=0,IF('Recurring Schedule'!$O$26&gt;0,AND(DAY($A84)=MIN(DAY('Recurring Schedule'!$F$26),DAY(EOMONTH($A84,0))),MOD((YEAR($A84)-YEAR('Recurring Schedule'!$F$26))*12+MONTH($A84)-MONTH('Recurring Schedule'!$F$26),'Recurring Schedule'!$O$26)=0),IF('Recurring Schedule'!$E$26="Weekdays",WEEKDAY($A84,2)&lt;=5,$A84='Recurring Schedule'!$F$26))),21,""))))</f>
        <v/>
      </c>
      <c r="W84">
        <f>IF('Recurring Schedule'!$C$27="","",IF('Recurring Schedule'!$F$27="","",IF(OR($A84&lt;'Recurring Schedule'!$F$27,$A84&gt;'Recurring Schedule'!$P$27),"",IF(IF('Recurring Schedule'!$N$27&gt;0,MOD($A84-'Recurring Schedule'!$F$27,'Recurring Schedule'!$N$27)=0,IF('Recurring Schedule'!$O$27&gt;0,AND(DAY($A84)=MIN(DAY('Recurring Schedule'!$F$27),DAY(EOMONTH($A84,0))),MOD((YEAR($A84)-YEAR('Recurring Schedule'!$F$27))*12+MONTH($A84)-MONTH('Recurring Schedule'!$F$27),'Recurring Schedule'!$O$27)=0),IF('Recurring Schedule'!$E$27="Weekdays",WEEKDAY($A84,2)&lt;=5,$A84='Recurring Schedule'!$F$27))),22,""))))</f>
        <v/>
      </c>
      <c r="X84">
        <f>IF('Recurring Schedule'!$C$28="","",IF('Recurring Schedule'!$F$28="","",IF(OR($A84&lt;'Recurring Schedule'!$F$28,$A84&gt;'Recurring Schedule'!$P$28),"",IF(IF('Recurring Schedule'!$N$28&gt;0,MOD($A84-'Recurring Schedule'!$F$28,'Recurring Schedule'!$N$28)=0,IF('Recurring Schedule'!$O$28&gt;0,AND(DAY($A84)=MIN(DAY('Recurring Schedule'!$F$28),DAY(EOMONTH($A84,0))),MOD((YEAR($A84)-YEAR('Recurring Schedule'!$F$28))*12+MONTH($A84)-MONTH('Recurring Schedule'!$F$28),'Recurring Schedule'!$O$28)=0),IF('Recurring Schedule'!$E$28="Weekdays",WEEKDAY($A84,2)&lt;=5,$A84='Recurring Schedule'!$F$28))),23,""))))</f>
        <v/>
      </c>
      <c r="Y84">
        <f>IF('Recurring Schedule'!$C$29="","",IF('Recurring Schedule'!$F$29="","",IF(OR($A84&lt;'Recurring Schedule'!$F$29,$A84&gt;'Recurring Schedule'!$P$29),"",IF(IF('Recurring Schedule'!$N$29&gt;0,MOD($A84-'Recurring Schedule'!$F$29,'Recurring Schedule'!$N$29)=0,IF('Recurring Schedule'!$O$29&gt;0,AND(DAY($A84)=MIN(DAY('Recurring Schedule'!$F$29),DAY(EOMONTH($A84,0))),MOD((YEAR($A84)-YEAR('Recurring Schedule'!$F$29))*12+MONTH($A84)-MONTH('Recurring Schedule'!$F$29),'Recurring Schedule'!$O$29)=0),IF('Recurring Schedule'!$E$29="Weekdays",WEEKDAY($A84,2)&lt;=5,$A84='Recurring Schedule'!$F$29))),24,""))))</f>
        <v/>
      </c>
      <c r="Z84">
        <f>IF('Recurring Schedule'!$C$30="","",IF('Recurring Schedule'!$F$30="","",IF(OR($A84&lt;'Recurring Schedule'!$F$30,$A84&gt;'Recurring Schedule'!$P$30),"",IF(IF('Recurring Schedule'!$N$30&gt;0,MOD($A84-'Recurring Schedule'!$F$30,'Recurring Schedule'!$N$30)=0,IF('Recurring Schedule'!$O$30&gt;0,AND(DAY($A84)=MIN(DAY('Recurring Schedule'!$F$30),DAY(EOMONTH($A84,0))),MOD((YEAR($A84)-YEAR('Recurring Schedule'!$F$30))*12+MONTH($A84)-MONTH('Recurring Schedule'!$F$30),'Recurring Schedule'!$O$30)=0),IF('Recurring Schedule'!$E$30="Weekdays",WEEKDAY($A84,2)&lt;=5,$A84='Recurring Schedule'!$F$30))),25,""))))</f>
        <v/>
      </c>
      <c r="AA84">
        <f>IF('Recurring Schedule'!$C$31="","",IF('Recurring Schedule'!$F$31="","",IF(OR($A84&lt;'Recurring Schedule'!$F$31,$A84&gt;'Recurring Schedule'!$P$31),"",IF(IF('Recurring Schedule'!$N$31&gt;0,MOD($A84-'Recurring Schedule'!$F$31,'Recurring Schedule'!$N$31)=0,IF('Recurring Schedule'!$O$31&gt;0,AND(DAY($A84)=MIN(DAY('Recurring Schedule'!$F$31),DAY(EOMONTH($A84,0))),MOD((YEAR($A84)-YEAR('Recurring Schedule'!$F$31))*12+MONTH($A84)-MONTH('Recurring Schedule'!$F$31),'Recurring Schedule'!$O$31)=0),IF('Recurring Schedule'!$E$31="Weekdays",WEEKDAY($A84,2)&lt;=5,$A84='Recurring Schedule'!$F$31))),26,""))))</f>
        <v/>
      </c>
      <c r="AB84">
        <f>IF('Recurring Schedule'!$C$32="","",IF('Recurring Schedule'!$F$32="","",IF(OR($A84&lt;'Recurring Schedule'!$F$32,$A84&gt;'Recurring Schedule'!$P$32),"",IF(IF('Recurring Schedule'!$N$32&gt;0,MOD($A84-'Recurring Schedule'!$F$32,'Recurring Schedule'!$N$32)=0,IF('Recurring Schedule'!$O$32&gt;0,AND(DAY($A84)=MIN(DAY('Recurring Schedule'!$F$32),DAY(EOMONTH($A84,0))),MOD((YEAR($A84)-YEAR('Recurring Schedule'!$F$32))*12+MONTH($A84)-MONTH('Recurring Schedule'!$F$32),'Recurring Schedule'!$O$32)=0),IF('Recurring Schedule'!$E$32="Weekdays",WEEKDAY($A84,2)&lt;=5,$A84='Recurring Schedule'!$F$32))),27,""))))</f>
        <v/>
      </c>
      <c r="AC84">
        <f>IF('Recurring Schedule'!$C$33="","",IF('Recurring Schedule'!$F$33="","",IF(OR($A84&lt;'Recurring Schedule'!$F$33,$A84&gt;'Recurring Schedule'!$P$33),"",IF(IF('Recurring Schedule'!$N$33&gt;0,MOD($A84-'Recurring Schedule'!$F$33,'Recurring Schedule'!$N$33)=0,IF('Recurring Schedule'!$O$33&gt;0,AND(DAY($A84)=MIN(DAY('Recurring Schedule'!$F$33),DAY(EOMONTH($A84,0))),MOD((YEAR($A84)-YEAR('Recurring Schedule'!$F$33))*12+MONTH($A84)-MONTH('Recurring Schedule'!$F$33),'Recurring Schedule'!$O$33)=0),IF('Recurring Schedule'!$E$33="Weekdays",WEEKDAY($A84,2)&lt;=5,$A84='Recurring Schedule'!$F$33))),28,""))))</f>
        <v/>
      </c>
      <c r="AD84">
        <f>IF('Recurring Schedule'!$C$34="","",IF('Recurring Schedule'!$F$34="","",IF(OR($A84&lt;'Recurring Schedule'!$F$34,$A84&gt;'Recurring Schedule'!$P$34),"",IF(IF('Recurring Schedule'!$N$34&gt;0,MOD($A84-'Recurring Schedule'!$F$34,'Recurring Schedule'!$N$34)=0,IF('Recurring Schedule'!$O$34&gt;0,AND(DAY($A84)=MIN(DAY('Recurring Schedule'!$F$34),DAY(EOMONTH($A84,0))),MOD((YEAR($A84)-YEAR('Recurring Schedule'!$F$34))*12+MONTH($A84)-MONTH('Recurring Schedule'!$F$34),'Recurring Schedule'!$O$34)=0),IF('Recurring Schedule'!$E$34="Weekdays",WEEKDAY($A84,2)&lt;=5,$A84='Recurring Schedule'!$F$34))),29,""))))</f>
        <v/>
      </c>
      <c r="AE84">
        <f>IF('Recurring Schedule'!$C$35="","",IF('Recurring Schedule'!$F$35="","",IF(OR($A84&lt;'Recurring Schedule'!$F$35,$A84&gt;'Recurring Schedule'!$P$35),"",IF(IF('Recurring Schedule'!$N$35&gt;0,MOD($A84-'Recurring Schedule'!$F$35,'Recurring Schedule'!$N$35)=0,IF('Recurring Schedule'!$O$35&gt;0,AND(DAY($A84)=MIN(DAY('Recurring Schedule'!$F$35),DAY(EOMONTH($A84,0))),MOD((YEAR($A84)-YEAR('Recurring Schedule'!$F$35))*12+MONTH($A84)-MONTH('Recurring Schedule'!$F$35),'Recurring Schedule'!$O$35)=0),IF('Recurring Schedule'!$E$35="Weekdays",WEEKDAY($A84,2)&lt;=5,$A84='Recurring Schedule'!$F$35))),30,""))))</f>
        <v/>
      </c>
      <c r="AF84">
        <f>IF('Recurring Schedule'!$C$36="","",IF('Recurring Schedule'!$F$36="","",IF(OR($A84&lt;'Recurring Schedule'!$F$36,$A84&gt;'Recurring Schedule'!$P$36),"",IF(IF('Recurring Schedule'!$N$36&gt;0,MOD($A84-'Recurring Schedule'!$F$36,'Recurring Schedule'!$N$36)=0,IF('Recurring Schedule'!$O$36&gt;0,AND(DAY($A84)=MIN(DAY('Recurring Schedule'!$F$36),DAY(EOMONTH($A84,0))),MOD((YEAR($A84)-YEAR('Recurring Schedule'!$F$36))*12+MONTH($A84)-MONTH('Recurring Schedule'!$F$36),'Recurring Schedule'!$O$36)=0),IF('Recurring Schedule'!$E$36="Weekdays",WEEKDAY($A84,2)&lt;=5,$A84='Recurring Schedule'!$F$36))),31,""))))</f>
        <v/>
      </c>
      <c r="AG84">
        <f>IF('Recurring Schedule'!$C$37="","",IF('Recurring Schedule'!$F$37="","",IF(OR($A84&lt;'Recurring Schedule'!$F$37,$A84&gt;'Recurring Schedule'!$P$37),"",IF(IF('Recurring Schedule'!$N$37&gt;0,MOD($A84-'Recurring Schedule'!$F$37,'Recurring Schedule'!$N$37)=0,IF('Recurring Schedule'!$O$37&gt;0,AND(DAY($A84)=MIN(DAY('Recurring Schedule'!$F$37),DAY(EOMONTH($A84,0))),MOD((YEAR($A84)-YEAR('Recurring Schedule'!$F$37))*12+MONTH($A84)-MONTH('Recurring Schedule'!$F$37),'Recurring Schedule'!$O$37)=0),IF('Recurring Schedule'!$E$37="Weekdays",WEEKDAY($A84,2)&lt;=5,$A84='Recurring Schedule'!$F$37))),32,""))))</f>
        <v/>
      </c>
      <c r="AH84">
        <f>IF('Recurring Schedule'!$C$38="","",IF('Recurring Schedule'!$F$38="","",IF(OR($A84&lt;'Recurring Schedule'!$F$38,$A84&gt;'Recurring Schedule'!$P$38),"",IF(IF('Recurring Schedule'!$N$38&gt;0,MOD($A84-'Recurring Schedule'!$F$38,'Recurring Schedule'!$N$38)=0,IF('Recurring Schedule'!$O$38&gt;0,AND(DAY($A84)=MIN(DAY('Recurring Schedule'!$F$38),DAY(EOMONTH($A84,0))),MOD((YEAR($A84)-YEAR('Recurring Schedule'!$F$38))*12+MONTH($A84)-MONTH('Recurring Schedule'!$F$38),'Recurring Schedule'!$O$38)=0),IF('Recurring Schedule'!$E$38="Weekdays",WEEKDAY($A84,2)&lt;=5,$A84='Recurring Schedule'!$F$38))),33,""))))</f>
        <v/>
      </c>
      <c r="AI84">
        <f>IF('Recurring Schedule'!$C$39="","",IF('Recurring Schedule'!$F$39="","",IF(OR($A84&lt;'Recurring Schedule'!$F$39,$A84&gt;'Recurring Schedule'!$P$39),"",IF(IF('Recurring Schedule'!$N$39&gt;0,MOD($A84-'Recurring Schedule'!$F$39,'Recurring Schedule'!$N$39)=0,IF('Recurring Schedule'!$O$39&gt;0,AND(DAY($A84)=MIN(DAY('Recurring Schedule'!$F$39),DAY(EOMONTH($A84,0))),MOD((YEAR($A84)-YEAR('Recurring Schedule'!$F$39))*12+MONTH($A84)-MONTH('Recurring Schedule'!$F$39),'Recurring Schedule'!$O$39)=0),IF('Recurring Schedule'!$E$39="Weekdays",WEEKDAY($A84,2)&lt;=5,$A84='Recurring Schedule'!$F$39))),34,""))))</f>
        <v/>
      </c>
      <c r="AJ84">
        <f>IF('Recurring Schedule'!$C$40="","",IF('Recurring Schedule'!$F$40="","",IF(OR($A84&lt;'Recurring Schedule'!$F$40,$A84&gt;'Recurring Schedule'!$P$40),"",IF(IF('Recurring Schedule'!$N$40&gt;0,MOD($A84-'Recurring Schedule'!$F$40,'Recurring Schedule'!$N$40)=0,IF('Recurring Schedule'!$O$40&gt;0,AND(DAY($A84)=MIN(DAY('Recurring Schedule'!$F$40),DAY(EOMONTH($A84,0))),MOD((YEAR($A84)-YEAR('Recurring Schedule'!$F$40))*12+MONTH($A84)-MONTH('Recurring Schedule'!$F$40),'Recurring Schedule'!$O$40)=0),IF('Recurring Schedule'!$E$40="Weekdays",WEEKDAY($A84,2)&lt;=5,$A84='Recurring Schedule'!$F$40))),35,""))))</f>
        <v/>
      </c>
      <c r="AK84">
        <f>IF('Recurring Schedule'!$C$41="","",IF('Recurring Schedule'!$F$41="","",IF(OR($A84&lt;'Recurring Schedule'!$F$41,$A84&gt;'Recurring Schedule'!$P$41),"",IF(IF('Recurring Schedule'!$N$41&gt;0,MOD($A84-'Recurring Schedule'!$F$41,'Recurring Schedule'!$N$41)=0,IF('Recurring Schedule'!$O$41&gt;0,AND(DAY($A84)=MIN(DAY('Recurring Schedule'!$F$41),DAY(EOMONTH($A84,0))),MOD((YEAR($A84)-YEAR('Recurring Schedule'!$F$41))*12+MONTH($A84)-MONTH('Recurring Schedule'!$F$41),'Recurring Schedule'!$O$41)=0),IF('Recurring Schedule'!$E$41="Weekdays",WEEKDAY($A84,2)&lt;=5,$A84='Recurring Schedule'!$F$41))),36,""))))</f>
        <v/>
      </c>
      <c r="AL84">
        <f>IF('Recurring Schedule'!$C$42="","",IF('Recurring Schedule'!$F$42="","",IF(OR($A84&lt;'Recurring Schedule'!$F$42,$A84&gt;'Recurring Schedule'!$P$42),"",IF(IF('Recurring Schedule'!$N$42&gt;0,MOD($A84-'Recurring Schedule'!$F$42,'Recurring Schedule'!$N$42)=0,IF('Recurring Schedule'!$O$42&gt;0,AND(DAY($A84)=MIN(DAY('Recurring Schedule'!$F$42),DAY(EOMONTH($A84,0))),MOD((YEAR($A84)-YEAR('Recurring Schedule'!$F$42))*12+MONTH($A84)-MONTH('Recurring Schedule'!$F$42),'Recurring Schedule'!$O$42)=0),IF('Recurring Schedule'!$E$42="Weekdays",WEEKDAY($A84,2)&lt;=5,$A84='Recurring Schedule'!$F$42))),37,""))))</f>
        <v/>
      </c>
      <c r="AM84">
        <f>IF('Recurring Schedule'!$C$43="","",IF('Recurring Schedule'!$F$43="","",IF(OR($A84&lt;'Recurring Schedule'!$F$43,$A84&gt;'Recurring Schedule'!$P$43),"",IF(IF('Recurring Schedule'!$N$43&gt;0,MOD($A84-'Recurring Schedule'!$F$43,'Recurring Schedule'!$N$43)=0,IF('Recurring Schedule'!$O$43&gt;0,AND(DAY($A84)=MIN(DAY('Recurring Schedule'!$F$43),DAY(EOMONTH($A84,0))),MOD((YEAR($A84)-YEAR('Recurring Schedule'!$F$43))*12+MONTH($A84)-MONTH('Recurring Schedule'!$F$43),'Recurring Schedule'!$O$43)=0),IF('Recurring Schedule'!$E$43="Weekdays",WEEKDAY($A84,2)&lt;=5,$A84='Recurring Schedule'!$F$43))),38,""))))</f>
        <v/>
      </c>
      <c r="AN84">
        <f>IF('Recurring Schedule'!$C$44="","",IF('Recurring Schedule'!$F$44="","",IF(OR($A84&lt;'Recurring Schedule'!$F$44,$A84&gt;'Recurring Schedule'!$P$44),"",IF(IF('Recurring Schedule'!$N$44&gt;0,MOD($A84-'Recurring Schedule'!$F$44,'Recurring Schedule'!$N$44)=0,IF('Recurring Schedule'!$O$44&gt;0,AND(DAY($A84)=MIN(DAY('Recurring Schedule'!$F$44),DAY(EOMONTH($A84,0))),MOD((YEAR($A84)-YEAR('Recurring Schedule'!$F$44))*12+MONTH($A84)-MONTH('Recurring Schedule'!$F$44),'Recurring Schedule'!$O$44)=0),IF('Recurring Schedule'!$E$44="Weekdays",WEEKDAY($A84,2)&lt;=5,$A84='Recurring Schedule'!$F$44))),39,""))))</f>
        <v/>
      </c>
      <c r="AO84">
        <f>IF('Recurring Schedule'!$C$45="","",IF('Recurring Schedule'!$F$45="","",IF(OR($A84&lt;'Recurring Schedule'!$F$45,$A84&gt;'Recurring Schedule'!$P$45),"",IF(IF('Recurring Schedule'!$N$45&gt;0,MOD($A84-'Recurring Schedule'!$F$45,'Recurring Schedule'!$N$45)=0,IF('Recurring Schedule'!$O$45&gt;0,AND(DAY($A84)=MIN(DAY('Recurring Schedule'!$F$45),DAY(EOMONTH($A84,0))),MOD((YEAR($A84)-YEAR('Recurring Schedule'!$F$45))*12+MONTH($A84)-MONTH('Recurring Schedule'!$F$45),'Recurring Schedule'!$O$45)=0),IF('Recurring Schedule'!$E$45="Weekdays",WEEKDAY($A84,2)&lt;=5,$A84='Recurring Schedule'!$F$45))),40,""))))</f>
        <v/>
      </c>
      <c r="AP84">
        <f>COUNT(B84:AO84)</f>
        <v/>
      </c>
      <c r="AQ84">
        <f>AQ83+AP83</f>
        <v/>
      </c>
      <c r="AS84" t="inlineStr">
        <is>
          <t>R</t>
        </is>
      </c>
      <c r="AT84" t="n">
        <v>88</v>
      </c>
      <c r="AU84">
        <f>'Recurring Log'!C88&amp;""</f>
        <v/>
      </c>
      <c r="AV84">
        <f>'Recurring Log'!D88&amp;""</f>
        <v/>
      </c>
      <c r="AW84">
        <f>IF('Recurring Log'!E88="","",'Recurring Log'!E88)</f>
        <v/>
      </c>
      <c r="AX84">
        <f>IF('Recurring Log'!G88="","",'Recurring Log'!G88)</f>
        <v/>
      </c>
      <c r="AY84">
        <f>IF('Recurring Log'!H88="","",'Recurring Log'!H88)</f>
        <v/>
      </c>
      <c r="AZ84">
        <f>IF(AU84="","",IF('Recurring Log'!J88="","Not Started",'Recurring Log'!J88))</f>
        <v/>
      </c>
      <c r="BA84">
        <f>'Recurring Log'!L88&amp;""</f>
        <v/>
      </c>
      <c r="BB84">
        <f>'Recurring Log'!M88&amp;""</f>
        <v/>
      </c>
      <c r="BC84">
        <f>'Recurring Log'!N88&amp;""</f>
        <v/>
      </c>
      <c r="BD84">
        <f>'Recurring Log'!O88&amp;""</f>
        <v/>
      </c>
      <c r="BE84">
        <f>IF('Recurring Log'!K88="","",'Recurring Log'!K88)</f>
        <v/>
      </c>
      <c r="BF84">
        <f>IFERROR(MATCH(BA84,Setup!$L$6:$L$9,0),5)</f>
        <v/>
      </c>
      <c r="BG84">
        <f>IF(OR(AZ84="Done",AZ84="Cancelled"),1,0)</f>
        <v/>
      </c>
      <c r="BH84">
        <f>IF(AND(AU84&lt;&gt;"",ISNUMBER(AW84)),1,0)</f>
        <v/>
      </c>
      <c r="BI84">
        <f>IF(BH84=0,0,IF(AND(AW84&gt;='Tasks Filter'!$F$3,AW84&lt;='Tasks Filter'!$F$4,OR('Tasks Filter'!$I$3="",ISNUMBER(SEARCH('Tasks Filter'!$I$3,AU84))),OR('Tasks Filter'!$I$4="",BF84=IFERROR(MATCH('Tasks Filter'!$I$4,Setup!$L$6:$L$9,0),0)),OR('Tasks Filter'!$I$5="Both",AND('Tasks Filter'!$I$5="Yes",BB84="✓"),AND('Tasks Filter'!$I$5="No",BB84&lt;&gt;"✓")),OR('Tasks Filter'!$L$3="",AV84='Tasks Filter'!$L$3),OR('Tasks Filter'!$L$4="",AZ84='Tasks Filter'!$L$4),OR('Tasks Filter'!$L$5="",BC84='Tasks Filter'!$L$5),OR('Tasks Filter'!$O$3="",BD84='Tasks Filter'!$O$3),OR('Tasks Filter'!$O$4="Yes",BG84=0)),1,0))</f>
        <v/>
      </c>
      <c r="BJ84">
        <f>IF(BH84=0,"",IF('Tasks Filter'!$F$6="Descending",-1,1)*CHOOSE(MATCH('Tasks Filter'!$F$5,Lists!$G$2:$G$6,0),AW84,BF84,IFERROR(MATCH(AV84,Setup!$F$6:$F$15,0),99),IFERROR(MATCH(BC84,Setup!$H$6:$H$15,0),99),IFERROR(MATCH(AZ84,Setup!$J$6:$J$11,0),99))*1E+9+(AW84-40000)*10000+83)</f>
        <v/>
      </c>
      <c r="BK84">
        <f>IF(BI84=1,BJ84,"")</f>
        <v/>
      </c>
      <c r="BL84">
        <f>IF(AND(BH84=1,BG84=0,N(AW84)&lt;Setup!$D$7),(AW84-40000)*10000+83,"")</f>
        <v/>
      </c>
      <c r="BM84">
        <f>IF(AND(BH84=1,AZ84&lt;&gt;"Cancelled",N(AW84)&gt;=Dashboard!$AB$3,N(AW84)&lt;=Dashboard!$AB$3+6),(AW84-40000)*100000+BF84*10000+83,"")</f>
        <v/>
      </c>
      <c r="BN84">
        <f>IF(AND(BH84=1,AZ84&lt;&gt;"Cancelled"),BF84*10000+83,"")</f>
        <v/>
      </c>
    </row>
    <row r="85">
      <c r="A85">
        <f>Setup!$D$5+83</f>
        <v/>
      </c>
      <c r="B85">
        <f>IF('Recurring Schedule'!$C$6="","",IF('Recurring Schedule'!$F$6="","",IF(OR($A85&lt;'Recurring Schedule'!$F$6,$A85&gt;'Recurring Schedule'!$P$6),"",IF(IF('Recurring Schedule'!$N$6&gt;0,MOD($A85-'Recurring Schedule'!$F$6,'Recurring Schedule'!$N$6)=0,IF('Recurring Schedule'!$O$6&gt;0,AND(DAY($A85)=MIN(DAY('Recurring Schedule'!$F$6),DAY(EOMONTH($A85,0))),MOD((YEAR($A85)-YEAR('Recurring Schedule'!$F$6))*12+MONTH($A85)-MONTH('Recurring Schedule'!$F$6),'Recurring Schedule'!$O$6)=0),IF('Recurring Schedule'!$E$6="Weekdays",WEEKDAY($A85,2)&lt;=5,$A85='Recurring Schedule'!$F$6))),1,""))))</f>
        <v/>
      </c>
      <c r="C85">
        <f>IF('Recurring Schedule'!$C$7="","",IF('Recurring Schedule'!$F$7="","",IF(OR($A85&lt;'Recurring Schedule'!$F$7,$A85&gt;'Recurring Schedule'!$P$7),"",IF(IF('Recurring Schedule'!$N$7&gt;0,MOD($A85-'Recurring Schedule'!$F$7,'Recurring Schedule'!$N$7)=0,IF('Recurring Schedule'!$O$7&gt;0,AND(DAY($A85)=MIN(DAY('Recurring Schedule'!$F$7),DAY(EOMONTH($A85,0))),MOD((YEAR($A85)-YEAR('Recurring Schedule'!$F$7))*12+MONTH($A85)-MONTH('Recurring Schedule'!$F$7),'Recurring Schedule'!$O$7)=0),IF('Recurring Schedule'!$E$7="Weekdays",WEEKDAY($A85,2)&lt;=5,$A85='Recurring Schedule'!$F$7))),2,""))))</f>
        <v/>
      </c>
      <c r="D85">
        <f>IF('Recurring Schedule'!$C$8="","",IF('Recurring Schedule'!$F$8="","",IF(OR($A85&lt;'Recurring Schedule'!$F$8,$A85&gt;'Recurring Schedule'!$P$8),"",IF(IF('Recurring Schedule'!$N$8&gt;0,MOD($A85-'Recurring Schedule'!$F$8,'Recurring Schedule'!$N$8)=0,IF('Recurring Schedule'!$O$8&gt;0,AND(DAY($A85)=MIN(DAY('Recurring Schedule'!$F$8),DAY(EOMONTH($A85,0))),MOD((YEAR($A85)-YEAR('Recurring Schedule'!$F$8))*12+MONTH($A85)-MONTH('Recurring Schedule'!$F$8),'Recurring Schedule'!$O$8)=0),IF('Recurring Schedule'!$E$8="Weekdays",WEEKDAY($A85,2)&lt;=5,$A85='Recurring Schedule'!$F$8))),3,""))))</f>
        <v/>
      </c>
      <c r="E85">
        <f>IF('Recurring Schedule'!$C$9="","",IF('Recurring Schedule'!$F$9="","",IF(OR($A85&lt;'Recurring Schedule'!$F$9,$A85&gt;'Recurring Schedule'!$P$9),"",IF(IF('Recurring Schedule'!$N$9&gt;0,MOD($A85-'Recurring Schedule'!$F$9,'Recurring Schedule'!$N$9)=0,IF('Recurring Schedule'!$O$9&gt;0,AND(DAY($A85)=MIN(DAY('Recurring Schedule'!$F$9),DAY(EOMONTH($A85,0))),MOD((YEAR($A85)-YEAR('Recurring Schedule'!$F$9))*12+MONTH($A85)-MONTH('Recurring Schedule'!$F$9),'Recurring Schedule'!$O$9)=0),IF('Recurring Schedule'!$E$9="Weekdays",WEEKDAY($A85,2)&lt;=5,$A85='Recurring Schedule'!$F$9))),4,""))))</f>
        <v/>
      </c>
      <c r="F85">
        <f>IF('Recurring Schedule'!$C$10="","",IF('Recurring Schedule'!$F$10="","",IF(OR($A85&lt;'Recurring Schedule'!$F$10,$A85&gt;'Recurring Schedule'!$P$10),"",IF(IF('Recurring Schedule'!$N$10&gt;0,MOD($A85-'Recurring Schedule'!$F$10,'Recurring Schedule'!$N$10)=0,IF('Recurring Schedule'!$O$10&gt;0,AND(DAY($A85)=MIN(DAY('Recurring Schedule'!$F$10),DAY(EOMONTH($A85,0))),MOD((YEAR($A85)-YEAR('Recurring Schedule'!$F$10))*12+MONTH($A85)-MONTH('Recurring Schedule'!$F$10),'Recurring Schedule'!$O$10)=0),IF('Recurring Schedule'!$E$10="Weekdays",WEEKDAY($A85,2)&lt;=5,$A85='Recurring Schedule'!$F$10))),5,""))))</f>
        <v/>
      </c>
      <c r="G85">
        <f>IF('Recurring Schedule'!$C$11="","",IF('Recurring Schedule'!$F$11="","",IF(OR($A85&lt;'Recurring Schedule'!$F$11,$A85&gt;'Recurring Schedule'!$P$11),"",IF(IF('Recurring Schedule'!$N$11&gt;0,MOD($A85-'Recurring Schedule'!$F$11,'Recurring Schedule'!$N$11)=0,IF('Recurring Schedule'!$O$11&gt;0,AND(DAY($A85)=MIN(DAY('Recurring Schedule'!$F$11),DAY(EOMONTH($A85,0))),MOD((YEAR($A85)-YEAR('Recurring Schedule'!$F$11))*12+MONTH($A85)-MONTH('Recurring Schedule'!$F$11),'Recurring Schedule'!$O$11)=0),IF('Recurring Schedule'!$E$11="Weekdays",WEEKDAY($A85,2)&lt;=5,$A85='Recurring Schedule'!$F$11))),6,""))))</f>
        <v/>
      </c>
      <c r="H85">
        <f>IF('Recurring Schedule'!$C$12="","",IF('Recurring Schedule'!$F$12="","",IF(OR($A85&lt;'Recurring Schedule'!$F$12,$A85&gt;'Recurring Schedule'!$P$12),"",IF(IF('Recurring Schedule'!$N$12&gt;0,MOD($A85-'Recurring Schedule'!$F$12,'Recurring Schedule'!$N$12)=0,IF('Recurring Schedule'!$O$12&gt;0,AND(DAY($A85)=MIN(DAY('Recurring Schedule'!$F$12),DAY(EOMONTH($A85,0))),MOD((YEAR($A85)-YEAR('Recurring Schedule'!$F$12))*12+MONTH($A85)-MONTH('Recurring Schedule'!$F$12),'Recurring Schedule'!$O$12)=0),IF('Recurring Schedule'!$E$12="Weekdays",WEEKDAY($A85,2)&lt;=5,$A85='Recurring Schedule'!$F$12))),7,""))))</f>
        <v/>
      </c>
      <c r="I85">
        <f>IF('Recurring Schedule'!$C$13="","",IF('Recurring Schedule'!$F$13="","",IF(OR($A85&lt;'Recurring Schedule'!$F$13,$A85&gt;'Recurring Schedule'!$P$13),"",IF(IF('Recurring Schedule'!$N$13&gt;0,MOD($A85-'Recurring Schedule'!$F$13,'Recurring Schedule'!$N$13)=0,IF('Recurring Schedule'!$O$13&gt;0,AND(DAY($A85)=MIN(DAY('Recurring Schedule'!$F$13),DAY(EOMONTH($A85,0))),MOD((YEAR($A85)-YEAR('Recurring Schedule'!$F$13))*12+MONTH($A85)-MONTH('Recurring Schedule'!$F$13),'Recurring Schedule'!$O$13)=0),IF('Recurring Schedule'!$E$13="Weekdays",WEEKDAY($A85,2)&lt;=5,$A85='Recurring Schedule'!$F$13))),8,""))))</f>
        <v/>
      </c>
      <c r="J85">
        <f>IF('Recurring Schedule'!$C$14="","",IF('Recurring Schedule'!$F$14="","",IF(OR($A85&lt;'Recurring Schedule'!$F$14,$A85&gt;'Recurring Schedule'!$P$14),"",IF(IF('Recurring Schedule'!$N$14&gt;0,MOD($A85-'Recurring Schedule'!$F$14,'Recurring Schedule'!$N$14)=0,IF('Recurring Schedule'!$O$14&gt;0,AND(DAY($A85)=MIN(DAY('Recurring Schedule'!$F$14),DAY(EOMONTH($A85,0))),MOD((YEAR($A85)-YEAR('Recurring Schedule'!$F$14))*12+MONTH($A85)-MONTH('Recurring Schedule'!$F$14),'Recurring Schedule'!$O$14)=0),IF('Recurring Schedule'!$E$14="Weekdays",WEEKDAY($A85,2)&lt;=5,$A85='Recurring Schedule'!$F$14))),9,""))))</f>
        <v/>
      </c>
      <c r="K85">
        <f>IF('Recurring Schedule'!$C$15="","",IF('Recurring Schedule'!$F$15="","",IF(OR($A85&lt;'Recurring Schedule'!$F$15,$A85&gt;'Recurring Schedule'!$P$15),"",IF(IF('Recurring Schedule'!$N$15&gt;0,MOD($A85-'Recurring Schedule'!$F$15,'Recurring Schedule'!$N$15)=0,IF('Recurring Schedule'!$O$15&gt;0,AND(DAY($A85)=MIN(DAY('Recurring Schedule'!$F$15),DAY(EOMONTH($A85,0))),MOD((YEAR($A85)-YEAR('Recurring Schedule'!$F$15))*12+MONTH($A85)-MONTH('Recurring Schedule'!$F$15),'Recurring Schedule'!$O$15)=0),IF('Recurring Schedule'!$E$15="Weekdays",WEEKDAY($A85,2)&lt;=5,$A85='Recurring Schedule'!$F$15))),10,""))))</f>
        <v/>
      </c>
      <c r="L85">
        <f>IF('Recurring Schedule'!$C$16="","",IF('Recurring Schedule'!$F$16="","",IF(OR($A85&lt;'Recurring Schedule'!$F$16,$A85&gt;'Recurring Schedule'!$P$16),"",IF(IF('Recurring Schedule'!$N$16&gt;0,MOD($A85-'Recurring Schedule'!$F$16,'Recurring Schedule'!$N$16)=0,IF('Recurring Schedule'!$O$16&gt;0,AND(DAY($A85)=MIN(DAY('Recurring Schedule'!$F$16),DAY(EOMONTH($A85,0))),MOD((YEAR($A85)-YEAR('Recurring Schedule'!$F$16))*12+MONTH($A85)-MONTH('Recurring Schedule'!$F$16),'Recurring Schedule'!$O$16)=0),IF('Recurring Schedule'!$E$16="Weekdays",WEEKDAY($A85,2)&lt;=5,$A85='Recurring Schedule'!$F$16))),11,""))))</f>
        <v/>
      </c>
      <c r="M85">
        <f>IF('Recurring Schedule'!$C$17="","",IF('Recurring Schedule'!$F$17="","",IF(OR($A85&lt;'Recurring Schedule'!$F$17,$A85&gt;'Recurring Schedule'!$P$17),"",IF(IF('Recurring Schedule'!$N$17&gt;0,MOD($A85-'Recurring Schedule'!$F$17,'Recurring Schedule'!$N$17)=0,IF('Recurring Schedule'!$O$17&gt;0,AND(DAY($A85)=MIN(DAY('Recurring Schedule'!$F$17),DAY(EOMONTH($A85,0))),MOD((YEAR($A85)-YEAR('Recurring Schedule'!$F$17))*12+MONTH($A85)-MONTH('Recurring Schedule'!$F$17),'Recurring Schedule'!$O$17)=0),IF('Recurring Schedule'!$E$17="Weekdays",WEEKDAY($A85,2)&lt;=5,$A85='Recurring Schedule'!$F$17))),12,""))))</f>
        <v/>
      </c>
      <c r="N85">
        <f>IF('Recurring Schedule'!$C$18="","",IF('Recurring Schedule'!$F$18="","",IF(OR($A85&lt;'Recurring Schedule'!$F$18,$A85&gt;'Recurring Schedule'!$P$18),"",IF(IF('Recurring Schedule'!$N$18&gt;0,MOD($A85-'Recurring Schedule'!$F$18,'Recurring Schedule'!$N$18)=0,IF('Recurring Schedule'!$O$18&gt;0,AND(DAY($A85)=MIN(DAY('Recurring Schedule'!$F$18),DAY(EOMONTH($A85,0))),MOD((YEAR($A85)-YEAR('Recurring Schedule'!$F$18))*12+MONTH($A85)-MONTH('Recurring Schedule'!$F$18),'Recurring Schedule'!$O$18)=0),IF('Recurring Schedule'!$E$18="Weekdays",WEEKDAY($A85,2)&lt;=5,$A85='Recurring Schedule'!$F$18))),13,""))))</f>
        <v/>
      </c>
      <c r="O85">
        <f>IF('Recurring Schedule'!$C$19="","",IF('Recurring Schedule'!$F$19="","",IF(OR($A85&lt;'Recurring Schedule'!$F$19,$A85&gt;'Recurring Schedule'!$P$19),"",IF(IF('Recurring Schedule'!$N$19&gt;0,MOD($A85-'Recurring Schedule'!$F$19,'Recurring Schedule'!$N$19)=0,IF('Recurring Schedule'!$O$19&gt;0,AND(DAY($A85)=MIN(DAY('Recurring Schedule'!$F$19),DAY(EOMONTH($A85,0))),MOD((YEAR($A85)-YEAR('Recurring Schedule'!$F$19))*12+MONTH($A85)-MONTH('Recurring Schedule'!$F$19),'Recurring Schedule'!$O$19)=0),IF('Recurring Schedule'!$E$19="Weekdays",WEEKDAY($A85,2)&lt;=5,$A85='Recurring Schedule'!$F$19))),14,""))))</f>
        <v/>
      </c>
      <c r="P85">
        <f>IF('Recurring Schedule'!$C$20="","",IF('Recurring Schedule'!$F$20="","",IF(OR($A85&lt;'Recurring Schedule'!$F$20,$A85&gt;'Recurring Schedule'!$P$20),"",IF(IF('Recurring Schedule'!$N$20&gt;0,MOD($A85-'Recurring Schedule'!$F$20,'Recurring Schedule'!$N$20)=0,IF('Recurring Schedule'!$O$20&gt;0,AND(DAY($A85)=MIN(DAY('Recurring Schedule'!$F$20),DAY(EOMONTH($A85,0))),MOD((YEAR($A85)-YEAR('Recurring Schedule'!$F$20))*12+MONTH($A85)-MONTH('Recurring Schedule'!$F$20),'Recurring Schedule'!$O$20)=0),IF('Recurring Schedule'!$E$20="Weekdays",WEEKDAY($A85,2)&lt;=5,$A85='Recurring Schedule'!$F$20))),15,""))))</f>
        <v/>
      </c>
      <c r="Q85">
        <f>IF('Recurring Schedule'!$C$21="","",IF('Recurring Schedule'!$F$21="","",IF(OR($A85&lt;'Recurring Schedule'!$F$21,$A85&gt;'Recurring Schedule'!$P$21),"",IF(IF('Recurring Schedule'!$N$21&gt;0,MOD($A85-'Recurring Schedule'!$F$21,'Recurring Schedule'!$N$21)=0,IF('Recurring Schedule'!$O$21&gt;0,AND(DAY($A85)=MIN(DAY('Recurring Schedule'!$F$21),DAY(EOMONTH($A85,0))),MOD((YEAR($A85)-YEAR('Recurring Schedule'!$F$21))*12+MONTH($A85)-MONTH('Recurring Schedule'!$F$21),'Recurring Schedule'!$O$21)=0),IF('Recurring Schedule'!$E$21="Weekdays",WEEKDAY($A85,2)&lt;=5,$A85='Recurring Schedule'!$F$21))),16,""))))</f>
        <v/>
      </c>
      <c r="R85">
        <f>IF('Recurring Schedule'!$C$22="","",IF('Recurring Schedule'!$F$22="","",IF(OR($A85&lt;'Recurring Schedule'!$F$22,$A85&gt;'Recurring Schedule'!$P$22),"",IF(IF('Recurring Schedule'!$N$22&gt;0,MOD($A85-'Recurring Schedule'!$F$22,'Recurring Schedule'!$N$22)=0,IF('Recurring Schedule'!$O$22&gt;0,AND(DAY($A85)=MIN(DAY('Recurring Schedule'!$F$22),DAY(EOMONTH($A85,0))),MOD((YEAR($A85)-YEAR('Recurring Schedule'!$F$22))*12+MONTH($A85)-MONTH('Recurring Schedule'!$F$22),'Recurring Schedule'!$O$22)=0),IF('Recurring Schedule'!$E$22="Weekdays",WEEKDAY($A85,2)&lt;=5,$A85='Recurring Schedule'!$F$22))),17,""))))</f>
        <v/>
      </c>
      <c r="S85">
        <f>IF('Recurring Schedule'!$C$23="","",IF('Recurring Schedule'!$F$23="","",IF(OR($A85&lt;'Recurring Schedule'!$F$23,$A85&gt;'Recurring Schedule'!$P$23),"",IF(IF('Recurring Schedule'!$N$23&gt;0,MOD($A85-'Recurring Schedule'!$F$23,'Recurring Schedule'!$N$23)=0,IF('Recurring Schedule'!$O$23&gt;0,AND(DAY($A85)=MIN(DAY('Recurring Schedule'!$F$23),DAY(EOMONTH($A85,0))),MOD((YEAR($A85)-YEAR('Recurring Schedule'!$F$23))*12+MONTH($A85)-MONTH('Recurring Schedule'!$F$23),'Recurring Schedule'!$O$23)=0),IF('Recurring Schedule'!$E$23="Weekdays",WEEKDAY($A85,2)&lt;=5,$A85='Recurring Schedule'!$F$23))),18,""))))</f>
        <v/>
      </c>
      <c r="T85">
        <f>IF('Recurring Schedule'!$C$24="","",IF('Recurring Schedule'!$F$24="","",IF(OR($A85&lt;'Recurring Schedule'!$F$24,$A85&gt;'Recurring Schedule'!$P$24),"",IF(IF('Recurring Schedule'!$N$24&gt;0,MOD($A85-'Recurring Schedule'!$F$24,'Recurring Schedule'!$N$24)=0,IF('Recurring Schedule'!$O$24&gt;0,AND(DAY($A85)=MIN(DAY('Recurring Schedule'!$F$24),DAY(EOMONTH($A85,0))),MOD((YEAR($A85)-YEAR('Recurring Schedule'!$F$24))*12+MONTH($A85)-MONTH('Recurring Schedule'!$F$24),'Recurring Schedule'!$O$24)=0),IF('Recurring Schedule'!$E$24="Weekdays",WEEKDAY($A85,2)&lt;=5,$A85='Recurring Schedule'!$F$24))),19,""))))</f>
        <v/>
      </c>
      <c r="U85">
        <f>IF('Recurring Schedule'!$C$25="","",IF('Recurring Schedule'!$F$25="","",IF(OR($A85&lt;'Recurring Schedule'!$F$25,$A85&gt;'Recurring Schedule'!$P$25),"",IF(IF('Recurring Schedule'!$N$25&gt;0,MOD($A85-'Recurring Schedule'!$F$25,'Recurring Schedule'!$N$25)=0,IF('Recurring Schedule'!$O$25&gt;0,AND(DAY($A85)=MIN(DAY('Recurring Schedule'!$F$25),DAY(EOMONTH($A85,0))),MOD((YEAR($A85)-YEAR('Recurring Schedule'!$F$25))*12+MONTH($A85)-MONTH('Recurring Schedule'!$F$25),'Recurring Schedule'!$O$25)=0),IF('Recurring Schedule'!$E$25="Weekdays",WEEKDAY($A85,2)&lt;=5,$A85='Recurring Schedule'!$F$25))),20,""))))</f>
        <v/>
      </c>
      <c r="V85">
        <f>IF('Recurring Schedule'!$C$26="","",IF('Recurring Schedule'!$F$26="","",IF(OR($A85&lt;'Recurring Schedule'!$F$26,$A85&gt;'Recurring Schedule'!$P$26),"",IF(IF('Recurring Schedule'!$N$26&gt;0,MOD($A85-'Recurring Schedule'!$F$26,'Recurring Schedule'!$N$26)=0,IF('Recurring Schedule'!$O$26&gt;0,AND(DAY($A85)=MIN(DAY('Recurring Schedule'!$F$26),DAY(EOMONTH($A85,0))),MOD((YEAR($A85)-YEAR('Recurring Schedule'!$F$26))*12+MONTH($A85)-MONTH('Recurring Schedule'!$F$26),'Recurring Schedule'!$O$26)=0),IF('Recurring Schedule'!$E$26="Weekdays",WEEKDAY($A85,2)&lt;=5,$A85='Recurring Schedule'!$F$26))),21,""))))</f>
        <v/>
      </c>
      <c r="W85">
        <f>IF('Recurring Schedule'!$C$27="","",IF('Recurring Schedule'!$F$27="","",IF(OR($A85&lt;'Recurring Schedule'!$F$27,$A85&gt;'Recurring Schedule'!$P$27),"",IF(IF('Recurring Schedule'!$N$27&gt;0,MOD($A85-'Recurring Schedule'!$F$27,'Recurring Schedule'!$N$27)=0,IF('Recurring Schedule'!$O$27&gt;0,AND(DAY($A85)=MIN(DAY('Recurring Schedule'!$F$27),DAY(EOMONTH($A85,0))),MOD((YEAR($A85)-YEAR('Recurring Schedule'!$F$27))*12+MONTH($A85)-MONTH('Recurring Schedule'!$F$27),'Recurring Schedule'!$O$27)=0),IF('Recurring Schedule'!$E$27="Weekdays",WEEKDAY($A85,2)&lt;=5,$A85='Recurring Schedule'!$F$27))),22,""))))</f>
        <v/>
      </c>
      <c r="X85">
        <f>IF('Recurring Schedule'!$C$28="","",IF('Recurring Schedule'!$F$28="","",IF(OR($A85&lt;'Recurring Schedule'!$F$28,$A85&gt;'Recurring Schedule'!$P$28),"",IF(IF('Recurring Schedule'!$N$28&gt;0,MOD($A85-'Recurring Schedule'!$F$28,'Recurring Schedule'!$N$28)=0,IF('Recurring Schedule'!$O$28&gt;0,AND(DAY($A85)=MIN(DAY('Recurring Schedule'!$F$28),DAY(EOMONTH($A85,0))),MOD((YEAR($A85)-YEAR('Recurring Schedule'!$F$28))*12+MONTH($A85)-MONTH('Recurring Schedule'!$F$28),'Recurring Schedule'!$O$28)=0),IF('Recurring Schedule'!$E$28="Weekdays",WEEKDAY($A85,2)&lt;=5,$A85='Recurring Schedule'!$F$28))),23,""))))</f>
        <v/>
      </c>
      <c r="Y85">
        <f>IF('Recurring Schedule'!$C$29="","",IF('Recurring Schedule'!$F$29="","",IF(OR($A85&lt;'Recurring Schedule'!$F$29,$A85&gt;'Recurring Schedule'!$P$29),"",IF(IF('Recurring Schedule'!$N$29&gt;0,MOD($A85-'Recurring Schedule'!$F$29,'Recurring Schedule'!$N$29)=0,IF('Recurring Schedule'!$O$29&gt;0,AND(DAY($A85)=MIN(DAY('Recurring Schedule'!$F$29),DAY(EOMONTH($A85,0))),MOD((YEAR($A85)-YEAR('Recurring Schedule'!$F$29))*12+MONTH($A85)-MONTH('Recurring Schedule'!$F$29),'Recurring Schedule'!$O$29)=0),IF('Recurring Schedule'!$E$29="Weekdays",WEEKDAY($A85,2)&lt;=5,$A85='Recurring Schedule'!$F$29))),24,""))))</f>
        <v/>
      </c>
      <c r="Z85">
        <f>IF('Recurring Schedule'!$C$30="","",IF('Recurring Schedule'!$F$30="","",IF(OR($A85&lt;'Recurring Schedule'!$F$30,$A85&gt;'Recurring Schedule'!$P$30),"",IF(IF('Recurring Schedule'!$N$30&gt;0,MOD($A85-'Recurring Schedule'!$F$30,'Recurring Schedule'!$N$30)=0,IF('Recurring Schedule'!$O$30&gt;0,AND(DAY($A85)=MIN(DAY('Recurring Schedule'!$F$30),DAY(EOMONTH($A85,0))),MOD((YEAR($A85)-YEAR('Recurring Schedule'!$F$30))*12+MONTH($A85)-MONTH('Recurring Schedule'!$F$30),'Recurring Schedule'!$O$30)=0),IF('Recurring Schedule'!$E$30="Weekdays",WEEKDAY($A85,2)&lt;=5,$A85='Recurring Schedule'!$F$30))),25,""))))</f>
        <v/>
      </c>
      <c r="AA85">
        <f>IF('Recurring Schedule'!$C$31="","",IF('Recurring Schedule'!$F$31="","",IF(OR($A85&lt;'Recurring Schedule'!$F$31,$A85&gt;'Recurring Schedule'!$P$31),"",IF(IF('Recurring Schedule'!$N$31&gt;0,MOD($A85-'Recurring Schedule'!$F$31,'Recurring Schedule'!$N$31)=0,IF('Recurring Schedule'!$O$31&gt;0,AND(DAY($A85)=MIN(DAY('Recurring Schedule'!$F$31),DAY(EOMONTH($A85,0))),MOD((YEAR($A85)-YEAR('Recurring Schedule'!$F$31))*12+MONTH($A85)-MONTH('Recurring Schedule'!$F$31),'Recurring Schedule'!$O$31)=0),IF('Recurring Schedule'!$E$31="Weekdays",WEEKDAY($A85,2)&lt;=5,$A85='Recurring Schedule'!$F$31))),26,""))))</f>
        <v/>
      </c>
      <c r="AB85">
        <f>IF('Recurring Schedule'!$C$32="","",IF('Recurring Schedule'!$F$32="","",IF(OR($A85&lt;'Recurring Schedule'!$F$32,$A85&gt;'Recurring Schedule'!$P$32),"",IF(IF('Recurring Schedule'!$N$32&gt;0,MOD($A85-'Recurring Schedule'!$F$32,'Recurring Schedule'!$N$32)=0,IF('Recurring Schedule'!$O$32&gt;0,AND(DAY($A85)=MIN(DAY('Recurring Schedule'!$F$32),DAY(EOMONTH($A85,0))),MOD((YEAR($A85)-YEAR('Recurring Schedule'!$F$32))*12+MONTH($A85)-MONTH('Recurring Schedule'!$F$32),'Recurring Schedule'!$O$32)=0),IF('Recurring Schedule'!$E$32="Weekdays",WEEKDAY($A85,2)&lt;=5,$A85='Recurring Schedule'!$F$32))),27,""))))</f>
        <v/>
      </c>
      <c r="AC85">
        <f>IF('Recurring Schedule'!$C$33="","",IF('Recurring Schedule'!$F$33="","",IF(OR($A85&lt;'Recurring Schedule'!$F$33,$A85&gt;'Recurring Schedule'!$P$33),"",IF(IF('Recurring Schedule'!$N$33&gt;0,MOD($A85-'Recurring Schedule'!$F$33,'Recurring Schedule'!$N$33)=0,IF('Recurring Schedule'!$O$33&gt;0,AND(DAY($A85)=MIN(DAY('Recurring Schedule'!$F$33),DAY(EOMONTH($A85,0))),MOD((YEAR($A85)-YEAR('Recurring Schedule'!$F$33))*12+MONTH($A85)-MONTH('Recurring Schedule'!$F$33),'Recurring Schedule'!$O$33)=0),IF('Recurring Schedule'!$E$33="Weekdays",WEEKDAY($A85,2)&lt;=5,$A85='Recurring Schedule'!$F$33))),28,""))))</f>
        <v/>
      </c>
      <c r="AD85">
        <f>IF('Recurring Schedule'!$C$34="","",IF('Recurring Schedule'!$F$34="","",IF(OR($A85&lt;'Recurring Schedule'!$F$34,$A85&gt;'Recurring Schedule'!$P$34),"",IF(IF('Recurring Schedule'!$N$34&gt;0,MOD($A85-'Recurring Schedule'!$F$34,'Recurring Schedule'!$N$34)=0,IF('Recurring Schedule'!$O$34&gt;0,AND(DAY($A85)=MIN(DAY('Recurring Schedule'!$F$34),DAY(EOMONTH($A85,0))),MOD((YEAR($A85)-YEAR('Recurring Schedule'!$F$34))*12+MONTH($A85)-MONTH('Recurring Schedule'!$F$34),'Recurring Schedule'!$O$34)=0),IF('Recurring Schedule'!$E$34="Weekdays",WEEKDAY($A85,2)&lt;=5,$A85='Recurring Schedule'!$F$34))),29,""))))</f>
        <v/>
      </c>
      <c r="AE85">
        <f>IF('Recurring Schedule'!$C$35="","",IF('Recurring Schedule'!$F$35="","",IF(OR($A85&lt;'Recurring Schedule'!$F$35,$A85&gt;'Recurring Schedule'!$P$35),"",IF(IF('Recurring Schedule'!$N$35&gt;0,MOD($A85-'Recurring Schedule'!$F$35,'Recurring Schedule'!$N$35)=0,IF('Recurring Schedule'!$O$35&gt;0,AND(DAY($A85)=MIN(DAY('Recurring Schedule'!$F$35),DAY(EOMONTH($A85,0))),MOD((YEAR($A85)-YEAR('Recurring Schedule'!$F$35))*12+MONTH($A85)-MONTH('Recurring Schedule'!$F$35),'Recurring Schedule'!$O$35)=0),IF('Recurring Schedule'!$E$35="Weekdays",WEEKDAY($A85,2)&lt;=5,$A85='Recurring Schedule'!$F$35))),30,""))))</f>
        <v/>
      </c>
      <c r="AF85">
        <f>IF('Recurring Schedule'!$C$36="","",IF('Recurring Schedule'!$F$36="","",IF(OR($A85&lt;'Recurring Schedule'!$F$36,$A85&gt;'Recurring Schedule'!$P$36),"",IF(IF('Recurring Schedule'!$N$36&gt;0,MOD($A85-'Recurring Schedule'!$F$36,'Recurring Schedule'!$N$36)=0,IF('Recurring Schedule'!$O$36&gt;0,AND(DAY($A85)=MIN(DAY('Recurring Schedule'!$F$36),DAY(EOMONTH($A85,0))),MOD((YEAR($A85)-YEAR('Recurring Schedule'!$F$36))*12+MONTH($A85)-MONTH('Recurring Schedule'!$F$36),'Recurring Schedule'!$O$36)=0),IF('Recurring Schedule'!$E$36="Weekdays",WEEKDAY($A85,2)&lt;=5,$A85='Recurring Schedule'!$F$36))),31,""))))</f>
        <v/>
      </c>
      <c r="AG85">
        <f>IF('Recurring Schedule'!$C$37="","",IF('Recurring Schedule'!$F$37="","",IF(OR($A85&lt;'Recurring Schedule'!$F$37,$A85&gt;'Recurring Schedule'!$P$37),"",IF(IF('Recurring Schedule'!$N$37&gt;0,MOD($A85-'Recurring Schedule'!$F$37,'Recurring Schedule'!$N$37)=0,IF('Recurring Schedule'!$O$37&gt;0,AND(DAY($A85)=MIN(DAY('Recurring Schedule'!$F$37),DAY(EOMONTH($A85,0))),MOD((YEAR($A85)-YEAR('Recurring Schedule'!$F$37))*12+MONTH($A85)-MONTH('Recurring Schedule'!$F$37),'Recurring Schedule'!$O$37)=0),IF('Recurring Schedule'!$E$37="Weekdays",WEEKDAY($A85,2)&lt;=5,$A85='Recurring Schedule'!$F$37))),32,""))))</f>
        <v/>
      </c>
      <c r="AH85">
        <f>IF('Recurring Schedule'!$C$38="","",IF('Recurring Schedule'!$F$38="","",IF(OR($A85&lt;'Recurring Schedule'!$F$38,$A85&gt;'Recurring Schedule'!$P$38),"",IF(IF('Recurring Schedule'!$N$38&gt;0,MOD($A85-'Recurring Schedule'!$F$38,'Recurring Schedule'!$N$38)=0,IF('Recurring Schedule'!$O$38&gt;0,AND(DAY($A85)=MIN(DAY('Recurring Schedule'!$F$38),DAY(EOMONTH($A85,0))),MOD((YEAR($A85)-YEAR('Recurring Schedule'!$F$38))*12+MONTH($A85)-MONTH('Recurring Schedule'!$F$38),'Recurring Schedule'!$O$38)=0),IF('Recurring Schedule'!$E$38="Weekdays",WEEKDAY($A85,2)&lt;=5,$A85='Recurring Schedule'!$F$38))),33,""))))</f>
        <v/>
      </c>
      <c r="AI85">
        <f>IF('Recurring Schedule'!$C$39="","",IF('Recurring Schedule'!$F$39="","",IF(OR($A85&lt;'Recurring Schedule'!$F$39,$A85&gt;'Recurring Schedule'!$P$39),"",IF(IF('Recurring Schedule'!$N$39&gt;0,MOD($A85-'Recurring Schedule'!$F$39,'Recurring Schedule'!$N$39)=0,IF('Recurring Schedule'!$O$39&gt;0,AND(DAY($A85)=MIN(DAY('Recurring Schedule'!$F$39),DAY(EOMONTH($A85,0))),MOD((YEAR($A85)-YEAR('Recurring Schedule'!$F$39))*12+MONTH($A85)-MONTH('Recurring Schedule'!$F$39),'Recurring Schedule'!$O$39)=0),IF('Recurring Schedule'!$E$39="Weekdays",WEEKDAY($A85,2)&lt;=5,$A85='Recurring Schedule'!$F$39))),34,""))))</f>
        <v/>
      </c>
      <c r="AJ85">
        <f>IF('Recurring Schedule'!$C$40="","",IF('Recurring Schedule'!$F$40="","",IF(OR($A85&lt;'Recurring Schedule'!$F$40,$A85&gt;'Recurring Schedule'!$P$40),"",IF(IF('Recurring Schedule'!$N$40&gt;0,MOD($A85-'Recurring Schedule'!$F$40,'Recurring Schedule'!$N$40)=0,IF('Recurring Schedule'!$O$40&gt;0,AND(DAY($A85)=MIN(DAY('Recurring Schedule'!$F$40),DAY(EOMONTH($A85,0))),MOD((YEAR($A85)-YEAR('Recurring Schedule'!$F$40))*12+MONTH($A85)-MONTH('Recurring Schedule'!$F$40),'Recurring Schedule'!$O$40)=0),IF('Recurring Schedule'!$E$40="Weekdays",WEEKDAY($A85,2)&lt;=5,$A85='Recurring Schedule'!$F$40))),35,""))))</f>
        <v/>
      </c>
      <c r="AK85">
        <f>IF('Recurring Schedule'!$C$41="","",IF('Recurring Schedule'!$F$41="","",IF(OR($A85&lt;'Recurring Schedule'!$F$41,$A85&gt;'Recurring Schedule'!$P$41),"",IF(IF('Recurring Schedule'!$N$41&gt;0,MOD($A85-'Recurring Schedule'!$F$41,'Recurring Schedule'!$N$41)=0,IF('Recurring Schedule'!$O$41&gt;0,AND(DAY($A85)=MIN(DAY('Recurring Schedule'!$F$41),DAY(EOMONTH($A85,0))),MOD((YEAR($A85)-YEAR('Recurring Schedule'!$F$41))*12+MONTH($A85)-MONTH('Recurring Schedule'!$F$41),'Recurring Schedule'!$O$41)=0),IF('Recurring Schedule'!$E$41="Weekdays",WEEKDAY($A85,2)&lt;=5,$A85='Recurring Schedule'!$F$41))),36,""))))</f>
        <v/>
      </c>
      <c r="AL85">
        <f>IF('Recurring Schedule'!$C$42="","",IF('Recurring Schedule'!$F$42="","",IF(OR($A85&lt;'Recurring Schedule'!$F$42,$A85&gt;'Recurring Schedule'!$P$42),"",IF(IF('Recurring Schedule'!$N$42&gt;0,MOD($A85-'Recurring Schedule'!$F$42,'Recurring Schedule'!$N$42)=0,IF('Recurring Schedule'!$O$42&gt;0,AND(DAY($A85)=MIN(DAY('Recurring Schedule'!$F$42),DAY(EOMONTH($A85,0))),MOD((YEAR($A85)-YEAR('Recurring Schedule'!$F$42))*12+MONTH($A85)-MONTH('Recurring Schedule'!$F$42),'Recurring Schedule'!$O$42)=0),IF('Recurring Schedule'!$E$42="Weekdays",WEEKDAY($A85,2)&lt;=5,$A85='Recurring Schedule'!$F$42))),37,""))))</f>
        <v/>
      </c>
      <c r="AM85">
        <f>IF('Recurring Schedule'!$C$43="","",IF('Recurring Schedule'!$F$43="","",IF(OR($A85&lt;'Recurring Schedule'!$F$43,$A85&gt;'Recurring Schedule'!$P$43),"",IF(IF('Recurring Schedule'!$N$43&gt;0,MOD($A85-'Recurring Schedule'!$F$43,'Recurring Schedule'!$N$43)=0,IF('Recurring Schedule'!$O$43&gt;0,AND(DAY($A85)=MIN(DAY('Recurring Schedule'!$F$43),DAY(EOMONTH($A85,0))),MOD((YEAR($A85)-YEAR('Recurring Schedule'!$F$43))*12+MONTH($A85)-MONTH('Recurring Schedule'!$F$43),'Recurring Schedule'!$O$43)=0),IF('Recurring Schedule'!$E$43="Weekdays",WEEKDAY($A85,2)&lt;=5,$A85='Recurring Schedule'!$F$43))),38,""))))</f>
        <v/>
      </c>
      <c r="AN85">
        <f>IF('Recurring Schedule'!$C$44="","",IF('Recurring Schedule'!$F$44="","",IF(OR($A85&lt;'Recurring Schedule'!$F$44,$A85&gt;'Recurring Schedule'!$P$44),"",IF(IF('Recurring Schedule'!$N$44&gt;0,MOD($A85-'Recurring Schedule'!$F$44,'Recurring Schedule'!$N$44)=0,IF('Recurring Schedule'!$O$44&gt;0,AND(DAY($A85)=MIN(DAY('Recurring Schedule'!$F$44),DAY(EOMONTH($A85,0))),MOD((YEAR($A85)-YEAR('Recurring Schedule'!$F$44))*12+MONTH($A85)-MONTH('Recurring Schedule'!$F$44),'Recurring Schedule'!$O$44)=0),IF('Recurring Schedule'!$E$44="Weekdays",WEEKDAY($A85,2)&lt;=5,$A85='Recurring Schedule'!$F$44))),39,""))))</f>
        <v/>
      </c>
      <c r="AO85">
        <f>IF('Recurring Schedule'!$C$45="","",IF('Recurring Schedule'!$F$45="","",IF(OR($A85&lt;'Recurring Schedule'!$F$45,$A85&gt;'Recurring Schedule'!$P$45),"",IF(IF('Recurring Schedule'!$N$45&gt;0,MOD($A85-'Recurring Schedule'!$F$45,'Recurring Schedule'!$N$45)=0,IF('Recurring Schedule'!$O$45&gt;0,AND(DAY($A85)=MIN(DAY('Recurring Schedule'!$F$45),DAY(EOMONTH($A85,0))),MOD((YEAR($A85)-YEAR('Recurring Schedule'!$F$45))*12+MONTH($A85)-MONTH('Recurring Schedule'!$F$45),'Recurring Schedule'!$O$45)=0),IF('Recurring Schedule'!$E$45="Weekdays",WEEKDAY($A85,2)&lt;=5,$A85='Recurring Schedule'!$F$45))),40,""))))</f>
        <v/>
      </c>
      <c r="AP85">
        <f>COUNT(B85:AO85)</f>
        <v/>
      </c>
      <c r="AQ85">
        <f>AQ84+AP84</f>
        <v/>
      </c>
      <c r="AS85" t="inlineStr">
        <is>
          <t>R</t>
        </is>
      </c>
      <c r="AT85" t="n">
        <v>89</v>
      </c>
      <c r="AU85">
        <f>'Recurring Log'!C89&amp;""</f>
        <v/>
      </c>
      <c r="AV85">
        <f>'Recurring Log'!D89&amp;""</f>
        <v/>
      </c>
      <c r="AW85">
        <f>IF('Recurring Log'!E89="","",'Recurring Log'!E89)</f>
        <v/>
      </c>
      <c r="AX85">
        <f>IF('Recurring Log'!G89="","",'Recurring Log'!G89)</f>
        <v/>
      </c>
      <c r="AY85">
        <f>IF('Recurring Log'!H89="","",'Recurring Log'!H89)</f>
        <v/>
      </c>
      <c r="AZ85">
        <f>IF(AU85="","",IF('Recurring Log'!J89="","Not Started",'Recurring Log'!J89))</f>
        <v/>
      </c>
      <c r="BA85">
        <f>'Recurring Log'!L89&amp;""</f>
        <v/>
      </c>
      <c r="BB85">
        <f>'Recurring Log'!M89&amp;""</f>
        <v/>
      </c>
      <c r="BC85">
        <f>'Recurring Log'!N89&amp;""</f>
        <v/>
      </c>
      <c r="BD85">
        <f>'Recurring Log'!O89&amp;""</f>
        <v/>
      </c>
      <c r="BE85">
        <f>IF('Recurring Log'!K89="","",'Recurring Log'!K89)</f>
        <v/>
      </c>
      <c r="BF85">
        <f>IFERROR(MATCH(BA85,Setup!$L$6:$L$9,0),5)</f>
        <v/>
      </c>
      <c r="BG85">
        <f>IF(OR(AZ85="Done",AZ85="Cancelled"),1,0)</f>
        <v/>
      </c>
      <c r="BH85">
        <f>IF(AND(AU85&lt;&gt;"",ISNUMBER(AW85)),1,0)</f>
        <v/>
      </c>
      <c r="BI85">
        <f>IF(BH85=0,0,IF(AND(AW85&gt;='Tasks Filter'!$F$3,AW85&lt;='Tasks Filter'!$F$4,OR('Tasks Filter'!$I$3="",ISNUMBER(SEARCH('Tasks Filter'!$I$3,AU85))),OR('Tasks Filter'!$I$4="",BF85=IFERROR(MATCH('Tasks Filter'!$I$4,Setup!$L$6:$L$9,0),0)),OR('Tasks Filter'!$I$5="Both",AND('Tasks Filter'!$I$5="Yes",BB85="✓"),AND('Tasks Filter'!$I$5="No",BB85&lt;&gt;"✓")),OR('Tasks Filter'!$L$3="",AV85='Tasks Filter'!$L$3),OR('Tasks Filter'!$L$4="",AZ85='Tasks Filter'!$L$4),OR('Tasks Filter'!$L$5="",BC85='Tasks Filter'!$L$5),OR('Tasks Filter'!$O$3="",BD85='Tasks Filter'!$O$3),OR('Tasks Filter'!$O$4="Yes",BG85=0)),1,0))</f>
        <v/>
      </c>
      <c r="BJ85">
        <f>IF(BH85=0,"",IF('Tasks Filter'!$F$6="Descending",-1,1)*CHOOSE(MATCH('Tasks Filter'!$F$5,Lists!$G$2:$G$6,0),AW85,BF85,IFERROR(MATCH(AV85,Setup!$F$6:$F$15,0),99),IFERROR(MATCH(BC85,Setup!$H$6:$H$15,0),99),IFERROR(MATCH(AZ85,Setup!$J$6:$J$11,0),99))*1E+9+(AW85-40000)*10000+84)</f>
        <v/>
      </c>
      <c r="BK85">
        <f>IF(BI85=1,BJ85,"")</f>
        <v/>
      </c>
      <c r="BL85">
        <f>IF(AND(BH85=1,BG85=0,N(AW85)&lt;Setup!$D$7),(AW85-40000)*10000+84,"")</f>
        <v/>
      </c>
      <c r="BM85">
        <f>IF(AND(BH85=1,AZ85&lt;&gt;"Cancelled",N(AW85)&gt;=Dashboard!$AB$3,N(AW85)&lt;=Dashboard!$AB$3+6),(AW85-40000)*100000+BF85*10000+84,"")</f>
        <v/>
      </c>
      <c r="BN85">
        <f>IF(AND(BH85=1,AZ85&lt;&gt;"Cancelled"),BF85*10000+84,"")</f>
        <v/>
      </c>
    </row>
    <row r="86">
      <c r="A86">
        <f>Setup!$D$5+84</f>
        <v/>
      </c>
      <c r="B86">
        <f>IF('Recurring Schedule'!$C$6="","",IF('Recurring Schedule'!$F$6="","",IF(OR($A86&lt;'Recurring Schedule'!$F$6,$A86&gt;'Recurring Schedule'!$P$6),"",IF(IF('Recurring Schedule'!$N$6&gt;0,MOD($A86-'Recurring Schedule'!$F$6,'Recurring Schedule'!$N$6)=0,IF('Recurring Schedule'!$O$6&gt;0,AND(DAY($A86)=MIN(DAY('Recurring Schedule'!$F$6),DAY(EOMONTH($A86,0))),MOD((YEAR($A86)-YEAR('Recurring Schedule'!$F$6))*12+MONTH($A86)-MONTH('Recurring Schedule'!$F$6),'Recurring Schedule'!$O$6)=0),IF('Recurring Schedule'!$E$6="Weekdays",WEEKDAY($A86,2)&lt;=5,$A86='Recurring Schedule'!$F$6))),1,""))))</f>
        <v/>
      </c>
      <c r="C86">
        <f>IF('Recurring Schedule'!$C$7="","",IF('Recurring Schedule'!$F$7="","",IF(OR($A86&lt;'Recurring Schedule'!$F$7,$A86&gt;'Recurring Schedule'!$P$7),"",IF(IF('Recurring Schedule'!$N$7&gt;0,MOD($A86-'Recurring Schedule'!$F$7,'Recurring Schedule'!$N$7)=0,IF('Recurring Schedule'!$O$7&gt;0,AND(DAY($A86)=MIN(DAY('Recurring Schedule'!$F$7),DAY(EOMONTH($A86,0))),MOD((YEAR($A86)-YEAR('Recurring Schedule'!$F$7))*12+MONTH($A86)-MONTH('Recurring Schedule'!$F$7),'Recurring Schedule'!$O$7)=0),IF('Recurring Schedule'!$E$7="Weekdays",WEEKDAY($A86,2)&lt;=5,$A86='Recurring Schedule'!$F$7))),2,""))))</f>
        <v/>
      </c>
      <c r="D86">
        <f>IF('Recurring Schedule'!$C$8="","",IF('Recurring Schedule'!$F$8="","",IF(OR($A86&lt;'Recurring Schedule'!$F$8,$A86&gt;'Recurring Schedule'!$P$8),"",IF(IF('Recurring Schedule'!$N$8&gt;0,MOD($A86-'Recurring Schedule'!$F$8,'Recurring Schedule'!$N$8)=0,IF('Recurring Schedule'!$O$8&gt;0,AND(DAY($A86)=MIN(DAY('Recurring Schedule'!$F$8),DAY(EOMONTH($A86,0))),MOD((YEAR($A86)-YEAR('Recurring Schedule'!$F$8))*12+MONTH($A86)-MONTH('Recurring Schedule'!$F$8),'Recurring Schedule'!$O$8)=0),IF('Recurring Schedule'!$E$8="Weekdays",WEEKDAY($A86,2)&lt;=5,$A86='Recurring Schedule'!$F$8))),3,""))))</f>
        <v/>
      </c>
      <c r="E86">
        <f>IF('Recurring Schedule'!$C$9="","",IF('Recurring Schedule'!$F$9="","",IF(OR($A86&lt;'Recurring Schedule'!$F$9,$A86&gt;'Recurring Schedule'!$P$9),"",IF(IF('Recurring Schedule'!$N$9&gt;0,MOD($A86-'Recurring Schedule'!$F$9,'Recurring Schedule'!$N$9)=0,IF('Recurring Schedule'!$O$9&gt;0,AND(DAY($A86)=MIN(DAY('Recurring Schedule'!$F$9),DAY(EOMONTH($A86,0))),MOD((YEAR($A86)-YEAR('Recurring Schedule'!$F$9))*12+MONTH($A86)-MONTH('Recurring Schedule'!$F$9),'Recurring Schedule'!$O$9)=0),IF('Recurring Schedule'!$E$9="Weekdays",WEEKDAY($A86,2)&lt;=5,$A86='Recurring Schedule'!$F$9))),4,""))))</f>
        <v/>
      </c>
      <c r="F86">
        <f>IF('Recurring Schedule'!$C$10="","",IF('Recurring Schedule'!$F$10="","",IF(OR($A86&lt;'Recurring Schedule'!$F$10,$A86&gt;'Recurring Schedule'!$P$10),"",IF(IF('Recurring Schedule'!$N$10&gt;0,MOD($A86-'Recurring Schedule'!$F$10,'Recurring Schedule'!$N$10)=0,IF('Recurring Schedule'!$O$10&gt;0,AND(DAY($A86)=MIN(DAY('Recurring Schedule'!$F$10),DAY(EOMONTH($A86,0))),MOD((YEAR($A86)-YEAR('Recurring Schedule'!$F$10))*12+MONTH($A86)-MONTH('Recurring Schedule'!$F$10),'Recurring Schedule'!$O$10)=0),IF('Recurring Schedule'!$E$10="Weekdays",WEEKDAY($A86,2)&lt;=5,$A86='Recurring Schedule'!$F$10))),5,""))))</f>
        <v/>
      </c>
      <c r="G86">
        <f>IF('Recurring Schedule'!$C$11="","",IF('Recurring Schedule'!$F$11="","",IF(OR($A86&lt;'Recurring Schedule'!$F$11,$A86&gt;'Recurring Schedule'!$P$11),"",IF(IF('Recurring Schedule'!$N$11&gt;0,MOD($A86-'Recurring Schedule'!$F$11,'Recurring Schedule'!$N$11)=0,IF('Recurring Schedule'!$O$11&gt;0,AND(DAY($A86)=MIN(DAY('Recurring Schedule'!$F$11),DAY(EOMONTH($A86,0))),MOD((YEAR($A86)-YEAR('Recurring Schedule'!$F$11))*12+MONTH($A86)-MONTH('Recurring Schedule'!$F$11),'Recurring Schedule'!$O$11)=0),IF('Recurring Schedule'!$E$11="Weekdays",WEEKDAY($A86,2)&lt;=5,$A86='Recurring Schedule'!$F$11))),6,""))))</f>
        <v/>
      </c>
      <c r="H86">
        <f>IF('Recurring Schedule'!$C$12="","",IF('Recurring Schedule'!$F$12="","",IF(OR($A86&lt;'Recurring Schedule'!$F$12,$A86&gt;'Recurring Schedule'!$P$12),"",IF(IF('Recurring Schedule'!$N$12&gt;0,MOD($A86-'Recurring Schedule'!$F$12,'Recurring Schedule'!$N$12)=0,IF('Recurring Schedule'!$O$12&gt;0,AND(DAY($A86)=MIN(DAY('Recurring Schedule'!$F$12),DAY(EOMONTH($A86,0))),MOD((YEAR($A86)-YEAR('Recurring Schedule'!$F$12))*12+MONTH($A86)-MONTH('Recurring Schedule'!$F$12),'Recurring Schedule'!$O$12)=0),IF('Recurring Schedule'!$E$12="Weekdays",WEEKDAY($A86,2)&lt;=5,$A86='Recurring Schedule'!$F$12))),7,""))))</f>
        <v/>
      </c>
      <c r="I86">
        <f>IF('Recurring Schedule'!$C$13="","",IF('Recurring Schedule'!$F$13="","",IF(OR($A86&lt;'Recurring Schedule'!$F$13,$A86&gt;'Recurring Schedule'!$P$13),"",IF(IF('Recurring Schedule'!$N$13&gt;0,MOD($A86-'Recurring Schedule'!$F$13,'Recurring Schedule'!$N$13)=0,IF('Recurring Schedule'!$O$13&gt;0,AND(DAY($A86)=MIN(DAY('Recurring Schedule'!$F$13),DAY(EOMONTH($A86,0))),MOD((YEAR($A86)-YEAR('Recurring Schedule'!$F$13))*12+MONTH($A86)-MONTH('Recurring Schedule'!$F$13),'Recurring Schedule'!$O$13)=0),IF('Recurring Schedule'!$E$13="Weekdays",WEEKDAY($A86,2)&lt;=5,$A86='Recurring Schedule'!$F$13))),8,""))))</f>
        <v/>
      </c>
      <c r="J86">
        <f>IF('Recurring Schedule'!$C$14="","",IF('Recurring Schedule'!$F$14="","",IF(OR($A86&lt;'Recurring Schedule'!$F$14,$A86&gt;'Recurring Schedule'!$P$14),"",IF(IF('Recurring Schedule'!$N$14&gt;0,MOD($A86-'Recurring Schedule'!$F$14,'Recurring Schedule'!$N$14)=0,IF('Recurring Schedule'!$O$14&gt;0,AND(DAY($A86)=MIN(DAY('Recurring Schedule'!$F$14),DAY(EOMONTH($A86,0))),MOD((YEAR($A86)-YEAR('Recurring Schedule'!$F$14))*12+MONTH($A86)-MONTH('Recurring Schedule'!$F$14),'Recurring Schedule'!$O$14)=0),IF('Recurring Schedule'!$E$14="Weekdays",WEEKDAY($A86,2)&lt;=5,$A86='Recurring Schedule'!$F$14))),9,""))))</f>
        <v/>
      </c>
      <c r="K86">
        <f>IF('Recurring Schedule'!$C$15="","",IF('Recurring Schedule'!$F$15="","",IF(OR($A86&lt;'Recurring Schedule'!$F$15,$A86&gt;'Recurring Schedule'!$P$15),"",IF(IF('Recurring Schedule'!$N$15&gt;0,MOD($A86-'Recurring Schedule'!$F$15,'Recurring Schedule'!$N$15)=0,IF('Recurring Schedule'!$O$15&gt;0,AND(DAY($A86)=MIN(DAY('Recurring Schedule'!$F$15),DAY(EOMONTH($A86,0))),MOD((YEAR($A86)-YEAR('Recurring Schedule'!$F$15))*12+MONTH($A86)-MONTH('Recurring Schedule'!$F$15),'Recurring Schedule'!$O$15)=0),IF('Recurring Schedule'!$E$15="Weekdays",WEEKDAY($A86,2)&lt;=5,$A86='Recurring Schedule'!$F$15))),10,""))))</f>
        <v/>
      </c>
      <c r="L86">
        <f>IF('Recurring Schedule'!$C$16="","",IF('Recurring Schedule'!$F$16="","",IF(OR($A86&lt;'Recurring Schedule'!$F$16,$A86&gt;'Recurring Schedule'!$P$16),"",IF(IF('Recurring Schedule'!$N$16&gt;0,MOD($A86-'Recurring Schedule'!$F$16,'Recurring Schedule'!$N$16)=0,IF('Recurring Schedule'!$O$16&gt;0,AND(DAY($A86)=MIN(DAY('Recurring Schedule'!$F$16),DAY(EOMONTH($A86,0))),MOD((YEAR($A86)-YEAR('Recurring Schedule'!$F$16))*12+MONTH($A86)-MONTH('Recurring Schedule'!$F$16),'Recurring Schedule'!$O$16)=0),IF('Recurring Schedule'!$E$16="Weekdays",WEEKDAY($A86,2)&lt;=5,$A86='Recurring Schedule'!$F$16))),11,""))))</f>
        <v/>
      </c>
      <c r="M86">
        <f>IF('Recurring Schedule'!$C$17="","",IF('Recurring Schedule'!$F$17="","",IF(OR($A86&lt;'Recurring Schedule'!$F$17,$A86&gt;'Recurring Schedule'!$P$17),"",IF(IF('Recurring Schedule'!$N$17&gt;0,MOD($A86-'Recurring Schedule'!$F$17,'Recurring Schedule'!$N$17)=0,IF('Recurring Schedule'!$O$17&gt;0,AND(DAY($A86)=MIN(DAY('Recurring Schedule'!$F$17),DAY(EOMONTH($A86,0))),MOD((YEAR($A86)-YEAR('Recurring Schedule'!$F$17))*12+MONTH($A86)-MONTH('Recurring Schedule'!$F$17),'Recurring Schedule'!$O$17)=0),IF('Recurring Schedule'!$E$17="Weekdays",WEEKDAY($A86,2)&lt;=5,$A86='Recurring Schedule'!$F$17))),12,""))))</f>
        <v/>
      </c>
      <c r="N86">
        <f>IF('Recurring Schedule'!$C$18="","",IF('Recurring Schedule'!$F$18="","",IF(OR($A86&lt;'Recurring Schedule'!$F$18,$A86&gt;'Recurring Schedule'!$P$18),"",IF(IF('Recurring Schedule'!$N$18&gt;0,MOD($A86-'Recurring Schedule'!$F$18,'Recurring Schedule'!$N$18)=0,IF('Recurring Schedule'!$O$18&gt;0,AND(DAY($A86)=MIN(DAY('Recurring Schedule'!$F$18),DAY(EOMONTH($A86,0))),MOD((YEAR($A86)-YEAR('Recurring Schedule'!$F$18))*12+MONTH($A86)-MONTH('Recurring Schedule'!$F$18),'Recurring Schedule'!$O$18)=0),IF('Recurring Schedule'!$E$18="Weekdays",WEEKDAY($A86,2)&lt;=5,$A86='Recurring Schedule'!$F$18))),13,""))))</f>
        <v/>
      </c>
      <c r="O86">
        <f>IF('Recurring Schedule'!$C$19="","",IF('Recurring Schedule'!$F$19="","",IF(OR($A86&lt;'Recurring Schedule'!$F$19,$A86&gt;'Recurring Schedule'!$P$19),"",IF(IF('Recurring Schedule'!$N$19&gt;0,MOD($A86-'Recurring Schedule'!$F$19,'Recurring Schedule'!$N$19)=0,IF('Recurring Schedule'!$O$19&gt;0,AND(DAY($A86)=MIN(DAY('Recurring Schedule'!$F$19),DAY(EOMONTH($A86,0))),MOD((YEAR($A86)-YEAR('Recurring Schedule'!$F$19))*12+MONTH($A86)-MONTH('Recurring Schedule'!$F$19),'Recurring Schedule'!$O$19)=0),IF('Recurring Schedule'!$E$19="Weekdays",WEEKDAY($A86,2)&lt;=5,$A86='Recurring Schedule'!$F$19))),14,""))))</f>
        <v/>
      </c>
      <c r="P86">
        <f>IF('Recurring Schedule'!$C$20="","",IF('Recurring Schedule'!$F$20="","",IF(OR($A86&lt;'Recurring Schedule'!$F$20,$A86&gt;'Recurring Schedule'!$P$20),"",IF(IF('Recurring Schedule'!$N$20&gt;0,MOD($A86-'Recurring Schedule'!$F$20,'Recurring Schedule'!$N$20)=0,IF('Recurring Schedule'!$O$20&gt;0,AND(DAY($A86)=MIN(DAY('Recurring Schedule'!$F$20),DAY(EOMONTH($A86,0))),MOD((YEAR($A86)-YEAR('Recurring Schedule'!$F$20))*12+MONTH($A86)-MONTH('Recurring Schedule'!$F$20),'Recurring Schedule'!$O$20)=0),IF('Recurring Schedule'!$E$20="Weekdays",WEEKDAY($A86,2)&lt;=5,$A86='Recurring Schedule'!$F$20))),15,""))))</f>
        <v/>
      </c>
      <c r="Q86">
        <f>IF('Recurring Schedule'!$C$21="","",IF('Recurring Schedule'!$F$21="","",IF(OR($A86&lt;'Recurring Schedule'!$F$21,$A86&gt;'Recurring Schedule'!$P$21),"",IF(IF('Recurring Schedule'!$N$21&gt;0,MOD($A86-'Recurring Schedule'!$F$21,'Recurring Schedule'!$N$21)=0,IF('Recurring Schedule'!$O$21&gt;0,AND(DAY($A86)=MIN(DAY('Recurring Schedule'!$F$21),DAY(EOMONTH($A86,0))),MOD((YEAR($A86)-YEAR('Recurring Schedule'!$F$21))*12+MONTH($A86)-MONTH('Recurring Schedule'!$F$21),'Recurring Schedule'!$O$21)=0),IF('Recurring Schedule'!$E$21="Weekdays",WEEKDAY($A86,2)&lt;=5,$A86='Recurring Schedule'!$F$21))),16,""))))</f>
        <v/>
      </c>
      <c r="R86">
        <f>IF('Recurring Schedule'!$C$22="","",IF('Recurring Schedule'!$F$22="","",IF(OR($A86&lt;'Recurring Schedule'!$F$22,$A86&gt;'Recurring Schedule'!$P$22),"",IF(IF('Recurring Schedule'!$N$22&gt;0,MOD($A86-'Recurring Schedule'!$F$22,'Recurring Schedule'!$N$22)=0,IF('Recurring Schedule'!$O$22&gt;0,AND(DAY($A86)=MIN(DAY('Recurring Schedule'!$F$22),DAY(EOMONTH($A86,0))),MOD((YEAR($A86)-YEAR('Recurring Schedule'!$F$22))*12+MONTH($A86)-MONTH('Recurring Schedule'!$F$22),'Recurring Schedule'!$O$22)=0),IF('Recurring Schedule'!$E$22="Weekdays",WEEKDAY($A86,2)&lt;=5,$A86='Recurring Schedule'!$F$22))),17,""))))</f>
        <v/>
      </c>
      <c r="S86">
        <f>IF('Recurring Schedule'!$C$23="","",IF('Recurring Schedule'!$F$23="","",IF(OR($A86&lt;'Recurring Schedule'!$F$23,$A86&gt;'Recurring Schedule'!$P$23),"",IF(IF('Recurring Schedule'!$N$23&gt;0,MOD($A86-'Recurring Schedule'!$F$23,'Recurring Schedule'!$N$23)=0,IF('Recurring Schedule'!$O$23&gt;0,AND(DAY($A86)=MIN(DAY('Recurring Schedule'!$F$23),DAY(EOMONTH($A86,0))),MOD((YEAR($A86)-YEAR('Recurring Schedule'!$F$23))*12+MONTH($A86)-MONTH('Recurring Schedule'!$F$23),'Recurring Schedule'!$O$23)=0),IF('Recurring Schedule'!$E$23="Weekdays",WEEKDAY($A86,2)&lt;=5,$A86='Recurring Schedule'!$F$23))),18,""))))</f>
        <v/>
      </c>
      <c r="T86">
        <f>IF('Recurring Schedule'!$C$24="","",IF('Recurring Schedule'!$F$24="","",IF(OR($A86&lt;'Recurring Schedule'!$F$24,$A86&gt;'Recurring Schedule'!$P$24),"",IF(IF('Recurring Schedule'!$N$24&gt;0,MOD($A86-'Recurring Schedule'!$F$24,'Recurring Schedule'!$N$24)=0,IF('Recurring Schedule'!$O$24&gt;0,AND(DAY($A86)=MIN(DAY('Recurring Schedule'!$F$24),DAY(EOMONTH($A86,0))),MOD((YEAR($A86)-YEAR('Recurring Schedule'!$F$24))*12+MONTH($A86)-MONTH('Recurring Schedule'!$F$24),'Recurring Schedule'!$O$24)=0),IF('Recurring Schedule'!$E$24="Weekdays",WEEKDAY($A86,2)&lt;=5,$A86='Recurring Schedule'!$F$24))),19,""))))</f>
        <v/>
      </c>
      <c r="U86">
        <f>IF('Recurring Schedule'!$C$25="","",IF('Recurring Schedule'!$F$25="","",IF(OR($A86&lt;'Recurring Schedule'!$F$25,$A86&gt;'Recurring Schedule'!$P$25),"",IF(IF('Recurring Schedule'!$N$25&gt;0,MOD($A86-'Recurring Schedule'!$F$25,'Recurring Schedule'!$N$25)=0,IF('Recurring Schedule'!$O$25&gt;0,AND(DAY($A86)=MIN(DAY('Recurring Schedule'!$F$25),DAY(EOMONTH($A86,0))),MOD((YEAR($A86)-YEAR('Recurring Schedule'!$F$25))*12+MONTH($A86)-MONTH('Recurring Schedule'!$F$25),'Recurring Schedule'!$O$25)=0),IF('Recurring Schedule'!$E$25="Weekdays",WEEKDAY($A86,2)&lt;=5,$A86='Recurring Schedule'!$F$25))),20,""))))</f>
        <v/>
      </c>
      <c r="V86">
        <f>IF('Recurring Schedule'!$C$26="","",IF('Recurring Schedule'!$F$26="","",IF(OR($A86&lt;'Recurring Schedule'!$F$26,$A86&gt;'Recurring Schedule'!$P$26),"",IF(IF('Recurring Schedule'!$N$26&gt;0,MOD($A86-'Recurring Schedule'!$F$26,'Recurring Schedule'!$N$26)=0,IF('Recurring Schedule'!$O$26&gt;0,AND(DAY($A86)=MIN(DAY('Recurring Schedule'!$F$26),DAY(EOMONTH($A86,0))),MOD((YEAR($A86)-YEAR('Recurring Schedule'!$F$26))*12+MONTH($A86)-MONTH('Recurring Schedule'!$F$26),'Recurring Schedule'!$O$26)=0),IF('Recurring Schedule'!$E$26="Weekdays",WEEKDAY($A86,2)&lt;=5,$A86='Recurring Schedule'!$F$26))),21,""))))</f>
        <v/>
      </c>
      <c r="W86">
        <f>IF('Recurring Schedule'!$C$27="","",IF('Recurring Schedule'!$F$27="","",IF(OR($A86&lt;'Recurring Schedule'!$F$27,$A86&gt;'Recurring Schedule'!$P$27),"",IF(IF('Recurring Schedule'!$N$27&gt;0,MOD($A86-'Recurring Schedule'!$F$27,'Recurring Schedule'!$N$27)=0,IF('Recurring Schedule'!$O$27&gt;0,AND(DAY($A86)=MIN(DAY('Recurring Schedule'!$F$27),DAY(EOMONTH($A86,0))),MOD((YEAR($A86)-YEAR('Recurring Schedule'!$F$27))*12+MONTH($A86)-MONTH('Recurring Schedule'!$F$27),'Recurring Schedule'!$O$27)=0),IF('Recurring Schedule'!$E$27="Weekdays",WEEKDAY($A86,2)&lt;=5,$A86='Recurring Schedule'!$F$27))),22,""))))</f>
        <v/>
      </c>
      <c r="X86">
        <f>IF('Recurring Schedule'!$C$28="","",IF('Recurring Schedule'!$F$28="","",IF(OR($A86&lt;'Recurring Schedule'!$F$28,$A86&gt;'Recurring Schedule'!$P$28),"",IF(IF('Recurring Schedule'!$N$28&gt;0,MOD($A86-'Recurring Schedule'!$F$28,'Recurring Schedule'!$N$28)=0,IF('Recurring Schedule'!$O$28&gt;0,AND(DAY($A86)=MIN(DAY('Recurring Schedule'!$F$28),DAY(EOMONTH($A86,0))),MOD((YEAR($A86)-YEAR('Recurring Schedule'!$F$28))*12+MONTH($A86)-MONTH('Recurring Schedule'!$F$28),'Recurring Schedule'!$O$28)=0),IF('Recurring Schedule'!$E$28="Weekdays",WEEKDAY($A86,2)&lt;=5,$A86='Recurring Schedule'!$F$28))),23,""))))</f>
        <v/>
      </c>
      <c r="Y86">
        <f>IF('Recurring Schedule'!$C$29="","",IF('Recurring Schedule'!$F$29="","",IF(OR($A86&lt;'Recurring Schedule'!$F$29,$A86&gt;'Recurring Schedule'!$P$29),"",IF(IF('Recurring Schedule'!$N$29&gt;0,MOD($A86-'Recurring Schedule'!$F$29,'Recurring Schedule'!$N$29)=0,IF('Recurring Schedule'!$O$29&gt;0,AND(DAY($A86)=MIN(DAY('Recurring Schedule'!$F$29),DAY(EOMONTH($A86,0))),MOD((YEAR($A86)-YEAR('Recurring Schedule'!$F$29))*12+MONTH($A86)-MONTH('Recurring Schedule'!$F$29),'Recurring Schedule'!$O$29)=0),IF('Recurring Schedule'!$E$29="Weekdays",WEEKDAY($A86,2)&lt;=5,$A86='Recurring Schedule'!$F$29))),24,""))))</f>
        <v/>
      </c>
      <c r="Z86">
        <f>IF('Recurring Schedule'!$C$30="","",IF('Recurring Schedule'!$F$30="","",IF(OR($A86&lt;'Recurring Schedule'!$F$30,$A86&gt;'Recurring Schedule'!$P$30),"",IF(IF('Recurring Schedule'!$N$30&gt;0,MOD($A86-'Recurring Schedule'!$F$30,'Recurring Schedule'!$N$30)=0,IF('Recurring Schedule'!$O$30&gt;0,AND(DAY($A86)=MIN(DAY('Recurring Schedule'!$F$30),DAY(EOMONTH($A86,0))),MOD((YEAR($A86)-YEAR('Recurring Schedule'!$F$30))*12+MONTH($A86)-MONTH('Recurring Schedule'!$F$30),'Recurring Schedule'!$O$30)=0),IF('Recurring Schedule'!$E$30="Weekdays",WEEKDAY($A86,2)&lt;=5,$A86='Recurring Schedule'!$F$30))),25,""))))</f>
        <v/>
      </c>
      <c r="AA86">
        <f>IF('Recurring Schedule'!$C$31="","",IF('Recurring Schedule'!$F$31="","",IF(OR($A86&lt;'Recurring Schedule'!$F$31,$A86&gt;'Recurring Schedule'!$P$31),"",IF(IF('Recurring Schedule'!$N$31&gt;0,MOD($A86-'Recurring Schedule'!$F$31,'Recurring Schedule'!$N$31)=0,IF('Recurring Schedule'!$O$31&gt;0,AND(DAY($A86)=MIN(DAY('Recurring Schedule'!$F$31),DAY(EOMONTH($A86,0))),MOD((YEAR($A86)-YEAR('Recurring Schedule'!$F$31))*12+MONTH($A86)-MONTH('Recurring Schedule'!$F$31),'Recurring Schedule'!$O$31)=0),IF('Recurring Schedule'!$E$31="Weekdays",WEEKDAY($A86,2)&lt;=5,$A86='Recurring Schedule'!$F$31))),26,""))))</f>
        <v/>
      </c>
      <c r="AB86">
        <f>IF('Recurring Schedule'!$C$32="","",IF('Recurring Schedule'!$F$32="","",IF(OR($A86&lt;'Recurring Schedule'!$F$32,$A86&gt;'Recurring Schedule'!$P$32),"",IF(IF('Recurring Schedule'!$N$32&gt;0,MOD($A86-'Recurring Schedule'!$F$32,'Recurring Schedule'!$N$32)=0,IF('Recurring Schedule'!$O$32&gt;0,AND(DAY($A86)=MIN(DAY('Recurring Schedule'!$F$32),DAY(EOMONTH($A86,0))),MOD((YEAR($A86)-YEAR('Recurring Schedule'!$F$32))*12+MONTH($A86)-MONTH('Recurring Schedule'!$F$32),'Recurring Schedule'!$O$32)=0),IF('Recurring Schedule'!$E$32="Weekdays",WEEKDAY($A86,2)&lt;=5,$A86='Recurring Schedule'!$F$32))),27,""))))</f>
        <v/>
      </c>
      <c r="AC86">
        <f>IF('Recurring Schedule'!$C$33="","",IF('Recurring Schedule'!$F$33="","",IF(OR($A86&lt;'Recurring Schedule'!$F$33,$A86&gt;'Recurring Schedule'!$P$33),"",IF(IF('Recurring Schedule'!$N$33&gt;0,MOD($A86-'Recurring Schedule'!$F$33,'Recurring Schedule'!$N$33)=0,IF('Recurring Schedule'!$O$33&gt;0,AND(DAY($A86)=MIN(DAY('Recurring Schedule'!$F$33),DAY(EOMONTH($A86,0))),MOD((YEAR($A86)-YEAR('Recurring Schedule'!$F$33))*12+MONTH($A86)-MONTH('Recurring Schedule'!$F$33),'Recurring Schedule'!$O$33)=0),IF('Recurring Schedule'!$E$33="Weekdays",WEEKDAY($A86,2)&lt;=5,$A86='Recurring Schedule'!$F$33))),28,""))))</f>
        <v/>
      </c>
      <c r="AD86">
        <f>IF('Recurring Schedule'!$C$34="","",IF('Recurring Schedule'!$F$34="","",IF(OR($A86&lt;'Recurring Schedule'!$F$34,$A86&gt;'Recurring Schedule'!$P$34),"",IF(IF('Recurring Schedule'!$N$34&gt;0,MOD($A86-'Recurring Schedule'!$F$34,'Recurring Schedule'!$N$34)=0,IF('Recurring Schedule'!$O$34&gt;0,AND(DAY($A86)=MIN(DAY('Recurring Schedule'!$F$34),DAY(EOMONTH($A86,0))),MOD((YEAR($A86)-YEAR('Recurring Schedule'!$F$34))*12+MONTH($A86)-MONTH('Recurring Schedule'!$F$34),'Recurring Schedule'!$O$34)=0),IF('Recurring Schedule'!$E$34="Weekdays",WEEKDAY($A86,2)&lt;=5,$A86='Recurring Schedule'!$F$34))),29,""))))</f>
        <v/>
      </c>
      <c r="AE86">
        <f>IF('Recurring Schedule'!$C$35="","",IF('Recurring Schedule'!$F$35="","",IF(OR($A86&lt;'Recurring Schedule'!$F$35,$A86&gt;'Recurring Schedule'!$P$35),"",IF(IF('Recurring Schedule'!$N$35&gt;0,MOD($A86-'Recurring Schedule'!$F$35,'Recurring Schedule'!$N$35)=0,IF('Recurring Schedule'!$O$35&gt;0,AND(DAY($A86)=MIN(DAY('Recurring Schedule'!$F$35),DAY(EOMONTH($A86,0))),MOD((YEAR($A86)-YEAR('Recurring Schedule'!$F$35))*12+MONTH($A86)-MONTH('Recurring Schedule'!$F$35),'Recurring Schedule'!$O$35)=0),IF('Recurring Schedule'!$E$35="Weekdays",WEEKDAY($A86,2)&lt;=5,$A86='Recurring Schedule'!$F$35))),30,""))))</f>
        <v/>
      </c>
      <c r="AF86">
        <f>IF('Recurring Schedule'!$C$36="","",IF('Recurring Schedule'!$F$36="","",IF(OR($A86&lt;'Recurring Schedule'!$F$36,$A86&gt;'Recurring Schedule'!$P$36),"",IF(IF('Recurring Schedule'!$N$36&gt;0,MOD($A86-'Recurring Schedule'!$F$36,'Recurring Schedule'!$N$36)=0,IF('Recurring Schedule'!$O$36&gt;0,AND(DAY($A86)=MIN(DAY('Recurring Schedule'!$F$36),DAY(EOMONTH($A86,0))),MOD((YEAR($A86)-YEAR('Recurring Schedule'!$F$36))*12+MONTH($A86)-MONTH('Recurring Schedule'!$F$36),'Recurring Schedule'!$O$36)=0),IF('Recurring Schedule'!$E$36="Weekdays",WEEKDAY($A86,2)&lt;=5,$A86='Recurring Schedule'!$F$36))),31,""))))</f>
        <v/>
      </c>
      <c r="AG86">
        <f>IF('Recurring Schedule'!$C$37="","",IF('Recurring Schedule'!$F$37="","",IF(OR($A86&lt;'Recurring Schedule'!$F$37,$A86&gt;'Recurring Schedule'!$P$37),"",IF(IF('Recurring Schedule'!$N$37&gt;0,MOD($A86-'Recurring Schedule'!$F$37,'Recurring Schedule'!$N$37)=0,IF('Recurring Schedule'!$O$37&gt;0,AND(DAY($A86)=MIN(DAY('Recurring Schedule'!$F$37),DAY(EOMONTH($A86,0))),MOD((YEAR($A86)-YEAR('Recurring Schedule'!$F$37))*12+MONTH($A86)-MONTH('Recurring Schedule'!$F$37),'Recurring Schedule'!$O$37)=0),IF('Recurring Schedule'!$E$37="Weekdays",WEEKDAY($A86,2)&lt;=5,$A86='Recurring Schedule'!$F$37))),32,""))))</f>
        <v/>
      </c>
      <c r="AH86">
        <f>IF('Recurring Schedule'!$C$38="","",IF('Recurring Schedule'!$F$38="","",IF(OR($A86&lt;'Recurring Schedule'!$F$38,$A86&gt;'Recurring Schedule'!$P$38),"",IF(IF('Recurring Schedule'!$N$38&gt;0,MOD($A86-'Recurring Schedule'!$F$38,'Recurring Schedule'!$N$38)=0,IF('Recurring Schedule'!$O$38&gt;0,AND(DAY($A86)=MIN(DAY('Recurring Schedule'!$F$38),DAY(EOMONTH($A86,0))),MOD((YEAR($A86)-YEAR('Recurring Schedule'!$F$38))*12+MONTH($A86)-MONTH('Recurring Schedule'!$F$38),'Recurring Schedule'!$O$38)=0),IF('Recurring Schedule'!$E$38="Weekdays",WEEKDAY($A86,2)&lt;=5,$A86='Recurring Schedule'!$F$38))),33,""))))</f>
        <v/>
      </c>
      <c r="AI86">
        <f>IF('Recurring Schedule'!$C$39="","",IF('Recurring Schedule'!$F$39="","",IF(OR($A86&lt;'Recurring Schedule'!$F$39,$A86&gt;'Recurring Schedule'!$P$39),"",IF(IF('Recurring Schedule'!$N$39&gt;0,MOD($A86-'Recurring Schedule'!$F$39,'Recurring Schedule'!$N$39)=0,IF('Recurring Schedule'!$O$39&gt;0,AND(DAY($A86)=MIN(DAY('Recurring Schedule'!$F$39),DAY(EOMONTH($A86,0))),MOD((YEAR($A86)-YEAR('Recurring Schedule'!$F$39))*12+MONTH($A86)-MONTH('Recurring Schedule'!$F$39),'Recurring Schedule'!$O$39)=0),IF('Recurring Schedule'!$E$39="Weekdays",WEEKDAY($A86,2)&lt;=5,$A86='Recurring Schedule'!$F$39))),34,""))))</f>
        <v/>
      </c>
      <c r="AJ86">
        <f>IF('Recurring Schedule'!$C$40="","",IF('Recurring Schedule'!$F$40="","",IF(OR($A86&lt;'Recurring Schedule'!$F$40,$A86&gt;'Recurring Schedule'!$P$40),"",IF(IF('Recurring Schedule'!$N$40&gt;0,MOD($A86-'Recurring Schedule'!$F$40,'Recurring Schedule'!$N$40)=0,IF('Recurring Schedule'!$O$40&gt;0,AND(DAY($A86)=MIN(DAY('Recurring Schedule'!$F$40),DAY(EOMONTH($A86,0))),MOD((YEAR($A86)-YEAR('Recurring Schedule'!$F$40))*12+MONTH($A86)-MONTH('Recurring Schedule'!$F$40),'Recurring Schedule'!$O$40)=0),IF('Recurring Schedule'!$E$40="Weekdays",WEEKDAY($A86,2)&lt;=5,$A86='Recurring Schedule'!$F$40))),35,""))))</f>
        <v/>
      </c>
      <c r="AK86">
        <f>IF('Recurring Schedule'!$C$41="","",IF('Recurring Schedule'!$F$41="","",IF(OR($A86&lt;'Recurring Schedule'!$F$41,$A86&gt;'Recurring Schedule'!$P$41),"",IF(IF('Recurring Schedule'!$N$41&gt;0,MOD($A86-'Recurring Schedule'!$F$41,'Recurring Schedule'!$N$41)=0,IF('Recurring Schedule'!$O$41&gt;0,AND(DAY($A86)=MIN(DAY('Recurring Schedule'!$F$41),DAY(EOMONTH($A86,0))),MOD((YEAR($A86)-YEAR('Recurring Schedule'!$F$41))*12+MONTH($A86)-MONTH('Recurring Schedule'!$F$41),'Recurring Schedule'!$O$41)=0),IF('Recurring Schedule'!$E$41="Weekdays",WEEKDAY($A86,2)&lt;=5,$A86='Recurring Schedule'!$F$41))),36,""))))</f>
        <v/>
      </c>
      <c r="AL86">
        <f>IF('Recurring Schedule'!$C$42="","",IF('Recurring Schedule'!$F$42="","",IF(OR($A86&lt;'Recurring Schedule'!$F$42,$A86&gt;'Recurring Schedule'!$P$42),"",IF(IF('Recurring Schedule'!$N$42&gt;0,MOD($A86-'Recurring Schedule'!$F$42,'Recurring Schedule'!$N$42)=0,IF('Recurring Schedule'!$O$42&gt;0,AND(DAY($A86)=MIN(DAY('Recurring Schedule'!$F$42),DAY(EOMONTH($A86,0))),MOD((YEAR($A86)-YEAR('Recurring Schedule'!$F$42))*12+MONTH($A86)-MONTH('Recurring Schedule'!$F$42),'Recurring Schedule'!$O$42)=0),IF('Recurring Schedule'!$E$42="Weekdays",WEEKDAY($A86,2)&lt;=5,$A86='Recurring Schedule'!$F$42))),37,""))))</f>
        <v/>
      </c>
      <c r="AM86">
        <f>IF('Recurring Schedule'!$C$43="","",IF('Recurring Schedule'!$F$43="","",IF(OR($A86&lt;'Recurring Schedule'!$F$43,$A86&gt;'Recurring Schedule'!$P$43),"",IF(IF('Recurring Schedule'!$N$43&gt;0,MOD($A86-'Recurring Schedule'!$F$43,'Recurring Schedule'!$N$43)=0,IF('Recurring Schedule'!$O$43&gt;0,AND(DAY($A86)=MIN(DAY('Recurring Schedule'!$F$43),DAY(EOMONTH($A86,0))),MOD((YEAR($A86)-YEAR('Recurring Schedule'!$F$43))*12+MONTH($A86)-MONTH('Recurring Schedule'!$F$43),'Recurring Schedule'!$O$43)=0),IF('Recurring Schedule'!$E$43="Weekdays",WEEKDAY($A86,2)&lt;=5,$A86='Recurring Schedule'!$F$43))),38,""))))</f>
        <v/>
      </c>
      <c r="AN86">
        <f>IF('Recurring Schedule'!$C$44="","",IF('Recurring Schedule'!$F$44="","",IF(OR($A86&lt;'Recurring Schedule'!$F$44,$A86&gt;'Recurring Schedule'!$P$44),"",IF(IF('Recurring Schedule'!$N$44&gt;0,MOD($A86-'Recurring Schedule'!$F$44,'Recurring Schedule'!$N$44)=0,IF('Recurring Schedule'!$O$44&gt;0,AND(DAY($A86)=MIN(DAY('Recurring Schedule'!$F$44),DAY(EOMONTH($A86,0))),MOD((YEAR($A86)-YEAR('Recurring Schedule'!$F$44))*12+MONTH($A86)-MONTH('Recurring Schedule'!$F$44),'Recurring Schedule'!$O$44)=0),IF('Recurring Schedule'!$E$44="Weekdays",WEEKDAY($A86,2)&lt;=5,$A86='Recurring Schedule'!$F$44))),39,""))))</f>
        <v/>
      </c>
      <c r="AO86">
        <f>IF('Recurring Schedule'!$C$45="","",IF('Recurring Schedule'!$F$45="","",IF(OR($A86&lt;'Recurring Schedule'!$F$45,$A86&gt;'Recurring Schedule'!$P$45),"",IF(IF('Recurring Schedule'!$N$45&gt;0,MOD($A86-'Recurring Schedule'!$F$45,'Recurring Schedule'!$N$45)=0,IF('Recurring Schedule'!$O$45&gt;0,AND(DAY($A86)=MIN(DAY('Recurring Schedule'!$F$45),DAY(EOMONTH($A86,0))),MOD((YEAR($A86)-YEAR('Recurring Schedule'!$F$45))*12+MONTH($A86)-MONTH('Recurring Schedule'!$F$45),'Recurring Schedule'!$O$45)=0),IF('Recurring Schedule'!$E$45="Weekdays",WEEKDAY($A86,2)&lt;=5,$A86='Recurring Schedule'!$F$45))),40,""))))</f>
        <v/>
      </c>
      <c r="AP86">
        <f>COUNT(B86:AO86)</f>
        <v/>
      </c>
      <c r="AQ86">
        <f>AQ85+AP85</f>
        <v/>
      </c>
      <c r="AS86" t="inlineStr">
        <is>
          <t>R</t>
        </is>
      </c>
      <c r="AT86" t="n">
        <v>90</v>
      </c>
      <c r="AU86">
        <f>'Recurring Log'!C90&amp;""</f>
        <v/>
      </c>
      <c r="AV86">
        <f>'Recurring Log'!D90&amp;""</f>
        <v/>
      </c>
      <c r="AW86">
        <f>IF('Recurring Log'!E90="","",'Recurring Log'!E90)</f>
        <v/>
      </c>
      <c r="AX86">
        <f>IF('Recurring Log'!G90="","",'Recurring Log'!G90)</f>
        <v/>
      </c>
      <c r="AY86">
        <f>IF('Recurring Log'!H90="","",'Recurring Log'!H90)</f>
        <v/>
      </c>
      <c r="AZ86">
        <f>IF(AU86="","",IF('Recurring Log'!J90="","Not Started",'Recurring Log'!J90))</f>
        <v/>
      </c>
      <c r="BA86">
        <f>'Recurring Log'!L90&amp;""</f>
        <v/>
      </c>
      <c r="BB86">
        <f>'Recurring Log'!M90&amp;""</f>
        <v/>
      </c>
      <c r="BC86">
        <f>'Recurring Log'!N90&amp;""</f>
        <v/>
      </c>
      <c r="BD86">
        <f>'Recurring Log'!O90&amp;""</f>
        <v/>
      </c>
      <c r="BE86">
        <f>IF('Recurring Log'!K90="","",'Recurring Log'!K90)</f>
        <v/>
      </c>
      <c r="BF86">
        <f>IFERROR(MATCH(BA86,Setup!$L$6:$L$9,0),5)</f>
        <v/>
      </c>
      <c r="BG86">
        <f>IF(OR(AZ86="Done",AZ86="Cancelled"),1,0)</f>
        <v/>
      </c>
      <c r="BH86">
        <f>IF(AND(AU86&lt;&gt;"",ISNUMBER(AW86)),1,0)</f>
        <v/>
      </c>
      <c r="BI86">
        <f>IF(BH86=0,0,IF(AND(AW86&gt;='Tasks Filter'!$F$3,AW86&lt;='Tasks Filter'!$F$4,OR('Tasks Filter'!$I$3="",ISNUMBER(SEARCH('Tasks Filter'!$I$3,AU86))),OR('Tasks Filter'!$I$4="",BF86=IFERROR(MATCH('Tasks Filter'!$I$4,Setup!$L$6:$L$9,0),0)),OR('Tasks Filter'!$I$5="Both",AND('Tasks Filter'!$I$5="Yes",BB86="✓"),AND('Tasks Filter'!$I$5="No",BB86&lt;&gt;"✓")),OR('Tasks Filter'!$L$3="",AV86='Tasks Filter'!$L$3),OR('Tasks Filter'!$L$4="",AZ86='Tasks Filter'!$L$4),OR('Tasks Filter'!$L$5="",BC86='Tasks Filter'!$L$5),OR('Tasks Filter'!$O$3="",BD86='Tasks Filter'!$O$3),OR('Tasks Filter'!$O$4="Yes",BG86=0)),1,0))</f>
        <v/>
      </c>
      <c r="BJ86">
        <f>IF(BH86=0,"",IF('Tasks Filter'!$F$6="Descending",-1,1)*CHOOSE(MATCH('Tasks Filter'!$F$5,Lists!$G$2:$G$6,0),AW86,BF86,IFERROR(MATCH(AV86,Setup!$F$6:$F$15,0),99),IFERROR(MATCH(BC86,Setup!$H$6:$H$15,0),99),IFERROR(MATCH(AZ86,Setup!$J$6:$J$11,0),99))*1E+9+(AW86-40000)*10000+85)</f>
        <v/>
      </c>
      <c r="BK86">
        <f>IF(BI86=1,BJ86,"")</f>
        <v/>
      </c>
      <c r="BL86">
        <f>IF(AND(BH86=1,BG86=0,N(AW86)&lt;Setup!$D$7),(AW86-40000)*10000+85,"")</f>
        <v/>
      </c>
      <c r="BM86">
        <f>IF(AND(BH86=1,AZ86&lt;&gt;"Cancelled",N(AW86)&gt;=Dashboard!$AB$3,N(AW86)&lt;=Dashboard!$AB$3+6),(AW86-40000)*100000+BF86*10000+85,"")</f>
        <v/>
      </c>
      <c r="BN86">
        <f>IF(AND(BH86=1,AZ86&lt;&gt;"Cancelled"),BF86*10000+85,"")</f>
        <v/>
      </c>
    </row>
    <row r="87">
      <c r="A87">
        <f>Setup!$D$5+85</f>
        <v/>
      </c>
      <c r="B87">
        <f>IF('Recurring Schedule'!$C$6="","",IF('Recurring Schedule'!$F$6="","",IF(OR($A87&lt;'Recurring Schedule'!$F$6,$A87&gt;'Recurring Schedule'!$P$6),"",IF(IF('Recurring Schedule'!$N$6&gt;0,MOD($A87-'Recurring Schedule'!$F$6,'Recurring Schedule'!$N$6)=0,IF('Recurring Schedule'!$O$6&gt;0,AND(DAY($A87)=MIN(DAY('Recurring Schedule'!$F$6),DAY(EOMONTH($A87,0))),MOD((YEAR($A87)-YEAR('Recurring Schedule'!$F$6))*12+MONTH($A87)-MONTH('Recurring Schedule'!$F$6),'Recurring Schedule'!$O$6)=0),IF('Recurring Schedule'!$E$6="Weekdays",WEEKDAY($A87,2)&lt;=5,$A87='Recurring Schedule'!$F$6))),1,""))))</f>
        <v/>
      </c>
      <c r="C87">
        <f>IF('Recurring Schedule'!$C$7="","",IF('Recurring Schedule'!$F$7="","",IF(OR($A87&lt;'Recurring Schedule'!$F$7,$A87&gt;'Recurring Schedule'!$P$7),"",IF(IF('Recurring Schedule'!$N$7&gt;0,MOD($A87-'Recurring Schedule'!$F$7,'Recurring Schedule'!$N$7)=0,IF('Recurring Schedule'!$O$7&gt;0,AND(DAY($A87)=MIN(DAY('Recurring Schedule'!$F$7),DAY(EOMONTH($A87,0))),MOD((YEAR($A87)-YEAR('Recurring Schedule'!$F$7))*12+MONTH($A87)-MONTH('Recurring Schedule'!$F$7),'Recurring Schedule'!$O$7)=0),IF('Recurring Schedule'!$E$7="Weekdays",WEEKDAY($A87,2)&lt;=5,$A87='Recurring Schedule'!$F$7))),2,""))))</f>
        <v/>
      </c>
      <c r="D87">
        <f>IF('Recurring Schedule'!$C$8="","",IF('Recurring Schedule'!$F$8="","",IF(OR($A87&lt;'Recurring Schedule'!$F$8,$A87&gt;'Recurring Schedule'!$P$8),"",IF(IF('Recurring Schedule'!$N$8&gt;0,MOD($A87-'Recurring Schedule'!$F$8,'Recurring Schedule'!$N$8)=0,IF('Recurring Schedule'!$O$8&gt;0,AND(DAY($A87)=MIN(DAY('Recurring Schedule'!$F$8),DAY(EOMONTH($A87,0))),MOD((YEAR($A87)-YEAR('Recurring Schedule'!$F$8))*12+MONTH($A87)-MONTH('Recurring Schedule'!$F$8),'Recurring Schedule'!$O$8)=0),IF('Recurring Schedule'!$E$8="Weekdays",WEEKDAY($A87,2)&lt;=5,$A87='Recurring Schedule'!$F$8))),3,""))))</f>
        <v/>
      </c>
      <c r="E87">
        <f>IF('Recurring Schedule'!$C$9="","",IF('Recurring Schedule'!$F$9="","",IF(OR($A87&lt;'Recurring Schedule'!$F$9,$A87&gt;'Recurring Schedule'!$P$9),"",IF(IF('Recurring Schedule'!$N$9&gt;0,MOD($A87-'Recurring Schedule'!$F$9,'Recurring Schedule'!$N$9)=0,IF('Recurring Schedule'!$O$9&gt;0,AND(DAY($A87)=MIN(DAY('Recurring Schedule'!$F$9),DAY(EOMONTH($A87,0))),MOD((YEAR($A87)-YEAR('Recurring Schedule'!$F$9))*12+MONTH($A87)-MONTH('Recurring Schedule'!$F$9),'Recurring Schedule'!$O$9)=0),IF('Recurring Schedule'!$E$9="Weekdays",WEEKDAY($A87,2)&lt;=5,$A87='Recurring Schedule'!$F$9))),4,""))))</f>
        <v/>
      </c>
      <c r="F87">
        <f>IF('Recurring Schedule'!$C$10="","",IF('Recurring Schedule'!$F$10="","",IF(OR($A87&lt;'Recurring Schedule'!$F$10,$A87&gt;'Recurring Schedule'!$P$10),"",IF(IF('Recurring Schedule'!$N$10&gt;0,MOD($A87-'Recurring Schedule'!$F$10,'Recurring Schedule'!$N$10)=0,IF('Recurring Schedule'!$O$10&gt;0,AND(DAY($A87)=MIN(DAY('Recurring Schedule'!$F$10),DAY(EOMONTH($A87,0))),MOD((YEAR($A87)-YEAR('Recurring Schedule'!$F$10))*12+MONTH($A87)-MONTH('Recurring Schedule'!$F$10),'Recurring Schedule'!$O$10)=0),IF('Recurring Schedule'!$E$10="Weekdays",WEEKDAY($A87,2)&lt;=5,$A87='Recurring Schedule'!$F$10))),5,""))))</f>
        <v/>
      </c>
      <c r="G87">
        <f>IF('Recurring Schedule'!$C$11="","",IF('Recurring Schedule'!$F$11="","",IF(OR($A87&lt;'Recurring Schedule'!$F$11,$A87&gt;'Recurring Schedule'!$P$11),"",IF(IF('Recurring Schedule'!$N$11&gt;0,MOD($A87-'Recurring Schedule'!$F$11,'Recurring Schedule'!$N$11)=0,IF('Recurring Schedule'!$O$11&gt;0,AND(DAY($A87)=MIN(DAY('Recurring Schedule'!$F$11),DAY(EOMONTH($A87,0))),MOD((YEAR($A87)-YEAR('Recurring Schedule'!$F$11))*12+MONTH($A87)-MONTH('Recurring Schedule'!$F$11),'Recurring Schedule'!$O$11)=0),IF('Recurring Schedule'!$E$11="Weekdays",WEEKDAY($A87,2)&lt;=5,$A87='Recurring Schedule'!$F$11))),6,""))))</f>
        <v/>
      </c>
      <c r="H87">
        <f>IF('Recurring Schedule'!$C$12="","",IF('Recurring Schedule'!$F$12="","",IF(OR($A87&lt;'Recurring Schedule'!$F$12,$A87&gt;'Recurring Schedule'!$P$12),"",IF(IF('Recurring Schedule'!$N$12&gt;0,MOD($A87-'Recurring Schedule'!$F$12,'Recurring Schedule'!$N$12)=0,IF('Recurring Schedule'!$O$12&gt;0,AND(DAY($A87)=MIN(DAY('Recurring Schedule'!$F$12),DAY(EOMONTH($A87,0))),MOD((YEAR($A87)-YEAR('Recurring Schedule'!$F$12))*12+MONTH($A87)-MONTH('Recurring Schedule'!$F$12),'Recurring Schedule'!$O$12)=0),IF('Recurring Schedule'!$E$12="Weekdays",WEEKDAY($A87,2)&lt;=5,$A87='Recurring Schedule'!$F$12))),7,""))))</f>
        <v/>
      </c>
      <c r="I87">
        <f>IF('Recurring Schedule'!$C$13="","",IF('Recurring Schedule'!$F$13="","",IF(OR($A87&lt;'Recurring Schedule'!$F$13,$A87&gt;'Recurring Schedule'!$P$13),"",IF(IF('Recurring Schedule'!$N$13&gt;0,MOD($A87-'Recurring Schedule'!$F$13,'Recurring Schedule'!$N$13)=0,IF('Recurring Schedule'!$O$13&gt;0,AND(DAY($A87)=MIN(DAY('Recurring Schedule'!$F$13),DAY(EOMONTH($A87,0))),MOD((YEAR($A87)-YEAR('Recurring Schedule'!$F$13))*12+MONTH($A87)-MONTH('Recurring Schedule'!$F$13),'Recurring Schedule'!$O$13)=0),IF('Recurring Schedule'!$E$13="Weekdays",WEEKDAY($A87,2)&lt;=5,$A87='Recurring Schedule'!$F$13))),8,""))))</f>
        <v/>
      </c>
      <c r="J87">
        <f>IF('Recurring Schedule'!$C$14="","",IF('Recurring Schedule'!$F$14="","",IF(OR($A87&lt;'Recurring Schedule'!$F$14,$A87&gt;'Recurring Schedule'!$P$14),"",IF(IF('Recurring Schedule'!$N$14&gt;0,MOD($A87-'Recurring Schedule'!$F$14,'Recurring Schedule'!$N$14)=0,IF('Recurring Schedule'!$O$14&gt;0,AND(DAY($A87)=MIN(DAY('Recurring Schedule'!$F$14),DAY(EOMONTH($A87,0))),MOD((YEAR($A87)-YEAR('Recurring Schedule'!$F$14))*12+MONTH($A87)-MONTH('Recurring Schedule'!$F$14),'Recurring Schedule'!$O$14)=0),IF('Recurring Schedule'!$E$14="Weekdays",WEEKDAY($A87,2)&lt;=5,$A87='Recurring Schedule'!$F$14))),9,""))))</f>
        <v/>
      </c>
      <c r="K87">
        <f>IF('Recurring Schedule'!$C$15="","",IF('Recurring Schedule'!$F$15="","",IF(OR($A87&lt;'Recurring Schedule'!$F$15,$A87&gt;'Recurring Schedule'!$P$15),"",IF(IF('Recurring Schedule'!$N$15&gt;0,MOD($A87-'Recurring Schedule'!$F$15,'Recurring Schedule'!$N$15)=0,IF('Recurring Schedule'!$O$15&gt;0,AND(DAY($A87)=MIN(DAY('Recurring Schedule'!$F$15),DAY(EOMONTH($A87,0))),MOD((YEAR($A87)-YEAR('Recurring Schedule'!$F$15))*12+MONTH($A87)-MONTH('Recurring Schedule'!$F$15),'Recurring Schedule'!$O$15)=0),IF('Recurring Schedule'!$E$15="Weekdays",WEEKDAY($A87,2)&lt;=5,$A87='Recurring Schedule'!$F$15))),10,""))))</f>
        <v/>
      </c>
      <c r="L87">
        <f>IF('Recurring Schedule'!$C$16="","",IF('Recurring Schedule'!$F$16="","",IF(OR($A87&lt;'Recurring Schedule'!$F$16,$A87&gt;'Recurring Schedule'!$P$16),"",IF(IF('Recurring Schedule'!$N$16&gt;0,MOD($A87-'Recurring Schedule'!$F$16,'Recurring Schedule'!$N$16)=0,IF('Recurring Schedule'!$O$16&gt;0,AND(DAY($A87)=MIN(DAY('Recurring Schedule'!$F$16),DAY(EOMONTH($A87,0))),MOD((YEAR($A87)-YEAR('Recurring Schedule'!$F$16))*12+MONTH($A87)-MONTH('Recurring Schedule'!$F$16),'Recurring Schedule'!$O$16)=0),IF('Recurring Schedule'!$E$16="Weekdays",WEEKDAY($A87,2)&lt;=5,$A87='Recurring Schedule'!$F$16))),11,""))))</f>
        <v/>
      </c>
      <c r="M87">
        <f>IF('Recurring Schedule'!$C$17="","",IF('Recurring Schedule'!$F$17="","",IF(OR($A87&lt;'Recurring Schedule'!$F$17,$A87&gt;'Recurring Schedule'!$P$17),"",IF(IF('Recurring Schedule'!$N$17&gt;0,MOD($A87-'Recurring Schedule'!$F$17,'Recurring Schedule'!$N$17)=0,IF('Recurring Schedule'!$O$17&gt;0,AND(DAY($A87)=MIN(DAY('Recurring Schedule'!$F$17),DAY(EOMONTH($A87,0))),MOD((YEAR($A87)-YEAR('Recurring Schedule'!$F$17))*12+MONTH($A87)-MONTH('Recurring Schedule'!$F$17),'Recurring Schedule'!$O$17)=0),IF('Recurring Schedule'!$E$17="Weekdays",WEEKDAY($A87,2)&lt;=5,$A87='Recurring Schedule'!$F$17))),12,""))))</f>
        <v/>
      </c>
      <c r="N87">
        <f>IF('Recurring Schedule'!$C$18="","",IF('Recurring Schedule'!$F$18="","",IF(OR($A87&lt;'Recurring Schedule'!$F$18,$A87&gt;'Recurring Schedule'!$P$18),"",IF(IF('Recurring Schedule'!$N$18&gt;0,MOD($A87-'Recurring Schedule'!$F$18,'Recurring Schedule'!$N$18)=0,IF('Recurring Schedule'!$O$18&gt;0,AND(DAY($A87)=MIN(DAY('Recurring Schedule'!$F$18),DAY(EOMONTH($A87,0))),MOD((YEAR($A87)-YEAR('Recurring Schedule'!$F$18))*12+MONTH($A87)-MONTH('Recurring Schedule'!$F$18),'Recurring Schedule'!$O$18)=0),IF('Recurring Schedule'!$E$18="Weekdays",WEEKDAY($A87,2)&lt;=5,$A87='Recurring Schedule'!$F$18))),13,""))))</f>
        <v/>
      </c>
      <c r="O87">
        <f>IF('Recurring Schedule'!$C$19="","",IF('Recurring Schedule'!$F$19="","",IF(OR($A87&lt;'Recurring Schedule'!$F$19,$A87&gt;'Recurring Schedule'!$P$19),"",IF(IF('Recurring Schedule'!$N$19&gt;0,MOD($A87-'Recurring Schedule'!$F$19,'Recurring Schedule'!$N$19)=0,IF('Recurring Schedule'!$O$19&gt;0,AND(DAY($A87)=MIN(DAY('Recurring Schedule'!$F$19),DAY(EOMONTH($A87,0))),MOD((YEAR($A87)-YEAR('Recurring Schedule'!$F$19))*12+MONTH($A87)-MONTH('Recurring Schedule'!$F$19),'Recurring Schedule'!$O$19)=0),IF('Recurring Schedule'!$E$19="Weekdays",WEEKDAY($A87,2)&lt;=5,$A87='Recurring Schedule'!$F$19))),14,""))))</f>
        <v/>
      </c>
      <c r="P87">
        <f>IF('Recurring Schedule'!$C$20="","",IF('Recurring Schedule'!$F$20="","",IF(OR($A87&lt;'Recurring Schedule'!$F$20,$A87&gt;'Recurring Schedule'!$P$20),"",IF(IF('Recurring Schedule'!$N$20&gt;0,MOD($A87-'Recurring Schedule'!$F$20,'Recurring Schedule'!$N$20)=0,IF('Recurring Schedule'!$O$20&gt;0,AND(DAY($A87)=MIN(DAY('Recurring Schedule'!$F$20),DAY(EOMONTH($A87,0))),MOD((YEAR($A87)-YEAR('Recurring Schedule'!$F$20))*12+MONTH($A87)-MONTH('Recurring Schedule'!$F$20),'Recurring Schedule'!$O$20)=0),IF('Recurring Schedule'!$E$20="Weekdays",WEEKDAY($A87,2)&lt;=5,$A87='Recurring Schedule'!$F$20))),15,""))))</f>
        <v/>
      </c>
      <c r="Q87">
        <f>IF('Recurring Schedule'!$C$21="","",IF('Recurring Schedule'!$F$21="","",IF(OR($A87&lt;'Recurring Schedule'!$F$21,$A87&gt;'Recurring Schedule'!$P$21),"",IF(IF('Recurring Schedule'!$N$21&gt;0,MOD($A87-'Recurring Schedule'!$F$21,'Recurring Schedule'!$N$21)=0,IF('Recurring Schedule'!$O$21&gt;0,AND(DAY($A87)=MIN(DAY('Recurring Schedule'!$F$21),DAY(EOMONTH($A87,0))),MOD((YEAR($A87)-YEAR('Recurring Schedule'!$F$21))*12+MONTH($A87)-MONTH('Recurring Schedule'!$F$21),'Recurring Schedule'!$O$21)=0),IF('Recurring Schedule'!$E$21="Weekdays",WEEKDAY($A87,2)&lt;=5,$A87='Recurring Schedule'!$F$21))),16,""))))</f>
        <v/>
      </c>
      <c r="R87">
        <f>IF('Recurring Schedule'!$C$22="","",IF('Recurring Schedule'!$F$22="","",IF(OR($A87&lt;'Recurring Schedule'!$F$22,$A87&gt;'Recurring Schedule'!$P$22),"",IF(IF('Recurring Schedule'!$N$22&gt;0,MOD($A87-'Recurring Schedule'!$F$22,'Recurring Schedule'!$N$22)=0,IF('Recurring Schedule'!$O$22&gt;0,AND(DAY($A87)=MIN(DAY('Recurring Schedule'!$F$22),DAY(EOMONTH($A87,0))),MOD((YEAR($A87)-YEAR('Recurring Schedule'!$F$22))*12+MONTH($A87)-MONTH('Recurring Schedule'!$F$22),'Recurring Schedule'!$O$22)=0),IF('Recurring Schedule'!$E$22="Weekdays",WEEKDAY($A87,2)&lt;=5,$A87='Recurring Schedule'!$F$22))),17,""))))</f>
        <v/>
      </c>
      <c r="S87">
        <f>IF('Recurring Schedule'!$C$23="","",IF('Recurring Schedule'!$F$23="","",IF(OR($A87&lt;'Recurring Schedule'!$F$23,$A87&gt;'Recurring Schedule'!$P$23),"",IF(IF('Recurring Schedule'!$N$23&gt;0,MOD($A87-'Recurring Schedule'!$F$23,'Recurring Schedule'!$N$23)=0,IF('Recurring Schedule'!$O$23&gt;0,AND(DAY($A87)=MIN(DAY('Recurring Schedule'!$F$23),DAY(EOMONTH($A87,0))),MOD((YEAR($A87)-YEAR('Recurring Schedule'!$F$23))*12+MONTH($A87)-MONTH('Recurring Schedule'!$F$23),'Recurring Schedule'!$O$23)=0),IF('Recurring Schedule'!$E$23="Weekdays",WEEKDAY($A87,2)&lt;=5,$A87='Recurring Schedule'!$F$23))),18,""))))</f>
        <v/>
      </c>
      <c r="T87">
        <f>IF('Recurring Schedule'!$C$24="","",IF('Recurring Schedule'!$F$24="","",IF(OR($A87&lt;'Recurring Schedule'!$F$24,$A87&gt;'Recurring Schedule'!$P$24),"",IF(IF('Recurring Schedule'!$N$24&gt;0,MOD($A87-'Recurring Schedule'!$F$24,'Recurring Schedule'!$N$24)=0,IF('Recurring Schedule'!$O$24&gt;0,AND(DAY($A87)=MIN(DAY('Recurring Schedule'!$F$24),DAY(EOMONTH($A87,0))),MOD((YEAR($A87)-YEAR('Recurring Schedule'!$F$24))*12+MONTH($A87)-MONTH('Recurring Schedule'!$F$24),'Recurring Schedule'!$O$24)=0),IF('Recurring Schedule'!$E$24="Weekdays",WEEKDAY($A87,2)&lt;=5,$A87='Recurring Schedule'!$F$24))),19,""))))</f>
        <v/>
      </c>
      <c r="U87">
        <f>IF('Recurring Schedule'!$C$25="","",IF('Recurring Schedule'!$F$25="","",IF(OR($A87&lt;'Recurring Schedule'!$F$25,$A87&gt;'Recurring Schedule'!$P$25),"",IF(IF('Recurring Schedule'!$N$25&gt;0,MOD($A87-'Recurring Schedule'!$F$25,'Recurring Schedule'!$N$25)=0,IF('Recurring Schedule'!$O$25&gt;0,AND(DAY($A87)=MIN(DAY('Recurring Schedule'!$F$25),DAY(EOMONTH($A87,0))),MOD((YEAR($A87)-YEAR('Recurring Schedule'!$F$25))*12+MONTH($A87)-MONTH('Recurring Schedule'!$F$25),'Recurring Schedule'!$O$25)=0),IF('Recurring Schedule'!$E$25="Weekdays",WEEKDAY($A87,2)&lt;=5,$A87='Recurring Schedule'!$F$25))),20,""))))</f>
        <v/>
      </c>
      <c r="V87">
        <f>IF('Recurring Schedule'!$C$26="","",IF('Recurring Schedule'!$F$26="","",IF(OR($A87&lt;'Recurring Schedule'!$F$26,$A87&gt;'Recurring Schedule'!$P$26),"",IF(IF('Recurring Schedule'!$N$26&gt;0,MOD($A87-'Recurring Schedule'!$F$26,'Recurring Schedule'!$N$26)=0,IF('Recurring Schedule'!$O$26&gt;0,AND(DAY($A87)=MIN(DAY('Recurring Schedule'!$F$26),DAY(EOMONTH($A87,0))),MOD((YEAR($A87)-YEAR('Recurring Schedule'!$F$26))*12+MONTH($A87)-MONTH('Recurring Schedule'!$F$26),'Recurring Schedule'!$O$26)=0),IF('Recurring Schedule'!$E$26="Weekdays",WEEKDAY($A87,2)&lt;=5,$A87='Recurring Schedule'!$F$26))),21,""))))</f>
        <v/>
      </c>
      <c r="W87">
        <f>IF('Recurring Schedule'!$C$27="","",IF('Recurring Schedule'!$F$27="","",IF(OR($A87&lt;'Recurring Schedule'!$F$27,$A87&gt;'Recurring Schedule'!$P$27),"",IF(IF('Recurring Schedule'!$N$27&gt;0,MOD($A87-'Recurring Schedule'!$F$27,'Recurring Schedule'!$N$27)=0,IF('Recurring Schedule'!$O$27&gt;0,AND(DAY($A87)=MIN(DAY('Recurring Schedule'!$F$27),DAY(EOMONTH($A87,0))),MOD((YEAR($A87)-YEAR('Recurring Schedule'!$F$27))*12+MONTH($A87)-MONTH('Recurring Schedule'!$F$27),'Recurring Schedule'!$O$27)=0),IF('Recurring Schedule'!$E$27="Weekdays",WEEKDAY($A87,2)&lt;=5,$A87='Recurring Schedule'!$F$27))),22,""))))</f>
        <v/>
      </c>
      <c r="X87">
        <f>IF('Recurring Schedule'!$C$28="","",IF('Recurring Schedule'!$F$28="","",IF(OR($A87&lt;'Recurring Schedule'!$F$28,$A87&gt;'Recurring Schedule'!$P$28),"",IF(IF('Recurring Schedule'!$N$28&gt;0,MOD($A87-'Recurring Schedule'!$F$28,'Recurring Schedule'!$N$28)=0,IF('Recurring Schedule'!$O$28&gt;0,AND(DAY($A87)=MIN(DAY('Recurring Schedule'!$F$28),DAY(EOMONTH($A87,0))),MOD((YEAR($A87)-YEAR('Recurring Schedule'!$F$28))*12+MONTH($A87)-MONTH('Recurring Schedule'!$F$28),'Recurring Schedule'!$O$28)=0),IF('Recurring Schedule'!$E$28="Weekdays",WEEKDAY($A87,2)&lt;=5,$A87='Recurring Schedule'!$F$28))),23,""))))</f>
        <v/>
      </c>
      <c r="Y87">
        <f>IF('Recurring Schedule'!$C$29="","",IF('Recurring Schedule'!$F$29="","",IF(OR($A87&lt;'Recurring Schedule'!$F$29,$A87&gt;'Recurring Schedule'!$P$29),"",IF(IF('Recurring Schedule'!$N$29&gt;0,MOD($A87-'Recurring Schedule'!$F$29,'Recurring Schedule'!$N$29)=0,IF('Recurring Schedule'!$O$29&gt;0,AND(DAY($A87)=MIN(DAY('Recurring Schedule'!$F$29),DAY(EOMONTH($A87,0))),MOD((YEAR($A87)-YEAR('Recurring Schedule'!$F$29))*12+MONTH($A87)-MONTH('Recurring Schedule'!$F$29),'Recurring Schedule'!$O$29)=0),IF('Recurring Schedule'!$E$29="Weekdays",WEEKDAY($A87,2)&lt;=5,$A87='Recurring Schedule'!$F$29))),24,""))))</f>
        <v/>
      </c>
      <c r="Z87">
        <f>IF('Recurring Schedule'!$C$30="","",IF('Recurring Schedule'!$F$30="","",IF(OR($A87&lt;'Recurring Schedule'!$F$30,$A87&gt;'Recurring Schedule'!$P$30),"",IF(IF('Recurring Schedule'!$N$30&gt;0,MOD($A87-'Recurring Schedule'!$F$30,'Recurring Schedule'!$N$30)=0,IF('Recurring Schedule'!$O$30&gt;0,AND(DAY($A87)=MIN(DAY('Recurring Schedule'!$F$30),DAY(EOMONTH($A87,0))),MOD((YEAR($A87)-YEAR('Recurring Schedule'!$F$30))*12+MONTH($A87)-MONTH('Recurring Schedule'!$F$30),'Recurring Schedule'!$O$30)=0),IF('Recurring Schedule'!$E$30="Weekdays",WEEKDAY($A87,2)&lt;=5,$A87='Recurring Schedule'!$F$30))),25,""))))</f>
        <v/>
      </c>
      <c r="AA87">
        <f>IF('Recurring Schedule'!$C$31="","",IF('Recurring Schedule'!$F$31="","",IF(OR($A87&lt;'Recurring Schedule'!$F$31,$A87&gt;'Recurring Schedule'!$P$31),"",IF(IF('Recurring Schedule'!$N$31&gt;0,MOD($A87-'Recurring Schedule'!$F$31,'Recurring Schedule'!$N$31)=0,IF('Recurring Schedule'!$O$31&gt;0,AND(DAY($A87)=MIN(DAY('Recurring Schedule'!$F$31),DAY(EOMONTH($A87,0))),MOD((YEAR($A87)-YEAR('Recurring Schedule'!$F$31))*12+MONTH($A87)-MONTH('Recurring Schedule'!$F$31),'Recurring Schedule'!$O$31)=0),IF('Recurring Schedule'!$E$31="Weekdays",WEEKDAY($A87,2)&lt;=5,$A87='Recurring Schedule'!$F$31))),26,""))))</f>
        <v/>
      </c>
      <c r="AB87">
        <f>IF('Recurring Schedule'!$C$32="","",IF('Recurring Schedule'!$F$32="","",IF(OR($A87&lt;'Recurring Schedule'!$F$32,$A87&gt;'Recurring Schedule'!$P$32),"",IF(IF('Recurring Schedule'!$N$32&gt;0,MOD($A87-'Recurring Schedule'!$F$32,'Recurring Schedule'!$N$32)=0,IF('Recurring Schedule'!$O$32&gt;0,AND(DAY($A87)=MIN(DAY('Recurring Schedule'!$F$32),DAY(EOMONTH($A87,0))),MOD((YEAR($A87)-YEAR('Recurring Schedule'!$F$32))*12+MONTH($A87)-MONTH('Recurring Schedule'!$F$32),'Recurring Schedule'!$O$32)=0),IF('Recurring Schedule'!$E$32="Weekdays",WEEKDAY($A87,2)&lt;=5,$A87='Recurring Schedule'!$F$32))),27,""))))</f>
        <v/>
      </c>
      <c r="AC87">
        <f>IF('Recurring Schedule'!$C$33="","",IF('Recurring Schedule'!$F$33="","",IF(OR($A87&lt;'Recurring Schedule'!$F$33,$A87&gt;'Recurring Schedule'!$P$33),"",IF(IF('Recurring Schedule'!$N$33&gt;0,MOD($A87-'Recurring Schedule'!$F$33,'Recurring Schedule'!$N$33)=0,IF('Recurring Schedule'!$O$33&gt;0,AND(DAY($A87)=MIN(DAY('Recurring Schedule'!$F$33),DAY(EOMONTH($A87,0))),MOD((YEAR($A87)-YEAR('Recurring Schedule'!$F$33))*12+MONTH($A87)-MONTH('Recurring Schedule'!$F$33),'Recurring Schedule'!$O$33)=0),IF('Recurring Schedule'!$E$33="Weekdays",WEEKDAY($A87,2)&lt;=5,$A87='Recurring Schedule'!$F$33))),28,""))))</f>
        <v/>
      </c>
      <c r="AD87">
        <f>IF('Recurring Schedule'!$C$34="","",IF('Recurring Schedule'!$F$34="","",IF(OR($A87&lt;'Recurring Schedule'!$F$34,$A87&gt;'Recurring Schedule'!$P$34),"",IF(IF('Recurring Schedule'!$N$34&gt;0,MOD($A87-'Recurring Schedule'!$F$34,'Recurring Schedule'!$N$34)=0,IF('Recurring Schedule'!$O$34&gt;0,AND(DAY($A87)=MIN(DAY('Recurring Schedule'!$F$34),DAY(EOMONTH($A87,0))),MOD((YEAR($A87)-YEAR('Recurring Schedule'!$F$34))*12+MONTH($A87)-MONTH('Recurring Schedule'!$F$34),'Recurring Schedule'!$O$34)=0),IF('Recurring Schedule'!$E$34="Weekdays",WEEKDAY($A87,2)&lt;=5,$A87='Recurring Schedule'!$F$34))),29,""))))</f>
        <v/>
      </c>
      <c r="AE87">
        <f>IF('Recurring Schedule'!$C$35="","",IF('Recurring Schedule'!$F$35="","",IF(OR($A87&lt;'Recurring Schedule'!$F$35,$A87&gt;'Recurring Schedule'!$P$35),"",IF(IF('Recurring Schedule'!$N$35&gt;0,MOD($A87-'Recurring Schedule'!$F$35,'Recurring Schedule'!$N$35)=0,IF('Recurring Schedule'!$O$35&gt;0,AND(DAY($A87)=MIN(DAY('Recurring Schedule'!$F$35),DAY(EOMONTH($A87,0))),MOD((YEAR($A87)-YEAR('Recurring Schedule'!$F$35))*12+MONTH($A87)-MONTH('Recurring Schedule'!$F$35),'Recurring Schedule'!$O$35)=0),IF('Recurring Schedule'!$E$35="Weekdays",WEEKDAY($A87,2)&lt;=5,$A87='Recurring Schedule'!$F$35))),30,""))))</f>
        <v/>
      </c>
      <c r="AF87">
        <f>IF('Recurring Schedule'!$C$36="","",IF('Recurring Schedule'!$F$36="","",IF(OR($A87&lt;'Recurring Schedule'!$F$36,$A87&gt;'Recurring Schedule'!$P$36),"",IF(IF('Recurring Schedule'!$N$36&gt;0,MOD($A87-'Recurring Schedule'!$F$36,'Recurring Schedule'!$N$36)=0,IF('Recurring Schedule'!$O$36&gt;0,AND(DAY($A87)=MIN(DAY('Recurring Schedule'!$F$36),DAY(EOMONTH($A87,0))),MOD((YEAR($A87)-YEAR('Recurring Schedule'!$F$36))*12+MONTH($A87)-MONTH('Recurring Schedule'!$F$36),'Recurring Schedule'!$O$36)=0),IF('Recurring Schedule'!$E$36="Weekdays",WEEKDAY($A87,2)&lt;=5,$A87='Recurring Schedule'!$F$36))),31,""))))</f>
        <v/>
      </c>
      <c r="AG87">
        <f>IF('Recurring Schedule'!$C$37="","",IF('Recurring Schedule'!$F$37="","",IF(OR($A87&lt;'Recurring Schedule'!$F$37,$A87&gt;'Recurring Schedule'!$P$37),"",IF(IF('Recurring Schedule'!$N$37&gt;0,MOD($A87-'Recurring Schedule'!$F$37,'Recurring Schedule'!$N$37)=0,IF('Recurring Schedule'!$O$37&gt;0,AND(DAY($A87)=MIN(DAY('Recurring Schedule'!$F$37),DAY(EOMONTH($A87,0))),MOD((YEAR($A87)-YEAR('Recurring Schedule'!$F$37))*12+MONTH($A87)-MONTH('Recurring Schedule'!$F$37),'Recurring Schedule'!$O$37)=0),IF('Recurring Schedule'!$E$37="Weekdays",WEEKDAY($A87,2)&lt;=5,$A87='Recurring Schedule'!$F$37))),32,""))))</f>
        <v/>
      </c>
      <c r="AH87">
        <f>IF('Recurring Schedule'!$C$38="","",IF('Recurring Schedule'!$F$38="","",IF(OR($A87&lt;'Recurring Schedule'!$F$38,$A87&gt;'Recurring Schedule'!$P$38),"",IF(IF('Recurring Schedule'!$N$38&gt;0,MOD($A87-'Recurring Schedule'!$F$38,'Recurring Schedule'!$N$38)=0,IF('Recurring Schedule'!$O$38&gt;0,AND(DAY($A87)=MIN(DAY('Recurring Schedule'!$F$38),DAY(EOMONTH($A87,0))),MOD((YEAR($A87)-YEAR('Recurring Schedule'!$F$38))*12+MONTH($A87)-MONTH('Recurring Schedule'!$F$38),'Recurring Schedule'!$O$38)=0),IF('Recurring Schedule'!$E$38="Weekdays",WEEKDAY($A87,2)&lt;=5,$A87='Recurring Schedule'!$F$38))),33,""))))</f>
        <v/>
      </c>
      <c r="AI87">
        <f>IF('Recurring Schedule'!$C$39="","",IF('Recurring Schedule'!$F$39="","",IF(OR($A87&lt;'Recurring Schedule'!$F$39,$A87&gt;'Recurring Schedule'!$P$39),"",IF(IF('Recurring Schedule'!$N$39&gt;0,MOD($A87-'Recurring Schedule'!$F$39,'Recurring Schedule'!$N$39)=0,IF('Recurring Schedule'!$O$39&gt;0,AND(DAY($A87)=MIN(DAY('Recurring Schedule'!$F$39),DAY(EOMONTH($A87,0))),MOD((YEAR($A87)-YEAR('Recurring Schedule'!$F$39))*12+MONTH($A87)-MONTH('Recurring Schedule'!$F$39),'Recurring Schedule'!$O$39)=0),IF('Recurring Schedule'!$E$39="Weekdays",WEEKDAY($A87,2)&lt;=5,$A87='Recurring Schedule'!$F$39))),34,""))))</f>
        <v/>
      </c>
      <c r="AJ87">
        <f>IF('Recurring Schedule'!$C$40="","",IF('Recurring Schedule'!$F$40="","",IF(OR($A87&lt;'Recurring Schedule'!$F$40,$A87&gt;'Recurring Schedule'!$P$40),"",IF(IF('Recurring Schedule'!$N$40&gt;0,MOD($A87-'Recurring Schedule'!$F$40,'Recurring Schedule'!$N$40)=0,IF('Recurring Schedule'!$O$40&gt;0,AND(DAY($A87)=MIN(DAY('Recurring Schedule'!$F$40),DAY(EOMONTH($A87,0))),MOD((YEAR($A87)-YEAR('Recurring Schedule'!$F$40))*12+MONTH($A87)-MONTH('Recurring Schedule'!$F$40),'Recurring Schedule'!$O$40)=0),IF('Recurring Schedule'!$E$40="Weekdays",WEEKDAY($A87,2)&lt;=5,$A87='Recurring Schedule'!$F$40))),35,""))))</f>
        <v/>
      </c>
      <c r="AK87">
        <f>IF('Recurring Schedule'!$C$41="","",IF('Recurring Schedule'!$F$41="","",IF(OR($A87&lt;'Recurring Schedule'!$F$41,$A87&gt;'Recurring Schedule'!$P$41),"",IF(IF('Recurring Schedule'!$N$41&gt;0,MOD($A87-'Recurring Schedule'!$F$41,'Recurring Schedule'!$N$41)=0,IF('Recurring Schedule'!$O$41&gt;0,AND(DAY($A87)=MIN(DAY('Recurring Schedule'!$F$41),DAY(EOMONTH($A87,0))),MOD((YEAR($A87)-YEAR('Recurring Schedule'!$F$41))*12+MONTH($A87)-MONTH('Recurring Schedule'!$F$41),'Recurring Schedule'!$O$41)=0),IF('Recurring Schedule'!$E$41="Weekdays",WEEKDAY($A87,2)&lt;=5,$A87='Recurring Schedule'!$F$41))),36,""))))</f>
        <v/>
      </c>
      <c r="AL87">
        <f>IF('Recurring Schedule'!$C$42="","",IF('Recurring Schedule'!$F$42="","",IF(OR($A87&lt;'Recurring Schedule'!$F$42,$A87&gt;'Recurring Schedule'!$P$42),"",IF(IF('Recurring Schedule'!$N$42&gt;0,MOD($A87-'Recurring Schedule'!$F$42,'Recurring Schedule'!$N$42)=0,IF('Recurring Schedule'!$O$42&gt;0,AND(DAY($A87)=MIN(DAY('Recurring Schedule'!$F$42),DAY(EOMONTH($A87,0))),MOD((YEAR($A87)-YEAR('Recurring Schedule'!$F$42))*12+MONTH($A87)-MONTH('Recurring Schedule'!$F$42),'Recurring Schedule'!$O$42)=0),IF('Recurring Schedule'!$E$42="Weekdays",WEEKDAY($A87,2)&lt;=5,$A87='Recurring Schedule'!$F$42))),37,""))))</f>
        <v/>
      </c>
      <c r="AM87">
        <f>IF('Recurring Schedule'!$C$43="","",IF('Recurring Schedule'!$F$43="","",IF(OR($A87&lt;'Recurring Schedule'!$F$43,$A87&gt;'Recurring Schedule'!$P$43),"",IF(IF('Recurring Schedule'!$N$43&gt;0,MOD($A87-'Recurring Schedule'!$F$43,'Recurring Schedule'!$N$43)=0,IF('Recurring Schedule'!$O$43&gt;0,AND(DAY($A87)=MIN(DAY('Recurring Schedule'!$F$43),DAY(EOMONTH($A87,0))),MOD((YEAR($A87)-YEAR('Recurring Schedule'!$F$43))*12+MONTH($A87)-MONTH('Recurring Schedule'!$F$43),'Recurring Schedule'!$O$43)=0),IF('Recurring Schedule'!$E$43="Weekdays",WEEKDAY($A87,2)&lt;=5,$A87='Recurring Schedule'!$F$43))),38,""))))</f>
        <v/>
      </c>
      <c r="AN87">
        <f>IF('Recurring Schedule'!$C$44="","",IF('Recurring Schedule'!$F$44="","",IF(OR($A87&lt;'Recurring Schedule'!$F$44,$A87&gt;'Recurring Schedule'!$P$44),"",IF(IF('Recurring Schedule'!$N$44&gt;0,MOD($A87-'Recurring Schedule'!$F$44,'Recurring Schedule'!$N$44)=0,IF('Recurring Schedule'!$O$44&gt;0,AND(DAY($A87)=MIN(DAY('Recurring Schedule'!$F$44),DAY(EOMONTH($A87,0))),MOD((YEAR($A87)-YEAR('Recurring Schedule'!$F$44))*12+MONTH($A87)-MONTH('Recurring Schedule'!$F$44),'Recurring Schedule'!$O$44)=0),IF('Recurring Schedule'!$E$44="Weekdays",WEEKDAY($A87,2)&lt;=5,$A87='Recurring Schedule'!$F$44))),39,""))))</f>
        <v/>
      </c>
      <c r="AO87">
        <f>IF('Recurring Schedule'!$C$45="","",IF('Recurring Schedule'!$F$45="","",IF(OR($A87&lt;'Recurring Schedule'!$F$45,$A87&gt;'Recurring Schedule'!$P$45),"",IF(IF('Recurring Schedule'!$N$45&gt;0,MOD($A87-'Recurring Schedule'!$F$45,'Recurring Schedule'!$N$45)=0,IF('Recurring Schedule'!$O$45&gt;0,AND(DAY($A87)=MIN(DAY('Recurring Schedule'!$F$45),DAY(EOMONTH($A87,0))),MOD((YEAR($A87)-YEAR('Recurring Schedule'!$F$45))*12+MONTH($A87)-MONTH('Recurring Schedule'!$F$45),'Recurring Schedule'!$O$45)=0),IF('Recurring Schedule'!$E$45="Weekdays",WEEKDAY($A87,2)&lt;=5,$A87='Recurring Schedule'!$F$45))),40,""))))</f>
        <v/>
      </c>
      <c r="AP87">
        <f>COUNT(B87:AO87)</f>
        <v/>
      </c>
      <c r="AQ87">
        <f>AQ86+AP86</f>
        <v/>
      </c>
      <c r="AS87" t="inlineStr">
        <is>
          <t>R</t>
        </is>
      </c>
      <c r="AT87" t="n">
        <v>91</v>
      </c>
      <c r="AU87">
        <f>'Recurring Log'!C91&amp;""</f>
        <v/>
      </c>
      <c r="AV87">
        <f>'Recurring Log'!D91&amp;""</f>
        <v/>
      </c>
      <c r="AW87">
        <f>IF('Recurring Log'!E91="","",'Recurring Log'!E91)</f>
        <v/>
      </c>
      <c r="AX87">
        <f>IF('Recurring Log'!G91="","",'Recurring Log'!G91)</f>
        <v/>
      </c>
      <c r="AY87">
        <f>IF('Recurring Log'!H91="","",'Recurring Log'!H91)</f>
        <v/>
      </c>
      <c r="AZ87">
        <f>IF(AU87="","",IF('Recurring Log'!J91="","Not Started",'Recurring Log'!J91))</f>
        <v/>
      </c>
      <c r="BA87">
        <f>'Recurring Log'!L91&amp;""</f>
        <v/>
      </c>
      <c r="BB87">
        <f>'Recurring Log'!M91&amp;""</f>
        <v/>
      </c>
      <c r="BC87">
        <f>'Recurring Log'!N91&amp;""</f>
        <v/>
      </c>
      <c r="BD87">
        <f>'Recurring Log'!O91&amp;""</f>
        <v/>
      </c>
      <c r="BE87">
        <f>IF('Recurring Log'!K91="","",'Recurring Log'!K91)</f>
        <v/>
      </c>
      <c r="BF87">
        <f>IFERROR(MATCH(BA87,Setup!$L$6:$L$9,0),5)</f>
        <v/>
      </c>
      <c r="BG87">
        <f>IF(OR(AZ87="Done",AZ87="Cancelled"),1,0)</f>
        <v/>
      </c>
      <c r="BH87">
        <f>IF(AND(AU87&lt;&gt;"",ISNUMBER(AW87)),1,0)</f>
        <v/>
      </c>
      <c r="BI87">
        <f>IF(BH87=0,0,IF(AND(AW87&gt;='Tasks Filter'!$F$3,AW87&lt;='Tasks Filter'!$F$4,OR('Tasks Filter'!$I$3="",ISNUMBER(SEARCH('Tasks Filter'!$I$3,AU87))),OR('Tasks Filter'!$I$4="",BF87=IFERROR(MATCH('Tasks Filter'!$I$4,Setup!$L$6:$L$9,0),0)),OR('Tasks Filter'!$I$5="Both",AND('Tasks Filter'!$I$5="Yes",BB87="✓"),AND('Tasks Filter'!$I$5="No",BB87&lt;&gt;"✓")),OR('Tasks Filter'!$L$3="",AV87='Tasks Filter'!$L$3),OR('Tasks Filter'!$L$4="",AZ87='Tasks Filter'!$L$4),OR('Tasks Filter'!$L$5="",BC87='Tasks Filter'!$L$5),OR('Tasks Filter'!$O$3="",BD87='Tasks Filter'!$O$3),OR('Tasks Filter'!$O$4="Yes",BG87=0)),1,0))</f>
        <v/>
      </c>
      <c r="BJ87">
        <f>IF(BH87=0,"",IF('Tasks Filter'!$F$6="Descending",-1,1)*CHOOSE(MATCH('Tasks Filter'!$F$5,Lists!$G$2:$G$6,0),AW87,BF87,IFERROR(MATCH(AV87,Setup!$F$6:$F$15,0),99),IFERROR(MATCH(BC87,Setup!$H$6:$H$15,0),99),IFERROR(MATCH(AZ87,Setup!$J$6:$J$11,0),99))*1E+9+(AW87-40000)*10000+86)</f>
        <v/>
      </c>
      <c r="BK87">
        <f>IF(BI87=1,BJ87,"")</f>
        <v/>
      </c>
      <c r="BL87">
        <f>IF(AND(BH87=1,BG87=0,N(AW87)&lt;Setup!$D$7),(AW87-40000)*10000+86,"")</f>
        <v/>
      </c>
      <c r="BM87">
        <f>IF(AND(BH87=1,AZ87&lt;&gt;"Cancelled",N(AW87)&gt;=Dashboard!$AB$3,N(AW87)&lt;=Dashboard!$AB$3+6),(AW87-40000)*100000+BF87*10000+86,"")</f>
        <v/>
      </c>
      <c r="BN87">
        <f>IF(AND(BH87=1,AZ87&lt;&gt;"Cancelled"),BF87*10000+86,"")</f>
        <v/>
      </c>
    </row>
    <row r="88">
      <c r="A88">
        <f>Setup!$D$5+86</f>
        <v/>
      </c>
      <c r="B88">
        <f>IF('Recurring Schedule'!$C$6="","",IF('Recurring Schedule'!$F$6="","",IF(OR($A88&lt;'Recurring Schedule'!$F$6,$A88&gt;'Recurring Schedule'!$P$6),"",IF(IF('Recurring Schedule'!$N$6&gt;0,MOD($A88-'Recurring Schedule'!$F$6,'Recurring Schedule'!$N$6)=0,IF('Recurring Schedule'!$O$6&gt;0,AND(DAY($A88)=MIN(DAY('Recurring Schedule'!$F$6),DAY(EOMONTH($A88,0))),MOD((YEAR($A88)-YEAR('Recurring Schedule'!$F$6))*12+MONTH($A88)-MONTH('Recurring Schedule'!$F$6),'Recurring Schedule'!$O$6)=0),IF('Recurring Schedule'!$E$6="Weekdays",WEEKDAY($A88,2)&lt;=5,$A88='Recurring Schedule'!$F$6))),1,""))))</f>
        <v/>
      </c>
      <c r="C88">
        <f>IF('Recurring Schedule'!$C$7="","",IF('Recurring Schedule'!$F$7="","",IF(OR($A88&lt;'Recurring Schedule'!$F$7,$A88&gt;'Recurring Schedule'!$P$7),"",IF(IF('Recurring Schedule'!$N$7&gt;0,MOD($A88-'Recurring Schedule'!$F$7,'Recurring Schedule'!$N$7)=0,IF('Recurring Schedule'!$O$7&gt;0,AND(DAY($A88)=MIN(DAY('Recurring Schedule'!$F$7),DAY(EOMONTH($A88,0))),MOD((YEAR($A88)-YEAR('Recurring Schedule'!$F$7))*12+MONTH($A88)-MONTH('Recurring Schedule'!$F$7),'Recurring Schedule'!$O$7)=0),IF('Recurring Schedule'!$E$7="Weekdays",WEEKDAY($A88,2)&lt;=5,$A88='Recurring Schedule'!$F$7))),2,""))))</f>
        <v/>
      </c>
      <c r="D88">
        <f>IF('Recurring Schedule'!$C$8="","",IF('Recurring Schedule'!$F$8="","",IF(OR($A88&lt;'Recurring Schedule'!$F$8,$A88&gt;'Recurring Schedule'!$P$8),"",IF(IF('Recurring Schedule'!$N$8&gt;0,MOD($A88-'Recurring Schedule'!$F$8,'Recurring Schedule'!$N$8)=0,IF('Recurring Schedule'!$O$8&gt;0,AND(DAY($A88)=MIN(DAY('Recurring Schedule'!$F$8),DAY(EOMONTH($A88,0))),MOD((YEAR($A88)-YEAR('Recurring Schedule'!$F$8))*12+MONTH($A88)-MONTH('Recurring Schedule'!$F$8),'Recurring Schedule'!$O$8)=0),IF('Recurring Schedule'!$E$8="Weekdays",WEEKDAY($A88,2)&lt;=5,$A88='Recurring Schedule'!$F$8))),3,""))))</f>
        <v/>
      </c>
      <c r="E88">
        <f>IF('Recurring Schedule'!$C$9="","",IF('Recurring Schedule'!$F$9="","",IF(OR($A88&lt;'Recurring Schedule'!$F$9,$A88&gt;'Recurring Schedule'!$P$9),"",IF(IF('Recurring Schedule'!$N$9&gt;0,MOD($A88-'Recurring Schedule'!$F$9,'Recurring Schedule'!$N$9)=0,IF('Recurring Schedule'!$O$9&gt;0,AND(DAY($A88)=MIN(DAY('Recurring Schedule'!$F$9),DAY(EOMONTH($A88,0))),MOD((YEAR($A88)-YEAR('Recurring Schedule'!$F$9))*12+MONTH($A88)-MONTH('Recurring Schedule'!$F$9),'Recurring Schedule'!$O$9)=0),IF('Recurring Schedule'!$E$9="Weekdays",WEEKDAY($A88,2)&lt;=5,$A88='Recurring Schedule'!$F$9))),4,""))))</f>
        <v/>
      </c>
      <c r="F88">
        <f>IF('Recurring Schedule'!$C$10="","",IF('Recurring Schedule'!$F$10="","",IF(OR($A88&lt;'Recurring Schedule'!$F$10,$A88&gt;'Recurring Schedule'!$P$10),"",IF(IF('Recurring Schedule'!$N$10&gt;0,MOD($A88-'Recurring Schedule'!$F$10,'Recurring Schedule'!$N$10)=0,IF('Recurring Schedule'!$O$10&gt;0,AND(DAY($A88)=MIN(DAY('Recurring Schedule'!$F$10),DAY(EOMONTH($A88,0))),MOD((YEAR($A88)-YEAR('Recurring Schedule'!$F$10))*12+MONTH($A88)-MONTH('Recurring Schedule'!$F$10),'Recurring Schedule'!$O$10)=0),IF('Recurring Schedule'!$E$10="Weekdays",WEEKDAY($A88,2)&lt;=5,$A88='Recurring Schedule'!$F$10))),5,""))))</f>
        <v/>
      </c>
      <c r="G88">
        <f>IF('Recurring Schedule'!$C$11="","",IF('Recurring Schedule'!$F$11="","",IF(OR($A88&lt;'Recurring Schedule'!$F$11,$A88&gt;'Recurring Schedule'!$P$11),"",IF(IF('Recurring Schedule'!$N$11&gt;0,MOD($A88-'Recurring Schedule'!$F$11,'Recurring Schedule'!$N$11)=0,IF('Recurring Schedule'!$O$11&gt;0,AND(DAY($A88)=MIN(DAY('Recurring Schedule'!$F$11),DAY(EOMONTH($A88,0))),MOD((YEAR($A88)-YEAR('Recurring Schedule'!$F$11))*12+MONTH($A88)-MONTH('Recurring Schedule'!$F$11),'Recurring Schedule'!$O$11)=0),IF('Recurring Schedule'!$E$11="Weekdays",WEEKDAY($A88,2)&lt;=5,$A88='Recurring Schedule'!$F$11))),6,""))))</f>
        <v/>
      </c>
      <c r="H88">
        <f>IF('Recurring Schedule'!$C$12="","",IF('Recurring Schedule'!$F$12="","",IF(OR($A88&lt;'Recurring Schedule'!$F$12,$A88&gt;'Recurring Schedule'!$P$12),"",IF(IF('Recurring Schedule'!$N$12&gt;0,MOD($A88-'Recurring Schedule'!$F$12,'Recurring Schedule'!$N$12)=0,IF('Recurring Schedule'!$O$12&gt;0,AND(DAY($A88)=MIN(DAY('Recurring Schedule'!$F$12),DAY(EOMONTH($A88,0))),MOD((YEAR($A88)-YEAR('Recurring Schedule'!$F$12))*12+MONTH($A88)-MONTH('Recurring Schedule'!$F$12),'Recurring Schedule'!$O$12)=0),IF('Recurring Schedule'!$E$12="Weekdays",WEEKDAY($A88,2)&lt;=5,$A88='Recurring Schedule'!$F$12))),7,""))))</f>
        <v/>
      </c>
      <c r="I88">
        <f>IF('Recurring Schedule'!$C$13="","",IF('Recurring Schedule'!$F$13="","",IF(OR($A88&lt;'Recurring Schedule'!$F$13,$A88&gt;'Recurring Schedule'!$P$13),"",IF(IF('Recurring Schedule'!$N$13&gt;0,MOD($A88-'Recurring Schedule'!$F$13,'Recurring Schedule'!$N$13)=0,IF('Recurring Schedule'!$O$13&gt;0,AND(DAY($A88)=MIN(DAY('Recurring Schedule'!$F$13),DAY(EOMONTH($A88,0))),MOD((YEAR($A88)-YEAR('Recurring Schedule'!$F$13))*12+MONTH($A88)-MONTH('Recurring Schedule'!$F$13),'Recurring Schedule'!$O$13)=0),IF('Recurring Schedule'!$E$13="Weekdays",WEEKDAY($A88,2)&lt;=5,$A88='Recurring Schedule'!$F$13))),8,""))))</f>
        <v/>
      </c>
      <c r="J88">
        <f>IF('Recurring Schedule'!$C$14="","",IF('Recurring Schedule'!$F$14="","",IF(OR($A88&lt;'Recurring Schedule'!$F$14,$A88&gt;'Recurring Schedule'!$P$14),"",IF(IF('Recurring Schedule'!$N$14&gt;0,MOD($A88-'Recurring Schedule'!$F$14,'Recurring Schedule'!$N$14)=0,IF('Recurring Schedule'!$O$14&gt;0,AND(DAY($A88)=MIN(DAY('Recurring Schedule'!$F$14),DAY(EOMONTH($A88,0))),MOD((YEAR($A88)-YEAR('Recurring Schedule'!$F$14))*12+MONTH($A88)-MONTH('Recurring Schedule'!$F$14),'Recurring Schedule'!$O$14)=0),IF('Recurring Schedule'!$E$14="Weekdays",WEEKDAY($A88,2)&lt;=5,$A88='Recurring Schedule'!$F$14))),9,""))))</f>
        <v/>
      </c>
      <c r="K88">
        <f>IF('Recurring Schedule'!$C$15="","",IF('Recurring Schedule'!$F$15="","",IF(OR($A88&lt;'Recurring Schedule'!$F$15,$A88&gt;'Recurring Schedule'!$P$15),"",IF(IF('Recurring Schedule'!$N$15&gt;0,MOD($A88-'Recurring Schedule'!$F$15,'Recurring Schedule'!$N$15)=0,IF('Recurring Schedule'!$O$15&gt;0,AND(DAY($A88)=MIN(DAY('Recurring Schedule'!$F$15),DAY(EOMONTH($A88,0))),MOD((YEAR($A88)-YEAR('Recurring Schedule'!$F$15))*12+MONTH($A88)-MONTH('Recurring Schedule'!$F$15),'Recurring Schedule'!$O$15)=0),IF('Recurring Schedule'!$E$15="Weekdays",WEEKDAY($A88,2)&lt;=5,$A88='Recurring Schedule'!$F$15))),10,""))))</f>
        <v/>
      </c>
      <c r="L88">
        <f>IF('Recurring Schedule'!$C$16="","",IF('Recurring Schedule'!$F$16="","",IF(OR($A88&lt;'Recurring Schedule'!$F$16,$A88&gt;'Recurring Schedule'!$P$16),"",IF(IF('Recurring Schedule'!$N$16&gt;0,MOD($A88-'Recurring Schedule'!$F$16,'Recurring Schedule'!$N$16)=0,IF('Recurring Schedule'!$O$16&gt;0,AND(DAY($A88)=MIN(DAY('Recurring Schedule'!$F$16),DAY(EOMONTH($A88,0))),MOD((YEAR($A88)-YEAR('Recurring Schedule'!$F$16))*12+MONTH($A88)-MONTH('Recurring Schedule'!$F$16),'Recurring Schedule'!$O$16)=0),IF('Recurring Schedule'!$E$16="Weekdays",WEEKDAY($A88,2)&lt;=5,$A88='Recurring Schedule'!$F$16))),11,""))))</f>
        <v/>
      </c>
      <c r="M88">
        <f>IF('Recurring Schedule'!$C$17="","",IF('Recurring Schedule'!$F$17="","",IF(OR($A88&lt;'Recurring Schedule'!$F$17,$A88&gt;'Recurring Schedule'!$P$17),"",IF(IF('Recurring Schedule'!$N$17&gt;0,MOD($A88-'Recurring Schedule'!$F$17,'Recurring Schedule'!$N$17)=0,IF('Recurring Schedule'!$O$17&gt;0,AND(DAY($A88)=MIN(DAY('Recurring Schedule'!$F$17),DAY(EOMONTH($A88,0))),MOD((YEAR($A88)-YEAR('Recurring Schedule'!$F$17))*12+MONTH($A88)-MONTH('Recurring Schedule'!$F$17),'Recurring Schedule'!$O$17)=0),IF('Recurring Schedule'!$E$17="Weekdays",WEEKDAY($A88,2)&lt;=5,$A88='Recurring Schedule'!$F$17))),12,""))))</f>
        <v/>
      </c>
      <c r="N88">
        <f>IF('Recurring Schedule'!$C$18="","",IF('Recurring Schedule'!$F$18="","",IF(OR($A88&lt;'Recurring Schedule'!$F$18,$A88&gt;'Recurring Schedule'!$P$18),"",IF(IF('Recurring Schedule'!$N$18&gt;0,MOD($A88-'Recurring Schedule'!$F$18,'Recurring Schedule'!$N$18)=0,IF('Recurring Schedule'!$O$18&gt;0,AND(DAY($A88)=MIN(DAY('Recurring Schedule'!$F$18),DAY(EOMONTH($A88,0))),MOD((YEAR($A88)-YEAR('Recurring Schedule'!$F$18))*12+MONTH($A88)-MONTH('Recurring Schedule'!$F$18),'Recurring Schedule'!$O$18)=0),IF('Recurring Schedule'!$E$18="Weekdays",WEEKDAY($A88,2)&lt;=5,$A88='Recurring Schedule'!$F$18))),13,""))))</f>
        <v/>
      </c>
      <c r="O88">
        <f>IF('Recurring Schedule'!$C$19="","",IF('Recurring Schedule'!$F$19="","",IF(OR($A88&lt;'Recurring Schedule'!$F$19,$A88&gt;'Recurring Schedule'!$P$19),"",IF(IF('Recurring Schedule'!$N$19&gt;0,MOD($A88-'Recurring Schedule'!$F$19,'Recurring Schedule'!$N$19)=0,IF('Recurring Schedule'!$O$19&gt;0,AND(DAY($A88)=MIN(DAY('Recurring Schedule'!$F$19),DAY(EOMONTH($A88,0))),MOD((YEAR($A88)-YEAR('Recurring Schedule'!$F$19))*12+MONTH($A88)-MONTH('Recurring Schedule'!$F$19),'Recurring Schedule'!$O$19)=0),IF('Recurring Schedule'!$E$19="Weekdays",WEEKDAY($A88,2)&lt;=5,$A88='Recurring Schedule'!$F$19))),14,""))))</f>
        <v/>
      </c>
      <c r="P88">
        <f>IF('Recurring Schedule'!$C$20="","",IF('Recurring Schedule'!$F$20="","",IF(OR($A88&lt;'Recurring Schedule'!$F$20,$A88&gt;'Recurring Schedule'!$P$20),"",IF(IF('Recurring Schedule'!$N$20&gt;0,MOD($A88-'Recurring Schedule'!$F$20,'Recurring Schedule'!$N$20)=0,IF('Recurring Schedule'!$O$20&gt;0,AND(DAY($A88)=MIN(DAY('Recurring Schedule'!$F$20),DAY(EOMONTH($A88,0))),MOD((YEAR($A88)-YEAR('Recurring Schedule'!$F$20))*12+MONTH($A88)-MONTH('Recurring Schedule'!$F$20),'Recurring Schedule'!$O$20)=0),IF('Recurring Schedule'!$E$20="Weekdays",WEEKDAY($A88,2)&lt;=5,$A88='Recurring Schedule'!$F$20))),15,""))))</f>
        <v/>
      </c>
      <c r="Q88">
        <f>IF('Recurring Schedule'!$C$21="","",IF('Recurring Schedule'!$F$21="","",IF(OR($A88&lt;'Recurring Schedule'!$F$21,$A88&gt;'Recurring Schedule'!$P$21),"",IF(IF('Recurring Schedule'!$N$21&gt;0,MOD($A88-'Recurring Schedule'!$F$21,'Recurring Schedule'!$N$21)=0,IF('Recurring Schedule'!$O$21&gt;0,AND(DAY($A88)=MIN(DAY('Recurring Schedule'!$F$21),DAY(EOMONTH($A88,0))),MOD((YEAR($A88)-YEAR('Recurring Schedule'!$F$21))*12+MONTH($A88)-MONTH('Recurring Schedule'!$F$21),'Recurring Schedule'!$O$21)=0),IF('Recurring Schedule'!$E$21="Weekdays",WEEKDAY($A88,2)&lt;=5,$A88='Recurring Schedule'!$F$21))),16,""))))</f>
        <v/>
      </c>
      <c r="R88">
        <f>IF('Recurring Schedule'!$C$22="","",IF('Recurring Schedule'!$F$22="","",IF(OR($A88&lt;'Recurring Schedule'!$F$22,$A88&gt;'Recurring Schedule'!$P$22),"",IF(IF('Recurring Schedule'!$N$22&gt;0,MOD($A88-'Recurring Schedule'!$F$22,'Recurring Schedule'!$N$22)=0,IF('Recurring Schedule'!$O$22&gt;0,AND(DAY($A88)=MIN(DAY('Recurring Schedule'!$F$22),DAY(EOMONTH($A88,0))),MOD((YEAR($A88)-YEAR('Recurring Schedule'!$F$22))*12+MONTH($A88)-MONTH('Recurring Schedule'!$F$22),'Recurring Schedule'!$O$22)=0),IF('Recurring Schedule'!$E$22="Weekdays",WEEKDAY($A88,2)&lt;=5,$A88='Recurring Schedule'!$F$22))),17,""))))</f>
        <v/>
      </c>
      <c r="S88">
        <f>IF('Recurring Schedule'!$C$23="","",IF('Recurring Schedule'!$F$23="","",IF(OR($A88&lt;'Recurring Schedule'!$F$23,$A88&gt;'Recurring Schedule'!$P$23),"",IF(IF('Recurring Schedule'!$N$23&gt;0,MOD($A88-'Recurring Schedule'!$F$23,'Recurring Schedule'!$N$23)=0,IF('Recurring Schedule'!$O$23&gt;0,AND(DAY($A88)=MIN(DAY('Recurring Schedule'!$F$23),DAY(EOMONTH($A88,0))),MOD((YEAR($A88)-YEAR('Recurring Schedule'!$F$23))*12+MONTH($A88)-MONTH('Recurring Schedule'!$F$23),'Recurring Schedule'!$O$23)=0),IF('Recurring Schedule'!$E$23="Weekdays",WEEKDAY($A88,2)&lt;=5,$A88='Recurring Schedule'!$F$23))),18,""))))</f>
        <v/>
      </c>
      <c r="T88">
        <f>IF('Recurring Schedule'!$C$24="","",IF('Recurring Schedule'!$F$24="","",IF(OR($A88&lt;'Recurring Schedule'!$F$24,$A88&gt;'Recurring Schedule'!$P$24),"",IF(IF('Recurring Schedule'!$N$24&gt;0,MOD($A88-'Recurring Schedule'!$F$24,'Recurring Schedule'!$N$24)=0,IF('Recurring Schedule'!$O$24&gt;0,AND(DAY($A88)=MIN(DAY('Recurring Schedule'!$F$24),DAY(EOMONTH($A88,0))),MOD((YEAR($A88)-YEAR('Recurring Schedule'!$F$24))*12+MONTH($A88)-MONTH('Recurring Schedule'!$F$24),'Recurring Schedule'!$O$24)=0),IF('Recurring Schedule'!$E$24="Weekdays",WEEKDAY($A88,2)&lt;=5,$A88='Recurring Schedule'!$F$24))),19,""))))</f>
        <v/>
      </c>
      <c r="U88">
        <f>IF('Recurring Schedule'!$C$25="","",IF('Recurring Schedule'!$F$25="","",IF(OR($A88&lt;'Recurring Schedule'!$F$25,$A88&gt;'Recurring Schedule'!$P$25),"",IF(IF('Recurring Schedule'!$N$25&gt;0,MOD($A88-'Recurring Schedule'!$F$25,'Recurring Schedule'!$N$25)=0,IF('Recurring Schedule'!$O$25&gt;0,AND(DAY($A88)=MIN(DAY('Recurring Schedule'!$F$25),DAY(EOMONTH($A88,0))),MOD((YEAR($A88)-YEAR('Recurring Schedule'!$F$25))*12+MONTH($A88)-MONTH('Recurring Schedule'!$F$25),'Recurring Schedule'!$O$25)=0),IF('Recurring Schedule'!$E$25="Weekdays",WEEKDAY($A88,2)&lt;=5,$A88='Recurring Schedule'!$F$25))),20,""))))</f>
        <v/>
      </c>
      <c r="V88">
        <f>IF('Recurring Schedule'!$C$26="","",IF('Recurring Schedule'!$F$26="","",IF(OR($A88&lt;'Recurring Schedule'!$F$26,$A88&gt;'Recurring Schedule'!$P$26),"",IF(IF('Recurring Schedule'!$N$26&gt;0,MOD($A88-'Recurring Schedule'!$F$26,'Recurring Schedule'!$N$26)=0,IF('Recurring Schedule'!$O$26&gt;0,AND(DAY($A88)=MIN(DAY('Recurring Schedule'!$F$26),DAY(EOMONTH($A88,0))),MOD((YEAR($A88)-YEAR('Recurring Schedule'!$F$26))*12+MONTH($A88)-MONTH('Recurring Schedule'!$F$26),'Recurring Schedule'!$O$26)=0),IF('Recurring Schedule'!$E$26="Weekdays",WEEKDAY($A88,2)&lt;=5,$A88='Recurring Schedule'!$F$26))),21,""))))</f>
        <v/>
      </c>
      <c r="W88">
        <f>IF('Recurring Schedule'!$C$27="","",IF('Recurring Schedule'!$F$27="","",IF(OR($A88&lt;'Recurring Schedule'!$F$27,$A88&gt;'Recurring Schedule'!$P$27),"",IF(IF('Recurring Schedule'!$N$27&gt;0,MOD($A88-'Recurring Schedule'!$F$27,'Recurring Schedule'!$N$27)=0,IF('Recurring Schedule'!$O$27&gt;0,AND(DAY($A88)=MIN(DAY('Recurring Schedule'!$F$27),DAY(EOMONTH($A88,0))),MOD((YEAR($A88)-YEAR('Recurring Schedule'!$F$27))*12+MONTH($A88)-MONTH('Recurring Schedule'!$F$27),'Recurring Schedule'!$O$27)=0),IF('Recurring Schedule'!$E$27="Weekdays",WEEKDAY($A88,2)&lt;=5,$A88='Recurring Schedule'!$F$27))),22,""))))</f>
        <v/>
      </c>
      <c r="X88">
        <f>IF('Recurring Schedule'!$C$28="","",IF('Recurring Schedule'!$F$28="","",IF(OR($A88&lt;'Recurring Schedule'!$F$28,$A88&gt;'Recurring Schedule'!$P$28),"",IF(IF('Recurring Schedule'!$N$28&gt;0,MOD($A88-'Recurring Schedule'!$F$28,'Recurring Schedule'!$N$28)=0,IF('Recurring Schedule'!$O$28&gt;0,AND(DAY($A88)=MIN(DAY('Recurring Schedule'!$F$28),DAY(EOMONTH($A88,0))),MOD((YEAR($A88)-YEAR('Recurring Schedule'!$F$28))*12+MONTH($A88)-MONTH('Recurring Schedule'!$F$28),'Recurring Schedule'!$O$28)=0),IF('Recurring Schedule'!$E$28="Weekdays",WEEKDAY($A88,2)&lt;=5,$A88='Recurring Schedule'!$F$28))),23,""))))</f>
        <v/>
      </c>
      <c r="Y88">
        <f>IF('Recurring Schedule'!$C$29="","",IF('Recurring Schedule'!$F$29="","",IF(OR($A88&lt;'Recurring Schedule'!$F$29,$A88&gt;'Recurring Schedule'!$P$29),"",IF(IF('Recurring Schedule'!$N$29&gt;0,MOD($A88-'Recurring Schedule'!$F$29,'Recurring Schedule'!$N$29)=0,IF('Recurring Schedule'!$O$29&gt;0,AND(DAY($A88)=MIN(DAY('Recurring Schedule'!$F$29),DAY(EOMONTH($A88,0))),MOD((YEAR($A88)-YEAR('Recurring Schedule'!$F$29))*12+MONTH($A88)-MONTH('Recurring Schedule'!$F$29),'Recurring Schedule'!$O$29)=0),IF('Recurring Schedule'!$E$29="Weekdays",WEEKDAY($A88,2)&lt;=5,$A88='Recurring Schedule'!$F$29))),24,""))))</f>
        <v/>
      </c>
      <c r="Z88">
        <f>IF('Recurring Schedule'!$C$30="","",IF('Recurring Schedule'!$F$30="","",IF(OR($A88&lt;'Recurring Schedule'!$F$30,$A88&gt;'Recurring Schedule'!$P$30),"",IF(IF('Recurring Schedule'!$N$30&gt;0,MOD($A88-'Recurring Schedule'!$F$30,'Recurring Schedule'!$N$30)=0,IF('Recurring Schedule'!$O$30&gt;0,AND(DAY($A88)=MIN(DAY('Recurring Schedule'!$F$30),DAY(EOMONTH($A88,0))),MOD((YEAR($A88)-YEAR('Recurring Schedule'!$F$30))*12+MONTH($A88)-MONTH('Recurring Schedule'!$F$30),'Recurring Schedule'!$O$30)=0),IF('Recurring Schedule'!$E$30="Weekdays",WEEKDAY($A88,2)&lt;=5,$A88='Recurring Schedule'!$F$30))),25,""))))</f>
        <v/>
      </c>
      <c r="AA88">
        <f>IF('Recurring Schedule'!$C$31="","",IF('Recurring Schedule'!$F$31="","",IF(OR($A88&lt;'Recurring Schedule'!$F$31,$A88&gt;'Recurring Schedule'!$P$31),"",IF(IF('Recurring Schedule'!$N$31&gt;0,MOD($A88-'Recurring Schedule'!$F$31,'Recurring Schedule'!$N$31)=0,IF('Recurring Schedule'!$O$31&gt;0,AND(DAY($A88)=MIN(DAY('Recurring Schedule'!$F$31),DAY(EOMONTH($A88,0))),MOD((YEAR($A88)-YEAR('Recurring Schedule'!$F$31))*12+MONTH($A88)-MONTH('Recurring Schedule'!$F$31),'Recurring Schedule'!$O$31)=0),IF('Recurring Schedule'!$E$31="Weekdays",WEEKDAY($A88,2)&lt;=5,$A88='Recurring Schedule'!$F$31))),26,""))))</f>
        <v/>
      </c>
      <c r="AB88">
        <f>IF('Recurring Schedule'!$C$32="","",IF('Recurring Schedule'!$F$32="","",IF(OR($A88&lt;'Recurring Schedule'!$F$32,$A88&gt;'Recurring Schedule'!$P$32),"",IF(IF('Recurring Schedule'!$N$32&gt;0,MOD($A88-'Recurring Schedule'!$F$32,'Recurring Schedule'!$N$32)=0,IF('Recurring Schedule'!$O$32&gt;0,AND(DAY($A88)=MIN(DAY('Recurring Schedule'!$F$32),DAY(EOMONTH($A88,0))),MOD((YEAR($A88)-YEAR('Recurring Schedule'!$F$32))*12+MONTH($A88)-MONTH('Recurring Schedule'!$F$32),'Recurring Schedule'!$O$32)=0),IF('Recurring Schedule'!$E$32="Weekdays",WEEKDAY($A88,2)&lt;=5,$A88='Recurring Schedule'!$F$32))),27,""))))</f>
        <v/>
      </c>
      <c r="AC88">
        <f>IF('Recurring Schedule'!$C$33="","",IF('Recurring Schedule'!$F$33="","",IF(OR($A88&lt;'Recurring Schedule'!$F$33,$A88&gt;'Recurring Schedule'!$P$33),"",IF(IF('Recurring Schedule'!$N$33&gt;0,MOD($A88-'Recurring Schedule'!$F$33,'Recurring Schedule'!$N$33)=0,IF('Recurring Schedule'!$O$33&gt;0,AND(DAY($A88)=MIN(DAY('Recurring Schedule'!$F$33),DAY(EOMONTH($A88,0))),MOD((YEAR($A88)-YEAR('Recurring Schedule'!$F$33))*12+MONTH($A88)-MONTH('Recurring Schedule'!$F$33),'Recurring Schedule'!$O$33)=0),IF('Recurring Schedule'!$E$33="Weekdays",WEEKDAY($A88,2)&lt;=5,$A88='Recurring Schedule'!$F$33))),28,""))))</f>
        <v/>
      </c>
      <c r="AD88">
        <f>IF('Recurring Schedule'!$C$34="","",IF('Recurring Schedule'!$F$34="","",IF(OR($A88&lt;'Recurring Schedule'!$F$34,$A88&gt;'Recurring Schedule'!$P$34),"",IF(IF('Recurring Schedule'!$N$34&gt;0,MOD($A88-'Recurring Schedule'!$F$34,'Recurring Schedule'!$N$34)=0,IF('Recurring Schedule'!$O$34&gt;0,AND(DAY($A88)=MIN(DAY('Recurring Schedule'!$F$34),DAY(EOMONTH($A88,0))),MOD((YEAR($A88)-YEAR('Recurring Schedule'!$F$34))*12+MONTH($A88)-MONTH('Recurring Schedule'!$F$34),'Recurring Schedule'!$O$34)=0),IF('Recurring Schedule'!$E$34="Weekdays",WEEKDAY($A88,2)&lt;=5,$A88='Recurring Schedule'!$F$34))),29,""))))</f>
        <v/>
      </c>
      <c r="AE88">
        <f>IF('Recurring Schedule'!$C$35="","",IF('Recurring Schedule'!$F$35="","",IF(OR($A88&lt;'Recurring Schedule'!$F$35,$A88&gt;'Recurring Schedule'!$P$35),"",IF(IF('Recurring Schedule'!$N$35&gt;0,MOD($A88-'Recurring Schedule'!$F$35,'Recurring Schedule'!$N$35)=0,IF('Recurring Schedule'!$O$35&gt;0,AND(DAY($A88)=MIN(DAY('Recurring Schedule'!$F$35),DAY(EOMONTH($A88,0))),MOD((YEAR($A88)-YEAR('Recurring Schedule'!$F$35))*12+MONTH($A88)-MONTH('Recurring Schedule'!$F$35),'Recurring Schedule'!$O$35)=0),IF('Recurring Schedule'!$E$35="Weekdays",WEEKDAY($A88,2)&lt;=5,$A88='Recurring Schedule'!$F$35))),30,""))))</f>
        <v/>
      </c>
      <c r="AF88">
        <f>IF('Recurring Schedule'!$C$36="","",IF('Recurring Schedule'!$F$36="","",IF(OR($A88&lt;'Recurring Schedule'!$F$36,$A88&gt;'Recurring Schedule'!$P$36),"",IF(IF('Recurring Schedule'!$N$36&gt;0,MOD($A88-'Recurring Schedule'!$F$36,'Recurring Schedule'!$N$36)=0,IF('Recurring Schedule'!$O$36&gt;0,AND(DAY($A88)=MIN(DAY('Recurring Schedule'!$F$36),DAY(EOMONTH($A88,0))),MOD((YEAR($A88)-YEAR('Recurring Schedule'!$F$36))*12+MONTH($A88)-MONTH('Recurring Schedule'!$F$36),'Recurring Schedule'!$O$36)=0),IF('Recurring Schedule'!$E$36="Weekdays",WEEKDAY($A88,2)&lt;=5,$A88='Recurring Schedule'!$F$36))),31,""))))</f>
        <v/>
      </c>
      <c r="AG88">
        <f>IF('Recurring Schedule'!$C$37="","",IF('Recurring Schedule'!$F$37="","",IF(OR($A88&lt;'Recurring Schedule'!$F$37,$A88&gt;'Recurring Schedule'!$P$37),"",IF(IF('Recurring Schedule'!$N$37&gt;0,MOD($A88-'Recurring Schedule'!$F$37,'Recurring Schedule'!$N$37)=0,IF('Recurring Schedule'!$O$37&gt;0,AND(DAY($A88)=MIN(DAY('Recurring Schedule'!$F$37),DAY(EOMONTH($A88,0))),MOD((YEAR($A88)-YEAR('Recurring Schedule'!$F$37))*12+MONTH($A88)-MONTH('Recurring Schedule'!$F$37),'Recurring Schedule'!$O$37)=0),IF('Recurring Schedule'!$E$37="Weekdays",WEEKDAY($A88,2)&lt;=5,$A88='Recurring Schedule'!$F$37))),32,""))))</f>
        <v/>
      </c>
      <c r="AH88">
        <f>IF('Recurring Schedule'!$C$38="","",IF('Recurring Schedule'!$F$38="","",IF(OR($A88&lt;'Recurring Schedule'!$F$38,$A88&gt;'Recurring Schedule'!$P$38),"",IF(IF('Recurring Schedule'!$N$38&gt;0,MOD($A88-'Recurring Schedule'!$F$38,'Recurring Schedule'!$N$38)=0,IF('Recurring Schedule'!$O$38&gt;0,AND(DAY($A88)=MIN(DAY('Recurring Schedule'!$F$38),DAY(EOMONTH($A88,0))),MOD((YEAR($A88)-YEAR('Recurring Schedule'!$F$38))*12+MONTH($A88)-MONTH('Recurring Schedule'!$F$38),'Recurring Schedule'!$O$38)=0),IF('Recurring Schedule'!$E$38="Weekdays",WEEKDAY($A88,2)&lt;=5,$A88='Recurring Schedule'!$F$38))),33,""))))</f>
        <v/>
      </c>
      <c r="AI88">
        <f>IF('Recurring Schedule'!$C$39="","",IF('Recurring Schedule'!$F$39="","",IF(OR($A88&lt;'Recurring Schedule'!$F$39,$A88&gt;'Recurring Schedule'!$P$39),"",IF(IF('Recurring Schedule'!$N$39&gt;0,MOD($A88-'Recurring Schedule'!$F$39,'Recurring Schedule'!$N$39)=0,IF('Recurring Schedule'!$O$39&gt;0,AND(DAY($A88)=MIN(DAY('Recurring Schedule'!$F$39),DAY(EOMONTH($A88,0))),MOD((YEAR($A88)-YEAR('Recurring Schedule'!$F$39))*12+MONTH($A88)-MONTH('Recurring Schedule'!$F$39),'Recurring Schedule'!$O$39)=0),IF('Recurring Schedule'!$E$39="Weekdays",WEEKDAY($A88,2)&lt;=5,$A88='Recurring Schedule'!$F$39))),34,""))))</f>
        <v/>
      </c>
      <c r="AJ88">
        <f>IF('Recurring Schedule'!$C$40="","",IF('Recurring Schedule'!$F$40="","",IF(OR($A88&lt;'Recurring Schedule'!$F$40,$A88&gt;'Recurring Schedule'!$P$40),"",IF(IF('Recurring Schedule'!$N$40&gt;0,MOD($A88-'Recurring Schedule'!$F$40,'Recurring Schedule'!$N$40)=0,IF('Recurring Schedule'!$O$40&gt;0,AND(DAY($A88)=MIN(DAY('Recurring Schedule'!$F$40),DAY(EOMONTH($A88,0))),MOD((YEAR($A88)-YEAR('Recurring Schedule'!$F$40))*12+MONTH($A88)-MONTH('Recurring Schedule'!$F$40),'Recurring Schedule'!$O$40)=0),IF('Recurring Schedule'!$E$40="Weekdays",WEEKDAY($A88,2)&lt;=5,$A88='Recurring Schedule'!$F$40))),35,""))))</f>
        <v/>
      </c>
      <c r="AK88">
        <f>IF('Recurring Schedule'!$C$41="","",IF('Recurring Schedule'!$F$41="","",IF(OR($A88&lt;'Recurring Schedule'!$F$41,$A88&gt;'Recurring Schedule'!$P$41),"",IF(IF('Recurring Schedule'!$N$41&gt;0,MOD($A88-'Recurring Schedule'!$F$41,'Recurring Schedule'!$N$41)=0,IF('Recurring Schedule'!$O$41&gt;0,AND(DAY($A88)=MIN(DAY('Recurring Schedule'!$F$41),DAY(EOMONTH($A88,0))),MOD((YEAR($A88)-YEAR('Recurring Schedule'!$F$41))*12+MONTH($A88)-MONTH('Recurring Schedule'!$F$41),'Recurring Schedule'!$O$41)=0),IF('Recurring Schedule'!$E$41="Weekdays",WEEKDAY($A88,2)&lt;=5,$A88='Recurring Schedule'!$F$41))),36,""))))</f>
        <v/>
      </c>
      <c r="AL88">
        <f>IF('Recurring Schedule'!$C$42="","",IF('Recurring Schedule'!$F$42="","",IF(OR($A88&lt;'Recurring Schedule'!$F$42,$A88&gt;'Recurring Schedule'!$P$42),"",IF(IF('Recurring Schedule'!$N$42&gt;0,MOD($A88-'Recurring Schedule'!$F$42,'Recurring Schedule'!$N$42)=0,IF('Recurring Schedule'!$O$42&gt;0,AND(DAY($A88)=MIN(DAY('Recurring Schedule'!$F$42),DAY(EOMONTH($A88,0))),MOD((YEAR($A88)-YEAR('Recurring Schedule'!$F$42))*12+MONTH($A88)-MONTH('Recurring Schedule'!$F$42),'Recurring Schedule'!$O$42)=0),IF('Recurring Schedule'!$E$42="Weekdays",WEEKDAY($A88,2)&lt;=5,$A88='Recurring Schedule'!$F$42))),37,""))))</f>
        <v/>
      </c>
      <c r="AM88">
        <f>IF('Recurring Schedule'!$C$43="","",IF('Recurring Schedule'!$F$43="","",IF(OR($A88&lt;'Recurring Schedule'!$F$43,$A88&gt;'Recurring Schedule'!$P$43),"",IF(IF('Recurring Schedule'!$N$43&gt;0,MOD($A88-'Recurring Schedule'!$F$43,'Recurring Schedule'!$N$43)=0,IF('Recurring Schedule'!$O$43&gt;0,AND(DAY($A88)=MIN(DAY('Recurring Schedule'!$F$43),DAY(EOMONTH($A88,0))),MOD((YEAR($A88)-YEAR('Recurring Schedule'!$F$43))*12+MONTH($A88)-MONTH('Recurring Schedule'!$F$43),'Recurring Schedule'!$O$43)=0),IF('Recurring Schedule'!$E$43="Weekdays",WEEKDAY($A88,2)&lt;=5,$A88='Recurring Schedule'!$F$43))),38,""))))</f>
        <v/>
      </c>
      <c r="AN88">
        <f>IF('Recurring Schedule'!$C$44="","",IF('Recurring Schedule'!$F$44="","",IF(OR($A88&lt;'Recurring Schedule'!$F$44,$A88&gt;'Recurring Schedule'!$P$44),"",IF(IF('Recurring Schedule'!$N$44&gt;0,MOD($A88-'Recurring Schedule'!$F$44,'Recurring Schedule'!$N$44)=0,IF('Recurring Schedule'!$O$44&gt;0,AND(DAY($A88)=MIN(DAY('Recurring Schedule'!$F$44),DAY(EOMONTH($A88,0))),MOD((YEAR($A88)-YEAR('Recurring Schedule'!$F$44))*12+MONTH($A88)-MONTH('Recurring Schedule'!$F$44),'Recurring Schedule'!$O$44)=0),IF('Recurring Schedule'!$E$44="Weekdays",WEEKDAY($A88,2)&lt;=5,$A88='Recurring Schedule'!$F$44))),39,""))))</f>
        <v/>
      </c>
      <c r="AO88">
        <f>IF('Recurring Schedule'!$C$45="","",IF('Recurring Schedule'!$F$45="","",IF(OR($A88&lt;'Recurring Schedule'!$F$45,$A88&gt;'Recurring Schedule'!$P$45),"",IF(IF('Recurring Schedule'!$N$45&gt;0,MOD($A88-'Recurring Schedule'!$F$45,'Recurring Schedule'!$N$45)=0,IF('Recurring Schedule'!$O$45&gt;0,AND(DAY($A88)=MIN(DAY('Recurring Schedule'!$F$45),DAY(EOMONTH($A88,0))),MOD((YEAR($A88)-YEAR('Recurring Schedule'!$F$45))*12+MONTH($A88)-MONTH('Recurring Schedule'!$F$45),'Recurring Schedule'!$O$45)=0),IF('Recurring Schedule'!$E$45="Weekdays",WEEKDAY($A88,2)&lt;=5,$A88='Recurring Schedule'!$F$45))),40,""))))</f>
        <v/>
      </c>
      <c r="AP88">
        <f>COUNT(B88:AO88)</f>
        <v/>
      </c>
      <c r="AQ88">
        <f>AQ87+AP87</f>
        <v/>
      </c>
      <c r="AS88" t="inlineStr">
        <is>
          <t>R</t>
        </is>
      </c>
      <c r="AT88" t="n">
        <v>92</v>
      </c>
      <c r="AU88">
        <f>'Recurring Log'!C92&amp;""</f>
        <v/>
      </c>
      <c r="AV88">
        <f>'Recurring Log'!D92&amp;""</f>
        <v/>
      </c>
      <c r="AW88">
        <f>IF('Recurring Log'!E92="","",'Recurring Log'!E92)</f>
        <v/>
      </c>
      <c r="AX88">
        <f>IF('Recurring Log'!G92="","",'Recurring Log'!G92)</f>
        <v/>
      </c>
      <c r="AY88">
        <f>IF('Recurring Log'!H92="","",'Recurring Log'!H92)</f>
        <v/>
      </c>
      <c r="AZ88">
        <f>IF(AU88="","",IF('Recurring Log'!J92="","Not Started",'Recurring Log'!J92))</f>
        <v/>
      </c>
      <c r="BA88">
        <f>'Recurring Log'!L92&amp;""</f>
        <v/>
      </c>
      <c r="BB88">
        <f>'Recurring Log'!M92&amp;""</f>
        <v/>
      </c>
      <c r="BC88">
        <f>'Recurring Log'!N92&amp;""</f>
        <v/>
      </c>
      <c r="BD88">
        <f>'Recurring Log'!O92&amp;""</f>
        <v/>
      </c>
      <c r="BE88">
        <f>IF('Recurring Log'!K92="","",'Recurring Log'!K92)</f>
        <v/>
      </c>
      <c r="BF88">
        <f>IFERROR(MATCH(BA88,Setup!$L$6:$L$9,0),5)</f>
        <v/>
      </c>
      <c r="BG88">
        <f>IF(OR(AZ88="Done",AZ88="Cancelled"),1,0)</f>
        <v/>
      </c>
      <c r="BH88">
        <f>IF(AND(AU88&lt;&gt;"",ISNUMBER(AW88)),1,0)</f>
        <v/>
      </c>
      <c r="BI88">
        <f>IF(BH88=0,0,IF(AND(AW88&gt;='Tasks Filter'!$F$3,AW88&lt;='Tasks Filter'!$F$4,OR('Tasks Filter'!$I$3="",ISNUMBER(SEARCH('Tasks Filter'!$I$3,AU88))),OR('Tasks Filter'!$I$4="",BF88=IFERROR(MATCH('Tasks Filter'!$I$4,Setup!$L$6:$L$9,0),0)),OR('Tasks Filter'!$I$5="Both",AND('Tasks Filter'!$I$5="Yes",BB88="✓"),AND('Tasks Filter'!$I$5="No",BB88&lt;&gt;"✓")),OR('Tasks Filter'!$L$3="",AV88='Tasks Filter'!$L$3),OR('Tasks Filter'!$L$4="",AZ88='Tasks Filter'!$L$4),OR('Tasks Filter'!$L$5="",BC88='Tasks Filter'!$L$5),OR('Tasks Filter'!$O$3="",BD88='Tasks Filter'!$O$3),OR('Tasks Filter'!$O$4="Yes",BG88=0)),1,0))</f>
        <v/>
      </c>
      <c r="BJ88">
        <f>IF(BH88=0,"",IF('Tasks Filter'!$F$6="Descending",-1,1)*CHOOSE(MATCH('Tasks Filter'!$F$5,Lists!$G$2:$G$6,0),AW88,BF88,IFERROR(MATCH(AV88,Setup!$F$6:$F$15,0),99),IFERROR(MATCH(BC88,Setup!$H$6:$H$15,0),99),IFERROR(MATCH(AZ88,Setup!$J$6:$J$11,0),99))*1E+9+(AW88-40000)*10000+87)</f>
        <v/>
      </c>
      <c r="BK88">
        <f>IF(BI88=1,BJ88,"")</f>
        <v/>
      </c>
      <c r="BL88">
        <f>IF(AND(BH88=1,BG88=0,N(AW88)&lt;Setup!$D$7),(AW88-40000)*10000+87,"")</f>
        <v/>
      </c>
      <c r="BM88">
        <f>IF(AND(BH88=1,AZ88&lt;&gt;"Cancelled",N(AW88)&gt;=Dashboard!$AB$3,N(AW88)&lt;=Dashboard!$AB$3+6),(AW88-40000)*100000+BF88*10000+87,"")</f>
        <v/>
      </c>
      <c r="BN88">
        <f>IF(AND(BH88=1,AZ88&lt;&gt;"Cancelled"),BF88*10000+87,"")</f>
        <v/>
      </c>
    </row>
    <row r="89">
      <c r="A89">
        <f>Setup!$D$5+87</f>
        <v/>
      </c>
      <c r="B89">
        <f>IF('Recurring Schedule'!$C$6="","",IF('Recurring Schedule'!$F$6="","",IF(OR($A89&lt;'Recurring Schedule'!$F$6,$A89&gt;'Recurring Schedule'!$P$6),"",IF(IF('Recurring Schedule'!$N$6&gt;0,MOD($A89-'Recurring Schedule'!$F$6,'Recurring Schedule'!$N$6)=0,IF('Recurring Schedule'!$O$6&gt;0,AND(DAY($A89)=MIN(DAY('Recurring Schedule'!$F$6),DAY(EOMONTH($A89,0))),MOD((YEAR($A89)-YEAR('Recurring Schedule'!$F$6))*12+MONTH($A89)-MONTH('Recurring Schedule'!$F$6),'Recurring Schedule'!$O$6)=0),IF('Recurring Schedule'!$E$6="Weekdays",WEEKDAY($A89,2)&lt;=5,$A89='Recurring Schedule'!$F$6))),1,""))))</f>
        <v/>
      </c>
      <c r="C89">
        <f>IF('Recurring Schedule'!$C$7="","",IF('Recurring Schedule'!$F$7="","",IF(OR($A89&lt;'Recurring Schedule'!$F$7,$A89&gt;'Recurring Schedule'!$P$7),"",IF(IF('Recurring Schedule'!$N$7&gt;0,MOD($A89-'Recurring Schedule'!$F$7,'Recurring Schedule'!$N$7)=0,IF('Recurring Schedule'!$O$7&gt;0,AND(DAY($A89)=MIN(DAY('Recurring Schedule'!$F$7),DAY(EOMONTH($A89,0))),MOD((YEAR($A89)-YEAR('Recurring Schedule'!$F$7))*12+MONTH($A89)-MONTH('Recurring Schedule'!$F$7),'Recurring Schedule'!$O$7)=0),IF('Recurring Schedule'!$E$7="Weekdays",WEEKDAY($A89,2)&lt;=5,$A89='Recurring Schedule'!$F$7))),2,""))))</f>
        <v/>
      </c>
      <c r="D89">
        <f>IF('Recurring Schedule'!$C$8="","",IF('Recurring Schedule'!$F$8="","",IF(OR($A89&lt;'Recurring Schedule'!$F$8,$A89&gt;'Recurring Schedule'!$P$8),"",IF(IF('Recurring Schedule'!$N$8&gt;0,MOD($A89-'Recurring Schedule'!$F$8,'Recurring Schedule'!$N$8)=0,IF('Recurring Schedule'!$O$8&gt;0,AND(DAY($A89)=MIN(DAY('Recurring Schedule'!$F$8),DAY(EOMONTH($A89,0))),MOD((YEAR($A89)-YEAR('Recurring Schedule'!$F$8))*12+MONTH($A89)-MONTH('Recurring Schedule'!$F$8),'Recurring Schedule'!$O$8)=0),IF('Recurring Schedule'!$E$8="Weekdays",WEEKDAY($A89,2)&lt;=5,$A89='Recurring Schedule'!$F$8))),3,""))))</f>
        <v/>
      </c>
      <c r="E89">
        <f>IF('Recurring Schedule'!$C$9="","",IF('Recurring Schedule'!$F$9="","",IF(OR($A89&lt;'Recurring Schedule'!$F$9,$A89&gt;'Recurring Schedule'!$P$9),"",IF(IF('Recurring Schedule'!$N$9&gt;0,MOD($A89-'Recurring Schedule'!$F$9,'Recurring Schedule'!$N$9)=0,IF('Recurring Schedule'!$O$9&gt;0,AND(DAY($A89)=MIN(DAY('Recurring Schedule'!$F$9),DAY(EOMONTH($A89,0))),MOD((YEAR($A89)-YEAR('Recurring Schedule'!$F$9))*12+MONTH($A89)-MONTH('Recurring Schedule'!$F$9),'Recurring Schedule'!$O$9)=0),IF('Recurring Schedule'!$E$9="Weekdays",WEEKDAY($A89,2)&lt;=5,$A89='Recurring Schedule'!$F$9))),4,""))))</f>
        <v/>
      </c>
      <c r="F89">
        <f>IF('Recurring Schedule'!$C$10="","",IF('Recurring Schedule'!$F$10="","",IF(OR($A89&lt;'Recurring Schedule'!$F$10,$A89&gt;'Recurring Schedule'!$P$10),"",IF(IF('Recurring Schedule'!$N$10&gt;0,MOD($A89-'Recurring Schedule'!$F$10,'Recurring Schedule'!$N$10)=0,IF('Recurring Schedule'!$O$10&gt;0,AND(DAY($A89)=MIN(DAY('Recurring Schedule'!$F$10),DAY(EOMONTH($A89,0))),MOD((YEAR($A89)-YEAR('Recurring Schedule'!$F$10))*12+MONTH($A89)-MONTH('Recurring Schedule'!$F$10),'Recurring Schedule'!$O$10)=0),IF('Recurring Schedule'!$E$10="Weekdays",WEEKDAY($A89,2)&lt;=5,$A89='Recurring Schedule'!$F$10))),5,""))))</f>
        <v/>
      </c>
      <c r="G89">
        <f>IF('Recurring Schedule'!$C$11="","",IF('Recurring Schedule'!$F$11="","",IF(OR($A89&lt;'Recurring Schedule'!$F$11,$A89&gt;'Recurring Schedule'!$P$11),"",IF(IF('Recurring Schedule'!$N$11&gt;0,MOD($A89-'Recurring Schedule'!$F$11,'Recurring Schedule'!$N$11)=0,IF('Recurring Schedule'!$O$11&gt;0,AND(DAY($A89)=MIN(DAY('Recurring Schedule'!$F$11),DAY(EOMONTH($A89,0))),MOD((YEAR($A89)-YEAR('Recurring Schedule'!$F$11))*12+MONTH($A89)-MONTH('Recurring Schedule'!$F$11),'Recurring Schedule'!$O$11)=0),IF('Recurring Schedule'!$E$11="Weekdays",WEEKDAY($A89,2)&lt;=5,$A89='Recurring Schedule'!$F$11))),6,""))))</f>
        <v/>
      </c>
      <c r="H89">
        <f>IF('Recurring Schedule'!$C$12="","",IF('Recurring Schedule'!$F$12="","",IF(OR($A89&lt;'Recurring Schedule'!$F$12,$A89&gt;'Recurring Schedule'!$P$12),"",IF(IF('Recurring Schedule'!$N$12&gt;0,MOD($A89-'Recurring Schedule'!$F$12,'Recurring Schedule'!$N$12)=0,IF('Recurring Schedule'!$O$12&gt;0,AND(DAY($A89)=MIN(DAY('Recurring Schedule'!$F$12),DAY(EOMONTH($A89,0))),MOD((YEAR($A89)-YEAR('Recurring Schedule'!$F$12))*12+MONTH($A89)-MONTH('Recurring Schedule'!$F$12),'Recurring Schedule'!$O$12)=0),IF('Recurring Schedule'!$E$12="Weekdays",WEEKDAY($A89,2)&lt;=5,$A89='Recurring Schedule'!$F$12))),7,""))))</f>
        <v/>
      </c>
      <c r="I89">
        <f>IF('Recurring Schedule'!$C$13="","",IF('Recurring Schedule'!$F$13="","",IF(OR($A89&lt;'Recurring Schedule'!$F$13,$A89&gt;'Recurring Schedule'!$P$13),"",IF(IF('Recurring Schedule'!$N$13&gt;0,MOD($A89-'Recurring Schedule'!$F$13,'Recurring Schedule'!$N$13)=0,IF('Recurring Schedule'!$O$13&gt;0,AND(DAY($A89)=MIN(DAY('Recurring Schedule'!$F$13),DAY(EOMONTH($A89,0))),MOD((YEAR($A89)-YEAR('Recurring Schedule'!$F$13))*12+MONTH($A89)-MONTH('Recurring Schedule'!$F$13),'Recurring Schedule'!$O$13)=0),IF('Recurring Schedule'!$E$13="Weekdays",WEEKDAY($A89,2)&lt;=5,$A89='Recurring Schedule'!$F$13))),8,""))))</f>
        <v/>
      </c>
      <c r="J89">
        <f>IF('Recurring Schedule'!$C$14="","",IF('Recurring Schedule'!$F$14="","",IF(OR($A89&lt;'Recurring Schedule'!$F$14,$A89&gt;'Recurring Schedule'!$P$14),"",IF(IF('Recurring Schedule'!$N$14&gt;0,MOD($A89-'Recurring Schedule'!$F$14,'Recurring Schedule'!$N$14)=0,IF('Recurring Schedule'!$O$14&gt;0,AND(DAY($A89)=MIN(DAY('Recurring Schedule'!$F$14),DAY(EOMONTH($A89,0))),MOD((YEAR($A89)-YEAR('Recurring Schedule'!$F$14))*12+MONTH($A89)-MONTH('Recurring Schedule'!$F$14),'Recurring Schedule'!$O$14)=0),IF('Recurring Schedule'!$E$14="Weekdays",WEEKDAY($A89,2)&lt;=5,$A89='Recurring Schedule'!$F$14))),9,""))))</f>
        <v/>
      </c>
      <c r="K89">
        <f>IF('Recurring Schedule'!$C$15="","",IF('Recurring Schedule'!$F$15="","",IF(OR($A89&lt;'Recurring Schedule'!$F$15,$A89&gt;'Recurring Schedule'!$P$15),"",IF(IF('Recurring Schedule'!$N$15&gt;0,MOD($A89-'Recurring Schedule'!$F$15,'Recurring Schedule'!$N$15)=0,IF('Recurring Schedule'!$O$15&gt;0,AND(DAY($A89)=MIN(DAY('Recurring Schedule'!$F$15),DAY(EOMONTH($A89,0))),MOD((YEAR($A89)-YEAR('Recurring Schedule'!$F$15))*12+MONTH($A89)-MONTH('Recurring Schedule'!$F$15),'Recurring Schedule'!$O$15)=0),IF('Recurring Schedule'!$E$15="Weekdays",WEEKDAY($A89,2)&lt;=5,$A89='Recurring Schedule'!$F$15))),10,""))))</f>
        <v/>
      </c>
      <c r="L89">
        <f>IF('Recurring Schedule'!$C$16="","",IF('Recurring Schedule'!$F$16="","",IF(OR($A89&lt;'Recurring Schedule'!$F$16,$A89&gt;'Recurring Schedule'!$P$16),"",IF(IF('Recurring Schedule'!$N$16&gt;0,MOD($A89-'Recurring Schedule'!$F$16,'Recurring Schedule'!$N$16)=0,IF('Recurring Schedule'!$O$16&gt;0,AND(DAY($A89)=MIN(DAY('Recurring Schedule'!$F$16),DAY(EOMONTH($A89,0))),MOD((YEAR($A89)-YEAR('Recurring Schedule'!$F$16))*12+MONTH($A89)-MONTH('Recurring Schedule'!$F$16),'Recurring Schedule'!$O$16)=0),IF('Recurring Schedule'!$E$16="Weekdays",WEEKDAY($A89,2)&lt;=5,$A89='Recurring Schedule'!$F$16))),11,""))))</f>
        <v/>
      </c>
      <c r="M89">
        <f>IF('Recurring Schedule'!$C$17="","",IF('Recurring Schedule'!$F$17="","",IF(OR($A89&lt;'Recurring Schedule'!$F$17,$A89&gt;'Recurring Schedule'!$P$17),"",IF(IF('Recurring Schedule'!$N$17&gt;0,MOD($A89-'Recurring Schedule'!$F$17,'Recurring Schedule'!$N$17)=0,IF('Recurring Schedule'!$O$17&gt;0,AND(DAY($A89)=MIN(DAY('Recurring Schedule'!$F$17),DAY(EOMONTH($A89,0))),MOD((YEAR($A89)-YEAR('Recurring Schedule'!$F$17))*12+MONTH($A89)-MONTH('Recurring Schedule'!$F$17),'Recurring Schedule'!$O$17)=0),IF('Recurring Schedule'!$E$17="Weekdays",WEEKDAY($A89,2)&lt;=5,$A89='Recurring Schedule'!$F$17))),12,""))))</f>
        <v/>
      </c>
      <c r="N89">
        <f>IF('Recurring Schedule'!$C$18="","",IF('Recurring Schedule'!$F$18="","",IF(OR($A89&lt;'Recurring Schedule'!$F$18,$A89&gt;'Recurring Schedule'!$P$18),"",IF(IF('Recurring Schedule'!$N$18&gt;0,MOD($A89-'Recurring Schedule'!$F$18,'Recurring Schedule'!$N$18)=0,IF('Recurring Schedule'!$O$18&gt;0,AND(DAY($A89)=MIN(DAY('Recurring Schedule'!$F$18),DAY(EOMONTH($A89,0))),MOD((YEAR($A89)-YEAR('Recurring Schedule'!$F$18))*12+MONTH($A89)-MONTH('Recurring Schedule'!$F$18),'Recurring Schedule'!$O$18)=0),IF('Recurring Schedule'!$E$18="Weekdays",WEEKDAY($A89,2)&lt;=5,$A89='Recurring Schedule'!$F$18))),13,""))))</f>
        <v/>
      </c>
      <c r="O89">
        <f>IF('Recurring Schedule'!$C$19="","",IF('Recurring Schedule'!$F$19="","",IF(OR($A89&lt;'Recurring Schedule'!$F$19,$A89&gt;'Recurring Schedule'!$P$19),"",IF(IF('Recurring Schedule'!$N$19&gt;0,MOD($A89-'Recurring Schedule'!$F$19,'Recurring Schedule'!$N$19)=0,IF('Recurring Schedule'!$O$19&gt;0,AND(DAY($A89)=MIN(DAY('Recurring Schedule'!$F$19),DAY(EOMONTH($A89,0))),MOD((YEAR($A89)-YEAR('Recurring Schedule'!$F$19))*12+MONTH($A89)-MONTH('Recurring Schedule'!$F$19),'Recurring Schedule'!$O$19)=0),IF('Recurring Schedule'!$E$19="Weekdays",WEEKDAY($A89,2)&lt;=5,$A89='Recurring Schedule'!$F$19))),14,""))))</f>
        <v/>
      </c>
      <c r="P89">
        <f>IF('Recurring Schedule'!$C$20="","",IF('Recurring Schedule'!$F$20="","",IF(OR($A89&lt;'Recurring Schedule'!$F$20,$A89&gt;'Recurring Schedule'!$P$20),"",IF(IF('Recurring Schedule'!$N$20&gt;0,MOD($A89-'Recurring Schedule'!$F$20,'Recurring Schedule'!$N$20)=0,IF('Recurring Schedule'!$O$20&gt;0,AND(DAY($A89)=MIN(DAY('Recurring Schedule'!$F$20),DAY(EOMONTH($A89,0))),MOD((YEAR($A89)-YEAR('Recurring Schedule'!$F$20))*12+MONTH($A89)-MONTH('Recurring Schedule'!$F$20),'Recurring Schedule'!$O$20)=0),IF('Recurring Schedule'!$E$20="Weekdays",WEEKDAY($A89,2)&lt;=5,$A89='Recurring Schedule'!$F$20))),15,""))))</f>
        <v/>
      </c>
      <c r="Q89">
        <f>IF('Recurring Schedule'!$C$21="","",IF('Recurring Schedule'!$F$21="","",IF(OR($A89&lt;'Recurring Schedule'!$F$21,$A89&gt;'Recurring Schedule'!$P$21),"",IF(IF('Recurring Schedule'!$N$21&gt;0,MOD($A89-'Recurring Schedule'!$F$21,'Recurring Schedule'!$N$21)=0,IF('Recurring Schedule'!$O$21&gt;0,AND(DAY($A89)=MIN(DAY('Recurring Schedule'!$F$21),DAY(EOMONTH($A89,0))),MOD((YEAR($A89)-YEAR('Recurring Schedule'!$F$21))*12+MONTH($A89)-MONTH('Recurring Schedule'!$F$21),'Recurring Schedule'!$O$21)=0),IF('Recurring Schedule'!$E$21="Weekdays",WEEKDAY($A89,2)&lt;=5,$A89='Recurring Schedule'!$F$21))),16,""))))</f>
        <v/>
      </c>
      <c r="R89">
        <f>IF('Recurring Schedule'!$C$22="","",IF('Recurring Schedule'!$F$22="","",IF(OR($A89&lt;'Recurring Schedule'!$F$22,$A89&gt;'Recurring Schedule'!$P$22),"",IF(IF('Recurring Schedule'!$N$22&gt;0,MOD($A89-'Recurring Schedule'!$F$22,'Recurring Schedule'!$N$22)=0,IF('Recurring Schedule'!$O$22&gt;0,AND(DAY($A89)=MIN(DAY('Recurring Schedule'!$F$22),DAY(EOMONTH($A89,0))),MOD((YEAR($A89)-YEAR('Recurring Schedule'!$F$22))*12+MONTH($A89)-MONTH('Recurring Schedule'!$F$22),'Recurring Schedule'!$O$22)=0),IF('Recurring Schedule'!$E$22="Weekdays",WEEKDAY($A89,2)&lt;=5,$A89='Recurring Schedule'!$F$22))),17,""))))</f>
        <v/>
      </c>
      <c r="S89">
        <f>IF('Recurring Schedule'!$C$23="","",IF('Recurring Schedule'!$F$23="","",IF(OR($A89&lt;'Recurring Schedule'!$F$23,$A89&gt;'Recurring Schedule'!$P$23),"",IF(IF('Recurring Schedule'!$N$23&gt;0,MOD($A89-'Recurring Schedule'!$F$23,'Recurring Schedule'!$N$23)=0,IF('Recurring Schedule'!$O$23&gt;0,AND(DAY($A89)=MIN(DAY('Recurring Schedule'!$F$23),DAY(EOMONTH($A89,0))),MOD((YEAR($A89)-YEAR('Recurring Schedule'!$F$23))*12+MONTH($A89)-MONTH('Recurring Schedule'!$F$23),'Recurring Schedule'!$O$23)=0),IF('Recurring Schedule'!$E$23="Weekdays",WEEKDAY($A89,2)&lt;=5,$A89='Recurring Schedule'!$F$23))),18,""))))</f>
        <v/>
      </c>
      <c r="T89">
        <f>IF('Recurring Schedule'!$C$24="","",IF('Recurring Schedule'!$F$24="","",IF(OR($A89&lt;'Recurring Schedule'!$F$24,$A89&gt;'Recurring Schedule'!$P$24),"",IF(IF('Recurring Schedule'!$N$24&gt;0,MOD($A89-'Recurring Schedule'!$F$24,'Recurring Schedule'!$N$24)=0,IF('Recurring Schedule'!$O$24&gt;0,AND(DAY($A89)=MIN(DAY('Recurring Schedule'!$F$24),DAY(EOMONTH($A89,0))),MOD((YEAR($A89)-YEAR('Recurring Schedule'!$F$24))*12+MONTH($A89)-MONTH('Recurring Schedule'!$F$24),'Recurring Schedule'!$O$24)=0),IF('Recurring Schedule'!$E$24="Weekdays",WEEKDAY($A89,2)&lt;=5,$A89='Recurring Schedule'!$F$24))),19,""))))</f>
        <v/>
      </c>
      <c r="U89">
        <f>IF('Recurring Schedule'!$C$25="","",IF('Recurring Schedule'!$F$25="","",IF(OR($A89&lt;'Recurring Schedule'!$F$25,$A89&gt;'Recurring Schedule'!$P$25),"",IF(IF('Recurring Schedule'!$N$25&gt;0,MOD($A89-'Recurring Schedule'!$F$25,'Recurring Schedule'!$N$25)=0,IF('Recurring Schedule'!$O$25&gt;0,AND(DAY($A89)=MIN(DAY('Recurring Schedule'!$F$25),DAY(EOMONTH($A89,0))),MOD((YEAR($A89)-YEAR('Recurring Schedule'!$F$25))*12+MONTH($A89)-MONTH('Recurring Schedule'!$F$25),'Recurring Schedule'!$O$25)=0),IF('Recurring Schedule'!$E$25="Weekdays",WEEKDAY($A89,2)&lt;=5,$A89='Recurring Schedule'!$F$25))),20,""))))</f>
        <v/>
      </c>
      <c r="V89">
        <f>IF('Recurring Schedule'!$C$26="","",IF('Recurring Schedule'!$F$26="","",IF(OR($A89&lt;'Recurring Schedule'!$F$26,$A89&gt;'Recurring Schedule'!$P$26),"",IF(IF('Recurring Schedule'!$N$26&gt;0,MOD($A89-'Recurring Schedule'!$F$26,'Recurring Schedule'!$N$26)=0,IF('Recurring Schedule'!$O$26&gt;0,AND(DAY($A89)=MIN(DAY('Recurring Schedule'!$F$26),DAY(EOMONTH($A89,0))),MOD((YEAR($A89)-YEAR('Recurring Schedule'!$F$26))*12+MONTH($A89)-MONTH('Recurring Schedule'!$F$26),'Recurring Schedule'!$O$26)=0),IF('Recurring Schedule'!$E$26="Weekdays",WEEKDAY($A89,2)&lt;=5,$A89='Recurring Schedule'!$F$26))),21,""))))</f>
        <v/>
      </c>
      <c r="W89">
        <f>IF('Recurring Schedule'!$C$27="","",IF('Recurring Schedule'!$F$27="","",IF(OR($A89&lt;'Recurring Schedule'!$F$27,$A89&gt;'Recurring Schedule'!$P$27),"",IF(IF('Recurring Schedule'!$N$27&gt;0,MOD($A89-'Recurring Schedule'!$F$27,'Recurring Schedule'!$N$27)=0,IF('Recurring Schedule'!$O$27&gt;0,AND(DAY($A89)=MIN(DAY('Recurring Schedule'!$F$27),DAY(EOMONTH($A89,0))),MOD((YEAR($A89)-YEAR('Recurring Schedule'!$F$27))*12+MONTH($A89)-MONTH('Recurring Schedule'!$F$27),'Recurring Schedule'!$O$27)=0),IF('Recurring Schedule'!$E$27="Weekdays",WEEKDAY($A89,2)&lt;=5,$A89='Recurring Schedule'!$F$27))),22,""))))</f>
        <v/>
      </c>
      <c r="X89">
        <f>IF('Recurring Schedule'!$C$28="","",IF('Recurring Schedule'!$F$28="","",IF(OR($A89&lt;'Recurring Schedule'!$F$28,$A89&gt;'Recurring Schedule'!$P$28),"",IF(IF('Recurring Schedule'!$N$28&gt;0,MOD($A89-'Recurring Schedule'!$F$28,'Recurring Schedule'!$N$28)=0,IF('Recurring Schedule'!$O$28&gt;0,AND(DAY($A89)=MIN(DAY('Recurring Schedule'!$F$28),DAY(EOMONTH($A89,0))),MOD((YEAR($A89)-YEAR('Recurring Schedule'!$F$28))*12+MONTH($A89)-MONTH('Recurring Schedule'!$F$28),'Recurring Schedule'!$O$28)=0),IF('Recurring Schedule'!$E$28="Weekdays",WEEKDAY($A89,2)&lt;=5,$A89='Recurring Schedule'!$F$28))),23,""))))</f>
        <v/>
      </c>
      <c r="Y89">
        <f>IF('Recurring Schedule'!$C$29="","",IF('Recurring Schedule'!$F$29="","",IF(OR($A89&lt;'Recurring Schedule'!$F$29,$A89&gt;'Recurring Schedule'!$P$29),"",IF(IF('Recurring Schedule'!$N$29&gt;0,MOD($A89-'Recurring Schedule'!$F$29,'Recurring Schedule'!$N$29)=0,IF('Recurring Schedule'!$O$29&gt;0,AND(DAY($A89)=MIN(DAY('Recurring Schedule'!$F$29),DAY(EOMONTH($A89,0))),MOD((YEAR($A89)-YEAR('Recurring Schedule'!$F$29))*12+MONTH($A89)-MONTH('Recurring Schedule'!$F$29),'Recurring Schedule'!$O$29)=0),IF('Recurring Schedule'!$E$29="Weekdays",WEEKDAY($A89,2)&lt;=5,$A89='Recurring Schedule'!$F$29))),24,""))))</f>
        <v/>
      </c>
      <c r="Z89">
        <f>IF('Recurring Schedule'!$C$30="","",IF('Recurring Schedule'!$F$30="","",IF(OR($A89&lt;'Recurring Schedule'!$F$30,$A89&gt;'Recurring Schedule'!$P$30),"",IF(IF('Recurring Schedule'!$N$30&gt;0,MOD($A89-'Recurring Schedule'!$F$30,'Recurring Schedule'!$N$30)=0,IF('Recurring Schedule'!$O$30&gt;0,AND(DAY($A89)=MIN(DAY('Recurring Schedule'!$F$30),DAY(EOMONTH($A89,0))),MOD((YEAR($A89)-YEAR('Recurring Schedule'!$F$30))*12+MONTH($A89)-MONTH('Recurring Schedule'!$F$30),'Recurring Schedule'!$O$30)=0),IF('Recurring Schedule'!$E$30="Weekdays",WEEKDAY($A89,2)&lt;=5,$A89='Recurring Schedule'!$F$30))),25,""))))</f>
        <v/>
      </c>
      <c r="AA89">
        <f>IF('Recurring Schedule'!$C$31="","",IF('Recurring Schedule'!$F$31="","",IF(OR($A89&lt;'Recurring Schedule'!$F$31,$A89&gt;'Recurring Schedule'!$P$31),"",IF(IF('Recurring Schedule'!$N$31&gt;0,MOD($A89-'Recurring Schedule'!$F$31,'Recurring Schedule'!$N$31)=0,IF('Recurring Schedule'!$O$31&gt;0,AND(DAY($A89)=MIN(DAY('Recurring Schedule'!$F$31),DAY(EOMONTH($A89,0))),MOD((YEAR($A89)-YEAR('Recurring Schedule'!$F$31))*12+MONTH($A89)-MONTH('Recurring Schedule'!$F$31),'Recurring Schedule'!$O$31)=0),IF('Recurring Schedule'!$E$31="Weekdays",WEEKDAY($A89,2)&lt;=5,$A89='Recurring Schedule'!$F$31))),26,""))))</f>
        <v/>
      </c>
      <c r="AB89">
        <f>IF('Recurring Schedule'!$C$32="","",IF('Recurring Schedule'!$F$32="","",IF(OR($A89&lt;'Recurring Schedule'!$F$32,$A89&gt;'Recurring Schedule'!$P$32),"",IF(IF('Recurring Schedule'!$N$32&gt;0,MOD($A89-'Recurring Schedule'!$F$32,'Recurring Schedule'!$N$32)=0,IF('Recurring Schedule'!$O$32&gt;0,AND(DAY($A89)=MIN(DAY('Recurring Schedule'!$F$32),DAY(EOMONTH($A89,0))),MOD((YEAR($A89)-YEAR('Recurring Schedule'!$F$32))*12+MONTH($A89)-MONTH('Recurring Schedule'!$F$32),'Recurring Schedule'!$O$32)=0),IF('Recurring Schedule'!$E$32="Weekdays",WEEKDAY($A89,2)&lt;=5,$A89='Recurring Schedule'!$F$32))),27,""))))</f>
        <v/>
      </c>
      <c r="AC89">
        <f>IF('Recurring Schedule'!$C$33="","",IF('Recurring Schedule'!$F$33="","",IF(OR($A89&lt;'Recurring Schedule'!$F$33,$A89&gt;'Recurring Schedule'!$P$33),"",IF(IF('Recurring Schedule'!$N$33&gt;0,MOD($A89-'Recurring Schedule'!$F$33,'Recurring Schedule'!$N$33)=0,IF('Recurring Schedule'!$O$33&gt;0,AND(DAY($A89)=MIN(DAY('Recurring Schedule'!$F$33),DAY(EOMONTH($A89,0))),MOD((YEAR($A89)-YEAR('Recurring Schedule'!$F$33))*12+MONTH($A89)-MONTH('Recurring Schedule'!$F$33),'Recurring Schedule'!$O$33)=0),IF('Recurring Schedule'!$E$33="Weekdays",WEEKDAY($A89,2)&lt;=5,$A89='Recurring Schedule'!$F$33))),28,""))))</f>
        <v/>
      </c>
      <c r="AD89">
        <f>IF('Recurring Schedule'!$C$34="","",IF('Recurring Schedule'!$F$34="","",IF(OR($A89&lt;'Recurring Schedule'!$F$34,$A89&gt;'Recurring Schedule'!$P$34),"",IF(IF('Recurring Schedule'!$N$34&gt;0,MOD($A89-'Recurring Schedule'!$F$34,'Recurring Schedule'!$N$34)=0,IF('Recurring Schedule'!$O$34&gt;0,AND(DAY($A89)=MIN(DAY('Recurring Schedule'!$F$34),DAY(EOMONTH($A89,0))),MOD((YEAR($A89)-YEAR('Recurring Schedule'!$F$34))*12+MONTH($A89)-MONTH('Recurring Schedule'!$F$34),'Recurring Schedule'!$O$34)=0),IF('Recurring Schedule'!$E$34="Weekdays",WEEKDAY($A89,2)&lt;=5,$A89='Recurring Schedule'!$F$34))),29,""))))</f>
        <v/>
      </c>
      <c r="AE89">
        <f>IF('Recurring Schedule'!$C$35="","",IF('Recurring Schedule'!$F$35="","",IF(OR($A89&lt;'Recurring Schedule'!$F$35,$A89&gt;'Recurring Schedule'!$P$35),"",IF(IF('Recurring Schedule'!$N$35&gt;0,MOD($A89-'Recurring Schedule'!$F$35,'Recurring Schedule'!$N$35)=0,IF('Recurring Schedule'!$O$35&gt;0,AND(DAY($A89)=MIN(DAY('Recurring Schedule'!$F$35),DAY(EOMONTH($A89,0))),MOD((YEAR($A89)-YEAR('Recurring Schedule'!$F$35))*12+MONTH($A89)-MONTH('Recurring Schedule'!$F$35),'Recurring Schedule'!$O$35)=0),IF('Recurring Schedule'!$E$35="Weekdays",WEEKDAY($A89,2)&lt;=5,$A89='Recurring Schedule'!$F$35))),30,""))))</f>
        <v/>
      </c>
      <c r="AF89">
        <f>IF('Recurring Schedule'!$C$36="","",IF('Recurring Schedule'!$F$36="","",IF(OR($A89&lt;'Recurring Schedule'!$F$36,$A89&gt;'Recurring Schedule'!$P$36),"",IF(IF('Recurring Schedule'!$N$36&gt;0,MOD($A89-'Recurring Schedule'!$F$36,'Recurring Schedule'!$N$36)=0,IF('Recurring Schedule'!$O$36&gt;0,AND(DAY($A89)=MIN(DAY('Recurring Schedule'!$F$36),DAY(EOMONTH($A89,0))),MOD((YEAR($A89)-YEAR('Recurring Schedule'!$F$36))*12+MONTH($A89)-MONTH('Recurring Schedule'!$F$36),'Recurring Schedule'!$O$36)=0),IF('Recurring Schedule'!$E$36="Weekdays",WEEKDAY($A89,2)&lt;=5,$A89='Recurring Schedule'!$F$36))),31,""))))</f>
        <v/>
      </c>
      <c r="AG89">
        <f>IF('Recurring Schedule'!$C$37="","",IF('Recurring Schedule'!$F$37="","",IF(OR($A89&lt;'Recurring Schedule'!$F$37,$A89&gt;'Recurring Schedule'!$P$37),"",IF(IF('Recurring Schedule'!$N$37&gt;0,MOD($A89-'Recurring Schedule'!$F$37,'Recurring Schedule'!$N$37)=0,IF('Recurring Schedule'!$O$37&gt;0,AND(DAY($A89)=MIN(DAY('Recurring Schedule'!$F$37),DAY(EOMONTH($A89,0))),MOD((YEAR($A89)-YEAR('Recurring Schedule'!$F$37))*12+MONTH($A89)-MONTH('Recurring Schedule'!$F$37),'Recurring Schedule'!$O$37)=0),IF('Recurring Schedule'!$E$37="Weekdays",WEEKDAY($A89,2)&lt;=5,$A89='Recurring Schedule'!$F$37))),32,""))))</f>
        <v/>
      </c>
      <c r="AH89">
        <f>IF('Recurring Schedule'!$C$38="","",IF('Recurring Schedule'!$F$38="","",IF(OR($A89&lt;'Recurring Schedule'!$F$38,$A89&gt;'Recurring Schedule'!$P$38),"",IF(IF('Recurring Schedule'!$N$38&gt;0,MOD($A89-'Recurring Schedule'!$F$38,'Recurring Schedule'!$N$38)=0,IF('Recurring Schedule'!$O$38&gt;0,AND(DAY($A89)=MIN(DAY('Recurring Schedule'!$F$38),DAY(EOMONTH($A89,0))),MOD((YEAR($A89)-YEAR('Recurring Schedule'!$F$38))*12+MONTH($A89)-MONTH('Recurring Schedule'!$F$38),'Recurring Schedule'!$O$38)=0),IF('Recurring Schedule'!$E$38="Weekdays",WEEKDAY($A89,2)&lt;=5,$A89='Recurring Schedule'!$F$38))),33,""))))</f>
        <v/>
      </c>
      <c r="AI89">
        <f>IF('Recurring Schedule'!$C$39="","",IF('Recurring Schedule'!$F$39="","",IF(OR($A89&lt;'Recurring Schedule'!$F$39,$A89&gt;'Recurring Schedule'!$P$39),"",IF(IF('Recurring Schedule'!$N$39&gt;0,MOD($A89-'Recurring Schedule'!$F$39,'Recurring Schedule'!$N$39)=0,IF('Recurring Schedule'!$O$39&gt;0,AND(DAY($A89)=MIN(DAY('Recurring Schedule'!$F$39),DAY(EOMONTH($A89,0))),MOD((YEAR($A89)-YEAR('Recurring Schedule'!$F$39))*12+MONTH($A89)-MONTH('Recurring Schedule'!$F$39),'Recurring Schedule'!$O$39)=0),IF('Recurring Schedule'!$E$39="Weekdays",WEEKDAY($A89,2)&lt;=5,$A89='Recurring Schedule'!$F$39))),34,""))))</f>
        <v/>
      </c>
      <c r="AJ89">
        <f>IF('Recurring Schedule'!$C$40="","",IF('Recurring Schedule'!$F$40="","",IF(OR($A89&lt;'Recurring Schedule'!$F$40,$A89&gt;'Recurring Schedule'!$P$40),"",IF(IF('Recurring Schedule'!$N$40&gt;0,MOD($A89-'Recurring Schedule'!$F$40,'Recurring Schedule'!$N$40)=0,IF('Recurring Schedule'!$O$40&gt;0,AND(DAY($A89)=MIN(DAY('Recurring Schedule'!$F$40),DAY(EOMONTH($A89,0))),MOD((YEAR($A89)-YEAR('Recurring Schedule'!$F$40))*12+MONTH($A89)-MONTH('Recurring Schedule'!$F$40),'Recurring Schedule'!$O$40)=0),IF('Recurring Schedule'!$E$40="Weekdays",WEEKDAY($A89,2)&lt;=5,$A89='Recurring Schedule'!$F$40))),35,""))))</f>
        <v/>
      </c>
      <c r="AK89">
        <f>IF('Recurring Schedule'!$C$41="","",IF('Recurring Schedule'!$F$41="","",IF(OR($A89&lt;'Recurring Schedule'!$F$41,$A89&gt;'Recurring Schedule'!$P$41),"",IF(IF('Recurring Schedule'!$N$41&gt;0,MOD($A89-'Recurring Schedule'!$F$41,'Recurring Schedule'!$N$41)=0,IF('Recurring Schedule'!$O$41&gt;0,AND(DAY($A89)=MIN(DAY('Recurring Schedule'!$F$41),DAY(EOMONTH($A89,0))),MOD((YEAR($A89)-YEAR('Recurring Schedule'!$F$41))*12+MONTH($A89)-MONTH('Recurring Schedule'!$F$41),'Recurring Schedule'!$O$41)=0),IF('Recurring Schedule'!$E$41="Weekdays",WEEKDAY($A89,2)&lt;=5,$A89='Recurring Schedule'!$F$41))),36,""))))</f>
        <v/>
      </c>
      <c r="AL89">
        <f>IF('Recurring Schedule'!$C$42="","",IF('Recurring Schedule'!$F$42="","",IF(OR($A89&lt;'Recurring Schedule'!$F$42,$A89&gt;'Recurring Schedule'!$P$42),"",IF(IF('Recurring Schedule'!$N$42&gt;0,MOD($A89-'Recurring Schedule'!$F$42,'Recurring Schedule'!$N$42)=0,IF('Recurring Schedule'!$O$42&gt;0,AND(DAY($A89)=MIN(DAY('Recurring Schedule'!$F$42),DAY(EOMONTH($A89,0))),MOD((YEAR($A89)-YEAR('Recurring Schedule'!$F$42))*12+MONTH($A89)-MONTH('Recurring Schedule'!$F$42),'Recurring Schedule'!$O$42)=0),IF('Recurring Schedule'!$E$42="Weekdays",WEEKDAY($A89,2)&lt;=5,$A89='Recurring Schedule'!$F$42))),37,""))))</f>
        <v/>
      </c>
      <c r="AM89">
        <f>IF('Recurring Schedule'!$C$43="","",IF('Recurring Schedule'!$F$43="","",IF(OR($A89&lt;'Recurring Schedule'!$F$43,$A89&gt;'Recurring Schedule'!$P$43),"",IF(IF('Recurring Schedule'!$N$43&gt;0,MOD($A89-'Recurring Schedule'!$F$43,'Recurring Schedule'!$N$43)=0,IF('Recurring Schedule'!$O$43&gt;0,AND(DAY($A89)=MIN(DAY('Recurring Schedule'!$F$43),DAY(EOMONTH($A89,0))),MOD((YEAR($A89)-YEAR('Recurring Schedule'!$F$43))*12+MONTH($A89)-MONTH('Recurring Schedule'!$F$43),'Recurring Schedule'!$O$43)=0),IF('Recurring Schedule'!$E$43="Weekdays",WEEKDAY($A89,2)&lt;=5,$A89='Recurring Schedule'!$F$43))),38,""))))</f>
        <v/>
      </c>
      <c r="AN89">
        <f>IF('Recurring Schedule'!$C$44="","",IF('Recurring Schedule'!$F$44="","",IF(OR($A89&lt;'Recurring Schedule'!$F$44,$A89&gt;'Recurring Schedule'!$P$44),"",IF(IF('Recurring Schedule'!$N$44&gt;0,MOD($A89-'Recurring Schedule'!$F$44,'Recurring Schedule'!$N$44)=0,IF('Recurring Schedule'!$O$44&gt;0,AND(DAY($A89)=MIN(DAY('Recurring Schedule'!$F$44),DAY(EOMONTH($A89,0))),MOD((YEAR($A89)-YEAR('Recurring Schedule'!$F$44))*12+MONTH($A89)-MONTH('Recurring Schedule'!$F$44),'Recurring Schedule'!$O$44)=0),IF('Recurring Schedule'!$E$44="Weekdays",WEEKDAY($A89,2)&lt;=5,$A89='Recurring Schedule'!$F$44))),39,""))))</f>
        <v/>
      </c>
      <c r="AO89">
        <f>IF('Recurring Schedule'!$C$45="","",IF('Recurring Schedule'!$F$45="","",IF(OR($A89&lt;'Recurring Schedule'!$F$45,$A89&gt;'Recurring Schedule'!$P$45),"",IF(IF('Recurring Schedule'!$N$45&gt;0,MOD($A89-'Recurring Schedule'!$F$45,'Recurring Schedule'!$N$45)=0,IF('Recurring Schedule'!$O$45&gt;0,AND(DAY($A89)=MIN(DAY('Recurring Schedule'!$F$45),DAY(EOMONTH($A89,0))),MOD((YEAR($A89)-YEAR('Recurring Schedule'!$F$45))*12+MONTH($A89)-MONTH('Recurring Schedule'!$F$45),'Recurring Schedule'!$O$45)=0),IF('Recurring Schedule'!$E$45="Weekdays",WEEKDAY($A89,2)&lt;=5,$A89='Recurring Schedule'!$F$45))),40,""))))</f>
        <v/>
      </c>
      <c r="AP89">
        <f>COUNT(B89:AO89)</f>
        <v/>
      </c>
      <c r="AQ89">
        <f>AQ88+AP88</f>
        <v/>
      </c>
      <c r="AS89" t="inlineStr">
        <is>
          <t>R</t>
        </is>
      </c>
      <c r="AT89" t="n">
        <v>93</v>
      </c>
      <c r="AU89">
        <f>'Recurring Log'!C93&amp;""</f>
        <v/>
      </c>
      <c r="AV89">
        <f>'Recurring Log'!D93&amp;""</f>
        <v/>
      </c>
      <c r="AW89">
        <f>IF('Recurring Log'!E93="","",'Recurring Log'!E93)</f>
        <v/>
      </c>
      <c r="AX89">
        <f>IF('Recurring Log'!G93="","",'Recurring Log'!G93)</f>
        <v/>
      </c>
      <c r="AY89">
        <f>IF('Recurring Log'!H93="","",'Recurring Log'!H93)</f>
        <v/>
      </c>
      <c r="AZ89">
        <f>IF(AU89="","",IF('Recurring Log'!J93="","Not Started",'Recurring Log'!J93))</f>
        <v/>
      </c>
      <c r="BA89">
        <f>'Recurring Log'!L93&amp;""</f>
        <v/>
      </c>
      <c r="BB89">
        <f>'Recurring Log'!M93&amp;""</f>
        <v/>
      </c>
      <c r="BC89">
        <f>'Recurring Log'!N93&amp;""</f>
        <v/>
      </c>
      <c r="BD89">
        <f>'Recurring Log'!O93&amp;""</f>
        <v/>
      </c>
      <c r="BE89">
        <f>IF('Recurring Log'!K93="","",'Recurring Log'!K93)</f>
        <v/>
      </c>
      <c r="BF89">
        <f>IFERROR(MATCH(BA89,Setup!$L$6:$L$9,0),5)</f>
        <v/>
      </c>
      <c r="BG89">
        <f>IF(OR(AZ89="Done",AZ89="Cancelled"),1,0)</f>
        <v/>
      </c>
      <c r="BH89">
        <f>IF(AND(AU89&lt;&gt;"",ISNUMBER(AW89)),1,0)</f>
        <v/>
      </c>
      <c r="BI89">
        <f>IF(BH89=0,0,IF(AND(AW89&gt;='Tasks Filter'!$F$3,AW89&lt;='Tasks Filter'!$F$4,OR('Tasks Filter'!$I$3="",ISNUMBER(SEARCH('Tasks Filter'!$I$3,AU89))),OR('Tasks Filter'!$I$4="",BF89=IFERROR(MATCH('Tasks Filter'!$I$4,Setup!$L$6:$L$9,0),0)),OR('Tasks Filter'!$I$5="Both",AND('Tasks Filter'!$I$5="Yes",BB89="✓"),AND('Tasks Filter'!$I$5="No",BB89&lt;&gt;"✓")),OR('Tasks Filter'!$L$3="",AV89='Tasks Filter'!$L$3),OR('Tasks Filter'!$L$4="",AZ89='Tasks Filter'!$L$4),OR('Tasks Filter'!$L$5="",BC89='Tasks Filter'!$L$5),OR('Tasks Filter'!$O$3="",BD89='Tasks Filter'!$O$3),OR('Tasks Filter'!$O$4="Yes",BG89=0)),1,0))</f>
        <v/>
      </c>
      <c r="BJ89">
        <f>IF(BH89=0,"",IF('Tasks Filter'!$F$6="Descending",-1,1)*CHOOSE(MATCH('Tasks Filter'!$F$5,Lists!$G$2:$G$6,0),AW89,BF89,IFERROR(MATCH(AV89,Setup!$F$6:$F$15,0),99),IFERROR(MATCH(BC89,Setup!$H$6:$H$15,0),99),IFERROR(MATCH(AZ89,Setup!$J$6:$J$11,0),99))*1E+9+(AW89-40000)*10000+88)</f>
        <v/>
      </c>
      <c r="BK89">
        <f>IF(BI89=1,BJ89,"")</f>
        <v/>
      </c>
      <c r="BL89">
        <f>IF(AND(BH89=1,BG89=0,N(AW89)&lt;Setup!$D$7),(AW89-40000)*10000+88,"")</f>
        <v/>
      </c>
      <c r="BM89">
        <f>IF(AND(BH89=1,AZ89&lt;&gt;"Cancelled",N(AW89)&gt;=Dashboard!$AB$3,N(AW89)&lt;=Dashboard!$AB$3+6),(AW89-40000)*100000+BF89*10000+88,"")</f>
        <v/>
      </c>
      <c r="BN89">
        <f>IF(AND(BH89=1,AZ89&lt;&gt;"Cancelled"),BF89*10000+88,"")</f>
        <v/>
      </c>
    </row>
    <row r="90">
      <c r="A90">
        <f>Setup!$D$5+88</f>
        <v/>
      </c>
      <c r="B90">
        <f>IF('Recurring Schedule'!$C$6="","",IF('Recurring Schedule'!$F$6="","",IF(OR($A90&lt;'Recurring Schedule'!$F$6,$A90&gt;'Recurring Schedule'!$P$6),"",IF(IF('Recurring Schedule'!$N$6&gt;0,MOD($A90-'Recurring Schedule'!$F$6,'Recurring Schedule'!$N$6)=0,IF('Recurring Schedule'!$O$6&gt;0,AND(DAY($A90)=MIN(DAY('Recurring Schedule'!$F$6),DAY(EOMONTH($A90,0))),MOD((YEAR($A90)-YEAR('Recurring Schedule'!$F$6))*12+MONTH($A90)-MONTH('Recurring Schedule'!$F$6),'Recurring Schedule'!$O$6)=0),IF('Recurring Schedule'!$E$6="Weekdays",WEEKDAY($A90,2)&lt;=5,$A90='Recurring Schedule'!$F$6))),1,""))))</f>
        <v/>
      </c>
      <c r="C90">
        <f>IF('Recurring Schedule'!$C$7="","",IF('Recurring Schedule'!$F$7="","",IF(OR($A90&lt;'Recurring Schedule'!$F$7,$A90&gt;'Recurring Schedule'!$P$7),"",IF(IF('Recurring Schedule'!$N$7&gt;0,MOD($A90-'Recurring Schedule'!$F$7,'Recurring Schedule'!$N$7)=0,IF('Recurring Schedule'!$O$7&gt;0,AND(DAY($A90)=MIN(DAY('Recurring Schedule'!$F$7),DAY(EOMONTH($A90,0))),MOD((YEAR($A90)-YEAR('Recurring Schedule'!$F$7))*12+MONTH($A90)-MONTH('Recurring Schedule'!$F$7),'Recurring Schedule'!$O$7)=0),IF('Recurring Schedule'!$E$7="Weekdays",WEEKDAY($A90,2)&lt;=5,$A90='Recurring Schedule'!$F$7))),2,""))))</f>
        <v/>
      </c>
      <c r="D90">
        <f>IF('Recurring Schedule'!$C$8="","",IF('Recurring Schedule'!$F$8="","",IF(OR($A90&lt;'Recurring Schedule'!$F$8,$A90&gt;'Recurring Schedule'!$P$8),"",IF(IF('Recurring Schedule'!$N$8&gt;0,MOD($A90-'Recurring Schedule'!$F$8,'Recurring Schedule'!$N$8)=0,IF('Recurring Schedule'!$O$8&gt;0,AND(DAY($A90)=MIN(DAY('Recurring Schedule'!$F$8),DAY(EOMONTH($A90,0))),MOD((YEAR($A90)-YEAR('Recurring Schedule'!$F$8))*12+MONTH($A90)-MONTH('Recurring Schedule'!$F$8),'Recurring Schedule'!$O$8)=0),IF('Recurring Schedule'!$E$8="Weekdays",WEEKDAY($A90,2)&lt;=5,$A90='Recurring Schedule'!$F$8))),3,""))))</f>
        <v/>
      </c>
      <c r="E90">
        <f>IF('Recurring Schedule'!$C$9="","",IF('Recurring Schedule'!$F$9="","",IF(OR($A90&lt;'Recurring Schedule'!$F$9,$A90&gt;'Recurring Schedule'!$P$9),"",IF(IF('Recurring Schedule'!$N$9&gt;0,MOD($A90-'Recurring Schedule'!$F$9,'Recurring Schedule'!$N$9)=0,IF('Recurring Schedule'!$O$9&gt;0,AND(DAY($A90)=MIN(DAY('Recurring Schedule'!$F$9),DAY(EOMONTH($A90,0))),MOD((YEAR($A90)-YEAR('Recurring Schedule'!$F$9))*12+MONTH($A90)-MONTH('Recurring Schedule'!$F$9),'Recurring Schedule'!$O$9)=0),IF('Recurring Schedule'!$E$9="Weekdays",WEEKDAY($A90,2)&lt;=5,$A90='Recurring Schedule'!$F$9))),4,""))))</f>
        <v/>
      </c>
      <c r="F90">
        <f>IF('Recurring Schedule'!$C$10="","",IF('Recurring Schedule'!$F$10="","",IF(OR($A90&lt;'Recurring Schedule'!$F$10,$A90&gt;'Recurring Schedule'!$P$10),"",IF(IF('Recurring Schedule'!$N$10&gt;0,MOD($A90-'Recurring Schedule'!$F$10,'Recurring Schedule'!$N$10)=0,IF('Recurring Schedule'!$O$10&gt;0,AND(DAY($A90)=MIN(DAY('Recurring Schedule'!$F$10),DAY(EOMONTH($A90,0))),MOD((YEAR($A90)-YEAR('Recurring Schedule'!$F$10))*12+MONTH($A90)-MONTH('Recurring Schedule'!$F$10),'Recurring Schedule'!$O$10)=0),IF('Recurring Schedule'!$E$10="Weekdays",WEEKDAY($A90,2)&lt;=5,$A90='Recurring Schedule'!$F$10))),5,""))))</f>
        <v/>
      </c>
      <c r="G90">
        <f>IF('Recurring Schedule'!$C$11="","",IF('Recurring Schedule'!$F$11="","",IF(OR($A90&lt;'Recurring Schedule'!$F$11,$A90&gt;'Recurring Schedule'!$P$11),"",IF(IF('Recurring Schedule'!$N$11&gt;0,MOD($A90-'Recurring Schedule'!$F$11,'Recurring Schedule'!$N$11)=0,IF('Recurring Schedule'!$O$11&gt;0,AND(DAY($A90)=MIN(DAY('Recurring Schedule'!$F$11),DAY(EOMONTH($A90,0))),MOD((YEAR($A90)-YEAR('Recurring Schedule'!$F$11))*12+MONTH($A90)-MONTH('Recurring Schedule'!$F$11),'Recurring Schedule'!$O$11)=0),IF('Recurring Schedule'!$E$11="Weekdays",WEEKDAY($A90,2)&lt;=5,$A90='Recurring Schedule'!$F$11))),6,""))))</f>
        <v/>
      </c>
      <c r="H90">
        <f>IF('Recurring Schedule'!$C$12="","",IF('Recurring Schedule'!$F$12="","",IF(OR($A90&lt;'Recurring Schedule'!$F$12,$A90&gt;'Recurring Schedule'!$P$12),"",IF(IF('Recurring Schedule'!$N$12&gt;0,MOD($A90-'Recurring Schedule'!$F$12,'Recurring Schedule'!$N$12)=0,IF('Recurring Schedule'!$O$12&gt;0,AND(DAY($A90)=MIN(DAY('Recurring Schedule'!$F$12),DAY(EOMONTH($A90,0))),MOD((YEAR($A90)-YEAR('Recurring Schedule'!$F$12))*12+MONTH($A90)-MONTH('Recurring Schedule'!$F$12),'Recurring Schedule'!$O$12)=0),IF('Recurring Schedule'!$E$12="Weekdays",WEEKDAY($A90,2)&lt;=5,$A90='Recurring Schedule'!$F$12))),7,""))))</f>
        <v/>
      </c>
      <c r="I90">
        <f>IF('Recurring Schedule'!$C$13="","",IF('Recurring Schedule'!$F$13="","",IF(OR($A90&lt;'Recurring Schedule'!$F$13,$A90&gt;'Recurring Schedule'!$P$13),"",IF(IF('Recurring Schedule'!$N$13&gt;0,MOD($A90-'Recurring Schedule'!$F$13,'Recurring Schedule'!$N$13)=0,IF('Recurring Schedule'!$O$13&gt;0,AND(DAY($A90)=MIN(DAY('Recurring Schedule'!$F$13),DAY(EOMONTH($A90,0))),MOD((YEAR($A90)-YEAR('Recurring Schedule'!$F$13))*12+MONTH($A90)-MONTH('Recurring Schedule'!$F$13),'Recurring Schedule'!$O$13)=0),IF('Recurring Schedule'!$E$13="Weekdays",WEEKDAY($A90,2)&lt;=5,$A90='Recurring Schedule'!$F$13))),8,""))))</f>
        <v/>
      </c>
      <c r="J90">
        <f>IF('Recurring Schedule'!$C$14="","",IF('Recurring Schedule'!$F$14="","",IF(OR($A90&lt;'Recurring Schedule'!$F$14,$A90&gt;'Recurring Schedule'!$P$14),"",IF(IF('Recurring Schedule'!$N$14&gt;0,MOD($A90-'Recurring Schedule'!$F$14,'Recurring Schedule'!$N$14)=0,IF('Recurring Schedule'!$O$14&gt;0,AND(DAY($A90)=MIN(DAY('Recurring Schedule'!$F$14),DAY(EOMONTH($A90,0))),MOD((YEAR($A90)-YEAR('Recurring Schedule'!$F$14))*12+MONTH($A90)-MONTH('Recurring Schedule'!$F$14),'Recurring Schedule'!$O$14)=0),IF('Recurring Schedule'!$E$14="Weekdays",WEEKDAY($A90,2)&lt;=5,$A90='Recurring Schedule'!$F$14))),9,""))))</f>
        <v/>
      </c>
      <c r="K90">
        <f>IF('Recurring Schedule'!$C$15="","",IF('Recurring Schedule'!$F$15="","",IF(OR($A90&lt;'Recurring Schedule'!$F$15,$A90&gt;'Recurring Schedule'!$P$15),"",IF(IF('Recurring Schedule'!$N$15&gt;0,MOD($A90-'Recurring Schedule'!$F$15,'Recurring Schedule'!$N$15)=0,IF('Recurring Schedule'!$O$15&gt;0,AND(DAY($A90)=MIN(DAY('Recurring Schedule'!$F$15),DAY(EOMONTH($A90,0))),MOD((YEAR($A90)-YEAR('Recurring Schedule'!$F$15))*12+MONTH($A90)-MONTH('Recurring Schedule'!$F$15),'Recurring Schedule'!$O$15)=0),IF('Recurring Schedule'!$E$15="Weekdays",WEEKDAY($A90,2)&lt;=5,$A90='Recurring Schedule'!$F$15))),10,""))))</f>
        <v/>
      </c>
      <c r="L90">
        <f>IF('Recurring Schedule'!$C$16="","",IF('Recurring Schedule'!$F$16="","",IF(OR($A90&lt;'Recurring Schedule'!$F$16,$A90&gt;'Recurring Schedule'!$P$16),"",IF(IF('Recurring Schedule'!$N$16&gt;0,MOD($A90-'Recurring Schedule'!$F$16,'Recurring Schedule'!$N$16)=0,IF('Recurring Schedule'!$O$16&gt;0,AND(DAY($A90)=MIN(DAY('Recurring Schedule'!$F$16),DAY(EOMONTH($A90,0))),MOD((YEAR($A90)-YEAR('Recurring Schedule'!$F$16))*12+MONTH($A90)-MONTH('Recurring Schedule'!$F$16),'Recurring Schedule'!$O$16)=0),IF('Recurring Schedule'!$E$16="Weekdays",WEEKDAY($A90,2)&lt;=5,$A90='Recurring Schedule'!$F$16))),11,""))))</f>
        <v/>
      </c>
      <c r="M90">
        <f>IF('Recurring Schedule'!$C$17="","",IF('Recurring Schedule'!$F$17="","",IF(OR($A90&lt;'Recurring Schedule'!$F$17,$A90&gt;'Recurring Schedule'!$P$17),"",IF(IF('Recurring Schedule'!$N$17&gt;0,MOD($A90-'Recurring Schedule'!$F$17,'Recurring Schedule'!$N$17)=0,IF('Recurring Schedule'!$O$17&gt;0,AND(DAY($A90)=MIN(DAY('Recurring Schedule'!$F$17),DAY(EOMONTH($A90,0))),MOD((YEAR($A90)-YEAR('Recurring Schedule'!$F$17))*12+MONTH($A90)-MONTH('Recurring Schedule'!$F$17),'Recurring Schedule'!$O$17)=0),IF('Recurring Schedule'!$E$17="Weekdays",WEEKDAY($A90,2)&lt;=5,$A90='Recurring Schedule'!$F$17))),12,""))))</f>
        <v/>
      </c>
      <c r="N90">
        <f>IF('Recurring Schedule'!$C$18="","",IF('Recurring Schedule'!$F$18="","",IF(OR($A90&lt;'Recurring Schedule'!$F$18,$A90&gt;'Recurring Schedule'!$P$18),"",IF(IF('Recurring Schedule'!$N$18&gt;0,MOD($A90-'Recurring Schedule'!$F$18,'Recurring Schedule'!$N$18)=0,IF('Recurring Schedule'!$O$18&gt;0,AND(DAY($A90)=MIN(DAY('Recurring Schedule'!$F$18),DAY(EOMONTH($A90,0))),MOD((YEAR($A90)-YEAR('Recurring Schedule'!$F$18))*12+MONTH($A90)-MONTH('Recurring Schedule'!$F$18),'Recurring Schedule'!$O$18)=0),IF('Recurring Schedule'!$E$18="Weekdays",WEEKDAY($A90,2)&lt;=5,$A90='Recurring Schedule'!$F$18))),13,""))))</f>
        <v/>
      </c>
      <c r="O90">
        <f>IF('Recurring Schedule'!$C$19="","",IF('Recurring Schedule'!$F$19="","",IF(OR($A90&lt;'Recurring Schedule'!$F$19,$A90&gt;'Recurring Schedule'!$P$19),"",IF(IF('Recurring Schedule'!$N$19&gt;0,MOD($A90-'Recurring Schedule'!$F$19,'Recurring Schedule'!$N$19)=0,IF('Recurring Schedule'!$O$19&gt;0,AND(DAY($A90)=MIN(DAY('Recurring Schedule'!$F$19),DAY(EOMONTH($A90,0))),MOD((YEAR($A90)-YEAR('Recurring Schedule'!$F$19))*12+MONTH($A90)-MONTH('Recurring Schedule'!$F$19),'Recurring Schedule'!$O$19)=0),IF('Recurring Schedule'!$E$19="Weekdays",WEEKDAY($A90,2)&lt;=5,$A90='Recurring Schedule'!$F$19))),14,""))))</f>
        <v/>
      </c>
      <c r="P90">
        <f>IF('Recurring Schedule'!$C$20="","",IF('Recurring Schedule'!$F$20="","",IF(OR($A90&lt;'Recurring Schedule'!$F$20,$A90&gt;'Recurring Schedule'!$P$20),"",IF(IF('Recurring Schedule'!$N$20&gt;0,MOD($A90-'Recurring Schedule'!$F$20,'Recurring Schedule'!$N$20)=0,IF('Recurring Schedule'!$O$20&gt;0,AND(DAY($A90)=MIN(DAY('Recurring Schedule'!$F$20),DAY(EOMONTH($A90,0))),MOD((YEAR($A90)-YEAR('Recurring Schedule'!$F$20))*12+MONTH($A90)-MONTH('Recurring Schedule'!$F$20),'Recurring Schedule'!$O$20)=0),IF('Recurring Schedule'!$E$20="Weekdays",WEEKDAY($A90,2)&lt;=5,$A90='Recurring Schedule'!$F$20))),15,""))))</f>
        <v/>
      </c>
      <c r="Q90">
        <f>IF('Recurring Schedule'!$C$21="","",IF('Recurring Schedule'!$F$21="","",IF(OR($A90&lt;'Recurring Schedule'!$F$21,$A90&gt;'Recurring Schedule'!$P$21),"",IF(IF('Recurring Schedule'!$N$21&gt;0,MOD($A90-'Recurring Schedule'!$F$21,'Recurring Schedule'!$N$21)=0,IF('Recurring Schedule'!$O$21&gt;0,AND(DAY($A90)=MIN(DAY('Recurring Schedule'!$F$21),DAY(EOMONTH($A90,0))),MOD((YEAR($A90)-YEAR('Recurring Schedule'!$F$21))*12+MONTH($A90)-MONTH('Recurring Schedule'!$F$21),'Recurring Schedule'!$O$21)=0),IF('Recurring Schedule'!$E$21="Weekdays",WEEKDAY($A90,2)&lt;=5,$A90='Recurring Schedule'!$F$21))),16,""))))</f>
        <v/>
      </c>
      <c r="R90">
        <f>IF('Recurring Schedule'!$C$22="","",IF('Recurring Schedule'!$F$22="","",IF(OR($A90&lt;'Recurring Schedule'!$F$22,$A90&gt;'Recurring Schedule'!$P$22),"",IF(IF('Recurring Schedule'!$N$22&gt;0,MOD($A90-'Recurring Schedule'!$F$22,'Recurring Schedule'!$N$22)=0,IF('Recurring Schedule'!$O$22&gt;0,AND(DAY($A90)=MIN(DAY('Recurring Schedule'!$F$22),DAY(EOMONTH($A90,0))),MOD((YEAR($A90)-YEAR('Recurring Schedule'!$F$22))*12+MONTH($A90)-MONTH('Recurring Schedule'!$F$22),'Recurring Schedule'!$O$22)=0),IF('Recurring Schedule'!$E$22="Weekdays",WEEKDAY($A90,2)&lt;=5,$A90='Recurring Schedule'!$F$22))),17,""))))</f>
        <v/>
      </c>
      <c r="S90">
        <f>IF('Recurring Schedule'!$C$23="","",IF('Recurring Schedule'!$F$23="","",IF(OR($A90&lt;'Recurring Schedule'!$F$23,$A90&gt;'Recurring Schedule'!$P$23),"",IF(IF('Recurring Schedule'!$N$23&gt;0,MOD($A90-'Recurring Schedule'!$F$23,'Recurring Schedule'!$N$23)=0,IF('Recurring Schedule'!$O$23&gt;0,AND(DAY($A90)=MIN(DAY('Recurring Schedule'!$F$23),DAY(EOMONTH($A90,0))),MOD((YEAR($A90)-YEAR('Recurring Schedule'!$F$23))*12+MONTH($A90)-MONTH('Recurring Schedule'!$F$23),'Recurring Schedule'!$O$23)=0),IF('Recurring Schedule'!$E$23="Weekdays",WEEKDAY($A90,2)&lt;=5,$A90='Recurring Schedule'!$F$23))),18,""))))</f>
        <v/>
      </c>
      <c r="T90">
        <f>IF('Recurring Schedule'!$C$24="","",IF('Recurring Schedule'!$F$24="","",IF(OR($A90&lt;'Recurring Schedule'!$F$24,$A90&gt;'Recurring Schedule'!$P$24),"",IF(IF('Recurring Schedule'!$N$24&gt;0,MOD($A90-'Recurring Schedule'!$F$24,'Recurring Schedule'!$N$24)=0,IF('Recurring Schedule'!$O$24&gt;0,AND(DAY($A90)=MIN(DAY('Recurring Schedule'!$F$24),DAY(EOMONTH($A90,0))),MOD((YEAR($A90)-YEAR('Recurring Schedule'!$F$24))*12+MONTH($A90)-MONTH('Recurring Schedule'!$F$24),'Recurring Schedule'!$O$24)=0),IF('Recurring Schedule'!$E$24="Weekdays",WEEKDAY($A90,2)&lt;=5,$A90='Recurring Schedule'!$F$24))),19,""))))</f>
        <v/>
      </c>
      <c r="U90">
        <f>IF('Recurring Schedule'!$C$25="","",IF('Recurring Schedule'!$F$25="","",IF(OR($A90&lt;'Recurring Schedule'!$F$25,$A90&gt;'Recurring Schedule'!$P$25),"",IF(IF('Recurring Schedule'!$N$25&gt;0,MOD($A90-'Recurring Schedule'!$F$25,'Recurring Schedule'!$N$25)=0,IF('Recurring Schedule'!$O$25&gt;0,AND(DAY($A90)=MIN(DAY('Recurring Schedule'!$F$25),DAY(EOMONTH($A90,0))),MOD((YEAR($A90)-YEAR('Recurring Schedule'!$F$25))*12+MONTH($A90)-MONTH('Recurring Schedule'!$F$25),'Recurring Schedule'!$O$25)=0),IF('Recurring Schedule'!$E$25="Weekdays",WEEKDAY($A90,2)&lt;=5,$A90='Recurring Schedule'!$F$25))),20,""))))</f>
        <v/>
      </c>
      <c r="V90">
        <f>IF('Recurring Schedule'!$C$26="","",IF('Recurring Schedule'!$F$26="","",IF(OR($A90&lt;'Recurring Schedule'!$F$26,$A90&gt;'Recurring Schedule'!$P$26),"",IF(IF('Recurring Schedule'!$N$26&gt;0,MOD($A90-'Recurring Schedule'!$F$26,'Recurring Schedule'!$N$26)=0,IF('Recurring Schedule'!$O$26&gt;0,AND(DAY($A90)=MIN(DAY('Recurring Schedule'!$F$26),DAY(EOMONTH($A90,0))),MOD((YEAR($A90)-YEAR('Recurring Schedule'!$F$26))*12+MONTH($A90)-MONTH('Recurring Schedule'!$F$26),'Recurring Schedule'!$O$26)=0),IF('Recurring Schedule'!$E$26="Weekdays",WEEKDAY($A90,2)&lt;=5,$A90='Recurring Schedule'!$F$26))),21,""))))</f>
        <v/>
      </c>
      <c r="W90">
        <f>IF('Recurring Schedule'!$C$27="","",IF('Recurring Schedule'!$F$27="","",IF(OR($A90&lt;'Recurring Schedule'!$F$27,$A90&gt;'Recurring Schedule'!$P$27),"",IF(IF('Recurring Schedule'!$N$27&gt;0,MOD($A90-'Recurring Schedule'!$F$27,'Recurring Schedule'!$N$27)=0,IF('Recurring Schedule'!$O$27&gt;0,AND(DAY($A90)=MIN(DAY('Recurring Schedule'!$F$27),DAY(EOMONTH($A90,0))),MOD((YEAR($A90)-YEAR('Recurring Schedule'!$F$27))*12+MONTH($A90)-MONTH('Recurring Schedule'!$F$27),'Recurring Schedule'!$O$27)=0),IF('Recurring Schedule'!$E$27="Weekdays",WEEKDAY($A90,2)&lt;=5,$A90='Recurring Schedule'!$F$27))),22,""))))</f>
        <v/>
      </c>
      <c r="X90">
        <f>IF('Recurring Schedule'!$C$28="","",IF('Recurring Schedule'!$F$28="","",IF(OR($A90&lt;'Recurring Schedule'!$F$28,$A90&gt;'Recurring Schedule'!$P$28),"",IF(IF('Recurring Schedule'!$N$28&gt;0,MOD($A90-'Recurring Schedule'!$F$28,'Recurring Schedule'!$N$28)=0,IF('Recurring Schedule'!$O$28&gt;0,AND(DAY($A90)=MIN(DAY('Recurring Schedule'!$F$28),DAY(EOMONTH($A90,0))),MOD((YEAR($A90)-YEAR('Recurring Schedule'!$F$28))*12+MONTH($A90)-MONTH('Recurring Schedule'!$F$28),'Recurring Schedule'!$O$28)=0),IF('Recurring Schedule'!$E$28="Weekdays",WEEKDAY($A90,2)&lt;=5,$A90='Recurring Schedule'!$F$28))),23,""))))</f>
        <v/>
      </c>
      <c r="Y90">
        <f>IF('Recurring Schedule'!$C$29="","",IF('Recurring Schedule'!$F$29="","",IF(OR($A90&lt;'Recurring Schedule'!$F$29,$A90&gt;'Recurring Schedule'!$P$29),"",IF(IF('Recurring Schedule'!$N$29&gt;0,MOD($A90-'Recurring Schedule'!$F$29,'Recurring Schedule'!$N$29)=0,IF('Recurring Schedule'!$O$29&gt;0,AND(DAY($A90)=MIN(DAY('Recurring Schedule'!$F$29),DAY(EOMONTH($A90,0))),MOD((YEAR($A90)-YEAR('Recurring Schedule'!$F$29))*12+MONTH($A90)-MONTH('Recurring Schedule'!$F$29),'Recurring Schedule'!$O$29)=0),IF('Recurring Schedule'!$E$29="Weekdays",WEEKDAY($A90,2)&lt;=5,$A90='Recurring Schedule'!$F$29))),24,""))))</f>
        <v/>
      </c>
      <c r="Z90">
        <f>IF('Recurring Schedule'!$C$30="","",IF('Recurring Schedule'!$F$30="","",IF(OR($A90&lt;'Recurring Schedule'!$F$30,$A90&gt;'Recurring Schedule'!$P$30),"",IF(IF('Recurring Schedule'!$N$30&gt;0,MOD($A90-'Recurring Schedule'!$F$30,'Recurring Schedule'!$N$30)=0,IF('Recurring Schedule'!$O$30&gt;0,AND(DAY($A90)=MIN(DAY('Recurring Schedule'!$F$30),DAY(EOMONTH($A90,0))),MOD((YEAR($A90)-YEAR('Recurring Schedule'!$F$30))*12+MONTH($A90)-MONTH('Recurring Schedule'!$F$30),'Recurring Schedule'!$O$30)=0),IF('Recurring Schedule'!$E$30="Weekdays",WEEKDAY($A90,2)&lt;=5,$A90='Recurring Schedule'!$F$30))),25,""))))</f>
        <v/>
      </c>
      <c r="AA90">
        <f>IF('Recurring Schedule'!$C$31="","",IF('Recurring Schedule'!$F$31="","",IF(OR($A90&lt;'Recurring Schedule'!$F$31,$A90&gt;'Recurring Schedule'!$P$31),"",IF(IF('Recurring Schedule'!$N$31&gt;0,MOD($A90-'Recurring Schedule'!$F$31,'Recurring Schedule'!$N$31)=0,IF('Recurring Schedule'!$O$31&gt;0,AND(DAY($A90)=MIN(DAY('Recurring Schedule'!$F$31),DAY(EOMONTH($A90,0))),MOD((YEAR($A90)-YEAR('Recurring Schedule'!$F$31))*12+MONTH($A90)-MONTH('Recurring Schedule'!$F$31),'Recurring Schedule'!$O$31)=0),IF('Recurring Schedule'!$E$31="Weekdays",WEEKDAY($A90,2)&lt;=5,$A90='Recurring Schedule'!$F$31))),26,""))))</f>
        <v/>
      </c>
      <c r="AB90">
        <f>IF('Recurring Schedule'!$C$32="","",IF('Recurring Schedule'!$F$32="","",IF(OR($A90&lt;'Recurring Schedule'!$F$32,$A90&gt;'Recurring Schedule'!$P$32),"",IF(IF('Recurring Schedule'!$N$32&gt;0,MOD($A90-'Recurring Schedule'!$F$32,'Recurring Schedule'!$N$32)=0,IF('Recurring Schedule'!$O$32&gt;0,AND(DAY($A90)=MIN(DAY('Recurring Schedule'!$F$32),DAY(EOMONTH($A90,0))),MOD((YEAR($A90)-YEAR('Recurring Schedule'!$F$32))*12+MONTH($A90)-MONTH('Recurring Schedule'!$F$32),'Recurring Schedule'!$O$32)=0),IF('Recurring Schedule'!$E$32="Weekdays",WEEKDAY($A90,2)&lt;=5,$A90='Recurring Schedule'!$F$32))),27,""))))</f>
        <v/>
      </c>
      <c r="AC90">
        <f>IF('Recurring Schedule'!$C$33="","",IF('Recurring Schedule'!$F$33="","",IF(OR($A90&lt;'Recurring Schedule'!$F$33,$A90&gt;'Recurring Schedule'!$P$33),"",IF(IF('Recurring Schedule'!$N$33&gt;0,MOD($A90-'Recurring Schedule'!$F$33,'Recurring Schedule'!$N$33)=0,IF('Recurring Schedule'!$O$33&gt;0,AND(DAY($A90)=MIN(DAY('Recurring Schedule'!$F$33),DAY(EOMONTH($A90,0))),MOD((YEAR($A90)-YEAR('Recurring Schedule'!$F$33))*12+MONTH($A90)-MONTH('Recurring Schedule'!$F$33),'Recurring Schedule'!$O$33)=0),IF('Recurring Schedule'!$E$33="Weekdays",WEEKDAY($A90,2)&lt;=5,$A90='Recurring Schedule'!$F$33))),28,""))))</f>
        <v/>
      </c>
      <c r="AD90">
        <f>IF('Recurring Schedule'!$C$34="","",IF('Recurring Schedule'!$F$34="","",IF(OR($A90&lt;'Recurring Schedule'!$F$34,$A90&gt;'Recurring Schedule'!$P$34),"",IF(IF('Recurring Schedule'!$N$34&gt;0,MOD($A90-'Recurring Schedule'!$F$34,'Recurring Schedule'!$N$34)=0,IF('Recurring Schedule'!$O$34&gt;0,AND(DAY($A90)=MIN(DAY('Recurring Schedule'!$F$34),DAY(EOMONTH($A90,0))),MOD((YEAR($A90)-YEAR('Recurring Schedule'!$F$34))*12+MONTH($A90)-MONTH('Recurring Schedule'!$F$34),'Recurring Schedule'!$O$34)=0),IF('Recurring Schedule'!$E$34="Weekdays",WEEKDAY($A90,2)&lt;=5,$A90='Recurring Schedule'!$F$34))),29,""))))</f>
        <v/>
      </c>
      <c r="AE90">
        <f>IF('Recurring Schedule'!$C$35="","",IF('Recurring Schedule'!$F$35="","",IF(OR($A90&lt;'Recurring Schedule'!$F$35,$A90&gt;'Recurring Schedule'!$P$35),"",IF(IF('Recurring Schedule'!$N$35&gt;0,MOD($A90-'Recurring Schedule'!$F$35,'Recurring Schedule'!$N$35)=0,IF('Recurring Schedule'!$O$35&gt;0,AND(DAY($A90)=MIN(DAY('Recurring Schedule'!$F$35),DAY(EOMONTH($A90,0))),MOD((YEAR($A90)-YEAR('Recurring Schedule'!$F$35))*12+MONTH($A90)-MONTH('Recurring Schedule'!$F$35),'Recurring Schedule'!$O$35)=0),IF('Recurring Schedule'!$E$35="Weekdays",WEEKDAY($A90,2)&lt;=5,$A90='Recurring Schedule'!$F$35))),30,""))))</f>
        <v/>
      </c>
      <c r="AF90">
        <f>IF('Recurring Schedule'!$C$36="","",IF('Recurring Schedule'!$F$36="","",IF(OR($A90&lt;'Recurring Schedule'!$F$36,$A90&gt;'Recurring Schedule'!$P$36),"",IF(IF('Recurring Schedule'!$N$36&gt;0,MOD($A90-'Recurring Schedule'!$F$36,'Recurring Schedule'!$N$36)=0,IF('Recurring Schedule'!$O$36&gt;0,AND(DAY($A90)=MIN(DAY('Recurring Schedule'!$F$36),DAY(EOMONTH($A90,0))),MOD((YEAR($A90)-YEAR('Recurring Schedule'!$F$36))*12+MONTH($A90)-MONTH('Recurring Schedule'!$F$36),'Recurring Schedule'!$O$36)=0),IF('Recurring Schedule'!$E$36="Weekdays",WEEKDAY($A90,2)&lt;=5,$A90='Recurring Schedule'!$F$36))),31,""))))</f>
        <v/>
      </c>
      <c r="AG90">
        <f>IF('Recurring Schedule'!$C$37="","",IF('Recurring Schedule'!$F$37="","",IF(OR($A90&lt;'Recurring Schedule'!$F$37,$A90&gt;'Recurring Schedule'!$P$37),"",IF(IF('Recurring Schedule'!$N$37&gt;0,MOD($A90-'Recurring Schedule'!$F$37,'Recurring Schedule'!$N$37)=0,IF('Recurring Schedule'!$O$37&gt;0,AND(DAY($A90)=MIN(DAY('Recurring Schedule'!$F$37),DAY(EOMONTH($A90,0))),MOD((YEAR($A90)-YEAR('Recurring Schedule'!$F$37))*12+MONTH($A90)-MONTH('Recurring Schedule'!$F$37),'Recurring Schedule'!$O$37)=0),IF('Recurring Schedule'!$E$37="Weekdays",WEEKDAY($A90,2)&lt;=5,$A90='Recurring Schedule'!$F$37))),32,""))))</f>
        <v/>
      </c>
      <c r="AH90">
        <f>IF('Recurring Schedule'!$C$38="","",IF('Recurring Schedule'!$F$38="","",IF(OR($A90&lt;'Recurring Schedule'!$F$38,$A90&gt;'Recurring Schedule'!$P$38),"",IF(IF('Recurring Schedule'!$N$38&gt;0,MOD($A90-'Recurring Schedule'!$F$38,'Recurring Schedule'!$N$38)=0,IF('Recurring Schedule'!$O$38&gt;0,AND(DAY($A90)=MIN(DAY('Recurring Schedule'!$F$38),DAY(EOMONTH($A90,0))),MOD((YEAR($A90)-YEAR('Recurring Schedule'!$F$38))*12+MONTH($A90)-MONTH('Recurring Schedule'!$F$38),'Recurring Schedule'!$O$38)=0),IF('Recurring Schedule'!$E$38="Weekdays",WEEKDAY($A90,2)&lt;=5,$A90='Recurring Schedule'!$F$38))),33,""))))</f>
        <v/>
      </c>
      <c r="AI90">
        <f>IF('Recurring Schedule'!$C$39="","",IF('Recurring Schedule'!$F$39="","",IF(OR($A90&lt;'Recurring Schedule'!$F$39,$A90&gt;'Recurring Schedule'!$P$39),"",IF(IF('Recurring Schedule'!$N$39&gt;0,MOD($A90-'Recurring Schedule'!$F$39,'Recurring Schedule'!$N$39)=0,IF('Recurring Schedule'!$O$39&gt;0,AND(DAY($A90)=MIN(DAY('Recurring Schedule'!$F$39),DAY(EOMONTH($A90,0))),MOD((YEAR($A90)-YEAR('Recurring Schedule'!$F$39))*12+MONTH($A90)-MONTH('Recurring Schedule'!$F$39),'Recurring Schedule'!$O$39)=0),IF('Recurring Schedule'!$E$39="Weekdays",WEEKDAY($A90,2)&lt;=5,$A90='Recurring Schedule'!$F$39))),34,""))))</f>
        <v/>
      </c>
      <c r="AJ90">
        <f>IF('Recurring Schedule'!$C$40="","",IF('Recurring Schedule'!$F$40="","",IF(OR($A90&lt;'Recurring Schedule'!$F$40,$A90&gt;'Recurring Schedule'!$P$40),"",IF(IF('Recurring Schedule'!$N$40&gt;0,MOD($A90-'Recurring Schedule'!$F$40,'Recurring Schedule'!$N$40)=0,IF('Recurring Schedule'!$O$40&gt;0,AND(DAY($A90)=MIN(DAY('Recurring Schedule'!$F$40),DAY(EOMONTH($A90,0))),MOD((YEAR($A90)-YEAR('Recurring Schedule'!$F$40))*12+MONTH($A90)-MONTH('Recurring Schedule'!$F$40),'Recurring Schedule'!$O$40)=0),IF('Recurring Schedule'!$E$40="Weekdays",WEEKDAY($A90,2)&lt;=5,$A90='Recurring Schedule'!$F$40))),35,""))))</f>
        <v/>
      </c>
      <c r="AK90">
        <f>IF('Recurring Schedule'!$C$41="","",IF('Recurring Schedule'!$F$41="","",IF(OR($A90&lt;'Recurring Schedule'!$F$41,$A90&gt;'Recurring Schedule'!$P$41),"",IF(IF('Recurring Schedule'!$N$41&gt;0,MOD($A90-'Recurring Schedule'!$F$41,'Recurring Schedule'!$N$41)=0,IF('Recurring Schedule'!$O$41&gt;0,AND(DAY($A90)=MIN(DAY('Recurring Schedule'!$F$41),DAY(EOMONTH($A90,0))),MOD((YEAR($A90)-YEAR('Recurring Schedule'!$F$41))*12+MONTH($A90)-MONTH('Recurring Schedule'!$F$41),'Recurring Schedule'!$O$41)=0),IF('Recurring Schedule'!$E$41="Weekdays",WEEKDAY($A90,2)&lt;=5,$A90='Recurring Schedule'!$F$41))),36,""))))</f>
        <v/>
      </c>
      <c r="AL90">
        <f>IF('Recurring Schedule'!$C$42="","",IF('Recurring Schedule'!$F$42="","",IF(OR($A90&lt;'Recurring Schedule'!$F$42,$A90&gt;'Recurring Schedule'!$P$42),"",IF(IF('Recurring Schedule'!$N$42&gt;0,MOD($A90-'Recurring Schedule'!$F$42,'Recurring Schedule'!$N$42)=0,IF('Recurring Schedule'!$O$42&gt;0,AND(DAY($A90)=MIN(DAY('Recurring Schedule'!$F$42),DAY(EOMONTH($A90,0))),MOD((YEAR($A90)-YEAR('Recurring Schedule'!$F$42))*12+MONTH($A90)-MONTH('Recurring Schedule'!$F$42),'Recurring Schedule'!$O$42)=0),IF('Recurring Schedule'!$E$42="Weekdays",WEEKDAY($A90,2)&lt;=5,$A90='Recurring Schedule'!$F$42))),37,""))))</f>
        <v/>
      </c>
      <c r="AM90">
        <f>IF('Recurring Schedule'!$C$43="","",IF('Recurring Schedule'!$F$43="","",IF(OR($A90&lt;'Recurring Schedule'!$F$43,$A90&gt;'Recurring Schedule'!$P$43),"",IF(IF('Recurring Schedule'!$N$43&gt;0,MOD($A90-'Recurring Schedule'!$F$43,'Recurring Schedule'!$N$43)=0,IF('Recurring Schedule'!$O$43&gt;0,AND(DAY($A90)=MIN(DAY('Recurring Schedule'!$F$43),DAY(EOMONTH($A90,0))),MOD((YEAR($A90)-YEAR('Recurring Schedule'!$F$43))*12+MONTH($A90)-MONTH('Recurring Schedule'!$F$43),'Recurring Schedule'!$O$43)=0),IF('Recurring Schedule'!$E$43="Weekdays",WEEKDAY($A90,2)&lt;=5,$A90='Recurring Schedule'!$F$43))),38,""))))</f>
        <v/>
      </c>
      <c r="AN90">
        <f>IF('Recurring Schedule'!$C$44="","",IF('Recurring Schedule'!$F$44="","",IF(OR($A90&lt;'Recurring Schedule'!$F$44,$A90&gt;'Recurring Schedule'!$P$44),"",IF(IF('Recurring Schedule'!$N$44&gt;0,MOD($A90-'Recurring Schedule'!$F$44,'Recurring Schedule'!$N$44)=0,IF('Recurring Schedule'!$O$44&gt;0,AND(DAY($A90)=MIN(DAY('Recurring Schedule'!$F$44),DAY(EOMONTH($A90,0))),MOD((YEAR($A90)-YEAR('Recurring Schedule'!$F$44))*12+MONTH($A90)-MONTH('Recurring Schedule'!$F$44),'Recurring Schedule'!$O$44)=0),IF('Recurring Schedule'!$E$44="Weekdays",WEEKDAY($A90,2)&lt;=5,$A90='Recurring Schedule'!$F$44))),39,""))))</f>
        <v/>
      </c>
      <c r="AO90">
        <f>IF('Recurring Schedule'!$C$45="","",IF('Recurring Schedule'!$F$45="","",IF(OR($A90&lt;'Recurring Schedule'!$F$45,$A90&gt;'Recurring Schedule'!$P$45),"",IF(IF('Recurring Schedule'!$N$45&gt;0,MOD($A90-'Recurring Schedule'!$F$45,'Recurring Schedule'!$N$45)=0,IF('Recurring Schedule'!$O$45&gt;0,AND(DAY($A90)=MIN(DAY('Recurring Schedule'!$F$45),DAY(EOMONTH($A90,0))),MOD((YEAR($A90)-YEAR('Recurring Schedule'!$F$45))*12+MONTH($A90)-MONTH('Recurring Schedule'!$F$45),'Recurring Schedule'!$O$45)=0),IF('Recurring Schedule'!$E$45="Weekdays",WEEKDAY($A90,2)&lt;=5,$A90='Recurring Schedule'!$F$45))),40,""))))</f>
        <v/>
      </c>
      <c r="AP90">
        <f>COUNT(B90:AO90)</f>
        <v/>
      </c>
      <c r="AQ90">
        <f>AQ89+AP89</f>
        <v/>
      </c>
      <c r="AS90" t="inlineStr">
        <is>
          <t>R</t>
        </is>
      </c>
      <c r="AT90" t="n">
        <v>94</v>
      </c>
      <c r="AU90">
        <f>'Recurring Log'!C94&amp;""</f>
        <v/>
      </c>
      <c r="AV90">
        <f>'Recurring Log'!D94&amp;""</f>
        <v/>
      </c>
      <c r="AW90">
        <f>IF('Recurring Log'!E94="","",'Recurring Log'!E94)</f>
        <v/>
      </c>
      <c r="AX90">
        <f>IF('Recurring Log'!G94="","",'Recurring Log'!G94)</f>
        <v/>
      </c>
      <c r="AY90">
        <f>IF('Recurring Log'!H94="","",'Recurring Log'!H94)</f>
        <v/>
      </c>
      <c r="AZ90">
        <f>IF(AU90="","",IF('Recurring Log'!J94="","Not Started",'Recurring Log'!J94))</f>
        <v/>
      </c>
      <c r="BA90">
        <f>'Recurring Log'!L94&amp;""</f>
        <v/>
      </c>
      <c r="BB90">
        <f>'Recurring Log'!M94&amp;""</f>
        <v/>
      </c>
      <c r="BC90">
        <f>'Recurring Log'!N94&amp;""</f>
        <v/>
      </c>
      <c r="BD90">
        <f>'Recurring Log'!O94&amp;""</f>
        <v/>
      </c>
      <c r="BE90">
        <f>IF('Recurring Log'!K94="","",'Recurring Log'!K94)</f>
        <v/>
      </c>
      <c r="BF90">
        <f>IFERROR(MATCH(BA90,Setup!$L$6:$L$9,0),5)</f>
        <v/>
      </c>
      <c r="BG90">
        <f>IF(OR(AZ90="Done",AZ90="Cancelled"),1,0)</f>
        <v/>
      </c>
      <c r="BH90">
        <f>IF(AND(AU90&lt;&gt;"",ISNUMBER(AW90)),1,0)</f>
        <v/>
      </c>
      <c r="BI90">
        <f>IF(BH90=0,0,IF(AND(AW90&gt;='Tasks Filter'!$F$3,AW90&lt;='Tasks Filter'!$F$4,OR('Tasks Filter'!$I$3="",ISNUMBER(SEARCH('Tasks Filter'!$I$3,AU90))),OR('Tasks Filter'!$I$4="",BF90=IFERROR(MATCH('Tasks Filter'!$I$4,Setup!$L$6:$L$9,0),0)),OR('Tasks Filter'!$I$5="Both",AND('Tasks Filter'!$I$5="Yes",BB90="✓"),AND('Tasks Filter'!$I$5="No",BB90&lt;&gt;"✓")),OR('Tasks Filter'!$L$3="",AV90='Tasks Filter'!$L$3),OR('Tasks Filter'!$L$4="",AZ90='Tasks Filter'!$L$4),OR('Tasks Filter'!$L$5="",BC90='Tasks Filter'!$L$5),OR('Tasks Filter'!$O$3="",BD90='Tasks Filter'!$O$3),OR('Tasks Filter'!$O$4="Yes",BG90=0)),1,0))</f>
        <v/>
      </c>
      <c r="BJ90">
        <f>IF(BH90=0,"",IF('Tasks Filter'!$F$6="Descending",-1,1)*CHOOSE(MATCH('Tasks Filter'!$F$5,Lists!$G$2:$G$6,0),AW90,BF90,IFERROR(MATCH(AV90,Setup!$F$6:$F$15,0),99),IFERROR(MATCH(BC90,Setup!$H$6:$H$15,0),99),IFERROR(MATCH(AZ90,Setup!$J$6:$J$11,0),99))*1E+9+(AW90-40000)*10000+89)</f>
        <v/>
      </c>
      <c r="BK90">
        <f>IF(BI90=1,BJ90,"")</f>
        <v/>
      </c>
      <c r="BL90">
        <f>IF(AND(BH90=1,BG90=0,N(AW90)&lt;Setup!$D$7),(AW90-40000)*10000+89,"")</f>
        <v/>
      </c>
      <c r="BM90">
        <f>IF(AND(BH90=1,AZ90&lt;&gt;"Cancelled",N(AW90)&gt;=Dashboard!$AB$3,N(AW90)&lt;=Dashboard!$AB$3+6),(AW90-40000)*100000+BF90*10000+89,"")</f>
        <v/>
      </c>
      <c r="BN90">
        <f>IF(AND(BH90=1,AZ90&lt;&gt;"Cancelled"),BF90*10000+89,"")</f>
        <v/>
      </c>
    </row>
    <row r="91">
      <c r="A91">
        <f>Setup!$D$5+89</f>
        <v/>
      </c>
      <c r="B91">
        <f>IF('Recurring Schedule'!$C$6="","",IF('Recurring Schedule'!$F$6="","",IF(OR($A91&lt;'Recurring Schedule'!$F$6,$A91&gt;'Recurring Schedule'!$P$6),"",IF(IF('Recurring Schedule'!$N$6&gt;0,MOD($A91-'Recurring Schedule'!$F$6,'Recurring Schedule'!$N$6)=0,IF('Recurring Schedule'!$O$6&gt;0,AND(DAY($A91)=MIN(DAY('Recurring Schedule'!$F$6),DAY(EOMONTH($A91,0))),MOD((YEAR($A91)-YEAR('Recurring Schedule'!$F$6))*12+MONTH($A91)-MONTH('Recurring Schedule'!$F$6),'Recurring Schedule'!$O$6)=0),IF('Recurring Schedule'!$E$6="Weekdays",WEEKDAY($A91,2)&lt;=5,$A91='Recurring Schedule'!$F$6))),1,""))))</f>
        <v/>
      </c>
      <c r="C91">
        <f>IF('Recurring Schedule'!$C$7="","",IF('Recurring Schedule'!$F$7="","",IF(OR($A91&lt;'Recurring Schedule'!$F$7,$A91&gt;'Recurring Schedule'!$P$7),"",IF(IF('Recurring Schedule'!$N$7&gt;0,MOD($A91-'Recurring Schedule'!$F$7,'Recurring Schedule'!$N$7)=0,IF('Recurring Schedule'!$O$7&gt;0,AND(DAY($A91)=MIN(DAY('Recurring Schedule'!$F$7),DAY(EOMONTH($A91,0))),MOD((YEAR($A91)-YEAR('Recurring Schedule'!$F$7))*12+MONTH($A91)-MONTH('Recurring Schedule'!$F$7),'Recurring Schedule'!$O$7)=0),IF('Recurring Schedule'!$E$7="Weekdays",WEEKDAY($A91,2)&lt;=5,$A91='Recurring Schedule'!$F$7))),2,""))))</f>
        <v/>
      </c>
      <c r="D91">
        <f>IF('Recurring Schedule'!$C$8="","",IF('Recurring Schedule'!$F$8="","",IF(OR($A91&lt;'Recurring Schedule'!$F$8,$A91&gt;'Recurring Schedule'!$P$8),"",IF(IF('Recurring Schedule'!$N$8&gt;0,MOD($A91-'Recurring Schedule'!$F$8,'Recurring Schedule'!$N$8)=0,IF('Recurring Schedule'!$O$8&gt;0,AND(DAY($A91)=MIN(DAY('Recurring Schedule'!$F$8),DAY(EOMONTH($A91,0))),MOD((YEAR($A91)-YEAR('Recurring Schedule'!$F$8))*12+MONTH($A91)-MONTH('Recurring Schedule'!$F$8),'Recurring Schedule'!$O$8)=0),IF('Recurring Schedule'!$E$8="Weekdays",WEEKDAY($A91,2)&lt;=5,$A91='Recurring Schedule'!$F$8))),3,""))))</f>
        <v/>
      </c>
      <c r="E91">
        <f>IF('Recurring Schedule'!$C$9="","",IF('Recurring Schedule'!$F$9="","",IF(OR($A91&lt;'Recurring Schedule'!$F$9,$A91&gt;'Recurring Schedule'!$P$9),"",IF(IF('Recurring Schedule'!$N$9&gt;0,MOD($A91-'Recurring Schedule'!$F$9,'Recurring Schedule'!$N$9)=0,IF('Recurring Schedule'!$O$9&gt;0,AND(DAY($A91)=MIN(DAY('Recurring Schedule'!$F$9),DAY(EOMONTH($A91,0))),MOD((YEAR($A91)-YEAR('Recurring Schedule'!$F$9))*12+MONTH($A91)-MONTH('Recurring Schedule'!$F$9),'Recurring Schedule'!$O$9)=0),IF('Recurring Schedule'!$E$9="Weekdays",WEEKDAY($A91,2)&lt;=5,$A91='Recurring Schedule'!$F$9))),4,""))))</f>
        <v/>
      </c>
      <c r="F91">
        <f>IF('Recurring Schedule'!$C$10="","",IF('Recurring Schedule'!$F$10="","",IF(OR($A91&lt;'Recurring Schedule'!$F$10,$A91&gt;'Recurring Schedule'!$P$10),"",IF(IF('Recurring Schedule'!$N$10&gt;0,MOD($A91-'Recurring Schedule'!$F$10,'Recurring Schedule'!$N$10)=0,IF('Recurring Schedule'!$O$10&gt;0,AND(DAY($A91)=MIN(DAY('Recurring Schedule'!$F$10),DAY(EOMONTH($A91,0))),MOD((YEAR($A91)-YEAR('Recurring Schedule'!$F$10))*12+MONTH($A91)-MONTH('Recurring Schedule'!$F$10),'Recurring Schedule'!$O$10)=0),IF('Recurring Schedule'!$E$10="Weekdays",WEEKDAY($A91,2)&lt;=5,$A91='Recurring Schedule'!$F$10))),5,""))))</f>
        <v/>
      </c>
      <c r="G91">
        <f>IF('Recurring Schedule'!$C$11="","",IF('Recurring Schedule'!$F$11="","",IF(OR($A91&lt;'Recurring Schedule'!$F$11,$A91&gt;'Recurring Schedule'!$P$11),"",IF(IF('Recurring Schedule'!$N$11&gt;0,MOD($A91-'Recurring Schedule'!$F$11,'Recurring Schedule'!$N$11)=0,IF('Recurring Schedule'!$O$11&gt;0,AND(DAY($A91)=MIN(DAY('Recurring Schedule'!$F$11),DAY(EOMONTH($A91,0))),MOD((YEAR($A91)-YEAR('Recurring Schedule'!$F$11))*12+MONTH($A91)-MONTH('Recurring Schedule'!$F$11),'Recurring Schedule'!$O$11)=0),IF('Recurring Schedule'!$E$11="Weekdays",WEEKDAY($A91,2)&lt;=5,$A91='Recurring Schedule'!$F$11))),6,""))))</f>
        <v/>
      </c>
      <c r="H91">
        <f>IF('Recurring Schedule'!$C$12="","",IF('Recurring Schedule'!$F$12="","",IF(OR($A91&lt;'Recurring Schedule'!$F$12,$A91&gt;'Recurring Schedule'!$P$12),"",IF(IF('Recurring Schedule'!$N$12&gt;0,MOD($A91-'Recurring Schedule'!$F$12,'Recurring Schedule'!$N$12)=0,IF('Recurring Schedule'!$O$12&gt;0,AND(DAY($A91)=MIN(DAY('Recurring Schedule'!$F$12),DAY(EOMONTH($A91,0))),MOD((YEAR($A91)-YEAR('Recurring Schedule'!$F$12))*12+MONTH($A91)-MONTH('Recurring Schedule'!$F$12),'Recurring Schedule'!$O$12)=0),IF('Recurring Schedule'!$E$12="Weekdays",WEEKDAY($A91,2)&lt;=5,$A91='Recurring Schedule'!$F$12))),7,""))))</f>
        <v/>
      </c>
      <c r="I91">
        <f>IF('Recurring Schedule'!$C$13="","",IF('Recurring Schedule'!$F$13="","",IF(OR($A91&lt;'Recurring Schedule'!$F$13,$A91&gt;'Recurring Schedule'!$P$13),"",IF(IF('Recurring Schedule'!$N$13&gt;0,MOD($A91-'Recurring Schedule'!$F$13,'Recurring Schedule'!$N$13)=0,IF('Recurring Schedule'!$O$13&gt;0,AND(DAY($A91)=MIN(DAY('Recurring Schedule'!$F$13),DAY(EOMONTH($A91,0))),MOD((YEAR($A91)-YEAR('Recurring Schedule'!$F$13))*12+MONTH($A91)-MONTH('Recurring Schedule'!$F$13),'Recurring Schedule'!$O$13)=0),IF('Recurring Schedule'!$E$13="Weekdays",WEEKDAY($A91,2)&lt;=5,$A91='Recurring Schedule'!$F$13))),8,""))))</f>
        <v/>
      </c>
      <c r="J91">
        <f>IF('Recurring Schedule'!$C$14="","",IF('Recurring Schedule'!$F$14="","",IF(OR($A91&lt;'Recurring Schedule'!$F$14,$A91&gt;'Recurring Schedule'!$P$14),"",IF(IF('Recurring Schedule'!$N$14&gt;0,MOD($A91-'Recurring Schedule'!$F$14,'Recurring Schedule'!$N$14)=0,IF('Recurring Schedule'!$O$14&gt;0,AND(DAY($A91)=MIN(DAY('Recurring Schedule'!$F$14),DAY(EOMONTH($A91,0))),MOD((YEAR($A91)-YEAR('Recurring Schedule'!$F$14))*12+MONTH($A91)-MONTH('Recurring Schedule'!$F$14),'Recurring Schedule'!$O$14)=0),IF('Recurring Schedule'!$E$14="Weekdays",WEEKDAY($A91,2)&lt;=5,$A91='Recurring Schedule'!$F$14))),9,""))))</f>
        <v/>
      </c>
      <c r="K91">
        <f>IF('Recurring Schedule'!$C$15="","",IF('Recurring Schedule'!$F$15="","",IF(OR($A91&lt;'Recurring Schedule'!$F$15,$A91&gt;'Recurring Schedule'!$P$15),"",IF(IF('Recurring Schedule'!$N$15&gt;0,MOD($A91-'Recurring Schedule'!$F$15,'Recurring Schedule'!$N$15)=0,IF('Recurring Schedule'!$O$15&gt;0,AND(DAY($A91)=MIN(DAY('Recurring Schedule'!$F$15),DAY(EOMONTH($A91,0))),MOD((YEAR($A91)-YEAR('Recurring Schedule'!$F$15))*12+MONTH($A91)-MONTH('Recurring Schedule'!$F$15),'Recurring Schedule'!$O$15)=0),IF('Recurring Schedule'!$E$15="Weekdays",WEEKDAY($A91,2)&lt;=5,$A91='Recurring Schedule'!$F$15))),10,""))))</f>
        <v/>
      </c>
      <c r="L91">
        <f>IF('Recurring Schedule'!$C$16="","",IF('Recurring Schedule'!$F$16="","",IF(OR($A91&lt;'Recurring Schedule'!$F$16,$A91&gt;'Recurring Schedule'!$P$16),"",IF(IF('Recurring Schedule'!$N$16&gt;0,MOD($A91-'Recurring Schedule'!$F$16,'Recurring Schedule'!$N$16)=0,IF('Recurring Schedule'!$O$16&gt;0,AND(DAY($A91)=MIN(DAY('Recurring Schedule'!$F$16),DAY(EOMONTH($A91,0))),MOD((YEAR($A91)-YEAR('Recurring Schedule'!$F$16))*12+MONTH($A91)-MONTH('Recurring Schedule'!$F$16),'Recurring Schedule'!$O$16)=0),IF('Recurring Schedule'!$E$16="Weekdays",WEEKDAY($A91,2)&lt;=5,$A91='Recurring Schedule'!$F$16))),11,""))))</f>
        <v/>
      </c>
      <c r="M91">
        <f>IF('Recurring Schedule'!$C$17="","",IF('Recurring Schedule'!$F$17="","",IF(OR($A91&lt;'Recurring Schedule'!$F$17,$A91&gt;'Recurring Schedule'!$P$17),"",IF(IF('Recurring Schedule'!$N$17&gt;0,MOD($A91-'Recurring Schedule'!$F$17,'Recurring Schedule'!$N$17)=0,IF('Recurring Schedule'!$O$17&gt;0,AND(DAY($A91)=MIN(DAY('Recurring Schedule'!$F$17),DAY(EOMONTH($A91,0))),MOD((YEAR($A91)-YEAR('Recurring Schedule'!$F$17))*12+MONTH($A91)-MONTH('Recurring Schedule'!$F$17),'Recurring Schedule'!$O$17)=0),IF('Recurring Schedule'!$E$17="Weekdays",WEEKDAY($A91,2)&lt;=5,$A91='Recurring Schedule'!$F$17))),12,""))))</f>
        <v/>
      </c>
      <c r="N91">
        <f>IF('Recurring Schedule'!$C$18="","",IF('Recurring Schedule'!$F$18="","",IF(OR($A91&lt;'Recurring Schedule'!$F$18,$A91&gt;'Recurring Schedule'!$P$18),"",IF(IF('Recurring Schedule'!$N$18&gt;0,MOD($A91-'Recurring Schedule'!$F$18,'Recurring Schedule'!$N$18)=0,IF('Recurring Schedule'!$O$18&gt;0,AND(DAY($A91)=MIN(DAY('Recurring Schedule'!$F$18),DAY(EOMONTH($A91,0))),MOD((YEAR($A91)-YEAR('Recurring Schedule'!$F$18))*12+MONTH($A91)-MONTH('Recurring Schedule'!$F$18),'Recurring Schedule'!$O$18)=0),IF('Recurring Schedule'!$E$18="Weekdays",WEEKDAY($A91,2)&lt;=5,$A91='Recurring Schedule'!$F$18))),13,""))))</f>
        <v/>
      </c>
      <c r="O91">
        <f>IF('Recurring Schedule'!$C$19="","",IF('Recurring Schedule'!$F$19="","",IF(OR($A91&lt;'Recurring Schedule'!$F$19,$A91&gt;'Recurring Schedule'!$P$19),"",IF(IF('Recurring Schedule'!$N$19&gt;0,MOD($A91-'Recurring Schedule'!$F$19,'Recurring Schedule'!$N$19)=0,IF('Recurring Schedule'!$O$19&gt;0,AND(DAY($A91)=MIN(DAY('Recurring Schedule'!$F$19),DAY(EOMONTH($A91,0))),MOD((YEAR($A91)-YEAR('Recurring Schedule'!$F$19))*12+MONTH($A91)-MONTH('Recurring Schedule'!$F$19),'Recurring Schedule'!$O$19)=0),IF('Recurring Schedule'!$E$19="Weekdays",WEEKDAY($A91,2)&lt;=5,$A91='Recurring Schedule'!$F$19))),14,""))))</f>
        <v/>
      </c>
      <c r="P91">
        <f>IF('Recurring Schedule'!$C$20="","",IF('Recurring Schedule'!$F$20="","",IF(OR($A91&lt;'Recurring Schedule'!$F$20,$A91&gt;'Recurring Schedule'!$P$20),"",IF(IF('Recurring Schedule'!$N$20&gt;0,MOD($A91-'Recurring Schedule'!$F$20,'Recurring Schedule'!$N$20)=0,IF('Recurring Schedule'!$O$20&gt;0,AND(DAY($A91)=MIN(DAY('Recurring Schedule'!$F$20),DAY(EOMONTH($A91,0))),MOD((YEAR($A91)-YEAR('Recurring Schedule'!$F$20))*12+MONTH($A91)-MONTH('Recurring Schedule'!$F$20),'Recurring Schedule'!$O$20)=0),IF('Recurring Schedule'!$E$20="Weekdays",WEEKDAY($A91,2)&lt;=5,$A91='Recurring Schedule'!$F$20))),15,""))))</f>
        <v/>
      </c>
      <c r="Q91">
        <f>IF('Recurring Schedule'!$C$21="","",IF('Recurring Schedule'!$F$21="","",IF(OR($A91&lt;'Recurring Schedule'!$F$21,$A91&gt;'Recurring Schedule'!$P$21),"",IF(IF('Recurring Schedule'!$N$21&gt;0,MOD($A91-'Recurring Schedule'!$F$21,'Recurring Schedule'!$N$21)=0,IF('Recurring Schedule'!$O$21&gt;0,AND(DAY($A91)=MIN(DAY('Recurring Schedule'!$F$21),DAY(EOMONTH($A91,0))),MOD((YEAR($A91)-YEAR('Recurring Schedule'!$F$21))*12+MONTH($A91)-MONTH('Recurring Schedule'!$F$21),'Recurring Schedule'!$O$21)=0),IF('Recurring Schedule'!$E$21="Weekdays",WEEKDAY($A91,2)&lt;=5,$A91='Recurring Schedule'!$F$21))),16,""))))</f>
        <v/>
      </c>
      <c r="R91">
        <f>IF('Recurring Schedule'!$C$22="","",IF('Recurring Schedule'!$F$22="","",IF(OR($A91&lt;'Recurring Schedule'!$F$22,$A91&gt;'Recurring Schedule'!$P$22),"",IF(IF('Recurring Schedule'!$N$22&gt;0,MOD($A91-'Recurring Schedule'!$F$22,'Recurring Schedule'!$N$22)=0,IF('Recurring Schedule'!$O$22&gt;0,AND(DAY($A91)=MIN(DAY('Recurring Schedule'!$F$22),DAY(EOMONTH($A91,0))),MOD((YEAR($A91)-YEAR('Recurring Schedule'!$F$22))*12+MONTH($A91)-MONTH('Recurring Schedule'!$F$22),'Recurring Schedule'!$O$22)=0),IF('Recurring Schedule'!$E$22="Weekdays",WEEKDAY($A91,2)&lt;=5,$A91='Recurring Schedule'!$F$22))),17,""))))</f>
        <v/>
      </c>
      <c r="S91">
        <f>IF('Recurring Schedule'!$C$23="","",IF('Recurring Schedule'!$F$23="","",IF(OR($A91&lt;'Recurring Schedule'!$F$23,$A91&gt;'Recurring Schedule'!$P$23),"",IF(IF('Recurring Schedule'!$N$23&gt;0,MOD($A91-'Recurring Schedule'!$F$23,'Recurring Schedule'!$N$23)=0,IF('Recurring Schedule'!$O$23&gt;0,AND(DAY($A91)=MIN(DAY('Recurring Schedule'!$F$23),DAY(EOMONTH($A91,0))),MOD((YEAR($A91)-YEAR('Recurring Schedule'!$F$23))*12+MONTH($A91)-MONTH('Recurring Schedule'!$F$23),'Recurring Schedule'!$O$23)=0),IF('Recurring Schedule'!$E$23="Weekdays",WEEKDAY($A91,2)&lt;=5,$A91='Recurring Schedule'!$F$23))),18,""))))</f>
        <v/>
      </c>
      <c r="T91">
        <f>IF('Recurring Schedule'!$C$24="","",IF('Recurring Schedule'!$F$24="","",IF(OR($A91&lt;'Recurring Schedule'!$F$24,$A91&gt;'Recurring Schedule'!$P$24),"",IF(IF('Recurring Schedule'!$N$24&gt;0,MOD($A91-'Recurring Schedule'!$F$24,'Recurring Schedule'!$N$24)=0,IF('Recurring Schedule'!$O$24&gt;0,AND(DAY($A91)=MIN(DAY('Recurring Schedule'!$F$24),DAY(EOMONTH($A91,0))),MOD((YEAR($A91)-YEAR('Recurring Schedule'!$F$24))*12+MONTH($A91)-MONTH('Recurring Schedule'!$F$24),'Recurring Schedule'!$O$24)=0),IF('Recurring Schedule'!$E$24="Weekdays",WEEKDAY($A91,2)&lt;=5,$A91='Recurring Schedule'!$F$24))),19,""))))</f>
        <v/>
      </c>
      <c r="U91">
        <f>IF('Recurring Schedule'!$C$25="","",IF('Recurring Schedule'!$F$25="","",IF(OR($A91&lt;'Recurring Schedule'!$F$25,$A91&gt;'Recurring Schedule'!$P$25),"",IF(IF('Recurring Schedule'!$N$25&gt;0,MOD($A91-'Recurring Schedule'!$F$25,'Recurring Schedule'!$N$25)=0,IF('Recurring Schedule'!$O$25&gt;0,AND(DAY($A91)=MIN(DAY('Recurring Schedule'!$F$25),DAY(EOMONTH($A91,0))),MOD((YEAR($A91)-YEAR('Recurring Schedule'!$F$25))*12+MONTH($A91)-MONTH('Recurring Schedule'!$F$25),'Recurring Schedule'!$O$25)=0),IF('Recurring Schedule'!$E$25="Weekdays",WEEKDAY($A91,2)&lt;=5,$A91='Recurring Schedule'!$F$25))),20,""))))</f>
        <v/>
      </c>
      <c r="V91">
        <f>IF('Recurring Schedule'!$C$26="","",IF('Recurring Schedule'!$F$26="","",IF(OR($A91&lt;'Recurring Schedule'!$F$26,$A91&gt;'Recurring Schedule'!$P$26),"",IF(IF('Recurring Schedule'!$N$26&gt;0,MOD($A91-'Recurring Schedule'!$F$26,'Recurring Schedule'!$N$26)=0,IF('Recurring Schedule'!$O$26&gt;0,AND(DAY($A91)=MIN(DAY('Recurring Schedule'!$F$26),DAY(EOMONTH($A91,0))),MOD((YEAR($A91)-YEAR('Recurring Schedule'!$F$26))*12+MONTH($A91)-MONTH('Recurring Schedule'!$F$26),'Recurring Schedule'!$O$26)=0),IF('Recurring Schedule'!$E$26="Weekdays",WEEKDAY($A91,2)&lt;=5,$A91='Recurring Schedule'!$F$26))),21,""))))</f>
        <v/>
      </c>
      <c r="W91">
        <f>IF('Recurring Schedule'!$C$27="","",IF('Recurring Schedule'!$F$27="","",IF(OR($A91&lt;'Recurring Schedule'!$F$27,$A91&gt;'Recurring Schedule'!$P$27),"",IF(IF('Recurring Schedule'!$N$27&gt;0,MOD($A91-'Recurring Schedule'!$F$27,'Recurring Schedule'!$N$27)=0,IF('Recurring Schedule'!$O$27&gt;0,AND(DAY($A91)=MIN(DAY('Recurring Schedule'!$F$27),DAY(EOMONTH($A91,0))),MOD((YEAR($A91)-YEAR('Recurring Schedule'!$F$27))*12+MONTH($A91)-MONTH('Recurring Schedule'!$F$27),'Recurring Schedule'!$O$27)=0),IF('Recurring Schedule'!$E$27="Weekdays",WEEKDAY($A91,2)&lt;=5,$A91='Recurring Schedule'!$F$27))),22,""))))</f>
        <v/>
      </c>
      <c r="X91">
        <f>IF('Recurring Schedule'!$C$28="","",IF('Recurring Schedule'!$F$28="","",IF(OR($A91&lt;'Recurring Schedule'!$F$28,$A91&gt;'Recurring Schedule'!$P$28),"",IF(IF('Recurring Schedule'!$N$28&gt;0,MOD($A91-'Recurring Schedule'!$F$28,'Recurring Schedule'!$N$28)=0,IF('Recurring Schedule'!$O$28&gt;0,AND(DAY($A91)=MIN(DAY('Recurring Schedule'!$F$28),DAY(EOMONTH($A91,0))),MOD((YEAR($A91)-YEAR('Recurring Schedule'!$F$28))*12+MONTH($A91)-MONTH('Recurring Schedule'!$F$28),'Recurring Schedule'!$O$28)=0),IF('Recurring Schedule'!$E$28="Weekdays",WEEKDAY($A91,2)&lt;=5,$A91='Recurring Schedule'!$F$28))),23,""))))</f>
        <v/>
      </c>
      <c r="Y91">
        <f>IF('Recurring Schedule'!$C$29="","",IF('Recurring Schedule'!$F$29="","",IF(OR($A91&lt;'Recurring Schedule'!$F$29,$A91&gt;'Recurring Schedule'!$P$29),"",IF(IF('Recurring Schedule'!$N$29&gt;0,MOD($A91-'Recurring Schedule'!$F$29,'Recurring Schedule'!$N$29)=0,IF('Recurring Schedule'!$O$29&gt;0,AND(DAY($A91)=MIN(DAY('Recurring Schedule'!$F$29),DAY(EOMONTH($A91,0))),MOD((YEAR($A91)-YEAR('Recurring Schedule'!$F$29))*12+MONTH($A91)-MONTH('Recurring Schedule'!$F$29),'Recurring Schedule'!$O$29)=0),IF('Recurring Schedule'!$E$29="Weekdays",WEEKDAY($A91,2)&lt;=5,$A91='Recurring Schedule'!$F$29))),24,""))))</f>
        <v/>
      </c>
      <c r="Z91">
        <f>IF('Recurring Schedule'!$C$30="","",IF('Recurring Schedule'!$F$30="","",IF(OR($A91&lt;'Recurring Schedule'!$F$30,$A91&gt;'Recurring Schedule'!$P$30),"",IF(IF('Recurring Schedule'!$N$30&gt;0,MOD($A91-'Recurring Schedule'!$F$30,'Recurring Schedule'!$N$30)=0,IF('Recurring Schedule'!$O$30&gt;0,AND(DAY($A91)=MIN(DAY('Recurring Schedule'!$F$30),DAY(EOMONTH($A91,0))),MOD((YEAR($A91)-YEAR('Recurring Schedule'!$F$30))*12+MONTH($A91)-MONTH('Recurring Schedule'!$F$30),'Recurring Schedule'!$O$30)=0),IF('Recurring Schedule'!$E$30="Weekdays",WEEKDAY($A91,2)&lt;=5,$A91='Recurring Schedule'!$F$30))),25,""))))</f>
        <v/>
      </c>
      <c r="AA91">
        <f>IF('Recurring Schedule'!$C$31="","",IF('Recurring Schedule'!$F$31="","",IF(OR($A91&lt;'Recurring Schedule'!$F$31,$A91&gt;'Recurring Schedule'!$P$31),"",IF(IF('Recurring Schedule'!$N$31&gt;0,MOD($A91-'Recurring Schedule'!$F$31,'Recurring Schedule'!$N$31)=0,IF('Recurring Schedule'!$O$31&gt;0,AND(DAY($A91)=MIN(DAY('Recurring Schedule'!$F$31),DAY(EOMONTH($A91,0))),MOD((YEAR($A91)-YEAR('Recurring Schedule'!$F$31))*12+MONTH($A91)-MONTH('Recurring Schedule'!$F$31),'Recurring Schedule'!$O$31)=0),IF('Recurring Schedule'!$E$31="Weekdays",WEEKDAY($A91,2)&lt;=5,$A91='Recurring Schedule'!$F$31))),26,""))))</f>
        <v/>
      </c>
      <c r="AB91">
        <f>IF('Recurring Schedule'!$C$32="","",IF('Recurring Schedule'!$F$32="","",IF(OR($A91&lt;'Recurring Schedule'!$F$32,$A91&gt;'Recurring Schedule'!$P$32),"",IF(IF('Recurring Schedule'!$N$32&gt;0,MOD($A91-'Recurring Schedule'!$F$32,'Recurring Schedule'!$N$32)=0,IF('Recurring Schedule'!$O$32&gt;0,AND(DAY($A91)=MIN(DAY('Recurring Schedule'!$F$32),DAY(EOMONTH($A91,0))),MOD((YEAR($A91)-YEAR('Recurring Schedule'!$F$32))*12+MONTH($A91)-MONTH('Recurring Schedule'!$F$32),'Recurring Schedule'!$O$32)=0),IF('Recurring Schedule'!$E$32="Weekdays",WEEKDAY($A91,2)&lt;=5,$A91='Recurring Schedule'!$F$32))),27,""))))</f>
        <v/>
      </c>
      <c r="AC91">
        <f>IF('Recurring Schedule'!$C$33="","",IF('Recurring Schedule'!$F$33="","",IF(OR($A91&lt;'Recurring Schedule'!$F$33,$A91&gt;'Recurring Schedule'!$P$33),"",IF(IF('Recurring Schedule'!$N$33&gt;0,MOD($A91-'Recurring Schedule'!$F$33,'Recurring Schedule'!$N$33)=0,IF('Recurring Schedule'!$O$33&gt;0,AND(DAY($A91)=MIN(DAY('Recurring Schedule'!$F$33),DAY(EOMONTH($A91,0))),MOD((YEAR($A91)-YEAR('Recurring Schedule'!$F$33))*12+MONTH($A91)-MONTH('Recurring Schedule'!$F$33),'Recurring Schedule'!$O$33)=0),IF('Recurring Schedule'!$E$33="Weekdays",WEEKDAY($A91,2)&lt;=5,$A91='Recurring Schedule'!$F$33))),28,""))))</f>
        <v/>
      </c>
      <c r="AD91">
        <f>IF('Recurring Schedule'!$C$34="","",IF('Recurring Schedule'!$F$34="","",IF(OR($A91&lt;'Recurring Schedule'!$F$34,$A91&gt;'Recurring Schedule'!$P$34),"",IF(IF('Recurring Schedule'!$N$34&gt;0,MOD($A91-'Recurring Schedule'!$F$34,'Recurring Schedule'!$N$34)=0,IF('Recurring Schedule'!$O$34&gt;0,AND(DAY($A91)=MIN(DAY('Recurring Schedule'!$F$34),DAY(EOMONTH($A91,0))),MOD((YEAR($A91)-YEAR('Recurring Schedule'!$F$34))*12+MONTH($A91)-MONTH('Recurring Schedule'!$F$34),'Recurring Schedule'!$O$34)=0),IF('Recurring Schedule'!$E$34="Weekdays",WEEKDAY($A91,2)&lt;=5,$A91='Recurring Schedule'!$F$34))),29,""))))</f>
        <v/>
      </c>
      <c r="AE91">
        <f>IF('Recurring Schedule'!$C$35="","",IF('Recurring Schedule'!$F$35="","",IF(OR($A91&lt;'Recurring Schedule'!$F$35,$A91&gt;'Recurring Schedule'!$P$35),"",IF(IF('Recurring Schedule'!$N$35&gt;0,MOD($A91-'Recurring Schedule'!$F$35,'Recurring Schedule'!$N$35)=0,IF('Recurring Schedule'!$O$35&gt;0,AND(DAY($A91)=MIN(DAY('Recurring Schedule'!$F$35),DAY(EOMONTH($A91,0))),MOD((YEAR($A91)-YEAR('Recurring Schedule'!$F$35))*12+MONTH($A91)-MONTH('Recurring Schedule'!$F$35),'Recurring Schedule'!$O$35)=0),IF('Recurring Schedule'!$E$35="Weekdays",WEEKDAY($A91,2)&lt;=5,$A91='Recurring Schedule'!$F$35))),30,""))))</f>
        <v/>
      </c>
      <c r="AF91">
        <f>IF('Recurring Schedule'!$C$36="","",IF('Recurring Schedule'!$F$36="","",IF(OR($A91&lt;'Recurring Schedule'!$F$36,$A91&gt;'Recurring Schedule'!$P$36),"",IF(IF('Recurring Schedule'!$N$36&gt;0,MOD($A91-'Recurring Schedule'!$F$36,'Recurring Schedule'!$N$36)=0,IF('Recurring Schedule'!$O$36&gt;0,AND(DAY($A91)=MIN(DAY('Recurring Schedule'!$F$36),DAY(EOMONTH($A91,0))),MOD((YEAR($A91)-YEAR('Recurring Schedule'!$F$36))*12+MONTH($A91)-MONTH('Recurring Schedule'!$F$36),'Recurring Schedule'!$O$36)=0),IF('Recurring Schedule'!$E$36="Weekdays",WEEKDAY($A91,2)&lt;=5,$A91='Recurring Schedule'!$F$36))),31,""))))</f>
        <v/>
      </c>
      <c r="AG91">
        <f>IF('Recurring Schedule'!$C$37="","",IF('Recurring Schedule'!$F$37="","",IF(OR($A91&lt;'Recurring Schedule'!$F$37,$A91&gt;'Recurring Schedule'!$P$37),"",IF(IF('Recurring Schedule'!$N$37&gt;0,MOD($A91-'Recurring Schedule'!$F$37,'Recurring Schedule'!$N$37)=0,IF('Recurring Schedule'!$O$37&gt;0,AND(DAY($A91)=MIN(DAY('Recurring Schedule'!$F$37),DAY(EOMONTH($A91,0))),MOD((YEAR($A91)-YEAR('Recurring Schedule'!$F$37))*12+MONTH($A91)-MONTH('Recurring Schedule'!$F$37),'Recurring Schedule'!$O$37)=0),IF('Recurring Schedule'!$E$37="Weekdays",WEEKDAY($A91,2)&lt;=5,$A91='Recurring Schedule'!$F$37))),32,""))))</f>
        <v/>
      </c>
      <c r="AH91">
        <f>IF('Recurring Schedule'!$C$38="","",IF('Recurring Schedule'!$F$38="","",IF(OR($A91&lt;'Recurring Schedule'!$F$38,$A91&gt;'Recurring Schedule'!$P$38),"",IF(IF('Recurring Schedule'!$N$38&gt;0,MOD($A91-'Recurring Schedule'!$F$38,'Recurring Schedule'!$N$38)=0,IF('Recurring Schedule'!$O$38&gt;0,AND(DAY($A91)=MIN(DAY('Recurring Schedule'!$F$38),DAY(EOMONTH($A91,0))),MOD((YEAR($A91)-YEAR('Recurring Schedule'!$F$38))*12+MONTH($A91)-MONTH('Recurring Schedule'!$F$38),'Recurring Schedule'!$O$38)=0),IF('Recurring Schedule'!$E$38="Weekdays",WEEKDAY($A91,2)&lt;=5,$A91='Recurring Schedule'!$F$38))),33,""))))</f>
        <v/>
      </c>
      <c r="AI91">
        <f>IF('Recurring Schedule'!$C$39="","",IF('Recurring Schedule'!$F$39="","",IF(OR($A91&lt;'Recurring Schedule'!$F$39,$A91&gt;'Recurring Schedule'!$P$39),"",IF(IF('Recurring Schedule'!$N$39&gt;0,MOD($A91-'Recurring Schedule'!$F$39,'Recurring Schedule'!$N$39)=0,IF('Recurring Schedule'!$O$39&gt;0,AND(DAY($A91)=MIN(DAY('Recurring Schedule'!$F$39),DAY(EOMONTH($A91,0))),MOD((YEAR($A91)-YEAR('Recurring Schedule'!$F$39))*12+MONTH($A91)-MONTH('Recurring Schedule'!$F$39),'Recurring Schedule'!$O$39)=0),IF('Recurring Schedule'!$E$39="Weekdays",WEEKDAY($A91,2)&lt;=5,$A91='Recurring Schedule'!$F$39))),34,""))))</f>
        <v/>
      </c>
      <c r="AJ91">
        <f>IF('Recurring Schedule'!$C$40="","",IF('Recurring Schedule'!$F$40="","",IF(OR($A91&lt;'Recurring Schedule'!$F$40,$A91&gt;'Recurring Schedule'!$P$40),"",IF(IF('Recurring Schedule'!$N$40&gt;0,MOD($A91-'Recurring Schedule'!$F$40,'Recurring Schedule'!$N$40)=0,IF('Recurring Schedule'!$O$40&gt;0,AND(DAY($A91)=MIN(DAY('Recurring Schedule'!$F$40),DAY(EOMONTH($A91,0))),MOD((YEAR($A91)-YEAR('Recurring Schedule'!$F$40))*12+MONTH($A91)-MONTH('Recurring Schedule'!$F$40),'Recurring Schedule'!$O$40)=0),IF('Recurring Schedule'!$E$40="Weekdays",WEEKDAY($A91,2)&lt;=5,$A91='Recurring Schedule'!$F$40))),35,""))))</f>
        <v/>
      </c>
      <c r="AK91">
        <f>IF('Recurring Schedule'!$C$41="","",IF('Recurring Schedule'!$F$41="","",IF(OR($A91&lt;'Recurring Schedule'!$F$41,$A91&gt;'Recurring Schedule'!$P$41),"",IF(IF('Recurring Schedule'!$N$41&gt;0,MOD($A91-'Recurring Schedule'!$F$41,'Recurring Schedule'!$N$41)=0,IF('Recurring Schedule'!$O$41&gt;0,AND(DAY($A91)=MIN(DAY('Recurring Schedule'!$F$41),DAY(EOMONTH($A91,0))),MOD((YEAR($A91)-YEAR('Recurring Schedule'!$F$41))*12+MONTH($A91)-MONTH('Recurring Schedule'!$F$41),'Recurring Schedule'!$O$41)=0),IF('Recurring Schedule'!$E$41="Weekdays",WEEKDAY($A91,2)&lt;=5,$A91='Recurring Schedule'!$F$41))),36,""))))</f>
        <v/>
      </c>
      <c r="AL91">
        <f>IF('Recurring Schedule'!$C$42="","",IF('Recurring Schedule'!$F$42="","",IF(OR($A91&lt;'Recurring Schedule'!$F$42,$A91&gt;'Recurring Schedule'!$P$42),"",IF(IF('Recurring Schedule'!$N$42&gt;0,MOD($A91-'Recurring Schedule'!$F$42,'Recurring Schedule'!$N$42)=0,IF('Recurring Schedule'!$O$42&gt;0,AND(DAY($A91)=MIN(DAY('Recurring Schedule'!$F$42),DAY(EOMONTH($A91,0))),MOD((YEAR($A91)-YEAR('Recurring Schedule'!$F$42))*12+MONTH($A91)-MONTH('Recurring Schedule'!$F$42),'Recurring Schedule'!$O$42)=0),IF('Recurring Schedule'!$E$42="Weekdays",WEEKDAY($A91,2)&lt;=5,$A91='Recurring Schedule'!$F$42))),37,""))))</f>
        <v/>
      </c>
      <c r="AM91">
        <f>IF('Recurring Schedule'!$C$43="","",IF('Recurring Schedule'!$F$43="","",IF(OR($A91&lt;'Recurring Schedule'!$F$43,$A91&gt;'Recurring Schedule'!$P$43),"",IF(IF('Recurring Schedule'!$N$43&gt;0,MOD($A91-'Recurring Schedule'!$F$43,'Recurring Schedule'!$N$43)=0,IF('Recurring Schedule'!$O$43&gt;0,AND(DAY($A91)=MIN(DAY('Recurring Schedule'!$F$43),DAY(EOMONTH($A91,0))),MOD((YEAR($A91)-YEAR('Recurring Schedule'!$F$43))*12+MONTH($A91)-MONTH('Recurring Schedule'!$F$43),'Recurring Schedule'!$O$43)=0),IF('Recurring Schedule'!$E$43="Weekdays",WEEKDAY($A91,2)&lt;=5,$A91='Recurring Schedule'!$F$43))),38,""))))</f>
        <v/>
      </c>
      <c r="AN91">
        <f>IF('Recurring Schedule'!$C$44="","",IF('Recurring Schedule'!$F$44="","",IF(OR($A91&lt;'Recurring Schedule'!$F$44,$A91&gt;'Recurring Schedule'!$P$44),"",IF(IF('Recurring Schedule'!$N$44&gt;0,MOD($A91-'Recurring Schedule'!$F$44,'Recurring Schedule'!$N$44)=0,IF('Recurring Schedule'!$O$44&gt;0,AND(DAY($A91)=MIN(DAY('Recurring Schedule'!$F$44),DAY(EOMONTH($A91,0))),MOD((YEAR($A91)-YEAR('Recurring Schedule'!$F$44))*12+MONTH($A91)-MONTH('Recurring Schedule'!$F$44),'Recurring Schedule'!$O$44)=0),IF('Recurring Schedule'!$E$44="Weekdays",WEEKDAY($A91,2)&lt;=5,$A91='Recurring Schedule'!$F$44))),39,""))))</f>
        <v/>
      </c>
      <c r="AO91">
        <f>IF('Recurring Schedule'!$C$45="","",IF('Recurring Schedule'!$F$45="","",IF(OR($A91&lt;'Recurring Schedule'!$F$45,$A91&gt;'Recurring Schedule'!$P$45),"",IF(IF('Recurring Schedule'!$N$45&gt;0,MOD($A91-'Recurring Schedule'!$F$45,'Recurring Schedule'!$N$45)=0,IF('Recurring Schedule'!$O$45&gt;0,AND(DAY($A91)=MIN(DAY('Recurring Schedule'!$F$45),DAY(EOMONTH($A91,0))),MOD((YEAR($A91)-YEAR('Recurring Schedule'!$F$45))*12+MONTH($A91)-MONTH('Recurring Schedule'!$F$45),'Recurring Schedule'!$O$45)=0),IF('Recurring Schedule'!$E$45="Weekdays",WEEKDAY($A91,2)&lt;=5,$A91='Recurring Schedule'!$F$45))),40,""))))</f>
        <v/>
      </c>
      <c r="AP91">
        <f>COUNT(B91:AO91)</f>
        <v/>
      </c>
      <c r="AQ91">
        <f>AQ90+AP90</f>
        <v/>
      </c>
      <c r="AS91" t="inlineStr">
        <is>
          <t>R</t>
        </is>
      </c>
      <c r="AT91" t="n">
        <v>95</v>
      </c>
      <c r="AU91">
        <f>'Recurring Log'!C95&amp;""</f>
        <v/>
      </c>
      <c r="AV91">
        <f>'Recurring Log'!D95&amp;""</f>
        <v/>
      </c>
      <c r="AW91">
        <f>IF('Recurring Log'!E95="","",'Recurring Log'!E95)</f>
        <v/>
      </c>
      <c r="AX91">
        <f>IF('Recurring Log'!G95="","",'Recurring Log'!G95)</f>
        <v/>
      </c>
      <c r="AY91">
        <f>IF('Recurring Log'!H95="","",'Recurring Log'!H95)</f>
        <v/>
      </c>
      <c r="AZ91">
        <f>IF(AU91="","",IF('Recurring Log'!J95="","Not Started",'Recurring Log'!J95))</f>
        <v/>
      </c>
      <c r="BA91">
        <f>'Recurring Log'!L95&amp;""</f>
        <v/>
      </c>
      <c r="BB91">
        <f>'Recurring Log'!M95&amp;""</f>
        <v/>
      </c>
      <c r="BC91">
        <f>'Recurring Log'!N95&amp;""</f>
        <v/>
      </c>
      <c r="BD91">
        <f>'Recurring Log'!O95&amp;""</f>
        <v/>
      </c>
      <c r="BE91">
        <f>IF('Recurring Log'!K95="","",'Recurring Log'!K95)</f>
        <v/>
      </c>
      <c r="BF91">
        <f>IFERROR(MATCH(BA91,Setup!$L$6:$L$9,0),5)</f>
        <v/>
      </c>
      <c r="BG91">
        <f>IF(OR(AZ91="Done",AZ91="Cancelled"),1,0)</f>
        <v/>
      </c>
      <c r="BH91">
        <f>IF(AND(AU91&lt;&gt;"",ISNUMBER(AW91)),1,0)</f>
        <v/>
      </c>
      <c r="BI91">
        <f>IF(BH91=0,0,IF(AND(AW91&gt;='Tasks Filter'!$F$3,AW91&lt;='Tasks Filter'!$F$4,OR('Tasks Filter'!$I$3="",ISNUMBER(SEARCH('Tasks Filter'!$I$3,AU91))),OR('Tasks Filter'!$I$4="",BF91=IFERROR(MATCH('Tasks Filter'!$I$4,Setup!$L$6:$L$9,0),0)),OR('Tasks Filter'!$I$5="Both",AND('Tasks Filter'!$I$5="Yes",BB91="✓"),AND('Tasks Filter'!$I$5="No",BB91&lt;&gt;"✓")),OR('Tasks Filter'!$L$3="",AV91='Tasks Filter'!$L$3),OR('Tasks Filter'!$L$4="",AZ91='Tasks Filter'!$L$4),OR('Tasks Filter'!$L$5="",BC91='Tasks Filter'!$L$5),OR('Tasks Filter'!$O$3="",BD91='Tasks Filter'!$O$3),OR('Tasks Filter'!$O$4="Yes",BG91=0)),1,0))</f>
        <v/>
      </c>
      <c r="BJ91">
        <f>IF(BH91=0,"",IF('Tasks Filter'!$F$6="Descending",-1,1)*CHOOSE(MATCH('Tasks Filter'!$F$5,Lists!$G$2:$G$6,0),AW91,BF91,IFERROR(MATCH(AV91,Setup!$F$6:$F$15,0),99),IFERROR(MATCH(BC91,Setup!$H$6:$H$15,0),99),IFERROR(MATCH(AZ91,Setup!$J$6:$J$11,0),99))*1E+9+(AW91-40000)*10000+90)</f>
        <v/>
      </c>
      <c r="BK91">
        <f>IF(BI91=1,BJ91,"")</f>
        <v/>
      </c>
      <c r="BL91">
        <f>IF(AND(BH91=1,BG91=0,N(AW91)&lt;Setup!$D$7),(AW91-40000)*10000+90,"")</f>
        <v/>
      </c>
      <c r="BM91">
        <f>IF(AND(BH91=1,AZ91&lt;&gt;"Cancelled",N(AW91)&gt;=Dashboard!$AB$3,N(AW91)&lt;=Dashboard!$AB$3+6),(AW91-40000)*100000+BF91*10000+90,"")</f>
        <v/>
      </c>
      <c r="BN91">
        <f>IF(AND(BH91=1,AZ91&lt;&gt;"Cancelled"),BF91*10000+90,"")</f>
        <v/>
      </c>
    </row>
    <row r="92">
      <c r="A92">
        <f>Setup!$D$5+90</f>
        <v/>
      </c>
      <c r="B92">
        <f>IF('Recurring Schedule'!$C$6="","",IF('Recurring Schedule'!$F$6="","",IF(OR($A92&lt;'Recurring Schedule'!$F$6,$A92&gt;'Recurring Schedule'!$P$6),"",IF(IF('Recurring Schedule'!$N$6&gt;0,MOD($A92-'Recurring Schedule'!$F$6,'Recurring Schedule'!$N$6)=0,IF('Recurring Schedule'!$O$6&gt;0,AND(DAY($A92)=MIN(DAY('Recurring Schedule'!$F$6),DAY(EOMONTH($A92,0))),MOD((YEAR($A92)-YEAR('Recurring Schedule'!$F$6))*12+MONTH($A92)-MONTH('Recurring Schedule'!$F$6),'Recurring Schedule'!$O$6)=0),IF('Recurring Schedule'!$E$6="Weekdays",WEEKDAY($A92,2)&lt;=5,$A92='Recurring Schedule'!$F$6))),1,""))))</f>
        <v/>
      </c>
      <c r="C92">
        <f>IF('Recurring Schedule'!$C$7="","",IF('Recurring Schedule'!$F$7="","",IF(OR($A92&lt;'Recurring Schedule'!$F$7,$A92&gt;'Recurring Schedule'!$P$7),"",IF(IF('Recurring Schedule'!$N$7&gt;0,MOD($A92-'Recurring Schedule'!$F$7,'Recurring Schedule'!$N$7)=0,IF('Recurring Schedule'!$O$7&gt;0,AND(DAY($A92)=MIN(DAY('Recurring Schedule'!$F$7),DAY(EOMONTH($A92,0))),MOD((YEAR($A92)-YEAR('Recurring Schedule'!$F$7))*12+MONTH($A92)-MONTH('Recurring Schedule'!$F$7),'Recurring Schedule'!$O$7)=0),IF('Recurring Schedule'!$E$7="Weekdays",WEEKDAY($A92,2)&lt;=5,$A92='Recurring Schedule'!$F$7))),2,""))))</f>
        <v/>
      </c>
      <c r="D92">
        <f>IF('Recurring Schedule'!$C$8="","",IF('Recurring Schedule'!$F$8="","",IF(OR($A92&lt;'Recurring Schedule'!$F$8,$A92&gt;'Recurring Schedule'!$P$8),"",IF(IF('Recurring Schedule'!$N$8&gt;0,MOD($A92-'Recurring Schedule'!$F$8,'Recurring Schedule'!$N$8)=0,IF('Recurring Schedule'!$O$8&gt;0,AND(DAY($A92)=MIN(DAY('Recurring Schedule'!$F$8),DAY(EOMONTH($A92,0))),MOD((YEAR($A92)-YEAR('Recurring Schedule'!$F$8))*12+MONTH($A92)-MONTH('Recurring Schedule'!$F$8),'Recurring Schedule'!$O$8)=0),IF('Recurring Schedule'!$E$8="Weekdays",WEEKDAY($A92,2)&lt;=5,$A92='Recurring Schedule'!$F$8))),3,""))))</f>
        <v/>
      </c>
      <c r="E92">
        <f>IF('Recurring Schedule'!$C$9="","",IF('Recurring Schedule'!$F$9="","",IF(OR($A92&lt;'Recurring Schedule'!$F$9,$A92&gt;'Recurring Schedule'!$P$9),"",IF(IF('Recurring Schedule'!$N$9&gt;0,MOD($A92-'Recurring Schedule'!$F$9,'Recurring Schedule'!$N$9)=0,IF('Recurring Schedule'!$O$9&gt;0,AND(DAY($A92)=MIN(DAY('Recurring Schedule'!$F$9),DAY(EOMONTH($A92,0))),MOD((YEAR($A92)-YEAR('Recurring Schedule'!$F$9))*12+MONTH($A92)-MONTH('Recurring Schedule'!$F$9),'Recurring Schedule'!$O$9)=0),IF('Recurring Schedule'!$E$9="Weekdays",WEEKDAY($A92,2)&lt;=5,$A92='Recurring Schedule'!$F$9))),4,""))))</f>
        <v/>
      </c>
      <c r="F92">
        <f>IF('Recurring Schedule'!$C$10="","",IF('Recurring Schedule'!$F$10="","",IF(OR($A92&lt;'Recurring Schedule'!$F$10,$A92&gt;'Recurring Schedule'!$P$10),"",IF(IF('Recurring Schedule'!$N$10&gt;0,MOD($A92-'Recurring Schedule'!$F$10,'Recurring Schedule'!$N$10)=0,IF('Recurring Schedule'!$O$10&gt;0,AND(DAY($A92)=MIN(DAY('Recurring Schedule'!$F$10),DAY(EOMONTH($A92,0))),MOD((YEAR($A92)-YEAR('Recurring Schedule'!$F$10))*12+MONTH($A92)-MONTH('Recurring Schedule'!$F$10),'Recurring Schedule'!$O$10)=0),IF('Recurring Schedule'!$E$10="Weekdays",WEEKDAY($A92,2)&lt;=5,$A92='Recurring Schedule'!$F$10))),5,""))))</f>
        <v/>
      </c>
      <c r="G92">
        <f>IF('Recurring Schedule'!$C$11="","",IF('Recurring Schedule'!$F$11="","",IF(OR($A92&lt;'Recurring Schedule'!$F$11,$A92&gt;'Recurring Schedule'!$P$11),"",IF(IF('Recurring Schedule'!$N$11&gt;0,MOD($A92-'Recurring Schedule'!$F$11,'Recurring Schedule'!$N$11)=0,IF('Recurring Schedule'!$O$11&gt;0,AND(DAY($A92)=MIN(DAY('Recurring Schedule'!$F$11),DAY(EOMONTH($A92,0))),MOD((YEAR($A92)-YEAR('Recurring Schedule'!$F$11))*12+MONTH($A92)-MONTH('Recurring Schedule'!$F$11),'Recurring Schedule'!$O$11)=0),IF('Recurring Schedule'!$E$11="Weekdays",WEEKDAY($A92,2)&lt;=5,$A92='Recurring Schedule'!$F$11))),6,""))))</f>
        <v/>
      </c>
      <c r="H92">
        <f>IF('Recurring Schedule'!$C$12="","",IF('Recurring Schedule'!$F$12="","",IF(OR($A92&lt;'Recurring Schedule'!$F$12,$A92&gt;'Recurring Schedule'!$P$12),"",IF(IF('Recurring Schedule'!$N$12&gt;0,MOD($A92-'Recurring Schedule'!$F$12,'Recurring Schedule'!$N$12)=0,IF('Recurring Schedule'!$O$12&gt;0,AND(DAY($A92)=MIN(DAY('Recurring Schedule'!$F$12),DAY(EOMONTH($A92,0))),MOD((YEAR($A92)-YEAR('Recurring Schedule'!$F$12))*12+MONTH($A92)-MONTH('Recurring Schedule'!$F$12),'Recurring Schedule'!$O$12)=0),IF('Recurring Schedule'!$E$12="Weekdays",WEEKDAY($A92,2)&lt;=5,$A92='Recurring Schedule'!$F$12))),7,""))))</f>
        <v/>
      </c>
      <c r="I92">
        <f>IF('Recurring Schedule'!$C$13="","",IF('Recurring Schedule'!$F$13="","",IF(OR($A92&lt;'Recurring Schedule'!$F$13,$A92&gt;'Recurring Schedule'!$P$13),"",IF(IF('Recurring Schedule'!$N$13&gt;0,MOD($A92-'Recurring Schedule'!$F$13,'Recurring Schedule'!$N$13)=0,IF('Recurring Schedule'!$O$13&gt;0,AND(DAY($A92)=MIN(DAY('Recurring Schedule'!$F$13),DAY(EOMONTH($A92,0))),MOD((YEAR($A92)-YEAR('Recurring Schedule'!$F$13))*12+MONTH($A92)-MONTH('Recurring Schedule'!$F$13),'Recurring Schedule'!$O$13)=0),IF('Recurring Schedule'!$E$13="Weekdays",WEEKDAY($A92,2)&lt;=5,$A92='Recurring Schedule'!$F$13))),8,""))))</f>
        <v/>
      </c>
      <c r="J92">
        <f>IF('Recurring Schedule'!$C$14="","",IF('Recurring Schedule'!$F$14="","",IF(OR($A92&lt;'Recurring Schedule'!$F$14,$A92&gt;'Recurring Schedule'!$P$14),"",IF(IF('Recurring Schedule'!$N$14&gt;0,MOD($A92-'Recurring Schedule'!$F$14,'Recurring Schedule'!$N$14)=0,IF('Recurring Schedule'!$O$14&gt;0,AND(DAY($A92)=MIN(DAY('Recurring Schedule'!$F$14),DAY(EOMONTH($A92,0))),MOD((YEAR($A92)-YEAR('Recurring Schedule'!$F$14))*12+MONTH($A92)-MONTH('Recurring Schedule'!$F$14),'Recurring Schedule'!$O$14)=0),IF('Recurring Schedule'!$E$14="Weekdays",WEEKDAY($A92,2)&lt;=5,$A92='Recurring Schedule'!$F$14))),9,""))))</f>
        <v/>
      </c>
      <c r="K92">
        <f>IF('Recurring Schedule'!$C$15="","",IF('Recurring Schedule'!$F$15="","",IF(OR($A92&lt;'Recurring Schedule'!$F$15,$A92&gt;'Recurring Schedule'!$P$15),"",IF(IF('Recurring Schedule'!$N$15&gt;0,MOD($A92-'Recurring Schedule'!$F$15,'Recurring Schedule'!$N$15)=0,IF('Recurring Schedule'!$O$15&gt;0,AND(DAY($A92)=MIN(DAY('Recurring Schedule'!$F$15),DAY(EOMONTH($A92,0))),MOD((YEAR($A92)-YEAR('Recurring Schedule'!$F$15))*12+MONTH($A92)-MONTH('Recurring Schedule'!$F$15),'Recurring Schedule'!$O$15)=0),IF('Recurring Schedule'!$E$15="Weekdays",WEEKDAY($A92,2)&lt;=5,$A92='Recurring Schedule'!$F$15))),10,""))))</f>
        <v/>
      </c>
      <c r="L92">
        <f>IF('Recurring Schedule'!$C$16="","",IF('Recurring Schedule'!$F$16="","",IF(OR($A92&lt;'Recurring Schedule'!$F$16,$A92&gt;'Recurring Schedule'!$P$16),"",IF(IF('Recurring Schedule'!$N$16&gt;0,MOD($A92-'Recurring Schedule'!$F$16,'Recurring Schedule'!$N$16)=0,IF('Recurring Schedule'!$O$16&gt;0,AND(DAY($A92)=MIN(DAY('Recurring Schedule'!$F$16),DAY(EOMONTH($A92,0))),MOD((YEAR($A92)-YEAR('Recurring Schedule'!$F$16))*12+MONTH($A92)-MONTH('Recurring Schedule'!$F$16),'Recurring Schedule'!$O$16)=0),IF('Recurring Schedule'!$E$16="Weekdays",WEEKDAY($A92,2)&lt;=5,$A92='Recurring Schedule'!$F$16))),11,""))))</f>
        <v/>
      </c>
      <c r="M92">
        <f>IF('Recurring Schedule'!$C$17="","",IF('Recurring Schedule'!$F$17="","",IF(OR($A92&lt;'Recurring Schedule'!$F$17,$A92&gt;'Recurring Schedule'!$P$17),"",IF(IF('Recurring Schedule'!$N$17&gt;0,MOD($A92-'Recurring Schedule'!$F$17,'Recurring Schedule'!$N$17)=0,IF('Recurring Schedule'!$O$17&gt;0,AND(DAY($A92)=MIN(DAY('Recurring Schedule'!$F$17),DAY(EOMONTH($A92,0))),MOD((YEAR($A92)-YEAR('Recurring Schedule'!$F$17))*12+MONTH($A92)-MONTH('Recurring Schedule'!$F$17),'Recurring Schedule'!$O$17)=0),IF('Recurring Schedule'!$E$17="Weekdays",WEEKDAY($A92,2)&lt;=5,$A92='Recurring Schedule'!$F$17))),12,""))))</f>
        <v/>
      </c>
      <c r="N92">
        <f>IF('Recurring Schedule'!$C$18="","",IF('Recurring Schedule'!$F$18="","",IF(OR($A92&lt;'Recurring Schedule'!$F$18,$A92&gt;'Recurring Schedule'!$P$18),"",IF(IF('Recurring Schedule'!$N$18&gt;0,MOD($A92-'Recurring Schedule'!$F$18,'Recurring Schedule'!$N$18)=0,IF('Recurring Schedule'!$O$18&gt;0,AND(DAY($A92)=MIN(DAY('Recurring Schedule'!$F$18),DAY(EOMONTH($A92,0))),MOD((YEAR($A92)-YEAR('Recurring Schedule'!$F$18))*12+MONTH($A92)-MONTH('Recurring Schedule'!$F$18),'Recurring Schedule'!$O$18)=0),IF('Recurring Schedule'!$E$18="Weekdays",WEEKDAY($A92,2)&lt;=5,$A92='Recurring Schedule'!$F$18))),13,""))))</f>
        <v/>
      </c>
      <c r="O92">
        <f>IF('Recurring Schedule'!$C$19="","",IF('Recurring Schedule'!$F$19="","",IF(OR($A92&lt;'Recurring Schedule'!$F$19,$A92&gt;'Recurring Schedule'!$P$19),"",IF(IF('Recurring Schedule'!$N$19&gt;0,MOD($A92-'Recurring Schedule'!$F$19,'Recurring Schedule'!$N$19)=0,IF('Recurring Schedule'!$O$19&gt;0,AND(DAY($A92)=MIN(DAY('Recurring Schedule'!$F$19),DAY(EOMONTH($A92,0))),MOD((YEAR($A92)-YEAR('Recurring Schedule'!$F$19))*12+MONTH($A92)-MONTH('Recurring Schedule'!$F$19),'Recurring Schedule'!$O$19)=0),IF('Recurring Schedule'!$E$19="Weekdays",WEEKDAY($A92,2)&lt;=5,$A92='Recurring Schedule'!$F$19))),14,""))))</f>
        <v/>
      </c>
      <c r="P92">
        <f>IF('Recurring Schedule'!$C$20="","",IF('Recurring Schedule'!$F$20="","",IF(OR($A92&lt;'Recurring Schedule'!$F$20,$A92&gt;'Recurring Schedule'!$P$20),"",IF(IF('Recurring Schedule'!$N$20&gt;0,MOD($A92-'Recurring Schedule'!$F$20,'Recurring Schedule'!$N$20)=0,IF('Recurring Schedule'!$O$20&gt;0,AND(DAY($A92)=MIN(DAY('Recurring Schedule'!$F$20),DAY(EOMONTH($A92,0))),MOD((YEAR($A92)-YEAR('Recurring Schedule'!$F$20))*12+MONTH($A92)-MONTH('Recurring Schedule'!$F$20),'Recurring Schedule'!$O$20)=0),IF('Recurring Schedule'!$E$20="Weekdays",WEEKDAY($A92,2)&lt;=5,$A92='Recurring Schedule'!$F$20))),15,""))))</f>
        <v/>
      </c>
      <c r="Q92">
        <f>IF('Recurring Schedule'!$C$21="","",IF('Recurring Schedule'!$F$21="","",IF(OR($A92&lt;'Recurring Schedule'!$F$21,$A92&gt;'Recurring Schedule'!$P$21),"",IF(IF('Recurring Schedule'!$N$21&gt;0,MOD($A92-'Recurring Schedule'!$F$21,'Recurring Schedule'!$N$21)=0,IF('Recurring Schedule'!$O$21&gt;0,AND(DAY($A92)=MIN(DAY('Recurring Schedule'!$F$21),DAY(EOMONTH($A92,0))),MOD((YEAR($A92)-YEAR('Recurring Schedule'!$F$21))*12+MONTH($A92)-MONTH('Recurring Schedule'!$F$21),'Recurring Schedule'!$O$21)=0),IF('Recurring Schedule'!$E$21="Weekdays",WEEKDAY($A92,2)&lt;=5,$A92='Recurring Schedule'!$F$21))),16,""))))</f>
        <v/>
      </c>
      <c r="R92">
        <f>IF('Recurring Schedule'!$C$22="","",IF('Recurring Schedule'!$F$22="","",IF(OR($A92&lt;'Recurring Schedule'!$F$22,$A92&gt;'Recurring Schedule'!$P$22),"",IF(IF('Recurring Schedule'!$N$22&gt;0,MOD($A92-'Recurring Schedule'!$F$22,'Recurring Schedule'!$N$22)=0,IF('Recurring Schedule'!$O$22&gt;0,AND(DAY($A92)=MIN(DAY('Recurring Schedule'!$F$22),DAY(EOMONTH($A92,0))),MOD((YEAR($A92)-YEAR('Recurring Schedule'!$F$22))*12+MONTH($A92)-MONTH('Recurring Schedule'!$F$22),'Recurring Schedule'!$O$22)=0),IF('Recurring Schedule'!$E$22="Weekdays",WEEKDAY($A92,2)&lt;=5,$A92='Recurring Schedule'!$F$22))),17,""))))</f>
        <v/>
      </c>
      <c r="S92">
        <f>IF('Recurring Schedule'!$C$23="","",IF('Recurring Schedule'!$F$23="","",IF(OR($A92&lt;'Recurring Schedule'!$F$23,$A92&gt;'Recurring Schedule'!$P$23),"",IF(IF('Recurring Schedule'!$N$23&gt;0,MOD($A92-'Recurring Schedule'!$F$23,'Recurring Schedule'!$N$23)=0,IF('Recurring Schedule'!$O$23&gt;0,AND(DAY($A92)=MIN(DAY('Recurring Schedule'!$F$23),DAY(EOMONTH($A92,0))),MOD((YEAR($A92)-YEAR('Recurring Schedule'!$F$23))*12+MONTH($A92)-MONTH('Recurring Schedule'!$F$23),'Recurring Schedule'!$O$23)=0),IF('Recurring Schedule'!$E$23="Weekdays",WEEKDAY($A92,2)&lt;=5,$A92='Recurring Schedule'!$F$23))),18,""))))</f>
        <v/>
      </c>
      <c r="T92">
        <f>IF('Recurring Schedule'!$C$24="","",IF('Recurring Schedule'!$F$24="","",IF(OR($A92&lt;'Recurring Schedule'!$F$24,$A92&gt;'Recurring Schedule'!$P$24),"",IF(IF('Recurring Schedule'!$N$24&gt;0,MOD($A92-'Recurring Schedule'!$F$24,'Recurring Schedule'!$N$24)=0,IF('Recurring Schedule'!$O$24&gt;0,AND(DAY($A92)=MIN(DAY('Recurring Schedule'!$F$24),DAY(EOMONTH($A92,0))),MOD((YEAR($A92)-YEAR('Recurring Schedule'!$F$24))*12+MONTH($A92)-MONTH('Recurring Schedule'!$F$24),'Recurring Schedule'!$O$24)=0),IF('Recurring Schedule'!$E$24="Weekdays",WEEKDAY($A92,2)&lt;=5,$A92='Recurring Schedule'!$F$24))),19,""))))</f>
        <v/>
      </c>
      <c r="U92">
        <f>IF('Recurring Schedule'!$C$25="","",IF('Recurring Schedule'!$F$25="","",IF(OR($A92&lt;'Recurring Schedule'!$F$25,$A92&gt;'Recurring Schedule'!$P$25),"",IF(IF('Recurring Schedule'!$N$25&gt;0,MOD($A92-'Recurring Schedule'!$F$25,'Recurring Schedule'!$N$25)=0,IF('Recurring Schedule'!$O$25&gt;0,AND(DAY($A92)=MIN(DAY('Recurring Schedule'!$F$25),DAY(EOMONTH($A92,0))),MOD((YEAR($A92)-YEAR('Recurring Schedule'!$F$25))*12+MONTH($A92)-MONTH('Recurring Schedule'!$F$25),'Recurring Schedule'!$O$25)=0),IF('Recurring Schedule'!$E$25="Weekdays",WEEKDAY($A92,2)&lt;=5,$A92='Recurring Schedule'!$F$25))),20,""))))</f>
        <v/>
      </c>
      <c r="V92">
        <f>IF('Recurring Schedule'!$C$26="","",IF('Recurring Schedule'!$F$26="","",IF(OR($A92&lt;'Recurring Schedule'!$F$26,$A92&gt;'Recurring Schedule'!$P$26),"",IF(IF('Recurring Schedule'!$N$26&gt;0,MOD($A92-'Recurring Schedule'!$F$26,'Recurring Schedule'!$N$26)=0,IF('Recurring Schedule'!$O$26&gt;0,AND(DAY($A92)=MIN(DAY('Recurring Schedule'!$F$26),DAY(EOMONTH($A92,0))),MOD((YEAR($A92)-YEAR('Recurring Schedule'!$F$26))*12+MONTH($A92)-MONTH('Recurring Schedule'!$F$26),'Recurring Schedule'!$O$26)=0),IF('Recurring Schedule'!$E$26="Weekdays",WEEKDAY($A92,2)&lt;=5,$A92='Recurring Schedule'!$F$26))),21,""))))</f>
        <v/>
      </c>
      <c r="W92">
        <f>IF('Recurring Schedule'!$C$27="","",IF('Recurring Schedule'!$F$27="","",IF(OR($A92&lt;'Recurring Schedule'!$F$27,$A92&gt;'Recurring Schedule'!$P$27),"",IF(IF('Recurring Schedule'!$N$27&gt;0,MOD($A92-'Recurring Schedule'!$F$27,'Recurring Schedule'!$N$27)=0,IF('Recurring Schedule'!$O$27&gt;0,AND(DAY($A92)=MIN(DAY('Recurring Schedule'!$F$27),DAY(EOMONTH($A92,0))),MOD((YEAR($A92)-YEAR('Recurring Schedule'!$F$27))*12+MONTH($A92)-MONTH('Recurring Schedule'!$F$27),'Recurring Schedule'!$O$27)=0),IF('Recurring Schedule'!$E$27="Weekdays",WEEKDAY($A92,2)&lt;=5,$A92='Recurring Schedule'!$F$27))),22,""))))</f>
        <v/>
      </c>
      <c r="X92">
        <f>IF('Recurring Schedule'!$C$28="","",IF('Recurring Schedule'!$F$28="","",IF(OR($A92&lt;'Recurring Schedule'!$F$28,$A92&gt;'Recurring Schedule'!$P$28),"",IF(IF('Recurring Schedule'!$N$28&gt;0,MOD($A92-'Recurring Schedule'!$F$28,'Recurring Schedule'!$N$28)=0,IF('Recurring Schedule'!$O$28&gt;0,AND(DAY($A92)=MIN(DAY('Recurring Schedule'!$F$28),DAY(EOMONTH($A92,0))),MOD((YEAR($A92)-YEAR('Recurring Schedule'!$F$28))*12+MONTH($A92)-MONTH('Recurring Schedule'!$F$28),'Recurring Schedule'!$O$28)=0),IF('Recurring Schedule'!$E$28="Weekdays",WEEKDAY($A92,2)&lt;=5,$A92='Recurring Schedule'!$F$28))),23,""))))</f>
        <v/>
      </c>
      <c r="Y92">
        <f>IF('Recurring Schedule'!$C$29="","",IF('Recurring Schedule'!$F$29="","",IF(OR($A92&lt;'Recurring Schedule'!$F$29,$A92&gt;'Recurring Schedule'!$P$29),"",IF(IF('Recurring Schedule'!$N$29&gt;0,MOD($A92-'Recurring Schedule'!$F$29,'Recurring Schedule'!$N$29)=0,IF('Recurring Schedule'!$O$29&gt;0,AND(DAY($A92)=MIN(DAY('Recurring Schedule'!$F$29),DAY(EOMONTH($A92,0))),MOD((YEAR($A92)-YEAR('Recurring Schedule'!$F$29))*12+MONTH($A92)-MONTH('Recurring Schedule'!$F$29),'Recurring Schedule'!$O$29)=0),IF('Recurring Schedule'!$E$29="Weekdays",WEEKDAY($A92,2)&lt;=5,$A92='Recurring Schedule'!$F$29))),24,""))))</f>
        <v/>
      </c>
      <c r="Z92">
        <f>IF('Recurring Schedule'!$C$30="","",IF('Recurring Schedule'!$F$30="","",IF(OR($A92&lt;'Recurring Schedule'!$F$30,$A92&gt;'Recurring Schedule'!$P$30),"",IF(IF('Recurring Schedule'!$N$30&gt;0,MOD($A92-'Recurring Schedule'!$F$30,'Recurring Schedule'!$N$30)=0,IF('Recurring Schedule'!$O$30&gt;0,AND(DAY($A92)=MIN(DAY('Recurring Schedule'!$F$30),DAY(EOMONTH($A92,0))),MOD((YEAR($A92)-YEAR('Recurring Schedule'!$F$30))*12+MONTH($A92)-MONTH('Recurring Schedule'!$F$30),'Recurring Schedule'!$O$30)=0),IF('Recurring Schedule'!$E$30="Weekdays",WEEKDAY($A92,2)&lt;=5,$A92='Recurring Schedule'!$F$30))),25,""))))</f>
        <v/>
      </c>
      <c r="AA92">
        <f>IF('Recurring Schedule'!$C$31="","",IF('Recurring Schedule'!$F$31="","",IF(OR($A92&lt;'Recurring Schedule'!$F$31,$A92&gt;'Recurring Schedule'!$P$31),"",IF(IF('Recurring Schedule'!$N$31&gt;0,MOD($A92-'Recurring Schedule'!$F$31,'Recurring Schedule'!$N$31)=0,IF('Recurring Schedule'!$O$31&gt;0,AND(DAY($A92)=MIN(DAY('Recurring Schedule'!$F$31),DAY(EOMONTH($A92,0))),MOD((YEAR($A92)-YEAR('Recurring Schedule'!$F$31))*12+MONTH($A92)-MONTH('Recurring Schedule'!$F$31),'Recurring Schedule'!$O$31)=0),IF('Recurring Schedule'!$E$31="Weekdays",WEEKDAY($A92,2)&lt;=5,$A92='Recurring Schedule'!$F$31))),26,""))))</f>
        <v/>
      </c>
      <c r="AB92">
        <f>IF('Recurring Schedule'!$C$32="","",IF('Recurring Schedule'!$F$32="","",IF(OR($A92&lt;'Recurring Schedule'!$F$32,$A92&gt;'Recurring Schedule'!$P$32),"",IF(IF('Recurring Schedule'!$N$32&gt;0,MOD($A92-'Recurring Schedule'!$F$32,'Recurring Schedule'!$N$32)=0,IF('Recurring Schedule'!$O$32&gt;0,AND(DAY($A92)=MIN(DAY('Recurring Schedule'!$F$32),DAY(EOMONTH($A92,0))),MOD((YEAR($A92)-YEAR('Recurring Schedule'!$F$32))*12+MONTH($A92)-MONTH('Recurring Schedule'!$F$32),'Recurring Schedule'!$O$32)=0),IF('Recurring Schedule'!$E$32="Weekdays",WEEKDAY($A92,2)&lt;=5,$A92='Recurring Schedule'!$F$32))),27,""))))</f>
        <v/>
      </c>
      <c r="AC92">
        <f>IF('Recurring Schedule'!$C$33="","",IF('Recurring Schedule'!$F$33="","",IF(OR($A92&lt;'Recurring Schedule'!$F$33,$A92&gt;'Recurring Schedule'!$P$33),"",IF(IF('Recurring Schedule'!$N$33&gt;0,MOD($A92-'Recurring Schedule'!$F$33,'Recurring Schedule'!$N$33)=0,IF('Recurring Schedule'!$O$33&gt;0,AND(DAY($A92)=MIN(DAY('Recurring Schedule'!$F$33),DAY(EOMONTH($A92,0))),MOD((YEAR($A92)-YEAR('Recurring Schedule'!$F$33))*12+MONTH($A92)-MONTH('Recurring Schedule'!$F$33),'Recurring Schedule'!$O$33)=0),IF('Recurring Schedule'!$E$33="Weekdays",WEEKDAY($A92,2)&lt;=5,$A92='Recurring Schedule'!$F$33))),28,""))))</f>
        <v/>
      </c>
      <c r="AD92">
        <f>IF('Recurring Schedule'!$C$34="","",IF('Recurring Schedule'!$F$34="","",IF(OR($A92&lt;'Recurring Schedule'!$F$34,$A92&gt;'Recurring Schedule'!$P$34),"",IF(IF('Recurring Schedule'!$N$34&gt;0,MOD($A92-'Recurring Schedule'!$F$34,'Recurring Schedule'!$N$34)=0,IF('Recurring Schedule'!$O$34&gt;0,AND(DAY($A92)=MIN(DAY('Recurring Schedule'!$F$34),DAY(EOMONTH($A92,0))),MOD((YEAR($A92)-YEAR('Recurring Schedule'!$F$34))*12+MONTH($A92)-MONTH('Recurring Schedule'!$F$34),'Recurring Schedule'!$O$34)=0),IF('Recurring Schedule'!$E$34="Weekdays",WEEKDAY($A92,2)&lt;=5,$A92='Recurring Schedule'!$F$34))),29,""))))</f>
        <v/>
      </c>
      <c r="AE92">
        <f>IF('Recurring Schedule'!$C$35="","",IF('Recurring Schedule'!$F$35="","",IF(OR($A92&lt;'Recurring Schedule'!$F$35,$A92&gt;'Recurring Schedule'!$P$35),"",IF(IF('Recurring Schedule'!$N$35&gt;0,MOD($A92-'Recurring Schedule'!$F$35,'Recurring Schedule'!$N$35)=0,IF('Recurring Schedule'!$O$35&gt;0,AND(DAY($A92)=MIN(DAY('Recurring Schedule'!$F$35),DAY(EOMONTH($A92,0))),MOD((YEAR($A92)-YEAR('Recurring Schedule'!$F$35))*12+MONTH($A92)-MONTH('Recurring Schedule'!$F$35),'Recurring Schedule'!$O$35)=0),IF('Recurring Schedule'!$E$35="Weekdays",WEEKDAY($A92,2)&lt;=5,$A92='Recurring Schedule'!$F$35))),30,""))))</f>
        <v/>
      </c>
      <c r="AF92">
        <f>IF('Recurring Schedule'!$C$36="","",IF('Recurring Schedule'!$F$36="","",IF(OR($A92&lt;'Recurring Schedule'!$F$36,$A92&gt;'Recurring Schedule'!$P$36),"",IF(IF('Recurring Schedule'!$N$36&gt;0,MOD($A92-'Recurring Schedule'!$F$36,'Recurring Schedule'!$N$36)=0,IF('Recurring Schedule'!$O$36&gt;0,AND(DAY($A92)=MIN(DAY('Recurring Schedule'!$F$36),DAY(EOMONTH($A92,0))),MOD((YEAR($A92)-YEAR('Recurring Schedule'!$F$36))*12+MONTH($A92)-MONTH('Recurring Schedule'!$F$36),'Recurring Schedule'!$O$36)=0),IF('Recurring Schedule'!$E$36="Weekdays",WEEKDAY($A92,2)&lt;=5,$A92='Recurring Schedule'!$F$36))),31,""))))</f>
        <v/>
      </c>
      <c r="AG92">
        <f>IF('Recurring Schedule'!$C$37="","",IF('Recurring Schedule'!$F$37="","",IF(OR($A92&lt;'Recurring Schedule'!$F$37,$A92&gt;'Recurring Schedule'!$P$37),"",IF(IF('Recurring Schedule'!$N$37&gt;0,MOD($A92-'Recurring Schedule'!$F$37,'Recurring Schedule'!$N$37)=0,IF('Recurring Schedule'!$O$37&gt;0,AND(DAY($A92)=MIN(DAY('Recurring Schedule'!$F$37),DAY(EOMONTH($A92,0))),MOD((YEAR($A92)-YEAR('Recurring Schedule'!$F$37))*12+MONTH($A92)-MONTH('Recurring Schedule'!$F$37),'Recurring Schedule'!$O$37)=0),IF('Recurring Schedule'!$E$37="Weekdays",WEEKDAY($A92,2)&lt;=5,$A92='Recurring Schedule'!$F$37))),32,""))))</f>
        <v/>
      </c>
      <c r="AH92">
        <f>IF('Recurring Schedule'!$C$38="","",IF('Recurring Schedule'!$F$38="","",IF(OR($A92&lt;'Recurring Schedule'!$F$38,$A92&gt;'Recurring Schedule'!$P$38),"",IF(IF('Recurring Schedule'!$N$38&gt;0,MOD($A92-'Recurring Schedule'!$F$38,'Recurring Schedule'!$N$38)=0,IF('Recurring Schedule'!$O$38&gt;0,AND(DAY($A92)=MIN(DAY('Recurring Schedule'!$F$38),DAY(EOMONTH($A92,0))),MOD((YEAR($A92)-YEAR('Recurring Schedule'!$F$38))*12+MONTH($A92)-MONTH('Recurring Schedule'!$F$38),'Recurring Schedule'!$O$38)=0),IF('Recurring Schedule'!$E$38="Weekdays",WEEKDAY($A92,2)&lt;=5,$A92='Recurring Schedule'!$F$38))),33,""))))</f>
        <v/>
      </c>
      <c r="AI92">
        <f>IF('Recurring Schedule'!$C$39="","",IF('Recurring Schedule'!$F$39="","",IF(OR($A92&lt;'Recurring Schedule'!$F$39,$A92&gt;'Recurring Schedule'!$P$39),"",IF(IF('Recurring Schedule'!$N$39&gt;0,MOD($A92-'Recurring Schedule'!$F$39,'Recurring Schedule'!$N$39)=0,IF('Recurring Schedule'!$O$39&gt;0,AND(DAY($A92)=MIN(DAY('Recurring Schedule'!$F$39),DAY(EOMONTH($A92,0))),MOD((YEAR($A92)-YEAR('Recurring Schedule'!$F$39))*12+MONTH($A92)-MONTH('Recurring Schedule'!$F$39),'Recurring Schedule'!$O$39)=0),IF('Recurring Schedule'!$E$39="Weekdays",WEEKDAY($A92,2)&lt;=5,$A92='Recurring Schedule'!$F$39))),34,""))))</f>
        <v/>
      </c>
      <c r="AJ92">
        <f>IF('Recurring Schedule'!$C$40="","",IF('Recurring Schedule'!$F$40="","",IF(OR($A92&lt;'Recurring Schedule'!$F$40,$A92&gt;'Recurring Schedule'!$P$40),"",IF(IF('Recurring Schedule'!$N$40&gt;0,MOD($A92-'Recurring Schedule'!$F$40,'Recurring Schedule'!$N$40)=0,IF('Recurring Schedule'!$O$40&gt;0,AND(DAY($A92)=MIN(DAY('Recurring Schedule'!$F$40),DAY(EOMONTH($A92,0))),MOD((YEAR($A92)-YEAR('Recurring Schedule'!$F$40))*12+MONTH($A92)-MONTH('Recurring Schedule'!$F$40),'Recurring Schedule'!$O$40)=0),IF('Recurring Schedule'!$E$40="Weekdays",WEEKDAY($A92,2)&lt;=5,$A92='Recurring Schedule'!$F$40))),35,""))))</f>
        <v/>
      </c>
      <c r="AK92">
        <f>IF('Recurring Schedule'!$C$41="","",IF('Recurring Schedule'!$F$41="","",IF(OR($A92&lt;'Recurring Schedule'!$F$41,$A92&gt;'Recurring Schedule'!$P$41),"",IF(IF('Recurring Schedule'!$N$41&gt;0,MOD($A92-'Recurring Schedule'!$F$41,'Recurring Schedule'!$N$41)=0,IF('Recurring Schedule'!$O$41&gt;0,AND(DAY($A92)=MIN(DAY('Recurring Schedule'!$F$41),DAY(EOMONTH($A92,0))),MOD((YEAR($A92)-YEAR('Recurring Schedule'!$F$41))*12+MONTH($A92)-MONTH('Recurring Schedule'!$F$41),'Recurring Schedule'!$O$41)=0),IF('Recurring Schedule'!$E$41="Weekdays",WEEKDAY($A92,2)&lt;=5,$A92='Recurring Schedule'!$F$41))),36,""))))</f>
        <v/>
      </c>
      <c r="AL92">
        <f>IF('Recurring Schedule'!$C$42="","",IF('Recurring Schedule'!$F$42="","",IF(OR($A92&lt;'Recurring Schedule'!$F$42,$A92&gt;'Recurring Schedule'!$P$42),"",IF(IF('Recurring Schedule'!$N$42&gt;0,MOD($A92-'Recurring Schedule'!$F$42,'Recurring Schedule'!$N$42)=0,IF('Recurring Schedule'!$O$42&gt;0,AND(DAY($A92)=MIN(DAY('Recurring Schedule'!$F$42),DAY(EOMONTH($A92,0))),MOD((YEAR($A92)-YEAR('Recurring Schedule'!$F$42))*12+MONTH($A92)-MONTH('Recurring Schedule'!$F$42),'Recurring Schedule'!$O$42)=0),IF('Recurring Schedule'!$E$42="Weekdays",WEEKDAY($A92,2)&lt;=5,$A92='Recurring Schedule'!$F$42))),37,""))))</f>
        <v/>
      </c>
      <c r="AM92">
        <f>IF('Recurring Schedule'!$C$43="","",IF('Recurring Schedule'!$F$43="","",IF(OR($A92&lt;'Recurring Schedule'!$F$43,$A92&gt;'Recurring Schedule'!$P$43),"",IF(IF('Recurring Schedule'!$N$43&gt;0,MOD($A92-'Recurring Schedule'!$F$43,'Recurring Schedule'!$N$43)=0,IF('Recurring Schedule'!$O$43&gt;0,AND(DAY($A92)=MIN(DAY('Recurring Schedule'!$F$43),DAY(EOMONTH($A92,0))),MOD((YEAR($A92)-YEAR('Recurring Schedule'!$F$43))*12+MONTH($A92)-MONTH('Recurring Schedule'!$F$43),'Recurring Schedule'!$O$43)=0),IF('Recurring Schedule'!$E$43="Weekdays",WEEKDAY($A92,2)&lt;=5,$A92='Recurring Schedule'!$F$43))),38,""))))</f>
        <v/>
      </c>
      <c r="AN92">
        <f>IF('Recurring Schedule'!$C$44="","",IF('Recurring Schedule'!$F$44="","",IF(OR($A92&lt;'Recurring Schedule'!$F$44,$A92&gt;'Recurring Schedule'!$P$44),"",IF(IF('Recurring Schedule'!$N$44&gt;0,MOD($A92-'Recurring Schedule'!$F$44,'Recurring Schedule'!$N$44)=0,IF('Recurring Schedule'!$O$44&gt;0,AND(DAY($A92)=MIN(DAY('Recurring Schedule'!$F$44),DAY(EOMONTH($A92,0))),MOD((YEAR($A92)-YEAR('Recurring Schedule'!$F$44))*12+MONTH($A92)-MONTH('Recurring Schedule'!$F$44),'Recurring Schedule'!$O$44)=0),IF('Recurring Schedule'!$E$44="Weekdays",WEEKDAY($A92,2)&lt;=5,$A92='Recurring Schedule'!$F$44))),39,""))))</f>
        <v/>
      </c>
      <c r="AO92">
        <f>IF('Recurring Schedule'!$C$45="","",IF('Recurring Schedule'!$F$45="","",IF(OR($A92&lt;'Recurring Schedule'!$F$45,$A92&gt;'Recurring Schedule'!$P$45),"",IF(IF('Recurring Schedule'!$N$45&gt;0,MOD($A92-'Recurring Schedule'!$F$45,'Recurring Schedule'!$N$45)=0,IF('Recurring Schedule'!$O$45&gt;0,AND(DAY($A92)=MIN(DAY('Recurring Schedule'!$F$45),DAY(EOMONTH($A92,0))),MOD((YEAR($A92)-YEAR('Recurring Schedule'!$F$45))*12+MONTH($A92)-MONTH('Recurring Schedule'!$F$45),'Recurring Schedule'!$O$45)=0),IF('Recurring Schedule'!$E$45="Weekdays",WEEKDAY($A92,2)&lt;=5,$A92='Recurring Schedule'!$F$45))),40,""))))</f>
        <v/>
      </c>
      <c r="AP92">
        <f>COUNT(B92:AO92)</f>
        <v/>
      </c>
      <c r="AQ92">
        <f>AQ91+AP91</f>
        <v/>
      </c>
      <c r="AS92" t="inlineStr">
        <is>
          <t>R</t>
        </is>
      </c>
      <c r="AT92" t="n">
        <v>96</v>
      </c>
      <c r="AU92">
        <f>'Recurring Log'!C96&amp;""</f>
        <v/>
      </c>
      <c r="AV92">
        <f>'Recurring Log'!D96&amp;""</f>
        <v/>
      </c>
      <c r="AW92">
        <f>IF('Recurring Log'!E96="","",'Recurring Log'!E96)</f>
        <v/>
      </c>
      <c r="AX92">
        <f>IF('Recurring Log'!G96="","",'Recurring Log'!G96)</f>
        <v/>
      </c>
      <c r="AY92">
        <f>IF('Recurring Log'!H96="","",'Recurring Log'!H96)</f>
        <v/>
      </c>
      <c r="AZ92">
        <f>IF(AU92="","",IF('Recurring Log'!J96="","Not Started",'Recurring Log'!J96))</f>
        <v/>
      </c>
      <c r="BA92">
        <f>'Recurring Log'!L96&amp;""</f>
        <v/>
      </c>
      <c r="BB92">
        <f>'Recurring Log'!M96&amp;""</f>
        <v/>
      </c>
      <c r="BC92">
        <f>'Recurring Log'!N96&amp;""</f>
        <v/>
      </c>
      <c r="BD92">
        <f>'Recurring Log'!O96&amp;""</f>
        <v/>
      </c>
      <c r="BE92">
        <f>IF('Recurring Log'!K96="","",'Recurring Log'!K96)</f>
        <v/>
      </c>
      <c r="BF92">
        <f>IFERROR(MATCH(BA92,Setup!$L$6:$L$9,0),5)</f>
        <v/>
      </c>
      <c r="BG92">
        <f>IF(OR(AZ92="Done",AZ92="Cancelled"),1,0)</f>
        <v/>
      </c>
      <c r="BH92">
        <f>IF(AND(AU92&lt;&gt;"",ISNUMBER(AW92)),1,0)</f>
        <v/>
      </c>
      <c r="BI92">
        <f>IF(BH92=0,0,IF(AND(AW92&gt;='Tasks Filter'!$F$3,AW92&lt;='Tasks Filter'!$F$4,OR('Tasks Filter'!$I$3="",ISNUMBER(SEARCH('Tasks Filter'!$I$3,AU92))),OR('Tasks Filter'!$I$4="",BF92=IFERROR(MATCH('Tasks Filter'!$I$4,Setup!$L$6:$L$9,0),0)),OR('Tasks Filter'!$I$5="Both",AND('Tasks Filter'!$I$5="Yes",BB92="✓"),AND('Tasks Filter'!$I$5="No",BB92&lt;&gt;"✓")),OR('Tasks Filter'!$L$3="",AV92='Tasks Filter'!$L$3),OR('Tasks Filter'!$L$4="",AZ92='Tasks Filter'!$L$4),OR('Tasks Filter'!$L$5="",BC92='Tasks Filter'!$L$5),OR('Tasks Filter'!$O$3="",BD92='Tasks Filter'!$O$3),OR('Tasks Filter'!$O$4="Yes",BG92=0)),1,0))</f>
        <v/>
      </c>
      <c r="BJ92">
        <f>IF(BH92=0,"",IF('Tasks Filter'!$F$6="Descending",-1,1)*CHOOSE(MATCH('Tasks Filter'!$F$5,Lists!$G$2:$G$6,0),AW92,BF92,IFERROR(MATCH(AV92,Setup!$F$6:$F$15,0),99),IFERROR(MATCH(BC92,Setup!$H$6:$H$15,0),99),IFERROR(MATCH(AZ92,Setup!$J$6:$J$11,0),99))*1E+9+(AW92-40000)*10000+91)</f>
        <v/>
      </c>
      <c r="BK92">
        <f>IF(BI92=1,BJ92,"")</f>
        <v/>
      </c>
      <c r="BL92">
        <f>IF(AND(BH92=1,BG92=0,N(AW92)&lt;Setup!$D$7),(AW92-40000)*10000+91,"")</f>
        <v/>
      </c>
      <c r="BM92">
        <f>IF(AND(BH92=1,AZ92&lt;&gt;"Cancelled",N(AW92)&gt;=Dashboard!$AB$3,N(AW92)&lt;=Dashboard!$AB$3+6),(AW92-40000)*100000+BF92*10000+91,"")</f>
        <v/>
      </c>
      <c r="BN92">
        <f>IF(AND(BH92=1,AZ92&lt;&gt;"Cancelled"),BF92*10000+91,"")</f>
        <v/>
      </c>
    </row>
    <row r="93">
      <c r="A93">
        <f>Setup!$D$5+91</f>
        <v/>
      </c>
      <c r="B93">
        <f>IF('Recurring Schedule'!$C$6="","",IF('Recurring Schedule'!$F$6="","",IF(OR($A93&lt;'Recurring Schedule'!$F$6,$A93&gt;'Recurring Schedule'!$P$6),"",IF(IF('Recurring Schedule'!$N$6&gt;0,MOD($A93-'Recurring Schedule'!$F$6,'Recurring Schedule'!$N$6)=0,IF('Recurring Schedule'!$O$6&gt;0,AND(DAY($A93)=MIN(DAY('Recurring Schedule'!$F$6),DAY(EOMONTH($A93,0))),MOD((YEAR($A93)-YEAR('Recurring Schedule'!$F$6))*12+MONTH($A93)-MONTH('Recurring Schedule'!$F$6),'Recurring Schedule'!$O$6)=0),IF('Recurring Schedule'!$E$6="Weekdays",WEEKDAY($A93,2)&lt;=5,$A93='Recurring Schedule'!$F$6))),1,""))))</f>
        <v/>
      </c>
      <c r="C93">
        <f>IF('Recurring Schedule'!$C$7="","",IF('Recurring Schedule'!$F$7="","",IF(OR($A93&lt;'Recurring Schedule'!$F$7,$A93&gt;'Recurring Schedule'!$P$7),"",IF(IF('Recurring Schedule'!$N$7&gt;0,MOD($A93-'Recurring Schedule'!$F$7,'Recurring Schedule'!$N$7)=0,IF('Recurring Schedule'!$O$7&gt;0,AND(DAY($A93)=MIN(DAY('Recurring Schedule'!$F$7),DAY(EOMONTH($A93,0))),MOD((YEAR($A93)-YEAR('Recurring Schedule'!$F$7))*12+MONTH($A93)-MONTH('Recurring Schedule'!$F$7),'Recurring Schedule'!$O$7)=0),IF('Recurring Schedule'!$E$7="Weekdays",WEEKDAY($A93,2)&lt;=5,$A93='Recurring Schedule'!$F$7))),2,""))))</f>
        <v/>
      </c>
      <c r="D93">
        <f>IF('Recurring Schedule'!$C$8="","",IF('Recurring Schedule'!$F$8="","",IF(OR($A93&lt;'Recurring Schedule'!$F$8,$A93&gt;'Recurring Schedule'!$P$8),"",IF(IF('Recurring Schedule'!$N$8&gt;0,MOD($A93-'Recurring Schedule'!$F$8,'Recurring Schedule'!$N$8)=0,IF('Recurring Schedule'!$O$8&gt;0,AND(DAY($A93)=MIN(DAY('Recurring Schedule'!$F$8),DAY(EOMONTH($A93,0))),MOD((YEAR($A93)-YEAR('Recurring Schedule'!$F$8))*12+MONTH($A93)-MONTH('Recurring Schedule'!$F$8),'Recurring Schedule'!$O$8)=0),IF('Recurring Schedule'!$E$8="Weekdays",WEEKDAY($A93,2)&lt;=5,$A93='Recurring Schedule'!$F$8))),3,""))))</f>
        <v/>
      </c>
      <c r="E93">
        <f>IF('Recurring Schedule'!$C$9="","",IF('Recurring Schedule'!$F$9="","",IF(OR($A93&lt;'Recurring Schedule'!$F$9,$A93&gt;'Recurring Schedule'!$P$9),"",IF(IF('Recurring Schedule'!$N$9&gt;0,MOD($A93-'Recurring Schedule'!$F$9,'Recurring Schedule'!$N$9)=0,IF('Recurring Schedule'!$O$9&gt;0,AND(DAY($A93)=MIN(DAY('Recurring Schedule'!$F$9),DAY(EOMONTH($A93,0))),MOD((YEAR($A93)-YEAR('Recurring Schedule'!$F$9))*12+MONTH($A93)-MONTH('Recurring Schedule'!$F$9),'Recurring Schedule'!$O$9)=0),IF('Recurring Schedule'!$E$9="Weekdays",WEEKDAY($A93,2)&lt;=5,$A93='Recurring Schedule'!$F$9))),4,""))))</f>
        <v/>
      </c>
      <c r="F93">
        <f>IF('Recurring Schedule'!$C$10="","",IF('Recurring Schedule'!$F$10="","",IF(OR($A93&lt;'Recurring Schedule'!$F$10,$A93&gt;'Recurring Schedule'!$P$10),"",IF(IF('Recurring Schedule'!$N$10&gt;0,MOD($A93-'Recurring Schedule'!$F$10,'Recurring Schedule'!$N$10)=0,IF('Recurring Schedule'!$O$10&gt;0,AND(DAY($A93)=MIN(DAY('Recurring Schedule'!$F$10),DAY(EOMONTH($A93,0))),MOD((YEAR($A93)-YEAR('Recurring Schedule'!$F$10))*12+MONTH($A93)-MONTH('Recurring Schedule'!$F$10),'Recurring Schedule'!$O$10)=0),IF('Recurring Schedule'!$E$10="Weekdays",WEEKDAY($A93,2)&lt;=5,$A93='Recurring Schedule'!$F$10))),5,""))))</f>
        <v/>
      </c>
      <c r="G93">
        <f>IF('Recurring Schedule'!$C$11="","",IF('Recurring Schedule'!$F$11="","",IF(OR($A93&lt;'Recurring Schedule'!$F$11,$A93&gt;'Recurring Schedule'!$P$11),"",IF(IF('Recurring Schedule'!$N$11&gt;0,MOD($A93-'Recurring Schedule'!$F$11,'Recurring Schedule'!$N$11)=0,IF('Recurring Schedule'!$O$11&gt;0,AND(DAY($A93)=MIN(DAY('Recurring Schedule'!$F$11),DAY(EOMONTH($A93,0))),MOD((YEAR($A93)-YEAR('Recurring Schedule'!$F$11))*12+MONTH($A93)-MONTH('Recurring Schedule'!$F$11),'Recurring Schedule'!$O$11)=0),IF('Recurring Schedule'!$E$11="Weekdays",WEEKDAY($A93,2)&lt;=5,$A93='Recurring Schedule'!$F$11))),6,""))))</f>
        <v/>
      </c>
      <c r="H93">
        <f>IF('Recurring Schedule'!$C$12="","",IF('Recurring Schedule'!$F$12="","",IF(OR($A93&lt;'Recurring Schedule'!$F$12,$A93&gt;'Recurring Schedule'!$P$12),"",IF(IF('Recurring Schedule'!$N$12&gt;0,MOD($A93-'Recurring Schedule'!$F$12,'Recurring Schedule'!$N$12)=0,IF('Recurring Schedule'!$O$12&gt;0,AND(DAY($A93)=MIN(DAY('Recurring Schedule'!$F$12),DAY(EOMONTH($A93,0))),MOD((YEAR($A93)-YEAR('Recurring Schedule'!$F$12))*12+MONTH($A93)-MONTH('Recurring Schedule'!$F$12),'Recurring Schedule'!$O$12)=0),IF('Recurring Schedule'!$E$12="Weekdays",WEEKDAY($A93,2)&lt;=5,$A93='Recurring Schedule'!$F$12))),7,""))))</f>
        <v/>
      </c>
      <c r="I93">
        <f>IF('Recurring Schedule'!$C$13="","",IF('Recurring Schedule'!$F$13="","",IF(OR($A93&lt;'Recurring Schedule'!$F$13,$A93&gt;'Recurring Schedule'!$P$13),"",IF(IF('Recurring Schedule'!$N$13&gt;0,MOD($A93-'Recurring Schedule'!$F$13,'Recurring Schedule'!$N$13)=0,IF('Recurring Schedule'!$O$13&gt;0,AND(DAY($A93)=MIN(DAY('Recurring Schedule'!$F$13),DAY(EOMONTH($A93,0))),MOD((YEAR($A93)-YEAR('Recurring Schedule'!$F$13))*12+MONTH($A93)-MONTH('Recurring Schedule'!$F$13),'Recurring Schedule'!$O$13)=0),IF('Recurring Schedule'!$E$13="Weekdays",WEEKDAY($A93,2)&lt;=5,$A93='Recurring Schedule'!$F$13))),8,""))))</f>
        <v/>
      </c>
      <c r="J93">
        <f>IF('Recurring Schedule'!$C$14="","",IF('Recurring Schedule'!$F$14="","",IF(OR($A93&lt;'Recurring Schedule'!$F$14,$A93&gt;'Recurring Schedule'!$P$14),"",IF(IF('Recurring Schedule'!$N$14&gt;0,MOD($A93-'Recurring Schedule'!$F$14,'Recurring Schedule'!$N$14)=0,IF('Recurring Schedule'!$O$14&gt;0,AND(DAY($A93)=MIN(DAY('Recurring Schedule'!$F$14),DAY(EOMONTH($A93,0))),MOD((YEAR($A93)-YEAR('Recurring Schedule'!$F$14))*12+MONTH($A93)-MONTH('Recurring Schedule'!$F$14),'Recurring Schedule'!$O$14)=0),IF('Recurring Schedule'!$E$14="Weekdays",WEEKDAY($A93,2)&lt;=5,$A93='Recurring Schedule'!$F$14))),9,""))))</f>
        <v/>
      </c>
      <c r="K93">
        <f>IF('Recurring Schedule'!$C$15="","",IF('Recurring Schedule'!$F$15="","",IF(OR($A93&lt;'Recurring Schedule'!$F$15,$A93&gt;'Recurring Schedule'!$P$15),"",IF(IF('Recurring Schedule'!$N$15&gt;0,MOD($A93-'Recurring Schedule'!$F$15,'Recurring Schedule'!$N$15)=0,IF('Recurring Schedule'!$O$15&gt;0,AND(DAY($A93)=MIN(DAY('Recurring Schedule'!$F$15),DAY(EOMONTH($A93,0))),MOD((YEAR($A93)-YEAR('Recurring Schedule'!$F$15))*12+MONTH($A93)-MONTH('Recurring Schedule'!$F$15),'Recurring Schedule'!$O$15)=0),IF('Recurring Schedule'!$E$15="Weekdays",WEEKDAY($A93,2)&lt;=5,$A93='Recurring Schedule'!$F$15))),10,""))))</f>
        <v/>
      </c>
      <c r="L93">
        <f>IF('Recurring Schedule'!$C$16="","",IF('Recurring Schedule'!$F$16="","",IF(OR($A93&lt;'Recurring Schedule'!$F$16,$A93&gt;'Recurring Schedule'!$P$16),"",IF(IF('Recurring Schedule'!$N$16&gt;0,MOD($A93-'Recurring Schedule'!$F$16,'Recurring Schedule'!$N$16)=0,IF('Recurring Schedule'!$O$16&gt;0,AND(DAY($A93)=MIN(DAY('Recurring Schedule'!$F$16),DAY(EOMONTH($A93,0))),MOD((YEAR($A93)-YEAR('Recurring Schedule'!$F$16))*12+MONTH($A93)-MONTH('Recurring Schedule'!$F$16),'Recurring Schedule'!$O$16)=0),IF('Recurring Schedule'!$E$16="Weekdays",WEEKDAY($A93,2)&lt;=5,$A93='Recurring Schedule'!$F$16))),11,""))))</f>
        <v/>
      </c>
      <c r="M93">
        <f>IF('Recurring Schedule'!$C$17="","",IF('Recurring Schedule'!$F$17="","",IF(OR($A93&lt;'Recurring Schedule'!$F$17,$A93&gt;'Recurring Schedule'!$P$17),"",IF(IF('Recurring Schedule'!$N$17&gt;0,MOD($A93-'Recurring Schedule'!$F$17,'Recurring Schedule'!$N$17)=0,IF('Recurring Schedule'!$O$17&gt;0,AND(DAY($A93)=MIN(DAY('Recurring Schedule'!$F$17),DAY(EOMONTH($A93,0))),MOD((YEAR($A93)-YEAR('Recurring Schedule'!$F$17))*12+MONTH($A93)-MONTH('Recurring Schedule'!$F$17),'Recurring Schedule'!$O$17)=0),IF('Recurring Schedule'!$E$17="Weekdays",WEEKDAY($A93,2)&lt;=5,$A93='Recurring Schedule'!$F$17))),12,""))))</f>
        <v/>
      </c>
      <c r="N93">
        <f>IF('Recurring Schedule'!$C$18="","",IF('Recurring Schedule'!$F$18="","",IF(OR($A93&lt;'Recurring Schedule'!$F$18,$A93&gt;'Recurring Schedule'!$P$18),"",IF(IF('Recurring Schedule'!$N$18&gt;0,MOD($A93-'Recurring Schedule'!$F$18,'Recurring Schedule'!$N$18)=0,IF('Recurring Schedule'!$O$18&gt;0,AND(DAY($A93)=MIN(DAY('Recurring Schedule'!$F$18),DAY(EOMONTH($A93,0))),MOD((YEAR($A93)-YEAR('Recurring Schedule'!$F$18))*12+MONTH($A93)-MONTH('Recurring Schedule'!$F$18),'Recurring Schedule'!$O$18)=0),IF('Recurring Schedule'!$E$18="Weekdays",WEEKDAY($A93,2)&lt;=5,$A93='Recurring Schedule'!$F$18))),13,""))))</f>
        <v/>
      </c>
      <c r="O93">
        <f>IF('Recurring Schedule'!$C$19="","",IF('Recurring Schedule'!$F$19="","",IF(OR($A93&lt;'Recurring Schedule'!$F$19,$A93&gt;'Recurring Schedule'!$P$19),"",IF(IF('Recurring Schedule'!$N$19&gt;0,MOD($A93-'Recurring Schedule'!$F$19,'Recurring Schedule'!$N$19)=0,IF('Recurring Schedule'!$O$19&gt;0,AND(DAY($A93)=MIN(DAY('Recurring Schedule'!$F$19),DAY(EOMONTH($A93,0))),MOD((YEAR($A93)-YEAR('Recurring Schedule'!$F$19))*12+MONTH($A93)-MONTH('Recurring Schedule'!$F$19),'Recurring Schedule'!$O$19)=0),IF('Recurring Schedule'!$E$19="Weekdays",WEEKDAY($A93,2)&lt;=5,$A93='Recurring Schedule'!$F$19))),14,""))))</f>
        <v/>
      </c>
      <c r="P93">
        <f>IF('Recurring Schedule'!$C$20="","",IF('Recurring Schedule'!$F$20="","",IF(OR($A93&lt;'Recurring Schedule'!$F$20,$A93&gt;'Recurring Schedule'!$P$20),"",IF(IF('Recurring Schedule'!$N$20&gt;0,MOD($A93-'Recurring Schedule'!$F$20,'Recurring Schedule'!$N$20)=0,IF('Recurring Schedule'!$O$20&gt;0,AND(DAY($A93)=MIN(DAY('Recurring Schedule'!$F$20),DAY(EOMONTH($A93,0))),MOD((YEAR($A93)-YEAR('Recurring Schedule'!$F$20))*12+MONTH($A93)-MONTH('Recurring Schedule'!$F$20),'Recurring Schedule'!$O$20)=0),IF('Recurring Schedule'!$E$20="Weekdays",WEEKDAY($A93,2)&lt;=5,$A93='Recurring Schedule'!$F$20))),15,""))))</f>
        <v/>
      </c>
      <c r="Q93">
        <f>IF('Recurring Schedule'!$C$21="","",IF('Recurring Schedule'!$F$21="","",IF(OR($A93&lt;'Recurring Schedule'!$F$21,$A93&gt;'Recurring Schedule'!$P$21),"",IF(IF('Recurring Schedule'!$N$21&gt;0,MOD($A93-'Recurring Schedule'!$F$21,'Recurring Schedule'!$N$21)=0,IF('Recurring Schedule'!$O$21&gt;0,AND(DAY($A93)=MIN(DAY('Recurring Schedule'!$F$21),DAY(EOMONTH($A93,0))),MOD((YEAR($A93)-YEAR('Recurring Schedule'!$F$21))*12+MONTH($A93)-MONTH('Recurring Schedule'!$F$21),'Recurring Schedule'!$O$21)=0),IF('Recurring Schedule'!$E$21="Weekdays",WEEKDAY($A93,2)&lt;=5,$A93='Recurring Schedule'!$F$21))),16,""))))</f>
        <v/>
      </c>
      <c r="R93">
        <f>IF('Recurring Schedule'!$C$22="","",IF('Recurring Schedule'!$F$22="","",IF(OR($A93&lt;'Recurring Schedule'!$F$22,$A93&gt;'Recurring Schedule'!$P$22),"",IF(IF('Recurring Schedule'!$N$22&gt;0,MOD($A93-'Recurring Schedule'!$F$22,'Recurring Schedule'!$N$22)=0,IF('Recurring Schedule'!$O$22&gt;0,AND(DAY($A93)=MIN(DAY('Recurring Schedule'!$F$22),DAY(EOMONTH($A93,0))),MOD((YEAR($A93)-YEAR('Recurring Schedule'!$F$22))*12+MONTH($A93)-MONTH('Recurring Schedule'!$F$22),'Recurring Schedule'!$O$22)=0),IF('Recurring Schedule'!$E$22="Weekdays",WEEKDAY($A93,2)&lt;=5,$A93='Recurring Schedule'!$F$22))),17,""))))</f>
        <v/>
      </c>
      <c r="S93">
        <f>IF('Recurring Schedule'!$C$23="","",IF('Recurring Schedule'!$F$23="","",IF(OR($A93&lt;'Recurring Schedule'!$F$23,$A93&gt;'Recurring Schedule'!$P$23),"",IF(IF('Recurring Schedule'!$N$23&gt;0,MOD($A93-'Recurring Schedule'!$F$23,'Recurring Schedule'!$N$23)=0,IF('Recurring Schedule'!$O$23&gt;0,AND(DAY($A93)=MIN(DAY('Recurring Schedule'!$F$23),DAY(EOMONTH($A93,0))),MOD((YEAR($A93)-YEAR('Recurring Schedule'!$F$23))*12+MONTH($A93)-MONTH('Recurring Schedule'!$F$23),'Recurring Schedule'!$O$23)=0),IF('Recurring Schedule'!$E$23="Weekdays",WEEKDAY($A93,2)&lt;=5,$A93='Recurring Schedule'!$F$23))),18,""))))</f>
        <v/>
      </c>
      <c r="T93">
        <f>IF('Recurring Schedule'!$C$24="","",IF('Recurring Schedule'!$F$24="","",IF(OR($A93&lt;'Recurring Schedule'!$F$24,$A93&gt;'Recurring Schedule'!$P$24),"",IF(IF('Recurring Schedule'!$N$24&gt;0,MOD($A93-'Recurring Schedule'!$F$24,'Recurring Schedule'!$N$24)=0,IF('Recurring Schedule'!$O$24&gt;0,AND(DAY($A93)=MIN(DAY('Recurring Schedule'!$F$24),DAY(EOMONTH($A93,0))),MOD((YEAR($A93)-YEAR('Recurring Schedule'!$F$24))*12+MONTH($A93)-MONTH('Recurring Schedule'!$F$24),'Recurring Schedule'!$O$24)=0),IF('Recurring Schedule'!$E$24="Weekdays",WEEKDAY($A93,2)&lt;=5,$A93='Recurring Schedule'!$F$24))),19,""))))</f>
        <v/>
      </c>
      <c r="U93">
        <f>IF('Recurring Schedule'!$C$25="","",IF('Recurring Schedule'!$F$25="","",IF(OR($A93&lt;'Recurring Schedule'!$F$25,$A93&gt;'Recurring Schedule'!$P$25),"",IF(IF('Recurring Schedule'!$N$25&gt;0,MOD($A93-'Recurring Schedule'!$F$25,'Recurring Schedule'!$N$25)=0,IF('Recurring Schedule'!$O$25&gt;0,AND(DAY($A93)=MIN(DAY('Recurring Schedule'!$F$25),DAY(EOMONTH($A93,0))),MOD((YEAR($A93)-YEAR('Recurring Schedule'!$F$25))*12+MONTH($A93)-MONTH('Recurring Schedule'!$F$25),'Recurring Schedule'!$O$25)=0),IF('Recurring Schedule'!$E$25="Weekdays",WEEKDAY($A93,2)&lt;=5,$A93='Recurring Schedule'!$F$25))),20,""))))</f>
        <v/>
      </c>
      <c r="V93">
        <f>IF('Recurring Schedule'!$C$26="","",IF('Recurring Schedule'!$F$26="","",IF(OR($A93&lt;'Recurring Schedule'!$F$26,$A93&gt;'Recurring Schedule'!$P$26),"",IF(IF('Recurring Schedule'!$N$26&gt;0,MOD($A93-'Recurring Schedule'!$F$26,'Recurring Schedule'!$N$26)=0,IF('Recurring Schedule'!$O$26&gt;0,AND(DAY($A93)=MIN(DAY('Recurring Schedule'!$F$26),DAY(EOMONTH($A93,0))),MOD((YEAR($A93)-YEAR('Recurring Schedule'!$F$26))*12+MONTH($A93)-MONTH('Recurring Schedule'!$F$26),'Recurring Schedule'!$O$26)=0),IF('Recurring Schedule'!$E$26="Weekdays",WEEKDAY($A93,2)&lt;=5,$A93='Recurring Schedule'!$F$26))),21,""))))</f>
        <v/>
      </c>
      <c r="W93">
        <f>IF('Recurring Schedule'!$C$27="","",IF('Recurring Schedule'!$F$27="","",IF(OR($A93&lt;'Recurring Schedule'!$F$27,$A93&gt;'Recurring Schedule'!$P$27),"",IF(IF('Recurring Schedule'!$N$27&gt;0,MOD($A93-'Recurring Schedule'!$F$27,'Recurring Schedule'!$N$27)=0,IF('Recurring Schedule'!$O$27&gt;0,AND(DAY($A93)=MIN(DAY('Recurring Schedule'!$F$27),DAY(EOMONTH($A93,0))),MOD((YEAR($A93)-YEAR('Recurring Schedule'!$F$27))*12+MONTH($A93)-MONTH('Recurring Schedule'!$F$27),'Recurring Schedule'!$O$27)=0),IF('Recurring Schedule'!$E$27="Weekdays",WEEKDAY($A93,2)&lt;=5,$A93='Recurring Schedule'!$F$27))),22,""))))</f>
        <v/>
      </c>
      <c r="X93">
        <f>IF('Recurring Schedule'!$C$28="","",IF('Recurring Schedule'!$F$28="","",IF(OR($A93&lt;'Recurring Schedule'!$F$28,$A93&gt;'Recurring Schedule'!$P$28),"",IF(IF('Recurring Schedule'!$N$28&gt;0,MOD($A93-'Recurring Schedule'!$F$28,'Recurring Schedule'!$N$28)=0,IF('Recurring Schedule'!$O$28&gt;0,AND(DAY($A93)=MIN(DAY('Recurring Schedule'!$F$28),DAY(EOMONTH($A93,0))),MOD((YEAR($A93)-YEAR('Recurring Schedule'!$F$28))*12+MONTH($A93)-MONTH('Recurring Schedule'!$F$28),'Recurring Schedule'!$O$28)=0),IF('Recurring Schedule'!$E$28="Weekdays",WEEKDAY($A93,2)&lt;=5,$A93='Recurring Schedule'!$F$28))),23,""))))</f>
        <v/>
      </c>
      <c r="Y93">
        <f>IF('Recurring Schedule'!$C$29="","",IF('Recurring Schedule'!$F$29="","",IF(OR($A93&lt;'Recurring Schedule'!$F$29,$A93&gt;'Recurring Schedule'!$P$29),"",IF(IF('Recurring Schedule'!$N$29&gt;0,MOD($A93-'Recurring Schedule'!$F$29,'Recurring Schedule'!$N$29)=0,IF('Recurring Schedule'!$O$29&gt;0,AND(DAY($A93)=MIN(DAY('Recurring Schedule'!$F$29),DAY(EOMONTH($A93,0))),MOD((YEAR($A93)-YEAR('Recurring Schedule'!$F$29))*12+MONTH($A93)-MONTH('Recurring Schedule'!$F$29),'Recurring Schedule'!$O$29)=0),IF('Recurring Schedule'!$E$29="Weekdays",WEEKDAY($A93,2)&lt;=5,$A93='Recurring Schedule'!$F$29))),24,""))))</f>
        <v/>
      </c>
      <c r="Z93">
        <f>IF('Recurring Schedule'!$C$30="","",IF('Recurring Schedule'!$F$30="","",IF(OR($A93&lt;'Recurring Schedule'!$F$30,$A93&gt;'Recurring Schedule'!$P$30),"",IF(IF('Recurring Schedule'!$N$30&gt;0,MOD($A93-'Recurring Schedule'!$F$30,'Recurring Schedule'!$N$30)=0,IF('Recurring Schedule'!$O$30&gt;0,AND(DAY($A93)=MIN(DAY('Recurring Schedule'!$F$30),DAY(EOMONTH($A93,0))),MOD((YEAR($A93)-YEAR('Recurring Schedule'!$F$30))*12+MONTH($A93)-MONTH('Recurring Schedule'!$F$30),'Recurring Schedule'!$O$30)=0),IF('Recurring Schedule'!$E$30="Weekdays",WEEKDAY($A93,2)&lt;=5,$A93='Recurring Schedule'!$F$30))),25,""))))</f>
        <v/>
      </c>
      <c r="AA93">
        <f>IF('Recurring Schedule'!$C$31="","",IF('Recurring Schedule'!$F$31="","",IF(OR($A93&lt;'Recurring Schedule'!$F$31,$A93&gt;'Recurring Schedule'!$P$31),"",IF(IF('Recurring Schedule'!$N$31&gt;0,MOD($A93-'Recurring Schedule'!$F$31,'Recurring Schedule'!$N$31)=0,IF('Recurring Schedule'!$O$31&gt;0,AND(DAY($A93)=MIN(DAY('Recurring Schedule'!$F$31),DAY(EOMONTH($A93,0))),MOD((YEAR($A93)-YEAR('Recurring Schedule'!$F$31))*12+MONTH($A93)-MONTH('Recurring Schedule'!$F$31),'Recurring Schedule'!$O$31)=0),IF('Recurring Schedule'!$E$31="Weekdays",WEEKDAY($A93,2)&lt;=5,$A93='Recurring Schedule'!$F$31))),26,""))))</f>
        <v/>
      </c>
      <c r="AB93">
        <f>IF('Recurring Schedule'!$C$32="","",IF('Recurring Schedule'!$F$32="","",IF(OR($A93&lt;'Recurring Schedule'!$F$32,$A93&gt;'Recurring Schedule'!$P$32),"",IF(IF('Recurring Schedule'!$N$32&gt;0,MOD($A93-'Recurring Schedule'!$F$32,'Recurring Schedule'!$N$32)=0,IF('Recurring Schedule'!$O$32&gt;0,AND(DAY($A93)=MIN(DAY('Recurring Schedule'!$F$32),DAY(EOMONTH($A93,0))),MOD((YEAR($A93)-YEAR('Recurring Schedule'!$F$32))*12+MONTH($A93)-MONTH('Recurring Schedule'!$F$32),'Recurring Schedule'!$O$32)=0),IF('Recurring Schedule'!$E$32="Weekdays",WEEKDAY($A93,2)&lt;=5,$A93='Recurring Schedule'!$F$32))),27,""))))</f>
        <v/>
      </c>
      <c r="AC93">
        <f>IF('Recurring Schedule'!$C$33="","",IF('Recurring Schedule'!$F$33="","",IF(OR($A93&lt;'Recurring Schedule'!$F$33,$A93&gt;'Recurring Schedule'!$P$33),"",IF(IF('Recurring Schedule'!$N$33&gt;0,MOD($A93-'Recurring Schedule'!$F$33,'Recurring Schedule'!$N$33)=0,IF('Recurring Schedule'!$O$33&gt;0,AND(DAY($A93)=MIN(DAY('Recurring Schedule'!$F$33),DAY(EOMONTH($A93,0))),MOD((YEAR($A93)-YEAR('Recurring Schedule'!$F$33))*12+MONTH($A93)-MONTH('Recurring Schedule'!$F$33),'Recurring Schedule'!$O$33)=0),IF('Recurring Schedule'!$E$33="Weekdays",WEEKDAY($A93,2)&lt;=5,$A93='Recurring Schedule'!$F$33))),28,""))))</f>
        <v/>
      </c>
      <c r="AD93">
        <f>IF('Recurring Schedule'!$C$34="","",IF('Recurring Schedule'!$F$34="","",IF(OR($A93&lt;'Recurring Schedule'!$F$34,$A93&gt;'Recurring Schedule'!$P$34),"",IF(IF('Recurring Schedule'!$N$34&gt;0,MOD($A93-'Recurring Schedule'!$F$34,'Recurring Schedule'!$N$34)=0,IF('Recurring Schedule'!$O$34&gt;0,AND(DAY($A93)=MIN(DAY('Recurring Schedule'!$F$34),DAY(EOMONTH($A93,0))),MOD((YEAR($A93)-YEAR('Recurring Schedule'!$F$34))*12+MONTH($A93)-MONTH('Recurring Schedule'!$F$34),'Recurring Schedule'!$O$34)=0),IF('Recurring Schedule'!$E$34="Weekdays",WEEKDAY($A93,2)&lt;=5,$A93='Recurring Schedule'!$F$34))),29,""))))</f>
        <v/>
      </c>
      <c r="AE93">
        <f>IF('Recurring Schedule'!$C$35="","",IF('Recurring Schedule'!$F$35="","",IF(OR($A93&lt;'Recurring Schedule'!$F$35,$A93&gt;'Recurring Schedule'!$P$35),"",IF(IF('Recurring Schedule'!$N$35&gt;0,MOD($A93-'Recurring Schedule'!$F$35,'Recurring Schedule'!$N$35)=0,IF('Recurring Schedule'!$O$35&gt;0,AND(DAY($A93)=MIN(DAY('Recurring Schedule'!$F$35),DAY(EOMONTH($A93,0))),MOD((YEAR($A93)-YEAR('Recurring Schedule'!$F$35))*12+MONTH($A93)-MONTH('Recurring Schedule'!$F$35),'Recurring Schedule'!$O$35)=0),IF('Recurring Schedule'!$E$35="Weekdays",WEEKDAY($A93,2)&lt;=5,$A93='Recurring Schedule'!$F$35))),30,""))))</f>
        <v/>
      </c>
      <c r="AF93">
        <f>IF('Recurring Schedule'!$C$36="","",IF('Recurring Schedule'!$F$36="","",IF(OR($A93&lt;'Recurring Schedule'!$F$36,$A93&gt;'Recurring Schedule'!$P$36),"",IF(IF('Recurring Schedule'!$N$36&gt;0,MOD($A93-'Recurring Schedule'!$F$36,'Recurring Schedule'!$N$36)=0,IF('Recurring Schedule'!$O$36&gt;0,AND(DAY($A93)=MIN(DAY('Recurring Schedule'!$F$36),DAY(EOMONTH($A93,0))),MOD((YEAR($A93)-YEAR('Recurring Schedule'!$F$36))*12+MONTH($A93)-MONTH('Recurring Schedule'!$F$36),'Recurring Schedule'!$O$36)=0),IF('Recurring Schedule'!$E$36="Weekdays",WEEKDAY($A93,2)&lt;=5,$A93='Recurring Schedule'!$F$36))),31,""))))</f>
        <v/>
      </c>
      <c r="AG93">
        <f>IF('Recurring Schedule'!$C$37="","",IF('Recurring Schedule'!$F$37="","",IF(OR($A93&lt;'Recurring Schedule'!$F$37,$A93&gt;'Recurring Schedule'!$P$37),"",IF(IF('Recurring Schedule'!$N$37&gt;0,MOD($A93-'Recurring Schedule'!$F$37,'Recurring Schedule'!$N$37)=0,IF('Recurring Schedule'!$O$37&gt;0,AND(DAY($A93)=MIN(DAY('Recurring Schedule'!$F$37),DAY(EOMONTH($A93,0))),MOD((YEAR($A93)-YEAR('Recurring Schedule'!$F$37))*12+MONTH($A93)-MONTH('Recurring Schedule'!$F$37),'Recurring Schedule'!$O$37)=0),IF('Recurring Schedule'!$E$37="Weekdays",WEEKDAY($A93,2)&lt;=5,$A93='Recurring Schedule'!$F$37))),32,""))))</f>
        <v/>
      </c>
      <c r="AH93">
        <f>IF('Recurring Schedule'!$C$38="","",IF('Recurring Schedule'!$F$38="","",IF(OR($A93&lt;'Recurring Schedule'!$F$38,$A93&gt;'Recurring Schedule'!$P$38),"",IF(IF('Recurring Schedule'!$N$38&gt;0,MOD($A93-'Recurring Schedule'!$F$38,'Recurring Schedule'!$N$38)=0,IF('Recurring Schedule'!$O$38&gt;0,AND(DAY($A93)=MIN(DAY('Recurring Schedule'!$F$38),DAY(EOMONTH($A93,0))),MOD((YEAR($A93)-YEAR('Recurring Schedule'!$F$38))*12+MONTH($A93)-MONTH('Recurring Schedule'!$F$38),'Recurring Schedule'!$O$38)=0),IF('Recurring Schedule'!$E$38="Weekdays",WEEKDAY($A93,2)&lt;=5,$A93='Recurring Schedule'!$F$38))),33,""))))</f>
        <v/>
      </c>
      <c r="AI93">
        <f>IF('Recurring Schedule'!$C$39="","",IF('Recurring Schedule'!$F$39="","",IF(OR($A93&lt;'Recurring Schedule'!$F$39,$A93&gt;'Recurring Schedule'!$P$39),"",IF(IF('Recurring Schedule'!$N$39&gt;0,MOD($A93-'Recurring Schedule'!$F$39,'Recurring Schedule'!$N$39)=0,IF('Recurring Schedule'!$O$39&gt;0,AND(DAY($A93)=MIN(DAY('Recurring Schedule'!$F$39),DAY(EOMONTH($A93,0))),MOD((YEAR($A93)-YEAR('Recurring Schedule'!$F$39))*12+MONTH($A93)-MONTH('Recurring Schedule'!$F$39),'Recurring Schedule'!$O$39)=0),IF('Recurring Schedule'!$E$39="Weekdays",WEEKDAY($A93,2)&lt;=5,$A93='Recurring Schedule'!$F$39))),34,""))))</f>
        <v/>
      </c>
      <c r="AJ93">
        <f>IF('Recurring Schedule'!$C$40="","",IF('Recurring Schedule'!$F$40="","",IF(OR($A93&lt;'Recurring Schedule'!$F$40,$A93&gt;'Recurring Schedule'!$P$40),"",IF(IF('Recurring Schedule'!$N$40&gt;0,MOD($A93-'Recurring Schedule'!$F$40,'Recurring Schedule'!$N$40)=0,IF('Recurring Schedule'!$O$40&gt;0,AND(DAY($A93)=MIN(DAY('Recurring Schedule'!$F$40),DAY(EOMONTH($A93,0))),MOD((YEAR($A93)-YEAR('Recurring Schedule'!$F$40))*12+MONTH($A93)-MONTH('Recurring Schedule'!$F$40),'Recurring Schedule'!$O$40)=0),IF('Recurring Schedule'!$E$40="Weekdays",WEEKDAY($A93,2)&lt;=5,$A93='Recurring Schedule'!$F$40))),35,""))))</f>
        <v/>
      </c>
      <c r="AK93">
        <f>IF('Recurring Schedule'!$C$41="","",IF('Recurring Schedule'!$F$41="","",IF(OR($A93&lt;'Recurring Schedule'!$F$41,$A93&gt;'Recurring Schedule'!$P$41),"",IF(IF('Recurring Schedule'!$N$41&gt;0,MOD($A93-'Recurring Schedule'!$F$41,'Recurring Schedule'!$N$41)=0,IF('Recurring Schedule'!$O$41&gt;0,AND(DAY($A93)=MIN(DAY('Recurring Schedule'!$F$41),DAY(EOMONTH($A93,0))),MOD((YEAR($A93)-YEAR('Recurring Schedule'!$F$41))*12+MONTH($A93)-MONTH('Recurring Schedule'!$F$41),'Recurring Schedule'!$O$41)=0),IF('Recurring Schedule'!$E$41="Weekdays",WEEKDAY($A93,2)&lt;=5,$A93='Recurring Schedule'!$F$41))),36,""))))</f>
        <v/>
      </c>
      <c r="AL93">
        <f>IF('Recurring Schedule'!$C$42="","",IF('Recurring Schedule'!$F$42="","",IF(OR($A93&lt;'Recurring Schedule'!$F$42,$A93&gt;'Recurring Schedule'!$P$42),"",IF(IF('Recurring Schedule'!$N$42&gt;0,MOD($A93-'Recurring Schedule'!$F$42,'Recurring Schedule'!$N$42)=0,IF('Recurring Schedule'!$O$42&gt;0,AND(DAY($A93)=MIN(DAY('Recurring Schedule'!$F$42),DAY(EOMONTH($A93,0))),MOD((YEAR($A93)-YEAR('Recurring Schedule'!$F$42))*12+MONTH($A93)-MONTH('Recurring Schedule'!$F$42),'Recurring Schedule'!$O$42)=0),IF('Recurring Schedule'!$E$42="Weekdays",WEEKDAY($A93,2)&lt;=5,$A93='Recurring Schedule'!$F$42))),37,""))))</f>
        <v/>
      </c>
      <c r="AM93">
        <f>IF('Recurring Schedule'!$C$43="","",IF('Recurring Schedule'!$F$43="","",IF(OR($A93&lt;'Recurring Schedule'!$F$43,$A93&gt;'Recurring Schedule'!$P$43),"",IF(IF('Recurring Schedule'!$N$43&gt;0,MOD($A93-'Recurring Schedule'!$F$43,'Recurring Schedule'!$N$43)=0,IF('Recurring Schedule'!$O$43&gt;0,AND(DAY($A93)=MIN(DAY('Recurring Schedule'!$F$43),DAY(EOMONTH($A93,0))),MOD((YEAR($A93)-YEAR('Recurring Schedule'!$F$43))*12+MONTH($A93)-MONTH('Recurring Schedule'!$F$43),'Recurring Schedule'!$O$43)=0),IF('Recurring Schedule'!$E$43="Weekdays",WEEKDAY($A93,2)&lt;=5,$A93='Recurring Schedule'!$F$43))),38,""))))</f>
        <v/>
      </c>
      <c r="AN93">
        <f>IF('Recurring Schedule'!$C$44="","",IF('Recurring Schedule'!$F$44="","",IF(OR($A93&lt;'Recurring Schedule'!$F$44,$A93&gt;'Recurring Schedule'!$P$44),"",IF(IF('Recurring Schedule'!$N$44&gt;0,MOD($A93-'Recurring Schedule'!$F$44,'Recurring Schedule'!$N$44)=0,IF('Recurring Schedule'!$O$44&gt;0,AND(DAY($A93)=MIN(DAY('Recurring Schedule'!$F$44),DAY(EOMONTH($A93,0))),MOD((YEAR($A93)-YEAR('Recurring Schedule'!$F$44))*12+MONTH($A93)-MONTH('Recurring Schedule'!$F$44),'Recurring Schedule'!$O$44)=0),IF('Recurring Schedule'!$E$44="Weekdays",WEEKDAY($A93,2)&lt;=5,$A93='Recurring Schedule'!$F$44))),39,""))))</f>
        <v/>
      </c>
      <c r="AO93">
        <f>IF('Recurring Schedule'!$C$45="","",IF('Recurring Schedule'!$F$45="","",IF(OR($A93&lt;'Recurring Schedule'!$F$45,$A93&gt;'Recurring Schedule'!$P$45),"",IF(IF('Recurring Schedule'!$N$45&gt;0,MOD($A93-'Recurring Schedule'!$F$45,'Recurring Schedule'!$N$45)=0,IF('Recurring Schedule'!$O$45&gt;0,AND(DAY($A93)=MIN(DAY('Recurring Schedule'!$F$45),DAY(EOMONTH($A93,0))),MOD((YEAR($A93)-YEAR('Recurring Schedule'!$F$45))*12+MONTH($A93)-MONTH('Recurring Schedule'!$F$45),'Recurring Schedule'!$O$45)=0),IF('Recurring Schedule'!$E$45="Weekdays",WEEKDAY($A93,2)&lt;=5,$A93='Recurring Schedule'!$F$45))),40,""))))</f>
        <v/>
      </c>
      <c r="AP93">
        <f>COUNT(B93:AO93)</f>
        <v/>
      </c>
      <c r="AQ93">
        <f>AQ92+AP92</f>
        <v/>
      </c>
      <c r="AS93" t="inlineStr">
        <is>
          <t>R</t>
        </is>
      </c>
      <c r="AT93" t="n">
        <v>97</v>
      </c>
      <c r="AU93">
        <f>'Recurring Log'!C97&amp;""</f>
        <v/>
      </c>
      <c r="AV93">
        <f>'Recurring Log'!D97&amp;""</f>
        <v/>
      </c>
      <c r="AW93">
        <f>IF('Recurring Log'!E97="","",'Recurring Log'!E97)</f>
        <v/>
      </c>
      <c r="AX93">
        <f>IF('Recurring Log'!G97="","",'Recurring Log'!G97)</f>
        <v/>
      </c>
      <c r="AY93">
        <f>IF('Recurring Log'!H97="","",'Recurring Log'!H97)</f>
        <v/>
      </c>
      <c r="AZ93">
        <f>IF(AU93="","",IF('Recurring Log'!J97="","Not Started",'Recurring Log'!J97))</f>
        <v/>
      </c>
      <c r="BA93">
        <f>'Recurring Log'!L97&amp;""</f>
        <v/>
      </c>
      <c r="BB93">
        <f>'Recurring Log'!M97&amp;""</f>
        <v/>
      </c>
      <c r="BC93">
        <f>'Recurring Log'!N97&amp;""</f>
        <v/>
      </c>
      <c r="BD93">
        <f>'Recurring Log'!O97&amp;""</f>
        <v/>
      </c>
      <c r="BE93">
        <f>IF('Recurring Log'!K97="","",'Recurring Log'!K97)</f>
        <v/>
      </c>
      <c r="BF93">
        <f>IFERROR(MATCH(BA93,Setup!$L$6:$L$9,0),5)</f>
        <v/>
      </c>
      <c r="BG93">
        <f>IF(OR(AZ93="Done",AZ93="Cancelled"),1,0)</f>
        <v/>
      </c>
      <c r="BH93">
        <f>IF(AND(AU93&lt;&gt;"",ISNUMBER(AW93)),1,0)</f>
        <v/>
      </c>
      <c r="BI93">
        <f>IF(BH93=0,0,IF(AND(AW93&gt;='Tasks Filter'!$F$3,AW93&lt;='Tasks Filter'!$F$4,OR('Tasks Filter'!$I$3="",ISNUMBER(SEARCH('Tasks Filter'!$I$3,AU93))),OR('Tasks Filter'!$I$4="",BF93=IFERROR(MATCH('Tasks Filter'!$I$4,Setup!$L$6:$L$9,0),0)),OR('Tasks Filter'!$I$5="Both",AND('Tasks Filter'!$I$5="Yes",BB93="✓"),AND('Tasks Filter'!$I$5="No",BB93&lt;&gt;"✓")),OR('Tasks Filter'!$L$3="",AV93='Tasks Filter'!$L$3),OR('Tasks Filter'!$L$4="",AZ93='Tasks Filter'!$L$4),OR('Tasks Filter'!$L$5="",BC93='Tasks Filter'!$L$5),OR('Tasks Filter'!$O$3="",BD93='Tasks Filter'!$O$3),OR('Tasks Filter'!$O$4="Yes",BG93=0)),1,0))</f>
        <v/>
      </c>
      <c r="BJ93">
        <f>IF(BH93=0,"",IF('Tasks Filter'!$F$6="Descending",-1,1)*CHOOSE(MATCH('Tasks Filter'!$F$5,Lists!$G$2:$G$6,0),AW93,BF93,IFERROR(MATCH(AV93,Setup!$F$6:$F$15,0),99),IFERROR(MATCH(BC93,Setup!$H$6:$H$15,0),99),IFERROR(MATCH(AZ93,Setup!$J$6:$J$11,0),99))*1E+9+(AW93-40000)*10000+92)</f>
        <v/>
      </c>
      <c r="BK93">
        <f>IF(BI93=1,BJ93,"")</f>
        <v/>
      </c>
      <c r="BL93">
        <f>IF(AND(BH93=1,BG93=0,N(AW93)&lt;Setup!$D$7),(AW93-40000)*10000+92,"")</f>
        <v/>
      </c>
      <c r="BM93">
        <f>IF(AND(BH93=1,AZ93&lt;&gt;"Cancelled",N(AW93)&gt;=Dashboard!$AB$3,N(AW93)&lt;=Dashboard!$AB$3+6),(AW93-40000)*100000+BF93*10000+92,"")</f>
        <v/>
      </c>
      <c r="BN93">
        <f>IF(AND(BH93=1,AZ93&lt;&gt;"Cancelled"),BF93*10000+92,"")</f>
        <v/>
      </c>
    </row>
    <row r="94">
      <c r="A94">
        <f>Setup!$D$5+92</f>
        <v/>
      </c>
      <c r="B94">
        <f>IF('Recurring Schedule'!$C$6="","",IF('Recurring Schedule'!$F$6="","",IF(OR($A94&lt;'Recurring Schedule'!$F$6,$A94&gt;'Recurring Schedule'!$P$6),"",IF(IF('Recurring Schedule'!$N$6&gt;0,MOD($A94-'Recurring Schedule'!$F$6,'Recurring Schedule'!$N$6)=0,IF('Recurring Schedule'!$O$6&gt;0,AND(DAY($A94)=MIN(DAY('Recurring Schedule'!$F$6),DAY(EOMONTH($A94,0))),MOD((YEAR($A94)-YEAR('Recurring Schedule'!$F$6))*12+MONTH($A94)-MONTH('Recurring Schedule'!$F$6),'Recurring Schedule'!$O$6)=0),IF('Recurring Schedule'!$E$6="Weekdays",WEEKDAY($A94,2)&lt;=5,$A94='Recurring Schedule'!$F$6))),1,""))))</f>
        <v/>
      </c>
      <c r="C94">
        <f>IF('Recurring Schedule'!$C$7="","",IF('Recurring Schedule'!$F$7="","",IF(OR($A94&lt;'Recurring Schedule'!$F$7,$A94&gt;'Recurring Schedule'!$P$7),"",IF(IF('Recurring Schedule'!$N$7&gt;0,MOD($A94-'Recurring Schedule'!$F$7,'Recurring Schedule'!$N$7)=0,IF('Recurring Schedule'!$O$7&gt;0,AND(DAY($A94)=MIN(DAY('Recurring Schedule'!$F$7),DAY(EOMONTH($A94,0))),MOD((YEAR($A94)-YEAR('Recurring Schedule'!$F$7))*12+MONTH($A94)-MONTH('Recurring Schedule'!$F$7),'Recurring Schedule'!$O$7)=0),IF('Recurring Schedule'!$E$7="Weekdays",WEEKDAY($A94,2)&lt;=5,$A94='Recurring Schedule'!$F$7))),2,""))))</f>
        <v/>
      </c>
      <c r="D94">
        <f>IF('Recurring Schedule'!$C$8="","",IF('Recurring Schedule'!$F$8="","",IF(OR($A94&lt;'Recurring Schedule'!$F$8,$A94&gt;'Recurring Schedule'!$P$8),"",IF(IF('Recurring Schedule'!$N$8&gt;0,MOD($A94-'Recurring Schedule'!$F$8,'Recurring Schedule'!$N$8)=0,IF('Recurring Schedule'!$O$8&gt;0,AND(DAY($A94)=MIN(DAY('Recurring Schedule'!$F$8),DAY(EOMONTH($A94,0))),MOD((YEAR($A94)-YEAR('Recurring Schedule'!$F$8))*12+MONTH($A94)-MONTH('Recurring Schedule'!$F$8),'Recurring Schedule'!$O$8)=0),IF('Recurring Schedule'!$E$8="Weekdays",WEEKDAY($A94,2)&lt;=5,$A94='Recurring Schedule'!$F$8))),3,""))))</f>
        <v/>
      </c>
      <c r="E94">
        <f>IF('Recurring Schedule'!$C$9="","",IF('Recurring Schedule'!$F$9="","",IF(OR($A94&lt;'Recurring Schedule'!$F$9,$A94&gt;'Recurring Schedule'!$P$9),"",IF(IF('Recurring Schedule'!$N$9&gt;0,MOD($A94-'Recurring Schedule'!$F$9,'Recurring Schedule'!$N$9)=0,IF('Recurring Schedule'!$O$9&gt;0,AND(DAY($A94)=MIN(DAY('Recurring Schedule'!$F$9),DAY(EOMONTH($A94,0))),MOD((YEAR($A94)-YEAR('Recurring Schedule'!$F$9))*12+MONTH($A94)-MONTH('Recurring Schedule'!$F$9),'Recurring Schedule'!$O$9)=0),IF('Recurring Schedule'!$E$9="Weekdays",WEEKDAY($A94,2)&lt;=5,$A94='Recurring Schedule'!$F$9))),4,""))))</f>
        <v/>
      </c>
      <c r="F94">
        <f>IF('Recurring Schedule'!$C$10="","",IF('Recurring Schedule'!$F$10="","",IF(OR($A94&lt;'Recurring Schedule'!$F$10,$A94&gt;'Recurring Schedule'!$P$10),"",IF(IF('Recurring Schedule'!$N$10&gt;0,MOD($A94-'Recurring Schedule'!$F$10,'Recurring Schedule'!$N$10)=0,IF('Recurring Schedule'!$O$10&gt;0,AND(DAY($A94)=MIN(DAY('Recurring Schedule'!$F$10),DAY(EOMONTH($A94,0))),MOD((YEAR($A94)-YEAR('Recurring Schedule'!$F$10))*12+MONTH($A94)-MONTH('Recurring Schedule'!$F$10),'Recurring Schedule'!$O$10)=0),IF('Recurring Schedule'!$E$10="Weekdays",WEEKDAY($A94,2)&lt;=5,$A94='Recurring Schedule'!$F$10))),5,""))))</f>
        <v/>
      </c>
      <c r="G94">
        <f>IF('Recurring Schedule'!$C$11="","",IF('Recurring Schedule'!$F$11="","",IF(OR($A94&lt;'Recurring Schedule'!$F$11,$A94&gt;'Recurring Schedule'!$P$11),"",IF(IF('Recurring Schedule'!$N$11&gt;0,MOD($A94-'Recurring Schedule'!$F$11,'Recurring Schedule'!$N$11)=0,IF('Recurring Schedule'!$O$11&gt;0,AND(DAY($A94)=MIN(DAY('Recurring Schedule'!$F$11),DAY(EOMONTH($A94,0))),MOD((YEAR($A94)-YEAR('Recurring Schedule'!$F$11))*12+MONTH($A94)-MONTH('Recurring Schedule'!$F$11),'Recurring Schedule'!$O$11)=0),IF('Recurring Schedule'!$E$11="Weekdays",WEEKDAY($A94,2)&lt;=5,$A94='Recurring Schedule'!$F$11))),6,""))))</f>
        <v/>
      </c>
      <c r="H94">
        <f>IF('Recurring Schedule'!$C$12="","",IF('Recurring Schedule'!$F$12="","",IF(OR($A94&lt;'Recurring Schedule'!$F$12,$A94&gt;'Recurring Schedule'!$P$12),"",IF(IF('Recurring Schedule'!$N$12&gt;0,MOD($A94-'Recurring Schedule'!$F$12,'Recurring Schedule'!$N$12)=0,IF('Recurring Schedule'!$O$12&gt;0,AND(DAY($A94)=MIN(DAY('Recurring Schedule'!$F$12),DAY(EOMONTH($A94,0))),MOD((YEAR($A94)-YEAR('Recurring Schedule'!$F$12))*12+MONTH($A94)-MONTH('Recurring Schedule'!$F$12),'Recurring Schedule'!$O$12)=0),IF('Recurring Schedule'!$E$12="Weekdays",WEEKDAY($A94,2)&lt;=5,$A94='Recurring Schedule'!$F$12))),7,""))))</f>
        <v/>
      </c>
      <c r="I94">
        <f>IF('Recurring Schedule'!$C$13="","",IF('Recurring Schedule'!$F$13="","",IF(OR($A94&lt;'Recurring Schedule'!$F$13,$A94&gt;'Recurring Schedule'!$P$13),"",IF(IF('Recurring Schedule'!$N$13&gt;0,MOD($A94-'Recurring Schedule'!$F$13,'Recurring Schedule'!$N$13)=0,IF('Recurring Schedule'!$O$13&gt;0,AND(DAY($A94)=MIN(DAY('Recurring Schedule'!$F$13),DAY(EOMONTH($A94,0))),MOD((YEAR($A94)-YEAR('Recurring Schedule'!$F$13))*12+MONTH($A94)-MONTH('Recurring Schedule'!$F$13),'Recurring Schedule'!$O$13)=0),IF('Recurring Schedule'!$E$13="Weekdays",WEEKDAY($A94,2)&lt;=5,$A94='Recurring Schedule'!$F$13))),8,""))))</f>
        <v/>
      </c>
      <c r="J94">
        <f>IF('Recurring Schedule'!$C$14="","",IF('Recurring Schedule'!$F$14="","",IF(OR($A94&lt;'Recurring Schedule'!$F$14,$A94&gt;'Recurring Schedule'!$P$14),"",IF(IF('Recurring Schedule'!$N$14&gt;0,MOD($A94-'Recurring Schedule'!$F$14,'Recurring Schedule'!$N$14)=0,IF('Recurring Schedule'!$O$14&gt;0,AND(DAY($A94)=MIN(DAY('Recurring Schedule'!$F$14),DAY(EOMONTH($A94,0))),MOD((YEAR($A94)-YEAR('Recurring Schedule'!$F$14))*12+MONTH($A94)-MONTH('Recurring Schedule'!$F$14),'Recurring Schedule'!$O$14)=0),IF('Recurring Schedule'!$E$14="Weekdays",WEEKDAY($A94,2)&lt;=5,$A94='Recurring Schedule'!$F$14))),9,""))))</f>
        <v/>
      </c>
      <c r="K94">
        <f>IF('Recurring Schedule'!$C$15="","",IF('Recurring Schedule'!$F$15="","",IF(OR($A94&lt;'Recurring Schedule'!$F$15,$A94&gt;'Recurring Schedule'!$P$15),"",IF(IF('Recurring Schedule'!$N$15&gt;0,MOD($A94-'Recurring Schedule'!$F$15,'Recurring Schedule'!$N$15)=0,IF('Recurring Schedule'!$O$15&gt;0,AND(DAY($A94)=MIN(DAY('Recurring Schedule'!$F$15),DAY(EOMONTH($A94,0))),MOD((YEAR($A94)-YEAR('Recurring Schedule'!$F$15))*12+MONTH($A94)-MONTH('Recurring Schedule'!$F$15),'Recurring Schedule'!$O$15)=0),IF('Recurring Schedule'!$E$15="Weekdays",WEEKDAY($A94,2)&lt;=5,$A94='Recurring Schedule'!$F$15))),10,""))))</f>
        <v/>
      </c>
      <c r="L94">
        <f>IF('Recurring Schedule'!$C$16="","",IF('Recurring Schedule'!$F$16="","",IF(OR($A94&lt;'Recurring Schedule'!$F$16,$A94&gt;'Recurring Schedule'!$P$16),"",IF(IF('Recurring Schedule'!$N$16&gt;0,MOD($A94-'Recurring Schedule'!$F$16,'Recurring Schedule'!$N$16)=0,IF('Recurring Schedule'!$O$16&gt;0,AND(DAY($A94)=MIN(DAY('Recurring Schedule'!$F$16),DAY(EOMONTH($A94,0))),MOD((YEAR($A94)-YEAR('Recurring Schedule'!$F$16))*12+MONTH($A94)-MONTH('Recurring Schedule'!$F$16),'Recurring Schedule'!$O$16)=0),IF('Recurring Schedule'!$E$16="Weekdays",WEEKDAY($A94,2)&lt;=5,$A94='Recurring Schedule'!$F$16))),11,""))))</f>
        <v/>
      </c>
      <c r="M94">
        <f>IF('Recurring Schedule'!$C$17="","",IF('Recurring Schedule'!$F$17="","",IF(OR($A94&lt;'Recurring Schedule'!$F$17,$A94&gt;'Recurring Schedule'!$P$17),"",IF(IF('Recurring Schedule'!$N$17&gt;0,MOD($A94-'Recurring Schedule'!$F$17,'Recurring Schedule'!$N$17)=0,IF('Recurring Schedule'!$O$17&gt;0,AND(DAY($A94)=MIN(DAY('Recurring Schedule'!$F$17),DAY(EOMONTH($A94,0))),MOD((YEAR($A94)-YEAR('Recurring Schedule'!$F$17))*12+MONTH($A94)-MONTH('Recurring Schedule'!$F$17),'Recurring Schedule'!$O$17)=0),IF('Recurring Schedule'!$E$17="Weekdays",WEEKDAY($A94,2)&lt;=5,$A94='Recurring Schedule'!$F$17))),12,""))))</f>
        <v/>
      </c>
      <c r="N94">
        <f>IF('Recurring Schedule'!$C$18="","",IF('Recurring Schedule'!$F$18="","",IF(OR($A94&lt;'Recurring Schedule'!$F$18,$A94&gt;'Recurring Schedule'!$P$18),"",IF(IF('Recurring Schedule'!$N$18&gt;0,MOD($A94-'Recurring Schedule'!$F$18,'Recurring Schedule'!$N$18)=0,IF('Recurring Schedule'!$O$18&gt;0,AND(DAY($A94)=MIN(DAY('Recurring Schedule'!$F$18),DAY(EOMONTH($A94,0))),MOD((YEAR($A94)-YEAR('Recurring Schedule'!$F$18))*12+MONTH($A94)-MONTH('Recurring Schedule'!$F$18),'Recurring Schedule'!$O$18)=0),IF('Recurring Schedule'!$E$18="Weekdays",WEEKDAY($A94,2)&lt;=5,$A94='Recurring Schedule'!$F$18))),13,""))))</f>
        <v/>
      </c>
      <c r="O94">
        <f>IF('Recurring Schedule'!$C$19="","",IF('Recurring Schedule'!$F$19="","",IF(OR($A94&lt;'Recurring Schedule'!$F$19,$A94&gt;'Recurring Schedule'!$P$19),"",IF(IF('Recurring Schedule'!$N$19&gt;0,MOD($A94-'Recurring Schedule'!$F$19,'Recurring Schedule'!$N$19)=0,IF('Recurring Schedule'!$O$19&gt;0,AND(DAY($A94)=MIN(DAY('Recurring Schedule'!$F$19),DAY(EOMONTH($A94,0))),MOD((YEAR($A94)-YEAR('Recurring Schedule'!$F$19))*12+MONTH($A94)-MONTH('Recurring Schedule'!$F$19),'Recurring Schedule'!$O$19)=0),IF('Recurring Schedule'!$E$19="Weekdays",WEEKDAY($A94,2)&lt;=5,$A94='Recurring Schedule'!$F$19))),14,""))))</f>
        <v/>
      </c>
      <c r="P94">
        <f>IF('Recurring Schedule'!$C$20="","",IF('Recurring Schedule'!$F$20="","",IF(OR($A94&lt;'Recurring Schedule'!$F$20,$A94&gt;'Recurring Schedule'!$P$20),"",IF(IF('Recurring Schedule'!$N$20&gt;0,MOD($A94-'Recurring Schedule'!$F$20,'Recurring Schedule'!$N$20)=0,IF('Recurring Schedule'!$O$20&gt;0,AND(DAY($A94)=MIN(DAY('Recurring Schedule'!$F$20),DAY(EOMONTH($A94,0))),MOD((YEAR($A94)-YEAR('Recurring Schedule'!$F$20))*12+MONTH($A94)-MONTH('Recurring Schedule'!$F$20),'Recurring Schedule'!$O$20)=0),IF('Recurring Schedule'!$E$20="Weekdays",WEEKDAY($A94,2)&lt;=5,$A94='Recurring Schedule'!$F$20))),15,""))))</f>
        <v/>
      </c>
      <c r="Q94">
        <f>IF('Recurring Schedule'!$C$21="","",IF('Recurring Schedule'!$F$21="","",IF(OR($A94&lt;'Recurring Schedule'!$F$21,$A94&gt;'Recurring Schedule'!$P$21),"",IF(IF('Recurring Schedule'!$N$21&gt;0,MOD($A94-'Recurring Schedule'!$F$21,'Recurring Schedule'!$N$21)=0,IF('Recurring Schedule'!$O$21&gt;0,AND(DAY($A94)=MIN(DAY('Recurring Schedule'!$F$21),DAY(EOMONTH($A94,0))),MOD((YEAR($A94)-YEAR('Recurring Schedule'!$F$21))*12+MONTH($A94)-MONTH('Recurring Schedule'!$F$21),'Recurring Schedule'!$O$21)=0),IF('Recurring Schedule'!$E$21="Weekdays",WEEKDAY($A94,2)&lt;=5,$A94='Recurring Schedule'!$F$21))),16,""))))</f>
        <v/>
      </c>
      <c r="R94">
        <f>IF('Recurring Schedule'!$C$22="","",IF('Recurring Schedule'!$F$22="","",IF(OR($A94&lt;'Recurring Schedule'!$F$22,$A94&gt;'Recurring Schedule'!$P$22),"",IF(IF('Recurring Schedule'!$N$22&gt;0,MOD($A94-'Recurring Schedule'!$F$22,'Recurring Schedule'!$N$22)=0,IF('Recurring Schedule'!$O$22&gt;0,AND(DAY($A94)=MIN(DAY('Recurring Schedule'!$F$22),DAY(EOMONTH($A94,0))),MOD((YEAR($A94)-YEAR('Recurring Schedule'!$F$22))*12+MONTH($A94)-MONTH('Recurring Schedule'!$F$22),'Recurring Schedule'!$O$22)=0),IF('Recurring Schedule'!$E$22="Weekdays",WEEKDAY($A94,2)&lt;=5,$A94='Recurring Schedule'!$F$22))),17,""))))</f>
        <v/>
      </c>
      <c r="S94">
        <f>IF('Recurring Schedule'!$C$23="","",IF('Recurring Schedule'!$F$23="","",IF(OR($A94&lt;'Recurring Schedule'!$F$23,$A94&gt;'Recurring Schedule'!$P$23),"",IF(IF('Recurring Schedule'!$N$23&gt;0,MOD($A94-'Recurring Schedule'!$F$23,'Recurring Schedule'!$N$23)=0,IF('Recurring Schedule'!$O$23&gt;0,AND(DAY($A94)=MIN(DAY('Recurring Schedule'!$F$23),DAY(EOMONTH($A94,0))),MOD((YEAR($A94)-YEAR('Recurring Schedule'!$F$23))*12+MONTH($A94)-MONTH('Recurring Schedule'!$F$23),'Recurring Schedule'!$O$23)=0),IF('Recurring Schedule'!$E$23="Weekdays",WEEKDAY($A94,2)&lt;=5,$A94='Recurring Schedule'!$F$23))),18,""))))</f>
        <v/>
      </c>
      <c r="T94">
        <f>IF('Recurring Schedule'!$C$24="","",IF('Recurring Schedule'!$F$24="","",IF(OR($A94&lt;'Recurring Schedule'!$F$24,$A94&gt;'Recurring Schedule'!$P$24),"",IF(IF('Recurring Schedule'!$N$24&gt;0,MOD($A94-'Recurring Schedule'!$F$24,'Recurring Schedule'!$N$24)=0,IF('Recurring Schedule'!$O$24&gt;0,AND(DAY($A94)=MIN(DAY('Recurring Schedule'!$F$24),DAY(EOMONTH($A94,0))),MOD((YEAR($A94)-YEAR('Recurring Schedule'!$F$24))*12+MONTH($A94)-MONTH('Recurring Schedule'!$F$24),'Recurring Schedule'!$O$24)=0),IF('Recurring Schedule'!$E$24="Weekdays",WEEKDAY($A94,2)&lt;=5,$A94='Recurring Schedule'!$F$24))),19,""))))</f>
        <v/>
      </c>
      <c r="U94">
        <f>IF('Recurring Schedule'!$C$25="","",IF('Recurring Schedule'!$F$25="","",IF(OR($A94&lt;'Recurring Schedule'!$F$25,$A94&gt;'Recurring Schedule'!$P$25),"",IF(IF('Recurring Schedule'!$N$25&gt;0,MOD($A94-'Recurring Schedule'!$F$25,'Recurring Schedule'!$N$25)=0,IF('Recurring Schedule'!$O$25&gt;0,AND(DAY($A94)=MIN(DAY('Recurring Schedule'!$F$25),DAY(EOMONTH($A94,0))),MOD((YEAR($A94)-YEAR('Recurring Schedule'!$F$25))*12+MONTH($A94)-MONTH('Recurring Schedule'!$F$25),'Recurring Schedule'!$O$25)=0),IF('Recurring Schedule'!$E$25="Weekdays",WEEKDAY($A94,2)&lt;=5,$A94='Recurring Schedule'!$F$25))),20,""))))</f>
        <v/>
      </c>
      <c r="V94">
        <f>IF('Recurring Schedule'!$C$26="","",IF('Recurring Schedule'!$F$26="","",IF(OR($A94&lt;'Recurring Schedule'!$F$26,$A94&gt;'Recurring Schedule'!$P$26),"",IF(IF('Recurring Schedule'!$N$26&gt;0,MOD($A94-'Recurring Schedule'!$F$26,'Recurring Schedule'!$N$26)=0,IF('Recurring Schedule'!$O$26&gt;0,AND(DAY($A94)=MIN(DAY('Recurring Schedule'!$F$26),DAY(EOMONTH($A94,0))),MOD((YEAR($A94)-YEAR('Recurring Schedule'!$F$26))*12+MONTH($A94)-MONTH('Recurring Schedule'!$F$26),'Recurring Schedule'!$O$26)=0),IF('Recurring Schedule'!$E$26="Weekdays",WEEKDAY($A94,2)&lt;=5,$A94='Recurring Schedule'!$F$26))),21,""))))</f>
        <v/>
      </c>
      <c r="W94">
        <f>IF('Recurring Schedule'!$C$27="","",IF('Recurring Schedule'!$F$27="","",IF(OR($A94&lt;'Recurring Schedule'!$F$27,$A94&gt;'Recurring Schedule'!$P$27),"",IF(IF('Recurring Schedule'!$N$27&gt;0,MOD($A94-'Recurring Schedule'!$F$27,'Recurring Schedule'!$N$27)=0,IF('Recurring Schedule'!$O$27&gt;0,AND(DAY($A94)=MIN(DAY('Recurring Schedule'!$F$27),DAY(EOMONTH($A94,0))),MOD((YEAR($A94)-YEAR('Recurring Schedule'!$F$27))*12+MONTH($A94)-MONTH('Recurring Schedule'!$F$27),'Recurring Schedule'!$O$27)=0),IF('Recurring Schedule'!$E$27="Weekdays",WEEKDAY($A94,2)&lt;=5,$A94='Recurring Schedule'!$F$27))),22,""))))</f>
        <v/>
      </c>
      <c r="X94">
        <f>IF('Recurring Schedule'!$C$28="","",IF('Recurring Schedule'!$F$28="","",IF(OR($A94&lt;'Recurring Schedule'!$F$28,$A94&gt;'Recurring Schedule'!$P$28),"",IF(IF('Recurring Schedule'!$N$28&gt;0,MOD($A94-'Recurring Schedule'!$F$28,'Recurring Schedule'!$N$28)=0,IF('Recurring Schedule'!$O$28&gt;0,AND(DAY($A94)=MIN(DAY('Recurring Schedule'!$F$28),DAY(EOMONTH($A94,0))),MOD((YEAR($A94)-YEAR('Recurring Schedule'!$F$28))*12+MONTH($A94)-MONTH('Recurring Schedule'!$F$28),'Recurring Schedule'!$O$28)=0),IF('Recurring Schedule'!$E$28="Weekdays",WEEKDAY($A94,2)&lt;=5,$A94='Recurring Schedule'!$F$28))),23,""))))</f>
        <v/>
      </c>
      <c r="Y94">
        <f>IF('Recurring Schedule'!$C$29="","",IF('Recurring Schedule'!$F$29="","",IF(OR($A94&lt;'Recurring Schedule'!$F$29,$A94&gt;'Recurring Schedule'!$P$29),"",IF(IF('Recurring Schedule'!$N$29&gt;0,MOD($A94-'Recurring Schedule'!$F$29,'Recurring Schedule'!$N$29)=0,IF('Recurring Schedule'!$O$29&gt;0,AND(DAY($A94)=MIN(DAY('Recurring Schedule'!$F$29),DAY(EOMONTH($A94,0))),MOD((YEAR($A94)-YEAR('Recurring Schedule'!$F$29))*12+MONTH($A94)-MONTH('Recurring Schedule'!$F$29),'Recurring Schedule'!$O$29)=0),IF('Recurring Schedule'!$E$29="Weekdays",WEEKDAY($A94,2)&lt;=5,$A94='Recurring Schedule'!$F$29))),24,""))))</f>
        <v/>
      </c>
      <c r="Z94">
        <f>IF('Recurring Schedule'!$C$30="","",IF('Recurring Schedule'!$F$30="","",IF(OR($A94&lt;'Recurring Schedule'!$F$30,$A94&gt;'Recurring Schedule'!$P$30),"",IF(IF('Recurring Schedule'!$N$30&gt;0,MOD($A94-'Recurring Schedule'!$F$30,'Recurring Schedule'!$N$30)=0,IF('Recurring Schedule'!$O$30&gt;0,AND(DAY($A94)=MIN(DAY('Recurring Schedule'!$F$30),DAY(EOMONTH($A94,0))),MOD((YEAR($A94)-YEAR('Recurring Schedule'!$F$30))*12+MONTH($A94)-MONTH('Recurring Schedule'!$F$30),'Recurring Schedule'!$O$30)=0),IF('Recurring Schedule'!$E$30="Weekdays",WEEKDAY($A94,2)&lt;=5,$A94='Recurring Schedule'!$F$30))),25,""))))</f>
        <v/>
      </c>
      <c r="AA94">
        <f>IF('Recurring Schedule'!$C$31="","",IF('Recurring Schedule'!$F$31="","",IF(OR($A94&lt;'Recurring Schedule'!$F$31,$A94&gt;'Recurring Schedule'!$P$31),"",IF(IF('Recurring Schedule'!$N$31&gt;0,MOD($A94-'Recurring Schedule'!$F$31,'Recurring Schedule'!$N$31)=0,IF('Recurring Schedule'!$O$31&gt;0,AND(DAY($A94)=MIN(DAY('Recurring Schedule'!$F$31),DAY(EOMONTH($A94,0))),MOD((YEAR($A94)-YEAR('Recurring Schedule'!$F$31))*12+MONTH($A94)-MONTH('Recurring Schedule'!$F$31),'Recurring Schedule'!$O$31)=0),IF('Recurring Schedule'!$E$31="Weekdays",WEEKDAY($A94,2)&lt;=5,$A94='Recurring Schedule'!$F$31))),26,""))))</f>
        <v/>
      </c>
      <c r="AB94">
        <f>IF('Recurring Schedule'!$C$32="","",IF('Recurring Schedule'!$F$32="","",IF(OR($A94&lt;'Recurring Schedule'!$F$32,$A94&gt;'Recurring Schedule'!$P$32),"",IF(IF('Recurring Schedule'!$N$32&gt;0,MOD($A94-'Recurring Schedule'!$F$32,'Recurring Schedule'!$N$32)=0,IF('Recurring Schedule'!$O$32&gt;0,AND(DAY($A94)=MIN(DAY('Recurring Schedule'!$F$32),DAY(EOMONTH($A94,0))),MOD((YEAR($A94)-YEAR('Recurring Schedule'!$F$32))*12+MONTH($A94)-MONTH('Recurring Schedule'!$F$32),'Recurring Schedule'!$O$32)=0),IF('Recurring Schedule'!$E$32="Weekdays",WEEKDAY($A94,2)&lt;=5,$A94='Recurring Schedule'!$F$32))),27,""))))</f>
        <v/>
      </c>
      <c r="AC94">
        <f>IF('Recurring Schedule'!$C$33="","",IF('Recurring Schedule'!$F$33="","",IF(OR($A94&lt;'Recurring Schedule'!$F$33,$A94&gt;'Recurring Schedule'!$P$33),"",IF(IF('Recurring Schedule'!$N$33&gt;0,MOD($A94-'Recurring Schedule'!$F$33,'Recurring Schedule'!$N$33)=0,IF('Recurring Schedule'!$O$33&gt;0,AND(DAY($A94)=MIN(DAY('Recurring Schedule'!$F$33),DAY(EOMONTH($A94,0))),MOD((YEAR($A94)-YEAR('Recurring Schedule'!$F$33))*12+MONTH($A94)-MONTH('Recurring Schedule'!$F$33),'Recurring Schedule'!$O$33)=0),IF('Recurring Schedule'!$E$33="Weekdays",WEEKDAY($A94,2)&lt;=5,$A94='Recurring Schedule'!$F$33))),28,""))))</f>
        <v/>
      </c>
      <c r="AD94">
        <f>IF('Recurring Schedule'!$C$34="","",IF('Recurring Schedule'!$F$34="","",IF(OR($A94&lt;'Recurring Schedule'!$F$34,$A94&gt;'Recurring Schedule'!$P$34),"",IF(IF('Recurring Schedule'!$N$34&gt;0,MOD($A94-'Recurring Schedule'!$F$34,'Recurring Schedule'!$N$34)=0,IF('Recurring Schedule'!$O$34&gt;0,AND(DAY($A94)=MIN(DAY('Recurring Schedule'!$F$34),DAY(EOMONTH($A94,0))),MOD((YEAR($A94)-YEAR('Recurring Schedule'!$F$34))*12+MONTH($A94)-MONTH('Recurring Schedule'!$F$34),'Recurring Schedule'!$O$34)=0),IF('Recurring Schedule'!$E$34="Weekdays",WEEKDAY($A94,2)&lt;=5,$A94='Recurring Schedule'!$F$34))),29,""))))</f>
        <v/>
      </c>
      <c r="AE94">
        <f>IF('Recurring Schedule'!$C$35="","",IF('Recurring Schedule'!$F$35="","",IF(OR($A94&lt;'Recurring Schedule'!$F$35,$A94&gt;'Recurring Schedule'!$P$35),"",IF(IF('Recurring Schedule'!$N$35&gt;0,MOD($A94-'Recurring Schedule'!$F$35,'Recurring Schedule'!$N$35)=0,IF('Recurring Schedule'!$O$35&gt;0,AND(DAY($A94)=MIN(DAY('Recurring Schedule'!$F$35),DAY(EOMONTH($A94,0))),MOD((YEAR($A94)-YEAR('Recurring Schedule'!$F$35))*12+MONTH($A94)-MONTH('Recurring Schedule'!$F$35),'Recurring Schedule'!$O$35)=0),IF('Recurring Schedule'!$E$35="Weekdays",WEEKDAY($A94,2)&lt;=5,$A94='Recurring Schedule'!$F$35))),30,""))))</f>
        <v/>
      </c>
      <c r="AF94">
        <f>IF('Recurring Schedule'!$C$36="","",IF('Recurring Schedule'!$F$36="","",IF(OR($A94&lt;'Recurring Schedule'!$F$36,$A94&gt;'Recurring Schedule'!$P$36),"",IF(IF('Recurring Schedule'!$N$36&gt;0,MOD($A94-'Recurring Schedule'!$F$36,'Recurring Schedule'!$N$36)=0,IF('Recurring Schedule'!$O$36&gt;0,AND(DAY($A94)=MIN(DAY('Recurring Schedule'!$F$36),DAY(EOMONTH($A94,0))),MOD((YEAR($A94)-YEAR('Recurring Schedule'!$F$36))*12+MONTH($A94)-MONTH('Recurring Schedule'!$F$36),'Recurring Schedule'!$O$36)=0),IF('Recurring Schedule'!$E$36="Weekdays",WEEKDAY($A94,2)&lt;=5,$A94='Recurring Schedule'!$F$36))),31,""))))</f>
        <v/>
      </c>
      <c r="AG94">
        <f>IF('Recurring Schedule'!$C$37="","",IF('Recurring Schedule'!$F$37="","",IF(OR($A94&lt;'Recurring Schedule'!$F$37,$A94&gt;'Recurring Schedule'!$P$37),"",IF(IF('Recurring Schedule'!$N$37&gt;0,MOD($A94-'Recurring Schedule'!$F$37,'Recurring Schedule'!$N$37)=0,IF('Recurring Schedule'!$O$37&gt;0,AND(DAY($A94)=MIN(DAY('Recurring Schedule'!$F$37),DAY(EOMONTH($A94,0))),MOD((YEAR($A94)-YEAR('Recurring Schedule'!$F$37))*12+MONTH($A94)-MONTH('Recurring Schedule'!$F$37),'Recurring Schedule'!$O$37)=0),IF('Recurring Schedule'!$E$37="Weekdays",WEEKDAY($A94,2)&lt;=5,$A94='Recurring Schedule'!$F$37))),32,""))))</f>
        <v/>
      </c>
      <c r="AH94">
        <f>IF('Recurring Schedule'!$C$38="","",IF('Recurring Schedule'!$F$38="","",IF(OR($A94&lt;'Recurring Schedule'!$F$38,$A94&gt;'Recurring Schedule'!$P$38),"",IF(IF('Recurring Schedule'!$N$38&gt;0,MOD($A94-'Recurring Schedule'!$F$38,'Recurring Schedule'!$N$38)=0,IF('Recurring Schedule'!$O$38&gt;0,AND(DAY($A94)=MIN(DAY('Recurring Schedule'!$F$38),DAY(EOMONTH($A94,0))),MOD((YEAR($A94)-YEAR('Recurring Schedule'!$F$38))*12+MONTH($A94)-MONTH('Recurring Schedule'!$F$38),'Recurring Schedule'!$O$38)=0),IF('Recurring Schedule'!$E$38="Weekdays",WEEKDAY($A94,2)&lt;=5,$A94='Recurring Schedule'!$F$38))),33,""))))</f>
        <v/>
      </c>
      <c r="AI94">
        <f>IF('Recurring Schedule'!$C$39="","",IF('Recurring Schedule'!$F$39="","",IF(OR($A94&lt;'Recurring Schedule'!$F$39,$A94&gt;'Recurring Schedule'!$P$39),"",IF(IF('Recurring Schedule'!$N$39&gt;0,MOD($A94-'Recurring Schedule'!$F$39,'Recurring Schedule'!$N$39)=0,IF('Recurring Schedule'!$O$39&gt;0,AND(DAY($A94)=MIN(DAY('Recurring Schedule'!$F$39),DAY(EOMONTH($A94,0))),MOD((YEAR($A94)-YEAR('Recurring Schedule'!$F$39))*12+MONTH($A94)-MONTH('Recurring Schedule'!$F$39),'Recurring Schedule'!$O$39)=0),IF('Recurring Schedule'!$E$39="Weekdays",WEEKDAY($A94,2)&lt;=5,$A94='Recurring Schedule'!$F$39))),34,""))))</f>
        <v/>
      </c>
      <c r="AJ94">
        <f>IF('Recurring Schedule'!$C$40="","",IF('Recurring Schedule'!$F$40="","",IF(OR($A94&lt;'Recurring Schedule'!$F$40,$A94&gt;'Recurring Schedule'!$P$40),"",IF(IF('Recurring Schedule'!$N$40&gt;0,MOD($A94-'Recurring Schedule'!$F$40,'Recurring Schedule'!$N$40)=0,IF('Recurring Schedule'!$O$40&gt;0,AND(DAY($A94)=MIN(DAY('Recurring Schedule'!$F$40),DAY(EOMONTH($A94,0))),MOD((YEAR($A94)-YEAR('Recurring Schedule'!$F$40))*12+MONTH($A94)-MONTH('Recurring Schedule'!$F$40),'Recurring Schedule'!$O$40)=0),IF('Recurring Schedule'!$E$40="Weekdays",WEEKDAY($A94,2)&lt;=5,$A94='Recurring Schedule'!$F$40))),35,""))))</f>
        <v/>
      </c>
      <c r="AK94">
        <f>IF('Recurring Schedule'!$C$41="","",IF('Recurring Schedule'!$F$41="","",IF(OR($A94&lt;'Recurring Schedule'!$F$41,$A94&gt;'Recurring Schedule'!$P$41),"",IF(IF('Recurring Schedule'!$N$41&gt;0,MOD($A94-'Recurring Schedule'!$F$41,'Recurring Schedule'!$N$41)=0,IF('Recurring Schedule'!$O$41&gt;0,AND(DAY($A94)=MIN(DAY('Recurring Schedule'!$F$41),DAY(EOMONTH($A94,0))),MOD((YEAR($A94)-YEAR('Recurring Schedule'!$F$41))*12+MONTH($A94)-MONTH('Recurring Schedule'!$F$41),'Recurring Schedule'!$O$41)=0),IF('Recurring Schedule'!$E$41="Weekdays",WEEKDAY($A94,2)&lt;=5,$A94='Recurring Schedule'!$F$41))),36,""))))</f>
        <v/>
      </c>
      <c r="AL94">
        <f>IF('Recurring Schedule'!$C$42="","",IF('Recurring Schedule'!$F$42="","",IF(OR($A94&lt;'Recurring Schedule'!$F$42,$A94&gt;'Recurring Schedule'!$P$42),"",IF(IF('Recurring Schedule'!$N$42&gt;0,MOD($A94-'Recurring Schedule'!$F$42,'Recurring Schedule'!$N$42)=0,IF('Recurring Schedule'!$O$42&gt;0,AND(DAY($A94)=MIN(DAY('Recurring Schedule'!$F$42),DAY(EOMONTH($A94,0))),MOD((YEAR($A94)-YEAR('Recurring Schedule'!$F$42))*12+MONTH($A94)-MONTH('Recurring Schedule'!$F$42),'Recurring Schedule'!$O$42)=0),IF('Recurring Schedule'!$E$42="Weekdays",WEEKDAY($A94,2)&lt;=5,$A94='Recurring Schedule'!$F$42))),37,""))))</f>
        <v/>
      </c>
      <c r="AM94">
        <f>IF('Recurring Schedule'!$C$43="","",IF('Recurring Schedule'!$F$43="","",IF(OR($A94&lt;'Recurring Schedule'!$F$43,$A94&gt;'Recurring Schedule'!$P$43),"",IF(IF('Recurring Schedule'!$N$43&gt;0,MOD($A94-'Recurring Schedule'!$F$43,'Recurring Schedule'!$N$43)=0,IF('Recurring Schedule'!$O$43&gt;0,AND(DAY($A94)=MIN(DAY('Recurring Schedule'!$F$43),DAY(EOMONTH($A94,0))),MOD((YEAR($A94)-YEAR('Recurring Schedule'!$F$43))*12+MONTH($A94)-MONTH('Recurring Schedule'!$F$43),'Recurring Schedule'!$O$43)=0),IF('Recurring Schedule'!$E$43="Weekdays",WEEKDAY($A94,2)&lt;=5,$A94='Recurring Schedule'!$F$43))),38,""))))</f>
        <v/>
      </c>
      <c r="AN94">
        <f>IF('Recurring Schedule'!$C$44="","",IF('Recurring Schedule'!$F$44="","",IF(OR($A94&lt;'Recurring Schedule'!$F$44,$A94&gt;'Recurring Schedule'!$P$44),"",IF(IF('Recurring Schedule'!$N$44&gt;0,MOD($A94-'Recurring Schedule'!$F$44,'Recurring Schedule'!$N$44)=0,IF('Recurring Schedule'!$O$44&gt;0,AND(DAY($A94)=MIN(DAY('Recurring Schedule'!$F$44),DAY(EOMONTH($A94,0))),MOD((YEAR($A94)-YEAR('Recurring Schedule'!$F$44))*12+MONTH($A94)-MONTH('Recurring Schedule'!$F$44),'Recurring Schedule'!$O$44)=0),IF('Recurring Schedule'!$E$44="Weekdays",WEEKDAY($A94,2)&lt;=5,$A94='Recurring Schedule'!$F$44))),39,""))))</f>
        <v/>
      </c>
      <c r="AO94">
        <f>IF('Recurring Schedule'!$C$45="","",IF('Recurring Schedule'!$F$45="","",IF(OR($A94&lt;'Recurring Schedule'!$F$45,$A94&gt;'Recurring Schedule'!$P$45),"",IF(IF('Recurring Schedule'!$N$45&gt;0,MOD($A94-'Recurring Schedule'!$F$45,'Recurring Schedule'!$N$45)=0,IF('Recurring Schedule'!$O$45&gt;0,AND(DAY($A94)=MIN(DAY('Recurring Schedule'!$F$45),DAY(EOMONTH($A94,0))),MOD((YEAR($A94)-YEAR('Recurring Schedule'!$F$45))*12+MONTH($A94)-MONTH('Recurring Schedule'!$F$45),'Recurring Schedule'!$O$45)=0),IF('Recurring Schedule'!$E$45="Weekdays",WEEKDAY($A94,2)&lt;=5,$A94='Recurring Schedule'!$F$45))),40,""))))</f>
        <v/>
      </c>
      <c r="AP94">
        <f>COUNT(B94:AO94)</f>
        <v/>
      </c>
      <c r="AQ94">
        <f>AQ93+AP93</f>
        <v/>
      </c>
      <c r="AS94" t="inlineStr">
        <is>
          <t>R</t>
        </is>
      </c>
      <c r="AT94" t="n">
        <v>98</v>
      </c>
      <c r="AU94">
        <f>'Recurring Log'!C98&amp;""</f>
        <v/>
      </c>
      <c r="AV94">
        <f>'Recurring Log'!D98&amp;""</f>
        <v/>
      </c>
      <c r="AW94">
        <f>IF('Recurring Log'!E98="","",'Recurring Log'!E98)</f>
        <v/>
      </c>
      <c r="AX94">
        <f>IF('Recurring Log'!G98="","",'Recurring Log'!G98)</f>
        <v/>
      </c>
      <c r="AY94">
        <f>IF('Recurring Log'!H98="","",'Recurring Log'!H98)</f>
        <v/>
      </c>
      <c r="AZ94">
        <f>IF(AU94="","",IF('Recurring Log'!J98="","Not Started",'Recurring Log'!J98))</f>
        <v/>
      </c>
      <c r="BA94">
        <f>'Recurring Log'!L98&amp;""</f>
        <v/>
      </c>
      <c r="BB94">
        <f>'Recurring Log'!M98&amp;""</f>
        <v/>
      </c>
      <c r="BC94">
        <f>'Recurring Log'!N98&amp;""</f>
        <v/>
      </c>
      <c r="BD94">
        <f>'Recurring Log'!O98&amp;""</f>
        <v/>
      </c>
      <c r="BE94">
        <f>IF('Recurring Log'!K98="","",'Recurring Log'!K98)</f>
        <v/>
      </c>
      <c r="BF94">
        <f>IFERROR(MATCH(BA94,Setup!$L$6:$L$9,0),5)</f>
        <v/>
      </c>
      <c r="BG94">
        <f>IF(OR(AZ94="Done",AZ94="Cancelled"),1,0)</f>
        <v/>
      </c>
      <c r="BH94">
        <f>IF(AND(AU94&lt;&gt;"",ISNUMBER(AW94)),1,0)</f>
        <v/>
      </c>
      <c r="BI94">
        <f>IF(BH94=0,0,IF(AND(AW94&gt;='Tasks Filter'!$F$3,AW94&lt;='Tasks Filter'!$F$4,OR('Tasks Filter'!$I$3="",ISNUMBER(SEARCH('Tasks Filter'!$I$3,AU94))),OR('Tasks Filter'!$I$4="",BF94=IFERROR(MATCH('Tasks Filter'!$I$4,Setup!$L$6:$L$9,0),0)),OR('Tasks Filter'!$I$5="Both",AND('Tasks Filter'!$I$5="Yes",BB94="✓"),AND('Tasks Filter'!$I$5="No",BB94&lt;&gt;"✓")),OR('Tasks Filter'!$L$3="",AV94='Tasks Filter'!$L$3),OR('Tasks Filter'!$L$4="",AZ94='Tasks Filter'!$L$4),OR('Tasks Filter'!$L$5="",BC94='Tasks Filter'!$L$5),OR('Tasks Filter'!$O$3="",BD94='Tasks Filter'!$O$3),OR('Tasks Filter'!$O$4="Yes",BG94=0)),1,0))</f>
        <v/>
      </c>
      <c r="BJ94">
        <f>IF(BH94=0,"",IF('Tasks Filter'!$F$6="Descending",-1,1)*CHOOSE(MATCH('Tasks Filter'!$F$5,Lists!$G$2:$G$6,0),AW94,BF94,IFERROR(MATCH(AV94,Setup!$F$6:$F$15,0),99),IFERROR(MATCH(BC94,Setup!$H$6:$H$15,0),99),IFERROR(MATCH(AZ94,Setup!$J$6:$J$11,0),99))*1E+9+(AW94-40000)*10000+93)</f>
        <v/>
      </c>
      <c r="BK94">
        <f>IF(BI94=1,BJ94,"")</f>
        <v/>
      </c>
      <c r="BL94">
        <f>IF(AND(BH94=1,BG94=0,N(AW94)&lt;Setup!$D$7),(AW94-40000)*10000+93,"")</f>
        <v/>
      </c>
      <c r="BM94">
        <f>IF(AND(BH94=1,AZ94&lt;&gt;"Cancelled",N(AW94)&gt;=Dashboard!$AB$3,N(AW94)&lt;=Dashboard!$AB$3+6),(AW94-40000)*100000+BF94*10000+93,"")</f>
        <v/>
      </c>
      <c r="BN94">
        <f>IF(AND(BH94=1,AZ94&lt;&gt;"Cancelled"),BF94*10000+93,"")</f>
        <v/>
      </c>
    </row>
    <row r="95">
      <c r="A95">
        <f>Setup!$D$5+93</f>
        <v/>
      </c>
      <c r="B95">
        <f>IF('Recurring Schedule'!$C$6="","",IF('Recurring Schedule'!$F$6="","",IF(OR($A95&lt;'Recurring Schedule'!$F$6,$A95&gt;'Recurring Schedule'!$P$6),"",IF(IF('Recurring Schedule'!$N$6&gt;0,MOD($A95-'Recurring Schedule'!$F$6,'Recurring Schedule'!$N$6)=0,IF('Recurring Schedule'!$O$6&gt;0,AND(DAY($A95)=MIN(DAY('Recurring Schedule'!$F$6),DAY(EOMONTH($A95,0))),MOD((YEAR($A95)-YEAR('Recurring Schedule'!$F$6))*12+MONTH($A95)-MONTH('Recurring Schedule'!$F$6),'Recurring Schedule'!$O$6)=0),IF('Recurring Schedule'!$E$6="Weekdays",WEEKDAY($A95,2)&lt;=5,$A95='Recurring Schedule'!$F$6))),1,""))))</f>
        <v/>
      </c>
      <c r="C95">
        <f>IF('Recurring Schedule'!$C$7="","",IF('Recurring Schedule'!$F$7="","",IF(OR($A95&lt;'Recurring Schedule'!$F$7,$A95&gt;'Recurring Schedule'!$P$7),"",IF(IF('Recurring Schedule'!$N$7&gt;0,MOD($A95-'Recurring Schedule'!$F$7,'Recurring Schedule'!$N$7)=0,IF('Recurring Schedule'!$O$7&gt;0,AND(DAY($A95)=MIN(DAY('Recurring Schedule'!$F$7),DAY(EOMONTH($A95,0))),MOD((YEAR($A95)-YEAR('Recurring Schedule'!$F$7))*12+MONTH($A95)-MONTH('Recurring Schedule'!$F$7),'Recurring Schedule'!$O$7)=0),IF('Recurring Schedule'!$E$7="Weekdays",WEEKDAY($A95,2)&lt;=5,$A95='Recurring Schedule'!$F$7))),2,""))))</f>
        <v/>
      </c>
      <c r="D95">
        <f>IF('Recurring Schedule'!$C$8="","",IF('Recurring Schedule'!$F$8="","",IF(OR($A95&lt;'Recurring Schedule'!$F$8,$A95&gt;'Recurring Schedule'!$P$8),"",IF(IF('Recurring Schedule'!$N$8&gt;0,MOD($A95-'Recurring Schedule'!$F$8,'Recurring Schedule'!$N$8)=0,IF('Recurring Schedule'!$O$8&gt;0,AND(DAY($A95)=MIN(DAY('Recurring Schedule'!$F$8),DAY(EOMONTH($A95,0))),MOD((YEAR($A95)-YEAR('Recurring Schedule'!$F$8))*12+MONTH($A95)-MONTH('Recurring Schedule'!$F$8),'Recurring Schedule'!$O$8)=0),IF('Recurring Schedule'!$E$8="Weekdays",WEEKDAY($A95,2)&lt;=5,$A95='Recurring Schedule'!$F$8))),3,""))))</f>
        <v/>
      </c>
      <c r="E95">
        <f>IF('Recurring Schedule'!$C$9="","",IF('Recurring Schedule'!$F$9="","",IF(OR($A95&lt;'Recurring Schedule'!$F$9,$A95&gt;'Recurring Schedule'!$P$9),"",IF(IF('Recurring Schedule'!$N$9&gt;0,MOD($A95-'Recurring Schedule'!$F$9,'Recurring Schedule'!$N$9)=0,IF('Recurring Schedule'!$O$9&gt;0,AND(DAY($A95)=MIN(DAY('Recurring Schedule'!$F$9),DAY(EOMONTH($A95,0))),MOD((YEAR($A95)-YEAR('Recurring Schedule'!$F$9))*12+MONTH($A95)-MONTH('Recurring Schedule'!$F$9),'Recurring Schedule'!$O$9)=0),IF('Recurring Schedule'!$E$9="Weekdays",WEEKDAY($A95,2)&lt;=5,$A95='Recurring Schedule'!$F$9))),4,""))))</f>
        <v/>
      </c>
      <c r="F95">
        <f>IF('Recurring Schedule'!$C$10="","",IF('Recurring Schedule'!$F$10="","",IF(OR($A95&lt;'Recurring Schedule'!$F$10,$A95&gt;'Recurring Schedule'!$P$10),"",IF(IF('Recurring Schedule'!$N$10&gt;0,MOD($A95-'Recurring Schedule'!$F$10,'Recurring Schedule'!$N$10)=0,IF('Recurring Schedule'!$O$10&gt;0,AND(DAY($A95)=MIN(DAY('Recurring Schedule'!$F$10),DAY(EOMONTH($A95,0))),MOD((YEAR($A95)-YEAR('Recurring Schedule'!$F$10))*12+MONTH($A95)-MONTH('Recurring Schedule'!$F$10),'Recurring Schedule'!$O$10)=0),IF('Recurring Schedule'!$E$10="Weekdays",WEEKDAY($A95,2)&lt;=5,$A95='Recurring Schedule'!$F$10))),5,""))))</f>
        <v/>
      </c>
      <c r="G95">
        <f>IF('Recurring Schedule'!$C$11="","",IF('Recurring Schedule'!$F$11="","",IF(OR($A95&lt;'Recurring Schedule'!$F$11,$A95&gt;'Recurring Schedule'!$P$11),"",IF(IF('Recurring Schedule'!$N$11&gt;0,MOD($A95-'Recurring Schedule'!$F$11,'Recurring Schedule'!$N$11)=0,IF('Recurring Schedule'!$O$11&gt;0,AND(DAY($A95)=MIN(DAY('Recurring Schedule'!$F$11),DAY(EOMONTH($A95,0))),MOD((YEAR($A95)-YEAR('Recurring Schedule'!$F$11))*12+MONTH($A95)-MONTH('Recurring Schedule'!$F$11),'Recurring Schedule'!$O$11)=0),IF('Recurring Schedule'!$E$11="Weekdays",WEEKDAY($A95,2)&lt;=5,$A95='Recurring Schedule'!$F$11))),6,""))))</f>
        <v/>
      </c>
      <c r="H95">
        <f>IF('Recurring Schedule'!$C$12="","",IF('Recurring Schedule'!$F$12="","",IF(OR($A95&lt;'Recurring Schedule'!$F$12,$A95&gt;'Recurring Schedule'!$P$12),"",IF(IF('Recurring Schedule'!$N$12&gt;0,MOD($A95-'Recurring Schedule'!$F$12,'Recurring Schedule'!$N$12)=0,IF('Recurring Schedule'!$O$12&gt;0,AND(DAY($A95)=MIN(DAY('Recurring Schedule'!$F$12),DAY(EOMONTH($A95,0))),MOD((YEAR($A95)-YEAR('Recurring Schedule'!$F$12))*12+MONTH($A95)-MONTH('Recurring Schedule'!$F$12),'Recurring Schedule'!$O$12)=0),IF('Recurring Schedule'!$E$12="Weekdays",WEEKDAY($A95,2)&lt;=5,$A95='Recurring Schedule'!$F$12))),7,""))))</f>
        <v/>
      </c>
      <c r="I95">
        <f>IF('Recurring Schedule'!$C$13="","",IF('Recurring Schedule'!$F$13="","",IF(OR($A95&lt;'Recurring Schedule'!$F$13,$A95&gt;'Recurring Schedule'!$P$13),"",IF(IF('Recurring Schedule'!$N$13&gt;0,MOD($A95-'Recurring Schedule'!$F$13,'Recurring Schedule'!$N$13)=0,IF('Recurring Schedule'!$O$13&gt;0,AND(DAY($A95)=MIN(DAY('Recurring Schedule'!$F$13),DAY(EOMONTH($A95,0))),MOD((YEAR($A95)-YEAR('Recurring Schedule'!$F$13))*12+MONTH($A95)-MONTH('Recurring Schedule'!$F$13),'Recurring Schedule'!$O$13)=0),IF('Recurring Schedule'!$E$13="Weekdays",WEEKDAY($A95,2)&lt;=5,$A95='Recurring Schedule'!$F$13))),8,""))))</f>
        <v/>
      </c>
      <c r="J95">
        <f>IF('Recurring Schedule'!$C$14="","",IF('Recurring Schedule'!$F$14="","",IF(OR($A95&lt;'Recurring Schedule'!$F$14,$A95&gt;'Recurring Schedule'!$P$14),"",IF(IF('Recurring Schedule'!$N$14&gt;0,MOD($A95-'Recurring Schedule'!$F$14,'Recurring Schedule'!$N$14)=0,IF('Recurring Schedule'!$O$14&gt;0,AND(DAY($A95)=MIN(DAY('Recurring Schedule'!$F$14),DAY(EOMONTH($A95,0))),MOD((YEAR($A95)-YEAR('Recurring Schedule'!$F$14))*12+MONTH($A95)-MONTH('Recurring Schedule'!$F$14),'Recurring Schedule'!$O$14)=0),IF('Recurring Schedule'!$E$14="Weekdays",WEEKDAY($A95,2)&lt;=5,$A95='Recurring Schedule'!$F$14))),9,""))))</f>
        <v/>
      </c>
      <c r="K95">
        <f>IF('Recurring Schedule'!$C$15="","",IF('Recurring Schedule'!$F$15="","",IF(OR($A95&lt;'Recurring Schedule'!$F$15,$A95&gt;'Recurring Schedule'!$P$15),"",IF(IF('Recurring Schedule'!$N$15&gt;0,MOD($A95-'Recurring Schedule'!$F$15,'Recurring Schedule'!$N$15)=0,IF('Recurring Schedule'!$O$15&gt;0,AND(DAY($A95)=MIN(DAY('Recurring Schedule'!$F$15),DAY(EOMONTH($A95,0))),MOD((YEAR($A95)-YEAR('Recurring Schedule'!$F$15))*12+MONTH($A95)-MONTH('Recurring Schedule'!$F$15),'Recurring Schedule'!$O$15)=0),IF('Recurring Schedule'!$E$15="Weekdays",WEEKDAY($A95,2)&lt;=5,$A95='Recurring Schedule'!$F$15))),10,""))))</f>
        <v/>
      </c>
      <c r="L95">
        <f>IF('Recurring Schedule'!$C$16="","",IF('Recurring Schedule'!$F$16="","",IF(OR($A95&lt;'Recurring Schedule'!$F$16,$A95&gt;'Recurring Schedule'!$P$16),"",IF(IF('Recurring Schedule'!$N$16&gt;0,MOD($A95-'Recurring Schedule'!$F$16,'Recurring Schedule'!$N$16)=0,IF('Recurring Schedule'!$O$16&gt;0,AND(DAY($A95)=MIN(DAY('Recurring Schedule'!$F$16),DAY(EOMONTH($A95,0))),MOD((YEAR($A95)-YEAR('Recurring Schedule'!$F$16))*12+MONTH($A95)-MONTH('Recurring Schedule'!$F$16),'Recurring Schedule'!$O$16)=0),IF('Recurring Schedule'!$E$16="Weekdays",WEEKDAY($A95,2)&lt;=5,$A95='Recurring Schedule'!$F$16))),11,""))))</f>
        <v/>
      </c>
      <c r="M95">
        <f>IF('Recurring Schedule'!$C$17="","",IF('Recurring Schedule'!$F$17="","",IF(OR($A95&lt;'Recurring Schedule'!$F$17,$A95&gt;'Recurring Schedule'!$P$17),"",IF(IF('Recurring Schedule'!$N$17&gt;0,MOD($A95-'Recurring Schedule'!$F$17,'Recurring Schedule'!$N$17)=0,IF('Recurring Schedule'!$O$17&gt;0,AND(DAY($A95)=MIN(DAY('Recurring Schedule'!$F$17),DAY(EOMONTH($A95,0))),MOD((YEAR($A95)-YEAR('Recurring Schedule'!$F$17))*12+MONTH($A95)-MONTH('Recurring Schedule'!$F$17),'Recurring Schedule'!$O$17)=0),IF('Recurring Schedule'!$E$17="Weekdays",WEEKDAY($A95,2)&lt;=5,$A95='Recurring Schedule'!$F$17))),12,""))))</f>
        <v/>
      </c>
      <c r="N95">
        <f>IF('Recurring Schedule'!$C$18="","",IF('Recurring Schedule'!$F$18="","",IF(OR($A95&lt;'Recurring Schedule'!$F$18,$A95&gt;'Recurring Schedule'!$P$18),"",IF(IF('Recurring Schedule'!$N$18&gt;0,MOD($A95-'Recurring Schedule'!$F$18,'Recurring Schedule'!$N$18)=0,IF('Recurring Schedule'!$O$18&gt;0,AND(DAY($A95)=MIN(DAY('Recurring Schedule'!$F$18),DAY(EOMONTH($A95,0))),MOD((YEAR($A95)-YEAR('Recurring Schedule'!$F$18))*12+MONTH($A95)-MONTH('Recurring Schedule'!$F$18),'Recurring Schedule'!$O$18)=0),IF('Recurring Schedule'!$E$18="Weekdays",WEEKDAY($A95,2)&lt;=5,$A95='Recurring Schedule'!$F$18))),13,""))))</f>
        <v/>
      </c>
      <c r="O95">
        <f>IF('Recurring Schedule'!$C$19="","",IF('Recurring Schedule'!$F$19="","",IF(OR($A95&lt;'Recurring Schedule'!$F$19,$A95&gt;'Recurring Schedule'!$P$19),"",IF(IF('Recurring Schedule'!$N$19&gt;0,MOD($A95-'Recurring Schedule'!$F$19,'Recurring Schedule'!$N$19)=0,IF('Recurring Schedule'!$O$19&gt;0,AND(DAY($A95)=MIN(DAY('Recurring Schedule'!$F$19),DAY(EOMONTH($A95,0))),MOD((YEAR($A95)-YEAR('Recurring Schedule'!$F$19))*12+MONTH($A95)-MONTH('Recurring Schedule'!$F$19),'Recurring Schedule'!$O$19)=0),IF('Recurring Schedule'!$E$19="Weekdays",WEEKDAY($A95,2)&lt;=5,$A95='Recurring Schedule'!$F$19))),14,""))))</f>
        <v/>
      </c>
      <c r="P95">
        <f>IF('Recurring Schedule'!$C$20="","",IF('Recurring Schedule'!$F$20="","",IF(OR($A95&lt;'Recurring Schedule'!$F$20,$A95&gt;'Recurring Schedule'!$P$20),"",IF(IF('Recurring Schedule'!$N$20&gt;0,MOD($A95-'Recurring Schedule'!$F$20,'Recurring Schedule'!$N$20)=0,IF('Recurring Schedule'!$O$20&gt;0,AND(DAY($A95)=MIN(DAY('Recurring Schedule'!$F$20),DAY(EOMONTH($A95,0))),MOD((YEAR($A95)-YEAR('Recurring Schedule'!$F$20))*12+MONTH($A95)-MONTH('Recurring Schedule'!$F$20),'Recurring Schedule'!$O$20)=0),IF('Recurring Schedule'!$E$20="Weekdays",WEEKDAY($A95,2)&lt;=5,$A95='Recurring Schedule'!$F$20))),15,""))))</f>
        <v/>
      </c>
      <c r="Q95">
        <f>IF('Recurring Schedule'!$C$21="","",IF('Recurring Schedule'!$F$21="","",IF(OR($A95&lt;'Recurring Schedule'!$F$21,$A95&gt;'Recurring Schedule'!$P$21),"",IF(IF('Recurring Schedule'!$N$21&gt;0,MOD($A95-'Recurring Schedule'!$F$21,'Recurring Schedule'!$N$21)=0,IF('Recurring Schedule'!$O$21&gt;0,AND(DAY($A95)=MIN(DAY('Recurring Schedule'!$F$21),DAY(EOMONTH($A95,0))),MOD((YEAR($A95)-YEAR('Recurring Schedule'!$F$21))*12+MONTH($A95)-MONTH('Recurring Schedule'!$F$21),'Recurring Schedule'!$O$21)=0),IF('Recurring Schedule'!$E$21="Weekdays",WEEKDAY($A95,2)&lt;=5,$A95='Recurring Schedule'!$F$21))),16,""))))</f>
        <v/>
      </c>
      <c r="R95">
        <f>IF('Recurring Schedule'!$C$22="","",IF('Recurring Schedule'!$F$22="","",IF(OR($A95&lt;'Recurring Schedule'!$F$22,$A95&gt;'Recurring Schedule'!$P$22),"",IF(IF('Recurring Schedule'!$N$22&gt;0,MOD($A95-'Recurring Schedule'!$F$22,'Recurring Schedule'!$N$22)=0,IF('Recurring Schedule'!$O$22&gt;0,AND(DAY($A95)=MIN(DAY('Recurring Schedule'!$F$22),DAY(EOMONTH($A95,0))),MOD((YEAR($A95)-YEAR('Recurring Schedule'!$F$22))*12+MONTH($A95)-MONTH('Recurring Schedule'!$F$22),'Recurring Schedule'!$O$22)=0),IF('Recurring Schedule'!$E$22="Weekdays",WEEKDAY($A95,2)&lt;=5,$A95='Recurring Schedule'!$F$22))),17,""))))</f>
        <v/>
      </c>
      <c r="S95">
        <f>IF('Recurring Schedule'!$C$23="","",IF('Recurring Schedule'!$F$23="","",IF(OR($A95&lt;'Recurring Schedule'!$F$23,$A95&gt;'Recurring Schedule'!$P$23),"",IF(IF('Recurring Schedule'!$N$23&gt;0,MOD($A95-'Recurring Schedule'!$F$23,'Recurring Schedule'!$N$23)=0,IF('Recurring Schedule'!$O$23&gt;0,AND(DAY($A95)=MIN(DAY('Recurring Schedule'!$F$23),DAY(EOMONTH($A95,0))),MOD((YEAR($A95)-YEAR('Recurring Schedule'!$F$23))*12+MONTH($A95)-MONTH('Recurring Schedule'!$F$23),'Recurring Schedule'!$O$23)=0),IF('Recurring Schedule'!$E$23="Weekdays",WEEKDAY($A95,2)&lt;=5,$A95='Recurring Schedule'!$F$23))),18,""))))</f>
        <v/>
      </c>
      <c r="T95">
        <f>IF('Recurring Schedule'!$C$24="","",IF('Recurring Schedule'!$F$24="","",IF(OR($A95&lt;'Recurring Schedule'!$F$24,$A95&gt;'Recurring Schedule'!$P$24),"",IF(IF('Recurring Schedule'!$N$24&gt;0,MOD($A95-'Recurring Schedule'!$F$24,'Recurring Schedule'!$N$24)=0,IF('Recurring Schedule'!$O$24&gt;0,AND(DAY($A95)=MIN(DAY('Recurring Schedule'!$F$24),DAY(EOMONTH($A95,0))),MOD((YEAR($A95)-YEAR('Recurring Schedule'!$F$24))*12+MONTH($A95)-MONTH('Recurring Schedule'!$F$24),'Recurring Schedule'!$O$24)=0),IF('Recurring Schedule'!$E$24="Weekdays",WEEKDAY($A95,2)&lt;=5,$A95='Recurring Schedule'!$F$24))),19,""))))</f>
        <v/>
      </c>
      <c r="U95">
        <f>IF('Recurring Schedule'!$C$25="","",IF('Recurring Schedule'!$F$25="","",IF(OR($A95&lt;'Recurring Schedule'!$F$25,$A95&gt;'Recurring Schedule'!$P$25),"",IF(IF('Recurring Schedule'!$N$25&gt;0,MOD($A95-'Recurring Schedule'!$F$25,'Recurring Schedule'!$N$25)=0,IF('Recurring Schedule'!$O$25&gt;0,AND(DAY($A95)=MIN(DAY('Recurring Schedule'!$F$25),DAY(EOMONTH($A95,0))),MOD((YEAR($A95)-YEAR('Recurring Schedule'!$F$25))*12+MONTH($A95)-MONTH('Recurring Schedule'!$F$25),'Recurring Schedule'!$O$25)=0),IF('Recurring Schedule'!$E$25="Weekdays",WEEKDAY($A95,2)&lt;=5,$A95='Recurring Schedule'!$F$25))),20,""))))</f>
        <v/>
      </c>
      <c r="V95">
        <f>IF('Recurring Schedule'!$C$26="","",IF('Recurring Schedule'!$F$26="","",IF(OR($A95&lt;'Recurring Schedule'!$F$26,$A95&gt;'Recurring Schedule'!$P$26),"",IF(IF('Recurring Schedule'!$N$26&gt;0,MOD($A95-'Recurring Schedule'!$F$26,'Recurring Schedule'!$N$26)=0,IF('Recurring Schedule'!$O$26&gt;0,AND(DAY($A95)=MIN(DAY('Recurring Schedule'!$F$26),DAY(EOMONTH($A95,0))),MOD((YEAR($A95)-YEAR('Recurring Schedule'!$F$26))*12+MONTH($A95)-MONTH('Recurring Schedule'!$F$26),'Recurring Schedule'!$O$26)=0),IF('Recurring Schedule'!$E$26="Weekdays",WEEKDAY($A95,2)&lt;=5,$A95='Recurring Schedule'!$F$26))),21,""))))</f>
        <v/>
      </c>
      <c r="W95">
        <f>IF('Recurring Schedule'!$C$27="","",IF('Recurring Schedule'!$F$27="","",IF(OR($A95&lt;'Recurring Schedule'!$F$27,$A95&gt;'Recurring Schedule'!$P$27),"",IF(IF('Recurring Schedule'!$N$27&gt;0,MOD($A95-'Recurring Schedule'!$F$27,'Recurring Schedule'!$N$27)=0,IF('Recurring Schedule'!$O$27&gt;0,AND(DAY($A95)=MIN(DAY('Recurring Schedule'!$F$27),DAY(EOMONTH($A95,0))),MOD((YEAR($A95)-YEAR('Recurring Schedule'!$F$27))*12+MONTH($A95)-MONTH('Recurring Schedule'!$F$27),'Recurring Schedule'!$O$27)=0),IF('Recurring Schedule'!$E$27="Weekdays",WEEKDAY($A95,2)&lt;=5,$A95='Recurring Schedule'!$F$27))),22,""))))</f>
        <v/>
      </c>
      <c r="X95">
        <f>IF('Recurring Schedule'!$C$28="","",IF('Recurring Schedule'!$F$28="","",IF(OR($A95&lt;'Recurring Schedule'!$F$28,$A95&gt;'Recurring Schedule'!$P$28),"",IF(IF('Recurring Schedule'!$N$28&gt;0,MOD($A95-'Recurring Schedule'!$F$28,'Recurring Schedule'!$N$28)=0,IF('Recurring Schedule'!$O$28&gt;0,AND(DAY($A95)=MIN(DAY('Recurring Schedule'!$F$28),DAY(EOMONTH($A95,0))),MOD((YEAR($A95)-YEAR('Recurring Schedule'!$F$28))*12+MONTH($A95)-MONTH('Recurring Schedule'!$F$28),'Recurring Schedule'!$O$28)=0),IF('Recurring Schedule'!$E$28="Weekdays",WEEKDAY($A95,2)&lt;=5,$A95='Recurring Schedule'!$F$28))),23,""))))</f>
        <v/>
      </c>
      <c r="Y95">
        <f>IF('Recurring Schedule'!$C$29="","",IF('Recurring Schedule'!$F$29="","",IF(OR($A95&lt;'Recurring Schedule'!$F$29,$A95&gt;'Recurring Schedule'!$P$29),"",IF(IF('Recurring Schedule'!$N$29&gt;0,MOD($A95-'Recurring Schedule'!$F$29,'Recurring Schedule'!$N$29)=0,IF('Recurring Schedule'!$O$29&gt;0,AND(DAY($A95)=MIN(DAY('Recurring Schedule'!$F$29),DAY(EOMONTH($A95,0))),MOD((YEAR($A95)-YEAR('Recurring Schedule'!$F$29))*12+MONTH($A95)-MONTH('Recurring Schedule'!$F$29),'Recurring Schedule'!$O$29)=0),IF('Recurring Schedule'!$E$29="Weekdays",WEEKDAY($A95,2)&lt;=5,$A95='Recurring Schedule'!$F$29))),24,""))))</f>
        <v/>
      </c>
      <c r="Z95">
        <f>IF('Recurring Schedule'!$C$30="","",IF('Recurring Schedule'!$F$30="","",IF(OR($A95&lt;'Recurring Schedule'!$F$30,$A95&gt;'Recurring Schedule'!$P$30),"",IF(IF('Recurring Schedule'!$N$30&gt;0,MOD($A95-'Recurring Schedule'!$F$30,'Recurring Schedule'!$N$30)=0,IF('Recurring Schedule'!$O$30&gt;0,AND(DAY($A95)=MIN(DAY('Recurring Schedule'!$F$30),DAY(EOMONTH($A95,0))),MOD((YEAR($A95)-YEAR('Recurring Schedule'!$F$30))*12+MONTH($A95)-MONTH('Recurring Schedule'!$F$30),'Recurring Schedule'!$O$30)=0),IF('Recurring Schedule'!$E$30="Weekdays",WEEKDAY($A95,2)&lt;=5,$A95='Recurring Schedule'!$F$30))),25,""))))</f>
        <v/>
      </c>
      <c r="AA95">
        <f>IF('Recurring Schedule'!$C$31="","",IF('Recurring Schedule'!$F$31="","",IF(OR($A95&lt;'Recurring Schedule'!$F$31,$A95&gt;'Recurring Schedule'!$P$31),"",IF(IF('Recurring Schedule'!$N$31&gt;0,MOD($A95-'Recurring Schedule'!$F$31,'Recurring Schedule'!$N$31)=0,IF('Recurring Schedule'!$O$31&gt;0,AND(DAY($A95)=MIN(DAY('Recurring Schedule'!$F$31),DAY(EOMONTH($A95,0))),MOD((YEAR($A95)-YEAR('Recurring Schedule'!$F$31))*12+MONTH($A95)-MONTH('Recurring Schedule'!$F$31),'Recurring Schedule'!$O$31)=0),IF('Recurring Schedule'!$E$31="Weekdays",WEEKDAY($A95,2)&lt;=5,$A95='Recurring Schedule'!$F$31))),26,""))))</f>
        <v/>
      </c>
      <c r="AB95">
        <f>IF('Recurring Schedule'!$C$32="","",IF('Recurring Schedule'!$F$32="","",IF(OR($A95&lt;'Recurring Schedule'!$F$32,$A95&gt;'Recurring Schedule'!$P$32),"",IF(IF('Recurring Schedule'!$N$32&gt;0,MOD($A95-'Recurring Schedule'!$F$32,'Recurring Schedule'!$N$32)=0,IF('Recurring Schedule'!$O$32&gt;0,AND(DAY($A95)=MIN(DAY('Recurring Schedule'!$F$32),DAY(EOMONTH($A95,0))),MOD((YEAR($A95)-YEAR('Recurring Schedule'!$F$32))*12+MONTH($A95)-MONTH('Recurring Schedule'!$F$32),'Recurring Schedule'!$O$32)=0),IF('Recurring Schedule'!$E$32="Weekdays",WEEKDAY($A95,2)&lt;=5,$A95='Recurring Schedule'!$F$32))),27,""))))</f>
        <v/>
      </c>
      <c r="AC95">
        <f>IF('Recurring Schedule'!$C$33="","",IF('Recurring Schedule'!$F$33="","",IF(OR($A95&lt;'Recurring Schedule'!$F$33,$A95&gt;'Recurring Schedule'!$P$33),"",IF(IF('Recurring Schedule'!$N$33&gt;0,MOD($A95-'Recurring Schedule'!$F$33,'Recurring Schedule'!$N$33)=0,IF('Recurring Schedule'!$O$33&gt;0,AND(DAY($A95)=MIN(DAY('Recurring Schedule'!$F$33),DAY(EOMONTH($A95,0))),MOD((YEAR($A95)-YEAR('Recurring Schedule'!$F$33))*12+MONTH($A95)-MONTH('Recurring Schedule'!$F$33),'Recurring Schedule'!$O$33)=0),IF('Recurring Schedule'!$E$33="Weekdays",WEEKDAY($A95,2)&lt;=5,$A95='Recurring Schedule'!$F$33))),28,""))))</f>
        <v/>
      </c>
      <c r="AD95">
        <f>IF('Recurring Schedule'!$C$34="","",IF('Recurring Schedule'!$F$34="","",IF(OR($A95&lt;'Recurring Schedule'!$F$34,$A95&gt;'Recurring Schedule'!$P$34),"",IF(IF('Recurring Schedule'!$N$34&gt;0,MOD($A95-'Recurring Schedule'!$F$34,'Recurring Schedule'!$N$34)=0,IF('Recurring Schedule'!$O$34&gt;0,AND(DAY($A95)=MIN(DAY('Recurring Schedule'!$F$34),DAY(EOMONTH($A95,0))),MOD((YEAR($A95)-YEAR('Recurring Schedule'!$F$34))*12+MONTH($A95)-MONTH('Recurring Schedule'!$F$34),'Recurring Schedule'!$O$34)=0),IF('Recurring Schedule'!$E$34="Weekdays",WEEKDAY($A95,2)&lt;=5,$A95='Recurring Schedule'!$F$34))),29,""))))</f>
        <v/>
      </c>
      <c r="AE95">
        <f>IF('Recurring Schedule'!$C$35="","",IF('Recurring Schedule'!$F$35="","",IF(OR($A95&lt;'Recurring Schedule'!$F$35,$A95&gt;'Recurring Schedule'!$P$35),"",IF(IF('Recurring Schedule'!$N$35&gt;0,MOD($A95-'Recurring Schedule'!$F$35,'Recurring Schedule'!$N$35)=0,IF('Recurring Schedule'!$O$35&gt;0,AND(DAY($A95)=MIN(DAY('Recurring Schedule'!$F$35),DAY(EOMONTH($A95,0))),MOD((YEAR($A95)-YEAR('Recurring Schedule'!$F$35))*12+MONTH($A95)-MONTH('Recurring Schedule'!$F$35),'Recurring Schedule'!$O$35)=0),IF('Recurring Schedule'!$E$35="Weekdays",WEEKDAY($A95,2)&lt;=5,$A95='Recurring Schedule'!$F$35))),30,""))))</f>
        <v/>
      </c>
      <c r="AF95">
        <f>IF('Recurring Schedule'!$C$36="","",IF('Recurring Schedule'!$F$36="","",IF(OR($A95&lt;'Recurring Schedule'!$F$36,$A95&gt;'Recurring Schedule'!$P$36),"",IF(IF('Recurring Schedule'!$N$36&gt;0,MOD($A95-'Recurring Schedule'!$F$36,'Recurring Schedule'!$N$36)=0,IF('Recurring Schedule'!$O$36&gt;0,AND(DAY($A95)=MIN(DAY('Recurring Schedule'!$F$36),DAY(EOMONTH($A95,0))),MOD((YEAR($A95)-YEAR('Recurring Schedule'!$F$36))*12+MONTH($A95)-MONTH('Recurring Schedule'!$F$36),'Recurring Schedule'!$O$36)=0),IF('Recurring Schedule'!$E$36="Weekdays",WEEKDAY($A95,2)&lt;=5,$A95='Recurring Schedule'!$F$36))),31,""))))</f>
        <v/>
      </c>
      <c r="AG95">
        <f>IF('Recurring Schedule'!$C$37="","",IF('Recurring Schedule'!$F$37="","",IF(OR($A95&lt;'Recurring Schedule'!$F$37,$A95&gt;'Recurring Schedule'!$P$37),"",IF(IF('Recurring Schedule'!$N$37&gt;0,MOD($A95-'Recurring Schedule'!$F$37,'Recurring Schedule'!$N$37)=0,IF('Recurring Schedule'!$O$37&gt;0,AND(DAY($A95)=MIN(DAY('Recurring Schedule'!$F$37),DAY(EOMONTH($A95,0))),MOD((YEAR($A95)-YEAR('Recurring Schedule'!$F$37))*12+MONTH($A95)-MONTH('Recurring Schedule'!$F$37),'Recurring Schedule'!$O$37)=0),IF('Recurring Schedule'!$E$37="Weekdays",WEEKDAY($A95,2)&lt;=5,$A95='Recurring Schedule'!$F$37))),32,""))))</f>
        <v/>
      </c>
      <c r="AH95">
        <f>IF('Recurring Schedule'!$C$38="","",IF('Recurring Schedule'!$F$38="","",IF(OR($A95&lt;'Recurring Schedule'!$F$38,$A95&gt;'Recurring Schedule'!$P$38),"",IF(IF('Recurring Schedule'!$N$38&gt;0,MOD($A95-'Recurring Schedule'!$F$38,'Recurring Schedule'!$N$38)=0,IF('Recurring Schedule'!$O$38&gt;0,AND(DAY($A95)=MIN(DAY('Recurring Schedule'!$F$38),DAY(EOMONTH($A95,0))),MOD((YEAR($A95)-YEAR('Recurring Schedule'!$F$38))*12+MONTH($A95)-MONTH('Recurring Schedule'!$F$38),'Recurring Schedule'!$O$38)=0),IF('Recurring Schedule'!$E$38="Weekdays",WEEKDAY($A95,2)&lt;=5,$A95='Recurring Schedule'!$F$38))),33,""))))</f>
        <v/>
      </c>
      <c r="AI95">
        <f>IF('Recurring Schedule'!$C$39="","",IF('Recurring Schedule'!$F$39="","",IF(OR($A95&lt;'Recurring Schedule'!$F$39,$A95&gt;'Recurring Schedule'!$P$39),"",IF(IF('Recurring Schedule'!$N$39&gt;0,MOD($A95-'Recurring Schedule'!$F$39,'Recurring Schedule'!$N$39)=0,IF('Recurring Schedule'!$O$39&gt;0,AND(DAY($A95)=MIN(DAY('Recurring Schedule'!$F$39),DAY(EOMONTH($A95,0))),MOD((YEAR($A95)-YEAR('Recurring Schedule'!$F$39))*12+MONTH($A95)-MONTH('Recurring Schedule'!$F$39),'Recurring Schedule'!$O$39)=0),IF('Recurring Schedule'!$E$39="Weekdays",WEEKDAY($A95,2)&lt;=5,$A95='Recurring Schedule'!$F$39))),34,""))))</f>
        <v/>
      </c>
      <c r="AJ95">
        <f>IF('Recurring Schedule'!$C$40="","",IF('Recurring Schedule'!$F$40="","",IF(OR($A95&lt;'Recurring Schedule'!$F$40,$A95&gt;'Recurring Schedule'!$P$40),"",IF(IF('Recurring Schedule'!$N$40&gt;0,MOD($A95-'Recurring Schedule'!$F$40,'Recurring Schedule'!$N$40)=0,IF('Recurring Schedule'!$O$40&gt;0,AND(DAY($A95)=MIN(DAY('Recurring Schedule'!$F$40),DAY(EOMONTH($A95,0))),MOD((YEAR($A95)-YEAR('Recurring Schedule'!$F$40))*12+MONTH($A95)-MONTH('Recurring Schedule'!$F$40),'Recurring Schedule'!$O$40)=0),IF('Recurring Schedule'!$E$40="Weekdays",WEEKDAY($A95,2)&lt;=5,$A95='Recurring Schedule'!$F$40))),35,""))))</f>
        <v/>
      </c>
      <c r="AK95">
        <f>IF('Recurring Schedule'!$C$41="","",IF('Recurring Schedule'!$F$41="","",IF(OR($A95&lt;'Recurring Schedule'!$F$41,$A95&gt;'Recurring Schedule'!$P$41),"",IF(IF('Recurring Schedule'!$N$41&gt;0,MOD($A95-'Recurring Schedule'!$F$41,'Recurring Schedule'!$N$41)=0,IF('Recurring Schedule'!$O$41&gt;0,AND(DAY($A95)=MIN(DAY('Recurring Schedule'!$F$41),DAY(EOMONTH($A95,0))),MOD((YEAR($A95)-YEAR('Recurring Schedule'!$F$41))*12+MONTH($A95)-MONTH('Recurring Schedule'!$F$41),'Recurring Schedule'!$O$41)=0),IF('Recurring Schedule'!$E$41="Weekdays",WEEKDAY($A95,2)&lt;=5,$A95='Recurring Schedule'!$F$41))),36,""))))</f>
        <v/>
      </c>
      <c r="AL95">
        <f>IF('Recurring Schedule'!$C$42="","",IF('Recurring Schedule'!$F$42="","",IF(OR($A95&lt;'Recurring Schedule'!$F$42,$A95&gt;'Recurring Schedule'!$P$42),"",IF(IF('Recurring Schedule'!$N$42&gt;0,MOD($A95-'Recurring Schedule'!$F$42,'Recurring Schedule'!$N$42)=0,IF('Recurring Schedule'!$O$42&gt;0,AND(DAY($A95)=MIN(DAY('Recurring Schedule'!$F$42),DAY(EOMONTH($A95,0))),MOD((YEAR($A95)-YEAR('Recurring Schedule'!$F$42))*12+MONTH($A95)-MONTH('Recurring Schedule'!$F$42),'Recurring Schedule'!$O$42)=0),IF('Recurring Schedule'!$E$42="Weekdays",WEEKDAY($A95,2)&lt;=5,$A95='Recurring Schedule'!$F$42))),37,""))))</f>
        <v/>
      </c>
      <c r="AM95">
        <f>IF('Recurring Schedule'!$C$43="","",IF('Recurring Schedule'!$F$43="","",IF(OR($A95&lt;'Recurring Schedule'!$F$43,$A95&gt;'Recurring Schedule'!$P$43),"",IF(IF('Recurring Schedule'!$N$43&gt;0,MOD($A95-'Recurring Schedule'!$F$43,'Recurring Schedule'!$N$43)=0,IF('Recurring Schedule'!$O$43&gt;0,AND(DAY($A95)=MIN(DAY('Recurring Schedule'!$F$43),DAY(EOMONTH($A95,0))),MOD((YEAR($A95)-YEAR('Recurring Schedule'!$F$43))*12+MONTH($A95)-MONTH('Recurring Schedule'!$F$43),'Recurring Schedule'!$O$43)=0),IF('Recurring Schedule'!$E$43="Weekdays",WEEKDAY($A95,2)&lt;=5,$A95='Recurring Schedule'!$F$43))),38,""))))</f>
        <v/>
      </c>
      <c r="AN95">
        <f>IF('Recurring Schedule'!$C$44="","",IF('Recurring Schedule'!$F$44="","",IF(OR($A95&lt;'Recurring Schedule'!$F$44,$A95&gt;'Recurring Schedule'!$P$44),"",IF(IF('Recurring Schedule'!$N$44&gt;0,MOD($A95-'Recurring Schedule'!$F$44,'Recurring Schedule'!$N$44)=0,IF('Recurring Schedule'!$O$44&gt;0,AND(DAY($A95)=MIN(DAY('Recurring Schedule'!$F$44),DAY(EOMONTH($A95,0))),MOD((YEAR($A95)-YEAR('Recurring Schedule'!$F$44))*12+MONTH($A95)-MONTH('Recurring Schedule'!$F$44),'Recurring Schedule'!$O$44)=0),IF('Recurring Schedule'!$E$44="Weekdays",WEEKDAY($A95,2)&lt;=5,$A95='Recurring Schedule'!$F$44))),39,""))))</f>
        <v/>
      </c>
      <c r="AO95">
        <f>IF('Recurring Schedule'!$C$45="","",IF('Recurring Schedule'!$F$45="","",IF(OR($A95&lt;'Recurring Schedule'!$F$45,$A95&gt;'Recurring Schedule'!$P$45),"",IF(IF('Recurring Schedule'!$N$45&gt;0,MOD($A95-'Recurring Schedule'!$F$45,'Recurring Schedule'!$N$45)=0,IF('Recurring Schedule'!$O$45&gt;0,AND(DAY($A95)=MIN(DAY('Recurring Schedule'!$F$45),DAY(EOMONTH($A95,0))),MOD((YEAR($A95)-YEAR('Recurring Schedule'!$F$45))*12+MONTH($A95)-MONTH('Recurring Schedule'!$F$45),'Recurring Schedule'!$O$45)=0),IF('Recurring Schedule'!$E$45="Weekdays",WEEKDAY($A95,2)&lt;=5,$A95='Recurring Schedule'!$F$45))),40,""))))</f>
        <v/>
      </c>
      <c r="AP95">
        <f>COUNT(B95:AO95)</f>
        <v/>
      </c>
      <c r="AQ95">
        <f>AQ94+AP94</f>
        <v/>
      </c>
      <c r="AS95" t="inlineStr">
        <is>
          <t>R</t>
        </is>
      </c>
      <c r="AT95" t="n">
        <v>99</v>
      </c>
      <c r="AU95">
        <f>'Recurring Log'!C99&amp;""</f>
        <v/>
      </c>
      <c r="AV95">
        <f>'Recurring Log'!D99&amp;""</f>
        <v/>
      </c>
      <c r="AW95">
        <f>IF('Recurring Log'!E99="","",'Recurring Log'!E99)</f>
        <v/>
      </c>
      <c r="AX95">
        <f>IF('Recurring Log'!G99="","",'Recurring Log'!G99)</f>
        <v/>
      </c>
      <c r="AY95">
        <f>IF('Recurring Log'!H99="","",'Recurring Log'!H99)</f>
        <v/>
      </c>
      <c r="AZ95">
        <f>IF(AU95="","",IF('Recurring Log'!J99="","Not Started",'Recurring Log'!J99))</f>
        <v/>
      </c>
      <c r="BA95">
        <f>'Recurring Log'!L99&amp;""</f>
        <v/>
      </c>
      <c r="BB95">
        <f>'Recurring Log'!M99&amp;""</f>
        <v/>
      </c>
      <c r="BC95">
        <f>'Recurring Log'!N99&amp;""</f>
        <v/>
      </c>
      <c r="BD95">
        <f>'Recurring Log'!O99&amp;""</f>
        <v/>
      </c>
      <c r="BE95">
        <f>IF('Recurring Log'!K99="","",'Recurring Log'!K99)</f>
        <v/>
      </c>
      <c r="BF95">
        <f>IFERROR(MATCH(BA95,Setup!$L$6:$L$9,0),5)</f>
        <v/>
      </c>
      <c r="BG95">
        <f>IF(OR(AZ95="Done",AZ95="Cancelled"),1,0)</f>
        <v/>
      </c>
      <c r="BH95">
        <f>IF(AND(AU95&lt;&gt;"",ISNUMBER(AW95)),1,0)</f>
        <v/>
      </c>
      <c r="BI95">
        <f>IF(BH95=0,0,IF(AND(AW95&gt;='Tasks Filter'!$F$3,AW95&lt;='Tasks Filter'!$F$4,OR('Tasks Filter'!$I$3="",ISNUMBER(SEARCH('Tasks Filter'!$I$3,AU95))),OR('Tasks Filter'!$I$4="",BF95=IFERROR(MATCH('Tasks Filter'!$I$4,Setup!$L$6:$L$9,0),0)),OR('Tasks Filter'!$I$5="Both",AND('Tasks Filter'!$I$5="Yes",BB95="✓"),AND('Tasks Filter'!$I$5="No",BB95&lt;&gt;"✓")),OR('Tasks Filter'!$L$3="",AV95='Tasks Filter'!$L$3),OR('Tasks Filter'!$L$4="",AZ95='Tasks Filter'!$L$4),OR('Tasks Filter'!$L$5="",BC95='Tasks Filter'!$L$5),OR('Tasks Filter'!$O$3="",BD95='Tasks Filter'!$O$3),OR('Tasks Filter'!$O$4="Yes",BG95=0)),1,0))</f>
        <v/>
      </c>
      <c r="BJ95">
        <f>IF(BH95=0,"",IF('Tasks Filter'!$F$6="Descending",-1,1)*CHOOSE(MATCH('Tasks Filter'!$F$5,Lists!$G$2:$G$6,0),AW95,BF95,IFERROR(MATCH(AV95,Setup!$F$6:$F$15,0),99),IFERROR(MATCH(BC95,Setup!$H$6:$H$15,0),99),IFERROR(MATCH(AZ95,Setup!$J$6:$J$11,0),99))*1E+9+(AW95-40000)*10000+94)</f>
        <v/>
      </c>
      <c r="BK95">
        <f>IF(BI95=1,BJ95,"")</f>
        <v/>
      </c>
      <c r="BL95">
        <f>IF(AND(BH95=1,BG95=0,N(AW95)&lt;Setup!$D$7),(AW95-40000)*10000+94,"")</f>
        <v/>
      </c>
      <c r="BM95">
        <f>IF(AND(BH95=1,AZ95&lt;&gt;"Cancelled",N(AW95)&gt;=Dashboard!$AB$3,N(AW95)&lt;=Dashboard!$AB$3+6),(AW95-40000)*100000+BF95*10000+94,"")</f>
        <v/>
      </c>
      <c r="BN95">
        <f>IF(AND(BH95=1,AZ95&lt;&gt;"Cancelled"),BF95*10000+94,"")</f>
        <v/>
      </c>
    </row>
    <row r="96">
      <c r="A96">
        <f>Setup!$D$5+94</f>
        <v/>
      </c>
      <c r="B96">
        <f>IF('Recurring Schedule'!$C$6="","",IF('Recurring Schedule'!$F$6="","",IF(OR($A96&lt;'Recurring Schedule'!$F$6,$A96&gt;'Recurring Schedule'!$P$6),"",IF(IF('Recurring Schedule'!$N$6&gt;0,MOD($A96-'Recurring Schedule'!$F$6,'Recurring Schedule'!$N$6)=0,IF('Recurring Schedule'!$O$6&gt;0,AND(DAY($A96)=MIN(DAY('Recurring Schedule'!$F$6),DAY(EOMONTH($A96,0))),MOD((YEAR($A96)-YEAR('Recurring Schedule'!$F$6))*12+MONTH($A96)-MONTH('Recurring Schedule'!$F$6),'Recurring Schedule'!$O$6)=0),IF('Recurring Schedule'!$E$6="Weekdays",WEEKDAY($A96,2)&lt;=5,$A96='Recurring Schedule'!$F$6))),1,""))))</f>
        <v/>
      </c>
      <c r="C96">
        <f>IF('Recurring Schedule'!$C$7="","",IF('Recurring Schedule'!$F$7="","",IF(OR($A96&lt;'Recurring Schedule'!$F$7,$A96&gt;'Recurring Schedule'!$P$7),"",IF(IF('Recurring Schedule'!$N$7&gt;0,MOD($A96-'Recurring Schedule'!$F$7,'Recurring Schedule'!$N$7)=0,IF('Recurring Schedule'!$O$7&gt;0,AND(DAY($A96)=MIN(DAY('Recurring Schedule'!$F$7),DAY(EOMONTH($A96,0))),MOD((YEAR($A96)-YEAR('Recurring Schedule'!$F$7))*12+MONTH($A96)-MONTH('Recurring Schedule'!$F$7),'Recurring Schedule'!$O$7)=0),IF('Recurring Schedule'!$E$7="Weekdays",WEEKDAY($A96,2)&lt;=5,$A96='Recurring Schedule'!$F$7))),2,""))))</f>
        <v/>
      </c>
      <c r="D96">
        <f>IF('Recurring Schedule'!$C$8="","",IF('Recurring Schedule'!$F$8="","",IF(OR($A96&lt;'Recurring Schedule'!$F$8,$A96&gt;'Recurring Schedule'!$P$8),"",IF(IF('Recurring Schedule'!$N$8&gt;0,MOD($A96-'Recurring Schedule'!$F$8,'Recurring Schedule'!$N$8)=0,IF('Recurring Schedule'!$O$8&gt;0,AND(DAY($A96)=MIN(DAY('Recurring Schedule'!$F$8),DAY(EOMONTH($A96,0))),MOD((YEAR($A96)-YEAR('Recurring Schedule'!$F$8))*12+MONTH($A96)-MONTH('Recurring Schedule'!$F$8),'Recurring Schedule'!$O$8)=0),IF('Recurring Schedule'!$E$8="Weekdays",WEEKDAY($A96,2)&lt;=5,$A96='Recurring Schedule'!$F$8))),3,""))))</f>
        <v/>
      </c>
      <c r="E96">
        <f>IF('Recurring Schedule'!$C$9="","",IF('Recurring Schedule'!$F$9="","",IF(OR($A96&lt;'Recurring Schedule'!$F$9,$A96&gt;'Recurring Schedule'!$P$9),"",IF(IF('Recurring Schedule'!$N$9&gt;0,MOD($A96-'Recurring Schedule'!$F$9,'Recurring Schedule'!$N$9)=0,IF('Recurring Schedule'!$O$9&gt;0,AND(DAY($A96)=MIN(DAY('Recurring Schedule'!$F$9),DAY(EOMONTH($A96,0))),MOD((YEAR($A96)-YEAR('Recurring Schedule'!$F$9))*12+MONTH($A96)-MONTH('Recurring Schedule'!$F$9),'Recurring Schedule'!$O$9)=0),IF('Recurring Schedule'!$E$9="Weekdays",WEEKDAY($A96,2)&lt;=5,$A96='Recurring Schedule'!$F$9))),4,""))))</f>
        <v/>
      </c>
      <c r="F96">
        <f>IF('Recurring Schedule'!$C$10="","",IF('Recurring Schedule'!$F$10="","",IF(OR($A96&lt;'Recurring Schedule'!$F$10,$A96&gt;'Recurring Schedule'!$P$10),"",IF(IF('Recurring Schedule'!$N$10&gt;0,MOD($A96-'Recurring Schedule'!$F$10,'Recurring Schedule'!$N$10)=0,IF('Recurring Schedule'!$O$10&gt;0,AND(DAY($A96)=MIN(DAY('Recurring Schedule'!$F$10),DAY(EOMONTH($A96,0))),MOD((YEAR($A96)-YEAR('Recurring Schedule'!$F$10))*12+MONTH($A96)-MONTH('Recurring Schedule'!$F$10),'Recurring Schedule'!$O$10)=0),IF('Recurring Schedule'!$E$10="Weekdays",WEEKDAY($A96,2)&lt;=5,$A96='Recurring Schedule'!$F$10))),5,""))))</f>
        <v/>
      </c>
      <c r="G96">
        <f>IF('Recurring Schedule'!$C$11="","",IF('Recurring Schedule'!$F$11="","",IF(OR($A96&lt;'Recurring Schedule'!$F$11,$A96&gt;'Recurring Schedule'!$P$11),"",IF(IF('Recurring Schedule'!$N$11&gt;0,MOD($A96-'Recurring Schedule'!$F$11,'Recurring Schedule'!$N$11)=0,IF('Recurring Schedule'!$O$11&gt;0,AND(DAY($A96)=MIN(DAY('Recurring Schedule'!$F$11),DAY(EOMONTH($A96,0))),MOD((YEAR($A96)-YEAR('Recurring Schedule'!$F$11))*12+MONTH($A96)-MONTH('Recurring Schedule'!$F$11),'Recurring Schedule'!$O$11)=0),IF('Recurring Schedule'!$E$11="Weekdays",WEEKDAY($A96,2)&lt;=5,$A96='Recurring Schedule'!$F$11))),6,""))))</f>
        <v/>
      </c>
      <c r="H96">
        <f>IF('Recurring Schedule'!$C$12="","",IF('Recurring Schedule'!$F$12="","",IF(OR($A96&lt;'Recurring Schedule'!$F$12,$A96&gt;'Recurring Schedule'!$P$12),"",IF(IF('Recurring Schedule'!$N$12&gt;0,MOD($A96-'Recurring Schedule'!$F$12,'Recurring Schedule'!$N$12)=0,IF('Recurring Schedule'!$O$12&gt;0,AND(DAY($A96)=MIN(DAY('Recurring Schedule'!$F$12),DAY(EOMONTH($A96,0))),MOD((YEAR($A96)-YEAR('Recurring Schedule'!$F$12))*12+MONTH($A96)-MONTH('Recurring Schedule'!$F$12),'Recurring Schedule'!$O$12)=0),IF('Recurring Schedule'!$E$12="Weekdays",WEEKDAY($A96,2)&lt;=5,$A96='Recurring Schedule'!$F$12))),7,""))))</f>
        <v/>
      </c>
      <c r="I96">
        <f>IF('Recurring Schedule'!$C$13="","",IF('Recurring Schedule'!$F$13="","",IF(OR($A96&lt;'Recurring Schedule'!$F$13,$A96&gt;'Recurring Schedule'!$P$13),"",IF(IF('Recurring Schedule'!$N$13&gt;0,MOD($A96-'Recurring Schedule'!$F$13,'Recurring Schedule'!$N$13)=0,IF('Recurring Schedule'!$O$13&gt;0,AND(DAY($A96)=MIN(DAY('Recurring Schedule'!$F$13),DAY(EOMONTH($A96,0))),MOD((YEAR($A96)-YEAR('Recurring Schedule'!$F$13))*12+MONTH($A96)-MONTH('Recurring Schedule'!$F$13),'Recurring Schedule'!$O$13)=0),IF('Recurring Schedule'!$E$13="Weekdays",WEEKDAY($A96,2)&lt;=5,$A96='Recurring Schedule'!$F$13))),8,""))))</f>
        <v/>
      </c>
      <c r="J96">
        <f>IF('Recurring Schedule'!$C$14="","",IF('Recurring Schedule'!$F$14="","",IF(OR($A96&lt;'Recurring Schedule'!$F$14,$A96&gt;'Recurring Schedule'!$P$14),"",IF(IF('Recurring Schedule'!$N$14&gt;0,MOD($A96-'Recurring Schedule'!$F$14,'Recurring Schedule'!$N$14)=0,IF('Recurring Schedule'!$O$14&gt;0,AND(DAY($A96)=MIN(DAY('Recurring Schedule'!$F$14),DAY(EOMONTH($A96,0))),MOD((YEAR($A96)-YEAR('Recurring Schedule'!$F$14))*12+MONTH($A96)-MONTH('Recurring Schedule'!$F$14),'Recurring Schedule'!$O$14)=0),IF('Recurring Schedule'!$E$14="Weekdays",WEEKDAY($A96,2)&lt;=5,$A96='Recurring Schedule'!$F$14))),9,""))))</f>
        <v/>
      </c>
      <c r="K96">
        <f>IF('Recurring Schedule'!$C$15="","",IF('Recurring Schedule'!$F$15="","",IF(OR($A96&lt;'Recurring Schedule'!$F$15,$A96&gt;'Recurring Schedule'!$P$15),"",IF(IF('Recurring Schedule'!$N$15&gt;0,MOD($A96-'Recurring Schedule'!$F$15,'Recurring Schedule'!$N$15)=0,IF('Recurring Schedule'!$O$15&gt;0,AND(DAY($A96)=MIN(DAY('Recurring Schedule'!$F$15),DAY(EOMONTH($A96,0))),MOD((YEAR($A96)-YEAR('Recurring Schedule'!$F$15))*12+MONTH($A96)-MONTH('Recurring Schedule'!$F$15),'Recurring Schedule'!$O$15)=0),IF('Recurring Schedule'!$E$15="Weekdays",WEEKDAY($A96,2)&lt;=5,$A96='Recurring Schedule'!$F$15))),10,""))))</f>
        <v/>
      </c>
      <c r="L96">
        <f>IF('Recurring Schedule'!$C$16="","",IF('Recurring Schedule'!$F$16="","",IF(OR($A96&lt;'Recurring Schedule'!$F$16,$A96&gt;'Recurring Schedule'!$P$16),"",IF(IF('Recurring Schedule'!$N$16&gt;0,MOD($A96-'Recurring Schedule'!$F$16,'Recurring Schedule'!$N$16)=0,IF('Recurring Schedule'!$O$16&gt;0,AND(DAY($A96)=MIN(DAY('Recurring Schedule'!$F$16),DAY(EOMONTH($A96,0))),MOD((YEAR($A96)-YEAR('Recurring Schedule'!$F$16))*12+MONTH($A96)-MONTH('Recurring Schedule'!$F$16),'Recurring Schedule'!$O$16)=0),IF('Recurring Schedule'!$E$16="Weekdays",WEEKDAY($A96,2)&lt;=5,$A96='Recurring Schedule'!$F$16))),11,""))))</f>
        <v/>
      </c>
      <c r="M96">
        <f>IF('Recurring Schedule'!$C$17="","",IF('Recurring Schedule'!$F$17="","",IF(OR($A96&lt;'Recurring Schedule'!$F$17,$A96&gt;'Recurring Schedule'!$P$17),"",IF(IF('Recurring Schedule'!$N$17&gt;0,MOD($A96-'Recurring Schedule'!$F$17,'Recurring Schedule'!$N$17)=0,IF('Recurring Schedule'!$O$17&gt;0,AND(DAY($A96)=MIN(DAY('Recurring Schedule'!$F$17),DAY(EOMONTH($A96,0))),MOD((YEAR($A96)-YEAR('Recurring Schedule'!$F$17))*12+MONTH($A96)-MONTH('Recurring Schedule'!$F$17),'Recurring Schedule'!$O$17)=0),IF('Recurring Schedule'!$E$17="Weekdays",WEEKDAY($A96,2)&lt;=5,$A96='Recurring Schedule'!$F$17))),12,""))))</f>
        <v/>
      </c>
      <c r="N96">
        <f>IF('Recurring Schedule'!$C$18="","",IF('Recurring Schedule'!$F$18="","",IF(OR($A96&lt;'Recurring Schedule'!$F$18,$A96&gt;'Recurring Schedule'!$P$18),"",IF(IF('Recurring Schedule'!$N$18&gt;0,MOD($A96-'Recurring Schedule'!$F$18,'Recurring Schedule'!$N$18)=0,IF('Recurring Schedule'!$O$18&gt;0,AND(DAY($A96)=MIN(DAY('Recurring Schedule'!$F$18),DAY(EOMONTH($A96,0))),MOD((YEAR($A96)-YEAR('Recurring Schedule'!$F$18))*12+MONTH($A96)-MONTH('Recurring Schedule'!$F$18),'Recurring Schedule'!$O$18)=0),IF('Recurring Schedule'!$E$18="Weekdays",WEEKDAY($A96,2)&lt;=5,$A96='Recurring Schedule'!$F$18))),13,""))))</f>
        <v/>
      </c>
      <c r="O96">
        <f>IF('Recurring Schedule'!$C$19="","",IF('Recurring Schedule'!$F$19="","",IF(OR($A96&lt;'Recurring Schedule'!$F$19,$A96&gt;'Recurring Schedule'!$P$19),"",IF(IF('Recurring Schedule'!$N$19&gt;0,MOD($A96-'Recurring Schedule'!$F$19,'Recurring Schedule'!$N$19)=0,IF('Recurring Schedule'!$O$19&gt;0,AND(DAY($A96)=MIN(DAY('Recurring Schedule'!$F$19),DAY(EOMONTH($A96,0))),MOD((YEAR($A96)-YEAR('Recurring Schedule'!$F$19))*12+MONTH($A96)-MONTH('Recurring Schedule'!$F$19),'Recurring Schedule'!$O$19)=0),IF('Recurring Schedule'!$E$19="Weekdays",WEEKDAY($A96,2)&lt;=5,$A96='Recurring Schedule'!$F$19))),14,""))))</f>
        <v/>
      </c>
      <c r="P96">
        <f>IF('Recurring Schedule'!$C$20="","",IF('Recurring Schedule'!$F$20="","",IF(OR($A96&lt;'Recurring Schedule'!$F$20,$A96&gt;'Recurring Schedule'!$P$20),"",IF(IF('Recurring Schedule'!$N$20&gt;0,MOD($A96-'Recurring Schedule'!$F$20,'Recurring Schedule'!$N$20)=0,IF('Recurring Schedule'!$O$20&gt;0,AND(DAY($A96)=MIN(DAY('Recurring Schedule'!$F$20),DAY(EOMONTH($A96,0))),MOD((YEAR($A96)-YEAR('Recurring Schedule'!$F$20))*12+MONTH($A96)-MONTH('Recurring Schedule'!$F$20),'Recurring Schedule'!$O$20)=0),IF('Recurring Schedule'!$E$20="Weekdays",WEEKDAY($A96,2)&lt;=5,$A96='Recurring Schedule'!$F$20))),15,""))))</f>
        <v/>
      </c>
      <c r="Q96">
        <f>IF('Recurring Schedule'!$C$21="","",IF('Recurring Schedule'!$F$21="","",IF(OR($A96&lt;'Recurring Schedule'!$F$21,$A96&gt;'Recurring Schedule'!$P$21),"",IF(IF('Recurring Schedule'!$N$21&gt;0,MOD($A96-'Recurring Schedule'!$F$21,'Recurring Schedule'!$N$21)=0,IF('Recurring Schedule'!$O$21&gt;0,AND(DAY($A96)=MIN(DAY('Recurring Schedule'!$F$21),DAY(EOMONTH($A96,0))),MOD((YEAR($A96)-YEAR('Recurring Schedule'!$F$21))*12+MONTH($A96)-MONTH('Recurring Schedule'!$F$21),'Recurring Schedule'!$O$21)=0),IF('Recurring Schedule'!$E$21="Weekdays",WEEKDAY($A96,2)&lt;=5,$A96='Recurring Schedule'!$F$21))),16,""))))</f>
        <v/>
      </c>
      <c r="R96">
        <f>IF('Recurring Schedule'!$C$22="","",IF('Recurring Schedule'!$F$22="","",IF(OR($A96&lt;'Recurring Schedule'!$F$22,$A96&gt;'Recurring Schedule'!$P$22),"",IF(IF('Recurring Schedule'!$N$22&gt;0,MOD($A96-'Recurring Schedule'!$F$22,'Recurring Schedule'!$N$22)=0,IF('Recurring Schedule'!$O$22&gt;0,AND(DAY($A96)=MIN(DAY('Recurring Schedule'!$F$22),DAY(EOMONTH($A96,0))),MOD((YEAR($A96)-YEAR('Recurring Schedule'!$F$22))*12+MONTH($A96)-MONTH('Recurring Schedule'!$F$22),'Recurring Schedule'!$O$22)=0),IF('Recurring Schedule'!$E$22="Weekdays",WEEKDAY($A96,2)&lt;=5,$A96='Recurring Schedule'!$F$22))),17,""))))</f>
        <v/>
      </c>
      <c r="S96">
        <f>IF('Recurring Schedule'!$C$23="","",IF('Recurring Schedule'!$F$23="","",IF(OR($A96&lt;'Recurring Schedule'!$F$23,$A96&gt;'Recurring Schedule'!$P$23),"",IF(IF('Recurring Schedule'!$N$23&gt;0,MOD($A96-'Recurring Schedule'!$F$23,'Recurring Schedule'!$N$23)=0,IF('Recurring Schedule'!$O$23&gt;0,AND(DAY($A96)=MIN(DAY('Recurring Schedule'!$F$23),DAY(EOMONTH($A96,0))),MOD((YEAR($A96)-YEAR('Recurring Schedule'!$F$23))*12+MONTH($A96)-MONTH('Recurring Schedule'!$F$23),'Recurring Schedule'!$O$23)=0),IF('Recurring Schedule'!$E$23="Weekdays",WEEKDAY($A96,2)&lt;=5,$A96='Recurring Schedule'!$F$23))),18,""))))</f>
        <v/>
      </c>
      <c r="T96">
        <f>IF('Recurring Schedule'!$C$24="","",IF('Recurring Schedule'!$F$24="","",IF(OR($A96&lt;'Recurring Schedule'!$F$24,$A96&gt;'Recurring Schedule'!$P$24),"",IF(IF('Recurring Schedule'!$N$24&gt;0,MOD($A96-'Recurring Schedule'!$F$24,'Recurring Schedule'!$N$24)=0,IF('Recurring Schedule'!$O$24&gt;0,AND(DAY($A96)=MIN(DAY('Recurring Schedule'!$F$24),DAY(EOMONTH($A96,0))),MOD((YEAR($A96)-YEAR('Recurring Schedule'!$F$24))*12+MONTH($A96)-MONTH('Recurring Schedule'!$F$24),'Recurring Schedule'!$O$24)=0),IF('Recurring Schedule'!$E$24="Weekdays",WEEKDAY($A96,2)&lt;=5,$A96='Recurring Schedule'!$F$24))),19,""))))</f>
        <v/>
      </c>
      <c r="U96">
        <f>IF('Recurring Schedule'!$C$25="","",IF('Recurring Schedule'!$F$25="","",IF(OR($A96&lt;'Recurring Schedule'!$F$25,$A96&gt;'Recurring Schedule'!$P$25),"",IF(IF('Recurring Schedule'!$N$25&gt;0,MOD($A96-'Recurring Schedule'!$F$25,'Recurring Schedule'!$N$25)=0,IF('Recurring Schedule'!$O$25&gt;0,AND(DAY($A96)=MIN(DAY('Recurring Schedule'!$F$25),DAY(EOMONTH($A96,0))),MOD((YEAR($A96)-YEAR('Recurring Schedule'!$F$25))*12+MONTH($A96)-MONTH('Recurring Schedule'!$F$25),'Recurring Schedule'!$O$25)=0),IF('Recurring Schedule'!$E$25="Weekdays",WEEKDAY($A96,2)&lt;=5,$A96='Recurring Schedule'!$F$25))),20,""))))</f>
        <v/>
      </c>
      <c r="V96">
        <f>IF('Recurring Schedule'!$C$26="","",IF('Recurring Schedule'!$F$26="","",IF(OR($A96&lt;'Recurring Schedule'!$F$26,$A96&gt;'Recurring Schedule'!$P$26),"",IF(IF('Recurring Schedule'!$N$26&gt;0,MOD($A96-'Recurring Schedule'!$F$26,'Recurring Schedule'!$N$26)=0,IF('Recurring Schedule'!$O$26&gt;0,AND(DAY($A96)=MIN(DAY('Recurring Schedule'!$F$26),DAY(EOMONTH($A96,0))),MOD((YEAR($A96)-YEAR('Recurring Schedule'!$F$26))*12+MONTH($A96)-MONTH('Recurring Schedule'!$F$26),'Recurring Schedule'!$O$26)=0),IF('Recurring Schedule'!$E$26="Weekdays",WEEKDAY($A96,2)&lt;=5,$A96='Recurring Schedule'!$F$26))),21,""))))</f>
        <v/>
      </c>
      <c r="W96">
        <f>IF('Recurring Schedule'!$C$27="","",IF('Recurring Schedule'!$F$27="","",IF(OR($A96&lt;'Recurring Schedule'!$F$27,$A96&gt;'Recurring Schedule'!$P$27),"",IF(IF('Recurring Schedule'!$N$27&gt;0,MOD($A96-'Recurring Schedule'!$F$27,'Recurring Schedule'!$N$27)=0,IF('Recurring Schedule'!$O$27&gt;0,AND(DAY($A96)=MIN(DAY('Recurring Schedule'!$F$27),DAY(EOMONTH($A96,0))),MOD((YEAR($A96)-YEAR('Recurring Schedule'!$F$27))*12+MONTH($A96)-MONTH('Recurring Schedule'!$F$27),'Recurring Schedule'!$O$27)=0),IF('Recurring Schedule'!$E$27="Weekdays",WEEKDAY($A96,2)&lt;=5,$A96='Recurring Schedule'!$F$27))),22,""))))</f>
        <v/>
      </c>
      <c r="X96">
        <f>IF('Recurring Schedule'!$C$28="","",IF('Recurring Schedule'!$F$28="","",IF(OR($A96&lt;'Recurring Schedule'!$F$28,$A96&gt;'Recurring Schedule'!$P$28),"",IF(IF('Recurring Schedule'!$N$28&gt;0,MOD($A96-'Recurring Schedule'!$F$28,'Recurring Schedule'!$N$28)=0,IF('Recurring Schedule'!$O$28&gt;0,AND(DAY($A96)=MIN(DAY('Recurring Schedule'!$F$28),DAY(EOMONTH($A96,0))),MOD((YEAR($A96)-YEAR('Recurring Schedule'!$F$28))*12+MONTH($A96)-MONTH('Recurring Schedule'!$F$28),'Recurring Schedule'!$O$28)=0),IF('Recurring Schedule'!$E$28="Weekdays",WEEKDAY($A96,2)&lt;=5,$A96='Recurring Schedule'!$F$28))),23,""))))</f>
        <v/>
      </c>
      <c r="Y96">
        <f>IF('Recurring Schedule'!$C$29="","",IF('Recurring Schedule'!$F$29="","",IF(OR($A96&lt;'Recurring Schedule'!$F$29,$A96&gt;'Recurring Schedule'!$P$29),"",IF(IF('Recurring Schedule'!$N$29&gt;0,MOD($A96-'Recurring Schedule'!$F$29,'Recurring Schedule'!$N$29)=0,IF('Recurring Schedule'!$O$29&gt;0,AND(DAY($A96)=MIN(DAY('Recurring Schedule'!$F$29),DAY(EOMONTH($A96,0))),MOD((YEAR($A96)-YEAR('Recurring Schedule'!$F$29))*12+MONTH($A96)-MONTH('Recurring Schedule'!$F$29),'Recurring Schedule'!$O$29)=0),IF('Recurring Schedule'!$E$29="Weekdays",WEEKDAY($A96,2)&lt;=5,$A96='Recurring Schedule'!$F$29))),24,""))))</f>
        <v/>
      </c>
      <c r="Z96">
        <f>IF('Recurring Schedule'!$C$30="","",IF('Recurring Schedule'!$F$30="","",IF(OR($A96&lt;'Recurring Schedule'!$F$30,$A96&gt;'Recurring Schedule'!$P$30),"",IF(IF('Recurring Schedule'!$N$30&gt;0,MOD($A96-'Recurring Schedule'!$F$30,'Recurring Schedule'!$N$30)=0,IF('Recurring Schedule'!$O$30&gt;0,AND(DAY($A96)=MIN(DAY('Recurring Schedule'!$F$30),DAY(EOMONTH($A96,0))),MOD((YEAR($A96)-YEAR('Recurring Schedule'!$F$30))*12+MONTH($A96)-MONTH('Recurring Schedule'!$F$30),'Recurring Schedule'!$O$30)=0),IF('Recurring Schedule'!$E$30="Weekdays",WEEKDAY($A96,2)&lt;=5,$A96='Recurring Schedule'!$F$30))),25,""))))</f>
        <v/>
      </c>
      <c r="AA96">
        <f>IF('Recurring Schedule'!$C$31="","",IF('Recurring Schedule'!$F$31="","",IF(OR($A96&lt;'Recurring Schedule'!$F$31,$A96&gt;'Recurring Schedule'!$P$31),"",IF(IF('Recurring Schedule'!$N$31&gt;0,MOD($A96-'Recurring Schedule'!$F$31,'Recurring Schedule'!$N$31)=0,IF('Recurring Schedule'!$O$31&gt;0,AND(DAY($A96)=MIN(DAY('Recurring Schedule'!$F$31),DAY(EOMONTH($A96,0))),MOD((YEAR($A96)-YEAR('Recurring Schedule'!$F$31))*12+MONTH($A96)-MONTH('Recurring Schedule'!$F$31),'Recurring Schedule'!$O$31)=0),IF('Recurring Schedule'!$E$31="Weekdays",WEEKDAY($A96,2)&lt;=5,$A96='Recurring Schedule'!$F$31))),26,""))))</f>
        <v/>
      </c>
      <c r="AB96">
        <f>IF('Recurring Schedule'!$C$32="","",IF('Recurring Schedule'!$F$32="","",IF(OR($A96&lt;'Recurring Schedule'!$F$32,$A96&gt;'Recurring Schedule'!$P$32),"",IF(IF('Recurring Schedule'!$N$32&gt;0,MOD($A96-'Recurring Schedule'!$F$32,'Recurring Schedule'!$N$32)=0,IF('Recurring Schedule'!$O$32&gt;0,AND(DAY($A96)=MIN(DAY('Recurring Schedule'!$F$32),DAY(EOMONTH($A96,0))),MOD((YEAR($A96)-YEAR('Recurring Schedule'!$F$32))*12+MONTH($A96)-MONTH('Recurring Schedule'!$F$32),'Recurring Schedule'!$O$32)=0),IF('Recurring Schedule'!$E$32="Weekdays",WEEKDAY($A96,2)&lt;=5,$A96='Recurring Schedule'!$F$32))),27,""))))</f>
        <v/>
      </c>
      <c r="AC96">
        <f>IF('Recurring Schedule'!$C$33="","",IF('Recurring Schedule'!$F$33="","",IF(OR($A96&lt;'Recurring Schedule'!$F$33,$A96&gt;'Recurring Schedule'!$P$33),"",IF(IF('Recurring Schedule'!$N$33&gt;0,MOD($A96-'Recurring Schedule'!$F$33,'Recurring Schedule'!$N$33)=0,IF('Recurring Schedule'!$O$33&gt;0,AND(DAY($A96)=MIN(DAY('Recurring Schedule'!$F$33),DAY(EOMONTH($A96,0))),MOD((YEAR($A96)-YEAR('Recurring Schedule'!$F$33))*12+MONTH($A96)-MONTH('Recurring Schedule'!$F$33),'Recurring Schedule'!$O$33)=0),IF('Recurring Schedule'!$E$33="Weekdays",WEEKDAY($A96,2)&lt;=5,$A96='Recurring Schedule'!$F$33))),28,""))))</f>
        <v/>
      </c>
      <c r="AD96">
        <f>IF('Recurring Schedule'!$C$34="","",IF('Recurring Schedule'!$F$34="","",IF(OR($A96&lt;'Recurring Schedule'!$F$34,$A96&gt;'Recurring Schedule'!$P$34),"",IF(IF('Recurring Schedule'!$N$34&gt;0,MOD($A96-'Recurring Schedule'!$F$34,'Recurring Schedule'!$N$34)=0,IF('Recurring Schedule'!$O$34&gt;0,AND(DAY($A96)=MIN(DAY('Recurring Schedule'!$F$34),DAY(EOMONTH($A96,0))),MOD((YEAR($A96)-YEAR('Recurring Schedule'!$F$34))*12+MONTH($A96)-MONTH('Recurring Schedule'!$F$34),'Recurring Schedule'!$O$34)=0),IF('Recurring Schedule'!$E$34="Weekdays",WEEKDAY($A96,2)&lt;=5,$A96='Recurring Schedule'!$F$34))),29,""))))</f>
        <v/>
      </c>
      <c r="AE96">
        <f>IF('Recurring Schedule'!$C$35="","",IF('Recurring Schedule'!$F$35="","",IF(OR($A96&lt;'Recurring Schedule'!$F$35,$A96&gt;'Recurring Schedule'!$P$35),"",IF(IF('Recurring Schedule'!$N$35&gt;0,MOD($A96-'Recurring Schedule'!$F$35,'Recurring Schedule'!$N$35)=0,IF('Recurring Schedule'!$O$35&gt;0,AND(DAY($A96)=MIN(DAY('Recurring Schedule'!$F$35),DAY(EOMONTH($A96,0))),MOD((YEAR($A96)-YEAR('Recurring Schedule'!$F$35))*12+MONTH($A96)-MONTH('Recurring Schedule'!$F$35),'Recurring Schedule'!$O$35)=0),IF('Recurring Schedule'!$E$35="Weekdays",WEEKDAY($A96,2)&lt;=5,$A96='Recurring Schedule'!$F$35))),30,""))))</f>
        <v/>
      </c>
      <c r="AF96">
        <f>IF('Recurring Schedule'!$C$36="","",IF('Recurring Schedule'!$F$36="","",IF(OR($A96&lt;'Recurring Schedule'!$F$36,$A96&gt;'Recurring Schedule'!$P$36),"",IF(IF('Recurring Schedule'!$N$36&gt;0,MOD($A96-'Recurring Schedule'!$F$36,'Recurring Schedule'!$N$36)=0,IF('Recurring Schedule'!$O$36&gt;0,AND(DAY($A96)=MIN(DAY('Recurring Schedule'!$F$36),DAY(EOMONTH($A96,0))),MOD((YEAR($A96)-YEAR('Recurring Schedule'!$F$36))*12+MONTH($A96)-MONTH('Recurring Schedule'!$F$36),'Recurring Schedule'!$O$36)=0),IF('Recurring Schedule'!$E$36="Weekdays",WEEKDAY($A96,2)&lt;=5,$A96='Recurring Schedule'!$F$36))),31,""))))</f>
        <v/>
      </c>
      <c r="AG96">
        <f>IF('Recurring Schedule'!$C$37="","",IF('Recurring Schedule'!$F$37="","",IF(OR($A96&lt;'Recurring Schedule'!$F$37,$A96&gt;'Recurring Schedule'!$P$37),"",IF(IF('Recurring Schedule'!$N$37&gt;0,MOD($A96-'Recurring Schedule'!$F$37,'Recurring Schedule'!$N$37)=0,IF('Recurring Schedule'!$O$37&gt;0,AND(DAY($A96)=MIN(DAY('Recurring Schedule'!$F$37),DAY(EOMONTH($A96,0))),MOD((YEAR($A96)-YEAR('Recurring Schedule'!$F$37))*12+MONTH($A96)-MONTH('Recurring Schedule'!$F$37),'Recurring Schedule'!$O$37)=0),IF('Recurring Schedule'!$E$37="Weekdays",WEEKDAY($A96,2)&lt;=5,$A96='Recurring Schedule'!$F$37))),32,""))))</f>
        <v/>
      </c>
      <c r="AH96">
        <f>IF('Recurring Schedule'!$C$38="","",IF('Recurring Schedule'!$F$38="","",IF(OR($A96&lt;'Recurring Schedule'!$F$38,$A96&gt;'Recurring Schedule'!$P$38),"",IF(IF('Recurring Schedule'!$N$38&gt;0,MOD($A96-'Recurring Schedule'!$F$38,'Recurring Schedule'!$N$38)=0,IF('Recurring Schedule'!$O$38&gt;0,AND(DAY($A96)=MIN(DAY('Recurring Schedule'!$F$38),DAY(EOMONTH($A96,0))),MOD((YEAR($A96)-YEAR('Recurring Schedule'!$F$38))*12+MONTH($A96)-MONTH('Recurring Schedule'!$F$38),'Recurring Schedule'!$O$38)=0),IF('Recurring Schedule'!$E$38="Weekdays",WEEKDAY($A96,2)&lt;=5,$A96='Recurring Schedule'!$F$38))),33,""))))</f>
        <v/>
      </c>
      <c r="AI96">
        <f>IF('Recurring Schedule'!$C$39="","",IF('Recurring Schedule'!$F$39="","",IF(OR($A96&lt;'Recurring Schedule'!$F$39,$A96&gt;'Recurring Schedule'!$P$39),"",IF(IF('Recurring Schedule'!$N$39&gt;0,MOD($A96-'Recurring Schedule'!$F$39,'Recurring Schedule'!$N$39)=0,IF('Recurring Schedule'!$O$39&gt;0,AND(DAY($A96)=MIN(DAY('Recurring Schedule'!$F$39),DAY(EOMONTH($A96,0))),MOD((YEAR($A96)-YEAR('Recurring Schedule'!$F$39))*12+MONTH($A96)-MONTH('Recurring Schedule'!$F$39),'Recurring Schedule'!$O$39)=0),IF('Recurring Schedule'!$E$39="Weekdays",WEEKDAY($A96,2)&lt;=5,$A96='Recurring Schedule'!$F$39))),34,""))))</f>
        <v/>
      </c>
      <c r="AJ96">
        <f>IF('Recurring Schedule'!$C$40="","",IF('Recurring Schedule'!$F$40="","",IF(OR($A96&lt;'Recurring Schedule'!$F$40,$A96&gt;'Recurring Schedule'!$P$40),"",IF(IF('Recurring Schedule'!$N$40&gt;0,MOD($A96-'Recurring Schedule'!$F$40,'Recurring Schedule'!$N$40)=0,IF('Recurring Schedule'!$O$40&gt;0,AND(DAY($A96)=MIN(DAY('Recurring Schedule'!$F$40),DAY(EOMONTH($A96,0))),MOD((YEAR($A96)-YEAR('Recurring Schedule'!$F$40))*12+MONTH($A96)-MONTH('Recurring Schedule'!$F$40),'Recurring Schedule'!$O$40)=0),IF('Recurring Schedule'!$E$40="Weekdays",WEEKDAY($A96,2)&lt;=5,$A96='Recurring Schedule'!$F$40))),35,""))))</f>
        <v/>
      </c>
      <c r="AK96">
        <f>IF('Recurring Schedule'!$C$41="","",IF('Recurring Schedule'!$F$41="","",IF(OR($A96&lt;'Recurring Schedule'!$F$41,$A96&gt;'Recurring Schedule'!$P$41),"",IF(IF('Recurring Schedule'!$N$41&gt;0,MOD($A96-'Recurring Schedule'!$F$41,'Recurring Schedule'!$N$41)=0,IF('Recurring Schedule'!$O$41&gt;0,AND(DAY($A96)=MIN(DAY('Recurring Schedule'!$F$41),DAY(EOMONTH($A96,0))),MOD((YEAR($A96)-YEAR('Recurring Schedule'!$F$41))*12+MONTH($A96)-MONTH('Recurring Schedule'!$F$41),'Recurring Schedule'!$O$41)=0),IF('Recurring Schedule'!$E$41="Weekdays",WEEKDAY($A96,2)&lt;=5,$A96='Recurring Schedule'!$F$41))),36,""))))</f>
        <v/>
      </c>
      <c r="AL96">
        <f>IF('Recurring Schedule'!$C$42="","",IF('Recurring Schedule'!$F$42="","",IF(OR($A96&lt;'Recurring Schedule'!$F$42,$A96&gt;'Recurring Schedule'!$P$42),"",IF(IF('Recurring Schedule'!$N$42&gt;0,MOD($A96-'Recurring Schedule'!$F$42,'Recurring Schedule'!$N$42)=0,IF('Recurring Schedule'!$O$42&gt;0,AND(DAY($A96)=MIN(DAY('Recurring Schedule'!$F$42),DAY(EOMONTH($A96,0))),MOD((YEAR($A96)-YEAR('Recurring Schedule'!$F$42))*12+MONTH($A96)-MONTH('Recurring Schedule'!$F$42),'Recurring Schedule'!$O$42)=0),IF('Recurring Schedule'!$E$42="Weekdays",WEEKDAY($A96,2)&lt;=5,$A96='Recurring Schedule'!$F$42))),37,""))))</f>
        <v/>
      </c>
      <c r="AM96">
        <f>IF('Recurring Schedule'!$C$43="","",IF('Recurring Schedule'!$F$43="","",IF(OR($A96&lt;'Recurring Schedule'!$F$43,$A96&gt;'Recurring Schedule'!$P$43),"",IF(IF('Recurring Schedule'!$N$43&gt;0,MOD($A96-'Recurring Schedule'!$F$43,'Recurring Schedule'!$N$43)=0,IF('Recurring Schedule'!$O$43&gt;0,AND(DAY($A96)=MIN(DAY('Recurring Schedule'!$F$43),DAY(EOMONTH($A96,0))),MOD((YEAR($A96)-YEAR('Recurring Schedule'!$F$43))*12+MONTH($A96)-MONTH('Recurring Schedule'!$F$43),'Recurring Schedule'!$O$43)=0),IF('Recurring Schedule'!$E$43="Weekdays",WEEKDAY($A96,2)&lt;=5,$A96='Recurring Schedule'!$F$43))),38,""))))</f>
        <v/>
      </c>
      <c r="AN96">
        <f>IF('Recurring Schedule'!$C$44="","",IF('Recurring Schedule'!$F$44="","",IF(OR($A96&lt;'Recurring Schedule'!$F$44,$A96&gt;'Recurring Schedule'!$P$44),"",IF(IF('Recurring Schedule'!$N$44&gt;0,MOD($A96-'Recurring Schedule'!$F$44,'Recurring Schedule'!$N$44)=0,IF('Recurring Schedule'!$O$44&gt;0,AND(DAY($A96)=MIN(DAY('Recurring Schedule'!$F$44),DAY(EOMONTH($A96,0))),MOD((YEAR($A96)-YEAR('Recurring Schedule'!$F$44))*12+MONTH($A96)-MONTH('Recurring Schedule'!$F$44),'Recurring Schedule'!$O$44)=0),IF('Recurring Schedule'!$E$44="Weekdays",WEEKDAY($A96,2)&lt;=5,$A96='Recurring Schedule'!$F$44))),39,""))))</f>
        <v/>
      </c>
      <c r="AO96">
        <f>IF('Recurring Schedule'!$C$45="","",IF('Recurring Schedule'!$F$45="","",IF(OR($A96&lt;'Recurring Schedule'!$F$45,$A96&gt;'Recurring Schedule'!$P$45),"",IF(IF('Recurring Schedule'!$N$45&gt;0,MOD($A96-'Recurring Schedule'!$F$45,'Recurring Schedule'!$N$45)=0,IF('Recurring Schedule'!$O$45&gt;0,AND(DAY($A96)=MIN(DAY('Recurring Schedule'!$F$45),DAY(EOMONTH($A96,0))),MOD((YEAR($A96)-YEAR('Recurring Schedule'!$F$45))*12+MONTH($A96)-MONTH('Recurring Schedule'!$F$45),'Recurring Schedule'!$O$45)=0),IF('Recurring Schedule'!$E$45="Weekdays",WEEKDAY($A96,2)&lt;=5,$A96='Recurring Schedule'!$F$45))),40,""))))</f>
        <v/>
      </c>
      <c r="AP96">
        <f>COUNT(B96:AO96)</f>
        <v/>
      </c>
      <c r="AQ96">
        <f>AQ95+AP95</f>
        <v/>
      </c>
      <c r="AS96" t="inlineStr">
        <is>
          <t>R</t>
        </is>
      </c>
      <c r="AT96" t="n">
        <v>100</v>
      </c>
      <c r="AU96">
        <f>'Recurring Log'!C100&amp;""</f>
        <v/>
      </c>
      <c r="AV96">
        <f>'Recurring Log'!D100&amp;""</f>
        <v/>
      </c>
      <c r="AW96">
        <f>IF('Recurring Log'!E100="","",'Recurring Log'!E100)</f>
        <v/>
      </c>
      <c r="AX96">
        <f>IF('Recurring Log'!G100="","",'Recurring Log'!G100)</f>
        <v/>
      </c>
      <c r="AY96">
        <f>IF('Recurring Log'!H100="","",'Recurring Log'!H100)</f>
        <v/>
      </c>
      <c r="AZ96">
        <f>IF(AU96="","",IF('Recurring Log'!J100="","Not Started",'Recurring Log'!J100))</f>
        <v/>
      </c>
      <c r="BA96">
        <f>'Recurring Log'!L100&amp;""</f>
        <v/>
      </c>
      <c r="BB96">
        <f>'Recurring Log'!M100&amp;""</f>
        <v/>
      </c>
      <c r="BC96">
        <f>'Recurring Log'!N100&amp;""</f>
        <v/>
      </c>
      <c r="BD96">
        <f>'Recurring Log'!O100&amp;""</f>
        <v/>
      </c>
      <c r="BE96">
        <f>IF('Recurring Log'!K100="","",'Recurring Log'!K100)</f>
        <v/>
      </c>
      <c r="BF96">
        <f>IFERROR(MATCH(BA96,Setup!$L$6:$L$9,0),5)</f>
        <v/>
      </c>
      <c r="BG96">
        <f>IF(OR(AZ96="Done",AZ96="Cancelled"),1,0)</f>
        <v/>
      </c>
      <c r="BH96">
        <f>IF(AND(AU96&lt;&gt;"",ISNUMBER(AW96)),1,0)</f>
        <v/>
      </c>
      <c r="BI96">
        <f>IF(BH96=0,0,IF(AND(AW96&gt;='Tasks Filter'!$F$3,AW96&lt;='Tasks Filter'!$F$4,OR('Tasks Filter'!$I$3="",ISNUMBER(SEARCH('Tasks Filter'!$I$3,AU96))),OR('Tasks Filter'!$I$4="",BF96=IFERROR(MATCH('Tasks Filter'!$I$4,Setup!$L$6:$L$9,0),0)),OR('Tasks Filter'!$I$5="Both",AND('Tasks Filter'!$I$5="Yes",BB96="✓"),AND('Tasks Filter'!$I$5="No",BB96&lt;&gt;"✓")),OR('Tasks Filter'!$L$3="",AV96='Tasks Filter'!$L$3),OR('Tasks Filter'!$L$4="",AZ96='Tasks Filter'!$L$4),OR('Tasks Filter'!$L$5="",BC96='Tasks Filter'!$L$5),OR('Tasks Filter'!$O$3="",BD96='Tasks Filter'!$O$3),OR('Tasks Filter'!$O$4="Yes",BG96=0)),1,0))</f>
        <v/>
      </c>
      <c r="BJ96">
        <f>IF(BH96=0,"",IF('Tasks Filter'!$F$6="Descending",-1,1)*CHOOSE(MATCH('Tasks Filter'!$F$5,Lists!$G$2:$G$6,0),AW96,BF96,IFERROR(MATCH(AV96,Setup!$F$6:$F$15,0),99),IFERROR(MATCH(BC96,Setup!$H$6:$H$15,0),99),IFERROR(MATCH(AZ96,Setup!$J$6:$J$11,0),99))*1E+9+(AW96-40000)*10000+95)</f>
        <v/>
      </c>
      <c r="BK96">
        <f>IF(BI96=1,BJ96,"")</f>
        <v/>
      </c>
      <c r="BL96">
        <f>IF(AND(BH96=1,BG96=0,N(AW96)&lt;Setup!$D$7),(AW96-40000)*10000+95,"")</f>
        <v/>
      </c>
      <c r="BM96">
        <f>IF(AND(BH96=1,AZ96&lt;&gt;"Cancelled",N(AW96)&gt;=Dashboard!$AB$3,N(AW96)&lt;=Dashboard!$AB$3+6),(AW96-40000)*100000+BF96*10000+95,"")</f>
        <v/>
      </c>
      <c r="BN96">
        <f>IF(AND(BH96=1,AZ96&lt;&gt;"Cancelled"),BF96*10000+95,"")</f>
        <v/>
      </c>
    </row>
    <row r="97">
      <c r="A97">
        <f>Setup!$D$5+95</f>
        <v/>
      </c>
      <c r="B97">
        <f>IF('Recurring Schedule'!$C$6="","",IF('Recurring Schedule'!$F$6="","",IF(OR($A97&lt;'Recurring Schedule'!$F$6,$A97&gt;'Recurring Schedule'!$P$6),"",IF(IF('Recurring Schedule'!$N$6&gt;0,MOD($A97-'Recurring Schedule'!$F$6,'Recurring Schedule'!$N$6)=0,IF('Recurring Schedule'!$O$6&gt;0,AND(DAY($A97)=MIN(DAY('Recurring Schedule'!$F$6),DAY(EOMONTH($A97,0))),MOD((YEAR($A97)-YEAR('Recurring Schedule'!$F$6))*12+MONTH($A97)-MONTH('Recurring Schedule'!$F$6),'Recurring Schedule'!$O$6)=0),IF('Recurring Schedule'!$E$6="Weekdays",WEEKDAY($A97,2)&lt;=5,$A97='Recurring Schedule'!$F$6))),1,""))))</f>
        <v/>
      </c>
      <c r="C97">
        <f>IF('Recurring Schedule'!$C$7="","",IF('Recurring Schedule'!$F$7="","",IF(OR($A97&lt;'Recurring Schedule'!$F$7,$A97&gt;'Recurring Schedule'!$P$7),"",IF(IF('Recurring Schedule'!$N$7&gt;0,MOD($A97-'Recurring Schedule'!$F$7,'Recurring Schedule'!$N$7)=0,IF('Recurring Schedule'!$O$7&gt;0,AND(DAY($A97)=MIN(DAY('Recurring Schedule'!$F$7),DAY(EOMONTH($A97,0))),MOD((YEAR($A97)-YEAR('Recurring Schedule'!$F$7))*12+MONTH($A97)-MONTH('Recurring Schedule'!$F$7),'Recurring Schedule'!$O$7)=0),IF('Recurring Schedule'!$E$7="Weekdays",WEEKDAY($A97,2)&lt;=5,$A97='Recurring Schedule'!$F$7))),2,""))))</f>
        <v/>
      </c>
      <c r="D97">
        <f>IF('Recurring Schedule'!$C$8="","",IF('Recurring Schedule'!$F$8="","",IF(OR($A97&lt;'Recurring Schedule'!$F$8,$A97&gt;'Recurring Schedule'!$P$8),"",IF(IF('Recurring Schedule'!$N$8&gt;0,MOD($A97-'Recurring Schedule'!$F$8,'Recurring Schedule'!$N$8)=0,IF('Recurring Schedule'!$O$8&gt;0,AND(DAY($A97)=MIN(DAY('Recurring Schedule'!$F$8),DAY(EOMONTH($A97,0))),MOD((YEAR($A97)-YEAR('Recurring Schedule'!$F$8))*12+MONTH($A97)-MONTH('Recurring Schedule'!$F$8),'Recurring Schedule'!$O$8)=0),IF('Recurring Schedule'!$E$8="Weekdays",WEEKDAY($A97,2)&lt;=5,$A97='Recurring Schedule'!$F$8))),3,""))))</f>
        <v/>
      </c>
      <c r="E97">
        <f>IF('Recurring Schedule'!$C$9="","",IF('Recurring Schedule'!$F$9="","",IF(OR($A97&lt;'Recurring Schedule'!$F$9,$A97&gt;'Recurring Schedule'!$P$9),"",IF(IF('Recurring Schedule'!$N$9&gt;0,MOD($A97-'Recurring Schedule'!$F$9,'Recurring Schedule'!$N$9)=0,IF('Recurring Schedule'!$O$9&gt;0,AND(DAY($A97)=MIN(DAY('Recurring Schedule'!$F$9),DAY(EOMONTH($A97,0))),MOD((YEAR($A97)-YEAR('Recurring Schedule'!$F$9))*12+MONTH($A97)-MONTH('Recurring Schedule'!$F$9),'Recurring Schedule'!$O$9)=0),IF('Recurring Schedule'!$E$9="Weekdays",WEEKDAY($A97,2)&lt;=5,$A97='Recurring Schedule'!$F$9))),4,""))))</f>
        <v/>
      </c>
      <c r="F97">
        <f>IF('Recurring Schedule'!$C$10="","",IF('Recurring Schedule'!$F$10="","",IF(OR($A97&lt;'Recurring Schedule'!$F$10,$A97&gt;'Recurring Schedule'!$P$10),"",IF(IF('Recurring Schedule'!$N$10&gt;0,MOD($A97-'Recurring Schedule'!$F$10,'Recurring Schedule'!$N$10)=0,IF('Recurring Schedule'!$O$10&gt;0,AND(DAY($A97)=MIN(DAY('Recurring Schedule'!$F$10),DAY(EOMONTH($A97,0))),MOD((YEAR($A97)-YEAR('Recurring Schedule'!$F$10))*12+MONTH($A97)-MONTH('Recurring Schedule'!$F$10),'Recurring Schedule'!$O$10)=0),IF('Recurring Schedule'!$E$10="Weekdays",WEEKDAY($A97,2)&lt;=5,$A97='Recurring Schedule'!$F$10))),5,""))))</f>
        <v/>
      </c>
      <c r="G97">
        <f>IF('Recurring Schedule'!$C$11="","",IF('Recurring Schedule'!$F$11="","",IF(OR($A97&lt;'Recurring Schedule'!$F$11,$A97&gt;'Recurring Schedule'!$P$11),"",IF(IF('Recurring Schedule'!$N$11&gt;0,MOD($A97-'Recurring Schedule'!$F$11,'Recurring Schedule'!$N$11)=0,IF('Recurring Schedule'!$O$11&gt;0,AND(DAY($A97)=MIN(DAY('Recurring Schedule'!$F$11),DAY(EOMONTH($A97,0))),MOD((YEAR($A97)-YEAR('Recurring Schedule'!$F$11))*12+MONTH($A97)-MONTH('Recurring Schedule'!$F$11),'Recurring Schedule'!$O$11)=0),IF('Recurring Schedule'!$E$11="Weekdays",WEEKDAY($A97,2)&lt;=5,$A97='Recurring Schedule'!$F$11))),6,""))))</f>
        <v/>
      </c>
      <c r="H97">
        <f>IF('Recurring Schedule'!$C$12="","",IF('Recurring Schedule'!$F$12="","",IF(OR($A97&lt;'Recurring Schedule'!$F$12,$A97&gt;'Recurring Schedule'!$P$12),"",IF(IF('Recurring Schedule'!$N$12&gt;0,MOD($A97-'Recurring Schedule'!$F$12,'Recurring Schedule'!$N$12)=0,IF('Recurring Schedule'!$O$12&gt;0,AND(DAY($A97)=MIN(DAY('Recurring Schedule'!$F$12),DAY(EOMONTH($A97,0))),MOD((YEAR($A97)-YEAR('Recurring Schedule'!$F$12))*12+MONTH($A97)-MONTH('Recurring Schedule'!$F$12),'Recurring Schedule'!$O$12)=0),IF('Recurring Schedule'!$E$12="Weekdays",WEEKDAY($A97,2)&lt;=5,$A97='Recurring Schedule'!$F$12))),7,""))))</f>
        <v/>
      </c>
      <c r="I97">
        <f>IF('Recurring Schedule'!$C$13="","",IF('Recurring Schedule'!$F$13="","",IF(OR($A97&lt;'Recurring Schedule'!$F$13,$A97&gt;'Recurring Schedule'!$P$13),"",IF(IF('Recurring Schedule'!$N$13&gt;0,MOD($A97-'Recurring Schedule'!$F$13,'Recurring Schedule'!$N$13)=0,IF('Recurring Schedule'!$O$13&gt;0,AND(DAY($A97)=MIN(DAY('Recurring Schedule'!$F$13),DAY(EOMONTH($A97,0))),MOD((YEAR($A97)-YEAR('Recurring Schedule'!$F$13))*12+MONTH($A97)-MONTH('Recurring Schedule'!$F$13),'Recurring Schedule'!$O$13)=0),IF('Recurring Schedule'!$E$13="Weekdays",WEEKDAY($A97,2)&lt;=5,$A97='Recurring Schedule'!$F$13))),8,""))))</f>
        <v/>
      </c>
      <c r="J97">
        <f>IF('Recurring Schedule'!$C$14="","",IF('Recurring Schedule'!$F$14="","",IF(OR($A97&lt;'Recurring Schedule'!$F$14,$A97&gt;'Recurring Schedule'!$P$14),"",IF(IF('Recurring Schedule'!$N$14&gt;0,MOD($A97-'Recurring Schedule'!$F$14,'Recurring Schedule'!$N$14)=0,IF('Recurring Schedule'!$O$14&gt;0,AND(DAY($A97)=MIN(DAY('Recurring Schedule'!$F$14),DAY(EOMONTH($A97,0))),MOD((YEAR($A97)-YEAR('Recurring Schedule'!$F$14))*12+MONTH($A97)-MONTH('Recurring Schedule'!$F$14),'Recurring Schedule'!$O$14)=0),IF('Recurring Schedule'!$E$14="Weekdays",WEEKDAY($A97,2)&lt;=5,$A97='Recurring Schedule'!$F$14))),9,""))))</f>
        <v/>
      </c>
      <c r="K97">
        <f>IF('Recurring Schedule'!$C$15="","",IF('Recurring Schedule'!$F$15="","",IF(OR($A97&lt;'Recurring Schedule'!$F$15,$A97&gt;'Recurring Schedule'!$P$15),"",IF(IF('Recurring Schedule'!$N$15&gt;0,MOD($A97-'Recurring Schedule'!$F$15,'Recurring Schedule'!$N$15)=0,IF('Recurring Schedule'!$O$15&gt;0,AND(DAY($A97)=MIN(DAY('Recurring Schedule'!$F$15),DAY(EOMONTH($A97,0))),MOD((YEAR($A97)-YEAR('Recurring Schedule'!$F$15))*12+MONTH($A97)-MONTH('Recurring Schedule'!$F$15),'Recurring Schedule'!$O$15)=0),IF('Recurring Schedule'!$E$15="Weekdays",WEEKDAY($A97,2)&lt;=5,$A97='Recurring Schedule'!$F$15))),10,""))))</f>
        <v/>
      </c>
      <c r="L97">
        <f>IF('Recurring Schedule'!$C$16="","",IF('Recurring Schedule'!$F$16="","",IF(OR($A97&lt;'Recurring Schedule'!$F$16,$A97&gt;'Recurring Schedule'!$P$16),"",IF(IF('Recurring Schedule'!$N$16&gt;0,MOD($A97-'Recurring Schedule'!$F$16,'Recurring Schedule'!$N$16)=0,IF('Recurring Schedule'!$O$16&gt;0,AND(DAY($A97)=MIN(DAY('Recurring Schedule'!$F$16),DAY(EOMONTH($A97,0))),MOD((YEAR($A97)-YEAR('Recurring Schedule'!$F$16))*12+MONTH($A97)-MONTH('Recurring Schedule'!$F$16),'Recurring Schedule'!$O$16)=0),IF('Recurring Schedule'!$E$16="Weekdays",WEEKDAY($A97,2)&lt;=5,$A97='Recurring Schedule'!$F$16))),11,""))))</f>
        <v/>
      </c>
      <c r="M97">
        <f>IF('Recurring Schedule'!$C$17="","",IF('Recurring Schedule'!$F$17="","",IF(OR($A97&lt;'Recurring Schedule'!$F$17,$A97&gt;'Recurring Schedule'!$P$17),"",IF(IF('Recurring Schedule'!$N$17&gt;0,MOD($A97-'Recurring Schedule'!$F$17,'Recurring Schedule'!$N$17)=0,IF('Recurring Schedule'!$O$17&gt;0,AND(DAY($A97)=MIN(DAY('Recurring Schedule'!$F$17),DAY(EOMONTH($A97,0))),MOD((YEAR($A97)-YEAR('Recurring Schedule'!$F$17))*12+MONTH($A97)-MONTH('Recurring Schedule'!$F$17),'Recurring Schedule'!$O$17)=0),IF('Recurring Schedule'!$E$17="Weekdays",WEEKDAY($A97,2)&lt;=5,$A97='Recurring Schedule'!$F$17))),12,""))))</f>
        <v/>
      </c>
      <c r="N97">
        <f>IF('Recurring Schedule'!$C$18="","",IF('Recurring Schedule'!$F$18="","",IF(OR($A97&lt;'Recurring Schedule'!$F$18,$A97&gt;'Recurring Schedule'!$P$18),"",IF(IF('Recurring Schedule'!$N$18&gt;0,MOD($A97-'Recurring Schedule'!$F$18,'Recurring Schedule'!$N$18)=0,IF('Recurring Schedule'!$O$18&gt;0,AND(DAY($A97)=MIN(DAY('Recurring Schedule'!$F$18),DAY(EOMONTH($A97,0))),MOD((YEAR($A97)-YEAR('Recurring Schedule'!$F$18))*12+MONTH($A97)-MONTH('Recurring Schedule'!$F$18),'Recurring Schedule'!$O$18)=0),IF('Recurring Schedule'!$E$18="Weekdays",WEEKDAY($A97,2)&lt;=5,$A97='Recurring Schedule'!$F$18))),13,""))))</f>
        <v/>
      </c>
      <c r="O97">
        <f>IF('Recurring Schedule'!$C$19="","",IF('Recurring Schedule'!$F$19="","",IF(OR($A97&lt;'Recurring Schedule'!$F$19,$A97&gt;'Recurring Schedule'!$P$19),"",IF(IF('Recurring Schedule'!$N$19&gt;0,MOD($A97-'Recurring Schedule'!$F$19,'Recurring Schedule'!$N$19)=0,IF('Recurring Schedule'!$O$19&gt;0,AND(DAY($A97)=MIN(DAY('Recurring Schedule'!$F$19),DAY(EOMONTH($A97,0))),MOD((YEAR($A97)-YEAR('Recurring Schedule'!$F$19))*12+MONTH($A97)-MONTH('Recurring Schedule'!$F$19),'Recurring Schedule'!$O$19)=0),IF('Recurring Schedule'!$E$19="Weekdays",WEEKDAY($A97,2)&lt;=5,$A97='Recurring Schedule'!$F$19))),14,""))))</f>
        <v/>
      </c>
      <c r="P97">
        <f>IF('Recurring Schedule'!$C$20="","",IF('Recurring Schedule'!$F$20="","",IF(OR($A97&lt;'Recurring Schedule'!$F$20,$A97&gt;'Recurring Schedule'!$P$20),"",IF(IF('Recurring Schedule'!$N$20&gt;0,MOD($A97-'Recurring Schedule'!$F$20,'Recurring Schedule'!$N$20)=0,IF('Recurring Schedule'!$O$20&gt;0,AND(DAY($A97)=MIN(DAY('Recurring Schedule'!$F$20),DAY(EOMONTH($A97,0))),MOD((YEAR($A97)-YEAR('Recurring Schedule'!$F$20))*12+MONTH($A97)-MONTH('Recurring Schedule'!$F$20),'Recurring Schedule'!$O$20)=0),IF('Recurring Schedule'!$E$20="Weekdays",WEEKDAY($A97,2)&lt;=5,$A97='Recurring Schedule'!$F$20))),15,""))))</f>
        <v/>
      </c>
      <c r="Q97">
        <f>IF('Recurring Schedule'!$C$21="","",IF('Recurring Schedule'!$F$21="","",IF(OR($A97&lt;'Recurring Schedule'!$F$21,$A97&gt;'Recurring Schedule'!$P$21),"",IF(IF('Recurring Schedule'!$N$21&gt;0,MOD($A97-'Recurring Schedule'!$F$21,'Recurring Schedule'!$N$21)=0,IF('Recurring Schedule'!$O$21&gt;0,AND(DAY($A97)=MIN(DAY('Recurring Schedule'!$F$21),DAY(EOMONTH($A97,0))),MOD((YEAR($A97)-YEAR('Recurring Schedule'!$F$21))*12+MONTH($A97)-MONTH('Recurring Schedule'!$F$21),'Recurring Schedule'!$O$21)=0),IF('Recurring Schedule'!$E$21="Weekdays",WEEKDAY($A97,2)&lt;=5,$A97='Recurring Schedule'!$F$21))),16,""))))</f>
        <v/>
      </c>
      <c r="R97">
        <f>IF('Recurring Schedule'!$C$22="","",IF('Recurring Schedule'!$F$22="","",IF(OR($A97&lt;'Recurring Schedule'!$F$22,$A97&gt;'Recurring Schedule'!$P$22),"",IF(IF('Recurring Schedule'!$N$22&gt;0,MOD($A97-'Recurring Schedule'!$F$22,'Recurring Schedule'!$N$22)=0,IF('Recurring Schedule'!$O$22&gt;0,AND(DAY($A97)=MIN(DAY('Recurring Schedule'!$F$22),DAY(EOMONTH($A97,0))),MOD((YEAR($A97)-YEAR('Recurring Schedule'!$F$22))*12+MONTH($A97)-MONTH('Recurring Schedule'!$F$22),'Recurring Schedule'!$O$22)=0),IF('Recurring Schedule'!$E$22="Weekdays",WEEKDAY($A97,2)&lt;=5,$A97='Recurring Schedule'!$F$22))),17,""))))</f>
        <v/>
      </c>
      <c r="S97">
        <f>IF('Recurring Schedule'!$C$23="","",IF('Recurring Schedule'!$F$23="","",IF(OR($A97&lt;'Recurring Schedule'!$F$23,$A97&gt;'Recurring Schedule'!$P$23),"",IF(IF('Recurring Schedule'!$N$23&gt;0,MOD($A97-'Recurring Schedule'!$F$23,'Recurring Schedule'!$N$23)=0,IF('Recurring Schedule'!$O$23&gt;0,AND(DAY($A97)=MIN(DAY('Recurring Schedule'!$F$23),DAY(EOMONTH($A97,0))),MOD((YEAR($A97)-YEAR('Recurring Schedule'!$F$23))*12+MONTH($A97)-MONTH('Recurring Schedule'!$F$23),'Recurring Schedule'!$O$23)=0),IF('Recurring Schedule'!$E$23="Weekdays",WEEKDAY($A97,2)&lt;=5,$A97='Recurring Schedule'!$F$23))),18,""))))</f>
        <v/>
      </c>
      <c r="T97">
        <f>IF('Recurring Schedule'!$C$24="","",IF('Recurring Schedule'!$F$24="","",IF(OR($A97&lt;'Recurring Schedule'!$F$24,$A97&gt;'Recurring Schedule'!$P$24),"",IF(IF('Recurring Schedule'!$N$24&gt;0,MOD($A97-'Recurring Schedule'!$F$24,'Recurring Schedule'!$N$24)=0,IF('Recurring Schedule'!$O$24&gt;0,AND(DAY($A97)=MIN(DAY('Recurring Schedule'!$F$24),DAY(EOMONTH($A97,0))),MOD((YEAR($A97)-YEAR('Recurring Schedule'!$F$24))*12+MONTH($A97)-MONTH('Recurring Schedule'!$F$24),'Recurring Schedule'!$O$24)=0),IF('Recurring Schedule'!$E$24="Weekdays",WEEKDAY($A97,2)&lt;=5,$A97='Recurring Schedule'!$F$24))),19,""))))</f>
        <v/>
      </c>
      <c r="U97">
        <f>IF('Recurring Schedule'!$C$25="","",IF('Recurring Schedule'!$F$25="","",IF(OR($A97&lt;'Recurring Schedule'!$F$25,$A97&gt;'Recurring Schedule'!$P$25),"",IF(IF('Recurring Schedule'!$N$25&gt;0,MOD($A97-'Recurring Schedule'!$F$25,'Recurring Schedule'!$N$25)=0,IF('Recurring Schedule'!$O$25&gt;0,AND(DAY($A97)=MIN(DAY('Recurring Schedule'!$F$25),DAY(EOMONTH($A97,0))),MOD((YEAR($A97)-YEAR('Recurring Schedule'!$F$25))*12+MONTH($A97)-MONTH('Recurring Schedule'!$F$25),'Recurring Schedule'!$O$25)=0),IF('Recurring Schedule'!$E$25="Weekdays",WEEKDAY($A97,2)&lt;=5,$A97='Recurring Schedule'!$F$25))),20,""))))</f>
        <v/>
      </c>
      <c r="V97">
        <f>IF('Recurring Schedule'!$C$26="","",IF('Recurring Schedule'!$F$26="","",IF(OR($A97&lt;'Recurring Schedule'!$F$26,$A97&gt;'Recurring Schedule'!$P$26),"",IF(IF('Recurring Schedule'!$N$26&gt;0,MOD($A97-'Recurring Schedule'!$F$26,'Recurring Schedule'!$N$26)=0,IF('Recurring Schedule'!$O$26&gt;0,AND(DAY($A97)=MIN(DAY('Recurring Schedule'!$F$26),DAY(EOMONTH($A97,0))),MOD((YEAR($A97)-YEAR('Recurring Schedule'!$F$26))*12+MONTH($A97)-MONTH('Recurring Schedule'!$F$26),'Recurring Schedule'!$O$26)=0),IF('Recurring Schedule'!$E$26="Weekdays",WEEKDAY($A97,2)&lt;=5,$A97='Recurring Schedule'!$F$26))),21,""))))</f>
        <v/>
      </c>
      <c r="W97">
        <f>IF('Recurring Schedule'!$C$27="","",IF('Recurring Schedule'!$F$27="","",IF(OR($A97&lt;'Recurring Schedule'!$F$27,$A97&gt;'Recurring Schedule'!$P$27),"",IF(IF('Recurring Schedule'!$N$27&gt;0,MOD($A97-'Recurring Schedule'!$F$27,'Recurring Schedule'!$N$27)=0,IF('Recurring Schedule'!$O$27&gt;0,AND(DAY($A97)=MIN(DAY('Recurring Schedule'!$F$27),DAY(EOMONTH($A97,0))),MOD((YEAR($A97)-YEAR('Recurring Schedule'!$F$27))*12+MONTH($A97)-MONTH('Recurring Schedule'!$F$27),'Recurring Schedule'!$O$27)=0),IF('Recurring Schedule'!$E$27="Weekdays",WEEKDAY($A97,2)&lt;=5,$A97='Recurring Schedule'!$F$27))),22,""))))</f>
        <v/>
      </c>
      <c r="X97">
        <f>IF('Recurring Schedule'!$C$28="","",IF('Recurring Schedule'!$F$28="","",IF(OR($A97&lt;'Recurring Schedule'!$F$28,$A97&gt;'Recurring Schedule'!$P$28),"",IF(IF('Recurring Schedule'!$N$28&gt;0,MOD($A97-'Recurring Schedule'!$F$28,'Recurring Schedule'!$N$28)=0,IF('Recurring Schedule'!$O$28&gt;0,AND(DAY($A97)=MIN(DAY('Recurring Schedule'!$F$28),DAY(EOMONTH($A97,0))),MOD((YEAR($A97)-YEAR('Recurring Schedule'!$F$28))*12+MONTH($A97)-MONTH('Recurring Schedule'!$F$28),'Recurring Schedule'!$O$28)=0),IF('Recurring Schedule'!$E$28="Weekdays",WEEKDAY($A97,2)&lt;=5,$A97='Recurring Schedule'!$F$28))),23,""))))</f>
        <v/>
      </c>
      <c r="Y97">
        <f>IF('Recurring Schedule'!$C$29="","",IF('Recurring Schedule'!$F$29="","",IF(OR($A97&lt;'Recurring Schedule'!$F$29,$A97&gt;'Recurring Schedule'!$P$29),"",IF(IF('Recurring Schedule'!$N$29&gt;0,MOD($A97-'Recurring Schedule'!$F$29,'Recurring Schedule'!$N$29)=0,IF('Recurring Schedule'!$O$29&gt;0,AND(DAY($A97)=MIN(DAY('Recurring Schedule'!$F$29),DAY(EOMONTH($A97,0))),MOD((YEAR($A97)-YEAR('Recurring Schedule'!$F$29))*12+MONTH($A97)-MONTH('Recurring Schedule'!$F$29),'Recurring Schedule'!$O$29)=0),IF('Recurring Schedule'!$E$29="Weekdays",WEEKDAY($A97,2)&lt;=5,$A97='Recurring Schedule'!$F$29))),24,""))))</f>
        <v/>
      </c>
      <c r="Z97">
        <f>IF('Recurring Schedule'!$C$30="","",IF('Recurring Schedule'!$F$30="","",IF(OR($A97&lt;'Recurring Schedule'!$F$30,$A97&gt;'Recurring Schedule'!$P$30),"",IF(IF('Recurring Schedule'!$N$30&gt;0,MOD($A97-'Recurring Schedule'!$F$30,'Recurring Schedule'!$N$30)=0,IF('Recurring Schedule'!$O$30&gt;0,AND(DAY($A97)=MIN(DAY('Recurring Schedule'!$F$30),DAY(EOMONTH($A97,0))),MOD((YEAR($A97)-YEAR('Recurring Schedule'!$F$30))*12+MONTH($A97)-MONTH('Recurring Schedule'!$F$30),'Recurring Schedule'!$O$30)=0),IF('Recurring Schedule'!$E$30="Weekdays",WEEKDAY($A97,2)&lt;=5,$A97='Recurring Schedule'!$F$30))),25,""))))</f>
        <v/>
      </c>
      <c r="AA97">
        <f>IF('Recurring Schedule'!$C$31="","",IF('Recurring Schedule'!$F$31="","",IF(OR($A97&lt;'Recurring Schedule'!$F$31,$A97&gt;'Recurring Schedule'!$P$31),"",IF(IF('Recurring Schedule'!$N$31&gt;0,MOD($A97-'Recurring Schedule'!$F$31,'Recurring Schedule'!$N$31)=0,IF('Recurring Schedule'!$O$31&gt;0,AND(DAY($A97)=MIN(DAY('Recurring Schedule'!$F$31),DAY(EOMONTH($A97,0))),MOD((YEAR($A97)-YEAR('Recurring Schedule'!$F$31))*12+MONTH($A97)-MONTH('Recurring Schedule'!$F$31),'Recurring Schedule'!$O$31)=0),IF('Recurring Schedule'!$E$31="Weekdays",WEEKDAY($A97,2)&lt;=5,$A97='Recurring Schedule'!$F$31))),26,""))))</f>
        <v/>
      </c>
      <c r="AB97">
        <f>IF('Recurring Schedule'!$C$32="","",IF('Recurring Schedule'!$F$32="","",IF(OR($A97&lt;'Recurring Schedule'!$F$32,$A97&gt;'Recurring Schedule'!$P$32),"",IF(IF('Recurring Schedule'!$N$32&gt;0,MOD($A97-'Recurring Schedule'!$F$32,'Recurring Schedule'!$N$32)=0,IF('Recurring Schedule'!$O$32&gt;0,AND(DAY($A97)=MIN(DAY('Recurring Schedule'!$F$32),DAY(EOMONTH($A97,0))),MOD((YEAR($A97)-YEAR('Recurring Schedule'!$F$32))*12+MONTH($A97)-MONTH('Recurring Schedule'!$F$32),'Recurring Schedule'!$O$32)=0),IF('Recurring Schedule'!$E$32="Weekdays",WEEKDAY($A97,2)&lt;=5,$A97='Recurring Schedule'!$F$32))),27,""))))</f>
        <v/>
      </c>
      <c r="AC97">
        <f>IF('Recurring Schedule'!$C$33="","",IF('Recurring Schedule'!$F$33="","",IF(OR($A97&lt;'Recurring Schedule'!$F$33,$A97&gt;'Recurring Schedule'!$P$33),"",IF(IF('Recurring Schedule'!$N$33&gt;0,MOD($A97-'Recurring Schedule'!$F$33,'Recurring Schedule'!$N$33)=0,IF('Recurring Schedule'!$O$33&gt;0,AND(DAY($A97)=MIN(DAY('Recurring Schedule'!$F$33),DAY(EOMONTH($A97,0))),MOD((YEAR($A97)-YEAR('Recurring Schedule'!$F$33))*12+MONTH($A97)-MONTH('Recurring Schedule'!$F$33),'Recurring Schedule'!$O$33)=0),IF('Recurring Schedule'!$E$33="Weekdays",WEEKDAY($A97,2)&lt;=5,$A97='Recurring Schedule'!$F$33))),28,""))))</f>
        <v/>
      </c>
      <c r="AD97">
        <f>IF('Recurring Schedule'!$C$34="","",IF('Recurring Schedule'!$F$34="","",IF(OR($A97&lt;'Recurring Schedule'!$F$34,$A97&gt;'Recurring Schedule'!$P$34),"",IF(IF('Recurring Schedule'!$N$34&gt;0,MOD($A97-'Recurring Schedule'!$F$34,'Recurring Schedule'!$N$34)=0,IF('Recurring Schedule'!$O$34&gt;0,AND(DAY($A97)=MIN(DAY('Recurring Schedule'!$F$34),DAY(EOMONTH($A97,0))),MOD((YEAR($A97)-YEAR('Recurring Schedule'!$F$34))*12+MONTH($A97)-MONTH('Recurring Schedule'!$F$34),'Recurring Schedule'!$O$34)=0),IF('Recurring Schedule'!$E$34="Weekdays",WEEKDAY($A97,2)&lt;=5,$A97='Recurring Schedule'!$F$34))),29,""))))</f>
        <v/>
      </c>
      <c r="AE97">
        <f>IF('Recurring Schedule'!$C$35="","",IF('Recurring Schedule'!$F$35="","",IF(OR($A97&lt;'Recurring Schedule'!$F$35,$A97&gt;'Recurring Schedule'!$P$35),"",IF(IF('Recurring Schedule'!$N$35&gt;0,MOD($A97-'Recurring Schedule'!$F$35,'Recurring Schedule'!$N$35)=0,IF('Recurring Schedule'!$O$35&gt;0,AND(DAY($A97)=MIN(DAY('Recurring Schedule'!$F$35),DAY(EOMONTH($A97,0))),MOD((YEAR($A97)-YEAR('Recurring Schedule'!$F$35))*12+MONTH($A97)-MONTH('Recurring Schedule'!$F$35),'Recurring Schedule'!$O$35)=0),IF('Recurring Schedule'!$E$35="Weekdays",WEEKDAY($A97,2)&lt;=5,$A97='Recurring Schedule'!$F$35))),30,""))))</f>
        <v/>
      </c>
      <c r="AF97">
        <f>IF('Recurring Schedule'!$C$36="","",IF('Recurring Schedule'!$F$36="","",IF(OR($A97&lt;'Recurring Schedule'!$F$36,$A97&gt;'Recurring Schedule'!$P$36),"",IF(IF('Recurring Schedule'!$N$36&gt;0,MOD($A97-'Recurring Schedule'!$F$36,'Recurring Schedule'!$N$36)=0,IF('Recurring Schedule'!$O$36&gt;0,AND(DAY($A97)=MIN(DAY('Recurring Schedule'!$F$36),DAY(EOMONTH($A97,0))),MOD((YEAR($A97)-YEAR('Recurring Schedule'!$F$36))*12+MONTH($A97)-MONTH('Recurring Schedule'!$F$36),'Recurring Schedule'!$O$36)=0),IF('Recurring Schedule'!$E$36="Weekdays",WEEKDAY($A97,2)&lt;=5,$A97='Recurring Schedule'!$F$36))),31,""))))</f>
        <v/>
      </c>
      <c r="AG97">
        <f>IF('Recurring Schedule'!$C$37="","",IF('Recurring Schedule'!$F$37="","",IF(OR($A97&lt;'Recurring Schedule'!$F$37,$A97&gt;'Recurring Schedule'!$P$37),"",IF(IF('Recurring Schedule'!$N$37&gt;0,MOD($A97-'Recurring Schedule'!$F$37,'Recurring Schedule'!$N$37)=0,IF('Recurring Schedule'!$O$37&gt;0,AND(DAY($A97)=MIN(DAY('Recurring Schedule'!$F$37),DAY(EOMONTH($A97,0))),MOD((YEAR($A97)-YEAR('Recurring Schedule'!$F$37))*12+MONTH($A97)-MONTH('Recurring Schedule'!$F$37),'Recurring Schedule'!$O$37)=0),IF('Recurring Schedule'!$E$37="Weekdays",WEEKDAY($A97,2)&lt;=5,$A97='Recurring Schedule'!$F$37))),32,""))))</f>
        <v/>
      </c>
      <c r="AH97">
        <f>IF('Recurring Schedule'!$C$38="","",IF('Recurring Schedule'!$F$38="","",IF(OR($A97&lt;'Recurring Schedule'!$F$38,$A97&gt;'Recurring Schedule'!$P$38),"",IF(IF('Recurring Schedule'!$N$38&gt;0,MOD($A97-'Recurring Schedule'!$F$38,'Recurring Schedule'!$N$38)=0,IF('Recurring Schedule'!$O$38&gt;0,AND(DAY($A97)=MIN(DAY('Recurring Schedule'!$F$38),DAY(EOMONTH($A97,0))),MOD((YEAR($A97)-YEAR('Recurring Schedule'!$F$38))*12+MONTH($A97)-MONTH('Recurring Schedule'!$F$38),'Recurring Schedule'!$O$38)=0),IF('Recurring Schedule'!$E$38="Weekdays",WEEKDAY($A97,2)&lt;=5,$A97='Recurring Schedule'!$F$38))),33,""))))</f>
        <v/>
      </c>
      <c r="AI97">
        <f>IF('Recurring Schedule'!$C$39="","",IF('Recurring Schedule'!$F$39="","",IF(OR($A97&lt;'Recurring Schedule'!$F$39,$A97&gt;'Recurring Schedule'!$P$39),"",IF(IF('Recurring Schedule'!$N$39&gt;0,MOD($A97-'Recurring Schedule'!$F$39,'Recurring Schedule'!$N$39)=0,IF('Recurring Schedule'!$O$39&gt;0,AND(DAY($A97)=MIN(DAY('Recurring Schedule'!$F$39),DAY(EOMONTH($A97,0))),MOD((YEAR($A97)-YEAR('Recurring Schedule'!$F$39))*12+MONTH($A97)-MONTH('Recurring Schedule'!$F$39),'Recurring Schedule'!$O$39)=0),IF('Recurring Schedule'!$E$39="Weekdays",WEEKDAY($A97,2)&lt;=5,$A97='Recurring Schedule'!$F$39))),34,""))))</f>
        <v/>
      </c>
      <c r="AJ97">
        <f>IF('Recurring Schedule'!$C$40="","",IF('Recurring Schedule'!$F$40="","",IF(OR($A97&lt;'Recurring Schedule'!$F$40,$A97&gt;'Recurring Schedule'!$P$40),"",IF(IF('Recurring Schedule'!$N$40&gt;0,MOD($A97-'Recurring Schedule'!$F$40,'Recurring Schedule'!$N$40)=0,IF('Recurring Schedule'!$O$40&gt;0,AND(DAY($A97)=MIN(DAY('Recurring Schedule'!$F$40),DAY(EOMONTH($A97,0))),MOD((YEAR($A97)-YEAR('Recurring Schedule'!$F$40))*12+MONTH($A97)-MONTH('Recurring Schedule'!$F$40),'Recurring Schedule'!$O$40)=0),IF('Recurring Schedule'!$E$40="Weekdays",WEEKDAY($A97,2)&lt;=5,$A97='Recurring Schedule'!$F$40))),35,""))))</f>
        <v/>
      </c>
      <c r="AK97">
        <f>IF('Recurring Schedule'!$C$41="","",IF('Recurring Schedule'!$F$41="","",IF(OR($A97&lt;'Recurring Schedule'!$F$41,$A97&gt;'Recurring Schedule'!$P$41),"",IF(IF('Recurring Schedule'!$N$41&gt;0,MOD($A97-'Recurring Schedule'!$F$41,'Recurring Schedule'!$N$41)=0,IF('Recurring Schedule'!$O$41&gt;0,AND(DAY($A97)=MIN(DAY('Recurring Schedule'!$F$41),DAY(EOMONTH($A97,0))),MOD((YEAR($A97)-YEAR('Recurring Schedule'!$F$41))*12+MONTH($A97)-MONTH('Recurring Schedule'!$F$41),'Recurring Schedule'!$O$41)=0),IF('Recurring Schedule'!$E$41="Weekdays",WEEKDAY($A97,2)&lt;=5,$A97='Recurring Schedule'!$F$41))),36,""))))</f>
        <v/>
      </c>
      <c r="AL97">
        <f>IF('Recurring Schedule'!$C$42="","",IF('Recurring Schedule'!$F$42="","",IF(OR($A97&lt;'Recurring Schedule'!$F$42,$A97&gt;'Recurring Schedule'!$P$42),"",IF(IF('Recurring Schedule'!$N$42&gt;0,MOD($A97-'Recurring Schedule'!$F$42,'Recurring Schedule'!$N$42)=0,IF('Recurring Schedule'!$O$42&gt;0,AND(DAY($A97)=MIN(DAY('Recurring Schedule'!$F$42),DAY(EOMONTH($A97,0))),MOD((YEAR($A97)-YEAR('Recurring Schedule'!$F$42))*12+MONTH($A97)-MONTH('Recurring Schedule'!$F$42),'Recurring Schedule'!$O$42)=0),IF('Recurring Schedule'!$E$42="Weekdays",WEEKDAY($A97,2)&lt;=5,$A97='Recurring Schedule'!$F$42))),37,""))))</f>
        <v/>
      </c>
      <c r="AM97">
        <f>IF('Recurring Schedule'!$C$43="","",IF('Recurring Schedule'!$F$43="","",IF(OR($A97&lt;'Recurring Schedule'!$F$43,$A97&gt;'Recurring Schedule'!$P$43),"",IF(IF('Recurring Schedule'!$N$43&gt;0,MOD($A97-'Recurring Schedule'!$F$43,'Recurring Schedule'!$N$43)=0,IF('Recurring Schedule'!$O$43&gt;0,AND(DAY($A97)=MIN(DAY('Recurring Schedule'!$F$43),DAY(EOMONTH($A97,0))),MOD((YEAR($A97)-YEAR('Recurring Schedule'!$F$43))*12+MONTH($A97)-MONTH('Recurring Schedule'!$F$43),'Recurring Schedule'!$O$43)=0),IF('Recurring Schedule'!$E$43="Weekdays",WEEKDAY($A97,2)&lt;=5,$A97='Recurring Schedule'!$F$43))),38,""))))</f>
        <v/>
      </c>
      <c r="AN97">
        <f>IF('Recurring Schedule'!$C$44="","",IF('Recurring Schedule'!$F$44="","",IF(OR($A97&lt;'Recurring Schedule'!$F$44,$A97&gt;'Recurring Schedule'!$P$44),"",IF(IF('Recurring Schedule'!$N$44&gt;0,MOD($A97-'Recurring Schedule'!$F$44,'Recurring Schedule'!$N$44)=0,IF('Recurring Schedule'!$O$44&gt;0,AND(DAY($A97)=MIN(DAY('Recurring Schedule'!$F$44),DAY(EOMONTH($A97,0))),MOD((YEAR($A97)-YEAR('Recurring Schedule'!$F$44))*12+MONTH($A97)-MONTH('Recurring Schedule'!$F$44),'Recurring Schedule'!$O$44)=0),IF('Recurring Schedule'!$E$44="Weekdays",WEEKDAY($A97,2)&lt;=5,$A97='Recurring Schedule'!$F$44))),39,""))))</f>
        <v/>
      </c>
      <c r="AO97">
        <f>IF('Recurring Schedule'!$C$45="","",IF('Recurring Schedule'!$F$45="","",IF(OR($A97&lt;'Recurring Schedule'!$F$45,$A97&gt;'Recurring Schedule'!$P$45),"",IF(IF('Recurring Schedule'!$N$45&gt;0,MOD($A97-'Recurring Schedule'!$F$45,'Recurring Schedule'!$N$45)=0,IF('Recurring Schedule'!$O$45&gt;0,AND(DAY($A97)=MIN(DAY('Recurring Schedule'!$F$45),DAY(EOMONTH($A97,0))),MOD((YEAR($A97)-YEAR('Recurring Schedule'!$F$45))*12+MONTH($A97)-MONTH('Recurring Schedule'!$F$45),'Recurring Schedule'!$O$45)=0),IF('Recurring Schedule'!$E$45="Weekdays",WEEKDAY($A97,2)&lt;=5,$A97='Recurring Schedule'!$F$45))),40,""))))</f>
        <v/>
      </c>
      <c r="AP97">
        <f>COUNT(B97:AO97)</f>
        <v/>
      </c>
      <c r="AQ97">
        <f>AQ96+AP96</f>
        <v/>
      </c>
      <c r="AS97" t="inlineStr">
        <is>
          <t>R</t>
        </is>
      </c>
      <c r="AT97" t="n">
        <v>101</v>
      </c>
      <c r="AU97">
        <f>'Recurring Log'!C101&amp;""</f>
        <v/>
      </c>
      <c r="AV97">
        <f>'Recurring Log'!D101&amp;""</f>
        <v/>
      </c>
      <c r="AW97">
        <f>IF('Recurring Log'!E101="","",'Recurring Log'!E101)</f>
        <v/>
      </c>
      <c r="AX97">
        <f>IF('Recurring Log'!G101="","",'Recurring Log'!G101)</f>
        <v/>
      </c>
      <c r="AY97">
        <f>IF('Recurring Log'!H101="","",'Recurring Log'!H101)</f>
        <v/>
      </c>
      <c r="AZ97">
        <f>IF(AU97="","",IF('Recurring Log'!J101="","Not Started",'Recurring Log'!J101))</f>
        <v/>
      </c>
      <c r="BA97">
        <f>'Recurring Log'!L101&amp;""</f>
        <v/>
      </c>
      <c r="BB97">
        <f>'Recurring Log'!M101&amp;""</f>
        <v/>
      </c>
      <c r="BC97">
        <f>'Recurring Log'!N101&amp;""</f>
        <v/>
      </c>
      <c r="BD97">
        <f>'Recurring Log'!O101&amp;""</f>
        <v/>
      </c>
      <c r="BE97">
        <f>IF('Recurring Log'!K101="","",'Recurring Log'!K101)</f>
        <v/>
      </c>
      <c r="BF97">
        <f>IFERROR(MATCH(BA97,Setup!$L$6:$L$9,0),5)</f>
        <v/>
      </c>
      <c r="BG97">
        <f>IF(OR(AZ97="Done",AZ97="Cancelled"),1,0)</f>
        <v/>
      </c>
      <c r="BH97">
        <f>IF(AND(AU97&lt;&gt;"",ISNUMBER(AW97)),1,0)</f>
        <v/>
      </c>
      <c r="BI97">
        <f>IF(BH97=0,0,IF(AND(AW97&gt;='Tasks Filter'!$F$3,AW97&lt;='Tasks Filter'!$F$4,OR('Tasks Filter'!$I$3="",ISNUMBER(SEARCH('Tasks Filter'!$I$3,AU97))),OR('Tasks Filter'!$I$4="",BF97=IFERROR(MATCH('Tasks Filter'!$I$4,Setup!$L$6:$L$9,0),0)),OR('Tasks Filter'!$I$5="Both",AND('Tasks Filter'!$I$5="Yes",BB97="✓"),AND('Tasks Filter'!$I$5="No",BB97&lt;&gt;"✓")),OR('Tasks Filter'!$L$3="",AV97='Tasks Filter'!$L$3),OR('Tasks Filter'!$L$4="",AZ97='Tasks Filter'!$L$4),OR('Tasks Filter'!$L$5="",BC97='Tasks Filter'!$L$5),OR('Tasks Filter'!$O$3="",BD97='Tasks Filter'!$O$3),OR('Tasks Filter'!$O$4="Yes",BG97=0)),1,0))</f>
        <v/>
      </c>
      <c r="BJ97">
        <f>IF(BH97=0,"",IF('Tasks Filter'!$F$6="Descending",-1,1)*CHOOSE(MATCH('Tasks Filter'!$F$5,Lists!$G$2:$G$6,0),AW97,BF97,IFERROR(MATCH(AV97,Setup!$F$6:$F$15,0),99),IFERROR(MATCH(BC97,Setup!$H$6:$H$15,0),99),IFERROR(MATCH(AZ97,Setup!$J$6:$J$11,0),99))*1E+9+(AW97-40000)*10000+96)</f>
        <v/>
      </c>
      <c r="BK97">
        <f>IF(BI97=1,BJ97,"")</f>
        <v/>
      </c>
      <c r="BL97">
        <f>IF(AND(BH97=1,BG97=0,N(AW97)&lt;Setup!$D$7),(AW97-40000)*10000+96,"")</f>
        <v/>
      </c>
      <c r="BM97">
        <f>IF(AND(BH97=1,AZ97&lt;&gt;"Cancelled",N(AW97)&gt;=Dashboard!$AB$3,N(AW97)&lt;=Dashboard!$AB$3+6),(AW97-40000)*100000+BF97*10000+96,"")</f>
        <v/>
      </c>
      <c r="BN97">
        <f>IF(AND(BH97=1,AZ97&lt;&gt;"Cancelled"),BF97*10000+96,"")</f>
        <v/>
      </c>
    </row>
    <row r="98">
      <c r="A98">
        <f>Setup!$D$5+96</f>
        <v/>
      </c>
      <c r="B98">
        <f>IF('Recurring Schedule'!$C$6="","",IF('Recurring Schedule'!$F$6="","",IF(OR($A98&lt;'Recurring Schedule'!$F$6,$A98&gt;'Recurring Schedule'!$P$6),"",IF(IF('Recurring Schedule'!$N$6&gt;0,MOD($A98-'Recurring Schedule'!$F$6,'Recurring Schedule'!$N$6)=0,IF('Recurring Schedule'!$O$6&gt;0,AND(DAY($A98)=MIN(DAY('Recurring Schedule'!$F$6),DAY(EOMONTH($A98,0))),MOD((YEAR($A98)-YEAR('Recurring Schedule'!$F$6))*12+MONTH($A98)-MONTH('Recurring Schedule'!$F$6),'Recurring Schedule'!$O$6)=0),IF('Recurring Schedule'!$E$6="Weekdays",WEEKDAY($A98,2)&lt;=5,$A98='Recurring Schedule'!$F$6))),1,""))))</f>
        <v/>
      </c>
      <c r="C98">
        <f>IF('Recurring Schedule'!$C$7="","",IF('Recurring Schedule'!$F$7="","",IF(OR($A98&lt;'Recurring Schedule'!$F$7,$A98&gt;'Recurring Schedule'!$P$7),"",IF(IF('Recurring Schedule'!$N$7&gt;0,MOD($A98-'Recurring Schedule'!$F$7,'Recurring Schedule'!$N$7)=0,IF('Recurring Schedule'!$O$7&gt;0,AND(DAY($A98)=MIN(DAY('Recurring Schedule'!$F$7),DAY(EOMONTH($A98,0))),MOD((YEAR($A98)-YEAR('Recurring Schedule'!$F$7))*12+MONTH($A98)-MONTH('Recurring Schedule'!$F$7),'Recurring Schedule'!$O$7)=0),IF('Recurring Schedule'!$E$7="Weekdays",WEEKDAY($A98,2)&lt;=5,$A98='Recurring Schedule'!$F$7))),2,""))))</f>
        <v/>
      </c>
      <c r="D98">
        <f>IF('Recurring Schedule'!$C$8="","",IF('Recurring Schedule'!$F$8="","",IF(OR($A98&lt;'Recurring Schedule'!$F$8,$A98&gt;'Recurring Schedule'!$P$8),"",IF(IF('Recurring Schedule'!$N$8&gt;0,MOD($A98-'Recurring Schedule'!$F$8,'Recurring Schedule'!$N$8)=0,IF('Recurring Schedule'!$O$8&gt;0,AND(DAY($A98)=MIN(DAY('Recurring Schedule'!$F$8),DAY(EOMONTH($A98,0))),MOD((YEAR($A98)-YEAR('Recurring Schedule'!$F$8))*12+MONTH($A98)-MONTH('Recurring Schedule'!$F$8),'Recurring Schedule'!$O$8)=0),IF('Recurring Schedule'!$E$8="Weekdays",WEEKDAY($A98,2)&lt;=5,$A98='Recurring Schedule'!$F$8))),3,""))))</f>
        <v/>
      </c>
      <c r="E98">
        <f>IF('Recurring Schedule'!$C$9="","",IF('Recurring Schedule'!$F$9="","",IF(OR($A98&lt;'Recurring Schedule'!$F$9,$A98&gt;'Recurring Schedule'!$P$9),"",IF(IF('Recurring Schedule'!$N$9&gt;0,MOD($A98-'Recurring Schedule'!$F$9,'Recurring Schedule'!$N$9)=0,IF('Recurring Schedule'!$O$9&gt;0,AND(DAY($A98)=MIN(DAY('Recurring Schedule'!$F$9),DAY(EOMONTH($A98,0))),MOD((YEAR($A98)-YEAR('Recurring Schedule'!$F$9))*12+MONTH($A98)-MONTH('Recurring Schedule'!$F$9),'Recurring Schedule'!$O$9)=0),IF('Recurring Schedule'!$E$9="Weekdays",WEEKDAY($A98,2)&lt;=5,$A98='Recurring Schedule'!$F$9))),4,""))))</f>
        <v/>
      </c>
      <c r="F98">
        <f>IF('Recurring Schedule'!$C$10="","",IF('Recurring Schedule'!$F$10="","",IF(OR($A98&lt;'Recurring Schedule'!$F$10,$A98&gt;'Recurring Schedule'!$P$10),"",IF(IF('Recurring Schedule'!$N$10&gt;0,MOD($A98-'Recurring Schedule'!$F$10,'Recurring Schedule'!$N$10)=0,IF('Recurring Schedule'!$O$10&gt;0,AND(DAY($A98)=MIN(DAY('Recurring Schedule'!$F$10),DAY(EOMONTH($A98,0))),MOD((YEAR($A98)-YEAR('Recurring Schedule'!$F$10))*12+MONTH($A98)-MONTH('Recurring Schedule'!$F$10),'Recurring Schedule'!$O$10)=0),IF('Recurring Schedule'!$E$10="Weekdays",WEEKDAY($A98,2)&lt;=5,$A98='Recurring Schedule'!$F$10))),5,""))))</f>
        <v/>
      </c>
      <c r="G98">
        <f>IF('Recurring Schedule'!$C$11="","",IF('Recurring Schedule'!$F$11="","",IF(OR($A98&lt;'Recurring Schedule'!$F$11,$A98&gt;'Recurring Schedule'!$P$11),"",IF(IF('Recurring Schedule'!$N$11&gt;0,MOD($A98-'Recurring Schedule'!$F$11,'Recurring Schedule'!$N$11)=0,IF('Recurring Schedule'!$O$11&gt;0,AND(DAY($A98)=MIN(DAY('Recurring Schedule'!$F$11),DAY(EOMONTH($A98,0))),MOD((YEAR($A98)-YEAR('Recurring Schedule'!$F$11))*12+MONTH($A98)-MONTH('Recurring Schedule'!$F$11),'Recurring Schedule'!$O$11)=0),IF('Recurring Schedule'!$E$11="Weekdays",WEEKDAY($A98,2)&lt;=5,$A98='Recurring Schedule'!$F$11))),6,""))))</f>
        <v/>
      </c>
      <c r="H98">
        <f>IF('Recurring Schedule'!$C$12="","",IF('Recurring Schedule'!$F$12="","",IF(OR($A98&lt;'Recurring Schedule'!$F$12,$A98&gt;'Recurring Schedule'!$P$12),"",IF(IF('Recurring Schedule'!$N$12&gt;0,MOD($A98-'Recurring Schedule'!$F$12,'Recurring Schedule'!$N$12)=0,IF('Recurring Schedule'!$O$12&gt;0,AND(DAY($A98)=MIN(DAY('Recurring Schedule'!$F$12),DAY(EOMONTH($A98,0))),MOD((YEAR($A98)-YEAR('Recurring Schedule'!$F$12))*12+MONTH($A98)-MONTH('Recurring Schedule'!$F$12),'Recurring Schedule'!$O$12)=0),IF('Recurring Schedule'!$E$12="Weekdays",WEEKDAY($A98,2)&lt;=5,$A98='Recurring Schedule'!$F$12))),7,""))))</f>
        <v/>
      </c>
      <c r="I98">
        <f>IF('Recurring Schedule'!$C$13="","",IF('Recurring Schedule'!$F$13="","",IF(OR($A98&lt;'Recurring Schedule'!$F$13,$A98&gt;'Recurring Schedule'!$P$13),"",IF(IF('Recurring Schedule'!$N$13&gt;0,MOD($A98-'Recurring Schedule'!$F$13,'Recurring Schedule'!$N$13)=0,IF('Recurring Schedule'!$O$13&gt;0,AND(DAY($A98)=MIN(DAY('Recurring Schedule'!$F$13),DAY(EOMONTH($A98,0))),MOD((YEAR($A98)-YEAR('Recurring Schedule'!$F$13))*12+MONTH($A98)-MONTH('Recurring Schedule'!$F$13),'Recurring Schedule'!$O$13)=0),IF('Recurring Schedule'!$E$13="Weekdays",WEEKDAY($A98,2)&lt;=5,$A98='Recurring Schedule'!$F$13))),8,""))))</f>
        <v/>
      </c>
      <c r="J98">
        <f>IF('Recurring Schedule'!$C$14="","",IF('Recurring Schedule'!$F$14="","",IF(OR($A98&lt;'Recurring Schedule'!$F$14,$A98&gt;'Recurring Schedule'!$P$14),"",IF(IF('Recurring Schedule'!$N$14&gt;0,MOD($A98-'Recurring Schedule'!$F$14,'Recurring Schedule'!$N$14)=0,IF('Recurring Schedule'!$O$14&gt;0,AND(DAY($A98)=MIN(DAY('Recurring Schedule'!$F$14),DAY(EOMONTH($A98,0))),MOD((YEAR($A98)-YEAR('Recurring Schedule'!$F$14))*12+MONTH($A98)-MONTH('Recurring Schedule'!$F$14),'Recurring Schedule'!$O$14)=0),IF('Recurring Schedule'!$E$14="Weekdays",WEEKDAY($A98,2)&lt;=5,$A98='Recurring Schedule'!$F$14))),9,""))))</f>
        <v/>
      </c>
      <c r="K98">
        <f>IF('Recurring Schedule'!$C$15="","",IF('Recurring Schedule'!$F$15="","",IF(OR($A98&lt;'Recurring Schedule'!$F$15,$A98&gt;'Recurring Schedule'!$P$15),"",IF(IF('Recurring Schedule'!$N$15&gt;0,MOD($A98-'Recurring Schedule'!$F$15,'Recurring Schedule'!$N$15)=0,IF('Recurring Schedule'!$O$15&gt;0,AND(DAY($A98)=MIN(DAY('Recurring Schedule'!$F$15),DAY(EOMONTH($A98,0))),MOD((YEAR($A98)-YEAR('Recurring Schedule'!$F$15))*12+MONTH($A98)-MONTH('Recurring Schedule'!$F$15),'Recurring Schedule'!$O$15)=0),IF('Recurring Schedule'!$E$15="Weekdays",WEEKDAY($A98,2)&lt;=5,$A98='Recurring Schedule'!$F$15))),10,""))))</f>
        <v/>
      </c>
      <c r="L98">
        <f>IF('Recurring Schedule'!$C$16="","",IF('Recurring Schedule'!$F$16="","",IF(OR($A98&lt;'Recurring Schedule'!$F$16,$A98&gt;'Recurring Schedule'!$P$16),"",IF(IF('Recurring Schedule'!$N$16&gt;0,MOD($A98-'Recurring Schedule'!$F$16,'Recurring Schedule'!$N$16)=0,IF('Recurring Schedule'!$O$16&gt;0,AND(DAY($A98)=MIN(DAY('Recurring Schedule'!$F$16),DAY(EOMONTH($A98,0))),MOD((YEAR($A98)-YEAR('Recurring Schedule'!$F$16))*12+MONTH($A98)-MONTH('Recurring Schedule'!$F$16),'Recurring Schedule'!$O$16)=0),IF('Recurring Schedule'!$E$16="Weekdays",WEEKDAY($A98,2)&lt;=5,$A98='Recurring Schedule'!$F$16))),11,""))))</f>
        <v/>
      </c>
      <c r="M98">
        <f>IF('Recurring Schedule'!$C$17="","",IF('Recurring Schedule'!$F$17="","",IF(OR($A98&lt;'Recurring Schedule'!$F$17,$A98&gt;'Recurring Schedule'!$P$17),"",IF(IF('Recurring Schedule'!$N$17&gt;0,MOD($A98-'Recurring Schedule'!$F$17,'Recurring Schedule'!$N$17)=0,IF('Recurring Schedule'!$O$17&gt;0,AND(DAY($A98)=MIN(DAY('Recurring Schedule'!$F$17),DAY(EOMONTH($A98,0))),MOD((YEAR($A98)-YEAR('Recurring Schedule'!$F$17))*12+MONTH($A98)-MONTH('Recurring Schedule'!$F$17),'Recurring Schedule'!$O$17)=0),IF('Recurring Schedule'!$E$17="Weekdays",WEEKDAY($A98,2)&lt;=5,$A98='Recurring Schedule'!$F$17))),12,""))))</f>
        <v/>
      </c>
      <c r="N98">
        <f>IF('Recurring Schedule'!$C$18="","",IF('Recurring Schedule'!$F$18="","",IF(OR($A98&lt;'Recurring Schedule'!$F$18,$A98&gt;'Recurring Schedule'!$P$18),"",IF(IF('Recurring Schedule'!$N$18&gt;0,MOD($A98-'Recurring Schedule'!$F$18,'Recurring Schedule'!$N$18)=0,IF('Recurring Schedule'!$O$18&gt;0,AND(DAY($A98)=MIN(DAY('Recurring Schedule'!$F$18),DAY(EOMONTH($A98,0))),MOD((YEAR($A98)-YEAR('Recurring Schedule'!$F$18))*12+MONTH($A98)-MONTH('Recurring Schedule'!$F$18),'Recurring Schedule'!$O$18)=0),IF('Recurring Schedule'!$E$18="Weekdays",WEEKDAY($A98,2)&lt;=5,$A98='Recurring Schedule'!$F$18))),13,""))))</f>
        <v/>
      </c>
      <c r="O98">
        <f>IF('Recurring Schedule'!$C$19="","",IF('Recurring Schedule'!$F$19="","",IF(OR($A98&lt;'Recurring Schedule'!$F$19,$A98&gt;'Recurring Schedule'!$P$19),"",IF(IF('Recurring Schedule'!$N$19&gt;0,MOD($A98-'Recurring Schedule'!$F$19,'Recurring Schedule'!$N$19)=0,IF('Recurring Schedule'!$O$19&gt;0,AND(DAY($A98)=MIN(DAY('Recurring Schedule'!$F$19),DAY(EOMONTH($A98,0))),MOD((YEAR($A98)-YEAR('Recurring Schedule'!$F$19))*12+MONTH($A98)-MONTH('Recurring Schedule'!$F$19),'Recurring Schedule'!$O$19)=0),IF('Recurring Schedule'!$E$19="Weekdays",WEEKDAY($A98,2)&lt;=5,$A98='Recurring Schedule'!$F$19))),14,""))))</f>
        <v/>
      </c>
      <c r="P98">
        <f>IF('Recurring Schedule'!$C$20="","",IF('Recurring Schedule'!$F$20="","",IF(OR($A98&lt;'Recurring Schedule'!$F$20,$A98&gt;'Recurring Schedule'!$P$20),"",IF(IF('Recurring Schedule'!$N$20&gt;0,MOD($A98-'Recurring Schedule'!$F$20,'Recurring Schedule'!$N$20)=0,IF('Recurring Schedule'!$O$20&gt;0,AND(DAY($A98)=MIN(DAY('Recurring Schedule'!$F$20),DAY(EOMONTH($A98,0))),MOD((YEAR($A98)-YEAR('Recurring Schedule'!$F$20))*12+MONTH($A98)-MONTH('Recurring Schedule'!$F$20),'Recurring Schedule'!$O$20)=0),IF('Recurring Schedule'!$E$20="Weekdays",WEEKDAY($A98,2)&lt;=5,$A98='Recurring Schedule'!$F$20))),15,""))))</f>
        <v/>
      </c>
      <c r="Q98">
        <f>IF('Recurring Schedule'!$C$21="","",IF('Recurring Schedule'!$F$21="","",IF(OR($A98&lt;'Recurring Schedule'!$F$21,$A98&gt;'Recurring Schedule'!$P$21),"",IF(IF('Recurring Schedule'!$N$21&gt;0,MOD($A98-'Recurring Schedule'!$F$21,'Recurring Schedule'!$N$21)=0,IF('Recurring Schedule'!$O$21&gt;0,AND(DAY($A98)=MIN(DAY('Recurring Schedule'!$F$21),DAY(EOMONTH($A98,0))),MOD((YEAR($A98)-YEAR('Recurring Schedule'!$F$21))*12+MONTH($A98)-MONTH('Recurring Schedule'!$F$21),'Recurring Schedule'!$O$21)=0),IF('Recurring Schedule'!$E$21="Weekdays",WEEKDAY($A98,2)&lt;=5,$A98='Recurring Schedule'!$F$21))),16,""))))</f>
        <v/>
      </c>
      <c r="R98">
        <f>IF('Recurring Schedule'!$C$22="","",IF('Recurring Schedule'!$F$22="","",IF(OR($A98&lt;'Recurring Schedule'!$F$22,$A98&gt;'Recurring Schedule'!$P$22),"",IF(IF('Recurring Schedule'!$N$22&gt;0,MOD($A98-'Recurring Schedule'!$F$22,'Recurring Schedule'!$N$22)=0,IF('Recurring Schedule'!$O$22&gt;0,AND(DAY($A98)=MIN(DAY('Recurring Schedule'!$F$22),DAY(EOMONTH($A98,0))),MOD((YEAR($A98)-YEAR('Recurring Schedule'!$F$22))*12+MONTH($A98)-MONTH('Recurring Schedule'!$F$22),'Recurring Schedule'!$O$22)=0),IF('Recurring Schedule'!$E$22="Weekdays",WEEKDAY($A98,2)&lt;=5,$A98='Recurring Schedule'!$F$22))),17,""))))</f>
        <v/>
      </c>
      <c r="S98">
        <f>IF('Recurring Schedule'!$C$23="","",IF('Recurring Schedule'!$F$23="","",IF(OR($A98&lt;'Recurring Schedule'!$F$23,$A98&gt;'Recurring Schedule'!$P$23),"",IF(IF('Recurring Schedule'!$N$23&gt;0,MOD($A98-'Recurring Schedule'!$F$23,'Recurring Schedule'!$N$23)=0,IF('Recurring Schedule'!$O$23&gt;0,AND(DAY($A98)=MIN(DAY('Recurring Schedule'!$F$23),DAY(EOMONTH($A98,0))),MOD((YEAR($A98)-YEAR('Recurring Schedule'!$F$23))*12+MONTH($A98)-MONTH('Recurring Schedule'!$F$23),'Recurring Schedule'!$O$23)=0),IF('Recurring Schedule'!$E$23="Weekdays",WEEKDAY($A98,2)&lt;=5,$A98='Recurring Schedule'!$F$23))),18,""))))</f>
        <v/>
      </c>
      <c r="T98">
        <f>IF('Recurring Schedule'!$C$24="","",IF('Recurring Schedule'!$F$24="","",IF(OR($A98&lt;'Recurring Schedule'!$F$24,$A98&gt;'Recurring Schedule'!$P$24),"",IF(IF('Recurring Schedule'!$N$24&gt;0,MOD($A98-'Recurring Schedule'!$F$24,'Recurring Schedule'!$N$24)=0,IF('Recurring Schedule'!$O$24&gt;0,AND(DAY($A98)=MIN(DAY('Recurring Schedule'!$F$24),DAY(EOMONTH($A98,0))),MOD((YEAR($A98)-YEAR('Recurring Schedule'!$F$24))*12+MONTH($A98)-MONTH('Recurring Schedule'!$F$24),'Recurring Schedule'!$O$24)=0),IF('Recurring Schedule'!$E$24="Weekdays",WEEKDAY($A98,2)&lt;=5,$A98='Recurring Schedule'!$F$24))),19,""))))</f>
        <v/>
      </c>
      <c r="U98">
        <f>IF('Recurring Schedule'!$C$25="","",IF('Recurring Schedule'!$F$25="","",IF(OR($A98&lt;'Recurring Schedule'!$F$25,$A98&gt;'Recurring Schedule'!$P$25),"",IF(IF('Recurring Schedule'!$N$25&gt;0,MOD($A98-'Recurring Schedule'!$F$25,'Recurring Schedule'!$N$25)=0,IF('Recurring Schedule'!$O$25&gt;0,AND(DAY($A98)=MIN(DAY('Recurring Schedule'!$F$25),DAY(EOMONTH($A98,0))),MOD((YEAR($A98)-YEAR('Recurring Schedule'!$F$25))*12+MONTH($A98)-MONTH('Recurring Schedule'!$F$25),'Recurring Schedule'!$O$25)=0),IF('Recurring Schedule'!$E$25="Weekdays",WEEKDAY($A98,2)&lt;=5,$A98='Recurring Schedule'!$F$25))),20,""))))</f>
        <v/>
      </c>
      <c r="V98">
        <f>IF('Recurring Schedule'!$C$26="","",IF('Recurring Schedule'!$F$26="","",IF(OR($A98&lt;'Recurring Schedule'!$F$26,$A98&gt;'Recurring Schedule'!$P$26),"",IF(IF('Recurring Schedule'!$N$26&gt;0,MOD($A98-'Recurring Schedule'!$F$26,'Recurring Schedule'!$N$26)=0,IF('Recurring Schedule'!$O$26&gt;0,AND(DAY($A98)=MIN(DAY('Recurring Schedule'!$F$26),DAY(EOMONTH($A98,0))),MOD((YEAR($A98)-YEAR('Recurring Schedule'!$F$26))*12+MONTH($A98)-MONTH('Recurring Schedule'!$F$26),'Recurring Schedule'!$O$26)=0),IF('Recurring Schedule'!$E$26="Weekdays",WEEKDAY($A98,2)&lt;=5,$A98='Recurring Schedule'!$F$26))),21,""))))</f>
        <v/>
      </c>
      <c r="W98">
        <f>IF('Recurring Schedule'!$C$27="","",IF('Recurring Schedule'!$F$27="","",IF(OR($A98&lt;'Recurring Schedule'!$F$27,$A98&gt;'Recurring Schedule'!$P$27),"",IF(IF('Recurring Schedule'!$N$27&gt;0,MOD($A98-'Recurring Schedule'!$F$27,'Recurring Schedule'!$N$27)=0,IF('Recurring Schedule'!$O$27&gt;0,AND(DAY($A98)=MIN(DAY('Recurring Schedule'!$F$27),DAY(EOMONTH($A98,0))),MOD((YEAR($A98)-YEAR('Recurring Schedule'!$F$27))*12+MONTH($A98)-MONTH('Recurring Schedule'!$F$27),'Recurring Schedule'!$O$27)=0),IF('Recurring Schedule'!$E$27="Weekdays",WEEKDAY($A98,2)&lt;=5,$A98='Recurring Schedule'!$F$27))),22,""))))</f>
        <v/>
      </c>
      <c r="X98">
        <f>IF('Recurring Schedule'!$C$28="","",IF('Recurring Schedule'!$F$28="","",IF(OR($A98&lt;'Recurring Schedule'!$F$28,$A98&gt;'Recurring Schedule'!$P$28),"",IF(IF('Recurring Schedule'!$N$28&gt;0,MOD($A98-'Recurring Schedule'!$F$28,'Recurring Schedule'!$N$28)=0,IF('Recurring Schedule'!$O$28&gt;0,AND(DAY($A98)=MIN(DAY('Recurring Schedule'!$F$28),DAY(EOMONTH($A98,0))),MOD((YEAR($A98)-YEAR('Recurring Schedule'!$F$28))*12+MONTH($A98)-MONTH('Recurring Schedule'!$F$28),'Recurring Schedule'!$O$28)=0),IF('Recurring Schedule'!$E$28="Weekdays",WEEKDAY($A98,2)&lt;=5,$A98='Recurring Schedule'!$F$28))),23,""))))</f>
        <v/>
      </c>
      <c r="Y98">
        <f>IF('Recurring Schedule'!$C$29="","",IF('Recurring Schedule'!$F$29="","",IF(OR($A98&lt;'Recurring Schedule'!$F$29,$A98&gt;'Recurring Schedule'!$P$29),"",IF(IF('Recurring Schedule'!$N$29&gt;0,MOD($A98-'Recurring Schedule'!$F$29,'Recurring Schedule'!$N$29)=0,IF('Recurring Schedule'!$O$29&gt;0,AND(DAY($A98)=MIN(DAY('Recurring Schedule'!$F$29),DAY(EOMONTH($A98,0))),MOD((YEAR($A98)-YEAR('Recurring Schedule'!$F$29))*12+MONTH($A98)-MONTH('Recurring Schedule'!$F$29),'Recurring Schedule'!$O$29)=0),IF('Recurring Schedule'!$E$29="Weekdays",WEEKDAY($A98,2)&lt;=5,$A98='Recurring Schedule'!$F$29))),24,""))))</f>
        <v/>
      </c>
      <c r="Z98">
        <f>IF('Recurring Schedule'!$C$30="","",IF('Recurring Schedule'!$F$30="","",IF(OR($A98&lt;'Recurring Schedule'!$F$30,$A98&gt;'Recurring Schedule'!$P$30),"",IF(IF('Recurring Schedule'!$N$30&gt;0,MOD($A98-'Recurring Schedule'!$F$30,'Recurring Schedule'!$N$30)=0,IF('Recurring Schedule'!$O$30&gt;0,AND(DAY($A98)=MIN(DAY('Recurring Schedule'!$F$30),DAY(EOMONTH($A98,0))),MOD((YEAR($A98)-YEAR('Recurring Schedule'!$F$30))*12+MONTH($A98)-MONTH('Recurring Schedule'!$F$30),'Recurring Schedule'!$O$30)=0),IF('Recurring Schedule'!$E$30="Weekdays",WEEKDAY($A98,2)&lt;=5,$A98='Recurring Schedule'!$F$30))),25,""))))</f>
        <v/>
      </c>
      <c r="AA98">
        <f>IF('Recurring Schedule'!$C$31="","",IF('Recurring Schedule'!$F$31="","",IF(OR($A98&lt;'Recurring Schedule'!$F$31,$A98&gt;'Recurring Schedule'!$P$31),"",IF(IF('Recurring Schedule'!$N$31&gt;0,MOD($A98-'Recurring Schedule'!$F$31,'Recurring Schedule'!$N$31)=0,IF('Recurring Schedule'!$O$31&gt;0,AND(DAY($A98)=MIN(DAY('Recurring Schedule'!$F$31),DAY(EOMONTH($A98,0))),MOD((YEAR($A98)-YEAR('Recurring Schedule'!$F$31))*12+MONTH($A98)-MONTH('Recurring Schedule'!$F$31),'Recurring Schedule'!$O$31)=0),IF('Recurring Schedule'!$E$31="Weekdays",WEEKDAY($A98,2)&lt;=5,$A98='Recurring Schedule'!$F$31))),26,""))))</f>
        <v/>
      </c>
      <c r="AB98">
        <f>IF('Recurring Schedule'!$C$32="","",IF('Recurring Schedule'!$F$32="","",IF(OR($A98&lt;'Recurring Schedule'!$F$32,$A98&gt;'Recurring Schedule'!$P$32),"",IF(IF('Recurring Schedule'!$N$32&gt;0,MOD($A98-'Recurring Schedule'!$F$32,'Recurring Schedule'!$N$32)=0,IF('Recurring Schedule'!$O$32&gt;0,AND(DAY($A98)=MIN(DAY('Recurring Schedule'!$F$32),DAY(EOMONTH($A98,0))),MOD((YEAR($A98)-YEAR('Recurring Schedule'!$F$32))*12+MONTH($A98)-MONTH('Recurring Schedule'!$F$32),'Recurring Schedule'!$O$32)=0),IF('Recurring Schedule'!$E$32="Weekdays",WEEKDAY($A98,2)&lt;=5,$A98='Recurring Schedule'!$F$32))),27,""))))</f>
        <v/>
      </c>
      <c r="AC98">
        <f>IF('Recurring Schedule'!$C$33="","",IF('Recurring Schedule'!$F$33="","",IF(OR($A98&lt;'Recurring Schedule'!$F$33,$A98&gt;'Recurring Schedule'!$P$33),"",IF(IF('Recurring Schedule'!$N$33&gt;0,MOD($A98-'Recurring Schedule'!$F$33,'Recurring Schedule'!$N$33)=0,IF('Recurring Schedule'!$O$33&gt;0,AND(DAY($A98)=MIN(DAY('Recurring Schedule'!$F$33),DAY(EOMONTH($A98,0))),MOD((YEAR($A98)-YEAR('Recurring Schedule'!$F$33))*12+MONTH($A98)-MONTH('Recurring Schedule'!$F$33),'Recurring Schedule'!$O$33)=0),IF('Recurring Schedule'!$E$33="Weekdays",WEEKDAY($A98,2)&lt;=5,$A98='Recurring Schedule'!$F$33))),28,""))))</f>
        <v/>
      </c>
      <c r="AD98">
        <f>IF('Recurring Schedule'!$C$34="","",IF('Recurring Schedule'!$F$34="","",IF(OR($A98&lt;'Recurring Schedule'!$F$34,$A98&gt;'Recurring Schedule'!$P$34),"",IF(IF('Recurring Schedule'!$N$34&gt;0,MOD($A98-'Recurring Schedule'!$F$34,'Recurring Schedule'!$N$34)=0,IF('Recurring Schedule'!$O$34&gt;0,AND(DAY($A98)=MIN(DAY('Recurring Schedule'!$F$34),DAY(EOMONTH($A98,0))),MOD((YEAR($A98)-YEAR('Recurring Schedule'!$F$34))*12+MONTH($A98)-MONTH('Recurring Schedule'!$F$34),'Recurring Schedule'!$O$34)=0),IF('Recurring Schedule'!$E$34="Weekdays",WEEKDAY($A98,2)&lt;=5,$A98='Recurring Schedule'!$F$34))),29,""))))</f>
        <v/>
      </c>
      <c r="AE98">
        <f>IF('Recurring Schedule'!$C$35="","",IF('Recurring Schedule'!$F$35="","",IF(OR($A98&lt;'Recurring Schedule'!$F$35,$A98&gt;'Recurring Schedule'!$P$35),"",IF(IF('Recurring Schedule'!$N$35&gt;0,MOD($A98-'Recurring Schedule'!$F$35,'Recurring Schedule'!$N$35)=0,IF('Recurring Schedule'!$O$35&gt;0,AND(DAY($A98)=MIN(DAY('Recurring Schedule'!$F$35),DAY(EOMONTH($A98,0))),MOD((YEAR($A98)-YEAR('Recurring Schedule'!$F$35))*12+MONTH($A98)-MONTH('Recurring Schedule'!$F$35),'Recurring Schedule'!$O$35)=0),IF('Recurring Schedule'!$E$35="Weekdays",WEEKDAY($A98,2)&lt;=5,$A98='Recurring Schedule'!$F$35))),30,""))))</f>
        <v/>
      </c>
      <c r="AF98">
        <f>IF('Recurring Schedule'!$C$36="","",IF('Recurring Schedule'!$F$36="","",IF(OR($A98&lt;'Recurring Schedule'!$F$36,$A98&gt;'Recurring Schedule'!$P$36),"",IF(IF('Recurring Schedule'!$N$36&gt;0,MOD($A98-'Recurring Schedule'!$F$36,'Recurring Schedule'!$N$36)=0,IF('Recurring Schedule'!$O$36&gt;0,AND(DAY($A98)=MIN(DAY('Recurring Schedule'!$F$36),DAY(EOMONTH($A98,0))),MOD((YEAR($A98)-YEAR('Recurring Schedule'!$F$36))*12+MONTH($A98)-MONTH('Recurring Schedule'!$F$36),'Recurring Schedule'!$O$36)=0),IF('Recurring Schedule'!$E$36="Weekdays",WEEKDAY($A98,2)&lt;=5,$A98='Recurring Schedule'!$F$36))),31,""))))</f>
        <v/>
      </c>
      <c r="AG98">
        <f>IF('Recurring Schedule'!$C$37="","",IF('Recurring Schedule'!$F$37="","",IF(OR($A98&lt;'Recurring Schedule'!$F$37,$A98&gt;'Recurring Schedule'!$P$37),"",IF(IF('Recurring Schedule'!$N$37&gt;0,MOD($A98-'Recurring Schedule'!$F$37,'Recurring Schedule'!$N$37)=0,IF('Recurring Schedule'!$O$37&gt;0,AND(DAY($A98)=MIN(DAY('Recurring Schedule'!$F$37),DAY(EOMONTH($A98,0))),MOD((YEAR($A98)-YEAR('Recurring Schedule'!$F$37))*12+MONTH($A98)-MONTH('Recurring Schedule'!$F$37),'Recurring Schedule'!$O$37)=0),IF('Recurring Schedule'!$E$37="Weekdays",WEEKDAY($A98,2)&lt;=5,$A98='Recurring Schedule'!$F$37))),32,""))))</f>
        <v/>
      </c>
      <c r="AH98">
        <f>IF('Recurring Schedule'!$C$38="","",IF('Recurring Schedule'!$F$38="","",IF(OR($A98&lt;'Recurring Schedule'!$F$38,$A98&gt;'Recurring Schedule'!$P$38),"",IF(IF('Recurring Schedule'!$N$38&gt;0,MOD($A98-'Recurring Schedule'!$F$38,'Recurring Schedule'!$N$38)=0,IF('Recurring Schedule'!$O$38&gt;0,AND(DAY($A98)=MIN(DAY('Recurring Schedule'!$F$38),DAY(EOMONTH($A98,0))),MOD((YEAR($A98)-YEAR('Recurring Schedule'!$F$38))*12+MONTH($A98)-MONTH('Recurring Schedule'!$F$38),'Recurring Schedule'!$O$38)=0),IF('Recurring Schedule'!$E$38="Weekdays",WEEKDAY($A98,2)&lt;=5,$A98='Recurring Schedule'!$F$38))),33,""))))</f>
        <v/>
      </c>
      <c r="AI98">
        <f>IF('Recurring Schedule'!$C$39="","",IF('Recurring Schedule'!$F$39="","",IF(OR($A98&lt;'Recurring Schedule'!$F$39,$A98&gt;'Recurring Schedule'!$P$39),"",IF(IF('Recurring Schedule'!$N$39&gt;0,MOD($A98-'Recurring Schedule'!$F$39,'Recurring Schedule'!$N$39)=0,IF('Recurring Schedule'!$O$39&gt;0,AND(DAY($A98)=MIN(DAY('Recurring Schedule'!$F$39),DAY(EOMONTH($A98,0))),MOD((YEAR($A98)-YEAR('Recurring Schedule'!$F$39))*12+MONTH($A98)-MONTH('Recurring Schedule'!$F$39),'Recurring Schedule'!$O$39)=0),IF('Recurring Schedule'!$E$39="Weekdays",WEEKDAY($A98,2)&lt;=5,$A98='Recurring Schedule'!$F$39))),34,""))))</f>
        <v/>
      </c>
      <c r="AJ98">
        <f>IF('Recurring Schedule'!$C$40="","",IF('Recurring Schedule'!$F$40="","",IF(OR($A98&lt;'Recurring Schedule'!$F$40,$A98&gt;'Recurring Schedule'!$P$40),"",IF(IF('Recurring Schedule'!$N$40&gt;0,MOD($A98-'Recurring Schedule'!$F$40,'Recurring Schedule'!$N$40)=0,IF('Recurring Schedule'!$O$40&gt;0,AND(DAY($A98)=MIN(DAY('Recurring Schedule'!$F$40),DAY(EOMONTH($A98,0))),MOD((YEAR($A98)-YEAR('Recurring Schedule'!$F$40))*12+MONTH($A98)-MONTH('Recurring Schedule'!$F$40),'Recurring Schedule'!$O$40)=0),IF('Recurring Schedule'!$E$40="Weekdays",WEEKDAY($A98,2)&lt;=5,$A98='Recurring Schedule'!$F$40))),35,""))))</f>
        <v/>
      </c>
      <c r="AK98">
        <f>IF('Recurring Schedule'!$C$41="","",IF('Recurring Schedule'!$F$41="","",IF(OR($A98&lt;'Recurring Schedule'!$F$41,$A98&gt;'Recurring Schedule'!$P$41),"",IF(IF('Recurring Schedule'!$N$41&gt;0,MOD($A98-'Recurring Schedule'!$F$41,'Recurring Schedule'!$N$41)=0,IF('Recurring Schedule'!$O$41&gt;0,AND(DAY($A98)=MIN(DAY('Recurring Schedule'!$F$41),DAY(EOMONTH($A98,0))),MOD((YEAR($A98)-YEAR('Recurring Schedule'!$F$41))*12+MONTH($A98)-MONTH('Recurring Schedule'!$F$41),'Recurring Schedule'!$O$41)=0),IF('Recurring Schedule'!$E$41="Weekdays",WEEKDAY($A98,2)&lt;=5,$A98='Recurring Schedule'!$F$41))),36,""))))</f>
        <v/>
      </c>
      <c r="AL98">
        <f>IF('Recurring Schedule'!$C$42="","",IF('Recurring Schedule'!$F$42="","",IF(OR($A98&lt;'Recurring Schedule'!$F$42,$A98&gt;'Recurring Schedule'!$P$42),"",IF(IF('Recurring Schedule'!$N$42&gt;0,MOD($A98-'Recurring Schedule'!$F$42,'Recurring Schedule'!$N$42)=0,IF('Recurring Schedule'!$O$42&gt;0,AND(DAY($A98)=MIN(DAY('Recurring Schedule'!$F$42),DAY(EOMONTH($A98,0))),MOD((YEAR($A98)-YEAR('Recurring Schedule'!$F$42))*12+MONTH($A98)-MONTH('Recurring Schedule'!$F$42),'Recurring Schedule'!$O$42)=0),IF('Recurring Schedule'!$E$42="Weekdays",WEEKDAY($A98,2)&lt;=5,$A98='Recurring Schedule'!$F$42))),37,""))))</f>
        <v/>
      </c>
      <c r="AM98">
        <f>IF('Recurring Schedule'!$C$43="","",IF('Recurring Schedule'!$F$43="","",IF(OR($A98&lt;'Recurring Schedule'!$F$43,$A98&gt;'Recurring Schedule'!$P$43),"",IF(IF('Recurring Schedule'!$N$43&gt;0,MOD($A98-'Recurring Schedule'!$F$43,'Recurring Schedule'!$N$43)=0,IF('Recurring Schedule'!$O$43&gt;0,AND(DAY($A98)=MIN(DAY('Recurring Schedule'!$F$43),DAY(EOMONTH($A98,0))),MOD((YEAR($A98)-YEAR('Recurring Schedule'!$F$43))*12+MONTH($A98)-MONTH('Recurring Schedule'!$F$43),'Recurring Schedule'!$O$43)=0),IF('Recurring Schedule'!$E$43="Weekdays",WEEKDAY($A98,2)&lt;=5,$A98='Recurring Schedule'!$F$43))),38,""))))</f>
        <v/>
      </c>
      <c r="AN98">
        <f>IF('Recurring Schedule'!$C$44="","",IF('Recurring Schedule'!$F$44="","",IF(OR($A98&lt;'Recurring Schedule'!$F$44,$A98&gt;'Recurring Schedule'!$P$44),"",IF(IF('Recurring Schedule'!$N$44&gt;0,MOD($A98-'Recurring Schedule'!$F$44,'Recurring Schedule'!$N$44)=0,IF('Recurring Schedule'!$O$44&gt;0,AND(DAY($A98)=MIN(DAY('Recurring Schedule'!$F$44),DAY(EOMONTH($A98,0))),MOD((YEAR($A98)-YEAR('Recurring Schedule'!$F$44))*12+MONTH($A98)-MONTH('Recurring Schedule'!$F$44),'Recurring Schedule'!$O$44)=0),IF('Recurring Schedule'!$E$44="Weekdays",WEEKDAY($A98,2)&lt;=5,$A98='Recurring Schedule'!$F$44))),39,""))))</f>
        <v/>
      </c>
      <c r="AO98">
        <f>IF('Recurring Schedule'!$C$45="","",IF('Recurring Schedule'!$F$45="","",IF(OR($A98&lt;'Recurring Schedule'!$F$45,$A98&gt;'Recurring Schedule'!$P$45),"",IF(IF('Recurring Schedule'!$N$45&gt;0,MOD($A98-'Recurring Schedule'!$F$45,'Recurring Schedule'!$N$45)=0,IF('Recurring Schedule'!$O$45&gt;0,AND(DAY($A98)=MIN(DAY('Recurring Schedule'!$F$45),DAY(EOMONTH($A98,0))),MOD((YEAR($A98)-YEAR('Recurring Schedule'!$F$45))*12+MONTH($A98)-MONTH('Recurring Schedule'!$F$45),'Recurring Schedule'!$O$45)=0),IF('Recurring Schedule'!$E$45="Weekdays",WEEKDAY($A98,2)&lt;=5,$A98='Recurring Schedule'!$F$45))),40,""))))</f>
        <v/>
      </c>
      <c r="AP98">
        <f>COUNT(B98:AO98)</f>
        <v/>
      </c>
      <c r="AQ98">
        <f>AQ97+AP97</f>
        <v/>
      </c>
      <c r="AS98" t="inlineStr">
        <is>
          <t>R</t>
        </is>
      </c>
      <c r="AT98" t="n">
        <v>102</v>
      </c>
      <c r="AU98">
        <f>'Recurring Log'!C102&amp;""</f>
        <v/>
      </c>
      <c r="AV98">
        <f>'Recurring Log'!D102&amp;""</f>
        <v/>
      </c>
      <c r="AW98">
        <f>IF('Recurring Log'!E102="","",'Recurring Log'!E102)</f>
        <v/>
      </c>
      <c r="AX98">
        <f>IF('Recurring Log'!G102="","",'Recurring Log'!G102)</f>
        <v/>
      </c>
      <c r="AY98">
        <f>IF('Recurring Log'!H102="","",'Recurring Log'!H102)</f>
        <v/>
      </c>
      <c r="AZ98">
        <f>IF(AU98="","",IF('Recurring Log'!J102="","Not Started",'Recurring Log'!J102))</f>
        <v/>
      </c>
      <c r="BA98">
        <f>'Recurring Log'!L102&amp;""</f>
        <v/>
      </c>
      <c r="BB98">
        <f>'Recurring Log'!M102&amp;""</f>
        <v/>
      </c>
      <c r="BC98">
        <f>'Recurring Log'!N102&amp;""</f>
        <v/>
      </c>
      <c r="BD98">
        <f>'Recurring Log'!O102&amp;""</f>
        <v/>
      </c>
      <c r="BE98">
        <f>IF('Recurring Log'!K102="","",'Recurring Log'!K102)</f>
        <v/>
      </c>
      <c r="BF98">
        <f>IFERROR(MATCH(BA98,Setup!$L$6:$L$9,0),5)</f>
        <v/>
      </c>
      <c r="BG98">
        <f>IF(OR(AZ98="Done",AZ98="Cancelled"),1,0)</f>
        <v/>
      </c>
      <c r="BH98">
        <f>IF(AND(AU98&lt;&gt;"",ISNUMBER(AW98)),1,0)</f>
        <v/>
      </c>
      <c r="BI98">
        <f>IF(BH98=0,0,IF(AND(AW98&gt;='Tasks Filter'!$F$3,AW98&lt;='Tasks Filter'!$F$4,OR('Tasks Filter'!$I$3="",ISNUMBER(SEARCH('Tasks Filter'!$I$3,AU98))),OR('Tasks Filter'!$I$4="",BF98=IFERROR(MATCH('Tasks Filter'!$I$4,Setup!$L$6:$L$9,0),0)),OR('Tasks Filter'!$I$5="Both",AND('Tasks Filter'!$I$5="Yes",BB98="✓"),AND('Tasks Filter'!$I$5="No",BB98&lt;&gt;"✓")),OR('Tasks Filter'!$L$3="",AV98='Tasks Filter'!$L$3),OR('Tasks Filter'!$L$4="",AZ98='Tasks Filter'!$L$4),OR('Tasks Filter'!$L$5="",BC98='Tasks Filter'!$L$5),OR('Tasks Filter'!$O$3="",BD98='Tasks Filter'!$O$3),OR('Tasks Filter'!$O$4="Yes",BG98=0)),1,0))</f>
        <v/>
      </c>
      <c r="BJ98">
        <f>IF(BH98=0,"",IF('Tasks Filter'!$F$6="Descending",-1,1)*CHOOSE(MATCH('Tasks Filter'!$F$5,Lists!$G$2:$G$6,0),AW98,BF98,IFERROR(MATCH(AV98,Setup!$F$6:$F$15,0),99),IFERROR(MATCH(BC98,Setup!$H$6:$H$15,0),99),IFERROR(MATCH(AZ98,Setup!$J$6:$J$11,0),99))*1E+9+(AW98-40000)*10000+97)</f>
        <v/>
      </c>
      <c r="BK98">
        <f>IF(BI98=1,BJ98,"")</f>
        <v/>
      </c>
      <c r="BL98">
        <f>IF(AND(BH98=1,BG98=0,N(AW98)&lt;Setup!$D$7),(AW98-40000)*10000+97,"")</f>
        <v/>
      </c>
      <c r="BM98">
        <f>IF(AND(BH98=1,AZ98&lt;&gt;"Cancelled",N(AW98)&gt;=Dashboard!$AB$3,N(AW98)&lt;=Dashboard!$AB$3+6),(AW98-40000)*100000+BF98*10000+97,"")</f>
        <v/>
      </c>
      <c r="BN98">
        <f>IF(AND(BH98=1,AZ98&lt;&gt;"Cancelled"),BF98*10000+97,"")</f>
        <v/>
      </c>
    </row>
    <row r="99">
      <c r="A99">
        <f>Setup!$D$5+97</f>
        <v/>
      </c>
      <c r="B99">
        <f>IF('Recurring Schedule'!$C$6="","",IF('Recurring Schedule'!$F$6="","",IF(OR($A99&lt;'Recurring Schedule'!$F$6,$A99&gt;'Recurring Schedule'!$P$6),"",IF(IF('Recurring Schedule'!$N$6&gt;0,MOD($A99-'Recurring Schedule'!$F$6,'Recurring Schedule'!$N$6)=0,IF('Recurring Schedule'!$O$6&gt;0,AND(DAY($A99)=MIN(DAY('Recurring Schedule'!$F$6),DAY(EOMONTH($A99,0))),MOD((YEAR($A99)-YEAR('Recurring Schedule'!$F$6))*12+MONTH($A99)-MONTH('Recurring Schedule'!$F$6),'Recurring Schedule'!$O$6)=0),IF('Recurring Schedule'!$E$6="Weekdays",WEEKDAY($A99,2)&lt;=5,$A99='Recurring Schedule'!$F$6))),1,""))))</f>
        <v/>
      </c>
      <c r="C99">
        <f>IF('Recurring Schedule'!$C$7="","",IF('Recurring Schedule'!$F$7="","",IF(OR($A99&lt;'Recurring Schedule'!$F$7,$A99&gt;'Recurring Schedule'!$P$7),"",IF(IF('Recurring Schedule'!$N$7&gt;0,MOD($A99-'Recurring Schedule'!$F$7,'Recurring Schedule'!$N$7)=0,IF('Recurring Schedule'!$O$7&gt;0,AND(DAY($A99)=MIN(DAY('Recurring Schedule'!$F$7),DAY(EOMONTH($A99,0))),MOD((YEAR($A99)-YEAR('Recurring Schedule'!$F$7))*12+MONTH($A99)-MONTH('Recurring Schedule'!$F$7),'Recurring Schedule'!$O$7)=0),IF('Recurring Schedule'!$E$7="Weekdays",WEEKDAY($A99,2)&lt;=5,$A99='Recurring Schedule'!$F$7))),2,""))))</f>
        <v/>
      </c>
      <c r="D99">
        <f>IF('Recurring Schedule'!$C$8="","",IF('Recurring Schedule'!$F$8="","",IF(OR($A99&lt;'Recurring Schedule'!$F$8,$A99&gt;'Recurring Schedule'!$P$8),"",IF(IF('Recurring Schedule'!$N$8&gt;0,MOD($A99-'Recurring Schedule'!$F$8,'Recurring Schedule'!$N$8)=0,IF('Recurring Schedule'!$O$8&gt;0,AND(DAY($A99)=MIN(DAY('Recurring Schedule'!$F$8),DAY(EOMONTH($A99,0))),MOD((YEAR($A99)-YEAR('Recurring Schedule'!$F$8))*12+MONTH($A99)-MONTH('Recurring Schedule'!$F$8),'Recurring Schedule'!$O$8)=0),IF('Recurring Schedule'!$E$8="Weekdays",WEEKDAY($A99,2)&lt;=5,$A99='Recurring Schedule'!$F$8))),3,""))))</f>
        <v/>
      </c>
      <c r="E99">
        <f>IF('Recurring Schedule'!$C$9="","",IF('Recurring Schedule'!$F$9="","",IF(OR($A99&lt;'Recurring Schedule'!$F$9,$A99&gt;'Recurring Schedule'!$P$9),"",IF(IF('Recurring Schedule'!$N$9&gt;0,MOD($A99-'Recurring Schedule'!$F$9,'Recurring Schedule'!$N$9)=0,IF('Recurring Schedule'!$O$9&gt;0,AND(DAY($A99)=MIN(DAY('Recurring Schedule'!$F$9),DAY(EOMONTH($A99,0))),MOD((YEAR($A99)-YEAR('Recurring Schedule'!$F$9))*12+MONTH($A99)-MONTH('Recurring Schedule'!$F$9),'Recurring Schedule'!$O$9)=0),IF('Recurring Schedule'!$E$9="Weekdays",WEEKDAY($A99,2)&lt;=5,$A99='Recurring Schedule'!$F$9))),4,""))))</f>
        <v/>
      </c>
      <c r="F99">
        <f>IF('Recurring Schedule'!$C$10="","",IF('Recurring Schedule'!$F$10="","",IF(OR($A99&lt;'Recurring Schedule'!$F$10,$A99&gt;'Recurring Schedule'!$P$10),"",IF(IF('Recurring Schedule'!$N$10&gt;0,MOD($A99-'Recurring Schedule'!$F$10,'Recurring Schedule'!$N$10)=0,IF('Recurring Schedule'!$O$10&gt;0,AND(DAY($A99)=MIN(DAY('Recurring Schedule'!$F$10),DAY(EOMONTH($A99,0))),MOD((YEAR($A99)-YEAR('Recurring Schedule'!$F$10))*12+MONTH($A99)-MONTH('Recurring Schedule'!$F$10),'Recurring Schedule'!$O$10)=0),IF('Recurring Schedule'!$E$10="Weekdays",WEEKDAY($A99,2)&lt;=5,$A99='Recurring Schedule'!$F$10))),5,""))))</f>
        <v/>
      </c>
      <c r="G99">
        <f>IF('Recurring Schedule'!$C$11="","",IF('Recurring Schedule'!$F$11="","",IF(OR($A99&lt;'Recurring Schedule'!$F$11,$A99&gt;'Recurring Schedule'!$P$11),"",IF(IF('Recurring Schedule'!$N$11&gt;0,MOD($A99-'Recurring Schedule'!$F$11,'Recurring Schedule'!$N$11)=0,IF('Recurring Schedule'!$O$11&gt;0,AND(DAY($A99)=MIN(DAY('Recurring Schedule'!$F$11),DAY(EOMONTH($A99,0))),MOD((YEAR($A99)-YEAR('Recurring Schedule'!$F$11))*12+MONTH($A99)-MONTH('Recurring Schedule'!$F$11),'Recurring Schedule'!$O$11)=0),IF('Recurring Schedule'!$E$11="Weekdays",WEEKDAY($A99,2)&lt;=5,$A99='Recurring Schedule'!$F$11))),6,""))))</f>
        <v/>
      </c>
      <c r="H99">
        <f>IF('Recurring Schedule'!$C$12="","",IF('Recurring Schedule'!$F$12="","",IF(OR($A99&lt;'Recurring Schedule'!$F$12,$A99&gt;'Recurring Schedule'!$P$12),"",IF(IF('Recurring Schedule'!$N$12&gt;0,MOD($A99-'Recurring Schedule'!$F$12,'Recurring Schedule'!$N$12)=0,IF('Recurring Schedule'!$O$12&gt;0,AND(DAY($A99)=MIN(DAY('Recurring Schedule'!$F$12),DAY(EOMONTH($A99,0))),MOD((YEAR($A99)-YEAR('Recurring Schedule'!$F$12))*12+MONTH($A99)-MONTH('Recurring Schedule'!$F$12),'Recurring Schedule'!$O$12)=0),IF('Recurring Schedule'!$E$12="Weekdays",WEEKDAY($A99,2)&lt;=5,$A99='Recurring Schedule'!$F$12))),7,""))))</f>
        <v/>
      </c>
      <c r="I99">
        <f>IF('Recurring Schedule'!$C$13="","",IF('Recurring Schedule'!$F$13="","",IF(OR($A99&lt;'Recurring Schedule'!$F$13,$A99&gt;'Recurring Schedule'!$P$13),"",IF(IF('Recurring Schedule'!$N$13&gt;0,MOD($A99-'Recurring Schedule'!$F$13,'Recurring Schedule'!$N$13)=0,IF('Recurring Schedule'!$O$13&gt;0,AND(DAY($A99)=MIN(DAY('Recurring Schedule'!$F$13),DAY(EOMONTH($A99,0))),MOD((YEAR($A99)-YEAR('Recurring Schedule'!$F$13))*12+MONTH($A99)-MONTH('Recurring Schedule'!$F$13),'Recurring Schedule'!$O$13)=0),IF('Recurring Schedule'!$E$13="Weekdays",WEEKDAY($A99,2)&lt;=5,$A99='Recurring Schedule'!$F$13))),8,""))))</f>
        <v/>
      </c>
      <c r="J99">
        <f>IF('Recurring Schedule'!$C$14="","",IF('Recurring Schedule'!$F$14="","",IF(OR($A99&lt;'Recurring Schedule'!$F$14,$A99&gt;'Recurring Schedule'!$P$14),"",IF(IF('Recurring Schedule'!$N$14&gt;0,MOD($A99-'Recurring Schedule'!$F$14,'Recurring Schedule'!$N$14)=0,IF('Recurring Schedule'!$O$14&gt;0,AND(DAY($A99)=MIN(DAY('Recurring Schedule'!$F$14),DAY(EOMONTH($A99,0))),MOD((YEAR($A99)-YEAR('Recurring Schedule'!$F$14))*12+MONTH($A99)-MONTH('Recurring Schedule'!$F$14),'Recurring Schedule'!$O$14)=0),IF('Recurring Schedule'!$E$14="Weekdays",WEEKDAY($A99,2)&lt;=5,$A99='Recurring Schedule'!$F$14))),9,""))))</f>
        <v/>
      </c>
      <c r="K99">
        <f>IF('Recurring Schedule'!$C$15="","",IF('Recurring Schedule'!$F$15="","",IF(OR($A99&lt;'Recurring Schedule'!$F$15,$A99&gt;'Recurring Schedule'!$P$15),"",IF(IF('Recurring Schedule'!$N$15&gt;0,MOD($A99-'Recurring Schedule'!$F$15,'Recurring Schedule'!$N$15)=0,IF('Recurring Schedule'!$O$15&gt;0,AND(DAY($A99)=MIN(DAY('Recurring Schedule'!$F$15),DAY(EOMONTH($A99,0))),MOD((YEAR($A99)-YEAR('Recurring Schedule'!$F$15))*12+MONTH($A99)-MONTH('Recurring Schedule'!$F$15),'Recurring Schedule'!$O$15)=0),IF('Recurring Schedule'!$E$15="Weekdays",WEEKDAY($A99,2)&lt;=5,$A99='Recurring Schedule'!$F$15))),10,""))))</f>
        <v/>
      </c>
      <c r="L99">
        <f>IF('Recurring Schedule'!$C$16="","",IF('Recurring Schedule'!$F$16="","",IF(OR($A99&lt;'Recurring Schedule'!$F$16,$A99&gt;'Recurring Schedule'!$P$16),"",IF(IF('Recurring Schedule'!$N$16&gt;0,MOD($A99-'Recurring Schedule'!$F$16,'Recurring Schedule'!$N$16)=0,IF('Recurring Schedule'!$O$16&gt;0,AND(DAY($A99)=MIN(DAY('Recurring Schedule'!$F$16),DAY(EOMONTH($A99,0))),MOD((YEAR($A99)-YEAR('Recurring Schedule'!$F$16))*12+MONTH($A99)-MONTH('Recurring Schedule'!$F$16),'Recurring Schedule'!$O$16)=0),IF('Recurring Schedule'!$E$16="Weekdays",WEEKDAY($A99,2)&lt;=5,$A99='Recurring Schedule'!$F$16))),11,""))))</f>
        <v/>
      </c>
      <c r="M99">
        <f>IF('Recurring Schedule'!$C$17="","",IF('Recurring Schedule'!$F$17="","",IF(OR($A99&lt;'Recurring Schedule'!$F$17,$A99&gt;'Recurring Schedule'!$P$17),"",IF(IF('Recurring Schedule'!$N$17&gt;0,MOD($A99-'Recurring Schedule'!$F$17,'Recurring Schedule'!$N$17)=0,IF('Recurring Schedule'!$O$17&gt;0,AND(DAY($A99)=MIN(DAY('Recurring Schedule'!$F$17),DAY(EOMONTH($A99,0))),MOD((YEAR($A99)-YEAR('Recurring Schedule'!$F$17))*12+MONTH($A99)-MONTH('Recurring Schedule'!$F$17),'Recurring Schedule'!$O$17)=0),IF('Recurring Schedule'!$E$17="Weekdays",WEEKDAY($A99,2)&lt;=5,$A99='Recurring Schedule'!$F$17))),12,""))))</f>
        <v/>
      </c>
      <c r="N99">
        <f>IF('Recurring Schedule'!$C$18="","",IF('Recurring Schedule'!$F$18="","",IF(OR($A99&lt;'Recurring Schedule'!$F$18,$A99&gt;'Recurring Schedule'!$P$18),"",IF(IF('Recurring Schedule'!$N$18&gt;0,MOD($A99-'Recurring Schedule'!$F$18,'Recurring Schedule'!$N$18)=0,IF('Recurring Schedule'!$O$18&gt;0,AND(DAY($A99)=MIN(DAY('Recurring Schedule'!$F$18),DAY(EOMONTH($A99,0))),MOD((YEAR($A99)-YEAR('Recurring Schedule'!$F$18))*12+MONTH($A99)-MONTH('Recurring Schedule'!$F$18),'Recurring Schedule'!$O$18)=0),IF('Recurring Schedule'!$E$18="Weekdays",WEEKDAY($A99,2)&lt;=5,$A99='Recurring Schedule'!$F$18))),13,""))))</f>
        <v/>
      </c>
      <c r="O99">
        <f>IF('Recurring Schedule'!$C$19="","",IF('Recurring Schedule'!$F$19="","",IF(OR($A99&lt;'Recurring Schedule'!$F$19,$A99&gt;'Recurring Schedule'!$P$19),"",IF(IF('Recurring Schedule'!$N$19&gt;0,MOD($A99-'Recurring Schedule'!$F$19,'Recurring Schedule'!$N$19)=0,IF('Recurring Schedule'!$O$19&gt;0,AND(DAY($A99)=MIN(DAY('Recurring Schedule'!$F$19),DAY(EOMONTH($A99,0))),MOD((YEAR($A99)-YEAR('Recurring Schedule'!$F$19))*12+MONTH($A99)-MONTH('Recurring Schedule'!$F$19),'Recurring Schedule'!$O$19)=0),IF('Recurring Schedule'!$E$19="Weekdays",WEEKDAY($A99,2)&lt;=5,$A99='Recurring Schedule'!$F$19))),14,""))))</f>
        <v/>
      </c>
      <c r="P99">
        <f>IF('Recurring Schedule'!$C$20="","",IF('Recurring Schedule'!$F$20="","",IF(OR($A99&lt;'Recurring Schedule'!$F$20,$A99&gt;'Recurring Schedule'!$P$20),"",IF(IF('Recurring Schedule'!$N$20&gt;0,MOD($A99-'Recurring Schedule'!$F$20,'Recurring Schedule'!$N$20)=0,IF('Recurring Schedule'!$O$20&gt;0,AND(DAY($A99)=MIN(DAY('Recurring Schedule'!$F$20),DAY(EOMONTH($A99,0))),MOD((YEAR($A99)-YEAR('Recurring Schedule'!$F$20))*12+MONTH($A99)-MONTH('Recurring Schedule'!$F$20),'Recurring Schedule'!$O$20)=0),IF('Recurring Schedule'!$E$20="Weekdays",WEEKDAY($A99,2)&lt;=5,$A99='Recurring Schedule'!$F$20))),15,""))))</f>
        <v/>
      </c>
      <c r="Q99">
        <f>IF('Recurring Schedule'!$C$21="","",IF('Recurring Schedule'!$F$21="","",IF(OR($A99&lt;'Recurring Schedule'!$F$21,$A99&gt;'Recurring Schedule'!$P$21),"",IF(IF('Recurring Schedule'!$N$21&gt;0,MOD($A99-'Recurring Schedule'!$F$21,'Recurring Schedule'!$N$21)=0,IF('Recurring Schedule'!$O$21&gt;0,AND(DAY($A99)=MIN(DAY('Recurring Schedule'!$F$21),DAY(EOMONTH($A99,0))),MOD((YEAR($A99)-YEAR('Recurring Schedule'!$F$21))*12+MONTH($A99)-MONTH('Recurring Schedule'!$F$21),'Recurring Schedule'!$O$21)=0),IF('Recurring Schedule'!$E$21="Weekdays",WEEKDAY($A99,2)&lt;=5,$A99='Recurring Schedule'!$F$21))),16,""))))</f>
        <v/>
      </c>
      <c r="R99">
        <f>IF('Recurring Schedule'!$C$22="","",IF('Recurring Schedule'!$F$22="","",IF(OR($A99&lt;'Recurring Schedule'!$F$22,$A99&gt;'Recurring Schedule'!$P$22),"",IF(IF('Recurring Schedule'!$N$22&gt;0,MOD($A99-'Recurring Schedule'!$F$22,'Recurring Schedule'!$N$22)=0,IF('Recurring Schedule'!$O$22&gt;0,AND(DAY($A99)=MIN(DAY('Recurring Schedule'!$F$22),DAY(EOMONTH($A99,0))),MOD((YEAR($A99)-YEAR('Recurring Schedule'!$F$22))*12+MONTH($A99)-MONTH('Recurring Schedule'!$F$22),'Recurring Schedule'!$O$22)=0),IF('Recurring Schedule'!$E$22="Weekdays",WEEKDAY($A99,2)&lt;=5,$A99='Recurring Schedule'!$F$22))),17,""))))</f>
        <v/>
      </c>
      <c r="S99">
        <f>IF('Recurring Schedule'!$C$23="","",IF('Recurring Schedule'!$F$23="","",IF(OR($A99&lt;'Recurring Schedule'!$F$23,$A99&gt;'Recurring Schedule'!$P$23),"",IF(IF('Recurring Schedule'!$N$23&gt;0,MOD($A99-'Recurring Schedule'!$F$23,'Recurring Schedule'!$N$23)=0,IF('Recurring Schedule'!$O$23&gt;0,AND(DAY($A99)=MIN(DAY('Recurring Schedule'!$F$23),DAY(EOMONTH($A99,0))),MOD((YEAR($A99)-YEAR('Recurring Schedule'!$F$23))*12+MONTH($A99)-MONTH('Recurring Schedule'!$F$23),'Recurring Schedule'!$O$23)=0),IF('Recurring Schedule'!$E$23="Weekdays",WEEKDAY($A99,2)&lt;=5,$A99='Recurring Schedule'!$F$23))),18,""))))</f>
        <v/>
      </c>
      <c r="T99">
        <f>IF('Recurring Schedule'!$C$24="","",IF('Recurring Schedule'!$F$24="","",IF(OR($A99&lt;'Recurring Schedule'!$F$24,$A99&gt;'Recurring Schedule'!$P$24),"",IF(IF('Recurring Schedule'!$N$24&gt;0,MOD($A99-'Recurring Schedule'!$F$24,'Recurring Schedule'!$N$24)=0,IF('Recurring Schedule'!$O$24&gt;0,AND(DAY($A99)=MIN(DAY('Recurring Schedule'!$F$24),DAY(EOMONTH($A99,0))),MOD((YEAR($A99)-YEAR('Recurring Schedule'!$F$24))*12+MONTH($A99)-MONTH('Recurring Schedule'!$F$24),'Recurring Schedule'!$O$24)=0),IF('Recurring Schedule'!$E$24="Weekdays",WEEKDAY($A99,2)&lt;=5,$A99='Recurring Schedule'!$F$24))),19,""))))</f>
        <v/>
      </c>
      <c r="U99">
        <f>IF('Recurring Schedule'!$C$25="","",IF('Recurring Schedule'!$F$25="","",IF(OR($A99&lt;'Recurring Schedule'!$F$25,$A99&gt;'Recurring Schedule'!$P$25),"",IF(IF('Recurring Schedule'!$N$25&gt;0,MOD($A99-'Recurring Schedule'!$F$25,'Recurring Schedule'!$N$25)=0,IF('Recurring Schedule'!$O$25&gt;0,AND(DAY($A99)=MIN(DAY('Recurring Schedule'!$F$25),DAY(EOMONTH($A99,0))),MOD((YEAR($A99)-YEAR('Recurring Schedule'!$F$25))*12+MONTH($A99)-MONTH('Recurring Schedule'!$F$25),'Recurring Schedule'!$O$25)=0),IF('Recurring Schedule'!$E$25="Weekdays",WEEKDAY($A99,2)&lt;=5,$A99='Recurring Schedule'!$F$25))),20,""))))</f>
        <v/>
      </c>
      <c r="V99">
        <f>IF('Recurring Schedule'!$C$26="","",IF('Recurring Schedule'!$F$26="","",IF(OR($A99&lt;'Recurring Schedule'!$F$26,$A99&gt;'Recurring Schedule'!$P$26),"",IF(IF('Recurring Schedule'!$N$26&gt;0,MOD($A99-'Recurring Schedule'!$F$26,'Recurring Schedule'!$N$26)=0,IF('Recurring Schedule'!$O$26&gt;0,AND(DAY($A99)=MIN(DAY('Recurring Schedule'!$F$26),DAY(EOMONTH($A99,0))),MOD((YEAR($A99)-YEAR('Recurring Schedule'!$F$26))*12+MONTH($A99)-MONTH('Recurring Schedule'!$F$26),'Recurring Schedule'!$O$26)=0),IF('Recurring Schedule'!$E$26="Weekdays",WEEKDAY($A99,2)&lt;=5,$A99='Recurring Schedule'!$F$26))),21,""))))</f>
        <v/>
      </c>
      <c r="W99">
        <f>IF('Recurring Schedule'!$C$27="","",IF('Recurring Schedule'!$F$27="","",IF(OR($A99&lt;'Recurring Schedule'!$F$27,$A99&gt;'Recurring Schedule'!$P$27),"",IF(IF('Recurring Schedule'!$N$27&gt;0,MOD($A99-'Recurring Schedule'!$F$27,'Recurring Schedule'!$N$27)=0,IF('Recurring Schedule'!$O$27&gt;0,AND(DAY($A99)=MIN(DAY('Recurring Schedule'!$F$27),DAY(EOMONTH($A99,0))),MOD((YEAR($A99)-YEAR('Recurring Schedule'!$F$27))*12+MONTH($A99)-MONTH('Recurring Schedule'!$F$27),'Recurring Schedule'!$O$27)=0),IF('Recurring Schedule'!$E$27="Weekdays",WEEKDAY($A99,2)&lt;=5,$A99='Recurring Schedule'!$F$27))),22,""))))</f>
        <v/>
      </c>
      <c r="X99">
        <f>IF('Recurring Schedule'!$C$28="","",IF('Recurring Schedule'!$F$28="","",IF(OR($A99&lt;'Recurring Schedule'!$F$28,$A99&gt;'Recurring Schedule'!$P$28),"",IF(IF('Recurring Schedule'!$N$28&gt;0,MOD($A99-'Recurring Schedule'!$F$28,'Recurring Schedule'!$N$28)=0,IF('Recurring Schedule'!$O$28&gt;0,AND(DAY($A99)=MIN(DAY('Recurring Schedule'!$F$28),DAY(EOMONTH($A99,0))),MOD((YEAR($A99)-YEAR('Recurring Schedule'!$F$28))*12+MONTH($A99)-MONTH('Recurring Schedule'!$F$28),'Recurring Schedule'!$O$28)=0),IF('Recurring Schedule'!$E$28="Weekdays",WEEKDAY($A99,2)&lt;=5,$A99='Recurring Schedule'!$F$28))),23,""))))</f>
        <v/>
      </c>
      <c r="Y99">
        <f>IF('Recurring Schedule'!$C$29="","",IF('Recurring Schedule'!$F$29="","",IF(OR($A99&lt;'Recurring Schedule'!$F$29,$A99&gt;'Recurring Schedule'!$P$29),"",IF(IF('Recurring Schedule'!$N$29&gt;0,MOD($A99-'Recurring Schedule'!$F$29,'Recurring Schedule'!$N$29)=0,IF('Recurring Schedule'!$O$29&gt;0,AND(DAY($A99)=MIN(DAY('Recurring Schedule'!$F$29),DAY(EOMONTH($A99,0))),MOD((YEAR($A99)-YEAR('Recurring Schedule'!$F$29))*12+MONTH($A99)-MONTH('Recurring Schedule'!$F$29),'Recurring Schedule'!$O$29)=0),IF('Recurring Schedule'!$E$29="Weekdays",WEEKDAY($A99,2)&lt;=5,$A99='Recurring Schedule'!$F$29))),24,""))))</f>
        <v/>
      </c>
      <c r="Z99">
        <f>IF('Recurring Schedule'!$C$30="","",IF('Recurring Schedule'!$F$30="","",IF(OR($A99&lt;'Recurring Schedule'!$F$30,$A99&gt;'Recurring Schedule'!$P$30),"",IF(IF('Recurring Schedule'!$N$30&gt;0,MOD($A99-'Recurring Schedule'!$F$30,'Recurring Schedule'!$N$30)=0,IF('Recurring Schedule'!$O$30&gt;0,AND(DAY($A99)=MIN(DAY('Recurring Schedule'!$F$30),DAY(EOMONTH($A99,0))),MOD((YEAR($A99)-YEAR('Recurring Schedule'!$F$30))*12+MONTH($A99)-MONTH('Recurring Schedule'!$F$30),'Recurring Schedule'!$O$30)=0),IF('Recurring Schedule'!$E$30="Weekdays",WEEKDAY($A99,2)&lt;=5,$A99='Recurring Schedule'!$F$30))),25,""))))</f>
        <v/>
      </c>
      <c r="AA99">
        <f>IF('Recurring Schedule'!$C$31="","",IF('Recurring Schedule'!$F$31="","",IF(OR($A99&lt;'Recurring Schedule'!$F$31,$A99&gt;'Recurring Schedule'!$P$31),"",IF(IF('Recurring Schedule'!$N$31&gt;0,MOD($A99-'Recurring Schedule'!$F$31,'Recurring Schedule'!$N$31)=0,IF('Recurring Schedule'!$O$31&gt;0,AND(DAY($A99)=MIN(DAY('Recurring Schedule'!$F$31),DAY(EOMONTH($A99,0))),MOD((YEAR($A99)-YEAR('Recurring Schedule'!$F$31))*12+MONTH($A99)-MONTH('Recurring Schedule'!$F$31),'Recurring Schedule'!$O$31)=0),IF('Recurring Schedule'!$E$31="Weekdays",WEEKDAY($A99,2)&lt;=5,$A99='Recurring Schedule'!$F$31))),26,""))))</f>
        <v/>
      </c>
      <c r="AB99">
        <f>IF('Recurring Schedule'!$C$32="","",IF('Recurring Schedule'!$F$32="","",IF(OR($A99&lt;'Recurring Schedule'!$F$32,$A99&gt;'Recurring Schedule'!$P$32),"",IF(IF('Recurring Schedule'!$N$32&gt;0,MOD($A99-'Recurring Schedule'!$F$32,'Recurring Schedule'!$N$32)=0,IF('Recurring Schedule'!$O$32&gt;0,AND(DAY($A99)=MIN(DAY('Recurring Schedule'!$F$32),DAY(EOMONTH($A99,0))),MOD((YEAR($A99)-YEAR('Recurring Schedule'!$F$32))*12+MONTH($A99)-MONTH('Recurring Schedule'!$F$32),'Recurring Schedule'!$O$32)=0),IF('Recurring Schedule'!$E$32="Weekdays",WEEKDAY($A99,2)&lt;=5,$A99='Recurring Schedule'!$F$32))),27,""))))</f>
        <v/>
      </c>
      <c r="AC99">
        <f>IF('Recurring Schedule'!$C$33="","",IF('Recurring Schedule'!$F$33="","",IF(OR($A99&lt;'Recurring Schedule'!$F$33,$A99&gt;'Recurring Schedule'!$P$33),"",IF(IF('Recurring Schedule'!$N$33&gt;0,MOD($A99-'Recurring Schedule'!$F$33,'Recurring Schedule'!$N$33)=0,IF('Recurring Schedule'!$O$33&gt;0,AND(DAY($A99)=MIN(DAY('Recurring Schedule'!$F$33),DAY(EOMONTH($A99,0))),MOD((YEAR($A99)-YEAR('Recurring Schedule'!$F$33))*12+MONTH($A99)-MONTH('Recurring Schedule'!$F$33),'Recurring Schedule'!$O$33)=0),IF('Recurring Schedule'!$E$33="Weekdays",WEEKDAY($A99,2)&lt;=5,$A99='Recurring Schedule'!$F$33))),28,""))))</f>
        <v/>
      </c>
      <c r="AD99">
        <f>IF('Recurring Schedule'!$C$34="","",IF('Recurring Schedule'!$F$34="","",IF(OR($A99&lt;'Recurring Schedule'!$F$34,$A99&gt;'Recurring Schedule'!$P$34),"",IF(IF('Recurring Schedule'!$N$34&gt;0,MOD($A99-'Recurring Schedule'!$F$34,'Recurring Schedule'!$N$34)=0,IF('Recurring Schedule'!$O$34&gt;0,AND(DAY($A99)=MIN(DAY('Recurring Schedule'!$F$34),DAY(EOMONTH($A99,0))),MOD((YEAR($A99)-YEAR('Recurring Schedule'!$F$34))*12+MONTH($A99)-MONTH('Recurring Schedule'!$F$34),'Recurring Schedule'!$O$34)=0),IF('Recurring Schedule'!$E$34="Weekdays",WEEKDAY($A99,2)&lt;=5,$A99='Recurring Schedule'!$F$34))),29,""))))</f>
        <v/>
      </c>
      <c r="AE99">
        <f>IF('Recurring Schedule'!$C$35="","",IF('Recurring Schedule'!$F$35="","",IF(OR($A99&lt;'Recurring Schedule'!$F$35,$A99&gt;'Recurring Schedule'!$P$35),"",IF(IF('Recurring Schedule'!$N$35&gt;0,MOD($A99-'Recurring Schedule'!$F$35,'Recurring Schedule'!$N$35)=0,IF('Recurring Schedule'!$O$35&gt;0,AND(DAY($A99)=MIN(DAY('Recurring Schedule'!$F$35),DAY(EOMONTH($A99,0))),MOD((YEAR($A99)-YEAR('Recurring Schedule'!$F$35))*12+MONTH($A99)-MONTH('Recurring Schedule'!$F$35),'Recurring Schedule'!$O$35)=0),IF('Recurring Schedule'!$E$35="Weekdays",WEEKDAY($A99,2)&lt;=5,$A99='Recurring Schedule'!$F$35))),30,""))))</f>
        <v/>
      </c>
      <c r="AF99">
        <f>IF('Recurring Schedule'!$C$36="","",IF('Recurring Schedule'!$F$36="","",IF(OR($A99&lt;'Recurring Schedule'!$F$36,$A99&gt;'Recurring Schedule'!$P$36),"",IF(IF('Recurring Schedule'!$N$36&gt;0,MOD($A99-'Recurring Schedule'!$F$36,'Recurring Schedule'!$N$36)=0,IF('Recurring Schedule'!$O$36&gt;0,AND(DAY($A99)=MIN(DAY('Recurring Schedule'!$F$36),DAY(EOMONTH($A99,0))),MOD((YEAR($A99)-YEAR('Recurring Schedule'!$F$36))*12+MONTH($A99)-MONTH('Recurring Schedule'!$F$36),'Recurring Schedule'!$O$36)=0),IF('Recurring Schedule'!$E$36="Weekdays",WEEKDAY($A99,2)&lt;=5,$A99='Recurring Schedule'!$F$36))),31,""))))</f>
        <v/>
      </c>
      <c r="AG99">
        <f>IF('Recurring Schedule'!$C$37="","",IF('Recurring Schedule'!$F$37="","",IF(OR($A99&lt;'Recurring Schedule'!$F$37,$A99&gt;'Recurring Schedule'!$P$37),"",IF(IF('Recurring Schedule'!$N$37&gt;0,MOD($A99-'Recurring Schedule'!$F$37,'Recurring Schedule'!$N$37)=0,IF('Recurring Schedule'!$O$37&gt;0,AND(DAY($A99)=MIN(DAY('Recurring Schedule'!$F$37),DAY(EOMONTH($A99,0))),MOD((YEAR($A99)-YEAR('Recurring Schedule'!$F$37))*12+MONTH($A99)-MONTH('Recurring Schedule'!$F$37),'Recurring Schedule'!$O$37)=0),IF('Recurring Schedule'!$E$37="Weekdays",WEEKDAY($A99,2)&lt;=5,$A99='Recurring Schedule'!$F$37))),32,""))))</f>
        <v/>
      </c>
      <c r="AH99">
        <f>IF('Recurring Schedule'!$C$38="","",IF('Recurring Schedule'!$F$38="","",IF(OR($A99&lt;'Recurring Schedule'!$F$38,$A99&gt;'Recurring Schedule'!$P$38),"",IF(IF('Recurring Schedule'!$N$38&gt;0,MOD($A99-'Recurring Schedule'!$F$38,'Recurring Schedule'!$N$38)=0,IF('Recurring Schedule'!$O$38&gt;0,AND(DAY($A99)=MIN(DAY('Recurring Schedule'!$F$38),DAY(EOMONTH($A99,0))),MOD((YEAR($A99)-YEAR('Recurring Schedule'!$F$38))*12+MONTH($A99)-MONTH('Recurring Schedule'!$F$38),'Recurring Schedule'!$O$38)=0),IF('Recurring Schedule'!$E$38="Weekdays",WEEKDAY($A99,2)&lt;=5,$A99='Recurring Schedule'!$F$38))),33,""))))</f>
        <v/>
      </c>
      <c r="AI99">
        <f>IF('Recurring Schedule'!$C$39="","",IF('Recurring Schedule'!$F$39="","",IF(OR($A99&lt;'Recurring Schedule'!$F$39,$A99&gt;'Recurring Schedule'!$P$39),"",IF(IF('Recurring Schedule'!$N$39&gt;0,MOD($A99-'Recurring Schedule'!$F$39,'Recurring Schedule'!$N$39)=0,IF('Recurring Schedule'!$O$39&gt;0,AND(DAY($A99)=MIN(DAY('Recurring Schedule'!$F$39),DAY(EOMONTH($A99,0))),MOD((YEAR($A99)-YEAR('Recurring Schedule'!$F$39))*12+MONTH($A99)-MONTH('Recurring Schedule'!$F$39),'Recurring Schedule'!$O$39)=0),IF('Recurring Schedule'!$E$39="Weekdays",WEEKDAY($A99,2)&lt;=5,$A99='Recurring Schedule'!$F$39))),34,""))))</f>
        <v/>
      </c>
      <c r="AJ99">
        <f>IF('Recurring Schedule'!$C$40="","",IF('Recurring Schedule'!$F$40="","",IF(OR($A99&lt;'Recurring Schedule'!$F$40,$A99&gt;'Recurring Schedule'!$P$40),"",IF(IF('Recurring Schedule'!$N$40&gt;0,MOD($A99-'Recurring Schedule'!$F$40,'Recurring Schedule'!$N$40)=0,IF('Recurring Schedule'!$O$40&gt;0,AND(DAY($A99)=MIN(DAY('Recurring Schedule'!$F$40),DAY(EOMONTH($A99,0))),MOD((YEAR($A99)-YEAR('Recurring Schedule'!$F$40))*12+MONTH($A99)-MONTH('Recurring Schedule'!$F$40),'Recurring Schedule'!$O$40)=0),IF('Recurring Schedule'!$E$40="Weekdays",WEEKDAY($A99,2)&lt;=5,$A99='Recurring Schedule'!$F$40))),35,""))))</f>
        <v/>
      </c>
      <c r="AK99">
        <f>IF('Recurring Schedule'!$C$41="","",IF('Recurring Schedule'!$F$41="","",IF(OR($A99&lt;'Recurring Schedule'!$F$41,$A99&gt;'Recurring Schedule'!$P$41),"",IF(IF('Recurring Schedule'!$N$41&gt;0,MOD($A99-'Recurring Schedule'!$F$41,'Recurring Schedule'!$N$41)=0,IF('Recurring Schedule'!$O$41&gt;0,AND(DAY($A99)=MIN(DAY('Recurring Schedule'!$F$41),DAY(EOMONTH($A99,0))),MOD((YEAR($A99)-YEAR('Recurring Schedule'!$F$41))*12+MONTH($A99)-MONTH('Recurring Schedule'!$F$41),'Recurring Schedule'!$O$41)=0),IF('Recurring Schedule'!$E$41="Weekdays",WEEKDAY($A99,2)&lt;=5,$A99='Recurring Schedule'!$F$41))),36,""))))</f>
        <v/>
      </c>
      <c r="AL99">
        <f>IF('Recurring Schedule'!$C$42="","",IF('Recurring Schedule'!$F$42="","",IF(OR($A99&lt;'Recurring Schedule'!$F$42,$A99&gt;'Recurring Schedule'!$P$42),"",IF(IF('Recurring Schedule'!$N$42&gt;0,MOD($A99-'Recurring Schedule'!$F$42,'Recurring Schedule'!$N$42)=0,IF('Recurring Schedule'!$O$42&gt;0,AND(DAY($A99)=MIN(DAY('Recurring Schedule'!$F$42),DAY(EOMONTH($A99,0))),MOD((YEAR($A99)-YEAR('Recurring Schedule'!$F$42))*12+MONTH($A99)-MONTH('Recurring Schedule'!$F$42),'Recurring Schedule'!$O$42)=0),IF('Recurring Schedule'!$E$42="Weekdays",WEEKDAY($A99,2)&lt;=5,$A99='Recurring Schedule'!$F$42))),37,""))))</f>
        <v/>
      </c>
      <c r="AM99">
        <f>IF('Recurring Schedule'!$C$43="","",IF('Recurring Schedule'!$F$43="","",IF(OR($A99&lt;'Recurring Schedule'!$F$43,$A99&gt;'Recurring Schedule'!$P$43),"",IF(IF('Recurring Schedule'!$N$43&gt;0,MOD($A99-'Recurring Schedule'!$F$43,'Recurring Schedule'!$N$43)=0,IF('Recurring Schedule'!$O$43&gt;0,AND(DAY($A99)=MIN(DAY('Recurring Schedule'!$F$43),DAY(EOMONTH($A99,0))),MOD((YEAR($A99)-YEAR('Recurring Schedule'!$F$43))*12+MONTH($A99)-MONTH('Recurring Schedule'!$F$43),'Recurring Schedule'!$O$43)=0),IF('Recurring Schedule'!$E$43="Weekdays",WEEKDAY($A99,2)&lt;=5,$A99='Recurring Schedule'!$F$43))),38,""))))</f>
        <v/>
      </c>
      <c r="AN99">
        <f>IF('Recurring Schedule'!$C$44="","",IF('Recurring Schedule'!$F$44="","",IF(OR($A99&lt;'Recurring Schedule'!$F$44,$A99&gt;'Recurring Schedule'!$P$44),"",IF(IF('Recurring Schedule'!$N$44&gt;0,MOD($A99-'Recurring Schedule'!$F$44,'Recurring Schedule'!$N$44)=0,IF('Recurring Schedule'!$O$44&gt;0,AND(DAY($A99)=MIN(DAY('Recurring Schedule'!$F$44),DAY(EOMONTH($A99,0))),MOD((YEAR($A99)-YEAR('Recurring Schedule'!$F$44))*12+MONTH($A99)-MONTH('Recurring Schedule'!$F$44),'Recurring Schedule'!$O$44)=0),IF('Recurring Schedule'!$E$44="Weekdays",WEEKDAY($A99,2)&lt;=5,$A99='Recurring Schedule'!$F$44))),39,""))))</f>
        <v/>
      </c>
      <c r="AO99">
        <f>IF('Recurring Schedule'!$C$45="","",IF('Recurring Schedule'!$F$45="","",IF(OR($A99&lt;'Recurring Schedule'!$F$45,$A99&gt;'Recurring Schedule'!$P$45),"",IF(IF('Recurring Schedule'!$N$45&gt;0,MOD($A99-'Recurring Schedule'!$F$45,'Recurring Schedule'!$N$45)=0,IF('Recurring Schedule'!$O$45&gt;0,AND(DAY($A99)=MIN(DAY('Recurring Schedule'!$F$45),DAY(EOMONTH($A99,0))),MOD((YEAR($A99)-YEAR('Recurring Schedule'!$F$45))*12+MONTH($A99)-MONTH('Recurring Schedule'!$F$45),'Recurring Schedule'!$O$45)=0),IF('Recurring Schedule'!$E$45="Weekdays",WEEKDAY($A99,2)&lt;=5,$A99='Recurring Schedule'!$F$45))),40,""))))</f>
        <v/>
      </c>
      <c r="AP99">
        <f>COUNT(B99:AO99)</f>
        <v/>
      </c>
      <c r="AQ99">
        <f>AQ98+AP98</f>
        <v/>
      </c>
      <c r="AS99" t="inlineStr">
        <is>
          <t>R</t>
        </is>
      </c>
      <c r="AT99" t="n">
        <v>103</v>
      </c>
      <c r="AU99">
        <f>'Recurring Log'!C103&amp;""</f>
        <v/>
      </c>
      <c r="AV99">
        <f>'Recurring Log'!D103&amp;""</f>
        <v/>
      </c>
      <c r="AW99">
        <f>IF('Recurring Log'!E103="","",'Recurring Log'!E103)</f>
        <v/>
      </c>
      <c r="AX99">
        <f>IF('Recurring Log'!G103="","",'Recurring Log'!G103)</f>
        <v/>
      </c>
      <c r="AY99">
        <f>IF('Recurring Log'!H103="","",'Recurring Log'!H103)</f>
        <v/>
      </c>
      <c r="AZ99">
        <f>IF(AU99="","",IF('Recurring Log'!J103="","Not Started",'Recurring Log'!J103))</f>
        <v/>
      </c>
      <c r="BA99">
        <f>'Recurring Log'!L103&amp;""</f>
        <v/>
      </c>
      <c r="BB99">
        <f>'Recurring Log'!M103&amp;""</f>
        <v/>
      </c>
      <c r="BC99">
        <f>'Recurring Log'!N103&amp;""</f>
        <v/>
      </c>
      <c r="BD99">
        <f>'Recurring Log'!O103&amp;""</f>
        <v/>
      </c>
      <c r="BE99">
        <f>IF('Recurring Log'!K103="","",'Recurring Log'!K103)</f>
        <v/>
      </c>
      <c r="BF99">
        <f>IFERROR(MATCH(BA99,Setup!$L$6:$L$9,0),5)</f>
        <v/>
      </c>
      <c r="BG99">
        <f>IF(OR(AZ99="Done",AZ99="Cancelled"),1,0)</f>
        <v/>
      </c>
      <c r="BH99">
        <f>IF(AND(AU99&lt;&gt;"",ISNUMBER(AW99)),1,0)</f>
        <v/>
      </c>
      <c r="BI99">
        <f>IF(BH99=0,0,IF(AND(AW99&gt;='Tasks Filter'!$F$3,AW99&lt;='Tasks Filter'!$F$4,OR('Tasks Filter'!$I$3="",ISNUMBER(SEARCH('Tasks Filter'!$I$3,AU99))),OR('Tasks Filter'!$I$4="",BF99=IFERROR(MATCH('Tasks Filter'!$I$4,Setup!$L$6:$L$9,0),0)),OR('Tasks Filter'!$I$5="Both",AND('Tasks Filter'!$I$5="Yes",BB99="✓"),AND('Tasks Filter'!$I$5="No",BB99&lt;&gt;"✓")),OR('Tasks Filter'!$L$3="",AV99='Tasks Filter'!$L$3),OR('Tasks Filter'!$L$4="",AZ99='Tasks Filter'!$L$4),OR('Tasks Filter'!$L$5="",BC99='Tasks Filter'!$L$5),OR('Tasks Filter'!$O$3="",BD99='Tasks Filter'!$O$3),OR('Tasks Filter'!$O$4="Yes",BG99=0)),1,0))</f>
        <v/>
      </c>
      <c r="BJ99">
        <f>IF(BH99=0,"",IF('Tasks Filter'!$F$6="Descending",-1,1)*CHOOSE(MATCH('Tasks Filter'!$F$5,Lists!$G$2:$G$6,0),AW99,BF99,IFERROR(MATCH(AV99,Setup!$F$6:$F$15,0),99),IFERROR(MATCH(BC99,Setup!$H$6:$H$15,0),99),IFERROR(MATCH(AZ99,Setup!$J$6:$J$11,0),99))*1E+9+(AW99-40000)*10000+98)</f>
        <v/>
      </c>
      <c r="BK99">
        <f>IF(BI99=1,BJ99,"")</f>
        <v/>
      </c>
      <c r="BL99">
        <f>IF(AND(BH99=1,BG99=0,N(AW99)&lt;Setup!$D$7),(AW99-40000)*10000+98,"")</f>
        <v/>
      </c>
      <c r="BM99">
        <f>IF(AND(BH99=1,AZ99&lt;&gt;"Cancelled",N(AW99)&gt;=Dashboard!$AB$3,N(AW99)&lt;=Dashboard!$AB$3+6),(AW99-40000)*100000+BF99*10000+98,"")</f>
        <v/>
      </c>
      <c r="BN99">
        <f>IF(AND(BH99=1,AZ99&lt;&gt;"Cancelled"),BF99*10000+98,"")</f>
        <v/>
      </c>
    </row>
    <row r="100">
      <c r="A100">
        <f>Setup!$D$5+98</f>
        <v/>
      </c>
      <c r="B100">
        <f>IF('Recurring Schedule'!$C$6="","",IF('Recurring Schedule'!$F$6="","",IF(OR($A100&lt;'Recurring Schedule'!$F$6,$A100&gt;'Recurring Schedule'!$P$6),"",IF(IF('Recurring Schedule'!$N$6&gt;0,MOD($A100-'Recurring Schedule'!$F$6,'Recurring Schedule'!$N$6)=0,IF('Recurring Schedule'!$O$6&gt;0,AND(DAY($A100)=MIN(DAY('Recurring Schedule'!$F$6),DAY(EOMONTH($A100,0))),MOD((YEAR($A100)-YEAR('Recurring Schedule'!$F$6))*12+MONTH($A100)-MONTH('Recurring Schedule'!$F$6),'Recurring Schedule'!$O$6)=0),IF('Recurring Schedule'!$E$6="Weekdays",WEEKDAY($A100,2)&lt;=5,$A100='Recurring Schedule'!$F$6))),1,""))))</f>
        <v/>
      </c>
      <c r="C100">
        <f>IF('Recurring Schedule'!$C$7="","",IF('Recurring Schedule'!$F$7="","",IF(OR($A100&lt;'Recurring Schedule'!$F$7,$A100&gt;'Recurring Schedule'!$P$7),"",IF(IF('Recurring Schedule'!$N$7&gt;0,MOD($A100-'Recurring Schedule'!$F$7,'Recurring Schedule'!$N$7)=0,IF('Recurring Schedule'!$O$7&gt;0,AND(DAY($A100)=MIN(DAY('Recurring Schedule'!$F$7),DAY(EOMONTH($A100,0))),MOD((YEAR($A100)-YEAR('Recurring Schedule'!$F$7))*12+MONTH($A100)-MONTH('Recurring Schedule'!$F$7),'Recurring Schedule'!$O$7)=0),IF('Recurring Schedule'!$E$7="Weekdays",WEEKDAY($A100,2)&lt;=5,$A100='Recurring Schedule'!$F$7))),2,""))))</f>
        <v/>
      </c>
      <c r="D100">
        <f>IF('Recurring Schedule'!$C$8="","",IF('Recurring Schedule'!$F$8="","",IF(OR($A100&lt;'Recurring Schedule'!$F$8,$A100&gt;'Recurring Schedule'!$P$8),"",IF(IF('Recurring Schedule'!$N$8&gt;0,MOD($A100-'Recurring Schedule'!$F$8,'Recurring Schedule'!$N$8)=0,IF('Recurring Schedule'!$O$8&gt;0,AND(DAY($A100)=MIN(DAY('Recurring Schedule'!$F$8),DAY(EOMONTH($A100,0))),MOD((YEAR($A100)-YEAR('Recurring Schedule'!$F$8))*12+MONTH($A100)-MONTH('Recurring Schedule'!$F$8),'Recurring Schedule'!$O$8)=0),IF('Recurring Schedule'!$E$8="Weekdays",WEEKDAY($A100,2)&lt;=5,$A100='Recurring Schedule'!$F$8))),3,""))))</f>
        <v/>
      </c>
      <c r="E100">
        <f>IF('Recurring Schedule'!$C$9="","",IF('Recurring Schedule'!$F$9="","",IF(OR($A100&lt;'Recurring Schedule'!$F$9,$A100&gt;'Recurring Schedule'!$P$9),"",IF(IF('Recurring Schedule'!$N$9&gt;0,MOD($A100-'Recurring Schedule'!$F$9,'Recurring Schedule'!$N$9)=0,IF('Recurring Schedule'!$O$9&gt;0,AND(DAY($A100)=MIN(DAY('Recurring Schedule'!$F$9),DAY(EOMONTH($A100,0))),MOD((YEAR($A100)-YEAR('Recurring Schedule'!$F$9))*12+MONTH($A100)-MONTH('Recurring Schedule'!$F$9),'Recurring Schedule'!$O$9)=0),IF('Recurring Schedule'!$E$9="Weekdays",WEEKDAY($A100,2)&lt;=5,$A100='Recurring Schedule'!$F$9))),4,""))))</f>
        <v/>
      </c>
      <c r="F100">
        <f>IF('Recurring Schedule'!$C$10="","",IF('Recurring Schedule'!$F$10="","",IF(OR($A100&lt;'Recurring Schedule'!$F$10,$A100&gt;'Recurring Schedule'!$P$10),"",IF(IF('Recurring Schedule'!$N$10&gt;0,MOD($A100-'Recurring Schedule'!$F$10,'Recurring Schedule'!$N$10)=0,IF('Recurring Schedule'!$O$10&gt;0,AND(DAY($A100)=MIN(DAY('Recurring Schedule'!$F$10),DAY(EOMONTH($A100,0))),MOD((YEAR($A100)-YEAR('Recurring Schedule'!$F$10))*12+MONTH($A100)-MONTH('Recurring Schedule'!$F$10),'Recurring Schedule'!$O$10)=0),IF('Recurring Schedule'!$E$10="Weekdays",WEEKDAY($A100,2)&lt;=5,$A100='Recurring Schedule'!$F$10))),5,""))))</f>
        <v/>
      </c>
      <c r="G100">
        <f>IF('Recurring Schedule'!$C$11="","",IF('Recurring Schedule'!$F$11="","",IF(OR($A100&lt;'Recurring Schedule'!$F$11,$A100&gt;'Recurring Schedule'!$P$11),"",IF(IF('Recurring Schedule'!$N$11&gt;0,MOD($A100-'Recurring Schedule'!$F$11,'Recurring Schedule'!$N$11)=0,IF('Recurring Schedule'!$O$11&gt;0,AND(DAY($A100)=MIN(DAY('Recurring Schedule'!$F$11),DAY(EOMONTH($A100,0))),MOD((YEAR($A100)-YEAR('Recurring Schedule'!$F$11))*12+MONTH($A100)-MONTH('Recurring Schedule'!$F$11),'Recurring Schedule'!$O$11)=0),IF('Recurring Schedule'!$E$11="Weekdays",WEEKDAY($A100,2)&lt;=5,$A100='Recurring Schedule'!$F$11))),6,""))))</f>
        <v/>
      </c>
      <c r="H100">
        <f>IF('Recurring Schedule'!$C$12="","",IF('Recurring Schedule'!$F$12="","",IF(OR($A100&lt;'Recurring Schedule'!$F$12,$A100&gt;'Recurring Schedule'!$P$12),"",IF(IF('Recurring Schedule'!$N$12&gt;0,MOD($A100-'Recurring Schedule'!$F$12,'Recurring Schedule'!$N$12)=0,IF('Recurring Schedule'!$O$12&gt;0,AND(DAY($A100)=MIN(DAY('Recurring Schedule'!$F$12),DAY(EOMONTH($A100,0))),MOD((YEAR($A100)-YEAR('Recurring Schedule'!$F$12))*12+MONTH($A100)-MONTH('Recurring Schedule'!$F$12),'Recurring Schedule'!$O$12)=0),IF('Recurring Schedule'!$E$12="Weekdays",WEEKDAY($A100,2)&lt;=5,$A100='Recurring Schedule'!$F$12))),7,""))))</f>
        <v/>
      </c>
      <c r="I100">
        <f>IF('Recurring Schedule'!$C$13="","",IF('Recurring Schedule'!$F$13="","",IF(OR($A100&lt;'Recurring Schedule'!$F$13,$A100&gt;'Recurring Schedule'!$P$13),"",IF(IF('Recurring Schedule'!$N$13&gt;0,MOD($A100-'Recurring Schedule'!$F$13,'Recurring Schedule'!$N$13)=0,IF('Recurring Schedule'!$O$13&gt;0,AND(DAY($A100)=MIN(DAY('Recurring Schedule'!$F$13),DAY(EOMONTH($A100,0))),MOD((YEAR($A100)-YEAR('Recurring Schedule'!$F$13))*12+MONTH($A100)-MONTH('Recurring Schedule'!$F$13),'Recurring Schedule'!$O$13)=0),IF('Recurring Schedule'!$E$13="Weekdays",WEEKDAY($A100,2)&lt;=5,$A100='Recurring Schedule'!$F$13))),8,""))))</f>
        <v/>
      </c>
      <c r="J100">
        <f>IF('Recurring Schedule'!$C$14="","",IF('Recurring Schedule'!$F$14="","",IF(OR($A100&lt;'Recurring Schedule'!$F$14,$A100&gt;'Recurring Schedule'!$P$14),"",IF(IF('Recurring Schedule'!$N$14&gt;0,MOD($A100-'Recurring Schedule'!$F$14,'Recurring Schedule'!$N$14)=0,IF('Recurring Schedule'!$O$14&gt;0,AND(DAY($A100)=MIN(DAY('Recurring Schedule'!$F$14),DAY(EOMONTH($A100,0))),MOD((YEAR($A100)-YEAR('Recurring Schedule'!$F$14))*12+MONTH($A100)-MONTH('Recurring Schedule'!$F$14),'Recurring Schedule'!$O$14)=0),IF('Recurring Schedule'!$E$14="Weekdays",WEEKDAY($A100,2)&lt;=5,$A100='Recurring Schedule'!$F$14))),9,""))))</f>
        <v/>
      </c>
      <c r="K100">
        <f>IF('Recurring Schedule'!$C$15="","",IF('Recurring Schedule'!$F$15="","",IF(OR($A100&lt;'Recurring Schedule'!$F$15,$A100&gt;'Recurring Schedule'!$P$15),"",IF(IF('Recurring Schedule'!$N$15&gt;0,MOD($A100-'Recurring Schedule'!$F$15,'Recurring Schedule'!$N$15)=0,IF('Recurring Schedule'!$O$15&gt;0,AND(DAY($A100)=MIN(DAY('Recurring Schedule'!$F$15),DAY(EOMONTH($A100,0))),MOD((YEAR($A100)-YEAR('Recurring Schedule'!$F$15))*12+MONTH($A100)-MONTH('Recurring Schedule'!$F$15),'Recurring Schedule'!$O$15)=0),IF('Recurring Schedule'!$E$15="Weekdays",WEEKDAY($A100,2)&lt;=5,$A100='Recurring Schedule'!$F$15))),10,""))))</f>
        <v/>
      </c>
      <c r="L100">
        <f>IF('Recurring Schedule'!$C$16="","",IF('Recurring Schedule'!$F$16="","",IF(OR($A100&lt;'Recurring Schedule'!$F$16,$A100&gt;'Recurring Schedule'!$P$16),"",IF(IF('Recurring Schedule'!$N$16&gt;0,MOD($A100-'Recurring Schedule'!$F$16,'Recurring Schedule'!$N$16)=0,IF('Recurring Schedule'!$O$16&gt;0,AND(DAY($A100)=MIN(DAY('Recurring Schedule'!$F$16),DAY(EOMONTH($A100,0))),MOD((YEAR($A100)-YEAR('Recurring Schedule'!$F$16))*12+MONTH($A100)-MONTH('Recurring Schedule'!$F$16),'Recurring Schedule'!$O$16)=0),IF('Recurring Schedule'!$E$16="Weekdays",WEEKDAY($A100,2)&lt;=5,$A100='Recurring Schedule'!$F$16))),11,""))))</f>
        <v/>
      </c>
      <c r="M100">
        <f>IF('Recurring Schedule'!$C$17="","",IF('Recurring Schedule'!$F$17="","",IF(OR($A100&lt;'Recurring Schedule'!$F$17,$A100&gt;'Recurring Schedule'!$P$17),"",IF(IF('Recurring Schedule'!$N$17&gt;0,MOD($A100-'Recurring Schedule'!$F$17,'Recurring Schedule'!$N$17)=0,IF('Recurring Schedule'!$O$17&gt;0,AND(DAY($A100)=MIN(DAY('Recurring Schedule'!$F$17),DAY(EOMONTH($A100,0))),MOD((YEAR($A100)-YEAR('Recurring Schedule'!$F$17))*12+MONTH($A100)-MONTH('Recurring Schedule'!$F$17),'Recurring Schedule'!$O$17)=0),IF('Recurring Schedule'!$E$17="Weekdays",WEEKDAY($A100,2)&lt;=5,$A100='Recurring Schedule'!$F$17))),12,""))))</f>
        <v/>
      </c>
      <c r="N100">
        <f>IF('Recurring Schedule'!$C$18="","",IF('Recurring Schedule'!$F$18="","",IF(OR($A100&lt;'Recurring Schedule'!$F$18,$A100&gt;'Recurring Schedule'!$P$18),"",IF(IF('Recurring Schedule'!$N$18&gt;0,MOD($A100-'Recurring Schedule'!$F$18,'Recurring Schedule'!$N$18)=0,IF('Recurring Schedule'!$O$18&gt;0,AND(DAY($A100)=MIN(DAY('Recurring Schedule'!$F$18),DAY(EOMONTH($A100,0))),MOD((YEAR($A100)-YEAR('Recurring Schedule'!$F$18))*12+MONTH($A100)-MONTH('Recurring Schedule'!$F$18),'Recurring Schedule'!$O$18)=0),IF('Recurring Schedule'!$E$18="Weekdays",WEEKDAY($A100,2)&lt;=5,$A100='Recurring Schedule'!$F$18))),13,""))))</f>
        <v/>
      </c>
      <c r="O100">
        <f>IF('Recurring Schedule'!$C$19="","",IF('Recurring Schedule'!$F$19="","",IF(OR($A100&lt;'Recurring Schedule'!$F$19,$A100&gt;'Recurring Schedule'!$P$19),"",IF(IF('Recurring Schedule'!$N$19&gt;0,MOD($A100-'Recurring Schedule'!$F$19,'Recurring Schedule'!$N$19)=0,IF('Recurring Schedule'!$O$19&gt;0,AND(DAY($A100)=MIN(DAY('Recurring Schedule'!$F$19),DAY(EOMONTH($A100,0))),MOD((YEAR($A100)-YEAR('Recurring Schedule'!$F$19))*12+MONTH($A100)-MONTH('Recurring Schedule'!$F$19),'Recurring Schedule'!$O$19)=0),IF('Recurring Schedule'!$E$19="Weekdays",WEEKDAY($A100,2)&lt;=5,$A100='Recurring Schedule'!$F$19))),14,""))))</f>
        <v/>
      </c>
      <c r="P100">
        <f>IF('Recurring Schedule'!$C$20="","",IF('Recurring Schedule'!$F$20="","",IF(OR($A100&lt;'Recurring Schedule'!$F$20,$A100&gt;'Recurring Schedule'!$P$20),"",IF(IF('Recurring Schedule'!$N$20&gt;0,MOD($A100-'Recurring Schedule'!$F$20,'Recurring Schedule'!$N$20)=0,IF('Recurring Schedule'!$O$20&gt;0,AND(DAY($A100)=MIN(DAY('Recurring Schedule'!$F$20),DAY(EOMONTH($A100,0))),MOD((YEAR($A100)-YEAR('Recurring Schedule'!$F$20))*12+MONTH($A100)-MONTH('Recurring Schedule'!$F$20),'Recurring Schedule'!$O$20)=0),IF('Recurring Schedule'!$E$20="Weekdays",WEEKDAY($A100,2)&lt;=5,$A100='Recurring Schedule'!$F$20))),15,""))))</f>
        <v/>
      </c>
      <c r="Q100">
        <f>IF('Recurring Schedule'!$C$21="","",IF('Recurring Schedule'!$F$21="","",IF(OR($A100&lt;'Recurring Schedule'!$F$21,$A100&gt;'Recurring Schedule'!$P$21),"",IF(IF('Recurring Schedule'!$N$21&gt;0,MOD($A100-'Recurring Schedule'!$F$21,'Recurring Schedule'!$N$21)=0,IF('Recurring Schedule'!$O$21&gt;0,AND(DAY($A100)=MIN(DAY('Recurring Schedule'!$F$21),DAY(EOMONTH($A100,0))),MOD((YEAR($A100)-YEAR('Recurring Schedule'!$F$21))*12+MONTH($A100)-MONTH('Recurring Schedule'!$F$21),'Recurring Schedule'!$O$21)=0),IF('Recurring Schedule'!$E$21="Weekdays",WEEKDAY($A100,2)&lt;=5,$A100='Recurring Schedule'!$F$21))),16,""))))</f>
        <v/>
      </c>
      <c r="R100">
        <f>IF('Recurring Schedule'!$C$22="","",IF('Recurring Schedule'!$F$22="","",IF(OR($A100&lt;'Recurring Schedule'!$F$22,$A100&gt;'Recurring Schedule'!$P$22),"",IF(IF('Recurring Schedule'!$N$22&gt;0,MOD($A100-'Recurring Schedule'!$F$22,'Recurring Schedule'!$N$22)=0,IF('Recurring Schedule'!$O$22&gt;0,AND(DAY($A100)=MIN(DAY('Recurring Schedule'!$F$22),DAY(EOMONTH($A100,0))),MOD((YEAR($A100)-YEAR('Recurring Schedule'!$F$22))*12+MONTH($A100)-MONTH('Recurring Schedule'!$F$22),'Recurring Schedule'!$O$22)=0),IF('Recurring Schedule'!$E$22="Weekdays",WEEKDAY($A100,2)&lt;=5,$A100='Recurring Schedule'!$F$22))),17,""))))</f>
        <v/>
      </c>
      <c r="S100">
        <f>IF('Recurring Schedule'!$C$23="","",IF('Recurring Schedule'!$F$23="","",IF(OR($A100&lt;'Recurring Schedule'!$F$23,$A100&gt;'Recurring Schedule'!$P$23),"",IF(IF('Recurring Schedule'!$N$23&gt;0,MOD($A100-'Recurring Schedule'!$F$23,'Recurring Schedule'!$N$23)=0,IF('Recurring Schedule'!$O$23&gt;0,AND(DAY($A100)=MIN(DAY('Recurring Schedule'!$F$23),DAY(EOMONTH($A100,0))),MOD((YEAR($A100)-YEAR('Recurring Schedule'!$F$23))*12+MONTH($A100)-MONTH('Recurring Schedule'!$F$23),'Recurring Schedule'!$O$23)=0),IF('Recurring Schedule'!$E$23="Weekdays",WEEKDAY($A100,2)&lt;=5,$A100='Recurring Schedule'!$F$23))),18,""))))</f>
        <v/>
      </c>
      <c r="T100">
        <f>IF('Recurring Schedule'!$C$24="","",IF('Recurring Schedule'!$F$24="","",IF(OR($A100&lt;'Recurring Schedule'!$F$24,$A100&gt;'Recurring Schedule'!$P$24),"",IF(IF('Recurring Schedule'!$N$24&gt;0,MOD($A100-'Recurring Schedule'!$F$24,'Recurring Schedule'!$N$24)=0,IF('Recurring Schedule'!$O$24&gt;0,AND(DAY($A100)=MIN(DAY('Recurring Schedule'!$F$24),DAY(EOMONTH($A100,0))),MOD((YEAR($A100)-YEAR('Recurring Schedule'!$F$24))*12+MONTH($A100)-MONTH('Recurring Schedule'!$F$24),'Recurring Schedule'!$O$24)=0),IF('Recurring Schedule'!$E$24="Weekdays",WEEKDAY($A100,2)&lt;=5,$A100='Recurring Schedule'!$F$24))),19,""))))</f>
        <v/>
      </c>
      <c r="U100">
        <f>IF('Recurring Schedule'!$C$25="","",IF('Recurring Schedule'!$F$25="","",IF(OR($A100&lt;'Recurring Schedule'!$F$25,$A100&gt;'Recurring Schedule'!$P$25),"",IF(IF('Recurring Schedule'!$N$25&gt;0,MOD($A100-'Recurring Schedule'!$F$25,'Recurring Schedule'!$N$25)=0,IF('Recurring Schedule'!$O$25&gt;0,AND(DAY($A100)=MIN(DAY('Recurring Schedule'!$F$25),DAY(EOMONTH($A100,0))),MOD((YEAR($A100)-YEAR('Recurring Schedule'!$F$25))*12+MONTH($A100)-MONTH('Recurring Schedule'!$F$25),'Recurring Schedule'!$O$25)=0),IF('Recurring Schedule'!$E$25="Weekdays",WEEKDAY($A100,2)&lt;=5,$A100='Recurring Schedule'!$F$25))),20,""))))</f>
        <v/>
      </c>
      <c r="V100">
        <f>IF('Recurring Schedule'!$C$26="","",IF('Recurring Schedule'!$F$26="","",IF(OR($A100&lt;'Recurring Schedule'!$F$26,$A100&gt;'Recurring Schedule'!$P$26),"",IF(IF('Recurring Schedule'!$N$26&gt;0,MOD($A100-'Recurring Schedule'!$F$26,'Recurring Schedule'!$N$26)=0,IF('Recurring Schedule'!$O$26&gt;0,AND(DAY($A100)=MIN(DAY('Recurring Schedule'!$F$26),DAY(EOMONTH($A100,0))),MOD((YEAR($A100)-YEAR('Recurring Schedule'!$F$26))*12+MONTH($A100)-MONTH('Recurring Schedule'!$F$26),'Recurring Schedule'!$O$26)=0),IF('Recurring Schedule'!$E$26="Weekdays",WEEKDAY($A100,2)&lt;=5,$A100='Recurring Schedule'!$F$26))),21,""))))</f>
        <v/>
      </c>
      <c r="W100">
        <f>IF('Recurring Schedule'!$C$27="","",IF('Recurring Schedule'!$F$27="","",IF(OR($A100&lt;'Recurring Schedule'!$F$27,$A100&gt;'Recurring Schedule'!$P$27),"",IF(IF('Recurring Schedule'!$N$27&gt;0,MOD($A100-'Recurring Schedule'!$F$27,'Recurring Schedule'!$N$27)=0,IF('Recurring Schedule'!$O$27&gt;0,AND(DAY($A100)=MIN(DAY('Recurring Schedule'!$F$27),DAY(EOMONTH($A100,0))),MOD((YEAR($A100)-YEAR('Recurring Schedule'!$F$27))*12+MONTH($A100)-MONTH('Recurring Schedule'!$F$27),'Recurring Schedule'!$O$27)=0),IF('Recurring Schedule'!$E$27="Weekdays",WEEKDAY($A100,2)&lt;=5,$A100='Recurring Schedule'!$F$27))),22,""))))</f>
        <v/>
      </c>
      <c r="X100">
        <f>IF('Recurring Schedule'!$C$28="","",IF('Recurring Schedule'!$F$28="","",IF(OR($A100&lt;'Recurring Schedule'!$F$28,$A100&gt;'Recurring Schedule'!$P$28),"",IF(IF('Recurring Schedule'!$N$28&gt;0,MOD($A100-'Recurring Schedule'!$F$28,'Recurring Schedule'!$N$28)=0,IF('Recurring Schedule'!$O$28&gt;0,AND(DAY($A100)=MIN(DAY('Recurring Schedule'!$F$28),DAY(EOMONTH($A100,0))),MOD((YEAR($A100)-YEAR('Recurring Schedule'!$F$28))*12+MONTH($A100)-MONTH('Recurring Schedule'!$F$28),'Recurring Schedule'!$O$28)=0),IF('Recurring Schedule'!$E$28="Weekdays",WEEKDAY($A100,2)&lt;=5,$A100='Recurring Schedule'!$F$28))),23,""))))</f>
        <v/>
      </c>
      <c r="Y100">
        <f>IF('Recurring Schedule'!$C$29="","",IF('Recurring Schedule'!$F$29="","",IF(OR($A100&lt;'Recurring Schedule'!$F$29,$A100&gt;'Recurring Schedule'!$P$29),"",IF(IF('Recurring Schedule'!$N$29&gt;0,MOD($A100-'Recurring Schedule'!$F$29,'Recurring Schedule'!$N$29)=0,IF('Recurring Schedule'!$O$29&gt;0,AND(DAY($A100)=MIN(DAY('Recurring Schedule'!$F$29),DAY(EOMONTH($A100,0))),MOD((YEAR($A100)-YEAR('Recurring Schedule'!$F$29))*12+MONTH($A100)-MONTH('Recurring Schedule'!$F$29),'Recurring Schedule'!$O$29)=0),IF('Recurring Schedule'!$E$29="Weekdays",WEEKDAY($A100,2)&lt;=5,$A100='Recurring Schedule'!$F$29))),24,""))))</f>
        <v/>
      </c>
      <c r="Z100">
        <f>IF('Recurring Schedule'!$C$30="","",IF('Recurring Schedule'!$F$30="","",IF(OR($A100&lt;'Recurring Schedule'!$F$30,$A100&gt;'Recurring Schedule'!$P$30),"",IF(IF('Recurring Schedule'!$N$30&gt;0,MOD($A100-'Recurring Schedule'!$F$30,'Recurring Schedule'!$N$30)=0,IF('Recurring Schedule'!$O$30&gt;0,AND(DAY($A100)=MIN(DAY('Recurring Schedule'!$F$30),DAY(EOMONTH($A100,0))),MOD((YEAR($A100)-YEAR('Recurring Schedule'!$F$30))*12+MONTH($A100)-MONTH('Recurring Schedule'!$F$30),'Recurring Schedule'!$O$30)=0),IF('Recurring Schedule'!$E$30="Weekdays",WEEKDAY($A100,2)&lt;=5,$A100='Recurring Schedule'!$F$30))),25,""))))</f>
        <v/>
      </c>
      <c r="AA100">
        <f>IF('Recurring Schedule'!$C$31="","",IF('Recurring Schedule'!$F$31="","",IF(OR($A100&lt;'Recurring Schedule'!$F$31,$A100&gt;'Recurring Schedule'!$P$31),"",IF(IF('Recurring Schedule'!$N$31&gt;0,MOD($A100-'Recurring Schedule'!$F$31,'Recurring Schedule'!$N$31)=0,IF('Recurring Schedule'!$O$31&gt;0,AND(DAY($A100)=MIN(DAY('Recurring Schedule'!$F$31),DAY(EOMONTH($A100,0))),MOD((YEAR($A100)-YEAR('Recurring Schedule'!$F$31))*12+MONTH($A100)-MONTH('Recurring Schedule'!$F$31),'Recurring Schedule'!$O$31)=0),IF('Recurring Schedule'!$E$31="Weekdays",WEEKDAY($A100,2)&lt;=5,$A100='Recurring Schedule'!$F$31))),26,""))))</f>
        <v/>
      </c>
      <c r="AB100">
        <f>IF('Recurring Schedule'!$C$32="","",IF('Recurring Schedule'!$F$32="","",IF(OR($A100&lt;'Recurring Schedule'!$F$32,$A100&gt;'Recurring Schedule'!$P$32),"",IF(IF('Recurring Schedule'!$N$32&gt;0,MOD($A100-'Recurring Schedule'!$F$32,'Recurring Schedule'!$N$32)=0,IF('Recurring Schedule'!$O$32&gt;0,AND(DAY($A100)=MIN(DAY('Recurring Schedule'!$F$32),DAY(EOMONTH($A100,0))),MOD((YEAR($A100)-YEAR('Recurring Schedule'!$F$32))*12+MONTH($A100)-MONTH('Recurring Schedule'!$F$32),'Recurring Schedule'!$O$32)=0),IF('Recurring Schedule'!$E$32="Weekdays",WEEKDAY($A100,2)&lt;=5,$A100='Recurring Schedule'!$F$32))),27,""))))</f>
        <v/>
      </c>
      <c r="AC100">
        <f>IF('Recurring Schedule'!$C$33="","",IF('Recurring Schedule'!$F$33="","",IF(OR($A100&lt;'Recurring Schedule'!$F$33,$A100&gt;'Recurring Schedule'!$P$33),"",IF(IF('Recurring Schedule'!$N$33&gt;0,MOD($A100-'Recurring Schedule'!$F$33,'Recurring Schedule'!$N$33)=0,IF('Recurring Schedule'!$O$33&gt;0,AND(DAY($A100)=MIN(DAY('Recurring Schedule'!$F$33),DAY(EOMONTH($A100,0))),MOD((YEAR($A100)-YEAR('Recurring Schedule'!$F$33))*12+MONTH($A100)-MONTH('Recurring Schedule'!$F$33),'Recurring Schedule'!$O$33)=0),IF('Recurring Schedule'!$E$33="Weekdays",WEEKDAY($A100,2)&lt;=5,$A100='Recurring Schedule'!$F$33))),28,""))))</f>
        <v/>
      </c>
      <c r="AD100">
        <f>IF('Recurring Schedule'!$C$34="","",IF('Recurring Schedule'!$F$34="","",IF(OR($A100&lt;'Recurring Schedule'!$F$34,$A100&gt;'Recurring Schedule'!$P$34),"",IF(IF('Recurring Schedule'!$N$34&gt;0,MOD($A100-'Recurring Schedule'!$F$34,'Recurring Schedule'!$N$34)=0,IF('Recurring Schedule'!$O$34&gt;0,AND(DAY($A100)=MIN(DAY('Recurring Schedule'!$F$34),DAY(EOMONTH($A100,0))),MOD((YEAR($A100)-YEAR('Recurring Schedule'!$F$34))*12+MONTH($A100)-MONTH('Recurring Schedule'!$F$34),'Recurring Schedule'!$O$34)=0),IF('Recurring Schedule'!$E$34="Weekdays",WEEKDAY($A100,2)&lt;=5,$A100='Recurring Schedule'!$F$34))),29,""))))</f>
        <v/>
      </c>
      <c r="AE100">
        <f>IF('Recurring Schedule'!$C$35="","",IF('Recurring Schedule'!$F$35="","",IF(OR($A100&lt;'Recurring Schedule'!$F$35,$A100&gt;'Recurring Schedule'!$P$35),"",IF(IF('Recurring Schedule'!$N$35&gt;0,MOD($A100-'Recurring Schedule'!$F$35,'Recurring Schedule'!$N$35)=0,IF('Recurring Schedule'!$O$35&gt;0,AND(DAY($A100)=MIN(DAY('Recurring Schedule'!$F$35),DAY(EOMONTH($A100,0))),MOD((YEAR($A100)-YEAR('Recurring Schedule'!$F$35))*12+MONTH($A100)-MONTH('Recurring Schedule'!$F$35),'Recurring Schedule'!$O$35)=0),IF('Recurring Schedule'!$E$35="Weekdays",WEEKDAY($A100,2)&lt;=5,$A100='Recurring Schedule'!$F$35))),30,""))))</f>
        <v/>
      </c>
      <c r="AF100">
        <f>IF('Recurring Schedule'!$C$36="","",IF('Recurring Schedule'!$F$36="","",IF(OR($A100&lt;'Recurring Schedule'!$F$36,$A100&gt;'Recurring Schedule'!$P$36),"",IF(IF('Recurring Schedule'!$N$36&gt;0,MOD($A100-'Recurring Schedule'!$F$36,'Recurring Schedule'!$N$36)=0,IF('Recurring Schedule'!$O$36&gt;0,AND(DAY($A100)=MIN(DAY('Recurring Schedule'!$F$36),DAY(EOMONTH($A100,0))),MOD((YEAR($A100)-YEAR('Recurring Schedule'!$F$36))*12+MONTH($A100)-MONTH('Recurring Schedule'!$F$36),'Recurring Schedule'!$O$36)=0),IF('Recurring Schedule'!$E$36="Weekdays",WEEKDAY($A100,2)&lt;=5,$A100='Recurring Schedule'!$F$36))),31,""))))</f>
        <v/>
      </c>
      <c r="AG100">
        <f>IF('Recurring Schedule'!$C$37="","",IF('Recurring Schedule'!$F$37="","",IF(OR($A100&lt;'Recurring Schedule'!$F$37,$A100&gt;'Recurring Schedule'!$P$37),"",IF(IF('Recurring Schedule'!$N$37&gt;0,MOD($A100-'Recurring Schedule'!$F$37,'Recurring Schedule'!$N$37)=0,IF('Recurring Schedule'!$O$37&gt;0,AND(DAY($A100)=MIN(DAY('Recurring Schedule'!$F$37),DAY(EOMONTH($A100,0))),MOD((YEAR($A100)-YEAR('Recurring Schedule'!$F$37))*12+MONTH($A100)-MONTH('Recurring Schedule'!$F$37),'Recurring Schedule'!$O$37)=0),IF('Recurring Schedule'!$E$37="Weekdays",WEEKDAY($A100,2)&lt;=5,$A100='Recurring Schedule'!$F$37))),32,""))))</f>
        <v/>
      </c>
      <c r="AH100">
        <f>IF('Recurring Schedule'!$C$38="","",IF('Recurring Schedule'!$F$38="","",IF(OR($A100&lt;'Recurring Schedule'!$F$38,$A100&gt;'Recurring Schedule'!$P$38),"",IF(IF('Recurring Schedule'!$N$38&gt;0,MOD($A100-'Recurring Schedule'!$F$38,'Recurring Schedule'!$N$38)=0,IF('Recurring Schedule'!$O$38&gt;0,AND(DAY($A100)=MIN(DAY('Recurring Schedule'!$F$38),DAY(EOMONTH($A100,0))),MOD((YEAR($A100)-YEAR('Recurring Schedule'!$F$38))*12+MONTH($A100)-MONTH('Recurring Schedule'!$F$38),'Recurring Schedule'!$O$38)=0),IF('Recurring Schedule'!$E$38="Weekdays",WEEKDAY($A100,2)&lt;=5,$A100='Recurring Schedule'!$F$38))),33,""))))</f>
        <v/>
      </c>
      <c r="AI100">
        <f>IF('Recurring Schedule'!$C$39="","",IF('Recurring Schedule'!$F$39="","",IF(OR($A100&lt;'Recurring Schedule'!$F$39,$A100&gt;'Recurring Schedule'!$P$39),"",IF(IF('Recurring Schedule'!$N$39&gt;0,MOD($A100-'Recurring Schedule'!$F$39,'Recurring Schedule'!$N$39)=0,IF('Recurring Schedule'!$O$39&gt;0,AND(DAY($A100)=MIN(DAY('Recurring Schedule'!$F$39),DAY(EOMONTH($A100,0))),MOD((YEAR($A100)-YEAR('Recurring Schedule'!$F$39))*12+MONTH($A100)-MONTH('Recurring Schedule'!$F$39),'Recurring Schedule'!$O$39)=0),IF('Recurring Schedule'!$E$39="Weekdays",WEEKDAY($A100,2)&lt;=5,$A100='Recurring Schedule'!$F$39))),34,""))))</f>
        <v/>
      </c>
      <c r="AJ100">
        <f>IF('Recurring Schedule'!$C$40="","",IF('Recurring Schedule'!$F$40="","",IF(OR($A100&lt;'Recurring Schedule'!$F$40,$A100&gt;'Recurring Schedule'!$P$40),"",IF(IF('Recurring Schedule'!$N$40&gt;0,MOD($A100-'Recurring Schedule'!$F$40,'Recurring Schedule'!$N$40)=0,IF('Recurring Schedule'!$O$40&gt;0,AND(DAY($A100)=MIN(DAY('Recurring Schedule'!$F$40),DAY(EOMONTH($A100,0))),MOD((YEAR($A100)-YEAR('Recurring Schedule'!$F$40))*12+MONTH($A100)-MONTH('Recurring Schedule'!$F$40),'Recurring Schedule'!$O$40)=0),IF('Recurring Schedule'!$E$40="Weekdays",WEEKDAY($A100,2)&lt;=5,$A100='Recurring Schedule'!$F$40))),35,""))))</f>
        <v/>
      </c>
      <c r="AK100">
        <f>IF('Recurring Schedule'!$C$41="","",IF('Recurring Schedule'!$F$41="","",IF(OR($A100&lt;'Recurring Schedule'!$F$41,$A100&gt;'Recurring Schedule'!$P$41),"",IF(IF('Recurring Schedule'!$N$41&gt;0,MOD($A100-'Recurring Schedule'!$F$41,'Recurring Schedule'!$N$41)=0,IF('Recurring Schedule'!$O$41&gt;0,AND(DAY($A100)=MIN(DAY('Recurring Schedule'!$F$41),DAY(EOMONTH($A100,0))),MOD((YEAR($A100)-YEAR('Recurring Schedule'!$F$41))*12+MONTH($A100)-MONTH('Recurring Schedule'!$F$41),'Recurring Schedule'!$O$41)=0),IF('Recurring Schedule'!$E$41="Weekdays",WEEKDAY($A100,2)&lt;=5,$A100='Recurring Schedule'!$F$41))),36,""))))</f>
        <v/>
      </c>
      <c r="AL100">
        <f>IF('Recurring Schedule'!$C$42="","",IF('Recurring Schedule'!$F$42="","",IF(OR($A100&lt;'Recurring Schedule'!$F$42,$A100&gt;'Recurring Schedule'!$P$42),"",IF(IF('Recurring Schedule'!$N$42&gt;0,MOD($A100-'Recurring Schedule'!$F$42,'Recurring Schedule'!$N$42)=0,IF('Recurring Schedule'!$O$42&gt;0,AND(DAY($A100)=MIN(DAY('Recurring Schedule'!$F$42),DAY(EOMONTH($A100,0))),MOD((YEAR($A100)-YEAR('Recurring Schedule'!$F$42))*12+MONTH($A100)-MONTH('Recurring Schedule'!$F$42),'Recurring Schedule'!$O$42)=0),IF('Recurring Schedule'!$E$42="Weekdays",WEEKDAY($A100,2)&lt;=5,$A100='Recurring Schedule'!$F$42))),37,""))))</f>
        <v/>
      </c>
      <c r="AM100">
        <f>IF('Recurring Schedule'!$C$43="","",IF('Recurring Schedule'!$F$43="","",IF(OR($A100&lt;'Recurring Schedule'!$F$43,$A100&gt;'Recurring Schedule'!$P$43),"",IF(IF('Recurring Schedule'!$N$43&gt;0,MOD($A100-'Recurring Schedule'!$F$43,'Recurring Schedule'!$N$43)=0,IF('Recurring Schedule'!$O$43&gt;0,AND(DAY($A100)=MIN(DAY('Recurring Schedule'!$F$43),DAY(EOMONTH($A100,0))),MOD((YEAR($A100)-YEAR('Recurring Schedule'!$F$43))*12+MONTH($A100)-MONTH('Recurring Schedule'!$F$43),'Recurring Schedule'!$O$43)=0),IF('Recurring Schedule'!$E$43="Weekdays",WEEKDAY($A100,2)&lt;=5,$A100='Recurring Schedule'!$F$43))),38,""))))</f>
        <v/>
      </c>
      <c r="AN100">
        <f>IF('Recurring Schedule'!$C$44="","",IF('Recurring Schedule'!$F$44="","",IF(OR($A100&lt;'Recurring Schedule'!$F$44,$A100&gt;'Recurring Schedule'!$P$44),"",IF(IF('Recurring Schedule'!$N$44&gt;0,MOD($A100-'Recurring Schedule'!$F$44,'Recurring Schedule'!$N$44)=0,IF('Recurring Schedule'!$O$44&gt;0,AND(DAY($A100)=MIN(DAY('Recurring Schedule'!$F$44),DAY(EOMONTH($A100,0))),MOD((YEAR($A100)-YEAR('Recurring Schedule'!$F$44))*12+MONTH($A100)-MONTH('Recurring Schedule'!$F$44),'Recurring Schedule'!$O$44)=0),IF('Recurring Schedule'!$E$44="Weekdays",WEEKDAY($A100,2)&lt;=5,$A100='Recurring Schedule'!$F$44))),39,""))))</f>
        <v/>
      </c>
      <c r="AO100">
        <f>IF('Recurring Schedule'!$C$45="","",IF('Recurring Schedule'!$F$45="","",IF(OR($A100&lt;'Recurring Schedule'!$F$45,$A100&gt;'Recurring Schedule'!$P$45),"",IF(IF('Recurring Schedule'!$N$45&gt;0,MOD($A100-'Recurring Schedule'!$F$45,'Recurring Schedule'!$N$45)=0,IF('Recurring Schedule'!$O$45&gt;0,AND(DAY($A100)=MIN(DAY('Recurring Schedule'!$F$45),DAY(EOMONTH($A100,0))),MOD((YEAR($A100)-YEAR('Recurring Schedule'!$F$45))*12+MONTH($A100)-MONTH('Recurring Schedule'!$F$45),'Recurring Schedule'!$O$45)=0),IF('Recurring Schedule'!$E$45="Weekdays",WEEKDAY($A100,2)&lt;=5,$A100='Recurring Schedule'!$F$45))),40,""))))</f>
        <v/>
      </c>
      <c r="AP100">
        <f>COUNT(B100:AO100)</f>
        <v/>
      </c>
      <c r="AQ100">
        <f>AQ99+AP99</f>
        <v/>
      </c>
      <c r="AS100" t="inlineStr">
        <is>
          <t>R</t>
        </is>
      </c>
      <c r="AT100" t="n">
        <v>104</v>
      </c>
      <c r="AU100">
        <f>'Recurring Log'!C104&amp;""</f>
        <v/>
      </c>
      <c r="AV100">
        <f>'Recurring Log'!D104&amp;""</f>
        <v/>
      </c>
      <c r="AW100">
        <f>IF('Recurring Log'!E104="","",'Recurring Log'!E104)</f>
        <v/>
      </c>
      <c r="AX100">
        <f>IF('Recurring Log'!G104="","",'Recurring Log'!G104)</f>
        <v/>
      </c>
      <c r="AY100">
        <f>IF('Recurring Log'!H104="","",'Recurring Log'!H104)</f>
        <v/>
      </c>
      <c r="AZ100">
        <f>IF(AU100="","",IF('Recurring Log'!J104="","Not Started",'Recurring Log'!J104))</f>
        <v/>
      </c>
      <c r="BA100">
        <f>'Recurring Log'!L104&amp;""</f>
        <v/>
      </c>
      <c r="BB100">
        <f>'Recurring Log'!M104&amp;""</f>
        <v/>
      </c>
      <c r="BC100">
        <f>'Recurring Log'!N104&amp;""</f>
        <v/>
      </c>
      <c r="BD100">
        <f>'Recurring Log'!O104&amp;""</f>
        <v/>
      </c>
      <c r="BE100">
        <f>IF('Recurring Log'!K104="","",'Recurring Log'!K104)</f>
        <v/>
      </c>
      <c r="BF100">
        <f>IFERROR(MATCH(BA100,Setup!$L$6:$L$9,0),5)</f>
        <v/>
      </c>
      <c r="BG100">
        <f>IF(OR(AZ100="Done",AZ100="Cancelled"),1,0)</f>
        <v/>
      </c>
      <c r="BH100">
        <f>IF(AND(AU100&lt;&gt;"",ISNUMBER(AW100)),1,0)</f>
        <v/>
      </c>
      <c r="BI100">
        <f>IF(BH100=0,0,IF(AND(AW100&gt;='Tasks Filter'!$F$3,AW100&lt;='Tasks Filter'!$F$4,OR('Tasks Filter'!$I$3="",ISNUMBER(SEARCH('Tasks Filter'!$I$3,AU100))),OR('Tasks Filter'!$I$4="",BF100=IFERROR(MATCH('Tasks Filter'!$I$4,Setup!$L$6:$L$9,0),0)),OR('Tasks Filter'!$I$5="Both",AND('Tasks Filter'!$I$5="Yes",BB100="✓"),AND('Tasks Filter'!$I$5="No",BB100&lt;&gt;"✓")),OR('Tasks Filter'!$L$3="",AV100='Tasks Filter'!$L$3),OR('Tasks Filter'!$L$4="",AZ100='Tasks Filter'!$L$4),OR('Tasks Filter'!$L$5="",BC100='Tasks Filter'!$L$5),OR('Tasks Filter'!$O$3="",BD100='Tasks Filter'!$O$3),OR('Tasks Filter'!$O$4="Yes",BG100=0)),1,0))</f>
        <v/>
      </c>
      <c r="BJ100">
        <f>IF(BH100=0,"",IF('Tasks Filter'!$F$6="Descending",-1,1)*CHOOSE(MATCH('Tasks Filter'!$F$5,Lists!$G$2:$G$6,0),AW100,BF100,IFERROR(MATCH(AV100,Setup!$F$6:$F$15,0),99),IFERROR(MATCH(BC100,Setup!$H$6:$H$15,0),99),IFERROR(MATCH(AZ100,Setup!$J$6:$J$11,0),99))*1E+9+(AW100-40000)*10000+99)</f>
        <v/>
      </c>
      <c r="BK100">
        <f>IF(BI100=1,BJ100,"")</f>
        <v/>
      </c>
      <c r="BL100">
        <f>IF(AND(BH100=1,BG100=0,N(AW100)&lt;Setup!$D$7),(AW100-40000)*10000+99,"")</f>
        <v/>
      </c>
      <c r="BM100">
        <f>IF(AND(BH100=1,AZ100&lt;&gt;"Cancelled",N(AW100)&gt;=Dashboard!$AB$3,N(AW100)&lt;=Dashboard!$AB$3+6),(AW100-40000)*100000+BF100*10000+99,"")</f>
        <v/>
      </c>
      <c r="BN100">
        <f>IF(AND(BH100=1,AZ100&lt;&gt;"Cancelled"),BF100*10000+99,"")</f>
        <v/>
      </c>
    </row>
    <row r="101">
      <c r="A101">
        <f>Setup!$D$5+99</f>
        <v/>
      </c>
      <c r="B101">
        <f>IF('Recurring Schedule'!$C$6="","",IF('Recurring Schedule'!$F$6="","",IF(OR($A101&lt;'Recurring Schedule'!$F$6,$A101&gt;'Recurring Schedule'!$P$6),"",IF(IF('Recurring Schedule'!$N$6&gt;0,MOD($A101-'Recurring Schedule'!$F$6,'Recurring Schedule'!$N$6)=0,IF('Recurring Schedule'!$O$6&gt;0,AND(DAY($A101)=MIN(DAY('Recurring Schedule'!$F$6),DAY(EOMONTH($A101,0))),MOD((YEAR($A101)-YEAR('Recurring Schedule'!$F$6))*12+MONTH($A101)-MONTH('Recurring Schedule'!$F$6),'Recurring Schedule'!$O$6)=0),IF('Recurring Schedule'!$E$6="Weekdays",WEEKDAY($A101,2)&lt;=5,$A101='Recurring Schedule'!$F$6))),1,""))))</f>
        <v/>
      </c>
      <c r="C101">
        <f>IF('Recurring Schedule'!$C$7="","",IF('Recurring Schedule'!$F$7="","",IF(OR($A101&lt;'Recurring Schedule'!$F$7,$A101&gt;'Recurring Schedule'!$P$7),"",IF(IF('Recurring Schedule'!$N$7&gt;0,MOD($A101-'Recurring Schedule'!$F$7,'Recurring Schedule'!$N$7)=0,IF('Recurring Schedule'!$O$7&gt;0,AND(DAY($A101)=MIN(DAY('Recurring Schedule'!$F$7),DAY(EOMONTH($A101,0))),MOD((YEAR($A101)-YEAR('Recurring Schedule'!$F$7))*12+MONTH($A101)-MONTH('Recurring Schedule'!$F$7),'Recurring Schedule'!$O$7)=0),IF('Recurring Schedule'!$E$7="Weekdays",WEEKDAY($A101,2)&lt;=5,$A101='Recurring Schedule'!$F$7))),2,""))))</f>
        <v/>
      </c>
      <c r="D101">
        <f>IF('Recurring Schedule'!$C$8="","",IF('Recurring Schedule'!$F$8="","",IF(OR($A101&lt;'Recurring Schedule'!$F$8,$A101&gt;'Recurring Schedule'!$P$8),"",IF(IF('Recurring Schedule'!$N$8&gt;0,MOD($A101-'Recurring Schedule'!$F$8,'Recurring Schedule'!$N$8)=0,IF('Recurring Schedule'!$O$8&gt;0,AND(DAY($A101)=MIN(DAY('Recurring Schedule'!$F$8),DAY(EOMONTH($A101,0))),MOD((YEAR($A101)-YEAR('Recurring Schedule'!$F$8))*12+MONTH($A101)-MONTH('Recurring Schedule'!$F$8),'Recurring Schedule'!$O$8)=0),IF('Recurring Schedule'!$E$8="Weekdays",WEEKDAY($A101,2)&lt;=5,$A101='Recurring Schedule'!$F$8))),3,""))))</f>
        <v/>
      </c>
      <c r="E101">
        <f>IF('Recurring Schedule'!$C$9="","",IF('Recurring Schedule'!$F$9="","",IF(OR($A101&lt;'Recurring Schedule'!$F$9,$A101&gt;'Recurring Schedule'!$P$9),"",IF(IF('Recurring Schedule'!$N$9&gt;0,MOD($A101-'Recurring Schedule'!$F$9,'Recurring Schedule'!$N$9)=0,IF('Recurring Schedule'!$O$9&gt;0,AND(DAY($A101)=MIN(DAY('Recurring Schedule'!$F$9),DAY(EOMONTH($A101,0))),MOD((YEAR($A101)-YEAR('Recurring Schedule'!$F$9))*12+MONTH($A101)-MONTH('Recurring Schedule'!$F$9),'Recurring Schedule'!$O$9)=0),IF('Recurring Schedule'!$E$9="Weekdays",WEEKDAY($A101,2)&lt;=5,$A101='Recurring Schedule'!$F$9))),4,""))))</f>
        <v/>
      </c>
      <c r="F101">
        <f>IF('Recurring Schedule'!$C$10="","",IF('Recurring Schedule'!$F$10="","",IF(OR($A101&lt;'Recurring Schedule'!$F$10,$A101&gt;'Recurring Schedule'!$P$10),"",IF(IF('Recurring Schedule'!$N$10&gt;0,MOD($A101-'Recurring Schedule'!$F$10,'Recurring Schedule'!$N$10)=0,IF('Recurring Schedule'!$O$10&gt;0,AND(DAY($A101)=MIN(DAY('Recurring Schedule'!$F$10),DAY(EOMONTH($A101,0))),MOD((YEAR($A101)-YEAR('Recurring Schedule'!$F$10))*12+MONTH($A101)-MONTH('Recurring Schedule'!$F$10),'Recurring Schedule'!$O$10)=0),IF('Recurring Schedule'!$E$10="Weekdays",WEEKDAY($A101,2)&lt;=5,$A101='Recurring Schedule'!$F$10))),5,""))))</f>
        <v/>
      </c>
      <c r="G101">
        <f>IF('Recurring Schedule'!$C$11="","",IF('Recurring Schedule'!$F$11="","",IF(OR($A101&lt;'Recurring Schedule'!$F$11,$A101&gt;'Recurring Schedule'!$P$11),"",IF(IF('Recurring Schedule'!$N$11&gt;0,MOD($A101-'Recurring Schedule'!$F$11,'Recurring Schedule'!$N$11)=0,IF('Recurring Schedule'!$O$11&gt;0,AND(DAY($A101)=MIN(DAY('Recurring Schedule'!$F$11),DAY(EOMONTH($A101,0))),MOD((YEAR($A101)-YEAR('Recurring Schedule'!$F$11))*12+MONTH($A101)-MONTH('Recurring Schedule'!$F$11),'Recurring Schedule'!$O$11)=0),IF('Recurring Schedule'!$E$11="Weekdays",WEEKDAY($A101,2)&lt;=5,$A101='Recurring Schedule'!$F$11))),6,""))))</f>
        <v/>
      </c>
      <c r="H101">
        <f>IF('Recurring Schedule'!$C$12="","",IF('Recurring Schedule'!$F$12="","",IF(OR($A101&lt;'Recurring Schedule'!$F$12,$A101&gt;'Recurring Schedule'!$P$12),"",IF(IF('Recurring Schedule'!$N$12&gt;0,MOD($A101-'Recurring Schedule'!$F$12,'Recurring Schedule'!$N$12)=0,IF('Recurring Schedule'!$O$12&gt;0,AND(DAY($A101)=MIN(DAY('Recurring Schedule'!$F$12),DAY(EOMONTH($A101,0))),MOD((YEAR($A101)-YEAR('Recurring Schedule'!$F$12))*12+MONTH($A101)-MONTH('Recurring Schedule'!$F$12),'Recurring Schedule'!$O$12)=0),IF('Recurring Schedule'!$E$12="Weekdays",WEEKDAY($A101,2)&lt;=5,$A101='Recurring Schedule'!$F$12))),7,""))))</f>
        <v/>
      </c>
      <c r="I101">
        <f>IF('Recurring Schedule'!$C$13="","",IF('Recurring Schedule'!$F$13="","",IF(OR($A101&lt;'Recurring Schedule'!$F$13,$A101&gt;'Recurring Schedule'!$P$13),"",IF(IF('Recurring Schedule'!$N$13&gt;0,MOD($A101-'Recurring Schedule'!$F$13,'Recurring Schedule'!$N$13)=0,IF('Recurring Schedule'!$O$13&gt;0,AND(DAY($A101)=MIN(DAY('Recurring Schedule'!$F$13),DAY(EOMONTH($A101,0))),MOD((YEAR($A101)-YEAR('Recurring Schedule'!$F$13))*12+MONTH($A101)-MONTH('Recurring Schedule'!$F$13),'Recurring Schedule'!$O$13)=0),IF('Recurring Schedule'!$E$13="Weekdays",WEEKDAY($A101,2)&lt;=5,$A101='Recurring Schedule'!$F$13))),8,""))))</f>
        <v/>
      </c>
      <c r="J101">
        <f>IF('Recurring Schedule'!$C$14="","",IF('Recurring Schedule'!$F$14="","",IF(OR($A101&lt;'Recurring Schedule'!$F$14,$A101&gt;'Recurring Schedule'!$P$14),"",IF(IF('Recurring Schedule'!$N$14&gt;0,MOD($A101-'Recurring Schedule'!$F$14,'Recurring Schedule'!$N$14)=0,IF('Recurring Schedule'!$O$14&gt;0,AND(DAY($A101)=MIN(DAY('Recurring Schedule'!$F$14),DAY(EOMONTH($A101,0))),MOD((YEAR($A101)-YEAR('Recurring Schedule'!$F$14))*12+MONTH($A101)-MONTH('Recurring Schedule'!$F$14),'Recurring Schedule'!$O$14)=0),IF('Recurring Schedule'!$E$14="Weekdays",WEEKDAY($A101,2)&lt;=5,$A101='Recurring Schedule'!$F$14))),9,""))))</f>
        <v/>
      </c>
      <c r="K101">
        <f>IF('Recurring Schedule'!$C$15="","",IF('Recurring Schedule'!$F$15="","",IF(OR($A101&lt;'Recurring Schedule'!$F$15,$A101&gt;'Recurring Schedule'!$P$15),"",IF(IF('Recurring Schedule'!$N$15&gt;0,MOD($A101-'Recurring Schedule'!$F$15,'Recurring Schedule'!$N$15)=0,IF('Recurring Schedule'!$O$15&gt;0,AND(DAY($A101)=MIN(DAY('Recurring Schedule'!$F$15),DAY(EOMONTH($A101,0))),MOD((YEAR($A101)-YEAR('Recurring Schedule'!$F$15))*12+MONTH($A101)-MONTH('Recurring Schedule'!$F$15),'Recurring Schedule'!$O$15)=0),IF('Recurring Schedule'!$E$15="Weekdays",WEEKDAY($A101,2)&lt;=5,$A101='Recurring Schedule'!$F$15))),10,""))))</f>
        <v/>
      </c>
      <c r="L101">
        <f>IF('Recurring Schedule'!$C$16="","",IF('Recurring Schedule'!$F$16="","",IF(OR($A101&lt;'Recurring Schedule'!$F$16,$A101&gt;'Recurring Schedule'!$P$16),"",IF(IF('Recurring Schedule'!$N$16&gt;0,MOD($A101-'Recurring Schedule'!$F$16,'Recurring Schedule'!$N$16)=0,IF('Recurring Schedule'!$O$16&gt;0,AND(DAY($A101)=MIN(DAY('Recurring Schedule'!$F$16),DAY(EOMONTH($A101,0))),MOD((YEAR($A101)-YEAR('Recurring Schedule'!$F$16))*12+MONTH($A101)-MONTH('Recurring Schedule'!$F$16),'Recurring Schedule'!$O$16)=0),IF('Recurring Schedule'!$E$16="Weekdays",WEEKDAY($A101,2)&lt;=5,$A101='Recurring Schedule'!$F$16))),11,""))))</f>
        <v/>
      </c>
      <c r="M101">
        <f>IF('Recurring Schedule'!$C$17="","",IF('Recurring Schedule'!$F$17="","",IF(OR($A101&lt;'Recurring Schedule'!$F$17,$A101&gt;'Recurring Schedule'!$P$17),"",IF(IF('Recurring Schedule'!$N$17&gt;0,MOD($A101-'Recurring Schedule'!$F$17,'Recurring Schedule'!$N$17)=0,IF('Recurring Schedule'!$O$17&gt;0,AND(DAY($A101)=MIN(DAY('Recurring Schedule'!$F$17),DAY(EOMONTH($A101,0))),MOD((YEAR($A101)-YEAR('Recurring Schedule'!$F$17))*12+MONTH($A101)-MONTH('Recurring Schedule'!$F$17),'Recurring Schedule'!$O$17)=0),IF('Recurring Schedule'!$E$17="Weekdays",WEEKDAY($A101,2)&lt;=5,$A101='Recurring Schedule'!$F$17))),12,""))))</f>
        <v/>
      </c>
      <c r="N101">
        <f>IF('Recurring Schedule'!$C$18="","",IF('Recurring Schedule'!$F$18="","",IF(OR($A101&lt;'Recurring Schedule'!$F$18,$A101&gt;'Recurring Schedule'!$P$18),"",IF(IF('Recurring Schedule'!$N$18&gt;0,MOD($A101-'Recurring Schedule'!$F$18,'Recurring Schedule'!$N$18)=0,IF('Recurring Schedule'!$O$18&gt;0,AND(DAY($A101)=MIN(DAY('Recurring Schedule'!$F$18),DAY(EOMONTH($A101,0))),MOD((YEAR($A101)-YEAR('Recurring Schedule'!$F$18))*12+MONTH($A101)-MONTH('Recurring Schedule'!$F$18),'Recurring Schedule'!$O$18)=0),IF('Recurring Schedule'!$E$18="Weekdays",WEEKDAY($A101,2)&lt;=5,$A101='Recurring Schedule'!$F$18))),13,""))))</f>
        <v/>
      </c>
      <c r="O101">
        <f>IF('Recurring Schedule'!$C$19="","",IF('Recurring Schedule'!$F$19="","",IF(OR($A101&lt;'Recurring Schedule'!$F$19,$A101&gt;'Recurring Schedule'!$P$19),"",IF(IF('Recurring Schedule'!$N$19&gt;0,MOD($A101-'Recurring Schedule'!$F$19,'Recurring Schedule'!$N$19)=0,IF('Recurring Schedule'!$O$19&gt;0,AND(DAY($A101)=MIN(DAY('Recurring Schedule'!$F$19),DAY(EOMONTH($A101,0))),MOD((YEAR($A101)-YEAR('Recurring Schedule'!$F$19))*12+MONTH($A101)-MONTH('Recurring Schedule'!$F$19),'Recurring Schedule'!$O$19)=0),IF('Recurring Schedule'!$E$19="Weekdays",WEEKDAY($A101,2)&lt;=5,$A101='Recurring Schedule'!$F$19))),14,""))))</f>
        <v/>
      </c>
      <c r="P101">
        <f>IF('Recurring Schedule'!$C$20="","",IF('Recurring Schedule'!$F$20="","",IF(OR($A101&lt;'Recurring Schedule'!$F$20,$A101&gt;'Recurring Schedule'!$P$20),"",IF(IF('Recurring Schedule'!$N$20&gt;0,MOD($A101-'Recurring Schedule'!$F$20,'Recurring Schedule'!$N$20)=0,IF('Recurring Schedule'!$O$20&gt;0,AND(DAY($A101)=MIN(DAY('Recurring Schedule'!$F$20),DAY(EOMONTH($A101,0))),MOD((YEAR($A101)-YEAR('Recurring Schedule'!$F$20))*12+MONTH($A101)-MONTH('Recurring Schedule'!$F$20),'Recurring Schedule'!$O$20)=0),IF('Recurring Schedule'!$E$20="Weekdays",WEEKDAY($A101,2)&lt;=5,$A101='Recurring Schedule'!$F$20))),15,""))))</f>
        <v/>
      </c>
      <c r="Q101">
        <f>IF('Recurring Schedule'!$C$21="","",IF('Recurring Schedule'!$F$21="","",IF(OR($A101&lt;'Recurring Schedule'!$F$21,$A101&gt;'Recurring Schedule'!$P$21),"",IF(IF('Recurring Schedule'!$N$21&gt;0,MOD($A101-'Recurring Schedule'!$F$21,'Recurring Schedule'!$N$21)=0,IF('Recurring Schedule'!$O$21&gt;0,AND(DAY($A101)=MIN(DAY('Recurring Schedule'!$F$21),DAY(EOMONTH($A101,0))),MOD((YEAR($A101)-YEAR('Recurring Schedule'!$F$21))*12+MONTH($A101)-MONTH('Recurring Schedule'!$F$21),'Recurring Schedule'!$O$21)=0),IF('Recurring Schedule'!$E$21="Weekdays",WEEKDAY($A101,2)&lt;=5,$A101='Recurring Schedule'!$F$21))),16,""))))</f>
        <v/>
      </c>
      <c r="R101">
        <f>IF('Recurring Schedule'!$C$22="","",IF('Recurring Schedule'!$F$22="","",IF(OR($A101&lt;'Recurring Schedule'!$F$22,$A101&gt;'Recurring Schedule'!$P$22),"",IF(IF('Recurring Schedule'!$N$22&gt;0,MOD($A101-'Recurring Schedule'!$F$22,'Recurring Schedule'!$N$22)=0,IF('Recurring Schedule'!$O$22&gt;0,AND(DAY($A101)=MIN(DAY('Recurring Schedule'!$F$22),DAY(EOMONTH($A101,0))),MOD((YEAR($A101)-YEAR('Recurring Schedule'!$F$22))*12+MONTH($A101)-MONTH('Recurring Schedule'!$F$22),'Recurring Schedule'!$O$22)=0),IF('Recurring Schedule'!$E$22="Weekdays",WEEKDAY($A101,2)&lt;=5,$A101='Recurring Schedule'!$F$22))),17,""))))</f>
        <v/>
      </c>
      <c r="S101">
        <f>IF('Recurring Schedule'!$C$23="","",IF('Recurring Schedule'!$F$23="","",IF(OR($A101&lt;'Recurring Schedule'!$F$23,$A101&gt;'Recurring Schedule'!$P$23),"",IF(IF('Recurring Schedule'!$N$23&gt;0,MOD($A101-'Recurring Schedule'!$F$23,'Recurring Schedule'!$N$23)=0,IF('Recurring Schedule'!$O$23&gt;0,AND(DAY($A101)=MIN(DAY('Recurring Schedule'!$F$23),DAY(EOMONTH($A101,0))),MOD((YEAR($A101)-YEAR('Recurring Schedule'!$F$23))*12+MONTH($A101)-MONTH('Recurring Schedule'!$F$23),'Recurring Schedule'!$O$23)=0),IF('Recurring Schedule'!$E$23="Weekdays",WEEKDAY($A101,2)&lt;=5,$A101='Recurring Schedule'!$F$23))),18,""))))</f>
        <v/>
      </c>
      <c r="T101">
        <f>IF('Recurring Schedule'!$C$24="","",IF('Recurring Schedule'!$F$24="","",IF(OR($A101&lt;'Recurring Schedule'!$F$24,$A101&gt;'Recurring Schedule'!$P$24),"",IF(IF('Recurring Schedule'!$N$24&gt;0,MOD($A101-'Recurring Schedule'!$F$24,'Recurring Schedule'!$N$24)=0,IF('Recurring Schedule'!$O$24&gt;0,AND(DAY($A101)=MIN(DAY('Recurring Schedule'!$F$24),DAY(EOMONTH($A101,0))),MOD((YEAR($A101)-YEAR('Recurring Schedule'!$F$24))*12+MONTH($A101)-MONTH('Recurring Schedule'!$F$24),'Recurring Schedule'!$O$24)=0),IF('Recurring Schedule'!$E$24="Weekdays",WEEKDAY($A101,2)&lt;=5,$A101='Recurring Schedule'!$F$24))),19,""))))</f>
        <v/>
      </c>
      <c r="U101">
        <f>IF('Recurring Schedule'!$C$25="","",IF('Recurring Schedule'!$F$25="","",IF(OR($A101&lt;'Recurring Schedule'!$F$25,$A101&gt;'Recurring Schedule'!$P$25),"",IF(IF('Recurring Schedule'!$N$25&gt;0,MOD($A101-'Recurring Schedule'!$F$25,'Recurring Schedule'!$N$25)=0,IF('Recurring Schedule'!$O$25&gt;0,AND(DAY($A101)=MIN(DAY('Recurring Schedule'!$F$25),DAY(EOMONTH($A101,0))),MOD((YEAR($A101)-YEAR('Recurring Schedule'!$F$25))*12+MONTH($A101)-MONTH('Recurring Schedule'!$F$25),'Recurring Schedule'!$O$25)=0),IF('Recurring Schedule'!$E$25="Weekdays",WEEKDAY($A101,2)&lt;=5,$A101='Recurring Schedule'!$F$25))),20,""))))</f>
        <v/>
      </c>
      <c r="V101">
        <f>IF('Recurring Schedule'!$C$26="","",IF('Recurring Schedule'!$F$26="","",IF(OR($A101&lt;'Recurring Schedule'!$F$26,$A101&gt;'Recurring Schedule'!$P$26),"",IF(IF('Recurring Schedule'!$N$26&gt;0,MOD($A101-'Recurring Schedule'!$F$26,'Recurring Schedule'!$N$26)=0,IF('Recurring Schedule'!$O$26&gt;0,AND(DAY($A101)=MIN(DAY('Recurring Schedule'!$F$26),DAY(EOMONTH($A101,0))),MOD((YEAR($A101)-YEAR('Recurring Schedule'!$F$26))*12+MONTH($A101)-MONTH('Recurring Schedule'!$F$26),'Recurring Schedule'!$O$26)=0),IF('Recurring Schedule'!$E$26="Weekdays",WEEKDAY($A101,2)&lt;=5,$A101='Recurring Schedule'!$F$26))),21,""))))</f>
        <v/>
      </c>
      <c r="W101">
        <f>IF('Recurring Schedule'!$C$27="","",IF('Recurring Schedule'!$F$27="","",IF(OR($A101&lt;'Recurring Schedule'!$F$27,$A101&gt;'Recurring Schedule'!$P$27),"",IF(IF('Recurring Schedule'!$N$27&gt;0,MOD($A101-'Recurring Schedule'!$F$27,'Recurring Schedule'!$N$27)=0,IF('Recurring Schedule'!$O$27&gt;0,AND(DAY($A101)=MIN(DAY('Recurring Schedule'!$F$27),DAY(EOMONTH($A101,0))),MOD((YEAR($A101)-YEAR('Recurring Schedule'!$F$27))*12+MONTH($A101)-MONTH('Recurring Schedule'!$F$27),'Recurring Schedule'!$O$27)=0),IF('Recurring Schedule'!$E$27="Weekdays",WEEKDAY($A101,2)&lt;=5,$A101='Recurring Schedule'!$F$27))),22,""))))</f>
        <v/>
      </c>
      <c r="X101">
        <f>IF('Recurring Schedule'!$C$28="","",IF('Recurring Schedule'!$F$28="","",IF(OR($A101&lt;'Recurring Schedule'!$F$28,$A101&gt;'Recurring Schedule'!$P$28),"",IF(IF('Recurring Schedule'!$N$28&gt;0,MOD($A101-'Recurring Schedule'!$F$28,'Recurring Schedule'!$N$28)=0,IF('Recurring Schedule'!$O$28&gt;0,AND(DAY($A101)=MIN(DAY('Recurring Schedule'!$F$28),DAY(EOMONTH($A101,0))),MOD((YEAR($A101)-YEAR('Recurring Schedule'!$F$28))*12+MONTH($A101)-MONTH('Recurring Schedule'!$F$28),'Recurring Schedule'!$O$28)=0),IF('Recurring Schedule'!$E$28="Weekdays",WEEKDAY($A101,2)&lt;=5,$A101='Recurring Schedule'!$F$28))),23,""))))</f>
        <v/>
      </c>
      <c r="Y101">
        <f>IF('Recurring Schedule'!$C$29="","",IF('Recurring Schedule'!$F$29="","",IF(OR($A101&lt;'Recurring Schedule'!$F$29,$A101&gt;'Recurring Schedule'!$P$29),"",IF(IF('Recurring Schedule'!$N$29&gt;0,MOD($A101-'Recurring Schedule'!$F$29,'Recurring Schedule'!$N$29)=0,IF('Recurring Schedule'!$O$29&gt;0,AND(DAY($A101)=MIN(DAY('Recurring Schedule'!$F$29),DAY(EOMONTH($A101,0))),MOD((YEAR($A101)-YEAR('Recurring Schedule'!$F$29))*12+MONTH($A101)-MONTH('Recurring Schedule'!$F$29),'Recurring Schedule'!$O$29)=0),IF('Recurring Schedule'!$E$29="Weekdays",WEEKDAY($A101,2)&lt;=5,$A101='Recurring Schedule'!$F$29))),24,""))))</f>
        <v/>
      </c>
      <c r="Z101">
        <f>IF('Recurring Schedule'!$C$30="","",IF('Recurring Schedule'!$F$30="","",IF(OR($A101&lt;'Recurring Schedule'!$F$30,$A101&gt;'Recurring Schedule'!$P$30),"",IF(IF('Recurring Schedule'!$N$30&gt;0,MOD($A101-'Recurring Schedule'!$F$30,'Recurring Schedule'!$N$30)=0,IF('Recurring Schedule'!$O$30&gt;0,AND(DAY($A101)=MIN(DAY('Recurring Schedule'!$F$30),DAY(EOMONTH($A101,0))),MOD((YEAR($A101)-YEAR('Recurring Schedule'!$F$30))*12+MONTH($A101)-MONTH('Recurring Schedule'!$F$30),'Recurring Schedule'!$O$30)=0),IF('Recurring Schedule'!$E$30="Weekdays",WEEKDAY($A101,2)&lt;=5,$A101='Recurring Schedule'!$F$30))),25,""))))</f>
        <v/>
      </c>
      <c r="AA101">
        <f>IF('Recurring Schedule'!$C$31="","",IF('Recurring Schedule'!$F$31="","",IF(OR($A101&lt;'Recurring Schedule'!$F$31,$A101&gt;'Recurring Schedule'!$P$31),"",IF(IF('Recurring Schedule'!$N$31&gt;0,MOD($A101-'Recurring Schedule'!$F$31,'Recurring Schedule'!$N$31)=0,IF('Recurring Schedule'!$O$31&gt;0,AND(DAY($A101)=MIN(DAY('Recurring Schedule'!$F$31),DAY(EOMONTH($A101,0))),MOD((YEAR($A101)-YEAR('Recurring Schedule'!$F$31))*12+MONTH($A101)-MONTH('Recurring Schedule'!$F$31),'Recurring Schedule'!$O$31)=0),IF('Recurring Schedule'!$E$31="Weekdays",WEEKDAY($A101,2)&lt;=5,$A101='Recurring Schedule'!$F$31))),26,""))))</f>
        <v/>
      </c>
      <c r="AB101">
        <f>IF('Recurring Schedule'!$C$32="","",IF('Recurring Schedule'!$F$32="","",IF(OR($A101&lt;'Recurring Schedule'!$F$32,$A101&gt;'Recurring Schedule'!$P$32),"",IF(IF('Recurring Schedule'!$N$32&gt;0,MOD($A101-'Recurring Schedule'!$F$32,'Recurring Schedule'!$N$32)=0,IF('Recurring Schedule'!$O$32&gt;0,AND(DAY($A101)=MIN(DAY('Recurring Schedule'!$F$32),DAY(EOMONTH($A101,0))),MOD((YEAR($A101)-YEAR('Recurring Schedule'!$F$32))*12+MONTH($A101)-MONTH('Recurring Schedule'!$F$32),'Recurring Schedule'!$O$32)=0),IF('Recurring Schedule'!$E$32="Weekdays",WEEKDAY($A101,2)&lt;=5,$A101='Recurring Schedule'!$F$32))),27,""))))</f>
        <v/>
      </c>
      <c r="AC101">
        <f>IF('Recurring Schedule'!$C$33="","",IF('Recurring Schedule'!$F$33="","",IF(OR($A101&lt;'Recurring Schedule'!$F$33,$A101&gt;'Recurring Schedule'!$P$33),"",IF(IF('Recurring Schedule'!$N$33&gt;0,MOD($A101-'Recurring Schedule'!$F$33,'Recurring Schedule'!$N$33)=0,IF('Recurring Schedule'!$O$33&gt;0,AND(DAY($A101)=MIN(DAY('Recurring Schedule'!$F$33),DAY(EOMONTH($A101,0))),MOD((YEAR($A101)-YEAR('Recurring Schedule'!$F$33))*12+MONTH($A101)-MONTH('Recurring Schedule'!$F$33),'Recurring Schedule'!$O$33)=0),IF('Recurring Schedule'!$E$33="Weekdays",WEEKDAY($A101,2)&lt;=5,$A101='Recurring Schedule'!$F$33))),28,""))))</f>
        <v/>
      </c>
      <c r="AD101">
        <f>IF('Recurring Schedule'!$C$34="","",IF('Recurring Schedule'!$F$34="","",IF(OR($A101&lt;'Recurring Schedule'!$F$34,$A101&gt;'Recurring Schedule'!$P$34),"",IF(IF('Recurring Schedule'!$N$34&gt;0,MOD($A101-'Recurring Schedule'!$F$34,'Recurring Schedule'!$N$34)=0,IF('Recurring Schedule'!$O$34&gt;0,AND(DAY($A101)=MIN(DAY('Recurring Schedule'!$F$34),DAY(EOMONTH($A101,0))),MOD((YEAR($A101)-YEAR('Recurring Schedule'!$F$34))*12+MONTH($A101)-MONTH('Recurring Schedule'!$F$34),'Recurring Schedule'!$O$34)=0),IF('Recurring Schedule'!$E$34="Weekdays",WEEKDAY($A101,2)&lt;=5,$A101='Recurring Schedule'!$F$34))),29,""))))</f>
        <v/>
      </c>
      <c r="AE101">
        <f>IF('Recurring Schedule'!$C$35="","",IF('Recurring Schedule'!$F$35="","",IF(OR($A101&lt;'Recurring Schedule'!$F$35,$A101&gt;'Recurring Schedule'!$P$35),"",IF(IF('Recurring Schedule'!$N$35&gt;0,MOD($A101-'Recurring Schedule'!$F$35,'Recurring Schedule'!$N$35)=0,IF('Recurring Schedule'!$O$35&gt;0,AND(DAY($A101)=MIN(DAY('Recurring Schedule'!$F$35),DAY(EOMONTH($A101,0))),MOD((YEAR($A101)-YEAR('Recurring Schedule'!$F$35))*12+MONTH($A101)-MONTH('Recurring Schedule'!$F$35),'Recurring Schedule'!$O$35)=0),IF('Recurring Schedule'!$E$35="Weekdays",WEEKDAY($A101,2)&lt;=5,$A101='Recurring Schedule'!$F$35))),30,""))))</f>
        <v/>
      </c>
      <c r="AF101">
        <f>IF('Recurring Schedule'!$C$36="","",IF('Recurring Schedule'!$F$36="","",IF(OR($A101&lt;'Recurring Schedule'!$F$36,$A101&gt;'Recurring Schedule'!$P$36),"",IF(IF('Recurring Schedule'!$N$36&gt;0,MOD($A101-'Recurring Schedule'!$F$36,'Recurring Schedule'!$N$36)=0,IF('Recurring Schedule'!$O$36&gt;0,AND(DAY($A101)=MIN(DAY('Recurring Schedule'!$F$36),DAY(EOMONTH($A101,0))),MOD((YEAR($A101)-YEAR('Recurring Schedule'!$F$36))*12+MONTH($A101)-MONTH('Recurring Schedule'!$F$36),'Recurring Schedule'!$O$36)=0),IF('Recurring Schedule'!$E$36="Weekdays",WEEKDAY($A101,2)&lt;=5,$A101='Recurring Schedule'!$F$36))),31,""))))</f>
        <v/>
      </c>
      <c r="AG101">
        <f>IF('Recurring Schedule'!$C$37="","",IF('Recurring Schedule'!$F$37="","",IF(OR($A101&lt;'Recurring Schedule'!$F$37,$A101&gt;'Recurring Schedule'!$P$37),"",IF(IF('Recurring Schedule'!$N$37&gt;0,MOD($A101-'Recurring Schedule'!$F$37,'Recurring Schedule'!$N$37)=0,IF('Recurring Schedule'!$O$37&gt;0,AND(DAY($A101)=MIN(DAY('Recurring Schedule'!$F$37),DAY(EOMONTH($A101,0))),MOD((YEAR($A101)-YEAR('Recurring Schedule'!$F$37))*12+MONTH($A101)-MONTH('Recurring Schedule'!$F$37),'Recurring Schedule'!$O$37)=0),IF('Recurring Schedule'!$E$37="Weekdays",WEEKDAY($A101,2)&lt;=5,$A101='Recurring Schedule'!$F$37))),32,""))))</f>
        <v/>
      </c>
      <c r="AH101">
        <f>IF('Recurring Schedule'!$C$38="","",IF('Recurring Schedule'!$F$38="","",IF(OR($A101&lt;'Recurring Schedule'!$F$38,$A101&gt;'Recurring Schedule'!$P$38),"",IF(IF('Recurring Schedule'!$N$38&gt;0,MOD($A101-'Recurring Schedule'!$F$38,'Recurring Schedule'!$N$38)=0,IF('Recurring Schedule'!$O$38&gt;0,AND(DAY($A101)=MIN(DAY('Recurring Schedule'!$F$38),DAY(EOMONTH($A101,0))),MOD((YEAR($A101)-YEAR('Recurring Schedule'!$F$38))*12+MONTH($A101)-MONTH('Recurring Schedule'!$F$38),'Recurring Schedule'!$O$38)=0),IF('Recurring Schedule'!$E$38="Weekdays",WEEKDAY($A101,2)&lt;=5,$A101='Recurring Schedule'!$F$38))),33,""))))</f>
        <v/>
      </c>
      <c r="AI101">
        <f>IF('Recurring Schedule'!$C$39="","",IF('Recurring Schedule'!$F$39="","",IF(OR($A101&lt;'Recurring Schedule'!$F$39,$A101&gt;'Recurring Schedule'!$P$39),"",IF(IF('Recurring Schedule'!$N$39&gt;0,MOD($A101-'Recurring Schedule'!$F$39,'Recurring Schedule'!$N$39)=0,IF('Recurring Schedule'!$O$39&gt;0,AND(DAY($A101)=MIN(DAY('Recurring Schedule'!$F$39),DAY(EOMONTH($A101,0))),MOD((YEAR($A101)-YEAR('Recurring Schedule'!$F$39))*12+MONTH($A101)-MONTH('Recurring Schedule'!$F$39),'Recurring Schedule'!$O$39)=0),IF('Recurring Schedule'!$E$39="Weekdays",WEEKDAY($A101,2)&lt;=5,$A101='Recurring Schedule'!$F$39))),34,""))))</f>
        <v/>
      </c>
      <c r="AJ101">
        <f>IF('Recurring Schedule'!$C$40="","",IF('Recurring Schedule'!$F$40="","",IF(OR($A101&lt;'Recurring Schedule'!$F$40,$A101&gt;'Recurring Schedule'!$P$40),"",IF(IF('Recurring Schedule'!$N$40&gt;0,MOD($A101-'Recurring Schedule'!$F$40,'Recurring Schedule'!$N$40)=0,IF('Recurring Schedule'!$O$40&gt;0,AND(DAY($A101)=MIN(DAY('Recurring Schedule'!$F$40),DAY(EOMONTH($A101,0))),MOD((YEAR($A101)-YEAR('Recurring Schedule'!$F$40))*12+MONTH($A101)-MONTH('Recurring Schedule'!$F$40),'Recurring Schedule'!$O$40)=0),IF('Recurring Schedule'!$E$40="Weekdays",WEEKDAY($A101,2)&lt;=5,$A101='Recurring Schedule'!$F$40))),35,""))))</f>
        <v/>
      </c>
      <c r="AK101">
        <f>IF('Recurring Schedule'!$C$41="","",IF('Recurring Schedule'!$F$41="","",IF(OR($A101&lt;'Recurring Schedule'!$F$41,$A101&gt;'Recurring Schedule'!$P$41),"",IF(IF('Recurring Schedule'!$N$41&gt;0,MOD($A101-'Recurring Schedule'!$F$41,'Recurring Schedule'!$N$41)=0,IF('Recurring Schedule'!$O$41&gt;0,AND(DAY($A101)=MIN(DAY('Recurring Schedule'!$F$41),DAY(EOMONTH($A101,0))),MOD((YEAR($A101)-YEAR('Recurring Schedule'!$F$41))*12+MONTH($A101)-MONTH('Recurring Schedule'!$F$41),'Recurring Schedule'!$O$41)=0),IF('Recurring Schedule'!$E$41="Weekdays",WEEKDAY($A101,2)&lt;=5,$A101='Recurring Schedule'!$F$41))),36,""))))</f>
        <v/>
      </c>
      <c r="AL101">
        <f>IF('Recurring Schedule'!$C$42="","",IF('Recurring Schedule'!$F$42="","",IF(OR($A101&lt;'Recurring Schedule'!$F$42,$A101&gt;'Recurring Schedule'!$P$42),"",IF(IF('Recurring Schedule'!$N$42&gt;0,MOD($A101-'Recurring Schedule'!$F$42,'Recurring Schedule'!$N$42)=0,IF('Recurring Schedule'!$O$42&gt;0,AND(DAY($A101)=MIN(DAY('Recurring Schedule'!$F$42),DAY(EOMONTH($A101,0))),MOD((YEAR($A101)-YEAR('Recurring Schedule'!$F$42))*12+MONTH($A101)-MONTH('Recurring Schedule'!$F$42),'Recurring Schedule'!$O$42)=0),IF('Recurring Schedule'!$E$42="Weekdays",WEEKDAY($A101,2)&lt;=5,$A101='Recurring Schedule'!$F$42))),37,""))))</f>
        <v/>
      </c>
      <c r="AM101">
        <f>IF('Recurring Schedule'!$C$43="","",IF('Recurring Schedule'!$F$43="","",IF(OR($A101&lt;'Recurring Schedule'!$F$43,$A101&gt;'Recurring Schedule'!$P$43),"",IF(IF('Recurring Schedule'!$N$43&gt;0,MOD($A101-'Recurring Schedule'!$F$43,'Recurring Schedule'!$N$43)=0,IF('Recurring Schedule'!$O$43&gt;0,AND(DAY($A101)=MIN(DAY('Recurring Schedule'!$F$43),DAY(EOMONTH($A101,0))),MOD((YEAR($A101)-YEAR('Recurring Schedule'!$F$43))*12+MONTH($A101)-MONTH('Recurring Schedule'!$F$43),'Recurring Schedule'!$O$43)=0),IF('Recurring Schedule'!$E$43="Weekdays",WEEKDAY($A101,2)&lt;=5,$A101='Recurring Schedule'!$F$43))),38,""))))</f>
        <v/>
      </c>
      <c r="AN101">
        <f>IF('Recurring Schedule'!$C$44="","",IF('Recurring Schedule'!$F$44="","",IF(OR($A101&lt;'Recurring Schedule'!$F$44,$A101&gt;'Recurring Schedule'!$P$44),"",IF(IF('Recurring Schedule'!$N$44&gt;0,MOD($A101-'Recurring Schedule'!$F$44,'Recurring Schedule'!$N$44)=0,IF('Recurring Schedule'!$O$44&gt;0,AND(DAY($A101)=MIN(DAY('Recurring Schedule'!$F$44),DAY(EOMONTH($A101,0))),MOD((YEAR($A101)-YEAR('Recurring Schedule'!$F$44))*12+MONTH($A101)-MONTH('Recurring Schedule'!$F$44),'Recurring Schedule'!$O$44)=0),IF('Recurring Schedule'!$E$44="Weekdays",WEEKDAY($A101,2)&lt;=5,$A101='Recurring Schedule'!$F$44))),39,""))))</f>
        <v/>
      </c>
      <c r="AO101">
        <f>IF('Recurring Schedule'!$C$45="","",IF('Recurring Schedule'!$F$45="","",IF(OR($A101&lt;'Recurring Schedule'!$F$45,$A101&gt;'Recurring Schedule'!$P$45),"",IF(IF('Recurring Schedule'!$N$45&gt;0,MOD($A101-'Recurring Schedule'!$F$45,'Recurring Schedule'!$N$45)=0,IF('Recurring Schedule'!$O$45&gt;0,AND(DAY($A101)=MIN(DAY('Recurring Schedule'!$F$45),DAY(EOMONTH($A101,0))),MOD((YEAR($A101)-YEAR('Recurring Schedule'!$F$45))*12+MONTH($A101)-MONTH('Recurring Schedule'!$F$45),'Recurring Schedule'!$O$45)=0),IF('Recurring Schedule'!$E$45="Weekdays",WEEKDAY($A101,2)&lt;=5,$A101='Recurring Schedule'!$F$45))),40,""))))</f>
        <v/>
      </c>
      <c r="AP101">
        <f>COUNT(B101:AO101)</f>
        <v/>
      </c>
      <c r="AQ101">
        <f>AQ100+AP100</f>
        <v/>
      </c>
      <c r="AS101" t="inlineStr">
        <is>
          <t>R</t>
        </is>
      </c>
      <c r="AT101" t="n">
        <v>105</v>
      </c>
      <c r="AU101">
        <f>'Recurring Log'!C105&amp;""</f>
        <v/>
      </c>
      <c r="AV101">
        <f>'Recurring Log'!D105&amp;""</f>
        <v/>
      </c>
      <c r="AW101">
        <f>IF('Recurring Log'!E105="","",'Recurring Log'!E105)</f>
        <v/>
      </c>
      <c r="AX101">
        <f>IF('Recurring Log'!G105="","",'Recurring Log'!G105)</f>
        <v/>
      </c>
      <c r="AY101">
        <f>IF('Recurring Log'!H105="","",'Recurring Log'!H105)</f>
        <v/>
      </c>
      <c r="AZ101">
        <f>IF(AU101="","",IF('Recurring Log'!J105="","Not Started",'Recurring Log'!J105))</f>
        <v/>
      </c>
      <c r="BA101">
        <f>'Recurring Log'!L105&amp;""</f>
        <v/>
      </c>
      <c r="BB101">
        <f>'Recurring Log'!M105&amp;""</f>
        <v/>
      </c>
      <c r="BC101">
        <f>'Recurring Log'!N105&amp;""</f>
        <v/>
      </c>
      <c r="BD101">
        <f>'Recurring Log'!O105&amp;""</f>
        <v/>
      </c>
      <c r="BE101">
        <f>IF('Recurring Log'!K105="","",'Recurring Log'!K105)</f>
        <v/>
      </c>
      <c r="BF101">
        <f>IFERROR(MATCH(BA101,Setup!$L$6:$L$9,0),5)</f>
        <v/>
      </c>
      <c r="BG101">
        <f>IF(OR(AZ101="Done",AZ101="Cancelled"),1,0)</f>
        <v/>
      </c>
      <c r="BH101">
        <f>IF(AND(AU101&lt;&gt;"",ISNUMBER(AW101)),1,0)</f>
        <v/>
      </c>
      <c r="BI101">
        <f>IF(BH101=0,0,IF(AND(AW101&gt;='Tasks Filter'!$F$3,AW101&lt;='Tasks Filter'!$F$4,OR('Tasks Filter'!$I$3="",ISNUMBER(SEARCH('Tasks Filter'!$I$3,AU101))),OR('Tasks Filter'!$I$4="",BF101=IFERROR(MATCH('Tasks Filter'!$I$4,Setup!$L$6:$L$9,0),0)),OR('Tasks Filter'!$I$5="Both",AND('Tasks Filter'!$I$5="Yes",BB101="✓"),AND('Tasks Filter'!$I$5="No",BB101&lt;&gt;"✓")),OR('Tasks Filter'!$L$3="",AV101='Tasks Filter'!$L$3),OR('Tasks Filter'!$L$4="",AZ101='Tasks Filter'!$L$4),OR('Tasks Filter'!$L$5="",BC101='Tasks Filter'!$L$5),OR('Tasks Filter'!$O$3="",BD101='Tasks Filter'!$O$3),OR('Tasks Filter'!$O$4="Yes",BG101=0)),1,0))</f>
        <v/>
      </c>
      <c r="BJ101">
        <f>IF(BH101=0,"",IF('Tasks Filter'!$F$6="Descending",-1,1)*CHOOSE(MATCH('Tasks Filter'!$F$5,Lists!$G$2:$G$6,0),AW101,BF101,IFERROR(MATCH(AV101,Setup!$F$6:$F$15,0),99),IFERROR(MATCH(BC101,Setup!$H$6:$H$15,0),99),IFERROR(MATCH(AZ101,Setup!$J$6:$J$11,0),99))*1E+9+(AW101-40000)*10000+100)</f>
        <v/>
      </c>
      <c r="BK101">
        <f>IF(BI101=1,BJ101,"")</f>
        <v/>
      </c>
      <c r="BL101">
        <f>IF(AND(BH101=1,BG101=0,N(AW101)&lt;Setup!$D$7),(AW101-40000)*10000+100,"")</f>
        <v/>
      </c>
      <c r="BM101">
        <f>IF(AND(BH101=1,AZ101&lt;&gt;"Cancelled",N(AW101)&gt;=Dashboard!$AB$3,N(AW101)&lt;=Dashboard!$AB$3+6),(AW101-40000)*100000+BF101*10000+100,"")</f>
        <v/>
      </c>
      <c r="BN101">
        <f>IF(AND(BH101=1,AZ101&lt;&gt;"Cancelled"),BF101*10000+100,"")</f>
        <v/>
      </c>
    </row>
    <row r="102">
      <c r="A102">
        <f>Setup!$D$5+100</f>
        <v/>
      </c>
      <c r="B102">
        <f>IF('Recurring Schedule'!$C$6="","",IF('Recurring Schedule'!$F$6="","",IF(OR($A102&lt;'Recurring Schedule'!$F$6,$A102&gt;'Recurring Schedule'!$P$6),"",IF(IF('Recurring Schedule'!$N$6&gt;0,MOD($A102-'Recurring Schedule'!$F$6,'Recurring Schedule'!$N$6)=0,IF('Recurring Schedule'!$O$6&gt;0,AND(DAY($A102)=MIN(DAY('Recurring Schedule'!$F$6),DAY(EOMONTH($A102,0))),MOD((YEAR($A102)-YEAR('Recurring Schedule'!$F$6))*12+MONTH($A102)-MONTH('Recurring Schedule'!$F$6),'Recurring Schedule'!$O$6)=0),IF('Recurring Schedule'!$E$6="Weekdays",WEEKDAY($A102,2)&lt;=5,$A102='Recurring Schedule'!$F$6))),1,""))))</f>
        <v/>
      </c>
      <c r="C102">
        <f>IF('Recurring Schedule'!$C$7="","",IF('Recurring Schedule'!$F$7="","",IF(OR($A102&lt;'Recurring Schedule'!$F$7,$A102&gt;'Recurring Schedule'!$P$7),"",IF(IF('Recurring Schedule'!$N$7&gt;0,MOD($A102-'Recurring Schedule'!$F$7,'Recurring Schedule'!$N$7)=0,IF('Recurring Schedule'!$O$7&gt;0,AND(DAY($A102)=MIN(DAY('Recurring Schedule'!$F$7),DAY(EOMONTH($A102,0))),MOD((YEAR($A102)-YEAR('Recurring Schedule'!$F$7))*12+MONTH($A102)-MONTH('Recurring Schedule'!$F$7),'Recurring Schedule'!$O$7)=0),IF('Recurring Schedule'!$E$7="Weekdays",WEEKDAY($A102,2)&lt;=5,$A102='Recurring Schedule'!$F$7))),2,""))))</f>
        <v/>
      </c>
      <c r="D102">
        <f>IF('Recurring Schedule'!$C$8="","",IF('Recurring Schedule'!$F$8="","",IF(OR($A102&lt;'Recurring Schedule'!$F$8,$A102&gt;'Recurring Schedule'!$P$8),"",IF(IF('Recurring Schedule'!$N$8&gt;0,MOD($A102-'Recurring Schedule'!$F$8,'Recurring Schedule'!$N$8)=0,IF('Recurring Schedule'!$O$8&gt;0,AND(DAY($A102)=MIN(DAY('Recurring Schedule'!$F$8),DAY(EOMONTH($A102,0))),MOD((YEAR($A102)-YEAR('Recurring Schedule'!$F$8))*12+MONTH($A102)-MONTH('Recurring Schedule'!$F$8),'Recurring Schedule'!$O$8)=0),IF('Recurring Schedule'!$E$8="Weekdays",WEEKDAY($A102,2)&lt;=5,$A102='Recurring Schedule'!$F$8))),3,""))))</f>
        <v/>
      </c>
      <c r="E102">
        <f>IF('Recurring Schedule'!$C$9="","",IF('Recurring Schedule'!$F$9="","",IF(OR($A102&lt;'Recurring Schedule'!$F$9,$A102&gt;'Recurring Schedule'!$P$9),"",IF(IF('Recurring Schedule'!$N$9&gt;0,MOD($A102-'Recurring Schedule'!$F$9,'Recurring Schedule'!$N$9)=0,IF('Recurring Schedule'!$O$9&gt;0,AND(DAY($A102)=MIN(DAY('Recurring Schedule'!$F$9),DAY(EOMONTH($A102,0))),MOD((YEAR($A102)-YEAR('Recurring Schedule'!$F$9))*12+MONTH($A102)-MONTH('Recurring Schedule'!$F$9),'Recurring Schedule'!$O$9)=0),IF('Recurring Schedule'!$E$9="Weekdays",WEEKDAY($A102,2)&lt;=5,$A102='Recurring Schedule'!$F$9))),4,""))))</f>
        <v/>
      </c>
      <c r="F102">
        <f>IF('Recurring Schedule'!$C$10="","",IF('Recurring Schedule'!$F$10="","",IF(OR($A102&lt;'Recurring Schedule'!$F$10,$A102&gt;'Recurring Schedule'!$P$10),"",IF(IF('Recurring Schedule'!$N$10&gt;0,MOD($A102-'Recurring Schedule'!$F$10,'Recurring Schedule'!$N$10)=0,IF('Recurring Schedule'!$O$10&gt;0,AND(DAY($A102)=MIN(DAY('Recurring Schedule'!$F$10),DAY(EOMONTH($A102,0))),MOD((YEAR($A102)-YEAR('Recurring Schedule'!$F$10))*12+MONTH($A102)-MONTH('Recurring Schedule'!$F$10),'Recurring Schedule'!$O$10)=0),IF('Recurring Schedule'!$E$10="Weekdays",WEEKDAY($A102,2)&lt;=5,$A102='Recurring Schedule'!$F$10))),5,""))))</f>
        <v/>
      </c>
      <c r="G102">
        <f>IF('Recurring Schedule'!$C$11="","",IF('Recurring Schedule'!$F$11="","",IF(OR($A102&lt;'Recurring Schedule'!$F$11,$A102&gt;'Recurring Schedule'!$P$11),"",IF(IF('Recurring Schedule'!$N$11&gt;0,MOD($A102-'Recurring Schedule'!$F$11,'Recurring Schedule'!$N$11)=0,IF('Recurring Schedule'!$O$11&gt;0,AND(DAY($A102)=MIN(DAY('Recurring Schedule'!$F$11),DAY(EOMONTH($A102,0))),MOD((YEAR($A102)-YEAR('Recurring Schedule'!$F$11))*12+MONTH($A102)-MONTH('Recurring Schedule'!$F$11),'Recurring Schedule'!$O$11)=0),IF('Recurring Schedule'!$E$11="Weekdays",WEEKDAY($A102,2)&lt;=5,$A102='Recurring Schedule'!$F$11))),6,""))))</f>
        <v/>
      </c>
      <c r="H102">
        <f>IF('Recurring Schedule'!$C$12="","",IF('Recurring Schedule'!$F$12="","",IF(OR($A102&lt;'Recurring Schedule'!$F$12,$A102&gt;'Recurring Schedule'!$P$12),"",IF(IF('Recurring Schedule'!$N$12&gt;0,MOD($A102-'Recurring Schedule'!$F$12,'Recurring Schedule'!$N$12)=0,IF('Recurring Schedule'!$O$12&gt;0,AND(DAY($A102)=MIN(DAY('Recurring Schedule'!$F$12),DAY(EOMONTH($A102,0))),MOD((YEAR($A102)-YEAR('Recurring Schedule'!$F$12))*12+MONTH($A102)-MONTH('Recurring Schedule'!$F$12),'Recurring Schedule'!$O$12)=0),IF('Recurring Schedule'!$E$12="Weekdays",WEEKDAY($A102,2)&lt;=5,$A102='Recurring Schedule'!$F$12))),7,""))))</f>
        <v/>
      </c>
      <c r="I102">
        <f>IF('Recurring Schedule'!$C$13="","",IF('Recurring Schedule'!$F$13="","",IF(OR($A102&lt;'Recurring Schedule'!$F$13,$A102&gt;'Recurring Schedule'!$P$13),"",IF(IF('Recurring Schedule'!$N$13&gt;0,MOD($A102-'Recurring Schedule'!$F$13,'Recurring Schedule'!$N$13)=0,IF('Recurring Schedule'!$O$13&gt;0,AND(DAY($A102)=MIN(DAY('Recurring Schedule'!$F$13),DAY(EOMONTH($A102,0))),MOD((YEAR($A102)-YEAR('Recurring Schedule'!$F$13))*12+MONTH($A102)-MONTH('Recurring Schedule'!$F$13),'Recurring Schedule'!$O$13)=0),IF('Recurring Schedule'!$E$13="Weekdays",WEEKDAY($A102,2)&lt;=5,$A102='Recurring Schedule'!$F$13))),8,""))))</f>
        <v/>
      </c>
      <c r="J102">
        <f>IF('Recurring Schedule'!$C$14="","",IF('Recurring Schedule'!$F$14="","",IF(OR($A102&lt;'Recurring Schedule'!$F$14,$A102&gt;'Recurring Schedule'!$P$14),"",IF(IF('Recurring Schedule'!$N$14&gt;0,MOD($A102-'Recurring Schedule'!$F$14,'Recurring Schedule'!$N$14)=0,IF('Recurring Schedule'!$O$14&gt;0,AND(DAY($A102)=MIN(DAY('Recurring Schedule'!$F$14),DAY(EOMONTH($A102,0))),MOD((YEAR($A102)-YEAR('Recurring Schedule'!$F$14))*12+MONTH($A102)-MONTH('Recurring Schedule'!$F$14),'Recurring Schedule'!$O$14)=0),IF('Recurring Schedule'!$E$14="Weekdays",WEEKDAY($A102,2)&lt;=5,$A102='Recurring Schedule'!$F$14))),9,""))))</f>
        <v/>
      </c>
      <c r="K102">
        <f>IF('Recurring Schedule'!$C$15="","",IF('Recurring Schedule'!$F$15="","",IF(OR($A102&lt;'Recurring Schedule'!$F$15,$A102&gt;'Recurring Schedule'!$P$15),"",IF(IF('Recurring Schedule'!$N$15&gt;0,MOD($A102-'Recurring Schedule'!$F$15,'Recurring Schedule'!$N$15)=0,IF('Recurring Schedule'!$O$15&gt;0,AND(DAY($A102)=MIN(DAY('Recurring Schedule'!$F$15),DAY(EOMONTH($A102,0))),MOD((YEAR($A102)-YEAR('Recurring Schedule'!$F$15))*12+MONTH($A102)-MONTH('Recurring Schedule'!$F$15),'Recurring Schedule'!$O$15)=0),IF('Recurring Schedule'!$E$15="Weekdays",WEEKDAY($A102,2)&lt;=5,$A102='Recurring Schedule'!$F$15))),10,""))))</f>
        <v/>
      </c>
      <c r="L102">
        <f>IF('Recurring Schedule'!$C$16="","",IF('Recurring Schedule'!$F$16="","",IF(OR($A102&lt;'Recurring Schedule'!$F$16,$A102&gt;'Recurring Schedule'!$P$16),"",IF(IF('Recurring Schedule'!$N$16&gt;0,MOD($A102-'Recurring Schedule'!$F$16,'Recurring Schedule'!$N$16)=0,IF('Recurring Schedule'!$O$16&gt;0,AND(DAY($A102)=MIN(DAY('Recurring Schedule'!$F$16),DAY(EOMONTH($A102,0))),MOD((YEAR($A102)-YEAR('Recurring Schedule'!$F$16))*12+MONTH($A102)-MONTH('Recurring Schedule'!$F$16),'Recurring Schedule'!$O$16)=0),IF('Recurring Schedule'!$E$16="Weekdays",WEEKDAY($A102,2)&lt;=5,$A102='Recurring Schedule'!$F$16))),11,""))))</f>
        <v/>
      </c>
      <c r="M102">
        <f>IF('Recurring Schedule'!$C$17="","",IF('Recurring Schedule'!$F$17="","",IF(OR($A102&lt;'Recurring Schedule'!$F$17,$A102&gt;'Recurring Schedule'!$P$17),"",IF(IF('Recurring Schedule'!$N$17&gt;0,MOD($A102-'Recurring Schedule'!$F$17,'Recurring Schedule'!$N$17)=0,IF('Recurring Schedule'!$O$17&gt;0,AND(DAY($A102)=MIN(DAY('Recurring Schedule'!$F$17),DAY(EOMONTH($A102,0))),MOD((YEAR($A102)-YEAR('Recurring Schedule'!$F$17))*12+MONTH($A102)-MONTH('Recurring Schedule'!$F$17),'Recurring Schedule'!$O$17)=0),IF('Recurring Schedule'!$E$17="Weekdays",WEEKDAY($A102,2)&lt;=5,$A102='Recurring Schedule'!$F$17))),12,""))))</f>
        <v/>
      </c>
      <c r="N102">
        <f>IF('Recurring Schedule'!$C$18="","",IF('Recurring Schedule'!$F$18="","",IF(OR($A102&lt;'Recurring Schedule'!$F$18,$A102&gt;'Recurring Schedule'!$P$18),"",IF(IF('Recurring Schedule'!$N$18&gt;0,MOD($A102-'Recurring Schedule'!$F$18,'Recurring Schedule'!$N$18)=0,IF('Recurring Schedule'!$O$18&gt;0,AND(DAY($A102)=MIN(DAY('Recurring Schedule'!$F$18),DAY(EOMONTH($A102,0))),MOD((YEAR($A102)-YEAR('Recurring Schedule'!$F$18))*12+MONTH($A102)-MONTH('Recurring Schedule'!$F$18),'Recurring Schedule'!$O$18)=0),IF('Recurring Schedule'!$E$18="Weekdays",WEEKDAY($A102,2)&lt;=5,$A102='Recurring Schedule'!$F$18))),13,""))))</f>
        <v/>
      </c>
      <c r="O102">
        <f>IF('Recurring Schedule'!$C$19="","",IF('Recurring Schedule'!$F$19="","",IF(OR($A102&lt;'Recurring Schedule'!$F$19,$A102&gt;'Recurring Schedule'!$P$19),"",IF(IF('Recurring Schedule'!$N$19&gt;0,MOD($A102-'Recurring Schedule'!$F$19,'Recurring Schedule'!$N$19)=0,IF('Recurring Schedule'!$O$19&gt;0,AND(DAY($A102)=MIN(DAY('Recurring Schedule'!$F$19),DAY(EOMONTH($A102,0))),MOD((YEAR($A102)-YEAR('Recurring Schedule'!$F$19))*12+MONTH($A102)-MONTH('Recurring Schedule'!$F$19),'Recurring Schedule'!$O$19)=0),IF('Recurring Schedule'!$E$19="Weekdays",WEEKDAY($A102,2)&lt;=5,$A102='Recurring Schedule'!$F$19))),14,""))))</f>
        <v/>
      </c>
      <c r="P102">
        <f>IF('Recurring Schedule'!$C$20="","",IF('Recurring Schedule'!$F$20="","",IF(OR($A102&lt;'Recurring Schedule'!$F$20,$A102&gt;'Recurring Schedule'!$P$20),"",IF(IF('Recurring Schedule'!$N$20&gt;0,MOD($A102-'Recurring Schedule'!$F$20,'Recurring Schedule'!$N$20)=0,IF('Recurring Schedule'!$O$20&gt;0,AND(DAY($A102)=MIN(DAY('Recurring Schedule'!$F$20),DAY(EOMONTH($A102,0))),MOD((YEAR($A102)-YEAR('Recurring Schedule'!$F$20))*12+MONTH($A102)-MONTH('Recurring Schedule'!$F$20),'Recurring Schedule'!$O$20)=0),IF('Recurring Schedule'!$E$20="Weekdays",WEEKDAY($A102,2)&lt;=5,$A102='Recurring Schedule'!$F$20))),15,""))))</f>
        <v/>
      </c>
      <c r="Q102">
        <f>IF('Recurring Schedule'!$C$21="","",IF('Recurring Schedule'!$F$21="","",IF(OR($A102&lt;'Recurring Schedule'!$F$21,$A102&gt;'Recurring Schedule'!$P$21),"",IF(IF('Recurring Schedule'!$N$21&gt;0,MOD($A102-'Recurring Schedule'!$F$21,'Recurring Schedule'!$N$21)=0,IF('Recurring Schedule'!$O$21&gt;0,AND(DAY($A102)=MIN(DAY('Recurring Schedule'!$F$21),DAY(EOMONTH($A102,0))),MOD((YEAR($A102)-YEAR('Recurring Schedule'!$F$21))*12+MONTH($A102)-MONTH('Recurring Schedule'!$F$21),'Recurring Schedule'!$O$21)=0),IF('Recurring Schedule'!$E$21="Weekdays",WEEKDAY($A102,2)&lt;=5,$A102='Recurring Schedule'!$F$21))),16,""))))</f>
        <v/>
      </c>
      <c r="R102">
        <f>IF('Recurring Schedule'!$C$22="","",IF('Recurring Schedule'!$F$22="","",IF(OR($A102&lt;'Recurring Schedule'!$F$22,$A102&gt;'Recurring Schedule'!$P$22),"",IF(IF('Recurring Schedule'!$N$22&gt;0,MOD($A102-'Recurring Schedule'!$F$22,'Recurring Schedule'!$N$22)=0,IF('Recurring Schedule'!$O$22&gt;0,AND(DAY($A102)=MIN(DAY('Recurring Schedule'!$F$22),DAY(EOMONTH($A102,0))),MOD((YEAR($A102)-YEAR('Recurring Schedule'!$F$22))*12+MONTH($A102)-MONTH('Recurring Schedule'!$F$22),'Recurring Schedule'!$O$22)=0),IF('Recurring Schedule'!$E$22="Weekdays",WEEKDAY($A102,2)&lt;=5,$A102='Recurring Schedule'!$F$22))),17,""))))</f>
        <v/>
      </c>
      <c r="S102">
        <f>IF('Recurring Schedule'!$C$23="","",IF('Recurring Schedule'!$F$23="","",IF(OR($A102&lt;'Recurring Schedule'!$F$23,$A102&gt;'Recurring Schedule'!$P$23),"",IF(IF('Recurring Schedule'!$N$23&gt;0,MOD($A102-'Recurring Schedule'!$F$23,'Recurring Schedule'!$N$23)=0,IF('Recurring Schedule'!$O$23&gt;0,AND(DAY($A102)=MIN(DAY('Recurring Schedule'!$F$23),DAY(EOMONTH($A102,0))),MOD((YEAR($A102)-YEAR('Recurring Schedule'!$F$23))*12+MONTH($A102)-MONTH('Recurring Schedule'!$F$23),'Recurring Schedule'!$O$23)=0),IF('Recurring Schedule'!$E$23="Weekdays",WEEKDAY($A102,2)&lt;=5,$A102='Recurring Schedule'!$F$23))),18,""))))</f>
        <v/>
      </c>
      <c r="T102">
        <f>IF('Recurring Schedule'!$C$24="","",IF('Recurring Schedule'!$F$24="","",IF(OR($A102&lt;'Recurring Schedule'!$F$24,$A102&gt;'Recurring Schedule'!$P$24),"",IF(IF('Recurring Schedule'!$N$24&gt;0,MOD($A102-'Recurring Schedule'!$F$24,'Recurring Schedule'!$N$24)=0,IF('Recurring Schedule'!$O$24&gt;0,AND(DAY($A102)=MIN(DAY('Recurring Schedule'!$F$24),DAY(EOMONTH($A102,0))),MOD((YEAR($A102)-YEAR('Recurring Schedule'!$F$24))*12+MONTH($A102)-MONTH('Recurring Schedule'!$F$24),'Recurring Schedule'!$O$24)=0),IF('Recurring Schedule'!$E$24="Weekdays",WEEKDAY($A102,2)&lt;=5,$A102='Recurring Schedule'!$F$24))),19,""))))</f>
        <v/>
      </c>
      <c r="U102">
        <f>IF('Recurring Schedule'!$C$25="","",IF('Recurring Schedule'!$F$25="","",IF(OR($A102&lt;'Recurring Schedule'!$F$25,$A102&gt;'Recurring Schedule'!$P$25),"",IF(IF('Recurring Schedule'!$N$25&gt;0,MOD($A102-'Recurring Schedule'!$F$25,'Recurring Schedule'!$N$25)=0,IF('Recurring Schedule'!$O$25&gt;0,AND(DAY($A102)=MIN(DAY('Recurring Schedule'!$F$25),DAY(EOMONTH($A102,0))),MOD((YEAR($A102)-YEAR('Recurring Schedule'!$F$25))*12+MONTH($A102)-MONTH('Recurring Schedule'!$F$25),'Recurring Schedule'!$O$25)=0),IF('Recurring Schedule'!$E$25="Weekdays",WEEKDAY($A102,2)&lt;=5,$A102='Recurring Schedule'!$F$25))),20,""))))</f>
        <v/>
      </c>
      <c r="V102">
        <f>IF('Recurring Schedule'!$C$26="","",IF('Recurring Schedule'!$F$26="","",IF(OR($A102&lt;'Recurring Schedule'!$F$26,$A102&gt;'Recurring Schedule'!$P$26),"",IF(IF('Recurring Schedule'!$N$26&gt;0,MOD($A102-'Recurring Schedule'!$F$26,'Recurring Schedule'!$N$26)=0,IF('Recurring Schedule'!$O$26&gt;0,AND(DAY($A102)=MIN(DAY('Recurring Schedule'!$F$26),DAY(EOMONTH($A102,0))),MOD((YEAR($A102)-YEAR('Recurring Schedule'!$F$26))*12+MONTH($A102)-MONTH('Recurring Schedule'!$F$26),'Recurring Schedule'!$O$26)=0),IF('Recurring Schedule'!$E$26="Weekdays",WEEKDAY($A102,2)&lt;=5,$A102='Recurring Schedule'!$F$26))),21,""))))</f>
        <v/>
      </c>
      <c r="W102">
        <f>IF('Recurring Schedule'!$C$27="","",IF('Recurring Schedule'!$F$27="","",IF(OR($A102&lt;'Recurring Schedule'!$F$27,$A102&gt;'Recurring Schedule'!$P$27),"",IF(IF('Recurring Schedule'!$N$27&gt;0,MOD($A102-'Recurring Schedule'!$F$27,'Recurring Schedule'!$N$27)=0,IF('Recurring Schedule'!$O$27&gt;0,AND(DAY($A102)=MIN(DAY('Recurring Schedule'!$F$27),DAY(EOMONTH($A102,0))),MOD((YEAR($A102)-YEAR('Recurring Schedule'!$F$27))*12+MONTH($A102)-MONTH('Recurring Schedule'!$F$27),'Recurring Schedule'!$O$27)=0),IF('Recurring Schedule'!$E$27="Weekdays",WEEKDAY($A102,2)&lt;=5,$A102='Recurring Schedule'!$F$27))),22,""))))</f>
        <v/>
      </c>
      <c r="X102">
        <f>IF('Recurring Schedule'!$C$28="","",IF('Recurring Schedule'!$F$28="","",IF(OR($A102&lt;'Recurring Schedule'!$F$28,$A102&gt;'Recurring Schedule'!$P$28),"",IF(IF('Recurring Schedule'!$N$28&gt;0,MOD($A102-'Recurring Schedule'!$F$28,'Recurring Schedule'!$N$28)=0,IF('Recurring Schedule'!$O$28&gt;0,AND(DAY($A102)=MIN(DAY('Recurring Schedule'!$F$28),DAY(EOMONTH($A102,0))),MOD((YEAR($A102)-YEAR('Recurring Schedule'!$F$28))*12+MONTH($A102)-MONTH('Recurring Schedule'!$F$28),'Recurring Schedule'!$O$28)=0),IF('Recurring Schedule'!$E$28="Weekdays",WEEKDAY($A102,2)&lt;=5,$A102='Recurring Schedule'!$F$28))),23,""))))</f>
        <v/>
      </c>
      <c r="Y102">
        <f>IF('Recurring Schedule'!$C$29="","",IF('Recurring Schedule'!$F$29="","",IF(OR($A102&lt;'Recurring Schedule'!$F$29,$A102&gt;'Recurring Schedule'!$P$29),"",IF(IF('Recurring Schedule'!$N$29&gt;0,MOD($A102-'Recurring Schedule'!$F$29,'Recurring Schedule'!$N$29)=0,IF('Recurring Schedule'!$O$29&gt;0,AND(DAY($A102)=MIN(DAY('Recurring Schedule'!$F$29),DAY(EOMONTH($A102,0))),MOD((YEAR($A102)-YEAR('Recurring Schedule'!$F$29))*12+MONTH($A102)-MONTH('Recurring Schedule'!$F$29),'Recurring Schedule'!$O$29)=0),IF('Recurring Schedule'!$E$29="Weekdays",WEEKDAY($A102,2)&lt;=5,$A102='Recurring Schedule'!$F$29))),24,""))))</f>
        <v/>
      </c>
      <c r="Z102">
        <f>IF('Recurring Schedule'!$C$30="","",IF('Recurring Schedule'!$F$30="","",IF(OR($A102&lt;'Recurring Schedule'!$F$30,$A102&gt;'Recurring Schedule'!$P$30),"",IF(IF('Recurring Schedule'!$N$30&gt;0,MOD($A102-'Recurring Schedule'!$F$30,'Recurring Schedule'!$N$30)=0,IF('Recurring Schedule'!$O$30&gt;0,AND(DAY($A102)=MIN(DAY('Recurring Schedule'!$F$30),DAY(EOMONTH($A102,0))),MOD((YEAR($A102)-YEAR('Recurring Schedule'!$F$30))*12+MONTH($A102)-MONTH('Recurring Schedule'!$F$30),'Recurring Schedule'!$O$30)=0),IF('Recurring Schedule'!$E$30="Weekdays",WEEKDAY($A102,2)&lt;=5,$A102='Recurring Schedule'!$F$30))),25,""))))</f>
        <v/>
      </c>
      <c r="AA102">
        <f>IF('Recurring Schedule'!$C$31="","",IF('Recurring Schedule'!$F$31="","",IF(OR($A102&lt;'Recurring Schedule'!$F$31,$A102&gt;'Recurring Schedule'!$P$31),"",IF(IF('Recurring Schedule'!$N$31&gt;0,MOD($A102-'Recurring Schedule'!$F$31,'Recurring Schedule'!$N$31)=0,IF('Recurring Schedule'!$O$31&gt;0,AND(DAY($A102)=MIN(DAY('Recurring Schedule'!$F$31),DAY(EOMONTH($A102,0))),MOD((YEAR($A102)-YEAR('Recurring Schedule'!$F$31))*12+MONTH($A102)-MONTH('Recurring Schedule'!$F$31),'Recurring Schedule'!$O$31)=0),IF('Recurring Schedule'!$E$31="Weekdays",WEEKDAY($A102,2)&lt;=5,$A102='Recurring Schedule'!$F$31))),26,""))))</f>
        <v/>
      </c>
      <c r="AB102">
        <f>IF('Recurring Schedule'!$C$32="","",IF('Recurring Schedule'!$F$32="","",IF(OR($A102&lt;'Recurring Schedule'!$F$32,$A102&gt;'Recurring Schedule'!$P$32),"",IF(IF('Recurring Schedule'!$N$32&gt;0,MOD($A102-'Recurring Schedule'!$F$32,'Recurring Schedule'!$N$32)=0,IF('Recurring Schedule'!$O$32&gt;0,AND(DAY($A102)=MIN(DAY('Recurring Schedule'!$F$32),DAY(EOMONTH($A102,0))),MOD((YEAR($A102)-YEAR('Recurring Schedule'!$F$32))*12+MONTH($A102)-MONTH('Recurring Schedule'!$F$32),'Recurring Schedule'!$O$32)=0),IF('Recurring Schedule'!$E$32="Weekdays",WEEKDAY($A102,2)&lt;=5,$A102='Recurring Schedule'!$F$32))),27,""))))</f>
        <v/>
      </c>
      <c r="AC102">
        <f>IF('Recurring Schedule'!$C$33="","",IF('Recurring Schedule'!$F$33="","",IF(OR($A102&lt;'Recurring Schedule'!$F$33,$A102&gt;'Recurring Schedule'!$P$33),"",IF(IF('Recurring Schedule'!$N$33&gt;0,MOD($A102-'Recurring Schedule'!$F$33,'Recurring Schedule'!$N$33)=0,IF('Recurring Schedule'!$O$33&gt;0,AND(DAY($A102)=MIN(DAY('Recurring Schedule'!$F$33),DAY(EOMONTH($A102,0))),MOD((YEAR($A102)-YEAR('Recurring Schedule'!$F$33))*12+MONTH($A102)-MONTH('Recurring Schedule'!$F$33),'Recurring Schedule'!$O$33)=0),IF('Recurring Schedule'!$E$33="Weekdays",WEEKDAY($A102,2)&lt;=5,$A102='Recurring Schedule'!$F$33))),28,""))))</f>
        <v/>
      </c>
      <c r="AD102">
        <f>IF('Recurring Schedule'!$C$34="","",IF('Recurring Schedule'!$F$34="","",IF(OR($A102&lt;'Recurring Schedule'!$F$34,$A102&gt;'Recurring Schedule'!$P$34),"",IF(IF('Recurring Schedule'!$N$34&gt;0,MOD($A102-'Recurring Schedule'!$F$34,'Recurring Schedule'!$N$34)=0,IF('Recurring Schedule'!$O$34&gt;0,AND(DAY($A102)=MIN(DAY('Recurring Schedule'!$F$34),DAY(EOMONTH($A102,0))),MOD((YEAR($A102)-YEAR('Recurring Schedule'!$F$34))*12+MONTH($A102)-MONTH('Recurring Schedule'!$F$34),'Recurring Schedule'!$O$34)=0),IF('Recurring Schedule'!$E$34="Weekdays",WEEKDAY($A102,2)&lt;=5,$A102='Recurring Schedule'!$F$34))),29,""))))</f>
        <v/>
      </c>
      <c r="AE102">
        <f>IF('Recurring Schedule'!$C$35="","",IF('Recurring Schedule'!$F$35="","",IF(OR($A102&lt;'Recurring Schedule'!$F$35,$A102&gt;'Recurring Schedule'!$P$35),"",IF(IF('Recurring Schedule'!$N$35&gt;0,MOD($A102-'Recurring Schedule'!$F$35,'Recurring Schedule'!$N$35)=0,IF('Recurring Schedule'!$O$35&gt;0,AND(DAY($A102)=MIN(DAY('Recurring Schedule'!$F$35),DAY(EOMONTH($A102,0))),MOD((YEAR($A102)-YEAR('Recurring Schedule'!$F$35))*12+MONTH($A102)-MONTH('Recurring Schedule'!$F$35),'Recurring Schedule'!$O$35)=0),IF('Recurring Schedule'!$E$35="Weekdays",WEEKDAY($A102,2)&lt;=5,$A102='Recurring Schedule'!$F$35))),30,""))))</f>
        <v/>
      </c>
      <c r="AF102">
        <f>IF('Recurring Schedule'!$C$36="","",IF('Recurring Schedule'!$F$36="","",IF(OR($A102&lt;'Recurring Schedule'!$F$36,$A102&gt;'Recurring Schedule'!$P$36),"",IF(IF('Recurring Schedule'!$N$36&gt;0,MOD($A102-'Recurring Schedule'!$F$36,'Recurring Schedule'!$N$36)=0,IF('Recurring Schedule'!$O$36&gt;0,AND(DAY($A102)=MIN(DAY('Recurring Schedule'!$F$36),DAY(EOMONTH($A102,0))),MOD((YEAR($A102)-YEAR('Recurring Schedule'!$F$36))*12+MONTH($A102)-MONTH('Recurring Schedule'!$F$36),'Recurring Schedule'!$O$36)=0),IF('Recurring Schedule'!$E$36="Weekdays",WEEKDAY($A102,2)&lt;=5,$A102='Recurring Schedule'!$F$36))),31,""))))</f>
        <v/>
      </c>
      <c r="AG102">
        <f>IF('Recurring Schedule'!$C$37="","",IF('Recurring Schedule'!$F$37="","",IF(OR($A102&lt;'Recurring Schedule'!$F$37,$A102&gt;'Recurring Schedule'!$P$37),"",IF(IF('Recurring Schedule'!$N$37&gt;0,MOD($A102-'Recurring Schedule'!$F$37,'Recurring Schedule'!$N$37)=0,IF('Recurring Schedule'!$O$37&gt;0,AND(DAY($A102)=MIN(DAY('Recurring Schedule'!$F$37),DAY(EOMONTH($A102,0))),MOD((YEAR($A102)-YEAR('Recurring Schedule'!$F$37))*12+MONTH($A102)-MONTH('Recurring Schedule'!$F$37),'Recurring Schedule'!$O$37)=0),IF('Recurring Schedule'!$E$37="Weekdays",WEEKDAY($A102,2)&lt;=5,$A102='Recurring Schedule'!$F$37))),32,""))))</f>
        <v/>
      </c>
      <c r="AH102">
        <f>IF('Recurring Schedule'!$C$38="","",IF('Recurring Schedule'!$F$38="","",IF(OR($A102&lt;'Recurring Schedule'!$F$38,$A102&gt;'Recurring Schedule'!$P$38),"",IF(IF('Recurring Schedule'!$N$38&gt;0,MOD($A102-'Recurring Schedule'!$F$38,'Recurring Schedule'!$N$38)=0,IF('Recurring Schedule'!$O$38&gt;0,AND(DAY($A102)=MIN(DAY('Recurring Schedule'!$F$38),DAY(EOMONTH($A102,0))),MOD((YEAR($A102)-YEAR('Recurring Schedule'!$F$38))*12+MONTH($A102)-MONTH('Recurring Schedule'!$F$38),'Recurring Schedule'!$O$38)=0),IF('Recurring Schedule'!$E$38="Weekdays",WEEKDAY($A102,2)&lt;=5,$A102='Recurring Schedule'!$F$38))),33,""))))</f>
        <v/>
      </c>
      <c r="AI102">
        <f>IF('Recurring Schedule'!$C$39="","",IF('Recurring Schedule'!$F$39="","",IF(OR($A102&lt;'Recurring Schedule'!$F$39,$A102&gt;'Recurring Schedule'!$P$39),"",IF(IF('Recurring Schedule'!$N$39&gt;0,MOD($A102-'Recurring Schedule'!$F$39,'Recurring Schedule'!$N$39)=0,IF('Recurring Schedule'!$O$39&gt;0,AND(DAY($A102)=MIN(DAY('Recurring Schedule'!$F$39),DAY(EOMONTH($A102,0))),MOD((YEAR($A102)-YEAR('Recurring Schedule'!$F$39))*12+MONTH($A102)-MONTH('Recurring Schedule'!$F$39),'Recurring Schedule'!$O$39)=0),IF('Recurring Schedule'!$E$39="Weekdays",WEEKDAY($A102,2)&lt;=5,$A102='Recurring Schedule'!$F$39))),34,""))))</f>
        <v/>
      </c>
      <c r="AJ102">
        <f>IF('Recurring Schedule'!$C$40="","",IF('Recurring Schedule'!$F$40="","",IF(OR($A102&lt;'Recurring Schedule'!$F$40,$A102&gt;'Recurring Schedule'!$P$40),"",IF(IF('Recurring Schedule'!$N$40&gt;0,MOD($A102-'Recurring Schedule'!$F$40,'Recurring Schedule'!$N$40)=0,IF('Recurring Schedule'!$O$40&gt;0,AND(DAY($A102)=MIN(DAY('Recurring Schedule'!$F$40),DAY(EOMONTH($A102,0))),MOD((YEAR($A102)-YEAR('Recurring Schedule'!$F$40))*12+MONTH($A102)-MONTH('Recurring Schedule'!$F$40),'Recurring Schedule'!$O$40)=0),IF('Recurring Schedule'!$E$40="Weekdays",WEEKDAY($A102,2)&lt;=5,$A102='Recurring Schedule'!$F$40))),35,""))))</f>
        <v/>
      </c>
      <c r="AK102">
        <f>IF('Recurring Schedule'!$C$41="","",IF('Recurring Schedule'!$F$41="","",IF(OR($A102&lt;'Recurring Schedule'!$F$41,$A102&gt;'Recurring Schedule'!$P$41),"",IF(IF('Recurring Schedule'!$N$41&gt;0,MOD($A102-'Recurring Schedule'!$F$41,'Recurring Schedule'!$N$41)=0,IF('Recurring Schedule'!$O$41&gt;0,AND(DAY($A102)=MIN(DAY('Recurring Schedule'!$F$41),DAY(EOMONTH($A102,0))),MOD((YEAR($A102)-YEAR('Recurring Schedule'!$F$41))*12+MONTH($A102)-MONTH('Recurring Schedule'!$F$41),'Recurring Schedule'!$O$41)=0),IF('Recurring Schedule'!$E$41="Weekdays",WEEKDAY($A102,2)&lt;=5,$A102='Recurring Schedule'!$F$41))),36,""))))</f>
        <v/>
      </c>
      <c r="AL102">
        <f>IF('Recurring Schedule'!$C$42="","",IF('Recurring Schedule'!$F$42="","",IF(OR($A102&lt;'Recurring Schedule'!$F$42,$A102&gt;'Recurring Schedule'!$P$42),"",IF(IF('Recurring Schedule'!$N$42&gt;0,MOD($A102-'Recurring Schedule'!$F$42,'Recurring Schedule'!$N$42)=0,IF('Recurring Schedule'!$O$42&gt;0,AND(DAY($A102)=MIN(DAY('Recurring Schedule'!$F$42),DAY(EOMONTH($A102,0))),MOD((YEAR($A102)-YEAR('Recurring Schedule'!$F$42))*12+MONTH($A102)-MONTH('Recurring Schedule'!$F$42),'Recurring Schedule'!$O$42)=0),IF('Recurring Schedule'!$E$42="Weekdays",WEEKDAY($A102,2)&lt;=5,$A102='Recurring Schedule'!$F$42))),37,""))))</f>
        <v/>
      </c>
      <c r="AM102">
        <f>IF('Recurring Schedule'!$C$43="","",IF('Recurring Schedule'!$F$43="","",IF(OR($A102&lt;'Recurring Schedule'!$F$43,$A102&gt;'Recurring Schedule'!$P$43),"",IF(IF('Recurring Schedule'!$N$43&gt;0,MOD($A102-'Recurring Schedule'!$F$43,'Recurring Schedule'!$N$43)=0,IF('Recurring Schedule'!$O$43&gt;0,AND(DAY($A102)=MIN(DAY('Recurring Schedule'!$F$43),DAY(EOMONTH($A102,0))),MOD((YEAR($A102)-YEAR('Recurring Schedule'!$F$43))*12+MONTH($A102)-MONTH('Recurring Schedule'!$F$43),'Recurring Schedule'!$O$43)=0),IF('Recurring Schedule'!$E$43="Weekdays",WEEKDAY($A102,2)&lt;=5,$A102='Recurring Schedule'!$F$43))),38,""))))</f>
        <v/>
      </c>
      <c r="AN102">
        <f>IF('Recurring Schedule'!$C$44="","",IF('Recurring Schedule'!$F$44="","",IF(OR($A102&lt;'Recurring Schedule'!$F$44,$A102&gt;'Recurring Schedule'!$P$44),"",IF(IF('Recurring Schedule'!$N$44&gt;0,MOD($A102-'Recurring Schedule'!$F$44,'Recurring Schedule'!$N$44)=0,IF('Recurring Schedule'!$O$44&gt;0,AND(DAY($A102)=MIN(DAY('Recurring Schedule'!$F$44),DAY(EOMONTH($A102,0))),MOD((YEAR($A102)-YEAR('Recurring Schedule'!$F$44))*12+MONTH($A102)-MONTH('Recurring Schedule'!$F$44),'Recurring Schedule'!$O$44)=0),IF('Recurring Schedule'!$E$44="Weekdays",WEEKDAY($A102,2)&lt;=5,$A102='Recurring Schedule'!$F$44))),39,""))))</f>
        <v/>
      </c>
      <c r="AO102">
        <f>IF('Recurring Schedule'!$C$45="","",IF('Recurring Schedule'!$F$45="","",IF(OR($A102&lt;'Recurring Schedule'!$F$45,$A102&gt;'Recurring Schedule'!$P$45),"",IF(IF('Recurring Schedule'!$N$45&gt;0,MOD($A102-'Recurring Schedule'!$F$45,'Recurring Schedule'!$N$45)=0,IF('Recurring Schedule'!$O$45&gt;0,AND(DAY($A102)=MIN(DAY('Recurring Schedule'!$F$45),DAY(EOMONTH($A102,0))),MOD((YEAR($A102)-YEAR('Recurring Schedule'!$F$45))*12+MONTH($A102)-MONTH('Recurring Schedule'!$F$45),'Recurring Schedule'!$O$45)=0),IF('Recurring Schedule'!$E$45="Weekdays",WEEKDAY($A102,2)&lt;=5,$A102='Recurring Schedule'!$F$45))),40,""))))</f>
        <v/>
      </c>
      <c r="AP102">
        <f>COUNT(B102:AO102)</f>
        <v/>
      </c>
      <c r="AQ102">
        <f>AQ101+AP101</f>
        <v/>
      </c>
      <c r="AS102" t="inlineStr">
        <is>
          <t>R</t>
        </is>
      </c>
      <c r="AT102" t="n">
        <v>106</v>
      </c>
      <c r="AU102">
        <f>'Recurring Log'!C106&amp;""</f>
        <v/>
      </c>
      <c r="AV102">
        <f>'Recurring Log'!D106&amp;""</f>
        <v/>
      </c>
      <c r="AW102">
        <f>IF('Recurring Log'!E106="","",'Recurring Log'!E106)</f>
        <v/>
      </c>
      <c r="AX102">
        <f>IF('Recurring Log'!G106="","",'Recurring Log'!G106)</f>
        <v/>
      </c>
      <c r="AY102">
        <f>IF('Recurring Log'!H106="","",'Recurring Log'!H106)</f>
        <v/>
      </c>
      <c r="AZ102">
        <f>IF(AU102="","",IF('Recurring Log'!J106="","Not Started",'Recurring Log'!J106))</f>
        <v/>
      </c>
      <c r="BA102">
        <f>'Recurring Log'!L106&amp;""</f>
        <v/>
      </c>
      <c r="BB102">
        <f>'Recurring Log'!M106&amp;""</f>
        <v/>
      </c>
      <c r="BC102">
        <f>'Recurring Log'!N106&amp;""</f>
        <v/>
      </c>
      <c r="BD102">
        <f>'Recurring Log'!O106&amp;""</f>
        <v/>
      </c>
      <c r="BE102">
        <f>IF('Recurring Log'!K106="","",'Recurring Log'!K106)</f>
        <v/>
      </c>
      <c r="BF102">
        <f>IFERROR(MATCH(BA102,Setup!$L$6:$L$9,0),5)</f>
        <v/>
      </c>
      <c r="BG102">
        <f>IF(OR(AZ102="Done",AZ102="Cancelled"),1,0)</f>
        <v/>
      </c>
      <c r="BH102">
        <f>IF(AND(AU102&lt;&gt;"",ISNUMBER(AW102)),1,0)</f>
        <v/>
      </c>
      <c r="BI102">
        <f>IF(BH102=0,0,IF(AND(AW102&gt;='Tasks Filter'!$F$3,AW102&lt;='Tasks Filter'!$F$4,OR('Tasks Filter'!$I$3="",ISNUMBER(SEARCH('Tasks Filter'!$I$3,AU102))),OR('Tasks Filter'!$I$4="",BF102=IFERROR(MATCH('Tasks Filter'!$I$4,Setup!$L$6:$L$9,0),0)),OR('Tasks Filter'!$I$5="Both",AND('Tasks Filter'!$I$5="Yes",BB102="✓"),AND('Tasks Filter'!$I$5="No",BB102&lt;&gt;"✓")),OR('Tasks Filter'!$L$3="",AV102='Tasks Filter'!$L$3),OR('Tasks Filter'!$L$4="",AZ102='Tasks Filter'!$L$4),OR('Tasks Filter'!$L$5="",BC102='Tasks Filter'!$L$5),OR('Tasks Filter'!$O$3="",BD102='Tasks Filter'!$O$3),OR('Tasks Filter'!$O$4="Yes",BG102=0)),1,0))</f>
        <v/>
      </c>
      <c r="BJ102">
        <f>IF(BH102=0,"",IF('Tasks Filter'!$F$6="Descending",-1,1)*CHOOSE(MATCH('Tasks Filter'!$F$5,Lists!$G$2:$G$6,0),AW102,BF102,IFERROR(MATCH(AV102,Setup!$F$6:$F$15,0),99),IFERROR(MATCH(BC102,Setup!$H$6:$H$15,0),99),IFERROR(MATCH(AZ102,Setup!$J$6:$J$11,0),99))*1E+9+(AW102-40000)*10000+101)</f>
        <v/>
      </c>
      <c r="BK102">
        <f>IF(BI102=1,BJ102,"")</f>
        <v/>
      </c>
      <c r="BL102">
        <f>IF(AND(BH102=1,BG102=0,N(AW102)&lt;Setup!$D$7),(AW102-40000)*10000+101,"")</f>
        <v/>
      </c>
      <c r="BM102">
        <f>IF(AND(BH102=1,AZ102&lt;&gt;"Cancelled",N(AW102)&gt;=Dashboard!$AB$3,N(AW102)&lt;=Dashboard!$AB$3+6),(AW102-40000)*100000+BF102*10000+101,"")</f>
        <v/>
      </c>
      <c r="BN102">
        <f>IF(AND(BH102=1,AZ102&lt;&gt;"Cancelled"),BF102*10000+101,"")</f>
        <v/>
      </c>
    </row>
    <row r="103">
      <c r="A103">
        <f>Setup!$D$5+101</f>
        <v/>
      </c>
      <c r="B103">
        <f>IF('Recurring Schedule'!$C$6="","",IF('Recurring Schedule'!$F$6="","",IF(OR($A103&lt;'Recurring Schedule'!$F$6,$A103&gt;'Recurring Schedule'!$P$6),"",IF(IF('Recurring Schedule'!$N$6&gt;0,MOD($A103-'Recurring Schedule'!$F$6,'Recurring Schedule'!$N$6)=0,IF('Recurring Schedule'!$O$6&gt;0,AND(DAY($A103)=MIN(DAY('Recurring Schedule'!$F$6),DAY(EOMONTH($A103,0))),MOD((YEAR($A103)-YEAR('Recurring Schedule'!$F$6))*12+MONTH($A103)-MONTH('Recurring Schedule'!$F$6),'Recurring Schedule'!$O$6)=0),IF('Recurring Schedule'!$E$6="Weekdays",WEEKDAY($A103,2)&lt;=5,$A103='Recurring Schedule'!$F$6))),1,""))))</f>
        <v/>
      </c>
      <c r="C103">
        <f>IF('Recurring Schedule'!$C$7="","",IF('Recurring Schedule'!$F$7="","",IF(OR($A103&lt;'Recurring Schedule'!$F$7,$A103&gt;'Recurring Schedule'!$P$7),"",IF(IF('Recurring Schedule'!$N$7&gt;0,MOD($A103-'Recurring Schedule'!$F$7,'Recurring Schedule'!$N$7)=0,IF('Recurring Schedule'!$O$7&gt;0,AND(DAY($A103)=MIN(DAY('Recurring Schedule'!$F$7),DAY(EOMONTH($A103,0))),MOD((YEAR($A103)-YEAR('Recurring Schedule'!$F$7))*12+MONTH($A103)-MONTH('Recurring Schedule'!$F$7),'Recurring Schedule'!$O$7)=0),IF('Recurring Schedule'!$E$7="Weekdays",WEEKDAY($A103,2)&lt;=5,$A103='Recurring Schedule'!$F$7))),2,""))))</f>
        <v/>
      </c>
      <c r="D103">
        <f>IF('Recurring Schedule'!$C$8="","",IF('Recurring Schedule'!$F$8="","",IF(OR($A103&lt;'Recurring Schedule'!$F$8,$A103&gt;'Recurring Schedule'!$P$8),"",IF(IF('Recurring Schedule'!$N$8&gt;0,MOD($A103-'Recurring Schedule'!$F$8,'Recurring Schedule'!$N$8)=0,IF('Recurring Schedule'!$O$8&gt;0,AND(DAY($A103)=MIN(DAY('Recurring Schedule'!$F$8),DAY(EOMONTH($A103,0))),MOD((YEAR($A103)-YEAR('Recurring Schedule'!$F$8))*12+MONTH($A103)-MONTH('Recurring Schedule'!$F$8),'Recurring Schedule'!$O$8)=0),IF('Recurring Schedule'!$E$8="Weekdays",WEEKDAY($A103,2)&lt;=5,$A103='Recurring Schedule'!$F$8))),3,""))))</f>
        <v/>
      </c>
      <c r="E103">
        <f>IF('Recurring Schedule'!$C$9="","",IF('Recurring Schedule'!$F$9="","",IF(OR($A103&lt;'Recurring Schedule'!$F$9,$A103&gt;'Recurring Schedule'!$P$9),"",IF(IF('Recurring Schedule'!$N$9&gt;0,MOD($A103-'Recurring Schedule'!$F$9,'Recurring Schedule'!$N$9)=0,IF('Recurring Schedule'!$O$9&gt;0,AND(DAY($A103)=MIN(DAY('Recurring Schedule'!$F$9),DAY(EOMONTH($A103,0))),MOD((YEAR($A103)-YEAR('Recurring Schedule'!$F$9))*12+MONTH($A103)-MONTH('Recurring Schedule'!$F$9),'Recurring Schedule'!$O$9)=0),IF('Recurring Schedule'!$E$9="Weekdays",WEEKDAY($A103,2)&lt;=5,$A103='Recurring Schedule'!$F$9))),4,""))))</f>
        <v/>
      </c>
      <c r="F103">
        <f>IF('Recurring Schedule'!$C$10="","",IF('Recurring Schedule'!$F$10="","",IF(OR($A103&lt;'Recurring Schedule'!$F$10,$A103&gt;'Recurring Schedule'!$P$10),"",IF(IF('Recurring Schedule'!$N$10&gt;0,MOD($A103-'Recurring Schedule'!$F$10,'Recurring Schedule'!$N$10)=0,IF('Recurring Schedule'!$O$10&gt;0,AND(DAY($A103)=MIN(DAY('Recurring Schedule'!$F$10),DAY(EOMONTH($A103,0))),MOD((YEAR($A103)-YEAR('Recurring Schedule'!$F$10))*12+MONTH($A103)-MONTH('Recurring Schedule'!$F$10),'Recurring Schedule'!$O$10)=0),IF('Recurring Schedule'!$E$10="Weekdays",WEEKDAY($A103,2)&lt;=5,$A103='Recurring Schedule'!$F$10))),5,""))))</f>
        <v/>
      </c>
      <c r="G103">
        <f>IF('Recurring Schedule'!$C$11="","",IF('Recurring Schedule'!$F$11="","",IF(OR($A103&lt;'Recurring Schedule'!$F$11,$A103&gt;'Recurring Schedule'!$P$11),"",IF(IF('Recurring Schedule'!$N$11&gt;0,MOD($A103-'Recurring Schedule'!$F$11,'Recurring Schedule'!$N$11)=0,IF('Recurring Schedule'!$O$11&gt;0,AND(DAY($A103)=MIN(DAY('Recurring Schedule'!$F$11),DAY(EOMONTH($A103,0))),MOD((YEAR($A103)-YEAR('Recurring Schedule'!$F$11))*12+MONTH($A103)-MONTH('Recurring Schedule'!$F$11),'Recurring Schedule'!$O$11)=0),IF('Recurring Schedule'!$E$11="Weekdays",WEEKDAY($A103,2)&lt;=5,$A103='Recurring Schedule'!$F$11))),6,""))))</f>
        <v/>
      </c>
      <c r="H103">
        <f>IF('Recurring Schedule'!$C$12="","",IF('Recurring Schedule'!$F$12="","",IF(OR($A103&lt;'Recurring Schedule'!$F$12,$A103&gt;'Recurring Schedule'!$P$12),"",IF(IF('Recurring Schedule'!$N$12&gt;0,MOD($A103-'Recurring Schedule'!$F$12,'Recurring Schedule'!$N$12)=0,IF('Recurring Schedule'!$O$12&gt;0,AND(DAY($A103)=MIN(DAY('Recurring Schedule'!$F$12),DAY(EOMONTH($A103,0))),MOD((YEAR($A103)-YEAR('Recurring Schedule'!$F$12))*12+MONTH($A103)-MONTH('Recurring Schedule'!$F$12),'Recurring Schedule'!$O$12)=0),IF('Recurring Schedule'!$E$12="Weekdays",WEEKDAY($A103,2)&lt;=5,$A103='Recurring Schedule'!$F$12))),7,""))))</f>
        <v/>
      </c>
      <c r="I103">
        <f>IF('Recurring Schedule'!$C$13="","",IF('Recurring Schedule'!$F$13="","",IF(OR($A103&lt;'Recurring Schedule'!$F$13,$A103&gt;'Recurring Schedule'!$P$13),"",IF(IF('Recurring Schedule'!$N$13&gt;0,MOD($A103-'Recurring Schedule'!$F$13,'Recurring Schedule'!$N$13)=0,IF('Recurring Schedule'!$O$13&gt;0,AND(DAY($A103)=MIN(DAY('Recurring Schedule'!$F$13),DAY(EOMONTH($A103,0))),MOD((YEAR($A103)-YEAR('Recurring Schedule'!$F$13))*12+MONTH($A103)-MONTH('Recurring Schedule'!$F$13),'Recurring Schedule'!$O$13)=0),IF('Recurring Schedule'!$E$13="Weekdays",WEEKDAY($A103,2)&lt;=5,$A103='Recurring Schedule'!$F$13))),8,""))))</f>
        <v/>
      </c>
      <c r="J103">
        <f>IF('Recurring Schedule'!$C$14="","",IF('Recurring Schedule'!$F$14="","",IF(OR($A103&lt;'Recurring Schedule'!$F$14,$A103&gt;'Recurring Schedule'!$P$14),"",IF(IF('Recurring Schedule'!$N$14&gt;0,MOD($A103-'Recurring Schedule'!$F$14,'Recurring Schedule'!$N$14)=0,IF('Recurring Schedule'!$O$14&gt;0,AND(DAY($A103)=MIN(DAY('Recurring Schedule'!$F$14),DAY(EOMONTH($A103,0))),MOD((YEAR($A103)-YEAR('Recurring Schedule'!$F$14))*12+MONTH($A103)-MONTH('Recurring Schedule'!$F$14),'Recurring Schedule'!$O$14)=0),IF('Recurring Schedule'!$E$14="Weekdays",WEEKDAY($A103,2)&lt;=5,$A103='Recurring Schedule'!$F$14))),9,""))))</f>
        <v/>
      </c>
      <c r="K103">
        <f>IF('Recurring Schedule'!$C$15="","",IF('Recurring Schedule'!$F$15="","",IF(OR($A103&lt;'Recurring Schedule'!$F$15,$A103&gt;'Recurring Schedule'!$P$15),"",IF(IF('Recurring Schedule'!$N$15&gt;0,MOD($A103-'Recurring Schedule'!$F$15,'Recurring Schedule'!$N$15)=0,IF('Recurring Schedule'!$O$15&gt;0,AND(DAY($A103)=MIN(DAY('Recurring Schedule'!$F$15),DAY(EOMONTH($A103,0))),MOD((YEAR($A103)-YEAR('Recurring Schedule'!$F$15))*12+MONTH($A103)-MONTH('Recurring Schedule'!$F$15),'Recurring Schedule'!$O$15)=0),IF('Recurring Schedule'!$E$15="Weekdays",WEEKDAY($A103,2)&lt;=5,$A103='Recurring Schedule'!$F$15))),10,""))))</f>
        <v/>
      </c>
      <c r="L103">
        <f>IF('Recurring Schedule'!$C$16="","",IF('Recurring Schedule'!$F$16="","",IF(OR($A103&lt;'Recurring Schedule'!$F$16,$A103&gt;'Recurring Schedule'!$P$16),"",IF(IF('Recurring Schedule'!$N$16&gt;0,MOD($A103-'Recurring Schedule'!$F$16,'Recurring Schedule'!$N$16)=0,IF('Recurring Schedule'!$O$16&gt;0,AND(DAY($A103)=MIN(DAY('Recurring Schedule'!$F$16),DAY(EOMONTH($A103,0))),MOD((YEAR($A103)-YEAR('Recurring Schedule'!$F$16))*12+MONTH($A103)-MONTH('Recurring Schedule'!$F$16),'Recurring Schedule'!$O$16)=0),IF('Recurring Schedule'!$E$16="Weekdays",WEEKDAY($A103,2)&lt;=5,$A103='Recurring Schedule'!$F$16))),11,""))))</f>
        <v/>
      </c>
      <c r="M103">
        <f>IF('Recurring Schedule'!$C$17="","",IF('Recurring Schedule'!$F$17="","",IF(OR($A103&lt;'Recurring Schedule'!$F$17,$A103&gt;'Recurring Schedule'!$P$17),"",IF(IF('Recurring Schedule'!$N$17&gt;0,MOD($A103-'Recurring Schedule'!$F$17,'Recurring Schedule'!$N$17)=0,IF('Recurring Schedule'!$O$17&gt;0,AND(DAY($A103)=MIN(DAY('Recurring Schedule'!$F$17),DAY(EOMONTH($A103,0))),MOD((YEAR($A103)-YEAR('Recurring Schedule'!$F$17))*12+MONTH($A103)-MONTH('Recurring Schedule'!$F$17),'Recurring Schedule'!$O$17)=0),IF('Recurring Schedule'!$E$17="Weekdays",WEEKDAY($A103,2)&lt;=5,$A103='Recurring Schedule'!$F$17))),12,""))))</f>
        <v/>
      </c>
      <c r="N103">
        <f>IF('Recurring Schedule'!$C$18="","",IF('Recurring Schedule'!$F$18="","",IF(OR($A103&lt;'Recurring Schedule'!$F$18,$A103&gt;'Recurring Schedule'!$P$18),"",IF(IF('Recurring Schedule'!$N$18&gt;0,MOD($A103-'Recurring Schedule'!$F$18,'Recurring Schedule'!$N$18)=0,IF('Recurring Schedule'!$O$18&gt;0,AND(DAY($A103)=MIN(DAY('Recurring Schedule'!$F$18),DAY(EOMONTH($A103,0))),MOD((YEAR($A103)-YEAR('Recurring Schedule'!$F$18))*12+MONTH($A103)-MONTH('Recurring Schedule'!$F$18),'Recurring Schedule'!$O$18)=0),IF('Recurring Schedule'!$E$18="Weekdays",WEEKDAY($A103,2)&lt;=5,$A103='Recurring Schedule'!$F$18))),13,""))))</f>
        <v/>
      </c>
      <c r="O103">
        <f>IF('Recurring Schedule'!$C$19="","",IF('Recurring Schedule'!$F$19="","",IF(OR($A103&lt;'Recurring Schedule'!$F$19,$A103&gt;'Recurring Schedule'!$P$19),"",IF(IF('Recurring Schedule'!$N$19&gt;0,MOD($A103-'Recurring Schedule'!$F$19,'Recurring Schedule'!$N$19)=0,IF('Recurring Schedule'!$O$19&gt;0,AND(DAY($A103)=MIN(DAY('Recurring Schedule'!$F$19),DAY(EOMONTH($A103,0))),MOD((YEAR($A103)-YEAR('Recurring Schedule'!$F$19))*12+MONTH($A103)-MONTH('Recurring Schedule'!$F$19),'Recurring Schedule'!$O$19)=0),IF('Recurring Schedule'!$E$19="Weekdays",WEEKDAY($A103,2)&lt;=5,$A103='Recurring Schedule'!$F$19))),14,""))))</f>
        <v/>
      </c>
      <c r="P103">
        <f>IF('Recurring Schedule'!$C$20="","",IF('Recurring Schedule'!$F$20="","",IF(OR($A103&lt;'Recurring Schedule'!$F$20,$A103&gt;'Recurring Schedule'!$P$20),"",IF(IF('Recurring Schedule'!$N$20&gt;0,MOD($A103-'Recurring Schedule'!$F$20,'Recurring Schedule'!$N$20)=0,IF('Recurring Schedule'!$O$20&gt;0,AND(DAY($A103)=MIN(DAY('Recurring Schedule'!$F$20),DAY(EOMONTH($A103,0))),MOD((YEAR($A103)-YEAR('Recurring Schedule'!$F$20))*12+MONTH($A103)-MONTH('Recurring Schedule'!$F$20),'Recurring Schedule'!$O$20)=0),IF('Recurring Schedule'!$E$20="Weekdays",WEEKDAY($A103,2)&lt;=5,$A103='Recurring Schedule'!$F$20))),15,""))))</f>
        <v/>
      </c>
      <c r="Q103">
        <f>IF('Recurring Schedule'!$C$21="","",IF('Recurring Schedule'!$F$21="","",IF(OR($A103&lt;'Recurring Schedule'!$F$21,$A103&gt;'Recurring Schedule'!$P$21),"",IF(IF('Recurring Schedule'!$N$21&gt;0,MOD($A103-'Recurring Schedule'!$F$21,'Recurring Schedule'!$N$21)=0,IF('Recurring Schedule'!$O$21&gt;0,AND(DAY($A103)=MIN(DAY('Recurring Schedule'!$F$21),DAY(EOMONTH($A103,0))),MOD((YEAR($A103)-YEAR('Recurring Schedule'!$F$21))*12+MONTH($A103)-MONTH('Recurring Schedule'!$F$21),'Recurring Schedule'!$O$21)=0),IF('Recurring Schedule'!$E$21="Weekdays",WEEKDAY($A103,2)&lt;=5,$A103='Recurring Schedule'!$F$21))),16,""))))</f>
        <v/>
      </c>
      <c r="R103">
        <f>IF('Recurring Schedule'!$C$22="","",IF('Recurring Schedule'!$F$22="","",IF(OR($A103&lt;'Recurring Schedule'!$F$22,$A103&gt;'Recurring Schedule'!$P$22),"",IF(IF('Recurring Schedule'!$N$22&gt;0,MOD($A103-'Recurring Schedule'!$F$22,'Recurring Schedule'!$N$22)=0,IF('Recurring Schedule'!$O$22&gt;0,AND(DAY($A103)=MIN(DAY('Recurring Schedule'!$F$22),DAY(EOMONTH($A103,0))),MOD((YEAR($A103)-YEAR('Recurring Schedule'!$F$22))*12+MONTH($A103)-MONTH('Recurring Schedule'!$F$22),'Recurring Schedule'!$O$22)=0),IF('Recurring Schedule'!$E$22="Weekdays",WEEKDAY($A103,2)&lt;=5,$A103='Recurring Schedule'!$F$22))),17,""))))</f>
        <v/>
      </c>
      <c r="S103">
        <f>IF('Recurring Schedule'!$C$23="","",IF('Recurring Schedule'!$F$23="","",IF(OR($A103&lt;'Recurring Schedule'!$F$23,$A103&gt;'Recurring Schedule'!$P$23),"",IF(IF('Recurring Schedule'!$N$23&gt;0,MOD($A103-'Recurring Schedule'!$F$23,'Recurring Schedule'!$N$23)=0,IF('Recurring Schedule'!$O$23&gt;0,AND(DAY($A103)=MIN(DAY('Recurring Schedule'!$F$23),DAY(EOMONTH($A103,0))),MOD((YEAR($A103)-YEAR('Recurring Schedule'!$F$23))*12+MONTH($A103)-MONTH('Recurring Schedule'!$F$23),'Recurring Schedule'!$O$23)=0),IF('Recurring Schedule'!$E$23="Weekdays",WEEKDAY($A103,2)&lt;=5,$A103='Recurring Schedule'!$F$23))),18,""))))</f>
        <v/>
      </c>
      <c r="T103">
        <f>IF('Recurring Schedule'!$C$24="","",IF('Recurring Schedule'!$F$24="","",IF(OR($A103&lt;'Recurring Schedule'!$F$24,$A103&gt;'Recurring Schedule'!$P$24),"",IF(IF('Recurring Schedule'!$N$24&gt;0,MOD($A103-'Recurring Schedule'!$F$24,'Recurring Schedule'!$N$24)=0,IF('Recurring Schedule'!$O$24&gt;0,AND(DAY($A103)=MIN(DAY('Recurring Schedule'!$F$24),DAY(EOMONTH($A103,0))),MOD((YEAR($A103)-YEAR('Recurring Schedule'!$F$24))*12+MONTH($A103)-MONTH('Recurring Schedule'!$F$24),'Recurring Schedule'!$O$24)=0),IF('Recurring Schedule'!$E$24="Weekdays",WEEKDAY($A103,2)&lt;=5,$A103='Recurring Schedule'!$F$24))),19,""))))</f>
        <v/>
      </c>
      <c r="U103">
        <f>IF('Recurring Schedule'!$C$25="","",IF('Recurring Schedule'!$F$25="","",IF(OR($A103&lt;'Recurring Schedule'!$F$25,$A103&gt;'Recurring Schedule'!$P$25),"",IF(IF('Recurring Schedule'!$N$25&gt;0,MOD($A103-'Recurring Schedule'!$F$25,'Recurring Schedule'!$N$25)=0,IF('Recurring Schedule'!$O$25&gt;0,AND(DAY($A103)=MIN(DAY('Recurring Schedule'!$F$25),DAY(EOMONTH($A103,0))),MOD((YEAR($A103)-YEAR('Recurring Schedule'!$F$25))*12+MONTH($A103)-MONTH('Recurring Schedule'!$F$25),'Recurring Schedule'!$O$25)=0),IF('Recurring Schedule'!$E$25="Weekdays",WEEKDAY($A103,2)&lt;=5,$A103='Recurring Schedule'!$F$25))),20,""))))</f>
        <v/>
      </c>
      <c r="V103">
        <f>IF('Recurring Schedule'!$C$26="","",IF('Recurring Schedule'!$F$26="","",IF(OR($A103&lt;'Recurring Schedule'!$F$26,$A103&gt;'Recurring Schedule'!$P$26),"",IF(IF('Recurring Schedule'!$N$26&gt;0,MOD($A103-'Recurring Schedule'!$F$26,'Recurring Schedule'!$N$26)=0,IF('Recurring Schedule'!$O$26&gt;0,AND(DAY($A103)=MIN(DAY('Recurring Schedule'!$F$26),DAY(EOMONTH($A103,0))),MOD((YEAR($A103)-YEAR('Recurring Schedule'!$F$26))*12+MONTH($A103)-MONTH('Recurring Schedule'!$F$26),'Recurring Schedule'!$O$26)=0),IF('Recurring Schedule'!$E$26="Weekdays",WEEKDAY($A103,2)&lt;=5,$A103='Recurring Schedule'!$F$26))),21,""))))</f>
        <v/>
      </c>
      <c r="W103">
        <f>IF('Recurring Schedule'!$C$27="","",IF('Recurring Schedule'!$F$27="","",IF(OR($A103&lt;'Recurring Schedule'!$F$27,$A103&gt;'Recurring Schedule'!$P$27),"",IF(IF('Recurring Schedule'!$N$27&gt;0,MOD($A103-'Recurring Schedule'!$F$27,'Recurring Schedule'!$N$27)=0,IF('Recurring Schedule'!$O$27&gt;0,AND(DAY($A103)=MIN(DAY('Recurring Schedule'!$F$27),DAY(EOMONTH($A103,0))),MOD((YEAR($A103)-YEAR('Recurring Schedule'!$F$27))*12+MONTH($A103)-MONTH('Recurring Schedule'!$F$27),'Recurring Schedule'!$O$27)=0),IF('Recurring Schedule'!$E$27="Weekdays",WEEKDAY($A103,2)&lt;=5,$A103='Recurring Schedule'!$F$27))),22,""))))</f>
        <v/>
      </c>
      <c r="X103">
        <f>IF('Recurring Schedule'!$C$28="","",IF('Recurring Schedule'!$F$28="","",IF(OR($A103&lt;'Recurring Schedule'!$F$28,$A103&gt;'Recurring Schedule'!$P$28),"",IF(IF('Recurring Schedule'!$N$28&gt;0,MOD($A103-'Recurring Schedule'!$F$28,'Recurring Schedule'!$N$28)=0,IF('Recurring Schedule'!$O$28&gt;0,AND(DAY($A103)=MIN(DAY('Recurring Schedule'!$F$28),DAY(EOMONTH($A103,0))),MOD((YEAR($A103)-YEAR('Recurring Schedule'!$F$28))*12+MONTH($A103)-MONTH('Recurring Schedule'!$F$28),'Recurring Schedule'!$O$28)=0),IF('Recurring Schedule'!$E$28="Weekdays",WEEKDAY($A103,2)&lt;=5,$A103='Recurring Schedule'!$F$28))),23,""))))</f>
        <v/>
      </c>
      <c r="Y103">
        <f>IF('Recurring Schedule'!$C$29="","",IF('Recurring Schedule'!$F$29="","",IF(OR($A103&lt;'Recurring Schedule'!$F$29,$A103&gt;'Recurring Schedule'!$P$29),"",IF(IF('Recurring Schedule'!$N$29&gt;0,MOD($A103-'Recurring Schedule'!$F$29,'Recurring Schedule'!$N$29)=0,IF('Recurring Schedule'!$O$29&gt;0,AND(DAY($A103)=MIN(DAY('Recurring Schedule'!$F$29),DAY(EOMONTH($A103,0))),MOD((YEAR($A103)-YEAR('Recurring Schedule'!$F$29))*12+MONTH($A103)-MONTH('Recurring Schedule'!$F$29),'Recurring Schedule'!$O$29)=0),IF('Recurring Schedule'!$E$29="Weekdays",WEEKDAY($A103,2)&lt;=5,$A103='Recurring Schedule'!$F$29))),24,""))))</f>
        <v/>
      </c>
      <c r="Z103">
        <f>IF('Recurring Schedule'!$C$30="","",IF('Recurring Schedule'!$F$30="","",IF(OR($A103&lt;'Recurring Schedule'!$F$30,$A103&gt;'Recurring Schedule'!$P$30),"",IF(IF('Recurring Schedule'!$N$30&gt;0,MOD($A103-'Recurring Schedule'!$F$30,'Recurring Schedule'!$N$30)=0,IF('Recurring Schedule'!$O$30&gt;0,AND(DAY($A103)=MIN(DAY('Recurring Schedule'!$F$30),DAY(EOMONTH($A103,0))),MOD((YEAR($A103)-YEAR('Recurring Schedule'!$F$30))*12+MONTH($A103)-MONTH('Recurring Schedule'!$F$30),'Recurring Schedule'!$O$30)=0),IF('Recurring Schedule'!$E$30="Weekdays",WEEKDAY($A103,2)&lt;=5,$A103='Recurring Schedule'!$F$30))),25,""))))</f>
        <v/>
      </c>
      <c r="AA103">
        <f>IF('Recurring Schedule'!$C$31="","",IF('Recurring Schedule'!$F$31="","",IF(OR($A103&lt;'Recurring Schedule'!$F$31,$A103&gt;'Recurring Schedule'!$P$31),"",IF(IF('Recurring Schedule'!$N$31&gt;0,MOD($A103-'Recurring Schedule'!$F$31,'Recurring Schedule'!$N$31)=0,IF('Recurring Schedule'!$O$31&gt;0,AND(DAY($A103)=MIN(DAY('Recurring Schedule'!$F$31),DAY(EOMONTH($A103,0))),MOD((YEAR($A103)-YEAR('Recurring Schedule'!$F$31))*12+MONTH($A103)-MONTH('Recurring Schedule'!$F$31),'Recurring Schedule'!$O$31)=0),IF('Recurring Schedule'!$E$31="Weekdays",WEEKDAY($A103,2)&lt;=5,$A103='Recurring Schedule'!$F$31))),26,""))))</f>
        <v/>
      </c>
      <c r="AB103">
        <f>IF('Recurring Schedule'!$C$32="","",IF('Recurring Schedule'!$F$32="","",IF(OR($A103&lt;'Recurring Schedule'!$F$32,$A103&gt;'Recurring Schedule'!$P$32),"",IF(IF('Recurring Schedule'!$N$32&gt;0,MOD($A103-'Recurring Schedule'!$F$32,'Recurring Schedule'!$N$32)=0,IF('Recurring Schedule'!$O$32&gt;0,AND(DAY($A103)=MIN(DAY('Recurring Schedule'!$F$32),DAY(EOMONTH($A103,0))),MOD((YEAR($A103)-YEAR('Recurring Schedule'!$F$32))*12+MONTH($A103)-MONTH('Recurring Schedule'!$F$32),'Recurring Schedule'!$O$32)=0),IF('Recurring Schedule'!$E$32="Weekdays",WEEKDAY($A103,2)&lt;=5,$A103='Recurring Schedule'!$F$32))),27,""))))</f>
        <v/>
      </c>
      <c r="AC103">
        <f>IF('Recurring Schedule'!$C$33="","",IF('Recurring Schedule'!$F$33="","",IF(OR($A103&lt;'Recurring Schedule'!$F$33,$A103&gt;'Recurring Schedule'!$P$33),"",IF(IF('Recurring Schedule'!$N$33&gt;0,MOD($A103-'Recurring Schedule'!$F$33,'Recurring Schedule'!$N$33)=0,IF('Recurring Schedule'!$O$33&gt;0,AND(DAY($A103)=MIN(DAY('Recurring Schedule'!$F$33),DAY(EOMONTH($A103,0))),MOD((YEAR($A103)-YEAR('Recurring Schedule'!$F$33))*12+MONTH($A103)-MONTH('Recurring Schedule'!$F$33),'Recurring Schedule'!$O$33)=0),IF('Recurring Schedule'!$E$33="Weekdays",WEEKDAY($A103,2)&lt;=5,$A103='Recurring Schedule'!$F$33))),28,""))))</f>
        <v/>
      </c>
      <c r="AD103">
        <f>IF('Recurring Schedule'!$C$34="","",IF('Recurring Schedule'!$F$34="","",IF(OR($A103&lt;'Recurring Schedule'!$F$34,$A103&gt;'Recurring Schedule'!$P$34),"",IF(IF('Recurring Schedule'!$N$34&gt;0,MOD($A103-'Recurring Schedule'!$F$34,'Recurring Schedule'!$N$34)=0,IF('Recurring Schedule'!$O$34&gt;0,AND(DAY($A103)=MIN(DAY('Recurring Schedule'!$F$34),DAY(EOMONTH($A103,0))),MOD((YEAR($A103)-YEAR('Recurring Schedule'!$F$34))*12+MONTH($A103)-MONTH('Recurring Schedule'!$F$34),'Recurring Schedule'!$O$34)=0),IF('Recurring Schedule'!$E$34="Weekdays",WEEKDAY($A103,2)&lt;=5,$A103='Recurring Schedule'!$F$34))),29,""))))</f>
        <v/>
      </c>
      <c r="AE103">
        <f>IF('Recurring Schedule'!$C$35="","",IF('Recurring Schedule'!$F$35="","",IF(OR($A103&lt;'Recurring Schedule'!$F$35,$A103&gt;'Recurring Schedule'!$P$35),"",IF(IF('Recurring Schedule'!$N$35&gt;0,MOD($A103-'Recurring Schedule'!$F$35,'Recurring Schedule'!$N$35)=0,IF('Recurring Schedule'!$O$35&gt;0,AND(DAY($A103)=MIN(DAY('Recurring Schedule'!$F$35),DAY(EOMONTH($A103,0))),MOD((YEAR($A103)-YEAR('Recurring Schedule'!$F$35))*12+MONTH($A103)-MONTH('Recurring Schedule'!$F$35),'Recurring Schedule'!$O$35)=0),IF('Recurring Schedule'!$E$35="Weekdays",WEEKDAY($A103,2)&lt;=5,$A103='Recurring Schedule'!$F$35))),30,""))))</f>
        <v/>
      </c>
      <c r="AF103">
        <f>IF('Recurring Schedule'!$C$36="","",IF('Recurring Schedule'!$F$36="","",IF(OR($A103&lt;'Recurring Schedule'!$F$36,$A103&gt;'Recurring Schedule'!$P$36),"",IF(IF('Recurring Schedule'!$N$36&gt;0,MOD($A103-'Recurring Schedule'!$F$36,'Recurring Schedule'!$N$36)=0,IF('Recurring Schedule'!$O$36&gt;0,AND(DAY($A103)=MIN(DAY('Recurring Schedule'!$F$36),DAY(EOMONTH($A103,0))),MOD((YEAR($A103)-YEAR('Recurring Schedule'!$F$36))*12+MONTH($A103)-MONTH('Recurring Schedule'!$F$36),'Recurring Schedule'!$O$36)=0),IF('Recurring Schedule'!$E$36="Weekdays",WEEKDAY($A103,2)&lt;=5,$A103='Recurring Schedule'!$F$36))),31,""))))</f>
        <v/>
      </c>
      <c r="AG103">
        <f>IF('Recurring Schedule'!$C$37="","",IF('Recurring Schedule'!$F$37="","",IF(OR($A103&lt;'Recurring Schedule'!$F$37,$A103&gt;'Recurring Schedule'!$P$37),"",IF(IF('Recurring Schedule'!$N$37&gt;0,MOD($A103-'Recurring Schedule'!$F$37,'Recurring Schedule'!$N$37)=0,IF('Recurring Schedule'!$O$37&gt;0,AND(DAY($A103)=MIN(DAY('Recurring Schedule'!$F$37),DAY(EOMONTH($A103,0))),MOD((YEAR($A103)-YEAR('Recurring Schedule'!$F$37))*12+MONTH($A103)-MONTH('Recurring Schedule'!$F$37),'Recurring Schedule'!$O$37)=0),IF('Recurring Schedule'!$E$37="Weekdays",WEEKDAY($A103,2)&lt;=5,$A103='Recurring Schedule'!$F$37))),32,""))))</f>
        <v/>
      </c>
      <c r="AH103">
        <f>IF('Recurring Schedule'!$C$38="","",IF('Recurring Schedule'!$F$38="","",IF(OR($A103&lt;'Recurring Schedule'!$F$38,$A103&gt;'Recurring Schedule'!$P$38),"",IF(IF('Recurring Schedule'!$N$38&gt;0,MOD($A103-'Recurring Schedule'!$F$38,'Recurring Schedule'!$N$38)=0,IF('Recurring Schedule'!$O$38&gt;0,AND(DAY($A103)=MIN(DAY('Recurring Schedule'!$F$38),DAY(EOMONTH($A103,0))),MOD((YEAR($A103)-YEAR('Recurring Schedule'!$F$38))*12+MONTH($A103)-MONTH('Recurring Schedule'!$F$38),'Recurring Schedule'!$O$38)=0),IF('Recurring Schedule'!$E$38="Weekdays",WEEKDAY($A103,2)&lt;=5,$A103='Recurring Schedule'!$F$38))),33,""))))</f>
        <v/>
      </c>
      <c r="AI103">
        <f>IF('Recurring Schedule'!$C$39="","",IF('Recurring Schedule'!$F$39="","",IF(OR($A103&lt;'Recurring Schedule'!$F$39,$A103&gt;'Recurring Schedule'!$P$39),"",IF(IF('Recurring Schedule'!$N$39&gt;0,MOD($A103-'Recurring Schedule'!$F$39,'Recurring Schedule'!$N$39)=0,IF('Recurring Schedule'!$O$39&gt;0,AND(DAY($A103)=MIN(DAY('Recurring Schedule'!$F$39),DAY(EOMONTH($A103,0))),MOD((YEAR($A103)-YEAR('Recurring Schedule'!$F$39))*12+MONTH($A103)-MONTH('Recurring Schedule'!$F$39),'Recurring Schedule'!$O$39)=0),IF('Recurring Schedule'!$E$39="Weekdays",WEEKDAY($A103,2)&lt;=5,$A103='Recurring Schedule'!$F$39))),34,""))))</f>
        <v/>
      </c>
      <c r="AJ103">
        <f>IF('Recurring Schedule'!$C$40="","",IF('Recurring Schedule'!$F$40="","",IF(OR($A103&lt;'Recurring Schedule'!$F$40,$A103&gt;'Recurring Schedule'!$P$40),"",IF(IF('Recurring Schedule'!$N$40&gt;0,MOD($A103-'Recurring Schedule'!$F$40,'Recurring Schedule'!$N$40)=0,IF('Recurring Schedule'!$O$40&gt;0,AND(DAY($A103)=MIN(DAY('Recurring Schedule'!$F$40),DAY(EOMONTH($A103,0))),MOD((YEAR($A103)-YEAR('Recurring Schedule'!$F$40))*12+MONTH($A103)-MONTH('Recurring Schedule'!$F$40),'Recurring Schedule'!$O$40)=0),IF('Recurring Schedule'!$E$40="Weekdays",WEEKDAY($A103,2)&lt;=5,$A103='Recurring Schedule'!$F$40))),35,""))))</f>
        <v/>
      </c>
      <c r="AK103">
        <f>IF('Recurring Schedule'!$C$41="","",IF('Recurring Schedule'!$F$41="","",IF(OR($A103&lt;'Recurring Schedule'!$F$41,$A103&gt;'Recurring Schedule'!$P$41),"",IF(IF('Recurring Schedule'!$N$41&gt;0,MOD($A103-'Recurring Schedule'!$F$41,'Recurring Schedule'!$N$41)=0,IF('Recurring Schedule'!$O$41&gt;0,AND(DAY($A103)=MIN(DAY('Recurring Schedule'!$F$41),DAY(EOMONTH($A103,0))),MOD((YEAR($A103)-YEAR('Recurring Schedule'!$F$41))*12+MONTH($A103)-MONTH('Recurring Schedule'!$F$41),'Recurring Schedule'!$O$41)=0),IF('Recurring Schedule'!$E$41="Weekdays",WEEKDAY($A103,2)&lt;=5,$A103='Recurring Schedule'!$F$41))),36,""))))</f>
        <v/>
      </c>
      <c r="AL103">
        <f>IF('Recurring Schedule'!$C$42="","",IF('Recurring Schedule'!$F$42="","",IF(OR($A103&lt;'Recurring Schedule'!$F$42,$A103&gt;'Recurring Schedule'!$P$42),"",IF(IF('Recurring Schedule'!$N$42&gt;0,MOD($A103-'Recurring Schedule'!$F$42,'Recurring Schedule'!$N$42)=0,IF('Recurring Schedule'!$O$42&gt;0,AND(DAY($A103)=MIN(DAY('Recurring Schedule'!$F$42),DAY(EOMONTH($A103,0))),MOD((YEAR($A103)-YEAR('Recurring Schedule'!$F$42))*12+MONTH($A103)-MONTH('Recurring Schedule'!$F$42),'Recurring Schedule'!$O$42)=0),IF('Recurring Schedule'!$E$42="Weekdays",WEEKDAY($A103,2)&lt;=5,$A103='Recurring Schedule'!$F$42))),37,""))))</f>
        <v/>
      </c>
      <c r="AM103">
        <f>IF('Recurring Schedule'!$C$43="","",IF('Recurring Schedule'!$F$43="","",IF(OR($A103&lt;'Recurring Schedule'!$F$43,$A103&gt;'Recurring Schedule'!$P$43),"",IF(IF('Recurring Schedule'!$N$43&gt;0,MOD($A103-'Recurring Schedule'!$F$43,'Recurring Schedule'!$N$43)=0,IF('Recurring Schedule'!$O$43&gt;0,AND(DAY($A103)=MIN(DAY('Recurring Schedule'!$F$43),DAY(EOMONTH($A103,0))),MOD((YEAR($A103)-YEAR('Recurring Schedule'!$F$43))*12+MONTH($A103)-MONTH('Recurring Schedule'!$F$43),'Recurring Schedule'!$O$43)=0),IF('Recurring Schedule'!$E$43="Weekdays",WEEKDAY($A103,2)&lt;=5,$A103='Recurring Schedule'!$F$43))),38,""))))</f>
        <v/>
      </c>
      <c r="AN103">
        <f>IF('Recurring Schedule'!$C$44="","",IF('Recurring Schedule'!$F$44="","",IF(OR($A103&lt;'Recurring Schedule'!$F$44,$A103&gt;'Recurring Schedule'!$P$44),"",IF(IF('Recurring Schedule'!$N$44&gt;0,MOD($A103-'Recurring Schedule'!$F$44,'Recurring Schedule'!$N$44)=0,IF('Recurring Schedule'!$O$44&gt;0,AND(DAY($A103)=MIN(DAY('Recurring Schedule'!$F$44),DAY(EOMONTH($A103,0))),MOD((YEAR($A103)-YEAR('Recurring Schedule'!$F$44))*12+MONTH($A103)-MONTH('Recurring Schedule'!$F$44),'Recurring Schedule'!$O$44)=0),IF('Recurring Schedule'!$E$44="Weekdays",WEEKDAY($A103,2)&lt;=5,$A103='Recurring Schedule'!$F$44))),39,""))))</f>
        <v/>
      </c>
      <c r="AO103">
        <f>IF('Recurring Schedule'!$C$45="","",IF('Recurring Schedule'!$F$45="","",IF(OR($A103&lt;'Recurring Schedule'!$F$45,$A103&gt;'Recurring Schedule'!$P$45),"",IF(IF('Recurring Schedule'!$N$45&gt;0,MOD($A103-'Recurring Schedule'!$F$45,'Recurring Schedule'!$N$45)=0,IF('Recurring Schedule'!$O$45&gt;0,AND(DAY($A103)=MIN(DAY('Recurring Schedule'!$F$45),DAY(EOMONTH($A103,0))),MOD((YEAR($A103)-YEAR('Recurring Schedule'!$F$45))*12+MONTH($A103)-MONTH('Recurring Schedule'!$F$45),'Recurring Schedule'!$O$45)=0),IF('Recurring Schedule'!$E$45="Weekdays",WEEKDAY($A103,2)&lt;=5,$A103='Recurring Schedule'!$F$45))),40,""))))</f>
        <v/>
      </c>
      <c r="AP103">
        <f>COUNT(B103:AO103)</f>
        <v/>
      </c>
      <c r="AQ103">
        <f>AQ102+AP102</f>
        <v/>
      </c>
      <c r="AS103" t="inlineStr">
        <is>
          <t>R</t>
        </is>
      </c>
      <c r="AT103" t="n">
        <v>107</v>
      </c>
      <c r="AU103">
        <f>'Recurring Log'!C107&amp;""</f>
        <v/>
      </c>
      <c r="AV103">
        <f>'Recurring Log'!D107&amp;""</f>
        <v/>
      </c>
      <c r="AW103">
        <f>IF('Recurring Log'!E107="","",'Recurring Log'!E107)</f>
        <v/>
      </c>
      <c r="AX103">
        <f>IF('Recurring Log'!G107="","",'Recurring Log'!G107)</f>
        <v/>
      </c>
      <c r="AY103">
        <f>IF('Recurring Log'!H107="","",'Recurring Log'!H107)</f>
        <v/>
      </c>
      <c r="AZ103">
        <f>IF(AU103="","",IF('Recurring Log'!J107="","Not Started",'Recurring Log'!J107))</f>
        <v/>
      </c>
      <c r="BA103">
        <f>'Recurring Log'!L107&amp;""</f>
        <v/>
      </c>
      <c r="BB103">
        <f>'Recurring Log'!M107&amp;""</f>
        <v/>
      </c>
      <c r="BC103">
        <f>'Recurring Log'!N107&amp;""</f>
        <v/>
      </c>
      <c r="BD103">
        <f>'Recurring Log'!O107&amp;""</f>
        <v/>
      </c>
      <c r="BE103">
        <f>IF('Recurring Log'!K107="","",'Recurring Log'!K107)</f>
        <v/>
      </c>
      <c r="BF103">
        <f>IFERROR(MATCH(BA103,Setup!$L$6:$L$9,0),5)</f>
        <v/>
      </c>
      <c r="BG103">
        <f>IF(OR(AZ103="Done",AZ103="Cancelled"),1,0)</f>
        <v/>
      </c>
      <c r="BH103">
        <f>IF(AND(AU103&lt;&gt;"",ISNUMBER(AW103)),1,0)</f>
        <v/>
      </c>
      <c r="BI103">
        <f>IF(BH103=0,0,IF(AND(AW103&gt;='Tasks Filter'!$F$3,AW103&lt;='Tasks Filter'!$F$4,OR('Tasks Filter'!$I$3="",ISNUMBER(SEARCH('Tasks Filter'!$I$3,AU103))),OR('Tasks Filter'!$I$4="",BF103=IFERROR(MATCH('Tasks Filter'!$I$4,Setup!$L$6:$L$9,0),0)),OR('Tasks Filter'!$I$5="Both",AND('Tasks Filter'!$I$5="Yes",BB103="✓"),AND('Tasks Filter'!$I$5="No",BB103&lt;&gt;"✓")),OR('Tasks Filter'!$L$3="",AV103='Tasks Filter'!$L$3),OR('Tasks Filter'!$L$4="",AZ103='Tasks Filter'!$L$4),OR('Tasks Filter'!$L$5="",BC103='Tasks Filter'!$L$5),OR('Tasks Filter'!$O$3="",BD103='Tasks Filter'!$O$3),OR('Tasks Filter'!$O$4="Yes",BG103=0)),1,0))</f>
        <v/>
      </c>
      <c r="BJ103">
        <f>IF(BH103=0,"",IF('Tasks Filter'!$F$6="Descending",-1,1)*CHOOSE(MATCH('Tasks Filter'!$F$5,Lists!$G$2:$G$6,0),AW103,BF103,IFERROR(MATCH(AV103,Setup!$F$6:$F$15,0),99),IFERROR(MATCH(BC103,Setup!$H$6:$H$15,0),99),IFERROR(MATCH(AZ103,Setup!$J$6:$J$11,0),99))*1E+9+(AW103-40000)*10000+102)</f>
        <v/>
      </c>
      <c r="BK103">
        <f>IF(BI103=1,BJ103,"")</f>
        <v/>
      </c>
      <c r="BL103">
        <f>IF(AND(BH103=1,BG103=0,N(AW103)&lt;Setup!$D$7),(AW103-40000)*10000+102,"")</f>
        <v/>
      </c>
      <c r="BM103">
        <f>IF(AND(BH103=1,AZ103&lt;&gt;"Cancelled",N(AW103)&gt;=Dashboard!$AB$3,N(AW103)&lt;=Dashboard!$AB$3+6),(AW103-40000)*100000+BF103*10000+102,"")</f>
        <v/>
      </c>
      <c r="BN103">
        <f>IF(AND(BH103=1,AZ103&lt;&gt;"Cancelled"),BF103*10000+102,"")</f>
        <v/>
      </c>
    </row>
    <row r="104">
      <c r="A104">
        <f>Setup!$D$5+102</f>
        <v/>
      </c>
      <c r="B104">
        <f>IF('Recurring Schedule'!$C$6="","",IF('Recurring Schedule'!$F$6="","",IF(OR($A104&lt;'Recurring Schedule'!$F$6,$A104&gt;'Recurring Schedule'!$P$6),"",IF(IF('Recurring Schedule'!$N$6&gt;0,MOD($A104-'Recurring Schedule'!$F$6,'Recurring Schedule'!$N$6)=0,IF('Recurring Schedule'!$O$6&gt;0,AND(DAY($A104)=MIN(DAY('Recurring Schedule'!$F$6),DAY(EOMONTH($A104,0))),MOD((YEAR($A104)-YEAR('Recurring Schedule'!$F$6))*12+MONTH($A104)-MONTH('Recurring Schedule'!$F$6),'Recurring Schedule'!$O$6)=0),IF('Recurring Schedule'!$E$6="Weekdays",WEEKDAY($A104,2)&lt;=5,$A104='Recurring Schedule'!$F$6))),1,""))))</f>
        <v/>
      </c>
      <c r="C104">
        <f>IF('Recurring Schedule'!$C$7="","",IF('Recurring Schedule'!$F$7="","",IF(OR($A104&lt;'Recurring Schedule'!$F$7,$A104&gt;'Recurring Schedule'!$P$7),"",IF(IF('Recurring Schedule'!$N$7&gt;0,MOD($A104-'Recurring Schedule'!$F$7,'Recurring Schedule'!$N$7)=0,IF('Recurring Schedule'!$O$7&gt;0,AND(DAY($A104)=MIN(DAY('Recurring Schedule'!$F$7),DAY(EOMONTH($A104,0))),MOD((YEAR($A104)-YEAR('Recurring Schedule'!$F$7))*12+MONTH($A104)-MONTH('Recurring Schedule'!$F$7),'Recurring Schedule'!$O$7)=0),IF('Recurring Schedule'!$E$7="Weekdays",WEEKDAY($A104,2)&lt;=5,$A104='Recurring Schedule'!$F$7))),2,""))))</f>
        <v/>
      </c>
      <c r="D104">
        <f>IF('Recurring Schedule'!$C$8="","",IF('Recurring Schedule'!$F$8="","",IF(OR($A104&lt;'Recurring Schedule'!$F$8,$A104&gt;'Recurring Schedule'!$P$8),"",IF(IF('Recurring Schedule'!$N$8&gt;0,MOD($A104-'Recurring Schedule'!$F$8,'Recurring Schedule'!$N$8)=0,IF('Recurring Schedule'!$O$8&gt;0,AND(DAY($A104)=MIN(DAY('Recurring Schedule'!$F$8),DAY(EOMONTH($A104,0))),MOD((YEAR($A104)-YEAR('Recurring Schedule'!$F$8))*12+MONTH($A104)-MONTH('Recurring Schedule'!$F$8),'Recurring Schedule'!$O$8)=0),IF('Recurring Schedule'!$E$8="Weekdays",WEEKDAY($A104,2)&lt;=5,$A104='Recurring Schedule'!$F$8))),3,""))))</f>
        <v/>
      </c>
      <c r="E104">
        <f>IF('Recurring Schedule'!$C$9="","",IF('Recurring Schedule'!$F$9="","",IF(OR($A104&lt;'Recurring Schedule'!$F$9,$A104&gt;'Recurring Schedule'!$P$9),"",IF(IF('Recurring Schedule'!$N$9&gt;0,MOD($A104-'Recurring Schedule'!$F$9,'Recurring Schedule'!$N$9)=0,IF('Recurring Schedule'!$O$9&gt;0,AND(DAY($A104)=MIN(DAY('Recurring Schedule'!$F$9),DAY(EOMONTH($A104,0))),MOD((YEAR($A104)-YEAR('Recurring Schedule'!$F$9))*12+MONTH($A104)-MONTH('Recurring Schedule'!$F$9),'Recurring Schedule'!$O$9)=0),IF('Recurring Schedule'!$E$9="Weekdays",WEEKDAY($A104,2)&lt;=5,$A104='Recurring Schedule'!$F$9))),4,""))))</f>
        <v/>
      </c>
      <c r="F104">
        <f>IF('Recurring Schedule'!$C$10="","",IF('Recurring Schedule'!$F$10="","",IF(OR($A104&lt;'Recurring Schedule'!$F$10,$A104&gt;'Recurring Schedule'!$P$10),"",IF(IF('Recurring Schedule'!$N$10&gt;0,MOD($A104-'Recurring Schedule'!$F$10,'Recurring Schedule'!$N$10)=0,IF('Recurring Schedule'!$O$10&gt;0,AND(DAY($A104)=MIN(DAY('Recurring Schedule'!$F$10),DAY(EOMONTH($A104,0))),MOD((YEAR($A104)-YEAR('Recurring Schedule'!$F$10))*12+MONTH($A104)-MONTH('Recurring Schedule'!$F$10),'Recurring Schedule'!$O$10)=0),IF('Recurring Schedule'!$E$10="Weekdays",WEEKDAY($A104,2)&lt;=5,$A104='Recurring Schedule'!$F$10))),5,""))))</f>
        <v/>
      </c>
      <c r="G104">
        <f>IF('Recurring Schedule'!$C$11="","",IF('Recurring Schedule'!$F$11="","",IF(OR($A104&lt;'Recurring Schedule'!$F$11,$A104&gt;'Recurring Schedule'!$P$11),"",IF(IF('Recurring Schedule'!$N$11&gt;0,MOD($A104-'Recurring Schedule'!$F$11,'Recurring Schedule'!$N$11)=0,IF('Recurring Schedule'!$O$11&gt;0,AND(DAY($A104)=MIN(DAY('Recurring Schedule'!$F$11),DAY(EOMONTH($A104,0))),MOD((YEAR($A104)-YEAR('Recurring Schedule'!$F$11))*12+MONTH($A104)-MONTH('Recurring Schedule'!$F$11),'Recurring Schedule'!$O$11)=0),IF('Recurring Schedule'!$E$11="Weekdays",WEEKDAY($A104,2)&lt;=5,$A104='Recurring Schedule'!$F$11))),6,""))))</f>
        <v/>
      </c>
      <c r="H104">
        <f>IF('Recurring Schedule'!$C$12="","",IF('Recurring Schedule'!$F$12="","",IF(OR($A104&lt;'Recurring Schedule'!$F$12,$A104&gt;'Recurring Schedule'!$P$12),"",IF(IF('Recurring Schedule'!$N$12&gt;0,MOD($A104-'Recurring Schedule'!$F$12,'Recurring Schedule'!$N$12)=0,IF('Recurring Schedule'!$O$12&gt;0,AND(DAY($A104)=MIN(DAY('Recurring Schedule'!$F$12),DAY(EOMONTH($A104,0))),MOD((YEAR($A104)-YEAR('Recurring Schedule'!$F$12))*12+MONTH($A104)-MONTH('Recurring Schedule'!$F$12),'Recurring Schedule'!$O$12)=0),IF('Recurring Schedule'!$E$12="Weekdays",WEEKDAY($A104,2)&lt;=5,$A104='Recurring Schedule'!$F$12))),7,""))))</f>
        <v/>
      </c>
      <c r="I104">
        <f>IF('Recurring Schedule'!$C$13="","",IF('Recurring Schedule'!$F$13="","",IF(OR($A104&lt;'Recurring Schedule'!$F$13,$A104&gt;'Recurring Schedule'!$P$13),"",IF(IF('Recurring Schedule'!$N$13&gt;0,MOD($A104-'Recurring Schedule'!$F$13,'Recurring Schedule'!$N$13)=0,IF('Recurring Schedule'!$O$13&gt;0,AND(DAY($A104)=MIN(DAY('Recurring Schedule'!$F$13),DAY(EOMONTH($A104,0))),MOD((YEAR($A104)-YEAR('Recurring Schedule'!$F$13))*12+MONTH($A104)-MONTH('Recurring Schedule'!$F$13),'Recurring Schedule'!$O$13)=0),IF('Recurring Schedule'!$E$13="Weekdays",WEEKDAY($A104,2)&lt;=5,$A104='Recurring Schedule'!$F$13))),8,""))))</f>
        <v/>
      </c>
      <c r="J104">
        <f>IF('Recurring Schedule'!$C$14="","",IF('Recurring Schedule'!$F$14="","",IF(OR($A104&lt;'Recurring Schedule'!$F$14,$A104&gt;'Recurring Schedule'!$P$14),"",IF(IF('Recurring Schedule'!$N$14&gt;0,MOD($A104-'Recurring Schedule'!$F$14,'Recurring Schedule'!$N$14)=0,IF('Recurring Schedule'!$O$14&gt;0,AND(DAY($A104)=MIN(DAY('Recurring Schedule'!$F$14),DAY(EOMONTH($A104,0))),MOD((YEAR($A104)-YEAR('Recurring Schedule'!$F$14))*12+MONTH($A104)-MONTH('Recurring Schedule'!$F$14),'Recurring Schedule'!$O$14)=0),IF('Recurring Schedule'!$E$14="Weekdays",WEEKDAY($A104,2)&lt;=5,$A104='Recurring Schedule'!$F$14))),9,""))))</f>
        <v/>
      </c>
      <c r="K104">
        <f>IF('Recurring Schedule'!$C$15="","",IF('Recurring Schedule'!$F$15="","",IF(OR($A104&lt;'Recurring Schedule'!$F$15,$A104&gt;'Recurring Schedule'!$P$15),"",IF(IF('Recurring Schedule'!$N$15&gt;0,MOD($A104-'Recurring Schedule'!$F$15,'Recurring Schedule'!$N$15)=0,IF('Recurring Schedule'!$O$15&gt;0,AND(DAY($A104)=MIN(DAY('Recurring Schedule'!$F$15),DAY(EOMONTH($A104,0))),MOD((YEAR($A104)-YEAR('Recurring Schedule'!$F$15))*12+MONTH($A104)-MONTH('Recurring Schedule'!$F$15),'Recurring Schedule'!$O$15)=0),IF('Recurring Schedule'!$E$15="Weekdays",WEEKDAY($A104,2)&lt;=5,$A104='Recurring Schedule'!$F$15))),10,""))))</f>
        <v/>
      </c>
      <c r="L104">
        <f>IF('Recurring Schedule'!$C$16="","",IF('Recurring Schedule'!$F$16="","",IF(OR($A104&lt;'Recurring Schedule'!$F$16,$A104&gt;'Recurring Schedule'!$P$16),"",IF(IF('Recurring Schedule'!$N$16&gt;0,MOD($A104-'Recurring Schedule'!$F$16,'Recurring Schedule'!$N$16)=0,IF('Recurring Schedule'!$O$16&gt;0,AND(DAY($A104)=MIN(DAY('Recurring Schedule'!$F$16),DAY(EOMONTH($A104,0))),MOD((YEAR($A104)-YEAR('Recurring Schedule'!$F$16))*12+MONTH($A104)-MONTH('Recurring Schedule'!$F$16),'Recurring Schedule'!$O$16)=0),IF('Recurring Schedule'!$E$16="Weekdays",WEEKDAY($A104,2)&lt;=5,$A104='Recurring Schedule'!$F$16))),11,""))))</f>
        <v/>
      </c>
      <c r="M104">
        <f>IF('Recurring Schedule'!$C$17="","",IF('Recurring Schedule'!$F$17="","",IF(OR($A104&lt;'Recurring Schedule'!$F$17,$A104&gt;'Recurring Schedule'!$P$17),"",IF(IF('Recurring Schedule'!$N$17&gt;0,MOD($A104-'Recurring Schedule'!$F$17,'Recurring Schedule'!$N$17)=0,IF('Recurring Schedule'!$O$17&gt;0,AND(DAY($A104)=MIN(DAY('Recurring Schedule'!$F$17),DAY(EOMONTH($A104,0))),MOD((YEAR($A104)-YEAR('Recurring Schedule'!$F$17))*12+MONTH($A104)-MONTH('Recurring Schedule'!$F$17),'Recurring Schedule'!$O$17)=0),IF('Recurring Schedule'!$E$17="Weekdays",WEEKDAY($A104,2)&lt;=5,$A104='Recurring Schedule'!$F$17))),12,""))))</f>
        <v/>
      </c>
      <c r="N104">
        <f>IF('Recurring Schedule'!$C$18="","",IF('Recurring Schedule'!$F$18="","",IF(OR($A104&lt;'Recurring Schedule'!$F$18,$A104&gt;'Recurring Schedule'!$P$18),"",IF(IF('Recurring Schedule'!$N$18&gt;0,MOD($A104-'Recurring Schedule'!$F$18,'Recurring Schedule'!$N$18)=0,IF('Recurring Schedule'!$O$18&gt;0,AND(DAY($A104)=MIN(DAY('Recurring Schedule'!$F$18),DAY(EOMONTH($A104,0))),MOD((YEAR($A104)-YEAR('Recurring Schedule'!$F$18))*12+MONTH($A104)-MONTH('Recurring Schedule'!$F$18),'Recurring Schedule'!$O$18)=0),IF('Recurring Schedule'!$E$18="Weekdays",WEEKDAY($A104,2)&lt;=5,$A104='Recurring Schedule'!$F$18))),13,""))))</f>
        <v/>
      </c>
      <c r="O104">
        <f>IF('Recurring Schedule'!$C$19="","",IF('Recurring Schedule'!$F$19="","",IF(OR($A104&lt;'Recurring Schedule'!$F$19,$A104&gt;'Recurring Schedule'!$P$19),"",IF(IF('Recurring Schedule'!$N$19&gt;0,MOD($A104-'Recurring Schedule'!$F$19,'Recurring Schedule'!$N$19)=0,IF('Recurring Schedule'!$O$19&gt;0,AND(DAY($A104)=MIN(DAY('Recurring Schedule'!$F$19),DAY(EOMONTH($A104,0))),MOD((YEAR($A104)-YEAR('Recurring Schedule'!$F$19))*12+MONTH($A104)-MONTH('Recurring Schedule'!$F$19),'Recurring Schedule'!$O$19)=0),IF('Recurring Schedule'!$E$19="Weekdays",WEEKDAY($A104,2)&lt;=5,$A104='Recurring Schedule'!$F$19))),14,""))))</f>
        <v/>
      </c>
      <c r="P104">
        <f>IF('Recurring Schedule'!$C$20="","",IF('Recurring Schedule'!$F$20="","",IF(OR($A104&lt;'Recurring Schedule'!$F$20,$A104&gt;'Recurring Schedule'!$P$20),"",IF(IF('Recurring Schedule'!$N$20&gt;0,MOD($A104-'Recurring Schedule'!$F$20,'Recurring Schedule'!$N$20)=0,IF('Recurring Schedule'!$O$20&gt;0,AND(DAY($A104)=MIN(DAY('Recurring Schedule'!$F$20),DAY(EOMONTH($A104,0))),MOD((YEAR($A104)-YEAR('Recurring Schedule'!$F$20))*12+MONTH($A104)-MONTH('Recurring Schedule'!$F$20),'Recurring Schedule'!$O$20)=0),IF('Recurring Schedule'!$E$20="Weekdays",WEEKDAY($A104,2)&lt;=5,$A104='Recurring Schedule'!$F$20))),15,""))))</f>
        <v/>
      </c>
      <c r="Q104">
        <f>IF('Recurring Schedule'!$C$21="","",IF('Recurring Schedule'!$F$21="","",IF(OR($A104&lt;'Recurring Schedule'!$F$21,$A104&gt;'Recurring Schedule'!$P$21),"",IF(IF('Recurring Schedule'!$N$21&gt;0,MOD($A104-'Recurring Schedule'!$F$21,'Recurring Schedule'!$N$21)=0,IF('Recurring Schedule'!$O$21&gt;0,AND(DAY($A104)=MIN(DAY('Recurring Schedule'!$F$21),DAY(EOMONTH($A104,0))),MOD((YEAR($A104)-YEAR('Recurring Schedule'!$F$21))*12+MONTH($A104)-MONTH('Recurring Schedule'!$F$21),'Recurring Schedule'!$O$21)=0),IF('Recurring Schedule'!$E$21="Weekdays",WEEKDAY($A104,2)&lt;=5,$A104='Recurring Schedule'!$F$21))),16,""))))</f>
        <v/>
      </c>
      <c r="R104">
        <f>IF('Recurring Schedule'!$C$22="","",IF('Recurring Schedule'!$F$22="","",IF(OR($A104&lt;'Recurring Schedule'!$F$22,$A104&gt;'Recurring Schedule'!$P$22),"",IF(IF('Recurring Schedule'!$N$22&gt;0,MOD($A104-'Recurring Schedule'!$F$22,'Recurring Schedule'!$N$22)=0,IF('Recurring Schedule'!$O$22&gt;0,AND(DAY($A104)=MIN(DAY('Recurring Schedule'!$F$22),DAY(EOMONTH($A104,0))),MOD((YEAR($A104)-YEAR('Recurring Schedule'!$F$22))*12+MONTH($A104)-MONTH('Recurring Schedule'!$F$22),'Recurring Schedule'!$O$22)=0),IF('Recurring Schedule'!$E$22="Weekdays",WEEKDAY($A104,2)&lt;=5,$A104='Recurring Schedule'!$F$22))),17,""))))</f>
        <v/>
      </c>
      <c r="S104">
        <f>IF('Recurring Schedule'!$C$23="","",IF('Recurring Schedule'!$F$23="","",IF(OR($A104&lt;'Recurring Schedule'!$F$23,$A104&gt;'Recurring Schedule'!$P$23),"",IF(IF('Recurring Schedule'!$N$23&gt;0,MOD($A104-'Recurring Schedule'!$F$23,'Recurring Schedule'!$N$23)=0,IF('Recurring Schedule'!$O$23&gt;0,AND(DAY($A104)=MIN(DAY('Recurring Schedule'!$F$23),DAY(EOMONTH($A104,0))),MOD((YEAR($A104)-YEAR('Recurring Schedule'!$F$23))*12+MONTH($A104)-MONTH('Recurring Schedule'!$F$23),'Recurring Schedule'!$O$23)=0),IF('Recurring Schedule'!$E$23="Weekdays",WEEKDAY($A104,2)&lt;=5,$A104='Recurring Schedule'!$F$23))),18,""))))</f>
        <v/>
      </c>
      <c r="T104">
        <f>IF('Recurring Schedule'!$C$24="","",IF('Recurring Schedule'!$F$24="","",IF(OR($A104&lt;'Recurring Schedule'!$F$24,$A104&gt;'Recurring Schedule'!$P$24),"",IF(IF('Recurring Schedule'!$N$24&gt;0,MOD($A104-'Recurring Schedule'!$F$24,'Recurring Schedule'!$N$24)=0,IF('Recurring Schedule'!$O$24&gt;0,AND(DAY($A104)=MIN(DAY('Recurring Schedule'!$F$24),DAY(EOMONTH($A104,0))),MOD((YEAR($A104)-YEAR('Recurring Schedule'!$F$24))*12+MONTH($A104)-MONTH('Recurring Schedule'!$F$24),'Recurring Schedule'!$O$24)=0),IF('Recurring Schedule'!$E$24="Weekdays",WEEKDAY($A104,2)&lt;=5,$A104='Recurring Schedule'!$F$24))),19,""))))</f>
        <v/>
      </c>
      <c r="U104">
        <f>IF('Recurring Schedule'!$C$25="","",IF('Recurring Schedule'!$F$25="","",IF(OR($A104&lt;'Recurring Schedule'!$F$25,$A104&gt;'Recurring Schedule'!$P$25),"",IF(IF('Recurring Schedule'!$N$25&gt;0,MOD($A104-'Recurring Schedule'!$F$25,'Recurring Schedule'!$N$25)=0,IF('Recurring Schedule'!$O$25&gt;0,AND(DAY($A104)=MIN(DAY('Recurring Schedule'!$F$25),DAY(EOMONTH($A104,0))),MOD((YEAR($A104)-YEAR('Recurring Schedule'!$F$25))*12+MONTH($A104)-MONTH('Recurring Schedule'!$F$25),'Recurring Schedule'!$O$25)=0),IF('Recurring Schedule'!$E$25="Weekdays",WEEKDAY($A104,2)&lt;=5,$A104='Recurring Schedule'!$F$25))),20,""))))</f>
        <v/>
      </c>
      <c r="V104">
        <f>IF('Recurring Schedule'!$C$26="","",IF('Recurring Schedule'!$F$26="","",IF(OR($A104&lt;'Recurring Schedule'!$F$26,$A104&gt;'Recurring Schedule'!$P$26),"",IF(IF('Recurring Schedule'!$N$26&gt;0,MOD($A104-'Recurring Schedule'!$F$26,'Recurring Schedule'!$N$26)=0,IF('Recurring Schedule'!$O$26&gt;0,AND(DAY($A104)=MIN(DAY('Recurring Schedule'!$F$26),DAY(EOMONTH($A104,0))),MOD((YEAR($A104)-YEAR('Recurring Schedule'!$F$26))*12+MONTH($A104)-MONTH('Recurring Schedule'!$F$26),'Recurring Schedule'!$O$26)=0),IF('Recurring Schedule'!$E$26="Weekdays",WEEKDAY($A104,2)&lt;=5,$A104='Recurring Schedule'!$F$26))),21,""))))</f>
        <v/>
      </c>
      <c r="W104">
        <f>IF('Recurring Schedule'!$C$27="","",IF('Recurring Schedule'!$F$27="","",IF(OR($A104&lt;'Recurring Schedule'!$F$27,$A104&gt;'Recurring Schedule'!$P$27),"",IF(IF('Recurring Schedule'!$N$27&gt;0,MOD($A104-'Recurring Schedule'!$F$27,'Recurring Schedule'!$N$27)=0,IF('Recurring Schedule'!$O$27&gt;0,AND(DAY($A104)=MIN(DAY('Recurring Schedule'!$F$27),DAY(EOMONTH($A104,0))),MOD((YEAR($A104)-YEAR('Recurring Schedule'!$F$27))*12+MONTH($A104)-MONTH('Recurring Schedule'!$F$27),'Recurring Schedule'!$O$27)=0),IF('Recurring Schedule'!$E$27="Weekdays",WEEKDAY($A104,2)&lt;=5,$A104='Recurring Schedule'!$F$27))),22,""))))</f>
        <v/>
      </c>
      <c r="X104">
        <f>IF('Recurring Schedule'!$C$28="","",IF('Recurring Schedule'!$F$28="","",IF(OR($A104&lt;'Recurring Schedule'!$F$28,$A104&gt;'Recurring Schedule'!$P$28),"",IF(IF('Recurring Schedule'!$N$28&gt;0,MOD($A104-'Recurring Schedule'!$F$28,'Recurring Schedule'!$N$28)=0,IF('Recurring Schedule'!$O$28&gt;0,AND(DAY($A104)=MIN(DAY('Recurring Schedule'!$F$28),DAY(EOMONTH($A104,0))),MOD((YEAR($A104)-YEAR('Recurring Schedule'!$F$28))*12+MONTH($A104)-MONTH('Recurring Schedule'!$F$28),'Recurring Schedule'!$O$28)=0),IF('Recurring Schedule'!$E$28="Weekdays",WEEKDAY($A104,2)&lt;=5,$A104='Recurring Schedule'!$F$28))),23,""))))</f>
        <v/>
      </c>
      <c r="Y104">
        <f>IF('Recurring Schedule'!$C$29="","",IF('Recurring Schedule'!$F$29="","",IF(OR($A104&lt;'Recurring Schedule'!$F$29,$A104&gt;'Recurring Schedule'!$P$29),"",IF(IF('Recurring Schedule'!$N$29&gt;0,MOD($A104-'Recurring Schedule'!$F$29,'Recurring Schedule'!$N$29)=0,IF('Recurring Schedule'!$O$29&gt;0,AND(DAY($A104)=MIN(DAY('Recurring Schedule'!$F$29),DAY(EOMONTH($A104,0))),MOD((YEAR($A104)-YEAR('Recurring Schedule'!$F$29))*12+MONTH($A104)-MONTH('Recurring Schedule'!$F$29),'Recurring Schedule'!$O$29)=0),IF('Recurring Schedule'!$E$29="Weekdays",WEEKDAY($A104,2)&lt;=5,$A104='Recurring Schedule'!$F$29))),24,""))))</f>
        <v/>
      </c>
      <c r="Z104">
        <f>IF('Recurring Schedule'!$C$30="","",IF('Recurring Schedule'!$F$30="","",IF(OR($A104&lt;'Recurring Schedule'!$F$30,$A104&gt;'Recurring Schedule'!$P$30),"",IF(IF('Recurring Schedule'!$N$30&gt;0,MOD($A104-'Recurring Schedule'!$F$30,'Recurring Schedule'!$N$30)=0,IF('Recurring Schedule'!$O$30&gt;0,AND(DAY($A104)=MIN(DAY('Recurring Schedule'!$F$30),DAY(EOMONTH($A104,0))),MOD((YEAR($A104)-YEAR('Recurring Schedule'!$F$30))*12+MONTH($A104)-MONTH('Recurring Schedule'!$F$30),'Recurring Schedule'!$O$30)=0),IF('Recurring Schedule'!$E$30="Weekdays",WEEKDAY($A104,2)&lt;=5,$A104='Recurring Schedule'!$F$30))),25,""))))</f>
        <v/>
      </c>
      <c r="AA104">
        <f>IF('Recurring Schedule'!$C$31="","",IF('Recurring Schedule'!$F$31="","",IF(OR($A104&lt;'Recurring Schedule'!$F$31,$A104&gt;'Recurring Schedule'!$P$31),"",IF(IF('Recurring Schedule'!$N$31&gt;0,MOD($A104-'Recurring Schedule'!$F$31,'Recurring Schedule'!$N$31)=0,IF('Recurring Schedule'!$O$31&gt;0,AND(DAY($A104)=MIN(DAY('Recurring Schedule'!$F$31),DAY(EOMONTH($A104,0))),MOD((YEAR($A104)-YEAR('Recurring Schedule'!$F$31))*12+MONTH($A104)-MONTH('Recurring Schedule'!$F$31),'Recurring Schedule'!$O$31)=0),IF('Recurring Schedule'!$E$31="Weekdays",WEEKDAY($A104,2)&lt;=5,$A104='Recurring Schedule'!$F$31))),26,""))))</f>
        <v/>
      </c>
      <c r="AB104">
        <f>IF('Recurring Schedule'!$C$32="","",IF('Recurring Schedule'!$F$32="","",IF(OR($A104&lt;'Recurring Schedule'!$F$32,$A104&gt;'Recurring Schedule'!$P$32),"",IF(IF('Recurring Schedule'!$N$32&gt;0,MOD($A104-'Recurring Schedule'!$F$32,'Recurring Schedule'!$N$32)=0,IF('Recurring Schedule'!$O$32&gt;0,AND(DAY($A104)=MIN(DAY('Recurring Schedule'!$F$32),DAY(EOMONTH($A104,0))),MOD((YEAR($A104)-YEAR('Recurring Schedule'!$F$32))*12+MONTH($A104)-MONTH('Recurring Schedule'!$F$32),'Recurring Schedule'!$O$32)=0),IF('Recurring Schedule'!$E$32="Weekdays",WEEKDAY($A104,2)&lt;=5,$A104='Recurring Schedule'!$F$32))),27,""))))</f>
        <v/>
      </c>
      <c r="AC104">
        <f>IF('Recurring Schedule'!$C$33="","",IF('Recurring Schedule'!$F$33="","",IF(OR($A104&lt;'Recurring Schedule'!$F$33,$A104&gt;'Recurring Schedule'!$P$33),"",IF(IF('Recurring Schedule'!$N$33&gt;0,MOD($A104-'Recurring Schedule'!$F$33,'Recurring Schedule'!$N$33)=0,IF('Recurring Schedule'!$O$33&gt;0,AND(DAY($A104)=MIN(DAY('Recurring Schedule'!$F$33),DAY(EOMONTH($A104,0))),MOD((YEAR($A104)-YEAR('Recurring Schedule'!$F$33))*12+MONTH($A104)-MONTH('Recurring Schedule'!$F$33),'Recurring Schedule'!$O$33)=0),IF('Recurring Schedule'!$E$33="Weekdays",WEEKDAY($A104,2)&lt;=5,$A104='Recurring Schedule'!$F$33))),28,""))))</f>
        <v/>
      </c>
      <c r="AD104">
        <f>IF('Recurring Schedule'!$C$34="","",IF('Recurring Schedule'!$F$34="","",IF(OR($A104&lt;'Recurring Schedule'!$F$34,$A104&gt;'Recurring Schedule'!$P$34),"",IF(IF('Recurring Schedule'!$N$34&gt;0,MOD($A104-'Recurring Schedule'!$F$34,'Recurring Schedule'!$N$34)=0,IF('Recurring Schedule'!$O$34&gt;0,AND(DAY($A104)=MIN(DAY('Recurring Schedule'!$F$34),DAY(EOMONTH($A104,0))),MOD((YEAR($A104)-YEAR('Recurring Schedule'!$F$34))*12+MONTH($A104)-MONTH('Recurring Schedule'!$F$34),'Recurring Schedule'!$O$34)=0),IF('Recurring Schedule'!$E$34="Weekdays",WEEKDAY($A104,2)&lt;=5,$A104='Recurring Schedule'!$F$34))),29,""))))</f>
        <v/>
      </c>
      <c r="AE104">
        <f>IF('Recurring Schedule'!$C$35="","",IF('Recurring Schedule'!$F$35="","",IF(OR($A104&lt;'Recurring Schedule'!$F$35,$A104&gt;'Recurring Schedule'!$P$35),"",IF(IF('Recurring Schedule'!$N$35&gt;0,MOD($A104-'Recurring Schedule'!$F$35,'Recurring Schedule'!$N$35)=0,IF('Recurring Schedule'!$O$35&gt;0,AND(DAY($A104)=MIN(DAY('Recurring Schedule'!$F$35),DAY(EOMONTH($A104,0))),MOD((YEAR($A104)-YEAR('Recurring Schedule'!$F$35))*12+MONTH($A104)-MONTH('Recurring Schedule'!$F$35),'Recurring Schedule'!$O$35)=0),IF('Recurring Schedule'!$E$35="Weekdays",WEEKDAY($A104,2)&lt;=5,$A104='Recurring Schedule'!$F$35))),30,""))))</f>
        <v/>
      </c>
      <c r="AF104">
        <f>IF('Recurring Schedule'!$C$36="","",IF('Recurring Schedule'!$F$36="","",IF(OR($A104&lt;'Recurring Schedule'!$F$36,$A104&gt;'Recurring Schedule'!$P$36),"",IF(IF('Recurring Schedule'!$N$36&gt;0,MOD($A104-'Recurring Schedule'!$F$36,'Recurring Schedule'!$N$36)=0,IF('Recurring Schedule'!$O$36&gt;0,AND(DAY($A104)=MIN(DAY('Recurring Schedule'!$F$36),DAY(EOMONTH($A104,0))),MOD((YEAR($A104)-YEAR('Recurring Schedule'!$F$36))*12+MONTH($A104)-MONTH('Recurring Schedule'!$F$36),'Recurring Schedule'!$O$36)=0),IF('Recurring Schedule'!$E$36="Weekdays",WEEKDAY($A104,2)&lt;=5,$A104='Recurring Schedule'!$F$36))),31,""))))</f>
        <v/>
      </c>
      <c r="AG104">
        <f>IF('Recurring Schedule'!$C$37="","",IF('Recurring Schedule'!$F$37="","",IF(OR($A104&lt;'Recurring Schedule'!$F$37,$A104&gt;'Recurring Schedule'!$P$37),"",IF(IF('Recurring Schedule'!$N$37&gt;0,MOD($A104-'Recurring Schedule'!$F$37,'Recurring Schedule'!$N$37)=0,IF('Recurring Schedule'!$O$37&gt;0,AND(DAY($A104)=MIN(DAY('Recurring Schedule'!$F$37),DAY(EOMONTH($A104,0))),MOD((YEAR($A104)-YEAR('Recurring Schedule'!$F$37))*12+MONTH($A104)-MONTH('Recurring Schedule'!$F$37),'Recurring Schedule'!$O$37)=0),IF('Recurring Schedule'!$E$37="Weekdays",WEEKDAY($A104,2)&lt;=5,$A104='Recurring Schedule'!$F$37))),32,""))))</f>
        <v/>
      </c>
      <c r="AH104">
        <f>IF('Recurring Schedule'!$C$38="","",IF('Recurring Schedule'!$F$38="","",IF(OR($A104&lt;'Recurring Schedule'!$F$38,$A104&gt;'Recurring Schedule'!$P$38),"",IF(IF('Recurring Schedule'!$N$38&gt;0,MOD($A104-'Recurring Schedule'!$F$38,'Recurring Schedule'!$N$38)=0,IF('Recurring Schedule'!$O$38&gt;0,AND(DAY($A104)=MIN(DAY('Recurring Schedule'!$F$38),DAY(EOMONTH($A104,0))),MOD((YEAR($A104)-YEAR('Recurring Schedule'!$F$38))*12+MONTH($A104)-MONTH('Recurring Schedule'!$F$38),'Recurring Schedule'!$O$38)=0),IF('Recurring Schedule'!$E$38="Weekdays",WEEKDAY($A104,2)&lt;=5,$A104='Recurring Schedule'!$F$38))),33,""))))</f>
        <v/>
      </c>
      <c r="AI104">
        <f>IF('Recurring Schedule'!$C$39="","",IF('Recurring Schedule'!$F$39="","",IF(OR($A104&lt;'Recurring Schedule'!$F$39,$A104&gt;'Recurring Schedule'!$P$39),"",IF(IF('Recurring Schedule'!$N$39&gt;0,MOD($A104-'Recurring Schedule'!$F$39,'Recurring Schedule'!$N$39)=0,IF('Recurring Schedule'!$O$39&gt;0,AND(DAY($A104)=MIN(DAY('Recurring Schedule'!$F$39),DAY(EOMONTH($A104,0))),MOD((YEAR($A104)-YEAR('Recurring Schedule'!$F$39))*12+MONTH($A104)-MONTH('Recurring Schedule'!$F$39),'Recurring Schedule'!$O$39)=0),IF('Recurring Schedule'!$E$39="Weekdays",WEEKDAY($A104,2)&lt;=5,$A104='Recurring Schedule'!$F$39))),34,""))))</f>
        <v/>
      </c>
      <c r="AJ104">
        <f>IF('Recurring Schedule'!$C$40="","",IF('Recurring Schedule'!$F$40="","",IF(OR($A104&lt;'Recurring Schedule'!$F$40,$A104&gt;'Recurring Schedule'!$P$40),"",IF(IF('Recurring Schedule'!$N$40&gt;0,MOD($A104-'Recurring Schedule'!$F$40,'Recurring Schedule'!$N$40)=0,IF('Recurring Schedule'!$O$40&gt;0,AND(DAY($A104)=MIN(DAY('Recurring Schedule'!$F$40),DAY(EOMONTH($A104,0))),MOD((YEAR($A104)-YEAR('Recurring Schedule'!$F$40))*12+MONTH($A104)-MONTH('Recurring Schedule'!$F$40),'Recurring Schedule'!$O$40)=0),IF('Recurring Schedule'!$E$40="Weekdays",WEEKDAY($A104,2)&lt;=5,$A104='Recurring Schedule'!$F$40))),35,""))))</f>
        <v/>
      </c>
      <c r="AK104">
        <f>IF('Recurring Schedule'!$C$41="","",IF('Recurring Schedule'!$F$41="","",IF(OR($A104&lt;'Recurring Schedule'!$F$41,$A104&gt;'Recurring Schedule'!$P$41),"",IF(IF('Recurring Schedule'!$N$41&gt;0,MOD($A104-'Recurring Schedule'!$F$41,'Recurring Schedule'!$N$41)=0,IF('Recurring Schedule'!$O$41&gt;0,AND(DAY($A104)=MIN(DAY('Recurring Schedule'!$F$41),DAY(EOMONTH($A104,0))),MOD((YEAR($A104)-YEAR('Recurring Schedule'!$F$41))*12+MONTH($A104)-MONTH('Recurring Schedule'!$F$41),'Recurring Schedule'!$O$41)=0),IF('Recurring Schedule'!$E$41="Weekdays",WEEKDAY($A104,2)&lt;=5,$A104='Recurring Schedule'!$F$41))),36,""))))</f>
        <v/>
      </c>
      <c r="AL104">
        <f>IF('Recurring Schedule'!$C$42="","",IF('Recurring Schedule'!$F$42="","",IF(OR($A104&lt;'Recurring Schedule'!$F$42,$A104&gt;'Recurring Schedule'!$P$42),"",IF(IF('Recurring Schedule'!$N$42&gt;0,MOD($A104-'Recurring Schedule'!$F$42,'Recurring Schedule'!$N$42)=0,IF('Recurring Schedule'!$O$42&gt;0,AND(DAY($A104)=MIN(DAY('Recurring Schedule'!$F$42),DAY(EOMONTH($A104,0))),MOD((YEAR($A104)-YEAR('Recurring Schedule'!$F$42))*12+MONTH($A104)-MONTH('Recurring Schedule'!$F$42),'Recurring Schedule'!$O$42)=0),IF('Recurring Schedule'!$E$42="Weekdays",WEEKDAY($A104,2)&lt;=5,$A104='Recurring Schedule'!$F$42))),37,""))))</f>
        <v/>
      </c>
      <c r="AM104">
        <f>IF('Recurring Schedule'!$C$43="","",IF('Recurring Schedule'!$F$43="","",IF(OR($A104&lt;'Recurring Schedule'!$F$43,$A104&gt;'Recurring Schedule'!$P$43),"",IF(IF('Recurring Schedule'!$N$43&gt;0,MOD($A104-'Recurring Schedule'!$F$43,'Recurring Schedule'!$N$43)=0,IF('Recurring Schedule'!$O$43&gt;0,AND(DAY($A104)=MIN(DAY('Recurring Schedule'!$F$43),DAY(EOMONTH($A104,0))),MOD((YEAR($A104)-YEAR('Recurring Schedule'!$F$43))*12+MONTH($A104)-MONTH('Recurring Schedule'!$F$43),'Recurring Schedule'!$O$43)=0),IF('Recurring Schedule'!$E$43="Weekdays",WEEKDAY($A104,2)&lt;=5,$A104='Recurring Schedule'!$F$43))),38,""))))</f>
        <v/>
      </c>
      <c r="AN104">
        <f>IF('Recurring Schedule'!$C$44="","",IF('Recurring Schedule'!$F$44="","",IF(OR($A104&lt;'Recurring Schedule'!$F$44,$A104&gt;'Recurring Schedule'!$P$44),"",IF(IF('Recurring Schedule'!$N$44&gt;0,MOD($A104-'Recurring Schedule'!$F$44,'Recurring Schedule'!$N$44)=0,IF('Recurring Schedule'!$O$44&gt;0,AND(DAY($A104)=MIN(DAY('Recurring Schedule'!$F$44),DAY(EOMONTH($A104,0))),MOD((YEAR($A104)-YEAR('Recurring Schedule'!$F$44))*12+MONTH($A104)-MONTH('Recurring Schedule'!$F$44),'Recurring Schedule'!$O$44)=0),IF('Recurring Schedule'!$E$44="Weekdays",WEEKDAY($A104,2)&lt;=5,$A104='Recurring Schedule'!$F$44))),39,""))))</f>
        <v/>
      </c>
      <c r="AO104">
        <f>IF('Recurring Schedule'!$C$45="","",IF('Recurring Schedule'!$F$45="","",IF(OR($A104&lt;'Recurring Schedule'!$F$45,$A104&gt;'Recurring Schedule'!$P$45),"",IF(IF('Recurring Schedule'!$N$45&gt;0,MOD($A104-'Recurring Schedule'!$F$45,'Recurring Schedule'!$N$45)=0,IF('Recurring Schedule'!$O$45&gt;0,AND(DAY($A104)=MIN(DAY('Recurring Schedule'!$F$45),DAY(EOMONTH($A104,0))),MOD((YEAR($A104)-YEAR('Recurring Schedule'!$F$45))*12+MONTH($A104)-MONTH('Recurring Schedule'!$F$45),'Recurring Schedule'!$O$45)=0),IF('Recurring Schedule'!$E$45="Weekdays",WEEKDAY($A104,2)&lt;=5,$A104='Recurring Schedule'!$F$45))),40,""))))</f>
        <v/>
      </c>
      <c r="AP104">
        <f>COUNT(B104:AO104)</f>
        <v/>
      </c>
      <c r="AQ104">
        <f>AQ103+AP103</f>
        <v/>
      </c>
      <c r="AS104" t="inlineStr">
        <is>
          <t>R</t>
        </is>
      </c>
      <c r="AT104" t="n">
        <v>108</v>
      </c>
      <c r="AU104">
        <f>'Recurring Log'!C108&amp;""</f>
        <v/>
      </c>
      <c r="AV104">
        <f>'Recurring Log'!D108&amp;""</f>
        <v/>
      </c>
      <c r="AW104">
        <f>IF('Recurring Log'!E108="","",'Recurring Log'!E108)</f>
        <v/>
      </c>
      <c r="AX104">
        <f>IF('Recurring Log'!G108="","",'Recurring Log'!G108)</f>
        <v/>
      </c>
      <c r="AY104">
        <f>IF('Recurring Log'!H108="","",'Recurring Log'!H108)</f>
        <v/>
      </c>
      <c r="AZ104">
        <f>IF(AU104="","",IF('Recurring Log'!J108="","Not Started",'Recurring Log'!J108))</f>
        <v/>
      </c>
      <c r="BA104">
        <f>'Recurring Log'!L108&amp;""</f>
        <v/>
      </c>
      <c r="BB104">
        <f>'Recurring Log'!M108&amp;""</f>
        <v/>
      </c>
      <c r="BC104">
        <f>'Recurring Log'!N108&amp;""</f>
        <v/>
      </c>
      <c r="BD104">
        <f>'Recurring Log'!O108&amp;""</f>
        <v/>
      </c>
      <c r="BE104">
        <f>IF('Recurring Log'!K108="","",'Recurring Log'!K108)</f>
        <v/>
      </c>
      <c r="BF104">
        <f>IFERROR(MATCH(BA104,Setup!$L$6:$L$9,0),5)</f>
        <v/>
      </c>
      <c r="BG104">
        <f>IF(OR(AZ104="Done",AZ104="Cancelled"),1,0)</f>
        <v/>
      </c>
      <c r="BH104">
        <f>IF(AND(AU104&lt;&gt;"",ISNUMBER(AW104)),1,0)</f>
        <v/>
      </c>
      <c r="BI104">
        <f>IF(BH104=0,0,IF(AND(AW104&gt;='Tasks Filter'!$F$3,AW104&lt;='Tasks Filter'!$F$4,OR('Tasks Filter'!$I$3="",ISNUMBER(SEARCH('Tasks Filter'!$I$3,AU104))),OR('Tasks Filter'!$I$4="",BF104=IFERROR(MATCH('Tasks Filter'!$I$4,Setup!$L$6:$L$9,0),0)),OR('Tasks Filter'!$I$5="Both",AND('Tasks Filter'!$I$5="Yes",BB104="✓"),AND('Tasks Filter'!$I$5="No",BB104&lt;&gt;"✓")),OR('Tasks Filter'!$L$3="",AV104='Tasks Filter'!$L$3),OR('Tasks Filter'!$L$4="",AZ104='Tasks Filter'!$L$4),OR('Tasks Filter'!$L$5="",BC104='Tasks Filter'!$L$5),OR('Tasks Filter'!$O$3="",BD104='Tasks Filter'!$O$3),OR('Tasks Filter'!$O$4="Yes",BG104=0)),1,0))</f>
        <v/>
      </c>
      <c r="BJ104">
        <f>IF(BH104=0,"",IF('Tasks Filter'!$F$6="Descending",-1,1)*CHOOSE(MATCH('Tasks Filter'!$F$5,Lists!$G$2:$G$6,0),AW104,BF104,IFERROR(MATCH(AV104,Setup!$F$6:$F$15,0),99),IFERROR(MATCH(BC104,Setup!$H$6:$H$15,0),99),IFERROR(MATCH(AZ104,Setup!$J$6:$J$11,0),99))*1E+9+(AW104-40000)*10000+103)</f>
        <v/>
      </c>
      <c r="BK104">
        <f>IF(BI104=1,BJ104,"")</f>
        <v/>
      </c>
      <c r="BL104">
        <f>IF(AND(BH104=1,BG104=0,N(AW104)&lt;Setup!$D$7),(AW104-40000)*10000+103,"")</f>
        <v/>
      </c>
      <c r="BM104">
        <f>IF(AND(BH104=1,AZ104&lt;&gt;"Cancelled",N(AW104)&gt;=Dashboard!$AB$3,N(AW104)&lt;=Dashboard!$AB$3+6),(AW104-40000)*100000+BF104*10000+103,"")</f>
        <v/>
      </c>
      <c r="BN104">
        <f>IF(AND(BH104=1,AZ104&lt;&gt;"Cancelled"),BF104*10000+103,"")</f>
        <v/>
      </c>
    </row>
    <row r="105">
      <c r="A105">
        <f>Setup!$D$5+103</f>
        <v/>
      </c>
      <c r="B105">
        <f>IF('Recurring Schedule'!$C$6="","",IF('Recurring Schedule'!$F$6="","",IF(OR($A105&lt;'Recurring Schedule'!$F$6,$A105&gt;'Recurring Schedule'!$P$6),"",IF(IF('Recurring Schedule'!$N$6&gt;0,MOD($A105-'Recurring Schedule'!$F$6,'Recurring Schedule'!$N$6)=0,IF('Recurring Schedule'!$O$6&gt;0,AND(DAY($A105)=MIN(DAY('Recurring Schedule'!$F$6),DAY(EOMONTH($A105,0))),MOD((YEAR($A105)-YEAR('Recurring Schedule'!$F$6))*12+MONTH($A105)-MONTH('Recurring Schedule'!$F$6),'Recurring Schedule'!$O$6)=0),IF('Recurring Schedule'!$E$6="Weekdays",WEEKDAY($A105,2)&lt;=5,$A105='Recurring Schedule'!$F$6))),1,""))))</f>
        <v/>
      </c>
      <c r="C105">
        <f>IF('Recurring Schedule'!$C$7="","",IF('Recurring Schedule'!$F$7="","",IF(OR($A105&lt;'Recurring Schedule'!$F$7,$A105&gt;'Recurring Schedule'!$P$7),"",IF(IF('Recurring Schedule'!$N$7&gt;0,MOD($A105-'Recurring Schedule'!$F$7,'Recurring Schedule'!$N$7)=0,IF('Recurring Schedule'!$O$7&gt;0,AND(DAY($A105)=MIN(DAY('Recurring Schedule'!$F$7),DAY(EOMONTH($A105,0))),MOD((YEAR($A105)-YEAR('Recurring Schedule'!$F$7))*12+MONTH($A105)-MONTH('Recurring Schedule'!$F$7),'Recurring Schedule'!$O$7)=0),IF('Recurring Schedule'!$E$7="Weekdays",WEEKDAY($A105,2)&lt;=5,$A105='Recurring Schedule'!$F$7))),2,""))))</f>
        <v/>
      </c>
      <c r="D105">
        <f>IF('Recurring Schedule'!$C$8="","",IF('Recurring Schedule'!$F$8="","",IF(OR($A105&lt;'Recurring Schedule'!$F$8,$A105&gt;'Recurring Schedule'!$P$8),"",IF(IF('Recurring Schedule'!$N$8&gt;0,MOD($A105-'Recurring Schedule'!$F$8,'Recurring Schedule'!$N$8)=0,IF('Recurring Schedule'!$O$8&gt;0,AND(DAY($A105)=MIN(DAY('Recurring Schedule'!$F$8),DAY(EOMONTH($A105,0))),MOD((YEAR($A105)-YEAR('Recurring Schedule'!$F$8))*12+MONTH($A105)-MONTH('Recurring Schedule'!$F$8),'Recurring Schedule'!$O$8)=0),IF('Recurring Schedule'!$E$8="Weekdays",WEEKDAY($A105,2)&lt;=5,$A105='Recurring Schedule'!$F$8))),3,""))))</f>
        <v/>
      </c>
      <c r="E105">
        <f>IF('Recurring Schedule'!$C$9="","",IF('Recurring Schedule'!$F$9="","",IF(OR($A105&lt;'Recurring Schedule'!$F$9,$A105&gt;'Recurring Schedule'!$P$9),"",IF(IF('Recurring Schedule'!$N$9&gt;0,MOD($A105-'Recurring Schedule'!$F$9,'Recurring Schedule'!$N$9)=0,IF('Recurring Schedule'!$O$9&gt;0,AND(DAY($A105)=MIN(DAY('Recurring Schedule'!$F$9),DAY(EOMONTH($A105,0))),MOD((YEAR($A105)-YEAR('Recurring Schedule'!$F$9))*12+MONTH($A105)-MONTH('Recurring Schedule'!$F$9),'Recurring Schedule'!$O$9)=0),IF('Recurring Schedule'!$E$9="Weekdays",WEEKDAY($A105,2)&lt;=5,$A105='Recurring Schedule'!$F$9))),4,""))))</f>
        <v/>
      </c>
      <c r="F105">
        <f>IF('Recurring Schedule'!$C$10="","",IF('Recurring Schedule'!$F$10="","",IF(OR($A105&lt;'Recurring Schedule'!$F$10,$A105&gt;'Recurring Schedule'!$P$10),"",IF(IF('Recurring Schedule'!$N$10&gt;0,MOD($A105-'Recurring Schedule'!$F$10,'Recurring Schedule'!$N$10)=0,IF('Recurring Schedule'!$O$10&gt;0,AND(DAY($A105)=MIN(DAY('Recurring Schedule'!$F$10),DAY(EOMONTH($A105,0))),MOD((YEAR($A105)-YEAR('Recurring Schedule'!$F$10))*12+MONTH($A105)-MONTH('Recurring Schedule'!$F$10),'Recurring Schedule'!$O$10)=0),IF('Recurring Schedule'!$E$10="Weekdays",WEEKDAY($A105,2)&lt;=5,$A105='Recurring Schedule'!$F$10))),5,""))))</f>
        <v/>
      </c>
      <c r="G105">
        <f>IF('Recurring Schedule'!$C$11="","",IF('Recurring Schedule'!$F$11="","",IF(OR($A105&lt;'Recurring Schedule'!$F$11,$A105&gt;'Recurring Schedule'!$P$11),"",IF(IF('Recurring Schedule'!$N$11&gt;0,MOD($A105-'Recurring Schedule'!$F$11,'Recurring Schedule'!$N$11)=0,IF('Recurring Schedule'!$O$11&gt;0,AND(DAY($A105)=MIN(DAY('Recurring Schedule'!$F$11),DAY(EOMONTH($A105,0))),MOD((YEAR($A105)-YEAR('Recurring Schedule'!$F$11))*12+MONTH($A105)-MONTH('Recurring Schedule'!$F$11),'Recurring Schedule'!$O$11)=0),IF('Recurring Schedule'!$E$11="Weekdays",WEEKDAY($A105,2)&lt;=5,$A105='Recurring Schedule'!$F$11))),6,""))))</f>
        <v/>
      </c>
      <c r="H105">
        <f>IF('Recurring Schedule'!$C$12="","",IF('Recurring Schedule'!$F$12="","",IF(OR($A105&lt;'Recurring Schedule'!$F$12,$A105&gt;'Recurring Schedule'!$P$12),"",IF(IF('Recurring Schedule'!$N$12&gt;0,MOD($A105-'Recurring Schedule'!$F$12,'Recurring Schedule'!$N$12)=0,IF('Recurring Schedule'!$O$12&gt;0,AND(DAY($A105)=MIN(DAY('Recurring Schedule'!$F$12),DAY(EOMONTH($A105,0))),MOD((YEAR($A105)-YEAR('Recurring Schedule'!$F$12))*12+MONTH($A105)-MONTH('Recurring Schedule'!$F$12),'Recurring Schedule'!$O$12)=0),IF('Recurring Schedule'!$E$12="Weekdays",WEEKDAY($A105,2)&lt;=5,$A105='Recurring Schedule'!$F$12))),7,""))))</f>
        <v/>
      </c>
      <c r="I105">
        <f>IF('Recurring Schedule'!$C$13="","",IF('Recurring Schedule'!$F$13="","",IF(OR($A105&lt;'Recurring Schedule'!$F$13,$A105&gt;'Recurring Schedule'!$P$13),"",IF(IF('Recurring Schedule'!$N$13&gt;0,MOD($A105-'Recurring Schedule'!$F$13,'Recurring Schedule'!$N$13)=0,IF('Recurring Schedule'!$O$13&gt;0,AND(DAY($A105)=MIN(DAY('Recurring Schedule'!$F$13),DAY(EOMONTH($A105,0))),MOD((YEAR($A105)-YEAR('Recurring Schedule'!$F$13))*12+MONTH($A105)-MONTH('Recurring Schedule'!$F$13),'Recurring Schedule'!$O$13)=0),IF('Recurring Schedule'!$E$13="Weekdays",WEEKDAY($A105,2)&lt;=5,$A105='Recurring Schedule'!$F$13))),8,""))))</f>
        <v/>
      </c>
      <c r="J105">
        <f>IF('Recurring Schedule'!$C$14="","",IF('Recurring Schedule'!$F$14="","",IF(OR($A105&lt;'Recurring Schedule'!$F$14,$A105&gt;'Recurring Schedule'!$P$14),"",IF(IF('Recurring Schedule'!$N$14&gt;0,MOD($A105-'Recurring Schedule'!$F$14,'Recurring Schedule'!$N$14)=0,IF('Recurring Schedule'!$O$14&gt;0,AND(DAY($A105)=MIN(DAY('Recurring Schedule'!$F$14),DAY(EOMONTH($A105,0))),MOD((YEAR($A105)-YEAR('Recurring Schedule'!$F$14))*12+MONTH($A105)-MONTH('Recurring Schedule'!$F$14),'Recurring Schedule'!$O$14)=0),IF('Recurring Schedule'!$E$14="Weekdays",WEEKDAY($A105,2)&lt;=5,$A105='Recurring Schedule'!$F$14))),9,""))))</f>
        <v/>
      </c>
      <c r="K105">
        <f>IF('Recurring Schedule'!$C$15="","",IF('Recurring Schedule'!$F$15="","",IF(OR($A105&lt;'Recurring Schedule'!$F$15,$A105&gt;'Recurring Schedule'!$P$15),"",IF(IF('Recurring Schedule'!$N$15&gt;0,MOD($A105-'Recurring Schedule'!$F$15,'Recurring Schedule'!$N$15)=0,IF('Recurring Schedule'!$O$15&gt;0,AND(DAY($A105)=MIN(DAY('Recurring Schedule'!$F$15),DAY(EOMONTH($A105,0))),MOD((YEAR($A105)-YEAR('Recurring Schedule'!$F$15))*12+MONTH($A105)-MONTH('Recurring Schedule'!$F$15),'Recurring Schedule'!$O$15)=0),IF('Recurring Schedule'!$E$15="Weekdays",WEEKDAY($A105,2)&lt;=5,$A105='Recurring Schedule'!$F$15))),10,""))))</f>
        <v/>
      </c>
      <c r="L105">
        <f>IF('Recurring Schedule'!$C$16="","",IF('Recurring Schedule'!$F$16="","",IF(OR($A105&lt;'Recurring Schedule'!$F$16,$A105&gt;'Recurring Schedule'!$P$16),"",IF(IF('Recurring Schedule'!$N$16&gt;0,MOD($A105-'Recurring Schedule'!$F$16,'Recurring Schedule'!$N$16)=0,IF('Recurring Schedule'!$O$16&gt;0,AND(DAY($A105)=MIN(DAY('Recurring Schedule'!$F$16),DAY(EOMONTH($A105,0))),MOD((YEAR($A105)-YEAR('Recurring Schedule'!$F$16))*12+MONTH($A105)-MONTH('Recurring Schedule'!$F$16),'Recurring Schedule'!$O$16)=0),IF('Recurring Schedule'!$E$16="Weekdays",WEEKDAY($A105,2)&lt;=5,$A105='Recurring Schedule'!$F$16))),11,""))))</f>
        <v/>
      </c>
      <c r="M105">
        <f>IF('Recurring Schedule'!$C$17="","",IF('Recurring Schedule'!$F$17="","",IF(OR($A105&lt;'Recurring Schedule'!$F$17,$A105&gt;'Recurring Schedule'!$P$17),"",IF(IF('Recurring Schedule'!$N$17&gt;0,MOD($A105-'Recurring Schedule'!$F$17,'Recurring Schedule'!$N$17)=0,IF('Recurring Schedule'!$O$17&gt;0,AND(DAY($A105)=MIN(DAY('Recurring Schedule'!$F$17),DAY(EOMONTH($A105,0))),MOD((YEAR($A105)-YEAR('Recurring Schedule'!$F$17))*12+MONTH($A105)-MONTH('Recurring Schedule'!$F$17),'Recurring Schedule'!$O$17)=0),IF('Recurring Schedule'!$E$17="Weekdays",WEEKDAY($A105,2)&lt;=5,$A105='Recurring Schedule'!$F$17))),12,""))))</f>
        <v/>
      </c>
      <c r="N105">
        <f>IF('Recurring Schedule'!$C$18="","",IF('Recurring Schedule'!$F$18="","",IF(OR($A105&lt;'Recurring Schedule'!$F$18,$A105&gt;'Recurring Schedule'!$P$18),"",IF(IF('Recurring Schedule'!$N$18&gt;0,MOD($A105-'Recurring Schedule'!$F$18,'Recurring Schedule'!$N$18)=0,IF('Recurring Schedule'!$O$18&gt;0,AND(DAY($A105)=MIN(DAY('Recurring Schedule'!$F$18),DAY(EOMONTH($A105,0))),MOD((YEAR($A105)-YEAR('Recurring Schedule'!$F$18))*12+MONTH($A105)-MONTH('Recurring Schedule'!$F$18),'Recurring Schedule'!$O$18)=0),IF('Recurring Schedule'!$E$18="Weekdays",WEEKDAY($A105,2)&lt;=5,$A105='Recurring Schedule'!$F$18))),13,""))))</f>
        <v/>
      </c>
      <c r="O105">
        <f>IF('Recurring Schedule'!$C$19="","",IF('Recurring Schedule'!$F$19="","",IF(OR($A105&lt;'Recurring Schedule'!$F$19,$A105&gt;'Recurring Schedule'!$P$19),"",IF(IF('Recurring Schedule'!$N$19&gt;0,MOD($A105-'Recurring Schedule'!$F$19,'Recurring Schedule'!$N$19)=0,IF('Recurring Schedule'!$O$19&gt;0,AND(DAY($A105)=MIN(DAY('Recurring Schedule'!$F$19),DAY(EOMONTH($A105,0))),MOD((YEAR($A105)-YEAR('Recurring Schedule'!$F$19))*12+MONTH($A105)-MONTH('Recurring Schedule'!$F$19),'Recurring Schedule'!$O$19)=0),IF('Recurring Schedule'!$E$19="Weekdays",WEEKDAY($A105,2)&lt;=5,$A105='Recurring Schedule'!$F$19))),14,""))))</f>
        <v/>
      </c>
      <c r="P105">
        <f>IF('Recurring Schedule'!$C$20="","",IF('Recurring Schedule'!$F$20="","",IF(OR($A105&lt;'Recurring Schedule'!$F$20,$A105&gt;'Recurring Schedule'!$P$20),"",IF(IF('Recurring Schedule'!$N$20&gt;0,MOD($A105-'Recurring Schedule'!$F$20,'Recurring Schedule'!$N$20)=0,IF('Recurring Schedule'!$O$20&gt;0,AND(DAY($A105)=MIN(DAY('Recurring Schedule'!$F$20),DAY(EOMONTH($A105,0))),MOD((YEAR($A105)-YEAR('Recurring Schedule'!$F$20))*12+MONTH($A105)-MONTH('Recurring Schedule'!$F$20),'Recurring Schedule'!$O$20)=0),IF('Recurring Schedule'!$E$20="Weekdays",WEEKDAY($A105,2)&lt;=5,$A105='Recurring Schedule'!$F$20))),15,""))))</f>
        <v/>
      </c>
      <c r="Q105">
        <f>IF('Recurring Schedule'!$C$21="","",IF('Recurring Schedule'!$F$21="","",IF(OR($A105&lt;'Recurring Schedule'!$F$21,$A105&gt;'Recurring Schedule'!$P$21),"",IF(IF('Recurring Schedule'!$N$21&gt;0,MOD($A105-'Recurring Schedule'!$F$21,'Recurring Schedule'!$N$21)=0,IF('Recurring Schedule'!$O$21&gt;0,AND(DAY($A105)=MIN(DAY('Recurring Schedule'!$F$21),DAY(EOMONTH($A105,0))),MOD((YEAR($A105)-YEAR('Recurring Schedule'!$F$21))*12+MONTH($A105)-MONTH('Recurring Schedule'!$F$21),'Recurring Schedule'!$O$21)=0),IF('Recurring Schedule'!$E$21="Weekdays",WEEKDAY($A105,2)&lt;=5,$A105='Recurring Schedule'!$F$21))),16,""))))</f>
        <v/>
      </c>
      <c r="R105">
        <f>IF('Recurring Schedule'!$C$22="","",IF('Recurring Schedule'!$F$22="","",IF(OR($A105&lt;'Recurring Schedule'!$F$22,$A105&gt;'Recurring Schedule'!$P$22),"",IF(IF('Recurring Schedule'!$N$22&gt;0,MOD($A105-'Recurring Schedule'!$F$22,'Recurring Schedule'!$N$22)=0,IF('Recurring Schedule'!$O$22&gt;0,AND(DAY($A105)=MIN(DAY('Recurring Schedule'!$F$22),DAY(EOMONTH($A105,0))),MOD((YEAR($A105)-YEAR('Recurring Schedule'!$F$22))*12+MONTH($A105)-MONTH('Recurring Schedule'!$F$22),'Recurring Schedule'!$O$22)=0),IF('Recurring Schedule'!$E$22="Weekdays",WEEKDAY($A105,2)&lt;=5,$A105='Recurring Schedule'!$F$22))),17,""))))</f>
        <v/>
      </c>
      <c r="S105">
        <f>IF('Recurring Schedule'!$C$23="","",IF('Recurring Schedule'!$F$23="","",IF(OR($A105&lt;'Recurring Schedule'!$F$23,$A105&gt;'Recurring Schedule'!$P$23),"",IF(IF('Recurring Schedule'!$N$23&gt;0,MOD($A105-'Recurring Schedule'!$F$23,'Recurring Schedule'!$N$23)=0,IF('Recurring Schedule'!$O$23&gt;0,AND(DAY($A105)=MIN(DAY('Recurring Schedule'!$F$23),DAY(EOMONTH($A105,0))),MOD((YEAR($A105)-YEAR('Recurring Schedule'!$F$23))*12+MONTH($A105)-MONTH('Recurring Schedule'!$F$23),'Recurring Schedule'!$O$23)=0),IF('Recurring Schedule'!$E$23="Weekdays",WEEKDAY($A105,2)&lt;=5,$A105='Recurring Schedule'!$F$23))),18,""))))</f>
        <v/>
      </c>
      <c r="T105">
        <f>IF('Recurring Schedule'!$C$24="","",IF('Recurring Schedule'!$F$24="","",IF(OR($A105&lt;'Recurring Schedule'!$F$24,$A105&gt;'Recurring Schedule'!$P$24),"",IF(IF('Recurring Schedule'!$N$24&gt;0,MOD($A105-'Recurring Schedule'!$F$24,'Recurring Schedule'!$N$24)=0,IF('Recurring Schedule'!$O$24&gt;0,AND(DAY($A105)=MIN(DAY('Recurring Schedule'!$F$24),DAY(EOMONTH($A105,0))),MOD((YEAR($A105)-YEAR('Recurring Schedule'!$F$24))*12+MONTH($A105)-MONTH('Recurring Schedule'!$F$24),'Recurring Schedule'!$O$24)=0),IF('Recurring Schedule'!$E$24="Weekdays",WEEKDAY($A105,2)&lt;=5,$A105='Recurring Schedule'!$F$24))),19,""))))</f>
        <v/>
      </c>
      <c r="U105">
        <f>IF('Recurring Schedule'!$C$25="","",IF('Recurring Schedule'!$F$25="","",IF(OR($A105&lt;'Recurring Schedule'!$F$25,$A105&gt;'Recurring Schedule'!$P$25),"",IF(IF('Recurring Schedule'!$N$25&gt;0,MOD($A105-'Recurring Schedule'!$F$25,'Recurring Schedule'!$N$25)=0,IF('Recurring Schedule'!$O$25&gt;0,AND(DAY($A105)=MIN(DAY('Recurring Schedule'!$F$25),DAY(EOMONTH($A105,0))),MOD((YEAR($A105)-YEAR('Recurring Schedule'!$F$25))*12+MONTH($A105)-MONTH('Recurring Schedule'!$F$25),'Recurring Schedule'!$O$25)=0),IF('Recurring Schedule'!$E$25="Weekdays",WEEKDAY($A105,2)&lt;=5,$A105='Recurring Schedule'!$F$25))),20,""))))</f>
        <v/>
      </c>
      <c r="V105">
        <f>IF('Recurring Schedule'!$C$26="","",IF('Recurring Schedule'!$F$26="","",IF(OR($A105&lt;'Recurring Schedule'!$F$26,$A105&gt;'Recurring Schedule'!$P$26),"",IF(IF('Recurring Schedule'!$N$26&gt;0,MOD($A105-'Recurring Schedule'!$F$26,'Recurring Schedule'!$N$26)=0,IF('Recurring Schedule'!$O$26&gt;0,AND(DAY($A105)=MIN(DAY('Recurring Schedule'!$F$26),DAY(EOMONTH($A105,0))),MOD((YEAR($A105)-YEAR('Recurring Schedule'!$F$26))*12+MONTH($A105)-MONTH('Recurring Schedule'!$F$26),'Recurring Schedule'!$O$26)=0),IF('Recurring Schedule'!$E$26="Weekdays",WEEKDAY($A105,2)&lt;=5,$A105='Recurring Schedule'!$F$26))),21,""))))</f>
        <v/>
      </c>
      <c r="W105">
        <f>IF('Recurring Schedule'!$C$27="","",IF('Recurring Schedule'!$F$27="","",IF(OR($A105&lt;'Recurring Schedule'!$F$27,$A105&gt;'Recurring Schedule'!$P$27),"",IF(IF('Recurring Schedule'!$N$27&gt;0,MOD($A105-'Recurring Schedule'!$F$27,'Recurring Schedule'!$N$27)=0,IF('Recurring Schedule'!$O$27&gt;0,AND(DAY($A105)=MIN(DAY('Recurring Schedule'!$F$27),DAY(EOMONTH($A105,0))),MOD((YEAR($A105)-YEAR('Recurring Schedule'!$F$27))*12+MONTH($A105)-MONTH('Recurring Schedule'!$F$27),'Recurring Schedule'!$O$27)=0),IF('Recurring Schedule'!$E$27="Weekdays",WEEKDAY($A105,2)&lt;=5,$A105='Recurring Schedule'!$F$27))),22,""))))</f>
        <v/>
      </c>
      <c r="X105">
        <f>IF('Recurring Schedule'!$C$28="","",IF('Recurring Schedule'!$F$28="","",IF(OR($A105&lt;'Recurring Schedule'!$F$28,$A105&gt;'Recurring Schedule'!$P$28),"",IF(IF('Recurring Schedule'!$N$28&gt;0,MOD($A105-'Recurring Schedule'!$F$28,'Recurring Schedule'!$N$28)=0,IF('Recurring Schedule'!$O$28&gt;0,AND(DAY($A105)=MIN(DAY('Recurring Schedule'!$F$28),DAY(EOMONTH($A105,0))),MOD((YEAR($A105)-YEAR('Recurring Schedule'!$F$28))*12+MONTH($A105)-MONTH('Recurring Schedule'!$F$28),'Recurring Schedule'!$O$28)=0),IF('Recurring Schedule'!$E$28="Weekdays",WEEKDAY($A105,2)&lt;=5,$A105='Recurring Schedule'!$F$28))),23,""))))</f>
        <v/>
      </c>
      <c r="Y105">
        <f>IF('Recurring Schedule'!$C$29="","",IF('Recurring Schedule'!$F$29="","",IF(OR($A105&lt;'Recurring Schedule'!$F$29,$A105&gt;'Recurring Schedule'!$P$29),"",IF(IF('Recurring Schedule'!$N$29&gt;0,MOD($A105-'Recurring Schedule'!$F$29,'Recurring Schedule'!$N$29)=0,IF('Recurring Schedule'!$O$29&gt;0,AND(DAY($A105)=MIN(DAY('Recurring Schedule'!$F$29),DAY(EOMONTH($A105,0))),MOD((YEAR($A105)-YEAR('Recurring Schedule'!$F$29))*12+MONTH($A105)-MONTH('Recurring Schedule'!$F$29),'Recurring Schedule'!$O$29)=0),IF('Recurring Schedule'!$E$29="Weekdays",WEEKDAY($A105,2)&lt;=5,$A105='Recurring Schedule'!$F$29))),24,""))))</f>
        <v/>
      </c>
      <c r="Z105">
        <f>IF('Recurring Schedule'!$C$30="","",IF('Recurring Schedule'!$F$30="","",IF(OR($A105&lt;'Recurring Schedule'!$F$30,$A105&gt;'Recurring Schedule'!$P$30),"",IF(IF('Recurring Schedule'!$N$30&gt;0,MOD($A105-'Recurring Schedule'!$F$30,'Recurring Schedule'!$N$30)=0,IF('Recurring Schedule'!$O$30&gt;0,AND(DAY($A105)=MIN(DAY('Recurring Schedule'!$F$30),DAY(EOMONTH($A105,0))),MOD((YEAR($A105)-YEAR('Recurring Schedule'!$F$30))*12+MONTH($A105)-MONTH('Recurring Schedule'!$F$30),'Recurring Schedule'!$O$30)=0),IF('Recurring Schedule'!$E$30="Weekdays",WEEKDAY($A105,2)&lt;=5,$A105='Recurring Schedule'!$F$30))),25,""))))</f>
        <v/>
      </c>
      <c r="AA105">
        <f>IF('Recurring Schedule'!$C$31="","",IF('Recurring Schedule'!$F$31="","",IF(OR($A105&lt;'Recurring Schedule'!$F$31,$A105&gt;'Recurring Schedule'!$P$31),"",IF(IF('Recurring Schedule'!$N$31&gt;0,MOD($A105-'Recurring Schedule'!$F$31,'Recurring Schedule'!$N$31)=0,IF('Recurring Schedule'!$O$31&gt;0,AND(DAY($A105)=MIN(DAY('Recurring Schedule'!$F$31),DAY(EOMONTH($A105,0))),MOD((YEAR($A105)-YEAR('Recurring Schedule'!$F$31))*12+MONTH($A105)-MONTH('Recurring Schedule'!$F$31),'Recurring Schedule'!$O$31)=0),IF('Recurring Schedule'!$E$31="Weekdays",WEEKDAY($A105,2)&lt;=5,$A105='Recurring Schedule'!$F$31))),26,""))))</f>
        <v/>
      </c>
      <c r="AB105">
        <f>IF('Recurring Schedule'!$C$32="","",IF('Recurring Schedule'!$F$32="","",IF(OR($A105&lt;'Recurring Schedule'!$F$32,$A105&gt;'Recurring Schedule'!$P$32),"",IF(IF('Recurring Schedule'!$N$32&gt;0,MOD($A105-'Recurring Schedule'!$F$32,'Recurring Schedule'!$N$32)=0,IF('Recurring Schedule'!$O$32&gt;0,AND(DAY($A105)=MIN(DAY('Recurring Schedule'!$F$32),DAY(EOMONTH($A105,0))),MOD((YEAR($A105)-YEAR('Recurring Schedule'!$F$32))*12+MONTH($A105)-MONTH('Recurring Schedule'!$F$32),'Recurring Schedule'!$O$32)=0),IF('Recurring Schedule'!$E$32="Weekdays",WEEKDAY($A105,2)&lt;=5,$A105='Recurring Schedule'!$F$32))),27,""))))</f>
        <v/>
      </c>
      <c r="AC105">
        <f>IF('Recurring Schedule'!$C$33="","",IF('Recurring Schedule'!$F$33="","",IF(OR($A105&lt;'Recurring Schedule'!$F$33,$A105&gt;'Recurring Schedule'!$P$33),"",IF(IF('Recurring Schedule'!$N$33&gt;0,MOD($A105-'Recurring Schedule'!$F$33,'Recurring Schedule'!$N$33)=0,IF('Recurring Schedule'!$O$33&gt;0,AND(DAY($A105)=MIN(DAY('Recurring Schedule'!$F$33),DAY(EOMONTH($A105,0))),MOD((YEAR($A105)-YEAR('Recurring Schedule'!$F$33))*12+MONTH($A105)-MONTH('Recurring Schedule'!$F$33),'Recurring Schedule'!$O$33)=0),IF('Recurring Schedule'!$E$33="Weekdays",WEEKDAY($A105,2)&lt;=5,$A105='Recurring Schedule'!$F$33))),28,""))))</f>
        <v/>
      </c>
      <c r="AD105">
        <f>IF('Recurring Schedule'!$C$34="","",IF('Recurring Schedule'!$F$34="","",IF(OR($A105&lt;'Recurring Schedule'!$F$34,$A105&gt;'Recurring Schedule'!$P$34),"",IF(IF('Recurring Schedule'!$N$34&gt;0,MOD($A105-'Recurring Schedule'!$F$34,'Recurring Schedule'!$N$34)=0,IF('Recurring Schedule'!$O$34&gt;0,AND(DAY($A105)=MIN(DAY('Recurring Schedule'!$F$34),DAY(EOMONTH($A105,0))),MOD((YEAR($A105)-YEAR('Recurring Schedule'!$F$34))*12+MONTH($A105)-MONTH('Recurring Schedule'!$F$34),'Recurring Schedule'!$O$34)=0),IF('Recurring Schedule'!$E$34="Weekdays",WEEKDAY($A105,2)&lt;=5,$A105='Recurring Schedule'!$F$34))),29,""))))</f>
        <v/>
      </c>
      <c r="AE105">
        <f>IF('Recurring Schedule'!$C$35="","",IF('Recurring Schedule'!$F$35="","",IF(OR($A105&lt;'Recurring Schedule'!$F$35,$A105&gt;'Recurring Schedule'!$P$35),"",IF(IF('Recurring Schedule'!$N$35&gt;0,MOD($A105-'Recurring Schedule'!$F$35,'Recurring Schedule'!$N$35)=0,IF('Recurring Schedule'!$O$35&gt;0,AND(DAY($A105)=MIN(DAY('Recurring Schedule'!$F$35),DAY(EOMONTH($A105,0))),MOD((YEAR($A105)-YEAR('Recurring Schedule'!$F$35))*12+MONTH($A105)-MONTH('Recurring Schedule'!$F$35),'Recurring Schedule'!$O$35)=0),IF('Recurring Schedule'!$E$35="Weekdays",WEEKDAY($A105,2)&lt;=5,$A105='Recurring Schedule'!$F$35))),30,""))))</f>
        <v/>
      </c>
      <c r="AF105">
        <f>IF('Recurring Schedule'!$C$36="","",IF('Recurring Schedule'!$F$36="","",IF(OR($A105&lt;'Recurring Schedule'!$F$36,$A105&gt;'Recurring Schedule'!$P$36),"",IF(IF('Recurring Schedule'!$N$36&gt;0,MOD($A105-'Recurring Schedule'!$F$36,'Recurring Schedule'!$N$36)=0,IF('Recurring Schedule'!$O$36&gt;0,AND(DAY($A105)=MIN(DAY('Recurring Schedule'!$F$36),DAY(EOMONTH($A105,0))),MOD((YEAR($A105)-YEAR('Recurring Schedule'!$F$36))*12+MONTH($A105)-MONTH('Recurring Schedule'!$F$36),'Recurring Schedule'!$O$36)=0),IF('Recurring Schedule'!$E$36="Weekdays",WEEKDAY($A105,2)&lt;=5,$A105='Recurring Schedule'!$F$36))),31,""))))</f>
        <v/>
      </c>
      <c r="AG105">
        <f>IF('Recurring Schedule'!$C$37="","",IF('Recurring Schedule'!$F$37="","",IF(OR($A105&lt;'Recurring Schedule'!$F$37,$A105&gt;'Recurring Schedule'!$P$37),"",IF(IF('Recurring Schedule'!$N$37&gt;0,MOD($A105-'Recurring Schedule'!$F$37,'Recurring Schedule'!$N$37)=0,IF('Recurring Schedule'!$O$37&gt;0,AND(DAY($A105)=MIN(DAY('Recurring Schedule'!$F$37),DAY(EOMONTH($A105,0))),MOD((YEAR($A105)-YEAR('Recurring Schedule'!$F$37))*12+MONTH($A105)-MONTH('Recurring Schedule'!$F$37),'Recurring Schedule'!$O$37)=0),IF('Recurring Schedule'!$E$37="Weekdays",WEEKDAY($A105,2)&lt;=5,$A105='Recurring Schedule'!$F$37))),32,""))))</f>
        <v/>
      </c>
      <c r="AH105">
        <f>IF('Recurring Schedule'!$C$38="","",IF('Recurring Schedule'!$F$38="","",IF(OR($A105&lt;'Recurring Schedule'!$F$38,$A105&gt;'Recurring Schedule'!$P$38),"",IF(IF('Recurring Schedule'!$N$38&gt;0,MOD($A105-'Recurring Schedule'!$F$38,'Recurring Schedule'!$N$38)=0,IF('Recurring Schedule'!$O$38&gt;0,AND(DAY($A105)=MIN(DAY('Recurring Schedule'!$F$38),DAY(EOMONTH($A105,0))),MOD((YEAR($A105)-YEAR('Recurring Schedule'!$F$38))*12+MONTH($A105)-MONTH('Recurring Schedule'!$F$38),'Recurring Schedule'!$O$38)=0),IF('Recurring Schedule'!$E$38="Weekdays",WEEKDAY($A105,2)&lt;=5,$A105='Recurring Schedule'!$F$38))),33,""))))</f>
        <v/>
      </c>
      <c r="AI105">
        <f>IF('Recurring Schedule'!$C$39="","",IF('Recurring Schedule'!$F$39="","",IF(OR($A105&lt;'Recurring Schedule'!$F$39,$A105&gt;'Recurring Schedule'!$P$39),"",IF(IF('Recurring Schedule'!$N$39&gt;0,MOD($A105-'Recurring Schedule'!$F$39,'Recurring Schedule'!$N$39)=0,IF('Recurring Schedule'!$O$39&gt;0,AND(DAY($A105)=MIN(DAY('Recurring Schedule'!$F$39),DAY(EOMONTH($A105,0))),MOD((YEAR($A105)-YEAR('Recurring Schedule'!$F$39))*12+MONTH($A105)-MONTH('Recurring Schedule'!$F$39),'Recurring Schedule'!$O$39)=0),IF('Recurring Schedule'!$E$39="Weekdays",WEEKDAY($A105,2)&lt;=5,$A105='Recurring Schedule'!$F$39))),34,""))))</f>
        <v/>
      </c>
      <c r="AJ105">
        <f>IF('Recurring Schedule'!$C$40="","",IF('Recurring Schedule'!$F$40="","",IF(OR($A105&lt;'Recurring Schedule'!$F$40,$A105&gt;'Recurring Schedule'!$P$40),"",IF(IF('Recurring Schedule'!$N$40&gt;0,MOD($A105-'Recurring Schedule'!$F$40,'Recurring Schedule'!$N$40)=0,IF('Recurring Schedule'!$O$40&gt;0,AND(DAY($A105)=MIN(DAY('Recurring Schedule'!$F$40),DAY(EOMONTH($A105,0))),MOD((YEAR($A105)-YEAR('Recurring Schedule'!$F$40))*12+MONTH($A105)-MONTH('Recurring Schedule'!$F$40),'Recurring Schedule'!$O$40)=0),IF('Recurring Schedule'!$E$40="Weekdays",WEEKDAY($A105,2)&lt;=5,$A105='Recurring Schedule'!$F$40))),35,""))))</f>
        <v/>
      </c>
      <c r="AK105">
        <f>IF('Recurring Schedule'!$C$41="","",IF('Recurring Schedule'!$F$41="","",IF(OR($A105&lt;'Recurring Schedule'!$F$41,$A105&gt;'Recurring Schedule'!$P$41),"",IF(IF('Recurring Schedule'!$N$41&gt;0,MOD($A105-'Recurring Schedule'!$F$41,'Recurring Schedule'!$N$41)=0,IF('Recurring Schedule'!$O$41&gt;0,AND(DAY($A105)=MIN(DAY('Recurring Schedule'!$F$41),DAY(EOMONTH($A105,0))),MOD((YEAR($A105)-YEAR('Recurring Schedule'!$F$41))*12+MONTH($A105)-MONTH('Recurring Schedule'!$F$41),'Recurring Schedule'!$O$41)=0),IF('Recurring Schedule'!$E$41="Weekdays",WEEKDAY($A105,2)&lt;=5,$A105='Recurring Schedule'!$F$41))),36,""))))</f>
        <v/>
      </c>
      <c r="AL105">
        <f>IF('Recurring Schedule'!$C$42="","",IF('Recurring Schedule'!$F$42="","",IF(OR($A105&lt;'Recurring Schedule'!$F$42,$A105&gt;'Recurring Schedule'!$P$42),"",IF(IF('Recurring Schedule'!$N$42&gt;0,MOD($A105-'Recurring Schedule'!$F$42,'Recurring Schedule'!$N$42)=0,IF('Recurring Schedule'!$O$42&gt;0,AND(DAY($A105)=MIN(DAY('Recurring Schedule'!$F$42),DAY(EOMONTH($A105,0))),MOD((YEAR($A105)-YEAR('Recurring Schedule'!$F$42))*12+MONTH($A105)-MONTH('Recurring Schedule'!$F$42),'Recurring Schedule'!$O$42)=0),IF('Recurring Schedule'!$E$42="Weekdays",WEEKDAY($A105,2)&lt;=5,$A105='Recurring Schedule'!$F$42))),37,""))))</f>
        <v/>
      </c>
      <c r="AM105">
        <f>IF('Recurring Schedule'!$C$43="","",IF('Recurring Schedule'!$F$43="","",IF(OR($A105&lt;'Recurring Schedule'!$F$43,$A105&gt;'Recurring Schedule'!$P$43),"",IF(IF('Recurring Schedule'!$N$43&gt;0,MOD($A105-'Recurring Schedule'!$F$43,'Recurring Schedule'!$N$43)=0,IF('Recurring Schedule'!$O$43&gt;0,AND(DAY($A105)=MIN(DAY('Recurring Schedule'!$F$43),DAY(EOMONTH($A105,0))),MOD((YEAR($A105)-YEAR('Recurring Schedule'!$F$43))*12+MONTH($A105)-MONTH('Recurring Schedule'!$F$43),'Recurring Schedule'!$O$43)=0),IF('Recurring Schedule'!$E$43="Weekdays",WEEKDAY($A105,2)&lt;=5,$A105='Recurring Schedule'!$F$43))),38,""))))</f>
        <v/>
      </c>
      <c r="AN105">
        <f>IF('Recurring Schedule'!$C$44="","",IF('Recurring Schedule'!$F$44="","",IF(OR($A105&lt;'Recurring Schedule'!$F$44,$A105&gt;'Recurring Schedule'!$P$44),"",IF(IF('Recurring Schedule'!$N$44&gt;0,MOD($A105-'Recurring Schedule'!$F$44,'Recurring Schedule'!$N$44)=0,IF('Recurring Schedule'!$O$44&gt;0,AND(DAY($A105)=MIN(DAY('Recurring Schedule'!$F$44),DAY(EOMONTH($A105,0))),MOD((YEAR($A105)-YEAR('Recurring Schedule'!$F$44))*12+MONTH($A105)-MONTH('Recurring Schedule'!$F$44),'Recurring Schedule'!$O$44)=0),IF('Recurring Schedule'!$E$44="Weekdays",WEEKDAY($A105,2)&lt;=5,$A105='Recurring Schedule'!$F$44))),39,""))))</f>
        <v/>
      </c>
      <c r="AO105">
        <f>IF('Recurring Schedule'!$C$45="","",IF('Recurring Schedule'!$F$45="","",IF(OR($A105&lt;'Recurring Schedule'!$F$45,$A105&gt;'Recurring Schedule'!$P$45),"",IF(IF('Recurring Schedule'!$N$45&gt;0,MOD($A105-'Recurring Schedule'!$F$45,'Recurring Schedule'!$N$45)=0,IF('Recurring Schedule'!$O$45&gt;0,AND(DAY($A105)=MIN(DAY('Recurring Schedule'!$F$45),DAY(EOMONTH($A105,0))),MOD((YEAR($A105)-YEAR('Recurring Schedule'!$F$45))*12+MONTH($A105)-MONTH('Recurring Schedule'!$F$45),'Recurring Schedule'!$O$45)=0),IF('Recurring Schedule'!$E$45="Weekdays",WEEKDAY($A105,2)&lt;=5,$A105='Recurring Schedule'!$F$45))),40,""))))</f>
        <v/>
      </c>
      <c r="AP105">
        <f>COUNT(B105:AO105)</f>
        <v/>
      </c>
      <c r="AQ105">
        <f>AQ104+AP104</f>
        <v/>
      </c>
      <c r="AS105" t="inlineStr">
        <is>
          <t>R</t>
        </is>
      </c>
      <c r="AT105" t="n">
        <v>109</v>
      </c>
      <c r="AU105">
        <f>'Recurring Log'!C109&amp;""</f>
        <v/>
      </c>
      <c r="AV105">
        <f>'Recurring Log'!D109&amp;""</f>
        <v/>
      </c>
      <c r="AW105">
        <f>IF('Recurring Log'!E109="","",'Recurring Log'!E109)</f>
        <v/>
      </c>
      <c r="AX105">
        <f>IF('Recurring Log'!G109="","",'Recurring Log'!G109)</f>
        <v/>
      </c>
      <c r="AY105">
        <f>IF('Recurring Log'!H109="","",'Recurring Log'!H109)</f>
        <v/>
      </c>
      <c r="AZ105">
        <f>IF(AU105="","",IF('Recurring Log'!J109="","Not Started",'Recurring Log'!J109))</f>
        <v/>
      </c>
      <c r="BA105">
        <f>'Recurring Log'!L109&amp;""</f>
        <v/>
      </c>
      <c r="BB105">
        <f>'Recurring Log'!M109&amp;""</f>
        <v/>
      </c>
      <c r="BC105">
        <f>'Recurring Log'!N109&amp;""</f>
        <v/>
      </c>
      <c r="BD105">
        <f>'Recurring Log'!O109&amp;""</f>
        <v/>
      </c>
      <c r="BE105">
        <f>IF('Recurring Log'!K109="","",'Recurring Log'!K109)</f>
        <v/>
      </c>
      <c r="BF105">
        <f>IFERROR(MATCH(BA105,Setup!$L$6:$L$9,0),5)</f>
        <v/>
      </c>
      <c r="BG105">
        <f>IF(OR(AZ105="Done",AZ105="Cancelled"),1,0)</f>
        <v/>
      </c>
      <c r="BH105">
        <f>IF(AND(AU105&lt;&gt;"",ISNUMBER(AW105)),1,0)</f>
        <v/>
      </c>
      <c r="BI105">
        <f>IF(BH105=0,0,IF(AND(AW105&gt;='Tasks Filter'!$F$3,AW105&lt;='Tasks Filter'!$F$4,OR('Tasks Filter'!$I$3="",ISNUMBER(SEARCH('Tasks Filter'!$I$3,AU105))),OR('Tasks Filter'!$I$4="",BF105=IFERROR(MATCH('Tasks Filter'!$I$4,Setup!$L$6:$L$9,0),0)),OR('Tasks Filter'!$I$5="Both",AND('Tasks Filter'!$I$5="Yes",BB105="✓"),AND('Tasks Filter'!$I$5="No",BB105&lt;&gt;"✓")),OR('Tasks Filter'!$L$3="",AV105='Tasks Filter'!$L$3),OR('Tasks Filter'!$L$4="",AZ105='Tasks Filter'!$L$4),OR('Tasks Filter'!$L$5="",BC105='Tasks Filter'!$L$5),OR('Tasks Filter'!$O$3="",BD105='Tasks Filter'!$O$3),OR('Tasks Filter'!$O$4="Yes",BG105=0)),1,0))</f>
        <v/>
      </c>
      <c r="BJ105">
        <f>IF(BH105=0,"",IF('Tasks Filter'!$F$6="Descending",-1,1)*CHOOSE(MATCH('Tasks Filter'!$F$5,Lists!$G$2:$G$6,0),AW105,BF105,IFERROR(MATCH(AV105,Setup!$F$6:$F$15,0),99),IFERROR(MATCH(BC105,Setup!$H$6:$H$15,0),99),IFERROR(MATCH(AZ105,Setup!$J$6:$J$11,0),99))*1E+9+(AW105-40000)*10000+104)</f>
        <v/>
      </c>
      <c r="BK105">
        <f>IF(BI105=1,BJ105,"")</f>
        <v/>
      </c>
      <c r="BL105">
        <f>IF(AND(BH105=1,BG105=0,N(AW105)&lt;Setup!$D$7),(AW105-40000)*10000+104,"")</f>
        <v/>
      </c>
      <c r="BM105">
        <f>IF(AND(BH105=1,AZ105&lt;&gt;"Cancelled",N(AW105)&gt;=Dashboard!$AB$3,N(AW105)&lt;=Dashboard!$AB$3+6),(AW105-40000)*100000+BF105*10000+104,"")</f>
        <v/>
      </c>
      <c r="BN105">
        <f>IF(AND(BH105=1,AZ105&lt;&gt;"Cancelled"),BF105*10000+104,"")</f>
        <v/>
      </c>
    </row>
    <row r="106">
      <c r="A106">
        <f>Setup!$D$5+104</f>
        <v/>
      </c>
      <c r="B106">
        <f>IF('Recurring Schedule'!$C$6="","",IF('Recurring Schedule'!$F$6="","",IF(OR($A106&lt;'Recurring Schedule'!$F$6,$A106&gt;'Recurring Schedule'!$P$6),"",IF(IF('Recurring Schedule'!$N$6&gt;0,MOD($A106-'Recurring Schedule'!$F$6,'Recurring Schedule'!$N$6)=0,IF('Recurring Schedule'!$O$6&gt;0,AND(DAY($A106)=MIN(DAY('Recurring Schedule'!$F$6),DAY(EOMONTH($A106,0))),MOD((YEAR($A106)-YEAR('Recurring Schedule'!$F$6))*12+MONTH($A106)-MONTH('Recurring Schedule'!$F$6),'Recurring Schedule'!$O$6)=0),IF('Recurring Schedule'!$E$6="Weekdays",WEEKDAY($A106,2)&lt;=5,$A106='Recurring Schedule'!$F$6))),1,""))))</f>
        <v/>
      </c>
      <c r="C106">
        <f>IF('Recurring Schedule'!$C$7="","",IF('Recurring Schedule'!$F$7="","",IF(OR($A106&lt;'Recurring Schedule'!$F$7,$A106&gt;'Recurring Schedule'!$P$7),"",IF(IF('Recurring Schedule'!$N$7&gt;0,MOD($A106-'Recurring Schedule'!$F$7,'Recurring Schedule'!$N$7)=0,IF('Recurring Schedule'!$O$7&gt;0,AND(DAY($A106)=MIN(DAY('Recurring Schedule'!$F$7),DAY(EOMONTH($A106,0))),MOD((YEAR($A106)-YEAR('Recurring Schedule'!$F$7))*12+MONTH($A106)-MONTH('Recurring Schedule'!$F$7),'Recurring Schedule'!$O$7)=0),IF('Recurring Schedule'!$E$7="Weekdays",WEEKDAY($A106,2)&lt;=5,$A106='Recurring Schedule'!$F$7))),2,""))))</f>
        <v/>
      </c>
      <c r="D106">
        <f>IF('Recurring Schedule'!$C$8="","",IF('Recurring Schedule'!$F$8="","",IF(OR($A106&lt;'Recurring Schedule'!$F$8,$A106&gt;'Recurring Schedule'!$P$8),"",IF(IF('Recurring Schedule'!$N$8&gt;0,MOD($A106-'Recurring Schedule'!$F$8,'Recurring Schedule'!$N$8)=0,IF('Recurring Schedule'!$O$8&gt;0,AND(DAY($A106)=MIN(DAY('Recurring Schedule'!$F$8),DAY(EOMONTH($A106,0))),MOD((YEAR($A106)-YEAR('Recurring Schedule'!$F$8))*12+MONTH($A106)-MONTH('Recurring Schedule'!$F$8),'Recurring Schedule'!$O$8)=0),IF('Recurring Schedule'!$E$8="Weekdays",WEEKDAY($A106,2)&lt;=5,$A106='Recurring Schedule'!$F$8))),3,""))))</f>
        <v/>
      </c>
      <c r="E106">
        <f>IF('Recurring Schedule'!$C$9="","",IF('Recurring Schedule'!$F$9="","",IF(OR($A106&lt;'Recurring Schedule'!$F$9,$A106&gt;'Recurring Schedule'!$P$9),"",IF(IF('Recurring Schedule'!$N$9&gt;0,MOD($A106-'Recurring Schedule'!$F$9,'Recurring Schedule'!$N$9)=0,IF('Recurring Schedule'!$O$9&gt;0,AND(DAY($A106)=MIN(DAY('Recurring Schedule'!$F$9),DAY(EOMONTH($A106,0))),MOD((YEAR($A106)-YEAR('Recurring Schedule'!$F$9))*12+MONTH($A106)-MONTH('Recurring Schedule'!$F$9),'Recurring Schedule'!$O$9)=0),IF('Recurring Schedule'!$E$9="Weekdays",WEEKDAY($A106,2)&lt;=5,$A106='Recurring Schedule'!$F$9))),4,""))))</f>
        <v/>
      </c>
      <c r="F106">
        <f>IF('Recurring Schedule'!$C$10="","",IF('Recurring Schedule'!$F$10="","",IF(OR($A106&lt;'Recurring Schedule'!$F$10,$A106&gt;'Recurring Schedule'!$P$10),"",IF(IF('Recurring Schedule'!$N$10&gt;0,MOD($A106-'Recurring Schedule'!$F$10,'Recurring Schedule'!$N$10)=0,IF('Recurring Schedule'!$O$10&gt;0,AND(DAY($A106)=MIN(DAY('Recurring Schedule'!$F$10),DAY(EOMONTH($A106,0))),MOD((YEAR($A106)-YEAR('Recurring Schedule'!$F$10))*12+MONTH($A106)-MONTH('Recurring Schedule'!$F$10),'Recurring Schedule'!$O$10)=0),IF('Recurring Schedule'!$E$10="Weekdays",WEEKDAY($A106,2)&lt;=5,$A106='Recurring Schedule'!$F$10))),5,""))))</f>
        <v/>
      </c>
      <c r="G106">
        <f>IF('Recurring Schedule'!$C$11="","",IF('Recurring Schedule'!$F$11="","",IF(OR($A106&lt;'Recurring Schedule'!$F$11,$A106&gt;'Recurring Schedule'!$P$11),"",IF(IF('Recurring Schedule'!$N$11&gt;0,MOD($A106-'Recurring Schedule'!$F$11,'Recurring Schedule'!$N$11)=0,IF('Recurring Schedule'!$O$11&gt;0,AND(DAY($A106)=MIN(DAY('Recurring Schedule'!$F$11),DAY(EOMONTH($A106,0))),MOD((YEAR($A106)-YEAR('Recurring Schedule'!$F$11))*12+MONTH($A106)-MONTH('Recurring Schedule'!$F$11),'Recurring Schedule'!$O$11)=0),IF('Recurring Schedule'!$E$11="Weekdays",WEEKDAY($A106,2)&lt;=5,$A106='Recurring Schedule'!$F$11))),6,""))))</f>
        <v/>
      </c>
      <c r="H106">
        <f>IF('Recurring Schedule'!$C$12="","",IF('Recurring Schedule'!$F$12="","",IF(OR($A106&lt;'Recurring Schedule'!$F$12,$A106&gt;'Recurring Schedule'!$P$12),"",IF(IF('Recurring Schedule'!$N$12&gt;0,MOD($A106-'Recurring Schedule'!$F$12,'Recurring Schedule'!$N$12)=0,IF('Recurring Schedule'!$O$12&gt;0,AND(DAY($A106)=MIN(DAY('Recurring Schedule'!$F$12),DAY(EOMONTH($A106,0))),MOD((YEAR($A106)-YEAR('Recurring Schedule'!$F$12))*12+MONTH($A106)-MONTH('Recurring Schedule'!$F$12),'Recurring Schedule'!$O$12)=0),IF('Recurring Schedule'!$E$12="Weekdays",WEEKDAY($A106,2)&lt;=5,$A106='Recurring Schedule'!$F$12))),7,""))))</f>
        <v/>
      </c>
      <c r="I106">
        <f>IF('Recurring Schedule'!$C$13="","",IF('Recurring Schedule'!$F$13="","",IF(OR($A106&lt;'Recurring Schedule'!$F$13,$A106&gt;'Recurring Schedule'!$P$13),"",IF(IF('Recurring Schedule'!$N$13&gt;0,MOD($A106-'Recurring Schedule'!$F$13,'Recurring Schedule'!$N$13)=0,IF('Recurring Schedule'!$O$13&gt;0,AND(DAY($A106)=MIN(DAY('Recurring Schedule'!$F$13),DAY(EOMONTH($A106,0))),MOD((YEAR($A106)-YEAR('Recurring Schedule'!$F$13))*12+MONTH($A106)-MONTH('Recurring Schedule'!$F$13),'Recurring Schedule'!$O$13)=0),IF('Recurring Schedule'!$E$13="Weekdays",WEEKDAY($A106,2)&lt;=5,$A106='Recurring Schedule'!$F$13))),8,""))))</f>
        <v/>
      </c>
      <c r="J106">
        <f>IF('Recurring Schedule'!$C$14="","",IF('Recurring Schedule'!$F$14="","",IF(OR($A106&lt;'Recurring Schedule'!$F$14,$A106&gt;'Recurring Schedule'!$P$14),"",IF(IF('Recurring Schedule'!$N$14&gt;0,MOD($A106-'Recurring Schedule'!$F$14,'Recurring Schedule'!$N$14)=0,IF('Recurring Schedule'!$O$14&gt;0,AND(DAY($A106)=MIN(DAY('Recurring Schedule'!$F$14),DAY(EOMONTH($A106,0))),MOD((YEAR($A106)-YEAR('Recurring Schedule'!$F$14))*12+MONTH($A106)-MONTH('Recurring Schedule'!$F$14),'Recurring Schedule'!$O$14)=0),IF('Recurring Schedule'!$E$14="Weekdays",WEEKDAY($A106,2)&lt;=5,$A106='Recurring Schedule'!$F$14))),9,""))))</f>
        <v/>
      </c>
      <c r="K106">
        <f>IF('Recurring Schedule'!$C$15="","",IF('Recurring Schedule'!$F$15="","",IF(OR($A106&lt;'Recurring Schedule'!$F$15,$A106&gt;'Recurring Schedule'!$P$15),"",IF(IF('Recurring Schedule'!$N$15&gt;0,MOD($A106-'Recurring Schedule'!$F$15,'Recurring Schedule'!$N$15)=0,IF('Recurring Schedule'!$O$15&gt;0,AND(DAY($A106)=MIN(DAY('Recurring Schedule'!$F$15),DAY(EOMONTH($A106,0))),MOD((YEAR($A106)-YEAR('Recurring Schedule'!$F$15))*12+MONTH($A106)-MONTH('Recurring Schedule'!$F$15),'Recurring Schedule'!$O$15)=0),IF('Recurring Schedule'!$E$15="Weekdays",WEEKDAY($A106,2)&lt;=5,$A106='Recurring Schedule'!$F$15))),10,""))))</f>
        <v/>
      </c>
      <c r="L106">
        <f>IF('Recurring Schedule'!$C$16="","",IF('Recurring Schedule'!$F$16="","",IF(OR($A106&lt;'Recurring Schedule'!$F$16,$A106&gt;'Recurring Schedule'!$P$16),"",IF(IF('Recurring Schedule'!$N$16&gt;0,MOD($A106-'Recurring Schedule'!$F$16,'Recurring Schedule'!$N$16)=0,IF('Recurring Schedule'!$O$16&gt;0,AND(DAY($A106)=MIN(DAY('Recurring Schedule'!$F$16),DAY(EOMONTH($A106,0))),MOD((YEAR($A106)-YEAR('Recurring Schedule'!$F$16))*12+MONTH($A106)-MONTH('Recurring Schedule'!$F$16),'Recurring Schedule'!$O$16)=0),IF('Recurring Schedule'!$E$16="Weekdays",WEEKDAY($A106,2)&lt;=5,$A106='Recurring Schedule'!$F$16))),11,""))))</f>
        <v/>
      </c>
      <c r="M106">
        <f>IF('Recurring Schedule'!$C$17="","",IF('Recurring Schedule'!$F$17="","",IF(OR($A106&lt;'Recurring Schedule'!$F$17,$A106&gt;'Recurring Schedule'!$P$17),"",IF(IF('Recurring Schedule'!$N$17&gt;0,MOD($A106-'Recurring Schedule'!$F$17,'Recurring Schedule'!$N$17)=0,IF('Recurring Schedule'!$O$17&gt;0,AND(DAY($A106)=MIN(DAY('Recurring Schedule'!$F$17),DAY(EOMONTH($A106,0))),MOD((YEAR($A106)-YEAR('Recurring Schedule'!$F$17))*12+MONTH($A106)-MONTH('Recurring Schedule'!$F$17),'Recurring Schedule'!$O$17)=0),IF('Recurring Schedule'!$E$17="Weekdays",WEEKDAY($A106,2)&lt;=5,$A106='Recurring Schedule'!$F$17))),12,""))))</f>
        <v/>
      </c>
      <c r="N106">
        <f>IF('Recurring Schedule'!$C$18="","",IF('Recurring Schedule'!$F$18="","",IF(OR($A106&lt;'Recurring Schedule'!$F$18,$A106&gt;'Recurring Schedule'!$P$18),"",IF(IF('Recurring Schedule'!$N$18&gt;0,MOD($A106-'Recurring Schedule'!$F$18,'Recurring Schedule'!$N$18)=0,IF('Recurring Schedule'!$O$18&gt;0,AND(DAY($A106)=MIN(DAY('Recurring Schedule'!$F$18),DAY(EOMONTH($A106,0))),MOD((YEAR($A106)-YEAR('Recurring Schedule'!$F$18))*12+MONTH($A106)-MONTH('Recurring Schedule'!$F$18),'Recurring Schedule'!$O$18)=0),IF('Recurring Schedule'!$E$18="Weekdays",WEEKDAY($A106,2)&lt;=5,$A106='Recurring Schedule'!$F$18))),13,""))))</f>
        <v/>
      </c>
      <c r="O106">
        <f>IF('Recurring Schedule'!$C$19="","",IF('Recurring Schedule'!$F$19="","",IF(OR($A106&lt;'Recurring Schedule'!$F$19,$A106&gt;'Recurring Schedule'!$P$19),"",IF(IF('Recurring Schedule'!$N$19&gt;0,MOD($A106-'Recurring Schedule'!$F$19,'Recurring Schedule'!$N$19)=0,IF('Recurring Schedule'!$O$19&gt;0,AND(DAY($A106)=MIN(DAY('Recurring Schedule'!$F$19),DAY(EOMONTH($A106,0))),MOD((YEAR($A106)-YEAR('Recurring Schedule'!$F$19))*12+MONTH($A106)-MONTH('Recurring Schedule'!$F$19),'Recurring Schedule'!$O$19)=0),IF('Recurring Schedule'!$E$19="Weekdays",WEEKDAY($A106,2)&lt;=5,$A106='Recurring Schedule'!$F$19))),14,""))))</f>
        <v/>
      </c>
      <c r="P106">
        <f>IF('Recurring Schedule'!$C$20="","",IF('Recurring Schedule'!$F$20="","",IF(OR($A106&lt;'Recurring Schedule'!$F$20,$A106&gt;'Recurring Schedule'!$P$20),"",IF(IF('Recurring Schedule'!$N$20&gt;0,MOD($A106-'Recurring Schedule'!$F$20,'Recurring Schedule'!$N$20)=0,IF('Recurring Schedule'!$O$20&gt;0,AND(DAY($A106)=MIN(DAY('Recurring Schedule'!$F$20),DAY(EOMONTH($A106,0))),MOD((YEAR($A106)-YEAR('Recurring Schedule'!$F$20))*12+MONTH($A106)-MONTH('Recurring Schedule'!$F$20),'Recurring Schedule'!$O$20)=0),IF('Recurring Schedule'!$E$20="Weekdays",WEEKDAY($A106,2)&lt;=5,$A106='Recurring Schedule'!$F$20))),15,""))))</f>
        <v/>
      </c>
      <c r="Q106">
        <f>IF('Recurring Schedule'!$C$21="","",IF('Recurring Schedule'!$F$21="","",IF(OR($A106&lt;'Recurring Schedule'!$F$21,$A106&gt;'Recurring Schedule'!$P$21),"",IF(IF('Recurring Schedule'!$N$21&gt;0,MOD($A106-'Recurring Schedule'!$F$21,'Recurring Schedule'!$N$21)=0,IF('Recurring Schedule'!$O$21&gt;0,AND(DAY($A106)=MIN(DAY('Recurring Schedule'!$F$21),DAY(EOMONTH($A106,0))),MOD((YEAR($A106)-YEAR('Recurring Schedule'!$F$21))*12+MONTH($A106)-MONTH('Recurring Schedule'!$F$21),'Recurring Schedule'!$O$21)=0),IF('Recurring Schedule'!$E$21="Weekdays",WEEKDAY($A106,2)&lt;=5,$A106='Recurring Schedule'!$F$21))),16,""))))</f>
        <v/>
      </c>
      <c r="R106">
        <f>IF('Recurring Schedule'!$C$22="","",IF('Recurring Schedule'!$F$22="","",IF(OR($A106&lt;'Recurring Schedule'!$F$22,$A106&gt;'Recurring Schedule'!$P$22),"",IF(IF('Recurring Schedule'!$N$22&gt;0,MOD($A106-'Recurring Schedule'!$F$22,'Recurring Schedule'!$N$22)=0,IF('Recurring Schedule'!$O$22&gt;0,AND(DAY($A106)=MIN(DAY('Recurring Schedule'!$F$22),DAY(EOMONTH($A106,0))),MOD((YEAR($A106)-YEAR('Recurring Schedule'!$F$22))*12+MONTH($A106)-MONTH('Recurring Schedule'!$F$22),'Recurring Schedule'!$O$22)=0),IF('Recurring Schedule'!$E$22="Weekdays",WEEKDAY($A106,2)&lt;=5,$A106='Recurring Schedule'!$F$22))),17,""))))</f>
        <v/>
      </c>
      <c r="S106">
        <f>IF('Recurring Schedule'!$C$23="","",IF('Recurring Schedule'!$F$23="","",IF(OR($A106&lt;'Recurring Schedule'!$F$23,$A106&gt;'Recurring Schedule'!$P$23),"",IF(IF('Recurring Schedule'!$N$23&gt;0,MOD($A106-'Recurring Schedule'!$F$23,'Recurring Schedule'!$N$23)=0,IF('Recurring Schedule'!$O$23&gt;0,AND(DAY($A106)=MIN(DAY('Recurring Schedule'!$F$23),DAY(EOMONTH($A106,0))),MOD((YEAR($A106)-YEAR('Recurring Schedule'!$F$23))*12+MONTH($A106)-MONTH('Recurring Schedule'!$F$23),'Recurring Schedule'!$O$23)=0),IF('Recurring Schedule'!$E$23="Weekdays",WEEKDAY($A106,2)&lt;=5,$A106='Recurring Schedule'!$F$23))),18,""))))</f>
        <v/>
      </c>
      <c r="T106">
        <f>IF('Recurring Schedule'!$C$24="","",IF('Recurring Schedule'!$F$24="","",IF(OR($A106&lt;'Recurring Schedule'!$F$24,$A106&gt;'Recurring Schedule'!$P$24),"",IF(IF('Recurring Schedule'!$N$24&gt;0,MOD($A106-'Recurring Schedule'!$F$24,'Recurring Schedule'!$N$24)=0,IF('Recurring Schedule'!$O$24&gt;0,AND(DAY($A106)=MIN(DAY('Recurring Schedule'!$F$24),DAY(EOMONTH($A106,0))),MOD((YEAR($A106)-YEAR('Recurring Schedule'!$F$24))*12+MONTH($A106)-MONTH('Recurring Schedule'!$F$24),'Recurring Schedule'!$O$24)=0),IF('Recurring Schedule'!$E$24="Weekdays",WEEKDAY($A106,2)&lt;=5,$A106='Recurring Schedule'!$F$24))),19,""))))</f>
        <v/>
      </c>
      <c r="U106">
        <f>IF('Recurring Schedule'!$C$25="","",IF('Recurring Schedule'!$F$25="","",IF(OR($A106&lt;'Recurring Schedule'!$F$25,$A106&gt;'Recurring Schedule'!$P$25),"",IF(IF('Recurring Schedule'!$N$25&gt;0,MOD($A106-'Recurring Schedule'!$F$25,'Recurring Schedule'!$N$25)=0,IF('Recurring Schedule'!$O$25&gt;0,AND(DAY($A106)=MIN(DAY('Recurring Schedule'!$F$25),DAY(EOMONTH($A106,0))),MOD((YEAR($A106)-YEAR('Recurring Schedule'!$F$25))*12+MONTH($A106)-MONTH('Recurring Schedule'!$F$25),'Recurring Schedule'!$O$25)=0),IF('Recurring Schedule'!$E$25="Weekdays",WEEKDAY($A106,2)&lt;=5,$A106='Recurring Schedule'!$F$25))),20,""))))</f>
        <v/>
      </c>
      <c r="V106">
        <f>IF('Recurring Schedule'!$C$26="","",IF('Recurring Schedule'!$F$26="","",IF(OR($A106&lt;'Recurring Schedule'!$F$26,$A106&gt;'Recurring Schedule'!$P$26),"",IF(IF('Recurring Schedule'!$N$26&gt;0,MOD($A106-'Recurring Schedule'!$F$26,'Recurring Schedule'!$N$26)=0,IF('Recurring Schedule'!$O$26&gt;0,AND(DAY($A106)=MIN(DAY('Recurring Schedule'!$F$26),DAY(EOMONTH($A106,0))),MOD((YEAR($A106)-YEAR('Recurring Schedule'!$F$26))*12+MONTH($A106)-MONTH('Recurring Schedule'!$F$26),'Recurring Schedule'!$O$26)=0),IF('Recurring Schedule'!$E$26="Weekdays",WEEKDAY($A106,2)&lt;=5,$A106='Recurring Schedule'!$F$26))),21,""))))</f>
        <v/>
      </c>
      <c r="W106">
        <f>IF('Recurring Schedule'!$C$27="","",IF('Recurring Schedule'!$F$27="","",IF(OR($A106&lt;'Recurring Schedule'!$F$27,$A106&gt;'Recurring Schedule'!$P$27),"",IF(IF('Recurring Schedule'!$N$27&gt;0,MOD($A106-'Recurring Schedule'!$F$27,'Recurring Schedule'!$N$27)=0,IF('Recurring Schedule'!$O$27&gt;0,AND(DAY($A106)=MIN(DAY('Recurring Schedule'!$F$27),DAY(EOMONTH($A106,0))),MOD((YEAR($A106)-YEAR('Recurring Schedule'!$F$27))*12+MONTH($A106)-MONTH('Recurring Schedule'!$F$27),'Recurring Schedule'!$O$27)=0),IF('Recurring Schedule'!$E$27="Weekdays",WEEKDAY($A106,2)&lt;=5,$A106='Recurring Schedule'!$F$27))),22,""))))</f>
        <v/>
      </c>
      <c r="X106">
        <f>IF('Recurring Schedule'!$C$28="","",IF('Recurring Schedule'!$F$28="","",IF(OR($A106&lt;'Recurring Schedule'!$F$28,$A106&gt;'Recurring Schedule'!$P$28),"",IF(IF('Recurring Schedule'!$N$28&gt;0,MOD($A106-'Recurring Schedule'!$F$28,'Recurring Schedule'!$N$28)=0,IF('Recurring Schedule'!$O$28&gt;0,AND(DAY($A106)=MIN(DAY('Recurring Schedule'!$F$28),DAY(EOMONTH($A106,0))),MOD((YEAR($A106)-YEAR('Recurring Schedule'!$F$28))*12+MONTH($A106)-MONTH('Recurring Schedule'!$F$28),'Recurring Schedule'!$O$28)=0),IF('Recurring Schedule'!$E$28="Weekdays",WEEKDAY($A106,2)&lt;=5,$A106='Recurring Schedule'!$F$28))),23,""))))</f>
        <v/>
      </c>
      <c r="Y106">
        <f>IF('Recurring Schedule'!$C$29="","",IF('Recurring Schedule'!$F$29="","",IF(OR($A106&lt;'Recurring Schedule'!$F$29,$A106&gt;'Recurring Schedule'!$P$29),"",IF(IF('Recurring Schedule'!$N$29&gt;0,MOD($A106-'Recurring Schedule'!$F$29,'Recurring Schedule'!$N$29)=0,IF('Recurring Schedule'!$O$29&gt;0,AND(DAY($A106)=MIN(DAY('Recurring Schedule'!$F$29),DAY(EOMONTH($A106,0))),MOD((YEAR($A106)-YEAR('Recurring Schedule'!$F$29))*12+MONTH($A106)-MONTH('Recurring Schedule'!$F$29),'Recurring Schedule'!$O$29)=0),IF('Recurring Schedule'!$E$29="Weekdays",WEEKDAY($A106,2)&lt;=5,$A106='Recurring Schedule'!$F$29))),24,""))))</f>
        <v/>
      </c>
      <c r="Z106">
        <f>IF('Recurring Schedule'!$C$30="","",IF('Recurring Schedule'!$F$30="","",IF(OR($A106&lt;'Recurring Schedule'!$F$30,$A106&gt;'Recurring Schedule'!$P$30),"",IF(IF('Recurring Schedule'!$N$30&gt;0,MOD($A106-'Recurring Schedule'!$F$30,'Recurring Schedule'!$N$30)=0,IF('Recurring Schedule'!$O$30&gt;0,AND(DAY($A106)=MIN(DAY('Recurring Schedule'!$F$30),DAY(EOMONTH($A106,0))),MOD((YEAR($A106)-YEAR('Recurring Schedule'!$F$30))*12+MONTH($A106)-MONTH('Recurring Schedule'!$F$30),'Recurring Schedule'!$O$30)=0),IF('Recurring Schedule'!$E$30="Weekdays",WEEKDAY($A106,2)&lt;=5,$A106='Recurring Schedule'!$F$30))),25,""))))</f>
        <v/>
      </c>
      <c r="AA106">
        <f>IF('Recurring Schedule'!$C$31="","",IF('Recurring Schedule'!$F$31="","",IF(OR($A106&lt;'Recurring Schedule'!$F$31,$A106&gt;'Recurring Schedule'!$P$31),"",IF(IF('Recurring Schedule'!$N$31&gt;0,MOD($A106-'Recurring Schedule'!$F$31,'Recurring Schedule'!$N$31)=0,IF('Recurring Schedule'!$O$31&gt;0,AND(DAY($A106)=MIN(DAY('Recurring Schedule'!$F$31),DAY(EOMONTH($A106,0))),MOD((YEAR($A106)-YEAR('Recurring Schedule'!$F$31))*12+MONTH($A106)-MONTH('Recurring Schedule'!$F$31),'Recurring Schedule'!$O$31)=0),IF('Recurring Schedule'!$E$31="Weekdays",WEEKDAY($A106,2)&lt;=5,$A106='Recurring Schedule'!$F$31))),26,""))))</f>
        <v/>
      </c>
      <c r="AB106">
        <f>IF('Recurring Schedule'!$C$32="","",IF('Recurring Schedule'!$F$32="","",IF(OR($A106&lt;'Recurring Schedule'!$F$32,$A106&gt;'Recurring Schedule'!$P$32),"",IF(IF('Recurring Schedule'!$N$32&gt;0,MOD($A106-'Recurring Schedule'!$F$32,'Recurring Schedule'!$N$32)=0,IF('Recurring Schedule'!$O$32&gt;0,AND(DAY($A106)=MIN(DAY('Recurring Schedule'!$F$32),DAY(EOMONTH($A106,0))),MOD((YEAR($A106)-YEAR('Recurring Schedule'!$F$32))*12+MONTH($A106)-MONTH('Recurring Schedule'!$F$32),'Recurring Schedule'!$O$32)=0),IF('Recurring Schedule'!$E$32="Weekdays",WEEKDAY($A106,2)&lt;=5,$A106='Recurring Schedule'!$F$32))),27,""))))</f>
        <v/>
      </c>
      <c r="AC106">
        <f>IF('Recurring Schedule'!$C$33="","",IF('Recurring Schedule'!$F$33="","",IF(OR($A106&lt;'Recurring Schedule'!$F$33,$A106&gt;'Recurring Schedule'!$P$33),"",IF(IF('Recurring Schedule'!$N$33&gt;0,MOD($A106-'Recurring Schedule'!$F$33,'Recurring Schedule'!$N$33)=0,IF('Recurring Schedule'!$O$33&gt;0,AND(DAY($A106)=MIN(DAY('Recurring Schedule'!$F$33),DAY(EOMONTH($A106,0))),MOD((YEAR($A106)-YEAR('Recurring Schedule'!$F$33))*12+MONTH($A106)-MONTH('Recurring Schedule'!$F$33),'Recurring Schedule'!$O$33)=0),IF('Recurring Schedule'!$E$33="Weekdays",WEEKDAY($A106,2)&lt;=5,$A106='Recurring Schedule'!$F$33))),28,""))))</f>
        <v/>
      </c>
      <c r="AD106">
        <f>IF('Recurring Schedule'!$C$34="","",IF('Recurring Schedule'!$F$34="","",IF(OR($A106&lt;'Recurring Schedule'!$F$34,$A106&gt;'Recurring Schedule'!$P$34),"",IF(IF('Recurring Schedule'!$N$34&gt;0,MOD($A106-'Recurring Schedule'!$F$34,'Recurring Schedule'!$N$34)=0,IF('Recurring Schedule'!$O$34&gt;0,AND(DAY($A106)=MIN(DAY('Recurring Schedule'!$F$34),DAY(EOMONTH($A106,0))),MOD((YEAR($A106)-YEAR('Recurring Schedule'!$F$34))*12+MONTH($A106)-MONTH('Recurring Schedule'!$F$34),'Recurring Schedule'!$O$34)=0),IF('Recurring Schedule'!$E$34="Weekdays",WEEKDAY($A106,2)&lt;=5,$A106='Recurring Schedule'!$F$34))),29,""))))</f>
        <v/>
      </c>
      <c r="AE106">
        <f>IF('Recurring Schedule'!$C$35="","",IF('Recurring Schedule'!$F$35="","",IF(OR($A106&lt;'Recurring Schedule'!$F$35,$A106&gt;'Recurring Schedule'!$P$35),"",IF(IF('Recurring Schedule'!$N$35&gt;0,MOD($A106-'Recurring Schedule'!$F$35,'Recurring Schedule'!$N$35)=0,IF('Recurring Schedule'!$O$35&gt;0,AND(DAY($A106)=MIN(DAY('Recurring Schedule'!$F$35),DAY(EOMONTH($A106,0))),MOD((YEAR($A106)-YEAR('Recurring Schedule'!$F$35))*12+MONTH($A106)-MONTH('Recurring Schedule'!$F$35),'Recurring Schedule'!$O$35)=0),IF('Recurring Schedule'!$E$35="Weekdays",WEEKDAY($A106,2)&lt;=5,$A106='Recurring Schedule'!$F$35))),30,""))))</f>
        <v/>
      </c>
      <c r="AF106">
        <f>IF('Recurring Schedule'!$C$36="","",IF('Recurring Schedule'!$F$36="","",IF(OR($A106&lt;'Recurring Schedule'!$F$36,$A106&gt;'Recurring Schedule'!$P$36),"",IF(IF('Recurring Schedule'!$N$36&gt;0,MOD($A106-'Recurring Schedule'!$F$36,'Recurring Schedule'!$N$36)=0,IF('Recurring Schedule'!$O$36&gt;0,AND(DAY($A106)=MIN(DAY('Recurring Schedule'!$F$36),DAY(EOMONTH($A106,0))),MOD((YEAR($A106)-YEAR('Recurring Schedule'!$F$36))*12+MONTH($A106)-MONTH('Recurring Schedule'!$F$36),'Recurring Schedule'!$O$36)=0),IF('Recurring Schedule'!$E$36="Weekdays",WEEKDAY($A106,2)&lt;=5,$A106='Recurring Schedule'!$F$36))),31,""))))</f>
        <v/>
      </c>
      <c r="AG106">
        <f>IF('Recurring Schedule'!$C$37="","",IF('Recurring Schedule'!$F$37="","",IF(OR($A106&lt;'Recurring Schedule'!$F$37,$A106&gt;'Recurring Schedule'!$P$37),"",IF(IF('Recurring Schedule'!$N$37&gt;0,MOD($A106-'Recurring Schedule'!$F$37,'Recurring Schedule'!$N$37)=0,IF('Recurring Schedule'!$O$37&gt;0,AND(DAY($A106)=MIN(DAY('Recurring Schedule'!$F$37),DAY(EOMONTH($A106,0))),MOD((YEAR($A106)-YEAR('Recurring Schedule'!$F$37))*12+MONTH($A106)-MONTH('Recurring Schedule'!$F$37),'Recurring Schedule'!$O$37)=0),IF('Recurring Schedule'!$E$37="Weekdays",WEEKDAY($A106,2)&lt;=5,$A106='Recurring Schedule'!$F$37))),32,""))))</f>
        <v/>
      </c>
      <c r="AH106">
        <f>IF('Recurring Schedule'!$C$38="","",IF('Recurring Schedule'!$F$38="","",IF(OR($A106&lt;'Recurring Schedule'!$F$38,$A106&gt;'Recurring Schedule'!$P$38),"",IF(IF('Recurring Schedule'!$N$38&gt;0,MOD($A106-'Recurring Schedule'!$F$38,'Recurring Schedule'!$N$38)=0,IF('Recurring Schedule'!$O$38&gt;0,AND(DAY($A106)=MIN(DAY('Recurring Schedule'!$F$38),DAY(EOMONTH($A106,0))),MOD((YEAR($A106)-YEAR('Recurring Schedule'!$F$38))*12+MONTH($A106)-MONTH('Recurring Schedule'!$F$38),'Recurring Schedule'!$O$38)=0),IF('Recurring Schedule'!$E$38="Weekdays",WEEKDAY($A106,2)&lt;=5,$A106='Recurring Schedule'!$F$38))),33,""))))</f>
        <v/>
      </c>
      <c r="AI106">
        <f>IF('Recurring Schedule'!$C$39="","",IF('Recurring Schedule'!$F$39="","",IF(OR($A106&lt;'Recurring Schedule'!$F$39,$A106&gt;'Recurring Schedule'!$P$39),"",IF(IF('Recurring Schedule'!$N$39&gt;0,MOD($A106-'Recurring Schedule'!$F$39,'Recurring Schedule'!$N$39)=0,IF('Recurring Schedule'!$O$39&gt;0,AND(DAY($A106)=MIN(DAY('Recurring Schedule'!$F$39),DAY(EOMONTH($A106,0))),MOD((YEAR($A106)-YEAR('Recurring Schedule'!$F$39))*12+MONTH($A106)-MONTH('Recurring Schedule'!$F$39),'Recurring Schedule'!$O$39)=0),IF('Recurring Schedule'!$E$39="Weekdays",WEEKDAY($A106,2)&lt;=5,$A106='Recurring Schedule'!$F$39))),34,""))))</f>
        <v/>
      </c>
      <c r="AJ106">
        <f>IF('Recurring Schedule'!$C$40="","",IF('Recurring Schedule'!$F$40="","",IF(OR($A106&lt;'Recurring Schedule'!$F$40,$A106&gt;'Recurring Schedule'!$P$40),"",IF(IF('Recurring Schedule'!$N$40&gt;0,MOD($A106-'Recurring Schedule'!$F$40,'Recurring Schedule'!$N$40)=0,IF('Recurring Schedule'!$O$40&gt;0,AND(DAY($A106)=MIN(DAY('Recurring Schedule'!$F$40),DAY(EOMONTH($A106,0))),MOD((YEAR($A106)-YEAR('Recurring Schedule'!$F$40))*12+MONTH($A106)-MONTH('Recurring Schedule'!$F$40),'Recurring Schedule'!$O$40)=0),IF('Recurring Schedule'!$E$40="Weekdays",WEEKDAY($A106,2)&lt;=5,$A106='Recurring Schedule'!$F$40))),35,""))))</f>
        <v/>
      </c>
      <c r="AK106">
        <f>IF('Recurring Schedule'!$C$41="","",IF('Recurring Schedule'!$F$41="","",IF(OR($A106&lt;'Recurring Schedule'!$F$41,$A106&gt;'Recurring Schedule'!$P$41),"",IF(IF('Recurring Schedule'!$N$41&gt;0,MOD($A106-'Recurring Schedule'!$F$41,'Recurring Schedule'!$N$41)=0,IF('Recurring Schedule'!$O$41&gt;0,AND(DAY($A106)=MIN(DAY('Recurring Schedule'!$F$41),DAY(EOMONTH($A106,0))),MOD((YEAR($A106)-YEAR('Recurring Schedule'!$F$41))*12+MONTH($A106)-MONTH('Recurring Schedule'!$F$41),'Recurring Schedule'!$O$41)=0),IF('Recurring Schedule'!$E$41="Weekdays",WEEKDAY($A106,2)&lt;=5,$A106='Recurring Schedule'!$F$41))),36,""))))</f>
        <v/>
      </c>
      <c r="AL106">
        <f>IF('Recurring Schedule'!$C$42="","",IF('Recurring Schedule'!$F$42="","",IF(OR($A106&lt;'Recurring Schedule'!$F$42,$A106&gt;'Recurring Schedule'!$P$42),"",IF(IF('Recurring Schedule'!$N$42&gt;0,MOD($A106-'Recurring Schedule'!$F$42,'Recurring Schedule'!$N$42)=0,IF('Recurring Schedule'!$O$42&gt;0,AND(DAY($A106)=MIN(DAY('Recurring Schedule'!$F$42),DAY(EOMONTH($A106,0))),MOD((YEAR($A106)-YEAR('Recurring Schedule'!$F$42))*12+MONTH($A106)-MONTH('Recurring Schedule'!$F$42),'Recurring Schedule'!$O$42)=0),IF('Recurring Schedule'!$E$42="Weekdays",WEEKDAY($A106,2)&lt;=5,$A106='Recurring Schedule'!$F$42))),37,""))))</f>
        <v/>
      </c>
      <c r="AM106">
        <f>IF('Recurring Schedule'!$C$43="","",IF('Recurring Schedule'!$F$43="","",IF(OR($A106&lt;'Recurring Schedule'!$F$43,$A106&gt;'Recurring Schedule'!$P$43),"",IF(IF('Recurring Schedule'!$N$43&gt;0,MOD($A106-'Recurring Schedule'!$F$43,'Recurring Schedule'!$N$43)=0,IF('Recurring Schedule'!$O$43&gt;0,AND(DAY($A106)=MIN(DAY('Recurring Schedule'!$F$43),DAY(EOMONTH($A106,0))),MOD((YEAR($A106)-YEAR('Recurring Schedule'!$F$43))*12+MONTH($A106)-MONTH('Recurring Schedule'!$F$43),'Recurring Schedule'!$O$43)=0),IF('Recurring Schedule'!$E$43="Weekdays",WEEKDAY($A106,2)&lt;=5,$A106='Recurring Schedule'!$F$43))),38,""))))</f>
        <v/>
      </c>
      <c r="AN106">
        <f>IF('Recurring Schedule'!$C$44="","",IF('Recurring Schedule'!$F$44="","",IF(OR($A106&lt;'Recurring Schedule'!$F$44,$A106&gt;'Recurring Schedule'!$P$44),"",IF(IF('Recurring Schedule'!$N$44&gt;0,MOD($A106-'Recurring Schedule'!$F$44,'Recurring Schedule'!$N$44)=0,IF('Recurring Schedule'!$O$44&gt;0,AND(DAY($A106)=MIN(DAY('Recurring Schedule'!$F$44),DAY(EOMONTH($A106,0))),MOD((YEAR($A106)-YEAR('Recurring Schedule'!$F$44))*12+MONTH($A106)-MONTH('Recurring Schedule'!$F$44),'Recurring Schedule'!$O$44)=0),IF('Recurring Schedule'!$E$44="Weekdays",WEEKDAY($A106,2)&lt;=5,$A106='Recurring Schedule'!$F$44))),39,""))))</f>
        <v/>
      </c>
      <c r="AO106">
        <f>IF('Recurring Schedule'!$C$45="","",IF('Recurring Schedule'!$F$45="","",IF(OR($A106&lt;'Recurring Schedule'!$F$45,$A106&gt;'Recurring Schedule'!$P$45),"",IF(IF('Recurring Schedule'!$N$45&gt;0,MOD($A106-'Recurring Schedule'!$F$45,'Recurring Schedule'!$N$45)=0,IF('Recurring Schedule'!$O$45&gt;0,AND(DAY($A106)=MIN(DAY('Recurring Schedule'!$F$45),DAY(EOMONTH($A106,0))),MOD((YEAR($A106)-YEAR('Recurring Schedule'!$F$45))*12+MONTH($A106)-MONTH('Recurring Schedule'!$F$45),'Recurring Schedule'!$O$45)=0),IF('Recurring Schedule'!$E$45="Weekdays",WEEKDAY($A106,2)&lt;=5,$A106='Recurring Schedule'!$F$45))),40,""))))</f>
        <v/>
      </c>
      <c r="AP106">
        <f>COUNT(B106:AO106)</f>
        <v/>
      </c>
      <c r="AQ106">
        <f>AQ105+AP105</f>
        <v/>
      </c>
      <c r="AS106" t="inlineStr">
        <is>
          <t>R</t>
        </is>
      </c>
      <c r="AT106" t="n">
        <v>110</v>
      </c>
      <c r="AU106">
        <f>'Recurring Log'!C110&amp;""</f>
        <v/>
      </c>
      <c r="AV106">
        <f>'Recurring Log'!D110&amp;""</f>
        <v/>
      </c>
      <c r="AW106">
        <f>IF('Recurring Log'!E110="","",'Recurring Log'!E110)</f>
        <v/>
      </c>
      <c r="AX106">
        <f>IF('Recurring Log'!G110="","",'Recurring Log'!G110)</f>
        <v/>
      </c>
      <c r="AY106">
        <f>IF('Recurring Log'!H110="","",'Recurring Log'!H110)</f>
        <v/>
      </c>
      <c r="AZ106">
        <f>IF(AU106="","",IF('Recurring Log'!J110="","Not Started",'Recurring Log'!J110))</f>
        <v/>
      </c>
      <c r="BA106">
        <f>'Recurring Log'!L110&amp;""</f>
        <v/>
      </c>
      <c r="BB106">
        <f>'Recurring Log'!M110&amp;""</f>
        <v/>
      </c>
      <c r="BC106">
        <f>'Recurring Log'!N110&amp;""</f>
        <v/>
      </c>
      <c r="BD106">
        <f>'Recurring Log'!O110&amp;""</f>
        <v/>
      </c>
      <c r="BE106">
        <f>IF('Recurring Log'!K110="","",'Recurring Log'!K110)</f>
        <v/>
      </c>
      <c r="BF106">
        <f>IFERROR(MATCH(BA106,Setup!$L$6:$L$9,0),5)</f>
        <v/>
      </c>
      <c r="BG106">
        <f>IF(OR(AZ106="Done",AZ106="Cancelled"),1,0)</f>
        <v/>
      </c>
      <c r="BH106">
        <f>IF(AND(AU106&lt;&gt;"",ISNUMBER(AW106)),1,0)</f>
        <v/>
      </c>
      <c r="BI106">
        <f>IF(BH106=0,0,IF(AND(AW106&gt;='Tasks Filter'!$F$3,AW106&lt;='Tasks Filter'!$F$4,OR('Tasks Filter'!$I$3="",ISNUMBER(SEARCH('Tasks Filter'!$I$3,AU106))),OR('Tasks Filter'!$I$4="",BF106=IFERROR(MATCH('Tasks Filter'!$I$4,Setup!$L$6:$L$9,0),0)),OR('Tasks Filter'!$I$5="Both",AND('Tasks Filter'!$I$5="Yes",BB106="✓"),AND('Tasks Filter'!$I$5="No",BB106&lt;&gt;"✓")),OR('Tasks Filter'!$L$3="",AV106='Tasks Filter'!$L$3),OR('Tasks Filter'!$L$4="",AZ106='Tasks Filter'!$L$4),OR('Tasks Filter'!$L$5="",BC106='Tasks Filter'!$L$5),OR('Tasks Filter'!$O$3="",BD106='Tasks Filter'!$O$3),OR('Tasks Filter'!$O$4="Yes",BG106=0)),1,0))</f>
        <v/>
      </c>
      <c r="BJ106">
        <f>IF(BH106=0,"",IF('Tasks Filter'!$F$6="Descending",-1,1)*CHOOSE(MATCH('Tasks Filter'!$F$5,Lists!$G$2:$G$6,0),AW106,BF106,IFERROR(MATCH(AV106,Setup!$F$6:$F$15,0),99),IFERROR(MATCH(BC106,Setup!$H$6:$H$15,0),99),IFERROR(MATCH(AZ106,Setup!$J$6:$J$11,0),99))*1E+9+(AW106-40000)*10000+105)</f>
        <v/>
      </c>
      <c r="BK106">
        <f>IF(BI106=1,BJ106,"")</f>
        <v/>
      </c>
      <c r="BL106">
        <f>IF(AND(BH106=1,BG106=0,N(AW106)&lt;Setup!$D$7),(AW106-40000)*10000+105,"")</f>
        <v/>
      </c>
      <c r="BM106">
        <f>IF(AND(BH106=1,AZ106&lt;&gt;"Cancelled",N(AW106)&gt;=Dashboard!$AB$3,N(AW106)&lt;=Dashboard!$AB$3+6),(AW106-40000)*100000+BF106*10000+105,"")</f>
        <v/>
      </c>
      <c r="BN106">
        <f>IF(AND(BH106=1,AZ106&lt;&gt;"Cancelled"),BF106*10000+105,"")</f>
        <v/>
      </c>
    </row>
    <row r="107">
      <c r="A107">
        <f>Setup!$D$5+105</f>
        <v/>
      </c>
      <c r="B107">
        <f>IF('Recurring Schedule'!$C$6="","",IF('Recurring Schedule'!$F$6="","",IF(OR($A107&lt;'Recurring Schedule'!$F$6,$A107&gt;'Recurring Schedule'!$P$6),"",IF(IF('Recurring Schedule'!$N$6&gt;0,MOD($A107-'Recurring Schedule'!$F$6,'Recurring Schedule'!$N$6)=0,IF('Recurring Schedule'!$O$6&gt;0,AND(DAY($A107)=MIN(DAY('Recurring Schedule'!$F$6),DAY(EOMONTH($A107,0))),MOD((YEAR($A107)-YEAR('Recurring Schedule'!$F$6))*12+MONTH($A107)-MONTH('Recurring Schedule'!$F$6),'Recurring Schedule'!$O$6)=0),IF('Recurring Schedule'!$E$6="Weekdays",WEEKDAY($A107,2)&lt;=5,$A107='Recurring Schedule'!$F$6))),1,""))))</f>
        <v/>
      </c>
      <c r="C107">
        <f>IF('Recurring Schedule'!$C$7="","",IF('Recurring Schedule'!$F$7="","",IF(OR($A107&lt;'Recurring Schedule'!$F$7,$A107&gt;'Recurring Schedule'!$P$7),"",IF(IF('Recurring Schedule'!$N$7&gt;0,MOD($A107-'Recurring Schedule'!$F$7,'Recurring Schedule'!$N$7)=0,IF('Recurring Schedule'!$O$7&gt;0,AND(DAY($A107)=MIN(DAY('Recurring Schedule'!$F$7),DAY(EOMONTH($A107,0))),MOD((YEAR($A107)-YEAR('Recurring Schedule'!$F$7))*12+MONTH($A107)-MONTH('Recurring Schedule'!$F$7),'Recurring Schedule'!$O$7)=0),IF('Recurring Schedule'!$E$7="Weekdays",WEEKDAY($A107,2)&lt;=5,$A107='Recurring Schedule'!$F$7))),2,""))))</f>
        <v/>
      </c>
      <c r="D107">
        <f>IF('Recurring Schedule'!$C$8="","",IF('Recurring Schedule'!$F$8="","",IF(OR($A107&lt;'Recurring Schedule'!$F$8,$A107&gt;'Recurring Schedule'!$P$8),"",IF(IF('Recurring Schedule'!$N$8&gt;0,MOD($A107-'Recurring Schedule'!$F$8,'Recurring Schedule'!$N$8)=0,IF('Recurring Schedule'!$O$8&gt;0,AND(DAY($A107)=MIN(DAY('Recurring Schedule'!$F$8),DAY(EOMONTH($A107,0))),MOD((YEAR($A107)-YEAR('Recurring Schedule'!$F$8))*12+MONTH($A107)-MONTH('Recurring Schedule'!$F$8),'Recurring Schedule'!$O$8)=0),IF('Recurring Schedule'!$E$8="Weekdays",WEEKDAY($A107,2)&lt;=5,$A107='Recurring Schedule'!$F$8))),3,""))))</f>
        <v/>
      </c>
      <c r="E107">
        <f>IF('Recurring Schedule'!$C$9="","",IF('Recurring Schedule'!$F$9="","",IF(OR($A107&lt;'Recurring Schedule'!$F$9,$A107&gt;'Recurring Schedule'!$P$9),"",IF(IF('Recurring Schedule'!$N$9&gt;0,MOD($A107-'Recurring Schedule'!$F$9,'Recurring Schedule'!$N$9)=0,IF('Recurring Schedule'!$O$9&gt;0,AND(DAY($A107)=MIN(DAY('Recurring Schedule'!$F$9),DAY(EOMONTH($A107,0))),MOD((YEAR($A107)-YEAR('Recurring Schedule'!$F$9))*12+MONTH($A107)-MONTH('Recurring Schedule'!$F$9),'Recurring Schedule'!$O$9)=0),IF('Recurring Schedule'!$E$9="Weekdays",WEEKDAY($A107,2)&lt;=5,$A107='Recurring Schedule'!$F$9))),4,""))))</f>
        <v/>
      </c>
      <c r="F107">
        <f>IF('Recurring Schedule'!$C$10="","",IF('Recurring Schedule'!$F$10="","",IF(OR($A107&lt;'Recurring Schedule'!$F$10,$A107&gt;'Recurring Schedule'!$P$10),"",IF(IF('Recurring Schedule'!$N$10&gt;0,MOD($A107-'Recurring Schedule'!$F$10,'Recurring Schedule'!$N$10)=0,IF('Recurring Schedule'!$O$10&gt;0,AND(DAY($A107)=MIN(DAY('Recurring Schedule'!$F$10),DAY(EOMONTH($A107,0))),MOD((YEAR($A107)-YEAR('Recurring Schedule'!$F$10))*12+MONTH($A107)-MONTH('Recurring Schedule'!$F$10),'Recurring Schedule'!$O$10)=0),IF('Recurring Schedule'!$E$10="Weekdays",WEEKDAY($A107,2)&lt;=5,$A107='Recurring Schedule'!$F$10))),5,""))))</f>
        <v/>
      </c>
      <c r="G107">
        <f>IF('Recurring Schedule'!$C$11="","",IF('Recurring Schedule'!$F$11="","",IF(OR($A107&lt;'Recurring Schedule'!$F$11,$A107&gt;'Recurring Schedule'!$P$11),"",IF(IF('Recurring Schedule'!$N$11&gt;0,MOD($A107-'Recurring Schedule'!$F$11,'Recurring Schedule'!$N$11)=0,IF('Recurring Schedule'!$O$11&gt;0,AND(DAY($A107)=MIN(DAY('Recurring Schedule'!$F$11),DAY(EOMONTH($A107,0))),MOD((YEAR($A107)-YEAR('Recurring Schedule'!$F$11))*12+MONTH($A107)-MONTH('Recurring Schedule'!$F$11),'Recurring Schedule'!$O$11)=0),IF('Recurring Schedule'!$E$11="Weekdays",WEEKDAY($A107,2)&lt;=5,$A107='Recurring Schedule'!$F$11))),6,""))))</f>
        <v/>
      </c>
      <c r="H107">
        <f>IF('Recurring Schedule'!$C$12="","",IF('Recurring Schedule'!$F$12="","",IF(OR($A107&lt;'Recurring Schedule'!$F$12,$A107&gt;'Recurring Schedule'!$P$12),"",IF(IF('Recurring Schedule'!$N$12&gt;0,MOD($A107-'Recurring Schedule'!$F$12,'Recurring Schedule'!$N$12)=0,IF('Recurring Schedule'!$O$12&gt;0,AND(DAY($A107)=MIN(DAY('Recurring Schedule'!$F$12),DAY(EOMONTH($A107,0))),MOD((YEAR($A107)-YEAR('Recurring Schedule'!$F$12))*12+MONTH($A107)-MONTH('Recurring Schedule'!$F$12),'Recurring Schedule'!$O$12)=0),IF('Recurring Schedule'!$E$12="Weekdays",WEEKDAY($A107,2)&lt;=5,$A107='Recurring Schedule'!$F$12))),7,""))))</f>
        <v/>
      </c>
      <c r="I107">
        <f>IF('Recurring Schedule'!$C$13="","",IF('Recurring Schedule'!$F$13="","",IF(OR($A107&lt;'Recurring Schedule'!$F$13,$A107&gt;'Recurring Schedule'!$P$13),"",IF(IF('Recurring Schedule'!$N$13&gt;0,MOD($A107-'Recurring Schedule'!$F$13,'Recurring Schedule'!$N$13)=0,IF('Recurring Schedule'!$O$13&gt;0,AND(DAY($A107)=MIN(DAY('Recurring Schedule'!$F$13),DAY(EOMONTH($A107,0))),MOD((YEAR($A107)-YEAR('Recurring Schedule'!$F$13))*12+MONTH($A107)-MONTH('Recurring Schedule'!$F$13),'Recurring Schedule'!$O$13)=0),IF('Recurring Schedule'!$E$13="Weekdays",WEEKDAY($A107,2)&lt;=5,$A107='Recurring Schedule'!$F$13))),8,""))))</f>
        <v/>
      </c>
      <c r="J107">
        <f>IF('Recurring Schedule'!$C$14="","",IF('Recurring Schedule'!$F$14="","",IF(OR($A107&lt;'Recurring Schedule'!$F$14,$A107&gt;'Recurring Schedule'!$P$14),"",IF(IF('Recurring Schedule'!$N$14&gt;0,MOD($A107-'Recurring Schedule'!$F$14,'Recurring Schedule'!$N$14)=0,IF('Recurring Schedule'!$O$14&gt;0,AND(DAY($A107)=MIN(DAY('Recurring Schedule'!$F$14),DAY(EOMONTH($A107,0))),MOD((YEAR($A107)-YEAR('Recurring Schedule'!$F$14))*12+MONTH($A107)-MONTH('Recurring Schedule'!$F$14),'Recurring Schedule'!$O$14)=0),IF('Recurring Schedule'!$E$14="Weekdays",WEEKDAY($A107,2)&lt;=5,$A107='Recurring Schedule'!$F$14))),9,""))))</f>
        <v/>
      </c>
      <c r="K107">
        <f>IF('Recurring Schedule'!$C$15="","",IF('Recurring Schedule'!$F$15="","",IF(OR($A107&lt;'Recurring Schedule'!$F$15,$A107&gt;'Recurring Schedule'!$P$15),"",IF(IF('Recurring Schedule'!$N$15&gt;0,MOD($A107-'Recurring Schedule'!$F$15,'Recurring Schedule'!$N$15)=0,IF('Recurring Schedule'!$O$15&gt;0,AND(DAY($A107)=MIN(DAY('Recurring Schedule'!$F$15),DAY(EOMONTH($A107,0))),MOD((YEAR($A107)-YEAR('Recurring Schedule'!$F$15))*12+MONTH($A107)-MONTH('Recurring Schedule'!$F$15),'Recurring Schedule'!$O$15)=0),IF('Recurring Schedule'!$E$15="Weekdays",WEEKDAY($A107,2)&lt;=5,$A107='Recurring Schedule'!$F$15))),10,""))))</f>
        <v/>
      </c>
      <c r="L107">
        <f>IF('Recurring Schedule'!$C$16="","",IF('Recurring Schedule'!$F$16="","",IF(OR($A107&lt;'Recurring Schedule'!$F$16,$A107&gt;'Recurring Schedule'!$P$16),"",IF(IF('Recurring Schedule'!$N$16&gt;0,MOD($A107-'Recurring Schedule'!$F$16,'Recurring Schedule'!$N$16)=0,IF('Recurring Schedule'!$O$16&gt;0,AND(DAY($A107)=MIN(DAY('Recurring Schedule'!$F$16),DAY(EOMONTH($A107,0))),MOD((YEAR($A107)-YEAR('Recurring Schedule'!$F$16))*12+MONTH($A107)-MONTH('Recurring Schedule'!$F$16),'Recurring Schedule'!$O$16)=0),IF('Recurring Schedule'!$E$16="Weekdays",WEEKDAY($A107,2)&lt;=5,$A107='Recurring Schedule'!$F$16))),11,""))))</f>
        <v/>
      </c>
      <c r="M107">
        <f>IF('Recurring Schedule'!$C$17="","",IF('Recurring Schedule'!$F$17="","",IF(OR($A107&lt;'Recurring Schedule'!$F$17,$A107&gt;'Recurring Schedule'!$P$17),"",IF(IF('Recurring Schedule'!$N$17&gt;0,MOD($A107-'Recurring Schedule'!$F$17,'Recurring Schedule'!$N$17)=0,IF('Recurring Schedule'!$O$17&gt;0,AND(DAY($A107)=MIN(DAY('Recurring Schedule'!$F$17),DAY(EOMONTH($A107,0))),MOD((YEAR($A107)-YEAR('Recurring Schedule'!$F$17))*12+MONTH($A107)-MONTH('Recurring Schedule'!$F$17),'Recurring Schedule'!$O$17)=0),IF('Recurring Schedule'!$E$17="Weekdays",WEEKDAY($A107,2)&lt;=5,$A107='Recurring Schedule'!$F$17))),12,""))))</f>
        <v/>
      </c>
      <c r="N107">
        <f>IF('Recurring Schedule'!$C$18="","",IF('Recurring Schedule'!$F$18="","",IF(OR($A107&lt;'Recurring Schedule'!$F$18,$A107&gt;'Recurring Schedule'!$P$18),"",IF(IF('Recurring Schedule'!$N$18&gt;0,MOD($A107-'Recurring Schedule'!$F$18,'Recurring Schedule'!$N$18)=0,IF('Recurring Schedule'!$O$18&gt;0,AND(DAY($A107)=MIN(DAY('Recurring Schedule'!$F$18),DAY(EOMONTH($A107,0))),MOD((YEAR($A107)-YEAR('Recurring Schedule'!$F$18))*12+MONTH($A107)-MONTH('Recurring Schedule'!$F$18),'Recurring Schedule'!$O$18)=0),IF('Recurring Schedule'!$E$18="Weekdays",WEEKDAY($A107,2)&lt;=5,$A107='Recurring Schedule'!$F$18))),13,""))))</f>
        <v/>
      </c>
      <c r="O107">
        <f>IF('Recurring Schedule'!$C$19="","",IF('Recurring Schedule'!$F$19="","",IF(OR($A107&lt;'Recurring Schedule'!$F$19,$A107&gt;'Recurring Schedule'!$P$19),"",IF(IF('Recurring Schedule'!$N$19&gt;0,MOD($A107-'Recurring Schedule'!$F$19,'Recurring Schedule'!$N$19)=0,IF('Recurring Schedule'!$O$19&gt;0,AND(DAY($A107)=MIN(DAY('Recurring Schedule'!$F$19),DAY(EOMONTH($A107,0))),MOD((YEAR($A107)-YEAR('Recurring Schedule'!$F$19))*12+MONTH($A107)-MONTH('Recurring Schedule'!$F$19),'Recurring Schedule'!$O$19)=0),IF('Recurring Schedule'!$E$19="Weekdays",WEEKDAY($A107,2)&lt;=5,$A107='Recurring Schedule'!$F$19))),14,""))))</f>
        <v/>
      </c>
      <c r="P107">
        <f>IF('Recurring Schedule'!$C$20="","",IF('Recurring Schedule'!$F$20="","",IF(OR($A107&lt;'Recurring Schedule'!$F$20,$A107&gt;'Recurring Schedule'!$P$20),"",IF(IF('Recurring Schedule'!$N$20&gt;0,MOD($A107-'Recurring Schedule'!$F$20,'Recurring Schedule'!$N$20)=0,IF('Recurring Schedule'!$O$20&gt;0,AND(DAY($A107)=MIN(DAY('Recurring Schedule'!$F$20),DAY(EOMONTH($A107,0))),MOD((YEAR($A107)-YEAR('Recurring Schedule'!$F$20))*12+MONTH($A107)-MONTH('Recurring Schedule'!$F$20),'Recurring Schedule'!$O$20)=0),IF('Recurring Schedule'!$E$20="Weekdays",WEEKDAY($A107,2)&lt;=5,$A107='Recurring Schedule'!$F$20))),15,""))))</f>
        <v/>
      </c>
      <c r="Q107">
        <f>IF('Recurring Schedule'!$C$21="","",IF('Recurring Schedule'!$F$21="","",IF(OR($A107&lt;'Recurring Schedule'!$F$21,$A107&gt;'Recurring Schedule'!$P$21),"",IF(IF('Recurring Schedule'!$N$21&gt;0,MOD($A107-'Recurring Schedule'!$F$21,'Recurring Schedule'!$N$21)=0,IF('Recurring Schedule'!$O$21&gt;0,AND(DAY($A107)=MIN(DAY('Recurring Schedule'!$F$21),DAY(EOMONTH($A107,0))),MOD((YEAR($A107)-YEAR('Recurring Schedule'!$F$21))*12+MONTH($A107)-MONTH('Recurring Schedule'!$F$21),'Recurring Schedule'!$O$21)=0),IF('Recurring Schedule'!$E$21="Weekdays",WEEKDAY($A107,2)&lt;=5,$A107='Recurring Schedule'!$F$21))),16,""))))</f>
        <v/>
      </c>
      <c r="R107">
        <f>IF('Recurring Schedule'!$C$22="","",IF('Recurring Schedule'!$F$22="","",IF(OR($A107&lt;'Recurring Schedule'!$F$22,$A107&gt;'Recurring Schedule'!$P$22),"",IF(IF('Recurring Schedule'!$N$22&gt;0,MOD($A107-'Recurring Schedule'!$F$22,'Recurring Schedule'!$N$22)=0,IF('Recurring Schedule'!$O$22&gt;0,AND(DAY($A107)=MIN(DAY('Recurring Schedule'!$F$22),DAY(EOMONTH($A107,0))),MOD((YEAR($A107)-YEAR('Recurring Schedule'!$F$22))*12+MONTH($A107)-MONTH('Recurring Schedule'!$F$22),'Recurring Schedule'!$O$22)=0),IF('Recurring Schedule'!$E$22="Weekdays",WEEKDAY($A107,2)&lt;=5,$A107='Recurring Schedule'!$F$22))),17,""))))</f>
        <v/>
      </c>
      <c r="S107">
        <f>IF('Recurring Schedule'!$C$23="","",IF('Recurring Schedule'!$F$23="","",IF(OR($A107&lt;'Recurring Schedule'!$F$23,$A107&gt;'Recurring Schedule'!$P$23),"",IF(IF('Recurring Schedule'!$N$23&gt;0,MOD($A107-'Recurring Schedule'!$F$23,'Recurring Schedule'!$N$23)=0,IF('Recurring Schedule'!$O$23&gt;0,AND(DAY($A107)=MIN(DAY('Recurring Schedule'!$F$23),DAY(EOMONTH($A107,0))),MOD((YEAR($A107)-YEAR('Recurring Schedule'!$F$23))*12+MONTH($A107)-MONTH('Recurring Schedule'!$F$23),'Recurring Schedule'!$O$23)=0),IF('Recurring Schedule'!$E$23="Weekdays",WEEKDAY($A107,2)&lt;=5,$A107='Recurring Schedule'!$F$23))),18,""))))</f>
        <v/>
      </c>
      <c r="T107">
        <f>IF('Recurring Schedule'!$C$24="","",IF('Recurring Schedule'!$F$24="","",IF(OR($A107&lt;'Recurring Schedule'!$F$24,$A107&gt;'Recurring Schedule'!$P$24),"",IF(IF('Recurring Schedule'!$N$24&gt;0,MOD($A107-'Recurring Schedule'!$F$24,'Recurring Schedule'!$N$24)=0,IF('Recurring Schedule'!$O$24&gt;0,AND(DAY($A107)=MIN(DAY('Recurring Schedule'!$F$24),DAY(EOMONTH($A107,0))),MOD((YEAR($A107)-YEAR('Recurring Schedule'!$F$24))*12+MONTH($A107)-MONTH('Recurring Schedule'!$F$24),'Recurring Schedule'!$O$24)=0),IF('Recurring Schedule'!$E$24="Weekdays",WEEKDAY($A107,2)&lt;=5,$A107='Recurring Schedule'!$F$24))),19,""))))</f>
        <v/>
      </c>
      <c r="U107">
        <f>IF('Recurring Schedule'!$C$25="","",IF('Recurring Schedule'!$F$25="","",IF(OR($A107&lt;'Recurring Schedule'!$F$25,$A107&gt;'Recurring Schedule'!$P$25),"",IF(IF('Recurring Schedule'!$N$25&gt;0,MOD($A107-'Recurring Schedule'!$F$25,'Recurring Schedule'!$N$25)=0,IF('Recurring Schedule'!$O$25&gt;0,AND(DAY($A107)=MIN(DAY('Recurring Schedule'!$F$25),DAY(EOMONTH($A107,0))),MOD((YEAR($A107)-YEAR('Recurring Schedule'!$F$25))*12+MONTH($A107)-MONTH('Recurring Schedule'!$F$25),'Recurring Schedule'!$O$25)=0),IF('Recurring Schedule'!$E$25="Weekdays",WEEKDAY($A107,2)&lt;=5,$A107='Recurring Schedule'!$F$25))),20,""))))</f>
        <v/>
      </c>
      <c r="V107">
        <f>IF('Recurring Schedule'!$C$26="","",IF('Recurring Schedule'!$F$26="","",IF(OR($A107&lt;'Recurring Schedule'!$F$26,$A107&gt;'Recurring Schedule'!$P$26),"",IF(IF('Recurring Schedule'!$N$26&gt;0,MOD($A107-'Recurring Schedule'!$F$26,'Recurring Schedule'!$N$26)=0,IF('Recurring Schedule'!$O$26&gt;0,AND(DAY($A107)=MIN(DAY('Recurring Schedule'!$F$26),DAY(EOMONTH($A107,0))),MOD((YEAR($A107)-YEAR('Recurring Schedule'!$F$26))*12+MONTH($A107)-MONTH('Recurring Schedule'!$F$26),'Recurring Schedule'!$O$26)=0),IF('Recurring Schedule'!$E$26="Weekdays",WEEKDAY($A107,2)&lt;=5,$A107='Recurring Schedule'!$F$26))),21,""))))</f>
        <v/>
      </c>
      <c r="W107">
        <f>IF('Recurring Schedule'!$C$27="","",IF('Recurring Schedule'!$F$27="","",IF(OR($A107&lt;'Recurring Schedule'!$F$27,$A107&gt;'Recurring Schedule'!$P$27),"",IF(IF('Recurring Schedule'!$N$27&gt;0,MOD($A107-'Recurring Schedule'!$F$27,'Recurring Schedule'!$N$27)=0,IF('Recurring Schedule'!$O$27&gt;0,AND(DAY($A107)=MIN(DAY('Recurring Schedule'!$F$27),DAY(EOMONTH($A107,0))),MOD((YEAR($A107)-YEAR('Recurring Schedule'!$F$27))*12+MONTH($A107)-MONTH('Recurring Schedule'!$F$27),'Recurring Schedule'!$O$27)=0),IF('Recurring Schedule'!$E$27="Weekdays",WEEKDAY($A107,2)&lt;=5,$A107='Recurring Schedule'!$F$27))),22,""))))</f>
        <v/>
      </c>
      <c r="X107">
        <f>IF('Recurring Schedule'!$C$28="","",IF('Recurring Schedule'!$F$28="","",IF(OR($A107&lt;'Recurring Schedule'!$F$28,$A107&gt;'Recurring Schedule'!$P$28),"",IF(IF('Recurring Schedule'!$N$28&gt;0,MOD($A107-'Recurring Schedule'!$F$28,'Recurring Schedule'!$N$28)=0,IF('Recurring Schedule'!$O$28&gt;0,AND(DAY($A107)=MIN(DAY('Recurring Schedule'!$F$28),DAY(EOMONTH($A107,0))),MOD((YEAR($A107)-YEAR('Recurring Schedule'!$F$28))*12+MONTH($A107)-MONTH('Recurring Schedule'!$F$28),'Recurring Schedule'!$O$28)=0),IF('Recurring Schedule'!$E$28="Weekdays",WEEKDAY($A107,2)&lt;=5,$A107='Recurring Schedule'!$F$28))),23,""))))</f>
        <v/>
      </c>
      <c r="Y107">
        <f>IF('Recurring Schedule'!$C$29="","",IF('Recurring Schedule'!$F$29="","",IF(OR($A107&lt;'Recurring Schedule'!$F$29,$A107&gt;'Recurring Schedule'!$P$29),"",IF(IF('Recurring Schedule'!$N$29&gt;0,MOD($A107-'Recurring Schedule'!$F$29,'Recurring Schedule'!$N$29)=0,IF('Recurring Schedule'!$O$29&gt;0,AND(DAY($A107)=MIN(DAY('Recurring Schedule'!$F$29),DAY(EOMONTH($A107,0))),MOD((YEAR($A107)-YEAR('Recurring Schedule'!$F$29))*12+MONTH($A107)-MONTH('Recurring Schedule'!$F$29),'Recurring Schedule'!$O$29)=0),IF('Recurring Schedule'!$E$29="Weekdays",WEEKDAY($A107,2)&lt;=5,$A107='Recurring Schedule'!$F$29))),24,""))))</f>
        <v/>
      </c>
      <c r="Z107">
        <f>IF('Recurring Schedule'!$C$30="","",IF('Recurring Schedule'!$F$30="","",IF(OR($A107&lt;'Recurring Schedule'!$F$30,$A107&gt;'Recurring Schedule'!$P$30),"",IF(IF('Recurring Schedule'!$N$30&gt;0,MOD($A107-'Recurring Schedule'!$F$30,'Recurring Schedule'!$N$30)=0,IF('Recurring Schedule'!$O$30&gt;0,AND(DAY($A107)=MIN(DAY('Recurring Schedule'!$F$30),DAY(EOMONTH($A107,0))),MOD((YEAR($A107)-YEAR('Recurring Schedule'!$F$30))*12+MONTH($A107)-MONTH('Recurring Schedule'!$F$30),'Recurring Schedule'!$O$30)=0),IF('Recurring Schedule'!$E$30="Weekdays",WEEKDAY($A107,2)&lt;=5,$A107='Recurring Schedule'!$F$30))),25,""))))</f>
        <v/>
      </c>
      <c r="AA107">
        <f>IF('Recurring Schedule'!$C$31="","",IF('Recurring Schedule'!$F$31="","",IF(OR($A107&lt;'Recurring Schedule'!$F$31,$A107&gt;'Recurring Schedule'!$P$31),"",IF(IF('Recurring Schedule'!$N$31&gt;0,MOD($A107-'Recurring Schedule'!$F$31,'Recurring Schedule'!$N$31)=0,IF('Recurring Schedule'!$O$31&gt;0,AND(DAY($A107)=MIN(DAY('Recurring Schedule'!$F$31),DAY(EOMONTH($A107,0))),MOD((YEAR($A107)-YEAR('Recurring Schedule'!$F$31))*12+MONTH($A107)-MONTH('Recurring Schedule'!$F$31),'Recurring Schedule'!$O$31)=0),IF('Recurring Schedule'!$E$31="Weekdays",WEEKDAY($A107,2)&lt;=5,$A107='Recurring Schedule'!$F$31))),26,""))))</f>
        <v/>
      </c>
      <c r="AB107">
        <f>IF('Recurring Schedule'!$C$32="","",IF('Recurring Schedule'!$F$32="","",IF(OR($A107&lt;'Recurring Schedule'!$F$32,$A107&gt;'Recurring Schedule'!$P$32),"",IF(IF('Recurring Schedule'!$N$32&gt;0,MOD($A107-'Recurring Schedule'!$F$32,'Recurring Schedule'!$N$32)=0,IF('Recurring Schedule'!$O$32&gt;0,AND(DAY($A107)=MIN(DAY('Recurring Schedule'!$F$32),DAY(EOMONTH($A107,0))),MOD((YEAR($A107)-YEAR('Recurring Schedule'!$F$32))*12+MONTH($A107)-MONTH('Recurring Schedule'!$F$32),'Recurring Schedule'!$O$32)=0),IF('Recurring Schedule'!$E$32="Weekdays",WEEKDAY($A107,2)&lt;=5,$A107='Recurring Schedule'!$F$32))),27,""))))</f>
        <v/>
      </c>
      <c r="AC107">
        <f>IF('Recurring Schedule'!$C$33="","",IF('Recurring Schedule'!$F$33="","",IF(OR($A107&lt;'Recurring Schedule'!$F$33,$A107&gt;'Recurring Schedule'!$P$33),"",IF(IF('Recurring Schedule'!$N$33&gt;0,MOD($A107-'Recurring Schedule'!$F$33,'Recurring Schedule'!$N$33)=0,IF('Recurring Schedule'!$O$33&gt;0,AND(DAY($A107)=MIN(DAY('Recurring Schedule'!$F$33),DAY(EOMONTH($A107,0))),MOD((YEAR($A107)-YEAR('Recurring Schedule'!$F$33))*12+MONTH($A107)-MONTH('Recurring Schedule'!$F$33),'Recurring Schedule'!$O$33)=0),IF('Recurring Schedule'!$E$33="Weekdays",WEEKDAY($A107,2)&lt;=5,$A107='Recurring Schedule'!$F$33))),28,""))))</f>
        <v/>
      </c>
      <c r="AD107">
        <f>IF('Recurring Schedule'!$C$34="","",IF('Recurring Schedule'!$F$34="","",IF(OR($A107&lt;'Recurring Schedule'!$F$34,$A107&gt;'Recurring Schedule'!$P$34),"",IF(IF('Recurring Schedule'!$N$34&gt;0,MOD($A107-'Recurring Schedule'!$F$34,'Recurring Schedule'!$N$34)=0,IF('Recurring Schedule'!$O$34&gt;0,AND(DAY($A107)=MIN(DAY('Recurring Schedule'!$F$34),DAY(EOMONTH($A107,0))),MOD((YEAR($A107)-YEAR('Recurring Schedule'!$F$34))*12+MONTH($A107)-MONTH('Recurring Schedule'!$F$34),'Recurring Schedule'!$O$34)=0),IF('Recurring Schedule'!$E$34="Weekdays",WEEKDAY($A107,2)&lt;=5,$A107='Recurring Schedule'!$F$34))),29,""))))</f>
        <v/>
      </c>
      <c r="AE107">
        <f>IF('Recurring Schedule'!$C$35="","",IF('Recurring Schedule'!$F$35="","",IF(OR($A107&lt;'Recurring Schedule'!$F$35,$A107&gt;'Recurring Schedule'!$P$35),"",IF(IF('Recurring Schedule'!$N$35&gt;0,MOD($A107-'Recurring Schedule'!$F$35,'Recurring Schedule'!$N$35)=0,IF('Recurring Schedule'!$O$35&gt;0,AND(DAY($A107)=MIN(DAY('Recurring Schedule'!$F$35),DAY(EOMONTH($A107,0))),MOD((YEAR($A107)-YEAR('Recurring Schedule'!$F$35))*12+MONTH($A107)-MONTH('Recurring Schedule'!$F$35),'Recurring Schedule'!$O$35)=0),IF('Recurring Schedule'!$E$35="Weekdays",WEEKDAY($A107,2)&lt;=5,$A107='Recurring Schedule'!$F$35))),30,""))))</f>
        <v/>
      </c>
      <c r="AF107">
        <f>IF('Recurring Schedule'!$C$36="","",IF('Recurring Schedule'!$F$36="","",IF(OR($A107&lt;'Recurring Schedule'!$F$36,$A107&gt;'Recurring Schedule'!$P$36),"",IF(IF('Recurring Schedule'!$N$36&gt;0,MOD($A107-'Recurring Schedule'!$F$36,'Recurring Schedule'!$N$36)=0,IF('Recurring Schedule'!$O$36&gt;0,AND(DAY($A107)=MIN(DAY('Recurring Schedule'!$F$36),DAY(EOMONTH($A107,0))),MOD((YEAR($A107)-YEAR('Recurring Schedule'!$F$36))*12+MONTH($A107)-MONTH('Recurring Schedule'!$F$36),'Recurring Schedule'!$O$36)=0),IF('Recurring Schedule'!$E$36="Weekdays",WEEKDAY($A107,2)&lt;=5,$A107='Recurring Schedule'!$F$36))),31,""))))</f>
        <v/>
      </c>
      <c r="AG107">
        <f>IF('Recurring Schedule'!$C$37="","",IF('Recurring Schedule'!$F$37="","",IF(OR($A107&lt;'Recurring Schedule'!$F$37,$A107&gt;'Recurring Schedule'!$P$37),"",IF(IF('Recurring Schedule'!$N$37&gt;0,MOD($A107-'Recurring Schedule'!$F$37,'Recurring Schedule'!$N$37)=0,IF('Recurring Schedule'!$O$37&gt;0,AND(DAY($A107)=MIN(DAY('Recurring Schedule'!$F$37),DAY(EOMONTH($A107,0))),MOD((YEAR($A107)-YEAR('Recurring Schedule'!$F$37))*12+MONTH($A107)-MONTH('Recurring Schedule'!$F$37),'Recurring Schedule'!$O$37)=0),IF('Recurring Schedule'!$E$37="Weekdays",WEEKDAY($A107,2)&lt;=5,$A107='Recurring Schedule'!$F$37))),32,""))))</f>
        <v/>
      </c>
      <c r="AH107">
        <f>IF('Recurring Schedule'!$C$38="","",IF('Recurring Schedule'!$F$38="","",IF(OR($A107&lt;'Recurring Schedule'!$F$38,$A107&gt;'Recurring Schedule'!$P$38),"",IF(IF('Recurring Schedule'!$N$38&gt;0,MOD($A107-'Recurring Schedule'!$F$38,'Recurring Schedule'!$N$38)=0,IF('Recurring Schedule'!$O$38&gt;0,AND(DAY($A107)=MIN(DAY('Recurring Schedule'!$F$38),DAY(EOMONTH($A107,0))),MOD((YEAR($A107)-YEAR('Recurring Schedule'!$F$38))*12+MONTH($A107)-MONTH('Recurring Schedule'!$F$38),'Recurring Schedule'!$O$38)=0),IF('Recurring Schedule'!$E$38="Weekdays",WEEKDAY($A107,2)&lt;=5,$A107='Recurring Schedule'!$F$38))),33,""))))</f>
        <v/>
      </c>
      <c r="AI107">
        <f>IF('Recurring Schedule'!$C$39="","",IF('Recurring Schedule'!$F$39="","",IF(OR($A107&lt;'Recurring Schedule'!$F$39,$A107&gt;'Recurring Schedule'!$P$39),"",IF(IF('Recurring Schedule'!$N$39&gt;0,MOD($A107-'Recurring Schedule'!$F$39,'Recurring Schedule'!$N$39)=0,IF('Recurring Schedule'!$O$39&gt;0,AND(DAY($A107)=MIN(DAY('Recurring Schedule'!$F$39),DAY(EOMONTH($A107,0))),MOD((YEAR($A107)-YEAR('Recurring Schedule'!$F$39))*12+MONTH($A107)-MONTH('Recurring Schedule'!$F$39),'Recurring Schedule'!$O$39)=0),IF('Recurring Schedule'!$E$39="Weekdays",WEEKDAY($A107,2)&lt;=5,$A107='Recurring Schedule'!$F$39))),34,""))))</f>
        <v/>
      </c>
      <c r="AJ107">
        <f>IF('Recurring Schedule'!$C$40="","",IF('Recurring Schedule'!$F$40="","",IF(OR($A107&lt;'Recurring Schedule'!$F$40,$A107&gt;'Recurring Schedule'!$P$40),"",IF(IF('Recurring Schedule'!$N$40&gt;0,MOD($A107-'Recurring Schedule'!$F$40,'Recurring Schedule'!$N$40)=0,IF('Recurring Schedule'!$O$40&gt;0,AND(DAY($A107)=MIN(DAY('Recurring Schedule'!$F$40),DAY(EOMONTH($A107,0))),MOD((YEAR($A107)-YEAR('Recurring Schedule'!$F$40))*12+MONTH($A107)-MONTH('Recurring Schedule'!$F$40),'Recurring Schedule'!$O$40)=0),IF('Recurring Schedule'!$E$40="Weekdays",WEEKDAY($A107,2)&lt;=5,$A107='Recurring Schedule'!$F$40))),35,""))))</f>
        <v/>
      </c>
      <c r="AK107">
        <f>IF('Recurring Schedule'!$C$41="","",IF('Recurring Schedule'!$F$41="","",IF(OR($A107&lt;'Recurring Schedule'!$F$41,$A107&gt;'Recurring Schedule'!$P$41),"",IF(IF('Recurring Schedule'!$N$41&gt;0,MOD($A107-'Recurring Schedule'!$F$41,'Recurring Schedule'!$N$41)=0,IF('Recurring Schedule'!$O$41&gt;0,AND(DAY($A107)=MIN(DAY('Recurring Schedule'!$F$41),DAY(EOMONTH($A107,0))),MOD((YEAR($A107)-YEAR('Recurring Schedule'!$F$41))*12+MONTH($A107)-MONTH('Recurring Schedule'!$F$41),'Recurring Schedule'!$O$41)=0),IF('Recurring Schedule'!$E$41="Weekdays",WEEKDAY($A107,2)&lt;=5,$A107='Recurring Schedule'!$F$41))),36,""))))</f>
        <v/>
      </c>
      <c r="AL107">
        <f>IF('Recurring Schedule'!$C$42="","",IF('Recurring Schedule'!$F$42="","",IF(OR($A107&lt;'Recurring Schedule'!$F$42,$A107&gt;'Recurring Schedule'!$P$42),"",IF(IF('Recurring Schedule'!$N$42&gt;0,MOD($A107-'Recurring Schedule'!$F$42,'Recurring Schedule'!$N$42)=0,IF('Recurring Schedule'!$O$42&gt;0,AND(DAY($A107)=MIN(DAY('Recurring Schedule'!$F$42),DAY(EOMONTH($A107,0))),MOD((YEAR($A107)-YEAR('Recurring Schedule'!$F$42))*12+MONTH($A107)-MONTH('Recurring Schedule'!$F$42),'Recurring Schedule'!$O$42)=0),IF('Recurring Schedule'!$E$42="Weekdays",WEEKDAY($A107,2)&lt;=5,$A107='Recurring Schedule'!$F$42))),37,""))))</f>
        <v/>
      </c>
      <c r="AM107">
        <f>IF('Recurring Schedule'!$C$43="","",IF('Recurring Schedule'!$F$43="","",IF(OR($A107&lt;'Recurring Schedule'!$F$43,$A107&gt;'Recurring Schedule'!$P$43),"",IF(IF('Recurring Schedule'!$N$43&gt;0,MOD($A107-'Recurring Schedule'!$F$43,'Recurring Schedule'!$N$43)=0,IF('Recurring Schedule'!$O$43&gt;0,AND(DAY($A107)=MIN(DAY('Recurring Schedule'!$F$43),DAY(EOMONTH($A107,0))),MOD((YEAR($A107)-YEAR('Recurring Schedule'!$F$43))*12+MONTH($A107)-MONTH('Recurring Schedule'!$F$43),'Recurring Schedule'!$O$43)=0),IF('Recurring Schedule'!$E$43="Weekdays",WEEKDAY($A107,2)&lt;=5,$A107='Recurring Schedule'!$F$43))),38,""))))</f>
        <v/>
      </c>
      <c r="AN107">
        <f>IF('Recurring Schedule'!$C$44="","",IF('Recurring Schedule'!$F$44="","",IF(OR($A107&lt;'Recurring Schedule'!$F$44,$A107&gt;'Recurring Schedule'!$P$44),"",IF(IF('Recurring Schedule'!$N$44&gt;0,MOD($A107-'Recurring Schedule'!$F$44,'Recurring Schedule'!$N$44)=0,IF('Recurring Schedule'!$O$44&gt;0,AND(DAY($A107)=MIN(DAY('Recurring Schedule'!$F$44),DAY(EOMONTH($A107,0))),MOD((YEAR($A107)-YEAR('Recurring Schedule'!$F$44))*12+MONTH($A107)-MONTH('Recurring Schedule'!$F$44),'Recurring Schedule'!$O$44)=0),IF('Recurring Schedule'!$E$44="Weekdays",WEEKDAY($A107,2)&lt;=5,$A107='Recurring Schedule'!$F$44))),39,""))))</f>
        <v/>
      </c>
      <c r="AO107">
        <f>IF('Recurring Schedule'!$C$45="","",IF('Recurring Schedule'!$F$45="","",IF(OR($A107&lt;'Recurring Schedule'!$F$45,$A107&gt;'Recurring Schedule'!$P$45),"",IF(IF('Recurring Schedule'!$N$45&gt;0,MOD($A107-'Recurring Schedule'!$F$45,'Recurring Schedule'!$N$45)=0,IF('Recurring Schedule'!$O$45&gt;0,AND(DAY($A107)=MIN(DAY('Recurring Schedule'!$F$45),DAY(EOMONTH($A107,0))),MOD((YEAR($A107)-YEAR('Recurring Schedule'!$F$45))*12+MONTH($A107)-MONTH('Recurring Schedule'!$F$45),'Recurring Schedule'!$O$45)=0),IF('Recurring Schedule'!$E$45="Weekdays",WEEKDAY($A107,2)&lt;=5,$A107='Recurring Schedule'!$F$45))),40,""))))</f>
        <v/>
      </c>
      <c r="AP107">
        <f>COUNT(B107:AO107)</f>
        <v/>
      </c>
      <c r="AQ107">
        <f>AQ106+AP106</f>
        <v/>
      </c>
      <c r="AS107" t="inlineStr">
        <is>
          <t>R</t>
        </is>
      </c>
      <c r="AT107" t="n">
        <v>111</v>
      </c>
      <c r="AU107">
        <f>'Recurring Log'!C111&amp;""</f>
        <v/>
      </c>
      <c r="AV107">
        <f>'Recurring Log'!D111&amp;""</f>
        <v/>
      </c>
      <c r="AW107">
        <f>IF('Recurring Log'!E111="","",'Recurring Log'!E111)</f>
        <v/>
      </c>
      <c r="AX107">
        <f>IF('Recurring Log'!G111="","",'Recurring Log'!G111)</f>
        <v/>
      </c>
      <c r="AY107">
        <f>IF('Recurring Log'!H111="","",'Recurring Log'!H111)</f>
        <v/>
      </c>
      <c r="AZ107">
        <f>IF(AU107="","",IF('Recurring Log'!J111="","Not Started",'Recurring Log'!J111))</f>
        <v/>
      </c>
      <c r="BA107">
        <f>'Recurring Log'!L111&amp;""</f>
        <v/>
      </c>
      <c r="BB107">
        <f>'Recurring Log'!M111&amp;""</f>
        <v/>
      </c>
      <c r="BC107">
        <f>'Recurring Log'!N111&amp;""</f>
        <v/>
      </c>
      <c r="BD107">
        <f>'Recurring Log'!O111&amp;""</f>
        <v/>
      </c>
      <c r="BE107">
        <f>IF('Recurring Log'!K111="","",'Recurring Log'!K111)</f>
        <v/>
      </c>
      <c r="BF107">
        <f>IFERROR(MATCH(BA107,Setup!$L$6:$L$9,0),5)</f>
        <v/>
      </c>
      <c r="BG107">
        <f>IF(OR(AZ107="Done",AZ107="Cancelled"),1,0)</f>
        <v/>
      </c>
      <c r="BH107">
        <f>IF(AND(AU107&lt;&gt;"",ISNUMBER(AW107)),1,0)</f>
        <v/>
      </c>
      <c r="BI107">
        <f>IF(BH107=0,0,IF(AND(AW107&gt;='Tasks Filter'!$F$3,AW107&lt;='Tasks Filter'!$F$4,OR('Tasks Filter'!$I$3="",ISNUMBER(SEARCH('Tasks Filter'!$I$3,AU107))),OR('Tasks Filter'!$I$4="",BF107=IFERROR(MATCH('Tasks Filter'!$I$4,Setup!$L$6:$L$9,0),0)),OR('Tasks Filter'!$I$5="Both",AND('Tasks Filter'!$I$5="Yes",BB107="✓"),AND('Tasks Filter'!$I$5="No",BB107&lt;&gt;"✓")),OR('Tasks Filter'!$L$3="",AV107='Tasks Filter'!$L$3),OR('Tasks Filter'!$L$4="",AZ107='Tasks Filter'!$L$4),OR('Tasks Filter'!$L$5="",BC107='Tasks Filter'!$L$5),OR('Tasks Filter'!$O$3="",BD107='Tasks Filter'!$O$3),OR('Tasks Filter'!$O$4="Yes",BG107=0)),1,0))</f>
        <v/>
      </c>
      <c r="BJ107">
        <f>IF(BH107=0,"",IF('Tasks Filter'!$F$6="Descending",-1,1)*CHOOSE(MATCH('Tasks Filter'!$F$5,Lists!$G$2:$G$6,0),AW107,BF107,IFERROR(MATCH(AV107,Setup!$F$6:$F$15,0),99),IFERROR(MATCH(BC107,Setup!$H$6:$H$15,0),99),IFERROR(MATCH(AZ107,Setup!$J$6:$J$11,0),99))*1E+9+(AW107-40000)*10000+106)</f>
        <v/>
      </c>
      <c r="BK107">
        <f>IF(BI107=1,BJ107,"")</f>
        <v/>
      </c>
      <c r="BL107">
        <f>IF(AND(BH107=1,BG107=0,N(AW107)&lt;Setup!$D$7),(AW107-40000)*10000+106,"")</f>
        <v/>
      </c>
      <c r="BM107">
        <f>IF(AND(BH107=1,AZ107&lt;&gt;"Cancelled",N(AW107)&gt;=Dashboard!$AB$3,N(AW107)&lt;=Dashboard!$AB$3+6),(AW107-40000)*100000+BF107*10000+106,"")</f>
        <v/>
      </c>
      <c r="BN107">
        <f>IF(AND(BH107=1,AZ107&lt;&gt;"Cancelled"),BF107*10000+106,"")</f>
        <v/>
      </c>
    </row>
    <row r="108">
      <c r="A108">
        <f>Setup!$D$5+106</f>
        <v/>
      </c>
      <c r="B108">
        <f>IF('Recurring Schedule'!$C$6="","",IF('Recurring Schedule'!$F$6="","",IF(OR($A108&lt;'Recurring Schedule'!$F$6,$A108&gt;'Recurring Schedule'!$P$6),"",IF(IF('Recurring Schedule'!$N$6&gt;0,MOD($A108-'Recurring Schedule'!$F$6,'Recurring Schedule'!$N$6)=0,IF('Recurring Schedule'!$O$6&gt;0,AND(DAY($A108)=MIN(DAY('Recurring Schedule'!$F$6),DAY(EOMONTH($A108,0))),MOD((YEAR($A108)-YEAR('Recurring Schedule'!$F$6))*12+MONTH($A108)-MONTH('Recurring Schedule'!$F$6),'Recurring Schedule'!$O$6)=0),IF('Recurring Schedule'!$E$6="Weekdays",WEEKDAY($A108,2)&lt;=5,$A108='Recurring Schedule'!$F$6))),1,""))))</f>
        <v/>
      </c>
      <c r="C108">
        <f>IF('Recurring Schedule'!$C$7="","",IF('Recurring Schedule'!$F$7="","",IF(OR($A108&lt;'Recurring Schedule'!$F$7,$A108&gt;'Recurring Schedule'!$P$7),"",IF(IF('Recurring Schedule'!$N$7&gt;0,MOD($A108-'Recurring Schedule'!$F$7,'Recurring Schedule'!$N$7)=0,IF('Recurring Schedule'!$O$7&gt;0,AND(DAY($A108)=MIN(DAY('Recurring Schedule'!$F$7),DAY(EOMONTH($A108,0))),MOD((YEAR($A108)-YEAR('Recurring Schedule'!$F$7))*12+MONTH($A108)-MONTH('Recurring Schedule'!$F$7),'Recurring Schedule'!$O$7)=0),IF('Recurring Schedule'!$E$7="Weekdays",WEEKDAY($A108,2)&lt;=5,$A108='Recurring Schedule'!$F$7))),2,""))))</f>
        <v/>
      </c>
      <c r="D108">
        <f>IF('Recurring Schedule'!$C$8="","",IF('Recurring Schedule'!$F$8="","",IF(OR($A108&lt;'Recurring Schedule'!$F$8,$A108&gt;'Recurring Schedule'!$P$8),"",IF(IF('Recurring Schedule'!$N$8&gt;0,MOD($A108-'Recurring Schedule'!$F$8,'Recurring Schedule'!$N$8)=0,IF('Recurring Schedule'!$O$8&gt;0,AND(DAY($A108)=MIN(DAY('Recurring Schedule'!$F$8),DAY(EOMONTH($A108,0))),MOD((YEAR($A108)-YEAR('Recurring Schedule'!$F$8))*12+MONTH($A108)-MONTH('Recurring Schedule'!$F$8),'Recurring Schedule'!$O$8)=0),IF('Recurring Schedule'!$E$8="Weekdays",WEEKDAY($A108,2)&lt;=5,$A108='Recurring Schedule'!$F$8))),3,""))))</f>
        <v/>
      </c>
      <c r="E108">
        <f>IF('Recurring Schedule'!$C$9="","",IF('Recurring Schedule'!$F$9="","",IF(OR($A108&lt;'Recurring Schedule'!$F$9,$A108&gt;'Recurring Schedule'!$P$9),"",IF(IF('Recurring Schedule'!$N$9&gt;0,MOD($A108-'Recurring Schedule'!$F$9,'Recurring Schedule'!$N$9)=0,IF('Recurring Schedule'!$O$9&gt;0,AND(DAY($A108)=MIN(DAY('Recurring Schedule'!$F$9),DAY(EOMONTH($A108,0))),MOD((YEAR($A108)-YEAR('Recurring Schedule'!$F$9))*12+MONTH($A108)-MONTH('Recurring Schedule'!$F$9),'Recurring Schedule'!$O$9)=0),IF('Recurring Schedule'!$E$9="Weekdays",WEEKDAY($A108,2)&lt;=5,$A108='Recurring Schedule'!$F$9))),4,""))))</f>
        <v/>
      </c>
      <c r="F108">
        <f>IF('Recurring Schedule'!$C$10="","",IF('Recurring Schedule'!$F$10="","",IF(OR($A108&lt;'Recurring Schedule'!$F$10,$A108&gt;'Recurring Schedule'!$P$10),"",IF(IF('Recurring Schedule'!$N$10&gt;0,MOD($A108-'Recurring Schedule'!$F$10,'Recurring Schedule'!$N$10)=0,IF('Recurring Schedule'!$O$10&gt;0,AND(DAY($A108)=MIN(DAY('Recurring Schedule'!$F$10),DAY(EOMONTH($A108,0))),MOD((YEAR($A108)-YEAR('Recurring Schedule'!$F$10))*12+MONTH($A108)-MONTH('Recurring Schedule'!$F$10),'Recurring Schedule'!$O$10)=0),IF('Recurring Schedule'!$E$10="Weekdays",WEEKDAY($A108,2)&lt;=5,$A108='Recurring Schedule'!$F$10))),5,""))))</f>
        <v/>
      </c>
      <c r="G108">
        <f>IF('Recurring Schedule'!$C$11="","",IF('Recurring Schedule'!$F$11="","",IF(OR($A108&lt;'Recurring Schedule'!$F$11,$A108&gt;'Recurring Schedule'!$P$11),"",IF(IF('Recurring Schedule'!$N$11&gt;0,MOD($A108-'Recurring Schedule'!$F$11,'Recurring Schedule'!$N$11)=0,IF('Recurring Schedule'!$O$11&gt;0,AND(DAY($A108)=MIN(DAY('Recurring Schedule'!$F$11),DAY(EOMONTH($A108,0))),MOD((YEAR($A108)-YEAR('Recurring Schedule'!$F$11))*12+MONTH($A108)-MONTH('Recurring Schedule'!$F$11),'Recurring Schedule'!$O$11)=0),IF('Recurring Schedule'!$E$11="Weekdays",WEEKDAY($A108,2)&lt;=5,$A108='Recurring Schedule'!$F$11))),6,""))))</f>
        <v/>
      </c>
      <c r="H108">
        <f>IF('Recurring Schedule'!$C$12="","",IF('Recurring Schedule'!$F$12="","",IF(OR($A108&lt;'Recurring Schedule'!$F$12,$A108&gt;'Recurring Schedule'!$P$12),"",IF(IF('Recurring Schedule'!$N$12&gt;0,MOD($A108-'Recurring Schedule'!$F$12,'Recurring Schedule'!$N$12)=0,IF('Recurring Schedule'!$O$12&gt;0,AND(DAY($A108)=MIN(DAY('Recurring Schedule'!$F$12),DAY(EOMONTH($A108,0))),MOD((YEAR($A108)-YEAR('Recurring Schedule'!$F$12))*12+MONTH($A108)-MONTH('Recurring Schedule'!$F$12),'Recurring Schedule'!$O$12)=0),IF('Recurring Schedule'!$E$12="Weekdays",WEEKDAY($A108,2)&lt;=5,$A108='Recurring Schedule'!$F$12))),7,""))))</f>
        <v/>
      </c>
      <c r="I108">
        <f>IF('Recurring Schedule'!$C$13="","",IF('Recurring Schedule'!$F$13="","",IF(OR($A108&lt;'Recurring Schedule'!$F$13,$A108&gt;'Recurring Schedule'!$P$13),"",IF(IF('Recurring Schedule'!$N$13&gt;0,MOD($A108-'Recurring Schedule'!$F$13,'Recurring Schedule'!$N$13)=0,IF('Recurring Schedule'!$O$13&gt;0,AND(DAY($A108)=MIN(DAY('Recurring Schedule'!$F$13),DAY(EOMONTH($A108,0))),MOD((YEAR($A108)-YEAR('Recurring Schedule'!$F$13))*12+MONTH($A108)-MONTH('Recurring Schedule'!$F$13),'Recurring Schedule'!$O$13)=0),IF('Recurring Schedule'!$E$13="Weekdays",WEEKDAY($A108,2)&lt;=5,$A108='Recurring Schedule'!$F$13))),8,""))))</f>
        <v/>
      </c>
      <c r="J108">
        <f>IF('Recurring Schedule'!$C$14="","",IF('Recurring Schedule'!$F$14="","",IF(OR($A108&lt;'Recurring Schedule'!$F$14,$A108&gt;'Recurring Schedule'!$P$14),"",IF(IF('Recurring Schedule'!$N$14&gt;0,MOD($A108-'Recurring Schedule'!$F$14,'Recurring Schedule'!$N$14)=0,IF('Recurring Schedule'!$O$14&gt;0,AND(DAY($A108)=MIN(DAY('Recurring Schedule'!$F$14),DAY(EOMONTH($A108,0))),MOD((YEAR($A108)-YEAR('Recurring Schedule'!$F$14))*12+MONTH($A108)-MONTH('Recurring Schedule'!$F$14),'Recurring Schedule'!$O$14)=0),IF('Recurring Schedule'!$E$14="Weekdays",WEEKDAY($A108,2)&lt;=5,$A108='Recurring Schedule'!$F$14))),9,""))))</f>
        <v/>
      </c>
      <c r="K108">
        <f>IF('Recurring Schedule'!$C$15="","",IF('Recurring Schedule'!$F$15="","",IF(OR($A108&lt;'Recurring Schedule'!$F$15,$A108&gt;'Recurring Schedule'!$P$15),"",IF(IF('Recurring Schedule'!$N$15&gt;0,MOD($A108-'Recurring Schedule'!$F$15,'Recurring Schedule'!$N$15)=0,IF('Recurring Schedule'!$O$15&gt;0,AND(DAY($A108)=MIN(DAY('Recurring Schedule'!$F$15),DAY(EOMONTH($A108,0))),MOD((YEAR($A108)-YEAR('Recurring Schedule'!$F$15))*12+MONTH($A108)-MONTH('Recurring Schedule'!$F$15),'Recurring Schedule'!$O$15)=0),IF('Recurring Schedule'!$E$15="Weekdays",WEEKDAY($A108,2)&lt;=5,$A108='Recurring Schedule'!$F$15))),10,""))))</f>
        <v/>
      </c>
      <c r="L108">
        <f>IF('Recurring Schedule'!$C$16="","",IF('Recurring Schedule'!$F$16="","",IF(OR($A108&lt;'Recurring Schedule'!$F$16,$A108&gt;'Recurring Schedule'!$P$16),"",IF(IF('Recurring Schedule'!$N$16&gt;0,MOD($A108-'Recurring Schedule'!$F$16,'Recurring Schedule'!$N$16)=0,IF('Recurring Schedule'!$O$16&gt;0,AND(DAY($A108)=MIN(DAY('Recurring Schedule'!$F$16),DAY(EOMONTH($A108,0))),MOD((YEAR($A108)-YEAR('Recurring Schedule'!$F$16))*12+MONTH($A108)-MONTH('Recurring Schedule'!$F$16),'Recurring Schedule'!$O$16)=0),IF('Recurring Schedule'!$E$16="Weekdays",WEEKDAY($A108,2)&lt;=5,$A108='Recurring Schedule'!$F$16))),11,""))))</f>
        <v/>
      </c>
      <c r="M108">
        <f>IF('Recurring Schedule'!$C$17="","",IF('Recurring Schedule'!$F$17="","",IF(OR($A108&lt;'Recurring Schedule'!$F$17,$A108&gt;'Recurring Schedule'!$P$17),"",IF(IF('Recurring Schedule'!$N$17&gt;0,MOD($A108-'Recurring Schedule'!$F$17,'Recurring Schedule'!$N$17)=0,IF('Recurring Schedule'!$O$17&gt;0,AND(DAY($A108)=MIN(DAY('Recurring Schedule'!$F$17),DAY(EOMONTH($A108,0))),MOD((YEAR($A108)-YEAR('Recurring Schedule'!$F$17))*12+MONTH($A108)-MONTH('Recurring Schedule'!$F$17),'Recurring Schedule'!$O$17)=0),IF('Recurring Schedule'!$E$17="Weekdays",WEEKDAY($A108,2)&lt;=5,$A108='Recurring Schedule'!$F$17))),12,""))))</f>
        <v/>
      </c>
      <c r="N108">
        <f>IF('Recurring Schedule'!$C$18="","",IF('Recurring Schedule'!$F$18="","",IF(OR($A108&lt;'Recurring Schedule'!$F$18,$A108&gt;'Recurring Schedule'!$P$18),"",IF(IF('Recurring Schedule'!$N$18&gt;0,MOD($A108-'Recurring Schedule'!$F$18,'Recurring Schedule'!$N$18)=0,IF('Recurring Schedule'!$O$18&gt;0,AND(DAY($A108)=MIN(DAY('Recurring Schedule'!$F$18),DAY(EOMONTH($A108,0))),MOD((YEAR($A108)-YEAR('Recurring Schedule'!$F$18))*12+MONTH($A108)-MONTH('Recurring Schedule'!$F$18),'Recurring Schedule'!$O$18)=0),IF('Recurring Schedule'!$E$18="Weekdays",WEEKDAY($A108,2)&lt;=5,$A108='Recurring Schedule'!$F$18))),13,""))))</f>
        <v/>
      </c>
      <c r="O108">
        <f>IF('Recurring Schedule'!$C$19="","",IF('Recurring Schedule'!$F$19="","",IF(OR($A108&lt;'Recurring Schedule'!$F$19,$A108&gt;'Recurring Schedule'!$P$19),"",IF(IF('Recurring Schedule'!$N$19&gt;0,MOD($A108-'Recurring Schedule'!$F$19,'Recurring Schedule'!$N$19)=0,IF('Recurring Schedule'!$O$19&gt;0,AND(DAY($A108)=MIN(DAY('Recurring Schedule'!$F$19),DAY(EOMONTH($A108,0))),MOD((YEAR($A108)-YEAR('Recurring Schedule'!$F$19))*12+MONTH($A108)-MONTH('Recurring Schedule'!$F$19),'Recurring Schedule'!$O$19)=0),IF('Recurring Schedule'!$E$19="Weekdays",WEEKDAY($A108,2)&lt;=5,$A108='Recurring Schedule'!$F$19))),14,""))))</f>
        <v/>
      </c>
      <c r="P108">
        <f>IF('Recurring Schedule'!$C$20="","",IF('Recurring Schedule'!$F$20="","",IF(OR($A108&lt;'Recurring Schedule'!$F$20,$A108&gt;'Recurring Schedule'!$P$20),"",IF(IF('Recurring Schedule'!$N$20&gt;0,MOD($A108-'Recurring Schedule'!$F$20,'Recurring Schedule'!$N$20)=0,IF('Recurring Schedule'!$O$20&gt;0,AND(DAY($A108)=MIN(DAY('Recurring Schedule'!$F$20),DAY(EOMONTH($A108,0))),MOD((YEAR($A108)-YEAR('Recurring Schedule'!$F$20))*12+MONTH($A108)-MONTH('Recurring Schedule'!$F$20),'Recurring Schedule'!$O$20)=0),IF('Recurring Schedule'!$E$20="Weekdays",WEEKDAY($A108,2)&lt;=5,$A108='Recurring Schedule'!$F$20))),15,""))))</f>
        <v/>
      </c>
      <c r="Q108">
        <f>IF('Recurring Schedule'!$C$21="","",IF('Recurring Schedule'!$F$21="","",IF(OR($A108&lt;'Recurring Schedule'!$F$21,$A108&gt;'Recurring Schedule'!$P$21),"",IF(IF('Recurring Schedule'!$N$21&gt;0,MOD($A108-'Recurring Schedule'!$F$21,'Recurring Schedule'!$N$21)=0,IF('Recurring Schedule'!$O$21&gt;0,AND(DAY($A108)=MIN(DAY('Recurring Schedule'!$F$21),DAY(EOMONTH($A108,0))),MOD((YEAR($A108)-YEAR('Recurring Schedule'!$F$21))*12+MONTH($A108)-MONTH('Recurring Schedule'!$F$21),'Recurring Schedule'!$O$21)=0),IF('Recurring Schedule'!$E$21="Weekdays",WEEKDAY($A108,2)&lt;=5,$A108='Recurring Schedule'!$F$21))),16,""))))</f>
        <v/>
      </c>
      <c r="R108">
        <f>IF('Recurring Schedule'!$C$22="","",IF('Recurring Schedule'!$F$22="","",IF(OR($A108&lt;'Recurring Schedule'!$F$22,$A108&gt;'Recurring Schedule'!$P$22),"",IF(IF('Recurring Schedule'!$N$22&gt;0,MOD($A108-'Recurring Schedule'!$F$22,'Recurring Schedule'!$N$22)=0,IF('Recurring Schedule'!$O$22&gt;0,AND(DAY($A108)=MIN(DAY('Recurring Schedule'!$F$22),DAY(EOMONTH($A108,0))),MOD((YEAR($A108)-YEAR('Recurring Schedule'!$F$22))*12+MONTH($A108)-MONTH('Recurring Schedule'!$F$22),'Recurring Schedule'!$O$22)=0),IF('Recurring Schedule'!$E$22="Weekdays",WEEKDAY($A108,2)&lt;=5,$A108='Recurring Schedule'!$F$22))),17,""))))</f>
        <v/>
      </c>
      <c r="S108">
        <f>IF('Recurring Schedule'!$C$23="","",IF('Recurring Schedule'!$F$23="","",IF(OR($A108&lt;'Recurring Schedule'!$F$23,$A108&gt;'Recurring Schedule'!$P$23),"",IF(IF('Recurring Schedule'!$N$23&gt;0,MOD($A108-'Recurring Schedule'!$F$23,'Recurring Schedule'!$N$23)=0,IF('Recurring Schedule'!$O$23&gt;0,AND(DAY($A108)=MIN(DAY('Recurring Schedule'!$F$23),DAY(EOMONTH($A108,0))),MOD((YEAR($A108)-YEAR('Recurring Schedule'!$F$23))*12+MONTH($A108)-MONTH('Recurring Schedule'!$F$23),'Recurring Schedule'!$O$23)=0),IF('Recurring Schedule'!$E$23="Weekdays",WEEKDAY($A108,2)&lt;=5,$A108='Recurring Schedule'!$F$23))),18,""))))</f>
        <v/>
      </c>
      <c r="T108">
        <f>IF('Recurring Schedule'!$C$24="","",IF('Recurring Schedule'!$F$24="","",IF(OR($A108&lt;'Recurring Schedule'!$F$24,$A108&gt;'Recurring Schedule'!$P$24),"",IF(IF('Recurring Schedule'!$N$24&gt;0,MOD($A108-'Recurring Schedule'!$F$24,'Recurring Schedule'!$N$24)=0,IF('Recurring Schedule'!$O$24&gt;0,AND(DAY($A108)=MIN(DAY('Recurring Schedule'!$F$24),DAY(EOMONTH($A108,0))),MOD((YEAR($A108)-YEAR('Recurring Schedule'!$F$24))*12+MONTH($A108)-MONTH('Recurring Schedule'!$F$24),'Recurring Schedule'!$O$24)=0),IF('Recurring Schedule'!$E$24="Weekdays",WEEKDAY($A108,2)&lt;=5,$A108='Recurring Schedule'!$F$24))),19,""))))</f>
        <v/>
      </c>
      <c r="U108">
        <f>IF('Recurring Schedule'!$C$25="","",IF('Recurring Schedule'!$F$25="","",IF(OR($A108&lt;'Recurring Schedule'!$F$25,$A108&gt;'Recurring Schedule'!$P$25),"",IF(IF('Recurring Schedule'!$N$25&gt;0,MOD($A108-'Recurring Schedule'!$F$25,'Recurring Schedule'!$N$25)=0,IF('Recurring Schedule'!$O$25&gt;0,AND(DAY($A108)=MIN(DAY('Recurring Schedule'!$F$25),DAY(EOMONTH($A108,0))),MOD((YEAR($A108)-YEAR('Recurring Schedule'!$F$25))*12+MONTH($A108)-MONTH('Recurring Schedule'!$F$25),'Recurring Schedule'!$O$25)=0),IF('Recurring Schedule'!$E$25="Weekdays",WEEKDAY($A108,2)&lt;=5,$A108='Recurring Schedule'!$F$25))),20,""))))</f>
        <v/>
      </c>
      <c r="V108">
        <f>IF('Recurring Schedule'!$C$26="","",IF('Recurring Schedule'!$F$26="","",IF(OR($A108&lt;'Recurring Schedule'!$F$26,$A108&gt;'Recurring Schedule'!$P$26),"",IF(IF('Recurring Schedule'!$N$26&gt;0,MOD($A108-'Recurring Schedule'!$F$26,'Recurring Schedule'!$N$26)=0,IF('Recurring Schedule'!$O$26&gt;0,AND(DAY($A108)=MIN(DAY('Recurring Schedule'!$F$26),DAY(EOMONTH($A108,0))),MOD((YEAR($A108)-YEAR('Recurring Schedule'!$F$26))*12+MONTH($A108)-MONTH('Recurring Schedule'!$F$26),'Recurring Schedule'!$O$26)=0),IF('Recurring Schedule'!$E$26="Weekdays",WEEKDAY($A108,2)&lt;=5,$A108='Recurring Schedule'!$F$26))),21,""))))</f>
        <v/>
      </c>
      <c r="W108">
        <f>IF('Recurring Schedule'!$C$27="","",IF('Recurring Schedule'!$F$27="","",IF(OR($A108&lt;'Recurring Schedule'!$F$27,$A108&gt;'Recurring Schedule'!$P$27),"",IF(IF('Recurring Schedule'!$N$27&gt;0,MOD($A108-'Recurring Schedule'!$F$27,'Recurring Schedule'!$N$27)=0,IF('Recurring Schedule'!$O$27&gt;0,AND(DAY($A108)=MIN(DAY('Recurring Schedule'!$F$27),DAY(EOMONTH($A108,0))),MOD((YEAR($A108)-YEAR('Recurring Schedule'!$F$27))*12+MONTH($A108)-MONTH('Recurring Schedule'!$F$27),'Recurring Schedule'!$O$27)=0),IF('Recurring Schedule'!$E$27="Weekdays",WEEKDAY($A108,2)&lt;=5,$A108='Recurring Schedule'!$F$27))),22,""))))</f>
        <v/>
      </c>
      <c r="X108">
        <f>IF('Recurring Schedule'!$C$28="","",IF('Recurring Schedule'!$F$28="","",IF(OR($A108&lt;'Recurring Schedule'!$F$28,$A108&gt;'Recurring Schedule'!$P$28),"",IF(IF('Recurring Schedule'!$N$28&gt;0,MOD($A108-'Recurring Schedule'!$F$28,'Recurring Schedule'!$N$28)=0,IF('Recurring Schedule'!$O$28&gt;0,AND(DAY($A108)=MIN(DAY('Recurring Schedule'!$F$28),DAY(EOMONTH($A108,0))),MOD((YEAR($A108)-YEAR('Recurring Schedule'!$F$28))*12+MONTH($A108)-MONTH('Recurring Schedule'!$F$28),'Recurring Schedule'!$O$28)=0),IF('Recurring Schedule'!$E$28="Weekdays",WEEKDAY($A108,2)&lt;=5,$A108='Recurring Schedule'!$F$28))),23,""))))</f>
        <v/>
      </c>
      <c r="Y108">
        <f>IF('Recurring Schedule'!$C$29="","",IF('Recurring Schedule'!$F$29="","",IF(OR($A108&lt;'Recurring Schedule'!$F$29,$A108&gt;'Recurring Schedule'!$P$29),"",IF(IF('Recurring Schedule'!$N$29&gt;0,MOD($A108-'Recurring Schedule'!$F$29,'Recurring Schedule'!$N$29)=0,IF('Recurring Schedule'!$O$29&gt;0,AND(DAY($A108)=MIN(DAY('Recurring Schedule'!$F$29),DAY(EOMONTH($A108,0))),MOD((YEAR($A108)-YEAR('Recurring Schedule'!$F$29))*12+MONTH($A108)-MONTH('Recurring Schedule'!$F$29),'Recurring Schedule'!$O$29)=0),IF('Recurring Schedule'!$E$29="Weekdays",WEEKDAY($A108,2)&lt;=5,$A108='Recurring Schedule'!$F$29))),24,""))))</f>
        <v/>
      </c>
      <c r="Z108">
        <f>IF('Recurring Schedule'!$C$30="","",IF('Recurring Schedule'!$F$30="","",IF(OR($A108&lt;'Recurring Schedule'!$F$30,$A108&gt;'Recurring Schedule'!$P$30),"",IF(IF('Recurring Schedule'!$N$30&gt;0,MOD($A108-'Recurring Schedule'!$F$30,'Recurring Schedule'!$N$30)=0,IF('Recurring Schedule'!$O$30&gt;0,AND(DAY($A108)=MIN(DAY('Recurring Schedule'!$F$30),DAY(EOMONTH($A108,0))),MOD((YEAR($A108)-YEAR('Recurring Schedule'!$F$30))*12+MONTH($A108)-MONTH('Recurring Schedule'!$F$30),'Recurring Schedule'!$O$30)=0),IF('Recurring Schedule'!$E$30="Weekdays",WEEKDAY($A108,2)&lt;=5,$A108='Recurring Schedule'!$F$30))),25,""))))</f>
        <v/>
      </c>
      <c r="AA108">
        <f>IF('Recurring Schedule'!$C$31="","",IF('Recurring Schedule'!$F$31="","",IF(OR($A108&lt;'Recurring Schedule'!$F$31,$A108&gt;'Recurring Schedule'!$P$31),"",IF(IF('Recurring Schedule'!$N$31&gt;0,MOD($A108-'Recurring Schedule'!$F$31,'Recurring Schedule'!$N$31)=0,IF('Recurring Schedule'!$O$31&gt;0,AND(DAY($A108)=MIN(DAY('Recurring Schedule'!$F$31),DAY(EOMONTH($A108,0))),MOD((YEAR($A108)-YEAR('Recurring Schedule'!$F$31))*12+MONTH($A108)-MONTH('Recurring Schedule'!$F$31),'Recurring Schedule'!$O$31)=0),IF('Recurring Schedule'!$E$31="Weekdays",WEEKDAY($A108,2)&lt;=5,$A108='Recurring Schedule'!$F$31))),26,""))))</f>
        <v/>
      </c>
      <c r="AB108">
        <f>IF('Recurring Schedule'!$C$32="","",IF('Recurring Schedule'!$F$32="","",IF(OR($A108&lt;'Recurring Schedule'!$F$32,$A108&gt;'Recurring Schedule'!$P$32),"",IF(IF('Recurring Schedule'!$N$32&gt;0,MOD($A108-'Recurring Schedule'!$F$32,'Recurring Schedule'!$N$32)=0,IF('Recurring Schedule'!$O$32&gt;0,AND(DAY($A108)=MIN(DAY('Recurring Schedule'!$F$32),DAY(EOMONTH($A108,0))),MOD((YEAR($A108)-YEAR('Recurring Schedule'!$F$32))*12+MONTH($A108)-MONTH('Recurring Schedule'!$F$32),'Recurring Schedule'!$O$32)=0),IF('Recurring Schedule'!$E$32="Weekdays",WEEKDAY($A108,2)&lt;=5,$A108='Recurring Schedule'!$F$32))),27,""))))</f>
        <v/>
      </c>
      <c r="AC108">
        <f>IF('Recurring Schedule'!$C$33="","",IF('Recurring Schedule'!$F$33="","",IF(OR($A108&lt;'Recurring Schedule'!$F$33,$A108&gt;'Recurring Schedule'!$P$33),"",IF(IF('Recurring Schedule'!$N$33&gt;0,MOD($A108-'Recurring Schedule'!$F$33,'Recurring Schedule'!$N$33)=0,IF('Recurring Schedule'!$O$33&gt;0,AND(DAY($A108)=MIN(DAY('Recurring Schedule'!$F$33),DAY(EOMONTH($A108,0))),MOD((YEAR($A108)-YEAR('Recurring Schedule'!$F$33))*12+MONTH($A108)-MONTH('Recurring Schedule'!$F$33),'Recurring Schedule'!$O$33)=0),IF('Recurring Schedule'!$E$33="Weekdays",WEEKDAY($A108,2)&lt;=5,$A108='Recurring Schedule'!$F$33))),28,""))))</f>
        <v/>
      </c>
      <c r="AD108">
        <f>IF('Recurring Schedule'!$C$34="","",IF('Recurring Schedule'!$F$34="","",IF(OR($A108&lt;'Recurring Schedule'!$F$34,$A108&gt;'Recurring Schedule'!$P$34),"",IF(IF('Recurring Schedule'!$N$34&gt;0,MOD($A108-'Recurring Schedule'!$F$34,'Recurring Schedule'!$N$34)=0,IF('Recurring Schedule'!$O$34&gt;0,AND(DAY($A108)=MIN(DAY('Recurring Schedule'!$F$34),DAY(EOMONTH($A108,0))),MOD((YEAR($A108)-YEAR('Recurring Schedule'!$F$34))*12+MONTH($A108)-MONTH('Recurring Schedule'!$F$34),'Recurring Schedule'!$O$34)=0),IF('Recurring Schedule'!$E$34="Weekdays",WEEKDAY($A108,2)&lt;=5,$A108='Recurring Schedule'!$F$34))),29,""))))</f>
        <v/>
      </c>
      <c r="AE108">
        <f>IF('Recurring Schedule'!$C$35="","",IF('Recurring Schedule'!$F$35="","",IF(OR($A108&lt;'Recurring Schedule'!$F$35,$A108&gt;'Recurring Schedule'!$P$35),"",IF(IF('Recurring Schedule'!$N$35&gt;0,MOD($A108-'Recurring Schedule'!$F$35,'Recurring Schedule'!$N$35)=0,IF('Recurring Schedule'!$O$35&gt;0,AND(DAY($A108)=MIN(DAY('Recurring Schedule'!$F$35),DAY(EOMONTH($A108,0))),MOD((YEAR($A108)-YEAR('Recurring Schedule'!$F$35))*12+MONTH($A108)-MONTH('Recurring Schedule'!$F$35),'Recurring Schedule'!$O$35)=0),IF('Recurring Schedule'!$E$35="Weekdays",WEEKDAY($A108,2)&lt;=5,$A108='Recurring Schedule'!$F$35))),30,""))))</f>
        <v/>
      </c>
      <c r="AF108">
        <f>IF('Recurring Schedule'!$C$36="","",IF('Recurring Schedule'!$F$36="","",IF(OR($A108&lt;'Recurring Schedule'!$F$36,$A108&gt;'Recurring Schedule'!$P$36),"",IF(IF('Recurring Schedule'!$N$36&gt;0,MOD($A108-'Recurring Schedule'!$F$36,'Recurring Schedule'!$N$36)=0,IF('Recurring Schedule'!$O$36&gt;0,AND(DAY($A108)=MIN(DAY('Recurring Schedule'!$F$36),DAY(EOMONTH($A108,0))),MOD((YEAR($A108)-YEAR('Recurring Schedule'!$F$36))*12+MONTH($A108)-MONTH('Recurring Schedule'!$F$36),'Recurring Schedule'!$O$36)=0),IF('Recurring Schedule'!$E$36="Weekdays",WEEKDAY($A108,2)&lt;=5,$A108='Recurring Schedule'!$F$36))),31,""))))</f>
        <v/>
      </c>
      <c r="AG108">
        <f>IF('Recurring Schedule'!$C$37="","",IF('Recurring Schedule'!$F$37="","",IF(OR($A108&lt;'Recurring Schedule'!$F$37,$A108&gt;'Recurring Schedule'!$P$37),"",IF(IF('Recurring Schedule'!$N$37&gt;0,MOD($A108-'Recurring Schedule'!$F$37,'Recurring Schedule'!$N$37)=0,IF('Recurring Schedule'!$O$37&gt;0,AND(DAY($A108)=MIN(DAY('Recurring Schedule'!$F$37),DAY(EOMONTH($A108,0))),MOD((YEAR($A108)-YEAR('Recurring Schedule'!$F$37))*12+MONTH($A108)-MONTH('Recurring Schedule'!$F$37),'Recurring Schedule'!$O$37)=0),IF('Recurring Schedule'!$E$37="Weekdays",WEEKDAY($A108,2)&lt;=5,$A108='Recurring Schedule'!$F$37))),32,""))))</f>
        <v/>
      </c>
      <c r="AH108">
        <f>IF('Recurring Schedule'!$C$38="","",IF('Recurring Schedule'!$F$38="","",IF(OR($A108&lt;'Recurring Schedule'!$F$38,$A108&gt;'Recurring Schedule'!$P$38),"",IF(IF('Recurring Schedule'!$N$38&gt;0,MOD($A108-'Recurring Schedule'!$F$38,'Recurring Schedule'!$N$38)=0,IF('Recurring Schedule'!$O$38&gt;0,AND(DAY($A108)=MIN(DAY('Recurring Schedule'!$F$38),DAY(EOMONTH($A108,0))),MOD((YEAR($A108)-YEAR('Recurring Schedule'!$F$38))*12+MONTH($A108)-MONTH('Recurring Schedule'!$F$38),'Recurring Schedule'!$O$38)=0),IF('Recurring Schedule'!$E$38="Weekdays",WEEKDAY($A108,2)&lt;=5,$A108='Recurring Schedule'!$F$38))),33,""))))</f>
        <v/>
      </c>
      <c r="AI108">
        <f>IF('Recurring Schedule'!$C$39="","",IF('Recurring Schedule'!$F$39="","",IF(OR($A108&lt;'Recurring Schedule'!$F$39,$A108&gt;'Recurring Schedule'!$P$39),"",IF(IF('Recurring Schedule'!$N$39&gt;0,MOD($A108-'Recurring Schedule'!$F$39,'Recurring Schedule'!$N$39)=0,IF('Recurring Schedule'!$O$39&gt;0,AND(DAY($A108)=MIN(DAY('Recurring Schedule'!$F$39),DAY(EOMONTH($A108,0))),MOD((YEAR($A108)-YEAR('Recurring Schedule'!$F$39))*12+MONTH($A108)-MONTH('Recurring Schedule'!$F$39),'Recurring Schedule'!$O$39)=0),IF('Recurring Schedule'!$E$39="Weekdays",WEEKDAY($A108,2)&lt;=5,$A108='Recurring Schedule'!$F$39))),34,""))))</f>
        <v/>
      </c>
      <c r="AJ108">
        <f>IF('Recurring Schedule'!$C$40="","",IF('Recurring Schedule'!$F$40="","",IF(OR($A108&lt;'Recurring Schedule'!$F$40,$A108&gt;'Recurring Schedule'!$P$40),"",IF(IF('Recurring Schedule'!$N$40&gt;0,MOD($A108-'Recurring Schedule'!$F$40,'Recurring Schedule'!$N$40)=0,IF('Recurring Schedule'!$O$40&gt;0,AND(DAY($A108)=MIN(DAY('Recurring Schedule'!$F$40),DAY(EOMONTH($A108,0))),MOD((YEAR($A108)-YEAR('Recurring Schedule'!$F$40))*12+MONTH($A108)-MONTH('Recurring Schedule'!$F$40),'Recurring Schedule'!$O$40)=0),IF('Recurring Schedule'!$E$40="Weekdays",WEEKDAY($A108,2)&lt;=5,$A108='Recurring Schedule'!$F$40))),35,""))))</f>
        <v/>
      </c>
      <c r="AK108">
        <f>IF('Recurring Schedule'!$C$41="","",IF('Recurring Schedule'!$F$41="","",IF(OR($A108&lt;'Recurring Schedule'!$F$41,$A108&gt;'Recurring Schedule'!$P$41),"",IF(IF('Recurring Schedule'!$N$41&gt;0,MOD($A108-'Recurring Schedule'!$F$41,'Recurring Schedule'!$N$41)=0,IF('Recurring Schedule'!$O$41&gt;0,AND(DAY($A108)=MIN(DAY('Recurring Schedule'!$F$41),DAY(EOMONTH($A108,0))),MOD((YEAR($A108)-YEAR('Recurring Schedule'!$F$41))*12+MONTH($A108)-MONTH('Recurring Schedule'!$F$41),'Recurring Schedule'!$O$41)=0),IF('Recurring Schedule'!$E$41="Weekdays",WEEKDAY($A108,2)&lt;=5,$A108='Recurring Schedule'!$F$41))),36,""))))</f>
        <v/>
      </c>
      <c r="AL108">
        <f>IF('Recurring Schedule'!$C$42="","",IF('Recurring Schedule'!$F$42="","",IF(OR($A108&lt;'Recurring Schedule'!$F$42,$A108&gt;'Recurring Schedule'!$P$42),"",IF(IF('Recurring Schedule'!$N$42&gt;0,MOD($A108-'Recurring Schedule'!$F$42,'Recurring Schedule'!$N$42)=0,IF('Recurring Schedule'!$O$42&gt;0,AND(DAY($A108)=MIN(DAY('Recurring Schedule'!$F$42),DAY(EOMONTH($A108,0))),MOD((YEAR($A108)-YEAR('Recurring Schedule'!$F$42))*12+MONTH($A108)-MONTH('Recurring Schedule'!$F$42),'Recurring Schedule'!$O$42)=0),IF('Recurring Schedule'!$E$42="Weekdays",WEEKDAY($A108,2)&lt;=5,$A108='Recurring Schedule'!$F$42))),37,""))))</f>
        <v/>
      </c>
      <c r="AM108">
        <f>IF('Recurring Schedule'!$C$43="","",IF('Recurring Schedule'!$F$43="","",IF(OR($A108&lt;'Recurring Schedule'!$F$43,$A108&gt;'Recurring Schedule'!$P$43),"",IF(IF('Recurring Schedule'!$N$43&gt;0,MOD($A108-'Recurring Schedule'!$F$43,'Recurring Schedule'!$N$43)=0,IF('Recurring Schedule'!$O$43&gt;0,AND(DAY($A108)=MIN(DAY('Recurring Schedule'!$F$43),DAY(EOMONTH($A108,0))),MOD((YEAR($A108)-YEAR('Recurring Schedule'!$F$43))*12+MONTH($A108)-MONTH('Recurring Schedule'!$F$43),'Recurring Schedule'!$O$43)=0),IF('Recurring Schedule'!$E$43="Weekdays",WEEKDAY($A108,2)&lt;=5,$A108='Recurring Schedule'!$F$43))),38,""))))</f>
        <v/>
      </c>
      <c r="AN108">
        <f>IF('Recurring Schedule'!$C$44="","",IF('Recurring Schedule'!$F$44="","",IF(OR($A108&lt;'Recurring Schedule'!$F$44,$A108&gt;'Recurring Schedule'!$P$44),"",IF(IF('Recurring Schedule'!$N$44&gt;0,MOD($A108-'Recurring Schedule'!$F$44,'Recurring Schedule'!$N$44)=0,IF('Recurring Schedule'!$O$44&gt;0,AND(DAY($A108)=MIN(DAY('Recurring Schedule'!$F$44),DAY(EOMONTH($A108,0))),MOD((YEAR($A108)-YEAR('Recurring Schedule'!$F$44))*12+MONTH($A108)-MONTH('Recurring Schedule'!$F$44),'Recurring Schedule'!$O$44)=0),IF('Recurring Schedule'!$E$44="Weekdays",WEEKDAY($A108,2)&lt;=5,$A108='Recurring Schedule'!$F$44))),39,""))))</f>
        <v/>
      </c>
      <c r="AO108">
        <f>IF('Recurring Schedule'!$C$45="","",IF('Recurring Schedule'!$F$45="","",IF(OR($A108&lt;'Recurring Schedule'!$F$45,$A108&gt;'Recurring Schedule'!$P$45),"",IF(IF('Recurring Schedule'!$N$45&gt;0,MOD($A108-'Recurring Schedule'!$F$45,'Recurring Schedule'!$N$45)=0,IF('Recurring Schedule'!$O$45&gt;0,AND(DAY($A108)=MIN(DAY('Recurring Schedule'!$F$45),DAY(EOMONTH($A108,0))),MOD((YEAR($A108)-YEAR('Recurring Schedule'!$F$45))*12+MONTH($A108)-MONTH('Recurring Schedule'!$F$45),'Recurring Schedule'!$O$45)=0),IF('Recurring Schedule'!$E$45="Weekdays",WEEKDAY($A108,2)&lt;=5,$A108='Recurring Schedule'!$F$45))),40,""))))</f>
        <v/>
      </c>
      <c r="AP108">
        <f>COUNT(B108:AO108)</f>
        <v/>
      </c>
      <c r="AQ108">
        <f>AQ107+AP107</f>
        <v/>
      </c>
      <c r="AS108" t="inlineStr">
        <is>
          <t>R</t>
        </is>
      </c>
      <c r="AT108" t="n">
        <v>112</v>
      </c>
      <c r="AU108">
        <f>'Recurring Log'!C112&amp;""</f>
        <v/>
      </c>
      <c r="AV108">
        <f>'Recurring Log'!D112&amp;""</f>
        <v/>
      </c>
      <c r="AW108">
        <f>IF('Recurring Log'!E112="","",'Recurring Log'!E112)</f>
        <v/>
      </c>
      <c r="AX108">
        <f>IF('Recurring Log'!G112="","",'Recurring Log'!G112)</f>
        <v/>
      </c>
      <c r="AY108">
        <f>IF('Recurring Log'!H112="","",'Recurring Log'!H112)</f>
        <v/>
      </c>
      <c r="AZ108">
        <f>IF(AU108="","",IF('Recurring Log'!J112="","Not Started",'Recurring Log'!J112))</f>
        <v/>
      </c>
      <c r="BA108">
        <f>'Recurring Log'!L112&amp;""</f>
        <v/>
      </c>
      <c r="BB108">
        <f>'Recurring Log'!M112&amp;""</f>
        <v/>
      </c>
      <c r="BC108">
        <f>'Recurring Log'!N112&amp;""</f>
        <v/>
      </c>
      <c r="BD108">
        <f>'Recurring Log'!O112&amp;""</f>
        <v/>
      </c>
      <c r="BE108">
        <f>IF('Recurring Log'!K112="","",'Recurring Log'!K112)</f>
        <v/>
      </c>
      <c r="BF108">
        <f>IFERROR(MATCH(BA108,Setup!$L$6:$L$9,0),5)</f>
        <v/>
      </c>
      <c r="BG108">
        <f>IF(OR(AZ108="Done",AZ108="Cancelled"),1,0)</f>
        <v/>
      </c>
      <c r="BH108">
        <f>IF(AND(AU108&lt;&gt;"",ISNUMBER(AW108)),1,0)</f>
        <v/>
      </c>
      <c r="BI108">
        <f>IF(BH108=0,0,IF(AND(AW108&gt;='Tasks Filter'!$F$3,AW108&lt;='Tasks Filter'!$F$4,OR('Tasks Filter'!$I$3="",ISNUMBER(SEARCH('Tasks Filter'!$I$3,AU108))),OR('Tasks Filter'!$I$4="",BF108=IFERROR(MATCH('Tasks Filter'!$I$4,Setup!$L$6:$L$9,0),0)),OR('Tasks Filter'!$I$5="Both",AND('Tasks Filter'!$I$5="Yes",BB108="✓"),AND('Tasks Filter'!$I$5="No",BB108&lt;&gt;"✓")),OR('Tasks Filter'!$L$3="",AV108='Tasks Filter'!$L$3),OR('Tasks Filter'!$L$4="",AZ108='Tasks Filter'!$L$4),OR('Tasks Filter'!$L$5="",BC108='Tasks Filter'!$L$5),OR('Tasks Filter'!$O$3="",BD108='Tasks Filter'!$O$3),OR('Tasks Filter'!$O$4="Yes",BG108=0)),1,0))</f>
        <v/>
      </c>
      <c r="BJ108">
        <f>IF(BH108=0,"",IF('Tasks Filter'!$F$6="Descending",-1,1)*CHOOSE(MATCH('Tasks Filter'!$F$5,Lists!$G$2:$G$6,0),AW108,BF108,IFERROR(MATCH(AV108,Setup!$F$6:$F$15,0),99),IFERROR(MATCH(BC108,Setup!$H$6:$H$15,0),99),IFERROR(MATCH(AZ108,Setup!$J$6:$J$11,0),99))*1E+9+(AW108-40000)*10000+107)</f>
        <v/>
      </c>
      <c r="BK108">
        <f>IF(BI108=1,BJ108,"")</f>
        <v/>
      </c>
      <c r="BL108">
        <f>IF(AND(BH108=1,BG108=0,N(AW108)&lt;Setup!$D$7),(AW108-40000)*10000+107,"")</f>
        <v/>
      </c>
      <c r="BM108">
        <f>IF(AND(BH108=1,AZ108&lt;&gt;"Cancelled",N(AW108)&gt;=Dashboard!$AB$3,N(AW108)&lt;=Dashboard!$AB$3+6),(AW108-40000)*100000+BF108*10000+107,"")</f>
        <v/>
      </c>
      <c r="BN108">
        <f>IF(AND(BH108=1,AZ108&lt;&gt;"Cancelled"),BF108*10000+107,"")</f>
        <v/>
      </c>
    </row>
    <row r="109">
      <c r="A109">
        <f>Setup!$D$5+107</f>
        <v/>
      </c>
      <c r="B109">
        <f>IF('Recurring Schedule'!$C$6="","",IF('Recurring Schedule'!$F$6="","",IF(OR($A109&lt;'Recurring Schedule'!$F$6,$A109&gt;'Recurring Schedule'!$P$6),"",IF(IF('Recurring Schedule'!$N$6&gt;0,MOD($A109-'Recurring Schedule'!$F$6,'Recurring Schedule'!$N$6)=0,IF('Recurring Schedule'!$O$6&gt;0,AND(DAY($A109)=MIN(DAY('Recurring Schedule'!$F$6),DAY(EOMONTH($A109,0))),MOD((YEAR($A109)-YEAR('Recurring Schedule'!$F$6))*12+MONTH($A109)-MONTH('Recurring Schedule'!$F$6),'Recurring Schedule'!$O$6)=0),IF('Recurring Schedule'!$E$6="Weekdays",WEEKDAY($A109,2)&lt;=5,$A109='Recurring Schedule'!$F$6))),1,""))))</f>
        <v/>
      </c>
      <c r="C109">
        <f>IF('Recurring Schedule'!$C$7="","",IF('Recurring Schedule'!$F$7="","",IF(OR($A109&lt;'Recurring Schedule'!$F$7,$A109&gt;'Recurring Schedule'!$P$7),"",IF(IF('Recurring Schedule'!$N$7&gt;0,MOD($A109-'Recurring Schedule'!$F$7,'Recurring Schedule'!$N$7)=0,IF('Recurring Schedule'!$O$7&gt;0,AND(DAY($A109)=MIN(DAY('Recurring Schedule'!$F$7),DAY(EOMONTH($A109,0))),MOD((YEAR($A109)-YEAR('Recurring Schedule'!$F$7))*12+MONTH($A109)-MONTH('Recurring Schedule'!$F$7),'Recurring Schedule'!$O$7)=0),IF('Recurring Schedule'!$E$7="Weekdays",WEEKDAY($A109,2)&lt;=5,$A109='Recurring Schedule'!$F$7))),2,""))))</f>
        <v/>
      </c>
      <c r="D109">
        <f>IF('Recurring Schedule'!$C$8="","",IF('Recurring Schedule'!$F$8="","",IF(OR($A109&lt;'Recurring Schedule'!$F$8,$A109&gt;'Recurring Schedule'!$P$8),"",IF(IF('Recurring Schedule'!$N$8&gt;0,MOD($A109-'Recurring Schedule'!$F$8,'Recurring Schedule'!$N$8)=0,IF('Recurring Schedule'!$O$8&gt;0,AND(DAY($A109)=MIN(DAY('Recurring Schedule'!$F$8),DAY(EOMONTH($A109,0))),MOD((YEAR($A109)-YEAR('Recurring Schedule'!$F$8))*12+MONTH($A109)-MONTH('Recurring Schedule'!$F$8),'Recurring Schedule'!$O$8)=0),IF('Recurring Schedule'!$E$8="Weekdays",WEEKDAY($A109,2)&lt;=5,$A109='Recurring Schedule'!$F$8))),3,""))))</f>
        <v/>
      </c>
      <c r="E109">
        <f>IF('Recurring Schedule'!$C$9="","",IF('Recurring Schedule'!$F$9="","",IF(OR($A109&lt;'Recurring Schedule'!$F$9,$A109&gt;'Recurring Schedule'!$P$9),"",IF(IF('Recurring Schedule'!$N$9&gt;0,MOD($A109-'Recurring Schedule'!$F$9,'Recurring Schedule'!$N$9)=0,IF('Recurring Schedule'!$O$9&gt;0,AND(DAY($A109)=MIN(DAY('Recurring Schedule'!$F$9),DAY(EOMONTH($A109,0))),MOD((YEAR($A109)-YEAR('Recurring Schedule'!$F$9))*12+MONTH($A109)-MONTH('Recurring Schedule'!$F$9),'Recurring Schedule'!$O$9)=0),IF('Recurring Schedule'!$E$9="Weekdays",WEEKDAY($A109,2)&lt;=5,$A109='Recurring Schedule'!$F$9))),4,""))))</f>
        <v/>
      </c>
      <c r="F109">
        <f>IF('Recurring Schedule'!$C$10="","",IF('Recurring Schedule'!$F$10="","",IF(OR($A109&lt;'Recurring Schedule'!$F$10,$A109&gt;'Recurring Schedule'!$P$10),"",IF(IF('Recurring Schedule'!$N$10&gt;0,MOD($A109-'Recurring Schedule'!$F$10,'Recurring Schedule'!$N$10)=0,IF('Recurring Schedule'!$O$10&gt;0,AND(DAY($A109)=MIN(DAY('Recurring Schedule'!$F$10),DAY(EOMONTH($A109,0))),MOD((YEAR($A109)-YEAR('Recurring Schedule'!$F$10))*12+MONTH($A109)-MONTH('Recurring Schedule'!$F$10),'Recurring Schedule'!$O$10)=0),IF('Recurring Schedule'!$E$10="Weekdays",WEEKDAY($A109,2)&lt;=5,$A109='Recurring Schedule'!$F$10))),5,""))))</f>
        <v/>
      </c>
      <c r="G109">
        <f>IF('Recurring Schedule'!$C$11="","",IF('Recurring Schedule'!$F$11="","",IF(OR($A109&lt;'Recurring Schedule'!$F$11,$A109&gt;'Recurring Schedule'!$P$11),"",IF(IF('Recurring Schedule'!$N$11&gt;0,MOD($A109-'Recurring Schedule'!$F$11,'Recurring Schedule'!$N$11)=0,IF('Recurring Schedule'!$O$11&gt;0,AND(DAY($A109)=MIN(DAY('Recurring Schedule'!$F$11),DAY(EOMONTH($A109,0))),MOD((YEAR($A109)-YEAR('Recurring Schedule'!$F$11))*12+MONTH($A109)-MONTH('Recurring Schedule'!$F$11),'Recurring Schedule'!$O$11)=0),IF('Recurring Schedule'!$E$11="Weekdays",WEEKDAY($A109,2)&lt;=5,$A109='Recurring Schedule'!$F$11))),6,""))))</f>
        <v/>
      </c>
      <c r="H109">
        <f>IF('Recurring Schedule'!$C$12="","",IF('Recurring Schedule'!$F$12="","",IF(OR($A109&lt;'Recurring Schedule'!$F$12,$A109&gt;'Recurring Schedule'!$P$12),"",IF(IF('Recurring Schedule'!$N$12&gt;0,MOD($A109-'Recurring Schedule'!$F$12,'Recurring Schedule'!$N$12)=0,IF('Recurring Schedule'!$O$12&gt;0,AND(DAY($A109)=MIN(DAY('Recurring Schedule'!$F$12),DAY(EOMONTH($A109,0))),MOD((YEAR($A109)-YEAR('Recurring Schedule'!$F$12))*12+MONTH($A109)-MONTH('Recurring Schedule'!$F$12),'Recurring Schedule'!$O$12)=0),IF('Recurring Schedule'!$E$12="Weekdays",WEEKDAY($A109,2)&lt;=5,$A109='Recurring Schedule'!$F$12))),7,""))))</f>
        <v/>
      </c>
      <c r="I109">
        <f>IF('Recurring Schedule'!$C$13="","",IF('Recurring Schedule'!$F$13="","",IF(OR($A109&lt;'Recurring Schedule'!$F$13,$A109&gt;'Recurring Schedule'!$P$13),"",IF(IF('Recurring Schedule'!$N$13&gt;0,MOD($A109-'Recurring Schedule'!$F$13,'Recurring Schedule'!$N$13)=0,IF('Recurring Schedule'!$O$13&gt;0,AND(DAY($A109)=MIN(DAY('Recurring Schedule'!$F$13),DAY(EOMONTH($A109,0))),MOD((YEAR($A109)-YEAR('Recurring Schedule'!$F$13))*12+MONTH($A109)-MONTH('Recurring Schedule'!$F$13),'Recurring Schedule'!$O$13)=0),IF('Recurring Schedule'!$E$13="Weekdays",WEEKDAY($A109,2)&lt;=5,$A109='Recurring Schedule'!$F$13))),8,""))))</f>
        <v/>
      </c>
      <c r="J109">
        <f>IF('Recurring Schedule'!$C$14="","",IF('Recurring Schedule'!$F$14="","",IF(OR($A109&lt;'Recurring Schedule'!$F$14,$A109&gt;'Recurring Schedule'!$P$14),"",IF(IF('Recurring Schedule'!$N$14&gt;0,MOD($A109-'Recurring Schedule'!$F$14,'Recurring Schedule'!$N$14)=0,IF('Recurring Schedule'!$O$14&gt;0,AND(DAY($A109)=MIN(DAY('Recurring Schedule'!$F$14),DAY(EOMONTH($A109,0))),MOD((YEAR($A109)-YEAR('Recurring Schedule'!$F$14))*12+MONTH($A109)-MONTH('Recurring Schedule'!$F$14),'Recurring Schedule'!$O$14)=0),IF('Recurring Schedule'!$E$14="Weekdays",WEEKDAY($A109,2)&lt;=5,$A109='Recurring Schedule'!$F$14))),9,""))))</f>
        <v/>
      </c>
      <c r="K109">
        <f>IF('Recurring Schedule'!$C$15="","",IF('Recurring Schedule'!$F$15="","",IF(OR($A109&lt;'Recurring Schedule'!$F$15,$A109&gt;'Recurring Schedule'!$P$15),"",IF(IF('Recurring Schedule'!$N$15&gt;0,MOD($A109-'Recurring Schedule'!$F$15,'Recurring Schedule'!$N$15)=0,IF('Recurring Schedule'!$O$15&gt;0,AND(DAY($A109)=MIN(DAY('Recurring Schedule'!$F$15),DAY(EOMONTH($A109,0))),MOD((YEAR($A109)-YEAR('Recurring Schedule'!$F$15))*12+MONTH($A109)-MONTH('Recurring Schedule'!$F$15),'Recurring Schedule'!$O$15)=0),IF('Recurring Schedule'!$E$15="Weekdays",WEEKDAY($A109,2)&lt;=5,$A109='Recurring Schedule'!$F$15))),10,""))))</f>
        <v/>
      </c>
      <c r="L109">
        <f>IF('Recurring Schedule'!$C$16="","",IF('Recurring Schedule'!$F$16="","",IF(OR($A109&lt;'Recurring Schedule'!$F$16,$A109&gt;'Recurring Schedule'!$P$16),"",IF(IF('Recurring Schedule'!$N$16&gt;0,MOD($A109-'Recurring Schedule'!$F$16,'Recurring Schedule'!$N$16)=0,IF('Recurring Schedule'!$O$16&gt;0,AND(DAY($A109)=MIN(DAY('Recurring Schedule'!$F$16),DAY(EOMONTH($A109,0))),MOD((YEAR($A109)-YEAR('Recurring Schedule'!$F$16))*12+MONTH($A109)-MONTH('Recurring Schedule'!$F$16),'Recurring Schedule'!$O$16)=0),IF('Recurring Schedule'!$E$16="Weekdays",WEEKDAY($A109,2)&lt;=5,$A109='Recurring Schedule'!$F$16))),11,""))))</f>
        <v/>
      </c>
      <c r="M109">
        <f>IF('Recurring Schedule'!$C$17="","",IF('Recurring Schedule'!$F$17="","",IF(OR($A109&lt;'Recurring Schedule'!$F$17,$A109&gt;'Recurring Schedule'!$P$17),"",IF(IF('Recurring Schedule'!$N$17&gt;0,MOD($A109-'Recurring Schedule'!$F$17,'Recurring Schedule'!$N$17)=0,IF('Recurring Schedule'!$O$17&gt;0,AND(DAY($A109)=MIN(DAY('Recurring Schedule'!$F$17),DAY(EOMONTH($A109,0))),MOD((YEAR($A109)-YEAR('Recurring Schedule'!$F$17))*12+MONTH($A109)-MONTH('Recurring Schedule'!$F$17),'Recurring Schedule'!$O$17)=0),IF('Recurring Schedule'!$E$17="Weekdays",WEEKDAY($A109,2)&lt;=5,$A109='Recurring Schedule'!$F$17))),12,""))))</f>
        <v/>
      </c>
      <c r="N109">
        <f>IF('Recurring Schedule'!$C$18="","",IF('Recurring Schedule'!$F$18="","",IF(OR($A109&lt;'Recurring Schedule'!$F$18,$A109&gt;'Recurring Schedule'!$P$18),"",IF(IF('Recurring Schedule'!$N$18&gt;0,MOD($A109-'Recurring Schedule'!$F$18,'Recurring Schedule'!$N$18)=0,IF('Recurring Schedule'!$O$18&gt;0,AND(DAY($A109)=MIN(DAY('Recurring Schedule'!$F$18),DAY(EOMONTH($A109,0))),MOD((YEAR($A109)-YEAR('Recurring Schedule'!$F$18))*12+MONTH($A109)-MONTH('Recurring Schedule'!$F$18),'Recurring Schedule'!$O$18)=0),IF('Recurring Schedule'!$E$18="Weekdays",WEEKDAY($A109,2)&lt;=5,$A109='Recurring Schedule'!$F$18))),13,""))))</f>
        <v/>
      </c>
      <c r="O109">
        <f>IF('Recurring Schedule'!$C$19="","",IF('Recurring Schedule'!$F$19="","",IF(OR($A109&lt;'Recurring Schedule'!$F$19,$A109&gt;'Recurring Schedule'!$P$19),"",IF(IF('Recurring Schedule'!$N$19&gt;0,MOD($A109-'Recurring Schedule'!$F$19,'Recurring Schedule'!$N$19)=0,IF('Recurring Schedule'!$O$19&gt;0,AND(DAY($A109)=MIN(DAY('Recurring Schedule'!$F$19),DAY(EOMONTH($A109,0))),MOD((YEAR($A109)-YEAR('Recurring Schedule'!$F$19))*12+MONTH($A109)-MONTH('Recurring Schedule'!$F$19),'Recurring Schedule'!$O$19)=0),IF('Recurring Schedule'!$E$19="Weekdays",WEEKDAY($A109,2)&lt;=5,$A109='Recurring Schedule'!$F$19))),14,""))))</f>
        <v/>
      </c>
      <c r="P109">
        <f>IF('Recurring Schedule'!$C$20="","",IF('Recurring Schedule'!$F$20="","",IF(OR($A109&lt;'Recurring Schedule'!$F$20,$A109&gt;'Recurring Schedule'!$P$20),"",IF(IF('Recurring Schedule'!$N$20&gt;0,MOD($A109-'Recurring Schedule'!$F$20,'Recurring Schedule'!$N$20)=0,IF('Recurring Schedule'!$O$20&gt;0,AND(DAY($A109)=MIN(DAY('Recurring Schedule'!$F$20),DAY(EOMONTH($A109,0))),MOD((YEAR($A109)-YEAR('Recurring Schedule'!$F$20))*12+MONTH($A109)-MONTH('Recurring Schedule'!$F$20),'Recurring Schedule'!$O$20)=0),IF('Recurring Schedule'!$E$20="Weekdays",WEEKDAY($A109,2)&lt;=5,$A109='Recurring Schedule'!$F$20))),15,""))))</f>
        <v/>
      </c>
      <c r="Q109">
        <f>IF('Recurring Schedule'!$C$21="","",IF('Recurring Schedule'!$F$21="","",IF(OR($A109&lt;'Recurring Schedule'!$F$21,$A109&gt;'Recurring Schedule'!$P$21),"",IF(IF('Recurring Schedule'!$N$21&gt;0,MOD($A109-'Recurring Schedule'!$F$21,'Recurring Schedule'!$N$21)=0,IF('Recurring Schedule'!$O$21&gt;0,AND(DAY($A109)=MIN(DAY('Recurring Schedule'!$F$21),DAY(EOMONTH($A109,0))),MOD((YEAR($A109)-YEAR('Recurring Schedule'!$F$21))*12+MONTH($A109)-MONTH('Recurring Schedule'!$F$21),'Recurring Schedule'!$O$21)=0),IF('Recurring Schedule'!$E$21="Weekdays",WEEKDAY($A109,2)&lt;=5,$A109='Recurring Schedule'!$F$21))),16,""))))</f>
        <v/>
      </c>
      <c r="R109">
        <f>IF('Recurring Schedule'!$C$22="","",IF('Recurring Schedule'!$F$22="","",IF(OR($A109&lt;'Recurring Schedule'!$F$22,$A109&gt;'Recurring Schedule'!$P$22),"",IF(IF('Recurring Schedule'!$N$22&gt;0,MOD($A109-'Recurring Schedule'!$F$22,'Recurring Schedule'!$N$22)=0,IF('Recurring Schedule'!$O$22&gt;0,AND(DAY($A109)=MIN(DAY('Recurring Schedule'!$F$22),DAY(EOMONTH($A109,0))),MOD((YEAR($A109)-YEAR('Recurring Schedule'!$F$22))*12+MONTH($A109)-MONTH('Recurring Schedule'!$F$22),'Recurring Schedule'!$O$22)=0),IF('Recurring Schedule'!$E$22="Weekdays",WEEKDAY($A109,2)&lt;=5,$A109='Recurring Schedule'!$F$22))),17,""))))</f>
        <v/>
      </c>
      <c r="S109">
        <f>IF('Recurring Schedule'!$C$23="","",IF('Recurring Schedule'!$F$23="","",IF(OR($A109&lt;'Recurring Schedule'!$F$23,$A109&gt;'Recurring Schedule'!$P$23),"",IF(IF('Recurring Schedule'!$N$23&gt;0,MOD($A109-'Recurring Schedule'!$F$23,'Recurring Schedule'!$N$23)=0,IF('Recurring Schedule'!$O$23&gt;0,AND(DAY($A109)=MIN(DAY('Recurring Schedule'!$F$23),DAY(EOMONTH($A109,0))),MOD((YEAR($A109)-YEAR('Recurring Schedule'!$F$23))*12+MONTH($A109)-MONTH('Recurring Schedule'!$F$23),'Recurring Schedule'!$O$23)=0),IF('Recurring Schedule'!$E$23="Weekdays",WEEKDAY($A109,2)&lt;=5,$A109='Recurring Schedule'!$F$23))),18,""))))</f>
        <v/>
      </c>
      <c r="T109">
        <f>IF('Recurring Schedule'!$C$24="","",IF('Recurring Schedule'!$F$24="","",IF(OR($A109&lt;'Recurring Schedule'!$F$24,$A109&gt;'Recurring Schedule'!$P$24),"",IF(IF('Recurring Schedule'!$N$24&gt;0,MOD($A109-'Recurring Schedule'!$F$24,'Recurring Schedule'!$N$24)=0,IF('Recurring Schedule'!$O$24&gt;0,AND(DAY($A109)=MIN(DAY('Recurring Schedule'!$F$24),DAY(EOMONTH($A109,0))),MOD((YEAR($A109)-YEAR('Recurring Schedule'!$F$24))*12+MONTH($A109)-MONTH('Recurring Schedule'!$F$24),'Recurring Schedule'!$O$24)=0),IF('Recurring Schedule'!$E$24="Weekdays",WEEKDAY($A109,2)&lt;=5,$A109='Recurring Schedule'!$F$24))),19,""))))</f>
        <v/>
      </c>
      <c r="U109">
        <f>IF('Recurring Schedule'!$C$25="","",IF('Recurring Schedule'!$F$25="","",IF(OR($A109&lt;'Recurring Schedule'!$F$25,$A109&gt;'Recurring Schedule'!$P$25),"",IF(IF('Recurring Schedule'!$N$25&gt;0,MOD($A109-'Recurring Schedule'!$F$25,'Recurring Schedule'!$N$25)=0,IF('Recurring Schedule'!$O$25&gt;0,AND(DAY($A109)=MIN(DAY('Recurring Schedule'!$F$25),DAY(EOMONTH($A109,0))),MOD((YEAR($A109)-YEAR('Recurring Schedule'!$F$25))*12+MONTH($A109)-MONTH('Recurring Schedule'!$F$25),'Recurring Schedule'!$O$25)=0),IF('Recurring Schedule'!$E$25="Weekdays",WEEKDAY($A109,2)&lt;=5,$A109='Recurring Schedule'!$F$25))),20,""))))</f>
        <v/>
      </c>
      <c r="V109">
        <f>IF('Recurring Schedule'!$C$26="","",IF('Recurring Schedule'!$F$26="","",IF(OR($A109&lt;'Recurring Schedule'!$F$26,$A109&gt;'Recurring Schedule'!$P$26),"",IF(IF('Recurring Schedule'!$N$26&gt;0,MOD($A109-'Recurring Schedule'!$F$26,'Recurring Schedule'!$N$26)=0,IF('Recurring Schedule'!$O$26&gt;0,AND(DAY($A109)=MIN(DAY('Recurring Schedule'!$F$26),DAY(EOMONTH($A109,0))),MOD((YEAR($A109)-YEAR('Recurring Schedule'!$F$26))*12+MONTH($A109)-MONTH('Recurring Schedule'!$F$26),'Recurring Schedule'!$O$26)=0),IF('Recurring Schedule'!$E$26="Weekdays",WEEKDAY($A109,2)&lt;=5,$A109='Recurring Schedule'!$F$26))),21,""))))</f>
        <v/>
      </c>
      <c r="W109">
        <f>IF('Recurring Schedule'!$C$27="","",IF('Recurring Schedule'!$F$27="","",IF(OR($A109&lt;'Recurring Schedule'!$F$27,$A109&gt;'Recurring Schedule'!$P$27),"",IF(IF('Recurring Schedule'!$N$27&gt;0,MOD($A109-'Recurring Schedule'!$F$27,'Recurring Schedule'!$N$27)=0,IF('Recurring Schedule'!$O$27&gt;0,AND(DAY($A109)=MIN(DAY('Recurring Schedule'!$F$27),DAY(EOMONTH($A109,0))),MOD((YEAR($A109)-YEAR('Recurring Schedule'!$F$27))*12+MONTH($A109)-MONTH('Recurring Schedule'!$F$27),'Recurring Schedule'!$O$27)=0),IF('Recurring Schedule'!$E$27="Weekdays",WEEKDAY($A109,2)&lt;=5,$A109='Recurring Schedule'!$F$27))),22,""))))</f>
        <v/>
      </c>
      <c r="X109">
        <f>IF('Recurring Schedule'!$C$28="","",IF('Recurring Schedule'!$F$28="","",IF(OR($A109&lt;'Recurring Schedule'!$F$28,$A109&gt;'Recurring Schedule'!$P$28),"",IF(IF('Recurring Schedule'!$N$28&gt;0,MOD($A109-'Recurring Schedule'!$F$28,'Recurring Schedule'!$N$28)=0,IF('Recurring Schedule'!$O$28&gt;0,AND(DAY($A109)=MIN(DAY('Recurring Schedule'!$F$28),DAY(EOMONTH($A109,0))),MOD((YEAR($A109)-YEAR('Recurring Schedule'!$F$28))*12+MONTH($A109)-MONTH('Recurring Schedule'!$F$28),'Recurring Schedule'!$O$28)=0),IF('Recurring Schedule'!$E$28="Weekdays",WEEKDAY($A109,2)&lt;=5,$A109='Recurring Schedule'!$F$28))),23,""))))</f>
        <v/>
      </c>
      <c r="Y109">
        <f>IF('Recurring Schedule'!$C$29="","",IF('Recurring Schedule'!$F$29="","",IF(OR($A109&lt;'Recurring Schedule'!$F$29,$A109&gt;'Recurring Schedule'!$P$29),"",IF(IF('Recurring Schedule'!$N$29&gt;0,MOD($A109-'Recurring Schedule'!$F$29,'Recurring Schedule'!$N$29)=0,IF('Recurring Schedule'!$O$29&gt;0,AND(DAY($A109)=MIN(DAY('Recurring Schedule'!$F$29),DAY(EOMONTH($A109,0))),MOD((YEAR($A109)-YEAR('Recurring Schedule'!$F$29))*12+MONTH($A109)-MONTH('Recurring Schedule'!$F$29),'Recurring Schedule'!$O$29)=0),IF('Recurring Schedule'!$E$29="Weekdays",WEEKDAY($A109,2)&lt;=5,$A109='Recurring Schedule'!$F$29))),24,""))))</f>
        <v/>
      </c>
      <c r="Z109">
        <f>IF('Recurring Schedule'!$C$30="","",IF('Recurring Schedule'!$F$30="","",IF(OR($A109&lt;'Recurring Schedule'!$F$30,$A109&gt;'Recurring Schedule'!$P$30),"",IF(IF('Recurring Schedule'!$N$30&gt;0,MOD($A109-'Recurring Schedule'!$F$30,'Recurring Schedule'!$N$30)=0,IF('Recurring Schedule'!$O$30&gt;0,AND(DAY($A109)=MIN(DAY('Recurring Schedule'!$F$30),DAY(EOMONTH($A109,0))),MOD((YEAR($A109)-YEAR('Recurring Schedule'!$F$30))*12+MONTH($A109)-MONTH('Recurring Schedule'!$F$30),'Recurring Schedule'!$O$30)=0),IF('Recurring Schedule'!$E$30="Weekdays",WEEKDAY($A109,2)&lt;=5,$A109='Recurring Schedule'!$F$30))),25,""))))</f>
        <v/>
      </c>
      <c r="AA109">
        <f>IF('Recurring Schedule'!$C$31="","",IF('Recurring Schedule'!$F$31="","",IF(OR($A109&lt;'Recurring Schedule'!$F$31,$A109&gt;'Recurring Schedule'!$P$31),"",IF(IF('Recurring Schedule'!$N$31&gt;0,MOD($A109-'Recurring Schedule'!$F$31,'Recurring Schedule'!$N$31)=0,IF('Recurring Schedule'!$O$31&gt;0,AND(DAY($A109)=MIN(DAY('Recurring Schedule'!$F$31),DAY(EOMONTH($A109,0))),MOD((YEAR($A109)-YEAR('Recurring Schedule'!$F$31))*12+MONTH($A109)-MONTH('Recurring Schedule'!$F$31),'Recurring Schedule'!$O$31)=0),IF('Recurring Schedule'!$E$31="Weekdays",WEEKDAY($A109,2)&lt;=5,$A109='Recurring Schedule'!$F$31))),26,""))))</f>
        <v/>
      </c>
      <c r="AB109">
        <f>IF('Recurring Schedule'!$C$32="","",IF('Recurring Schedule'!$F$32="","",IF(OR($A109&lt;'Recurring Schedule'!$F$32,$A109&gt;'Recurring Schedule'!$P$32),"",IF(IF('Recurring Schedule'!$N$32&gt;0,MOD($A109-'Recurring Schedule'!$F$32,'Recurring Schedule'!$N$32)=0,IF('Recurring Schedule'!$O$32&gt;0,AND(DAY($A109)=MIN(DAY('Recurring Schedule'!$F$32),DAY(EOMONTH($A109,0))),MOD((YEAR($A109)-YEAR('Recurring Schedule'!$F$32))*12+MONTH($A109)-MONTH('Recurring Schedule'!$F$32),'Recurring Schedule'!$O$32)=0),IF('Recurring Schedule'!$E$32="Weekdays",WEEKDAY($A109,2)&lt;=5,$A109='Recurring Schedule'!$F$32))),27,""))))</f>
        <v/>
      </c>
      <c r="AC109">
        <f>IF('Recurring Schedule'!$C$33="","",IF('Recurring Schedule'!$F$33="","",IF(OR($A109&lt;'Recurring Schedule'!$F$33,$A109&gt;'Recurring Schedule'!$P$33),"",IF(IF('Recurring Schedule'!$N$33&gt;0,MOD($A109-'Recurring Schedule'!$F$33,'Recurring Schedule'!$N$33)=0,IF('Recurring Schedule'!$O$33&gt;0,AND(DAY($A109)=MIN(DAY('Recurring Schedule'!$F$33),DAY(EOMONTH($A109,0))),MOD((YEAR($A109)-YEAR('Recurring Schedule'!$F$33))*12+MONTH($A109)-MONTH('Recurring Schedule'!$F$33),'Recurring Schedule'!$O$33)=0),IF('Recurring Schedule'!$E$33="Weekdays",WEEKDAY($A109,2)&lt;=5,$A109='Recurring Schedule'!$F$33))),28,""))))</f>
        <v/>
      </c>
      <c r="AD109">
        <f>IF('Recurring Schedule'!$C$34="","",IF('Recurring Schedule'!$F$34="","",IF(OR($A109&lt;'Recurring Schedule'!$F$34,$A109&gt;'Recurring Schedule'!$P$34),"",IF(IF('Recurring Schedule'!$N$34&gt;0,MOD($A109-'Recurring Schedule'!$F$34,'Recurring Schedule'!$N$34)=0,IF('Recurring Schedule'!$O$34&gt;0,AND(DAY($A109)=MIN(DAY('Recurring Schedule'!$F$34),DAY(EOMONTH($A109,0))),MOD((YEAR($A109)-YEAR('Recurring Schedule'!$F$34))*12+MONTH($A109)-MONTH('Recurring Schedule'!$F$34),'Recurring Schedule'!$O$34)=0),IF('Recurring Schedule'!$E$34="Weekdays",WEEKDAY($A109,2)&lt;=5,$A109='Recurring Schedule'!$F$34))),29,""))))</f>
        <v/>
      </c>
      <c r="AE109">
        <f>IF('Recurring Schedule'!$C$35="","",IF('Recurring Schedule'!$F$35="","",IF(OR($A109&lt;'Recurring Schedule'!$F$35,$A109&gt;'Recurring Schedule'!$P$35),"",IF(IF('Recurring Schedule'!$N$35&gt;0,MOD($A109-'Recurring Schedule'!$F$35,'Recurring Schedule'!$N$35)=0,IF('Recurring Schedule'!$O$35&gt;0,AND(DAY($A109)=MIN(DAY('Recurring Schedule'!$F$35),DAY(EOMONTH($A109,0))),MOD((YEAR($A109)-YEAR('Recurring Schedule'!$F$35))*12+MONTH($A109)-MONTH('Recurring Schedule'!$F$35),'Recurring Schedule'!$O$35)=0),IF('Recurring Schedule'!$E$35="Weekdays",WEEKDAY($A109,2)&lt;=5,$A109='Recurring Schedule'!$F$35))),30,""))))</f>
        <v/>
      </c>
      <c r="AF109">
        <f>IF('Recurring Schedule'!$C$36="","",IF('Recurring Schedule'!$F$36="","",IF(OR($A109&lt;'Recurring Schedule'!$F$36,$A109&gt;'Recurring Schedule'!$P$36),"",IF(IF('Recurring Schedule'!$N$36&gt;0,MOD($A109-'Recurring Schedule'!$F$36,'Recurring Schedule'!$N$36)=0,IF('Recurring Schedule'!$O$36&gt;0,AND(DAY($A109)=MIN(DAY('Recurring Schedule'!$F$36),DAY(EOMONTH($A109,0))),MOD((YEAR($A109)-YEAR('Recurring Schedule'!$F$36))*12+MONTH($A109)-MONTH('Recurring Schedule'!$F$36),'Recurring Schedule'!$O$36)=0),IF('Recurring Schedule'!$E$36="Weekdays",WEEKDAY($A109,2)&lt;=5,$A109='Recurring Schedule'!$F$36))),31,""))))</f>
        <v/>
      </c>
      <c r="AG109">
        <f>IF('Recurring Schedule'!$C$37="","",IF('Recurring Schedule'!$F$37="","",IF(OR($A109&lt;'Recurring Schedule'!$F$37,$A109&gt;'Recurring Schedule'!$P$37),"",IF(IF('Recurring Schedule'!$N$37&gt;0,MOD($A109-'Recurring Schedule'!$F$37,'Recurring Schedule'!$N$37)=0,IF('Recurring Schedule'!$O$37&gt;0,AND(DAY($A109)=MIN(DAY('Recurring Schedule'!$F$37),DAY(EOMONTH($A109,0))),MOD((YEAR($A109)-YEAR('Recurring Schedule'!$F$37))*12+MONTH($A109)-MONTH('Recurring Schedule'!$F$37),'Recurring Schedule'!$O$37)=0),IF('Recurring Schedule'!$E$37="Weekdays",WEEKDAY($A109,2)&lt;=5,$A109='Recurring Schedule'!$F$37))),32,""))))</f>
        <v/>
      </c>
      <c r="AH109">
        <f>IF('Recurring Schedule'!$C$38="","",IF('Recurring Schedule'!$F$38="","",IF(OR($A109&lt;'Recurring Schedule'!$F$38,$A109&gt;'Recurring Schedule'!$P$38),"",IF(IF('Recurring Schedule'!$N$38&gt;0,MOD($A109-'Recurring Schedule'!$F$38,'Recurring Schedule'!$N$38)=0,IF('Recurring Schedule'!$O$38&gt;0,AND(DAY($A109)=MIN(DAY('Recurring Schedule'!$F$38),DAY(EOMONTH($A109,0))),MOD((YEAR($A109)-YEAR('Recurring Schedule'!$F$38))*12+MONTH($A109)-MONTH('Recurring Schedule'!$F$38),'Recurring Schedule'!$O$38)=0),IF('Recurring Schedule'!$E$38="Weekdays",WEEKDAY($A109,2)&lt;=5,$A109='Recurring Schedule'!$F$38))),33,""))))</f>
        <v/>
      </c>
      <c r="AI109">
        <f>IF('Recurring Schedule'!$C$39="","",IF('Recurring Schedule'!$F$39="","",IF(OR($A109&lt;'Recurring Schedule'!$F$39,$A109&gt;'Recurring Schedule'!$P$39),"",IF(IF('Recurring Schedule'!$N$39&gt;0,MOD($A109-'Recurring Schedule'!$F$39,'Recurring Schedule'!$N$39)=0,IF('Recurring Schedule'!$O$39&gt;0,AND(DAY($A109)=MIN(DAY('Recurring Schedule'!$F$39),DAY(EOMONTH($A109,0))),MOD((YEAR($A109)-YEAR('Recurring Schedule'!$F$39))*12+MONTH($A109)-MONTH('Recurring Schedule'!$F$39),'Recurring Schedule'!$O$39)=0),IF('Recurring Schedule'!$E$39="Weekdays",WEEKDAY($A109,2)&lt;=5,$A109='Recurring Schedule'!$F$39))),34,""))))</f>
        <v/>
      </c>
      <c r="AJ109">
        <f>IF('Recurring Schedule'!$C$40="","",IF('Recurring Schedule'!$F$40="","",IF(OR($A109&lt;'Recurring Schedule'!$F$40,$A109&gt;'Recurring Schedule'!$P$40),"",IF(IF('Recurring Schedule'!$N$40&gt;0,MOD($A109-'Recurring Schedule'!$F$40,'Recurring Schedule'!$N$40)=0,IF('Recurring Schedule'!$O$40&gt;0,AND(DAY($A109)=MIN(DAY('Recurring Schedule'!$F$40),DAY(EOMONTH($A109,0))),MOD((YEAR($A109)-YEAR('Recurring Schedule'!$F$40))*12+MONTH($A109)-MONTH('Recurring Schedule'!$F$40),'Recurring Schedule'!$O$40)=0),IF('Recurring Schedule'!$E$40="Weekdays",WEEKDAY($A109,2)&lt;=5,$A109='Recurring Schedule'!$F$40))),35,""))))</f>
        <v/>
      </c>
      <c r="AK109">
        <f>IF('Recurring Schedule'!$C$41="","",IF('Recurring Schedule'!$F$41="","",IF(OR($A109&lt;'Recurring Schedule'!$F$41,$A109&gt;'Recurring Schedule'!$P$41),"",IF(IF('Recurring Schedule'!$N$41&gt;0,MOD($A109-'Recurring Schedule'!$F$41,'Recurring Schedule'!$N$41)=0,IF('Recurring Schedule'!$O$41&gt;0,AND(DAY($A109)=MIN(DAY('Recurring Schedule'!$F$41),DAY(EOMONTH($A109,0))),MOD((YEAR($A109)-YEAR('Recurring Schedule'!$F$41))*12+MONTH($A109)-MONTH('Recurring Schedule'!$F$41),'Recurring Schedule'!$O$41)=0),IF('Recurring Schedule'!$E$41="Weekdays",WEEKDAY($A109,2)&lt;=5,$A109='Recurring Schedule'!$F$41))),36,""))))</f>
        <v/>
      </c>
      <c r="AL109">
        <f>IF('Recurring Schedule'!$C$42="","",IF('Recurring Schedule'!$F$42="","",IF(OR($A109&lt;'Recurring Schedule'!$F$42,$A109&gt;'Recurring Schedule'!$P$42),"",IF(IF('Recurring Schedule'!$N$42&gt;0,MOD($A109-'Recurring Schedule'!$F$42,'Recurring Schedule'!$N$42)=0,IF('Recurring Schedule'!$O$42&gt;0,AND(DAY($A109)=MIN(DAY('Recurring Schedule'!$F$42),DAY(EOMONTH($A109,0))),MOD((YEAR($A109)-YEAR('Recurring Schedule'!$F$42))*12+MONTH($A109)-MONTH('Recurring Schedule'!$F$42),'Recurring Schedule'!$O$42)=0),IF('Recurring Schedule'!$E$42="Weekdays",WEEKDAY($A109,2)&lt;=5,$A109='Recurring Schedule'!$F$42))),37,""))))</f>
        <v/>
      </c>
      <c r="AM109">
        <f>IF('Recurring Schedule'!$C$43="","",IF('Recurring Schedule'!$F$43="","",IF(OR($A109&lt;'Recurring Schedule'!$F$43,$A109&gt;'Recurring Schedule'!$P$43),"",IF(IF('Recurring Schedule'!$N$43&gt;0,MOD($A109-'Recurring Schedule'!$F$43,'Recurring Schedule'!$N$43)=0,IF('Recurring Schedule'!$O$43&gt;0,AND(DAY($A109)=MIN(DAY('Recurring Schedule'!$F$43),DAY(EOMONTH($A109,0))),MOD((YEAR($A109)-YEAR('Recurring Schedule'!$F$43))*12+MONTH($A109)-MONTH('Recurring Schedule'!$F$43),'Recurring Schedule'!$O$43)=0),IF('Recurring Schedule'!$E$43="Weekdays",WEEKDAY($A109,2)&lt;=5,$A109='Recurring Schedule'!$F$43))),38,""))))</f>
        <v/>
      </c>
      <c r="AN109">
        <f>IF('Recurring Schedule'!$C$44="","",IF('Recurring Schedule'!$F$44="","",IF(OR($A109&lt;'Recurring Schedule'!$F$44,$A109&gt;'Recurring Schedule'!$P$44),"",IF(IF('Recurring Schedule'!$N$44&gt;0,MOD($A109-'Recurring Schedule'!$F$44,'Recurring Schedule'!$N$44)=0,IF('Recurring Schedule'!$O$44&gt;0,AND(DAY($A109)=MIN(DAY('Recurring Schedule'!$F$44),DAY(EOMONTH($A109,0))),MOD((YEAR($A109)-YEAR('Recurring Schedule'!$F$44))*12+MONTH($A109)-MONTH('Recurring Schedule'!$F$44),'Recurring Schedule'!$O$44)=0),IF('Recurring Schedule'!$E$44="Weekdays",WEEKDAY($A109,2)&lt;=5,$A109='Recurring Schedule'!$F$44))),39,""))))</f>
        <v/>
      </c>
      <c r="AO109">
        <f>IF('Recurring Schedule'!$C$45="","",IF('Recurring Schedule'!$F$45="","",IF(OR($A109&lt;'Recurring Schedule'!$F$45,$A109&gt;'Recurring Schedule'!$P$45),"",IF(IF('Recurring Schedule'!$N$45&gt;0,MOD($A109-'Recurring Schedule'!$F$45,'Recurring Schedule'!$N$45)=0,IF('Recurring Schedule'!$O$45&gt;0,AND(DAY($A109)=MIN(DAY('Recurring Schedule'!$F$45),DAY(EOMONTH($A109,0))),MOD((YEAR($A109)-YEAR('Recurring Schedule'!$F$45))*12+MONTH($A109)-MONTH('Recurring Schedule'!$F$45),'Recurring Schedule'!$O$45)=0),IF('Recurring Schedule'!$E$45="Weekdays",WEEKDAY($A109,2)&lt;=5,$A109='Recurring Schedule'!$F$45))),40,""))))</f>
        <v/>
      </c>
      <c r="AP109">
        <f>COUNT(B109:AO109)</f>
        <v/>
      </c>
      <c r="AQ109">
        <f>AQ108+AP108</f>
        <v/>
      </c>
      <c r="AS109" t="inlineStr">
        <is>
          <t>R</t>
        </is>
      </c>
      <c r="AT109" t="n">
        <v>113</v>
      </c>
      <c r="AU109">
        <f>'Recurring Log'!C113&amp;""</f>
        <v/>
      </c>
      <c r="AV109">
        <f>'Recurring Log'!D113&amp;""</f>
        <v/>
      </c>
      <c r="AW109">
        <f>IF('Recurring Log'!E113="","",'Recurring Log'!E113)</f>
        <v/>
      </c>
      <c r="AX109">
        <f>IF('Recurring Log'!G113="","",'Recurring Log'!G113)</f>
        <v/>
      </c>
      <c r="AY109">
        <f>IF('Recurring Log'!H113="","",'Recurring Log'!H113)</f>
        <v/>
      </c>
      <c r="AZ109">
        <f>IF(AU109="","",IF('Recurring Log'!J113="","Not Started",'Recurring Log'!J113))</f>
        <v/>
      </c>
      <c r="BA109">
        <f>'Recurring Log'!L113&amp;""</f>
        <v/>
      </c>
      <c r="BB109">
        <f>'Recurring Log'!M113&amp;""</f>
        <v/>
      </c>
      <c r="BC109">
        <f>'Recurring Log'!N113&amp;""</f>
        <v/>
      </c>
      <c r="BD109">
        <f>'Recurring Log'!O113&amp;""</f>
        <v/>
      </c>
      <c r="BE109">
        <f>IF('Recurring Log'!K113="","",'Recurring Log'!K113)</f>
        <v/>
      </c>
      <c r="BF109">
        <f>IFERROR(MATCH(BA109,Setup!$L$6:$L$9,0),5)</f>
        <v/>
      </c>
      <c r="BG109">
        <f>IF(OR(AZ109="Done",AZ109="Cancelled"),1,0)</f>
        <v/>
      </c>
      <c r="BH109">
        <f>IF(AND(AU109&lt;&gt;"",ISNUMBER(AW109)),1,0)</f>
        <v/>
      </c>
      <c r="BI109">
        <f>IF(BH109=0,0,IF(AND(AW109&gt;='Tasks Filter'!$F$3,AW109&lt;='Tasks Filter'!$F$4,OR('Tasks Filter'!$I$3="",ISNUMBER(SEARCH('Tasks Filter'!$I$3,AU109))),OR('Tasks Filter'!$I$4="",BF109=IFERROR(MATCH('Tasks Filter'!$I$4,Setup!$L$6:$L$9,0),0)),OR('Tasks Filter'!$I$5="Both",AND('Tasks Filter'!$I$5="Yes",BB109="✓"),AND('Tasks Filter'!$I$5="No",BB109&lt;&gt;"✓")),OR('Tasks Filter'!$L$3="",AV109='Tasks Filter'!$L$3),OR('Tasks Filter'!$L$4="",AZ109='Tasks Filter'!$L$4),OR('Tasks Filter'!$L$5="",BC109='Tasks Filter'!$L$5),OR('Tasks Filter'!$O$3="",BD109='Tasks Filter'!$O$3),OR('Tasks Filter'!$O$4="Yes",BG109=0)),1,0))</f>
        <v/>
      </c>
      <c r="BJ109">
        <f>IF(BH109=0,"",IF('Tasks Filter'!$F$6="Descending",-1,1)*CHOOSE(MATCH('Tasks Filter'!$F$5,Lists!$G$2:$G$6,0),AW109,BF109,IFERROR(MATCH(AV109,Setup!$F$6:$F$15,0),99),IFERROR(MATCH(BC109,Setup!$H$6:$H$15,0),99),IFERROR(MATCH(AZ109,Setup!$J$6:$J$11,0),99))*1E+9+(AW109-40000)*10000+108)</f>
        <v/>
      </c>
      <c r="BK109">
        <f>IF(BI109=1,BJ109,"")</f>
        <v/>
      </c>
      <c r="BL109">
        <f>IF(AND(BH109=1,BG109=0,N(AW109)&lt;Setup!$D$7),(AW109-40000)*10000+108,"")</f>
        <v/>
      </c>
      <c r="BM109">
        <f>IF(AND(BH109=1,AZ109&lt;&gt;"Cancelled",N(AW109)&gt;=Dashboard!$AB$3,N(AW109)&lt;=Dashboard!$AB$3+6),(AW109-40000)*100000+BF109*10000+108,"")</f>
        <v/>
      </c>
      <c r="BN109">
        <f>IF(AND(BH109=1,AZ109&lt;&gt;"Cancelled"),BF109*10000+108,"")</f>
        <v/>
      </c>
    </row>
    <row r="110">
      <c r="A110">
        <f>Setup!$D$5+108</f>
        <v/>
      </c>
      <c r="B110">
        <f>IF('Recurring Schedule'!$C$6="","",IF('Recurring Schedule'!$F$6="","",IF(OR($A110&lt;'Recurring Schedule'!$F$6,$A110&gt;'Recurring Schedule'!$P$6),"",IF(IF('Recurring Schedule'!$N$6&gt;0,MOD($A110-'Recurring Schedule'!$F$6,'Recurring Schedule'!$N$6)=0,IF('Recurring Schedule'!$O$6&gt;0,AND(DAY($A110)=MIN(DAY('Recurring Schedule'!$F$6),DAY(EOMONTH($A110,0))),MOD((YEAR($A110)-YEAR('Recurring Schedule'!$F$6))*12+MONTH($A110)-MONTH('Recurring Schedule'!$F$6),'Recurring Schedule'!$O$6)=0),IF('Recurring Schedule'!$E$6="Weekdays",WEEKDAY($A110,2)&lt;=5,$A110='Recurring Schedule'!$F$6))),1,""))))</f>
        <v/>
      </c>
      <c r="C110">
        <f>IF('Recurring Schedule'!$C$7="","",IF('Recurring Schedule'!$F$7="","",IF(OR($A110&lt;'Recurring Schedule'!$F$7,$A110&gt;'Recurring Schedule'!$P$7),"",IF(IF('Recurring Schedule'!$N$7&gt;0,MOD($A110-'Recurring Schedule'!$F$7,'Recurring Schedule'!$N$7)=0,IF('Recurring Schedule'!$O$7&gt;0,AND(DAY($A110)=MIN(DAY('Recurring Schedule'!$F$7),DAY(EOMONTH($A110,0))),MOD((YEAR($A110)-YEAR('Recurring Schedule'!$F$7))*12+MONTH($A110)-MONTH('Recurring Schedule'!$F$7),'Recurring Schedule'!$O$7)=0),IF('Recurring Schedule'!$E$7="Weekdays",WEEKDAY($A110,2)&lt;=5,$A110='Recurring Schedule'!$F$7))),2,""))))</f>
        <v/>
      </c>
      <c r="D110">
        <f>IF('Recurring Schedule'!$C$8="","",IF('Recurring Schedule'!$F$8="","",IF(OR($A110&lt;'Recurring Schedule'!$F$8,$A110&gt;'Recurring Schedule'!$P$8),"",IF(IF('Recurring Schedule'!$N$8&gt;0,MOD($A110-'Recurring Schedule'!$F$8,'Recurring Schedule'!$N$8)=0,IF('Recurring Schedule'!$O$8&gt;0,AND(DAY($A110)=MIN(DAY('Recurring Schedule'!$F$8),DAY(EOMONTH($A110,0))),MOD((YEAR($A110)-YEAR('Recurring Schedule'!$F$8))*12+MONTH($A110)-MONTH('Recurring Schedule'!$F$8),'Recurring Schedule'!$O$8)=0),IF('Recurring Schedule'!$E$8="Weekdays",WEEKDAY($A110,2)&lt;=5,$A110='Recurring Schedule'!$F$8))),3,""))))</f>
        <v/>
      </c>
      <c r="E110">
        <f>IF('Recurring Schedule'!$C$9="","",IF('Recurring Schedule'!$F$9="","",IF(OR($A110&lt;'Recurring Schedule'!$F$9,$A110&gt;'Recurring Schedule'!$P$9),"",IF(IF('Recurring Schedule'!$N$9&gt;0,MOD($A110-'Recurring Schedule'!$F$9,'Recurring Schedule'!$N$9)=0,IF('Recurring Schedule'!$O$9&gt;0,AND(DAY($A110)=MIN(DAY('Recurring Schedule'!$F$9),DAY(EOMONTH($A110,0))),MOD((YEAR($A110)-YEAR('Recurring Schedule'!$F$9))*12+MONTH($A110)-MONTH('Recurring Schedule'!$F$9),'Recurring Schedule'!$O$9)=0),IF('Recurring Schedule'!$E$9="Weekdays",WEEKDAY($A110,2)&lt;=5,$A110='Recurring Schedule'!$F$9))),4,""))))</f>
        <v/>
      </c>
      <c r="F110">
        <f>IF('Recurring Schedule'!$C$10="","",IF('Recurring Schedule'!$F$10="","",IF(OR($A110&lt;'Recurring Schedule'!$F$10,$A110&gt;'Recurring Schedule'!$P$10),"",IF(IF('Recurring Schedule'!$N$10&gt;0,MOD($A110-'Recurring Schedule'!$F$10,'Recurring Schedule'!$N$10)=0,IF('Recurring Schedule'!$O$10&gt;0,AND(DAY($A110)=MIN(DAY('Recurring Schedule'!$F$10),DAY(EOMONTH($A110,0))),MOD((YEAR($A110)-YEAR('Recurring Schedule'!$F$10))*12+MONTH($A110)-MONTH('Recurring Schedule'!$F$10),'Recurring Schedule'!$O$10)=0),IF('Recurring Schedule'!$E$10="Weekdays",WEEKDAY($A110,2)&lt;=5,$A110='Recurring Schedule'!$F$10))),5,""))))</f>
        <v/>
      </c>
      <c r="G110">
        <f>IF('Recurring Schedule'!$C$11="","",IF('Recurring Schedule'!$F$11="","",IF(OR($A110&lt;'Recurring Schedule'!$F$11,$A110&gt;'Recurring Schedule'!$P$11),"",IF(IF('Recurring Schedule'!$N$11&gt;0,MOD($A110-'Recurring Schedule'!$F$11,'Recurring Schedule'!$N$11)=0,IF('Recurring Schedule'!$O$11&gt;0,AND(DAY($A110)=MIN(DAY('Recurring Schedule'!$F$11),DAY(EOMONTH($A110,0))),MOD((YEAR($A110)-YEAR('Recurring Schedule'!$F$11))*12+MONTH($A110)-MONTH('Recurring Schedule'!$F$11),'Recurring Schedule'!$O$11)=0),IF('Recurring Schedule'!$E$11="Weekdays",WEEKDAY($A110,2)&lt;=5,$A110='Recurring Schedule'!$F$11))),6,""))))</f>
        <v/>
      </c>
      <c r="H110">
        <f>IF('Recurring Schedule'!$C$12="","",IF('Recurring Schedule'!$F$12="","",IF(OR($A110&lt;'Recurring Schedule'!$F$12,$A110&gt;'Recurring Schedule'!$P$12),"",IF(IF('Recurring Schedule'!$N$12&gt;0,MOD($A110-'Recurring Schedule'!$F$12,'Recurring Schedule'!$N$12)=0,IF('Recurring Schedule'!$O$12&gt;0,AND(DAY($A110)=MIN(DAY('Recurring Schedule'!$F$12),DAY(EOMONTH($A110,0))),MOD((YEAR($A110)-YEAR('Recurring Schedule'!$F$12))*12+MONTH($A110)-MONTH('Recurring Schedule'!$F$12),'Recurring Schedule'!$O$12)=0),IF('Recurring Schedule'!$E$12="Weekdays",WEEKDAY($A110,2)&lt;=5,$A110='Recurring Schedule'!$F$12))),7,""))))</f>
        <v/>
      </c>
      <c r="I110">
        <f>IF('Recurring Schedule'!$C$13="","",IF('Recurring Schedule'!$F$13="","",IF(OR($A110&lt;'Recurring Schedule'!$F$13,$A110&gt;'Recurring Schedule'!$P$13),"",IF(IF('Recurring Schedule'!$N$13&gt;0,MOD($A110-'Recurring Schedule'!$F$13,'Recurring Schedule'!$N$13)=0,IF('Recurring Schedule'!$O$13&gt;0,AND(DAY($A110)=MIN(DAY('Recurring Schedule'!$F$13),DAY(EOMONTH($A110,0))),MOD((YEAR($A110)-YEAR('Recurring Schedule'!$F$13))*12+MONTH($A110)-MONTH('Recurring Schedule'!$F$13),'Recurring Schedule'!$O$13)=0),IF('Recurring Schedule'!$E$13="Weekdays",WEEKDAY($A110,2)&lt;=5,$A110='Recurring Schedule'!$F$13))),8,""))))</f>
        <v/>
      </c>
      <c r="J110">
        <f>IF('Recurring Schedule'!$C$14="","",IF('Recurring Schedule'!$F$14="","",IF(OR($A110&lt;'Recurring Schedule'!$F$14,$A110&gt;'Recurring Schedule'!$P$14),"",IF(IF('Recurring Schedule'!$N$14&gt;0,MOD($A110-'Recurring Schedule'!$F$14,'Recurring Schedule'!$N$14)=0,IF('Recurring Schedule'!$O$14&gt;0,AND(DAY($A110)=MIN(DAY('Recurring Schedule'!$F$14),DAY(EOMONTH($A110,0))),MOD((YEAR($A110)-YEAR('Recurring Schedule'!$F$14))*12+MONTH($A110)-MONTH('Recurring Schedule'!$F$14),'Recurring Schedule'!$O$14)=0),IF('Recurring Schedule'!$E$14="Weekdays",WEEKDAY($A110,2)&lt;=5,$A110='Recurring Schedule'!$F$14))),9,""))))</f>
        <v/>
      </c>
      <c r="K110">
        <f>IF('Recurring Schedule'!$C$15="","",IF('Recurring Schedule'!$F$15="","",IF(OR($A110&lt;'Recurring Schedule'!$F$15,$A110&gt;'Recurring Schedule'!$P$15),"",IF(IF('Recurring Schedule'!$N$15&gt;0,MOD($A110-'Recurring Schedule'!$F$15,'Recurring Schedule'!$N$15)=0,IF('Recurring Schedule'!$O$15&gt;0,AND(DAY($A110)=MIN(DAY('Recurring Schedule'!$F$15),DAY(EOMONTH($A110,0))),MOD((YEAR($A110)-YEAR('Recurring Schedule'!$F$15))*12+MONTH($A110)-MONTH('Recurring Schedule'!$F$15),'Recurring Schedule'!$O$15)=0),IF('Recurring Schedule'!$E$15="Weekdays",WEEKDAY($A110,2)&lt;=5,$A110='Recurring Schedule'!$F$15))),10,""))))</f>
        <v/>
      </c>
      <c r="L110">
        <f>IF('Recurring Schedule'!$C$16="","",IF('Recurring Schedule'!$F$16="","",IF(OR($A110&lt;'Recurring Schedule'!$F$16,$A110&gt;'Recurring Schedule'!$P$16),"",IF(IF('Recurring Schedule'!$N$16&gt;0,MOD($A110-'Recurring Schedule'!$F$16,'Recurring Schedule'!$N$16)=0,IF('Recurring Schedule'!$O$16&gt;0,AND(DAY($A110)=MIN(DAY('Recurring Schedule'!$F$16),DAY(EOMONTH($A110,0))),MOD((YEAR($A110)-YEAR('Recurring Schedule'!$F$16))*12+MONTH($A110)-MONTH('Recurring Schedule'!$F$16),'Recurring Schedule'!$O$16)=0),IF('Recurring Schedule'!$E$16="Weekdays",WEEKDAY($A110,2)&lt;=5,$A110='Recurring Schedule'!$F$16))),11,""))))</f>
        <v/>
      </c>
      <c r="M110">
        <f>IF('Recurring Schedule'!$C$17="","",IF('Recurring Schedule'!$F$17="","",IF(OR($A110&lt;'Recurring Schedule'!$F$17,$A110&gt;'Recurring Schedule'!$P$17),"",IF(IF('Recurring Schedule'!$N$17&gt;0,MOD($A110-'Recurring Schedule'!$F$17,'Recurring Schedule'!$N$17)=0,IF('Recurring Schedule'!$O$17&gt;0,AND(DAY($A110)=MIN(DAY('Recurring Schedule'!$F$17),DAY(EOMONTH($A110,0))),MOD((YEAR($A110)-YEAR('Recurring Schedule'!$F$17))*12+MONTH($A110)-MONTH('Recurring Schedule'!$F$17),'Recurring Schedule'!$O$17)=0),IF('Recurring Schedule'!$E$17="Weekdays",WEEKDAY($A110,2)&lt;=5,$A110='Recurring Schedule'!$F$17))),12,""))))</f>
        <v/>
      </c>
      <c r="N110">
        <f>IF('Recurring Schedule'!$C$18="","",IF('Recurring Schedule'!$F$18="","",IF(OR($A110&lt;'Recurring Schedule'!$F$18,$A110&gt;'Recurring Schedule'!$P$18),"",IF(IF('Recurring Schedule'!$N$18&gt;0,MOD($A110-'Recurring Schedule'!$F$18,'Recurring Schedule'!$N$18)=0,IF('Recurring Schedule'!$O$18&gt;0,AND(DAY($A110)=MIN(DAY('Recurring Schedule'!$F$18),DAY(EOMONTH($A110,0))),MOD((YEAR($A110)-YEAR('Recurring Schedule'!$F$18))*12+MONTH($A110)-MONTH('Recurring Schedule'!$F$18),'Recurring Schedule'!$O$18)=0),IF('Recurring Schedule'!$E$18="Weekdays",WEEKDAY($A110,2)&lt;=5,$A110='Recurring Schedule'!$F$18))),13,""))))</f>
        <v/>
      </c>
      <c r="O110">
        <f>IF('Recurring Schedule'!$C$19="","",IF('Recurring Schedule'!$F$19="","",IF(OR($A110&lt;'Recurring Schedule'!$F$19,$A110&gt;'Recurring Schedule'!$P$19),"",IF(IF('Recurring Schedule'!$N$19&gt;0,MOD($A110-'Recurring Schedule'!$F$19,'Recurring Schedule'!$N$19)=0,IF('Recurring Schedule'!$O$19&gt;0,AND(DAY($A110)=MIN(DAY('Recurring Schedule'!$F$19),DAY(EOMONTH($A110,0))),MOD((YEAR($A110)-YEAR('Recurring Schedule'!$F$19))*12+MONTH($A110)-MONTH('Recurring Schedule'!$F$19),'Recurring Schedule'!$O$19)=0),IF('Recurring Schedule'!$E$19="Weekdays",WEEKDAY($A110,2)&lt;=5,$A110='Recurring Schedule'!$F$19))),14,""))))</f>
        <v/>
      </c>
      <c r="P110">
        <f>IF('Recurring Schedule'!$C$20="","",IF('Recurring Schedule'!$F$20="","",IF(OR($A110&lt;'Recurring Schedule'!$F$20,$A110&gt;'Recurring Schedule'!$P$20),"",IF(IF('Recurring Schedule'!$N$20&gt;0,MOD($A110-'Recurring Schedule'!$F$20,'Recurring Schedule'!$N$20)=0,IF('Recurring Schedule'!$O$20&gt;0,AND(DAY($A110)=MIN(DAY('Recurring Schedule'!$F$20),DAY(EOMONTH($A110,0))),MOD((YEAR($A110)-YEAR('Recurring Schedule'!$F$20))*12+MONTH($A110)-MONTH('Recurring Schedule'!$F$20),'Recurring Schedule'!$O$20)=0),IF('Recurring Schedule'!$E$20="Weekdays",WEEKDAY($A110,2)&lt;=5,$A110='Recurring Schedule'!$F$20))),15,""))))</f>
        <v/>
      </c>
      <c r="Q110">
        <f>IF('Recurring Schedule'!$C$21="","",IF('Recurring Schedule'!$F$21="","",IF(OR($A110&lt;'Recurring Schedule'!$F$21,$A110&gt;'Recurring Schedule'!$P$21),"",IF(IF('Recurring Schedule'!$N$21&gt;0,MOD($A110-'Recurring Schedule'!$F$21,'Recurring Schedule'!$N$21)=0,IF('Recurring Schedule'!$O$21&gt;0,AND(DAY($A110)=MIN(DAY('Recurring Schedule'!$F$21),DAY(EOMONTH($A110,0))),MOD((YEAR($A110)-YEAR('Recurring Schedule'!$F$21))*12+MONTH($A110)-MONTH('Recurring Schedule'!$F$21),'Recurring Schedule'!$O$21)=0),IF('Recurring Schedule'!$E$21="Weekdays",WEEKDAY($A110,2)&lt;=5,$A110='Recurring Schedule'!$F$21))),16,""))))</f>
        <v/>
      </c>
      <c r="R110">
        <f>IF('Recurring Schedule'!$C$22="","",IF('Recurring Schedule'!$F$22="","",IF(OR($A110&lt;'Recurring Schedule'!$F$22,$A110&gt;'Recurring Schedule'!$P$22),"",IF(IF('Recurring Schedule'!$N$22&gt;0,MOD($A110-'Recurring Schedule'!$F$22,'Recurring Schedule'!$N$22)=0,IF('Recurring Schedule'!$O$22&gt;0,AND(DAY($A110)=MIN(DAY('Recurring Schedule'!$F$22),DAY(EOMONTH($A110,0))),MOD((YEAR($A110)-YEAR('Recurring Schedule'!$F$22))*12+MONTH($A110)-MONTH('Recurring Schedule'!$F$22),'Recurring Schedule'!$O$22)=0),IF('Recurring Schedule'!$E$22="Weekdays",WEEKDAY($A110,2)&lt;=5,$A110='Recurring Schedule'!$F$22))),17,""))))</f>
        <v/>
      </c>
      <c r="S110">
        <f>IF('Recurring Schedule'!$C$23="","",IF('Recurring Schedule'!$F$23="","",IF(OR($A110&lt;'Recurring Schedule'!$F$23,$A110&gt;'Recurring Schedule'!$P$23),"",IF(IF('Recurring Schedule'!$N$23&gt;0,MOD($A110-'Recurring Schedule'!$F$23,'Recurring Schedule'!$N$23)=0,IF('Recurring Schedule'!$O$23&gt;0,AND(DAY($A110)=MIN(DAY('Recurring Schedule'!$F$23),DAY(EOMONTH($A110,0))),MOD((YEAR($A110)-YEAR('Recurring Schedule'!$F$23))*12+MONTH($A110)-MONTH('Recurring Schedule'!$F$23),'Recurring Schedule'!$O$23)=0),IF('Recurring Schedule'!$E$23="Weekdays",WEEKDAY($A110,2)&lt;=5,$A110='Recurring Schedule'!$F$23))),18,""))))</f>
        <v/>
      </c>
      <c r="T110">
        <f>IF('Recurring Schedule'!$C$24="","",IF('Recurring Schedule'!$F$24="","",IF(OR($A110&lt;'Recurring Schedule'!$F$24,$A110&gt;'Recurring Schedule'!$P$24),"",IF(IF('Recurring Schedule'!$N$24&gt;0,MOD($A110-'Recurring Schedule'!$F$24,'Recurring Schedule'!$N$24)=0,IF('Recurring Schedule'!$O$24&gt;0,AND(DAY($A110)=MIN(DAY('Recurring Schedule'!$F$24),DAY(EOMONTH($A110,0))),MOD((YEAR($A110)-YEAR('Recurring Schedule'!$F$24))*12+MONTH($A110)-MONTH('Recurring Schedule'!$F$24),'Recurring Schedule'!$O$24)=0),IF('Recurring Schedule'!$E$24="Weekdays",WEEKDAY($A110,2)&lt;=5,$A110='Recurring Schedule'!$F$24))),19,""))))</f>
        <v/>
      </c>
      <c r="U110">
        <f>IF('Recurring Schedule'!$C$25="","",IF('Recurring Schedule'!$F$25="","",IF(OR($A110&lt;'Recurring Schedule'!$F$25,$A110&gt;'Recurring Schedule'!$P$25),"",IF(IF('Recurring Schedule'!$N$25&gt;0,MOD($A110-'Recurring Schedule'!$F$25,'Recurring Schedule'!$N$25)=0,IF('Recurring Schedule'!$O$25&gt;0,AND(DAY($A110)=MIN(DAY('Recurring Schedule'!$F$25),DAY(EOMONTH($A110,0))),MOD((YEAR($A110)-YEAR('Recurring Schedule'!$F$25))*12+MONTH($A110)-MONTH('Recurring Schedule'!$F$25),'Recurring Schedule'!$O$25)=0),IF('Recurring Schedule'!$E$25="Weekdays",WEEKDAY($A110,2)&lt;=5,$A110='Recurring Schedule'!$F$25))),20,""))))</f>
        <v/>
      </c>
      <c r="V110">
        <f>IF('Recurring Schedule'!$C$26="","",IF('Recurring Schedule'!$F$26="","",IF(OR($A110&lt;'Recurring Schedule'!$F$26,$A110&gt;'Recurring Schedule'!$P$26),"",IF(IF('Recurring Schedule'!$N$26&gt;0,MOD($A110-'Recurring Schedule'!$F$26,'Recurring Schedule'!$N$26)=0,IF('Recurring Schedule'!$O$26&gt;0,AND(DAY($A110)=MIN(DAY('Recurring Schedule'!$F$26),DAY(EOMONTH($A110,0))),MOD((YEAR($A110)-YEAR('Recurring Schedule'!$F$26))*12+MONTH($A110)-MONTH('Recurring Schedule'!$F$26),'Recurring Schedule'!$O$26)=0),IF('Recurring Schedule'!$E$26="Weekdays",WEEKDAY($A110,2)&lt;=5,$A110='Recurring Schedule'!$F$26))),21,""))))</f>
        <v/>
      </c>
      <c r="W110">
        <f>IF('Recurring Schedule'!$C$27="","",IF('Recurring Schedule'!$F$27="","",IF(OR($A110&lt;'Recurring Schedule'!$F$27,$A110&gt;'Recurring Schedule'!$P$27),"",IF(IF('Recurring Schedule'!$N$27&gt;0,MOD($A110-'Recurring Schedule'!$F$27,'Recurring Schedule'!$N$27)=0,IF('Recurring Schedule'!$O$27&gt;0,AND(DAY($A110)=MIN(DAY('Recurring Schedule'!$F$27),DAY(EOMONTH($A110,0))),MOD((YEAR($A110)-YEAR('Recurring Schedule'!$F$27))*12+MONTH($A110)-MONTH('Recurring Schedule'!$F$27),'Recurring Schedule'!$O$27)=0),IF('Recurring Schedule'!$E$27="Weekdays",WEEKDAY($A110,2)&lt;=5,$A110='Recurring Schedule'!$F$27))),22,""))))</f>
        <v/>
      </c>
      <c r="X110">
        <f>IF('Recurring Schedule'!$C$28="","",IF('Recurring Schedule'!$F$28="","",IF(OR($A110&lt;'Recurring Schedule'!$F$28,$A110&gt;'Recurring Schedule'!$P$28),"",IF(IF('Recurring Schedule'!$N$28&gt;0,MOD($A110-'Recurring Schedule'!$F$28,'Recurring Schedule'!$N$28)=0,IF('Recurring Schedule'!$O$28&gt;0,AND(DAY($A110)=MIN(DAY('Recurring Schedule'!$F$28),DAY(EOMONTH($A110,0))),MOD((YEAR($A110)-YEAR('Recurring Schedule'!$F$28))*12+MONTH($A110)-MONTH('Recurring Schedule'!$F$28),'Recurring Schedule'!$O$28)=0),IF('Recurring Schedule'!$E$28="Weekdays",WEEKDAY($A110,2)&lt;=5,$A110='Recurring Schedule'!$F$28))),23,""))))</f>
        <v/>
      </c>
      <c r="Y110">
        <f>IF('Recurring Schedule'!$C$29="","",IF('Recurring Schedule'!$F$29="","",IF(OR($A110&lt;'Recurring Schedule'!$F$29,$A110&gt;'Recurring Schedule'!$P$29),"",IF(IF('Recurring Schedule'!$N$29&gt;0,MOD($A110-'Recurring Schedule'!$F$29,'Recurring Schedule'!$N$29)=0,IF('Recurring Schedule'!$O$29&gt;0,AND(DAY($A110)=MIN(DAY('Recurring Schedule'!$F$29),DAY(EOMONTH($A110,0))),MOD((YEAR($A110)-YEAR('Recurring Schedule'!$F$29))*12+MONTH($A110)-MONTH('Recurring Schedule'!$F$29),'Recurring Schedule'!$O$29)=0),IF('Recurring Schedule'!$E$29="Weekdays",WEEKDAY($A110,2)&lt;=5,$A110='Recurring Schedule'!$F$29))),24,""))))</f>
        <v/>
      </c>
      <c r="Z110">
        <f>IF('Recurring Schedule'!$C$30="","",IF('Recurring Schedule'!$F$30="","",IF(OR($A110&lt;'Recurring Schedule'!$F$30,$A110&gt;'Recurring Schedule'!$P$30),"",IF(IF('Recurring Schedule'!$N$30&gt;0,MOD($A110-'Recurring Schedule'!$F$30,'Recurring Schedule'!$N$30)=0,IF('Recurring Schedule'!$O$30&gt;0,AND(DAY($A110)=MIN(DAY('Recurring Schedule'!$F$30),DAY(EOMONTH($A110,0))),MOD((YEAR($A110)-YEAR('Recurring Schedule'!$F$30))*12+MONTH($A110)-MONTH('Recurring Schedule'!$F$30),'Recurring Schedule'!$O$30)=0),IF('Recurring Schedule'!$E$30="Weekdays",WEEKDAY($A110,2)&lt;=5,$A110='Recurring Schedule'!$F$30))),25,""))))</f>
        <v/>
      </c>
      <c r="AA110">
        <f>IF('Recurring Schedule'!$C$31="","",IF('Recurring Schedule'!$F$31="","",IF(OR($A110&lt;'Recurring Schedule'!$F$31,$A110&gt;'Recurring Schedule'!$P$31),"",IF(IF('Recurring Schedule'!$N$31&gt;0,MOD($A110-'Recurring Schedule'!$F$31,'Recurring Schedule'!$N$31)=0,IF('Recurring Schedule'!$O$31&gt;0,AND(DAY($A110)=MIN(DAY('Recurring Schedule'!$F$31),DAY(EOMONTH($A110,0))),MOD((YEAR($A110)-YEAR('Recurring Schedule'!$F$31))*12+MONTH($A110)-MONTH('Recurring Schedule'!$F$31),'Recurring Schedule'!$O$31)=0),IF('Recurring Schedule'!$E$31="Weekdays",WEEKDAY($A110,2)&lt;=5,$A110='Recurring Schedule'!$F$31))),26,""))))</f>
        <v/>
      </c>
      <c r="AB110">
        <f>IF('Recurring Schedule'!$C$32="","",IF('Recurring Schedule'!$F$32="","",IF(OR($A110&lt;'Recurring Schedule'!$F$32,$A110&gt;'Recurring Schedule'!$P$32),"",IF(IF('Recurring Schedule'!$N$32&gt;0,MOD($A110-'Recurring Schedule'!$F$32,'Recurring Schedule'!$N$32)=0,IF('Recurring Schedule'!$O$32&gt;0,AND(DAY($A110)=MIN(DAY('Recurring Schedule'!$F$32),DAY(EOMONTH($A110,0))),MOD((YEAR($A110)-YEAR('Recurring Schedule'!$F$32))*12+MONTH($A110)-MONTH('Recurring Schedule'!$F$32),'Recurring Schedule'!$O$32)=0),IF('Recurring Schedule'!$E$32="Weekdays",WEEKDAY($A110,2)&lt;=5,$A110='Recurring Schedule'!$F$32))),27,""))))</f>
        <v/>
      </c>
      <c r="AC110">
        <f>IF('Recurring Schedule'!$C$33="","",IF('Recurring Schedule'!$F$33="","",IF(OR($A110&lt;'Recurring Schedule'!$F$33,$A110&gt;'Recurring Schedule'!$P$33),"",IF(IF('Recurring Schedule'!$N$33&gt;0,MOD($A110-'Recurring Schedule'!$F$33,'Recurring Schedule'!$N$33)=0,IF('Recurring Schedule'!$O$33&gt;0,AND(DAY($A110)=MIN(DAY('Recurring Schedule'!$F$33),DAY(EOMONTH($A110,0))),MOD((YEAR($A110)-YEAR('Recurring Schedule'!$F$33))*12+MONTH($A110)-MONTH('Recurring Schedule'!$F$33),'Recurring Schedule'!$O$33)=0),IF('Recurring Schedule'!$E$33="Weekdays",WEEKDAY($A110,2)&lt;=5,$A110='Recurring Schedule'!$F$33))),28,""))))</f>
        <v/>
      </c>
      <c r="AD110">
        <f>IF('Recurring Schedule'!$C$34="","",IF('Recurring Schedule'!$F$34="","",IF(OR($A110&lt;'Recurring Schedule'!$F$34,$A110&gt;'Recurring Schedule'!$P$34),"",IF(IF('Recurring Schedule'!$N$34&gt;0,MOD($A110-'Recurring Schedule'!$F$34,'Recurring Schedule'!$N$34)=0,IF('Recurring Schedule'!$O$34&gt;0,AND(DAY($A110)=MIN(DAY('Recurring Schedule'!$F$34),DAY(EOMONTH($A110,0))),MOD((YEAR($A110)-YEAR('Recurring Schedule'!$F$34))*12+MONTH($A110)-MONTH('Recurring Schedule'!$F$34),'Recurring Schedule'!$O$34)=0),IF('Recurring Schedule'!$E$34="Weekdays",WEEKDAY($A110,2)&lt;=5,$A110='Recurring Schedule'!$F$34))),29,""))))</f>
        <v/>
      </c>
      <c r="AE110">
        <f>IF('Recurring Schedule'!$C$35="","",IF('Recurring Schedule'!$F$35="","",IF(OR($A110&lt;'Recurring Schedule'!$F$35,$A110&gt;'Recurring Schedule'!$P$35),"",IF(IF('Recurring Schedule'!$N$35&gt;0,MOD($A110-'Recurring Schedule'!$F$35,'Recurring Schedule'!$N$35)=0,IF('Recurring Schedule'!$O$35&gt;0,AND(DAY($A110)=MIN(DAY('Recurring Schedule'!$F$35),DAY(EOMONTH($A110,0))),MOD((YEAR($A110)-YEAR('Recurring Schedule'!$F$35))*12+MONTH($A110)-MONTH('Recurring Schedule'!$F$35),'Recurring Schedule'!$O$35)=0),IF('Recurring Schedule'!$E$35="Weekdays",WEEKDAY($A110,2)&lt;=5,$A110='Recurring Schedule'!$F$35))),30,""))))</f>
        <v/>
      </c>
      <c r="AF110">
        <f>IF('Recurring Schedule'!$C$36="","",IF('Recurring Schedule'!$F$36="","",IF(OR($A110&lt;'Recurring Schedule'!$F$36,$A110&gt;'Recurring Schedule'!$P$36),"",IF(IF('Recurring Schedule'!$N$36&gt;0,MOD($A110-'Recurring Schedule'!$F$36,'Recurring Schedule'!$N$36)=0,IF('Recurring Schedule'!$O$36&gt;0,AND(DAY($A110)=MIN(DAY('Recurring Schedule'!$F$36),DAY(EOMONTH($A110,0))),MOD((YEAR($A110)-YEAR('Recurring Schedule'!$F$36))*12+MONTH($A110)-MONTH('Recurring Schedule'!$F$36),'Recurring Schedule'!$O$36)=0),IF('Recurring Schedule'!$E$36="Weekdays",WEEKDAY($A110,2)&lt;=5,$A110='Recurring Schedule'!$F$36))),31,""))))</f>
        <v/>
      </c>
      <c r="AG110">
        <f>IF('Recurring Schedule'!$C$37="","",IF('Recurring Schedule'!$F$37="","",IF(OR($A110&lt;'Recurring Schedule'!$F$37,$A110&gt;'Recurring Schedule'!$P$37),"",IF(IF('Recurring Schedule'!$N$37&gt;0,MOD($A110-'Recurring Schedule'!$F$37,'Recurring Schedule'!$N$37)=0,IF('Recurring Schedule'!$O$37&gt;0,AND(DAY($A110)=MIN(DAY('Recurring Schedule'!$F$37),DAY(EOMONTH($A110,0))),MOD((YEAR($A110)-YEAR('Recurring Schedule'!$F$37))*12+MONTH($A110)-MONTH('Recurring Schedule'!$F$37),'Recurring Schedule'!$O$37)=0),IF('Recurring Schedule'!$E$37="Weekdays",WEEKDAY($A110,2)&lt;=5,$A110='Recurring Schedule'!$F$37))),32,""))))</f>
        <v/>
      </c>
      <c r="AH110">
        <f>IF('Recurring Schedule'!$C$38="","",IF('Recurring Schedule'!$F$38="","",IF(OR($A110&lt;'Recurring Schedule'!$F$38,$A110&gt;'Recurring Schedule'!$P$38),"",IF(IF('Recurring Schedule'!$N$38&gt;0,MOD($A110-'Recurring Schedule'!$F$38,'Recurring Schedule'!$N$38)=0,IF('Recurring Schedule'!$O$38&gt;0,AND(DAY($A110)=MIN(DAY('Recurring Schedule'!$F$38),DAY(EOMONTH($A110,0))),MOD((YEAR($A110)-YEAR('Recurring Schedule'!$F$38))*12+MONTH($A110)-MONTH('Recurring Schedule'!$F$38),'Recurring Schedule'!$O$38)=0),IF('Recurring Schedule'!$E$38="Weekdays",WEEKDAY($A110,2)&lt;=5,$A110='Recurring Schedule'!$F$38))),33,""))))</f>
        <v/>
      </c>
      <c r="AI110">
        <f>IF('Recurring Schedule'!$C$39="","",IF('Recurring Schedule'!$F$39="","",IF(OR($A110&lt;'Recurring Schedule'!$F$39,$A110&gt;'Recurring Schedule'!$P$39),"",IF(IF('Recurring Schedule'!$N$39&gt;0,MOD($A110-'Recurring Schedule'!$F$39,'Recurring Schedule'!$N$39)=0,IF('Recurring Schedule'!$O$39&gt;0,AND(DAY($A110)=MIN(DAY('Recurring Schedule'!$F$39),DAY(EOMONTH($A110,0))),MOD((YEAR($A110)-YEAR('Recurring Schedule'!$F$39))*12+MONTH($A110)-MONTH('Recurring Schedule'!$F$39),'Recurring Schedule'!$O$39)=0),IF('Recurring Schedule'!$E$39="Weekdays",WEEKDAY($A110,2)&lt;=5,$A110='Recurring Schedule'!$F$39))),34,""))))</f>
        <v/>
      </c>
      <c r="AJ110">
        <f>IF('Recurring Schedule'!$C$40="","",IF('Recurring Schedule'!$F$40="","",IF(OR($A110&lt;'Recurring Schedule'!$F$40,$A110&gt;'Recurring Schedule'!$P$40),"",IF(IF('Recurring Schedule'!$N$40&gt;0,MOD($A110-'Recurring Schedule'!$F$40,'Recurring Schedule'!$N$40)=0,IF('Recurring Schedule'!$O$40&gt;0,AND(DAY($A110)=MIN(DAY('Recurring Schedule'!$F$40),DAY(EOMONTH($A110,0))),MOD((YEAR($A110)-YEAR('Recurring Schedule'!$F$40))*12+MONTH($A110)-MONTH('Recurring Schedule'!$F$40),'Recurring Schedule'!$O$40)=0),IF('Recurring Schedule'!$E$40="Weekdays",WEEKDAY($A110,2)&lt;=5,$A110='Recurring Schedule'!$F$40))),35,""))))</f>
        <v/>
      </c>
      <c r="AK110">
        <f>IF('Recurring Schedule'!$C$41="","",IF('Recurring Schedule'!$F$41="","",IF(OR($A110&lt;'Recurring Schedule'!$F$41,$A110&gt;'Recurring Schedule'!$P$41),"",IF(IF('Recurring Schedule'!$N$41&gt;0,MOD($A110-'Recurring Schedule'!$F$41,'Recurring Schedule'!$N$41)=0,IF('Recurring Schedule'!$O$41&gt;0,AND(DAY($A110)=MIN(DAY('Recurring Schedule'!$F$41),DAY(EOMONTH($A110,0))),MOD((YEAR($A110)-YEAR('Recurring Schedule'!$F$41))*12+MONTH($A110)-MONTH('Recurring Schedule'!$F$41),'Recurring Schedule'!$O$41)=0),IF('Recurring Schedule'!$E$41="Weekdays",WEEKDAY($A110,2)&lt;=5,$A110='Recurring Schedule'!$F$41))),36,""))))</f>
        <v/>
      </c>
      <c r="AL110">
        <f>IF('Recurring Schedule'!$C$42="","",IF('Recurring Schedule'!$F$42="","",IF(OR($A110&lt;'Recurring Schedule'!$F$42,$A110&gt;'Recurring Schedule'!$P$42),"",IF(IF('Recurring Schedule'!$N$42&gt;0,MOD($A110-'Recurring Schedule'!$F$42,'Recurring Schedule'!$N$42)=0,IF('Recurring Schedule'!$O$42&gt;0,AND(DAY($A110)=MIN(DAY('Recurring Schedule'!$F$42),DAY(EOMONTH($A110,0))),MOD((YEAR($A110)-YEAR('Recurring Schedule'!$F$42))*12+MONTH($A110)-MONTH('Recurring Schedule'!$F$42),'Recurring Schedule'!$O$42)=0),IF('Recurring Schedule'!$E$42="Weekdays",WEEKDAY($A110,2)&lt;=5,$A110='Recurring Schedule'!$F$42))),37,""))))</f>
        <v/>
      </c>
      <c r="AM110">
        <f>IF('Recurring Schedule'!$C$43="","",IF('Recurring Schedule'!$F$43="","",IF(OR($A110&lt;'Recurring Schedule'!$F$43,$A110&gt;'Recurring Schedule'!$P$43),"",IF(IF('Recurring Schedule'!$N$43&gt;0,MOD($A110-'Recurring Schedule'!$F$43,'Recurring Schedule'!$N$43)=0,IF('Recurring Schedule'!$O$43&gt;0,AND(DAY($A110)=MIN(DAY('Recurring Schedule'!$F$43),DAY(EOMONTH($A110,0))),MOD((YEAR($A110)-YEAR('Recurring Schedule'!$F$43))*12+MONTH($A110)-MONTH('Recurring Schedule'!$F$43),'Recurring Schedule'!$O$43)=0),IF('Recurring Schedule'!$E$43="Weekdays",WEEKDAY($A110,2)&lt;=5,$A110='Recurring Schedule'!$F$43))),38,""))))</f>
        <v/>
      </c>
      <c r="AN110">
        <f>IF('Recurring Schedule'!$C$44="","",IF('Recurring Schedule'!$F$44="","",IF(OR($A110&lt;'Recurring Schedule'!$F$44,$A110&gt;'Recurring Schedule'!$P$44),"",IF(IF('Recurring Schedule'!$N$44&gt;0,MOD($A110-'Recurring Schedule'!$F$44,'Recurring Schedule'!$N$44)=0,IF('Recurring Schedule'!$O$44&gt;0,AND(DAY($A110)=MIN(DAY('Recurring Schedule'!$F$44),DAY(EOMONTH($A110,0))),MOD((YEAR($A110)-YEAR('Recurring Schedule'!$F$44))*12+MONTH($A110)-MONTH('Recurring Schedule'!$F$44),'Recurring Schedule'!$O$44)=0),IF('Recurring Schedule'!$E$44="Weekdays",WEEKDAY($A110,2)&lt;=5,$A110='Recurring Schedule'!$F$44))),39,""))))</f>
        <v/>
      </c>
      <c r="AO110">
        <f>IF('Recurring Schedule'!$C$45="","",IF('Recurring Schedule'!$F$45="","",IF(OR($A110&lt;'Recurring Schedule'!$F$45,$A110&gt;'Recurring Schedule'!$P$45),"",IF(IF('Recurring Schedule'!$N$45&gt;0,MOD($A110-'Recurring Schedule'!$F$45,'Recurring Schedule'!$N$45)=0,IF('Recurring Schedule'!$O$45&gt;0,AND(DAY($A110)=MIN(DAY('Recurring Schedule'!$F$45),DAY(EOMONTH($A110,0))),MOD((YEAR($A110)-YEAR('Recurring Schedule'!$F$45))*12+MONTH($A110)-MONTH('Recurring Schedule'!$F$45),'Recurring Schedule'!$O$45)=0),IF('Recurring Schedule'!$E$45="Weekdays",WEEKDAY($A110,2)&lt;=5,$A110='Recurring Schedule'!$F$45))),40,""))))</f>
        <v/>
      </c>
      <c r="AP110">
        <f>COUNT(B110:AO110)</f>
        <v/>
      </c>
      <c r="AQ110">
        <f>AQ109+AP109</f>
        <v/>
      </c>
      <c r="AS110" t="inlineStr">
        <is>
          <t>R</t>
        </is>
      </c>
      <c r="AT110" t="n">
        <v>114</v>
      </c>
      <c r="AU110">
        <f>'Recurring Log'!C114&amp;""</f>
        <v/>
      </c>
      <c r="AV110">
        <f>'Recurring Log'!D114&amp;""</f>
        <v/>
      </c>
      <c r="AW110">
        <f>IF('Recurring Log'!E114="","",'Recurring Log'!E114)</f>
        <v/>
      </c>
      <c r="AX110">
        <f>IF('Recurring Log'!G114="","",'Recurring Log'!G114)</f>
        <v/>
      </c>
      <c r="AY110">
        <f>IF('Recurring Log'!H114="","",'Recurring Log'!H114)</f>
        <v/>
      </c>
      <c r="AZ110">
        <f>IF(AU110="","",IF('Recurring Log'!J114="","Not Started",'Recurring Log'!J114))</f>
        <v/>
      </c>
      <c r="BA110">
        <f>'Recurring Log'!L114&amp;""</f>
        <v/>
      </c>
      <c r="BB110">
        <f>'Recurring Log'!M114&amp;""</f>
        <v/>
      </c>
      <c r="BC110">
        <f>'Recurring Log'!N114&amp;""</f>
        <v/>
      </c>
      <c r="BD110">
        <f>'Recurring Log'!O114&amp;""</f>
        <v/>
      </c>
      <c r="BE110">
        <f>IF('Recurring Log'!K114="","",'Recurring Log'!K114)</f>
        <v/>
      </c>
      <c r="BF110">
        <f>IFERROR(MATCH(BA110,Setup!$L$6:$L$9,0),5)</f>
        <v/>
      </c>
      <c r="BG110">
        <f>IF(OR(AZ110="Done",AZ110="Cancelled"),1,0)</f>
        <v/>
      </c>
      <c r="BH110">
        <f>IF(AND(AU110&lt;&gt;"",ISNUMBER(AW110)),1,0)</f>
        <v/>
      </c>
      <c r="BI110">
        <f>IF(BH110=0,0,IF(AND(AW110&gt;='Tasks Filter'!$F$3,AW110&lt;='Tasks Filter'!$F$4,OR('Tasks Filter'!$I$3="",ISNUMBER(SEARCH('Tasks Filter'!$I$3,AU110))),OR('Tasks Filter'!$I$4="",BF110=IFERROR(MATCH('Tasks Filter'!$I$4,Setup!$L$6:$L$9,0),0)),OR('Tasks Filter'!$I$5="Both",AND('Tasks Filter'!$I$5="Yes",BB110="✓"),AND('Tasks Filter'!$I$5="No",BB110&lt;&gt;"✓")),OR('Tasks Filter'!$L$3="",AV110='Tasks Filter'!$L$3),OR('Tasks Filter'!$L$4="",AZ110='Tasks Filter'!$L$4),OR('Tasks Filter'!$L$5="",BC110='Tasks Filter'!$L$5),OR('Tasks Filter'!$O$3="",BD110='Tasks Filter'!$O$3),OR('Tasks Filter'!$O$4="Yes",BG110=0)),1,0))</f>
        <v/>
      </c>
      <c r="BJ110">
        <f>IF(BH110=0,"",IF('Tasks Filter'!$F$6="Descending",-1,1)*CHOOSE(MATCH('Tasks Filter'!$F$5,Lists!$G$2:$G$6,0),AW110,BF110,IFERROR(MATCH(AV110,Setup!$F$6:$F$15,0),99),IFERROR(MATCH(BC110,Setup!$H$6:$H$15,0),99),IFERROR(MATCH(AZ110,Setup!$J$6:$J$11,0),99))*1E+9+(AW110-40000)*10000+109)</f>
        <v/>
      </c>
      <c r="BK110">
        <f>IF(BI110=1,BJ110,"")</f>
        <v/>
      </c>
      <c r="BL110">
        <f>IF(AND(BH110=1,BG110=0,N(AW110)&lt;Setup!$D$7),(AW110-40000)*10000+109,"")</f>
        <v/>
      </c>
      <c r="BM110">
        <f>IF(AND(BH110=1,AZ110&lt;&gt;"Cancelled",N(AW110)&gt;=Dashboard!$AB$3,N(AW110)&lt;=Dashboard!$AB$3+6),(AW110-40000)*100000+BF110*10000+109,"")</f>
        <v/>
      </c>
      <c r="BN110">
        <f>IF(AND(BH110=1,AZ110&lt;&gt;"Cancelled"),BF110*10000+109,"")</f>
        <v/>
      </c>
    </row>
    <row r="111">
      <c r="A111">
        <f>Setup!$D$5+109</f>
        <v/>
      </c>
      <c r="B111">
        <f>IF('Recurring Schedule'!$C$6="","",IF('Recurring Schedule'!$F$6="","",IF(OR($A111&lt;'Recurring Schedule'!$F$6,$A111&gt;'Recurring Schedule'!$P$6),"",IF(IF('Recurring Schedule'!$N$6&gt;0,MOD($A111-'Recurring Schedule'!$F$6,'Recurring Schedule'!$N$6)=0,IF('Recurring Schedule'!$O$6&gt;0,AND(DAY($A111)=MIN(DAY('Recurring Schedule'!$F$6),DAY(EOMONTH($A111,0))),MOD((YEAR($A111)-YEAR('Recurring Schedule'!$F$6))*12+MONTH($A111)-MONTH('Recurring Schedule'!$F$6),'Recurring Schedule'!$O$6)=0),IF('Recurring Schedule'!$E$6="Weekdays",WEEKDAY($A111,2)&lt;=5,$A111='Recurring Schedule'!$F$6))),1,""))))</f>
        <v/>
      </c>
      <c r="C111">
        <f>IF('Recurring Schedule'!$C$7="","",IF('Recurring Schedule'!$F$7="","",IF(OR($A111&lt;'Recurring Schedule'!$F$7,$A111&gt;'Recurring Schedule'!$P$7),"",IF(IF('Recurring Schedule'!$N$7&gt;0,MOD($A111-'Recurring Schedule'!$F$7,'Recurring Schedule'!$N$7)=0,IF('Recurring Schedule'!$O$7&gt;0,AND(DAY($A111)=MIN(DAY('Recurring Schedule'!$F$7),DAY(EOMONTH($A111,0))),MOD((YEAR($A111)-YEAR('Recurring Schedule'!$F$7))*12+MONTH($A111)-MONTH('Recurring Schedule'!$F$7),'Recurring Schedule'!$O$7)=0),IF('Recurring Schedule'!$E$7="Weekdays",WEEKDAY($A111,2)&lt;=5,$A111='Recurring Schedule'!$F$7))),2,""))))</f>
        <v/>
      </c>
      <c r="D111">
        <f>IF('Recurring Schedule'!$C$8="","",IF('Recurring Schedule'!$F$8="","",IF(OR($A111&lt;'Recurring Schedule'!$F$8,$A111&gt;'Recurring Schedule'!$P$8),"",IF(IF('Recurring Schedule'!$N$8&gt;0,MOD($A111-'Recurring Schedule'!$F$8,'Recurring Schedule'!$N$8)=0,IF('Recurring Schedule'!$O$8&gt;0,AND(DAY($A111)=MIN(DAY('Recurring Schedule'!$F$8),DAY(EOMONTH($A111,0))),MOD((YEAR($A111)-YEAR('Recurring Schedule'!$F$8))*12+MONTH($A111)-MONTH('Recurring Schedule'!$F$8),'Recurring Schedule'!$O$8)=0),IF('Recurring Schedule'!$E$8="Weekdays",WEEKDAY($A111,2)&lt;=5,$A111='Recurring Schedule'!$F$8))),3,""))))</f>
        <v/>
      </c>
      <c r="E111">
        <f>IF('Recurring Schedule'!$C$9="","",IF('Recurring Schedule'!$F$9="","",IF(OR($A111&lt;'Recurring Schedule'!$F$9,$A111&gt;'Recurring Schedule'!$P$9),"",IF(IF('Recurring Schedule'!$N$9&gt;0,MOD($A111-'Recurring Schedule'!$F$9,'Recurring Schedule'!$N$9)=0,IF('Recurring Schedule'!$O$9&gt;0,AND(DAY($A111)=MIN(DAY('Recurring Schedule'!$F$9),DAY(EOMONTH($A111,0))),MOD((YEAR($A111)-YEAR('Recurring Schedule'!$F$9))*12+MONTH($A111)-MONTH('Recurring Schedule'!$F$9),'Recurring Schedule'!$O$9)=0),IF('Recurring Schedule'!$E$9="Weekdays",WEEKDAY($A111,2)&lt;=5,$A111='Recurring Schedule'!$F$9))),4,""))))</f>
        <v/>
      </c>
      <c r="F111">
        <f>IF('Recurring Schedule'!$C$10="","",IF('Recurring Schedule'!$F$10="","",IF(OR($A111&lt;'Recurring Schedule'!$F$10,$A111&gt;'Recurring Schedule'!$P$10),"",IF(IF('Recurring Schedule'!$N$10&gt;0,MOD($A111-'Recurring Schedule'!$F$10,'Recurring Schedule'!$N$10)=0,IF('Recurring Schedule'!$O$10&gt;0,AND(DAY($A111)=MIN(DAY('Recurring Schedule'!$F$10),DAY(EOMONTH($A111,0))),MOD((YEAR($A111)-YEAR('Recurring Schedule'!$F$10))*12+MONTH($A111)-MONTH('Recurring Schedule'!$F$10),'Recurring Schedule'!$O$10)=0),IF('Recurring Schedule'!$E$10="Weekdays",WEEKDAY($A111,2)&lt;=5,$A111='Recurring Schedule'!$F$10))),5,""))))</f>
        <v/>
      </c>
      <c r="G111">
        <f>IF('Recurring Schedule'!$C$11="","",IF('Recurring Schedule'!$F$11="","",IF(OR($A111&lt;'Recurring Schedule'!$F$11,$A111&gt;'Recurring Schedule'!$P$11),"",IF(IF('Recurring Schedule'!$N$11&gt;0,MOD($A111-'Recurring Schedule'!$F$11,'Recurring Schedule'!$N$11)=0,IF('Recurring Schedule'!$O$11&gt;0,AND(DAY($A111)=MIN(DAY('Recurring Schedule'!$F$11),DAY(EOMONTH($A111,0))),MOD((YEAR($A111)-YEAR('Recurring Schedule'!$F$11))*12+MONTH($A111)-MONTH('Recurring Schedule'!$F$11),'Recurring Schedule'!$O$11)=0),IF('Recurring Schedule'!$E$11="Weekdays",WEEKDAY($A111,2)&lt;=5,$A111='Recurring Schedule'!$F$11))),6,""))))</f>
        <v/>
      </c>
      <c r="H111">
        <f>IF('Recurring Schedule'!$C$12="","",IF('Recurring Schedule'!$F$12="","",IF(OR($A111&lt;'Recurring Schedule'!$F$12,$A111&gt;'Recurring Schedule'!$P$12),"",IF(IF('Recurring Schedule'!$N$12&gt;0,MOD($A111-'Recurring Schedule'!$F$12,'Recurring Schedule'!$N$12)=0,IF('Recurring Schedule'!$O$12&gt;0,AND(DAY($A111)=MIN(DAY('Recurring Schedule'!$F$12),DAY(EOMONTH($A111,0))),MOD((YEAR($A111)-YEAR('Recurring Schedule'!$F$12))*12+MONTH($A111)-MONTH('Recurring Schedule'!$F$12),'Recurring Schedule'!$O$12)=0),IF('Recurring Schedule'!$E$12="Weekdays",WEEKDAY($A111,2)&lt;=5,$A111='Recurring Schedule'!$F$12))),7,""))))</f>
        <v/>
      </c>
      <c r="I111">
        <f>IF('Recurring Schedule'!$C$13="","",IF('Recurring Schedule'!$F$13="","",IF(OR($A111&lt;'Recurring Schedule'!$F$13,$A111&gt;'Recurring Schedule'!$P$13),"",IF(IF('Recurring Schedule'!$N$13&gt;0,MOD($A111-'Recurring Schedule'!$F$13,'Recurring Schedule'!$N$13)=0,IF('Recurring Schedule'!$O$13&gt;0,AND(DAY($A111)=MIN(DAY('Recurring Schedule'!$F$13),DAY(EOMONTH($A111,0))),MOD((YEAR($A111)-YEAR('Recurring Schedule'!$F$13))*12+MONTH($A111)-MONTH('Recurring Schedule'!$F$13),'Recurring Schedule'!$O$13)=0),IF('Recurring Schedule'!$E$13="Weekdays",WEEKDAY($A111,2)&lt;=5,$A111='Recurring Schedule'!$F$13))),8,""))))</f>
        <v/>
      </c>
      <c r="J111">
        <f>IF('Recurring Schedule'!$C$14="","",IF('Recurring Schedule'!$F$14="","",IF(OR($A111&lt;'Recurring Schedule'!$F$14,$A111&gt;'Recurring Schedule'!$P$14),"",IF(IF('Recurring Schedule'!$N$14&gt;0,MOD($A111-'Recurring Schedule'!$F$14,'Recurring Schedule'!$N$14)=0,IF('Recurring Schedule'!$O$14&gt;0,AND(DAY($A111)=MIN(DAY('Recurring Schedule'!$F$14),DAY(EOMONTH($A111,0))),MOD((YEAR($A111)-YEAR('Recurring Schedule'!$F$14))*12+MONTH($A111)-MONTH('Recurring Schedule'!$F$14),'Recurring Schedule'!$O$14)=0),IF('Recurring Schedule'!$E$14="Weekdays",WEEKDAY($A111,2)&lt;=5,$A111='Recurring Schedule'!$F$14))),9,""))))</f>
        <v/>
      </c>
      <c r="K111">
        <f>IF('Recurring Schedule'!$C$15="","",IF('Recurring Schedule'!$F$15="","",IF(OR($A111&lt;'Recurring Schedule'!$F$15,$A111&gt;'Recurring Schedule'!$P$15),"",IF(IF('Recurring Schedule'!$N$15&gt;0,MOD($A111-'Recurring Schedule'!$F$15,'Recurring Schedule'!$N$15)=0,IF('Recurring Schedule'!$O$15&gt;0,AND(DAY($A111)=MIN(DAY('Recurring Schedule'!$F$15),DAY(EOMONTH($A111,0))),MOD((YEAR($A111)-YEAR('Recurring Schedule'!$F$15))*12+MONTH($A111)-MONTH('Recurring Schedule'!$F$15),'Recurring Schedule'!$O$15)=0),IF('Recurring Schedule'!$E$15="Weekdays",WEEKDAY($A111,2)&lt;=5,$A111='Recurring Schedule'!$F$15))),10,""))))</f>
        <v/>
      </c>
      <c r="L111">
        <f>IF('Recurring Schedule'!$C$16="","",IF('Recurring Schedule'!$F$16="","",IF(OR($A111&lt;'Recurring Schedule'!$F$16,$A111&gt;'Recurring Schedule'!$P$16),"",IF(IF('Recurring Schedule'!$N$16&gt;0,MOD($A111-'Recurring Schedule'!$F$16,'Recurring Schedule'!$N$16)=0,IF('Recurring Schedule'!$O$16&gt;0,AND(DAY($A111)=MIN(DAY('Recurring Schedule'!$F$16),DAY(EOMONTH($A111,0))),MOD((YEAR($A111)-YEAR('Recurring Schedule'!$F$16))*12+MONTH($A111)-MONTH('Recurring Schedule'!$F$16),'Recurring Schedule'!$O$16)=0),IF('Recurring Schedule'!$E$16="Weekdays",WEEKDAY($A111,2)&lt;=5,$A111='Recurring Schedule'!$F$16))),11,""))))</f>
        <v/>
      </c>
      <c r="M111">
        <f>IF('Recurring Schedule'!$C$17="","",IF('Recurring Schedule'!$F$17="","",IF(OR($A111&lt;'Recurring Schedule'!$F$17,$A111&gt;'Recurring Schedule'!$P$17),"",IF(IF('Recurring Schedule'!$N$17&gt;0,MOD($A111-'Recurring Schedule'!$F$17,'Recurring Schedule'!$N$17)=0,IF('Recurring Schedule'!$O$17&gt;0,AND(DAY($A111)=MIN(DAY('Recurring Schedule'!$F$17),DAY(EOMONTH($A111,0))),MOD((YEAR($A111)-YEAR('Recurring Schedule'!$F$17))*12+MONTH($A111)-MONTH('Recurring Schedule'!$F$17),'Recurring Schedule'!$O$17)=0),IF('Recurring Schedule'!$E$17="Weekdays",WEEKDAY($A111,2)&lt;=5,$A111='Recurring Schedule'!$F$17))),12,""))))</f>
        <v/>
      </c>
      <c r="N111">
        <f>IF('Recurring Schedule'!$C$18="","",IF('Recurring Schedule'!$F$18="","",IF(OR($A111&lt;'Recurring Schedule'!$F$18,$A111&gt;'Recurring Schedule'!$P$18),"",IF(IF('Recurring Schedule'!$N$18&gt;0,MOD($A111-'Recurring Schedule'!$F$18,'Recurring Schedule'!$N$18)=0,IF('Recurring Schedule'!$O$18&gt;0,AND(DAY($A111)=MIN(DAY('Recurring Schedule'!$F$18),DAY(EOMONTH($A111,0))),MOD((YEAR($A111)-YEAR('Recurring Schedule'!$F$18))*12+MONTH($A111)-MONTH('Recurring Schedule'!$F$18),'Recurring Schedule'!$O$18)=0),IF('Recurring Schedule'!$E$18="Weekdays",WEEKDAY($A111,2)&lt;=5,$A111='Recurring Schedule'!$F$18))),13,""))))</f>
        <v/>
      </c>
      <c r="O111">
        <f>IF('Recurring Schedule'!$C$19="","",IF('Recurring Schedule'!$F$19="","",IF(OR($A111&lt;'Recurring Schedule'!$F$19,$A111&gt;'Recurring Schedule'!$P$19),"",IF(IF('Recurring Schedule'!$N$19&gt;0,MOD($A111-'Recurring Schedule'!$F$19,'Recurring Schedule'!$N$19)=0,IF('Recurring Schedule'!$O$19&gt;0,AND(DAY($A111)=MIN(DAY('Recurring Schedule'!$F$19),DAY(EOMONTH($A111,0))),MOD((YEAR($A111)-YEAR('Recurring Schedule'!$F$19))*12+MONTH($A111)-MONTH('Recurring Schedule'!$F$19),'Recurring Schedule'!$O$19)=0),IF('Recurring Schedule'!$E$19="Weekdays",WEEKDAY($A111,2)&lt;=5,$A111='Recurring Schedule'!$F$19))),14,""))))</f>
        <v/>
      </c>
      <c r="P111">
        <f>IF('Recurring Schedule'!$C$20="","",IF('Recurring Schedule'!$F$20="","",IF(OR($A111&lt;'Recurring Schedule'!$F$20,$A111&gt;'Recurring Schedule'!$P$20),"",IF(IF('Recurring Schedule'!$N$20&gt;0,MOD($A111-'Recurring Schedule'!$F$20,'Recurring Schedule'!$N$20)=0,IF('Recurring Schedule'!$O$20&gt;0,AND(DAY($A111)=MIN(DAY('Recurring Schedule'!$F$20),DAY(EOMONTH($A111,0))),MOD((YEAR($A111)-YEAR('Recurring Schedule'!$F$20))*12+MONTH($A111)-MONTH('Recurring Schedule'!$F$20),'Recurring Schedule'!$O$20)=0),IF('Recurring Schedule'!$E$20="Weekdays",WEEKDAY($A111,2)&lt;=5,$A111='Recurring Schedule'!$F$20))),15,""))))</f>
        <v/>
      </c>
      <c r="Q111">
        <f>IF('Recurring Schedule'!$C$21="","",IF('Recurring Schedule'!$F$21="","",IF(OR($A111&lt;'Recurring Schedule'!$F$21,$A111&gt;'Recurring Schedule'!$P$21),"",IF(IF('Recurring Schedule'!$N$21&gt;0,MOD($A111-'Recurring Schedule'!$F$21,'Recurring Schedule'!$N$21)=0,IF('Recurring Schedule'!$O$21&gt;0,AND(DAY($A111)=MIN(DAY('Recurring Schedule'!$F$21),DAY(EOMONTH($A111,0))),MOD((YEAR($A111)-YEAR('Recurring Schedule'!$F$21))*12+MONTH($A111)-MONTH('Recurring Schedule'!$F$21),'Recurring Schedule'!$O$21)=0),IF('Recurring Schedule'!$E$21="Weekdays",WEEKDAY($A111,2)&lt;=5,$A111='Recurring Schedule'!$F$21))),16,""))))</f>
        <v/>
      </c>
      <c r="R111">
        <f>IF('Recurring Schedule'!$C$22="","",IF('Recurring Schedule'!$F$22="","",IF(OR($A111&lt;'Recurring Schedule'!$F$22,$A111&gt;'Recurring Schedule'!$P$22),"",IF(IF('Recurring Schedule'!$N$22&gt;0,MOD($A111-'Recurring Schedule'!$F$22,'Recurring Schedule'!$N$22)=0,IF('Recurring Schedule'!$O$22&gt;0,AND(DAY($A111)=MIN(DAY('Recurring Schedule'!$F$22),DAY(EOMONTH($A111,0))),MOD((YEAR($A111)-YEAR('Recurring Schedule'!$F$22))*12+MONTH($A111)-MONTH('Recurring Schedule'!$F$22),'Recurring Schedule'!$O$22)=0),IF('Recurring Schedule'!$E$22="Weekdays",WEEKDAY($A111,2)&lt;=5,$A111='Recurring Schedule'!$F$22))),17,""))))</f>
        <v/>
      </c>
      <c r="S111">
        <f>IF('Recurring Schedule'!$C$23="","",IF('Recurring Schedule'!$F$23="","",IF(OR($A111&lt;'Recurring Schedule'!$F$23,$A111&gt;'Recurring Schedule'!$P$23),"",IF(IF('Recurring Schedule'!$N$23&gt;0,MOD($A111-'Recurring Schedule'!$F$23,'Recurring Schedule'!$N$23)=0,IF('Recurring Schedule'!$O$23&gt;0,AND(DAY($A111)=MIN(DAY('Recurring Schedule'!$F$23),DAY(EOMONTH($A111,0))),MOD((YEAR($A111)-YEAR('Recurring Schedule'!$F$23))*12+MONTH($A111)-MONTH('Recurring Schedule'!$F$23),'Recurring Schedule'!$O$23)=0),IF('Recurring Schedule'!$E$23="Weekdays",WEEKDAY($A111,2)&lt;=5,$A111='Recurring Schedule'!$F$23))),18,""))))</f>
        <v/>
      </c>
      <c r="T111">
        <f>IF('Recurring Schedule'!$C$24="","",IF('Recurring Schedule'!$F$24="","",IF(OR($A111&lt;'Recurring Schedule'!$F$24,$A111&gt;'Recurring Schedule'!$P$24),"",IF(IF('Recurring Schedule'!$N$24&gt;0,MOD($A111-'Recurring Schedule'!$F$24,'Recurring Schedule'!$N$24)=0,IF('Recurring Schedule'!$O$24&gt;0,AND(DAY($A111)=MIN(DAY('Recurring Schedule'!$F$24),DAY(EOMONTH($A111,0))),MOD((YEAR($A111)-YEAR('Recurring Schedule'!$F$24))*12+MONTH($A111)-MONTH('Recurring Schedule'!$F$24),'Recurring Schedule'!$O$24)=0),IF('Recurring Schedule'!$E$24="Weekdays",WEEKDAY($A111,2)&lt;=5,$A111='Recurring Schedule'!$F$24))),19,""))))</f>
        <v/>
      </c>
      <c r="U111">
        <f>IF('Recurring Schedule'!$C$25="","",IF('Recurring Schedule'!$F$25="","",IF(OR($A111&lt;'Recurring Schedule'!$F$25,$A111&gt;'Recurring Schedule'!$P$25),"",IF(IF('Recurring Schedule'!$N$25&gt;0,MOD($A111-'Recurring Schedule'!$F$25,'Recurring Schedule'!$N$25)=0,IF('Recurring Schedule'!$O$25&gt;0,AND(DAY($A111)=MIN(DAY('Recurring Schedule'!$F$25),DAY(EOMONTH($A111,0))),MOD((YEAR($A111)-YEAR('Recurring Schedule'!$F$25))*12+MONTH($A111)-MONTH('Recurring Schedule'!$F$25),'Recurring Schedule'!$O$25)=0),IF('Recurring Schedule'!$E$25="Weekdays",WEEKDAY($A111,2)&lt;=5,$A111='Recurring Schedule'!$F$25))),20,""))))</f>
        <v/>
      </c>
      <c r="V111">
        <f>IF('Recurring Schedule'!$C$26="","",IF('Recurring Schedule'!$F$26="","",IF(OR($A111&lt;'Recurring Schedule'!$F$26,$A111&gt;'Recurring Schedule'!$P$26),"",IF(IF('Recurring Schedule'!$N$26&gt;0,MOD($A111-'Recurring Schedule'!$F$26,'Recurring Schedule'!$N$26)=0,IF('Recurring Schedule'!$O$26&gt;0,AND(DAY($A111)=MIN(DAY('Recurring Schedule'!$F$26),DAY(EOMONTH($A111,0))),MOD((YEAR($A111)-YEAR('Recurring Schedule'!$F$26))*12+MONTH($A111)-MONTH('Recurring Schedule'!$F$26),'Recurring Schedule'!$O$26)=0),IF('Recurring Schedule'!$E$26="Weekdays",WEEKDAY($A111,2)&lt;=5,$A111='Recurring Schedule'!$F$26))),21,""))))</f>
        <v/>
      </c>
      <c r="W111">
        <f>IF('Recurring Schedule'!$C$27="","",IF('Recurring Schedule'!$F$27="","",IF(OR($A111&lt;'Recurring Schedule'!$F$27,$A111&gt;'Recurring Schedule'!$P$27),"",IF(IF('Recurring Schedule'!$N$27&gt;0,MOD($A111-'Recurring Schedule'!$F$27,'Recurring Schedule'!$N$27)=0,IF('Recurring Schedule'!$O$27&gt;0,AND(DAY($A111)=MIN(DAY('Recurring Schedule'!$F$27),DAY(EOMONTH($A111,0))),MOD((YEAR($A111)-YEAR('Recurring Schedule'!$F$27))*12+MONTH($A111)-MONTH('Recurring Schedule'!$F$27),'Recurring Schedule'!$O$27)=0),IF('Recurring Schedule'!$E$27="Weekdays",WEEKDAY($A111,2)&lt;=5,$A111='Recurring Schedule'!$F$27))),22,""))))</f>
        <v/>
      </c>
      <c r="X111">
        <f>IF('Recurring Schedule'!$C$28="","",IF('Recurring Schedule'!$F$28="","",IF(OR($A111&lt;'Recurring Schedule'!$F$28,$A111&gt;'Recurring Schedule'!$P$28),"",IF(IF('Recurring Schedule'!$N$28&gt;0,MOD($A111-'Recurring Schedule'!$F$28,'Recurring Schedule'!$N$28)=0,IF('Recurring Schedule'!$O$28&gt;0,AND(DAY($A111)=MIN(DAY('Recurring Schedule'!$F$28),DAY(EOMONTH($A111,0))),MOD((YEAR($A111)-YEAR('Recurring Schedule'!$F$28))*12+MONTH($A111)-MONTH('Recurring Schedule'!$F$28),'Recurring Schedule'!$O$28)=0),IF('Recurring Schedule'!$E$28="Weekdays",WEEKDAY($A111,2)&lt;=5,$A111='Recurring Schedule'!$F$28))),23,""))))</f>
        <v/>
      </c>
      <c r="Y111">
        <f>IF('Recurring Schedule'!$C$29="","",IF('Recurring Schedule'!$F$29="","",IF(OR($A111&lt;'Recurring Schedule'!$F$29,$A111&gt;'Recurring Schedule'!$P$29),"",IF(IF('Recurring Schedule'!$N$29&gt;0,MOD($A111-'Recurring Schedule'!$F$29,'Recurring Schedule'!$N$29)=0,IF('Recurring Schedule'!$O$29&gt;0,AND(DAY($A111)=MIN(DAY('Recurring Schedule'!$F$29),DAY(EOMONTH($A111,0))),MOD((YEAR($A111)-YEAR('Recurring Schedule'!$F$29))*12+MONTH($A111)-MONTH('Recurring Schedule'!$F$29),'Recurring Schedule'!$O$29)=0),IF('Recurring Schedule'!$E$29="Weekdays",WEEKDAY($A111,2)&lt;=5,$A111='Recurring Schedule'!$F$29))),24,""))))</f>
        <v/>
      </c>
      <c r="Z111">
        <f>IF('Recurring Schedule'!$C$30="","",IF('Recurring Schedule'!$F$30="","",IF(OR($A111&lt;'Recurring Schedule'!$F$30,$A111&gt;'Recurring Schedule'!$P$30),"",IF(IF('Recurring Schedule'!$N$30&gt;0,MOD($A111-'Recurring Schedule'!$F$30,'Recurring Schedule'!$N$30)=0,IF('Recurring Schedule'!$O$30&gt;0,AND(DAY($A111)=MIN(DAY('Recurring Schedule'!$F$30),DAY(EOMONTH($A111,0))),MOD((YEAR($A111)-YEAR('Recurring Schedule'!$F$30))*12+MONTH($A111)-MONTH('Recurring Schedule'!$F$30),'Recurring Schedule'!$O$30)=0),IF('Recurring Schedule'!$E$30="Weekdays",WEEKDAY($A111,2)&lt;=5,$A111='Recurring Schedule'!$F$30))),25,""))))</f>
        <v/>
      </c>
      <c r="AA111">
        <f>IF('Recurring Schedule'!$C$31="","",IF('Recurring Schedule'!$F$31="","",IF(OR($A111&lt;'Recurring Schedule'!$F$31,$A111&gt;'Recurring Schedule'!$P$31),"",IF(IF('Recurring Schedule'!$N$31&gt;0,MOD($A111-'Recurring Schedule'!$F$31,'Recurring Schedule'!$N$31)=0,IF('Recurring Schedule'!$O$31&gt;0,AND(DAY($A111)=MIN(DAY('Recurring Schedule'!$F$31),DAY(EOMONTH($A111,0))),MOD((YEAR($A111)-YEAR('Recurring Schedule'!$F$31))*12+MONTH($A111)-MONTH('Recurring Schedule'!$F$31),'Recurring Schedule'!$O$31)=0),IF('Recurring Schedule'!$E$31="Weekdays",WEEKDAY($A111,2)&lt;=5,$A111='Recurring Schedule'!$F$31))),26,""))))</f>
        <v/>
      </c>
      <c r="AB111">
        <f>IF('Recurring Schedule'!$C$32="","",IF('Recurring Schedule'!$F$32="","",IF(OR($A111&lt;'Recurring Schedule'!$F$32,$A111&gt;'Recurring Schedule'!$P$32),"",IF(IF('Recurring Schedule'!$N$32&gt;0,MOD($A111-'Recurring Schedule'!$F$32,'Recurring Schedule'!$N$32)=0,IF('Recurring Schedule'!$O$32&gt;0,AND(DAY($A111)=MIN(DAY('Recurring Schedule'!$F$32),DAY(EOMONTH($A111,0))),MOD((YEAR($A111)-YEAR('Recurring Schedule'!$F$32))*12+MONTH($A111)-MONTH('Recurring Schedule'!$F$32),'Recurring Schedule'!$O$32)=0),IF('Recurring Schedule'!$E$32="Weekdays",WEEKDAY($A111,2)&lt;=5,$A111='Recurring Schedule'!$F$32))),27,""))))</f>
        <v/>
      </c>
      <c r="AC111">
        <f>IF('Recurring Schedule'!$C$33="","",IF('Recurring Schedule'!$F$33="","",IF(OR($A111&lt;'Recurring Schedule'!$F$33,$A111&gt;'Recurring Schedule'!$P$33),"",IF(IF('Recurring Schedule'!$N$33&gt;0,MOD($A111-'Recurring Schedule'!$F$33,'Recurring Schedule'!$N$33)=0,IF('Recurring Schedule'!$O$33&gt;0,AND(DAY($A111)=MIN(DAY('Recurring Schedule'!$F$33),DAY(EOMONTH($A111,0))),MOD((YEAR($A111)-YEAR('Recurring Schedule'!$F$33))*12+MONTH($A111)-MONTH('Recurring Schedule'!$F$33),'Recurring Schedule'!$O$33)=0),IF('Recurring Schedule'!$E$33="Weekdays",WEEKDAY($A111,2)&lt;=5,$A111='Recurring Schedule'!$F$33))),28,""))))</f>
        <v/>
      </c>
      <c r="AD111">
        <f>IF('Recurring Schedule'!$C$34="","",IF('Recurring Schedule'!$F$34="","",IF(OR($A111&lt;'Recurring Schedule'!$F$34,$A111&gt;'Recurring Schedule'!$P$34),"",IF(IF('Recurring Schedule'!$N$34&gt;0,MOD($A111-'Recurring Schedule'!$F$34,'Recurring Schedule'!$N$34)=0,IF('Recurring Schedule'!$O$34&gt;0,AND(DAY($A111)=MIN(DAY('Recurring Schedule'!$F$34),DAY(EOMONTH($A111,0))),MOD((YEAR($A111)-YEAR('Recurring Schedule'!$F$34))*12+MONTH($A111)-MONTH('Recurring Schedule'!$F$34),'Recurring Schedule'!$O$34)=0),IF('Recurring Schedule'!$E$34="Weekdays",WEEKDAY($A111,2)&lt;=5,$A111='Recurring Schedule'!$F$34))),29,""))))</f>
        <v/>
      </c>
      <c r="AE111">
        <f>IF('Recurring Schedule'!$C$35="","",IF('Recurring Schedule'!$F$35="","",IF(OR($A111&lt;'Recurring Schedule'!$F$35,$A111&gt;'Recurring Schedule'!$P$35),"",IF(IF('Recurring Schedule'!$N$35&gt;0,MOD($A111-'Recurring Schedule'!$F$35,'Recurring Schedule'!$N$35)=0,IF('Recurring Schedule'!$O$35&gt;0,AND(DAY($A111)=MIN(DAY('Recurring Schedule'!$F$35),DAY(EOMONTH($A111,0))),MOD((YEAR($A111)-YEAR('Recurring Schedule'!$F$35))*12+MONTH($A111)-MONTH('Recurring Schedule'!$F$35),'Recurring Schedule'!$O$35)=0),IF('Recurring Schedule'!$E$35="Weekdays",WEEKDAY($A111,2)&lt;=5,$A111='Recurring Schedule'!$F$35))),30,""))))</f>
        <v/>
      </c>
      <c r="AF111">
        <f>IF('Recurring Schedule'!$C$36="","",IF('Recurring Schedule'!$F$36="","",IF(OR($A111&lt;'Recurring Schedule'!$F$36,$A111&gt;'Recurring Schedule'!$P$36),"",IF(IF('Recurring Schedule'!$N$36&gt;0,MOD($A111-'Recurring Schedule'!$F$36,'Recurring Schedule'!$N$36)=0,IF('Recurring Schedule'!$O$36&gt;0,AND(DAY($A111)=MIN(DAY('Recurring Schedule'!$F$36),DAY(EOMONTH($A111,0))),MOD((YEAR($A111)-YEAR('Recurring Schedule'!$F$36))*12+MONTH($A111)-MONTH('Recurring Schedule'!$F$36),'Recurring Schedule'!$O$36)=0),IF('Recurring Schedule'!$E$36="Weekdays",WEEKDAY($A111,2)&lt;=5,$A111='Recurring Schedule'!$F$36))),31,""))))</f>
        <v/>
      </c>
      <c r="AG111">
        <f>IF('Recurring Schedule'!$C$37="","",IF('Recurring Schedule'!$F$37="","",IF(OR($A111&lt;'Recurring Schedule'!$F$37,$A111&gt;'Recurring Schedule'!$P$37),"",IF(IF('Recurring Schedule'!$N$37&gt;0,MOD($A111-'Recurring Schedule'!$F$37,'Recurring Schedule'!$N$37)=0,IF('Recurring Schedule'!$O$37&gt;0,AND(DAY($A111)=MIN(DAY('Recurring Schedule'!$F$37),DAY(EOMONTH($A111,0))),MOD((YEAR($A111)-YEAR('Recurring Schedule'!$F$37))*12+MONTH($A111)-MONTH('Recurring Schedule'!$F$37),'Recurring Schedule'!$O$37)=0),IF('Recurring Schedule'!$E$37="Weekdays",WEEKDAY($A111,2)&lt;=5,$A111='Recurring Schedule'!$F$37))),32,""))))</f>
        <v/>
      </c>
      <c r="AH111">
        <f>IF('Recurring Schedule'!$C$38="","",IF('Recurring Schedule'!$F$38="","",IF(OR($A111&lt;'Recurring Schedule'!$F$38,$A111&gt;'Recurring Schedule'!$P$38),"",IF(IF('Recurring Schedule'!$N$38&gt;0,MOD($A111-'Recurring Schedule'!$F$38,'Recurring Schedule'!$N$38)=0,IF('Recurring Schedule'!$O$38&gt;0,AND(DAY($A111)=MIN(DAY('Recurring Schedule'!$F$38),DAY(EOMONTH($A111,0))),MOD((YEAR($A111)-YEAR('Recurring Schedule'!$F$38))*12+MONTH($A111)-MONTH('Recurring Schedule'!$F$38),'Recurring Schedule'!$O$38)=0),IF('Recurring Schedule'!$E$38="Weekdays",WEEKDAY($A111,2)&lt;=5,$A111='Recurring Schedule'!$F$38))),33,""))))</f>
        <v/>
      </c>
      <c r="AI111">
        <f>IF('Recurring Schedule'!$C$39="","",IF('Recurring Schedule'!$F$39="","",IF(OR($A111&lt;'Recurring Schedule'!$F$39,$A111&gt;'Recurring Schedule'!$P$39),"",IF(IF('Recurring Schedule'!$N$39&gt;0,MOD($A111-'Recurring Schedule'!$F$39,'Recurring Schedule'!$N$39)=0,IF('Recurring Schedule'!$O$39&gt;0,AND(DAY($A111)=MIN(DAY('Recurring Schedule'!$F$39),DAY(EOMONTH($A111,0))),MOD((YEAR($A111)-YEAR('Recurring Schedule'!$F$39))*12+MONTH($A111)-MONTH('Recurring Schedule'!$F$39),'Recurring Schedule'!$O$39)=0),IF('Recurring Schedule'!$E$39="Weekdays",WEEKDAY($A111,2)&lt;=5,$A111='Recurring Schedule'!$F$39))),34,""))))</f>
        <v/>
      </c>
      <c r="AJ111">
        <f>IF('Recurring Schedule'!$C$40="","",IF('Recurring Schedule'!$F$40="","",IF(OR($A111&lt;'Recurring Schedule'!$F$40,$A111&gt;'Recurring Schedule'!$P$40),"",IF(IF('Recurring Schedule'!$N$40&gt;0,MOD($A111-'Recurring Schedule'!$F$40,'Recurring Schedule'!$N$40)=0,IF('Recurring Schedule'!$O$40&gt;0,AND(DAY($A111)=MIN(DAY('Recurring Schedule'!$F$40),DAY(EOMONTH($A111,0))),MOD((YEAR($A111)-YEAR('Recurring Schedule'!$F$40))*12+MONTH($A111)-MONTH('Recurring Schedule'!$F$40),'Recurring Schedule'!$O$40)=0),IF('Recurring Schedule'!$E$40="Weekdays",WEEKDAY($A111,2)&lt;=5,$A111='Recurring Schedule'!$F$40))),35,""))))</f>
        <v/>
      </c>
      <c r="AK111">
        <f>IF('Recurring Schedule'!$C$41="","",IF('Recurring Schedule'!$F$41="","",IF(OR($A111&lt;'Recurring Schedule'!$F$41,$A111&gt;'Recurring Schedule'!$P$41),"",IF(IF('Recurring Schedule'!$N$41&gt;0,MOD($A111-'Recurring Schedule'!$F$41,'Recurring Schedule'!$N$41)=0,IF('Recurring Schedule'!$O$41&gt;0,AND(DAY($A111)=MIN(DAY('Recurring Schedule'!$F$41),DAY(EOMONTH($A111,0))),MOD((YEAR($A111)-YEAR('Recurring Schedule'!$F$41))*12+MONTH($A111)-MONTH('Recurring Schedule'!$F$41),'Recurring Schedule'!$O$41)=0),IF('Recurring Schedule'!$E$41="Weekdays",WEEKDAY($A111,2)&lt;=5,$A111='Recurring Schedule'!$F$41))),36,""))))</f>
        <v/>
      </c>
      <c r="AL111">
        <f>IF('Recurring Schedule'!$C$42="","",IF('Recurring Schedule'!$F$42="","",IF(OR($A111&lt;'Recurring Schedule'!$F$42,$A111&gt;'Recurring Schedule'!$P$42),"",IF(IF('Recurring Schedule'!$N$42&gt;0,MOD($A111-'Recurring Schedule'!$F$42,'Recurring Schedule'!$N$42)=0,IF('Recurring Schedule'!$O$42&gt;0,AND(DAY($A111)=MIN(DAY('Recurring Schedule'!$F$42),DAY(EOMONTH($A111,0))),MOD((YEAR($A111)-YEAR('Recurring Schedule'!$F$42))*12+MONTH($A111)-MONTH('Recurring Schedule'!$F$42),'Recurring Schedule'!$O$42)=0),IF('Recurring Schedule'!$E$42="Weekdays",WEEKDAY($A111,2)&lt;=5,$A111='Recurring Schedule'!$F$42))),37,""))))</f>
        <v/>
      </c>
      <c r="AM111">
        <f>IF('Recurring Schedule'!$C$43="","",IF('Recurring Schedule'!$F$43="","",IF(OR($A111&lt;'Recurring Schedule'!$F$43,$A111&gt;'Recurring Schedule'!$P$43),"",IF(IF('Recurring Schedule'!$N$43&gt;0,MOD($A111-'Recurring Schedule'!$F$43,'Recurring Schedule'!$N$43)=0,IF('Recurring Schedule'!$O$43&gt;0,AND(DAY($A111)=MIN(DAY('Recurring Schedule'!$F$43),DAY(EOMONTH($A111,0))),MOD((YEAR($A111)-YEAR('Recurring Schedule'!$F$43))*12+MONTH($A111)-MONTH('Recurring Schedule'!$F$43),'Recurring Schedule'!$O$43)=0),IF('Recurring Schedule'!$E$43="Weekdays",WEEKDAY($A111,2)&lt;=5,$A111='Recurring Schedule'!$F$43))),38,""))))</f>
        <v/>
      </c>
      <c r="AN111">
        <f>IF('Recurring Schedule'!$C$44="","",IF('Recurring Schedule'!$F$44="","",IF(OR($A111&lt;'Recurring Schedule'!$F$44,$A111&gt;'Recurring Schedule'!$P$44),"",IF(IF('Recurring Schedule'!$N$44&gt;0,MOD($A111-'Recurring Schedule'!$F$44,'Recurring Schedule'!$N$44)=0,IF('Recurring Schedule'!$O$44&gt;0,AND(DAY($A111)=MIN(DAY('Recurring Schedule'!$F$44),DAY(EOMONTH($A111,0))),MOD((YEAR($A111)-YEAR('Recurring Schedule'!$F$44))*12+MONTH($A111)-MONTH('Recurring Schedule'!$F$44),'Recurring Schedule'!$O$44)=0),IF('Recurring Schedule'!$E$44="Weekdays",WEEKDAY($A111,2)&lt;=5,$A111='Recurring Schedule'!$F$44))),39,""))))</f>
        <v/>
      </c>
      <c r="AO111">
        <f>IF('Recurring Schedule'!$C$45="","",IF('Recurring Schedule'!$F$45="","",IF(OR($A111&lt;'Recurring Schedule'!$F$45,$A111&gt;'Recurring Schedule'!$P$45),"",IF(IF('Recurring Schedule'!$N$45&gt;0,MOD($A111-'Recurring Schedule'!$F$45,'Recurring Schedule'!$N$45)=0,IF('Recurring Schedule'!$O$45&gt;0,AND(DAY($A111)=MIN(DAY('Recurring Schedule'!$F$45),DAY(EOMONTH($A111,0))),MOD((YEAR($A111)-YEAR('Recurring Schedule'!$F$45))*12+MONTH($A111)-MONTH('Recurring Schedule'!$F$45),'Recurring Schedule'!$O$45)=0),IF('Recurring Schedule'!$E$45="Weekdays",WEEKDAY($A111,2)&lt;=5,$A111='Recurring Schedule'!$F$45))),40,""))))</f>
        <v/>
      </c>
      <c r="AP111">
        <f>COUNT(B111:AO111)</f>
        <v/>
      </c>
      <c r="AQ111">
        <f>AQ110+AP110</f>
        <v/>
      </c>
      <c r="AS111" t="inlineStr">
        <is>
          <t>R</t>
        </is>
      </c>
      <c r="AT111" t="n">
        <v>115</v>
      </c>
      <c r="AU111">
        <f>'Recurring Log'!C115&amp;""</f>
        <v/>
      </c>
      <c r="AV111">
        <f>'Recurring Log'!D115&amp;""</f>
        <v/>
      </c>
      <c r="AW111">
        <f>IF('Recurring Log'!E115="","",'Recurring Log'!E115)</f>
        <v/>
      </c>
      <c r="AX111">
        <f>IF('Recurring Log'!G115="","",'Recurring Log'!G115)</f>
        <v/>
      </c>
      <c r="AY111">
        <f>IF('Recurring Log'!H115="","",'Recurring Log'!H115)</f>
        <v/>
      </c>
      <c r="AZ111">
        <f>IF(AU111="","",IF('Recurring Log'!J115="","Not Started",'Recurring Log'!J115))</f>
        <v/>
      </c>
      <c r="BA111">
        <f>'Recurring Log'!L115&amp;""</f>
        <v/>
      </c>
      <c r="BB111">
        <f>'Recurring Log'!M115&amp;""</f>
        <v/>
      </c>
      <c r="BC111">
        <f>'Recurring Log'!N115&amp;""</f>
        <v/>
      </c>
      <c r="BD111">
        <f>'Recurring Log'!O115&amp;""</f>
        <v/>
      </c>
      <c r="BE111">
        <f>IF('Recurring Log'!K115="","",'Recurring Log'!K115)</f>
        <v/>
      </c>
      <c r="BF111">
        <f>IFERROR(MATCH(BA111,Setup!$L$6:$L$9,0),5)</f>
        <v/>
      </c>
      <c r="BG111">
        <f>IF(OR(AZ111="Done",AZ111="Cancelled"),1,0)</f>
        <v/>
      </c>
      <c r="BH111">
        <f>IF(AND(AU111&lt;&gt;"",ISNUMBER(AW111)),1,0)</f>
        <v/>
      </c>
      <c r="BI111">
        <f>IF(BH111=0,0,IF(AND(AW111&gt;='Tasks Filter'!$F$3,AW111&lt;='Tasks Filter'!$F$4,OR('Tasks Filter'!$I$3="",ISNUMBER(SEARCH('Tasks Filter'!$I$3,AU111))),OR('Tasks Filter'!$I$4="",BF111=IFERROR(MATCH('Tasks Filter'!$I$4,Setup!$L$6:$L$9,0),0)),OR('Tasks Filter'!$I$5="Both",AND('Tasks Filter'!$I$5="Yes",BB111="✓"),AND('Tasks Filter'!$I$5="No",BB111&lt;&gt;"✓")),OR('Tasks Filter'!$L$3="",AV111='Tasks Filter'!$L$3),OR('Tasks Filter'!$L$4="",AZ111='Tasks Filter'!$L$4),OR('Tasks Filter'!$L$5="",BC111='Tasks Filter'!$L$5),OR('Tasks Filter'!$O$3="",BD111='Tasks Filter'!$O$3),OR('Tasks Filter'!$O$4="Yes",BG111=0)),1,0))</f>
        <v/>
      </c>
      <c r="BJ111">
        <f>IF(BH111=0,"",IF('Tasks Filter'!$F$6="Descending",-1,1)*CHOOSE(MATCH('Tasks Filter'!$F$5,Lists!$G$2:$G$6,0),AW111,BF111,IFERROR(MATCH(AV111,Setup!$F$6:$F$15,0),99),IFERROR(MATCH(BC111,Setup!$H$6:$H$15,0),99),IFERROR(MATCH(AZ111,Setup!$J$6:$J$11,0),99))*1E+9+(AW111-40000)*10000+110)</f>
        <v/>
      </c>
      <c r="BK111">
        <f>IF(BI111=1,BJ111,"")</f>
        <v/>
      </c>
      <c r="BL111">
        <f>IF(AND(BH111=1,BG111=0,N(AW111)&lt;Setup!$D$7),(AW111-40000)*10000+110,"")</f>
        <v/>
      </c>
      <c r="BM111">
        <f>IF(AND(BH111=1,AZ111&lt;&gt;"Cancelled",N(AW111)&gt;=Dashboard!$AB$3,N(AW111)&lt;=Dashboard!$AB$3+6),(AW111-40000)*100000+BF111*10000+110,"")</f>
        <v/>
      </c>
      <c r="BN111">
        <f>IF(AND(BH111=1,AZ111&lt;&gt;"Cancelled"),BF111*10000+110,"")</f>
        <v/>
      </c>
    </row>
    <row r="112">
      <c r="A112">
        <f>Setup!$D$5+110</f>
        <v/>
      </c>
      <c r="B112">
        <f>IF('Recurring Schedule'!$C$6="","",IF('Recurring Schedule'!$F$6="","",IF(OR($A112&lt;'Recurring Schedule'!$F$6,$A112&gt;'Recurring Schedule'!$P$6),"",IF(IF('Recurring Schedule'!$N$6&gt;0,MOD($A112-'Recurring Schedule'!$F$6,'Recurring Schedule'!$N$6)=0,IF('Recurring Schedule'!$O$6&gt;0,AND(DAY($A112)=MIN(DAY('Recurring Schedule'!$F$6),DAY(EOMONTH($A112,0))),MOD((YEAR($A112)-YEAR('Recurring Schedule'!$F$6))*12+MONTH($A112)-MONTH('Recurring Schedule'!$F$6),'Recurring Schedule'!$O$6)=0),IF('Recurring Schedule'!$E$6="Weekdays",WEEKDAY($A112,2)&lt;=5,$A112='Recurring Schedule'!$F$6))),1,""))))</f>
        <v/>
      </c>
      <c r="C112">
        <f>IF('Recurring Schedule'!$C$7="","",IF('Recurring Schedule'!$F$7="","",IF(OR($A112&lt;'Recurring Schedule'!$F$7,$A112&gt;'Recurring Schedule'!$P$7),"",IF(IF('Recurring Schedule'!$N$7&gt;0,MOD($A112-'Recurring Schedule'!$F$7,'Recurring Schedule'!$N$7)=0,IF('Recurring Schedule'!$O$7&gt;0,AND(DAY($A112)=MIN(DAY('Recurring Schedule'!$F$7),DAY(EOMONTH($A112,0))),MOD((YEAR($A112)-YEAR('Recurring Schedule'!$F$7))*12+MONTH($A112)-MONTH('Recurring Schedule'!$F$7),'Recurring Schedule'!$O$7)=0),IF('Recurring Schedule'!$E$7="Weekdays",WEEKDAY($A112,2)&lt;=5,$A112='Recurring Schedule'!$F$7))),2,""))))</f>
        <v/>
      </c>
      <c r="D112">
        <f>IF('Recurring Schedule'!$C$8="","",IF('Recurring Schedule'!$F$8="","",IF(OR($A112&lt;'Recurring Schedule'!$F$8,$A112&gt;'Recurring Schedule'!$P$8),"",IF(IF('Recurring Schedule'!$N$8&gt;0,MOD($A112-'Recurring Schedule'!$F$8,'Recurring Schedule'!$N$8)=0,IF('Recurring Schedule'!$O$8&gt;0,AND(DAY($A112)=MIN(DAY('Recurring Schedule'!$F$8),DAY(EOMONTH($A112,0))),MOD((YEAR($A112)-YEAR('Recurring Schedule'!$F$8))*12+MONTH($A112)-MONTH('Recurring Schedule'!$F$8),'Recurring Schedule'!$O$8)=0),IF('Recurring Schedule'!$E$8="Weekdays",WEEKDAY($A112,2)&lt;=5,$A112='Recurring Schedule'!$F$8))),3,""))))</f>
        <v/>
      </c>
      <c r="E112">
        <f>IF('Recurring Schedule'!$C$9="","",IF('Recurring Schedule'!$F$9="","",IF(OR($A112&lt;'Recurring Schedule'!$F$9,$A112&gt;'Recurring Schedule'!$P$9),"",IF(IF('Recurring Schedule'!$N$9&gt;0,MOD($A112-'Recurring Schedule'!$F$9,'Recurring Schedule'!$N$9)=0,IF('Recurring Schedule'!$O$9&gt;0,AND(DAY($A112)=MIN(DAY('Recurring Schedule'!$F$9),DAY(EOMONTH($A112,0))),MOD((YEAR($A112)-YEAR('Recurring Schedule'!$F$9))*12+MONTH($A112)-MONTH('Recurring Schedule'!$F$9),'Recurring Schedule'!$O$9)=0),IF('Recurring Schedule'!$E$9="Weekdays",WEEKDAY($A112,2)&lt;=5,$A112='Recurring Schedule'!$F$9))),4,""))))</f>
        <v/>
      </c>
      <c r="F112">
        <f>IF('Recurring Schedule'!$C$10="","",IF('Recurring Schedule'!$F$10="","",IF(OR($A112&lt;'Recurring Schedule'!$F$10,$A112&gt;'Recurring Schedule'!$P$10),"",IF(IF('Recurring Schedule'!$N$10&gt;0,MOD($A112-'Recurring Schedule'!$F$10,'Recurring Schedule'!$N$10)=0,IF('Recurring Schedule'!$O$10&gt;0,AND(DAY($A112)=MIN(DAY('Recurring Schedule'!$F$10),DAY(EOMONTH($A112,0))),MOD((YEAR($A112)-YEAR('Recurring Schedule'!$F$10))*12+MONTH($A112)-MONTH('Recurring Schedule'!$F$10),'Recurring Schedule'!$O$10)=0),IF('Recurring Schedule'!$E$10="Weekdays",WEEKDAY($A112,2)&lt;=5,$A112='Recurring Schedule'!$F$10))),5,""))))</f>
        <v/>
      </c>
      <c r="G112">
        <f>IF('Recurring Schedule'!$C$11="","",IF('Recurring Schedule'!$F$11="","",IF(OR($A112&lt;'Recurring Schedule'!$F$11,$A112&gt;'Recurring Schedule'!$P$11),"",IF(IF('Recurring Schedule'!$N$11&gt;0,MOD($A112-'Recurring Schedule'!$F$11,'Recurring Schedule'!$N$11)=0,IF('Recurring Schedule'!$O$11&gt;0,AND(DAY($A112)=MIN(DAY('Recurring Schedule'!$F$11),DAY(EOMONTH($A112,0))),MOD((YEAR($A112)-YEAR('Recurring Schedule'!$F$11))*12+MONTH($A112)-MONTH('Recurring Schedule'!$F$11),'Recurring Schedule'!$O$11)=0),IF('Recurring Schedule'!$E$11="Weekdays",WEEKDAY($A112,2)&lt;=5,$A112='Recurring Schedule'!$F$11))),6,""))))</f>
        <v/>
      </c>
      <c r="H112">
        <f>IF('Recurring Schedule'!$C$12="","",IF('Recurring Schedule'!$F$12="","",IF(OR($A112&lt;'Recurring Schedule'!$F$12,$A112&gt;'Recurring Schedule'!$P$12),"",IF(IF('Recurring Schedule'!$N$12&gt;0,MOD($A112-'Recurring Schedule'!$F$12,'Recurring Schedule'!$N$12)=0,IF('Recurring Schedule'!$O$12&gt;0,AND(DAY($A112)=MIN(DAY('Recurring Schedule'!$F$12),DAY(EOMONTH($A112,0))),MOD((YEAR($A112)-YEAR('Recurring Schedule'!$F$12))*12+MONTH($A112)-MONTH('Recurring Schedule'!$F$12),'Recurring Schedule'!$O$12)=0),IF('Recurring Schedule'!$E$12="Weekdays",WEEKDAY($A112,2)&lt;=5,$A112='Recurring Schedule'!$F$12))),7,""))))</f>
        <v/>
      </c>
      <c r="I112">
        <f>IF('Recurring Schedule'!$C$13="","",IF('Recurring Schedule'!$F$13="","",IF(OR($A112&lt;'Recurring Schedule'!$F$13,$A112&gt;'Recurring Schedule'!$P$13),"",IF(IF('Recurring Schedule'!$N$13&gt;0,MOD($A112-'Recurring Schedule'!$F$13,'Recurring Schedule'!$N$13)=0,IF('Recurring Schedule'!$O$13&gt;0,AND(DAY($A112)=MIN(DAY('Recurring Schedule'!$F$13),DAY(EOMONTH($A112,0))),MOD((YEAR($A112)-YEAR('Recurring Schedule'!$F$13))*12+MONTH($A112)-MONTH('Recurring Schedule'!$F$13),'Recurring Schedule'!$O$13)=0),IF('Recurring Schedule'!$E$13="Weekdays",WEEKDAY($A112,2)&lt;=5,$A112='Recurring Schedule'!$F$13))),8,""))))</f>
        <v/>
      </c>
      <c r="J112">
        <f>IF('Recurring Schedule'!$C$14="","",IF('Recurring Schedule'!$F$14="","",IF(OR($A112&lt;'Recurring Schedule'!$F$14,$A112&gt;'Recurring Schedule'!$P$14),"",IF(IF('Recurring Schedule'!$N$14&gt;0,MOD($A112-'Recurring Schedule'!$F$14,'Recurring Schedule'!$N$14)=0,IF('Recurring Schedule'!$O$14&gt;0,AND(DAY($A112)=MIN(DAY('Recurring Schedule'!$F$14),DAY(EOMONTH($A112,0))),MOD((YEAR($A112)-YEAR('Recurring Schedule'!$F$14))*12+MONTH($A112)-MONTH('Recurring Schedule'!$F$14),'Recurring Schedule'!$O$14)=0),IF('Recurring Schedule'!$E$14="Weekdays",WEEKDAY($A112,2)&lt;=5,$A112='Recurring Schedule'!$F$14))),9,""))))</f>
        <v/>
      </c>
      <c r="K112">
        <f>IF('Recurring Schedule'!$C$15="","",IF('Recurring Schedule'!$F$15="","",IF(OR($A112&lt;'Recurring Schedule'!$F$15,$A112&gt;'Recurring Schedule'!$P$15),"",IF(IF('Recurring Schedule'!$N$15&gt;0,MOD($A112-'Recurring Schedule'!$F$15,'Recurring Schedule'!$N$15)=0,IF('Recurring Schedule'!$O$15&gt;0,AND(DAY($A112)=MIN(DAY('Recurring Schedule'!$F$15),DAY(EOMONTH($A112,0))),MOD((YEAR($A112)-YEAR('Recurring Schedule'!$F$15))*12+MONTH($A112)-MONTH('Recurring Schedule'!$F$15),'Recurring Schedule'!$O$15)=0),IF('Recurring Schedule'!$E$15="Weekdays",WEEKDAY($A112,2)&lt;=5,$A112='Recurring Schedule'!$F$15))),10,""))))</f>
        <v/>
      </c>
      <c r="L112">
        <f>IF('Recurring Schedule'!$C$16="","",IF('Recurring Schedule'!$F$16="","",IF(OR($A112&lt;'Recurring Schedule'!$F$16,$A112&gt;'Recurring Schedule'!$P$16),"",IF(IF('Recurring Schedule'!$N$16&gt;0,MOD($A112-'Recurring Schedule'!$F$16,'Recurring Schedule'!$N$16)=0,IF('Recurring Schedule'!$O$16&gt;0,AND(DAY($A112)=MIN(DAY('Recurring Schedule'!$F$16),DAY(EOMONTH($A112,0))),MOD((YEAR($A112)-YEAR('Recurring Schedule'!$F$16))*12+MONTH($A112)-MONTH('Recurring Schedule'!$F$16),'Recurring Schedule'!$O$16)=0),IF('Recurring Schedule'!$E$16="Weekdays",WEEKDAY($A112,2)&lt;=5,$A112='Recurring Schedule'!$F$16))),11,""))))</f>
        <v/>
      </c>
      <c r="M112">
        <f>IF('Recurring Schedule'!$C$17="","",IF('Recurring Schedule'!$F$17="","",IF(OR($A112&lt;'Recurring Schedule'!$F$17,$A112&gt;'Recurring Schedule'!$P$17),"",IF(IF('Recurring Schedule'!$N$17&gt;0,MOD($A112-'Recurring Schedule'!$F$17,'Recurring Schedule'!$N$17)=0,IF('Recurring Schedule'!$O$17&gt;0,AND(DAY($A112)=MIN(DAY('Recurring Schedule'!$F$17),DAY(EOMONTH($A112,0))),MOD((YEAR($A112)-YEAR('Recurring Schedule'!$F$17))*12+MONTH($A112)-MONTH('Recurring Schedule'!$F$17),'Recurring Schedule'!$O$17)=0),IF('Recurring Schedule'!$E$17="Weekdays",WEEKDAY($A112,2)&lt;=5,$A112='Recurring Schedule'!$F$17))),12,""))))</f>
        <v/>
      </c>
      <c r="N112">
        <f>IF('Recurring Schedule'!$C$18="","",IF('Recurring Schedule'!$F$18="","",IF(OR($A112&lt;'Recurring Schedule'!$F$18,$A112&gt;'Recurring Schedule'!$P$18),"",IF(IF('Recurring Schedule'!$N$18&gt;0,MOD($A112-'Recurring Schedule'!$F$18,'Recurring Schedule'!$N$18)=0,IF('Recurring Schedule'!$O$18&gt;0,AND(DAY($A112)=MIN(DAY('Recurring Schedule'!$F$18),DAY(EOMONTH($A112,0))),MOD((YEAR($A112)-YEAR('Recurring Schedule'!$F$18))*12+MONTH($A112)-MONTH('Recurring Schedule'!$F$18),'Recurring Schedule'!$O$18)=0),IF('Recurring Schedule'!$E$18="Weekdays",WEEKDAY($A112,2)&lt;=5,$A112='Recurring Schedule'!$F$18))),13,""))))</f>
        <v/>
      </c>
      <c r="O112">
        <f>IF('Recurring Schedule'!$C$19="","",IF('Recurring Schedule'!$F$19="","",IF(OR($A112&lt;'Recurring Schedule'!$F$19,$A112&gt;'Recurring Schedule'!$P$19),"",IF(IF('Recurring Schedule'!$N$19&gt;0,MOD($A112-'Recurring Schedule'!$F$19,'Recurring Schedule'!$N$19)=0,IF('Recurring Schedule'!$O$19&gt;0,AND(DAY($A112)=MIN(DAY('Recurring Schedule'!$F$19),DAY(EOMONTH($A112,0))),MOD((YEAR($A112)-YEAR('Recurring Schedule'!$F$19))*12+MONTH($A112)-MONTH('Recurring Schedule'!$F$19),'Recurring Schedule'!$O$19)=0),IF('Recurring Schedule'!$E$19="Weekdays",WEEKDAY($A112,2)&lt;=5,$A112='Recurring Schedule'!$F$19))),14,""))))</f>
        <v/>
      </c>
      <c r="P112">
        <f>IF('Recurring Schedule'!$C$20="","",IF('Recurring Schedule'!$F$20="","",IF(OR($A112&lt;'Recurring Schedule'!$F$20,$A112&gt;'Recurring Schedule'!$P$20),"",IF(IF('Recurring Schedule'!$N$20&gt;0,MOD($A112-'Recurring Schedule'!$F$20,'Recurring Schedule'!$N$20)=0,IF('Recurring Schedule'!$O$20&gt;0,AND(DAY($A112)=MIN(DAY('Recurring Schedule'!$F$20),DAY(EOMONTH($A112,0))),MOD((YEAR($A112)-YEAR('Recurring Schedule'!$F$20))*12+MONTH($A112)-MONTH('Recurring Schedule'!$F$20),'Recurring Schedule'!$O$20)=0),IF('Recurring Schedule'!$E$20="Weekdays",WEEKDAY($A112,2)&lt;=5,$A112='Recurring Schedule'!$F$20))),15,""))))</f>
        <v/>
      </c>
      <c r="Q112">
        <f>IF('Recurring Schedule'!$C$21="","",IF('Recurring Schedule'!$F$21="","",IF(OR($A112&lt;'Recurring Schedule'!$F$21,$A112&gt;'Recurring Schedule'!$P$21),"",IF(IF('Recurring Schedule'!$N$21&gt;0,MOD($A112-'Recurring Schedule'!$F$21,'Recurring Schedule'!$N$21)=0,IF('Recurring Schedule'!$O$21&gt;0,AND(DAY($A112)=MIN(DAY('Recurring Schedule'!$F$21),DAY(EOMONTH($A112,0))),MOD((YEAR($A112)-YEAR('Recurring Schedule'!$F$21))*12+MONTH($A112)-MONTH('Recurring Schedule'!$F$21),'Recurring Schedule'!$O$21)=0),IF('Recurring Schedule'!$E$21="Weekdays",WEEKDAY($A112,2)&lt;=5,$A112='Recurring Schedule'!$F$21))),16,""))))</f>
        <v/>
      </c>
      <c r="R112">
        <f>IF('Recurring Schedule'!$C$22="","",IF('Recurring Schedule'!$F$22="","",IF(OR($A112&lt;'Recurring Schedule'!$F$22,$A112&gt;'Recurring Schedule'!$P$22),"",IF(IF('Recurring Schedule'!$N$22&gt;0,MOD($A112-'Recurring Schedule'!$F$22,'Recurring Schedule'!$N$22)=0,IF('Recurring Schedule'!$O$22&gt;0,AND(DAY($A112)=MIN(DAY('Recurring Schedule'!$F$22),DAY(EOMONTH($A112,0))),MOD((YEAR($A112)-YEAR('Recurring Schedule'!$F$22))*12+MONTH($A112)-MONTH('Recurring Schedule'!$F$22),'Recurring Schedule'!$O$22)=0),IF('Recurring Schedule'!$E$22="Weekdays",WEEKDAY($A112,2)&lt;=5,$A112='Recurring Schedule'!$F$22))),17,""))))</f>
        <v/>
      </c>
      <c r="S112">
        <f>IF('Recurring Schedule'!$C$23="","",IF('Recurring Schedule'!$F$23="","",IF(OR($A112&lt;'Recurring Schedule'!$F$23,$A112&gt;'Recurring Schedule'!$P$23),"",IF(IF('Recurring Schedule'!$N$23&gt;0,MOD($A112-'Recurring Schedule'!$F$23,'Recurring Schedule'!$N$23)=0,IF('Recurring Schedule'!$O$23&gt;0,AND(DAY($A112)=MIN(DAY('Recurring Schedule'!$F$23),DAY(EOMONTH($A112,0))),MOD((YEAR($A112)-YEAR('Recurring Schedule'!$F$23))*12+MONTH($A112)-MONTH('Recurring Schedule'!$F$23),'Recurring Schedule'!$O$23)=0),IF('Recurring Schedule'!$E$23="Weekdays",WEEKDAY($A112,2)&lt;=5,$A112='Recurring Schedule'!$F$23))),18,""))))</f>
        <v/>
      </c>
      <c r="T112">
        <f>IF('Recurring Schedule'!$C$24="","",IF('Recurring Schedule'!$F$24="","",IF(OR($A112&lt;'Recurring Schedule'!$F$24,$A112&gt;'Recurring Schedule'!$P$24),"",IF(IF('Recurring Schedule'!$N$24&gt;0,MOD($A112-'Recurring Schedule'!$F$24,'Recurring Schedule'!$N$24)=0,IF('Recurring Schedule'!$O$24&gt;0,AND(DAY($A112)=MIN(DAY('Recurring Schedule'!$F$24),DAY(EOMONTH($A112,0))),MOD((YEAR($A112)-YEAR('Recurring Schedule'!$F$24))*12+MONTH($A112)-MONTH('Recurring Schedule'!$F$24),'Recurring Schedule'!$O$24)=0),IF('Recurring Schedule'!$E$24="Weekdays",WEEKDAY($A112,2)&lt;=5,$A112='Recurring Schedule'!$F$24))),19,""))))</f>
        <v/>
      </c>
      <c r="U112">
        <f>IF('Recurring Schedule'!$C$25="","",IF('Recurring Schedule'!$F$25="","",IF(OR($A112&lt;'Recurring Schedule'!$F$25,$A112&gt;'Recurring Schedule'!$P$25),"",IF(IF('Recurring Schedule'!$N$25&gt;0,MOD($A112-'Recurring Schedule'!$F$25,'Recurring Schedule'!$N$25)=0,IF('Recurring Schedule'!$O$25&gt;0,AND(DAY($A112)=MIN(DAY('Recurring Schedule'!$F$25),DAY(EOMONTH($A112,0))),MOD((YEAR($A112)-YEAR('Recurring Schedule'!$F$25))*12+MONTH($A112)-MONTH('Recurring Schedule'!$F$25),'Recurring Schedule'!$O$25)=0),IF('Recurring Schedule'!$E$25="Weekdays",WEEKDAY($A112,2)&lt;=5,$A112='Recurring Schedule'!$F$25))),20,""))))</f>
        <v/>
      </c>
      <c r="V112">
        <f>IF('Recurring Schedule'!$C$26="","",IF('Recurring Schedule'!$F$26="","",IF(OR($A112&lt;'Recurring Schedule'!$F$26,$A112&gt;'Recurring Schedule'!$P$26),"",IF(IF('Recurring Schedule'!$N$26&gt;0,MOD($A112-'Recurring Schedule'!$F$26,'Recurring Schedule'!$N$26)=0,IF('Recurring Schedule'!$O$26&gt;0,AND(DAY($A112)=MIN(DAY('Recurring Schedule'!$F$26),DAY(EOMONTH($A112,0))),MOD((YEAR($A112)-YEAR('Recurring Schedule'!$F$26))*12+MONTH($A112)-MONTH('Recurring Schedule'!$F$26),'Recurring Schedule'!$O$26)=0),IF('Recurring Schedule'!$E$26="Weekdays",WEEKDAY($A112,2)&lt;=5,$A112='Recurring Schedule'!$F$26))),21,""))))</f>
        <v/>
      </c>
      <c r="W112">
        <f>IF('Recurring Schedule'!$C$27="","",IF('Recurring Schedule'!$F$27="","",IF(OR($A112&lt;'Recurring Schedule'!$F$27,$A112&gt;'Recurring Schedule'!$P$27),"",IF(IF('Recurring Schedule'!$N$27&gt;0,MOD($A112-'Recurring Schedule'!$F$27,'Recurring Schedule'!$N$27)=0,IF('Recurring Schedule'!$O$27&gt;0,AND(DAY($A112)=MIN(DAY('Recurring Schedule'!$F$27),DAY(EOMONTH($A112,0))),MOD((YEAR($A112)-YEAR('Recurring Schedule'!$F$27))*12+MONTH($A112)-MONTH('Recurring Schedule'!$F$27),'Recurring Schedule'!$O$27)=0),IF('Recurring Schedule'!$E$27="Weekdays",WEEKDAY($A112,2)&lt;=5,$A112='Recurring Schedule'!$F$27))),22,""))))</f>
        <v/>
      </c>
      <c r="X112">
        <f>IF('Recurring Schedule'!$C$28="","",IF('Recurring Schedule'!$F$28="","",IF(OR($A112&lt;'Recurring Schedule'!$F$28,$A112&gt;'Recurring Schedule'!$P$28),"",IF(IF('Recurring Schedule'!$N$28&gt;0,MOD($A112-'Recurring Schedule'!$F$28,'Recurring Schedule'!$N$28)=0,IF('Recurring Schedule'!$O$28&gt;0,AND(DAY($A112)=MIN(DAY('Recurring Schedule'!$F$28),DAY(EOMONTH($A112,0))),MOD((YEAR($A112)-YEAR('Recurring Schedule'!$F$28))*12+MONTH($A112)-MONTH('Recurring Schedule'!$F$28),'Recurring Schedule'!$O$28)=0),IF('Recurring Schedule'!$E$28="Weekdays",WEEKDAY($A112,2)&lt;=5,$A112='Recurring Schedule'!$F$28))),23,""))))</f>
        <v/>
      </c>
      <c r="Y112">
        <f>IF('Recurring Schedule'!$C$29="","",IF('Recurring Schedule'!$F$29="","",IF(OR($A112&lt;'Recurring Schedule'!$F$29,$A112&gt;'Recurring Schedule'!$P$29),"",IF(IF('Recurring Schedule'!$N$29&gt;0,MOD($A112-'Recurring Schedule'!$F$29,'Recurring Schedule'!$N$29)=0,IF('Recurring Schedule'!$O$29&gt;0,AND(DAY($A112)=MIN(DAY('Recurring Schedule'!$F$29),DAY(EOMONTH($A112,0))),MOD((YEAR($A112)-YEAR('Recurring Schedule'!$F$29))*12+MONTH($A112)-MONTH('Recurring Schedule'!$F$29),'Recurring Schedule'!$O$29)=0),IF('Recurring Schedule'!$E$29="Weekdays",WEEKDAY($A112,2)&lt;=5,$A112='Recurring Schedule'!$F$29))),24,""))))</f>
        <v/>
      </c>
      <c r="Z112">
        <f>IF('Recurring Schedule'!$C$30="","",IF('Recurring Schedule'!$F$30="","",IF(OR($A112&lt;'Recurring Schedule'!$F$30,$A112&gt;'Recurring Schedule'!$P$30),"",IF(IF('Recurring Schedule'!$N$30&gt;0,MOD($A112-'Recurring Schedule'!$F$30,'Recurring Schedule'!$N$30)=0,IF('Recurring Schedule'!$O$30&gt;0,AND(DAY($A112)=MIN(DAY('Recurring Schedule'!$F$30),DAY(EOMONTH($A112,0))),MOD((YEAR($A112)-YEAR('Recurring Schedule'!$F$30))*12+MONTH($A112)-MONTH('Recurring Schedule'!$F$30),'Recurring Schedule'!$O$30)=0),IF('Recurring Schedule'!$E$30="Weekdays",WEEKDAY($A112,2)&lt;=5,$A112='Recurring Schedule'!$F$30))),25,""))))</f>
        <v/>
      </c>
      <c r="AA112">
        <f>IF('Recurring Schedule'!$C$31="","",IF('Recurring Schedule'!$F$31="","",IF(OR($A112&lt;'Recurring Schedule'!$F$31,$A112&gt;'Recurring Schedule'!$P$31),"",IF(IF('Recurring Schedule'!$N$31&gt;0,MOD($A112-'Recurring Schedule'!$F$31,'Recurring Schedule'!$N$31)=0,IF('Recurring Schedule'!$O$31&gt;0,AND(DAY($A112)=MIN(DAY('Recurring Schedule'!$F$31),DAY(EOMONTH($A112,0))),MOD((YEAR($A112)-YEAR('Recurring Schedule'!$F$31))*12+MONTH($A112)-MONTH('Recurring Schedule'!$F$31),'Recurring Schedule'!$O$31)=0),IF('Recurring Schedule'!$E$31="Weekdays",WEEKDAY($A112,2)&lt;=5,$A112='Recurring Schedule'!$F$31))),26,""))))</f>
        <v/>
      </c>
      <c r="AB112">
        <f>IF('Recurring Schedule'!$C$32="","",IF('Recurring Schedule'!$F$32="","",IF(OR($A112&lt;'Recurring Schedule'!$F$32,$A112&gt;'Recurring Schedule'!$P$32),"",IF(IF('Recurring Schedule'!$N$32&gt;0,MOD($A112-'Recurring Schedule'!$F$32,'Recurring Schedule'!$N$32)=0,IF('Recurring Schedule'!$O$32&gt;0,AND(DAY($A112)=MIN(DAY('Recurring Schedule'!$F$32),DAY(EOMONTH($A112,0))),MOD((YEAR($A112)-YEAR('Recurring Schedule'!$F$32))*12+MONTH($A112)-MONTH('Recurring Schedule'!$F$32),'Recurring Schedule'!$O$32)=0),IF('Recurring Schedule'!$E$32="Weekdays",WEEKDAY($A112,2)&lt;=5,$A112='Recurring Schedule'!$F$32))),27,""))))</f>
        <v/>
      </c>
      <c r="AC112">
        <f>IF('Recurring Schedule'!$C$33="","",IF('Recurring Schedule'!$F$33="","",IF(OR($A112&lt;'Recurring Schedule'!$F$33,$A112&gt;'Recurring Schedule'!$P$33),"",IF(IF('Recurring Schedule'!$N$33&gt;0,MOD($A112-'Recurring Schedule'!$F$33,'Recurring Schedule'!$N$33)=0,IF('Recurring Schedule'!$O$33&gt;0,AND(DAY($A112)=MIN(DAY('Recurring Schedule'!$F$33),DAY(EOMONTH($A112,0))),MOD((YEAR($A112)-YEAR('Recurring Schedule'!$F$33))*12+MONTH($A112)-MONTH('Recurring Schedule'!$F$33),'Recurring Schedule'!$O$33)=0),IF('Recurring Schedule'!$E$33="Weekdays",WEEKDAY($A112,2)&lt;=5,$A112='Recurring Schedule'!$F$33))),28,""))))</f>
        <v/>
      </c>
      <c r="AD112">
        <f>IF('Recurring Schedule'!$C$34="","",IF('Recurring Schedule'!$F$34="","",IF(OR($A112&lt;'Recurring Schedule'!$F$34,$A112&gt;'Recurring Schedule'!$P$34),"",IF(IF('Recurring Schedule'!$N$34&gt;0,MOD($A112-'Recurring Schedule'!$F$34,'Recurring Schedule'!$N$34)=0,IF('Recurring Schedule'!$O$34&gt;0,AND(DAY($A112)=MIN(DAY('Recurring Schedule'!$F$34),DAY(EOMONTH($A112,0))),MOD((YEAR($A112)-YEAR('Recurring Schedule'!$F$34))*12+MONTH($A112)-MONTH('Recurring Schedule'!$F$34),'Recurring Schedule'!$O$34)=0),IF('Recurring Schedule'!$E$34="Weekdays",WEEKDAY($A112,2)&lt;=5,$A112='Recurring Schedule'!$F$34))),29,""))))</f>
        <v/>
      </c>
      <c r="AE112">
        <f>IF('Recurring Schedule'!$C$35="","",IF('Recurring Schedule'!$F$35="","",IF(OR($A112&lt;'Recurring Schedule'!$F$35,$A112&gt;'Recurring Schedule'!$P$35),"",IF(IF('Recurring Schedule'!$N$35&gt;0,MOD($A112-'Recurring Schedule'!$F$35,'Recurring Schedule'!$N$35)=0,IF('Recurring Schedule'!$O$35&gt;0,AND(DAY($A112)=MIN(DAY('Recurring Schedule'!$F$35),DAY(EOMONTH($A112,0))),MOD((YEAR($A112)-YEAR('Recurring Schedule'!$F$35))*12+MONTH($A112)-MONTH('Recurring Schedule'!$F$35),'Recurring Schedule'!$O$35)=0),IF('Recurring Schedule'!$E$35="Weekdays",WEEKDAY($A112,2)&lt;=5,$A112='Recurring Schedule'!$F$35))),30,""))))</f>
        <v/>
      </c>
      <c r="AF112">
        <f>IF('Recurring Schedule'!$C$36="","",IF('Recurring Schedule'!$F$36="","",IF(OR($A112&lt;'Recurring Schedule'!$F$36,$A112&gt;'Recurring Schedule'!$P$36),"",IF(IF('Recurring Schedule'!$N$36&gt;0,MOD($A112-'Recurring Schedule'!$F$36,'Recurring Schedule'!$N$36)=0,IF('Recurring Schedule'!$O$36&gt;0,AND(DAY($A112)=MIN(DAY('Recurring Schedule'!$F$36),DAY(EOMONTH($A112,0))),MOD((YEAR($A112)-YEAR('Recurring Schedule'!$F$36))*12+MONTH($A112)-MONTH('Recurring Schedule'!$F$36),'Recurring Schedule'!$O$36)=0),IF('Recurring Schedule'!$E$36="Weekdays",WEEKDAY($A112,2)&lt;=5,$A112='Recurring Schedule'!$F$36))),31,""))))</f>
        <v/>
      </c>
      <c r="AG112">
        <f>IF('Recurring Schedule'!$C$37="","",IF('Recurring Schedule'!$F$37="","",IF(OR($A112&lt;'Recurring Schedule'!$F$37,$A112&gt;'Recurring Schedule'!$P$37),"",IF(IF('Recurring Schedule'!$N$37&gt;0,MOD($A112-'Recurring Schedule'!$F$37,'Recurring Schedule'!$N$37)=0,IF('Recurring Schedule'!$O$37&gt;0,AND(DAY($A112)=MIN(DAY('Recurring Schedule'!$F$37),DAY(EOMONTH($A112,0))),MOD((YEAR($A112)-YEAR('Recurring Schedule'!$F$37))*12+MONTH($A112)-MONTH('Recurring Schedule'!$F$37),'Recurring Schedule'!$O$37)=0),IF('Recurring Schedule'!$E$37="Weekdays",WEEKDAY($A112,2)&lt;=5,$A112='Recurring Schedule'!$F$37))),32,""))))</f>
        <v/>
      </c>
      <c r="AH112">
        <f>IF('Recurring Schedule'!$C$38="","",IF('Recurring Schedule'!$F$38="","",IF(OR($A112&lt;'Recurring Schedule'!$F$38,$A112&gt;'Recurring Schedule'!$P$38),"",IF(IF('Recurring Schedule'!$N$38&gt;0,MOD($A112-'Recurring Schedule'!$F$38,'Recurring Schedule'!$N$38)=0,IF('Recurring Schedule'!$O$38&gt;0,AND(DAY($A112)=MIN(DAY('Recurring Schedule'!$F$38),DAY(EOMONTH($A112,0))),MOD((YEAR($A112)-YEAR('Recurring Schedule'!$F$38))*12+MONTH($A112)-MONTH('Recurring Schedule'!$F$38),'Recurring Schedule'!$O$38)=0),IF('Recurring Schedule'!$E$38="Weekdays",WEEKDAY($A112,2)&lt;=5,$A112='Recurring Schedule'!$F$38))),33,""))))</f>
        <v/>
      </c>
      <c r="AI112">
        <f>IF('Recurring Schedule'!$C$39="","",IF('Recurring Schedule'!$F$39="","",IF(OR($A112&lt;'Recurring Schedule'!$F$39,$A112&gt;'Recurring Schedule'!$P$39),"",IF(IF('Recurring Schedule'!$N$39&gt;0,MOD($A112-'Recurring Schedule'!$F$39,'Recurring Schedule'!$N$39)=0,IF('Recurring Schedule'!$O$39&gt;0,AND(DAY($A112)=MIN(DAY('Recurring Schedule'!$F$39),DAY(EOMONTH($A112,0))),MOD((YEAR($A112)-YEAR('Recurring Schedule'!$F$39))*12+MONTH($A112)-MONTH('Recurring Schedule'!$F$39),'Recurring Schedule'!$O$39)=0),IF('Recurring Schedule'!$E$39="Weekdays",WEEKDAY($A112,2)&lt;=5,$A112='Recurring Schedule'!$F$39))),34,""))))</f>
        <v/>
      </c>
      <c r="AJ112">
        <f>IF('Recurring Schedule'!$C$40="","",IF('Recurring Schedule'!$F$40="","",IF(OR($A112&lt;'Recurring Schedule'!$F$40,$A112&gt;'Recurring Schedule'!$P$40),"",IF(IF('Recurring Schedule'!$N$40&gt;0,MOD($A112-'Recurring Schedule'!$F$40,'Recurring Schedule'!$N$40)=0,IF('Recurring Schedule'!$O$40&gt;0,AND(DAY($A112)=MIN(DAY('Recurring Schedule'!$F$40),DAY(EOMONTH($A112,0))),MOD((YEAR($A112)-YEAR('Recurring Schedule'!$F$40))*12+MONTH($A112)-MONTH('Recurring Schedule'!$F$40),'Recurring Schedule'!$O$40)=0),IF('Recurring Schedule'!$E$40="Weekdays",WEEKDAY($A112,2)&lt;=5,$A112='Recurring Schedule'!$F$40))),35,""))))</f>
        <v/>
      </c>
      <c r="AK112">
        <f>IF('Recurring Schedule'!$C$41="","",IF('Recurring Schedule'!$F$41="","",IF(OR($A112&lt;'Recurring Schedule'!$F$41,$A112&gt;'Recurring Schedule'!$P$41),"",IF(IF('Recurring Schedule'!$N$41&gt;0,MOD($A112-'Recurring Schedule'!$F$41,'Recurring Schedule'!$N$41)=0,IF('Recurring Schedule'!$O$41&gt;0,AND(DAY($A112)=MIN(DAY('Recurring Schedule'!$F$41),DAY(EOMONTH($A112,0))),MOD((YEAR($A112)-YEAR('Recurring Schedule'!$F$41))*12+MONTH($A112)-MONTH('Recurring Schedule'!$F$41),'Recurring Schedule'!$O$41)=0),IF('Recurring Schedule'!$E$41="Weekdays",WEEKDAY($A112,2)&lt;=5,$A112='Recurring Schedule'!$F$41))),36,""))))</f>
        <v/>
      </c>
      <c r="AL112">
        <f>IF('Recurring Schedule'!$C$42="","",IF('Recurring Schedule'!$F$42="","",IF(OR($A112&lt;'Recurring Schedule'!$F$42,$A112&gt;'Recurring Schedule'!$P$42),"",IF(IF('Recurring Schedule'!$N$42&gt;0,MOD($A112-'Recurring Schedule'!$F$42,'Recurring Schedule'!$N$42)=0,IF('Recurring Schedule'!$O$42&gt;0,AND(DAY($A112)=MIN(DAY('Recurring Schedule'!$F$42),DAY(EOMONTH($A112,0))),MOD((YEAR($A112)-YEAR('Recurring Schedule'!$F$42))*12+MONTH($A112)-MONTH('Recurring Schedule'!$F$42),'Recurring Schedule'!$O$42)=0),IF('Recurring Schedule'!$E$42="Weekdays",WEEKDAY($A112,2)&lt;=5,$A112='Recurring Schedule'!$F$42))),37,""))))</f>
        <v/>
      </c>
      <c r="AM112">
        <f>IF('Recurring Schedule'!$C$43="","",IF('Recurring Schedule'!$F$43="","",IF(OR($A112&lt;'Recurring Schedule'!$F$43,$A112&gt;'Recurring Schedule'!$P$43),"",IF(IF('Recurring Schedule'!$N$43&gt;0,MOD($A112-'Recurring Schedule'!$F$43,'Recurring Schedule'!$N$43)=0,IF('Recurring Schedule'!$O$43&gt;0,AND(DAY($A112)=MIN(DAY('Recurring Schedule'!$F$43),DAY(EOMONTH($A112,0))),MOD((YEAR($A112)-YEAR('Recurring Schedule'!$F$43))*12+MONTH($A112)-MONTH('Recurring Schedule'!$F$43),'Recurring Schedule'!$O$43)=0),IF('Recurring Schedule'!$E$43="Weekdays",WEEKDAY($A112,2)&lt;=5,$A112='Recurring Schedule'!$F$43))),38,""))))</f>
        <v/>
      </c>
      <c r="AN112">
        <f>IF('Recurring Schedule'!$C$44="","",IF('Recurring Schedule'!$F$44="","",IF(OR($A112&lt;'Recurring Schedule'!$F$44,$A112&gt;'Recurring Schedule'!$P$44),"",IF(IF('Recurring Schedule'!$N$44&gt;0,MOD($A112-'Recurring Schedule'!$F$44,'Recurring Schedule'!$N$44)=0,IF('Recurring Schedule'!$O$44&gt;0,AND(DAY($A112)=MIN(DAY('Recurring Schedule'!$F$44),DAY(EOMONTH($A112,0))),MOD((YEAR($A112)-YEAR('Recurring Schedule'!$F$44))*12+MONTH($A112)-MONTH('Recurring Schedule'!$F$44),'Recurring Schedule'!$O$44)=0),IF('Recurring Schedule'!$E$44="Weekdays",WEEKDAY($A112,2)&lt;=5,$A112='Recurring Schedule'!$F$44))),39,""))))</f>
        <v/>
      </c>
      <c r="AO112">
        <f>IF('Recurring Schedule'!$C$45="","",IF('Recurring Schedule'!$F$45="","",IF(OR($A112&lt;'Recurring Schedule'!$F$45,$A112&gt;'Recurring Schedule'!$P$45),"",IF(IF('Recurring Schedule'!$N$45&gt;0,MOD($A112-'Recurring Schedule'!$F$45,'Recurring Schedule'!$N$45)=0,IF('Recurring Schedule'!$O$45&gt;0,AND(DAY($A112)=MIN(DAY('Recurring Schedule'!$F$45),DAY(EOMONTH($A112,0))),MOD((YEAR($A112)-YEAR('Recurring Schedule'!$F$45))*12+MONTH($A112)-MONTH('Recurring Schedule'!$F$45),'Recurring Schedule'!$O$45)=0),IF('Recurring Schedule'!$E$45="Weekdays",WEEKDAY($A112,2)&lt;=5,$A112='Recurring Schedule'!$F$45))),40,""))))</f>
        <v/>
      </c>
      <c r="AP112">
        <f>COUNT(B112:AO112)</f>
        <v/>
      </c>
      <c r="AQ112">
        <f>AQ111+AP111</f>
        <v/>
      </c>
      <c r="AS112" t="inlineStr">
        <is>
          <t>R</t>
        </is>
      </c>
      <c r="AT112" t="n">
        <v>116</v>
      </c>
      <c r="AU112">
        <f>'Recurring Log'!C116&amp;""</f>
        <v/>
      </c>
      <c r="AV112">
        <f>'Recurring Log'!D116&amp;""</f>
        <v/>
      </c>
      <c r="AW112">
        <f>IF('Recurring Log'!E116="","",'Recurring Log'!E116)</f>
        <v/>
      </c>
      <c r="AX112">
        <f>IF('Recurring Log'!G116="","",'Recurring Log'!G116)</f>
        <v/>
      </c>
      <c r="AY112">
        <f>IF('Recurring Log'!H116="","",'Recurring Log'!H116)</f>
        <v/>
      </c>
      <c r="AZ112">
        <f>IF(AU112="","",IF('Recurring Log'!J116="","Not Started",'Recurring Log'!J116))</f>
        <v/>
      </c>
      <c r="BA112">
        <f>'Recurring Log'!L116&amp;""</f>
        <v/>
      </c>
      <c r="BB112">
        <f>'Recurring Log'!M116&amp;""</f>
        <v/>
      </c>
      <c r="BC112">
        <f>'Recurring Log'!N116&amp;""</f>
        <v/>
      </c>
      <c r="BD112">
        <f>'Recurring Log'!O116&amp;""</f>
        <v/>
      </c>
      <c r="BE112">
        <f>IF('Recurring Log'!K116="","",'Recurring Log'!K116)</f>
        <v/>
      </c>
      <c r="BF112">
        <f>IFERROR(MATCH(BA112,Setup!$L$6:$L$9,0),5)</f>
        <v/>
      </c>
      <c r="BG112">
        <f>IF(OR(AZ112="Done",AZ112="Cancelled"),1,0)</f>
        <v/>
      </c>
      <c r="BH112">
        <f>IF(AND(AU112&lt;&gt;"",ISNUMBER(AW112)),1,0)</f>
        <v/>
      </c>
      <c r="BI112">
        <f>IF(BH112=0,0,IF(AND(AW112&gt;='Tasks Filter'!$F$3,AW112&lt;='Tasks Filter'!$F$4,OR('Tasks Filter'!$I$3="",ISNUMBER(SEARCH('Tasks Filter'!$I$3,AU112))),OR('Tasks Filter'!$I$4="",BF112=IFERROR(MATCH('Tasks Filter'!$I$4,Setup!$L$6:$L$9,0),0)),OR('Tasks Filter'!$I$5="Both",AND('Tasks Filter'!$I$5="Yes",BB112="✓"),AND('Tasks Filter'!$I$5="No",BB112&lt;&gt;"✓")),OR('Tasks Filter'!$L$3="",AV112='Tasks Filter'!$L$3),OR('Tasks Filter'!$L$4="",AZ112='Tasks Filter'!$L$4),OR('Tasks Filter'!$L$5="",BC112='Tasks Filter'!$L$5),OR('Tasks Filter'!$O$3="",BD112='Tasks Filter'!$O$3),OR('Tasks Filter'!$O$4="Yes",BG112=0)),1,0))</f>
        <v/>
      </c>
      <c r="BJ112">
        <f>IF(BH112=0,"",IF('Tasks Filter'!$F$6="Descending",-1,1)*CHOOSE(MATCH('Tasks Filter'!$F$5,Lists!$G$2:$G$6,0),AW112,BF112,IFERROR(MATCH(AV112,Setup!$F$6:$F$15,0),99),IFERROR(MATCH(BC112,Setup!$H$6:$H$15,0),99),IFERROR(MATCH(AZ112,Setup!$J$6:$J$11,0),99))*1E+9+(AW112-40000)*10000+111)</f>
        <v/>
      </c>
      <c r="BK112">
        <f>IF(BI112=1,BJ112,"")</f>
        <v/>
      </c>
      <c r="BL112">
        <f>IF(AND(BH112=1,BG112=0,N(AW112)&lt;Setup!$D$7),(AW112-40000)*10000+111,"")</f>
        <v/>
      </c>
      <c r="BM112">
        <f>IF(AND(BH112=1,AZ112&lt;&gt;"Cancelled",N(AW112)&gt;=Dashboard!$AB$3,N(AW112)&lt;=Dashboard!$AB$3+6),(AW112-40000)*100000+BF112*10000+111,"")</f>
        <v/>
      </c>
      <c r="BN112">
        <f>IF(AND(BH112=1,AZ112&lt;&gt;"Cancelled"),BF112*10000+111,"")</f>
        <v/>
      </c>
    </row>
    <row r="113">
      <c r="A113">
        <f>Setup!$D$5+111</f>
        <v/>
      </c>
      <c r="B113">
        <f>IF('Recurring Schedule'!$C$6="","",IF('Recurring Schedule'!$F$6="","",IF(OR($A113&lt;'Recurring Schedule'!$F$6,$A113&gt;'Recurring Schedule'!$P$6),"",IF(IF('Recurring Schedule'!$N$6&gt;0,MOD($A113-'Recurring Schedule'!$F$6,'Recurring Schedule'!$N$6)=0,IF('Recurring Schedule'!$O$6&gt;0,AND(DAY($A113)=MIN(DAY('Recurring Schedule'!$F$6),DAY(EOMONTH($A113,0))),MOD((YEAR($A113)-YEAR('Recurring Schedule'!$F$6))*12+MONTH($A113)-MONTH('Recurring Schedule'!$F$6),'Recurring Schedule'!$O$6)=0),IF('Recurring Schedule'!$E$6="Weekdays",WEEKDAY($A113,2)&lt;=5,$A113='Recurring Schedule'!$F$6))),1,""))))</f>
        <v/>
      </c>
      <c r="C113">
        <f>IF('Recurring Schedule'!$C$7="","",IF('Recurring Schedule'!$F$7="","",IF(OR($A113&lt;'Recurring Schedule'!$F$7,$A113&gt;'Recurring Schedule'!$P$7),"",IF(IF('Recurring Schedule'!$N$7&gt;0,MOD($A113-'Recurring Schedule'!$F$7,'Recurring Schedule'!$N$7)=0,IF('Recurring Schedule'!$O$7&gt;0,AND(DAY($A113)=MIN(DAY('Recurring Schedule'!$F$7),DAY(EOMONTH($A113,0))),MOD((YEAR($A113)-YEAR('Recurring Schedule'!$F$7))*12+MONTH($A113)-MONTH('Recurring Schedule'!$F$7),'Recurring Schedule'!$O$7)=0),IF('Recurring Schedule'!$E$7="Weekdays",WEEKDAY($A113,2)&lt;=5,$A113='Recurring Schedule'!$F$7))),2,""))))</f>
        <v/>
      </c>
      <c r="D113">
        <f>IF('Recurring Schedule'!$C$8="","",IF('Recurring Schedule'!$F$8="","",IF(OR($A113&lt;'Recurring Schedule'!$F$8,$A113&gt;'Recurring Schedule'!$P$8),"",IF(IF('Recurring Schedule'!$N$8&gt;0,MOD($A113-'Recurring Schedule'!$F$8,'Recurring Schedule'!$N$8)=0,IF('Recurring Schedule'!$O$8&gt;0,AND(DAY($A113)=MIN(DAY('Recurring Schedule'!$F$8),DAY(EOMONTH($A113,0))),MOD((YEAR($A113)-YEAR('Recurring Schedule'!$F$8))*12+MONTH($A113)-MONTH('Recurring Schedule'!$F$8),'Recurring Schedule'!$O$8)=0),IF('Recurring Schedule'!$E$8="Weekdays",WEEKDAY($A113,2)&lt;=5,$A113='Recurring Schedule'!$F$8))),3,""))))</f>
        <v/>
      </c>
      <c r="E113">
        <f>IF('Recurring Schedule'!$C$9="","",IF('Recurring Schedule'!$F$9="","",IF(OR($A113&lt;'Recurring Schedule'!$F$9,$A113&gt;'Recurring Schedule'!$P$9),"",IF(IF('Recurring Schedule'!$N$9&gt;0,MOD($A113-'Recurring Schedule'!$F$9,'Recurring Schedule'!$N$9)=0,IF('Recurring Schedule'!$O$9&gt;0,AND(DAY($A113)=MIN(DAY('Recurring Schedule'!$F$9),DAY(EOMONTH($A113,0))),MOD((YEAR($A113)-YEAR('Recurring Schedule'!$F$9))*12+MONTH($A113)-MONTH('Recurring Schedule'!$F$9),'Recurring Schedule'!$O$9)=0),IF('Recurring Schedule'!$E$9="Weekdays",WEEKDAY($A113,2)&lt;=5,$A113='Recurring Schedule'!$F$9))),4,""))))</f>
        <v/>
      </c>
      <c r="F113">
        <f>IF('Recurring Schedule'!$C$10="","",IF('Recurring Schedule'!$F$10="","",IF(OR($A113&lt;'Recurring Schedule'!$F$10,$A113&gt;'Recurring Schedule'!$P$10),"",IF(IF('Recurring Schedule'!$N$10&gt;0,MOD($A113-'Recurring Schedule'!$F$10,'Recurring Schedule'!$N$10)=0,IF('Recurring Schedule'!$O$10&gt;0,AND(DAY($A113)=MIN(DAY('Recurring Schedule'!$F$10),DAY(EOMONTH($A113,0))),MOD((YEAR($A113)-YEAR('Recurring Schedule'!$F$10))*12+MONTH($A113)-MONTH('Recurring Schedule'!$F$10),'Recurring Schedule'!$O$10)=0),IF('Recurring Schedule'!$E$10="Weekdays",WEEKDAY($A113,2)&lt;=5,$A113='Recurring Schedule'!$F$10))),5,""))))</f>
        <v/>
      </c>
      <c r="G113">
        <f>IF('Recurring Schedule'!$C$11="","",IF('Recurring Schedule'!$F$11="","",IF(OR($A113&lt;'Recurring Schedule'!$F$11,$A113&gt;'Recurring Schedule'!$P$11),"",IF(IF('Recurring Schedule'!$N$11&gt;0,MOD($A113-'Recurring Schedule'!$F$11,'Recurring Schedule'!$N$11)=0,IF('Recurring Schedule'!$O$11&gt;0,AND(DAY($A113)=MIN(DAY('Recurring Schedule'!$F$11),DAY(EOMONTH($A113,0))),MOD((YEAR($A113)-YEAR('Recurring Schedule'!$F$11))*12+MONTH($A113)-MONTH('Recurring Schedule'!$F$11),'Recurring Schedule'!$O$11)=0),IF('Recurring Schedule'!$E$11="Weekdays",WEEKDAY($A113,2)&lt;=5,$A113='Recurring Schedule'!$F$11))),6,""))))</f>
        <v/>
      </c>
      <c r="H113">
        <f>IF('Recurring Schedule'!$C$12="","",IF('Recurring Schedule'!$F$12="","",IF(OR($A113&lt;'Recurring Schedule'!$F$12,$A113&gt;'Recurring Schedule'!$P$12),"",IF(IF('Recurring Schedule'!$N$12&gt;0,MOD($A113-'Recurring Schedule'!$F$12,'Recurring Schedule'!$N$12)=0,IF('Recurring Schedule'!$O$12&gt;0,AND(DAY($A113)=MIN(DAY('Recurring Schedule'!$F$12),DAY(EOMONTH($A113,0))),MOD((YEAR($A113)-YEAR('Recurring Schedule'!$F$12))*12+MONTH($A113)-MONTH('Recurring Schedule'!$F$12),'Recurring Schedule'!$O$12)=0),IF('Recurring Schedule'!$E$12="Weekdays",WEEKDAY($A113,2)&lt;=5,$A113='Recurring Schedule'!$F$12))),7,""))))</f>
        <v/>
      </c>
      <c r="I113">
        <f>IF('Recurring Schedule'!$C$13="","",IF('Recurring Schedule'!$F$13="","",IF(OR($A113&lt;'Recurring Schedule'!$F$13,$A113&gt;'Recurring Schedule'!$P$13),"",IF(IF('Recurring Schedule'!$N$13&gt;0,MOD($A113-'Recurring Schedule'!$F$13,'Recurring Schedule'!$N$13)=0,IF('Recurring Schedule'!$O$13&gt;0,AND(DAY($A113)=MIN(DAY('Recurring Schedule'!$F$13),DAY(EOMONTH($A113,0))),MOD((YEAR($A113)-YEAR('Recurring Schedule'!$F$13))*12+MONTH($A113)-MONTH('Recurring Schedule'!$F$13),'Recurring Schedule'!$O$13)=0),IF('Recurring Schedule'!$E$13="Weekdays",WEEKDAY($A113,2)&lt;=5,$A113='Recurring Schedule'!$F$13))),8,""))))</f>
        <v/>
      </c>
      <c r="J113">
        <f>IF('Recurring Schedule'!$C$14="","",IF('Recurring Schedule'!$F$14="","",IF(OR($A113&lt;'Recurring Schedule'!$F$14,$A113&gt;'Recurring Schedule'!$P$14),"",IF(IF('Recurring Schedule'!$N$14&gt;0,MOD($A113-'Recurring Schedule'!$F$14,'Recurring Schedule'!$N$14)=0,IF('Recurring Schedule'!$O$14&gt;0,AND(DAY($A113)=MIN(DAY('Recurring Schedule'!$F$14),DAY(EOMONTH($A113,0))),MOD((YEAR($A113)-YEAR('Recurring Schedule'!$F$14))*12+MONTH($A113)-MONTH('Recurring Schedule'!$F$14),'Recurring Schedule'!$O$14)=0),IF('Recurring Schedule'!$E$14="Weekdays",WEEKDAY($A113,2)&lt;=5,$A113='Recurring Schedule'!$F$14))),9,""))))</f>
        <v/>
      </c>
      <c r="K113">
        <f>IF('Recurring Schedule'!$C$15="","",IF('Recurring Schedule'!$F$15="","",IF(OR($A113&lt;'Recurring Schedule'!$F$15,$A113&gt;'Recurring Schedule'!$P$15),"",IF(IF('Recurring Schedule'!$N$15&gt;0,MOD($A113-'Recurring Schedule'!$F$15,'Recurring Schedule'!$N$15)=0,IF('Recurring Schedule'!$O$15&gt;0,AND(DAY($A113)=MIN(DAY('Recurring Schedule'!$F$15),DAY(EOMONTH($A113,0))),MOD((YEAR($A113)-YEAR('Recurring Schedule'!$F$15))*12+MONTH($A113)-MONTH('Recurring Schedule'!$F$15),'Recurring Schedule'!$O$15)=0),IF('Recurring Schedule'!$E$15="Weekdays",WEEKDAY($A113,2)&lt;=5,$A113='Recurring Schedule'!$F$15))),10,""))))</f>
        <v/>
      </c>
      <c r="L113">
        <f>IF('Recurring Schedule'!$C$16="","",IF('Recurring Schedule'!$F$16="","",IF(OR($A113&lt;'Recurring Schedule'!$F$16,$A113&gt;'Recurring Schedule'!$P$16),"",IF(IF('Recurring Schedule'!$N$16&gt;0,MOD($A113-'Recurring Schedule'!$F$16,'Recurring Schedule'!$N$16)=0,IF('Recurring Schedule'!$O$16&gt;0,AND(DAY($A113)=MIN(DAY('Recurring Schedule'!$F$16),DAY(EOMONTH($A113,0))),MOD((YEAR($A113)-YEAR('Recurring Schedule'!$F$16))*12+MONTH($A113)-MONTH('Recurring Schedule'!$F$16),'Recurring Schedule'!$O$16)=0),IF('Recurring Schedule'!$E$16="Weekdays",WEEKDAY($A113,2)&lt;=5,$A113='Recurring Schedule'!$F$16))),11,""))))</f>
        <v/>
      </c>
      <c r="M113">
        <f>IF('Recurring Schedule'!$C$17="","",IF('Recurring Schedule'!$F$17="","",IF(OR($A113&lt;'Recurring Schedule'!$F$17,$A113&gt;'Recurring Schedule'!$P$17),"",IF(IF('Recurring Schedule'!$N$17&gt;0,MOD($A113-'Recurring Schedule'!$F$17,'Recurring Schedule'!$N$17)=0,IF('Recurring Schedule'!$O$17&gt;0,AND(DAY($A113)=MIN(DAY('Recurring Schedule'!$F$17),DAY(EOMONTH($A113,0))),MOD((YEAR($A113)-YEAR('Recurring Schedule'!$F$17))*12+MONTH($A113)-MONTH('Recurring Schedule'!$F$17),'Recurring Schedule'!$O$17)=0),IF('Recurring Schedule'!$E$17="Weekdays",WEEKDAY($A113,2)&lt;=5,$A113='Recurring Schedule'!$F$17))),12,""))))</f>
        <v/>
      </c>
      <c r="N113">
        <f>IF('Recurring Schedule'!$C$18="","",IF('Recurring Schedule'!$F$18="","",IF(OR($A113&lt;'Recurring Schedule'!$F$18,$A113&gt;'Recurring Schedule'!$P$18),"",IF(IF('Recurring Schedule'!$N$18&gt;0,MOD($A113-'Recurring Schedule'!$F$18,'Recurring Schedule'!$N$18)=0,IF('Recurring Schedule'!$O$18&gt;0,AND(DAY($A113)=MIN(DAY('Recurring Schedule'!$F$18),DAY(EOMONTH($A113,0))),MOD((YEAR($A113)-YEAR('Recurring Schedule'!$F$18))*12+MONTH($A113)-MONTH('Recurring Schedule'!$F$18),'Recurring Schedule'!$O$18)=0),IF('Recurring Schedule'!$E$18="Weekdays",WEEKDAY($A113,2)&lt;=5,$A113='Recurring Schedule'!$F$18))),13,""))))</f>
        <v/>
      </c>
      <c r="O113">
        <f>IF('Recurring Schedule'!$C$19="","",IF('Recurring Schedule'!$F$19="","",IF(OR($A113&lt;'Recurring Schedule'!$F$19,$A113&gt;'Recurring Schedule'!$P$19),"",IF(IF('Recurring Schedule'!$N$19&gt;0,MOD($A113-'Recurring Schedule'!$F$19,'Recurring Schedule'!$N$19)=0,IF('Recurring Schedule'!$O$19&gt;0,AND(DAY($A113)=MIN(DAY('Recurring Schedule'!$F$19),DAY(EOMONTH($A113,0))),MOD((YEAR($A113)-YEAR('Recurring Schedule'!$F$19))*12+MONTH($A113)-MONTH('Recurring Schedule'!$F$19),'Recurring Schedule'!$O$19)=0),IF('Recurring Schedule'!$E$19="Weekdays",WEEKDAY($A113,2)&lt;=5,$A113='Recurring Schedule'!$F$19))),14,""))))</f>
        <v/>
      </c>
      <c r="P113">
        <f>IF('Recurring Schedule'!$C$20="","",IF('Recurring Schedule'!$F$20="","",IF(OR($A113&lt;'Recurring Schedule'!$F$20,$A113&gt;'Recurring Schedule'!$P$20),"",IF(IF('Recurring Schedule'!$N$20&gt;0,MOD($A113-'Recurring Schedule'!$F$20,'Recurring Schedule'!$N$20)=0,IF('Recurring Schedule'!$O$20&gt;0,AND(DAY($A113)=MIN(DAY('Recurring Schedule'!$F$20),DAY(EOMONTH($A113,0))),MOD((YEAR($A113)-YEAR('Recurring Schedule'!$F$20))*12+MONTH($A113)-MONTH('Recurring Schedule'!$F$20),'Recurring Schedule'!$O$20)=0),IF('Recurring Schedule'!$E$20="Weekdays",WEEKDAY($A113,2)&lt;=5,$A113='Recurring Schedule'!$F$20))),15,""))))</f>
        <v/>
      </c>
      <c r="Q113">
        <f>IF('Recurring Schedule'!$C$21="","",IF('Recurring Schedule'!$F$21="","",IF(OR($A113&lt;'Recurring Schedule'!$F$21,$A113&gt;'Recurring Schedule'!$P$21),"",IF(IF('Recurring Schedule'!$N$21&gt;0,MOD($A113-'Recurring Schedule'!$F$21,'Recurring Schedule'!$N$21)=0,IF('Recurring Schedule'!$O$21&gt;0,AND(DAY($A113)=MIN(DAY('Recurring Schedule'!$F$21),DAY(EOMONTH($A113,0))),MOD((YEAR($A113)-YEAR('Recurring Schedule'!$F$21))*12+MONTH($A113)-MONTH('Recurring Schedule'!$F$21),'Recurring Schedule'!$O$21)=0),IF('Recurring Schedule'!$E$21="Weekdays",WEEKDAY($A113,2)&lt;=5,$A113='Recurring Schedule'!$F$21))),16,""))))</f>
        <v/>
      </c>
      <c r="R113">
        <f>IF('Recurring Schedule'!$C$22="","",IF('Recurring Schedule'!$F$22="","",IF(OR($A113&lt;'Recurring Schedule'!$F$22,$A113&gt;'Recurring Schedule'!$P$22),"",IF(IF('Recurring Schedule'!$N$22&gt;0,MOD($A113-'Recurring Schedule'!$F$22,'Recurring Schedule'!$N$22)=0,IF('Recurring Schedule'!$O$22&gt;0,AND(DAY($A113)=MIN(DAY('Recurring Schedule'!$F$22),DAY(EOMONTH($A113,0))),MOD((YEAR($A113)-YEAR('Recurring Schedule'!$F$22))*12+MONTH($A113)-MONTH('Recurring Schedule'!$F$22),'Recurring Schedule'!$O$22)=0),IF('Recurring Schedule'!$E$22="Weekdays",WEEKDAY($A113,2)&lt;=5,$A113='Recurring Schedule'!$F$22))),17,""))))</f>
        <v/>
      </c>
      <c r="S113">
        <f>IF('Recurring Schedule'!$C$23="","",IF('Recurring Schedule'!$F$23="","",IF(OR($A113&lt;'Recurring Schedule'!$F$23,$A113&gt;'Recurring Schedule'!$P$23),"",IF(IF('Recurring Schedule'!$N$23&gt;0,MOD($A113-'Recurring Schedule'!$F$23,'Recurring Schedule'!$N$23)=0,IF('Recurring Schedule'!$O$23&gt;0,AND(DAY($A113)=MIN(DAY('Recurring Schedule'!$F$23),DAY(EOMONTH($A113,0))),MOD((YEAR($A113)-YEAR('Recurring Schedule'!$F$23))*12+MONTH($A113)-MONTH('Recurring Schedule'!$F$23),'Recurring Schedule'!$O$23)=0),IF('Recurring Schedule'!$E$23="Weekdays",WEEKDAY($A113,2)&lt;=5,$A113='Recurring Schedule'!$F$23))),18,""))))</f>
        <v/>
      </c>
      <c r="T113">
        <f>IF('Recurring Schedule'!$C$24="","",IF('Recurring Schedule'!$F$24="","",IF(OR($A113&lt;'Recurring Schedule'!$F$24,$A113&gt;'Recurring Schedule'!$P$24),"",IF(IF('Recurring Schedule'!$N$24&gt;0,MOD($A113-'Recurring Schedule'!$F$24,'Recurring Schedule'!$N$24)=0,IF('Recurring Schedule'!$O$24&gt;0,AND(DAY($A113)=MIN(DAY('Recurring Schedule'!$F$24),DAY(EOMONTH($A113,0))),MOD((YEAR($A113)-YEAR('Recurring Schedule'!$F$24))*12+MONTH($A113)-MONTH('Recurring Schedule'!$F$24),'Recurring Schedule'!$O$24)=0),IF('Recurring Schedule'!$E$24="Weekdays",WEEKDAY($A113,2)&lt;=5,$A113='Recurring Schedule'!$F$24))),19,""))))</f>
        <v/>
      </c>
      <c r="U113">
        <f>IF('Recurring Schedule'!$C$25="","",IF('Recurring Schedule'!$F$25="","",IF(OR($A113&lt;'Recurring Schedule'!$F$25,$A113&gt;'Recurring Schedule'!$P$25),"",IF(IF('Recurring Schedule'!$N$25&gt;0,MOD($A113-'Recurring Schedule'!$F$25,'Recurring Schedule'!$N$25)=0,IF('Recurring Schedule'!$O$25&gt;0,AND(DAY($A113)=MIN(DAY('Recurring Schedule'!$F$25),DAY(EOMONTH($A113,0))),MOD((YEAR($A113)-YEAR('Recurring Schedule'!$F$25))*12+MONTH($A113)-MONTH('Recurring Schedule'!$F$25),'Recurring Schedule'!$O$25)=0),IF('Recurring Schedule'!$E$25="Weekdays",WEEKDAY($A113,2)&lt;=5,$A113='Recurring Schedule'!$F$25))),20,""))))</f>
        <v/>
      </c>
      <c r="V113">
        <f>IF('Recurring Schedule'!$C$26="","",IF('Recurring Schedule'!$F$26="","",IF(OR($A113&lt;'Recurring Schedule'!$F$26,$A113&gt;'Recurring Schedule'!$P$26),"",IF(IF('Recurring Schedule'!$N$26&gt;0,MOD($A113-'Recurring Schedule'!$F$26,'Recurring Schedule'!$N$26)=0,IF('Recurring Schedule'!$O$26&gt;0,AND(DAY($A113)=MIN(DAY('Recurring Schedule'!$F$26),DAY(EOMONTH($A113,0))),MOD((YEAR($A113)-YEAR('Recurring Schedule'!$F$26))*12+MONTH($A113)-MONTH('Recurring Schedule'!$F$26),'Recurring Schedule'!$O$26)=0),IF('Recurring Schedule'!$E$26="Weekdays",WEEKDAY($A113,2)&lt;=5,$A113='Recurring Schedule'!$F$26))),21,""))))</f>
        <v/>
      </c>
      <c r="W113">
        <f>IF('Recurring Schedule'!$C$27="","",IF('Recurring Schedule'!$F$27="","",IF(OR($A113&lt;'Recurring Schedule'!$F$27,$A113&gt;'Recurring Schedule'!$P$27),"",IF(IF('Recurring Schedule'!$N$27&gt;0,MOD($A113-'Recurring Schedule'!$F$27,'Recurring Schedule'!$N$27)=0,IF('Recurring Schedule'!$O$27&gt;0,AND(DAY($A113)=MIN(DAY('Recurring Schedule'!$F$27),DAY(EOMONTH($A113,0))),MOD((YEAR($A113)-YEAR('Recurring Schedule'!$F$27))*12+MONTH($A113)-MONTH('Recurring Schedule'!$F$27),'Recurring Schedule'!$O$27)=0),IF('Recurring Schedule'!$E$27="Weekdays",WEEKDAY($A113,2)&lt;=5,$A113='Recurring Schedule'!$F$27))),22,""))))</f>
        <v/>
      </c>
      <c r="X113">
        <f>IF('Recurring Schedule'!$C$28="","",IF('Recurring Schedule'!$F$28="","",IF(OR($A113&lt;'Recurring Schedule'!$F$28,$A113&gt;'Recurring Schedule'!$P$28),"",IF(IF('Recurring Schedule'!$N$28&gt;0,MOD($A113-'Recurring Schedule'!$F$28,'Recurring Schedule'!$N$28)=0,IF('Recurring Schedule'!$O$28&gt;0,AND(DAY($A113)=MIN(DAY('Recurring Schedule'!$F$28),DAY(EOMONTH($A113,0))),MOD((YEAR($A113)-YEAR('Recurring Schedule'!$F$28))*12+MONTH($A113)-MONTH('Recurring Schedule'!$F$28),'Recurring Schedule'!$O$28)=0),IF('Recurring Schedule'!$E$28="Weekdays",WEEKDAY($A113,2)&lt;=5,$A113='Recurring Schedule'!$F$28))),23,""))))</f>
        <v/>
      </c>
      <c r="Y113">
        <f>IF('Recurring Schedule'!$C$29="","",IF('Recurring Schedule'!$F$29="","",IF(OR($A113&lt;'Recurring Schedule'!$F$29,$A113&gt;'Recurring Schedule'!$P$29),"",IF(IF('Recurring Schedule'!$N$29&gt;0,MOD($A113-'Recurring Schedule'!$F$29,'Recurring Schedule'!$N$29)=0,IF('Recurring Schedule'!$O$29&gt;0,AND(DAY($A113)=MIN(DAY('Recurring Schedule'!$F$29),DAY(EOMONTH($A113,0))),MOD((YEAR($A113)-YEAR('Recurring Schedule'!$F$29))*12+MONTH($A113)-MONTH('Recurring Schedule'!$F$29),'Recurring Schedule'!$O$29)=0),IF('Recurring Schedule'!$E$29="Weekdays",WEEKDAY($A113,2)&lt;=5,$A113='Recurring Schedule'!$F$29))),24,""))))</f>
        <v/>
      </c>
      <c r="Z113">
        <f>IF('Recurring Schedule'!$C$30="","",IF('Recurring Schedule'!$F$30="","",IF(OR($A113&lt;'Recurring Schedule'!$F$30,$A113&gt;'Recurring Schedule'!$P$30),"",IF(IF('Recurring Schedule'!$N$30&gt;0,MOD($A113-'Recurring Schedule'!$F$30,'Recurring Schedule'!$N$30)=0,IF('Recurring Schedule'!$O$30&gt;0,AND(DAY($A113)=MIN(DAY('Recurring Schedule'!$F$30),DAY(EOMONTH($A113,0))),MOD((YEAR($A113)-YEAR('Recurring Schedule'!$F$30))*12+MONTH($A113)-MONTH('Recurring Schedule'!$F$30),'Recurring Schedule'!$O$30)=0),IF('Recurring Schedule'!$E$30="Weekdays",WEEKDAY($A113,2)&lt;=5,$A113='Recurring Schedule'!$F$30))),25,""))))</f>
        <v/>
      </c>
      <c r="AA113">
        <f>IF('Recurring Schedule'!$C$31="","",IF('Recurring Schedule'!$F$31="","",IF(OR($A113&lt;'Recurring Schedule'!$F$31,$A113&gt;'Recurring Schedule'!$P$31),"",IF(IF('Recurring Schedule'!$N$31&gt;0,MOD($A113-'Recurring Schedule'!$F$31,'Recurring Schedule'!$N$31)=0,IF('Recurring Schedule'!$O$31&gt;0,AND(DAY($A113)=MIN(DAY('Recurring Schedule'!$F$31),DAY(EOMONTH($A113,0))),MOD((YEAR($A113)-YEAR('Recurring Schedule'!$F$31))*12+MONTH($A113)-MONTH('Recurring Schedule'!$F$31),'Recurring Schedule'!$O$31)=0),IF('Recurring Schedule'!$E$31="Weekdays",WEEKDAY($A113,2)&lt;=5,$A113='Recurring Schedule'!$F$31))),26,""))))</f>
        <v/>
      </c>
      <c r="AB113">
        <f>IF('Recurring Schedule'!$C$32="","",IF('Recurring Schedule'!$F$32="","",IF(OR($A113&lt;'Recurring Schedule'!$F$32,$A113&gt;'Recurring Schedule'!$P$32),"",IF(IF('Recurring Schedule'!$N$32&gt;0,MOD($A113-'Recurring Schedule'!$F$32,'Recurring Schedule'!$N$32)=0,IF('Recurring Schedule'!$O$32&gt;0,AND(DAY($A113)=MIN(DAY('Recurring Schedule'!$F$32),DAY(EOMONTH($A113,0))),MOD((YEAR($A113)-YEAR('Recurring Schedule'!$F$32))*12+MONTH($A113)-MONTH('Recurring Schedule'!$F$32),'Recurring Schedule'!$O$32)=0),IF('Recurring Schedule'!$E$32="Weekdays",WEEKDAY($A113,2)&lt;=5,$A113='Recurring Schedule'!$F$32))),27,""))))</f>
        <v/>
      </c>
      <c r="AC113">
        <f>IF('Recurring Schedule'!$C$33="","",IF('Recurring Schedule'!$F$33="","",IF(OR($A113&lt;'Recurring Schedule'!$F$33,$A113&gt;'Recurring Schedule'!$P$33),"",IF(IF('Recurring Schedule'!$N$33&gt;0,MOD($A113-'Recurring Schedule'!$F$33,'Recurring Schedule'!$N$33)=0,IF('Recurring Schedule'!$O$33&gt;0,AND(DAY($A113)=MIN(DAY('Recurring Schedule'!$F$33),DAY(EOMONTH($A113,0))),MOD((YEAR($A113)-YEAR('Recurring Schedule'!$F$33))*12+MONTH($A113)-MONTH('Recurring Schedule'!$F$33),'Recurring Schedule'!$O$33)=0),IF('Recurring Schedule'!$E$33="Weekdays",WEEKDAY($A113,2)&lt;=5,$A113='Recurring Schedule'!$F$33))),28,""))))</f>
        <v/>
      </c>
      <c r="AD113">
        <f>IF('Recurring Schedule'!$C$34="","",IF('Recurring Schedule'!$F$34="","",IF(OR($A113&lt;'Recurring Schedule'!$F$34,$A113&gt;'Recurring Schedule'!$P$34),"",IF(IF('Recurring Schedule'!$N$34&gt;0,MOD($A113-'Recurring Schedule'!$F$34,'Recurring Schedule'!$N$34)=0,IF('Recurring Schedule'!$O$34&gt;0,AND(DAY($A113)=MIN(DAY('Recurring Schedule'!$F$34),DAY(EOMONTH($A113,0))),MOD((YEAR($A113)-YEAR('Recurring Schedule'!$F$34))*12+MONTH($A113)-MONTH('Recurring Schedule'!$F$34),'Recurring Schedule'!$O$34)=0),IF('Recurring Schedule'!$E$34="Weekdays",WEEKDAY($A113,2)&lt;=5,$A113='Recurring Schedule'!$F$34))),29,""))))</f>
        <v/>
      </c>
      <c r="AE113">
        <f>IF('Recurring Schedule'!$C$35="","",IF('Recurring Schedule'!$F$35="","",IF(OR($A113&lt;'Recurring Schedule'!$F$35,$A113&gt;'Recurring Schedule'!$P$35),"",IF(IF('Recurring Schedule'!$N$35&gt;0,MOD($A113-'Recurring Schedule'!$F$35,'Recurring Schedule'!$N$35)=0,IF('Recurring Schedule'!$O$35&gt;0,AND(DAY($A113)=MIN(DAY('Recurring Schedule'!$F$35),DAY(EOMONTH($A113,0))),MOD((YEAR($A113)-YEAR('Recurring Schedule'!$F$35))*12+MONTH($A113)-MONTH('Recurring Schedule'!$F$35),'Recurring Schedule'!$O$35)=0),IF('Recurring Schedule'!$E$35="Weekdays",WEEKDAY($A113,2)&lt;=5,$A113='Recurring Schedule'!$F$35))),30,""))))</f>
        <v/>
      </c>
      <c r="AF113">
        <f>IF('Recurring Schedule'!$C$36="","",IF('Recurring Schedule'!$F$36="","",IF(OR($A113&lt;'Recurring Schedule'!$F$36,$A113&gt;'Recurring Schedule'!$P$36),"",IF(IF('Recurring Schedule'!$N$36&gt;0,MOD($A113-'Recurring Schedule'!$F$36,'Recurring Schedule'!$N$36)=0,IF('Recurring Schedule'!$O$36&gt;0,AND(DAY($A113)=MIN(DAY('Recurring Schedule'!$F$36),DAY(EOMONTH($A113,0))),MOD((YEAR($A113)-YEAR('Recurring Schedule'!$F$36))*12+MONTH($A113)-MONTH('Recurring Schedule'!$F$36),'Recurring Schedule'!$O$36)=0),IF('Recurring Schedule'!$E$36="Weekdays",WEEKDAY($A113,2)&lt;=5,$A113='Recurring Schedule'!$F$36))),31,""))))</f>
        <v/>
      </c>
      <c r="AG113">
        <f>IF('Recurring Schedule'!$C$37="","",IF('Recurring Schedule'!$F$37="","",IF(OR($A113&lt;'Recurring Schedule'!$F$37,$A113&gt;'Recurring Schedule'!$P$37),"",IF(IF('Recurring Schedule'!$N$37&gt;0,MOD($A113-'Recurring Schedule'!$F$37,'Recurring Schedule'!$N$37)=0,IF('Recurring Schedule'!$O$37&gt;0,AND(DAY($A113)=MIN(DAY('Recurring Schedule'!$F$37),DAY(EOMONTH($A113,0))),MOD((YEAR($A113)-YEAR('Recurring Schedule'!$F$37))*12+MONTH($A113)-MONTH('Recurring Schedule'!$F$37),'Recurring Schedule'!$O$37)=0),IF('Recurring Schedule'!$E$37="Weekdays",WEEKDAY($A113,2)&lt;=5,$A113='Recurring Schedule'!$F$37))),32,""))))</f>
        <v/>
      </c>
      <c r="AH113">
        <f>IF('Recurring Schedule'!$C$38="","",IF('Recurring Schedule'!$F$38="","",IF(OR($A113&lt;'Recurring Schedule'!$F$38,$A113&gt;'Recurring Schedule'!$P$38),"",IF(IF('Recurring Schedule'!$N$38&gt;0,MOD($A113-'Recurring Schedule'!$F$38,'Recurring Schedule'!$N$38)=0,IF('Recurring Schedule'!$O$38&gt;0,AND(DAY($A113)=MIN(DAY('Recurring Schedule'!$F$38),DAY(EOMONTH($A113,0))),MOD((YEAR($A113)-YEAR('Recurring Schedule'!$F$38))*12+MONTH($A113)-MONTH('Recurring Schedule'!$F$38),'Recurring Schedule'!$O$38)=0),IF('Recurring Schedule'!$E$38="Weekdays",WEEKDAY($A113,2)&lt;=5,$A113='Recurring Schedule'!$F$38))),33,""))))</f>
        <v/>
      </c>
      <c r="AI113">
        <f>IF('Recurring Schedule'!$C$39="","",IF('Recurring Schedule'!$F$39="","",IF(OR($A113&lt;'Recurring Schedule'!$F$39,$A113&gt;'Recurring Schedule'!$P$39),"",IF(IF('Recurring Schedule'!$N$39&gt;0,MOD($A113-'Recurring Schedule'!$F$39,'Recurring Schedule'!$N$39)=0,IF('Recurring Schedule'!$O$39&gt;0,AND(DAY($A113)=MIN(DAY('Recurring Schedule'!$F$39),DAY(EOMONTH($A113,0))),MOD((YEAR($A113)-YEAR('Recurring Schedule'!$F$39))*12+MONTH($A113)-MONTH('Recurring Schedule'!$F$39),'Recurring Schedule'!$O$39)=0),IF('Recurring Schedule'!$E$39="Weekdays",WEEKDAY($A113,2)&lt;=5,$A113='Recurring Schedule'!$F$39))),34,""))))</f>
        <v/>
      </c>
      <c r="AJ113">
        <f>IF('Recurring Schedule'!$C$40="","",IF('Recurring Schedule'!$F$40="","",IF(OR($A113&lt;'Recurring Schedule'!$F$40,$A113&gt;'Recurring Schedule'!$P$40),"",IF(IF('Recurring Schedule'!$N$40&gt;0,MOD($A113-'Recurring Schedule'!$F$40,'Recurring Schedule'!$N$40)=0,IF('Recurring Schedule'!$O$40&gt;0,AND(DAY($A113)=MIN(DAY('Recurring Schedule'!$F$40),DAY(EOMONTH($A113,0))),MOD((YEAR($A113)-YEAR('Recurring Schedule'!$F$40))*12+MONTH($A113)-MONTH('Recurring Schedule'!$F$40),'Recurring Schedule'!$O$40)=0),IF('Recurring Schedule'!$E$40="Weekdays",WEEKDAY($A113,2)&lt;=5,$A113='Recurring Schedule'!$F$40))),35,""))))</f>
        <v/>
      </c>
      <c r="AK113">
        <f>IF('Recurring Schedule'!$C$41="","",IF('Recurring Schedule'!$F$41="","",IF(OR($A113&lt;'Recurring Schedule'!$F$41,$A113&gt;'Recurring Schedule'!$P$41),"",IF(IF('Recurring Schedule'!$N$41&gt;0,MOD($A113-'Recurring Schedule'!$F$41,'Recurring Schedule'!$N$41)=0,IF('Recurring Schedule'!$O$41&gt;0,AND(DAY($A113)=MIN(DAY('Recurring Schedule'!$F$41),DAY(EOMONTH($A113,0))),MOD((YEAR($A113)-YEAR('Recurring Schedule'!$F$41))*12+MONTH($A113)-MONTH('Recurring Schedule'!$F$41),'Recurring Schedule'!$O$41)=0),IF('Recurring Schedule'!$E$41="Weekdays",WEEKDAY($A113,2)&lt;=5,$A113='Recurring Schedule'!$F$41))),36,""))))</f>
        <v/>
      </c>
      <c r="AL113">
        <f>IF('Recurring Schedule'!$C$42="","",IF('Recurring Schedule'!$F$42="","",IF(OR($A113&lt;'Recurring Schedule'!$F$42,$A113&gt;'Recurring Schedule'!$P$42),"",IF(IF('Recurring Schedule'!$N$42&gt;0,MOD($A113-'Recurring Schedule'!$F$42,'Recurring Schedule'!$N$42)=0,IF('Recurring Schedule'!$O$42&gt;0,AND(DAY($A113)=MIN(DAY('Recurring Schedule'!$F$42),DAY(EOMONTH($A113,0))),MOD((YEAR($A113)-YEAR('Recurring Schedule'!$F$42))*12+MONTH($A113)-MONTH('Recurring Schedule'!$F$42),'Recurring Schedule'!$O$42)=0),IF('Recurring Schedule'!$E$42="Weekdays",WEEKDAY($A113,2)&lt;=5,$A113='Recurring Schedule'!$F$42))),37,""))))</f>
        <v/>
      </c>
      <c r="AM113">
        <f>IF('Recurring Schedule'!$C$43="","",IF('Recurring Schedule'!$F$43="","",IF(OR($A113&lt;'Recurring Schedule'!$F$43,$A113&gt;'Recurring Schedule'!$P$43),"",IF(IF('Recurring Schedule'!$N$43&gt;0,MOD($A113-'Recurring Schedule'!$F$43,'Recurring Schedule'!$N$43)=0,IF('Recurring Schedule'!$O$43&gt;0,AND(DAY($A113)=MIN(DAY('Recurring Schedule'!$F$43),DAY(EOMONTH($A113,0))),MOD((YEAR($A113)-YEAR('Recurring Schedule'!$F$43))*12+MONTH($A113)-MONTH('Recurring Schedule'!$F$43),'Recurring Schedule'!$O$43)=0),IF('Recurring Schedule'!$E$43="Weekdays",WEEKDAY($A113,2)&lt;=5,$A113='Recurring Schedule'!$F$43))),38,""))))</f>
        <v/>
      </c>
      <c r="AN113">
        <f>IF('Recurring Schedule'!$C$44="","",IF('Recurring Schedule'!$F$44="","",IF(OR($A113&lt;'Recurring Schedule'!$F$44,$A113&gt;'Recurring Schedule'!$P$44),"",IF(IF('Recurring Schedule'!$N$44&gt;0,MOD($A113-'Recurring Schedule'!$F$44,'Recurring Schedule'!$N$44)=0,IF('Recurring Schedule'!$O$44&gt;0,AND(DAY($A113)=MIN(DAY('Recurring Schedule'!$F$44),DAY(EOMONTH($A113,0))),MOD((YEAR($A113)-YEAR('Recurring Schedule'!$F$44))*12+MONTH($A113)-MONTH('Recurring Schedule'!$F$44),'Recurring Schedule'!$O$44)=0),IF('Recurring Schedule'!$E$44="Weekdays",WEEKDAY($A113,2)&lt;=5,$A113='Recurring Schedule'!$F$44))),39,""))))</f>
        <v/>
      </c>
      <c r="AO113">
        <f>IF('Recurring Schedule'!$C$45="","",IF('Recurring Schedule'!$F$45="","",IF(OR($A113&lt;'Recurring Schedule'!$F$45,$A113&gt;'Recurring Schedule'!$P$45),"",IF(IF('Recurring Schedule'!$N$45&gt;0,MOD($A113-'Recurring Schedule'!$F$45,'Recurring Schedule'!$N$45)=0,IF('Recurring Schedule'!$O$45&gt;0,AND(DAY($A113)=MIN(DAY('Recurring Schedule'!$F$45),DAY(EOMONTH($A113,0))),MOD((YEAR($A113)-YEAR('Recurring Schedule'!$F$45))*12+MONTH($A113)-MONTH('Recurring Schedule'!$F$45),'Recurring Schedule'!$O$45)=0),IF('Recurring Schedule'!$E$45="Weekdays",WEEKDAY($A113,2)&lt;=5,$A113='Recurring Schedule'!$F$45))),40,""))))</f>
        <v/>
      </c>
      <c r="AP113">
        <f>COUNT(B113:AO113)</f>
        <v/>
      </c>
      <c r="AQ113">
        <f>AQ112+AP112</f>
        <v/>
      </c>
      <c r="AS113" t="inlineStr">
        <is>
          <t>R</t>
        </is>
      </c>
      <c r="AT113" t="n">
        <v>117</v>
      </c>
      <c r="AU113">
        <f>'Recurring Log'!C117&amp;""</f>
        <v/>
      </c>
      <c r="AV113">
        <f>'Recurring Log'!D117&amp;""</f>
        <v/>
      </c>
      <c r="AW113">
        <f>IF('Recurring Log'!E117="","",'Recurring Log'!E117)</f>
        <v/>
      </c>
      <c r="AX113">
        <f>IF('Recurring Log'!G117="","",'Recurring Log'!G117)</f>
        <v/>
      </c>
      <c r="AY113">
        <f>IF('Recurring Log'!H117="","",'Recurring Log'!H117)</f>
        <v/>
      </c>
      <c r="AZ113">
        <f>IF(AU113="","",IF('Recurring Log'!J117="","Not Started",'Recurring Log'!J117))</f>
        <v/>
      </c>
      <c r="BA113">
        <f>'Recurring Log'!L117&amp;""</f>
        <v/>
      </c>
      <c r="BB113">
        <f>'Recurring Log'!M117&amp;""</f>
        <v/>
      </c>
      <c r="BC113">
        <f>'Recurring Log'!N117&amp;""</f>
        <v/>
      </c>
      <c r="BD113">
        <f>'Recurring Log'!O117&amp;""</f>
        <v/>
      </c>
      <c r="BE113">
        <f>IF('Recurring Log'!K117="","",'Recurring Log'!K117)</f>
        <v/>
      </c>
      <c r="BF113">
        <f>IFERROR(MATCH(BA113,Setup!$L$6:$L$9,0),5)</f>
        <v/>
      </c>
      <c r="BG113">
        <f>IF(OR(AZ113="Done",AZ113="Cancelled"),1,0)</f>
        <v/>
      </c>
      <c r="BH113">
        <f>IF(AND(AU113&lt;&gt;"",ISNUMBER(AW113)),1,0)</f>
        <v/>
      </c>
      <c r="BI113">
        <f>IF(BH113=0,0,IF(AND(AW113&gt;='Tasks Filter'!$F$3,AW113&lt;='Tasks Filter'!$F$4,OR('Tasks Filter'!$I$3="",ISNUMBER(SEARCH('Tasks Filter'!$I$3,AU113))),OR('Tasks Filter'!$I$4="",BF113=IFERROR(MATCH('Tasks Filter'!$I$4,Setup!$L$6:$L$9,0),0)),OR('Tasks Filter'!$I$5="Both",AND('Tasks Filter'!$I$5="Yes",BB113="✓"),AND('Tasks Filter'!$I$5="No",BB113&lt;&gt;"✓")),OR('Tasks Filter'!$L$3="",AV113='Tasks Filter'!$L$3),OR('Tasks Filter'!$L$4="",AZ113='Tasks Filter'!$L$4),OR('Tasks Filter'!$L$5="",BC113='Tasks Filter'!$L$5),OR('Tasks Filter'!$O$3="",BD113='Tasks Filter'!$O$3),OR('Tasks Filter'!$O$4="Yes",BG113=0)),1,0))</f>
        <v/>
      </c>
      <c r="BJ113">
        <f>IF(BH113=0,"",IF('Tasks Filter'!$F$6="Descending",-1,1)*CHOOSE(MATCH('Tasks Filter'!$F$5,Lists!$G$2:$G$6,0),AW113,BF113,IFERROR(MATCH(AV113,Setup!$F$6:$F$15,0),99),IFERROR(MATCH(BC113,Setup!$H$6:$H$15,0),99),IFERROR(MATCH(AZ113,Setup!$J$6:$J$11,0),99))*1E+9+(AW113-40000)*10000+112)</f>
        <v/>
      </c>
      <c r="BK113">
        <f>IF(BI113=1,BJ113,"")</f>
        <v/>
      </c>
      <c r="BL113">
        <f>IF(AND(BH113=1,BG113=0,N(AW113)&lt;Setup!$D$7),(AW113-40000)*10000+112,"")</f>
        <v/>
      </c>
      <c r="BM113">
        <f>IF(AND(BH113=1,AZ113&lt;&gt;"Cancelled",N(AW113)&gt;=Dashboard!$AB$3,N(AW113)&lt;=Dashboard!$AB$3+6),(AW113-40000)*100000+BF113*10000+112,"")</f>
        <v/>
      </c>
      <c r="BN113">
        <f>IF(AND(BH113=1,AZ113&lt;&gt;"Cancelled"),BF113*10000+112,"")</f>
        <v/>
      </c>
    </row>
    <row r="114">
      <c r="A114">
        <f>Setup!$D$5+112</f>
        <v/>
      </c>
      <c r="B114">
        <f>IF('Recurring Schedule'!$C$6="","",IF('Recurring Schedule'!$F$6="","",IF(OR($A114&lt;'Recurring Schedule'!$F$6,$A114&gt;'Recurring Schedule'!$P$6),"",IF(IF('Recurring Schedule'!$N$6&gt;0,MOD($A114-'Recurring Schedule'!$F$6,'Recurring Schedule'!$N$6)=0,IF('Recurring Schedule'!$O$6&gt;0,AND(DAY($A114)=MIN(DAY('Recurring Schedule'!$F$6),DAY(EOMONTH($A114,0))),MOD((YEAR($A114)-YEAR('Recurring Schedule'!$F$6))*12+MONTH($A114)-MONTH('Recurring Schedule'!$F$6),'Recurring Schedule'!$O$6)=0),IF('Recurring Schedule'!$E$6="Weekdays",WEEKDAY($A114,2)&lt;=5,$A114='Recurring Schedule'!$F$6))),1,""))))</f>
        <v/>
      </c>
      <c r="C114">
        <f>IF('Recurring Schedule'!$C$7="","",IF('Recurring Schedule'!$F$7="","",IF(OR($A114&lt;'Recurring Schedule'!$F$7,$A114&gt;'Recurring Schedule'!$P$7),"",IF(IF('Recurring Schedule'!$N$7&gt;0,MOD($A114-'Recurring Schedule'!$F$7,'Recurring Schedule'!$N$7)=0,IF('Recurring Schedule'!$O$7&gt;0,AND(DAY($A114)=MIN(DAY('Recurring Schedule'!$F$7),DAY(EOMONTH($A114,0))),MOD((YEAR($A114)-YEAR('Recurring Schedule'!$F$7))*12+MONTH($A114)-MONTH('Recurring Schedule'!$F$7),'Recurring Schedule'!$O$7)=0),IF('Recurring Schedule'!$E$7="Weekdays",WEEKDAY($A114,2)&lt;=5,$A114='Recurring Schedule'!$F$7))),2,""))))</f>
        <v/>
      </c>
      <c r="D114">
        <f>IF('Recurring Schedule'!$C$8="","",IF('Recurring Schedule'!$F$8="","",IF(OR($A114&lt;'Recurring Schedule'!$F$8,$A114&gt;'Recurring Schedule'!$P$8),"",IF(IF('Recurring Schedule'!$N$8&gt;0,MOD($A114-'Recurring Schedule'!$F$8,'Recurring Schedule'!$N$8)=0,IF('Recurring Schedule'!$O$8&gt;0,AND(DAY($A114)=MIN(DAY('Recurring Schedule'!$F$8),DAY(EOMONTH($A114,0))),MOD((YEAR($A114)-YEAR('Recurring Schedule'!$F$8))*12+MONTH($A114)-MONTH('Recurring Schedule'!$F$8),'Recurring Schedule'!$O$8)=0),IF('Recurring Schedule'!$E$8="Weekdays",WEEKDAY($A114,2)&lt;=5,$A114='Recurring Schedule'!$F$8))),3,""))))</f>
        <v/>
      </c>
      <c r="E114">
        <f>IF('Recurring Schedule'!$C$9="","",IF('Recurring Schedule'!$F$9="","",IF(OR($A114&lt;'Recurring Schedule'!$F$9,$A114&gt;'Recurring Schedule'!$P$9),"",IF(IF('Recurring Schedule'!$N$9&gt;0,MOD($A114-'Recurring Schedule'!$F$9,'Recurring Schedule'!$N$9)=0,IF('Recurring Schedule'!$O$9&gt;0,AND(DAY($A114)=MIN(DAY('Recurring Schedule'!$F$9),DAY(EOMONTH($A114,0))),MOD((YEAR($A114)-YEAR('Recurring Schedule'!$F$9))*12+MONTH($A114)-MONTH('Recurring Schedule'!$F$9),'Recurring Schedule'!$O$9)=0),IF('Recurring Schedule'!$E$9="Weekdays",WEEKDAY($A114,2)&lt;=5,$A114='Recurring Schedule'!$F$9))),4,""))))</f>
        <v/>
      </c>
      <c r="F114">
        <f>IF('Recurring Schedule'!$C$10="","",IF('Recurring Schedule'!$F$10="","",IF(OR($A114&lt;'Recurring Schedule'!$F$10,$A114&gt;'Recurring Schedule'!$P$10),"",IF(IF('Recurring Schedule'!$N$10&gt;0,MOD($A114-'Recurring Schedule'!$F$10,'Recurring Schedule'!$N$10)=0,IF('Recurring Schedule'!$O$10&gt;0,AND(DAY($A114)=MIN(DAY('Recurring Schedule'!$F$10),DAY(EOMONTH($A114,0))),MOD((YEAR($A114)-YEAR('Recurring Schedule'!$F$10))*12+MONTH($A114)-MONTH('Recurring Schedule'!$F$10),'Recurring Schedule'!$O$10)=0),IF('Recurring Schedule'!$E$10="Weekdays",WEEKDAY($A114,2)&lt;=5,$A114='Recurring Schedule'!$F$10))),5,""))))</f>
        <v/>
      </c>
      <c r="G114">
        <f>IF('Recurring Schedule'!$C$11="","",IF('Recurring Schedule'!$F$11="","",IF(OR($A114&lt;'Recurring Schedule'!$F$11,$A114&gt;'Recurring Schedule'!$P$11),"",IF(IF('Recurring Schedule'!$N$11&gt;0,MOD($A114-'Recurring Schedule'!$F$11,'Recurring Schedule'!$N$11)=0,IF('Recurring Schedule'!$O$11&gt;0,AND(DAY($A114)=MIN(DAY('Recurring Schedule'!$F$11),DAY(EOMONTH($A114,0))),MOD((YEAR($A114)-YEAR('Recurring Schedule'!$F$11))*12+MONTH($A114)-MONTH('Recurring Schedule'!$F$11),'Recurring Schedule'!$O$11)=0),IF('Recurring Schedule'!$E$11="Weekdays",WEEKDAY($A114,2)&lt;=5,$A114='Recurring Schedule'!$F$11))),6,""))))</f>
        <v/>
      </c>
      <c r="H114">
        <f>IF('Recurring Schedule'!$C$12="","",IF('Recurring Schedule'!$F$12="","",IF(OR($A114&lt;'Recurring Schedule'!$F$12,$A114&gt;'Recurring Schedule'!$P$12),"",IF(IF('Recurring Schedule'!$N$12&gt;0,MOD($A114-'Recurring Schedule'!$F$12,'Recurring Schedule'!$N$12)=0,IF('Recurring Schedule'!$O$12&gt;0,AND(DAY($A114)=MIN(DAY('Recurring Schedule'!$F$12),DAY(EOMONTH($A114,0))),MOD((YEAR($A114)-YEAR('Recurring Schedule'!$F$12))*12+MONTH($A114)-MONTH('Recurring Schedule'!$F$12),'Recurring Schedule'!$O$12)=0),IF('Recurring Schedule'!$E$12="Weekdays",WEEKDAY($A114,2)&lt;=5,$A114='Recurring Schedule'!$F$12))),7,""))))</f>
        <v/>
      </c>
      <c r="I114">
        <f>IF('Recurring Schedule'!$C$13="","",IF('Recurring Schedule'!$F$13="","",IF(OR($A114&lt;'Recurring Schedule'!$F$13,$A114&gt;'Recurring Schedule'!$P$13),"",IF(IF('Recurring Schedule'!$N$13&gt;0,MOD($A114-'Recurring Schedule'!$F$13,'Recurring Schedule'!$N$13)=0,IF('Recurring Schedule'!$O$13&gt;0,AND(DAY($A114)=MIN(DAY('Recurring Schedule'!$F$13),DAY(EOMONTH($A114,0))),MOD((YEAR($A114)-YEAR('Recurring Schedule'!$F$13))*12+MONTH($A114)-MONTH('Recurring Schedule'!$F$13),'Recurring Schedule'!$O$13)=0),IF('Recurring Schedule'!$E$13="Weekdays",WEEKDAY($A114,2)&lt;=5,$A114='Recurring Schedule'!$F$13))),8,""))))</f>
        <v/>
      </c>
      <c r="J114">
        <f>IF('Recurring Schedule'!$C$14="","",IF('Recurring Schedule'!$F$14="","",IF(OR($A114&lt;'Recurring Schedule'!$F$14,$A114&gt;'Recurring Schedule'!$P$14),"",IF(IF('Recurring Schedule'!$N$14&gt;0,MOD($A114-'Recurring Schedule'!$F$14,'Recurring Schedule'!$N$14)=0,IF('Recurring Schedule'!$O$14&gt;0,AND(DAY($A114)=MIN(DAY('Recurring Schedule'!$F$14),DAY(EOMONTH($A114,0))),MOD((YEAR($A114)-YEAR('Recurring Schedule'!$F$14))*12+MONTH($A114)-MONTH('Recurring Schedule'!$F$14),'Recurring Schedule'!$O$14)=0),IF('Recurring Schedule'!$E$14="Weekdays",WEEKDAY($A114,2)&lt;=5,$A114='Recurring Schedule'!$F$14))),9,""))))</f>
        <v/>
      </c>
      <c r="K114">
        <f>IF('Recurring Schedule'!$C$15="","",IF('Recurring Schedule'!$F$15="","",IF(OR($A114&lt;'Recurring Schedule'!$F$15,$A114&gt;'Recurring Schedule'!$P$15),"",IF(IF('Recurring Schedule'!$N$15&gt;0,MOD($A114-'Recurring Schedule'!$F$15,'Recurring Schedule'!$N$15)=0,IF('Recurring Schedule'!$O$15&gt;0,AND(DAY($A114)=MIN(DAY('Recurring Schedule'!$F$15),DAY(EOMONTH($A114,0))),MOD((YEAR($A114)-YEAR('Recurring Schedule'!$F$15))*12+MONTH($A114)-MONTH('Recurring Schedule'!$F$15),'Recurring Schedule'!$O$15)=0),IF('Recurring Schedule'!$E$15="Weekdays",WEEKDAY($A114,2)&lt;=5,$A114='Recurring Schedule'!$F$15))),10,""))))</f>
        <v/>
      </c>
      <c r="L114">
        <f>IF('Recurring Schedule'!$C$16="","",IF('Recurring Schedule'!$F$16="","",IF(OR($A114&lt;'Recurring Schedule'!$F$16,$A114&gt;'Recurring Schedule'!$P$16),"",IF(IF('Recurring Schedule'!$N$16&gt;0,MOD($A114-'Recurring Schedule'!$F$16,'Recurring Schedule'!$N$16)=0,IF('Recurring Schedule'!$O$16&gt;0,AND(DAY($A114)=MIN(DAY('Recurring Schedule'!$F$16),DAY(EOMONTH($A114,0))),MOD((YEAR($A114)-YEAR('Recurring Schedule'!$F$16))*12+MONTH($A114)-MONTH('Recurring Schedule'!$F$16),'Recurring Schedule'!$O$16)=0),IF('Recurring Schedule'!$E$16="Weekdays",WEEKDAY($A114,2)&lt;=5,$A114='Recurring Schedule'!$F$16))),11,""))))</f>
        <v/>
      </c>
      <c r="M114">
        <f>IF('Recurring Schedule'!$C$17="","",IF('Recurring Schedule'!$F$17="","",IF(OR($A114&lt;'Recurring Schedule'!$F$17,$A114&gt;'Recurring Schedule'!$P$17),"",IF(IF('Recurring Schedule'!$N$17&gt;0,MOD($A114-'Recurring Schedule'!$F$17,'Recurring Schedule'!$N$17)=0,IF('Recurring Schedule'!$O$17&gt;0,AND(DAY($A114)=MIN(DAY('Recurring Schedule'!$F$17),DAY(EOMONTH($A114,0))),MOD((YEAR($A114)-YEAR('Recurring Schedule'!$F$17))*12+MONTH($A114)-MONTH('Recurring Schedule'!$F$17),'Recurring Schedule'!$O$17)=0),IF('Recurring Schedule'!$E$17="Weekdays",WEEKDAY($A114,2)&lt;=5,$A114='Recurring Schedule'!$F$17))),12,""))))</f>
        <v/>
      </c>
      <c r="N114">
        <f>IF('Recurring Schedule'!$C$18="","",IF('Recurring Schedule'!$F$18="","",IF(OR($A114&lt;'Recurring Schedule'!$F$18,$A114&gt;'Recurring Schedule'!$P$18),"",IF(IF('Recurring Schedule'!$N$18&gt;0,MOD($A114-'Recurring Schedule'!$F$18,'Recurring Schedule'!$N$18)=0,IF('Recurring Schedule'!$O$18&gt;0,AND(DAY($A114)=MIN(DAY('Recurring Schedule'!$F$18),DAY(EOMONTH($A114,0))),MOD((YEAR($A114)-YEAR('Recurring Schedule'!$F$18))*12+MONTH($A114)-MONTH('Recurring Schedule'!$F$18),'Recurring Schedule'!$O$18)=0),IF('Recurring Schedule'!$E$18="Weekdays",WEEKDAY($A114,2)&lt;=5,$A114='Recurring Schedule'!$F$18))),13,""))))</f>
        <v/>
      </c>
      <c r="O114">
        <f>IF('Recurring Schedule'!$C$19="","",IF('Recurring Schedule'!$F$19="","",IF(OR($A114&lt;'Recurring Schedule'!$F$19,$A114&gt;'Recurring Schedule'!$P$19),"",IF(IF('Recurring Schedule'!$N$19&gt;0,MOD($A114-'Recurring Schedule'!$F$19,'Recurring Schedule'!$N$19)=0,IF('Recurring Schedule'!$O$19&gt;0,AND(DAY($A114)=MIN(DAY('Recurring Schedule'!$F$19),DAY(EOMONTH($A114,0))),MOD((YEAR($A114)-YEAR('Recurring Schedule'!$F$19))*12+MONTH($A114)-MONTH('Recurring Schedule'!$F$19),'Recurring Schedule'!$O$19)=0),IF('Recurring Schedule'!$E$19="Weekdays",WEEKDAY($A114,2)&lt;=5,$A114='Recurring Schedule'!$F$19))),14,""))))</f>
        <v/>
      </c>
      <c r="P114">
        <f>IF('Recurring Schedule'!$C$20="","",IF('Recurring Schedule'!$F$20="","",IF(OR($A114&lt;'Recurring Schedule'!$F$20,$A114&gt;'Recurring Schedule'!$P$20),"",IF(IF('Recurring Schedule'!$N$20&gt;0,MOD($A114-'Recurring Schedule'!$F$20,'Recurring Schedule'!$N$20)=0,IF('Recurring Schedule'!$O$20&gt;0,AND(DAY($A114)=MIN(DAY('Recurring Schedule'!$F$20),DAY(EOMONTH($A114,0))),MOD((YEAR($A114)-YEAR('Recurring Schedule'!$F$20))*12+MONTH($A114)-MONTH('Recurring Schedule'!$F$20),'Recurring Schedule'!$O$20)=0),IF('Recurring Schedule'!$E$20="Weekdays",WEEKDAY($A114,2)&lt;=5,$A114='Recurring Schedule'!$F$20))),15,""))))</f>
        <v/>
      </c>
      <c r="Q114">
        <f>IF('Recurring Schedule'!$C$21="","",IF('Recurring Schedule'!$F$21="","",IF(OR($A114&lt;'Recurring Schedule'!$F$21,$A114&gt;'Recurring Schedule'!$P$21),"",IF(IF('Recurring Schedule'!$N$21&gt;0,MOD($A114-'Recurring Schedule'!$F$21,'Recurring Schedule'!$N$21)=0,IF('Recurring Schedule'!$O$21&gt;0,AND(DAY($A114)=MIN(DAY('Recurring Schedule'!$F$21),DAY(EOMONTH($A114,0))),MOD((YEAR($A114)-YEAR('Recurring Schedule'!$F$21))*12+MONTH($A114)-MONTH('Recurring Schedule'!$F$21),'Recurring Schedule'!$O$21)=0),IF('Recurring Schedule'!$E$21="Weekdays",WEEKDAY($A114,2)&lt;=5,$A114='Recurring Schedule'!$F$21))),16,""))))</f>
        <v/>
      </c>
      <c r="R114">
        <f>IF('Recurring Schedule'!$C$22="","",IF('Recurring Schedule'!$F$22="","",IF(OR($A114&lt;'Recurring Schedule'!$F$22,$A114&gt;'Recurring Schedule'!$P$22),"",IF(IF('Recurring Schedule'!$N$22&gt;0,MOD($A114-'Recurring Schedule'!$F$22,'Recurring Schedule'!$N$22)=0,IF('Recurring Schedule'!$O$22&gt;0,AND(DAY($A114)=MIN(DAY('Recurring Schedule'!$F$22),DAY(EOMONTH($A114,0))),MOD((YEAR($A114)-YEAR('Recurring Schedule'!$F$22))*12+MONTH($A114)-MONTH('Recurring Schedule'!$F$22),'Recurring Schedule'!$O$22)=0),IF('Recurring Schedule'!$E$22="Weekdays",WEEKDAY($A114,2)&lt;=5,$A114='Recurring Schedule'!$F$22))),17,""))))</f>
        <v/>
      </c>
      <c r="S114">
        <f>IF('Recurring Schedule'!$C$23="","",IF('Recurring Schedule'!$F$23="","",IF(OR($A114&lt;'Recurring Schedule'!$F$23,$A114&gt;'Recurring Schedule'!$P$23),"",IF(IF('Recurring Schedule'!$N$23&gt;0,MOD($A114-'Recurring Schedule'!$F$23,'Recurring Schedule'!$N$23)=0,IF('Recurring Schedule'!$O$23&gt;0,AND(DAY($A114)=MIN(DAY('Recurring Schedule'!$F$23),DAY(EOMONTH($A114,0))),MOD((YEAR($A114)-YEAR('Recurring Schedule'!$F$23))*12+MONTH($A114)-MONTH('Recurring Schedule'!$F$23),'Recurring Schedule'!$O$23)=0),IF('Recurring Schedule'!$E$23="Weekdays",WEEKDAY($A114,2)&lt;=5,$A114='Recurring Schedule'!$F$23))),18,""))))</f>
        <v/>
      </c>
      <c r="T114">
        <f>IF('Recurring Schedule'!$C$24="","",IF('Recurring Schedule'!$F$24="","",IF(OR($A114&lt;'Recurring Schedule'!$F$24,$A114&gt;'Recurring Schedule'!$P$24),"",IF(IF('Recurring Schedule'!$N$24&gt;0,MOD($A114-'Recurring Schedule'!$F$24,'Recurring Schedule'!$N$24)=0,IF('Recurring Schedule'!$O$24&gt;0,AND(DAY($A114)=MIN(DAY('Recurring Schedule'!$F$24),DAY(EOMONTH($A114,0))),MOD((YEAR($A114)-YEAR('Recurring Schedule'!$F$24))*12+MONTH($A114)-MONTH('Recurring Schedule'!$F$24),'Recurring Schedule'!$O$24)=0),IF('Recurring Schedule'!$E$24="Weekdays",WEEKDAY($A114,2)&lt;=5,$A114='Recurring Schedule'!$F$24))),19,""))))</f>
        <v/>
      </c>
      <c r="U114">
        <f>IF('Recurring Schedule'!$C$25="","",IF('Recurring Schedule'!$F$25="","",IF(OR($A114&lt;'Recurring Schedule'!$F$25,$A114&gt;'Recurring Schedule'!$P$25),"",IF(IF('Recurring Schedule'!$N$25&gt;0,MOD($A114-'Recurring Schedule'!$F$25,'Recurring Schedule'!$N$25)=0,IF('Recurring Schedule'!$O$25&gt;0,AND(DAY($A114)=MIN(DAY('Recurring Schedule'!$F$25),DAY(EOMONTH($A114,0))),MOD((YEAR($A114)-YEAR('Recurring Schedule'!$F$25))*12+MONTH($A114)-MONTH('Recurring Schedule'!$F$25),'Recurring Schedule'!$O$25)=0),IF('Recurring Schedule'!$E$25="Weekdays",WEEKDAY($A114,2)&lt;=5,$A114='Recurring Schedule'!$F$25))),20,""))))</f>
        <v/>
      </c>
      <c r="V114">
        <f>IF('Recurring Schedule'!$C$26="","",IF('Recurring Schedule'!$F$26="","",IF(OR($A114&lt;'Recurring Schedule'!$F$26,$A114&gt;'Recurring Schedule'!$P$26),"",IF(IF('Recurring Schedule'!$N$26&gt;0,MOD($A114-'Recurring Schedule'!$F$26,'Recurring Schedule'!$N$26)=0,IF('Recurring Schedule'!$O$26&gt;0,AND(DAY($A114)=MIN(DAY('Recurring Schedule'!$F$26),DAY(EOMONTH($A114,0))),MOD((YEAR($A114)-YEAR('Recurring Schedule'!$F$26))*12+MONTH($A114)-MONTH('Recurring Schedule'!$F$26),'Recurring Schedule'!$O$26)=0),IF('Recurring Schedule'!$E$26="Weekdays",WEEKDAY($A114,2)&lt;=5,$A114='Recurring Schedule'!$F$26))),21,""))))</f>
        <v/>
      </c>
      <c r="W114">
        <f>IF('Recurring Schedule'!$C$27="","",IF('Recurring Schedule'!$F$27="","",IF(OR($A114&lt;'Recurring Schedule'!$F$27,$A114&gt;'Recurring Schedule'!$P$27),"",IF(IF('Recurring Schedule'!$N$27&gt;0,MOD($A114-'Recurring Schedule'!$F$27,'Recurring Schedule'!$N$27)=0,IF('Recurring Schedule'!$O$27&gt;0,AND(DAY($A114)=MIN(DAY('Recurring Schedule'!$F$27),DAY(EOMONTH($A114,0))),MOD((YEAR($A114)-YEAR('Recurring Schedule'!$F$27))*12+MONTH($A114)-MONTH('Recurring Schedule'!$F$27),'Recurring Schedule'!$O$27)=0),IF('Recurring Schedule'!$E$27="Weekdays",WEEKDAY($A114,2)&lt;=5,$A114='Recurring Schedule'!$F$27))),22,""))))</f>
        <v/>
      </c>
      <c r="X114">
        <f>IF('Recurring Schedule'!$C$28="","",IF('Recurring Schedule'!$F$28="","",IF(OR($A114&lt;'Recurring Schedule'!$F$28,$A114&gt;'Recurring Schedule'!$P$28),"",IF(IF('Recurring Schedule'!$N$28&gt;0,MOD($A114-'Recurring Schedule'!$F$28,'Recurring Schedule'!$N$28)=0,IF('Recurring Schedule'!$O$28&gt;0,AND(DAY($A114)=MIN(DAY('Recurring Schedule'!$F$28),DAY(EOMONTH($A114,0))),MOD((YEAR($A114)-YEAR('Recurring Schedule'!$F$28))*12+MONTH($A114)-MONTH('Recurring Schedule'!$F$28),'Recurring Schedule'!$O$28)=0),IF('Recurring Schedule'!$E$28="Weekdays",WEEKDAY($A114,2)&lt;=5,$A114='Recurring Schedule'!$F$28))),23,""))))</f>
        <v/>
      </c>
      <c r="Y114">
        <f>IF('Recurring Schedule'!$C$29="","",IF('Recurring Schedule'!$F$29="","",IF(OR($A114&lt;'Recurring Schedule'!$F$29,$A114&gt;'Recurring Schedule'!$P$29),"",IF(IF('Recurring Schedule'!$N$29&gt;0,MOD($A114-'Recurring Schedule'!$F$29,'Recurring Schedule'!$N$29)=0,IF('Recurring Schedule'!$O$29&gt;0,AND(DAY($A114)=MIN(DAY('Recurring Schedule'!$F$29),DAY(EOMONTH($A114,0))),MOD((YEAR($A114)-YEAR('Recurring Schedule'!$F$29))*12+MONTH($A114)-MONTH('Recurring Schedule'!$F$29),'Recurring Schedule'!$O$29)=0),IF('Recurring Schedule'!$E$29="Weekdays",WEEKDAY($A114,2)&lt;=5,$A114='Recurring Schedule'!$F$29))),24,""))))</f>
        <v/>
      </c>
      <c r="Z114">
        <f>IF('Recurring Schedule'!$C$30="","",IF('Recurring Schedule'!$F$30="","",IF(OR($A114&lt;'Recurring Schedule'!$F$30,$A114&gt;'Recurring Schedule'!$P$30),"",IF(IF('Recurring Schedule'!$N$30&gt;0,MOD($A114-'Recurring Schedule'!$F$30,'Recurring Schedule'!$N$30)=0,IF('Recurring Schedule'!$O$30&gt;0,AND(DAY($A114)=MIN(DAY('Recurring Schedule'!$F$30),DAY(EOMONTH($A114,0))),MOD((YEAR($A114)-YEAR('Recurring Schedule'!$F$30))*12+MONTH($A114)-MONTH('Recurring Schedule'!$F$30),'Recurring Schedule'!$O$30)=0),IF('Recurring Schedule'!$E$30="Weekdays",WEEKDAY($A114,2)&lt;=5,$A114='Recurring Schedule'!$F$30))),25,""))))</f>
        <v/>
      </c>
      <c r="AA114">
        <f>IF('Recurring Schedule'!$C$31="","",IF('Recurring Schedule'!$F$31="","",IF(OR($A114&lt;'Recurring Schedule'!$F$31,$A114&gt;'Recurring Schedule'!$P$31),"",IF(IF('Recurring Schedule'!$N$31&gt;0,MOD($A114-'Recurring Schedule'!$F$31,'Recurring Schedule'!$N$31)=0,IF('Recurring Schedule'!$O$31&gt;0,AND(DAY($A114)=MIN(DAY('Recurring Schedule'!$F$31),DAY(EOMONTH($A114,0))),MOD((YEAR($A114)-YEAR('Recurring Schedule'!$F$31))*12+MONTH($A114)-MONTH('Recurring Schedule'!$F$31),'Recurring Schedule'!$O$31)=0),IF('Recurring Schedule'!$E$31="Weekdays",WEEKDAY($A114,2)&lt;=5,$A114='Recurring Schedule'!$F$31))),26,""))))</f>
        <v/>
      </c>
      <c r="AB114">
        <f>IF('Recurring Schedule'!$C$32="","",IF('Recurring Schedule'!$F$32="","",IF(OR($A114&lt;'Recurring Schedule'!$F$32,$A114&gt;'Recurring Schedule'!$P$32),"",IF(IF('Recurring Schedule'!$N$32&gt;0,MOD($A114-'Recurring Schedule'!$F$32,'Recurring Schedule'!$N$32)=0,IF('Recurring Schedule'!$O$32&gt;0,AND(DAY($A114)=MIN(DAY('Recurring Schedule'!$F$32),DAY(EOMONTH($A114,0))),MOD((YEAR($A114)-YEAR('Recurring Schedule'!$F$32))*12+MONTH($A114)-MONTH('Recurring Schedule'!$F$32),'Recurring Schedule'!$O$32)=0),IF('Recurring Schedule'!$E$32="Weekdays",WEEKDAY($A114,2)&lt;=5,$A114='Recurring Schedule'!$F$32))),27,""))))</f>
        <v/>
      </c>
      <c r="AC114">
        <f>IF('Recurring Schedule'!$C$33="","",IF('Recurring Schedule'!$F$33="","",IF(OR($A114&lt;'Recurring Schedule'!$F$33,$A114&gt;'Recurring Schedule'!$P$33),"",IF(IF('Recurring Schedule'!$N$33&gt;0,MOD($A114-'Recurring Schedule'!$F$33,'Recurring Schedule'!$N$33)=0,IF('Recurring Schedule'!$O$33&gt;0,AND(DAY($A114)=MIN(DAY('Recurring Schedule'!$F$33),DAY(EOMONTH($A114,0))),MOD((YEAR($A114)-YEAR('Recurring Schedule'!$F$33))*12+MONTH($A114)-MONTH('Recurring Schedule'!$F$33),'Recurring Schedule'!$O$33)=0),IF('Recurring Schedule'!$E$33="Weekdays",WEEKDAY($A114,2)&lt;=5,$A114='Recurring Schedule'!$F$33))),28,""))))</f>
        <v/>
      </c>
      <c r="AD114">
        <f>IF('Recurring Schedule'!$C$34="","",IF('Recurring Schedule'!$F$34="","",IF(OR($A114&lt;'Recurring Schedule'!$F$34,$A114&gt;'Recurring Schedule'!$P$34),"",IF(IF('Recurring Schedule'!$N$34&gt;0,MOD($A114-'Recurring Schedule'!$F$34,'Recurring Schedule'!$N$34)=0,IF('Recurring Schedule'!$O$34&gt;0,AND(DAY($A114)=MIN(DAY('Recurring Schedule'!$F$34),DAY(EOMONTH($A114,0))),MOD((YEAR($A114)-YEAR('Recurring Schedule'!$F$34))*12+MONTH($A114)-MONTH('Recurring Schedule'!$F$34),'Recurring Schedule'!$O$34)=0),IF('Recurring Schedule'!$E$34="Weekdays",WEEKDAY($A114,2)&lt;=5,$A114='Recurring Schedule'!$F$34))),29,""))))</f>
        <v/>
      </c>
      <c r="AE114">
        <f>IF('Recurring Schedule'!$C$35="","",IF('Recurring Schedule'!$F$35="","",IF(OR($A114&lt;'Recurring Schedule'!$F$35,$A114&gt;'Recurring Schedule'!$P$35),"",IF(IF('Recurring Schedule'!$N$35&gt;0,MOD($A114-'Recurring Schedule'!$F$35,'Recurring Schedule'!$N$35)=0,IF('Recurring Schedule'!$O$35&gt;0,AND(DAY($A114)=MIN(DAY('Recurring Schedule'!$F$35),DAY(EOMONTH($A114,0))),MOD((YEAR($A114)-YEAR('Recurring Schedule'!$F$35))*12+MONTH($A114)-MONTH('Recurring Schedule'!$F$35),'Recurring Schedule'!$O$35)=0),IF('Recurring Schedule'!$E$35="Weekdays",WEEKDAY($A114,2)&lt;=5,$A114='Recurring Schedule'!$F$35))),30,""))))</f>
        <v/>
      </c>
      <c r="AF114">
        <f>IF('Recurring Schedule'!$C$36="","",IF('Recurring Schedule'!$F$36="","",IF(OR($A114&lt;'Recurring Schedule'!$F$36,$A114&gt;'Recurring Schedule'!$P$36),"",IF(IF('Recurring Schedule'!$N$36&gt;0,MOD($A114-'Recurring Schedule'!$F$36,'Recurring Schedule'!$N$36)=0,IF('Recurring Schedule'!$O$36&gt;0,AND(DAY($A114)=MIN(DAY('Recurring Schedule'!$F$36),DAY(EOMONTH($A114,0))),MOD((YEAR($A114)-YEAR('Recurring Schedule'!$F$36))*12+MONTH($A114)-MONTH('Recurring Schedule'!$F$36),'Recurring Schedule'!$O$36)=0),IF('Recurring Schedule'!$E$36="Weekdays",WEEKDAY($A114,2)&lt;=5,$A114='Recurring Schedule'!$F$36))),31,""))))</f>
        <v/>
      </c>
      <c r="AG114">
        <f>IF('Recurring Schedule'!$C$37="","",IF('Recurring Schedule'!$F$37="","",IF(OR($A114&lt;'Recurring Schedule'!$F$37,$A114&gt;'Recurring Schedule'!$P$37),"",IF(IF('Recurring Schedule'!$N$37&gt;0,MOD($A114-'Recurring Schedule'!$F$37,'Recurring Schedule'!$N$37)=0,IF('Recurring Schedule'!$O$37&gt;0,AND(DAY($A114)=MIN(DAY('Recurring Schedule'!$F$37),DAY(EOMONTH($A114,0))),MOD((YEAR($A114)-YEAR('Recurring Schedule'!$F$37))*12+MONTH($A114)-MONTH('Recurring Schedule'!$F$37),'Recurring Schedule'!$O$37)=0),IF('Recurring Schedule'!$E$37="Weekdays",WEEKDAY($A114,2)&lt;=5,$A114='Recurring Schedule'!$F$37))),32,""))))</f>
        <v/>
      </c>
      <c r="AH114">
        <f>IF('Recurring Schedule'!$C$38="","",IF('Recurring Schedule'!$F$38="","",IF(OR($A114&lt;'Recurring Schedule'!$F$38,$A114&gt;'Recurring Schedule'!$P$38),"",IF(IF('Recurring Schedule'!$N$38&gt;0,MOD($A114-'Recurring Schedule'!$F$38,'Recurring Schedule'!$N$38)=0,IF('Recurring Schedule'!$O$38&gt;0,AND(DAY($A114)=MIN(DAY('Recurring Schedule'!$F$38),DAY(EOMONTH($A114,0))),MOD((YEAR($A114)-YEAR('Recurring Schedule'!$F$38))*12+MONTH($A114)-MONTH('Recurring Schedule'!$F$38),'Recurring Schedule'!$O$38)=0),IF('Recurring Schedule'!$E$38="Weekdays",WEEKDAY($A114,2)&lt;=5,$A114='Recurring Schedule'!$F$38))),33,""))))</f>
        <v/>
      </c>
      <c r="AI114">
        <f>IF('Recurring Schedule'!$C$39="","",IF('Recurring Schedule'!$F$39="","",IF(OR($A114&lt;'Recurring Schedule'!$F$39,$A114&gt;'Recurring Schedule'!$P$39),"",IF(IF('Recurring Schedule'!$N$39&gt;0,MOD($A114-'Recurring Schedule'!$F$39,'Recurring Schedule'!$N$39)=0,IF('Recurring Schedule'!$O$39&gt;0,AND(DAY($A114)=MIN(DAY('Recurring Schedule'!$F$39),DAY(EOMONTH($A114,0))),MOD((YEAR($A114)-YEAR('Recurring Schedule'!$F$39))*12+MONTH($A114)-MONTH('Recurring Schedule'!$F$39),'Recurring Schedule'!$O$39)=0),IF('Recurring Schedule'!$E$39="Weekdays",WEEKDAY($A114,2)&lt;=5,$A114='Recurring Schedule'!$F$39))),34,""))))</f>
        <v/>
      </c>
      <c r="AJ114">
        <f>IF('Recurring Schedule'!$C$40="","",IF('Recurring Schedule'!$F$40="","",IF(OR($A114&lt;'Recurring Schedule'!$F$40,$A114&gt;'Recurring Schedule'!$P$40),"",IF(IF('Recurring Schedule'!$N$40&gt;0,MOD($A114-'Recurring Schedule'!$F$40,'Recurring Schedule'!$N$40)=0,IF('Recurring Schedule'!$O$40&gt;0,AND(DAY($A114)=MIN(DAY('Recurring Schedule'!$F$40),DAY(EOMONTH($A114,0))),MOD((YEAR($A114)-YEAR('Recurring Schedule'!$F$40))*12+MONTH($A114)-MONTH('Recurring Schedule'!$F$40),'Recurring Schedule'!$O$40)=0),IF('Recurring Schedule'!$E$40="Weekdays",WEEKDAY($A114,2)&lt;=5,$A114='Recurring Schedule'!$F$40))),35,""))))</f>
        <v/>
      </c>
      <c r="AK114">
        <f>IF('Recurring Schedule'!$C$41="","",IF('Recurring Schedule'!$F$41="","",IF(OR($A114&lt;'Recurring Schedule'!$F$41,$A114&gt;'Recurring Schedule'!$P$41),"",IF(IF('Recurring Schedule'!$N$41&gt;0,MOD($A114-'Recurring Schedule'!$F$41,'Recurring Schedule'!$N$41)=0,IF('Recurring Schedule'!$O$41&gt;0,AND(DAY($A114)=MIN(DAY('Recurring Schedule'!$F$41),DAY(EOMONTH($A114,0))),MOD((YEAR($A114)-YEAR('Recurring Schedule'!$F$41))*12+MONTH($A114)-MONTH('Recurring Schedule'!$F$41),'Recurring Schedule'!$O$41)=0),IF('Recurring Schedule'!$E$41="Weekdays",WEEKDAY($A114,2)&lt;=5,$A114='Recurring Schedule'!$F$41))),36,""))))</f>
        <v/>
      </c>
      <c r="AL114">
        <f>IF('Recurring Schedule'!$C$42="","",IF('Recurring Schedule'!$F$42="","",IF(OR($A114&lt;'Recurring Schedule'!$F$42,$A114&gt;'Recurring Schedule'!$P$42),"",IF(IF('Recurring Schedule'!$N$42&gt;0,MOD($A114-'Recurring Schedule'!$F$42,'Recurring Schedule'!$N$42)=0,IF('Recurring Schedule'!$O$42&gt;0,AND(DAY($A114)=MIN(DAY('Recurring Schedule'!$F$42),DAY(EOMONTH($A114,0))),MOD((YEAR($A114)-YEAR('Recurring Schedule'!$F$42))*12+MONTH($A114)-MONTH('Recurring Schedule'!$F$42),'Recurring Schedule'!$O$42)=0),IF('Recurring Schedule'!$E$42="Weekdays",WEEKDAY($A114,2)&lt;=5,$A114='Recurring Schedule'!$F$42))),37,""))))</f>
        <v/>
      </c>
      <c r="AM114">
        <f>IF('Recurring Schedule'!$C$43="","",IF('Recurring Schedule'!$F$43="","",IF(OR($A114&lt;'Recurring Schedule'!$F$43,$A114&gt;'Recurring Schedule'!$P$43),"",IF(IF('Recurring Schedule'!$N$43&gt;0,MOD($A114-'Recurring Schedule'!$F$43,'Recurring Schedule'!$N$43)=0,IF('Recurring Schedule'!$O$43&gt;0,AND(DAY($A114)=MIN(DAY('Recurring Schedule'!$F$43),DAY(EOMONTH($A114,0))),MOD((YEAR($A114)-YEAR('Recurring Schedule'!$F$43))*12+MONTH($A114)-MONTH('Recurring Schedule'!$F$43),'Recurring Schedule'!$O$43)=0),IF('Recurring Schedule'!$E$43="Weekdays",WEEKDAY($A114,2)&lt;=5,$A114='Recurring Schedule'!$F$43))),38,""))))</f>
        <v/>
      </c>
      <c r="AN114">
        <f>IF('Recurring Schedule'!$C$44="","",IF('Recurring Schedule'!$F$44="","",IF(OR($A114&lt;'Recurring Schedule'!$F$44,$A114&gt;'Recurring Schedule'!$P$44),"",IF(IF('Recurring Schedule'!$N$44&gt;0,MOD($A114-'Recurring Schedule'!$F$44,'Recurring Schedule'!$N$44)=0,IF('Recurring Schedule'!$O$44&gt;0,AND(DAY($A114)=MIN(DAY('Recurring Schedule'!$F$44),DAY(EOMONTH($A114,0))),MOD((YEAR($A114)-YEAR('Recurring Schedule'!$F$44))*12+MONTH($A114)-MONTH('Recurring Schedule'!$F$44),'Recurring Schedule'!$O$44)=0),IF('Recurring Schedule'!$E$44="Weekdays",WEEKDAY($A114,2)&lt;=5,$A114='Recurring Schedule'!$F$44))),39,""))))</f>
        <v/>
      </c>
      <c r="AO114">
        <f>IF('Recurring Schedule'!$C$45="","",IF('Recurring Schedule'!$F$45="","",IF(OR($A114&lt;'Recurring Schedule'!$F$45,$A114&gt;'Recurring Schedule'!$P$45),"",IF(IF('Recurring Schedule'!$N$45&gt;0,MOD($A114-'Recurring Schedule'!$F$45,'Recurring Schedule'!$N$45)=0,IF('Recurring Schedule'!$O$45&gt;0,AND(DAY($A114)=MIN(DAY('Recurring Schedule'!$F$45),DAY(EOMONTH($A114,0))),MOD((YEAR($A114)-YEAR('Recurring Schedule'!$F$45))*12+MONTH($A114)-MONTH('Recurring Schedule'!$F$45),'Recurring Schedule'!$O$45)=0),IF('Recurring Schedule'!$E$45="Weekdays",WEEKDAY($A114,2)&lt;=5,$A114='Recurring Schedule'!$F$45))),40,""))))</f>
        <v/>
      </c>
      <c r="AP114">
        <f>COUNT(B114:AO114)</f>
        <v/>
      </c>
      <c r="AQ114">
        <f>AQ113+AP113</f>
        <v/>
      </c>
      <c r="AS114" t="inlineStr">
        <is>
          <t>R</t>
        </is>
      </c>
      <c r="AT114" t="n">
        <v>118</v>
      </c>
      <c r="AU114">
        <f>'Recurring Log'!C118&amp;""</f>
        <v/>
      </c>
      <c r="AV114">
        <f>'Recurring Log'!D118&amp;""</f>
        <v/>
      </c>
      <c r="AW114">
        <f>IF('Recurring Log'!E118="","",'Recurring Log'!E118)</f>
        <v/>
      </c>
      <c r="AX114">
        <f>IF('Recurring Log'!G118="","",'Recurring Log'!G118)</f>
        <v/>
      </c>
      <c r="AY114">
        <f>IF('Recurring Log'!H118="","",'Recurring Log'!H118)</f>
        <v/>
      </c>
      <c r="AZ114">
        <f>IF(AU114="","",IF('Recurring Log'!J118="","Not Started",'Recurring Log'!J118))</f>
        <v/>
      </c>
      <c r="BA114">
        <f>'Recurring Log'!L118&amp;""</f>
        <v/>
      </c>
      <c r="BB114">
        <f>'Recurring Log'!M118&amp;""</f>
        <v/>
      </c>
      <c r="BC114">
        <f>'Recurring Log'!N118&amp;""</f>
        <v/>
      </c>
      <c r="BD114">
        <f>'Recurring Log'!O118&amp;""</f>
        <v/>
      </c>
      <c r="BE114">
        <f>IF('Recurring Log'!K118="","",'Recurring Log'!K118)</f>
        <v/>
      </c>
      <c r="BF114">
        <f>IFERROR(MATCH(BA114,Setup!$L$6:$L$9,0),5)</f>
        <v/>
      </c>
      <c r="BG114">
        <f>IF(OR(AZ114="Done",AZ114="Cancelled"),1,0)</f>
        <v/>
      </c>
      <c r="BH114">
        <f>IF(AND(AU114&lt;&gt;"",ISNUMBER(AW114)),1,0)</f>
        <v/>
      </c>
      <c r="BI114">
        <f>IF(BH114=0,0,IF(AND(AW114&gt;='Tasks Filter'!$F$3,AW114&lt;='Tasks Filter'!$F$4,OR('Tasks Filter'!$I$3="",ISNUMBER(SEARCH('Tasks Filter'!$I$3,AU114))),OR('Tasks Filter'!$I$4="",BF114=IFERROR(MATCH('Tasks Filter'!$I$4,Setup!$L$6:$L$9,0),0)),OR('Tasks Filter'!$I$5="Both",AND('Tasks Filter'!$I$5="Yes",BB114="✓"),AND('Tasks Filter'!$I$5="No",BB114&lt;&gt;"✓")),OR('Tasks Filter'!$L$3="",AV114='Tasks Filter'!$L$3),OR('Tasks Filter'!$L$4="",AZ114='Tasks Filter'!$L$4),OR('Tasks Filter'!$L$5="",BC114='Tasks Filter'!$L$5),OR('Tasks Filter'!$O$3="",BD114='Tasks Filter'!$O$3),OR('Tasks Filter'!$O$4="Yes",BG114=0)),1,0))</f>
        <v/>
      </c>
      <c r="BJ114">
        <f>IF(BH114=0,"",IF('Tasks Filter'!$F$6="Descending",-1,1)*CHOOSE(MATCH('Tasks Filter'!$F$5,Lists!$G$2:$G$6,0),AW114,BF114,IFERROR(MATCH(AV114,Setup!$F$6:$F$15,0),99),IFERROR(MATCH(BC114,Setup!$H$6:$H$15,0),99),IFERROR(MATCH(AZ114,Setup!$J$6:$J$11,0),99))*1E+9+(AW114-40000)*10000+113)</f>
        <v/>
      </c>
      <c r="BK114">
        <f>IF(BI114=1,BJ114,"")</f>
        <v/>
      </c>
      <c r="BL114">
        <f>IF(AND(BH114=1,BG114=0,N(AW114)&lt;Setup!$D$7),(AW114-40000)*10000+113,"")</f>
        <v/>
      </c>
      <c r="BM114">
        <f>IF(AND(BH114=1,AZ114&lt;&gt;"Cancelled",N(AW114)&gt;=Dashboard!$AB$3,N(AW114)&lt;=Dashboard!$AB$3+6),(AW114-40000)*100000+BF114*10000+113,"")</f>
        <v/>
      </c>
      <c r="BN114">
        <f>IF(AND(BH114=1,AZ114&lt;&gt;"Cancelled"),BF114*10000+113,"")</f>
        <v/>
      </c>
    </row>
    <row r="115">
      <c r="A115">
        <f>Setup!$D$5+113</f>
        <v/>
      </c>
      <c r="B115">
        <f>IF('Recurring Schedule'!$C$6="","",IF('Recurring Schedule'!$F$6="","",IF(OR($A115&lt;'Recurring Schedule'!$F$6,$A115&gt;'Recurring Schedule'!$P$6),"",IF(IF('Recurring Schedule'!$N$6&gt;0,MOD($A115-'Recurring Schedule'!$F$6,'Recurring Schedule'!$N$6)=0,IF('Recurring Schedule'!$O$6&gt;0,AND(DAY($A115)=MIN(DAY('Recurring Schedule'!$F$6),DAY(EOMONTH($A115,0))),MOD((YEAR($A115)-YEAR('Recurring Schedule'!$F$6))*12+MONTH($A115)-MONTH('Recurring Schedule'!$F$6),'Recurring Schedule'!$O$6)=0),IF('Recurring Schedule'!$E$6="Weekdays",WEEKDAY($A115,2)&lt;=5,$A115='Recurring Schedule'!$F$6))),1,""))))</f>
        <v/>
      </c>
      <c r="C115">
        <f>IF('Recurring Schedule'!$C$7="","",IF('Recurring Schedule'!$F$7="","",IF(OR($A115&lt;'Recurring Schedule'!$F$7,$A115&gt;'Recurring Schedule'!$P$7),"",IF(IF('Recurring Schedule'!$N$7&gt;0,MOD($A115-'Recurring Schedule'!$F$7,'Recurring Schedule'!$N$7)=0,IF('Recurring Schedule'!$O$7&gt;0,AND(DAY($A115)=MIN(DAY('Recurring Schedule'!$F$7),DAY(EOMONTH($A115,0))),MOD((YEAR($A115)-YEAR('Recurring Schedule'!$F$7))*12+MONTH($A115)-MONTH('Recurring Schedule'!$F$7),'Recurring Schedule'!$O$7)=0),IF('Recurring Schedule'!$E$7="Weekdays",WEEKDAY($A115,2)&lt;=5,$A115='Recurring Schedule'!$F$7))),2,""))))</f>
        <v/>
      </c>
      <c r="D115">
        <f>IF('Recurring Schedule'!$C$8="","",IF('Recurring Schedule'!$F$8="","",IF(OR($A115&lt;'Recurring Schedule'!$F$8,$A115&gt;'Recurring Schedule'!$P$8),"",IF(IF('Recurring Schedule'!$N$8&gt;0,MOD($A115-'Recurring Schedule'!$F$8,'Recurring Schedule'!$N$8)=0,IF('Recurring Schedule'!$O$8&gt;0,AND(DAY($A115)=MIN(DAY('Recurring Schedule'!$F$8),DAY(EOMONTH($A115,0))),MOD((YEAR($A115)-YEAR('Recurring Schedule'!$F$8))*12+MONTH($A115)-MONTH('Recurring Schedule'!$F$8),'Recurring Schedule'!$O$8)=0),IF('Recurring Schedule'!$E$8="Weekdays",WEEKDAY($A115,2)&lt;=5,$A115='Recurring Schedule'!$F$8))),3,""))))</f>
        <v/>
      </c>
      <c r="E115">
        <f>IF('Recurring Schedule'!$C$9="","",IF('Recurring Schedule'!$F$9="","",IF(OR($A115&lt;'Recurring Schedule'!$F$9,$A115&gt;'Recurring Schedule'!$P$9),"",IF(IF('Recurring Schedule'!$N$9&gt;0,MOD($A115-'Recurring Schedule'!$F$9,'Recurring Schedule'!$N$9)=0,IF('Recurring Schedule'!$O$9&gt;0,AND(DAY($A115)=MIN(DAY('Recurring Schedule'!$F$9),DAY(EOMONTH($A115,0))),MOD((YEAR($A115)-YEAR('Recurring Schedule'!$F$9))*12+MONTH($A115)-MONTH('Recurring Schedule'!$F$9),'Recurring Schedule'!$O$9)=0),IF('Recurring Schedule'!$E$9="Weekdays",WEEKDAY($A115,2)&lt;=5,$A115='Recurring Schedule'!$F$9))),4,""))))</f>
        <v/>
      </c>
      <c r="F115">
        <f>IF('Recurring Schedule'!$C$10="","",IF('Recurring Schedule'!$F$10="","",IF(OR($A115&lt;'Recurring Schedule'!$F$10,$A115&gt;'Recurring Schedule'!$P$10),"",IF(IF('Recurring Schedule'!$N$10&gt;0,MOD($A115-'Recurring Schedule'!$F$10,'Recurring Schedule'!$N$10)=0,IF('Recurring Schedule'!$O$10&gt;0,AND(DAY($A115)=MIN(DAY('Recurring Schedule'!$F$10),DAY(EOMONTH($A115,0))),MOD((YEAR($A115)-YEAR('Recurring Schedule'!$F$10))*12+MONTH($A115)-MONTH('Recurring Schedule'!$F$10),'Recurring Schedule'!$O$10)=0),IF('Recurring Schedule'!$E$10="Weekdays",WEEKDAY($A115,2)&lt;=5,$A115='Recurring Schedule'!$F$10))),5,""))))</f>
        <v/>
      </c>
      <c r="G115">
        <f>IF('Recurring Schedule'!$C$11="","",IF('Recurring Schedule'!$F$11="","",IF(OR($A115&lt;'Recurring Schedule'!$F$11,$A115&gt;'Recurring Schedule'!$P$11),"",IF(IF('Recurring Schedule'!$N$11&gt;0,MOD($A115-'Recurring Schedule'!$F$11,'Recurring Schedule'!$N$11)=0,IF('Recurring Schedule'!$O$11&gt;0,AND(DAY($A115)=MIN(DAY('Recurring Schedule'!$F$11),DAY(EOMONTH($A115,0))),MOD((YEAR($A115)-YEAR('Recurring Schedule'!$F$11))*12+MONTH($A115)-MONTH('Recurring Schedule'!$F$11),'Recurring Schedule'!$O$11)=0),IF('Recurring Schedule'!$E$11="Weekdays",WEEKDAY($A115,2)&lt;=5,$A115='Recurring Schedule'!$F$11))),6,""))))</f>
        <v/>
      </c>
      <c r="H115">
        <f>IF('Recurring Schedule'!$C$12="","",IF('Recurring Schedule'!$F$12="","",IF(OR($A115&lt;'Recurring Schedule'!$F$12,$A115&gt;'Recurring Schedule'!$P$12),"",IF(IF('Recurring Schedule'!$N$12&gt;0,MOD($A115-'Recurring Schedule'!$F$12,'Recurring Schedule'!$N$12)=0,IF('Recurring Schedule'!$O$12&gt;0,AND(DAY($A115)=MIN(DAY('Recurring Schedule'!$F$12),DAY(EOMONTH($A115,0))),MOD((YEAR($A115)-YEAR('Recurring Schedule'!$F$12))*12+MONTH($A115)-MONTH('Recurring Schedule'!$F$12),'Recurring Schedule'!$O$12)=0),IF('Recurring Schedule'!$E$12="Weekdays",WEEKDAY($A115,2)&lt;=5,$A115='Recurring Schedule'!$F$12))),7,""))))</f>
        <v/>
      </c>
      <c r="I115">
        <f>IF('Recurring Schedule'!$C$13="","",IF('Recurring Schedule'!$F$13="","",IF(OR($A115&lt;'Recurring Schedule'!$F$13,$A115&gt;'Recurring Schedule'!$P$13),"",IF(IF('Recurring Schedule'!$N$13&gt;0,MOD($A115-'Recurring Schedule'!$F$13,'Recurring Schedule'!$N$13)=0,IF('Recurring Schedule'!$O$13&gt;0,AND(DAY($A115)=MIN(DAY('Recurring Schedule'!$F$13),DAY(EOMONTH($A115,0))),MOD((YEAR($A115)-YEAR('Recurring Schedule'!$F$13))*12+MONTH($A115)-MONTH('Recurring Schedule'!$F$13),'Recurring Schedule'!$O$13)=0),IF('Recurring Schedule'!$E$13="Weekdays",WEEKDAY($A115,2)&lt;=5,$A115='Recurring Schedule'!$F$13))),8,""))))</f>
        <v/>
      </c>
      <c r="J115">
        <f>IF('Recurring Schedule'!$C$14="","",IF('Recurring Schedule'!$F$14="","",IF(OR($A115&lt;'Recurring Schedule'!$F$14,$A115&gt;'Recurring Schedule'!$P$14),"",IF(IF('Recurring Schedule'!$N$14&gt;0,MOD($A115-'Recurring Schedule'!$F$14,'Recurring Schedule'!$N$14)=0,IF('Recurring Schedule'!$O$14&gt;0,AND(DAY($A115)=MIN(DAY('Recurring Schedule'!$F$14),DAY(EOMONTH($A115,0))),MOD((YEAR($A115)-YEAR('Recurring Schedule'!$F$14))*12+MONTH($A115)-MONTH('Recurring Schedule'!$F$14),'Recurring Schedule'!$O$14)=0),IF('Recurring Schedule'!$E$14="Weekdays",WEEKDAY($A115,2)&lt;=5,$A115='Recurring Schedule'!$F$14))),9,""))))</f>
        <v/>
      </c>
      <c r="K115">
        <f>IF('Recurring Schedule'!$C$15="","",IF('Recurring Schedule'!$F$15="","",IF(OR($A115&lt;'Recurring Schedule'!$F$15,$A115&gt;'Recurring Schedule'!$P$15),"",IF(IF('Recurring Schedule'!$N$15&gt;0,MOD($A115-'Recurring Schedule'!$F$15,'Recurring Schedule'!$N$15)=0,IF('Recurring Schedule'!$O$15&gt;0,AND(DAY($A115)=MIN(DAY('Recurring Schedule'!$F$15),DAY(EOMONTH($A115,0))),MOD((YEAR($A115)-YEAR('Recurring Schedule'!$F$15))*12+MONTH($A115)-MONTH('Recurring Schedule'!$F$15),'Recurring Schedule'!$O$15)=0),IF('Recurring Schedule'!$E$15="Weekdays",WEEKDAY($A115,2)&lt;=5,$A115='Recurring Schedule'!$F$15))),10,""))))</f>
        <v/>
      </c>
      <c r="L115">
        <f>IF('Recurring Schedule'!$C$16="","",IF('Recurring Schedule'!$F$16="","",IF(OR($A115&lt;'Recurring Schedule'!$F$16,$A115&gt;'Recurring Schedule'!$P$16),"",IF(IF('Recurring Schedule'!$N$16&gt;0,MOD($A115-'Recurring Schedule'!$F$16,'Recurring Schedule'!$N$16)=0,IF('Recurring Schedule'!$O$16&gt;0,AND(DAY($A115)=MIN(DAY('Recurring Schedule'!$F$16),DAY(EOMONTH($A115,0))),MOD((YEAR($A115)-YEAR('Recurring Schedule'!$F$16))*12+MONTH($A115)-MONTH('Recurring Schedule'!$F$16),'Recurring Schedule'!$O$16)=0),IF('Recurring Schedule'!$E$16="Weekdays",WEEKDAY($A115,2)&lt;=5,$A115='Recurring Schedule'!$F$16))),11,""))))</f>
        <v/>
      </c>
      <c r="M115">
        <f>IF('Recurring Schedule'!$C$17="","",IF('Recurring Schedule'!$F$17="","",IF(OR($A115&lt;'Recurring Schedule'!$F$17,$A115&gt;'Recurring Schedule'!$P$17),"",IF(IF('Recurring Schedule'!$N$17&gt;0,MOD($A115-'Recurring Schedule'!$F$17,'Recurring Schedule'!$N$17)=0,IF('Recurring Schedule'!$O$17&gt;0,AND(DAY($A115)=MIN(DAY('Recurring Schedule'!$F$17),DAY(EOMONTH($A115,0))),MOD((YEAR($A115)-YEAR('Recurring Schedule'!$F$17))*12+MONTH($A115)-MONTH('Recurring Schedule'!$F$17),'Recurring Schedule'!$O$17)=0),IF('Recurring Schedule'!$E$17="Weekdays",WEEKDAY($A115,2)&lt;=5,$A115='Recurring Schedule'!$F$17))),12,""))))</f>
        <v/>
      </c>
      <c r="N115">
        <f>IF('Recurring Schedule'!$C$18="","",IF('Recurring Schedule'!$F$18="","",IF(OR($A115&lt;'Recurring Schedule'!$F$18,$A115&gt;'Recurring Schedule'!$P$18),"",IF(IF('Recurring Schedule'!$N$18&gt;0,MOD($A115-'Recurring Schedule'!$F$18,'Recurring Schedule'!$N$18)=0,IF('Recurring Schedule'!$O$18&gt;0,AND(DAY($A115)=MIN(DAY('Recurring Schedule'!$F$18),DAY(EOMONTH($A115,0))),MOD((YEAR($A115)-YEAR('Recurring Schedule'!$F$18))*12+MONTH($A115)-MONTH('Recurring Schedule'!$F$18),'Recurring Schedule'!$O$18)=0),IF('Recurring Schedule'!$E$18="Weekdays",WEEKDAY($A115,2)&lt;=5,$A115='Recurring Schedule'!$F$18))),13,""))))</f>
        <v/>
      </c>
      <c r="O115">
        <f>IF('Recurring Schedule'!$C$19="","",IF('Recurring Schedule'!$F$19="","",IF(OR($A115&lt;'Recurring Schedule'!$F$19,$A115&gt;'Recurring Schedule'!$P$19),"",IF(IF('Recurring Schedule'!$N$19&gt;0,MOD($A115-'Recurring Schedule'!$F$19,'Recurring Schedule'!$N$19)=0,IF('Recurring Schedule'!$O$19&gt;0,AND(DAY($A115)=MIN(DAY('Recurring Schedule'!$F$19),DAY(EOMONTH($A115,0))),MOD((YEAR($A115)-YEAR('Recurring Schedule'!$F$19))*12+MONTH($A115)-MONTH('Recurring Schedule'!$F$19),'Recurring Schedule'!$O$19)=0),IF('Recurring Schedule'!$E$19="Weekdays",WEEKDAY($A115,2)&lt;=5,$A115='Recurring Schedule'!$F$19))),14,""))))</f>
        <v/>
      </c>
      <c r="P115">
        <f>IF('Recurring Schedule'!$C$20="","",IF('Recurring Schedule'!$F$20="","",IF(OR($A115&lt;'Recurring Schedule'!$F$20,$A115&gt;'Recurring Schedule'!$P$20),"",IF(IF('Recurring Schedule'!$N$20&gt;0,MOD($A115-'Recurring Schedule'!$F$20,'Recurring Schedule'!$N$20)=0,IF('Recurring Schedule'!$O$20&gt;0,AND(DAY($A115)=MIN(DAY('Recurring Schedule'!$F$20),DAY(EOMONTH($A115,0))),MOD((YEAR($A115)-YEAR('Recurring Schedule'!$F$20))*12+MONTH($A115)-MONTH('Recurring Schedule'!$F$20),'Recurring Schedule'!$O$20)=0),IF('Recurring Schedule'!$E$20="Weekdays",WEEKDAY($A115,2)&lt;=5,$A115='Recurring Schedule'!$F$20))),15,""))))</f>
        <v/>
      </c>
      <c r="Q115">
        <f>IF('Recurring Schedule'!$C$21="","",IF('Recurring Schedule'!$F$21="","",IF(OR($A115&lt;'Recurring Schedule'!$F$21,$A115&gt;'Recurring Schedule'!$P$21),"",IF(IF('Recurring Schedule'!$N$21&gt;0,MOD($A115-'Recurring Schedule'!$F$21,'Recurring Schedule'!$N$21)=0,IF('Recurring Schedule'!$O$21&gt;0,AND(DAY($A115)=MIN(DAY('Recurring Schedule'!$F$21),DAY(EOMONTH($A115,0))),MOD((YEAR($A115)-YEAR('Recurring Schedule'!$F$21))*12+MONTH($A115)-MONTH('Recurring Schedule'!$F$21),'Recurring Schedule'!$O$21)=0),IF('Recurring Schedule'!$E$21="Weekdays",WEEKDAY($A115,2)&lt;=5,$A115='Recurring Schedule'!$F$21))),16,""))))</f>
        <v/>
      </c>
      <c r="R115">
        <f>IF('Recurring Schedule'!$C$22="","",IF('Recurring Schedule'!$F$22="","",IF(OR($A115&lt;'Recurring Schedule'!$F$22,$A115&gt;'Recurring Schedule'!$P$22),"",IF(IF('Recurring Schedule'!$N$22&gt;0,MOD($A115-'Recurring Schedule'!$F$22,'Recurring Schedule'!$N$22)=0,IF('Recurring Schedule'!$O$22&gt;0,AND(DAY($A115)=MIN(DAY('Recurring Schedule'!$F$22),DAY(EOMONTH($A115,0))),MOD((YEAR($A115)-YEAR('Recurring Schedule'!$F$22))*12+MONTH($A115)-MONTH('Recurring Schedule'!$F$22),'Recurring Schedule'!$O$22)=0),IF('Recurring Schedule'!$E$22="Weekdays",WEEKDAY($A115,2)&lt;=5,$A115='Recurring Schedule'!$F$22))),17,""))))</f>
        <v/>
      </c>
      <c r="S115">
        <f>IF('Recurring Schedule'!$C$23="","",IF('Recurring Schedule'!$F$23="","",IF(OR($A115&lt;'Recurring Schedule'!$F$23,$A115&gt;'Recurring Schedule'!$P$23),"",IF(IF('Recurring Schedule'!$N$23&gt;0,MOD($A115-'Recurring Schedule'!$F$23,'Recurring Schedule'!$N$23)=0,IF('Recurring Schedule'!$O$23&gt;0,AND(DAY($A115)=MIN(DAY('Recurring Schedule'!$F$23),DAY(EOMONTH($A115,0))),MOD((YEAR($A115)-YEAR('Recurring Schedule'!$F$23))*12+MONTH($A115)-MONTH('Recurring Schedule'!$F$23),'Recurring Schedule'!$O$23)=0),IF('Recurring Schedule'!$E$23="Weekdays",WEEKDAY($A115,2)&lt;=5,$A115='Recurring Schedule'!$F$23))),18,""))))</f>
        <v/>
      </c>
      <c r="T115">
        <f>IF('Recurring Schedule'!$C$24="","",IF('Recurring Schedule'!$F$24="","",IF(OR($A115&lt;'Recurring Schedule'!$F$24,$A115&gt;'Recurring Schedule'!$P$24),"",IF(IF('Recurring Schedule'!$N$24&gt;0,MOD($A115-'Recurring Schedule'!$F$24,'Recurring Schedule'!$N$24)=0,IF('Recurring Schedule'!$O$24&gt;0,AND(DAY($A115)=MIN(DAY('Recurring Schedule'!$F$24),DAY(EOMONTH($A115,0))),MOD((YEAR($A115)-YEAR('Recurring Schedule'!$F$24))*12+MONTH($A115)-MONTH('Recurring Schedule'!$F$24),'Recurring Schedule'!$O$24)=0),IF('Recurring Schedule'!$E$24="Weekdays",WEEKDAY($A115,2)&lt;=5,$A115='Recurring Schedule'!$F$24))),19,""))))</f>
        <v/>
      </c>
      <c r="U115">
        <f>IF('Recurring Schedule'!$C$25="","",IF('Recurring Schedule'!$F$25="","",IF(OR($A115&lt;'Recurring Schedule'!$F$25,$A115&gt;'Recurring Schedule'!$P$25),"",IF(IF('Recurring Schedule'!$N$25&gt;0,MOD($A115-'Recurring Schedule'!$F$25,'Recurring Schedule'!$N$25)=0,IF('Recurring Schedule'!$O$25&gt;0,AND(DAY($A115)=MIN(DAY('Recurring Schedule'!$F$25),DAY(EOMONTH($A115,0))),MOD((YEAR($A115)-YEAR('Recurring Schedule'!$F$25))*12+MONTH($A115)-MONTH('Recurring Schedule'!$F$25),'Recurring Schedule'!$O$25)=0),IF('Recurring Schedule'!$E$25="Weekdays",WEEKDAY($A115,2)&lt;=5,$A115='Recurring Schedule'!$F$25))),20,""))))</f>
        <v/>
      </c>
      <c r="V115">
        <f>IF('Recurring Schedule'!$C$26="","",IF('Recurring Schedule'!$F$26="","",IF(OR($A115&lt;'Recurring Schedule'!$F$26,$A115&gt;'Recurring Schedule'!$P$26),"",IF(IF('Recurring Schedule'!$N$26&gt;0,MOD($A115-'Recurring Schedule'!$F$26,'Recurring Schedule'!$N$26)=0,IF('Recurring Schedule'!$O$26&gt;0,AND(DAY($A115)=MIN(DAY('Recurring Schedule'!$F$26),DAY(EOMONTH($A115,0))),MOD((YEAR($A115)-YEAR('Recurring Schedule'!$F$26))*12+MONTH($A115)-MONTH('Recurring Schedule'!$F$26),'Recurring Schedule'!$O$26)=0),IF('Recurring Schedule'!$E$26="Weekdays",WEEKDAY($A115,2)&lt;=5,$A115='Recurring Schedule'!$F$26))),21,""))))</f>
        <v/>
      </c>
      <c r="W115">
        <f>IF('Recurring Schedule'!$C$27="","",IF('Recurring Schedule'!$F$27="","",IF(OR($A115&lt;'Recurring Schedule'!$F$27,$A115&gt;'Recurring Schedule'!$P$27),"",IF(IF('Recurring Schedule'!$N$27&gt;0,MOD($A115-'Recurring Schedule'!$F$27,'Recurring Schedule'!$N$27)=0,IF('Recurring Schedule'!$O$27&gt;0,AND(DAY($A115)=MIN(DAY('Recurring Schedule'!$F$27),DAY(EOMONTH($A115,0))),MOD((YEAR($A115)-YEAR('Recurring Schedule'!$F$27))*12+MONTH($A115)-MONTH('Recurring Schedule'!$F$27),'Recurring Schedule'!$O$27)=0),IF('Recurring Schedule'!$E$27="Weekdays",WEEKDAY($A115,2)&lt;=5,$A115='Recurring Schedule'!$F$27))),22,""))))</f>
        <v/>
      </c>
      <c r="X115">
        <f>IF('Recurring Schedule'!$C$28="","",IF('Recurring Schedule'!$F$28="","",IF(OR($A115&lt;'Recurring Schedule'!$F$28,$A115&gt;'Recurring Schedule'!$P$28),"",IF(IF('Recurring Schedule'!$N$28&gt;0,MOD($A115-'Recurring Schedule'!$F$28,'Recurring Schedule'!$N$28)=0,IF('Recurring Schedule'!$O$28&gt;0,AND(DAY($A115)=MIN(DAY('Recurring Schedule'!$F$28),DAY(EOMONTH($A115,0))),MOD((YEAR($A115)-YEAR('Recurring Schedule'!$F$28))*12+MONTH($A115)-MONTH('Recurring Schedule'!$F$28),'Recurring Schedule'!$O$28)=0),IF('Recurring Schedule'!$E$28="Weekdays",WEEKDAY($A115,2)&lt;=5,$A115='Recurring Schedule'!$F$28))),23,""))))</f>
        <v/>
      </c>
      <c r="Y115">
        <f>IF('Recurring Schedule'!$C$29="","",IF('Recurring Schedule'!$F$29="","",IF(OR($A115&lt;'Recurring Schedule'!$F$29,$A115&gt;'Recurring Schedule'!$P$29),"",IF(IF('Recurring Schedule'!$N$29&gt;0,MOD($A115-'Recurring Schedule'!$F$29,'Recurring Schedule'!$N$29)=0,IF('Recurring Schedule'!$O$29&gt;0,AND(DAY($A115)=MIN(DAY('Recurring Schedule'!$F$29),DAY(EOMONTH($A115,0))),MOD((YEAR($A115)-YEAR('Recurring Schedule'!$F$29))*12+MONTH($A115)-MONTH('Recurring Schedule'!$F$29),'Recurring Schedule'!$O$29)=0),IF('Recurring Schedule'!$E$29="Weekdays",WEEKDAY($A115,2)&lt;=5,$A115='Recurring Schedule'!$F$29))),24,""))))</f>
        <v/>
      </c>
      <c r="Z115">
        <f>IF('Recurring Schedule'!$C$30="","",IF('Recurring Schedule'!$F$30="","",IF(OR($A115&lt;'Recurring Schedule'!$F$30,$A115&gt;'Recurring Schedule'!$P$30),"",IF(IF('Recurring Schedule'!$N$30&gt;0,MOD($A115-'Recurring Schedule'!$F$30,'Recurring Schedule'!$N$30)=0,IF('Recurring Schedule'!$O$30&gt;0,AND(DAY($A115)=MIN(DAY('Recurring Schedule'!$F$30),DAY(EOMONTH($A115,0))),MOD((YEAR($A115)-YEAR('Recurring Schedule'!$F$30))*12+MONTH($A115)-MONTH('Recurring Schedule'!$F$30),'Recurring Schedule'!$O$30)=0),IF('Recurring Schedule'!$E$30="Weekdays",WEEKDAY($A115,2)&lt;=5,$A115='Recurring Schedule'!$F$30))),25,""))))</f>
        <v/>
      </c>
      <c r="AA115">
        <f>IF('Recurring Schedule'!$C$31="","",IF('Recurring Schedule'!$F$31="","",IF(OR($A115&lt;'Recurring Schedule'!$F$31,$A115&gt;'Recurring Schedule'!$P$31),"",IF(IF('Recurring Schedule'!$N$31&gt;0,MOD($A115-'Recurring Schedule'!$F$31,'Recurring Schedule'!$N$31)=0,IF('Recurring Schedule'!$O$31&gt;0,AND(DAY($A115)=MIN(DAY('Recurring Schedule'!$F$31),DAY(EOMONTH($A115,0))),MOD((YEAR($A115)-YEAR('Recurring Schedule'!$F$31))*12+MONTH($A115)-MONTH('Recurring Schedule'!$F$31),'Recurring Schedule'!$O$31)=0),IF('Recurring Schedule'!$E$31="Weekdays",WEEKDAY($A115,2)&lt;=5,$A115='Recurring Schedule'!$F$31))),26,""))))</f>
        <v/>
      </c>
      <c r="AB115">
        <f>IF('Recurring Schedule'!$C$32="","",IF('Recurring Schedule'!$F$32="","",IF(OR($A115&lt;'Recurring Schedule'!$F$32,$A115&gt;'Recurring Schedule'!$P$32),"",IF(IF('Recurring Schedule'!$N$32&gt;0,MOD($A115-'Recurring Schedule'!$F$32,'Recurring Schedule'!$N$32)=0,IF('Recurring Schedule'!$O$32&gt;0,AND(DAY($A115)=MIN(DAY('Recurring Schedule'!$F$32),DAY(EOMONTH($A115,0))),MOD((YEAR($A115)-YEAR('Recurring Schedule'!$F$32))*12+MONTH($A115)-MONTH('Recurring Schedule'!$F$32),'Recurring Schedule'!$O$32)=0),IF('Recurring Schedule'!$E$32="Weekdays",WEEKDAY($A115,2)&lt;=5,$A115='Recurring Schedule'!$F$32))),27,""))))</f>
        <v/>
      </c>
      <c r="AC115">
        <f>IF('Recurring Schedule'!$C$33="","",IF('Recurring Schedule'!$F$33="","",IF(OR($A115&lt;'Recurring Schedule'!$F$33,$A115&gt;'Recurring Schedule'!$P$33),"",IF(IF('Recurring Schedule'!$N$33&gt;0,MOD($A115-'Recurring Schedule'!$F$33,'Recurring Schedule'!$N$33)=0,IF('Recurring Schedule'!$O$33&gt;0,AND(DAY($A115)=MIN(DAY('Recurring Schedule'!$F$33),DAY(EOMONTH($A115,0))),MOD((YEAR($A115)-YEAR('Recurring Schedule'!$F$33))*12+MONTH($A115)-MONTH('Recurring Schedule'!$F$33),'Recurring Schedule'!$O$33)=0),IF('Recurring Schedule'!$E$33="Weekdays",WEEKDAY($A115,2)&lt;=5,$A115='Recurring Schedule'!$F$33))),28,""))))</f>
        <v/>
      </c>
      <c r="AD115">
        <f>IF('Recurring Schedule'!$C$34="","",IF('Recurring Schedule'!$F$34="","",IF(OR($A115&lt;'Recurring Schedule'!$F$34,$A115&gt;'Recurring Schedule'!$P$34),"",IF(IF('Recurring Schedule'!$N$34&gt;0,MOD($A115-'Recurring Schedule'!$F$34,'Recurring Schedule'!$N$34)=0,IF('Recurring Schedule'!$O$34&gt;0,AND(DAY($A115)=MIN(DAY('Recurring Schedule'!$F$34),DAY(EOMONTH($A115,0))),MOD((YEAR($A115)-YEAR('Recurring Schedule'!$F$34))*12+MONTH($A115)-MONTH('Recurring Schedule'!$F$34),'Recurring Schedule'!$O$34)=0),IF('Recurring Schedule'!$E$34="Weekdays",WEEKDAY($A115,2)&lt;=5,$A115='Recurring Schedule'!$F$34))),29,""))))</f>
        <v/>
      </c>
      <c r="AE115">
        <f>IF('Recurring Schedule'!$C$35="","",IF('Recurring Schedule'!$F$35="","",IF(OR($A115&lt;'Recurring Schedule'!$F$35,$A115&gt;'Recurring Schedule'!$P$35),"",IF(IF('Recurring Schedule'!$N$35&gt;0,MOD($A115-'Recurring Schedule'!$F$35,'Recurring Schedule'!$N$35)=0,IF('Recurring Schedule'!$O$35&gt;0,AND(DAY($A115)=MIN(DAY('Recurring Schedule'!$F$35),DAY(EOMONTH($A115,0))),MOD((YEAR($A115)-YEAR('Recurring Schedule'!$F$35))*12+MONTH($A115)-MONTH('Recurring Schedule'!$F$35),'Recurring Schedule'!$O$35)=0),IF('Recurring Schedule'!$E$35="Weekdays",WEEKDAY($A115,2)&lt;=5,$A115='Recurring Schedule'!$F$35))),30,""))))</f>
        <v/>
      </c>
      <c r="AF115">
        <f>IF('Recurring Schedule'!$C$36="","",IF('Recurring Schedule'!$F$36="","",IF(OR($A115&lt;'Recurring Schedule'!$F$36,$A115&gt;'Recurring Schedule'!$P$36),"",IF(IF('Recurring Schedule'!$N$36&gt;0,MOD($A115-'Recurring Schedule'!$F$36,'Recurring Schedule'!$N$36)=0,IF('Recurring Schedule'!$O$36&gt;0,AND(DAY($A115)=MIN(DAY('Recurring Schedule'!$F$36),DAY(EOMONTH($A115,0))),MOD((YEAR($A115)-YEAR('Recurring Schedule'!$F$36))*12+MONTH($A115)-MONTH('Recurring Schedule'!$F$36),'Recurring Schedule'!$O$36)=0),IF('Recurring Schedule'!$E$36="Weekdays",WEEKDAY($A115,2)&lt;=5,$A115='Recurring Schedule'!$F$36))),31,""))))</f>
        <v/>
      </c>
      <c r="AG115">
        <f>IF('Recurring Schedule'!$C$37="","",IF('Recurring Schedule'!$F$37="","",IF(OR($A115&lt;'Recurring Schedule'!$F$37,$A115&gt;'Recurring Schedule'!$P$37),"",IF(IF('Recurring Schedule'!$N$37&gt;0,MOD($A115-'Recurring Schedule'!$F$37,'Recurring Schedule'!$N$37)=0,IF('Recurring Schedule'!$O$37&gt;0,AND(DAY($A115)=MIN(DAY('Recurring Schedule'!$F$37),DAY(EOMONTH($A115,0))),MOD((YEAR($A115)-YEAR('Recurring Schedule'!$F$37))*12+MONTH($A115)-MONTH('Recurring Schedule'!$F$37),'Recurring Schedule'!$O$37)=0),IF('Recurring Schedule'!$E$37="Weekdays",WEEKDAY($A115,2)&lt;=5,$A115='Recurring Schedule'!$F$37))),32,""))))</f>
        <v/>
      </c>
      <c r="AH115">
        <f>IF('Recurring Schedule'!$C$38="","",IF('Recurring Schedule'!$F$38="","",IF(OR($A115&lt;'Recurring Schedule'!$F$38,$A115&gt;'Recurring Schedule'!$P$38),"",IF(IF('Recurring Schedule'!$N$38&gt;0,MOD($A115-'Recurring Schedule'!$F$38,'Recurring Schedule'!$N$38)=0,IF('Recurring Schedule'!$O$38&gt;0,AND(DAY($A115)=MIN(DAY('Recurring Schedule'!$F$38),DAY(EOMONTH($A115,0))),MOD((YEAR($A115)-YEAR('Recurring Schedule'!$F$38))*12+MONTH($A115)-MONTH('Recurring Schedule'!$F$38),'Recurring Schedule'!$O$38)=0),IF('Recurring Schedule'!$E$38="Weekdays",WEEKDAY($A115,2)&lt;=5,$A115='Recurring Schedule'!$F$38))),33,""))))</f>
        <v/>
      </c>
      <c r="AI115">
        <f>IF('Recurring Schedule'!$C$39="","",IF('Recurring Schedule'!$F$39="","",IF(OR($A115&lt;'Recurring Schedule'!$F$39,$A115&gt;'Recurring Schedule'!$P$39),"",IF(IF('Recurring Schedule'!$N$39&gt;0,MOD($A115-'Recurring Schedule'!$F$39,'Recurring Schedule'!$N$39)=0,IF('Recurring Schedule'!$O$39&gt;0,AND(DAY($A115)=MIN(DAY('Recurring Schedule'!$F$39),DAY(EOMONTH($A115,0))),MOD((YEAR($A115)-YEAR('Recurring Schedule'!$F$39))*12+MONTH($A115)-MONTH('Recurring Schedule'!$F$39),'Recurring Schedule'!$O$39)=0),IF('Recurring Schedule'!$E$39="Weekdays",WEEKDAY($A115,2)&lt;=5,$A115='Recurring Schedule'!$F$39))),34,""))))</f>
        <v/>
      </c>
      <c r="AJ115">
        <f>IF('Recurring Schedule'!$C$40="","",IF('Recurring Schedule'!$F$40="","",IF(OR($A115&lt;'Recurring Schedule'!$F$40,$A115&gt;'Recurring Schedule'!$P$40),"",IF(IF('Recurring Schedule'!$N$40&gt;0,MOD($A115-'Recurring Schedule'!$F$40,'Recurring Schedule'!$N$40)=0,IF('Recurring Schedule'!$O$40&gt;0,AND(DAY($A115)=MIN(DAY('Recurring Schedule'!$F$40),DAY(EOMONTH($A115,0))),MOD((YEAR($A115)-YEAR('Recurring Schedule'!$F$40))*12+MONTH($A115)-MONTH('Recurring Schedule'!$F$40),'Recurring Schedule'!$O$40)=0),IF('Recurring Schedule'!$E$40="Weekdays",WEEKDAY($A115,2)&lt;=5,$A115='Recurring Schedule'!$F$40))),35,""))))</f>
        <v/>
      </c>
      <c r="AK115">
        <f>IF('Recurring Schedule'!$C$41="","",IF('Recurring Schedule'!$F$41="","",IF(OR($A115&lt;'Recurring Schedule'!$F$41,$A115&gt;'Recurring Schedule'!$P$41),"",IF(IF('Recurring Schedule'!$N$41&gt;0,MOD($A115-'Recurring Schedule'!$F$41,'Recurring Schedule'!$N$41)=0,IF('Recurring Schedule'!$O$41&gt;0,AND(DAY($A115)=MIN(DAY('Recurring Schedule'!$F$41),DAY(EOMONTH($A115,0))),MOD((YEAR($A115)-YEAR('Recurring Schedule'!$F$41))*12+MONTH($A115)-MONTH('Recurring Schedule'!$F$41),'Recurring Schedule'!$O$41)=0),IF('Recurring Schedule'!$E$41="Weekdays",WEEKDAY($A115,2)&lt;=5,$A115='Recurring Schedule'!$F$41))),36,""))))</f>
        <v/>
      </c>
      <c r="AL115">
        <f>IF('Recurring Schedule'!$C$42="","",IF('Recurring Schedule'!$F$42="","",IF(OR($A115&lt;'Recurring Schedule'!$F$42,$A115&gt;'Recurring Schedule'!$P$42),"",IF(IF('Recurring Schedule'!$N$42&gt;0,MOD($A115-'Recurring Schedule'!$F$42,'Recurring Schedule'!$N$42)=0,IF('Recurring Schedule'!$O$42&gt;0,AND(DAY($A115)=MIN(DAY('Recurring Schedule'!$F$42),DAY(EOMONTH($A115,0))),MOD((YEAR($A115)-YEAR('Recurring Schedule'!$F$42))*12+MONTH($A115)-MONTH('Recurring Schedule'!$F$42),'Recurring Schedule'!$O$42)=0),IF('Recurring Schedule'!$E$42="Weekdays",WEEKDAY($A115,2)&lt;=5,$A115='Recurring Schedule'!$F$42))),37,""))))</f>
        <v/>
      </c>
      <c r="AM115">
        <f>IF('Recurring Schedule'!$C$43="","",IF('Recurring Schedule'!$F$43="","",IF(OR($A115&lt;'Recurring Schedule'!$F$43,$A115&gt;'Recurring Schedule'!$P$43),"",IF(IF('Recurring Schedule'!$N$43&gt;0,MOD($A115-'Recurring Schedule'!$F$43,'Recurring Schedule'!$N$43)=0,IF('Recurring Schedule'!$O$43&gt;0,AND(DAY($A115)=MIN(DAY('Recurring Schedule'!$F$43),DAY(EOMONTH($A115,0))),MOD((YEAR($A115)-YEAR('Recurring Schedule'!$F$43))*12+MONTH($A115)-MONTH('Recurring Schedule'!$F$43),'Recurring Schedule'!$O$43)=0),IF('Recurring Schedule'!$E$43="Weekdays",WEEKDAY($A115,2)&lt;=5,$A115='Recurring Schedule'!$F$43))),38,""))))</f>
        <v/>
      </c>
      <c r="AN115">
        <f>IF('Recurring Schedule'!$C$44="","",IF('Recurring Schedule'!$F$44="","",IF(OR($A115&lt;'Recurring Schedule'!$F$44,$A115&gt;'Recurring Schedule'!$P$44),"",IF(IF('Recurring Schedule'!$N$44&gt;0,MOD($A115-'Recurring Schedule'!$F$44,'Recurring Schedule'!$N$44)=0,IF('Recurring Schedule'!$O$44&gt;0,AND(DAY($A115)=MIN(DAY('Recurring Schedule'!$F$44),DAY(EOMONTH($A115,0))),MOD((YEAR($A115)-YEAR('Recurring Schedule'!$F$44))*12+MONTH($A115)-MONTH('Recurring Schedule'!$F$44),'Recurring Schedule'!$O$44)=0),IF('Recurring Schedule'!$E$44="Weekdays",WEEKDAY($A115,2)&lt;=5,$A115='Recurring Schedule'!$F$44))),39,""))))</f>
        <v/>
      </c>
      <c r="AO115">
        <f>IF('Recurring Schedule'!$C$45="","",IF('Recurring Schedule'!$F$45="","",IF(OR($A115&lt;'Recurring Schedule'!$F$45,$A115&gt;'Recurring Schedule'!$P$45),"",IF(IF('Recurring Schedule'!$N$45&gt;0,MOD($A115-'Recurring Schedule'!$F$45,'Recurring Schedule'!$N$45)=0,IF('Recurring Schedule'!$O$45&gt;0,AND(DAY($A115)=MIN(DAY('Recurring Schedule'!$F$45),DAY(EOMONTH($A115,0))),MOD((YEAR($A115)-YEAR('Recurring Schedule'!$F$45))*12+MONTH($A115)-MONTH('Recurring Schedule'!$F$45),'Recurring Schedule'!$O$45)=0),IF('Recurring Schedule'!$E$45="Weekdays",WEEKDAY($A115,2)&lt;=5,$A115='Recurring Schedule'!$F$45))),40,""))))</f>
        <v/>
      </c>
      <c r="AP115">
        <f>COUNT(B115:AO115)</f>
        <v/>
      </c>
      <c r="AQ115">
        <f>AQ114+AP114</f>
        <v/>
      </c>
      <c r="AS115" t="inlineStr">
        <is>
          <t>R</t>
        </is>
      </c>
      <c r="AT115" t="n">
        <v>119</v>
      </c>
      <c r="AU115">
        <f>'Recurring Log'!C119&amp;""</f>
        <v/>
      </c>
      <c r="AV115">
        <f>'Recurring Log'!D119&amp;""</f>
        <v/>
      </c>
      <c r="AW115">
        <f>IF('Recurring Log'!E119="","",'Recurring Log'!E119)</f>
        <v/>
      </c>
      <c r="AX115">
        <f>IF('Recurring Log'!G119="","",'Recurring Log'!G119)</f>
        <v/>
      </c>
      <c r="AY115">
        <f>IF('Recurring Log'!H119="","",'Recurring Log'!H119)</f>
        <v/>
      </c>
      <c r="AZ115">
        <f>IF(AU115="","",IF('Recurring Log'!J119="","Not Started",'Recurring Log'!J119))</f>
        <v/>
      </c>
      <c r="BA115">
        <f>'Recurring Log'!L119&amp;""</f>
        <v/>
      </c>
      <c r="BB115">
        <f>'Recurring Log'!M119&amp;""</f>
        <v/>
      </c>
      <c r="BC115">
        <f>'Recurring Log'!N119&amp;""</f>
        <v/>
      </c>
      <c r="BD115">
        <f>'Recurring Log'!O119&amp;""</f>
        <v/>
      </c>
      <c r="BE115">
        <f>IF('Recurring Log'!K119="","",'Recurring Log'!K119)</f>
        <v/>
      </c>
      <c r="BF115">
        <f>IFERROR(MATCH(BA115,Setup!$L$6:$L$9,0),5)</f>
        <v/>
      </c>
      <c r="BG115">
        <f>IF(OR(AZ115="Done",AZ115="Cancelled"),1,0)</f>
        <v/>
      </c>
      <c r="BH115">
        <f>IF(AND(AU115&lt;&gt;"",ISNUMBER(AW115)),1,0)</f>
        <v/>
      </c>
      <c r="BI115">
        <f>IF(BH115=0,0,IF(AND(AW115&gt;='Tasks Filter'!$F$3,AW115&lt;='Tasks Filter'!$F$4,OR('Tasks Filter'!$I$3="",ISNUMBER(SEARCH('Tasks Filter'!$I$3,AU115))),OR('Tasks Filter'!$I$4="",BF115=IFERROR(MATCH('Tasks Filter'!$I$4,Setup!$L$6:$L$9,0),0)),OR('Tasks Filter'!$I$5="Both",AND('Tasks Filter'!$I$5="Yes",BB115="✓"),AND('Tasks Filter'!$I$5="No",BB115&lt;&gt;"✓")),OR('Tasks Filter'!$L$3="",AV115='Tasks Filter'!$L$3),OR('Tasks Filter'!$L$4="",AZ115='Tasks Filter'!$L$4),OR('Tasks Filter'!$L$5="",BC115='Tasks Filter'!$L$5),OR('Tasks Filter'!$O$3="",BD115='Tasks Filter'!$O$3),OR('Tasks Filter'!$O$4="Yes",BG115=0)),1,0))</f>
        <v/>
      </c>
      <c r="BJ115">
        <f>IF(BH115=0,"",IF('Tasks Filter'!$F$6="Descending",-1,1)*CHOOSE(MATCH('Tasks Filter'!$F$5,Lists!$G$2:$G$6,0),AW115,BF115,IFERROR(MATCH(AV115,Setup!$F$6:$F$15,0),99),IFERROR(MATCH(BC115,Setup!$H$6:$H$15,0),99),IFERROR(MATCH(AZ115,Setup!$J$6:$J$11,0),99))*1E+9+(AW115-40000)*10000+114)</f>
        <v/>
      </c>
      <c r="BK115">
        <f>IF(BI115=1,BJ115,"")</f>
        <v/>
      </c>
      <c r="BL115">
        <f>IF(AND(BH115=1,BG115=0,N(AW115)&lt;Setup!$D$7),(AW115-40000)*10000+114,"")</f>
        <v/>
      </c>
      <c r="BM115">
        <f>IF(AND(BH115=1,AZ115&lt;&gt;"Cancelled",N(AW115)&gt;=Dashboard!$AB$3,N(AW115)&lt;=Dashboard!$AB$3+6),(AW115-40000)*100000+BF115*10000+114,"")</f>
        <v/>
      </c>
      <c r="BN115">
        <f>IF(AND(BH115=1,AZ115&lt;&gt;"Cancelled"),BF115*10000+114,"")</f>
        <v/>
      </c>
    </row>
    <row r="116">
      <c r="A116">
        <f>Setup!$D$5+114</f>
        <v/>
      </c>
      <c r="B116">
        <f>IF('Recurring Schedule'!$C$6="","",IF('Recurring Schedule'!$F$6="","",IF(OR($A116&lt;'Recurring Schedule'!$F$6,$A116&gt;'Recurring Schedule'!$P$6),"",IF(IF('Recurring Schedule'!$N$6&gt;0,MOD($A116-'Recurring Schedule'!$F$6,'Recurring Schedule'!$N$6)=0,IF('Recurring Schedule'!$O$6&gt;0,AND(DAY($A116)=MIN(DAY('Recurring Schedule'!$F$6),DAY(EOMONTH($A116,0))),MOD((YEAR($A116)-YEAR('Recurring Schedule'!$F$6))*12+MONTH($A116)-MONTH('Recurring Schedule'!$F$6),'Recurring Schedule'!$O$6)=0),IF('Recurring Schedule'!$E$6="Weekdays",WEEKDAY($A116,2)&lt;=5,$A116='Recurring Schedule'!$F$6))),1,""))))</f>
        <v/>
      </c>
      <c r="C116">
        <f>IF('Recurring Schedule'!$C$7="","",IF('Recurring Schedule'!$F$7="","",IF(OR($A116&lt;'Recurring Schedule'!$F$7,$A116&gt;'Recurring Schedule'!$P$7),"",IF(IF('Recurring Schedule'!$N$7&gt;0,MOD($A116-'Recurring Schedule'!$F$7,'Recurring Schedule'!$N$7)=0,IF('Recurring Schedule'!$O$7&gt;0,AND(DAY($A116)=MIN(DAY('Recurring Schedule'!$F$7),DAY(EOMONTH($A116,0))),MOD((YEAR($A116)-YEAR('Recurring Schedule'!$F$7))*12+MONTH($A116)-MONTH('Recurring Schedule'!$F$7),'Recurring Schedule'!$O$7)=0),IF('Recurring Schedule'!$E$7="Weekdays",WEEKDAY($A116,2)&lt;=5,$A116='Recurring Schedule'!$F$7))),2,""))))</f>
        <v/>
      </c>
      <c r="D116">
        <f>IF('Recurring Schedule'!$C$8="","",IF('Recurring Schedule'!$F$8="","",IF(OR($A116&lt;'Recurring Schedule'!$F$8,$A116&gt;'Recurring Schedule'!$P$8),"",IF(IF('Recurring Schedule'!$N$8&gt;0,MOD($A116-'Recurring Schedule'!$F$8,'Recurring Schedule'!$N$8)=0,IF('Recurring Schedule'!$O$8&gt;0,AND(DAY($A116)=MIN(DAY('Recurring Schedule'!$F$8),DAY(EOMONTH($A116,0))),MOD((YEAR($A116)-YEAR('Recurring Schedule'!$F$8))*12+MONTH($A116)-MONTH('Recurring Schedule'!$F$8),'Recurring Schedule'!$O$8)=0),IF('Recurring Schedule'!$E$8="Weekdays",WEEKDAY($A116,2)&lt;=5,$A116='Recurring Schedule'!$F$8))),3,""))))</f>
        <v/>
      </c>
      <c r="E116">
        <f>IF('Recurring Schedule'!$C$9="","",IF('Recurring Schedule'!$F$9="","",IF(OR($A116&lt;'Recurring Schedule'!$F$9,$A116&gt;'Recurring Schedule'!$P$9),"",IF(IF('Recurring Schedule'!$N$9&gt;0,MOD($A116-'Recurring Schedule'!$F$9,'Recurring Schedule'!$N$9)=0,IF('Recurring Schedule'!$O$9&gt;0,AND(DAY($A116)=MIN(DAY('Recurring Schedule'!$F$9),DAY(EOMONTH($A116,0))),MOD((YEAR($A116)-YEAR('Recurring Schedule'!$F$9))*12+MONTH($A116)-MONTH('Recurring Schedule'!$F$9),'Recurring Schedule'!$O$9)=0),IF('Recurring Schedule'!$E$9="Weekdays",WEEKDAY($A116,2)&lt;=5,$A116='Recurring Schedule'!$F$9))),4,""))))</f>
        <v/>
      </c>
      <c r="F116">
        <f>IF('Recurring Schedule'!$C$10="","",IF('Recurring Schedule'!$F$10="","",IF(OR($A116&lt;'Recurring Schedule'!$F$10,$A116&gt;'Recurring Schedule'!$P$10),"",IF(IF('Recurring Schedule'!$N$10&gt;0,MOD($A116-'Recurring Schedule'!$F$10,'Recurring Schedule'!$N$10)=0,IF('Recurring Schedule'!$O$10&gt;0,AND(DAY($A116)=MIN(DAY('Recurring Schedule'!$F$10),DAY(EOMONTH($A116,0))),MOD((YEAR($A116)-YEAR('Recurring Schedule'!$F$10))*12+MONTH($A116)-MONTH('Recurring Schedule'!$F$10),'Recurring Schedule'!$O$10)=0),IF('Recurring Schedule'!$E$10="Weekdays",WEEKDAY($A116,2)&lt;=5,$A116='Recurring Schedule'!$F$10))),5,""))))</f>
        <v/>
      </c>
      <c r="G116">
        <f>IF('Recurring Schedule'!$C$11="","",IF('Recurring Schedule'!$F$11="","",IF(OR($A116&lt;'Recurring Schedule'!$F$11,$A116&gt;'Recurring Schedule'!$P$11),"",IF(IF('Recurring Schedule'!$N$11&gt;0,MOD($A116-'Recurring Schedule'!$F$11,'Recurring Schedule'!$N$11)=0,IF('Recurring Schedule'!$O$11&gt;0,AND(DAY($A116)=MIN(DAY('Recurring Schedule'!$F$11),DAY(EOMONTH($A116,0))),MOD((YEAR($A116)-YEAR('Recurring Schedule'!$F$11))*12+MONTH($A116)-MONTH('Recurring Schedule'!$F$11),'Recurring Schedule'!$O$11)=0),IF('Recurring Schedule'!$E$11="Weekdays",WEEKDAY($A116,2)&lt;=5,$A116='Recurring Schedule'!$F$11))),6,""))))</f>
        <v/>
      </c>
      <c r="H116">
        <f>IF('Recurring Schedule'!$C$12="","",IF('Recurring Schedule'!$F$12="","",IF(OR($A116&lt;'Recurring Schedule'!$F$12,$A116&gt;'Recurring Schedule'!$P$12),"",IF(IF('Recurring Schedule'!$N$12&gt;0,MOD($A116-'Recurring Schedule'!$F$12,'Recurring Schedule'!$N$12)=0,IF('Recurring Schedule'!$O$12&gt;0,AND(DAY($A116)=MIN(DAY('Recurring Schedule'!$F$12),DAY(EOMONTH($A116,0))),MOD((YEAR($A116)-YEAR('Recurring Schedule'!$F$12))*12+MONTH($A116)-MONTH('Recurring Schedule'!$F$12),'Recurring Schedule'!$O$12)=0),IF('Recurring Schedule'!$E$12="Weekdays",WEEKDAY($A116,2)&lt;=5,$A116='Recurring Schedule'!$F$12))),7,""))))</f>
        <v/>
      </c>
      <c r="I116">
        <f>IF('Recurring Schedule'!$C$13="","",IF('Recurring Schedule'!$F$13="","",IF(OR($A116&lt;'Recurring Schedule'!$F$13,$A116&gt;'Recurring Schedule'!$P$13),"",IF(IF('Recurring Schedule'!$N$13&gt;0,MOD($A116-'Recurring Schedule'!$F$13,'Recurring Schedule'!$N$13)=0,IF('Recurring Schedule'!$O$13&gt;0,AND(DAY($A116)=MIN(DAY('Recurring Schedule'!$F$13),DAY(EOMONTH($A116,0))),MOD((YEAR($A116)-YEAR('Recurring Schedule'!$F$13))*12+MONTH($A116)-MONTH('Recurring Schedule'!$F$13),'Recurring Schedule'!$O$13)=0),IF('Recurring Schedule'!$E$13="Weekdays",WEEKDAY($A116,2)&lt;=5,$A116='Recurring Schedule'!$F$13))),8,""))))</f>
        <v/>
      </c>
      <c r="J116">
        <f>IF('Recurring Schedule'!$C$14="","",IF('Recurring Schedule'!$F$14="","",IF(OR($A116&lt;'Recurring Schedule'!$F$14,$A116&gt;'Recurring Schedule'!$P$14),"",IF(IF('Recurring Schedule'!$N$14&gt;0,MOD($A116-'Recurring Schedule'!$F$14,'Recurring Schedule'!$N$14)=0,IF('Recurring Schedule'!$O$14&gt;0,AND(DAY($A116)=MIN(DAY('Recurring Schedule'!$F$14),DAY(EOMONTH($A116,0))),MOD((YEAR($A116)-YEAR('Recurring Schedule'!$F$14))*12+MONTH($A116)-MONTH('Recurring Schedule'!$F$14),'Recurring Schedule'!$O$14)=0),IF('Recurring Schedule'!$E$14="Weekdays",WEEKDAY($A116,2)&lt;=5,$A116='Recurring Schedule'!$F$14))),9,""))))</f>
        <v/>
      </c>
      <c r="K116">
        <f>IF('Recurring Schedule'!$C$15="","",IF('Recurring Schedule'!$F$15="","",IF(OR($A116&lt;'Recurring Schedule'!$F$15,$A116&gt;'Recurring Schedule'!$P$15),"",IF(IF('Recurring Schedule'!$N$15&gt;0,MOD($A116-'Recurring Schedule'!$F$15,'Recurring Schedule'!$N$15)=0,IF('Recurring Schedule'!$O$15&gt;0,AND(DAY($A116)=MIN(DAY('Recurring Schedule'!$F$15),DAY(EOMONTH($A116,0))),MOD((YEAR($A116)-YEAR('Recurring Schedule'!$F$15))*12+MONTH($A116)-MONTH('Recurring Schedule'!$F$15),'Recurring Schedule'!$O$15)=0),IF('Recurring Schedule'!$E$15="Weekdays",WEEKDAY($A116,2)&lt;=5,$A116='Recurring Schedule'!$F$15))),10,""))))</f>
        <v/>
      </c>
      <c r="L116">
        <f>IF('Recurring Schedule'!$C$16="","",IF('Recurring Schedule'!$F$16="","",IF(OR($A116&lt;'Recurring Schedule'!$F$16,$A116&gt;'Recurring Schedule'!$P$16),"",IF(IF('Recurring Schedule'!$N$16&gt;0,MOD($A116-'Recurring Schedule'!$F$16,'Recurring Schedule'!$N$16)=0,IF('Recurring Schedule'!$O$16&gt;0,AND(DAY($A116)=MIN(DAY('Recurring Schedule'!$F$16),DAY(EOMONTH($A116,0))),MOD((YEAR($A116)-YEAR('Recurring Schedule'!$F$16))*12+MONTH($A116)-MONTH('Recurring Schedule'!$F$16),'Recurring Schedule'!$O$16)=0),IF('Recurring Schedule'!$E$16="Weekdays",WEEKDAY($A116,2)&lt;=5,$A116='Recurring Schedule'!$F$16))),11,""))))</f>
        <v/>
      </c>
      <c r="M116">
        <f>IF('Recurring Schedule'!$C$17="","",IF('Recurring Schedule'!$F$17="","",IF(OR($A116&lt;'Recurring Schedule'!$F$17,$A116&gt;'Recurring Schedule'!$P$17),"",IF(IF('Recurring Schedule'!$N$17&gt;0,MOD($A116-'Recurring Schedule'!$F$17,'Recurring Schedule'!$N$17)=0,IF('Recurring Schedule'!$O$17&gt;0,AND(DAY($A116)=MIN(DAY('Recurring Schedule'!$F$17),DAY(EOMONTH($A116,0))),MOD((YEAR($A116)-YEAR('Recurring Schedule'!$F$17))*12+MONTH($A116)-MONTH('Recurring Schedule'!$F$17),'Recurring Schedule'!$O$17)=0),IF('Recurring Schedule'!$E$17="Weekdays",WEEKDAY($A116,2)&lt;=5,$A116='Recurring Schedule'!$F$17))),12,""))))</f>
        <v/>
      </c>
      <c r="N116">
        <f>IF('Recurring Schedule'!$C$18="","",IF('Recurring Schedule'!$F$18="","",IF(OR($A116&lt;'Recurring Schedule'!$F$18,$A116&gt;'Recurring Schedule'!$P$18),"",IF(IF('Recurring Schedule'!$N$18&gt;0,MOD($A116-'Recurring Schedule'!$F$18,'Recurring Schedule'!$N$18)=0,IF('Recurring Schedule'!$O$18&gt;0,AND(DAY($A116)=MIN(DAY('Recurring Schedule'!$F$18),DAY(EOMONTH($A116,0))),MOD((YEAR($A116)-YEAR('Recurring Schedule'!$F$18))*12+MONTH($A116)-MONTH('Recurring Schedule'!$F$18),'Recurring Schedule'!$O$18)=0),IF('Recurring Schedule'!$E$18="Weekdays",WEEKDAY($A116,2)&lt;=5,$A116='Recurring Schedule'!$F$18))),13,""))))</f>
        <v/>
      </c>
      <c r="O116">
        <f>IF('Recurring Schedule'!$C$19="","",IF('Recurring Schedule'!$F$19="","",IF(OR($A116&lt;'Recurring Schedule'!$F$19,$A116&gt;'Recurring Schedule'!$P$19),"",IF(IF('Recurring Schedule'!$N$19&gt;0,MOD($A116-'Recurring Schedule'!$F$19,'Recurring Schedule'!$N$19)=0,IF('Recurring Schedule'!$O$19&gt;0,AND(DAY($A116)=MIN(DAY('Recurring Schedule'!$F$19),DAY(EOMONTH($A116,0))),MOD((YEAR($A116)-YEAR('Recurring Schedule'!$F$19))*12+MONTH($A116)-MONTH('Recurring Schedule'!$F$19),'Recurring Schedule'!$O$19)=0),IF('Recurring Schedule'!$E$19="Weekdays",WEEKDAY($A116,2)&lt;=5,$A116='Recurring Schedule'!$F$19))),14,""))))</f>
        <v/>
      </c>
      <c r="P116">
        <f>IF('Recurring Schedule'!$C$20="","",IF('Recurring Schedule'!$F$20="","",IF(OR($A116&lt;'Recurring Schedule'!$F$20,$A116&gt;'Recurring Schedule'!$P$20),"",IF(IF('Recurring Schedule'!$N$20&gt;0,MOD($A116-'Recurring Schedule'!$F$20,'Recurring Schedule'!$N$20)=0,IF('Recurring Schedule'!$O$20&gt;0,AND(DAY($A116)=MIN(DAY('Recurring Schedule'!$F$20),DAY(EOMONTH($A116,0))),MOD((YEAR($A116)-YEAR('Recurring Schedule'!$F$20))*12+MONTH($A116)-MONTH('Recurring Schedule'!$F$20),'Recurring Schedule'!$O$20)=0),IF('Recurring Schedule'!$E$20="Weekdays",WEEKDAY($A116,2)&lt;=5,$A116='Recurring Schedule'!$F$20))),15,""))))</f>
        <v/>
      </c>
      <c r="Q116">
        <f>IF('Recurring Schedule'!$C$21="","",IF('Recurring Schedule'!$F$21="","",IF(OR($A116&lt;'Recurring Schedule'!$F$21,$A116&gt;'Recurring Schedule'!$P$21),"",IF(IF('Recurring Schedule'!$N$21&gt;0,MOD($A116-'Recurring Schedule'!$F$21,'Recurring Schedule'!$N$21)=0,IF('Recurring Schedule'!$O$21&gt;0,AND(DAY($A116)=MIN(DAY('Recurring Schedule'!$F$21),DAY(EOMONTH($A116,0))),MOD((YEAR($A116)-YEAR('Recurring Schedule'!$F$21))*12+MONTH($A116)-MONTH('Recurring Schedule'!$F$21),'Recurring Schedule'!$O$21)=0),IF('Recurring Schedule'!$E$21="Weekdays",WEEKDAY($A116,2)&lt;=5,$A116='Recurring Schedule'!$F$21))),16,""))))</f>
        <v/>
      </c>
      <c r="R116">
        <f>IF('Recurring Schedule'!$C$22="","",IF('Recurring Schedule'!$F$22="","",IF(OR($A116&lt;'Recurring Schedule'!$F$22,$A116&gt;'Recurring Schedule'!$P$22),"",IF(IF('Recurring Schedule'!$N$22&gt;0,MOD($A116-'Recurring Schedule'!$F$22,'Recurring Schedule'!$N$22)=0,IF('Recurring Schedule'!$O$22&gt;0,AND(DAY($A116)=MIN(DAY('Recurring Schedule'!$F$22),DAY(EOMONTH($A116,0))),MOD((YEAR($A116)-YEAR('Recurring Schedule'!$F$22))*12+MONTH($A116)-MONTH('Recurring Schedule'!$F$22),'Recurring Schedule'!$O$22)=0),IF('Recurring Schedule'!$E$22="Weekdays",WEEKDAY($A116,2)&lt;=5,$A116='Recurring Schedule'!$F$22))),17,""))))</f>
        <v/>
      </c>
      <c r="S116">
        <f>IF('Recurring Schedule'!$C$23="","",IF('Recurring Schedule'!$F$23="","",IF(OR($A116&lt;'Recurring Schedule'!$F$23,$A116&gt;'Recurring Schedule'!$P$23),"",IF(IF('Recurring Schedule'!$N$23&gt;0,MOD($A116-'Recurring Schedule'!$F$23,'Recurring Schedule'!$N$23)=0,IF('Recurring Schedule'!$O$23&gt;0,AND(DAY($A116)=MIN(DAY('Recurring Schedule'!$F$23),DAY(EOMONTH($A116,0))),MOD((YEAR($A116)-YEAR('Recurring Schedule'!$F$23))*12+MONTH($A116)-MONTH('Recurring Schedule'!$F$23),'Recurring Schedule'!$O$23)=0),IF('Recurring Schedule'!$E$23="Weekdays",WEEKDAY($A116,2)&lt;=5,$A116='Recurring Schedule'!$F$23))),18,""))))</f>
        <v/>
      </c>
      <c r="T116">
        <f>IF('Recurring Schedule'!$C$24="","",IF('Recurring Schedule'!$F$24="","",IF(OR($A116&lt;'Recurring Schedule'!$F$24,$A116&gt;'Recurring Schedule'!$P$24),"",IF(IF('Recurring Schedule'!$N$24&gt;0,MOD($A116-'Recurring Schedule'!$F$24,'Recurring Schedule'!$N$24)=0,IF('Recurring Schedule'!$O$24&gt;0,AND(DAY($A116)=MIN(DAY('Recurring Schedule'!$F$24),DAY(EOMONTH($A116,0))),MOD((YEAR($A116)-YEAR('Recurring Schedule'!$F$24))*12+MONTH($A116)-MONTH('Recurring Schedule'!$F$24),'Recurring Schedule'!$O$24)=0),IF('Recurring Schedule'!$E$24="Weekdays",WEEKDAY($A116,2)&lt;=5,$A116='Recurring Schedule'!$F$24))),19,""))))</f>
        <v/>
      </c>
      <c r="U116">
        <f>IF('Recurring Schedule'!$C$25="","",IF('Recurring Schedule'!$F$25="","",IF(OR($A116&lt;'Recurring Schedule'!$F$25,$A116&gt;'Recurring Schedule'!$P$25),"",IF(IF('Recurring Schedule'!$N$25&gt;0,MOD($A116-'Recurring Schedule'!$F$25,'Recurring Schedule'!$N$25)=0,IF('Recurring Schedule'!$O$25&gt;0,AND(DAY($A116)=MIN(DAY('Recurring Schedule'!$F$25),DAY(EOMONTH($A116,0))),MOD((YEAR($A116)-YEAR('Recurring Schedule'!$F$25))*12+MONTH($A116)-MONTH('Recurring Schedule'!$F$25),'Recurring Schedule'!$O$25)=0),IF('Recurring Schedule'!$E$25="Weekdays",WEEKDAY($A116,2)&lt;=5,$A116='Recurring Schedule'!$F$25))),20,""))))</f>
        <v/>
      </c>
      <c r="V116">
        <f>IF('Recurring Schedule'!$C$26="","",IF('Recurring Schedule'!$F$26="","",IF(OR($A116&lt;'Recurring Schedule'!$F$26,$A116&gt;'Recurring Schedule'!$P$26),"",IF(IF('Recurring Schedule'!$N$26&gt;0,MOD($A116-'Recurring Schedule'!$F$26,'Recurring Schedule'!$N$26)=0,IF('Recurring Schedule'!$O$26&gt;0,AND(DAY($A116)=MIN(DAY('Recurring Schedule'!$F$26),DAY(EOMONTH($A116,0))),MOD((YEAR($A116)-YEAR('Recurring Schedule'!$F$26))*12+MONTH($A116)-MONTH('Recurring Schedule'!$F$26),'Recurring Schedule'!$O$26)=0),IF('Recurring Schedule'!$E$26="Weekdays",WEEKDAY($A116,2)&lt;=5,$A116='Recurring Schedule'!$F$26))),21,""))))</f>
        <v/>
      </c>
      <c r="W116">
        <f>IF('Recurring Schedule'!$C$27="","",IF('Recurring Schedule'!$F$27="","",IF(OR($A116&lt;'Recurring Schedule'!$F$27,$A116&gt;'Recurring Schedule'!$P$27),"",IF(IF('Recurring Schedule'!$N$27&gt;0,MOD($A116-'Recurring Schedule'!$F$27,'Recurring Schedule'!$N$27)=0,IF('Recurring Schedule'!$O$27&gt;0,AND(DAY($A116)=MIN(DAY('Recurring Schedule'!$F$27),DAY(EOMONTH($A116,0))),MOD((YEAR($A116)-YEAR('Recurring Schedule'!$F$27))*12+MONTH($A116)-MONTH('Recurring Schedule'!$F$27),'Recurring Schedule'!$O$27)=0),IF('Recurring Schedule'!$E$27="Weekdays",WEEKDAY($A116,2)&lt;=5,$A116='Recurring Schedule'!$F$27))),22,""))))</f>
        <v/>
      </c>
      <c r="X116">
        <f>IF('Recurring Schedule'!$C$28="","",IF('Recurring Schedule'!$F$28="","",IF(OR($A116&lt;'Recurring Schedule'!$F$28,$A116&gt;'Recurring Schedule'!$P$28),"",IF(IF('Recurring Schedule'!$N$28&gt;0,MOD($A116-'Recurring Schedule'!$F$28,'Recurring Schedule'!$N$28)=0,IF('Recurring Schedule'!$O$28&gt;0,AND(DAY($A116)=MIN(DAY('Recurring Schedule'!$F$28),DAY(EOMONTH($A116,0))),MOD((YEAR($A116)-YEAR('Recurring Schedule'!$F$28))*12+MONTH($A116)-MONTH('Recurring Schedule'!$F$28),'Recurring Schedule'!$O$28)=0),IF('Recurring Schedule'!$E$28="Weekdays",WEEKDAY($A116,2)&lt;=5,$A116='Recurring Schedule'!$F$28))),23,""))))</f>
        <v/>
      </c>
      <c r="Y116">
        <f>IF('Recurring Schedule'!$C$29="","",IF('Recurring Schedule'!$F$29="","",IF(OR($A116&lt;'Recurring Schedule'!$F$29,$A116&gt;'Recurring Schedule'!$P$29),"",IF(IF('Recurring Schedule'!$N$29&gt;0,MOD($A116-'Recurring Schedule'!$F$29,'Recurring Schedule'!$N$29)=0,IF('Recurring Schedule'!$O$29&gt;0,AND(DAY($A116)=MIN(DAY('Recurring Schedule'!$F$29),DAY(EOMONTH($A116,0))),MOD((YEAR($A116)-YEAR('Recurring Schedule'!$F$29))*12+MONTH($A116)-MONTH('Recurring Schedule'!$F$29),'Recurring Schedule'!$O$29)=0),IF('Recurring Schedule'!$E$29="Weekdays",WEEKDAY($A116,2)&lt;=5,$A116='Recurring Schedule'!$F$29))),24,""))))</f>
        <v/>
      </c>
      <c r="Z116">
        <f>IF('Recurring Schedule'!$C$30="","",IF('Recurring Schedule'!$F$30="","",IF(OR($A116&lt;'Recurring Schedule'!$F$30,$A116&gt;'Recurring Schedule'!$P$30),"",IF(IF('Recurring Schedule'!$N$30&gt;0,MOD($A116-'Recurring Schedule'!$F$30,'Recurring Schedule'!$N$30)=0,IF('Recurring Schedule'!$O$30&gt;0,AND(DAY($A116)=MIN(DAY('Recurring Schedule'!$F$30),DAY(EOMONTH($A116,0))),MOD((YEAR($A116)-YEAR('Recurring Schedule'!$F$30))*12+MONTH($A116)-MONTH('Recurring Schedule'!$F$30),'Recurring Schedule'!$O$30)=0),IF('Recurring Schedule'!$E$30="Weekdays",WEEKDAY($A116,2)&lt;=5,$A116='Recurring Schedule'!$F$30))),25,""))))</f>
        <v/>
      </c>
      <c r="AA116">
        <f>IF('Recurring Schedule'!$C$31="","",IF('Recurring Schedule'!$F$31="","",IF(OR($A116&lt;'Recurring Schedule'!$F$31,$A116&gt;'Recurring Schedule'!$P$31),"",IF(IF('Recurring Schedule'!$N$31&gt;0,MOD($A116-'Recurring Schedule'!$F$31,'Recurring Schedule'!$N$31)=0,IF('Recurring Schedule'!$O$31&gt;0,AND(DAY($A116)=MIN(DAY('Recurring Schedule'!$F$31),DAY(EOMONTH($A116,0))),MOD((YEAR($A116)-YEAR('Recurring Schedule'!$F$31))*12+MONTH($A116)-MONTH('Recurring Schedule'!$F$31),'Recurring Schedule'!$O$31)=0),IF('Recurring Schedule'!$E$31="Weekdays",WEEKDAY($A116,2)&lt;=5,$A116='Recurring Schedule'!$F$31))),26,""))))</f>
        <v/>
      </c>
      <c r="AB116">
        <f>IF('Recurring Schedule'!$C$32="","",IF('Recurring Schedule'!$F$32="","",IF(OR($A116&lt;'Recurring Schedule'!$F$32,$A116&gt;'Recurring Schedule'!$P$32),"",IF(IF('Recurring Schedule'!$N$32&gt;0,MOD($A116-'Recurring Schedule'!$F$32,'Recurring Schedule'!$N$32)=0,IF('Recurring Schedule'!$O$32&gt;0,AND(DAY($A116)=MIN(DAY('Recurring Schedule'!$F$32),DAY(EOMONTH($A116,0))),MOD((YEAR($A116)-YEAR('Recurring Schedule'!$F$32))*12+MONTH($A116)-MONTH('Recurring Schedule'!$F$32),'Recurring Schedule'!$O$32)=0),IF('Recurring Schedule'!$E$32="Weekdays",WEEKDAY($A116,2)&lt;=5,$A116='Recurring Schedule'!$F$32))),27,""))))</f>
        <v/>
      </c>
      <c r="AC116">
        <f>IF('Recurring Schedule'!$C$33="","",IF('Recurring Schedule'!$F$33="","",IF(OR($A116&lt;'Recurring Schedule'!$F$33,$A116&gt;'Recurring Schedule'!$P$33),"",IF(IF('Recurring Schedule'!$N$33&gt;0,MOD($A116-'Recurring Schedule'!$F$33,'Recurring Schedule'!$N$33)=0,IF('Recurring Schedule'!$O$33&gt;0,AND(DAY($A116)=MIN(DAY('Recurring Schedule'!$F$33),DAY(EOMONTH($A116,0))),MOD((YEAR($A116)-YEAR('Recurring Schedule'!$F$33))*12+MONTH($A116)-MONTH('Recurring Schedule'!$F$33),'Recurring Schedule'!$O$33)=0),IF('Recurring Schedule'!$E$33="Weekdays",WEEKDAY($A116,2)&lt;=5,$A116='Recurring Schedule'!$F$33))),28,""))))</f>
        <v/>
      </c>
      <c r="AD116">
        <f>IF('Recurring Schedule'!$C$34="","",IF('Recurring Schedule'!$F$34="","",IF(OR($A116&lt;'Recurring Schedule'!$F$34,$A116&gt;'Recurring Schedule'!$P$34),"",IF(IF('Recurring Schedule'!$N$34&gt;0,MOD($A116-'Recurring Schedule'!$F$34,'Recurring Schedule'!$N$34)=0,IF('Recurring Schedule'!$O$34&gt;0,AND(DAY($A116)=MIN(DAY('Recurring Schedule'!$F$34),DAY(EOMONTH($A116,0))),MOD((YEAR($A116)-YEAR('Recurring Schedule'!$F$34))*12+MONTH($A116)-MONTH('Recurring Schedule'!$F$34),'Recurring Schedule'!$O$34)=0),IF('Recurring Schedule'!$E$34="Weekdays",WEEKDAY($A116,2)&lt;=5,$A116='Recurring Schedule'!$F$34))),29,""))))</f>
        <v/>
      </c>
      <c r="AE116">
        <f>IF('Recurring Schedule'!$C$35="","",IF('Recurring Schedule'!$F$35="","",IF(OR($A116&lt;'Recurring Schedule'!$F$35,$A116&gt;'Recurring Schedule'!$P$35),"",IF(IF('Recurring Schedule'!$N$35&gt;0,MOD($A116-'Recurring Schedule'!$F$35,'Recurring Schedule'!$N$35)=0,IF('Recurring Schedule'!$O$35&gt;0,AND(DAY($A116)=MIN(DAY('Recurring Schedule'!$F$35),DAY(EOMONTH($A116,0))),MOD((YEAR($A116)-YEAR('Recurring Schedule'!$F$35))*12+MONTH($A116)-MONTH('Recurring Schedule'!$F$35),'Recurring Schedule'!$O$35)=0),IF('Recurring Schedule'!$E$35="Weekdays",WEEKDAY($A116,2)&lt;=5,$A116='Recurring Schedule'!$F$35))),30,""))))</f>
        <v/>
      </c>
      <c r="AF116">
        <f>IF('Recurring Schedule'!$C$36="","",IF('Recurring Schedule'!$F$36="","",IF(OR($A116&lt;'Recurring Schedule'!$F$36,$A116&gt;'Recurring Schedule'!$P$36),"",IF(IF('Recurring Schedule'!$N$36&gt;0,MOD($A116-'Recurring Schedule'!$F$36,'Recurring Schedule'!$N$36)=0,IF('Recurring Schedule'!$O$36&gt;0,AND(DAY($A116)=MIN(DAY('Recurring Schedule'!$F$36),DAY(EOMONTH($A116,0))),MOD((YEAR($A116)-YEAR('Recurring Schedule'!$F$36))*12+MONTH($A116)-MONTH('Recurring Schedule'!$F$36),'Recurring Schedule'!$O$36)=0),IF('Recurring Schedule'!$E$36="Weekdays",WEEKDAY($A116,2)&lt;=5,$A116='Recurring Schedule'!$F$36))),31,""))))</f>
        <v/>
      </c>
      <c r="AG116">
        <f>IF('Recurring Schedule'!$C$37="","",IF('Recurring Schedule'!$F$37="","",IF(OR($A116&lt;'Recurring Schedule'!$F$37,$A116&gt;'Recurring Schedule'!$P$37),"",IF(IF('Recurring Schedule'!$N$37&gt;0,MOD($A116-'Recurring Schedule'!$F$37,'Recurring Schedule'!$N$37)=0,IF('Recurring Schedule'!$O$37&gt;0,AND(DAY($A116)=MIN(DAY('Recurring Schedule'!$F$37),DAY(EOMONTH($A116,0))),MOD((YEAR($A116)-YEAR('Recurring Schedule'!$F$37))*12+MONTH($A116)-MONTH('Recurring Schedule'!$F$37),'Recurring Schedule'!$O$37)=0),IF('Recurring Schedule'!$E$37="Weekdays",WEEKDAY($A116,2)&lt;=5,$A116='Recurring Schedule'!$F$37))),32,""))))</f>
        <v/>
      </c>
      <c r="AH116">
        <f>IF('Recurring Schedule'!$C$38="","",IF('Recurring Schedule'!$F$38="","",IF(OR($A116&lt;'Recurring Schedule'!$F$38,$A116&gt;'Recurring Schedule'!$P$38),"",IF(IF('Recurring Schedule'!$N$38&gt;0,MOD($A116-'Recurring Schedule'!$F$38,'Recurring Schedule'!$N$38)=0,IF('Recurring Schedule'!$O$38&gt;0,AND(DAY($A116)=MIN(DAY('Recurring Schedule'!$F$38),DAY(EOMONTH($A116,0))),MOD((YEAR($A116)-YEAR('Recurring Schedule'!$F$38))*12+MONTH($A116)-MONTH('Recurring Schedule'!$F$38),'Recurring Schedule'!$O$38)=0),IF('Recurring Schedule'!$E$38="Weekdays",WEEKDAY($A116,2)&lt;=5,$A116='Recurring Schedule'!$F$38))),33,""))))</f>
        <v/>
      </c>
      <c r="AI116">
        <f>IF('Recurring Schedule'!$C$39="","",IF('Recurring Schedule'!$F$39="","",IF(OR($A116&lt;'Recurring Schedule'!$F$39,$A116&gt;'Recurring Schedule'!$P$39),"",IF(IF('Recurring Schedule'!$N$39&gt;0,MOD($A116-'Recurring Schedule'!$F$39,'Recurring Schedule'!$N$39)=0,IF('Recurring Schedule'!$O$39&gt;0,AND(DAY($A116)=MIN(DAY('Recurring Schedule'!$F$39),DAY(EOMONTH($A116,0))),MOD((YEAR($A116)-YEAR('Recurring Schedule'!$F$39))*12+MONTH($A116)-MONTH('Recurring Schedule'!$F$39),'Recurring Schedule'!$O$39)=0),IF('Recurring Schedule'!$E$39="Weekdays",WEEKDAY($A116,2)&lt;=5,$A116='Recurring Schedule'!$F$39))),34,""))))</f>
        <v/>
      </c>
      <c r="AJ116">
        <f>IF('Recurring Schedule'!$C$40="","",IF('Recurring Schedule'!$F$40="","",IF(OR($A116&lt;'Recurring Schedule'!$F$40,$A116&gt;'Recurring Schedule'!$P$40),"",IF(IF('Recurring Schedule'!$N$40&gt;0,MOD($A116-'Recurring Schedule'!$F$40,'Recurring Schedule'!$N$40)=0,IF('Recurring Schedule'!$O$40&gt;0,AND(DAY($A116)=MIN(DAY('Recurring Schedule'!$F$40),DAY(EOMONTH($A116,0))),MOD((YEAR($A116)-YEAR('Recurring Schedule'!$F$40))*12+MONTH($A116)-MONTH('Recurring Schedule'!$F$40),'Recurring Schedule'!$O$40)=0),IF('Recurring Schedule'!$E$40="Weekdays",WEEKDAY($A116,2)&lt;=5,$A116='Recurring Schedule'!$F$40))),35,""))))</f>
        <v/>
      </c>
      <c r="AK116">
        <f>IF('Recurring Schedule'!$C$41="","",IF('Recurring Schedule'!$F$41="","",IF(OR($A116&lt;'Recurring Schedule'!$F$41,$A116&gt;'Recurring Schedule'!$P$41),"",IF(IF('Recurring Schedule'!$N$41&gt;0,MOD($A116-'Recurring Schedule'!$F$41,'Recurring Schedule'!$N$41)=0,IF('Recurring Schedule'!$O$41&gt;0,AND(DAY($A116)=MIN(DAY('Recurring Schedule'!$F$41),DAY(EOMONTH($A116,0))),MOD((YEAR($A116)-YEAR('Recurring Schedule'!$F$41))*12+MONTH($A116)-MONTH('Recurring Schedule'!$F$41),'Recurring Schedule'!$O$41)=0),IF('Recurring Schedule'!$E$41="Weekdays",WEEKDAY($A116,2)&lt;=5,$A116='Recurring Schedule'!$F$41))),36,""))))</f>
        <v/>
      </c>
      <c r="AL116">
        <f>IF('Recurring Schedule'!$C$42="","",IF('Recurring Schedule'!$F$42="","",IF(OR($A116&lt;'Recurring Schedule'!$F$42,$A116&gt;'Recurring Schedule'!$P$42),"",IF(IF('Recurring Schedule'!$N$42&gt;0,MOD($A116-'Recurring Schedule'!$F$42,'Recurring Schedule'!$N$42)=0,IF('Recurring Schedule'!$O$42&gt;0,AND(DAY($A116)=MIN(DAY('Recurring Schedule'!$F$42),DAY(EOMONTH($A116,0))),MOD((YEAR($A116)-YEAR('Recurring Schedule'!$F$42))*12+MONTH($A116)-MONTH('Recurring Schedule'!$F$42),'Recurring Schedule'!$O$42)=0),IF('Recurring Schedule'!$E$42="Weekdays",WEEKDAY($A116,2)&lt;=5,$A116='Recurring Schedule'!$F$42))),37,""))))</f>
        <v/>
      </c>
      <c r="AM116">
        <f>IF('Recurring Schedule'!$C$43="","",IF('Recurring Schedule'!$F$43="","",IF(OR($A116&lt;'Recurring Schedule'!$F$43,$A116&gt;'Recurring Schedule'!$P$43),"",IF(IF('Recurring Schedule'!$N$43&gt;0,MOD($A116-'Recurring Schedule'!$F$43,'Recurring Schedule'!$N$43)=0,IF('Recurring Schedule'!$O$43&gt;0,AND(DAY($A116)=MIN(DAY('Recurring Schedule'!$F$43),DAY(EOMONTH($A116,0))),MOD((YEAR($A116)-YEAR('Recurring Schedule'!$F$43))*12+MONTH($A116)-MONTH('Recurring Schedule'!$F$43),'Recurring Schedule'!$O$43)=0),IF('Recurring Schedule'!$E$43="Weekdays",WEEKDAY($A116,2)&lt;=5,$A116='Recurring Schedule'!$F$43))),38,""))))</f>
        <v/>
      </c>
      <c r="AN116">
        <f>IF('Recurring Schedule'!$C$44="","",IF('Recurring Schedule'!$F$44="","",IF(OR($A116&lt;'Recurring Schedule'!$F$44,$A116&gt;'Recurring Schedule'!$P$44),"",IF(IF('Recurring Schedule'!$N$44&gt;0,MOD($A116-'Recurring Schedule'!$F$44,'Recurring Schedule'!$N$44)=0,IF('Recurring Schedule'!$O$44&gt;0,AND(DAY($A116)=MIN(DAY('Recurring Schedule'!$F$44),DAY(EOMONTH($A116,0))),MOD((YEAR($A116)-YEAR('Recurring Schedule'!$F$44))*12+MONTH($A116)-MONTH('Recurring Schedule'!$F$44),'Recurring Schedule'!$O$44)=0),IF('Recurring Schedule'!$E$44="Weekdays",WEEKDAY($A116,2)&lt;=5,$A116='Recurring Schedule'!$F$44))),39,""))))</f>
        <v/>
      </c>
      <c r="AO116">
        <f>IF('Recurring Schedule'!$C$45="","",IF('Recurring Schedule'!$F$45="","",IF(OR($A116&lt;'Recurring Schedule'!$F$45,$A116&gt;'Recurring Schedule'!$P$45),"",IF(IF('Recurring Schedule'!$N$45&gt;0,MOD($A116-'Recurring Schedule'!$F$45,'Recurring Schedule'!$N$45)=0,IF('Recurring Schedule'!$O$45&gt;0,AND(DAY($A116)=MIN(DAY('Recurring Schedule'!$F$45),DAY(EOMONTH($A116,0))),MOD((YEAR($A116)-YEAR('Recurring Schedule'!$F$45))*12+MONTH($A116)-MONTH('Recurring Schedule'!$F$45),'Recurring Schedule'!$O$45)=0),IF('Recurring Schedule'!$E$45="Weekdays",WEEKDAY($A116,2)&lt;=5,$A116='Recurring Schedule'!$F$45))),40,""))))</f>
        <v/>
      </c>
      <c r="AP116">
        <f>COUNT(B116:AO116)</f>
        <v/>
      </c>
      <c r="AQ116">
        <f>AQ115+AP115</f>
        <v/>
      </c>
      <c r="AS116" t="inlineStr">
        <is>
          <t>R</t>
        </is>
      </c>
      <c r="AT116" t="n">
        <v>120</v>
      </c>
      <c r="AU116">
        <f>'Recurring Log'!C120&amp;""</f>
        <v/>
      </c>
      <c r="AV116">
        <f>'Recurring Log'!D120&amp;""</f>
        <v/>
      </c>
      <c r="AW116">
        <f>IF('Recurring Log'!E120="","",'Recurring Log'!E120)</f>
        <v/>
      </c>
      <c r="AX116">
        <f>IF('Recurring Log'!G120="","",'Recurring Log'!G120)</f>
        <v/>
      </c>
      <c r="AY116">
        <f>IF('Recurring Log'!H120="","",'Recurring Log'!H120)</f>
        <v/>
      </c>
      <c r="AZ116">
        <f>IF(AU116="","",IF('Recurring Log'!J120="","Not Started",'Recurring Log'!J120))</f>
        <v/>
      </c>
      <c r="BA116">
        <f>'Recurring Log'!L120&amp;""</f>
        <v/>
      </c>
      <c r="BB116">
        <f>'Recurring Log'!M120&amp;""</f>
        <v/>
      </c>
      <c r="BC116">
        <f>'Recurring Log'!N120&amp;""</f>
        <v/>
      </c>
      <c r="BD116">
        <f>'Recurring Log'!O120&amp;""</f>
        <v/>
      </c>
      <c r="BE116">
        <f>IF('Recurring Log'!K120="","",'Recurring Log'!K120)</f>
        <v/>
      </c>
      <c r="BF116">
        <f>IFERROR(MATCH(BA116,Setup!$L$6:$L$9,0),5)</f>
        <v/>
      </c>
      <c r="BG116">
        <f>IF(OR(AZ116="Done",AZ116="Cancelled"),1,0)</f>
        <v/>
      </c>
      <c r="BH116">
        <f>IF(AND(AU116&lt;&gt;"",ISNUMBER(AW116)),1,0)</f>
        <v/>
      </c>
      <c r="BI116">
        <f>IF(BH116=0,0,IF(AND(AW116&gt;='Tasks Filter'!$F$3,AW116&lt;='Tasks Filter'!$F$4,OR('Tasks Filter'!$I$3="",ISNUMBER(SEARCH('Tasks Filter'!$I$3,AU116))),OR('Tasks Filter'!$I$4="",BF116=IFERROR(MATCH('Tasks Filter'!$I$4,Setup!$L$6:$L$9,0),0)),OR('Tasks Filter'!$I$5="Both",AND('Tasks Filter'!$I$5="Yes",BB116="✓"),AND('Tasks Filter'!$I$5="No",BB116&lt;&gt;"✓")),OR('Tasks Filter'!$L$3="",AV116='Tasks Filter'!$L$3),OR('Tasks Filter'!$L$4="",AZ116='Tasks Filter'!$L$4),OR('Tasks Filter'!$L$5="",BC116='Tasks Filter'!$L$5),OR('Tasks Filter'!$O$3="",BD116='Tasks Filter'!$O$3),OR('Tasks Filter'!$O$4="Yes",BG116=0)),1,0))</f>
        <v/>
      </c>
      <c r="BJ116">
        <f>IF(BH116=0,"",IF('Tasks Filter'!$F$6="Descending",-1,1)*CHOOSE(MATCH('Tasks Filter'!$F$5,Lists!$G$2:$G$6,0),AW116,BF116,IFERROR(MATCH(AV116,Setup!$F$6:$F$15,0),99),IFERROR(MATCH(BC116,Setup!$H$6:$H$15,0),99),IFERROR(MATCH(AZ116,Setup!$J$6:$J$11,0),99))*1E+9+(AW116-40000)*10000+115)</f>
        <v/>
      </c>
      <c r="BK116">
        <f>IF(BI116=1,BJ116,"")</f>
        <v/>
      </c>
      <c r="BL116">
        <f>IF(AND(BH116=1,BG116=0,N(AW116)&lt;Setup!$D$7),(AW116-40000)*10000+115,"")</f>
        <v/>
      </c>
      <c r="BM116">
        <f>IF(AND(BH116=1,AZ116&lt;&gt;"Cancelled",N(AW116)&gt;=Dashboard!$AB$3,N(AW116)&lt;=Dashboard!$AB$3+6),(AW116-40000)*100000+BF116*10000+115,"")</f>
        <v/>
      </c>
      <c r="BN116">
        <f>IF(AND(BH116=1,AZ116&lt;&gt;"Cancelled"),BF116*10000+115,"")</f>
        <v/>
      </c>
    </row>
    <row r="117">
      <c r="A117">
        <f>Setup!$D$5+115</f>
        <v/>
      </c>
      <c r="B117">
        <f>IF('Recurring Schedule'!$C$6="","",IF('Recurring Schedule'!$F$6="","",IF(OR($A117&lt;'Recurring Schedule'!$F$6,$A117&gt;'Recurring Schedule'!$P$6),"",IF(IF('Recurring Schedule'!$N$6&gt;0,MOD($A117-'Recurring Schedule'!$F$6,'Recurring Schedule'!$N$6)=0,IF('Recurring Schedule'!$O$6&gt;0,AND(DAY($A117)=MIN(DAY('Recurring Schedule'!$F$6),DAY(EOMONTH($A117,0))),MOD((YEAR($A117)-YEAR('Recurring Schedule'!$F$6))*12+MONTH($A117)-MONTH('Recurring Schedule'!$F$6),'Recurring Schedule'!$O$6)=0),IF('Recurring Schedule'!$E$6="Weekdays",WEEKDAY($A117,2)&lt;=5,$A117='Recurring Schedule'!$F$6))),1,""))))</f>
        <v/>
      </c>
      <c r="C117">
        <f>IF('Recurring Schedule'!$C$7="","",IF('Recurring Schedule'!$F$7="","",IF(OR($A117&lt;'Recurring Schedule'!$F$7,$A117&gt;'Recurring Schedule'!$P$7),"",IF(IF('Recurring Schedule'!$N$7&gt;0,MOD($A117-'Recurring Schedule'!$F$7,'Recurring Schedule'!$N$7)=0,IF('Recurring Schedule'!$O$7&gt;0,AND(DAY($A117)=MIN(DAY('Recurring Schedule'!$F$7),DAY(EOMONTH($A117,0))),MOD((YEAR($A117)-YEAR('Recurring Schedule'!$F$7))*12+MONTH($A117)-MONTH('Recurring Schedule'!$F$7),'Recurring Schedule'!$O$7)=0),IF('Recurring Schedule'!$E$7="Weekdays",WEEKDAY($A117,2)&lt;=5,$A117='Recurring Schedule'!$F$7))),2,""))))</f>
        <v/>
      </c>
      <c r="D117">
        <f>IF('Recurring Schedule'!$C$8="","",IF('Recurring Schedule'!$F$8="","",IF(OR($A117&lt;'Recurring Schedule'!$F$8,$A117&gt;'Recurring Schedule'!$P$8),"",IF(IF('Recurring Schedule'!$N$8&gt;0,MOD($A117-'Recurring Schedule'!$F$8,'Recurring Schedule'!$N$8)=0,IF('Recurring Schedule'!$O$8&gt;0,AND(DAY($A117)=MIN(DAY('Recurring Schedule'!$F$8),DAY(EOMONTH($A117,0))),MOD((YEAR($A117)-YEAR('Recurring Schedule'!$F$8))*12+MONTH($A117)-MONTH('Recurring Schedule'!$F$8),'Recurring Schedule'!$O$8)=0),IF('Recurring Schedule'!$E$8="Weekdays",WEEKDAY($A117,2)&lt;=5,$A117='Recurring Schedule'!$F$8))),3,""))))</f>
        <v/>
      </c>
      <c r="E117">
        <f>IF('Recurring Schedule'!$C$9="","",IF('Recurring Schedule'!$F$9="","",IF(OR($A117&lt;'Recurring Schedule'!$F$9,$A117&gt;'Recurring Schedule'!$P$9),"",IF(IF('Recurring Schedule'!$N$9&gt;0,MOD($A117-'Recurring Schedule'!$F$9,'Recurring Schedule'!$N$9)=0,IF('Recurring Schedule'!$O$9&gt;0,AND(DAY($A117)=MIN(DAY('Recurring Schedule'!$F$9),DAY(EOMONTH($A117,0))),MOD((YEAR($A117)-YEAR('Recurring Schedule'!$F$9))*12+MONTH($A117)-MONTH('Recurring Schedule'!$F$9),'Recurring Schedule'!$O$9)=0),IF('Recurring Schedule'!$E$9="Weekdays",WEEKDAY($A117,2)&lt;=5,$A117='Recurring Schedule'!$F$9))),4,""))))</f>
        <v/>
      </c>
      <c r="F117">
        <f>IF('Recurring Schedule'!$C$10="","",IF('Recurring Schedule'!$F$10="","",IF(OR($A117&lt;'Recurring Schedule'!$F$10,$A117&gt;'Recurring Schedule'!$P$10),"",IF(IF('Recurring Schedule'!$N$10&gt;0,MOD($A117-'Recurring Schedule'!$F$10,'Recurring Schedule'!$N$10)=0,IF('Recurring Schedule'!$O$10&gt;0,AND(DAY($A117)=MIN(DAY('Recurring Schedule'!$F$10),DAY(EOMONTH($A117,0))),MOD((YEAR($A117)-YEAR('Recurring Schedule'!$F$10))*12+MONTH($A117)-MONTH('Recurring Schedule'!$F$10),'Recurring Schedule'!$O$10)=0),IF('Recurring Schedule'!$E$10="Weekdays",WEEKDAY($A117,2)&lt;=5,$A117='Recurring Schedule'!$F$10))),5,""))))</f>
        <v/>
      </c>
      <c r="G117">
        <f>IF('Recurring Schedule'!$C$11="","",IF('Recurring Schedule'!$F$11="","",IF(OR($A117&lt;'Recurring Schedule'!$F$11,$A117&gt;'Recurring Schedule'!$P$11),"",IF(IF('Recurring Schedule'!$N$11&gt;0,MOD($A117-'Recurring Schedule'!$F$11,'Recurring Schedule'!$N$11)=0,IF('Recurring Schedule'!$O$11&gt;0,AND(DAY($A117)=MIN(DAY('Recurring Schedule'!$F$11),DAY(EOMONTH($A117,0))),MOD((YEAR($A117)-YEAR('Recurring Schedule'!$F$11))*12+MONTH($A117)-MONTH('Recurring Schedule'!$F$11),'Recurring Schedule'!$O$11)=0),IF('Recurring Schedule'!$E$11="Weekdays",WEEKDAY($A117,2)&lt;=5,$A117='Recurring Schedule'!$F$11))),6,""))))</f>
        <v/>
      </c>
      <c r="H117">
        <f>IF('Recurring Schedule'!$C$12="","",IF('Recurring Schedule'!$F$12="","",IF(OR($A117&lt;'Recurring Schedule'!$F$12,$A117&gt;'Recurring Schedule'!$P$12),"",IF(IF('Recurring Schedule'!$N$12&gt;0,MOD($A117-'Recurring Schedule'!$F$12,'Recurring Schedule'!$N$12)=0,IF('Recurring Schedule'!$O$12&gt;0,AND(DAY($A117)=MIN(DAY('Recurring Schedule'!$F$12),DAY(EOMONTH($A117,0))),MOD((YEAR($A117)-YEAR('Recurring Schedule'!$F$12))*12+MONTH($A117)-MONTH('Recurring Schedule'!$F$12),'Recurring Schedule'!$O$12)=0),IF('Recurring Schedule'!$E$12="Weekdays",WEEKDAY($A117,2)&lt;=5,$A117='Recurring Schedule'!$F$12))),7,""))))</f>
        <v/>
      </c>
      <c r="I117">
        <f>IF('Recurring Schedule'!$C$13="","",IF('Recurring Schedule'!$F$13="","",IF(OR($A117&lt;'Recurring Schedule'!$F$13,$A117&gt;'Recurring Schedule'!$P$13),"",IF(IF('Recurring Schedule'!$N$13&gt;0,MOD($A117-'Recurring Schedule'!$F$13,'Recurring Schedule'!$N$13)=0,IF('Recurring Schedule'!$O$13&gt;0,AND(DAY($A117)=MIN(DAY('Recurring Schedule'!$F$13),DAY(EOMONTH($A117,0))),MOD((YEAR($A117)-YEAR('Recurring Schedule'!$F$13))*12+MONTH($A117)-MONTH('Recurring Schedule'!$F$13),'Recurring Schedule'!$O$13)=0),IF('Recurring Schedule'!$E$13="Weekdays",WEEKDAY($A117,2)&lt;=5,$A117='Recurring Schedule'!$F$13))),8,""))))</f>
        <v/>
      </c>
      <c r="J117">
        <f>IF('Recurring Schedule'!$C$14="","",IF('Recurring Schedule'!$F$14="","",IF(OR($A117&lt;'Recurring Schedule'!$F$14,$A117&gt;'Recurring Schedule'!$P$14),"",IF(IF('Recurring Schedule'!$N$14&gt;0,MOD($A117-'Recurring Schedule'!$F$14,'Recurring Schedule'!$N$14)=0,IF('Recurring Schedule'!$O$14&gt;0,AND(DAY($A117)=MIN(DAY('Recurring Schedule'!$F$14),DAY(EOMONTH($A117,0))),MOD((YEAR($A117)-YEAR('Recurring Schedule'!$F$14))*12+MONTH($A117)-MONTH('Recurring Schedule'!$F$14),'Recurring Schedule'!$O$14)=0),IF('Recurring Schedule'!$E$14="Weekdays",WEEKDAY($A117,2)&lt;=5,$A117='Recurring Schedule'!$F$14))),9,""))))</f>
        <v/>
      </c>
      <c r="K117">
        <f>IF('Recurring Schedule'!$C$15="","",IF('Recurring Schedule'!$F$15="","",IF(OR($A117&lt;'Recurring Schedule'!$F$15,$A117&gt;'Recurring Schedule'!$P$15),"",IF(IF('Recurring Schedule'!$N$15&gt;0,MOD($A117-'Recurring Schedule'!$F$15,'Recurring Schedule'!$N$15)=0,IF('Recurring Schedule'!$O$15&gt;0,AND(DAY($A117)=MIN(DAY('Recurring Schedule'!$F$15),DAY(EOMONTH($A117,0))),MOD((YEAR($A117)-YEAR('Recurring Schedule'!$F$15))*12+MONTH($A117)-MONTH('Recurring Schedule'!$F$15),'Recurring Schedule'!$O$15)=0),IF('Recurring Schedule'!$E$15="Weekdays",WEEKDAY($A117,2)&lt;=5,$A117='Recurring Schedule'!$F$15))),10,""))))</f>
        <v/>
      </c>
      <c r="L117">
        <f>IF('Recurring Schedule'!$C$16="","",IF('Recurring Schedule'!$F$16="","",IF(OR($A117&lt;'Recurring Schedule'!$F$16,$A117&gt;'Recurring Schedule'!$P$16),"",IF(IF('Recurring Schedule'!$N$16&gt;0,MOD($A117-'Recurring Schedule'!$F$16,'Recurring Schedule'!$N$16)=0,IF('Recurring Schedule'!$O$16&gt;0,AND(DAY($A117)=MIN(DAY('Recurring Schedule'!$F$16),DAY(EOMONTH($A117,0))),MOD((YEAR($A117)-YEAR('Recurring Schedule'!$F$16))*12+MONTH($A117)-MONTH('Recurring Schedule'!$F$16),'Recurring Schedule'!$O$16)=0),IF('Recurring Schedule'!$E$16="Weekdays",WEEKDAY($A117,2)&lt;=5,$A117='Recurring Schedule'!$F$16))),11,""))))</f>
        <v/>
      </c>
      <c r="M117">
        <f>IF('Recurring Schedule'!$C$17="","",IF('Recurring Schedule'!$F$17="","",IF(OR($A117&lt;'Recurring Schedule'!$F$17,$A117&gt;'Recurring Schedule'!$P$17),"",IF(IF('Recurring Schedule'!$N$17&gt;0,MOD($A117-'Recurring Schedule'!$F$17,'Recurring Schedule'!$N$17)=0,IF('Recurring Schedule'!$O$17&gt;0,AND(DAY($A117)=MIN(DAY('Recurring Schedule'!$F$17),DAY(EOMONTH($A117,0))),MOD((YEAR($A117)-YEAR('Recurring Schedule'!$F$17))*12+MONTH($A117)-MONTH('Recurring Schedule'!$F$17),'Recurring Schedule'!$O$17)=0),IF('Recurring Schedule'!$E$17="Weekdays",WEEKDAY($A117,2)&lt;=5,$A117='Recurring Schedule'!$F$17))),12,""))))</f>
        <v/>
      </c>
      <c r="N117">
        <f>IF('Recurring Schedule'!$C$18="","",IF('Recurring Schedule'!$F$18="","",IF(OR($A117&lt;'Recurring Schedule'!$F$18,$A117&gt;'Recurring Schedule'!$P$18),"",IF(IF('Recurring Schedule'!$N$18&gt;0,MOD($A117-'Recurring Schedule'!$F$18,'Recurring Schedule'!$N$18)=0,IF('Recurring Schedule'!$O$18&gt;0,AND(DAY($A117)=MIN(DAY('Recurring Schedule'!$F$18),DAY(EOMONTH($A117,0))),MOD((YEAR($A117)-YEAR('Recurring Schedule'!$F$18))*12+MONTH($A117)-MONTH('Recurring Schedule'!$F$18),'Recurring Schedule'!$O$18)=0),IF('Recurring Schedule'!$E$18="Weekdays",WEEKDAY($A117,2)&lt;=5,$A117='Recurring Schedule'!$F$18))),13,""))))</f>
        <v/>
      </c>
      <c r="O117">
        <f>IF('Recurring Schedule'!$C$19="","",IF('Recurring Schedule'!$F$19="","",IF(OR($A117&lt;'Recurring Schedule'!$F$19,$A117&gt;'Recurring Schedule'!$P$19),"",IF(IF('Recurring Schedule'!$N$19&gt;0,MOD($A117-'Recurring Schedule'!$F$19,'Recurring Schedule'!$N$19)=0,IF('Recurring Schedule'!$O$19&gt;0,AND(DAY($A117)=MIN(DAY('Recurring Schedule'!$F$19),DAY(EOMONTH($A117,0))),MOD((YEAR($A117)-YEAR('Recurring Schedule'!$F$19))*12+MONTH($A117)-MONTH('Recurring Schedule'!$F$19),'Recurring Schedule'!$O$19)=0),IF('Recurring Schedule'!$E$19="Weekdays",WEEKDAY($A117,2)&lt;=5,$A117='Recurring Schedule'!$F$19))),14,""))))</f>
        <v/>
      </c>
      <c r="P117">
        <f>IF('Recurring Schedule'!$C$20="","",IF('Recurring Schedule'!$F$20="","",IF(OR($A117&lt;'Recurring Schedule'!$F$20,$A117&gt;'Recurring Schedule'!$P$20),"",IF(IF('Recurring Schedule'!$N$20&gt;0,MOD($A117-'Recurring Schedule'!$F$20,'Recurring Schedule'!$N$20)=0,IF('Recurring Schedule'!$O$20&gt;0,AND(DAY($A117)=MIN(DAY('Recurring Schedule'!$F$20),DAY(EOMONTH($A117,0))),MOD((YEAR($A117)-YEAR('Recurring Schedule'!$F$20))*12+MONTH($A117)-MONTH('Recurring Schedule'!$F$20),'Recurring Schedule'!$O$20)=0),IF('Recurring Schedule'!$E$20="Weekdays",WEEKDAY($A117,2)&lt;=5,$A117='Recurring Schedule'!$F$20))),15,""))))</f>
        <v/>
      </c>
      <c r="Q117">
        <f>IF('Recurring Schedule'!$C$21="","",IF('Recurring Schedule'!$F$21="","",IF(OR($A117&lt;'Recurring Schedule'!$F$21,$A117&gt;'Recurring Schedule'!$P$21),"",IF(IF('Recurring Schedule'!$N$21&gt;0,MOD($A117-'Recurring Schedule'!$F$21,'Recurring Schedule'!$N$21)=0,IF('Recurring Schedule'!$O$21&gt;0,AND(DAY($A117)=MIN(DAY('Recurring Schedule'!$F$21),DAY(EOMONTH($A117,0))),MOD((YEAR($A117)-YEAR('Recurring Schedule'!$F$21))*12+MONTH($A117)-MONTH('Recurring Schedule'!$F$21),'Recurring Schedule'!$O$21)=0),IF('Recurring Schedule'!$E$21="Weekdays",WEEKDAY($A117,2)&lt;=5,$A117='Recurring Schedule'!$F$21))),16,""))))</f>
        <v/>
      </c>
      <c r="R117">
        <f>IF('Recurring Schedule'!$C$22="","",IF('Recurring Schedule'!$F$22="","",IF(OR($A117&lt;'Recurring Schedule'!$F$22,$A117&gt;'Recurring Schedule'!$P$22),"",IF(IF('Recurring Schedule'!$N$22&gt;0,MOD($A117-'Recurring Schedule'!$F$22,'Recurring Schedule'!$N$22)=0,IF('Recurring Schedule'!$O$22&gt;0,AND(DAY($A117)=MIN(DAY('Recurring Schedule'!$F$22),DAY(EOMONTH($A117,0))),MOD((YEAR($A117)-YEAR('Recurring Schedule'!$F$22))*12+MONTH($A117)-MONTH('Recurring Schedule'!$F$22),'Recurring Schedule'!$O$22)=0),IF('Recurring Schedule'!$E$22="Weekdays",WEEKDAY($A117,2)&lt;=5,$A117='Recurring Schedule'!$F$22))),17,""))))</f>
        <v/>
      </c>
      <c r="S117">
        <f>IF('Recurring Schedule'!$C$23="","",IF('Recurring Schedule'!$F$23="","",IF(OR($A117&lt;'Recurring Schedule'!$F$23,$A117&gt;'Recurring Schedule'!$P$23),"",IF(IF('Recurring Schedule'!$N$23&gt;0,MOD($A117-'Recurring Schedule'!$F$23,'Recurring Schedule'!$N$23)=0,IF('Recurring Schedule'!$O$23&gt;0,AND(DAY($A117)=MIN(DAY('Recurring Schedule'!$F$23),DAY(EOMONTH($A117,0))),MOD((YEAR($A117)-YEAR('Recurring Schedule'!$F$23))*12+MONTH($A117)-MONTH('Recurring Schedule'!$F$23),'Recurring Schedule'!$O$23)=0),IF('Recurring Schedule'!$E$23="Weekdays",WEEKDAY($A117,2)&lt;=5,$A117='Recurring Schedule'!$F$23))),18,""))))</f>
        <v/>
      </c>
      <c r="T117">
        <f>IF('Recurring Schedule'!$C$24="","",IF('Recurring Schedule'!$F$24="","",IF(OR($A117&lt;'Recurring Schedule'!$F$24,$A117&gt;'Recurring Schedule'!$P$24),"",IF(IF('Recurring Schedule'!$N$24&gt;0,MOD($A117-'Recurring Schedule'!$F$24,'Recurring Schedule'!$N$24)=0,IF('Recurring Schedule'!$O$24&gt;0,AND(DAY($A117)=MIN(DAY('Recurring Schedule'!$F$24),DAY(EOMONTH($A117,0))),MOD((YEAR($A117)-YEAR('Recurring Schedule'!$F$24))*12+MONTH($A117)-MONTH('Recurring Schedule'!$F$24),'Recurring Schedule'!$O$24)=0),IF('Recurring Schedule'!$E$24="Weekdays",WEEKDAY($A117,2)&lt;=5,$A117='Recurring Schedule'!$F$24))),19,""))))</f>
        <v/>
      </c>
      <c r="U117">
        <f>IF('Recurring Schedule'!$C$25="","",IF('Recurring Schedule'!$F$25="","",IF(OR($A117&lt;'Recurring Schedule'!$F$25,$A117&gt;'Recurring Schedule'!$P$25),"",IF(IF('Recurring Schedule'!$N$25&gt;0,MOD($A117-'Recurring Schedule'!$F$25,'Recurring Schedule'!$N$25)=0,IF('Recurring Schedule'!$O$25&gt;0,AND(DAY($A117)=MIN(DAY('Recurring Schedule'!$F$25),DAY(EOMONTH($A117,0))),MOD((YEAR($A117)-YEAR('Recurring Schedule'!$F$25))*12+MONTH($A117)-MONTH('Recurring Schedule'!$F$25),'Recurring Schedule'!$O$25)=0),IF('Recurring Schedule'!$E$25="Weekdays",WEEKDAY($A117,2)&lt;=5,$A117='Recurring Schedule'!$F$25))),20,""))))</f>
        <v/>
      </c>
      <c r="V117">
        <f>IF('Recurring Schedule'!$C$26="","",IF('Recurring Schedule'!$F$26="","",IF(OR($A117&lt;'Recurring Schedule'!$F$26,$A117&gt;'Recurring Schedule'!$P$26),"",IF(IF('Recurring Schedule'!$N$26&gt;0,MOD($A117-'Recurring Schedule'!$F$26,'Recurring Schedule'!$N$26)=0,IF('Recurring Schedule'!$O$26&gt;0,AND(DAY($A117)=MIN(DAY('Recurring Schedule'!$F$26),DAY(EOMONTH($A117,0))),MOD((YEAR($A117)-YEAR('Recurring Schedule'!$F$26))*12+MONTH($A117)-MONTH('Recurring Schedule'!$F$26),'Recurring Schedule'!$O$26)=0),IF('Recurring Schedule'!$E$26="Weekdays",WEEKDAY($A117,2)&lt;=5,$A117='Recurring Schedule'!$F$26))),21,""))))</f>
        <v/>
      </c>
      <c r="W117">
        <f>IF('Recurring Schedule'!$C$27="","",IF('Recurring Schedule'!$F$27="","",IF(OR($A117&lt;'Recurring Schedule'!$F$27,$A117&gt;'Recurring Schedule'!$P$27),"",IF(IF('Recurring Schedule'!$N$27&gt;0,MOD($A117-'Recurring Schedule'!$F$27,'Recurring Schedule'!$N$27)=0,IF('Recurring Schedule'!$O$27&gt;0,AND(DAY($A117)=MIN(DAY('Recurring Schedule'!$F$27),DAY(EOMONTH($A117,0))),MOD((YEAR($A117)-YEAR('Recurring Schedule'!$F$27))*12+MONTH($A117)-MONTH('Recurring Schedule'!$F$27),'Recurring Schedule'!$O$27)=0),IF('Recurring Schedule'!$E$27="Weekdays",WEEKDAY($A117,2)&lt;=5,$A117='Recurring Schedule'!$F$27))),22,""))))</f>
        <v/>
      </c>
      <c r="X117">
        <f>IF('Recurring Schedule'!$C$28="","",IF('Recurring Schedule'!$F$28="","",IF(OR($A117&lt;'Recurring Schedule'!$F$28,$A117&gt;'Recurring Schedule'!$P$28),"",IF(IF('Recurring Schedule'!$N$28&gt;0,MOD($A117-'Recurring Schedule'!$F$28,'Recurring Schedule'!$N$28)=0,IF('Recurring Schedule'!$O$28&gt;0,AND(DAY($A117)=MIN(DAY('Recurring Schedule'!$F$28),DAY(EOMONTH($A117,0))),MOD((YEAR($A117)-YEAR('Recurring Schedule'!$F$28))*12+MONTH($A117)-MONTH('Recurring Schedule'!$F$28),'Recurring Schedule'!$O$28)=0),IF('Recurring Schedule'!$E$28="Weekdays",WEEKDAY($A117,2)&lt;=5,$A117='Recurring Schedule'!$F$28))),23,""))))</f>
        <v/>
      </c>
      <c r="Y117">
        <f>IF('Recurring Schedule'!$C$29="","",IF('Recurring Schedule'!$F$29="","",IF(OR($A117&lt;'Recurring Schedule'!$F$29,$A117&gt;'Recurring Schedule'!$P$29),"",IF(IF('Recurring Schedule'!$N$29&gt;0,MOD($A117-'Recurring Schedule'!$F$29,'Recurring Schedule'!$N$29)=0,IF('Recurring Schedule'!$O$29&gt;0,AND(DAY($A117)=MIN(DAY('Recurring Schedule'!$F$29),DAY(EOMONTH($A117,0))),MOD((YEAR($A117)-YEAR('Recurring Schedule'!$F$29))*12+MONTH($A117)-MONTH('Recurring Schedule'!$F$29),'Recurring Schedule'!$O$29)=0),IF('Recurring Schedule'!$E$29="Weekdays",WEEKDAY($A117,2)&lt;=5,$A117='Recurring Schedule'!$F$29))),24,""))))</f>
        <v/>
      </c>
      <c r="Z117">
        <f>IF('Recurring Schedule'!$C$30="","",IF('Recurring Schedule'!$F$30="","",IF(OR($A117&lt;'Recurring Schedule'!$F$30,$A117&gt;'Recurring Schedule'!$P$30),"",IF(IF('Recurring Schedule'!$N$30&gt;0,MOD($A117-'Recurring Schedule'!$F$30,'Recurring Schedule'!$N$30)=0,IF('Recurring Schedule'!$O$30&gt;0,AND(DAY($A117)=MIN(DAY('Recurring Schedule'!$F$30),DAY(EOMONTH($A117,0))),MOD((YEAR($A117)-YEAR('Recurring Schedule'!$F$30))*12+MONTH($A117)-MONTH('Recurring Schedule'!$F$30),'Recurring Schedule'!$O$30)=0),IF('Recurring Schedule'!$E$30="Weekdays",WEEKDAY($A117,2)&lt;=5,$A117='Recurring Schedule'!$F$30))),25,""))))</f>
        <v/>
      </c>
      <c r="AA117">
        <f>IF('Recurring Schedule'!$C$31="","",IF('Recurring Schedule'!$F$31="","",IF(OR($A117&lt;'Recurring Schedule'!$F$31,$A117&gt;'Recurring Schedule'!$P$31),"",IF(IF('Recurring Schedule'!$N$31&gt;0,MOD($A117-'Recurring Schedule'!$F$31,'Recurring Schedule'!$N$31)=0,IF('Recurring Schedule'!$O$31&gt;0,AND(DAY($A117)=MIN(DAY('Recurring Schedule'!$F$31),DAY(EOMONTH($A117,0))),MOD((YEAR($A117)-YEAR('Recurring Schedule'!$F$31))*12+MONTH($A117)-MONTH('Recurring Schedule'!$F$31),'Recurring Schedule'!$O$31)=0),IF('Recurring Schedule'!$E$31="Weekdays",WEEKDAY($A117,2)&lt;=5,$A117='Recurring Schedule'!$F$31))),26,""))))</f>
        <v/>
      </c>
      <c r="AB117">
        <f>IF('Recurring Schedule'!$C$32="","",IF('Recurring Schedule'!$F$32="","",IF(OR($A117&lt;'Recurring Schedule'!$F$32,$A117&gt;'Recurring Schedule'!$P$32),"",IF(IF('Recurring Schedule'!$N$32&gt;0,MOD($A117-'Recurring Schedule'!$F$32,'Recurring Schedule'!$N$32)=0,IF('Recurring Schedule'!$O$32&gt;0,AND(DAY($A117)=MIN(DAY('Recurring Schedule'!$F$32),DAY(EOMONTH($A117,0))),MOD((YEAR($A117)-YEAR('Recurring Schedule'!$F$32))*12+MONTH($A117)-MONTH('Recurring Schedule'!$F$32),'Recurring Schedule'!$O$32)=0),IF('Recurring Schedule'!$E$32="Weekdays",WEEKDAY($A117,2)&lt;=5,$A117='Recurring Schedule'!$F$32))),27,""))))</f>
        <v/>
      </c>
      <c r="AC117">
        <f>IF('Recurring Schedule'!$C$33="","",IF('Recurring Schedule'!$F$33="","",IF(OR($A117&lt;'Recurring Schedule'!$F$33,$A117&gt;'Recurring Schedule'!$P$33),"",IF(IF('Recurring Schedule'!$N$33&gt;0,MOD($A117-'Recurring Schedule'!$F$33,'Recurring Schedule'!$N$33)=0,IF('Recurring Schedule'!$O$33&gt;0,AND(DAY($A117)=MIN(DAY('Recurring Schedule'!$F$33),DAY(EOMONTH($A117,0))),MOD((YEAR($A117)-YEAR('Recurring Schedule'!$F$33))*12+MONTH($A117)-MONTH('Recurring Schedule'!$F$33),'Recurring Schedule'!$O$33)=0),IF('Recurring Schedule'!$E$33="Weekdays",WEEKDAY($A117,2)&lt;=5,$A117='Recurring Schedule'!$F$33))),28,""))))</f>
        <v/>
      </c>
      <c r="AD117">
        <f>IF('Recurring Schedule'!$C$34="","",IF('Recurring Schedule'!$F$34="","",IF(OR($A117&lt;'Recurring Schedule'!$F$34,$A117&gt;'Recurring Schedule'!$P$34),"",IF(IF('Recurring Schedule'!$N$34&gt;0,MOD($A117-'Recurring Schedule'!$F$34,'Recurring Schedule'!$N$34)=0,IF('Recurring Schedule'!$O$34&gt;0,AND(DAY($A117)=MIN(DAY('Recurring Schedule'!$F$34),DAY(EOMONTH($A117,0))),MOD((YEAR($A117)-YEAR('Recurring Schedule'!$F$34))*12+MONTH($A117)-MONTH('Recurring Schedule'!$F$34),'Recurring Schedule'!$O$34)=0),IF('Recurring Schedule'!$E$34="Weekdays",WEEKDAY($A117,2)&lt;=5,$A117='Recurring Schedule'!$F$34))),29,""))))</f>
        <v/>
      </c>
      <c r="AE117">
        <f>IF('Recurring Schedule'!$C$35="","",IF('Recurring Schedule'!$F$35="","",IF(OR($A117&lt;'Recurring Schedule'!$F$35,$A117&gt;'Recurring Schedule'!$P$35),"",IF(IF('Recurring Schedule'!$N$35&gt;0,MOD($A117-'Recurring Schedule'!$F$35,'Recurring Schedule'!$N$35)=0,IF('Recurring Schedule'!$O$35&gt;0,AND(DAY($A117)=MIN(DAY('Recurring Schedule'!$F$35),DAY(EOMONTH($A117,0))),MOD((YEAR($A117)-YEAR('Recurring Schedule'!$F$35))*12+MONTH($A117)-MONTH('Recurring Schedule'!$F$35),'Recurring Schedule'!$O$35)=0),IF('Recurring Schedule'!$E$35="Weekdays",WEEKDAY($A117,2)&lt;=5,$A117='Recurring Schedule'!$F$35))),30,""))))</f>
        <v/>
      </c>
      <c r="AF117">
        <f>IF('Recurring Schedule'!$C$36="","",IF('Recurring Schedule'!$F$36="","",IF(OR($A117&lt;'Recurring Schedule'!$F$36,$A117&gt;'Recurring Schedule'!$P$36),"",IF(IF('Recurring Schedule'!$N$36&gt;0,MOD($A117-'Recurring Schedule'!$F$36,'Recurring Schedule'!$N$36)=0,IF('Recurring Schedule'!$O$36&gt;0,AND(DAY($A117)=MIN(DAY('Recurring Schedule'!$F$36),DAY(EOMONTH($A117,0))),MOD((YEAR($A117)-YEAR('Recurring Schedule'!$F$36))*12+MONTH($A117)-MONTH('Recurring Schedule'!$F$36),'Recurring Schedule'!$O$36)=0),IF('Recurring Schedule'!$E$36="Weekdays",WEEKDAY($A117,2)&lt;=5,$A117='Recurring Schedule'!$F$36))),31,""))))</f>
        <v/>
      </c>
      <c r="AG117">
        <f>IF('Recurring Schedule'!$C$37="","",IF('Recurring Schedule'!$F$37="","",IF(OR($A117&lt;'Recurring Schedule'!$F$37,$A117&gt;'Recurring Schedule'!$P$37),"",IF(IF('Recurring Schedule'!$N$37&gt;0,MOD($A117-'Recurring Schedule'!$F$37,'Recurring Schedule'!$N$37)=0,IF('Recurring Schedule'!$O$37&gt;0,AND(DAY($A117)=MIN(DAY('Recurring Schedule'!$F$37),DAY(EOMONTH($A117,0))),MOD((YEAR($A117)-YEAR('Recurring Schedule'!$F$37))*12+MONTH($A117)-MONTH('Recurring Schedule'!$F$37),'Recurring Schedule'!$O$37)=0),IF('Recurring Schedule'!$E$37="Weekdays",WEEKDAY($A117,2)&lt;=5,$A117='Recurring Schedule'!$F$37))),32,""))))</f>
        <v/>
      </c>
      <c r="AH117">
        <f>IF('Recurring Schedule'!$C$38="","",IF('Recurring Schedule'!$F$38="","",IF(OR($A117&lt;'Recurring Schedule'!$F$38,$A117&gt;'Recurring Schedule'!$P$38),"",IF(IF('Recurring Schedule'!$N$38&gt;0,MOD($A117-'Recurring Schedule'!$F$38,'Recurring Schedule'!$N$38)=0,IF('Recurring Schedule'!$O$38&gt;0,AND(DAY($A117)=MIN(DAY('Recurring Schedule'!$F$38),DAY(EOMONTH($A117,0))),MOD((YEAR($A117)-YEAR('Recurring Schedule'!$F$38))*12+MONTH($A117)-MONTH('Recurring Schedule'!$F$38),'Recurring Schedule'!$O$38)=0),IF('Recurring Schedule'!$E$38="Weekdays",WEEKDAY($A117,2)&lt;=5,$A117='Recurring Schedule'!$F$38))),33,""))))</f>
        <v/>
      </c>
      <c r="AI117">
        <f>IF('Recurring Schedule'!$C$39="","",IF('Recurring Schedule'!$F$39="","",IF(OR($A117&lt;'Recurring Schedule'!$F$39,$A117&gt;'Recurring Schedule'!$P$39),"",IF(IF('Recurring Schedule'!$N$39&gt;0,MOD($A117-'Recurring Schedule'!$F$39,'Recurring Schedule'!$N$39)=0,IF('Recurring Schedule'!$O$39&gt;0,AND(DAY($A117)=MIN(DAY('Recurring Schedule'!$F$39),DAY(EOMONTH($A117,0))),MOD((YEAR($A117)-YEAR('Recurring Schedule'!$F$39))*12+MONTH($A117)-MONTH('Recurring Schedule'!$F$39),'Recurring Schedule'!$O$39)=0),IF('Recurring Schedule'!$E$39="Weekdays",WEEKDAY($A117,2)&lt;=5,$A117='Recurring Schedule'!$F$39))),34,""))))</f>
        <v/>
      </c>
      <c r="AJ117">
        <f>IF('Recurring Schedule'!$C$40="","",IF('Recurring Schedule'!$F$40="","",IF(OR($A117&lt;'Recurring Schedule'!$F$40,$A117&gt;'Recurring Schedule'!$P$40),"",IF(IF('Recurring Schedule'!$N$40&gt;0,MOD($A117-'Recurring Schedule'!$F$40,'Recurring Schedule'!$N$40)=0,IF('Recurring Schedule'!$O$40&gt;0,AND(DAY($A117)=MIN(DAY('Recurring Schedule'!$F$40),DAY(EOMONTH($A117,0))),MOD((YEAR($A117)-YEAR('Recurring Schedule'!$F$40))*12+MONTH($A117)-MONTH('Recurring Schedule'!$F$40),'Recurring Schedule'!$O$40)=0),IF('Recurring Schedule'!$E$40="Weekdays",WEEKDAY($A117,2)&lt;=5,$A117='Recurring Schedule'!$F$40))),35,""))))</f>
        <v/>
      </c>
      <c r="AK117">
        <f>IF('Recurring Schedule'!$C$41="","",IF('Recurring Schedule'!$F$41="","",IF(OR($A117&lt;'Recurring Schedule'!$F$41,$A117&gt;'Recurring Schedule'!$P$41),"",IF(IF('Recurring Schedule'!$N$41&gt;0,MOD($A117-'Recurring Schedule'!$F$41,'Recurring Schedule'!$N$41)=0,IF('Recurring Schedule'!$O$41&gt;0,AND(DAY($A117)=MIN(DAY('Recurring Schedule'!$F$41),DAY(EOMONTH($A117,0))),MOD((YEAR($A117)-YEAR('Recurring Schedule'!$F$41))*12+MONTH($A117)-MONTH('Recurring Schedule'!$F$41),'Recurring Schedule'!$O$41)=0),IF('Recurring Schedule'!$E$41="Weekdays",WEEKDAY($A117,2)&lt;=5,$A117='Recurring Schedule'!$F$41))),36,""))))</f>
        <v/>
      </c>
      <c r="AL117">
        <f>IF('Recurring Schedule'!$C$42="","",IF('Recurring Schedule'!$F$42="","",IF(OR($A117&lt;'Recurring Schedule'!$F$42,$A117&gt;'Recurring Schedule'!$P$42),"",IF(IF('Recurring Schedule'!$N$42&gt;0,MOD($A117-'Recurring Schedule'!$F$42,'Recurring Schedule'!$N$42)=0,IF('Recurring Schedule'!$O$42&gt;0,AND(DAY($A117)=MIN(DAY('Recurring Schedule'!$F$42),DAY(EOMONTH($A117,0))),MOD((YEAR($A117)-YEAR('Recurring Schedule'!$F$42))*12+MONTH($A117)-MONTH('Recurring Schedule'!$F$42),'Recurring Schedule'!$O$42)=0),IF('Recurring Schedule'!$E$42="Weekdays",WEEKDAY($A117,2)&lt;=5,$A117='Recurring Schedule'!$F$42))),37,""))))</f>
        <v/>
      </c>
      <c r="AM117">
        <f>IF('Recurring Schedule'!$C$43="","",IF('Recurring Schedule'!$F$43="","",IF(OR($A117&lt;'Recurring Schedule'!$F$43,$A117&gt;'Recurring Schedule'!$P$43),"",IF(IF('Recurring Schedule'!$N$43&gt;0,MOD($A117-'Recurring Schedule'!$F$43,'Recurring Schedule'!$N$43)=0,IF('Recurring Schedule'!$O$43&gt;0,AND(DAY($A117)=MIN(DAY('Recurring Schedule'!$F$43),DAY(EOMONTH($A117,0))),MOD((YEAR($A117)-YEAR('Recurring Schedule'!$F$43))*12+MONTH($A117)-MONTH('Recurring Schedule'!$F$43),'Recurring Schedule'!$O$43)=0),IF('Recurring Schedule'!$E$43="Weekdays",WEEKDAY($A117,2)&lt;=5,$A117='Recurring Schedule'!$F$43))),38,""))))</f>
        <v/>
      </c>
      <c r="AN117">
        <f>IF('Recurring Schedule'!$C$44="","",IF('Recurring Schedule'!$F$44="","",IF(OR($A117&lt;'Recurring Schedule'!$F$44,$A117&gt;'Recurring Schedule'!$P$44),"",IF(IF('Recurring Schedule'!$N$44&gt;0,MOD($A117-'Recurring Schedule'!$F$44,'Recurring Schedule'!$N$44)=0,IF('Recurring Schedule'!$O$44&gt;0,AND(DAY($A117)=MIN(DAY('Recurring Schedule'!$F$44),DAY(EOMONTH($A117,0))),MOD((YEAR($A117)-YEAR('Recurring Schedule'!$F$44))*12+MONTH($A117)-MONTH('Recurring Schedule'!$F$44),'Recurring Schedule'!$O$44)=0),IF('Recurring Schedule'!$E$44="Weekdays",WEEKDAY($A117,2)&lt;=5,$A117='Recurring Schedule'!$F$44))),39,""))))</f>
        <v/>
      </c>
      <c r="AO117">
        <f>IF('Recurring Schedule'!$C$45="","",IF('Recurring Schedule'!$F$45="","",IF(OR($A117&lt;'Recurring Schedule'!$F$45,$A117&gt;'Recurring Schedule'!$P$45),"",IF(IF('Recurring Schedule'!$N$45&gt;0,MOD($A117-'Recurring Schedule'!$F$45,'Recurring Schedule'!$N$45)=0,IF('Recurring Schedule'!$O$45&gt;0,AND(DAY($A117)=MIN(DAY('Recurring Schedule'!$F$45),DAY(EOMONTH($A117,0))),MOD((YEAR($A117)-YEAR('Recurring Schedule'!$F$45))*12+MONTH($A117)-MONTH('Recurring Schedule'!$F$45),'Recurring Schedule'!$O$45)=0),IF('Recurring Schedule'!$E$45="Weekdays",WEEKDAY($A117,2)&lt;=5,$A117='Recurring Schedule'!$F$45))),40,""))))</f>
        <v/>
      </c>
      <c r="AP117">
        <f>COUNT(B117:AO117)</f>
        <v/>
      </c>
      <c r="AQ117">
        <f>AQ116+AP116</f>
        <v/>
      </c>
      <c r="AS117" t="inlineStr">
        <is>
          <t>R</t>
        </is>
      </c>
      <c r="AT117" t="n">
        <v>121</v>
      </c>
      <c r="AU117">
        <f>'Recurring Log'!C121&amp;""</f>
        <v/>
      </c>
      <c r="AV117">
        <f>'Recurring Log'!D121&amp;""</f>
        <v/>
      </c>
      <c r="AW117">
        <f>IF('Recurring Log'!E121="","",'Recurring Log'!E121)</f>
        <v/>
      </c>
      <c r="AX117">
        <f>IF('Recurring Log'!G121="","",'Recurring Log'!G121)</f>
        <v/>
      </c>
      <c r="AY117">
        <f>IF('Recurring Log'!H121="","",'Recurring Log'!H121)</f>
        <v/>
      </c>
      <c r="AZ117">
        <f>IF(AU117="","",IF('Recurring Log'!J121="","Not Started",'Recurring Log'!J121))</f>
        <v/>
      </c>
      <c r="BA117">
        <f>'Recurring Log'!L121&amp;""</f>
        <v/>
      </c>
      <c r="BB117">
        <f>'Recurring Log'!M121&amp;""</f>
        <v/>
      </c>
      <c r="BC117">
        <f>'Recurring Log'!N121&amp;""</f>
        <v/>
      </c>
      <c r="BD117">
        <f>'Recurring Log'!O121&amp;""</f>
        <v/>
      </c>
      <c r="BE117">
        <f>IF('Recurring Log'!K121="","",'Recurring Log'!K121)</f>
        <v/>
      </c>
      <c r="BF117">
        <f>IFERROR(MATCH(BA117,Setup!$L$6:$L$9,0),5)</f>
        <v/>
      </c>
      <c r="BG117">
        <f>IF(OR(AZ117="Done",AZ117="Cancelled"),1,0)</f>
        <v/>
      </c>
      <c r="BH117">
        <f>IF(AND(AU117&lt;&gt;"",ISNUMBER(AW117)),1,0)</f>
        <v/>
      </c>
      <c r="BI117">
        <f>IF(BH117=0,0,IF(AND(AW117&gt;='Tasks Filter'!$F$3,AW117&lt;='Tasks Filter'!$F$4,OR('Tasks Filter'!$I$3="",ISNUMBER(SEARCH('Tasks Filter'!$I$3,AU117))),OR('Tasks Filter'!$I$4="",BF117=IFERROR(MATCH('Tasks Filter'!$I$4,Setup!$L$6:$L$9,0),0)),OR('Tasks Filter'!$I$5="Both",AND('Tasks Filter'!$I$5="Yes",BB117="✓"),AND('Tasks Filter'!$I$5="No",BB117&lt;&gt;"✓")),OR('Tasks Filter'!$L$3="",AV117='Tasks Filter'!$L$3),OR('Tasks Filter'!$L$4="",AZ117='Tasks Filter'!$L$4),OR('Tasks Filter'!$L$5="",BC117='Tasks Filter'!$L$5),OR('Tasks Filter'!$O$3="",BD117='Tasks Filter'!$O$3),OR('Tasks Filter'!$O$4="Yes",BG117=0)),1,0))</f>
        <v/>
      </c>
      <c r="BJ117">
        <f>IF(BH117=0,"",IF('Tasks Filter'!$F$6="Descending",-1,1)*CHOOSE(MATCH('Tasks Filter'!$F$5,Lists!$G$2:$G$6,0),AW117,BF117,IFERROR(MATCH(AV117,Setup!$F$6:$F$15,0),99),IFERROR(MATCH(BC117,Setup!$H$6:$H$15,0),99),IFERROR(MATCH(AZ117,Setup!$J$6:$J$11,0),99))*1E+9+(AW117-40000)*10000+116)</f>
        <v/>
      </c>
      <c r="BK117">
        <f>IF(BI117=1,BJ117,"")</f>
        <v/>
      </c>
      <c r="BL117">
        <f>IF(AND(BH117=1,BG117=0,N(AW117)&lt;Setup!$D$7),(AW117-40000)*10000+116,"")</f>
        <v/>
      </c>
      <c r="BM117">
        <f>IF(AND(BH117=1,AZ117&lt;&gt;"Cancelled",N(AW117)&gt;=Dashboard!$AB$3,N(AW117)&lt;=Dashboard!$AB$3+6),(AW117-40000)*100000+BF117*10000+116,"")</f>
        <v/>
      </c>
      <c r="BN117">
        <f>IF(AND(BH117=1,AZ117&lt;&gt;"Cancelled"),BF117*10000+116,"")</f>
        <v/>
      </c>
    </row>
    <row r="118">
      <c r="A118">
        <f>Setup!$D$5+116</f>
        <v/>
      </c>
      <c r="B118">
        <f>IF('Recurring Schedule'!$C$6="","",IF('Recurring Schedule'!$F$6="","",IF(OR($A118&lt;'Recurring Schedule'!$F$6,$A118&gt;'Recurring Schedule'!$P$6),"",IF(IF('Recurring Schedule'!$N$6&gt;0,MOD($A118-'Recurring Schedule'!$F$6,'Recurring Schedule'!$N$6)=0,IF('Recurring Schedule'!$O$6&gt;0,AND(DAY($A118)=MIN(DAY('Recurring Schedule'!$F$6),DAY(EOMONTH($A118,0))),MOD((YEAR($A118)-YEAR('Recurring Schedule'!$F$6))*12+MONTH($A118)-MONTH('Recurring Schedule'!$F$6),'Recurring Schedule'!$O$6)=0),IF('Recurring Schedule'!$E$6="Weekdays",WEEKDAY($A118,2)&lt;=5,$A118='Recurring Schedule'!$F$6))),1,""))))</f>
        <v/>
      </c>
      <c r="C118">
        <f>IF('Recurring Schedule'!$C$7="","",IF('Recurring Schedule'!$F$7="","",IF(OR($A118&lt;'Recurring Schedule'!$F$7,$A118&gt;'Recurring Schedule'!$P$7),"",IF(IF('Recurring Schedule'!$N$7&gt;0,MOD($A118-'Recurring Schedule'!$F$7,'Recurring Schedule'!$N$7)=0,IF('Recurring Schedule'!$O$7&gt;0,AND(DAY($A118)=MIN(DAY('Recurring Schedule'!$F$7),DAY(EOMONTH($A118,0))),MOD((YEAR($A118)-YEAR('Recurring Schedule'!$F$7))*12+MONTH($A118)-MONTH('Recurring Schedule'!$F$7),'Recurring Schedule'!$O$7)=0),IF('Recurring Schedule'!$E$7="Weekdays",WEEKDAY($A118,2)&lt;=5,$A118='Recurring Schedule'!$F$7))),2,""))))</f>
        <v/>
      </c>
      <c r="D118">
        <f>IF('Recurring Schedule'!$C$8="","",IF('Recurring Schedule'!$F$8="","",IF(OR($A118&lt;'Recurring Schedule'!$F$8,$A118&gt;'Recurring Schedule'!$P$8),"",IF(IF('Recurring Schedule'!$N$8&gt;0,MOD($A118-'Recurring Schedule'!$F$8,'Recurring Schedule'!$N$8)=0,IF('Recurring Schedule'!$O$8&gt;0,AND(DAY($A118)=MIN(DAY('Recurring Schedule'!$F$8),DAY(EOMONTH($A118,0))),MOD((YEAR($A118)-YEAR('Recurring Schedule'!$F$8))*12+MONTH($A118)-MONTH('Recurring Schedule'!$F$8),'Recurring Schedule'!$O$8)=0),IF('Recurring Schedule'!$E$8="Weekdays",WEEKDAY($A118,2)&lt;=5,$A118='Recurring Schedule'!$F$8))),3,""))))</f>
        <v/>
      </c>
      <c r="E118">
        <f>IF('Recurring Schedule'!$C$9="","",IF('Recurring Schedule'!$F$9="","",IF(OR($A118&lt;'Recurring Schedule'!$F$9,$A118&gt;'Recurring Schedule'!$P$9),"",IF(IF('Recurring Schedule'!$N$9&gt;0,MOD($A118-'Recurring Schedule'!$F$9,'Recurring Schedule'!$N$9)=0,IF('Recurring Schedule'!$O$9&gt;0,AND(DAY($A118)=MIN(DAY('Recurring Schedule'!$F$9),DAY(EOMONTH($A118,0))),MOD((YEAR($A118)-YEAR('Recurring Schedule'!$F$9))*12+MONTH($A118)-MONTH('Recurring Schedule'!$F$9),'Recurring Schedule'!$O$9)=0),IF('Recurring Schedule'!$E$9="Weekdays",WEEKDAY($A118,2)&lt;=5,$A118='Recurring Schedule'!$F$9))),4,""))))</f>
        <v/>
      </c>
      <c r="F118">
        <f>IF('Recurring Schedule'!$C$10="","",IF('Recurring Schedule'!$F$10="","",IF(OR($A118&lt;'Recurring Schedule'!$F$10,$A118&gt;'Recurring Schedule'!$P$10),"",IF(IF('Recurring Schedule'!$N$10&gt;0,MOD($A118-'Recurring Schedule'!$F$10,'Recurring Schedule'!$N$10)=0,IF('Recurring Schedule'!$O$10&gt;0,AND(DAY($A118)=MIN(DAY('Recurring Schedule'!$F$10),DAY(EOMONTH($A118,0))),MOD((YEAR($A118)-YEAR('Recurring Schedule'!$F$10))*12+MONTH($A118)-MONTH('Recurring Schedule'!$F$10),'Recurring Schedule'!$O$10)=0),IF('Recurring Schedule'!$E$10="Weekdays",WEEKDAY($A118,2)&lt;=5,$A118='Recurring Schedule'!$F$10))),5,""))))</f>
        <v/>
      </c>
      <c r="G118">
        <f>IF('Recurring Schedule'!$C$11="","",IF('Recurring Schedule'!$F$11="","",IF(OR($A118&lt;'Recurring Schedule'!$F$11,$A118&gt;'Recurring Schedule'!$P$11),"",IF(IF('Recurring Schedule'!$N$11&gt;0,MOD($A118-'Recurring Schedule'!$F$11,'Recurring Schedule'!$N$11)=0,IF('Recurring Schedule'!$O$11&gt;0,AND(DAY($A118)=MIN(DAY('Recurring Schedule'!$F$11),DAY(EOMONTH($A118,0))),MOD((YEAR($A118)-YEAR('Recurring Schedule'!$F$11))*12+MONTH($A118)-MONTH('Recurring Schedule'!$F$11),'Recurring Schedule'!$O$11)=0),IF('Recurring Schedule'!$E$11="Weekdays",WEEKDAY($A118,2)&lt;=5,$A118='Recurring Schedule'!$F$11))),6,""))))</f>
        <v/>
      </c>
      <c r="H118">
        <f>IF('Recurring Schedule'!$C$12="","",IF('Recurring Schedule'!$F$12="","",IF(OR($A118&lt;'Recurring Schedule'!$F$12,$A118&gt;'Recurring Schedule'!$P$12),"",IF(IF('Recurring Schedule'!$N$12&gt;0,MOD($A118-'Recurring Schedule'!$F$12,'Recurring Schedule'!$N$12)=0,IF('Recurring Schedule'!$O$12&gt;0,AND(DAY($A118)=MIN(DAY('Recurring Schedule'!$F$12),DAY(EOMONTH($A118,0))),MOD((YEAR($A118)-YEAR('Recurring Schedule'!$F$12))*12+MONTH($A118)-MONTH('Recurring Schedule'!$F$12),'Recurring Schedule'!$O$12)=0),IF('Recurring Schedule'!$E$12="Weekdays",WEEKDAY($A118,2)&lt;=5,$A118='Recurring Schedule'!$F$12))),7,""))))</f>
        <v/>
      </c>
      <c r="I118">
        <f>IF('Recurring Schedule'!$C$13="","",IF('Recurring Schedule'!$F$13="","",IF(OR($A118&lt;'Recurring Schedule'!$F$13,$A118&gt;'Recurring Schedule'!$P$13),"",IF(IF('Recurring Schedule'!$N$13&gt;0,MOD($A118-'Recurring Schedule'!$F$13,'Recurring Schedule'!$N$13)=0,IF('Recurring Schedule'!$O$13&gt;0,AND(DAY($A118)=MIN(DAY('Recurring Schedule'!$F$13),DAY(EOMONTH($A118,0))),MOD((YEAR($A118)-YEAR('Recurring Schedule'!$F$13))*12+MONTH($A118)-MONTH('Recurring Schedule'!$F$13),'Recurring Schedule'!$O$13)=0),IF('Recurring Schedule'!$E$13="Weekdays",WEEKDAY($A118,2)&lt;=5,$A118='Recurring Schedule'!$F$13))),8,""))))</f>
        <v/>
      </c>
      <c r="J118">
        <f>IF('Recurring Schedule'!$C$14="","",IF('Recurring Schedule'!$F$14="","",IF(OR($A118&lt;'Recurring Schedule'!$F$14,$A118&gt;'Recurring Schedule'!$P$14),"",IF(IF('Recurring Schedule'!$N$14&gt;0,MOD($A118-'Recurring Schedule'!$F$14,'Recurring Schedule'!$N$14)=0,IF('Recurring Schedule'!$O$14&gt;0,AND(DAY($A118)=MIN(DAY('Recurring Schedule'!$F$14),DAY(EOMONTH($A118,0))),MOD((YEAR($A118)-YEAR('Recurring Schedule'!$F$14))*12+MONTH($A118)-MONTH('Recurring Schedule'!$F$14),'Recurring Schedule'!$O$14)=0),IF('Recurring Schedule'!$E$14="Weekdays",WEEKDAY($A118,2)&lt;=5,$A118='Recurring Schedule'!$F$14))),9,""))))</f>
        <v/>
      </c>
      <c r="K118">
        <f>IF('Recurring Schedule'!$C$15="","",IF('Recurring Schedule'!$F$15="","",IF(OR($A118&lt;'Recurring Schedule'!$F$15,$A118&gt;'Recurring Schedule'!$P$15),"",IF(IF('Recurring Schedule'!$N$15&gt;0,MOD($A118-'Recurring Schedule'!$F$15,'Recurring Schedule'!$N$15)=0,IF('Recurring Schedule'!$O$15&gt;0,AND(DAY($A118)=MIN(DAY('Recurring Schedule'!$F$15),DAY(EOMONTH($A118,0))),MOD((YEAR($A118)-YEAR('Recurring Schedule'!$F$15))*12+MONTH($A118)-MONTH('Recurring Schedule'!$F$15),'Recurring Schedule'!$O$15)=0),IF('Recurring Schedule'!$E$15="Weekdays",WEEKDAY($A118,2)&lt;=5,$A118='Recurring Schedule'!$F$15))),10,""))))</f>
        <v/>
      </c>
      <c r="L118">
        <f>IF('Recurring Schedule'!$C$16="","",IF('Recurring Schedule'!$F$16="","",IF(OR($A118&lt;'Recurring Schedule'!$F$16,$A118&gt;'Recurring Schedule'!$P$16),"",IF(IF('Recurring Schedule'!$N$16&gt;0,MOD($A118-'Recurring Schedule'!$F$16,'Recurring Schedule'!$N$16)=0,IF('Recurring Schedule'!$O$16&gt;0,AND(DAY($A118)=MIN(DAY('Recurring Schedule'!$F$16),DAY(EOMONTH($A118,0))),MOD((YEAR($A118)-YEAR('Recurring Schedule'!$F$16))*12+MONTH($A118)-MONTH('Recurring Schedule'!$F$16),'Recurring Schedule'!$O$16)=0),IF('Recurring Schedule'!$E$16="Weekdays",WEEKDAY($A118,2)&lt;=5,$A118='Recurring Schedule'!$F$16))),11,""))))</f>
        <v/>
      </c>
      <c r="M118">
        <f>IF('Recurring Schedule'!$C$17="","",IF('Recurring Schedule'!$F$17="","",IF(OR($A118&lt;'Recurring Schedule'!$F$17,$A118&gt;'Recurring Schedule'!$P$17),"",IF(IF('Recurring Schedule'!$N$17&gt;0,MOD($A118-'Recurring Schedule'!$F$17,'Recurring Schedule'!$N$17)=0,IF('Recurring Schedule'!$O$17&gt;0,AND(DAY($A118)=MIN(DAY('Recurring Schedule'!$F$17),DAY(EOMONTH($A118,0))),MOD((YEAR($A118)-YEAR('Recurring Schedule'!$F$17))*12+MONTH($A118)-MONTH('Recurring Schedule'!$F$17),'Recurring Schedule'!$O$17)=0),IF('Recurring Schedule'!$E$17="Weekdays",WEEKDAY($A118,2)&lt;=5,$A118='Recurring Schedule'!$F$17))),12,""))))</f>
        <v/>
      </c>
      <c r="N118">
        <f>IF('Recurring Schedule'!$C$18="","",IF('Recurring Schedule'!$F$18="","",IF(OR($A118&lt;'Recurring Schedule'!$F$18,$A118&gt;'Recurring Schedule'!$P$18),"",IF(IF('Recurring Schedule'!$N$18&gt;0,MOD($A118-'Recurring Schedule'!$F$18,'Recurring Schedule'!$N$18)=0,IF('Recurring Schedule'!$O$18&gt;0,AND(DAY($A118)=MIN(DAY('Recurring Schedule'!$F$18),DAY(EOMONTH($A118,0))),MOD((YEAR($A118)-YEAR('Recurring Schedule'!$F$18))*12+MONTH($A118)-MONTH('Recurring Schedule'!$F$18),'Recurring Schedule'!$O$18)=0),IF('Recurring Schedule'!$E$18="Weekdays",WEEKDAY($A118,2)&lt;=5,$A118='Recurring Schedule'!$F$18))),13,""))))</f>
        <v/>
      </c>
      <c r="O118">
        <f>IF('Recurring Schedule'!$C$19="","",IF('Recurring Schedule'!$F$19="","",IF(OR($A118&lt;'Recurring Schedule'!$F$19,$A118&gt;'Recurring Schedule'!$P$19),"",IF(IF('Recurring Schedule'!$N$19&gt;0,MOD($A118-'Recurring Schedule'!$F$19,'Recurring Schedule'!$N$19)=0,IF('Recurring Schedule'!$O$19&gt;0,AND(DAY($A118)=MIN(DAY('Recurring Schedule'!$F$19),DAY(EOMONTH($A118,0))),MOD((YEAR($A118)-YEAR('Recurring Schedule'!$F$19))*12+MONTH($A118)-MONTH('Recurring Schedule'!$F$19),'Recurring Schedule'!$O$19)=0),IF('Recurring Schedule'!$E$19="Weekdays",WEEKDAY($A118,2)&lt;=5,$A118='Recurring Schedule'!$F$19))),14,""))))</f>
        <v/>
      </c>
      <c r="P118">
        <f>IF('Recurring Schedule'!$C$20="","",IF('Recurring Schedule'!$F$20="","",IF(OR($A118&lt;'Recurring Schedule'!$F$20,$A118&gt;'Recurring Schedule'!$P$20),"",IF(IF('Recurring Schedule'!$N$20&gt;0,MOD($A118-'Recurring Schedule'!$F$20,'Recurring Schedule'!$N$20)=0,IF('Recurring Schedule'!$O$20&gt;0,AND(DAY($A118)=MIN(DAY('Recurring Schedule'!$F$20),DAY(EOMONTH($A118,0))),MOD((YEAR($A118)-YEAR('Recurring Schedule'!$F$20))*12+MONTH($A118)-MONTH('Recurring Schedule'!$F$20),'Recurring Schedule'!$O$20)=0),IF('Recurring Schedule'!$E$20="Weekdays",WEEKDAY($A118,2)&lt;=5,$A118='Recurring Schedule'!$F$20))),15,""))))</f>
        <v/>
      </c>
      <c r="Q118">
        <f>IF('Recurring Schedule'!$C$21="","",IF('Recurring Schedule'!$F$21="","",IF(OR($A118&lt;'Recurring Schedule'!$F$21,$A118&gt;'Recurring Schedule'!$P$21),"",IF(IF('Recurring Schedule'!$N$21&gt;0,MOD($A118-'Recurring Schedule'!$F$21,'Recurring Schedule'!$N$21)=0,IF('Recurring Schedule'!$O$21&gt;0,AND(DAY($A118)=MIN(DAY('Recurring Schedule'!$F$21),DAY(EOMONTH($A118,0))),MOD((YEAR($A118)-YEAR('Recurring Schedule'!$F$21))*12+MONTH($A118)-MONTH('Recurring Schedule'!$F$21),'Recurring Schedule'!$O$21)=0),IF('Recurring Schedule'!$E$21="Weekdays",WEEKDAY($A118,2)&lt;=5,$A118='Recurring Schedule'!$F$21))),16,""))))</f>
        <v/>
      </c>
      <c r="R118">
        <f>IF('Recurring Schedule'!$C$22="","",IF('Recurring Schedule'!$F$22="","",IF(OR($A118&lt;'Recurring Schedule'!$F$22,$A118&gt;'Recurring Schedule'!$P$22),"",IF(IF('Recurring Schedule'!$N$22&gt;0,MOD($A118-'Recurring Schedule'!$F$22,'Recurring Schedule'!$N$22)=0,IF('Recurring Schedule'!$O$22&gt;0,AND(DAY($A118)=MIN(DAY('Recurring Schedule'!$F$22),DAY(EOMONTH($A118,0))),MOD((YEAR($A118)-YEAR('Recurring Schedule'!$F$22))*12+MONTH($A118)-MONTH('Recurring Schedule'!$F$22),'Recurring Schedule'!$O$22)=0),IF('Recurring Schedule'!$E$22="Weekdays",WEEKDAY($A118,2)&lt;=5,$A118='Recurring Schedule'!$F$22))),17,""))))</f>
        <v/>
      </c>
      <c r="S118">
        <f>IF('Recurring Schedule'!$C$23="","",IF('Recurring Schedule'!$F$23="","",IF(OR($A118&lt;'Recurring Schedule'!$F$23,$A118&gt;'Recurring Schedule'!$P$23),"",IF(IF('Recurring Schedule'!$N$23&gt;0,MOD($A118-'Recurring Schedule'!$F$23,'Recurring Schedule'!$N$23)=0,IF('Recurring Schedule'!$O$23&gt;0,AND(DAY($A118)=MIN(DAY('Recurring Schedule'!$F$23),DAY(EOMONTH($A118,0))),MOD((YEAR($A118)-YEAR('Recurring Schedule'!$F$23))*12+MONTH($A118)-MONTH('Recurring Schedule'!$F$23),'Recurring Schedule'!$O$23)=0),IF('Recurring Schedule'!$E$23="Weekdays",WEEKDAY($A118,2)&lt;=5,$A118='Recurring Schedule'!$F$23))),18,""))))</f>
        <v/>
      </c>
      <c r="T118">
        <f>IF('Recurring Schedule'!$C$24="","",IF('Recurring Schedule'!$F$24="","",IF(OR($A118&lt;'Recurring Schedule'!$F$24,$A118&gt;'Recurring Schedule'!$P$24),"",IF(IF('Recurring Schedule'!$N$24&gt;0,MOD($A118-'Recurring Schedule'!$F$24,'Recurring Schedule'!$N$24)=0,IF('Recurring Schedule'!$O$24&gt;0,AND(DAY($A118)=MIN(DAY('Recurring Schedule'!$F$24),DAY(EOMONTH($A118,0))),MOD((YEAR($A118)-YEAR('Recurring Schedule'!$F$24))*12+MONTH($A118)-MONTH('Recurring Schedule'!$F$24),'Recurring Schedule'!$O$24)=0),IF('Recurring Schedule'!$E$24="Weekdays",WEEKDAY($A118,2)&lt;=5,$A118='Recurring Schedule'!$F$24))),19,""))))</f>
        <v/>
      </c>
      <c r="U118">
        <f>IF('Recurring Schedule'!$C$25="","",IF('Recurring Schedule'!$F$25="","",IF(OR($A118&lt;'Recurring Schedule'!$F$25,$A118&gt;'Recurring Schedule'!$P$25),"",IF(IF('Recurring Schedule'!$N$25&gt;0,MOD($A118-'Recurring Schedule'!$F$25,'Recurring Schedule'!$N$25)=0,IF('Recurring Schedule'!$O$25&gt;0,AND(DAY($A118)=MIN(DAY('Recurring Schedule'!$F$25),DAY(EOMONTH($A118,0))),MOD((YEAR($A118)-YEAR('Recurring Schedule'!$F$25))*12+MONTH($A118)-MONTH('Recurring Schedule'!$F$25),'Recurring Schedule'!$O$25)=0),IF('Recurring Schedule'!$E$25="Weekdays",WEEKDAY($A118,2)&lt;=5,$A118='Recurring Schedule'!$F$25))),20,""))))</f>
        <v/>
      </c>
      <c r="V118">
        <f>IF('Recurring Schedule'!$C$26="","",IF('Recurring Schedule'!$F$26="","",IF(OR($A118&lt;'Recurring Schedule'!$F$26,$A118&gt;'Recurring Schedule'!$P$26),"",IF(IF('Recurring Schedule'!$N$26&gt;0,MOD($A118-'Recurring Schedule'!$F$26,'Recurring Schedule'!$N$26)=0,IF('Recurring Schedule'!$O$26&gt;0,AND(DAY($A118)=MIN(DAY('Recurring Schedule'!$F$26),DAY(EOMONTH($A118,0))),MOD((YEAR($A118)-YEAR('Recurring Schedule'!$F$26))*12+MONTH($A118)-MONTH('Recurring Schedule'!$F$26),'Recurring Schedule'!$O$26)=0),IF('Recurring Schedule'!$E$26="Weekdays",WEEKDAY($A118,2)&lt;=5,$A118='Recurring Schedule'!$F$26))),21,""))))</f>
        <v/>
      </c>
      <c r="W118">
        <f>IF('Recurring Schedule'!$C$27="","",IF('Recurring Schedule'!$F$27="","",IF(OR($A118&lt;'Recurring Schedule'!$F$27,$A118&gt;'Recurring Schedule'!$P$27),"",IF(IF('Recurring Schedule'!$N$27&gt;0,MOD($A118-'Recurring Schedule'!$F$27,'Recurring Schedule'!$N$27)=0,IF('Recurring Schedule'!$O$27&gt;0,AND(DAY($A118)=MIN(DAY('Recurring Schedule'!$F$27),DAY(EOMONTH($A118,0))),MOD((YEAR($A118)-YEAR('Recurring Schedule'!$F$27))*12+MONTH($A118)-MONTH('Recurring Schedule'!$F$27),'Recurring Schedule'!$O$27)=0),IF('Recurring Schedule'!$E$27="Weekdays",WEEKDAY($A118,2)&lt;=5,$A118='Recurring Schedule'!$F$27))),22,""))))</f>
        <v/>
      </c>
      <c r="X118">
        <f>IF('Recurring Schedule'!$C$28="","",IF('Recurring Schedule'!$F$28="","",IF(OR($A118&lt;'Recurring Schedule'!$F$28,$A118&gt;'Recurring Schedule'!$P$28),"",IF(IF('Recurring Schedule'!$N$28&gt;0,MOD($A118-'Recurring Schedule'!$F$28,'Recurring Schedule'!$N$28)=0,IF('Recurring Schedule'!$O$28&gt;0,AND(DAY($A118)=MIN(DAY('Recurring Schedule'!$F$28),DAY(EOMONTH($A118,0))),MOD((YEAR($A118)-YEAR('Recurring Schedule'!$F$28))*12+MONTH($A118)-MONTH('Recurring Schedule'!$F$28),'Recurring Schedule'!$O$28)=0),IF('Recurring Schedule'!$E$28="Weekdays",WEEKDAY($A118,2)&lt;=5,$A118='Recurring Schedule'!$F$28))),23,""))))</f>
        <v/>
      </c>
      <c r="Y118">
        <f>IF('Recurring Schedule'!$C$29="","",IF('Recurring Schedule'!$F$29="","",IF(OR($A118&lt;'Recurring Schedule'!$F$29,$A118&gt;'Recurring Schedule'!$P$29),"",IF(IF('Recurring Schedule'!$N$29&gt;0,MOD($A118-'Recurring Schedule'!$F$29,'Recurring Schedule'!$N$29)=0,IF('Recurring Schedule'!$O$29&gt;0,AND(DAY($A118)=MIN(DAY('Recurring Schedule'!$F$29),DAY(EOMONTH($A118,0))),MOD((YEAR($A118)-YEAR('Recurring Schedule'!$F$29))*12+MONTH($A118)-MONTH('Recurring Schedule'!$F$29),'Recurring Schedule'!$O$29)=0),IF('Recurring Schedule'!$E$29="Weekdays",WEEKDAY($A118,2)&lt;=5,$A118='Recurring Schedule'!$F$29))),24,""))))</f>
        <v/>
      </c>
      <c r="Z118">
        <f>IF('Recurring Schedule'!$C$30="","",IF('Recurring Schedule'!$F$30="","",IF(OR($A118&lt;'Recurring Schedule'!$F$30,$A118&gt;'Recurring Schedule'!$P$30),"",IF(IF('Recurring Schedule'!$N$30&gt;0,MOD($A118-'Recurring Schedule'!$F$30,'Recurring Schedule'!$N$30)=0,IF('Recurring Schedule'!$O$30&gt;0,AND(DAY($A118)=MIN(DAY('Recurring Schedule'!$F$30),DAY(EOMONTH($A118,0))),MOD((YEAR($A118)-YEAR('Recurring Schedule'!$F$30))*12+MONTH($A118)-MONTH('Recurring Schedule'!$F$30),'Recurring Schedule'!$O$30)=0),IF('Recurring Schedule'!$E$30="Weekdays",WEEKDAY($A118,2)&lt;=5,$A118='Recurring Schedule'!$F$30))),25,""))))</f>
        <v/>
      </c>
      <c r="AA118">
        <f>IF('Recurring Schedule'!$C$31="","",IF('Recurring Schedule'!$F$31="","",IF(OR($A118&lt;'Recurring Schedule'!$F$31,$A118&gt;'Recurring Schedule'!$P$31),"",IF(IF('Recurring Schedule'!$N$31&gt;0,MOD($A118-'Recurring Schedule'!$F$31,'Recurring Schedule'!$N$31)=0,IF('Recurring Schedule'!$O$31&gt;0,AND(DAY($A118)=MIN(DAY('Recurring Schedule'!$F$31),DAY(EOMONTH($A118,0))),MOD((YEAR($A118)-YEAR('Recurring Schedule'!$F$31))*12+MONTH($A118)-MONTH('Recurring Schedule'!$F$31),'Recurring Schedule'!$O$31)=0),IF('Recurring Schedule'!$E$31="Weekdays",WEEKDAY($A118,2)&lt;=5,$A118='Recurring Schedule'!$F$31))),26,""))))</f>
        <v/>
      </c>
      <c r="AB118">
        <f>IF('Recurring Schedule'!$C$32="","",IF('Recurring Schedule'!$F$32="","",IF(OR($A118&lt;'Recurring Schedule'!$F$32,$A118&gt;'Recurring Schedule'!$P$32),"",IF(IF('Recurring Schedule'!$N$32&gt;0,MOD($A118-'Recurring Schedule'!$F$32,'Recurring Schedule'!$N$32)=0,IF('Recurring Schedule'!$O$32&gt;0,AND(DAY($A118)=MIN(DAY('Recurring Schedule'!$F$32),DAY(EOMONTH($A118,0))),MOD((YEAR($A118)-YEAR('Recurring Schedule'!$F$32))*12+MONTH($A118)-MONTH('Recurring Schedule'!$F$32),'Recurring Schedule'!$O$32)=0),IF('Recurring Schedule'!$E$32="Weekdays",WEEKDAY($A118,2)&lt;=5,$A118='Recurring Schedule'!$F$32))),27,""))))</f>
        <v/>
      </c>
      <c r="AC118">
        <f>IF('Recurring Schedule'!$C$33="","",IF('Recurring Schedule'!$F$33="","",IF(OR($A118&lt;'Recurring Schedule'!$F$33,$A118&gt;'Recurring Schedule'!$P$33),"",IF(IF('Recurring Schedule'!$N$33&gt;0,MOD($A118-'Recurring Schedule'!$F$33,'Recurring Schedule'!$N$33)=0,IF('Recurring Schedule'!$O$33&gt;0,AND(DAY($A118)=MIN(DAY('Recurring Schedule'!$F$33),DAY(EOMONTH($A118,0))),MOD((YEAR($A118)-YEAR('Recurring Schedule'!$F$33))*12+MONTH($A118)-MONTH('Recurring Schedule'!$F$33),'Recurring Schedule'!$O$33)=0),IF('Recurring Schedule'!$E$33="Weekdays",WEEKDAY($A118,2)&lt;=5,$A118='Recurring Schedule'!$F$33))),28,""))))</f>
        <v/>
      </c>
      <c r="AD118">
        <f>IF('Recurring Schedule'!$C$34="","",IF('Recurring Schedule'!$F$34="","",IF(OR($A118&lt;'Recurring Schedule'!$F$34,$A118&gt;'Recurring Schedule'!$P$34),"",IF(IF('Recurring Schedule'!$N$34&gt;0,MOD($A118-'Recurring Schedule'!$F$34,'Recurring Schedule'!$N$34)=0,IF('Recurring Schedule'!$O$34&gt;0,AND(DAY($A118)=MIN(DAY('Recurring Schedule'!$F$34),DAY(EOMONTH($A118,0))),MOD((YEAR($A118)-YEAR('Recurring Schedule'!$F$34))*12+MONTH($A118)-MONTH('Recurring Schedule'!$F$34),'Recurring Schedule'!$O$34)=0),IF('Recurring Schedule'!$E$34="Weekdays",WEEKDAY($A118,2)&lt;=5,$A118='Recurring Schedule'!$F$34))),29,""))))</f>
        <v/>
      </c>
      <c r="AE118">
        <f>IF('Recurring Schedule'!$C$35="","",IF('Recurring Schedule'!$F$35="","",IF(OR($A118&lt;'Recurring Schedule'!$F$35,$A118&gt;'Recurring Schedule'!$P$35),"",IF(IF('Recurring Schedule'!$N$35&gt;0,MOD($A118-'Recurring Schedule'!$F$35,'Recurring Schedule'!$N$35)=0,IF('Recurring Schedule'!$O$35&gt;0,AND(DAY($A118)=MIN(DAY('Recurring Schedule'!$F$35),DAY(EOMONTH($A118,0))),MOD((YEAR($A118)-YEAR('Recurring Schedule'!$F$35))*12+MONTH($A118)-MONTH('Recurring Schedule'!$F$35),'Recurring Schedule'!$O$35)=0),IF('Recurring Schedule'!$E$35="Weekdays",WEEKDAY($A118,2)&lt;=5,$A118='Recurring Schedule'!$F$35))),30,""))))</f>
        <v/>
      </c>
      <c r="AF118">
        <f>IF('Recurring Schedule'!$C$36="","",IF('Recurring Schedule'!$F$36="","",IF(OR($A118&lt;'Recurring Schedule'!$F$36,$A118&gt;'Recurring Schedule'!$P$36),"",IF(IF('Recurring Schedule'!$N$36&gt;0,MOD($A118-'Recurring Schedule'!$F$36,'Recurring Schedule'!$N$36)=0,IF('Recurring Schedule'!$O$36&gt;0,AND(DAY($A118)=MIN(DAY('Recurring Schedule'!$F$36),DAY(EOMONTH($A118,0))),MOD((YEAR($A118)-YEAR('Recurring Schedule'!$F$36))*12+MONTH($A118)-MONTH('Recurring Schedule'!$F$36),'Recurring Schedule'!$O$36)=0),IF('Recurring Schedule'!$E$36="Weekdays",WEEKDAY($A118,2)&lt;=5,$A118='Recurring Schedule'!$F$36))),31,""))))</f>
        <v/>
      </c>
      <c r="AG118">
        <f>IF('Recurring Schedule'!$C$37="","",IF('Recurring Schedule'!$F$37="","",IF(OR($A118&lt;'Recurring Schedule'!$F$37,$A118&gt;'Recurring Schedule'!$P$37),"",IF(IF('Recurring Schedule'!$N$37&gt;0,MOD($A118-'Recurring Schedule'!$F$37,'Recurring Schedule'!$N$37)=0,IF('Recurring Schedule'!$O$37&gt;0,AND(DAY($A118)=MIN(DAY('Recurring Schedule'!$F$37),DAY(EOMONTH($A118,0))),MOD((YEAR($A118)-YEAR('Recurring Schedule'!$F$37))*12+MONTH($A118)-MONTH('Recurring Schedule'!$F$37),'Recurring Schedule'!$O$37)=0),IF('Recurring Schedule'!$E$37="Weekdays",WEEKDAY($A118,2)&lt;=5,$A118='Recurring Schedule'!$F$37))),32,""))))</f>
        <v/>
      </c>
      <c r="AH118">
        <f>IF('Recurring Schedule'!$C$38="","",IF('Recurring Schedule'!$F$38="","",IF(OR($A118&lt;'Recurring Schedule'!$F$38,$A118&gt;'Recurring Schedule'!$P$38),"",IF(IF('Recurring Schedule'!$N$38&gt;0,MOD($A118-'Recurring Schedule'!$F$38,'Recurring Schedule'!$N$38)=0,IF('Recurring Schedule'!$O$38&gt;0,AND(DAY($A118)=MIN(DAY('Recurring Schedule'!$F$38),DAY(EOMONTH($A118,0))),MOD((YEAR($A118)-YEAR('Recurring Schedule'!$F$38))*12+MONTH($A118)-MONTH('Recurring Schedule'!$F$38),'Recurring Schedule'!$O$38)=0),IF('Recurring Schedule'!$E$38="Weekdays",WEEKDAY($A118,2)&lt;=5,$A118='Recurring Schedule'!$F$38))),33,""))))</f>
        <v/>
      </c>
      <c r="AI118">
        <f>IF('Recurring Schedule'!$C$39="","",IF('Recurring Schedule'!$F$39="","",IF(OR($A118&lt;'Recurring Schedule'!$F$39,$A118&gt;'Recurring Schedule'!$P$39),"",IF(IF('Recurring Schedule'!$N$39&gt;0,MOD($A118-'Recurring Schedule'!$F$39,'Recurring Schedule'!$N$39)=0,IF('Recurring Schedule'!$O$39&gt;0,AND(DAY($A118)=MIN(DAY('Recurring Schedule'!$F$39),DAY(EOMONTH($A118,0))),MOD((YEAR($A118)-YEAR('Recurring Schedule'!$F$39))*12+MONTH($A118)-MONTH('Recurring Schedule'!$F$39),'Recurring Schedule'!$O$39)=0),IF('Recurring Schedule'!$E$39="Weekdays",WEEKDAY($A118,2)&lt;=5,$A118='Recurring Schedule'!$F$39))),34,""))))</f>
        <v/>
      </c>
      <c r="AJ118">
        <f>IF('Recurring Schedule'!$C$40="","",IF('Recurring Schedule'!$F$40="","",IF(OR($A118&lt;'Recurring Schedule'!$F$40,$A118&gt;'Recurring Schedule'!$P$40),"",IF(IF('Recurring Schedule'!$N$40&gt;0,MOD($A118-'Recurring Schedule'!$F$40,'Recurring Schedule'!$N$40)=0,IF('Recurring Schedule'!$O$40&gt;0,AND(DAY($A118)=MIN(DAY('Recurring Schedule'!$F$40),DAY(EOMONTH($A118,0))),MOD((YEAR($A118)-YEAR('Recurring Schedule'!$F$40))*12+MONTH($A118)-MONTH('Recurring Schedule'!$F$40),'Recurring Schedule'!$O$40)=0),IF('Recurring Schedule'!$E$40="Weekdays",WEEKDAY($A118,2)&lt;=5,$A118='Recurring Schedule'!$F$40))),35,""))))</f>
        <v/>
      </c>
      <c r="AK118">
        <f>IF('Recurring Schedule'!$C$41="","",IF('Recurring Schedule'!$F$41="","",IF(OR($A118&lt;'Recurring Schedule'!$F$41,$A118&gt;'Recurring Schedule'!$P$41),"",IF(IF('Recurring Schedule'!$N$41&gt;0,MOD($A118-'Recurring Schedule'!$F$41,'Recurring Schedule'!$N$41)=0,IF('Recurring Schedule'!$O$41&gt;0,AND(DAY($A118)=MIN(DAY('Recurring Schedule'!$F$41),DAY(EOMONTH($A118,0))),MOD((YEAR($A118)-YEAR('Recurring Schedule'!$F$41))*12+MONTH($A118)-MONTH('Recurring Schedule'!$F$41),'Recurring Schedule'!$O$41)=0),IF('Recurring Schedule'!$E$41="Weekdays",WEEKDAY($A118,2)&lt;=5,$A118='Recurring Schedule'!$F$41))),36,""))))</f>
        <v/>
      </c>
      <c r="AL118">
        <f>IF('Recurring Schedule'!$C$42="","",IF('Recurring Schedule'!$F$42="","",IF(OR($A118&lt;'Recurring Schedule'!$F$42,$A118&gt;'Recurring Schedule'!$P$42),"",IF(IF('Recurring Schedule'!$N$42&gt;0,MOD($A118-'Recurring Schedule'!$F$42,'Recurring Schedule'!$N$42)=0,IF('Recurring Schedule'!$O$42&gt;0,AND(DAY($A118)=MIN(DAY('Recurring Schedule'!$F$42),DAY(EOMONTH($A118,0))),MOD((YEAR($A118)-YEAR('Recurring Schedule'!$F$42))*12+MONTH($A118)-MONTH('Recurring Schedule'!$F$42),'Recurring Schedule'!$O$42)=0),IF('Recurring Schedule'!$E$42="Weekdays",WEEKDAY($A118,2)&lt;=5,$A118='Recurring Schedule'!$F$42))),37,""))))</f>
        <v/>
      </c>
      <c r="AM118">
        <f>IF('Recurring Schedule'!$C$43="","",IF('Recurring Schedule'!$F$43="","",IF(OR($A118&lt;'Recurring Schedule'!$F$43,$A118&gt;'Recurring Schedule'!$P$43),"",IF(IF('Recurring Schedule'!$N$43&gt;0,MOD($A118-'Recurring Schedule'!$F$43,'Recurring Schedule'!$N$43)=0,IF('Recurring Schedule'!$O$43&gt;0,AND(DAY($A118)=MIN(DAY('Recurring Schedule'!$F$43),DAY(EOMONTH($A118,0))),MOD((YEAR($A118)-YEAR('Recurring Schedule'!$F$43))*12+MONTH($A118)-MONTH('Recurring Schedule'!$F$43),'Recurring Schedule'!$O$43)=0),IF('Recurring Schedule'!$E$43="Weekdays",WEEKDAY($A118,2)&lt;=5,$A118='Recurring Schedule'!$F$43))),38,""))))</f>
        <v/>
      </c>
      <c r="AN118">
        <f>IF('Recurring Schedule'!$C$44="","",IF('Recurring Schedule'!$F$44="","",IF(OR($A118&lt;'Recurring Schedule'!$F$44,$A118&gt;'Recurring Schedule'!$P$44),"",IF(IF('Recurring Schedule'!$N$44&gt;0,MOD($A118-'Recurring Schedule'!$F$44,'Recurring Schedule'!$N$44)=0,IF('Recurring Schedule'!$O$44&gt;0,AND(DAY($A118)=MIN(DAY('Recurring Schedule'!$F$44),DAY(EOMONTH($A118,0))),MOD((YEAR($A118)-YEAR('Recurring Schedule'!$F$44))*12+MONTH($A118)-MONTH('Recurring Schedule'!$F$44),'Recurring Schedule'!$O$44)=0),IF('Recurring Schedule'!$E$44="Weekdays",WEEKDAY($A118,2)&lt;=5,$A118='Recurring Schedule'!$F$44))),39,""))))</f>
        <v/>
      </c>
      <c r="AO118">
        <f>IF('Recurring Schedule'!$C$45="","",IF('Recurring Schedule'!$F$45="","",IF(OR($A118&lt;'Recurring Schedule'!$F$45,$A118&gt;'Recurring Schedule'!$P$45),"",IF(IF('Recurring Schedule'!$N$45&gt;0,MOD($A118-'Recurring Schedule'!$F$45,'Recurring Schedule'!$N$45)=0,IF('Recurring Schedule'!$O$45&gt;0,AND(DAY($A118)=MIN(DAY('Recurring Schedule'!$F$45),DAY(EOMONTH($A118,0))),MOD((YEAR($A118)-YEAR('Recurring Schedule'!$F$45))*12+MONTH($A118)-MONTH('Recurring Schedule'!$F$45),'Recurring Schedule'!$O$45)=0),IF('Recurring Schedule'!$E$45="Weekdays",WEEKDAY($A118,2)&lt;=5,$A118='Recurring Schedule'!$F$45))),40,""))))</f>
        <v/>
      </c>
      <c r="AP118">
        <f>COUNT(B118:AO118)</f>
        <v/>
      </c>
      <c r="AQ118">
        <f>AQ117+AP117</f>
        <v/>
      </c>
      <c r="AS118" t="inlineStr">
        <is>
          <t>R</t>
        </is>
      </c>
      <c r="AT118" t="n">
        <v>122</v>
      </c>
      <c r="AU118">
        <f>'Recurring Log'!C122&amp;""</f>
        <v/>
      </c>
      <c r="AV118">
        <f>'Recurring Log'!D122&amp;""</f>
        <v/>
      </c>
      <c r="AW118">
        <f>IF('Recurring Log'!E122="","",'Recurring Log'!E122)</f>
        <v/>
      </c>
      <c r="AX118">
        <f>IF('Recurring Log'!G122="","",'Recurring Log'!G122)</f>
        <v/>
      </c>
      <c r="AY118">
        <f>IF('Recurring Log'!H122="","",'Recurring Log'!H122)</f>
        <v/>
      </c>
      <c r="AZ118">
        <f>IF(AU118="","",IF('Recurring Log'!J122="","Not Started",'Recurring Log'!J122))</f>
        <v/>
      </c>
      <c r="BA118">
        <f>'Recurring Log'!L122&amp;""</f>
        <v/>
      </c>
      <c r="BB118">
        <f>'Recurring Log'!M122&amp;""</f>
        <v/>
      </c>
      <c r="BC118">
        <f>'Recurring Log'!N122&amp;""</f>
        <v/>
      </c>
      <c r="BD118">
        <f>'Recurring Log'!O122&amp;""</f>
        <v/>
      </c>
      <c r="BE118">
        <f>IF('Recurring Log'!K122="","",'Recurring Log'!K122)</f>
        <v/>
      </c>
      <c r="BF118">
        <f>IFERROR(MATCH(BA118,Setup!$L$6:$L$9,0),5)</f>
        <v/>
      </c>
      <c r="BG118">
        <f>IF(OR(AZ118="Done",AZ118="Cancelled"),1,0)</f>
        <v/>
      </c>
      <c r="BH118">
        <f>IF(AND(AU118&lt;&gt;"",ISNUMBER(AW118)),1,0)</f>
        <v/>
      </c>
      <c r="BI118">
        <f>IF(BH118=0,0,IF(AND(AW118&gt;='Tasks Filter'!$F$3,AW118&lt;='Tasks Filter'!$F$4,OR('Tasks Filter'!$I$3="",ISNUMBER(SEARCH('Tasks Filter'!$I$3,AU118))),OR('Tasks Filter'!$I$4="",BF118=IFERROR(MATCH('Tasks Filter'!$I$4,Setup!$L$6:$L$9,0),0)),OR('Tasks Filter'!$I$5="Both",AND('Tasks Filter'!$I$5="Yes",BB118="✓"),AND('Tasks Filter'!$I$5="No",BB118&lt;&gt;"✓")),OR('Tasks Filter'!$L$3="",AV118='Tasks Filter'!$L$3),OR('Tasks Filter'!$L$4="",AZ118='Tasks Filter'!$L$4),OR('Tasks Filter'!$L$5="",BC118='Tasks Filter'!$L$5),OR('Tasks Filter'!$O$3="",BD118='Tasks Filter'!$O$3),OR('Tasks Filter'!$O$4="Yes",BG118=0)),1,0))</f>
        <v/>
      </c>
      <c r="BJ118">
        <f>IF(BH118=0,"",IF('Tasks Filter'!$F$6="Descending",-1,1)*CHOOSE(MATCH('Tasks Filter'!$F$5,Lists!$G$2:$G$6,0),AW118,BF118,IFERROR(MATCH(AV118,Setup!$F$6:$F$15,0),99),IFERROR(MATCH(BC118,Setup!$H$6:$H$15,0),99),IFERROR(MATCH(AZ118,Setup!$J$6:$J$11,0),99))*1E+9+(AW118-40000)*10000+117)</f>
        <v/>
      </c>
      <c r="BK118">
        <f>IF(BI118=1,BJ118,"")</f>
        <v/>
      </c>
      <c r="BL118">
        <f>IF(AND(BH118=1,BG118=0,N(AW118)&lt;Setup!$D$7),(AW118-40000)*10000+117,"")</f>
        <v/>
      </c>
      <c r="BM118">
        <f>IF(AND(BH118=1,AZ118&lt;&gt;"Cancelled",N(AW118)&gt;=Dashboard!$AB$3,N(AW118)&lt;=Dashboard!$AB$3+6),(AW118-40000)*100000+BF118*10000+117,"")</f>
        <v/>
      </c>
      <c r="BN118">
        <f>IF(AND(BH118=1,AZ118&lt;&gt;"Cancelled"),BF118*10000+117,"")</f>
        <v/>
      </c>
    </row>
    <row r="119">
      <c r="A119">
        <f>Setup!$D$5+117</f>
        <v/>
      </c>
      <c r="B119">
        <f>IF('Recurring Schedule'!$C$6="","",IF('Recurring Schedule'!$F$6="","",IF(OR($A119&lt;'Recurring Schedule'!$F$6,$A119&gt;'Recurring Schedule'!$P$6),"",IF(IF('Recurring Schedule'!$N$6&gt;0,MOD($A119-'Recurring Schedule'!$F$6,'Recurring Schedule'!$N$6)=0,IF('Recurring Schedule'!$O$6&gt;0,AND(DAY($A119)=MIN(DAY('Recurring Schedule'!$F$6),DAY(EOMONTH($A119,0))),MOD((YEAR($A119)-YEAR('Recurring Schedule'!$F$6))*12+MONTH($A119)-MONTH('Recurring Schedule'!$F$6),'Recurring Schedule'!$O$6)=0),IF('Recurring Schedule'!$E$6="Weekdays",WEEKDAY($A119,2)&lt;=5,$A119='Recurring Schedule'!$F$6))),1,""))))</f>
        <v/>
      </c>
      <c r="C119">
        <f>IF('Recurring Schedule'!$C$7="","",IF('Recurring Schedule'!$F$7="","",IF(OR($A119&lt;'Recurring Schedule'!$F$7,$A119&gt;'Recurring Schedule'!$P$7),"",IF(IF('Recurring Schedule'!$N$7&gt;0,MOD($A119-'Recurring Schedule'!$F$7,'Recurring Schedule'!$N$7)=0,IF('Recurring Schedule'!$O$7&gt;0,AND(DAY($A119)=MIN(DAY('Recurring Schedule'!$F$7),DAY(EOMONTH($A119,0))),MOD((YEAR($A119)-YEAR('Recurring Schedule'!$F$7))*12+MONTH($A119)-MONTH('Recurring Schedule'!$F$7),'Recurring Schedule'!$O$7)=0),IF('Recurring Schedule'!$E$7="Weekdays",WEEKDAY($A119,2)&lt;=5,$A119='Recurring Schedule'!$F$7))),2,""))))</f>
        <v/>
      </c>
      <c r="D119">
        <f>IF('Recurring Schedule'!$C$8="","",IF('Recurring Schedule'!$F$8="","",IF(OR($A119&lt;'Recurring Schedule'!$F$8,$A119&gt;'Recurring Schedule'!$P$8),"",IF(IF('Recurring Schedule'!$N$8&gt;0,MOD($A119-'Recurring Schedule'!$F$8,'Recurring Schedule'!$N$8)=0,IF('Recurring Schedule'!$O$8&gt;0,AND(DAY($A119)=MIN(DAY('Recurring Schedule'!$F$8),DAY(EOMONTH($A119,0))),MOD((YEAR($A119)-YEAR('Recurring Schedule'!$F$8))*12+MONTH($A119)-MONTH('Recurring Schedule'!$F$8),'Recurring Schedule'!$O$8)=0),IF('Recurring Schedule'!$E$8="Weekdays",WEEKDAY($A119,2)&lt;=5,$A119='Recurring Schedule'!$F$8))),3,""))))</f>
        <v/>
      </c>
      <c r="E119">
        <f>IF('Recurring Schedule'!$C$9="","",IF('Recurring Schedule'!$F$9="","",IF(OR($A119&lt;'Recurring Schedule'!$F$9,$A119&gt;'Recurring Schedule'!$P$9),"",IF(IF('Recurring Schedule'!$N$9&gt;0,MOD($A119-'Recurring Schedule'!$F$9,'Recurring Schedule'!$N$9)=0,IF('Recurring Schedule'!$O$9&gt;0,AND(DAY($A119)=MIN(DAY('Recurring Schedule'!$F$9),DAY(EOMONTH($A119,0))),MOD((YEAR($A119)-YEAR('Recurring Schedule'!$F$9))*12+MONTH($A119)-MONTH('Recurring Schedule'!$F$9),'Recurring Schedule'!$O$9)=0),IF('Recurring Schedule'!$E$9="Weekdays",WEEKDAY($A119,2)&lt;=5,$A119='Recurring Schedule'!$F$9))),4,""))))</f>
        <v/>
      </c>
      <c r="F119">
        <f>IF('Recurring Schedule'!$C$10="","",IF('Recurring Schedule'!$F$10="","",IF(OR($A119&lt;'Recurring Schedule'!$F$10,$A119&gt;'Recurring Schedule'!$P$10),"",IF(IF('Recurring Schedule'!$N$10&gt;0,MOD($A119-'Recurring Schedule'!$F$10,'Recurring Schedule'!$N$10)=0,IF('Recurring Schedule'!$O$10&gt;0,AND(DAY($A119)=MIN(DAY('Recurring Schedule'!$F$10),DAY(EOMONTH($A119,0))),MOD((YEAR($A119)-YEAR('Recurring Schedule'!$F$10))*12+MONTH($A119)-MONTH('Recurring Schedule'!$F$10),'Recurring Schedule'!$O$10)=0),IF('Recurring Schedule'!$E$10="Weekdays",WEEKDAY($A119,2)&lt;=5,$A119='Recurring Schedule'!$F$10))),5,""))))</f>
        <v/>
      </c>
      <c r="G119">
        <f>IF('Recurring Schedule'!$C$11="","",IF('Recurring Schedule'!$F$11="","",IF(OR($A119&lt;'Recurring Schedule'!$F$11,$A119&gt;'Recurring Schedule'!$P$11),"",IF(IF('Recurring Schedule'!$N$11&gt;0,MOD($A119-'Recurring Schedule'!$F$11,'Recurring Schedule'!$N$11)=0,IF('Recurring Schedule'!$O$11&gt;0,AND(DAY($A119)=MIN(DAY('Recurring Schedule'!$F$11),DAY(EOMONTH($A119,0))),MOD((YEAR($A119)-YEAR('Recurring Schedule'!$F$11))*12+MONTH($A119)-MONTH('Recurring Schedule'!$F$11),'Recurring Schedule'!$O$11)=0),IF('Recurring Schedule'!$E$11="Weekdays",WEEKDAY($A119,2)&lt;=5,$A119='Recurring Schedule'!$F$11))),6,""))))</f>
        <v/>
      </c>
      <c r="H119">
        <f>IF('Recurring Schedule'!$C$12="","",IF('Recurring Schedule'!$F$12="","",IF(OR($A119&lt;'Recurring Schedule'!$F$12,$A119&gt;'Recurring Schedule'!$P$12),"",IF(IF('Recurring Schedule'!$N$12&gt;0,MOD($A119-'Recurring Schedule'!$F$12,'Recurring Schedule'!$N$12)=0,IF('Recurring Schedule'!$O$12&gt;0,AND(DAY($A119)=MIN(DAY('Recurring Schedule'!$F$12),DAY(EOMONTH($A119,0))),MOD((YEAR($A119)-YEAR('Recurring Schedule'!$F$12))*12+MONTH($A119)-MONTH('Recurring Schedule'!$F$12),'Recurring Schedule'!$O$12)=0),IF('Recurring Schedule'!$E$12="Weekdays",WEEKDAY($A119,2)&lt;=5,$A119='Recurring Schedule'!$F$12))),7,""))))</f>
        <v/>
      </c>
      <c r="I119">
        <f>IF('Recurring Schedule'!$C$13="","",IF('Recurring Schedule'!$F$13="","",IF(OR($A119&lt;'Recurring Schedule'!$F$13,$A119&gt;'Recurring Schedule'!$P$13),"",IF(IF('Recurring Schedule'!$N$13&gt;0,MOD($A119-'Recurring Schedule'!$F$13,'Recurring Schedule'!$N$13)=0,IF('Recurring Schedule'!$O$13&gt;0,AND(DAY($A119)=MIN(DAY('Recurring Schedule'!$F$13),DAY(EOMONTH($A119,0))),MOD((YEAR($A119)-YEAR('Recurring Schedule'!$F$13))*12+MONTH($A119)-MONTH('Recurring Schedule'!$F$13),'Recurring Schedule'!$O$13)=0),IF('Recurring Schedule'!$E$13="Weekdays",WEEKDAY($A119,2)&lt;=5,$A119='Recurring Schedule'!$F$13))),8,""))))</f>
        <v/>
      </c>
      <c r="J119">
        <f>IF('Recurring Schedule'!$C$14="","",IF('Recurring Schedule'!$F$14="","",IF(OR($A119&lt;'Recurring Schedule'!$F$14,$A119&gt;'Recurring Schedule'!$P$14),"",IF(IF('Recurring Schedule'!$N$14&gt;0,MOD($A119-'Recurring Schedule'!$F$14,'Recurring Schedule'!$N$14)=0,IF('Recurring Schedule'!$O$14&gt;0,AND(DAY($A119)=MIN(DAY('Recurring Schedule'!$F$14),DAY(EOMONTH($A119,0))),MOD((YEAR($A119)-YEAR('Recurring Schedule'!$F$14))*12+MONTH($A119)-MONTH('Recurring Schedule'!$F$14),'Recurring Schedule'!$O$14)=0),IF('Recurring Schedule'!$E$14="Weekdays",WEEKDAY($A119,2)&lt;=5,$A119='Recurring Schedule'!$F$14))),9,""))))</f>
        <v/>
      </c>
      <c r="K119">
        <f>IF('Recurring Schedule'!$C$15="","",IF('Recurring Schedule'!$F$15="","",IF(OR($A119&lt;'Recurring Schedule'!$F$15,$A119&gt;'Recurring Schedule'!$P$15),"",IF(IF('Recurring Schedule'!$N$15&gt;0,MOD($A119-'Recurring Schedule'!$F$15,'Recurring Schedule'!$N$15)=0,IF('Recurring Schedule'!$O$15&gt;0,AND(DAY($A119)=MIN(DAY('Recurring Schedule'!$F$15),DAY(EOMONTH($A119,0))),MOD((YEAR($A119)-YEAR('Recurring Schedule'!$F$15))*12+MONTH($A119)-MONTH('Recurring Schedule'!$F$15),'Recurring Schedule'!$O$15)=0),IF('Recurring Schedule'!$E$15="Weekdays",WEEKDAY($A119,2)&lt;=5,$A119='Recurring Schedule'!$F$15))),10,""))))</f>
        <v/>
      </c>
      <c r="L119">
        <f>IF('Recurring Schedule'!$C$16="","",IF('Recurring Schedule'!$F$16="","",IF(OR($A119&lt;'Recurring Schedule'!$F$16,$A119&gt;'Recurring Schedule'!$P$16),"",IF(IF('Recurring Schedule'!$N$16&gt;0,MOD($A119-'Recurring Schedule'!$F$16,'Recurring Schedule'!$N$16)=0,IF('Recurring Schedule'!$O$16&gt;0,AND(DAY($A119)=MIN(DAY('Recurring Schedule'!$F$16),DAY(EOMONTH($A119,0))),MOD((YEAR($A119)-YEAR('Recurring Schedule'!$F$16))*12+MONTH($A119)-MONTH('Recurring Schedule'!$F$16),'Recurring Schedule'!$O$16)=0),IF('Recurring Schedule'!$E$16="Weekdays",WEEKDAY($A119,2)&lt;=5,$A119='Recurring Schedule'!$F$16))),11,""))))</f>
        <v/>
      </c>
      <c r="M119">
        <f>IF('Recurring Schedule'!$C$17="","",IF('Recurring Schedule'!$F$17="","",IF(OR($A119&lt;'Recurring Schedule'!$F$17,$A119&gt;'Recurring Schedule'!$P$17),"",IF(IF('Recurring Schedule'!$N$17&gt;0,MOD($A119-'Recurring Schedule'!$F$17,'Recurring Schedule'!$N$17)=0,IF('Recurring Schedule'!$O$17&gt;0,AND(DAY($A119)=MIN(DAY('Recurring Schedule'!$F$17),DAY(EOMONTH($A119,0))),MOD((YEAR($A119)-YEAR('Recurring Schedule'!$F$17))*12+MONTH($A119)-MONTH('Recurring Schedule'!$F$17),'Recurring Schedule'!$O$17)=0),IF('Recurring Schedule'!$E$17="Weekdays",WEEKDAY($A119,2)&lt;=5,$A119='Recurring Schedule'!$F$17))),12,""))))</f>
        <v/>
      </c>
      <c r="N119">
        <f>IF('Recurring Schedule'!$C$18="","",IF('Recurring Schedule'!$F$18="","",IF(OR($A119&lt;'Recurring Schedule'!$F$18,$A119&gt;'Recurring Schedule'!$P$18),"",IF(IF('Recurring Schedule'!$N$18&gt;0,MOD($A119-'Recurring Schedule'!$F$18,'Recurring Schedule'!$N$18)=0,IF('Recurring Schedule'!$O$18&gt;0,AND(DAY($A119)=MIN(DAY('Recurring Schedule'!$F$18),DAY(EOMONTH($A119,0))),MOD((YEAR($A119)-YEAR('Recurring Schedule'!$F$18))*12+MONTH($A119)-MONTH('Recurring Schedule'!$F$18),'Recurring Schedule'!$O$18)=0),IF('Recurring Schedule'!$E$18="Weekdays",WEEKDAY($A119,2)&lt;=5,$A119='Recurring Schedule'!$F$18))),13,""))))</f>
        <v/>
      </c>
      <c r="O119">
        <f>IF('Recurring Schedule'!$C$19="","",IF('Recurring Schedule'!$F$19="","",IF(OR($A119&lt;'Recurring Schedule'!$F$19,$A119&gt;'Recurring Schedule'!$P$19),"",IF(IF('Recurring Schedule'!$N$19&gt;0,MOD($A119-'Recurring Schedule'!$F$19,'Recurring Schedule'!$N$19)=0,IF('Recurring Schedule'!$O$19&gt;0,AND(DAY($A119)=MIN(DAY('Recurring Schedule'!$F$19),DAY(EOMONTH($A119,0))),MOD((YEAR($A119)-YEAR('Recurring Schedule'!$F$19))*12+MONTH($A119)-MONTH('Recurring Schedule'!$F$19),'Recurring Schedule'!$O$19)=0),IF('Recurring Schedule'!$E$19="Weekdays",WEEKDAY($A119,2)&lt;=5,$A119='Recurring Schedule'!$F$19))),14,""))))</f>
        <v/>
      </c>
      <c r="P119">
        <f>IF('Recurring Schedule'!$C$20="","",IF('Recurring Schedule'!$F$20="","",IF(OR($A119&lt;'Recurring Schedule'!$F$20,$A119&gt;'Recurring Schedule'!$P$20),"",IF(IF('Recurring Schedule'!$N$20&gt;0,MOD($A119-'Recurring Schedule'!$F$20,'Recurring Schedule'!$N$20)=0,IF('Recurring Schedule'!$O$20&gt;0,AND(DAY($A119)=MIN(DAY('Recurring Schedule'!$F$20),DAY(EOMONTH($A119,0))),MOD((YEAR($A119)-YEAR('Recurring Schedule'!$F$20))*12+MONTH($A119)-MONTH('Recurring Schedule'!$F$20),'Recurring Schedule'!$O$20)=0),IF('Recurring Schedule'!$E$20="Weekdays",WEEKDAY($A119,2)&lt;=5,$A119='Recurring Schedule'!$F$20))),15,""))))</f>
        <v/>
      </c>
      <c r="Q119">
        <f>IF('Recurring Schedule'!$C$21="","",IF('Recurring Schedule'!$F$21="","",IF(OR($A119&lt;'Recurring Schedule'!$F$21,$A119&gt;'Recurring Schedule'!$P$21),"",IF(IF('Recurring Schedule'!$N$21&gt;0,MOD($A119-'Recurring Schedule'!$F$21,'Recurring Schedule'!$N$21)=0,IF('Recurring Schedule'!$O$21&gt;0,AND(DAY($A119)=MIN(DAY('Recurring Schedule'!$F$21),DAY(EOMONTH($A119,0))),MOD((YEAR($A119)-YEAR('Recurring Schedule'!$F$21))*12+MONTH($A119)-MONTH('Recurring Schedule'!$F$21),'Recurring Schedule'!$O$21)=0),IF('Recurring Schedule'!$E$21="Weekdays",WEEKDAY($A119,2)&lt;=5,$A119='Recurring Schedule'!$F$21))),16,""))))</f>
        <v/>
      </c>
      <c r="R119">
        <f>IF('Recurring Schedule'!$C$22="","",IF('Recurring Schedule'!$F$22="","",IF(OR($A119&lt;'Recurring Schedule'!$F$22,$A119&gt;'Recurring Schedule'!$P$22),"",IF(IF('Recurring Schedule'!$N$22&gt;0,MOD($A119-'Recurring Schedule'!$F$22,'Recurring Schedule'!$N$22)=0,IF('Recurring Schedule'!$O$22&gt;0,AND(DAY($A119)=MIN(DAY('Recurring Schedule'!$F$22),DAY(EOMONTH($A119,0))),MOD((YEAR($A119)-YEAR('Recurring Schedule'!$F$22))*12+MONTH($A119)-MONTH('Recurring Schedule'!$F$22),'Recurring Schedule'!$O$22)=0),IF('Recurring Schedule'!$E$22="Weekdays",WEEKDAY($A119,2)&lt;=5,$A119='Recurring Schedule'!$F$22))),17,""))))</f>
        <v/>
      </c>
      <c r="S119">
        <f>IF('Recurring Schedule'!$C$23="","",IF('Recurring Schedule'!$F$23="","",IF(OR($A119&lt;'Recurring Schedule'!$F$23,$A119&gt;'Recurring Schedule'!$P$23),"",IF(IF('Recurring Schedule'!$N$23&gt;0,MOD($A119-'Recurring Schedule'!$F$23,'Recurring Schedule'!$N$23)=0,IF('Recurring Schedule'!$O$23&gt;0,AND(DAY($A119)=MIN(DAY('Recurring Schedule'!$F$23),DAY(EOMONTH($A119,0))),MOD((YEAR($A119)-YEAR('Recurring Schedule'!$F$23))*12+MONTH($A119)-MONTH('Recurring Schedule'!$F$23),'Recurring Schedule'!$O$23)=0),IF('Recurring Schedule'!$E$23="Weekdays",WEEKDAY($A119,2)&lt;=5,$A119='Recurring Schedule'!$F$23))),18,""))))</f>
        <v/>
      </c>
      <c r="T119">
        <f>IF('Recurring Schedule'!$C$24="","",IF('Recurring Schedule'!$F$24="","",IF(OR($A119&lt;'Recurring Schedule'!$F$24,$A119&gt;'Recurring Schedule'!$P$24),"",IF(IF('Recurring Schedule'!$N$24&gt;0,MOD($A119-'Recurring Schedule'!$F$24,'Recurring Schedule'!$N$24)=0,IF('Recurring Schedule'!$O$24&gt;0,AND(DAY($A119)=MIN(DAY('Recurring Schedule'!$F$24),DAY(EOMONTH($A119,0))),MOD((YEAR($A119)-YEAR('Recurring Schedule'!$F$24))*12+MONTH($A119)-MONTH('Recurring Schedule'!$F$24),'Recurring Schedule'!$O$24)=0),IF('Recurring Schedule'!$E$24="Weekdays",WEEKDAY($A119,2)&lt;=5,$A119='Recurring Schedule'!$F$24))),19,""))))</f>
        <v/>
      </c>
      <c r="U119">
        <f>IF('Recurring Schedule'!$C$25="","",IF('Recurring Schedule'!$F$25="","",IF(OR($A119&lt;'Recurring Schedule'!$F$25,$A119&gt;'Recurring Schedule'!$P$25),"",IF(IF('Recurring Schedule'!$N$25&gt;0,MOD($A119-'Recurring Schedule'!$F$25,'Recurring Schedule'!$N$25)=0,IF('Recurring Schedule'!$O$25&gt;0,AND(DAY($A119)=MIN(DAY('Recurring Schedule'!$F$25),DAY(EOMONTH($A119,0))),MOD((YEAR($A119)-YEAR('Recurring Schedule'!$F$25))*12+MONTH($A119)-MONTH('Recurring Schedule'!$F$25),'Recurring Schedule'!$O$25)=0),IF('Recurring Schedule'!$E$25="Weekdays",WEEKDAY($A119,2)&lt;=5,$A119='Recurring Schedule'!$F$25))),20,""))))</f>
        <v/>
      </c>
      <c r="V119">
        <f>IF('Recurring Schedule'!$C$26="","",IF('Recurring Schedule'!$F$26="","",IF(OR($A119&lt;'Recurring Schedule'!$F$26,$A119&gt;'Recurring Schedule'!$P$26),"",IF(IF('Recurring Schedule'!$N$26&gt;0,MOD($A119-'Recurring Schedule'!$F$26,'Recurring Schedule'!$N$26)=0,IF('Recurring Schedule'!$O$26&gt;0,AND(DAY($A119)=MIN(DAY('Recurring Schedule'!$F$26),DAY(EOMONTH($A119,0))),MOD((YEAR($A119)-YEAR('Recurring Schedule'!$F$26))*12+MONTH($A119)-MONTH('Recurring Schedule'!$F$26),'Recurring Schedule'!$O$26)=0),IF('Recurring Schedule'!$E$26="Weekdays",WEEKDAY($A119,2)&lt;=5,$A119='Recurring Schedule'!$F$26))),21,""))))</f>
        <v/>
      </c>
      <c r="W119">
        <f>IF('Recurring Schedule'!$C$27="","",IF('Recurring Schedule'!$F$27="","",IF(OR($A119&lt;'Recurring Schedule'!$F$27,$A119&gt;'Recurring Schedule'!$P$27),"",IF(IF('Recurring Schedule'!$N$27&gt;0,MOD($A119-'Recurring Schedule'!$F$27,'Recurring Schedule'!$N$27)=0,IF('Recurring Schedule'!$O$27&gt;0,AND(DAY($A119)=MIN(DAY('Recurring Schedule'!$F$27),DAY(EOMONTH($A119,0))),MOD((YEAR($A119)-YEAR('Recurring Schedule'!$F$27))*12+MONTH($A119)-MONTH('Recurring Schedule'!$F$27),'Recurring Schedule'!$O$27)=0),IF('Recurring Schedule'!$E$27="Weekdays",WEEKDAY($A119,2)&lt;=5,$A119='Recurring Schedule'!$F$27))),22,""))))</f>
        <v/>
      </c>
      <c r="X119">
        <f>IF('Recurring Schedule'!$C$28="","",IF('Recurring Schedule'!$F$28="","",IF(OR($A119&lt;'Recurring Schedule'!$F$28,$A119&gt;'Recurring Schedule'!$P$28),"",IF(IF('Recurring Schedule'!$N$28&gt;0,MOD($A119-'Recurring Schedule'!$F$28,'Recurring Schedule'!$N$28)=0,IF('Recurring Schedule'!$O$28&gt;0,AND(DAY($A119)=MIN(DAY('Recurring Schedule'!$F$28),DAY(EOMONTH($A119,0))),MOD((YEAR($A119)-YEAR('Recurring Schedule'!$F$28))*12+MONTH($A119)-MONTH('Recurring Schedule'!$F$28),'Recurring Schedule'!$O$28)=0),IF('Recurring Schedule'!$E$28="Weekdays",WEEKDAY($A119,2)&lt;=5,$A119='Recurring Schedule'!$F$28))),23,""))))</f>
        <v/>
      </c>
      <c r="Y119">
        <f>IF('Recurring Schedule'!$C$29="","",IF('Recurring Schedule'!$F$29="","",IF(OR($A119&lt;'Recurring Schedule'!$F$29,$A119&gt;'Recurring Schedule'!$P$29),"",IF(IF('Recurring Schedule'!$N$29&gt;0,MOD($A119-'Recurring Schedule'!$F$29,'Recurring Schedule'!$N$29)=0,IF('Recurring Schedule'!$O$29&gt;0,AND(DAY($A119)=MIN(DAY('Recurring Schedule'!$F$29),DAY(EOMONTH($A119,0))),MOD((YEAR($A119)-YEAR('Recurring Schedule'!$F$29))*12+MONTH($A119)-MONTH('Recurring Schedule'!$F$29),'Recurring Schedule'!$O$29)=0),IF('Recurring Schedule'!$E$29="Weekdays",WEEKDAY($A119,2)&lt;=5,$A119='Recurring Schedule'!$F$29))),24,""))))</f>
        <v/>
      </c>
      <c r="Z119">
        <f>IF('Recurring Schedule'!$C$30="","",IF('Recurring Schedule'!$F$30="","",IF(OR($A119&lt;'Recurring Schedule'!$F$30,$A119&gt;'Recurring Schedule'!$P$30),"",IF(IF('Recurring Schedule'!$N$30&gt;0,MOD($A119-'Recurring Schedule'!$F$30,'Recurring Schedule'!$N$30)=0,IF('Recurring Schedule'!$O$30&gt;0,AND(DAY($A119)=MIN(DAY('Recurring Schedule'!$F$30),DAY(EOMONTH($A119,0))),MOD((YEAR($A119)-YEAR('Recurring Schedule'!$F$30))*12+MONTH($A119)-MONTH('Recurring Schedule'!$F$30),'Recurring Schedule'!$O$30)=0),IF('Recurring Schedule'!$E$30="Weekdays",WEEKDAY($A119,2)&lt;=5,$A119='Recurring Schedule'!$F$30))),25,""))))</f>
        <v/>
      </c>
      <c r="AA119">
        <f>IF('Recurring Schedule'!$C$31="","",IF('Recurring Schedule'!$F$31="","",IF(OR($A119&lt;'Recurring Schedule'!$F$31,$A119&gt;'Recurring Schedule'!$P$31),"",IF(IF('Recurring Schedule'!$N$31&gt;0,MOD($A119-'Recurring Schedule'!$F$31,'Recurring Schedule'!$N$31)=0,IF('Recurring Schedule'!$O$31&gt;0,AND(DAY($A119)=MIN(DAY('Recurring Schedule'!$F$31),DAY(EOMONTH($A119,0))),MOD((YEAR($A119)-YEAR('Recurring Schedule'!$F$31))*12+MONTH($A119)-MONTH('Recurring Schedule'!$F$31),'Recurring Schedule'!$O$31)=0),IF('Recurring Schedule'!$E$31="Weekdays",WEEKDAY($A119,2)&lt;=5,$A119='Recurring Schedule'!$F$31))),26,""))))</f>
        <v/>
      </c>
      <c r="AB119">
        <f>IF('Recurring Schedule'!$C$32="","",IF('Recurring Schedule'!$F$32="","",IF(OR($A119&lt;'Recurring Schedule'!$F$32,$A119&gt;'Recurring Schedule'!$P$32),"",IF(IF('Recurring Schedule'!$N$32&gt;0,MOD($A119-'Recurring Schedule'!$F$32,'Recurring Schedule'!$N$32)=0,IF('Recurring Schedule'!$O$32&gt;0,AND(DAY($A119)=MIN(DAY('Recurring Schedule'!$F$32),DAY(EOMONTH($A119,0))),MOD((YEAR($A119)-YEAR('Recurring Schedule'!$F$32))*12+MONTH($A119)-MONTH('Recurring Schedule'!$F$32),'Recurring Schedule'!$O$32)=0),IF('Recurring Schedule'!$E$32="Weekdays",WEEKDAY($A119,2)&lt;=5,$A119='Recurring Schedule'!$F$32))),27,""))))</f>
        <v/>
      </c>
      <c r="AC119">
        <f>IF('Recurring Schedule'!$C$33="","",IF('Recurring Schedule'!$F$33="","",IF(OR($A119&lt;'Recurring Schedule'!$F$33,$A119&gt;'Recurring Schedule'!$P$33),"",IF(IF('Recurring Schedule'!$N$33&gt;0,MOD($A119-'Recurring Schedule'!$F$33,'Recurring Schedule'!$N$33)=0,IF('Recurring Schedule'!$O$33&gt;0,AND(DAY($A119)=MIN(DAY('Recurring Schedule'!$F$33),DAY(EOMONTH($A119,0))),MOD((YEAR($A119)-YEAR('Recurring Schedule'!$F$33))*12+MONTH($A119)-MONTH('Recurring Schedule'!$F$33),'Recurring Schedule'!$O$33)=0),IF('Recurring Schedule'!$E$33="Weekdays",WEEKDAY($A119,2)&lt;=5,$A119='Recurring Schedule'!$F$33))),28,""))))</f>
        <v/>
      </c>
      <c r="AD119">
        <f>IF('Recurring Schedule'!$C$34="","",IF('Recurring Schedule'!$F$34="","",IF(OR($A119&lt;'Recurring Schedule'!$F$34,$A119&gt;'Recurring Schedule'!$P$34),"",IF(IF('Recurring Schedule'!$N$34&gt;0,MOD($A119-'Recurring Schedule'!$F$34,'Recurring Schedule'!$N$34)=0,IF('Recurring Schedule'!$O$34&gt;0,AND(DAY($A119)=MIN(DAY('Recurring Schedule'!$F$34),DAY(EOMONTH($A119,0))),MOD((YEAR($A119)-YEAR('Recurring Schedule'!$F$34))*12+MONTH($A119)-MONTH('Recurring Schedule'!$F$34),'Recurring Schedule'!$O$34)=0),IF('Recurring Schedule'!$E$34="Weekdays",WEEKDAY($A119,2)&lt;=5,$A119='Recurring Schedule'!$F$34))),29,""))))</f>
        <v/>
      </c>
      <c r="AE119">
        <f>IF('Recurring Schedule'!$C$35="","",IF('Recurring Schedule'!$F$35="","",IF(OR($A119&lt;'Recurring Schedule'!$F$35,$A119&gt;'Recurring Schedule'!$P$35),"",IF(IF('Recurring Schedule'!$N$35&gt;0,MOD($A119-'Recurring Schedule'!$F$35,'Recurring Schedule'!$N$35)=0,IF('Recurring Schedule'!$O$35&gt;0,AND(DAY($A119)=MIN(DAY('Recurring Schedule'!$F$35),DAY(EOMONTH($A119,0))),MOD((YEAR($A119)-YEAR('Recurring Schedule'!$F$35))*12+MONTH($A119)-MONTH('Recurring Schedule'!$F$35),'Recurring Schedule'!$O$35)=0),IF('Recurring Schedule'!$E$35="Weekdays",WEEKDAY($A119,2)&lt;=5,$A119='Recurring Schedule'!$F$35))),30,""))))</f>
        <v/>
      </c>
      <c r="AF119">
        <f>IF('Recurring Schedule'!$C$36="","",IF('Recurring Schedule'!$F$36="","",IF(OR($A119&lt;'Recurring Schedule'!$F$36,$A119&gt;'Recurring Schedule'!$P$36),"",IF(IF('Recurring Schedule'!$N$36&gt;0,MOD($A119-'Recurring Schedule'!$F$36,'Recurring Schedule'!$N$36)=0,IF('Recurring Schedule'!$O$36&gt;0,AND(DAY($A119)=MIN(DAY('Recurring Schedule'!$F$36),DAY(EOMONTH($A119,0))),MOD((YEAR($A119)-YEAR('Recurring Schedule'!$F$36))*12+MONTH($A119)-MONTH('Recurring Schedule'!$F$36),'Recurring Schedule'!$O$36)=0),IF('Recurring Schedule'!$E$36="Weekdays",WEEKDAY($A119,2)&lt;=5,$A119='Recurring Schedule'!$F$36))),31,""))))</f>
        <v/>
      </c>
      <c r="AG119">
        <f>IF('Recurring Schedule'!$C$37="","",IF('Recurring Schedule'!$F$37="","",IF(OR($A119&lt;'Recurring Schedule'!$F$37,$A119&gt;'Recurring Schedule'!$P$37),"",IF(IF('Recurring Schedule'!$N$37&gt;0,MOD($A119-'Recurring Schedule'!$F$37,'Recurring Schedule'!$N$37)=0,IF('Recurring Schedule'!$O$37&gt;0,AND(DAY($A119)=MIN(DAY('Recurring Schedule'!$F$37),DAY(EOMONTH($A119,0))),MOD((YEAR($A119)-YEAR('Recurring Schedule'!$F$37))*12+MONTH($A119)-MONTH('Recurring Schedule'!$F$37),'Recurring Schedule'!$O$37)=0),IF('Recurring Schedule'!$E$37="Weekdays",WEEKDAY($A119,2)&lt;=5,$A119='Recurring Schedule'!$F$37))),32,""))))</f>
        <v/>
      </c>
      <c r="AH119">
        <f>IF('Recurring Schedule'!$C$38="","",IF('Recurring Schedule'!$F$38="","",IF(OR($A119&lt;'Recurring Schedule'!$F$38,$A119&gt;'Recurring Schedule'!$P$38),"",IF(IF('Recurring Schedule'!$N$38&gt;0,MOD($A119-'Recurring Schedule'!$F$38,'Recurring Schedule'!$N$38)=0,IF('Recurring Schedule'!$O$38&gt;0,AND(DAY($A119)=MIN(DAY('Recurring Schedule'!$F$38),DAY(EOMONTH($A119,0))),MOD((YEAR($A119)-YEAR('Recurring Schedule'!$F$38))*12+MONTH($A119)-MONTH('Recurring Schedule'!$F$38),'Recurring Schedule'!$O$38)=0),IF('Recurring Schedule'!$E$38="Weekdays",WEEKDAY($A119,2)&lt;=5,$A119='Recurring Schedule'!$F$38))),33,""))))</f>
        <v/>
      </c>
      <c r="AI119">
        <f>IF('Recurring Schedule'!$C$39="","",IF('Recurring Schedule'!$F$39="","",IF(OR($A119&lt;'Recurring Schedule'!$F$39,$A119&gt;'Recurring Schedule'!$P$39),"",IF(IF('Recurring Schedule'!$N$39&gt;0,MOD($A119-'Recurring Schedule'!$F$39,'Recurring Schedule'!$N$39)=0,IF('Recurring Schedule'!$O$39&gt;0,AND(DAY($A119)=MIN(DAY('Recurring Schedule'!$F$39),DAY(EOMONTH($A119,0))),MOD((YEAR($A119)-YEAR('Recurring Schedule'!$F$39))*12+MONTH($A119)-MONTH('Recurring Schedule'!$F$39),'Recurring Schedule'!$O$39)=0),IF('Recurring Schedule'!$E$39="Weekdays",WEEKDAY($A119,2)&lt;=5,$A119='Recurring Schedule'!$F$39))),34,""))))</f>
        <v/>
      </c>
      <c r="AJ119">
        <f>IF('Recurring Schedule'!$C$40="","",IF('Recurring Schedule'!$F$40="","",IF(OR($A119&lt;'Recurring Schedule'!$F$40,$A119&gt;'Recurring Schedule'!$P$40),"",IF(IF('Recurring Schedule'!$N$40&gt;0,MOD($A119-'Recurring Schedule'!$F$40,'Recurring Schedule'!$N$40)=0,IF('Recurring Schedule'!$O$40&gt;0,AND(DAY($A119)=MIN(DAY('Recurring Schedule'!$F$40),DAY(EOMONTH($A119,0))),MOD((YEAR($A119)-YEAR('Recurring Schedule'!$F$40))*12+MONTH($A119)-MONTH('Recurring Schedule'!$F$40),'Recurring Schedule'!$O$40)=0),IF('Recurring Schedule'!$E$40="Weekdays",WEEKDAY($A119,2)&lt;=5,$A119='Recurring Schedule'!$F$40))),35,""))))</f>
        <v/>
      </c>
      <c r="AK119">
        <f>IF('Recurring Schedule'!$C$41="","",IF('Recurring Schedule'!$F$41="","",IF(OR($A119&lt;'Recurring Schedule'!$F$41,$A119&gt;'Recurring Schedule'!$P$41),"",IF(IF('Recurring Schedule'!$N$41&gt;0,MOD($A119-'Recurring Schedule'!$F$41,'Recurring Schedule'!$N$41)=0,IF('Recurring Schedule'!$O$41&gt;0,AND(DAY($A119)=MIN(DAY('Recurring Schedule'!$F$41),DAY(EOMONTH($A119,0))),MOD((YEAR($A119)-YEAR('Recurring Schedule'!$F$41))*12+MONTH($A119)-MONTH('Recurring Schedule'!$F$41),'Recurring Schedule'!$O$41)=0),IF('Recurring Schedule'!$E$41="Weekdays",WEEKDAY($A119,2)&lt;=5,$A119='Recurring Schedule'!$F$41))),36,""))))</f>
        <v/>
      </c>
      <c r="AL119">
        <f>IF('Recurring Schedule'!$C$42="","",IF('Recurring Schedule'!$F$42="","",IF(OR($A119&lt;'Recurring Schedule'!$F$42,$A119&gt;'Recurring Schedule'!$P$42),"",IF(IF('Recurring Schedule'!$N$42&gt;0,MOD($A119-'Recurring Schedule'!$F$42,'Recurring Schedule'!$N$42)=0,IF('Recurring Schedule'!$O$42&gt;0,AND(DAY($A119)=MIN(DAY('Recurring Schedule'!$F$42),DAY(EOMONTH($A119,0))),MOD((YEAR($A119)-YEAR('Recurring Schedule'!$F$42))*12+MONTH($A119)-MONTH('Recurring Schedule'!$F$42),'Recurring Schedule'!$O$42)=0),IF('Recurring Schedule'!$E$42="Weekdays",WEEKDAY($A119,2)&lt;=5,$A119='Recurring Schedule'!$F$42))),37,""))))</f>
        <v/>
      </c>
      <c r="AM119">
        <f>IF('Recurring Schedule'!$C$43="","",IF('Recurring Schedule'!$F$43="","",IF(OR($A119&lt;'Recurring Schedule'!$F$43,$A119&gt;'Recurring Schedule'!$P$43),"",IF(IF('Recurring Schedule'!$N$43&gt;0,MOD($A119-'Recurring Schedule'!$F$43,'Recurring Schedule'!$N$43)=0,IF('Recurring Schedule'!$O$43&gt;0,AND(DAY($A119)=MIN(DAY('Recurring Schedule'!$F$43),DAY(EOMONTH($A119,0))),MOD((YEAR($A119)-YEAR('Recurring Schedule'!$F$43))*12+MONTH($A119)-MONTH('Recurring Schedule'!$F$43),'Recurring Schedule'!$O$43)=0),IF('Recurring Schedule'!$E$43="Weekdays",WEEKDAY($A119,2)&lt;=5,$A119='Recurring Schedule'!$F$43))),38,""))))</f>
        <v/>
      </c>
      <c r="AN119">
        <f>IF('Recurring Schedule'!$C$44="","",IF('Recurring Schedule'!$F$44="","",IF(OR($A119&lt;'Recurring Schedule'!$F$44,$A119&gt;'Recurring Schedule'!$P$44),"",IF(IF('Recurring Schedule'!$N$44&gt;0,MOD($A119-'Recurring Schedule'!$F$44,'Recurring Schedule'!$N$44)=0,IF('Recurring Schedule'!$O$44&gt;0,AND(DAY($A119)=MIN(DAY('Recurring Schedule'!$F$44),DAY(EOMONTH($A119,0))),MOD((YEAR($A119)-YEAR('Recurring Schedule'!$F$44))*12+MONTH($A119)-MONTH('Recurring Schedule'!$F$44),'Recurring Schedule'!$O$44)=0),IF('Recurring Schedule'!$E$44="Weekdays",WEEKDAY($A119,2)&lt;=5,$A119='Recurring Schedule'!$F$44))),39,""))))</f>
        <v/>
      </c>
      <c r="AO119">
        <f>IF('Recurring Schedule'!$C$45="","",IF('Recurring Schedule'!$F$45="","",IF(OR($A119&lt;'Recurring Schedule'!$F$45,$A119&gt;'Recurring Schedule'!$P$45),"",IF(IF('Recurring Schedule'!$N$45&gt;0,MOD($A119-'Recurring Schedule'!$F$45,'Recurring Schedule'!$N$45)=0,IF('Recurring Schedule'!$O$45&gt;0,AND(DAY($A119)=MIN(DAY('Recurring Schedule'!$F$45),DAY(EOMONTH($A119,0))),MOD((YEAR($A119)-YEAR('Recurring Schedule'!$F$45))*12+MONTH($A119)-MONTH('Recurring Schedule'!$F$45),'Recurring Schedule'!$O$45)=0),IF('Recurring Schedule'!$E$45="Weekdays",WEEKDAY($A119,2)&lt;=5,$A119='Recurring Schedule'!$F$45))),40,""))))</f>
        <v/>
      </c>
      <c r="AP119">
        <f>COUNT(B119:AO119)</f>
        <v/>
      </c>
      <c r="AQ119">
        <f>AQ118+AP118</f>
        <v/>
      </c>
      <c r="AS119" t="inlineStr">
        <is>
          <t>R</t>
        </is>
      </c>
      <c r="AT119" t="n">
        <v>123</v>
      </c>
      <c r="AU119">
        <f>'Recurring Log'!C123&amp;""</f>
        <v/>
      </c>
      <c r="AV119">
        <f>'Recurring Log'!D123&amp;""</f>
        <v/>
      </c>
      <c r="AW119">
        <f>IF('Recurring Log'!E123="","",'Recurring Log'!E123)</f>
        <v/>
      </c>
      <c r="AX119">
        <f>IF('Recurring Log'!G123="","",'Recurring Log'!G123)</f>
        <v/>
      </c>
      <c r="AY119">
        <f>IF('Recurring Log'!H123="","",'Recurring Log'!H123)</f>
        <v/>
      </c>
      <c r="AZ119">
        <f>IF(AU119="","",IF('Recurring Log'!J123="","Not Started",'Recurring Log'!J123))</f>
        <v/>
      </c>
      <c r="BA119">
        <f>'Recurring Log'!L123&amp;""</f>
        <v/>
      </c>
      <c r="BB119">
        <f>'Recurring Log'!M123&amp;""</f>
        <v/>
      </c>
      <c r="BC119">
        <f>'Recurring Log'!N123&amp;""</f>
        <v/>
      </c>
      <c r="BD119">
        <f>'Recurring Log'!O123&amp;""</f>
        <v/>
      </c>
      <c r="BE119">
        <f>IF('Recurring Log'!K123="","",'Recurring Log'!K123)</f>
        <v/>
      </c>
      <c r="BF119">
        <f>IFERROR(MATCH(BA119,Setup!$L$6:$L$9,0),5)</f>
        <v/>
      </c>
      <c r="BG119">
        <f>IF(OR(AZ119="Done",AZ119="Cancelled"),1,0)</f>
        <v/>
      </c>
      <c r="BH119">
        <f>IF(AND(AU119&lt;&gt;"",ISNUMBER(AW119)),1,0)</f>
        <v/>
      </c>
      <c r="BI119">
        <f>IF(BH119=0,0,IF(AND(AW119&gt;='Tasks Filter'!$F$3,AW119&lt;='Tasks Filter'!$F$4,OR('Tasks Filter'!$I$3="",ISNUMBER(SEARCH('Tasks Filter'!$I$3,AU119))),OR('Tasks Filter'!$I$4="",BF119=IFERROR(MATCH('Tasks Filter'!$I$4,Setup!$L$6:$L$9,0),0)),OR('Tasks Filter'!$I$5="Both",AND('Tasks Filter'!$I$5="Yes",BB119="✓"),AND('Tasks Filter'!$I$5="No",BB119&lt;&gt;"✓")),OR('Tasks Filter'!$L$3="",AV119='Tasks Filter'!$L$3),OR('Tasks Filter'!$L$4="",AZ119='Tasks Filter'!$L$4),OR('Tasks Filter'!$L$5="",BC119='Tasks Filter'!$L$5),OR('Tasks Filter'!$O$3="",BD119='Tasks Filter'!$O$3),OR('Tasks Filter'!$O$4="Yes",BG119=0)),1,0))</f>
        <v/>
      </c>
      <c r="BJ119">
        <f>IF(BH119=0,"",IF('Tasks Filter'!$F$6="Descending",-1,1)*CHOOSE(MATCH('Tasks Filter'!$F$5,Lists!$G$2:$G$6,0),AW119,BF119,IFERROR(MATCH(AV119,Setup!$F$6:$F$15,0),99),IFERROR(MATCH(BC119,Setup!$H$6:$H$15,0),99),IFERROR(MATCH(AZ119,Setup!$J$6:$J$11,0),99))*1E+9+(AW119-40000)*10000+118)</f>
        <v/>
      </c>
      <c r="BK119">
        <f>IF(BI119=1,BJ119,"")</f>
        <v/>
      </c>
      <c r="BL119">
        <f>IF(AND(BH119=1,BG119=0,N(AW119)&lt;Setup!$D$7),(AW119-40000)*10000+118,"")</f>
        <v/>
      </c>
      <c r="BM119">
        <f>IF(AND(BH119=1,AZ119&lt;&gt;"Cancelled",N(AW119)&gt;=Dashboard!$AB$3,N(AW119)&lt;=Dashboard!$AB$3+6),(AW119-40000)*100000+BF119*10000+118,"")</f>
        <v/>
      </c>
      <c r="BN119">
        <f>IF(AND(BH119=1,AZ119&lt;&gt;"Cancelled"),BF119*10000+118,"")</f>
        <v/>
      </c>
    </row>
    <row r="120">
      <c r="A120">
        <f>Setup!$D$5+118</f>
        <v/>
      </c>
      <c r="B120">
        <f>IF('Recurring Schedule'!$C$6="","",IF('Recurring Schedule'!$F$6="","",IF(OR($A120&lt;'Recurring Schedule'!$F$6,$A120&gt;'Recurring Schedule'!$P$6),"",IF(IF('Recurring Schedule'!$N$6&gt;0,MOD($A120-'Recurring Schedule'!$F$6,'Recurring Schedule'!$N$6)=0,IF('Recurring Schedule'!$O$6&gt;0,AND(DAY($A120)=MIN(DAY('Recurring Schedule'!$F$6),DAY(EOMONTH($A120,0))),MOD((YEAR($A120)-YEAR('Recurring Schedule'!$F$6))*12+MONTH($A120)-MONTH('Recurring Schedule'!$F$6),'Recurring Schedule'!$O$6)=0),IF('Recurring Schedule'!$E$6="Weekdays",WEEKDAY($A120,2)&lt;=5,$A120='Recurring Schedule'!$F$6))),1,""))))</f>
        <v/>
      </c>
      <c r="C120">
        <f>IF('Recurring Schedule'!$C$7="","",IF('Recurring Schedule'!$F$7="","",IF(OR($A120&lt;'Recurring Schedule'!$F$7,$A120&gt;'Recurring Schedule'!$P$7),"",IF(IF('Recurring Schedule'!$N$7&gt;0,MOD($A120-'Recurring Schedule'!$F$7,'Recurring Schedule'!$N$7)=0,IF('Recurring Schedule'!$O$7&gt;0,AND(DAY($A120)=MIN(DAY('Recurring Schedule'!$F$7),DAY(EOMONTH($A120,0))),MOD((YEAR($A120)-YEAR('Recurring Schedule'!$F$7))*12+MONTH($A120)-MONTH('Recurring Schedule'!$F$7),'Recurring Schedule'!$O$7)=0),IF('Recurring Schedule'!$E$7="Weekdays",WEEKDAY($A120,2)&lt;=5,$A120='Recurring Schedule'!$F$7))),2,""))))</f>
        <v/>
      </c>
      <c r="D120">
        <f>IF('Recurring Schedule'!$C$8="","",IF('Recurring Schedule'!$F$8="","",IF(OR($A120&lt;'Recurring Schedule'!$F$8,$A120&gt;'Recurring Schedule'!$P$8),"",IF(IF('Recurring Schedule'!$N$8&gt;0,MOD($A120-'Recurring Schedule'!$F$8,'Recurring Schedule'!$N$8)=0,IF('Recurring Schedule'!$O$8&gt;0,AND(DAY($A120)=MIN(DAY('Recurring Schedule'!$F$8),DAY(EOMONTH($A120,0))),MOD((YEAR($A120)-YEAR('Recurring Schedule'!$F$8))*12+MONTH($A120)-MONTH('Recurring Schedule'!$F$8),'Recurring Schedule'!$O$8)=0),IF('Recurring Schedule'!$E$8="Weekdays",WEEKDAY($A120,2)&lt;=5,$A120='Recurring Schedule'!$F$8))),3,""))))</f>
        <v/>
      </c>
      <c r="E120">
        <f>IF('Recurring Schedule'!$C$9="","",IF('Recurring Schedule'!$F$9="","",IF(OR($A120&lt;'Recurring Schedule'!$F$9,$A120&gt;'Recurring Schedule'!$P$9),"",IF(IF('Recurring Schedule'!$N$9&gt;0,MOD($A120-'Recurring Schedule'!$F$9,'Recurring Schedule'!$N$9)=0,IF('Recurring Schedule'!$O$9&gt;0,AND(DAY($A120)=MIN(DAY('Recurring Schedule'!$F$9),DAY(EOMONTH($A120,0))),MOD((YEAR($A120)-YEAR('Recurring Schedule'!$F$9))*12+MONTH($A120)-MONTH('Recurring Schedule'!$F$9),'Recurring Schedule'!$O$9)=0),IF('Recurring Schedule'!$E$9="Weekdays",WEEKDAY($A120,2)&lt;=5,$A120='Recurring Schedule'!$F$9))),4,""))))</f>
        <v/>
      </c>
      <c r="F120">
        <f>IF('Recurring Schedule'!$C$10="","",IF('Recurring Schedule'!$F$10="","",IF(OR($A120&lt;'Recurring Schedule'!$F$10,$A120&gt;'Recurring Schedule'!$P$10),"",IF(IF('Recurring Schedule'!$N$10&gt;0,MOD($A120-'Recurring Schedule'!$F$10,'Recurring Schedule'!$N$10)=0,IF('Recurring Schedule'!$O$10&gt;0,AND(DAY($A120)=MIN(DAY('Recurring Schedule'!$F$10),DAY(EOMONTH($A120,0))),MOD((YEAR($A120)-YEAR('Recurring Schedule'!$F$10))*12+MONTH($A120)-MONTH('Recurring Schedule'!$F$10),'Recurring Schedule'!$O$10)=0),IF('Recurring Schedule'!$E$10="Weekdays",WEEKDAY($A120,2)&lt;=5,$A120='Recurring Schedule'!$F$10))),5,""))))</f>
        <v/>
      </c>
      <c r="G120">
        <f>IF('Recurring Schedule'!$C$11="","",IF('Recurring Schedule'!$F$11="","",IF(OR($A120&lt;'Recurring Schedule'!$F$11,$A120&gt;'Recurring Schedule'!$P$11),"",IF(IF('Recurring Schedule'!$N$11&gt;0,MOD($A120-'Recurring Schedule'!$F$11,'Recurring Schedule'!$N$11)=0,IF('Recurring Schedule'!$O$11&gt;0,AND(DAY($A120)=MIN(DAY('Recurring Schedule'!$F$11),DAY(EOMONTH($A120,0))),MOD((YEAR($A120)-YEAR('Recurring Schedule'!$F$11))*12+MONTH($A120)-MONTH('Recurring Schedule'!$F$11),'Recurring Schedule'!$O$11)=0),IF('Recurring Schedule'!$E$11="Weekdays",WEEKDAY($A120,2)&lt;=5,$A120='Recurring Schedule'!$F$11))),6,""))))</f>
        <v/>
      </c>
      <c r="H120">
        <f>IF('Recurring Schedule'!$C$12="","",IF('Recurring Schedule'!$F$12="","",IF(OR($A120&lt;'Recurring Schedule'!$F$12,$A120&gt;'Recurring Schedule'!$P$12),"",IF(IF('Recurring Schedule'!$N$12&gt;0,MOD($A120-'Recurring Schedule'!$F$12,'Recurring Schedule'!$N$12)=0,IF('Recurring Schedule'!$O$12&gt;0,AND(DAY($A120)=MIN(DAY('Recurring Schedule'!$F$12),DAY(EOMONTH($A120,0))),MOD((YEAR($A120)-YEAR('Recurring Schedule'!$F$12))*12+MONTH($A120)-MONTH('Recurring Schedule'!$F$12),'Recurring Schedule'!$O$12)=0),IF('Recurring Schedule'!$E$12="Weekdays",WEEKDAY($A120,2)&lt;=5,$A120='Recurring Schedule'!$F$12))),7,""))))</f>
        <v/>
      </c>
      <c r="I120">
        <f>IF('Recurring Schedule'!$C$13="","",IF('Recurring Schedule'!$F$13="","",IF(OR($A120&lt;'Recurring Schedule'!$F$13,$A120&gt;'Recurring Schedule'!$P$13),"",IF(IF('Recurring Schedule'!$N$13&gt;0,MOD($A120-'Recurring Schedule'!$F$13,'Recurring Schedule'!$N$13)=0,IF('Recurring Schedule'!$O$13&gt;0,AND(DAY($A120)=MIN(DAY('Recurring Schedule'!$F$13),DAY(EOMONTH($A120,0))),MOD((YEAR($A120)-YEAR('Recurring Schedule'!$F$13))*12+MONTH($A120)-MONTH('Recurring Schedule'!$F$13),'Recurring Schedule'!$O$13)=0),IF('Recurring Schedule'!$E$13="Weekdays",WEEKDAY($A120,2)&lt;=5,$A120='Recurring Schedule'!$F$13))),8,""))))</f>
        <v/>
      </c>
      <c r="J120">
        <f>IF('Recurring Schedule'!$C$14="","",IF('Recurring Schedule'!$F$14="","",IF(OR($A120&lt;'Recurring Schedule'!$F$14,$A120&gt;'Recurring Schedule'!$P$14),"",IF(IF('Recurring Schedule'!$N$14&gt;0,MOD($A120-'Recurring Schedule'!$F$14,'Recurring Schedule'!$N$14)=0,IF('Recurring Schedule'!$O$14&gt;0,AND(DAY($A120)=MIN(DAY('Recurring Schedule'!$F$14),DAY(EOMONTH($A120,0))),MOD((YEAR($A120)-YEAR('Recurring Schedule'!$F$14))*12+MONTH($A120)-MONTH('Recurring Schedule'!$F$14),'Recurring Schedule'!$O$14)=0),IF('Recurring Schedule'!$E$14="Weekdays",WEEKDAY($A120,2)&lt;=5,$A120='Recurring Schedule'!$F$14))),9,""))))</f>
        <v/>
      </c>
      <c r="K120">
        <f>IF('Recurring Schedule'!$C$15="","",IF('Recurring Schedule'!$F$15="","",IF(OR($A120&lt;'Recurring Schedule'!$F$15,$A120&gt;'Recurring Schedule'!$P$15),"",IF(IF('Recurring Schedule'!$N$15&gt;0,MOD($A120-'Recurring Schedule'!$F$15,'Recurring Schedule'!$N$15)=0,IF('Recurring Schedule'!$O$15&gt;0,AND(DAY($A120)=MIN(DAY('Recurring Schedule'!$F$15),DAY(EOMONTH($A120,0))),MOD((YEAR($A120)-YEAR('Recurring Schedule'!$F$15))*12+MONTH($A120)-MONTH('Recurring Schedule'!$F$15),'Recurring Schedule'!$O$15)=0),IF('Recurring Schedule'!$E$15="Weekdays",WEEKDAY($A120,2)&lt;=5,$A120='Recurring Schedule'!$F$15))),10,""))))</f>
        <v/>
      </c>
      <c r="L120">
        <f>IF('Recurring Schedule'!$C$16="","",IF('Recurring Schedule'!$F$16="","",IF(OR($A120&lt;'Recurring Schedule'!$F$16,$A120&gt;'Recurring Schedule'!$P$16),"",IF(IF('Recurring Schedule'!$N$16&gt;0,MOD($A120-'Recurring Schedule'!$F$16,'Recurring Schedule'!$N$16)=0,IF('Recurring Schedule'!$O$16&gt;0,AND(DAY($A120)=MIN(DAY('Recurring Schedule'!$F$16),DAY(EOMONTH($A120,0))),MOD((YEAR($A120)-YEAR('Recurring Schedule'!$F$16))*12+MONTH($A120)-MONTH('Recurring Schedule'!$F$16),'Recurring Schedule'!$O$16)=0),IF('Recurring Schedule'!$E$16="Weekdays",WEEKDAY($A120,2)&lt;=5,$A120='Recurring Schedule'!$F$16))),11,""))))</f>
        <v/>
      </c>
      <c r="M120">
        <f>IF('Recurring Schedule'!$C$17="","",IF('Recurring Schedule'!$F$17="","",IF(OR($A120&lt;'Recurring Schedule'!$F$17,$A120&gt;'Recurring Schedule'!$P$17),"",IF(IF('Recurring Schedule'!$N$17&gt;0,MOD($A120-'Recurring Schedule'!$F$17,'Recurring Schedule'!$N$17)=0,IF('Recurring Schedule'!$O$17&gt;0,AND(DAY($A120)=MIN(DAY('Recurring Schedule'!$F$17),DAY(EOMONTH($A120,0))),MOD((YEAR($A120)-YEAR('Recurring Schedule'!$F$17))*12+MONTH($A120)-MONTH('Recurring Schedule'!$F$17),'Recurring Schedule'!$O$17)=0),IF('Recurring Schedule'!$E$17="Weekdays",WEEKDAY($A120,2)&lt;=5,$A120='Recurring Schedule'!$F$17))),12,""))))</f>
        <v/>
      </c>
      <c r="N120">
        <f>IF('Recurring Schedule'!$C$18="","",IF('Recurring Schedule'!$F$18="","",IF(OR($A120&lt;'Recurring Schedule'!$F$18,$A120&gt;'Recurring Schedule'!$P$18),"",IF(IF('Recurring Schedule'!$N$18&gt;0,MOD($A120-'Recurring Schedule'!$F$18,'Recurring Schedule'!$N$18)=0,IF('Recurring Schedule'!$O$18&gt;0,AND(DAY($A120)=MIN(DAY('Recurring Schedule'!$F$18),DAY(EOMONTH($A120,0))),MOD((YEAR($A120)-YEAR('Recurring Schedule'!$F$18))*12+MONTH($A120)-MONTH('Recurring Schedule'!$F$18),'Recurring Schedule'!$O$18)=0),IF('Recurring Schedule'!$E$18="Weekdays",WEEKDAY($A120,2)&lt;=5,$A120='Recurring Schedule'!$F$18))),13,""))))</f>
        <v/>
      </c>
      <c r="O120">
        <f>IF('Recurring Schedule'!$C$19="","",IF('Recurring Schedule'!$F$19="","",IF(OR($A120&lt;'Recurring Schedule'!$F$19,$A120&gt;'Recurring Schedule'!$P$19),"",IF(IF('Recurring Schedule'!$N$19&gt;0,MOD($A120-'Recurring Schedule'!$F$19,'Recurring Schedule'!$N$19)=0,IF('Recurring Schedule'!$O$19&gt;0,AND(DAY($A120)=MIN(DAY('Recurring Schedule'!$F$19),DAY(EOMONTH($A120,0))),MOD((YEAR($A120)-YEAR('Recurring Schedule'!$F$19))*12+MONTH($A120)-MONTH('Recurring Schedule'!$F$19),'Recurring Schedule'!$O$19)=0),IF('Recurring Schedule'!$E$19="Weekdays",WEEKDAY($A120,2)&lt;=5,$A120='Recurring Schedule'!$F$19))),14,""))))</f>
        <v/>
      </c>
      <c r="P120">
        <f>IF('Recurring Schedule'!$C$20="","",IF('Recurring Schedule'!$F$20="","",IF(OR($A120&lt;'Recurring Schedule'!$F$20,$A120&gt;'Recurring Schedule'!$P$20),"",IF(IF('Recurring Schedule'!$N$20&gt;0,MOD($A120-'Recurring Schedule'!$F$20,'Recurring Schedule'!$N$20)=0,IF('Recurring Schedule'!$O$20&gt;0,AND(DAY($A120)=MIN(DAY('Recurring Schedule'!$F$20),DAY(EOMONTH($A120,0))),MOD((YEAR($A120)-YEAR('Recurring Schedule'!$F$20))*12+MONTH($A120)-MONTH('Recurring Schedule'!$F$20),'Recurring Schedule'!$O$20)=0),IF('Recurring Schedule'!$E$20="Weekdays",WEEKDAY($A120,2)&lt;=5,$A120='Recurring Schedule'!$F$20))),15,""))))</f>
        <v/>
      </c>
      <c r="Q120">
        <f>IF('Recurring Schedule'!$C$21="","",IF('Recurring Schedule'!$F$21="","",IF(OR($A120&lt;'Recurring Schedule'!$F$21,$A120&gt;'Recurring Schedule'!$P$21),"",IF(IF('Recurring Schedule'!$N$21&gt;0,MOD($A120-'Recurring Schedule'!$F$21,'Recurring Schedule'!$N$21)=0,IF('Recurring Schedule'!$O$21&gt;0,AND(DAY($A120)=MIN(DAY('Recurring Schedule'!$F$21),DAY(EOMONTH($A120,0))),MOD((YEAR($A120)-YEAR('Recurring Schedule'!$F$21))*12+MONTH($A120)-MONTH('Recurring Schedule'!$F$21),'Recurring Schedule'!$O$21)=0),IF('Recurring Schedule'!$E$21="Weekdays",WEEKDAY($A120,2)&lt;=5,$A120='Recurring Schedule'!$F$21))),16,""))))</f>
        <v/>
      </c>
      <c r="R120">
        <f>IF('Recurring Schedule'!$C$22="","",IF('Recurring Schedule'!$F$22="","",IF(OR($A120&lt;'Recurring Schedule'!$F$22,$A120&gt;'Recurring Schedule'!$P$22),"",IF(IF('Recurring Schedule'!$N$22&gt;0,MOD($A120-'Recurring Schedule'!$F$22,'Recurring Schedule'!$N$22)=0,IF('Recurring Schedule'!$O$22&gt;0,AND(DAY($A120)=MIN(DAY('Recurring Schedule'!$F$22),DAY(EOMONTH($A120,0))),MOD((YEAR($A120)-YEAR('Recurring Schedule'!$F$22))*12+MONTH($A120)-MONTH('Recurring Schedule'!$F$22),'Recurring Schedule'!$O$22)=0),IF('Recurring Schedule'!$E$22="Weekdays",WEEKDAY($A120,2)&lt;=5,$A120='Recurring Schedule'!$F$22))),17,""))))</f>
        <v/>
      </c>
      <c r="S120">
        <f>IF('Recurring Schedule'!$C$23="","",IF('Recurring Schedule'!$F$23="","",IF(OR($A120&lt;'Recurring Schedule'!$F$23,$A120&gt;'Recurring Schedule'!$P$23),"",IF(IF('Recurring Schedule'!$N$23&gt;0,MOD($A120-'Recurring Schedule'!$F$23,'Recurring Schedule'!$N$23)=0,IF('Recurring Schedule'!$O$23&gt;0,AND(DAY($A120)=MIN(DAY('Recurring Schedule'!$F$23),DAY(EOMONTH($A120,0))),MOD((YEAR($A120)-YEAR('Recurring Schedule'!$F$23))*12+MONTH($A120)-MONTH('Recurring Schedule'!$F$23),'Recurring Schedule'!$O$23)=0),IF('Recurring Schedule'!$E$23="Weekdays",WEEKDAY($A120,2)&lt;=5,$A120='Recurring Schedule'!$F$23))),18,""))))</f>
        <v/>
      </c>
      <c r="T120">
        <f>IF('Recurring Schedule'!$C$24="","",IF('Recurring Schedule'!$F$24="","",IF(OR($A120&lt;'Recurring Schedule'!$F$24,$A120&gt;'Recurring Schedule'!$P$24),"",IF(IF('Recurring Schedule'!$N$24&gt;0,MOD($A120-'Recurring Schedule'!$F$24,'Recurring Schedule'!$N$24)=0,IF('Recurring Schedule'!$O$24&gt;0,AND(DAY($A120)=MIN(DAY('Recurring Schedule'!$F$24),DAY(EOMONTH($A120,0))),MOD((YEAR($A120)-YEAR('Recurring Schedule'!$F$24))*12+MONTH($A120)-MONTH('Recurring Schedule'!$F$24),'Recurring Schedule'!$O$24)=0),IF('Recurring Schedule'!$E$24="Weekdays",WEEKDAY($A120,2)&lt;=5,$A120='Recurring Schedule'!$F$24))),19,""))))</f>
        <v/>
      </c>
      <c r="U120">
        <f>IF('Recurring Schedule'!$C$25="","",IF('Recurring Schedule'!$F$25="","",IF(OR($A120&lt;'Recurring Schedule'!$F$25,$A120&gt;'Recurring Schedule'!$P$25),"",IF(IF('Recurring Schedule'!$N$25&gt;0,MOD($A120-'Recurring Schedule'!$F$25,'Recurring Schedule'!$N$25)=0,IF('Recurring Schedule'!$O$25&gt;0,AND(DAY($A120)=MIN(DAY('Recurring Schedule'!$F$25),DAY(EOMONTH($A120,0))),MOD((YEAR($A120)-YEAR('Recurring Schedule'!$F$25))*12+MONTH($A120)-MONTH('Recurring Schedule'!$F$25),'Recurring Schedule'!$O$25)=0),IF('Recurring Schedule'!$E$25="Weekdays",WEEKDAY($A120,2)&lt;=5,$A120='Recurring Schedule'!$F$25))),20,""))))</f>
        <v/>
      </c>
      <c r="V120">
        <f>IF('Recurring Schedule'!$C$26="","",IF('Recurring Schedule'!$F$26="","",IF(OR($A120&lt;'Recurring Schedule'!$F$26,$A120&gt;'Recurring Schedule'!$P$26),"",IF(IF('Recurring Schedule'!$N$26&gt;0,MOD($A120-'Recurring Schedule'!$F$26,'Recurring Schedule'!$N$26)=0,IF('Recurring Schedule'!$O$26&gt;0,AND(DAY($A120)=MIN(DAY('Recurring Schedule'!$F$26),DAY(EOMONTH($A120,0))),MOD((YEAR($A120)-YEAR('Recurring Schedule'!$F$26))*12+MONTH($A120)-MONTH('Recurring Schedule'!$F$26),'Recurring Schedule'!$O$26)=0),IF('Recurring Schedule'!$E$26="Weekdays",WEEKDAY($A120,2)&lt;=5,$A120='Recurring Schedule'!$F$26))),21,""))))</f>
        <v/>
      </c>
      <c r="W120">
        <f>IF('Recurring Schedule'!$C$27="","",IF('Recurring Schedule'!$F$27="","",IF(OR($A120&lt;'Recurring Schedule'!$F$27,$A120&gt;'Recurring Schedule'!$P$27),"",IF(IF('Recurring Schedule'!$N$27&gt;0,MOD($A120-'Recurring Schedule'!$F$27,'Recurring Schedule'!$N$27)=0,IF('Recurring Schedule'!$O$27&gt;0,AND(DAY($A120)=MIN(DAY('Recurring Schedule'!$F$27),DAY(EOMONTH($A120,0))),MOD((YEAR($A120)-YEAR('Recurring Schedule'!$F$27))*12+MONTH($A120)-MONTH('Recurring Schedule'!$F$27),'Recurring Schedule'!$O$27)=0),IF('Recurring Schedule'!$E$27="Weekdays",WEEKDAY($A120,2)&lt;=5,$A120='Recurring Schedule'!$F$27))),22,""))))</f>
        <v/>
      </c>
      <c r="X120">
        <f>IF('Recurring Schedule'!$C$28="","",IF('Recurring Schedule'!$F$28="","",IF(OR($A120&lt;'Recurring Schedule'!$F$28,$A120&gt;'Recurring Schedule'!$P$28),"",IF(IF('Recurring Schedule'!$N$28&gt;0,MOD($A120-'Recurring Schedule'!$F$28,'Recurring Schedule'!$N$28)=0,IF('Recurring Schedule'!$O$28&gt;0,AND(DAY($A120)=MIN(DAY('Recurring Schedule'!$F$28),DAY(EOMONTH($A120,0))),MOD((YEAR($A120)-YEAR('Recurring Schedule'!$F$28))*12+MONTH($A120)-MONTH('Recurring Schedule'!$F$28),'Recurring Schedule'!$O$28)=0),IF('Recurring Schedule'!$E$28="Weekdays",WEEKDAY($A120,2)&lt;=5,$A120='Recurring Schedule'!$F$28))),23,""))))</f>
        <v/>
      </c>
      <c r="Y120">
        <f>IF('Recurring Schedule'!$C$29="","",IF('Recurring Schedule'!$F$29="","",IF(OR($A120&lt;'Recurring Schedule'!$F$29,$A120&gt;'Recurring Schedule'!$P$29),"",IF(IF('Recurring Schedule'!$N$29&gt;0,MOD($A120-'Recurring Schedule'!$F$29,'Recurring Schedule'!$N$29)=0,IF('Recurring Schedule'!$O$29&gt;0,AND(DAY($A120)=MIN(DAY('Recurring Schedule'!$F$29),DAY(EOMONTH($A120,0))),MOD((YEAR($A120)-YEAR('Recurring Schedule'!$F$29))*12+MONTH($A120)-MONTH('Recurring Schedule'!$F$29),'Recurring Schedule'!$O$29)=0),IF('Recurring Schedule'!$E$29="Weekdays",WEEKDAY($A120,2)&lt;=5,$A120='Recurring Schedule'!$F$29))),24,""))))</f>
        <v/>
      </c>
      <c r="Z120">
        <f>IF('Recurring Schedule'!$C$30="","",IF('Recurring Schedule'!$F$30="","",IF(OR($A120&lt;'Recurring Schedule'!$F$30,$A120&gt;'Recurring Schedule'!$P$30),"",IF(IF('Recurring Schedule'!$N$30&gt;0,MOD($A120-'Recurring Schedule'!$F$30,'Recurring Schedule'!$N$30)=0,IF('Recurring Schedule'!$O$30&gt;0,AND(DAY($A120)=MIN(DAY('Recurring Schedule'!$F$30),DAY(EOMONTH($A120,0))),MOD((YEAR($A120)-YEAR('Recurring Schedule'!$F$30))*12+MONTH($A120)-MONTH('Recurring Schedule'!$F$30),'Recurring Schedule'!$O$30)=0),IF('Recurring Schedule'!$E$30="Weekdays",WEEKDAY($A120,2)&lt;=5,$A120='Recurring Schedule'!$F$30))),25,""))))</f>
        <v/>
      </c>
      <c r="AA120">
        <f>IF('Recurring Schedule'!$C$31="","",IF('Recurring Schedule'!$F$31="","",IF(OR($A120&lt;'Recurring Schedule'!$F$31,$A120&gt;'Recurring Schedule'!$P$31),"",IF(IF('Recurring Schedule'!$N$31&gt;0,MOD($A120-'Recurring Schedule'!$F$31,'Recurring Schedule'!$N$31)=0,IF('Recurring Schedule'!$O$31&gt;0,AND(DAY($A120)=MIN(DAY('Recurring Schedule'!$F$31),DAY(EOMONTH($A120,0))),MOD((YEAR($A120)-YEAR('Recurring Schedule'!$F$31))*12+MONTH($A120)-MONTH('Recurring Schedule'!$F$31),'Recurring Schedule'!$O$31)=0),IF('Recurring Schedule'!$E$31="Weekdays",WEEKDAY($A120,2)&lt;=5,$A120='Recurring Schedule'!$F$31))),26,""))))</f>
        <v/>
      </c>
      <c r="AB120">
        <f>IF('Recurring Schedule'!$C$32="","",IF('Recurring Schedule'!$F$32="","",IF(OR($A120&lt;'Recurring Schedule'!$F$32,$A120&gt;'Recurring Schedule'!$P$32),"",IF(IF('Recurring Schedule'!$N$32&gt;0,MOD($A120-'Recurring Schedule'!$F$32,'Recurring Schedule'!$N$32)=0,IF('Recurring Schedule'!$O$32&gt;0,AND(DAY($A120)=MIN(DAY('Recurring Schedule'!$F$32),DAY(EOMONTH($A120,0))),MOD((YEAR($A120)-YEAR('Recurring Schedule'!$F$32))*12+MONTH($A120)-MONTH('Recurring Schedule'!$F$32),'Recurring Schedule'!$O$32)=0),IF('Recurring Schedule'!$E$32="Weekdays",WEEKDAY($A120,2)&lt;=5,$A120='Recurring Schedule'!$F$32))),27,""))))</f>
        <v/>
      </c>
      <c r="AC120">
        <f>IF('Recurring Schedule'!$C$33="","",IF('Recurring Schedule'!$F$33="","",IF(OR($A120&lt;'Recurring Schedule'!$F$33,$A120&gt;'Recurring Schedule'!$P$33),"",IF(IF('Recurring Schedule'!$N$33&gt;0,MOD($A120-'Recurring Schedule'!$F$33,'Recurring Schedule'!$N$33)=0,IF('Recurring Schedule'!$O$33&gt;0,AND(DAY($A120)=MIN(DAY('Recurring Schedule'!$F$33),DAY(EOMONTH($A120,0))),MOD((YEAR($A120)-YEAR('Recurring Schedule'!$F$33))*12+MONTH($A120)-MONTH('Recurring Schedule'!$F$33),'Recurring Schedule'!$O$33)=0),IF('Recurring Schedule'!$E$33="Weekdays",WEEKDAY($A120,2)&lt;=5,$A120='Recurring Schedule'!$F$33))),28,""))))</f>
        <v/>
      </c>
      <c r="AD120">
        <f>IF('Recurring Schedule'!$C$34="","",IF('Recurring Schedule'!$F$34="","",IF(OR($A120&lt;'Recurring Schedule'!$F$34,$A120&gt;'Recurring Schedule'!$P$34),"",IF(IF('Recurring Schedule'!$N$34&gt;0,MOD($A120-'Recurring Schedule'!$F$34,'Recurring Schedule'!$N$34)=0,IF('Recurring Schedule'!$O$34&gt;0,AND(DAY($A120)=MIN(DAY('Recurring Schedule'!$F$34),DAY(EOMONTH($A120,0))),MOD((YEAR($A120)-YEAR('Recurring Schedule'!$F$34))*12+MONTH($A120)-MONTH('Recurring Schedule'!$F$34),'Recurring Schedule'!$O$34)=0),IF('Recurring Schedule'!$E$34="Weekdays",WEEKDAY($A120,2)&lt;=5,$A120='Recurring Schedule'!$F$34))),29,""))))</f>
        <v/>
      </c>
      <c r="AE120">
        <f>IF('Recurring Schedule'!$C$35="","",IF('Recurring Schedule'!$F$35="","",IF(OR($A120&lt;'Recurring Schedule'!$F$35,$A120&gt;'Recurring Schedule'!$P$35),"",IF(IF('Recurring Schedule'!$N$35&gt;0,MOD($A120-'Recurring Schedule'!$F$35,'Recurring Schedule'!$N$35)=0,IF('Recurring Schedule'!$O$35&gt;0,AND(DAY($A120)=MIN(DAY('Recurring Schedule'!$F$35),DAY(EOMONTH($A120,0))),MOD((YEAR($A120)-YEAR('Recurring Schedule'!$F$35))*12+MONTH($A120)-MONTH('Recurring Schedule'!$F$35),'Recurring Schedule'!$O$35)=0),IF('Recurring Schedule'!$E$35="Weekdays",WEEKDAY($A120,2)&lt;=5,$A120='Recurring Schedule'!$F$35))),30,""))))</f>
        <v/>
      </c>
      <c r="AF120">
        <f>IF('Recurring Schedule'!$C$36="","",IF('Recurring Schedule'!$F$36="","",IF(OR($A120&lt;'Recurring Schedule'!$F$36,$A120&gt;'Recurring Schedule'!$P$36),"",IF(IF('Recurring Schedule'!$N$36&gt;0,MOD($A120-'Recurring Schedule'!$F$36,'Recurring Schedule'!$N$36)=0,IF('Recurring Schedule'!$O$36&gt;0,AND(DAY($A120)=MIN(DAY('Recurring Schedule'!$F$36),DAY(EOMONTH($A120,0))),MOD((YEAR($A120)-YEAR('Recurring Schedule'!$F$36))*12+MONTH($A120)-MONTH('Recurring Schedule'!$F$36),'Recurring Schedule'!$O$36)=0),IF('Recurring Schedule'!$E$36="Weekdays",WEEKDAY($A120,2)&lt;=5,$A120='Recurring Schedule'!$F$36))),31,""))))</f>
        <v/>
      </c>
      <c r="AG120">
        <f>IF('Recurring Schedule'!$C$37="","",IF('Recurring Schedule'!$F$37="","",IF(OR($A120&lt;'Recurring Schedule'!$F$37,$A120&gt;'Recurring Schedule'!$P$37),"",IF(IF('Recurring Schedule'!$N$37&gt;0,MOD($A120-'Recurring Schedule'!$F$37,'Recurring Schedule'!$N$37)=0,IF('Recurring Schedule'!$O$37&gt;0,AND(DAY($A120)=MIN(DAY('Recurring Schedule'!$F$37),DAY(EOMONTH($A120,0))),MOD((YEAR($A120)-YEAR('Recurring Schedule'!$F$37))*12+MONTH($A120)-MONTH('Recurring Schedule'!$F$37),'Recurring Schedule'!$O$37)=0),IF('Recurring Schedule'!$E$37="Weekdays",WEEKDAY($A120,2)&lt;=5,$A120='Recurring Schedule'!$F$37))),32,""))))</f>
        <v/>
      </c>
      <c r="AH120">
        <f>IF('Recurring Schedule'!$C$38="","",IF('Recurring Schedule'!$F$38="","",IF(OR($A120&lt;'Recurring Schedule'!$F$38,$A120&gt;'Recurring Schedule'!$P$38),"",IF(IF('Recurring Schedule'!$N$38&gt;0,MOD($A120-'Recurring Schedule'!$F$38,'Recurring Schedule'!$N$38)=0,IF('Recurring Schedule'!$O$38&gt;0,AND(DAY($A120)=MIN(DAY('Recurring Schedule'!$F$38),DAY(EOMONTH($A120,0))),MOD((YEAR($A120)-YEAR('Recurring Schedule'!$F$38))*12+MONTH($A120)-MONTH('Recurring Schedule'!$F$38),'Recurring Schedule'!$O$38)=0),IF('Recurring Schedule'!$E$38="Weekdays",WEEKDAY($A120,2)&lt;=5,$A120='Recurring Schedule'!$F$38))),33,""))))</f>
        <v/>
      </c>
      <c r="AI120">
        <f>IF('Recurring Schedule'!$C$39="","",IF('Recurring Schedule'!$F$39="","",IF(OR($A120&lt;'Recurring Schedule'!$F$39,$A120&gt;'Recurring Schedule'!$P$39),"",IF(IF('Recurring Schedule'!$N$39&gt;0,MOD($A120-'Recurring Schedule'!$F$39,'Recurring Schedule'!$N$39)=0,IF('Recurring Schedule'!$O$39&gt;0,AND(DAY($A120)=MIN(DAY('Recurring Schedule'!$F$39),DAY(EOMONTH($A120,0))),MOD((YEAR($A120)-YEAR('Recurring Schedule'!$F$39))*12+MONTH($A120)-MONTH('Recurring Schedule'!$F$39),'Recurring Schedule'!$O$39)=0),IF('Recurring Schedule'!$E$39="Weekdays",WEEKDAY($A120,2)&lt;=5,$A120='Recurring Schedule'!$F$39))),34,""))))</f>
        <v/>
      </c>
      <c r="AJ120">
        <f>IF('Recurring Schedule'!$C$40="","",IF('Recurring Schedule'!$F$40="","",IF(OR($A120&lt;'Recurring Schedule'!$F$40,$A120&gt;'Recurring Schedule'!$P$40),"",IF(IF('Recurring Schedule'!$N$40&gt;0,MOD($A120-'Recurring Schedule'!$F$40,'Recurring Schedule'!$N$40)=0,IF('Recurring Schedule'!$O$40&gt;0,AND(DAY($A120)=MIN(DAY('Recurring Schedule'!$F$40),DAY(EOMONTH($A120,0))),MOD((YEAR($A120)-YEAR('Recurring Schedule'!$F$40))*12+MONTH($A120)-MONTH('Recurring Schedule'!$F$40),'Recurring Schedule'!$O$40)=0),IF('Recurring Schedule'!$E$40="Weekdays",WEEKDAY($A120,2)&lt;=5,$A120='Recurring Schedule'!$F$40))),35,""))))</f>
        <v/>
      </c>
      <c r="AK120">
        <f>IF('Recurring Schedule'!$C$41="","",IF('Recurring Schedule'!$F$41="","",IF(OR($A120&lt;'Recurring Schedule'!$F$41,$A120&gt;'Recurring Schedule'!$P$41),"",IF(IF('Recurring Schedule'!$N$41&gt;0,MOD($A120-'Recurring Schedule'!$F$41,'Recurring Schedule'!$N$41)=0,IF('Recurring Schedule'!$O$41&gt;0,AND(DAY($A120)=MIN(DAY('Recurring Schedule'!$F$41),DAY(EOMONTH($A120,0))),MOD((YEAR($A120)-YEAR('Recurring Schedule'!$F$41))*12+MONTH($A120)-MONTH('Recurring Schedule'!$F$41),'Recurring Schedule'!$O$41)=0),IF('Recurring Schedule'!$E$41="Weekdays",WEEKDAY($A120,2)&lt;=5,$A120='Recurring Schedule'!$F$41))),36,""))))</f>
        <v/>
      </c>
      <c r="AL120">
        <f>IF('Recurring Schedule'!$C$42="","",IF('Recurring Schedule'!$F$42="","",IF(OR($A120&lt;'Recurring Schedule'!$F$42,$A120&gt;'Recurring Schedule'!$P$42),"",IF(IF('Recurring Schedule'!$N$42&gt;0,MOD($A120-'Recurring Schedule'!$F$42,'Recurring Schedule'!$N$42)=0,IF('Recurring Schedule'!$O$42&gt;0,AND(DAY($A120)=MIN(DAY('Recurring Schedule'!$F$42),DAY(EOMONTH($A120,0))),MOD((YEAR($A120)-YEAR('Recurring Schedule'!$F$42))*12+MONTH($A120)-MONTH('Recurring Schedule'!$F$42),'Recurring Schedule'!$O$42)=0),IF('Recurring Schedule'!$E$42="Weekdays",WEEKDAY($A120,2)&lt;=5,$A120='Recurring Schedule'!$F$42))),37,""))))</f>
        <v/>
      </c>
      <c r="AM120">
        <f>IF('Recurring Schedule'!$C$43="","",IF('Recurring Schedule'!$F$43="","",IF(OR($A120&lt;'Recurring Schedule'!$F$43,$A120&gt;'Recurring Schedule'!$P$43),"",IF(IF('Recurring Schedule'!$N$43&gt;0,MOD($A120-'Recurring Schedule'!$F$43,'Recurring Schedule'!$N$43)=0,IF('Recurring Schedule'!$O$43&gt;0,AND(DAY($A120)=MIN(DAY('Recurring Schedule'!$F$43),DAY(EOMONTH($A120,0))),MOD((YEAR($A120)-YEAR('Recurring Schedule'!$F$43))*12+MONTH($A120)-MONTH('Recurring Schedule'!$F$43),'Recurring Schedule'!$O$43)=0),IF('Recurring Schedule'!$E$43="Weekdays",WEEKDAY($A120,2)&lt;=5,$A120='Recurring Schedule'!$F$43))),38,""))))</f>
        <v/>
      </c>
      <c r="AN120">
        <f>IF('Recurring Schedule'!$C$44="","",IF('Recurring Schedule'!$F$44="","",IF(OR($A120&lt;'Recurring Schedule'!$F$44,$A120&gt;'Recurring Schedule'!$P$44),"",IF(IF('Recurring Schedule'!$N$44&gt;0,MOD($A120-'Recurring Schedule'!$F$44,'Recurring Schedule'!$N$44)=0,IF('Recurring Schedule'!$O$44&gt;0,AND(DAY($A120)=MIN(DAY('Recurring Schedule'!$F$44),DAY(EOMONTH($A120,0))),MOD((YEAR($A120)-YEAR('Recurring Schedule'!$F$44))*12+MONTH($A120)-MONTH('Recurring Schedule'!$F$44),'Recurring Schedule'!$O$44)=0),IF('Recurring Schedule'!$E$44="Weekdays",WEEKDAY($A120,2)&lt;=5,$A120='Recurring Schedule'!$F$44))),39,""))))</f>
        <v/>
      </c>
      <c r="AO120">
        <f>IF('Recurring Schedule'!$C$45="","",IF('Recurring Schedule'!$F$45="","",IF(OR($A120&lt;'Recurring Schedule'!$F$45,$A120&gt;'Recurring Schedule'!$P$45),"",IF(IF('Recurring Schedule'!$N$45&gt;0,MOD($A120-'Recurring Schedule'!$F$45,'Recurring Schedule'!$N$45)=0,IF('Recurring Schedule'!$O$45&gt;0,AND(DAY($A120)=MIN(DAY('Recurring Schedule'!$F$45),DAY(EOMONTH($A120,0))),MOD((YEAR($A120)-YEAR('Recurring Schedule'!$F$45))*12+MONTH($A120)-MONTH('Recurring Schedule'!$F$45),'Recurring Schedule'!$O$45)=0),IF('Recurring Schedule'!$E$45="Weekdays",WEEKDAY($A120,2)&lt;=5,$A120='Recurring Schedule'!$F$45))),40,""))))</f>
        <v/>
      </c>
      <c r="AP120">
        <f>COUNT(B120:AO120)</f>
        <v/>
      </c>
      <c r="AQ120">
        <f>AQ119+AP119</f>
        <v/>
      </c>
      <c r="AS120" t="inlineStr">
        <is>
          <t>R</t>
        </is>
      </c>
      <c r="AT120" t="n">
        <v>124</v>
      </c>
      <c r="AU120">
        <f>'Recurring Log'!C124&amp;""</f>
        <v/>
      </c>
      <c r="AV120">
        <f>'Recurring Log'!D124&amp;""</f>
        <v/>
      </c>
      <c r="AW120">
        <f>IF('Recurring Log'!E124="","",'Recurring Log'!E124)</f>
        <v/>
      </c>
      <c r="AX120">
        <f>IF('Recurring Log'!G124="","",'Recurring Log'!G124)</f>
        <v/>
      </c>
      <c r="AY120">
        <f>IF('Recurring Log'!H124="","",'Recurring Log'!H124)</f>
        <v/>
      </c>
      <c r="AZ120">
        <f>IF(AU120="","",IF('Recurring Log'!J124="","Not Started",'Recurring Log'!J124))</f>
        <v/>
      </c>
      <c r="BA120">
        <f>'Recurring Log'!L124&amp;""</f>
        <v/>
      </c>
      <c r="BB120">
        <f>'Recurring Log'!M124&amp;""</f>
        <v/>
      </c>
      <c r="BC120">
        <f>'Recurring Log'!N124&amp;""</f>
        <v/>
      </c>
      <c r="BD120">
        <f>'Recurring Log'!O124&amp;""</f>
        <v/>
      </c>
      <c r="BE120">
        <f>IF('Recurring Log'!K124="","",'Recurring Log'!K124)</f>
        <v/>
      </c>
      <c r="BF120">
        <f>IFERROR(MATCH(BA120,Setup!$L$6:$L$9,0),5)</f>
        <v/>
      </c>
      <c r="BG120">
        <f>IF(OR(AZ120="Done",AZ120="Cancelled"),1,0)</f>
        <v/>
      </c>
      <c r="BH120">
        <f>IF(AND(AU120&lt;&gt;"",ISNUMBER(AW120)),1,0)</f>
        <v/>
      </c>
      <c r="BI120">
        <f>IF(BH120=0,0,IF(AND(AW120&gt;='Tasks Filter'!$F$3,AW120&lt;='Tasks Filter'!$F$4,OR('Tasks Filter'!$I$3="",ISNUMBER(SEARCH('Tasks Filter'!$I$3,AU120))),OR('Tasks Filter'!$I$4="",BF120=IFERROR(MATCH('Tasks Filter'!$I$4,Setup!$L$6:$L$9,0),0)),OR('Tasks Filter'!$I$5="Both",AND('Tasks Filter'!$I$5="Yes",BB120="✓"),AND('Tasks Filter'!$I$5="No",BB120&lt;&gt;"✓")),OR('Tasks Filter'!$L$3="",AV120='Tasks Filter'!$L$3),OR('Tasks Filter'!$L$4="",AZ120='Tasks Filter'!$L$4),OR('Tasks Filter'!$L$5="",BC120='Tasks Filter'!$L$5),OR('Tasks Filter'!$O$3="",BD120='Tasks Filter'!$O$3),OR('Tasks Filter'!$O$4="Yes",BG120=0)),1,0))</f>
        <v/>
      </c>
      <c r="BJ120">
        <f>IF(BH120=0,"",IF('Tasks Filter'!$F$6="Descending",-1,1)*CHOOSE(MATCH('Tasks Filter'!$F$5,Lists!$G$2:$G$6,0),AW120,BF120,IFERROR(MATCH(AV120,Setup!$F$6:$F$15,0),99),IFERROR(MATCH(BC120,Setup!$H$6:$H$15,0),99),IFERROR(MATCH(AZ120,Setup!$J$6:$J$11,0),99))*1E+9+(AW120-40000)*10000+119)</f>
        <v/>
      </c>
      <c r="BK120">
        <f>IF(BI120=1,BJ120,"")</f>
        <v/>
      </c>
      <c r="BL120">
        <f>IF(AND(BH120=1,BG120=0,N(AW120)&lt;Setup!$D$7),(AW120-40000)*10000+119,"")</f>
        <v/>
      </c>
      <c r="BM120">
        <f>IF(AND(BH120=1,AZ120&lt;&gt;"Cancelled",N(AW120)&gt;=Dashboard!$AB$3,N(AW120)&lt;=Dashboard!$AB$3+6),(AW120-40000)*100000+BF120*10000+119,"")</f>
        <v/>
      </c>
      <c r="BN120">
        <f>IF(AND(BH120=1,AZ120&lt;&gt;"Cancelled"),BF120*10000+119,"")</f>
        <v/>
      </c>
    </row>
    <row r="121">
      <c r="A121">
        <f>Setup!$D$5+119</f>
        <v/>
      </c>
      <c r="B121">
        <f>IF('Recurring Schedule'!$C$6="","",IF('Recurring Schedule'!$F$6="","",IF(OR($A121&lt;'Recurring Schedule'!$F$6,$A121&gt;'Recurring Schedule'!$P$6),"",IF(IF('Recurring Schedule'!$N$6&gt;0,MOD($A121-'Recurring Schedule'!$F$6,'Recurring Schedule'!$N$6)=0,IF('Recurring Schedule'!$O$6&gt;0,AND(DAY($A121)=MIN(DAY('Recurring Schedule'!$F$6),DAY(EOMONTH($A121,0))),MOD((YEAR($A121)-YEAR('Recurring Schedule'!$F$6))*12+MONTH($A121)-MONTH('Recurring Schedule'!$F$6),'Recurring Schedule'!$O$6)=0),IF('Recurring Schedule'!$E$6="Weekdays",WEEKDAY($A121,2)&lt;=5,$A121='Recurring Schedule'!$F$6))),1,""))))</f>
        <v/>
      </c>
      <c r="C121">
        <f>IF('Recurring Schedule'!$C$7="","",IF('Recurring Schedule'!$F$7="","",IF(OR($A121&lt;'Recurring Schedule'!$F$7,$A121&gt;'Recurring Schedule'!$P$7),"",IF(IF('Recurring Schedule'!$N$7&gt;0,MOD($A121-'Recurring Schedule'!$F$7,'Recurring Schedule'!$N$7)=0,IF('Recurring Schedule'!$O$7&gt;0,AND(DAY($A121)=MIN(DAY('Recurring Schedule'!$F$7),DAY(EOMONTH($A121,0))),MOD((YEAR($A121)-YEAR('Recurring Schedule'!$F$7))*12+MONTH($A121)-MONTH('Recurring Schedule'!$F$7),'Recurring Schedule'!$O$7)=0),IF('Recurring Schedule'!$E$7="Weekdays",WEEKDAY($A121,2)&lt;=5,$A121='Recurring Schedule'!$F$7))),2,""))))</f>
        <v/>
      </c>
      <c r="D121">
        <f>IF('Recurring Schedule'!$C$8="","",IF('Recurring Schedule'!$F$8="","",IF(OR($A121&lt;'Recurring Schedule'!$F$8,$A121&gt;'Recurring Schedule'!$P$8),"",IF(IF('Recurring Schedule'!$N$8&gt;0,MOD($A121-'Recurring Schedule'!$F$8,'Recurring Schedule'!$N$8)=0,IF('Recurring Schedule'!$O$8&gt;0,AND(DAY($A121)=MIN(DAY('Recurring Schedule'!$F$8),DAY(EOMONTH($A121,0))),MOD((YEAR($A121)-YEAR('Recurring Schedule'!$F$8))*12+MONTH($A121)-MONTH('Recurring Schedule'!$F$8),'Recurring Schedule'!$O$8)=0),IF('Recurring Schedule'!$E$8="Weekdays",WEEKDAY($A121,2)&lt;=5,$A121='Recurring Schedule'!$F$8))),3,""))))</f>
        <v/>
      </c>
      <c r="E121">
        <f>IF('Recurring Schedule'!$C$9="","",IF('Recurring Schedule'!$F$9="","",IF(OR($A121&lt;'Recurring Schedule'!$F$9,$A121&gt;'Recurring Schedule'!$P$9),"",IF(IF('Recurring Schedule'!$N$9&gt;0,MOD($A121-'Recurring Schedule'!$F$9,'Recurring Schedule'!$N$9)=0,IF('Recurring Schedule'!$O$9&gt;0,AND(DAY($A121)=MIN(DAY('Recurring Schedule'!$F$9),DAY(EOMONTH($A121,0))),MOD((YEAR($A121)-YEAR('Recurring Schedule'!$F$9))*12+MONTH($A121)-MONTH('Recurring Schedule'!$F$9),'Recurring Schedule'!$O$9)=0),IF('Recurring Schedule'!$E$9="Weekdays",WEEKDAY($A121,2)&lt;=5,$A121='Recurring Schedule'!$F$9))),4,""))))</f>
        <v/>
      </c>
      <c r="F121">
        <f>IF('Recurring Schedule'!$C$10="","",IF('Recurring Schedule'!$F$10="","",IF(OR($A121&lt;'Recurring Schedule'!$F$10,$A121&gt;'Recurring Schedule'!$P$10),"",IF(IF('Recurring Schedule'!$N$10&gt;0,MOD($A121-'Recurring Schedule'!$F$10,'Recurring Schedule'!$N$10)=0,IF('Recurring Schedule'!$O$10&gt;0,AND(DAY($A121)=MIN(DAY('Recurring Schedule'!$F$10),DAY(EOMONTH($A121,0))),MOD((YEAR($A121)-YEAR('Recurring Schedule'!$F$10))*12+MONTH($A121)-MONTH('Recurring Schedule'!$F$10),'Recurring Schedule'!$O$10)=0),IF('Recurring Schedule'!$E$10="Weekdays",WEEKDAY($A121,2)&lt;=5,$A121='Recurring Schedule'!$F$10))),5,""))))</f>
        <v/>
      </c>
      <c r="G121">
        <f>IF('Recurring Schedule'!$C$11="","",IF('Recurring Schedule'!$F$11="","",IF(OR($A121&lt;'Recurring Schedule'!$F$11,$A121&gt;'Recurring Schedule'!$P$11),"",IF(IF('Recurring Schedule'!$N$11&gt;0,MOD($A121-'Recurring Schedule'!$F$11,'Recurring Schedule'!$N$11)=0,IF('Recurring Schedule'!$O$11&gt;0,AND(DAY($A121)=MIN(DAY('Recurring Schedule'!$F$11),DAY(EOMONTH($A121,0))),MOD((YEAR($A121)-YEAR('Recurring Schedule'!$F$11))*12+MONTH($A121)-MONTH('Recurring Schedule'!$F$11),'Recurring Schedule'!$O$11)=0),IF('Recurring Schedule'!$E$11="Weekdays",WEEKDAY($A121,2)&lt;=5,$A121='Recurring Schedule'!$F$11))),6,""))))</f>
        <v/>
      </c>
      <c r="H121">
        <f>IF('Recurring Schedule'!$C$12="","",IF('Recurring Schedule'!$F$12="","",IF(OR($A121&lt;'Recurring Schedule'!$F$12,$A121&gt;'Recurring Schedule'!$P$12),"",IF(IF('Recurring Schedule'!$N$12&gt;0,MOD($A121-'Recurring Schedule'!$F$12,'Recurring Schedule'!$N$12)=0,IF('Recurring Schedule'!$O$12&gt;0,AND(DAY($A121)=MIN(DAY('Recurring Schedule'!$F$12),DAY(EOMONTH($A121,0))),MOD((YEAR($A121)-YEAR('Recurring Schedule'!$F$12))*12+MONTH($A121)-MONTH('Recurring Schedule'!$F$12),'Recurring Schedule'!$O$12)=0),IF('Recurring Schedule'!$E$12="Weekdays",WEEKDAY($A121,2)&lt;=5,$A121='Recurring Schedule'!$F$12))),7,""))))</f>
        <v/>
      </c>
      <c r="I121">
        <f>IF('Recurring Schedule'!$C$13="","",IF('Recurring Schedule'!$F$13="","",IF(OR($A121&lt;'Recurring Schedule'!$F$13,$A121&gt;'Recurring Schedule'!$P$13),"",IF(IF('Recurring Schedule'!$N$13&gt;0,MOD($A121-'Recurring Schedule'!$F$13,'Recurring Schedule'!$N$13)=0,IF('Recurring Schedule'!$O$13&gt;0,AND(DAY($A121)=MIN(DAY('Recurring Schedule'!$F$13),DAY(EOMONTH($A121,0))),MOD((YEAR($A121)-YEAR('Recurring Schedule'!$F$13))*12+MONTH($A121)-MONTH('Recurring Schedule'!$F$13),'Recurring Schedule'!$O$13)=0),IF('Recurring Schedule'!$E$13="Weekdays",WEEKDAY($A121,2)&lt;=5,$A121='Recurring Schedule'!$F$13))),8,""))))</f>
        <v/>
      </c>
      <c r="J121">
        <f>IF('Recurring Schedule'!$C$14="","",IF('Recurring Schedule'!$F$14="","",IF(OR($A121&lt;'Recurring Schedule'!$F$14,$A121&gt;'Recurring Schedule'!$P$14),"",IF(IF('Recurring Schedule'!$N$14&gt;0,MOD($A121-'Recurring Schedule'!$F$14,'Recurring Schedule'!$N$14)=0,IF('Recurring Schedule'!$O$14&gt;0,AND(DAY($A121)=MIN(DAY('Recurring Schedule'!$F$14),DAY(EOMONTH($A121,0))),MOD((YEAR($A121)-YEAR('Recurring Schedule'!$F$14))*12+MONTH($A121)-MONTH('Recurring Schedule'!$F$14),'Recurring Schedule'!$O$14)=0),IF('Recurring Schedule'!$E$14="Weekdays",WEEKDAY($A121,2)&lt;=5,$A121='Recurring Schedule'!$F$14))),9,""))))</f>
        <v/>
      </c>
      <c r="K121">
        <f>IF('Recurring Schedule'!$C$15="","",IF('Recurring Schedule'!$F$15="","",IF(OR($A121&lt;'Recurring Schedule'!$F$15,$A121&gt;'Recurring Schedule'!$P$15),"",IF(IF('Recurring Schedule'!$N$15&gt;0,MOD($A121-'Recurring Schedule'!$F$15,'Recurring Schedule'!$N$15)=0,IF('Recurring Schedule'!$O$15&gt;0,AND(DAY($A121)=MIN(DAY('Recurring Schedule'!$F$15),DAY(EOMONTH($A121,0))),MOD((YEAR($A121)-YEAR('Recurring Schedule'!$F$15))*12+MONTH($A121)-MONTH('Recurring Schedule'!$F$15),'Recurring Schedule'!$O$15)=0),IF('Recurring Schedule'!$E$15="Weekdays",WEEKDAY($A121,2)&lt;=5,$A121='Recurring Schedule'!$F$15))),10,""))))</f>
        <v/>
      </c>
      <c r="L121">
        <f>IF('Recurring Schedule'!$C$16="","",IF('Recurring Schedule'!$F$16="","",IF(OR($A121&lt;'Recurring Schedule'!$F$16,$A121&gt;'Recurring Schedule'!$P$16),"",IF(IF('Recurring Schedule'!$N$16&gt;0,MOD($A121-'Recurring Schedule'!$F$16,'Recurring Schedule'!$N$16)=0,IF('Recurring Schedule'!$O$16&gt;0,AND(DAY($A121)=MIN(DAY('Recurring Schedule'!$F$16),DAY(EOMONTH($A121,0))),MOD((YEAR($A121)-YEAR('Recurring Schedule'!$F$16))*12+MONTH($A121)-MONTH('Recurring Schedule'!$F$16),'Recurring Schedule'!$O$16)=0),IF('Recurring Schedule'!$E$16="Weekdays",WEEKDAY($A121,2)&lt;=5,$A121='Recurring Schedule'!$F$16))),11,""))))</f>
        <v/>
      </c>
      <c r="M121">
        <f>IF('Recurring Schedule'!$C$17="","",IF('Recurring Schedule'!$F$17="","",IF(OR($A121&lt;'Recurring Schedule'!$F$17,$A121&gt;'Recurring Schedule'!$P$17),"",IF(IF('Recurring Schedule'!$N$17&gt;0,MOD($A121-'Recurring Schedule'!$F$17,'Recurring Schedule'!$N$17)=0,IF('Recurring Schedule'!$O$17&gt;0,AND(DAY($A121)=MIN(DAY('Recurring Schedule'!$F$17),DAY(EOMONTH($A121,0))),MOD((YEAR($A121)-YEAR('Recurring Schedule'!$F$17))*12+MONTH($A121)-MONTH('Recurring Schedule'!$F$17),'Recurring Schedule'!$O$17)=0),IF('Recurring Schedule'!$E$17="Weekdays",WEEKDAY($A121,2)&lt;=5,$A121='Recurring Schedule'!$F$17))),12,""))))</f>
        <v/>
      </c>
      <c r="N121">
        <f>IF('Recurring Schedule'!$C$18="","",IF('Recurring Schedule'!$F$18="","",IF(OR($A121&lt;'Recurring Schedule'!$F$18,$A121&gt;'Recurring Schedule'!$P$18),"",IF(IF('Recurring Schedule'!$N$18&gt;0,MOD($A121-'Recurring Schedule'!$F$18,'Recurring Schedule'!$N$18)=0,IF('Recurring Schedule'!$O$18&gt;0,AND(DAY($A121)=MIN(DAY('Recurring Schedule'!$F$18),DAY(EOMONTH($A121,0))),MOD((YEAR($A121)-YEAR('Recurring Schedule'!$F$18))*12+MONTH($A121)-MONTH('Recurring Schedule'!$F$18),'Recurring Schedule'!$O$18)=0),IF('Recurring Schedule'!$E$18="Weekdays",WEEKDAY($A121,2)&lt;=5,$A121='Recurring Schedule'!$F$18))),13,""))))</f>
        <v/>
      </c>
      <c r="O121">
        <f>IF('Recurring Schedule'!$C$19="","",IF('Recurring Schedule'!$F$19="","",IF(OR($A121&lt;'Recurring Schedule'!$F$19,$A121&gt;'Recurring Schedule'!$P$19),"",IF(IF('Recurring Schedule'!$N$19&gt;0,MOD($A121-'Recurring Schedule'!$F$19,'Recurring Schedule'!$N$19)=0,IF('Recurring Schedule'!$O$19&gt;0,AND(DAY($A121)=MIN(DAY('Recurring Schedule'!$F$19),DAY(EOMONTH($A121,0))),MOD((YEAR($A121)-YEAR('Recurring Schedule'!$F$19))*12+MONTH($A121)-MONTH('Recurring Schedule'!$F$19),'Recurring Schedule'!$O$19)=0),IF('Recurring Schedule'!$E$19="Weekdays",WEEKDAY($A121,2)&lt;=5,$A121='Recurring Schedule'!$F$19))),14,""))))</f>
        <v/>
      </c>
      <c r="P121">
        <f>IF('Recurring Schedule'!$C$20="","",IF('Recurring Schedule'!$F$20="","",IF(OR($A121&lt;'Recurring Schedule'!$F$20,$A121&gt;'Recurring Schedule'!$P$20),"",IF(IF('Recurring Schedule'!$N$20&gt;0,MOD($A121-'Recurring Schedule'!$F$20,'Recurring Schedule'!$N$20)=0,IF('Recurring Schedule'!$O$20&gt;0,AND(DAY($A121)=MIN(DAY('Recurring Schedule'!$F$20),DAY(EOMONTH($A121,0))),MOD((YEAR($A121)-YEAR('Recurring Schedule'!$F$20))*12+MONTH($A121)-MONTH('Recurring Schedule'!$F$20),'Recurring Schedule'!$O$20)=0),IF('Recurring Schedule'!$E$20="Weekdays",WEEKDAY($A121,2)&lt;=5,$A121='Recurring Schedule'!$F$20))),15,""))))</f>
        <v/>
      </c>
      <c r="Q121">
        <f>IF('Recurring Schedule'!$C$21="","",IF('Recurring Schedule'!$F$21="","",IF(OR($A121&lt;'Recurring Schedule'!$F$21,$A121&gt;'Recurring Schedule'!$P$21),"",IF(IF('Recurring Schedule'!$N$21&gt;0,MOD($A121-'Recurring Schedule'!$F$21,'Recurring Schedule'!$N$21)=0,IF('Recurring Schedule'!$O$21&gt;0,AND(DAY($A121)=MIN(DAY('Recurring Schedule'!$F$21),DAY(EOMONTH($A121,0))),MOD((YEAR($A121)-YEAR('Recurring Schedule'!$F$21))*12+MONTH($A121)-MONTH('Recurring Schedule'!$F$21),'Recurring Schedule'!$O$21)=0),IF('Recurring Schedule'!$E$21="Weekdays",WEEKDAY($A121,2)&lt;=5,$A121='Recurring Schedule'!$F$21))),16,""))))</f>
        <v/>
      </c>
      <c r="R121">
        <f>IF('Recurring Schedule'!$C$22="","",IF('Recurring Schedule'!$F$22="","",IF(OR($A121&lt;'Recurring Schedule'!$F$22,$A121&gt;'Recurring Schedule'!$P$22),"",IF(IF('Recurring Schedule'!$N$22&gt;0,MOD($A121-'Recurring Schedule'!$F$22,'Recurring Schedule'!$N$22)=0,IF('Recurring Schedule'!$O$22&gt;0,AND(DAY($A121)=MIN(DAY('Recurring Schedule'!$F$22),DAY(EOMONTH($A121,0))),MOD((YEAR($A121)-YEAR('Recurring Schedule'!$F$22))*12+MONTH($A121)-MONTH('Recurring Schedule'!$F$22),'Recurring Schedule'!$O$22)=0),IF('Recurring Schedule'!$E$22="Weekdays",WEEKDAY($A121,2)&lt;=5,$A121='Recurring Schedule'!$F$22))),17,""))))</f>
        <v/>
      </c>
      <c r="S121">
        <f>IF('Recurring Schedule'!$C$23="","",IF('Recurring Schedule'!$F$23="","",IF(OR($A121&lt;'Recurring Schedule'!$F$23,$A121&gt;'Recurring Schedule'!$P$23),"",IF(IF('Recurring Schedule'!$N$23&gt;0,MOD($A121-'Recurring Schedule'!$F$23,'Recurring Schedule'!$N$23)=0,IF('Recurring Schedule'!$O$23&gt;0,AND(DAY($A121)=MIN(DAY('Recurring Schedule'!$F$23),DAY(EOMONTH($A121,0))),MOD((YEAR($A121)-YEAR('Recurring Schedule'!$F$23))*12+MONTH($A121)-MONTH('Recurring Schedule'!$F$23),'Recurring Schedule'!$O$23)=0),IF('Recurring Schedule'!$E$23="Weekdays",WEEKDAY($A121,2)&lt;=5,$A121='Recurring Schedule'!$F$23))),18,""))))</f>
        <v/>
      </c>
      <c r="T121">
        <f>IF('Recurring Schedule'!$C$24="","",IF('Recurring Schedule'!$F$24="","",IF(OR($A121&lt;'Recurring Schedule'!$F$24,$A121&gt;'Recurring Schedule'!$P$24),"",IF(IF('Recurring Schedule'!$N$24&gt;0,MOD($A121-'Recurring Schedule'!$F$24,'Recurring Schedule'!$N$24)=0,IF('Recurring Schedule'!$O$24&gt;0,AND(DAY($A121)=MIN(DAY('Recurring Schedule'!$F$24),DAY(EOMONTH($A121,0))),MOD((YEAR($A121)-YEAR('Recurring Schedule'!$F$24))*12+MONTH($A121)-MONTH('Recurring Schedule'!$F$24),'Recurring Schedule'!$O$24)=0),IF('Recurring Schedule'!$E$24="Weekdays",WEEKDAY($A121,2)&lt;=5,$A121='Recurring Schedule'!$F$24))),19,""))))</f>
        <v/>
      </c>
      <c r="U121">
        <f>IF('Recurring Schedule'!$C$25="","",IF('Recurring Schedule'!$F$25="","",IF(OR($A121&lt;'Recurring Schedule'!$F$25,$A121&gt;'Recurring Schedule'!$P$25),"",IF(IF('Recurring Schedule'!$N$25&gt;0,MOD($A121-'Recurring Schedule'!$F$25,'Recurring Schedule'!$N$25)=0,IF('Recurring Schedule'!$O$25&gt;0,AND(DAY($A121)=MIN(DAY('Recurring Schedule'!$F$25),DAY(EOMONTH($A121,0))),MOD((YEAR($A121)-YEAR('Recurring Schedule'!$F$25))*12+MONTH($A121)-MONTH('Recurring Schedule'!$F$25),'Recurring Schedule'!$O$25)=0),IF('Recurring Schedule'!$E$25="Weekdays",WEEKDAY($A121,2)&lt;=5,$A121='Recurring Schedule'!$F$25))),20,""))))</f>
        <v/>
      </c>
      <c r="V121">
        <f>IF('Recurring Schedule'!$C$26="","",IF('Recurring Schedule'!$F$26="","",IF(OR($A121&lt;'Recurring Schedule'!$F$26,$A121&gt;'Recurring Schedule'!$P$26),"",IF(IF('Recurring Schedule'!$N$26&gt;0,MOD($A121-'Recurring Schedule'!$F$26,'Recurring Schedule'!$N$26)=0,IF('Recurring Schedule'!$O$26&gt;0,AND(DAY($A121)=MIN(DAY('Recurring Schedule'!$F$26),DAY(EOMONTH($A121,0))),MOD((YEAR($A121)-YEAR('Recurring Schedule'!$F$26))*12+MONTH($A121)-MONTH('Recurring Schedule'!$F$26),'Recurring Schedule'!$O$26)=0),IF('Recurring Schedule'!$E$26="Weekdays",WEEKDAY($A121,2)&lt;=5,$A121='Recurring Schedule'!$F$26))),21,""))))</f>
        <v/>
      </c>
      <c r="W121">
        <f>IF('Recurring Schedule'!$C$27="","",IF('Recurring Schedule'!$F$27="","",IF(OR($A121&lt;'Recurring Schedule'!$F$27,$A121&gt;'Recurring Schedule'!$P$27),"",IF(IF('Recurring Schedule'!$N$27&gt;0,MOD($A121-'Recurring Schedule'!$F$27,'Recurring Schedule'!$N$27)=0,IF('Recurring Schedule'!$O$27&gt;0,AND(DAY($A121)=MIN(DAY('Recurring Schedule'!$F$27),DAY(EOMONTH($A121,0))),MOD((YEAR($A121)-YEAR('Recurring Schedule'!$F$27))*12+MONTH($A121)-MONTH('Recurring Schedule'!$F$27),'Recurring Schedule'!$O$27)=0),IF('Recurring Schedule'!$E$27="Weekdays",WEEKDAY($A121,2)&lt;=5,$A121='Recurring Schedule'!$F$27))),22,""))))</f>
        <v/>
      </c>
      <c r="X121">
        <f>IF('Recurring Schedule'!$C$28="","",IF('Recurring Schedule'!$F$28="","",IF(OR($A121&lt;'Recurring Schedule'!$F$28,$A121&gt;'Recurring Schedule'!$P$28),"",IF(IF('Recurring Schedule'!$N$28&gt;0,MOD($A121-'Recurring Schedule'!$F$28,'Recurring Schedule'!$N$28)=0,IF('Recurring Schedule'!$O$28&gt;0,AND(DAY($A121)=MIN(DAY('Recurring Schedule'!$F$28),DAY(EOMONTH($A121,0))),MOD((YEAR($A121)-YEAR('Recurring Schedule'!$F$28))*12+MONTH($A121)-MONTH('Recurring Schedule'!$F$28),'Recurring Schedule'!$O$28)=0),IF('Recurring Schedule'!$E$28="Weekdays",WEEKDAY($A121,2)&lt;=5,$A121='Recurring Schedule'!$F$28))),23,""))))</f>
        <v/>
      </c>
      <c r="Y121">
        <f>IF('Recurring Schedule'!$C$29="","",IF('Recurring Schedule'!$F$29="","",IF(OR($A121&lt;'Recurring Schedule'!$F$29,$A121&gt;'Recurring Schedule'!$P$29),"",IF(IF('Recurring Schedule'!$N$29&gt;0,MOD($A121-'Recurring Schedule'!$F$29,'Recurring Schedule'!$N$29)=0,IF('Recurring Schedule'!$O$29&gt;0,AND(DAY($A121)=MIN(DAY('Recurring Schedule'!$F$29),DAY(EOMONTH($A121,0))),MOD((YEAR($A121)-YEAR('Recurring Schedule'!$F$29))*12+MONTH($A121)-MONTH('Recurring Schedule'!$F$29),'Recurring Schedule'!$O$29)=0),IF('Recurring Schedule'!$E$29="Weekdays",WEEKDAY($A121,2)&lt;=5,$A121='Recurring Schedule'!$F$29))),24,""))))</f>
        <v/>
      </c>
      <c r="Z121">
        <f>IF('Recurring Schedule'!$C$30="","",IF('Recurring Schedule'!$F$30="","",IF(OR($A121&lt;'Recurring Schedule'!$F$30,$A121&gt;'Recurring Schedule'!$P$30),"",IF(IF('Recurring Schedule'!$N$30&gt;0,MOD($A121-'Recurring Schedule'!$F$30,'Recurring Schedule'!$N$30)=0,IF('Recurring Schedule'!$O$30&gt;0,AND(DAY($A121)=MIN(DAY('Recurring Schedule'!$F$30),DAY(EOMONTH($A121,0))),MOD((YEAR($A121)-YEAR('Recurring Schedule'!$F$30))*12+MONTH($A121)-MONTH('Recurring Schedule'!$F$30),'Recurring Schedule'!$O$30)=0),IF('Recurring Schedule'!$E$30="Weekdays",WEEKDAY($A121,2)&lt;=5,$A121='Recurring Schedule'!$F$30))),25,""))))</f>
        <v/>
      </c>
      <c r="AA121">
        <f>IF('Recurring Schedule'!$C$31="","",IF('Recurring Schedule'!$F$31="","",IF(OR($A121&lt;'Recurring Schedule'!$F$31,$A121&gt;'Recurring Schedule'!$P$31),"",IF(IF('Recurring Schedule'!$N$31&gt;0,MOD($A121-'Recurring Schedule'!$F$31,'Recurring Schedule'!$N$31)=0,IF('Recurring Schedule'!$O$31&gt;0,AND(DAY($A121)=MIN(DAY('Recurring Schedule'!$F$31),DAY(EOMONTH($A121,0))),MOD((YEAR($A121)-YEAR('Recurring Schedule'!$F$31))*12+MONTH($A121)-MONTH('Recurring Schedule'!$F$31),'Recurring Schedule'!$O$31)=0),IF('Recurring Schedule'!$E$31="Weekdays",WEEKDAY($A121,2)&lt;=5,$A121='Recurring Schedule'!$F$31))),26,""))))</f>
        <v/>
      </c>
      <c r="AB121">
        <f>IF('Recurring Schedule'!$C$32="","",IF('Recurring Schedule'!$F$32="","",IF(OR($A121&lt;'Recurring Schedule'!$F$32,$A121&gt;'Recurring Schedule'!$P$32),"",IF(IF('Recurring Schedule'!$N$32&gt;0,MOD($A121-'Recurring Schedule'!$F$32,'Recurring Schedule'!$N$32)=0,IF('Recurring Schedule'!$O$32&gt;0,AND(DAY($A121)=MIN(DAY('Recurring Schedule'!$F$32),DAY(EOMONTH($A121,0))),MOD((YEAR($A121)-YEAR('Recurring Schedule'!$F$32))*12+MONTH($A121)-MONTH('Recurring Schedule'!$F$32),'Recurring Schedule'!$O$32)=0),IF('Recurring Schedule'!$E$32="Weekdays",WEEKDAY($A121,2)&lt;=5,$A121='Recurring Schedule'!$F$32))),27,""))))</f>
        <v/>
      </c>
      <c r="AC121">
        <f>IF('Recurring Schedule'!$C$33="","",IF('Recurring Schedule'!$F$33="","",IF(OR($A121&lt;'Recurring Schedule'!$F$33,$A121&gt;'Recurring Schedule'!$P$33),"",IF(IF('Recurring Schedule'!$N$33&gt;0,MOD($A121-'Recurring Schedule'!$F$33,'Recurring Schedule'!$N$33)=0,IF('Recurring Schedule'!$O$33&gt;0,AND(DAY($A121)=MIN(DAY('Recurring Schedule'!$F$33),DAY(EOMONTH($A121,0))),MOD((YEAR($A121)-YEAR('Recurring Schedule'!$F$33))*12+MONTH($A121)-MONTH('Recurring Schedule'!$F$33),'Recurring Schedule'!$O$33)=0),IF('Recurring Schedule'!$E$33="Weekdays",WEEKDAY($A121,2)&lt;=5,$A121='Recurring Schedule'!$F$33))),28,""))))</f>
        <v/>
      </c>
      <c r="AD121">
        <f>IF('Recurring Schedule'!$C$34="","",IF('Recurring Schedule'!$F$34="","",IF(OR($A121&lt;'Recurring Schedule'!$F$34,$A121&gt;'Recurring Schedule'!$P$34),"",IF(IF('Recurring Schedule'!$N$34&gt;0,MOD($A121-'Recurring Schedule'!$F$34,'Recurring Schedule'!$N$34)=0,IF('Recurring Schedule'!$O$34&gt;0,AND(DAY($A121)=MIN(DAY('Recurring Schedule'!$F$34),DAY(EOMONTH($A121,0))),MOD((YEAR($A121)-YEAR('Recurring Schedule'!$F$34))*12+MONTH($A121)-MONTH('Recurring Schedule'!$F$34),'Recurring Schedule'!$O$34)=0),IF('Recurring Schedule'!$E$34="Weekdays",WEEKDAY($A121,2)&lt;=5,$A121='Recurring Schedule'!$F$34))),29,""))))</f>
        <v/>
      </c>
      <c r="AE121">
        <f>IF('Recurring Schedule'!$C$35="","",IF('Recurring Schedule'!$F$35="","",IF(OR($A121&lt;'Recurring Schedule'!$F$35,$A121&gt;'Recurring Schedule'!$P$35),"",IF(IF('Recurring Schedule'!$N$35&gt;0,MOD($A121-'Recurring Schedule'!$F$35,'Recurring Schedule'!$N$35)=0,IF('Recurring Schedule'!$O$35&gt;0,AND(DAY($A121)=MIN(DAY('Recurring Schedule'!$F$35),DAY(EOMONTH($A121,0))),MOD((YEAR($A121)-YEAR('Recurring Schedule'!$F$35))*12+MONTH($A121)-MONTH('Recurring Schedule'!$F$35),'Recurring Schedule'!$O$35)=0),IF('Recurring Schedule'!$E$35="Weekdays",WEEKDAY($A121,2)&lt;=5,$A121='Recurring Schedule'!$F$35))),30,""))))</f>
        <v/>
      </c>
      <c r="AF121">
        <f>IF('Recurring Schedule'!$C$36="","",IF('Recurring Schedule'!$F$36="","",IF(OR($A121&lt;'Recurring Schedule'!$F$36,$A121&gt;'Recurring Schedule'!$P$36),"",IF(IF('Recurring Schedule'!$N$36&gt;0,MOD($A121-'Recurring Schedule'!$F$36,'Recurring Schedule'!$N$36)=0,IF('Recurring Schedule'!$O$36&gt;0,AND(DAY($A121)=MIN(DAY('Recurring Schedule'!$F$36),DAY(EOMONTH($A121,0))),MOD((YEAR($A121)-YEAR('Recurring Schedule'!$F$36))*12+MONTH($A121)-MONTH('Recurring Schedule'!$F$36),'Recurring Schedule'!$O$36)=0),IF('Recurring Schedule'!$E$36="Weekdays",WEEKDAY($A121,2)&lt;=5,$A121='Recurring Schedule'!$F$36))),31,""))))</f>
        <v/>
      </c>
      <c r="AG121">
        <f>IF('Recurring Schedule'!$C$37="","",IF('Recurring Schedule'!$F$37="","",IF(OR($A121&lt;'Recurring Schedule'!$F$37,$A121&gt;'Recurring Schedule'!$P$37),"",IF(IF('Recurring Schedule'!$N$37&gt;0,MOD($A121-'Recurring Schedule'!$F$37,'Recurring Schedule'!$N$37)=0,IF('Recurring Schedule'!$O$37&gt;0,AND(DAY($A121)=MIN(DAY('Recurring Schedule'!$F$37),DAY(EOMONTH($A121,0))),MOD((YEAR($A121)-YEAR('Recurring Schedule'!$F$37))*12+MONTH($A121)-MONTH('Recurring Schedule'!$F$37),'Recurring Schedule'!$O$37)=0),IF('Recurring Schedule'!$E$37="Weekdays",WEEKDAY($A121,2)&lt;=5,$A121='Recurring Schedule'!$F$37))),32,""))))</f>
        <v/>
      </c>
      <c r="AH121">
        <f>IF('Recurring Schedule'!$C$38="","",IF('Recurring Schedule'!$F$38="","",IF(OR($A121&lt;'Recurring Schedule'!$F$38,$A121&gt;'Recurring Schedule'!$P$38),"",IF(IF('Recurring Schedule'!$N$38&gt;0,MOD($A121-'Recurring Schedule'!$F$38,'Recurring Schedule'!$N$38)=0,IF('Recurring Schedule'!$O$38&gt;0,AND(DAY($A121)=MIN(DAY('Recurring Schedule'!$F$38),DAY(EOMONTH($A121,0))),MOD((YEAR($A121)-YEAR('Recurring Schedule'!$F$38))*12+MONTH($A121)-MONTH('Recurring Schedule'!$F$38),'Recurring Schedule'!$O$38)=0),IF('Recurring Schedule'!$E$38="Weekdays",WEEKDAY($A121,2)&lt;=5,$A121='Recurring Schedule'!$F$38))),33,""))))</f>
        <v/>
      </c>
      <c r="AI121">
        <f>IF('Recurring Schedule'!$C$39="","",IF('Recurring Schedule'!$F$39="","",IF(OR($A121&lt;'Recurring Schedule'!$F$39,$A121&gt;'Recurring Schedule'!$P$39),"",IF(IF('Recurring Schedule'!$N$39&gt;0,MOD($A121-'Recurring Schedule'!$F$39,'Recurring Schedule'!$N$39)=0,IF('Recurring Schedule'!$O$39&gt;0,AND(DAY($A121)=MIN(DAY('Recurring Schedule'!$F$39),DAY(EOMONTH($A121,0))),MOD((YEAR($A121)-YEAR('Recurring Schedule'!$F$39))*12+MONTH($A121)-MONTH('Recurring Schedule'!$F$39),'Recurring Schedule'!$O$39)=0),IF('Recurring Schedule'!$E$39="Weekdays",WEEKDAY($A121,2)&lt;=5,$A121='Recurring Schedule'!$F$39))),34,""))))</f>
        <v/>
      </c>
      <c r="AJ121">
        <f>IF('Recurring Schedule'!$C$40="","",IF('Recurring Schedule'!$F$40="","",IF(OR($A121&lt;'Recurring Schedule'!$F$40,$A121&gt;'Recurring Schedule'!$P$40),"",IF(IF('Recurring Schedule'!$N$40&gt;0,MOD($A121-'Recurring Schedule'!$F$40,'Recurring Schedule'!$N$40)=0,IF('Recurring Schedule'!$O$40&gt;0,AND(DAY($A121)=MIN(DAY('Recurring Schedule'!$F$40),DAY(EOMONTH($A121,0))),MOD((YEAR($A121)-YEAR('Recurring Schedule'!$F$40))*12+MONTH($A121)-MONTH('Recurring Schedule'!$F$40),'Recurring Schedule'!$O$40)=0),IF('Recurring Schedule'!$E$40="Weekdays",WEEKDAY($A121,2)&lt;=5,$A121='Recurring Schedule'!$F$40))),35,""))))</f>
        <v/>
      </c>
      <c r="AK121">
        <f>IF('Recurring Schedule'!$C$41="","",IF('Recurring Schedule'!$F$41="","",IF(OR($A121&lt;'Recurring Schedule'!$F$41,$A121&gt;'Recurring Schedule'!$P$41),"",IF(IF('Recurring Schedule'!$N$41&gt;0,MOD($A121-'Recurring Schedule'!$F$41,'Recurring Schedule'!$N$41)=0,IF('Recurring Schedule'!$O$41&gt;0,AND(DAY($A121)=MIN(DAY('Recurring Schedule'!$F$41),DAY(EOMONTH($A121,0))),MOD((YEAR($A121)-YEAR('Recurring Schedule'!$F$41))*12+MONTH($A121)-MONTH('Recurring Schedule'!$F$41),'Recurring Schedule'!$O$41)=0),IF('Recurring Schedule'!$E$41="Weekdays",WEEKDAY($A121,2)&lt;=5,$A121='Recurring Schedule'!$F$41))),36,""))))</f>
        <v/>
      </c>
      <c r="AL121">
        <f>IF('Recurring Schedule'!$C$42="","",IF('Recurring Schedule'!$F$42="","",IF(OR($A121&lt;'Recurring Schedule'!$F$42,$A121&gt;'Recurring Schedule'!$P$42),"",IF(IF('Recurring Schedule'!$N$42&gt;0,MOD($A121-'Recurring Schedule'!$F$42,'Recurring Schedule'!$N$42)=0,IF('Recurring Schedule'!$O$42&gt;0,AND(DAY($A121)=MIN(DAY('Recurring Schedule'!$F$42),DAY(EOMONTH($A121,0))),MOD((YEAR($A121)-YEAR('Recurring Schedule'!$F$42))*12+MONTH($A121)-MONTH('Recurring Schedule'!$F$42),'Recurring Schedule'!$O$42)=0),IF('Recurring Schedule'!$E$42="Weekdays",WEEKDAY($A121,2)&lt;=5,$A121='Recurring Schedule'!$F$42))),37,""))))</f>
        <v/>
      </c>
      <c r="AM121">
        <f>IF('Recurring Schedule'!$C$43="","",IF('Recurring Schedule'!$F$43="","",IF(OR($A121&lt;'Recurring Schedule'!$F$43,$A121&gt;'Recurring Schedule'!$P$43),"",IF(IF('Recurring Schedule'!$N$43&gt;0,MOD($A121-'Recurring Schedule'!$F$43,'Recurring Schedule'!$N$43)=0,IF('Recurring Schedule'!$O$43&gt;0,AND(DAY($A121)=MIN(DAY('Recurring Schedule'!$F$43),DAY(EOMONTH($A121,0))),MOD((YEAR($A121)-YEAR('Recurring Schedule'!$F$43))*12+MONTH($A121)-MONTH('Recurring Schedule'!$F$43),'Recurring Schedule'!$O$43)=0),IF('Recurring Schedule'!$E$43="Weekdays",WEEKDAY($A121,2)&lt;=5,$A121='Recurring Schedule'!$F$43))),38,""))))</f>
        <v/>
      </c>
      <c r="AN121">
        <f>IF('Recurring Schedule'!$C$44="","",IF('Recurring Schedule'!$F$44="","",IF(OR($A121&lt;'Recurring Schedule'!$F$44,$A121&gt;'Recurring Schedule'!$P$44),"",IF(IF('Recurring Schedule'!$N$44&gt;0,MOD($A121-'Recurring Schedule'!$F$44,'Recurring Schedule'!$N$44)=0,IF('Recurring Schedule'!$O$44&gt;0,AND(DAY($A121)=MIN(DAY('Recurring Schedule'!$F$44),DAY(EOMONTH($A121,0))),MOD((YEAR($A121)-YEAR('Recurring Schedule'!$F$44))*12+MONTH($A121)-MONTH('Recurring Schedule'!$F$44),'Recurring Schedule'!$O$44)=0),IF('Recurring Schedule'!$E$44="Weekdays",WEEKDAY($A121,2)&lt;=5,$A121='Recurring Schedule'!$F$44))),39,""))))</f>
        <v/>
      </c>
      <c r="AO121">
        <f>IF('Recurring Schedule'!$C$45="","",IF('Recurring Schedule'!$F$45="","",IF(OR($A121&lt;'Recurring Schedule'!$F$45,$A121&gt;'Recurring Schedule'!$P$45),"",IF(IF('Recurring Schedule'!$N$45&gt;0,MOD($A121-'Recurring Schedule'!$F$45,'Recurring Schedule'!$N$45)=0,IF('Recurring Schedule'!$O$45&gt;0,AND(DAY($A121)=MIN(DAY('Recurring Schedule'!$F$45),DAY(EOMONTH($A121,0))),MOD((YEAR($A121)-YEAR('Recurring Schedule'!$F$45))*12+MONTH($A121)-MONTH('Recurring Schedule'!$F$45),'Recurring Schedule'!$O$45)=0),IF('Recurring Schedule'!$E$45="Weekdays",WEEKDAY($A121,2)&lt;=5,$A121='Recurring Schedule'!$F$45))),40,""))))</f>
        <v/>
      </c>
      <c r="AP121">
        <f>COUNT(B121:AO121)</f>
        <v/>
      </c>
      <c r="AQ121">
        <f>AQ120+AP120</f>
        <v/>
      </c>
      <c r="AS121" t="inlineStr">
        <is>
          <t>R</t>
        </is>
      </c>
      <c r="AT121" t="n">
        <v>125</v>
      </c>
      <c r="AU121">
        <f>'Recurring Log'!C125&amp;""</f>
        <v/>
      </c>
      <c r="AV121">
        <f>'Recurring Log'!D125&amp;""</f>
        <v/>
      </c>
      <c r="AW121">
        <f>IF('Recurring Log'!E125="","",'Recurring Log'!E125)</f>
        <v/>
      </c>
      <c r="AX121">
        <f>IF('Recurring Log'!G125="","",'Recurring Log'!G125)</f>
        <v/>
      </c>
      <c r="AY121">
        <f>IF('Recurring Log'!H125="","",'Recurring Log'!H125)</f>
        <v/>
      </c>
      <c r="AZ121">
        <f>IF(AU121="","",IF('Recurring Log'!J125="","Not Started",'Recurring Log'!J125))</f>
        <v/>
      </c>
      <c r="BA121">
        <f>'Recurring Log'!L125&amp;""</f>
        <v/>
      </c>
      <c r="BB121">
        <f>'Recurring Log'!M125&amp;""</f>
        <v/>
      </c>
      <c r="BC121">
        <f>'Recurring Log'!N125&amp;""</f>
        <v/>
      </c>
      <c r="BD121">
        <f>'Recurring Log'!O125&amp;""</f>
        <v/>
      </c>
      <c r="BE121">
        <f>IF('Recurring Log'!K125="","",'Recurring Log'!K125)</f>
        <v/>
      </c>
      <c r="BF121">
        <f>IFERROR(MATCH(BA121,Setup!$L$6:$L$9,0),5)</f>
        <v/>
      </c>
      <c r="BG121">
        <f>IF(OR(AZ121="Done",AZ121="Cancelled"),1,0)</f>
        <v/>
      </c>
      <c r="BH121">
        <f>IF(AND(AU121&lt;&gt;"",ISNUMBER(AW121)),1,0)</f>
        <v/>
      </c>
      <c r="BI121">
        <f>IF(BH121=0,0,IF(AND(AW121&gt;='Tasks Filter'!$F$3,AW121&lt;='Tasks Filter'!$F$4,OR('Tasks Filter'!$I$3="",ISNUMBER(SEARCH('Tasks Filter'!$I$3,AU121))),OR('Tasks Filter'!$I$4="",BF121=IFERROR(MATCH('Tasks Filter'!$I$4,Setup!$L$6:$L$9,0),0)),OR('Tasks Filter'!$I$5="Both",AND('Tasks Filter'!$I$5="Yes",BB121="✓"),AND('Tasks Filter'!$I$5="No",BB121&lt;&gt;"✓")),OR('Tasks Filter'!$L$3="",AV121='Tasks Filter'!$L$3),OR('Tasks Filter'!$L$4="",AZ121='Tasks Filter'!$L$4),OR('Tasks Filter'!$L$5="",BC121='Tasks Filter'!$L$5),OR('Tasks Filter'!$O$3="",BD121='Tasks Filter'!$O$3),OR('Tasks Filter'!$O$4="Yes",BG121=0)),1,0))</f>
        <v/>
      </c>
      <c r="BJ121">
        <f>IF(BH121=0,"",IF('Tasks Filter'!$F$6="Descending",-1,1)*CHOOSE(MATCH('Tasks Filter'!$F$5,Lists!$G$2:$G$6,0),AW121,BF121,IFERROR(MATCH(AV121,Setup!$F$6:$F$15,0),99),IFERROR(MATCH(BC121,Setup!$H$6:$H$15,0),99),IFERROR(MATCH(AZ121,Setup!$J$6:$J$11,0),99))*1E+9+(AW121-40000)*10000+120)</f>
        <v/>
      </c>
      <c r="BK121">
        <f>IF(BI121=1,BJ121,"")</f>
        <v/>
      </c>
      <c r="BL121">
        <f>IF(AND(BH121=1,BG121=0,N(AW121)&lt;Setup!$D$7),(AW121-40000)*10000+120,"")</f>
        <v/>
      </c>
      <c r="BM121">
        <f>IF(AND(BH121=1,AZ121&lt;&gt;"Cancelled",N(AW121)&gt;=Dashboard!$AB$3,N(AW121)&lt;=Dashboard!$AB$3+6),(AW121-40000)*100000+BF121*10000+120,"")</f>
        <v/>
      </c>
      <c r="BN121">
        <f>IF(AND(BH121=1,AZ121&lt;&gt;"Cancelled"),BF121*10000+120,"")</f>
        <v/>
      </c>
    </row>
    <row r="122">
      <c r="A122">
        <f>Setup!$D$5+120</f>
        <v/>
      </c>
      <c r="B122">
        <f>IF('Recurring Schedule'!$C$6="","",IF('Recurring Schedule'!$F$6="","",IF(OR($A122&lt;'Recurring Schedule'!$F$6,$A122&gt;'Recurring Schedule'!$P$6),"",IF(IF('Recurring Schedule'!$N$6&gt;0,MOD($A122-'Recurring Schedule'!$F$6,'Recurring Schedule'!$N$6)=0,IF('Recurring Schedule'!$O$6&gt;0,AND(DAY($A122)=MIN(DAY('Recurring Schedule'!$F$6),DAY(EOMONTH($A122,0))),MOD((YEAR($A122)-YEAR('Recurring Schedule'!$F$6))*12+MONTH($A122)-MONTH('Recurring Schedule'!$F$6),'Recurring Schedule'!$O$6)=0),IF('Recurring Schedule'!$E$6="Weekdays",WEEKDAY($A122,2)&lt;=5,$A122='Recurring Schedule'!$F$6))),1,""))))</f>
        <v/>
      </c>
      <c r="C122">
        <f>IF('Recurring Schedule'!$C$7="","",IF('Recurring Schedule'!$F$7="","",IF(OR($A122&lt;'Recurring Schedule'!$F$7,$A122&gt;'Recurring Schedule'!$P$7),"",IF(IF('Recurring Schedule'!$N$7&gt;0,MOD($A122-'Recurring Schedule'!$F$7,'Recurring Schedule'!$N$7)=0,IF('Recurring Schedule'!$O$7&gt;0,AND(DAY($A122)=MIN(DAY('Recurring Schedule'!$F$7),DAY(EOMONTH($A122,0))),MOD((YEAR($A122)-YEAR('Recurring Schedule'!$F$7))*12+MONTH($A122)-MONTH('Recurring Schedule'!$F$7),'Recurring Schedule'!$O$7)=0),IF('Recurring Schedule'!$E$7="Weekdays",WEEKDAY($A122,2)&lt;=5,$A122='Recurring Schedule'!$F$7))),2,""))))</f>
        <v/>
      </c>
      <c r="D122">
        <f>IF('Recurring Schedule'!$C$8="","",IF('Recurring Schedule'!$F$8="","",IF(OR($A122&lt;'Recurring Schedule'!$F$8,$A122&gt;'Recurring Schedule'!$P$8),"",IF(IF('Recurring Schedule'!$N$8&gt;0,MOD($A122-'Recurring Schedule'!$F$8,'Recurring Schedule'!$N$8)=0,IF('Recurring Schedule'!$O$8&gt;0,AND(DAY($A122)=MIN(DAY('Recurring Schedule'!$F$8),DAY(EOMONTH($A122,0))),MOD((YEAR($A122)-YEAR('Recurring Schedule'!$F$8))*12+MONTH($A122)-MONTH('Recurring Schedule'!$F$8),'Recurring Schedule'!$O$8)=0),IF('Recurring Schedule'!$E$8="Weekdays",WEEKDAY($A122,2)&lt;=5,$A122='Recurring Schedule'!$F$8))),3,""))))</f>
        <v/>
      </c>
      <c r="E122">
        <f>IF('Recurring Schedule'!$C$9="","",IF('Recurring Schedule'!$F$9="","",IF(OR($A122&lt;'Recurring Schedule'!$F$9,$A122&gt;'Recurring Schedule'!$P$9),"",IF(IF('Recurring Schedule'!$N$9&gt;0,MOD($A122-'Recurring Schedule'!$F$9,'Recurring Schedule'!$N$9)=0,IF('Recurring Schedule'!$O$9&gt;0,AND(DAY($A122)=MIN(DAY('Recurring Schedule'!$F$9),DAY(EOMONTH($A122,0))),MOD((YEAR($A122)-YEAR('Recurring Schedule'!$F$9))*12+MONTH($A122)-MONTH('Recurring Schedule'!$F$9),'Recurring Schedule'!$O$9)=0),IF('Recurring Schedule'!$E$9="Weekdays",WEEKDAY($A122,2)&lt;=5,$A122='Recurring Schedule'!$F$9))),4,""))))</f>
        <v/>
      </c>
      <c r="F122">
        <f>IF('Recurring Schedule'!$C$10="","",IF('Recurring Schedule'!$F$10="","",IF(OR($A122&lt;'Recurring Schedule'!$F$10,$A122&gt;'Recurring Schedule'!$P$10),"",IF(IF('Recurring Schedule'!$N$10&gt;0,MOD($A122-'Recurring Schedule'!$F$10,'Recurring Schedule'!$N$10)=0,IF('Recurring Schedule'!$O$10&gt;0,AND(DAY($A122)=MIN(DAY('Recurring Schedule'!$F$10),DAY(EOMONTH($A122,0))),MOD((YEAR($A122)-YEAR('Recurring Schedule'!$F$10))*12+MONTH($A122)-MONTH('Recurring Schedule'!$F$10),'Recurring Schedule'!$O$10)=0),IF('Recurring Schedule'!$E$10="Weekdays",WEEKDAY($A122,2)&lt;=5,$A122='Recurring Schedule'!$F$10))),5,""))))</f>
        <v/>
      </c>
      <c r="G122">
        <f>IF('Recurring Schedule'!$C$11="","",IF('Recurring Schedule'!$F$11="","",IF(OR($A122&lt;'Recurring Schedule'!$F$11,$A122&gt;'Recurring Schedule'!$P$11),"",IF(IF('Recurring Schedule'!$N$11&gt;0,MOD($A122-'Recurring Schedule'!$F$11,'Recurring Schedule'!$N$11)=0,IF('Recurring Schedule'!$O$11&gt;0,AND(DAY($A122)=MIN(DAY('Recurring Schedule'!$F$11),DAY(EOMONTH($A122,0))),MOD((YEAR($A122)-YEAR('Recurring Schedule'!$F$11))*12+MONTH($A122)-MONTH('Recurring Schedule'!$F$11),'Recurring Schedule'!$O$11)=0),IF('Recurring Schedule'!$E$11="Weekdays",WEEKDAY($A122,2)&lt;=5,$A122='Recurring Schedule'!$F$11))),6,""))))</f>
        <v/>
      </c>
      <c r="H122">
        <f>IF('Recurring Schedule'!$C$12="","",IF('Recurring Schedule'!$F$12="","",IF(OR($A122&lt;'Recurring Schedule'!$F$12,$A122&gt;'Recurring Schedule'!$P$12),"",IF(IF('Recurring Schedule'!$N$12&gt;0,MOD($A122-'Recurring Schedule'!$F$12,'Recurring Schedule'!$N$12)=0,IF('Recurring Schedule'!$O$12&gt;0,AND(DAY($A122)=MIN(DAY('Recurring Schedule'!$F$12),DAY(EOMONTH($A122,0))),MOD((YEAR($A122)-YEAR('Recurring Schedule'!$F$12))*12+MONTH($A122)-MONTH('Recurring Schedule'!$F$12),'Recurring Schedule'!$O$12)=0),IF('Recurring Schedule'!$E$12="Weekdays",WEEKDAY($A122,2)&lt;=5,$A122='Recurring Schedule'!$F$12))),7,""))))</f>
        <v/>
      </c>
      <c r="I122">
        <f>IF('Recurring Schedule'!$C$13="","",IF('Recurring Schedule'!$F$13="","",IF(OR($A122&lt;'Recurring Schedule'!$F$13,$A122&gt;'Recurring Schedule'!$P$13),"",IF(IF('Recurring Schedule'!$N$13&gt;0,MOD($A122-'Recurring Schedule'!$F$13,'Recurring Schedule'!$N$13)=0,IF('Recurring Schedule'!$O$13&gt;0,AND(DAY($A122)=MIN(DAY('Recurring Schedule'!$F$13),DAY(EOMONTH($A122,0))),MOD((YEAR($A122)-YEAR('Recurring Schedule'!$F$13))*12+MONTH($A122)-MONTH('Recurring Schedule'!$F$13),'Recurring Schedule'!$O$13)=0),IF('Recurring Schedule'!$E$13="Weekdays",WEEKDAY($A122,2)&lt;=5,$A122='Recurring Schedule'!$F$13))),8,""))))</f>
        <v/>
      </c>
      <c r="J122">
        <f>IF('Recurring Schedule'!$C$14="","",IF('Recurring Schedule'!$F$14="","",IF(OR($A122&lt;'Recurring Schedule'!$F$14,$A122&gt;'Recurring Schedule'!$P$14),"",IF(IF('Recurring Schedule'!$N$14&gt;0,MOD($A122-'Recurring Schedule'!$F$14,'Recurring Schedule'!$N$14)=0,IF('Recurring Schedule'!$O$14&gt;0,AND(DAY($A122)=MIN(DAY('Recurring Schedule'!$F$14),DAY(EOMONTH($A122,0))),MOD((YEAR($A122)-YEAR('Recurring Schedule'!$F$14))*12+MONTH($A122)-MONTH('Recurring Schedule'!$F$14),'Recurring Schedule'!$O$14)=0),IF('Recurring Schedule'!$E$14="Weekdays",WEEKDAY($A122,2)&lt;=5,$A122='Recurring Schedule'!$F$14))),9,""))))</f>
        <v/>
      </c>
      <c r="K122">
        <f>IF('Recurring Schedule'!$C$15="","",IF('Recurring Schedule'!$F$15="","",IF(OR($A122&lt;'Recurring Schedule'!$F$15,$A122&gt;'Recurring Schedule'!$P$15),"",IF(IF('Recurring Schedule'!$N$15&gt;0,MOD($A122-'Recurring Schedule'!$F$15,'Recurring Schedule'!$N$15)=0,IF('Recurring Schedule'!$O$15&gt;0,AND(DAY($A122)=MIN(DAY('Recurring Schedule'!$F$15),DAY(EOMONTH($A122,0))),MOD((YEAR($A122)-YEAR('Recurring Schedule'!$F$15))*12+MONTH($A122)-MONTH('Recurring Schedule'!$F$15),'Recurring Schedule'!$O$15)=0),IF('Recurring Schedule'!$E$15="Weekdays",WEEKDAY($A122,2)&lt;=5,$A122='Recurring Schedule'!$F$15))),10,""))))</f>
        <v/>
      </c>
      <c r="L122">
        <f>IF('Recurring Schedule'!$C$16="","",IF('Recurring Schedule'!$F$16="","",IF(OR($A122&lt;'Recurring Schedule'!$F$16,$A122&gt;'Recurring Schedule'!$P$16),"",IF(IF('Recurring Schedule'!$N$16&gt;0,MOD($A122-'Recurring Schedule'!$F$16,'Recurring Schedule'!$N$16)=0,IF('Recurring Schedule'!$O$16&gt;0,AND(DAY($A122)=MIN(DAY('Recurring Schedule'!$F$16),DAY(EOMONTH($A122,0))),MOD((YEAR($A122)-YEAR('Recurring Schedule'!$F$16))*12+MONTH($A122)-MONTH('Recurring Schedule'!$F$16),'Recurring Schedule'!$O$16)=0),IF('Recurring Schedule'!$E$16="Weekdays",WEEKDAY($A122,2)&lt;=5,$A122='Recurring Schedule'!$F$16))),11,""))))</f>
        <v/>
      </c>
      <c r="M122">
        <f>IF('Recurring Schedule'!$C$17="","",IF('Recurring Schedule'!$F$17="","",IF(OR($A122&lt;'Recurring Schedule'!$F$17,$A122&gt;'Recurring Schedule'!$P$17),"",IF(IF('Recurring Schedule'!$N$17&gt;0,MOD($A122-'Recurring Schedule'!$F$17,'Recurring Schedule'!$N$17)=0,IF('Recurring Schedule'!$O$17&gt;0,AND(DAY($A122)=MIN(DAY('Recurring Schedule'!$F$17),DAY(EOMONTH($A122,0))),MOD((YEAR($A122)-YEAR('Recurring Schedule'!$F$17))*12+MONTH($A122)-MONTH('Recurring Schedule'!$F$17),'Recurring Schedule'!$O$17)=0),IF('Recurring Schedule'!$E$17="Weekdays",WEEKDAY($A122,2)&lt;=5,$A122='Recurring Schedule'!$F$17))),12,""))))</f>
        <v/>
      </c>
      <c r="N122">
        <f>IF('Recurring Schedule'!$C$18="","",IF('Recurring Schedule'!$F$18="","",IF(OR($A122&lt;'Recurring Schedule'!$F$18,$A122&gt;'Recurring Schedule'!$P$18),"",IF(IF('Recurring Schedule'!$N$18&gt;0,MOD($A122-'Recurring Schedule'!$F$18,'Recurring Schedule'!$N$18)=0,IF('Recurring Schedule'!$O$18&gt;0,AND(DAY($A122)=MIN(DAY('Recurring Schedule'!$F$18),DAY(EOMONTH($A122,0))),MOD((YEAR($A122)-YEAR('Recurring Schedule'!$F$18))*12+MONTH($A122)-MONTH('Recurring Schedule'!$F$18),'Recurring Schedule'!$O$18)=0),IF('Recurring Schedule'!$E$18="Weekdays",WEEKDAY($A122,2)&lt;=5,$A122='Recurring Schedule'!$F$18))),13,""))))</f>
        <v/>
      </c>
      <c r="O122">
        <f>IF('Recurring Schedule'!$C$19="","",IF('Recurring Schedule'!$F$19="","",IF(OR($A122&lt;'Recurring Schedule'!$F$19,$A122&gt;'Recurring Schedule'!$P$19),"",IF(IF('Recurring Schedule'!$N$19&gt;0,MOD($A122-'Recurring Schedule'!$F$19,'Recurring Schedule'!$N$19)=0,IF('Recurring Schedule'!$O$19&gt;0,AND(DAY($A122)=MIN(DAY('Recurring Schedule'!$F$19),DAY(EOMONTH($A122,0))),MOD((YEAR($A122)-YEAR('Recurring Schedule'!$F$19))*12+MONTH($A122)-MONTH('Recurring Schedule'!$F$19),'Recurring Schedule'!$O$19)=0),IF('Recurring Schedule'!$E$19="Weekdays",WEEKDAY($A122,2)&lt;=5,$A122='Recurring Schedule'!$F$19))),14,""))))</f>
        <v/>
      </c>
      <c r="P122">
        <f>IF('Recurring Schedule'!$C$20="","",IF('Recurring Schedule'!$F$20="","",IF(OR($A122&lt;'Recurring Schedule'!$F$20,$A122&gt;'Recurring Schedule'!$P$20),"",IF(IF('Recurring Schedule'!$N$20&gt;0,MOD($A122-'Recurring Schedule'!$F$20,'Recurring Schedule'!$N$20)=0,IF('Recurring Schedule'!$O$20&gt;0,AND(DAY($A122)=MIN(DAY('Recurring Schedule'!$F$20),DAY(EOMONTH($A122,0))),MOD((YEAR($A122)-YEAR('Recurring Schedule'!$F$20))*12+MONTH($A122)-MONTH('Recurring Schedule'!$F$20),'Recurring Schedule'!$O$20)=0),IF('Recurring Schedule'!$E$20="Weekdays",WEEKDAY($A122,2)&lt;=5,$A122='Recurring Schedule'!$F$20))),15,""))))</f>
        <v/>
      </c>
      <c r="Q122">
        <f>IF('Recurring Schedule'!$C$21="","",IF('Recurring Schedule'!$F$21="","",IF(OR($A122&lt;'Recurring Schedule'!$F$21,$A122&gt;'Recurring Schedule'!$P$21),"",IF(IF('Recurring Schedule'!$N$21&gt;0,MOD($A122-'Recurring Schedule'!$F$21,'Recurring Schedule'!$N$21)=0,IF('Recurring Schedule'!$O$21&gt;0,AND(DAY($A122)=MIN(DAY('Recurring Schedule'!$F$21),DAY(EOMONTH($A122,0))),MOD((YEAR($A122)-YEAR('Recurring Schedule'!$F$21))*12+MONTH($A122)-MONTH('Recurring Schedule'!$F$21),'Recurring Schedule'!$O$21)=0),IF('Recurring Schedule'!$E$21="Weekdays",WEEKDAY($A122,2)&lt;=5,$A122='Recurring Schedule'!$F$21))),16,""))))</f>
        <v/>
      </c>
      <c r="R122">
        <f>IF('Recurring Schedule'!$C$22="","",IF('Recurring Schedule'!$F$22="","",IF(OR($A122&lt;'Recurring Schedule'!$F$22,$A122&gt;'Recurring Schedule'!$P$22),"",IF(IF('Recurring Schedule'!$N$22&gt;0,MOD($A122-'Recurring Schedule'!$F$22,'Recurring Schedule'!$N$22)=0,IF('Recurring Schedule'!$O$22&gt;0,AND(DAY($A122)=MIN(DAY('Recurring Schedule'!$F$22),DAY(EOMONTH($A122,0))),MOD((YEAR($A122)-YEAR('Recurring Schedule'!$F$22))*12+MONTH($A122)-MONTH('Recurring Schedule'!$F$22),'Recurring Schedule'!$O$22)=0),IF('Recurring Schedule'!$E$22="Weekdays",WEEKDAY($A122,2)&lt;=5,$A122='Recurring Schedule'!$F$22))),17,""))))</f>
        <v/>
      </c>
      <c r="S122">
        <f>IF('Recurring Schedule'!$C$23="","",IF('Recurring Schedule'!$F$23="","",IF(OR($A122&lt;'Recurring Schedule'!$F$23,$A122&gt;'Recurring Schedule'!$P$23),"",IF(IF('Recurring Schedule'!$N$23&gt;0,MOD($A122-'Recurring Schedule'!$F$23,'Recurring Schedule'!$N$23)=0,IF('Recurring Schedule'!$O$23&gt;0,AND(DAY($A122)=MIN(DAY('Recurring Schedule'!$F$23),DAY(EOMONTH($A122,0))),MOD((YEAR($A122)-YEAR('Recurring Schedule'!$F$23))*12+MONTH($A122)-MONTH('Recurring Schedule'!$F$23),'Recurring Schedule'!$O$23)=0),IF('Recurring Schedule'!$E$23="Weekdays",WEEKDAY($A122,2)&lt;=5,$A122='Recurring Schedule'!$F$23))),18,""))))</f>
        <v/>
      </c>
      <c r="T122">
        <f>IF('Recurring Schedule'!$C$24="","",IF('Recurring Schedule'!$F$24="","",IF(OR($A122&lt;'Recurring Schedule'!$F$24,$A122&gt;'Recurring Schedule'!$P$24),"",IF(IF('Recurring Schedule'!$N$24&gt;0,MOD($A122-'Recurring Schedule'!$F$24,'Recurring Schedule'!$N$24)=0,IF('Recurring Schedule'!$O$24&gt;0,AND(DAY($A122)=MIN(DAY('Recurring Schedule'!$F$24),DAY(EOMONTH($A122,0))),MOD((YEAR($A122)-YEAR('Recurring Schedule'!$F$24))*12+MONTH($A122)-MONTH('Recurring Schedule'!$F$24),'Recurring Schedule'!$O$24)=0),IF('Recurring Schedule'!$E$24="Weekdays",WEEKDAY($A122,2)&lt;=5,$A122='Recurring Schedule'!$F$24))),19,""))))</f>
        <v/>
      </c>
      <c r="U122">
        <f>IF('Recurring Schedule'!$C$25="","",IF('Recurring Schedule'!$F$25="","",IF(OR($A122&lt;'Recurring Schedule'!$F$25,$A122&gt;'Recurring Schedule'!$P$25),"",IF(IF('Recurring Schedule'!$N$25&gt;0,MOD($A122-'Recurring Schedule'!$F$25,'Recurring Schedule'!$N$25)=0,IF('Recurring Schedule'!$O$25&gt;0,AND(DAY($A122)=MIN(DAY('Recurring Schedule'!$F$25),DAY(EOMONTH($A122,0))),MOD((YEAR($A122)-YEAR('Recurring Schedule'!$F$25))*12+MONTH($A122)-MONTH('Recurring Schedule'!$F$25),'Recurring Schedule'!$O$25)=0),IF('Recurring Schedule'!$E$25="Weekdays",WEEKDAY($A122,2)&lt;=5,$A122='Recurring Schedule'!$F$25))),20,""))))</f>
        <v/>
      </c>
      <c r="V122">
        <f>IF('Recurring Schedule'!$C$26="","",IF('Recurring Schedule'!$F$26="","",IF(OR($A122&lt;'Recurring Schedule'!$F$26,$A122&gt;'Recurring Schedule'!$P$26),"",IF(IF('Recurring Schedule'!$N$26&gt;0,MOD($A122-'Recurring Schedule'!$F$26,'Recurring Schedule'!$N$26)=0,IF('Recurring Schedule'!$O$26&gt;0,AND(DAY($A122)=MIN(DAY('Recurring Schedule'!$F$26),DAY(EOMONTH($A122,0))),MOD((YEAR($A122)-YEAR('Recurring Schedule'!$F$26))*12+MONTH($A122)-MONTH('Recurring Schedule'!$F$26),'Recurring Schedule'!$O$26)=0),IF('Recurring Schedule'!$E$26="Weekdays",WEEKDAY($A122,2)&lt;=5,$A122='Recurring Schedule'!$F$26))),21,""))))</f>
        <v/>
      </c>
      <c r="W122">
        <f>IF('Recurring Schedule'!$C$27="","",IF('Recurring Schedule'!$F$27="","",IF(OR($A122&lt;'Recurring Schedule'!$F$27,$A122&gt;'Recurring Schedule'!$P$27),"",IF(IF('Recurring Schedule'!$N$27&gt;0,MOD($A122-'Recurring Schedule'!$F$27,'Recurring Schedule'!$N$27)=0,IF('Recurring Schedule'!$O$27&gt;0,AND(DAY($A122)=MIN(DAY('Recurring Schedule'!$F$27),DAY(EOMONTH($A122,0))),MOD((YEAR($A122)-YEAR('Recurring Schedule'!$F$27))*12+MONTH($A122)-MONTH('Recurring Schedule'!$F$27),'Recurring Schedule'!$O$27)=0),IF('Recurring Schedule'!$E$27="Weekdays",WEEKDAY($A122,2)&lt;=5,$A122='Recurring Schedule'!$F$27))),22,""))))</f>
        <v/>
      </c>
      <c r="X122">
        <f>IF('Recurring Schedule'!$C$28="","",IF('Recurring Schedule'!$F$28="","",IF(OR($A122&lt;'Recurring Schedule'!$F$28,$A122&gt;'Recurring Schedule'!$P$28),"",IF(IF('Recurring Schedule'!$N$28&gt;0,MOD($A122-'Recurring Schedule'!$F$28,'Recurring Schedule'!$N$28)=0,IF('Recurring Schedule'!$O$28&gt;0,AND(DAY($A122)=MIN(DAY('Recurring Schedule'!$F$28),DAY(EOMONTH($A122,0))),MOD((YEAR($A122)-YEAR('Recurring Schedule'!$F$28))*12+MONTH($A122)-MONTH('Recurring Schedule'!$F$28),'Recurring Schedule'!$O$28)=0),IF('Recurring Schedule'!$E$28="Weekdays",WEEKDAY($A122,2)&lt;=5,$A122='Recurring Schedule'!$F$28))),23,""))))</f>
        <v/>
      </c>
      <c r="Y122">
        <f>IF('Recurring Schedule'!$C$29="","",IF('Recurring Schedule'!$F$29="","",IF(OR($A122&lt;'Recurring Schedule'!$F$29,$A122&gt;'Recurring Schedule'!$P$29),"",IF(IF('Recurring Schedule'!$N$29&gt;0,MOD($A122-'Recurring Schedule'!$F$29,'Recurring Schedule'!$N$29)=0,IF('Recurring Schedule'!$O$29&gt;0,AND(DAY($A122)=MIN(DAY('Recurring Schedule'!$F$29),DAY(EOMONTH($A122,0))),MOD((YEAR($A122)-YEAR('Recurring Schedule'!$F$29))*12+MONTH($A122)-MONTH('Recurring Schedule'!$F$29),'Recurring Schedule'!$O$29)=0),IF('Recurring Schedule'!$E$29="Weekdays",WEEKDAY($A122,2)&lt;=5,$A122='Recurring Schedule'!$F$29))),24,""))))</f>
        <v/>
      </c>
      <c r="Z122">
        <f>IF('Recurring Schedule'!$C$30="","",IF('Recurring Schedule'!$F$30="","",IF(OR($A122&lt;'Recurring Schedule'!$F$30,$A122&gt;'Recurring Schedule'!$P$30),"",IF(IF('Recurring Schedule'!$N$30&gt;0,MOD($A122-'Recurring Schedule'!$F$30,'Recurring Schedule'!$N$30)=0,IF('Recurring Schedule'!$O$30&gt;0,AND(DAY($A122)=MIN(DAY('Recurring Schedule'!$F$30),DAY(EOMONTH($A122,0))),MOD((YEAR($A122)-YEAR('Recurring Schedule'!$F$30))*12+MONTH($A122)-MONTH('Recurring Schedule'!$F$30),'Recurring Schedule'!$O$30)=0),IF('Recurring Schedule'!$E$30="Weekdays",WEEKDAY($A122,2)&lt;=5,$A122='Recurring Schedule'!$F$30))),25,""))))</f>
        <v/>
      </c>
      <c r="AA122">
        <f>IF('Recurring Schedule'!$C$31="","",IF('Recurring Schedule'!$F$31="","",IF(OR($A122&lt;'Recurring Schedule'!$F$31,$A122&gt;'Recurring Schedule'!$P$31),"",IF(IF('Recurring Schedule'!$N$31&gt;0,MOD($A122-'Recurring Schedule'!$F$31,'Recurring Schedule'!$N$31)=0,IF('Recurring Schedule'!$O$31&gt;0,AND(DAY($A122)=MIN(DAY('Recurring Schedule'!$F$31),DAY(EOMONTH($A122,0))),MOD((YEAR($A122)-YEAR('Recurring Schedule'!$F$31))*12+MONTH($A122)-MONTH('Recurring Schedule'!$F$31),'Recurring Schedule'!$O$31)=0),IF('Recurring Schedule'!$E$31="Weekdays",WEEKDAY($A122,2)&lt;=5,$A122='Recurring Schedule'!$F$31))),26,""))))</f>
        <v/>
      </c>
      <c r="AB122">
        <f>IF('Recurring Schedule'!$C$32="","",IF('Recurring Schedule'!$F$32="","",IF(OR($A122&lt;'Recurring Schedule'!$F$32,$A122&gt;'Recurring Schedule'!$P$32),"",IF(IF('Recurring Schedule'!$N$32&gt;0,MOD($A122-'Recurring Schedule'!$F$32,'Recurring Schedule'!$N$32)=0,IF('Recurring Schedule'!$O$32&gt;0,AND(DAY($A122)=MIN(DAY('Recurring Schedule'!$F$32),DAY(EOMONTH($A122,0))),MOD((YEAR($A122)-YEAR('Recurring Schedule'!$F$32))*12+MONTH($A122)-MONTH('Recurring Schedule'!$F$32),'Recurring Schedule'!$O$32)=0),IF('Recurring Schedule'!$E$32="Weekdays",WEEKDAY($A122,2)&lt;=5,$A122='Recurring Schedule'!$F$32))),27,""))))</f>
        <v/>
      </c>
      <c r="AC122">
        <f>IF('Recurring Schedule'!$C$33="","",IF('Recurring Schedule'!$F$33="","",IF(OR($A122&lt;'Recurring Schedule'!$F$33,$A122&gt;'Recurring Schedule'!$P$33),"",IF(IF('Recurring Schedule'!$N$33&gt;0,MOD($A122-'Recurring Schedule'!$F$33,'Recurring Schedule'!$N$33)=0,IF('Recurring Schedule'!$O$33&gt;0,AND(DAY($A122)=MIN(DAY('Recurring Schedule'!$F$33),DAY(EOMONTH($A122,0))),MOD((YEAR($A122)-YEAR('Recurring Schedule'!$F$33))*12+MONTH($A122)-MONTH('Recurring Schedule'!$F$33),'Recurring Schedule'!$O$33)=0),IF('Recurring Schedule'!$E$33="Weekdays",WEEKDAY($A122,2)&lt;=5,$A122='Recurring Schedule'!$F$33))),28,""))))</f>
        <v/>
      </c>
      <c r="AD122">
        <f>IF('Recurring Schedule'!$C$34="","",IF('Recurring Schedule'!$F$34="","",IF(OR($A122&lt;'Recurring Schedule'!$F$34,$A122&gt;'Recurring Schedule'!$P$34),"",IF(IF('Recurring Schedule'!$N$34&gt;0,MOD($A122-'Recurring Schedule'!$F$34,'Recurring Schedule'!$N$34)=0,IF('Recurring Schedule'!$O$34&gt;0,AND(DAY($A122)=MIN(DAY('Recurring Schedule'!$F$34),DAY(EOMONTH($A122,0))),MOD((YEAR($A122)-YEAR('Recurring Schedule'!$F$34))*12+MONTH($A122)-MONTH('Recurring Schedule'!$F$34),'Recurring Schedule'!$O$34)=0),IF('Recurring Schedule'!$E$34="Weekdays",WEEKDAY($A122,2)&lt;=5,$A122='Recurring Schedule'!$F$34))),29,""))))</f>
        <v/>
      </c>
      <c r="AE122">
        <f>IF('Recurring Schedule'!$C$35="","",IF('Recurring Schedule'!$F$35="","",IF(OR($A122&lt;'Recurring Schedule'!$F$35,$A122&gt;'Recurring Schedule'!$P$35),"",IF(IF('Recurring Schedule'!$N$35&gt;0,MOD($A122-'Recurring Schedule'!$F$35,'Recurring Schedule'!$N$35)=0,IF('Recurring Schedule'!$O$35&gt;0,AND(DAY($A122)=MIN(DAY('Recurring Schedule'!$F$35),DAY(EOMONTH($A122,0))),MOD((YEAR($A122)-YEAR('Recurring Schedule'!$F$35))*12+MONTH($A122)-MONTH('Recurring Schedule'!$F$35),'Recurring Schedule'!$O$35)=0),IF('Recurring Schedule'!$E$35="Weekdays",WEEKDAY($A122,2)&lt;=5,$A122='Recurring Schedule'!$F$35))),30,""))))</f>
        <v/>
      </c>
      <c r="AF122">
        <f>IF('Recurring Schedule'!$C$36="","",IF('Recurring Schedule'!$F$36="","",IF(OR($A122&lt;'Recurring Schedule'!$F$36,$A122&gt;'Recurring Schedule'!$P$36),"",IF(IF('Recurring Schedule'!$N$36&gt;0,MOD($A122-'Recurring Schedule'!$F$36,'Recurring Schedule'!$N$36)=0,IF('Recurring Schedule'!$O$36&gt;0,AND(DAY($A122)=MIN(DAY('Recurring Schedule'!$F$36),DAY(EOMONTH($A122,0))),MOD((YEAR($A122)-YEAR('Recurring Schedule'!$F$36))*12+MONTH($A122)-MONTH('Recurring Schedule'!$F$36),'Recurring Schedule'!$O$36)=0),IF('Recurring Schedule'!$E$36="Weekdays",WEEKDAY($A122,2)&lt;=5,$A122='Recurring Schedule'!$F$36))),31,""))))</f>
        <v/>
      </c>
      <c r="AG122">
        <f>IF('Recurring Schedule'!$C$37="","",IF('Recurring Schedule'!$F$37="","",IF(OR($A122&lt;'Recurring Schedule'!$F$37,$A122&gt;'Recurring Schedule'!$P$37),"",IF(IF('Recurring Schedule'!$N$37&gt;0,MOD($A122-'Recurring Schedule'!$F$37,'Recurring Schedule'!$N$37)=0,IF('Recurring Schedule'!$O$37&gt;0,AND(DAY($A122)=MIN(DAY('Recurring Schedule'!$F$37),DAY(EOMONTH($A122,0))),MOD((YEAR($A122)-YEAR('Recurring Schedule'!$F$37))*12+MONTH($A122)-MONTH('Recurring Schedule'!$F$37),'Recurring Schedule'!$O$37)=0),IF('Recurring Schedule'!$E$37="Weekdays",WEEKDAY($A122,2)&lt;=5,$A122='Recurring Schedule'!$F$37))),32,""))))</f>
        <v/>
      </c>
      <c r="AH122">
        <f>IF('Recurring Schedule'!$C$38="","",IF('Recurring Schedule'!$F$38="","",IF(OR($A122&lt;'Recurring Schedule'!$F$38,$A122&gt;'Recurring Schedule'!$P$38),"",IF(IF('Recurring Schedule'!$N$38&gt;0,MOD($A122-'Recurring Schedule'!$F$38,'Recurring Schedule'!$N$38)=0,IF('Recurring Schedule'!$O$38&gt;0,AND(DAY($A122)=MIN(DAY('Recurring Schedule'!$F$38),DAY(EOMONTH($A122,0))),MOD((YEAR($A122)-YEAR('Recurring Schedule'!$F$38))*12+MONTH($A122)-MONTH('Recurring Schedule'!$F$38),'Recurring Schedule'!$O$38)=0),IF('Recurring Schedule'!$E$38="Weekdays",WEEKDAY($A122,2)&lt;=5,$A122='Recurring Schedule'!$F$38))),33,""))))</f>
        <v/>
      </c>
      <c r="AI122">
        <f>IF('Recurring Schedule'!$C$39="","",IF('Recurring Schedule'!$F$39="","",IF(OR($A122&lt;'Recurring Schedule'!$F$39,$A122&gt;'Recurring Schedule'!$P$39),"",IF(IF('Recurring Schedule'!$N$39&gt;0,MOD($A122-'Recurring Schedule'!$F$39,'Recurring Schedule'!$N$39)=0,IF('Recurring Schedule'!$O$39&gt;0,AND(DAY($A122)=MIN(DAY('Recurring Schedule'!$F$39),DAY(EOMONTH($A122,0))),MOD((YEAR($A122)-YEAR('Recurring Schedule'!$F$39))*12+MONTH($A122)-MONTH('Recurring Schedule'!$F$39),'Recurring Schedule'!$O$39)=0),IF('Recurring Schedule'!$E$39="Weekdays",WEEKDAY($A122,2)&lt;=5,$A122='Recurring Schedule'!$F$39))),34,""))))</f>
        <v/>
      </c>
      <c r="AJ122">
        <f>IF('Recurring Schedule'!$C$40="","",IF('Recurring Schedule'!$F$40="","",IF(OR($A122&lt;'Recurring Schedule'!$F$40,$A122&gt;'Recurring Schedule'!$P$40),"",IF(IF('Recurring Schedule'!$N$40&gt;0,MOD($A122-'Recurring Schedule'!$F$40,'Recurring Schedule'!$N$40)=0,IF('Recurring Schedule'!$O$40&gt;0,AND(DAY($A122)=MIN(DAY('Recurring Schedule'!$F$40),DAY(EOMONTH($A122,0))),MOD((YEAR($A122)-YEAR('Recurring Schedule'!$F$40))*12+MONTH($A122)-MONTH('Recurring Schedule'!$F$40),'Recurring Schedule'!$O$40)=0),IF('Recurring Schedule'!$E$40="Weekdays",WEEKDAY($A122,2)&lt;=5,$A122='Recurring Schedule'!$F$40))),35,""))))</f>
        <v/>
      </c>
      <c r="AK122">
        <f>IF('Recurring Schedule'!$C$41="","",IF('Recurring Schedule'!$F$41="","",IF(OR($A122&lt;'Recurring Schedule'!$F$41,$A122&gt;'Recurring Schedule'!$P$41),"",IF(IF('Recurring Schedule'!$N$41&gt;0,MOD($A122-'Recurring Schedule'!$F$41,'Recurring Schedule'!$N$41)=0,IF('Recurring Schedule'!$O$41&gt;0,AND(DAY($A122)=MIN(DAY('Recurring Schedule'!$F$41),DAY(EOMONTH($A122,0))),MOD((YEAR($A122)-YEAR('Recurring Schedule'!$F$41))*12+MONTH($A122)-MONTH('Recurring Schedule'!$F$41),'Recurring Schedule'!$O$41)=0),IF('Recurring Schedule'!$E$41="Weekdays",WEEKDAY($A122,2)&lt;=5,$A122='Recurring Schedule'!$F$41))),36,""))))</f>
        <v/>
      </c>
      <c r="AL122">
        <f>IF('Recurring Schedule'!$C$42="","",IF('Recurring Schedule'!$F$42="","",IF(OR($A122&lt;'Recurring Schedule'!$F$42,$A122&gt;'Recurring Schedule'!$P$42),"",IF(IF('Recurring Schedule'!$N$42&gt;0,MOD($A122-'Recurring Schedule'!$F$42,'Recurring Schedule'!$N$42)=0,IF('Recurring Schedule'!$O$42&gt;0,AND(DAY($A122)=MIN(DAY('Recurring Schedule'!$F$42),DAY(EOMONTH($A122,0))),MOD((YEAR($A122)-YEAR('Recurring Schedule'!$F$42))*12+MONTH($A122)-MONTH('Recurring Schedule'!$F$42),'Recurring Schedule'!$O$42)=0),IF('Recurring Schedule'!$E$42="Weekdays",WEEKDAY($A122,2)&lt;=5,$A122='Recurring Schedule'!$F$42))),37,""))))</f>
        <v/>
      </c>
      <c r="AM122">
        <f>IF('Recurring Schedule'!$C$43="","",IF('Recurring Schedule'!$F$43="","",IF(OR($A122&lt;'Recurring Schedule'!$F$43,$A122&gt;'Recurring Schedule'!$P$43),"",IF(IF('Recurring Schedule'!$N$43&gt;0,MOD($A122-'Recurring Schedule'!$F$43,'Recurring Schedule'!$N$43)=0,IF('Recurring Schedule'!$O$43&gt;0,AND(DAY($A122)=MIN(DAY('Recurring Schedule'!$F$43),DAY(EOMONTH($A122,0))),MOD((YEAR($A122)-YEAR('Recurring Schedule'!$F$43))*12+MONTH($A122)-MONTH('Recurring Schedule'!$F$43),'Recurring Schedule'!$O$43)=0),IF('Recurring Schedule'!$E$43="Weekdays",WEEKDAY($A122,2)&lt;=5,$A122='Recurring Schedule'!$F$43))),38,""))))</f>
        <v/>
      </c>
      <c r="AN122">
        <f>IF('Recurring Schedule'!$C$44="","",IF('Recurring Schedule'!$F$44="","",IF(OR($A122&lt;'Recurring Schedule'!$F$44,$A122&gt;'Recurring Schedule'!$P$44),"",IF(IF('Recurring Schedule'!$N$44&gt;0,MOD($A122-'Recurring Schedule'!$F$44,'Recurring Schedule'!$N$44)=0,IF('Recurring Schedule'!$O$44&gt;0,AND(DAY($A122)=MIN(DAY('Recurring Schedule'!$F$44),DAY(EOMONTH($A122,0))),MOD((YEAR($A122)-YEAR('Recurring Schedule'!$F$44))*12+MONTH($A122)-MONTH('Recurring Schedule'!$F$44),'Recurring Schedule'!$O$44)=0),IF('Recurring Schedule'!$E$44="Weekdays",WEEKDAY($A122,2)&lt;=5,$A122='Recurring Schedule'!$F$44))),39,""))))</f>
        <v/>
      </c>
      <c r="AO122">
        <f>IF('Recurring Schedule'!$C$45="","",IF('Recurring Schedule'!$F$45="","",IF(OR($A122&lt;'Recurring Schedule'!$F$45,$A122&gt;'Recurring Schedule'!$P$45),"",IF(IF('Recurring Schedule'!$N$45&gt;0,MOD($A122-'Recurring Schedule'!$F$45,'Recurring Schedule'!$N$45)=0,IF('Recurring Schedule'!$O$45&gt;0,AND(DAY($A122)=MIN(DAY('Recurring Schedule'!$F$45),DAY(EOMONTH($A122,0))),MOD((YEAR($A122)-YEAR('Recurring Schedule'!$F$45))*12+MONTH($A122)-MONTH('Recurring Schedule'!$F$45),'Recurring Schedule'!$O$45)=0),IF('Recurring Schedule'!$E$45="Weekdays",WEEKDAY($A122,2)&lt;=5,$A122='Recurring Schedule'!$F$45))),40,""))))</f>
        <v/>
      </c>
      <c r="AP122">
        <f>COUNT(B122:AO122)</f>
        <v/>
      </c>
      <c r="AQ122">
        <f>AQ121+AP121</f>
        <v/>
      </c>
      <c r="AS122" t="inlineStr">
        <is>
          <t>R</t>
        </is>
      </c>
      <c r="AT122" t="n">
        <v>126</v>
      </c>
      <c r="AU122">
        <f>'Recurring Log'!C126&amp;""</f>
        <v/>
      </c>
      <c r="AV122">
        <f>'Recurring Log'!D126&amp;""</f>
        <v/>
      </c>
      <c r="AW122">
        <f>IF('Recurring Log'!E126="","",'Recurring Log'!E126)</f>
        <v/>
      </c>
      <c r="AX122">
        <f>IF('Recurring Log'!G126="","",'Recurring Log'!G126)</f>
        <v/>
      </c>
      <c r="AY122">
        <f>IF('Recurring Log'!H126="","",'Recurring Log'!H126)</f>
        <v/>
      </c>
      <c r="AZ122">
        <f>IF(AU122="","",IF('Recurring Log'!J126="","Not Started",'Recurring Log'!J126))</f>
        <v/>
      </c>
      <c r="BA122">
        <f>'Recurring Log'!L126&amp;""</f>
        <v/>
      </c>
      <c r="BB122">
        <f>'Recurring Log'!M126&amp;""</f>
        <v/>
      </c>
      <c r="BC122">
        <f>'Recurring Log'!N126&amp;""</f>
        <v/>
      </c>
      <c r="BD122">
        <f>'Recurring Log'!O126&amp;""</f>
        <v/>
      </c>
      <c r="BE122">
        <f>IF('Recurring Log'!K126="","",'Recurring Log'!K126)</f>
        <v/>
      </c>
      <c r="BF122">
        <f>IFERROR(MATCH(BA122,Setup!$L$6:$L$9,0),5)</f>
        <v/>
      </c>
      <c r="BG122">
        <f>IF(OR(AZ122="Done",AZ122="Cancelled"),1,0)</f>
        <v/>
      </c>
      <c r="BH122">
        <f>IF(AND(AU122&lt;&gt;"",ISNUMBER(AW122)),1,0)</f>
        <v/>
      </c>
      <c r="BI122">
        <f>IF(BH122=0,0,IF(AND(AW122&gt;='Tasks Filter'!$F$3,AW122&lt;='Tasks Filter'!$F$4,OR('Tasks Filter'!$I$3="",ISNUMBER(SEARCH('Tasks Filter'!$I$3,AU122))),OR('Tasks Filter'!$I$4="",BF122=IFERROR(MATCH('Tasks Filter'!$I$4,Setup!$L$6:$L$9,0),0)),OR('Tasks Filter'!$I$5="Both",AND('Tasks Filter'!$I$5="Yes",BB122="✓"),AND('Tasks Filter'!$I$5="No",BB122&lt;&gt;"✓")),OR('Tasks Filter'!$L$3="",AV122='Tasks Filter'!$L$3),OR('Tasks Filter'!$L$4="",AZ122='Tasks Filter'!$L$4),OR('Tasks Filter'!$L$5="",BC122='Tasks Filter'!$L$5),OR('Tasks Filter'!$O$3="",BD122='Tasks Filter'!$O$3),OR('Tasks Filter'!$O$4="Yes",BG122=0)),1,0))</f>
        <v/>
      </c>
      <c r="BJ122">
        <f>IF(BH122=0,"",IF('Tasks Filter'!$F$6="Descending",-1,1)*CHOOSE(MATCH('Tasks Filter'!$F$5,Lists!$G$2:$G$6,0),AW122,BF122,IFERROR(MATCH(AV122,Setup!$F$6:$F$15,0),99),IFERROR(MATCH(BC122,Setup!$H$6:$H$15,0),99),IFERROR(MATCH(AZ122,Setup!$J$6:$J$11,0),99))*1E+9+(AW122-40000)*10000+121)</f>
        <v/>
      </c>
      <c r="BK122">
        <f>IF(BI122=1,BJ122,"")</f>
        <v/>
      </c>
      <c r="BL122">
        <f>IF(AND(BH122=1,BG122=0,N(AW122)&lt;Setup!$D$7),(AW122-40000)*10000+121,"")</f>
        <v/>
      </c>
      <c r="BM122">
        <f>IF(AND(BH122=1,AZ122&lt;&gt;"Cancelled",N(AW122)&gt;=Dashboard!$AB$3,N(AW122)&lt;=Dashboard!$AB$3+6),(AW122-40000)*100000+BF122*10000+121,"")</f>
        <v/>
      </c>
      <c r="BN122">
        <f>IF(AND(BH122=1,AZ122&lt;&gt;"Cancelled"),BF122*10000+121,"")</f>
        <v/>
      </c>
    </row>
    <row r="123">
      <c r="A123">
        <f>Setup!$D$5+121</f>
        <v/>
      </c>
      <c r="B123">
        <f>IF('Recurring Schedule'!$C$6="","",IF('Recurring Schedule'!$F$6="","",IF(OR($A123&lt;'Recurring Schedule'!$F$6,$A123&gt;'Recurring Schedule'!$P$6),"",IF(IF('Recurring Schedule'!$N$6&gt;0,MOD($A123-'Recurring Schedule'!$F$6,'Recurring Schedule'!$N$6)=0,IF('Recurring Schedule'!$O$6&gt;0,AND(DAY($A123)=MIN(DAY('Recurring Schedule'!$F$6),DAY(EOMONTH($A123,0))),MOD((YEAR($A123)-YEAR('Recurring Schedule'!$F$6))*12+MONTH($A123)-MONTH('Recurring Schedule'!$F$6),'Recurring Schedule'!$O$6)=0),IF('Recurring Schedule'!$E$6="Weekdays",WEEKDAY($A123,2)&lt;=5,$A123='Recurring Schedule'!$F$6))),1,""))))</f>
        <v/>
      </c>
      <c r="C123">
        <f>IF('Recurring Schedule'!$C$7="","",IF('Recurring Schedule'!$F$7="","",IF(OR($A123&lt;'Recurring Schedule'!$F$7,$A123&gt;'Recurring Schedule'!$P$7),"",IF(IF('Recurring Schedule'!$N$7&gt;0,MOD($A123-'Recurring Schedule'!$F$7,'Recurring Schedule'!$N$7)=0,IF('Recurring Schedule'!$O$7&gt;0,AND(DAY($A123)=MIN(DAY('Recurring Schedule'!$F$7),DAY(EOMONTH($A123,0))),MOD((YEAR($A123)-YEAR('Recurring Schedule'!$F$7))*12+MONTH($A123)-MONTH('Recurring Schedule'!$F$7),'Recurring Schedule'!$O$7)=0),IF('Recurring Schedule'!$E$7="Weekdays",WEEKDAY($A123,2)&lt;=5,$A123='Recurring Schedule'!$F$7))),2,""))))</f>
        <v/>
      </c>
      <c r="D123">
        <f>IF('Recurring Schedule'!$C$8="","",IF('Recurring Schedule'!$F$8="","",IF(OR($A123&lt;'Recurring Schedule'!$F$8,$A123&gt;'Recurring Schedule'!$P$8),"",IF(IF('Recurring Schedule'!$N$8&gt;0,MOD($A123-'Recurring Schedule'!$F$8,'Recurring Schedule'!$N$8)=0,IF('Recurring Schedule'!$O$8&gt;0,AND(DAY($A123)=MIN(DAY('Recurring Schedule'!$F$8),DAY(EOMONTH($A123,0))),MOD((YEAR($A123)-YEAR('Recurring Schedule'!$F$8))*12+MONTH($A123)-MONTH('Recurring Schedule'!$F$8),'Recurring Schedule'!$O$8)=0),IF('Recurring Schedule'!$E$8="Weekdays",WEEKDAY($A123,2)&lt;=5,$A123='Recurring Schedule'!$F$8))),3,""))))</f>
        <v/>
      </c>
      <c r="E123">
        <f>IF('Recurring Schedule'!$C$9="","",IF('Recurring Schedule'!$F$9="","",IF(OR($A123&lt;'Recurring Schedule'!$F$9,$A123&gt;'Recurring Schedule'!$P$9),"",IF(IF('Recurring Schedule'!$N$9&gt;0,MOD($A123-'Recurring Schedule'!$F$9,'Recurring Schedule'!$N$9)=0,IF('Recurring Schedule'!$O$9&gt;0,AND(DAY($A123)=MIN(DAY('Recurring Schedule'!$F$9),DAY(EOMONTH($A123,0))),MOD((YEAR($A123)-YEAR('Recurring Schedule'!$F$9))*12+MONTH($A123)-MONTH('Recurring Schedule'!$F$9),'Recurring Schedule'!$O$9)=0),IF('Recurring Schedule'!$E$9="Weekdays",WEEKDAY($A123,2)&lt;=5,$A123='Recurring Schedule'!$F$9))),4,""))))</f>
        <v/>
      </c>
      <c r="F123">
        <f>IF('Recurring Schedule'!$C$10="","",IF('Recurring Schedule'!$F$10="","",IF(OR($A123&lt;'Recurring Schedule'!$F$10,$A123&gt;'Recurring Schedule'!$P$10),"",IF(IF('Recurring Schedule'!$N$10&gt;0,MOD($A123-'Recurring Schedule'!$F$10,'Recurring Schedule'!$N$10)=0,IF('Recurring Schedule'!$O$10&gt;0,AND(DAY($A123)=MIN(DAY('Recurring Schedule'!$F$10),DAY(EOMONTH($A123,0))),MOD((YEAR($A123)-YEAR('Recurring Schedule'!$F$10))*12+MONTH($A123)-MONTH('Recurring Schedule'!$F$10),'Recurring Schedule'!$O$10)=0),IF('Recurring Schedule'!$E$10="Weekdays",WEEKDAY($A123,2)&lt;=5,$A123='Recurring Schedule'!$F$10))),5,""))))</f>
        <v/>
      </c>
      <c r="G123">
        <f>IF('Recurring Schedule'!$C$11="","",IF('Recurring Schedule'!$F$11="","",IF(OR($A123&lt;'Recurring Schedule'!$F$11,$A123&gt;'Recurring Schedule'!$P$11),"",IF(IF('Recurring Schedule'!$N$11&gt;0,MOD($A123-'Recurring Schedule'!$F$11,'Recurring Schedule'!$N$11)=0,IF('Recurring Schedule'!$O$11&gt;0,AND(DAY($A123)=MIN(DAY('Recurring Schedule'!$F$11),DAY(EOMONTH($A123,0))),MOD((YEAR($A123)-YEAR('Recurring Schedule'!$F$11))*12+MONTH($A123)-MONTH('Recurring Schedule'!$F$11),'Recurring Schedule'!$O$11)=0),IF('Recurring Schedule'!$E$11="Weekdays",WEEKDAY($A123,2)&lt;=5,$A123='Recurring Schedule'!$F$11))),6,""))))</f>
        <v/>
      </c>
      <c r="H123">
        <f>IF('Recurring Schedule'!$C$12="","",IF('Recurring Schedule'!$F$12="","",IF(OR($A123&lt;'Recurring Schedule'!$F$12,$A123&gt;'Recurring Schedule'!$P$12),"",IF(IF('Recurring Schedule'!$N$12&gt;0,MOD($A123-'Recurring Schedule'!$F$12,'Recurring Schedule'!$N$12)=0,IF('Recurring Schedule'!$O$12&gt;0,AND(DAY($A123)=MIN(DAY('Recurring Schedule'!$F$12),DAY(EOMONTH($A123,0))),MOD((YEAR($A123)-YEAR('Recurring Schedule'!$F$12))*12+MONTH($A123)-MONTH('Recurring Schedule'!$F$12),'Recurring Schedule'!$O$12)=0),IF('Recurring Schedule'!$E$12="Weekdays",WEEKDAY($A123,2)&lt;=5,$A123='Recurring Schedule'!$F$12))),7,""))))</f>
        <v/>
      </c>
      <c r="I123">
        <f>IF('Recurring Schedule'!$C$13="","",IF('Recurring Schedule'!$F$13="","",IF(OR($A123&lt;'Recurring Schedule'!$F$13,$A123&gt;'Recurring Schedule'!$P$13),"",IF(IF('Recurring Schedule'!$N$13&gt;0,MOD($A123-'Recurring Schedule'!$F$13,'Recurring Schedule'!$N$13)=0,IF('Recurring Schedule'!$O$13&gt;0,AND(DAY($A123)=MIN(DAY('Recurring Schedule'!$F$13),DAY(EOMONTH($A123,0))),MOD((YEAR($A123)-YEAR('Recurring Schedule'!$F$13))*12+MONTH($A123)-MONTH('Recurring Schedule'!$F$13),'Recurring Schedule'!$O$13)=0),IF('Recurring Schedule'!$E$13="Weekdays",WEEKDAY($A123,2)&lt;=5,$A123='Recurring Schedule'!$F$13))),8,""))))</f>
        <v/>
      </c>
      <c r="J123">
        <f>IF('Recurring Schedule'!$C$14="","",IF('Recurring Schedule'!$F$14="","",IF(OR($A123&lt;'Recurring Schedule'!$F$14,$A123&gt;'Recurring Schedule'!$P$14),"",IF(IF('Recurring Schedule'!$N$14&gt;0,MOD($A123-'Recurring Schedule'!$F$14,'Recurring Schedule'!$N$14)=0,IF('Recurring Schedule'!$O$14&gt;0,AND(DAY($A123)=MIN(DAY('Recurring Schedule'!$F$14),DAY(EOMONTH($A123,0))),MOD((YEAR($A123)-YEAR('Recurring Schedule'!$F$14))*12+MONTH($A123)-MONTH('Recurring Schedule'!$F$14),'Recurring Schedule'!$O$14)=0),IF('Recurring Schedule'!$E$14="Weekdays",WEEKDAY($A123,2)&lt;=5,$A123='Recurring Schedule'!$F$14))),9,""))))</f>
        <v/>
      </c>
      <c r="K123">
        <f>IF('Recurring Schedule'!$C$15="","",IF('Recurring Schedule'!$F$15="","",IF(OR($A123&lt;'Recurring Schedule'!$F$15,$A123&gt;'Recurring Schedule'!$P$15),"",IF(IF('Recurring Schedule'!$N$15&gt;0,MOD($A123-'Recurring Schedule'!$F$15,'Recurring Schedule'!$N$15)=0,IF('Recurring Schedule'!$O$15&gt;0,AND(DAY($A123)=MIN(DAY('Recurring Schedule'!$F$15),DAY(EOMONTH($A123,0))),MOD((YEAR($A123)-YEAR('Recurring Schedule'!$F$15))*12+MONTH($A123)-MONTH('Recurring Schedule'!$F$15),'Recurring Schedule'!$O$15)=0),IF('Recurring Schedule'!$E$15="Weekdays",WEEKDAY($A123,2)&lt;=5,$A123='Recurring Schedule'!$F$15))),10,""))))</f>
        <v/>
      </c>
      <c r="L123">
        <f>IF('Recurring Schedule'!$C$16="","",IF('Recurring Schedule'!$F$16="","",IF(OR($A123&lt;'Recurring Schedule'!$F$16,$A123&gt;'Recurring Schedule'!$P$16),"",IF(IF('Recurring Schedule'!$N$16&gt;0,MOD($A123-'Recurring Schedule'!$F$16,'Recurring Schedule'!$N$16)=0,IF('Recurring Schedule'!$O$16&gt;0,AND(DAY($A123)=MIN(DAY('Recurring Schedule'!$F$16),DAY(EOMONTH($A123,0))),MOD((YEAR($A123)-YEAR('Recurring Schedule'!$F$16))*12+MONTH($A123)-MONTH('Recurring Schedule'!$F$16),'Recurring Schedule'!$O$16)=0),IF('Recurring Schedule'!$E$16="Weekdays",WEEKDAY($A123,2)&lt;=5,$A123='Recurring Schedule'!$F$16))),11,""))))</f>
        <v/>
      </c>
      <c r="M123">
        <f>IF('Recurring Schedule'!$C$17="","",IF('Recurring Schedule'!$F$17="","",IF(OR($A123&lt;'Recurring Schedule'!$F$17,$A123&gt;'Recurring Schedule'!$P$17),"",IF(IF('Recurring Schedule'!$N$17&gt;0,MOD($A123-'Recurring Schedule'!$F$17,'Recurring Schedule'!$N$17)=0,IF('Recurring Schedule'!$O$17&gt;0,AND(DAY($A123)=MIN(DAY('Recurring Schedule'!$F$17),DAY(EOMONTH($A123,0))),MOD((YEAR($A123)-YEAR('Recurring Schedule'!$F$17))*12+MONTH($A123)-MONTH('Recurring Schedule'!$F$17),'Recurring Schedule'!$O$17)=0),IF('Recurring Schedule'!$E$17="Weekdays",WEEKDAY($A123,2)&lt;=5,$A123='Recurring Schedule'!$F$17))),12,""))))</f>
        <v/>
      </c>
      <c r="N123">
        <f>IF('Recurring Schedule'!$C$18="","",IF('Recurring Schedule'!$F$18="","",IF(OR($A123&lt;'Recurring Schedule'!$F$18,$A123&gt;'Recurring Schedule'!$P$18),"",IF(IF('Recurring Schedule'!$N$18&gt;0,MOD($A123-'Recurring Schedule'!$F$18,'Recurring Schedule'!$N$18)=0,IF('Recurring Schedule'!$O$18&gt;0,AND(DAY($A123)=MIN(DAY('Recurring Schedule'!$F$18),DAY(EOMONTH($A123,0))),MOD((YEAR($A123)-YEAR('Recurring Schedule'!$F$18))*12+MONTH($A123)-MONTH('Recurring Schedule'!$F$18),'Recurring Schedule'!$O$18)=0),IF('Recurring Schedule'!$E$18="Weekdays",WEEKDAY($A123,2)&lt;=5,$A123='Recurring Schedule'!$F$18))),13,""))))</f>
        <v/>
      </c>
      <c r="O123">
        <f>IF('Recurring Schedule'!$C$19="","",IF('Recurring Schedule'!$F$19="","",IF(OR($A123&lt;'Recurring Schedule'!$F$19,$A123&gt;'Recurring Schedule'!$P$19),"",IF(IF('Recurring Schedule'!$N$19&gt;0,MOD($A123-'Recurring Schedule'!$F$19,'Recurring Schedule'!$N$19)=0,IF('Recurring Schedule'!$O$19&gt;0,AND(DAY($A123)=MIN(DAY('Recurring Schedule'!$F$19),DAY(EOMONTH($A123,0))),MOD((YEAR($A123)-YEAR('Recurring Schedule'!$F$19))*12+MONTH($A123)-MONTH('Recurring Schedule'!$F$19),'Recurring Schedule'!$O$19)=0),IF('Recurring Schedule'!$E$19="Weekdays",WEEKDAY($A123,2)&lt;=5,$A123='Recurring Schedule'!$F$19))),14,""))))</f>
        <v/>
      </c>
      <c r="P123">
        <f>IF('Recurring Schedule'!$C$20="","",IF('Recurring Schedule'!$F$20="","",IF(OR($A123&lt;'Recurring Schedule'!$F$20,$A123&gt;'Recurring Schedule'!$P$20),"",IF(IF('Recurring Schedule'!$N$20&gt;0,MOD($A123-'Recurring Schedule'!$F$20,'Recurring Schedule'!$N$20)=0,IF('Recurring Schedule'!$O$20&gt;0,AND(DAY($A123)=MIN(DAY('Recurring Schedule'!$F$20),DAY(EOMONTH($A123,0))),MOD((YEAR($A123)-YEAR('Recurring Schedule'!$F$20))*12+MONTH($A123)-MONTH('Recurring Schedule'!$F$20),'Recurring Schedule'!$O$20)=0),IF('Recurring Schedule'!$E$20="Weekdays",WEEKDAY($A123,2)&lt;=5,$A123='Recurring Schedule'!$F$20))),15,""))))</f>
        <v/>
      </c>
      <c r="Q123">
        <f>IF('Recurring Schedule'!$C$21="","",IF('Recurring Schedule'!$F$21="","",IF(OR($A123&lt;'Recurring Schedule'!$F$21,$A123&gt;'Recurring Schedule'!$P$21),"",IF(IF('Recurring Schedule'!$N$21&gt;0,MOD($A123-'Recurring Schedule'!$F$21,'Recurring Schedule'!$N$21)=0,IF('Recurring Schedule'!$O$21&gt;0,AND(DAY($A123)=MIN(DAY('Recurring Schedule'!$F$21),DAY(EOMONTH($A123,0))),MOD((YEAR($A123)-YEAR('Recurring Schedule'!$F$21))*12+MONTH($A123)-MONTH('Recurring Schedule'!$F$21),'Recurring Schedule'!$O$21)=0),IF('Recurring Schedule'!$E$21="Weekdays",WEEKDAY($A123,2)&lt;=5,$A123='Recurring Schedule'!$F$21))),16,""))))</f>
        <v/>
      </c>
      <c r="R123">
        <f>IF('Recurring Schedule'!$C$22="","",IF('Recurring Schedule'!$F$22="","",IF(OR($A123&lt;'Recurring Schedule'!$F$22,$A123&gt;'Recurring Schedule'!$P$22),"",IF(IF('Recurring Schedule'!$N$22&gt;0,MOD($A123-'Recurring Schedule'!$F$22,'Recurring Schedule'!$N$22)=0,IF('Recurring Schedule'!$O$22&gt;0,AND(DAY($A123)=MIN(DAY('Recurring Schedule'!$F$22),DAY(EOMONTH($A123,0))),MOD((YEAR($A123)-YEAR('Recurring Schedule'!$F$22))*12+MONTH($A123)-MONTH('Recurring Schedule'!$F$22),'Recurring Schedule'!$O$22)=0),IF('Recurring Schedule'!$E$22="Weekdays",WEEKDAY($A123,2)&lt;=5,$A123='Recurring Schedule'!$F$22))),17,""))))</f>
        <v/>
      </c>
      <c r="S123">
        <f>IF('Recurring Schedule'!$C$23="","",IF('Recurring Schedule'!$F$23="","",IF(OR($A123&lt;'Recurring Schedule'!$F$23,$A123&gt;'Recurring Schedule'!$P$23),"",IF(IF('Recurring Schedule'!$N$23&gt;0,MOD($A123-'Recurring Schedule'!$F$23,'Recurring Schedule'!$N$23)=0,IF('Recurring Schedule'!$O$23&gt;0,AND(DAY($A123)=MIN(DAY('Recurring Schedule'!$F$23),DAY(EOMONTH($A123,0))),MOD((YEAR($A123)-YEAR('Recurring Schedule'!$F$23))*12+MONTH($A123)-MONTH('Recurring Schedule'!$F$23),'Recurring Schedule'!$O$23)=0),IF('Recurring Schedule'!$E$23="Weekdays",WEEKDAY($A123,2)&lt;=5,$A123='Recurring Schedule'!$F$23))),18,""))))</f>
        <v/>
      </c>
      <c r="T123">
        <f>IF('Recurring Schedule'!$C$24="","",IF('Recurring Schedule'!$F$24="","",IF(OR($A123&lt;'Recurring Schedule'!$F$24,$A123&gt;'Recurring Schedule'!$P$24),"",IF(IF('Recurring Schedule'!$N$24&gt;0,MOD($A123-'Recurring Schedule'!$F$24,'Recurring Schedule'!$N$24)=0,IF('Recurring Schedule'!$O$24&gt;0,AND(DAY($A123)=MIN(DAY('Recurring Schedule'!$F$24),DAY(EOMONTH($A123,0))),MOD((YEAR($A123)-YEAR('Recurring Schedule'!$F$24))*12+MONTH($A123)-MONTH('Recurring Schedule'!$F$24),'Recurring Schedule'!$O$24)=0),IF('Recurring Schedule'!$E$24="Weekdays",WEEKDAY($A123,2)&lt;=5,$A123='Recurring Schedule'!$F$24))),19,""))))</f>
        <v/>
      </c>
      <c r="U123">
        <f>IF('Recurring Schedule'!$C$25="","",IF('Recurring Schedule'!$F$25="","",IF(OR($A123&lt;'Recurring Schedule'!$F$25,$A123&gt;'Recurring Schedule'!$P$25),"",IF(IF('Recurring Schedule'!$N$25&gt;0,MOD($A123-'Recurring Schedule'!$F$25,'Recurring Schedule'!$N$25)=0,IF('Recurring Schedule'!$O$25&gt;0,AND(DAY($A123)=MIN(DAY('Recurring Schedule'!$F$25),DAY(EOMONTH($A123,0))),MOD((YEAR($A123)-YEAR('Recurring Schedule'!$F$25))*12+MONTH($A123)-MONTH('Recurring Schedule'!$F$25),'Recurring Schedule'!$O$25)=0),IF('Recurring Schedule'!$E$25="Weekdays",WEEKDAY($A123,2)&lt;=5,$A123='Recurring Schedule'!$F$25))),20,""))))</f>
        <v/>
      </c>
      <c r="V123">
        <f>IF('Recurring Schedule'!$C$26="","",IF('Recurring Schedule'!$F$26="","",IF(OR($A123&lt;'Recurring Schedule'!$F$26,$A123&gt;'Recurring Schedule'!$P$26),"",IF(IF('Recurring Schedule'!$N$26&gt;0,MOD($A123-'Recurring Schedule'!$F$26,'Recurring Schedule'!$N$26)=0,IF('Recurring Schedule'!$O$26&gt;0,AND(DAY($A123)=MIN(DAY('Recurring Schedule'!$F$26),DAY(EOMONTH($A123,0))),MOD((YEAR($A123)-YEAR('Recurring Schedule'!$F$26))*12+MONTH($A123)-MONTH('Recurring Schedule'!$F$26),'Recurring Schedule'!$O$26)=0),IF('Recurring Schedule'!$E$26="Weekdays",WEEKDAY($A123,2)&lt;=5,$A123='Recurring Schedule'!$F$26))),21,""))))</f>
        <v/>
      </c>
      <c r="W123">
        <f>IF('Recurring Schedule'!$C$27="","",IF('Recurring Schedule'!$F$27="","",IF(OR($A123&lt;'Recurring Schedule'!$F$27,$A123&gt;'Recurring Schedule'!$P$27),"",IF(IF('Recurring Schedule'!$N$27&gt;0,MOD($A123-'Recurring Schedule'!$F$27,'Recurring Schedule'!$N$27)=0,IF('Recurring Schedule'!$O$27&gt;0,AND(DAY($A123)=MIN(DAY('Recurring Schedule'!$F$27),DAY(EOMONTH($A123,0))),MOD((YEAR($A123)-YEAR('Recurring Schedule'!$F$27))*12+MONTH($A123)-MONTH('Recurring Schedule'!$F$27),'Recurring Schedule'!$O$27)=0),IF('Recurring Schedule'!$E$27="Weekdays",WEEKDAY($A123,2)&lt;=5,$A123='Recurring Schedule'!$F$27))),22,""))))</f>
        <v/>
      </c>
      <c r="X123">
        <f>IF('Recurring Schedule'!$C$28="","",IF('Recurring Schedule'!$F$28="","",IF(OR($A123&lt;'Recurring Schedule'!$F$28,$A123&gt;'Recurring Schedule'!$P$28),"",IF(IF('Recurring Schedule'!$N$28&gt;0,MOD($A123-'Recurring Schedule'!$F$28,'Recurring Schedule'!$N$28)=0,IF('Recurring Schedule'!$O$28&gt;0,AND(DAY($A123)=MIN(DAY('Recurring Schedule'!$F$28),DAY(EOMONTH($A123,0))),MOD((YEAR($A123)-YEAR('Recurring Schedule'!$F$28))*12+MONTH($A123)-MONTH('Recurring Schedule'!$F$28),'Recurring Schedule'!$O$28)=0),IF('Recurring Schedule'!$E$28="Weekdays",WEEKDAY($A123,2)&lt;=5,$A123='Recurring Schedule'!$F$28))),23,""))))</f>
        <v/>
      </c>
      <c r="Y123">
        <f>IF('Recurring Schedule'!$C$29="","",IF('Recurring Schedule'!$F$29="","",IF(OR($A123&lt;'Recurring Schedule'!$F$29,$A123&gt;'Recurring Schedule'!$P$29),"",IF(IF('Recurring Schedule'!$N$29&gt;0,MOD($A123-'Recurring Schedule'!$F$29,'Recurring Schedule'!$N$29)=0,IF('Recurring Schedule'!$O$29&gt;0,AND(DAY($A123)=MIN(DAY('Recurring Schedule'!$F$29),DAY(EOMONTH($A123,0))),MOD((YEAR($A123)-YEAR('Recurring Schedule'!$F$29))*12+MONTH($A123)-MONTH('Recurring Schedule'!$F$29),'Recurring Schedule'!$O$29)=0),IF('Recurring Schedule'!$E$29="Weekdays",WEEKDAY($A123,2)&lt;=5,$A123='Recurring Schedule'!$F$29))),24,""))))</f>
        <v/>
      </c>
      <c r="Z123">
        <f>IF('Recurring Schedule'!$C$30="","",IF('Recurring Schedule'!$F$30="","",IF(OR($A123&lt;'Recurring Schedule'!$F$30,$A123&gt;'Recurring Schedule'!$P$30),"",IF(IF('Recurring Schedule'!$N$30&gt;0,MOD($A123-'Recurring Schedule'!$F$30,'Recurring Schedule'!$N$30)=0,IF('Recurring Schedule'!$O$30&gt;0,AND(DAY($A123)=MIN(DAY('Recurring Schedule'!$F$30),DAY(EOMONTH($A123,0))),MOD((YEAR($A123)-YEAR('Recurring Schedule'!$F$30))*12+MONTH($A123)-MONTH('Recurring Schedule'!$F$30),'Recurring Schedule'!$O$30)=0),IF('Recurring Schedule'!$E$30="Weekdays",WEEKDAY($A123,2)&lt;=5,$A123='Recurring Schedule'!$F$30))),25,""))))</f>
        <v/>
      </c>
      <c r="AA123">
        <f>IF('Recurring Schedule'!$C$31="","",IF('Recurring Schedule'!$F$31="","",IF(OR($A123&lt;'Recurring Schedule'!$F$31,$A123&gt;'Recurring Schedule'!$P$31),"",IF(IF('Recurring Schedule'!$N$31&gt;0,MOD($A123-'Recurring Schedule'!$F$31,'Recurring Schedule'!$N$31)=0,IF('Recurring Schedule'!$O$31&gt;0,AND(DAY($A123)=MIN(DAY('Recurring Schedule'!$F$31),DAY(EOMONTH($A123,0))),MOD((YEAR($A123)-YEAR('Recurring Schedule'!$F$31))*12+MONTH($A123)-MONTH('Recurring Schedule'!$F$31),'Recurring Schedule'!$O$31)=0),IF('Recurring Schedule'!$E$31="Weekdays",WEEKDAY($A123,2)&lt;=5,$A123='Recurring Schedule'!$F$31))),26,""))))</f>
        <v/>
      </c>
      <c r="AB123">
        <f>IF('Recurring Schedule'!$C$32="","",IF('Recurring Schedule'!$F$32="","",IF(OR($A123&lt;'Recurring Schedule'!$F$32,$A123&gt;'Recurring Schedule'!$P$32),"",IF(IF('Recurring Schedule'!$N$32&gt;0,MOD($A123-'Recurring Schedule'!$F$32,'Recurring Schedule'!$N$32)=0,IF('Recurring Schedule'!$O$32&gt;0,AND(DAY($A123)=MIN(DAY('Recurring Schedule'!$F$32),DAY(EOMONTH($A123,0))),MOD((YEAR($A123)-YEAR('Recurring Schedule'!$F$32))*12+MONTH($A123)-MONTH('Recurring Schedule'!$F$32),'Recurring Schedule'!$O$32)=0),IF('Recurring Schedule'!$E$32="Weekdays",WEEKDAY($A123,2)&lt;=5,$A123='Recurring Schedule'!$F$32))),27,""))))</f>
        <v/>
      </c>
      <c r="AC123">
        <f>IF('Recurring Schedule'!$C$33="","",IF('Recurring Schedule'!$F$33="","",IF(OR($A123&lt;'Recurring Schedule'!$F$33,$A123&gt;'Recurring Schedule'!$P$33),"",IF(IF('Recurring Schedule'!$N$33&gt;0,MOD($A123-'Recurring Schedule'!$F$33,'Recurring Schedule'!$N$33)=0,IF('Recurring Schedule'!$O$33&gt;0,AND(DAY($A123)=MIN(DAY('Recurring Schedule'!$F$33),DAY(EOMONTH($A123,0))),MOD((YEAR($A123)-YEAR('Recurring Schedule'!$F$33))*12+MONTH($A123)-MONTH('Recurring Schedule'!$F$33),'Recurring Schedule'!$O$33)=0),IF('Recurring Schedule'!$E$33="Weekdays",WEEKDAY($A123,2)&lt;=5,$A123='Recurring Schedule'!$F$33))),28,""))))</f>
        <v/>
      </c>
      <c r="AD123">
        <f>IF('Recurring Schedule'!$C$34="","",IF('Recurring Schedule'!$F$34="","",IF(OR($A123&lt;'Recurring Schedule'!$F$34,$A123&gt;'Recurring Schedule'!$P$34),"",IF(IF('Recurring Schedule'!$N$34&gt;0,MOD($A123-'Recurring Schedule'!$F$34,'Recurring Schedule'!$N$34)=0,IF('Recurring Schedule'!$O$34&gt;0,AND(DAY($A123)=MIN(DAY('Recurring Schedule'!$F$34),DAY(EOMONTH($A123,0))),MOD((YEAR($A123)-YEAR('Recurring Schedule'!$F$34))*12+MONTH($A123)-MONTH('Recurring Schedule'!$F$34),'Recurring Schedule'!$O$34)=0),IF('Recurring Schedule'!$E$34="Weekdays",WEEKDAY($A123,2)&lt;=5,$A123='Recurring Schedule'!$F$34))),29,""))))</f>
        <v/>
      </c>
      <c r="AE123">
        <f>IF('Recurring Schedule'!$C$35="","",IF('Recurring Schedule'!$F$35="","",IF(OR($A123&lt;'Recurring Schedule'!$F$35,$A123&gt;'Recurring Schedule'!$P$35),"",IF(IF('Recurring Schedule'!$N$35&gt;0,MOD($A123-'Recurring Schedule'!$F$35,'Recurring Schedule'!$N$35)=0,IF('Recurring Schedule'!$O$35&gt;0,AND(DAY($A123)=MIN(DAY('Recurring Schedule'!$F$35),DAY(EOMONTH($A123,0))),MOD((YEAR($A123)-YEAR('Recurring Schedule'!$F$35))*12+MONTH($A123)-MONTH('Recurring Schedule'!$F$35),'Recurring Schedule'!$O$35)=0),IF('Recurring Schedule'!$E$35="Weekdays",WEEKDAY($A123,2)&lt;=5,$A123='Recurring Schedule'!$F$35))),30,""))))</f>
        <v/>
      </c>
      <c r="AF123">
        <f>IF('Recurring Schedule'!$C$36="","",IF('Recurring Schedule'!$F$36="","",IF(OR($A123&lt;'Recurring Schedule'!$F$36,$A123&gt;'Recurring Schedule'!$P$36),"",IF(IF('Recurring Schedule'!$N$36&gt;0,MOD($A123-'Recurring Schedule'!$F$36,'Recurring Schedule'!$N$36)=0,IF('Recurring Schedule'!$O$36&gt;0,AND(DAY($A123)=MIN(DAY('Recurring Schedule'!$F$36),DAY(EOMONTH($A123,0))),MOD((YEAR($A123)-YEAR('Recurring Schedule'!$F$36))*12+MONTH($A123)-MONTH('Recurring Schedule'!$F$36),'Recurring Schedule'!$O$36)=0),IF('Recurring Schedule'!$E$36="Weekdays",WEEKDAY($A123,2)&lt;=5,$A123='Recurring Schedule'!$F$36))),31,""))))</f>
        <v/>
      </c>
      <c r="AG123">
        <f>IF('Recurring Schedule'!$C$37="","",IF('Recurring Schedule'!$F$37="","",IF(OR($A123&lt;'Recurring Schedule'!$F$37,$A123&gt;'Recurring Schedule'!$P$37),"",IF(IF('Recurring Schedule'!$N$37&gt;0,MOD($A123-'Recurring Schedule'!$F$37,'Recurring Schedule'!$N$37)=0,IF('Recurring Schedule'!$O$37&gt;0,AND(DAY($A123)=MIN(DAY('Recurring Schedule'!$F$37),DAY(EOMONTH($A123,0))),MOD((YEAR($A123)-YEAR('Recurring Schedule'!$F$37))*12+MONTH($A123)-MONTH('Recurring Schedule'!$F$37),'Recurring Schedule'!$O$37)=0),IF('Recurring Schedule'!$E$37="Weekdays",WEEKDAY($A123,2)&lt;=5,$A123='Recurring Schedule'!$F$37))),32,""))))</f>
        <v/>
      </c>
      <c r="AH123">
        <f>IF('Recurring Schedule'!$C$38="","",IF('Recurring Schedule'!$F$38="","",IF(OR($A123&lt;'Recurring Schedule'!$F$38,$A123&gt;'Recurring Schedule'!$P$38),"",IF(IF('Recurring Schedule'!$N$38&gt;0,MOD($A123-'Recurring Schedule'!$F$38,'Recurring Schedule'!$N$38)=0,IF('Recurring Schedule'!$O$38&gt;0,AND(DAY($A123)=MIN(DAY('Recurring Schedule'!$F$38),DAY(EOMONTH($A123,0))),MOD((YEAR($A123)-YEAR('Recurring Schedule'!$F$38))*12+MONTH($A123)-MONTH('Recurring Schedule'!$F$38),'Recurring Schedule'!$O$38)=0),IF('Recurring Schedule'!$E$38="Weekdays",WEEKDAY($A123,2)&lt;=5,$A123='Recurring Schedule'!$F$38))),33,""))))</f>
        <v/>
      </c>
      <c r="AI123">
        <f>IF('Recurring Schedule'!$C$39="","",IF('Recurring Schedule'!$F$39="","",IF(OR($A123&lt;'Recurring Schedule'!$F$39,$A123&gt;'Recurring Schedule'!$P$39),"",IF(IF('Recurring Schedule'!$N$39&gt;0,MOD($A123-'Recurring Schedule'!$F$39,'Recurring Schedule'!$N$39)=0,IF('Recurring Schedule'!$O$39&gt;0,AND(DAY($A123)=MIN(DAY('Recurring Schedule'!$F$39),DAY(EOMONTH($A123,0))),MOD((YEAR($A123)-YEAR('Recurring Schedule'!$F$39))*12+MONTH($A123)-MONTH('Recurring Schedule'!$F$39),'Recurring Schedule'!$O$39)=0),IF('Recurring Schedule'!$E$39="Weekdays",WEEKDAY($A123,2)&lt;=5,$A123='Recurring Schedule'!$F$39))),34,""))))</f>
        <v/>
      </c>
      <c r="AJ123">
        <f>IF('Recurring Schedule'!$C$40="","",IF('Recurring Schedule'!$F$40="","",IF(OR($A123&lt;'Recurring Schedule'!$F$40,$A123&gt;'Recurring Schedule'!$P$40),"",IF(IF('Recurring Schedule'!$N$40&gt;0,MOD($A123-'Recurring Schedule'!$F$40,'Recurring Schedule'!$N$40)=0,IF('Recurring Schedule'!$O$40&gt;0,AND(DAY($A123)=MIN(DAY('Recurring Schedule'!$F$40),DAY(EOMONTH($A123,0))),MOD((YEAR($A123)-YEAR('Recurring Schedule'!$F$40))*12+MONTH($A123)-MONTH('Recurring Schedule'!$F$40),'Recurring Schedule'!$O$40)=0),IF('Recurring Schedule'!$E$40="Weekdays",WEEKDAY($A123,2)&lt;=5,$A123='Recurring Schedule'!$F$40))),35,""))))</f>
        <v/>
      </c>
      <c r="AK123">
        <f>IF('Recurring Schedule'!$C$41="","",IF('Recurring Schedule'!$F$41="","",IF(OR($A123&lt;'Recurring Schedule'!$F$41,$A123&gt;'Recurring Schedule'!$P$41),"",IF(IF('Recurring Schedule'!$N$41&gt;0,MOD($A123-'Recurring Schedule'!$F$41,'Recurring Schedule'!$N$41)=0,IF('Recurring Schedule'!$O$41&gt;0,AND(DAY($A123)=MIN(DAY('Recurring Schedule'!$F$41),DAY(EOMONTH($A123,0))),MOD((YEAR($A123)-YEAR('Recurring Schedule'!$F$41))*12+MONTH($A123)-MONTH('Recurring Schedule'!$F$41),'Recurring Schedule'!$O$41)=0),IF('Recurring Schedule'!$E$41="Weekdays",WEEKDAY($A123,2)&lt;=5,$A123='Recurring Schedule'!$F$41))),36,""))))</f>
        <v/>
      </c>
      <c r="AL123">
        <f>IF('Recurring Schedule'!$C$42="","",IF('Recurring Schedule'!$F$42="","",IF(OR($A123&lt;'Recurring Schedule'!$F$42,$A123&gt;'Recurring Schedule'!$P$42),"",IF(IF('Recurring Schedule'!$N$42&gt;0,MOD($A123-'Recurring Schedule'!$F$42,'Recurring Schedule'!$N$42)=0,IF('Recurring Schedule'!$O$42&gt;0,AND(DAY($A123)=MIN(DAY('Recurring Schedule'!$F$42),DAY(EOMONTH($A123,0))),MOD((YEAR($A123)-YEAR('Recurring Schedule'!$F$42))*12+MONTH($A123)-MONTH('Recurring Schedule'!$F$42),'Recurring Schedule'!$O$42)=0),IF('Recurring Schedule'!$E$42="Weekdays",WEEKDAY($A123,2)&lt;=5,$A123='Recurring Schedule'!$F$42))),37,""))))</f>
        <v/>
      </c>
      <c r="AM123">
        <f>IF('Recurring Schedule'!$C$43="","",IF('Recurring Schedule'!$F$43="","",IF(OR($A123&lt;'Recurring Schedule'!$F$43,$A123&gt;'Recurring Schedule'!$P$43),"",IF(IF('Recurring Schedule'!$N$43&gt;0,MOD($A123-'Recurring Schedule'!$F$43,'Recurring Schedule'!$N$43)=0,IF('Recurring Schedule'!$O$43&gt;0,AND(DAY($A123)=MIN(DAY('Recurring Schedule'!$F$43),DAY(EOMONTH($A123,0))),MOD((YEAR($A123)-YEAR('Recurring Schedule'!$F$43))*12+MONTH($A123)-MONTH('Recurring Schedule'!$F$43),'Recurring Schedule'!$O$43)=0),IF('Recurring Schedule'!$E$43="Weekdays",WEEKDAY($A123,2)&lt;=5,$A123='Recurring Schedule'!$F$43))),38,""))))</f>
        <v/>
      </c>
      <c r="AN123">
        <f>IF('Recurring Schedule'!$C$44="","",IF('Recurring Schedule'!$F$44="","",IF(OR($A123&lt;'Recurring Schedule'!$F$44,$A123&gt;'Recurring Schedule'!$P$44),"",IF(IF('Recurring Schedule'!$N$44&gt;0,MOD($A123-'Recurring Schedule'!$F$44,'Recurring Schedule'!$N$44)=0,IF('Recurring Schedule'!$O$44&gt;0,AND(DAY($A123)=MIN(DAY('Recurring Schedule'!$F$44),DAY(EOMONTH($A123,0))),MOD((YEAR($A123)-YEAR('Recurring Schedule'!$F$44))*12+MONTH($A123)-MONTH('Recurring Schedule'!$F$44),'Recurring Schedule'!$O$44)=0),IF('Recurring Schedule'!$E$44="Weekdays",WEEKDAY($A123,2)&lt;=5,$A123='Recurring Schedule'!$F$44))),39,""))))</f>
        <v/>
      </c>
      <c r="AO123">
        <f>IF('Recurring Schedule'!$C$45="","",IF('Recurring Schedule'!$F$45="","",IF(OR($A123&lt;'Recurring Schedule'!$F$45,$A123&gt;'Recurring Schedule'!$P$45),"",IF(IF('Recurring Schedule'!$N$45&gt;0,MOD($A123-'Recurring Schedule'!$F$45,'Recurring Schedule'!$N$45)=0,IF('Recurring Schedule'!$O$45&gt;0,AND(DAY($A123)=MIN(DAY('Recurring Schedule'!$F$45),DAY(EOMONTH($A123,0))),MOD((YEAR($A123)-YEAR('Recurring Schedule'!$F$45))*12+MONTH($A123)-MONTH('Recurring Schedule'!$F$45),'Recurring Schedule'!$O$45)=0),IF('Recurring Schedule'!$E$45="Weekdays",WEEKDAY($A123,2)&lt;=5,$A123='Recurring Schedule'!$F$45))),40,""))))</f>
        <v/>
      </c>
      <c r="AP123">
        <f>COUNT(B123:AO123)</f>
        <v/>
      </c>
      <c r="AQ123">
        <f>AQ122+AP122</f>
        <v/>
      </c>
      <c r="AS123" t="inlineStr">
        <is>
          <t>R</t>
        </is>
      </c>
      <c r="AT123" t="n">
        <v>127</v>
      </c>
      <c r="AU123">
        <f>'Recurring Log'!C127&amp;""</f>
        <v/>
      </c>
      <c r="AV123">
        <f>'Recurring Log'!D127&amp;""</f>
        <v/>
      </c>
      <c r="AW123">
        <f>IF('Recurring Log'!E127="","",'Recurring Log'!E127)</f>
        <v/>
      </c>
      <c r="AX123">
        <f>IF('Recurring Log'!G127="","",'Recurring Log'!G127)</f>
        <v/>
      </c>
      <c r="AY123">
        <f>IF('Recurring Log'!H127="","",'Recurring Log'!H127)</f>
        <v/>
      </c>
      <c r="AZ123">
        <f>IF(AU123="","",IF('Recurring Log'!J127="","Not Started",'Recurring Log'!J127))</f>
        <v/>
      </c>
      <c r="BA123">
        <f>'Recurring Log'!L127&amp;""</f>
        <v/>
      </c>
      <c r="BB123">
        <f>'Recurring Log'!M127&amp;""</f>
        <v/>
      </c>
      <c r="BC123">
        <f>'Recurring Log'!N127&amp;""</f>
        <v/>
      </c>
      <c r="BD123">
        <f>'Recurring Log'!O127&amp;""</f>
        <v/>
      </c>
      <c r="BE123">
        <f>IF('Recurring Log'!K127="","",'Recurring Log'!K127)</f>
        <v/>
      </c>
      <c r="BF123">
        <f>IFERROR(MATCH(BA123,Setup!$L$6:$L$9,0),5)</f>
        <v/>
      </c>
      <c r="BG123">
        <f>IF(OR(AZ123="Done",AZ123="Cancelled"),1,0)</f>
        <v/>
      </c>
      <c r="BH123">
        <f>IF(AND(AU123&lt;&gt;"",ISNUMBER(AW123)),1,0)</f>
        <v/>
      </c>
      <c r="BI123">
        <f>IF(BH123=0,0,IF(AND(AW123&gt;='Tasks Filter'!$F$3,AW123&lt;='Tasks Filter'!$F$4,OR('Tasks Filter'!$I$3="",ISNUMBER(SEARCH('Tasks Filter'!$I$3,AU123))),OR('Tasks Filter'!$I$4="",BF123=IFERROR(MATCH('Tasks Filter'!$I$4,Setup!$L$6:$L$9,0),0)),OR('Tasks Filter'!$I$5="Both",AND('Tasks Filter'!$I$5="Yes",BB123="✓"),AND('Tasks Filter'!$I$5="No",BB123&lt;&gt;"✓")),OR('Tasks Filter'!$L$3="",AV123='Tasks Filter'!$L$3),OR('Tasks Filter'!$L$4="",AZ123='Tasks Filter'!$L$4),OR('Tasks Filter'!$L$5="",BC123='Tasks Filter'!$L$5),OR('Tasks Filter'!$O$3="",BD123='Tasks Filter'!$O$3),OR('Tasks Filter'!$O$4="Yes",BG123=0)),1,0))</f>
        <v/>
      </c>
      <c r="BJ123">
        <f>IF(BH123=0,"",IF('Tasks Filter'!$F$6="Descending",-1,1)*CHOOSE(MATCH('Tasks Filter'!$F$5,Lists!$G$2:$G$6,0),AW123,BF123,IFERROR(MATCH(AV123,Setup!$F$6:$F$15,0),99),IFERROR(MATCH(BC123,Setup!$H$6:$H$15,0),99),IFERROR(MATCH(AZ123,Setup!$J$6:$J$11,0),99))*1E+9+(AW123-40000)*10000+122)</f>
        <v/>
      </c>
      <c r="BK123">
        <f>IF(BI123=1,BJ123,"")</f>
        <v/>
      </c>
      <c r="BL123">
        <f>IF(AND(BH123=1,BG123=0,N(AW123)&lt;Setup!$D$7),(AW123-40000)*10000+122,"")</f>
        <v/>
      </c>
      <c r="BM123">
        <f>IF(AND(BH123=1,AZ123&lt;&gt;"Cancelled",N(AW123)&gt;=Dashboard!$AB$3,N(AW123)&lt;=Dashboard!$AB$3+6),(AW123-40000)*100000+BF123*10000+122,"")</f>
        <v/>
      </c>
      <c r="BN123">
        <f>IF(AND(BH123=1,AZ123&lt;&gt;"Cancelled"),BF123*10000+122,"")</f>
        <v/>
      </c>
    </row>
    <row r="124">
      <c r="A124">
        <f>Setup!$D$5+122</f>
        <v/>
      </c>
      <c r="B124">
        <f>IF('Recurring Schedule'!$C$6="","",IF('Recurring Schedule'!$F$6="","",IF(OR($A124&lt;'Recurring Schedule'!$F$6,$A124&gt;'Recurring Schedule'!$P$6),"",IF(IF('Recurring Schedule'!$N$6&gt;0,MOD($A124-'Recurring Schedule'!$F$6,'Recurring Schedule'!$N$6)=0,IF('Recurring Schedule'!$O$6&gt;0,AND(DAY($A124)=MIN(DAY('Recurring Schedule'!$F$6),DAY(EOMONTH($A124,0))),MOD((YEAR($A124)-YEAR('Recurring Schedule'!$F$6))*12+MONTH($A124)-MONTH('Recurring Schedule'!$F$6),'Recurring Schedule'!$O$6)=0),IF('Recurring Schedule'!$E$6="Weekdays",WEEKDAY($A124,2)&lt;=5,$A124='Recurring Schedule'!$F$6))),1,""))))</f>
        <v/>
      </c>
      <c r="C124">
        <f>IF('Recurring Schedule'!$C$7="","",IF('Recurring Schedule'!$F$7="","",IF(OR($A124&lt;'Recurring Schedule'!$F$7,$A124&gt;'Recurring Schedule'!$P$7),"",IF(IF('Recurring Schedule'!$N$7&gt;0,MOD($A124-'Recurring Schedule'!$F$7,'Recurring Schedule'!$N$7)=0,IF('Recurring Schedule'!$O$7&gt;0,AND(DAY($A124)=MIN(DAY('Recurring Schedule'!$F$7),DAY(EOMONTH($A124,0))),MOD((YEAR($A124)-YEAR('Recurring Schedule'!$F$7))*12+MONTH($A124)-MONTH('Recurring Schedule'!$F$7),'Recurring Schedule'!$O$7)=0),IF('Recurring Schedule'!$E$7="Weekdays",WEEKDAY($A124,2)&lt;=5,$A124='Recurring Schedule'!$F$7))),2,""))))</f>
        <v/>
      </c>
      <c r="D124">
        <f>IF('Recurring Schedule'!$C$8="","",IF('Recurring Schedule'!$F$8="","",IF(OR($A124&lt;'Recurring Schedule'!$F$8,$A124&gt;'Recurring Schedule'!$P$8),"",IF(IF('Recurring Schedule'!$N$8&gt;0,MOD($A124-'Recurring Schedule'!$F$8,'Recurring Schedule'!$N$8)=0,IF('Recurring Schedule'!$O$8&gt;0,AND(DAY($A124)=MIN(DAY('Recurring Schedule'!$F$8),DAY(EOMONTH($A124,0))),MOD((YEAR($A124)-YEAR('Recurring Schedule'!$F$8))*12+MONTH($A124)-MONTH('Recurring Schedule'!$F$8),'Recurring Schedule'!$O$8)=0),IF('Recurring Schedule'!$E$8="Weekdays",WEEKDAY($A124,2)&lt;=5,$A124='Recurring Schedule'!$F$8))),3,""))))</f>
        <v/>
      </c>
      <c r="E124">
        <f>IF('Recurring Schedule'!$C$9="","",IF('Recurring Schedule'!$F$9="","",IF(OR($A124&lt;'Recurring Schedule'!$F$9,$A124&gt;'Recurring Schedule'!$P$9),"",IF(IF('Recurring Schedule'!$N$9&gt;0,MOD($A124-'Recurring Schedule'!$F$9,'Recurring Schedule'!$N$9)=0,IF('Recurring Schedule'!$O$9&gt;0,AND(DAY($A124)=MIN(DAY('Recurring Schedule'!$F$9),DAY(EOMONTH($A124,0))),MOD((YEAR($A124)-YEAR('Recurring Schedule'!$F$9))*12+MONTH($A124)-MONTH('Recurring Schedule'!$F$9),'Recurring Schedule'!$O$9)=0),IF('Recurring Schedule'!$E$9="Weekdays",WEEKDAY($A124,2)&lt;=5,$A124='Recurring Schedule'!$F$9))),4,""))))</f>
        <v/>
      </c>
      <c r="F124">
        <f>IF('Recurring Schedule'!$C$10="","",IF('Recurring Schedule'!$F$10="","",IF(OR($A124&lt;'Recurring Schedule'!$F$10,$A124&gt;'Recurring Schedule'!$P$10),"",IF(IF('Recurring Schedule'!$N$10&gt;0,MOD($A124-'Recurring Schedule'!$F$10,'Recurring Schedule'!$N$10)=0,IF('Recurring Schedule'!$O$10&gt;0,AND(DAY($A124)=MIN(DAY('Recurring Schedule'!$F$10),DAY(EOMONTH($A124,0))),MOD((YEAR($A124)-YEAR('Recurring Schedule'!$F$10))*12+MONTH($A124)-MONTH('Recurring Schedule'!$F$10),'Recurring Schedule'!$O$10)=0),IF('Recurring Schedule'!$E$10="Weekdays",WEEKDAY($A124,2)&lt;=5,$A124='Recurring Schedule'!$F$10))),5,""))))</f>
        <v/>
      </c>
      <c r="G124">
        <f>IF('Recurring Schedule'!$C$11="","",IF('Recurring Schedule'!$F$11="","",IF(OR($A124&lt;'Recurring Schedule'!$F$11,$A124&gt;'Recurring Schedule'!$P$11),"",IF(IF('Recurring Schedule'!$N$11&gt;0,MOD($A124-'Recurring Schedule'!$F$11,'Recurring Schedule'!$N$11)=0,IF('Recurring Schedule'!$O$11&gt;0,AND(DAY($A124)=MIN(DAY('Recurring Schedule'!$F$11),DAY(EOMONTH($A124,0))),MOD((YEAR($A124)-YEAR('Recurring Schedule'!$F$11))*12+MONTH($A124)-MONTH('Recurring Schedule'!$F$11),'Recurring Schedule'!$O$11)=0),IF('Recurring Schedule'!$E$11="Weekdays",WEEKDAY($A124,2)&lt;=5,$A124='Recurring Schedule'!$F$11))),6,""))))</f>
        <v/>
      </c>
      <c r="H124">
        <f>IF('Recurring Schedule'!$C$12="","",IF('Recurring Schedule'!$F$12="","",IF(OR($A124&lt;'Recurring Schedule'!$F$12,$A124&gt;'Recurring Schedule'!$P$12),"",IF(IF('Recurring Schedule'!$N$12&gt;0,MOD($A124-'Recurring Schedule'!$F$12,'Recurring Schedule'!$N$12)=0,IF('Recurring Schedule'!$O$12&gt;0,AND(DAY($A124)=MIN(DAY('Recurring Schedule'!$F$12),DAY(EOMONTH($A124,0))),MOD((YEAR($A124)-YEAR('Recurring Schedule'!$F$12))*12+MONTH($A124)-MONTH('Recurring Schedule'!$F$12),'Recurring Schedule'!$O$12)=0),IF('Recurring Schedule'!$E$12="Weekdays",WEEKDAY($A124,2)&lt;=5,$A124='Recurring Schedule'!$F$12))),7,""))))</f>
        <v/>
      </c>
      <c r="I124">
        <f>IF('Recurring Schedule'!$C$13="","",IF('Recurring Schedule'!$F$13="","",IF(OR($A124&lt;'Recurring Schedule'!$F$13,$A124&gt;'Recurring Schedule'!$P$13),"",IF(IF('Recurring Schedule'!$N$13&gt;0,MOD($A124-'Recurring Schedule'!$F$13,'Recurring Schedule'!$N$13)=0,IF('Recurring Schedule'!$O$13&gt;0,AND(DAY($A124)=MIN(DAY('Recurring Schedule'!$F$13),DAY(EOMONTH($A124,0))),MOD((YEAR($A124)-YEAR('Recurring Schedule'!$F$13))*12+MONTH($A124)-MONTH('Recurring Schedule'!$F$13),'Recurring Schedule'!$O$13)=0),IF('Recurring Schedule'!$E$13="Weekdays",WEEKDAY($A124,2)&lt;=5,$A124='Recurring Schedule'!$F$13))),8,""))))</f>
        <v/>
      </c>
      <c r="J124">
        <f>IF('Recurring Schedule'!$C$14="","",IF('Recurring Schedule'!$F$14="","",IF(OR($A124&lt;'Recurring Schedule'!$F$14,$A124&gt;'Recurring Schedule'!$P$14),"",IF(IF('Recurring Schedule'!$N$14&gt;0,MOD($A124-'Recurring Schedule'!$F$14,'Recurring Schedule'!$N$14)=0,IF('Recurring Schedule'!$O$14&gt;0,AND(DAY($A124)=MIN(DAY('Recurring Schedule'!$F$14),DAY(EOMONTH($A124,0))),MOD((YEAR($A124)-YEAR('Recurring Schedule'!$F$14))*12+MONTH($A124)-MONTH('Recurring Schedule'!$F$14),'Recurring Schedule'!$O$14)=0),IF('Recurring Schedule'!$E$14="Weekdays",WEEKDAY($A124,2)&lt;=5,$A124='Recurring Schedule'!$F$14))),9,""))))</f>
        <v/>
      </c>
      <c r="K124">
        <f>IF('Recurring Schedule'!$C$15="","",IF('Recurring Schedule'!$F$15="","",IF(OR($A124&lt;'Recurring Schedule'!$F$15,$A124&gt;'Recurring Schedule'!$P$15),"",IF(IF('Recurring Schedule'!$N$15&gt;0,MOD($A124-'Recurring Schedule'!$F$15,'Recurring Schedule'!$N$15)=0,IF('Recurring Schedule'!$O$15&gt;0,AND(DAY($A124)=MIN(DAY('Recurring Schedule'!$F$15),DAY(EOMONTH($A124,0))),MOD((YEAR($A124)-YEAR('Recurring Schedule'!$F$15))*12+MONTH($A124)-MONTH('Recurring Schedule'!$F$15),'Recurring Schedule'!$O$15)=0),IF('Recurring Schedule'!$E$15="Weekdays",WEEKDAY($A124,2)&lt;=5,$A124='Recurring Schedule'!$F$15))),10,""))))</f>
        <v/>
      </c>
      <c r="L124">
        <f>IF('Recurring Schedule'!$C$16="","",IF('Recurring Schedule'!$F$16="","",IF(OR($A124&lt;'Recurring Schedule'!$F$16,$A124&gt;'Recurring Schedule'!$P$16),"",IF(IF('Recurring Schedule'!$N$16&gt;0,MOD($A124-'Recurring Schedule'!$F$16,'Recurring Schedule'!$N$16)=0,IF('Recurring Schedule'!$O$16&gt;0,AND(DAY($A124)=MIN(DAY('Recurring Schedule'!$F$16),DAY(EOMONTH($A124,0))),MOD((YEAR($A124)-YEAR('Recurring Schedule'!$F$16))*12+MONTH($A124)-MONTH('Recurring Schedule'!$F$16),'Recurring Schedule'!$O$16)=0),IF('Recurring Schedule'!$E$16="Weekdays",WEEKDAY($A124,2)&lt;=5,$A124='Recurring Schedule'!$F$16))),11,""))))</f>
        <v/>
      </c>
      <c r="M124">
        <f>IF('Recurring Schedule'!$C$17="","",IF('Recurring Schedule'!$F$17="","",IF(OR($A124&lt;'Recurring Schedule'!$F$17,$A124&gt;'Recurring Schedule'!$P$17),"",IF(IF('Recurring Schedule'!$N$17&gt;0,MOD($A124-'Recurring Schedule'!$F$17,'Recurring Schedule'!$N$17)=0,IF('Recurring Schedule'!$O$17&gt;0,AND(DAY($A124)=MIN(DAY('Recurring Schedule'!$F$17),DAY(EOMONTH($A124,0))),MOD((YEAR($A124)-YEAR('Recurring Schedule'!$F$17))*12+MONTH($A124)-MONTH('Recurring Schedule'!$F$17),'Recurring Schedule'!$O$17)=0),IF('Recurring Schedule'!$E$17="Weekdays",WEEKDAY($A124,2)&lt;=5,$A124='Recurring Schedule'!$F$17))),12,""))))</f>
        <v/>
      </c>
      <c r="N124">
        <f>IF('Recurring Schedule'!$C$18="","",IF('Recurring Schedule'!$F$18="","",IF(OR($A124&lt;'Recurring Schedule'!$F$18,$A124&gt;'Recurring Schedule'!$P$18),"",IF(IF('Recurring Schedule'!$N$18&gt;0,MOD($A124-'Recurring Schedule'!$F$18,'Recurring Schedule'!$N$18)=0,IF('Recurring Schedule'!$O$18&gt;0,AND(DAY($A124)=MIN(DAY('Recurring Schedule'!$F$18),DAY(EOMONTH($A124,0))),MOD((YEAR($A124)-YEAR('Recurring Schedule'!$F$18))*12+MONTH($A124)-MONTH('Recurring Schedule'!$F$18),'Recurring Schedule'!$O$18)=0),IF('Recurring Schedule'!$E$18="Weekdays",WEEKDAY($A124,2)&lt;=5,$A124='Recurring Schedule'!$F$18))),13,""))))</f>
        <v/>
      </c>
      <c r="O124">
        <f>IF('Recurring Schedule'!$C$19="","",IF('Recurring Schedule'!$F$19="","",IF(OR($A124&lt;'Recurring Schedule'!$F$19,$A124&gt;'Recurring Schedule'!$P$19),"",IF(IF('Recurring Schedule'!$N$19&gt;0,MOD($A124-'Recurring Schedule'!$F$19,'Recurring Schedule'!$N$19)=0,IF('Recurring Schedule'!$O$19&gt;0,AND(DAY($A124)=MIN(DAY('Recurring Schedule'!$F$19),DAY(EOMONTH($A124,0))),MOD((YEAR($A124)-YEAR('Recurring Schedule'!$F$19))*12+MONTH($A124)-MONTH('Recurring Schedule'!$F$19),'Recurring Schedule'!$O$19)=0),IF('Recurring Schedule'!$E$19="Weekdays",WEEKDAY($A124,2)&lt;=5,$A124='Recurring Schedule'!$F$19))),14,""))))</f>
        <v/>
      </c>
      <c r="P124">
        <f>IF('Recurring Schedule'!$C$20="","",IF('Recurring Schedule'!$F$20="","",IF(OR($A124&lt;'Recurring Schedule'!$F$20,$A124&gt;'Recurring Schedule'!$P$20),"",IF(IF('Recurring Schedule'!$N$20&gt;0,MOD($A124-'Recurring Schedule'!$F$20,'Recurring Schedule'!$N$20)=0,IF('Recurring Schedule'!$O$20&gt;0,AND(DAY($A124)=MIN(DAY('Recurring Schedule'!$F$20),DAY(EOMONTH($A124,0))),MOD((YEAR($A124)-YEAR('Recurring Schedule'!$F$20))*12+MONTH($A124)-MONTH('Recurring Schedule'!$F$20),'Recurring Schedule'!$O$20)=0),IF('Recurring Schedule'!$E$20="Weekdays",WEEKDAY($A124,2)&lt;=5,$A124='Recurring Schedule'!$F$20))),15,""))))</f>
        <v/>
      </c>
      <c r="Q124">
        <f>IF('Recurring Schedule'!$C$21="","",IF('Recurring Schedule'!$F$21="","",IF(OR($A124&lt;'Recurring Schedule'!$F$21,$A124&gt;'Recurring Schedule'!$P$21),"",IF(IF('Recurring Schedule'!$N$21&gt;0,MOD($A124-'Recurring Schedule'!$F$21,'Recurring Schedule'!$N$21)=0,IF('Recurring Schedule'!$O$21&gt;0,AND(DAY($A124)=MIN(DAY('Recurring Schedule'!$F$21),DAY(EOMONTH($A124,0))),MOD((YEAR($A124)-YEAR('Recurring Schedule'!$F$21))*12+MONTH($A124)-MONTH('Recurring Schedule'!$F$21),'Recurring Schedule'!$O$21)=0),IF('Recurring Schedule'!$E$21="Weekdays",WEEKDAY($A124,2)&lt;=5,$A124='Recurring Schedule'!$F$21))),16,""))))</f>
        <v/>
      </c>
      <c r="R124">
        <f>IF('Recurring Schedule'!$C$22="","",IF('Recurring Schedule'!$F$22="","",IF(OR($A124&lt;'Recurring Schedule'!$F$22,$A124&gt;'Recurring Schedule'!$P$22),"",IF(IF('Recurring Schedule'!$N$22&gt;0,MOD($A124-'Recurring Schedule'!$F$22,'Recurring Schedule'!$N$22)=0,IF('Recurring Schedule'!$O$22&gt;0,AND(DAY($A124)=MIN(DAY('Recurring Schedule'!$F$22),DAY(EOMONTH($A124,0))),MOD((YEAR($A124)-YEAR('Recurring Schedule'!$F$22))*12+MONTH($A124)-MONTH('Recurring Schedule'!$F$22),'Recurring Schedule'!$O$22)=0),IF('Recurring Schedule'!$E$22="Weekdays",WEEKDAY($A124,2)&lt;=5,$A124='Recurring Schedule'!$F$22))),17,""))))</f>
        <v/>
      </c>
      <c r="S124">
        <f>IF('Recurring Schedule'!$C$23="","",IF('Recurring Schedule'!$F$23="","",IF(OR($A124&lt;'Recurring Schedule'!$F$23,$A124&gt;'Recurring Schedule'!$P$23),"",IF(IF('Recurring Schedule'!$N$23&gt;0,MOD($A124-'Recurring Schedule'!$F$23,'Recurring Schedule'!$N$23)=0,IF('Recurring Schedule'!$O$23&gt;0,AND(DAY($A124)=MIN(DAY('Recurring Schedule'!$F$23),DAY(EOMONTH($A124,0))),MOD((YEAR($A124)-YEAR('Recurring Schedule'!$F$23))*12+MONTH($A124)-MONTH('Recurring Schedule'!$F$23),'Recurring Schedule'!$O$23)=0),IF('Recurring Schedule'!$E$23="Weekdays",WEEKDAY($A124,2)&lt;=5,$A124='Recurring Schedule'!$F$23))),18,""))))</f>
        <v/>
      </c>
      <c r="T124">
        <f>IF('Recurring Schedule'!$C$24="","",IF('Recurring Schedule'!$F$24="","",IF(OR($A124&lt;'Recurring Schedule'!$F$24,$A124&gt;'Recurring Schedule'!$P$24),"",IF(IF('Recurring Schedule'!$N$24&gt;0,MOD($A124-'Recurring Schedule'!$F$24,'Recurring Schedule'!$N$24)=0,IF('Recurring Schedule'!$O$24&gt;0,AND(DAY($A124)=MIN(DAY('Recurring Schedule'!$F$24),DAY(EOMONTH($A124,0))),MOD((YEAR($A124)-YEAR('Recurring Schedule'!$F$24))*12+MONTH($A124)-MONTH('Recurring Schedule'!$F$24),'Recurring Schedule'!$O$24)=0),IF('Recurring Schedule'!$E$24="Weekdays",WEEKDAY($A124,2)&lt;=5,$A124='Recurring Schedule'!$F$24))),19,""))))</f>
        <v/>
      </c>
      <c r="U124">
        <f>IF('Recurring Schedule'!$C$25="","",IF('Recurring Schedule'!$F$25="","",IF(OR($A124&lt;'Recurring Schedule'!$F$25,$A124&gt;'Recurring Schedule'!$P$25),"",IF(IF('Recurring Schedule'!$N$25&gt;0,MOD($A124-'Recurring Schedule'!$F$25,'Recurring Schedule'!$N$25)=0,IF('Recurring Schedule'!$O$25&gt;0,AND(DAY($A124)=MIN(DAY('Recurring Schedule'!$F$25),DAY(EOMONTH($A124,0))),MOD((YEAR($A124)-YEAR('Recurring Schedule'!$F$25))*12+MONTH($A124)-MONTH('Recurring Schedule'!$F$25),'Recurring Schedule'!$O$25)=0),IF('Recurring Schedule'!$E$25="Weekdays",WEEKDAY($A124,2)&lt;=5,$A124='Recurring Schedule'!$F$25))),20,""))))</f>
        <v/>
      </c>
      <c r="V124">
        <f>IF('Recurring Schedule'!$C$26="","",IF('Recurring Schedule'!$F$26="","",IF(OR($A124&lt;'Recurring Schedule'!$F$26,$A124&gt;'Recurring Schedule'!$P$26),"",IF(IF('Recurring Schedule'!$N$26&gt;0,MOD($A124-'Recurring Schedule'!$F$26,'Recurring Schedule'!$N$26)=0,IF('Recurring Schedule'!$O$26&gt;0,AND(DAY($A124)=MIN(DAY('Recurring Schedule'!$F$26),DAY(EOMONTH($A124,0))),MOD((YEAR($A124)-YEAR('Recurring Schedule'!$F$26))*12+MONTH($A124)-MONTH('Recurring Schedule'!$F$26),'Recurring Schedule'!$O$26)=0),IF('Recurring Schedule'!$E$26="Weekdays",WEEKDAY($A124,2)&lt;=5,$A124='Recurring Schedule'!$F$26))),21,""))))</f>
        <v/>
      </c>
      <c r="W124">
        <f>IF('Recurring Schedule'!$C$27="","",IF('Recurring Schedule'!$F$27="","",IF(OR($A124&lt;'Recurring Schedule'!$F$27,$A124&gt;'Recurring Schedule'!$P$27),"",IF(IF('Recurring Schedule'!$N$27&gt;0,MOD($A124-'Recurring Schedule'!$F$27,'Recurring Schedule'!$N$27)=0,IF('Recurring Schedule'!$O$27&gt;0,AND(DAY($A124)=MIN(DAY('Recurring Schedule'!$F$27),DAY(EOMONTH($A124,0))),MOD((YEAR($A124)-YEAR('Recurring Schedule'!$F$27))*12+MONTH($A124)-MONTH('Recurring Schedule'!$F$27),'Recurring Schedule'!$O$27)=0),IF('Recurring Schedule'!$E$27="Weekdays",WEEKDAY($A124,2)&lt;=5,$A124='Recurring Schedule'!$F$27))),22,""))))</f>
        <v/>
      </c>
      <c r="X124">
        <f>IF('Recurring Schedule'!$C$28="","",IF('Recurring Schedule'!$F$28="","",IF(OR($A124&lt;'Recurring Schedule'!$F$28,$A124&gt;'Recurring Schedule'!$P$28),"",IF(IF('Recurring Schedule'!$N$28&gt;0,MOD($A124-'Recurring Schedule'!$F$28,'Recurring Schedule'!$N$28)=0,IF('Recurring Schedule'!$O$28&gt;0,AND(DAY($A124)=MIN(DAY('Recurring Schedule'!$F$28),DAY(EOMONTH($A124,0))),MOD((YEAR($A124)-YEAR('Recurring Schedule'!$F$28))*12+MONTH($A124)-MONTH('Recurring Schedule'!$F$28),'Recurring Schedule'!$O$28)=0),IF('Recurring Schedule'!$E$28="Weekdays",WEEKDAY($A124,2)&lt;=5,$A124='Recurring Schedule'!$F$28))),23,""))))</f>
        <v/>
      </c>
      <c r="Y124">
        <f>IF('Recurring Schedule'!$C$29="","",IF('Recurring Schedule'!$F$29="","",IF(OR($A124&lt;'Recurring Schedule'!$F$29,$A124&gt;'Recurring Schedule'!$P$29),"",IF(IF('Recurring Schedule'!$N$29&gt;0,MOD($A124-'Recurring Schedule'!$F$29,'Recurring Schedule'!$N$29)=0,IF('Recurring Schedule'!$O$29&gt;0,AND(DAY($A124)=MIN(DAY('Recurring Schedule'!$F$29),DAY(EOMONTH($A124,0))),MOD((YEAR($A124)-YEAR('Recurring Schedule'!$F$29))*12+MONTH($A124)-MONTH('Recurring Schedule'!$F$29),'Recurring Schedule'!$O$29)=0),IF('Recurring Schedule'!$E$29="Weekdays",WEEKDAY($A124,2)&lt;=5,$A124='Recurring Schedule'!$F$29))),24,""))))</f>
        <v/>
      </c>
      <c r="Z124">
        <f>IF('Recurring Schedule'!$C$30="","",IF('Recurring Schedule'!$F$30="","",IF(OR($A124&lt;'Recurring Schedule'!$F$30,$A124&gt;'Recurring Schedule'!$P$30),"",IF(IF('Recurring Schedule'!$N$30&gt;0,MOD($A124-'Recurring Schedule'!$F$30,'Recurring Schedule'!$N$30)=0,IF('Recurring Schedule'!$O$30&gt;0,AND(DAY($A124)=MIN(DAY('Recurring Schedule'!$F$30),DAY(EOMONTH($A124,0))),MOD((YEAR($A124)-YEAR('Recurring Schedule'!$F$30))*12+MONTH($A124)-MONTH('Recurring Schedule'!$F$30),'Recurring Schedule'!$O$30)=0),IF('Recurring Schedule'!$E$30="Weekdays",WEEKDAY($A124,2)&lt;=5,$A124='Recurring Schedule'!$F$30))),25,""))))</f>
        <v/>
      </c>
      <c r="AA124">
        <f>IF('Recurring Schedule'!$C$31="","",IF('Recurring Schedule'!$F$31="","",IF(OR($A124&lt;'Recurring Schedule'!$F$31,$A124&gt;'Recurring Schedule'!$P$31),"",IF(IF('Recurring Schedule'!$N$31&gt;0,MOD($A124-'Recurring Schedule'!$F$31,'Recurring Schedule'!$N$31)=0,IF('Recurring Schedule'!$O$31&gt;0,AND(DAY($A124)=MIN(DAY('Recurring Schedule'!$F$31),DAY(EOMONTH($A124,0))),MOD((YEAR($A124)-YEAR('Recurring Schedule'!$F$31))*12+MONTH($A124)-MONTH('Recurring Schedule'!$F$31),'Recurring Schedule'!$O$31)=0),IF('Recurring Schedule'!$E$31="Weekdays",WEEKDAY($A124,2)&lt;=5,$A124='Recurring Schedule'!$F$31))),26,""))))</f>
        <v/>
      </c>
      <c r="AB124">
        <f>IF('Recurring Schedule'!$C$32="","",IF('Recurring Schedule'!$F$32="","",IF(OR($A124&lt;'Recurring Schedule'!$F$32,$A124&gt;'Recurring Schedule'!$P$32),"",IF(IF('Recurring Schedule'!$N$32&gt;0,MOD($A124-'Recurring Schedule'!$F$32,'Recurring Schedule'!$N$32)=0,IF('Recurring Schedule'!$O$32&gt;0,AND(DAY($A124)=MIN(DAY('Recurring Schedule'!$F$32),DAY(EOMONTH($A124,0))),MOD((YEAR($A124)-YEAR('Recurring Schedule'!$F$32))*12+MONTH($A124)-MONTH('Recurring Schedule'!$F$32),'Recurring Schedule'!$O$32)=0),IF('Recurring Schedule'!$E$32="Weekdays",WEEKDAY($A124,2)&lt;=5,$A124='Recurring Schedule'!$F$32))),27,""))))</f>
        <v/>
      </c>
      <c r="AC124">
        <f>IF('Recurring Schedule'!$C$33="","",IF('Recurring Schedule'!$F$33="","",IF(OR($A124&lt;'Recurring Schedule'!$F$33,$A124&gt;'Recurring Schedule'!$P$33),"",IF(IF('Recurring Schedule'!$N$33&gt;0,MOD($A124-'Recurring Schedule'!$F$33,'Recurring Schedule'!$N$33)=0,IF('Recurring Schedule'!$O$33&gt;0,AND(DAY($A124)=MIN(DAY('Recurring Schedule'!$F$33),DAY(EOMONTH($A124,0))),MOD((YEAR($A124)-YEAR('Recurring Schedule'!$F$33))*12+MONTH($A124)-MONTH('Recurring Schedule'!$F$33),'Recurring Schedule'!$O$33)=0),IF('Recurring Schedule'!$E$33="Weekdays",WEEKDAY($A124,2)&lt;=5,$A124='Recurring Schedule'!$F$33))),28,""))))</f>
        <v/>
      </c>
      <c r="AD124">
        <f>IF('Recurring Schedule'!$C$34="","",IF('Recurring Schedule'!$F$34="","",IF(OR($A124&lt;'Recurring Schedule'!$F$34,$A124&gt;'Recurring Schedule'!$P$34),"",IF(IF('Recurring Schedule'!$N$34&gt;0,MOD($A124-'Recurring Schedule'!$F$34,'Recurring Schedule'!$N$34)=0,IF('Recurring Schedule'!$O$34&gt;0,AND(DAY($A124)=MIN(DAY('Recurring Schedule'!$F$34),DAY(EOMONTH($A124,0))),MOD((YEAR($A124)-YEAR('Recurring Schedule'!$F$34))*12+MONTH($A124)-MONTH('Recurring Schedule'!$F$34),'Recurring Schedule'!$O$34)=0),IF('Recurring Schedule'!$E$34="Weekdays",WEEKDAY($A124,2)&lt;=5,$A124='Recurring Schedule'!$F$34))),29,""))))</f>
        <v/>
      </c>
      <c r="AE124">
        <f>IF('Recurring Schedule'!$C$35="","",IF('Recurring Schedule'!$F$35="","",IF(OR($A124&lt;'Recurring Schedule'!$F$35,$A124&gt;'Recurring Schedule'!$P$35),"",IF(IF('Recurring Schedule'!$N$35&gt;0,MOD($A124-'Recurring Schedule'!$F$35,'Recurring Schedule'!$N$35)=0,IF('Recurring Schedule'!$O$35&gt;0,AND(DAY($A124)=MIN(DAY('Recurring Schedule'!$F$35),DAY(EOMONTH($A124,0))),MOD((YEAR($A124)-YEAR('Recurring Schedule'!$F$35))*12+MONTH($A124)-MONTH('Recurring Schedule'!$F$35),'Recurring Schedule'!$O$35)=0),IF('Recurring Schedule'!$E$35="Weekdays",WEEKDAY($A124,2)&lt;=5,$A124='Recurring Schedule'!$F$35))),30,""))))</f>
        <v/>
      </c>
      <c r="AF124">
        <f>IF('Recurring Schedule'!$C$36="","",IF('Recurring Schedule'!$F$36="","",IF(OR($A124&lt;'Recurring Schedule'!$F$36,$A124&gt;'Recurring Schedule'!$P$36),"",IF(IF('Recurring Schedule'!$N$36&gt;0,MOD($A124-'Recurring Schedule'!$F$36,'Recurring Schedule'!$N$36)=0,IF('Recurring Schedule'!$O$36&gt;0,AND(DAY($A124)=MIN(DAY('Recurring Schedule'!$F$36),DAY(EOMONTH($A124,0))),MOD((YEAR($A124)-YEAR('Recurring Schedule'!$F$36))*12+MONTH($A124)-MONTH('Recurring Schedule'!$F$36),'Recurring Schedule'!$O$36)=0),IF('Recurring Schedule'!$E$36="Weekdays",WEEKDAY($A124,2)&lt;=5,$A124='Recurring Schedule'!$F$36))),31,""))))</f>
        <v/>
      </c>
      <c r="AG124">
        <f>IF('Recurring Schedule'!$C$37="","",IF('Recurring Schedule'!$F$37="","",IF(OR($A124&lt;'Recurring Schedule'!$F$37,$A124&gt;'Recurring Schedule'!$P$37),"",IF(IF('Recurring Schedule'!$N$37&gt;0,MOD($A124-'Recurring Schedule'!$F$37,'Recurring Schedule'!$N$37)=0,IF('Recurring Schedule'!$O$37&gt;0,AND(DAY($A124)=MIN(DAY('Recurring Schedule'!$F$37),DAY(EOMONTH($A124,0))),MOD((YEAR($A124)-YEAR('Recurring Schedule'!$F$37))*12+MONTH($A124)-MONTH('Recurring Schedule'!$F$37),'Recurring Schedule'!$O$37)=0),IF('Recurring Schedule'!$E$37="Weekdays",WEEKDAY($A124,2)&lt;=5,$A124='Recurring Schedule'!$F$37))),32,""))))</f>
        <v/>
      </c>
      <c r="AH124">
        <f>IF('Recurring Schedule'!$C$38="","",IF('Recurring Schedule'!$F$38="","",IF(OR($A124&lt;'Recurring Schedule'!$F$38,$A124&gt;'Recurring Schedule'!$P$38),"",IF(IF('Recurring Schedule'!$N$38&gt;0,MOD($A124-'Recurring Schedule'!$F$38,'Recurring Schedule'!$N$38)=0,IF('Recurring Schedule'!$O$38&gt;0,AND(DAY($A124)=MIN(DAY('Recurring Schedule'!$F$38),DAY(EOMONTH($A124,0))),MOD((YEAR($A124)-YEAR('Recurring Schedule'!$F$38))*12+MONTH($A124)-MONTH('Recurring Schedule'!$F$38),'Recurring Schedule'!$O$38)=0),IF('Recurring Schedule'!$E$38="Weekdays",WEEKDAY($A124,2)&lt;=5,$A124='Recurring Schedule'!$F$38))),33,""))))</f>
        <v/>
      </c>
      <c r="AI124">
        <f>IF('Recurring Schedule'!$C$39="","",IF('Recurring Schedule'!$F$39="","",IF(OR($A124&lt;'Recurring Schedule'!$F$39,$A124&gt;'Recurring Schedule'!$P$39),"",IF(IF('Recurring Schedule'!$N$39&gt;0,MOD($A124-'Recurring Schedule'!$F$39,'Recurring Schedule'!$N$39)=0,IF('Recurring Schedule'!$O$39&gt;0,AND(DAY($A124)=MIN(DAY('Recurring Schedule'!$F$39),DAY(EOMONTH($A124,0))),MOD((YEAR($A124)-YEAR('Recurring Schedule'!$F$39))*12+MONTH($A124)-MONTH('Recurring Schedule'!$F$39),'Recurring Schedule'!$O$39)=0),IF('Recurring Schedule'!$E$39="Weekdays",WEEKDAY($A124,2)&lt;=5,$A124='Recurring Schedule'!$F$39))),34,""))))</f>
        <v/>
      </c>
      <c r="AJ124">
        <f>IF('Recurring Schedule'!$C$40="","",IF('Recurring Schedule'!$F$40="","",IF(OR($A124&lt;'Recurring Schedule'!$F$40,$A124&gt;'Recurring Schedule'!$P$40),"",IF(IF('Recurring Schedule'!$N$40&gt;0,MOD($A124-'Recurring Schedule'!$F$40,'Recurring Schedule'!$N$40)=0,IF('Recurring Schedule'!$O$40&gt;0,AND(DAY($A124)=MIN(DAY('Recurring Schedule'!$F$40),DAY(EOMONTH($A124,0))),MOD((YEAR($A124)-YEAR('Recurring Schedule'!$F$40))*12+MONTH($A124)-MONTH('Recurring Schedule'!$F$40),'Recurring Schedule'!$O$40)=0),IF('Recurring Schedule'!$E$40="Weekdays",WEEKDAY($A124,2)&lt;=5,$A124='Recurring Schedule'!$F$40))),35,""))))</f>
        <v/>
      </c>
      <c r="AK124">
        <f>IF('Recurring Schedule'!$C$41="","",IF('Recurring Schedule'!$F$41="","",IF(OR($A124&lt;'Recurring Schedule'!$F$41,$A124&gt;'Recurring Schedule'!$P$41),"",IF(IF('Recurring Schedule'!$N$41&gt;0,MOD($A124-'Recurring Schedule'!$F$41,'Recurring Schedule'!$N$41)=0,IF('Recurring Schedule'!$O$41&gt;0,AND(DAY($A124)=MIN(DAY('Recurring Schedule'!$F$41),DAY(EOMONTH($A124,0))),MOD((YEAR($A124)-YEAR('Recurring Schedule'!$F$41))*12+MONTH($A124)-MONTH('Recurring Schedule'!$F$41),'Recurring Schedule'!$O$41)=0),IF('Recurring Schedule'!$E$41="Weekdays",WEEKDAY($A124,2)&lt;=5,$A124='Recurring Schedule'!$F$41))),36,""))))</f>
        <v/>
      </c>
      <c r="AL124">
        <f>IF('Recurring Schedule'!$C$42="","",IF('Recurring Schedule'!$F$42="","",IF(OR($A124&lt;'Recurring Schedule'!$F$42,$A124&gt;'Recurring Schedule'!$P$42),"",IF(IF('Recurring Schedule'!$N$42&gt;0,MOD($A124-'Recurring Schedule'!$F$42,'Recurring Schedule'!$N$42)=0,IF('Recurring Schedule'!$O$42&gt;0,AND(DAY($A124)=MIN(DAY('Recurring Schedule'!$F$42),DAY(EOMONTH($A124,0))),MOD((YEAR($A124)-YEAR('Recurring Schedule'!$F$42))*12+MONTH($A124)-MONTH('Recurring Schedule'!$F$42),'Recurring Schedule'!$O$42)=0),IF('Recurring Schedule'!$E$42="Weekdays",WEEKDAY($A124,2)&lt;=5,$A124='Recurring Schedule'!$F$42))),37,""))))</f>
        <v/>
      </c>
      <c r="AM124">
        <f>IF('Recurring Schedule'!$C$43="","",IF('Recurring Schedule'!$F$43="","",IF(OR($A124&lt;'Recurring Schedule'!$F$43,$A124&gt;'Recurring Schedule'!$P$43),"",IF(IF('Recurring Schedule'!$N$43&gt;0,MOD($A124-'Recurring Schedule'!$F$43,'Recurring Schedule'!$N$43)=0,IF('Recurring Schedule'!$O$43&gt;0,AND(DAY($A124)=MIN(DAY('Recurring Schedule'!$F$43),DAY(EOMONTH($A124,0))),MOD((YEAR($A124)-YEAR('Recurring Schedule'!$F$43))*12+MONTH($A124)-MONTH('Recurring Schedule'!$F$43),'Recurring Schedule'!$O$43)=0),IF('Recurring Schedule'!$E$43="Weekdays",WEEKDAY($A124,2)&lt;=5,$A124='Recurring Schedule'!$F$43))),38,""))))</f>
        <v/>
      </c>
      <c r="AN124">
        <f>IF('Recurring Schedule'!$C$44="","",IF('Recurring Schedule'!$F$44="","",IF(OR($A124&lt;'Recurring Schedule'!$F$44,$A124&gt;'Recurring Schedule'!$P$44),"",IF(IF('Recurring Schedule'!$N$44&gt;0,MOD($A124-'Recurring Schedule'!$F$44,'Recurring Schedule'!$N$44)=0,IF('Recurring Schedule'!$O$44&gt;0,AND(DAY($A124)=MIN(DAY('Recurring Schedule'!$F$44),DAY(EOMONTH($A124,0))),MOD((YEAR($A124)-YEAR('Recurring Schedule'!$F$44))*12+MONTH($A124)-MONTH('Recurring Schedule'!$F$44),'Recurring Schedule'!$O$44)=0),IF('Recurring Schedule'!$E$44="Weekdays",WEEKDAY($A124,2)&lt;=5,$A124='Recurring Schedule'!$F$44))),39,""))))</f>
        <v/>
      </c>
      <c r="AO124">
        <f>IF('Recurring Schedule'!$C$45="","",IF('Recurring Schedule'!$F$45="","",IF(OR($A124&lt;'Recurring Schedule'!$F$45,$A124&gt;'Recurring Schedule'!$P$45),"",IF(IF('Recurring Schedule'!$N$45&gt;0,MOD($A124-'Recurring Schedule'!$F$45,'Recurring Schedule'!$N$45)=0,IF('Recurring Schedule'!$O$45&gt;0,AND(DAY($A124)=MIN(DAY('Recurring Schedule'!$F$45),DAY(EOMONTH($A124,0))),MOD((YEAR($A124)-YEAR('Recurring Schedule'!$F$45))*12+MONTH($A124)-MONTH('Recurring Schedule'!$F$45),'Recurring Schedule'!$O$45)=0),IF('Recurring Schedule'!$E$45="Weekdays",WEEKDAY($A124,2)&lt;=5,$A124='Recurring Schedule'!$F$45))),40,""))))</f>
        <v/>
      </c>
      <c r="AP124">
        <f>COUNT(B124:AO124)</f>
        <v/>
      </c>
      <c r="AQ124">
        <f>AQ123+AP123</f>
        <v/>
      </c>
      <c r="AS124" t="inlineStr">
        <is>
          <t>R</t>
        </is>
      </c>
      <c r="AT124" t="n">
        <v>128</v>
      </c>
      <c r="AU124">
        <f>'Recurring Log'!C128&amp;""</f>
        <v/>
      </c>
      <c r="AV124">
        <f>'Recurring Log'!D128&amp;""</f>
        <v/>
      </c>
      <c r="AW124">
        <f>IF('Recurring Log'!E128="","",'Recurring Log'!E128)</f>
        <v/>
      </c>
      <c r="AX124">
        <f>IF('Recurring Log'!G128="","",'Recurring Log'!G128)</f>
        <v/>
      </c>
      <c r="AY124">
        <f>IF('Recurring Log'!H128="","",'Recurring Log'!H128)</f>
        <v/>
      </c>
      <c r="AZ124">
        <f>IF(AU124="","",IF('Recurring Log'!J128="","Not Started",'Recurring Log'!J128))</f>
        <v/>
      </c>
      <c r="BA124">
        <f>'Recurring Log'!L128&amp;""</f>
        <v/>
      </c>
      <c r="BB124">
        <f>'Recurring Log'!M128&amp;""</f>
        <v/>
      </c>
      <c r="BC124">
        <f>'Recurring Log'!N128&amp;""</f>
        <v/>
      </c>
      <c r="BD124">
        <f>'Recurring Log'!O128&amp;""</f>
        <v/>
      </c>
      <c r="BE124">
        <f>IF('Recurring Log'!K128="","",'Recurring Log'!K128)</f>
        <v/>
      </c>
      <c r="BF124">
        <f>IFERROR(MATCH(BA124,Setup!$L$6:$L$9,0),5)</f>
        <v/>
      </c>
      <c r="BG124">
        <f>IF(OR(AZ124="Done",AZ124="Cancelled"),1,0)</f>
        <v/>
      </c>
      <c r="BH124">
        <f>IF(AND(AU124&lt;&gt;"",ISNUMBER(AW124)),1,0)</f>
        <v/>
      </c>
      <c r="BI124">
        <f>IF(BH124=0,0,IF(AND(AW124&gt;='Tasks Filter'!$F$3,AW124&lt;='Tasks Filter'!$F$4,OR('Tasks Filter'!$I$3="",ISNUMBER(SEARCH('Tasks Filter'!$I$3,AU124))),OR('Tasks Filter'!$I$4="",BF124=IFERROR(MATCH('Tasks Filter'!$I$4,Setup!$L$6:$L$9,0),0)),OR('Tasks Filter'!$I$5="Both",AND('Tasks Filter'!$I$5="Yes",BB124="✓"),AND('Tasks Filter'!$I$5="No",BB124&lt;&gt;"✓")),OR('Tasks Filter'!$L$3="",AV124='Tasks Filter'!$L$3),OR('Tasks Filter'!$L$4="",AZ124='Tasks Filter'!$L$4),OR('Tasks Filter'!$L$5="",BC124='Tasks Filter'!$L$5),OR('Tasks Filter'!$O$3="",BD124='Tasks Filter'!$O$3),OR('Tasks Filter'!$O$4="Yes",BG124=0)),1,0))</f>
        <v/>
      </c>
      <c r="BJ124">
        <f>IF(BH124=0,"",IF('Tasks Filter'!$F$6="Descending",-1,1)*CHOOSE(MATCH('Tasks Filter'!$F$5,Lists!$G$2:$G$6,0),AW124,BF124,IFERROR(MATCH(AV124,Setup!$F$6:$F$15,0),99),IFERROR(MATCH(BC124,Setup!$H$6:$H$15,0),99),IFERROR(MATCH(AZ124,Setup!$J$6:$J$11,0),99))*1E+9+(AW124-40000)*10000+123)</f>
        <v/>
      </c>
      <c r="BK124">
        <f>IF(BI124=1,BJ124,"")</f>
        <v/>
      </c>
      <c r="BL124">
        <f>IF(AND(BH124=1,BG124=0,N(AW124)&lt;Setup!$D$7),(AW124-40000)*10000+123,"")</f>
        <v/>
      </c>
      <c r="BM124">
        <f>IF(AND(BH124=1,AZ124&lt;&gt;"Cancelled",N(AW124)&gt;=Dashboard!$AB$3,N(AW124)&lt;=Dashboard!$AB$3+6),(AW124-40000)*100000+BF124*10000+123,"")</f>
        <v/>
      </c>
      <c r="BN124">
        <f>IF(AND(BH124=1,AZ124&lt;&gt;"Cancelled"),BF124*10000+123,"")</f>
        <v/>
      </c>
    </row>
    <row r="125">
      <c r="A125">
        <f>Setup!$D$5+123</f>
        <v/>
      </c>
      <c r="B125">
        <f>IF('Recurring Schedule'!$C$6="","",IF('Recurring Schedule'!$F$6="","",IF(OR($A125&lt;'Recurring Schedule'!$F$6,$A125&gt;'Recurring Schedule'!$P$6),"",IF(IF('Recurring Schedule'!$N$6&gt;0,MOD($A125-'Recurring Schedule'!$F$6,'Recurring Schedule'!$N$6)=0,IF('Recurring Schedule'!$O$6&gt;0,AND(DAY($A125)=MIN(DAY('Recurring Schedule'!$F$6),DAY(EOMONTH($A125,0))),MOD((YEAR($A125)-YEAR('Recurring Schedule'!$F$6))*12+MONTH($A125)-MONTH('Recurring Schedule'!$F$6),'Recurring Schedule'!$O$6)=0),IF('Recurring Schedule'!$E$6="Weekdays",WEEKDAY($A125,2)&lt;=5,$A125='Recurring Schedule'!$F$6))),1,""))))</f>
        <v/>
      </c>
      <c r="C125">
        <f>IF('Recurring Schedule'!$C$7="","",IF('Recurring Schedule'!$F$7="","",IF(OR($A125&lt;'Recurring Schedule'!$F$7,$A125&gt;'Recurring Schedule'!$P$7),"",IF(IF('Recurring Schedule'!$N$7&gt;0,MOD($A125-'Recurring Schedule'!$F$7,'Recurring Schedule'!$N$7)=0,IF('Recurring Schedule'!$O$7&gt;0,AND(DAY($A125)=MIN(DAY('Recurring Schedule'!$F$7),DAY(EOMONTH($A125,0))),MOD((YEAR($A125)-YEAR('Recurring Schedule'!$F$7))*12+MONTH($A125)-MONTH('Recurring Schedule'!$F$7),'Recurring Schedule'!$O$7)=0),IF('Recurring Schedule'!$E$7="Weekdays",WEEKDAY($A125,2)&lt;=5,$A125='Recurring Schedule'!$F$7))),2,""))))</f>
        <v/>
      </c>
      <c r="D125">
        <f>IF('Recurring Schedule'!$C$8="","",IF('Recurring Schedule'!$F$8="","",IF(OR($A125&lt;'Recurring Schedule'!$F$8,$A125&gt;'Recurring Schedule'!$P$8),"",IF(IF('Recurring Schedule'!$N$8&gt;0,MOD($A125-'Recurring Schedule'!$F$8,'Recurring Schedule'!$N$8)=0,IF('Recurring Schedule'!$O$8&gt;0,AND(DAY($A125)=MIN(DAY('Recurring Schedule'!$F$8),DAY(EOMONTH($A125,0))),MOD((YEAR($A125)-YEAR('Recurring Schedule'!$F$8))*12+MONTH($A125)-MONTH('Recurring Schedule'!$F$8),'Recurring Schedule'!$O$8)=0),IF('Recurring Schedule'!$E$8="Weekdays",WEEKDAY($A125,2)&lt;=5,$A125='Recurring Schedule'!$F$8))),3,""))))</f>
        <v/>
      </c>
      <c r="E125">
        <f>IF('Recurring Schedule'!$C$9="","",IF('Recurring Schedule'!$F$9="","",IF(OR($A125&lt;'Recurring Schedule'!$F$9,$A125&gt;'Recurring Schedule'!$P$9),"",IF(IF('Recurring Schedule'!$N$9&gt;0,MOD($A125-'Recurring Schedule'!$F$9,'Recurring Schedule'!$N$9)=0,IF('Recurring Schedule'!$O$9&gt;0,AND(DAY($A125)=MIN(DAY('Recurring Schedule'!$F$9),DAY(EOMONTH($A125,0))),MOD((YEAR($A125)-YEAR('Recurring Schedule'!$F$9))*12+MONTH($A125)-MONTH('Recurring Schedule'!$F$9),'Recurring Schedule'!$O$9)=0),IF('Recurring Schedule'!$E$9="Weekdays",WEEKDAY($A125,2)&lt;=5,$A125='Recurring Schedule'!$F$9))),4,""))))</f>
        <v/>
      </c>
      <c r="F125">
        <f>IF('Recurring Schedule'!$C$10="","",IF('Recurring Schedule'!$F$10="","",IF(OR($A125&lt;'Recurring Schedule'!$F$10,$A125&gt;'Recurring Schedule'!$P$10),"",IF(IF('Recurring Schedule'!$N$10&gt;0,MOD($A125-'Recurring Schedule'!$F$10,'Recurring Schedule'!$N$10)=0,IF('Recurring Schedule'!$O$10&gt;0,AND(DAY($A125)=MIN(DAY('Recurring Schedule'!$F$10),DAY(EOMONTH($A125,0))),MOD((YEAR($A125)-YEAR('Recurring Schedule'!$F$10))*12+MONTH($A125)-MONTH('Recurring Schedule'!$F$10),'Recurring Schedule'!$O$10)=0),IF('Recurring Schedule'!$E$10="Weekdays",WEEKDAY($A125,2)&lt;=5,$A125='Recurring Schedule'!$F$10))),5,""))))</f>
        <v/>
      </c>
      <c r="G125">
        <f>IF('Recurring Schedule'!$C$11="","",IF('Recurring Schedule'!$F$11="","",IF(OR($A125&lt;'Recurring Schedule'!$F$11,$A125&gt;'Recurring Schedule'!$P$11),"",IF(IF('Recurring Schedule'!$N$11&gt;0,MOD($A125-'Recurring Schedule'!$F$11,'Recurring Schedule'!$N$11)=0,IF('Recurring Schedule'!$O$11&gt;0,AND(DAY($A125)=MIN(DAY('Recurring Schedule'!$F$11),DAY(EOMONTH($A125,0))),MOD((YEAR($A125)-YEAR('Recurring Schedule'!$F$11))*12+MONTH($A125)-MONTH('Recurring Schedule'!$F$11),'Recurring Schedule'!$O$11)=0),IF('Recurring Schedule'!$E$11="Weekdays",WEEKDAY($A125,2)&lt;=5,$A125='Recurring Schedule'!$F$11))),6,""))))</f>
        <v/>
      </c>
      <c r="H125">
        <f>IF('Recurring Schedule'!$C$12="","",IF('Recurring Schedule'!$F$12="","",IF(OR($A125&lt;'Recurring Schedule'!$F$12,$A125&gt;'Recurring Schedule'!$P$12),"",IF(IF('Recurring Schedule'!$N$12&gt;0,MOD($A125-'Recurring Schedule'!$F$12,'Recurring Schedule'!$N$12)=0,IF('Recurring Schedule'!$O$12&gt;0,AND(DAY($A125)=MIN(DAY('Recurring Schedule'!$F$12),DAY(EOMONTH($A125,0))),MOD((YEAR($A125)-YEAR('Recurring Schedule'!$F$12))*12+MONTH($A125)-MONTH('Recurring Schedule'!$F$12),'Recurring Schedule'!$O$12)=0),IF('Recurring Schedule'!$E$12="Weekdays",WEEKDAY($A125,2)&lt;=5,$A125='Recurring Schedule'!$F$12))),7,""))))</f>
        <v/>
      </c>
      <c r="I125">
        <f>IF('Recurring Schedule'!$C$13="","",IF('Recurring Schedule'!$F$13="","",IF(OR($A125&lt;'Recurring Schedule'!$F$13,$A125&gt;'Recurring Schedule'!$P$13),"",IF(IF('Recurring Schedule'!$N$13&gt;0,MOD($A125-'Recurring Schedule'!$F$13,'Recurring Schedule'!$N$13)=0,IF('Recurring Schedule'!$O$13&gt;0,AND(DAY($A125)=MIN(DAY('Recurring Schedule'!$F$13),DAY(EOMONTH($A125,0))),MOD((YEAR($A125)-YEAR('Recurring Schedule'!$F$13))*12+MONTH($A125)-MONTH('Recurring Schedule'!$F$13),'Recurring Schedule'!$O$13)=0),IF('Recurring Schedule'!$E$13="Weekdays",WEEKDAY($A125,2)&lt;=5,$A125='Recurring Schedule'!$F$13))),8,""))))</f>
        <v/>
      </c>
      <c r="J125">
        <f>IF('Recurring Schedule'!$C$14="","",IF('Recurring Schedule'!$F$14="","",IF(OR($A125&lt;'Recurring Schedule'!$F$14,$A125&gt;'Recurring Schedule'!$P$14),"",IF(IF('Recurring Schedule'!$N$14&gt;0,MOD($A125-'Recurring Schedule'!$F$14,'Recurring Schedule'!$N$14)=0,IF('Recurring Schedule'!$O$14&gt;0,AND(DAY($A125)=MIN(DAY('Recurring Schedule'!$F$14),DAY(EOMONTH($A125,0))),MOD((YEAR($A125)-YEAR('Recurring Schedule'!$F$14))*12+MONTH($A125)-MONTH('Recurring Schedule'!$F$14),'Recurring Schedule'!$O$14)=0),IF('Recurring Schedule'!$E$14="Weekdays",WEEKDAY($A125,2)&lt;=5,$A125='Recurring Schedule'!$F$14))),9,""))))</f>
        <v/>
      </c>
      <c r="K125">
        <f>IF('Recurring Schedule'!$C$15="","",IF('Recurring Schedule'!$F$15="","",IF(OR($A125&lt;'Recurring Schedule'!$F$15,$A125&gt;'Recurring Schedule'!$P$15),"",IF(IF('Recurring Schedule'!$N$15&gt;0,MOD($A125-'Recurring Schedule'!$F$15,'Recurring Schedule'!$N$15)=0,IF('Recurring Schedule'!$O$15&gt;0,AND(DAY($A125)=MIN(DAY('Recurring Schedule'!$F$15),DAY(EOMONTH($A125,0))),MOD((YEAR($A125)-YEAR('Recurring Schedule'!$F$15))*12+MONTH($A125)-MONTH('Recurring Schedule'!$F$15),'Recurring Schedule'!$O$15)=0),IF('Recurring Schedule'!$E$15="Weekdays",WEEKDAY($A125,2)&lt;=5,$A125='Recurring Schedule'!$F$15))),10,""))))</f>
        <v/>
      </c>
      <c r="L125">
        <f>IF('Recurring Schedule'!$C$16="","",IF('Recurring Schedule'!$F$16="","",IF(OR($A125&lt;'Recurring Schedule'!$F$16,$A125&gt;'Recurring Schedule'!$P$16),"",IF(IF('Recurring Schedule'!$N$16&gt;0,MOD($A125-'Recurring Schedule'!$F$16,'Recurring Schedule'!$N$16)=0,IF('Recurring Schedule'!$O$16&gt;0,AND(DAY($A125)=MIN(DAY('Recurring Schedule'!$F$16),DAY(EOMONTH($A125,0))),MOD((YEAR($A125)-YEAR('Recurring Schedule'!$F$16))*12+MONTH($A125)-MONTH('Recurring Schedule'!$F$16),'Recurring Schedule'!$O$16)=0),IF('Recurring Schedule'!$E$16="Weekdays",WEEKDAY($A125,2)&lt;=5,$A125='Recurring Schedule'!$F$16))),11,""))))</f>
        <v/>
      </c>
      <c r="M125">
        <f>IF('Recurring Schedule'!$C$17="","",IF('Recurring Schedule'!$F$17="","",IF(OR($A125&lt;'Recurring Schedule'!$F$17,$A125&gt;'Recurring Schedule'!$P$17),"",IF(IF('Recurring Schedule'!$N$17&gt;0,MOD($A125-'Recurring Schedule'!$F$17,'Recurring Schedule'!$N$17)=0,IF('Recurring Schedule'!$O$17&gt;0,AND(DAY($A125)=MIN(DAY('Recurring Schedule'!$F$17),DAY(EOMONTH($A125,0))),MOD((YEAR($A125)-YEAR('Recurring Schedule'!$F$17))*12+MONTH($A125)-MONTH('Recurring Schedule'!$F$17),'Recurring Schedule'!$O$17)=0),IF('Recurring Schedule'!$E$17="Weekdays",WEEKDAY($A125,2)&lt;=5,$A125='Recurring Schedule'!$F$17))),12,""))))</f>
        <v/>
      </c>
      <c r="N125">
        <f>IF('Recurring Schedule'!$C$18="","",IF('Recurring Schedule'!$F$18="","",IF(OR($A125&lt;'Recurring Schedule'!$F$18,$A125&gt;'Recurring Schedule'!$P$18),"",IF(IF('Recurring Schedule'!$N$18&gt;0,MOD($A125-'Recurring Schedule'!$F$18,'Recurring Schedule'!$N$18)=0,IF('Recurring Schedule'!$O$18&gt;0,AND(DAY($A125)=MIN(DAY('Recurring Schedule'!$F$18),DAY(EOMONTH($A125,0))),MOD((YEAR($A125)-YEAR('Recurring Schedule'!$F$18))*12+MONTH($A125)-MONTH('Recurring Schedule'!$F$18),'Recurring Schedule'!$O$18)=0),IF('Recurring Schedule'!$E$18="Weekdays",WEEKDAY($A125,2)&lt;=5,$A125='Recurring Schedule'!$F$18))),13,""))))</f>
        <v/>
      </c>
      <c r="O125">
        <f>IF('Recurring Schedule'!$C$19="","",IF('Recurring Schedule'!$F$19="","",IF(OR($A125&lt;'Recurring Schedule'!$F$19,$A125&gt;'Recurring Schedule'!$P$19),"",IF(IF('Recurring Schedule'!$N$19&gt;0,MOD($A125-'Recurring Schedule'!$F$19,'Recurring Schedule'!$N$19)=0,IF('Recurring Schedule'!$O$19&gt;0,AND(DAY($A125)=MIN(DAY('Recurring Schedule'!$F$19),DAY(EOMONTH($A125,0))),MOD((YEAR($A125)-YEAR('Recurring Schedule'!$F$19))*12+MONTH($A125)-MONTH('Recurring Schedule'!$F$19),'Recurring Schedule'!$O$19)=0),IF('Recurring Schedule'!$E$19="Weekdays",WEEKDAY($A125,2)&lt;=5,$A125='Recurring Schedule'!$F$19))),14,""))))</f>
        <v/>
      </c>
      <c r="P125">
        <f>IF('Recurring Schedule'!$C$20="","",IF('Recurring Schedule'!$F$20="","",IF(OR($A125&lt;'Recurring Schedule'!$F$20,$A125&gt;'Recurring Schedule'!$P$20),"",IF(IF('Recurring Schedule'!$N$20&gt;0,MOD($A125-'Recurring Schedule'!$F$20,'Recurring Schedule'!$N$20)=0,IF('Recurring Schedule'!$O$20&gt;0,AND(DAY($A125)=MIN(DAY('Recurring Schedule'!$F$20),DAY(EOMONTH($A125,0))),MOD((YEAR($A125)-YEAR('Recurring Schedule'!$F$20))*12+MONTH($A125)-MONTH('Recurring Schedule'!$F$20),'Recurring Schedule'!$O$20)=0),IF('Recurring Schedule'!$E$20="Weekdays",WEEKDAY($A125,2)&lt;=5,$A125='Recurring Schedule'!$F$20))),15,""))))</f>
        <v/>
      </c>
      <c r="Q125">
        <f>IF('Recurring Schedule'!$C$21="","",IF('Recurring Schedule'!$F$21="","",IF(OR($A125&lt;'Recurring Schedule'!$F$21,$A125&gt;'Recurring Schedule'!$P$21),"",IF(IF('Recurring Schedule'!$N$21&gt;0,MOD($A125-'Recurring Schedule'!$F$21,'Recurring Schedule'!$N$21)=0,IF('Recurring Schedule'!$O$21&gt;0,AND(DAY($A125)=MIN(DAY('Recurring Schedule'!$F$21),DAY(EOMONTH($A125,0))),MOD((YEAR($A125)-YEAR('Recurring Schedule'!$F$21))*12+MONTH($A125)-MONTH('Recurring Schedule'!$F$21),'Recurring Schedule'!$O$21)=0),IF('Recurring Schedule'!$E$21="Weekdays",WEEKDAY($A125,2)&lt;=5,$A125='Recurring Schedule'!$F$21))),16,""))))</f>
        <v/>
      </c>
      <c r="R125">
        <f>IF('Recurring Schedule'!$C$22="","",IF('Recurring Schedule'!$F$22="","",IF(OR($A125&lt;'Recurring Schedule'!$F$22,$A125&gt;'Recurring Schedule'!$P$22),"",IF(IF('Recurring Schedule'!$N$22&gt;0,MOD($A125-'Recurring Schedule'!$F$22,'Recurring Schedule'!$N$22)=0,IF('Recurring Schedule'!$O$22&gt;0,AND(DAY($A125)=MIN(DAY('Recurring Schedule'!$F$22),DAY(EOMONTH($A125,0))),MOD((YEAR($A125)-YEAR('Recurring Schedule'!$F$22))*12+MONTH($A125)-MONTH('Recurring Schedule'!$F$22),'Recurring Schedule'!$O$22)=0),IF('Recurring Schedule'!$E$22="Weekdays",WEEKDAY($A125,2)&lt;=5,$A125='Recurring Schedule'!$F$22))),17,""))))</f>
        <v/>
      </c>
      <c r="S125">
        <f>IF('Recurring Schedule'!$C$23="","",IF('Recurring Schedule'!$F$23="","",IF(OR($A125&lt;'Recurring Schedule'!$F$23,$A125&gt;'Recurring Schedule'!$P$23),"",IF(IF('Recurring Schedule'!$N$23&gt;0,MOD($A125-'Recurring Schedule'!$F$23,'Recurring Schedule'!$N$23)=0,IF('Recurring Schedule'!$O$23&gt;0,AND(DAY($A125)=MIN(DAY('Recurring Schedule'!$F$23),DAY(EOMONTH($A125,0))),MOD((YEAR($A125)-YEAR('Recurring Schedule'!$F$23))*12+MONTH($A125)-MONTH('Recurring Schedule'!$F$23),'Recurring Schedule'!$O$23)=0),IF('Recurring Schedule'!$E$23="Weekdays",WEEKDAY($A125,2)&lt;=5,$A125='Recurring Schedule'!$F$23))),18,""))))</f>
        <v/>
      </c>
      <c r="T125">
        <f>IF('Recurring Schedule'!$C$24="","",IF('Recurring Schedule'!$F$24="","",IF(OR($A125&lt;'Recurring Schedule'!$F$24,$A125&gt;'Recurring Schedule'!$P$24),"",IF(IF('Recurring Schedule'!$N$24&gt;0,MOD($A125-'Recurring Schedule'!$F$24,'Recurring Schedule'!$N$24)=0,IF('Recurring Schedule'!$O$24&gt;0,AND(DAY($A125)=MIN(DAY('Recurring Schedule'!$F$24),DAY(EOMONTH($A125,0))),MOD((YEAR($A125)-YEAR('Recurring Schedule'!$F$24))*12+MONTH($A125)-MONTH('Recurring Schedule'!$F$24),'Recurring Schedule'!$O$24)=0),IF('Recurring Schedule'!$E$24="Weekdays",WEEKDAY($A125,2)&lt;=5,$A125='Recurring Schedule'!$F$24))),19,""))))</f>
        <v/>
      </c>
      <c r="U125">
        <f>IF('Recurring Schedule'!$C$25="","",IF('Recurring Schedule'!$F$25="","",IF(OR($A125&lt;'Recurring Schedule'!$F$25,$A125&gt;'Recurring Schedule'!$P$25),"",IF(IF('Recurring Schedule'!$N$25&gt;0,MOD($A125-'Recurring Schedule'!$F$25,'Recurring Schedule'!$N$25)=0,IF('Recurring Schedule'!$O$25&gt;0,AND(DAY($A125)=MIN(DAY('Recurring Schedule'!$F$25),DAY(EOMONTH($A125,0))),MOD((YEAR($A125)-YEAR('Recurring Schedule'!$F$25))*12+MONTH($A125)-MONTH('Recurring Schedule'!$F$25),'Recurring Schedule'!$O$25)=0),IF('Recurring Schedule'!$E$25="Weekdays",WEEKDAY($A125,2)&lt;=5,$A125='Recurring Schedule'!$F$25))),20,""))))</f>
        <v/>
      </c>
      <c r="V125">
        <f>IF('Recurring Schedule'!$C$26="","",IF('Recurring Schedule'!$F$26="","",IF(OR($A125&lt;'Recurring Schedule'!$F$26,$A125&gt;'Recurring Schedule'!$P$26),"",IF(IF('Recurring Schedule'!$N$26&gt;0,MOD($A125-'Recurring Schedule'!$F$26,'Recurring Schedule'!$N$26)=0,IF('Recurring Schedule'!$O$26&gt;0,AND(DAY($A125)=MIN(DAY('Recurring Schedule'!$F$26),DAY(EOMONTH($A125,0))),MOD((YEAR($A125)-YEAR('Recurring Schedule'!$F$26))*12+MONTH($A125)-MONTH('Recurring Schedule'!$F$26),'Recurring Schedule'!$O$26)=0),IF('Recurring Schedule'!$E$26="Weekdays",WEEKDAY($A125,2)&lt;=5,$A125='Recurring Schedule'!$F$26))),21,""))))</f>
        <v/>
      </c>
      <c r="W125">
        <f>IF('Recurring Schedule'!$C$27="","",IF('Recurring Schedule'!$F$27="","",IF(OR($A125&lt;'Recurring Schedule'!$F$27,$A125&gt;'Recurring Schedule'!$P$27),"",IF(IF('Recurring Schedule'!$N$27&gt;0,MOD($A125-'Recurring Schedule'!$F$27,'Recurring Schedule'!$N$27)=0,IF('Recurring Schedule'!$O$27&gt;0,AND(DAY($A125)=MIN(DAY('Recurring Schedule'!$F$27),DAY(EOMONTH($A125,0))),MOD((YEAR($A125)-YEAR('Recurring Schedule'!$F$27))*12+MONTH($A125)-MONTH('Recurring Schedule'!$F$27),'Recurring Schedule'!$O$27)=0),IF('Recurring Schedule'!$E$27="Weekdays",WEEKDAY($A125,2)&lt;=5,$A125='Recurring Schedule'!$F$27))),22,""))))</f>
        <v/>
      </c>
      <c r="X125">
        <f>IF('Recurring Schedule'!$C$28="","",IF('Recurring Schedule'!$F$28="","",IF(OR($A125&lt;'Recurring Schedule'!$F$28,$A125&gt;'Recurring Schedule'!$P$28),"",IF(IF('Recurring Schedule'!$N$28&gt;0,MOD($A125-'Recurring Schedule'!$F$28,'Recurring Schedule'!$N$28)=0,IF('Recurring Schedule'!$O$28&gt;0,AND(DAY($A125)=MIN(DAY('Recurring Schedule'!$F$28),DAY(EOMONTH($A125,0))),MOD((YEAR($A125)-YEAR('Recurring Schedule'!$F$28))*12+MONTH($A125)-MONTH('Recurring Schedule'!$F$28),'Recurring Schedule'!$O$28)=0),IF('Recurring Schedule'!$E$28="Weekdays",WEEKDAY($A125,2)&lt;=5,$A125='Recurring Schedule'!$F$28))),23,""))))</f>
        <v/>
      </c>
      <c r="Y125">
        <f>IF('Recurring Schedule'!$C$29="","",IF('Recurring Schedule'!$F$29="","",IF(OR($A125&lt;'Recurring Schedule'!$F$29,$A125&gt;'Recurring Schedule'!$P$29),"",IF(IF('Recurring Schedule'!$N$29&gt;0,MOD($A125-'Recurring Schedule'!$F$29,'Recurring Schedule'!$N$29)=0,IF('Recurring Schedule'!$O$29&gt;0,AND(DAY($A125)=MIN(DAY('Recurring Schedule'!$F$29),DAY(EOMONTH($A125,0))),MOD((YEAR($A125)-YEAR('Recurring Schedule'!$F$29))*12+MONTH($A125)-MONTH('Recurring Schedule'!$F$29),'Recurring Schedule'!$O$29)=0),IF('Recurring Schedule'!$E$29="Weekdays",WEEKDAY($A125,2)&lt;=5,$A125='Recurring Schedule'!$F$29))),24,""))))</f>
        <v/>
      </c>
      <c r="Z125">
        <f>IF('Recurring Schedule'!$C$30="","",IF('Recurring Schedule'!$F$30="","",IF(OR($A125&lt;'Recurring Schedule'!$F$30,$A125&gt;'Recurring Schedule'!$P$30),"",IF(IF('Recurring Schedule'!$N$30&gt;0,MOD($A125-'Recurring Schedule'!$F$30,'Recurring Schedule'!$N$30)=0,IF('Recurring Schedule'!$O$30&gt;0,AND(DAY($A125)=MIN(DAY('Recurring Schedule'!$F$30),DAY(EOMONTH($A125,0))),MOD((YEAR($A125)-YEAR('Recurring Schedule'!$F$30))*12+MONTH($A125)-MONTH('Recurring Schedule'!$F$30),'Recurring Schedule'!$O$30)=0),IF('Recurring Schedule'!$E$30="Weekdays",WEEKDAY($A125,2)&lt;=5,$A125='Recurring Schedule'!$F$30))),25,""))))</f>
        <v/>
      </c>
      <c r="AA125">
        <f>IF('Recurring Schedule'!$C$31="","",IF('Recurring Schedule'!$F$31="","",IF(OR($A125&lt;'Recurring Schedule'!$F$31,$A125&gt;'Recurring Schedule'!$P$31),"",IF(IF('Recurring Schedule'!$N$31&gt;0,MOD($A125-'Recurring Schedule'!$F$31,'Recurring Schedule'!$N$31)=0,IF('Recurring Schedule'!$O$31&gt;0,AND(DAY($A125)=MIN(DAY('Recurring Schedule'!$F$31),DAY(EOMONTH($A125,0))),MOD((YEAR($A125)-YEAR('Recurring Schedule'!$F$31))*12+MONTH($A125)-MONTH('Recurring Schedule'!$F$31),'Recurring Schedule'!$O$31)=0),IF('Recurring Schedule'!$E$31="Weekdays",WEEKDAY($A125,2)&lt;=5,$A125='Recurring Schedule'!$F$31))),26,""))))</f>
        <v/>
      </c>
      <c r="AB125">
        <f>IF('Recurring Schedule'!$C$32="","",IF('Recurring Schedule'!$F$32="","",IF(OR($A125&lt;'Recurring Schedule'!$F$32,$A125&gt;'Recurring Schedule'!$P$32),"",IF(IF('Recurring Schedule'!$N$32&gt;0,MOD($A125-'Recurring Schedule'!$F$32,'Recurring Schedule'!$N$32)=0,IF('Recurring Schedule'!$O$32&gt;0,AND(DAY($A125)=MIN(DAY('Recurring Schedule'!$F$32),DAY(EOMONTH($A125,0))),MOD((YEAR($A125)-YEAR('Recurring Schedule'!$F$32))*12+MONTH($A125)-MONTH('Recurring Schedule'!$F$32),'Recurring Schedule'!$O$32)=0),IF('Recurring Schedule'!$E$32="Weekdays",WEEKDAY($A125,2)&lt;=5,$A125='Recurring Schedule'!$F$32))),27,""))))</f>
        <v/>
      </c>
      <c r="AC125">
        <f>IF('Recurring Schedule'!$C$33="","",IF('Recurring Schedule'!$F$33="","",IF(OR($A125&lt;'Recurring Schedule'!$F$33,$A125&gt;'Recurring Schedule'!$P$33),"",IF(IF('Recurring Schedule'!$N$33&gt;0,MOD($A125-'Recurring Schedule'!$F$33,'Recurring Schedule'!$N$33)=0,IF('Recurring Schedule'!$O$33&gt;0,AND(DAY($A125)=MIN(DAY('Recurring Schedule'!$F$33),DAY(EOMONTH($A125,0))),MOD((YEAR($A125)-YEAR('Recurring Schedule'!$F$33))*12+MONTH($A125)-MONTH('Recurring Schedule'!$F$33),'Recurring Schedule'!$O$33)=0),IF('Recurring Schedule'!$E$33="Weekdays",WEEKDAY($A125,2)&lt;=5,$A125='Recurring Schedule'!$F$33))),28,""))))</f>
        <v/>
      </c>
      <c r="AD125">
        <f>IF('Recurring Schedule'!$C$34="","",IF('Recurring Schedule'!$F$34="","",IF(OR($A125&lt;'Recurring Schedule'!$F$34,$A125&gt;'Recurring Schedule'!$P$34),"",IF(IF('Recurring Schedule'!$N$34&gt;0,MOD($A125-'Recurring Schedule'!$F$34,'Recurring Schedule'!$N$34)=0,IF('Recurring Schedule'!$O$34&gt;0,AND(DAY($A125)=MIN(DAY('Recurring Schedule'!$F$34),DAY(EOMONTH($A125,0))),MOD((YEAR($A125)-YEAR('Recurring Schedule'!$F$34))*12+MONTH($A125)-MONTH('Recurring Schedule'!$F$34),'Recurring Schedule'!$O$34)=0),IF('Recurring Schedule'!$E$34="Weekdays",WEEKDAY($A125,2)&lt;=5,$A125='Recurring Schedule'!$F$34))),29,""))))</f>
        <v/>
      </c>
      <c r="AE125">
        <f>IF('Recurring Schedule'!$C$35="","",IF('Recurring Schedule'!$F$35="","",IF(OR($A125&lt;'Recurring Schedule'!$F$35,$A125&gt;'Recurring Schedule'!$P$35),"",IF(IF('Recurring Schedule'!$N$35&gt;0,MOD($A125-'Recurring Schedule'!$F$35,'Recurring Schedule'!$N$35)=0,IF('Recurring Schedule'!$O$35&gt;0,AND(DAY($A125)=MIN(DAY('Recurring Schedule'!$F$35),DAY(EOMONTH($A125,0))),MOD((YEAR($A125)-YEAR('Recurring Schedule'!$F$35))*12+MONTH($A125)-MONTH('Recurring Schedule'!$F$35),'Recurring Schedule'!$O$35)=0),IF('Recurring Schedule'!$E$35="Weekdays",WEEKDAY($A125,2)&lt;=5,$A125='Recurring Schedule'!$F$35))),30,""))))</f>
        <v/>
      </c>
      <c r="AF125">
        <f>IF('Recurring Schedule'!$C$36="","",IF('Recurring Schedule'!$F$36="","",IF(OR($A125&lt;'Recurring Schedule'!$F$36,$A125&gt;'Recurring Schedule'!$P$36),"",IF(IF('Recurring Schedule'!$N$36&gt;0,MOD($A125-'Recurring Schedule'!$F$36,'Recurring Schedule'!$N$36)=0,IF('Recurring Schedule'!$O$36&gt;0,AND(DAY($A125)=MIN(DAY('Recurring Schedule'!$F$36),DAY(EOMONTH($A125,0))),MOD((YEAR($A125)-YEAR('Recurring Schedule'!$F$36))*12+MONTH($A125)-MONTH('Recurring Schedule'!$F$36),'Recurring Schedule'!$O$36)=0),IF('Recurring Schedule'!$E$36="Weekdays",WEEKDAY($A125,2)&lt;=5,$A125='Recurring Schedule'!$F$36))),31,""))))</f>
        <v/>
      </c>
      <c r="AG125">
        <f>IF('Recurring Schedule'!$C$37="","",IF('Recurring Schedule'!$F$37="","",IF(OR($A125&lt;'Recurring Schedule'!$F$37,$A125&gt;'Recurring Schedule'!$P$37),"",IF(IF('Recurring Schedule'!$N$37&gt;0,MOD($A125-'Recurring Schedule'!$F$37,'Recurring Schedule'!$N$37)=0,IF('Recurring Schedule'!$O$37&gt;0,AND(DAY($A125)=MIN(DAY('Recurring Schedule'!$F$37),DAY(EOMONTH($A125,0))),MOD((YEAR($A125)-YEAR('Recurring Schedule'!$F$37))*12+MONTH($A125)-MONTH('Recurring Schedule'!$F$37),'Recurring Schedule'!$O$37)=0),IF('Recurring Schedule'!$E$37="Weekdays",WEEKDAY($A125,2)&lt;=5,$A125='Recurring Schedule'!$F$37))),32,""))))</f>
        <v/>
      </c>
      <c r="AH125">
        <f>IF('Recurring Schedule'!$C$38="","",IF('Recurring Schedule'!$F$38="","",IF(OR($A125&lt;'Recurring Schedule'!$F$38,$A125&gt;'Recurring Schedule'!$P$38),"",IF(IF('Recurring Schedule'!$N$38&gt;0,MOD($A125-'Recurring Schedule'!$F$38,'Recurring Schedule'!$N$38)=0,IF('Recurring Schedule'!$O$38&gt;0,AND(DAY($A125)=MIN(DAY('Recurring Schedule'!$F$38),DAY(EOMONTH($A125,0))),MOD((YEAR($A125)-YEAR('Recurring Schedule'!$F$38))*12+MONTH($A125)-MONTH('Recurring Schedule'!$F$38),'Recurring Schedule'!$O$38)=0),IF('Recurring Schedule'!$E$38="Weekdays",WEEKDAY($A125,2)&lt;=5,$A125='Recurring Schedule'!$F$38))),33,""))))</f>
        <v/>
      </c>
      <c r="AI125">
        <f>IF('Recurring Schedule'!$C$39="","",IF('Recurring Schedule'!$F$39="","",IF(OR($A125&lt;'Recurring Schedule'!$F$39,$A125&gt;'Recurring Schedule'!$P$39),"",IF(IF('Recurring Schedule'!$N$39&gt;0,MOD($A125-'Recurring Schedule'!$F$39,'Recurring Schedule'!$N$39)=0,IF('Recurring Schedule'!$O$39&gt;0,AND(DAY($A125)=MIN(DAY('Recurring Schedule'!$F$39),DAY(EOMONTH($A125,0))),MOD((YEAR($A125)-YEAR('Recurring Schedule'!$F$39))*12+MONTH($A125)-MONTH('Recurring Schedule'!$F$39),'Recurring Schedule'!$O$39)=0),IF('Recurring Schedule'!$E$39="Weekdays",WEEKDAY($A125,2)&lt;=5,$A125='Recurring Schedule'!$F$39))),34,""))))</f>
        <v/>
      </c>
      <c r="AJ125">
        <f>IF('Recurring Schedule'!$C$40="","",IF('Recurring Schedule'!$F$40="","",IF(OR($A125&lt;'Recurring Schedule'!$F$40,$A125&gt;'Recurring Schedule'!$P$40),"",IF(IF('Recurring Schedule'!$N$40&gt;0,MOD($A125-'Recurring Schedule'!$F$40,'Recurring Schedule'!$N$40)=0,IF('Recurring Schedule'!$O$40&gt;0,AND(DAY($A125)=MIN(DAY('Recurring Schedule'!$F$40),DAY(EOMONTH($A125,0))),MOD((YEAR($A125)-YEAR('Recurring Schedule'!$F$40))*12+MONTH($A125)-MONTH('Recurring Schedule'!$F$40),'Recurring Schedule'!$O$40)=0),IF('Recurring Schedule'!$E$40="Weekdays",WEEKDAY($A125,2)&lt;=5,$A125='Recurring Schedule'!$F$40))),35,""))))</f>
        <v/>
      </c>
      <c r="AK125">
        <f>IF('Recurring Schedule'!$C$41="","",IF('Recurring Schedule'!$F$41="","",IF(OR($A125&lt;'Recurring Schedule'!$F$41,$A125&gt;'Recurring Schedule'!$P$41),"",IF(IF('Recurring Schedule'!$N$41&gt;0,MOD($A125-'Recurring Schedule'!$F$41,'Recurring Schedule'!$N$41)=0,IF('Recurring Schedule'!$O$41&gt;0,AND(DAY($A125)=MIN(DAY('Recurring Schedule'!$F$41),DAY(EOMONTH($A125,0))),MOD((YEAR($A125)-YEAR('Recurring Schedule'!$F$41))*12+MONTH($A125)-MONTH('Recurring Schedule'!$F$41),'Recurring Schedule'!$O$41)=0),IF('Recurring Schedule'!$E$41="Weekdays",WEEKDAY($A125,2)&lt;=5,$A125='Recurring Schedule'!$F$41))),36,""))))</f>
        <v/>
      </c>
      <c r="AL125">
        <f>IF('Recurring Schedule'!$C$42="","",IF('Recurring Schedule'!$F$42="","",IF(OR($A125&lt;'Recurring Schedule'!$F$42,$A125&gt;'Recurring Schedule'!$P$42),"",IF(IF('Recurring Schedule'!$N$42&gt;0,MOD($A125-'Recurring Schedule'!$F$42,'Recurring Schedule'!$N$42)=0,IF('Recurring Schedule'!$O$42&gt;0,AND(DAY($A125)=MIN(DAY('Recurring Schedule'!$F$42),DAY(EOMONTH($A125,0))),MOD((YEAR($A125)-YEAR('Recurring Schedule'!$F$42))*12+MONTH($A125)-MONTH('Recurring Schedule'!$F$42),'Recurring Schedule'!$O$42)=0),IF('Recurring Schedule'!$E$42="Weekdays",WEEKDAY($A125,2)&lt;=5,$A125='Recurring Schedule'!$F$42))),37,""))))</f>
        <v/>
      </c>
      <c r="AM125">
        <f>IF('Recurring Schedule'!$C$43="","",IF('Recurring Schedule'!$F$43="","",IF(OR($A125&lt;'Recurring Schedule'!$F$43,$A125&gt;'Recurring Schedule'!$P$43),"",IF(IF('Recurring Schedule'!$N$43&gt;0,MOD($A125-'Recurring Schedule'!$F$43,'Recurring Schedule'!$N$43)=0,IF('Recurring Schedule'!$O$43&gt;0,AND(DAY($A125)=MIN(DAY('Recurring Schedule'!$F$43),DAY(EOMONTH($A125,0))),MOD((YEAR($A125)-YEAR('Recurring Schedule'!$F$43))*12+MONTH($A125)-MONTH('Recurring Schedule'!$F$43),'Recurring Schedule'!$O$43)=0),IF('Recurring Schedule'!$E$43="Weekdays",WEEKDAY($A125,2)&lt;=5,$A125='Recurring Schedule'!$F$43))),38,""))))</f>
        <v/>
      </c>
      <c r="AN125">
        <f>IF('Recurring Schedule'!$C$44="","",IF('Recurring Schedule'!$F$44="","",IF(OR($A125&lt;'Recurring Schedule'!$F$44,$A125&gt;'Recurring Schedule'!$P$44),"",IF(IF('Recurring Schedule'!$N$44&gt;0,MOD($A125-'Recurring Schedule'!$F$44,'Recurring Schedule'!$N$44)=0,IF('Recurring Schedule'!$O$44&gt;0,AND(DAY($A125)=MIN(DAY('Recurring Schedule'!$F$44),DAY(EOMONTH($A125,0))),MOD((YEAR($A125)-YEAR('Recurring Schedule'!$F$44))*12+MONTH($A125)-MONTH('Recurring Schedule'!$F$44),'Recurring Schedule'!$O$44)=0),IF('Recurring Schedule'!$E$44="Weekdays",WEEKDAY($A125,2)&lt;=5,$A125='Recurring Schedule'!$F$44))),39,""))))</f>
        <v/>
      </c>
      <c r="AO125">
        <f>IF('Recurring Schedule'!$C$45="","",IF('Recurring Schedule'!$F$45="","",IF(OR($A125&lt;'Recurring Schedule'!$F$45,$A125&gt;'Recurring Schedule'!$P$45),"",IF(IF('Recurring Schedule'!$N$45&gt;0,MOD($A125-'Recurring Schedule'!$F$45,'Recurring Schedule'!$N$45)=0,IF('Recurring Schedule'!$O$45&gt;0,AND(DAY($A125)=MIN(DAY('Recurring Schedule'!$F$45),DAY(EOMONTH($A125,0))),MOD((YEAR($A125)-YEAR('Recurring Schedule'!$F$45))*12+MONTH($A125)-MONTH('Recurring Schedule'!$F$45),'Recurring Schedule'!$O$45)=0),IF('Recurring Schedule'!$E$45="Weekdays",WEEKDAY($A125,2)&lt;=5,$A125='Recurring Schedule'!$F$45))),40,""))))</f>
        <v/>
      </c>
      <c r="AP125">
        <f>COUNT(B125:AO125)</f>
        <v/>
      </c>
      <c r="AQ125">
        <f>AQ124+AP124</f>
        <v/>
      </c>
      <c r="AS125" t="inlineStr">
        <is>
          <t>R</t>
        </is>
      </c>
      <c r="AT125" t="n">
        <v>129</v>
      </c>
      <c r="AU125">
        <f>'Recurring Log'!C129&amp;""</f>
        <v/>
      </c>
      <c r="AV125">
        <f>'Recurring Log'!D129&amp;""</f>
        <v/>
      </c>
      <c r="AW125">
        <f>IF('Recurring Log'!E129="","",'Recurring Log'!E129)</f>
        <v/>
      </c>
      <c r="AX125">
        <f>IF('Recurring Log'!G129="","",'Recurring Log'!G129)</f>
        <v/>
      </c>
      <c r="AY125">
        <f>IF('Recurring Log'!H129="","",'Recurring Log'!H129)</f>
        <v/>
      </c>
      <c r="AZ125">
        <f>IF(AU125="","",IF('Recurring Log'!J129="","Not Started",'Recurring Log'!J129))</f>
        <v/>
      </c>
      <c r="BA125">
        <f>'Recurring Log'!L129&amp;""</f>
        <v/>
      </c>
      <c r="BB125">
        <f>'Recurring Log'!M129&amp;""</f>
        <v/>
      </c>
      <c r="BC125">
        <f>'Recurring Log'!N129&amp;""</f>
        <v/>
      </c>
      <c r="BD125">
        <f>'Recurring Log'!O129&amp;""</f>
        <v/>
      </c>
      <c r="BE125">
        <f>IF('Recurring Log'!K129="","",'Recurring Log'!K129)</f>
        <v/>
      </c>
      <c r="BF125">
        <f>IFERROR(MATCH(BA125,Setup!$L$6:$L$9,0),5)</f>
        <v/>
      </c>
      <c r="BG125">
        <f>IF(OR(AZ125="Done",AZ125="Cancelled"),1,0)</f>
        <v/>
      </c>
      <c r="BH125">
        <f>IF(AND(AU125&lt;&gt;"",ISNUMBER(AW125)),1,0)</f>
        <v/>
      </c>
      <c r="BI125">
        <f>IF(BH125=0,0,IF(AND(AW125&gt;='Tasks Filter'!$F$3,AW125&lt;='Tasks Filter'!$F$4,OR('Tasks Filter'!$I$3="",ISNUMBER(SEARCH('Tasks Filter'!$I$3,AU125))),OR('Tasks Filter'!$I$4="",BF125=IFERROR(MATCH('Tasks Filter'!$I$4,Setup!$L$6:$L$9,0),0)),OR('Tasks Filter'!$I$5="Both",AND('Tasks Filter'!$I$5="Yes",BB125="✓"),AND('Tasks Filter'!$I$5="No",BB125&lt;&gt;"✓")),OR('Tasks Filter'!$L$3="",AV125='Tasks Filter'!$L$3),OR('Tasks Filter'!$L$4="",AZ125='Tasks Filter'!$L$4),OR('Tasks Filter'!$L$5="",BC125='Tasks Filter'!$L$5),OR('Tasks Filter'!$O$3="",BD125='Tasks Filter'!$O$3),OR('Tasks Filter'!$O$4="Yes",BG125=0)),1,0))</f>
        <v/>
      </c>
      <c r="BJ125">
        <f>IF(BH125=0,"",IF('Tasks Filter'!$F$6="Descending",-1,1)*CHOOSE(MATCH('Tasks Filter'!$F$5,Lists!$G$2:$G$6,0),AW125,BF125,IFERROR(MATCH(AV125,Setup!$F$6:$F$15,0),99),IFERROR(MATCH(BC125,Setup!$H$6:$H$15,0),99),IFERROR(MATCH(AZ125,Setup!$J$6:$J$11,0),99))*1E+9+(AW125-40000)*10000+124)</f>
        <v/>
      </c>
      <c r="BK125">
        <f>IF(BI125=1,BJ125,"")</f>
        <v/>
      </c>
      <c r="BL125">
        <f>IF(AND(BH125=1,BG125=0,N(AW125)&lt;Setup!$D$7),(AW125-40000)*10000+124,"")</f>
        <v/>
      </c>
      <c r="BM125">
        <f>IF(AND(BH125=1,AZ125&lt;&gt;"Cancelled",N(AW125)&gt;=Dashboard!$AB$3,N(AW125)&lt;=Dashboard!$AB$3+6),(AW125-40000)*100000+BF125*10000+124,"")</f>
        <v/>
      </c>
      <c r="BN125">
        <f>IF(AND(BH125=1,AZ125&lt;&gt;"Cancelled"),BF125*10000+124,"")</f>
        <v/>
      </c>
    </row>
    <row r="126">
      <c r="A126">
        <f>Setup!$D$5+124</f>
        <v/>
      </c>
      <c r="B126">
        <f>IF('Recurring Schedule'!$C$6="","",IF('Recurring Schedule'!$F$6="","",IF(OR($A126&lt;'Recurring Schedule'!$F$6,$A126&gt;'Recurring Schedule'!$P$6),"",IF(IF('Recurring Schedule'!$N$6&gt;0,MOD($A126-'Recurring Schedule'!$F$6,'Recurring Schedule'!$N$6)=0,IF('Recurring Schedule'!$O$6&gt;0,AND(DAY($A126)=MIN(DAY('Recurring Schedule'!$F$6),DAY(EOMONTH($A126,0))),MOD((YEAR($A126)-YEAR('Recurring Schedule'!$F$6))*12+MONTH($A126)-MONTH('Recurring Schedule'!$F$6),'Recurring Schedule'!$O$6)=0),IF('Recurring Schedule'!$E$6="Weekdays",WEEKDAY($A126,2)&lt;=5,$A126='Recurring Schedule'!$F$6))),1,""))))</f>
        <v/>
      </c>
      <c r="C126">
        <f>IF('Recurring Schedule'!$C$7="","",IF('Recurring Schedule'!$F$7="","",IF(OR($A126&lt;'Recurring Schedule'!$F$7,$A126&gt;'Recurring Schedule'!$P$7),"",IF(IF('Recurring Schedule'!$N$7&gt;0,MOD($A126-'Recurring Schedule'!$F$7,'Recurring Schedule'!$N$7)=0,IF('Recurring Schedule'!$O$7&gt;0,AND(DAY($A126)=MIN(DAY('Recurring Schedule'!$F$7),DAY(EOMONTH($A126,0))),MOD((YEAR($A126)-YEAR('Recurring Schedule'!$F$7))*12+MONTH($A126)-MONTH('Recurring Schedule'!$F$7),'Recurring Schedule'!$O$7)=0),IF('Recurring Schedule'!$E$7="Weekdays",WEEKDAY($A126,2)&lt;=5,$A126='Recurring Schedule'!$F$7))),2,""))))</f>
        <v/>
      </c>
      <c r="D126">
        <f>IF('Recurring Schedule'!$C$8="","",IF('Recurring Schedule'!$F$8="","",IF(OR($A126&lt;'Recurring Schedule'!$F$8,$A126&gt;'Recurring Schedule'!$P$8),"",IF(IF('Recurring Schedule'!$N$8&gt;0,MOD($A126-'Recurring Schedule'!$F$8,'Recurring Schedule'!$N$8)=0,IF('Recurring Schedule'!$O$8&gt;0,AND(DAY($A126)=MIN(DAY('Recurring Schedule'!$F$8),DAY(EOMONTH($A126,0))),MOD((YEAR($A126)-YEAR('Recurring Schedule'!$F$8))*12+MONTH($A126)-MONTH('Recurring Schedule'!$F$8),'Recurring Schedule'!$O$8)=0),IF('Recurring Schedule'!$E$8="Weekdays",WEEKDAY($A126,2)&lt;=5,$A126='Recurring Schedule'!$F$8))),3,""))))</f>
        <v/>
      </c>
      <c r="E126">
        <f>IF('Recurring Schedule'!$C$9="","",IF('Recurring Schedule'!$F$9="","",IF(OR($A126&lt;'Recurring Schedule'!$F$9,$A126&gt;'Recurring Schedule'!$P$9),"",IF(IF('Recurring Schedule'!$N$9&gt;0,MOD($A126-'Recurring Schedule'!$F$9,'Recurring Schedule'!$N$9)=0,IF('Recurring Schedule'!$O$9&gt;0,AND(DAY($A126)=MIN(DAY('Recurring Schedule'!$F$9),DAY(EOMONTH($A126,0))),MOD((YEAR($A126)-YEAR('Recurring Schedule'!$F$9))*12+MONTH($A126)-MONTH('Recurring Schedule'!$F$9),'Recurring Schedule'!$O$9)=0),IF('Recurring Schedule'!$E$9="Weekdays",WEEKDAY($A126,2)&lt;=5,$A126='Recurring Schedule'!$F$9))),4,""))))</f>
        <v/>
      </c>
      <c r="F126">
        <f>IF('Recurring Schedule'!$C$10="","",IF('Recurring Schedule'!$F$10="","",IF(OR($A126&lt;'Recurring Schedule'!$F$10,$A126&gt;'Recurring Schedule'!$P$10),"",IF(IF('Recurring Schedule'!$N$10&gt;0,MOD($A126-'Recurring Schedule'!$F$10,'Recurring Schedule'!$N$10)=0,IF('Recurring Schedule'!$O$10&gt;0,AND(DAY($A126)=MIN(DAY('Recurring Schedule'!$F$10),DAY(EOMONTH($A126,0))),MOD((YEAR($A126)-YEAR('Recurring Schedule'!$F$10))*12+MONTH($A126)-MONTH('Recurring Schedule'!$F$10),'Recurring Schedule'!$O$10)=0),IF('Recurring Schedule'!$E$10="Weekdays",WEEKDAY($A126,2)&lt;=5,$A126='Recurring Schedule'!$F$10))),5,""))))</f>
        <v/>
      </c>
      <c r="G126">
        <f>IF('Recurring Schedule'!$C$11="","",IF('Recurring Schedule'!$F$11="","",IF(OR($A126&lt;'Recurring Schedule'!$F$11,$A126&gt;'Recurring Schedule'!$P$11),"",IF(IF('Recurring Schedule'!$N$11&gt;0,MOD($A126-'Recurring Schedule'!$F$11,'Recurring Schedule'!$N$11)=0,IF('Recurring Schedule'!$O$11&gt;0,AND(DAY($A126)=MIN(DAY('Recurring Schedule'!$F$11),DAY(EOMONTH($A126,0))),MOD((YEAR($A126)-YEAR('Recurring Schedule'!$F$11))*12+MONTH($A126)-MONTH('Recurring Schedule'!$F$11),'Recurring Schedule'!$O$11)=0),IF('Recurring Schedule'!$E$11="Weekdays",WEEKDAY($A126,2)&lt;=5,$A126='Recurring Schedule'!$F$11))),6,""))))</f>
        <v/>
      </c>
      <c r="H126">
        <f>IF('Recurring Schedule'!$C$12="","",IF('Recurring Schedule'!$F$12="","",IF(OR($A126&lt;'Recurring Schedule'!$F$12,$A126&gt;'Recurring Schedule'!$P$12),"",IF(IF('Recurring Schedule'!$N$12&gt;0,MOD($A126-'Recurring Schedule'!$F$12,'Recurring Schedule'!$N$12)=0,IF('Recurring Schedule'!$O$12&gt;0,AND(DAY($A126)=MIN(DAY('Recurring Schedule'!$F$12),DAY(EOMONTH($A126,0))),MOD((YEAR($A126)-YEAR('Recurring Schedule'!$F$12))*12+MONTH($A126)-MONTH('Recurring Schedule'!$F$12),'Recurring Schedule'!$O$12)=0),IF('Recurring Schedule'!$E$12="Weekdays",WEEKDAY($A126,2)&lt;=5,$A126='Recurring Schedule'!$F$12))),7,""))))</f>
        <v/>
      </c>
      <c r="I126">
        <f>IF('Recurring Schedule'!$C$13="","",IF('Recurring Schedule'!$F$13="","",IF(OR($A126&lt;'Recurring Schedule'!$F$13,$A126&gt;'Recurring Schedule'!$P$13),"",IF(IF('Recurring Schedule'!$N$13&gt;0,MOD($A126-'Recurring Schedule'!$F$13,'Recurring Schedule'!$N$13)=0,IF('Recurring Schedule'!$O$13&gt;0,AND(DAY($A126)=MIN(DAY('Recurring Schedule'!$F$13),DAY(EOMONTH($A126,0))),MOD((YEAR($A126)-YEAR('Recurring Schedule'!$F$13))*12+MONTH($A126)-MONTH('Recurring Schedule'!$F$13),'Recurring Schedule'!$O$13)=0),IF('Recurring Schedule'!$E$13="Weekdays",WEEKDAY($A126,2)&lt;=5,$A126='Recurring Schedule'!$F$13))),8,""))))</f>
        <v/>
      </c>
      <c r="J126">
        <f>IF('Recurring Schedule'!$C$14="","",IF('Recurring Schedule'!$F$14="","",IF(OR($A126&lt;'Recurring Schedule'!$F$14,$A126&gt;'Recurring Schedule'!$P$14),"",IF(IF('Recurring Schedule'!$N$14&gt;0,MOD($A126-'Recurring Schedule'!$F$14,'Recurring Schedule'!$N$14)=0,IF('Recurring Schedule'!$O$14&gt;0,AND(DAY($A126)=MIN(DAY('Recurring Schedule'!$F$14),DAY(EOMONTH($A126,0))),MOD((YEAR($A126)-YEAR('Recurring Schedule'!$F$14))*12+MONTH($A126)-MONTH('Recurring Schedule'!$F$14),'Recurring Schedule'!$O$14)=0),IF('Recurring Schedule'!$E$14="Weekdays",WEEKDAY($A126,2)&lt;=5,$A126='Recurring Schedule'!$F$14))),9,""))))</f>
        <v/>
      </c>
      <c r="K126">
        <f>IF('Recurring Schedule'!$C$15="","",IF('Recurring Schedule'!$F$15="","",IF(OR($A126&lt;'Recurring Schedule'!$F$15,$A126&gt;'Recurring Schedule'!$P$15),"",IF(IF('Recurring Schedule'!$N$15&gt;0,MOD($A126-'Recurring Schedule'!$F$15,'Recurring Schedule'!$N$15)=0,IF('Recurring Schedule'!$O$15&gt;0,AND(DAY($A126)=MIN(DAY('Recurring Schedule'!$F$15),DAY(EOMONTH($A126,0))),MOD((YEAR($A126)-YEAR('Recurring Schedule'!$F$15))*12+MONTH($A126)-MONTH('Recurring Schedule'!$F$15),'Recurring Schedule'!$O$15)=0),IF('Recurring Schedule'!$E$15="Weekdays",WEEKDAY($A126,2)&lt;=5,$A126='Recurring Schedule'!$F$15))),10,""))))</f>
        <v/>
      </c>
      <c r="L126">
        <f>IF('Recurring Schedule'!$C$16="","",IF('Recurring Schedule'!$F$16="","",IF(OR($A126&lt;'Recurring Schedule'!$F$16,$A126&gt;'Recurring Schedule'!$P$16),"",IF(IF('Recurring Schedule'!$N$16&gt;0,MOD($A126-'Recurring Schedule'!$F$16,'Recurring Schedule'!$N$16)=0,IF('Recurring Schedule'!$O$16&gt;0,AND(DAY($A126)=MIN(DAY('Recurring Schedule'!$F$16),DAY(EOMONTH($A126,0))),MOD((YEAR($A126)-YEAR('Recurring Schedule'!$F$16))*12+MONTH($A126)-MONTH('Recurring Schedule'!$F$16),'Recurring Schedule'!$O$16)=0),IF('Recurring Schedule'!$E$16="Weekdays",WEEKDAY($A126,2)&lt;=5,$A126='Recurring Schedule'!$F$16))),11,""))))</f>
        <v/>
      </c>
      <c r="M126">
        <f>IF('Recurring Schedule'!$C$17="","",IF('Recurring Schedule'!$F$17="","",IF(OR($A126&lt;'Recurring Schedule'!$F$17,$A126&gt;'Recurring Schedule'!$P$17),"",IF(IF('Recurring Schedule'!$N$17&gt;0,MOD($A126-'Recurring Schedule'!$F$17,'Recurring Schedule'!$N$17)=0,IF('Recurring Schedule'!$O$17&gt;0,AND(DAY($A126)=MIN(DAY('Recurring Schedule'!$F$17),DAY(EOMONTH($A126,0))),MOD((YEAR($A126)-YEAR('Recurring Schedule'!$F$17))*12+MONTH($A126)-MONTH('Recurring Schedule'!$F$17),'Recurring Schedule'!$O$17)=0),IF('Recurring Schedule'!$E$17="Weekdays",WEEKDAY($A126,2)&lt;=5,$A126='Recurring Schedule'!$F$17))),12,""))))</f>
        <v/>
      </c>
      <c r="N126">
        <f>IF('Recurring Schedule'!$C$18="","",IF('Recurring Schedule'!$F$18="","",IF(OR($A126&lt;'Recurring Schedule'!$F$18,$A126&gt;'Recurring Schedule'!$P$18),"",IF(IF('Recurring Schedule'!$N$18&gt;0,MOD($A126-'Recurring Schedule'!$F$18,'Recurring Schedule'!$N$18)=0,IF('Recurring Schedule'!$O$18&gt;0,AND(DAY($A126)=MIN(DAY('Recurring Schedule'!$F$18),DAY(EOMONTH($A126,0))),MOD((YEAR($A126)-YEAR('Recurring Schedule'!$F$18))*12+MONTH($A126)-MONTH('Recurring Schedule'!$F$18),'Recurring Schedule'!$O$18)=0),IF('Recurring Schedule'!$E$18="Weekdays",WEEKDAY($A126,2)&lt;=5,$A126='Recurring Schedule'!$F$18))),13,""))))</f>
        <v/>
      </c>
      <c r="O126">
        <f>IF('Recurring Schedule'!$C$19="","",IF('Recurring Schedule'!$F$19="","",IF(OR($A126&lt;'Recurring Schedule'!$F$19,$A126&gt;'Recurring Schedule'!$P$19),"",IF(IF('Recurring Schedule'!$N$19&gt;0,MOD($A126-'Recurring Schedule'!$F$19,'Recurring Schedule'!$N$19)=0,IF('Recurring Schedule'!$O$19&gt;0,AND(DAY($A126)=MIN(DAY('Recurring Schedule'!$F$19),DAY(EOMONTH($A126,0))),MOD((YEAR($A126)-YEAR('Recurring Schedule'!$F$19))*12+MONTH($A126)-MONTH('Recurring Schedule'!$F$19),'Recurring Schedule'!$O$19)=0),IF('Recurring Schedule'!$E$19="Weekdays",WEEKDAY($A126,2)&lt;=5,$A126='Recurring Schedule'!$F$19))),14,""))))</f>
        <v/>
      </c>
      <c r="P126">
        <f>IF('Recurring Schedule'!$C$20="","",IF('Recurring Schedule'!$F$20="","",IF(OR($A126&lt;'Recurring Schedule'!$F$20,$A126&gt;'Recurring Schedule'!$P$20),"",IF(IF('Recurring Schedule'!$N$20&gt;0,MOD($A126-'Recurring Schedule'!$F$20,'Recurring Schedule'!$N$20)=0,IF('Recurring Schedule'!$O$20&gt;0,AND(DAY($A126)=MIN(DAY('Recurring Schedule'!$F$20),DAY(EOMONTH($A126,0))),MOD((YEAR($A126)-YEAR('Recurring Schedule'!$F$20))*12+MONTH($A126)-MONTH('Recurring Schedule'!$F$20),'Recurring Schedule'!$O$20)=0),IF('Recurring Schedule'!$E$20="Weekdays",WEEKDAY($A126,2)&lt;=5,$A126='Recurring Schedule'!$F$20))),15,""))))</f>
        <v/>
      </c>
      <c r="Q126">
        <f>IF('Recurring Schedule'!$C$21="","",IF('Recurring Schedule'!$F$21="","",IF(OR($A126&lt;'Recurring Schedule'!$F$21,$A126&gt;'Recurring Schedule'!$P$21),"",IF(IF('Recurring Schedule'!$N$21&gt;0,MOD($A126-'Recurring Schedule'!$F$21,'Recurring Schedule'!$N$21)=0,IF('Recurring Schedule'!$O$21&gt;0,AND(DAY($A126)=MIN(DAY('Recurring Schedule'!$F$21),DAY(EOMONTH($A126,0))),MOD((YEAR($A126)-YEAR('Recurring Schedule'!$F$21))*12+MONTH($A126)-MONTH('Recurring Schedule'!$F$21),'Recurring Schedule'!$O$21)=0),IF('Recurring Schedule'!$E$21="Weekdays",WEEKDAY($A126,2)&lt;=5,$A126='Recurring Schedule'!$F$21))),16,""))))</f>
        <v/>
      </c>
      <c r="R126">
        <f>IF('Recurring Schedule'!$C$22="","",IF('Recurring Schedule'!$F$22="","",IF(OR($A126&lt;'Recurring Schedule'!$F$22,$A126&gt;'Recurring Schedule'!$P$22),"",IF(IF('Recurring Schedule'!$N$22&gt;0,MOD($A126-'Recurring Schedule'!$F$22,'Recurring Schedule'!$N$22)=0,IF('Recurring Schedule'!$O$22&gt;0,AND(DAY($A126)=MIN(DAY('Recurring Schedule'!$F$22),DAY(EOMONTH($A126,0))),MOD((YEAR($A126)-YEAR('Recurring Schedule'!$F$22))*12+MONTH($A126)-MONTH('Recurring Schedule'!$F$22),'Recurring Schedule'!$O$22)=0),IF('Recurring Schedule'!$E$22="Weekdays",WEEKDAY($A126,2)&lt;=5,$A126='Recurring Schedule'!$F$22))),17,""))))</f>
        <v/>
      </c>
      <c r="S126">
        <f>IF('Recurring Schedule'!$C$23="","",IF('Recurring Schedule'!$F$23="","",IF(OR($A126&lt;'Recurring Schedule'!$F$23,$A126&gt;'Recurring Schedule'!$P$23),"",IF(IF('Recurring Schedule'!$N$23&gt;0,MOD($A126-'Recurring Schedule'!$F$23,'Recurring Schedule'!$N$23)=0,IF('Recurring Schedule'!$O$23&gt;0,AND(DAY($A126)=MIN(DAY('Recurring Schedule'!$F$23),DAY(EOMONTH($A126,0))),MOD((YEAR($A126)-YEAR('Recurring Schedule'!$F$23))*12+MONTH($A126)-MONTH('Recurring Schedule'!$F$23),'Recurring Schedule'!$O$23)=0),IF('Recurring Schedule'!$E$23="Weekdays",WEEKDAY($A126,2)&lt;=5,$A126='Recurring Schedule'!$F$23))),18,""))))</f>
        <v/>
      </c>
      <c r="T126">
        <f>IF('Recurring Schedule'!$C$24="","",IF('Recurring Schedule'!$F$24="","",IF(OR($A126&lt;'Recurring Schedule'!$F$24,$A126&gt;'Recurring Schedule'!$P$24),"",IF(IF('Recurring Schedule'!$N$24&gt;0,MOD($A126-'Recurring Schedule'!$F$24,'Recurring Schedule'!$N$24)=0,IF('Recurring Schedule'!$O$24&gt;0,AND(DAY($A126)=MIN(DAY('Recurring Schedule'!$F$24),DAY(EOMONTH($A126,0))),MOD((YEAR($A126)-YEAR('Recurring Schedule'!$F$24))*12+MONTH($A126)-MONTH('Recurring Schedule'!$F$24),'Recurring Schedule'!$O$24)=0),IF('Recurring Schedule'!$E$24="Weekdays",WEEKDAY($A126,2)&lt;=5,$A126='Recurring Schedule'!$F$24))),19,""))))</f>
        <v/>
      </c>
      <c r="U126">
        <f>IF('Recurring Schedule'!$C$25="","",IF('Recurring Schedule'!$F$25="","",IF(OR($A126&lt;'Recurring Schedule'!$F$25,$A126&gt;'Recurring Schedule'!$P$25),"",IF(IF('Recurring Schedule'!$N$25&gt;0,MOD($A126-'Recurring Schedule'!$F$25,'Recurring Schedule'!$N$25)=0,IF('Recurring Schedule'!$O$25&gt;0,AND(DAY($A126)=MIN(DAY('Recurring Schedule'!$F$25),DAY(EOMONTH($A126,0))),MOD((YEAR($A126)-YEAR('Recurring Schedule'!$F$25))*12+MONTH($A126)-MONTH('Recurring Schedule'!$F$25),'Recurring Schedule'!$O$25)=0),IF('Recurring Schedule'!$E$25="Weekdays",WEEKDAY($A126,2)&lt;=5,$A126='Recurring Schedule'!$F$25))),20,""))))</f>
        <v/>
      </c>
      <c r="V126">
        <f>IF('Recurring Schedule'!$C$26="","",IF('Recurring Schedule'!$F$26="","",IF(OR($A126&lt;'Recurring Schedule'!$F$26,$A126&gt;'Recurring Schedule'!$P$26),"",IF(IF('Recurring Schedule'!$N$26&gt;0,MOD($A126-'Recurring Schedule'!$F$26,'Recurring Schedule'!$N$26)=0,IF('Recurring Schedule'!$O$26&gt;0,AND(DAY($A126)=MIN(DAY('Recurring Schedule'!$F$26),DAY(EOMONTH($A126,0))),MOD((YEAR($A126)-YEAR('Recurring Schedule'!$F$26))*12+MONTH($A126)-MONTH('Recurring Schedule'!$F$26),'Recurring Schedule'!$O$26)=0),IF('Recurring Schedule'!$E$26="Weekdays",WEEKDAY($A126,2)&lt;=5,$A126='Recurring Schedule'!$F$26))),21,""))))</f>
        <v/>
      </c>
      <c r="W126">
        <f>IF('Recurring Schedule'!$C$27="","",IF('Recurring Schedule'!$F$27="","",IF(OR($A126&lt;'Recurring Schedule'!$F$27,$A126&gt;'Recurring Schedule'!$P$27),"",IF(IF('Recurring Schedule'!$N$27&gt;0,MOD($A126-'Recurring Schedule'!$F$27,'Recurring Schedule'!$N$27)=0,IF('Recurring Schedule'!$O$27&gt;0,AND(DAY($A126)=MIN(DAY('Recurring Schedule'!$F$27),DAY(EOMONTH($A126,0))),MOD((YEAR($A126)-YEAR('Recurring Schedule'!$F$27))*12+MONTH($A126)-MONTH('Recurring Schedule'!$F$27),'Recurring Schedule'!$O$27)=0),IF('Recurring Schedule'!$E$27="Weekdays",WEEKDAY($A126,2)&lt;=5,$A126='Recurring Schedule'!$F$27))),22,""))))</f>
        <v/>
      </c>
      <c r="X126">
        <f>IF('Recurring Schedule'!$C$28="","",IF('Recurring Schedule'!$F$28="","",IF(OR($A126&lt;'Recurring Schedule'!$F$28,$A126&gt;'Recurring Schedule'!$P$28),"",IF(IF('Recurring Schedule'!$N$28&gt;0,MOD($A126-'Recurring Schedule'!$F$28,'Recurring Schedule'!$N$28)=0,IF('Recurring Schedule'!$O$28&gt;0,AND(DAY($A126)=MIN(DAY('Recurring Schedule'!$F$28),DAY(EOMONTH($A126,0))),MOD((YEAR($A126)-YEAR('Recurring Schedule'!$F$28))*12+MONTH($A126)-MONTH('Recurring Schedule'!$F$28),'Recurring Schedule'!$O$28)=0),IF('Recurring Schedule'!$E$28="Weekdays",WEEKDAY($A126,2)&lt;=5,$A126='Recurring Schedule'!$F$28))),23,""))))</f>
        <v/>
      </c>
      <c r="Y126">
        <f>IF('Recurring Schedule'!$C$29="","",IF('Recurring Schedule'!$F$29="","",IF(OR($A126&lt;'Recurring Schedule'!$F$29,$A126&gt;'Recurring Schedule'!$P$29),"",IF(IF('Recurring Schedule'!$N$29&gt;0,MOD($A126-'Recurring Schedule'!$F$29,'Recurring Schedule'!$N$29)=0,IF('Recurring Schedule'!$O$29&gt;0,AND(DAY($A126)=MIN(DAY('Recurring Schedule'!$F$29),DAY(EOMONTH($A126,0))),MOD((YEAR($A126)-YEAR('Recurring Schedule'!$F$29))*12+MONTH($A126)-MONTH('Recurring Schedule'!$F$29),'Recurring Schedule'!$O$29)=0),IF('Recurring Schedule'!$E$29="Weekdays",WEEKDAY($A126,2)&lt;=5,$A126='Recurring Schedule'!$F$29))),24,""))))</f>
        <v/>
      </c>
      <c r="Z126">
        <f>IF('Recurring Schedule'!$C$30="","",IF('Recurring Schedule'!$F$30="","",IF(OR($A126&lt;'Recurring Schedule'!$F$30,$A126&gt;'Recurring Schedule'!$P$30),"",IF(IF('Recurring Schedule'!$N$30&gt;0,MOD($A126-'Recurring Schedule'!$F$30,'Recurring Schedule'!$N$30)=0,IF('Recurring Schedule'!$O$30&gt;0,AND(DAY($A126)=MIN(DAY('Recurring Schedule'!$F$30),DAY(EOMONTH($A126,0))),MOD((YEAR($A126)-YEAR('Recurring Schedule'!$F$30))*12+MONTH($A126)-MONTH('Recurring Schedule'!$F$30),'Recurring Schedule'!$O$30)=0),IF('Recurring Schedule'!$E$30="Weekdays",WEEKDAY($A126,2)&lt;=5,$A126='Recurring Schedule'!$F$30))),25,""))))</f>
        <v/>
      </c>
      <c r="AA126">
        <f>IF('Recurring Schedule'!$C$31="","",IF('Recurring Schedule'!$F$31="","",IF(OR($A126&lt;'Recurring Schedule'!$F$31,$A126&gt;'Recurring Schedule'!$P$31),"",IF(IF('Recurring Schedule'!$N$31&gt;0,MOD($A126-'Recurring Schedule'!$F$31,'Recurring Schedule'!$N$31)=0,IF('Recurring Schedule'!$O$31&gt;0,AND(DAY($A126)=MIN(DAY('Recurring Schedule'!$F$31),DAY(EOMONTH($A126,0))),MOD((YEAR($A126)-YEAR('Recurring Schedule'!$F$31))*12+MONTH($A126)-MONTH('Recurring Schedule'!$F$31),'Recurring Schedule'!$O$31)=0),IF('Recurring Schedule'!$E$31="Weekdays",WEEKDAY($A126,2)&lt;=5,$A126='Recurring Schedule'!$F$31))),26,""))))</f>
        <v/>
      </c>
      <c r="AB126">
        <f>IF('Recurring Schedule'!$C$32="","",IF('Recurring Schedule'!$F$32="","",IF(OR($A126&lt;'Recurring Schedule'!$F$32,$A126&gt;'Recurring Schedule'!$P$32),"",IF(IF('Recurring Schedule'!$N$32&gt;0,MOD($A126-'Recurring Schedule'!$F$32,'Recurring Schedule'!$N$32)=0,IF('Recurring Schedule'!$O$32&gt;0,AND(DAY($A126)=MIN(DAY('Recurring Schedule'!$F$32),DAY(EOMONTH($A126,0))),MOD((YEAR($A126)-YEAR('Recurring Schedule'!$F$32))*12+MONTH($A126)-MONTH('Recurring Schedule'!$F$32),'Recurring Schedule'!$O$32)=0),IF('Recurring Schedule'!$E$32="Weekdays",WEEKDAY($A126,2)&lt;=5,$A126='Recurring Schedule'!$F$32))),27,""))))</f>
        <v/>
      </c>
      <c r="AC126">
        <f>IF('Recurring Schedule'!$C$33="","",IF('Recurring Schedule'!$F$33="","",IF(OR($A126&lt;'Recurring Schedule'!$F$33,$A126&gt;'Recurring Schedule'!$P$33),"",IF(IF('Recurring Schedule'!$N$33&gt;0,MOD($A126-'Recurring Schedule'!$F$33,'Recurring Schedule'!$N$33)=0,IF('Recurring Schedule'!$O$33&gt;0,AND(DAY($A126)=MIN(DAY('Recurring Schedule'!$F$33),DAY(EOMONTH($A126,0))),MOD((YEAR($A126)-YEAR('Recurring Schedule'!$F$33))*12+MONTH($A126)-MONTH('Recurring Schedule'!$F$33),'Recurring Schedule'!$O$33)=0),IF('Recurring Schedule'!$E$33="Weekdays",WEEKDAY($A126,2)&lt;=5,$A126='Recurring Schedule'!$F$33))),28,""))))</f>
        <v/>
      </c>
      <c r="AD126">
        <f>IF('Recurring Schedule'!$C$34="","",IF('Recurring Schedule'!$F$34="","",IF(OR($A126&lt;'Recurring Schedule'!$F$34,$A126&gt;'Recurring Schedule'!$P$34),"",IF(IF('Recurring Schedule'!$N$34&gt;0,MOD($A126-'Recurring Schedule'!$F$34,'Recurring Schedule'!$N$34)=0,IF('Recurring Schedule'!$O$34&gt;0,AND(DAY($A126)=MIN(DAY('Recurring Schedule'!$F$34),DAY(EOMONTH($A126,0))),MOD((YEAR($A126)-YEAR('Recurring Schedule'!$F$34))*12+MONTH($A126)-MONTH('Recurring Schedule'!$F$34),'Recurring Schedule'!$O$34)=0),IF('Recurring Schedule'!$E$34="Weekdays",WEEKDAY($A126,2)&lt;=5,$A126='Recurring Schedule'!$F$34))),29,""))))</f>
        <v/>
      </c>
      <c r="AE126">
        <f>IF('Recurring Schedule'!$C$35="","",IF('Recurring Schedule'!$F$35="","",IF(OR($A126&lt;'Recurring Schedule'!$F$35,$A126&gt;'Recurring Schedule'!$P$35),"",IF(IF('Recurring Schedule'!$N$35&gt;0,MOD($A126-'Recurring Schedule'!$F$35,'Recurring Schedule'!$N$35)=0,IF('Recurring Schedule'!$O$35&gt;0,AND(DAY($A126)=MIN(DAY('Recurring Schedule'!$F$35),DAY(EOMONTH($A126,0))),MOD((YEAR($A126)-YEAR('Recurring Schedule'!$F$35))*12+MONTH($A126)-MONTH('Recurring Schedule'!$F$35),'Recurring Schedule'!$O$35)=0),IF('Recurring Schedule'!$E$35="Weekdays",WEEKDAY($A126,2)&lt;=5,$A126='Recurring Schedule'!$F$35))),30,""))))</f>
        <v/>
      </c>
      <c r="AF126">
        <f>IF('Recurring Schedule'!$C$36="","",IF('Recurring Schedule'!$F$36="","",IF(OR($A126&lt;'Recurring Schedule'!$F$36,$A126&gt;'Recurring Schedule'!$P$36),"",IF(IF('Recurring Schedule'!$N$36&gt;0,MOD($A126-'Recurring Schedule'!$F$36,'Recurring Schedule'!$N$36)=0,IF('Recurring Schedule'!$O$36&gt;0,AND(DAY($A126)=MIN(DAY('Recurring Schedule'!$F$36),DAY(EOMONTH($A126,0))),MOD((YEAR($A126)-YEAR('Recurring Schedule'!$F$36))*12+MONTH($A126)-MONTH('Recurring Schedule'!$F$36),'Recurring Schedule'!$O$36)=0),IF('Recurring Schedule'!$E$36="Weekdays",WEEKDAY($A126,2)&lt;=5,$A126='Recurring Schedule'!$F$36))),31,""))))</f>
        <v/>
      </c>
      <c r="AG126">
        <f>IF('Recurring Schedule'!$C$37="","",IF('Recurring Schedule'!$F$37="","",IF(OR($A126&lt;'Recurring Schedule'!$F$37,$A126&gt;'Recurring Schedule'!$P$37),"",IF(IF('Recurring Schedule'!$N$37&gt;0,MOD($A126-'Recurring Schedule'!$F$37,'Recurring Schedule'!$N$37)=0,IF('Recurring Schedule'!$O$37&gt;0,AND(DAY($A126)=MIN(DAY('Recurring Schedule'!$F$37),DAY(EOMONTH($A126,0))),MOD((YEAR($A126)-YEAR('Recurring Schedule'!$F$37))*12+MONTH($A126)-MONTH('Recurring Schedule'!$F$37),'Recurring Schedule'!$O$37)=0),IF('Recurring Schedule'!$E$37="Weekdays",WEEKDAY($A126,2)&lt;=5,$A126='Recurring Schedule'!$F$37))),32,""))))</f>
        <v/>
      </c>
      <c r="AH126">
        <f>IF('Recurring Schedule'!$C$38="","",IF('Recurring Schedule'!$F$38="","",IF(OR($A126&lt;'Recurring Schedule'!$F$38,$A126&gt;'Recurring Schedule'!$P$38),"",IF(IF('Recurring Schedule'!$N$38&gt;0,MOD($A126-'Recurring Schedule'!$F$38,'Recurring Schedule'!$N$38)=0,IF('Recurring Schedule'!$O$38&gt;0,AND(DAY($A126)=MIN(DAY('Recurring Schedule'!$F$38),DAY(EOMONTH($A126,0))),MOD((YEAR($A126)-YEAR('Recurring Schedule'!$F$38))*12+MONTH($A126)-MONTH('Recurring Schedule'!$F$38),'Recurring Schedule'!$O$38)=0),IF('Recurring Schedule'!$E$38="Weekdays",WEEKDAY($A126,2)&lt;=5,$A126='Recurring Schedule'!$F$38))),33,""))))</f>
        <v/>
      </c>
      <c r="AI126">
        <f>IF('Recurring Schedule'!$C$39="","",IF('Recurring Schedule'!$F$39="","",IF(OR($A126&lt;'Recurring Schedule'!$F$39,$A126&gt;'Recurring Schedule'!$P$39),"",IF(IF('Recurring Schedule'!$N$39&gt;0,MOD($A126-'Recurring Schedule'!$F$39,'Recurring Schedule'!$N$39)=0,IF('Recurring Schedule'!$O$39&gt;0,AND(DAY($A126)=MIN(DAY('Recurring Schedule'!$F$39),DAY(EOMONTH($A126,0))),MOD((YEAR($A126)-YEAR('Recurring Schedule'!$F$39))*12+MONTH($A126)-MONTH('Recurring Schedule'!$F$39),'Recurring Schedule'!$O$39)=0),IF('Recurring Schedule'!$E$39="Weekdays",WEEKDAY($A126,2)&lt;=5,$A126='Recurring Schedule'!$F$39))),34,""))))</f>
        <v/>
      </c>
      <c r="AJ126">
        <f>IF('Recurring Schedule'!$C$40="","",IF('Recurring Schedule'!$F$40="","",IF(OR($A126&lt;'Recurring Schedule'!$F$40,$A126&gt;'Recurring Schedule'!$P$40),"",IF(IF('Recurring Schedule'!$N$40&gt;0,MOD($A126-'Recurring Schedule'!$F$40,'Recurring Schedule'!$N$40)=0,IF('Recurring Schedule'!$O$40&gt;0,AND(DAY($A126)=MIN(DAY('Recurring Schedule'!$F$40),DAY(EOMONTH($A126,0))),MOD((YEAR($A126)-YEAR('Recurring Schedule'!$F$40))*12+MONTH($A126)-MONTH('Recurring Schedule'!$F$40),'Recurring Schedule'!$O$40)=0),IF('Recurring Schedule'!$E$40="Weekdays",WEEKDAY($A126,2)&lt;=5,$A126='Recurring Schedule'!$F$40))),35,""))))</f>
        <v/>
      </c>
      <c r="AK126">
        <f>IF('Recurring Schedule'!$C$41="","",IF('Recurring Schedule'!$F$41="","",IF(OR($A126&lt;'Recurring Schedule'!$F$41,$A126&gt;'Recurring Schedule'!$P$41),"",IF(IF('Recurring Schedule'!$N$41&gt;0,MOD($A126-'Recurring Schedule'!$F$41,'Recurring Schedule'!$N$41)=0,IF('Recurring Schedule'!$O$41&gt;0,AND(DAY($A126)=MIN(DAY('Recurring Schedule'!$F$41),DAY(EOMONTH($A126,0))),MOD((YEAR($A126)-YEAR('Recurring Schedule'!$F$41))*12+MONTH($A126)-MONTH('Recurring Schedule'!$F$41),'Recurring Schedule'!$O$41)=0),IF('Recurring Schedule'!$E$41="Weekdays",WEEKDAY($A126,2)&lt;=5,$A126='Recurring Schedule'!$F$41))),36,""))))</f>
        <v/>
      </c>
      <c r="AL126">
        <f>IF('Recurring Schedule'!$C$42="","",IF('Recurring Schedule'!$F$42="","",IF(OR($A126&lt;'Recurring Schedule'!$F$42,$A126&gt;'Recurring Schedule'!$P$42),"",IF(IF('Recurring Schedule'!$N$42&gt;0,MOD($A126-'Recurring Schedule'!$F$42,'Recurring Schedule'!$N$42)=0,IF('Recurring Schedule'!$O$42&gt;0,AND(DAY($A126)=MIN(DAY('Recurring Schedule'!$F$42),DAY(EOMONTH($A126,0))),MOD((YEAR($A126)-YEAR('Recurring Schedule'!$F$42))*12+MONTH($A126)-MONTH('Recurring Schedule'!$F$42),'Recurring Schedule'!$O$42)=0),IF('Recurring Schedule'!$E$42="Weekdays",WEEKDAY($A126,2)&lt;=5,$A126='Recurring Schedule'!$F$42))),37,""))))</f>
        <v/>
      </c>
      <c r="AM126">
        <f>IF('Recurring Schedule'!$C$43="","",IF('Recurring Schedule'!$F$43="","",IF(OR($A126&lt;'Recurring Schedule'!$F$43,$A126&gt;'Recurring Schedule'!$P$43),"",IF(IF('Recurring Schedule'!$N$43&gt;0,MOD($A126-'Recurring Schedule'!$F$43,'Recurring Schedule'!$N$43)=0,IF('Recurring Schedule'!$O$43&gt;0,AND(DAY($A126)=MIN(DAY('Recurring Schedule'!$F$43),DAY(EOMONTH($A126,0))),MOD((YEAR($A126)-YEAR('Recurring Schedule'!$F$43))*12+MONTH($A126)-MONTH('Recurring Schedule'!$F$43),'Recurring Schedule'!$O$43)=0),IF('Recurring Schedule'!$E$43="Weekdays",WEEKDAY($A126,2)&lt;=5,$A126='Recurring Schedule'!$F$43))),38,""))))</f>
        <v/>
      </c>
      <c r="AN126">
        <f>IF('Recurring Schedule'!$C$44="","",IF('Recurring Schedule'!$F$44="","",IF(OR($A126&lt;'Recurring Schedule'!$F$44,$A126&gt;'Recurring Schedule'!$P$44),"",IF(IF('Recurring Schedule'!$N$44&gt;0,MOD($A126-'Recurring Schedule'!$F$44,'Recurring Schedule'!$N$44)=0,IF('Recurring Schedule'!$O$44&gt;0,AND(DAY($A126)=MIN(DAY('Recurring Schedule'!$F$44),DAY(EOMONTH($A126,0))),MOD((YEAR($A126)-YEAR('Recurring Schedule'!$F$44))*12+MONTH($A126)-MONTH('Recurring Schedule'!$F$44),'Recurring Schedule'!$O$44)=0),IF('Recurring Schedule'!$E$44="Weekdays",WEEKDAY($A126,2)&lt;=5,$A126='Recurring Schedule'!$F$44))),39,""))))</f>
        <v/>
      </c>
      <c r="AO126">
        <f>IF('Recurring Schedule'!$C$45="","",IF('Recurring Schedule'!$F$45="","",IF(OR($A126&lt;'Recurring Schedule'!$F$45,$A126&gt;'Recurring Schedule'!$P$45),"",IF(IF('Recurring Schedule'!$N$45&gt;0,MOD($A126-'Recurring Schedule'!$F$45,'Recurring Schedule'!$N$45)=0,IF('Recurring Schedule'!$O$45&gt;0,AND(DAY($A126)=MIN(DAY('Recurring Schedule'!$F$45),DAY(EOMONTH($A126,0))),MOD((YEAR($A126)-YEAR('Recurring Schedule'!$F$45))*12+MONTH($A126)-MONTH('Recurring Schedule'!$F$45),'Recurring Schedule'!$O$45)=0),IF('Recurring Schedule'!$E$45="Weekdays",WEEKDAY($A126,2)&lt;=5,$A126='Recurring Schedule'!$F$45))),40,""))))</f>
        <v/>
      </c>
      <c r="AP126">
        <f>COUNT(B126:AO126)</f>
        <v/>
      </c>
      <c r="AQ126">
        <f>AQ125+AP125</f>
        <v/>
      </c>
      <c r="AS126" t="inlineStr">
        <is>
          <t>R</t>
        </is>
      </c>
      <c r="AT126" t="n">
        <v>130</v>
      </c>
      <c r="AU126">
        <f>'Recurring Log'!C130&amp;""</f>
        <v/>
      </c>
      <c r="AV126">
        <f>'Recurring Log'!D130&amp;""</f>
        <v/>
      </c>
      <c r="AW126">
        <f>IF('Recurring Log'!E130="","",'Recurring Log'!E130)</f>
        <v/>
      </c>
      <c r="AX126">
        <f>IF('Recurring Log'!G130="","",'Recurring Log'!G130)</f>
        <v/>
      </c>
      <c r="AY126">
        <f>IF('Recurring Log'!H130="","",'Recurring Log'!H130)</f>
        <v/>
      </c>
      <c r="AZ126">
        <f>IF(AU126="","",IF('Recurring Log'!J130="","Not Started",'Recurring Log'!J130))</f>
        <v/>
      </c>
      <c r="BA126">
        <f>'Recurring Log'!L130&amp;""</f>
        <v/>
      </c>
      <c r="BB126">
        <f>'Recurring Log'!M130&amp;""</f>
        <v/>
      </c>
      <c r="BC126">
        <f>'Recurring Log'!N130&amp;""</f>
        <v/>
      </c>
      <c r="BD126">
        <f>'Recurring Log'!O130&amp;""</f>
        <v/>
      </c>
      <c r="BE126">
        <f>IF('Recurring Log'!K130="","",'Recurring Log'!K130)</f>
        <v/>
      </c>
      <c r="BF126">
        <f>IFERROR(MATCH(BA126,Setup!$L$6:$L$9,0),5)</f>
        <v/>
      </c>
      <c r="BG126">
        <f>IF(OR(AZ126="Done",AZ126="Cancelled"),1,0)</f>
        <v/>
      </c>
      <c r="BH126">
        <f>IF(AND(AU126&lt;&gt;"",ISNUMBER(AW126)),1,0)</f>
        <v/>
      </c>
      <c r="BI126">
        <f>IF(BH126=0,0,IF(AND(AW126&gt;='Tasks Filter'!$F$3,AW126&lt;='Tasks Filter'!$F$4,OR('Tasks Filter'!$I$3="",ISNUMBER(SEARCH('Tasks Filter'!$I$3,AU126))),OR('Tasks Filter'!$I$4="",BF126=IFERROR(MATCH('Tasks Filter'!$I$4,Setup!$L$6:$L$9,0),0)),OR('Tasks Filter'!$I$5="Both",AND('Tasks Filter'!$I$5="Yes",BB126="✓"),AND('Tasks Filter'!$I$5="No",BB126&lt;&gt;"✓")),OR('Tasks Filter'!$L$3="",AV126='Tasks Filter'!$L$3),OR('Tasks Filter'!$L$4="",AZ126='Tasks Filter'!$L$4),OR('Tasks Filter'!$L$5="",BC126='Tasks Filter'!$L$5),OR('Tasks Filter'!$O$3="",BD126='Tasks Filter'!$O$3),OR('Tasks Filter'!$O$4="Yes",BG126=0)),1,0))</f>
        <v/>
      </c>
      <c r="BJ126">
        <f>IF(BH126=0,"",IF('Tasks Filter'!$F$6="Descending",-1,1)*CHOOSE(MATCH('Tasks Filter'!$F$5,Lists!$G$2:$G$6,0),AW126,BF126,IFERROR(MATCH(AV126,Setup!$F$6:$F$15,0),99),IFERROR(MATCH(BC126,Setup!$H$6:$H$15,0),99),IFERROR(MATCH(AZ126,Setup!$J$6:$J$11,0),99))*1E+9+(AW126-40000)*10000+125)</f>
        <v/>
      </c>
      <c r="BK126">
        <f>IF(BI126=1,BJ126,"")</f>
        <v/>
      </c>
      <c r="BL126">
        <f>IF(AND(BH126=1,BG126=0,N(AW126)&lt;Setup!$D$7),(AW126-40000)*10000+125,"")</f>
        <v/>
      </c>
      <c r="BM126">
        <f>IF(AND(BH126=1,AZ126&lt;&gt;"Cancelled",N(AW126)&gt;=Dashboard!$AB$3,N(AW126)&lt;=Dashboard!$AB$3+6),(AW126-40000)*100000+BF126*10000+125,"")</f>
        <v/>
      </c>
      <c r="BN126">
        <f>IF(AND(BH126=1,AZ126&lt;&gt;"Cancelled"),BF126*10000+125,"")</f>
        <v/>
      </c>
    </row>
    <row r="127">
      <c r="A127">
        <f>Setup!$D$5+125</f>
        <v/>
      </c>
      <c r="B127">
        <f>IF('Recurring Schedule'!$C$6="","",IF('Recurring Schedule'!$F$6="","",IF(OR($A127&lt;'Recurring Schedule'!$F$6,$A127&gt;'Recurring Schedule'!$P$6),"",IF(IF('Recurring Schedule'!$N$6&gt;0,MOD($A127-'Recurring Schedule'!$F$6,'Recurring Schedule'!$N$6)=0,IF('Recurring Schedule'!$O$6&gt;0,AND(DAY($A127)=MIN(DAY('Recurring Schedule'!$F$6),DAY(EOMONTH($A127,0))),MOD((YEAR($A127)-YEAR('Recurring Schedule'!$F$6))*12+MONTH($A127)-MONTH('Recurring Schedule'!$F$6),'Recurring Schedule'!$O$6)=0),IF('Recurring Schedule'!$E$6="Weekdays",WEEKDAY($A127,2)&lt;=5,$A127='Recurring Schedule'!$F$6))),1,""))))</f>
        <v/>
      </c>
      <c r="C127">
        <f>IF('Recurring Schedule'!$C$7="","",IF('Recurring Schedule'!$F$7="","",IF(OR($A127&lt;'Recurring Schedule'!$F$7,$A127&gt;'Recurring Schedule'!$P$7),"",IF(IF('Recurring Schedule'!$N$7&gt;0,MOD($A127-'Recurring Schedule'!$F$7,'Recurring Schedule'!$N$7)=0,IF('Recurring Schedule'!$O$7&gt;0,AND(DAY($A127)=MIN(DAY('Recurring Schedule'!$F$7),DAY(EOMONTH($A127,0))),MOD((YEAR($A127)-YEAR('Recurring Schedule'!$F$7))*12+MONTH($A127)-MONTH('Recurring Schedule'!$F$7),'Recurring Schedule'!$O$7)=0),IF('Recurring Schedule'!$E$7="Weekdays",WEEKDAY($A127,2)&lt;=5,$A127='Recurring Schedule'!$F$7))),2,""))))</f>
        <v/>
      </c>
      <c r="D127">
        <f>IF('Recurring Schedule'!$C$8="","",IF('Recurring Schedule'!$F$8="","",IF(OR($A127&lt;'Recurring Schedule'!$F$8,$A127&gt;'Recurring Schedule'!$P$8),"",IF(IF('Recurring Schedule'!$N$8&gt;0,MOD($A127-'Recurring Schedule'!$F$8,'Recurring Schedule'!$N$8)=0,IF('Recurring Schedule'!$O$8&gt;0,AND(DAY($A127)=MIN(DAY('Recurring Schedule'!$F$8),DAY(EOMONTH($A127,0))),MOD((YEAR($A127)-YEAR('Recurring Schedule'!$F$8))*12+MONTH($A127)-MONTH('Recurring Schedule'!$F$8),'Recurring Schedule'!$O$8)=0),IF('Recurring Schedule'!$E$8="Weekdays",WEEKDAY($A127,2)&lt;=5,$A127='Recurring Schedule'!$F$8))),3,""))))</f>
        <v/>
      </c>
      <c r="E127">
        <f>IF('Recurring Schedule'!$C$9="","",IF('Recurring Schedule'!$F$9="","",IF(OR($A127&lt;'Recurring Schedule'!$F$9,$A127&gt;'Recurring Schedule'!$P$9),"",IF(IF('Recurring Schedule'!$N$9&gt;0,MOD($A127-'Recurring Schedule'!$F$9,'Recurring Schedule'!$N$9)=0,IF('Recurring Schedule'!$O$9&gt;0,AND(DAY($A127)=MIN(DAY('Recurring Schedule'!$F$9),DAY(EOMONTH($A127,0))),MOD((YEAR($A127)-YEAR('Recurring Schedule'!$F$9))*12+MONTH($A127)-MONTH('Recurring Schedule'!$F$9),'Recurring Schedule'!$O$9)=0),IF('Recurring Schedule'!$E$9="Weekdays",WEEKDAY($A127,2)&lt;=5,$A127='Recurring Schedule'!$F$9))),4,""))))</f>
        <v/>
      </c>
      <c r="F127">
        <f>IF('Recurring Schedule'!$C$10="","",IF('Recurring Schedule'!$F$10="","",IF(OR($A127&lt;'Recurring Schedule'!$F$10,$A127&gt;'Recurring Schedule'!$P$10),"",IF(IF('Recurring Schedule'!$N$10&gt;0,MOD($A127-'Recurring Schedule'!$F$10,'Recurring Schedule'!$N$10)=0,IF('Recurring Schedule'!$O$10&gt;0,AND(DAY($A127)=MIN(DAY('Recurring Schedule'!$F$10),DAY(EOMONTH($A127,0))),MOD((YEAR($A127)-YEAR('Recurring Schedule'!$F$10))*12+MONTH($A127)-MONTH('Recurring Schedule'!$F$10),'Recurring Schedule'!$O$10)=0),IF('Recurring Schedule'!$E$10="Weekdays",WEEKDAY($A127,2)&lt;=5,$A127='Recurring Schedule'!$F$10))),5,""))))</f>
        <v/>
      </c>
      <c r="G127">
        <f>IF('Recurring Schedule'!$C$11="","",IF('Recurring Schedule'!$F$11="","",IF(OR($A127&lt;'Recurring Schedule'!$F$11,$A127&gt;'Recurring Schedule'!$P$11),"",IF(IF('Recurring Schedule'!$N$11&gt;0,MOD($A127-'Recurring Schedule'!$F$11,'Recurring Schedule'!$N$11)=0,IF('Recurring Schedule'!$O$11&gt;0,AND(DAY($A127)=MIN(DAY('Recurring Schedule'!$F$11),DAY(EOMONTH($A127,0))),MOD((YEAR($A127)-YEAR('Recurring Schedule'!$F$11))*12+MONTH($A127)-MONTH('Recurring Schedule'!$F$11),'Recurring Schedule'!$O$11)=0),IF('Recurring Schedule'!$E$11="Weekdays",WEEKDAY($A127,2)&lt;=5,$A127='Recurring Schedule'!$F$11))),6,""))))</f>
        <v/>
      </c>
      <c r="H127">
        <f>IF('Recurring Schedule'!$C$12="","",IF('Recurring Schedule'!$F$12="","",IF(OR($A127&lt;'Recurring Schedule'!$F$12,$A127&gt;'Recurring Schedule'!$P$12),"",IF(IF('Recurring Schedule'!$N$12&gt;0,MOD($A127-'Recurring Schedule'!$F$12,'Recurring Schedule'!$N$12)=0,IF('Recurring Schedule'!$O$12&gt;0,AND(DAY($A127)=MIN(DAY('Recurring Schedule'!$F$12),DAY(EOMONTH($A127,0))),MOD((YEAR($A127)-YEAR('Recurring Schedule'!$F$12))*12+MONTH($A127)-MONTH('Recurring Schedule'!$F$12),'Recurring Schedule'!$O$12)=0),IF('Recurring Schedule'!$E$12="Weekdays",WEEKDAY($A127,2)&lt;=5,$A127='Recurring Schedule'!$F$12))),7,""))))</f>
        <v/>
      </c>
      <c r="I127">
        <f>IF('Recurring Schedule'!$C$13="","",IF('Recurring Schedule'!$F$13="","",IF(OR($A127&lt;'Recurring Schedule'!$F$13,$A127&gt;'Recurring Schedule'!$P$13),"",IF(IF('Recurring Schedule'!$N$13&gt;0,MOD($A127-'Recurring Schedule'!$F$13,'Recurring Schedule'!$N$13)=0,IF('Recurring Schedule'!$O$13&gt;0,AND(DAY($A127)=MIN(DAY('Recurring Schedule'!$F$13),DAY(EOMONTH($A127,0))),MOD((YEAR($A127)-YEAR('Recurring Schedule'!$F$13))*12+MONTH($A127)-MONTH('Recurring Schedule'!$F$13),'Recurring Schedule'!$O$13)=0),IF('Recurring Schedule'!$E$13="Weekdays",WEEKDAY($A127,2)&lt;=5,$A127='Recurring Schedule'!$F$13))),8,""))))</f>
        <v/>
      </c>
      <c r="J127">
        <f>IF('Recurring Schedule'!$C$14="","",IF('Recurring Schedule'!$F$14="","",IF(OR($A127&lt;'Recurring Schedule'!$F$14,$A127&gt;'Recurring Schedule'!$P$14),"",IF(IF('Recurring Schedule'!$N$14&gt;0,MOD($A127-'Recurring Schedule'!$F$14,'Recurring Schedule'!$N$14)=0,IF('Recurring Schedule'!$O$14&gt;0,AND(DAY($A127)=MIN(DAY('Recurring Schedule'!$F$14),DAY(EOMONTH($A127,0))),MOD((YEAR($A127)-YEAR('Recurring Schedule'!$F$14))*12+MONTH($A127)-MONTH('Recurring Schedule'!$F$14),'Recurring Schedule'!$O$14)=0),IF('Recurring Schedule'!$E$14="Weekdays",WEEKDAY($A127,2)&lt;=5,$A127='Recurring Schedule'!$F$14))),9,""))))</f>
        <v/>
      </c>
      <c r="K127">
        <f>IF('Recurring Schedule'!$C$15="","",IF('Recurring Schedule'!$F$15="","",IF(OR($A127&lt;'Recurring Schedule'!$F$15,$A127&gt;'Recurring Schedule'!$P$15),"",IF(IF('Recurring Schedule'!$N$15&gt;0,MOD($A127-'Recurring Schedule'!$F$15,'Recurring Schedule'!$N$15)=0,IF('Recurring Schedule'!$O$15&gt;0,AND(DAY($A127)=MIN(DAY('Recurring Schedule'!$F$15),DAY(EOMONTH($A127,0))),MOD((YEAR($A127)-YEAR('Recurring Schedule'!$F$15))*12+MONTH($A127)-MONTH('Recurring Schedule'!$F$15),'Recurring Schedule'!$O$15)=0),IF('Recurring Schedule'!$E$15="Weekdays",WEEKDAY($A127,2)&lt;=5,$A127='Recurring Schedule'!$F$15))),10,""))))</f>
        <v/>
      </c>
      <c r="L127">
        <f>IF('Recurring Schedule'!$C$16="","",IF('Recurring Schedule'!$F$16="","",IF(OR($A127&lt;'Recurring Schedule'!$F$16,$A127&gt;'Recurring Schedule'!$P$16),"",IF(IF('Recurring Schedule'!$N$16&gt;0,MOD($A127-'Recurring Schedule'!$F$16,'Recurring Schedule'!$N$16)=0,IF('Recurring Schedule'!$O$16&gt;0,AND(DAY($A127)=MIN(DAY('Recurring Schedule'!$F$16),DAY(EOMONTH($A127,0))),MOD((YEAR($A127)-YEAR('Recurring Schedule'!$F$16))*12+MONTH($A127)-MONTH('Recurring Schedule'!$F$16),'Recurring Schedule'!$O$16)=0),IF('Recurring Schedule'!$E$16="Weekdays",WEEKDAY($A127,2)&lt;=5,$A127='Recurring Schedule'!$F$16))),11,""))))</f>
        <v/>
      </c>
      <c r="M127">
        <f>IF('Recurring Schedule'!$C$17="","",IF('Recurring Schedule'!$F$17="","",IF(OR($A127&lt;'Recurring Schedule'!$F$17,$A127&gt;'Recurring Schedule'!$P$17),"",IF(IF('Recurring Schedule'!$N$17&gt;0,MOD($A127-'Recurring Schedule'!$F$17,'Recurring Schedule'!$N$17)=0,IF('Recurring Schedule'!$O$17&gt;0,AND(DAY($A127)=MIN(DAY('Recurring Schedule'!$F$17),DAY(EOMONTH($A127,0))),MOD((YEAR($A127)-YEAR('Recurring Schedule'!$F$17))*12+MONTH($A127)-MONTH('Recurring Schedule'!$F$17),'Recurring Schedule'!$O$17)=0),IF('Recurring Schedule'!$E$17="Weekdays",WEEKDAY($A127,2)&lt;=5,$A127='Recurring Schedule'!$F$17))),12,""))))</f>
        <v/>
      </c>
      <c r="N127">
        <f>IF('Recurring Schedule'!$C$18="","",IF('Recurring Schedule'!$F$18="","",IF(OR($A127&lt;'Recurring Schedule'!$F$18,$A127&gt;'Recurring Schedule'!$P$18),"",IF(IF('Recurring Schedule'!$N$18&gt;0,MOD($A127-'Recurring Schedule'!$F$18,'Recurring Schedule'!$N$18)=0,IF('Recurring Schedule'!$O$18&gt;0,AND(DAY($A127)=MIN(DAY('Recurring Schedule'!$F$18),DAY(EOMONTH($A127,0))),MOD((YEAR($A127)-YEAR('Recurring Schedule'!$F$18))*12+MONTH($A127)-MONTH('Recurring Schedule'!$F$18),'Recurring Schedule'!$O$18)=0),IF('Recurring Schedule'!$E$18="Weekdays",WEEKDAY($A127,2)&lt;=5,$A127='Recurring Schedule'!$F$18))),13,""))))</f>
        <v/>
      </c>
      <c r="O127">
        <f>IF('Recurring Schedule'!$C$19="","",IF('Recurring Schedule'!$F$19="","",IF(OR($A127&lt;'Recurring Schedule'!$F$19,$A127&gt;'Recurring Schedule'!$P$19),"",IF(IF('Recurring Schedule'!$N$19&gt;0,MOD($A127-'Recurring Schedule'!$F$19,'Recurring Schedule'!$N$19)=0,IF('Recurring Schedule'!$O$19&gt;0,AND(DAY($A127)=MIN(DAY('Recurring Schedule'!$F$19),DAY(EOMONTH($A127,0))),MOD((YEAR($A127)-YEAR('Recurring Schedule'!$F$19))*12+MONTH($A127)-MONTH('Recurring Schedule'!$F$19),'Recurring Schedule'!$O$19)=0),IF('Recurring Schedule'!$E$19="Weekdays",WEEKDAY($A127,2)&lt;=5,$A127='Recurring Schedule'!$F$19))),14,""))))</f>
        <v/>
      </c>
      <c r="P127">
        <f>IF('Recurring Schedule'!$C$20="","",IF('Recurring Schedule'!$F$20="","",IF(OR($A127&lt;'Recurring Schedule'!$F$20,$A127&gt;'Recurring Schedule'!$P$20),"",IF(IF('Recurring Schedule'!$N$20&gt;0,MOD($A127-'Recurring Schedule'!$F$20,'Recurring Schedule'!$N$20)=0,IF('Recurring Schedule'!$O$20&gt;0,AND(DAY($A127)=MIN(DAY('Recurring Schedule'!$F$20),DAY(EOMONTH($A127,0))),MOD((YEAR($A127)-YEAR('Recurring Schedule'!$F$20))*12+MONTH($A127)-MONTH('Recurring Schedule'!$F$20),'Recurring Schedule'!$O$20)=0),IF('Recurring Schedule'!$E$20="Weekdays",WEEKDAY($A127,2)&lt;=5,$A127='Recurring Schedule'!$F$20))),15,""))))</f>
        <v/>
      </c>
      <c r="Q127">
        <f>IF('Recurring Schedule'!$C$21="","",IF('Recurring Schedule'!$F$21="","",IF(OR($A127&lt;'Recurring Schedule'!$F$21,$A127&gt;'Recurring Schedule'!$P$21),"",IF(IF('Recurring Schedule'!$N$21&gt;0,MOD($A127-'Recurring Schedule'!$F$21,'Recurring Schedule'!$N$21)=0,IF('Recurring Schedule'!$O$21&gt;0,AND(DAY($A127)=MIN(DAY('Recurring Schedule'!$F$21),DAY(EOMONTH($A127,0))),MOD((YEAR($A127)-YEAR('Recurring Schedule'!$F$21))*12+MONTH($A127)-MONTH('Recurring Schedule'!$F$21),'Recurring Schedule'!$O$21)=0),IF('Recurring Schedule'!$E$21="Weekdays",WEEKDAY($A127,2)&lt;=5,$A127='Recurring Schedule'!$F$21))),16,""))))</f>
        <v/>
      </c>
      <c r="R127">
        <f>IF('Recurring Schedule'!$C$22="","",IF('Recurring Schedule'!$F$22="","",IF(OR($A127&lt;'Recurring Schedule'!$F$22,$A127&gt;'Recurring Schedule'!$P$22),"",IF(IF('Recurring Schedule'!$N$22&gt;0,MOD($A127-'Recurring Schedule'!$F$22,'Recurring Schedule'!$N$22)=0,IF('Recurring Schedule'!$O$22&gt;0,AND(DAY($A127)=MIN(DAY('Recurring Schedule'!$F$22),DAY(EOMONTH($A127,0))),MOD((YEAR($A127)-YEAR('Recurring Schedule'!$F$22))*12+MONTH($A127)-MONTH('Recurring Schedule'!$F$22),'Recurring Schedule'!$O$22)=0),IF('Recurring Schedule'!$E$22="Weekdays",WEEKDAY($A127,2)&lt;=5,$A127='Recurring Schedule'!$F$22))),17,""))))</f>
        <v/>
      </c>
      <c r="S127">
        <f>IF('Recurring Schedule'!$C$23="","",IF('Recurring Schedule'!$F$23="","",IF(OR($A127&lt;'Recurring Schedule'!$F$23,$A127&gt;'Recurring Schedule'!$P$23),"",IF(IF('Recurring Schedule'!$N$23&gt;0,MOD($A127-'Recurring Schedule'!$F$23,'Recurring Schedule'!$N$23)=0,IF('Recurring Schedule'!$O$23&gt;0,AND(DAY($A127)=MIN(DAY('Recurring Schedule'!$F$23),DAY(EOMONTH($A127,0))),MOD((YEAR($A127)-YEAR('Recurring Schedule'!$F$23))*12+MONTH($A127)-MONTH('Recurring Schedule'!$F$23),'Recurring Schedule'!$O$23)=0),IF('Recurring Schedule'!$E$23="Weekdays",WEEKDAY($A127,2)&lt;=5,$A127='Recurring Schedule'!$F$23))),18,""))))</f>
        <v/>
      </c>
      <c r="T127">
        <f>IF('Recurring Schedule'!$C$24="","",IF('Recurring Schedule'!$F$24="","",IF(OR($A127&lt;'Recurring Schedule'!$F$24,$A127&gt;'Recurring Schedule'!$P$24),"",IF(IF('Recurring Schedule'!$N$24&gt;0,MOD($A127-'Recurring Schedule'!$F$24,'Recurring Schedule'!$N$24)=0,IF('Recurring Schedule'!$O$24&gt;0,AND(DAY($A127)=MIN(DAY('Recurring Schedule'!$F$24),DAY(EOMONTH($A127,0))),MOD((YEAR($A127)-YEAR('Recurring Schedule'!$F$24))*12+MONTH($A127)-MONTH('Recurring Schedule'!$F$24),'Recurring Schedule'!$O$24)=0),IF('Recurring Schedule'!$E$24="Weekdays",WEEKDAY($A127,2)&lt;=5,$A127='Recurring Schedule'!$F$24))),19,""))))</f>
        <v/>
      </c>
      <c r="U127">
        <f>IF('Recurring Schedule'!$C$25="","",IF('Recurring Schedule'!$F$25="","",IF(OR($A127&lt;'Recurring Schedule'!$F$25,$A127&gt;'Recurring Schedule'!$P$25),"",IF(IF('Recurring Schedule'!$N$25&gt;0,MOD($A127-'Recurring Schedule'!$F$25,'Recurring Schedule'!$N$25)=0,IF('Recurring Schedule'!$O$25&gt;0,AND(DAY($A127)=MIN(DAY('Recurring Schedule'!$F$25),DAY(EOMONTH($A127,0))),MOD((YEAR($A127)-YEAR('Recurring Schedule'!$F$25))*12+MONTH($A127)-MONTH('Recurring Schedule'!$F$25),'Recurring Schedule'!$O$25)=0),IF('Recurring Schedule'!$E$25="Weekdays",WEEKDAY($A127,2)&lt;=5,$A127='Recurring Schedule'!$F$25))),20,""))))</f>
        <v/>
      </c>
      <c r="V127">
        <f>IF('Recurring Schedule'!$C$26="","",IF('Recurring Schedule'!$F$26="","",IF(OR($A127&lt;'Recurring Schedule'!$F$26,$A127&gt;'Recurring Schedule'!$P$26),"",IF(IF('Recurring Schedule'!$N$26&gt;0,MOD($A127-'Recurring Schedule'!$F$26,'Recurring Schedule'!$N$26)=0,IF('Recurring Schedule'!$O$26&gt;0,AND(DAY($A127)=MIN(DAY('Recurring Schedule'!$F$26),DAY(EOMONTH($A127,0))),MOD((YEAR($A127)-YEAR('Recurring Schedule'!$F$26))*12+MONTH($A127)-MONTH('Recurring Schedule'!$F$26),'Recurring Schedule'!$O$26)=0),IF('Recurring Schedule'!$E$26="Weekdays",WEEKDAY($A127,2)&lt;=5,$A127='Recurring Schedule'!$F$26))),21,""))))</f>
        <v/>
      </c>
      <c r="W127">
        <f>IF('Recurring Schedule'!$C$27="","",IF('Recurring Schedule'!$F$27="","",IF(OR($A127&lt;'Recurring Schedule'!$F$27,$A127&gt;'Recurring Schedule'!$P$27),"",IF(IF('Recurring Schedule'!$N$27&gt;0,MOD($A127-'Recurring Schedule'!$F$27,'Recurring Schedule'!$N$27)=0,IF('Recurring Schedule'!$O$27&gt;0,AND(DAY($A127)=MIN(DAY('Recurring Schedule'!$F$27),DAY(EOMONTH($A127,0))),MOD((YEAR($A127)-YEAR('Recurring Schedule'!$F$27))*12+MONTH($A127)-MONTH('Recurring Schedule'!$F$27),'Recurring Schedule'!$O$27)=0),IF('Recurring Schedule'!$E$27="Weekdays",WEEKDAY($A127,2)&lt;=5,$A127='Recurring Schedule'!$F$27))),22,""))))</f>
        <v/>
      </c>
      <c r="X127">
        <f>IF('Recurring Schedule'!$C$28="","",IF('Recurring Schedule'!$F$28="","",IF(OR($A127&lt;'Recurring Schedule'!$F$28,$A127&gt;'Recurring Schedule'!$P$28),"",IF(IF('Recurring Schedule'!$N$28&gt;0,MOD($A127-'Recurring Schedule'!$F$28,'Recurring Schedule'!$N$28)=0,IF('Recurring Schedule'!$O$28&gt;0,AND(DAY($A127)=MIN(DAY('Recurring Schedule'!$F$28),DAY(EOMONTH($A127,0))),MOD((YEAR($A127)-YEAR('Recurring Schedule'!$F$28))*12+MONTH($A127)-MONTH('Recurring Schedule'!$F$28),'Recurring Schedule'!$O$28)=0),IF('Recurring Schedule'!$E$28="Weekdays",WEEKDAY($A127,2)&lt;=5,$A127='Recurring Schedule'!$F$28))),23,""))))</f>
        <v/>
      </c>
      <c r="Y127">
        <f>IF('Recurring Schedule'!$C$29="","",IF('Recurring Schedule'!$F$29="","",IF(OR($A127&lt;'Recurring Schedule'!$F$29,$A127&gt;'Recurring Schedule'!$P$29),"",IF(IF('Recurring Schedule'!$N$29&gt;0,MOD($A127-'Recurring Schedule'!$F$29,'Recurring Schedule'!$N$29)=0,IF('Recurring Schedule'!$O$29&gt;0,AND(DAY($A127)=MIN(DAY('Recurring Schedule'!$F$29),DAY(EOMONTH($A127,0))),MOD((YEAR($A127)-YEAR('Recurring Schedule'!$F$29))*12+MONTH($A127)-MONTH('Recurring Schedule'!$F$29),'Recurring Schedule'!$O$29)=0),IF('Recurring Schedule'!$E$29="Weekdays",WEEKDAY($A127,2)&lt;=5,$A127='Recurring Schedule'!$F$29))),24,""))))</f>
        <v/>
      </c>
      <c r="Z127">
        <f>IF('Recurring Schedule'!$C$30="","",IF('Recurring Schedule'!$F$30="","",IF(OR($A127&lt;'Recurring Schedule'!$F$30,$A127&gt;'Recurring Schedule'!$P$30),"",IF(IF('Recurring Schedule'!$N$30&gt;0,MOD($A127-'Recurring Schedule'!$F$30,'Recurring Schedule'!$N$30)=0,IF('Recurring Schedule'!$O$30&gt;0,AND(DAY($A127)=MIN(DAY('Recurring Schedule'!$F$30),DAY(EOMONTH($A127,0))),MOD((YEAR($A127)-YEAR('Recurring Schedule'!$F$30))*12+MONTH($A127)-MONTH('Recurring Schedule'!$F$30),'Recurring Schedule'!$O$30)=0),IF('Recurring Schedule'!$E$30="Weekdays",WEEKDAY($A127,2)&lt;=5,$A127='Recurring Schedule'!$F$30))),25,""))))</f>
        <v/>
      </c>
      <c r="AA127">
        <f>IF('Recurring Schedule'!$C$31="","",IF('Recurring Schedule'!$F$31="","",IF(OR($A127&lt;'Recurring Schedule'!$F$31,$A127&gt;'Recurring Schedule'!$P$31),"",IF(IF('Recurring Schedule'!$N$31&gt;0,MOD($A127-'Recurring Schedule'!$F$31,'Recurring Schedule'!$N$31)=0,IF('Recurring Schedule'!$O$31&gt;0,AND(DAY($A127)=MIN(DAY('Recurring Schedule'!$F$31),DAY(EOMONTH($A127,0))),MOD((YEAR($A127)-YEAR('Recurring Schedule'!$F$31))*12+MONTH($A127)-MONTH('Recurring Schedule'!$F$31),'Recurring Schedule'!$O$31)=0),IF('Recurring Schedule'!$E$31="Weekdays",WEEKDAY($A127,2)&lt;=5,$A127='Recurring Schedule'!$F$31))),26,""))))</f>
        <v/>
      </c>
      <c r="AB127">
        <f>IF('Recurring Schedule'!$C$32="","",IF('Recurring Schedule'!$F$32="","",IF(OR($A127&lt;'Recurring Schedule'!$F$32,$A127&gt;'Recurring Schedule'!$P$32),"",IF(IF('Recurring Schedule'!$N$32&gt;0,MOD($A127-'Recurring Schedule'!$F$32,'Recurring Schedule'!$N$32)=0,IF('Recurring Schedule'!$O$32&gt;0,AND(DAY($A127)=MIN(DAY('Recurring Schedule'!$F$32),DAY(EOMONTH($A127,0))),MOD((YEAR($A127)-YEAR('Recurring Schedule'!$F$32))*12+MONTH($A127)-MONTH('Recurring Schedule'!$F$32),'Recurring Schedule'!$O$32)=0),IF('Recurring Schedule'!$E$32="Weekdays",WEEKDAY($A127,2)&lt;=5,$A127='Recurring Schedule'!$F$32))),27,""))))</f>
        <v/>
      </c>
      <c r="AC127">
        <f>IF('Recurring Schedule'!$C$33="","",IF('Recurring Schedule'!$F$33="","",IF(OR($A127&lt;'Recurring Schedule'!$F$33,$A127&gt;'Recurring Schedule'!$P$33),"",IF(IF('Recurring Schedule'!$N$33&gt;0,MOD($A127-'Recurring Schedule'!$F$33,'Recurring Schedule'!$N$33)=0,IF('Recurring Schedule'!$O$33&gt;0,AND(DAY($A127)=MIN(DAY('Recurring Schedule'!$F$33),DAY(EOMONTH($A127,0))),MOD((YEAR($A127)-YEAR('Recurring Schedule'!$F$33))*12+MONTH($A127)-MONTH('Recurring Schedule'!$F$33),'Recurring Schedule'!$O$33)=0),IF('Recurring Schedule'!$E$33="Weekdays",WEEKDAY($A127,2)&lt;=5,$A127='Recurring Schedule'!$F$33))),28,""))))</f>
        <v/>
      </c>
      <c r="AD127">
        <f>IF('Recurring Schedule'!$C$34="","",IF('Recurring Schedule'!$F$34="","",IF(OR($A127&lt;'Recurring Schedule'!$F$34,$A127&gt;'Recurring Schedule'!$P$34),"",IF(IF('Recurring Schedule'!$N$34&gt;0,MOD($A127-'Recurring Schedule'!$F$34,'Recurring Schedule'!$N$34)=0,IF('Recurring Schedule'!$O$34&gt;0,AND(DAY($A127)=MIN(DAY('Recurring Schedule'!$F$34),DAY(EOMONTH($A127,0))),MOD((YEAR($A127)-YEAR('Recurring Schedule'!$F$34))*12+MONTH($A127)-MONTH('Recurring Schedule'!$F$34),'Recurring Schedule'!$O$34)=0),IF('Recurring Schedule'!$E$34="Weekdays",WEEKDAY($A127,2)&lt;=5,$A127='Recurring Schedule'!$F$34))),29,""))))</f>
        <v/>
      </c>
      <c r="AE127">
        <f>IF('Recurring Schedule'!$C$35="","",IF('Recurring Schedule'!$F$35="","",IF(OR($A127&lt;'Recurring Schedule'!$F$35,$A127&gt;'Recurring Schedule'!$P$35),"",IF(IF('Recurring Schedule'!$N$35&gt;0,MOD($A127-'Recurring Schedule'!$F$35,'Recurring Schedule'!$N$35)=0,IF('Recurring Schedule'!$O$35&gt;0,AND(DAY($A127)=MIN(DAY('Recurring Schedule'!$F$35),DAY(EOMONTH($A127,0))),MOD((YEAR($A127)-YEAR('Recurring Schedule'!$F$35))*12+MONTH($A127)-MONTH('Recurring Schedule'!$F$35),'Recurring Schedule'!$O$35)=0),IF('Recurring Schedule'!$E$35="Weekdays",WEEKDAY($A127,2)&lt;=5,$A127='Recurring Schedule'!$F$35))),30,""))))</f>
        <v/>
      </c>
      <c r="AF127">
        <f>IF('Recurring Schedule'!$C$36="","",IF('Recurring Schedule'!$F$36="","",IF(OR($A127&lt;'Recurring Schedule'!$F$36,$A127&gt;'Recurring Schedule'!$P$36),"",IF(IF('Recurring Schedule'!$N$36&gt;0,MOD($A127-'Recurring Schedule'!$F$36,'Recurring Schedule'!$N$36)=0,IF('Recurring Schedule'!$O$36&gt;0,AND(DAY($A127)=MIN(DAY('Recurring Schedule'!$F$36),DAY(EOMONTH($A127,0))),MOD((YEAR($A127)-YEAR('Recurring Schedule'!$F$36))*12+MONTH($A127)-MONTH('Recurring Schedule'!$F$36),'Recurring Schedule'!$O$36)=0),IF('Recurring Schedule'!$E$36="Weekdays",WEEKDAY($A127,2)&lt;=5,$A127='Recurring Schedule'!$F$36))),31,""))))</f>
        <v/>
      </c>
      <c r="AG127">
        <f>IF('Recurring Schedule'!$C$37="","",IF('Recurring Schedule'!$F$37="","",IF(OR($A127&lt;'Recurring Schedule'!$F$37,$A127&gt;'Recurring Schedule'!$P$37),"",IF(IF('Recurring Schedule'!$N$37&gt;0,MOD($A127-'Recurring Schedule'!$F$37,'Recurring Schedule'!$N$37)=0,IF('Recurring Schedule'!$O$37&gt;0,AND(DAY($A127)=MIN(DAY('Recurring Schedule'!$F$37),DAY(EOMONTH($A127,0))),MOD((YEAR($A127)-YEAR('Recurring Schedule'!$F$37))*12+MONTH($A127)-MONTH('Recurring Schedule'!$F$37),'Recurring Schedule'!$O$37)=0),IF('Recurring Schedule'!$E$37="Weekdays",WEEKDAY($A127,2)&lt;=5,$A127='Recurring Schedule'!$F$37))),32,""))))</f>
        <v/>
      </c>
      <c r="AH127">
        <f>IF('Recurring Schedule'!$C$38="","",IF('Recurring Schedule'!$F$38="","",IF(OR($A127&lt;'Recurring Schedule'!$F$38,$A127&gt;'Recurring Schedule'!$P$38),"",IF(IF('Recurring Schedule'!$N$38&gt;0,MOD($A127-'Recurring Schedule'!$F$38,'Recurring Schedule'!$N$38)=0,IF('Recurring Schedule'!$O$38&gt;0,AND(DAY($A127)=MIN(DAY('Recurring Schedule'!$F$38),DAY(EOMONTH($A127,0))),MOD((YEAR($A127)-YEAR('Recurring Schedule'!$F$38))*12+MONTH($A127)-MONTH('Recurring Schedule'!$F$38),'Recurring Schedule'!$O$38)=0),IF('Recurring Schedule'!$E$38="Weekdays",WEEKDAY($A127,2)&lt;=5,$A127='Recurring Schedule'!$F$38))),33,""))))</f>
        <v/>
      </c>
      <c r="AI127">
        <f>IF('Recurring Schedule'!$C$39="","",IF('Recurring Schedule'!$F$39="","",IF(OR($A127&lt;'Recurring Schedule'!$F$39,$A127&gt;'Recurring Schedule'!$P$39),"",IF(IF('Recurring Schedule'!$N$39&gt;0,MOD($A127-'Recurring Schedule'!$F$39,'Recurring Schedule'!$N$39)=0,IF('Recurring Schedule'!$O$39&gt;0,AND(DAY($A127)=MIN(DAY('Recurring Schedule'!$F$39),DAY(EOMONTH($A127,0))),MOD((YEAR($A127)-YEAR('Recurring Schedule'!$F$39))*12+MONTH($A127)-MONTH('Recurring Schedule'!$F$39),'Recurring Schedule'!$O$39)=0),IF('Recurring Schedule'!$E$39="Weekdays",WEEKDAY($A127,2)&lt;=5,$A127='Recurring Schedule'!$F$39))),34,""))))</f>
        <v/>
      </c>
      <c r="AJ127">
        <f>IF('Recurring Schedule'!$C$40="","",IF('Recurring Schedule'!$F$40="","",IF(OR($A127&lt;'Recurring Schedule'!$F$40,$A127&gt;'Recurring Schedule'!$P$40),"",IF(IF('Recurring Schedule'!$N$40&gt;0,MOD($A127-'Recurring Schedule'!$F$40,'Recurring Schedule'!$N$40)=0,IF('Recurring Schedule'!$O$40&gt;0,AND(DAY($A127)=MIN(DAY('Recurring Schedule'!$F$40),DAY(EOMONTH($A127,0))),MOD((YEAR($A127)-YEAR('Recurring Schedule'!$F$40))*12+MONTH($A127)-MONTH('Recurring Schedule'!$F$40),'Recurring Schedule'!$O$40)=0),IF('Recurring Schedule'!$E$40="Weekdays",WEEKDAY($A127,2)&lt;=5,$A127='Recurring Schedule'!$F$40))),35,""))))</f>
        <v/>
      </c>
      <c r="AK127">
        <f>IF('Recurring Schedule'!$C$41="","",IF('Recurring Schedule'!$F$41="","",IF(OR($A127&lt;'Recurring Schedule'!$F$41,$A127&gt;'Recurring Schedule'!$P$41),"",IF(IF('Recurring Schedule'!$N$41&gt;0,MOD($A127-'Recurring Schedule'!$F$41,'Recurring Schedule'!$N$41)=0,IF('Recurring Schedule'!$O$41&gt;0,AND(DAY($A127)=MIN(DAY('Recurring Schedule'!$F$41),DAY(EOMONTH($A127,0))),MOD((YEAR($A127)-YEAR('Recurring Schedule'!$F$41))*12+MONTH($A127)-MONTH('Recurring Schedule'!$F$41),'Recurring Schedule'!$O$41)=0),IF('Recurring Schedule'!$E$41="Weekdays",WEEKDAY($A127,2)&lt;=5,$A127='Recurring Schedule'!$F$41))),36,""))))</f>
        <v/>
      </c>
      <c r="AL127">
        <f>IF('Recurring Schedule'!$C$42="","",IF('Recurring Schedule'!$F$42="","",IF(OR($A127&lt;'Recurring Schedule'!$F$42,$A127&gt;'Recurring Schedule'!$P$42),"",IF(IF('Recurring Schedule'!$N$42&gt;0,MOD($A127-'Recurring Schedule'!$F$42,'Recurring Schedule'!$N$42)=0,IF('Recurring Schedule'!$O$42&gt;0,AND(DAY($A127)=MIN(DAY('Recurring Schedule'!$F$42),DAY(EOMONTH($A127,0))),MOD((YEAR($A127)-YEAR('Recurring Schedule'!$F$42))*12+MONTH($A127)-MONTH('Recurring Schedule'!$F$42),'Recurring Schedule'!$O$42)=0),IF('Recurring Schedule'!$E$42="Weekdays",WEEKDAY($A127,2)&lt;=5,$A127='Recurring Schedule'!$F$42))),37,""))))</f>
        <v/>
      </c>
      <c r="AM127">
        <f>IF('Recurring Schedule'!$C$43="","",IF('Recurring Schedule'!$F$43="","",IF(OR($A127&lt;'Recurring Schedule'!$F$43,$A127&gt;'Recurring Schedule'!$P$43),"",IF(IF('Recurring Schedule'!$N$43&gt;0,MOD($A127-'Recurring Schedule'!$F$43,'Recurring Schedule'!$N$43)=0,IF('Recurring Schedule'!$O$43&gt;0,AND(DAY($A127)=MIN(DAY('Recurring Schedule'!$F$43),DAY(EOMONTH($A127,0))),MOD((YEAR($A127)-YEAR('Recurring Schedule'!$F$43))*12+MONTH($A127)-MONTH('Recurring Schedule'!$F$43),'Recurring Schedule'!$O$43)=0),IF('Recurring Schedule'!$E$43="Weekdays",WEEKDAY($A127,2)&lt;=5,$A127='Recurring Schedule'!$F$43))),38,""))))</f>
        <v/>
      </c>
      <c r="AN127">
        <f>IF('Recurring Schedule'!$C$44="","",IF('Recurring Schedule'!$F$44="","",IF(OR($A127&lt;'Recurring Schedule'!$F$44,$A127&gt;'Recurring Schedule'!$P$44),"",IF(IF('Recurring Schedule'!$N$44&gt;0,MOD($A127-'Recurring Schedule'!$F$44,'Recurring Schedule'!$N$44)=0,IF('Recurring Schedule'!$O$44&gt;0,AND(DAY($A127)=MIN(DAY('Recurring Schedule'!$F$44),DAY(EOMONTH($A127,0))),MOD((YEAR($A127)-YEAR('Recurring Schedule'!$F$44))*12+MONTH($A127)-MONTH('Recurring Schedule'!$F$44),'Recurring Schedule'!$O$44)=0),IF('Recurring Schedule'!$E$44="Weekdays",WEEKDAY($A127,2)&lt;=5,$A127='Recurring Schedule'!$F$44))),39,""))))</f>
        <v/>
      </c>
      <c r="AO127">
        <f>IF('Recurring Schedule'!$C$45="","",IF('Recurring Schedule'!$F$45="","",IF(OR($A127&lt;'Recurring Schedule'!$F$45,$A127&gt;'Recurring Schedule'!$P$45),"",IF(IF('Recurring Schedule'!$N$45&gt;0,MOD($A127-'Recurring Schedule'!$F$45,'Recurring Schedule'!$N$45)=0,IF('Recurring Schedule'!$O$45&gt;0,AND(DAY($A127)=MIN(DAY('Recurring Schedule'!$F$45),DAY(EOMONTH($A127,0))),MOD((YEAR($A127)-YEAR('Recurring Schedule'!$F$45))*12+MONTH($A127)-MONTH('Recurring Schedule'!$F$45),'Recurring Schedule'!$O$45)=0),IF('Recurring Schedule'!$E$45="Weekdays",WEEKDAY($A127,2)&lt;=5,$A127='Recurring Schedule'!$F$45))),40,""))))</f>
        <v/>
      </c>
      <c r="AP127">
        <f>COUNT(B127:AO127)</f>
        <v/>
      </c>
      <c r="AQ127">
        <f>AQ126+AP126</f>
        <v/>
      </c>
      <c r="AS127" t="inlineStr">
        <is>
          <t>R</t>
        </is>
      </c>
      <c r="AT127" t="n">
        <v>131</v>
      </c>
      <c r="AU127">
        <f>'Recurring Log'!C131&amp;""</f>
        <v/>
      </c>
      <c r="AV127">
        <f>'Recurring Log'!D131&amp;""</f>
        <v/>
      </c>
      <c r="AW127">
        <f>IF('Recurring Log'!E131="","",'Recurring Log'!E131)</f>
        <v/>
      </c>
      <c r="AX127">
        <f>IF('Recurring Log'!G131="","",'Recurring Log'!G131)</f>
        <v/>
      </c>
      <c r="AY127">
        <f>IF('Recurring Log'!H131="","",'Recurring Log'!H131)</f>
        <v/>
      </c>
      <c r="AZ127">
        <f>IF(AU127="","",IF('Recurring Log'!J131="","Not Started",'Recurring Log'!J131))</f>
        <v/>
      </c>
      <c r="BA127">
        <f>'Recurring Log'!L131&amp;""</f>
        <v/>
      </c>
      <c r="BB127">
        <f>'Recurring Log'!M131&amp;""</f>
        <v/>
      </c>
      <c r="BC127">
        <f>'Recurring Log'!N131&amp;""</f>
        <v/>
      </c>
      <c r="BD127">
        <f>'Recurring Log'!O131&amp;""</f>
        <v/>
      </c>
      <c r="BE127">
        <f>IF('Recurring Log'!K131="","",'Recurring Log'!K131)</f>
        <v/>
      </c>
      <c r="BF127">
        <f>IFERROR(MATCH(BA127,Setup!$L$6:$L$9,0),5)</f>
        <v/>
      </c>
      <c r="BG127">
        <f>IF(OR(AZ127="Done",AZ127="Cancelled"),1,0)</f>
        <v/>
      </c>
      <c r="BH127">
        <f>IF(AND(AU127&lt;&gt;"",ISNUMBER(AW127)),1,0)</f>
        <v/>
      </c>
      <c r="BI127">
        <f>IF(BH127=0,0,IF(AND(AW127&gt;='Tasks Filter'!$F$3,AW127&lt;='Tasks Filter'!$F$4,OR('Tasks Filter'!$I$3="",ISNUMBER(SEARCH('Tasks Filter'!$I$3,AU127))),OR('Tasks Filter'!$I$4="",BF127=IFERROR(MATCH('Tasks Filter'!$I$4,Setup!$L$6:$L$9,0),0)),OR('Tasks Filter'!$I$5="Both",AND('Tasks Filter'!$I$5="Yes",BB127="✓"),AND('Tasks Filter'!$I$5="No",BB127&lt;&gt;"✓")),OR('Tasks Filter'!$L$3="",AV127='Tasks Filter'!$L$3),OR('Tasks Filter'!$L$4="",AZ127='Tasks Filter'!$L$4),OR('Tasks Filter'!$L$5="",BC127='Tasks Filter'!$L$5),OR('Tasks Filter'!$O$3="",BD127='Tasks Filter'!$O$3),OR('Tasks Filter'!$O$4="Yes",BG127=0)),1,0))</f>
        <v/>
      </c>
      <c r="BJ127">
        <f>IF(BH127=0,"",IF('Tasks Filter'!$F$6="Descending",-1,1)*CHOOSE(MATCH('Tasks Filter'!$F$5,Lists!$G$2:$G$6,0),AW127,BF127,IFERROR(MATCH(AV127,Setup!$F$6:$F$15,0),99),IFERROR(MATCH(BC127,Setup!$H$6:$H$15,0),99),IFERROR(MATCH(AZ127,Setup!$J$6:$J$11,0),99))*1E+9+(AW127-40000)*10000+126)</f>
        <v/>
      </c>
      <c r="BK127">
        <f>IF(BI127=1,BJ127,"")</f>
        <v/>
      </c>
      <c r="BL127">
        <f>IF(AND(BH127=1,BG127=0,N(AW127)&lt;Setup!$D$7),(AW127-40000)*10000+126,"")</f>
        <v/>
      </c>
      <c r="BM127">
        <f>IF(AND(BH127=1,AZ127&lt;&gt;"Cancelled",N(AW127)&gt;=Dashboard!$AB$3,N(AW127)&lt;=Dashboard!$AB$3+6),(AW127-40000)*100000+BF127*10000+126,"")</f>
        <v/>
      </c>
      <c r="BN127">
        <f>IF(AND(BH127=1,AZ127&lt;&gt;"Cancelled"),BF127*10000+126,"")</f>
        <v/>
      </c>
    </row>
    <row r="128">
      <c r="A128">
        <f>Setup!$D$5+126</f>
        <v/>
      </c>
      <c r="B128">
        <f>IF('Recurring Schedule'!$C$6="","",IF('Recurring Schedule'!$F$6="","",IF(OR($A128&lt;'Recurring Schedule'!$F$6,$A128&gt;'Recurring Schedule'!$P$6),"",IF(IF('Recurring Schedule'!$N$6&gt;0,MOD($A128-'Recurring Schedule'!$F$6,'Recurring Schedule'!$N$6)=0,IF('Recurring Schedule'!$O$6&gt;0,AND(DAY($A128)=MIN(DAY('Recurring Schedule'!$F$6),DAY(EOMONTH($A128,0))),MOD((YEAR($A128)-YEAR('Recurring Schedule'!$F$6))*12+MONTH($A128)-MONTH('Recurring Schedule'!$F$6),'Recurring Schedule'!$O$6)=0),IF('Recurring Schedule'!$E$6="Weekdays",WEEKDAY($A128,2)&lt;=5,$A128='Recurring Schedule'!$F$6))),1,""))))</f>
        <v/>
      </c>
      <c r="C128">
        <f>IF('Recurring Schedule'!$C$7="","",IF('Recurring Schedule'!$F$7="","",IF(OR($A128&lt;'Recurring Schedule'!$F$7,$A128&gt;'Recurring Schedule'!$P$7),"",IF(IF('Recurring Schedule'!$N$7&gt;0,MOD($A128-'Recurring Schedule'!$F$7,'Recurring Schedule'!$N$7)=0,IF('Recurring Schedule'!$O$7&gt;0,AND(DAY($A128)=MIN(DAY('Recurring Schedule'!$F$7),DAY(EOMONTH($A128,0))),MOD((YEAR($A128)-YEAR('Recurring Schedule'!$F$7))*12+MONTH($A128)-MONTH('Recurring Schedule'!$F$7),'Recurring Schedule'!$O$7)=0),IF('Recurring Schedule'!$E$7="Weekdays",WEEKDAY($A128,2)&lt;=5,$A128='Recurring Schedule'!$F$7))),2,""))))</f>
        <v/>
      </c>
      <c r="D128">
        <f>IF('Recurring Schedule'!$C$8="","",IF('Recurring Schedule'!$F$8="","",IF(OR($A128&lt;'Recurring Schedule'!$F$8,$A128&gt;'Recurring Schedule'!$P$8),"",IF(IF('Recurring Schedule'!$N$8&gt;0,MOD($A128-'Recurring Schedule'!$F$8,'Recurring Schedule'!$N$8)=0,IF('Recurring Schedule'!$O$8&gt;0,AND(DAY($A128)=MIN(DAY('Recurring Schedule'!$F$8),DAY(EOMONTH($A128,0))),MOD((YEAR($A128)-YEAR('Recurring Schedule'!$F$8))*12+MONTH($A128)-MONTH('Recurring Schedule'!$F$8),'Recurring Schedule'!$O$8)=0),IF('Recurring Schedule'!$E$8="Weekdays",WEEKDAY($A128,2)&lt;=5,$A128='Recurring Schedule'!$F$8))),3,""))))</f>
        <v/>
      </c>
      <c r="E128">
        <f>IF('Recurring Schedule'!$C$9="","",IF('Recurring Schedule'!$F$9="","",IF(OR($A128&lt;'Recurring Schedule'!$F$9,$A128&gt;'Recurring Schedule'!$P$9),"",IF(IF('Recurring Schedule'!$N$9&gt;0,MOD($A128-'Recurring Schedule'!$F$9,'Recurring Schedule'!$N$9)=0,IF('Recurring Schedule'!$O$9&gt;0,AND(DAY($A128)=MIN(DAY('Recurring Schedule'!$F$9),DAY(EOMONTH($A128,0))),MOD((YEAR($A128)-YEAR('Recurring Schedule'!$F$9))*12+MONTH($A128)-MONTH('Recurring Schedule'!$F$9),'Recurring Schedule'!$O$9)=0),IF('Recurring Schedule'!$E$9="Weekdays",WEEKDAY($A128,2)&lt;=5,$A128='Recurring Schedule'!$F$9))),4,""))))</f>
        <v/>
      </c>
      <c r="F128">
        <f>IF('Recurring Schedule'!$C$10="","",IF('Recurring Schedule'!$F$10="","",IF(OR($A128&lt;'Recurring Schedule'!$F$10,$A128&gt;'Recurring Schedule'!$P$10),"",IF(IF('Recurring Schedule'!$N$10&gt;0,MOD($A128-'Recurring Schedule'!$F$10,'Recurring Schedule'!$N$10)=0,IF('Recurring Schedule'!$O$10&gt;0,AND(DAY($A128)=MIN(DAY('Recurring Schedule'!$F$10),DAY(EOMONTH($A128,0))),MOD((YEAR($A128)-YEAR('Recurring Schedule'!$F$10))*12+MONTH($A128)-MONTH('Recurring Schedule'!$F$10),'Recurring Schedule'!$O$10)=0),IF('Recurring Schedule'!$E$10="Weekdays",WEEKDAY($A128,2)&lt;=5,$A128='Recurring Schedule'!$F$10))),5,""))))</f>
        <v/>
      </c>
      <c r="G128">
        <f>IF('Recurring Schedule'!$C$11="","",IF('Recurring Schedule'!$F$11="","",IF(OR($A128&lt;'Recurring Schedule'!$F$11,$A128&gt;'Recurring Schedule'!$P$11),"",IF(IF('Recurring Schedule'!$N$11&gt;0,MOD($A128-'Recurring Schedule'!$F$11,'Recurring Schedule'!$N$11)=0,IF('Recurring Schedule'!$O$11&gt;0,AND(DAY($A128)=MIN(DAY('Recurring Schedule'!$F$11),DAY(EOMONTH($A128,0))),MOD((YEAR($A128)-YEAR('Recurring Schedule'!$F$11))*12+MONTH($A128)-MONTH('Recurring Schedule'!$F$11),'Recurring Schedule'!$O$11)=0),IF('Recurring Schedule'!$E$11="Weekdays",WEEKDAY($A128,2)&lt;=5,$A128='Recurring Schedule'!$F$11))),6,""))))</f>
        <v/>
      </c>
      <c r="H128">
        <f>IF('Recurring Schedule'!$C$12="","",IF('Recurring Schedule'!$F$12="","",IF(OR($A128&lt;'Recurring Schedule'!$F$12,$A128&gt;'Recurring Schedule'!$P$12),"",IF(IF('Recurring Schedule'!$N$12&gt;0,MOD($A128-'Recurring Schedule'!$F$12,'Recurring Schedule'!$N$12)=0,IF('Recurring Schedule'!$O$12&gt;0,AND(DAY($A128)=MIN(DAY('Recurring Schedule'!$F$12),DAY(EOMONTH($A128,0))),MOD((YEAR($A128)-YEAR('Recurring Schedule'!$F$12))*12+MONTH($A128)-MONTH('Recurring Schedule'!$F$12),'Recurring Schedule'!$O$12)=0),IF('Recurring Schedule'!$E$12="Weekdays",WEEKDAY($A128,2)&lt;=5,$A128='Recurring Schedule'!$F$12))),7,""))))</f>
        <v/>
      </c>
      <c r="I128">
        <f>IF('Recurring Schedule'!$C$13="","",IF('Recurring Schedule'!$F$13="","",IF(OR($A128&lt;'Recurring Schedule'!$F$13,$A128&gt;'Recurring Schedule'!$P$13),"",IF(IF('Recurring Schedule'!$N$13&gt;0,MOD($A128-'Recurring Schedule'!$F$13,'Recurring Schedule'!$N$13)=0,IF('Recurring Schedule'!$O$13&gt;0,AND(DAY($A128)=MIN(DAY('Recurring Schedule'!$F$13),DAY(EOMONTH($A128,0))),MOD((YEAR($A128)-YEAR('Recurring Schedule'!$F$13))*12+MONTH($A128)-MONTH('Recurring Schedule'!$F$13),'Recurring Schedule'!$O$13)=0),IF('Recurring Schedule'!$E$13="Weekdays",WEEKDAY($A128,2)&lt;=5,$A128='Recurring Schedule'!$F$13))),8,""))))</f>
        <v/>
      </c>
      <c r="J128">
        <f>IF('Recurring Schedule'!$C$14="","",IF('Recurring Schedule'!$F$14="","",IF(OR($A128&lt;'Recurring Schedule'!$F$14,$A128&gt;'Recurring Schedule'!$P$14),"",IF(IF('Recurring Schedule'!$N$14&gt;0,MOD($A128-'Recurring Schedule'!$F$14,'Recurring Schedule'!$N$14)=0,IF('Recurring Schedule'!$O$14&gt;0,AND(DAY($A128)=MIN(DAY('Recurring Schedule'!$F$14),DAY(EOMONTH($A128,0))),MOD((YEAR($A128)-YEAR('Recurring Schedule'!$F$14))*12+MONTH($A128)-MONTH('Recurring Schedule'!$F$14),'Recurring Schedule'!$O$14)=0),IF('Recurring Schedule'!$E$14="Weekdays",WEEKDAY($A128,2)&lt;=5,$A128='Recurring Schedule'!$F$14))),9,""))))</f>
        <v/>
      </c>
      <c r="K128">
        <f>IF('Recurring Schedule'!$C$15="","",IF('Recurring Schedule'!$F$15="","",IF(OR($A128&lt;'Recurring Schedule'!$F$15,$A128&gt;'Recurring Schedule'!$P$15),"",IF(IF('Recurring Schedule'!$N$15&gt;0,MOD($A128-'Recurring Schedule'!$F$15,'Recurring Schedule'!$N$15)=0,IF('Recurring Schedule'!$O$15&gt;0,AND(DAY($A128)=MIN(DAY('Recurring Schedule'!$F$15),DAY(EOMONTH($A128,0))),MOD((YEAR($A128)-YEAR('Recurring Schedule'!$F$15))*12+MONTH($A128)-MONTH('Recurring Schedule'!$F$15),'Recurring Schedule'!$O$15)=0),IF('Recurring Schedule'!$E$15="Weekdays",WEEKDAY($A128,2)&lt;=5,$A128='Recurring Schedule'!$F$15))),10,""))))</f>
        <v/>
      </c>
      <c r="L128">
        <f>IF('Recurring Schedule'!$C$16="","",IF('Recurring Schedule'!$F$16="","",IF(OR($A128&lt;'Recurring Schedule'!$F$16,$A128&gt;'Recurring Schedule'!$P$16),"",IF(IF('Recurring Schedule'!$N$16&gt;0,MOD($A128-'Recurring Schedule'!$F$16,'Recurring Schedule'!$N$16)=0,IF('Recurring Schedule'!$O$16&gt;0,AND(DAY($A128)=MIN(DAY('Recurring Schedule'!$F$16),DAY(EOMONTH($A128,0))),MOD((YEAR($A128)-YEAR('Recurring Schedule'!$F$16))*12+MONTH($A128)-MONTH('Recurring Schedule'!$F$16),'Recurring Schedule'!$O$16)=0),IF('Recurring Schedule'!$E$16="Weekdays",WEEKDAY($A128,2)&lt;=5,$A128='Recurring Schedule'!$F$16))),11,""))))</f>
        <v/>
      </c>
      <c r="M128">
        <f>IF('Recurring Schedule'!$C$17="","",IF('Recurring Schedule'!$F$17="","",IF(OR($A128&lt;'Recurring Schedule'!$F$17,$A128&gt;'Recurring Schedule'!$P$17),"",IF(IF('Recurring Schedule'!$N$17&gt;0,MOD($A128-'Recurring Schedule'!$F$17,'Recurring Schedule'!$N$17)=0,IF('Recurring Schedule'!$O$17&gt;0,AND(DAY($A128)=MIN(DAY('Recurring Schedule'!$F$17),DAY(EOMONTH($A128,0))),MOD((YEAR($A128)-YEAR('Recurring Schedule'!$F$17))*12+MONTH($A128)-MONTH('Recurring Schedule'!$F$17),'Recurring Schedule'!$O$17)=0),IF('Recurring Schedule'!$E$17="Weekdays",WEEKDAY($A128,2)&lt;=5,$A128='Recurring Schedule'!$F$17))),12,""))))</f>
        <v/>
      </c>
      <c r="N128">
        <f>IF('Recurring Schedule'!$C$18="","",IF('Recurring Schedule'!$F$18="","",IF(OR($A128&lt;'Recurring Schedule'!$F$18,$A128&gt;'Recurring Schedule'!$P$18),"",IF(IF('Recurring Schedule'!$N$18&gt;0,MOD($A128-'Recurring Schedule'!$F$18,'Recurring Schedule'!$N$18)=0,IF('Recurring Schedule'!$O$18&gt;0,AND(DAY($A128)=MIN(DAY('Recurring Schedule'!$F$18),DAY(EOMONTH($A128,0))),MOD((YEAR($A128)-YEAR('Recurring Schedule'!$F$18))*12+MONTH($A128)-MONTH('Recurring Schedule'!$F$18),'Recurring Schedule'!$O$18)=0),IF('Recurring Schedule'!$E$18="Weekdays",WEEKDAY($A128,2)&lt;=5,$A128='Recurring Schedule'!$F$18))),13,""))))</f>
        <v/>
      </c>
      <c r="O128">
        <f>IF('Recurring Schedule'!$C$19="","",IF('Recurring Schedule'!$F$19="","",IF(OR($A128&lt;'Recurring Schedule'!$F$19,$A128&gt;'Recurring Schedule'!$P$19),"",IF(IF('Recurring Schedule'!$N$19&gt;0,MOD($A128-'Recurring Schedule'!$F$19,'Recurring Schedule'!$N$19)=0,IF('Recurring Schedule'!$O$19&gt;0,AND(DAY($A128)=MIN(DAY('Recurring Schedule'!$F$19),DAY(EOMONTH($A128,0))),MOD((YEAR($A128)-YEAR('Recurring Schedule'!$F$19))*12+MONTH($A128)-MONTH('Recurring Schedule'!$F$19),'Recurring Schedule'!$O$19)=0),IF('Recurring Schedule'!$E$19="Weekdays",WEEKDAY($A128,2)&lt;=5,$A128='Recurring Schedule'!$F$19))),14,""))))</f>
        <v/>
      </c>
      <c r="P128">
        <f>IF('Recurring Schedule'!$C$20="","",IF('Recurring Schedule'!$F$20="","",IF(OR($A128&lt;'Recurring Schedule'!$F$20,$A128&gt;'Recurring Schedule'!$P$20),"",IF(IF('Recurring Schedule'!$N$20&gt;0,MOD($A128-'Recurring Schedule'!$F$20,'Recurring Schedule'!$N$20)=0,IF('Recurring Schedule'!$O$20&gt;0,AND(DAY($A128)=MIN(DAY('Recurring Schedule'!$F$20),DAY(EOMONTH($A128,0))),MOD((YEAR($A128)-YEAR('Recurring Schedule'!$F$20))*12+MONTH($A128)-MONTH('Recurring Schedule'!$F$20),'Recurring Schedule'!$O$20)=0),IF('Recurring Schedule'!$E$20="Weekdays",WEEKDAY($A128,2)&lt;=5,$A128='Recurring Schedule'!$F$20))),15,""))))</f>
        <v/>
      </c>
      <c r="Q128">
        <f>IF('Recurring Schedule'!$C$21="","",IF('Recurring Schedule'!$F$21="","",IF(OR($A128&lt;'Recurring Schedule'!$F$21,$A128&gt;'Recurring Schedule'!$P$21),"",IF(IF('Recurring Schedule'!$N$21&gt;0,MOD($A128-'Recurring Schedule'!$F$21,'Recurring Schedule'!$N$21)=0,IF('Recurring Schedule'!$O$21&gt;0,AND(DAY($A128)=MIN(DAY('Recurring Schedule'!$F$21),DAY(EOMONTH($A128,0))),MOD((YEAR($A128)-YEAR('Recurring Schedule'!$F$21))*12+MONTH($A128)-MONTH('Recurring Schedule'!$F$21),'Recurring Schedule'!$O$21)=0),IF('Recurring Schedule'!$E$21="Weekdays",WEEKDAY($A128,2)&lt;=5,$A128='Recurring Schedule'!$F$21))),16,""))))</f>
        <v/>
      </c>
      <c r="R128">
        <f>IF('Recurring Schedule'!$C$22="","",IF('Recurring Schedule'!$F$22="","",IF(OR($A128&lt;'Recurring Schedule'!$F$22,$A128&gt;'Recurring Schedule'!$P$22),"",IF(IF('Recurring Schedule'!$N$22&gt;0,MOD($A128-'Recurring Schedule'!$F$22,'Recurring Schedule'!$N$22)=0,IF('Recurring Schedule'!$O$22&gt;0,AND(DAY($A128)=MIN(DAY('Recurring Schedule'!$F$22),DAY(EOMONTH($A128,0))),MOD((YEAR($A128)-YEAR('Recurring Schedule'!$F$22))*12+MONTH($A128)-MONTH('Recurring Schedule'!$F$22),'Recurring Schedule'!$O$22)=0),IF('Recurring Schedule'!$E$22="Weekdays",WEEKDAY($A128,2)&lt;=5,$A128='Recurring Schedule'!$F$22))),17,""))))</f>
        <v/>
      </c>
      <c r="S128">
        <f>IF('Recurring Schedule'!$C$23="","",IF('Recurring Schedule'!$F$23="","",IF(OR($A128&lt;'Recurring Schedule'!$F$23,$A128&gt;'Recurring Schedule'!$P$23),"",IF(IF('Recurring Schedule'!$N$23&gt;0,MOD($A128-'Recurring Schedule'!$F$23,'Recurring Schedule'!$N$23)=0,IF('Recurring Schedule'!$O$23&gt;0,AND(DAY($A128)=MIN(DAY('Recurring Schedule'!$F$23),DAY(EOMONTH($A128,0))),MOD((YEAR($A128)-YEAR('Recurring Schedule'!$F$23))*12+MONTH($A128)-MONTH('Recurring Schedule'!$F$23),'Recurring Schedule'!$O$23)=0),IF('Recurring Schedule'!$E$23="Weekdays",WEEKDAY($A128,2)&lt;=5,$A128='Recurring Schedule'!$F$23))),18,""))))</f>
        <v/>
      </c>
      <c r="T128">
        <f>IF('Recurring Schedule'!$C$24="","",IF('Recurring Schedule'!$F$24="","",IF(OR($A128&lt;'Recurring Schedule'!$F$24,$A128&gt;'Recurring Schedule'!$P$24),"",IF(IF('Recurring Schedule'!$N$24&gt;0,MOD($A128-'Recurring Schedule'!$F$24,'Recurring Schedule'!$N$24)=0,IF('Recurring Schedule'!$O$24&gt;0,AND(DAY($A128)=MIN(DAY('Recurring Schedule'!$F$24),DAY(EOMONTH($A128,0))),MOD((YEAR($A128)-YEAR('Recurring Schedule'!$F$24))*12+MONTH($A128)-MONTH('Recurring Schedule'!$F$24),'Recurring Schedule'!$O$24)=0),IF('Recurring Schedule'!$E$24="Weekdays",WEEKDAY($A128,2)&lt;=5,$A128='Recurring Schedule'!$F$24))),19,""))))</f>
        <v/>
      </c>
      <c r="U128">
        <f>IF('Recurring Schedule'!$C$25="","",IF('Recurring Schedule'!$F$25="","",IF(OR($A128&lt;'Recurring Schedule'!$F$25,$A128&gt;'Recurring Schedule'!$P$25),"",IF(IF('Recurring Schedule'!$N$25&gt;0,MOD($A128-'Recurring Schedule'!$F$25,'Recurring Schedule'!$N$25)=0,IF('Recurring Schedule'!$O$25&gt;0,AND(DAY($A128)=MIN(DAY('Recurring Schedule'!$F$25),DAY(EOMONTH($A128,0))),MOD((YEAR($A128)-YEAR('Recurring Schedule'!$F$25))*12+MONTH($A128)-MONTH('Recurring Schedule'!$F$25),'Recurring Schedule'!$O$25)=0),IF('Recurring Schedule'!$E$25="Weekdays",WEEKDAY($A128,2)&lt;=5,$A128='Recurring Schedule'!$F$25))),20,""))))</f>
        <v/>
      </c>
      <c r="V128">
        <f>IF('Recurring Schedule'!$C$26="","",IF('Recurring Schedule'!$F$26="","",IF(OR($A128&lt;'Recurring Schedule'!$F$26,$A128&gt;'Recurring Schedule'!$P$26),"",IF(IF('Recurring Schedule'!$N$26&gt;0,MOD($A128-'Recurring Schedule'!$F$26,'Recurring Schedule'!$N$26)=0,IF('Recurring Schedule'!$O$26&gt;0,AND(DAY($A128)=MIN(DAY('Recurring Schedule'!$F$26),DAY(EOMONTH($A128,0))),MOD((YEAR($A128)-YEAR('Recurring Schedule'!$F$26))*12+MONTH($A128)-MONTH('Recurring Schedule'!$F$26),'Recurring Schedule'!$O$26)=0),IF('Recurring Schedule'!$E$26="Weekdays",WEEKDAY($A128,2)&lt;=5,$A128='Recurring Schedule'!$F$26))),21,""))))</f>
        <v/>
      </c>
      <c r="W128">
        <f>IF('Recurring Schedule'!$C$27="","",IF('Recurring Schedule'!$F$27="","",IF(OR($A128&lt;'Recurring Schedule'!$F$27,$A128&gt;'Recurring Schedule'!$P$27),"",IF(IF('Recurring Schedule'!$N$27&gt;0,MOD($A128-'Recurring Schedule'!$F$27,'Recurring Schedule'!$N$27)=0,IF('Recurring Schedule'!$O$27&gt;0,AND(DAY($A128)=MIN(DAY('Recurring Schedule'!$F$27),DAY(EOMONTH($A128,0))),MOD((YEAR($A128)-YEAR('Recurring Schedule'!$F$27))*12+MONTH($A128)-MONTH('Recurring Schedule'!$F$27),'Recurring Schedule'!$O$27)=0),IF('Recurring Schedule'!$E$27="Weekdays",WEEKDAY($A128,2)&lt;=5,$A128='Recurring Schedule'!$F$27))),22,""))))</f>
        <v/>
      </c>
      <c r="X128">
        <f>IF('Recurring Schedule'!$C$28="","",IF('Recurring Schedule'!$F$28="","",IF(OR($A128&lt;'Recurring Schedule'!$F$28,$A128&gt;'Recurring Schedule'!$P$28),"",IF(IF('Recurring Schedule'!$N$28&gt;0,MOD($A128-'Recurring Schedule'!$F$28,'Recurring Schedule'!$N$28)=0,IF('Recurring Schedule'!$O$28&gt;0,AND(DAY($A128)=MIN(DAY('Recurring Schedule'!$F$28),DAY(EOMONTH($A128,0))),MOD((YEAR($A128)-YEAR('Recurring Schedule'!$F$28))*12+MONTH($A128)-MONTH('Recurring Schedule'!$F$28),'Recurring Schedule'!$O$28)=0),IF('Recurring Schedule'!$E$28="Weekdays",WEEKDAY($A128,2)&lt;=5,$A128='Recurring Schedule'!$F$28))),23,""))))</f>
        <v/>
      </c>
      <c r="Y128">
        <f>IF('Recurring Schedule'!$C$29="","",IF('Recurring Schedule'!$F$29="","",IF(OR($A128&lt;'Recurring Schedule'!$F$29,$A128&gt;'Recurring Schedule'!$P$29),"",IF(IF('Recurring Schedule'!$N$29&gt;0,MOD($A128-'Recurring Schedule'!$F$29,'Recurring Schedule'!$N$29)=0,IF('Recurring Schedule'!$O$29&gt;0,AND(DAY($A128)=MIN(DAY('Recurring Schedule'!$F$29),DAY(EOMONTH($A128,0))),MOD((YEAR($A128)-YEAR('Recurring Schedule'!$F$29))*12+MONTH($A128)-MONTH('Recurring Schedule'!$F$29),'Recurring Schedule'!$O$29)=0),IF('Recurring Schedule'!$E$29="Weekdays",WEEKDAY($A128,2)&lt;=5,$A128='Recurring Schedule'!$F$29))),24,""))))</f>
        <v/>
      </c>
      <c r="Z128">
        <f>IF('Recurring Schedule'!$C$30="","",IF('Recurring Schedule'!$F$30="","",IF(OR($A128&lt;'Recurring Schedule'!$F$30,$A128&gt;'Recurring Schedule'!$P$30),"",IF(IF('Recurring Schedule'!$N$30&gt;0,MOD($A128-'Recurring Schedule'!$F$30,'Recurring Schedule'!$N$30)=0,IF('Recurring Schedule'!$O$30&gt;0,AND(DAY($A128)=MIN(DAY('Recurring Schedule'!$F$30),DAY(EOMONTH($A128,0))),MOD((YEAR($A128)-YEAR('Recurring Schedule'!$F$30))*12+MONTH($A128)-MONTH('Recurring Schedule'!$F$30),'Recurring Schedule'!$O$30)=0),IF('Recurring Schedule'!$E$30="Weekdays",WEEKDAY($A128,2)&lt;=5,$A128='Recurring Schedule'!$F$30))),25,""))))</f>
        <v/>
      </c>
      <c r="AA128">
        <f>IF('Recurring Schedule'!$C$31="","",IF('Recurring Schedule'!$F$31="","",IF(OR($A128&lt;'Recurring Schedule'!$F$31,$A128&gt;'Recurring Schedule'!$P$31),"",IF(IF('Recurring Schedule'!$N$31&gt;0,MOD($A128-'Recurring Schedule'!$F$31,'Recurring Schedule'!$N$31)=0,IF('Recurring Schedule'!$O$31&gt;0,AND(DAY($A128)=MIN(DAY('Recurring Schedule'!$F$31),DAY(EOMONTH($A128,0))),MOD((YEAR($A128)-YEAR('Recurring Schedule'!$F$31))*12+MONTH($A128)-MONTH('Recurring Schedule'!$F$31),'Recurring Schedule'!$O$31)=0),IF('Recurring Schedule'!$E$31="Weekdays",WEEKDAY($A128,2)&lt;=5,$A128='Recurring Schedule'!$F$31))),26,""))))</f>
        <v/>
      </c>
      <c r="AB128">
        <f>IF('Recurring Schedule'!$C$32="","",IF('Recurring Schedule'!$F$32="","",IF(OR($A128&lt;'Recurring Schedule'!$F$32,$A128&gt;'Recurring Schedule'!$P$32),"",IF(IF('Recurring Schedule'!$N$32&gt;0,MOD($A128-'Recurring Schedule'!$F$32,'Recurring Schedule'!$N$32)=0,IF('Recurring Schedule'!$O$32&gt;0,AND(DAY($A128)=MIN(DAY('Recurring Schedule'!$F$32),DAY(EOMONTH($A128,0))),MOD((YEAR($A128)-YEAR('Recurring Schedule'!$F$32))*12+MONTH($A128)-MONTH('Recurring Schedule'!$F$32),'Recurring Schedule'!$O$32)=0),IF('Recurring Schedule'!$E$32="Weekdays",WEEKDAY($A128,2)&lt;=5,$A128='Recurring Schedule'!$F$32))),27,""))))</f>
        <v/>
      </c>
      <c r="AC128">
        <f>IF('Recurring Schedule'!$C$33="","",IF('Recurring Schedule'!$F$33="","",IF(OR($A128&lt;'Recurring Schedule'!$F$33,$A128&gt;'Recurring Schedule'!$P$33),"",IF(IF('Recurring Schedule'!$N$33&gt;0,MOD($A128-'Recurring Schedule'!$F$33,'Recurring Schedule'!$N$33)=0,IF('Recurring Schedule'!$O$33&gt;0,AND(DAY($A128)=MIN(DAY('Recurring Schedule'!$F$33),DAY(EOMONTH($A128,0))),MOD((YEAR($A128)-YEAR('Recurring Schedule'!$F$33))*12+MONTH($A128)-MONTH('Recurring Schedule'!$F$33),'Recurring Schedule'!$O$33)=0),IF('Recurring Schedule'!$E$33="Weekdays",WEEKDAY($A128,2)&lt;=5,$A128='Recurring Schedule'!$F$33))),28,""))))</f>
        <v/>
      </c>
      <c r="AD128">
        <f>IF('Recurring Schedule'!$C$34="","",IF('Recurring Schedule'!$F$34="","",IF(OR($A128&lt;'Recurring Schedule'!$F$34,$A128&gt;'Recurring Schedule'!$P$34),"",IF(IF('Recurring Schedule'!$N$34&gt;0,MOD($A128-'Recurring Schedule'!$F$34,'Recurring Schedule'!$N$34)=0,IF('Recurring Schedule'!$O$34&gt;0,AND(DAY($A128)=MIN(DAY('Recurring Schedule'!$F$34),DAY(EOMONTH($A128,0))),MOD((YEAR($A128)-YEAR('Recurring Schedule'!$F$34))*12+MONTH($A128)-MONTH('Recurring Schedule'!$F$34),'Recurring Schedule'!$O$34)=0),IF('Recurring Schedule'!$E$34="Weekdays",WEEKDAY($A128,2)&lt;=5,$A128='Recurring Schedule'!$F$34))),29,""))))</f>
        <v/>
      </c>
      <c r="AE128">
        <f>IF('Recurring Schedule'!$C$35="","",IF('Recurring Schedule'!$F$35="","",IF(OR($A128&lt;'Recurring Schedule'!$F$35,$A128&gt;'Recurring Schedule'!$P$35),"",IF(IF('Recurring Schedule'!$N$35&gt;0,MOD($A128-'Recurring Schedule'!$F$35,'Recurring Schedule'!$N$35)=0,IF('Recurring Schedule'!$O$35&gt;0,AND(DAY($A128)=MIN(DAY('Recurring Schedule'!$F$35),DAY(EOMONTH($A128,0))),MOD((YEAR($A128)-YEAR('Recurring Schedule'!$F$35))*12+MONTH($A128)-MONTH('Recurring Schedule'!$F$35),'Recurring Schedule'!$O$35)=0),IF('Recurring Schedule'!$E$35="Weekdays",WEEKDAY($A128,2)&lt;=5,$A128='Recurring Schedule'!$F$35))),30,""))))</f>
        <v/>
      </c>
      <c r="AF128">
        <f>IF('Recurring Schedule'!$C$36="","",IF('Recurring Schedule'!$F$36="","",IF(OR($A128&lt;'Recurring Schedule'!$F$36,$A128&gt;'Recurring Schedule'!$P$36),"",IF(IF('Recurring Schedule'!$N$36&gt;0,MOD($A128-'Recurring Schedule'!$F$36,'Recurring Schedule'!$N$36)=0,IF('Recurring Schedule'!$O$36&gt;0,AND(DAY($A128)=MIN(DAY('Recurring Schedule'!$F$36),DAY(EOMONTH($A128,0))),MOD((YEAR($A128)-YEAR('Recurring Schedule'!$F$36))*12+MONTH($A128)-MONTH('Recurring Schedule'!$F$36),'Recurring Schedule'!$O$36)=0),IF('Recurring Schedule'!$E$36="Weekdays",WEEKDAY($A128,2)&lt;=5,$A128='Recurring Schedule'!$F$36))),31,""))))</f>
        <v/>
      </c>
      <c r="AG128">
        <f>IF('Recurring Schedule'!$C$37="","",IF('Recurring Schedule'!$F$37="","",IF(OR($A128&lt;'Recurring Schedule'!$F$37,$A128&gt;'Recurring Schedule'!$P$37),"",IF(IF('Recurring Schedule'!$N$37&gt;0,MOD($A128-'Recurring Schedule'!$F$37,'Recurring Schedule'!$N$37)=0,IF('Recurring Schedule'!$O$37&gt;0,AND(DAY($A128)=MIN(DAY('Recurring Schedule'!$F$37),DAY(EOMONTH($A128,0))),MOD((YEAR($A128)-YEAR('Recurring Schedule'!$F$37))*12+MONTH($A128)-MONTH('Recurring Schedule'!$F$37),'Recurring Schedule'!$O$37)=0),IF('Recurring Schedule'!$E$37="Weekdays",WEEKDAY($A128,2)&lt;=5,$A128='Recurring Schedule'!$F$37))),32,""))))</f>
        <v/>
      </c>
      <c r="AH128">
        <f>IF('Recurring Schedule'!$C$38="","",IF('Recurring Schedule'!$F$38="","",IF(OR($A128&lt;'Recurring Schedule'!$F$38,$A128&gt;'Recurring Schedule'!$P$38),"",IF(IF('Recurring Schedule'!$N$38&gt;0,MOD($A128-'Recurring Schedule'!$F$38,'Recurring Schedule'!$N$38)=0,IF('Recurring Schedule'!$O$38&gt;0,AND(DAY($A128)=MIN(DAY('Recurring Schedule'!$F$38),DAY(EOMONTH($A128,0))),MOD((YEAR($A128)-YEAR('Recurring Schedule'!$F$38))*12+MONTH($A128)-MONTH('Recurring Schedule'!$F$38),'Recurring Schedule'!$O$38)=0),IF('Recurring Schedule'!$E$38="Weekdays",WEEKDAY($A128,2)&lt;=5,$A128='Recurring Schedule'!$F$38))),33,""))))</f>
        <v/>
      </c>
      <c r="AI128">
        <f>IF('Recurring Schedule'!$C$39="","",IF('Recurring Schedule'!$F$39="","",IF(OR($A128&lt;'Recurring Schedule'!$F$39,$A128&gt;'Recurring Schedule'!$P$39),"",IF(IF('Recurring Schedule'!$N$39&gt;0,MOD($A128-'Recurring Schedule'!$F$39,'Recurring Schedule'!$N$39)=0,IF('Recurring Schedule'!$O$39&gt;0,AND(DAY($A128)=MIN(DAY('Recurring Schedule'!$F$39),DAY(EOMONTH($A128,0))),MOD((YEAR($A128)-YEAR('Recurring Schedule'!$F$39))*12+MONTH($A128)-MONTH('Recurring Schedule'!$F$39),'Recurring Schedule'!$O$39)=0),IF('Recurring Schedule'!$E$39="Weekdays",WEEKDAY($A128,2)&lt;=5,$A128='Recurring Schedule'!$F$39))),34,""))))</f>
        <v/>
      </c>
      <c r="AJ128">
        <f>IF('Recurring Schedule'!$C$40="","",IF('Recurring Schedule'!$F$40="","",IF(OR($A128&lt;'Recurring Schedule'!$F$40,$A128&gt;'Recurring Schedule'!$P$40),"",IF(IF('Recurring Schedule'!$N$40&gt;0,MOD($A128-'Recurring Schedule'!$F$40,'Recurring Schedule'!$N$40)=0,IF('Recurring Schedule'!$O$40&gt;0,AND(DAY($A128)=MIN(DAY('Recurring Schedule'!$F$40),DAY(EOMONTH($A128,0))),MOD((YEAR($A128)-YEAR('Recurring Schedule'!$F$40))*12+MONTH($A128)-MONTH('Recurring Schedule'!$F$40),'Recurring Schedule'!$O$40)=0),IF('Recurring Schedule'!$E$40="Weekdays",WEEKDAY($A128,2)&lt;=5,$A128='Recurring Schedule'!$F$40))),35,""))))</f>
        <v/>
      </c>
      <c r="AK128">
        <f>IF('Recurring Schedule'!$C$41="","",IF('Recurring Schedule'!$F$41="","",IF(OR($A128&lt;'Recurring Schedule'!$F$41,$A128&gt;'Recurring Schedule'!$P$41),"",IF(IF('Recurring Schedule'!$N$41&gt;0,MOD($A128-'Recurring Schedule'!$F$41,'Recurring Schedule'!$N$41)=0,IF('Recurring Schedule'!$O$41&gt;0,AND(DAY($A128)=MIN(DAY('Recurring Schedule'!$F$41),DAY(EOMONTH($A128,0))),MOD((YEAR($A128)-YEAR('Recurring Schedule'!$F$41))*12+MONTH($A128)-MONTH('Recurring Schedule'!$F$41),'Recurring Schedule'!$O$41)=0),IF('Recurring Schedule'!$E$41="Weekdays",WEEKDAY($A128,2)&lt;=5,$A128='Recurring Schedule'!$F$41))),36,""))))</f>
        <v/>
      </c>
      <c r="AL128">
        <f>IF('Recurring Schedule'!$C$42="","",IF('Recurring Schedule'!$F$42="","",IF(OR($A128&lt;'Recurring Schedule'!$F$42,$A128&gt;'Recurring Schedule'!$P$42),"",IF(IF('Recurring Schedule'!$N$42&gt;0,MOD($A128-'Recurring Schedule'!$F$42,'Recurring Schedule'!$N$42)=0,IF('Recurring Schedule'!$O$42&gt;0,AND(DAY($A128)=MIN(DAY('Recurring Schedule'!$F$42),DAY(EOMONTH($A128,0))),MOD((YEAR($A128)-YEAR('Recurring Schedule'!$F$42))*12+MONTH($A128)-MONTH('Recurring Schedule'!$F$42),'Recurring Schedule'!$O$42)=0),IF('Recurring Schedule'!$E$42="Weekdays",WEEKDAY($A128,2)&lt;=5,$A128='Recurring Schedule'!$F$42))),37,""))))</f>
        <v/>
      </c>
      <c r="AM128">
        <f>IF('Recurring Schedule'!$C$43="","",IF('Recurring Schedule'!$F$43="","",IF(OR($A128&lt;'Recurring Schedule'!$F$43,$A128&gt;'Recurring Schedule'!$P$43),"",IF(IF('Recurring Schedule'!$N$43&gt;0,MOD($A128-'Recurring Schedule'!$F$43,'Recurring Schedule'!$N$43)=0,IF('Recurring Schedule'!$O$43&gt;0,AND(DAY($A128)=MIN(DAY('Recurring Schedule'!$F$43),DAY(EOMONTH($A128,0))),MOD((YEAR($A128)-YEAR('Recurring Schedule'!$F$43))*12+MONTH($A128)-MONTH('Recurring Schedule'!$F$43),'Recurring Schedule'!$O$43)=0),IF('Recurring Schedule'!$E$43="Weekdays",WEEKDAY($A128,2)&lt;=5,$A128='Recurring Schedule'!$F$43))),38,""))))</f>
        <v/>
      </c>
      <c r="AN128">
        <f>IF('Recurring Schedule'!$C$44="","",IF('Recurring Schedule'!$F$44="","",IF(OR($A128&lt;'Recurring Schedule'!$F$44,$A128&gt;'Recurring Schedule'!$P$44),"",IF(IF('Recurring Schedule'!$N$44&gt;0,MOD($A128-'Recurring Schedule'!$F$44,'Recurring Schedule'!$N$44)=0,IF('Recurring Schedule'!$O$44&gt;0,AND(DAY($A128)=MIN(DAY('Recurring Schedule'!$F$44),DAY(EOMONTH($A128,0))),MOD((YEAR($A128)-YEAR('Recurring Schedule'!$F$44))*12+MONTH($A128)-MONTH('Recurring Schedule'!$F$44),'Recurring Schedule'!$O$44)=0),IF('Recurring Schedule'!$E$44="Weekdays",WEEKDAY($A128,2)&lt;=5,$A128='Recurring Schedule'!$F$44))),39,""))))</f>
        <v/>
      </c>
      <c r="AO128">
        <f>IF('Recurring Schedule'!$C$45="","",IF('Recurring Schedule'!$F$45="","",IF(OR($A128&lt;'Recurring Schedule'!$F$45,$A128&gt;'Recurring Schedule'!$P$45),"",IF(IF('Recurring Schedule'!$N$45&gt;0,MOD($A128-'Recurring Schedule'!$F$45,'Recurring Schedule'!$N$45)=0,IF('Recurring Schedule'!$O$45&gt;0,AND(DAY($A128)=MIN(DAY('Recurring Schedule'!$F$45),DAY(EOMONTH($A128,0))),MOD((YEAR($A128)-YEAR('Recurring Schedule'!$F$45))*12+MONTH($A128)-MONTH('Recurring Schedule'!$F$45),'Recurring Schedule'!$O$45)=0),IF('Recurring Schedule'!$E$45="Weekdays",WEEKDAY($A128,2)&lt;=5,$A128='Recurring Schedule'!$F$45))),40,""))))</f>
        <v/>
      </c>
      <c r="AP128">
        <f>COUNT(B128:AO128)</f>
        <v/>
      </c>
      <c r="AQ128">
        <f>AQ127+AP127</f>
        <v/>
      </c>
      <c r="AS128" t="inlineStr">
        <is>
          <t>R</t>
        </is>
      </c>
      <c r="AT128" t="n">
        <v>132</v>
      </c>
      <c r="AU128">
        <f>'Recurring Log'!C132&amp;""</f>
        <v/>
      </c>
      <c r="AV128">
        <f>'Recurring Log'!D132&amp;""</f>
        <v/>
      </c>
      <c r="AW128">
        <f>IF('Recurring Log'!E132="","",'Recurring Log'!E132)</f>
        <v/>
      </c>
      <c r="AX128">
        <f>IF('Recurring Log'!G132="","",'Recurring Log'!G132)</f>
        <v/>
      </c>
      <c r="AY128">
        <f>IF('Recurring Log'!H132="","",'Recurring Log'!H132)</f>
        <v/>
      </c>
      <c r="AZ128">
        <f>IF(AU128="","",IF('Recurring Log'!J132="","Not Started",'Recurring Log'!J132))</f>
        <v/>
      </c>
      <c r="BA128">
        <f>'Recurring Log'!L132&amp;""</f>
        <v/>
      </c>
      <c r="BB128">
        <f>'Recurring Log'!M132&amp;""</f>
        <v/>
      </c>
      <c r="BC128">
        <f>'Recurring Log'!N132&amp;""</f>
        <v/>
      </c>
      <c r="BD128">
        <f>'Recurring Log'!O132&amp;""</f>
        <v/>
      </c>
      <c r="BE128">
        <f>IF('Recurring Log'!K132="","",'Recurring Log'!K132)</f>
        <v/>
      </c>
      <c r="BF128">
        <f>IFERROR(MATCH(BA128,Setup!$L$6:$L$9,0),5)</f>
        <v/>
      </c>
      <c r="BG128">
        <f>IF(OR(AZ128="Done",AZ128="Cancelled"),1,0)</f>
        <v/>
      </c>
      <c r="BH128">
        <f>IF(AND(AU128&lt;&gt;"",ISNUMBER(AW128)),1,0)</f>
        <v/>
      </c>
      <c r="BI128">
        <f>IF(BH128=0,0,IF(AND(AW128&gt;='Tasks Filter'!$F$3,AW128&lt;='Tasks Filter'!$F$4,OR('Tasks Filter'!$I$3="",ISNUMBER(SEARCH('Tasks Filter'!$I$3,AU128))),OR('Tasks Filter'!$I$4="",BF128=IFERROR(MATCH('Tasks Filter'!$I$4,Setup!$L$6:$L$9,0),0)),OR('Tasks Filter'!$I$5="Both",AND('Tasks Filter'!$I$5="Yes",BB128="✓"),AND('Tasks Filter'!$I$5="No",BB128&lt;&gt;"✓")),OR('Tasks Filter'!$L$3="",AV128='Tasks Filter'!$L$3),OR('Tasks Filter'!$L$4="",AZ128='Tasks Filter'!$L$4),OR('Tasks Filter'!$L$5="",BC128='Tasks Filter'!$L$5),OR('Tasks Filter'!$O$3="",BD128='Tasks Filter'!$O$3),OR('Tasks Filter'!$O$4="Yes",BG128=0)),1,0))</f>
        <v/>
      </c>
      <c r="BJ128">
        <f>IF(BH128=0,"",IF('Tasks Filter'!$F$6="Descending",-1,1)*CHOOSE(MATCH('Tasks Filter'!$F$5,Lists!$G$2:$G$6,0),AW128,BF128,IFERROR(MATCH(AV128,Setup!$F$6:$F$15,0),99),IFERROR(MATCH(BC128,Setup!$H$6:$H$15,0),99),IFERROR(MATCH(AZ128,Setup!$J$6:$J$11,0),99))*1E+9+(AW128-40000)*10000+127)</f>
        <v/>
      </c>
      <c r="BK128">
        <f>IF(BI128=1,BJ128,"")</f>
        <v/>
      </c>
      <c r="BL128">
        <f>IF(AND(BH128=1,BG128=0,N(AW128)&lt;Setup!$D$7),(AW128-40000)*10000+127,"")</f>
        <v/>
      </c>
      <c r="BM128">
        <f>IF(AND(BH128=1,AZ128&lt;&gt;"Cancelled",N(AW128)&gt;=Dashboard!$AB$3,N(AW128)&lt;=Dashboard!$AB$3+6),(AW128-40000)*100000+BF128*10000+127,"")</f>
        <v/>
      </c>
      <c r="BN128">
        <f>IF(AND(BH128=1,AZ128&lt;&gt;"Cancelled"),BF128*10000+127,"")</f>
        <v/>
      </c>
    </row>
    <row r="129">
      <c r="A129">
        <f>Setup!$D$5+127</f>
        <v/>
      </c>
      <c r="B129">
        <f>IF('Recurring Schedule'!$C$6="","",IF('Recurring Schedule'!$F$6="","",IF(OR($A129&lt;'Recurring Schedule'!$F$6,$A129&gt;'Recurring Schedule'!$P$6),"",IF(IF('Recurring Schedule'!$N$6&gt;0,MOD($A129-'Recurring Schedule'!$F$6,'Recurring Schedule'!$N$6)=0,IF('Recurring Schedule'!$O$6&gt;0,AND(DAY($A129)=MIN(DAY('Recurring Schedule'!$F$6),DAY(EOMONTH($A129,0))),MOD((YEAR($A129)-YEAR('Recurring Schedule'!$F$6))*12+MONTH($A129)-MONTH('Recurring Schedule'!$F$6),'Recurring Schedule'!$O$6)=0),IF('Recurring Schedule'!$E$6="Weekdays",WEEKDAY($A129,2)&lt;=5,$A129='Recurring Schedule'!$F$6))),1,""))))</f>
        <v/>
      </c>
      <c r="C129">
        <f>IF('Recurring Schedule'!$C$7="","",IF('Recurring Schedule'!$F$7="","",IF(OR($A129&lt;'Recurring Schedule'!$F$7,$A129&gt;'Recurring Schedule'!$P$7),"",IF(IF('Recurring Schedule'!$N$7&gt;0,MOD($A129-'Recurring Schedule'!$F$7,'Recurring Schedule'!$N$7)=0,IF('Recurring Schedule'!$O$7&gt;0,AND(DAY($A129)=MIN(DAY('Recurring Schedule'!$F$7),DAY(EOMONTH($A129,0))),MOD((YEAR($A129)-YEAR('Recurring Schedule'!$F$7))*12+MONTH($A129)-MONTH('Recurring Schedule'!$F$7),'Recurring Schedule'!$O$7)=0),IF('Recurring Schedule'!$E$7="Weekdays",WEEKDAY($A129,2)&lt;=5,$A129='Recurring Schedule'!$F$7))),2,""))))</f>
        <v/>
      </c>
      <c r="D129">
        <f>IF('Recurring Schedule'!$C$8="","",IF('Recurring Schedule'!$F$8="","",IF(OR($A129&lt;'Recurring Schedule'!$F$8,$A129&gt;'Recurring Schedule'!$P$8),"",IF(IF('Recurring Schedule'!$N$8&gt;0,MOD($A129-'Recurring Schedule'!$F$8,'Recurring Schedule'!$N$8)=0,IF('Recurring Schedule'!$O$8&gt;0,AND(DAY($A129)=MIN(DAY('Recurring Schedule'!$F$8),DAY(EOMONTH($A129,0))),MOD((YEAR($A129)-YEAR('Recurring Schedule'!$F$8))*12+MONTH($A129)-MONTH('Recurring Schedule'!$F$8),'Recurring Schedule'!$O$8)=0),IF('Recurring Schedule'!$E$8="Weekdays",WEEKDAY($A129,2)&lt;=5,$A129='Recurring Schedule'!$F$8))),3,""))))</f>
        <v/>
      </c>
      <c r="E129">
        <f>IF('Recurring Schedule'!$C$9="","",IF('Recurring Schedule'!$F$9="","",IF(OR($A129&lt;'Recurring Schedule'!$F$9,$A129&gt;'Recurring Schedule'!$P$9),"",IF(IF('Recurring Schedule'!$N$9&gt;0,MOD($A129-'Recurring Schedule'!$F$9,'Recurring Schedule'!$N$9)=0,IF('Recurring Schedule'!$O$9&gt;0,AND(DAY($A129)=MIN(DAY('Recurring Schedule'!$F$9),DAY(EOMONTH($A129,0))),MOD((YEAR($A129)-YEAR('Recurring Schedule'!$F$9))*12+MONTH($A129)-MONTH('Recurring Schedule'!$F$9),'Recurring Schedule'!$O$9)=0),IF('Recurring Schedule'!$E$9="Weekdays",WEEKDAY($A129,2)&lt;=5,$A129='Recurring Schedule'!$F$9))),4,""))))</f>
        <v/>
      </c>
      <c r="F129">
        <f>IF('Recurring Schedule'!$C$10="","",IF('Recurring Schedule'!$F$10="","",IF(OR($A129&lt;'Recurring Schedule'!$F$10,$A129&gt;'Recurring Schedule'!$P$10),"",IF(IF('Recurring Schedule'!$N$10&gt;0,MOD($A129-'Recurring Schedule'!$F$10,'Recurring Schedule'!$N$10)=0,IF('Recurring Schedule'!$O$10&gt;0,AND(DAY($A129)=MIN(DAY('Recurring Schedule'!$F$10),DAY(EOMONTH($A129,0))),MOD((YEAR($A129)-YEAR('Recurring Schedule'!$F$10))*12+MONTH($A129)-MONTH('Recurring Schedule'!$F$10),'Recurring Schedule'!$O$10)=0),IF('Recurring Schedule'!$E$10="Weekdays",WEEKDAY($A129,2)&lt;=5,$A129='Recurring Schedule'!$F$10))),5,""))))</f>
        <v/>
      </c>
      <c r="G129">
        <f>IF('Recurring Schedule'!$C$11="","",IF('Recurring Schedule'!$F$11="","",IF(OR($A129&lt;'Recurring Schedule'!$F$11,$A129&gt;'Recurring Schedule'!$P$11),"",IF(IF('Recurring Schedule'!$N$11&gt;0,MOD($A129-'Recurring Schedule'!$F$11,'Recurring Schedule'!$N$11)=0,IF('Recurring Schedule'!$O$11&gt;0,AND(DAY($A129)=MIN(DAY('Recurring Schedule'!$F$11),DAY(EOMONTH($A129,0))),MOD((YEAR($A129)-YEAR('Recurring Schedule'!$F$11))*12+MONTH($A129)-MONTH('Recurring Schedule'!$F$11),'Recurring Schedule'!$O$11)=0),IF('Recurring Schedule'!$E$11="Weekdays",WEEKDAY($A129,2)&lt;=5,$A129='Recurring Schedule'!$F$11))),6,""))))</f>
        <v/>
      </c>
      <c r="H129">
        <f>IF('Recurring Schedule'!$C$12="","",IF('Recurring Schedule'!$F$12="","",IF(OR($A129&lt;'Recurring Schedule'!$F$12,$A129&gt;'Recurring Schedule'!$P$12),"",IF(IF('Recurring Schedule'!$N$12&gt;0,MOD($A129-'Recurring Schedule'!$F$12,'Recurring Schedule'!$N$12)=0,IF('Recurring Schedule'!$O$12&gt;0,AND(DAY($A129)=MIN(DAY('Recurring Schedule'!$F$12),DAY(EOMONTH($A129,0))),MOD((YEAR($A129)-YEAR('Recurring Schedule'!$F$12))*12+MONTH($A129)-MONTH('Recurring Schedule'!$F$12),'Recurring Schedule'!$O$12)=0),IF('Recurring Schedule'!$E$12="Weekdays",WEEKDAY($A129,2)&lt;=5,$A129='Recurring Schedule'!$F$12))),7,""))))</f>
        <v/>
      </c>
      <c r="I129">
        <f>IF('Recurring Schedule'!$C$13="","",IF('Recurring Schedule'!$F$13="","",IF(OR($A129&lt;'Recurring Schedule'!$F$13,$A129&gt;'Recurring Schedule'!$P$13),"",IF(IF('Recurring Schedule'!$N$13&gt;0,MOD($A129-'Recurring Schedule'!$F$13,'Recurring Schedule'!$N$13)=0,IF('Recurring Schedule'!$O$13&gt;0,AND(DAY($A129)=MIN(DAY('Recurring Schedule'!$F$13),DAY(EOMONTH($A129,0))),MOD((YEAR($A129)-YEAR('Recurring Schedule'!$F$13))*12+MONTH($A129)-MONTH('Recurring Schedule'!$F$13),'Recurring Schedule'!$O$13)=0),IF('Recurring Schedule'!$E$13="Weekdays",WEEKDAY($A129,2)&lt;=5,$A129='Recurring Schedule'!$F$13))),8,""))))</f>
        <v/>
      </c>
      <c r="J129">
        <f>IF('Recurring Schedule'!$C$14="","",IF('Recurring Schedule'!$F$14="","",IF(OR($A129&lt;'Recurring Schedule'!$F$14,$A129&gt;'Recurring Schedule'!$P$14),"",IF(IF('Recurring Schedule'!$N$14&gt;0,MOD($A129-'Recurring Schedule'!$F$14,'Recurring Schedule'!$N$14)=0,IF('Recurring Schedule'!$O$14&gt;0,AND(DAY($A129)=MIN(DAY('Recurring Schedule'!$F$14),DAY(EOMONTH($A129,0))),MOD((YEAR($A129)-YEAR('Recurring Schedule'!$F$14))*12+MONTH($A129)-MONTH('Recurring Schedule'!$F$14),'Recurring Schedule'!$O$14)=0),IF('Recurring Schedule'!$E$14="Weekdays",WEEKDAY($A129,2)&lt;=5,$A129='Recurring Schedule'!$F$14))),9,""))))</f>
        <v/>
      </c>
      <c r="K129">
        <f>IF('Recurring Schedule'!$C$15="","",IF('Recurring Schedule'!$F$15="","",IF(OR($A129&lt;'Recurring Schedule'!$F$15,$A129&gt;'Recurring Schedule'!$P$15),"",IF(IF('Recurring Schedule'!$N$15&gt;0,MOD($A129-'Recurring Schedule'!$F$15,'Recurring Schedule'!$N$15)=0,IF('Recurring Schedule'!$O$15&gt;0,AND(DAY($A129)=MIN(DAY('Recurring Schedule'!$F$15),DAY(EOMONTH($A129,0))),MOD((YEAR($A129)-YEAR('Recurring Schedule'!$F$15))*12+MONTH($A129)-MONTH('Recurring Schedule'!$F$15),'Recurring Schedule'!$O$15)=0),IF('Recurring Schedule'!$E$15="Weekdays",WEEKDAY($A129,2)&lt;=5,$A129='Recurring Schedule'!$F$15))),10,""))))</f>
        <v/>
      </c>
      <c r="L129">
        <f>IF('Recurring Schedule'!$C$16="","",IF('Recurring Schedule'!$F$16="","",IF(OR($A129&lt;'Recurring Schedule'!$F$16,$A129&gt;'Recurring Schedule'!$P$16),"",IF(IF('Recurring Schedule'!$N$16&gt;0,MOD($A129-'Recurring Schedule'!$F$16,'Recurring Schedule'!$N$16)=0,IF('Recurring Schedule'!$O$16&gt;0,AND(DAY($A129)=MIN(DAY('Recurring Schedule'!$F$16),DAY(EOMONTH($A129,0))),MOD((YEAR($A129)-YEAR('Recurring Schedule'!$F$16))*12+MONTH($A129)-MONTH('Recurring Schedule'!$F$16),'Recurring Schedule'!$O$16)=0),IF('Recurring Schedule'!$E$16="Weekdays",WEEKDAY($A129,2)&lt;=5,$A129='Recurring Schedule'!$F$16))),11,""))))</f>
        <v/>
      </c>
      <c r="M129">
        <f>IF('Recurring Schedule'!$C$17="","",IF('Recurring Schedule'!$F$17="","",IF(OR($A129&lt;'Recurring Schedule'!$F$17,$A129&gt;'Recurring Schedule'!$P$17),"",IF(IF('Recurring Schedule'!$N$17&gt;0,MOD($A129-'Recurring Schedule'!$F$17,'Recurring Schedule'!$N$17)=0,IF('Recurring Schedule'!$O$17&gt;0,AND(DAY($A129)=MIN(DAY('Recurring Schedule'!$F$17),DAY(EOMONTH($A129,0))),MOD((YEAR($A129)-YEAR('Recurring Schedule'!$F$17))*12+MONTH($A129)-MONTH('Recurring Schedule'!$F$17),'Recurring Schedule'!$O$17)=0),IF('Recurring Schedule'!$E$17="Weekdays",WEEKDAY($A129,2)&lt;=5,$A129='Recurring Schedule'!$F$17))),12,""))))</f>
        <v/>
      </c>
      <c r="N129">
        <f>IF('Recurring Schedule'!$C$18="","",IF('Recurring Schedule'!$F$18="","",IF(OR($A129&lt;'Recurring Schedule'!$F$18,$A129&gt;'Recurring Schedule'!$P$18),"",IF(IF('Recurring Schedule'!$N$18&gt;0,MOD($A129-'Recurring Schedule'!$F$18,'Recurring Schedule'!$N$18)=0,IF('Recurring Schedule'!$O$18&gt;0,AND(DAY($A129)=MIN(DAY('Recurring Schedule'!$F$18),DAY(EOMONTH($A129,0))),MOD((YEAR($A129)-YEAR('Recurring Schedule'!$F$18))*12+MONTH($A129)-MONTH('Recurring Schedule'!$F$18),'Recurring Schedule'!$O$18)=0),IF('Recurring Schedule'!$E$18="Weekdays",WEEKDAY($A129,2)&lt;=5,$A129='Recurring Schedule'!$F$18))),13,""))))</f>
        <v/>
      </c>
      <c r="O129">
        <f>IF('Recurring Schedule'!$C$19="","",IF('Recurring Schedule'!$F$19="","",IF(OR($A129&lt;'Recurring Schedule'!$F$19,$A129&gt;'Recurring Schedule'!$P$19),"",IF(IF('Recurring Schedule'!$N$19&gt;0,MOD($A129-'Recurring Schedule'!$F$19,'Recurring Schedule'!$N$19)=0,IF('Recurring Schedule'!$O$19&gt;0,AND(DAY($A129)=MIN(DAY('Recurring Schedule'!$F$19),DAY(EOMONTH($A129,0))),MOD((YEAR($A129)-YEAR('Recurring Schedule'!$F$19))*12+MONTH($A129)-MONTH('Recurring Schedule'!$F$19),'Recurring Schedule'!$O$19)=0),IF('Recurring Schedule'!$E$19="Weekdays",WEEKDAY($A129,2)&lt;=5,$A129='Recurring Schedule'!$F$19))),14,""))))</f>
        <v/>
      </c>
      <c r="P129">
        <f>IF('Recurring Schedule'!$C$20="","",IF('Recurring Schedule'!$F$20="","",IF(OR($A129&lt;'Recurring Schedule'!$F$20,$A129&gt;'Recurring Schedule'!$P$20),"",IF(IF('Recurring Schedule'!$N$20&gt;0,MOD($A129-'Recurring Schedule'!$F$20,'Recurring Schedule'!$N$20)=0,IF('Recurring Schedule'!$O$20&gt;0,AND(DAY($A129)=MIN(DAY('Recurring Schedule'!$F$20),DAY(EOMONTH($A129,0))),MOD((YEAR($A129)-YEAR('Recurring Schedule'!$F$20))*12+MONTH($A129)-MONTH('Recurring Schedule'!$F$20),'Recurring Schedule'!$O$20)=0),IF('Recurring Schedule'!$E$20="Weekdays",WEEKDAY($A129,2)&lt;=5,$A129='Recurring Schedule'!$F$20))),15,""))))</f>
        <v/>
      </c>
      <c r="Q129">
        <f>IF('Recurring Schedule'!$C$21="","",IF('Recurring Schedule'!$F$21="","",IF(OR($A129&lt;'Recurring Schedule'!$F$21,$A129&gt;'Recurring Schedule'!$P$21),"",IF(IF('Recurring Schedule'!$N$21&gt;0,MOD($A129-'Recurring Schedule'!$F$21,'Recurring Schedule'!$N$21)=0,IF('Recurring Schedule'!$O$21&gt;0,AND(DAY($A129)=MIN(DAY('Recurring Schedule'!$F$21),DAY(EOMONTH($A129,0))),MOD((YEAR($A129)-YEAR('Recurring Schedule'!$F$21))*12+MONTH($A129)-MONTH('Recurring Schedule'!$F$21),'Recurring Schedule'!$O$21)=0),IF('Recurring Schedule'!$E$21="Weekdays",WEEKDAY($A129,2)&lt;=5,$A129='Recurring Schedule'!$F$21))),16,""))))</f>
        <v/>
      </c>
      <c r="R129">
        <f>IF('Recurring Schedule'!$C$22="","",IF('Recurring Schedule'!$F$22="","",IF(OR($A129&lt;'Recurring Schedule'!$F$22,$A129&gt;'Recurring Schedule'!$P$22),"",IF(IF('Recurring Schedule'!$N$22&gt;0,MOD($A129-'Recurring Schedule'!$F$22,'Recurring Schedule'!$N$22)=0,IF('Recurring Schedule'!$O$22&gt;0,AND(DAY($A129)=MIN(DAY('Recurring Schedule'!$F$22),DAY(EOMONTH($A129,0))),MOD((YEAR($A129)-YEAR('Recurring Schedule'!$F$22))*12+MONTH($A129)-MONTH('Recurring Schedule'!$F$22),'Recurring Schedule'!$O$22)=0),IF('Recurring Schedule'!$E$22="Weekdays",WEEKDAY($A129,2)&lt;=5,$A129='Recurring Schedule'!$F$22))),17,""))))</f>
        <v/>
      </c>
      <c r="S129">
        <f>IF('Recurring Schedule'!$C$23="","",IF('Recurring Schedule'!$F$23="","",IF(OR($A129&lt;'Recurring Schedule'!$F$23,$A129&gt;'Recurring Schedule'!$P$23),"",IF(IF('Recurring Schedule'!$N$23&gt;0,MOD($A129-'Recurring Schedule'!$F$23,'Recurring Schedule'!$N$23)=0,IF('Recurring Schedule'!$O$23&gt;0,AND(DAY($A129)=MIN(DAY('Recurring Schedule'!$F$23),DAY(EOMONTH($A129,0))),MOD((YEAR($A129)-YEAR('Recurring Schedule'!$F$23))*12+MONTH($A129)-MONTH('Recurring Schedule'!$F$23),'Recurring Schedule'!$O$23)=0),IF('Recurring Schedule'!$E$23="Weekdays",WEEKDAY($A129,2)&lt;=5,$A129='Recurring Schedule'!$F$23))),18,""))))</f>
        <v/>
      </c>
      <c r="T129">
        <f>IF('Recurring Schedule'!$C$24="","",IF('Recurring Schedule'!$F$24="","",IF(OR($A129&lt;'Recurring Schedule'!$F$24,$A129&gt;'Recurring Schedule'!$P$24),"",IF(IF('Recurring Schedule'!$N$24&gt;0,MOD($A129-'Recurring Schedule'!$F$24,'Recurring Schedule'!$N$24)=0,IF('Recurring Schedule'!$O$24&gt;0,AND(DAY($A129)=MIN(DAY('Recurring Schedule'!$F$24),DAY(EOMONTH($A129,0))),MOD((YEAR($A129)-YEAR('Recurring Schedule'!$F$24))*12+MONTH($A129)-MONTH('Recurring Schedule'!$F$24),'Recurring Schedule'!$O$24)=0),IF('Recurring Schedule'!$E$24="Weekdays",WEEKDAY($A129,2)&lt;=5,$A129='Recurring Schedule'!$F$24))),19,""))))</f>
        <v/>
      </c>
      <c r="U129">
        <f>IF('Recurring Schedule'!$C$25="","",IF('Recurring Schedule'!$F$25="","",IF(OR($A129&lt;'Recurring Schedule'!$F$25,$A129&gt;'Recurring Schedule'!$P$25),"",IF(IF('Recurring Schedule'!$N$25&gt;0,MOD($A129-'Recurring Schedule'!$F$25,'Recurring Schedule'!$N$25)=0,IF('Recurring Schedule'!$O$25&gt;0,AND(DAY($A129)=MIN(DAY('Recurring Schedule'!$F$25),DAY(EOMONTH($A129,0))),MOD((YEAR($A129)-YEAR('Recurring Schedule'!$F$25))*12+MONTH($A129)-MONTH('Recurring Schedule'!$F$25),'Recurring Schedule'!$O$25)=0),IF('Recurring Schedule'!$E$25="Weekdays",WEEKDAY($A129,2)&lt;=5,$A129='Recurring Schedule'!$F$25))),20,""))))</f>
        <v/>
      </c>
      <c r="V129">
        <f>IF('Recurring Schedule'!$C$26="","",IF('Recurring Schedule'!$F$26="","",IF(OR($A129&lt;'Recurring Schedule'!$F$26,$A129&gt;'Recurring Schedule'!$P$26),"",IF(IF('Recurring Schedule'!$N$26&gt;0,MOD($A129-'Recurring Schedule'!$F$26,'Recurring Schedule'!$N$26)=0,IF('Recurring Schedule'!$O$26&gt;0,AND(DAY($A129)=MIN(DAY('Recurring Schedule'!$F$26),DAY(EOMONTH($A129,0))),MOD((YEAR($A129)-YEAR('Recurring Schedule'!$F$26))*12+MONTH($A129)-MONTH('Recurring Schedule'!$F$26),'Recurring Schedule'!$O$26)=0),IF('Recurring Schedule'!$E$26="Weekdays",WEEKDAY($A129,2)&lt;=5,$A129='Recurring Schedule'!$F$26))),21,""))))</f>
        <v/>
      </c>
      <c r="W129">
        <f>IF('Recurring Schedule'!$C$27="","",IF('Recurring Schedule'!$F$27="","",IF(OR($A129&lt;'Recurring Schedule'!$F$27,$A129&gt;'Recurring Schedule'!$P$27),"",IF(IF('Recurring Schedule'!$N$27&gt;0,MOD($A129-'Recurring Schedule'!$F$27,'Recurring Schedule'!$N$27)=0,IF('Recurring Schedule'!$O$27&gt;0,AND(DAY($A129)=MIN(DAY('Recurring Schedule'!$F$27),DAY(EOMONTH($A129,0))),MOD((YEAR($A129)-YEAR('Recurring Schedule'!$F$27))*12+MONTH($A129)-MONTH('Recurring Schedule'!$F$27),'Recurring Schedule'!$O$27)=0),IF('Recurring Schedule'!$E$27="Weekdays",WEEKDAY($A129,2)&lt;=5,$A129='Recurring Schedule'!$F$27))),22,""))))</f>
        <v/>
      </c>
      <c r="X129">
        <f>IF('Recurring Schedule'!$C$28="","",IF('Recurring Schedule'!$F$28="","",IF(OR($A129&lt;'Recurring Schedule'!$F$28,$A129&gt;'Recurring Schedule'!$P$28),"",IF(IF('Recurring Schedule'!$N$28&gt;0,MOD($A129-'Recurring Schedule'!$F$28,'Recurring Schedule'!$N$28)=0,IF('Recurring Schedule'!$O$28&gt;0,AND(DAY($A129)=MIN(DAY('Recurring Schedule'!$F$28),DAY(EOMONTH($A129,0))),MOD((YEAR($A129)-YEAR('Recurring Schedule'!$F$28))*12+MONTH($A129)-MONTH('Recurring Schedule'!$F$28),'Recurring Schedule'!$O$28)=0),IF('Recurring Schedule'!$E$28="Weekdays",WEEKDAY($A129,2)&lt;=5,$A129='Recurring Schedule'!$F$28))),23,""))))</f>
        <v/>
      </c>
      <c r="Y129">
        <f>IF('Recurring Schedule'!$C$29="","",IF('Recurring Schedule'!$F$29="","",IF(OR($A129&lt;'Recurring Schedule'!$F$29,$A129&gt;'Recurring Schedule'!$P$29),"",IF(IF('Recurring Schedule'!$N$29&gt;0,MOD($A129-'Recurring Schedule'!$F$29,'Recurring Schedule'!$N$29)=0,IF('Recurring Schedule'!$O$29&gt;0,AND(DAY($A129)=MIN(DAY('Recurring Schedule'!$F$29),DAY(EOMONTH($A129,0))),MOD((YEAR($A129)-YEAR('Recurring Schedule'!$F$29))*12+MONTH($A129)-MONTH('Recurring Schedule'!$F$29),'Recurring Schedule'!$O$29)=0),IF('Recurring Schedule'!$E$29="Weekdays",WEEKDAY($A129,2)&lt;=5,$A129='Recurring Schedule'!$F$29))),24,""))))</f>
        <v/>
      </c>
      <c r="Z129">
        <f>IF('Recurring Schedule'!$C$30="","",IF('Recurring Schedule'!$F$30="","",IF(OR($A129&lt;'Recurring Schedule'!$F$30,$A129&gt;'Recurring Schedule'!$P$30),"",IF(IF('Recurring Schedule'!$N$30&gt;0,MOD($A129-'Recurring Schedule'!$F$30,'Recurring Schedule'!$N$30)=0,IF('Recurring Schedule'!$O$30&gt;0,AND(DAY($A129)=MIN(DAY('Recurring Schedule'!$F$30),DAY(EOMONTH($A129,0))),MOD((YEAR($A129)-YEAR('Recurring Schedule'!$F$30))*12+MONTH($A129)-MONTH('Recurring Schedule'!$F$30),'Recurring Schedule'!$O$30)=0),IF('Recurring Schedule'!$E$30="Weekdays",WEEKDAY($A129,2)&lt;=5,$A129='Recurring Schedule'!$F$30))),25,""))))</f>
        <v/>
      </c>
      <c r="AA129">
        <f>IF('Recurring Schedule'!$C$31="","",IF('Recurring Schedule'!$F$31="","",IF(OR($A129&lt;'Recurring Schedule'!$F$31,$A129&gt;'Recurring Schedule'!$P$31),"",IF(IF('Recurring Schedule'!$N$31&gt;0,MOD($A129-'Recurring Schedule'!$F$31,'Recurring Schedule'!$N$31)=0,IF('Recurring Schedule'!$O$31&gt;0,AND(DAY($A129)=MIN(DAY('Recurring Schedule'!$F$31),DAY(EOMONTH($A129,0))),MOD((YEAR($A129)-YEAR('Recurring Schedule'!$F$31))*12+MONTH($A129)-MONTH('Recurring Schedule'!$F$31),'Recurring Schedule'!$O$31)=0),IF('Recurring Schedule'!$E$31="Weekdays",WEEKDAY($A129,2)&lt;=5,$A129='Recurring Schedule'!$F$31))),26,""))))</f>
        <v/>
      </c>
      <c r="AB129">
        <f>IF('Recurring Schedule'!$C$32="","",IF('Recurring Schedule'!$F$32="","",IF(OR($A129&lt;'Recurring Schedule'!$F$32,$A129&gt;'Recurring Schedule'!$P$32),"",IF(IF('Recurring Schedule'!$N$32&gt;0,MOD($A129-'Recurring Schedule'!$F$32,'Recurring Schedule'!$N$32)=0,IF('Recurring Schedule'!$O$32&gt;0,AND(DAY($A129)=MIN(DAY('Recurring Schedule'!$F$32),DAY(EOMONTH($A129,0))),MOD((YEAR($A129)-YEAR('Recurring Schedule'!$F$32))*12+MONTH($A129)-MONTH('Recurring Schedule'!$F$32),'Recurring Schedule'!$O$32)=0),IF('Recurring Schedule'!$E$32="Weekdays",WEEKDAY($A129,2)&lt;=5,$A129='Recurring Schedule'!$F$32))),27,""))))</f>
        <v/>
      </c>
      <c r="AC129">
        <f>IF('Recurring Schedule'!$C$33="","",IF('Recurring Schedule'!$F$33="","",IF(OR($A129&lt;'Recurring Schedule'!$F$33,$A129&gt;'Recurring Schedule'!$P$33),"",IF(IF('Recurring Schedule'!$N$33&gt;0,MOD($A129-'Recurring Schedule'!$F$33,'Recurring Schedule'!$N$33)=0,IF('Recurring Schedule'!$O$33&gt;0,AND(DAY($A129)=MIN(DAY('Recurring Schedule'!$F$33),DAY(EOMONTH($A129,0))),MOD((YEAR($A129)-YEAR('Recurring Schedule'!$F$33))*12+MONTH($A129)-MONTH('Recurring Schedule'!$F$33),'Recurring Schedule'!$O$33)=0),IF('Recurring Schedule'!$E$33="Weekdays",WEEKDAY($A129,2)&lt;=5,$A129='Recurring Schedule'!$F$33))),28,""))))</f>
        <v/>
      </c>
      <c r="AD129">
        <f>IF('Recurring Schedule'!$C$34="","",IF('Recurring Schedule'!$F$34="","",IF(OR($A129&lt;'Recurring Schedule'!$F$34,$A129&gt;'Recurring Schedule'!$P$34),"",IF(IF('Recurring Schedule'!$N$34&gt;0,MOD($A129-'Recurring Schedule'!$F$34,'Recurring Schedule'!$N$34)=0,IF('Recurring Schedule'!$O$34&gt;0,AND(DAY($A129)=MIN(DAY('Recurring Schedule'!$F$34),DAY(EOMONTH($A129,0))),MOD((YEAR($A129)-YEAR('Recurring Schedule'!$F$34))*12+MONTH($A129)-MONTH('Recurring Schedule'!$F$34),'Recurring Schedule'!$O$34)=0),IF('Recurring Schedule'!$E$34="Weekdays",WEEKDAY($A129,2)&lt;=5,$A129='Recurring Schedule'!$F$34))),29,""))))</f>
        <v/>
      </c>
      <c r="AE129">
        <f>IF('Recurring Schedule'!$C$35="","",IF('Recurring Schedule'!$F$35="","",IF(OR($A129&lt;'Recurring Schedule'!$F$35,$A129&gt;'Recurring Schedule'!$P$35),"",IF(IF('Recurring Schedule'!$N$35&gt;0,MOD($A129-'Recurring Schedule'!$F$35,'Recurring Schedule'!$N$35)=0,IF('Recurring Schedule'!$O$35&gt;0,AND(DAY($A129)=MIN(DAY('Recurring Schedule'!$F$35),DAY(EOMONTH($A129,0))),MOD((YEAR($A129)-YEAR('Recurring Schedule'!$F$35))*12+MONTH($A129)-MONTH('Recurring Schedule'!$F$35),'Recurring Schedule'!$O$35)=0),IF('Recurring Schedule'!$E$35="Weekdays",WEEKDAY($A129,2)&lt;=5,$A129='Recurring Schedule'!$F$35))),30,""))))</f>
        <v/>
      </c>
      <c r="AF129">
        <f>IF('Recurring Schedule'!$C$36="","",IF('Recurring Schedule'!$F$36="","",IF(OR($A129&lt;'Recurring Schedule'!$F$36,$A129&gt;'Recurring Schedule'!$P$36),"",IF(IF('Recurring Schedule'!$N$36&gt;0,MOD($A129-'Recurring Schedule'!$F$36,'Recurring Schedule'!$N$36)=0,IF('Recurring Schedule'!$O$36&gt;0,AND(DAY($A129)=MIN(DAY('Recurring Schedule'!$F$36),DAY(EOMONTH($A129,0))),MOD((YEAR($A129)-YEAR('Recurring Schedule'!$F$36))*12+MONTH($A129)-MONTH('Recurring Schedule'!$F$36),'Recurring Schedule'!$O$36)=0),IF('Recurring Schedule'!$E$36="Weekdays",WEEKDAY($A129,2)&lt;=5,$A129='Recurring Schedule'!$F$36))),31,""))))</f>
        <v/>
      </c>
      <c r="AG129">
        <f>IF('Recurring Schedule'!$C$37="","",IF('Recurring Schedule'!$F$37="","",IF(OR($A129&lt;'Recurring Schedule'!$F$37,$A129&gt;'Recurring Schedule'!$P$37),"",IF(IF('Recurring Schedule'!$N$37&gt;0,MOD($A129-'Recurring Schedule'!$F$37,'Recurring Schedule'!$N$37)=0,IF('Recurring Schedule'!$O$37&gt;0,AND(DAY($A129)=MIN(DAY('Recurring Schedule'!$F$37),DAY(EOMONTH($A129,0))),MOD((YEAR($A129)-YEAR('Recurring Schedule'!$F$37))*12+MONTH($A129)-MONTH('Recurring Schedule'!$F$37),'Recurring Schedule'!$O$37)=0),IF('Recurring Schedule'!$E$37="Weekdays",WEEKDAY($A129,2)&lt;=5,$A129='Recurring Schedule'!$F$37))),32,""))))</f>
        <v/>
      </c>
      <c r="AH129">
        <f>IF('Recurring Schedule'!$C$38="","",IF('Recurring Schedule'!$F$38="","",IF(OR($A129&lt;'Recurring Schedule'!$F$38,$A129&gt;'Recurring Schedule'!$P$38),"",IF(IF('Recurring Schedule'!$N$38&gt;0,MOD($A129-'Recurring Schedule'!$F$38,'Recurring Schedule'!$N$38)=0,IF('Recurring Schedule'!$O$38&gt;0,AND(DAY($A129)=MIN(DAY('Recurring Schedule'!$F$38),DAY(EOMONTH($A129,0))),MOD((YEAR($A129)-YEAR('Recurring Schedule'!$F$38))*12+MONTH($A129)-MONTH('Recurring Schedule'!$F$38),'Recurring Schedule'!$O$38)=0),IF('Recurring Schedule'!$E$38="Weekdays",WEEKDAY($A129,2)&lt;=5,$A129='Recurring Schedule'!$F$38))),33,""))))</f>
        <v/>
      </c>
      <c r="AI129">
        <f>IF('Recurring Schedule'!$C$39="","",IF('Recurring Schedule'!$F$39="","",IF(OR($A129&lt;'Recurring Schedule'!$F$39,$A129&gt;'Recurring Schedule'!$P$39),"",IF(IF('Recurring Schedule'!$N$39&gt;0,MOD($A129-'Recurring Schedule'!$F$39,'Recurring Schedule'!$N$39)=0,IF('Recurring Schedule'!$O$39&gt;0,AND(DAY($A129)=MIN(DAY('Recurring Schedule'!$F$39),DAY(EOMONTH($A129,0))),MOD((YEAR($A129)-YEAR('Recurring Schedule'!$F$39))*12+MONTH($A129)-MONTH('Recurring Schedule'!$F$39),'Recurring Schedule'!$O$39)=0),IF('Recurring Schedule'!$E$39="Weekdays",WEEKDAY($A129,2)&lt;=5,$A129='Recurring Schedule'!$F$39))),34,""))))</f>
        <v/>
      </c>
      <c r="AJ129">
        <f>IF('Recurring Schedule'!$C$40="","",IF('Recurring Schedule'!$F$40="","",IF(OR($A129&lt;'Recurring Schedule'!$F$40,$A129&gt;'Recurring Schedule'!$P$40),"",IF(IF('Recurring Schedule'!$N$40&gt;0,MOD($A129-'Recurring Schedule'!$F$40,'Recurring Schedule'!$N$40)=0,IF('Recurring Schedule'!$O$40&gt;0,AND(DAY($A129)=MIN(DAY('Recurring Schedule'!$F$40),DAY(EOMONTH($A129,0))),MOD((YEAR($A129)-YEAR('Recurring Schedule'!$F$40))*12+MONTH($A129)-MONTH('Recurring Schedule'!$F$40),'Recurring Schedule'!$O$40)=0),IF('Recurring Schedule'!$E$40="Weekdays",WEEKDAY($A129,2)&lt;=5,$A129='Recurring Schedule'!$F$40))),35,""))))</f>
        <v/>
      </c>
      <c r="AK129">
        <f>IF('Recurring Schedule'!$C$41="","",IF('Recurring Schedule'!$F$41="","",IF(OR($A129&lt;'Recurring Schedule'!$F$41,$A129&gt;'Recurring Schedule'!$P$41),"",IF(IF('Recurring Schedule'!$N$41&gt;0,MOD($A129-'Recurring Schedule'!$F$41,'Recurring Schedule'!$N$41)=0,IF('Recurring Schedule'!$O$41&gt;0,AND(DAY($A129)=MIN(DAY('Recurring Schedule'!$F$41),DAY(EOMONTH($A129,0))),MOD((YEAR($A129)-YEAR('Recurring Schedule'!$F$41))*12+MONTH($A129)-MONTH('Recurring Schedule'!$F$41),'Recurring Schedule'!$O$41)=0),IF('Recurring Schedule'!$E$41="Weekdays",WEEKDAY($A129,2)&lt;=5,$A129='Recurring Schedule'!$F$41))),36,""))))</f>
        <v/>
      </c>
      <c r="AL129">
        <f>IF('Recurring Schedule'!$C$42="","",IF('Recurring Schedule'!$F$42="","",IF(OR($A129&lt;'Recurring Schedule'!$F$42,$A129&gt;'Recurring Schedule'!$P$42),"",IF(IF('Recurring Schedule'!$N$42&gt;0,MOD($A129-'Recurring Schedule'!$F$42,'Recurring Schedule'!$N$42)=0,IF('Recurring Schedule'!$O$42&gt;0,AND(DAY($A129)=MIN(DAY('Recurring Schedule'!$F$42),DAY(EOMONTH($A129,0))),MOD((YEAR($A129)-YEAR('Recurring Schedule'!$F$42))*12+MONTH($A129)-MONTH('Recurring Schedule'!$F$42),'Recurring Schedule'!$O$42)=0),IF('Recurring Schedule'!$E$42="Weekdays",WEEKDAY($A129,2)&lt;=5,$A129='Recurring Schedule'!$F$42))),37,""))))</f>
        <v/>
      </c>
      <c r="AM129">
        <f>IF('Recurring Schedule'!$C$43="","",IF('Recurring Schedule'!$F$43="","",IF(OR($A129&lt;'Recurring Schedule'!$F$43,$A129&gt;'Recurring Schedule'!$P$43),"",IF(IF('Recurring Schedule'!$N$43&gt;0,MOD($A129-'Recurring Schedule'!$F$43,'Recurring Schedule'!$N$43)=0,IF('Recurring Schedule'!$O$43&gt;0,AND(DAY($A129)=MIN(DAY('Recurring Schedule'!$F$43),DAY(EOMONTH($A129,0))),MOD((YEAR($A129)-YEAR('Recurring Schedule'!$F$43))*12+MONTH($A129)-MONTH('Recurring Schedule'!$F$43),'Recurring Schedule'!$O$43)=0),IF('Recurring Schedule'!$E$43="Weekdays",WEEKDAY($A129,2)&lt;=5,$A129='Recurring Schedule'!$F$43))),38,""))))</f>
        <v/>
      </c>
      <c r="AN129">
        <f>IF('Recurring Schedule'!$C$44="","",IF('Recurring Schedule'!$F$44="","",IF(OR($A129&lt;'Recurring Schedule'!$F$44,$A129&gt;'Recurring Schedule'!$P$44),"",IF(IF('Recurring Schedule'!$N$44&gt;0,MOD($A129-'Recurring Schedule'!$F$44,'Recurring Schedule'!$N$44)=0,IF('Recurring Schedule'!$O$44&gt;0,AND(DAY($A129)=MIN(DAY('Recurring Schedule'!$F$44),DAY(EOMONTH($A129,0))),MOD((YEAR($A129)-YEAR('Recurring Schedule'!$F$44))*12+MONTH($A129)-MONTH('Recurring Schedule'!$F$44),'Recurring Schedule'!$O$44)=0),IF('Recurring Schedule'!$E$44="Weekdays",WEEKDAY($A129,2)&lt;=5,$A129='Recurring Schedule'!$F$44))),39,""))))</f>
        <v/>
      </c>
      <c r="AO129">
        <f>IF('Recurring Schedule'!$C$45="","",IF('Recurring Schedule'!$F$45="","",IF(OR($A129&lt;'Recurring Schedule'!$F$45,$A129&gt;'Recurring Schedule'!$P$45),"",IF(IF('Recurring Schedule'!$N$45&gt;0,MOD($A129-'Recurring Schedule'!$F$45,'Recurring Schedule'!$N$45)=0,IF('Recurring Schedule'!$O$45&gt;0,AND(DAY($A129)=MIN(DAY('Recurring Schedule'!$F$45),DAY(EOMONTH($A129,0))),MOD((YEAR($A129)-YEAR('Recurring Schedule'!$F$45))*12+MONTH($A129)-MONTH('Recurring Schedule'!$F$45),'Recurring Schedule'!$O$45)=0),IF('Recurring Schedule'!$E$45="Weekdays",WEEKDAY($A129,2)&lt;=5,$A129='Recurring Schedule'!$F$45))),40,""))))</f>
        <v/>
      </c>
      <c r="AP129">
        <f>COUNT(B129:AO129)</f>
        <v/>
      </c>
      <c r="AQ129">
        <f>AQ128+AP128</f>
        <v/>
      </c>
      <c r="AS129" t="inlineStr">
        <is>
          <t>R</t>
        </is>
      </c>
      <c r="AT129" t="n">
        <v>133</v>
      </c>
      <c r="AU129">
        <f>'Recurring Log'!C133&amp;""</f>
        <v/>
      </c>
      <c r="AV129">
        <f>'Recurring Log'!D133&amp;""</f>
        <v/>
      </c>
      <c r="AW129">
        <f>IF('Recurring Log'!E133="","",'Recurring Log'!E133)</f>
        <v/>
      </c>
      <c r="AX129">
        <f>IF('Recurring Log'!G133="","",'Recurring Log'!G133)</f>
        <v/>
      </c>
      <c r="AY129">
        <f>IF('Recurring Log'!H133="","",'Recurring Log'!H133)</f>
        <v/>
      </c>
      <c r="AZ129">
        <f>IF(AU129="","",IF('Recurring Log'!J133="","Not Started",'Recurring Log'!J133))</f>
        <v/>
      </c>
      <c r="BA129">
        <f>'Recurring Log'!L133&amp;""</f>
        <v/>
      </c>
      <c r="BB129">
        <f>'Recurring Log'!M133&amp;""</f>
        <v/>
      </c>
      <c r="BC129">
        <f>'Recurring Log'!N133&amp;""</f>
        <v/>
      </c>
      <c r="BD129">
        <f>'Recurring Log'!O133&amp;""</f>
        <v/>
      </c>
      <c r="BE129">
        <f>IF('Recurring Log'!K133="","",'Recurring Log'!K133)</f>
        <v/>
      </c>
      <c r="BF129">
        <f>IFERROR(MATCH(BA129,Setup!$L$6:$L$9,0),5)</f>
        <v/>
      </c>
      <c r="BG129">
        <f>IF(OR(AZ129="Done",AZ129="Cancelled"),1,0)</f>
        <v/>
      </c>
      <c r="BH129">
        <f>IF(AND(AU129&lt;&gt;"",ISNUMBER(AW129)),1,0)</f>
        <v/>
      </c>
      <c r="BI129">
        <f>IF(BH129=0,0,IF(AND(AW129&gt;='Tasks Filter'!$F$3,AW129&lt;='Tasks Filter'!$F$4,OR('Tasks Filter'!$I$3="",ISNUMBER(SEARCH('Tasks Filter'!$I$3,AU129))),OR('Tasks Filter'!$I$4="",BF129=IFERROR(MATCH('Tasks Filter'!$I$4,Setup!$L$6:$L$9,0),0)),OR('Tasks Filter'!$I$5="Both",AND('Tasks Filter'!$I$5="Yes",BB129="✓"),AND('Tasks Filter'!$I$5="No",BB129&lt;&gt;"✓")),OR('Tasks Filter'!$L$3="",AV129='Tasks Filter'!$L$3),OR('Tasks Filter'!$L$4="",AZ129='Tasks Filter'!$L$4),OR('Tasks Filter'!$L$5="",BC129='Tasks Filter'!$L$5),OR('Tasks Filter'!$O$3="",BD129='Tasks Filter'!$O$3),OR('Tasks Filter'!$O$4="Yes",BG129=0)),1,0))</f>
        <v/>
      </c>
      <c r="BJ129">
        <f>IF(BH129=0,"",IF('Tasks Filter'!$F$6="Descending",-1,1)*CHOOSE(MATCH('Tasks Filter'!$F$5,Lists!$G$2:$G$6,0),AW129,BF129,IFERROR(MATCH(AV129,Setup!$F$6:$F$15,0),99),IFERROR(MATCH(BC129,Setup!$H$6:$H$15,0),99),IFERROR(MATCH(AZ129,Setup!$J$6:$J$11,0),99))*1E+9+(AW129-40000)*10000+128)</f>
        <v/>
      </c>
      <c r="BK129">
        <f>IF(BI129=1,BJ129,"")</f>
        <v/>
      </c>
      <c r="BL129">
        <f>IF(AND(BH129=1,BG129=0,N(AW129)&lt;Setup!$D$7),(AW129-40000)*10000+128,"")</f>
        <v/>
      </c>
      <c r="BM129">
        <f>IF(AND(BH129=1,AZ129&lt;&gt;"Cancelled",N(AW129)&gt;=Dashboard!$AB$3,N(AW129)&lt;=Dashboard!$AB$3+6),(AW129-40000)*100000+BF129*10000+128,"")</f>
        <v/>
      </c>
      <c r="BN129">
        <f>IF(AND(BH129=1,AZ129&lt;&gt;"Cancelled"),BF129*10000+128,"")</f>
        <v/>
      </c>
    </row>
    <row r="130">
      <c r="A130">
        <f>Setup!$D$5+128</f>
        <v/>
      </c>
      <c r="B130">
        <f>IF('Recurring Schedule'!$C$6="","",IF('Recurring Schedule'!$F$6="","",IF(OR($A130&lt;'Recurring Schedule'!$F$6,$A130&gt;'Recurring Schedule'!$P$6),"",IF(IF('Recurring Schedule'!$N$6&gt;0,MOD($A130-'Recurring Schedule'!$F$6,'Recurring Schedule'!$N$6)=0,IF('Recurring Schedule'!$O$6&gt;0,AND(DAY($A130)=MIN(DAY('Recurring Schedule'!$F$6),DAY(EOMONTH($A130,0))),MOD((YEAR($A130)-YEAR('Recurring Schedule'!$F$6))*12+MONTH($A130)-MONTH('Recurring Schedule'!$F$6),'Recurring Schedule'!$O$6)=0),IF('Recurring Schedule'!$E$6="Weekdays",WEEKDAY($A130,2)&lt;=5,$A130='Recurring Schedule'!$F$6))),1,""))))</f>
        <v/>
      </c>
      <c r="C130">
        <f>IF('Recurring Schedule'!$C$7="","",IF('Recurring Schedule'!$F$7="","",IF(OR($A130&lt;'Recurring Schedule'!$F$7,$A130&gt;'Recurring Schedule'!$P$7),"",IF(IF('Recurring Schedule'!$N$7&gt;0,MOD($A130-'Recurring Schedule'!$F$7,'Recurring Schedule'!$N$7)=0,IF('Recurring Schedule'!$O$7&gt;0,AND(DAY($A130)=MIN(DAY('Recurring Schedule'!$F$7),DAY(EOMONTH($A130,0))),MOD((YEAR($A130)-YEAR('Recurring Schedule'!$F$7))*12+MONTH($A130)-MONTH('Recurring Schedule'!$F$7),'Recurring Schedule'!$O$7)=0),IF('Recurring Schedule'!$E$7="Weekdays",WEEKDAY($A130,2)&lt;=5,$A130='Recurring Schedule'!$F$7))),2,""))))</f>
        <v/>
      </c>
      <c r="D130">
        <f>IF('Recurring Schedule'!$C$8="","",IF('Recurring Schedule'!$F$8="","",IF(OR($A130&lt;'Recurring Schedule'!$F$8,$A130&gt;'Recurring Schedule'!$P$8),"",IF(IF('Recurring Schedule'!$N$8&gt;0,MOD($A130-'Recurring Schedule'!$F$8,'Recurring Schedule'!$N$8)=0,IF('Recurring Schedule'!$O$8&gt;0,AND(DAY($A130)=MIN(DAY('Recurring Schedule'!$F$8),DAY(EOMONTH($A130,0))),MOD((YEAR($A130)-YEAR('Recurring Schedule'!$F$8))*12+MONTH($A130)-MONTH('Recurring Schedule'!$F$8),'Recurring Schedule'!$O$8)=0),IF('Recurring Schedule'!$E$8="Weekdays",WEEKDAY($A130,2)&lt;=5,$A130='Recurring Schedule'!$F$8))),3,""))))</f>
        <v/>
      </c>
      <c r="E130">
        <f>IF('Recurring Schedule'!$C$9="","",IF('Recurring Schedule'!$F$9="","",IF(OR($A130&lt;'Recurring Schedule'!$F$9,$A130&gt;'Recurring Schedule'!$P$9),"",IF(IF('Recurring Schedule'!$N$9&gt;0,MOD($A130-'Recurring Schedule'!$F$9,'Recurring Schedule'!$N$9)=0,IF('Recurring Schedule'!$O$9&gt;0,AND(DAY($A130)=MIN(DAY('Recurring Schedule'!$F$9),DAY(EOMONTH($A130,0))),MOD((YEAR($A130)-YEAR('Recurring Schedule'!$F$9))*12+MONTH($A130)-MONTH('Recurring Schedule'!$F$9),'Recurring Schedule'!$O$9)=0),IF('Recurring Schedule'!$E$9="Weekdays",WEEKDAY($A130,2)&lt;=5,$A130='Recurring Schedule'!$F$9))),4,""))))</f>
        <v/>
      </c>
      <c r="F130">
        <f>IF('Recurring Schedule'!$C$10="","",IF('Recurring Schedule'!$F$10="","",IF(OR($A130&lt;'Recurring Schedule'!$F$10,$A130&gt;'Recurring Schedule'!$P$10),"",IF(IF('Recurring Schedule'!$N$10&gt;0,MOD($A130-'Recurring Schedule'!$F$10,'Recurring Schedule'!$N$10)=0,IF('Recurring Schedule'!$O$10&gt;0,AND(DAY($A130)=MIN(DAY('Recurring Schedule'!$F$10),DAY(EOMONTH($A130,0))),MOD((YEAR($A130)-YEAR('Recurring Schedule'!$F$10))*12+MONTH($A130)-MONTH('Recurring Schedule'!$F$10),'Recurring Schedule'!$O$10)=0),IF('Recurring Schedule'!$E$10="Weekdays",WEEKDAY($A130,2)&lt;=5,$A130='Recurring Schedule'!$F$10))),5,""))))</f>
        <v/>
      </c>
      <c r="G130">
        <f>IF('Recurring Schedule'!$C$11="","",IF('Recurring Schedule'!$F$11="","",IF(OR($A130&lt;'Recurring Schedule'!$F$11,$A130&gt;'Recurring Schedule'!$P$11),"",IF(IF('Recurring Schedule'!$N$11&gt;0,MOD($A130-'Recurring Schedule'!$F$11,'Recurring Schedule'!$N$11)=0,IF('Recurring Schedule'!$O$11&gt;0,AND(DAY($A130)=MIN(DAY('Recurring Schedule'!$F$11),DAY(EOMONTH($A130,0))),MOD((YEAR($A130)-YEAR('Recurring Schedule'!$F$11))*12+MONTH($A130)-MONTH('Recurring Schedule'!$F$11),'Recurring Schedule'!$O$11)=0),IF('Recurring Schedule'!$E$11="Weekdays",WEEKDAY($A130,2)&lt;=5,$A130='Recurring Schedule'!$F$11))),6,""))))</f>
        <v/>
      </c>
      <c r="H130">
        <f>IF('Recurring Schedule'!$C$12="","",IF('Recurring Schedule'!$F$12="","",IF(OR($A130&lt;'Recurring Schedule'!$F$12,$A130&gt;'Recurring Schedule'!$P$12),"",IF(IF('Recurring Schedule'!$N$12&gt;0,MOD($A130-'Recurring Schedule'!$F$12,'Recurring Schedule'!$N$12)=0,IF('Recurring Schedule'!$O$12&gt;0,AND(DAY($A130)=MIN(DAY('Recurring Schedule'!$F$12),DAY(EOMONTH($A130,0))),MOD((YEAR($A130)-YEAR('Recurring Schedule'!$F$12))*12+MONTH($A130)-MONTH('Recurring Schedule'!$F$12),'Recurring Schedule'!$O$12)=0),IF('Recurring Schedule'!$E$12="Weekdays",WEEKDAY($A130,2)&lt;=5,$A130='Recurring Schedule'!$F$12))),7,""))))</f>
        <v/>
      </c>
      <c r="I130">
        <f>IF('Recurring Schedule'!$C$13="","",IF('Recurring Schedule'!$F$13="","",IF(OR($A130&lt;'Recurring Schedule'!$F$13,$A130&gt;'Recurring Schedule'!$P$13),"",IF(IF('Recurring Schedule'!$N$13&gt;0,MOD($A130-'Recurring Schedule'!$F$13,'Recurring Schedule'!$N$13)=0,IF('Recurring Schedule'!$O$13&gt;0,AND(DAY($A130)=MIN(DAY('Recurring Schedule'!$F$13),DAY(EOMONTH($A130,0))),MOD((YEAR($A130)-YEAR('Recurring Schedule'!$F$13))*12+MONTH($A130)-MONTH('Recurring Schedule'!$F$13),'Recurring Schedule'!$O$13)=0),IF('Recurring Schedule'!$E$13="Weekdays",WEEKDAY($A130,2)&lt;=5,$A130='Recurring Schedule'!$F$13))),8,""))))</f>
        <v/>
      </c>
      <c r="J130">
        <f>IF('Recurring Schedule'!$C$14="","",IF('Recurring Schedule'!$F$14="","",IF(OR($A130&lt;'Recurring Schedule'!$F$14,$A130&gt;'Recurring Schedule'!$P$14),"",IF(IF('Recurring Schedule'!$N$14&gt;0,MOD($A130-'Recurring Schedule'!$F$14,'Recurring Schedule'!$N$14)=0,IF('Recurring Schedule'!$O$14&gt;0,AND(DAY($A130)=MIN(DAY('Recurring Schedule'!$F$14),DAY(EOMONTH($A130,0))),MOD((YEAR($A130)-YEAR('Recurring Schedule'!$F$14))*12+MONTH($A130)-MONTH('Recurring Schedule'!$F$14),'Recurring Schedule'!$O$14)=0),IF('Recurring Schedule'!$E$14="Weekdays",WEEKDAY($A130,2)&lt;=5,$A130='Recurring Schedule'!$F$14))),9,""))))</f>
        <v/>
      </c>
      <c r="K130">
        <f>IF('Recurring Schedule'!$C$15="","",IF('Recurring Schedule'!$F$15="","",IF(OR($A130&lt;'Recurring Schedule'!$F$15,$A130&gt;'Recurring Schedule'!$P$15),"",IF(IF('Recurring Schedule'!$N$15&gt;0,MOD($A130-'Recurring Schedule'!$F$15,'Recurring Schedule'!$N$15)=0,IF('Recurring Schedule'!$O$15&gt;0,AND(DAY($A130)=MIN(DAY('Recurring Schedule'!$F$15),DAY(EOMONTH($A130,0))),MOD((YEAR($A130)-YEAR('Recurring Schedule'!$F$15))*12+MONTH($A130)-MONTH('Recurring Schedule'!$F$15),'Recurring Schedule'!$O$15)=0),IF('Recurring Schedule'!$E$15="Weekdays",WEEKDAY($A130,2)&lt;=5,$A130='Recurring Schedule'!$F$15))),10,""))))</f>
        <v/>
      </c>
      <c r="L130">
        <f>IF('Recurring Schedule'!$C$16="","",IF('Recurring Schedule'!$F$16="","",IF(OR($A130&lt;'Recurring Schedule'!$F$16,$A130&gt;'Recurring Schedule'!$P$16),"",IF(IF('Recurring Schedule'!$N$16&gt;0,MOD($A130-'Recurring Schedule'!$F$16,'Recurring Schedule'!$N$16)=0,IF('Recurring Schedule'!$O$16&gt;0,AND(DAY($A130)=MIN(DAY('Recurring Schedule'!$F$16),DAY(EOMONTH($A130,0))),MOD((YEAR($A130)-YEAR('Recurring Schedule'!$F$16))*12+MONTH($A130)-MONTH('Recurring Schedule'!$F$16),'Recurring Schedule'!$O$16)=0),IF('Recurring Schedule'!$E$16="Weekdays",WEEKDAY($A130,2)&lt;=5,$A130='Recurring Schedule'!$F$16))),11,""))))</f>
        <v/>
      </c>
      <c r="M130">
        <f>IF('Recurring Schedule'!$C$17="","",IF('Recurring Schedule'!$F$17="","",IF(OR($A130&lt;'Recurring Schedule'!$F$17,$A130&gt;'Recurring Schedule'!$P$17),"",IF(IF('Recurring Schedule'!$N$17&gt;0,MOD($A130-'Recurring Schedule'!$F$17,'Recurring Schedule'!$N$17)=0,IF('Recurring Schedule'!$O$17&gt;0,AND(DAY($A130)=MIN(DAY('Recurring Schedule'!$F$17),DAY(EOMONTH($A130,0))),MOD((YEAR($A130)-YEAR('Recurring Schedule'!$F$17))*12+MONTH($A130)-MONTH('Recurring Schedule'!$F$17),'Recurring Schedule'!$O$17)=0),IF('Recurring Schedule'!$E$17="Weekdays",WEEKDAY($A130,2)&lt;=5,$A130='Recurring Schedule'!$F$17))),12,""))))</f>
        <v/>
      </c>
      <c r="N130">
        <f>IF('Recurring Schedule'!$C$18="","",IF('Recurring Schedule'!$F$18="","",IF(OR($A130&lt;'Recurring Schedule'!$F$18,$A130&gt;'Recurring Schedule'!$P$18),"",IF(IF('Recurring Schedule'!$N$18&gt;0,MOD($A130-'Recurring Schedule'!$F$18,'Recurring Schedule'!$N$18)=0,IF('Recurring Schedule'!$O$18&gt;0,AND(DAY($A130)=MIN(DAY('Recurring Schedule'!$F$18),DAY(EOMONTH($A130,0))),MOD((YEAR($A130)-YEAR('Recurring Schedule'!$F$18))*12+MONTH($A130)-MONTH('Recurring Schedule'!$F$18),'Recurring Schedule'!$O$18)=0),IF('Recurring Schedule'!$E$18="Weekdays",WEEKDAY($A130,2)&lt;=5,$A130='Recurring Schedule'!$F$18))),13,""))))</f>
        <v/>
      </c>
      <c r="O130">
        <f>IF('Recurring Schedule'!$C$19="","",IF('Recurring Schedule'!$F$19="","",IF(OR($A130&lt;'Recurring Schedule'!$F$19,$A130&gt;'Recurring Schedule'!$P$19),"",IF(IF('Recurring Schedule'!$N$19&gt;0,MOD($A130-'Recurring Schedule'!$F$19,'Recurring Schedule'!$N$19)=0,IF('Recurring Schedule'!$O$19&gt;0,AND(DAY($A130)=MIN(DAY('Recurring Schedule'!$F$19),DAY(EOMONTH($A130,0))),MOD((YEAR($A130)-YEAR('Recurring Schedule'!$F$19))*12+MONTH($A130)-MONTH('Recurring Schedule'!$F$19),'Recurring Schedule'!$O$19)=0),IF('Recurring Schedule'!$E$19="Weekdays",WEEKDAY($A130,2)&lt;=5,$A130='Recurring Schedule'!$F$19))),14,""))))</f>
        <v/>
      </c>
      <c r="P130">
        <f>IF('Recurring Schedule'!$C$20="","",IF('Recurring Schedule'!$F$20="","",IF(OR($A130&lt;'Recurring Schedule'!$F$20,$A130&gt;'Recurring Schedule'!$P$20),"",IF(IF('Recurring Schedule'!$N$20&gt;0,MOD($A130-'Recurring Schedule'!$F$20,'Recurring Schedule'!$N$20)=0,IF('Recurring Schedule'!$O$20&gt;0,AND(DAY($A130)=MIN(DAY('Recurring Schedule'!$F$20),DAY(EOMONTH($A130,0))),MOD((YEAR($A130)-YEAR('Recurring Schedule'!$F$20))*12+MONTH($A130)-MONTH('Recurring Schedule'!$F$20),'Recurring Schedule'!$O$20)=0),IF('Recurring Schedule'!$E$20="Weekdays",WEEKDAY($A130,2)&lt;=5,$A130='Recurring Schedule'!$F$20))),15,""))))</f>
        <v/>
      </c>
      <c r="Q130">
        <f>IF('Recurring Schedule'!$C$21="","",IF('Recurring Schedule'!$F$21="","",IF(OR($A130&lt;'Recurring Schedule'!$F$21,$A130&gt;'Recurring Schedule'!$P$21),"",IF(IF('Recurring Schedule'!$N$21&gt;0,MOD($A130-'Recurring Schedule'!$F$21,'Recurring Schedule'!$N$21)=0,IF('Recurring Schedule'!$O$21&gt;0,AND(DAY($A130)=MIN(DAY('Recurring Schedule'!$F$21),DAY(EOMONTH($A130,0))),MOD((YEAR($A130)-YEAR('Recurring Schedule'!$F$21))*12+MONTH($A130)-MONTH('Recurring Schedule'!$F$21),'Recurring Schedule'!$O$21)=0),IF('Recurring Schedule'!$E$21="Weekdays",WEEKDAY($A130,2)&lt;=5,$A130='Recurring Schedule'!$F$21))),16,""))))</f>
        <v/>
      </c>
      <c r="R130">
        <f>IF('Recurring Schedule'!$C$22="","",IF('Recurring Schedule'!$F$22="","",IF(OR($A130&lt;'Recurring Schedule'!$F$22,$A130&gt;'Recurring Schedule'!$P$22),"",IF(IF('Recurring Schedule'!$N$22&gt;0,MOD($A130-'Recurring Schedule'!$F$22,'Recurring Schedule'!$N$22)=0,IF('Recurring Schedule'!$O$22&gt;0,AND(DAY($A130)=MIN(DAY('Recurring Schedule'!$F$22),DAY(EOMONTH($A130,0))),MOD((YEAR($A130)-YEAR('Recurring Schedule'!$F$22))*12+MONTH($A130)-MONTH('Recurring Schedule'!$F$22),'Recurring Schedule'!$O$22)=0),IF('Recurring Schedule'!$E$22="Weekdays",WEEKDAY($A130,2)&lt;=5,$A130='Recurring Schedule'!$F$22))),17,""))))</f>
        <v/>
      </c>
      <c r="S130">
        <f>IF('Recurring Schedule'!$C$23="","",IF('Recurring Schedule'!$F$23="","",IF(OR($A130&lt;'Recurring Schedule'!$F$23,$A130&gt;'Recurring Schedule'!$P$23),"",IF(IF('Recurring Schedule'!$N$23&gt;0,MOD($A130-'Recurring Schedule'!$F$23,'Recurring Schedule'!$N$23)=0,IF('Recurring Schedule'!$O$23&gt;0,AND(DAY($A130)=MIN(DAY('Recurring Schedule'!$F$23),DAY(EOMONTH($A130,0))),MOD((YEAR($A130)-YEAR('Recurring Schedule'!$F$23))*12+MONTH($A130)-MONTH('Recurring Schedule'!$F$23),'Recurring Schedule'!$O$23)=0),IF('Recurring Schedule'!$E$23="Weekdays",WEEKDAY($A130,2)&lt;=5,$A130='Recurring Schedule'!$F$23))),18,""))))</f>
        <v/>
      </c>
      <c r="T130">
        <f>IF('Recurring Schedule'!$C$24="","",IF('Recurring Schedule'!$F$24="","",IF(OR($A130&lt;'Recurring Schedule'!$F$24,$A130&gt;'Recurring Schedule'!$P$24),"",IF(IF('Recurring Schedule'!$N$24&gt;0,MOD($A130-'Recurring Schedule'!$F$24,'Recurring Schedule'!$N$24)=0,IF('Recurring Schedule'!$O$24&gt;0,AND(DAY($A130)=MIN(DAY('Recurring Schedule'!$F$24),DAY(EOMONTH($A130,0))),MOD((YEAR($A130)-YEAR('Recurring Schedule'!$F$24))*12+MONTH($A130)-MONTH('Recurring Schedule'!$F$24),'Recurring Schedule'!$O$24)=0),IF('Recurring Schedule'!$E$24="Weekdays",WEEKDAY($A130,2)&lt;=5,$A130='Recurring Schedule'!$F$24))),19,""))))</f>
        <v/>
      </c>
      <c r="U130">
        <f>IF('Recurring Schedule'!$C$25="","",IF('Recurring Schedule'!$F$25="","",IF(OR($A130&lt;'Recurring Schedule'!$F$25,$A130&gt;'Recurring Schedule'!$P$25),"",IF(IF('Recurring Schedule'!$N$25&gt;0,MOD($A130-'Recurring Schedule'!$F$25,'Recurring Schedule'!$N$25)=0,IF('Recurring Schedule'!$O$25&gt;0,AND(DAY($A130)=MIN(DAY('Recurring Schedule'!$F$25),DAY(EOMONTH($A130,0))),MOD((YEAR($A130)-YEAR('Recurring Schedule'!$F$25))*12+MONTH($A130)-MONTH('Recurring Schedule'!$F$25),'Recurring Schedule'!$O$25)=0),IF('Recurring Schedule'!$E$25="Weekdays",WEEKDAY($A130,2)&lt;=5,$A130='Recurring Schedule'!$F$25))),20,""))))</f>
        <v/>
      </c>
      <c r="V130">
        <f>IF('Recurring Schedule'!$C$26="","",IF('Recurring Schedule'!$F$26="","",IF(OR($A130&lt;'Recurring Schedule'!$F$26,$A130&gt;'Recurring Schedule'!$P$26),"",IF(IF('Recurring Schedule'!$N$26&gt;0,MOD($A130-'Recurring Schedule'!$F$26,'Recurring Schedule'!$N$26)=0,IF('Recurring Schedule'!$O$26&gt;0,AND(DAY($A130)=MIN(DAY('Recurring Schedule'!$F$26),DAY(EOMONTH($A130,0))),MOD((YEAR($A130)-YEAR('Recurring Schedule'!$F$26))*12+MONTH($A130)-MONTH('Recurring Schedule'!$F$26),'Recurring Schedule'!$O$26)=0),IF('Recurring Schedule'!$E$26="Weekdays",WEEKDAY($A130,2)&lt;=5,$A130='Recurring Schedule'!$F$26))),21,""))))</f>
        <v/>
      </c>
      <c r="W130">
        <f>IF('Recurring Schedule'!$C$27="","",IF('Recurring Schedule'!$F$27="","",IF(OR($A130&lt;'Recurring Schedule'!$F$27,$A130&gt;'Recurring Schedule'!$P$27),"",IF(IF('Recurring Schedule'!$N$27&gt;0,MOD($A130-'Recurring Schedule'!$F$27,'Recurring Schedule'!$N$27)=0,IF('Recurring Schedule'!$O$27&gt;0,AND(DAY($A130)=MIN(DAY('Recurring Schedule'!$F$27),DAY(EOMONTH($A130,0))),MOD((YEAR($A130)-YEAR('Recurring Schedule'!$F$27))*12+MONTH($A130)-MONTH('Recurring Schedule'!$F$27),'Recurring Schedule'!$O$27)=0),IF('Recurring Schedule'!$E$27="Weekdays",WEEKDAY($A130,2)&lt;=5,$A130='Recurring Schedule'!$F$27))),22,""))))</f>
        <v/>
      </c>
      <c r="X130">
        <f>IF('Recurring Schedule'!$C$28="","",IF('Recurring Schedule'!$F$28="","",IF(OR($A130&lt;'Recurring Schedule'!$F$28,$A130&gt;'Recurring Schedule'!$P$28),"",IF(IF('Recurring Schedule'!$N$28&gt;0,MOD($A130-'Recurring Schedule'!$F$28,'Recurring Schedule'!$N$28)=0,IF('Recurring Schedule'!$O$28&gt;0,AND(DAY($A130)=MIN(DAY('Recurring Schedule'!$F$28),DAY(EOMONTH($A130,0))),MOD((YEAR($A130)-YEAR('Recurring Schedule'!$F$28))*12+MONTH($A130)-MONTH('Recurring Schedule'!$F$28),'Recurring Schedule'!$O$28)=0),IF('Recurring Schedule'!$E$28="Weekdays",WEEKDAY($A130,2)&lt;=5,$A130='Recurring Schedule'!$F$28))),23,""))))</f>
        <v/>
      </c>
      <c r="Y130">
        <f>IF('Recurring Schedule'!$C$29="","",IF('Recurring Schedule'!$F$29="","",IF(OR($A130&lt;'Recurring Schedule'!$F$29,$A130&gt;'Recurring Schedule'!$P$29),"",IF(IF('Recurring Schedule'!$N$29&gt;0,MOD($A130-'Recurring Schedule'!$F$29,'Recurring Schedule'!$N$29)=0,IF('Recurring Schedule'!$O$29&gt;0,AND(DAY($A130)=MIN(DAY('Recurring Schedule'!$F$29),DAY(EOMONTH($A130,0))),MOD((YEAR($A130)-YEAR('Recurring Schedule'!$F$29))*12+MONTH($A130)-MONTH('Recurring Schedule'!$F$29),'Recurring Schedule'!$O$29)=0),IF('Recurring Schedule'!$E$29="Weekdays",WEEKDAY($A130,2)&lt;=5,$A130='Recurring Schedule'!$F$29))),24,""))))</f>
        <v/>
      </c>
      <c r="Z130">
        <f>IF('Recurring Schedule'!$C$30="","",IF('Recurring Schedule'!$F$30="","",IF(OR($A130&lt;'Recurring Schedule'!$F$30,$A130&gt;'Recurring Schedule'!$P$30),"",IF(IF('Recurring Schedule'!$N$30&gt;0,MOD($A130-'Recurring Schedule'!$F$30,'Recurring Schedule'!$N$30)=0,IF('Recurring Schedule'!$O$30&gt;0,AND(DAY($A130)=MIN(DAY('Recurring Schedule'!$F$30),DAY(EOMONTH($A130,0))),MOD((YEAR($A130)-YEAR('Recurring Schedule'!$F$30))*12+MONTH($A130)-MONTH('Recurring Schedule'!$F$30),'Recurring Schedule'!$O$30)=0),IF('Recurring Schedule'!$E$30="Weekdays",WEEKDAY($A130,2)&lt;=5,$A130='Recurring Schedule'!$F$30))),25,""))))</f>
        <v/>
      </c>
      <c r="AA130">
        <f>IF('Recurring Schedule'!$C$31="","",IF('Recurring Schedule'!$F$31="","",IF(OR($A130&lt;'Recurring Schedule'!$F$31,$A130&gt;'Recurring Schedule'!$P$31),"",IF(IF('Recurring Schedule'!$N$31&gt;0,MOD($A130-'Recurring Schedule'!$F$31,'Recurring Schedule'!$N$31)=0,IF('Recurring Schedule'!$O$31&gt;0,AND(DAY($A130)=MIN(DAY('Recurring Schedule'!$F$31),DAY(EOMONTH($A130,0))),MOD((YEAR($A130)-YEAR('Recurring Schedule'!$F$31))*12+MONTH($A130)-MONTH('Recurring Schedule'!$F$31),'Recurring Schedule'!$O$31)=0),IF('Recurring Schedule'!$E$31="Weekdays",WEEKDAY($A130,2)&lt;=5,$A130='Recurring Schedule'!$F$31))),26,""))))</f>
        <v/>
      </c>
      <c r="AB130">
        <f>IF('Recurring Schedule'!$C$32="","",IF('Recurring Schedule'!$F$32="","",IF(OR($A130&lt;'Recurring Schedule'!$F$32,$A130&gt;'Recurring Schedule'!$P$32),"",IF(IF('Recurring Schedule'!$N$32&gt;0,MOD($A130-'Recurring Schedule'!$F$32,'Recurring Schedule'!$N$32)=0,IF('Recurring Schedule'!$O$32&gt;0,AND(DAY($A130)=MIN(DAY('Recurring Schedule'!$F$32),DAY(EOMONTH($A130,0))),MOD((YEAR($A130)-YEAR('Recurring Schedule'!$F$32))*12+MONTH($A130)-MONTH('Recurring Schedule'!$F$32),'Recurring Schedule'!$O$32)=0),IF('Recurring Schedule'!$E$32="Weekdays",WEEKDAY($A130,2)&lt;=5,$A130='Recurring Schedule'!$F$32))),27,""))))</f>
        <v/>
      </c>
      <c r="AC130">
        <f>IF('Recurring Schedule'!$C$33="","",IF('Recurring Schedule'!$F$33="","",IF(OR($A130&lt;'Recurring Schedule'!$F$33,$A130&gt;'Recurring Schedule'!$P$33),"",IF(IF('Recurring Schedule'!$N$33&gt;0,MOD($A130-'Recurring Schedule'!$F$33,'Recurring Schedule'!$N$33)=0,IF('Recurring Schedule'!$O$33&gt;0,AND(DAY($A130)=MIN(DAY('Recurring Schedule'!$F$33),DAY(EOMONTH($A130,0))),MOD((YEAR($A130)-YEAR('Recurring Schedule'!$F$33))*12+MONTH($A130)-MONTH('Recurring Schedule'!$F$33),'Recurring Schedule'!$O$33)=0),IF('Recurring Schedule'!$E$33="Weekdays",WEEKDAY($A130,2)&lt;=5,$A130='Recurring Schedule'!$F$33))),28,""))))</f>
        <v/>
      </c>
      <c r="AD130">
        <f>IF('Recurring Schedule'!$C$34="","",IF('Recurring Schedule'!$F$34="","",IF(OR($A130&lt;'Recurring Schedule'!$F$34,$A130&gt;'Recurring Schedule'!$P$34),"",IF(IF('Recurring Schedule'!$N$34&gt;0,MOD($A130-'Recurring Schedule'!$F$34,'Recurring Schedule'!$N$34)=0,IF('Recurring Schedule'!$O$34&gt;0,AND(DAY($A130)=MIN(DAY('Recurring Schedule'!$F$34),DAY(EOMONTH($A130,0))),MOD((YEAR($A130)-YEAR('Recurring Schedule'!$F$34))*12+MONTH($A130)-MONTH('Recurring Schedule'!$F$34),'Recurring Schedule'!$O$34)=0),IF('Recurring Schedule'!$E$34="Weekdays",WEEKDAY($A130,2)&lt;=5,$A130='Recurring Schedule'!$F$34))),29,""))))</f>
        <v/>
      </c>
      <c r="AE130">
        <f>IF('Recurring Schedule'!$C$35="","",IF('Recurring Schedule'!$F$35="","",IF(OR($A130&lt;'Recurring Schedule'!$F$35,$A130&gt;'Recurring Schedule'!$P$35),"",IF(IF('Recurring Schedule'!$N$35&gt;0,MOD($A130-'Recurring Schedule'!$F$35,'Recurring Schedule'!$N$35)=0,IF('Recurring Schedule'!$O$35&gt;0,AND(DAY($A130)=MIN(DAY('Recurring Schedule'!$F$35),DAY(EOMONTH($A130,0))),MOD((YEAR($A130)-YEAR('Recurring Schedule'!$F$35))*12+MONTH($A130)-MONTH('Recurring Schedule'!$F$35),'Recurring Schedule'!$O$35)=0),IF('Recurring Schedule'!$E$35="Weekdays",WEEKDAY($A130,2)&lt;=5,$A130='Recurring Schedule'!$F$35))),30,""))))</f>
        <v/>
      </c>
      <c r="AF130">
        <f>IF('Recurring Schedule'!$C$36="","",IF('Recurring Schedule'!$F$36="","",IF(OR($A130&lt;'Recurring Schedule'!$F$36,$A130&gt;'Recurring Schedule'!$P$36),"",IF(IF('Recurring Schedule'!$N$36&gt;0,MOD($A130-'Recurring Schedule'!$F$36,'Recurring Schedule'!$N$36)=0,IF('Recurring Schedule'!$O$36&gt;0,AND(DAY($A130)=MIN(DAY('Recurring Schedule'!$F$36),DAY(EOMONTH($A130,0))),MOD((YEAR($A130)-YEAR('Recurring Schedule'!$F$36))*12+MONTH($A130)-MONTH('Recurring Schedule'!$F$36),'Recurring Schedule'!$O$36)=0),IF('Recurring Schedule'!$E$36="Weekdays",WEEKDAY($A130,2)&lt;=5,$A130='Recurring Schedule'!$F$36))),31,""))))</f>
        <v/>
      </c>
      <c r="AG130">
        <f>IF('Recurring Schedule'!$C$37="","",IF('Recurring Schedule'!$F$37="","",IF(OR($A130&lt;'Recurring Schedule'!$F$37,$A130&gt;'Recurring Schedule'!$P$37),"",IF(IF('Recurring Schedule'!$N$37&gt;0,MOD($A130-'Recurring Schedule'!$F$37,'Recurring Schedule'!$N$37)=0,IF('Recurring Schedule'!$O$37&gt;0,AND(DAY($A130)=MIN(DAY('Recurring Schedule'!$F$37),DAY(EOMONTH($A130,0))),MOD((YEAR($A130)-YEAR('Recurring Schedule'!$F$37))*12+MONTH($A130)-MONTH('Recurring Schedule'!$F$37),'Recurring Schedule'!$O$37)=0),IF('Recurring Schedule'!$E$37="Weekdays",WEEKDAY($A130,2)&lt;=5,$A130='Recurring Schedule'!$F$37))),32,""))))</f>
        <v/>
      </c>
      <c r="AH130">
        <f>IF('Recurring Schedule'!$C$38="","",IF('Recurring Schedule'!$F$38="","",IF(OR($A130&lt;'Recurring Schedule'!$F$38,$A130&gt;'Recurring Schedule'!$P$38),"",IF(IF('Recurring Schedule'!$N$38&gt;0,MOD($A130-'Recurring Schedule'!$F$38,'Recurring Schedule'!$N$38)=0,IF('Recurring Schedule'!$O$38&gt;0,AND(DAY($A130)=MIN(DAY('Recurring Schedule'!$F$38),DAY(EOMONTH($A130,0))),MOD((YEAR($A130)-YEAR('Recurring Schedule'!$F$38))*12+MONTH($A130)-MONTH('Recurring Schedule'!$F$38),'Recurring Schedule'!$O$38)=0),IF('Recurring Schedule'!$E$38="Weekdays",WEEKDAY($A130,2)&lt;=5,$A130='Recurring Schedule'!$F$38))),33,""))))</f>
        <v/>
      </c>
      <c r="AI130">
        <f>IF('Recurring Schedule'!$C$39="","",IF('Recurring Schedule'!$F$39="","",IF(OR($A130&lt;'Recurring Schedule'!$F$39,$A130&gt;'Recurring Schedule'!$P$39),"",IF(IF('Recurring Schedule'!$N$39&gt;0,MOD($A130-'Recurring Schedule'!$F$39,'Recurring Schedule'!$N$39)=0,IF('Recurring Schedule'!$O$39&gt;0,AND(DAY($A130)=MIN(DAY('Recurring Schedule'!$F$39),DAY(EOMONTH($A130,0))),MOD((YEAR($A130)-YEAR('Recurring Schedule'!$F$39))*12+MONTH($A130)-MONTH('Recurring Schedule'!$F$39),'Recurring Schedule'!$O$39)=0),IF('Recurring Schedule'!$E$39="Weekdays",WEEKDAY($A130,2)&lt;=5,$A130='Recurring Schedule'!$F$39))),34,""))))</f>
        <v/>
      </c>
      <c r="AJ130">
        <f>IF('Recurring Schedule'!$C$40="","",IF('Recurring Schedule'!$F$40="","",IF(OR($A130&lt;'Recurring Schedule'!$F$40,$A130&gt;'Recurring Schedule'!$P$40),"",IF(IF('Recurring Schedule'!$N$40&gt;0,MOD($A130-'Recurring Schedule'!$F$40,'Recurring Schedule'!$N$40)=0,IF('Recurring Schedule'!$O$40&gt;0,AND(DAY($A130)=MIN(DAY('Recurring Schedule'!$F$40),DAY(EOMONTH($A130,0))),MOD((YEAR($A130)-YEAR('Recurring Schedule'!$F$40))*12+MONTH($A130)-MONTH('Recurring Schedule'!$F$40),'Recurring Schedule'!$O$40)=0),IF('Recurring Schedule'!$E$40="Weekdays",WEEKDAY($A130,2)&lt;=5,$A130='Recurring Schedule'!$F$40))),35,""))))</f>
        <v/>
      </c>
      <c r="AK130">
        <f>IF('Recurring Schedule'!$C$41="","",IF('Recurring Schedule'!$F$41="","",IF(OR($A130&lt;'Recurring Schedule'!$F$41,$A130&gt;'Recurring Schedule'!$P$41),"",IF(IF('Recurring Schedule'!$N$41&gt;0,MOD($A130-'Recurring Schedule'!$F$41,'Recurring Schedule'!$N$41)=0,IF('Recurring Schedule'!$O$41&gt;0,AND(DAY($A130)=MIN(DAY('Recurring Schedule'!$F$41),DAY(EOMONTH($A130,0))),MOD((YEAR($A130)-YEAR('Recurring Schedule'!$F$41))*12+MONTH($A130)-MONTH('Recurring Schedule'!$F$41),'Recurring Schedule'!$O$41)=0),IF('Recurring Schedule'!$E$41="Weekdays",WEEKDAY($A130,2)&lt;=5,$A130='Recurring Schedule'!$F$41))),36,""))))</f>
        <v/>
      </c>
      <c r="AL130">
        <f>IF('Recurring Schedule'!$C$42="","",IF('Recurring Schedule'!$F$42="","",IF(OR($A130&lt;'Recurring Schedule'!$F$42,$A130&gt;'Recurring Schedule'!$P$42),"",IF(IF('Recurring Schedule'!$N$42&gt;0,MOD($A130-'Recurring Schedule'!$F$42,'Recurring Schedule'!$N$42)=0,IF('Recurring Schedule'!$O$42&gt;0,AND(DAY($A130)=MIN(DAY('Recurring Schedule'!$F$42),DAY(EOMONTH($A130,0))),MOD((YEAR($A130)-YEAR('Recurring Schedule'!$F$42))*12+MONTH($A130)-MONTH('Recurring Schedule'!$F$42),'Recurring Schedule'!$O$42)=0),IF('Recurring Schedule'!$E$42="Weekdays",WEEKDAY($A130,2)&lt;=5,$A130='Recurring Schedule'!$F$42))),37,""))))</f>
        <v/>
      </c>
      <c r="AM130">
        <f>IF('Recurring Schedule'!$C$43="","",IF('Recurring Schedule'!$F$43="","",IF(OR($A130&lt;'Recurring Schedule'!$F$43,$A130&gt;'Recurring Schedule'!$P$43),"",IF(IF('Recurring Schedule'!$N$43&gt;0,MOD($A130-'Recurring Schedule'!$F$43,'Recurring Schedule'!$N$43)=0,IF('Recurring Schedule'!$O$43&gt;0,AND(DAY($A130)=MIN(DAY('Recurring Schedule'!$F$43),DAY(EOMONTH($A130,0))),MOD((YEAR($A130)-YEAR('Recurring Schedule'!$F$43))*12+MONTH($A130)-MONTH('Recurring Schedule'!$F$43),'Recurring Schedule'!$O$43)=0),IF('Recurring Schedule'!$E$43="Weekdays",WEEKDAY($A130,2)&lt;=5,$A130='Recurring Schedule'!$F$43))),38,""))))</f>
        <v/>
      </c>
      <c r="AN130">
        <f>IF('Recurring Schedule'!$C$44="","",IF('Recurring Schedule'!$F$44="","",IF(OR($A130&lt;'Recurring Schedule'!$F$44,$A130&gt;'Recurring Schedule'!$P$44),"",IF(IF('Recurring Schedule'!$N$44&gt;0,MOD($A130-'Recurring Schedule'!$F$44,'Recurring Schedule'!$N$44)=0,IF('Recurring Schedule'!$O$44&gt;0,AND(DAY($A130)=MIN(DAY('Recurring Schedule'!$F$44),DAY(EOMONTH($A130,0))),MOD((YEAR($A130)-YEAR('Recurring Schedule'!$F$44))*12+MONTH($A130)-MONTH('Recurring Schedule'!$F$44),'Recurring Schedule'!$O$44)=0),IF('Recurring Schedule'!$E$44="Weekdays",WEEKDAY($A130,2)&lt;=5,$A130='Recurring Schedule'!$F$44))),39,""))))</f>
        <v/>
      </c>
      <c r="AO130">
        <f>IF('Recurring Schedule'!$C$45="","",IF('Recurring Schedule'!$F$45="","",IF(OR($A130&lt;'Recurring Schedule'!$F$45,$A130&gt;'Recurring Schedule'!$P$45),"",IF(IF('Recurring Schedule'!$N$45&gt;0,MOD($A130-'Recurring Schedule'!$F$45,'Recurring Schedule'!$N$45)=0,IF('Recurring Schedule'!$O$45&gt;0,AND(DAY($A130)=MIN(DAY('Recurring Schedule'!$F$45),DAY(EOMONTH($A130,0))),MOD((YEAR($A130)-YEAR('Recurring Schedule'!$F$45))*12+MONTH($A130)-MONTH('Recurring Schedule'!$F$45),'Recurring Schedule'!$O$45)=0),IF('Recurring Schedule'!$E$45="Weekdays",WEEKDAY($A130,2)&lt;=5,$A130='Recurring Schedule'!$F$45))),40,""))))</f>
        <v/>
      </c>
      <c r="AP130">
        <f>COUNT(B130:AO130)</f>
        <v/>
      </c>
      <c r="AQ130">
        <f>AQ129+AP129</f>
        <v/>
      </c>
      <c r="AS130" t="inlineStr">
        <is>
          <t>R</t>
        </is>
      </c>
      <c r="AT130" t="n">
        <v>134</v>
      </c>
      <c r="AU130">
        <f>'Recurring Log'!C134&amp;""</f>
        <v/>
      </c>
      <c r="AV130">
        <f>'Recurring Log'!D134&amp;""</f>
        <v/>
      </c>
      <c r="AW130">
        <f>IF('Recurring Log'!E134="","",'Recurring Log'!E134)</f>
        <v/>
      </c>
      <c r="AX130">
        <f>IF('Recurring Log'!G134="","",'Recurring Log'!G134)</f>
        <v/>
      </c>
      <c r="AY130">
        <f>IF('Recurring Log'!H134="","",'Recurring Log'!H134)</f>
        <v/>
      </c>
      <c r="AZ130">
        <f>IF(AU130="","",IF('Recurring Log'!J134="","Not Started",'Recurring Log'!J134))</f>
        <v/>
      </c>
      <c r="BA130">
        <f>'Recurring Log'!L134&amp;""</f>
        <v/>
      </c>
      <c r="BB130">
        <f>'Recurring Log'!M134&amp;""</f>
        <v/>
      </c>
      <c r="BC130">
        <f>'Recurring Log'!N134&amp;""</f>
        <v/>
      </c>
      <c r="BD130">
        <f>'Recurring Log'!O134&amp;""</f>
        <v/>
      </c>
      <c r="BE130">
        <f>IF('Recurring Log'!K134="","",'Recurring Log'!K134)</f>
        <v/>
      </c>
      <c r="BF130">
        <f>IFERROR(MATCH(BA130,Setup!$L$6:$L$9,0),5)</f>
        <v/>
      </c>
      <c r="BG130">
        <f>IF(OR(AZ130="Done",AZ130="Cancelled"),1,0)</f>
        <v/>
      </c>
      <c r="BH130">
        <f>IF(AND(AU130&lt;&gt;"",ISNUMBER(AW130)),1,0)</f>
        <v/>
      </c>
      <c r="BI130">
        <f>IF(BH130=0,0,IF(AND(AW130&gt;='Tasks Filter'!$F$3,AW130&lt;='Tasks Filter'!$F$4,OR('Tasks Filter'!$I$3="",ISNUMBER(SEARCH('Tasks Filter'!$I$3,AU130))),OR('Tasks Filter'!$I$4="",BF130=IFERROR(MATCH('Tasks Filter'!$I$4,Setup!$L$6:$L$9,0),0)),OR('Tasks Filter'!$I$5="Both",AND('Tasks Filter'!$I$5="Yes",BB130="✓"),AND('Tasks Filter'!$I$5="No",BB130&lt;&gt;"✓")),OR('Tasks Filter'!$L$3="",AV130='Tasks Filter'!$L$3),OR('Tasks Filter'!$L$4="",AZ130='Tasks Filter'!$L$4),OR('Tasks Filter'!$L$5="",BC130='Tasks Filter'!$L$5),OR('Tasks Filter'!$O$3="",BD130='Tasks Filter'!$O$3),OR('Tasks Filter'!$O$4="Yes",BG130=0)),1,0))</f>
        <v/>
      </c>
      <c r="BJ130">
        <f>IF(BH130=0,"",IF('Tasks Filter'!$F$6="Descending",-1,1)*CHOOSE(MATCH('Tasks Filter'!$F$5,Lists!$G$2:$G$6,0),AW130,BF130,IFERROR(MATCH(AV130,Setup!$F$6:$F$15,0),99),IFERROR(MATCH(BC130,Setup!$H$6:$H$15,0),99),IFERROR(MATCH(AZ130,Setup!$J$6:$J$11,0),99))*1E+9+(AW130-40000)*10000+129)</f>
        <v/>
      </c>
      <c r="BK130">
        <f>IF(BI130=1,BJ130,"")</f>
        <v/>
      </c>
      <c r="BL130">
        <f>IF(AND(BH130=1,BG130=0,N(AW130)&lt;Setup!$D$7),(AW130-40000)*10000+129,"")</f>
        <v/>
      </c>
      <c r="BM130">
        <f>IF(AND(BH130=1,AZ130&lt;&gt;"Cancelled",N(AW130)&gt;=Dashboard!$AB$3,N(AW130)&lt;=Dashboard!$AB$3+6),(AW130-40000)*100000+BF130*10000+129,"")</f>
        <v/>
      </c>
      <c r="BN130">
        <f>IF(AND(BH130=1,AZ130&lt;&gt;"Cancelled"),BF130*10000+129,"")</f>
        <v/>
      </c>
    </row>
    <row r="131">
      <c r="A131">
        <f>Setup!$D$5+129</f>
        <v/>
      </c>
      <c r="B131">
        <f>IF('Recurring Schedule'!$C$6="","",IF('Recurring Schedule'!$F$6="","",IF(OR($A131&lt;'Recurring Schedule'!$F$6,$A131&gt;'Recurring Schedule'!$P$6),"",IF(IF('Recurring Schedule'!$N$6&gt;0,MOD($A131-'Recurring Schedule'!$F$6,'Recurring Schedule'!$N$6)=0,IF('Recurring Schedule'!$O$6&gt;0,AND(DAY($A131)=MIN(DAY('Recurring Schedule'!$F$6),DAY(EOMONTH($A131,0))),MOD((YEAR($A131)-YEAR('Recurring Schedule'!$F$6))*12+MONTH($A131)-MONTH('Recurring Schedule'!$F$6),'Recurring Schedule'!$O$6)=0),IF('Recurring Schedule'!$E$6="Weekdays",WEEKDAY($A131,2)&lt;=5,$A131='Recurring Schedule'!$F$6))),1,""))))</f>
        <v/>
      </c>
      <c r="C131">
        <f>IF('Recurring Schedule'!$C$7="","",IF('Recurring Schedule'!$F$7="","",IF(OR($A131&lt;'Recurring Schedule'!$F$7,$A131&gt;'Recurring Schedule'!$P$7),"",IF(IF('Recurring Schedule'!$N$7&gt;0,MOD($A131-'Recurring Schedule'!$F$7,'Recurring Schedule'!$N$7)=0,IF('Recurring Schedule'!$O$7&gt;0,AND(DAY($A131)=MIN(DAY('Recurring Schedule'!$F$7),DAY(EOMONTH($A131,0))),MOD((YEAR($A131)-YEAR('Recurring Schedule'!$F$7))*12+MONTH($A131)-MONTH('Recurring Schedule'!$F$7),'Recurring Schedule'!$O$7)=0),IF('Recurring Schedule'!$E$7="Weekdays",WEEKDAY($A131,2)&lt;=5,$A131='Recurring Schedule'!$F$7))),2,""))))</f>
        <v/>
      </c>
      <c r="D131">
        <f>IF('Recurring Schedule'!$C$8="","",IF('Recurring Schedule'!$F$8="","",IF(OR($A131&lt;'Recurring Schedule'!$F$8,$A131&gt;'Recurring Schedule'!$P$8),"",IF(IF('Recurring Schedule'!$N$8&gt;0,MOD($A131-'Recurring Schedule'!$F$8,'Recurring Schedule'!$N$8)=0,IF('Recurring Schedule'!$O$8&gt;0,AND(DAY($A131)=MIN(DAY('Recurring Schedule'!$F$8),DAY(EOMONTH($A131,0))),MOD((YEAR($A131)-YEAR('Recurring Schedule'!$F$8))*12+MONTH($A131)-MONTH('Recurring Schedule'!$F$8),'Recurring Schedule'!$O$8)=0),IF('Recurring Schedule'!$E$8="Weekdays",WEEKDAY($A131,2)&lt;=5,$A131='Recurring Schedule'!$F$8))),3,""))))</f>
        <v/>
      </c>
      <c r="E131">
        <f>IF('Recurring Schedule'!$C$9="","",IF('Recurring Schedule'!$F$9="","",IF(OR($A131&lt;'Recurring Schedule'!$F$9,$A131&gt;'Recurring Schedule'!$P$9),"",IF(IF('Recurring Schedule'!$N$9&gt;0,MOD($A131-'Recurring Schedule'!$F$9,'Recurring Schedule'!$N$9)=0,IF('Recurring Schedule'!$O$9&gt;0,AND(DAY($A131)=MIN(DAY('Recurring Schedule'!$F$9),DAY(EOMONTH($A131,0))),MOD((YEAR($A131)-YEAR('Recurring Schedule'!$F$9))*12+MONTH($A131)-MONTH('Recurring Schedule'!$F$9),'Recurring Schedule'!$O$9)=0),IF('Recurring Schedule'!$E$9="Weekdays",WEEKDAY($A131,2)&lt;=5,$A131='Recurring Schedule'!$F$9))),4,""))))</f>
        <v/>
      </c>
      <c r="F131">
        <f>IF('Recurring Schedule'!$C$10="","",IF('Recurring Schedule'!$F$10="","",IF(OR($A131&lt;'Recurring Schedule'!$F$10,$A131&gt;'Recurring Schedule'!$P$10),"",IF(IF('Recurring Schedule'!$N$10&gt;0,MOD($A131-'Recurring Schedule'!$F$10,'Recurring Schedule'!$N$10)=0,IF('Recurring Schedule'!$O$10&gt;0,AND(DAY($A131)=MIN(DAY('Recurring Schedule'!$F$10),DAY(EOMONTH($A131,0))),MOD((YEAR($A131)-YEAR('Recurring Schedule'!$F$10))*12+MONTH($A131)-MONTH('Recurring Schedule'!$F$10),'Recurring Schedule'!$O$10)=0),IF('Recurring Schedule'!$E$10="Weekdays",WEEKDAY($A131,2)&lt;=5,$A131='Recurring Schedule'!$F$10))),5,""))))</f>
        <v/>
      </c>
      <c r="G131">
        <f>IF('Recurring Schedule'!$C$11="","",IF('Recurring Schedule'!$F$11="","",IF(OR($A131&lt;'Recurring Schedule'!$F$11,$A131&gt;'Recurring Schedule'!$P$11),"",IF(IF('Recurring Schedule'!$N$11&gt;0,MOD($A131-'Recurring Schedule'!$F$11,'Recurring Schedule'!$N$11)=0,IF('Recurring Schedule'!$O$11&gt;0,AND(DAY($A131)=MIN(DAY('Recurring Schedule'!$F$11),DAY(EOMONTH($A131,0))),MOD((YEAR($A131)-YEAR('Recurring Schedule'!$F$11))*12+MONTH($A131)-MONTH('Recurring Schedule'!$F$11),'Recurring Schedule'!$O$11)=0),IF('Recurring Schedule'!$E$11="Weekdays",WEEKDAY($A131,2)&lt;=5,$A131='Recurring Schedule'!$F$11))),6,""))))</f>
        <v/>
      </c>
      <c r="H131">
        <f>IF('Recurring Schedule'!$C$12="","",IF('Recurring Schedule'!$F$12="","",IF(OR($A131&lt;'Recurring Schedule'!$F$12,$A131&gt;'Recurring Schedule'!$P$12),"",IF(IF('Recurring Schedule'!$N$12&gt;0,MOD($A131-'Recurring Schedule'!$F$12,'Recurring Schedule'!$N$12)=0,IF('Recurring Schedule'!$O$12&gt;0,AND(DAY($A131)=MIN(DAY('Recurring Schedule'!$F$12),DAY(EOMONTH($A131,0))),MOD((YEAR($A131)-YEAR('Recurring Schedule'!$F$12))*12+MONTH($A131)-MONTH('Recurring Schedule'!$F$12),'Recurring Schedule'!$O$12)=0),IF('Recurring Schedule'!$E$12="Weekdays",WEEKDAY($A131,2)&lt;=5,$A131='Recurring Schedule'!$F$12))),7,""))))</f>
        <v/>
      </c>
      <c r="I131">
        <f>IF('Recurring Schedule'!$C$13="","",IF('Recurring Schedule'!$F$13="","",IF(OR($A131&lt;'Recurring Schedule'!$F$13,$A131&gt;'Recurring Schedule'!$P$13),"",IF(IF('Recurring Schedule'!$N$13&gt;0,MOD($A131-'Recurring Schedule'!$F$13,'Recurring Schedule'!$N$13)=0,IF('Recurring Schedule'!$O$13&gt;0,AND(DAY($A131)=MIN(DAY('Recurring Schedule'!$F$13),DAY(EOMONTH($A131,0))),MOD((YEAR($A131)-YEAR('Recurring Schedule'!$F$13))*12+MONTH($A131)-MONTH('Recurring Schedule'!$F$13),'Recurring Schedule'!$O$13)=0),IF('Recurring Schedule'!$E$13="Weekdays",WEEKDAY($A131,2)&lt;=5,$A131='Recurring Schedule'!$F$13))),8,""))))</f>
        <v/>
      </c>
      <c r="J131">
        <f>IF('Recurring Schedule'!$C$14="","",IF('Recurring Schedule'!$F$14="","",IF(OR($A131&lt;'Recurring Schedule'!$F$14,$A131&gt;'Recurring Schedule'!$P$14),"",IF(IF('Recurring Schedule'!$N$14&gt;0,MOD($A131-'Recurring Schedule'!$F$14,'Recurring Schedule'!$N$14)=0,IF('Recurring Schedule'!$O$14&gt;0,AND(DAY($A131)=MIN(DAY('Recurring Schedule'!$F$14),DAY(EOMONTH($A131,0))),MOD((YEAR($A131)-YEAR('Recurring Schedule'!$F$14))*12+MONTH($A131)-MONTH('Recurring Schedule'!$F$14),'Recurring Schedule'!$O$14)=0),IF('Recurring Schedule'!$E$14="Weekdays",WEEKDAY($A131,2)&lt;=5,$A131='Recurring Schedule'!$F$14))),9,""))))</f>
        <v/>
      </c>
      <c r="K131">
        <f>IF('Recurring Schedule'!$C$15="","",IF('Recurring Schedule'!$F$15="","",IF(OR($A131&lt;'Recurring Schedule'!$F$15,$A131&gt;'Recurring Schedule'!$P$15),"",IF(IF('Recurring Schedule'!$N$15&gt;0,MOD($A131-'Recurring Schedule'!$F$15,'Recurring Schedule'!$N$15)=0,IF('Recurring Schedule'!$O$15&gt;0,AND(DAY($A131)=MIN(DAY('Recurring Schedule'!$F$15),DAY(EOMONTH($A131,0))),MOD((YEAR($A131)-YEAR('Recurring Schedule'!$F$15))*12+MONTH($A131)-MONTH('Recurring Schedule'!$F$15),'Recurring Schedule'!$O$15)=0),IF('Recurring Schedule'!$E$15="Weekdays",WEEKDAY($A131,2)&lt;=5,$A131='Recurring Schedule'!$F$15))),10,""))))</f>
        <v/>
      </c>
      <c r="L131">
        <f>IF('Recurring Schedule'!$C$16="","",IF('Recurring Schedule'!$F$16="","",IF(OR($A131&lt;'Recurring Schedule'!$F$16,$A131&gt;'Recurring Schedule'!$P$16),"",IF(IF('Recurring Schedule'!$N$16&gt;0,MOD($A131-'Recurring Schedule'!$F$16,'Recurring Schedule'!$N$16)=0,IF('Recurring Schedule'!$O$16&gt;0,AND(DAY($A131)=MIN(DAY('Recurring Schedule'!$F$16),DAY(EOMONTH($A131,0))),MOD((YEAR($A131)-YEAR('Recurring Schedule'!$F$16))*12+MONTH($A131)-MONTH('Recurring Schedule'!$F$16),'Recurring Schedule'!$O$16)=0),IF('Recurring Schedule'!$E$16="Weekdays",WEEKDAY($A131,2)&lt;=5,$A131='Recurring Schedule'!$F$16))),11,""))))</f>
        <v/>
      </c>
      <c r="M131">
        <f>IF('Recurring Schedule'!$C$17="","",IF('Recurring Schedule'!$F$17="","",IF(OR($A131&lt;'Recurring Schedule'!$F$17,$A131&gt;'Recurring Schedule'!$P$17),"",IF(IF('Recurring Schedule'!$N$17&gt;0,MOD($A131-'Recurring Schedule'!$F$17,'Recurring Schedule'!$N$17)=0,IF('Recurring Schedule'!$O$17&gt;0,AND(DAY($A131)=MIN(DAY('Recurring Schedule'!$F$17),DAY(EOMONTH($A131,0))),MOD((YEAR($A131)-YEAR('Recurring Schedule'!$F$17))*12+MONTH($A131)-MONTH('Recurring Schedule'!$F$17),'Recurring Schedule'!$O$17)=0),IF('Recurring Schedule'!$E$17="Weekdays",WEEKDAY($A131,2)&lt;=5,$A131='Recurring Schedule'!$F$17))),12,""))))</f>
        <v/>
      </c>
      <c r="N131">
        <f>IF('Recurring Schedule'!$C$18="","",IF('Recurring Schedule'!$F$18="","",IF(OR($A131&lt;'Recurring Schedule'!$F$18,$A131&gt;'Recurring Schedule'!$P$18),"",IF(IF('Recurring Schedule'!$N$18&gt;0,MOD($A131-'Recurring Schedule'!$F$18,'Recurring Schedule'!$N$18)=0,IF('Recurring Schedule'!$O$18&gt;0,AND(DAY($A131)=MIN(DAY('Recurring Schedule'!$F$18),DAY(EOMONTH($A131,0))),MOD((YEAR($A131)-YEAR('Recurring Schedule'!$F$18))*12+MONTH($A131)-MONTH('Recurring Schedule'!$F$18),'Recurring Schedule'!$O$18)=0),IF('Recurring Schedule'!$E$18="Weekdays",WEEKDAY($A131,2)&lt;=5,$A131='Recurring Schedule'!$F$18))),13,""))))</f>
        <v/>
      </c>
      <c r="O131">
        <f>IF('Recurring Schedule'!$C$19="","",IF('Recurring Schedule'!$F$19="","",IF(OR($A131&lt;'Recurring Schedule'!$F$19,$A131&gt;'Recurring Schedule'!$P$19),"",IF(IF('Recurring Schedule'!$N$19&gt;0,MOD($A131-'Recurring Schedule'!$F$19,'Recurring Schedule'!$N$19)=0,IF('Recurring Schedule'!$O$19&gt;0,AND(DAY($A131)=MIN(DAY('Recurring Schedule'!$F$19),DAY(EOMONTH($A131,0))),MOD((YEAR($A131)-YEAR('Recurring Schedule'!$F$19))*12+MONTH($A131)-MONTH('Recurring Schedule'!$F$19),'Recurring Schedule'!$O$19)=0),IF('Recurring Schedule'!$E$19="Weekdays",WEEKDAY($A131,2)&lt;=5,$A131='Recurring Schedule'!$F$19))),14,""))))</f>
        <v/>
      </c>
      <c r="P131">
        <f>IF('Recurring Schedule'!$C$20="","",IF('Recurring Schedule'!$F$20="","",IF(OR($A131&lt;'Recurring Schedule'!$F$20,$A131&gt;'Recurring Schedule'!$P$20),"",IF(IF('Recurring Schedule'!$N$20&gt;0,MOD($A131-'Recurring Schedule'!$F$20,'Recurring Schedule'!$N$20)=0,IF('Recurring Schedule'!$O$20&gt;0,AND(DAY($A131)=MIN(DAY('Recurring Schedule'!$F$20),DAY(EOMONTH($A131,0))),MOD((YEAR($A131)-YEAR('Recurring Schedule'!$F$20))*12+MONTH($A131)-MONTH('Recurring Schedule'!$F$20),'Recurring Schedule'!$O$20)=0),IF('Recurring Schedule'!$E$20="Weekdays",WEEKDAY($A131,2)&lt;=5,$A131='Recurring Schedule'!$F$20))),15,""))))</f>
        <v/>
      </c>
      <c r="Q131">
        <f>IF('Recurring Schedule'!$C$21="","",IF('Recurring Schedule'!$F$21="","",IF(OR($A131&lt;'Recurring Schedule'!$F$21,$A131&gt;'Recurring Schedule'!$P$21),"",IF(IF('Recurring Schedule'!$N$21&gt;0,MOD($A131-'Recurring Schedule'!$F$21,'Recurring Schedule'!$N$21)=0,IF('Recurring Schedule'!$O$21&gt;0,AND(DAY($A131)=MIN(DAY('Recurring Schedule'!$F$21),DAY(EOMONTH($A131,0))),MOD((YEAR($A131)-YEAR('Recurring Schedule'!$F$21))*12+MONTH($A131)-MONTH('Recurring Schedule'!$F$21),'Recurring Schedule'!$O$21)=0),IF('Recurring Schedule'!$E$21="Weekdays",WEEKDAY($A131,2)&lt;=5,$A131='Recurring Schedule'!$F$21))),16,""))))</f>
        <v/>
      </c>
      <c r="R131">
        <f>IF('Recurring Schedule'!$C$22="","",IF('Recurring Schedule'!$F$22="","",IF(OR($A131&lt;'Recurring Schedule'!$F$22,$A131&gt;'Recurring Schedule'!$P$22),"",IF(IF('Recurring Schedule'!$N$22&gt;0,MOD($A131-'Recurring Schedule'!$F$22,'Recurring Schedule'!$N$22)=0,IF('Recurring Schedule'!$O$22&gt;0,AND(DAY($A131)=MIN(DAY('Recurring Schedule'!$F$22),DAY(EOMONTH($A131,0))),MOD((YEAR($A131)-YEAR('Recurring Schedule'!$F$22))*12+MONTH($A131)-MONTH('Recurring Schedule'!$F$22),'Recurring Schedule'!$O$22)=0),IF('Recurring Schedule'!$E$22="Weekdays",WEEKDAY($A131,2)&lt;=5,$A131='Recurring Schedule'!$F$22))),17,""))))</f>
        <v/>
      </c>
      <c r="S131">
        <f>IF('Recurring Schedule'!$C$23="","",IF('Recurring Schedule'!$F$23="","",IF(OR($A131&lt;'Recurring Schedule'!$F$23,$A131&gt;'Recurring Schedule'!$P$23),"",IF(IF('Recurring Schedule'!$N$23&gt;0,MOD($A131-'Recurring Schedule'!$F$23,'Recurring Schedule'!$N$23)=0,IF('Recurring Schedule'!$O$23&gt;0,AND(DAY($A131)=MIN(DAY('Recurring Schedule'!$F$23),DAY(EOMONTH($A131,0))),MOD((YEAR($A131)-YEAR('Recurring Schedule'!$F$23))*12+MONTH($A131)-MONTH('Recurring Schedule'!$F$23),'Recurring Schedule'!$O$23)=0),IF('Recurring Schedule'!$E$23="Weekdays",WEEKDAY($A131,2)&lt;=5,$A131='Recurring Schedule'!$F$23))),18,""))))</f>
        <v/>
      </c>
      <c r="T131">
        <f>IF('Recurring Schedule'!$C$24="","",IF('Recurring Schedule'!$F$24="","",IF(OR($A131&lt;'Recurring Schedule'!$F$24,$A131&gt;'Recurring Schedule'!$P$24),"",IF(IF('Recurring Schedule'!$N$24&gt;0,MOD($A131-'Recurring Schedule'!$F$24,'Recurring Schedule'!$N$24)=0,IF('Recurring Schedule'!$O$24&gt;0,AND(DAY($A131)=MIN(DAY('Recurring Schedule'!$F$24),DAY(EOMONTH($A131,0))),MOD((YEAR($A131)-YEAR('Recurring Schedule'!$F$24))*12+MONTH($A131)-MONTH('Recurring Schedule'!$F$24),'Recurring Schedule'!$O$24)=0),IF('Recurring Schedule'!$E$24="Weekdays",WEEKDAY($A131,2)&lt;=5,$A131='Recurring Schedule'!$F$24))),19,""))))</f>
        <v/>
      </c>
      <c r="U131">
        <f>IF('Recurring Schedule'!$C$25="","",IF('Recurring Schedule'!$F$25="","",IF(OR($A131&lt;'Recurring Schedule'!$F$25,$A131&gt;'Recurring Schedule'!$P$25),"",IF(IF('Recurring Schedule'!$N$25&gt;0,MOD($A131-'Recurring Schedule'!$F$25,'Recurring Schedule'!$N$25)=0,IF('Recurring Schedule'!$O$25&gt;0,AND(DAY($A131)=MIN(DAY('Recurring Schedule'!$F$25),DAY(EOMONTH($A131,0))),MOD((YEAR($A131)-YEAR('Recurring Schedule'!$F$25))*12+MONTH($A131)-MONTH('Recurring Schedule'!$F$25),'Recurring Schedule'!$O$25)=0),IF('Recurring Schedule'!$E$25="Weekdays",WEEKDAY($A131,2)&lt;=5,$A131='Recurring Schedule'!$F$25))),20,""))))</f>
        <v/>
      </c>
      <c r="V131">
        <f>IF('Recurring Schedule'!$C$26="","",IF('Recurring Schedule'!$F$26="","",IF(OR($A131&lt;'Recurring Schedule'!$F$26,$A131&gt;'Recurring Schedule'!$P$26),"",IF(IF('Recurring Schedule'!$N$26&gt;0,MOD($A131-'Recurring Schedule'!$F$26,'Recurring Schedule'!$N$26)=0,IF('Recurring Schedule'!$O$26&gt;0,AND(DAY($A131)=MIN(DAY('Recurring Schedule'!$F$26),DAY(EOMONTH($A131,0))),MOD((YEAR($A131)-YEAR('Recurring Schedule'!$F$26))*12+MONTH($A131)-MONTH('Recurring Schedule'!$F$26),'Recurring Schedule'!$O$26)=0),IF('Recurring Schedule'!$E$26="Weekdays",WEEKDAY($A131,2)&lt;=5,$A131='Recurring Schedule'!$F$26))),21,""))))</f>
        <v/>
      </c>
      <c r="W131">
        <f>IF('Recurring Schedule'!$C$27="","",IF('Recurring Schedule'!$F$27="","",IF(OR($A131&lt;'Recurring Schedule'!$F$27,$A131&gt;'Recurring Schedule'!$P$27),"",IF(IF('Recurring Schedule'!$N$27&gt;0,MOD($A131-'Recurring Schedule'!$F$27,'Recurring Schedule'!$N$27)=0,IF('Recurring Schedule'!$O$27&gt;0,AND(DAY($A131)=MIN(DAY('Recurring Schedule'!$F$27),DAY(EOMONTH($A131,0))),MOD((YEAR($A131)-YEAR('Recurring Schedule'!$F$27))*12+MONTH($A131)-MONTH('Recurring Schedule'!$F$27),'Recurring Schedule'!$O$27)=0),IF('Recurring Schedule'!$E$27="Weekdays",WEEKDAY($A131,2)&lt;=5,$A131='Recurring Schedule'!$F$27))),22,""))))</f>
        <v/>
      </c>
      <c r="X131">
        <f>IF('Recurring Schedule'!$C$28="","",IF('Recurring Schedule'!$F$28="","",IF(OR($A131&lt;'Recurring Schedule'!$F$28,$A131&gt;'Recurring Schedule'!$P$28),"",IF(IF('Recurring Schedule'!$N$28&gt;0,MOD($A131-'Recurring Schedule'!$F$28,'Recurring Schedule'!$N$28)=0,IF('Recurring Schedule'!$O$28&gt;0,AND(DAY($A131)=MIN(DAY('Recurring Schedule'!$F$28),DAY(EOMONTH($A131,0))),MOD((YEAR($A131)-YEAR('Recurring Schedule'!$F$28))*12+MONTH($A131)-MONTH('Recurring Schedule'!$F$28),'Recurring Schedule'!$O$28)=0),IF('Recurring Schedule'!$E$28="Weekdays",WEEKDAY($A131,2)&lt;=5,$A131='Recurring Schedule'!$F$28))),23,""))))</f>
        <v/>
      </c>
      <c r="Y131">
        <f>IF('Recurring Schedule'!$C$29="","",IF('Recurring Schedule'!$F$29="","",IF(OR($A131&lt;'Recurring Schedule'!$F$29,$A131&gt;'Recurring Schedule'!$P$29),"",IF(IF('Recurring Schedule'!$N$29&gt;0,MOD($A131-'Recurring Schedule'!$F$29,'Recurring Schedule'!$N$29)=0,IF('Recurring Schedule'!$O$29&gt;0,AND(DAY($A131)=MIN(DAY('Recurring Schedule'!$F$29),DAY(EOMONTH($A131,0))),MOD((YEAR($A131)-YEAR('Recurring Schedule'!$F$29))*12+MONTH($A131)-MONTH('Recurring Schedule'!$F$29),'Recurring Schedule'!$O$29)=0),IF('Recurring Schedule'!$E$29="Weekdays",WEEKDAY($A131,2)&lt;=5,$A131='Recurring Schedule'!$F$29))),24,""))))</f>
        <v/>
      </c>
      <c r="Z131">
        <f>IF('Recurring Schedule'!$C$30="","",IF('Recurring Schedule'!$F$30="","",IF(OR($A131&lt;'Recurring Schedule'!$F$30,$A131&gt;'Recurring Schedule'!$P$30),"",IF(IF('Recurring Schedule'!$N$30&gt;0,MOD($A131-'Recurring Schedule'!$F$30,'Recurring Schedule'!$N$30)=0,IF('Recurring Schedule'!$O$30&gt;0,AND(DAY($A131)=MIN(DAY('Recurring Schedule'!$F$30),DAY(EOMONTH($A131,0))),MOD((YEAR($A131)-YEAR('Recurring Schedule'!$F$30))*12+MONTH($A131)-MONTH('Recurring Schedule'!$F$30),'Recurring Schedule'!$O$30)=0),IF('Recurring Schedule'!$E$30="Weekdays",WEEKDAY($A131,2)&lt;=5,$A131='Recurring Schedule'!$F$30))),25,""))))</f>
        <v/>
      </c>
      <c r="AA131">
        <f>IF('Recurring Schedule'!$C$31="","",IF('Recurring Schedule'!$F$31="","",IF(OR($A131&lt;'Recurring Schedule'!$F$31,$A131&gt;'Recurring Schedule'!$P$31),"",IF(IF('Recurring Schedule'!$N$31&gt;0,MOD($A131-'Recurring Schedule'!$F$31,'Recurring Schedule'!$N$31)=0,IF('Recurring Schedule'!$O$31&gt;0,AND(DAY($A131)=MIN(DAY('Recurring Schedule'!$F$31),DAY(EOMONTH($A131,0))),MOD((YEAR($A131)-YEAR('Recurring Schedule'!$F$31))*12+MONTH($A131)-MONTH('Recurring Schedule'!$F$31),'Recurring Schedule'!$O$31)=0),IF('Recurring Schedule'!$E$31="Weekdays",WEEKDAY($A131,2)&lt;=5,$A131='Recurring Schedule'!$F$31))),26,""))))</f>
        <v/>
      </c>
      <c r="AB131">
        <f>IF('Recurring Schedule'!$C$32="","",IF('Recurring Schedule'!$F$32="","",IF(OR($A131&lt;'Recurring Schedule'!$F$32,$A131&gt;'Recurring Schedule'!$P$32),"",IF(IF('Recurring Schedule'!$N$32&gt;0,MOD($A131-'Recurring Schedule'!$F$32,'Recurring Schedule'!$N$32)=0,IF('Recurring Schedule'!$O$32&gt;0,AND(DAY($A131)=MIN(DAY('Recurring Schedule'!$F$32),DAY(EOMONTH($A131,0))),MOD((YEAR($A131)-YEAR('Recurring Schedule'!$F$32))*12+MONTH($A131)-MONTH('Recurring Schedule'!$F$32),'Recurring Schedule'!$O$32)=0),IF('Recurring Schedule'!$E$32="Weekdays",WEEKDAY($A131,2)&lt;=5,$A131='Recurring Schedule'!$F$32))),27,""))))</f>
        <v/>
      </c>
      <c r="AC131">
        <f>IF('Recurring Schedule'!$C$33="","",IF('Recurring Schedule'!$F$33="","",IF(OR($A131&lt;'Recurring Schedule'!$F$33,$A131&gt;'Recurring Schedule'!$P$33),"",IF(IF('Recurring Schedule'!$N$33&gt;0,MOD($A131-'Recurring Schedule'!$F$33,'Recurring Schedule'!$N$33)=0,IF('Recurring Schedule'!$O$33&gt;0,AND(DAY($A131)=MIN(DAY('Recurring Schedule'!$F$33),DAY(EOMONTH($A131,0))),MOD((YEAR($A131)-YEAR('Recurring Schedule'!$F$33))*12+MONTH($A131)-MONTH('Recurring Schedule'!$F$33),'Recurring Schedule'!$O$33)=0),IF('Recurring Schedule'!$E$33="Weekdays",WEEKDAY($A131,2)&lt;=5,$A131='Recurring Schedule'!$F$33))),28,""))))</f>
        <v/>
      </c>
      <c r="AD131">
        <f>IF('Recurring Schedule'!$C$34="","",IF('Recurring Schedule'!$F$34="","",IF(OR($A131&lt;'Recurring Schedule'!$F$34,$A131&gt;'Recurring Schedule'!$P$34),"",IF(IF('Recurring Schedule'!$N$34&gt;0,MOD($A131-'Recurring Schedule'!$F$34,'Recurring Schedule'!$N$34)=0,IF('Recurring Schedule'!$O$34&gt;0,AND(DAY($A131)=MIN(DAY('Recurring Schedule'!$F$34),DAY(EOMONTH($A131,0))),MOD((YEAR($A131)-YEAR('Recurring Schedule'!$F$34))*12+MONTH($A131)-MONTH('Recurring Schedule'!$F$34),'Recurring Schedule'!$O$34)=0),IF('Recurring Schedule'!$E$34="Weekdays",WEEKDAY($A131,2)&lt;=5,$A131='Recurring Schedule'!$F$34))),29,""))))</f>
        <v/>
      </c>
      <c r="AE131">
        <f>IF('Recurring Schedule'!$C$35="","",IF('Recurring Schedule'!$F$35="","",IF(OR($A131&lt;'Recurring Schedule'!$F$35,$A131&gt;'Recurring Schedule'!$P$35),"",IF(IF('Recurring Schedule'!$N$35&gt;0,MOD($A131-'Recurring Schedule'!$F$35,'Recurring Schedule'!$N$35)=0,IF('Recurring Schedule'!$O$35&gt;0,AND(DAY($A131)=MIN(DAY('Recurring Schedule'!$F$35),DAY(EOMONTH($A131,0))),MOD((YEAR($A131)-YEAR('Recurring Schedule'!$F$35))*12+MONTH($A131)-MONTH('Recurring Schedule'!$F$35),'Recurring Schedule'!$O$35)=0),IF('Recurring Schedule'!$E$35="Weekdays",WEEKDAY($A131,2)&lt;=5,$A131='Recurring Schedule'!$F$35))),30,""))))</f>
        <v/>
      </c>
      <c r="AF131">
        <f>IF('Recurring Schedule'!$C$36="","",IF('Recurring Schedule'!$F$36="","",IF(OR($A131&lt;'Recurring Schedule'!$F$36,$A131&gt;'Recurring Schedule'!$P$36),"",IF(IF('Recurring Schedule'!$N$36&gt;0,MOD($A131-'Recurring Schedule'!$F$36,'Recurring Schedule'!$N$36)=0,IF('Recurring Schedule'!$O$36&gt;0,AND(DAY($A131)=MIN(DAY('Recurring Schedule'!$F$36),DAY(EOMONTH($A131,0))),MOD((YEAR($A131)-YEAR('Recurring Schedule'!$F$36))*12+MONTH($A131)-MONTH('Recurring Schedule'!$F$36),'Recurring Schedule'!$O$36)=0),IF('Recurring Schedule'!$E$36="Weekdays",WEEKDAY($A131,2)&lt;=5,$A131='Recurring Schedule'!$F$36))),31,""))))</f>
        <v/>
      </c>
      <c r="AG131">
        <f>IF('Recurring Schedule'!$C$37="","",IF('Recurring Schedule'!$F$37="","",IF(OR($A131&lt;'Recurring Schedule'!$F$37,$A131&gt;'Recurring Schedule'!$P$37),"",IF(IF('Recurring Schedule'!$N$37&gt;0,MOD($A131-'Recurring Schedule'!$F$37,'Recurring Schedule'!$N$37)=0,IF('Recurring Schedule'!$O$37&gt;0,AND(DAY($A131)=MIN(DAY('Recurring Schedule'!$F$37),DAY(EOMONTH($A131,0))),MOD((YEAR($A131)-YEAR('Recurring Schedule'!$F$37))*12+MONTH($A131)-MONTH('Recurring Schedule'!$F$37),'Recurring Schedule'!$O$37)=0),IF('Recurring Schedule'!$E$37="Weekdays",WEEKDAY($A131,2)&lt;=5,$A131='Recurring Schedule'!$F$37))),32,""))))</f>
        <v/>
      </c>
      <c r="AH131">
        <f>IF('Recurring Schedule'!$C$38="","",IF('Recurring Schedule'!$F$38="","",IF(OR($A131&lt;'Recurring Schedule'!$F$38,$A131&gt;'Recurring Schedule'!$P$38),"",IF(IF('Recurring Schedule'!$N$38&gt;0,MOD($A131-'Recurring Schedule'!$F$38,'Recurring Schedule'!$N$38)=0,IF('Recurring Schedule'!$O$38&gt;0,AND(DAY($A131)=MIN(DAY('Recurring Schedule'!$F$38),DAY(EOMONTH($A131,0))),MOD((YEAR($A131)-YEAR('Recurring Schedule'!$F$38))*12+MONTH($A131)-MONTH('Recurring Schedule'!$F$38),'Recurring Schedule'!$O$38)=0),IF('Recurring Schedule'!$E$38="Weekdays",WEEKDAY($A131,2)&lt;=5,$A131='Recurring Schedule'!$F$38))),33,""))))</f>
        <v/>
      </c>
      <c r="AI131">
        <f>IF('Recurring Schedule'!$C$39="","",IF('Recurring Schedule'!$F$39="","",IF(OR($A131&lt;'Recurring Schedule'!$F$39,$A131&gt;'Recurring Schedule'!$P$39),"",IF(IF('Recurring Schedule'!$N$39&gt;0,MOD($A131-'Recurring Schedule'!$F$39,'Recurring Schedule'!$N$39)=0,IF('Recurring Schedule'!$O$39&gt;0,AND(DAY($A131)=MIN(DAY('Recurring Schedule'!$F$39),DAY(EOMONTH($A131,0))),MOD((YEAR($A131)-YEAR('Recurring Schedule'!$F$39))*12+MONTH($A131)-MONTH('Recurring Schedule'!$F$39),'Recurring Schedule'!$O$39)=0),IF('Recurring Schedule'!$E$39="Weekdays",WEEKDAY($A131,2)&lt;=5,$A131='Recurring Schedule'!$F$39))),34,""))))</f>
        <v/>
      </c>
      <c r="AJ131">
        <f>IF('Recurring Schedule'!$C$40="","",IF('Recurring Schedule'!$F$40="","",IF(OR($A131&lt;'Recurring Schedule'!$F$40,$A131&gt;'Recurring Schedule'!$P$40),"",IF(IF('Recurring Schedule'!$N$40&gt;0,MOD($A131-'Recurring Schedule'!$F$40,'Recurring Schedule'!$N$40)=0,IF('Recurring Schedule'!$O$40&gt;0,AND(DAY($A131)=MIN(DAY('Recurring Schedule'!$F$40),DAY(EOMONTH($A131,0))),MOD((YEAR($A131)-YEAR('Recurring Schedule'!$F$40))*12+MONTH($A131)-MONTH('Recurring Schedule'!$F$40),'Recurring Schedule'!$O$40)=0),IF('Recurring Schedule'!$E$40="Weekdays",WEEKDAY($A131,2)&lt;=5,$A131='Recurring Schedule'!$F$40))),35,""))))</f>
        <v/>
      </c>
      <c r="AK131">
        <f>IF('Recurring Schedule'!$C$41="","",IF('Recurring Schedule'!$F$41="","",IF(OR($A131&lt;'Recurring Schedule'!$F$41,$A131&gt;'Recurring Schedule'!$P$41),"",IF(IF('Recurring Schedule'!$N$41&gt;0,MOD($A131-'Recurring Schedule'!$F$41,'Recurring Schedule'!$N$41)=0,IF('Recurring Schedule'!$O$41&gt;0,AND(DAY($A131)=MIN(DAY('Recurring Schedule'!$F$41),DAY(EOMONTH($A131,0))),MOD((YEAR($A131)-YEAR('Recurring Schedule'!$F$41))*12+MONTH($A131)-MONTH('Recurring Schedule'!$F$41),'Recurring Schedule'!$O$41)=0),IF('Recurring Schedule'!$E$41="Weekdays",WEEKDAY($A131,2)&lt;=5,$A131='Recurring Schedule'!$F$41))),36,""))))</f>
        <v/>
      </c>
      <c r="AL131">
        <f>IF('Recurring Schedule'!$C$42="","",IF('Recurring Schedule'!$F$42="","",IF(OR($A131&lt;'Recurring Schedule'!$F$42,$A131&gt;'Recurring Schedule'!$P$42),"",IF(IF('Recurring Schedule'!$N$42&gt;0,MOD($A131-'Recurring Schedule'!$F$42,'Recurring Schedule'!$N$42)=0,IF('Recurring Schedule'!$O$42&gt;0,AND(DAY($A131)=MIN(DAY('Recurring Schedule'!$F$42),DAY(EOMONTH($A131,0))),MOD((YEAR($A131)-YEAR('Recurring Schedule'!$F$42))*12+MONTH($A131)-MONTH('Recurring Schedule'!$F$42),'Recurring Schedule'!$O$42)=0),IF('Recurring Schedule'!$E$42="Weekdays",WEEKDAY($A131,2)&lt;=5,$A131='Recurring Schedule'!$F$42))),37,""))))</f>
        <v/>
      </c>
      <c r="AM131">
        <f>IF('Recurring Schedule'!$C$43="","",IF('Recurring Schedule'!$F$43="","",IF(OR($A131&lt;'Recurring Schedule'!$F$43,$A131&gt;'Recurring Schedule'!$P$43),"",IF(IF('Recurring Schedule'!$N$43&gt;0,MOD($A131-'Recurring Schedule'!$F$43,'Recurring Schedule'!$N$43)=0,IF('Recurring Schedule'!$O$43&gt;0,AND(DAY($A131)=MIN(DAY('Recurring Schedule'!$F$43),DAY(EOMONTH($A131,0))),MOD((YEAR($A131)-YEAR('Recurring Schedule'!$F$43))*12+MONTH($A131)-MONTH('Recurring Schedule'!$F$43),'Recurring Schedule'!$O$43)=0),IF('Recurring Schedule'!$E$43="Weekdays",WEEKDAY($A131,2)&lt;=5,$A131='Recurring Schedule'!$F$43))),38,""))))</f>
        <v/>
      </c>
      <c r="AN131">
        <f>IF('Recurring Schedule'!$C$44="","",IF('Recurring Schedule'!$F$44="","",IF(OR($A131&lt;'Recurring Schedule'!$F$44,$A131&gt;'Recurring Schedule'!$P$44),"",IF(IF('Recurring Schedule'!$N$44&gt;0,MOD($A131-'Recurring Schedule'!$F$44,'Recurring Schedule'!$N$44)=0,IF('Recurring Schedule'!$O$44&gt;0,AND(DAY($A131)=MIN(DAY('Recurring Schedule'!$F$44),DAY(EOMONTH($A131,0))),MOD((YEAR($A131)-YEAR('Recurring Schedule'!$F$44))*12+MONTH($A131)-MONTH('Recurring Schedule'!$F$44),'Recurring Schedule'!$O$44)=0),IF('Recurring Schedule'!$E$44="Weekdays",WEEKDAY($A131,2)&lt;=5,$A131='Recurring Schedule'!$F$44))),39,""))))</f>
        <v/>
      </c>
      <c r="AO131">
        <f>IF('Recurring Schedule'!$C$45="","",IF('Recurring Schedule'!$F$45="","",IF(OR($A131&lt;'Recurring Schedule'!$F$45,$A131&gt;'Recurring Schedule'!$P$45),"",IF(IF('Recurring Schedule'!$N$45&gt;0,MOD($A131-'Recurring Schedule'!$F$45,'Recurring Schedule'!$N$45)=0,IF('Recurring Schedule'!$O$45&gt;0,AND(DAY($A131)=MIN(DAY('Recurring Schedule'!$F$45),DAY(EOMONTH($A131,0))),MOD((YEAR($A131)-YEAR('Recurring Schedule'!$F$45))*12+MONTH($A131)-MONTH('Recurring Schedule'!$F$45),'Recurring Schedule'!$O$45)=0),IF('Recurring Schedule'!$E$45="Weekdays",WEEKDAY($A131,2)&lt;=5,$A131='Recurring Schedule'!$F$45))),40,""))))</f>
        <v/>
      </c>
      <c r="AP131">
        <f>COUNT(B131:AO131)</f>
        <v/>
      </c>
      <c r="AQ131">
        <f>AQ130+AP130</f>
        <v/>
      </c>
      <c r="AS131" t="inlineStr">
        <is>
          <t>R</t>
        </is>
      </c>
      <c r="AT131" t="n">
        <v>135</v>
      </c>
      <c r="AU131">
        <f>'Recurring Log'!C135&amp;""</f>
        <v/>
      </c>
      <c r="AV131">
        <f>'Recurring Log'!D135&amp;""</f>
        <v/>
      </c>
      <c r="AW131">
        <f>IF('Recurring Log'!E135="","",'Recurring Log'!E135)</f>
        <v/>
      </c>
      <c r="AX131">
        <f>IF('Recurring Log'!G135="","",'Recurring Log'!G135)</f>
        <v/>
      </c>
      <c r="AY131">
        <f>IF('Recurring Log'!H135="","",'Recurring Log'!H135)</f>
        <v/>
      </c>
      <c r="AZ131">
        <f>IF(AU131="","",IF('Recurring Log'!J135="","Not Started",'Recurring Log'!J135))</f>
        <v/>
      </c>
      <c r="BA131">
        <f>'Recurring Log'!L135&amp;""</f>
        <v/>
      </c>
      <c r="BB131">
        <f>'Recurring Log'!M135&amp;""</f>
        <v/>
      </c>
      <c r="BC131">
        <f>'Recurring Log'!N135&amp;""</f>
        <v/>
      </c>
      <c r="BD131">
        <f>'Recurring Log'!O135&amp;""</f>
        <v/>
      </c>
      <c r="BE131">
        <f>IF('Recurring Log'!K135="","",'Recurring Log'!K135)</f>
        <v/>
      </c>
      <c r="BF131">
        <f>IFERROR(MATCH(BA131,Setup!$L$6:$L$9,0),5)</f>
        <v/>
      </c>
      <c r="BG131">
        <f>IF(OR(AZ131="Done",AZ131="Cancelled"),1,0)</f>
        <v/>
      </c>
      <c r="BH131">
        <f>IF(AND(AU131&lt;&gt;"",ISNUMBER(AW131)),1,0)</f>
        <v/>
      </c>
      <c r="BI131">
        <f>IF(BH131=0,0,IF(AND(AW131&gt;='Tasks Filter'!$F$3,AW131&lt;='Tasks Filter'!$F$4,OR('Tasks Filter'!$I$3="",ISNUMBER(SEARCH('Tasks Filter'!$I$3,AU131))),OR('Tasks Filter'!$I$4="",BF131=IFERROR(MATCH('Tasks Filter'!$I$4,Setup!$L$6:$L$9,0),0)),OR('Tasks Filter'!$I$5="Both",AND('Tasks Filter'!$I$5="Yes",BB131="✓"),AND('Tasks Filter'!$I$5="No",BB131&lt;&gt;"✓")),OR('Tasks Filter'!$L$3="",AV131='Tasks Filter'!$L$3),OR('Tasks Filter'!$L$4="",AZ131='Tasks Filter'!$L$4),OR('Tasks Filter'!$L$5="",BC131='Tasks Filter'!$L$5),OR('Tasks Filter'!$O$3="",BD131='Tasks Filter'!$O$3),OR('Tasks Filter'!$O$4="Yes",BG131=0)),1,0))</f>
        <v/>
      </c>
      <c r="BJ131">
        <f>IF(BH131=0,"",IF('Tasks Filter'!$F$6="Descending",-1,1)*CHOOSE(MATCH('Tasks Filter'!$F$5,Lists!$G$2:$G$6,0),AW131,BF131,IFERROR(MATCH(AV131,Setup!$F$6:$F$15,0),99),IFERROR(MATCH(BC131,Setup!$H$6:$H$15,0),99),IFERROR(MATCH(AZ131,Setup!$J$6:$J$11,0),99))*1E+9+(AW131-40000)*10000+130)</f>
        <v/>
      </c>
      <c r="BK131">
        <f>IF(BI131=1,BJ131,"")</f>
        <v/>
      </c>
      <c r="BL131">
        <f>IF(AND(BH131=1,BG131=0,N(AW131)&lt;Setup!$D$7),(AW131-40000)*10000+130,"")</f>
        <v/>
      </c>
      <c r="BM131">
        <f>IF(AND(BH131=1,AZ131&lt;&gt;"Cancelled",N(AW131)&gt;=Dashboard!$AB$3,N(AW131)&lt;=Dashboard!$AB$3+6),(AW131-40000)*100000+BF131*10000+130,"")</f>
        <v/>
      </c>
      <c r="BN131">
        <f>IF(AND(BH131=1,AZ131&lt;&gt;"Cancelled"),BF131*10000+130,"")</f>
        <v/>
      </c>
    </row>
    <row r="132">
      <c r="A132">
        <f>Setup!$D$5+130</f>
        <v/>
      </c>
      <c r="B132">
        <f>IF('Recurring Schedule'!$C$6="","",IF('Recurring Schedule'!$F$6="","",IF(OR($A132&lt;'Recurring Schedule'!$F$6,$A132&gt;'Recurring Schedule'!$P$6),"",IF(IF('Recurring Schedule'!$N$6&gt;0,MOD($A132-'Recurring Schedule'!$F$6,'Recurring Schedule'!$N$6)=0,IF('Recurring Schedule'!$O$6&gt;0,AND(DAY($A132)=MIN(DAY('Recurring Schedule'!$F$6),DAY(EOMONTH($A132,0))),MOD((YEAR($A132)-YEAR('Recurring Schedule'!$F$6))*12+MONTH($A132)-MONTH('Recurring Schedule'!$F$6),'Recurring Schedule'!$O$6)=0),IF('Recurring Schedule'!$E$6="Weekdays",WEEKDAY($A132,2)&lt;=5,$A132='Recurring Schedule'!$F$6))),1,""))))</f>
        <v/>
      </c>
      <c r="C132">
        <f>IF('Recurring Schedule'!$C$7="","",IF('Recurring Schedule'!$F$7="","",IF(OR($A132&lt;'Recurring Schedule'!$F$7,$A132&gt;'Recurring Schedule'!$P$7),"",IF(IF('Recurring Schedule'!$N$7&gt;0,MOD($A132-'Recurring Schedule'!$F$7,'Recurring Schedule'!$N$7)=0,IF('Recurring Schedule'!$O$7&gt;0,AND(DAY($A132)=MIN(DAY('Recurring Schedule'!$F$7),DAY(EOMONTH($A132,0))),MOD((YEAR($A132)-YEAR('Recurring Schedule'!$F$7))*12+MONTH($A132)-MONTH('Recurring Schedule'!$F$7),'Recurring Schedule'!$O$7)=0),IF('Recurring Schedule'!$E$7="Weekdays",WEEKDAY($A132,2)&lt;=5,$A132='Recurring Schedule'!$F$7))),2,""))))</f>
        <v/>
      </c>
      <c r="D132">
        <f>IF('Recurring Schedule'!$C$8="","",IF('Recurring Schedule'!$F$8="","",IF(OR($A132&lt;'Recurring Schedule'!$F$8,$A132&gt;'Recurring Schedule'!$P$8),"",IF(IF('Recurring Schedule'!$N$8&gt;0,MOD($A132-'Recurring Schedule'!$F$8,'Recurring Schedule'!$N$8)=0,IF('Recurring Schedule'!$O$8&gt;0,AND(DAY($A132)=MIN(DAY('Recurring Schedule'!$F$8),DAY(EOMONTH($A132,0))),MOD((YEAR($A132)-YEAR('Recurring Schedule'!$F$8))*12+MONTH($A132)-MONTH('Recurring Schedule'!$F$8),'Recurring Schedule'!$O$8)=0),IF('Recurring Schedule'!$E$8="Weekdays",WEEKDAY($A132,2)&lt;=5,$A132='Recurring Schedule'!$F$8))),3,""))))</f>
        <v/>
      </c>
      <c r="E132">
        <f>IF('Recurring Schedule'!$C$9="","",IF('Recurring Schedule'!$F$9="","",IF(OR($A132&lt;'Recurring Schedule'!$F$9,$A132&gt;'Recurring Schedule'!$P$9),"",IF(IF('Recurring Schedule'!$N$9&gt;0,MOD($A132-'Recurring Schedule'!$F$9,'Recurring Schedule'!$N$9)=0,IF('Recurring Schedule'!$O$9&gt;0,AND(DAY($A132)=MIN(DAY('Recurring Schedule'!$F$9),DAY(EOMONTH($A132,0))),MOD((YEAR($A132)-YEAR('Recurring Schedule'!$F$9))*12+MONTH($A132)-MONTH('Recurring Schedule'!$F$9),'Recurring Schedule'!$O$9)=0),IF('Recurring Schedule'!$E$9="Weekdays",WEEKDAY($A132,2)&lt;=5,$A132='Recurring Schedule'!$F$9))),4,""))))</f>
        <v/>
      </c>
      <c r="F132">
        <f>IF('Recurring Schedule'!$C$10="","",IF('Recurring Schedule'!$F$10="","",IF(OR($A132&lt;'Recurring Schedule'!$F$10,$A132&gt;'Recurring Schedule'!$P$10),"",IF(IF('Recurring Schedule'!$N$10&gt;0,MOD($A132-'Recurring Schedule'!$F$10,'Recurring Schedule'!$N$10)=0,IF('Recurring Schedule'!$O$10&gt;0,AND(DAY($A132)=MIN(DAY('Recurring Schedule'!$F$10),DAY(EOMONTH($A132,0))),MOD((YEAR($A132)-YEAR('Recurring Schedule'!$F$10))*12+MONTH($A132)-MONTH('Recurring Schedule'!$F$10),'Recurring Schedule'!$O$10)=0),IF('Recurring Schedule'!$E$10="Weekdays",WEEKDAY($A132,2)&lt;=5,$A132='Recurring Schedule'!$F$10))),5,""))))</f>
        <v/>
      </c>
      <c r="G132">
        <f>IF('Recurring Schedule'!$C$11="","",IF('Recurring Schedule'!$F$11="","",IF(OR($A132&lt;'Recurring Schedule'!$F$11,$A132&gt;'Recurring Schedule'!$P$11),"",IF(IF('Recurring Schedule'!$N$11&gt;0,MOD($A132-'Recurring Schedule'!$F$11,'Recurring Schedule'!$N$11)=0,IF('Recurring Schedule'!$O$11&gt;0,AND(DAY($A132)=MIN(DAY('Recurring Schedule'!$F$11),DAY(EOMONTH($A132,0))),MOD((YEAR($A132)-YEAR('Recurring Schedule'!$F$11))*12+MONTH($A132)-MONTH('Recurring Schedule'!$F$11),'Recurring Schedule'!$O$11)=0),IF('Recurring Schedule'!$E$11="Weekdays",WEEKDAY($A132,2)&lt;=5,$A132='Recurring Schedule'!$F$11))),6,""))))</f>
        <v/>
      </c>
      <c r="H132">
        <f>IF('Recurring Schedule'!$C$12="","",IF('Recurring Schedule'!$F$12="","",IF(OR($A132&lt;'Recurring Schedule'!$F$12,$A132&gt;'Recurring Schedule'!$P$12),"",IF(IF('Recurring Schedule'!$N$12&gt;0,MOD($A132-'Recurring Schedule'!$F$12,'Recurring Schedule'!$N$12)=0,IF('Recurring Schedule'!$O$12&gt;0,AND(DAY($A132)=MIN(DAY('Recurring Schedule'!$F$12),DAY(EOMONTH($A132,0))),MOD((YEAR($A132)-YEAR('Recurring Schedule'!$F$12))*12+MONTH($A132)-MONTH('Recurring Schedule'!$F$12),'Recurring Schedule'!$O$12)=0),IF('Recurring Schedule'!$E$12="Weekdays",WEEKDAY($A132,2)&lt;=5,$A132='Recurring Schedule'!$F$12))),7,""))))</f>
        <v/>
      </c>
      <c r="I132">
        <f>IF('Recurring Schedule'!$C$13="","",IF('Recurring Schedule'!$F$13="","",IF(OR($A132&lt;'Recurring Schedule'!$F$13,$A132&gt;'Recurring Schedule'!$P$13),"",IF(IF('Recurring Schedule'!$N$13&gt;0,MOD($A132-'Recurring Schedule'!$F$13,'Recurring Schedule'!$N$13)=0,IF('Recurring Schedule'!$O$13&gt;0,AND(DAY($A132)=MIN(DAY('Recurring Schedule'!$F$13),DAY(EOMONTH($A132,0))),MOD((YEAR($A132)-YEAR('Recurring Schedule'!$F$13))*12+MONTH($A132)-MONTH('Recurring Schedule'!$F$13),'Recurring Schedule'!$O$13)=0),IF('Recurring Schedule'!$E$13="Weekdays",WEEKDAY($A132,2)&lt;=5,$A132='Recurring Schedule'!$F$13))),8,""))))</f>
        <v/>
      </c>
      <c r="J132">
        <f>IF('Recurring Schedule'!$C$14="","",IF('Recurring Schedule'!$F$14="","",IF(OR($A132&lt;'Recurring Schedule'!$F$14,$A132&gt;'Recurring Schedule'!$P$14),"",IF(IF('Recurring Schedule'!$N$14&gt;0,MOD($A132-'Recurring Schedule'!$F$14,'Recurring Schedule'!$N$14)=0,IF('Recurring Schedule'!$O$14&gt;0,AND(DAY($A132)=MIN(DAY('Recurring Schedule'!$F$14),DAY(EOMONTH($A132,0))),MOD((YEAR($A132)-YEAR('Recurring Schedule'!$F$14))*12+MONTH($A132)-MONTH('Recurring Schedule'!$F$14),'Recurring Schedule'!$O$14)=0),IF('Recurring Schedule'!$E$14="Weekdays",WEEKDAY($A132,2)&lt;=5,$A132='Recurring Schedule'!$F$14))),9,""))))</f>
        <v/>
      </c>
      <c r="K132">
        <f>IF('Recurring Schedule'!$C$15="","",IF('Recurring Schedule'!$F$15="","",IF(OR($A132&lt;'Recurring Schedule'!$F$15,$A132&gt;'Recurring Schedule'!$P$15),"",IF(IF('Recurring Schedule'!$N$15&gt;0,MOD($A132-'Recurring Schedule'!$F$15,'Recurring Schedule'!$N$15)=0,IF('Recurring Schedule'!$O$15&gt;0,AND(DAY($A132)=MIN(DAY('Recurring Schedule'!$F$15),DAY(EOMONTH($A132,0))),MOD((YEAR($A132)-YEAR('Recurring Schedule'!$F$15))*12+MONTH($A132)-MONTH('Recurring Schedule'!$F$15),'Recurring Schedule'!$O$15)=0),IF('Recurring Schedule'!$E$15="Weekdays",WEEKDAY($A132,2)&lt;=5,$A132='Recurring Schedule'!$F$15))),10,""))))</f>
        <v/>
      </c>
      <c r="L132">
        <f>IF('Recurring Schedule'!$C$16="","",IF('Recurring Schedule'!$F$16="","",IF(OR($A132&lt;'Recurring Schedule'!$F$16,$A132&gt;'Recurring Schedule'!$P$16),"",IF(IF('Recurring Schedule'!$N$16&gt;0,MOD($A132-'Recurring Schedule'!$F$16,'Recurring Schedule'!$N$16)=0,IF('Recurring Schedule'!$O$16&gt;0,AND(DAY($A132)=MIN(DAY('Recurring Schedule'!$F$16),DAY(EOMONTH($A132,0))),MOD((YEAR($A132)-YEAR('Recurring Schedule'!$F$16))*12+MONTH($A132)-MONTH('Recurring Schedule'!$F$16),'Recurring Schedule'!$O$16)=0),IF('Recurring Schedule'!$E$16="Weekdays",WEEKDAY($A132,2)&lt;=5,$A132='Recurring Schedule'!$F$16))),11,""))))</f>
        <v/>
      </c>
      <c r="M132">
        <f>IF('Recurring Schedule'!$C$17="","",IF('Recurring Schedule'!$F$17="","",IF(OR($A132&lt;'Recurring Schedule'!$F$17,$A132&gt;'Recurring Schedule'!$P$17),"",IF(IF('Recurring Schedule'!$N$17&gt;0,MOD($A132-'Recurring Schedule'!$F$17,'Recurring Schedule'!$N$17)=0,IF('Recurring Schedule'!$O$17&gt;0,AND(DAY($A132)=MIN(DAY('Recurring Schedule'!$F$17),DAY(EOMONTH($A132,0))),MOD((YEAR($A132)-YEAR('Recurring Schedule'!$F$17))*12+MONTH($A132)-MONTH('Recurring Schedule'!$F$17),'Recurring Schedule'!$O$17)=0),IF('Recurring Schedule'!$E$17="Weekdays",WEEKDAY($A132,2)&lt;=5,$A132='Recurring Schedule'!$F$17))),12,""))))</f>
        <v/>
      </c>
      <c r="N132">
        <f>IF('Recurring Schedule'!$C$18="","",IF('Recurring Schedule'!$F$18="","",IF(OR($A132&lt;'Recurring Schedule'!$F$18,$A132&gt;'Recurring Schedule'!$P$18),"",IF(IF('Recurring Schedule'!$N$18&gt;0,MOD($A132-'Recurring Schedule'!$F$18,'Recurring Schedule'!$N$18)=0,IF('Recurring Schedule'!$O$18&gt;0,AND(DAY($A132)=MIN(DAY('Recurring Schedule'!$F$18),DAY(EOMONTH($A132,0))),MOD((YEAR($A132)-YEAR('Recurring Schedule'!$F$18))*12+MONTH($A132)-MONTH('Recurring Schedule'!$F$18),'Recurring Schedule'!$O$18)=0),IF('Recurring Schedule'!$E$18="Weekdays",WEEKDAY($A132,2)&lt;=5,$A132='Recurring Schedule'!$F$18))),13,""))))</f>
        <v/>
      </c>
      <c r="O132">
        <f>IF('Recurring Schedule'!$C$19="","",IF('Recurring Schedule'!$F$19="","",IF(OR($A132&lt;'Recurring Schedule'!$F$19,$A132&gt;'Recurring Schedule'!$P$19),"",IF(IF('Recurring Schedule'!$N$19&gt;0,MOD($A132-'Recurring Schedule'!$F$19,'Recurring Schedule'!$N$19)=0,IF('Recurring Schedule'!$O$19&gt;0,AND(DAY($A132)=MIN(DAY('Recurring Schedule'!$F$19),DAY(EOMONTH($A132,0))),MOD((YEAR($A132)-YEAR('Recurring Schedule'!$F$19))*12+MONTH($A132)-MONTH('Recurring Schedule'!$F$19),'Recurring Schedule'!$O$19)=0),IF('Recurring Schedule'!$E$19="Weekdays",WEEKDAY($A132,2)&lt;=5,$A132='Recurring Schedule'!$F$19))),14,""))))</f>
        <v/>
      </c>
      <c r="P132">
        <f>IF('Recurring Schedule'!$C$20="","",IF('Recurring Schedule'!$F$20="","",IF(OR($A132&lt;'Recurring Schedule'!$F$20,$A132&gt;'Recurring Schedule'!$P$20),"",IF(IF('Recurring Schedule'!$N$20&gt;0,MOD($A132-'Recurring Schedule'!$F$20,'Recurring Schedule'!$N$20)=0,IF('Recurring Schedule'!$O$20&gt;0,AND(DAY($A132)=MIN(DAY('Recurring Schedule'!$F$20),DAY(EOMONTH($A132,0))),MOD((YEAR($A132)-YEAR('Recurring Schedule'!$F$20))*12+MONTH($A132)-MONTH('Recurring Schedule'!$F$20),'Recurring Schedule'!$O$20)=0),IF('Recurring Schedule'!$E$20="Weekdays",WEEKDAY($A132,2)&lt;=5,$A132='Recurring Schedule'!$F$20))),15,""))))</f>
        <v/>
      </c>
      <c r="Q132">
        <f>IF('Recurring Schedule'!$C$21="","",IF('Recurring Schedule'!$F$21="","",IF(OR($A132&lt;'Recurring Schedule'!$F$21,$A132&gt;'Recurring Schedule'!$P$21),"",IF(IF('Recurring Schedule'!$N$21&gt;0,MOD($A132-'Recurring Schedule'!$F$21,'Recurring Schedule'!$N$21)=0,IF('Recurring Schedule'!$O$21&gt;0,AND(DAY($A132)=MIN(DAY('Recurring Schedule'!$F$21),DAY(EOMONTH($A132,0))),MOD((YEAR($A132)-YEAR('Recurring Schedule'!$F$21))*12+MONTH($A132)-MONTH('Recurring Schedule'!$F$21),'Recurring Schedule'!$O$21)=0),IF('Recurring Schedule'!$E$21="Weekdays",WEEKDAY($A132,2)&lt;=5,$A132='Recurring Schedule'!$F$21))),16,""))))</f>
        <v/>
      </c>
      <c r="R132">
        <f>IF('Recurring Schedule'!$C$22="","",IF('Recurring Schedule'!$F$22="","",IF(OR($A132&lt;'Recurring Schedule'!$F$22,$A132&gt;'Recurring Schedule'!$P$22),"",IF(IF('Recurring Schedule'!$N$22&gt;0,MOD($A132-'Recurring Schedule'!$F$22,'Recurring Schedule'!$N$22)=0,IF('Recurring Schedule'!$O$22&gt;0,AND(DAY($A132)=MIN(DAY('Recurring Schedule'!$F$22),DAY(EOMONTH($A132,0))),MOD((YEAR($A132)-YEAR('Recurring Schedule'!$F$22))*12+MONTH($A132)-MONTH('Recurring Schedule'!$F$22),'Recurring Schedule'!$O$22)=0),IF('Recurring Schedule'!$E$22="Weekdays",WEEKDAY($A132,2)&lt;=5,$A132='Recurring Schedule'!$F$22))),17,""))))</f>
        <v/>
      </c>
      <c r="S132">
        <f>IF('Recurring Schedule'!$C$23="","",IF('Recurring Schedule'!$F$23="","",IF(OR($A132&lt;'Recurring Schedule'!$F$23,$A132&gt;'Recurring Schedule'!$P$23),"",IF(IF('Recurring Schedule'!$N$23&gt;0,MOD($A132-'Recurring Schedule'!$F$23,'Recurring Schedule'!$N$23)=0,IF('Recurring Schedule'!$O$23&gt;0,AND(DAY($A132)=MIN(DAY('Recurring Schedule'!$F$23),DAY(EOMONTH($A132,0))),MOD((YEAR($A132)-YEAR('Recurring Schedule'!$F$23))*12+MONTH($A132)-MONTH('Recurring Schedule'!$F$23),'Recurring Schedule'!$O$23)=0),IF('Recurring Schedule'!$E$23="Weekdays",WEEKDAY($A132,2)&lt;=5,$A132='Recurring Schedule'!$F$23))),18,""))))</f>
        <v/>
      </c>
      <c r="T132">
        <f>IF('Recurring Schedule'!$C$24="","",IF('Recurring Schedule'!$F$24="","",IF(OR($A132&lt;'Recurring Schedule'!$F$24,$A132&gt;'Recurring Schedule'!$P$24),"",IF(IF('Recurring Schedule'!$N$24&gt;0,MOD($A132-'Recurring Schedule'!$F$24,'Recurring Schedule'!$N$24)=0,IF('Recurring Schedule'!$O$24&gt;0,AND(DAY($A132)=MIN(DAY('Recurring Schedule'!$F$24),DAY(EOMONTH($A132,0))),MOD((YEAR($A132)-YEAR('Recurring Schedule'!$F$24))*12+MONTH($A132)-MONTH('Recurring Schedule'!$F$24),'Recurring Schedule'!$O$24)=0),IF('Recurring Schedule'!$E$24="Weekdays",WEEKDAY($A132,2)&lt;=5,$A132='Recurring Schedule'!$F$24))),19,""))))</f>
        <v/>
      </c>
      <c r="U132">
        <f>IF('Recurring Schedule'!$C$25="","",IF('Recurring Schedule'!$F$25="","",IF(OR($A132&lt;'Recurring Schedule'!$F$25,$A132&gt;'Recurring Schedule'!$P$25),"",IF(IF('Recurring Schedule'!$N$25&gt;0,MOD($A132-'Recurring Schedule'!$F$25,'Recurring Schedule'!$N$25)=0,IF('Recurring Schedule'!$O$25&gt;0,AND(DAY($A132)=MIN(DAY('Recurring Schedule'!$F$25),DAY(EOMONTH($A132,0))),MOD((YEAR($A132)-YEAR('Recurring Schedule'!$F$25))*12+MONTH($A132)-MONTH('Recurring Schedule'!$F$25),'Recurring Schedule'!$O$25)=0),IF('Recurring Schedule'!$E$25="Weekdays",WEEKDAY($A132,2)&lt;=5,$A132='Recurring Schedule'!$F$25))),20,""))))</f>
        <v/>
      </c>
      <c r="V132">
        <f>IF('Recurring Schedule'!$C$26="","",IF('Recurring Schedule'!$F$26="","",IF(OR($A132&lt;'Recurring Schedule'!$F$26,$A132&gt;'Recurring Schedule'!$P$26),"",IF(IF('Recurring Schedule'!$N$26&gt;0,MOD($A132-'Recurring Schedule'!$F$26,'Recurring Schedule'!$N$26)=0,IF('Recurring Schedule'!$O$26&gt;0,AND(DAY($A132)=MIN(DAY('Recurring Schedule'!$F$26),DAY(EOMONTH($A132,0))),MOD((YEAR($A132)-YEAR('Recurring Schedule'!$F$26))*12+MONTH($A132)-MONTH('Recurring Schedule'!$F$26),'Recurring Schedule'!$O$26)=0),IF('Recurring Schedule'!$E$26="Weekdays",WEEKDAY($A132,2)&lt;=5,$A132='Recurring Schedule'!$F$26))),21,""))))</f>
        <v/>
      </c>
      <c r="W132">
        <f>IF('Recurring Schedule'!$C$27="","",IF('Recurring Schedule'!$F$27="","",IF(OR($A132&lt;'Recurring Schedule'!$F$27,$A132&gt;'Recurring Schedule'!$P$27),"",IF(IF('Recurring Schedule'!$N$27&gt;0,MOD($A132-'Recurring Schedule'!$F$27,'Recurring Schedule'!$N$27)=0,IF('Recurring Schedule'!$O$27&gt;0,AND(DAY($A132)=MIN(DAY('Recurring Schedule'!$F$27),DAY(EOMONTH($A132,0))),MOD((YEAR($A132)-YEAR('Recurring Schedule'!$F$27))*12+MONTH($A132)-MONTH('Recurring Schedule'!$F$27),'Recurring Schedule'!$O$27)=0),IF('Recurring Schedule'!$E$27="Weekdays",WEEKDAY($A132,2)&lt;=5,$A132='Recurring Schedule'!$F$27))),22,""))))</f>
        <v/>
      </c>
      <c r="X132">
        <f>IF('Recurring Schedule'!$C$28="","",IF('Recurring Schedule'!$F$28="","",IF(OR($A132&lt;'Recurring Schedule'!$F$28,$A132&gt;'Recurring Schedule'!$P$28),"",IF(IF('Recurring Schedule'!$N$28&gt;0,MOD($A132-'Recurring Schedule'!$F$28,'Recurring Schedule'!$N$28)=0,IF('Recurring Schedule'!$O$28&gt;0,AND(DAY($A132)=MIN(DAY('Recurring Schedule'!$F$28),DAY(EOMONTH($A132,0))),MOD((YEAR($A132)-YEAR('Recurring Schedule'!$F$28))*12+MONTH($A132)-MONTH('Recurring Schedule'!$F$28),'Recurring Schedule'!$O$28)=0),IF('Recurring Schedule'!$E$28="Weekdays",WEEKDAY($A132,2)&lt;=5,$A132='Recurring Schedule'!$F$28))),23,""))))</f>
        <v/>
      </c>
      <c r="Y132">
        <f>IF('Recurring Schedule'!$C$29="","",IF('Recurring Schedule'!$F$29="","",IF(OR($A132&lt;'Recurring Schedule'!$F$29,$A132&gt;'Recurring Schedule'!$P$29),"",IF(IF('Recurring Schedule'!$N$29&gt;0,MOD($A132-'Recurring Schedule'!$F$29,'Recurring Schedule'!$N$29)=0,IF('Recurring Schedule'!$O$29&gt;0,AND(DAY($A132)=MIN(DAY('Recurring Schedule'!$F$29),DAY(EOMONTH($A132,0))),MOD((YEAR($A132)-YEAR('Recurring Schedule'!$F$29))*12+MONTH($A132)-MONTH('Recurring Schedule'!$F$29),'Recurring Schedule'!$O$29)=0),IF('Recurring Schedule'!$E$29="Weekdays",WEEKDAY($A132,2)&lt;=5,$A132='Recurring Schedule'!$F$29))),24,""))))</f>
        <v/>
      </c>
      <c r="Z132">
        <f>IF('Recurring Schedule'!$C$30="","",IF('Recurring Schedule'!$F$30="","",IF(OR($A132&lt;'Recurring Schedule'!$F$30,$A132&gt;'Recurring Schedule'!$P$30),"",IF(IF('Recurring Schedule'!$N$30&gt;0,MOD($A132-'Recurring Schedule'!$F$30,'Recurring Schedule'!$N$30)=0,IF('Recurring Schedule'!$O$30&gt;0,AND(DAY($A132)=MIN(DAY('Recurring Schedule'!$F$30),DAY(EOMONTH($A132,0))),MOD((YEAR($A132)-YEAR('Recurring Schedule'!$F$30))*12+MONTH($A132)-MONTH('Recurring Schedule'!$F$30),'Recurring Schedule'!$O$30)=0),IF('Recurring Schedule'!$E$30="Weekdays",WEEKDAY($A132,2)&lt;=5,$A132='Recurring Schedule'!$F$30))),25,""))))</f>
        <v/>
      </c>
      <c r="AA132">
        <f>IF('Recurring Schedule'!$C$31="","",IF('Recurring Schedule'!$F$31="","",IF(OR($A132&lt;'Recurring Schedule'!$F$31,$A132&gt;'Recurring Schedule'!$P$31),"",IF(IF('Recurring Schedule'!$N$31&gt;0,MOD($A132-'Recurring Schedule'!$F$31,'Recurring Schedule'!$N$31)=0,IF('Recurring Schedule'!$O$31&gt;0,AND(DAY($A132)=MIN(DAY('Recurring Schedule'!$F$31),DAY(EOMONTH($A132,0))),MOD((YEAR($A132)-YEAR('Recurring Schedule'!$F$31))*12+MONTH($A132)-MONTH('Recurring Schedule'!$F$31),'Recurring Schedule'!$O$31)=0),IF('Recurring Schedule'!$E$31="Weekdays",WEEKDAY($A132,2)&lt;=5,$A132='Recurring Schedule'!$F$31))),26,""))))</f>
        <v/>
      </c>
      <c r="AB132">
        <f>IF('Recurring Schedule'!$C$32="","",IF('Recurring Schedule'!$F$32="","",IF(OR($A132&lt;'Recurring Schedule'!$F$32,$A132&gt;'Recurring Schedule'!$P$32),"",IF(IF('Recurring Schedule'!$N$32&gt;0,MOD($A132-'Recurring Schedule'!$F$32,'Recurring Schedule'!$N$32)=0,IF('Recurring Schedule'!$O$32&gt;0,AND(DAY($A132)=MIN(DAY('Recurring Schedule'!$F$32),DAY(EOMONTH($A132,0))),MOD((YEAR($A132)-YEAR('Recurring Schedule'!$F$32))*12+MONTH($A132)-MONTH('Recurring Schedule'!$F$32),'Recurring Schedule'!$O$32)=0),IF('Recurring Schedule'!$E$32="Weekdays",WEEKDAY($A132,2)&lt;=5,$A132='Recurring Schedule'!$F$32))),27,""))))</f>
        <v/>
      </c>
      <c r="AC132">
        <f>IF('Recurring Schedule'!$C$33="","",IF('Recurring Schedule'!$F$33="","",IF(OR($A132&lt;'Recurring Schedule'!$F$33,$A132&gt;'Recurring Schedule'!$P$33),"",IF(IF('Recurring Schedule'!$N$33&gt;0,MOD($A132-'Recurring Schedule'!$F$33,'Recurring Schedule'!$N$33)=0,IF('Recurring Schedule'!$O$33&gt;0,AND(DAY($A132)=MIN(DAY('Recurring Schedule'!$F$33),DAY(EOMONTH($A132,0))),MOD((YEAR($A132)-YEAR('Recurring Schedule'!$F$33))*12+MONTH($A132)-MONTH('Recurring Schedule'!$F$33),'Recurring Schedule'!$O$33)=0),IF('Recurring Schedule'!$E$33="Weekdays",WEEKDAY($A132,2)&lt;=5,$A132='Recurring Schedule'!$F$33))),28,""))))</f>
        <v/>
      </c>
      <c r="AD132">
        <f>IF('Recurring Schedule'!$C$34="","",IF('Recurring Schedule'!$F$34="","",IF(OR($A132&lt;'Recurring Schedule'!$F$34,$A132&gt;'Recurring Schedule'!$P$34),"",IF(IF('Recurring Schedule'!$N$34&gt;0,MOD($A132-'Recurring Schedule'!$F$34,'Recurring Schedule'!$N$34)=0,IF('Recurring Schedule'!$O$34&gt;0,AND(DAY($A132)=MIN(DAY('Recurring Schedule'!$F$34),DAY(EOMONTH($A132,0))),MOD((YEAR($A132)-YEAR('Recurring Schedule'!$F$34))*12+MONTH($A132)-MONTH('Recurring Schedule'!$F$34),'Recurring Schedule'!$O$34)=0),IF('Recurring Schedule'!$E$34="Weekdays",WEEKDAY($A132,2)&lt;=5,$A132='Recurring Schedule'!$F$34))),29,""))))</f>
        <v/>
      </c>
      <c r="AE132">
        <f>IF('Recurring Schedule'!$C$35="","",IF('Recurring Schedule'!$F$35="","",IF(OR($A132&lt;'Recurring Schedule'!$F$35,$A132&gt;'Recurring Schedule'!$P$35),"",IF(IF('Recurring Schedule'!$N$35&gt;0,MOD($A132-'Recurring Schedule'!$F$35,'Recurring Schedule'!$N$35)=0,IF('Recurring Schedule'!$O$35&gt;0,AND(DAY($A132)=MIN(DAY('Recurring Schedule'!$F$35),DAY(EOMONTH($A132,0))),MOD((YEAR($A132)-YEAR('Recurring Schedule'!$F$35))*12+MONTH($A132)-MONTH('Recurring Schedule'!$F$35),'Recurring Schedule'!$O$35)=0),IF('Recurring Schedule'!$E$35="Weekdays",WEEKDAY($A132,2)&lt;=5,$A132='Recurring Schedule'!$F$35))),30,""))))</f>
        <v/>
      </c>
      <c r="AF132">
        <f>IF('Recurring Schedule'!$C$36="","",IF('Recurring Schedule'!$F$36="","",IF(OR($A132&lt;'Recurring Schedule'!$F$36,$A132&gt;'Recurring Schedule'!$P$36),"",IF(IF('Recurring Schedule'!$N$36&gt;0,MOD($A132-'Recurring Schedule'!$F$36,'Recurring Schedule'!$N$36)=0,IF('Recurring Schedule'!$O$36&gt;0,AND(DAY($A132)=MIN(DAY('Recurring Schedule'!$F$36),DAY(EOMONTH($A132,0))),MOD((YEAR($A132)-YEAR('Recurring Schedule'!$F$36))*12+MONTH($A132)-MONTH('Recurring Schedule'!$F$36),'Recurring Schedule'!$O$36)=0),IF('Recurring Schedule'!$E$36="Weekdays",WEEKDAY($A132,2)&lt;=5,$A132='Recurring Schedule'!$F$36))),31,""))))</f>
        <v/>
      </c>
      <c r="AG132">
        <f>IF('Recurring Schedule'!$C$37="","",IF('Recurring Schedule'!$F$37="","",IF(OR($A132&lt;'Recurring Schedule'!$F$37,$A132&gt;'Recurring Schedule'!$P$37),"",IF(IF('Recurring Schedule'!$N$37&gt;0,MOD($A132-'Recurring Schedule'!$F$37,'Recurring Schedule'!$N$37)=0,IF('Recurring Schedule'!$O$37&gt;0,AND(DAY($A132)=MIN(DAY('Recurring Schedule'!$F$37),DAY(EOMONTH($A132,0))),MOD((YEAR($A132)-YEAR('Recurring Schedule'!$F$37))*12+MONTH($A132)-MONTH('Recurring Schedule'!$F$37),'Recurring Schedule'!$O$37)=0),IF('Recurring Schedule'!$E$37="Weekdays",WEEKDAY($A132,2)&lt;=5,$A132='Recurring Schedule'!$F$37))),32,""))))</f>
        <v/>
      </c>
      <c r="AH132">
        <f>IF('Recurring Schedule'!$C$38="","",IF('Recurring Schedule'!$F$38="","",IF(OR($A132&lt;'Recurring Schedule'!$F$38,$A132&gt;'Recurring Schedule'!$P$38),"",IF(IF('Recurring Schedule'!$N$38&gt;0,MOD($A132-'Recurring Schedule'!$F$38,'Recurring Schedule'!$N$38)=0,IF('Recurring Schedule'!$O$38&gt;0,AND(DAY($A132)=MIN(DAY('Recurring Schedule'!$F$38),DAY(EOMONTH($A132,0))),MOD((YEAR($A132)-YEAR('Recurring Schedule'!$F$38))*12+MONTH($A132)-MONTH('Recurring Schedule'!$F$38),'Recurring Schedule'!$O$38)=0),IF('Recurring Schedule'!$E$38="Weekdays",WEEKDAY($A132,2)&lt;=5,$A132='Recurring Schedule'!$F$38))),33,""))))</f>
        <v/>
      </c>
      <c r="AI132">
        <f>IF('Recurring Schedule'!$C$39="","",IF('Recurring Schedule'!$F$39="","",IF(OR($A132&lt;'Recurring Schedule'!$F$39,$A132&gt;'Recurring Schedule'!$P$39),"",IF(IF('Recurring Schedule'!$N$39&gt;0,MOD($A132-'Recurring Schedule'!$F$39,'Recurring Schedule'!$N$39)=0,IF('Recurring Schedule'!$O$39&gt;0,AND(DAY($A132)=MIN(DAY('Recurring Schedule'!$F$39),DAY(EOMONTH($A132,0))),MOD((YEAR($A132)-YEAR('Recurring Schedule'!$F$39))*12+MONTH($A132)-MONTH('Recurring Schedule'!$F$39),'Recurring Schedule'!$O$39)=0),IF('Recurring Schedule'!$E$39="Weekdays",WEEKDAY($A132,2)&lt;=5,$A132='Recurring Schedule'!$F$39))),34,""))))</f>
        <v/>
      </c>
      <c r="AJ132">
        <f>IF('Recurring Schedule'!$C$40="","",IF('Recurring Schedule'!$F$40="","",IF(OR($A132&lt;'Recurring Schedule'!$F$40,$A132&gt;'Recurring Schedule'!$P$40),"",IF(IF('Recurring Schedule'!$N$40&gt;0,MOD($A132-'Recurring Schedule'!$F$40,'Recurring Schedule'!$N$40)=0,IF('Recurring Schedule'!$O$40&gt;0,AND(DAY($A132)=MIN(DAY('Recurring Schedule'!$F$40),DAY(EOMONTH($A132,0))),MOD((YEAR($A132)-YEAR('Recurring Schedule'!$F$40))*12+MONTH($A132)-MONTH('Recurring Schedule'!$F$40),'Recurring Schedule'!$O$40)=0),IF('Recurring Schedule'!$E$40="Weekdays",WEEKDAY($A132,2)&lt;=5,$A132='Recurring Schedule'!$F$40))),35,""))))</f>
        <v/>
      </c>
      <c r="AK132">
        <f>IF('Recurring Schedule'!$C$41="","",IF('Recurring Schedule'!$F$41="","",IF(OR($A132&lt;'Recurring Schedule'!$F$41,$A132&gt;'Recurring Schedule'!$P$41),"",IF(IF('Recurring Schedule'!$N$41&gt;0,MOD($A132-'Recurring Schedule'!$F$41,'Recurring Schedule'!$N$41)=0,IF('Recurring Schedule'!$O$41&gt;0,AND(DAY($A132)=MIN(DAY('Recurring Schedule'!$F$41),DAY(EOMONTH($A132,0))),MOD((YEAR($A132)-YEAR('Recurring Schedule'!$F$41))*12+MONTH($A132)-MONTH('Recurring Schedule'!$F$41),'Recurring Schedule'!$O$41)=0),IF('Recurring Schedule'!$E$41="Weekdays",WEEKDAY($A132,2)&lt;=5,$A132='Recurring Schedule'!$F$41))),36,""))))</f>
        <v/>
      </c>
      <c r="AL132">
        <f>IF('Recurring Schedule'!$C$42="","",IF('Recurring Schedule'!$F$42="","",IF(OR($A132&lt;'Recurring Schedule'!$F$42,$A132&gt;'Recurring Schedule'!$P$42),"",IF(IF('Recurring Schedule'!$N$42&gt;0,MOD($A132-'Recurring Schedule'!$F$42,'Recurring Schedule'!$N$42)=0,IF('Recurring Schedule'!$O$42&gt;0,AND(DAY($A132)=MIN(DAY('Recurring Schedule'!$F$42),DAY(EOMONTH($A132,0))),MOD((YEAR($A132)-YEAR('Recurring Schedule'!$F$42))*12+MONTH($A132)-MONTH('Recurring Schedule'!$F$42),'Recurring Schedule'!$O$42)=0),IF('Recurring Schedule'!$E$42="Weekdays",WEEKDAY($A132,2)&lt;=5,$A132='Recurring Schedule'!$F$42))),37,""))))</f>
        <v/>
      </c>
      <c r="AM132">
        <f>IF('Recurring Schedule'!$C$43="","",IF('Recurring Schedule'!$F$43="","",IF(OR($A132&lt;'Recurring Schedule'!$F$43,$A132&gt;'Recurring Schedule'!$P$43),"",IF(IF('Recurring Schedule'!$N$43&gt;0,MOD($A132-'Recurring Schedule'!$F$43,'Recurring Schedule'!$N$43)=0,IF('Recurring Schedule'!$O$43&gt;0,AND(DAY($A132)=MIN(DAY('Recurring Schedule'!$F$43),DAY(EOMONTH($A132,0))),MOD((YEAR($A132)-YEAR('Recurring Schedule'!$F$43))*12+MONTH($A132)-MONTH('Recurring Schedule'!$F$43),'Recurring Schedule'!$O$43)=0),IF('Recurring Schedule'!$E$43="Weekdays",WEEKDAY($A132,2)&lt;=5,$A132='Recurring Schedule'!$F$43))),38,""))))</f>
        <v/>
      </c>
      <c r="AN132">
        <f>IF('Recurring Schedule'!$C$44="","",IF('Recurring Schedule'!$F$44="","",IF(OR($A132&lt;'Recurring Schedule'!$F$44,$A132&gt;'Recurring Schedule'!$P$44),"",IF(IF('Recurring Schedule'!$N$44&gt;0,MOD($A132-'Recurring Schedule'!$F$44,'Recurring Schedule'!$N$44)=0,IF('Recurring Schedule'!$O$44&gt;0,AND(DAY($A132)=MIN(DAY('Recurring Schedule'!$F$44),DAY(EOMONTH($A132,0))),MOD((YEAR($A132)-YEAR('Recurring Schedule'!$F$44))*12+MONTH($A132)-MONTH('Recurring Schedule'!$F$44),'Recurring Schedule'!$O$44)=0),IF('Recurring Schedule'!$E$44="Weekdays",WEEKDAY($A132,2)&lt;=5,$A132='Recurring Schedule'!$F$44))),39,""))))</f>
        <v/>
      </c>
      <c r="AO132">
        <f>IF('Recurring Schedule'!$C$45="","",IF('Recurring Schedule'!$F$45="","",IF(OR($A132&lt;'Recurring Schedule'!$F$45,$A132&gt;'Recurring Schedule'!$P$45),"",IF(IF('Recurring Schedule'!$N$45&gt;0,MOD($A132-'Recurring Schedule'!$F$45,'Recurring Schedule'!$N$45)=0,IF('Recurring Schedule'!$O$45&gt;0,AND(DAY($A132)=MIN(DAY('Recurring Schedule'!$F$45),DAY(EOMONTH($A132,0))),MOD((YEAR($A132)-YEAR('Recurring Schedule'!$F$45))*12+MONTH($A132)-MONTH('Recurring Schedule'!$F$45),'Recurring Schedule'!$O$45)=0),IF('Recurring Schedule'!$E$45="Weekdays",WEEKDAY($A132,2)&lt;=5,$A132='Recurring Schedule'!$F$45))),40,""))))</f>
        <v/>
      </c>
      <c r="AP132">
        <f>COUNT(B132:AO132)</f>
        <v/>
      </c>
      <c r="AQ132">
        <f>AQ131+AP131</f>
        <v/>
      </c>
      <c r="AS132" t="inlineStr">
        <is>
          <t>R</t>
        </is>
      </c>
      <c r="AT132" t="n">
        <v>136</v>
      </c>
      <c r="AU132">
        <f>'Recurring Log'!C136&amp;""</f>
        <v/>
      </c>
      <c r="AV132">
        <f>'Recurring Log'!D136&amp;""</f>
        <v/>
      </c>
      <c r="AW132">
        <f>IF('Recurring Log'!E136="","",'Recurring Log'!E136)</f>
        <v/>
      </c>
      <c r="AX132">
        <f>IF('Recurring Log'!G136="","",'Recurring Log'!G136)</f>
        <v/>
      </c>
      <c r="AY132">
        <f>IF('Recurring Log'!H136="","",'Recurring Log'!H136)</f>
        <v/>
      </c>
      <c r="AZ132">
        <f>IF(AU132="","",IF('Recurring Log'!J136="","Not Started",'Recurring Log'!J136))</f>
        <v/>
      </c>
      <c r="BA132">
        <f>'Recurring Log'!L136&amp;""</f>
        <v/>
      </c>
      <c r="BB132">
        <f>'Recurring Log'!M136&amp;""</f>
        <v/>
      </c>
      <c r="BC132">
        <f>'Recurring Log'!N136&amp;""</f>
        <v/>
      </c>
      <c r="BD132">
        <f>'Recurring Log'!O136&amp;""</f>
        <v/>
      </c>
      <c r="BE132">
        <f>IF('Recurring Log'!K136="","",'Recurring Log'!K136)</f>
        <v/>
      </c>
      <c r="BF132">
        <f>IFERROR(MATCH(BA132,Setup!$L$6:$L$9,0),5)</f>
        <v/>
      </c>
      <c r="BG132">
        <f>IF(OR(AZ132="Done",AZ132="Cancelled"),1,0)</f>
        <v/>
      </c>
      <c r="BH132">
        <f>IF(AND(AU132&lt;&gt;"",ISNUMBER(AW132)),1,0)</f>
        <v/>
      </c>
      <c r="BI132">
        <f>IF(BH132=0,0,IF(AND(AW132&gt;='Tasks Filter'!$F$3,AW132&lt;='Tasks Filter'!$F$4,OR('Tasks Filter'!$I$3="",ISNUMBER(SEARCH('Tasks Filter'!$I$3,AU132))),OR('Tasks Filter'!$I$4="",BF132=IFERROR(MATCH('Tasks Filter'!$I$4,Setup!$L$6:$L$9,0),0)),OR('Tasks Filter'!$I$5="Both",AND('Tasks Filter'!$I$5="Yes",BB132="✓"),AND('Tasks Filter'!$I$5="No",BB132&lt;&gt;"✓")),OR('Tasks Filter'!$L$3="",AV132='Tasks Filter'!$L$3),OR('Tasks Filter'!$L$4="",AZ132='Tasks Filter'!$L$4),OR('Tasks Filter'!$L$5="",BC132='Tasks Filter'!$L$5),OR('Tasks Filter'!$O$3="",BD132='Tasks Filter'!$O$3),OR('Tasks Filter'!$O$4="Yes",BG132=0)),1,0))</f>
        <v/>
      </c>
      <c r="BJ132">
        <f>IF(BH132=0,"",IF('Tasks Filter'!$F$6="Descending",-1,1)*CHOOSE(MATCH('Tasks Filter'!$F$5,Lists!$G$2:$G$6,0),AW132,BF132,IFERROR(MATCH(AV132,Setup!$F$6:$F$15,0),99),IFERROR(MATCH(BC132,Setup!$H$6:$H$15,0),99),IFERROR(MATCH(AZ132,Setup!$J$6:$J$11,0),99))*1E+9+(AW132-40000)*10000+131)</f>
        <v/>
      </c>
      <c r="BK132">
        <f>IF(BI132=1,BJ132,"")</f>
        <v/>
      </c>
      <c r="BL132">
        <f>IF(AND(BH132=1,BG132=0,N(AW132)&lt;Setup!$D$7),(AW132-40000)*10000+131,"")</f>
        <v/>
      </c>
      <c r="BM132">
        <f>IF(AND(BH132=1,AZ132&lt;&gt;"Cancelled",N(AW132)&gt;=Dashboard!$AB$3,N(AW132)&lt;=Dashboard!$AB$3+6),(AW132-40000)*100000+BF132*10000+131,"")</f>
        <v/>
      </c>
      <c r="BN132">
        <f>IF(AND(BH132=1,AZ132&lt;&gt;"Cancelled"),BF132*10000+131,"")</f>
        <v/>
      </c>
    </row>
    <row r="133">
      <c r="A133">
        <f>Setup!$D$5+131</f>
        <v/>
      </c>
      <c r="B133">
        <f>IF('Recurring Schedule'!$C$6="","",IF('Recurring Schedule'!$F$6="","",IF(OR($A133&lt;'Recurring Schedule'!$F$6,$A133&gt;'Recurring Schedule'!$P$6),"",IF(IF('Recurring Schedule'!$N$6&gt;0,MOD($A133-'Recurring Schedule'!$F$6,'Recurring Schedule'!$N$6)=0,IF('Recurring Schedule'!$O$6&gt;0,AND(DAY($A133)=MIN(DAY('Recurring Schedule'!$F$6),DAY(EOMONTH($A133,0))),MOD((YEAR($A133)-YEAR('Recurring Schedule'!$F$6))*12+MONTH($A133)-MONTH('Recurring Schedule'!$F$6),'Recurring Schedule'!$O$6)=0),IF('Recurring Schedule'!$E$6="Weekdays",WEEKDAY($A133,2)&lt;=5,$A133='Recurring Schedule'!$F$6))),1,""))))</f>
        <v/>
      </c>
      <c r="C133">
        <f>IF('Recurring Schedule'!$C$7="","",IF('Recurring Schedule'!$F$7="","",IF(OR($A133&lt;'Recurring Schedule'!$F$7,$A133&gt;'Recurring Schedule'!$P$7),"",IF(IF('Recurring Schedule'!$N$7&gt;0,MOD($A133-'Recurring Schedule'!$F$7,'Recurring Schedule'!$N$7)=0,IF('Recurring Schedule'!$O$7&gt;0,AND(DAY($A133)=MIN(DAY('Recurring Schedule'!$F$7),DAY(EOMONTH($A133,0))),MOD((YEAR($A133)-YEAR('Recurring Schedule'!$F$7))*12+MONTH($A133)-MONTH('Recurring Schedule'!$F$7),'Recurring Schedule'!$O$7)=0),IF('Recurring Schedule'!$E$7="Weekdays",WEEKDAY($A133,2)&lt;=5,$A133='Recurring Schedule'!$F$7))),2,""))))</f>
        <v/>
      </c>
      <c r="D133">
        <f>IF('Recurring Schedule'!$C$8="","",IF('Recurring Schedule'!$F$8="","",IF(OR($A133&lt;'Recurring Schedule'!$F$8,$A133&gt;'Recurring Schedule'!$P$8),"",IF(IF('Recurring Schedule'!$N$8&gt;0,MOD($A133-'Recurring Schedule'!$F$8,'Recurring Schedule'!$N$8)=0,IF('Recurring Schedule'!$O$8&gt;0,AND(DAY($A133)=MIN(DAY('Recurring Schedule'!$F$8),DAY(EOMONTH($A133,0))),MOD((YEAR($A133)-YEAR('Recurring Schedule'!$F$8))*12+MONTH($A133)-MONTH('Recurring Schedule'!$F$8),'Recurring Schedule'!$O$8)=0),IF('Recurring Schedule'!$E$8="Weekdays",WEEKDAY($A133,2)&lt;=5,$A133='Recurring Schedule'!$F$8))),3,""))))</f>
        <v/>
      </c>
      <c r="E133">
        <f>IF('Recurring Schedule'!$C$9="","",IF('Recurring Schedule'!$F$9="","",IF(OR($A133&lt;'Recurring Schedule'!$F$9,$A133&gt;'Recurring Schedule'!$P$9),"",IF(IF('Recurring Schedule'!$N$9&gt;0,MOD($A133-'Recurring Schedule'!$F$9,'Recurring Schedule'!$N$9)=0,IF('Recurring Schedule'!$O$9&gt;0,AND(DAY($A133)=MIN(DAY('Recurring Schedule'!$F$9),DAY(EOMONTH($A133,0))),MOD((YEAR($A133)-YEAR('Recurring Schedule'!$F$9))*12+MONTH($A133)-MONTH('Recurring Schedule'!$F$9),'Recurring Schedule'!$O$9)=0),IF('Recurring Schedule'!$E$9="Weekdays",WEEKDAY($A133,2)&lt;=5,$A133='Recurring Schedule'!$F$9))),4,""))))</f>
        <v/>
      </c>
      <c r="F133">
        <f>IF('Recurring Schedule'!$C$10="","",IF('Recurring Schedule'!$F$10="","",IF(OR($A133&lt;'Recurring Schedule'!$F$10,$A133&gt;'Recurring Schedule'!$P$10),"",IF(IF('Recurring Schedule'!$N$10&gt;0,MOD($A133-'Recurring Schedule'!$F$10,'Recurring Schedule'!$N$10)=0,IF('Recurring Schedule'!$O$10&gt;0,AND(DAY($A133)=MIN(DAY('Recurring Schedule'!$F$10),DAY(EOMONTH($A133,0))),MOD((YEAR($A133)-YEAR('Recurring Schedule'!$F$10))*12+MONTH($A133)-MONTH('Recurring Schedule'!$F$10),'Recurring Schedule'!$O$10)=0),IF('Recurring Schedule'!$E$10="Weekdays",WEEKDAY($A133,2)&lt;=5,$A133='Recurring Schedule'!$F$10))),5,""))))</f>
        <v/>
      </c>
      <c r="G133">
        <f>IF('Recurring Schedule'!$C$11="","",IF('Recurring Schedule'!$F$11="","",IF(OR($A133&lt;'Recurring Schedule'!$F$11,$A133&gt;'Recurring Schedule'!$P$11),"",IF(IF('Recurring Schedule'!$N$11&gt;0,MOD($A133-'Recurring Schedule'!$F$11,'Recurring Schedule'!$N$11)=0,IF('Recurring Schedule'!$O$11&gt;0,AND(DAY($A133)=MIN(DAY('Recurring Schedule'!$F$11),DAY(EOMONTH($A133,0))),MOD((YEAR($A133)-YEAR('Recurring Schedule'!$F$11))*12+MONTH($A133)-MONTH('Recurring Schedule'!$F$11),'Recurring Schedule'!$O$11)=0),IF('Recurring Schedule'!$E$11="Weekdays",WEEKDAY($A133,2)&lt;=5,$A133='Recurring Schedule'!$F$11))),6,""))))</f>
        <v/>
      </c>
      <c r="H133">
        <f>IF('Recurring Schedule'!$C$12="","",IF('Recurring Schedule'!$F$12="","",IF(OR($A133&lt;'Recurring Schedule'!$F$12,$A133&gt;'Recurring Schedule'!$P$12),"",IF(IF('Recurring Schedule'!$N$12&gt;0,MOD($A133-'Recurring Schedule'!$F$12,'Recurring Schedule'!$N$12)=0,IF('Recurring Schedule'!$O$12&gt;0,AND(DAY($A133)=MIN(DAY('Recurring Schedule'!$F$12),DAY(EOMONTH($A133,0))),MOD((YEAR($A133)-YEAR('Recurring Schedule'!$F$12))*12+MONTH($A133)-MONTH('Recurring Schedule'!$F$12),'Recurring Schedule'!$O$12)=0),IF('Recurring Schedule'!$E$12="Weekdays",WEEKDAY($A133,2)&lt;=5,$A133='Recurring Schedule'!$F$12))),7,""))))</f>
        <v/>
      </c>
      <c r="I133">
        <f>IF('Recurring Schedule'!$C$13="","",IF('Recurring Schedule'!$F$13="","",IF(OR($A133&lt;'Recurring Schedule'!$F$13,$A133&gt;'Recurring Schedule'!$P$13),"",IF(IF('Recurring Schedule'!$N$13&gt;0,MOD($A133-'Recurring Schedule'!$F$13,'Recurring Schedule'!$N$13)=0,IF('Recurring Schedule'!$O$13&gt;0,AND(DAY($A133)=MIN(DAY('Recurring Schedule'!$F$13),DAY(EOMONTH($A133,0))),MOD((YEAR($A133)-YEAR('Recurring Schedule'!$F$13))*12+MONTH($A133)-MONTH('Recurring Schedule'!$F$13),'Recurring Schedule'!$O$13)=0),IF('Recurring Schedule'!$E$13="Weekdays",WEEKDAY($A133,2)&lt;=5,$A133='Recurring Schedule'!$F$13))),8,""))))</f>
        <v/>
      </c>
      <c r="J133">
        <f>IF('Recurring Schedule'!$C$14="","",IF('Recurring Schedule'!$F$14="","",IF(OR($A133&lt;'Recurring Schedule'!$F$14,$A133&gt;'Recurring Schedule'!$P$14),"",IF(IF('Recurring Schedule'!$N$14&gt;0,MOD($A133-'Recurring Schedule'!$F$14,'Recurring Schedule'!$N$14)=0,IF('Recurring Schedule'!$O$14&gt;0,AND(DAY($A133)=MIN(DAY('Recurring Schedule'!$F$14),DAY(EOMONTH($A133,0))),MOD((YEAR($A133)-YEAR('Recurring Schedule'!$F$14))*12+MONTH($A133)-MONTH('Recurring Schedule'!$F$14),'Recurring Schedule'!$O$14)=0),IF('Recurring Schedule'!$E$14="Weekdays",WEEKDAY($A133,2)&lt;=5,$A133='Recurring Schedule'!$F$14))),9,""))))</f>
        <v/>
      </c>
      <c r="K133">
        <f>IF('Recurring Schedule'!$C$15="","",IF('Recurring Schedule'!$F$15="","",IF(OR($A133&lt;'Recurring Schedule'!$F$15,$A133&gt;'Recurring Schedule'!$P$15),"",IF(IF('Recurring Schedule'!$N$15&gt;0,MOD($A133-'Recurring Schedule'!$F$15,'Recurring Schedule'!$N$15)=0,IF('Recurring Schedule'!$O$15&gt;0,AND(DAY($A133)=MIN(DAY('Recurring Schedule'!$F$15),DAY(EOMONTH($A133,0))),MOD((YEAR($A133)-YEAR('Recurring Schedule'!$F$15))*12+MONTH($A133)-MONTH('Recurring Schedule'!$F$15),'Recurring Schedule'!$O$15)=0),IF('Recurring Schedule'!$E$15="Weekdays",WEEKDAY($A133,2)&lt;=5,$A133='Recurring Schedule'!$F$15))),10,""))))</f>
        <v/>
      </c>
      <c r="L133">
        <f>IF('Recurring Schedule'!$C$16="","",IF('Recurring Schedule'!$F$16="","",IF(OR($A133&lt;'Recurring Schedule'!$F$16,$A133&gt;'Recurring Schedule'!$P$16),"",IF(IF('Recurring Schedule'!$N$16&gt;0,MOD($A133-'Recurring Schedule'!$F$16,'Recurring Schedule'!$N$16)=0,IF('Recurring Schedule'!$O$16&gt;0,AND(DAY($A133)=MIN(DAY('Recurring Schedule'!$F$16),DAY(EOMONTH($A133,0))),MOD((YEAR($A133)-YEAR('Recurring Schedule'!$F$16))*12+MONTH($A133)-MONTH('Recurring Schedule'!$F$16),'Recurring Schedule'!$O$16)=0),IF('Recurring Schedule'!$E$16="Weekdays",WEEKDAY($A133,2)&lt;=5,$A133='Recurring Schedule'!$F$16))),11,""))))</f>
        <v/>
      </c>
      <c r="M133">
        <f>IF('Recurring Schedule'!$C$17="","",IF('Recurring Schedule'!$F$17="","",IF(OR($A133&lt;'Recurring Schedule'!$F$17,$A133&gt;'Recurring Schedule'!$P$17),"",IF(IF('Recurring Schedule'!$N$17&gt;0,MOD($A133-'Recurring Schedule'!$F$17,'Recurring Schedule'!$N$17)=0,IF('Recurring Schedule'!$O$17&gt;0,AND(DAY($A133)=MIN(DAY('Recurring Schedule'!$F$17),DAY(EOMONTH($A133,0))),MOD((YEAR($A133)-YEAR('Recurring Schedule'!$F$17))*12+MONTH($A133)-MONTH('Recurring Schedule'!$F$17),'Recurring Schedule'!$O$17)=0),IF('Recurring Schedule'!$E$17="Weekdays",WEEKDAY($A133,2)&lt;=5,$A133='Recurring Schedule'!$F$17))),12,""))))</f>
        <v/>
      </c>
      <c r="N133">
        <f>IF('Recurring Schedule'!$C$18="","",IF('Recurring Schedule'!$F$18="","",IF(OR($A133&lt;'Recurring Schedule'!$F$18,$A133&gt;'Recurring Schedule'!$P$18),"",IF(IF('Recurring Schedule'!$N$18&gt;0,MOD($A133-'Recurring Schedule'!$F$18,'Recurring Schedule'!$N$18)=0,IF('Recurring Schedule'!$O$18&gt;0,AND(DAY($A133)=MIN(DAY('Recurring Schedule'!$F$18),DAY(EOMONTH($A133,0))),MOD((YEAR($A133)-YEAR('Recurring Schedule'!$F$18))*12+MONTH($A133)-MONTH('Recurring Schedule'!$F$18),'Recurring Schedule'!$O$18)=0),IF('Recurring Schedule'!$E$18="Weekdays",WEEKDAY($A133,2)&lt;=5,$A133='Recurring Schedule'!$F$18))),13,""))))</f>
        <v/>
      </c>
      <c r="O133">
        <f>IF('Recurring Schedule'!$C$19="","",IF('Recurring Schedule'!$F$19="","",IF(OR($A133&lt;'Recurring Schedule'!$F$19,$A133&gt;'Recurring Schedule'!$P$19),"",IF(IF('Recurring Schedule'!$N$19&gt;0,MOD($A133-'Recurring Schedule'!$F$19,'Recurring Schedule'!$N$19)=0,IF('Recurring Schedule'!$O$19&gt;0,AND(DAY($A133)=MIN(DAY('Recurring Schedule'!$F$19),DAY(EOMONTH($A133,0))),MOD((YEAR($A133)-YEAR('Recurring Schedule'!$F$19))*12+MONTH($A133)-MONTH('Recurring Schedule'!$F$19),'Recurring Schedule'!$O$19)=0),IF('Recurring Schedule'!$E$19="Weekdays",WEEKDAY($A133,2)&lt;=5,$A133='Recurring Schedule'!$F$19))),14,""))))</f>
        <v/>
      </c>
      <c r="P133">
        <f>IF('Recurring Schedule'!$C$20="","",IF('Recurring Schedule'!$F$20="","",IF(OR($A133&lt;'Recurring Schedule'!$F$20,$A133&gt;'Recurring Schedule'!$P$20),"",IF(IF('Recurring Schedule'!$N$20&gt;0,MOD($A133-'Recurring Schedule'!$F$20,'Recurring Schedule'!$N$20)=0,IF('Recurring Schedule'!$O$20&gt;0,AND(DAY($A133)=MIN(DAY('Recurring Schedule'!$F$20),DAY(EOMONTH($A133,0))),MOD((YEAR($A133)-YEAR('Recurring Schedule'!$F$20))*12+MONTH($A133)-MONTH('Recurring Schedule'!$F$20),'Recurring Schedule'!$O$20)=0),IF('Recurring Schedule'!$E$20="Weekdays",WEEKDAY($A133,2)&lt;=5,$A133='Recurring Schedule'!$F$20))),15,""))))</f>
        <v/>
      </c>
      <c r="Q133">
        <f>IF('Recurring Schedule'!$C$21="","",IF('Recurring Schedule'!$F$21="","",IF(OR($A133&lt;'Recurring Schedule'!$F$21,$A133&gt;'Recurring Schedule'!$P$21),"",IF(IF('Recurring Schedule'!$N$21&gt;0,MOD($A133-'Recurring Schedule'!$F$21,'Recurring Schedule'!$N$21)=0,IF('Recurring Schedule'!$O$21&gt;0,AND(DAY($A133)=MIN(DAY('Recurring Schedule'!$F$21),DAY(EOMONTH($A133,0))),MOD((YEAR($A133)-YEAR('Recurring Schedule'!$F$21))*12+MONTH($A133)-MONTH('Recurring Schedule'!$F$21),'Recurring Schedule'!$O$21)=0),IF('Recurring Schedule'!$E$21="Weekdays",WEEKDAY($A133,2)&lt;=5,$A133='Recurring Schedule'!$F$21))),16,""))))</f>
        <v/>
      </c>
      <c r="R133">
        <f>IF('Recurring Schedule'!$C$22="","",IF('Recurring Schedule'!$F$22="","",IF(OR($A133&lt;'Recurring Schedule'!$F$22,$A133&gt;'Recurring Schedule'!$P$22),"",IF(IF('Recurring Schedule'!$N$22&gt;0,MOD($A133-'Recurring Schedule'!$F$22,'Recurring Schedule'!$N$22)=0,IF('Recurring Schedule'!$O$22&gt;0,AND(DAY($A133)=MIN(DAY('Recurring Schedule'!$F$22),DAY(EOMONTH($A133,0))),MOD((YEAR($A133)-YEAR('Recurring Schedule'!$F$22))*12+MONTH($A133)-MONTH('Recurring Schedule'!$F$22),'Recurring Schedule'!$O$22)=0),IF('Recurring Schedule'!$E$22="Weekdays",WEEKDAY($A133,2)&lt;=5,$A133='Recurring Schedule'!$F$22))),17,""))))</f>
        <v/>
      </c>
      <c r="S133">
        <f>IF('Recurring Schedule'!$C$23="","",IF('Recurring Schedule'!$F$23="","",IF(OR($A133&lt;'Recurring Schedule'!$F$23,$A133&gt;'Recurring Schedule'!$P$23),"",IF(IF('Recurring Schedule'!$N$23&gt;0,MOD($A133-'Recurring Schedule'!$F$23,'Recurring Schedule'!$N$23)=0,IF('Recurring Schedule'!$O$23&gt;0,AND(DAY($A133)=MIN(DAY('Recurring Schedule'!$F$23),DAY(EOMONTH($A133,0))),MOD((YEAR($A133)-YEAR('Recurring Schedule'!$F$23))*12+MONTH($A133)-MONTH('Recurring Schedule'!$F$23),'Recurring Schedule'!$O$23)=0),IF('Recurring Schedule'!$E$23="Weekdays",WEEKDAY($A133,2)&lt;=5,$A133='Recurring Schedule'!$F$23))),18,""))))</f>
        <v/>
      </c>
      <c r="T133">
        <f>IF('Recurring Schedule'!$C$24="","",IF('Recurring Schedule'!$F$24="","",IF(OR($A133&lt;'Recurring Schedule'!$F$24,$A133&gt;'Recurring Schedule'!$P$24),"",IF(IF('Recurring Schedule'!$N$24&gt;0,MOD($A133-'Recurring Schedule'!$F$24,'Recurring Schedule'!$N$24)=0,IF('Recurring Schedule'!$O$24&gt;0,AND(DAY($A133)=MIN(DAY('Recurring Schedule'!$F$24),DAY(EOMONTH($A133,0))),MOD((YEAR($A133)-YEAR('Recurring Schedule'!$F$24))*12+MONTH($A133)-MONTH('Recurring Schedule'!$F$24),'Recurring Schedule'!$O$24)=0),IF('Recurring Schedule'!$E$24="Weekdays",WEEKDAY($A133,2)&lt;=5,$A133='Recurring Schedule'!$F$24))),19,""))))</f>
        <v/>
      </c>
      <c r="U133">
        <f>IF('Recurring Schedule'!$C$25="","",IF('Recurring Schedule'!$F$25="","",IF(OR($A133&lt;'Recurring Schedule'!$F$25,$A133&gt;'Recurring Schedule'!$P$25),"",IF(IF('Recurring Schedule'!$N$25&gt;0,MOD($A133-'Recurring Schedule'!$F$25,'Recurring Schedule'!$N$25)=0,IF('Recurring Schedule'!$O$25&gt;0,AND(DAY($A133)=MIN(DAY('Recurring Schedule'!$F$25),DAY(EOMONTH($A133,0))),MOD((YEAR($A133)-YEAR('Recurring Schedule'!$F$25))*12+MONTH($A133)-MONTH('Recurring Schedule'!$F$25),'Recurring Schedule'!$O$25)=0),IF('Recurring Schedule'!$E$25="Weekdays",WEEKDAY($A133,2)&lt;=5,$A133='Recurring Schedule'!$F$25))),20,""))))</f>
        <v/>
      </c>
      <c r="V133">
        <f>IF('Recurring Schedule'!$C$26="","",IF('Recurring Schedule'!$F$26="","",IF(OR($A133&lt;'Recurring Schedule'!$F$26,$A133&gt;'Recurring Schedule'!$P$26),"",IF(IF('Recurring Schedule'!$N$26&gt;0,MOD($A133-'Recurring Schedule'!$F$26,'Recurring Schedule'!$N$26)=0,IF('Recurring Schedule'!$O$26&gt;0,AND(DAY($A133)=MIN(DAY('Recurring Schedule'!$F$26),DAY(EOMONTH($A133,0))),MOD((YEAR($A133)-YEAR('Recurring Schedule'!$F$26))*12+MONTH($A133)-MONTH('Recurring Schedule'!$F$26),'Recurring Schedule'!$O$26)=0),IF('Recurring Schedule'!$E$26="Weekdays",WEEKDAY($A133,2)&lt;=5,$A133='Recurring Schedule'!$F$26))),21,""))))</f>
        <v/>
      </c>
      <c r="W133">
        <f>IF('Recurring Schedule'!$C$27="","",IF('Recurring Schedule'!$F$27="","",IF(OR($A133&lt;'Recurring Schedule'!$F$27,$A133&gt;'Recurring Schedule'!$P$27),"",IF(IF('Recurring Schedule'!$N$27&gt;0,MOD($A133-'Recurring Schedule'!$F$27,'Recurring Schedule'!$N$27)=0,IF('Recurring Schedule'!$O$27&gt;0,AND(DAY($A133)=MIN(DAY('Recurring Schedule'!$F$27),DAY(EOMONTH($A133,0))),MOD((YEAR($A133)-YEAR('Recurring Schedule'!$F$27))*12+MONTH($A133)-MONTH('Recurring Schedule'!$F$27),'Recurring Schedule'!$O$27)=0),IF('Recurring Schedule'!$E$27="Weekdays",WEEKDAY($A133,2)&lt;=5,$A133='Recurring Schedule'!$F$27))),22,""))))</f>
        <v/>
      </c>
      <c r="X133">
        <f>IF('Recurring Schedule'!$C$28="","",IF('Recurring Schedule'!$F$28="","",IF(OR($A133&lt;'Recurring Schedule'!$F$28,$A133&gt;'Recurring Schedule'!$P$28),"",IF(IF('Recurring Schedule'!$N$28&gt;0,MOD($A133-'Recurring Schedule'!$F$28,'Recurring Schedule'!$N$28)=0,IF('Recurring Schedule'!$O$28&gt;0,AND(DAY($A133)=MIN(DAY('Recurring Schedule'!$F$28),DAY(EOMONTH($A133,0))),MOD((YEAR($A133)-YEAR('Recurring Schedule'!$F$28))*12+MONTH($A133)-MONTH('Recurring Schedule'!$F$28),'Recurring Schedule'!$O$28)=0),IF('Recurring Schedule'!$E$28="Weekdays",WEEKDAY($A133,2)&lt;=5,$A133='Recurring Schedule'!$F$28))),23,""))))</f>
        <v/>
      </c>
      <c r="Y133">
        <f>IF('Recurring Schedule'!$C$29="","",IF('Recurring Schedule'!$F$29="","",IF(OR($A133&lt;'Recurring Schedule'!$F$29,$A133&gt;'Recurring Schedule'!$P$29),"",IF(IF('Recurring Schedule'!$N$29&gt;0,MOD($A133-'Recurring Schedule'!$F$29,'Recurring Schedule'!$N$29)=0,IF('Recurring Schedule'!$O$29&gt;0,AND(DAY($A133)=MIN(DAY('Recurring Schedule'!$F$29),DAY(EOMONTH($A133,0))),MOD((YEAR($A133)-YEAR('Recurring Schedule'!$F$29))*12+MONTH($A133)-MONTH('Recurring Schedule'!$F$29),'Recurring Schedule'!$O$29)=0),IF('Recurring Schedule'!$E$29="Weekdays",WEEKDAY($A133,2)&lt;=5,$A133='Recurring Schedule'!$F$29))),24,""))))</f>
        <v/>
      </c>
      <c r="Z133">
        <f>IF('Recurring Schedule'!$C$30="","",IF('Recurring Schedule'!$F$30="","",IF(OR($A133&lt;'Recurring Schedule'!$F$30,$A133&gt;'Recurring Schedule'!$P$30),"",IF(IF('Recurring Schedule'!$N$30&gt;0,MOD($A133-'Recurring Schedule'!$F$30,'Recurring Schedule'!$N$30)=0,IF('Recurring Schedule'!$O$30&gt;0,AND(DAY($A133)=MIN(DAY('Recurring Schedule'!$F$30),DAY(EOMONTH($A133,0))),MOD((YEAR($A133)-YEAR('Recurring Schedule'!$F$30))*12+MONTH($A133)-MONTH('Recurring Schedule'!$F$30),'Recurring Schedule'!$O$30)=0),IF('Recurring Schedule'!$E$30="Weekdays",WEEKDAY($A133,2)&lt;=5,$A133='Recurring Schedule'!$F$30))),25,""))))</f>
        <v/>
      </c>
      <c r="AA133">
        <f>IF('Recurring Schedule'!$C$31="","",IF('Recurring Schedule'!$F$31="","",IF(OR($A133&lt;'Recurring Schedule'!$F$31,$A133&gt;'Recurring Schedule'!$P$31),"",IF(IF('Recurring Schedule'!$N$31&gt;0,MOD($A133-'Recurring Schedule'!$F$31,'Recurring Schedule'!$N$31)=0,IF('Recurring Schedule'!$O$31&gt;0,AND(DAY($A133)=MIN(DAY('Recurring Schedule'!$F$31),DAY(EOMONTH($A133,0))),MOD((YEAR($A133)-YEAR('Recurring Schedule'!$F$31))*12+MONTH($A133)-MONTH('Recurring Schedule'!$F$31),'Recurring Schedule'!$O$31)=0),IF('Recurring Schedule'!$E$31="Weekdays",WEEKDAY($A133,2)&lt;=5,$A133='Recurring Schedule'!$F$31))),26,""))))</f>
        <v/>
      </c>
      <c r="AB133">
        <f>IF('Recurring Schedule'!$C$32="","",IF('Recurring Schedule'!$F$32="","",IF(OR($A133&lt;'Recurring Schedule'!$F$32,$A133&gt;'Recurring Schedule'!$P$32),"",IF(IF('Recurring Schedule'!$N$32&gt;0,MOD($A133-'Recurring Schedule'!$F$32,'Recurring Schedule'!$N$32)=0,IF('Recurring Schedule'!$O$32&gt;0,AND(DAY($A133)=MIN(DAY('Recurring Schedule'!$F$32),DAY(EOMONTH($A133,0))),MOD((YEAR($A133)-YEAR('Recurring Schedule'!$F$32))*12+MONTH($A133)-MONTH('Recurring Schedule'!$F$32),'Recurring Schedule'!$O$32)=0),IF('Recurring Schedule'!$E$32="Weekdays",WEEKDAY($A133,2)&lt;=5,$A133='Recurring Schedule'!$F$32))),27,""))))</f>
        <v/>
      </c>
      <c r="AC133">
        <f>IF('Recurring Schedule'!$C$33="","",IF('Recurring Schedule'!$F$33="","",IF(OR($A133&lt;'Recurring Schedule'!$F$33,$A133&gt;'Recurring Schedule'!$P$33),"",IF(IF('Recurring Schedule'!$N$33&gt;0,MOD($A133-'Recurring Schedule'!$F$33,'Recurring Schedule'!$N$33)=0,IF('Recurring Schedule'!$O$33&gt;0,AND(DAY($A133)=MIN(DAY('Recurring Schedule'!$F$33),DAY(EOMONTH($A133,0))),MOD((YEAR($A133)-YEAR('Recurring Schedule'!$F$33))*12+MONTH($A133)-MONTH('Recurring Schedule'!$F$33),'Recurring Schedule'!$O$33)=0),IF('Recurring Schedule'!$E$33="Weekdays",WEEKDAY($A133,2)&lt;=5,$A133='Recurring Schedule'!$F$33))),28,""))))</f>
        <v/>
      </c>
      <c r="AD133">
        <f>IF('Recurring Schedule'!$C$34="","",IF('Recurring Schedule'!$F$34="","",IF(OR($A133&lt;'Recurring Schedule'!$F$34,$A133&gt;'Recurring Schedule'!$P$34),"",IF(IF('Recurring Schedule'!$N$34&gt;0,MOD($A133-'Recurring Schedule'!$F$34,'Recurring Schedule'!$N$34)=0,IF('Recurring Schedule'!$O$34&gt;0,AND(DAY($A133)=MIN(DAY('Recurring Schedule'!$F$34),DAY(EOMONTH($A133,0))),MOD((YEAR($A133)-YEAR('Recurring Schedule'!$F$34))*12+MONTH($A133)-MONTH('Recurring Schedule'!$F$34),'Recurring Schedule'!$O$34)=0),IF('Recurring Schedule'!$E$34="Weekdays",WEEKDAY($A133,2)&lt;=5,$A133='Recurring Schedule'!$F$34))),29,""))))</f>
        <v/>
      </c>
      <c r="AE133">
        <f>IF('Recurring Schedule'!$C$35="","",IF('Recurring Schedule'!$F$35="","",IF(OR($A133&lt;'Recurring Schedule'!$F$35,$A133&gt;'Recurring Schedule'!$P$35),"",IF(IF('Recurring Schedule'!$N$35&gt;0,MOD($A133-'Recurring Schedule'!$F$35,'Recurring Schedule'!$N$35)=0,IF('Recurring Schedule'!$O$35&gt;0,AND(DAY($A133)=MIN(DAY('Recurring Schedule'!$F$35),DAY(EOMONTH($A133,0))),MOD((YEAR($A133)-YEAR('Recurring Schedule'!$F$35))*12+MONTH($A133)-MONTH('Recurring Schedule'!$F$35),'Recurring Schedule'!$O$35)=0),IF('Recurring Schedule'!$E$35="Weekdays",WEEKDAY($A133,2)&lt;=5,$A133='Recurring Schedule'!$F$35))),30,""))))</f>
        <v/>
      </c>
      <c r="AF133">
        <f>IF('Recurring Schedule'!$C$36="","",IF('Recurring Schedule'!$F$36="","",IF(OR($A133&lt;'Recurring Schedule'!$F$36,$A133&gt;'Recurring Schedule'!$P$36),"",IF(IF('Recurring Schedule'!$N$36&gt;0,MOD($A133-'Recurring Schedule'!$F$36,'Recurring Schedule'!$N$36)=0,IF('Recurring Schedule'!$O$36&gt;0,AND(DAY($A133)=MIN(DAY('Recurring Schedule'!$F$36),DAY(EOMONTH($A133,0))),MOD((YEAR($A133)-YEAR('Recurring Schedule'!$F$36))*12+MONTH($A133)-MONTH('Recurring Schedule'!$F$36),'Recurring Schedule'!$O$36)=0),IF('Recurring Schedule'!$E$36="Weekdays",WEEKDAY($A133,2)&lt;=5,$A133='Recurring Schedule'!$F$36))),31,""))))</f>
        <v/>
      </c>
      <c r="AG133">
        <f>IF('Recurring Schedule'!$C$37="","",IF('Recurring Schedule'!$F$37="","",IF(OR($A133&lt;'Recurring Schedule'!$F$37,$A133&gt;'Recurring Schedule'!$P$37),"",IF(IF('Recurring Schedule'!$N$37&gt;0,MOD($A133-'Recurring Schedule'!$F$37,'Recurring Schedule'!$N$37)=0,IF('Recurring Schedule'!$O$37&gt;0,AND(DAY($A133)=MIN(DAY('Recurring Schedule'!$F$37),DAY(EOMONTH($A133,0))),MOD((YEAR($A133)-YEAR('Recurring Schedule'!$F$37))*12+MONTH($A133)-MONTH('Recurring Schedule'!$F$37),'Recurring Schedule'!$O$37)=0),IF('Recurring Schedule'!$E$37="Weekdays",WEEKDAY($A133,2)&lt;=5,$A133='Recurring Schedule'!$F$37))),32,""))))</f>
        <v/>
      </c>
      <c r="AH133">
        <f>IF('Recurring Schedule'!$C$38="","",IF('Recurring Schedule'!$F$38="","",IF(OR($A133&lt;'Recurring Schedule'!$F$38,$A133&gt;'Recurring Schedule'!$P$38),"",IF(IF('Recurring Schedule'!$N$38&gt;0,MOD($A133-'Recurring Schedule'!$F$38,'Recurring Schedule'!$N$38)=0,IF('Recurring Schedule'!$O$38&gt;0,AND(DAY($A133)=MIN(DAY('Recurring Schedule'!$F$38),DAY(EOMONTH($A133,0))),MOD((YEAR($A133)-YEAR('Recurring Schedule'!$F$38))*12+MONTH($A133)-MONTH('Recurring Schedule'!$F$38),'Recurring Schedule'!$O$38)=0),IF('Recurring Schedule'!$E$38="Weekdays",WEEKDAY($A133,2)&lt;=5,$A133='Recurring Schedule'!$F$38))),33,""))))</f>
        <v/>
      </c>
      <c r="AI133">
        <f>IF('Recurring Schedule'!$C$39="","",IF('Recurring Schedule'!$F$39="","",IF(OR($A133&lt;'Recurring Schedule'!$F$39,$A133&gt;'Recurring Schedule'!$P$39),"",IF(IF('Recurring Schedule'!$N$39&gt;0,MOD($A133-'Recurring Schedule'!$F$39,'Recurring Schedule'!$N$39)=0,IF('Recurring Schedule'!$O$39&gt;0,AND(DAY($A133)=MIN(DAY('Recurring Schedule'!$F$39),DAY(EOMONTH($A133,0))),MOD((YEAR($A133)-YEAR('Recurring Schedule'!$F$39))*12+MONTH($A133)-MONTH('Recurring Schedule'!$F$39),'Recurring Schedule'!$O$39)=0),IF('Recurring Schedule'!$E$39="Weekdays",WEEKDAY($A133,2)&lt;=5,$A133='Recurring Schedule'!$F$39))),34,""))))</f>
        <v/>
      </c>
      <c r="AJ133">
        <f>IF('Recurring Schedule'!$C$40="","",IF('Recurring Schedule'!$F$40="","",IF(OR($A133&lt;'Recurring Schedule'!$F$40,$A133&gt;'Recurring Schedule'!$P$40),"",IF(IF('Recurring Schedule'!$N$40&gt;0,MOD($A133-'Recurring Schedule'!$F$40,'Recurring Schedule'!$N$40)=0,IF('Recurring Schedule'!$O$40&gt;0,AND(DAY($A133)=MIN(DAY('Recurring Schedule'!$F$40),DAY(EOMONTH($A133,0))),MOD((YEAR($A133)-YEAR('Recurring Schedule'!$F$40))*12+MONTH($A133)-MONTH('Recurring Schedule'!$F$40),'Recurring Schedule'!$O$40)=0),IF('Recurring Schedule'!$E$40="Weekdays",WEEKDAY($A133,2)&lt;=5,$A133='Recurring Schedule'!$F$40))),35,""))))</f>
        <v/>
      </c>
      <c r="AK133">
        <f>IF('Recurring Schedule'!$C$41="","",IF('Recurring Schedule'!$F$41="","",IF(OR($A133&lt;'Recurring Schedule'!$F$41,$A133&gt;'Recurring Schedule'!$P$41),"",IF(IF('Recurring Schedule'!$N$41&gt;0,MOD($A133-'Recurring Schedule'!$F$41,'Recurring Schedule'!$N$41)=0,IF('Recurring Schedule'!$O$41&gt;0,AND(DAY($A133)=MIN(DAY('Recurring Schedule'!$F$41),DAY(EOMONTH($A133,0))),MOD((YEAR($A133)-YEAR('Recurring Schedule'!$F$41))*12+MONTH($A133)-MONTH('Recurring Schedule'!$F$41),'Recurring Schedule'!$O$41)=0),IF('Recurring Schedule'!$E$41="Weekdays",WEEKDAY($A133,2)&lt;=5,$A133='Recurring Schedule'!$F$41))),36,""))))</f>
        <v/>
      </c>
      <c r="AL133">
        <f>IF('Recurring Schedule'!$C$42="","",IF('Recurring Schedule'!$F$42="","",IF(OR($A133&lt;'Recurring Schedule'!$F$42,$A133&gt;'Recurring Schedule'!$P$42),"",IF(IF('Recurring Schedule'!$N$42&gt;0,MOD($A133-'Recurring Schedule'!$F$42,'Recurring Schedule'!$N$42)=0,IF('Recurring Schedule'!$O$42&gt;0,AND(DAY($A133)=MIN(DAY('Recurring Schedule'!$F$42),DAY(EOMONTH($A133,0))),MOD((YEAR($A133)-YEAR('Recurring Schedule'!$F$42))*12+MONTH($A133)-MONTH('Recurring Schedule'!$F$42),'Recurring Schedule'!$O$42)=0),IF('Recurring Schedule'!$E$42="Weekdays",WEEKDAY($A133,2)&lt;=5,$A133='Recurring Schedule'!$F$42))),37,""))))</f>
        <v/>
      </c>
      <c r="AM133">
        <f>IF('Recurring Schedule'!$C$43="","",IF('Recurring Schedule'!$F$43="","",IF(OR($A133&lt;'Recurring Schedule'!$F$43,$A133&gt;'Recurring Schedule'!$P$43),"",IF(IF('Recurring Schedule'!$N$43&gt;0,MOD($A133-'Recurring Schedule'!$F$43,'Recurring Schedule'!$N$43)=0,IF('Recurring Schedule'!$O$43&gt;0,AND(DAY($A133)=MIN(DAY('Recurring Schedule'!$F$43),DAY(EOMONTH($A133,0))),MOD((YEAR($A133)-YEAR('Recurring Schedule'!$F$43))*12+MONTH($A133)-MONTH('Recurring Schedule'!$F$43),'Recurring Schedule'!$O$43)=0),IF('Recurring Schedule'!$E$43="Weekdays",WEEKDAY($A133,2)&lt;=5,$A133='Recurring Schedule'!$F$43))),38,""))))</f>
        <v/>
      </c>
      <c r="AN133">
        <f>IF('Recurring Schedule'!$C$44="","",IF('Recurring Schedule'!$F$44="","",IF(OR($A133&lt;'Recurring Schedule'!$F$44,$A133&gt;'Recurring Schedule'!$P$44),"",IF(IF('Recurring Schedule'!$N$44&gt;0,MOD($A133-'Recurring Schedule'!$F$44,'Recurring Schedule'!$N$44)=0,IF('Recurring Schedule'!$O$44&gt;0,AND(DAY($A133)=MIN(DAY('Recurring Schedule'!$F$44),DAY(EOMONTH($A133,0))),MOD((YEAR($A133)-YEAR('Recurring Schedule'!$F$44))*12+MONTH($A133)-MONTH('Recurring Schedule'!$F$44),'Recurring Schedule'!$O$44)=0),IF('Recurring Schedule'!$E$44="Weekdays",WEEKDAY($A133,2)&lt;=5,$A133='Recurring Schedule'!$F$44))),39,""))))</f>
        <v/>
      </c>
      <c r="AO133">
        <f>IF('Recurring Schedule'!$C$45="","",IF('Recurring Schedule'!$F$45="","",IF(OR($A133&lt;'Recurring Schedule'!$F$45,$A133&gt;'Recurring Schedule'!$P$45),"",IF(IF('Recurring Schedule'!$N$45&gt;0,MOD($A133-'Recurring Schedule'!$F$45,'Recurring Schedule'!$N$45)=0,IF('Recurring Schedule'!$O$45&gt;0,AND(DAY($A133)=MIN(DAY('Recurring Schedule'!$F$45),DAY(EOMONTH($A133,0))),MOD((YEAR($A133)-YEAR('Recurring Schedule'!$F$45))*12+MONTH($A133)-MONTH('Recurring Schedule'!$F$45),'Recurring Schedule'!$O$45)=0),IF('Recurring Schedule'!$E$45="Weekdays",WEEKDAY($A133,2)&lt;=5,$A133='Recurring Schedule'!$F$45))),40,""))))</f>
        <v/>
      </c>
      <c r="AP133">
        <f>COUNT(B133:AO133)</f>
        <v/>
      </c>
      <c r="AQ133">
        <f>AQ132+AP132</f>
        <v/>
      </c>
      <c r="AS133" t="inlineStr">
        <is>
          <t>R</t>
        </is>
      </c>
      <c r="AT133" t="n">
        <v>137</v>
      </c>
      <c r="AU133">
        <f>'Recurring Log'!C137&amp;""</f>
        <v/>
      </c>
      <c r="AV133">
        <f>'Recurring Log'!D137&amp;""</f>
        <v/>
      </c>
      <c r="AW133">
        <f>IF('Recurring Log'!E137="","",'Recurring Log'!E137)</f>
        <v/>
      </c>
      <c r="AX133">
        <f>IF('Recurring Log'!G137="","",'Recurring Log'!G137)</f>
        <v/>
      </c>
      <c r="AY133">
        <f>IF('Recurring Log'!H137="","",'Recurring Log'!H137)</f>
        <v/>
      </c>
      <c r="AZ133">
        <f>IF(AU133="","",IF('Recurring Log'!J137="","Not Started",'Recurring Log'!J137))</f>
        <v/>
      </c>
      <c r="BA133">
        <f>'Recurring Log'!L137&amp;""</f>
        <v/>
      </c>
      <c r="BB133">
        <f>'Recurring Log'!M137&amp;""</f>
        <v/>
      </c>
      <c r="BC133">
        <f>'Recurring Log'!N137&amp;""</f>
        <v/>
      </c>
      <c r="BD133">
        <f>'Recurring Log'!O137&amp;""</f>
        <v/>
      </c>
      <c r="BE133">
        <f>IF('Recurring Log'!K137="","",'Recurring Log'!K137)</f>
        <v/>
      </c>
      <c r="BF133">
        <f>IFERROR(MATCH(BA133,Setup!$L$6:$L$9,0),5)</f>
        <v/>
      </c>
      <c r="BG133">
        <f>IF(OR(AZ133="Done",AZ133="Cancelled"),1,0)</f>
        <v/>
      </c>
      <c r="BH133">
        <f>IF(AND(AU133&lt;&gt;"",ISNUMBER(AW133)),1,0)</f>
        <v/>
      </c>
      <c r="BI133">
        <f>IF(BH133=0,0,IF(AND(AW133&gt;='Tasks Filter'!$F$3,AW133&lt;='Tasks Filter'!$F$4,OR('Tasks Filter'!$I$3="",ISNUMBER(SEARCH('Tasks Filter'!$I$3,AU133))),OR('Tasks Filter'!$I$4="",BF133=IFERROR(MATCH('Tasks Filter'!$I$4,Setup!$L$6:$L$9,0),0)),OR('Tasks Filter'!$I$5="Both",AND('Tasks Filter'!$I$5="Yes",BB133="✓"),AND('Tasks Filter'!$I$5="No",BB133&lt;&gt;"✓")),OR('Tasks Filter'!$L$3="",AV133='Tasks Filter'!$L$3),OR('Tasks Filter'!$L$4="",AZ133='Tasks Filter'!$L$4),OR('Tasks Filter'!$L$5="",BC133='Tasks Filter'!$L$5),OR('Tasks Filter'!$O$3="",BD133='Tasks Filter'!$O$3),OR('Tasks Filter'!$O$4="Yes",BG133=0)),1,0))</f>
        <v/>
      </c>
      <c r="BJ133">
        <f>IF(BH133=0,"",IF('Tasks Filter'!$F$6="Descending",-1,1)*CHOOSE(MATCH('Tasks Filter'!$F$5,Lists!$G$2:$G$6,0),AW133,BF133,IFERROR(MATCH(AV133,Setup!$F$6:$F$15,0),99),IFERROR(MATCH(BC133,Setup!$H$6:$H$15,0),99),IFERROR(MATCH(AZ133,Setup!$J$6:$J$11,0),99))*1E+9+(AW133-40000)*10000+132)</f>
        <v/>
      </c>
      <c r="BK133">
        <f>IF(BI133=1,BJ133,"")</f>
        <v/>
      </c>
      <c r="BL133">
        <f>IF(AND(BH133=1,BG133=0,N(AW133)&lt;Setup!$D$7),(AW133-40000)*10000+132,"")</f>
        <v/>
      </c>
      <c r="BM133">
        <f>IF(AND(BH133=1,AZ133&lt;&gt;"Cancelled",N(AW133)&gt;=Dashboard!$AB$3,N(AW133)&lt;=Dashboard!$AB$3+6),(AW133-40000)*100000+BF133*10000+132,"")</f>
        <v/>
      </c>
      <c r="BN133">
        <f>IF(AND(BH133=1,AZ133&lt;&gt;"Cancelled"),BF133*10000+132,"")</f>
        <v/>
      </c>
    </row>
    <row r="134">
      <c r="A134">
        <f>Setup!$D$5+132</f>
        <v/>
      </c>
      <c r="B134">
        <f>IF('Recurring Schedule'!$C$6="","",IF('Recurring Schedule'!$F$6="","",IF(OR($A134&lt;'Recurring Schedule'!$F$6,$A134&gt;'Recurring Schedule'!$P$6),"",IF(IF('Recurring Schedule'!$N$6&gt;0,MOD($A134-'Recurring Schedule'!$F$6,'Recurring Schedule'!$N$6)=0,IF('Recurring Schedule'!$O$6&gt;0,AND(DAY($A134)=MIN(DAY('Recurring Schedule'!$F$6),DAY(EOMONTH($A134,0))),MOD((YEAR($A134)-YEAR('Recurring Schedule'!$F$6))*12+MONTH($A134)-MONTH('Recurring Schedule'!$F$6),'Recurring Schedule'!$O$6)=0),IF('Recurring Schedule'!$E$6="Weekdays",WEEKDAY($A134,2)&lt;=5,$A134='Recurring Schedule'!$F$6))),1,""))))</f>
        <v/>
      </c>
      <c r="C134">
        <f>IF('Recurring Schedule'!$C$7="","",IF('Recurring Schedule'!$F$7="","",IF(OR($A134&lt;'Recurring Schedule'!$F$7,$A134&gt;'Recurring Schedule'!$P$7),"",IF(IF('Recurring Schedule'!$N$7&gt;0,MOD($A134-'Recurring Schedule'!$F$7,'Recurring Schedule'!$N$7)=0,IF('Recurring Schedule'!$O$7&gt;0,AND(DAY($A134)=MIN(DAY('Recurring Schedule'!$F$7),DAY(EOMONTH($A134,0))),MOD((YEAR($A134)-YEAR('Recurring Schedule'!$F$7))*12+MONTH($A134)-MONTH('Recurring Schedule'!$F$7),'Recurring Schedule'!$O$7)=0),IF('Recurring Schedule'!$E$7="Weekdays",WEEKDAY($A134,2)&lt;=5,$A134='Recurring Schedule'!$F$7))),2,""))))</f>
        <v/>
      </c>
      <c r="D134">
        <f>IF('Recurring Schedule'!$C$8="","",IF('Recurring Schedule'!$F$8="","",IF(OR($A134&lt;'Recurring Schedule'!$F$8,$A134&gt;'Recurring Schedule'!$P$8),"",IF(IF('Recurring Schedule'!$N$8&gt;0,MOD($A134-'Recurring Schedule'!$F$8,'Recurring Schedule'!$N$8)=0,IF('Recurring Schedule'!$O$8&gt;0,AND(DAY($A134)=MIN(DAY('Recurring Schedule'!$F$8),DAY(EOMONTH($A134,0))),MOD((YEAR($A134)-YEAR('Recurring Schedule'!$F$8))*12+MONTH($A134)-MONTH('Recurring Schedule'!$F$8),'Recurring Schedule'!$O$8)=0),IF('Recurring Schedule'!$E$8="Weekdays",WEEKDAY($A134,2)&lt;=5,$A134='Recurring Schedule'!$F$8))),3,""))))</f>
        <v/>
      </c>
      <c r="E134">
        <f>IF('Recurring Schedule'!$C$9="","",IF('Recurring Schedule'!$F$9="","",IF(OR($A134&lt;'Recurring Schedule'!$F$9,$A134&gt;'Recurring Schedule'!$P$9),"",IF(IF('Recurring Schedule'!$N$9&gt;0,MOD($A134-'Recurring Schedule'!$F$9,'Recurring Schedule'!$N$9)=0,IF('Recurring Schedule'!$O$9&gt;0,AND(DAY($A134)=MIN(DAY('Recurring Schedule'!$F$9),DAY(EOMONTH($A134,0))),MOD((YEAR($A134)-YEAR('Recurring Schedule'!$F$9))*12+MONTH($A134)-MONTH('Recurring Schedule'!$F$9),'Recurring Schedule'!$O$9)=0),IF('Recurring Schedule'!$E$9="Weekdays",WEEKDAY($A134,2)&lt;=5,$A134='Recurring Schedule'!$F$9))),4,""))))</f>
        <v/>
      </c>
      <c r="F134">
        <f>IF('Recurring Schedule'!$C$10="","",IF('Recurring Schedule'!$F$10="","",IF(OR($A134&lt;'Recurring Schedule'!$F$10,$A134&gt;'Recurring Schedule'!$P$10),"",IF(IF('Recurring Schedule'!$N$10&gt;0,MOD($A134-'Recurring Schedule'!$F$10,'Recurring Schedule'!$N$10)=0,IF('Recurring Schedule'!$O$10&gt;0,AND(DAY($A134)=MIN(DAY('Recurring Schedule'!$F$10),DAY(EOMONTH($A134,0))),MOD((YEAR($A134)-YEAR('Recurring Schedule'!$F$10))*12+MONTH($A134)-MONTH('Recurring Schedule'!$F$10),'Recurring Schedule'!$O$10)=0),IF('Recurring Schedule'!$E$10="Weekdays",WEEKDAY($A134,2)&lt;=5,$A134='Recurring Schedule'!$F$10))),5,""))))</f>
        <v/>
      </c>
      <c r="G134">
        <f>IF('Recurring Schedule'!$C$11="","",IF('Recurring Schedule'!$F$11="","",IF(OR($A134&lt;'Recurring Schedule'!$F$11,$A134&gt;'Recurring Schedule'!$P$11),"",IF(IF('Recurring Schedule'!$N$11&gt;0,MOD($A134-'Recurring Schedule'!$F$11,'Recurring Schedule'!$N$11)=0,IF('Recurring Schedule'!$O$11&gt;0,AND(DAY($A134)=MIN(DAY('Recurring Schedule'!$F$11),DAY(EOMONTH($A134,0))),MOD((YEAR($A134)-YEAR('Recurring Schedule'!$F$11))*12+MONTH($A134)-MONTH('Recurring Schedule'!$F$11),'Recurring Schedule'!$O$11)=0),IF('Recurring Schedule'!$E$11="Weekdays",WEEKDAY($A134,2)&lt;=5,$A134='Recurring Schedule'!$F$11))),6,""))))</f>
        <v/>
      </c>
      <c r="H134">
        <f>IF('Recurring Schedule'!$C$12="","",IF('Recurring Schedule'!$F$12="","",IF(OR($A134&lt;'Recurring Schedule'!$F$12,$A134&gt;'Recurring Schedule'!$P$12),"",IF(IF('Recurring Schedule'!$N$12&gt;0,MOD($A134-'Recurring Schedule'!$F$12,'Recurring Schedule'!$N$12)=0,IF('Recurring Schedule'!$O$12&gt;0,AND(DAY($A134)=MIN(DAY('Recurring Schedule'!$F$12),DAY(EOMONTH($A134,0))),MOD((YEAR($A134)-YEAR('Recurring Schedule'!$F$12))*12+MONTH($A134)-MONTH('Recurring Schedule'!$F$12),'Recurring Schedule'!$O$12)=0),IF('Recurring Schedule'!$E$12="Weekdays",WEEKDAY($A134,2)&lt;=5,$A134='Recurring Schedule'!$F$12))),7,""))))</f>
        <v/>
      </c>
      <c r="I134">
        <f>IF('Recurring Schedule'!$C$13="","",IF('Recurring Schedule'!$F$13="","",IF(OR($A134&lt;'Recurring Schedule'!$F$13,$A134&gt;'Recurring Schedule'!$P$13),"",IF(IF('Recurring Schedule'!$N$13&gt;0,MOD($A134-'Recurring Schedule'!$F$13,'Recurring Schedule'!$N$13)=0,IF('Recurring Schedule'!$O$13&gt;0,AND(DAY($A134)=MIN(DAY('Recurring Schedule'!$F$13),DAY(EOMONTH($A134,0))),MOD((YEAR($A134)-YEAR('Recurring Schedule'!$F$13))*12+MONTH($A134)-MONTH('Recurring Schedule'!$F$13),'Recurring Schedule'!$O$13)=0),IF('Recurring Schedule'!$E$13="Weekdays",WEEKDAY($A134,2)&lt;=5,$A134='Recurring Schedule'!$F$13))),8,""))))</f>
        <v/>
      </c>
      <c r="J134">
        <f>IF('Recurring Schedule'!$C$14="","",IF('Recurring Schedule'!$F$14="","",IF(OR($A134&lt;'Recurring Schedule'!$F$14,$A134&gt;'Recurring Schedule'!$P$14),"",IF(IF('Recurring Schedule'!$N$14&gt;0,MOD($A134-'Recurring Schedule'!$F$14,'Recurring Schedule'!$N$14)=0,IF('Recurring Schedule'!$O$14&gt;0,AND(DAY($A134)=MIN(DAY('Recurring Schedule'!$F$14),DAY(EOMONTH($A134,0))),MOD((YEAR($A134)-YEAR('Recurring Schedule'!$F$14))*12+MONTH($A134)-MONTH('Recurring Schedule'!$F$14),'Recurring Schedule'!$O$14)=0),IF('Recurring Schedule'!$E$14="Weekdays",WEEKDAY($A134,2)&lt;=5,$A134='Recurring Schedule'!$F$14))),9,""))))</f>
        <v/>
      </c>
      <c r="K134">
        <f>IF('Recurring Schedule'!$C$15="","",IF('Recurring Schedule'!$F$15="","",IF(OR($A134&lt;'Recurring Schedule'!$F$15,$A134&gt;'Recurring Schedule'!$P$15),"",IF(IF('Recurring Schedule'!$N$15&gt;0,MOD($A134-'Recurring Schedule'!$F$15,'Recurring Schedule'!$N$15)=0,IF('Recurring Schedule'!$O$15&gt;0,AND(DAY($A134)=MIN(DAY('Recurring Schedule'!$F$15),DAY(EOMONTH($A134,0))),MOD((YEAR($A134)-YEAR('Recurring Schedule'!$F$15))*12+MONTH($A134)-MONTH('Recurring Schedule'!$F$15),'Recurring Schedule'!$O$15)=0),IF('Recurring Schedule'!$E$15="Weekdays",WEEKDAY($A134,2)&lt;=5,$A134='Recurring Schedule'!$F$15))),10,""))))</f>
        <v/>
      </c>
      <c r="L134">
        <f>IF('Recurring Schedule'!$C$16="","",IF('Recurring Schedule'!$F$16="","",IF(OR($A134&lt;'Recurring Schedule'!$F$16,$A134&gt;'Recurring Schedule'!$P$16),"",IF(IF('Recurring Schedule'!$N$16&gt;0,MOD($A134-'Recurring Schedule'!$F$16,'Recurring Schedule'!$N$16)=0,IF('Recurring Schedule'!$O$16&gt;0,AND(DAY($A134)=MIN(DAY('Recurring Schedule'!$F$16),DAY(EOMONTH($A134,0))),MOD((YEAR($A134)-YEAR('Recurring Schedule'!$F$16))*12+MONTH($A134)-MONTH('Recurring Schedule'!$F$16),'Recurring Schedule'!$O$16)=0),IF('Recurring Schedule'!$E$16="Weekdays",WEEKDAY($A134,2)&lt;=5,$A134='Recurring Schedule'!$F$16))),11,""))))</f>
        <v/>
      </c>
      <c r="M134">
        <f>IF('Recurring Schedule'!$C$17="","",IF('Recurring Schedule'!$F$17="","",IF(OR($A134&lt;'Recurring Schedule'!$F$17,$A134&gt;'Recurring Schedule'!$P$17),"",IF(IF('Recurring Schedule'!$N$17&gt;0,MOD($A134-'Recurring Schedule'!$F$17,'Recurring Schedule'!$N$17)=0,IF('Recurring Schedule'!$O$17&gt;0,AND(DAY($A134)=MIN(DAY('Recurring Schedule'!$F$17),DAY(EOMONTH($A134,0))),MOD((YEAR($A134)-YEAR('Recurring Schedule'!$F$17))*12+MONTH($A134)-MONTH('Recurring Schedule'!$F$17),'Recurring Schedule'!$O$17)=0),IF('Recurring Schedule'!$E$17="Weekdays",WEEKDAY($A134,2)&lt;=5,$A134='Recurring Schedule'!$F$17))),12,""))))</f>
        <v/>
      </c>
      <c r="N134">
        <f>IF('Recurring Schedule'!$C$18="","",IF('Recurring Schedule'!$F$18="","",IF(OR($A134&lt;'Recurring Schedule'!$F$18,$A134&gt;'Recurring Schedule'!$P$18),"",IF(IF('Recurring Schedule'!$N$18&gt;0,MOD($A134-'Recurring Schedule'!$F$18,'Recurring Schedule'!$N$18)=0,IF('Recurring Schedule'!$O$18&gt;0,AND(DAY($A134)=MIN(DAY('Recurring Schedule'!$F$18),DAY(EOMONTH($A134,0))),MOD((YEAR($A134)-YEAR('Recurring Schedule'!$F$18))*12+MONTH($A134)-MONTH('Recurring Schedule'!$F$18),'Recurring Schedule'!$O$18)=0),IF('Recurring Schedule'!$E$18="Weekdays",WEEKDAY($A134,2)&lt;=5,$A134='Recurring Schedule'!$F$18))),13,""))))</f>
        <v/>
      </c>
      <c r="O134">
        <f>IF('Recurring Schedule'!$C$19="","",IF('Recurring Schedule'!$F$19="","",IF(OR($A134&lt;'Recurring Schedule'!$F$19,$A134&gt;'Recurring Schedule'!$P$19),"",IF(IF('Recurring Schedule'!$N$19&gt;0,MOD($A134-'Recurring Schedule'!$F$19,'Recurring Schedule'!$N$19)=0,IF('Recurring Schedule'!$O$19&gt;0,AND(DAY($A134)=MIN(DAY('Recurring Schedule'!$F$19),DAY(EOMONTH($A134,0))),MOD((YEAR($A134)-YEAR('Recurring Schedule'!$F$19))*12+MONTH($A134)-MONTH('Recurring Schedule'!$F$19),'Recurring Schedule'!$O$19)=0),IF('Recurring Schedule'!$E$19="Weekdays",WEEKDAY($A134,2)&lt;=5,$A134='Recurring Schedule'!$F$19))),14,""))))</f>
        <v/>
      </c>
      <c r="P134">
        <f>IF('Recurring Schedule'!$C$20="","",IF('Recurring Schedule'!$F$20="","",IF(OR($A134&lt;'Recurring Schedule'!$F$20,$A134&gt;'Recurring Schedule'!$P$20),"",IF(IF('Recurring Schedule'!$N$20&gt;0,MOD($A134-'Recurring Schedule'!$F$20,'Recurring Schedule'!$N$20)=0,IF('Recurring Schedule'!$O$20&gt;0,AND(DAY($A134)=MIN(DAY('Recurring Schedule'!$F$20),DAY(EOMONTH($A134,0))),MOD((YEAR($A134)-YEAR('Recurring Schedule'!$F$20))*12+MONTH($A134)-MONTH('Recurring Schedule'!$F$20),'Recurring Schedule'!$O$20)=0),IF('Recurring Schedule'!$E$20="Weekdays",WEEKDAY($A134,2)&lt;=5,$A134='Recurring Schedule'!$F$20))),15,""))))</f>
        <v/>
      </c>
      <c r="Q134">
        <f>IF('Recurring Schedule'!$C$21="","",IF('Recurring Schedule'!$F$21="","",IF(OR($A134&lt;'Recurring Schedule'!$F$21,$A134&gt;'Recurring Schedule'!$P$21),"",IF(IF('Recurring Schedule'!$N$21&gt;0,MOD($A134-'Recurring Schedule'!$F$21,'Recurring Schedule'!$N$21)=0,IF('Recurring Schedule'!$O$21&gt;0,AND(DAY($A134)=MIN(DAY('Recurring Schedule'!$F$21),DAY(EOMONTH($A134,0))),MOD((YEAR($A134)-YEAR('Recurring Schedule'!$F$21))*12+MONTH($A134)-MONTH('Recurring Schedule'!$F$21),'Recurring Schedule'!$O$21)=0),IF('Recurring Schedule'!$E$21="Weekdays",WEEKDAY($A134,2)&lt;=5,$A134='Recurring Schedule'!$F$21))),16,""))))</f>
        <v/>
      </c>
      <c r="R134">
        <f>IF('Recurring Schedule'!$C$22="","",IF('Recurring Schedule'!$F$22="","",IF(OR($A134&lt;'Recurring Schedule'!$F$22,$A134&gt;'Recurring Schedule'!$P$22),"",IF(IF('Recurring Schedule'!$N$22&gt;0,MOD($A134-'Recurring Schedule'!$F$22,'Recurring Schedule'!$N$22)=0,IF('Recurring Schedule'!$O$22&gt;0,AND(DAY($A134)=MIN(DAY('Recurring Schedule'!$F$22),DAY(EOMONTH($A134,0))),MOD((YEAR($A134)-YEAR('Recurring Schedule'!$F$22))*12+MONTH($A134)-MONTH('Recurring Schedule'!$F$22),'Recurring Schedule'!$O$22)=0),IF('Recurring Schedule'!$E$22="Weekdays",WEEKDAY($A134,2)&lt;=5,$A134='Recurring Schedule'!$F$22))),17,""))))</f>
        <v/>
      </c>
      <c r="S134">
        <f>IF('Recurring Schedule'!$C$23="","",IF('Recurring Schedule'!$F$23="","",IF(OR($A134&lt;'Recurring Schedule'!$F$23,$A134&gt;'Recurring Schedule'!$P$23),"",IF(IF('Recurring Schedule'!$N$23&gt;0,MOD($A134-'Recurring Schedule'!$F$23,'Recurring Schedule'!$N$23)=0,IF('Recurring Schedule'!$O$23&gt;0,AND(DAY($A134)=MIN(DAY('Recurring Schedule'!$F$23),DAY(EOMONTH($A134,0))),MOD((YEAR($A134)-YEAR('Recurring Schedule'!$F$23))*12+MONTH($A134)-MONTH('Recurring Schedule'!$F$23),'Recurring Schedule'!$O$23)=0),IF('Recurring Schedule'!$E$23="Weekdays",WEEKDAY($A134,2)&lt;=5,$A134='Recurring Schedule'!$F$23))),18,""))))</f>
        <v/>
      </c>
      <c r="T134">
        <f>IF('Recurring Schedule'!$C$24="","",IF('Recurring Schedule'!$F$24="","",IF(OR($A134&lt;'Recurring Schedule'!$F$24,$A134&gt;'Recurring Schedule'!$P$24),"",IF(IF('Recurring Schedule'!$N$24&gt;0,MOD($A134-'Recurring Schedule'!$F$24,'Recurring Schedule'!$N$24)=0,IF('Recurring Schedule'!$O$24&gt;0,AND(DAY($A134)=MIN(DAY('Recurring Schedule'!$F$24),DAY(EOMONTH($A134,0))),MOD((YEAR($A134)-YEAR('Recurring Schedule'!$F$24))*12+MONTH($A134)-MONTH('Recurring Schedule'!$F$24),'Recurring Schedule'!$O$24)=0),IF('Recurring Schedule'!$E$24="Weekdays",WEEKDAY($A134,2)&lt;=5,$A134='Recurring Schedule'!$F$24))),19,""))))</f>
        <v/>
      </c>
      <c r="U134">
        <f>IF('Recurring Schedule'!$C$25="","",IF('Recurring Schedule'!$F$25="","",IF(OR($A134&lt;'Recurring Schedule'!$F$25,$A134&gt;'Recurring Schedule'!$P$25),"",IF(IF('Recurring Schedule'!$N$25&gt;0,MOD($A134-'Recurring Schedule'!$F$25,'Recurring Schedule'!$N$25)=0,IF('Recurring Schedule'!$O$25&gt;0,AND(DAY($A134)=MIN(DAY('Recurring Schedule'!$F$25),DAY(EOMONTH($A134,0))),MOD((YEAR($A134)-YEAR('Recurring Schedule'!$F$25))*12+MONTH($A134)-MONTH('Recurring Schedule'!$F$25),'Recurring Schedule'!$O$25)=0),IF('Recurring Schedule'!$E$25="Weekdays",WEEKDAY($A134,2)&lt;=5,$A134='Recurring Schedule'!$F$25))),20,""))))</f>
        <v/>
      </c>
      <c r="V134">
        <f>IF('Recurring Schedule'!$C$26="","",IF('Recurring Schedule'!$F$26="","",IF(OR($A134&lt;'Recurring Schedule'!$F$26,$A134&gt;'Recurring Schedule'!$P$26),"",IF(IF('Recurring Schedule'!$N$26&gt;0,MOD($A134-'Recurring Schedule'!$F$26,'Recurring Schedule'!$N$26)=0,IF('Recurring Schedule'!$O$26&gt;0,AND(DAY($A134)=MIN(DAY('Recurring Schedule'!$F$26),DAY(EOMONTH($A134,0))),MOD((YEAR($A134)-YEAR('Recurring Schedule'!$F$26))*12+MONTH($A134)-MONTH('Recurring Schedule'!$F$26),'Recurring Schedule'!$O$26)=0),IF('Recurring Schedule'!$E$26="Weekdays",WEEKDAY($A134,2)&lt;=5,$A134='Recurring Schedule'!$F$26))),21,""))))</f>
        <v/>
      </c>
      <c r="W134">
        <f>IF('Recurring Schedule'!$C$27="","",IF('Recurring Schedule'!$F$27="","",IF(OR($A134&lt;'Recurring Schedule'!$F$27,$A134&gt;'Recurring Schedule'!$P$27),"",IF(IF('Recurring Schedule'!$N$27&gt;0,MOD($A134-'Recurring Schedule'!$F$27,'Recurring Schedule'!$N$27)=0,IF('Recurring Schedule'!$O$27&gt;0,AND(DAY($A134)=MIN(DAY('Recurring Schedule'!$F$27),DAY(EOMONTH($A134,0))),MOD((YEAR($A134)-YEAR('Recurring Schedule'!$F$27))*12+MONTH($A134)-MONTH('Recurring Schedule'!$F$27),'Recurring Schedule'!$O$27)=0),IF('Recurring Schedule'!$E$27="Weekdays",WEEKDAY($A134,2)&lt;=5,$A134='Recurring Schedule'!$F$27))),22,""))))</f>
        <v/>
      </c>
      <c r="X134">
        <f>IF('Recurring Schedule'!$C$28="","",IF('Recurring Schedule'!$F$28="","",IF(OR($A134&lt;'Recurring Schedule'!$F$28,$A134&gt;'Recurring Schedule'!$P$28),"",IF(IF('Recurring Schedule'!$N$28&gt;0,MOD($A134-'Recurring Schedule'!$F$28,'Recurring Schedule'!$N$28)=0,IF('Recurring Schedule'!$O$28&gt;0,AND(DAY($A134)=MIN(DAY('Recurring Schedule'!$F$28),DAY(EOMONTH($A134,0))),MOD((YEAR($A134)-YEAR('Recurring Schedule'!$F$28))*12+MONTH($A134)-MONTH('Recurring Schedule'!$F$28),'Recurring Schedule'!$O$28)=0),IF('Recurring Schedule'!$E$28="Weekdays",WEEKDAY($A134,2)&lt;=5,$A134='Recurring Schedule'!$F$28))),23,""))))</f>
        <v/>
      </c>
      <c r="Y134">
        <f>IF('Recurring Schedule'!$C$29="","",IF('Recurring Schedule'!$F$29="","",IF(OR($A134&lt;'Recurring Schedule'!$F$29,$A134&gt;'Recurring Schedule'!$P$29),"",IF(IF('Recurring Schedule'!$N$29&gt;0,MOD($A134-'Recurring Schedule'!$F$29,'Recurring Schedule'!$N$29)=0,IF('Recurring Schedule'!$O$29&gt;0,AND(DAY($A134)=MIN(DAY('Recurring Schedule'!$F$29),DAY(EOMONTH($A134,0))),MOD((YEAR($A134)-YEAR('Recurring Schedule'!$F$29))*12+MONTH($A134)-MONTH('Recurring Schedule'!$F$29),'Recurring Schedule'!$O$29)=0),IF('Recurring Schedule'!$E$29="Weekdays",WEEKDAY($A134,2)&lt;=5,$A134='Recurring Schedule'!$F$29))),24,""))))</f>
        <v/>
      </c>
      <c r="Z134">
        <f>IF('Recurring Schedule'!$C$30="","",IF('Recurring Schedule'!$F$30="","",IF(OR($A134&lt;'Recurring Schedule'!$F$30,$A134&gt;'Recurring Schedule'!$P$30),"",IF(IF('Recurring Schedule'!$N$30&gt;0,MOD($A134-'Recurring Schedule'!$F$30,'Recurring Schedule'!$N$30)=0,IF('Recurring Schedule'!$O$30&gt;0,AND(DAY($A134)=MIN(DAY('Recurring Schedule'!$F$30),DAY(EOMONTH($A134,0))),MOD((YEAR($A134)-YEAR('Recurring Schedule'!$F$30))*12+MONTH($A134)-MONTH('Recurring Schedule'!$F$30),'Recurring Schedule'!$O$30)=0),IF('Recurring Schedule'!$E$30="Weekdays",WEEKDAY($A134,2)&lt;=5,$A134='Recurring Schedule'!$F$30))),25,""))))</f>
        <v/>
      </c>
      <c r="AA134">
        <f>IF('Recurring Schedule'!$C$31="","",IF('Recurring Schedule'!$F$31="","",IF(OR($A134&lt;'Recurring Schedule'!$F$31,$A134&gt;'Recurring Schedule'!$P$31),"",IF(IF('Recurring Schedule'!$N$31&gt;0,MOD($A134-'Recurring Schedule'!$F$31,'Recurring Schedule'!$N$31)=0,IF('Recurring Schedule'!$O$31&gt;0,AND(DAY($A134)=MIN(DAY('Recurring Schedule'!$F$31),DAY(EOMONTH($A134,0))),MOD((YEAR($A134)-YEAR('Recurring Schedule'!$F$31))*12+MONTH($A134)-MONTH('Recurring Schedule'!$F$31),'Recurring Schedule'!$O$31)=0),IF('Recurring Schedule'!$E$31="Weekdays",WEEKDAY($A134,2)&lt;=5,$A134='Recurring Schedule'!$F$31))),26,""))))</f>
        <v/>
      </c>
      <c r="AB134">
        <f>IF('Recurring Schedule'!$C$32="","",IF('Recurring Schedule'!$F$32="","",IF(OR($A134&lt;'Recurring Schedule'!$F$32,$A134&gt;'Recurring Schedule'!$P$32),"",IF(IF('Recurring Schedule'!$N$32&gt;0,MOD($A134-'Recurring Schedule'!$F$32,'Recurring Schedule'!$N$32)=0,IF('Recurring Schedule'!$O$32&gt;0,AND(DAY($A134)=MIN(DAY('Recurring Schedule'!$F$32),DAY(EOMONTH($A134,0))),MOD((YEAR($A134)-YEAR('Recurring Schedule'!$F$32))*12+MONTH($A134)-MONTH('Recurring Schedule'!$F$32),'Recurring Schedule'!$O$32)=0),IF('Recurring Schedule'!$E$32="Weekdays",WEEKDAY($A134,2)&lt;=5,$A134='Recurring Schedule'!$F$32))),27,""))))</f>
        <v/>
      </c>
      <c r="AC134">
        <f>IF('Recurring Schedule'!$C$33="","",IF('Recurring Schedule'!$F$33="","",IF(OR($A134&lt;'Recurring Schedule'!$F$33,$A134&gt;'Recurring Schedule'!$P$33),"",IF(IF('Recurring Schedule'!$N$33&gt;0,MOD($A134-'Recurring Schedule'!$F$33,'Recurring Schedule'!$N$33)=0,IF('Recurring Schedule'!$O$33&gt;0,AND(DAY($A134)=MIN(DAY('Recurring Schedule'!$F$33),DAY(EOMONTH($A134,0))),MOD((YEAR($A134)-YEAR('Recurring Schedule'!$F$33))*12+MONTH($A134)-MONTH('Recurring Schedule'!$F$33),'Recurring Schedule'!$O$33)=0),IF('Recurring Schedule'!$E$33="Weekdays",WEEKDAY($A134,2)&lt;=5,$A134='Recurring Schedule'!$F$33))),28,""))))</f>
        <v/>
      </c>
      <c r="AD134">
        <f>IF('Recurring Schedule'!$C$34="","",IF('Recurring Schedule'!$F$34="","",IF(OR($A134&lt;'Recurring Schedule'!$F$34,$A134&gt;'Recurring Schedule'!$P$34),"",IF(IF('Recurring Schedule'!$N$34&gt;0,MOD($A134-'Recurring Schedule'!$F$34,'Recurring Schedule'!$N$34)=0,IF('Recurring Schedule'!$O$34&gt;0,AND(DAY($A134)=MIN(DAY('Recurring Schedule'!$F$34),DAY(EOMONTH($A134,0))),MOD((YEAR($A134)-YEAR('Recurring Schedule'!$F$34))*12+MONTH($A134)-MONTH('Recurring Schedule'!$F$34),'Recurring Schedule'!$O$34)=0),IF('Recurring Schedule'!$E$34="Weekdays",WEEKDAY($A134,2)&lt;=5,$A134='Recurring Schedule'!$F$34))),29,""))))</f>
        <v/>
      </c>
      <c r="AE134">
        <f>IF('Recurring Schedule'!$C$35="","",IF('Recurring Schedule'!$F$35="","",IF(OR($A134&lt;'Recurring Schedule'!$F$35,$A134&gt;'Recurring Schedule'!$P$35),"",IF(IF('Recurring Schedule'!$N$35&gt;0,MOD($A134-'Recurring Schedule'!$F$35,'Recurring Schedule'!$N$35)=0,IF('Recurring Schedule'!$O$35&gt;0,AND(DAY($A134)=MIN(DAY('Recurring Schedule'!$F$35),DAY(EOMONTH($A134,0))),MOD((YEAR($A134)-YEAR('Recurring Schedule'!$F$35))*12+MONTH($A134)-MONTH('Recurring Schedule'!$F$35),'Recurring Schedule'!$O$35)=0),IF('Recurring Schedule'!$E$35="Weekdays",WEEKDAY($A134,2)&lt;=5,$A134='Recurring Schedule'!$F$35))),30,""))))</f>
        <v/>
      </c>
      <c r="AF134">
        <f>IF('Recurring Schedule'!$C$36="","",IF('Recurring Schedule'!$F$36="","",IF(OR($A134&lt;'Recurring Schedule'!$F$36,$A134&gt;'Recurring Schedule'!$P$36),"",IF(IF('Recurring Schedule'!$N$36&gt;0,MOD($A134-'Recurring Schedule'!$F$36,'Recurring Schedule'!$N$36)=0,IF('Recurring Schedule'!$O$36&gt;0,AND(DAY($A134)=MIN(DAY('Recurring Schedule'!$F$36),DAY(EOMONTH($A134,0))),MOD((YEAR($A134)-YEAR('Recurring Schedule'!$F$36))*12+MONTH($A134)-MONTH('Recurring Schedule'!$F$36),'Recurring Schedule'!$O$36)=0),IF('Recurring Schedule'!$E$36="Weekdays",WEEKDAY($A134,2)&lt;=5,$A134='Recurring Schedule'!$F$36))),31,""))))</f>
        <v/>
      </c>
      <c r="AG134">
        <f>IF('Recurring Schedule'!$C$37="","",IF('Recurring Schedule'!$F$37="","",IF(OR($A134&lt;'Recurring Schedule'!$F$37,$A134&gt;'Recurring Schedule'!$P$37),"",IF(IF('Recurring Schedule'!$N$37&gt;0,MOD($A134-'Recurring Schedule'!$F$37,'Recurring Schedule'!$N$37)=0,IF('Recurring Schedule'!$O$37&gt;0,AND(DAY($A134)=MIN(DAY('Recurring Schedule'!$F$37),DAY(EOMONTH($A134,0))),MOD((YEAR($A134)-YEAR('Recurring Schedule'!$F$37))*12+MONTH($A134)-MONTH('Recurring Schedule'!$F$37),'Recurring Schedule'!$O$37)=0),IF('Recurring Schedule'!$E$37="Weekdays",WEEKDAY($A134,2)&lt;=5,$A134='Recurring Schedule'!$F$37))),32,""))))</f>
        <v/>
      </c>
      <c r="AH134">
        <f>IF('Recurring Schedule'!$C$38="","",IF('Recurring Schedule'!$F$38="","",IF(OR($A134&lt;'Recurring Schedule'!$F$38,$A134&gt;'Recurring Schedule'!$P$38),"",IF(IF('Recurring Schedule'!$N$38&gt;0,MOD($A134-'Recurring Schedule'!$F$38,'Recurring Schedule'!$N$38)=0,IF('Recurring Schedule'!$O$38&gt;0,AND(DAY($A134)=MIN(DAY('Recurring Schedule'!$F$38),DAY(EOMONTH($A134,0))),MOD((YEAR($A134)-YEAR('Recurring Schedule'!$F$38))*12+MONTH($A134)-MONTH('Recurring Schedule'!$F$38),'Recurring Schedule'!$O$38)=0),IF('Recurring Schedule'!$E$38="Weekdays",WEEKDAY($A134,2)&lt;=5,$A134='Recurring Schedule'!$F$38))),33,""))))</f>
        <v/>
      </c>
      <c r="AI134">
        <f>IF('Recurring Schedule'!$C$39="","",IF('Recurring Schedule'!$F$39="","",IF(OR($A134&lt;'Recurring Schedule'!$F$39,$A134&gt;'Recurring Schedule'!$P$39),"",IF(IF('Recurring Schedule'!$N$39&gt;0,MOD($A134-'Recurring Schedule'!$F$39,'Recurring Schedule'!$N$39)=0,IF('Recurring Schedule'!$O$39&gt;0,AND(DAY($A134)=MIN(DAY('Recurring Schedule'!$F$39),DAY(EOMONTH($A134,0))),MOD((YEAR($A134)-YEAR('Recurring Schedule'!$F$39))*12+MONTH($A134)-MONTH('Recurring Schedule'!$F$39),'Recurring Schedule'!$O$39)=0),IF('Recurring Schedule'!$E$39="Weekdays",WEEKDAY($A134,2)&lt;=5,$A134='Recurring Schedule'!$F$39))),34,""))))</f>
        <v/>
      </c>
      <c r="AJ134">
        <f>IF('Recurring Schedule'!$C$40="","",IF('Recurring Schedule'!$F$40="","",IF(OR($A134&lt;'Recurring Schedule'!$F$40,$A134&gt;'Recurring Schedule'!$P$40),"",IF(IF('Recurring Schedule'!$N$40&gt;0,MOD($A134-'Recurring Schedule'!$F$40,'Recurring Schedule'!$N$40)=0,IF('Recurring Schedule'!$O$40&gt;0,AND(DAY($A134)=MIN(DAY('Recurring Schedule'!$F$40),DAY(EOMONTH($A134,0))),MOD((YEAR($A134)-YEAR('Recurring Schedule'!$F$40))*12+MONTH($A134)-MONTH('Recurring Schedule'!$F$40),'Recurring Schedule'!$O$40)=0),IF('Recurring Schedule'!$E$40="Weekdays",WEEKDAY($A134,2)&lt;=5,$A134='Recurring Schedule'!$F$40))),35,""))))</f>
        <v/>
      </c>
      <c r="AK134">
        <f>IF('Recurring Schedule'!$C$41="","",IF('Recurring Schedule'!$F$41="","",IF(OR($A134&lt;'Recurring Schedule'!$F$41,$A134&gt;'Recurring Schedule'!$P$41),"",IF(IF('Recurring Schedule'!$N$41&gt;0,MOD($A134-'Recurring Schedule'!$F$41,'Recurring Schedule'!$N$41)=0,IF('Recurring Schedule'!$O$41&gt;0,AND(DAY($A134)=MIN(DAY('Recurring Schedule'!$F$41),DAY(EOMONTH($A134,0))),MOD((YEAR($A134)-YEAR('Recurring Schedule'!$F$41))*12+MONTH($A134)-MONTH('Recurring Schedule'!$F$41),'Recurring Schedule'!$O$41)=0),IF('Recurring Schedule'!$E$41="Weekdays",WEEKDAY($A134,2)&lt;=5,$A134='Recurring Schedule'!$F$41))),36,""))))</f>
        <v/>
      </c>
      <c r="AL134">
        <f>IF('Recurring Schedule'!$C$42="","",IF('Recurring Schedule'!$F$42="","",IF(OR($A134&lt;'Recurring Schedule'!$F$42,$A134&gt;'Recurring Schedule'!$P$42),"",IF(IF('Recurring Schedule'!$N$42&gt;0,MOD($A134-'Recurring Schedule'!$F$42,'Recurring Schedule'!$N$42)=0,IF('Recurring Schedule'!$O$42&gt;0,AND(DAY($A134)=MIN(DAY('Recurring Schedule'!$F$42),DAY(EOMONTH($A134,0))),MOD((YEAR($A134)-YEAR('Recurring Schedule'!$F$42))*12+MONTH($A134)-MONTH('Recurring Schedule'!$F$42),'Recurring Schedule'!$O$42)=0),IF('Recurring Schedule'!$E$42="Weekdays",WEEKDAY($A134,2)&lt;=5,$A134='Recurring Schedule'!$F$42))),37,""))))</f>
        <v/>
      </c>
      <c r="AM134">
        <f>IF('Recurring Schedule'!$C$43="","",IF('Recurring Schedule'!$F$43="","",IF(OR($A134&lt;'Recurring Schedule'!$F$43,$A134&gt;'Recurring Schedule'!$P$43),"",IF(IF('Recurring Schedule'!$N$43&gt;0,MOD($A134-'Recurring Schedule'!$F$43,'Recurring Schedule'!$N$43)=0,IF('Recurring Schedule'!$O$43&gt;0,AND(DAY($A134)=MIN(DAY('Recurring Schedule'!$F$43),DAY(EOMONTH($A134,0))),MOD((YEAR($A134)-YEAR('Recurring Schedule'!$F$43))*12+MONTH($A134)-MONTH('Recurring Schedule'!$F$43),'Recurring Schedule'!$O$43)=0),IF('Recurring Schedule'!$E$43="Weekdays",WEEKDAY($A134,2)&lt;=5,$A134='Recurring Schedule'!$F$43))),38,""))))</f>
        <v/>
      </c>
      <c r="AN134">
        <f>IF('Recurring Schedule'!$C$44="","",IF('Recurring Schedule'!$F$44="","",IF(OR($A134&lt;'Recurring Schedule'!$F$44,$A134&gt;'Recurring Schedule'!$P$44),"",IF(IF('Recurring Schedule'!$N$44&gt;0,MOD($A134-'Recurring Schedule'!$F$44,'Recurring Schedule'!$N$44)=0,IF('Recurring Schedule'!$O$44&gt;0,AND(DAY($A134)=MIN(DAY('Recurring Schedule'!$F$44),DAY(EOMONTH($A134,0))),MOD((YEAR($A134)-YEAR('Recurring Schedule'!$F$44))*12+MONTH($A134)-MONTH('Recurring Schedule'!$F$44),'Recurring Schedule'!$O$44)=0),IF('Recurring Schedule'!$E$44="Weekdays",WEEKDAY($A134,2)&lt;=5,$A134='Recurring Schedule'!$F$44))),39,""))))</f>
        <v/>
      </c>
      <c r="AO134">
        <f>IF('Recurring Schedule'!$C$45="","",IF('Recurring Schedule'!$F$45="","",IF(OR($A134&lt;'Recurring Schedule'!$F$45,$A134&gt;'Recurring Schedule'!$P$45),"",IF(IF('Recurring Schedule'!$N$45&gt;0,MOD($A134-'Recurring Schedule'!$F$45,'Recurring Schedule'!$N$45)=0,IF('Recurring Schedule'!$O$45&gt;0,AND(DAY($A134)=MIN(DAY('Recurring Schedule'!$F$45),DAY(EOMONTH($A134,0))),MOD((YEAR($A134)-YEAR('Recurring Schedule'!$F$45))*12+MONTH($A134)-MONTH('Recurring Schedule'!$F$45),'Recurring Schedule'!$O$45)=0),IF('Recurring Schedule'!$E$45="Weekdays",WEEKDAY($A134,2)&lt;=5,$A134='Recurring Schedule'!$F$45))),40,""))))</f>
        <v/>
      </c>
      <c r="AP134">
        <f>COUNT(B134:AO134)</f>
        <v/>
      </c>
      <c r="AQ134">
        <f>AQ133+AP133</f>
        <v/>
      </c>
      <c r="AS134" t="inlineStr">
        <is>
          <t>R</t>
        </is>
      </c>
      <c r="AT134" t="n">
        <v>138</v>
      </c>
      <c r="AU134">
        <f>'Recurring Log'!C138&amp;""</f>
        <v/>
      </c>
      <c r="AV134">
        <f>'Recurring Log'!D138&amp;""</f>
        <v/>
      </c>
      <c r="AW134">
        <f>IF('Recurring Log'!E138="","",'Recurring Log'!E138)</f>
        <v/>
      </c>
      <c r="AX134">
        <f>IF('Recurring Log'!G138="","",'Recurring Log'!G138)</f>
        <v/>
      </c>
      <c r="AY134">
        <f>IF('Recurring Log'!H138="","",'Recurring Log'!H138)</f>
        <v/>
      </c>
      <c r="AZ134">
        <f>IF(AU134="","",IF('Recurring Log'!J138="","Not Started",'Recurring Log'!J138))</f>
        <v/>
      </c>
      <c r="BA134">
        <f>'Recurring Log'!L138&amp;""</f>
        <v/>
      </c>
      <c r="BB134">
        <f>'Recurring Log'!M138&amp;""</f>
        <v/>
      </c>
      <c r="BC134">
        <f>'Recurring Log'!N138&amp;""</f>
        <v/>
      </c>
      <c r="BD134">
        <f>'Recurring Log'!O138&amp;""</f>
        <v/>
      </c>
      <c r="BE134">
        <f>IF('Recurring Log'!K138="","",'Recurring Log'!K138)</f>
        <v/>
      </c>
      <c r="BF134">
        <f>IFERROR(MATCH(BA134,Setup!$L$6:$L$9,0),5)</f>
        <v/>
      </c>
      <c r="BG134">
        <f>IF(OR(AZ134="Done",AZ134="Cancelled"),1,0)</f>
        <v/>
      </c>
      <c r="BH134">
        <f>IF(AND(AU134&lt;&gt;"",ISNUMBER(AW134)),1,0)</f>
        <v/>
      </c>
      <c r="BI134">
        <f>IF(BH134=0,0,IF(AND(AW134&gt;='Tasks Filter'!$F$3,AW134&lt;='Tasks Filter'!$F$4,OR('Tasks Filter'!$I$3="",ISNUMBER(SEARCH('Tasks Filter'!$I$3,AU134))),OR('Tasks Filter'!$I$4="",BF134=IFERROR(MATCH('Tasks Filter'!$I$4,Setup!$L$6:$L$9,0),0)),OR('Tasks Filter'!$I$5="Both",AND('Tasks Filter'!$I$5="Yes",BB134="✓"),AND('Tasks Filter'!$I$5="No",BB134&lt;&gt;"✓")),OR('Tasks Filter'!$L$3="",AV134='Tasks Filter'!$L$3),OR('Tasks Filter'!$L$4="",AZ134='Tasks Filter'!$L$4),OR('Tasks Filter'!$L$5="",BC134='Tasks Filter'!$L$5),OR('Tasks Filter'!$O$3="",BD134='Tasks Filter'!$O$3),OR('Tasks Filter'!$O$4="Yes",BG134=0)),1,0))</f>
        <v/>
      </c>
      <c r="BJ134">
        <f>IF(BH134=0,"",IF('Tasks Filter'!$F$6="Descending",-1,1)*CHOOSE(MATCH('Tasks Filter'!$F$5,Lists!$G$2:$G$6,0),AW134,BF134,IFERROR(MATCH(AV134,Setup!$F$6:$F$15,0),99),IFERROR(MATCH(BC134,Setup!$H$6:$H$15,0),99),IFERROR(MATCH(AZ134,Setup!$J$6:$J$11,0),99))*1E+9+(AW134-40000)*10000+133)</f>
        <v/>
      </c>
      <c r="BK134">
        <f>IF(BI134=1,BJ134,"")</f>
        <v/>
      </c>
      <c r="BL134">
        <f>IF(AND(BH134=1,BG134=0,N(AW134)&lt;Setup!$D$7),(AW134-40000)*10000+133,"")</f>
        <v/>
      </c>
      <c r="BM134">
        <f>IF(AND(BH134=1,AZ134&lt;&gt;"Cancelled",N(AW134)&gt;=Dashboard!$AB$3,N(AW134)&lt;=Dashboard!$AB$3+6),(AW134-40000)*100000+BF134*10000+133,"")</f>
        <v/>
      </c>
      <c r="BN134">
        <f>IF(AND(BH134=1,AZ134&lt;&gt;"Cancelled"),BF134*10000+133,"")</f>
        <v/>
      </c>
    </row>
    <row r="135">
      <c r="A135">
        <f>Setup!$D$5+133</f>
        <v/>
      </c>
      <c r="B135">
        <f>IF('Recurring Schedule'!$C$6="","",IF('Recurring Schedule'!$F$6="","",IF(OR($A135&lt;'Recurring Schedule'!$F$6,$A135&gt;'Recurring Schedule'!$P$6),"",IF(IF('Recurring Schedule'!$N$6&gt;0,MOD($A135-'Recurring Schedule'!$F$6,'Recurring Schedule'!$N$6)=0,IF('Recurring Schedule'!$O$6&gt;0,AND(DAY($A135)=MIN(DAY('Recurring Schedule'!$F$6),DAY(EOMONTH($A135,0))),MOD((YEAR($A135)-YEAR('Recurring Schedule'!$F$6))*12+MONTH($A135)-MONTH('Recurring Schedule'!$F$6),'Recurring Schedule'!$O$6)=0),IF('Recurring Schedule'!$E$6="Weekdays",WEEKDAY($A135,2)&lt;=5,$A135='Recurring Schedule'!$F$6))),1,""))))</f>
        <v/>
      </c>
      <c r="C135">
        <f>IF('Recurring Schedule'!$C$7="","",IF('Recurring Schedule'!$F$7="","",IF(OR($A135&lt;'Recurring Schedule'!$F$7,$A135&gt;'Recurring Schedule'!$P$7),"",IF(IF('Recurring Schedule'!$N$7&gt;0,MOD($A135-'Recurring Schedule'!$F$7,'Recurring Schedule'!$N$7)=0,IF('Recurring Schedule'!$O$7&gt;0,AND(DAY($A135)=MIN(DAY('Recurring Schedule'!$F$7),DAY(EOMONTH($A135,0))),MOD((YEAR($A135)-YEAR('Recurring Schedule'!$F$7))*12+MONTH($A135)-MONTH('Recurring Schedule'!$F$7),'Recurring Schedule'!$O$7)=0),IF('Recurring Schedule'!$E$7="Weekdays",WEEKDAY($A135,2)&lt;=5,$A135='Recurring Schedule'!$F$7))),2,""))))</f>
        <v/>
      </c>
      <c r="D135">
        <f>IF('Recurring Schedule'!$C$8="","",IF('Recurring Schedule'!$F$8="","",IF(OR($A135&lt;'Recurring Schedule'!$F$8,$A135&gt;'Recurring Schedule'!$P$8),"",IF(IF('Recurring Schedule'!$N$8&gt;0,MOD($A135-'Recurring Schedule'!$F$8,'Recurring Schedule'!$N$8)=0,IF('Recurring Schedule'!$O$8&gt;0,AND(DAY($A135)=MIN(DAY('Recurring Schedule'!$F$8),DAY(EOMONTH($A135,0))),MOD((YEAR($A135)-YEAR('Recurring Schedule'!$F$8))*12+MONTH($A135)-MONTH('Recurring Schedule'!$F$8),'Recurring Schedule'!$O$8)=0),IF('Recurring Schedule'!$E$8="Weekdays",WEEKDAY($A135,2)&lt;=5,$A135='Recurring Schedule'!$F$8))),3,""))))</f>
        <v/>
      </c>
      <c r="E135">
        <f>IF('Recurring Schedule'!$C$9="","",IF('Recurring Schedule'!$F$9="","",IF(OR($A135&lt;'Recurring Schedule'!$F$9,$A135&gt;'Recurring Schedule'!$P$9),"",IF(IF('Recurring Schedule'!$N$9&gt;0,MOD($A135-'Recurring Schedule'!$F$9,'Recurring Schedule'!$N$9)=0,IF('Recurring Schedule'!$O$9&gt;0,AND(DAY($A135)=MIN(DAY('Recurring Schedule'!$F$9),DAY(EOMONTH($A135,0))),MOD((YEAR($A135)-YEAR('Recurring Schedule'!$F$9))*12+MONTH($A135)-MONTH('Recurring Schedule'!$F$9),'Recurring Schedule'!$O$9)=0),IF('Recurring Schedule'!$E$9="Weekdays",WEEKDAY($A135,2)&lt;=5,$A135='Recurring Schedule'!$F$9))),4,""))))</f>
        <v/>
      </c>
      <c r="F135">
        <f>IF('Recurring Schedule'!$C$10="","",IF('Recurring Schedule'!$F$10="","",IF(OR($A135&lt;'Recurring Schedule'!$F$10,$A135&gt;'Recurring Schedule'!$P$10),"",IF(IF('Recurring Schedule'!$N$10&gt;0,MOD($A135-'Recurring Schedule'!$F$10,'Recurring Schedule'!$N$10)=0,IF('Recurring Schedule'!$O$10&gt;0,AND(DAY($A135)=MIN(DAY('Recurring Schedule'!$F$10),DAY(EOMONTH($A135,0))),MOD((YEAR($A135)-YEAR('Recurring Schedule'!$F$10))*12+MONTH($A135)-MONTH('Recurring Schedule'!$F$10),'Recurring Schedule'!$O$10)=0),IF('Recurring Schedule'!$E$10="Weekdays",WEEKDAY($A135,2)&lt;=5,$A135='Recurring Schedule'!$F$10))),5,""))))</f>
        <v/>
      </c>
      <c r="G135">
        <f>IF('Recurring Schedule'!$C$11="","",IF('Recurring Schedule'!$F$11="","",IF(OR($A135&lt;'Recurring Schedule'!$F$11,$A135&gt;'Recurring Schedule'!$P$11),"",IF(IF('Recurring Schedule'!$N$11&gt;0,MOD($A135-'Recurring Schedule'!$F$11,'Recurring Schedule'!$N$11)=0,IF('Recurring Schedule'!$O$11&gt;0,AND(DAY($A135)=MIN(DAY('Recurring Schedule'!$F$11),DAY(EOMONTH($A135,0))),MOD((YEAR($A135)-YEAR('Recurring Schedule'!$F$11))*12+MONTH($A135)-MONTH('Recurring Schedule'!$F$11),'Recurring Schedule'!$O$11)=0),IF('Recurring Schedule'!$E$11="Weekdays",WEEKDAY($A135,2)&lt;=5,$A135='Recurring Schedule'!$F$11))),6,""))))</f>
        <v/>
      </c>
      <c r="H135">
        <f>IF('Recurring Schedule'!$C$12="","",IF('Recurring Schedule'!$F$12="","",IF(OR($A135&lt;'Recurring Schedule'!$F$12,$A135&gt;'Recurring Schedule'!$P$12),"",IF(IF('Recurring Schedule'!$N$12&gt;0,MOD($A135-'Recurring Schedule'!$F$12,'Recurring Schedule'!$N$12)=0,IF('Recurring Schedule'!$O$12&gt;0,AND(DAY($A135)=MIN(DAY('Recurring Schedule'!$F$12),DAY(EOMONTH($A135,0))),MOD((YEAR($A135)-YEAR('Recurring Schedule'!$F$12))*12+MONTH($A135)-MONTH('Recurring Schedule'!$F$12),'Recurring Schedule'!$O$12)=0),IF('Recurring Schedule'!$E$12="Weekdays",WEEKDAY($A135,2)&lt;=5,$A135='Recurring Schedule'!$F$12))),7,""))))</f>
        <v/>
      </c>
      <c r="I135">
        <f>IF('Recurring Schedule'!$C$13="","",IF('Recurring Schedule'!$F$13="","",IF(OR($A135&lt;'Recurring Schedule'!$F$13,$A135&gt;'Recurring Schedule'!$P$13),"",IF(IF('Recurring Schedule'!$N$13&gt;0,MOD($A135-'Recurring Schedule'!$F$13,'Recurring Schedule'!$N$13)=0,IF('Recurring Schedule'!$O$13&gt;0,AND(DAY($A135)=MIN(DAY('Recurring Schedule'!$F$13),DAY(EOMONTH($A135,0))),MOD((YEAR($A135)-YEAR('Recurring Schedule'!$F$13))*12+MONTH($A135)-MONTH('Recurring Schedule'!$F$13),'Recurring Schedule'!$O$13)=0),IF('Recurring Schedule'!$E$13="Weekdays",WEEKDAY($A135,2)&lt;=5,$A135='Recurring Schedule'!$F$13))),8,""))))</f>
        <v/>
      </c>
      <c r="J135">
        <f>IF('Recurring Schedule'!$C$14="","",IF('Recurring Schedule'!$F$14="","",IF(OR($A135&lt;'Recurring Schedule'!$F$14,$A135&gt;'Recurring Schedule'!$P$14),"",IF(IF('Recurring Schedule'!$N$14&gt;0,MOD($A135-'Recurring Schedule'!$F$14,'Recurring Schedule'!$N$14)=0,IF('Recurring Schedule'!$O$14&gt;0,AND(DAY($A135)=MIN(DAY('Recurring Schedule'!$F$14),DAY(EOMONTH($A135,0))),MOD((YEAR($A135)-YEAR('Recurring Schedule'!$F$14))*12+MONTH($A135)-MONTH('Recurring Schedule'!$F$14),'Recurring Schedule'!$O$14)=0),IF('Recurring Schedule'!$E$14="Weekdays",WEEKDAY($A135,2)&lt;=5,$A135='Recurring Schedule'!$F$14))),9,""))))</f>
        <v/>
      </c>
      <c r="K135">
        <f>IF('Recurring Schedule'!$C$15="","",IF('Recurring Schedule'!$F$15="","",IF(OR($A135&lt;'Recurring Schedule'!$F$15,$A135&gt;'Recurring Schedule'!$P$15),"",IF(IF('Recurring Schedule'!$N$15&gt;0,MOD($A135-'Recurring Schedule'!$F$15,'Recurring Schedule'!$N$15)=0,IF('Recurring Schedule'!$O$15&gt;0,AND(DAY($A135)=MIN(DAY('Recurring Schedule'!$F$15),DAY(EOMONTH($A135,0))),MOD((YEAR($A135)-YEAR('Recurring Schedule'!$F$15))*12+MONTH($A135)-MONTH('Recurring Schedule'!$F$15),'Recurring Schedule'!$O$15)=0),IF('Recurring Schedule'!$E$15="Weekdays",WEEKDAY($A135,2)&lt;=5,$A135='Recurring Schedule'!$F$15))),10,""))))</f>
        <v/>
      </c>
      <c r="L135">
        <f>IF('Recurring Schedule'!$C$16="","",IF('Recurring Schedule'!$F$16="","",IF(OR($A135&lt;'Recurring Schedule'!$F$16,$A135&gt;'Recurring Schedule'!$P$16),"",IF(IF('Recurring Schedule'!$N$16&gt;0,MOD($A135-'Recurring Schedule'!$F$16,'Recurring Schedule'!$N$16)=0,IF('Recurring Schedule'!$O$16&gt;0,AND(DAY($A135)=MIN(DAY('Recurring Schedule'!$F$16),DAY(EOMONTH($A135,0))),MOD((YEAR($A135)-YEAR('Recurring Schedule'!$F$16))*12+MONTH($A135)-MONTH('Recurring Schedule'!$F$16),'Recurring Schedule'!$O$16)=0),IF('Recurring Schedule'!$E$16="Weekdays",WEEKDAY($A135,2)&lt;=5,$A135='Recurring Schedule'!$F$16))),11,""))))</f>
        <v/>
      </c>
      <c r="M135">
        <f>IF('Recurring Schedule'!$C$17="","",IF('Recurring Schedule'!$F$17="","",IF(OR($A135&lt;'Recurring Schedule'!$F$17,$A135&gt;'Recurring Schedule'!$P$17),"",IF(IF('Recurring Schedule'!$N$17&gt;0,MOD($A135-'Recurring Schedule'!$F$17,'Recurring Schedule'!$N$17)=0,IF('Recurring Schedule'!$O$17&gt;0,AND(DAY($A135)=MIN(DAY('Recurring Schedule'!$F$17),DAY(EOMONTH($A135,0))),MOD((YEAR($A135)-YEAR('Recurring Schedule'!$F$17))*12+MONTH($A135)-MONTH('Recurring Schedule'!$F$17),'Recurring Schedule'!$O$17)=0),IF('Recurring Schedule'!$E$17="Weekdays",WEEKDAY($A135,2)&lt;=5,$A135='Recurring Schedule'!$F$17))),12,""))))</f>
        <v/>
      </c>
      <c r="N135">
        <f>IF('Recurring Schedule'!$C$18="","",IF('Recurring Schedule'!$F$18="","",IF(OR($A135&lt;'Recurring Schedule'!$F$18,$A135&gt;'Recurring Schedule'!$P$18),"",IF(IF('Recurring Schedule'!$N$18&gt;0,MOD($A135-'Recurring Schedule'!$F$18,'Recurring Schedule'!$N$18)=0,IF('Recurring Schedule'!$O$18&gt;0,AND(DAY($A135)=MIN(DAY('Recurring Schedule'!$F$18),DAY(EOMONTH($A135,0))),MOD((YEAR($A135)-YEAR('Recurring Schedule'!$F$18))*12+MONTH($A135)-MONTH('Recurring Schedule'!$F$18),'Recurring Schedule'!$O$18)=0),IF('Recurring Schedule'!$E$18="Weekdays",WEEKDAY($A135,2)&lt;=5,$A135='Recurring Schedule'!$F$18))),13,""))))</f>
        <v/>
      </c>
      <c r="O135">
        <f>IF('Recurring Schedule'!$C$19="","",IF('Recurring Schedule'!$F$19="","",IF(OR($A135&lt;'Recurring Schedule'!$F$19,$A135&gt;'Recurring Schedule'!$P$19),"",IF(IF('Recurring Schedule'!$N$19&gt;0,MOD($A135-'Recurring Schedule'!$F$19,'Recurring Schedule'!$N$19)=0,IF('Recurring Schedule'!$O$19&gt;0,AND(DAY($A135)=MIN(DAY('Recurring Schedule'!$F$19),DAY(EOMONTH($A135,0))),MOD((YEAR($A135)-YEAR('Recurring Schedule'!$F$19))*12+MONTH($A135)-MONTH('Recurring Schedule'!$F$19),'Recurring Schedule'!$O$19)=0),IF('Recurring Schedule'!$E$19="Weekdays",WEEKDAY($A135,2)&lt;=5,$A135='Recurring Schedule'!$F$19))),14,""))))</f>
        <v/>
      </c>
      <c r="P135">
        <f>IF('Recurring Schedule'!$C$20="","",IF('Recurring Schedule'!$F$20="","",IF(OR($A135&lt;'Recurring Schedule'!$F$20,$A135&gt;'Recurring Schedule'!$P$20),"",IF(IF('Recurring Schedule'!$N$20&gt;0,MOD($A135-'Recurring Schedule'!$F$20,'Recurring Schedule'!$N$20)=0,IF('Recurring Schedule'!$O$20&gt;0,AND(DAY($A135)=MIN(DAY('Recurring Schedule'!$F$20),DAY(EOMONTH($A135,0))),MOD((YEAR($A135)-YEAR('Recurring Schedule'!$F$20))*12+MONTH($A135)-MONTH('Recurring Schedule'!$F$20),'Recurring Schedule'!$O$20)=0),IF('Recurring Schedule'!$E$20="Weekdays",WEEKDAY($A135,2)&lt;=5,$A135='Recurring Schedule'!$F$20))),15,""))))</f>
        <v/>
      </c>
      <c r="Q135">
        <f>IF('Recurring Schedule'!$C$21="","",IF('Recurring Schedule'!$F$21="","",IF(OR($A135&lt;'Recurring Schedule'!$F$21,$A135&gt;'Recurring Schedule'!$P$21),"",IF(IF('Recurring Schedule'!$N$21&gt;0,MOD($A135-'Recurring Schedule'!$F$21,'Recurring Schedule'!$N$21)=0,IF('Recurring Schedule'!$O$21&gt;0,AND(DAY($A135)=MIN(DAY('Recurring Schedule'!$F$21),DAY(EOMONTH($A135,0))),MOD((YEAR($A135)-YEAR('Recurring Schedule'!$F$21))*12+MONTH($A135)-MONTH('Recurring Schedule'!$F$21),'Recurring Schedule'!$O$21)=0),IF('Recurring Schedule'!$E$21="Weekdays",WEEKDAY($A135,2)&lt;=5,$A135='Recurring Schedule'!$F$21))),16,""))))</f>
        <v/>
      </c>
      <c r="R135">
        <f>IF('Recurring Schedule'!$C$22="","",IF('Recurring Schedule'!$F$22="","",IF(OR($A135&lt;'Recurring Schedule'!$F$22,$A135&gt;'Recurring Schedule'!$P$22),"",IF(IF('Recurring Schedule'!$N$22&gt;0,MOD($A135-'Recurring Schedule'!$F$22,'Recurring Schedule'!$N$22)=0,IF('Recurring Schedule'!$O$22&gt;0,AND(DAY($A135)=MIN(DAY('Recurring Schedule'!$F$22),DAY(EOMONTH($A135,0))),MOD((YEAR($A135)-YEAR('Recurring Schedule'!$F$22))*12+MONTH($A135)-MONTH('Recurring Schedule'!$F$22),'Recurring Schedule'!$O$22)=0),IF('Recurring Schedule'!$E$22="Weekdays",WEEKDAY($A135,2)&lt;=5,$A135='Recurring Schedule'!$F$22))),17,""))))</f>
        <v/>
      </c>
      <c r="S135">
        <f>IF('Recurring Schedule'!$C$23="","",IF('Recurring Schedule'!$F$23="","",IF(OR($A135&lt;'Recurring Schedule'!$F$23,$A135&gt;'Recurring Schedule'!$P$23),"",IF(IF('Recurring Schedule'!$N$23&gt;0,MOD($A135-'Recurring Schedule'!$F$23,'Recurring Schedule'!$N$23)=0,IF('Recurring Schedule'!$O$23&gt;0,AND(DAY($A135)=MIN(DAY('Recurring Schedule'!$F$23),DAY(EOMONTH($A135,0))),MOD((YEAR($A135)-YEAR('Recurring Schedule'!$F$23))*12+MONTH($A135)-MONTH('Recurring Schedule'!$F$23),'Recurring Schedule'!$O$23)=0),IF('Recurring Schedule'!$E$23="Weekdays",WEEKDAY($A135,2)&lt;=5,$A135='Recurring Schedule'!$F$23))),18,""))))</f>
        <v/>
      </c>
      <c r="T135">
        <f>IF('Recurring Schedule'!$C$24="","",IF('Recurring Schedule'!$F$24="","",IF(OR($A135&lt;'Recurring Schedule'!$F$24,$A135&gt;'Recurring Schedule'!$P$24),"",IF(IF('Recurring Schedule'!$N$24&gt;0,MOD($A135-'Recurring Schedule'!$F$24,'Recurring Schedule'!$N$24)=0,IF('Recurring Schedule'!$O$24&gt;0,AND(DAY($A135)=MIN(DAY('Recurring Schedule'!$F$24),DAY(EOMONTH($A135,0))),MOD((YEAR($A135)-YEAR('Recurring Schedule'!$F$24))*12+MONTH($A135)-MONTH('Recurring Schedule'!$F$24),'Recurring Schedule'!$O$24)=0),IF('Recurring Schedule'!$E$24="Weekdays",WEEKDAY($A135,2)&lt;=5,$A135='Recurring Schedule'!$F$24))),19,""))))</f>
        <v/>
      </c>
      <c r="U135">
        <f>IF('Recurring Schedule'!$C$25="","",IF('Recurring Schedule'!$F$25="","",IF(OR($A135&lt;'Recurring Schedule'!$F$25,$A135&gt;'Recurring Schedule'!$P$25),"",IF(IF('Recurring Schedule'!$N$25&gt;0,MOD($A135-'Recurring Schedule'!$F$25,'Recurring Schedule'!$N$25)=0,IF('Recurring Schedule'!$O$25&gt;0,AND(DAY($A135)=MIN(DAY('Recurring Schedule'!$F$25),DAY(EOMONTH($A135,0))),MOD((YEAR($A135)-YEAR('Recurring Schedule'!$F$25))*12+MONTH($A135)-MONTH('Recurring Schedule'!$F$25),'Recurring Schedule'!$O$25)=0),IF('Recurring Schedule'!$E$25="Weekdays",WEEKDAY($A135,2)&lt;=5,$A135='Recurring Schedule'!$F$25))),20,""))))</f>
        <v/>
      </c>
      <c r="V135">
        <f>IF('Recurring Schedule'!$C$26="","",IF('Recurring Schedule'!$F$26="","",IF(OR($A135&lt;'Recurring Schedule'!$F$26,$A135&gt;'Recurring Schedule'!$P$26),"",IF(IF('Recurring Schedule'!$N$26&gt;0,MOD($A135-'Recurring Schedule'!$F$26,'Recurring Schedule'!$N$26)=0,IF('Recurring Schedule'!$O$26&gt;0,AND(DAY($A135)=MIN(DAY('Recurring Schedule'!$F$26),DAY(EOMONTH($A135,0))),MOD((YEAR($A135)-YEAR('Recurring Schedule'!$F$26))*12+MONTH($A135)-MONTH('Recurring Schedule'!$F$26),'Recurring Schedule'!$O$26)=0),IF('Recurring Schedule'!$E$26="Weekdays",WEEKDAY($A135,2)&lt;=5,$A135='Recurring Schedule'!$F$26))),21,""))))</f>
        <v/>
      </c>
      <c r="W135">
        <f>IF('Recurring Schedule'!$C$27="","",IF('Recurring Schedule'!$F$27="","",IF(OR($A135&lt;'Recurring Schedule'!$F$27,$A135&gt;'Recurring Schedule'!$P$27),"",IF(IF('Recurring Schedule'!$N$27&gt;0,MOD($A135-'Recurring Schedule'!$F$27,'Recurring Schedule'!$N$27)=0,IF('Recurring Schedule'!$O$27&gt;0,AND(DAY($A135)=MIN(DAY('Recurring Schedule'!$F$27),DAY(EOMONTH($A135,0))),MOD((YEAR($A135)-YEAR('Recurring Schedule'!$F$27))*12+MONTH($A135)-MONTH('Recurring Schedule'!$F$27),'Recurring Schedule'!$O$27)=0),IF('Recurring Schedule'!$E$27="Weekdays",WEEKDAY($A135,2)&lt;=5,$A135='Recurring Schedule'!$F$27))),22,""))))</f>
        <v/>
      </c>
      <c r="X135">
        <f>IF('Recurring Schedule'!$C$28="","",IF('Recurring Schedule'!$F$28="","",IF(OR($A135&lt;'Recurring Schedule'!$F$28,$A135&gt;'Recurring Schedule'!$P$28),"",IF(IF('Recurring Schedule'!$N$28&gt;0,MOD($A135-'Recurring Schedule'!$F$28,'Recurring Schedule'!$N$28)=0,IF('Recurring Schedule'!$O$28&gt;0,AND(DAY($A135)=MIN(DAY('Recurring Schedule'!$F$28),DAY(EOMONTH($A135,0))),MOD((YEAR($A135)-YEAR('Recurring Schedule'!$F$28))*12+MONTH($A135)-MONTH('Recurring Schedule'!$F$28),'Recurring Schedule'!$O$28)=0),IF('Recurring Schedule'!$E$28="Weekdays",WEEKDAY($A135,2)&lt;=5,$A135='Recurring Schedule'!$F$28))),23,""))))</f>
        <v/>
      </c>
      <c r="Y135">
        <f>IF('Recurring Schedule'!$C$29="","",IF('Recurring Schedule'!$F$29="","",IF(OR($A135&lt;'Recurring Schedule'!$F$29,$A135&gt;'Recurring Schedule'!$P$29),"",IF(IF('Recurring Schedule'!$N$29&gt;0,MOD($A135-'Recurring Schedule'!$F$29,'Recurring Schedule'!$N$29)=0,IF('Recurring Schedule'!$O$29&gt;0,AND(DAY($A135)=MIN(DAY('Recurring Schedule'!$F$29),DAY(EOMONTH($A135,0))),MOD((YEAR($A135)-YEAR('Recurring Schedule'!$F$29))*12+MONTH($A135)-MONTH('Recurring Schedule'!$F$29),'Recurring Schedule'!$O$29)=0),IF('Recurring Schedule'!$E$29="Weekdays",WEEKDAY($A135,2)&lt;=5,$A135='Recurring Schedule'!$F$29))),24,""))))</f>
        <v/>
      </c>
      <c r="Z135">
        <f>IF('Recurring Schedule'!$C$30="","",IF('Recurring Schedule'!$F$30="","",IF(OR($A135&lt;'Recurring Schedule'!$F$30,$A135&gt;'Recurring Schedule'!$P$30),"",IF(IF('Recurring Schedule'!$N$30&gt;0,MOD($A135-'Recurring Schedule'!$F$30,'Recurring Schedule'!$N$30)=0,IF('Recurring Schedule'!$O$30&gt;0,AND(DAY($A135)=MIN(DAY('Recurring Schedule'!$F$30),DAY(EOMONTH($A135,0))),MOD((YEAR($A135)-YEAR('Recurring Schedule'!$F$30))*12+MONTH($A135)-MONTH('Recurring Schedule'!$F$30),'Recurring Schedule'!$O$30)=0),IF('Recurring Schedule'!$E$30="Weekdays",WEEKDAY($A135,2)&lt;=5,$A135='Recurring Schedule'!$F$30))),25,""))))</f>
        <v/>
      </c>
      <c r="AA135">
        <f>IF('Recurring Schedule'!$C$31="","",IF('Recurring Schedule'!$F$31="","",IF(OR($A135&lt;'Recurring Schedule'!$F$31,$A135&gt;'Recurring Schedule'!$P$31),"",IF(IF('Recurring Schedule'!$N$31&gt;0,MOD($A135-'Recurring Schedule'!$F$31,'Recurring Schedule'!$N$31)=0,IF('Recurring Schedule'!$O$31&gt;0,AND(DAY($A135)=MIN(DAY('Recurring Schedule'!$F$31),DAY(EOMONTH($A135,0))),MOD((YEAR($A135)-YEAR('Recurring Schedule'!$F$31))*12+MONTH($A135)-MONTH('Recurring Schedule'!$F$31),'Recurring Schedule'!$O$31)=0),IF('Recurring Schedule'!$E$31="Weekdays",WEEKDAY($A135,2)&lt;=5,$A135='Recurring Schedule'!$F$31))),26,""))))</f>
        <v/>
      </c>
      <c r="AB135">
        <f>IF('Recurring Schedule'!$C$32="","",IF('Recurring Schedule'!$F$32="","",IF(OR($A135&lt;'Recurring Schedule'!$F$32,$A135&gt;'Recurring Schedule'!$P$32),"",IF(IF('Recurring Schedule'!$N$32&gt;0,MOD($A135-'Recurring Schedule'!$F$32,'Recurring Schedule'!$N$32)=0,IF('Recurring Schedule'!$O$32&gt;0,AND(DAY($A135)=MIN(DAY('Recurring Schedule'!$F$32),DAY(EOMONTH($A135,0))),MOD((YEAR($A135)-YEAR('Recurring Schedule'!$F$32))*12+MONTH($A135)-MONTH('Recurring Schedule'!$F$32),'Recurring Schedule'!$O$32)=0),IF('Recurring Schedule'!$E$32="Weekdays",WEEKDAY($A135,2)&lt;=5,$A135='Recurring Schedule'!$F$32))),27,""))))</f>
        <v/>
      </c>
      <c r="AC135">
        <f>IF('Recurring Schedule'!$C$33="","",IF('Recurring Schedule'!$F$33="","",IF(OR($A135&lt;'Recurring Schedule'!$F$33,$A135&gt;'Recurring Schedule'!$P$33),"",IF(IF('Recurring Schedule'!$N$33&gt;0,MOD($A135-'Recurring Schedule'!$F$33,'Recurring Schedule'!$N$33)=0,IF('Recurring Schedule'!$O$33&gt;0,AND(DAY($A135)=MIN(DAY('Recurring Schedule'!$F$33),DAY(EOMONTH($A135,0))),MOD((YEAR($A135)-YEAR('Recurring Schedule'!$F$33))*12+MONTH($A135)-MONTH('Recurring Schedule'!$F$33),'Recurring Schedule'!$O$33)=0),IF('Recurring Schedule'!$E$33="Weekdays",WEEKDAY($A135,2)&lt;=5,$A135='Recurring Schedule'!$F$33))),28,""))))</f>
        <v/>
      </c>
      <c r="AD135">
        <f>IF('Recurring Schedule'!$C$34="","",IF('Recurring Schedule'!$F$34="","",IF(OR($A135&lt;'Recurring Schedule'!$F$34,$A135&gt;'Recurring Schedule'!$P$34),"",IF(IF('Recurring Schedule'!$N$34&gt;0,MOD($A135-'Recurring Schedule'!$F$34,'Recurring Schedule'!$N$34)=0,IF('Recurring Schedule'!$O$34&gt;0,AND(DAY($A135)=MIN(DAY('Recurring Schedule'!$F$34),DAY(EOMONTH($A135,0))),MOD((YEAR($A135)-YEAR('Recurring Schedule'!$F$34))*12+MONTH($A135)-MONTH('Recurring Schedule'!$F$34),'Recurring Schedule'!$O$34)=0),IF('Recurring Schedule'!$E$34="Weekdays",WEEKDAY($A135,2)&lt;=5,$A135='Recurring Schedule'!$F$34))),29,""))))</f>
        <v/>
      </c>
      <c r="AE135">
        <f>IF('Recurring Schedule'!$C$35="","",IF('Recurring Schedule'!$F$35="","",IF(OR($A135&lt;'Recurring Schedule'!$F$35,$A135&gt;'Recurring Schedule'!$P$35),"",IF(IF('Recurring Schedule'!$N$35&gt;0,MOD($A135-'Recurring Schedule'!$F$35,'Recurring Schedule'!$N$35)=0,IF('Recurring Schedule'!$O$35&gt;0,AND(DAY($A135)=MIN(DAY('Recurring Schedule'!$F$35),DAY(EOMONTH($A135,0))),MOD((YEAR($A135)-YEAR('Recurring Schedule'!$F$35))*12+MONTH($A135)-MONTH('Recurring Schedule'!$F$35),'Recurring Schedule'!$O$35)=0),IF('Recurring Schedule'!$E$35="Weekdays",WEEKDAY($A135,2)&lt;=5,$A135='Recurring Schedule'!$F$35))),30,""))))</f>
        <v/>
      </c>
      <c r="AF135">
        <f>IF('Recurring Schedule'!$C$36="","",IF('Recurring Schedule'!$F$36="","",IF(OR($A135&lt;'Recurring Schedule'!$F$36,$A135&gt;'Recurring Schedule'!$P$36),"",IF(IF('Recurring Schedule'!$N$36&gt;0,MOD($A135-'Recurring Schedule'!$F$36,'Recurring Schedule'!$N$36)=0,IF('Recurring Schedule'!$O$36&gt;0,AND(DAY($A135)=MIN(DAY('Recurring Schedule'!$F$36),DAY(EOMONTH($A135,0))),MOD((YEAR($A135)-YEAR('Recurring Schedule'!$F$36))*12+MONTH($A135)-MONTH('Recurring Schedule'!$F$36),'Recurring Schedule'!$O$36)=0),IF('Recurring Schedule'!$E$36="Weekdays",WEEKDAY($A135,2)&lt;=5,$A135='Recurring Schedule'!$F$36))),31,""))))</f>
        <v/>
      </c>
      <c r="AG135">
        <f>IF('Recurring Schedule'!$C$37="","",IF('Recurring Schedule'!$F$37="","",IF(OR($A135&lt;'Recurring Schedule'!$F$37,$A135&gt;'Recurring Schedule'!$P$37),"",IF(IF('Recurring Schedule'!$N$37&gt;0,MOD($A135-'Recurring Schedule'!$F$37,'Recurring Schedule'!$N$37)=0,IF('Recurring Schedule'!$O$37&gt;0,AND(DAY($A135)=MIN(DAY('Recurring Schedule'!$F$37),DAY(EOMONTH($A135,0))),MOD((YEAR($A135)-YEAR('Recurring Schedule'!$F$37))*12+MONTH($A135)-MONTH('Recurring Schedule'!$F$37),'Recurring Schedule'!$O$37)=0),IF('Recurring Schedule'!$E$37="Weekdays",WEEKDAY($A135,2)&lt;=5,$A135='Recurring Schedule'!$F$37))),32,""))))</f>
        <v/>
      </c>
      <c r="AH135">
        <f>IF('Recurring Schedule'!$C$38="","",IF('Recurring Schedule'!$F$38="","",IF(OR($A135&lt;'Recurring Schedule'!$F$38,$A135&gt;'Recurring Schedule'!$P$38),"",IF(IF('Recurring Schedule'!$N$38&gt;0,MOD($A135-'Recurring Schedule'!$F$38,'Recurring Schedule'!$N$38)=0,IF('Recurring Schedule'!$O$38&gt;0,AND(DAY($A135)=MIN(DAY('Recurring Schedule'!$F$38),DAY(EOMONTH($A135,0))),MOD((YEAR($A135)-YEAR('Recurring Schedule'!$F$38))*12+MONTH($A135)-MONTH('Recurring Schedule'!$F$38),'Recurring Schedule'!$O$38)=0),IF('Recurring Schedule'!$E$38="Weekdays",WEEKDAY($A135,2)&lt;=5,$A135='Recurring Schedule'!$F$38))),33,""))))</f>
        <v/>
      </c>
      <c r="AI135">
        <f>IF('Recurring Schedule'!$C$39="","",IF('Recurring Schedule'!$F$39="","",IF(OR($A135&lt;'Recurring Schedule'!$F$39,$A135&gt;'Recurring Schedule'!$P$39),"",IF(IF('Recurring Schedule'!$N$39&gt;0,MOD($A135-'Recurring Schedule'!$F$39,'Recurring Schedule'!$N$39)=0,IF('Recurring Schedule'!$O$39&gt;0,AND(DAY($A135)=MIN(DAY('Recurring Schedule'!$F$39),DAY(EOMONTH($A135,0))),MOD((YEAR($A135)-YEAR('Recurring Schedule'!$F$39))*12+MONTH($A135)-MONTH('Recurring Schedule'!$F$39),'Recurring Schedule'!$O$39)=0),IF('Recurring Schedule'!$E$39="Weekdays",WEEKDAY($A135,2)&lt;=5,$A135='Recurring Schedule'!$F$39))),34,""))))</f>
        <v/>
      </c>
      <c r="AJ135">
        <f>IF('Recurring Schedule'!$C$40="","",IF('Recurring Schedule'!$F$40="","",IF(OR($A135&lt;'Recurring Schedule'!$F$40,$A135&gt;'Recurring Schedule'!$P$40),"",IF(IF('Recurring Schedule'!$N$40&gt;0,MOD($A135-'Recurring Schedule'!$F$40,'Recurring Schedule'!$N$40)=0,IF('Recurring Schedule'!$O$40&gt;0,AND(DAY($A135)=MIN(DAY('Recurring Schedule'!$F$40),DAY(EOMONTH($A135,0))),MOD((YEAR($A135)-YEAR('Recurring Schedule'!$F$40))*12+MONTH($A135)-MONTH('Recurring Schedule'!$F$40),'Recurring Schedule'!$O$40)=0),IF('Recurring Schedule'!$E$40="Weekdays",WEEKDAY($A135,2)&lt;=5,$A135='Recurring Schedule'!$F$40))),35,""))))</f>
        <v/>
      </c>
      <c r="AK135">
        <f>IF('Recurring Schedule'!$C$41="","",IF('Recurring Schedule'!$F$41="","",IF(OR($A135&lt;'Recurring Schedule'!$F$41,$A135&gt;'Recurring Schedule'!$P$41),"",IF(IF('Recurring Schedule'!$N$41&gt;0,MOD($A135-'Recurring Schedule'!$F$41,'Recurring Schedule'!$N$41)=0,IF('Recurring Schedule'!$O$41&gt;0,AND(DAY($A135)=MIN(DAY('Recurring Schedule'!$F$41),DAY(EOMONTH($A135,0))),MOD((YEAR($A135)-YEAR('Recurring Schedule'!$F$41))*12+MONTH($A135)-MONTH('Recurring Schedule'!$F$41),'Recurring Schedule'!$O$41)=0),IF('Recurring Schedule'!$E$41="Weekdays",WEEKDAY($A135,2)&lt;=5,$A135='Recurring Schedule'!$F$41))),36,""))))</f>
        <v/>
      </c>
      <c r="AL135">
        <f>IF('Recurring Schedule'!$C$42="","",IF('Recurring Schedule'!$F$42="","",IF(OR($A135&lt;'Recurring Schedule'!$F$42,$A135&gt;'Recurring Schedule'!$P$42),"",IF(IF('Recurring Schedule'!$N$42&gt;0,MOD($A135-'Recurring Schedule'!$F$42,'Recurring Schedule'!$N$42)=0,IF('Recurring Schedule'!$O$42&gt;0,AND(DAY($A135)=MIN(DAY('Recurring Schedule'!$F$42),DAY(EOMONTH($A135,0))),MOD((YEAR($A135)-YEAR('Recurring Schedule'!$F$42))*12+MONTH($A135)-MONTH('Recurring Schedule'!$F$42),'Recurring Schedule'!$O$42)=0),IF('Recurring Schedule'!$E$42="Weekdays",WEEKDAY($A135,2)&lt;=5,$A135='Recurring Schedule'!$F$42))),37,""))))</f>
        <v/>
      </c>
      <c r="AM135">
        <f>IF('Recurring Schedule'!$C$43="","",IF('Recurring Schedule'!$F$43="","",IF(OR($A135&lt;'Recurring Schedule'!$F$43,$A135&gt;'Recurring Schedule'!$P$43),"",IF(IF('Recurring Schedule'!$N$43&gt;0,MOD($A135-'Recurring Schedule'!$F$43,'Recurring Schedule'!$N$43)=0,IF('Recurring Schedule'!$O$43&gt;0,AND(DAY($A135)=MIN(DAY('Recurring Schedule'!$F$43),DAY(EOMONTH($A135,0))),MOD((YEAR($A135)-YEAR('Recurring Schedule'!$F$43))*12+MONTH($A135)-MONTH('Recurring Schedule'!$F$43),'Recurring Schedule'!$O$43)=0),IF('Recurring Schedule'!$E$43="Weekdays",WEEKDAY($A135,2)&lt;=5,$A135='Recurring Schedule'!$F$43))),38,""))))</f>
        <v/>
      </c>
      <c r="AN135">
        <f>IF('Recurring Schedule'!$C$44="","",IF('Recurring Schedule'!$F$44="","",IF(OR($A135&lt;'Recurring Schedule'!$F$44,$A135&gt;'Recurring Schedule'!$P$44),"",IF(IF('Recurring Schedule'!$N$44&gt;0,MOD($A135-'Recurring Schedule'!$F$44,'Recurring Schedule'!$N$44)=0,IF('Recurring Schedule'!$O$44&gt;0,AND(DAY($A135)=MIN(DAY('Recurring Schedule'!$F$44),DAY(EOMONTH($A135,0))),MOD((YEAR($A135)-YEAR('Recurring Schedule'!$F$44))*12+MONTH($A135)-MONTH('Recurring Schedule'!$F$44),'Recurring Schedule'!$O$44)=0),IF('Recurring Schedule'!$E$44="Weekdays",WEEKDAY($A135,2)&lt;=5,$A135='Recurring Schedule'!$F$44))),39,""))))</f>
        <v/>
      </c>
      <c r="AO135">
        <f>IF('Recurring Schedule'!$C$45="","",IF('Recurring Schedule'!$F$45="","",IF(OR($A135&lt;'Recurring Schedule'!$F$45,$A135&gt;'Recurring Schedule'!$P$45),"",IF(IF('Recurring Schedule'!$N$45&gt;0,MOD($A135-'Recurring Schedule'!$F$45,'Recurring Schedule'!$N$45)=0,IF('Recurring Schedule'!$O$45&gt;0,AND(DAY($A135)=MIN(DAY('Recurring Schedule'!$F$45),DAY(EOMONTH($A135,0))),MOD((YEAR($A135)-YEAR('Recurring Schedule'!$F$45))*12+MONTH($A135)-MONTH('Recurring Schedule'!$F$45),'Recurring Schedule'!$O$45)=0),IF('Recurring Schedule'!$E$45="Weekdays",WEEKDAY($A135,2)&lt;=5,$A135='Recurring Schedule'!$F$45))),40,""))))</f>
        <v/>
      </c>
      <c r="AP135">
        <f>COUNT(B135:AO135)</f>
        <v/>
      </c>
      <c r="AQ135">
        <f>AQ134+AP134</f>
        <v/>
      </c>
      <c r="AS135" t="inlineStr">
        <is>
          <t>R</t>
        </is>
      </c>
      <c r="AT135" t="n">
        <v>139</v>
      </c>
      <c r="AU135">
        <f>'Recurring Log'!C139&amp;""</f>
        <v/>
      </c>
      <c r="AV135">
        <f>'Recurring Log'!D139&amp;""</f>
        <v/>
      </c>
      <c r="AW135">
        <f>IF('Recurring Log'!E139="","",'Recurring Log'!E139)</f>
        <v/>
      </c>
      <c r="AX135">
        <f>IF('Recurring Log'!G139="","",'Recurring Log'!G139)</f>
        <v/>
      </c>
      <c r="AY135">
        <f>IF('Recurring Log'!H139="","",'Recurring Log'!H139)</f>
        <v/>
      </c>
      <c r="AZ135">
        <f>IF(AU135="","",IF('Recurring Log'!J139="","Not Started",'Recurring Log'!J139))</f>
        <v/>
      </c>
      <c r="BA135">
        <f>'Recurring Log'!L139&amp;""</f>
        <v/>
      </c>
      <c r="BB135">
        <f>'Recurring Log'!M139&amp;""</f>
        <v/>
      </c>
      <c r="BC135">
        <f>'Recurring Log'!N139&amp;""</f>
        <v/>
      </c>
      <c r="BD135">
        <f>'Recurring Log'!O139&amp;""</f>
        <v/>
      </c>
      <c r="BE135">
        <f>IF('Recurring Log'!K139="","",'Recurring Log'!K139)</f>
        <v/>
      </c>
      <c r="BF135">
        <f>IFERROR(MATCH(BA135,Setup!$L$6:$L$9,0),5)</f>
        <v/>
      </c>
      <c r="BG135">
        <f>IF(OR(AZ135="Done",AZ135="Cancelled"),1,0)</f>
        <v/>
      </c>
      <c r="BH135">
        <f>IF(AND(AU135&lt;&gt;"",ISNUMBER(AW135)),1,0)</f>
        <v/>
      </c>
      <c r="BI135">
        <f>IF(BH135=0,0,IF(AND(AW135&gt;='Tasks Filter'!$F$3,AW135&lt;='Tasks Filter'!$F$4,OR('Tasks Filter'!$I$3="",ISNUMBER(SEARCH('Tasks Filter'!$I$3,AU135))),OR('Tasks Filter'!$I$4="",BF135=IFERROR(MATCH('Tasks Filter'!$I$4,Setup!$L$6:$L$9,0),0)),OR('Tasks Filter'!$I$5="Both",AND('Tasks Filter'!$I$5="Yes",BB135="✓"),AND('Tasks Filter'!$I$5="No",BB135&lt;&gt;"✓")),OR('Tasks Filter'!$L$3="",AV135='Tasks Filter'!$L$3),OR('Tasks Filter'!$L$4="",AZ135='Tasks Filter'!$L$4),OR('Tasks Filter'!$L$5="",BC135='Tasks Filter'!$L$5),OR('Tasks Filter'!$O$3="",BD135='Tasks Filter'!$O$3),OR('Tasks Filter'!$O$4="Yes",BG135=0)),1,0))</f>
        <v/>
      </c>
      <c r="BJ135">
        <f>IF(BH135=0,"",IF('Tasks Filter'!$F$6="Descending",-1,1)*CHOOSE(MATCH('Tasks Filter'!$F$5,Lists!$G$2:$G$6,0),AW135,BF135,IFERROR(MATCH(AV135,Setup!$F$6:$F$15,0),99),IFERROR(MATCH(BC135,Setup!$H$6:$H$15,0),99),IFERROR(MATCH(AZ135,Setup!$J$6:$J$11,0),99))*1E+9+(AW135-40000)*10000+134)</f>
        <v/>
      </c>
      <c r="BK135">
        <f>IF(BI135=1,BJ135,"")</f>
        <v/>
      </c>
      <c r="BL135">
        <f>IF(AND(BH135=1,BG135=0,N(AW135)&lt;Setup!$D$7),(AW135-40000)*10000+134,"")</f>
        <v/>
      </c>
      <c r="BM135">
        <f>IF(AND(BH135=1,AZ135&lt;&gt;"Cancelled",N(AW135)&gt;=Dashboard!$AB$3,N(AW135)&lt;=Dashboard!$AB$3+6),(AW135-40000)*100000+BF135*10000+134,"")</f>
        <v/>
      </c>
      <c r="BN135">
        <f>IF(AND(BH135=1,AZ135&lt;&gt;"Cancelled"),BF135*10000+134,"")</f>
        <v/>
      </c>
    </row>
    <row r="136">
      <c r="A136">
        <f>Setup!$D$5+134</f>
        <v/>
      </c>
      <c r="B136">
        <f>IF('Recurring Schedule'!$C$6="","",IF('Recurring Schedule'!$F$6="","",IF(OR($A136&lt;'Recurring Schedule'!$F$6,$A136&gt;'Recurring Schedule'!$P$6),"",IF(IF('Recurring Schedule'!$N$6&gt;0,MOD($A136-'Recurring Schedule'!$F$6,'Recurring Schedule'!$N$6)=0,IF('Recurring Schedule'!$O$6&gt;0,AND(DAY($A136)=MIN(DAY('Recurring Schedule'!$F$6),DAY(EOMONTH($A136,0))),MOD((YEAR($A136)-YEAR('Recurring Schedule'!$F$6))*12+MONTH($A136)-MONTH('Recurring Schedule'!$F$6),'Recurring Schedule'!$O$6)=0),IF('Recurring Schedule'!$E$6="Weekdays",WEEKDAY($A136,2)&lt;=5,$A136='Recurring Schedule'!$F$6))),1,""))))</f>
        <v/>
      </c>
      <c r="C136">
        <f>IF('Recurring Schedule'!$C$7="","",IF('Recurring Schedule'!$F$7="","",IF(OR($A136&lt;'Recurring Schedule'!$F$7,$A136&gt;'Recurring Schedule'!$P$7),"",IF(IF('Recurring Schedule'!$N$7&gt;0,MOD($A136-'Recurring Schedule'!$F$7,'Recurring Schedule'!$N$7)=0,IF('Recurring Schedule'!$O$7&gt;0,AND(DAY($A136)=MIN(DAY('Recurring Schedule'!$F$7),DAY(EOMONTH($A136,0))),MOD((YEAR($A136)-YEAR('Recurring Schedule'!$F$7))*12+MONTH($A136)-MONTH('Recurring Schedule'!$F$7),'Recurring Schedule'!$O$7)=0),IF('Recurring Schedule'!$E$7="Weekdays",WEEKDAY($A136,2)&lt;=5,$A136='Recurring Schedule'!$F$7))),2,""))))</f>
        <v/>
      </c>
      <c r="D136">
        <f>IF('Recurring Schedule'!$C$8="","",IF('Recurring Schedule'!$F$8="","",IF(OR($A136&lt;'Recurring Schedule'!$F$8,$A136&gt;'Recurring Schedule'!$P$8),"",IF(IF('Recurring Schedule'!$N$8&gt;0,MOD($A136-'Recurring Schedule'!$F$8,'Recurring Schedule'!$N$8)=0,IF('Recurring Schedule'!$O$8&gt;0,AND(DAY($A136)=MIN(DAY('Recurring Schedule'!$F$8),DAY(EOMONTH($A136,0))),MOD((YEAR($A136)-YEAR('Recurring Schedule'!$F$8))*12+MONTH($A136)-MONTH('Recurring Schedule'!$F$8),'Recurring Schedule'!$O$8)=0),IF('Recurring Schedule'!$E$8="Weekdays",WEEKDAY($A136,2)&lt;=5,$A136='Recurring Schedule'!$F$8))),3,""))))</f>
        <v/>
      </c>
      <c r="E136">
        <f>IF('Recurring Schedule'!$C$9="","",IF('Recurring Schedule'!$F$9="","",IF(OR($A136&lt;'Recurring Schedule'!$F$9,$A136&gt;'Recurring Schedule'!$P$9),"",IF(IF('Recurring Schedule'!$N$9&gt;0,MOD($A136-'Recurring Schedule'!$F$9,'Recurring Schedule'!$N$9)=0,IF('Recurring Schedule'!$O$9&gt;0,AND(DAY($A136)=MIN(DAY('Recurring Schedule'!$F$9),DAY(EOMONTH($A136,0))),MOD((YEAR($A136)-YEAR('Recurring Schedule'!$F$9))*12+MONTH($A136)-MONTH('Recurring Schedule'!$F$9),'Recurring Schedule'!$O$9)=0),IF('Recurring Schedule'!$E$9="Weekdays",WEEKDAY($A136,2)&lt;=5,$A136='Recurring Schedule'!$F$9))),4,""))))</f>
        <v/>
      </c>
      <c r="F136">
        <f>IF('Recurring Schedule'!$C$10="","",IF('Recurring Schedule'!$F$10="","",IF(OR($A136&lt;'Recurring Schedule'!$F$10,$A136&gt;'Recurring Schedule'!$P$10),"",IF(IF('Recurring Schedule'!$N$10&gt;0,MOD($A136-'Recurring Schedule'!$F$10,'Recurring Schedule'!$N$10)=0,IF('Recurring Schedule'!$O$10&gt;0,AND(DAY($A136)=MIN(DAY('Recurring Schedule'!$F$10),DAY(EOMONTH($A136,0))),MOD((YEAR($A136)-YEAR('Recurring Schedule'!$F$10))*12+MONTH($A136)-MONTH('Recurring Schedule'!$F$10),'Recurring Schedule'!$O$10)=0),IF('Recurring Schedule'!$E$10="Weekdays",WEEKDAY($A136,2)&lt;=5,$A136='Recurring Schedule'!$F$10))),5,""))))</f>
        <v/>
      </c>
      <c r="G136">
        <f>IF('Recurring Schedule'!$C$11="","",IF('Recurring Schedule'!$F$11="","",IF(OR($A136&lt;'Recurring Schedule'!$F$11,$A136&gt;'Recurring Schedule'!$P$11),"",IF(IF('Recurring Schedule'!$N$11&gt;0,MOD($A136-'Recurring Schedule'!$F$11,'Recurring Schedule'!$N$11)=0,IF('Recurring Schedule'!$O$11&gt;0,AND(DAY($A136)=MIN(DAY('Recurring Schedule'!$F$11),DAY(EOMONTH($A136,0))),MOD((YEAR($A136)-YEAR('Recurring Schedule'!$F$11))*12+MONTH($A136)-MONTH('Recurring Schedule'!$F$11),'Recurring Schedule'!$O$11)=0),IF('Recurring Schedule'!$E$11="Weekdays",WEEKDAY($A136,2)&lt;=5,$A136='Recurring Schedule'!$F$11))),6,""))))</f>
        <v/>
      </c>
      <c r="H136">
        <f>IF('Recurring Schedule'!$C$12="","",IF('Recurring Schedule'!$F$12="","",IF(OR($A136&lt;'Recurring Schedule'!$F$12,$A136&gt;'Recurring Schedule'!$P$12),"",IF(IF('Recurring Schedule'!$N$12&gt;0,MOD($A136-'Recurring Schedule'!$F$12,'Recurring Schedule'!$N$12)=0,IF('Recurring Schedule'!$O$12&gt;0,AND(DAY($A136)=MIN(DAY('Recurring Schedule'!$F$12),DAY(EOMONTH($A136,0))),MOD((YEAR($A136)-YEAR('Recurring Schedule'!$F$12))*12+MONTH($A136)-MONTH('Recurring Schedule'!$F$12),'Recurring Schedule'!$O$12)=0),IF('Recurring Schedule'!$E$12="Weekdays",WEEKDAY($A136,2)&lt;=5,$A136='Recurring Schedule'!$F$12))),7,""))))</f>
        <v/>
      </c>
      <c r="I136">
        <f>IF('Recurring Schedule'!$C$13="","",IF('Recurring Schedule'!$F$13="","",IF(OR($A136&lt;'Recurring Schedule'!$F$13,$A136&gt;'Recurring Schedule'!$P$13),"",IF(IF('Recurring Schedule'!$N$13&gt;0,MOD($A136-'Recurring Schedule'!$F$13,'Recurring Schedule'!$N$13)=0,IF('Recurring Schedule'!$O$13&gt;0,AND(DAY($A136)=MIN(DAY('Recurring Schedule'!$F$13),DAY(EOMONTH($A136,0))),MOD((YEAR($A136)-YEAR('Recurring Schedule'!$F$13))*12+MONTH($A136)-MONTH('Recurring Schedule'!$F$13),'Recurring Schedule'!$O$13)=0),IF('Recurring Schedule'!$E$13="Weekdays",WEEKDAY($A136,2)&lt;=5,$A136='Recurring Schedule'!$F$13))),8,""))))</f>
        <v/>
      </c>
      <c r="J136">
        <f>IF('Recurring Schedule'!$C$14="","",IF('Recurring Schedule'!$F$14="","",IF(OR($A136&lt;'Recurring Schedule'!$F$14,$A136&gt;'Recurring Schedule'!$P$14),"",IF(IF('Recurring Schedule'!$N$14&gt;0,MOD($A136-'Recurring Schedule'!$F$14,'Recurring Schedule'!$N$14)=0,IF('Recurring Schedule'!$O$14&gt;0,AND(DAY($A136)=MIN(DAY('Recurring Schedule'!$F$14),DAY(EOMONTH($A136,0))),MOD((YEAR($A136)-YEAR('Recurring Schedule'!$F$14))*12+MONTH($A136)-MONTH('Recurring Schedule'!$F$14),'Recurring Schedule'!$O$14)=0),IF('Recurring Schedule'!$E$14="Weekdays",WEEKDAY($A136,2)&lt;=5,$A136='Recurring Schedule'!$F$14))),9,""))))</f>
        <v/>
      </c>
      <c r="K136">
        <f>IF('Recurring Schedule'!$C$15="","",IF('Recurring Schedule'!$F$15="","",IF(OR($A136&lt;'Recurring Schedule'!$F$15,$A136&gt;'Recurring Schedule'!$P$15),"",IF(IF('Recurring Schedule'!$N$15&gt;0,MOD($A136-'Recurring Schedule'!$F$15,'Recurring Schedule'!$N$15)=0,IF('Recurring Schedule'!$O$15&gt;0,AND(DAY($A136)=MIN(DAY('Recurring Schedule'!$F$15),DAY(EOMONTH($A136,0))),MOD((YEAR($A136)-YEAR('Recurring Schedule'!$F$15))*12+MONTH($A136)-MONTH('Recurring Schedule'!$F$15),'Recurring Schedule'!$O$15)=0),IF('Recurring Schedule'!$E$15="Weekdays",WEEKDAY($A136,2)&lt;=5,$A136='Recurring Schedule'!$F$15))),10,""))))</f>
        <v/>
      </c>
      <c r="L136">
        <f>IF('Recurring Schedule'!$C$16="","",IF('Recurring Schedule'!$F$16="","",IF(OR($A136&lt;'Recurring Schedule'!$F$16,$A136&gt;'Recurring Schedule'!$P$16),"",IF(IF('Recurring Schedule'!$N$16&gt;0,MOD($A136-'Recurring Schedule'!$F$16,'Recurring Schedule'!$N$16)=0,IF('Recurring Schedule'!$O$16&gt;0,AND(DAY($A136)=MIN(DAY('Recurring Schedule'!$F$16),DAY(EOMONTH($A136,0))),MOD((YEAR($A136)-YEAR('Recurring Schedule'!$F$16))*12+MONTH($A136)-MONTH('Recurring Schedule'!$F$16),'Recurring Schedule'!$O$16)=0),IF('Recurring Schedule'!$E$16="Weekdays",WEEKDAY($A136,2)&lt;=5,$A136='Recurring Schedule'!$F$16))),11,""))))</f>
        <v/>
      </c>
      <c r="M136">
        <f>IF('Recurring Schedule'!$C$17="","",IF('Recurring Schedule'!$F$17="","",IF(OR($A136&lt;'Recurring Schedule'!$F$17,$A136&gt;'Recurring Schedule'!$P$17),"",IF(IF('Recurring Schedule'!$N$17&gt;0,MOD($A136-'Recurring Schedule'!$F$17,'Recurring Schedule'!$N$17)=0,IF('Recurring Schedule'!$O$17&gt;0,AND(DAY($A136)=MIN(DAY('Recurring Schedule'!$F$17),DAY(EOMONTH($A136,0))),MOD((YEAR($A136)-YEAR('Recurring Schedule'!$F$17))*12+MONTH($A136)-MONTH('Recurring Schedule'!$F$17),'Recurring Schedule'!$O$17)=0),IF('Recurring Schedule'!$E$17="Weekdays",WEEKDAY($A136,2)&lt;=5,$A136='Recurring Schedule'!$F$17))),12,""))))</f>
        <v/>
      </c>
      <c r="N136">
        <f>IF('Recurring Schedule'!$C$18="","",IF('Recurring Schedule'!$F$18="","",IF(OR($A136&lt;'Recurring Schedule'!$F$18,$A136&gt;'Recurring Schedule'!$P$18),"",IF(IF('Recurring Schedule'!$N$18&gt;0,MOD($A136-'Recurring Schedule'!$F$18,'Recurring Schedule'!$N$18)=0,IF('Recurring Schedule'!$O$18&gt;0,AND(DAY($A136)=MIN(DAY('Recurring Schedule'!$F$18),DAY(EOMONTH($A136,0))),MOD((YEAR($A136)-YEAR('Recurring Schedule'!$F$18))*12+MONTH($A136)-MONTH('Recurring Schedule'!$F$18),'Recurring Schedule'!$O$18)=0),IF('Recurring Schedule'!$E$18="Weekdays",WEEKDAY($A136,2)&lt;=5,$A136='Recurring Schedule'!$F$18))),13,""))))</f>
        <v/>
      </c>
      <c r="O136">
        <f>IF('Recurring Schedule'!$C$19="","",IF('Recurring Schedule'!$F$19="","",IF(OR($A136&lt;'Recurring Schedule'!$F$19,$A136&gt;'Recurring Schedule'!$P$19),"",IF(IF('Recurring Schedule'!$N$19&gt;0,MOD($A136-'Recurring Schedule'!$F$19,'Recurring Schedule'!$N$19)=0,IF('Recurring Schedule'!$O$19&gt;0,AND(DAY($A136)=MIN(DAY('Recurring Schedule'!$F$19),DAY(EOMONTH($A136,0))),MOD((YEAR($A136)-YEAR('Recurring Schedule'!$F$19))*12+MONTH($A136)-MONTH('Recurring Schedule'!$F$19),'Recurring Schedule'!$O$19)=0),IF('Recurring Schedule'!$E$19="Weekdays",WEEKDAY($A136,2)&lt;=5,$A136='Recurring Schedule'!$F$19))),14,""))))</f>
        <v/>
      </c>
      <c r="P136">
        <f>IF('Recurring Schedule'!$C$20="","",IF('Recurring Schedule'!$F$20="","",IF(OR($A136&lt;'Recurring Schedule'!$F$20,$A136&gt;'Recurring Schedule'!$P$20),"",IF(IF('Recurring Schedule'!$N$20&gt;0,MOD($A136-'Recurring Schedule'!$F$20,'Recurring Schedule'!$N$20)=0,IF('Recurring Schedule'!$O$20&gt;0,AND(DAY($A136)=MIN(DAY('Recurring Schedule'!$F$20),DAY(EOMONTH($A136,0))),MOD((YEAR($A136)-YEAR('Recurring Schedule'!$F$20))*12+MONTH($A136)-MONTH('Recurring Schedule'!$F$20),'Recurring Schedule'!$O$20)=0),IF('Recurring Schedule'!$E$20="Weekdays",WEEKDAY($A136,2)&lt;=5,$A136='Recurring Schedule'!$F$20))),15,""))))</f>
        <v/>
      </c>
      <c r="Q136">
        <f>IF('Recurring Schedule'!$C$21="","",IF('Recurring Schedule'!$F$21="","",IF(OR($A136&lt;'Recurring Schedule'!$F$21,$A136&gt;'Recurring Schedule'!$P$21),"",IF(IF('Recurring Schedule'!$N$21&gt;0,MOD($A136-'Recurring Schedule'!$F$21,'Recurring Schedule'!$N$21)=0,IF('Recurring Schedule'!$O$21&gt;0,AND(DAY($A136)=MIN(DAY('Recurring Schedule'!$F$21),DAY(EOMONTH($A136,0))),MOD((YEAR($A136)-YEAR('Recurring Schedule'!$F$21))*12+MONTH($A136)-MONTH('Recurring Schedule'!$F$21),'Recurring Schedule'!$O$21)=0),IF('Recurring Schedule'!$E$21="Weekdays",WEEKDAY($A136,2)&lt;=5,$A136='Recurring Schedule'!$F$21))),16,""))))</f>
        <v/>
      </c>
      <c r="R136">
        <f>IF('Recurring Schedule'!$C$22="","",IF('Recurring Schedule'!$F$22="","",IF(OR($A136&lt;'Recurring Schedule'!$F$22,$A136&gt;'Recurring Schedule'!$P$22),"",IF(IF('Recurring Schedule'!$N$22&gt;0,MOD($A136-'Recurring Schedule'!$F$22,'Recurring Schedule'!$N$22)=0,IF('Recurring Schedule'!$O$22&gt;0,AND(DAY($A136)=MIN(DAY('Recurring Schedule'!$F$22),DAY(EOMONTH($A136,0))),MOD((YEAR($A136)-YEAR('Recurring Schedule'!$F$22))*12+MONTH($A136)-MONTH('Recurring Schedule'!$F$22),'Recurring Schedule'!$O$22)=0),IF('Recurring Schedule'!$E$22="Weekdays",WEEKDAY($A136,2)&lt;=5,$A136='Recurring Schedule'!$F$22))),17,""))))</f>
        <v/>
      </c>
      <c r="S136">
        <f>IF('Recurring Schedule'!$C$23="","",IF('Recurring Schedule'!$F$23="","",IF(OR($A136&lt;'Recurring Schedule'!$F$23,$A136&gt;'Recurring Schedule'!$P$23),"",IF(IF('Recurring Schedule'!$N$23&gt;0,MOD($A136-'Recurring Schedule'!$F$23,'Recurring Schedule'!$N$23)=0,IF('Recurring Schedule'!$O$23&gt;0,AND(DAY($A136)=MIN(DAY('Recurring Schedule'!$F$23),DAY(EOMONTH($A136,0))),MOD((YEAR($A136)-YEAR('Recurring Schedule'!$F$23))*12+MONTH($A136)-MONTH('Recurring Schedule'!$F$23),'Recurring Schedule'!$O$23)=0),IF('Recurring Schedule'!$E$23="Weekdays",WEEKDAY($A136,2)&lt;=5,$A136='Recurring Schedule'!$F$23))),18,""))))</f>
        <v/>
      </c>
      <c r="T136">
        <f>IF('Recurring Schedule'!$C$24="","",IF('Recurring Schedule'!$F$24="","",IF(OR($A136&lt;'Recurring Schedule'!$F$24,$A136&gt;'Recurring Schedule'!$P$24),"",IF(IF('Recurring Schedule'!$N$24&gt;0,MOD($A136-'Recurring Schedule'!$F$24,'Recurring Schedule'!$N$24)=0,IF('Recurring Schedule'!$O$24&gt;0,AND(DAY($A136)=MIN(DAY('Recurring Schedule'!$F$24),DAY(EOMONTH($A136,0))),MOD((YEAR($A136)-YEAR('Recurring Schedule'!$F$24))*12+MONTH($A136)-MONTH('Recurring Schedule'!$F$24),'Recurring Schedule'!$O$24)=0),IF('Recurring Schedule'!$E$24="Weekdays",WEEKDAY($A136,2)&lt;=5,$A136='Recurring Schedule'!$F$24))),19,""))))</f>
        <v/>
      </c>
      <c r="U136">
        <f>IF('Recurring Schedule'!$C$25="","",IF('Recurring Schedule'!$F$25="","",IF(OR($A136&lt;'Recurring Schedule'!$F$25,$A136&gt;'Recurring Schedule'!$P$25),"",IF(IF('Recurring Schedule'!$N$25&gt;0,MOD($A136-'Recurring Schedule'!$F$25,'Recurring Schedule'!$N$25)=0,IF('Recurring Schedule'!$O$25&gt;0,AND(DAY($A136)=MIN(DAY('Recurring Schedule'!$F$25),DAY(EOMONTH($A136,0))),MOD((YEAR($A136)-YEAR('Recurring Schedule'!$F$25))*12+MONTH($A136)-MONTH('Recurring Schedule'!$F$25),'Recurring Schedule'!$O$25)=0),IF('Recurring Schedule'!$E$25="Weekdays",WEEKDAY($A136,2)&lt;=5,$A136='Recurring Schedule'!$F$25))),20,""))))</f>
        <v/>
      </c>
      <c r="V136">
        <f>IF('Recurring Schedule'!$C$26="","",IF('Recurring Schedule'!$F$26="","",IF(OR($A136&lt;'Recurring Schedule'!$F$26,$A136&gt;'Recurring Schedule'!$P$26),"",IF(IF('Recurring Schedule'!$N$26&gt;0,MOD($A136-'Recurring Schedule'!$F$26,'Recurring Schedule'!$N$26)=0,IF('Recurring Schedule'!$O$26&gt;0,AND(DAY($A136)=MIN(DAY('Recurring Schedule'!$F$26),DAY(EOMONTH($A136,0))),MOD((YEAR($A136)-YEAR('Recurring Schedule'!$F$26))*12+MONTH($A136)-MONTH('Recurring Schedule'!$F$26),'Recurring Schedule'!$O$26)=0),IF('Recurring Schedule'!$E$26="Weekdays",WEEKDAY($A136,2)&lt;=5,$A136='Recurring Schedule'!$F$26))),21,""))))</f>
        <v/>
      </c>
      <c r="W136">
        <f>IF('Recurring Schedule'!$C$27="","",IF('Recurring Schedule'!$F$27="","",IF(OR($A136&lt;'Recurring Schedule'!$F$27,$A136&gt;'Recurring Schedule'!$P$27),"",IF(IF('Recurring Schedule'!$N$27&gt;0,MOD($A136-'Recurring Schedule'!$F$27,'Recurring Schedule'!$N$27)=0,IF('Recurring Schedule'!$O$27&gt;0,AND(DAY($A136)=MIN(DAY('Recurring Schedule'!$F$27),DAY(EOMONTH($A136,0))),MOD((YEAR($A136)-YEAR('Recurring Schedule'!$F$27))*12+MONTH($A136)-MONTH('Recurring Schedule'!$F$27),'Recurring Schedule'!$O$27)=0),IF('Recurring Schedule'!$E$27="Weekdays",WEEKDAY($A136,2)&lt;=5,$A136='Recurring Schedule'!$F$27))),22,""))))</f>
        <v/>
      </c>
      <c r="X136">
        <f>IF('Recurring Schedule'!$C$28="","",IF('Recurring Schedule'!$F$28="","",IF(OR($A136&lt;'Recurring Schedule'!$F$28,$A136&gt;'Recurring Schedule'!$P$28),"",IF(IF('Recurring Schedule'!$N$28&gt;0,MOD($A136-'Recurring Schedule'!$F$28,'Recurring Schedule'!$N$28)=0,IF('Recurring Schedule'!$O$28&gt;0,AND(DAY($A136)=MIN(DAY('Recurring Schedule'!$F$28),DAY(EOMONTH($A136,0))),MOD((YEAR($A136)-YEAR('Recurring Schedule'!$F$28))*12+MONTH($A136)-MONTH('Recurring Schedule'!$F$28),'Recurring Schedule'!$O$28)=0),IF('Recurring Schedule'!$E$28="Weekdays",WEEKDAY($A136,2)&lt;=5,$A136='Recurring Schedule'!$F$28))),23,""))))</f>
        <v/>
      </c>
      <c r="Y136">
        <f>IF('Recurring Schedule'!$C$29="","",IF('Recurring Schedule'!$F$29="","",IF(OR($A136&lt;'Recurring Schedule'!$F$29,$A136&gt;'Recurring Schedule'!$P$29),"",IF(IF('Recurring Schedule'!$N$29&gt;0,MOD($A136-'Recurring Schedule'!$F$29,'Recurring Schedule'!$N$29)=0,IF('Recurring Schedule'!$O$29&gt;0,AND(DAY($A136)=MIN(DAY('Recurring Schedule'!$F$29),DAY(EOMONTH($A136,0))),MOD((YEAR($A136)-YEAR('Recurring Schedule'!$F$29))*12+MONTH($A136)-MONTH('Recurring Schedule'!$F$29),'Recurring Schedule'!$O$29)=0),IF('Recurring Schedule'!$E$29="Weekdays",WEEKDAY($A136,2)&lt;=5,$A136='Recurring Schedule'!$F$29))),24,""))))</f>
        <v/>
      </c>
      <c r="Z136">
        <f>IF('Recurring Schedule'!$C$30="","",IF('Recurring Schedule'!$F$30="","",IF(OR($A136&lt;'Recurring Schedule'!$F$30,$A136&gt;'Recurring Schedule'!$P$30),"",IF(IF('Recurring Schedule'!$N$30&gt;0,MOD($A136-'Recurring Schedule'!$F$30,'Recurring Schedule'!$N$30)=0,IF('Recurring Schedule'!$O$30&gt;0,AND(DAY($A136)=MIN(DAY('Recurring Schedule'!$F$30),DAY(EOMONTH($A136,0))),MOD((YEAR($A136)-YEAR('Recurring Schedule'!$F$30))*12+MONTH($A136)-MONTH('Recurring Schedule'!$F$30),'Recurring Schedule'!$O$30)=0),IF('Recurring Schedule'!$E$30="Weekdays",WEEKDAY($A136,2)&lt;=5,$A136='Recurring Schedule'!$F$30))),25,""))))</f>
        <v/>
      </c>
      <c r="AA136">
        <f>IF('Recurring Schedule'!$C$31="","",IF('Recurring Schedule'!$F$31="","",IF(OR($A136&lt;'Recurring Schedule'!$F$31,$A136&gt;'Recurring Schedule'!$P$31),"",IF(IF('Recurring Schedule'!$N$31&gt;0,MOD($A136-'Recurring Schedule'!$F$31,'Recurring Schedule'!$N$31)=0,IF('Recurring Schedule'!$O$31&gt;0,AND(DAY($A136)=MIN(DAY('Recurring Schedule'!$F$31),DAY(EOMONTH($A136,0))),MOD((YEAR($A136)-YEAR('Recurring Schedule'!$F$31))*12+MONTH($A136)-MONTH('Recurring Schedule'!$F$31),'Recurring Schedule'!$O$31)=0),IF('Recurring Schedule'!$E$31="Weekdays",WEEKDAY($A136,2)&lt;=5,$A136='Recurring Schedule'!$F$31))),26,""))))</f>
        <v/>
      </c>
      <c r="AB136">
        <f>IF('Recurring Schedule'!$C$32="","",IF('Recurring Schedule'!$F$32="","",IF(OR($A136&lt;'Recurring Schedule'!$F$32,$A136&gt;'Recurring Schedule'!$P$32),"",IF(IF('Recurring Schedule'!$N$32&gt;0,MOD($A136-'Recurring Schedule'!$F$32,'Recurring Schedule'!$N$32)=0,IF('Recurring Schedule'!$O$32&gt;0,AND(DAY($A136)=MIN(DAY('Recurring Schedule'!$F$32),DAY(EOMONTH($A136,0))),MOD((YEAR($A136)-YEAR('Recurring Schedule'!$F$32))*12+MONTH($A136)-MONTH('Recurring Schedule'!$F$32),'Recurring Schedule'!$O$32)=0),IF('Recurring Schedule'!$E$32="Weekdays",WEEKDAY($A136,2)&lt;=5,$A136='Recurring Schedule'!$F$32))),27,""))))</f>
        <v/>
      </c>
      <c r="AC136">
        <f>IF('Recurring Schedule'!$C$33="","",IF('Recurring Schedule'!$F$33="","",IF(OR($A136&lt;'Recurring Schedule'!$F$33,$A136&gt;'Recurring Schedule'!$P$33),"",IF(IF('Recurring Schedule'!$N$33&gt;0,MOD($A136-'Recurring Schedule'!$F$33,'Recurring Schedule'!$N$33)=0,IF('Recurring Schedule'!$O$33&gt;0,AND(DAY($A136)=MIN(DAY('Recurring Schedule'!$F$33),DAY(EOMONTH($A136,0))),MOD((YEAR($A136)-YEAR('Recurring Schedule'!$F$33))*12+MONTH($A136)-MONTH('Recurring Schedule'!$F$33),'Recurring Schedule'!$O$33)=0),IF('Recurring Schedule'!$E$33="Weekdays",WEEKDAY($A136,2)&lt;=5,$A136='Recurring Schedule'!$F$33))),28,""))))</f>
        <v/>
      </c>
      <c r="AD136">
        <f>IF('Recurring Schedule'!$C$34="","",IF('Recurring Schedule'!$F$34="","",IF(OR($A136&lt;'Recurring Schedule'!$F$34,$A136&gt;'Recurring Schedule'!$P$34),"",IF(IF('Recurring Schedule'!$N$34&gt;0,MOD($A136-'Recurring Schedule'!$F$34,'Recurring Schedule'!$N$34)=0,IF('Recurring Schedule'!$O$34&gt;0,AND(DAY($A136)=MIN(DAY('Recurring Schedule'!$F$34),DAY(EOMONTH($A136,0))),MOD((YEAR($A136)-YEAR('Recurring Schedule'!$F$34))*12+MONTH($A136)-MONTH('Recurring Schedule'!$F$34),'Recurring Schedule'!$O$34)=0),IF('Recurring Schedule'!$E$34="Weekdays",WEEKDAY($A136,2)&lt;=5,$A136='Recurring Schedule'!$F$34))),29,""))))</f>
        <v/>
      </c>
      <c r="AE136">
        <f>IF('Recurring Schedule'!$C$35="","",IF('Recurring Schedule'!$F$35="","",IF(OR($A136&lt;'Recurring Schedule'!$F$35,$A136&gt;'Recurring Schedule'!$P$35),"",IF(IF('Recurring Schedule'!$N$35&gt;0,MOD($A136-'Recurring Schedule'!$F$35,'Recurring Schedule'!$N$35)=0,IF('Recurring Schedule'!$O$35&gt;0,AND(DAY($A136)=MIN(DAY('Recurring Schedule'!$F$35),DAY(EOMONTH($A136,0))),MOD((YEAR($A136)-YEAR('Recurring Schedule'!$F$35))*12+MONTH($A136)-MONTH('Recurring Schedule'!$F$35),'Recurring Schedule'!$O$35)=0),IF('Recurring Schedule'!$E$35="Weekdays",WEEKDAY($A136,2)&lt;=5,$A136='Recurring Schedule'!$F$35))),30,""))))</f>
        <v/>
      </c>
      <c r="AF136">
        <f>IF('Recurring Schedule'!$C$36="","",IF('Recurring Schedule'!$F$36="","",IF(OR($A136&lt;'Recurring Schedule'!$F$36,$A136&gt;'Recurring Schedule'!$P$36),"",IF(IF('Recurring Schedule'!$N$36&gt;0,MOD($A136-'Recurring Schedule'!$F$36,'Recurring Schedule'!$N$36)=0,IF('Recurring Schedule'!$O$36&gt;0,AND(DAY($A136)=MIN(DAY('Recurring Schedule'!$F$36),DAY(EOMONTH($A136,0))),MOD((YEAR($A136)-YEAR('Recurring Schedule'!$F$36))*12+MONTH($A136)-MONTH('Recurring Schedule'!$F$36),'Recurring Schedule'!$O$36)=0),IF('Recurring Schedule'!$E$36="Weekdays",WEEKDAY($A136,2)&lt;=5,$A136='Recurring Schedule'!$F$36))),31,""))))</f>
        <v/>
      </c>
      <c r="AG136">
        <f>IF('Recurring Schedule'!$C$37="","",IF('Recurring Schedule'!$F$37="","",IF(OR($A136&lt;'Recurring Schedule'!$F$37,$A136&gt;'Recurring Schedule'!$P$37),"",IF(IF('Recurring Schedule'!$N$37&gt;0,MOD($A136-'Recurring Schedule'!$F$37,'Recurring Schedule'!$N$37)=0,IF('Recurring Schedule'!$O$37&gt;0,AND(DAY($A136)=MIN(DAY('Recurring Schedule'!$F$37),DAY(EOMONTH($A136,0))),MOD((YEAR($A136)-YEAR('Recurring Schedule'!$F$37))*12+MONTH($A136)-MONTH('Recurring Schedule'!$F$37),'Recurring Schedule'!$O$37)=0),IF('Recurring Schedule'!$E$37="Weekdays",WEEKDAY($A136,2)&lt;=5,$A136='Recurring Schedule'!$F$37))),32,""))))</f>
        <v/>
      </c>
      <c r="AH136">
        <f>IF('Recurring Schedule'!$C$38="","",IF('Recurring Schedule'!$F$38="","",IF(OR($A136&lt;'Recurring Schedule'!$F$38,$A136&gt;'Recurring Schedule'!$P$38),"",IF(IF('Recurring Schedule'!$N$38&gt;0,MOD($A136-'Recurring Schedule'!$F$38,'Recurring Schedule'!$N$38)=0,IF('Recurring Schedule'!$O$38&gt;0,AND(DAY($A136)=MIN(DAY('Recurring Schedule'!$F$38),DAY(EOMONTH($A136,0))),MOD((YEAR($A136)-YEAR('Recurring Schedule'!$F$38))*12+MONTH($A136)-MONTH('Recurring Schedule'!$F$38),'Recurring Schedule'!$O$38)=0),IF('Recurring Schedule'!$E$38="Weekdays",WEEKDAY($A136,2)&lt;=5,$A136='Recurring Schedule'!$F$38))),33,""))))</f>
        <v/>
      </c>
      <c r="AI136">
        <f>IF('Recurring Schedule'!$C$39="","",IF('Recurring Schedule'!$F$39="","",IF(OR($A136&lt;'Recurring Schedule'!$F$39,$A136&gt;'Recurring Schedule'!$P$39),"",IF(IF('Recurring Schedule'!$N$39&gt;0,MOD($A136-'Recurring Schedule'!$F$39,'Recurring Schedule'!$N$39)=0,IF('Recurring Schedule'!$O$39&gt;0,AND(DAY($A136)=MIN(DAY('Recurring Schedule'!$F$39),DAY(EOMONTH($A136,0))),MOD((YEAR($A136)-YEAR('Recurring Schedule'!$F$39))*12+MONTH($A136)-MONTH('Recurring Schedule'!$F$39),'Recurring Schedule'!$O$39)=0),IF('Recurring Schedule'!$E$39="Weekdays",WEEKDAY($A136,2)&lt;=5,$A136='Recurring Schedule'!$F$39))),34,""))))</f>
        <v/>
      </c>
      <c r="AJ136">
        <f>IF('Recurring Schedule'!$C$40="","",IF('Recurring Schedule'!$F$40="","",IF(OR($A136&lt;'Recurring Schedule'!$F$40,$A136&gt;'Recurring Schedule'!$P$40),"",IF(IF('Recurring Schedule'!$N$40&gt;0,MOD($A136-'Recurring Schedule'!$F$40,'Recurring Schedule'!$N$40)=0,IF('Recurring Schedule'!$O$40&gt;0,AND(DAY($A136)=MIN(DAY('Recurring Schedule'!$F$40),DAY(EOMONTH($A136,0))),MOD((YEAR($A136)-YEAR('Recurring Schedule'!$F$40))*12+MONTH($A136)-MONTH('Recurring Schedule'!$F$40),'Recurring Schedule'!$O$40)=0),IF('Recurring Schedule'!$E$40="Weekdays",WEEKDAY($A136,2)&lt;=5,$A136='Recurring Schedule'!$F$40))),35,""))))</f>
        <v/>
      </c>
      <c r="AK136">
        <f>IF('Recurring Schedule'!$C$41="","",IF('Recurring Schedule'!$F$41="","",IF(OR($A136&lt;'Recurring Schedule'!$F$41,$A136&gt;'Recurring Schedule'!$P$41),"",IF(IF('Recurring Schedule'!$N$41&gt;0,MOD($A136-'Recurring Schedule'!$F$41,'Recurring Schedule'!$N$41)=0,IF('Recurring Schedule'!$O$41&gt;0,AND(DAY($A136)=MIN(DAY('Recurring Schedule'!$F$41),DAY(EOMONTH($A136,0))),MOD((YEAR($A136)-YEAR('Recurring Schedule'!$F$41))*12+MONTH($A136)-MONTH('Recurring Schedule'!$F$41),'Recurring Schedule'!$O$41)=0),IF('Recurring Schedule'!$E$41="Weekdays",WEEKDAY($A136,2)&lt;=5,$A136='Recurring Schedule'!$F$41))),36,""))))</f>
        <v/>
      </c>
      <c r="AL136">
        <f>IF('Recurring Schedule'!$C$42="","",IF('Recurring Schedule'!$F$42="","",IF(OR($A136&lt;'Recurring Schedule'!$F$42,$A136&gt;'Recurring Schedule'!$P$42),"",IF(IF('Recurring Schedule'!$N$42&gt;0,MOD($A136-'Recurring Schedule'!$F$42,'Recurring Schedule'!$N$42)=0,IF('Recurring Schedule'!$O$42&gt;0,AND(DAY($A136)=MIN(DAY('Recurring Schedule'!$F$42),DAY(EOMONTH($A136,0))),MOD((YEAR($A136)-YEAR('Recurring Schedule'!$F$42))*12+MONTH($A136)-MONTH('Recurring Schedule'!$F$42),'Recurring Schedule'!$O$42)=0),IF('Recurring Schedule'!$E$42="Weekdays",WEEKDAY($A136,2)&lt;=5,$A136='Recurring Schedule'!$F$42))),37,""))))</f>
        <v/>
      </c>
      <c r="AM136">
        <f>IF('Recurring Schedule'!$C$43="","",IF('Recurring Schedule'!$F$43="","",IF(OR($A136&lt;'Recurring Schedule'!$F$43,$A136&gt;'Recurring Schedule'!$P$43),"",IF(IF('Recurring Schedule'!$N$43&gt;0,MOD($A136-'Recurring Schedule'!$F$43,'Recurring Schedule'!$N$43)=0,IF('Recurring Schedule'!$O$43&gt;0,AND(DAY($A136)=MIN(DAY('Recurring Schedule'!$F$43),DAY(EOMONTH($A136,0))),MOD((YEAR($A136)-YEAR('Recurring Schedule'!$F$43))*12+MONTH($A136)-MONTH('Recurring Schedule'!$F$43),'Recurring Schedule'!$O$43)=0),IF('Recurring Schedule'!$E$43="Weekdays",WEEKDAY($A136,2)&lt;=5,$A136='Recurring Schedule'!$F$43))),38,""))))</f>
        <v/>
      </c>
      <c r="AN136">
        <f>IF('Recurring Schedule'!$C$44="","",IF('Recurring Schedule'!$F$44="","",IF(OR($A136&lt;'Recurring Schedule'!$F$44,$A136&gt;'Recurring Schedule'!$P$44),"",IF(IF('Recurring Schedule'!$N$44&gt;0,MOD($A136-'Recurring Schedule'!$F$44,'Recurring Schedule'!$N$44)=0,IF('Recurring Schedule'!$O$44&gt;0,AND(DAY($A136)=MIN(DAY('Recurring Schedule'!$F$44),DAY(EOMONTH($A136,0))),MOD((YEAR($A136)-YEAR('Recurring Schedule'!$F$44))*12+MONTH($A136)-MONTH('Recurring Schedule'!$F$44),'Recurring Schedule'!$O$44)=0),IF('Recurring Schedule'!$E$44="Weekdays",WEEKDAY($A136,2)&lt;=5,$A136='Recurring Schedule'!$F$44))),39,""))))</f>
        <v/>
      </c>
      <c r="AO136">
        <f>IF('Recurring Schedule'!$C$45="","",IF('Recurring Schedule'!$F$45="","",IF(OR($A136&lt;'Recurring Schedule'!$F$45,$A136&gt;'Recurring Schedule'!$P$45),"",IF(IF('Recurring Schedule'!$N$45&gt;0,MOD($A136-'Recurring Schedule'!$F$45,'Recurring Schedule'!$N$45)=0,IF('Recurring Schedule'!$O$45&gt;0,AND(DAY($A136)=MIN(DAY('Recurring Schedule'!$F$45),DAY(EOMONTH($A136,0))),MOD((YEAR($A136)-YEAR('Recurring Schedule'!$F$45))*12+MONTH($A136)-MONTH('Recurring Schedule'!$F$45),'Recurring Schedule'!$O$45)=0),IF('Recurring Schedule'!$E$45="Weekdays",WEEKDAY($A136,2)&lt;=5,$A136='Recurring Schedule'!$F$45))),40,""))))</f>
        <v/>
      </c>
      <c r="AP136">
        <f>COUNT(B136:AO136)</f>
        <v/>
      </c>
      <c r="AQ136">
        <f>AQ135+AP135</f>
        <v/>
      </c>
      <c r="AS136" t="inlineStr">
        <is>
          <t>R</t>
        </is>
      </c>
      <c r="AT136" t="n">
        <v>140</v>
      </c>
      <c r="AU136">
        <f>'Recurring Log'!C140&amp;""</f>
        <v/>
      </c>
      <c r="AV136">
        <f>'Recurring Log'!D140&amp;""</f>
        <v/>
      </c>
      <c r="AW136">
        <f>IF('Recurring Log'!E140="","",'Recurring Log'!E140)</f>
        <v/>
      </c>
      <c r="AX136">
        <f>IF('Recurring Log'!G140="","",'Recurring Log'!G140)</f>
        <v/>
      </c>
      <c r="AY136">
        <f>IF('Recurring Log'!H140="","",'Recurring Log'!H140)</f>
        <v/>
      </c>
      <c r="AZ136">
        <f>IF(AU136="","",IF('Recurring Log'!J140="","Not Started",'Recurring Log'!J140))</f>
        <v/>
      </c>
      <c r="BA136">
        <f>'Recurring Log'!L140&amp;""</f>
        <v/>
      </c>
      <c r="BB136">
        <f>'Recurring Log'!M140&amp;""</f>
        <v/>
      </c>
      <c r="BC136">
        <f>'Recurring Log'!N140&amp;""</f>
        <v/>
      </c>
      <c r="BD136">
        <f>'Recurring Log'!O140&amp;""</f>
        <v/>
      </c>
      <c r="BE136">
        <f>IF('Recurring Log'!K140="","",'Recurring Log'!K140)</f>
        <v/>
      </c>
      <c r="BF136">
        <f>IFERROR(MATCH(BA136,Setup!$L$6:$L$9,0),5)</f>
        <v/>
      </c>
      <c r="BG136">
        <f>IF(OR(AZ136="Done",AZ136="Cancelled"),1,0)</f>
        <v/>
      </c>
      <c r="BH136">
        <f>IF(AND(AU136&lt;&gt;"",ISNUMBER(AW136)),1,0)</f>
        <v/>
      </c>
      <c r="BI136">
        <f>IF(BH136=0,0,IF(AND(AW136&gt;='Tasks Filter'!$F$3,AW136&lt;='Tasks Filter'!$F$4,OR('Tasks Filter'!$I$3="",ISNUMBER(SEARCH('Tasks Filter'!$I$3,AU136))),OR('Tasks Filter'!$I$4="",BF136=IFERROR(MATCH('Tasks Filter'!$I$4,Setup!$L$6:$L$9,0),0)),OR('Tasks Filter'!$I$5="Both",AND('Tasks Filter'!$I$5="Yes",BB136="✓"),AND('Tasks Filter'!$I$5="No",BB136&lt;&gt;"✓")),OR('Tasks Filter'!$L$3="",AV136='Tasks Filter'!$L$3),OR('Tasks Filter'!$L$4="",AZ136='Tasks Filter'!$L$4),OR('Tasks Filter'!$L$5="",BC136='Tasks Filter'!$L$5),OR('Tasks Filter'!$O$3="",BD136='Tasks Filter'!$O$3),OR('Tasks Filter'!$O$4="Yes",BG136=0)),1,0))</f>
        <v/>
      </c>
      <c r="BJ136">
        <f>IF(BH136=0,"",IF('Tasks Filter'!$F$6="Descending",-1,1)*CHOOSE(MATCH('Tasks Filter'!$F$5,Lists!$G$2:$G$6,0),AW136,BF136,IFERROR(MATCH(AV136,Setup!$F$6:$F$15,0),99),IFERROR(MATCH(BC136,Setup!$H$6:$H$15,0),99),IFERROR(MATCH(AZ136,Setup!$J$6:$J$11,0),99))*1E+9+(AW136-40000)*10000+135)</f>
        <v/>
      </c>
      <c r="BK136">
        <f>IF(BI136=1,BJ136,"")</f>
        <v/>
      </c>
      <c r="BL136">
        <f>IF(AND(BH136=1,BG136=0,N(AW136)&lt;Setup!$D$7),(AW136-40000)*10000+135,"")</f>
        <v/>
      </c>
      <c r="BM136">
        <f>IF(AND(BH136=1,AZ136&lt;&gt;"Cancelled",N(AW136)&gt;=Dashboard!$AB$3,N(AW136)&lt;=Dashboard!$AB$3+6),(AW136-40000)*100000+BF136*10000+135,"")</f>
        <v/>
      </c>
      <c r="BN136">
        <f>IF(AND(BH136=1,AZ136&lt;&gt;"Cancelled"),BF136*10000+135,"")</f>
        <v/>
      </c>
    </row>
    <row r="137">
      <c r="A137">
        <f>Setup!$D$5+135</f>
        <v/>
      </c>
      <c r="B137">
        <f>IF('Recurring Schedule'!$C$6="","",IF('Recurring Schedule'!$F$6="","",IF(OR($A137&lt;'Recurring Schedule'!$F$6,$A137&gt;'Recurring Schedule'!$P$6),"",IF(IF('Recurring Schedule'!$N$6&gt;0,MOD($A137-'Recurring Schedule'!$F$6,'Recurring Schedule'!$N$6)=0,IF('Recurring Schedule'!$O$6&gt;0,AND(DAY($A137)=MIN(DAY('Recurring Schedule'!$F$6),DAY(EOMONTH($A137,0))),MOD((YEAR($A137)-YEAR('Recurring Schedule'!$F$6))*12+MONTH($A137)-MONTH('Recurring Schedule'!$F$6),'Recurring Schedule'!$O$6)=0),IF('Recurring Schedule'!$E$6="Weekdays",WEEKDAY($A137,2)&lt;=5,$A137='Recurring Schedule'!$F$6))),1,""))))</f>
        <v/>
      </c>
      <c r="C137">
        <f>IF('Recurring Schedule'!$C$7="","",IF('Recurring Schedule'!$F$7="","",IF(OR($A137&lt;'Recurring Schedule'!$F$7,$A137&gt;'Recurring Schedule'!$P$7),"",IF(IF('Recurring Schedule'!$N$7&gt;0,MOD($A137-'Recurring Schedule'!$F$7,'Recurring Schedule'!$N$7)=0,IF('Recurring Schedule'!$O$7&gt;0,AND(DAY($A137)=MIN(DAY('Recurring Schedule'!$F$7),DAY(EOMONTH($A137,0))),MOD((YEAR($A137)-YEAR('Recurring Schedule'!$F$7))*12+MONTH($A137)-MONTH('Recurring Schedule'!$F$7),'Recurring Schedule'!$O$7)=0),IF('Recurring Schedule'!$E$7="Weekdays",WEEKDAY($A137,2)&lt;=5,$A137='Recurring Schedule'!$F$7))),2,""))))</f>
        <v/>
      </c>
      <c r="D137">
        <f>IF('Recurring Schedule'!$C$8="","",IF('Recurring Schedule'!$F$8="","",IF(OR($A137&lt;'Recurring Schedule'!$F$8,$A137&gt;'Recurring Schedule'!$P$8),"",IF(IF('Recurring Schedule'!$N$8&gt;0,MOD($A137-'Recurring Schedule'!$F$8,'Recurring Schedule'!$N$8)=0,IF('Recurring Schedule'!$O$8&gt;0,AND(DAY($A137)=MIN(DAY('Recurring Schedule'!$F$8),DAY(EOMONTH($A137,0))),MOD((YEAR($A137)-YEAR('Recurring Schedule'!$F$8))*12+MONTH($A137)-MONTH('Recurring Schedule'!$F$8),'Recurring Schedule'!$O$8)=0),IF('Recurring Schedule'!$E$8="Weekdays",WEEKDAY($A137,2)&lt;=5,$A137='Recurring Schedule'!$F$8))),3,""))))</f>
        <v/>
      </c>
      <c r="E137">
        <f>IF('Recurring Schedule'!$C$9="","",IF('Recurring Schedule'!$F$9="","",IF(OR($A137&lt;'Recurring Schedule'!$F$9,$A137&gt;'Recurring Schedule'!$P$9),"",IF(IF('Recurring Schedule'!$N$9&gt;0,MOD($A137-'Recurring Schedule'!$F$9,'Recurring Schedule'!$N$9)=0,IF('Recurring Schedule'!$O$9&gt;0,AND(DAY($A137)=MIN(DAY('Recurring Schedule'!$F$9),DAY(EOMONTH($A137,0))),MOD((YEAR($A137)-YEAR('Recurring Schedule'!$F$9))*12+MONTH($A137)-MONTH('Recurring Schedule'!$F$9),'Recurring Schedule'!$O$9)=0),IF('Recurring Schedule'!$E$9="Weekdays",WEEKDAY($A137,2)&lt;=5,$A137='Recurring Schedule'!$F$9))),4,""))))</f>
        <v/>
      </c>
      <c r="F137">
        <f>IF('Recurring Schedule'!$C$10="","",IF('Recurring Schedule'!$F$10="","",IF(OR($A137&lt;'Recurring Schedule'!$F$10,$A137&gt;'Recurring Schedule'!$P$10),"",IF(IF('Recurring Schedule'!$N$10&gt;0,MOD($A137-'Recurring Schedule'!$F$10,'Recurring Schedule'!$N$10)=0,IF('Recurring Schedule'!$O$10&gt;0,AND(DAY($A137)=MIN(DAY('Recurring Schedule'!$F$10),DAY(EOMONTH($A137,0))),MOD((YEAR($A137)-YEAR('Recurring Schedule'!$F$10))*12+MONTH($A137)-MONTH('Recurring Schedule'!$F$10),'Recurring Schedule'!$O$10)=0),IF('Recurring Schedule'!$E$10="Weekdays",WEEKDAY($A137,2)&lt;=5,$A137='Recurring Schedule'!$F$10))),5,""))))</f>
        <v/>
      </c>
      <c r="G137">
        <f>IF('Recurring Schedule'!$C$11="","",IF('Recurring Schedule'!$F$11="","",IF(OR($A137&lt;'Recurring Schedule'!$F$11,$A137&gt;'Recurring Schedule'!$P$11),"",IF(IF('Recurring Schedule'!$N$11&gt;0,MOD($A137-'Recurring Schedule'!$F$11,'Recurring Schedule'!$N$11)=0,IF('Recurring Schedule'!$O$11&gt;0,AND(DAY($A137)=MIN(DAY('Recurring Schedule'!$F$11),DAY(EOMONTH($A137,0))),MOD((YEAR($A137)-YEAR('Recurring Schedule'!$F$11))*12+MONTH($A137)-MONTH('Recurring Schedule'!$F$11),'Recurring Schedule'!$O$11)=0),IF('Recurring Schedule'!$E$11="Weekdays",WEEKDAY($A137,2)&lt;=5,$A137='Recurring Schedule'!$F$11))),6,""))))</f>
        <v/>
      </c>
      <c r="H137">
        <f>IF('Recurring Schedule'!$C$12="","",IF('Recurring Schedule'!$F$12="","",IF(OR($A137&lt;'Recurring Schedule'!$F$12,$A137&gt;'Recurring Schedule'!$P$12),"",IF(IF('Recurring Schedule'!$N$12&gt;0,MOD($A137-'Recurring Schedule'!$F$12,'Recurring Schedule'!$N$12)=0,IF('Recurring Schedule'!$O$12&gt;0,AND(DAY($A137)=MIN(DAY('Recurring Schedule'!$F$12),DAY(EOMONTH($A137,0))),MOD((YEAR($A137)-YEAR('Recurring Schedule'!$F$12))*12+MONTH($A137)-MONTH('Recurring Schedule'!$F$12),'Recurring Schedule'!$O$12)=0),IF('Recurring Schedule'!$E$12="Weekdays",WEEKDAY($A137,2)&lt;=5,$A137='Recurring Schedule'!$F$12))),7,""))))</f>
        <v/>
      </c>
      <c r="I137">
        <f>IF('Recurring Schedule'!$C$13="","",IF('Recurring Schedule'!$F$13="","",IF(OR($A137&lt;'Recurring Schedule'!$F$13,$A137&gt;'Recurring Schedule'!$P$13),"",IF(IF('Recurring Schedule'!$N$13&gt;0,MOD($A137-'Recurring Schedule'!$F$13,'Recurring Schedule'!$N$13)=0,IF('Recurring Schedule'!$O$13&gt;0,AND(DAY($A137)=MIN(DAY('Recurring Schedule'!$F$13),DAY(EOMONTH($A137,0))),MOD((YEAR($A137)-YEAR('Recurring Schedule'!$F$13))*12+MONTH($A137)-MONTH('Recurring Schedule'!$F$13),'Recurring Schedule'!$O$13)=0),IF('Recurring Schedule'!$E$13="Weekdays",WEEKDAY($A137,2)&lt;=5,$A137='Recurring Schedule'!$F$13))),8,""))))</f>
        <v/>
      </c>
      <c r="J137">
        <f>IF('Recurring Schedule'!$C$14="","",IF('Recurring Schedule'!$F$14="","",IF(OR($A137&lt;'Recurring Schedule'!$F$14,$A137&gt;'Recurring Schedule'!$P$14),"",IF(IF('Recurring Schedule'!$N$14&gt;0,MOD($A137-'Recurring Schedule'!$F$14,'Recurring Schedule'!$N$14)=0,IF('Recurring Schedule'!$O$14&gt;0,AND(DAY($A137)=MIN(DAY('Recurring Schedule'!$F$14),DAY(EOMONTH($A137,0))),MOD((YEAR($A137)-YEAR('Recurring Schedule'!$F$14))*12+MONTH($A137)-MONTH('Recurring Schedule'!$F$14),'Recurring Schedule'!$O$14)=0),IF('Recurring Schedule'!$E$14="Weekdays",WEEKDAY($A137,2)&lt;=5,$A137='Recurring Schedule'!$F$14))),9,""))))</f>
        <v/>
      </c>
      <c r="K137">
        <f>IF('Recurring Schedule'!$C$15="","",IF('Recurring Schedule'!$F$15="","",IF(OR($A137&lt;'Recurring Schedule'!$F$15,$A137&gt;'Recurring Schedule'!$P$15),"",IF(IF('Recurring Schedule'!$N$15&gt;0,MOD($A137-'Recurring Schedule'!$F$15,'Recurring Schedule'!$N$15)=0,IF('Recurring Schedule'!$O$15&gt;0,AND(DAY($A137)=MIN(DAY('Recurring Schedule'!$F$15),DAY(EOMONTH($A137,0))),MOD((YEAR($A137)-YEAR('Recurring Schedule'!$F$15))*12+MONTH($A137)-MONTH('Recurring Schedule'!$F$15),'Recurring Schedule'!$O$15)=0),IF('Recurring Schedule'!$E$15="Weekdays",WEEKDAY($A137,2)&lt;=5,$A137='Recurring Schedule'!$F$15))),10,""))))</f>
        <v/>
      </c>
      <c r="L137">
        <f>IF('Recurring Schedule'!$C$16="","",IF('Recurring Schedule'!$F$16="","",IF(OR($A137&lt;'Recurring Schedule'!$F$16,$A137&gt;'Recurring Schedule'!$P$16),"",IF(IF('Recurring Schedule'!$N$16&gt;0,MOD($A137-'Recurring Schedule'!$F$16,'Recurring Schedule'!$N$16)=0,IF('Recurring Schedule'!$O$16&gt;0,AND(DAY($A137)=MIN(DAY('Recurring Schedule'!$F$16),DAY(EOMONTH($A137,0))),MOD((YEAR($A137)-YEAR('Recurring Schedule'!$F$16))*12+MONTH($A137)-MONTH('Recurring Schedule'!$F$16),'Recurring Schedule'!$O$16)=0),IF('Recurring Schedule'!$E$16="Weekdays",WEEKDAY($A137,2)&lt;=5,$A137='Recurring Schedule'!$F$16))),11,""))))</f>
        <v/>
      </c>
      <c r="M137">
        <f>IF('Recurring Schedule'!$C$17="","",IF('Recurring Schedule'!$F$17="","",IF(OR($A137&lt;'Recurring Schedule'!$F$17,$A137&gt;'Recurring Schedule'!$P$17),"",IF(IF('Recurring Schedule'!$N$17&gt;0,MOD($A137-'Recurring Schedule'!$F$17,'Recurring Schedule'!$N$17)=0,IF('Recurring Schedule'!$O$17&gt;0,AND(DAY($A137)=MIN(DAY('Recurring Schedule'!$F$17),DAY(EOMONTH($A137,0))),MOD((YEAR($A137)-YEAR('Recurring Schedule'!$F$17))*12+MONTH($A137)-MONTH('Recurring Schedule'!$F$17),'Recurring Schedule'!$O$17)=0),IF('Recurring Schedule'!$E$17="Weekdays",WEEKDAY($A137,2)&lt;=5,$A137='Recurring Schedule'!$F$17))),12,""))))</f>
        <v/>
      </c>
      <c r="N137">
        <f>IF('Recurring Schedule'!$C$18="","",IF('Recurring Schedule'!$F$18="","",IF(OR($A137&lt;'Recurring Schedule'!$F$18,$A137&gt;'Recurring Schedule'!$P$18),"",IF(IF('Recurring Schedule'!$N$18&gt;0,MOD($A137-'Recurring Schedule'!$F$18,'Recurring Schedule'!$N$18)=0,IF('Recurring Schedule'!$O$18&gt;0,AND(DAY($A137)=MIN(DAY('Recurring Schedule'!$F$18),DAY(EOMONTH($A137,0))),MOD((YEAR($A137)-YEAR('Recurring Schedule'!$F$18))*12+MONTH($A137)-MONTH('Recurring Schedule'!$F$18),'Recurring Schedule'!$O$18)=0),IF('Recurring Schedule'!$E$18="Weekdays",WEEKDAY($A137,2)&lt;=5,$A137='Recurring Schedule'!$F$18))),13,""))))</f>
        <v/>
      </c>
      <c r="O137">
        <f>IF('Recurring Schedule'!$C$19="","",IF('Recurring Schedule'!$F$19="","",IF(OR($A137&lt;'Recurring Schedule'!$F$19,$A137&gt;'Recurring Schedule'!$P$19),"",IF(IF('Recurring Schedule'!$N$19&gt;0,MOD($A137-'Recurring Schedule'!$F$19,'Recurring Schedule'!$N$19)=0,IF('Recurring Schedule'!$O$19&gt;0,AND(DAY($A137)=MIN(DAY('Recurring Schedule'!$F$19),DAY(EOMONTH($A137,0))),MOD((YEAR($A137)-YEAR('Recurring Schedule'!$F$19))*12+MONTH($A137)-MONTH('Recurring Schedule'!$F$19),'Recurring Schedule'!$O$19)=0),IF('Recurring Schedule'!$E$19="Weekdays",WEEKDAY($A137,2)&lt;=5,$A137='Recurring Schedule'!$F$19))),14,""))))</f>
        <v/>
      </c>
      <c r="P137">
        <f>IF('Recurring Schedule'!$C$20="","",IF('Recurring Schedule'!$F$20="","",IF(OR($A137&lt;'Recurring Schedule'!$F$20,$A137&gt;'Recurring Schedule'!$P$20),"",IF(IF('Recurring Schedule'!$N$20&gt;0,MOD($A137-'Recurring Schedule'!$F$20,'Recurring Schedule'!$N$20)=0,IF('Recurring Schedule'!$O$20&gt;0,AND(DAY($A137)=MIN(DAY('Recurring Schedule'!$F$20),DAY(EOMONTH($A137,0))),MOD((YEAR($A137)-YEAR('Recurring Schedule'!$F$20))*12+MONTH($A137)-MONTH('Recurring Schedule'!$F$20),'Recurring Schedule'!$O$20)=0),IF('Recurring Schedule'!$E$20="Weekdays",WEEKDAY($A137,2)&lt;=5,$A137='Recurring Schedule'!$F$20))),15,""))))</f>
        <v/>
      </c>
      <c r="Q137">
        <f>IF('Recurring Schedule'!$C$21="","",IF('Recurring Schedule'!$F$21="","",IF(OR($A137&lt;'Recurring Schedule'!$F$21,$A137&gt;'Recurring Schedule'!$P$21),"",IF(IF('Recurring Schedule'!$N$21&gt;0,MOD($A137-'Recurring Schedule'!$F$21,'Recurring Schedule'!$N$21)=0,IF('Recurring Schedule'!$O$21&gt;0,AND(DAY($A137)=MIN(DAY('Recurring Schedule'!$F$21),DAY(EOMONTH($A137,0))),MOD((YEAR($A137)-YEAR('Recurring Schedule'!$F$21))*12+MONTH($A137)-MONTH('Recurring Schedule'!$F$21),'Recurring Schedule'!$O$21)=0),IF('Recurring Schedule'!$E$21="Weekdays",WEEKDAY($A137,2)&lt;=5,$A137='Recurring Schedule'!$F$21))),16,""))))</f>
        <v/>
      </c>
      <c r="R137">
        <f>IF('Recurring Schedule'!$C$22="","",IF('Recurring Schedule'!$F$22="","",IF(OR($A137&lt;'Recurring Schedule'!$F$22,$A137&gt;'Recurring Schedule'!$P$22),"",IF(IF('Recurring Schedule'!$N$22&gt;0,MOD($A137-'Recurring Schedule'!$F$22,'Recurring Schedule'!$N$22)=0,IF('Recurring Schedule'!$O$22&gt;0,AND(DAY($A137)=MIN(DAY('Recurring Schedule'!$F$22),DAY(EOMONTH($A137,0))),MOD((YEAR($A137)-YEAR('Recurring Schedule'!$F$22))*12+MONTH($A137)-MONTH('Recurring Schedule'!$F$22),'Recurring Schedule'!$O$22)=0),IF('Recurring Schedule'!$E$22="Weekdays",WEEKDAY($A137,2)&lt;=5,$A137='Recurring Schedule'!$F$22))),17,""))))</f>
        <v/>
      </c>
      <c r="S137">
        <f>IF('Recurring Schedule'!$C$23="","",IF('Recurring Schedule'!$F$23="","",IF(OR($A137&lt;'Recurring Schedule'!$F$23,$A137&gt;'Recurring Schedule'!$P$23),"",IF(IF('Recurring Schedule'!$N$23&gt;0,MOD($A137-'Recurring Schedule'!$F$23,'Recurring Schedule'!$N$23)=0,IF('Recurring Schedule'!$O$23&gt;0,AND(DAY($A137)=MIN(DAY('Recurring Schedule'!$F$23),DAY(EOMONTH($A137,0))),MOD((YEAR($A137)-YEAR('Recurring Schedule'!$F$23))*12+MONTH($A137)-MONTH('Recurring Schedule'!$F$23),'Recurring Schedule'!$O$23)=0),IF('Recurring Schedule'!$E$23="Weekdays",WEEKDAY($A137,2)&lt;=5,$A137='Recurring Schedule'!$F$23))),18,""))))</f>
        <v/>
      </c>
      <c r="T137">
        <f>IF('Recurring Schedule'!$C$24="","",IF('Recurring Schedule'!$F$24="","",IF(OR($A137&lt;'Recurring Schedule'!$F$24,$A137&gt;'Recurring Schedule'!$P$24),"",IF(IF('Recurring Schedule'!$N$24&gt;0,MOD($A137-'Recurring Schedule'!$F$24,'Recurring Schedule'!$N$24)=0,IF('Recurring Schedule'!$O$24&gt;0,AND(DAY($A137)=MIN(DAY('Recurring Schedule'!$F$24),DAY(EOMONTH($A137,0))),MOD((YEAR($A137)-YEAR('Recurring Schedule'!$F$24))*12+MONTH($A137)-MONTH('Recurring Schedule'!$F$24),'Recurring Schedule'!$O$24)=0),IF('Recurring Schedule'!$E$24="Weekdays",WEEKDAY($A137,2)&lt;=5,$A137='Recurring Schedule'!$F$24))),19,""))))</f>
        <v/>
      </c>
      <c r="U137">
        <f>IF('Recurring Schedule'!$C$25="","",IF('Recurring Schedule'!$F$25="","",IF(OR($A137&lt;'Recurring Schedule'!$F$25,$A137&gt;'Recurring Schedule'!$P$25),"",IF(IF('Recurring Schedule'!$N$25&gt;0,MOD($A137-'Recurring Schedule'!$F$25,'Recurring Schedule'!$N$25)=0,IF('Recurring Schedule'!$O$25&gt;0,AND(DAY($A137)=MIN(DAY('Recurring Schedule'!$F$25),DAY(EOMONTH($A137,0))),MOD((YEAR($A137)-YEAR('Recurring Schedule'!$F$25))*12+MONTH($A137)-MONTH('Recurring Schedule'!$F$25),'Recurring Schedule'!$O$25)=0),IF('Recurring Schedule'!$E$25="Weekdays",WEEKDAY($A137,2)&lt;=5,$A137='Recurring Schedule'!$F$25))),20,""))))</f>
        <v/>
      </c>
      <c r="V137">
        <f>IF('Recurring Schedule'!$C$26="","",IF('Recurring Schedule'!$F$26="","",IF(OR($A137&lt;'Recurring Schedule'!$F$26,$A137&gt;'Recurring Schedule'!$P$26),"",IF(IF('Recurring Schedule'!$N$26&gt;0,MOD($A137-'Recurring Schedule'!$F$26,'Recurring Schedule'!$N$26)=0,IF('Recurring Schedule'!$O$26&gt;0,AND(DAY($A137)=MIN(DAY('Recurring Schedule'!$F$26),DAY(EOMONTH($A137,0))),MOD((YEAR($A137)-YEAR('Recurring Schedule'!$F$26))*12+MONTH($A137)-MONTH('Recurring Schedule'!$F$26),'Recurring Schedule'!$O$26)=0),IF('Recurring Schedule'!$E$26="Weekdays",WEEKDAY($A137,2)&lt;=5,$A137='Recurring Schedule'!$F$26))),21,""))))</f>
        <v/>
      </c>
      <c r="W137">
        <f>IF('Recurring Schedule'!$C$27="","",IF('Recurring Schedule'!$F$27="","",IF(OR($A137&lt;'Recurring Schedule'!$F$27,$A137&gt;'Recurring Schedule'!$P$27),"",IF(IF('Recurring Schedule'!$N$27&gt;0,MOD($A137-'Recurring Schedule'!$F$27,'Recurring Schedule'!$N$27)=0,IF('Recurring Schedule'!$O$27&gt;0,AND(DAY($A137)=MIN(DAY('Recurring Schedule'!$F$27),DAY(EOMONTH($A137,0))),MOD((YEAR($A137)-YEAR('Recurring Schedule'!$F$27))*12+MONTH($A137)-MONTH('Recurring Schedule'!$F$27),'Recurring Schedule'!$O$27)=0),IF('Recurring Schedule'!$E$27="Weekdays",WEEKDAY($A137,2)&lt;=5,$A137='Recurring Schedule'!$F$27))),22,""))))</f>
        <v/>
      </c>
      <c r="X137">
        <f>IF('Recurring Schedule'!$C$28="","",IF('Recurring Schedule'!$F$28="","",IF(OR($A137&lt;'Recurring Schedule'!$F$28,$A137&gt;'Recurring Schedule'!$P$28),"",IF(IF('Recurring Schedule'!$N$28&gt;0,MOD($A137-'Recurring Schedule'!$F$28,'Recurring Schedule'!$N$28)=0,IF('Recurring Schedule'!$O$28&gt;0,AND(DAY($A137)=MIN(DAY('Recurring Schedule'!$F$28),DAY(EOMONTH($A137,0))),MOD((YEAR($A137)-YEAR('Recurring Schedule'!$F$28))*12+MONTH($A137)-MONTH('Recurring Schedule'!$F$28),'Recurring Schedule'!$O$28)=0),IF('Recurring Schedule'!$E$28="Weekdays",WEEKDAY($A137,2)&lt;=5,$A137='Recurring Schedule'!$F$28))),23,""))))</f>
        <v/>
      </c>
      <c r="Y137">
        <f>IF('Recurring Schedule'!$C$29="","",IF('Recurring Schedule'!$F$29="","",IF(OR($A137&lt;'Recurring Schedule'!$F$29,$A137&gt;'Recurring Schedule'!$P$29),"",IF(IF('Recurring Schedule'!$N$29&gt;0,MOD($A137-'Recurring Schedule'!$F$29,'Recurring Schedule'!$N$29)=0,IF('Recurring Schedule'!$O$29&gt;0,AND(DAY($A137)=MIN(DAY('Recurring Schedule'!$F$29),DAY(EOMONTH($A137,0))),MOD((YEAR($A137)-YEAR('Recurring Schedule'!$F$29))*12+MONTH($A137)-MONTH('Recurring Schedule'!$F$29),'Recurring Schedule'!$O$29)=0),IF('Recurring Schedule'!$E$29="Weekdays",WEEKDAY($A137,2)&lt;=5,$A137='Recurring Schedule'!$F$29))),24,""))))</f>
        <v/>
      </c>
      <c r="Z137">
        <f>IF('Recurring Schedule'!$C$30="","",IF('Recurring Schedule'!$F$30="","",IF(OR($A137&lt;'Recurring Schedule'!$F$30,$A137&gt;'Recurring Schedule'!$P$30),"",IF(IF('Recurring Schedule'!$N$30&gt;0,MOD($A137-'Recurring Schedule'!$F$30,'Recurring Schedule'!$N$30)=0,IF('Recurring Schedule'!$O$30&gt;0,AND(DAY($A137)=MIN(DAY('Recurring Schedule'!$F$30),DAY(EOMONTH($A137,0))),MOD((YEAR($A137)-YEAR('Recurring Schedule'!$F$30))*12+MONTH($A137)-MONTH('Recurring Schedule'!$F$30),'Recurring Schedule'!$O$30)=0),IF('Recurring Schedule'!$E$30="Weekdays",WEEKDAY($A137,2)&lt;=5,$A137='Recurring Schedule'!$F$30))),25,""))))</f>
        <v/>
      </c>
      <c r="AA137">
        <f>IF('Recurring Schedule'!$C$31="","",IF('Recurring Schedule'!$F$31="","",IF(OR($A137&lt;'Recurring Schedule'!$F$31,$A137&gt;'Recurring Schedule'!$P$31),"",IF(IF('Recurring Schedule'!$N$31&gt;0,MOD($A137-'Recurring Schedule'!$F$31,'Recurring Schedule'!$N$31)=0,IF('Recurring Schedule'!$O$31&gt;0,AND(DAY($A137)=MIN(DAY('Recurring Schedule'!$F$31),DAY(EOMONTH($A137,0))),MOD((YEAR($A137)-YEAR('Recurring Schedule'!$F$31))*12+MONTH($A137)-MONTH('Recurring Schedule'!$F$31),'Recurring Schedule'!$O$31)=0),IF('Recurring Schedule'!$E$31="Weekdays",WEEKDAY($A137,2)&lt;=5,$A137='Recurring Schedule'!$F$31))),26,""))))</f>
        <v/>
      </c>
      <c r="AB137">
        <f>IF('Recurring Schedule'!$C$32="","",IF('Recurring Schedule'!$F$32="","",IF(OR($A137&lt;'Recurring Schedule'!$F$32,$A137&gt;'Recurring Schedule'!$P$32),"",IF(IF('Recurring Schedule'!$N$32&gt;0,MOD($A137-'Recurring Schedule'!$F$32,'Recurring Schedule'!$N$32)=0,IF('Recurring Schedule'!$O$32&gt;0,AND(DAY($A137)=MIN(DAY('Recurring Schedule'!$F$32),DAY(EOMONTH($A137,0))),MOD((YEAR($A137)-YEAR('Recurring Schedule'!$F$32))*12+MONTH($A137)-MONTH('Recurring Schedule'!$F$32),'Recurring Schedule'!$O$32)=0),IF('Recurring Schedule'!$E$32="Weekdays",WEEKDAY($A137,2)&lt;=5,$A137='Recurring Schedule'!$F$32))),27,""))))</f>
        <v/>
      </c>
      <c r="AC137">
        <f>IF('Recurring Schedule'!$C$33="","",IF('Recurring Schedule'!$F$33="","",IF(OR($A137&lt;'Recurring Schedule'!$F$33,$A137&gt;'Recurring Schedule'!$P$33),"",IF(IF('Recurring Schedule'!$N$33&gt;0,MOD($A137-'Recurring Schedule'!$F$33,'Recurring Schedule'!$N$33)=0,IF('Recurring Schedule'!$O$33&gt;0,AND(DAY($A137)=MIN(DAY('Recurring Schedule'!$F$33),DAY(EOMONTH($A137,0))),MOD((YEAR($A137)-YEAR('Recurring Schedule'!$F$33))*12+MONTH($A137)-MONTH('Recurring Schedule'!$F$33),'Recurring Schedule'!$O$33)=0),IF('Recurring Schedule'!$E$33="Weekdays",WEEKDAY($A137,2)&lt;=5,$A137='Recurring Schedule'!$F$33))),28,""))))</f>
        <v/>
      </c>
      <c r="AD137">
        <f>IF('Recurring Schedule'!$C$34="","",IF('Recurring Schedule'!$F$34="","",IF(OR($A137&lt;'Recurring Schedule'!$F$34,$A137&gt;'Recurring Schedule'!$P$34),"",IF(IF('Recurring Schedule'!$N$34&gt;0,MOD($A137-'Recurring Schedule'!$F$34,'Recurring Schedule'!$N$34)=0,IF('Recurring Schedule'!$O$34&gt;0,AND(DAY($A137)=MIN(DAY('Recurring Schedule'!$F$34),DAY(EOMONTH($A137,0))),MOD((YEAR($A137)-YEAR('Recurring Schedule'!$F$34))*12+MONTH($A137)-MONTH('Recurring Schedule'!$F$34),'Recurring Schedule'!$O$34)=0),IF('Recurring Schedule'!$E$34="Weekdays",WEEKDAY($A137,2)&lt;=5,$A137='Recurring Schedule'!$F$34))),29,""))))</f>
        <v/>
      </c>
      <c r="AE137">
        <f>IF('Recurring Schedule'!$C$35="","",IF('Recurring Schedule'!$F$35="","",IF(OR($A137&lt;'Recurring Schedule'!$F$35,$A137&gt;'Recurring Schedule'!$P$35),"",IF(IF('Recurring Schedule'!$N$35&gt;0,MOD($A137-'Recurring Schedule'!$F$35,'Recurring Schedule'!$N$35)=0,IF('Recurring Schedule'!$O$35&gt;0,AND(DAY($A137)=MIN(DAY('Recurring Schedule'!$F$35),DAY(EOMONTH($A137,0))),MOD((YEAR($A137)-YEAR('Recurring Schedule'!$F$35))*12+MONTH($A137)-MONTH('Recurring Schedule'!$F$35),'Recurring Schedule'!$O$35)=0),IF('Recurring Schedule'!$E$35="Weekdays",WEEKDAY($A137,2)&lt;=5,$A137='Recurring Schedule'!$F$35))),30,""))))</f>
        <v/>
      </c>
      <c r="AF137">
        <f>IF('Recurring Schedule'!$C$36="","",IF('Recurring Schedule'!$F$36="","",IF(OR($A137&lt;'Recurring Schedule'!$F$36,$A137&gt;'Recurring Schedule'!$P$36),"",IF(IF('Recurring Schedule'!$N$36&gt;0,MOD($A137-'Recurring Schedule'!$F$36,'Recurring Schedule'!$N$36)=0,IF('Recurring Schedule'!$O$36&gt;0,AND(DAY($A137)=MIN(DAY('Recurring Schedule'!$F$36),DAY(EOMONTH($A137,0))),MOD((YEAR($A137)-YEAR('Recurring Schedule'!$F$36))*12+MONTH($A137)-MONTH('Recurring Schedule'!$F$36),'Recurring Schedule'!$O$36)=0),IF('Recurring Schedule'!$E$36="Weekdays",WEEKDAY($A137,2)&lt;=5,$A137='Recurring Schedule'!$F$36))),31,""))))</f>
        <v/>
      </c>
      <c r="AG137">
        <f>IF('Recurring Schedule'!$C$37="","",IF('Recurring Schedule'!$F$37="","",IF(OR($A137&lt;'Recurring Schedule'!$F$37,$A137&gt;'Recurring Schedule'!$P$37),"",IF(IF('Recurring Schedule'!$N$37&gt;0,MOD($A137-'Recurring Schedule'!$F$37,'Recurring Schedule'!$N$37)=0,IF('Recurring Schedule'!$O$37&gt;0,AND(DAY($A137)=MIN(DAY('Recurring Schedule'!$F$37),DAY(EOMONTH($A137,0))),MOD((YEAR($A137)-YEAR('Recurring Schedule'!$F$37))*12+MONTH($A137)-MONTH('Recurring Schedule'!$F$37),'Recurring Schedule'!$O$37)=0),IF('Recurring Schedule'!$E$37="Weekdays",WEEKDAY($A137,2)&lt;=5,$A137='Recurring Schedule'!$F$37))),32,""))))</f>
        <v/>
      </c>
      <c r="AH137">
        <f>IF('Recurring Schedule'!$C$38="","",IF('Recurring Schedule'!$F$38="","",IF(OR($A137&lt;'Recurring Schedule'!$F$38,$A137&gt;'Recurring Schedule'!$P$38),"",IF(IF('Recurring Schedule'!$N$38&gt;0,MOD($A137-'Recurring Schedule'!$F$38,'Recurring Schedule'!$N$38)=0,IF('Recurring Schedule'!$O$38&gt;0,AND(DAY($A137)=MIN(DAY('Recurring Schedule'!$F$38),DAY(EOMONTH($A137,0))),MOD((YEAR($A137)-YEAR('Recurring Schedule'!$F$38))*12+MONTH($A137)-MONTH('Recurring Schedule'!$F$38),'Recurring Schedule'!$O$38)=0),IF('Recurring Schedule'!$E$38="Weekdays",WEEKDAY($A137,2)&lt;=5,$A137='Recurring Schedule'!$F$38))),33,""))))</f>
        <v/>
      </c>
      <c r="AI137">
        <f>IF('Recurring Schedule'!$C$39="","",IF('Recurring Schedule'!$F$39="","",IF(OR($A137&lt;'Recurring Schedule'!$F$39,$A137&gt;'Recurring Schedule'!$P$39),"",IF(IF('Recurring Schedule'!$N$39&gt;0,MOD($A137-'Recurring Schedule'!$F$39,'Recurring Schedule'!$N$39)=0,IF('Recurring Schedule'!$O$39&gt;0,AND(DAY($A137)=MIN(DAY('Recurring Schedule'!$F$39),DAY(EOMONTH($A137,0))),MOD((YEAR($A137)-YEAR('Recurring Schedule'!$F$39))*12+MONTH($A137)-MONTH('Recurring Schedule'!$F$39),'Recurring Schedule'!$O$39)=0),IF('Recurring Schedule'!$E$39="Weekdays",WEEKDAY($A137,2)&lt;=5,$A137='Recurring Schedule'!$F$39))),34,""))))</f>
        <v/>
      </c>
      <c r="AJ137">
        <f>IF('Recurring Schedule'!$C$40="","",IF('Recurring Schedule'!$F$40="","",IF(OR($A137&lt;'Recurring Schedule'!$F$40,$A137&gt;'Recurring Schedule'!$P$40),"",IF(IF('Recurring Schedule'!$N$40&gt;0,MOD($A137-'Recurring Schedule'!$F$40,'Recurring Schedule'!$N$40)=0,IF('Recurring Schedule'!$O$40&gt;0,AND(DAY($A137)=MIN(DAY('Recurring Schedule'!$F$40),DAY(EOMONTH($A137,0))),MOD((YEAR($A137)-YEAR('Recurring Schedule'!$F$40))*12+MONTH($A137)-MONTH('Recurring Schedule'!$F$40),'Recurring Schedule'!$O$40)=0),IF('Recurring Schedule'!$E$40="Weekdays",WEEKDAY($A137,2)&lt;=5,$A137='Recurring Schedule'!$F$40))),35,""))))</f>
        <v/>
      </c>
      <c r="AK137">
        <f>IF('Recurring Schedule'!$C$41="","",IF('Recurring Schedule'!$F$41="","",IF(OR($A137&lt;'Recurring Schedule'!$F$41,$A137&gt;'Recurring Schedule'!$P$41),"",IF(IF('Recurring Schedule'!$N$41&gt;0,MOD($A137-'Recurring Schedule'!$F$41,'Recurring Schedule'!$N$41)=0,IF('Recurring Schedule'!$O$41&gt;0,AND(DAY($A137)=MIN(DAY('Recurring Schedule'!$F$41),DAY(EOMONTH($A137,0))),MOD((YEAR($A137)-YEAR('Recurring Schedule'!$F$41))*12+MONTH($A137)-MONTH('Recurring Schedule'!$F$41),'Recurring Schedule'!$O$41)=0),IF('Recurring Schedule'!$E$41="Weekdays",WEEKDAY($A137,2)&lt;=5,$A137='Recurring Schedule'!$F$41))),36,""))))</f>
        <v/>
      </c>
      <c r="AL137">
        <f>IF('Recurring Schedule'!$C$42="","",IF('Recurring Schedule'!$F$42="","",IF(OR($A137&lt;'Recurring Schedule'!$F$42,$A137&gt;'Recurring Schedule'!$P$42),"",IF(IF('Recurring Schedule'!$N$42&gt;0,MOD($A137-'Recurring Schedule'!$F$42,'Recurring Schedule'!$N$42)=0,IF('Recurring Schedule'!$O$42&gt;0,AND(DAY($A137)=MIN(DAY('Recurring Schedule'!$F$42),DAY(EOMONTH($A137,0))),MOD((YEAR($A137)-YEAR('Recurring Schedule'!$F$42))*12+MONTH($A137)-MONTH('Recurring Schedule'!$F$42),'Recurring Schedule'!$O$42)=0),IF('Recurring Schedule'!$E$42="Weekdays",WEEKDAY($A137,2)&lt;=5,$A137='Recurring Schedule'!$F$42))),37,""))))</f>
        <v/>
      </c>
      <c r="AM137">
        <f>IF('Recurring Schedule'!$C$43="","",IF('Recurring Schedule'!$F$43="","",IF(OR($A137&lt;'Recurring Schedule'!$F$43,$A137&gt;'Recurring Schedule'!$P$43),"",IF(IF('Recurring Schedule'!$N$43&gt;0,MOD($A137-'Recurring Schedule'!$F$43,'Recurring Schedule'!$N$43)=0,IF('Recurring Schedule'!$O$43&gt;0,AND(DAY($A137)=MIN(DAY('Recurring Schedule'!$F$43),DAY(EOMONTH($A137,0))),MOD((YEAR($A137)-YEAR('Recurring Schedule'!$F$43))*12+MONTH($A137)-MONTH('Recurring Schedule'!$F$43),'Recurring Schedule'!$O$43)=0),IF('Recurring Schedule'!$E$43="Weekdays",WEEKDAY($A137,2)&lt;=5,$A137='Recurring Schedule'!$F$43))),38,""))))</f>
        <v/>
      </c>
      <c r="AN137">
        <f>IF('Recurring Schedule'!$C$44="","",IF('Recurring Schedule'!$F$44="","",IF(OR($A137&lt;'Recurring Schedule'!$F$44,$A137&gt;'Recurring Schedule'!$P$44),"",IF(IF('Recurring Schedule'!$N$44&gt;0,MOD($A137-'Recurring Schedule'!$F$44,'Recurring Schedule'!$N$44)=0,IF('Recurring Schedule'!$O$44&gt;0,AND(DAY($A137)=MIN(DAY('Recurring Schedule'!$F$44),DAY(EOMONTH($A137,0))),MOD((YEAR($A137)-YEAR('Recurring Schedule'!$F$44))*12+MONTH($A137)-MONTH('Recurring Schedule'!$F$44),'Recurring Schedule'!$O$44)=0),IF('Recurring Schedule'!$E$44="Weekdays",WEEKDAY($A137,2)&lt;=5,$A137='Recurring Schedule'!$F$44))),39,""))))</f>
        <v/>
      </c>
      <c r="AO137">
        <f>IF('Recurring Schedule'!$C$45="","",IF('Recurring Schedule'!$F$45="","",IF(OR($A137&lt;'Recurring Schedule'!$F$45,$A137&gt;'Recurring Schedule'!$P$45),"",IF(IF('Recurring Schedule'!$N$45&gt;0,MOD($A137-'Recurring Schedule'!$F$45,'Recurring Schedule'!$N$45)=0,IF('Recurring Schedule'!$O$45&gt;0,AND(DAY($A137)=MIN(DAY('Recurring Schedule'!$F$45),DAY(EOMONTH($A137,0))),MOD((YEAR($A137)-YEAR('Recurring Schedule'!$F$45))*12+MONTH($A137)-MONTH('Recurring Schedule'!$F$45),'Recurring Schedule'!$O$45)=0),IF('Recurring Schedule'!$E$45="Weekdays",WEEKDAY($A137,2)&lt;=5,$A137='Recurring Schedule'!$F$45))),40,""))))</f>
        <v/>
      </c>
      <c r="AP137">
        <f>COUNT(B137:AO137)</f>
        <v/>
      </c>
      <c r="AQ137">
        <f>AQ136+AP136</f>
        <v/>
      </c>
      <c r="AS137" t="inlineStr">
        <is>
          <t>R</t>
        </is>
      </c>
      <c r="AT137" t="n">
        <v>141</v>
      </c>
      <c r="AU137">
        <f>'Recurring Log'!C141&amp;""</f>
        <v/>
      </c>
      <c r="AV137">
        <f>'Recurring Log'!D141&amp;""</f>
        <v/>
      </c>
      <c r="AW137">
        <f>IF('Recurring Log'!E141="","",'Recurring Log'!E141)</f>
        <v/>
      </c>
      <c r="AX137">
        <f>IF('Recurring Log'!G141="","",'Recurring Log'!G141)</f>
        <v/>
      </c>
      <c r="AY137">
        <f>IF('Recurring Log'!H141="","",'Recurring Log'!H141)</f>
        <v/>
      </c>
      <c r="AZ137">
        <f>IF(AU137="","",IF('Recurring Log'!J141="","Not Started",'Recurring Log'!J141))</f>
        <v/>
      </c>
      <c r="BA137">
        <f>'Recurring Log'!L141&amp;""</f>
        <v/>
      </c>
      <c r="BB137">
        <f>'Recurring Log'!M141&amp;""</f>
        <v/>
      </c>
      <c r="BC137">
        <f>'Recurring Log'!N141&amp;""</f>
        <v/>
      </c>
      <c r="BD137">
        <f>'Recurring Log'!O141&amp;""</f>
        <v/>
      </c>
      <c r="BE137">
        <f>IF('Recurring Log'!K141="","",'Recurring Log'!K141)</f>
        <v/>
      </c>
      <c r="BF137">
        <f>IFERROR(MATCH(BA137,Setup!$L$6:$L$9,0),5)</f>
        <v/>
      </c>
      <c r="BG137">
        <f>IF(OR(AZ137="Done",AZ137="Cancelled"),1,0)</f>
        <v/>
      </c>
      <c r="BH137">
        <f>IF(AND(AU137&lt;&gt;"",ISNUMBER(AW137)),1,0)</f>
        <v/>
      </c>
      <c r="BI137">
        <f>IF(BH137=0,0,IF(AND(AW137&gt;='Tasks Filter'!$F$3,AW137&lt;='Tasks Filter'!$F$4,OR('Tasks Filter'!$I$3="",ISNUMBER(SEARCH('Tasks Filter'!$I$3,AU137))),OR('Tasks Filter'!$I$4="",BF137=IFERROR(MATCH('Tasks Filter'!$I$4,Setup!$L$6:$L$9,0),0)),OR('Tasks Filter'!$I$5="Both",AND('Tasks Filter'!$I$5="Yes",BB137="✓"),AND('Tasks Filter'!$I$5="No",BB137&lt;&gt;"✓")),OR('Tasks Filter'!$L$3="",AV137='Tasks Filter'!$L$3),OR('Tasks Filter'!$L$4="",AZ137='Tasks Filter'!$L$4),OR('Tasks Filter'!$L$5="",BC137='Tasks Filter'!$L$5),OR('Tasks Filter'!$O$3="",BD137='Tasks Filter'!$O$3),OR('Tasks Filter'!$O$4="Yes",BG137=0)),1,0))</f>
        <v/>
      </c>
      <c r="BJ137">
        <f>IF(BH137=0,"",IF('Tasks Filter'!$F$6="Descending",-1,1)*CHOOSE(MATCH('Tasks Filter'!$F$5,Lists!$G$2:$G$6,0),AW137,BF137,IFERROR(MATCH(AV137,Setup!$F$6:$F$15,0),99),IFERROR(MATCH(BC137,Setup!$H$6:$H$15,0),99),IFERROR(MATCH(AZ137,Setup!$J$6:$J$11,0),99))*1E+9+(AW137-40000)*10000+136)</f>
        <v/>
      </c>
      <c r="BK137">
        <f>IF(BI137=1,BJ137,"")</f>
        <v/>
      </c>
      <c r="BL137">
        <f>IF(AND(BH137=1,BG137=0,N(AW137)&lt;Setup!$D$7),(AW137-40000)*10000+136,"")</f>
        <v/>
      </c>
      <c r="BM137">
        <f>IF(AND(BH137=1,AZ137&lt;&gt;"Cancelled",N(AW137)&gt;=Dashboard!$AB$3,N(AW137)&lt;=Dashboard!$AB$3+6),(AW137-40000)*100000+BF137*10000+136,"")</f>
        <v/>
      </c>
      <c r="BN137">
        <f>IF(AND(BH137=1,AZ137&lt;&gt;"Cancelled"),BF137*10000+136,"")</f>
        <v/>
      </c>
    </row>
    <row r="138">
      <c r="A138">
        <f>Setup!$D$5+136</f>
        <v/>
      </c>
      <c r="B138">
        <f>IF('Recurring Schedule'!$C$6="","",IF('Recurring Schedule'!$F$6="","",IF(OR($A138&lt;'Recurring Schedule'!$F$6,$A138&gt;'Recurring Schedule'!$P$6),"",IF(IF('Recurring Schedule'!$N$6&gt;0,MOD($A138-'Recurring Schedule'!$F$6,'Recurring Schedule'!$N$6)=0,IF('Recurring Schedule'!$O$6&gt;0,AND(DAY($A138)=MIN(DAY('Recurring Schedule'!$F$6),DAY(EOMONTH($A138,0))),MOD((YEAR($A138)-YEAR('Recurring Schedule'!$F$6))*12+MONTH($A138)-MONTH('Recurring Schedule'!$F$6),'Recurring Schedule'!$O$6)=0),IF('Recurring Schedule'!$E$6="Weekdays",WEEKDAY($A138,2)&lt;=5,$A138='Recurring Schedule'!$F$6))),1,""))))</f>
        <v/>
      </c>
      <c r="C138">
        <f>IF('Recurring Schedule'!$C$7="","",IF('Recurring Schedule'!$F$7="","",IF(OR($A138&lt;'Recurring Schedule'!$F$7,$A138&gt;'Recurring Schedule'!$P$7),"",IF(IF('Recurring Schedule'!$N$7&gt;0,MOD($A138-'Recurring Schedule'!$F$7,'Recurring Schedule'!$N$7)=0,IF('Recurring Schedule'!$O$7&gt;0,AND(DAY($A138)=MIN(DAY('Recurring Schedule'!$F$7),DAY(EOMONTH($A138,0))),MOD((YEAR($A138)-YEAR('Recurring Schedule'!$F$7))*12+MONTH($A138)-MONTH('Recurring Schedule'!$F$7),'Recurring Schedule'!$O$7)=0),IF('Recurring Schedule'!$E$7="Weekdays",WEEKDAY($A138,2)&lt;=5,$A138='Recurring Schedule'!$F$7))),2,""))))</f>
        <v/>
      </c>
      <c r="D138">
        <f>IF('Recurring Schedule'!$C$8="","",IF('Recurring Schedule'!$F$8="","",IF(OR($A138&lt;'Recurring Schedule'!$F$8,$A138&gt;'Recurring Schedule'!$P$8),"",IF(IF('Recurring Schedule'!$N$8&gt;0,MOD($A138-'Recurring Schedule'!$F$8,'Recurring Schedule'!$N$8)=0,IF('Recurring Schedule'!$O$8&gt;0,AND(DAY($A138)=MIN(DAY('Recurring Schedule'!$F$8),DAY(EOMONTH($A138,0))),MOD((YEAR($A138)-YEAR('Recurring Schedule'!$F$8))*12+MONTH($A138)-MONTH('Recurring Schedule'!$F$8),'Recurring Schedule'!$O$8)=0),IF('Recurring Schedule'!$E$8="Weekdays",WEEKDAY($A138,2)&lt;=5,$A138='Recurring Schedule'!$F$8))),3,""))))</f>
        <v/>
      </c>
      <c r="E138">
        <f>IF('Recurring Schedule'!$C$9="","",IF('Recurring Schedule'!$F$9="","",IF(OR($A138&lt;'Recurring Schedule'!$F$9,$A138&gt;'Recurring Schedule'!$P$9),"",IF(IF('Recurring Schedule'!$N$9&gt;0,MOD($A138-'Recurring Schedule'!$F$9,'Recurring Schedule'!$N$9)=0,IF('Recurring Schedule'!$O$9&gt;0,AND(DAY($A138)=MIN(DAY('Recurring Schedule'!$F$9),DAY(EOMONTH($A138,0))),MOD((YEAR($A138)-YEAR('Recurring Schedule'!$F$9))*12+MONTH($A138)-MONTH('Recurring Schedule'!$F$9),'Recurring Schedule'!$O$9)=0),IF('Recurring Schedule'!$E$9="Weekdays",WEEKDAY($A138,2)&lt;=5,$A138='Recurring Schedule'!$F$9))),4,""))))</f>
        <v/>
      </c>
      <c r="F138">
        <f>IF('Recurring Schedule'!$C$10="","",IF('Recurring Schedule'!$F$10="","",IF(OR($A138&lt;'Recurring Schedule'!$F$10,$A138&gt;'Recurring Schedule'!$P$10),"",IF(IF('Recurring Schedule'!$N$10&gt;0,MOD($A138-'Recurring Schedule'!$F$10,'Recurring Schedule'!$N$10)=0,IF('Recurring Schedule'!$O$10&gt;0,AND(DAY($A138)=MIN(DAY('Recurring Schedule'!$F$10),DAY(EOMONTH($A138,0))),MOD((YEAR($A138)-YEAR('Recurring Schedule'!$F$10))*12+MONTH($A138)-MONTH('Recurring Schedule'!$F$10),'Recurring Schedule'!$O$10)=0),IF('Recurring Schedule'!$E$10="Weekdays",WEEKDAY($A138,2)&lt;=5,$A138='Recurring Schedule'!$F$10))),5,""))))</f>
        <v/>
      </c>
      <c r="G138">
        <f>IF('Recurring Schedule'!$C$11="","",IF('Recurring Schedule'!$F$11="","",IF(OR($A138&lt;'Recurring Schedule'!$F$11,$A138&gt;'Recurring Schedule'!$P$11),"",IF(IF('Recurring Schedule'!$N$11&gt;0,MOD($A138-'Recurring Schedule'!$F$11,'Recurring Schedule'!$N$11)=0,IF('Recurring Schedule'!$O$11&gt;0,AND(DAY($A138)=MIN(DAY('Recurring Schedule'!$F$11),DAY(EOMONTH($A138,0))),MOD((YEAR($A138)-YEAR('Recurring Schedule'!$F$11))*12+MONTH($A138)-MONTH('Recurring Schedule'!$F$11),'Recurring Schedule'!$O$11)=0),IF('Recurring Schedule'!$E$11="Weekdays",WEEKDAY($A138,2)&lt;=5,$A138='Recurring Schedule'!$F$11))),6,""))))</f>
        <v/>
      </c>
      <c r="H138">
        <f>IF('Recurring Schedule'!$C$12="","",IF('Recurring Schedule'!$F$12="","",IF(OR($A138&lt;'Recurring Schedule'!$F$12,$A138&gt;'Recurring Schedule'!$P$12),"",IF(IF('Recurring Schedule'!$N$12&gt;0,MOD($A138-'Recurring Schedule'!$F$12,'Recurring Schedule'!$N$12)=0,IF('Recurring Schedule'!$O$12&gt;0,AND(DAY($A138)=MIN(DAY('Recurring Schedule'!$F$12),DAY(EOMONTH($A138,0))),MOD((YEAR($A138)-YEAR('Recurring Schedule'!$F$12))*12+MONTH($A138)-MONTH('Recurring Schedule'!$F$12),'Recurring Schedule'!$O$12)=0),IF('Recurring Schedule'!$E$12="Weekdays",WEEKDAY($A138,2)&lt;=5,$A138='Recurring Schedule'!$F$12))),7,""))))</f>
        <v/>
      </c>
      <c r="I138">
        <f>IF('Recurring Schedule'!$C$13="","",IF('Recurring Schedule'!$F$13="","",IF(OR($A138&lt;'Recurring Schedule'!$F$13,$A138&gt;'Recurring Schedule'!$P$13),"",IF(IF('Recurring Schedule'!$N$13&gt;0,MOD($A138-'Recurring Schedule'!$F$13,'Recurring Schedule'!$N$13)=0,IF('Recurring Schedule'!$O$13&gt;0,AND(DAY($A138)=MIN(DAY('Recurring Schedule'!$F$13),DAY(EOMONTH($A138,0))),MOD((YEAR($A138)-YEAR('Recurring Schedule'!$F$13))*12+MONTH($A138)-MONTH('Recurring Schedule'!$F$13),'Recurring Schedule'!$O$13)=0),IF('Recurring Schedule'!$E$13="Weekdays",WEEKDAY($A138,2)&lt;=5,$A138='Recurring Schedule'!$F$13))),8,""))))</f>
        <v/>
      </c>
      <c r="J138">
        <f>IF('Recurring Schedule'!$C$14="","",IF('Recurring Schedule'!$F$14="","",IF(OR($A138&lt;'Recurring Schedule'!$F$14,$A138&gt;'Recurring Schedule'!$P$14),"",IF(IF('Recurring Schedule'!$N$14&gt;0,MOD($A138-'Recurring Schedule'!$F$14,'Recurring Schedule'!$N$14)=0,IF('Recurring Schedule'!$O$14&gt;0,AND(DAY($A138)=MIN(DAY('Recurring Schedule'!$F$14),DAY(EOMONTH($A138,0))),MOD((YEAR($A138)-YEAR('Recurring Schedule'!$F$14))*12+MONTH($A138)-MONTH('Recurring Schedule'!$F$14),'Recurring Schedule'!$O$14)=0),IF('Recurring Schedule'!$E$14="Weekdays",WEEKDAY($A138,2)&lt;=5,$A138='Recurring Schedule'!$F$14))),9,""))))</f>
        <v/>
      </c>
      <c r="K138">
        <f>IF('Recurring Schedule'!$C$15="","",IF('Recurring Schedule'!$F$15="","",IF(OR($A138&lt;'Recurring Schedule'!$F$15,$A138&gt;'Recurring Schedule'!$P$15),"",IF(IF('Recurring Schedule'!$N$15&gt;0,MOD($A138-'Recurring Schedule'!$F$15,'Recurring Schedule'!$N$15)=0,IF('Recurring Schedule'!$O$15&gt;0,AND(DAY($A138)=MIN(DAY('Recurring Schedule'!$F$15),DAY(EOMONTH($A138,0))),MOD((YEAR($A138)-YEAR('Recurring Schedule'!$F$15))*12+MONTH($A138)-MONTH('Recurring Schedule'!$F$15),'Recurring Schedule'!$O$15)=0),IF('Recurring Schedule'!$E$15="Weekdays",WEEKDAY($A138,2)&lt;=5,$A138='Recurring Schedule'!$F$15))),10,""))))</f>
        <v/>
      </c>
      <c r="L138">
        <f>IF('Recurring Schedule'!$C$16="","",IF('Recurring Schedule'!$F$16="","",IF(OR($A138&lt;'Recurring Schedule'!$F$16,$A138&gt;'Recurring Schedule'!$P$16),"",IF(IF('Recurring Schedule'!$N$16&gt;0,MOD($A138-'Recurring Schedule'!$F$16,'Recurring Schedule'!$N$16)=0,IF('Recurring Schedule'!$O$16&gt;0,AND(DAY($A138)=MIN(DAY('Recurring Schedule'!$F$16),DAY(EOMONTH($A138,0))),MOD((YEAR($A138)-YEAR('Recurring Schedule'!$F$16))*12+MONTH($A138)-MONTH('Recurring Schedule'!$F$16),'Recurring Schedule'!$O$16)=0),IF('Recurring Schedule'!$E$16="Weekdays",WEEKDAY($A138,2)&lt;=5,$A138='Recurring Schedule'!$F$16))),11,""))))</f>
        <v/>
      </c>
      <c r="M138">
        <f>IF('Recurring Schedule'!$C$17="","",IF('Recurring Schedule'!$F$17="","",IF(OR($A138&lt;'Recurring Schedule'!$F$17,$A138&gt;'Recurring Schedule'!$P$17),"",IF(IF('Recurring Schedule'!$N$17&gt;0,MOD($A138-'Recurring Schedule'!$F$17,'Recurring Schedule'!$N$17)=0,IF('Recurring Schedule'!$O$17&gt;0,AND(DAY($A138)=MIN(DAY('Recurring Schedule'!$F$17),DAY(EOMONTH($A138,0))),MOD((YEAR($A138)-YEAR('Recurring Schedule'!$F$17))*12+MONTH($A138)-MONTH('Recurring Schedule'!$F$17),'Recurring Schedule'!$O$17)=0),IF('Recurring Schedule'!$E$17="Weekdays",WEEKDAY($A138,2)&lt;=5,$A138='Recurring Schedule'!$F$17))),12,""))))</f>
        <v/>
      </c>
      <c r="N138">
        <f>IF('Recurring Schedule'!$C$18="","",IF('Recurring Schedule'!$F$18="","",IF(OR($A138&lt;'Recurring Schedule'!$F$18,$A138&gt;'Recurring Schedule'!$P$18),"",IF(IF('Recurring Schedule'!$N$18&gt;0,MOD($A138-'Recurring Schedule'!$F$18,'Recurring Schedule'!$N$18)=0,IF('Recurring Schedule'!$O$18&gt;0,AND(DAY($A138)=MIN(DAY('Recurring Schedule'!$F$18),DAY(EOMONTH($A138,0))),MOD((YEAR($A138)-YEAR('Recurring Schedule'!$F$18))*12+MONTH($A138)-MONTH('Recurring Schedule'!$F$18),'Recurring Schedule'!$O$18)=0),IF('Recurring Schedule'!$E$18="Weekdays",WEEKDAY($A138,2)&lt;=5,$A138='Recurring Schedule'!$F$18))),13,""))))</f>
        <v/>
      </c>
      <c r="O138">
        <f>IF('Recurring Schedule'!$C$19="","",IF('Recurring Schedule'!$F$19="","",IF(OR($A138&lt;'Recurring Schedule'!$F$19,$A138&gt;'Recurring Schedule'!$P$19),"",IF(IF('Recurring Schedule'!$N$19&gt;0,MOD($A138-'Recurring Schedule'!$F$19,'Recurring Schedule'!$N$19)=0,IF('Recurring Schedule'!$O$19&gt;0,AND(DAY($A138)=MIN(DAY('Recurring Schedule'!$F$19),DAY(EOMONTH($A138,0))),MOD((YEAR($A138)-YEAR('Recurring Schedule'!$F$19))*12+MONTH($A138)-MONTH('Recurring Schedule'!$F$19),'Recurring Schedule'!$O$19)=0),IF('Recurring Schedule'!$E$19="Weekdays",WEEKDAY($A138,2)&lt;=5,$A138='Recurring Schedule'!$F$19))),14,""))))</f>
        <v/>
      </c>
      <c r="P138">
        <f>IF('Recurring Schedule'!$C$20="","",IF('Recurring Schedule'!$F$20="","",IF(OR($A138&lt;'Recurring Schedule'!$F$20,$A138&gt;'Recurring Schedule'!$P$20),"",IF(IF('Recurring Schedule'!$N$20&gt;0,MOD($A138-'Recurring Schedule'!$F$20,'Recurring Schedule'!$N$20)=0,IF('Recurring Schedule'!$O$20&gt;0,AND(DAY($A138)=MIN(DAY('Recurring Schedule'!$F$20),DAY(EOMONTH($A138,0))),MOD((YEAR($A138)-YEAR('Recurring Schedule'!$F$20))*12+MONTH($A138)-MONTH('Recurring Schedule'!$F$20),'Recurring Schedule'!$O$20)=0),IF('Recurring Schedule'!$E$20="Weekdays",WEEKDAY($A138,2)&lt;=5,$A138='Recurring Schedule'!$F$20))),15,""))))</f>
        <v/>
      </c>
      <c r="Q138">
        <f>IF('Recurring Schedule'!$C$21="","",IF('Recurring Schedule'!$F$21="","",IF(OR($A138&lt;'Recurring Schedule'!$F$21,$A138&gt;'Recurring Schedule'!$P$21),"",IF(IF('Recurring Schedule'!$N$21&gt;0,MOD($A138-'Recurring Schedule'!$F$21,'Recurring Schedule'!$N$21)=0,IF('Recurring Schedule'!$O$21&gt;0,AND(DAY($A138)=MIN(DAY('Recurring Schedule'!$F$21),DAY(EOMONTH($A138,0))),MOD((YEAR($A138)-YEAR('Recurring Schedule'!$F$21))*12+MONTH($A138)-MONTH('Recurring Schedule'!$F$21),'Recurring Schedule'!$O$21)=0),IF('Recurring Schedule'!$E$21="Weekdays",WEEKDAY($A138,2)&lt;=5,$A138='Recurring Schedule'!$F$21))),16,""))))</f>
        <v/>
      </c>
      <c r="R138">
        <f>IF('Recurring Schedule'!$C$22="","",IF('Recurring Schedule'!$F$22="","",IF(OR($A138&lt;'Recurring Schedule'!$F$22,$A138&gt;'Recurring Schedule'!$P$22),"",IF(IF('Recurring Schedule'!$N$22&gt;0,MOD($A138-'Recurring Schedule'!$F$22,'Recurring Schedule'!$N$22)=0,IF('Recurring Schedule'!$O$22&gt;0,AND(DAY($A138)=MIN(DAY('Recurring Schedule'!$F$22),DAY(EOMONTH($A138,0))),MOD((YEAR($A138)-YEAR('Recurring Schedule'!$F$22))*12+MONTH($A138)-MONTH('Recurring Schedule'!$F$22),'Recurring Schedule'!$O$22)=0),IF('Recurring Schedule'!$E$22="Weekdays",WEEKDAY($A138,2)&lt;=5,$A138='Recurring Schedule'!$F$22))),17,""))))</f>
        <v/>
      </c>
      <c r="S138">
        <f>IF('Recurring Schedule'!$C$23="","",IF('Recurring Schedule'!$F$23="","",IF(OR($A138&lt;'Recurring Schedule'!$F$23,$A138&gt;'Recurring Schedule'!$P$23),"",IF(IF('Recurring Schedule'!$N$23&gt;0,MOD($A138-'Recurring Schedule'!$F$23,'Recurring Schedule'!$N$23)=0,IF('Recurring Schedule'!$O$23&gt;0,AND(DAY($A138)=MIN(DAY('Recurring Schedule'!$F$23),DAY(EOMONTH($A138,0))),MOD((YEAR($A138)-YEAR('Recurring Schedule'!$F$23))*12+MONTH($A138)-MONTH('Recurring Schedule'!$F$23),'Recurring Schedule'!$O$23)=0),IF('Recurring Schedule'!$E$23="Weekdays",WEEKDAY($A138,2)&lt;=5,$A138='Recurring Schedule'!$F$23))),18,""))))</f>
        <v/>
      </c>
      <c r="T138">
        <f>IF('Recurring Schedule'!$C$24="","",IF('Recurring Schedule'!$F$24="","",IF(OR($A138&lt;'Recurring Schedule'!$F$24,$A138&gt;'Recurring Schedule'!$P$24),"",IF(IF('Recurring Schedule'!$N$24&gt;0,MOD($A138-'Recurring Schedule'!$F$24,'Recurring Schedule'!$N$24)=0,IF('Recurring Schedule'!$O$24&gt;0,AND(DAY($A138)=MIN(DAY('Recurring Schedule'!$F$24),DAY(EOMONTH($A138,0))),MOD((YEAR($A138)-YEAR('Recurring Schedule'!$F$24))*12+MONTH($A138)-MONTH('Recurring Schedule'!$F$24),'Recurring Schedule'!$O$24)=0),IF('Recurring Schedule'!$E$24="Weekdays",WEEKDAY($A138,2)&lt;=5,$A138='Recurring Schedule'!$F$24))),19,""))))</f>
        <v/>
      </c>
      <c r="U138">
        <f>IF('Recurring Schedule'!$C$25="","",IF('Recurring Schedule'!$F$25="","",IF(OR($A138&lt;'Recurring Schedule'!$F$25,$A138&gt;'Recurring Schedule'!$P$25),"",IF(IF('Recurring Schedule'!$N$25&gt;0,MOD($A138-'Recurring Schedule'!$F$25,'Recurring Schedule'!$N$25)=0,IF('Recurring Schedule'!$O$25&gt;0,AND(DAY($A138)=MIN(DAY('Recurring Schedule'!$F$25),DAY(EOMONTH($A138,0))),MOD((YEAR($A138)-YEAR('Recurring Schedule'!$F$25))*12+MONTH($A138)-MONTH('Recurring Schedule'!$F$25),'Recurring Schedule'!$O$25)=0),IF('Recurring Schedule'!$E$25="Weekdays",WEEKDAY($A138,2)&lt;=5,$A138='Recurring Schedule'!$F$25))),20,""))))</f>
        <v/>
      </c>
      <c r="V138">
        <f>IF('Recurring Schedule'!$C$26="","",IF('Recurring Schedule'!$F$26="","",IF(OR($A138&lt;'Recurring Schedule'!$F$26,$A138&gt;'Recurring Schedule'!$P$26),"",IF(IF('Recurring Schedule'!$N$26&gt;0,MOD($A138-'Recurring Schedule'!$F$26,'Recurring Schedule'!$N$26)=0,IF('Recurring Schedule'!$O$26&gt;0,AND(DAY($A138)=MIN(DAY('Recurring Schedule'!$F$26),DAY(EOMONTH($A138,0))),MOD((YEAR($A138)-YEAR('Recurring Schedule'!$F$26))*12+MONTH($A138)-MONTH('Recurring Schedule'!$F$26),'Recurring Schedule'!$O$26)=0),IF('Recurring Schedule'!$E$26="Weekdays",WEEKDAY($A138,2)&lt;=5,$A138='Recurring Schedule'!$F$26))),21,""))))</f>
        <v/>
      </c>
      <c r="W138">
        <f>IF('Recurring Schedule'!$C$27="","",IF('Recurring Schedule'!$F$27="","",IF(OR($A138&lt;'Recurring Schedule'!$F$27,$A138&gt;'Recurring Schedule'!$P$27),"",IF(IF('Recurring Schedule'!$N$27&gt;0,MOD($A138-'Recurring Schedule'!$F$27,'Recurring Schedule'!$N$27)=0,IF('Recurring Schedule'!$O$27&gt;0,AND(DAY($A138)=MIN(DAY('Recurring Schedule'!$F$27),DAY(EOMONTH($A138,0))),MOD((YEAR($A138)-YEAR('Recurring Schedule'!$F$27))*12+MONTH($A138)-MONTH('Recurring Schedule'!$F$27),'Recurring Schedule'!$O$27)=0),IF('Recurring Schedule'!$E$27="Weekdays",WEEKDAY($A138,2)&lt;=5,$A138='Recurring Schedule'!$F$27))),22,""))))</f>
        <v/>
      </c>
      <c r="X138">
        <f>IF('Recurring Schedule'!$C$28="","",IF('Recurring Schedule'!$F$28="","",IF(OR($A138&lt;'Recurring Schedule'!$F$28,$A138&gt;'Recurring Schedule'!$P$28),"",IF(IF('Recurring Schedule'!$N$28&gt;0,MOD($A138-'Recurring Schedule'!$F$28,'Recurring Schedule'!$N$28)=0,IF('Recurring Schedule'!$O$28&gt;0,AND(DAY($A138)=MIN(DAY('Recurring Schedule'!$F$28),DAY(EOMONTH($A138,0))),MOD((YEAR($A138)-YEAR('Recurring Schedule'!$F$28))*12+MONTH($A138)-MONTH('Recurring Schedule'!$F$28),'Recurring Schedule'!$O$28)=0),IF('Recurring Schedule'!$E$28="Weekdays",WEEKDAY($A138,2)&lt;=5,$A138='Recurring Schedule'!$F$28))),23,""))))</f>
        <v/>
      </c>
      <c r="Y138">
        <f>IF('Recurring Schedule'!$C$29="","",IF('Recurring Schedule'!$F$29="","",IF(OR($A138&lt;'Recurring Schedule'!$F$29,$A138&gt;'Recurring Schedule'!$P$29),"",IF(IF('Recurring Schedule'!$N$29&gt;0,MOD($A138-'Recurring Schedule'!$F$29,'Recurring Schedule'!$N$29)=0,IF('Recurring Schedule'!$O$29&gt;0,AND(DAY($A138)=MIN(DAY('Recurring Schedule'!$F$29),DAY(EOMONTH($A138,0))),MOD((YEAR($A138)-YEAR('Recurring Schedule'!$F$29))*12+MONTH($A138)-MONTH('Recurring Schedule'!$F$29),'Recurring Schedule'!$O$29)=0),IF('Recurring Schedule'!$E$29="Weekdays",WEEKDAY($A138,2)&lt;=5,$A138='Recurring Schedule'!$F$29))),24,""))))</f>
        <v/>
      </c>
      <c r="Z138">
        <f>IF('Recurring Schedule'!$C$30="","",IF('Recurring Schedule'!$F$30="","",IF(OR($A138&lt;'Recurring Schedule'!$F$30,$A138&gt;'Recurring Schedule'!$P$30),"",IF(IF('Recurring Schedule'!$N$30&gt;0,MOD($A138-'Recurring Schedule'!$F$30,'Recurring Schedule'!$N$30)=0,IF('Recurring Schedule'!$O$30&gt;0,AND(DAY($A138)=MIN(DAY('Recurring Schedule'!$F$30),DAY(EOMONTH($A138,0))),MOD((YEAR($A138)-YEAR('Recurring Schedule'!$F$30))*12+MONTH($A138)-MONTH('Recurring Schedule'!$F$30),'Recurring Schedule'!$O$30)=0),IF('Recurring Schedule'!$E$30="Weekdays",WEEKDAY($A138,2)&lt;=5,$A138='Recurring Schedule'!$F$30))),25,""))))</f>
        <v/>
      </c>
      <c r="AA138">
        <f>IF('Recurring Schedule'!$C$31="","",IF('Recurring Schedule'!$F$31="","",IF(OR($A138&lt;'Recurring Schedule'!$F$31,$A138&gt;'Recurring Schedule'!$P$31),"",IF(IF('Recurring Schedule'!$N$31&gt;0,MOD($A138-'Recurring Schedule'!$F$31,'Recurring Schedule'!$N$31)=0,IF('Recurring Schedule'!$O$31&gt;0,AND(DAY($A138)=MIN(DAY('Recurring Schedule'!$F$31),DAY(EOMONTH($A138,0))),MOD((YEAR($A138)-YEAR('Recurring Schedule'!$F$31))*12+MONTH($A138)-MONTH('Recurring Schedule'!$F$31),'Recurring Schedule'!$O$31)=0),IF('Recurring Schedule'!$E$31="Weekdays",WEEKDAY($A138,2)&lt;=5,$A138='Recurring Schedule'!$F$31))),26,""))))</f>
        <v/>
      </c>
      <c r="AB138">
        <f>IF('Recurring Schedule'!$C$32="","",IF('Recurring Schedule'!$F$32="","",IF(OR($A138&lt;'Recurring Schedule'!$F$32,$A138&gt;'Recurring Schedule'!$P$32),"",IF(IF('Recurring Schedule'!$N$32&gt;0,MOD($A138-'Recurring Schedule'!$F$32,'Recurring Schedule'!$N$32)=0,IF('Recurring Schedule'!$O$32&gt;0,AND(DAY($A138)=MIN(DAY('Recurring Schedule'!$F$32),DAY(EOMONTH($A138,0))),MOD((YEAR($A138)-YEAR('Recurring Schedule'!$F$32))*12+MONTH($A138)-MONTH('Recurring Schedule'!$F$32),'Recurring Schedule'!$O$32)=0),IF('Recurring Schedule'!$E$32="Weekdays",WEEKDAY($A138,2)&lt;=5,$A138='Recurring Schedule'!$F$32))),27,""))))</f>
        <v/>
      </c>
      <c r="AC138">
        <f>IF('Recurring Schedule'!$C$33="","",IF('Recurring Schedule'!$F$33="","",IF(OR($A138&lt;'Recurring Schedule'!$F$33,$A138&gt;'Recurring Schedule'!$P$33),"",IF(IF('Recurring Schedule'!$N$33&gt;0,MOD($A138-'Recurring Schedule'!$F$33,'Recurring Schedule'!$N$33)=0,IF('Recurring Schedule'!$O$33&gt;0,AND(DAY($A138)=MIN(DAY('Recurring Schedule'!$F$33),DAY(EOMONTH($A138,0))),MOD((YEAR($A138)-YEAR('Recurring Schedule'!$F$33))*12+MONTH($A138)-MONTH('Recurring Schedule'!$F$33),'Recurring Schedule'!$O$33)=0),IF('Recurring Schedule'!$E$33="Weekdays",WEEKDAY($A138,2)&lt;=5,$A138='Recurring Schedule'!$F$33))),28,""))))</f>
        <v/>
      </c>
      <c r="AD138">
        <f>IF('Recurring Schedule'!$C$34="","",IF('Recurring Schedule'!$F$34="","",IF(OR($A138&lt;'Recurring Schedule'!$F$34,$A138&gt;'Recurring Schedule'!$P$34),"",IF(IF('Recurring Schedule'!$N$34&gt;0,MOD($A138-'Recurring Schedule'!$F$34,'Recurring Schedule'!$N$34)=0,IF('Recurring Schedule'!$O$34&gt;0,AND(DAY($A138)=MIN(DAY('Recurring Schedule'!$F$34),DAY(EOMONTH($A138,0))),MOD((YEAR($A138)-YEAR('Recurring Schedule'!$F$34))*12+MONTH($A138)-MONTH('Recurring Schedule'!$F$34),'Recurring Schedule'!$O$34)=0),IF('Recurring Schedule'!$E$34="Weekdays",WEEKDAY($A138,2)&lt;=5,$A138='Recurring Schedule'!$F$34))),29,""))))</f>
        <v/>
      </c>
      <c r="AE138">
        <f>IF('Recurring Schedule'!$C$35="","",IF('Recurring Schedule'!$F$35="","",IF(OR($A138&lt;'Recurring Schedule'!$F$35,$A138&gt;'Recurring Schedule'!$P$35),"",IF(IF('Recurring Schedule'!$N$35&gt;0,MOD($A138-'Recurring Schedule'!$F$35,'Recurring Schedule'!$N$35)=0,IF('Recurring Schedule'!$O$35&gt;0,AND(DAY($A138)=MIN(DAY('Recurring Schedule'!$F$35),DAY(EOMONTH($A138,0))),MOD((YEAR($A138)-YEAR('Recurring Schedule'!$F$35))*12+MONTH($A138)-MONTH('Recurring Schedule'!$F$35),'Recurring Schedule'!$O$35)=0),IF('Recurring Schedule'!$E$35="Weekdays",WEEKDAY($A138,2)&lt;=5,$A138='Recurring Schedule'!$F$35))),30,""))))</f>
        <v/>
      </c>
      <c r="AF138">
        <f>IF('Recurring Schedule'!$C$36="","",IF('Recurring Schedule'!$F$36="","",IF(OR($A138&lt;'Recurring Schedule'!$F$36,$A138&gt;'Recurring Schedule'!$P$36),"",IF(IF('Recurring Schedule'!$N$36&gt;0,MOD($A138-'Recurring Schedule'!$F$36,'Recurring Schedule'!$N$36)=0,IF('Recurring Schedule'!$O$36&gt;0,AND(DAY($A138)=MIN(DAY('Recurring Schedule'!$F$36),DAY(EOMONTH($A138,0))),MOD((YEAR($A138)-YEAR('Recurring Schedule'!$F$36))*12+MONTH($A138)-MONTH('Recurring Schedule'!$F$36),'Recurring Schedule'!$O$36)=0),IF('Recurring Schedule'!$E$36="Weekdays",WEEKDAY($A138,2)&lt;=5,$A138='Recurring Schedule'!$F$36))),31,""))))</f>
        <v/>
      </c>
      <c r="AG138">
        <f>IF('Recurring Schedule'!$C$37="","",IF('Recurring Schedule'!$F$37="","",IF(OR($A138&lt;'Recurring Schedule'!$F$37,$A138&gt;'Recurring Schedule'!$P$37),"",IF(IF('Recurring Schedule'!$N$37&gt;0,MOD($A138-'Recurring Schedule'!$F$37,'Recurring Schedule'!$N$37)=0,IF('Recurring Schedule'!$O$37&gt;0,AND(DAY($A138)=MIN(DAY('Recurring Schedule'!$F$37),DAY(EOMONTH($A138,0))),MOD((YEAR($A138)-YEAR('Recurring Schedule'!$F$37))*12+MONTH($A138)-MONTH('Recurring Schedule'!$F$37),'Recurring Schedule'!$O$37)=0),IF('Recurring Schedule'!$E$37="Weekdays",WEEKDAY($A138,2)&lt;=5,$A138='Recurring Schedule'!$F$37))),32,""))))</f>
        <v/>
      </c>
      <c r="AH138">
        <f>IF('Recurring Schedule'!$C$38="","",IF('Recurring Schedule'!$F$38="","",IF(OR($A138&lt;'Recurring Schedule'!$F$38,$A138&gt;'Recurring Schedule'!$P$38),"",IF(IF('Recurring Schedule'!$N$38&gt;0,MOD($A138-'Recurring Schedule'!$F$38,'Recurring Schedule'!$N$38)=0,IF('Recurring Schedule'!$O$38&gt;0,AND(DAY($A138)=MIN(DAY('Recurring Schedule'!$F$38),DAY(EOMONTH($A138,0))),MOD((YEAR($A138)-YEAR('Recurring Schedule'!$F$38))*12+MONTH($A138)-MONTH('Recurring Schedule'!$F$38),'Recurring Schedule'!$O$38)=0),IF('Recurring Schedule'!$E$38="Weekdays",WEEKDAY($A138,2)&lt;=5,$A138='Recurring Schedule'!$F$38))),33,""))))</f>
        <v/>
      </c>
      <c r="AI138">
        <f>IF('Recurring Schedule'!$C$39="","",IF('Recurring Schedule'!$F$39="","",IF(OR($A138&lt;'Recurring Schedule'!$F$39,$A138&gt;'Recurring Schedule'!$P$39),"",IF(IF('Recurring Schedule'!$N$39&gt;0,MOD($A138-'Recurring Schedule'!$F$39,'Recurring Schedule'!$N$39)=0,IF('Recurring Schedule'!$O$39&gt;0,AND(DAY($A138)=MIN(DAY('Recurring Schedule'!$F$39),DAY(EOMONTH($A138,0))),MOD((YEAR($A138)-YEAR('Recurring Schedule'!$F$39))*12+MONTH($A138)-MONTH('Recurring Schedule'!$F$39),'Recurring Schedule'!$O$39)=0),IF('Recurring Schedule'!$E$39="Weekdays",WEEKDAY($A138,2)&lt;=5,$A138='Recurring Schedule'!$F$39))),34,""))))</f>
        <v/>
      </c>
      <c r="AJ138">
        <f>IF('Recurring Schedule'!$C$40="","",IF('Recurring Schedule'!$F$40="","",IF(OR($A138&lt;'Recurring Schedule'!$F$40,$A138&gt;'Recurring Schedule'!$P$40),"",IF(IF('Recurring Schedule'!$N$40&gt;0,MOD($A138-'Recurring Schedule'!$F$40,'Recurring Schedule'!$N$40)=0,IF('Recurring Schedule'!$O$40&gt;0,AND(DAY($A138)=MIN(DAY('Recurring Schedule'!$F$40),DAY(EOMONTH($A138,0))),MOD((YEAR($A138)-YEAR('Recurring Schedule'!$F$40))*12+MONTH($A138)-MONTH('Recurring Schedule'!$F$40),'Recurring Schedule'!$O$40)=0),IF('Recurring Schedule'!$E$40="Weekdays",WEEKDAY($A138,2)&lt;=5,$A138='Recurring Schedule'!$F$40))),35,""))))</f>
        <v/>
      </c>
      <c r="AK138">
        <f>IF('Recurring Schedule'!$C$41="","",IF('Recurring Schedule'!$F$41="","",IF(OR($A138&lt;'Recurring Schedule'!$F$41,$A138&gt;'Recurring Schedule'!$P$41),"",IF(IF('Recurring Schedule'!$N$41&gt;0,MOD($A138-'Recurring Schedule'!$F$41,'Recurring Schedule'!$N$41)=0,IF('Recurring Schedule'!$O$41&gt;0,AND(DAY($A138)=MIN(DAY('Recurring Schedule'!$F$41),DAY(EOMONTH($A138,0))),MOD((YEAR($A138)-YEAR('Recurring Schedule'!$F$41))*12+MONTH($A138)-MONTH('Recurring Schedule'!$F$41),'Recurring Schedule'!$O$41)=0),IF('Recurring Schedule'!$E$41="Weekdays",WEEKDAY($A138,2)&lt;=5,$A138='Recurring Schedule'!$F$41))),36,""))))</f>
        <v/>
      </c>
      <c r="AL138">
        <f>IF('Recurring Schedule'!$C$42="","",IF('Recurring Schedule'!$F$42="","",IF(OR($A138&lt;'Recurring Schedule'!$F$42,$A138&gt;'Recurring Schedule'!$P$42),"",IF(IF('Recurring Schedule'!$N$42&gt;0,MOD($A138-'Recurring Schedule'!$F$42,'Recurring Schedule'!$N$42)=0,IF('Recurring Schedule'!$O$42&gt;0,AND(DAY($A138)=MIN(DAY('Recurring Schedule'!$F$42),DAY(EOMONTH($A138,0))),MOD((YEAR($A138)-YEAR('Recurring Schedule'!$F$42))*12+MONTH($A138)-MONTH('Recurring Schedule'!$F$42),'Recurring Schedule'!$O$42)=0),IF('Recurring Schedule'!$E$42="Weekdays",WEEKDAY($A138,2)&lt;=5,$A138='Recurring Schedule'!$F$42))),37,""))))</f>
        <v/>
      </c>
      <c r="AM138">
        <f>IF('Recurring Schedule'!$C$43="","",IF('Recurring Schedule'!$F$43="","",IF(OR($A138&lt;'Recurring Schedule'!$F$43,$A138&gt;'Recurring Schedule'!$P$43),"",IF(IF('Recurring Schedule'!$N$43&gt;0,MOD($A138-'Recurring Schedule'!$F$43,'Recurring Schedule'!$N$43)=0,IF('Recurring Schedule'!$O$43&gt;0,AND(DAY($A138)=MIN(DAY('Recurring Schedule'!$F$43),DAY(EOMONTH($A138,0))),MOD((YEAR($A138)-YEAR('Recurring Schedule'!$F$43))*12+MONTH($A138)-MONTH('Recurring Schedule'!$F$43),'Recurring Schedule'!$O$43)=0),IF('Recurring Schedule'!$E$43="Weekdays",WEEKDAY($A138,2)&lt;=5,$A138='Recurring Schedule'!$F$43))),38,""))))</f>
        <v/>
      </c>
      <c r="AN138">
        <f>IF('Recurring Schedule'!$C$44="","",IF('Recurring Schedule'!$F$44="","",IF(OR($A138&lt;'Recurring Schedule'!$F$44,$A138&gt;'Recurring Schedule'!$P$44),"",IF(IF('Recurring Schedule'!$N$44&gt;0,MOD($A138-'Recurring Schedule'!$F$44,'Recurring Schedule'!$N$44)=0,IF('Recurring Schedule'!$O$44&gt;0,AND(DAY($A138)=MIN(DAY('Recurring Schedule'!$F$44),DAY(EOMONTH($A138,0))),MOD((YEAR($A138)-YEAR('Recurring Schedule'!$F$44))*12+MONTH($A138)-MONTH('Recurring Schedule'!$F$44),'Recurring Schedule'!$O$44)=0),IF('Recurring Schedule'!$E$44="Weekdays",WEEKDAY($A138,2)&lt;=5,$A138='Recurring Schedule'!$F$44))),39,""))))</f>
        <v/>
      </c>
      <c r="AO138">
        <f>IF('Recurring Schedule'!$C$45="","",IF('Recurring Schedule'!$F$45="","",IF(OR($A138&lt;'Recurring Schedule'!$F$45,$A138&gt;'Recurring Schedule'!$P$45),"",IF(IF('Recurring Schedule'!$N$45&gt;0,MOD($A138-'Recurring Schedule'!$F$45,'Recurring Schedule'!$N$45)=0,IF('Recurring Schedule'!$O$45&gt;0,AND(DAY($A138)=MIN(DAY('Recurring Schedule'!$F$45),DAY(EOMONTH($A138,0))),MOD((YEAR($A138)-YEAR('Recurring Schedule'!$F$45))*12+MONTH($A138)-MONTH('Recurring Schedule'!$F$45),'Recurring Schedule'!$O$45)=0),IF('Recurring Schedule'!$E$45="Weekdays",WEEKDAY($A138,2)&lt;=5,$A138='Recurring Schedule'!$F$45))),40,""))))</f>
        <v/>
      </c>
      <c r="AP138">
        <f>COUNT(B138:AO138)</f>
        <v/>
      </c>
      <c r="AQ138">
        <f>AQ137+AP137</f>
        <v/>
      </c>
      <c r="AS138" t="inlineStr">
        <is>
          <t>R</t>
        </is>
      </c>
      <c r="AT138" t="n">
        <v>142</v>
      </c>
      <c r="AU138">
        <f>'Recurring Log'!C142&amp;""</f>
        <v/>
      </c>
      <c r="AV138">
        <f>'Recurring Log'!D142&amp;""</f>
        <v/>
      </c>
      <c r="AW138">
        <f>IF('Recurring Log'!E142="","",'Recurring Log'!E142)</f>
        <v/>
      </c>
      <c r="AX138">
        <f>IF('Recurring Log'!G142="","",'Recurring Log'!G142)</f>
        <v/>
      </c>
      <c r="AY138">
        <f>IF('Recurring Log'!H142="","",'Recurring Log'!H142)</f>
        <v/>
      </c>
      <c r="AZ138">
        <f>IF(AU138="","",IF('Recurring Log'!J142="","Not Started",'Recurring Log'!J142))</f>
        <v/>
      </c>
      <c r="BA138">
        <f>'Recurring Log'!L142&amp;""</f>
        <v/>
      </c>
      <c r="BB138">
        <f>'Recurring Log'!M142&amp;""</f>
        <v/>
      </c>
      <c r="BC138">
        <f>'Recurring Log'!N142&amp;""</f>
        <v/>
      </c>
      <c r="BD138">
        <f>'Recurring Log'!O142&amp;""</f>
        <v/>
      </c>
      <c r="BE138">
        <f>IF('Recurring Log'!K142="","",'Recurring Log'!K142)</f>
        <v/>
      </c>
      <c r="BF138">
        <f>IFERROR(MATCH(BA138,Setup!$L$6:$L$9,0),5)</f>
        <v/>
      </c>
      <c r="BG138">
        <f>IF(OR(AZ138="Done",AZ138="Cancelled"),1,0)</f>
        <v/>
      </c>
      <c r="BH138">
        <f>IF(AND(AU138&lt;&gt;"",ISNUMBER(AW138)),1,0)</f>
        <v/>
      </c>
      <c r="BI138">
        <f>IF(BH138=0,0,IF(AND(AW138&gt;='Tasks Filter'!$F$3,AW138&lt;='Tasks Filter'!$F$4,OR('Tasks Filter'!$I$3="",ISNUMBER(SEARCH('Tasks Filter'!$I$3,AU138))),OR('Tasks Filter'!$I$4="",BF138=IFERROR(MATCH('Tasks Filter'!$I$4,Setup!$L$6:$L$9,0),0)),OR('Tasks Filter'!$I$5="Both",AND('Tasks Filter'!$I$5="Yes",BB138="✓"),AND('Tasks Filter'!$I$5="No",BB138&lt;&gt;"✓")),OR('Tasks Filter'!$L$3="",AV138='Tasks Filter'!$L$3),OR('Tasks Filter'!$L$4="",AZ138='Tasks Filter'!$L$4),OR('Tasks Filter'!$L$5="",BC138='Tasks Filter'!$L$5),OR('Tasks Filter'!$O$3="",BD138='Tasks Filter'!$O$3),OR('Tasks Filter'!$O$4="Yes",BG138=0)),1,0))</f>
        <v/>
      </c>
      <c r="BJ138">
        <f>IF(BH138=0,"",IF('Tasks Filter'!$F$6="Descending",-1,1)*CHOOSE(MATCH('Tasks Filter'!$F$5,Lists!$G$2:$G$6,0),AW138,BF138,IFERROR(MATCH(AV138,Setup!$F$6:$F$15,0),99),IFERROR(MATCH(BC138,Setup!$H$6:$H$15,0),99),IFERROR(MATCH(AZ138,Setup!$J$6:$J$11,0),99))*1E+9+(AW138-40000)*10000+137)</f>
        <v/>
      </c>
      <c r="BK138">
        <f>IF(BI138=1,BJ138,"")</f>
        <v/>
      </c>
      <c r="BL138">
        <f>IF(AND(BH138=1,BG138=0,N(AW138)&lt;Setup!$D$7),(AW138-40000)*10000+137,"")</f>
        <v/>
      </c>
      <c r="BM138">
        <f>IF(AND(BH138=1,AZ138&lt;&gt;"Cancelled",N(AW138)&gt;=Dashboard!$AB$3,N(AW138)&lt;=Dashboard!$AB$3+6),(AW138-40000)*100000+BF138*10000+137,"")</f>
        <v/>
      </c>
      <c r="BN138">
        <f>IF(AND(BH138=1,AZ138&lt;&gt;"Cancelled"),BF138*10000+137,"")</f>
        <v/>
      </c>
    </row>
    <row r="139">
      <c r="A139">
        <f>Setup!$D$5+137</f>
        <v/>
      </c>
      <c r="B139">
        <f>IF('Recurring Schedule'!$C$6="","",IF('Recurring Schedule'!$F$6="","",IF(OR($A139&lt;'Recurring Schedule'!$F$6,$A139&gt;'Recurring Schedule'!$P$6),"",IF(IF('Recurring Schedule'!$N$6&gt;0,MOD($A139-'Recurring Schedule'!$F$6,'Recurring Schedule'!$N$6)=0,IF('Recurring Schedule'!$O$6&gt;0,AND(DAY($A139)=MIN(DAY('Recurring Schedule'!$F$6),DAY(EOMONTH($A139,0))),MOD((YEAR($A139)-YEAR('Recurring Schedule'!$F$6))*12+MONTH($A139)-MONTH('Recurring Schedule'!$F$6),'Recurring Schedule'!$O$6)=0),IF('Recurring Schedule'!$E$6="Weekdays",WEEKDAY($A139,2)&lt;=5,$A139='Recurring Schedule'!$F$6))),1,""))))</f>
        <v/>
      </c>
      <c r="C139">
        <f>IF('Recurring Schedule'!$C$7="","",IF('Recurring Schedule'!$F$7="","",IF(OR($A139&lt;'Recurring Schedule'!$F$7,$A139&gt;'Recurring Schedule'!$P$7),"",IF(IF('Recurring Schedule'!$N$7&gt;0,MOD($A139-'Recurring Schedule'!$F$7,'Recurring Schedule'!$N$7)=0,IF('Recurring Schedule'!$O$7&gt;0,AND(DAY($A139)=MIN(DAY('Recurring Schedule'!$F$7),DAY(EOMONTH($A139,0))),MOD((YEAR($A139)-YEAR('Recurring Schedule'!$F$7))*12+MONTH($A139)-MONTH('Recurring Schedule'!$F$7),'Recurring Schedule'!$O$7)=0),IF('Recurring Schedule'!$E$7="Weekdays",WEEKDAY($A139,2)&lt;=5,$A139='Recurring Schedule'!$F$7))),2,""))))</f>
        <v/>
      </c>
      <c r="D139">
        <f>IF('Recurring Schedule'!$C$8="","",IF('Recurring Schedule'!$F$8="","",IF(OR($A139&lt;'Recurring Schedule'!$F$8,$A139&gt;'Recurring Schedule'!$P$8),"",IF(IF('Recurring Schedule'!$N$8&gt;0,MOD($A139-'Recurring Schedule'!$F$8,'Recurring Schedule'!$N$8)=0,IF('Recurring Schedule'!$O$8&gt;0,AND(DAY($A139)=MIN(DAY('Recurring Schedule'!$F$8),DAY(EOMONTH($A139,0))),MOD((YEAR($A139)-YEAR('Recurring Schedule'!$F$8))*12+MONTH($A139)-MONTH('Recurring Schedule'!$F$8),'Recurring Schedule'!$O$8)=0),IF('Recurring Schedule'!$E$8="Weekdays",WEEKDAY($A139,2)&lt;=5,$A139='Recurring Schedule'!$F$8))),3,""))))</f>
        <v/>
      </c>
      <c r="E139">
        <f>IF('Recurring Schedule'!$C$9="","",IF('Recurring Schedule'!$F$9="","",IF(OR($A139&lt;'Recurring Schedule'!$F$9,$A139&gt;'Recurring Schedule'!$P$9),"",IF(IF('Recurring Schedule'!$N$9&gt;0,MOD($A139-'Recurring Schedule'!$F$9,'Recurring Schedule'!$N$9)=0,IF('Recurring Schedule'!$O$9&gt;0,AND(DAY($A139)=MIN(DAY('Recurring Schedule'!$F$9),DAY(EOMONTH($A139,0))),MOD((YEAR($A139)-YEAR('Recurring Schedule'!$F$9))*12+MONTH($A139)-MONTH('Recurring Schedule'!$F$9),'Recurring Schedule'!$O$9)=0),IF('Recurring Schedule'!$E$9="Weekdays",WEEKDAY($A139,2)&lt;=5,$A139='Recurring Schedule'!$F$9))),4,""))))</f>
        <v/>
      </c>
      <c r="F139">
        <f>IF('Recurring Schedule'!$C$10="","",IF('Recurring Schedule'!$F$10="","",IF(OR($A139&lt;'Recurring Schedule'!$F$10,$A139&gt;'Recurring Schedule'!$P$10),"",IF(IF('Recurring Schedule'!$N$10&gt;0,MOD($A139-'Recurring Schedule'!$F$10,'Recurring Schedule'!$N$10)=0,IF('Recurring Schedule'!$O$10&gt;0,AND(DAY($A139)=MIN(DAY('Recurring Schedule'!$F$10),DAY(EOMONTH($A139,0))),MOD((YEAR($A139)-YEAR('Recurring Schedule'!$F$10))*12+MONTH($A139)-MONTH('Recurring Schedule'!$F$10),'Recurring Schedule'!$O$10)=0),IF('Recurring Schedule'!$E$10="Weekdays",WEEKDAY($A139,2)&lt;=5,$A139='Recurring Schedule'!$F$10))),5,""))))</f>
        <v/>
      </c>
      <c r="G139">
        <f>IF('Recurring Schedule'!$C$11="","",IF('Recurring Schedule'!$F$11="","",IF(OR($A139&lt;'Recurring Schedule'!$F$11,$A139&gt;'Recurring Schedule'!$P$11),"",IF(IF('Recurring Schedule'!$N$11&gt;0,MOD($A139-'Recurring Schedule'!$F$11,'Recurring Schedule'!$N$11)=0,IF('Recurring Schedule'!$O$11&gt;0,AND(DAY($A139)=MIN(DAY('Recurring Schedule'!$F$11),DAY(EOMONTH($A139,0))),MOD((YEAR($A139)-YEAR('Recurring Schedule'!$F$11))*12+MONTH($A139)-MONTH('Recurring Schedule'!$F$11),'Recurring Schedule'!$O$11)=0),IF('Recurring Schedule'!$E$11="Weekdays",WEEKDAY($A139,2)&lt;=5,$A139='Recurring Schedule'!$F$11))),6,""))))</f>
        <v/>
      </c>
      <c r="H139">
        <f>IF('Recurring Schedule'!$C$12="","",IF('Recurring Schedule'!$F$12="","",IF(OR($A139&lt;'Recurring Schedule'!$F$12,$A139&gt;'Recurring Schedule'!$P$12),"",IF(IF('Recurring Schedule'!$N$12&gt;0,MOD($A139-'Recurring Schedule'!$F$12,'Recurring Schedule'!$N$12)=0,IF('Recurring Schedule'!$O$12&gt;0,AND(DAY($A139)=MIN(DAY('Recurring Schedule'!$F$12),DAY(EOMONTH($A139,0))),MOD((YEAR($A139)-YEAR('Recurring Schedule'!$F$12))*12+MONTH($A139)-MONTH('Recurring Schedule'!$F$12),'Recurring Schedule'!$O$12)=0),IF('Recurring Schedule'!$E$12="Weekdays",WEEKDAY($A139,2)&lt;=5,$A139='Recurring Schedule'!$F$12))),7,""))))</f>
        <v/>
      </c>
      <c r="I139">
        <f>IF('Recurring Schedule'!$C$13="","",IF('Recurring Schedule'!$F$13="","",IF(OR($A139&lt;'Recurring Schedule'!$F$13,$A139&gt;'Recurring Schedule'!$P$13),"",IF(IF('Recurring Schedule'!$N$13&gt;0,MOD($A139-'Recurring Schedule'!$F$13,'Recurring Schedule'!$N$13)=0,IF('Recurring Schedule'!$O$13&gt;0,AND(DAY($A139)=MIN(DAY('Recurring Schedule'!$F$13),DAY(EOMONTH($A139,0))),MOD((YEAR($A139)-YEAR('Recurring Schedule'!$F$13))*12+MONTH($A139)-MONTH('Recurring Schedule'!$F$13),'Recurring Schedule'!$O$13)=0),IF('Recurring Schedule'!$E$13="Weekdays",WEEKDAY($A139,2)&lt;=5,$A139='Recurring Schedule'!$F$13))),8,""))))</f>
        <v/>
      </c>
      <c r="J139">
        <f>IF('Recurring Schedule'!$C$14="","",IF('Recurring Schedule'!$F$14="","",IF(OR($A139&lt;'Recurring Schedule'!$F$14,$A139&gt;'Recurring Schedule'!$P$14),"",IF(IF('Recurring Schedule'!$N$14&gt;0,MOD($A139-'Recurring Schedule'!$F$14,'Recurring Schedule'!$N$14)=0,IF('Recurring Schedule'!$O$14&gt;0,AND(DAY($A139)=MIN(DAY('Recurring Schedule'!$F$14),DAY(EOMONTH($A139,0))),MOD((YEAR($A139)-YEAR('Recurring Schedule'!$F$14))*12+MONTH($A139)-MONTH('Recurring Schedule'!$F$14),'Recurring Schedule'!$O$14)=0),IF('Recurring Schedule'!$E$14="Weekdays",WEEKDAY($A139,2)&lt;=5,$A139='Recurring Schedule'!$F$14))),9,""))))</f>
        <v/>
      </c>
      <c r="K139">
        <f>IF('Recurring Schedule'!$C$15="","",IF('Recurring Schedule'!$F$15="","",IF(OR($A139&lt;'Recurring Schedule'!$F$15,$A139&gt;'Recurring Schedule'!$P$15),"",IF(IF('Recurring Schedule'!$N$15&gt;0,MOD($A139-'Recurring Schedule'!$F$15,'Recurring Schedule'!$N$15)=0,IF('Recurring Schedule'!$O$15&gt;0,AND(DAY($A139)=MIN(DAY('Recurring Schedule'!$F$15),DAY(EOMONTH($A139,0))),MOD((YEAR($A139)-YEAR('Recurring Schedule'!$F$15))*12+MONTH($A139)-MONTH('Recurring Schedule'!$F$15),'Recurring Schedule'!$O$15)=0),IF('Recurring Schedule'!$E$15="Weekdays",WEEKDAY($A139,2)&lt;=5,$A139='Recurring Schedule'!$F$15))),10,""))))</f>
        <v/>
      </c>
      <c r="L139">
        <f>IF('Recurring Schedule'!$C$16="","",IF('Recurring Schedule'!$F$16="","",IF(OR($A139&lt;'Recurring Schedule'!$F$16,$A139&gt;'Recurring Schedule'!$P$16),"",IF(IF('Recurring Schedule'!$N$16&gt;0,MOD($A139-'Recurring Schedule'!$F$16,'Recurring Schedule'!$N$16)=0,IF('Recurring Schedule'!$O$16&gt;0,AND(DAY($A139)=MIN(DAY('Recurring Schedule'!$F$16),DAY(EOMONTH($A139,0))),MOD((YEAR($A139)-YEAR('Recurring Schedule'!$F$16))*12+MONTH($A139)-MONTH('Recurring Schedule'!$F$16),'Recurring Schedule'!$O$16)=0),IF('Recurring Schedule'!$E$16="Weekdays",WEEKDAY($A139,2)&lt;=5,$A139='Recurring Schedule'!$F$16))),11,""))))</f>
        <v/>
      </c>
      <c r="M139">
        <f>IF('Recurring Schedule'!$C$17="","",IF('Recurring Schedule'!$F$17="","",IF(OR($A139&lt;'Recurring Schedule'!$F$17,$A139&gt;'Recurring Schedule'!$P$17),"",IF(IF('Recurring Schedule'!$N$17&gt;0,MOD($A139-'Recurring Schedule'!$F$17,'Recurring Schedule'!$N$17)=0,IF('Recurring Schedule'!$O$17&gt;0,AND(DAY($A139)=MIN(DAY('Recurring Schedule'!$F$17),DAY(EOMONTH($A139,0))),MOD((YEAR($A139)-YEAR('Recurring Schedule'!$F$17))*12+MONTH($A139)-MONTH('Recurring Schedule'!$F$17),'Recurring Schedule'!$O$17)=0),IF('Recurring Schedule'!$E$17="Weekdays",WEEKDAY($A139,2)&lt;=5,$A139='Recurring Schedule'!$F$17))),12,""))))</f>
        <v/>
      </c>
      <c r="N139">
        <f>IF('Recurring Schedule'!$C$18="","",IF('Recurring Schedule'!$F$18="","",IF(OR($A139&lt;'Recurring Schedule'!$F$18,$A139&gt;'Recurring Schedule'!$P$18),"",IF(IF('Recurring Schedule'!$N$18&gt;0,MOD($A139-'Recurring Schedule'!$F$18,'Recurring Schedule'!$N$18)=0,IF('Recurring Schedule'!$O$18&gt;0,AND(DAY($A139)=MIN(DAY('Recurring Schedule'!$F$18),DAY(EOMONTH($A139,0))),MOD((YEAR($A139)-YEAR('Recurring Schedule'!$F$18))*12+MONTH($A139)-MONTH('Recurring Schedule'!$F$18),'Recurring Schedule'!$O$18)=0),IF('Recurring Schedule'!$E$18="Weekdays",WEEKDAY($A139,2)&lt;=5,$A139='Recurring Schedule'!$F$18))),13,""))))</f>
        <v/>
      </c>
      <c r="O139">
        <f>IF('Recurring Schedule'!$C$19="","",IF('Recurring Schedule'!$F$19="","",IF(OR($A139&lt;'Recurring Schedule'!$F$19,$A139&gt;'Recurring Schedule'!$P$19),"",IF(IF('Recurring Schedule'!$N$19&gt;0,MOD($A139-'Recurring Schedule'!$F$19,'Recurring Schedule'!$N$19)=0,IF('Recurring Schedule'!$O$19&gt;0,AND(DAY($A139)=MIN(DAY('Recurring Schedule'!$F$19),DAY(EOMONTH($A139,0))),MOD((YEAR($A139)-YEAR('Recurring Schedule'!$F$19))*12+MONTH($A139)-MONTH('Recurring Schedule'!$F$19),'Recurring Schedule'!$O$19)=0),IF('Recurring Schedule'!$E$19="Weekdays",WEEKDAY($A139,2)&lt;=5,$A139='Recurring Schedule'!$F$19))),14,""))))</f>
        <v/>
      </c>
      <c r="P139">
        <f>IF('Recurring Schedule'!$C$20="","",IF('Recurring Schedule'!$F$20="","",IF(OR($A139&lt;'Recurring Schedule'!$F$20,$A139&gt;'Recurring Schedule'!$P$20),"",IF(IF('Recurring Schedule'!$N$20&gt;0,MOD($A139-'Recurring Schedule'!$F$20,'Recurring Schedule'!$N$20)=0,IF('Recurring Schedule'!$O$20&gt;0,AND(DAY($A139)=MIN(DAY('Recurring Schedule'!$F$20),DAY(EOMONTH($A139,0))),MOD((YEAR($A139)-YEAR('Recurring Schedule'!$F$20))*12+MONTH($A139)-MONTH('Recurring Schedule'!$F$20),'Recurring Schedule'!$O$20)=0),IF('Recurring Schedule'!$E$20="Weekdays",WEEKDAY($A139,2)&lt;=5,$A139='Recurring Schedule'!$F$20))),15,""))))</f>
        <v/>
      </c>
      <c r="Q139">
        <f>IF('Recurring Schedule'!$C$21="","",IF('Recurring Schedule'!$F$21="","",IF(OR($A139&lt;'Recurring Schedule'!$F$21,$A139&gt;'Recurring Schedule'!$P$21),"",IF(IF('Recurring Schedule'!$N$21&gt;0,MOD($A139-'Recurring Schedule'!$F$21,'Recurring Schedule'!$N$21)=0,IF('Recurring Schedule'!$O$21&gt;0,AND(DAY($A139)=MIN(DAY('Recurring Schedule'!$F$21),DAY(EOMONTH($A139,0))),MOD((YEAR($A139)-YEAR('Recurring Schedule'!$F$21))*12+MONTH($A139)-MONTH('Recurring Schedule'!$F$21),'Recurring Schedule'!$O$21)=0),IF('Recurring Schedule'!$E$21="Weekdays",WEEKDAY($A139,2)&lt;=5,$A139='Recurring Schedule'!$F$21))),16,""))))</f>
        <v/>
      </c>
      <c r="R139">
        <f>IF('Recurring Schedule'!$C$22="","",IF('Recurring Schedule'!$F$22="","",IF(OR($A139&lt;'Recurring Schedule'!$F$22,$A139&gt;'Recurring Schedule'!$P$22),"",IF(IF('Recurring Schedule'!$N$22&gt;0,MOD($A139-'Recurring Schedule'!$F$22,'Recurring Schedule'!$N$22)=0,IF('Recurring Schedule'!$O$22&gt;0,AND(DAY($A139)=MIN(DAY('Recurring Schedule'!$F$22),DAY(EOMONTH($A139,0))),MOD((YEAR($A139)-YEAR('Recurring Schedule'!$F$22))*12+MONTH($A139)-MONTH('Recurring Schedule'!$F$22),'Recurring Schedule'!$O$22)=0),IF('Recurring Schedule'!$E$22="Weekdays",WEEKDAY($A139,2)&lt;=5,$A139='Recurring Schedule'!$F$22))),17,""))))</f>
        <v/>
      </c>
      <c r="S139">
        <f>IF('Recurring Schedule'!$C$23="","",IF('Recurring Schedule'!$F$23="","",IF(OR($A139&lt;'Recurring Schedule'!$F$23,$A139&gt;'Recurring Schedule'!$P$23),"",IF(IF('Recurring Schedule'!$N$23&gt;0,MOD($A139-'Recurring Schedule'!$F$23,'Recurring Schedule'!$N$23)=0,IF('Recurring Schedule'!$O$23&gt;0,AND(DAY($A139)=MIN(DAY('Recurring Schedule'!$F$23),DAY(EOMONTH($A139,0))),MOD((YEAR($A139)-YEAR('Recurring Schedule'!$F$23))*12+MONTH($A139)-MONTH('Recurring Schedule'!$F$23),'Recurring Schedule'!$O$23)=0),IF('Recurring Schedule'!$E$23="Weekdays",WEEKDAY($A139,2)&lt;=5,$A139='Recurring Schedule'!$F$23))),18,""))))</f>
        <v/>
      </c>
      <c r="T139">
        <f>IF('Recurring Schedule'!$C$24="","",IF('Recurring Schedule'!$F$24="","",IF(OR($A139&lt;'Recurring Schedule'!$F$24,$A139&gt;'Recurring Schedule'!$P$24),"",IF(IF('Recurring Schedule'!$N$24&gt;0,MOD($A139-'Recurring Schedule'!$F$24,'Recurring Schedule'!$N$24)=0,IF('Recurring Schedule'!$O$24&gt;0,AND(DAY($A139)=MIN(DAY('Recurring Schedule'!$F$24),DAY(EOMONTH($A139,0))),MOD((YEAR($A139)-YEAR('Recurring Schedule'!$F$24))*12+MONTH($A139)-MONTH('Recurring Schedule'!$F$24),'Recurring Schedule'!$O$24)=0),IF('Recurring Schedule'!$E$24="Weekdays",WEEKDAY($A139,2)&lt;=5,$A139='Recurring Schedule'!$F$24))),19,""))))</f>
        <v/>
      </c>
      <c r="U139">
        <f>IF('Recurring Schedule'!$C$25="","",IF('Recurring Schedule'!$F$25="","",IF(OR($A139&lt;'Recurring Schedule'!$F$25,$A139&gt;'Recurring Schedule'!$P$25),"",IF(IF('Recurring Schedule'!$N$25&gt;0,MOD($A139-'Recurring Schedule'!$F$25,'Recurring Schedule'!$N$25)=0,IF('Recurring Schedule'!$O$25&gt;0,AND(DAY($A139)=MIN(DAY('Recurring Schedule'!$F$25),DAY(EOMONTH($A139,0))),MOD((YEAR($A139)-YEAR('Recurring Schedule'!$F$25))*12+MONTH($A139)-MONTH('Recurring Schedule'!$F$25),'Recurring Schedule'!$O$25)=0),IF('Recurring Schedule'!$E$25="Weekdays",WEEKDAY($A139,2)&lt;=5,$A139='Recurring Schedule'!$F$25))),20,""))))</f>
        <v/>
      </c>
      <c r="V139">
        <f>IF('Recurring Schedule'!$C$26="","",IF('Recurring Schedule'!$F$26="","",IF(OR($A139&lt;'Recurring Schedule'!$F$26,$A139&gt;'Recurring Schedule'!$P$26),"",IF(IF('Recurring Schedule'!$N$26&gt;0,MOD($A139-'Recurring Schedule'!$F$26,'Recurring Schedule'!$N$26)=0,IF('Recurring Schedule'!$O$26&gt;0,AND(DAY($A139)=MIN(DAY('Recurring Schedule'!$F$26),DAY(EOMONTH($A139,0))),MOD((YEAR($A139)-YEAR('Recurring Schedule'!$F$26))*12+MONTH($A139)-MONTH('Recurring Schedule'!$F$26),'Recurring Schedule'!$O$26)=0),IF('Recurring Schedule'!$E$26="Weekdays",WEEKDAY($A139,2)&lt;=5,$A139='Recurring Schedule'!$F$26))),21,""))))</f>
        <v/>
      </c>
      <c r="W139">
        <f>IF('Recurring Schedule'!$C$27="","",IF('Recurring Schedule'!$F$27="","",IF(OR($A139&lt;'Recurring Schedule'!$F$27,$A139&gt;'Recurring Schedule'!$P$27),"",IF(IF('Recurring Schedule'!$N$27&gt;0,MOD($A139-'Recurring Schedule'!$F$27,'Recurring Schedule'!$N$27)=0,IF('Recurring Schedule'!$O$27&gt;0,AND(DAY($A139)=MIN(DAY('Recurring Schedule'!$F$27),DAY(EOMONTH($A139,0))),MOD((YEAR($A139)-YEAR('Recurring Schedule'!$F$27))*12+MONTH($A139)-MONTH('Recurring Schedule'!$F$27),'Recurring Schedule'!$O$27)=0),IF('Recurring Schedule'!$E$27="Weekdays",WEEKDAY($A139,2)&lt;=5,$A139='Recurring Schedule'!$F$27))),22,""))))</f>
        <v/>
      </c>
      <c r="X139">
        <f>IF('Recurring Schedule'!$C$28="","",IF('Recurring Schedule'!$F$28="","",IF(OR($A139&lt;'Recurring Schedule'!$F$28,$A139&gt;'Recurring Schedule'!$P$28),"",IF(IF('Recurring Schedule'!$N$28&gt;0,MOD($A139-'Recurring Schedule'!$F$28,'Recurring Schedule'!$N$28)=0,IF('Recurring Schedule'!$O$28&gt;0,AND(DAY($A139)=MIN(DAY('Recurring Schedule'!$F$28),DAY(EOMONTH($A139,0))),MOD((YEAR($A139)-YEAR('Recurring Schedule'!$F$28))*12+MONTH($A139)-MONTH('Recurring Schedule'!$F$28),'Recurring Schedule'!$O$28)=0),IF('Recurring Schedule'!$E$28="Weekdays",WEEKDAY($A139,2)&lt;=5,$A139='Recurring Schedule'!$F$28))),23,""))))</f>
        <v/>
      </c>
      <c r="Y139">
        <f>IF('Recurring Schedule'!$C$29="","",IF('Recurring Schedule'!$F$29="","",IF(OR($A139&lt;'Recurring Schedule'!$F$29,$A139&gt;'Recurring Schedule'!$P$29),"",IF(IF('Recurring Schedule'!$N$29&gt;0,MOD($A139-'Recurring Schedule'!$F$29,'Recurring Schedule'!$N$29)=0,IF('Recurring Schedule'!$O$29&gt;0,AND(DAY($A139)=MIN(DAY('Recurring Schedule'!$F$29),DAY(EOMONTH($A139,0))),MOD((YEAR($A139)-YEAR('Recurring Schedule'!$F$29))*12+MONTH($A139)-MONTH('Recurring Schedule'!$F$29),'Recurring Schedule'!$O$29)=0),IF('Recurring Schedule'!$E$29="Weekdays",WEEKDAY($A139,2)&lt;=5,$A139='Recurring Schedule'!$F$29))),24,""))))</f>
        <v/>
      </c>
      <c r="Z139">
        <f>IF('Recurring Schedule'!$C$30="","",IF('Recurring Schedule'!$F$30="","",IF(OR($A139&lt;'Recurring Schedule'!$F$30,$A139&gt;'Recurring Schedule'!$P$30),"",IF(IF('Recurring Schedule'!$N$30&gt;0,MOD($A139-'Recurring Schedule'!$F$30,'Recurring Schedule'!$N$30)=0,IF('Recurring Schedule'!$O$30&gt;0,AND(DAY($A139)=MIN(DAY('Recurring Schedule'!$F$30),DAY(EOMONTH($A139,0))),MOD((YEAR($A139)-YEAR('Recurring Schedule'!$F$30))*12+MONTH($A139)-MONTH('Recurring Schedule'!$F$30),'Recurring Schedule'!$O$30)=0),IF('Recurring Schedule'!$E$30="Weekdays",WEEKDAY($A139,2)&lt;=5,$A139='Recurring Schedule'!$F$30))),25,""))))</f>
        <v/>
      </c>
      <c r="AA139">
        <f>IF('Recurring Schedule'!$C$31="","",IF('Recurring Schedule'!$F$31="","",IF(OR($A139&lt;'Recurring Schedule'!$F$31,$A139&gt;'Recurring Schedule'!$P$31),"",IF(IF('Recurring Schedule'!$N$31&gt;0,MOD($A139-'Recurring Schedule'!$F$31,'Recurring Schedule'!$N$31)=0,IF('Recurring Schedule'!$O$31&gt;0,AND(DAY($A139)=MIN(DAY('Recurring Schedule'!$F$31),DAY(EOMONTH($A139,0))),MOD((YEAR($A139)-YEAR('Recurring Schedule'!$F$31))*12+MONTH($A139)-MONTH('Recurring Schedule'!$F$31),'Recurring Schedule'!$O$31)=0),IF('Recurring Schedule'!$E$31="Weekdays",WEEKDAY($A139,2)&lt;=5,$A139='Recurring Schedule'!$F$31))),26,""))))</f>
        <v/>
      </c>
      <c r="AB139">
        <f>IF('Recurring Schedule'!$C$32="","",IF('Recurring Schedule'!$F$32="","",IF(OR($A139&lt;'Recurring Schedule'!$F$32,$A139&gt;'Recurring Schedule'!$P$32),"",IF(IF('Recurring Schedule'!$N$32&gt;0,MOD($A139-'Recurring Schedule'!$F$32,'Recurring Schedule'!$N$32)=0,IF('Recurring Schedule'!$O$32&gt;0,AND(DAY($A139)=MIN(DAY('Recurring Schedule'!$F$32),DAY(EOMONTH($A139,0))),MOD((YEAR($A139)-YEAR('Recurring Schedule'!$F$32))*12+MONTH($A139)-MONTH('Recurring Schedule'!$F$32),'Recurring Schedule'!$O$32)=0),IF('Recurring Schedule'!$E$32="Weekdays",WEEKDAY($A139,2)&lt;=5,$A139='Recurring Schedule'!$F$32))),27,""))))</f>
        <v/>
      </c>
      <c r="AC139">
        <f>IF('Recurring Schedule'!$C$33="","",IF('Recurring Schedule'!$F$33="","",IF(OR($A139&lt;'Recurring Schedule'!$F$33,$A139&gt;'Recurring Schedule'!$P$33),"",IF(IF('Recurring Schedule'!$N$33&gt;0,MOD($A139-'Recurring Schedule'!$F$33,'Recurring Schedule'!$N$33)=0,IF('Recurring Schedule'!$O$33&gt;0,AND(DAY($A139)=MIN(DAY('Recurring Schedule'!$F$33),DAY(EOMONTH($A139,0))),MOD((YEAR($A139)-YEAR('Recurring Schedule'!$F$33))*12+MONTH($A139)-MONTH('Recurring Schedule'!$F$33),'Recurring Schedule'!$O$33)=0),IF('Recurring Schedule'!$E$33="Weekdays",WEEKDAY($A139,2)&lt;=5,$A139='Recurring Schedule'!$F$33))),28,""))))</f>
        <v/>
      </c>
      <c r="AD139">
        <f>IF('Recurring Schedule'!$C$34="","",IF('Recurring Schedule'!$F$34="","",IF(OR($A139&lt;'Recurring Schedule'!$F$34,$A139&gt;'Recurring Schedule'!$P$34),"",IF(IF('Recurring Schedule'!$N$34&gt;0,MOD($A139-'Recurring Schedule'!$F$34,'Recurring Schedule'!$N$34)=0,IF('Recurring Schedule'!$O$34&gt;0,AND(DAY($A139)=MIN(DAY('Recurring Schedule'!$F$34),DAY(EOMONTH($A139,0))),MOD((YEAR($A139)-YEAR('Recurring Schedule'!$F$34))*12+MONTH($A139)-MONTH('Recurring Schedule'!$F$34),'Recurring Schedule'!$O$34)=0),IF('Recurring Schedule'!$E$34="Weekdays",WEEKDAY($A139,2)&lt;=5,$A139='Recurring Schedule'!$F$34))),29,""))))</f>
        <v/>
      </c>
      <c r="AE139">
        <f>IF('Recurring Schedule'!$C$35="","",IF('Recurring Schedule'!$F$35="","",IF(OR($A139&lt;'Recurring Schedule'!$F$35,$A139&gt;'Recurring Schedule'!$P$35),"",IF(IF('Recurring Schedule'!$N$35&gt;0,MOD($A139-'Recurring Schedule'!$F$35,'Recurring Schedule'!$N$35)=0,IF('Recurring Schedule'!$O$35&gt;0,AND(DAY($A139)=MIN(DAY('Recurring Schedule'!$F$35),DAY(EOMONTH($A139,0))),MOD((YEAR($A139)-YEAR('Recurring Schedule'!$F$35))*12+MONTH($A139)-MONTH('Recurring Schedule'!$F$35),'Recurring Schedule'!$O$35)=0),IF('Recurring Schedule'!$E$35="Weekdays",WEEKDAY($A139,2)&lt;=5,$A139='Recurring Schedule'!$F$35))),30,""))))</f>
        <v/>
      </c>
      <c r="AF139">
        <f>IF('Recurring Schedule'!$C$36="","",IF('Recurring Schedule'!$F$36="","",IF(OR($A139&lt;'Recurring Schedule'!$F$36,$A139&gt;'Recurring Schedule'!$P$36),"",IF(IF('Recurring Schedule'!$N$36&gt;0,MOD($A139-'Recurring Schedule'!$F$36,'Recurring Schedule'!$N$36)=0,IF('Recurring Schedule'!$O$36&gt;0,AND(DAY($A139)=MIN(DAY('Recurring Schedule'!$F$36),DAY(EOMONTH($A139,0))),MOD((YEAR($A139)-YEAR('Recurring Schedule'!$F$36))*12+MONTH($A139)-MONTH('Recurring Schedule'!$F$36),'Recurring Schedule'!$O$36)=0),IF('Recurring Schedule'!$E$36="Weekdays",WEEKDAY($A139,2)&lt;=5,$A139='Recurring Schedule'!$F$36))),31,""))))</f>
        <v/>
      </c>
      <c r="AG139">
        <f>IF('Recurring Schedule'!$C$37="","",IF('Recurring Schedule'!$F$37="","",IF(OR($A139&lt;'Recurring Schedule'!$F$37,$A139&gt;'Recurring Schedule'!$P$37),"",IF(IF('Recurring Schedule'!$N$37&gt;0,MOD($A139-'Recurring Schedule'!$F$37,'Recurring Schedule'!$N$37)=0,IF('Recurring Schedule'!$O$37&gt;0,AND(DAY($A139)=MIN(DAY('Recurring Schedule'!$F$37),DAY(EOMONTH($A139,0))),MOD((YEAR($A139)-YEAR('Recurring Schedule'!$F$37))*12+MONTH($A139)-MONTH('Recurring Schedule'!$F$37),'Recurring Schedule'!$O$37)=0),IF('Recurring Schedule'!$E$37="Weekdays",WEEKDAY($A139,2)&lt;=5,$A139='Recurring Schedule'!$F$37))),32,""))))</f>
        <v/>
      </c>
      <c r="AH139">
        <f>IF('Recurring Schedule'!$C$38="","",IF('Recurring Schedule'!$F$38="","",IF(OR($A139&lt;'Recurring Schedule'!$F$38,$A139&gt;'Recurring Schedule'!$P$38),"",IF(IF('Recurring Schedule'!$N$38&gt;0,MOD($A139-'Recurring Schedule'!$F$38,'Recurring Schedule'!$N$38)=0,IF('Recurring Schedule'!$O$38&gt;0,AND(DAY($A139)=MIN(DAY('Recurring Schedule'!$F$38),DAY(EOMONTH($A139,0))),MOD((YEAR($A139)-YEAR('Recurring Schedule'!$F$38))*12+MONTH($A139)-MONTH('Recurring Schedule'!$F$38),'Recurring Schedule'!$O$38)=0),IF('Recurring Schedule'!$E$38="Weekdays",WEEKDAY($A139,2)&lt;=5,$A139='Recurring Schedule'!$F$38))),33,""))))</f>
        <v/>
      </c>
      <c r="AI139">
        <f>IF('Recurring Schedule'!$C$39="","",IF('Recurring Schedule'!$F$39="","",IF(OR($A139&lt;'Recurring Schedule'!$F$39,$A139&gt;'Recurring Schedule'!$P$39),"",IF(IF('Recurring Schedule'!$N$39&gt;0,MOD($A139-'Recurring Schedule'!$F$39,'Recurring Schedule'!$N$39)=0,IF('Recurring Schedule'!$O$39&gt;0,AND(DAY($A139)=MIN(DAY('Recurring Schedule'!$F$39),DAY(EOMONTH($A139,0))),MOD((YEAR($A139)-YEAR('Recurring Schedule'!$F$39))*12+MONTH($A139)-MONTH('Recurring Schedule'!$F$39),'Recurring Schedule'!$O$39)=0),IF('Recurring Schedule'!$E$39="Weekdays",WEEKDAY($A139,2)&lt;=5,$A139='Recurring Schedule'!$F$39))),34,""))))</f>
        <v/>
      </c>
      <c r="AJ139">
        <f>IF('Recurring Schedule'!$C$40="","",IF('Recurring Schedule'!$F$40="","",IF(OR($A139&lt;'Recurring Schedule'!$F$40,$A139&gt;'Recurring Schedule'!$P$40),"",IF(IF('Recurring Schedule'!$N$40&gt;0,MOD($A139-'Recurring Schedule'!$F$40,'Recurring Schedule'!$N$40)=0,IF('Recurring Schedule'!$O$40&gt;0,AND(DAY($A139)=MIN(DAY('Recurring Schedule'!$F$40),DAY(EOMONTH($A139,0))),MOD((YEAR($A139)-YEAR('Recurring Schedule'!$F$40))*12+MONTH($A139)-MONTH('Recurring Schedule'!$F$40),'Recurring Schedule'!$O$40)=0),IF('Recurring Schedule'!$E$40="Weekdays",WEEKDAY($A139,2)&lt;=5,$A139='Recurring Schedule'!$F$40))),35,""))))</f>
        <v/>
      </c>
      <c r="AK139">
        <f>IF('Recurring Schedule'!$C$41="","",IF('Recurring Schedule'!$F$41="","",IF(OR($A139&lt;'Recurring Schedule'!$F$41,$A139&gt;'Recurring Schedule'!$P$41),"",IF(IF('Recurring Schedule'!$N$41&gt;0,MOD($A139-'Recurring Schedule'!$F$41,'Recurring Schedule'!$N$41)=0,IF('Recurring Schedule'!$O$41&gt;0,AND(DAY($A139)=MIN(DAY('Recurring Schedule'!$F$41),DAY(EOMONTH($A139,0))),MOD((YEAR($A139)-YEAR('Recurring Schedule'!$F$41))*12+MONTH($A139)-MONTH('Recurring Schedule'!$F$41),'Recurring Schedule'!$O$41)=0),IF('Recurring Schedule'!$E$41="Weekdays",WEEKDAY($A139,2)&lt;=5,$A139='Recurring Schedule'!$F$41))),36,""))))</f>
        <v/>
      </c>
      <c r="AL139">
        <f>IF('Recurring Schedule'!$C$42="","",IF('Recurring Schedule'!$F$42="","",IF(OR($A139&lt;'Recurring Schedule'!$F$42,$A139&gt;'Recurring Schedule'!$P$42),"",IF(IF('Recurring Schedule'!$N$42&gt;0,MOD($A139-'Recurring Schedule'!$F$42,'Recurring Schedule'!$N$42)=0,IF('Recurring Schedule'!$O$42&gt;0,AND(DAY($A139)=MIN(DAY('Recurring Schedule'!$F$42),DAY(EOMONTH($A139,0))),MOD((YEAR($A139)-YEAR('Recurring Schedule'!$F$42))*12+MONTH($A139)-MONTH('Recurring Schedule'!$F$42),'Recurring Schedule'!$O$42)=0),IF('Recurring Schedule'!$E$42="Weekdays",WEEKDAY($A139,2)&lt;=5,$A139='Recurring Schedule'!$F$42))),37,""))))</f>
        <v/>
      </c>
      <c r="AM139">
        <f>IF('Recurring Schedule'!$C$43="","",IF('Recurring Schedule'!$F$43="","",IF(OR($A139&lt;'Recurring Schedule'!$F$43,$A139&gt;'Recurring Schedule'!$P$43),"",IF(IF('Recurring Schedule'!$N$43&gt;0,MOD($A139-'Recurring Schedule'!$F$43,'Recurring Schedule'!$N$43)=0,IF('Recurring Schedule'!$O$43&gt;0,AND(DAY($A139)=MIN(DAY('Recurring Schedule'!$F$43),DAY(EOMONTH($A139,0))),MOD((YEAR($A139)-YEAR('Recurring Schedule'!$F$43))*12+MONTH($A139)-MONTH('Recurring Schedule'!$F$43),'Recurring Schedule'!$O$43)=0),IF('Recurring Schedule'!$E$43="Weekdays",WEEKDAY($A139,2)&lt;=5,$A139='Recurring Schedule'!$F$43))),38,""))))</f>
        <v/>
      </c>
      <c r="AN139">
        <f>IF('Recurring Schedule'!$C$44="","",IF('Recurring Schedule'!$F$44="","",IF(OR($A139&lt;'Recurring Schedule'!$F$44,$A139&gt;'Recurring Schedule'!$P$44),"",IF(IF('Recurring Schedule'!$N$44&gt;0,MOD($A139-'Recurring Schedule'!$F$44,'Recurring Schedule'!$N$44)=0,IF('Recurring Schedule'!$O$44&gt;0,AND(DAY($A139)=MIN(DAY('Recurring Schedule'!$F$44),DAY(EOMONTH($A139,0))),MOD((YEAR($A139)-YEAR('Recurring Schedule'!$F$44))*12+MONTH($A139)-MONTH('Recurring Schedule'!$F$44),'Recurring Schedule'!$O$44)=0),IF('Recurring Schedule'!$E$44="Weekdays",WEEKDAY($A139,2)&lt;=5,$A139='Recurring Schedule'!$F$44))),39,""))))</f>
        <v/>
      </c>
      <c r="AO139">
        <f>IF('Recurring Schedule'!$C$45="","",IF('Recurring Schedule'!$F$45="","",IF(OR($A139&lt;'Recurring Schedule'!$F$45,$A139&gt;'Recurring Schedule'!$P$45),"",IF(IF('Recurring Schedule'!$N$45&gt;0,MOD($A139-'Recurring Schedule'!$F$45,'Recurring Schedule'!$N$45)=0,IF('Recurring Schedule'!$O$45&gt;0,AND(DAY($A139)=MIN(DAY('Recurring Schedule'!$F$45),DAY(EOMONTH($A139,0))),MOD((YEAR($A139)-YEAR('Recurring Schedule'!$F$45))*12+MONTH($A139)-MONTH('Recurring Schedule'!$F$45),'Recurring Schedule'!$O$45)=0),IF('Recurring Schedule'!$E$45="Weekdays",WEEKDAY($A139,2)&lt;=5,$A139='Recurring Schedule'!$F$45))),40,""))))</f>
        <v/>
      </c>
      <c r="AP139">
        <f>COUNT(B139:AO139)</f>
        <v/>
      </c>
      <c r="AQ139">
        <f>AQ138+AP138</f>
        <v/>
      </c>
      <c r="AS139" t="inlineStr">
        <is>
          <t>R</t>
        </is>
      </c>
      <c r="AT139" t="n">
        <v>143</v>
      </c>
      <c r="AU139">
        <f>'Recurring Log'!C143&amp;""</f>
        <v/>
      </c>
      <c r="AV139">
        <f>'Recurring Log'!D143&amp;""</f>
        <v/>
      </c>
      <c r="AW139">
        <f>IF('Recurring Log'!E143="","",'Recurring Log'!E143)</f>
        <v/>
      </c>
      <c r="AX139">
        <f>IF('Recurring Log'!G143="","",'Recurring Log'!G143)</f>
        <v/>
      </c>
      <c r="AY139">
        <f>IF('Recurring Log'!H143="","",'Recurring Log'!H143)</f>
        <v/>
      </c>
      <c r="AZ139">
        <f>IF(AU139="","",IF('Recurring Log'!J143="","Not Started",'Recurring Log'!J143))</f>
        <v/>
      </c>
      <c r="BA139">
        <f>'Recurring Log'!L143&amp;""</f>
        <v/>
      </c>
      <c r="BB139">
        <f>'Recurring Log'!M143&amp;""</f>
        <v/>
      </c>
      <c r="BC139">
        <f>'Recurring Log'!N143&amp;""</f>
        <v/>
      </c>
      <c r="BD139">
        <f>'Recurring Log'!O143&amp;""</f>
        <v/>
      </c>
      <c r="BE139">
        <f>IF('Recurring Log'!K143="","",'Recurring Log'!K143)</f>
        <v/>
      </c>
      <c r="BF139">
        <f>IFERROR(MATCH(BA139,Setup!$L$6:$L$9,0),5)</f>
        <v/>
      </c>
      <c r="BG139">
        <f>IF(OR(AZ139="Done",AZ139="Cancelled"),1,0)</f>
        <v/>
      </c>
      <c r="BH139">
        <f>IF(AND(AU139&lt;&gt;"",ISNUMBER(AW139)),1,0)</f>
        <v/>
      </c>
      <c r="BI139">
        <f>IF(BH139=0,0,IF(AND(AW139&gt;='Tasks Filter'!$F$3,AW139&lt;='Tasks Filter'!$F$4,OR('Tasks Filter'!$I$3="",ISNUMBER(SEARCH('Tasks Filter'!$I$3,AU139))),OR('Tasks Filter'!$I$4="",BF139=IFERROR(MATCH('Tasks Filter'!$I$4,Setup!$L$6:$L$9,0),0)),OR('Tasks Filter'!$I$5="Both",AND('Tasks Filter'!$I$5="Yes",BB139="✓"),AND('Tasks Filter'!$I$5="No",BB139&lt;&gt;"✓")),OR('Tasks Filter'!$L$3="",AV139='Tasks Filter'!$L$3),OR('Tasks Filter'!$L$4="",AZ139='Tasks Filter'!$L$4),OR('Tasks Filter'!$L$5="",BC139='Tasks Filter'!$L$5),OR('Tasks Filter'!$O$3="",BD139='Tasks Filter'!$O$3),OR('Tasks Filter'!$O$4="Yes",BG139=0)),1,0))</f>
        <v/>
      </c>
      <c r="BJ139">
        <f>IF(BH139=0,"",IF('Tasks Filter'!$F$6="Descending",-1,1)*CHOOSE(MATCH('Tasks Filter'!$F$5,Lists!$G$2:$G$6,0),AW139,BF139,IFERROR(MATCH(AV139,Setup!$F$6:$F$15,0),99),IFERROR(MATCH(BC139,Setup!$H$6:$H$15,0),99),IFERROR(MATCH(AZ139,Setup!$J$6:$J$11,0),99))*1E+9+(AW139-40000)*10000+138)</f>
        <v/>
      </c>
      <c r="BK139">
        <f>IF(BI139=1,BJ139,"")</f>
        <v/>
      </c>
      <c r="BL139">
        <f>IF(AND(BH139=1,BG139=0,N(AW139)&lt;Setup!$D$7),(AW139-40000)*10000+138,"")</f>
        <v/>
      </c>
      <c r="BM139">
        <f>IF(AND(BH139=1,AZ139&lt;&gt;"Cancelled",N(AW139)&gt;=Dashboard!$AB$3,N(AW139)&lt;=Dashboard!$AB$3+6),(AW139-40000)*100000+BF139*10000+138,"")</f>
        <v/>
      </c>
      <c r="BN139">
        <f>IF(AND(BH139=1,AZ139&lt;&gt;"Cancelled"),BF139*10000+138,"")</f>
        <v/>
      </c>
    </row>
    <row r="140">
      <c r="A140">
        <f>Setup!$D$5+138</f>
        <v/>
      </c>
      <c r="B140">
        <f>IF('Recurring Schedule'!$C$6="","",IF('Recurring Schedule'!$F$6="","",IF(OR($A140&lt;'Recurring Schedule'!$F$6,$A140&gt;'Recurring Schedule'!$P$6),"",IF(IF('Recurring Schedule'!$N$6&gt;0,MOD($A140-'Recurring Schedule'!$F$6,'Recurring Schedule'!$N$6)=0,IF('Recurring Schedule'!$O$6&gt;0,AND(DAY($A140)=MIN(DAY('Recurring Schedule'!$F$6),DAY(EOMONTH($A140,0))),MOD((YEAR($A140)-YEAR('Recurring Schedule'!$F$6))*12+MONTH($A140)-MONTH('Recurring Schedule'!$F$6),'Recurring Schedule'!$O$6)=0),IF('Recurring Schedule'!$E$6="Weekdays",WEEKDAY($A140,2)&lt;=5,$A140='Recurring Schedule'!$F$6))),1,""))))</f>
        <v/>
      </c>
      <c r="C140">
        <f>IF('Recurring Schedule'!$C$7="","",IF('Recurring Schedule'!$F$7="","",IF(OR($A140&lt;'Recurring Schedule'!$F$7,$A140&gt;'Recurring Schedule'!$P$7),"",IF(IF('Recurring Schedule'!$N$7&gt;0,MOD($A140-'Recurring Schedule'!$F$7,'Recurring Schedule'!$N$7)=0,IF('Recurring Schedule'!$O$7&gt;0,AND(DAY($A140)=MIN(DAY('Recurring Schedule'!$F$7),DAY(EOMONTH($A140,0))),MOD((YEAR($A140)-YEAR('Recurring Schedule'!$F$7))*12+MONTH($A140)-MONTH('Recurring Schedule'!$F$7),'Recurring Schedule'!$O$7)=0),IF('Recurring Schedule'!$E$7="Weekdays",WEEKDAY($A140,2)&lt;=5,$A140='Recurring Schedule'!$F$7))),2,""))))</f>
        <v/>
      </c>
      <c r="D140">
        <f>IF('Recurring Schedule'!$C$8="","",IF('Recurring Schedule'!$F$8="","",IF(OR($A140&lt;'Recurring Schedule'!$F$8,$A140&gt;'Recurring Schedule'!$P$8),"",IF(IF('Recurring Schedule'!$N$8&gt;0,MOD($A140-'Recurring Schedule'!$F$8,'Recurring Schedule'!$N$8)=0,IF('Recurring Schedule'!$O$8&gt;0,AND(DAY($A140)=MIN(DAY('Recurring Schedule'!$F$8),DAY(EOMONTH($A140,0))),MOD((YEAR($A140)-YEAR('Recurring Schedule'!$F$8))*12+MONTH($A140)-MONTH('Recurring Schedule'!$F$8),'Recurring Schedule'!$O$8)=0),IF('Recurring Schedule'!$E$8="Weekdays",WEEKDAY($A140,2)&lt;=5,$A140='Recurring Schedule'!$F$8))),3,""))))</f>
        <v/>
      </c>
      <c r="E140">
        <f>IF('Recurring Schedule'!$C$9="","",IF('Recurring Schedule'!$F$9="","",IF(OR($A140&lt;'Recurring Schedule'!$F$9,$A140&gt;'Recurring Schedule'!$P$9),"",IF(IF('Recurring Schedule'!$N$9&gt;0,MOD($A140-'Recurring Schedule'!$F$9,'Recurring Schedule'!$N$9)=0,IF('Recurring Schedule'!$O$9&gt;0,AND(DAY($A140)=MIN(DAY('Recurring Schedule'!$F$9),DAY(EOMONTH($A140,0))),MOD((YEAR($A140)-YEAR('Recurring Schedule'!$F$9))*12+MONTH($A140)-MONTH('Recurring Schedule'!$F$9),'Recurring Schedule'!$O$9)=0),IF('Recurring Schedule'!$E$9="Weekdays",WEEKDAY($A140,2)&lt;=5,$A140='Recurring Schedule'!$F$9))),4,""))))</f>
        <v/>
      </c>
      <c r="F140">
        <f>IF('Recurring Schedule'!$C$10="","",IF('Recurring Schedule'!$F$10="","",IF(OR($A140&lt;'Recurring Schedule'!$F$10,$A140&gt;'Recurring Schedule'!$P$10),"",IF(IF('Recurring Schedule'!$N$10&gt;0,MOD($A140-'Recurring Schedule'!$F$10,'Recurring Schedule'!$N$10)=0,IF('Recurring Schedule'!$O$10&gt;0,AND(DAY($A140)=MIN(DAY('Recurring Schedule'!$F$10),DAY(EOMONTH($A140,0))),MOD((YEAR($A140)-YEAR('Recurring Schedule'!$F$10))*12+MONTH($A140)-MONTH('Recurring Schedule'!$F$10),'Recurring Schedule'!$O$10)=0),IF('Recurring Schedule'!$E$10="Weekdays",WEEKDAY($A140,2)&lt;=5,$A140='Recurring Schedule'!$F$10))),5,""))))</f>
        <v/>
      </c>
      <c r="G140">
        <f>IF('Recurring Schedule'!$C$11="","",IF('Recurring Schedule'!$F$11="","",IF(OR($A140&lt;'Recurring Schedule'!$F$11,$A140&gt;'Recurring Schedule'!$P$11),"",IF(IF('Recurring Schedule'!$N$11&gt;0,MOD($A140-'Recurring Schedule'!$F$11,'Recurring Schedule'!$N$11)=0,IF('Recurring Schedule'!$O$11&gt;0,AND(DAY($A140)=MIN(DAY('Recurring Schedule'!$F$11),DAY(EOMONTH($A140,0))),MOD((YEAR($A140)-YEAR('Recurring Schedule'!$F$11))*12+MONTH($A140)-MONTH('Recurring Schedule'!$F$11),'Recurring Schedule'!$O$11)=0),IF('Recurring Schedule'!$E$11="Weekdays",WEEKDAY($A140,2)&lt;=5,$A140='Recurring Schedule'!$F$11))),6,""))))</f>
        <v/>
      </c>
      <c r="H140">
        <f>IF('Recurring Schedule'!$C$12="","",IF('Recurring Schedule'!$F$12="","",IF(OR($A140&lt;'Recurring Schedule'!$F$12,$A140&gt;'Recurring Schedule'!$P$12),"",IF(IF('Recurring Schedule'!$N$12&gt;0,MOD($A140-'Recurring Schedule'!$F$12,'Recurring Schedule'!$N$12)=0,IF('Recurring Schedule'!$O$12&gt;0,AND(DAY($A140)=MIN(DAY('Recurring Schedule'!$F$12),DAY(EOMONTH($A140,0))),MOD((YEAR($A140)-YEAR('Recurring Schedule'!$F$12))*12+MONTH($A140)-MONTH('Recurring Schedule'!$F$12),'Recurring Schedule'!$O$12)=0),IF('Recurring Schedule'!$E$12="Weekdays",WEEKDAY($A140,2)&lt;=5,$A140='Recurring Schedule'!$F$12))),7,""))))</f>
        <v/>
      </c>
      <c r="I140">
        <f>IF('Recurring Schedule'!$C$13="","",IF('Recurring Schedule'!$F$13="","",IF(OR($A140&lt;'Recurring Schedule'!$F$13,$A140&gt;'Recurring Schedule'!$P$13),"",IF(IF('Recurring Schedule'!$N$13&gt;0,MOD($A140-'Recurring Schedule'!$F$13,'Recurring Schedule'!$N$13)=0,IF('Recurring Schedule'!$O$13&gt;0,AND(DAY($A140)=MIN(DAY('Recurring Schedule'!$F$13),DAY(EOMONTH($A140,0))),MOD((YEAR($A140)-YEAR('Recurring Schedule'!$F$13))*12+MONTH($A140)-MONTH('Recurring Schedule'!$F$13),'Recurring Schedule'!$O$13)=0),IF('Recurring Schedule'!$E$13="Weekdays",WEEKDAY($A140,2)&lt;=5,$A140='Recurring Schedule'!$F$13))),8,""))))</f>
        <v/>
      </c>
      <c r="J140">
        <f>IF('Recurring Schedule'!$C$14="","",IF('Recurring Schedule'!$F$14="","",IF(OR($A140&lt;'Recurring Schedule'!$F$14,$A140&gt;'Recurring Schedule'!$P$14),"",IF(IF('Recurring Schedule'!$N$14&gt;0,MOD($A140-'Recurring Schedule'!$F$14,'Recurring Schedule'!$N$14)=0,IF('Recurring Schedule'!$O$14&gt;0,AND(DAY($A140)=MIN(DAY('Recurring Schedule'!$F$14),DAY(EOMONTH($A140,0))),MOD((YEAR($A140)-YEAR('Recurring Schedule'!$F$14))*12+MONTH($A140)-MONTH('Recurring Schedule'!$F$14),'Recurring Schedule'!$O$14)=0),IF('Recurring Schedule'!$E$14="Weekdays",WEEKDAY($A140,2)&lt;=5,$A140='Recurring Schedule'!$F$14))),9,""))))</f>
        <v/>
      </c>
      <c r="K140">
        <f>IF('Recurring Schedule'!$C$15="","",IF('Recurring Schedule'!$F$15="","",IF(OR($A140&lt;'Recurring Schedule'!$F$15,$A140&gt;'Recurring Schedule'!$P$15),"",IF(IF('Recurring Schedule'!$N$15&gt;0,MOD($A140-'Recurring Schedule'!$F$15,'Recurring Schedule'!$N$15)=0,IF('Recurring Schedule'!$O$15&gt;0,AND(DAY($A140)=MIN(DAY('Recurring Schedule'!$F$15),DAY(EOMONTH($A140,0))),MOD((YEAR($A140)-YEAR('Recurring Schedule'!$F$15))*12+MONTH($A140)-MONTH('Recurring Schedule'!$F$15),'Recurring Schedule'!$O$15)=0),IF('Recurring Schedule'!$E$15="Weekdays",WEEKDAY($A140,2)&lt;=5,$A140='Recurring Schedule'!$F$15))),10,""))))</f>
        <v/>
      </c>
      <c r="L140">
        <f>IF('Recurring Schedule'!$C$16="","",IF('Recurring Schedule'!$F$16="","",IF(OR($A140&lt;'Recurring Schedule'!$F$16,$A140&gt;'Recurring Schedule'!$P$16),"",IF(IF('Recurring Schedule'!$N$16&gt;0,MOD($A140-'Recurring Schedule'!$F$16,'Recurring Schedule'!$N$16)=0,IF('Recurring Schedule'!$O$16&gt;0,AND(DAY($A140)=MIN(DAY('Recurring Schedule'!$F$16),DAY(EOMONTH($A140,0))),MOD((YEAR($A140)-YEAR('Recurring Schedule'!$F$16))*12+MONTH($A140)-MONTH('Recurring Schedule'!$F$16),'Recurring Schedule'!$O$16)=0),IF('Recurring Schedule'!$E$16="Weekdays",WEEKDAY($A140,2)&lt;=5,$A140='Recurring Schedule'!$F$16))),11,""))))</f>
        <v/>
      </c>
      <c r="M140">
        <f>IF('Recurring Schedule'!$C$17="","",IF('Recurring Schedule'!$F$17="","",IF(OR($A140&lt;'Recurring Schedule'!$F$17,$A140&gt;'Recurring Schedule'!$P$17),"",IF(IF('Recurring Schedule'!$N$17&gt;0,MOD($A140-'Recurring Schedule'!$F$17,'Recurring Schedule'!$N$17)=0,IF('Recurring Schedule'!$O$17&gt;0,AND(DAY($A140)=MIN(DAY('Recurring Schedule'!$F$17),DAY(EOMONTH($A140,0))),MOD((YEAR($A140)-YEAR('Recurring Schedule'!$F$17))*12+MONTH($A140)-MONTH('Recurring Schedule'!$F$17),'Recurring Schedule'!$O$17)=0),IF('Recurring Schedule'!$E$17="Weekdays",WEEKDAY($A140,2)&lt;=5,$A140='Recurring Schedule'!$F$17))),12,""))))</f>
        <v/>
      </c>
      <c r="N140">
        <f>IF('Recurring Schedule'!$C$18="","",IF('Recurring Schedule'!$F$18="","",IF(OR($A140&lt;'Recurring Schedule'!$F$18,$A140&gt;'Recurring Schedule'!$P$18),"",IF(IF('Recurring Schedule'!$N$18&gt;0,MOD($A140-'Recurring Schedule'!$F$18,'Recurring Schedule'!$N$18)=0,IF('Recurring Schedule'!$O$18&gt;0,AND(DAY($A140)=MIN(DAY('Recurring Schedule'!$F$18),DAY(EOMONTH($A140,0))),MOD((YEAR($A140)-YEAR('Recurring Schedule'!$F$18))*12+MONTH($A140)-MONTH('Recurring Schedule'!$F$18),'Recurring Schedule'!$O$18)=0),IF('Recurring Schedule'!$E$18="Weekdays",WEEKDAY($A140,2)&lt;=5,$A140='Recurring Schedule'!$F$18))),13,""))))</f>
        <v/>
      </c>
      <c r="O140">
        <f>IF('Recurring Schedule'!$C$19="","",IF('Recurring Schedule'!$F$19="","",IF(OR($A140&lt;'Recurring Schedule'!$F$19,$A140&gt;'Recurring Schedule'!$P$19),"",IF(IF('Recurring Schedule'!$N$19&gt;0,MOD($A140-'Recurring Schedule'!$F$19,'Recurring Schedule'!$N$19)=0,IF('Recurring Schedule'!$O$19&gt;0,AND(DAY($A140)=MIN(DAY('Recurring Schedule'!$F$19),DAY(EOMONTH($A140,0))),MOD((YEAR($A140)-YEAR('Recurring Schedule'!$F$19))*12+MONTH($A140)-MONTH('Recurring Schedule'!$F$19),'Recurring Schedule'!$O$19)=0),IF('Recurring Schedule'!$E$19="Weekdays",WEEKDAY($A140,2)&lt;=5,$A140='Recurring Schedule'!$F$19))),14,""))))</f>
        <v/>
      </c>
      <c r="P140">
        <f>IF('Recurring Schedule'!$C$20="","",IF('Recurring Schedule'!$F$20="","",IF(OR($A140&lt;'Recurring Schedule'!$F$20,$A140&gt;'Recurring Schedule'!$P$20),"",IF(IF('Recurring Schedule'!$N$20&gt;0,MOD($A140-'Recurring Schedule'!$F$20,'Recurring Schedule'!$N$20)=0,IF('Recurring Schedule'!$O$20&gt;0,AND(DAY($A140)=MIN(DAY('Recurring Schedule'!$F$20),DAY(EOMONTH($A140,0))),MOD((YEAR($A140)-YEAR('Recurring Schedule'!$F$20))*12+MONTH($A140)-MONTH('Recurring Schedule'!$F$20),'Recurring Schedule'!$O$20)=0),IF('Recurring Schedule'!$E$20="Weekdays",WEEKDAY($A140,2)&lt;=5,$A140='Recurring Schedule'!$F$20))),15,""))))</f>
        <v/>
      </c>
      <c r="Q140">
        <f>IF('Recurring Schedule'!$C$21="","",IF('Recurring Schedule'!$F$21="","",IF(OR($A140&lt;'Recurring Schedule'!$F$21,$A140&gt;'Recurring Schedule'!$P$21),"",IF(IF('Recurring Schedule'!$N$21&gt;0,MOD($A140-'Recurring Schedule'!$F$21,'Recurring Schedule'!$N$21)=0,IF('Recurring Schedule'!$O$21&gt;0,AND(DAY($A140)=MIN(DAY('Recurring Schedule'!$F$21),DAY(EOMONTH($A140,0))),MOD((YEAR($A140)-YEAR('Recurring Schedule'!$F$21))*12+MONTH($A140)-MONTH('Recurring Schedule'!$F$21),'Recurring Schedule'!$O$21)=0),IF('Recurring Schedule'!$E$21="Weekdays",WEEKDAY($A140,2)&lt;=5,$A140='Recurring Schedule'!$F$21))),16,""))))</f>
        <v/>
      </c>
      <c r="R140">
        <f>IF('Recurring Schedule'!$C$22="","",IF('Recurring Schedule'!$F$22="","",IF(OR($A140&lt;'Recurring Schedule'!$F$22,$A140&gt;'Recurring Schedule'!$P$22),"",IF(IF('Recurring Schedule'!$N$22&gt;0,MOD($A140-'Recurring Schedule'!$F$22,'Recurring Schedule'!$N$22)=0,IF('Recurring Schedule'!$O$22&gt;0,AND(DAY($A140)=MIN(DAY('Recurring Schedule'!$F$22),DAY(EOMONTH($A140,0))),MOD((YEAR($A140)-YEAR('Recurring Schedule'!$F$22))*12+MONTH($A140)-MONTH('Recurring Schedule'!$F$22),'Recurring Schedule'!$O$22)=0),IF('Recurring Schedule'!$E$22="Weekdays",WEEKDAY($A140,2)&lt;=5,$A140='Recurring Schedule'!$F$22))),17,""))))</f>
        <v/>
      </c>
      <c r="S140">
        <f>IF('Recurring Schedule'!$C$23="","",IF('Recurring Schedule'!$F$23="","",IF(OR($A140&lt;'Recurring Schedule'!$F$23,$A140&gt;'Recurring Schedule'!$P$23),"",IF(IF('Recurring Schedule'!$N$23&gt;0,MOD($A140-'Recurring Schedule'!$F$23,'Recurring Schedule'!$N$23)=0,IF('Recurring Schedule'!$O$23&gt;0,AND(DAY($A140)=MIN(DAY('Recurring Schedule'!$F$23),DAY(EOMONTH($A140,0))),MOD((YEAR($A140)-YEAR('Recurring Schedule'!$F$23))*12+MONTH($A140)-MONTH('Recurring Schedule'!$F$23),'Recurring Schedule'!$O$23)=0),IF('Recurring Schedule'!$E$23="Weekdays",WEEKDAY($A140,2)&lt;=5,$A140='Recurring Schedule'!$F$23))),18,""))))</f>
        <v/>
      </c>
      <c r="T140">
        <f>IF('Recurring Schedule'!$C$24="","",IF('Recurring Schedule'!$F$24="","",IF(OR($A140&lt;'Recurring Schedule'!$F$24,$A140&gt;'Recurring Schedule'!$P$24),"",IF(IF('Recurring Schedule'!$N$24&gt;0,MOD($A140-'Recurring Schedule'!$F$24,'Recurring Schedule'!$N$24)=0,IF('Recurring Schedule'!$O$24&gt;0,AND(DAY($A140)=MIN(DAY('Recurring Schedule'!$F$24),DAY(EOMONTH($A140,0))),MOD((YEAR($A140)-YEAR('Recurring Schedule'!$F$24))*12+MONTH($A140)-MONTH('Recurring Schedule'!$F$24),'Recurring Schedule'!$O$24)=0),IF('Recurring Schedule'!$E$24="Weekdays",WEEKDAY($A140,2)&lt;=5,$A140='Recurring Schedule'!$F$24))),19,""))))</f>
        <v/>
      </c>
      <c r="U140">
        <f>IF('Recurring Schedule'!$C$25="","",IF('Recurring Schedule'!$F$25="","",IF(OR($A140&lt;'Recurring Schedule'!$F$25,$A140&gt;'Recurring Schedule'!$P$25),"",IF(IF('Recurring Schedule'!$N$25&gt;0,MOD($A140-'Recurring Schedule'!$F$25,'Recurring Schedule'!$N$25)=0,IF('Recurring Schedule'!$O$25&gt;0,AND(DAY($A140)=MIN(DAY('Recurring Schedule'!$F$25),DAY(EOMONTH($A140,0))),MOD((YEAR($A140)-YEAR('Recurring Schedule'!$F$25))*12+MONTH($A140)-MONTH('Recurring Schedule'!$F$25),'Recurring Schedule'!$O$25)=0),IF('Recurring Schedule'!$E$25="Weekdays",WEEKDAY($A140,2)&lt;=5,$A140='Recurring Schedule'!$F$25))),20,""))))</f>
        <v/>
      </c>
      <c r="V140">
        <f>IF('Recurring Schedule'!$C$26="","",IF('Recurring Schedule'!$F$26="","",IF(OR($A140&lt;'Recurring Schedule'!$F$26,$A140&gt;'Recurring Schedule'!$P$26),"",IF(IF('Recurring Schedule'!$N$26&gt;0,MOD($A140-'Recurring Schedule'!$F$26,'Recurring Schedule'!$N$26)=0,IF('Recurring Schedule'!$O$26&gt;0,AND(DAY($A140)=MIN(DAY('Recurring Schedule'!$F$26),DAY(EOMONTH($A140,0))),MOD((YEAR($A140)-YEAR('Recurring Schedule'!$F$26))*12+MONTH($A140)-MONTH('Recurring Schedule'!$F$26),'Recurring Schedule'!$O$26)=0),IF('Recurring Schedule'!$E$26="Weekdays",WEEKDAY($A140,2)&lt;=5,$A140='Recurring Schedule'!$F$26))),21,""))))</f>
        <v/>
      </c>
      <c r="W140">
        <f>IF('Recurring Schedule'!$C$27="","",IF('Recurring Schedule'!$F$27="","",IF(OR($A140&lt;'Recurring Schedule'!$F$27,$A140&gt;'Recurring Schedule'!$P$27),"",IF(IF('Recurring Schedule'!$N$27&gt;0,MOD($A140-'Recurring Schedule'!$F$27,'Recurring Schedule'!$N$27)=0,IF('Recurring Schedule'!$O$27&gt;0,AND(DAY($A140)=MIN(DAY('Recurring Schedule'!$F$27),DAY(EOMONTH($A140,0))),MOD((YEAR($A140)-YEAR('Recurring Schedule'!$F$27))*12+MONTH($A140)-MONTH('Recurring Schedule'!$F$27),'Recurring Schedule'!$O$27)=0),IF('Recurring Schedule'!$E$27="Weekdays",WEEKDAY($A140,2)&lt;=5,$A140='Recurring Schedule'!$F$27))),22,""))))</f>
        <v/>
      </c>
      <c r="X140">
        <f>IF('Recurring Schedule'!$C$28="","",IF('Recurring Schedule'!$F$28="","",IF(OR($A140&lt;'Recurring Schedule'!$F$28,$A140&gt;'Recurring Schedule'!$P$28),"",IF(IF('Recurring Schedule'!$N$28&gt;0,MOD($A140-'Recurring Schedule'!$F$28,'Recurring Schedule'!$N$28)=0,IF('Recurring Schedule'!$O$28&gt;0,AND(DAY($A140)=MIN(DAY('Recurring Schedule'!$F$28),DAY(EOMONTH($A140,0))),MOD((YEAR($A140)-YEAR('Recurring Schedule'!$F$28))*12+MONTH($A140)-MONTH('Recurring Schedule'!$F$28),'Recurring Schedule'!$O$28)=0),IF('Recurring Schedule'!$E$28="Weekdays",WEEKDAY($A140,2)&lt;=5,$A140='Recurring Schedule'!$F$28))),23,""))))</f>
        <v/>
      </c>
      <c r="Y140">
        <f>IF('Recurring Schedule'!$C$29="","",IF('Recurring Schedule'!$F$29="","",IF(OR($A140&lt;'Recurring Schedule'!$F$29,$A140&gt;'Recurring Schedule'!$P$29),"",IF(IF('Recurring Schedule'!$N$29&gt;0,MOD($A140-'Recurring Schedule'!$F$29,'Recurring Schedule'!$N$29)=0,IF('Recurring Schedule'!$O$29&gt;0,AND(DAY($A140)=MIN(DAY('Recurring Schedule'!$F$29),DAY(EOMONTH($A140,0))),MOD((YEAR($A140)-YEAR('Recurring Schedule'!$F$29))*12+MONTH($A140)-MONTH('Recurring Schedule'!$F$29),'Recurring Schedule'!$O$29)=0),IF('Recurring Schedule'!$E$29="Weekdays",WEEKDAY($A140,2)&lt;=5,$A140='Recurring Schedule'!$F$29))),24,""))))</f>
        <v/>
      </c>
      <c r="Z140">
        <f>IF('Recurring Schedule'!$C$30="","",IF('Recurring Schedule'!$F$30="","",IF(OR($A140&lt;'Recurring Schedule'!$F$30,$A140&gt;'Recurring Schedule'!$P$30),"",IF(IF('Recurring Schedule'!$N$30&gt;0,MOD($A140-'Recurring Schedule'!$F$30,'Recurring Schedule'!$N$30)=0,IF('Recurring Schedule'!$O$30&gt;0,AND(DAY($A140)=MIN(DAY('Recurring Schedule'!$F$30),DAY(EOMONTH($A140,0))),MOD((YEAR($A140)-YEAR('Recurring Schedule'!$F$30))*12+MONTH($A140)-MONTH('Recurring Schedule'!$F$30),'Recurring Schedule'!$O$30)=0),IF('Recurring Schedule'!$E$30="Weekdays",WEEKDAY($A140,2)&lt;=5,$A140='Recurring Schedule'!$F$30))),25,""))))</f>
        <v/>
      </c>
      <c r="AA140">
        <f>IF('Recurring Schedule'!$C$31="","",IF('Recurring Schedule'!$F$31="","",IF(OR($A140&lt;'Recurring Schedule'!$F$31,$A140&gt;'Recurring Schedule'!$P$31),"",IF(IF('Recurring Schedule'!$N$31&gt;0,MOD($A140-'Recurring Schedule'!$F$31,'Recurring Schedule'!$N$31)=0,IF('Recurring Schedule'!$O$31&gt;0,AND(DAY($A140)=MIN(DAY('Recurring Schedule'!$F$31),DAY(EOMONTH($A140,0))),MOD((YEAR($A140)-YEAR('Recurring Schedule'!$F$31))*12+MONTH($A140)-MONTH('Recurring Schedule'!$F$31),'Recurring Schedule'!$O$31)=0),IF('Recurring Schedule'!$E$31="Weekdays",WEEKDAY($A140,2)&lt;=5,$A140='Recurring Schedule'!$F$31))),26,""))))</f>
        <v/>
      </c>
      <c r="AB140">
        <f>IF('Recurring Schedule'!$C$32="","",IF('Recurring Schedule'!$F$32="","",IF(OR($A140&lt;'Recurring Schedule'!$F$32,$A140&gt;'Recurring Schedule'!$P$32),"",IF(IF('Recurring Schedule'!$N$32&gt;0,MOD($A140-'Recurring Schedule'!$F$32,'Recurring Schedule'!$N$32)=0,IF('Recurring Schedule'!$O$32&gt;0,AND(DAY($A140)=MIN(DAY('Recurring Schedule'!$F$32),DAY(EOMONTH($A140,0))),MOD((YEAR($A140)-YEAR('Recurring Schedule'!$F$32))*12+MONTH($A140)-MONTH('Recurring Schedule'!$F$32),'Recurring Schedule'!$O$32)=0),IF('Recurring Schedule'!$E$32="Weekdays",WEEKDAY($A140,2)&lt;=5,$A140='Recurring Schedule'!$F$32))),27,""))))</f>
        <v/>
      </c>
      <c r="AC140">
        <f>IF('Recurring Schedule'!$C$33="","",IF('Recurring Schedule'!$F$33="","",IF(OR($A140&lt;'Recurring Schedule'!$F$33,$A140&gt;'Recurring Schedule'!$P$33),"",IF(IF('Recurring Schedule'!$N$33&gt;0,MOD($A140-'Recurring Schedule'!$F$33,'Recurring Schedule'!$N$33)=0,IF('Recurring Schedule'!$O$33&gt;0,AND(DAY($A140)=MIN(DAY('Recurring Schedule'!$F$33),DAY(EOMONTH($A140,0))),MOD((YEAR($A140)-YEAR('Recurring Schedule'!$F$33))*12+MONTH($A140)-MONTH('Recurring Schedule'!$F$33),'Recurring Schedule'!$O$33)=0),IF('Recurring Schedule'!$E$33="Weekdays",WEEKDAY($A140,2)&lt;=5,$A140='Recurring Schedule'!$F$33))),28,""))))</f>
        <v/>
      </c>
      <c r="AD140">
        <f>IF('Recurring Schedule'!$C$34="","",IF('Recurring Schedule'!$F$34="","",IF(OR($A140&lt;'Recurring Schedule'!$F$34,$A140&gt;'Recurring Schedule'!$P$34),"",IF(IF('Recurring Schedule'!$N$34&gt;0,MOD($A140-'Recurring Schedule'!$F$34,'Recurring Schedule'!$N$34)=0,IF('Recurring Schedule'!$O$34&gt;0,AND(DAY($A140)=MIN(DAY('Recurring Schedule'!$F$34),DAY(EOMONTH($A140,0))),MOD((YEAR($A140)-YEAR('Recurring Schedule'!$F$34))*12+MONTH($A140)-MONTH('Recurring Schedule'!$F$34),'Recurring Schedule'!$O$34)=0),IF('Recurring Schedule'!$E$34="Weekdays",WEEKDAY($A140,2)&lt;=5,$A140='Recurring Schedule'!$F$34))),29,""))))</f>
        <v/>
      </c>
      <c r="AE140">
        <f>IF('Recurring Schedule'!$C$35="","",IF('Recurring Schedule'!$F$35="","",IF(OR($A140&lt;'Recurring Schedule'!$F$35,$A140&gt;'Recurring Schedule'!$P$35),"",IF(IF('Recurring Schedule'!$N$35&gt;0,MOD($A140-'Recurring Schedule'!$F$35,'Recurring Schedule'!$N$35)=0,IF('Recurring Schedule'!$O$35&gt;0,AND(DAY($A140)=MIN(DAY('Recurring Schedule'!$F$35),DAY(EOMONTH($A140,0))),MOD((YEAR($A140)-YEAR('Recurring Schedule'!$F$35))*12+MONTH($A140)-MONTH('Recurring Schedule'!$F$35),'Recurring Schedule'!$O$35)=0),IF('Recurring Schedule'!$E$35="Weekdays",WEEKDAY($A140,2)&lt;=5,$A140='Recurring Schedule'!$F$35))),30,""))))</f>
        <v/>
      </c>
      <c r="AF140">
        <f>IF('Recurring Schedule'!$C$36="","",IF('Recurring Schedule'!$F$36="","",IF(OR($A140&lt;'Recurring Schedule'!$F$36,$A140&gt;'Recurring Schedule'!$P$36),"",IF(IF('Recurring Schedule'!$N$36&gt;0,MOD($A140-'Recurring Schedule'!$F$36,'Recurring Schedule'!$N$36)=0,IF('Recurring Schedule'!$O$36&gt;0,AND(DAY($A140)=MIN(DAY('Recurring Schedule'!$F$36),DAY(EOMONTH($A140,0))),MOD((YEAR($A140)-YEAR('Recurring Schedule'!$F$36))*12+MONTH($A140)-MONTH('Recurring Schedule'!$F$36),'Recurring Schedule'!$O$36)=0),IF('Recurring Schedule'!$E$36="Weekdays",WEEKDAY($A140,2)&lt;=5,$A140='Recurring Schedule'!$F$36))),31,""))))</f>
        <v/>
      </c>
      <c r="AG140">
        <f>IF('Recurring Schedule'!$C$37="","",IF('Recurring Schedule'!$F$37="","",IF(OR($A140&lt;'Recurring Schedule'!$F$37,$A140&gt;'Recurring Schedule'!$P$37),"",IF(IF('Recurring Schedule'!$N$37&gt;0,MOD($A140-'Recurring Schedule'!$F$37,'Recurring Schedule'!$N$37)=0,IF('Recurring Schedule'!$O$37&gt;0,AND(DAY($A140)=MIN(DAY('Recurring Schedule'!$F$37),DAY(EOMONTH($A140,0))),MOD((YEAR($A140)-YEAR('Recurring Schedule'!$F$37))*12+MONTH($A140)-MONTH('Recurring Schedule'!$F$37),'Recurring Schedule'!$O$37)=0),IF('Recurring Schedule'!$E$37="Weekdays",WEEKDAY($A140,2)&lt;=5,$A140='Recurring Schedule'!$F$37))),32,""))))</f>
        <v/>
      </c>
      <c r="AH140">
        <f>IF('Recurring Schedule'!$C$38="","",IF('Recurring Schedule'!$F$38="","",IF(OR($A140&lt;'Recurring Schedule'!$F$38,$A140&gt;'Recurring Schedule'!$P$38),"",IF(IF('Recurring Schedule'!$N$38&gt;0,MOD($A140-'Recurring Schedule'!$F$38,'Recurring Schedule'!$N$38)=0,IF('Recurring Schedule'!$O$38&gt;0,AND(DAY($A140)=MIN(DAY('Recurring Schedule'!$F$38),DAY(EOMONTH($A140,0))),MOD((YEAR($A140)-YEAR('Recurring Schedule'!$F$38))*12+MONTH($A140)-MONTH('Recurring Schedule'!$F$38),'Recurring Schedule'!$O$38)=0),IF('Recurring Schedule'!$E$38="Weekdays",WEEKDAY($A140,2)&lt;=5,$A140='Recurring Schedule'!$F$38))),33,""))))</f>
        <v/>
      </c>
      <c r="AI140">
        <f>IF('Recurring Schedule'!$C$39="","",IF('Recurring Schedule'!$F$39="","",IF(OR($A140&lt;'Recurring Schedule'!$F$39,$A140&gt;'Recurring Schedule'!$P$39),"",IF(IF('Recurring Schedule'!$N$39&gt;0,MOD($A140-'Recurring Schedule'!$F$39,'Recurring Schedule'!$N$39)=0,IF('Recurring Schedule'!$O$39&gt;0,AND(DAY($A140)=MIN(DAY('Recurring Schedule'!$F$39),DAY(EOMONTH($A140,0))),MOD((YEAR($A140)-YEAR('Recurring Schedule'!$F$39))*12+MONTH($A140)-MONTH('Recurring Schedule'!$F$39),'Recurring Schedule'!$O$39)=0),IF('Recurring Schedule'!$E$39="Weekdays",WEEKDAY($A140,2)&lt;=5,$A140='Recurring Schedule'!$F$39))),34,""))))</f>
        <v/>
      </c>
      <c r="AJ140">
        <f>IF('Recurring Schedule'!$C$40="","",IF('Recurring Schedule'!$F$40="","",IF(OR($A140&lt;'Recurring Schedule'!$F$40,$A140&gt;'Recurring Schedule'!$P$40),"",IF(IF('Recurring Schedule'!$N$40&gt;0,MOD($A140-'Recurring Schedule'!$F$40,'Recurring Schedule'!$N$40)=0,IF('Recurring Schedule'!$O$40&gt;0,AND(DAY($A140)=MIN(DAY('Recurring Schedule'!$F$40),DAY(EOMONTH($A140,0))),MOD((YEAR($A140)-YEAR('Recurring Schedule'!$F$40))*12+MONTH($A140)-MONTH('Recurring Schedule'!$F$40),'Recurring Schedule'!$O$40)=0),IF('Recurring Schedule'!$E$40="Weekdays",WEEKDAY($A140,2)&lt;=5,$A140='Recurring Schedule'!$F$40))),35,""))))</f>
        <v/>
      </c>
      <c r="AK140">
        <f>IF('Recurring Schedule'!$C$41="","",IF('Recurring Schedule'!$F$41="","",IF(OR($A140&lt;'Recurring Schedule'!$F$41,$A140&gt;'Recurring Schedule'!$P$41),"",IF(IF('Recurring Schedule'!$N$41&gt;0,MOD($A140-'Recurring Schedule'!$F$41,'Recurring Schedule'!$N$41)=0,IF('Recurring Schedule'!$O$41&gt;0,AND(DAY($A140)=MIN(DAY('Recurring Schedule'!$F$41),DAY(EOMONTH($A140,0))),MOD((YEAR($A140)-YEAR('Recurring Schedule'!$F$41))*12+MONTH($A140)-MONTH('Recurring Schedule'!$F$41),'Recurring Schedule'!$O$41)=0),IF('Recurring Schedule'!$E$41="Weekdays",WEEKDAY($A140,2)&lt;=5,$A140='Recurring Schedule'!$F$41))),36,""))))</f>
        <v/>
      </c>
      <c r="AL140">
        <f>IF('Recurring Schedule'!$C$42="","",IF('Recurring Schedule'!$F$42="","",IF(OR($A140&lt;'Recurring Schedule'!$F$42,$A140&gt;'Recurring Schedule'!$P$42),"",IF(IF('Recurring Schedule'!$N$42&gt;0,MOD($A140-'Recurring Schedule'!$F$42,'Recurring Schedule'!$N$42)=0,IF('Recurring Schedule'!$O$42&gt;0,AND(DAY($A140)=MIN(DAY('Recurring Schedule'!$F$42),DAY(EOMONTH($A140,0))),MOD((YEAR($A140)-YEAR('Recurring Schedule'!$F$42))*12+MONTH($A140)-MONTH('Recurring Schedule'!$F$42),'Recurring Schedule'!$O$42)=0),IF('Recurring Schedule'!$E$42="Weekdays",WEEKDAY($A140,2)&lt;=5,$A140='Recurring Schedule'!$F$42))),37,""))))</f>
        <v/>
      </c>
      <c r="AM140">
        <f>IF('Recurring Schedule'!$C$43="","",IF('Recurring Schedule'!$F$43="","",IF(OR($A140&lt;'Recurring Schedule'!$F$43,$A140&gt;'Recurring Schedule'!$P$43),"",IF(IF('Recurring Schedule'!$N$43&gt;0,MOD($A140-'Recurring Schedule'!$F$43,'Recurring Schedule'!$N$43)=0,IF('Recurring Schedule'!$O$43&gt;0,AND(DAY($A140)=MIN(DAY('Recurring Schedule'!$F$43),DAY(EOMONTH($A140,0))),MOD((YEAR($A140)-YEAR('Recurring Schedule'!$F$43))*12+MONTH($A140)-MONTH('Recurring Schedule'!$F$43),'Recurring Schedule'!$O$43)=0),IF('Recurring Schedule'!$E$43="Weekdays",WEEKDAY($A140,2)&lt;=5,$A140='Recurring Schedule'!$F$43))),38,""))))</f>
        <v/>
      </c>
      <c r="AN140">
        <f>IF('Recurring Schedule'!$C$44="","",IF('Recurring Schedule'!$F$44="","",IF(OR($A140&lt;'Recurring Schedule'!$F$44,$A140&gt;'Recurring Schedule'!$P$44),"",IF(IF('Recurring Schedule'!$N$44&gt;0,MOD($A140-'Recurring Schedule'!$F$44,'Recurring Schedule'!$N$44)=0,IF('Recurring Schedule'!$O$44&gt;0,AND(DAY($A140)=MIN(DAY('Recurring Schedule'!$F$44),DAY(EOMONTH($A140,0))),MOD((YEAR($A140)-YEAR('Recurring Schedule'!$F$44))*12+MONTH($A140)-MONTH('Recurring Schedule'!$F$44),'Recurring Schedule'!$O$44)=0),IF('Recurring Schedule'!$E$44="Weekdays",WEEKDAY($A140,2)&lt;=5,$A140='Recurring Schedule'!$F$44))),39,""))))</f>
        <v/>
      </c>
      <c r="AO140">
        <f>IF('Recurring Schedule'!$C$45="","",IF('Recurring Schedule'!$F$45="","",IF(OR($A140&lt;'Recurring Schedule'!$F$45,$A140&gt;'Recurring Schedule'!$P$45),"",IF(IF('Recurring Schedule'!$N$45&gt;0,MOD($A140-'Recurring Schedule'!$F$45,'Recurring Schedule'!$N$45)=0,IF('Recurring Schedule'!$O$45&gt;0,AND(DAY($A140)=MIN(DAY('Recurring Schedule'!$F$45),DAY(EOMONTH($A140,0))),MOD((YEAR($A140)-YEAR('Recurring Schedule'!$F$45))*12+MONTH($A140)-MONTH('Recurring Schedule'!$F$45),'Recurring Schedule'!$O$45)=0),IF('Recurring Schedule'!$E$45="Weekdays",WEEKDAY($A140,2)&lt;=5,$A140='Recurring Schedule'!$F$45))),40,""))))</f>
        <v/>
      </c>
      <c r="AP140">
        <f>COUNT(B140:AO140)</f>
        <v/>
      </c>
      <c r="AQ140">
        <f>AQ139+AP139</f>
        <v/>
      </c>
      <c r="AS140" t="inlineStr">
        <is>
          <t>R</t>
        </is>
      </c>
      <c r="AT140" t="n">
        <v>144</v>
      </c>
      <c r="AU140">
        <f>'Recurring Log'!C144&amp;""</f>
        <v/>
      </c>
      <c r="AV140">
        <f>'Recurring Log'!D144&amp;""</f>
        <v/>
      </c>
      <c r="AW140">
        <f>IF('Recurring Log'!E144="","",'Recurring Log'!E144)</f>
        <v/>
      </c>
      <c r="AX140">
        <f>IF('Recurring Log'!G144="","",'Recurring Log'!G144)</f>
        <v/>
      </c>
      <c r="AY140">
        <f>IF('Recurring Log'!H144="","",'Recurring Log'!H144)</f>
        <v/>
      </c>
      <c r="AZ140">
        <f>IF(AU140="","",IF('Recurring Log'!J144="","Not Started",'Recurring Log'!J144))</f>
        <v/>
      </c>
      <c r="BA140">
        <f>'Recurring Log'!L144&amp;""</f>
        <v/>
      </c>
      <c r="BB140">
        <f>'Recurring Log'!M144&amp;""</f>
        <v/>
      </c>
      <c r="BC140">
        <f>'Recurring Log'!N144&amp;""</f>
        <v/>
      </c>
      <c r="BD140">
        <f>'Recurring Log'!O144&amp;""</f>
        <v/>
      </c>
      <c r="BE140">
        <f>IF('Recurring Log'!K144="","",'Recurring Log'!K144)</f>
        <v/>
      </c>
      <c r="BF140">
        <f>IFERROR(MATCH(BA140,Setup!$L$6:$L$9,0),5)</f>
        <v/>
      </c>
      <c r="BG140">
        <f>IF(OR(AZ140="Done",AZ140="Cancelled"),1,0)</f>
        <v/>
      </c>
      <c r="BH140">
        <f>IF(AND(AU140&lt;&gt;"",ISNUMBER(AW140)),1,0)</f>
        <v/>
      </c>
      <c r="BI140">
        <f>IF(BH140=0,0,IF(AND(AW140&gt;='Tasks Filter'!$F$3,AW140&lt;='Tasks Filter'!$F$4,OR('Tasks Filter'!$I$3="",ISNUMBER(SEARCH('Tasks Filter'!$I$3,AU140))),OR('Tasks Filter'!$I$4="",BF140=IFERROR(MATCH('Tasks Filter'!$I$4,Setup!$L$6:$L$9,0),0)),OR('Tasks Filter'!$I$5="Both",AND('Tasks Filter'!$I$5="Yes",BB140="✓"),AND('Tasks Filter'!$I$5="No",BB140&lt;&gt;"✓")),OR('Tasks Filter'!$L$3="",AV140='Tasks Filter'!$L$3),OR('Tasks Filter'!$L$4="",AZ140='Tasks Filter'!$L$4),OR('Tasks Filter'!$L$5="",BC140='Tasks Filter'!$L$5),OR('Tasks Filter'!$O$3="",BD140='Tasks Filter'!$O$3),OR('Tasks Filter'!$O$4="Yes",BG140=0)),1,0))</f>
        <v/>
      </c>
      <c r="BJ140">
        <f>IF(BH140=0,"",IF('Tasks Filter'!$F$6="Descending",-1,1)*CHOOSE(MATCH('Tasks Filter'!$F$5,Lists!$G$2:$G$6,0),AW140,BF140,IFERROR(MATCH(AV140,Setup!$F$6:$F$15,0),99),IFERROR(MATCH(BC140,Setup!$H$6:$H$15,0),99),IFERROR(MATCH(AZ140,Setup!$J$6:$J$11,0),99))*1E+9+(AW140-40000)*10000+139)</f>
        <v/>
      </c>
      <c r="BK140">
        <f>IF(BI140=1,BJ140,"")</f>
        <v/>
      </c>
      <c r="BL140">
        <f>IF(AND(BH140=1,BG140=0,N(AW140)&lt;Setup!$D$7),(AW140-40000)*10000+139,"")</f>
        <v/>
      </c>
      <c r="BM140">
        <f>IF(AND(BH140=1,AZ140&lt;&gt;"Cancelled",N(AW140)&gt;=Dashboard!$AB$3,N(AW140)&lt;=Dashboard!$AB$3+6),(AW140-40000)*100000+BF140*10000+139,"")</f>
        <v/>
      </c>
      <c r="BN140">
        <f>IF(AND(BH140=1,AZ140&lt;&gt;"Cancelled"),BF140*10000+139,"")</f>
        <v/>
      </c>
    </row>
    <row r="141">
      <c r="A141">
        <f>Setup!$D$5+139</f>
        <v/>
      </c>
      <c r="B141">
        <f>IF('Recurring Schedule'!$C$6="","",IF('Recurring Schedule'!$F$6="","",IF(OR($A141&lt;'Recurring Schedule'!$F$6,$A141&gt;'Recurring Schedule'!$P$6),"",IF(IF('Recurring Schedule'!$N$6&gt;0,MOD($A141-'Recurring Schedule'!$F$6,'Recurring Schedule'!$N$6)=0,IF('Recurring Schedule'!$O$6&gt;0,AND(DAY($A141)=MIN(DAY('Recurring Schedule'!$F$6),DAY(EOMONTH($A141,0))),MOD((YEAR($A141)-YEAR('Recurring Schedule'!$F$6))*12+MONTH($A141)-MONTH('Recurring Schedule'!$F$6),'Recurring Schedule'!$O$6)=0),IF('Recurring Schedule'!$E$6="Weekdays",WEEKDAY($A141,2)&lt;=5,$A141='Recurring Schedule'!$F$6))),1,""))))</f>
        <v/>
      </c>
      <c r="C141">
        <f>IF('Recurring Schedule'!$C$7="","",IF('Recurring Schedule'!$F$7="","",IF(OR($A141&lt;'Recurring Schedule'!$F$7,$A141&gt;'Recurring Schedule'!$P$7),"",IF(IF('Recurring Schedule'!$N$7&gt;0,MOD($A141-'Recurring Schedule'!$F$7,'Recurring Schedule'!$N$7)=0,IF('Recurring Schedule'!$O$7&gt;0,AND(DAY($A141)=MIN(DAY('Recurring Schedule'!$F$7),DAY(EOMONTH($A141,0))),MOD((YEAR($A141)-YEAR('Recurring Schedule'!$F$7))*12+MONTH($A141)-MONTH('Recurring Schedule'!$F$7),'Recurring Schedule'!$O$7)=0),IF('Recurring Schedule'!$E$7="Weekdays",WEEKDAY($A141,2)&lt;=5,$A141='Recurring Schedule'!$F$7))),2,""))))</f>
        <v/>
      </c>
      <c r="D141">
        <f>IF('Recurring Schedule'!$C$8="","",IF('Recurring Schedule'!$F$8="","",IF(OR($A141&lt;'Recurring Schedule'!$F$8,$A141&gt;'Recurring Schedule'!$P$8),"",IF(IF('Recurring Schedule'!$N$8&gt;0,MOD($A141-'Recurring Schedule'!$F$8,'Recurring Schedule'!$N$8)=0,IF('Recurring Schedule'!$O$8&gt;0,AND(DAY($A141)=MIN(DAY('Recurring Schedule'!$F$8),DAY(EOMONTH($A141,0))),MOD((YEAR($A141)-YEAR('Recurring Schedule'!$F$8))*12+MONTH($A141)-MONTH('Recurring Schedule'!$F$8),'Recurring Schedule'!$O$8)=0),IF('Recurring Schedule'!$E$8="Weekdays",WEEKDAY($A141,2)&lt;=5,$A141='Recurring Schedule'!$F$8))),3,""))))</f>
        <v/>
      </c>
      <c r="E141">
        <f>IF('Recurring Schedule'!$C$9="","",IF('Recurring Schedule'!$F$9="","",IF(OR($A141&lt;'Recurring Schedule'!$F$9,$A141&gt;'Recurring Schedule'!$P$9),"",IF(IF('Recurring Schedule'!$N$9&gt;0,MOD($A141-'Recurring Schedule'!$F$9,'Recurring Schedule'!$N$9)=0,IF('Recurring Schedule'!$O$9&gt;0,AND(DAY($A141)=MIN(DAY('Recurring Schedule'!$F$9),DAY(EOMONTH($A141,0))),MOD((YEAR($A141)-YEAR('Recurring Schedule'!$F$9))*12+MONTH($A141)-MONTH('Recurring Schedule'!$F$9),'Recurring Schedule'!$O$9)=0),IF('Recurring Schedule'!$E$9="Weekdays",WEEKDAY($A141,2)&lt;=5,$A141='Recurring Schedule'!$F$9))),4,""))))</f>
        <v/>
      </c>
      <c r="F141">
        <f>IF('Recurring Schedule'!$C$10="","",IF('Recurring Schedule'!$F$10="","",IF(OR($A141&lt;'Recurring Schedule'!$F$10,$A141&gt;'Recurring Schedule'!$P$10),"",IF(IF('Recurring Schedule'!$N$10&gt;0,MOD($A141-'Recurring Schedule'!$F$10,'Recurring Schedule'!$N$10)=0,IF('Recurring Schedule'!$O$10&gt;0,AND(DAY($A141)=MIN(DAY('Recurring Schedule'!$F$10),DAY(EOMONTH($A141,0))),MOD((YEAR($A141)-YEAR('Recurring Schedule'!$F$10))*12+MONTH($A141)-MONTH('Recurring Schedule'!$F$10),'Recurring Schedule'!$O$10)=0),IF('Recurring Schedule'!$E$10="Weekdays",WEEKDAY($A141,2)&lt;=5,$A141='Recurring Schedule'!$F$10))),5,""))))</f>
        <v/>
      </c>
      <c r="G141">
        <f>IF('Recurring Schedule'!$C$11="","",IF('Recurring Schedule'!$F$11="","",IF(OR($A141&lt;'Recurring Schedule'!$F$11,$A141&gt;'Recurring Schedule'!$P$11),"",IF(IF('Recurring Schedule'!$N$11&gt;0,MOD($A141-'Recurring Schedule'!$F$11,'Recurring Schedule'!$N$11)=0,IF('Recurring Schedule'!$O$11&gt;0,AND(DAY($A141)=MIN(DAY('Recurring Schedule'!$F$11),DAY(EOMONTH($A141,0))),MOD((YEAR($A141)-YEAR('Recurring Schedule'!$F$11))*12+MONTH($A141)-MONTH('Recurring Schedule'!$F$11),'Recurring Schedule'!$O$11)=0),IF('Recurring Schedule'!$E$11="Weekdays",WEEKDAY($A141,2)&lt;=5,$A141='Recurring Schedule'!$F$11))),6,""))))</f>
        <v/>
      </c>
      <c r="H141">
        <f>IF('Recurring Schedule'!$C$12="","",IF('Recurring Schedule'!$F$12="","",IF(OR($A141&lt;'Recurring Schedule'!$F$12,$A141&gt;'Recurring Schedule'!$P$12),"",IF(IF('Recurring Schedule'!$N$12&gt;0,MOD($A141-'Recurring Schedule'!$F$12,'Recurring Schedule'!$N$12)=0,IF('Recurring Schedule'!$O$12&gt;0,AND(DAY($A141)=MIN(DAY('Recurring Schedule'!$F$12),DAY(EOMONTH($A141,0))),MOD((YEAR($A141)-YEAR('Recurring Schedule'!$F$12))*12+MONTH($A141)-MONTH('Recurring Schedule'!$F$12),'Recurring Schedule'!$O$12)=0),IF('Recurring Schedule'!$E$12="Weekdays",WEEKDAY($A141,2)&lt;=5,$A141='Recurring Schedule'!$F$12))),7,""))))</f>
        <v/>
      </c>
      <c r="I141">
        <f>IF('Recurring Schedule'!$C$13="","",IF('Recurring Schedule'!$F$13="","",IF(OR($A141&lt;'Recurring Schedule'!$F$13,$A141&gt;'Recurring Schedule'!$P$13),"",IF(IF('Recurring Schedule'!$N$13&gt;0,MOD($A141-'Recurring Schedule'!$F$13,'Recurring Schedule'!$N$13)=0,IF('Recurring Schedule'!$O$13&gt;0,AND(DAY($A141)=MIN(DAY('Recurring Schedule'!$F$13),DAY(EOMONTH($A141,0))),MOD((YEAR($A141)-YEAR('Recurring Schedule'!$F$13))*12+MONTH($A141)-MONTH('Recurring Schedule'!$F$13),'Recurring Schedule'!$O$13)=0),IF('Recurring Schedule'!$E$13="Weekdays",WEEKDAY($A141,2)&lt;=5,$A141='Recurring Schedule'!$F$13))),8,""))))</f>
        <v/>
      </c>
      <c r="J141">
        <f>IF('Recurring Schedule'!$C$14="","",IF('Recurring Schedule'!$F$14="","",IF(OR($A141&lt;'Recurring Schedule'!$F$14,$A141&gt;'Recurring Schedule'!$P$14),"",IF(IF('Recurring Schedule'!$N$14&gt;0,MOD($A141-'Recurring Schedule'!$F$14,'Recurring Schedule'!$N$14)=0,IF('Recurring Schedule'!$O$14&gt;0,AND(DAY($A141)=MIN(DAY('Recurring Schedule'!$F$14),DAY(EOMONTH($A141,0))),MOD((YEAR($A141)-YEAR('Recurring Schedule'!$F$14))*12+MONTH($A141)-MONTH('Recurring Schedule'!$F$14),'Recurring Schedule'!$O$14)=0),IF('Recurring Schedule'!$E$14="Weekdays",WEEKDAY($A141,2)&lt;=5,$A141='Recurring Schedule'!$F$14))),9,""))))</f>
        <v/>
      </c>
      <c r="K141">
        <f>IF('Recurring Schedule'!$C$15="","",IF('Recurring Schedule'!$F$15="","",IF(OR($A141&lt;'Recurring Schedule'!$F$15,$A141&gt;'Recurring Schedule'!$P$15),"",IF(IF('Recurring Schedule'!$N$15&gt;0,MOD($A141-'Recurring Schedule'!$F$15,'Recurring Schedule'!$N$15)=0,IF('Recurring Schedule'!$O$15&gt;0,AND(DAY($A141)=MIN(DAY('Recurring Schedule'!$F$15),DAY(EOMONTH($A141,0))),MOD((YEAR($A141)-YEAR('Recurring Schedule'!$F$15))*12+MONTH($A141)-MONTH('Recurring Schedule'!$F$15),'Recurring Schedule'!$O$15)=0),IF('Recurring Schedule'!$E$15="Weekdays",WEEKDAY($A141,2)&lt;=5,$A141='Recurring Schedule'!$F$15))),10,""))))</f>
        <v/>
      </c>
      <c r="L141">
        <f>IF('Recurring Schedule'!$C$16="","",IF('Recurring Schedule'!$F$16="","",IF(OR($A141&lt;'Recurring Schedule'!$F$16,$A141&gt;'Recurring Schedule'!$P$16),"",IF(IF('Recurring Schedule'!$N$16&gt;0,MOD($A141-'Recurring Schedule'!$F$16,'Recurring Schedule'!$N$16)=0,IF('Recurring Schedule'!$O$16&gt;0,AND(DAY($A141)=MIN(DAY('Recurring Schedule'!$F$16),DAY(EOMONTH($A141,0))),MOD((YEAR($A141)-YEAR('Recurring Schedule'!$F$16))*12+MONTH($A141)-MONTH('Recurring Schedule'!$F$16),'Recurring Schedule'!$O$16)=0),IF('Recurring Schedule'!$E$16="Weekdays",WEEKDAY($A141,2)&lt;=5,$A141='Recurring Schedule'!$F$16))),11,""))))</f>
        <v/>
      </c>
      <c r="M141">
        <f>IF('Recurring Schedule'!$C$17="","",IF('Recurring Schedule'!$F$17="","",IF(OR($A141&lt;'Recurring Schedule'!$F$17,$A141&gt;'Recurring Schedule'!$P$17),"",IF(IF('Recurring Schedule'!$N$17&gt;0,MOD($A141-'Recurring Schedule'!$F$17,'Recurring Schedule'!$N$17)=0,IF('Recurring Schedule'!$O$17&gt;0,AND(DAY($A141)=MIN(DAY('Recurring Schedule'!$F$17),DAY(EOMONTH($A141,0))),MOD((YEAR($A141)-YEAR('Recurring Schedule'!$F$17))*12+MONTH($A141)-MONTH('Recurring Schedule'!$F$17),'Recurring Schedule'!$O$17)=0),IF('Recurring Schedule'!$E$17="Weekdays",WEEKDAY($A141,2)&lt;=5,$A141='Recurring Schedule'!$F$17))),12,""))))</f>
        <v/>
      </c>
      <c r="N141">
        <f>IF('Recurring Schedule'!$C$18="","",IF('Recurring Schedule'!$F$18="","",IF(OR($A141&lt;'Recurring Schedule'!$F$18,$A141&gt;'Recurring Schedule'!$P$18),"",IF(IF('Recurring Schedule'!$N$18&gt;0,MOD($A141-'Recurring Schedule'!$F$18,'Recurring Schedule'!$N$18)=0,IF('Recurring Schedule'!$O$18&gt;0,AND(DAY($A141)=MIN(DAY('Recurring Schedule'!$F$18),DAY(EOMONTH($A141,0))),MOD((YEAR($A141)-YEAR('Recurring Schedule'!$F$18))*12+MONTH($A141)-MONTH('Recurring Schedule'!$F$18),'Recurring Schedule'!$O$18)=0),IF('Recurring Schedule'!$E$18="Weekdays",WEEKDAY($A141,2)&lt;=5,$A141='Recurring Schedule'!$F$18))),13,""))))</f>
        <v/>
      </c>
      <c r="O141">
        <f>IF('Recurring Schedule'!$C$19="","",IF('Recurring Schedule'!$F$19="","",IF(OR($A141&lt;'Recurring Schedule'!$F$19,$A141&gt;'Recurring Schedule'!$P$19),"",IF(IF('Recurring Schedule'!$N$19&gt;0,MOD($A141-'Recurring Schedule'!$F$19,'Recurring Schedule'!$N$19)=0,IF('Recurring Schedule'!$O$19&gt;0,AND(DAY($A141)=MIN(DAY('Recurring Schedule'!$F$19),DAY(EOMONTH($A141,0))),MOD((YEAR($A141)-YEAR('Recurring Schedule'!$F$19))*12+MONTH($A141)-MONTH('Recurring Schedule'!$F$19),'Recurring Schedule'!$O$19)=0),IF('Recurring Schedule'!$E$19="Weekdays",WEEKDAY($A141,2)&lt;=5,$A141='Recurring Schedule'!$F$19))),14,""))))</f>
        <v/>
      </c>
      <c r="P141">
        <f>IF('Recurring Schedule'!$C$20="","",IF('Recurring Schedule'!$F$20="","",IF(OR($A141&lt;'Recurring Schedule'!$F$20,$A141&gt;'Recurring Schedule'!$P$20),"",IF(IF('Recurring Schedule'!$N$20&gt;0,MOD($A141-'Recurring Schedule'!$F$20,'Recurring Schedule'!$N$20)=0,IF('Recurring Schedule'!$O$20&gt;0,AND(DAY($A141)=MIN(DAY('Recurring Schedule'!$F$20),DAY(EOMONTH($A141,0))),MOD((YEAR($A141)-YEAR('Recurring Schedule'!$F$20))*12+MONTH($A141)-MONTH('Recurring Schedule'!$F$20),'Recurring Schedule'!$O$20)=0),IF('Recurring Schedule'!$E$20="Weekdays",WEEKDAY($A141,2)&lt;=5,$A141='Recurring Schedule'!$F$20))),15,""))))</f>
        <v/>
      </c>
      <c r="Q141">
        <f>IF('Recurring Schedule'!$C$21="","",IF('Recurring Schedule'!$F$21="","",IF(OR($A141&lt;'Recurring Schedule'!$F$21,$A141&gt;'Recurring Schedule'!$P$21),"",IF(IF('Recurring Schedule'!$N$21&gt;0,MOD($A141-'Recurring Schedule'!$F$21,'Recurring Schedule'!$N$21)=0,IF('Recurring Schedule'!$O$21&gt;0,AND(DAY($A141)=MIN(DAY('Recurring Schedule'!$F$21),DAY(EOMONTH($A141,0))),MOD((YEAR($A141)-YEAR('Recurring Schedule'!$F$21))*12+MONTH($A141)-MONTH('Recurring Schedule'!$F$21),'Recurring Schedule'!$O$21)=0),IF('Recurring Schedule'!$E$21="Weekdays",WEEKDAY($A141,2)&lt;=5,$A141='Recurring Schedule'!$F$21))),16,""))))</f>
        <v/>
      </c>
      <c r="R141">
        <f>IF('Recurring Schedule'!$C$22="","",IF('Recurring Schedule'!$F$22="","",IF(OR($A141&lt;'Recurring Schedule'!$F$22,$A141&gt;'Recurring Schedule'!$P$22),"",IF(IF('Recurring Schedule'!$N$22&gt;0,MOD($A141-'Recurring Schedule'!$F$22,'Recurring Schedule'!$N$22)=0,IF('Recurring Schedule'!$O$22&gt;0,AND(DAY($A141)=MIN(DAY('Recurring Schedule'!$F$22),DAY(EOMONTH($A141,0))),MOD((YEAR($A141)-YEAR('Recurring Schedule'!$F$22))*12+MONTH($A141)-MONTH('Recurring Schedule'!$F$22),'Recurring Schedule'!$O$22)=0),IF('Recurring Schedule'!$E$22="Weekdays",WEEKDAY($A141,2)&lt;=5,$A141='Recurring Schedule'!$F$22))),17,""))))</f>
        <v/>
      </c>
      <c r="S141">
        <f>IF('Recurring Schedule'!$C$23="","",IF('Recurring Schedule'!$F$23="","",IF(OR($A141&lt;'Recurring Schedule'!$F$23,$A141&gt;'Recurring Schedule'!$P$23),"",IF(IF('Recurring Schedule'!$N$23&gt;0,MOD($A141-'Recurring Schedule'!$F$23,'Recurring Schedule'!$N$23)=0,IF('Recurring Schedule'!$O$23&gt;0,AND(DAY($A141)=MIN(DAY('Recurring Schedule'!$F$23),DAY(EOMONTH($A141,0))),MOD((YEAR($A141)-YEAR('Recurring Schedule'!$F$23))*12+MONTH($A141)-MONTH('Recurring Schedule'!$F$23),'Recurring Schedule'!$O$23)=0),IF('Recurring Schedule'!$E$23="Weekdays",WEEKDAY($A141,2)&lt;=5,$A141='Recurring Schedule'!$F$23))),18,""))))</f>
        <v/>
      </c>
      <c r="T141">
        <f>IF('Recurring Schedule'!$C$24="","",IF('Recurring Schedule'!$F$24="","",IF(OR($A141&lt;'Recurring Schedule'!$F$24,$A141&gt;'Recurring Schedule'!$P$24),"",IF(IF('Recurring Schedule'!$N$24&gt;0,MOD($A141-'Recurring Schedule'!$F$24,'Recurring Schedule'!$N$24)=0,IF('Recurring Schedule'!$O$24&gt;0,AND(DAY($A141)=MIN(DAY('Recurring Schedule'!$F$24),DAY(EOMONTH($A141,0))),MOD((YEAR($A141)-YEAR('Recurring Schedule'!$F$24))*12+MONTH($A141)-MONTH('Recurring Schedule'!$F$24),'Recurring Schedule'!$O$24)=0),IF('Recurring Schedule'!$E$24="Weekdays",WEEKDAY($A141,2)&lt;=5,$A141='Recurring Schedule'!$F$24))),19,""))))</f>
        <v/>
      </c>
      <c r="U141">
        <f>IF('Recurring Schedule'!$C$25="","",IF('Recurring Schedule'!$F$25="","",IF(OR($A141&lt;'Recurring Schedule'!$F$25,$A141&gt;'Recurring Schedule'!$P$25),"",IF(IF('Recurring Schedule'!$N$25&gt;0,MOD($A141-'Recurring Schedule'!$F$25,'Recurring Schedule'!$N$25)=0,IF('Recurring Schedule'!$O$25&gt;0,AND(DAY($A141)=MIN(DAY('Recurring Schedule'!$F$25),DAY(EOMONTH($A141,0))),MOD((YEAR($A141)-YEAR('Recurring Schedule'!$F$25))*12+MONTH($A141)-MONTH('Recurring Schedule'!$F$25),'Recurring Schedule'!$O$25)=0),IF('Recurring Schedule'!$E$25="Weekdays",WEEKDAY($A141,2)&lt;=5,$A141='Recurring Schedule'!$F$25))),20,""))))</f>
        <v/>
      </c>
      <c r="V141">
        <f>IF('Recurring Schedule'!$C$26="","",IF('Recurring Schedule'!$F$26="","",IF(OR($A141&lt;'Recurring Schedule'!$F$26,$A141&gt;'Recurring Schedule'!$P$26),"",IF(IF('Recurring Schedule'!$N$26&gt;0,MOD($A141-'Recurring Schedule'!$F$26,'Recurring Schedule'!$N$26)=0,IF('Recurring Schedule'!$O$26&gt;0,AND(DAY($A141)=MIN(DAY('Recurring Schedule'!$F$26),DAY(EOMONTH($A141,0))),MOD((YEAR($A141)-YEAR('Recurring Schedule'!$F$26))*12+MONTH($A141)-MONTH('Recurring Schedule'!$F$26),'Recurring Schedule'!$O$26)=0),IF('Recurring Schedule'!$E$26="Weekdays",WEEKDAY($A141,2)&lt;=5,$A141='Recurring Schedule'!$F$26))),21,""))))</f>
        <v/>
      </c>
      <c r="W141">
        <f>IF('Recurring Schedule'!$C$27="","",IF('Recurring Schedule'!$F$27="","",IF(OR($A141&lt;'Recurring Schedule'!$F$27,$A141&gt;'Recurring Schedule'!$P$27),"",IF(IF('Recurring Schedule'!$N$27&gt;0,MOD($A141-'Recurring Schedule'!$F$27,'Recurring Schedule'!$N$27)=0,IF('Recurring Schedule'!$O$27&gt;0,AND(DAY($A141)=MIN(DAY('Recurring Schedule'!$F$27),DAY(EOMONTH($A141,0))),MOD((YEAR($A141)-YEAR('Recurring Schedule'!$F$27))*12+MONTH($A141)-MONTH('Recurring Schedule'!$F$27),'Recurring Schedule'!$O$27)=0),IF('Recurring Schedule'!$E$27="Weekdays",WEEKDAY($A141,2)&lt;=5,$A141='Recurring Schedule'!$F$27))),22,""))))</f>
        <v/>
      </c>
      <c r="X141">
        <f>IF('Recurring Schedule'!$C$28="","",IF('Recurring Schedule'!$F$28="","",IF(OR($A141&lt;'Recurring Schedule'!$F$28,$A141&gt;'Recurring Schedule'!$P$28),"",IF(IF('Recurring Schedule'!$N$28&gt;0,MOD($A141-'Recurring Schedule'!$F$28,'Recurring Schedule'!$N$28)=0,IF('Recurring Schedule'!$O$28&gt;0,AND(DAY($A141)=MIN(DAY('Recurring Schedule'!$F$28),DAY(EOMONTH($A141,0))),MOD((YEAR($A141)-YEAR('Recurring Schedule'!$F$28))*12+MONTH($A141)-MONTH('Recurring Schedule'!$F$28),'Recurring Schedule'!$O$28)=0),IF('Recurring Schedule'!$E$28="Weekdays",WEEKDAY($A141,2)&lt;=5,$A141='Recurring Schedule'!$F$28))),23,""))))</f>
        <v/>
      </c>
      <c r="Y141">
        <f>IF('Recurring Schedule'!$C$29="","",IF('Recurring Schedule'!$F$29="","",IF(OR($A141&lt;'Recurring Schedule'!$F$29,$A141&gt;'Recurring Schedule'!$P$29),"",IF(IF('Recurring Schedule'!$N$29&gt;0,MOD($A141-'Recurring Schedule'!$F$29,'Recurring Schedule'!$N$29)=0,IF('Recurring Schedule'!$O$29&gt;0,AND(DAY($A141)=MIN(DAY('Recurring Schedule'!$F$29),DAY(EOMONTH($A141,0))),MOD((YEAR($A141)-YEAR('Recurring Schedule'!$F$29))*12+MONTH($A141)-MONTH('Recurring Schedule'!$F$29),'Recurring Schedule'!$O$29)=0),IF('Recurring Schedule'!$E$29="Weekdays",WEEKDAY($A141,2)&lt;=5,$A141='Recurring Schedule'!$F$29))),24,""))))</f>
        <v/>
      </c>
      <c r="Z141">
        <f>IF('Recurring Schedule'!$C$30="","",IF('Recurring Schedule'!$F$30="","",IF(OR($A141&lt;'Recurring Schedule'!$F$30,$A141&gt;'Recurring Schedule'!$P$30),"",IF(IF('Recurring Schedule'!$N$30&gt;0,MOD($A141-'Recurring Schedule'!$F$30,'Recurring Schedule'!$N$30)=0,IF('Recurring Schedule'!$O$30&gt;0,AND(DAY($A141)=MIN(DAY('Recurring Schedule'!$F$30),DAY(EOMONTH($A141,0))),MOD((YEAR($A141)-YEAR('Recurring Schedule'!$F$30))*12+MONTH($A141)-MONTH('Recurring Schedule'!$F$30),'Recurring Schedule'!$O$30)=0),IF('Recurring Schedule'!$E$30="Weekdays",WEEKDAY($A141,2)&lt;=5,$A141='Recurring Schedule'!$F$30))),25,""))))</f>
        <v/>
      </c>
      <c r="AA141">
        <f>IF('Recurring Schedule'!$C$31="","",IF('Recurring Schedule'!$F$31="","",IF(OR($A141&lt;'Recurring Schedule'!$F$31,$A141&gt;'Recurring Schedule'!$P$31),"",IF(IF('Recurring Schedule'!$N$31&gt;0,MOD($A141-'Recurring Schedule'!$F$31,'Recurring Schedule'!$N$31)=0,IF('Recurring Schedule'!$O$31&gt;0,AND(DAY($A141)=MIN(DAY('Recurring Schedule'!$F$31),DAY(EOMONTH($A141,0))),MOD((YEAR($A141)-YEAR('Recurring Schedule'!$F$31))*12+MONTH($A141)-MONTH('Recurring Schedule'!$F$31),'Recurring Schedule'!$O$31)=0),IF('Recurring Schedule'!$E$31="Weekdays",WEEKDAY($A141,2)&lt;=5,$A141='Recurring Schedule'!$F$31))),26,""))))</f>
        <v/>
      </c>
      <c r="AB141">
        <f>IF('Recurring Schedule'!$C$32="","",IF('Recurring Schedule'!$F$32="","",IF(OR($A141&lt;'Recurring Schedule'!$F$32,$A141&gt;'Recurring Schedule'!$P$32),"",IF(IF('Recurring Schedule'!$N$32&gt;0,MOD($A141-'Recurring Schedule'!$F$32,'Recurring Schedule'!$N$32)=0,IF('Recurring Schedule'!$O$32&gt;0,AND(DAY($A141)=MIN(DAY('Recurring Schedule'!$F$32),DAY(EOMONTH($A141,0))),MOD((YEAR($A141)-YEAR('Recurring Schedule'!$F$32))*12+MONTH($A141)-MONTH('Recurring Schedule'!$F$32),'Recurring Schedule'!$O$32)=0),IF('Recurring Schedule'!$E$32="Weekdays",WEEKDAY($A141,2)&lt;=5,$A141='Recurring Schedule'!$F$32))),27,""))))</f>
        <v/>
      </c>
      <c r="AC141">
        <f>IF('Recurring Schedule'!$C$33="","",IF('Recurring Schedule'!$F$33="","",IF(OR($A141&lt;'Recurring Schedule'!$F$33,$A141&gt;'Recurring Schedule'!$P$33),"",IF(IF('Recurring Schedule'!$N$33&gt;0,MOD($A141-'Recurring Schedule'!$F$33,'Recurring Schedule'!$N$33)=0,IF('Recurring Schedule'!$O$33&gt;0,AND(DAY($A141)=MIN(DAY('Recurring Schedule'!$F$33),DAY(EOMONTH($A141,0))),MOD((YEAR($A141)-YEAR('Recurring Schedule'!$F$33))*12+MONTH($A141)-MONTH('Recurring Schedule'!$F$33),'Recurring Schedule'!$O$33)=0),IF('Recurring Schedule'!$E$33="Weekdays",WEEKDAY($A141,2)&lt;=5,$A141='Recurring Schedule'!$F$33))),28,""))))</f>
        <v/>
      </c>
      <c r="AD141">
        <f>IF('Recurring Schedule'!$C$34="","",IF('Recurring Schedule'!$F$34="","",IF(OR($A141&lt;'Recurring Schedule'!$F$34,$A141&gt;'Recurring Schedule'!$P$34),"",IF(IF('Recurring Schedule'!$N$34&gt;0,MOD($A141-'Recurring Schedule'!$F$34,'Recurring Schedule'!$N$34)=0,IF('Recurring Schedule'!$O$34&gt;0,AND(DAY($A141)=MIN(DAY('Recurring Schedule'!$F$34),DAY(EOMONTH($A141,0))),MOD((YEAR($A141)-YEAR('Recurring Schedule'!$F$34))*12+MONTH($A141)-MONTH('Recurring Schedule'!$F$34),'Recurring Schedule'!$O$34)=0),IF('Recurring Schedule'!$E$34="Weekdays",WEEKDAY($A141,2)&lt;=5,$A141='Recurring Schedule'!$F$34))),29,""))))</f>
        <v/>
      </c>
      <c r="AE141">
        <f>IF('Recurring Schedule'!$C$35="","",IF('Recurring Schedule'!$F$35="","",IF(OR($A141&lt;'Recurring Schedule'!$F$35,$A141&gt;'Recurring Schedule'!$P$35),"",IF(IF('Recurring Schedule'!$N$35&gt;0,MOD($A141-'Recurring Schedule'!$F$35,'Recurring Schedule'!$N$35)=0,IF('Recurring Schedule'!$O$35&gt;0,AND(DAY($A141)=MIN(DAY('Recurring Schedule'!$F$35),DAY(EOMONTH($A141,0))),MOD((YEAR($A141)-YEAR('Recurring Schedule'!$F$35))*12+MONTH($A141)-MONTH('Recurring Schedule'!$F$35),'Recurring Schedule'!$O$35)=0),IF('Recurring Schedule'!$E$35="Weekdays",WEEKDAY($A141,2)&lt;=5,$A141='Recurring Schedule'!$F$35))),30,""))))</f>
        <v/>
      </c>
      <c r="AF141">
        <f>IF('Recurring Schedule'!$C$36="","",IF('Recurring Schedule'!$F$36="","",IF(OR($A141&lt;'Recurring Schedule'!$F$36,$A141&gt;'Recurring Schedule'!$P$36),"",IF(IF('Recurring Schedule'!$N$36&gt;0,MOD($A141-'Recurring Schedule'!$F$36,'Recurring Schedule'!$N$36)=0,IF('Recurring Schedule'!$O$36&gt;0,AND(DAY($A141)=MIN(DAY('Recurring Schedule'!$F$36),DAY(EOMONTH($A141,0))),MOD((YEAR($A141)-YEAR('Recurring Schedule'!$F$36))*12+MONTH($A141)-MONTH('Recurring Schedule'!$F$36),'Recurring Schedule'!$O$36)=0),IF('Recurring Schedule'!$E$36="Weekdays",WEEKDAY($A141,2)&lt;=5,$A141='Recurring Schedule'!$F$36))),31,""))))</f>
        <v/>
      </c>
      <c r="AG141">
        <f>IF('Recurring Schedule'!$C$37="","",IF('Recurring Schedule'!$F$37="","",IF(OR($A141&lt;'Recurring Schedule'!$F$37,$A141&gt;'Recurring Schedule'!$P$37),"",IF(IF('Recurring Schedule'!$N$37&gt;0,MOD($A141-'Recurring Schedule'!$F$37,'Recurring Schedule'!$N$37)=0,IF('Recurring Schedule'!$O$37&gt;0,AND(DAY($A141)=MIN(DAY('Recurring Schedule'!$F$37),DAY(EOMONTH($A141,0))),MOD((YEAR($A141)-YEAR('Recurring Schedule'!$F$37))*12+MONTH($A141)-MONTH('Recurring Schedule'!$F$37),'Recurring Schedule'!$O$37)=0),IF('Recurring Schedule'!$E$37="Weekdays",WEEKDAY($A141,2)&lt;=5,$A141='Recurring Schedule'!$F$37))),32,""))))</f>
        <v/>
      </c>
      <c r="AH141">
        <f>IF('Recurring Schedule'!$C$38="","",IF('Recurring Schedule'!$F$38="","",IF(OR($A141&lt;'Recurring Schedule'!$F$38,$A141&gt;'Recurring Schedule'!$P$38),"",IF(IF('Recurring Schedule'!$N$38&gt;0,MOD($A141-'Recurring Schedule'!$F$38,'Recurring Schedule'!$N$38)=0,IF('Recurring Schedule'!$O$38&gt;0,AND(DAY($A141)=MIN(DAY('Recurring Schedule'!$F$38),DAY(EOMONTH($A141,0))),MOD((YEAR($A141)-YEAR('Recurring Schedule'!$F$38))*12+MONTH($A141)-MONTH('Recurring Schedule'!$F$38),'Recurring Schedule'!$O$38)=0),IF('Recurring Schedule'!$E$38="Weekdays",WEEKDAY($A141,2)&lt;=5,$A141='Recurring Schedule'!$F$38))),33,""))))</f>
        <v/>
      </c>
      <c r="AI141">
        <f>IF('Recurring Schedule'!$C$39="","",IF('Recurring Schedule'!$F$39="","",IF(OR($A141&lt;'Recurring Schedule'!$F$39,$A141&gt;'Recurring Schedule'!$P$39),"",IF(IF('Recurring Schedule'!$N$39&gt;0,MOD($A141-'Recurring Schedule'!$F$39,'Recurring Schedule'!$N$39)=0,IF('Recurring Schedule'!$O$39&gt;0,AND(DAY($A141)=MIN(DAY('Recurring Schedule'!$F$39),DAY(EOMONTH($A141,0))),MOD((YEAR($A141)-YEAR('Recurring Schedule'!$F$39))*12+MONTH($A141)-MONTH('Recurring Schedule'!$F$39),'Recurring Schedule'!$O$39)=0),IF('Recurring Schedule'!$E$39="Weekdays",WEEKDAY($A141,2)&lt;=5,$A141='Recurring Schedule'!$F$39))),34,""))))</f>
        <v/>
      </c>
      <c r="AJ141">
        <f>IF('Recurring Schedule'!$C$40="","",IF('Recurring Schedule'!$F$40="","",IF(OR($A141&lt;'Recurring Schedule'!$F$40,$A141&gt;'Recurring Schedule'!$P$40),"",IF(IF('Recurring Schedule'!$N$40&gt;0,MOD($A141-'Recurring Schedule'!$F$40,'Recurring Schedule'!$N$40)=0,IF('Recurring Schedule'!$O$40&gt;0,AND(DAY($A141)=MIN(DAY('Recurring Schedule'!$F$40),DAY(EOMONTH($A141,0))),MOD((YEAR($A141)-YEAR('Recurring Schedule'!$F$40))*12+MONTH($A141)-MONTH('Recurring Schedule'!$F$40),'Recurring Schedule'!$O$40)=0),IF('Recurring Schedule'!$E$40="Weekdays",WEEKDAY($A141,2)&lt;=5,$A141='Recurring Schedule'!$F$40))),35,""))))</f>
        <v/>
      </c>
      <c r="AK141">
        <f>IF('Recurring Schedule'!$C$41="","",IF('Recurring Schedule'!$F$41="","",IF(OR($A141&lt;'Recurring Schedule'!$F$41,$A141&gt;'Recurring Schedule'!$P$41),"",IF(IF('Recurring Schedule'!$N$41&gt;0,MOD($A141-'Recurring Schedule'!$F$41,'Recurring Schedule'!$N$41)=0,IF('Recurring Schedule'!$O$41&gt;0,AND(DAY($A141)=MIN(DAY('Recurring Schedule'!$F$41),DAY(EOMONTH($A141,0))),MOD((YEAR($A141)-YEAR('Recurring Schedule'!$F$41))*12+MONTH($A141)-MONTH('Recurring Schedule'!$F$41),'Recurring Schedule'!$O$41)=0),IF('Recurring Schedule'!$E$41="Weekdays",WEEKDAY($A141,2)&lt;=5,$A141='Recurring Schedule'!$F$41))),36,""))))</f>
        <v/>
      </c>
      <c r="AL141">
        <f>IF('Recurring Schedule'!$C$42="","",IF('Recurring Schedule'!$F$42="","",IF(OR($A141&lt;'Recurring Schedule'!$F$42,$A141&gt;'Recurring Schedule'!$P$42),"",IF(IF('Recurring Schedule'!$N$42&gt;0,MOD($A141-'Recurring Schedule'!$F$42,'Recurring Schedule'!$N$42)=0,IF('Recurring Schedule'!$O$42&gt;0,AND(DAY($A141)=MIN(DAY('Recurring Schedule'!$F$42),DAY(EOMONTH($A141,0))),MOD((YEAR($A141)-YEAR('Recurring Schedule'!$F$42))*12+MONTH($A141)-MONTH('Recurring Schedule'!$F$42),'Recurring Schedule'!$O$42)=0),IF('Recurring Schedule'!$E$42="Weekdays",WEEKDAY($A141,2)&lt;=5,$A141='Recurring Schedule'!$F$42))),37,""))))</f>
        <v/>
      </c>
      <c r="AM141">
        <f>IF('Recurring Schedule'!$C$43="","",IF('Recurring Schedule'!$F$43="","",IF(OR($A141&lt;'Recurring Schedule'!$F$43,$A141&gt;'Recurring Schedule'!$P$43),"",IF(IF('Recurring Schedule'!$N$43&gt;0,MOD($A141-'Recurring Schedule'!$F$43,'Recurring Schedule'!$N$43)=0,IF('Recurring Schedule'!$O$43&gt;0,AND(DAY($A141)=MIN(DAY('Recurring Schedule'!$F$43),DAY(EOMONTH($A141,0))),MOD((YEAR($A141)-YEAR('Recurring Schedule'!$F$43))*12+MONTH($A141)-MONTH('Recurring Schedule'!$F$43),'Recurring Schedule'!$O$43)=0),IF('Recurring Schedule'!$E$43="Weekdays",WEEKDAY($A141,2)&lt;=5,$A141='Recurring Schedule'!$F$43))),38,""))))</f>
        <v/>
      </c>
      <c r="AN141">
        <f>IF('Recurring Schedule'!$C$44="","",IF('Recurring Schedule'!$F$44="","",IF(OR($A141&lt;'Recurring Schedule'!$F$44,$A141&gt;'Recurring Schedule'!$P$44),"",IF(IF('Recurring Schedule'!$N$44&gt;0,MOD($A141-'Recurring Schedule'!$F$44,'Recurring Schedule'!$N$44)=0,IF('Recurring Schedule'!$O$44&gt;0,AND(DAY($A141)=MIN(DAY('Recurring Schedule'!$F$44),DAY(EOMONTH($A141,0))),MOD((YEAR($A141)-YEAR('Recurring Schedule'!$F$44))*12+MONTH($A141)-MONTH('Recurring Schedule'!$F$44),'Recurring Schedule'!$O$44)=0),IF('Recurring Schedule'!$E$44="Weekdays",WEEKDAY($A141,2)&lt;=5,$A141='Recurring Schedule'!$F$44))),39,""))))</f>
        <v/>
      </c>
      <c r="AO141">
        <f>IF('Recurring Schedule'!$C$45="","",IF('Recurring Schedule'!$F$45="","",IF(OR($A141&lt;'Recurring Schedule'!$F$45,$A141&gt;'Recurring Schedule'!$P$45),"",IF(IF('Recurring Schedule'!$N$45&gt;0,MOD($A141-'Recurring Schedule'!$F$45,'Recurring Schedule'!$N$45)=0,IF('Recurring Schedule'!$O$45&gt;0,AND(DAY($A141)=MIN(DAY('Recurring Schedule'!$F$45),DAY(EOMONTH($A141,0))),MOD((YEAR($A141)-YEAR('Recurring Schedule'!$F$45))*12+MONTH($A141)-MONTH('Recurring Schedule'!$F$45),'Recurring Schedule'!$O$45)=0),IF('Recurring Schedule'!$E$45="Weekdays",WEEKDAY($A141,2)&lt;=5,$A141='Recurring Schedule'!$F$45))),40,""))))</f>
        <v/>
      </c>
      <c r="AP141">
        <f>COUNT(B141:AO141)</f>
        <v/>
      </c>
      <c r="AQ141">
        <f>AQ140+AP140</f>
        <v/>
      </c>
      <c r="AS141" t="inlineStr">
        <is>
          <t>R</t>
        </is>
      </c>
      <c r="AT141" t="n">
        <v>145</v>
      </c>
      <c r="AU141">
        <f>'Recurring Log'!C145&amp;""</f>
        <v/>
      </c>
      <c r="AV141">
        <f>'Recurring Log'!D145&amp;""</f>
        <v/>
      </c>
      <c r="AW141">
        <f>IF('Recurring Log'!E145="","",'Recurring Log'!E145)</f>
        <v/>
      </c>
      <c r="AX141">
        <f>IF('Recurring Log'!G145="","",'Recurring Log'!G145)</f>
        <v/>
      </c>
      <c r="AY141">
        <f>IF('Recurring Log'!H145="","",'Recurring Log'!H145)</f>
        <v/>
      </c>
      <c r="AZ141">
        <f>IF(AU141="","",IF('Recurring Log'!J145="","Not Started",'Recurring Log'!J145))</f>
        <v/>
      </c>
      <c r="BA141">
        <f>'Recurring Log'!L145&amp;""</f>
        <v/>
      </c>
      <c r="BB141">
        <f>'Recurring Log'!M145&amp;""</f>
        <v/>
      </c>
      <c r="BC141">
        <f>'Recurring Log'!N145&amp;""</f>
        <v/>
      </c>
      <c r="BD141">
        <f>'Recurring Log'!O145&amp;""</f>
        <v/>
      </c>
      <c r="BE141">
        <f>IF('Recurring Log'!K145="","",'Recurring Log'!K145)</f>
        <v/>
      </c>
      <c r="BF141">
        <f>IFERROR(MATCH(BA141,Setup!$L$6:$L$9,0),5)</f>
        <v/>
      </c>
      <c r="BG141">
        <f>IF(OR(AZ141="Done",AZ141="Cancelled"),1,0)</f>
        <v/>
      </c>
      <c r="BH141">
        <f>IF(AND(AU141&lt;&gt;"",ISNUMBER(AW141)),1,0)</f>
        <v/>
      </c>
      <c r="BI141">
        <f>IF(BH141=0,0,IF(AND(AW141&gt;='Tasks Filter'!$F$3,AW141&lt;='Tasks Filter'!$F$4,OR('Tasks Filter'!$I$3="",ISNUMBER(SEARCH('Tasks Filter'!$I$3,AU141))),OR('Tasks Filter'!$I$4="",BF141=IFERROR(MATCH('Tasks Filter'!$I$4,Setup!$L$6:$L$9,0),0)),OR('Tasks Filter'!$I$5="Both",AND('Tasks Filter'!$I$5="Yes",BB141="✓"),AND('Tasks Filter'!$I$5="No",BB141&lt;&gt;"✓")),OR('Tasks Filter'!$L$3="",AV141='Tasks Filter'!$L$3),OR('Tasks Filter'!$L$4="",AZ141='Tasks Filter'!$L$4),OR('Tasks Filter'!$L$5="",BC141='Tasks Filter'!$L$5),OR('Tasks Filter'!$O$3="",BD141='Tasks Filter'!$O$3),OR('Tasks Filter'!$O$4="Yes",BG141=0)),1,0))</f>
        <v/>
      </c>
      <c r="BJ141">
        <f>IF(BH141=0,"",IF('Tasks Filter'!$F$6="Descending",-1,1)*CHOOSE(MATCH('Tasks Filter'!$F$5,Lists!$G$2:$G$6,0),AW141,BF141,IFERROR(MATCH(AV141,Setup!$F$6:$F$15,0),99),IFERROR(MATCH(BC141,Setup!$H$6:$H$15,0),99),IFERROR(MATCH(AZ141,Setup!$J$6:$J$11,0),99))*1E+9+(AW141-40000)*10000+140)</f>
        <v/>
      </c>
      <c r="BK141">
        <f>IF(BI141=1,BJ141,"")</f>
        <v/>
      </c>
      <c r="BL141">
        <f>IF(AND(BH141=1,BG141=0,N(AW141)&lt;Setup!$D$7),(AW141-40000)*10000+140,"")</f>
        <v/>
      </c>
      <c r="BM141">
        <f>IF(AND(BH141=1,AZ141&lt;&gt;"Cancelled",N(AW141)&gt;=Dashboard!$AB$3,N(AW141)&lt;=Dashboard!$AB$3+6),(AW141-40000)*100000+BF141*10000+140,"")</f>
        <v/>
      </c>
      <c r="BN141">
        <f>IF(AND(BH141=1,AZ141&lt;&gt;"Cancelled"),BF141*10000+140,"")</f>
        <v/>
      </c>
    </row>
    <row r="142">
      <c r="A142">
        <f>Setup!$D$5+140</f>
        <v/>
      </c>
      <c r="B142">
        <f>IF('Recurring Schedule'!$C$6="","",IF('Recurring Schedule'!$F$6="","",IF(OR($A142&lt;'Recurring Schedule'!$F$6,$A142&gt;'Recurring Schedule'!$P$6),"",IF(IF('Recurring Schedule'!$N$6&gt;0,MOD($A142-'Recurring Schedule'!$F$6,'Recurring Schedule'!$N$6)=0,IF('Recurring Schedule'!$O$6&gt;0,AND(DAY($A142)=MIN(DAY('Recurring Schedule'!$F$6),DAY(EOMONTH($A142,0))),MOD((YEAR($A142)-YEAR('Recurring Schedule'!$F$6))*12+MONTH($A142)-MONTH('Recurring Schedule'!$F$6),'Recurring Schedule'!$O$6)=0),IF('Recurring Schedule'!$E$6="Weekdays",WEEKDAY($A142,2)&lt;=5,$A142='Recurring Schedule'!$F$6))),1,""))))</f>
        <v/>
      </c>
      <c r="C142">
        <f>IF('Recurring Schedule'!$C$7="","",IF('Recurring Schedule'!$F$7="","",IF(OR($A142&lt;'Recurring Schedule'!$F$7,$A142&gt;'Recurring Schedule'!$P$7),"",IF(IF('Recurring Schedule'!$N$7&gt;0,MOD($A142-'Recurring Schedule'!$F$7,'Recurring Schedule'!$N$7)=0,IF('Recurring Schedule'!$O$7&gt;0,AND(DAY($A142)=MIN(DAY('Recurring Schedule'!$F$7),DAY(EOMONTH($A142,0))),MOD((YEAR($A142)-YEAR('Recurring Schedule'!$F$7))*12+MONTH($A142)-MONTH('Recurring Schedule'!$F$7),'Recurring Schedule'!$O$7)=0),IF('Recurring Schedule'!$E$7="Weekdays",WEEKDAY($A142,2)&lt;=5,$A142='Recurring Schedule'!$F$7))),2,""))))</f>
        <v/>
      </c>
      <c r="D142">
        <f>IF('Recurring Schedule'!$C$8="","",IF('Recurring Schedule'!$F$8="","",IF(OR($A142&lt;'Recurring Schedule'!$F$8,$A142&gt;'Recurring Schedule'!$P$8),"",IF(IF('Recurring Schedule'!$N$8&gt;0,MOD($A142-'Recurring Schedule'!$F$8,'Recurring Schedule'!$N$8)=0,IF('Recurring Schedule'!$O$8&gt;0,AND(DAY($A142)=MIN(DAY('Recurring Schedule'!$F$8),DAY(EOMONTH($A142,0))),MOD((YEAR($A142)-YEAR('Recurring Schedule'!$F$8))*12+MONTH($A142)-MONTH('Recurring Schedule'!$F$8),'Recurring Schedule'!$O$8)=0),IF('Recurring Schedule'!$E$8="Weekdays",WEEKDAY($A142,2)&lt;=5,$A142='Recurring Schedule'!$F$8))),3,""))))</f>
        <v/>
      </c>
      <c r="E142">
        <f>IF('Recurring Schedule'!$C$9="","",IF('Recurring Schedule'!$F$9="","",IF(OR($A142&lt;'Recurring Schedule'!$F$9,$A142&gt;'Recurring Schedule'!$P$9),"",IF(IF('Recurring Schedule'!$N$9&gt;0,MOD($A142-'Recurring Schedule'!$F$9,'Recurring Schedule'!$N$9)=0,IF('Recurring Schedule'!$O$9&gt;0,AND(DAY($A142)=MIN(DAY('Recurring Schedule'!$F$9),DAY(EOMONTH($A142,0))),MOD((YEAR($A142)-YEAR('Recurring Schedule'!$F$9))*12+MONTH($A142)-MONTH('Recurring Schedule'!$F$9),'Recurring Schedule'!$O$9)=0),IF('Recurring Schedule'!$E$9="Weekdays",WEEKDAY($A142,2)&lt;=5,$A142='Recurring Schedule'!$F$9))),4,""))))</f>
        <v/>
      </c>
      <c r="F142">
        <f>IF('Recurring Schedule'!$C$10="","",IF('Recurring Schedule'!$F$10="","",IF(OR($A142&lt;'Recurring Schedule'!$F$10,$A142&gt;'Recurring Schedule'!$P$10),"",IF(IF('Recurring Schedule'!$N$10&gt;0,MOD($A142-'Recurring Schedule'!$F$10,'Recurring Schedule'!$N$10)=0,IF('Recurring Schedule'!$O$10&gt;0,AND(DAY($A142)=MIN(DAY('Recurring Schedule'!$F$10),DAY(EOMONTH($A142,0))),MOD((YEAR($A142)-YEAR('Recurring Schedule'!$F$10))*12+MONTH($A142)-MONTH('Recurring Schedule'!$F$10),'Recurring Schedule'!$O$10)=0),IF('Recurring Schedule'!$E$10="Weekdays",WEEKDAY($A142,2)&lt;=5,$A142='Recurring Schedule'!$F$10))),5,""))))</f>
        <v/>
      </c>
      <c r="G142">
        <f>IF('Recurring Schedule'!$C$11="","",IF('Recurring Schedule'!$F$11="","",IF(OR($A142&lt;'Recurring Schedule'!$F$11,$A142&gt;'Recurring Schedule'!$P$11),"",IF(IF('Recurring Schedule'!$N$11&gt;0,MOD($A142-'Recurring Schedule'!$F$11,'Recurring Schedule'!$N$11)=0,IF('Recurring Schedule'!$O$11&gt;0,AND(DAY($A142)=MIN(DAY('Recurring Schedule'!$F$11),DAY(EOMONTH($A142,0))),MOD((YEAR($A142)-YEAR('Recurring Schedule'!$F$11))*12+MONTH($A142)-MONTH('Recurring Schedule'!$F$11),'Recurring Schedule'!$O$11)=0),IF('Recurring Schedule'!$E$11="Weekdays",WEEKDAY($A142,2)&lt;=5,$A142='Recurring Schedule'!$F$11))),6,""))))</f>
        <v/>
      </c>
      <c r="H142">
        <f>IF('Recurring Schedule'!$C$12="","",IF('Recurring Schedule'!$F$12="","",IF(OR($A142&lt;'Recurring Schedule'!$F$12,$A142&gt;'Recurring Schedule'!$P$12),"",IF(IF('Recurring Schedule'!$N$12&gt;0,MOD($A142-'Recurring Schedule'!$F$12,'Recurring Schedule'!$N$12)=0,IF('Recurring Schedule'!$O$12&gt;0,AND(DAY($A142)=MIN(DAY('Recurring Schedule'!$F$12),DAY(EOMONTH($A142,0))),MOD((YEAR($A142)-YEAR('Recurring Schedule'!$F$12))*12+MONTH($A142)-MONTH('Recurring Schedule'!$F$12),'Recurring Schedule'!$O$12)=0),IF('Recurring Schedule'!$E$12="Weekdays",WEEKDAY($A142,2)&lt;=5,$A142='Recurring Schedule'!$F$12))),7,""))))</f>
        <v/>
      </c>
      <c r="I142">
        <f>IF('Recurring Schedule'!$C$13="","",IF('Recurring Schedule'!$F$13="","",IF(OR($A142&lt;'Recurring Schedule'!$F$13,$A142&gt;'Recurring Schedule'!$P$13),"",IF(IF('Recurring Schedule'!$N$13&gt;0,MOD($A142-'Recurring Schedule'!$F$13,'Recurring Schedule'!$N$13)=0,IF('Recurring Schedule'!$O$13&gt;0,AND(DAY($A142)=MIN(DAY('Recurring Schedule'!$F$13),DAY(EOMONTH($A142,0))),MOD((YEAR($A142)-YEAR('Recurring Schedule'!$F$13))*12+MONTH($A142)-MONTH('Recurring Schedule'!$F$13),'Recurring Schedule'!$O$13)=0),IF('Recurring Schedule'!$E$13="Weekdays",WEEKDAY($A142,2)&lt;=5,$A142='Recurring Schedule'!$F$13))),8,""))))</f>
        <v/>
      </c>
      <c r="J142">
        <f>IF('Recurring Schedule'!$C$14="","",IF('Recurring Schedule'!$F$14="","",IF(OR($A142&lt;'Recurring Schedule'!$F$14,$A142&gt;'Recurring Schedule'!$P$14),"",IF(IF('Recurring Schedule'!$N$14&gt;0,MOD($A142-'Recurring Schedule'!$F$14,'Recurring Schedule'!$N$14)=0,IF('Recurring Schedule'!$O$14&gt;0,AND(DAY($A142)=MIN(DAY('Recurring Schedule'!$F$14),DAY(EOMONTH($A142,0))),MOD((YEAR($A142)-YEAR('Recurring Schedule'!$F$14))*12+MONTH($A142)-MONTH('Recurring Schedule'!$F$14),'Recurring Schedule'!$O$14)=0),IF('Recurring Schedule'!$E$14="Weekdays",WEEKDAY($A142,2)&lt;=5,$A142='Recurring Schedule'!$F$14))),9,""))))</f>
        <v/>
      </c>
      <c r="K142">
        <f>IF('Recurring Schedule'!$C$15="","",IF('Recurring Schedule'!$F$15="","",IF(OR($A142&lt;'Recurring Schedule'!$F$15,$A142&gt;'Recurring Schedule'!$P$15),"",IF(IF('Recurring Schedule'!$N$15&gt;0,MOD($A142-'Recurring Schedule'!$F$15,'Recurring Schedule'!$N$15)=0,IF('Recurring Schedule'!$O$15&gt;0,AND(DAY($A142)=MIN(DAY('Recurring Schedule'!$F$15),DAY(EOMONTH($A142,0))),MOD((YEAR($A142)-YEAR('Recurring Schedule'!$F$15))*12+MONTH($A142)-MONTH('Recurring Schedule'!$F$15),'Recurring Schedule'!$O$15)=0),IF('Recurring Schedule'!$E$15="Weekdays",WEEKDAY($A142,2)&lt;=5,$A142='Recurring Schedule'!$F$15))),10,""))))</f>
        <v/>
      </c>
      <c r="L142">
        <f>IF('Recurring Schedule'!$C$16="","",IF('Recurring Schedule'!$F$16="","",IF(OR($A142&lt;'Recurring Schedule'!$F$16,$A142&gt;'Recurring Schedule'!$P$16),"",IF(IF('Recurring Schedule'!$N$16&gt;0,MOD($A142-'Recurring Schedule'!$F$16,'Recurring Schedule'!$N$16)=0,IF('Recurring Schedule'!$O$16&gt;0,AND(DAY($A142)=MIN(DAY('Recurring Schedule'!$F$16),DAY(EOMONTH($A142,0))),MOD((YEAR($A142)-YEAR('Recurring Schedule'!$F$16))*12+MONTH($A142)-MONTH('Recurring Schedule'!$F$16),'Recurring Schedule'!$O$16)=0),IF('Recurring Schedule'!$E$16="Weekdays",WEEKDAY($A142,2)&lt;=5,$A142='Recurring Schedule'!$F$16))),11,""))))</f>
        <v/>
      </c>
      <c r="M142">
        <f>IF('Recurring Schedule'!$C$17="","",IF('Recurring Schedule'!$F$17="","",IF(OR($A142&lt;'Recurring Schedule'!$F$17,$A142&gt;'Recurring Schedule'!$P$17),"",IF(IF('Recurring Schedule'!$N$17&gt;0,MOD($A142-'Recurring Schedule'!$F$17,'Recurring Schedule'!$N$17)=0,IF('Recurring Schedule'!$O$17&gt;0,AND(DAY($A142)=MIN(DAY('Recurring Schedule'!$F$17),DAY(EOMONTH($A142,0))),MOD((YEAR($A142)-YEAR('Recurring Schedule'!$F$17))*12+MONTH($A142)-MONTH('Recurring Schedule'!$F$17),'Recurring Schedule'!$O$17)=0),IF('Recurring Schedule'!$E$17="Weekdays",WEEKDAY($A142,2)&lt;=5,$A142='Recurring Schedule'!$F$17))),12,""))))</f>
        <v/>
      </c>
      <c r="N142">
        <f>IF('Recurring Schedule'!$C$18="","",IF('Recurring Schedule'!$F$18="","",IF(OR($A142&lt;'Recurring Schedule'!$F$18,$A142&gt;'Recurring Schedule'!$P$18),"",IF(IF('Recurring Schedule'!$N$18&gt;0,MOD($A142-'Recurring Schedule'!$F$18,'Recurring Schedule'!$N$18)=0,IF('Recurring Schedule'!$O$18&gt;0,AND(DAY($A142)=MIN(DAY('Recurring Schedule'!$F$18),DAY(EOMONTH($A142,0))),MOD((YEAR($A142)-YEAR('Recurring Schedule'!$F$18))*12+MONTH($A142)-MONTH('Recurring Schedule'!$F$18),'Recurring Schedule'!$O$18)=0),IF('Recurring Schedule'!$E$18="Weekdays",WEEKDAY($A142,2)&lt;=5,$A142='Recurring Schedule'!$F$18))),13,""))))</f>
        <v/>
      </c>
      <c r="O142">
        <f>IF('Recurring Schedule'!$C$19="","",IF('Recurring Schedule'!$F$19="","",IF(OR($A142&lt;'Recurring Schedule'!$F$19,$A142&gt;'Recurring Schedule'!$P$19),"",IF(IF('Recurring Schedule'!$N$19&gt;0,MOD($A142-'Recurring Schedule'!$F$19,'Recurring Schedule'!$N$19)=0,IF('Recurring Schedule'!$O$19&gt;0,AND(DAY($A142)=MIN(DAY('Recurring Schedule'!$F$19),DAY(EOMONTH($A142,0))),MOD((YEAR($A142)-YEAR('Recurring Schedule'!$F$19))*12+MONTH($A142)-MONTH('Recurring Schedule'!$F$19),'Recurring Schedule'!$O$19)=0),IF('Recurring Schedule'!$E$19="Weekdays",WEEKDAY($A142,2)&lt;=5,$A142='Recurring Schedule'!$F$19))),14,""))))</f>
        <v/>
      </c>
      <c r="P142">
        <f>IF('Recurring Schedule'!$C$20="","",IF('Recurring Schedule'!$F$20="","",IF(OR($A142&lt;'Recurring Schedule'!$F$20,$A142&gt;'Recurring Schedule'!$P$20),"",IF(IF('Recurring Schedule'!$N$20&gt;0,MOD($A142-'Recurring Schedule'!$F$20,'Recurring Schedule'!$N$20)=0,IF('Recurring Schedule'!$O$20&gt;0,AND(DAY($A142)=MIN(DAY('Recurring Schedule'!$F$20),DAY(EOMONTH($A142,0))),MOD((YEAR($A142)-YEAR('Recurring Schedule'!$F$20))*12+MONTH($A142)-MONTH('Recurring Schedule'!$F$20),'Recurring Schedule'!$O$20)=0),IF('Recurring Schedule'!$E$20="Weekdays",WEEKDAY($A142,2)&lt;=5,$A142='Recurring Schedule'!$F$20))),15,""))))</f>
        <v/>
      </c>
      <c r="Q142">
        <f>IF('Recurring Schedule'!$C$21="","",IF('Recurring Schedule'!$F$21="","",IF(OR($A142&lt;'Recurring Schedule'!$F$21,$A142&gt;'Recurring Schedule'!$P$21),"",IF(IF('Recurring Schedule'!$N$21&gt;0,MOD($A142-'Recurring Schedule'!$F$21,'Recurring Schedule'!$N$21)=0,IF('Recurring Schedule'!$O$21&gt;0,AND(DAY($A142)=MIN(DAY('Recurring Schedule'!$F$21),DAY(EOMONTH($A142,0))),MOD((YEAR($A142)-YEAR('Recurring Schedule'!$F$21))*12+MONTH($A142)-MONTH('Recurring Schedule'!$F$21),'Recurring Schedule'!$O$21)=0),IF('Recurring Schedule'!$E$21="Weekdays",WEEKDAY($A142,2)&lt;=5,$A142='Recurring Schedule'!$F$21))),16,""))))</f>
        <v/>
      </c>
      <c r="R142">
        <f>IF('Recurring Schedule'!$C$22="","",IF('Recurring Schedule'!$F$22="","",IF(OR($A142&lt;'Recurring Schedule'!$F$22,$A142&gt;'Recurring Schedule'!$P$22),"",IF(IF('Recurring Schedule'!$N$22&gt;0,MOD($A142-'Recurring Schedule'!$F$22,'Recurring Schedule'!$N$22)=0,IF('Recurring Schedule'!$O$22&gt;0,AND(DAY($A142)=MIN(DAY('Recurring Schedule'!$F$22),DAY(EOMONTH($A142,0))),MOD((YEAR($A142)-YEAR('Recurring Schedule'!$F$22))*12+MONTH($A142)-MONTH('Recurring Schedule'!$F$22),'Recurring Schedule'!$O$22)=0),IF('Recurring Schedule'!$E$22="Weekdays",WEEKDAY($A142,2)&lt;=5,$A142='Recurring Schedule'!$F$22))),17,""))))</f>
        <v/>
      </c>
      <c r="S142">
        <f>IF('Recurring Schedule'!$C$23="","",IF('Recurring Schedule'!$F$23="","",IF(OR($A142&lt;'Recurring Schedule'!$F$23,$A142&gt;'Recurring Schedule'!$P$23),"",IF(IF('Recurring Schedule'!$N$23&gt;0,MOD($A142-'Recurring Schedule'!$F$23,'Recurring Schedule'!$N$23)=0,IF('Recurring Schedule'!$O$23&gt;0,AND(DAY($A142)=MIN(DAY('Recurring Schedule'!$F$23),DAY(EOMONTH($A142,0))),MOD((YEAR($A142)-YEAR('Recurring Schedule'!$F$23))*12+MONTH($A142)-MONTH('Recurring Schedule'!$F$23),'Recurring Schedule'!$O$23)=0),IF('Recurring Schedule'!$E$23="Weekdays",WEEKDAY($A142,2)&lt;=5,$A142='Recurring Schedule'!$F$23))),18,""))))</f>
        <v/>
      </c>
      <c r="T142">
        <f>IF('Recurring Schedule'!$C$24="","",IF('Recurring Schedule'!$F$24="","",IF(OR($A142&lt;'Recurring Schedule'!$F$24,$A142&gt;'Recurring Schedule'!$P$24),"",IF(IF('Recurring Schedule'!$N$24&gt;0,MOD($A142-'Recurring Schedule'!$F$24,'Recurring Schedule'!$N$24)=0,IF('Recurring Schedule'!$O$24&gt;0,AND(DAY($A142)=MIN(DAY('Recurring Schedule'!$F$24),DAY(EOMONTH($A142,0))),MOD((YEAR($A142)-YEAR('Recurring Schedule'!$F$24))*12+MONTH($A142)-MONTH('Recurring Schedule'!$F$24),'Recurring Schedule'!$O$24)=0),IF('Recurring Schedule'!$E$24="Weekdays",WEEKDAY($A142,2)&lt;=5,$A142='Recurring Schedule'!$F$24))),19,""))))</f>
        <v/>
      </c>
      <c r="U142">
        <f>IF('Recurring Schedule'!$C$25="","",IF('Recurring Schedule'!$F$25="","",IF(OR($A142&lt;'Recurring Schedule'!$F$25,$A142&gt;'Recurring Schedule'!$P$25),"",IF(IF('Recurring Schedule'!$N$25&gt;0,MOD($A142-'Recurring Schedule'!$F$25,'Recurring Schedule'!$N$25)=0,IF('Recurring Schedule'!$O$25&gt;0,AND(DAY($A142)=MIN(DAY('Recurring Schedule'!$F$25),DAY(EOMONTH($A142,0))),MOD((YEAR($A142)-YEAR('Recurring Schedule'!$F$25))*12+MONTH($A142)-MONTH('Recurring Schedule'!$F$25),'Recurring Schedule'!$O$25)=0),IF('Recurring Schedule'!$E$25="Weekdays",WEEKDAY($A142,2)&lt;=5,$A142='Recurring Schedule'!$F$25))),20,""))))</f>
        <v/>
      </c>
      <c r="V142">
        <f>IF('Recurring Schedule'!$C$26="","",IF('Recurring Schedule'!$F$26="","",IF(OR($A142&lt;'Recurring Schedule'!$F$26,$A142&gt;'Recurring Schedule'!$P$26),"",IF(IF('Recurring Schedule'!$N$26&gt;0,MOD($A142-'Recurring Schedule'!$F$26,'Recurring Schedule'!$N$26)=0,IF('Recurring Schedule'!$O$26&gt;0,AND(DAY($A142)=MIN(DAY('Recurring Schedule'!$F$26),DAY(EOMONTH($A142,0))),MOD((YEAR($A142)-YEAR('Recurring Schedule'!$F$26))*12+MONTH($A142)-MONTH('Recurring Schedule'!$F$26),'Recurring Schedule'!$O$26)=0),IF('Recurring Schedule'!$E$26="Weekdays",WEEKDAY($A142,2)&lt;=5,$A142='Recurring Schedule'!$F$26))),21,""))))</f>
        <v/>
      </c>
      <c r="W142">
        <f>IF('Recurring Schedule'!$C$27="","",IF('Recurring Schedule'!$F$27="","",IF(OR($A142&lt;'Recurring Schedule'!$F$27,$A142&gt;'Recurring Schedule'!$P$27),"",IF(IF('Recurring Schedule'!$N$27&gt;0,MOD($A142-'Recurring Schedule'!$F$27,'Recurring Schedule'!$N$27)=0,IF('Recurring Schedule'!$O$27&gt;0,AND(DAY($A142)=MIN(DAY('Recurring Schedule'!$F$27),DAY(EOMONTH($A142,0))),MOD((YEAR($A142)-YEAR('Recurring Schedule'!$F$27))*12+MONTH($A142)-MONTH('Recurring Schedule'!$F$27),'Recurring Schedule'!$O$27)=0),IF('Recurring Schedule'!$E$27="Weekdays",WEEKDAY($A142,2)&lt;=5,$A142='Recurring Schedule'!$F$27))),22,""))))</f>
        <v/>
      </c>
      <c r="X142">
        <f>IF('Recurring Schedule'!$C$28="","",IF('Recurring Schedule'!$F$28="","",IF(OR($A142&lt;'Recurring Schedule'!$F$28,$A142&gt;'Recurring Schedule'!$P$28),"",IF(IF('Recurring Schedule'!$N$28&gt;0,MOD($A142-'Recurring Schedule'!$F$28,'Recurring Schedule'!$N$28)=0,IF('Recurring Schedule'!$O$28&gt;0,AND(DAY($A142)=MIN(DAY('Recurring Schedule'!$F$28),DAY(EOMONTH($A142,0))),MOD((YEAR($A142)-YEAR('Recurring Schedule'!$F$28))*12+MONTH($A142)-MONTH('Recurring Schedule'!$F$28),'Recurring Schedule'!$O$28)=0),IF('Recurring Schedule'!$E$28="Weekdays",WEEKDAY($A142,2)&lt;=5,$A142='Recurring Schedule'!$F$28))),23,""))))</f>
        <v/>
      </c>
      <c r="Y142">
        <f>IF('Recurring Schedule'!$C$29="","",IF('Recurring Schedule'!$F$29="","",IF(OR($A142&lt;'Recurring Schedule'!$F$29,$A142&gt;'Recurring Schedule'!$P$29),"",IF(IF('Recurring Schedule'!$N$29&gt;0,MOD($A142-'Recurring Schedule'!$F$29,'Recurring Schedule'!$N$29)=0,IF('Recurring Schedule'!$O$29&gt;0,AND(DAY($A142)=MIN(DAY('Recurring Schedule'!$F$29),DAY(EOMONTH($A142,0))),MOD((YEAR($A142)-YEAR('Recurring Schedule'!$F$29))*12+MONTH($A142)-MONTH('Recurring Schedule'!$F$29),'Recurring Schedule'!$O$29)=0),IF('Recurring Schedule'!$E$29="Weekdays",WEEKDAY($A142,2)&lt;=5,$A142='Recurring Schedule'!$F$29))),24,""))))</f>
        <v/>
      </c>
      <c r="Z142">
        <f>IF('Recurring Schedule'!$C$30="","",IF('Recurring Schedule'!$F$30="","",IF(OR($A142&lt;'Recurring Schedule'!$F$30,$A142&gt;'Recurring Schedule'!$P$30),"",IF(IF('Recurring Schedule'!$N$30&gt;0,MOD($A142-'Recurring Schedule'!$F$30,'Recurring Schedule'!$N$30)=0,IF('Recurring Schedule'!$O$30&gt;0,AND(DAY($A142)=MIN(DAY('Recurring Schedule'!$F$30),DAY(EOMONTH($A142,0))),MOD((YEAR($A142)-YEAR('Recurring Schedule'!$F$30))*12+MONTH($A142)-MONTH('Recurring Schedule'!$F$30),'Recurring Schedule'!$O$30)=0),IF('Recurring Schedule'!$E$30="Weekdays",WEEKDAY($A142,2)&lt;=5,$A142='Recurring Schedule'!$F$30))),25,""))))</f>
        <v/>
      </c>
      <c r="AA142">
        <f>IF('Recurring Schedule'!$C$31="","",IF('Recurring Schedule'!$F$31="","",IF(OR($A142&lt;'Recurring Schedule'!$F$31,$A142&gt;'Recurring Schedule'!$P$31),"",IF(IF('Recurring Schedule'!$N$31&gt;0,MOD($A142-'Recurring Schedule'!$F$31,'Recurring Schedule'!$N$31)=0,IF('Recurring Schedule'!$O$31&gt;0,AND(DAY($A142)=MIN(DAY('Recurring Schedule'!$F$31),DAY(EOMONTH($A142,0))),MOD((YEAR($A142)-YEAR('Recurring Schedule'!$F$31))*12+MONTH($A142)-MONTH('Recurring Schedule'!$F$31),'Recurring Schedule'!$O$31)=0),IF('Recurring Schedule'!$E$31="Weekdays",WEEKDAY($A142,2)&lt;=5,$A142='Recurring Schedule'!$F$31))),26,""))))</f>
        <v/>
      </c>
      <c r="AB142">
        <f>IF('Recurring Schedule'!$C$32="","",IF('Recurring Schedule'!$F$32="","",IF(OR($A142&lt;'Recurring Schedule'!$F$32,$A142&gt;'Recurring Schedule'!$P$32),"",IF(IF('Recurring Schedule'!$N$32&gt;0,MOD($A142-'Recurring Schedule'!$F$32,'Recurring Schedule'!$N$32)=0,IF('Recurring Schedule'!$O$32&gt;0,AND(DAY($A142)=MIN(DAY('Recurring Schedule'!$F$32),DAY(EOMONTH($A142,0))),MOD((YEAR($A142)-YEAR('Recurring Schedule'!$F$32))*12+MONTH($A142)-MONTH('Recurring Schedule'!$F$32),'Recurring Schedule'!$O$32)=0),IF('Recurring Schedule'!$E$32="Weekdays",WEEKDAY($A142,2)&lt;=5,$A142='Recurring Schedule'!$F$32))),27,""))))</f>
        <v/>
      </c>
      <c r="AC142">
        <f>IF('Recurring Schedule'!$C$33="","",IF('Recurring Schedule'!$F$33="","",IF(OR($A142&lt;'Recurring Schedule'!$F$33,$A142&gt;'Recurring Schedule'!$P$33),"",IF(IF('Recurring Schedule'!$N$33&gt;0,MOD($A142-'Recurring Schedule'!$F$33,'Recurring Schedule'!$N$33)=0,IF('Recurring Schedule'!$O$33&gt;0,AND(DAY($A142)=MIN(DAY('Recurring Schedule'!$F$33),DAY(EOMONTH($A142,0))),MOD((YEAR($A142)-YEAR('Recurring Schedule'!$F$33))*12+MONTH($A142)-MONTH('Recurring Schedule'!$F$33),'Recurring Schedule'!$O$33)=0),IF('Recurring Schedule'!$E$33="Weekdays",WEEKDAY($A142,2)&lt;=5,$A142='Recurring Schedule'!$F$33))),28,""))))</f>
        <v/>
      </c>
      <c r="AD142">
        <f>IF('Recurring Schedule'!$C$34="","",IF('Recurring Schedule'!$F$34="","",IF(OR($A142&lt;'Recurring Schedule'!$F$34,$A142&gt;'Recurring Schedule'!$P$34),"",IF(IF('Recurring Schedule'!$N$34&gt;0,MOD($A142-'Recurring Schedule'!$F$34,'Recurring Schedule'!$N$34)=0,IF('Recurring Schedule'!$O$34&gt;0,AND(DAY($A142)=MIN(DAY('Recurring Schedule'!$F$34),DAY(EOMONTH($A142,0))),MOD((YEAR($A142)-YEAR('Recurring Schedule'!$F$34))*12+MONTH($A142)-MONTH('Recurring Schedule'!$F$34),'Recurring Schedule'!$O$34)=0),IF('Recurring Schedule'!$E$34="Weekdays",WEEKDAY($A142,2)&lt;=5,$A142='Recurring Schedule'!$F$34))),29,""))))</f>
        <v/>
      </c>
      <c r="AE142">
        <f>IF('Recurring Schedule'!$C$35="","",IF('Recurring Schedule'!$F$35="","",IF(OR($A142&lt;'Recurring Schedule'!$F$35,$A142&gt;'Recurring Schedule'!$P$35),"",IF(IF('Recurring Schedule'!$N$35&gt;0,MOD($A142-'Recurring Schedule'!$F$35,'Recurring Schedule'!$N$35)=0,IF('Recurring Schedule'!$O$35&gt;0,AND(DAY($A142)=MIN(DAY('Recurring Schedule'!$F$35),DAY(EOMONTH($A142,0))),MOD((YEAR($A142)-YEAR('Recurring Schedule'!$F$35))*12+MONTH($A142)-MONTH('Recurring Schedule'!$F$35),'Recurring Schedule'!$O$35)=0),IF('Recurring Schedule'!$E$35="Weekdays",WEEKDAY($A142,2)&lt;=5,$A142='Recurring Schedule'!$F$35))),30,""))))</f>
        <v/>
      </c>
      <c r="AF142">
        <f>IF('Recurring Schedule'!$C$36="","",IF('Recurring Schedule'!$F$36="","",IF(OR($A142&lt;'Recurring Schedule'!$F$36,$A142&gt;'Recurring Schedule'!$P$36),"",IF(IF('Recurring Schedule'!$N$36&gt;0,MOD($A142-'Recurring Schedule'!$F$36,'Recurring Schedule'!$N$36)=0,IF('Recurring Schedule'!$O$36&gt;0,AND(DAY($A142)=MIN(DAY('Recurring Schedule'!$F$36),DAY(EOMONTH($A142,0))),MOD((YEAR($A142)-YEAR('Recurring Schedule'!$F$36))*12+MONTH($A142)-MONTH('Recurring Schedule'!$F$36),'Recurring Schedule'!$O$36)=0),IF('Recurring Schedule'!$E$36="Weekdays",WEEKDAY($A142,2)&lt;=5,$A142='Recurring Schedule'!$F$36))),31,""))))</f>
        <v/>
      </c>
      <c r="AG142">
        <f>IF('Recurring Schedule'!$C$37="","",IF('Recurring Schedule'!$F$37="","",IF(OR($A142&lt;'Recurring Schedule'!$F$37,$A142&gt;'Recurring Schedule'!$P$37),"",IF(IF('Recurring Schedule'!$N$37&gt;0,MOD($A142-'Recurring Schedule'!$F$37,'Recurring Schedule'!$N$37)=0,IF('Recurring Schedule'!$O$37&gt;0,AND(DAY($A142)=MIN(DAY('Recurring Schedule'!$F$37),DAY(EOMONTH($A142,0))),MOD((YEAR($A142)-YEAR('Recurring Schedule'!$F$37))*12+MONTH($A142)-MONTH('Recurring Schedule'!$F$37),'Recurring Schedule'!$O$37)=0),IF('Recurring Schedule'!$E$37="Weekdays",WEEKDAY($A142,2)&lt;=5,$A142='Recurring Schedule'!$F$37))),32,""))))</f>
        <v/>
      </c>
      <c r="AH142">
        <f>IF('Recurring Schedule'!$C$38="","",IF('Recurring Schedule'!$F$38="","",IF(OR($A142&lt;'Recurring Schedule'!$F$38,$A142&gt;'Recurring Schedule'!$P$38),"",IF(IF('Recurring Schedule'!$N$38&gt;0,MOD($A142-'Recurring Schedule'!$F$38,'Recurring Schedule'!$N$38)=0,IF('Recurring Schedule'!$O$38&gt;0,AND(DAY($A142)=MIN(DAY('Recurring Schedule'!$F$38),DAY(EOMONTH($A142,0))),MOD((YEAR($A142)-YEAR('Recurring Schedule'!$F$38))*12+MONTH($A142)-MONTH('Recurring Schedule'!$F$38),'Recurring Schedule'!$O$38)=0),IF('Recurring Schedule'!$E$38="Weekdays",WEEKDAY($A142,2)&lt;=5,$A142='Recurring Schedule'!$F$38))),33,""))))</f>
        <v/>
      </c>
      <c r="AI142">
        <f>IF('Recurring Schedule'!$C$39="","",IF('Recurring Schedule'!$F$39="","",IF(OR($A142&lt;'Recurring Schedule'!$F$39,$A142&gt;'Recurring Schedule'!$P$39),"",IF(IF('Recurring Schedule'!$N$39&gt;0,MOD($A142-'Recurring Schedule'!$F$39,'Recurring Schedule'!$N$39)=0,IF('Recurring Schedule'!$O$39&gt;0,AND(DAY($A142)=MIN(DAY('Recurring Schedule'!$F$39),DAY(EOMONTH($A142,0))),MOD((YEAR($A142)-YEAR('Recurring Schedule'!$F$39))*12+MONTH($A142)-MONTH('Recurring Schedule'!$F$39),'Recurring Schedule'!$O$39)=0),IF('Recurring Schedule'!$E$39="Weekdays",WEEKDAY($A142,2)&lt;=5,$A142='Recurring Schedule'!$F$39))),34,""))))</f>
        <v/>
      </c>
      <c r="AJ142">
        <f>IF('Recurring Schedule'!$C$40="","",IF('Recurring Schedule'!$F$40="","",IF(OR($A142&lt;'Recurring Schedule'!$F$40,$A142&gt;'Recurring Schedule'!$P$40),"",IF(IF('Recurring Schedule'!$N$40&gt;0,MOD($A142-'Recurring Schedule'!$F$40,'Recurring Schedule'!$N$40)=0,IF('Recurring Schedule'!$O$40&gt;0,AND(DAY($A142)=MIN(DAY('Recurring Schedule'!$F$40),DAY(EOMONTH($A142,0))),MOD((YEAR($A142)-YEAR('Recurring Schedule'!$F$40))*12+MONTH($A142)-MONTH('Recurring Schedule'!$F$40),'Recurring Schedule'!$O$40)=0),IF('Recurring Schedule'!$E$40="Weekdays",WEEKDAY($A142,2)&lt;=5,$A142='Recurring Schedule'!$F$40))),35,""))))</f>
        <v/>
      </c>
      <c r="AK142">
        <f>IF('Recurring Schedule'!$C$41="","",IF('Recurring Schedule'!$F$41="","",IF(OR($A142&lt;'Recurring Schedule'!$F$41,$A142&gt;'Recurring Schedule'!$P$41),"",IF(IF('Recurring Schedule'!$N$41&gt;0,MOD($A142-'Recurring Schedule'!$F$41,'Recurring Schedule'!$N$41)=0,IF('Recurring Schedule'!$O$41&gt;0,AND(DAY($A142)=MIN(DAY('Recurring Schedule'!$F$41),DAY(EOMONTH($A142,0))),MOD((YEAR($A142)-YEAR('Recurring Schedule'!$F$41))*12+MONTH($A142)-MONTH('Recurring Schedule'!$F$41),'Recurring Schedule'!$O$41)=0),IF('Recurring Schedule'!$E$41="Weekdays",WEEKDAY($A142,2)&lt;=5,$A142='Recurring Schedule'!$F$41))),36,""))))</f>
        <v/>
      </c>
      <c r="AL142">
        <f>IF('Recurring Schedule'!$C$42="","",IF('Recurring Schedule'!$F$42="","",IF(OR($A142&lt;'Recurring Schedule'!$F$42,$A142&gt;'Recurring Schedule'!$P$42),"",IF(IF('Recurring Schedule'!$N$42&gt;0,MOD($A142-'Recurring Schedule'!$F$42,'Recurring Schedule'!$N$42)=0,IF('Recurring Schedule'!$O$42&gt;0,AND(DAY($A142)=MIN(DAY('Recurring Schedule'!$F$42),DAY(EOMONTH($A142,0))),MOD((YEAR($A142)-YEAR('Recurring Schedule'!$F$42))*12+MONTH($A142)-MONTH('Recurring Schedule'!$F$42),'Recurring Schedule'!$O$42)=0),IF('Recurring Schedule'!$E$42="Weekdays",WEEKDAY($A142,2)&lt;=5,$A142='Recurring Schedule'!$F$42))),37,""))))</f>
        <v/>
      </c>
      <c r="AM142">
        <f>IF('Recurring Schedule'!$C$43="","",IF('Recurring Schedule'!$F$43="","",IF(OR($A142&lt;'Recurring Schedule'!$F$43,$A142&gt;'Recurring Schedule'!$P$43),"",IF(IF('Recurring Schedule'!$N$43&gt;0,MOD($A142-'Recurring Schedule'!$F$43,'Recurring Schedule'!$N$43)=0,IF('Recurring Schedule'!$O$43&gt;0,AND(DAY($A142)=MIN(DAY('Recurring Schedule'!$F$43),DAY(EOMONTH($A142,0))),MOD((YEAR($A142)-YEAR('Recurring Schedule'!$F$43))*12+MONTH($A142)-MONTH('Recurring Schedule'!$F$43),'Recurring Schedule'!$O$43)=0),IF('Recurring Schedule'!$E$43="Weekdays",WEEKDAY($A142,2)&lt;=5,$A142='Recurring Schedule'!$F$43))),38,""))))</f>
        <v/>
      </c>
      <c r="AN142">
        <f>IF('Recurring Schedule'!$C$44="","",IF('Recurring Schedule'!$F$44="","",IF(OR($A142&lt;'Recurring Schedule'!$F$44,$A142&gt;'Recurring Schedule'!$P$44),"",IF(IF('Recurring Schedule'!$N$44&gt;0,MOD($A142-'Recurring Schedule'!$F$44,'Recurring Schedule'!$N$44)=0,IF('Recurring Schedule'!$O$44&gt;0,AND(DAY($A142)=MIN(DAY('Recurring Schedule'!$F$44),DAY(EOMONTH($A142,0))),MOD((YEAR($A142)-YEAR('Recurring Schedule'!$F$44))*12+MONTH($A142)-MONTH('Recurring Schedule'!$F$44),'Recurring Schedule'!$O$44)=0),IF('Recurring Schedule'!$E$44="Weekdays",WEEKDAY($A142,2)&lt;=5,$A142='Recurring Schedule'!$F$44))),39,""))))</f>
        <v/>
      </c>
      <c r="AO142">
        <f>IF('Recurring Schedule'!$C$45="","",IF('Recurring Schedule'!$F$45="","",IF(OR($A142&lt;'Recurring Schedule'!$F$45,$A142&gt;'Recurring Schedule'!$P$45),"",IF(IF('Recurring Schedule'!$N$45&gt;0,MOD($A142-'Recurring Schedule'!$F$45,'Recurring Schedule'!$N$45)=0,IF('Recurring Schedule'!$O$45&gt;0,AND(DAY($A142)=MIN(DAY('Recurring Schedule'!$F$45),DAY(EOMONTH($A142,0))),MOD((YEAR($A142)-YEAR('Recurring Schedule'!$F$45))*12+MONTH($A142)-MONTH('Recurring Schedule'!$F$45),'Recurring Schedule'!$O$45)=0),IF('Recurring Schedule'!$E$45="Weekdays",WEEKDAY($A142,2)&lt;=5,$A142='Recurring Schedule'!$F$45))),40,""))))</f>
        <v/>
      </c>
      <c r="AP142">
        <f>COUNT(B142:AO142)</f>
        <v/>
      </c>
      <c r="AQ142">
        <f>AQ141+AP141</f>
        <v/>
      </c>
      <c r="AS142" t="inlineStr">
        <is>
          <t>R</t>
        </is>
      </c>
      <c r="AT142" t="n">
        <v>146</v>
      </c>
      <c r="AU142">
        <f>'Recurring Log'!C146&amp;""</f>
        <v/>
      </c>
      <c r="AV142">
        <f>'Recurring Log'!D146&amp;""</f>
        <v/>
      </c>
      <c r="AW142">
        <f>IF('Recurring Log'!E146="","",'Recurring Log'!E146)</f>
        <v/>
      </c>
      <c r="AX142">
        <f>IF('Recurring Log'!G146="","",'Recurring Log'!G146)</f>
        <v/>
      </c>
      <c r="AY142">
        <f>IF('Recurring Log'!H146="","",'Recurring Log'!H146)</f>
        <v/>
      </c>
      <c r="AZ142">
        <f>IF(AU142="","",IF('Recurring Log'!J146="","Not Started",'Recurring Log'!J146))</f>
        <v/>
      </c>
      <c r="BA142">
        <f>'Recurring Log'!L146&amp;""</f>
        <v/>
      </c>
      <c r="BB142">
        <f>'Recurring Log'!M146&amp;""</f>
        <v/>
      </c>
      <c r="BC142">
        <f>'Recurring Log'!N146&amp;""</f>
        <v/>
      </c>
      <c r="BD142">
        <f>'Recurring Log'!O146&amp;""</f>
        <v/>
      </c>
      <c r="BE142">
        <f>IF('Recurring Log'!K146="","",'Recurring Log'!K146)</f>
        <v/>
      </c>
      <c r="BF142">
        <f>IFERROR(MATCH(BA142,Setup!$L$6:$L$9,0),5)</f>
        <v/>
      </c>
      <c r="BG142">
        <f>IF(OR(AZ142="Done",AZ142="Cancelled"),1,0)</f>
        <v/>
      </c>
      <c r="BH142">
        <f>IF(AND(AU142&lt;&gt;"",ISNUMBER(AW142)),1,0)</f>
        <v/>
      </c>
      <c r="BI142">
        <f>IF(BH142=0,0,IF(AND(AW142&gt;='Tasks Filter'!$F$3,AW142&lt;='Tasks Filter'!$F$4,OR('Tasks Filter'!$I$3="",ISNUMBER(SEARCH('Tasks Filter'!$I$3,AU142))),OR('Tasks Filter'!$I$4="",BF142=IFERROR(MATCH('Tasks Filter'!$I$4,Setup!$L$6:$L$9,0),0)),OR('Tasks Filter'!$I$5="Both",AND('Tasks Filter'!$I$5="Yes",BB142="✓"),AND('Tasks Filter'!$I$5="No",BB142&lt;&gt;"✓")),OR('Tasks Filter'!$L$3="",AV142='Tasks Filter'!$L$3),OR('Tasks Filter'!$L$4="",AZ142='Tasks Filter'!$L$4),OR('Tasks Filter'!$L$5="",BC142='Tasks Filter'!$L$5),OR('Tasks Filter'!$O$3="",BD142='Tasks Filter'!$O$3),OR('Tasks Filter'!$O$4="Yes",BG142=0)),1,0))</f>
        <v/>
      </c>
      <c r="BJ142">
        <f>IF(BH142=0,"",IF('Tasks Filter'!$F$6="Descending",-1,1)*CHOOSE(MATCH('Tasks Filter'!$F$5,Lists!$G$2:$G$6,0),AW142,BF142,IFERROR(MATCH(AV142,Setup!$F$6:$F$15,0),99),IFERROR(MATCH(BC142,Setup!$H$6:$H$15,0),99),IFERROR(MATCH(AZ142,Setup!$J$6:$J$11,0),99))*1E+9+(AW142-40000)*10000+141)</f>
        <v/>
      </c>
      <c r="BK142">
        <f>IF(BI142=1,BJ142,"")</f>
        <v/>
      </c>
      <c r="BL142">
        <f>IF(AND(BH142=1,BG142=0,N(AW142)&lt;Setup!$D$7),(AW142-40000)*10000+141,"")</f>
        <v/>
      </c>
      <c r="BM142">
        <f>IF(AND(BH142=1,AZ142&lt;&gt;"Cancelled",N(AW142)&gt;=Dashboard!$AB$3,N(AW142)&lt;=Dashboard!$AB$3+6),(AW142-40000)*100000+BF142*10000+141,"")</f>
        <v/>
      </c>
      <c r="BN142">
        <f>IF(AND(BH142=1,AZ142&lt;&gt;"Cancelled"),BF142*10000+141,"")</f>
        <v/>
      </c>
    </row>
    <row r="143">
      <c r="A143">
        <f>Setup!$D$5+141</f>
        <v/>
      </c>
      <c r="B143">
        <f>IF('Recurring Schedule'!$C$6="","",IF('Recurring Schedule'!$F$6="","",IF(OR($A143&lt;'Recurring Schedule'!$F$6,$A143&gt;'Recurring Schedule'!$P$6),"",IF(IF('Recurring Schedule'!$N$6&gt;0,MOD($A143-'Recurring Schedule'!$F$6,'Recurring Schedule'!$N$6)=0,IF('Recurring Schedule'!$O$6&gt;0,AND(DAY($A143)=MIN(DAY('Recurring Schedule'!$F$6),DAY(EOMONTH($A143,0))),MOD((YEAR($A143)-YEAR('Recurring Schedule'!$F$6))*12+MONTH($A143)-MONTH('Recurring Schedule'!$F$6),'Recurring Schedule'!$O$6)=0),IF('Recurring Schedule'!$E$6="Weekdays",WEEKDAY($A143,2)&lt;=5,$A143='Recurring Schedule'!$F$6))),1,""))))</f>
        <v/>
      </c>
      <c r="C143">
        <f>IF('Recurring Schedule'!$C$7="","",IF('Recurring Schedule'!$F$7="","",IF(OR($A143&lt;'Recurring Schedule'!$F$7,$A143&gt;'Recurring Schedule'!$P$7),"",IF(IF('Recurring Schedule'!$N$7&gt;0,MOD($A143-'Recurring Schedule'!$F$7,'Recurring Schedule'!$N$7)=0,IF('Recurring Schedule'!$O$7&gt;0,AND(DAY($A143)=MIN(DAY('Recurring Schedule'!$F$7),DAY(EOMONTH($A143,0))),MOD((YEAR($A143)-YEAR('Recurring Schedule'!$F$7))*12+MONTH($A143)-MONTH('Recurring Schedule'!$F$7),'Recurring Schedule'!$O$7)=0),IF('Recurring Schedule'!$E$7="Weekdays",WEEKDAY($A143,2)&lt;=5,$A143='Recurring Schedule'!$F$7))),2,""))))</f>
        <v/>
      </c>
      <c r="D143">
        <f>IF('Recurring Schedule'!$C$8="","",IF('Recurring Schedule'!$F$8="","",IF(OR($A143&lt;'Recurring Schedule'!$F$8,$A143&gt;'Recurring Schedule'!$P$8),"",IF(IF('Recurring Schedule'!$N$8&gt;0,MOD($A143-'Recurring Schedule'!$F$8,'Recurring Schedule'!$N$8)=0,IF('Recurring Schedule'!$O$8&gt;0,AND(DAY($A143)=MIN(DAY('Recurring Schedule'!$F$8),DAY(EOMONTH($A143,0))),MOD((YEAR($A143)-YEAR('Recurring Schedule'!$F$8))*12+MONTH($A143)-MONTH('Recurring Schedule'!$F$8),'Recurring Schedule'!$O$8)=0),IF('Recurring Schedule'!$E$8="Weekdays",WEEKDAY($A143,2)&lt;=5,$A143='Recurring Schedule'!$F$8))),3,""))))</f>
        <v/>
      </c>
      <c r="E143">
        <f>IF('Recurring Schedule'!$C$9="","",IF('Recurring Schedule'!$F$9="","",IF(OR($A143&lt;'Recurring Schedule'!$F$9,$A143&gt;'Recurring Schedule'!$P$9),"",IF(IF('Recurring Schedule'!$N$9&gt;0,MOD($A143-'Recurring Schedule'!$F$9,'Recurring Schedule'!$N$9)=0,IF('Recurring Schedule'!$O$9&gt;0,AND(DAY($A143)=MIN(DAY('Recurring Schedule'!$F$9),DAY(EOMONTH($A143,0))),MOD((YEAR($A143)-YEAR('Recurring Schedule'!$F$9))*12+MONTH($A143)-MONTH('Recurring Schedule'!$F$9),'Recurring Schedule'!$O$9)=0),IF('Recurring Schedule'!$E$9="Weekdays",WEEKDAY($A143,2)&lt;=5,$A143='Recurring Schedule'!$F$9))),4,""))))</f>
        <v/>
      </c>
      <c r="F143">
        <f>IF('Recurring Schedule'!$C$10="","",IF('Recurring Schedule'!$F$10="","",IF(OR($A143&lt;'Recurring Schedule'!$F$10,$A143&gt;'Recurring Schedule'!$P$10),"",IF(IF('Recurring Schedule'!$N$10&gt;0,MOD($A143-'Recurring Schedule'!$F$10,'Recurring Schedule'!$N$10)=0,IF('Recurring Schedule'!$O$10&gt;0,AND(DAY($A143)=MIN(DAY('Recurring Schedule'!$F$10),DAY(EOMONTH($A143,0))),MOD((YEAR($A143)-YEAR('Recurring Schedule'!$F$10))*12+MONTH($A143)-MONTH('Recurring Schedule'!$F$10),'Recurring Schedule'!$O$10)=0),IF('Recurring Schedule'!$E$10="Weekdays",WEEKDAY($A143,2)&lt;=5,$A143='Recurring Schedule'!$F$10))),5,""))))</f>
        <v/>
      </c>
      <c r="G143">
        <f>IF('Recurring Schedule'!$C$11="","",IF('Recurring Schedule'!$F$11="","",IF(OR($A143&lt;'Recurring Schedule'!$F$11,$A143&gt;'Recurring Schedule'!$P$11),"",IF(IF('Recurring Schedule'!$N$11&gt;0,MOD($A143-'Recurring Schedule'!$F$11,'Recurring Schedule'!$N$11)=0,IF('Recurring Schedule'!$O$11&gt;0,AND(DAY($A143)=MIN(DAY('Recurring Schedule'!$F$11),DAY(EOMONTH($A143,0))),MOD((YEAR($A143)-YEAR('Recurring Schedule'!$F$11))*12+MONTH($A143)-MONTH('Recurring Schedule'!$F$11),'Recurring Schedule'!$O$11)=0),IF('Recurring Schedule'!$E$11="Weekdays",WEEKDAY($A143,2)&lt;=5,$A143='Recurring Schedule'!$F$11))),6,""))))</f>
        <v/>
      </c>
      <c r="H143">
        <f>IF('Recurring Schedule'!$C$12="","",IF('Recurring Schedule'!$F$12="","",IF(OR($A143&lt;'Recurring Schedule'!$F$12,$A143&gt;'Recurring Schedule'!$P$12),"",IF(IF('Recurring Schedule'!$N$12&gt;0,MOD($A143-'Recurring Schedule'!$F$12,'Recurring Schedule'!$N$12)=0,IF('Recurring Schedule'!$O$12&gt;0,AND(DAY($A143)=MIN(DAY('Recurring Schedule'!$F$12),DAY(EOMONTH($A143,0))),MOD((YEAR($A143)-YEAR('Recurring Schedule'!$F$12))*12+MONTH($A143)-MONTH('Recurring Schedule'!$F$12),'Recurring Schedule'!$O$12)=0),IF('Recurring Schedule'!$E$12="Weekdays",WEEKDAY($A143,2)&lt;=5,$A143='Recurring Schedule'!$F$12))),7,""))))</f>
        <v/>
      </c>
      <c r="I143">
        <f>IF('Recurring Schedule'!$C$13="","",IF('Recurring Schedule'!$F$13="","",IF(OR($A143&lt;'Recurring Schedule'!$F$13,$A143&gt;'Recurring Schedule'!$P$13),"",IF(IF('Recurring Schedule'!$N$13&gt;0,MOD($A143-'Recurring Schedule'!$F$13,'Recurring Schedule'!$N$13)=0,IF('Recurring Schedule'!$O$13&gt;0,AND(DAY($A143)=MIN(DAY('Recurring Schedule'!$F$13),DAY(EOMONTH($A143,0))),MOD((YEAR($A143)-YEAR('Recurring Schedule'!$F$13))*12+MONTH($A143)-MONTH('Recurring Schedule'!$F$13),'Recurring Schedule'!$O$13)=0),IF('Recurring Schedule'!$E$13="Weekdays",WEEKDAY($A143,2)&lt;=5,$A143='Recurring Schedule'!$F$13))),8,""))))</f>
        <v/>
      </c>
      <c r="J143">
        <f>IF('Recurring Schedule'!$C$14="","",IF('Recurring Schedule'!$F$14="","",IF(OR($A143&lt;'Recurring Schedule'!$F$14,$A143&gt;'Recurring Schedule'!$P$14),"",IF(IF('Recurring Schedule'!$N$14&gt;0,MOD($A143-'Recurring Schedule'!$F$14,'Recurring Schedule'!$N$14)=0,IF('Recurring Schedule'!$O$14&gt;0,AND(DAY($A143)=MIN(DAY('Recurring Schedule'!$F$14),DAY(EOMONTH($A143,0))),MOD((YEAR($A143)-YEAR('Recurring Schedule'!$F$14))*12+MONTH($A143)-MONTH('Recurring Schedule'!$F$14),'Recurring Schedule'!$O$14)=0),IF('Recurring Schedule'!$E$14="Weekdays",WEEKDAY($A143,2)&lt;=5,$A143='Recurring Schedule'!$F$14))),9,""))))</f>
        <v/>
      </c>
      <c r="K143">
        <f>IF('Recurring Schedule'!$C$15="","",IF('Recurring Schedule'!$F$15="","",IF(OR($A143&lt;'Recurring Schedule'!$F$15,$A143&gt;'Recurring Schedule'!$P$15),"",IF(IF('Recurring Schedule'!$N$15&gt;0,MOD($A143-'Recurring Schedule'!$F$15,'Recurring Schedule'!$N$15)=0,IF('Recurring Schedule'!$O$15&gt;0,AND(DAY($A143)=MIN(DAY('Recurring Schedule'!$F$15),DAY(EOMONTH($A143,0))),MOD((YEAR($A143)-YEAR('Recurring Schedule'!$F$15))*12+MONTH($A143)-MONTH('Recurring Schedule'!$F$15),'Recurring Schedule'!$O$15)=0),IF('Recurring Schedule'!$E$15="Weekdays",WEEKDAY($A143,2)&lt;=5,$A143='Recurring Schedule'!$F$15))),10,""))))</f>
        <v/>
      </c>
      <c r="L143">
        <f>IF('Recurring Schedule'!$C$16="","",IF('Recurring Schedule'!$F$16="","",IF(OR($A143&lt;'Recurring Schedule'!$F$16,$A143&gt;'Recurring Schedule'!$P$16),"",IF(IF('Recurring Schedule'!$N$16&gt;0,MOD($A143-'Recurring Schedule'!$F$16,'Recurring Schedule'!$N$16)=0,IF('Recurring Schedule'!$O$16&gt;0,AND(DAY($A143)=MIN(DAY('Recurring Schedule'!$F$16),DAY(EOMONTH($A143,0))),MOD((YEAR($A143)-YEAR('Recurring Schedule'!$F$16))*12+MONTH($A143)-MONTH('Recurring Schedule'!$F$16),'Recurring Schedule'!$O$16)=0),IF('Recurring Schedule'!$E$16="Weekdays",WEEKDAY($A143,2)&lt;=5,$A143='Recurring Schedule'!$F$16))),11,""))))</f>
        <v/>
      </c>
      <c r="M143">
        <f>IF('Recurring Schedule'!$C$17="","",IF('Recurring Schedule'!$F$17="","",IF(OR($A143&lt;'Recurring Schedule'!$F$17,$A143&gt;'Recurring Schedule'!$P$17),"",IF(IF('Recurring Schedule'!$N$17&gt;0,MOD($A143-'Recurring Schedule'!$F$17,'Recurring Schedule'!$N$17)=0,IF('Recurring Schedule'!$O$17&gt;0,AND(DAY($A143)=MIN(DAY('Recurring Schedule'!$F$17),DAY(EOMONTH($A143,0))),MOD((YEAR($A143)-YEAR('Recurring Schedule'!$F$17))*12+MONTH($A143)-MONTH('Recurring Schedule'!$F$17),'Recurring Schedule'!$O$17)=0),IF('Recurring Schedule'!$E$17="Weekdays",WEEKDAY($A143,2)&lt;=5,$A143='Recurring Schedule'!$F$17))),12,""))))</f>
        <v/>
      </c>
      <c r="N143">
        <f>IF('Recurring Schedule'!$C$18="","",IF('Recurring Schedule'!$F$18="","",IF(OR($A143&lt;'Recurring Schedule'!$F$18,$A143&gt;'Recurring Schedule'!$P$18),"",IF(IF('Recurring Schedule'!$N$18&gt;0,MOD($A143-'Recurring Schedule'!$F$18,'Recurring Schedule'!$N$18)=0,IF('Recurring Schedule'!$O$18&gt;0,AND(DAY($A143)=MIN(DAY('Recurring Schedule'!$F$18),DAY(EOMONTH($A143,0))),MOD((YEAR($A143)-YEAR('Recurring Schedule'!$F$18))*12+MONTH($A143)-MONTH('Recurring Schedule'!$F$18),'Recurring Schedule'!$O$18)=0),IF('Recurring Schedule'!$E$18="Weekdays",WEEKDAY($A143,2)&lt;=5,$A143='Recurring Schedule'!$F$18))),13,""))))</f>
        <v/>
      </c>
      <c r="O143">
        <f>IF('Recurring Schedule'!$C$19="","",IF('Recurring Schedule'!$F$19="","",IF(OR($A143&lt;'Recurring Schedule'!$F$19,$A143&gt;'Recurring Schedule'!$P$19),"",IF(IF('Recurring Schedule'!$N$19&gt;0,MOD($A143-'Recurring Schedule'!$F$19,'Recurring Schedule'!$N$19)=0,IF('Recurring Schedule'!$O$19&gt;0,AND(DAY($A143)=MIN(DAY('Recurring Schedule'!$F$19),DAY(EOMONTH($A143,0))),MOD((YEAR($A143)-YEAR('Recurring Schedule'!$F$19))*12+MONTH($A143)-MONTH('Recurring Schedule'!$F$19),'Recurring Schedule'!$O$19)=0),IF('Recurring Schedule'!$E$19="Weekdays",WEEKDAY($A143,2)&lt;=5,$A143='Recurring Schedule'!$F$19))),14,""))))</f>
        <v/>
      </c>
      <c r="P143">
        <f>IF('Recurring Schedule'!$C$20="","",IF('Recurring Schedule'!$F$20="","",IF(OR($A143&lt;'Recurring Schedule'!$F$20,$A143&gt;'Recurring Schedule'!$P$20),"",IF(IF('Recurring Schedule'!$N$20&gt;0,MOD($A143-'Recurring Schedule'!$F$20,'Recurring Schedule'!$N$20)=0,IF('Recurring Schedule'!$O$20&gt;0,AND(DAY($A143)=MIN(DAY('Recurring Schedule'!$F$20),DAY(EOMONTH($A143,0))),MOD((YEAR($A143)-YEAR('Recurring Schedule'!$F$20))*12+MONTH($A143)-MONTH('Recurring Schedule'!$F$20),'Recurring Schedule'!$O$20)=0),IF('Recurring Schedule'!$E$20="Weekdays",WEEKDAY($A143,2)&lt;=5,$A143='Recurring Schedule'!$F$20))),15,""))))</f>
        <v/>
      </c>
      <c r="Q143">
        <f>IF('Recurring Schedule'!$C$21="","",IF('Recurring Schedule'!$F$21="","",IF(OR($A143&lt;'Recurring Schedule'!$F$21,$A143&gt;'Recurring Schedule'!$P$21),"",IF(IF('Recurring Schedule'!$N$21&gt;0,MOD($A143-'Recurring Schedule'!$F$21,'Recurring Schedule'!$N$21)=0,IF('Recurring Schedule'!$O$21&gt;0,AND(DAY($A143)=MIN(DAY('Recurring Schedule'!$F$21),DAY(EOMONTH($A143,0))),MOD((YEAR($A143)-YEAR('Recurring Schedule'!$F$21))*12+MONTH($A143)-MONTH('Recurring Schedule'!$F$21),'Recurring Schedule'!$O$21)=0),IF('Recurring Schedule'!$E$21="Weekdays",WEEKDAY($A143,2)&lt;=5,$A143='Recurring Schedule'!$F$21))),16,""))))</f>
        <v/>
      </c>
      <c r="R143">
        <f>IF('Recurring Schedule'!$C$22="","",IF('Recurring Schedule'!$F$22="","",IF(OR($A143&lt;'Recurring Schedule'!$F$22,$A143&gt;'Recurring Schedule'!$P$22),"",IF(IF('Recurring Schedule'!$N$22&gt;0,MOD($A143-'Recurring Schedule'!$F$22,'Recurring Schedule'!$N$22)=0,IF('Recurring Schedule'!$O$22&gt;0,AND(DAY($A143)=MIN(DAY('Recurring Schedule'!$F$22),DAY(EOMONTH($A143,0))),MOD((YEAR($A143)-YEAR('Recurring Schedule'!$F$22))*12+MONTH($A143)-MONTH('Recurring Schedule'!$F$22),'Recurring Schedule'!$O$22)=0),IF('Recurring Schedule'!$E$22="Weekdays",WEEKDAY($A143,2)&lt;=5,$A143='Recurring Schedule'!$F$22))),17,""))))</f>
        <v/>
      </c>
      <c r="S143">
        <f>IF('Recurring Schedule'!$C$23="","",IF('Recurring Schedule'!$F$23="","",IF(OR($A143&lt;'Recurring Schedule'!$F$23,$A143&gt;'Recurring Schedule'!$P$23),"",IF(IF('Recurring Schedule'!$N$23&gt;0,MOD($A143-'Recurring Schedule'!$F$23,'Recurring Schedule'!$N$23)=0,IF('Recurring Schedule'!$O$23&gt;0,AND(DAY($A143)=MIN(DAY('Recurring Schedule'!$F$23),DAY(EOMONTH($A143,0))),MOD((YEAR($A143)-YEAR('Recurring Schedule'!$F$23))*12+MONTH($A143)-MONTH('Recurring Schedule'!$F$23),'Recurring Schedule'!$O$23)=0),IF('Recurring Schedule'!$E$23="Weekdays",WEEKDAY($A143,2)&lt;=5,$A143='Recurring Schedule'!$F$23))),18,""))))</f>
        <v/>
      </c>
      <c r="T143">
        <f>IF('Recurring Schedule'!$C$24="","",IF('Recurring Schedule'!$F$24="","",IF(OR($A143&lt;'Recurring Schedule'!$F$24,$A143&gt;'Recurring Schedule'!$P$24),"",IF(IF('Recurring Schedule'!$N$24&gt;0,MOD($A143-'Recurring Schedule'!$F$24,'Recurring Schedule'!$N$24)=0,IF('Recurring Schedule'!$O$24&gt;0,AND(DAY($A143)=MIN(DAY('Recurring Schedule'!$F$24),DAY(EOMONTH($A143,0))),MOD((YEAR($A143)-YEAR('Recurring Schedule'!$F$24))*12+MONTH($A143)-MONTH('Recurring Schedule'!$F$24),'Recurring Schedule'!$O$24)=0),IF('Recurring Schedule'!$E$24="Weekdays",WEEKDAY($A143,2)&lt;=5,$A143='Recurring Schedule'!$F$24))),19,""))))</f>
        <v/>
      </c>
      <c r="U143">
        <f>IF('Recurring Schedule'!$C$25="","",IF('Recurring Schedule'!$F$25="","",IF(OR($A143&lt;'Recurring Schedule'!$F$25,$A143&gt;'Recurring Schedule'!$P$25),"",IF(IF('Recurring Schedule'!$N$25&gt;0,MOD($A143-'Recurring Schedule'!$F$25,'Recurring Schedule'!$N$25)=0,IF('Recurring Schedule'!$O$25&gt;0,AND(DAY($A143)=MIN(DAY('Recurring Schedule'!$F$25),DAY(EOMONTH($A143,0))),MOD((YEAR($A143)-YEAR('Recurring Schedule'!$F$25))*12+MONTH($A143)-MONTH('Recurring Schedule'!$F$25),'Recurring Schedule'!$O$25)=0),IF('Recurring Schedule'!$E$25="Weekdays",WEEKDAY($A143,2)&lt;=5,$A143='Recurring Schedule'!$F$25))),20,""))))</f>
        <v/>
      </c>
      <c r="V143">
        <f>IF('Recurring Schedule'!$C$26="","",IF('Recurring Schedule'!$F$26="","",IF(OR($A143&lt;'Recurring Schedule'!$F$26,$A143&gt;'Recurring Schedule'!$P$26),"",IF(IF('Recurring Schedule'!$N$26&gt;0,MOD($A143-'Recurring Schedule'!$F$26,'Recurring Schedule'!$N$26)=0,IF('Recurring Schedule'!$O$26&gt;0,AND(DAY($A143)=MIN(DAY('Recurring Schedule'!$F$26),DAY(EOMONTH($A143,0))),MOD((YEAR($A143)-YEAR('Recurring Schedule'!$F$26))*12+MONTH($A143)-MONTH('Recurring Schedule'!$F$26),'Recurring Schedule'!$O$26)=0),IF('Recurring Schedule'!$E$26="Weekdays",WEEKDAY($A143,2)&lt;=5,$A143='Recurring Schedule'!$F$26))),21,""))))</f>
        <v/>
      </c>
      <c r="W143">
        <f>IF('Recurring Schedule'!$C$27="","",IF('Recurring Schedule'!$F$27="","",IF(OR($A143&lt;'Recurring Schedule'!$F$27,$A143&gt;'Recurring Schedule'!$P$27),"",IF(IF('Recurring Schedule'!$N$27&gt;0,MOD($A143-'Recurring Schedule'!$F$27,'Recurring Schedule'!$N$27)=0,IF('Recurring Schedule'!$O$27&gt;0,AND(DAY($A143)=MIN(DAY('Recurring Schedule'!$F$27),DAY(EOMONTH($A143,0))),MOD((YEAR($A143)-YEAR('Recurring Schedule'!$F$27))*12+MONTH($A143)-MONTH('Recurring Schedule'!$F$27),'Recurring Schedule'!$O$27)=0),IF('Recurring Schedule'!$E$27="Weekdays",WEEKDAY($A143,2)&lt;=5,$A143='Recurring Schedule'!$F$27))),22,""))))</f>
        <v/>
      </c>
      <c r="X143">
        <f>IF('Recurring Schedule'!$C$28="","",IF('Recurring Schedule'!$F$28="","",IF(OR($A143&lt;'Recurring Schedule'!$F$28,$A143&gt;'Recurring Schedule'!$P$28),"",IF(IF('Recurring Schedule'!$N$28&gt;0,MOD($A143-'Recurring Schedule'!$F$28,'Recurring Schedule'!$N$28)=0,IF('Recurring Schedule'!$O$28&gt;0,AND(DAY($A143)=MIN(DAY('Recurring Schedule'!$F$28),DAY(EOMONTH($A143,0))),MOD((YEAR($A143)-YEAR('Recurring Schedule'!$F$28))*12+MONTH($A143)-MONTH('Recurring Schedule'!$F$28),'Recurring Schedule'!$O$28)=0),IF('Recurring Schedule'!$E$28="Weekdays",WEEKDAY($A143,2)&lt;=5,$A143='Recurring Schedule'!$F$28))),23,""))))</f>
        <v/>
      </c>
      <c r="Y143">
        <f>IF('Recurring Schedule'!$C$29="","",IF('Recurring Schedule'!$F$29="","",IF(OR($A143&lt;'Recurring Schedule'!$F$29,$A143&gt;'Recurring Schedule'!$P$29),"",IF(IF('Recurring Schedule'!$N$29&gt;0,MOD($A143-'Recurring Schedule'!$F$29,'Recurring Schedule'!$N$29)=0,IF('Recurring Schedule'!$O$29&gt;0,AND(DAY($A143)=MIN(DAY('Recurring Schedule'!$F$29),DAY(EOMONTH($A143,0))),MOD((YEAR($A143)-YEAR('Recurring Schedule'!$F$29))*12+MONTH($A143)-MONTH('Recurring Schedule'!$F$29),'Recurring Schedule'!$O$29)=0),IF('Recurring Schedule'!$E$29="Weekdays",WEEKDAY($A143,2)&lt;=5,$A143='Recurring Schedule'!$F$29))),24,""))))</f>
        <v/>
      </c>
      <c r="Z143">
        <f>IF('Recurring Schedule'!$C$30="","",IF('Recurring Schedule'!$F$30="","",IF(OR($A143&lt;'Recurring Schedule'!$F$30,$A143&gt;'Recurring Schedule'!$P$30),"",IF(IF('Recurring Schedule'!$N$30&gt;0,MOD($A143-'Recurring Schedule'!$F$30,'Recurring Schedule'!$N$30)=0,IF('Recurring Schedule'!$O$30&gt;0,AND(DAY($A143)=MIN(DAY('Recurring Schedule'!$F$30),DAY(EOMONTH($A143,0))),MOD((YEAR($A143)-YEAR('Recurring Schedule'!$F$30))*12+MONTH($A143)-MONTH('Recurring Schedule'!$F$30),'Recurring Schedule'!$O$30)=0),IF('Recurring Schedule'!$E$30="Weekdays",WEEKDAY($A143,2)&lt;=5,$A143='Recurring Schedule'!$F$30))),25,""))))</f>
        <v/>
      </c>
      <c r="AA143">
        <f>IF('Recurring Schedule'!$C$31="","",IF('Recurring Schedule'!$F$31="","",IF(OR($A143&lt;'Recurring Schedule'!$F$31,$A143&gt;'Recurring Schedule'!$P$31),"",IF(IF('Recurring Schedule'!$N$31&gt;0,MOD($A143-'Recurring Schedule'!$F$31,'Recurring Schedule'!$N$31)=0,IF('Recurring Schedule'!$O$31&gt;0,AND(DAY($A143)=MIN(DAY('Recurring Schedule'!$F$31),DAY(EOMONTH($A143,0))),MOD((YEAR($A143)-YEAR('Recurring Schedule'!$F$31))*12+MONTH($A143)-MONTH('Recurring Schedule'!$F$31),'Recurring Schedule'!$O$31)=0),IF('Recurring Schedule'!$E$31="Weekdays",WEEKDAY($A143,2)&lt;=5,$A143='Recurring Schedule'!$F$31))),26,""))))</f>
        <v/>
      </c>
      <c r="AB143">
        <f>IF('Recurring Schedule'!$C$32="","",IF('Recurring Schedule'!$F$32="","",IF(OR($A143&lt;'Recurring Schedule'!$F$32,$A143&gt;'Recurring Schedule'!$P$32),"",IF(IF('Recurring Schedule'!$N$32&gt;0,MOD($A143-'Recurring Schedule'!$F$32,'Recurring Schedule'!$N$32)=0,IF('Recurring Schedule'!$O$32&gt;0,AND(DAY($A143)=MIN(DAY('Recurring Schedule'!$F$32),DAY(EOMONTH($A143,0))),MOD((YEAR($A143)-YEAR('Recurring Schedule'!$F$32))*12+MONTH($A143)-MONTH('Recurring Schedule'!$F$32),'Recurring Schedule'!$O$32)=0),IF('Recurring Schedule'!$E$32="Weekdays",WEEKDAY($A143,2)&lt;=5,$A143='Recurring Schedule'!$F$32))),27,""))))</f>
        <v/>
      </c>
      <c r="AC143">
        <f>IF('Recurring Schedule'!$C$33="","",IF('Recurring Schedule'!$F$33="","",IF(OR($A143&lt;'Recurring Schedule'!$F$33,$A143&gt;'Recurring Schedule'!$P$33),"",IF(IF('Recurring Schedule'!$N$33&gt;0,MOD($A143-'Recurring Schedule'!$F$33,'Recurring Schedule'!$N$33)=0,IF('Recurring Schedule'!$O$33&gt;0,AND(DAY($A143)=MIN(DAY('Recurring Schedule'!$F$33),DAY(EOMONTH($A143,0))),MOD((YEAR($A143)-YEAR('Recurring Schedule'!$F$33))*12+MONTH($A143)-MONTH('Recurring Schedule'!$F$33),'Recurring Schedule'!$O$33)=0),IF('Recurring Schedule'!$E$33="Weekdays",WEEKDAY($A143,2)&lt;=5,$A143='Recurring Schedule'!$F$33))),28,""))))</f>
        <v/>
      </c>
      <c r="AD143">
        <f>IF('Recurring Schedule'!$C$34="","",IF('Recurring Schedule'!$F$34="","",IF(OR($A143&lt;'Recurring Schedule'!$F$34,$A143&gt;'Recurring Schedule'!$P$34),"",IF(IF('Recurring Schedule'!$N$34&gt;0,MOD($A143-'Recurring Schedule'!$F$34,'Recurring Schedule'!$N$34)=0,IF('Recurring Schedule'!$O$34&gt;0,AND(DAY($A143)=MIN(DAY('Recurring Schedule'!$F$34),DAY(EOMONTH($A143,0))),MOD((YEAR($A143)-YEAR('Recurring Schedule'!$F$34))*12+MONTH($A143)-MONTH('Recurring Schedule'!$F$34),'Recurring Schedule'!$O$34)=0),IF('Recurring Schedule'!$E$34="Weekdays",WEEKDAY($A143,2)&lt;=5,$A143='Recurring Schedule'!$F$34))),29,""))))</f>
        <v/>
      </c>
      <c r="AE143">
        <f>IF('Recurring Schedule'!$C$35="","",IF('Recurring Schedule'!$F$35="","",IF(OR($A143&lt;'Recurring Schedule'!$F$35,$A143&gt;'Recurring Schedule'!$P$35),"",IF(IF('Recurring Schedule'!$N$35&gt;0,MOD($A143-'Recurring Schedule'!$F$35,'Recurring Schedule'!$N$35)=0,IF('Recurring Schedule'!$O$35&gt;0,AND(DAY($A143)=MIN(DAY('Recurring Schedule'!$F$35),DAY(EOMONTH($A143,0))),MOD((YEAR($A143)-YEAR('Recurring Schedule'!$F$35))*12+MONTH($A143)-MONTH('Recurring Schedule'!$F$35),'Recurring Schedule'!$O$35)=0),IF('Recurring Schedule'!$E$35="Weekdays",WEEKDAY($A143,2)&lt;=5,$A143='Recurring Schedule'!$F$35))),30,""))))</f>
        <v/>
      </c>
      <c r="AF143">
        <f>IF('Recurring Schedule'!$C$36="","",IF('Recurring Schedule'!$F$36="","",IF(OR($A143&lt;'Recurring Schedule'!$F$36,$A143&gt;'Recurring Schedule'!$P$36),"",IF(IF('Recurring Schedule'!$N$36&gt;0,MOD($A143-'Recurring Schedule'!$F$36,'Recurring Schedule'!$N$36)=0,IF('Recurring Schedule'!$O$36&gt;0,AND(DAY($A143)=MIN(DAY('Recurring Schedule'!$F$36),DAY(EOMONTH($A143,0))),MOD((YEAR($A143)-YEAR('Recurring Schedule'!$F$36))*12+MONTH($A143)-MONTH('Recurring Schedule'!$F$36),'Recurring Schedule'!$O$36)=0),IF('Recurring Schedule'!$E$36="Weekdays",WEEKDAY($A143,2)&lt;=5,$A143='Recurring Schedule'!$F$36))),31,""))))</f>
        <v/>
      </c>
      <c r="AG143">
        <f>IF('Recurring Schedule'!$C$37="","",IF('Recurring Schedule'!$F$37="","",IF(OR($A143&lt;'Recurring Schedule'!$F$37,$A143&gt;'Recurring Schedule'!$P$37),"",IF(IF('Recurring Schedule'!$N$37&gt;0,MOD($A143-'Recurring Schedule'!$F$37,'Recurring Schedule'!$N$37)=0,IF('Recurring Schedule'!$O$37&gt;0,AND(DAY($A143)=MIN(DAY('Recurring Schedule'!$F$37),DAY(EOMONTH($A143,0))),MOD((YEAR($A143)-YEAR('Recurring Schedule'!$F$37))*12+MONTH($A143)-MONTH('Recurring Schedule'!$F$37),'Recurring Schedule'!$O$37)=0),IF('Recurring Schedule'!$E$37="Weekdays",WEEKDAY($A143,2)&lt;=5,$A143='Recurring Schedule'!$F$37))),32,""))))</f>
        <v/>
      </c>
      <c r="AH143">
        <f>IF('Recurring Schedule'!$C$38="","",IF('Recurring Schedule'!$F$38="","",IF(OR($A143&lt;'Recurring Schedule'!$F$38,$A143&gt;'Recurring Schedule'!$P$38),"",IF(IF('Recurring Schedule'!$N$38&gt;0,MOD($A143-'Recurring Schedule'!$F$38,'Recurring Schedule'!$N$38)=0,IF('Recurring Schedule'!$O$38&gt;0,AND(DAY($A143)=MIN(DAY('Recurring Schedule'!$F$38),DAY(EOMONTH($A143,0))),MOD((YEAR($A143)-YEAR('Recurring Schedule'!$F$38))*12+MONTH($A143)-MONTH('Recurring Schedule'!$F$38),'Recurring Schedule'!$O$38)=0),IF('Recurring Schedule'!$E$38="Weekdays",WEEKDAY($A143,2)&lt;=5,$A143='Recurring Schedule'!$F$38))),33,""))))</f>
        <v/>
      </c>
      <c r="AI143">
        <f>IF('Recurring Schedule'!$C$39="","",IF('Recurring Schedule'!$F$39="","",IF(OR($A143&lt;'Recurring Schedule'!$F$39,$A143&gt;'Recurring Schedule'!$P$39),"",IF(IF('Recurring Schedule'!$N$39&gt;0,MOD($A143-'Recurring Schedule'!$F$39,'Recurring Schedule'!$N$39)=0,IF('Recurring Schedule'!$O$39&gt;0,AND(DAY($A143)=MIN(DAY('Recurring Schedule'!$F$39),DAY(EOMONTH($A143,0))),MOD((YEAR($A143)-YEAR('Recurring Schedule'!$F$39))*12+MONTH($A143)-MONTH('Recurring Schedule'!$F$39),'Recurring Schedule'!$O$39)=0),IF('Recurring Schedule'!$E$39="Weekdays",WEEKDAY($A143,2)&lt;=5,$A143='Recurring Schedule'!$F$39))),34,""))))</f>
        <v/>
      </c>
      <c r="AJ143">
        <f>IF('Recurring Schedule'!$C$40="","",IF('Recurring Schedule'!$F$40="","",IF(OR($A143&lt;'Recurring Schedule'!$F$40,$A143&gt;'Recurring Schedule'!$P$40),"",IF(IF('Recurring Schedule'!$N$40&gt;0,MOD($A143-'Recurring Schedule'!$F$40,'Recurring Schedule'!$N$40)=0,IF('Recurring Schedule'!$O$40&gt;0,AND(DAY($A143)=MIN(DAY('Recurring Schedule'!$F$40),DAY(EOMONTH($A143,0))),MOD((YEAR($A143)-YEAR('Recurring Schedule'!$F$40))*12+MONTH($A143)-MONTH('Recurring Schedule'!$F$40),'Recurring Schedule'!$O$40)=0),IF('Recurring Schedule'!$E$40="Weekdays",WEEKDAY($A143,2)&lt;=5,$A143='Recurring Schedule'!$F$40))),35,""))))</f>
        <v/>
      </c>
      <c r="AK143">
        <f>IF('Recurring Schedule'!$C$41="","",IF('Recurring Schedule'!$F$41="","",IF(OR($A143&lt;'Recurring Schedule'!$F$41,$A143&gt;'Recurring Schedule'!$P$41),"",IF(IF('Recurring Schedule'!$N$41&gt;0,MOD($A143-'Recurring Schedule'!$F$41,'Recurring Schedule'!$N$41)=0,IF('Recurring Schedule'!$O$41&gt;0,AND(DAY($A143)=MIN(DAY('Recurring Schedule'!$F$41),DAY(EOMONTH($A143,0))),MOD((YEAR($A143)-YEAR('Recurring Schedule'!$F$41))*12+MONTH($A143)-MONTH('Recurring Schedule'!$F$41),'Recurring Schedule'!$O$41)=0),IF('Recurring Schedule'!$E$41="Weekdays",WEEKDAY($A143,2)&lt;=5,$A143='Recurring Schedule'!$F$41))),36,""))))</f>
        <v/>
      </c>
      <c r="AL143">
        <f>IF('Recurring Schedule'!$C$42="","",IF('Recurring Schedule'!$F$42="","",IF(OR($A143&lt;'Recurring Schedule'!$F$42,$A143&gt;'Recurring Schedule'!$P$42),"",IF(IF('Recurring Schedule'!$N$42&gt;0,MOD($A143-'Recurring Schedule'!$F$42,'Recurring Schedule'!$N$42)=0,IF('Recurring Schedule'!$O$42&gt;0,AND(DAY($A143)=MIN(DAY('Recurring Schedule'!$F$42),DAY(EOMONTH($A143,0))),MOD((YEAR($A143)-YEAR('Recurring Schedule'!$F$42))*12+MONTH($A143)-MONTH('Recurring Schedule'!$F$42),'Recurring Schedule'!$O$42)=0),IF('Recurring Schedule'!$E$42="Weekdays",WEEKDAY($A143,2)&lt;=5,$A143='Recurring Schedule'!$F$42))),37,""))))</f>
        <v/>
      </c>
      <c r="AM143">
        <f>IF('Recurring Schedule'!$C$43="","",IF('Recurring Schedule'!$F$43="","",IF(OR($A143&lt;'Recurring Schedule'!$F$43,$A143&gt;'Recurring Schedule'!$P$43),"",IF(IF('Recurring Schedule'!$N$43&gt;0,MOD($A143-'Recurring Schedule'!$F$43,'Recurring Schedule'!$N$43)=0,IF('Recurring Schedule'!$O$43&gt;0,AND(DAY($A143)=MIN(DAY('Recurring Schedule'!$F$43),DAY(EOMONTH($A143,0))),MOD((YEAR($A143)-YEAR('Recurring Schedule'!$F$43))*12+MONTH($A143)-MONTH('Recurring Schedule'!$F$43),'Recurring Schedule'!$O$43)=0),IF('Recurring Schedule'!$E$43="Weekdays",WEEKDAY($A143,2)&lt;=5,$A143='Recurring Schedule'!$F$43))),38,""))))</f>
        <v/>
      </c>
      <c r="AN143">
        <f>IF('Recurring Schedule'!$C$44="","",IF('Recurring Schedule'!$F$44="","",IF(OR($A143&lt;'Recurring Schedule'!$F$44,$A143&gt;'Recurring Schedule'!$P$44),"",IF(IF('Recurring Schedule'!$N$44&gt;0,MOD($A143-'Recurring Schedule'!$F$44,'Recurring Schedule'!$N$44)=0,IF('Recurring Schedule'!$O$44&gt;0,AND(DAY($A143)=MIN(DAY('Recurring Schedule'!$F$44),DAY(EOMONTH($A143,0))),MOD((YEAR($A143)-YEAR('Recurring Schedule'!$F$44))*12+MONTH($A143)-MONTH('Recurring Schedule'!$F$44),'Recurring Schedule'!$O$44)=0),IF('Recurring Schedule'!$E$44="Weekdays",WEEKDAY($A143,2)&lt;=5,$A143='Recurring Schedule'!$F$44))),39,""))))</f>
        <v/>
      </c>
      <c r="AO143">
        <f>IF('Recurring Schedule'!$C$45="","",IF('Recurring Schedule'!$F$45="","",IF(OR($A143&lt;'Recurring Schedule'!$F$45,$A143&gt;'Recurring Schedule'!$P$45),"",IF(IF('Recurring Schedule'!$N$45&gt;0,MOD($A143-'Recurring Schedule'!$F$45,'Recurring Schedule'!$N$45)=0,IF('Recurring Schedule'!$O$45&gt;0,AND(DAY($A143)=MIN(DAY('Recurring Schedule'!$F$45),DAY(EOMONTH($A143,0))),MOD((YEAR($A143)-YEAR('Recurring Schedule'!$F$45))*12+MONTH($A143)-MONTH('Recurring Schedule'!$F$45),'Recurring Schedule'!$O$45)=0),IF('Recurring Schedule'!$E$45="Weekdays",WEEKDAY($A143,2)&lt;=5,$A143='Recurring Schedule'!$F$45))),40,""))))</f>
        <v/>
      </c>
      <c r="AP143">
        <f>COUNT(B143:AO143)</f>
        <v/>
      </c>
      <c r="AQ143">
        <f>AQ142+AP142</f>
        <v/>
      </c>
      <c r="AS143" t="inlineStr">
        <is>
          <t>R</t>
        </is>
      </c>
      <c r="AT143" t="n">
        <v>147</v>
      </c>
      <c r="AU143">
        <f>'Recurring Log'!C147&amp;""</f>
        <v/>
      </c>
      <c r="AV143">
        <f>'Recurring Log'!D147&amp;""</f>
        <v/>
      </c>
      <c r="AW143">
        <f>IF('Recurring Log'!E147="","",'Recurring Log'!E147)</f>
        <v/>
      </c>
      <c r="AX143">
        <f>IF('Recurring Log'!G147="","",'Recurring Log'!G147)</f>
        <v/>
      </c>
      <c r="AY143">
        <f>IF('Recurring Log'!H147="","",'Recurring Log'!H147)</f>
        <v/>
      </c>
      <c r="AZ143">
        <f>IF(AU143="","",IF('Recurring Log'!J147="","Not Started",'Recurring Log'!J147))</f>
        <v/>
      </c>
      <c r="BA143">
        <f>'Recurring Log'!L147&amp;""</f>
        <v/>
      </c>
      <c r="BB143">
        <f>'Recurring Log'!M147&amp;""</f>
        <v/>
      </c>
      <c r="BC143">
        <f>'Recurring Log'!N147&amp;""</f>
        <v/>
      </c>
      <c r="BD143">
        <f>'Recurring Log'!O147&amp;""</f>
        <v/>
      </c>
      <c r="BE143">
        <f>IF('Recurring Log'!K147="","",'Recurring Log'!K147)</f>
        <v/>
      </c>
      <c r="BF143">
        <f>IFERROR(MATCH(BA143,Setup!$L$6:$L$9,0),5)</f>
        <v/>
      </c>
      <c r="BG143">
        <f>IF(OR(AZ143="Done",AZ143="Cancelled"),1,0)</f>
        <v/>
      </c>
      <c r="BH143">
        <f>IF(AND(AU143&lt;&gt;"",ISNUMBER(AW143)),1,0)</f>
        <v/>
      </c>
      <c r="BI143">
        <f>IF(BH143=0,0,IF(AND(AW143&gt;='Tasks Filter'!$F$3,AW143&lt;='Tasks Filter'!$F$4,OR('Tasks Filter'!$I$3="",ISNUMBER(SEARCH('Tasks Filter'!$I$3,AU143))),OR('Tasks Filter'!$I$4="",BF143=IFERROR(MATCH('Tasks Filter'!$I$4,Setup!$L$6:$L$9,0),0)),OR('Tasks Filter'!$I$5="Both",AND('Tasks Filter'!$I$5="Yes",BB143="✓"),AND('Tasks Filter'!$I$5="No",BB143&lt;&gt;"✓")),OR('Tasks Filter'!$L$3="",AV143='Tasks Filter'!$L$3),OR('Tasks Filter'!$L$4="",AZ143='Tasks Filter'!$L$4),OR('Tasks Filter'!$L$5="",BC143='Tasks Filter'!$L$5),OR('Tasks Filter'!$O$3="",BD143='Tasks Filter'!$O$3),OR('Tasks Filter'!$O$4="Yes",BG143=0)),1,0))</f>
        <v/>
      </c>
      <c r="BJ143">
        <f>IF(BH143=0,"",IF('Tasks Filter'!$F$6="Descending",-1,1)*CHOOSE(MATCH('Tasks Filter'!$F$5,Lists!$G$2:$G$6,0),AW143,BF143,IFERROR(MATCH(AV143,Setup!$F$6:$F$15,0),99),IFERROR(MATCH(BC143,Setup!$H$6:$H$15,0),99),IFERROR(MATCH(AZ143,Setup!$J$6:$J$11,0),99))*1E+9+(AW143-40000)*10000+142)</f>
        <v/>
      </c>
      <c r="BK143">
        <f>IF(BI143=1,BJ143,"")</f>
        <v/>
      </c>
      <c r="BL143">
        <f>IF(AND(BH143=1,BG143=0,N(AW143)&lt;Setup!$D$7),(AW143-40000)*10000+142,"")</f>
        <v/>
      </c>
      <c r="BM143">
        <f>IF(AND(BH143=1,AZ143&lt;&gt;"Cancelled",N(AW143)&gt;=Dashboard!$AB$3,N(AW143)&lt;=Dashboard!$AB$3+6),(AW143-40000)*100000+BF143*10000+142,"")</f>
        <v/>
      </c>
      <c r="BN143">
        <f>IF(AND(BH143=1,AZ143&lt;&gt;"Cancelled"),BF143*10000+142,"")</f>
        <v/>
      </c>
    </row>
    <row r="144">
      <c r="A144">
        <f>Setup!$D$5+142</f>
        <v/>
      </c>
      <c r="B144">
        <f>IF('Recurring Schedule'!$C$6="","",IF('Recurring Schedule'!$F$6="","",IF(OR($A144&lt;'Recurring Schedule'!$F$6,$A144&gt;'Recurring Schedule'!$P$6),"",IF(IF('Recurring Schedule'!$N$6&gt;0,MOD($A144-'Recurring Schedule'!$F$6,'Recurring Schedule'!$N$6)=0,IF('Recurring Schedule'!$O$6&gt;0,AND(DAY($A144)=MIN(DAY('Recurring Schedule'!$F$6),DAY(EOMONTH($A144,0))),MOD((YEAR($A144)-YEAR('Recurring Schedule'!$F$6))*12+MONTH($A144)-MONTH('Recurring Schedule'!$F$6),'Recurring Schedule'!$O$6)=0),IF('Recurring Schedule'!$E$6="Weekdays",WEEKDAY($A144,2)&lt;=5,$A144='Recurring Schedule'!$F$6))),1,""))))</f>
        <v/>
      </c>
      <c r="C144">
        <f>IF('Recurring Schedule'!$C$7="","",IF('Recurring Schedule'!$F$7="","",IF(OR($A144&lt;'Recurring Schedule'!$F$7,$A144&gt;'Recurring Schedule'!$P$7),"",IF(IF('Recurring Schedule'!$N$7&gt;0,MOD($A144-'Recurring Schedule'!$F$7,'Recurring Schedule'!$N$7)=0,IF('Recurring Schedule'!$O$7&gt;0,AND(DAY($A144)=MIN(DAY('Recurring Schedule'!$F$7),DAY(EOMONTH($A144,0))),MOD((YEAR($A144)-YEAR('Recurring Schedule'!$F$7))*12+MONTH($A144)-MONTH('Recurring Schedule'!$F$7),'Recurring Schedule'!$O$7)=0),IF('Recurring Schedule'!$E$7="Weekdays",WEEKDAY($A144,2)&lt;=5,$A144='Recurring Schedule'!$F$7))),2,""))))</f>
        <v/>
      </c>
      <c r="D144">
        <f>IF('Recurring Schedule'!$C$8="","",IF('Recurring Schedule'!$F$8="","",IF(OR($A144&lt;'Recurring Schedule'!$F$8,$A144&gt;'Recurring Schedule'!$P$8),"",IF(IF('Recurring Schedule'!$N$8&gt;0,MOD($A144-'Recurring Schedule'!$F$8,'Recurring Schedule'!$N$8)=0,IF('Recurring Schedule'!$O$8&gt;0,AND(DAY($A144)=MIN(DAY('Recurring Schedule'!$F$8),DAY(EOMONTH($A144,0))),MOD((YEAR($A144)-YEAR('Recurring Schedule'!$F$8))*12+MONTH($A144)-MONTH('Recurring Schedule'!$F$8),'Recurring Schedule'!$O$8)=0),IF('Recurring Schedule'!$E$8="Weekdays",WEEKDAY($A144,2)&lt;=5,$A144='Recurring Schedule'!$F$8))),3,""))))</f>
        <v/>
      </c>
      <c r="E144">
        <f>IF('Recurring Schedule'!$C$9="","",IF('Recurring Schedule'!$F$9="","",IF(OR($A144&lt;'Recurring Schedule'!$F$9,$A144&gt;'Recurring Schedule'!$P$9),"",IF(IF('Recurring Schedule'!$N$9&gt;0,MOD($A144-'Recurring Schedule'!$F$9,'Recurring Schedule'!$N$9)=0,IF('Recurring Schedule'!$O$9&gt;0,AND(DAY($A144)=MIN(DAY('Recurring Schedule'!$F$9),DAY(EOMONTH($A144,0))),MOD((YEAR($A144)-YEAR('Recurring Schedule'!$F$9))*12+MONTH($A144)-MONTH('Recurring Schedule'!$F$9),'Recurring Schedule'!$O$9)=0),IF('Recurring Schedule'!$E$9="Weekdays",WEEKDAY($A144,2)&lt;=5,$A144='Recurring Schedule'!$F$9))),4,""))))</f>
        <v/>
      </c>
      <c r="F144">
        <f>IF('Recurring Schedule'!$C$10="","",IF('Recurring Schedule'!$F$10="","",IF(OR($A144&lt;'Recurring Schedule'!$F$10,$A144&gt;'Recurring Schedule'!$P$10),"",IF(IF('Recurring Schedule'!$N$10&gt;0,MOD($A144-'Recurring Schedule'!$F$10,'Recurring Schedule'!$N$10)=0,IF('Recurring Schedule'!$O$10&gt;0,AND(DAY($A144)=MIN(DAY('Recurring Schedule'!$F$10),DAY(EOMONTH($A144,0))),MOD((YEAR($A144)-YEAR('Recurring Schedule'!$F$10))*12+MONTH($A144)-MONTH('Recurring Schedule'!$F$10),'Recurring Schedule'!$O$10)=0),IF('Recurring Schedule'!$E$10="Weekdays",WEEKDAY($A144,2)&lt;=5,$A144='Recurring Schedule'!$F$10))),5,""))))</f>
        <v/>
      </c>
      <c r="G144">
        <f>IF('Recurring Schedule'!$C$11="","",IF('Recurring Schedule'!$F$11="","",IF(OR($A144&lt;'Recurring Schedule'!$F$11,$A144&gt;'Recurring Schedule'!$P$11),"",IF(IF('Recurring Schedule'!$N$11&gt;0,MOD($A144-'Recurring Schedule'!$F$11,'Recurring Schedule'!$N$11)=0,IF('Recurring Schedule'!$O$11&gt;0,AND(DAY($A144)=MIN(DAY('Recurring Schedule'!$F$11),DAY(EOMONTH($A144,0))),MOD((YEAR($A144)-YEAR('Recurring Schedule'!$F$11))*12+MONTH($A144)-MONTH('Recurring Schedule'!$F$11),'Recurring Schedule'!$O$11)=0),IF('Recurring Schedule'!$E$11="Weekdays",WEEKDAY($A144,2)&lt;=5,$A144='Recurring Schedule'!$F$11))),6,""))))</f>
        <v/>
      </c>
      <c r="H144">
        <f>IF('Recurring Schedule'!$C$12="","",IF('Recurring Schedule'!$F$12="","",IF(OR($A144&lt;'Recurring Schedule'!$F$12,$A144&gt;'Recurring Schedule'!$P$12),"",IF(IF('Recurring Schedule'!$N$12&gt;0,MOD($A144-'Recurring Schedule'!$F$12,'Recurring Schedule'!$N$12)=0,IF('Recurring Schedule'!$O$12&gt;0,AND(DAY($A144)=MIN(DAY('Recurring Schedule'!$F$12),DAY(EOMONTH($A144,0))),MOD((YEAR($A144)-YEAR('Recurring Schedule'!$F$12))*12+MONTH($A144)-MONTH('Recurring Schedule'!$F$12),'Recurring Schedule'!$O$12)=0),IF('Recurring Schedule'!$E$12="Weekdays",WEEKDAY($A144,2)&lt;=5,$A144='Recurring Schedule'!$F$12))),7,""))))</f>
        <v/>
      </c>
      <c r="I144">
        <f>IF('Recurring Schedule'!$C$13="","",IF('Recurring Schedule'!$F$13="","",IF(OR($A144&lt;'Recurring Schedule'!$F$13,$A144&gt;'Recurring Schedule'!$P$13),"",IF(IF('Recurring Schedule'!$N$13&gt;0,MOD($A144-'Recurring Schedule'!$F$13,'Recurring Schedule'!$N$13)=0,IF('Recurring Schedule'!$O$13&gt;0,AND(DAY($A144)=MIN(DAY('Recurring Schedule'!$F$13),DAY(EOMONTH($A144,0))),MOD((YEAR($A144)-YEAR('Recurring Schedule'!$F$13))*12+MONTH($A144)-MONTH('Recurring Schedule'!$F$13),'Recurring Schedule'!$O$13)=0),IF('Recurring Schedule'!$E$13="Weekdays",WEEKDAY($A144,2)&lt;=5,$A144='Recurring Schedule'!$F$13))),8,""))))</f>
        <v/>
      </c>
      <c r="J144">
        <f>IF('Recurring Schedule'!$C$14="","",IF('Recurring Schedule'!$F$14="","",IF(OR($A144&lt;'Recurring Schedule'!$F$14,$A144&gt;'Recurring Schedule'!$P$14),"",IF(IF('Recurring Schedule'!$N$14&gt;0,MOD($A144-'Recurring Schedule'!$F$14,'Recurring Schedule'!$N$14)=0,IF('Recurring Schedule'!$O$14&gt;0,AND(DAY($A144)=MIN(DAY('Recurring Schedule'!$F$14),DAY(EOMONTH($A144,0))),MOD((YEAR($A144)-YEAR('Recurring Schedule'!$F$14))*12+MONTH($A144)-MONTH('Recurring Schedule'!$F$14),'Recurring Schedule'!$O$14)=0),IF('Recurring Schedule'!$E$14="Weekdays",WEEKDAY($A144,2)&lt;=5,$A144='Recurring Schedule'!$F$14))),9,""))))</f>
        <v/>
      </c>
      <c r="K144">
        <f>IF('Recurring Schedule'!$C$15="","",IF('Recurring Schedule'!$F$15="","",IF(OR($A144&lt;'Recurring Schedule'!$F$15,$A144&gt;'Recurring Schedule'!$P$15),"",IF(IF('Recurring Schedule'!$N$15&gt;0,MOD($A144-'Recurring Schedule'!$F$15,'Recurring Schedule'!$N$15)=0,IF('Recurring Schedule'!$O$15&gt;0,AND(DAY($A144)=MIN(DAY('Recurring Schedule'!$F$15),DAY(EOMONTH($A144,0))),MOD((YEAR($A144)-YEAR('Recurring Schedule'!$F$15))*12+MONTH($A144)-MONTH('Recurring Schedule'!$F$15),'Recurring Schedule'!$O$15)=0),IF('Recurring Schedule'!$E$15="Weekdays",WEEKDAY($A144,2)&lt;=5,$A144='Recurring Schedule'!$F$15))),10,""))))</f>
        <v/>
      </c>
      <c r="L144">
        <f>IF('Recurring Schedule'!$C$16="","",IF('Recurring Schedule'!$F$16="","",IF(OR($A144&lt;'Recurring Schedule'!$F$16,$A144&gt;'Recurring Schedule'!$P$16),"",IF(IF('Recurring Schedule'!$N$16&gt;0,MOD($A144-'Recurring Schedule'!$F$16,'Recurring Schedule'!$N$16)=0,IF('Recurring Schedule'!$O$16&gt;0,AND(DAY($A144)=MIN(DAY('Recurring Schedule'!$F$16),DAY(EOMONTH($A144,0))),MOD((YEAR($A144)-YEAR('Recurring Schedule'!$F$16))*12+MONTH($A144)-MONTH('Recurring Schedule'!$F$16),'Recurring Schedule'!$O$16)=0),IF('Recurring Schedule'!$E$16="Weekdays",WEEKDAY($A144,2)&lt;=5,$A144='Recurring Schedule'!$F$16))),11,""))))</f>
        <v/>
      </c>
      <c r="M144">
        <f>IF('Recurring Schedule'!$C$17="","",IF('Recurring Schedule'!$F$17="","",IF(OR($A144&lt;'Recurring Schedule'!$F$17,$A144&gt;'Recurring Schedule'!$P$17),"",IF(IF('Recurring Schedule'!$N$17&gt;0,MOD($A144-'Recurring Schedule'!$F$17,'Recurring Schedule'!$N$17)=0,IF('Recurring Schedule'!$O$17&gt;0,AND(DAY($A144)=MIN(DAY('Recurring Schedule'!$F$17),DAY(EOMONTH($A144,0))),MOD((YEAR($A144)-YEAR('Recurring Schedule'!$F$17))*12+MONTH($A144)-MONTH('Recurring Schedule'!$F$17),'Recurring Schedule'!$O$17)=0),IF('Recurring Schedule'!$E$17="Weekdays",WEEKDAY($A144,2)&lt;=5,$A144='Recurring Schedule'!$F$17))),12,""))))</f>
        <v/>
      </c>
      <c r="N144">
        <f>IF('Recurring Schedule'!$C$18="","",IF('Recurring Schedule'!$F$18="","",IF(OR($A144&lt;'Recurring Schedule'!$F$18,$A144&gt;'Recurring Schedule'!$P$18),"",IF(IF('Recurring Schedule'!$N$18&gt;0,MOD($A144-'Recurring Schedule'!$F$18,'Recurring Schedule'!$N$18)=0,IF('Recurring Schedule'!$O$18&gt;0,AND(DAY($A144)=MIN(DAY('Recurring Schedule'!$F$18),DAY(EOMONTH($A144,0))),MOD((YEAR($A144)-YEAR('Recurring Schedule'!$F$18))*12+MONTH($A144)-MONTH('Recurring Schedule'!$F$18),'Recurring Schedule'!$O$18)=0),IF('Recurring Schedule'!$E$18="Weekdays",WEEKDAY($A144,2)&lt;=5,$A144='Recurring Schedule'!$F$18))),13,""))))</f>
        <v/>
      </c>
      <c r="O144">
        <f>IF('Recurring Schedule'!$C$19="","",IF('Recurring Schedule'!$F$19="","",IF(OR($A144&lt;'Recurring Schedule'!$F$19,$A144&gt;'Recurring Schedule'!$P$19),"",IF(IF('Recurring Schedule'!$N$19&gt;0,MOD($A144-'Recurring Schedule'!$F$19,'Recurring Schedule'!$N$19)=0,IF('Recurring Schedule'!$O$19&gt;0,AND(DAY($A144)=MIN(DAY('Recurring Schedule'!$F$19),DAY(EOMONTH($A144,0))),MOD((YEAR($A144)-YEAR('Recurring Schedule'!$F$19))*12+MONTH($A144)-MONTH('Recurring Schedule'!$F$19),'Recurring Schedule'!$O$19)=0),IF('Recurring Schedule'!$E$19="Weekdays",WEEKDAY($A144,2)&lt;=5,$A144='Recurring Schedule'!$F$19))),14,""))))</f>
        <v/>
      </c>
      <c r="P144">
        <f>IF('Recurring Schedule'!$C$20="","",IF('Recurring Schedule'!$F$20="","",IF(OR($A144&lt;'Recurring Schedule'!$F$20,$A144&gt;'Recurring Schedule'!$P$20),"",IF(IF('Recurring Schedule'!$N$20&gt;0,MOD($A144-'Recurring Schedule'!$F$20,'Recurring Schedule'!$N$20)=0,IF('Recurring Schedule'!$O$20&gt;0,AND(DAY($A144)=MIN(DAY('Recurring Schedule'!$F$20),DAY(EOMONTH($A144,0))),MOD((YEAR($A144)-YEAR('Recurring Schedule'!$F$20))*12+MONTH($A144)-MONTH('Recurring Schedule'!$F$20),'Recurring Schedule'!$O$20)=0),IF('Recurring Schedule'!$E$20="Weekdays",WEEKDAY($A144,2)&lt;=5,$A144='Recurring Schedule'!$F$20))),15,""))))</f>
        <v/>
      </c>
      <c r="Q144">
        <f>IF('Recurring Schedule'!$C$21="","",IF('Recurring Schedule'!$F$21="","",IF(OR($A144&lt;'Recurring Schedule'!$F$21,$A144&gt;'Recurring Schedule'!$P$21),"",IF(IF('Recurring Schedule'!$N$21&gt;0,MOD($A144-'Recurring Schedule'!$F$21,'Recurring Schedule'!$N$21)=0,IF('Recurring Schedule'!$O$21&gt;0,AND(DAY($A144)=MIN(DAY('Recurring Schedule'!$F$21),DAY(EOMONTH($A144,0))),MOD((YEAR($A144)-YEAR('Recurring Schedule'!$F$21))*12+MONTH($A144)-MONTH('Recurring Schedule'!$F$21),'Recurring Schedule'!$O$21)=0),IF('Recurring Schedule'!$E$21="Weekdays",WEEKDAY($A144,2)&lt;=5,$A144='Recurring Schedule'!$F$21))),16,""))))</f>
        <v/>
      </c>
      <c r="R144">
        <f>IF('Recurring Schedule'!$C$22="","",IF('Recurring Schedule'!$F$22="","",IF(OR($A144&lt;'Recurring Schedule'!$F$22,$A144&gt;'Recurring Schedule'!$P$22),"",IF(IF('Recurring Schedule'!$N$22&gt;0,MOD($A144-'Recurring Schedule'!$F$22,'Recurring Schedule'!$N$22)=0,IF('Recurring Schedule'!$O$22&gt;0,AND(DAY($A144)=MIN(DAY('Recurring Schedule'!$F$22),DAY(EOMONTH($A144,0))),MOD((YEAR($A144)-YEAR('Recurring Schedule'!$F$22))*12+MONTH($A144)-MONTH('Recurring Schedule'!$F$22),'Recurring Schedule'!$O$22)=0),IF('Recurring Schedule'!$E$22="Weekdays",WEEKDAY($A144,2)&lt;=5,$A144='Recurring Schedule'!$F$22))),17,""))))</f>
        <v/>
      </c>
      <c r="S144">
        <f>IF('Recurring Schedule'!$C$23="","",IF('Recurring Schedule'!$F$23="","",IF(OR($A144&lt;'Recurring Schedule'!$F$23,$A144&gt;'Recurring Schedule'!$P$23),"",IF(IF('Recurring Schedule'!$N$23&gt;0,MOD($A144-'Recurring Schedule'!$F$23,'Recurring Schedule'!$N$23)=0,IF('Recurring Schedule'!$O$23&gt;0,AND(DAY($A144)=MIN(DAY('Recurring Schedule'!$F$23),DAY(EOMONTH($A144,0))),MOD((YEAR($A144)-YEAR('Recurring Schedule'!$F$23))*12+MONTH($A144)-MONTH('Recurring Schedule'!$F$23),'Recurring Schedule'!$O$23)=0),IF('Recurring Schedule'!$E$23="Weekdays",WEEKDAY($A144,2)&lt;=5,$A144='Recurring Schedule'!$F$23))),18,""))))</f>
        <v/>
      </c>
      <c r="T144">
        <f>IF('Recurring Schedule'!$C$24="","",IF('Recurring Schedule'!$F$24="","",IF(OR($A144&lt;'Recurring Schedule'!$F$24,$A144&gt;'Recurring Schedule'!$P$24),"",IF(IF('Recurring Schedule'!$N$24&gt;0,MOD($A144-'Recurring Schedule'!$F$24,'Recurring Schedule'!$N$24)=0,IF('Recurring Schedule'!$O$24&gt;0,AND(DAY($A144)=MIN(DAY('Recurring Schedule'!$F$24),DAY(EOMONTH($A144,0))),MOD((YEAR($A144)-YEAR('Recurring Schedule'!$F$24))*12+MONTH($A144)-MONTH('Recurring Schedule'!$F$24),'Recurring Schedule'!$O$24)=0),IF('Recurring Schedule'!$E$24="Weekdays",WEEKDAY($A144,2)&lt;=5,$A144='Recurring Schedule'!$F$24))),19,""))))</f>
        <v/>
      </c>
      <c r="U144">
        <f>IF('Recurring Schedule'!$C$25="","",IF('Recurring Schedule'!$F$25="","",IF(OR($A144&lt;'Recurring Schedule'!$F$25,$A144&gt;'Recurring Schedule'!$P$25),"",IF(IF('Recurring Schedule'!$N$25&gt;0,MOD($A144-'Recurring Schedule'!$F$25,'Recurring Schedule'!$N$25)=0,IF('Recurring Schedule'!$O$25&gt;0,AND(DAY($A144)=MIN(DAY('Recurring Schedule'!$F$25),DAY(EOMONTH($A144,0))),MOD((YEAR($A144)-YEAR('Recurring Schedule'!$F$25))*12+MONTH($A144)-MONTH('Recurring Schedule'!$F$25),'Recurring Schedule'!$O$25)=0),IF('Recurring Schedule'!$E$25="Weekdays",WEEKDAY($A144,2)&lt;=5,$A144='Recurring Schedule'!$F$25))),20,""))))</f>
        <v/>
      </c>
      <c r="V144">
        <f>IF('Recurring Schedule'!$C$26="","",IF('Recurring Schedule'!$F$26="","",IF(OR($A144&lt;'Recurring Schedule'!$F$26,$A144&gt;'Recurring Schedule'!$P$26),"",IF(IF('Recurring Schedule'!$N$26&gt;0,MOD($A144-'Recurring Schedule'!$F$26,'Recurring Schedule'!$N$26)=0,IF('Recurring Schedule'!$O$26&gt;0,AND(DAY($A144)=MIN(DAY('Recurring Schedule'!$F$26),DAY(EOMONTH($A144,0))),MOD((YEAR($A144)-YEAR('Recurring Schedule'!$F$26))*12+MONTH($A144)-MONTH('Recurring Schedule'!$F$26),'Recurring Schedule'!$O$26)=0),IF('Recurring Schedule'!$E$26="Weekdays",WEEKDAY($A144,2)&lt;=5,$A144='Recurring Schedule'!$F$26))),21,""))))</f>
        <v/>
      </c>
      <c r="W144">
        <f>IF('Recurring Schedule'!$C$27="","",IF('Recurring Schedule'!$F$27="","",IF(OR($A144&lt;'Recurring Schedule'!$F$27,$A144&gt;'Recurring Schedule'!$P$27),"",IF(IF('Recurring Schedule'!$N$27&gt;0,MOD($A144-'Recurring Schedule'!$F$27,'Recurring Schedule'!$N$27)=0,IF('Recurring Schedule'!$O$27&gt;0,AND(DAY($A144)=MIN(DAY('Recurring Schedule'!$F$27),DAY(EOMONTH($A144,0))),MOD((YEAR($A144)-YEAR('Recurring Schedule'!$F$27))*12+MONTH($A144)-MONTH('Recurring Schedule'!$F$27),'Recurring Schedule'!$O$27)=0),IF('Recurring Schedule'!$E$27="Weekdays",WEEKDAY($A144,2)&lt;=5,$A144='Recurring Schedule'!$F$27))),22,""))))</f>
        <v/>
      </c>
      <c r="X144">
        <f>IF('Recurring Schedule'!$C$28="","",IF('Recurring Schedule'!$F$28="","",IF(OR($A144&lt;'Recurring Schedule'!$F$28,$A144&gt;'Recurring Schedule'!$P$28),"",IF(IF('Recurring Schedule'!$N$28&gt;0,MOD($A144-'Recurring Schedule'!$F$28,'Recurring Schedule'!$N$28)=0,IF('Recurring Schedule'!$O$28&gt;0,AND(DAY($A144)=MIN(DAY('Recurring Schedule'!$F$28),DAY(EOMONTH($A144,0))),MOD((YEAR($A144)-YEAR('Recurring Schedule'!$F$28))*12+MONTH($A144)-MONTH('Recurring Schedule'!$F$28),'Recurring Schedule'!$O$28)=0),IF('Recurring Schedule'!$E$28="Weekdays",WEEKDAY($A144,2)&lt;=5,$A144='Recurring Schedule'!$F$28))),23,""))))</f>
        <v/>
      </c>
      <c r="Y144">
        <f>IF('Recurring Schedule'!$C$29="","",IF('Recurring Schedule'!$F$29="","",IF(OR($A144&lt;'Recurring Schedule'!$F$29,$A144&gt;'Recurring Schedule'!$P$29),"",IF(IF('Recurring Schedule'!$N$29&gt;0,MOD($A144-'Recurring Schedule'!$F$29,'Recurring Schedule'!$N$29)=0,IF('Recurring Schedule'!$O$29&gt;0,AND(DAY($A144)=MIN(DAY('Recurring Schedule'!$F$29),DAY(EOMONTH($A144,0))),MOD((YEAR($A144)-YEAR('Recurring Schedule'!$F$29))*12+MONTH($A144)-MONTH('Recurring Schedule'!$F$29),'Recurring Schedule'!$O$29)=0),IF('Recurring Schedule'!$E$29="Weekdays",WEEKDAY($A144,2)&lt;=5,$A144='Recurring Schedule'!$F$29))),24,""))))</f>
        <v/>
      </c>
      <c r="Z144">
        <f>IF('Recurring Schedule'!$C$30="","",IF('Recurring Schedule'!$F$30="","",IF(OR($A144&lt;'Recurring Schedule'!$F$30,$A144&gt;'Recurring Schedule'!$P$30),"",IF(IF('Recurring Schedule'!$N$30&gt;0,MOD($A144-'Recurring Schedule'!$F$30,'Recurring Schedule'!$N$30)=0,IF('Recurring Schedule'!$O$30&gt;0,AND(DAY($A144)=MIN(DAY('Recurring Schedule'!$F$30),DAY(EOMONTH($A144,0))),MOD((YEAR($A144)-YEAR('Recurring Schedule'!$F$30))*12+MONTH($A144)-MONTH('Recurring Schedule'!$F$30),'Recurring Schedule'!$O$30)=0),IF('Recurring Schedule'!$E$30="Weekdays",WEEKDAY($A144,2)&lt;=5,$A144='Recurring Schedule'!$F$30))),25,""))))</f>
        <v/>
      </c>
      <c r="AA144">
        <f>IF('Recurring Schedule'!$C$31="","",IF('Recurring Schedule'!$F$31="","",IF(OR($A144&lt;'Recurring Schedule'!$F$31,$A144&gt;'Recurring Schedule'!$P$31),"",IF(IF('Recurring Schedule'!$N$31&gt;0,MOD($A144-'Recurring Schedule'!$F$31,'Recurring Schedule'!$N$31)=0,IF('Recurring Schedule'!$O$31&gt;0,AND(DAY($A144)=MIN(DAY('Recurring Schedule'!$F$31),DAY(EOMONTH($A144,0))),MOD((YEAR($A144)-YEAR('Recurring Schedule'!$F$31))*12+MONTH($A144)-MONTH('Recurring Schedule'!$F$31),'Recurring Schedule'!$O$31)=0),IF('Recurring Schedule'!$E$31="Weekdays",WEEKDAY($A144,2)&lt;=5,$A144='Recurring Schedule'!$F$31))),26,""))))</f>
        <v/>
      </c>
      <c r="AB144">
        <f>IF('Recurring Schedule'!$C$32="","",IF('Recurring Schedule'!$F$32="","",IF(OR($A144&lt;'Recurring Schedule'!$F$32,$A144&gt;'Recurring Schedule'!$P$32),"",IF(IF('Recurring Schedule'!$N$32&gt;0,MOD($A144-'Recurring Schedule'!$F$32,'Recurring Schedule'!$N$32)=0,IF('Recurring Schedule'!$O$32&gt;0,AND(DAY($A144)=MIN(DAY('Recurring Schedule'!$F$32),DAY(EOMONTH($A144,0))),MOD((YEAR($A144)-YEAR('Recurring Schedule'!$F$32))*12+MONTH($A144)-MONTH('Recurring Schedule'!$F$32),'Recurring Schedule'!$O$32)=0),IF('Recurring Schedule'!$E$32="Weekdays",WEEKDAY($A144,2)&lt;=5,$A144='Recurring Schedule'!$F$32))),27,""))))</f>
        <v/>
      </c>
      <c r="AC144">
        <f>IF('Recurring Schedule'!$C$33="","",IF('Recurring Schedule'!$F$33="","",IF(OR($A144&lt;'Recurring Schedule'!$F$33,$A144&gt;'Recurring Schedule'!$P$33),"",IF(IF('Recurring Schedule'!$N$33&gt;0,MOD($A144-'Recurring Schedule'!$F$33,'Recurring Schedule'!$N$33)=0,IF('Recurring Schedule'!$O$33&gt;0,AND(DAY($A144)=MIN(DAY('Recurring Schedule'!$F$33),DAY(EOMONTH($A144,0))),MOD((YEAR($A144)-YEAR('Recurring Schedule'!$F$33))*12+MONTH($A144)-MONTH('Recurring Schedule'!$F$33),'Recurring Schedule'!$O$33)=0),IF('Recurring Schedule'!$E$33="Weekdays",WEEKDAY($A144,2)&lt;=5,$A144='Recurring Schedule'!$F$33))),28,""))))</f>
        <v/>
      </c>
      <c r="AD144">
        <f>IF('Recurring Schedule'!$C$34="","",IF('Recurring Schedule'!$F$34="","",IF(OR($A144&lt;'Recurring Schedule'!$F$34,$A144&gt;'Recurring Schedule'!$P$34),"",IF(IF('Recurring Schedule'!$N$34&gt;0,MOD($A144-'Recurring Schedule'!$F$34,'Recurring Schedule'!$N$34)=0,IF('Recurring Schedule'!$O$34&gt;0,AND(DAY($A144)=MIN(DAY('Recurring Schedule'!$F$34),DAY(EOMONTH($A144,0))),MOD((YEAR($A144)-YEAR('Recurring Schedule'!$F$34))*12+MONTH($A144)-MONTH('Recurring Schedule'!$F$34),'Recurring Schedule'!$O$34)=0),IF('Recurring Schedule'!$E$34="Weekdays",WEEKDAY($A144,2)&lt;=5,$A144='Recurring Schedule'!$F$34))),29,""))))</f>
        <v/>
      </c>
      <c r="AE144">
        <f>IF('Recurring Schedule'!$C$35="","",IF('Recurring Schedule'!$F$35="","",IF(OR($A144&lt;'Recurring Schedule'!$F$35,$A144&gt;'Recurring Schedule'!$P$35),"",IF(IF('Recurring Schedule'!$N$35&gt;0,MOD($A144-'Recurring Schedule'!$F$35,'Recurring Schedule'!$N$35)=0,IF('Recurring Schedule'!$O$35&gt;0,AND(DAY($A144)=MIN(DAY('Recurring Schedule'!$F$35),DAY(EOMONTH($A144,0))),MOD((YEAR($A144)-YEAR('Recurring Schedule'!$F$35))*12+MONTH($A144)-MONTH('Recurring Schedule'!$F$35),'Recurring Schedule'!$O$35)=0),IF('Recurring Schedule'!$E$35="Weekdays",WEEKDAY($A144,2)&lt;=5,$A144='Recurring Schedule'!$F$35))),30,""))))</f>
        <v/>
      </c>
      <c r="AF144">
        <f>IF('Recurring Schedule'!$C$36="","",IF('Recurring Schedule'!$F$36="","",IF(OR($A144&lt;'Recurring Schedule'!$F$36,$A144&gt;'Recurring Schedule'!$P$36),"",IF(IF('Recurring Schedule'!$N$36&gt;0,MOD($A144-'Recurring Schedule'!$F$36,'Recurring Schedule'!$N$36)=0,IF('Recurring Schedule'!$O$36&gt;0,AND(DAY($A144)=MIN(DAY('Recurring Schedule'!$F$36),DAY(EOMONTH($A144,0))),MOD((YEAR($A144)-YEAR('Recurring Schedule'!$F$36))*12+MONTH($A144)-MONTH('Recurring Schedule'!$F$36),'Recurring Schedule'!$O$36)=0),IF('Recurring Schedule'!$E$36="Weekdays",WEEKDAY($A144,2)&lt;=5,$A144='Recurring Schedule'!$F$36))),31,""))))</f>
        <v/>
      </c>
      <c r="AG144">
        <f>IF('Recurring Schedule'!$C$37="","",IF('Recurring Schedule'!$F$37="","",IF(OR($A144&lt;'Recurring Schedule'!$F$37,$A144&gt;'Recurring Schedule'!$P$37),"",IF(IF('Recurring Schedule'!$N$37&gt;0,MOD($A144-'Recurring Schedule'!$F$37,'Recurring Schedule'!$N$37)=0,IF('Recurring Schedule'!$O$37&gt;0,AND(DAY($A144)=MIN(DAY('Recurring Schedule'!$F$37),DAY(EOMONTH($A144,0))),MOD((YEAR($A144)-YEAR('Recurring Schedule'!$F$37))*12+MONTH($A144)-MONTH('Recurring Schedule'!$F$37),'Recurring Schedule'!$O$37)=0),IF('Recurring Schedule'!$E$37="Weekdays",WEEKDAY($A144,2)&lt;=5,$A144='Recurring Schedule'!$F$37))),32,""))))</f>
        <v/>
      </c>
      <c r="AH144">
        <f>IF('Recurring Schedule'!$C$38="","",IF('Recurring Schedule'!$F$38="","",IF(OR($A144&lt;'Recurring Schedule'!$F$38,$A144&gt;'Recurring Schedule'!$P$38),"",IF(IF('Recurring Schedule'!$N$38&gt;0,MOD($A144-'Recurring Schedule'!$F$38,'Recurring Schedule'!$N$38)=0,IF('Recurring Schedule'!$O$38&gt;0,AND(DAY($A144)=MIN(DAY('Recurring Schedule'!$F$38),DAY(EOMONTH($A144,0))),MOD((YEAR($A144)-YEAR('Recurring Schedule'!$F$38))*12+MONTH($A144)-MONTH('Recurring Schedule'!$F$38),'Recurring Schedule'!$O$38)=0),IF('Recurring Schedule'!$E$38="Weekdays",WEEKDAY($A144,2)&lt;=5,$A144='Recurring Schedule'!$F$38))),33,""))))</f>
        <v/>
      </c>
      <c r="AI144">
        <f>IF('Recurring Schedule'!$C$39="","",IF('Recurring Schedule'!$F$39="","",IF(OR($A144&lt;'Recurring Schedule'!$F$39,$A144&gt;'Recurring Schedule'!$P$39),"",IF(IF('Recurring Schedule'!$N$39&gt;0,MOD($A144-'Recurring Schedule'!$F$39,'Recurring Schedule'!$N$39)=0,IF('Recurring Schedule'!$O$39&gt;0,AND(DAY($A144)=MIN(DAY('Recurring Schedule'!$F$39),DAY(EOMONTH($A144,0))),MOD((YEAR($A144)-YEAR('Recurring Schedule'!$F$39))*12+MONTH($A144)-MONTH('Recurring Schedule'!$F$39),'Recurring Schedule'!$O$39)=0),IF('Recurring Schedule'!$E$39="Weekdays",WEEKDAY($A144,2)&lt;=5,$A144='Recurring Schedule'!$F$39))),34,""))))</f>
        <v/>
      </c>
      <c r="AJ144">
        <f>IF('Recurring Schedule'!$C$40="","",IF('Recurring Schedule'!$F$40="","",IF(OR($A144&lt;'Recurring Schedule'!$F$40,$A144&gt;'Recurring Schedule'!$P$40),"",IF(IF('Recurring Schedule'!$N$40&gt;0,MOD($A144-'Recurring Schedule'!$F$40,'Recurring Schedule'!$N$40)=0,IF('Recurring Schedule'!$O$40&gt;0,AND(DAY($A144)=MIN(DAY('Recurring Schedule'!$F$40),DAY(EOMONTH($A144,0))),MOD((YEAR($A144)-YEAR('Recurring Schedule'!$F$40))*12+MONTH($A144)-MONTH('Recurring Schedule'!$F$40),'Recurring Schedule'!$O$40)=0),IF('Recurring Schedule'!$E$40="Weekdays",WEEKDAY($A144,2)&lt;=5,$A144='Recurring Schedule'!$F$40))),35,""))))</f>
        <v/>
      </c>
      <c r="AK144">
        <f>IF('Recurring Schedule'!$C$41="","",IF('Recurring Schedule'!$F$41="","",IF(OR($A144&lt;'Recurring Schedule'!$F$41,$A144&gt;'Recurring Schedule'!$P$41),"",IF(IF('Recurring Schedule'!$N$41&gt;0,MOD($A144-'Recurring Schedule'!$F$41,'Recurring Schedule'!$N$41)=0,IF('Recurring Schedule'!$O$41&gt;0,AND(DAY($A144)=MIN(DAY('Recurring Schedule'!$F$41),DAY(EOMONTH($A144,0))),MOD((YEAR($A144)-YEAR('Recurring Schedule'!$F$41))*12+MONTH($A144)-MONTH('Recurring Schedule'!$F$41),'Recurring Schedule'!$O$41)=0),IF('Recurring Schedule'!$E$41="Weekdays",WEEKDAY($A144,2)&lt;=5,$A144='Recurring Schedule'!$F$41))),36,""))))</f>
        <v/>
      </c>
      <c r="AL144">
        <f>IF('Recurring Schedule'!$C$42="","",IF('Recurring Schedule'!$F$42="","",IF(OR($A144&lt;'Recurring Schedule'!$F$42,$A144&gt;'Recurring Schedule'!$P$42),"",IF(IF('Recurring Schedule'!$N$42&gt;0,MOD($A144-'Recurring Schedule'!$F$42,'Recurring Schedule'!$N$42)=0,IF('Recurring Schedule'!$O$42&gt;0,AND(DAY($A144)=MIN(DAY('Recurring Schedule'!$F$42),DAY(EOMONTH($A144,0))),MOD((YEAR($A144)-YEAR('Recurring Schedule'!$F$42))*12+MONTH($A144)-MONTH('Recurring Schedule'!$F$42),'Recurring Schedule'!$O$42)=0),IF('Recurring Schedule'!$E$42="Weekdays",WEEKDAY($A144,2)&lt;=5,$A144='Recurring Schedule'!$F$42))),37,""))))</f>
        <v/>
      </c>
      <c r="AM144">
        <f>IF('Recurring Schedule'!$C$43="","",IF('Recurring Schedule'!$F$43="","",IF(OR($A144&lt;'Recurring Schedule'!$F$43,$A144&gt;'Recurring Schedule'!$P$43),"",IF(IF('Recurring Schedule'!$N$43&gt;0,MOD($A144-'Recurring Schedule'!$F$43,'Recurring Schedule'!$N$43)=0,IF('Recurring Schedule'!$O$43&gt;0,AND(DAY($A144)=MIN(DAY('Recurring Schedule'!$F$43),DAY(EOMONTH($A144,0))),MOD((YEAR($A144)-YEAR('Recurring Schedule'!$F$43))*12+MONTH($A144)-MONTH('Recurring Schedule'!$F$43),'Recurring Schedule'!$O$43)=0),IF('Recurring Schedule'!$E$43="Weekdays",WEEKDAY($A144,2)&lt;=5,$A144='Recurring Schedule'!$F$43))),38,""))))</f>
        <v/>
      </c>
      <c r="AN144">
        <f>IF('Recurring Schedule'!$C$44="","",IF('Recurring Schedule'!$F$44="","",IF(OR($A144&lt;'Recurring Schedule'!$F$44,$A144&gt;'Recurring Schedule'!$P$44),"",IF(IF('Recurring Schedule'!$N$44&gt;0,MOD($A144-'Recurring Schedule'!$F$44,'Recurring Schedule'!$N$44)=0,IF('Recurring Schedule'!$O$44&gt;0,AND(DAY($A144)=MIN(DAY('Recurring Schedule'!$F$44),DAY(EOMONTH($A144,0))),MOD((YEAR($A144)-YEAR('Recurring Schedule'!$F$44))*12+MONTH($A144)-MONTH('Recurring Schedule'!$F$44),'Recurring Schedule'!$O$44)=0),IF('Recurring Schedule'!$E$44="Weekdays",WEEKDAY($A144,2)&lt;=5,$A144='Recurring Schedule'!$F$44))),39,""))))</f>
        <v/>
      </c>
      <c r="AO144">
        <f>IF('Recurring Schedule'!$C$45="","",IF('Recurring Schedule'!$F$45="","",IF(OR($A144&lt;'Recurring Schedule'!$F$45,$A144&gt;'Recurring Schedule'!$P$45),"",IF(IF('Recurring Schedule'!$N$45&gt;0,MOD($A144-'Recurring Schedule'!$F$45,'Recurring Schedule'!$N$45)=0,IF('Recurring Schedule'!$O$45&gt;0,AND(DAY($A144)=MIN(DAY('Recurring Schedule'!$F$45),DAY(EOMONTH($A144,0))),MOD((YEAR($A144)-YEAR('Recurring Schedule'!$F$45))*12+MONTH($A144)-MONTH('Recurring Schedule'!$F$45),'Recurring Schedule'!$O$45)=0),IF('Recurring Schedule'!$E$45="Weekdays",WEEKDAY($A144,2)&lt;=5,$A144='Recurring Schedule'!$F$45))),40,""))))</f>
        <v/>
      </c>
      <c r="AP144">
        <f>COUNT(B144:AO144)</f>
        <v/>
      </c>
      <c r="AQ144">
        <f>AQ143+AP143</f>
        <v/>
      </c>
      <c r="AS144" t="inlineStr">
        <is>
          <t>R</t>
        </is>
      </c>
      <c r="AT144" t="n">
        <v>148</v>
      </c>
      <c r="AU144">
        <f>'Recurring Log'!C148&amp;""</f>
        <v/>
      </c>
      <c r="AV144">
        <f>'Recurring Log'!D148&amp;""</f>
        <v/>
      </c>
      <c r="AW144">
        <f>IF('Recurring Log'!E148="","",'Recurring Log'!E148)</f>
        <v/>
      </c>
      <c r="AX144">
        <f>IF('Recurring Log'!G148="","",'Recurring Log'!G148)</f>
        <v/>
      </c>
      <c r="AY144">
        <f>IF('Recurring Log'!H148="","",'Recurring Log'!H148)</f>
        <v/>
      </c>
      <c r="AZ144">
        <f>IF(AU144="","",IF('Recurring Log'!J148="","Not Started",'Recurring Log'!J148))</f>
        <v/>
      </c>
      <c r="BA144">
        <f>'Recurring Log'!L148&amp;""</f>
        <v/>
      </c>
      <c r="BB144">
        <f>'Recurring Log'!M148&amp;""</f>
        <v/>
      </c>
      <c r="BC144">
        <f>'Recurring Log'!N148&amp;""</f>
        <v/>
      </c>
      <c r="BD144">
        <f>'Recurring Log'!O148&amp;""</f>
        <v/>
      </c>
      <c r="BE144">
        <f>IF('Recurring Log'!K148="","",'Recurring Log'!K148)</f>
        <v/>
      </c>
      <c r="BF144">
        <f>IFERROR(MATCH(BA144,Setup!$L$6:$L$9,0),5)</f>
        <v/>
      </c>
      <c r="BG144">
        <f>IF(OR(AZ144="Done",AZ144="Cancelled"),1,0)</f>
        <v/>
      </c>
      <c r="BH144">
        <f>IF(AND(AU144&lt;&gt;"",ISNUMBER(AW144)),1,0)</f>
        <v/>
      </c>
      <c r="BI144">
        <f>IF(BH144=0,0,IF(AND(AW144&gt;='Tasks Filter'!$F$3,AW144&lt;='Tasks Filter'!$F$4,OR('Tasks Filter'!$I$3="",ISNUMBER(SEARCH('Tasks Filter'!$I$3,AU144))),OR('Tasks Filter'!$I$4="",BF144=IFERROR(MATCH('Tasks Filter'!$I$4,Setup!$L$6:$L$9,0),0)),OR('Tasks Filter'!$I$5="Both",AND('Tasks Filter'!$I$5="Yes",BB144="✓"),AND('Tasks Filter'!$I$5="No",BB144&lt;&gt;"✓")),OR('Tasks Filter'!$L$3="",AV144='Tasks Filter'!$L$3),OR('Tasks Filter'!$L$4="",AZ144='Tasks Filter'!$L$4),OR('Tasks Filter'!$L$5="",BC144='Tasks Filter'!$L$5),OR('Tasks Filter'!$O$3="",BD144='Tasks Filter'!$O$3),OR('Tasks Filter'!$O$4="Yes",BG144=0)),1,0))</f>
        <v/>
      </c>
      <c r="BJ144">
        <f>IF(BH144=0,"",IF('Tasks Filter'!$F$6="Descending",-1,1)*CHOOSE(MATCH('Tasks Filter'!$F$5,Lists!$G$2:$G$6,0),AW144,BF144,IFERROR(MATCH(AV144,Setup!$F$6:$F$15,0),99),IFERROR(MATCH(BC144,Setup!$H$6:$H$15,0),99),IFERROR(MATCH(AZ144,Setup!$J$6:$J$11,0),99))*1E+9+(AW144-40000)*10000+143)</f>
        <v/>
      </c>
      <c r="BK144">
        <f>IF(BI144=1,BJ144,"")</f>
        <v/>
      </c>
      <c r="BL144">
        <f>IF(AND(BH144=1,BG144=0,N(AW144)&lt;Setup!$D$7),(AW144-40000)*10000+143,"")</f>
        <v/>
      </c>
      <c r="BM144">
        <f>IF(AND(BH144=1,AZ144&lt;&gt;"Cancelled",N(AW144)&gt;=Dashboard!$AB$3,N(AW144)&lt;=Dashboard!$AB$3+6),(AW144-40000)*100000+BF144*10000+143,"")</f>
        <v/>
      </c>
      <c r="BN144">
        <f>IF(AND(BH144=1,AZ144&lt;&gt;"Cancelled"),BF144*10000+143,"")</f>
        <v/>
      </c>
    </row>
    <row r="145">
      <c r="A145">
        <f>Setup!$D$5+143</f>
        <v/>
      </c>
      <c r="B145">
        <f>IF('Recurring Schedule'!$C$6="","",IF('Recurring Schedule'!$F$6="","",IF(OR($A145&lt;'Recurring Schedule'!$F$6,$A145&gt;'Recurring Schedule'!$P$6),"",IF(IF('Recurring Schedule'!$N$6&gt;0,MOD($A145-'Recurring Schedule'!$F$6,'Recurring Schedule'!$N$6)=0,IF('Recurring Schedule'!$O$6&gt;0,AND(DAY($A145)=MIN(DAY('Recurring Schedule'!$F$6),DAY(EOMONTH($A145,0))),MOD((YEAR($A145)-YEAR('Recurring Schedule'!$F$6))*12+MONTH($A145)-MONTH('Recurring Schedule'!$F$6),'Recurring Schedule'!$O$6)=0),IF('Recurring Schedule'!$E$6="Weekdays",WEEKDAY($A145,2)&lt;=5,$A145='Recurring Schedule'!$F$6))),1,""))))</f>
        <v/>
      </c>
      <c r="C145">
        <f>IF('Recurring Schedule'!$C$7="","",IF('Recurring Schedule'!$F$7="","",IF(OR($A145&lt;'Recurring Schedule'!$F$7,$A145&gt;'Recurring Schedule'!$P$7),"",IF(IF('Recurring Schedule'!$N$7&gt;0,MOD($A145-'Recurring Schedule'!$F$7,'Recurring Schedule'!$N$7)=0,IF('Recurring Schedule'!$O$7&gt;0,AND(DAY($A145)=MIN(DAY('Recurring Schedule'!$F$7),DAY(EOMONTH($A145,0))),MOD((YEAR($A145)-YEAR('Recurring Schedule'!$F$7))*12+MONTH($A145)-MONTH('Recurring Schedule'!$F$7),'Recurring Schedule'!$O$7)=0),IF('Recurring Schedule'!$E$7="Weekdays",WEEKDAY($A145,2)&lt;=5,$A145='Recurring Schedule'!$F$7))),2,""))))</f>
        <v/>
      </c>
      <c r="D145">
        <f>IF('Recurring Schedule'!$C$8="","",IF('Recurring Schedule'!$F$8="","",IF(OR($A145&lt;'Recurring Schedule'!$F$8,$A145&gt;'Recurring Schedule'!$P$8),"",IF(IF('Recurring Schedule'!$N$8&gt;0,MOD($A145-'Recurring Schedule'!$F$8,'Recurring Schedule'!$N$8)=0,IF('Recurring Schedule'!$O$8&gt;0,AND(DAY($A145)=MIN(DAY('Recurring Schedule'!$F$8),DAY(EOMONTH($A145,0))),MOD((YEAR($A145)-YEAR('Recurring Schedule'!$F$8))*12+MONTH($A145)-MONTH('Recurring Schedule'!$F$8),'Recurring Schedule'!$O$8)=0),IF('Recurring Schedule'!$E$8="Weekdays",WEEKDAY($A145,2)&lt;=5,$A145='Recurring Schedule'!$F$8))),3,""))))</f>
        <v/>
      </c>
      <c r="E145">
        <f>IF('Recurring Schedule'!$C$9="","",IF('Recurring Schedule'!$F$9="","",IF(OR($A145&lt;'Recurring Schedule'!$F$9,$A145&gt;'Recurring Schedule'!$P$9),"",IF(IF('Recurring Schedule'!$N$9&gt;0,MOD($A145-'Recurring Schedule'!$F$9,'Recurring Schedule'!$N$9)=0,IF('Recurring Schedule'!$O$9&gt;0,AND(DAY($A145)=MIN(DAY('Recurring Schedule'!$F$9),DAY(EOMONTH($A145,0))),MOD((YEAR($A145)-YEAR('Recurring Schedule'!$F$9))*12+MONTH($A145)-MONTH('Recurring Schedule'!$F$9),'Recurring Schedule'!$O$9)=0),IF('Recurring Schedule'!$E$9="Weekdays",WEEKDAY($A145,2)&lt;=5,$A145='Recurring Schedule'!$F$9))),4,""))))</f>
        <v/>
      </c>
      <c r="F145">
        <f>IF('Recurring Schedule'!$C$10="","",IF('Recurring Schedule'!$F$10="","",IF(OR($A145&lt;'Recurring Schedule'!$F$10,$A145&gt;'Recurring Schedule'!$P$10),"",IF(IF('Recurring Schedule'!$N$10&gt;0,MOD($A145-'Recurring Schedule'!$F$10,'Recurring Schedule'!$N$10)=0,IF('Recurring Schedule'!$O$10&gt;0,AND(DAY($A145)=MIN(DAY('Recurring Schedule'!$F$10),DAY(EOMONTH($A145,0))),MOD((YEAR($A145)-YEAR('Recurring Schedule'!$F$10))*12+MONTH($A145)-MONTH('Recurring Schedule'!$F$10),'Recurring Schedule'!$O$10)=0),IF('Recurring Schedule'!$E$10="Weekdays",WEEKDAY($A145,2)&lt;=5,$A145='Recurring Schedule'!$F$10))),5,""))))</f>
        <v/>
      </c>
      <c r="G145">
        <f>IF('Recurring Schedule'!$C$11="","",IF('Recurring Schedule'!$F$11="","",IF(OR($A145&lt;'Recurring Schedule'!$F$11,$A145&gt;'Recurring Schedule'!$P$11),"",IF(IF('Recurring Schedule'!$N$11&gt;0,MOD($A145-'Recurring Schedule'!$F$11,'Recurring Schedule'!$N$11)=0,IF('Recurring Schedule'!$O$11&gt;0,AND(DAY($A145)=MIN(DAY('Recurring Schedule'!$F$11),DAY(EOMONTH($A145,0))),MOD((YEAR($A145)-YEAR('Recurring Schedule'!$F$11))*12+MONTH($A145)-MONTH('Recurring Schedule'!$F$11),'Recurring Schedule'!$O$11)=0),IF('Recurring Schedule'!$E$11="Weekdays",WEEKDAY($A145,2)&lt;=5,$A145='Recurring Schedule'!$F$11))),6,""))))</f>
        <v/>
      </c>
      <c r="H145">
        <f>IF('Recurring Schedule'!$C$12="","",IF('Recurring Schedule'!$F$12="","",IF(OR($A145&lt;'Recurring Schedule'!$F$12,$A145&gt;'Recurring Schedule'!$P$12),"",IF(IF('Recurring Schedule'!$N$12&gt;0,MOD($A145-'Recurring Schedule'!$F$12,'Recurring Schedule'!$N$12)=0,IF('Recurring Schedule'!$O$12&gt;0,AND(DAY($A145)=MIN(DAY('Recurring Schedule'!$F$12),DAY(EOMONTH($A145,0))),MOD((YEAR($A145)-YEAR('Recurring Schedule'!$F$12))*12+MONTH($A145)-MONTH('Recurring Schedule'!$F$12),'Recurring Schedule'!$O$12)=0),IF('Recurring Schedule'!$E$12="Weekdays",WEEKDAY($A145,2)&lt;=5,$A145='Recurring Schedule'!$F$12))),7,""))))</f>
        <v/>
      </c>
      <c r="I145">
        <f>IF('Recurring Schedule'!$C$13="","",IF('Recurring Schedule'!$F$13="","",IF(OR($A145&lt;'Recurring Schedule'!$F$13,$A145&gt;'Recurring Schedule'!$P$13),"",IF(IF('Recurring Schedule'!$N$13&gt;0,MOD($A145-'Recurring Schedule'!$F$13,'Recurring Schedule'!$N$13)=0,IF('Recurring Schedule'!$O$13&gt;0,AND(DAY($A145)=MIN(DAY('Recurring Schedule'!$F$13),DAY(EOMONTH($A145,0))),MOD((YEAR($A145)-YEAR('Recurring Schedule'!$F$13))*12+MONTH($A145)-MONTH('Recurring Schedule'!$F$13),'Recurring Schedule'!$O$13)=0),IF('Recurring Schedule'!$E$13="Weekdays",WEEKDAY($A145,2)&lt;=5,$A145='Recurring Schedule'!$F$13))),8,""))))</f>
        <v/>
      </c>
      <c r="J145">
        <f>IF('Recurring Schedule'!$C$14="","",IF('Recurring Schedule'!$F$14="","",IF(OR($A145&lt;'Recurring Schedule'!$F$14,$A145&gt;'Recurring Schedule'!$P$14),"",IF(IF('Recurring Schedule'!$N$14&gt;0,MOD($A145-'Recurring Schedule'!$F$14,'Recurring Schedule'!$N$14)=0,IF('Recurring Schedule'!$O$14&gt;0,AND(DAY($A145)=MIN(DAY('Recurring Schedule'!$F$14),DAY(EOMONTH($A145,0))),MOD((YEAR($A145)-YEAR('Recurring Schedule'!$F$14))*12+MONTH($A145)-MONTH('Recurring Schedule'!$F$14),'Recurring Schedule'!$O$14)=0),IF('Recurring Schedule'!$E$14="Weekdays",WEEKDAY($A145,2)&lt;=5,$A145='Recurring Schedule'!$F$14))),9,""))))</f>
        <v/>
      </c>
      <c r="K145">
        <f>IF('Recurring Schedule'!$C$15="","",IF('Recurring Schedule'!$F$15="","",IF(OR($A145&lt;'Recurring Schedule'!$F$15,$A145&gt;'Recurring Schedule'!$P$15),"",IF(IF('Recurring Schedule'!$N$15&gt;0,MOD($A145-'Recurring Schedule'!$F$15,'Recurring Schedule'!$N$15)=0,IF('Recurring Schedule'!$O$15&gt;0,AND(DAY($A145)=MIN(DAY('Recurring Schedule'!$F$15),DAY(EOMONTH($A145,0))),MOD((YEAR($A145)-YEAR('Recurring Schedule'!$F$15))*12+MONTH($A145)-MONTH('Recurring Schedule'!$F$15),'Recurring Schedule'!$O$15)=0),IF('Recurring Schedule'!$E$15="Weekdays",WEEKDAY($A145,2)&lt;=5,$A145='Recurring Schedule'!$F$15))),10,""))))</f>
        <v/>
      </c>
      <c r="L145">
        <f>IF('Recurring Schedule'!$C$16="","",IF('Recurring Schedule'!$F$16="","",IF(OR($A145&lt;'Recurring Schedule'!$F$16,$A145&gt;'Recurring Schedule'!$P$16),"",IF(IF('Recurring Schedule'!$N$16&gt;0,MOD($A145-'Recurring Schedule'!$F$16,'Recurring Schedule'!$N$16)=0,IF('Recurring Schedule'!$O$16&gt;0,AND(DAY($A145)=MIN(DAY('Recurring Schedule'!$F$16),DAY(EOMONTH($A145,0))),MOD((YEAR($A145)-YEAR('Recurring Schedule'!$F$16))*12+MONTH($A145)-MONTH('Recurring Schedule'!$F$16),'Recurring Schedule'!$O$16)=0),IF('Recurring Schedule'!$E$16="Weekdays",WEEKDAY($A145,2)&lt;=5,$A145='Recurring Schedule'!$F$16))),11,""))))</f>
        <v/>
      </c>
      <c r="M145">
        <f>IF('Recurring Schedule'!$C$17="","",IF('Recurring Schedule'!$F$17="","",IF(OR($A145&lt;'Recurring Schedule'!$F$17,$A145&gt;'Recurring Schedule'!$P$17),"",IF(IF('Recurring Schedule'!$N$17&gt;0,MOD($A145-'Recurring Schedule'!$F$17,'Recurring Schedule'!$N$17)=0,IF('Recurring Schedule'!$O$17&gt;0,AND(DAY($A145)=MIN(DAY('Recurring Schedule'!$F$17),DAY(EOMONTH($A145,0))),MOD((YEAR($A145)-YEAR('Recurring Schedule'!$F$17))*12+MONTH($A145)-MONTH('Recurring Schedule'!$F$17),'Recurring Schedule'!$O$17)=0),IF('Recurring Schedule'!$E$17="Weekdays",WEEKDAY($A145,2)&lt;=5,$A145='Recurring Schedule'!$F$17))),12,""))))</f>
        <v/>
      </c>
      <c r="N145">
        <f>IF('Recurring Schedule'!$C$18="","",IF('Recurring Schedule'!$F$18="","",IF(OR($A145&lt;'Recurring Schedule'!$F$18,$A145&gt;'Recurring Schedule'!$P$18),"",IF(IF('Recurring Schedule'!$N$18&gt;0,MOD($A145-'Recurring Schedule'!$F$18,'Recurring Schedule'!$N$18)=0,IF('Recurring Schedule'!$O$18&gt;0,AND(DAY($A145)=MIN(DAY('Recurring Schedule'!$F$18),DAY(EOMONTH($A145,0))),MOD((YEAR($A145)-YEAR('Recurring Schedule'!$F$18))*12+MONTH($A145)-MONTH('Recurring Schedule'!$F$18),'Recurring Schedule'!$O$18)=0),IF('Recurring Schedule'!$E$18="Weekdays",WEEKDAY($A145,2)&lt;=5,$A145='Recurring Schedule'!$F$18))),13,""))))</f>
        <v/>
      </c>
      <c r="O145">
        <f>IF('Recurring Schedule'!$C$19="","",IF('Recurring Schedule'!$F$19="","",IF(OR($A145&lt;'Recurring Schedule'!$F$19,$A145&gt;'Recurring Schedule'!$P$19),"",IF(IF('Recurring Schedule'!$N$19&gt;0,MOD($A145-'Recurring Schedule'!$F$19,'Recurring Schedule'!$N$19)=0,IF('Recurring Schedule'!$O$19&gt;0,AND(DAY($A145)=MIN(DAY('Recurring Schedule'!$F$19),DAY(EOMONTH($A145,0))),MOD((YEAR($A145)-YEAR('Recurring Schedule'!$F$19))*12+MONTH($A145)-MONTH('Recurring Schedule'!$F$19),'Recurring Schedule'!$O$19)=0),IF('Recurring Schedule'!$E$19="Weekdays",WEEKDAY($A145,2)&lt;=5,$A145='Recurring Schedule'!$F$19))),14,""))))</f>
        <v/>
      </c>
      <c r="P145">
        <f>IF('Recurring Schedule'!$C$20="","",IF('Recurring Schedule'!$F$20="","",IF(OR($A145&lt;'Recurring Schedule'!$F$20,$A145&gt;'Recurring Schedule'!$P$20),"",IF(IF('Recurring Schedule'!$N$20&gt;0,MOD($A145-'Recurring Schedule'!$F$20,'Recurring Schedule'!$N$20)=0,IF('Recurring Schedule'!$O$20&gt;0,AND(DAY($A145)=MIN(DAY('Recurring Schedule'!$F$20),DAY(EOMONTH($A145,0))),MOD((YEAR($A145)-YEAR('Recurring Schedule'!$F$20))*12+MONTH($A145)-MONTH('Recurring Schedule'!$F$20),'Recurring Schedule'!$O$20)=0),IF('Recurring Schedule'!$E$20="Weekdays",WEEKDAY($A145,2)&lt;=5,$A145='Recurring Schedule'!$F$20))),15,""))))</f>
        <v/>
      </c>
      <c r="Q145">
        <f>IF('Recurring Schedule'!$C$21="","",IF('Recurring Schedule'!$F$21="","",IF(OR($A145&lt;'Recurring Schedule'!$F$21,$A145&gt;'Recurring Schedule'!$P$21),"",IF(IF('Recurring Schedule'!$N$21&gt;0,MOD($A145-'Recurring Schedule'!$F$21,'Recurring Schedule'!$N$21)=0,IF('Recurring Schedule'!$O$21&gt;0,AND(DAY($A145)=MIN(DAY('Recurring Schedule'!$F$21),DAY(EOMONTH($A145,0))),MOD((YEAR($A145)-YEAR('Recurring Schedule'!$F$21))*12+MONTH($A145)-MONTH('Recurring Schedule'!$F$21),'Recurring Schedule'!$O$21)=0),IF('Recurring Schedule'!$E$21="Weekdays",WEEKDAY($A145,2)&lt;=5,$A145='Recurring Schedule'!$F$21))),16,""))))</f>
        <v/>
      </c>
      <c r="R145">
        <f>IF('Recurring Schedule'!$C$22="","",IF('Recurring Schedule'!$F$22="","",IF(OR($A145&lt;'Recurring Schedule'!$F$22,$A145&gt;'Recurring Schedule'!$P$22),"",IF(IF('Recurring Schedule'!$N$22&gt;0,MOD($A145-'Recurring Schedule'!$F$22,'Recurring Schedule'!$N$22)=0,IF('Recurring Schedule'!$O$22&gt;0,AND(DAY($A145)=MIN(DAY('Recurring Schedule'!$F$22),DAY(EOMONTH($A145,0))),MOD((YEAR($A145)-YEAR('Recurring Schedule'!$F$22))*12+MONTH($A145)-MONTH('Recurring Schedule'!$F$22),'Recurring Schedule'!$O$22)=0),IF('Recurring Schedule'!$E$22="Weekdays",WEEKDAY($A145,2)&lt;=5,$A145='Recurring Schedule'!$F$22))),17,""))))</f>
        <v/>
      </c>
      <c r="S145">
        <f>IF('Recurring Schedule'!$C$23="","",IF('Recurring Schedule'!$F$23="","",IF(OR($A145&lt;'Recurring Schedule'!$F$23,$A145&gt;'Recurring Schedule'!$P$23),"",IF(IF('Recurring Schedule'!$N$23&gt;0,MOD($A145-'Recurring Schedule'!$F$23,'Recurring Schedule'!$N$23)=0,IF('Recurring Schedule'!$O$23&gt;0,AND(DAY($A145)=MIN(DAY('Recurring Schedule'!$F$23),DAY(EOMONTH($A145,0))),MOD((YEAR($A145)-YEAR('Recurring Schedule'!$F$23))*12+MONTH($A145)-MONTH('Recurring Schedule'!$F$23),'Recurring Schedule'!$O$23)=0),IF('Recurring Schedule'!$E$23="Weekdays",WEEKDAY($A145,2)&lt;=5,$A145='Recurring Schedule'!$F$23))),18,""))))</f>
        <v/>
      </c>
      <c r="T145">
        <f>IF('Recurring Schedule'!$C$24="","",IF('Recurring Schedule'!$F$24="","",IF(OR($A145&lt;'Recurring Schedule'!$F$24,$A145&gt;'Recurring Schedule'!$P$24),"",IF(IF('Recurring Schedule'!$N$24&gt;0,MOD($A145-'Recurring Schedule'!$F$24,'Recurring Schedule'!$N$24)=0,IF('Recurring Schedule'!$O$24&gt;0,AND(DAY($A145)=MIN(DAY('Recurring Schedule'!$F$24),DAY(EOMONTH($A145,0))),MOD((YEAR($A145)-YEAR('Recurring Schedule'!$F$24))*12+MONTH($A145)-MONTH('Recurring Schedule'!$F$24),'Recurring Schedule'!$O$24)=0),IF('Recurring Schedule'!$E$24="Weekdays",WEEKDAY($A145,2)&lt;=5,$A145='Recurring Schedule'!$F$24))),19,""))))</f>
        <v/>
      </c>
      <c r="U145">
        <f>IF('Recurring Schedule'!$C$25="","",IF('Recurring Schedule'!$F$25="","",IF(OR($A145&lt;'Recurring Schedule'!$F$25,$A145&gt;'Recurring Schedule'!$P$25),"",IF(IF('Recurring Schedule'!$N$25&gt;0,MOD($A145-'Recurring Schedule'!$F$25,'Recurring Schedule'!$N$25)=0,IF('Recurring Schedule'!$O$25&gt;0,AND(DAY($A145)=MIN(DAY('Recurring Schedule'!$F$25),DAY(EOMONTH($A145,0))),MOD((YEAR($A145)-YEAR('Recurring Schedule'!$F$25))*12+MONTH($A145)-MONTH('Recurring Schedule'!$F$25),'Recurring Schedule'!$O$25)=0),IF('Recurring Schedule'!$E$25="Weekdays",WEEKDAY($A145,2)&lt;=5,$A145='Recurring Schedule'!$F$25))),20,""))))</f>
        <v/>
      </c>
      <c r="V145">
        <f>IF('Recurring Schedule'!$C$26="","",IF('Recurring Schedule'!$F$26="","",IF(OR($A145&lt;'Recurring Schedule'!$F$26,$A145&gt;'Recurring Schedule'!$P$26),"",IF(IF('Recurring Schedule'!$N$26&gt;0,MOD($A145-'Recurring Schedule'!$F$26,'Recurring Schedule'!$N$26)=0,IF('Recurring Schedule'!$O$26&gt;0,AND(DAY($A145)=MIN(DAY('Recurring Schedule'!$F$26),DAY(EOMONTH($A145,0))),MOD((YEAR($A145)-YEAR('Recurring Schedule'!$F$26))*12+MONTH($A145)-MONTH('Recurring Schedule'!$F$26),'Recurring Schedule'!$O$26)=0),IF('Recurring Schedule'!$E$26="Weekdays",WEEKDAY($A145,2)&lt;=5,$A145='Recurring Schedule'!$F$26))),21,""))))</f>
        <v/>
      </c>
      <c r="W145">
        <f>IF('Recurring Schedule'!$C$27="","",IF('Recurring Schedule'!$F$27="","",IF(OR($A145&lt;'Recurring Schedule'!$F$27,$A145&gt;'Recurring Schedule'!$P$27),"",IF(IF('Recurring Schedule'!$N$27&gt;0,MOD($A145-'Recurring Schedule'!$F$27,'Recurring Schedule'!$N$27)=0,IF('Recurring Schedule'!$O$27&gt;0,AND(DAY($A145)=MIN(DAY('Recurring Schedule'!$F$27),DAY(EOMONTH($A145,0))),MOD((YEAR($A145)-YEAR('Recurring Schedule'!$F$27))*12+MONTH($A145)-MONTH('Recurring Schedule'!$F$27),'Recurring Schedule'!$O$27)=0),IF('Recurring Schedule'!$E$27="Weekdays",WEEKDAY($A145,2)&lt;=5,$A145='Recurring Schedule'!$F$27))),22,""))))</f>
        <v/>
      </c>
      <c r="X145">
        <f>IF('Recurring Schedule'!$C$28="","",IF('Recurring Schedule'!$F$28="","",IF(OR($A145&lt;'Recurring Schedule'!$F$28,$A145&gt;'Recurring Schedule'!$P$28),"",IF(IF('Recurring Schedule'!$N$28&gt;0,MOD($A145-'Recurring Schedule'!$F$28,'Recurring Schedule'!$N$28)=0,IF('Recurring Schedule'!$O$28&gt;0,AND(DAY($A145)=MIN(DAY('Recurring Schedule'!$F$28),DAY(EOMONTH($A145,0))),MOD((YEAR($A145)-YEAR('Recurring Schedule'!$F$28))*12+MONTH($A145)-MONTH('Recurring Schedule'!$F$28),'Recurring Schedule'!$O$28)=0),IF('Recurring Schedule'!$E$28="Weekdays",WEEKDAY($A145,2)&lt;=5,$A145='Recurring Schedule'!$F$28))),23,""))))</f>
        <v/>
      </c>
      <c r="Y145">
        <f>IF('Recurring Schedule'!$C$29="","",IF('Recurring Schedule'!$F$29="","",IF(OR($A145&lt;'Recurring Schedule'!$F$29,$A145&gt;'Recurring Schedule'!$P$29),"",IF(IF('Recurring Schedule'!$N$29&gt;0,MOD($A145-'Recurring Schedule'!$F$29,'Recurring Schedule'!$N$29)=0,IF('Recurring Schedule'!$O$29&gt;0,AND(DAY($A145)=MIN(DAY('Recurring Schedule'!$F$29),DAY(EOMONTH($A145,0))),MOD((YEAR($A145)-YEAR('Recurring Schedule'!$F$29))*12+MONTH($A145)-MONTH('Recurring Schedule'!$F$29),'Recurring Schedule'!$O$29)=0),IF('Recurring Schedule'!$E$29="Weekdays",WEEKDAY($A145,2)&lt;=5,$A145='Recurring Schedule'!$F$29))),24,""))))</f>
        <v/>
      </c>
      <c r="Z145">
        <f>IF('Recurring Schedule'!$C$30="","",IF('Recurring Schedule'!$F$30="","",IF(OR($A145&lt;'Recurring Schedule'!$F$30,$A145&gt;'Recurring Schedule'!$P$30),"",IF(IF('Recurring Schedule'!$N$30&gt;0,MOD($A145-'Recurring Schedule'!$F$30,'Recurring Schedule'!$N$30)=0,IF('Recurring Schedule'!$O$30&gt;0,AND(DAY($A145)=MIN(DAY('Recurring Schedule'!$F$30),DAY(EOMONTH($A145,0))),MOD((YEAR($A145)-YEAR('Recurring Schedule'!$F$30))*12+MONTH($A145)-MONTH('Recurring Schedule'!$F$30),'Recurring Schedule'!$O$30)=0),IF('Recurring Schedule'!$E$30="Weekdays",WEEKDAY($A145,2)&lt;=5,$A145='Recurring Schedule'!$F$30))),25,""))))</f>
        <v/>
      </c>
      <c r="AA145">
        <f>IF('Recurring Schedule'!$C$31="","",IF('Recurring Schedule'!$F$31="","",IF(OR($A145&lt;'Recurring Schedule'!$F$31,$A145&gt;'Recurring Schedule'!$P$31),"",IF(IF('Recurring Schedule'!$N$31&gt;0,MOD($A145-'Recurring Schedule'!$F$31,'Recurring Schedule'!$N$31)=0,IF('Recurring Schedule'!$O$31&gt;0,AND(DAY($A145)=MIN(DAY('Recurring Schedule'!$F$31),DAY(EOMONTH($A145,0))),MOD((YEAR($A145)-YEAR('Recurring Schedule'!$F$31))*12+MONTH($A145)-MONTH('Recurring Schedule'!$F$31),'Recurring Schedule'!$O$31)=0),IF('Recurring Schedule'!$E$31="Weekdays",WEEKDAY($A145,2)&lt;=5,$A145='Recurring Schedule'!$F$31))),26,""))))</f>
        <v/>
      </c>
      <c r="AB145">
        <f>IF('Recurring Schedule'!$C$32="","",IF('Recurring Schedule'!$F$32="","",IF(OR($A145&lt;'Recurring Schedule'!$F$32,$A145&gt;'Recurring Schedule'!$P$32),"",IF(IF('Recurring Schedule'!$N$32&gt;0,MOD($A145-'Recurring Schedule'!$F$32,'Recurring Schedule'!$N$32)=0,IF('Recurring Schedule'!$O$32&gt;0,AND(DAY($A145)=MIN(DAY('Recurring Schedule'!$F$32),DAY(EOMONTH($A145,0))),MOD((YEAR($A145)-YEAR('Recurring Schedule'!$F$32))*12+MONTH($A145)-MONTH('Recurring Schedule'!$F$32),'Recurring Schedule'!$O$32)=0),IF('Recurring Schedule'!$E$32="Weekdays",WEEKDAY($A145,2)&lt;=5,$A145='Recurring Schedule'!$F$32))),27,""))))</f>
        <v/>
      </c>
      <c r="AC145">
        <f>IF('Recurring Schedule'!$C$33="","",IF('Recurring Schedule'!$F$33="","",IF(OR($A145&lt;'Recurring Schedule'!$F$33,$A145&gt;'Recurring Schedule'!$P$33),"",IF(IF('Recurring Schedule'!$N$33&gt;0,MOD($A145-'Recurring Schedule'!$F$33,'Recurring Schedule'!$N$33)=0,IF('Recurring Schedule'!$O$33&gt;0,AND(DAY($A145)=MIN(DAY('Recurring Schedule'!$F$33),DAY(EOMONTH($A145,0))),MOD((YEAR($A145)-YEAR('Recurring Schedule'!$F$33))*12+MONTH($A145)-MONTH('Recurring Schedule'!$F$33),'Recurring Schedule'!$O$33)=0),IF('Recurring Schedule'!$E$33="Weekdays",WEEKDAY($A145,2)&lt;=5,$A145='Recurring Schedule'!$F$33))),28,""))))</f>
        <v/>
      </c>
      <c r="AD145">
        <f>IF('Recurring Schedule'!$C$34="","",IF('Recurring Schedule'!$F$34="","",IF(OR($A145&lt;'Recurring Schedule'!$F$34,$A145&gt;'Recurring Schedule'!$P$34),"",IF(IF('Recurring Schedule'!$N$34&gt;0,MOD($A145-'Recurring Schedule'!$F$34,'Recurring Schedule'!$N$34)=0,IF('Recurring Schedule'!$O$34&gt;0,AND(DAY($A145)=MIN(DAY('Recurring Schedule'!$F$34),DAY(EOMONTH($A145,0))),MOD((YEAR($A145)-YEAR('Recurring Schedule'!$F$34))*12+MONTH($A145)-MONTH('Recurring Schedule'!$F$34),'Recurring Schedule'!$O$34)=0),IF('Recurring Schedule'!$E$34="Weekdays",WEEKDAY($A145,2)&lt;=5,$A145='Recurring Schedule'!$F$34))),29,""))))</f>
        <v/>
      </c>
      <c r="AE145">
        <f>IF('Recurring Schedule'!$C$35="","",IF('Recurring Schedule'!$F$35="","",IF(OR($A145&lt;'Recurring Schedule'!$F$35,$A145&gt;'Recurring Schedule'!$P$35),"",IF(IF('Recurring Schedule'!$N$35&gt;0,MOD($A145-'Recurring Schedule'!$F$35,'Recurring Schedule'!$N$35)=0,IF('Recurring Schedule'!$O$35&gt;0,AND(DAY($A145)=MIN(DAY('Recurring Schedule'!$F$35),DAY(EOMONTH($A145,0))),MOD((YEAR($A145)-YEAR('Recurring Schedule'!$F$35))*12+MONTH($A145)-MONTH('Recurring Schedule'!$F$35),'Recurring Schedule'!$O$35)=0),IF('Recurring Schedule'!$E$35="Weekdays",WEEKDAY($A145,2)&lt;=5,$A145='Recurring Schedule'!$F$35))),30,""))))</f>
        <v/>
      </c>
      <c r="AF145">
        <f>IF('Recurring Schedule'!$C$36="","",IF('Recurring Schedule'!$F$36="","",IF(OR($A145&lt;'Recurring Schedule'!$F$36,$A145&gt;'Recurring Schedule'!$P$36),"",IF(IF('Recurring Schedule'!$N$36&gt;0,MOD($A145-'Recurring Schedule'!$F$36,'Recurring Schedule'!$N$36)=0,IF('Recurring Schedule'!$O$36&gt;0,AND(DAY($A145)=MIN(DAY('Recurring Schedule'!$F$36),DAY(EOMONTH($A145,0))),MOD((YEAR($A145)-YEAR('Recurring Schedule'!$F$36))*12+MONTH($A145)-MONTH('Recurring Schedule'!$F$36),'Recurring Schedule'!$O$36)=0),IF('Recurring Schedule'!$E$36="Weekdays",WEEKDAY($A145,2)&lt;=5,$A145='Recurring Schedule'!$F$36))),31,""))))</f>
        <v/>
      </c>
      <c r="AG145">
        <f>IF('Recurring Schedule'!$C$37="","",IF('Recurring Schedule'!$F$37="","",IF(OR($A145&lt;'Recurring Schedule'!$F$37,$A145&gt;'Recurring Schedule'!$P$37),"",IF(IF('Recurring Schedule'!$N$37&gt;0,MOD($A145-'Recurring Schedule'!$F$37,'Recurring Schedule'!$N$37)=0,IF('Recurring Schedule'!$O$37&gt;0,AND(DAY($A145)=MIN(DAY('Recurring Schedule'!$F$37),DAY(EOMONTH($A145,0))),MOD((YEAR($A145)-YEAR('Recurring Schedule'!$F$37))*12+MONTH($A145)-MONTH('Recurring Schedule'!$F$37),'Recurring Schedule'!$O$37)=0),IF('Recurring Schedule'!$E$37="Weekdays",WEEKDAY($A145,2)&lt;=5,$A145='Recurring Schedule'!$F$37))),32,""))))</f>
        <v/>
      </c>
      <c r="AH145">
        <f>IF('Recurring Schedule'!$C$38="","",IF('Recurring Schedule'!$F$38="","",IF(OR($A145&lt;'Recurring Schedule'!$F$38,$A145&gt;'Recurring Schedule'!$P$38),"",IF(IF('Recurring Schedule'!$N$38&gt;0,MOD($A145-'Recurring Schedule'!$F$38,'Recurring Schedule'!$N$38)=0,IF('Recurring Schedule'!$O$38&gt;0,AND(DAY($A145)=MIN(DAY('Recurring Schedule'!$F$38),DAY(EOMONTH($A145,0))),MOD((YEAR($A145)-YEAR('Recurring Schedule'!$F$38))*12+MONTH($A145)-MONTH('Recurring Schedule'!$F$38),'Recurring Schedule'!$O$38)=0),IF('Recurring Schedule'!$E$38="Weekdays",WEEKDAY($A145,2)&lt;=5,$A145='Recurring Schedule'!$F$38))),33,""))))</f>
        <v/>
      </c>
      <c r="AI145">
        <f>IF('Recurring Schedule'!$C$39="","",IF('Recurring Schedule'!$F$39="","",IF(OR($A145&lt;'Recurring Schedule'!$F$39,$A145&gt;'Recurring Schedule'!$P$39),"",IF(IF('Recurring Schedule'!$N$39&gt;0,MOD($A145-'Recurring Schedule'!$F$39,'Recurring Schedule'!$N$39)=0,IF('Recurring Schedule'!$O$39&gt;0,AND(DAY($A145)=MIN(DAY('Recurring Schedule'!$F$39),DAY(EOMONTH($A145,0))),MOD((YEAR($A145)-YEAR('Recurring Schedule'!$F$39))*12+MONTH($A145)-MONTH('Recurring Schedule'!$F$39),'Recurring Schedule'!$O$39)=0),IF('Recurring Schedule'!$E$39="Weekdays",WEEKDAY($A145,2)&lt;=5,$A145='Recurring Schedule'!$F$39))),34,""))))</f>
        <v/>
      </c>
      <c r="AJ145">
        <f>IF('Recurring Schedule'!$C$40="","",IF('Recurring Schedule'!$F$40="","",IF(OR($A145&lt;'Recurring Schedule'!$F$40,$A145&gt;'Recurring Schedule'!$P$40),"",IF(IF('Recurring Schedule'!$N$40&gt;0,MOD($A145-'Recurring Schedule'!$F$40,'Recurring Schedule'!$N$40)=0,IF('Recurring Schedule'!$O$40&gt;0,AND(DAY($A145)=MIN(DAY('Recurring Schedule'!$F$40),DAY(EOMONTH($A145,0))),MOD((YEAR($A145)-YEAR('Recurring Schedule'!$F$40))*12+MONTH($A145)-MONTH('Recurring Schedule'!$F$40),'Recurring Schedule'!$O$40)=0),IF('Recurring Schedule'!$E$40="Weekdays",WEEKDAY($A145,2)&lt;=5,$A145='Recurring Schedule'!$F$40))),35,""))))</f>
        <v/>
      </c>
      <c r="AK145">
        <f>IF('Recurring Schedule'!$C$41="","",IF('Recurring Schedule'!$F$41="","",IF(OR($A145&lt;'Recurring Schedule'!$F$41,$A145&gt;'Recurring Schedule'!$P$41),"",IF(IF('Recurring Schedule'!$N$41&gt;0,MOD($A145-'Recurring Schedule'!$F$41,'Recurring Schedule'!$N$41)=0,IF('Recurring Schedule'!$O$41&gt;0,AND(DAY($A145)=MIN(DAY('Recurring Schedule'!$F$41),DAY(EOMONTH($A145,0))),MOD((YEAR($A145)-YEAR('Recurring Schedule'!$F$41))*12+MONTH($A145)-MONTH('Recurring Schedule'!$F$41),'Recurring Schedule'!$O$41)=0),IF('Recurring Schedule'!$E$41="Weekdays",WEEKDAY($A145,2)&lt;=5,$A145='Recurring Schedule'!$F$41))),36,""))))</f>
        <v/>
      </c>
      <c r="AL145">
        <f>IF('Recurring Schedule'!$C$42="","",IF('Recurring Schedule'!$F$42="","",IF(OR($A145&lt;'Recurring Schedule'!$F$42,$A145&gt;'Recurring Schedule'!$P$42),"",IF(IF('Recurring Schedule'!$N$42&gt;0,MOD($A145-'Recurring Schedule'!$F$42,'Recurring Schedule'!$N$42)=0,IF('Recurring Schedule'!$O$42&gt;0,AND(DAY($A145)=MIN(DAY('Recurring Schedule'!$F$42),DAY(EOMONTH($A145,0))),MOD((YEAR($A145)-YEAR('Recurring Schedule'!$F$42))*12+MONTH($A145)-MONTH('Recurring Schedule'!$F$42),'Recurring Schedule'!$O$42)=0),IF('Recurring Schedule'!$E$42="Weekdays",WEEKDAY($A145,2)&lt;=5,$A145='Recurring Schedule'!$F$42))),37,""))))</f>
        <v/>
      </c>
      <c r="AM145">
        <f>IF('Recurring Schedule'!$C$43="","",IF('Recurring Schedule'!$F$43="","",IF(OR($A145&lt;'Recurring Schedule'!$F$43,$A145&gt;'Recurring Schedule'!$P$43),"",IF(IF('Recurring Schedule'!$N$43&gt;0,MOD($A145-'Recurring Schedule'!$F$43,'Recurring Schedule'!$N$43)=0,IF('Recurring Schedule'!$O$43&gt;0,AND(DAY($A145)=MIN(DAY('Recurring Schedule'!$F$43),DAY(EOMONTH($A145,0))),MOD((YEAR($A145)-YEAR('Recurring Schedule'!$F$43))*12+MONTH($A145)-MONTH('Recurring Schedule'!$F$43),'Recurring Schedule'!$O$43)=0),IF('Recurring Schedule'!$E$43="Weekdays",WEEKDAY($A145,2)&lt;=5,$A145='Recurring Schedule'!$F$43))),38,""))))</f>
        <v/>
      </c>
      <c r="AN145">
        <f>IF('Recurring Schedule'!$C$44="","",IF('Recurring Schedule'!$F$44="","",IF(OR($A145&lt;'Recurring Schedule'!$F$44,$A145&gt;'Recurring Schedule'!$P$44),"",IF(IF('Recurring Schedule'!$N$44&gt;0,MOD($A145-'Recurring Schedule'!$F$44,'Recurring Schedule'!$N$44)=0,IF('Recurring Schedule'!$O$44&gt;0,AND(DAY($A145)=MIN(DAY('Recurring Schedule'!$F$44),DAY(EOMONTH($A145,0))),MOD((YEAR($A145)-YEAR('Recurring Schedule'!$F$44))*12+MONTH($A145)-MONTH('Recurring Schedule'!$F$44),'Recurring Schedule'!$O$44)=0),IF('Recurring Schedule'!$E$44="Weekdays",WEEKDAY($A145,2)&lt;=5,$A145='Recurring Schedule'!$F$44))),39,""))))</f>
        <v/>
      </c>
      <c r="AO145">
        <f>IF('Recurring Schedule'!$C$45="","",IF('Recurring Schedule'!$F$45="","",IF(OR($A145&lt;'Recurring Schedule'!$F$45,$A145&gt;'Recurring Schedule'!$P$45),"",IF(IF('Recurring Schedule'!$N$45&gt;0,MOD($A145-'Recurring Schedule'!$F$45,'Recurring Schedule'!$N$45)=0,IF('Recurring Schedule'!$O$45&gt;0,AND(DAY($A145)=MIN(DAY('Recurring Schedule'!$F$45),DAY(EOMONTH($A145,0))),MOD((YEAR($A145)-YEAR('Recurring Schedule'!$F$45))*12+MONTH($A145)-MONTH('Recurring Schedule'!$F$45),'Recurring Schedule'!$O$45)=0),IF('Recurring Schedule'!$E$45="Weekdays",WEEKDAY($A145,2)&lt;=5,$A145='Recurring Schedule'!$F$45))),40,""))))</f>
        <v/>
      </c>
      <c r="AP145">
        <f>COUNT(B145:AO145)</f>
        <v/>
      </c>
      <c r="AQ145">
        <f>AQ144+AP144</f>
        <v/>
      </c>
      <c r="AS145" t="inlineStr">
        <is>
          <t>R</t>
        </is>
      </c>
      <c r="AT145" t="n">
        <v>149</v>
      </c>
      <c r="AU145">
        <f>'Recurring Log'!C149&amp;""</f>
        <v/>
      </c>
      <c r="AV145">
        <f>'Recurring Log'!D149&amp;""</f>
        <v/>
      </c>
      <c r="AW145">
        <f>IF('Recurring Log'!E149="","",'Recurring Log'!E149)</f>
        <v/>
      </c>
      <c r="AX145">
        <f>IF('Recurring Log'!G149="","",'Recurring Log'!G149)</f>
        <v/>
      </c>
      <c r="AY145">
        <f>IF('Recurring Log'!H149="","",'Recurring Log'!H149)</f>
        <v/>
      </c>
      <c r="AZ145">
        <f>IF(AU145="","",IF('Recurring Log'!J149="","Not Started",'Recurring Log'!J149))</f>
        <v/>
      </c>
      <c r="BA145">
        <f>'Recurring Log'!L149&amp;""</f>
        <v/>
      </c>
      <c r="BB145">
        <f>'Recurring Log'!M149&amp;""</f>
        <v/>
      </c>
      <c r="BC145">
        <f>'Recurring Log'!N149&amp;""</f>
        <v/>
      </c>
      <c r="BD145">
        <f>'Recurring Log'!O149&amp;""</f>
        <v/>
      </c>
      <c r="BE145">
        <f>IF('Recurring Log'!K149="","",'Recurring Log'!K149)</f>
        <v/>
      </c>
      <c r="BF145">
        <f>IFERROR(MATCH(BA145,Setup!$L$6:$L$9,0),5)</f>
        <v/>
      </c>
      <c r="BG145">
        <f>IF(OR(AZ145="Done",AZ145="Cancelled"),1,0)</f>
        <v/>
      </c>
      <c r="BH145">
        <f>IF(AND(AU145&lt;&gt;"",ISNUMBER(AW145)),1,0)</f>
        <v/>
      </c>
      <c r="BI145">
        <f>IF(BH145=0,0,IF(AND(AW145&gt;='Tasks Filter'!$F$3,AW145&lt;='Tasks Filter'!$F$4,OR('Tasks Filter'!$I$3="",ISNUMBER(SEARCH('Tasks Filter'!$I$3,AU145))),OR('Tasks Filter'!$I$4="",BF145=IFERROR(MATCH('Tasks Filter'!$I$4,Setup!$L$6:$L$9,0),0)),OR('Tasks Filter'!$I$5="Both",AND('Tasks Filter'!$I$5="Yes",BB145="✓"),AND('Tasks Filter'!$I$5="No",BB145&lt;&gt;"✓")),OR('Tasks Filter'!$L$3="",AV145='Tasks Filter'!$L$3),OR('Tasks Filter'!$L$4="",AZ145='Tasks Filter'!$L$4),OR('Tasks Filter'!$L$5="",BC145='Tasks Filter'!$L$5),OR('Tasks Filter'!$O$3="",BD145='Tasks Filter'!$O$3),OR('Tasks Filter'!$O$4="Yes",BG145=0)),1,0))</f>
        <v/>
      </c>
      <c r="BJ145">
        <f>IF(BH145=0,"",IF('Tasks Filter'!$F$6="Descending",-1,1)*CHOOSE(MATCH('Tasks Filter'!$F$5,Lists!$G$2:$G$6,0),AW145,BF145,IFERROR(MATCH(AV145,Setup!$F$6:$F$15,0),99),IFERROR(MATCH(BC145,Setup!$H$6:$H$15,0),99),IFERROR(MATCH(AZ145,Setup!$J$6:$J$11,0),99))*1E+9+(AW145-40000)*10000+144)</f>
        <v/>
      </c>
      <c r="BK145">
        <f>IF(BI145=1,BJ145,"")</f>
        <v/>
      </c>
      <c r="BL145">
        <f>IF(AND(BH145=1,BG145=0,N(AW145)&lt;Setup!$D$7),(AW145-40000)*10000+144,"")</f>
        <v/>
      </c>
      <c r="BM145">
        <f>IF(AND(BH145=1,AZ145&lt;&gt;"Cancelled",N(AW145)&gt;=Dashboard!$AB$3,N(AW145)&lt;=Dashboard!$AB$3+6),(AW145-40000)*100000+BF145*10000+144,"")</f>
        <v/>
      </c>
      <c r="BN145">
        <f>IF(AND(BH145=1,AZ145&lt;&gt;"Cancelled"),BF145*10000+144,"")</f>
        <v/>
      </c>
    </row>
    <row r="146">
      <c r="A146">
        <f>Setup!$D$5+144</f>
        <v/>
      </c>
      <c r="B146">
        <f>IF('Recurring Schedule'!$C$6="","",IF('Recurring Schedule'!$F$6="","",IF(OR($A146&lt;'Recurring Schedule'!$F$6,$A146&gt;'Recurring Schedule'!$P$6),"",IF(IF('Recurring Schedule'!$N$6&gt;0,MOD($A146-'Recurring Schedule'!$F$6,'Recurring Schedule'!$N$6)=0,IF('Recurring Schedule'!$O$6&gt;0,AND(DAY($A146)=MIN(DAY('Recurring Schedule'!$F$6),DAY(EOMONTH($A146,0))),MOD((YEAR($A146)-YEAR('Recurring Schedule'!$F$6))*12+MONTH($A146)-MONTH('Recurring Schedule'!$F$6),'Recurring Schedule'!$O$6)=0),IF('Recurring Schedule'!$E$6="Weekdays",WEEKDAY($A146,2)&lt;=5,$A146='Recurring Schedule'!$F$6))),1,""))))</f>
        <v/>
      </c>
      <c r="C146">
        <f>IF('Recurring Schedule'!$C$7="","",IF('Recurring Schedule'!$F$7="","",IF(OR($A146&lt;'Recurring Schedule'!$F$7,$A146&gt;'Recurring Schedule'!$P$7),"",IF(IF('Recurring Schedule'!$N$7&gt;0,MOD($A146-'Recurring Schedule'!$F$7,'Recurring Schedule'!$N$7)=0,IF('Recurring Schedule'!$O$7&gt;0,AND(DAY($A146)=MIN(DAY('Recurring Schedule'!$F$7),DAY(EOMONTH($A146,0))),MOD((YEAR($A146)-YEAR('Recurring Schedule'!$F$7))*12+MONTH($A146)-MONTH('Recurring Schedule'!$F$7),'Recurring Schedule'!$O$7)=0),IF('Recurring Schedule'!$E$7="Weekdays",WEEKDAY($A146,2)&lt;=5,$A146='Recurring Schedule'!$F$7))),2,""))))</f>
        <v/>
      </c>
      <c r="D146">
        <f>IF('Recurring Schedule'!$C$8="","",IF('Recurring Schedule'!$F$8="","",IF(OR($A146&lt;'Recurring Schedule'!$F$8,$A146&gt;'Recurring Schedule'!$P$8),"",IF(IF('Recurring Schedule'!$N$8&gt;0,MOD($A146-'Recurring Schedule'!$F$8,'Recurring Schedule'!$N$8)=0,IF('Recurring Schedule'!$O$8&gt;0,AND(DAY($A146)=MIN(DAY('Recurring Schedule'!$F$8),DAY(EOMONTH($A146,0))),MOD((YEAR($A146)-YEAR('Recurring Schedule'!$F$8))*12+MONTH($A146)-MONTH('Recurring Schedule'!$F$8),'Recurring Schedule'!$O$8)=0),IF('Recurring Schedule'!$E$8="Weekdays",WEEKDAY($A146,2)&lt;=5,$A146='Recurring Schedule'!$F$8))),3,""))))</f>
        <v/>
      </c>
      <c r="E146">
        <f>IF('Recurring Schedule'!$C$9="","",IF('Recurring Schedule'!$F$9="","",IF(OR($A146&lt;'Recurring Schedule'!$F$9,$A146&gt;'Recurring Schedule'!$P$9),"",IF(IF('Recurring Schedule'!$N$9&gt;0,MOD($A146-'Recurring Schedule'!$F$9,'Recurring Schedule'!$N$9)=0,IF('Recurring Schedule'!$O$9&gt;0,AND(DAY($A146)=MIN(DAY('Recurring Schedule'!$F$9),DAY(EOMONTH($A146,0))),MOD((YEAR($A146)-YEAR('Recurring Schedule'!$F$9))*12+MONTH($A146)-MONTH('Recurring Schedule'!$F$9),'Recurring Schedule'!$O$9)=0),IF('Recurring Schedule'!$E$9="Weekdays",WEEKDAY($A146,2)&lt;=5,$A146='Recurring Schedule'!$F$9))),4,""))))</f>
        <v/>
      </c>
      <c r="F146">
        <f>IF('Recurring Schedule'!$C$10="","",IF('Recurring Schedule'!$F$10="","",IF(OR($A146&lt;'Recurring Schedule'!$F$10,$A146&gt;'Recurring Schedule'!$P$10),"",IF(IF('Recurring Schedule'!$N$10&gt;0,MOD($A146-'Recurring Schedule'!$F$10,'Recurring Schedule'!$N$10)=0,IF('Recurring Schedule'!$O$10&gt;0,AND(DAY($A146)=MIN(DAY('Recurring Schedule'!$F$10),DAY(EOMONTH($A146,0))),MOD((YEAR($A146)-YEAR('Recurring Schedule'!$F$10))*12+MONTH($A146)-MONTH('Recurring Schedule'!$F$10),'Recurring Schedule'!$O$10)=0),IF('Recurring Schedule'!$E$10="Weekdays",WEEKDAY($A146,2)&lt;=5,$A146='Recurring Schedule'!$F$10))),5,""))))</f>
        <v/>
      </c>
      <c r="G146">
        <f>IF('Recurring Schedule'!$C$11="","",IF('Recurring Schedule'!$F$11="","",IF(OR($A146&lt;'Recurring Schedule'!$F$11,$A146&gt;'Recurring Schedule'!$P$11),"",IF(IF('Recurring Schedule'!$N$11&gt;0,MOD($A146-'Recurring Schedule'!$F$11,'Recurring Schedule'!$N$11)=0,IF('Recurring Schedule'!$O$11&gt;0,AND(DAY($A146)=MIN(DAY('Recurring Schedule'!$F$11),DAY(EOMONTH($A146,0))),MOD((YEAR($A146)-YEAR('Recurring Schedule'!$F$11))*12+MONTH($A146)-MONTH('Recurring Schedule'!$F$11),'Recurring Schedule'!$O$11)=0),IF('Recurring Schedule'!$E$11="Weekdays",WEEKDAY($A146,2)&lt;=5,$A146='Recurring Schedule'!$F$11))),6,""))))</f>
        <v/>
      </c>
      <c r="H146">
        <f>IF('Recurring Schedule'!$C$12="","",IF('Recurring Schedule'!$F$12="","",IF(OR($A146&lt;'Recurring Schedule'!$F$12,$A146&gt;'Recurring Schedule'!$P$12),"",IF(IF('Recurring Schedule'!$N$12&gt;0,MOD($A146-'Recurring Schedule'!$F$12,'Recurring Schedule'!$N$12)=0,IF('Recurring Schedule'!$O$12&gt;0,AND(DAY($A146)=MIN(DAY('Recurring Schedule'!$F$12),DAY(EOMONTH($A146,0))),MOD((YEAR($A146)-YEAR('Recurring Schedule'!$F$12))*12+MONTH($A146)-MONTH('Recurring Schedule'!$F$12),'Recurring Schedule'!$O$12)=0),IF('Recurring Schedule'!$E$12="Weekdays",WEEKDAY($A146,2)&lt;=5,$A146='Recurring Schedule'!$F$12))),7,""))))</f>
        <v/>
      </c>
      <c r="I146">
        <f>IF('Recurring Schedule'!$C$13="","",IF('Recurring Schedule'!$F$13="","",IF(OR($A146&lt;'Recurring Schedule'!$F$13,$A146&gt;'Recurring Schedule'!$P$13),"",IF(IF('Recurring Schedule'!$N$13&gt;0,MOD($A146-'Recurring Schedule'!$F$13,'Recurring Schedule'!$N$13)=0,IF('Recurring Schedule'!$O$13&gt;0,AND(DAY($A146)=MIN(DAY('Recurring Schedule'!$F$13),DAY(EOMONTH($A146,0))),MOD((YEAR($A146)-YEAR('Recurring Schedule'!$F$13))*12+MONTH($A146)-MONTH('Recurring Schedule'!$F$13),'Recurring Schedule'!$O$13)=0),IF('Recurring Schedule'!$E$13="Weekdays",WEEKDAY($A146,2)&lt;=5,$A146='Recurring Schedule'!$F$13))),8,""))))</f>
        <v/>
      </c>
      <c r="J146">
        <f>IF('Recurring Schedule'!$C$14="","",IF('Recurring Schedule'!$F$14="","",IF(OR($A146&lt;'Recurring Schedule'!$F$14,$A146&gt;'Recurring Schedule'!$P$14),"",IF(IF('Recurring Schedule'!$N$14&gt;0,MOD($A146-'Recurring Schedule'!$F$14,'Recurring Schedule'!$N$14)=0,IF('Recurring Schedule'!$O$14&gt;0,AND(DAY($A146)=MIN(DAY('Recurring Schedule'!$F$14),DAY(EOMONTH($A146,0))),MOD((YEAR($A146)-YEAR('Recurring Schedule'!$F$14))*12+MONTH($A146)-MONTH('Recurring Schedule'!$F$14),'Recurring Schedule'!$O$14)=0),IF('Recurring Schedule'!$E$14="Weekdays",WEEKDAY($A146,2)&lt;=5,$A146='Recurring Schedule'!$F$14))),9,""))))</f>
        <v/>
      </c>
      <c r="K146">
        <f>IF('Recurring Schedule'!$C$15="","",IF('Recurring Schedule'!$F$15="","",IF(OR($A146&lt;'Recurring Schedule'!$F$15,$A146&gt;'Recurring Schedule'!$P$15),"",IF(IF('Recurring Schedule'!$N$15&gt;0,MOD($A146-'Recurring Schedule'!$F$15,'Recurring Schedule'!$N$15)=0,IF('Recurring Schedule'!$O$15&gt;0,AND(DAY($A146)=MIN(DAY('Recurring Schedule'!$F$15),DAY(EOMONTH($A146,0))),MOD((YEAR($A146)-YEAR('Recurring Schedule'!$F$15))*12+MONTH($A146)-MONTH('Recurring Schedule'!$F$15),'Recurring Schedule'!$O$15)=0),IF('Recurring Schedule'!$E$15="Weekdays",WEEKDAY($A146,2)&lt;=5,$A146='Recurring Schedule'!$F$15))),10,""))))</f>
        <v/>
      </c>
      <c r="L146">
        <f>IF('Recurring Schedule'!$C$16="","",IF('Recurring Schedule'!$F$16="","",IF(OR($A146&lt;'Recurring Schedule'!$F$16,$A146&gt;'Recurring Schedule'!$P$16),"",IF(IF('Recurring Schedule'!$N$16&gt;0,MOD($A146-'Recurring Schedule'!$F$16,'Recurring Schedule'!$N$16)=0,IF('Recurring Schedule'!$O$16&gt;0,AND(DAY($A146)=MIN(DAY('Recurring Schedule'!$F$16),DAY(EOMONTH($A146,0))),MOD((YEAR($A146)-YEAR('Recurring Schedule'!$F$16))*12+MONTH($A146)-MONTH('Recurring Schedule'!$F$16),'Recurring Schedule'!$O$16)=0),IF('Recurring Schedule'!$E$16="Weekdays",WEEKDAY($A146,2)&lt;=5,$A146='Recurring Schedule'!$F$16))),11,""))))</f>
        <v/>
      </c>
      <c r="M146">
        <f>IF('Recurring Schedule'!$C$17="","",IF('Recurring Schedule'!$F$17="","",IF(OR($A146&lt;'Recurring Schedule'!$F$17,$A146&gt;'Recurring Schedule'!$P$17),"",IF(IF('Recurring Schedule'!$N$17&gt;0,MOD($A146-'Recurring Schedule'!$F$17,'Recurring Schedule'!$N$17)=0,IF('Recurring Schedule'!$O$17&gt;0,AND(DAY($A146)=MIN(DAY('Recurring Schedule'!$F$17),DAY(EOMONTH($A146,0))),MOD((YEAR($A146)-YEAR('Recurring Schedule'!$F$17))*12+MONTH($A146)-MONTH('Recurring Schedule'!$F$17),'Recurring Schedule'!$O$17)=0),IF('Recurring Schedule'!$E$17="Weekdays",WEEKDAY($A146,2)&lt;=5,$A146='Recurring Schedule'!$F$17))),12,""))))</f>
        <v/>
      </c>
      <c r="N146">
        <f>IF('Recurring Schedule'!$C$18="","",IF('Recurring Schedule'!$F$18="","",IF(OR($A146&lt;'Recurring Schedule'!$F$18,$A146&gt;'Recurring Schedule'!$P$18),"",IF(IF('Recurring Schedule'!$N$18&gt;0,MOD($A146-'Recurring Schedule'!$F$18,'Recurring Schedule'!$N$18)=0,IF('Recurring Schedule'!$O$18&gt;0,AND(DAY($A146)=MIN(DAY('Recurring Schedule'!$F$18),DAY(EOMONTH($A146,0))),MOD((YEAR($A146)-YEAR('Recurring Schedule'!$F$18))*12+MONTH($A146)-MONTH('Recurring Schedule'!$F$18),'Recurring Schedule'!$O$18)=0),IF('Recurring Schedule'!$E$18="Weekdays",WEEKDAY($A146,2)&lt;=5,$A146='Recurring Schedule'!$F$18))),13,""))))</f>
        <v/>
      </c>
      <c r="O146">
        <f>IF('Recurring Schedule'!$C$19="","",IF('Recurring Schedule'!$F$19="","",IF(OR($A146&lt;'Recurring Schedule'!$F$19,$A146&gt;'Recurring Schedule'!$P$19),"",IF(IF('Recurring Schedule'!$N$19&gt;0,MOD($A146-'Recurring Schedule'!$F$19,'Recurring Schedule'!$N$19)=0,IF('Recurring Schedule'!$O$19&gt;0,AND(DAY($A146)=MIN(DAY('Recurring Schedule'!$F$19),DAY(EOMONTH($A146,0))),MOD((YEAR($A146)-YEAR('Recurring Schedule'!$F$19))*12+MONTH($A146)-MONTH('Recurring Schedule'!$F$19),'Recurring Schedule'!$O$19)=0),IF('Recurring Schedule'!$E$19="Weekdays",WEEKDAY($A146,2)&lt;=5,$A146='Recurring Schedule'!$F$19))),14,""))))</f>
        <v/>
      </c>
      <c r="P146">
        <f>IF('Recurring Schedule'!$C$20="","",IF('Recurring Schedule'!$F$20="","",IF(OR($A146&lt;'Recurring Schedule'!$F$20,$A146&gt;'Recurring Schedule'!$P$20),"",IF(IF('Recurring Schedule'!$N$20&gt;0,MOD($A146-'Recurring Schedule'!$F$20,'Recurring Schedule'!$N$20)=0,IF('Recurring Schedule'!$O$20&gt;0,AND(DAY($A146)=MIN(DAY('Recurring Schedule'!$F$20),DAY(EOMONTH($A146,0))),MOD((YEAR($A146)-YEAR('Recurring Schedule'!$F$20))*12+MONTH($A146)-MONTH('Recurring Schedule'!$F$20),'Recurring Schedule'!$O$20)=0),IF('Recurring Schedule'!$E$20="Weekdays",WEEKDAY($A146,2)&lt;=5,$A146='Recurring Schedule'!$F$20))),15,""))))</f>
        <v/>
      </c>
      <c r="Q146">
        <f>IF('Recurring Schedule'!$C$21="","",IF('Recurring Schedule'!$F$21="","",IF(OR($A146&lt;'Recurring Schedule'!$F$21,$A146&gt;'Recurring Schedule'!$P$21),"",IF(IF('Recurring Schedule'!$N$21&gt;0,MOD($A146-'Recurring Schedule'!$F$21,'Recurring Schedule'!$N$21)=0,IF('Recurring Schedule'!$O$21&gt;0,AND(DAY($A146)=MIN(DAY('Recurring Schedule'!$F$21),DAY(EOMONTH($A146,0))),MOD((YEAR($A146)-YEAR('Recurring Schedule'!$F$21))*12+MONTH($A146)-MONTH('Recurring Schedule'!$F$21),'Recurring Schedule'!$O$21)=0),IF('Recurring Schedule'!$E$21="Weekdays",WEEKDAY($A146,2)&lt;=5,$A146='Recurring Schedule'!$F$21))),16,""))))</f>
        <v/>
      </c>
      <c r="R146">
        <f>IF('Recurring Schedule'!$C$22="","",IF('Recurring Schedule'!$F$22="","",IF(OR($A146&lt;'Recurring Schedule'!$F$22,$A146&gt;'Recurring Schedule'!$P$22),"",IF(IF('Recurring Schedule'!$N$22&gt;0,MOD($A146-'Recurring Schedule'!$F$22,'Recurring Schedule'!$N$22)=0,IF('Recurring Schedule'!$O$22&gt;0,AND(DAY($A146)=MIN(DAY('Recurring Schedule'!$F$22),DAY(EOMONTH($A146,0))),MOD((YEAR($A146)-YEAR('Recurring Schedule'!$F$22))*12+MONTH($A146)-MONTH('Recurring Schedule'!$F$22),'Recurring Schedule'!$O$22)=0),IF('Recurring Schedule'!$E$22="Weekdays",WEEKDAY($A146,2)&lt;=5,$A146='Recurring Schedule'!$F$22))),17,""))))</f>
        <v/>
      </c>
      <c r="S146">
        <f>IF('Recurring Schedule'!$C$23="","",IF('Recurring Schedule'!$F$23="","",IF(OR($A146&lt;'Recurring Schedule'!$F$23,$A146&gt;'Recurring Schedule'!$P$23),"",IF(IF('Recurring Schedule'!$N$23&gt;0,MOD($A146-'Recurring Schedule'!$F$23,'Recurring Schedule'!$N$23)=0,IF('Recurring Schedule'!$O$23&gt;0,AND(DAY($A146)=MIN(DAY('Recurring Schedule'!$F$23),DAY(EOMONTH($A146,0))),MOD((YEAR($A146)-YEAR('Recurring Schedule'!$F$23))*12+MONTH($A146)-MONTH('Recurring Schedule'!$F$23),'Recurring Schedule'!$O$23)=0),IF('Recurring Schedule'!$E$23="Weekdays",WEEKDAY($A146,2)&lt;=5,$A146='Recurring Schedule'!$F$23))),18,""))))</f>
        <v/>
      </c>
      <c r="T146">
        <f>IF('Recurring Schedule'!$C$24="","",IF('Recurring Schedule'!$F$24="","",IF(OR($A146&lt;'Recurring Schedule'!$F$24,$A146&gt;'Recurring Schedule'!$P$24),"",IF(IF('Recurring Schedule'!$N$24&gt;0,MOD($A146-'Recurring Schedule'!$F$24,'Recurring Schedule'!$N$24)=0,IF('Recurring Schedule'!$O$24&gt;0,AND(DAY($A146)=MIN(DAY('Recurring Schedule'!$F$24),DAY(EOMONTH($A146,0))),MOD((YEAR($A146)-YEAR('Recurring Schedule'!$F$24))*12+MONTH($A146)-MONTH('Recurring Schedule'!$F$24),'Recurring Schedule'!$O$24)=0),IF('Recurring Schedule'!$E$24="Weekdays",WEEKDAY($A146,2)&lt;=5,$A146='Recurring Schedule'!$F$24))),19,""))))</f>
        <v/>
      </c>
      <c r="U146">
        <f>IF('Recurring Schedule'!$C$25="","",IF('Recurring Schedule'!$F$25="","",IF(OR($A146&lt;'Recurring Schedule'!$F$25,$A146&gt;'Recurring Schedule'!$P$25),"",IF(IF('Recurring Schedule'!$N$25&gt;0,MOD($A146-'Recurring Schedule'!$F$25,'Recurring Schedule'!$N$25)=0,IF('Recurring Schedule'!$O$25&gt;0,AND(DAY($A146)=MIN(DAY('Recurring Schedule'!$F$25),DAY(EOMONTH($A146,0))),MOD((YEAR($A146)-YEAR('Recurring Schedule'!$F$25))*12+MONTH($A146)-MONTH('Recurring Schedule'!$F$25),'Recurring Schedule'!$O$25)=0),IF('Recurring Schedule'!$E$25="Weekdays",WEEKDAY($A146,2)&lt;=5,$A146='Recurring Schedule'!$F$25))),20,""))))</f>
        <v/>
      </c>
      <c r="V146">
        <f>IF('Recurring Schedule'!$C$26="","",IF('Recurring Schedule'!$F$26="","",IF(OR($A146&lt;'Recurring Schedule'!$F$26,$A146&gt;'Recurring Schedule'!$P$26),"",IF(IF('Recurring Schedule'!$N$26&gt;0,MOD($A146-'Recurring Schedule'!$F$26,'Recurring Schedule'!$N$26)=0,IF('Recurring Schedule'!$O$26&gt;0,AND(DAY($A146)=MIN(DAY('Recurring Schedule'!$F$26),DAY(EOMONTH($A146,0))),MOD((YEAR($A146)-YEAR('Recurring Schedule'!$F$26))*12+MONTH($A146)-MONTH('Recurring Schedule'!$F$26),'Recurring Schedule'!$O$26)=0),IF('Recurring Schedule'!$E$26="Weekdays",WEEKDAY($A146,2)&lt;=5,$A146='Recurring Schedule'!$F$26))),21,""))))</f>
        <v/>
      </c>
      <c r="W146">
        <f>IF('Recurring Schedule'!$C$27="","",IF('Recurring Schedule'!$F$27="","",IF(OR($A146&lt;'Recurring Schedule'!$F$27,$A146&gt;'Recurring Schedule'!$P$27),"",IF(IF('Recurring Schedule'!$N$27&gt;0,MOD($A146-'Recurring Schedule'!$F$27,'Recurring Schedule'!$N$27)=0,IF('Recurring Schedule'!$O$27&gt;0,AND(DAY($A146)=MIN(DAY('Recurring Schedule'!$F$27),DAY(EOMONTH($A146,0))),MOD((YEAR($A146)-YEAR('Recurring Schedule'!$F$27))*12+MONTH($A146)-MONTH('Recurring Schedule'!$F$27),'Recurring Schedule'!$O$27)=0),IF('Recurring Schedule'!$E$27="Weekdays",WEEKDAY($A146,2)&lt;=5,$A146='Recurring Schedule'!$F$27))),22,""))))</f>
        <v/>
      </c>
      <c r="X146">
        <f>IF('Recurring Schedule'!$C$28="","",IF('Recurring Schedule'!$F$28="","",IF(OR($A146&lt;'Recurring Schedule'!$F$28,$A146&gt;'Recurring Schedule'!$P$28),"",IF(IF('Recurring Schedule'!$N$28&gt;0,MOD($A146-'Recurring Schedule'!$F$28,'Recurring Schedule'!$N$28)=0,IF('Recurring Schedule'!$O$28&gt;0,AND(DAY($A146)=MIN(DAY('Recurring Schedule'!$F$28),DAY(EOMONTH($A146,0))),MOD((YEAR($A146)-YEAR('Recurring Schedule'!$F$28))*12+MONTH($A146)-MONTH('Recurring Schedule'!$F$28),'Recurring Schedule'!$O$28)=0),IF('Recurring Schedule'!$E$28="Weekdays",WEEKDAY($A146,2)&lt;=5,$A146='Recurring Schedule'!$F$28))),23,""))))</f>
        <v/>
      </c>
      <c r="Y146">
        <f>IF('Recurring Schedule'!$C$29="","",IF('Recurring Schedule'!$F$29="","",IF(OR($A146&lt;'Recurring Schedule'!$F$29,$A146&gt;'Recurring Schedule'!$P$29),"",IF(IF('Recurring Schedule'!$N$29&gt;0,MOD($A146-'Recurring Schedule'!$F$29,'Recurring Schedule'!$N$29)=0,IF('Recurring Schedule'!$O$29&gt;0,AND(DAY($A146)=MIN(DAY('Recurring Schedule'!$F$29),DAY(EOMONTH($A146,0))),MOD((YEAR($A146)-YEAR('Recurring Schedule'!$F$29))*12+MONTH($A146)-MONTH('Recurring Schedule'!$F$29),'Recurring Schedule'!$O$29)=0),IF('Recurring Schedule'!$E$29="Weekdays",WEEKDAY($A146,2)&lt;=5,$A146='Recurring Schedule'!$F$29))),24,""))))</f>
        <v/>
      </c>
      <c r="Z146">
        <f>IF('Recurring Schedule'!$C$30="","",IF('Recurring Schedule'!$F$30="","",IF(OR($A146&lt;'Recurring Schedule'!$F$30,$A146&gt;'Recurring Schedule'!$P$30),"",IF(IF('Recurring Schedule'!$N$30&gt;0,MOD($A146-'Recurring Schedule'!$F$30,'Recurring Schedule'!$N$30)=0,IF('Recurring Schedule'!$O$30&gt;0,AND(DAY($A146)=MIN(DAY('Recurring Schedule'!$F$30),DAY(EOMONTH($A146,0))),MOD((YEAR($A146)-YEAR('Recurring Schedule'!$F$30))*12+MONTH($A146)-MONTH('Recurring Schedule'!$F$30),'Recurring Schedule'!$O$30)=0),IF('Recurring Schedule'!$E$30="Weekdays",WEEKDAY($A146,2)&lt;=5,$A146='Recurring Schedule'!$F$30))),25,""))))</f>
        <v/>
      </c>
      <c r="AA146">
        <f>IF('Recurring Schedule'!$C$31="","",IF('Recurring Schedule'!$F$31="","",IF(OR($A146&lt;'Recurring Schedule'!$F$31,$A146&gt;'Recurring Schedule'!$P$31),"",IF(IF('Recurring Schedule'!$N$31&gt;0,MOD($A146-'Recurring Schedule'!$F$31,'Recurring Schedule'!$N$31)=0,IF('Recurring Schedule'!$O$31&gt;0,AND(DAY($A146)=MIN(DAY('Recurring Schedule'!$F$31),DAY(EOMONTH($A146,0))),MOD((YEAR($A146)-YEAR('Recurring Schedule'!$F$31))*12+MONTH($A146)-MONTH('Recurring Schedule'!$F$31),'Recurring Schedule'!$O$31)=0),IF('Recurring Schedule'!$E$31="Weekdays",WEEKDAY($A146,2)&lt;=5,$A146='Recurring Schedule'!$F$31))),26,""))))</f>
        <v/>
      </c>
      <c r="AB146">
        <f>IF('Recurring Schedule'!$C$32="","",IF('Recurring Schedule'!$F$32="","",IF(OR($A146&lt;'Recurring Schedule'!$F$32,$A146&gt;'Recurring Schedule'!$P$32),"",IF(IF('Recurring Schedule'!$N$32&gt;0,MOD($A146-'Recurring Schedule'!$F$32,'Recurring Schedule'!$N$32)=0,IF('Recurring Schedule'!$O$32&gt;0,AND(DAY($A146)=MIN(DAY('Recurring Schedule'!$F$32),DAY(EOMONTH($A146,0))),MOD((YEAR($A146)-YEAR('Recurring Schedule'!$F$32))*12+MONTH($A146)-MONTH('Recurring Schedule'!$F$32),'Recurring Schedule'!$O$32)=0),IF('Recurring Schedule'!$E$32="Weekdays",WEEKDAY($A146,2)&lt;=5,$A146='Recurring Schedule'!$F$32))),27,""))))</f>
        <v/>
      </c>
      <c r="AC146">
        <f>IF('Recurring Schedule'!$C$33="","",IF('Recurring Schedule'!$F$33="","",IF(OR($A146&lt;'Recurring Schedule'!$F$33,$A146&gt;'Recurring Schedule'!$P$33),"",IF(IF('Recurring Schedule'!$N$33&gt;0,MOD($A146-'Recurring Schedule'!$F$33,'Recurring Schedule'!$N$33)=0,IF('Recurring Schedule'!$O$33&gt;0,AND(DAY($A146)=MIN(DAY('Recurring Schedule'!$F$33),DAY(EOMONTH($A146,0))),MOD((YEAR($A146)-YEAR('Recurring Schedule'!$F$33))*12+MONTH($A146)-MONTH('Recurring Schedule'!$F$33),'Recurring Schedule'!$O$33)=0),IF('Recurring Schedule'!$E$33="Weekdays",WEEKDAY($A146,2)&lt;=5,$A146='Recurring Schedule'!$F$33))),28,""))))</f>
        <v/>
      </c>
      <c r="AD146">
        <f>IF('Recurring Schedule'!$C$34="","",IF('Recurring Schedule'!$F$34="","",IF(OR($A146&lt;'Recurring Schedule'!$F$34,$A146&gt;'Recurring Schedule'!$P$34),"",IF(IF('Recurring Schedule'!$N$34&gt;0,MOD($A146-'Recurring Schedule'!$F$34,'Recurring Schedule'!$N$34)=0,IF('Recurring Schedule'!$O$34&gt;0,AND(DAY($A146)=MIN(DAY('Recurring Schedule'!$F$34),DAY(EOMONTH($A146,0))),MOD((YEAR($A146)-YEAR('Recurring Schedule'!$F$34))*12+MONTH($A146)-MONTH('Recurring Schedule'!$F$34),'Recurring Schedule'!$O$34)=0),IF('Recurring Schedule'!$E$34="Weekdays",WEEKDAY($A146,2)&lt;=5,$A146='Recurring Schedule'!$F$34))),29,""))))</f>
        <v/>
      </c>
      <c r="AE146">
        <f>IF('Recurring Schedule'!$C$35="","",IF('Recurring Schedule'!$F$35="","",IF(OR($A146&lt;'Recurring Schedule'!$F$35,$A146&gt;'Recurring Schedule'!$P$35),"",IF(IF('Recurring Schedule'!$N$35&gt;0,MOD($A146-'Recurring Schedule'!$F$35,'Recurring Schedule'!$N$35)=0,IF('Recurring Schedule'!$O$35&gt;0,AND(DAY($A146)=MIN(DAY('Recurring Schedule'!$F$35),DAY(EOMONTH($A146,0))),MOD((YEAR($A146)-YEAR('Recurring Schedule'!$F$35))*12+MONTH($A146)-MONTH('Recurring Schedule'!$F$35),'Recurring Schedule'!$O$35)=0),IF('Recurring Schedule'!$E$35="Weekdays",WEEKDAY($A146,2)&lt;=5,$A146='Recurring Schedule'!$F$35))),30,""))))</f>
        <v/>
      </c>
      <c r="AF146">
        <f>IF('Recurring Schedule'!$C$36="","",IF('Recurring Schedule'!$F$36="","",IF(OR($A146&lt;'Recurring Schedule'!$F$36,$A146&gt;'Recurring Schedule'!$P$36),"",IF(IF('Recurring Schedule'!$N$36&gt;0,MOD($A146-'Recurring Schedule'!$F$36,'Recurring Schedule'!$N$36)=0,IF('Recurring Schedule'!$O$36&gt;0,AND(DAY($A146)=MIN(DAY('Recurring Schedule'!$F$36),DAY(EOMONTH($A146,0))),MOD((YEAR($A146)-YEAR('Recurring Schedule'!$F$36))*12+MONTH($A146)-MONTH('Recurring Schedule'!$F$36),'Recurring Schedule'!$O$36)=0),IF('Recurring Schedule'!$E$36="Weekdays",WEEKDAY($A146,2)&lt;=5,$A146='Recurring Schedule'!$F$36))),31,""))))</f>
        <v/>
      </c>
      <c r="AG146">
        <f>IF('Recurring Schedule'!$C$37="","",IF('Recurring Schedule'!$F$37="","",IF(OR($A146&lt;'Recurring Schedule'!$F$37,$A146&gt;'Recurring Schedule'!$P$37),"",IF(IF('Recurring Schedule'!$N$37&gt;0,MOD($A146-'Recurring Schedule'!$F$37,'Recurring Schedule'!$N$37)=0,IF('Recurring Schedule'!$O$37&gt;0,AND(DAY($A146)=MIN(DAY('Recurring Schedule'!$F$37),DAY(EOMONTH($A146,0))),MOD((YEAR($A146)-YEAR('Recurring Schedule'!$F$37))*12+MONTH($A146)-MONTH('Recurring Schedule'!$F$37),'Recurring Schedule'!$O$37)=0),IF('Recurring Schedule'!$E$37="Weekdays",WEEKDAY($A146,2)&lt;=5,$A146='Recurring Schedule'!$F$37))),32,""))))</f>
        <v/>
      </c>
      <c r="AH146">
        <f>IF('Recurring Schedule'!$C$38="","",IF('Recurring Schedule'!$F$38="","",IF(OR($A146&lt;'Recurring Schedule'!$F$38,$A146&gt;'Recurring Schedule'!$P$38),"",IF(IF('Recurring Schedule'!$N$38&gt;0,MOD($A146-'Recurring Schedule'!$F$38,'Recurring Schedule'!$N$38)=0,IF('Recurring Schedule'!$O$38&gt;0,AND(DAY($A146)=MIN(DAY('Recurring Schedule'!$F$38),DAY(EOMONTH($A146,0))),MOD((YEAR($A146)-YEAR('Recurring Schedule'!$F$38))*12+MONTH($A146)-MONTH('Recurring Schedule'!$F$38),'Recurring Schedule'!$O$38)=0),IF('Recurring Schedule'!$E$38="Weekdays",WEEKDAY($A146,2)&lt;=5,$A146='Recurring Schedule'!$F$38))),33,""))))</f>
        <v/>
      </c>
      <c r="AI146">
        <f>IF('Recurring Schedule'!$C$39="","",IF('Recurring Schedule'!$F$39="","",IF(OR($A146&lt;'Recurring Schedule'!$F$39,$A146&gt;'Recurring Schedule'!$P$39),"",IF(IF('Recurring Schedule'!$N$39&gt;0,MOD($A146-'Recurring Schedule'!$F$39,'Recurring Schedule'!$N$39)=0,IF('Recurring Schedule'!$O$39&gt;0,AND(DAY($A146)=MIN(DAY('Recurring Schedule'!$F$39),DAY(EOMONTH($A146,0))),MOD((YEAR($A146)-YEAR('Recurring Schedule'!$F$39))*12+MONTH($A146)-MONTH('Recurring Schedule'!$F$39),'Recurring Schedule'!$O$39)=0),IF('Recurring Schedule'!$E$39="Weekdays",WEEKDAY($A146,2)&lt;=5,$A146='Recurring Schedule'!$F$39))),34,""))))</f>
        <v/>
      </c>
      <c r="AJ146">
        <f>IF('Recurring Schedule'!$C$40="","",IF('Recurring Schedule'!$F$40="","",IF(OR($A146&lt;'Recurring Schedule'!$F$40,$A146&gt;'Recurring Schedule'!$P$40),"",IF(IF('Recurring Schedule'!$N$40&gt;0,MOD($A146-'Recurring Schedule'!$F$40,'Recurring Schedule'!$N$40)=0,IF('Recurring Schedule'!$O$40&gt;0,AND(DAY($A146)=MIN(DAY('Recurring Schedule'!$F$40),DAY(EOMONTH($A146,0))),MOD((YEAR($A146)-YEAR('Recurring Schedule'!$F$40))*12+MONTH($A146)-MONTH('Recurring Schedule'!$F$40),'Recurring Schedule'!$O$40)=0),IF('Recurring Schedule'!$E$40="Weekdays",WEEKDAY($A146,2)&lt;=5,$A146='Recurring Schedule'!$F$40))),35,""))))</f>
        <v/>
      </c>
      <c r="AK146">
        <f>IF('Recurring Schedule'!$C$41="","",IF('Recurring Schedule'!$F$41="","",IF(OR($A146&lt;'Recurring Schedule'!$F$41,$A146&gt;'Recurring Schedule'!$P$41),"",IF(IF('Recurring Schedule'!$N$41&gt;0,MOD($A146-'Recurring Schedule'!$F$41,'Recurring Schedule'!$N$41)=0,IF('Recurring Schedule'!$O$41&gt;0,AND(DAY($A146)=MIN(DAY('Recurring Schedule'!$F$41),DAY(EOMONTH($A146,0))),MOD((YEAR($A146)-YEAR('Recurring Schedule'!$F$41))*12+MONTH($A146)-MONTH('Recurring Schedule'!$F$41),'Recurring Schedule'!$O$41)=0),IF('Recurring Schedule'!$E$41="Weekdays",WEEKDAY($A146,2)&lt;=5,$A146='Recurring Schedule'!$F$41))),36,""))))</f>
        <v/>
      </c>
      <c r="AL146">
        <f>IF('Recurring Schedule'!$C$42="","",IF('Recurring Schedule'!$F$42="","",IF(OR($A146&lt;'Recurring Schedule'!$F$42,$A146&gt;'Recurring Schedule'!$P$42),"",IF(IF('Recurring Schedule'!$N$42&gt;0,MOD($A146-'Recurring Schedule'!$F$42,'Recurring Schedule'!$N$42)=0,IF('Recurring Schedule'!$O$42&gt;0,AND(DAY($A146)=MIN(DAY('Recurring Schedule'!$F$42),DAY(EOMONTH($A146,0))),MOD((YEAR($A146)-YEAR('Recurring Schedule'!$F$42))*12+MONTH($A146)-MONTH('Recurring Schedule'!$F$42),'Recurring Schedule'!$O$42)=0),IF('Recurring Schedule'!$E$42="Weekdays",WEEKDAY($A146,2)&lt;=5,$A146='Recurring Schedule'!$F$42))),37,""))))</f>
        <v/>
      </c>
      <c r="AM146">
        <f>IF('Recurring Schedule'!$C$43="","",IF('Recurring Schedule'!$F$43="","",IF(OR($A146&lt;'Recurring Schedule'!$F$43,$A146&gt;'Recurring Schedule'!$P$43),"",IF(IF('Recurring Schedule'!$N$43&gt;0,MOD($A146-'Recurring Schedule'!$F$43,'Recurring Schedule'!$N$43)=0,IF('Recurring Schedule'!$O$43&gt;0,AND(DAY($A146)=MIN(DAY('Recurring Schedule'!$F$43),DAY(EOMONTH($A146,0))),MOD((YEAR($A146)-YEAR('Recurring Schedule'!$F$43))*12+MONTH($A146)-MONTH('Recurring Schedule'!$F$43),'Recurring Schedule'!$O$43)=0),IF('Recurring Schedule'!$E$43="Weekdays",WEEKDAY($A146,2)&lt;=5,$A146='Recurring Schedule'!$F$43))),38,""))))</f>
        <v/>
      </c>
      <c r="AN146">
        <f>IF('Recurring Schedule'!$C$44="","",IF('Recurring Schedule'!$F$44="","",IF(OR($A146&lt;'Recurring Schedule'!$F$44,$A146&gt;'Recurring Schedule'!$P$44),"",IF(IF('Recurring Schedule'!$N$44&gt;0,MOD($A146-'Recurring Schedule'!$F$44,'Recurring Schedule'!$N$44)=0,IF('Recurring Schedule'!$O$44&gt;0,AND(DAY($A146)=MIN(DAY('Recurring Schedule'!$F$44),DAY(EOMONTH($A146,0))),MOD((YEAR($A146)-YEAR('Recurring Schedule'!$F$44))*12+MONTH($A146)-MONTH('Recurring Schedule'!$F$44),'Recurring Schedule'!$O$44)=0),IF('Recurring Schedule'!$E$44="Weekdays",WEEKDAY($A146,2)&lt;=5,$A146='Recurring Schedule'!$F$44))),39,""))))</f>
        <v/>
      </c>
      <c r="AO146">
        <f>IF('Recurring Schedule'!$C$45="","",IF('Recurring Schedule'!$F$45="","",IF(OR($A146&lt;'Recurring Schedule'!$F$45,$A146&gt;'Recurring Schedule'!$P$45),"",IF(IF('Recurring Schedule'!$N$45&gt;0,MOD($A146-'Recurring Schedule'!$F$45,'Recurring Schedule'!$N$45)=0,IF('Recurring Schedule'!$O$45&gt;0,AND(DAY($A146)=MIN(DAY('Recurring Schedule'!$F$45),DAY(EOMONTH($A146,0))),MOD((YEAR($A146)-YEAR('Recurring Schedule'!$F$45))*12+MONTH($A146)-MONTH('Recurring Schedule'!$F$45),'Recurring Schedule'!$O$45)=0),IF('Recurring Schedule'!$E$45="Weekdays",WEEKDAY($A146,2)&lt;=5,$A146='Recurring Schedule'!$F$45))),40,""))))</f>
        <v/>
      </c>
      <c r="AP146">
        <f>COUNT(B146:AO146)</f>
        <v/>
      </c>
      <c r="AQ146">
        <f>AQ145+AP145</f>
        <v/>
      </c>
      <c r="AS146" t="inlineStr">
        <is>
          <t>R</t>
        </is>
      </c>
      <c r="AT146" t="n">
        <v>150</v>
      </c>
      <c r="AU146">
        <f>'Recurring Log'!C150&amp;""</f>
        <v/>
      </c>
      <c r="AV146">
        <f>'Recurring Log'!D150&amp;""</f>
        <v/>
      </c>
      <c r="AW146">
        <f>IF('Recurring Log'!E150="","",'Recurring Log'!E150)</f>
        <v/>
      </c>
      <c r="AX146">
        <f>IF('Recurring Log'!G150="","",'Recurring Log'!G150)</f>
        <v/>
      </c>
      <c r="AY146">
        <f>IF('Recurring Log'!H150="","",'Recurring Log'!H150)</f>
        <v/>
      </c>
      <c r="AZ146">
        <f>IF(AU146="","",IF('Recurring Log'!J150="","Not Started",'Recurring Log'!J150))</f>
        <v/>
      </c>
      <c r="BA146">
        <f>'Recurring Log'!L150&amp;""</f>
        <v/>
      </c>
      <c r="BB146">
        <f>'Recurring Log'!M150&amp;""</f>
        <v/>
      </c>
      <c r="BC146">
        <f>'Recurring Log'!N150&amp;""</f>
        <v/>
      </c>
      <c r="BD146">
        <f>'Recurring Log'!O150&amp;""</f>
        <v/>
      </c>
      <c r="BE146">
        <f>IF('Recurring Log'!K150="","",'Recurring Log'!K150)</f>
        <v/>
      </c>
      <c r="BF146">
        <f>IFERROR(MATCH(BA146,Setup!$L$6:$L$9,0),5)</f>
        <v/>
      </c>
      <c r="BG146">
        <f>IF(OR(AZ146="Done",AZ146="Cancelled"),1,0)</f>
        <v/>
      </c>
      <c r="BH146">
        <f>IF(AND(AU146&lt;&gt;"",ISNUMBER(AW146)),1,0)</f>
        <v/>
      </c>
      <c r="BI146">
        <f>IF(BH146=0,0,IF(AND(AW146&gt;='Tasks Filter'!$F$3,AW146&lt;='Tasks Filter'!$F$4,OR('Tasks Filter'!$I$3="",ISNUMBER(SEARCH('Tasks Filter'!$I$3,AU146))),OR('Tasks Filter'!$I$4="",BF146=IFERROR(MATCH('Tasks Filter'!$I$4,Setup!$L$6:$L$9,0),0)),OR('Tasks Filter'!$I$5="Both",AND('Tasks Filter'!$I$5="Yes",BB146="✓"),AND('Tasks Filter'!$I$5="No",BB146&lt;&gt;"✓")),OR('Tasks Filter'!$L$3="",AV146='Tasks Filter'!$L$3),OR('Tasks Filter'!$L$4="",AZ146='Tasks Filter'!$L$4),OR('Tasks Filter'!$L$5="",BC146='Tasks Filter'!$L$5),OR('Tasks Filter'!$O$3="",BD146='Tasks Filter'!$O$3),OR('Tasks Filter'!$O$4="Yes",BG146=0)),1,0))</f>
        <v/>
      </c>
      <c r="BJ146">
        <f>IF(BH146=0,"",IF('Tasks Filter'!$F$6="Descending",-1,1)*CHOOSE(MATCH('Tasks Filter'!$F$5,Lists!$G$2:$G$6,0),AW146,BF146,IFERROR(MATCH(AV146,Setup!$F$6:$F$15,0),99),IFERROR(MATCH(BC146,Setup!$H$6:$H$15,0),99),IFERROR(MATCH(AZ146,Setup!$J$6:$J$11,0),99))*1E+9+(AW146-40000)*10000+145)</f>
        <v/>
      </c>
      <c r="BK146">
        <f>IF(BI146=1,BJ146,"")</f>
        <v/>
      </c>
      <c r="BL146">
        <f>IF(AND(BH146=1,BG146=0,N(AW146)&lt;Setup!$D$7),(AW146-40000)*10000+145,"")</f>
        <v/>
      </c>
      <c r="BM146">
        <f>IF(AND(BH146=1,AZ146&lt;&gt;"Cancelled",N(AW146)&gt;=Dashboard!$AB$3,N(AW146)&lt;=Dashboard!$AB$3+6),(AW146-40000)*100000+BF146*10000+145,"")</f>
        <v/>
      </c>
      <c r="BN146">
        <f>IF(AND(BH146=1,AZ146&lt;&gt;"Cancelled"),BF146*10000+145,"")</f>
        <v/>
      </c>
    </row>
    <row r="147">
      <c r="A147">
        <f>Setup!$D$5+145</f>
        <v/>
      </c>
      <c r="B147">
        <f>IF('Recurring Schedule'!$C$6="","",IF('Recurring Schedule'!$F$6="","",IF(OR($A147&lt;'Recurring Schedule'!$F$6,$A147&gt;'Recurring Schedule'!$P$6),"",IF(IF('Recurring Schedule'!$N$6&gt;0,MOD($A147-'Recurring Schedule'!$F$6,'Recurring Schedule'!$N$6)=0,IF('Recurring Schedule'!$O$6&gt;0,AND(DAY($A147)=MIN(DAY('Recurring Schedule'!$F$6),DAY(EOMONTH($A147,0))),MOD((YEAR($A147)-YEAR('Recurring Schedule'!$F$6))*12+MONTH($A147)-MONTH('Recurring Schedule'!$F$6),'Recurring Schedule'!$O$6)=0),IF('Recurring Schedule'!$E$6="Weekdays",WEEKDAY($A147,2)&lt;=5,$A147='Recurring Schedule'!$F$6))),1,""))))</f>
        <v/>
      </c>
      <c r="C147">
        <f>IF('Recurring Schedule'!$C$7="","",IF('Recurring Schedule'!$F$7="","",IF(OR($A147&lt;'Recurring Schedule'!$F$7,$A147&gt;'Recurring Schedule'!$P$7),"",IF(IF('Recurring Schedule'!$N$7&gt;0,MOD($A147-'Recurring Schedule'!$F$7,'Recurring Schedule'!$N$7)=0,IF('Recurring Schedule'!$O$7&gt;0,AND(DAY($A147)=MIN(DAY('Recurring Schedule'!$F$7),DAY(EOMONTH($A147,0))),MOD((YEAR($A147)-YEAR('Recurring Schedule'!$F$7))*12+MONTH($A147)-MONTH('Recurring Schedule'!$F$7),'Recurring Schedule'!$O$7)=0),IF('Recurring Schedule'!$E$7="Weekdays",WEEKDAY($A147,2)&lt;=5,$A147='Recurring Schedule'!$F$7))),2,""))))</f>
        <v/>
      </c>
      <c r="D147">
        <f>IF('Recurring Schedule'!$C$8="","",IF('Recurring Schedule'!$F$8="","",IF(OR($A147&lt;'Recurring Schedule'!$F$8,$A147&gt;'Recurring Schedule'!$P$8),"",IF(IF('Recurring Schedule'!$N$8&gt;0,MOD($A147-'Recurring Schedule'!$F$8,'Recurring Schedule'!$N$8)=0,IF('Recurring Schedule'!$O$8&gt;0,AND(DAY($A147)=MIN(DAY('Recurring Schedule'!$F$8),DAY(EOMONTH($A147,0))),MOD((YEAR($A147)-YEAR('Recurring Schedule'!$F$8))*12+MONTH($A147)-MONTH('Recurring Schedule'!$F$8),'Recurring Schedule'!$O$8)=0),IF('Recurring Schedule'!$E$8="Weekdays",WEEKDAY($A147,2)&lt;=5,$A147='Recurring Schedule'!$F$8))),3,""))))</f>
        <v/>
      </c>
      <c r="E147">
        <f>IF('Recurring Schedule'!$C$9="","",IF('Recurring Schedule'!$F$9="","",IF(OR($A147&lt;'Recurring Schedule'!$F$9,$A147&gt;'Recurring Schedule'!$P$9),"",IF(IF('Recurring Schedule'!$N$9&gt;0,MOD($A147-'Recurring Schedule'!$F$9,'Recurring Schedule'!$N$9)=0,IF('Recurring Schedule'!$O$9&gt;0,AND(DAY($A147)=MIN(DAY('Recurring Schedule'!$F$9),DAY(EOMONTH($A147,0))),MOD((YEAR($A147)-YEAR('Recurring Schedule'!$F$9))*12+MONTH($A147)-MONTH('Recurring Schedule'!$F$9),'Recurring Schedule'!$O$9)=0),IF('Recurring Schedule'!$E$9="Weekdays",WEEKDAY($A147,2)&lt;=5,$A147='Recurring Schedule'!$F$9))),4,""))))</f>
        <v/>
      </c>
      <c r="F147">
        <f>IF('Recurring Schedule'!$C$10="","",IF('Recurring Schedule'!$F$10="","",IF(OR($A147&lt;'Recurring Schedule'!$F$10,$A147&gt;'Recurring Schedule'!$P$10),"",IF(IF('Recurring Schedule'!$N$10&gt;0,MOD($A147-'Recurring Schedule'!$F$10,'Recurring Schedule'!$N$10)=0,IF('Recurring Schedule'!$O$10&gt;0,AND(DAY($A147)=MIN(DAY('Recurring Schedule'!$F$10),DAY(EOMONTH($A147,0))),MOD((YEAR($A147)-YEAR('Recurring Schedule'!$F$10))*12+MONTH($A147)-MONTH('Recurring Schedule'!$F$10),'Recurring Schedule'!$O$10)=0),IF('Recurring Schedule'!$E$10="Weekdays",WEEKDAY($A147,2)&lt;=5,$A147='Recurring Schedule'!$F$10))),5,""))))</f>
        <v/>
      </c>
      <c r="G147">
        <f>IF('Recurring Schedule'!$C$11="","",IF('Recurring Schedule'!$F$11="","",IF(OR($A147&lt;'Recurring Schedule'!$F$11,$A147&gt;'Recurring Schedule'!$P$11),"",IF(IF('Recurring Schedule'!$N$11&gt;0,MOD($A147-'Recurring Schedule'!$F$11,'Recurring Schedule'!$N$11)=0,IF('Recurring Schedule'!$O$11&gt;0,AND(DAY($A147)=MIN(DAY('Recurring Schedule'!$F$11),DAY(EOMONTH($A147,0))),MOD((YEAR($A147)-YEAR('Recurring Schedule'!$F$11))*12+MONTH($A147)-MONTH('Recurring Schedule'!$F$11),'Recurring Schedule'!$O$11)=0),IF('Recurring Schedule'!$E$11="Weekdays",WEEKDAY($A147,2)&lt;=5,$A147='Recurring Schedule'!$F$11))),6,""))))</f>
        <v/>
      </c>
      <c r="H147">
        <f>IF('Recurring Schedule'!$C$12="","",IF('Recurring Schedule'!$F$12="","",IF(OR($A147&lt;'Recurring Schedule'!$F$12,$A147&gt;'Recurring Schedule'!$P$12),"",IF(IF('Recurring Schedule'!$N$12&gt;0,MOD($A147-'Recurring Schedule'!$F$12,'Recurring Schedule'!$N$12)=0,IF('Recurring Schedule'!$O$12&gt;0,AND(DAY($A147)=MIN(DAY('Recurring Schedule'!$F$12),DAY(EOMONTH($A147,0))),MOD((YEAR($A147)-YEAR('Recurring Schedule'!$F$12))*12+MONTH($A147)-MONTH('Recurring Schedule'!$F$12),'Recurring Schedule'!$O$12)=0),IF('Recurring Schedule'!$E$12="Weekdays",WEEKDAY($A147,2)&lt;=5,$A147='Recurring Schedule'!$F$12))),7,""))))</f>
        <v/>
      </c>
      <c r="I147">
        <f>IF('Recurring Schedule'!$C$13="","",IF('Recurring Schedule'!$F$13="","",IF(OR($A147&lt;'Recurring Schedule'!$F$13,$A147&gt;'Recurring Schedule'!$P$13),"",IF(IF('Recurring Schedule'!$N$13&gt;0,MOD($A147-'Recurring Schedule'!$F$13,'Recurring Schedule'!$N$13)=0,IF('Recurring Schedule'!$O$13&gt;0,AND(DAY($A147)=MIN(DAY('Recurring Schedule'!$F$13),DAY(EOMONTH($A147,0))),MOD((YEAR($A147)-YEAR('Recurring Schedule'!$F$13))*12+MONTH($A147)-MONTH('Recurring Schedule'!$F$13),'Recurring Schedule'!$O$13)=0),IF('Recurring Schedule'!$E$13="Weekdays",WEEKDAY($A147,2)&lt;=5,$A147='Recurring Schedule'!$F$13))),8,""))))</f>
        <v/>
      </c>
      <c r="J147">
        <f>IF('Recurring Schedule'!$C$14="","",IF('Recurring Schedule'!$F$14="","",IF(OR($A147&lt;'Recurring Schedule'!$F$14,$A147&gt;'Recurring Schedule'!$P$14),"",IF(IF('Recurring Schedule'!$N$14&gt;0,MOD($A147-'Recurring Schedule'!$F$14,'Recurring Schedule'!$N$14)=0,IF('Recurring Schedule'!$O$14&gt;0,AND(DAY($A147)=MIN(DAY('Recurring Schedule'!$F$14),DAY(EOMONTH($A147,0))),MOD((YEAR($A147)-YEAR('Recurring Schedule'!$F$14))*12+MONTH($A147)-MONTH('Recurring Schedule'!$F$14),'Recurring Schedule'!$O$14)=0),IF('Recurring Schedule'!$E$14="Weekdays",WEEKDAY($A147,2)&lt;=5,$A147='Recurring Schedule'!$F$14))),9,""))))</f>
        <v/>
      </c>
      <c r="K147">
        <f>IF('Recurring Schedule'!$C$15="","",IF('Recurring Schedule'!$F$15="","",IF(OR($A147&lt;'Recurring Schedule'!$F$15,$A147&gt;'Recurring Schedule'!$P$15),"",IF(IF('Recurring Schedule'!$N$15&gt;0,MOD($A147-'Recurring Schedule'!$F$15,'Recurring Schedule'!$N$15)=0,IF('Recurring Schedule'!$O$15&gt;0,AND(DAY($A147)=MIN(DAY('Recurring Schedule'!$F$15),DAY(EOMONTH($A147,0))),MOD((YEAR($A147)-YEAR('Recurring Schedule'!$F$15))*12+MONTH($A147)-MONTH('Recurring Schedule'!$F$15),'Recurring Schedule'!$O$15)=0),IF('Recurring Schedule'!$E$15="Weekdays",WEEKDAY($A147,2)&lt;=5,$A147='Recurring Schedule'!$F$15))),10,""))))</f>
        <v/>
      </c>
      <c r="L147">
        <f>IF('Recurring Schedule'!$C$16="","",IF('Recurring Schedule'!$F$16="","",IF(OR($A147&lt;'Recurring Schedule'!$F$16,$A147&gt;'Recurring Schedule'!$P$16),"",IF(IF('Recurring Schedule'!$N$16&gt;0,MOD($A147-'Recurring Schedule'!$F$16,'Recurring Schedule'!$N$16)=0,IF('Recurring Schedule'!$O$16&gt;0,AND(DAY($A147)=MIN(DAY('Recurring Schedule'!$F$16),DAY(EOMONTH($A147,0))),MOD((YEAR($A147)-YEAR('Recurring Schedule'!$F$16))*12+MONTH($A147)-MONTH('Recurring Schedule'!$F$16),'Recurring Schedule'!$O$16)=0),IF('Recurring Schedule'!$E$16="Weekdays",WEEKDAY($A147,2)&lt;=5,$A147='Recurring Schedule'!$F$16))),11,""))))</f>
        <v/>
      </c>
      <c r="M147">
        <f>IF('Recurring Schedule'!$C$17="","",IF('Recurring Schedule'!$F$17="","",IF(OR($A147&lt;'Recurring Schedule'!$F$17,$A147&gt;'Recurring Schedule'!$P$17),"",IF(IF('Recurring Schedule'!$N$17&gt;0,MOD($A147-'Recurring Schedule'!$F$17,'Recurring Schedule'!$N$17)=0,IF('Recurring Schedule'!$O$17&gt;0,AND(DAY($A147)=MIN(DAY('Recurring Schedule'!$F$17),DAY(EOMONTH($A147,0))),MOD((YEAR($A147)-YEAR('Recurring Schedule'!$F$17))*12+MONTH($A147)-MONTH('Recurring Schedule'!$F$17),'Recurring Schedule'!$O$17)=0),IF('Recurring Schedule'!$E$17="Weekdays",WEEKDAY($A147,2)&lt;=5,$A147='Recurring Schedule'!$F$17))),12,""))))</f>
        <v/>
      </c>
      <c r="N147">
        <f>IF('Recurring Schedule'!$C$18="","",IF('Recurring Schedule'!$F$18="","",IF(OR($A147&lt;'Recurring Schedule'!$F$18,$A147&gt;'Recurring Schedule'!$P$18),"",IF(IF('Recurring Schedule'!$N$18&gt;0,MOD($A147-'Recurring Schedule'!$F$18,'Recurring Schedule'!$N$18)=0,IF('Recurring Schedule'!$O$18&gt;0,AND(DAY($A147)=MIN(DAY('Recurring Schedule'!$F$18),DAY(EOMONTH($A147,0))),MOD((YEAR($A147)-YEAR('Recurring Schedule'!$F$18))*12+MONTH($A147)-MONTH('Recurring Schedule'!$F$18),'Recurring Schedule'!$O$18)=0),IF('Recurring Schedule'!$E$18="Weekdays",WEEKDAY($A147,2)&lt;=5,$A147='Recurring Schedule'!$F$18))),13,""))))</f>
        <v/>
      </c>
      <c r="O147">
        <f>IF('Recurring Schedule'!$C$19="","",IF('Recurring Schedule'!$F$19="","",IF(OR($A147&lt;'Recurring Schedule'!$F$19,$A147&gt;'Recurring Schedule'!$P$19),"",IF(IF('Recurring Schedule'!$N$19&gt;0,MOD($A147-'Recurring Schedule'!$F$19,'Recurring Schedule'!$N$19)=0,IF('Recurring Schedule'!$O$19&gt;0,AND(DAY($A147)=MIN(DAY('Recurring Schedule'!$F$19),DAY(EOMONTH($A147,0))),MOD((YEAR($A147)-YEAR('Recurring Schedule'!$F$19))*12+MONTH($A147)-MONTH('Recurring Schedule'!$F$19),'Recurring Schedule'!$O$19)=0),IF('Recurring Schedule'!$E$19="Weekdays",WEEKDAY($A147,2)&lt;=5,$A147='Recurring Schedule'!$F$19))),14,""))))</f>
        <v/>
      </c>
      <c r="P147">
        <f>IF('Recurring Schedule'!$C$20="","",IF('Recurring Schedule'!$F$20="","",IF(OR($A147&lt;'Recurring Schedule'!$F$20,$A147&gt;'Recurring Schedule'!$P$20),"",IF(IF('Recurring Schedule'!$N$20&gt;0,MOD($A147-'Recurring Schedule'!$F$20,'Recurring Schedule'!$N$20)=0,IF('Recurring Schedule'!$O$20&gt;0,AND(DAY($A147)=MIN(DAY('Recurring Schedule'!$F$20),DAY(EOMONTH($A147,0))),MOD((YEAR($A147)-YEAR('Recurring Schedule'!$F$20))*12+MONTH($A147)-MONTH('Recurring Schedule'!$F$20),'Recurring Schedule'!$O$20)=0),IF('Recurring Schedule'!$E$20="Weekdays",WEEKDAY($A147,2)&lt;=5,$A147='Recurring Schedule'!$F$20))),15,""))))</f>
        <v/>
      </c>
      <c r="Q147">
        <f>IF('Recurring Schedule'!$C$21="","",IF('Recurring Schedule'!$F$21="","",IF(OR($A147&lt;'Recurring Schedule'!$F$21,$A147&gt;'Recurring Schedule'!$P$21),"",IF(IF('Recurring Schedule'!$N$21&gt;0,MOD($A147-'Recurring Schedule'!$F$21,'Recurring Schedule'!$N$21)=0,IF('Recurring Schedule'!$O$21&gt;0,AND(DAY($A147)=MIN(DAY('Recurring Schedule'!$F$21),DAY(EOMONTH($A147,0))),MOD((YEAR($A147)-YEAR('Recurring Schedule'!$F$21))*12+MONTH($A147)-MONTH('Recurring Schedule'!$F$21),'Recurring Schedule'!$O$21)=0),IF('Recurring Schedule'!$E$21="Weekdays",WEEKDAY($A147,2)&lt;=5,$A147='Recurring Schedule'!$F$21))),16,""))))</f>
        <v/>
      </c>
      <c r="R147">
        <f>IF('Recurring Schedule'!$C$22="","",IF('Recurring Schedule'!$F$22="","",IF(OR($A147&lt;'Recurring Schedule'!$F$22,$A147&gt;'Recurring Schedule'!$P$22),"",IF(IF('Recurring Schedule'!$N$22&gt;0,MOD($A147-'Recurring Schedule'!$F$22,'Recurring Schedule'!$N$22)=0,IF('Recurring Schedule'!$O$22&gt;0,AND(DAY($A147)=MIN(DAY('Recurring Schedule'!$F$22),DAY(EOMONTH($A147,0))),MOD((YEAR($A147)-YEAR('Recurring Schedule'!$F$22))*12+MONTH($A147)-MONTH('Recurring Schedule'!$F$22),'Recurring Schedule'!$O$22)=0),IF('Recurring Schedule'!$E$22="Weekdays",WEEKDAY($A147,2)&lt;=5,$A147='Recurring Schedule'!$F$22))),17,""))))</f>
        <v/>
      </c>
      <c r="S147">
        <f>IF('Recurring Schedule'!$C$23="","",IF('Recurring Schedule'!$F$23="","",IF(OR($A147&lt;'Recurring Schedule'!$F$23,$A147&gt;'Recurring Schedule'!$P$23),"",IF(IF('Recurring Schedule'!$N$23&gt;0,MOD($A147-'Recurring Schedule'!$F$23,'Recurring Schedule'!$N$23)=0,IF('Recurring Schedule'!$O$23&gt;0,AND(DAY($A147)=MIN(DAY('Recurring Schedule'!$F$23),DAY(EOMONTH($A147,0))),MOD((YEAR($A147)-YEAR('Recurring Schedule'!$F$23))*12+MONTH($A147)-MONTH('Recurring Schedule'!$F$23),'Recurring Schedule'!$O$23)=0),IF('Recurring Schedule'!$E$23="Weekdays",WEEKDAY($A147,2)&lt;=5,$A147='Recurring Schedule'!$F$23))),18,""))))</f>
        <v/>
      </c>
      <c r="T147">
        <f>IF('Recurring Schedule'!$C$24="","",IF('Recurring Schedule'!$F$24="","",IF(OR($A147&lt;'Recurring Schedule'!$F$24,$A147&gt;'Recurring Schedule'!$P$24),"",IF(IF('Recurring Schedule'!$N$24&gt;0,MOD($A147-'Recurring Schedule'!$F$24,'Recurring Schedule'!$N$24)=0,IF('Recurring Schedule'!$O$24&gt;0,AND(DAY($A147)=MIN(DAY('Recurring Schedule'!$F$24),DAY(EOMONTH($A147,0))),MOD((YEAR($A147)-YEAR('Recurring Schedule'!$F$24))*12+MONTH($A147)-MONTH('Recurring Schedule'!$F$24),'Recurring Schedule'!$O$24)=0),IF('Recurring Schedule'!$E$24="Weekdays",WEEKDAY($A147,2)&lt;=5,$A147='Recurring Schedule'!$F$24))),19,""))))</f>
        <v/>
      </c>
      <c r="U147">
        <f>IF('Recurring Schedule'!$C$25="","",IF('Recurring Schedule'!$F$25="","",IF(OR($A147&lt;'Recurring Schedule'!$F$25,$A147&gt;'Recurring Schedule'!$P$25),"",IF(IF('Recurring Schedule'!$N$25&gt;0,MOD($A147-'Recurring Schedule'!$F$25,'Recurring Schedule'!$N$25)=0,IF('Recurring Schedule'!$O$25&gt;0,AND(DAY($A147)=MIN(DAY('Recurring Schedule'!$F$25),DAY(EOMONTH($A147,0))),MOD((YEAR($A147)-YEAR('Recurring Schedule'!$F$25))*12+MONTH($A147)-MONTH('Recurring Schedule'!$F$25),'Recurring Schedule'!$O$25)=0),IF('Recurring Schedule'!$E$25="Weekdays",WEEKDAY($A147,2)&lt;=5,$A147='Recurring Schedule'!$F$25))),20,""))))</f>
        <v/>
      </c>
      <c r="V147">
        <f>IF('Recurring Schedule'!$C$26="","",IF('Recurring Schedule'!$F$26="","",IF(OR($A147&lt;'Recurring Schedule'!$F$26,$A147&gt;'Recurring Schedule'!$P$26),"",IF(IF('Recurring Schedule'!$N$26&gt;0,MOD($A147-'Recurring Schedule'!$F$26,'Recurring Schedule'!$N$26)=0,IF('Recurring Schedule'!$O$26&gt;0,AND(DAY($A147)=MIN(DAY('Recurring Schedule'!$F$26),DAY(EOMONTH($A147,0))),MOD((YEAR($A147)-YEAR('Recurring Schedule'!$F$26))*12+MONTH($A147)-MONTH('Recurring Schedule'!$F$26),'Recurring Schedule'!$O$26)=0),IF('Recurring Schedule'!$E$26="Weekdays",WEEKDAY($A147,2)&lt;=5,$A147='Recurring Schedule'!$F$26))),21,""))))</f>
        <v/>
      </c>
      <c r="W147">
        <f>IF('Recurring Schedule'!$C$27="","",IF('Recurring Schedule'!$F$27="","",IF(OR($A147&lt;'Recurring Schedule'!$F$27,$A147&gt;'Recurring Schedule'!$P$27),"",IF(IF('Recurring Schedule'!$N$27&gt;0,MOD($A147-'Recurring Schedule'!$F$27,'Recurring Schedule'!$N$27)=0,IF('Recurring Schedule'!$O$27&gt;0,AND(DAY($A147)=MIN(DAY('Recurring Schedule'!$F$27),DAY(EOMONTH($A147,0))),MOD((YEAR($A147)-YEAR('Recurring Schedule'!$F$27))*12+MONTH($A147)-MONTH('Recurring Schedule'!$F$27),'Recurring Schedule'!$O$27)=0),IF('Recurring Schedule'!$E$27="Weekdays",WEEKDAY($A147,2)&lt;=5,$A147='Recurring Schedule'!$F$27))),22,""))))</f>
        <v/>
      </c>
      <c r="X147">
        <f>IF('Recurring Schedule'!$C$28="","",IF('Recurring Schedule'!$F$28="","",IF(OR($A147&lt;'Recurring Schedule'!$F$28,$A147&gt;'Recurring Schedule'!$P$28),"",IF(IF('Recurring Schedule'!$N$28&gt;0,MOD($A147-'Recurring Schedule'!$F$28,'Recurring Schedule'!$N$28)=0,IF('Recurring Schedule'!$O$28&gt;0,AND(DAY($A147)=MIN(DAY('Recurring Schedule'!$F$28),DAY(EOMONTH($A147,0))),MOD((YEAR($A147)-YEAR('Recurring Schedule'!$F$28))*12+MONTH($A147)-MONTH('Recurring Schedule'!$F$28),'Recurring Schedule'!$O$28)=0),IF('Recurring Schedule'!$E$28="Weekdays",WEEKDAY($A147,2)&lt;=5,$A147='Recurring Schedule'!$F$28))),23,""))))</f>
        <v/>
      </c>
      <c r="Y147">
        <f>IF('Recurring Schedule'!$C$29="","",IF('Recurring Schedule'!$F$29="","",IF(OR($A147&lt;'Recurring Schedule'!$F$29,$A147&gt;'Recurring Schedule'!$P$29),"",IF(IF('Recurring Schedule'!$N$29&gt;0,MOD($A147-'Recurring Schedule'!$F$29,'Recurring Schedule'!$N$29)=0,IF('Recurring Schedule'!$O$29&gt;0,AND(DAY($A147)=MIN(DAY('Recurring Schedule'!$F$29),DAY(EOMONTH($A147,0))),MOD((YEAR($A147)-YEAR('Recurring Schedule'!$F$29))*12+MONTH($A147)-MONTH('Recurring Schedule'!$F$29),'Recurring Schedule'!$O$29)=0),IF('Recurring Schedule'!$E$29="Weekdays",WEEKDAY($A147,2)&lt;=5,$A147='Recurring Schedule'!$F$29))),24,""))))</f>
        <v/>
      </c>
      <c r="Z147">
        <f>IF('Recurring Schedule'!$C$30="","",IF('Recurring Schedule'!$F$30="","",IF(OR($A147&lt;'Recurring Schedule'!$F$30,$A147&gt;'Recurring Schedule'!$P$30),"",IF(IF('Recurring Schedule'!$N$30&gt;0,MOD($A147-'Recurring Schedule'!$F$30,'Recurring Schedule'!$N$30)=0,IF('Recurring Schedule'!$O$30&gt;0,AND(DAY($A147)=MIN(DAY('Recurring Schedule'!$F$30),DAY(EOMONTH($A147,0))),MOD((YEAR($A147)-YEAR('Recurring Schedule'!$F$30))*12+MONTH($A147)-MONTH('Recurring Schedule'!$F$30),'Recurring Schedule'!$O$30)=0),IF('Recurring Schedule'!$E$30="Weekdays",WEEKDAY($A147,2)&lt;=5,$A147='Recurring Schedule'!$F$30))),25,""))))</f>
        <v/>
      </c>
      <c r="AA147">
        <f>IF('Recurring Schedule'!$C$31="","",IF('Recurring Schedule'!$F$31="","",IF(OR($A147&lt;'Recurring Schedule'!$F$31,$A147&gt;'Recurring Schedule'!$P$31),"",IF(IF('Recurring Schedule'!$N$31&gt;0,MOD($A147-'Recurring Schedule'!$F$31,'Recurring Schedule'!$N$31)=0,IF('Recurring Schedule'!$O$31&gt;0,AND(DAY($A147)=MIN(DAY('Recurring Schedule'!$F$31),DAY(EOMONTH($A147,0))),MOD((YEAR($A147)-YEAR('Recurring Schedule'!$F$31))*12+MONTH($A147)-MONTH('Recurring Schedule'!$F$31),'Recurring Schedule'!$O$31)=0),IF('Recurring Schedule'!$E$31="Weekdays",WEEKDAY($A147,2)&lt;=5,$A147='Recurring Schedule'!$F$31))),26,""))))</f>
        <v/>
      </c>
      <c r="AB147">
        <f>IF('Recurring Schedule'!$C$32="","",IF('Recurring Schedule'!$F$32="","",IF(OR($A147&lt;'Recurring Schedule'!$F$32,$A147&gt;'Recurring Schedule'!$P$32),"",IF(IF('Recurring Schedule'!$N$32&gt;0,MOD($A147-'Recurring Schedule'!$F$32,'Recurring Schedule'!$N$32)=0,IF('Recurring Schedule'!$O$32&gt;0,AND(DAY($A147)=MIN(DAY('Recurring Schedule'!$F$32),DAY(EOMONTH($A147,0))),MOD((YEAR($A147)-YEAR('Recurring Schedule'!$F$32))*12+MONTH($A147)-MONTH('Recurring Schedule'!$F$32),'Recurring Schedule'!$O$32)=0),IF('Recurring Schedule'!$E$32="Weekdays",WEEKDAY($A147,2)&lt;=5,$A147='Recurring Schedule'!$F$32))),27,""))))</f>
        <v/>
      </c>
      <c r="AC147">
        <f>IF('Recurring Schedule'!$C$33="","",IF('Recurring Schedule'!$F$33="","",IF(OR($A147&lt;'Recurring Schedule'!$F$33,$A147&gt;'Recurring Schedule'!$P$33),"",IF(IF('Recurring Schedule'!$N$33&gt;0,MOD($A147-'Recurring Schedule'!$F$33,'Recurring Schedule'!$N$33)=0,IF('Recurring Schedule'!$O$33&gt;0,AND(DAY($A147)=MIN(DAY('Recurring Schedule'!$F$33),DAY(EOMONTH($A147,0))),MOD((YEAR($A147)-YEAR('Recurring Schedule'!$F$33))*12+MONTH($A147)-MONTH('Recurring Schedule'!$F$33),'Recurring Schedule'!$O$33)=0),IF('Recurring Schedule'!$E$33="Weekdays",WEEKDAY($A147,2)&lt;=5,$A147='Recurring Schedule'!$F$33))),28,""))))</f>
        <v/>
      </c>
      <c r="AD147">
        <f>IF('Recurring Schedule'!$C$34="","",IF('Recurring Schedule'!$F$34="","",IF(OR($A147&lt;'Recurring Schedule'!$F$34,$A147&gt;'Recurring Schedule'!$P$34),"",IF(IF('Recurring Schedule'!$N$34&gt;0,MOD($A147-'Recurring Schedule'!$F$34,'Recurring Schedule'!$N$34)=0,IF('Recurring Schedule'!$O$34&gt;0,AND(DAY($A147)=MIN(DAY('Recurring Schedule'!$F$34),DAY(EOMONTH($A147,0))),MOD((YEAR($A147)-YEAR('Recurring Schedule'!$F$34))*12+MONTH($A147)-MONTH('Recurring Schedule'!$F$34),'Recurring Schedule'!$O$34)=0),IF('Recurring Schedule'!$E$34="Weekdays",WEEKDAY($A147,2)&lt;=5,$A147='Recurring Schedule'!$F$34))),29,""))))</f>
        <v/>
      </c>
      <c r="AE147">
        <f>IF('Recurring Schedule'!$C$35="","",IF('Recurring Schedule'!$F$35="","",IF(OR($A147&lt;'Recurring Schedule'!$F$35,$A147&gt;'Recurring Schedule'!$P$35),"",IF(IF('Recurring Schedule'!$N$35&gt;0,MOD($A147-'Recurring Schedule'!$F$35,'Recurring Schedule'!$N$35)=0,IF('Recurring Schedule'!$O$35&gt;0,AND(DAY($A147)=MIN(DAY('Recurring Schedule'!$F$35),DAY(EOMONTH($A147,0))),MOD((YEAR($A147)-YEAR('Recurring Schedule'!$F$35))*12+MONTH($A147)-MONTH('Recurring Schedule'!$F$35),'Recurring Schedule'!$O$35)=0),IF('Recurring Schedule'!$E$35="Weekdays",WEEKDAY($A147,2)&lt;=5,$A147='Recurring Schedule'!$F$35))),30,""))))</f>
        <v/>
      </c>
      <c r="AF147">
        <f>IF('Recurring Schedule'!$C$36="","",IF('Recurring Schedule'!$F$36="","",IF(OR($A147&lt;'Recurring Schedule'!$F$36,$A147&gt;'Recurring Schedule'!$P$36),"",IF(IF('Recurring Schedule'!$N$36&gt;0,MOD($A147-'Recurring Schedule'!$F$36,'Recurring Schedule'!$N$36)=0,IF('Recurring Schedule'!$O$36&gt;0,AND(DAY($A147)=MIN(DAY('Recurring Schedule'!$F$36),DAY(EOMONTH($A147,0))),MOD((YEAR($A147)-YEAR('Recurring Schedule'!$F$36))*12+MONTH($A147)-MONTH('Recurring Schedule'!$F$36),'Recurring Schedule'!$O$36)=0),IF('Recurring Schedule'!$E$36="Weekdays",WEEKDAY($A147,2)&lt;=5,$A147='Recurring Schedule'!$F$36))),31,""))))</f>
        <v/>
      </c>
      <c r="AG147">
        <f>IF('Recurring Schedule'!$C$37="","",IF('Recurring Schedule'!$F$37="","",IF(OR($A147&lt;'Recurring Schedule'!$F$37,$A147&gt;'Recurring Schedule'!$P$37),"",IF(IF('Recurring Schedule'!$N$37&gt;0,MOD($A147-'Recurring Schedule'!$F$37,'Recurring Schedule'!$N$37)=0,IF('Recurring Schedule'!$O$37&gt;0,AND(DAY($A147)=MIN(DAY('Recurring Schedule'!$F$37),DAY(EOMONTH($A147,0))),MOD((YEAR($A147)-YEAR('Recurring Schedule'!$F$37))*12+MONTH($A147)-MONTH('Recurring Schedule'!$F$37),'Recurring Schedule'!$O$37)=0),IF('Recurring Schedule'!$E$37="Weekdays",WEEKDAY($A147,2)&lt;=5,$A147='Recurring Schedule'!$F$37))),32,""))))</f>
        <v/>
      </c>
      <c r="AH147">
        <f>IF('Recurring Schedule'!$C$38="","",IF('Recurring Schedule'!$F$38="","",IF(OR($A147&lt;'Recurring Schedule'!$F$38,$A147&gt;'Recurring Schedule'!$P$38),"",IF(IF('Recurring Schedule'!$N$38&gt;0,MOD($A147-'Recurring Schedule'!$F$38,'Recurring Schedule'!$N$38)=0,IF('Recurring Schedule'!$O$38&gt;0,AND(DAY($A147)=MIN(DAY('Recurring Schedule'!$F$38),DAY(EOMONTH($A147,0))),MOD((YEAR($A147)-YEAR('Recurring Schedule'!$F$38))*12+MONTH($A147)-MONTH('Recurring Schedule'!$F$38),'Recurring Schedule'!$O$38)=0),IF('Recurring Schedule'!$E$38="Weekdays",WEEKDAY($A147,2)&lt;=5,$A147='Recurring Schedule'!$F$38))),33,""))))</f>
        <v/>
      </c>
      <c r="AI147">
        <f>IF('Recurring Schedule'!$C$39="","",IF('Recurring Schedule'!$F$39="","",IF(OR($A147&lt;'Recurring Schedule'!$F$39,$A147&gt;'Recurring Schedule'!$P$39),"",IF(IF('Recurring Schedule'!$N$39&gt;0,MOD($A147-'Recurring Schedule'!$F$39,'Recurring Schedule'!$N$39)=0,IF('Recurring Schedule'!$O$39&gt;0,AND(DAY($A147)=MIN(DAY('Recurring Schedule'!$F$39),DAY(EOMONTH($A147,0))),MOD((YEAR($A147)-YEAR('Recurring Schedule'!$F$39))*12+MONTH($A147)-MONTH('Recurring Schedule'!$F$39),'Recurring Schedule'!$O$39)=0),IF('Recurring Schedule'!$E$39="Weekdays",WEEKDAY($A147,2)&lt;=5,$A147='Recurring Schedule'!$F$39))),34,""))))</f>
        <v/>
      </c>
      <c r="AJ147">
        <f>IF('Recurring Schedule'!$C$40="","",IF('Recurring Schedule'!$F$40="","",IF(OR($A147&lt;'Recurring Schedule'!$F$40,$A147&gt;'Recurring Schedule'!$P$40),"",IF(IF('Recurring Schedule'!$N$40&gt;0,MOD($A147-'Recurring Schedule'!$F$40,'Recurring Schedule'!$N$40)=0,IF('Recurring Schedule'!$O$40&gt;0,AND(DAY($A147)=MIN(DAY('Recurring Schedule'!$F$40),DAY(EOMONTH($A147,0))),MOD((YEAR($A147)-YEAR('Recurring Schedule'!$F$40))*12+MONTH($A147)-MONTH('Recurring Schedule'!$F$40),'Recurring Schedule'!$O$40)=0),IF('Recurring Schedule'!$E$40="Weekdays",WEEKDAY($A147,2)&lt;=5,$A147='Recurring Schedule'!$F$40))),35,""))))</f>
        <v/>
      </c>
      <c r="AK147">
        <f>IF('Recurring Schedule'!$C$41="","",IF('Recurring Schedule'!$F$41="","",IF(OR($A147&lt;'Recurring Schedule'!$F$41,$A147&gt;'Recurring Schedule'!$P$41),"",IF(IF('Recurring Schedule'!$N$41&gt;0,MOD($A147-'Recurring Schedule'!$F$41,'Recurring Schedule'!$N$41)=0,IF('Recurring Schedule'!$O$41&gt;0,AND(DAY($A147)=MIN(DAY('Recurring Schedule'!$F$41),DAY(EOMONTH($A147,0))),MOD((YEAR($A147)-YEAR('Recurring Schedule'!$F$41))*12+MONTH($A147)-MONTH('Recurring Schedule'!$F$41),'Recurring Schedule'!$O$41)=0),IF('Recurring Schedule'!$E$41="Weekdays",WEEKDAY($A147,2)&lt;=5,$A147='Recurring Schedule'!$F$41))),36,""))))</f>
        <v/>
      </c>
      <c r="AL147">
        <f>IF('Recurring Schedule'!$C$42="","",IF('Recurring Schedule'!$F$42="","",IF(OR($A147&lt;'Recurring Schedule'!$F$42,$A147&gt;'Recurring Schedule'!$P$42),"",IF(IF('Recurring Schedule'!$N$42&gt;0,MOD($A147-'Recurring Schedule'!$F$42,'Recurring Schedule'!$N$42)=0,IF('Recurring Schedule'!$O$42&gt;0,AND(DAY($A147)=MIN(DAY('Recurring Schedule'!$F$42),DAY(EOMONTH($A147,0))),MOD((YEAR($A147)-YEAR('Recurring Schedule'!$F$42))*12+MONTH($A147)-MONTH('Recurring Schedule'!$F$42),'Recurring Schedule'!$O$42)=0),IF('Recurring Schedule'!$E$42="Weekdays",WEEKDAY($A147,2)&lt;=5,$A147='Recurring Schedule'!$F$42))),37,""))))</f>
        <v/>
      </c>
      <c r="AM147">
        <f>IF('Recurring Schedule'!$C$43="","",IF('Recurring Schedule'!$F$43="","",IF(OR($A147&lt;'Recurring Schedule'!$F$43,$A147&gt;'Recurring Schedule'!$P$43),"",IF(IF('Recurring Schedule'!$N$43&gt;0,MOD($A147-'Recurring Schedule'!$F$43,'Recurring Schedule'!$N$43)=0,IF('Recurring Schedule'!$O$43&gt;0,AND(DAY($A147)=MIN(DAY('Recurring Schedule'!$F$43),DAY(EOMONTH($A147,0))),MOD((YEAR($A147)-YEAR('Recurring Schedule'!$F$43))*12+MONTH($A147)-MONTH('Recurring Schedule'!$F$43),'Recurring Schedule'!$O$43)=0),IF('Recurring Schedule'!$E$43="Weekdays",WEEKDAY($A147,2)&lt;=5,$A147='Recurring Schedule'!$F$43))),38,""))))</f>
        <v/>
      </c>
      <c r="AN147">
        <f>IF('Recurring Schedule'!$C$44="","",IF('Recurring Schedule'!$F$44="","",IF(OR($A147&lt;'Recurring Schedule'!$F$44,$A147&gt;'Recurring Schedule'!$P$44),"",IF(IF('Recurring Schedule'!$N$44&gt;0,MOD($A147-'Recurring Schedule'!$F$44,'Recurring Schedule'!$N$44)=0,IF('Recurring Schedule'!$O$44&gt;0,AND(DAY($A147)=MIN(DAY('Recurring Schedule'!$F$44),DAY(EOMONTH($A147,0))),MOD((YEAR($A147)-YEAR('Recurring Schedule'!$F$44))*12+MONTH($A147)-MONTH('Recurring Schedule'!$F$44),'Recurring Schedule'!$O$44)=0),IF('Recurring Schedule'!$E$44="Weekdays",WEEKDAY($A147,2)&lt;=5,$A147='Recurring Schedule'!$F$44))),39,""))))</f>
        <v/>
      </c>
      <c r="AO147">
        <f>IF('Recurring Schedule'!$C$45="","",IF('Recurring Schedule'!$F$45="","",IF(OR($A147&lt;'Recurring Schedule'!$F$45,$A147&gt;'Recurring Schedule'!$P$45),"",IF(IF('Recurring Schedule'!$N$45&gt;0,MOD($A147-'Recurring Schedule'!$F$45,'Recurring Schedule'!$N$45)=0,IF('Recurring Schedule'!$O$45&gt;0,AND(DAY($A147)=MIN(DAY('Recurring Schedule'!$F$45),DAY(EOMONTH($A147,0))),MOD((YEAR($A147)-YEAR('Recurring Schedule'!$F$45))*12+MONTH($A147)-MONTH('Recurring Schedule'!$F$45),'Recurring Schedule'!$O$45)=0),IF('Recurring Schedule'!$E$45="Weekdays",WEEKDAY($A147,2)&lt;=5,$A147='Recurring Schedule'!$F$45))),40,""))))</f>
        <v/>
      </c>
      <c r="AP147">
        <f>COUNT(B147:AO147)</f>
        <v/>
      </c>
      <c r="AQ147">
        <f>AQ146+AP146</f>
        <v/>
      </c>
      <c r="AS147" t="inlineStr">
        <is>
          <t>R</t>
        </is>
      </c>
      <c r="AT147" t="n">
        <v>151</v>
      </c>
      <c r="AU147">
        <f>'Recurring Log'!C151&amp;""</f>
        <v/>
      </c>
      <c r="AV147">
        <f>'Recurring Log'!D151&amp;""</f>
        <v/>
      </c>
      <c r="AW147">
        <f>IF('Recurring Log'!E151="","",'Recurring Log'!E151)</f>
        <v/>
      </c>
      <c r="AX147">
        <f>IF('Recurring Log'!G151="","",'Recurring Log'!G151)</f>
        <v/>
      </c>
      <c r="AY147">
        <f>IF('Recurring Log'!H151="","",'Recurring Log'!H151)</f>
        <v/>
      </c>
      <c r="AZ147">
        <f>IF(AU147="","",IF('Recurring Log'!J151="","Not Started",'Recurring Log'!J151))</f>
        <v/>
      </c>
      <c r="BA147">
        <f>'Recurring Log'!L151&amp;""</f>
        <v/>
      </c>
      <c r="BB147">
        <f>'Recurring Log'!M151&amp;""</f>
        <v/>
      </c>
      <c r="BC147">
        <f>'Recurring Log'!N151&amp;""</f>
        <v/>
      </c>
      <c r="BD147">
        <f>'Recurring Log'!O151&amp;""</f>
        <v/>
      </c>
      <c r="BE147">
        <f>IF('Recurring Log'!K151="","",'Recurring Log'!K151)</f>
        <v/>
      </c>
      <c r="BF147">
        <f>IFERROR(MATCH(BA147,Setup!$L$6:$L$9,0),5)</f>
        <v/>
      </c>
      <c r="BG147">
        <f>IF(OR(AZ147="Done",AZ147="Cancelled"),1,0)</f>
        <v/>
      </c>
      <c r="BH147">
        <f>IF(AND(AU147&lt;&gt;"",ISNUMBER(AW147)),1,0)</f>
        <v/>
      </c>
      <c r="BI147">
        <f>IF(BH147=0,0,IF(AND(AW147&gt;='Tasks Filter'!$F$3,AW147&lt;='Tasks Filter'!$F$4,OR('Tasks Filter'!$I$3="",ISNUMBER(SEARCH('Tasks Filter'!$I$3,AU147))),OR('Tasks Filter'!$I$4="",BF147=IFERROR(MATCH('Tasks Filter'!$I$4,Setup!$L$6:$L$9,0),0)),OR('Tasks Filter'!$I$5="Both",AND('Tasks Filter'!$I$5="Yes",BB147="✓"),AND('Tasks Filter'!$I$5="No",BB147&lt;&gt;"✓")),OR('Tasks Filter'!$L$3="",AV147='Tasks Filter'!$L$3),OR('Tasks Filter'!$L$4="",AZ147='Tasks Filter'!$L$4),OR('Tasks Filter'!$L$5="",BC147='Tasks Filter'!$L$5),OR('Tasks Filter'!$O$3="",BD147='Tasks Filter'!$O$3),OR('Tasks Filter'!$O$4="Yes",BG147=0)),1,0))</f>
        <v/>
      </c>
      <c r="BJ147">
        <f>IF(BH147=0,"",IF('Tasks Filter'!$F$6="Descending",-1,1)*CHOOSE(MATCH('Tasks Filter'!$F$5,Lists!$G$2:$G$6,0),AW147,BF147,IFERROR(MATCH(AV147,Setup!$F$6:$F$15,0),99),IFERROR(MATCH(BC147,Setup!$H$6:$H$15,0),99),IFERROR(MATCH(AZ147,Setup!$J$6:$J$11,0),99))*1E+9+(AW147-40000)*10000+146)</f>
        <v/>
      </c>
      <c r="BK147">
        <f>IF(BI147=1,BJ147,"")</f>
        <v/>
      </c>
      <c r="BL147">
        <f>IF(AND(BH147=1,BG147=0,N(AW147)&lt;Setup!$D$7),(AW147-40000)*10000+146,"")</f>
        <v/>
      </c>
      <c r="BM147">
        <f>IF(AND(BH147=1,AZ147&lt;&gt;"Cancelled",N(AW147)&gt;=Dashboard!$AB$3,N(AW147)&lt;=Dashboard!$AB$3+6),(AW147-40000)*100000+BF147*10000+146,"")</f>
        <v/>
      </c>
      <c r="BN147">
        <f>IF(AND(BH147=1,AZ147&lt;&gt;"Cancelled"),BF147*10000+146,"")</f>
        <v/>
      </c>
    </row>
    <row r="148">
      <c r="A148">
        <f>Setup!$D$5+146</f>
        <v/>
      </c>
      <c r="B148">
        <f>IF('Recurring Schedule'!$C$6="","",IF('Recurring Schedule'!$F$6="","",IF(OR($A148&lt;'Recurring Schedule'!$F$6,$A148&gt;'Recurring Schedule'!$P$6),"",IF(IF('Recurring Schedule'!$N$6&gt;0,MOD($A148-'Recurring Schedule'!$F$6,'Recurring Schedule'!$N$6)=0,IF('Recurring Schedule'!$O$6&gt;0,AND(DAY($A148)=MIN(DAY('Recurring Schedule'!$F$6),DAY(EOMONTH($A148,0))),MOD((YEAR($A148)-YEAR('Recurring Schedule'!$F$6))*12+MONTH($A148)-MONTH('Recurring Schedule'!$F$6),'Recurring Schedule'!$O$6)=0),IF('Recurring Schedule'!$E$6="Weekdays",WEEKDAY($A148,2)&lt;=5,$A148='Recurring Schedule'!$F$6))),1,""))))</f>
        <v/>
      </c>
      <c r="C148">
        <f>IF('Recurring Schedule'!$C$7="","",IF('Recurring Schedule'!$F$7="","",IF(OR($A148&lt;'Recurring Schedule'!$F$7,$A148&gt;'Recurring Schedule'!$P$7),"",IF(IF('Recurring Schedule'!$N$7&gt;0,MOD($A148-'Recurring Schedule'!$F$7,'Recurring Schedule'!$N$7)=0,IF('Recurring Schedule'!$O$7&gt;0,AND(DAY($A148)=MIN(DAY('Recurring Schedule'!$F$7),DAY(EOMONTH($A148,0))),MOD((YEAR($A148)-YEAR('Recurring Schedule'!$F$7))*12+MONTH($A148)-MONTH('Recurring Schedule'!$F$7),'Recurring Schedule'!$O$7)=0),IF('Recurring Schedule'!$E$7="Weekdays",WEEKDAY($A148,2)&lt;=5,$A148='Recurring Schedule'!$F$7))),2,""))))</f>
        <v/>
      </c>
      <c r="D148">
        <f>IF('Recurring Schedule'!$C$8="","",IF('Recurring Schedule'!$F$8="","",IF(OR($A148&lt;'Recurring Schedule'!$F$8,$A148&gt;'Recurring Schedule'!$P$8),"",IF(IF('Recurring Schedule'!$N$8&gt;0,MOD($A148-'Recurring Schedule'!$F$8,'Recurring Schedule'!$N$8)=0,IF('Recurring Schedule'!$O$8&gt;0,AND(DAY($A148)=MIN(DAY('Recurring Schedule'!$F$8),DAY(EOMONTH($A148,0))),MOD((YEAR($A148)-YEAR('Recurring Schedule'!$F$8))*12+MONTH($A148)-MONTH('Recurring Schedule'!$F$8),'Recurring Schedule'!$O$8)=0),IF('Recurring Schedule'!$E$8="Weekdays",WEEKDAY($A148,2)&lt;=5,$A148='Recurring Schedule'!$F$8))),3,""))))</f>
        <v/>
      </c>
      <c r="E148">
        <f>IF('Recurring Schedule'!$C$9="","",IF('Recurring Schedule'!$F$9="","",IF(OR($A148&lt;'Recurring Schedule'!$F$9,$A148&gt;'Recurring Schedule'!$P$9),"",IF(IF('Recurring Schedule'!$N$9&gt;0,MOD($A148-'Recurring Schedule'!$F$9,'Recurring Schedule'!$N$9)=0,IF('Recurring Schedule'!$O$9&gt;0,AND(DAY($A148)=MIN(DAY('Recurring Schedule'!$F$9),DAY(EOMONTH($A148,0))),MOD((YEAR($A148)-YEAR('Recurring Schedule'!$F$9))*12+MONTH($A148)-MONTH('Recurring Schedule'!$F$9),'Recurring Schedule'!$O$9)=0),IF('Recurring Schedule'!$E$9="Weekdays",WEEKDAY($A148,2)&lt;=5,$A148='Recurring Schedule'!$F$9))),4,""))))</f>
        <v/>
      </c>
      <c r="F148">
        <f>IF('Recurring Schedule'!$C$10="","",IF('Recurring Schedule'!$F$10="","",IF(OR($A148&lt;'Recurring Schedule'!$F$10,$A148&gt;'Recurring Schedule'!$P$10),"",IF(IF('Recurring Schedule'!$N$10&gt;0,MOD($A148-'Recurring Schedule'!$F$10,'Recurring Schedule'!$N$10)=0,IF('Recurring Schedule'!$O$10&gt;0,AND(DAY($A148)=MIN(DAY('Recurring Schedule'!$F$10),DAY(EOMONTH($A148,0))),MOD((YEAR($A148)-YEAR('Recurring Schedule'!$F$10))*12+MONTH($A148)-MONTH('Recurring Schedule'!$F$10),'Recurring Schedule'!$O$10)=0),IF('Recurring Schedule'!$E$10="Weekdays",WEEKDAY($A148,2)&lt;=5,$A148='Recurring Schedule'!$F$10))),5,""))))</f>
        <v/>
      </c>
      <c r="G148">
        <f>IF('Recurring Schedule'!$C$11="","",IF('Recurring Schedule'!$F$11="","",IF(OR($A148&lt;'Recurring Schedule'!$F$11,$A148&gt;'Recurring Schedule'!$P$11),"",IF(IF('Recurring Schedule'!$N$11&gt;0,MOD($A148-'Recurring Schedule'!$F$11,'Recurring Schedule'!$N$11)=0,IF('Recurring Schedule'!$O$11&gt;0,AND(DAY($A148)=MIN(DAY('Recurring Schedule'!$F$11),DAY(EOMONTH($A148,0))),MOD((YEAR($A148)-YEAR('Recurring Schedule'!$F$11))*12+MONTH($A148)-MONTH('Recurring Schedule'!$F$11),'Recurring Schedule'!$O$11)=0),IF('Recurring Schedule'!$E$11="Weekdays",WEEKDAY($A148,2)&lt;=5,$A148='Recurring Schedule'!$F$11))),6,""))))</f>
        <v/>
      </c>
      <c r="H148">
        <f>IF('Recurring Schedule'!$C$12="","",IF('Recurring Schedule'!$F$12="","",IF(OR($A148&lt;'Recurring Schedule'!$F$12,$A148&gt;'Recurring Schedule'!$P$12),"",IF(IF('Recurring Schedule'!$N$12&gt;0,MOD($A148-'Recurring Schedule'!$F$12,'Recurring Schedule'!$N$12)=0,IF('Recurring Schedule'!$O$12&gt;0,AND(DAY($A148)=MIN(DAY('Recurring Schedule'!$F$12),DAY(EOMONTH($A148,0))),MOD((YEAR($A148)-YEAR('Recurring Schedule'!$F$12))*12+MONTH($A148)-MONTH('Recurring Schedule'!$F$12),'Recurring Schedule'!$O$12)=0),IF('Recurring Schedule'!$E$12="Weekdays",WEEKDAY($A148,2)&lt;=5,$A148='Recurring Schedule'!$F$12))),7,""))))</f>
        <v/>
      </c>
      <c r="I148">
        <f>IF('Recurring Schedule'!$C$13="","",IF('Recurring Schedule'!$F$13="","",IF(OR($A148&lt;'Recurring Schedule'!$F$13,$A148&gt;'Recurring Schedule'!$P$13),"",IF(IF('Recurring Schedule'!$N$13&gt;0,MOD($A148-'Recurring Schedule'!$F$13,'Recurring Schedule'!$N$13)=0,IF('Recurring Schedule'!$O$13&gt;0,AND(DAY($A148)=MIN(DAY('Recurring Schedule'!$F$13),DAY(EOMONTH($A148,0))),MOD((YEAR($A148)-YEAR('Recurring Schedule'!$F$13))*12+MONTH($A148)-MONTH('Recurring Schedule'!$F$13),'Recurring Schedule'!$O$13)=0),IF('Recurring Schedule'!$E$13="Weekdays",WEEKDAY($A148,2)&lt;=5,$A148='Recurring Schedule'!$F$13))),8,""))))</f>
        <v/>
      </c>
      <c r="J148">
        <f>IF('Recurring Schedule'!$C$14="","",IF('Recurring Schedule'!$F$14="","",IF(OR($A148&lt;'Recurring Schedule'!$F$14,$A148&gt;'Recurring Schedule'!$P$14),"",IF(IF('Recurring Schedule'!$N$14&gt;0,MOD($A148-'Recurring Schedule'!$F$14,'Recurring Schedule'!$N$14)=0,IF('Recurring Schedule'!$O$14&gt;0,AND(DAY($A148)=MIN(DAY('Recurring Schedule'!$F$14),DAY(EOMONTH($A148,0))),MOD((YEAR($A148)-YEAR('Recurring Schedule'!$F$14))*12+MONTH($A148)-MONTH('Recurring Schedule'!$F$14),'Recurring Schedule'!$O$14)=0),IF('Recurring Schedule'!$E$14="Weekdays",WEEKDAY($A148,2)&lt;=5,$A148='Recurring Schedule'!$F$14))),9,""))))</f>
        <v/>
      </c>
      <c r="K148">
        <f>IF('Recurring Schedule'!$C$15="","",IF('Recurring Schedule'!$F$15="","",IF(OR($A148&lt;'Recurring Schedule'!$F$15,$A148&gt;'Recurring Schedule'!$P$15),"",IF(IF('Recurring Schedule'!$N$15&gt;0,MOD($A148-'Recurring Schedule'!$F$15,'Recurring Schedule'!$N$15)=0,IF('Recurring Schedule'!$O$15&gt;0,AND(DAY($A148)=MIN(DAY('Recurring Schedule'!$F$15),DAY(EOMONTH($A148,0))),MOD((YEAR($A148)-YEAR('Recurring Schedule'!$F$15))*12+MONTH($A148)-MONTH('Recurring Schedule'!$F$15),'Recurring Schedule'!$O$15)=0),IF('Recurring Schedule'!$E$15="Weekdays",WEEKDAY($A148,2)&lt;=5,$A148='Recurring Schedule'!$F$15))),10,""))))</f>
        <v/>
      </c>
      <c r="L148">
        <f>IF('Recurring Schedule'!$C$16="","",IF('Recurring Schedule'!$F$16="","",IF(OR($A148&lt;'Recurring Schedule'!$F$16,$A148&gt;'Recurring Schedule'!$P$16),"",IF(IF('Recurring Schedule'!$N$16&gt;0,MOD($A148-'Recurring Schedule'!$F$16,'Recurring Schedule'!$N$16)=0,IF('Recurring Schedule'!$O$16&gt;0,AND(DAY($A148)=MIN(DAY('Recurring Schedule'!$F$16),DAY(EOMONTH($A148,0))),MOD((YEAR($A148)-YEAR('Recurring Schedule'!$F$16))*12+MONTH($A148)-MONTH('Recurring Schedule'!$F$16),'Recurring Schedule'!$O$16)=0),IF('Recurring Schedule'!$E$16="Weekdays",WEEKDAY($A148,2)&lt;=5,$A148='Recurring Schedule'!$F$16))),11,""))))</f>
        <v/>
      </c>
      <c r="M148">
        <f>IF('Recurring Schedule'!$C$17="","",IF('Recurring Schedule'!$F$17="","",IF(OR($A148&lt;'Recurring Schedule'!$F$17,$A148&gt;'Recurring Schedule'!$P$17),"",IF(IF('Recurring Schedule'!$N$17&gt;0,MOD($A148-'Recurring Schedule'!$F$17,'Recurring Schedule'!$N$17)=0,IF('Recurring Schedule'!$O$17&gt;0,AND(DAY($A148)=MIN(DAY('Recurring Schedule'!$F$17),DAY(EOMONTH($A148,0))),MOD((YEAR($A148)-YEAR('Recurring Schedule'!$F$17))*12+MONTH($A148)-MONTH('Recurring Schedule'!$F$17),'Recurring Schedule'!$O$17)=0),IF('Recurring Schedule'!$E$17="Weekdays",WEEKDAY($A148,2)&lt;=5,$A148='Recurring Schedule'!$F$17))),12,""))))</f>
        <v/>
      </c>
      <c r="N148">
        <f>IF('Recurring Schedule'!$C$18="","",IF('Recurring Schedule'!$F$18="","",IF(OR($A148&lt;'Recurring Schedule'!$F$18,$A148&gt;'Recurring Schedule'!$P$18),"",IF(IF('Recurring Schedule'!$N$18&gt;0,MOD($A148-'Recurring Schedule'!$F$18,'Recurring Schedule'!$N$18)=0,IF('Recurring Schedule'!$O$18&gt;0,AND(DAY($A148)=MIN(DAY('Recurring Schedule'!$F$18),DAY(EOMONTH($A148,0))),MOD((YEAR($A148)-YEAR('Recurring Schedule'!$F$18))*12+MONTH($A148)-MONTH('Recurring Schedule'!$F$18),'Recurring Schedule'!$O$18)=0),IF('Recurring Schedule'!$E$18="Weekdays",WEEKDAY($A148,2)&lt;=5,$A148='Recurring Schedule'!$F$18))),13,""))))</f>
        <v/>
      </c>
      <c r="O148">
        <f>IF('Recurring Schedule'!$C$19="","",IF('Recurring Schedule'!$F$19="","",IF(OR($A148&lt;'Recurring Schedule'!$F$19,$A148&gt;'Recurring Schedule'!$P$19),"",IF(IF('Recurring Schedule'!$N$19&gt;0,MOD($A148-'Recurring Schedule'!$F$19,'Recurring Schedule'!$N$19)=0,IF('Recurring Schedule'!$O$19&gt;0,AND(DAY($A148)=MIN(DAY('Recurring Schedule'!$F$19),DAY(EOMONTH($A148,0))),MOD((YEAR($A148)-YEAR('Recurring Schedule'!$F$19))*12+MONTH($A148)-MONTH('Recurring Schedule'!$F$19),'Recurring Schedule'!$O$19)=0),IF('Recurring Schedule'!$E$19="Weekdays",WEEKDAY($A148,2)&lt;=5,$A148='Recurring Schedule'!$F$19))),14,""))))</f>
        <v/>
      </c>
      <c r="P148">
        <f>IF('Recurring Schedule'!$C$20="","",IF('Recurring Schedule'!$F$20="","",IF(OR($A148&lt;'Recurring Schedule'!$F$20,$A148&gt;'Recurring Schedule'!$P$20),"",IF(IF('Recurring Schedule'!$N$20&gt;0,MOD($A148-'Recurring Schedule'!$F$20,'Recurring Schedule'!$N$20)=0,IF('Recurring Schedule'!$O$20&gt;0,AND(DAY($A148)=MIN(DAY('Recurring Schedule'!$F$20),DAY(EOMONTH($A148,0))),MOD((YEAR($A148)-YEAR('Recurring Schedule'!$F$20))*12+MONTH($A148)-MONTH('Recurring Schedule'!$F$20),'Recurring Schedule'!$O$20)=0),IF('Recurring Schedule'!$E$20="Weekdays",WEEKDAY($A148,2)&lt;=5,$A148='Recurring Schedule'!$F$20))),15,""))))</f>
        <v/>
      </c>
      <c r="Q148">
        <f>IF('Recurring Schedule'!$C$21="","",IF('Recurring Schedule'!$F$21="","",IF(OR($A148&lt;'Recurring Schedule'!$F$21,$A148&gt;'Recurring Schedule'!$P$21),"",IF(IF('Recurring Schedule'!$N$21&gt;0,MOD($A148-'Recurring Schedule'!$F$21,'Recurring Schedule'!$N$21)=0,IF('Recurring Schedule'!$O$21&gt;0,AND(DAY($A148)=MIN(DAY('Recurring Schedule'!$F$21),DAY(EOMONTH($A148,0))),MOD((YEAR($A148)-YEAR('Recurring Schedule'!$F$21))*12+MONTH($A148)-MONTH('Recurring Schedule'!$F$21),'Recurring Schedule'!$O$21)=0),IF('Recurring Schedule'!$E$21="Weekdays",WEEKDAY($A148,2)&lt;=5,$A148='Recurring Schedule'!$F$21))),16,""))))</f>
        <v/>
      </c>
      <c r="R148">
        <f>IF('Recurring Schedule'!$C$22="","",IF('Recurring Schedule'!$F$22="","",IF(OR($A148&lt;'Recurring Schedule'!$F$22,$A148&gt;'Recurring Schedule'!$P$22),"",IF(IF('Recurring Schedule'!$N$22&gt;0,MOD($A148-'Recurring Schedule'!$F$22,'Recurring Schedule'!$N$22)=0,IF('Recurring Schedule'!$O$22&gt;0,AND(DAY($A148)=MIN(DAY('Recurring Schedule'!$F$22),DAY(EOMONTH($A148,0))),MOD((YEAR($A148)-YEAR('Recurring Schedule'!$F$22))*12+MONTH($A148)-MONTH('Recurring Schedule'!$F$22),'Recurring Schedule'!$O$22)=0),IF('Recurring Schedule'!$E$22="Weekdays",WEEKDAY($A148,2)&lt;=5,$A148='Recurring Schedule'!$F$22))),17,""))))</f>
        <v/>
      </c>
      <c r="S148">
        <f>IF('Recurring Schedule'!$C$23="","",IF('Recurring Schedule'!$F$23="","",IF(OR($A148&lt;'Recurring Schedule'!$F$23,$A148&gt;'Recurring Schedule'!$P$23),"",IF(IF('Recurring Schedule'!$N$23&gt;0,MOD($A148-'Recurring Schedule'!$F$23,'Recurring Schedule'!$N$23)=0,IF('Recurring Schedule'!$O$23&gt;0,AND(DAY($A148)=MIN(DAY('Recurring Schedule'!$F$23),DAY(EOMONTH($A148,0))),MOD((YEAR($A148)-YEAR('Recurring Schedule'!$F$23))*12+MONTH($A148)-MONTH('Recurring Schedule'!$F$23),'Recurring Schedule'!$O$23)=0),IF('Recurring Schedule'!$E$23="Weekdays",WEEKDAY($A148,2)&lt;=5,$A148='Recurring Schedule'!$F$23))),18,""))))</f>
        <v/>
      </c>
      <c r="T148">
        <f>IF('Recurring Schedule'!$C$24="","",IF('Recurring Schedule'!$F$24="","",IF(OR($A148&lt;'Recurring Schedule'!$F$24,$A148&gt;'Recurring Schedule'!$P$24),"",IF(IF('Recurring Schedule'!$N$24&gt;0,MOD($A148-'Recurring Schedule'!$F$24,'Recurring Schedule'!$N$24)=0,IF('Recurring Schedule'!$O$24&gt;0,AND(DAY($A148)=MIN(DAY('Recurring Schedule'!$F$24),DAY(EOMONTH($A148,0))),MOD((YEAR($A148)-YEAR('Recurring Schedule'!$F$24))*12+MONTH($A148)-MONTH('Recurring Schedule'!$F$24),'Recurring Schedule'!$O$24)=0),IF('Recurring Schedule'!$E$24="Weekdays",WEEKDAY($A148,2)&lt;=5,$A148='Recurring Schedule'!$F$24))),19,""))))</f>
        <v/>
      </c>
      <c r="U148">
        <f>IF('Recurring Schedule'!$C$25="","",IF('Recurring Schedule'!$F$25="","",IF(OR($A148&lt;'Recurring Schedule'!$F$25,$A148&gt;'Recurring Schedule'!$P$25),"",IF(IF('Recurring Schedule'!$N$25&gt;0,MOD($A148-'Recurring Schedule'!$F$25,'Recurring Schedule'!$N$25)=0,IF('Recurring Schedule'!$O$25&gt;0,AND(DAY($A148)=MIN(DAY('Recurring Schedule'!$F$25),DAY(EOMONTH($A148,0))),MOD((YEAR($A148)-YEAR('Recurring Schedule'!$F$25))*12+MONTH($A148)-MONTH('Recurring Schedule'!$F$25),'Recurring Schedule'!$O$25)=0),IF('Recurring Schedule'!$E$25="Weekdays",WEEKDAY($A148,2)&lt;=5,$A148='Recurring Schedule'!$F$25))),20,""))))</f>
        <v/>
      </c>
      <c r="V148">
        <f>IF('Recurring Schedule'!$C$26="","",IF('Recurring Schedule'!$F$26="","",IF(OR($A148&lt;'Recurring Schedule'!$F$26,$A148&gt;'Recurring Schedule'!$P$26),"",IF(IF('Recurring Schedule'!$N$26&gt;0,MOD($A148-'Recurring Schedule'!$F$26,'Recurring Schedule'!$N$26)=0,IF('Recurring Schedule'!$O$26&gt;0,AND(DAY($A148)=MIN(DAY('Recurring Schedule'!$F$26),DAY(EOMONTH($A148,0))),MOD((YEAR($A148)-YEAR('Recurring Schedule'!$F$26))*12+MONTH($A148)-MONTH('Recurring Schedule'!$F$26),'Recurring Schedule'!$O$26)=0),IF('Recurring Schedule'!$E$26="Weekdays",WEEKDAY($A148,2)&lt;=5,$A148='Recurring Schedule'!$F$26))),21,""))))</f>
        <v/>
      </c>
      <c r="W148">
        <f>IF('Recurring Schedule'!$C$27="","",IF('Recurring Schedule'!$F$27="","",IF(OR($A148&lt;'Recurring Schedule'!$F$27,$A148&gt;'Recurring Schedule'!$P$27),"",IF(IF('Recurring Schedule'!$N$27&gt;0,MOD($A148-'Recurring Schedule'!$F$27,'Recurring Schedule'!$N$27)=0,IF('Recurring Schedule'!$O$27&gt;0,AND(DAY($A148)=MIN(DAY('Recurring Schedule'!$F$27),DAY(EOMONTH($A148,0))),MOD((YEAR($A148)-YEAR('Recurring Schedule'!$F$27))*12+MONTH($A148)-MONTH('Recurring Schedule'!$F$27),'Recurring Schedule'!$O$27)=0),IF('Recurring Schedule'!$E$27="Weekdays",WEEKDAY($A148,2)&lt;=5,$A148='Recurring Schedule'!$F$27))),22,""))))</f>
        <v/>
      </c>
      <c r="X148">
        <f>IF('Recurring Schedule'!$C$28="","",IF('Recurring Schedule'!$F$28="","",IF(OR($A148&lt;'Recurring Schedule'!$F$28,$A148&gt;'Recurring Schedule'!$P$28),"",IF(IF('Recurring Schedule'!$N$28&gt;0,MOD($A148-'Recurring Schedule'!$F$28,'Recurring Schedule'!$N$28)=0,IF('Recurring Schedule'!$O$28&gt;0,AND(DAY($A148)=MIN(DAY('Recurring Schedule'!$F$28),DAY(EOMONTH($A148,0))),MOD((YEAR($A148)-YEAR('Recurring Schedule'!$F$28))*12+MONTH($A148)-MONTH('Recurring Schedule'!$F$28),'Recurring Schedule'!$O$28)=0),IF('Recurring Schedule'!$E$28="Weekdays",WEEKDAY($A148,2)&lt;=5,$A148='Recurring Schedule'!$F$28))),23,""))))</f>
        <v/>
      </c>
      <c r="Y148">
        <f>IF('Recurring Schedule'!$C$29="","",IF('Recurring Schedule'!$F$29="","",IF(OR($A148&lt;'Recurring Schedule'!$F$29,$A148&gt;'Recurring Schedule'!$P$29),"",IF(IF('Recurring Schedule'!$N$29&gt;0,MOD($A148-'Recurring Schedule'!$F$29,'Recurring Schedule'!$N$29)=0,IF('Recurring Schedule'!$O$29&gt;0,AND(DAY($A148)=MIN(DAY('Recurring Schedule'!$F$29),DAY(EOMONTH($A148,0))),MOD((YEAR($A148)-YEAR('Recurring Schedule'!$F$29))*12+MONTH($A148)-MONTH('Recurring Schedule'!$F$29),'Recurring Schedule'!$O$29)=0),IF('Recurring Schedule'!$E$29="Weekdays",WEEKDAY($A148,2)&lt;=5,$A148='Recurring Schedule'!$F$29))),24,""))))</f>
        <v/>
      </c>
      <c r="Z148">
        <f>IF('Recurring Schedule'!$C$30="","",IF('Recurring Schedule'!$F$30="","",IF(OR($A148&lt;'Recurring Schedule'!$F$30,$A148&gt;'Recurring Schedule'!$P$30),"",IF(IF('Recurring Schedule'!$N$30&gt;0,MOD($A148-'Recurring Schedule'!$F$30,'Recurring Schedule'!$N$30)=0,IF('Recurring Schedule'!$O$30&gt;0,AND(DAY($A148)=MIN(DAY('Recurring Schedule'!$F$30),DAY(EOMONTH($A148,0))),MOD((YEAR($A148)-YEAR('Recurring Schedule'!$F$30))*12+MONTH($A148)-MONTH('Recurring Schedule'!$F$30),'Recurring Schedule'!$O$30)=0),IF('Recurring Schedule'!$E$30="Weekdays",WEEKDAY($A148,2)&lt;=5,$A148='Recurring Schedule'!$F$30))),25,""))))</f>
        <v/>
      </c>
      <c r="AA148">
        <f>IF('Recurring Schedule'!$C$31="","",IF('Recurring Schedule'!$F$31="","",IF(OR($A148&lt;'Recurring Schedule'!$F$31,$A148&gt;'Recurring Schedule'!$P$31),"",IF(IF('Recurring Schedule'!$N$31&gt;0,MOD($A148-'Recurring Schedule'!$F$31,'Recurring Schedule'!$N$31)=0,IF('Recurring Schedule'!$O$31&gt;0,AND(DAY($A148)=MIN(DAY('Recurring Schedule'!$F$31),DAY(EOMONTH($A148,0))),MOD((YEAR($A148)-YEAR('Recurring Schedule'!$F$31))*12+MONTH($A148)-MONTH('Recurring Schedule'!$F$31),'Recurring Schedule'!$O$31)=0),IF('Recurring Schedule'!$E$31="Weekdays",WEEKDAY($A148,2)&lt;=5,$A148='Recurring Schedule'!$F$31))),26,""))))</f>
        <v/>
      </c>
      <c r="AB148">
        <f>IF('Recurring Schedule'!$C$32="","",IF('Recurring Schedule'!$F$32="","",IF(OR($A148&lt;'Recurring Schedule'!$F$32,$A148&gt;'Recurring Schedule'!$P$32),"",IF(IF('Recurring Schedule'!$N$32&gt;0,MOD($A148-'Recurring Schedule'!$F$32,'Recurring Schedule'!$N$32)=0,IF('Recurring Schedule'!$O$32&gt;0,AND(DAY($A148)=MIN(DAY('Recurring Schedule'!$F$32),DAY(EOMONTH($A148,0))),MOD((YEAR($A148)-YEAR('Recurring Schedule'!$F$32))*12+MONTH($A148)-MONTH('Recurring Schedule'!$F$32),'Recurring Schedule'!$O$32)=0),IF('Recurring Schedule'!$E$32="Weekdays",WEEKDAY($A148,2)&lt;=5,$A148='Recurring Schedule'!$F$32))),27,""))))</f>
        <v/>
      </c>
      <c r="AC148">
        <f>IF('Recurring Schedule'!$C$33="","",IF('Recurring Schedule'!$F$33="","",IF(OR($A148&lt;'Recurring Schedule'!$F$33,$A148&gt;'Recurring Schedule'!$P$33),"",IF(IF('Recurring Schedule'!$N$33&gt;0,MOD($A148-'Recurring Schedule'!$F$33,'Recurring Schedule'!$N$33)=0,IF('Recurring Schedule'!$O$33&gt;0,AND(DAY($A148)=MIN(DAY('Recurring Schedule'!$F$33),DAY(EOMONTH($A148,0))),MOD((YEAR($A148)-YEAR('Recurring Schedule'!$F$33))*12+MONTH($A148)-MONTH('Recurring Schedule'!$F$33),'Recurring Schedule'!$O$33)=0),IF('Recurring Schedule'!$E$33="Weekdays",WEEKDAY($A148,2)&lt;=5,$A148='Recurring Schedule'!$F$33))),28,""))))</f>
        <v/>
      </c>
      <c r="AD148">
        <f>IF('Recurring Schedule'!$C$34="","",IF('Recurring Schedule'!$F$34="","",IF(OR($A148&lt;'Recurring Schedule'!$F$34,$A148&gt;'Recurring Schedule'!$P$34),"",IF(IF('Recurring Schedule'!$N$34&gt;0,MOD($A148-'Recurring Schedule'!$F$34,'Recurring Schedule'!$N$34)=0,IF('Recurring Schedule'!$O$34&gt;0,AND(DAY($A148)=MIN(DAY('Recurring Schedule'!$F$34),DAY(EOMONTH($A148,0))),MOD((YEAR($A148)-YEAR('Recurring Schedule'!$F$34))*12+MONTH($A148)-MONTH('Recurring Schedule'!$F$34),'Recurring Schedule'!$O$34)=0),IF('Recurring Schedule'!$E$34="Weekdays",WEEKDAY($A148,2)&lt;=5,$A148='Recurring Schedule'!$F$34))),29,""))))</f>
        <v/>
      </c>
      <c r="AE148">
        <f>IF('Recurring Schedule'!$C$35="","",IF('Recurring Schedule'!$F$35="","",IF(OR($A148&lt;'Recurring Schedule'!$F$35,$A148&gt;'Recurring Schedule'!$P$35),"",IF(IF('Recurring Schedule'!$N$35&gt;0,MOD($A148-'Recurring Schedule'!$F$35,'Recurring Schedule'!$N$35)=0,IF('Recurring Schedule'!$O$35&gt;0,AND(DAY($A148)=MIN(DAY('Recurring Schedule'!$F$35),DAY(EOMONTH($A148,0))),MOD((YEAR($A148)-YEAR('Recurring Schedule'!$F$35))*12+MONTH($A148)-MONTH('Recurring Schedule'!$F$35),'Recurring Schedule'!$O$35)=0),IF('Recurring Schedule'!$E$35="Weekdays",WEEKDAY($A148,2)&lt;=5,$A148='Recurring Schedule'!$F$35))),30,""))))</f>
        <v/>
      </c>
      <c r="AF148">
        <f>IF('Recurring Schedule'!$C$36="","",IF('Recurring Schedule'!$F$36="","",IF(OR($A148&lt;'Recurring Schedule'!$F$36,$A148&gt;'Recurring Schedule'!$P$36),"",IF(IF('Recurring Schedule'!$N$36&gt;0,MOD($A148-'Recurring Schedule'!$F$36,'Recurring Schedule'!$N$36)=0,IF('Recurring Schedule'!$O$36&gt;0,AND(DAY($A148)=MIN(DAY('Recurring Schedule'!$F$36),DAY(EOMONTH($A148,0))),MOD((YEAR($A148)-YEAR('Recurring Schedule'!$F$36))*12+MONTH($A148)-MONTH('Recurring Schedule'!$F$36),'Recurring Schedule'!$O$36)=0),IF('Recurring Schedule'!$E$36="Weekdays",WEEKDAY($A148,2)&lt;=5,$A148='Recurring Schedule'!$F$36))),31,""))))</f>
        <v/>
      </c>
      <c r="AG148">
        <f>IF('Recurring Schedule'!$C$37="","",IF('Recurring Schedule'!$F$37="","",IF(OR($A148&lt;'Recurring Schedule'!$F$37,$A148&gt;'Recurring Schedule'!$P$37),"",IF(IF('Recurring Schedule'!$N$37&gt;0,MOD($A148-'Recurring Schedule'!$F$37,'Recurring Schedule'!$N$37)=0,IF('Recurring Schedule'!$O$37&gt;0,AND(DAY($A148)=MIN(DAY('Recurring Schedule'!$F$37),DAY(EOMONTH($A148,0))),MOD((YEAR($A148)-YEAR('Recurring Schedule'!$F$37))*12+MONTH($A148)-MONTH('Recurring Schedule'!$F$37),'Recurring Schedule'!$O$37)=0),IF('Recurring Schedule'!$E$37="Weekdays",WEEKDAY($A148,2)&lt;=5,$A148='Recurring Schedule'!$F$37))),32,""))))</f>
        <v/>
      </c>
      <c r="AH148">
        <f>IF('Recurring Schedule'!$C$38="","",IF('Recurring Schedule'!$F$38="","",IF(OR($A148&lt;'Recurring Schedule'!$F$38,$A148&gt;'Recurring Schedule'!$P$38),"",IF(IF('Recurring Schedule'!$N$38&gt;0,MOD($A148-'Recurring Schedule'!$F$38,'Recurring Schedule'!$N$38)=0,IF('Recurring Schedule'!$O$38&gt;0,AND(DAY($A148)=MIN(DAY('Recurring Schedule'!$F$38),DAY(EOMONTH($A148,0))),MOD((YEAR($A148)-YEAR('Recurring Schedule'!$F$38))*12+MONTH($A148)-MONTH('Recurring Schedule'!$F$38),'Recurring Schedule'!$O$38)=0),IF('Recurring Schedule'!$E$38="Weekdays",WEEKDAY($A148,2)&lt;=5,$A148='Recurring Schedule'!$F$38))),33,""))))</f>
        <v/>
      </c>
      <c r="AI148">
        <f>IF('Recurring Schedule'!$C$39="","",IF('Recurring Schedule'!$F$39="","",IF(OR($A148&lt;'Recurring Schedule'!$F$39,$A148&gt;'Recurring Schedule'!$P$39),"",IF(IF('Recurring Schedule'!$N$39&gt;0,MOD($A148-'Recurring Schedule'!$F$39,'Recurring Schedule'!$N$39)=0,IF('Recurring Schedule'!$O$39&gt;0,AND(DAY($A148)=MIN(DAY('Recurring Schedule'!$F$39),DAY(EOMONTH($A148,0))),MOD((YEAR($A148)-YEAR('Recurring Schedule'!$F$39))*12+MONTH($A148)-MONTH('Recurring Schedule'!$F$39),'Recurring Schedule'!$O$39)=0),IF('Recurring Schedule'!$E$39="Weekdays",WEEKDAY($A148,2)&lt;=5,$A148='Recurring Schedule'!$F$39))),34,""))))</f>
        <v/>
      </c>
      <c r="AJ148">
        <f>IF('Recurring Schedule'!$C$40="","",IF('Recurring Schedule'!$F$40="","",IF(OR($A148&lt;'Recurring Schedule'!$F$40,$A148&gt;'Recurring Schedule'!$P$40),"",IF(IF('Recurring Schedule'!$N$40&gt;0,MOD($A148-'Recurring Schedule'!$F$40,'Recurring Schedule'!$N$40)=0,IF('Recurring Schedule'!$O$40&gt;0,AND(DAY($A148)=MIN(DAY('Recurring Schedule'!$F$40),DAY(EOMONTH($A148,0))),MOD((YEAR($A148)-YEAR('Recurring Schedule'!$F$40))*12+MONTH($A148)-MONTH('Recurring Schedule'!$F$40),'Recurring Schedule'!$O$40)=0),IF('Recurring Schedule'!$E$40="Weekdays",WEEKDAY($A148,2)&lt;=5,$A148='Recurring Schedule'!$F$40))),35,""))))</f>
        <v/>
      </c>
      <c r="AK148">
        <f>IF('Recurring Schedule'!$C$41="","",IF('Recurring Schedule'!$F$41="","",IF(OR($A148&lt;'Recurring Schedule'!$F$41,$A148&gt;'Recurring Schedule'!$P$41),"",IF(IF('Recurring Schedule'!$N$41&gt;0,MOD($A148-'Recurring Schedule'!$F$41,'Recurring Schedule'!$N$41)=0,IF('Recurring Schedule'!$O$41&gt;0,AND(DAY($A148)=MIN(DAY('Recurring Schedule'!$F$41),DAY(EOMONTH($A148,0))),MOD((YEAR($A148)-YEAR('Recurring Schedule'!$F$41))*12+MONTH($A148)-MONTH('Recurring Schedule'!$F$41),'Recurring Schedule'!$O$41)=0),IF('Recurring Schedule'!$E$41="Weekdays",WEEKDAY($A148,2)&lt;=5,$A148='Recurring Schedule'!$F$41))),36,""))))</f>
        <v/>
      </c>
      <c r="AL148">
        <f>IF('Recurring Schedule'!$C$42="","",IF('Recurring Schedule'!$F$42="","",IF(OR($A148&lt;'Recurring Schedule'!$F$42,$A148&gt;'Recurring Schedule'!$P$42),"",IF(IF('Recurring Schedule'!$N$42&gt;0,MOD($A148-'Recurring Schedule'!$F$42,'Recurring Schedule'!$N$42)=0,IF('Recurring Schedule'!$O$42&gt;0,AND(DAY($A148)=MIN(DAY('Recurring Schedule'!$F$42),DAY(EOMONTH($A148,0))),MOD((YEAR($A148)-YEAR('Recurring Schedule'!$F$42))*12+MONTH($A148)-MONTH('Recurring Schedule'!$F$42),'Recurring Schedule'!$O$42)=0),IF('Recurring Schedule'!$E$42="Weekdays",WEEKDAY($A148,2)&lt;=5,$A148='Recurring Schedule'!$F$42))),37,""))))</f>
        <v/>
      </c>
      <c r="AM148">
        <f>IF('Recurring Schedule'!$C$43="","",IF('Recurring Schedule'!$F$43="","",IF(OR($A148&lt;'Recurring Schedule'!$F$43,$A148&gt;'Recurring Schedule'!$P$43),"",IF(IF('Recurring Schedule'!$N$43&gt;0,MOD($A148-'Recurring Schedule'!$F$43,'Recurring Schedule'!$N$43)=0,IF('Recurring Schedule'!$O$43&gt;0,AND(DAY($A148)=MIN(DAY('Recurring Schedule'!$F$43),DAY(EOMONTH($A148,0))),MOD((YEAR($A148)-YEAR('Recurring Schedule'!$F$43))*12+MONTH($A148)-MONTH('Recurring Schedule'!$F$43),'Recurring Schedule'!$O$43)=0),IF('Recurring Schedule'!$E$43="Weekdays",WEEKDAY($A148,2)&lt;=5,$A148='Recurring Schedule'!$F$43))),38,""))))</f>
        <v/>
      </c>
      <c r="AN148">
        <f>IF('Recurring Schedule'!$C$44="","",IF('Recurring Schedule'!$F$44="","",IF(OR($A148&lt;'Recurring Schedule'!$F$44,$A148&gt;'Recurring Schedule'!$P$44),"",IF(IF('Recurring Schedule'!$N$44&gt;0,MOD($A148-'Recurring Schedule'!$F$44,'Recurring Schedule'!$N$44)=0,IF('Recurring Schedule'!$O$44&gt;0,AND(DAY($A148)=MIN(DAY('Recurring Schedule'!$F$44),DAY(EOMONTH($A148,0))),MOD((YEAR($A148)-YEAR('Recurring Schedule'!$F$44))*12+MONTH($A148)-MONTH('Recurring Schedule'!$F$44),'Recurring Schedule'!$O$44)=0),IF('Recurring Schedule'!$E$44="Weekdays",WEEKDAY($A148,2)&lt;=5,$A148='Recurring Schedule'!$F$44))),39,""))))</f>
        <v/>
      </c>
      <c r="AO148">
        <f>IF('Recurring Schedule'!$C$45="","",IF('Recurring Schedule'!$F$45="","",IF(OR($A148&lt;'Recurring Schedule'!$F$45,$A148&gt;'Recurring Schedule'!$P$45),"",IF(IF('Recurring Schedule'!$N$45&gt;0,MOD($A148-'Recurring Schedule'!$F$45,'Recurring Schedule'!$N$45)=0,IF('Recurring Schedule'!$O$45&gt;0,AND(DAY($A148)=MIN(DAY('Recurring Schedule'!$F$45),DAY(EOMONTH($A148,0))),MOD((YEAR($A148)-YEAR('Recurring Schedule'!$F$45))*12+MONTH($A148)-MONTH('Recurring Schedule'!$F$45),'Recurring Schedule'!$O$45)=0),IF('Recurring Schedule'!$E$45="Weekdays",WEEKDAY($A148,2)&lt;=5,$A148='Recurring Schedule'!$F$45))),40,""))))</f>
        <v/>
      </c>
      <c r="AP148">
        <f>COUNT(B148:AO148)</f>
        <v/>
      </c>
      <c r="AQ148">
        <f>AQ147+AP147</f>
        <v/>
      </c>
      <c r="AS148" t="inlineStr">
        <is>
          <t>R</t>
        </is>
      </c>
      <c r="AT148" t="n">
        <v>152</v>
      </c>
      <c r="AU148">
        <f>'Recurring Log'!C152&amp;""</f>
        <v/>
      </c>
      <c r="AV148">
        <f>'Recurring Log'!D152&amp;""</f>
        <v/>
      </c>
      <c r="AW148">
        <f>IF('Recurring Log'!E152="","",'Recurring Log'!E152)</f>
        <v/>
      </c>
      <c r="AX148">
        <f>IF('Recurring Log'!G152="","",'Recurring Log'!G152)</f>
        <v/>
      </c>
      <c r="AY148">
        <f>IF('Recurring Log'!H152="","",'Recurring Log'!H152)</f>
        <v/>
      </c>
      <c r="AZ148">
        <f>IF(AU148="","",IF('Recurring Log'!J152="","Not Started",'Recurring Log'!J152))</f>
        <v/>
      </c>
      <c r="BA148">
        <f>'Recurring Log'!L152&amp;""</f>
        <v/>
      </c>
      <c r="BB148">
        <f>'Recurring Log'!M152&amp;""</f>
        <v/>
      </c>
      <c r="BC148">
        <f>'Recurring Log'!N152&amp;""</f>
        <v/>
      </c>
      <c r="BD148">
        <f>'Recurring Log'!O152&amp;""</f>
        <v/>
      </c>
      <c r="BE148">
        <f>IF('Recurring Log'!K152="","",'Recurring Log'!K152)</f>
        <v/>
      </c>
      <c r="BF148">
        <f>IFERROR(MATCH(BA148,Setup!$L$6:$L$9,0),5)</f>
        <v/>
      </c>
      <c r="BG148">
        <f>IF(OR(AZ148="Done",AZ148="Cancelled"),1,0)</f>
        <v/>
      </c>
      <c r="BH148">
        <f>IF(AND(AU148&lt;&gt;"",ISNUMBER(AW148)),1,0)</f>
        <v/>
      </c>
      <c r="BI148">
        <f>IF(BH148=0,0,IF(AND(AW148&gt;='Tasks Filter'!$F$3,AW148&lt;='Tasks Filter'!$F$4,OR('Tasks Filter'!$I$3="",ISNUMBER(SEARCH('Tasks Filter'!$I$3,AU148))),OR('Tasks Filter'!$I$4="",BF148=IFERROR(MATCH('Tasks Filter'!$I$4,Setup!$L$6:$L$9,0),0)),OR('Tasks Filter'!$I$5="Both",AND('Tasks Filter'!$I$5="Yes",BB148="✓"),AND('Tasks Filter'!$I$5="No",BB148&lt;&gt;"✓")),OR('Tasks Filter'!$L$3="",AV148='Tasks Filter'!$L$3),OR('Tasks Filter'!$L$4="",AZ148='Tasks Filter'!$L$4),OR('Tasks Filter'!$L$5="",BC148='Tasks Filter'!$L$5),OR('Tasks Filter'!$O$3="",BD148='Tasks Filter'!$O$3),OR('Tasks Filter'!$O$4="Yes",BG148=0)),1,0))</f>
        <v/>
      </c>
      <c r="BJ148">
        <f>IF(BH148=0,"",IF('Tasks Filter'!$F$6="Descending",-1,1)*CHOOSE(MATCH('Tasks Filter'!$F$5,Lists!$G$2:$G$6,0),AW148,BF148,IFERROR(MATCH(AV148,Setup!$F$6:$F$15,0),99),IFERROR(MATCH(BC148,Setup!$H$6:$H$15,0),99),IFERROR(MATCH(AZ148,Setup!$J$6:$J$11,0),99))*1E+9+(AW148-40000)*10000+147)</f>
        <v/>
      </c>
      <c r="BK148">
        <f>IF(BI148=1,BJ148,"")</f>
        <v/>
      </c>
      <c r="BL148">
        <f>IF(AND(BH148=1,BG148=0,N(AW148)&lt;Setup!$D$7),(AW148-40000)*10000+147,"")</f>
        <v/>
      </c>
      <c r="BM148">
        <f>IF(AND(BH148=1,AZ148&lt;&gt;"Cancelled",N(AW148)&gt;=Dashboard!$AB$3,N(AW148)&lt;=Dashboard!$AB$3+6),(AW148-40000)*100000+BF148*10000+147,"")</f>
        <v/>
      </c>
      <c r="BN148">
        <f>IF(AND(BH148=1,AZ148&lt;&gt;"Cancelled"),BF148*10000+147,"")</f>
        <v/>
      </c>
    </row>
    <row r="149">
      <c r="A149">
        <f>Setup!$D$5+147</f>
        <v/>
      </c>
      <c r="B149">
        <f>IF('Recurring Schedule'!$C$6="","",IF('Recurring Schedule'!$F$6="","",IF(OR($A149&lt;'Recurring Schedule'!$F$6,$A149&gt;'Recurring Schedule'!$P$6),"",IF(IF('Recurring Schedule'!$N$6&gt;0,MOD($A149-'Recurring Schedule'!$F$6,'Recurring Schedule'!$N$6)=0,IF('Recurring Schedule'!$O$6&gt;0,AND(DAY($A149)=MIN(DAY('Recurring Schedule'!$F$6),DAY(EOMONTH($A149,0))),MOD((YEAR($A149)-YEAR('Recurring Schedule'!$F$6))*12+MONTH($A149)-MONTH('Recurring Schedule'!$F$6),'Recurring Schedule'!$O$6)=0),IF('Recurring Schedule'!$E$6="Weekdays",WEEKDAY($A149,2)&lt;=5,$A149='Recurring Schedule'!$F$6))),1,""))))</f>
        <v/>
      </c>
      <c r="C149">
        <f>IF('Recurring Schedule'!$C$7="","",IF('Recurring Schedule'!$F$7="","",IF(OR($A149&lt;'Recurring Schedule'!$F$7,$A149&gt;'Recurring Schedule'!$P$7),"",IF(IF('Recurring Schedule'!$N$7&gt;0,MOD($A149-'Recurring Schedule'!$F$7,'Recurring Schedule'!$N$7)=0,IF('Recurring Schedule'!$O$7&gt;0,AND(DAY($A149)=MIN(DAY('Recurring Schedule'!$F$7),DAY(EOMONTH($A149,0))),MOD((YEAR($A149)-YEAR('Recurring Schedule'!$F$7))*12+MONTH($A149)-MONTH('Recurring Schedule'!$F$7),'Recurring Schedule'!$O$7)=0),IF('Recurring Schedule'!$E$7="Weekdays",WEEKDAY($A149,2)&lt;=5,$A149='Recurring Schedule'!$F$7))),2,""))))</f>
        <v/>
      </c>
      <c r="D149">
        <f>IF('Recurring Schedule'!$C$8="","",IF('Recurring Schedule'!$F$8="","",IF(OR($A149&lt;'Recurring Schedule'!$F$8,$A149&gt;'Recurring Schedule'!$P$8),"",IF(IF('Recurring Schedule'!$N$8&gt;0,MOD($A149-'Recurring Schedule'!$F$8,'Recurring Schedule'!$N$8)=0,IF('Recurring Schedule'!$O$8&gt;0,AND(DAY($A149)=MIN(DAY('Recurring Schedule'!$F$8),DAY(EOMONTH($A149,0))),MOD((YEAR($A149)-YEAR('Recurring Schedule'!$F$8))*12+MONTH($A149)-MONTH('Recurring Schedule'!$F$8),'Recurring Schedule'!$O$8)=0),IF('Recurring Schedule'!$E$8="Weekdays",WEEKDAY($A149,2)&lt;=5,$A149='Recurring Schedule'!$F$8))),3,""))))</f>
        <v/>
      </c>
      <c r="E149">
        <f>IF('Recurring Schedule'!$C$9="","",IF('Recurring Schedule'!$F$9="","",IF(OR($A149&lt;'Recurring Schedule'!$F$9,$A149&gt;'Recurring Schedule'!$P$9),"",IF(IF('Recurring Schedule'!$N$9&gt;0,MOD($A149-'Recurring Schedule'!$F$9,'Recurring Schedule'!$N$9)=0,IF('Recurring Schedule'!$O$9&gt;0,AND(DAY($A149)=MIN(DAY('Recurring Schedule'!$F$9),DAY(EOMONTH($A149,0))),MOD((YEAR($A149)-YEAR('Recurring Schedule'!$F$9))*12+MONTH($A149)-MONTH('Recurring Schedule'!$F$9),'Recurring Schedule'!$O$9)=0),IF('Recurring Schedule'!$E$9="Weekdays",WEEKDAY($A149,2)&lt;=5,$A149='Recurring Schedule'!$F$9))),4,""))))</f>
        <v/>
      </c>
      <c r="F149">
        <f>IF('Recurring Schedule'!$C$10="","",IF('Recurring Schedule'!$F$10="","",IF(OR($A149&lt;'Recurring Schedule'!$F$10,$A149&gt;'Recurring Schedule'!$P$10),"",IF(IF('Recurring Schedule'!$N$10&gt;0,MOD($A149-'Recurring Schedule'!$F$10,'Recurring Schedule'!$N$10)=0,IF('Recurring Schedule'!$O$10&gt;0,AND(DAY($A149)=MIN(DAY('Recurring Schedule'!$F$10),DAY(EOMONTH($A149,0))),MOD((YEAR($A149)-YEAR('Recurring Schedule'!$F$10))*12+MONTH($A149)-MONTH('Recurring Schedule'!$F$10),'Recurring Schedule'!$O$10)=0),IF('Recurring Schedule'!$E$10="Weekdays",WEEKDAY($A149,2)&lt;=5,$A149='Recurring Schedule'!$F$10))),5,""))))</f>
        <v/>
      </c>
      <c r="G149">
        <f>IF('Recurring Schedule'!$C$11="","",IF('Recurring Schedule'!$F$11="","",IF(OR($A149&lt;'Recurring Schedule'!$F$11,$A149&gt;'Recurring Schedule'!$P$11),"",IF(IF('Recurring Schedule'!$N$11&gt;0,MOD($A149-'Recurring Schedule'!$F$11,'Recurring Schedule'!$N$11)=0,IF('Recurring Schedule'!$O$11&gt;0,AND(DAY($A149)=MIN(DAY('Recurring Schedule'!$F$11),DAY(EOMONTH($A149,0))),MOD((YEAR($A149)-YEAR('Recurring Schedule'!$F$11))*12+MONTH($A149)-MONTH('Recurring Schedule'!$F$11),'Recurring Schedule'!$O$11)=0),IF('Recurring Schedule'!$E$11="Weekdays",WEEKDAY($A149,2)&lt;=5,$A149='Recurring Schedule'!$F$11))),6,""))))</f>
        <v/>
      </c>
      <c r="H149">
        <f>IF('Recurring Schedule'!$C$12="","",IF('Recurring Schedule'!$F$12="","",IF(OR($A149&lt;'Recurring Schedule'!$F$12,$A149&gt;'Recurring Schedule'!$P$12),"",IF(IF('Recurring Schedule'!$N$12&gt;0,MOD($A149-'Recurring Schedule'!$F$12,'Recurring Schedule'!$N$12)=0,IF('Recurring Schedule'!$O$12&gt;0,AND(DAY($A149)=MIN(DAY('Recurring Schedule'!$F$12),DAY(EOMONTH($A149,0))),MOD((YEAR($A149)-YEAR('Recurring Schedule'!$F$12))*12+MONTH($A149)-MONTH('Recurring Schedule'!$F$12),'Recurring Schedule'!$O$12)=0),IF('Recurring Schedule'!$E$12="Weekdays",WEEKDAY($A149,2)&lt;=5,$A149='Recurring Schedule'!$F$12))),7,""))))</f>
        <v/>
      </c>
      <c r="I149">
        <f>IF('Recurring Schedule'!$C$13="","",IF('Recurring Schedule'!$F$13="","",IF(OR($A149&lt;'Recurring Schedule'!$F$13,$A149&gt;'Recurring Schedule'!$P$13),"",IF(IF('Recurring Schedule'!$N$13&gt;0,MOD($A149-'Recurring Schedule'!$F$13,'Recurring Schedule'!$N$13)=0,IF('Recurring Schedule'!$O$13&gt;0,AND(DAY($A149)=MIN(DAY('Recurring Schedule'!$F$13),DAY(EOMONTH($A149,0))),MOD((YEAR($A149)-YEAR('Recurring Schedule'!$F$13))*12+MONTH($A149)-MONTH('Recurring Schedule'!$F$13),'Recurring Schedule'!$O$13)=0),IF('Recurring Schedule'!$E$13="Weekdays",WEEKDAY($A149,2)&lt;=5,$A149='Recurring Schedule'!$F$13))),8,""))))</f>
        <v/>
      </c>
      <c r="J149">
        <f>IF('Recurring Schedule'!$C$14="","",IF('Recurring Schedule'!$F$14="","",IF(OR($A149&lt;'Recurring Schedule'!$F$14,$A149&gt;'Recurring Schedule'!$P$14),"",IF(IF('Recurring Schedule'!$N$14&gt;0,MOD($A149-'Recurring Schedule'!$F$14,'Recurring Schedule'!$N$14)=0,IF('Recurring Schedule'!$O$14&gt;0,AND(DAY($A149)=MIN(DAY('Recurring Schedule'!$F$14),DAY(EOMONTH($A149,0))),MOD((YEAR($A149)-YEAR('Recurring Schedule'!$F$14))*12+MONTH($A149)-MONTH('Recurring Schedule'!$F$14),'Recurring Schedule'!$O$14)=0),IF('Recurring Schedule'!$E$14="Weekdays",WEEKDAY($A149,2)&lt;=5,$A149='Recurring Schedule'!$F$14))),9,""))))</f>
        <v/>
      </c>
      <c r="K149">
        <f>IF('Recurring Schedule'!$C$15="","",IF('Recurring Schedule'!$F$15="","",IF(OR($A149&lt;'Recurring Schedule'!$F$15,$A149&gt;'Recurring Schedule'!$P$15),"",IF(IF('Recurring Schedule'!$N$15&gt;0,MOD($A149-'Recurring Schedule'!$F$15,'Recurring Schedule'!$N$15)=0,IF('Recurring Schedule'!$O$15&gt;0,AND(DAY($A149)=MIN(DAY('Recurring Schedule'!$F$15),DAY(EOMONTH($A149,0))),MOD((YEAR($A149)-YEAR('Recurring Schedule'!$F$15))*12+MONTH($A149)-MONTH('Recurring Schedule'!$F$15),'Recurring Schedule'!$O$15)=0),IF('Recurring Schedule'!$E$15="Weekdays",WEEKDAY($A149,2)&lt;=5,$A149='Recurring Schedule'!$F$15))),10,""))))</f>
        <v/>
      </c>
      <c r="L149">
        <f>IF('Recurring Schedule'!$C$16="","",IF('Recurring Schedule'!$F$16="","",IF(OR($A149&lt;'Recurring Schedule'!$F$16,$A149&gt;'Recurring Schedule'!$P$16),"",IF(IF('Recurring Schedule'!$N$16&gt;0,MOD($A149-'Recurring Schedule'!$F$16,'Recurring Schedule'!$N$16)=0,IF('Recurring Schedule'!$O$16&gt;0,AND(DAY($A149)=MIN(DAY('Recurring Schedule'!$F$16),DAY(EOMONTH($A149,0))),MOD((YEAR($A149)-YEAR('Recurring Schedule'!$F$16))*12+MONTH($A149)-MONTH('Recurring Schedule'!$F$16),'Recurring Schedule'!$O$16)=0),IF('Recurring Schedule'!$E$16="Weekdays",WEEKDAY($A149,2)&lt;=5,$A149='Recurring Schedule'!$F$16))),11,""))))</f>
        <v/>
      </c>
      <c r="M149">
        <f>IF('Recurring Schedule'!$C$17="","",IF('Recurring Schedule'!$F$17="","",IF(OR($A149&lt;'Recurring Schedule'!$F$17,$A149&gt;'Recurring Schedule'!$P$17),"",IF(IF('Recurring Schedule'!$N$17&gt;0,MOD($A149-'Recurring Schedule'!$F$17,'Recurring Schedule'!$N$17)=0,IF('Recurring Schedule'!$O$17&gt;0,AND(DAY($A149)=MIN(DAY('Recurring Schedule'!$F$17),DAY(EOMONTH($A149,0))),MOD((YEAR($A149)-YEAR('Recurring Schedule'!$F$17))*12+MONTH($A149)-MONTH('Recurring Schedule'!$F$17),'Recurring Schedule'!$O$17)=0),IF('Recurring Schedule'!$E$17="Weekdays",WEEKDAY($A149,2)&lt;=5,$A149='Recurring Schedule'!$F$17))),12,""))))</f>
        <v/>
      </c>
      <c r="N149">
        <f>IF('Recurring Schedule'!$C$18="","",IF('Recurring Schedule'!$F$18="","",IF(OR($A149&lt;'Recurring Schedule'!$F$18,$A149&gt;'Recurring Schedule'!$P$18),"",IF(IF('Recurring Schedule'!$N$18&gt;0,MOD($A149-'Recurring Schedule'!$F$18,'Recurring Schedule'!$N$18)=0,IF('Recurring Schedule'!$O$18&gt;0,AND(DAY($A149)=MIN(DAY('Recurring Schedule'!$F$18),DAY(EOMONTH($A149,0))),MOD((YEAR($A149)-YEAR('Recurring Schedule'!$F$18))*12+MONTH($A149)-MONTH('Recurring Schedule'!$F$18),'Recurring Schedule'!$O$18)=0),IF('Recurring Schedule'!$E$18="Weekdays",WEEKDAY($A149,2)&lt;=5,$A149='Recurring Schedule'!$F$18))),13,""))))</f>
        <v/>
      </c>
      <c r="O149">
        <f>IF('Recurring Schedule'!$C$19="","",IF('Recurring Schedule'!$F$19="","",IF(OR($A149&lt;'Recurring Schedule'!$F$19,$A149&gt;'Recurring Schedule'!$P$19),"",IF(IF('Recurring Schedule'!$N$19&gt;0,MOD($A149-'Recurring Schedule'!$F$19,'Recurring Schedule'!$N$19)=0,IF('Recurring Schedule'!$O$19&gt;0,AND(DAY($A149)=MIN(DAY('Recurring Schedule'!$F$19),DAY(EOMONTH($A149,0))),MOD((YEAR($A149)-YEAR('Recurring Schedule'!$F$19))*12+MONTH($A149)-MONTH('Recurring Schedule'!$F$19),'Recurring Schedule'!$O$19)=0),IF('Recurring Schedule'!$E$19="Weekdays",WEEKDAY($A149,2)&lt;=5,$A149='Recurring Schedule'!$F$19))),14,""))))</f>
        <v/>
      </c>
      <c r="P149">
        <f>IF('Recurring Schedule'!$C$20="","",IF('Recurring Schedule'!$F$20="","",IF(OR($A149&lt;'Recurring Schedule'!$F$20,$A149&gt;'Recurring Schedule'!$P$20),"",IF(IF('Recurring Schedule'!$N$20&gt;0,MOD($A149-'Recurring Schedule'!$F$20,'Recurring Schedule'!$N$20)=0,IF('Recurring Schedule'!$O$20&gt;0,AND(DAY($A149)=MIN(DAY('Recurring Schedule'!$F$20),DAY(EOMONTH($A149,0))),MOD((YEAR($A149)-YEAR('Recurring Schedule'!$F$20))*12+MONTH($A149)-MONTH('Recurring Schedule'!$F$20),'Recurring Schedule'!$O$20)=0),IF('Recurring Schedule'!$E$20="Weekdays",WEEKDAY($A149,2)&lt;=5,$A149='Recurring Schedule'!$F$20))),15,""))))</f>
        <v/>
      </c>
      <c r="Q149">
        <f>IF('Recurring Schedule'!$C$21="","",IF('Recurring Schedule'!$F$21="","",IF(OR($A149&lt;'Recurring Schedule'!$F$21,$A149&gt;'Recurring Schedule'!$P$21),"",IF(IF('Recurring Schedule'!$N$21&gt;0,MOD($A149-'Recurring Schedule'!$F$21,'Recurring Schedule'!$N$21)=0,IF('Recurring Schedule'!$O$21&gt;0,AND(DAY($A149)=MIN(DAY('Recurring Schedule'!$F$21),DAY(EOMONTH($A149,0))),MOD((YEAR($A149)-YEAR('Recurring Schedule'!$F$21))*12+MONTH($A149)-MONTH('Recurring Schedule'!$F$21),'Recurring Schedule'!$O$21)=0),IF('Recurring Schedule'!$E$21="Weekdays",WEEKDAY($A149,2)&lt;=5,$A149='Recurring Schedule'!$F$21))),16,""))))</f>
        <v/>
      </c>
      <c r="R149">
        <f>IF('Recurring Schedule'!$C$22="","",IF('Recurring Schedule'!$F$22="","",IF(OR($A149&lt;'Recurring Schedule'!$F$22,$A149&gt;'Recurring Schedule'!$P$22),"",IF(IF('Recurring Schedule'!$N$22&gt;0,MOD($A149-'Recurring Schedule'!$F$22,'Recurring Schedule'!$N$22)=0,IF('Recurring Schedule'!$O$22&gt;0,AND(DAY($A149)=MIN(DAY('Recurring Schedule'!$F$22),DAY(EOMONTH($A149,0))),MOD((YEAR($A149)-YEAR('Recurring Schedule'!$F$22))*12+MONTH($A149)-MONTH('Recurring Schedule'!$F$22),'Recurring Schedule'!$O$22)=0),IF('Recurring Schedule'!$E$22="Weekdays",WEEKDAY($A149,2)&lt;=5,$A149='Recurring Schedule'!$F$22))),17,""))))</f>
        <v/>
      </c>
      <c r="S149">
        <f>IF('Recurring Schedule'!$C$23="","",IF('Recurring Schedule'!$F$23="","",IF(OR($A149&lt;'Recurring Schedule'!$F$23,$A149&gt;'Recurring Schedule'!$P$23),"",IF(IF('Recurring Schedule'!$N$23&gt;0,MOD($A149-'Recurring Schedule'!$F$23,'Recurring Schedule'!$N$23)=0,IF('Recurring Schedule'!$O$23&gt;0,AND(DAY($A149)=MIN(DAY('Recurring Schedule'!$F$23),DAY(EOMONTH($A149,0))),MOD((YEAR($A149)-YEAR('Recurring Schedule'!$F$23))*12+MONTH($A149)-MONTH('Recurring Schedule'!$F$23),'Recurring Schedule'!$O$23)=0),IF('Recurring Schedule'!$E$23="Weekdays",WEEKDAY($A149,2)&lt;=5,$A149='Recurring Schedule'!$F$23))),18,""))))</f>
        <v/>
      </c>
      <c r="T149">
        <f>IF('Recurring Schedule'!$C$24="","",IF('Recurring Schedule'!$F$24="","",IF(OR($A149&lt;'Recurring Schedule'!$F$24,$A149&gt;'Recurring Schedule'!$P$24),"",IF(IF('Recurring Schedule'!$N$24&gt;0,MOD($A149-'Recurring Schedule'!$F$24,'Recurring Schedule'!$N$24)=0,IF('Recurring Schedule'!$O$24&gt;0,AND(DAY($A149)=MIN(DAY('Recurring Schedule'!$F$24),DAY(EOMONTH($A149,0))),MOD((YEAR($A149)-YEAR('Recurring Schedule'!$F$24))*12+MONTH($A149)-MONTH('Recurring Schedule'!$F$24),'Recurring Schedule'!$O$24)=0),IF('Recurring Schedule'!$E$24="Weekdays",WEEKDAY($A149,2)&lt;=5,$A149='Recurring Schedule'!$F$24))),19,""))))</f>
        <v/>
      </c>
      <c r="U149">
        <f>IF('Recurring Schedule'!$C$25="","",IF('Recurring Schedule'!$F$25="","",IF(OR($A149&lt;'Recurring Schedule'!$F$25,$A149&gt;'Recurring Schedule'!$P$25),"",IF(IF('Recurring Schedule'!$N$25&gt;0,MOD($A149-'Recurring Schedule'!$F$25,'Recurring Schedule'!$N$25)=0,IF('Recurring Schedule'!$O$25&gt;0,AND(DAY($A149)=MIN(DAY('Recurring Schedule'!$F$25),DAY(EOMONTH($A149,0))),MOD((YEAR($A149)-YEAR('Recurring Schedule'!$F$25))*12+MONTH($A149)-MONTH('Recurring Schedule'!$F$25),'Recurring Schedule'!$O$25)=0),IF('Recurring Schedule'!$E$25="Weekdays",WEEKDAY($A149,2)&lt;=5,$A149='Recurring Schedule'!$F$25))),20,""))))</f>
        <v/>
      </c>
      <c r="V149">
        <f>IF('Recurring Schedule'!$C$26="","",IF('Recurring Schedule'!$F$26="","",IF(OR($A149&lt;'Recurring Schedule'!$F$26,$A149&gt;'Recurring Schedule'!$P$26),"",IF(IF('Recurring Schedule'!$N$26&gt;0,MOD($A149-'Recurring Schedule'!$F$26,'Recurring Schedule'!$N$26)=0,IF('Recurring Schedule'!$O$26&gt;0,AND(DAY($A149)=MIN(DAY('Recurring Schedule'!$F$26),DAY(EOMONTH($A149,0))),MOD((YEAR($A149)-YEAR('Recurring Schedule'!$F$26))*12+MONTH($A149)-MONTH('Recurring Schedule'!$F$26),'Recurring Schedule'!$O$26)=0),IF('Recurring Schedule'!$E$26="Weekdays",WEEKDAY($A149,2)&lt;=5,$A149='Recurring Schedule'!$F$26))),21,""))))</f>
        <v/>
      </c>
      <c r="W149">
        <f>IF('Recurring Schedule'!$C$27="","",IF('Recurring Schedule'!$F$27="","",IF(OR($A149&lt;'Recurring Schedule'!$F$27,$A149&gt;'Recurring Schedule'!$P$27),"",IF(IF('Recurring Schedule'!$N$27&gt;0,MOD($A149-'Recurring Schedule'!$F$27,'Recurring Schedule'!$N$27)=0,IF('Recurring Schedule'!$O$27&gt;0,AND(DAY($A149)=MIN(DAY('Recurring Schedule'!$F$27),DAY(EOMONTH($A149,0))),MOD((YEAR($A149)-YEAR('Recurring Schedule'!$F$27))*12+MONTH($A149)-MONTH('Recurring Schedule'!$F$27),'Recurring Schedule'!$O$27)=0),IF('Recurring Schedule'!$E$27="Weekdays",WEEKDAY($A149,2)&lt;=5,$A149='Recurring Schedule'!$F$27))),22,""))))</f>
        <v/>
      </c>
      <c r="X149">
        <f>IF('Recurring Schedule'!$C$28="","",IF('Recurring Schedule'!$F$28="","",IF(OR($A149&lt;'Recurring Schedule'!$F$28,$A149&gt;'Recurring Schedule'!$P$28),"",IF(IF('Recurring Schedule'!$N$28&gt;0,MOD($A149-'Recurring Schedule'!$F$28,'Recurring Schedule'!$N$28)=0,IF('Recurring Schedule'!$O$28&gt;0,AND(DAY($A149)=MIN(DAY('Recurring Schedule'!$F$28),DAY(EOMONTH($A149,0))),MOD((YEAR($A149)-YEAR('Recurring Schedule'!$F$28))*12+MONTH($A149)-MONTH('Recurring Schedule'!$F$28),'Recurring Schedule'!$O$28)=0),IF('Recurring Schedule'!$E$28="Weekdays",WEEKDAY($A149,2)&lt;=5,$A149='Recurring Schedule'!$F$28))),23,""))))</f>
        <v/>
      </c>
      <c r="Y149">
        <f>IF('Recurring Schedule'!$C$29="","",IF('Recurring Schedule'!$F$29="","",IF(OR($A149&lt;'Recurring Schedule'!$F$29,$A149&gt;'Recurring Schedule'!$P$29),"",IF(IF('Recurring Schedule'!$N$29&gt;0,MOD($A149-'Recurring Schedule'!$F$29,'Recurring Schedule'!$N$29)=0,IF('Recurring Schedule'!$O$29&gt;0,AND(DAY($A149)=MIN(DAY('Recurring Schedule'!$F$29),DAY(EOMONTH($A149,0))),MOD((YEAR($A149)-YEAR('Recurring Schedule'!$F$29))*12+MONTH($A149)-MONTH('Recurring Schedule'!$F$29),'Recurring Schedule'!$O$29)=0),IF('Recurring Schedule'!$E$29="Weekdays",WEEKDAY($A149,2)&lt;=5,$A149='Recurring Schedule'!$F$29))),24,""))))</f>
        <v/>
      </c>
      <c r="Z149">
        <f>IF('Recurring Schedule'!$C$30="","",IF('Recurring Schedule'!$F$30="","",IF(OR($A149&lt;'Recurring Schedule'!$F$30,$A149&gt;'Recurring Schedule'!$P$30),"",IF(IF('Recurring Schedule'!$N$30&gt;0,MOD($A149-'Recurring Schedule'!$F$30,'Recurring Schedule'!$N$30)=0,IF('Recurring Schedule'!$O$30&gt;0,AND(DAY($A149)=MIN(DAY('Recurring Schedule'!$F$30),DAY(EOMONTH($A149,0))),MOD((YEAR($A149)-YEAR('Recurring Schedule'!$F$30))*12+MONTH($A149)-MONTH('Recurring Schedule'!$F$30),'Recurring Schedule'!$O$30)=0),IF('Recurring Schedule'!$E$30="Weekdays",WEEKDAY($A149,2)&lt;=5,$A149='Recurring Schedule'!$F$30))),25,""))))</f>
        <v/>
      </c>
      <c r="AA149">
        <f>IF('Recurring Schedule'!$C$31="","",IF('Recurring Schedule'!$F$31="","",IF(OR($A149&lt;'Recurring Schedule'!$F$31,$A149&gt;'Recurring Schedule'!$P$31),"",IF(IF('Recurring Schedule'!$N$31&gt;0,MOD($A149-'Recurring Schedule'!$F$31,'Recurring Schedule'!$N$31)=0,IF('Recurring Schedule'!$O$31&gt;0,AND(DAY($A149)=MIN(DAY('Recurring Schedule'!$F$31),DAY(EOMONTH($A149,0))),MOD((YEAR($A149)-YEAR('Recurring Schedule'!$F$31))*12+MONTH($A149)-MONTH('Recurring Schedule'!$F$31),'Recurring Schedule'!$O$31)=0),IF('Recurring Schedule'!$E$31="Weekdays",WEEKDAY($A149,2)&lt;=5,$A149='Recurring Schedule'!$F$31))),26,""))))</f>
        <v/>
      </c>
      <c r="AB149">
        <f>IF('Recurring Schedule'!$C$32="","",IF('Recurring Schedule'!$F$32="","",IF(OR($A149&lt;'Recurring Schedule'!$F$32,$A149&gt;'Recurring Schedule'!$P$32),"",IF(IF('Recurring Schedule'!$N$32&gt;0,MOD($A149-'Recurring Schedule'!$F$32,'Recurring Schedule'!$N$32)=0,IF('Recurring Schedule'!$O$32&gt;0,AND(DAY($A149)=MIN(DAY('Recurring Schedule'!$F$32),DAY(EOMONTH($A149,0))),MOD((YEAR($A149)-YEAR('Recurring Schedule'!$F$32))*12+MONTH($A149)-MONTH('Recurring Schedule'!$F$32),'Recurring Schedule'!$O$32)=0),IF('Recurring Schedule'!$E$32="Weekdays",WEEKDAY($A149,2)&lt;=5,$A149='Recurring Schedule'!$F$32))),27,""))))</f>
        <v/>
      </c>
      <c r="AC149">
        <f>IF('Recurring Schedule'!$C$33="","",IF('Recurring Schedule'!$F$33="","",IF(OR($A149&lt;'Recurring Schedule'!$F$33,$A149&gt;'Recurring Schedule'!$P$33),"",IF(IF('Recurring Schedule'!$N$33&gt;0,MOD($A149-'Recurring Schedule'!$F$33,'Recurring Schedule'!$N$33)=0,IF('Recurring Schedule'!$O$33&gt;0,AND(DAY($A149)=MIN(DAY('Recurring Schedule'!$F$33),DAY(EOMONTH($A149,0))),MOD((YEAR($A149)-YEAR('Recurring Schedule'!$F$33))*12+MONTH($A149)-MONTH('Recurring Schedule'!$F$33),'Recurring Schedule'!$O$33)=0),IF('Recurring Schedule'!$E$33="Weekdays",WEEKDAY($A149,2)&lt;=5,$A149='Recurring Schedule'!$F$33))),28,""))))</f>
        <v/>
      </c>
      <c r="AD149">
        <f>IF('Recurring Schedule'!$C$34="","",IF('Recurring Schedule'!$F$34="","",IF(OR($A149&lt;'Recurring Schedule'!$F$34,$A149&gt;'Recurring Schedule'!$P$34),"",IF(IF('Recurring Schedule'!$N$34&gt;0,MOD($A149-'Recurring Schedule'!$F$34,'Recurring Schedule'!$N$34)=0,IF('Recurring Schedule'!$O$34&gt;0,AND(DAY($A149)=MIN(DAY('Recurring Schedule'!$F$34),DAY(EOMONTH($A149,0))),MOD((YEAR($A149)-YEAR('Recurring Schedule'!$F$34))*12+MONTH($A149)-MONTH('Recurring Schedule'!$F$34),'Recurring Schedule'!$O$34)=0),IF('Recurring Schedule'!$E$34="Weekdays",WEEKDAY($A149,2)&lt;=5,$A149='Recurring Schedule'!$F$34))),29,""))))</f>
        <v/>
      </c>
      <c r="AE149">
        <f>IF('Recurring Schedule'!$C$35="","",IF('Recurring Schedule'!$F$35="","",IF(OR($A149&lt;'Recurring Schedule'!$F$35,$A149&gt;'Recurring Schedule'!$P$35),"",IF(IF('Recurring Schedule'!$N$35&gt;0,MOD($A149-'Recurring Schedule'!$F$35,'Recurring Schedule'!$N$35)=0,IF('Recurring Schedule'!$O$35&gt;0,AND(DAY($A149)=MIN(DAY('Recurring Schedule'!$F$35),DAY(EOMONTH($A149,0))),MOD((YEAR($A149)-YEAR('Recurring Schedule'!$F$35))*12+MONTH($A149)-MONTH('Recurring Schedule'!$F$35),'Recurring Schedule'!$O$35)=0),IF('Recurring Schedule'!$E$35="Weekdays",WEEKDAY($A149,2)&lt;=5,$A149='Recurring Schedule'!$F$35))),30,""))))</f>
        <v/>
      </c>
      <c r="AF149">
        <f>IF('Recurring Schedule'!$C$36="","",IF('Recurring Schedule'!$F$36="","",IF(OR($A149&lt;'Recurring Schedule'!$F$36,$A149&gt;'Recurring Schedule'!$P$36),"",IF(IF('Recurring Schedule'!$N$36&gt;0,MOD($A149-'Recurring Schedule'!$F$36,'Recurring Schedule'!$N$36)=0,IF('Recurring Schedule'!$O$36&gt;0,AND(DAY($A149)=MIN(DAY('Recurring Schedule'!$F$36),DAY(EOMONTH($A149,0))),MOD((YEAR($A149)-YEAR('Recurring Schedule'!$F$36))*12+MONTH($A149)-MONTH('Recurring Schedule'!$F$36),'Recurring Schedule'!$O$36)=0),IF('Recurring Schedule'!$E$36="Weekdays",WEEKDAY($A149,2)&lt;=5,$A149='Recurring Schedule'!$F$36))),31,""))))</f>
        <v/>
      </c>
      <c r="AG149">
        <f>IF('Recurring Schedule'!$C$37="","",IF('Recurring Schedule'!$F$37="","",IF(OR($A149&lt;'Recurring Schedule'!$F$37,$A149&gt;'Recurring Schedule'!$P$37),"",IF(IF('Recurring Schedule'!$N$37&gt;0,MOD($A149-'Recurring Schedule'!$F$37,'Recurring Schedule'!$N$37)=0,IF('Recurring Schedule'!$O$37&gt;0,AND(DAY($A149)=MIN(DAY('Recurring Schedule'!$F$37),DAY(EOMONTH($A149,0))),MOD((YEAR($A149)-YEAR('Recurring Schedule'!$F$37))*12+MONTH($A149)-MONTH('Recurring Schedule'!$F$37),'Recurring Schedule'!$O$37)=0),IF('Recurring Schedule'!$E$37="Weekdays",WEEKDAY($A149,2)&lt;=5,$A149='Recurring Schedule'!$F$37))),32,""))))</f>
        <v/>
      </c>
      <c r="AH149">
        <f>IF('Recurring Schedule'!$C$38="","",IF('Recurring Schedule'!$F$38="","",IF(OR($A149&lt;'Recurring Schedule'!$F$38,$A149&gt;'Recurring Schedule'!$P$38),"",IF(IF('Recurring Schedule'!$N$38&gt;0,MOD($A149-'Recurring Schedule'!$F$38,'Recurring Schedule'!$N$38)=0,IF('Recurring Schedule'!$O$38&gt;0,AND(DAY($A149)=MIN(DAY('Recurring Schedule'!$F$38),DAY(EOMONTH($A149,0))),MOD((YEAR($A149)-YEAR('Recurring Schedule'!$F$38))*12+MONTH($A149)-MONTH('Recurring Schedule'!$F$38),'Recurring Schedule'!$O$38)=0),IF('Recurring Schedule'!$E$38="Weekdays",WEEKDAY($A149,2)&lt;=5,$A149='Recurring Schedule'!$F$38))),33,""))))</f>
        <v/>
      </c>
      <c r="AI149">
        <f>IF('Recurring Schedule'!$C$39="","",IF('Recurring Schedule'!$F$39="","",IF(OR($A149&lt;'Recurring Schedule'!$F$39,$A149&gt;'Recurring Schedule'!$P$39),"",IF(IF('Recurring Schedule'!$N$39&gt;0,MOD($A149-'Recurring Schedule'!$F$39,'Recurring Schedule'!$N$39)=0,IF('Recurring Schedule'!$O$39&gt;0,AND(DAY($A149)=MIN(DAY('Recurring Schedule'!$F$39),DAY(EOMONTH($A149,0))),MOD((YEAR($A149)-YEAR('Recurring Schedule'!$F$39))*12+MONTH($A149)-MONTH('Recurring Schedule'!$F$39),'Recurring Schedule'!$O$39)=0),IF('Recurring Schedule'!$E$39="Weekdays",WEEKDAY($A149,2)&lt;=5,$A149='Recurring Schedule'!$F$39))),34,""))))</f>
        <v/>
      </c>
      <c r="AJ149">
        <f>IF('Recurring Schedule'!$C$40="","",IF('Recurring Schedule'!$F$40="","",IF(OR($A149&lt;'Recurring Schedule'!$F$40,$A149&gt;'Recurring Schedule'!$P$40),"",IF(IF('Recurring Schedule'!$N$40&gt;0,MOD($A149-'Recurring Schedule'!$F$40,'Recurring Schedule'!$N$40)=0,IF('Recurring Schedule'!$O$40&gt;0,AND(DAY($A149)=MIN(DAY('Recurring Schedule'!$F$40),DAY(EOMONTH($A149,0))),MOD((YEAR($A149)-YEAR('Recurring Schedule'!$F$40))*12+MONTH($A149)-MONTH('Recurring Schedule'!$F$40),'Recurring Schedule'!$O$40)=0),IF('Recurring Schedule'!$E$40="Weekdays",WEEKDAY($A149,2)&lt;=5,$A149='Recurring Schedule'!$F$40))),35,""))))</f>
        <v/>
      </c>
      <c r="AK149">
        <f>IF('Recurring Schedule'!$C$41="","",IF('Recurring Schedule'!$F$41="","",IF(OR($A149&lt;'Recurring Schedule'!$F$41,$A149&gt;'Recurring Schedule'!$P$41),"",IF(IF('Recurring Schedule'!$N$41&gt;0,MOD($A149-'Recurring Schedule'!$F$41,'Recurring Schedule'!$N$41)=0,IF('Recurring Schedule'!$O$41&gt;0,AND(DAY($A149)=MIN(DAY('Recurring Schedule'!$F$41),DAY(EOMONTH($A149,0))),MOD((YEAR($A149)-YEAR('Recurring Schedule'!$F$41))*12+MONTH($A149)-MONTH('Recurring Schedule'!$F$41),'Recurring Schedule'!$O$41)=0),IF('Recurring Schedule'!$E$41="Weekdays",WEEKDAY($A149,2)&lt;=5,$A149='Recurring Schedule'!$F$41))),36,""))))</f>
        <v/>
      </c>
      <c r="AL149">
        <f>IF('Recurring Schedule'!$C$42="","",IF('Recurring Schedule'!$F$42="","",IF(OR($A149&lt;'Recurring Schedule'!$F$42,$A149&gt;'Recurring Schedule'!$P$42),"",IF(IF('Recurring Schedule'!$N$42&gt;0,MOD($A149-'Recurring Schedule'!$F$42,'Recurring Schedule'!$N$42)=0,IF('Recurring Schedule'!$O$42&gt;0,AND(DAY($A149)=MIN(DAY('Recurring Schedule'!$F$42),DAY(EOMONTH($A149,0))),MOD((YEAR($A149)-YEAR('Recurring Schedule'!$F$42))*12+MONTH($A149)-MONTH('Recurring Schedule'!$F$42),'Recurring Schedule'!$O$42)=0),IF('Recurring Schedule'!$E$42="Weekdays",WEEKDAY($A149,2)&lt;=5,$A149='Recurring Schedule'!$F$42))),37,""))))</f>
        <v/>
      </c>
      <c r="AM149">
        <f>IF('Recurring Schedule'!$C$43="","",IF('Recurring Schedule'!$F$43="","",IF(OR($A149&lt;'Recurring Schedule'!$F$43,$A149&gt;'Recurring Schedule'!$P$43),"",IF(IF('Recurring Schedule'!$N$43&gt;0,MOD($A149-'Recurring Schedule'!$F$43,'Recurring Schedule'!$N$43)=0,IF('Recurring Schedule'!$O$43&gt;0,AND(DAY($A149)=MIN(DAY('Recurring Schedule'!$F$43),DAY(EOMONTH($A149,0))),MOD((YEAR($A149)-YEAR('Recurring Schedule'!$F$43))*12+MONTH($A149)-MONTH('Recurring Schedule'!$F$43),'Recurring Schedule'!$O$43)=0),IF('Recurring Schedule'!$E$43="Weekdays",WEEKDAY($A149,2)&lt;=5,$A149='Recurring Schedule'!$F$43))),38,""))))</f>
        <v/>
      </c>
      <c r="AN149">
        <f>IF('Recurring Schedule'!$C$44="","",IF('Recurring Schedule'!$F$44="","",IF(OR($A149&lt;'Recurring Schedule'!$F$44,$A149&gt;'Recurring Schedule'!$P$44),"",IF(IF('Recurring Schedule'!$N$44&gt;0,MOD($A149-'Recurring Schedule'!$F$44,'Recurring Schedule'!$N$44)=0,IF('Recurring Schedule'!$O$44&gt;0,AND(DAY($A149)=MIN(DAY('Recurring Schedule'!$F$44),DAY(EOMONTH($A149,0))),MOD((YEAR($A149)-YEAR('Recurring Schedule'!$F$44))*12+MONTH($A149)-MONTH('Recurring Schedule'!$F$44),'Recurring Schedule'!$O$44)=0),IF('Recurring Schedule'!$E$44="Weekdays",WEEKDAY($A149,2)&lt;=5,$A149='Recurring Schedule'!$F$44))),39,""))))</f>
        <v/>
      </c>
      <c r="AO149">
        <f>IF('Recurring Schedule'!$C$45="","",IF('Recurring Schedule'!$F$45="","",IF(OR($A149&lt;'Recurring Schedule'!$F$45,$A149&gt;'Recurring Schedule'!$P$45),"",IF(IF('Recurring Schedule'!$N$45&gt;0,MOD($A149-'Recurring Schedule'!$F$45,'Recurring Schedule'!$N$45)=0,IF('Recurring Schedule'!$O$45&gt;0,AND(DAY($A149)=MIN(DAY('Recurring Schedule'!$F$45),DAY(EOMONTH($A149,0))),MOD((YEAR($A149)-YEAR('Recurring Schedule'!$F$45))*12+MONTH($A149)-MONTH('Recurring Schedule'!$F$45),'Recurring Schedule'!$O$45)=0),IF('Recurring Schedule'!$E$45="Weekdays",WEEKDAY($A149,2)&lt;=5,$A149='Recurring Schedule'!$F$45))),40,""))))</f>
        <v/>
      </c>
      <c r="AP149">
        <f>COUNT(B149:AO149)</f>
        <v/>
      </c>
      <c r="AQ149">
        <f>AQ148+AP148</f>
        <v/>
      </c>
      <c r="AS149" t="inlineStr">
        <is>
          <t>R</t>
        </is>
      </c>
      <c r="AT149" t="n">
        <v>153</v>
      </c>
      <c r="AU149">
        <f>'Recurring Log'!C153&amp;""</f>
        <v/>
      </c>
      <c r="AV149">
        <f>'Recurring Log'!D153&amp;""</f>
        <v/>
      </c>
      <c r="AW149">
        <f>IF('Recurring Log'!E153="","",'Recurring Log'!E153)</f>
        <v/>
      </c>
      <c r="AX149">
        <f>IF('Recurring Log'!G153="","",'Recurring Log'!G153)</f>
        <v/>
      </c>
      <c r="AY149">
        <f>IF('Recurring Log'!H153="","",'Recurring Log'!H153)</f>
        <v/>
      </c>
      <c r="AZ149">
        <f>IF(AU149="","",IF('Recurring Log'!J153="","Not Started",'Recurring Log'!J153))</f>
        <v/>
      </c>
      <c r="BA149">
        <f>'Recurring Log'!L153&amp;""</f>
        <v/>
      </c>
      <c r="BB149">
        <f>'Recurring Log'!M153&amp;""</f>
        <v/>
      </c>
      <c r="BC149">
        <f>'Recurring Log'!N153&amp;""</f>
        <v/>
      </c>
      <c r="BD149">
        <f>'Recurring Log'!O153&amp;""</f>
        <v/>
      </c>
      <c r="BE149">
        <f>IF('Recurring Log'!K153="","",'Recurring Log'!K153)</f>
        <v/>
      </c>
      <c r="BF149">
        <f>IFERROR(MATCH(BA149,Setup!$L$6:$L$9,0),5)</f>
        <v/>
      </c>
      <c r="BG149">
        <f>IF(OR(AZ149="Done",AZ149="Cancelled"),1,0)</f>
        <v/>
      </c>
      <c r="BH149">
        <f>IF(AND(AU149&lt;&gt;"",ISNUMBER(AW149)),1,0)</f>
        <v/>
      </c>
      <c r="BI149">
        <f>IF(BH149=0,0,IF(AND(AW149&gt;='Tasks Filter'!$F$3,AW149&lt;='Tasks Filter'!$F$4,OR('Tasks Filter'!$I$3="",ISNUMBER(SEARCH('Tasks Filter'!$I$3,AU149))),OR('Tasks Filter'!$I$4="",BF149=IFERROR(MATCH('Tasks Filter'!$I$4,Setup!$L$6:$L$9,0),0)),OR('Tasks Filter'!$I$5="Both",AND('Tasks Filter'!$I$5="Yes",BB149="✓"),AND('Tasks Filter'!$I$5="No",BB149&lt;&gt;"✓")),OR('Tasks Filter'!$L$3="",AV149='Tasks Filter'!$L$3),OR('Tasks Filter'!$L$4="",AZ149='Tasks Filter'!$L$4),OR('Tasks Filter'!$L$5="",BC149='Tasks Filter'!$L$5),OR('Tasks Filter'!$O$3="",BD149='Tasks Filter'!$O$3),OR('Tasks Filter'!$O$4="Yes",BG149=0)),1,0))</f>
        <v/>
      </c>
      <c r="BJ149">
        <f>IF(BH149=0,"",IF('Tasks Filter'!$F$6="Descending",-1,1)*CHOOSE(MATCH('Tasks Filter'!$F$5,Lists!$G$2:$G$6,0),AW149,BF149,IFERROR(MATCH(AV149,Setup!$F$6:$F$15,0),99),IFERROR(MATCH(BC149,Setup!$H$6:$H$15,0),99),IFERROR(MATCH(AZ149,Setup!$J$6:$J$11,0),99))*1E+9+(AW149-40000)*10000+148)</f>
        <v/>
      </c>
      <c r="BK149">
        <f>IF(BI149=1,BJ149,"")</f>
        <v/>
      </c>
      <c r="BL149">
        <f>IF(AND(BH149=1,BG149=0,N(AW149)&lt;Setup!$D$7),(AW149-40000)*10000+148,"")</f>
        <v/>
      </c>
      <c r="BM149">
        <f>IF(AND(BH149=1,AZ149&lt;&gt;"Cancelled",N(AW149)&gt;=Dashboard!$AB$3,N(AW149)&lt;=Dashboard!$AB$3+6),(AW149-40000)*100000+BF149*10000+148,"")</f>
        <v/>
      </c>
      <c r="BN149">
        <f>IF(AND(BH149=1,AZ149&lt;&gt;"Cancelled"),BF149*10000+148,"")</f>
        <v/>
      </c>
    </row>
    <row r="150">
      <c r="A150">
        <f>Setup!$D$5+148</f>
        <v/>
      </c>
      <c r="B150">
        <f>IF('Recurring Schedule'!$C$6="","",IF('Recurring Schedule'!$F$6="","",IF(OR($A150&lt;'Recurring Schedule'!$F$6,$A150&gt;'Recurring Schedule'!$P$6),"",IF(IF('Recurring Schedule'!$N$6&gt;0,MOD($A150-'Recurring Schedule'!$F$6,'Recurring Schedule'!$N$6)=0,IF('Recurring Schedule'!$O$6&gt;0,AND(DAY($A150)=MIN(DAY('Recurring Schedule'!$F$6),DAY(EOMONTH($A150,0))),MOD((YEAR($A150)-YEAR('Recurring Schedule'!$F$6))*12+MONTH($A150)-MONTH('Recurring Schedule'!$F$6),'Recurring Schedule'!$O$6)=0),IF('Recurring Schedule'!$E$6="Weekdays",WEEKDAY($A150,2)&lt;=5,$A150='Recurring Schedule'!$F$6))),1,""))))</f>
        <v/>
      </c>
      <c r="C150">
        <f>IF('Recurring Schedule'!$C$7="","",IF('Recurring Schedule'!$F$7="","",IF(OR($A150&lt;'Recurring Schedule'!$F$7,$A150&gt;'Recurring Schedule'!$P$7),"",IF(IF('Recurring Schedule'!$N$7&gt;0,MOD($A150-'Recurring Schedule'!$F$7,'Recurring Schedule'!$N$7)=0,IF('Recurring Schedule'!$O$7&gt;0,AND(DAY($A150)=MIN(DAY('Recurring Schedule'!$F$7),DAY(EOMONTH($A150,0))),MOD((YEAR($A150)-YEAR('Recurring Schedule'!$F$7))*12+MONTH($A150)-MONTH('Recurring Schedule'!$F$7),'Recurring Schedule'!$O$7)=0),IF('Recurring Schedule'!$E$7="Weekdays",WEEKDAY($A150,2)&lt;=5,$A150='Recurring Schedule'!$F$7))),2,""))))</f>
        <v/>
      </c>
      <c r="D150">
        <f>IF('Recurring Schedule'!$C$8="","",IF('Recurring Schedule'!$F$8="","",IF(OR($A150&lt;'Recurring Schedule'!$F$8,$A150&gt;'Recurring Schedule'!$P$8),"",IF(IF('Recurring Schedule'!$N$8&gt;0,MOD($A150-'Recurring Schedule'!$F$8,'Recurring Schedule'!$N$8)=0,IF('Recurring Schedule'!$O$8&gt;0,AND(DAY($A150)=MIN(DAY('Recurring Schedule'!$F$8),DAY(EOMONTH($A150,0))),MOD((YEAR($A150)-YEAR('Recurring Schedule'!$F$8))*12+MONTH($A150)-MONTH('Recurring Schedule'!$F$8),'Recurring Schedule'!$O$8)=0),IF('Recurring Schedule'!$E$8="Weekdays",WEEKDAY($A150,2)&lt;=5,$A150='Recurring Schedule'!$F$8))),3,""))))</f>
        <v/>
      </c>
      <c r="E150">
        <f>IF('Recurring Schedule'!$C$9="","",IF('Recurring Schedule'!$F$9="","",IF(OR($A150&lt;'Recurring Schedule'!$F$9,$A150&gt;'Recurring Schedule'!$P$9),"",IF(IF('Recurring Schedule'!$N$9&gt;0,MOD($A150-'Recurring Schedule'!$F$9,'Recurring Schedule'!$N$9)=0,IF('Recurring Schedule'!$O$9&gt;0,AND(DAY($A150)=MIN(DAY('Recurring Schedule'!$F$9),DAY(EOMONTH($A150,0))),MOD((YEAR($A150)-YEAR('Recurring Schedule'!$F$9))*12+MONTH($A150)-MONTH('Recurring Schedule'!$F$9),'Recurring Schedule'!$O$9)=0),IF('Recurring Schedule'!$E$9="Weekdays",WEEKDAY($A150,2)&lt;=5,$A150='Recurring Schedule'!$F$9))),4,""))))</f>
        <v/>
      </c>
      <c r="F150">
        <f>IF('Recurring Schedule'!$C$10="","",IF('Recurring Schedule'!$F$10="","",IF(OR($A150&lt;'Recurring Schedule'!$F$10,$A150&gt;'Recurring Schedule'!$P$10),"",IF(IF('Recurring Schedule'!$N$10&gt;0,MOD($A150-'Recurring Schedule'!$F$10,'Recurring Schedule'!$N$10)=0,IF('Recurring Schedule'!$O$10&gt;0,AND(DAY($A150)=MIN(DAY('Recurring Schedule'!$F$10),DAY(EOMONTH($A150,0))),MOD((YEAR($A150)-YEAR('Recurring Schedule'!$F$10))*12+MONTH($A150)-MONTH('Recurring Schedule'!$F$10),'Recurring Schedule'!$O$10)=0),IF('Recurring Schedule'!$E$10="Weekdays",WEEKDAY($A150,2)&lt;=5,$A150='Recurring Schedule'!$F$10))),5,""))))</f>
        <v/>
      </c>
      <c r="G150">
        <f>IF('Recurring Schedule'!$C$11="","",IF('Recurring Schedule'!$F$11="","",IF(OR($A150&lt;'Recurring Schedule'!$F$11,$A150&gt;'Recurring Schedule'!$P$11),"",IF(IF('Recurring Schedule'!$N$11&gt;0,MOD($A150-'Recurring Schedule'!$F$11,'Recurring Schedule'!$N$11)=0,IF('Recurring Schedule'!$O$11&gt;0,AND(DAY($A150)=MIN(DAY('Recurring Schedule'!$F$11),DAY(EOMONTH($A150,0))),MOD((YEAR($A150)-YEAR('Recurring Schedule'!$F$11))*12+MONTH($A150)-MONTH('Recurring Schedule'!$F$11),'Recurring Schedule'!$O$11)=0),IF('Recurring Schedule'!$E$11="Weekdays",WEEKDAY($A150,2)&lt;=5,$A150='Recurring Schedule'!$F$11))),6,""))))</f>
        <v/>
      </c>
      <c r="H150">
        <f>IF('Recurring Schedule'!$C$12="","",IF('Recurring Schedule'!$F$12="","",IF(OR($A150&lt;'Recurring Schedule'!$F$12,$A150&gt;'Recurring Schedule'!$P$12),"",IF(IF('Recurring Schedule'!$N$12&gt;0,MOD($A150-'Recurring Schedule'!$F$12,'Recurring Schedule'!$N$12)=0,IF('Recurring Schedule'!$O$12&gt;0,AND(DAY($A150)=MIN(DAY('Recurring Schedule'!$F$12),DAY(EOMONTH($A150,0))),MOD((YEAR($A150)-YEAR('Recurring Schedule'!$F$12))*12+MONTH($A150)-MONTH('Recurring Schedule'!$F$12),'Recurring Schedule'!$O$12)=0),IF('Recurring Schedule'!$E$12="Weekdays",WEEKDAY($A150,2)&lt;=5,$A150='Recurring Schedule'!$F$12))),7,""))))</f>
        <v/>
      </c>
      <c r="I150">
        <f>IF('Recurring Schedule'!$C$13="","",IF('Recurring Schedule'!$F$13="","",IF(OR($A150&lt;'Recurring Schedule'!$F$13,$A150&gt;'Recurring Schedule'!$P$13),"",IF(IF('Recurring Schedule'!$N$13&gt;0,MOD($A150-'Recurring Schedule'!$F$13,'Recurring Schedule'!$N$13)=0,IF('Recurring Schedule'!$O$13&gt;0,AND(DAY($A150)=MIN(DAY('Recurring Schedule'!$F$13),DAY(EOMONTH($A150,0))),MOD((YEAR($A150)-YEAR('Recurring Schedule'!$F$13))*12+MONTH($A150)-MONTH('Recurring Schedule'!$F$13),'Recurring Schedule'!$O$13)=0),IF('Recurring Schedule'!$E$13="Weekdays",WEEKDAY($A150,2)&lt;=5,$A150='Recurring Schedule'!$F$13))),8,""))))</f>
        <v/>
      </c>
      <c r="J150">
        <f>IF('Recurring Schedule'!$C$14="","",IF('Recurring Schedule'!$F$14="","",IF(OR($A150&lt;'Recurring Schedule'!$F$14,$A150&gt;'Recurring Schedule'!$P$14),"",IF(IF('Recurring Schedule'!$N$14&gt;0,MOD($A150-'Recurring Schedule'!$F$14,'Recurring Schedule'!$N$14)=0,IF('Recurring Schedule'!$O$14&gt;0,AND(DAY($A150)=MIN(DAY('Recurring Schedule'!$F$14),DAY(EOMONTH($A150,0))),MOD((YEAR($A150)-YEAR('Recurring Schedule'!$F$14))*12+MONTH($A150)-MONTH('Recurring Schedule'!$F$14),'Recurring Schedule'!$O$14)=0),IF('Recurring Schedule'!$E$14="Weekdays",WEEKDAY($A150,2)&lt;=5,$A150='Recurring Schedule'!$F$14))),9,""))))</f>
        <v/>
      </c>
      <c r="K150">
        <f>IF('Recurring Schedule'!$C$15="","",IF('Recurring Schedule'!$F$15="","",IF(OR($A150&lt;'Recurring Schedule'!$F$15,$A150&gt;'Recurring Schedule'!$P$15),"",IF(IF('Recurring Schedule'!$N$15&gt;0,MOD($A150-'Recurring Schedule'!$F$15,'Recurring Schedule'!$N$15)=0,IF('Recurring Schedule'!$O$15&gt;0,AND(DAY($A150)=MIN(DAY('Recurring Schedule'!$F$15),DAY(EOMONTH($A150,0))),MOD((YEAR($A150)-YEAR('Recurring Schedule'!$F$15))*12+MONTH($A150)-MONTH('Recurring Schedule'!$F$15),'Recurring Schedule'!$O$15)=0),IF('Recurring Schedule'!$E$15="Weekdays",WEEKDAY($A150,2)&lt;=5,$A150='Recurring Schedule'!$F$15))),10,""))))</f>
        <v/>
      </c>
      <c r="L150">
        <f>IF('Recurring Schedule'!$C$16="","",IF('Recurring Schedule'!$F$16="","",IF(OR($A150&lt;'Recurring Schedule'!$F$16,$A150&gt;'Recurring Schedule'!$P$16),"",IF(IF('Recurring Schedule'!$N$16&gt;0,MOD($A150-'Recurring Schedule'!$F$16,'Recurring Schedule'!$N$16)=0,IF('Recurring Schedule'!$O$16&gt;0,AND(DAY($A150)=MIN(DAY('Recurring Schedule'!$F$16),DAY(EOMONTH($A150,0))),MOD((YEAR($A150)-YEAR('Recurring Schedule'!$F$16))*12+MONTH($A150)-MONTH('Recurring Schedule'!$F$16),'Recurring Schedule'!$O$16)=0),IF('Recurring Schedule'!$E$16="Weekdays",WEEKDAY($A150,2)&lt;=5,$A150='Recurring Schedule'!$F$16))),11,""))))</f>
        <v/>
      </c>
      <c r="M150">
        <f>IF('Recurring Schedule'!$C$17="","",IF('Recurring Schedule'!$F$17="","",IF(OR($A150&lt;'Recurring Schedule'!$F$17,$A150&gt;'Recurring Schedule'!$P$17),"",IF(IF('Recurring Schedule'!$N$17&gt;0,MOD($A150-'Recurring Schedule'!$F$17,'Recurring Schedule'!$N$17)=0,IF('Recurring Schedule'!$O$17&gt;0,AND(DAY($A150)=MIN(DAY('Recurring Schedule'!$F$17),DAY(EOMONTH($A150,0))),MOD((YEAR($A150)-YEAR('Recurring Schedule'!$F$17))*12+MONTH($A150)-MONTH('Recurring Schedule'!$F$17),'Recurring Schedule'!$O$17)=0),IF('Recurring Schedule'!$E$17="Weekdays",WEEKDAY($A150,2)&lt;=5,$A150='Recurring Schedule'!$F$17))),12,""))))</f>
        <v/>
      </c>
      <c r="N150">
        <f>IF('Recurring Schedule'!$C$18="","",IF('Recurring Schedule'!$F$18="","",IF(OR($A150&lt;'Recurring Schedule'!$F$18,$A150&gt;'Recurring Schedule'!$P$18),"",IF(IF('Recurring Schedule'!$N$18&gt;0,MOD($A150-'Recurring Schedule'!$F$18,'Recurring Schedule'!$N$18)=0,IF('Recurring Schedule'!$O$18&gt;0,AND(DAY($A150)=MIN(DAY('Recurring Schedule'!$F$18),DAY(EOMONTH($A150,0))),MOD((YEAR($A150)-YEAR('Recurring Schedule'!$F$18))*12+MONTH($A150)-MONTH('Recurring Schedule'!$F$18),'Recurring Schedule'!$O$18)=0),IF('Recurring Schedule'!$E$18="Weekdays",WEEKDAY($A150,2)&lt;=5,$A150='Recurring Schedule'!$F$18))),13,""))))</f>
        <v/>
      </c>
      <c r="O150">
        <f>IF('Recurring Schedule'!$C$19="","",IF('Recurring Schedule'!$F$19="","",IF(OR($A150&lt;'Recurring Schedule'!$F$19,$A150&gt;'Recurring Schedule'!$P$19),"",IF(IF('Recurring Schedule'!$N$19&gt;0,MOD($A150-'Recurring Schedule'!$F$19,'Recurring Schedule'!$N$19)=0,IF('Recurring Schedule'!$O$19&gt;0,AND(DAY($A150)=MIN(DAY('Recurring Schedule'!$F$19),DAY(EOMONTH($A150,0))),MOD((YEAR($A150)-YEAR('Recurring Schedule'!$F$19))*12+MONTH($A150)-MONTH('Recurring Schedule'!$F$19),'Recurring Schedule'!$O$19)=0),IF('Recurring Schedule'!$E$19="Weekdays",WEEKDAY($A150,2)&lt;=5,$A150='Recurring Schedule'!$F$19))),14,""))))</f>
        <v/>
      </c>
      <c r="P150">
        <f>IF('Recurring Schedule'!$C$20="","",IF('Recurring Schedule'!$F$20="","",IF(OR($A150&lt;'Recurring Schedule'!$F$20,$A150&gt;'Recurring Schedule'!$P$20),"",IF(IF('Recurring Schedule'!$N$20&gt;0,MOD($A150-'Recurring Schedule'!$F$20,'Recurring Schedule'!$N$20)=0,IF('Recurring Schedule'!$O$20&gt;0,AND(DAY($A150)=MIN(DAY('Recurring Schedule'!$F$20),DAY(EOMONTH($A150,0))),MOD((YEAR($A150)-YEAR('Recurring Schedule'!$F$20))*12+MONTH($A150)-MONTH('Recurring Schedule'!$F$20),'Recurring Schedule'!$O$20)=0),IF('Recurring Schedule'!$E$20="Weekdays",WEEKDAY($A150,2)&lt;=5,$A150='Recurring Schedule'!$F$20))),15,""))))</f>
        <v/>
      </c>
      <c r="Q150">
        <f>IF('Recurring Schedule'!$C$21="","",IF('Recurring Schedule'!$F$21="","",IF(OR($A150&lt;'Recurring Schedule'!$F$21,$A150&gt;'Recurring Schedule'!$P$21),"",IF(IF('Recurring Schedule'!$N$21&gt;0,MOD($A150-'Recurring Schedule'!$F$21,'Recurring Schedule'!$N$21)=0,IF('Recurring Schedule'!$O$21&gt;0,AND(DAY($A150)=MIN(DAY('Recurring Schedule'!$F$21),DAY(EOMONTH($A150,0))),MOD((YEAR($A150)-YEAR('Recurring Schedule'!$F$21))*12+MONTH($A150)-MONTH('Recurring Schedule'!$F$21),'Recurring Schedule'!$O$21)=0),IF('Recurring Schedule'!$E$21="Weekdays",WEEKDAY($A150,2)&lt;=5,$A150='Recurring Schedule'!$F$21))),16,""))))</f>
        <v/>
      </c>
      <c r="R150">
        <f>IF('Recurring Schedule'!$C$22="","",IF('Recurring Schedule'!$F$22="","",IF(OR($A150&lt;'Recurring Schedule'!$F$22,$A150&gt;'Recurring Schedule'!$P$22),"",IF(IF('Recurring Schedule'!$N$22&gt;0,MOD($A150-'Recurring Schedule'!$F$22,'Recurring Schedule'!$N$22)=0,IF('Recurring Schedule'!$O$22&gt;0,AND(DAY($A150)=MIN(DAY('Recurring Schedule'!$F$22),DAY(EOMONTH($A150,0))),MOD((YEAR($A150)-YEAR('Recurring Schedule'!$F$22))*12+MONTH($A150)-MONTH('Recurring Schedule'!$F$22),'Recurring Schedule'!$O$22)=0),IF('Recurring Schedule'!$E$22="Weekdays",WEEKDAY($A150,2)&lt;=5,$A150='Recurring Schedule'!$F$22))),17,""))))</f>
        <v/>
      </c>
      <c r="S150">
        <f>IF('Recurring Schedule'!$C$23="","",IF('Recurring Schedule'!$F$23="","",IF(OR($A150&lt;'Recurring Schedule'!$F$23,$A150&gt;'Recurring Schedule'!$P$23),"",IF(IF('Recurring Schedule'!$N$23&gt;0,MOD($A150-'Recurring Schedule'!$F$23,'Recurring Schedule'!$N$23)=0,IF('Recurring Schedule'!$O$23&gt;0,AND(DAY($A150)=MIN(DAY('Recurring Schedule'!$F$23),DAY(EOMONTH($A150,0))),MOD((YEAR($A150)-YEAR('Recurring Schedule'!$F$23))*12+MONTH($A150)-MONTH('Recurring Schedule'!$F$23),'Recurring Schedule'!$O$23)=0),IF('Recurring Schedule'!$E$23="Weekdays",WEEKDAY($A150,2)&lt;=5,$A150='Recurring Schedule'!$F$23))),18,""))))</f>
        <v/>
      </c>
      <c r="T150">
        <f>IF('Recurring Schedule'!$C$24="","",IF('Recurring Schedule'!$F$24="","",IF(OR($A150&lt;'Recurring Schedule'!$F$24,$A150&gt;'Recurring Schedule'!$P$24),"",IF(IF('Recurring Schedule'!$N$24&gt;0,MOD($A150-'Recurring Schedule'!$F$24,'Recurring Schedule'!$N$24)=0,IF('Recurring Schedule'!$O$24&gt;0,AND(DAY($A150)=MIN(DAY('Recurring Schedule'!$F$24),DAY(EOMONTH($A150,0))),MOD((YEAR($A150)-YEAR('Recurring Schedule'!$F$24))*12+MONTH($A150)-MONTH('Recurring Schedule'!$F$24),'Recurring Schedule'!$O$24)=0),IF('Recurring Schedule'!$E$24="Weekdays",WEEKDAY($A150,2)&lt;=5,$A150='Recurring Schedule'!$F$24))),19,""))))</f>
        <v/>
      </c>
      <c r="U150">
        <f>IF('Recurring Schedule'!$C$25="","",IF('Recurring Schedule'!$F$25="","",IF(OR($A150&lt;'Recurring Schedule'!$F$25,$A150&gt;'Recurring Schedule'!$P$25),"",IF(IF('Recurring Schedule'!$N$25&gt;0,MOD($A150-'Recurring Schedule'!$F$25,'Recurring Schedule'!$N$25)=0,IF('Recurring Schedule'!$O$25&gt;0,AND(DAY($A150)=MIN(DAY('Recurring Schedule'!$F$25),DAY(EOMONTH($A150,0))),MOD((YEAR($A150)-YEAR('Recurring Schedule'!$F$25))*12+MONTH($A150)-MONTH('Recurring Schedule'!$F$25),'Recurring Schedule'!$O$25)=0),IF('Recurring Schedule'!$E$25="Weekdays",WEEKDAY($A150,2)&lt;=5,$A150='Recurring Schedule'!$F$25))),20,""))))</f>
        <v/>
      </c>
      <c r="V150">
        <f>IF('Recurring Schedule'!$C$26="","",IF('Recurring Schedule'!$F$26="","",IF(OR($A150&lt;'Recurring Schedule'!$F$26,$A150&gt;'Recurring Schedule'!$P$26),"",IF(IF('Recurring Schedule'!$N$26&gt;0,MOD($A150-'Recurring Schedule'!$F$26,'Recurring Schedule'!$N$26)=0,IF('Recurring Schedule'!$O$26&gt;0,AND(DAY($A150)=MIN(DAY('Recurring Schedule'!$F$26),DAY(EOMONTH($A150,0))),MOD((YEAR($A150)-YEAR('Recurring Schedule'!$F$26))*12+MONTH($A150)-MONTH('Recurring Schedule'!$F$26),'Recurring Schedule'!$O$26)=0),IF('Recurring Schedule'!$E$26="Weekdays",WEEKDAY($A150,2)&lt;=5,$A150='Recurring Schedule'!$F$26))),21,""))))</f>
        <v/>
      </c>
      <c r="W150">
        <f>IF('Recurring Schedule'!$C$27="","",IF('Recurring Schedule'!$F$27="","",IF(OR($A150&lt;'Recurring Schedule'!$F$27,$A150&gt;'Recurring Schedule'!$P$27),"",IF(IF('Recurring Schedule'!$N$27&gt;0,MOD($A150-'Recurring Schedule'!$F$27,'Recurring Schedule'!$N$27)=0,IF('Recurring Schedule'!$O$27&gt;0,AND(DAY($A150)=MIN(DAY('Recurring Schedule'!$F$27),DAY(EOMONTH($A150,0))),MOD((YEAR($A150)-YEAR('Recurring Schedule'!$F$27))*12+MONTH($A150)-MONTH('Recurring Schedule'!$F$27),'Recurring Schedule'!$O$27)=0),IF('Recurring Schedule'!$E$27="Weekdays",WEEKDAY($A150,2)&lt;=5,$A150='Recurring Schedule'!$F$27))),22,""))))</f>
        <v/>
      </c>
      <c r="X150">
        <f>IF('Recurring Schedule'!$C$28="","",IF('Recurring Schedule'!$F$28="","",IF(OR($A150&lt;'Recurring Schedule'!$F$28,$A150&gt;'Recurring Schedule'!$P$28),"",IF(IF('Recurring Schedule'!$N$28&gt;0,MOD($A150-'Recurring Schedule'!$F$28,'Recurring Schedule'!$N$28)=0,IF('Recurring Schedule'!$O$28&gt;0,AND(DAY($A150)=MIN(DAY('Recurring Schedule'!$F$28),DAY(EOMONTH($A150,0))),MOD((YEAR($A150)-YEAR('Recurring Schedule'!$F$28))*12+MONTH($A150)-MONTH('Recurring Schedule'!$F$28),'Recurring Schedule'!$O$28)=0),IF('Recurring Schedule'!$E$28="Weekdays",WEEKDAY($A150,2)&lt;=5,$A150='Recurring Schedule'!$F$28))),23,""))))</f>
        <v/>
      </c>
      <c r="Y150">
        <f>IF('Recurring Schedule'!$C$29="","",IF('Recurring Schedule'!$F$29="","",IF(OR($A150&lt;'Recurring Schedule'!$F$29,$A150&gt;'Recurring Schedule'!$P$29),"",IF(IF('Recurring Schedule'!$N$29&gt;0,MOD($A150-'Recurring Schedule'!$F$29,'Recurring Schedule'!$N$29)=0,IF('Recurring Schedule'!$O$29&gt;0,AND(DAY($A150)=MIN(DAY('Recurring Schedule'!$F$29),DAY(EOMONTH($A150,0))),MOD((YEAR($A150)-YEAR('Recurring Schedule'!$F$29))*12+MONTH($A150)-MONTH('Recurring Schedule'!$F$29),'Recurring Schedule'!$O$29)=0),IF('Recurring Schedule'!$E$29="Weekdays",WEEKDAY($A150,2)&lt;=5,$A150='Recurring Schedule'!$F$29))),24,""))))</f>
        <v/>
      </c>
      <c r="Z150">
        <f>IF('Recurring Schedule'!$C$30="","",IF('Recurring Schedule'!$F$30="","",IF(OR($A150&lt;'Recurring Schedule'!$F$30,$A150&gt;'Recurring Schedule'!$P$30),"",IF(IF('Recurring Schedule'!$N$30&gt;0,MOD($A150-'Recurring Schedule'!$F$30,'Recurring Schedule'!$N$30)=0,IF('Recurring Schedule'!$O$30&gt;0,AND(DAY($A150)=MIN(DAY('Recurring Schedule'!$F$30),DAY(EOMONTH($A150,0))),MOD((YEAR($A150)-YEAR('Recurring Schedule'!$F$30))*12+MONTH($A150)-MONTH('Recurring Schedule'!$F$30),'Recurring Schedule'!$O$30)=0),IF('Recurring Schedule'!$E$30="Weekdays",WEEKDAY($A150,2)&lt;=5,$A150='Recurring Schedule'!$F$30))),25,""))))</f>
        <v/>
      </c>
      <c r="AA150">
        <f>IF('Recurring Schedule'!$C$31="","",IF('Recurring Schedule'!$F$31="","",IF(OR($A150&lt;'Recurring Schedule'!$F$31,$A150&gt;'Recurring Schedule'!$P$31),"",IF(IF('Recurring Schedule'!$N$31&gt;0,MOD($A150-'Recurring Schedule'!$F$31,'Recurring Schedule'!$N$31)=0,IF('Recurring Schedule'!$O$31&gt;0,AND(DAY($A150)=MIN(DAY('Recurring Schedule'!$F$31),DAY(EOMONTH($A150,0))),MOD((YEAR($A150)-YEAR('Recurring Schedule'!$F$31))*12+MONTH($A150)-MONTH('Recurring Schedule'!$F$31),'Recurring Schedule'!$O$31)=0),IF('Recurring Schedule'!$E$31="Weekdays",WEEKDAY($A150,2)&lt;=5,$A150='Recurring Schedule'!$F$31))),26,""))))</f>
        <v/>
      </c>
      <c r="AB150">
        <f>IF('Recurring Schedule'!$C$32="","",IF('Recurring Schedule'!$F$32="","",IF(OR($A150&lt;'Recurring Schedule'!$F$32,$A150&gt;'Recurring Schedule'!$P$32),"",IF(IF('Recurring Schedule'!$N$32&gt;0,MOD($A150-'Recurring Schedule'!$F$32,'Recurring Schedule'!$N$32)=0,IF('Recurring Schedule'!$O$32&gt;0,AND(DAY($A150)=MIN(DAY('Recurring Schedule'!$F$32),DAY(EOMONTH($A150,0))),MOD((YEAR($A150)-YEAR('Recurring Schedule'!$F$32))*12+MONTH($A150)-MONTH('Recurring Schedule'!$F$32),'Recurring Schedule'!$O$32)=0),IF('Recurring Schedule'!$E$32="Weekdays",WEEKDAY($A150,2)&lt;=5,$A150='Recurring Schedule'!$F$32))),27,""))))</f>
        <v/>
      </c>
      <c r="AC150">
        <f>IF('Recurring Schedule'!$C$33="","",IF('Recurring Schedule'!$F$33="","",IF(OR($A150&lt;'Recurring Schedule'!$F$33,$A150&gt;'Recurring Schedule'!$P$33),"",IF(IF('Recurring Schedule'!$N$33&gt;0,MOD($A150-'Recurring Schedule'!$F$33,'Recurring Schedule'!$N$33)=0,IF('Recurring Schedule'!$O$33&gt;0,AND(DAY($A150)=MIN(DAY('Recurring Schedule'!$F$33),DAY(EOMONTH($A150,0))),MOD((YEAR($A150)-YEAR('Recurring Schedule'!$F$33))*12+MONTH($A150)-MONTH('Recurring Schedule'!$F$33),'Recurring Schedule'!$O$33)=0),IF('Recurring Schedule'!$E$33="Weekdays",WEEKDAY($A150,2)&lt;=5,$A150='Recurring Schedule'!$F$33))),28,""))))</f>
        <v/>
      </c>
      <c r="AD150">
        <f>IF('Recurring Schedule'!$C$34="","",IF('Recurring Schedule'!$F$34="","",IF(OR($A150&lt;'Recurring Schedule'!$F$34,$A150&gt;'Recurring Schedule'!$P$34),"",IF(IF('Recurring Schedule'!$N$34&gt;0,MOD($A150-'Recurring Schedule'!$F$34,'Recurring Schedule'!$N$34)=0,IF('Recurring Schedule'!$O$34&gt;0,AND(DAY($A150)=MIN(DAY('Recurring Schedule'!$F$34),DAY(EOMONTH($A150,0))),MOD((YEAR($A150)-YEAR('Recurring Schedule'!$F$34))*12+MONTH($A150)-MONTH('Recurring Schedule'!$F$34),'Recurring Schedule'!$O$34)=0),IF('Recurring Schedule'!$E$34="Weekdays",WEEKDAY($A150,2)&lt;=5,$A150='Recurring Schedule'!$F$34))),29,""))))</f>
        <v/>
      </c>
      <c r="AE150">
        <f>IF('Recurring Schedule'!$C$35="","",IF('Recurring Schedule'!$F$35="","",IF(OR($A150&lt;'Recurring Schedule'!$F$35,$A150&gt;'Recurring Schedule'!$P$35),"",IF(IF('Recurring Schedule'!$N$35&gt;0,MOD($A150-'Recurring Schedule'!$F$35,'Recurring Schedule'!$N$35)=0,IF('Recurring Schedule'!$O$35&gt;0,AND(DAY($A150)=MIN(DAY('Recurring Schedule'!$F$35),DAY(EOMONTH($A150,0))),MOD((YEAR($A150)-YEAR('Recurring Schedule'!$F$35))*12+MONTH($A150)-MONTH('Recurring Schedule'!$F$35),'Recurring Schedule'!$O$35)=0),IF('Recurring Schedule'!$E$35="Weekdays",WEEKDAY($A150,2)&lt;=5,$A150='Recurring Schedule'!$F$35))),30,""))))</f>
        <v/>
      </c>
      <c r="AF150">
        <f>IF('Recurring Schedule'!$C$36="","",IF('Recurring Schedule'!$F$36="","",IF(OR($A150&lt;'Recurring Schedule'!$F$36,$A150&gt;'Recurring Schedule'!$P$36),"",IF(IF('Recurring Schedule'!$N$36&gt;0,MOD($A150-'Recurring Schedule'!$F$36,'Recurring Schedule'!$N$36)=0,IF('Recurring Schedule'!$O$36&gt;0,AND(DAY($A150)=MIN(DAY('Recurring Schedule'!$F$36),DAY(EOMONTH($A150,0))),MOD((YEAR($A150)-YEAR('Recurring Schedule'!$F$36))*12+MONTH($A150)-MONTH('Recurring Schedule'!$F$36),'Recurring Schedule'!$O$36)=0),IF('Recurring Schedule'!$E$36="Weekdays",WEEKDAY($A150,2)&lt;=5,$A150='Recurring Schedule'!$F$36))),31,""))))</f>
        <v/>
      </c>
      <c r="AG150">
        <f>IF('Recurring Schedule'!$C$37="","",IF('Recurring Schedule'!$F$37="","",IF(OR($A150&lt;'Recurring Schedule'!$F$37,$A150&gt;'Recurring Schedule'!$P$37),"",IF(IF('Recurring Schedule'!$N$37&gt;0,MOD($A150-'Recurring Schedule'!$F$37,'Recurring Schedule'!$N$37)=0,IF('Recurring Schedule'!$O$37&gt;0,AND(DAY($A150)=MIN(DAY('Recurring Schedule'!$F$37),DAY(EOMONTH($A150,0))),MOD((YEAR($A150)-YEAR('Recurring Schedule'!$F$37))*12+MONTH($A150)-MONTH('Recurring Schedule'!$F$37),'Recurring Schedule'!$O$37)=0),IF('Recurring Schedule'!$E$37="Weekdays",WEEKDAY($A150,2)&lt;=5,$A150='Recurring Schedule'!$F$37))),32,""))))</f>
        <v/>
      </c>
      <c r="AH150">
        <f>IF('Recurring Schedule'!$C$38="","",IF('Recurring Schedule'!$F$38="","",IF(OR($A150&lt;'Recurring Schedule'!$F$38,$A150&gt;'Recurring Schedule'!$P$38),"",IF(IF('Recurring Schedule'!$N$38&gt;0,MOD($A150-'Recurring Schedule'!$F$38,'Recurring Schedule'!$N$38)=0,IF('Recurring Schedule'!$O$38&gt;0,AND(DAY($A150)=MIN(DAY('Recurring Schedule'!$F$38),DAY(EOMONTH($A150,0))),MOD((YEAR($A150)-YEAR('Recurring Schedule'!$F$38))*12+MONTH($A150)-MONTH('Recurring Schedule'!$F$38),'Recurring Schedule'!$O$38)=0),IF('Recurring Schedule'!$E$38="Weekdays",WEEKDAY($A150,2)&lt;=5,$A150='Recurring Schedule'!$F$38))),33,""))))</f>
        <v/>
      </c>
      <c r="AI150">
        <f>IF('Recurring Schedule'!$C$39="","",IF('Recurring Schedule'!$F$39="","",IF(OR($A150&lt;'Recurring Schedule'!$F$39,$A150&gt;'Recurring Schedule'!$P$39),"",IF(IF('Recurring Schedule'!$N$39&gt;0,MOD($A150-'Recurring Schedule'!$F$39,'Recurring Schedule'!$N$39)=0,IF('Recurring Schedule'!$O$39&gt;0,AND(DAY($A150)=MIN(DAY('Recurring Schedule'!$F$39),DAY(EOMONTH($A150,0))),MOD((YEAR($A150)-YEAR('Recurring Schedule'!$F$39))*12+MONTH($A150)-MONTH('Recurring Schedule'!$F$39),'Recurring Schedule'!$O$39)=0),IF('Recurring Schedule'!$E$39="Weekdays",WEEKDAY($A150,2)&lt;=5,$A150='Recurring Schedule'!$F$39))),34,""))))</f>
        <v/>
      </c>
      <c r="AJ150">
        <f>IF('Recurring Schedule'!$C$40="","",IF('Recurring Schedule'!$F$40="","",IF(OR($A150&lt;'Recurring Schedule'!$F$40,$A150&gt;'Recurring Schedule'!$P$40),"",IF(IF('Recurring Schedule'!$N$40&gt;0,MOD($A150-'Recurring Schedule'!$F$40,'Recurring Schedule'!$N$40)=0,IF('Recurring Schedule'!$O$40&gt;0,AND(DAY($A150)=MIN(DAY('Recurring Schedule'!$F$40),DAY(EOMONTH($A150,0))),MOD((YEAR($A150)-YEAR('Recurring Schedule'!$F$40))*12+MONTH($A150)-MONTH('Recurring Schedule'!$F$40),'Recurring Schedule'!$O$40)=0),IF('Recurring Schedule'!$E$40="Weekdays",WEEKDAY($A150,2)&lt;=5,$A150='Recurring Schedule'!$F$40))),35,""))))</f>
        <v/>
      </c>
      <c r="AK150">
        <f>IF('Recurring Schedule'!$C$41="","",IF('Recurring Schedule'!$F$41="","",IF(OR($A150&lt;'Recurring Schedule'!$F$41,$A150&gt;'Recurring Schedule'!$P$41),"",IF(IF('Recurring Schedule'!$N$41&gt;0,MOD($A150-'Recurring Schedule'!$F$41,'Recurring Schedule'!$N$41)=0,IF('Recurring Schedule'!$O$41&gt;0,AND(DAY($A150)=MIN(DAY('Recurring Schedule'!$F$41),DAY(EOMONTH($A150,0))),MOD((YEAR($A150)-YEAR('Recurring Schedule'!$F$41))*12+MONTH($A150)-MONTH('Recurring Schedule'!$F$41),'Recurring Schedule'!$O$41)=0),IF('Recurring Schedule'!$E$41="Weekdays",WEEKDAY($A150,2)&lt;=5,$A150='Recurring Schedule'!$F$41))),36,""))))</f>
        <v/>
      </c>
      <c r="AL150">
        <f>IF('Recurring Schedule'!$C$42="","",IF('Recurring Schedule'!$F$42="","",IF(OR($A150&lt;'Recurring Schedule'!$F$42,$A150&gt;'Recurring Schedule'!$P$42),"",IF(IF('Recurring Schedule'!$N$42&gt;0,MOD($A150-'Recurring Schedule'!$F$42,'Recurring Schedule'!$N$42)=0,IF('Recurring Schedule'!$O$42&gt;0,AND(DAY($A150)=MIN(DAY('Recurring Schedule'!$F$42),DAY(EOMONTH($A150,0))),MOD((YEAR($A150)-YEAR('Recurring Schedule'!$F$42))*12+MONTH($A150)-MONTH('Recurring Schedule'!$F$42),'Recurring Schedule'!$O$42)=0),IF('Recurring Schedule'!$E$42="Weekdays",WEEKDAY($A150,2)&lt;=5,$A150='Recurring Schedule'!$F$42))),37,""))))</f>
        <v/>
      </c>
      <c r="AM150">
        <f>IF('Recurring Schedule'!$C$43="","",IF('Recurring Schedule'!$F$43="","",IF(OR($A150&lt;'Recurring Schedule'!$F$43,$A150&gt;'Recurring Schedule'!$P$43),"",IF(IF('Recurring Schedule'!$N$43&gt;0,MOD($A150-'Recurring Schedule'!$F$43,'Recurring Schedule'!$N$43)=0,IF('Recurring Schedule'!$O$43&gt;0,AND(DAY($A150)=MIN(DAY('Recurring Schedule'!$F$43),DAY(EOMONTH($A150,0))),MOD((YEAR($A150)-YEAR('Recurring Schedule'!$F$43))*12+MONTH($A150)-MONTH('Recurring Schedule'!$F$43),'Recurring Schedule'!$O$43)=0),IF('Recurring Schedule'!$E$43="Weekdays",WEEKDAY($A150,2)&lt;=5,$A150='Recurring Schedule'!$F$43))),38,""))))</f>
        <v/>
      </c>
      <c r="AN150">
        <f>IF('Recurring Schedule'!$C$44="","",IF('Recurring Schedule'!$F$44="","",IF(OR($A150&lt;'Recurring Schedule'!$F$44,$A150&gt;'Recurring Schedule'!$P$44),"",IF(IF('Recurring Schedule'!$N$44&gt;0,MOD($A150-'Recurring Schedule'!$F$44,'Recurring Schedule'!$N$44)=0,IF('Recurring Schedule'!$O$44&gt;0,AND(DAY($A150)=MIN(DAY('Recurring Schedule'!$F$44),DAY(EOMONTH($A150,0))),MOD((YEAR($A150)-YEAR('Recurring Schedule'!$F$44))*12+MONTH($A150)-MONTH('Recurring Schedule'!$F$44),'Recurring Schedule'!$O$44)=0),IF('Recurring Schedule'!$E$44="Weekdays",WEEKDAY($A150,2)&lt;=5,$A150='Recurring Schedule'!$F$44))),39,""))))</f>
        <v/>
      </c>
      <c r="AO150">
        <f>IF('Recurring Schedule'!$C$45="","",IF('Recurring Schedule'!$F$45="","",IF(OR($A150&lt;'Recurring Schedule'!$F$45,$A150&gt;'Recurring Schedule'!$P$45),"",IF(IF('Recurring Schedule'!$N$45&gt;0,MOD($A150-'Recurring Schedule'!$F$45,'Recurring Schedule'!$N$45)=0,IF('Recurring Schedule'!$O$45&gt;0,AND(DAY($A150)=MIN(DAY('Recurring Schedule'!$F$45),DAY(EOMONTH($A150,0))),MOD((YEAR($A150)-YEAR('Recurring Schedule'!$F$45))*12+MONTH($A150)-MONTH('Recurring Schedule'!$F$45),'Recurring Schedule'!$O$45)=0),IF('Recurring Schedule'!$E$45="Weekdays",WEEKDAY($A150,2)&lt;=5,$A150='Recurring Schedule'!$F$45))),40,""))))</f>
        <v/>
      </c>
      <c r="AP150">
        <f>COUNT(B150:AO150)</f>
        <v/>
      </c>
      <c r="AQ150">
        <f>AQ149+AP149</f>
        <v/>
      </c>
      <c r="AS150" t="inlineStr">
        <is>
          <t>R</t>
        </is>
      </c>
      <c r="AT150" t="n">
        <v>154</v>
      </c>
      <c r="AU150">
        <f>'Recurring Log'!C154&amp;""</f>
        <v/>
      </c>
      <c r="AV150">
        <f>'Recurring Log'!D154&amp;""</f>
        <v/>
      </c>
      <c r="AW150">
        <f>IF('Recurring Log'!E154="","",'Recurring Log'!E154)</f>
        <v/>
      </c>
      <c r="AX150">
        <f>IF('Recurring Log'!G154="","",'Recurring Log'!G154)</f>
        <v/>
      </c>
      <c r="AY150">
        <f>IF('Recurring Log'!H154="","",'Recurring Log'!H154)</f>
        <v/>
      </c>
      <c r="AZ150">
        <f>IF(AU150="","",IF('Recurring Log'!J154="","Not Started",'Recurring Log'!J154))</f>
        <v/>
      </c>
      <c r="BA150">
        <f>'Recurring Log'!L154&amp;""</f>
        <v/>
      </c>
      <c r="BB150">
        <f>'Recurring Log'!M154&amp;""</f>
        <v/>
      </c>
      <c r="BC150">
        <f>'Recurring Log'!N154&amp;""</f>
        <v/>
      </c>
      <c r="BD150">
        <f>'Recurring Log'!O154&amp;""</f>
        <v/>
      </c>
      <c r="BE150">
        <f>IF('Recurring Log'!K154="","",'Recurring Log'!K154)</f>
        <v/>
      </c>
      <c r="BF150">
        <f>IFERROR(MATCH(BA150,Setup!$L$6:$L$9,0),5)</f>
        <v/>
      </c>
      <c r="BG150">
        <f>IF(OR(AZ150="Done",AZ150="Cancelled"),1,0)</f>
        <v/>
      </c>
      <c r="BH150">
        <f>IF(AND(AU150&lt;&gt;"",ISNUMBER(AW150)),1,0)</f>
        <v/>
      </c>
      <c r="BI150">
        <f>IF(BH150=0,0,IF(AND(AW150&gt;='Tasks Filter'!$F$3,AW150&lt;='Tasks Filter'!$F$4,OR('Tasks Filter'!$I$3="",ISNUMBER(SEARCH('Tasks Filter'!$I$3,AU150))),OR('Tasks Filter'!$I$4="",BF150=IFERROR(MATCH('Tasks Filter'!$I$4,Setup!$L$6:$L$9,0),0)),OR('Tasks Filter'!$I$5="Both",AND('Tasks Filter'!$I$5="Yes",BB150="✓"),AND('Tasks Filter'!$I$5="No",BB150&lt;&gt;"✓")),OR('Tasks Filter'!$L$3="",AV150='Tasks Filter'!$L$3),OR('Tasks Filter'!$L$4="",AZ150='Tasks Filter'!$L$4),OR('Tasks Filter'!$L$5="",BC150='Tasks Filter'!$L$5),OR('Tasks Filter'!$O$3="",BD150='Tasks Filter'!$O$3),OR('Tasks Filter'!$O$4="Yes",BG150=0)),1,0))</f>
        <v/>
      </c>
      <c r="BJ150">
        <f>IF(BH150=0,"",IF('Tasks Filter'!$F$6="Descending",-1,1)*CHOOSE(MATCH('Tasks Filter'!$F$5,Lists!$G$2:$G$6,0),AW150,BF150,IFERROR(MATCH(AV150,Setup!$F$6:$F$15,0),99),IFERROR(MATCH(BC150,Setup!$H$6:$H$15,0),99),IFERROR(MATCH(AZ150,Setup!$J$6:$J$11,0),99))*1E+9+(AW150-40000)*10000+149)</f>
        <v/>
      </c>
      <c r="BK150">
        <f>IF(BI150=1,BJ150,"")</f>
        <v/>
      </c>
      <c r="BL150">
        <f>IF(AND(BH150=1,BG150=0,N(AW150)&lt;Setup!$D$7),(AW150-40000)*10000+149,"")</f>
        <v/>
      </c>
      <c r="BM150">
        <f>IF(AND(BH150=1,AZ150&lt;&gt;"Cancelled",N(AW150)&gt;=Dashboard!$AB$3,N(AW150)&lt;=Dashboard!$AB$3+6),(AW150-40000)*100000+BF150*10000+149,"")</f>
        <v/>
      </c>
      <c r="BN150">
        <f>IF(AND(BH150=1,AZ150&lt;&gt;"Cancelled"),BF150*10000+149,"")</f>
        <v/>
      </c>
    </row>
    <row r="151">
      <c r="A151">
        <f>Setup!$D$5+149</f>
        <v/>
      </c>
      <c r="B151">
        <f>IF('Recurring Schedule'!$C$6="","",IF('Recurring Schedule'!$F$6="","",IF(OR($A151&lt;'Recurring Schedule'!$F$6,$A151&gt;'Recurring Schedule'!$P$6),"",IF(IF('Recurring Schedule'!$N$6&gt;0,MOD($A151-'Recurring Schedule'!$F$6,'Recurring Schedule'!$N$6)=0,IF('Recurring Schedule'!$O$6&gt;0,AND(DAY($A151)=MIN(DAY('Recurring Schedule'!$F$6),DAY(EOMONTH($A151,0))),MOD((YEAR($A151)-YEAR('Recurring Schedule'!$F$6))*12+MONTH($A151)-MONTH('Recurring Schedule'!$F$6),'Recurring Schedule'!$O$6)=0),IF('Recurring Schedule'!$E$6="Weekdays",WEEKDAY($A151,2)&lt;=5,$A151='Recurring Schedule'!$F$6))),1,""))))</f>
        <v/>
      </c>
      <c r="C151">
        <f>IF('Recurring Schedule'!$C$7="","",IF('Recurring Schedule'!$F$7="","",IF(OR($A151&lt;'Recurring Schedule'!$F$7,$A151&gt;'Recurring Schedule'!$P$7),"",IF(IF('Recurring Schedule'!$N$7&gt;0,MOD($A151-'Recurring Schedule'!$F$7,'Recurring Schedule'!$N$7)=0,IF('Recurring Schedule'!$O$7&gt;0,AND(DAY($A151)=MIN(DAY('Recurring Schedule'!$F$7),DAY(EOMONTH($A151,0))),MOD((YEAR($A151)-YEAR('Recurring Schedule'!$F$7))*12+MONTH($A151)-MONTH('Recurring Schedule'!$F$7),'Recurring Schedule'!$O$7)=0),IF('Recurring Schedule'!$E$7="Weekdays",WEEKDAY($A151,2)&lt;=5,$A151='Recurring Schedule'!$F$7))),2,""))))</f>
        <v/>
      </c>
      <c r="D151">
        <f>IF('Recurring Schedule'!$C$8="","",IF('Recurring Schedule'!$F$8="","",IF(OR($A151&lt;'Recurring Schedule'!$F$8,$A151&gt;'Recurring Schedule'!$P$8),"",IF(IF('Recurring Schedule'!$N$8&gt;0,MOD($A151-'Recurring Schedule'!$F$8,'Recurring Schedule'!$N$8)=0,IF('Recurring Schedule'!$O$8&gt;0,AND(DAY($A151)=MIN(DAY('Recurring Schedule'!$F$8),DAY(EOMONTH($A151,0))),MOD((YEAR($A151)-YEAR('Recurring Schedule'!$F$8))*12+MONTH($A151)-MONTH('Recurring Schedule'!$F$8),'Recurring Schedule'!$O$8)=0),IF('Recurring Schedule'!$E$8="Weekdays",WEEKDAY($A151,2)&lt;=5,$A151='Recurring Schedule'!$F$8))),3,""))))</f>
        <v/>
      </c>
      <c r="E151">
        <f>IF('Recurring Schedule'!$C$9="","",IF('Recurring Schedule'!$F$9="","",IF(OR($A151&lt;'Recurring Schedule'!$F$9,$A151&gt;'Recurring Schedule'!$P$9),"",IF(IF('Recurring Schedule'!$N$9&gt;0,MOD($A151-'Recurring Schedule'!$F$9,'Recurring Schedule'!$N$9)=0,IF('Recurring Schedule'!$O$9&gt;0,AND(DAY($A151)=MIN(DAY('Recurring Schedule'!$F$9),DAY(EOMONTH($A151,0))),MOD((YEAR($A151)-YEAR('Recurring Schedule'!$F$9))*12+MONTH($A151)-MONTH('Recurring Schedule'!$F$9),'Recurring Schedule'!$O$9)=0),IF('Recurring Schedule'!$E$9="Weekdays",WEEKDAY($A151,2)&lt;=5,$A151='Recurring Schedule'!$F$9))),4,""))))</f>
        <v/>
      </c>
      <c r="F151">
        <f>IF('Recurring Schedule'!$C$10="","",IF('Recurring Schedule'!$F$10="","",IF(OR($A151&lt;'Recurring Schedule'!$F$10,$A151&gt;'Recurring Schedule'!$P$10),"",IF(IF('Recurring Schedule'!$N$10&gt;0,MOD($A151-'Recurring Schedule'!$F$10,'Recurring Schedule'!$N$10)=0,IF('Recurring Schedule'!$O$10&gt;0,AND(DAY($A151)=MIN(DAY('Recurring Schedule'!$F$10),DAY(EOMONTH($A151,0))),MOD((YEAR($A151)-YEAR('Recurring Schedule'!$F$10))*12+MONTH($A151)-MONTH('Recurring Schedule'!$F$10),'Recurring Schedule'!$O$10)=0),IF('Recurring Schedule'!$E$10="Weekdays",WEEKDAY($A151,2)&lt;=5,$A151='Recurring Schedule'!$F$10))),5,""))))</f>
        <v/>
      </c>
      <c r="G151">
        <f>IF('Recurring Schedule'!$C$11="","",IF('Recurring Schedule'!$F$11="","",IF(OR($A151&lt;'Recurring Schedule'!$F$11,$A151&gt;'Recurring Schedule'!$P$11),"",IF(IF('Recurring Schedule'!$N$11&gt;0,MOD($A151-'Recurring Schedule'!$F$11,'Recurring Schedule'!$N$11)=0,IF('Recurring Schedule'!$O$11&gt;0,AND(DAY($A151)=MIN(DAY('Recurring Schedule'!$F$11),DAY(EOMONTH($A151,0))),MOD((YEAR($A151)-YEAR('Recurring Schedule'!$F$11))*12+MONTH($A151)-MONTH('Recurring Schedule'!$F$11),'Recurring Schedule'!$O$11)=0),IF('Recurring Schedule'!$E$11="Weekdays",WEEKDAY($A151,2)&lt;=5,$A151='Recurring Schedule'!$F$11))),6,""))))</f>
        <v/>
      </c>
      <c r="H151">
        <f>IF('Recurring Schedule'!$C$12="","",IF('Recurring Schedule'!$F$12="","",IF(OR($A151&lt;'Recurring Schedule'!$F$12,$A151&gt;'Recurring Schedule'!$P$12),"",IF(IF('Recurring Schedule'!$N$12&gt;0,MOD($A151-'Recurring Schedule'!$F$12,'Recurring Schedule'!$N$12)=0,IF('Recurring Schedule'!$O$12&gt;0,AND(DAY($A151)=MIN(DAY('Recurring Schedule'!$F$12),DAY(EOMONTH($A151,0))),MOD((YEAR($A151)-YEAR('Recurring Schedule'!$F$12))*12+MONTH($A151)-MONTH('Recurring Schedule'!$F$12),'Recurring Schedule'!$O$12)=0),IF('Recurring Schedule'!$E$12="Weekdays",WEEKDAY($A151,2)&lt;=5,$A151='Recurring Schedule'!$F$12))),7,""))))</f>
        <v/>
      </c>
      <c r="I151">
        <f>IF('Recurring Schedule'!$C$13="","",IF('Recurring Schedule'!$F$13="","",IF(OR($A151&lt;'Recurring Schedule'!$F$13,$A151&gt;'Recurring Schedule'!$P$13),"",IF(IF('Recurring Schedule'!$N$13&gt;0,MOD($A151-'Recurring Schedule'!$F$13,'Recurring Schedule'!$N$13)=0,IF('Recurring Schedule'!$O$13&gt;0,AND(DAY($A151)=MIN(DAY('Recurring Schedule'!$F$13),DAY(EOMONTH($A151,0))),MOD((YEAR($A151)-YEAR('Recurring Schedule'!$F$13))*12+MONTH($A151)-MONTH('Recurring Schedule'!$F$13),'Recurring Schedule'!$O$13)=0),IF('Recurring Schedule'!$E$13="Weekdays",WEEKDAY($A151,2)&lt;=5,$A151='Recurring Schedule'!$F$13))),8,""))))</f>
        <v/>
      </c>
      <c r="J151">
        <f>IF('Recurring Schedule'!$C$14="","",IF('Recurring Schedule'!$F$14="","",IF(OR($A151&lt;'Recurring Schedule'!$F$14,$A151&gt;'Recurring Schedule'!$P$14),"",IF(IF('Recurring Schedule'!$N$14&gt;0,MOD($A151-'Recurring Schedule'!$F$14,'Recurring Schedule'!$N$14)=0,IF('Recurring Schedule'!$O$14&gt;0,AND(DAY($A151)=MIN(DAY('Recurring Schedule'!$F$14),DAY(EOMONTH($A151,0))),MOD((YEAR($A151)-YEAR('Recurring Schedule'!$F$14))*12+MONTH($A151)-MONTH('Recurring Schedule'!$F$14),'Recurring Schedule'!$O$14)=0),IF('Recurring Schedule'!$E$14="Weekdays",WEEKDAY($A151,2)&lt;=5,$A151='Recurring Schedule'!$F$14))),9,""))))</f>
        <v/>
      </c>
      <c r="K151">
        <f>IF('Recurring Schedule'!$C$15="","",IF('Recurring Schedule'!$F$15="","",IF(OR($A151&lt;'Recurring Schedule'!$F$15,$A151&gt;'Recurring Schedule'!$P$15),"",IF(IF('Recurring Schedule'!$N$15&gt;0,MOD($A151-'Recurring Schedule'!$F$15,'Recurring Schedule'!$N$15)=0,IF('Recurring Schedule'!$O$15&gt;0,AND(DAY($A151)=MIN(DAY('Recurring Schedule'!$F$15),DAY(EOMONTH($A151,0))),MOD((YEAR($A151)-YEAR('Recurring Schedule'!$F$15))*12+MONTH($A151)-MONTH('Recurring Schedule'!$F$15),'Recurring Schedule'!$O$15)=0),IF('Recurring Schedule'!$E$15="Weekdays",WEEKDAY($A151,2)&lt;=5,$A151='Recurring Schedule'!$F$15))),10,""))))</f>
        <v/>
      </c>
      <c r="L151">
        <f>IF('Recurring Schedule'!$C$16="","",IF('Recurring Schedule'!$F$16="","",IF(OR($A151&lt;'Recurring Schedule'!$F$16,$A151&gt;'Recurring Schedule'!$P$16),"",IF(IF('Recurring Schedule'!$N$16&gt;0,MOD($A151-'Recurring Schedule'!$F$16,'Recurring Schedule'!$N$16)=0,IF('Recurring Schedule'!$O$16&gt;0,AND(DAY($A151)=MIN(DAY('Recurring Schedule'!$F$16),DAY(EOMONTH($A151,0))),MOD((YEAR($A151)-YEAR('Recurring Schedule'!$F$16))*12+MONTH($A151)-MONTH('Recurring Schedule'!$F$16),'Recurring Schedule'!$O$16)=0),IF('Recurring Schedule'!$E$16="Weekdays",WEEKDAY($A151,2)&lt;=5,$A151='Recurring Schedule'!$F$16))),11,""))))</f>
        <v/>
      </c>
      <c r="M151">
        <f>IF('Recurring Schedule'!$C$17="","",IF('Recurring Schedule'!$F$17="","",IF(OR($A151&lt;'Recurring Schedule'!$F$17,$A151&gt;'Recurring Schedule'!$P$17),"",IF(IF('Recurring Schedule'!$N$17&gt;0,MOD($A151-'Recurring Schedule'!$F$17,'Recurring Schedule'!$N$17)=0,IF('Recurring Schedule'!$O$17&gt;0,AND(DAY($A151)=MIN(DAY('Recurring Schedule'!$F$17),DAY(EOMONTH($A151,0))),MOD((YEAR($A151)-YEAR('Recurring Schedule'!$F$17))*12+MONTH($A151)-MONTH('Recurring Schedule'!$F$17),'Recurring Schedule'!$O$17)=0),IF('Recurring Schedule'!$E$17="Weekdays",WEEKDAY($A151,2)&lt;=5,$A151='Recurring Schedule'!$F$17))),12,""))))</f>
        <v/>
      </c>
      <c r="N151">
        <f>IF('Recurring Schedule'!$C$18="","",IF('Recurring Schedule'!$F$18="","",IF(OR($A151&lt;'Recurring Schedule'!$F$18,$A151&gt;'Recurring Schedule'!$P$18),"",IF(IF('Recurring Schedule'!$N$18&gt;0,MOD($A151-'Recurring Schedule'!$F$18,'Recurring Schedule'!$N$18)=0,IF('Recurring Schedule'!$O$18&gt;0,AND(DAY($A151)=MIN(DAY('Recurring Schedule'!$F$18),DAY(EOMONTH($A151,0))),MOD((YEAR($A151)-YEAR('Recurring Schedule'!$F$18))*12+MONTH($A151)-MONTH('Recurring Schedule'!$F$18),'Recurring Schedule'!$O$18)=0),IF('Recurring Schedule'!$E$18="Weekdays",WEEKDAY($A151,2)&lt;=5,$A151='Recurring Schedule'!$F$18))),13,""))))</f>
        <v/>
      </c>
      <c r="O151">
        <f>IF('Recurring Schedule'!$C$19="","",IF('Recurring Schedule'!$F$19="","",IF(OR($A151&lt;'Recurring Schedule'!$F$19,$A151&gt;'Recurring Schedule'!$P$19),"",IF(IF('Recurring Schedule'!$N$19&gt;0,MOD($A151-'Recurring Schedule'!$F$19,'Recurring Schedule'!$N$19)=0,IF('Recurring Schedule'!$O$19&gt;0,AND(DAY($A151)=MIN(DAY('Recurring Schedule'!$F$19),DAY(EOMONTH($A151,0))),MOD((YEAR($A151)-YEAR('Recurring Schedule'!$F$19))*12+MONTH($A151)-MONTH('Recurring Schedule'!$F$19),'Recurring Schedule'!$O$19)=0),IF('Recurring Schedule'!$E$19="Weekdays",WEEKDAY($A151,2)&lt;=5,$A151='Recurring Schedule'!$F$19))),14,""))))</f>
        <v/>
      </c>
      <c r="P151">
        <f>IF('Recurring Schedule'!$C$20="","",IF('Recurring Schedule'!$F$20="","",IF(OR($A151&lt;'Recurring Schedule'!$F$20,$A151&gt;'Recurring Schedule'!$P$20),"",IF(IF('Recurring Schedule'!$N$20&gt;0,MOD($A151-'Recurring Schedule'!$F$20,'Recurring Schedule'!$N$20)=0,IF('Recurring Schedule'!$O$20&gt;0,AND(DAY($A151)=MIN(DAY('Recurring Schedule'!$F$20),DAY(EOMONTH($A151,0))),MOD((YEAR($A151)-YEAR('Recurring Schedule'!$F$20))*12+MONTH($A151)-MONTH('Recurring Schedule'!$F$20),'Recurring Schedule'!$O$20)=0),IF('Recurring Schedule'!$E$20="Weekdays",WEEKDAY($A151,2)&lt;=5,$A151='Recurring Schedule'!$F$20))),15,""))))</f>
        <v/>
      </c>
      <c r="Q151">
        <f>IF('Recurring Schedule'!$C$21="","",IF('Recurring Schedule'!$F$21="","",IF(OR($A151&lt;'Recurring Schedule'!$F$21,$A151&gt;'Recurring Schedule'!$P$21),"",IF(IF('Recurring Schedule'!$N$21&gt;0,MOD($A151-'Recurring Schedule'!$F$21,'Recurring Schedule'!$N$21)=0,IF('Recurring Schedule'!$O$21&gt;0,AND(DAY($A151)=MIN(DAY('Recurring Schedule'!$F$21),DAY(EOMONTH($A151,0))),MOD((YEAR($A151)-YEAR('Recurring Schedule'!$F$21))*12+MONTH($A151)-MONTH('Recurring Schedule'!$F$21),'Recurring Schedule'!$O$21)=0),IF('Recurring Schedule'!$E$21="Weekdays",WEEKDAY($A151,2)&lt;=5,$A151='Recurring Schedule'!$F$21))),16,""))))</f>
        <v/>
      </c>
      <c r="R151">
        <f>IF('Recurring Schedule'!$C$22="","",IF('Recurring Schedule'!$F$22="","",IF(OR($A151&lt;'Recurring Schedule'!$F$22,$A151&gt;'Recurring Schedule'!$P$22),"",IF(IF('Recurring Schedule'!$N$22&gt;0,MOD($A151-'Recurring Schedule'!$F$22,'Recurring Schedule'!$N$22)=0,IF('Recurring Schedule'!$O$22&gt;0,AND(DAY($A151)=MIN(DAY('Recurring Schedule'!$F$22),DAY(EOMONTH($A151,0))),MOD((YEAR($A151)-YEAR('Recurring Schedule'!$F$22))*12+MONTH($A151)-MONTH('Recurring Schedule'!$F$22),'Recurring Schedule'!$O$22)=0),IF('Recurring Schedule'!$E$22="Weekdays",WEEKDAY($A151,2)&lt;=5,$A151='Recurring Schedule'!$F$22))),17,""))))</f>
        <v/>
      </c>
      <c r="S151">
        <f>IF('Recurring Schedule'!$C$23="","",IF('Recurring Schedule'!$F$23="","",IF(OR($A151&lt;'Recurring Schedule'!$F$23,$A151&gt;'Recurring Schedule'!$P$23),"",IF(IF('Recurring Schedule'!$N$23&gt;0,MOD($A151-'Recurring Schedule'!$F$23,'Recurring Schedule'!$N$23)=0,IF('Recurring Schedule'!$O$23&gt;0,AND(DAY($A151)=MIN(DAY('Recurring Schedule'!$F$23),DAY(EOMONTH($A151,0))),MOD((YEAR($A151)-YEAR('Recurring Schedule'!$F$23))*12+MONTH($A151)-MONTH('Recurring Schedule'!$F$23),'Recurring Schedule'!$O$23)=0),IF('Recurring Schedule'!$E$23="Weekdays",WEEKDAY($A151,2)&lt;=5,$A151='Recurring Schedule'!$F$23))),18,""))))</f>
        <v/>
      </c>
      <c r="T151">
        <f>IF('Recurring Schedule'!$C$24="","",IF('Recurring Schedule'!$F$24="","",IF(OR($A151&lt;'Recurring Schedule'!$F$24,$A151&gt;'Recurring Schedule'!$P$24),"",IF(IF('Recurring Schedule'!$N$24&gt;0,MOD($A151-'Recurring Schedule'!$F$24,'Recurring Schedule'!$N$24)=0,IF('Recurring Schedule'!$O$24&gt;0,AND(DAY($A151)=MIN(DAY('Recurring Schedule'!$F$24),DAY(EOMONTH($A151,0))),MOD((YEAR($A151)-YEAR('Recurring Schedule'!$F$24))*12+MONTH($A151)-MONTH('Recurring Schedule'!$F$24),'Recurring Schedule'!$O$24)=0),IF('Recurring Schedule'!$E$24="Weekdays",WEEKDAY($A151,2)&lt;=5,$A151='Recurring Schedule'!$F$24))),19,""))))</f>
        <v/>
      </c>
      <c r="U151">
        <f>IF('Recurring Schedule'!$C$25="","",IF('Recurring Schedule'!$F$25="","",IF(OR($A151&lt;'Recurring Schedule'!$F$25,$A151&gt;'Recurring Schedule'!$P$25),"",IF(IF('Recurring Schedule'!$N$25&gt;0,MOD($A151-'Recurring Schedule'!$F$25,'Recurring Schedule'!$N$25)=0,IF('Recurring Schedule'!$O$25&gt;0,AND(DAY($A151)=MIN(DAY('Recurring Schedule'!$F$25),DAY(EOMONTH($A151,0))),MOD((YEAR($A151)-YEAR('Recurring Schedule'!$F$25))*12+MONTH($A151)-MONTH('Recurring Schedule'!$F$25),'Recurring Schedule'!$O$25)=0),IF('Recurring Schedule'!$E$25="Weekdays",WEEKDAY($A151,2)&lt;=5,$A151='Recurring Schedule'!$F$25))),20,""))))</f>
        <v/>
      </c>
      <c r="V151">
        <f>IF('Recurring Schedule'!$C$26="","",IF('Recurring Schedule'!$F$26="","",IF(OR($A151&lt;'Recurring Schedule'!$F$26,$A151&gt;'Recurring Schedule'!$P$26),"",IF(IF('Recurring Schedule'!$N$26&gt;0,MOD($A151-'Recurring Schedule'!$F$26,'Recurring Schedule'!$N$26)=0,IF('Recurring Schedule'!$O$26&gt;0,AND(DAY($A151)=MIN(DAY('Recurring Schedule'!$F$26),DAY(EOMONTH($A151,0))),MOD((YEAR($A151)-YEAR('Recurring Schedule'!$F$26))*12+MONTH($A151)-MONTH('Recurring Schedule'!$F$26),'Recurring Schedule'!$O$26)=0),IF('Recurring Schedule'!$E$26="Weekdays",WEEKDAY($A151,2)&lt;=5,$A151='Recurring Schedule'!$F$26))),21,""))))</f>
        <v/>
      </c>
      <c r="W151">
        <f>IF('Recurring Schedule'!$C$27="","",IF('Recurring Schedule'!$F$27="","",IF(OR($A151&lt;'Recurring Schedule'!$F$27,$A151&gt;'Recurring Schedule'!$P$27),"",IF(IF('Recurring Schedule'!$N$27&gt;0,MOD($A151-'Recurring Schedule'!$F$27,'Recurring Schedule'!$N$27)=0,IF('Recurring Schedule'!$O$27&gt;0,AND(DAY($A151)=MIN(DAY('Recurring Schedule'!$F$27),DAY(EOMONTH($A151,0))),MOD((YEAR($A151)-YEAR('Recurring Schedule'!$F$27))*12+MONTH($A151)-MONTH('Recurring Schedule'!$F$27),'Recurring Schedule'!$O$27)=0),IF('Recurring Schedule'!$E$27="Weekdays",WEEKDAY($A151,2)&lt;=5,$A151='Recurring Schedule'!$F$27))),22,""))))</f>
        <v/>
      </c>
      <c r="X151">
        <f>IF('Recurring Schedule'!$C$28="","",IF('Recurring Schedule'!$F$28="","",IF(OR($A151&lt;'Recurring Schedule'!$F$28,$A151&gt;'Recurring Schedule'!$P$28),"",IF(IF('Recurring Schedule'!$N$28&gt;0,MOD($A151-'Recurring Schedule'!$F$28,'Recurring Schedule'!$N$28)=0,IF('Recurring Schedule'!$O$28&gt;0,AND(DAY($A151)=MIN(DAY('Recurring Schedule'!$F$28),DAY(EOMONTH($A151,0))),MOD((YEAR($A151)-YEAR('Recurring Schedule'!$F$28))*12+MONTH($A151)-MONTH('Recurring Schedule'!$F$28),'Recurring Schedule'!$O$28)=0),IF('Recurring Schedule'!$E$28="Weekdays",WEEKDAY($A151,2)&lt;=5,$A151='Recurring Schedule'!$F$28))),23,""))))</f>
        <v/>
      </c>
      <c r="Y151">
        <f>IF('Recurring Schedule'!$C$29="","",IF('Recurring Schedule'!$F$29="","",IF(OR($A151&lt;'Recurring Schedule'!$F$29,$A151&gt;'Recurring Schedule'!$P$29),"",IF(IF('Recurring Schedule'!$N$29&gt;0,MOD($A151-'Recurring Schedule'!$F$29,'Recurring Schedule'!$N$29)=0,IF('Recurring Schedule'!$O$29&gt;0,AND(DAY($A151)=MIN(DAY('Recurring Schedule'!$F$29),DAY(EOMONTH($A151,0))),MOD((YEAR($A151)-YEAR('Recurring Schedule'!$F$29))*12+MONTH($A151)-MONTH('Recurring Schedule'!$F$29),'Recurring Schedule'!$O$29)=0),IF('Recurring Schedule'!$E$29="Weekdays",WEEKDAY($A151,2)&lt;=5,$A151='Recurring Schedule'!$F$29))),24,""))))</f>
        <v/>
      </c>
      <c r="Z151">
        <f>IF('Recurring Schedule'!$C$30="","",IF('Recurring Schedule'!$F$30="","",IF(OR($A151&lt;'Recurring Schedule'!$F$30,$A151&gt;'Recurring Schedule'!$P$30),"",IF(IF('Recurring Schedule'!$N$30&gt;0,MOD($A151-'Recurring Schedule'!$F$30,'Recurring Schedule'!$N$30)=0,IF('Recurring Schedule'!$O$30&gt;0,AND(DAY($A151)=MIN(DAY('Recurring Schedule'!$F$30),DAY(EOMONTH($A151,0))),MOD((YEAR($A151)-YEAR('Recurring Schedule'!$F$30))*12+MONTH($A151)-MONTH('Recurring Schedule'!$F$30),'Recurring Schedule'!$O$30)=0),IF('Recurring Schedule'!$E$30="Weekdays",WEEKDAY($A151,2)&lt;=5,$A151='Recurring Schedule'!$F$30))),25,""))))</f>
        <v/>
      </c>
      <c r="AA151">
        <f>IF('Recurring Schedule'!$C$31="","",IF('Recurring Schedule'!$F$31="","",IF(OR($A151&lt;'Recurring Schedule'!$F$31,$A151&gt;'Recurring Schedule'!$P$31),"",IF(IF('Recurring Schedule'!$N$31&gt;0,MOD($A151-'Recurring Schedule'!$F$31,'Recurring Schedule'!$N$31)=0,IF('Recurring Schedule'!$O$31&gt;0,AND(DAY($A151)=MIN(DAY('Recurring Schedule'!$F$31),DAY(EOMONTH($A151,0))),MOD((YEAR($A151)-YEAR('Recurring Schedule'!$F$31))*12+MONTH($A151)-MONTH('Recurring Schedule'!$F$31),'Recurring Schedule'!$O$31)=0),IF('Recurring Schedule'!$E$31="Weekdays",WEEKDAY($A151,2)&lt;=5,$A151='Recurring Schedule'!$F$31))),26,""))))</f>
        <v/>
      </c>
      <c r="AB151">
        <f>IF('Recurring Schedule'!$C$32="","",IF('Recurring Schedule'!$F$32="","",IF(OR($A151&lt;'Recurring Schedule'!$F$32,$A151&gt;'Recurring Schedule'!$P$32),"",IF(IF('Recurring Schedule'!$N$32&gt;0,MOD($A151-'Recurring Schedule'!$F$32,'Recurring Schedule'!$N$32)=0,IF('Recurring Schedule'!$O$32&gt;0,AND(DAY($A151)=MIN(DAY('Recurring Schedule'!$F$32),DAY(EOMONTH($A151,0))),MOD((YEAR($A151)-YEAR('Recurring Schedule'!$F$32))*12+MONTH($A151)-MONTH('Recurring Schedule'!$F$32),'Recurring Schedule'!$O$32)=0),IF('Recurring Schedule'!$E$32="Weekdays",WEEKDAY($A151,2)&lt;=5,$A151='Recurring Schedule'!$F$32))),27,""))))</f>
        <v/>
      </c>
      <c r="AC151">
        <f>IF('Recurring Schedule'!$C$33="","",IF('Recurring Schedule'!$F$33="","",IF(OR($A151&lt;'Recurring Schedule'!$F$33,$A151&gt;'Recurring Schedule'!$P$33),"",IF(IF('Recurring Schedule'!$N$33&gt;0,MOD($A151-'Recurring Schedule'!$F$33,'Recurring Schedule'!$N$33)=0,IF('Recurring Schedule'!$O$33&gt;0,AND(DAY($A151)=MIN(DAY('Recurring Schedule'!$F$33),DAY(EOMONTH($A151,0))),MOD((YEAR($A151)-YEAR('Recurring Schedule'!$F$33))*12+MONTH($A151)-MONTH('Recurring Schedule'!$F$33),'Recurring Schedule'!$O$33)=0),IF('Recurring Schedule'!$E$33="Weekdays",WEEKDAY($A151,2)&lt;=5,$A151='Recurring Schedule'!$F$33))),28,""))))</f>
        <v/>
      </c>
      <c r="AD151">
        <f>IF('Recurring Schedule'!$C$34="","",IF('Recurring Schedule'!$F$34="","",IF(OR($A151&lt;'Recurring Schedule'!$F$34,$A151&gt;'Recurring Schedule'!$P$34),"",IF(IF('Recurring Schedule'!$N$34&gt;0,MOD($A151-'Recurring Schedule'!$F$34,'Recurring Schedule'!$N$34)=0,IF('Recurring Schedule'!$O$34&gt;0,AND(DAY($A151)=MIN(DAY('Recurring Schedule'!$F$34),DAY(EOMONTH($A151,0))),MOD((YEAR($A151)-YEAR('Recurring Schedule'!$F$34))*12+MONTH($A151)-MONTH('Recurring Schedule'!$F$34),'Recurring Schedule'!$O$34)=0),IF('Recurring Schedule'!$E$34="Weekdays",WEEKDAY($A151,2)&lt;=5,$A151='Recurring Schedule'!$F$34))),29,""))))</f>
        <v/>
      </c>
      <c r="AE151">
        <f>IF('Recurring Schedule'!$C$35="","",IF('Recurring Schedule'!$F$35="","",IF(OR($A151&lt;'Recurring Schedule'!$F$35,$A151&gt;'Recurring Schedule'!$P$35),"",IF(IF('Recurring Schedule'!$N$35&gt;0,MOD($A151-'Recurring Schedule'!$F$35,'Recurring Schedule'!$N$35)=0,IF('Recurring Schedule'!$O$35&gt;0,AND(DAY($A151)=MIN(DAY('Recurring Schedule'!$F$35),DAY(EOMONTH($A151,0))),MOD((YEAR($A151)-YEAR('Recurring Schedule'!$F$35))*12+MONTH($A151)-MONTH('Recurring Schedule'!$F$35),'Recurring Schedule'!$O$35)=0),IF('Recurring Schedule'!$E$35="Weekdays",WEEKDAY($A151,2)&lt;=5,$A151='Recurring Schedule'!$F$35))),30,""))))</f>
        <v/>
      </c>
      <c r="AF151">
        <f>IF('Recurring Schedule'!$C$36="","",IF('Recurring Schedule'!$F$36="","",IF(OR($A151&lt;'Recurring Schedule'!$F$36,$A151&gt;'Recurring Schedule'!$P$36),"",IF(IF('Recurring Schedule'!$N$36&gt;0,MOD($A151-'Recurring Schedule'!$F$36,'Recurring Schedule'!$N$36)=0,IF('Recurring Schedule'!$O$36&gt;0,AND(DAY($A151)=MIN(DAY('Recurring Schedule'!$F$36),DAY(EOMONTH($A151,0))),MOD((YEAR($A151)-YEAR('Recurring Schedule'!$F$36))*12+MONTH($A151)-MONTH('Recurring Schedule'!$F$36),'Recurring Schedule'!$O$36)=0),IF('Recurring Schedule'!$E$36="Weekdays",WEEKDAY($A151,2)&lt;=5,$A151='Recurring Schedule'!$F$36))),31,""))))</f>
        <v/>
      </c>
      <c r="AG151">
        <f>IF('Recurring Schedule'!$C$37="","",IF('Recurring Schedule'!$F$37="","",IF(OR($A151&lt;'Recurring Schedule'!$F$37,$A151&gt;'Recurring Schedule'!$P$37),"",IF(IF('Recurring Schedule'!$N$37&gt;0,MOD($A151-'Recurring Schedule'!$F$37,'Recurring Schedule'!$N$37)=0,IF('Recurring Schedule'!$O$37&gt;0,AND(DAY($A151)=MIN(DAY('Recurring Schedule'!$F$37),DAY(EOMONTH($A151,0))),MOD((YEAR($A151)-YEAR('Recurring Schedule'!$F$37))*12+MONTH($A151)-MONTH('Recurring Schedule'!$F$37),'Recurring Schedule'!$O$37)=0),IF('Recurring Schedule'!$E$37="Weekdays",WEEKDAY($A151,2)&lt;=5,$A151='Recurring Schedule'!$F$37))),32,""))))</f>
        <v/>
      </c>
      <c r="AH151">
        <f>IF('Recurring Schedule'!$C$38="","",IF('Recurring Schedule'!$F$38="","",IF(OR($A151&lt;'Recurring Schedule'!$F$38,$A151&gt;'Recurring Schedule'!$P$38),"",IF(IF('Recurring Schedule'!$N$38&gt;0,MOD($A151-'Recurring Schedule'!$F$38,'Recurring Schedule'!$N$38)=0,IF('Recurring Schedule'!$O$38&gt;0,AND(DAY($A151)=MIN(DAY('Recurring Schedule'!$F$38),DAY(EOMONTH($A151,0))),MOD((YEAR($A151)-YEAR('Recurring Schedule'!$F$38))*12+MONTH($A151)-MONTH('Recurring Schedule'!$F$38),'Recurring Schedule'!$O$38)=0),IF('Recurring Schedule'!$E$38="Weekdays",WEEKDAY($A151,2)&lt;=5,$A151='Recurring Schedule'!$F$38))),33,""))))</f>
        <v/>
      </c>
      <c r="AI151">
        <f>IF('Recurring Schedule'!$C$39="","",IF('Recurring Schedule'!$F$39="","",IF(OR($A151&lt;'Recurring Schedule'!$F$39,$A151&gt;'Recurring Schedule'!$P$39),"",IF(IF('Recurring Schedule'!$N$39&gt;0,MOD($A151-'Recurring Schedule'!$F$39,'Recurring Schedule'!$N$39)=0,IF('Recurring Schedule'!$O$39&gt;0,AND(DAY($A151)=MIN(DAY('Recurring Schedule'!$F$39),DAY(EOMONTH($A151,0))),MOD((YEAR($A151)-YEAR('Recurring Schedule'!$F$39))*12+MONTH($A151)-MONTH('Recurring Schedule'!$F$39),'Recurring Schedule'!$O$39)=0),IF('Recurring Schedule'!$E$39="Weekdays",WEEKDAY($A151,2)&lt;=5,$A151='Recurring Schedule'!$F$39))),34,""))))</f>
        <v/>
      </c>
      <c r="AJ151">
        <f>IF('Recurring Schedule'!$C$40="","",IF('Recurring Schedule'!$F$40="","",IF(OR($A151&lt;'Recurring Schedule'!$F$40,$A151&gt;'Recurring Schedule'!$P$40),"",IF(IF('Recurring Schedule'!$N$40&gt;0,MOD($A151-'Recurring Schedule'!$F$40,'Recurring Schedule'!$N$40)=0,IF('Recurring Schedule'!$O$40&gt;0,AND(DAY($A151)=MIN(DAY('Recurring Schedule'!$F$40),DAY(EOMONTH($A151,0))),MOD((YEAR($A151)-YEAR('Recurring Schedule'!$F$40))*12+MONTH($A151)-MONTH('Recurring Schedule'!$F$40),'Recurring Schedule'!$O$40)=0),IF('Recurring Schedule'!$E$40="Weekdays",WEEKDAY($A151,2)&lt;=5,$A151='Recurring Schedule'!$F$40))),35,""))))</f>
        <v/>
      </c>
      <c r="AK151">
        <f>IF('Recurring Schedule'!$C$41="","",IF('Recurring Schedule'!$F$41="","",IF(OR($A151&lt;'Recurring Schedule'!$F$41,$A151&gt;'Recurring Schedule'!$P$41),"",IF(IF('Recurring Schedule'!$N$41&gt;0,MOD($A151-'Recurring Schedule'!$F$41,'Recurring Schedule'!$N$41)=0,IF('Recurring Schedule'!$O$41&gt;0,AND(DAY($A151)=MIN(DAY('Recurring Schedule'!$F$41),DAY(EOMONTH($A151,0))),MOD((YEAR($A151)-YEAR('Recurring Schedule'!$F$41))*12+MONTH($A151)-MONTH('Recurring Schedule'!$F$41),'Recurring Schedule'!$O$41)=0),IF('Recurring Schedule'!$E$41="Weekdays",WEEKDAY($A151,2)&lt;=5,$A151='Recurring Schedule'!$F$41))),36,""))))</f>
        <v/>
      </c>
      <c r="AL151">
        <f>IF('Recurring Schedule'!$C$42="","",IF('Recurring Schedule'!$F$42="","",IF(OR($A151&lt;'Recurring Schedule'!$F$42,$A151&gt;'Recurring Schedule'!$P$42),"",IF(IF('Recurring Schedule'!$N$42&gt;0,MOD($A151-'Recurring Schedule'!$F$42,'Recurring Schedule'!$N$42)=0,IF('Recurring Schedule'!$O$42&gt;0,AND(DAY($A151)=MIN(DAY('Recurring Schedule'!$F$42),DAY(EOMONTH($A151,0))),MOD((YEAR($A151)-YEAR('Recurring Schedule'!$F$42))*12+MONTH($A151)-MONTH('Recurring Schedule'!$F$42),'Recurring Schedule'!$O$42)=0),IF('Recurring Schedule'!$E$42="Weekdays",WEEKDAY($A151,2)&lt;=5,$A151='Recurring Schedule'!$F$42))),37,""))))</f>
        <v/>
      </c>
      <c r="AM151">
        <f>IF('Recurring Schedule'!$C$43="","",IF('Recurring Schedule'!$F$43="","",IF(OR($A151&lt;'Recurring Schedule'!$F$43,$A151&gt;'Recurring Schedule'!$P$43),"",IF(IF('Recurring Schedule'!$N$43&gt;0,MOD($A151-'Recurring Schedule'!$F$43,'Recurring Schedule'!$N$43)=0,IF('Recurring Schedule'!$O$43&gt;0,AND(DAY($A151)=MIN(DAY('Recurring Schedule'!$F$43),DAY(EOMONTH($A151,0))),MOD((YEAR($A151)-YEAR('Recurring Schedule'!$F$43))*12+MONTH($A151)-MONTH('Recurring Schedule'!$F$43),'Recurring Schedule'!$O$43)=0),IF('Recurring Schedule'!$E$43="Weekdays",WEEKDAY($A151,2)&lt;=5,$A151='Recurring Schedule'!$F$43))),38,""))))</f>
        <v/>
      </c>
      <c r="AN151">
        <f>IF('Recurring Schedule'!$C$44="","",IF('Recurring Schedule'!$F$44="","",IF(OR($A151&lt;'Recurring Schedule'!$F$44,$A151&gt;'Recurring Schedule'!$P$44),"",IF(IF('Recurring Schedule'!$N$44&gt;0,MOD($A151-'Recurring Schedule'!$F$44,'Recurring Schedule'!$N$44)=0,IF('Recurring Schedule'!$O$44&gt;0,AND(DAY($A151)=MIN(DAY('Recurring Schedule'!$F$44),DAY(EOMONTH($A151,0))),MOD((YEAR($A151)-YEAR('Recurring Schedule'!$F$44))*12+MONTH($A151)-MONTH('Recurring Schedule'!$F$44),'Recurring Schedule'!$O$44)=0),IF('Recurring Schedule'!$E$44="Weekdays",WEEKDAY($A151,2)&lt;=5,$A151='Recurring Schedule'!$F$44))),39,""))))</f>
        <v/>
      </c>
      <c r="AO151">
        <f>IF('Recurring Schedule'!$C$45="","",IF('Recurring Schedule'!$F$45="","",IF(OR($A151&lt;'Recurring Schedule'!$F$45,$A151&gt;'Recurring Schedule'!$P$45),"",IF(IF('Recurring Schedule'!$N$45&gt;0,MOD($A151-'Recurring Schedule'!$F$45,'Recurring Schedule'!$N$45)=0,IF('Recurring Schedule'!$O$45&gt;0,AND(DAY($A151)=MIN(DAY('Recurring Schedule'!$F$45),DAY(EOMONTH($A151,0))),MOD((YEAR($A151)-YEAR('Recurring Schedule'!$F$45))*12+MONTH($A151)-MONTH('Recurring Schedule'!$F$45),'Recurring Schedule'!$O$45)=0),IF('Recurring Schedule'!$E$45="Weekdays",WEEKDAY($A151,2)&lt;=5,$A151='Recurring Schedule'!$F$45))),40,""))))</f>
        <v/>
      </c>
      <c r="AP151">
        <f>COUNT(B151:AO151)</f>
        <v/>
      </c>
      <c r="AQ151">
        <f>AQ150+AP150</f>
        <v/>
      </c>
      <c r="AS151" t="inlineStr">
        <is>
          <t>R</t>
        </is>
      </c>
      <c r="AT151" t="n">
        <v>155</v>
      </c>
      <c r="AU151">
        <f>'Recurring Log'!C155&amp;""</f>
        <v/>
      </c>
      <c r="AV151">
        <f>'Recurring Log'!D155&amp;""</f>
        <v/>
      </c>
      <c r="AW151">
        <f>IF('Recurring Log'!E155="","",'Recurring Log'!E155)</f>
        <v/>
      </c>
      <c r="AX151">
        <f>IF('Recurring Log'!G155="","",'Recurring Log'!G155)</f>
        <v/>
      </c>
      <c r="AY151">
        <f>IF('Recurring Log'!H155="","",'Recurring Log'!H155)</f>
        <v/>
      </c>
      <c r="AZ151">
        <f>IF(AU151="","",IF('Recurring Log'!J155="","Not Started",'Recurring Log'!J155))</f>
        <v/>
      </c>
      <c r="BA151">
        <f>'Recurring Log'!L155&amp;""</f>
        <v/>
      </c>
      <c r="BB151">
        <f>'Recurring Log'!M155&amp;""</f>
        <v/>
      </c>
      <c r="BC151">
        <f>'Recurring Log'!N155&amp;""</f>
        <v/>
      </c>
      <c r="BD151">
        <f>'Recurring Log'!O155&amp;""</f>
        <v/>
      </c>
      <c r="BE151">
        <f>IF('Recurring Log'!K155="","",'Recurring Log'!K155)</f>
        <v/>
      </c>
      <c r="BF151">
        <f>IFERROR(MATCH(BA151,Setup!$L$6:$L$9,0),5)</f>
        <v/>
      </c>
      <c r="BG151">
        <f>IF(OR(AZ151="Done",AZ151="Cancelled"),1,0)</f>
        <v/>
      </c>
      <c r="BH151">
        <f>IF(AND(AU151&lt;&gt;"",ISNUMBER(AW151)),1,0)</f>
        <v/>
      </c>
      <c r="BI151">
        <f>IF(BH151=0,0,IF(AND(AW151&gt;='Tasks Filter'!$F$3,AW151&lt;='Tasks Filter'!$F$4,OR('Tasks Filter'!$I$3="",ISNUMBER(SEARCH('Tasks Filter'!$I$3,AU151))),OR('Tasks Filter'!$I$4="",BF151=IFERROR(MATCH('Tasks Filter'!$I$4,Setup!$L$6:$L$9,0),0)),OR('Tasks Filter'!$I$5="Both",AND('Tasks Filter'!$I$5="Yes",BB151="✓"),AND('Tasks Filter'!$I$5="No",BB151&lt;&gt;"✓")),OR('Tasks Filter'!$L$3="",AV151='Tasks Filter'!$L$3),OR('Tasks Filter'!$L$4="",AZ151='Tasks Filter'!$L$4),OR('Tasks Filter'!$L$5="",BC151='Tasks Filter'!$L$5),OR('Tasks Filter'!$O$3="",BD151='Tasks Filter'!$O$3),OR('Tasks Filter'!$O$4="Yes",BG151=0)),1,0))</f>
        <v/>
      </c>
      <c r="BJ151">
        <f>IF(BH151=0,"",IF('Tasks Filter'!$F$6="Descending",-1,1)*CHOOSE(MATCH('Tasks Filter'!$F$5,Lists!$G$2:$G$6,0),AW151,BF151,IFERROR(MATCH(AV151,Setup!$F$6:$F$15,0),99),IFERROR(MATCH(BC151,Setup!$H$6:$H$15,0),99),IFERROR(MATCH(AZ151,Setup!$J$6:$J$11,0),99))*1E+9+(AW151-40000)*10000+150)</f>
        <v/>
      </c>
      <c r="BK151">
        <f>IF(BI151=1,BJ151,"")</f>
        <v/>
      </c>
      <c r="BL151">
        <f>IF(AND(BH151=1,BG151=0,N(AW151)&lt;Setup!$D$7),(AW151-40000)*10000+150,"")</f>
        <v/>
      </c>
      <c r="BM151">
        <f>IF(AND(BH151=1,AZ151&lt;&gt;"Cancelled",N(AW151)&gt;=Dashboard!$AB$3,N(AW151)&lt;=Dashboard!$AB$3+6),(AW151-40000)*100000+BF151*10000+150,"")</f>
        <v/>
      </c>
      <c r="BN151">
        <f>IF(AND(BH151=1,AZ151&lt;&gt;"Cancelled"),BF151*10000+150,"")</f>
        <v/>
      </c>
    </row>
    <row r="152">
      <c r="A152">
        <f>Setup!$D$5+150</f>
        <v/>
      </c>
      <c r="B152">
        <f>IF('Recurring Schedule'!$C$6="","",IF('Recurring Schedule'!$F$6="","",IF(OR($A152&lt;'Recurring Schedule'!$F$6,$A152&gt;'Recurring Schedule'!$P$6),"",IF(IF('Recurring Schedule'!$N$6&gt;0,MOD($A152-'Recurring Schedule'!$F$6,'Recurring Schedule'!$N$6)=0,IF('Recurring Schedule'!$O$6&gt;0,AND(DAY($A152)=MIN(DAY('Recurring Schedule'!$F$6),DAY(EOMONTH($A152,0))),MOD((YEAR($A152)-YEAR('Recurring Schedule'!$F$6))*12+MONTH($A152)-MONTH('Recurring Schedule'!$F$6),'Recurring Schedule'!$O$6)=0),IF('Recurring Schedule'!$E$6="Weekdays",WEEKDAY($A152,2)&lt;=5,$A152='Recurring Schedule'!$F$6))),1,""))))</f>
        <v/>
      </c>
      <c r="C152">
        <f>IF('Recurring Schedule'!$C$7="","",IF('Recurring Schedule'!$F$7="","",IF(OR($A152&lt;'Recurring Schedule'!$F$7,$A152&gt;'Recurring Schedule'!$P$7),"",IF(IF('Recurring Schedule'!$N$7&gt;0,MOD($A152-'Recurring Schedule'!$F$7,'Recurring Schedule'!$N$7)=0,IF('Recurring Schedule'!$O$7&gt;0,AND(DAY($A152)=MIN(DAY('Recurring Schedule'!$F$7),DAY(EOMONTH($A152,0))),MOD((YEAR($A152)-YEAR('Recurring Schedule'!$F$7))*12+MONTH($A152)-MONTH('Recurring Schedule'!$F$7),'Recurring Schedule'!$O$7)=0),IF('Recurring Schedule'!$E$7="Weekdays",WEEKDAY($A152,2)&lt;=5,$A152='Recurring Schedule'!$F$7))),2,""))))</f>
        <v/>
      </c>
      <c r="D152">
        <f>IF('Recurring Schedule'!$C$8="","",IF('Recurring Schedule'!$F$8="","",IF(OR($A152&lt;'Recurring Schedule'!$F$8,$A152&gt;'Recurring Schedule'!$P$8),"",IF(IF('Recurring Schedule'!$N$8&gt;0,MOD($A152-'Recurring Schedule'!$F$8,'Recurring Schedule'!$N$8)=0,IF('Recurring Schedule'!$O$8&gt;0,AND(DAY($A152)=MIN(DAY('Recurring Schedule'!$F$8),DAY(EOMONTH($A152,0))),MOD((YEAR($A152)-YEAR('Recurring Schedule'!$F$8))*12+MONTH($A152)-MONTH('Recurring Schedule'!$F$8),'Recurring Schedule'!$O$8)=0),IF('Recurring Schedule'!$E$8="Weekdays",WEEKDAY($A152,2)&lt;=5,$A152='Recurring Schedule'!$F$8))),3,""))))</f>
        <v/>
      </c>
      <c r="E152">
        <f>IF('Recurring Schedule'!$C$9="","",IF('Recurring Schedule'!$F$9="","",IF(OR($A152&lt;'Recurring Schedule'!$F$9,$A152&gt;'Recurring Schedule'!$P$9),"",IF(IF('Recurring Schedule'!$N$9&gt;0,MOD($A152-'Recurring Schedule'!$F$9,'Recurring Schedule'!$N$9)=0,IF('Recurring Schedule'!$O$9&gt;0,AND(DAY($A152)=MIN(DAY('Recurring Schedule'!$F$9),DAY(EOMONTH($A152,0))),MOD((YEAR($A152)-YEAR('Recurring Schedule'!$F$9))*12+MONTH($A152)-MONTH('Recurring Schedule'!$F$9),'Recurring Schedule'!$O$9)=0),IF('Recurring Schedule'!$E$9="Weekdays",WEEKDAY($A152,2)&lt;=5,$A152='Recurring Schedule'!$F$9))),4,""))))</f>
        <v/>
      </c>
      <c r="F152">
        <f>IF('Recurring Schedule'!$C$10="","",IF('Recurring Schedule'!$F$10="","",IF(OR($A152&lt;'Recurring Schedule'!$F$10,$A152&gt;'Recurring Schedule'!$P$10),"",IF(IF('Recurring Schedule'!$N$10&gt;0,MOD($A152-'Recurring Schedule'!$F$10,'Recurring Schedule'!$N$10)=0,IF('Recurring Schedule'!$O$10&gt;0,AND(DAY($A152)=MIN(DAY('Recurring Schedule'!$F$10),DAY(EOMONTH($A152,0))),MOD((YEAR($A152)-YEAR('Recurring Schedule'!$F$10))*12+MONTH($A152)-MONTH('Recurring Schedule'!$F$10),'Recurring Schedule'!$O$10)=0),IF('Recurring Schedule'!$E$10="Weekdays",WEEKDAY($A152,2)&lt;=5,$A152='Recurring Schedule'!$F$10))),5,""))))</f>
        <v/>
      </c>
      <c r="G152">
        <f>IF('Recurring Schedule'!$C$11="","",IF('Recurring Schedule'!$F$11="","",IF(OR($A152&lt;'Recurring Schedule'!$F$11,$A152&gt;'Recurring Schedule'!$P$11),"",IF(IF('Recurring Schedule'!$N$11&gt;0,MOD($A152-'Recurring Schedule'!$F$11,'Recurring Schedule'!$N$11)=0,IF('Recurring Schedule'!$O$11&gt;0,AND(DAY($A152)=MIN(DAY('Recurring Schedule'!$F$11),DAY(EOMONTH($A152,0))),MOD((YEAR($A152)-YEAR('Recurring Schedule'!$F$11))*12+MONTH($A152)-MONTH('Recurring Schedule'!$F$11),'Recurring Schedule'!$O$11)=0),IF('Recurring Schedule'!$E$11="Weekdays",WEEKDAY($A152,2)&lt;=5,$A152='Recurring Schedule'!$F$11))),6,""))))</f>
        <v/>
      </c>
      <c r="H152">
        <f>IF('Recurring Schedule'!$C$12="","",IF('Recurring Schedule'!$F$12="","",IF(OR($A152&lt;'Recurring Schedule'!$F$12,$A152&gt;'Recurring Schedule'!$P$12),"",IF(IF('Recurring Schedule'!$N$12&gt;0,MOD($A152-'Recurring Schedule'!$F$12,'Recurring Schedule'!$N$12)=0,IF('Recurring Schedule'!$O$12&gt;0,AND(DAY($A152)=MIN(DAY('Recurring Schedule'!$F$12),DAY(EOMONTH($A152,0))),MOD((YEAR($A152)-YEAR('Recurring Schedule'!$F$12))*12+MONTH($A152)-MONTH('Recurring Schedule'!$F$12),'Recurring Schedule'!$O$12)=0),IF('Recurring Schedule'!$E$12="Weekdays",WEEKDAY($A152,2)&lt;=5,$A152='Recurring Schedule'!$F$12))),7,""))))</f>
        <v/>
      </c>
      <c r="I152">
        <f>IF('Recurring Schedule'!$C$13="","",IF('Recurring Schedule'!$F$13="","",IF(OR($A152&lt;'Recurring Schedule'!$F$13,$A152&gt;'Recurring Schedule'!$P$13),"",IF(IF('Recurring Schedule'!$N$13&gt;0,MOD($A152-'Recurring Schedule'!$F$13,'Recurring Schedule'!$N$13)=0,IF('Recurring Schedule'!$O$13&gt;0,AND(DAY($A152)=MIN(DAY('Recurring Schedule'!$F$13),DAY(EOMONTH($A152,0))),MOD((YEAR($A152)-YEAR('Recurring Schedule'!$F$13))*12+MONTH($A152)-MONTH('Recurring Schedule'!$F$13),'Recurring Schedule'!$O$13)=0),IF('Recurring Schedule'!$E$13="Weekdays",WEEKDAY($A152,2)&lt;=5,$A152='Recurring Schedule'!$F$13))),8,""))))</f>
        <v/>
      </c>
      <c r="J152">
        <f>IF('Recurring Schedule'!$C$14="","",IF('Recurring Schedule'!$F$14="","",IF(OR($A152&lt;'Recurring Schedule'!$F$14,$A152&gt;'Recurring Schedule'!$P$14),"",IF(IF('Recurring Schedule'!$N$14&gt;0,MOD($A152-'Recurring Schedule'!$F$14,'Recurring Schedule'!$N$14)=0,IF('Recurring Schedule'!$O$14&gt;0,AND(DAY($A152)=MIN(DAY('Recurring Schedule'!$F$14),DAY(EOMONTH($A152,0))),MOD((YEAR($A152)-YEAR('Recurring Schedule'!$F$14))*12+MONTH($A152)-MONTH('Recurring Schedule'!$F$14),'Recurring Schedule'!$O$14)=0),IF('Recurring Schedule'!$E$14="Weekdays",WEEKDAY($A152,2)&lt;=5,$A152='Recurring Schedule'!$F$14))),9,""))))</f>
        <v/>
      </c>
      <c r="K152">
        <f>IF('Recurring Schedule'!$C$15="","",IF('Recurring Schedule'!$F$15="","",IF(OR($A152&lt;'Recurring Schedule'!$F$15,$A152&gt;'Recurring Schedule'!$P$15),"",IF(IF('Recurring Schedule'!$N$15&gt;0,MOD($A152-'Recurring Schedule'!$F$15,'Recurring Schedule'!$N$15)=0,IF('Recurring Schedule'!$O$15&gt;0,AND(DAY($A152)=MIN(DAY('Recurring Schedule'!$F$15),DAY(EOMONTH($A152,0))),MOD((YEAR($A152)-YEAR('Recurring Schedule'!$F$15))*12+MONTH($A152)-MONTH('Recurring Schedule'!$F$15),'Recurring Schedule'!$O$15)=0),IF('Recurring Schedule'!$E$15="Weekdays",WEEKDAY($A152,2)&lt;=5,$A152='Recurring Schedule'!$F$15))),10,""))))</f>
        <v/>
      </c>
      <c r="L152">
        <f>IF('Recurring Schedule'!$C$16="","",IF('Recurring Schedule'!$F$16="","",IF(OR($A152&lt;'Recurring Schedule'!$F$16,$A152&gt;'Recurring Schedule'!$P$16),"",IF(IF('Recurring Schedule'!$N$16&gt;0,MOD($A152-'Recurring Schedule'!$F$16,'Recurring Schedule'!$N$16)=0,IF('Recurring Schedule'!$O$16&gt;0,AND(DAY($A152)=MIN(DAY('Recurring Schedule'!$F$16),DAY(EOMONTH($A152,0))),MOD((YEAR($A152)-YEAR('Recurring Schedule'!$F$16))*12+MONTH($A152)-MONTH('Recurring Schedule'!$F$16),'Recurring Schedule'!$O$16)=0),IF('Recurring Schedule'!$E$16="Weekdays",WEEKDAY($A152,2)&lt;=5,$A152='Recurring Schedule'!$F$16))),11,""))))</f>
        <v/>
      </c>
      <c r="M152">
        <f>IF('Recurring Schedule'!$C$17="","",IF('Recurring Schedule'!$F$17="","",IF(OR($A152&lt;'Recurring Schedule'!$F$17,$A152&gt;'Recurring Schedule'!$P$17),"",IF(IF('Recurring Schedule'!$N$17&gt;0,MOD($A152-'Recurring Schedule'!$F$17,'Recurring Schedule'!$N$17)=0,IF('Recurring Schedule'!$O$17&gt;0,AND(DAY($A152)=MIN(DAY('Recurring Schedule'!$F$17),DAY(EOMONTH($A152,0))),MOD((YEAR($A152)-YEAR('Recurring Schedule'!$F$17))*12+MONTH($A152)-MONTH('Recurring Schedule'!$F$17),'Recurring Schedule'!$O$17)=0),IF('Recurring Schedule'!$E$17="Weekdays",WEEKDAY($A152,2)&lt;=5,$A152='Recurring Schedule'!$F$17))),12,""))))</f>
        <v/>
      </c>
      <c r="N152">
        <f>IF('Recurring Schedule'!$C$18="","",IF('Recurring Schedule'!$F$18="","",IF(OR($A152&lt;'Recurring Schedule'!$F$18,$A152&gt;'Recurring Schedule'!$P$18),"",IF(IF('Recurring Schedule'!$N$18&gt;0,MOD($A152-'Recurring Schedule'!$F$18,'Recurring Schedule'!$N$18)=0,IF('Recurring Schedule'!$O$18&gt;0,AND(DAY($A152)=MIN(DAY('Recurring Schedule'!$F$18),DAY(EOMONTH($A152,0))),MOD((YEAR($A152)-YEAR('Recurring Schedule'!$F$18))*12+MONTH($A152)-MONTH('Recurring Schedule'!$F$18),'Recurring Schedule'!$O$18)=0),IF('Recurring Schedule'!$E$18="Weekdays",WEEKDAY($A152,2)&lt;=5,$A152='Recurring Schedule'!$F$18))),13,""))))</f>
        <v/>
      </c>
      <c r="O152">
        <f>IF('Recurring Schedule'!$C$19="","",IF('Recurring Schedule'!$F$19="","",IF(OR($A152&lt;'Recurring Schedule'!$F$19,$A152&gt;'Recurring Schedule'!$P$19),"",IF(IF('Recurring Schedule'!$N$19&gt;0,MOD($A152-'Recurring Schedule'!$F$19,'Recurring Schedule'!$N$19)=0,IF('Recurring Schedule'!$O$19&gt;0,AND(DAY($A152)=MIN(DAY('Recurring Schedule'!$F$19),DAY(EOMONTH($A152,0))),MOD((YEAR($A152)-YEAR('Recurring Schedule'!$F$19))*12+MONTH($A152)-MONTH('Recurring Schedule'!$F$19),'Recurring Schedule'!$O$19)=0),IF('Recurring Schedule'!$E$19="Weekdays",WEEKDAY($A152,2)&lt;=5,$A152='Recurring Schedule'!$F$19))),14,""))))</f>
        <v/>
      </c>
      <c r="P152">
        <f>IF('Recurring Schedule'!$C$20="","",IF('Recurring Schedule'!$F$20="","",IF(OR($A152&lt;'Recurring Schedule'!$F$20,$A152&gt;'Recurring Schedule'!$P$20),"",IF(IF('Recurring Schedule'!$N$20&gt;0,MOD($A152-'Recurring Schedule'!$F$20,'Recurring Schedule'!$N$20)=0,IF('Recurring Schedule'!$O$20&gt;0,AND(DAY($A152)=MIN(DAY('Recurring Schedule'!$F$20),DAY(EOMONTH($A152,0))),MOD((YEAR($A152)-YEAR('Recurring Schedule'!$F$20))*12+MONTH($A152)-MONTH('Recurring Schedule'!$F$20),'Recurring Schedule'!$O$20)=0),IF('Recurring Schedule'!$E$20="Weekdays",WEEKDAY($A152,2)&lt;=5,$A152='Recurring Schedule'!$F$20))),15,""))))</f>
        <v/>
      </c>
      <c r="Q152">
        <f>IF('Recurring Schedule'!$C$21="","",IF('Recurring Schedule'!$F$21="","",IF(OR($A152&lt;'Recurring Schedule'!$F$21,$A152&gt;'Recurring Schedule'!$P$21),"",IF(IF('Recurring Schedule'!$N$21&gt;0,MOD($A152-'Recurring Schedule'!$F$21,'Recurring Schedule'!$N$21)=0,IF('Recurring Schedule'!$O$21&gt;0,AND(DAY($A152)=MIN(DAY('Recurring Schedule'!$F$21),DAY(EOMONTH($A152,0))),MOD((YEAR($A152)-YEAR('Recurring Schedule'!$F$21))*12+MONTH($A152)-MONTH('Recurring Schedule'!$F$21),'Recurring Schedule'!$O$21)=0),IF('Recurring Schedule'!$E$21="Weekdays",WEEKDAY($A152,2)&lt;=5,$A152='Recurring Schedule'!$F$21))),16,""))))</f>
        <v/>
      </c>
      <c r="R152">
        <f>IF('Recurring Schedule'!$C$22="","",IF('Recurring Schedule'!$F$22="","",IF(OR($A152&lt;'Recurring Schedule'!$F$22,$A152&gt;'Recurring Schedule'!$P$22),"",IF(IF('Recurring Schedule'!$N$22&gt;0,MOD($A152-'Recurring Schedule'!$F$22,'Recurring Schedule'!$N$22)=0,IF('Recurring Schedule'!$O$22&gt;0,AND(DAY($A152)=MIN(DAY('Recurring Schedule'!$F$22),DAY(EOMONTH($A152,0))),MOD((YEAR($A152)-YEAR('Recurring Schedule'!$F$22))*12+MONTH($A152)-MONTH('Recurring Schedule'!$F$22),'Recurring Schedule'!$O$22)=0),IF('Recurring Schedule'!$E$22="Weekdays",WEEKDAY($A152,2)&lt;=5,$A152='Recurring Schedule'!$F$22))),17,""))))</f>
        <v/>
      </c>
      <c r="S152">
        <f>IF('Recurring Schedule'!$C$23="","",IF('Recurring Schedule'!$F$23="","",IF(OR($A152&lt;'Recurring Schedule'!$F$23,$A152&gt;'Recurring Schedule'!$P$23),"",IF(IF('Recurring Schedule'!$N$23&gt;0,MOD($A152-'Recurring Schedule'!$F$23,'Recurring Schedule'!$N$23)=0,IF('Recurring Schedule'!$O$23&gt;0,AND(DAY($A152)=MIN(DAY('Recurring Schedule'!$F$23),DAY(EOMONTH($A152,0))),MOD((YEAR($A152)-YEAR('Recurring Schedule'!$F$23))*12+MONTH($A152)-MONTH('Recurring Schedule'!$F$23),'Recurring Schedule'!$O$23)=0),IF('Recurring Schedule'!$E$23="Weekdays",WEEKDAY($A152,2)&lt;=5,$A152='Recurring Schedule'!$F$23))),18,""))))</f>
        <v/>
      </c>
      <c r="T152">
        <f>IF('Recurring Schedule'!$C$24="","",IF('Recurring Schedule'!$F$24="","",IF(OR($A152&lt;'Recurring Schedule'!$F$24,$A152&gt;'Recurring Schedule'!$P$24),"",IF(IF('Recurring Schedule'!$N$24&gt;0,MOD($A152-'Recurring Schedule'!$F$24,'Recurring Schedule'!$N$24)=0,IF('Recurring Schedule'!$O$24&gt;0,AND(DAY($A152)=MIN(DAY('Recurring Schedule'!$F$24),DAY(EOMONTH($A152,0))),MOD((YEAR($A152)-YEAR('Recurring Schedule'!$F$24))*12+MONTH($A152)-MONTH('Recurring Schedule'!$F$24),'Recurring Schedule'!$O$24)=0),IF('Recurring Schedule'!$E$24="Weekdays",WEEKDAY($A152,2)&lt;=5,$A152='Recurring Schedule'!$F$24))),19,""))))</f>
        <v/>
      </c>
      <c r="U152">
        <f>IF('Recurring Schedule'!$C$25="","",IF('Recurring Schedule'!$F$25="","",IF(OR($A152&lt;'Recurring Schedule'!$F$25,$A152&gt;'Recurring Schedule'!$P$25),"",IF(IF('Recurring Schedule'!$N$25&gt;0,MOD($A152-'Recurring Schedule'!$F$25,'Recurring Schedule'!$N$25)=0,IF('Recurring Schedule'!$O$25&gt;0,AND(DAY($A152)=MIN(DAY('Recurring Schedule'!$F$25),DAY(EOMONTH($A152,0))),MOD((YEAR($A152)-YEAR('Recurring Schedule'!$F$25))*12+MONTH($A152)-MONTH('Recurring Schedule'!$F$25),'Recurring Schedule'!$O$25)=0),IF('Recurring Schedule'!$E$25="Weekdays",WEEKDAY($A152,2)&lt;=5,$A152='Recurring Schedule'!$F$25))),20,""))))</f>
        <v/>
      </c>
      <c r="V152">
        <f>IF('Recurring Schedule'!$C$26="","",IF('Recurring Schedule'!$F$26="","",IF(OR($A152&lt;'Recurring Schedule'!$F$26,$A152&gt;'Recurring Schedule'!$P$26),"",IF(IF('Recurring Schedule'!$N$26&gt;0,MOD($A152-'Recurring Schedule'!$F$26,'Recurring Schedule'!$N$26)=0,IF('Recurring Schedule'!$O$26&gt;0,AND(DAY($A152)=MIN(DAY('Recurring Schedule'!$F$26),DAY(EOMONTH($A152,0))),MOD((YEAR($A152)-YEAR('Recurring Schedule'!$F$26))*12+MONTH($A152)-MONTH('Recurring Schedule'!$F$26),'Recurring Schedule'!$O$26)=0),IF('Recurring Schedule'!$E$26="Weekdays",WEEKDAY($A152,2)&lt;=5,$A152='Recurring Schedule'!$F$26))),21,""))))</f>
        <v/>
      </c>
      <c r="W152">
        <f>IF('Recurring Schedule'!$C$27="","",IF('Recurring Schedule'!$F$27="","",IF(OR($A152&lt;'Recurring Schedule'!$F$27,$A152&gt;'Recurring Schedule'!$P$27),"",IF(IF('Recurring Schedule'!$N$27&gt;0,MOD($A152-'Recurring Schedule'!$F$27,'Recurring Schedule'!$N$27)=0,IF('Recurring Schedule'!$O$27&gt;0,AND(DAY($A152)=MIN(DAY('Recurring Schedule'!$F$27),DAY(EOMONTH($A152,0))),MOD((YEAR($A152)-YEAR('Recurring Schedule'!$F$27))*12+MONTH($A152)-MONTH('Recurring Schedule'!$F$27),'Recurring Schedule'!$O$27)=0),IF('Recurring Schedule'!$E$27="Weekdays",WEEKDAY($A152,2)&lt;=5,$A152='Recurring Schedule'!$F$27))),22,""))))</f>
        <v/>
      </c>
      <c r="X152">
        <f>IF('Recurring Schedule'!$C$28="","",IF('Recurring Schedule'!$F$28="","",IF(OR($A152&lt;'Recurring Schedule'!$F$28,$A152&gt;'Recurring Schedule'!$P$28),"",IF(IF('Recurring Schedule'!$N$28&gt;0,MOD($A152-'Recurring Schedule'!$F$28,'Recurring Schedule'!$N$28)=0,IF('Recurring Schedule'!$O$28&gt;0,AND(DAY($A152)=MIN(DAY('Recurring Schedule'!$F$28),DAY(EOMONTH($A152,0))),MOD((YEAR($A152)-YEAR('Recurring Schedule'!$F$28))*12+MONTH($A152)-MONTH('Recurring Schedule'!$F$28),'Recurring Schedule'!$O$28)=0),IF('Recurring Schedule'!$E$28="Weekdays",WEEKDAY($A152,2)&lt;=5,$A152='Recurring Schedule'!$F$28))),23,""))))</f>
        <v/>
      </c>
      <c r="Y152">
        <f>IF('Recurring Schedule'!$C$29="","",IF('Recurring Schedule'!$F$29="","",IF(OR($A152&lt;'Recurring Schedule'!$F$29,$A152&gt;'Recurring Schedule'!$P$29),"",IF(IF('Recurring Schedule'!$N$29&gt;0,MOD($A152-'Recurring Schedule'!$F$29,'Recurring Schedule'!$N$29)=0,IF('Recurring Schedule'!$O$29&gt;0,AND(DAY($A152)=MIN(DAY('Recurring Schedule'!$F$29),DAY(EOMONTH($A152,0))),MOD((YEAR($A152)-YEAR('Recurring Schedule'!$F$29))*12+MONTH($A152)-MONTH('Recurring Schedule'!$F$29),'Recurring Schedule'!$O$29)=0),IF('Recurring Schedule'!$E$29="Weekdays",WEEKDAY($A152,2)&lt;=5,$A152='Recurring Schedule'!$F$29))),24,""))))</f>
        <v/>
      </c>
      <c r="Z152">
        <f>IF('Recurring Schedule'!$C$30="","",IF('Recurring Schedule'!$F$30="","",IF(OR($A152&lt;'Recurring Schedule'!$F$30,$A152&gt;'Recurring Schedule'!$P$30),"",IF(IF('Recurring Schedule'!$N$30&gt;0,MOD($A152-'Recurring Schedule'!$F$30,'Recurring Schedule'!$N$30)=0,IF('Recurring Schedule'!$O$30&gt;0,AND(DAY($A152)=MIN(DAY('Recurring Schedule'!$F$30),DAY(EOMONTH($A152,0))),MOD((YEAR($A152)-YEAR('Recurring Schedule'!$F$30))*12+MONTH($A152)-MONTH('Recurring Schedule'!$F$30),'Recurring Schedule'!$O$30)=0),IF('Recurring Schedule'!$E$30="Weekdays",WEEKDAY($A152,2)&lt;=5,$A152='Recurring Schedule'!$F$30))),25,""))))</f>
        <v/>
      </c>
      <c r="AA152">
        <f>IF('Recurring Schedule'!$C$31="","",IF('Recurring Schedule'!$F$31="","",IF(OR($A152&lt;'Recurring Schedule'!$F$31,$A152&gt;'Recurring Schedule'!$P$31),"",IF(IF('Recurring Schedule'!$N$31&gt;0,MOD($A152-'Recurring Schedule'!$F$31,'Recurring Schedule'!$N$31)=0,IF('Recurring Schedule'!$O$31&gt;0,AND(DAY($A152)=MIN(DAY('Recurring Schedule'!$F$31),DAY(EOMONTH($A152,0))),MOD((YEAR($A152)-YEAR('Recurring Schedule'!$F$31))*12+MONTH($A152)-MONTH('Recurring Schedule'!$F$31),'Recurring Schedule'!$O$31)=0),IF('Recurring Schedule'!$E$31="Weekdays",WEEKDAY($A152,2)&lt;=5,$A152='Recurring Schedule'!$F$31))),26,""))))</f>
        <v/>
      </c>
      <c r="AB152">
        <f>IF('Recurring Schedule'!$C$32="","",IF('Recurring Schedule'!$F$32="","",IF(OR($A152&lt;'Recurring Schedule'!$F$32,$A152&gt;'Recurring Schedule'!$P$32),"",IF(IF('Recurring Schedule'!$N$32&gt;0,MOD($A152-'Recurring Schedule'!$F$32,'Recurring Schedule'!$N$32)=0,IF('Recurring Schedule'!$O$32&gt;0,AND(DAY($A152)=MIN(DAY('Recurring Schedule'!$F$32),DAY(EOMONTH($A152,0))),MOD((YEAR($A152)-YEAR('Recurring Schedule'!$F$32))*12+MONTH($A152)-MONTH('Recurring Schedule'!$F$32),'Recurring Schedule'!$O$32)=0),IF('Recurring Schedule'!$E$32="Weekdays",WEEKDAY($A152,2)&lt;=5,$A152='Recurring Schedule'!$F$32))),27,""))))</f>
        <v/>
      </c>
      <c r="AC152">
        <f>IF('Recurring Schedule'!$C$33="","",IF('Recurring Schedule'!$F$33="","",IF(OR($A152&lt;'Recurring Schedule'!$F$33,$A152&gt;'Recurring Schedule'!$P$33),"",IF(IF('Recurring Schedule'!$N$33&gt;0,MOD($A152-'Recurring Schedule'!$F$33,'Recurring Schedule'!$N$33)=0,IF('Recurring Schedule'!$O$33&gt;0,AND(DAY($A152)=MIN(DAY('Recurring Schedule'!$F$33),DAY(EOMONTH($A152,0))),MOD((YEAR($A152)-YEAR('Recurring Schedule'!$F$33))*12+MONTH($A152)-MONTH('Recurring Schedule'!$F$33),'Recurring Schedule'!$O$33)=0),IF('Recurring Schedule'!$E$33="Weekdays",WEEKDAY($A152,2)&lt;=5,$A152='Recurring Schedule'!$F$33))),28,""))))</f>
        <v/>
      </c>
      <c r="AD152">
        <f>IF('Recurring Schedule'!$C$34="","",IF('Recurring Schedule'!$F$34="","",IF(OR($A152&lt;'Recurring Schedule'!$F$34,$A152&gt;'Recurring Schedule'!$P$34),"",IF(IF('Recurring Schedule'!$N$34&gt;0,MOD($A152-'Recurring Schedule'!$F$34,'Recurring Schedule'!$N$34)=0,IF('Recurring Schedule'!$O$34&gt;0,AND(DAY($A152)=MIN(DAY('Recurring Schedule'!$F$34),DAY(EOMONTH($A152,0))),MOD((YEAR($A152)-YEAR('Recurring Schedule'!$F$34))*12+MONTH($A152)-MONTH('Recurring Schedule'!$F$34),'Recurring Schedule'!$O$34)=0),IF('Recurring Schedule'!$E$34="Weekdays",WEEKDAY($A152,2)&lt;=5,$A152='Recurring Schedule'!$F$34))),29,""))))</f>
        <v/>
      </c>
      <c r="AE152">
        <f>IF('Recurring Schedule'!$C$35="","",IF('Recurring Schedule'!$F$35="","",IF(OR($A152&lt;'Recurring Schedule'!$F$35,$A152&gt;'Recurring Schedule'!$P$35),"",IF(IF('Recurring Schedule'!$N$35&gt;0,MOD($A152-'Recurring Schedule'!$F$35,'Recurring Schedule'!$N$35)=0,IF('Recurring Schedule'!$O$35&gt;0,AND(DAY($A152)=MIN(DAY('Recurring Schedule'!$F$35),DAY(EOMONTH($A152,0))),MOD((YEAR($A152)-YEAR('Recurring Schedule'!$F$35))*12+MONTH($A152)-MONTH('Recurring Schedule'!$F$35),'Recurring Schedule'!$O$35)=0),IF('Recurring Schedule'!$E$35="Weekdays",WEEKDAY($A152,2)&lt;=5,$A152='Recurring Schedule'!$F$35))),30,""))))</f>
        <v/>
      </c>
      <c r="AF152">
        <f>IF('Recurring Schedule'!$C$36="","",IF('Recurring Schedule'!$F$36="","",IF(OR($A152&lt;'Recurring Schedule'!$F$36,$A152&gt;'Recurring Schedule'!$P$36),"",IF(IF('Recurring Schedule'!$N$36&gt;0,MOD($A152-'Recurring Schedule'!$F$36,'Recurring Schedule'!$N$36)=0,IF('Recurring Schedule'!$O$36&gt;0,AND(DAY($A152)=MIN(DAY('Recurring Schedule'!$F$36),DAY(EOMONTH($A152,0))),MOD((YEAR($A152)-YEAR('Recurring Schedule'!$F$36))*12+MONTH($A152)-MONTH('Recurring Schedule'!$F$36),'Recurring Schedule'!$O$36)=0),IF('Recurring Schedule'!$E$36="Weekdays",WEEKDAY($A152,2)&lt;=5,$A152='Recurring Schedule'!$F$36))),31,""))))</f>
        <v/>
      </c>
      <c r="AG152">
        <f>IF('Recurring Schedule'!$C$37="","",IF('Recurring Schedule'!$F$37="","",IF(OR($A152&lt;'Recurring Schedule'!$F$37,$A152&gt;'Recurring Schedule'!$P$37),"",IF(IF('Recurring Schedule'!$N$37&gt;0,MOD($A152-'Recurring Schedule'!$F$37,'Recurring Schedule'!$N$37)=0,IF('Recurring Schedule'!$O$37&gt;0,AND(DAY($A152)=MIN(DAY('Recurring Schedule'!$F$37),DAY(EOMONTH($A152,0))),MOD((YEAR($A152)-YEAR('Recurring Schedule'!$F$37))*12+MONTH($A152)-MONTH('Recurring Schedule'!$F$37),'Recurring Schedule'!$O$37)=0),IF('Recurring Schedule'!$E$37="Weekdays",WEEKDAY($A152,2)&lt;=5,$A152='Recurring Schedule'!$F$37))),32,""))))</f>
        <v/>
      </c>
      <c r="AH152">
        <f>IF('Recurring Schedule'!$C$38="","",IF('Recurring Schedule'!$F$38="","",IF(OR($A152&lt;'Recurring Schedule'!$F$38,$A152&gt;'Recurring Schedule'!$P$38),"",IF(IF('Recurring Schedule'!$N$38&gt;0,MOD($A152-'Recurring Schedule'!$F$38,'Recurring Schedule'!$N$38)=0,IF('Recurring Schedule'!$O$38&gt;0,AND(DAY($A152)=MIN(DAY('Recurring Schedule'!$F$38),DAY(EOMONTH($A152,0))),MOD((YEAR($A152)-YEAR('Recurring Schedule'!$F$38))*12+MONTH($A152)-MONTH('Recurring Schedule'!$F$38),'Recurring Schedule'!$O$38)=0),IF('Recurring Schedule'!$E$38="Weekdays",WEEKDAY($A152,2)&lt;=5,$A152='Recurring Schedule'!$F$38))),33,""))))</f>
        <v/>
      </c>
      <c r="AI152">
        <f>IF('Recurring Schedule'!$C$39="","",IF('Recurring Schedule'!$F$39="","",IF(OR($A152&lt;'Recurring Schedule'!$F$39,$A152&gt;'Recurring Schedule'!$P$39),"",IF(IF('Recurring Schedule'!$N$39&gt;0,MOD($A152-'Recurring Schedule'!$F$39,'Recurring Schedule'!$N$39)=0,IF('Recurring Schedule'!$O$39&gt;0,AND(DAY($A152)=MIN(DAY('Recurring Schedule'!$F$39),DAY(EOMONTH($A152,0))),MOD((YEAR($A152)-YEAR('Recurring Schedule'!$F$39))*12+MONTH($A152)-MONTH('Recurring Schedule'!$F$39),'Recurring Schedule'!$O$39)=0),IF('Recurring Schedule'!$E$39="Weekdays",WEEKDAY($A152,2)&lt;=5,$A152='Recurring Schedule'!$F$39))),34,""))))</f>
        <v/>
      </c>
      <c r="AJ152">
        <f>IF('Recurring Schedule'!$C$40="","",IF('Recurring Schedule'!$F$40="","",IF(OR($A152&lt;'Recurring Schedule'!$F$40,$A152&gt;'Recurring Schedule'!$P$40),"",IF(IF('Recurring Schedule'!$N$40&gt;0,MOD($A152-'Recurring Schedule'!$F$40,'Recurring Schedule'!$N$40)=0,IF('Recurring Schedule'!$O$40&gt;0,AND(DAY($A152)=MIN(DAY('Recurring Schedule'!$F$40),DAY(EOMONTH($A152,0))),MOD((YEAR($A152)-YEAR('Recurring Schedule'!$F$40))*12+MONTH($A152)-MONTH('Recurring Schedule'!$F$40),'Recurring Schedule'!$O$40)=0),IF('Recurring Schedule'!$E$40="Weekdays",WEEKDAY($A152,2)&lt;=5,$A152='Recurring Schedule'!$F$40))),35,""))))</f>
        <v/>
      </c>
      <c r="AK152">
        <f>IF('Recurring Schedule'!$C$41="","",IF('Recurring Schedule'!$F$41="","",IF(OR($A152&lt;'Recurring Schedule'!$F$41,$A152&gt;'Recurring Schedule'!$P$41),"",IF(IF('Recurring Schedule'!$N$41&gt;0,MOD($A152-'Recurring Schedule'!$F$41,'Recurring Schedule'!$N$41)=0,IF('Recurring Schedule'!$O$41&gt;0,AND(DAY($A152)=MIN(DAY('Recurring Schedule'!$F$41),DAY(EOMONTH($A152,0))),MOD((YEAR($A152)-YEAR('Recurring Schedule'!$F$41))*12+MONTH($A152)-MONTH('Recurring Schedule'!$F$41),'Recurring Schedule'!$O$41)=0),IF('Recurring Schedule'!$E$41="Weekdays",WEEKDAY($A152,2)&lt;=5,$A152='Recurring Schedule'!$F$41))),36,""))))</f>
        <v/>
      </c>
      <c r="AL152">
        <f>IF('Recurring Schedule'!$C$42="","",IF('Recurring Schedule'!$F$42="","",IF(OR($A152&lt;'Recurring Schedule'!$F$42,$A152&gt;'Recurring Schedule'!$P$42),"",IF(IF('Recurring Schedule'!$N$42&gt;0,MOD($A152-'Recurring Schedule'!$F$42,'Recurring Schedule'!$N$42)=0,IF('Recurring Schedule'!$O$42&gt;0,AND(DAY($A152)=MIN(DAY('Recurring Schedule'!$F$42),DAY(EOMONTH($A152,0))),MOD((YEAR($A152)-YEAR('Recurring Schedule'!$F$42))*12+MONTH($A152)-MONTH('Recurring Schedule'!$F$42),'Recurring Schedule'!$O$42)=0),IF('Recurring Schedule'!$E$42="Weekdays",WEEKDAY($A152,2)&lt;=5,$A152='Recurring Schedule'!$F$42))),37,""))))</f>
        <v/>
      </c>
      <c r="AM152">
        <f>IF('Recurring Schedule'!$C$43="","",IF('Recurring Schedule'!$F$43="","",IF(OR($A152&lt;'Recurring Schedule'!$F$43,$A152&gt;'Recurring Schedule'!$P$43),"",IF(IF('Recurring Schedule'!$N$43&gt;0,MOD($A152-'Recurring Schedule'!$F$43,'Recurring Schedule'!$N$43)=0,IF('Recurring Schedule'!$O$43&gt;0,AND(DAY($A152)=MIN(DAY('Recurring Schedule'!$F$43),DAY(EOMONTH($A152,0))),MOD((YEAR($A152)-YEAR('Recurring Schedule'!$F$43))*12+MONTH($A152)-MONTH('Recurring Schedule'!$F$43),'Recurring Schedule'!$O$43)=0),IF('Recurring Schedule'!$E$43="Weekdays",WEEKDAY($A152,2)&lt;=5,$A152='Recurring Schedule'!$F$43))),38,""))))</f>
        <v/>
      </c>
      <c r="AN152">
        <f>IF('Recurring Schedule'!$C$44="","",IF('Recurring Schedule'!$F$44="","",IF(OR($A152&lt;'Recurring Schedule'!$F$44,$A152&gt;'Recurring Schedule'!$P$44),"",IF(IF('Recurring Schedule'!$N$44&gt;0,MOD($A152-'Recurring Schedule'!$F$44,'Recurring Schedule'!$N$44)=0,IF('Recurring Schedule'!$O$44&gt;0,AND(DAY($A152)=MIN(DAY('Recurring Schedule'!$F$44),DAY(EOMONTH($A152,0))),MOD((YEAR($A152)-YEAR('Recurring Schedule'!$F$44))*12+MONTH($A152)-MONTH('Recurring Schedule'!$F$44),'Recurring Schedule'!$O$44)=0),IF('Recurring Schedule'!$E$44="Weekdays",WEEKDAY($A152,2)&lt;=5,$A152='Recurring Schedule'!$F$44))),39,""))))</f>
        <v/>
      </c>
      <c r="AO152">
        <f>IF('Recurring Schedule'!$C$45="","",IF('Recurring Schedule'!$F$45="","",IF(OR($A152&lt;'Recurring Schedule'!$F$45,$A152&gt;'Recurring Schedule'!$P$45),"",IF(IF('Recurring Schedule'!$N$45&gt;0,MOD($A152-'Recurring Schedule'!$F$45,'Recurring Schedule'!$N$45)=0,IF('Recurring Schedule'!$O$45&gt;0,AND(DAY($A152)=MIN(DAY('Recurring Schedule'!$F$45),DAY(EOMONTH($A152,0))),MOD((YEAR($A152)-YEAR('Recurring Schedule'!$F$45))*12+MONTH($A152)-MONTH('Recurring Schedule'!$F$45),'Recurring Schedule'!$O$45)=0),IF('Recurring Schedule'!$E$45="Weekdays",WEEKDAY($A152,2)&lt;=5,$A152='Recurring Schedule'!$F$45))),40,""))))</f>
        <v/>
      </c>
      <c r="AP152">
        <f>COUNT(B152:AO152)</f>
        <v/>
      </c>
      <c r="AQ152">
        <f>AQ151+AP151</f>
        <v/>
      </c>
      <c r="AS152" t="inlineStr">
        <is>
          <t>R</t>
        </is>
      </c>
      <c r="AT152" t="n">
        <v>156</v>
      </c>
      <c r="AU152">
        <f>'Recurring Log'!C156&amp;""</f>
        <v/>
      </c>
      <c r="AV152">
        <f>'Recurring Log'!D156&amp;""</f>
        <v/>
      </c>
      <c r="AW152">
        <f>IF('Recurring Log'!E156="","",'Recurring Log'!E156)</f>
        <v/>
      </c>
      <c r="AX152">
        <f>IF('Recurring Log'!G156="","",'Recurring Log'!G156)</f>
        <v/>
      </c>
      <c r="AY152">
        <f>IF('Recurring Log'!H156="","",'Recurring Log'!H156)</f>
        <v/>
      </c>
      <c r="AZ152">
        <f>IF(AU152="","",IF('Recurring Log'!J156="","Not Started",'Recurring Log'!J156))</f>
        <v/>
      </c>
      <c r="BA152">
        <f>'Recurring Log'!L156&amp;""</f>
        <v/>
      </c>
      <c r="BB152">
        <f>'Recurring Log'!M156&amp;""</f>
        <v/>
      </c>
      <c r="BC152">
        <f>'Recurring Log'!N156&amp;""</f>
        <v/>
      </c>
      <c r="BD152">
        <f>'Recurring Log'!O156&amp;""</f>
        <v/>
      </c>
      <c r="BE152">
        <f>IF('Recurring Log'!K156="","",'Recurring Log'!K156)</f>
        <v/>
      </c>
      <c r="BF152">
        <f>IFERROR(MATCH(BA152,Setup!$L$6:$L$9,0),5)</f>
        <v/>
      </c>
      <c r="BG152">
        <f>IF(OR(AZ152="Done",AZ152="Cancelled"),1,0)</f>
        <v/>
      </c>
      <c r="BH152">
        <f>IF(AND(AU152&lt;&gt;"",ISNUMBER(AW152)),1,0)</f>
        <v/>
      </c>
      <c r="BI152">
        <f>IF(BH152=0,0,IF(AND(AW152&gt;='Tasks Filter'!$F$3,AW152&lt;='Tasks Filter'!$F$4,OR('Tasks Filter'!$I$3="",ISNUMBER(SEARCH('Tasks Filter'!$I$3,AU152))),OR('Tasks Filter'!$I$4="",BF152=IFERROR(MATCH('Tasks Filter'!$I$4,Setup!$L$6:$L$9,0),0)),OR('Tasks Filter'!$I$5="Both",AND('Tasks Filter'!$I$5="Yes",BB152="✓"),AND('Tasks Filter'!$I$5="No",BB152&lt;&gt;"✓")),OR('Tasks Filter'!$L$3="",AV152='Tasks Filter'!$L$3),OR('Tasks Filter'!$L$4="",AZ152='Tasks Filter'!$L$4),OR('Tasks Filter'!$L$5="",BC152='Tasks Filter'!$L$5),OR('Tasks Filter'!$O$3="",BD152='Tasks Filter'!$O$3),OR('Tasks Filter'!$O$4="Yes",BG152=0)),1,0))</f>
        <v/>
      </c>
      <c r="BJ152">
        <f>IF(BH152=0,"",IF('Tasks Filter'!$F$6="Descending",-1,1)*CHOOSE(MATCH('Tasks Filter'!$F$5,Lists!$G$2:$G$6,0),AW152,BF152,IFERROR(MATCH(AV152,Setup!$F$6:$F$15,0),99),IFERROR(MATCH(BC152,Setup!$H$6:$H$15,0),99),IFERROR(MATCH(AZ152,Setup!$J$6:$J$11,0),99))*1E+9+(AW152-40000)*10000+151)</f>
        <v/>
      </c>
      <c r="BK152">
        <f>IF(BI152=1,BJ152,"")</f>
        <v/>
      </c>
      <c r="BL152">
        <f>IF(AND(BH152=1,BG152=0,N(AW152)&lt;Setup!$D$7),(AW152-40000)*10000+151,"")</f>
        <v/>
      </c>
      <c r="BM152">
        <f>IF(AND(BH152=1,AZ152&lt;&gt;"Cancelled",N(AW152)&gt;=Dashboard!$AB$3,N(AW152)&lt;=Dashboard!$AB$3+6),(AW152-40000)*100000+BF152*10000+151,"")</f>
        <v/>
      </c>
      <c r="BN152">
        <f>IF(AND(BH152=1,AZ152&lt;&gt;"Cancelled"),BF152*10000+151,"")</f>
        <v/>
      </c>
    </row>
    <row r="153">
      <c r="A153">
        <f>Setup!$D$5+151</f>
        <v/>
      </c>
      <c r="B153">
        <f>IF('Recurring Schedule'!$C$6="","",IF('Recurring Schedule'!$F$6="","",IF(OR($A153&lt;'Recurring Schedule'!$F$6,$A153&gt;'Recurring Schedule'!$P$6),"",IF(IF('Recurring Schedule'!$N$6&gt;0,MOD($A153-'Recurring Schedule'!$F$6,'Recurring Schedule'!$N$6)=0,IF('Recurring Schedule'!$O$6&gt;0,AND(DAY($A153)=MIN(DAY('Recurring Schedule'!$F$6),DAY(EOMONTH($A153,0))),MOD((YEAR($A153)-YEAR('Recurring Schedule'!$F$6))*12+MONTH($A153)-MONTH('Recurring Schedule'!$F$6),'Recurring Schedule'!$O$6)=0),IF('Recurring Schedule'!$E$6="Weekdays",WEEKDAY($A153,2)&lt;=5,$A153='Recurring Schedule'!$F$6))),1,""))))</f>
        <v/>
      </c>
      <c r="C153">
        <f>IF('Recurring Schedule'!$C$7="","",IF('Recurring Schedule'!$F$7="","",IF(OR($A153&lt;'Recurring Schedule'!$F$7,$A153&gt;'Recurring Schedule'!$P$7),"",IF(IF('Recurring Schedule'!$N$7&gt;0,MOD($A153-'Recurring Schedule'!$F$7,'Recurring Schedule'!$N$7)=0,IF('Recurring Schedule'!$O$7&gt;0,AND(DAY($A153)=MIN(DAY('Recurring Schedule'!$F$7),DAY(EOMONTH($A153,0))),MOD((YEAR($A153)-YEAR('Recurring Schedule'!$F$7))*12+MONTH($A153)-MONTH('Recurring Schedule'!$F$7),'Recurring Schedule'!$O$7)=0),IF('Recurring Schedule'!$E$7="Weekdays",WEEKDAY($A153,2)&lt;=5,$A153='Recurring Schedule'!$F$7))),2,""))))</f>
        <v/>
      </c>
      <c r="D153">
        <f>IF('Recurring Schedule'!$C$8="","",IF('Recurring Schedule'!$F$8="","",IF(OR($A153&lt;'Recurring Schedule'!$F$8,$A153&gt;'Recurring Schedule'!$P$8),"",IF(IF('Recurring Schedule'!$N$8&gt;0,MOD($A153-'Recurring Schedule'!$F$8,'Recurring Schedule'!$N$8)=0,IF('Recurring Schedule'!$O$8&gt;0,AND(DAY($A153)=MIN(DAY('Recurring Schedule'!$F$8),DAY(EOMONTH($A153,0))),MOD((YEAR($A153)-YEAR('Recurring Schedule'!$F$8))*12+MONTH($A153)-MONTH('Recurring Schedule'!$F$8),'Recurring Schedule'!$O$8)=0),IF('Recurring Schedule'!$E$8="Weekdays",WEEKDAY($A153,2)&lt;=5,$A153='Recurring Schedule'!$F$8))),3,""))))</f>
        <v/>
      </c>
      <c r="E153">
        <f>IF('Recurring Schedule'!$C$9="","",IF('Recurring Schedule'!$F$9="","",IF(OR($A153&lt;'Recurring Schedule'!$F$9,$A153&gt;'Recurring Schedule'!$P$9),"",IF(IF('Recurring Schedule'!$N$9&gt;0,MOD($A153-'Recurring Schedule'!$F$9,'Recurring Schedule'!$N$9)=0,IF('Recurring Schedule'!$O$9&gt;0,AND(DAY($A153)=MIN(DAY('Recurring Schedule'!$F$9),DAY(EOMONTH($A153,0))),MOD((YEAR($A153)-YEAR('Recurring Schedule'!$F$9))*12+MONTH($A153)-MONTH('Recurring Schedule'!$F$9),'Recurring Schedule'!$O$9)=0),IF('Recurring Schedule'!$E$9="Weekdays",WEEKDAY($A153,2)&lt;=5,$A153='Recurring Schedule'!$F$9))),4,""))))</f>
        <v/>
      </c>
      <c r="F153">
        <f>IF('Recurring Schedule'!$C$10="","",IF('Recurring Schedule'!$F$10="","",IF(OR($A153&lt;'Recurring Schedule'!$F$10,$A153&gt;'Recurring Schedule'!$P$10),"",IF(IF('Recurring Schedule'!$N$10&gt;0,MOD($A153-'Recurring Schedule'!$F$10,'Recurring Schedule'!$N$10)=0,IF('Recurring Schedule'!$O$10&gt;0,AND(DAY($A153)=MIN(DAY('Recurring Schedule'!$F$10),DAY(EOMONTH($A153,0))),MOD((YEAR($A153)-YEAR('Recurring Schedule'!$F$10))*12+MONTH($A153)-MONTH('Recurring Schedule'!$F$10),'Recurring Schedule'!$O$10)=0),IF('Recurring Schedule'!$E$10="Weekdays",WEEKDAY($A153,2)&lt;=5,$A153='Recurring Schedule'!$F$10))),5,""))))</f>
        <v/>
      </c>
      <c r="G153">
        <f>IF('Recurring Schedule'!$C$11="","",IF('Recurring Schedule'!$F$11="","",IF(OR($A153&lt;'Recurring Schedule'!$F$11,$A153&gt;'Recurring Schedule'!$P$11),"",IF(IF('Recurring Schedule'!$N$11&gt;0,MOD($A153-'Recurring Schedule'!$F$11,'Recurring Schedule'!$N$11)=0,IF('Recurring Schedule'!$O$11&gt;0,AND(DAY($A153)=MIN(DAY('Recurring Schedule'!$F$11),DAY(EOMONTH($A153,0))),MOD((YEAR($A153)-YEAR('Recurring Schedule'!$F$11))*12+MONTH($A153)-MONTH('Recurring Schedule'!$F$11),'Recurring Schedule'!$O$11)=0),IF('Recurring Schedule'!$E$11="Weekdays",WEEKDAY($A153,2)&lt;=5,$A153='Recurring Schedule'!$F$11))),6,""))))</f>
        <v/>
      </c>
      <c r="H153">
        <f>IF('Recurring Schedule'!$C$12="","",IF('Recurring Schedule'!$F$12="","",IF(OR($A153&lt;'Recurring Schedule'!$F$12,$A153&gt;'Recurring Schedule'!$P$12),"",IF(IF('Recurring Schedule'!$N$12&gt;0,MOD($A153-'Recurring Schedule'!$F$12,'Recurring Schedule'!$N$12)=0,IF('Recurring Schedule'!$O$12&gt;0,AND(DAY($A153)=MIN(DAY('Recurring Schedule'!$F$12),DAY(EOMONTH($A153,0))),MOD((YEAR($A153)-YEAR('Recurring Schedule'!$F$12))*12+MONTH($A153)-MONTH('Recurring Schedule'!$F$12),'Recurring Schedule'!$O$12)=0),IF('Recurring Schedule'!$E$12="Weekdays",WEEKDAY($A153,2)&lt;=5,$A153='Recurring Schedule'!$F$12))),7,""))))</f>
        <v/>
      </c>
      <c r="I153">
        <f>IF('Recurring Schedule'!$C$13="","",IF('Recurring Schedule'!$F$13="","",IF(OR($A153&lt;'Recurring Schedule'!$F$13,$A153&gt;'Recurring Schedule'!$P$13),"",IF(IF('Recurring Schedule'!$N$13&gt;0,MOD($A153-'Recurring Schedule'!$F$13,'Recurring Schedule'!$N$13)=0,IF('Recurring Schedule'!$O$13&gt;0,AND(DAY($A153)=MIN(DAY('Recurring Schedule'!$F$13),DAY(EOMONTH($A153,0))),MOD((YEAR($A153)-YEAR('Recurring Schedule'!$F$13))*12+MONTH($A153)-MONTH('Recurring Schedule'!$F$13),'Recurring Schedule'!$O$13)=0),IF('Recurring Schedule'!$E$13="Weekdays",WEEKDAY($A153,2)&lt;=5,$A153='Recurring Schedule'!$F$13))),8,""))))</f>
        <v/>
      </c>
      <c r="J153">
        <f>IF('Recurring Schedule'!$C$14="","",IF('Recurring Schedule'!$F$14="","",IF(OR($A153&lt;'Recurring Schedule'!$F$14,$A153&gt;'Recurring Schedule'!$P$14),"",IF(IF('Recurring Schedule'!$N$14&gt;0,MOD($A153-'Recurring Schedule'!$F$14,'Recurring Schedule'!$N$14)=0,IF('Recurring Schedule'!$O$14&gt;0,AND(DAY($A153)=MIN(DAY('Recurring Schedule'!$F$14),DAY(EOMONTH($A153,0))),MOD((YEAR($A153)-YEAR('Recurring Schedule'!$F$14))*12+MONTH($A153)-MONTH('Recurring Schedule'!$F$14),'Recurring Schedule'!$O$14)=0),IF('Recurring Schedule'!$E$14="Weekdays",WEEKDAY($A153,2)&lt;=5,$A153='Recurring Schedule'!$F$14))),9,""))))</f>
        <v/>
      </c>
      <c r="K153">
        <f>IF('Recurring Schedule'!$C$15="","",IF('Recurring Schedule'!$F$15="","",IF(OR($A153&lt;'Recurring Schedule'!$F$15,$A153&gt;'Recurring Schedule'!$P$15),"",IF(IF('Recurring Schedule'!$N$15&gt;0,MOD($A153-'Recurring Schedule'!$F$15,'Recurring Schedule'!$N$15)=0,IF('Recurring Schedule'!$O$15&gt;0,AND(DAY($A153)=MIN(DAY('Recurring Schedule'!$F$15),DAY(EOMONTH($A153,0))),MOD((YEAR($A153)-YEAR('Recurring Schedule'!$F$15))*12+MONTH($A153)-MONTH('Recurring Schedule'!$F$15),'Recurring Schedule'!$O$15)=0),IF('Recurring Schedule'!$E$15="Weekdays",WEEKDAY($A153,2)&lt;=5,$A153='Recurring Schedule'!$F$15))),10,""))))</f>
        <v/>
      </c>
      <c r="L153">
        <f>IF('Recurring Schedule'!$C$16="","",IF('Recurring Schedule'!$F$16="","",IF(OR($A153&lt;'Recurring Schedule'!$F$16,$A153&gt;'Recurring Schedule'!$P$16),"",IF(IF('Recurring Schedule'!$N$16&gt;0,MOD($A153-'Recurring Schedule'!$F$16,'Recurring Schedule'!$N$16)=0,IF('Recurring Schedule'!$O$16&gt;0,AND(DAY($A153)=MIN(DAY('Recurring Schedule'!$F$16),DAY(EOMONTH($A153,0))),MOD((YEAR($A153)-YEAR('Recurring Schedule'!$F$16))*12+MONTH($A153)-MONTH('Recurring Schedule'!$F$16),'Recurring Schedule'!$O$16)=0),IF('Recurring Schedule'!$E$16="Weekdays",WEEKDAY($A153,2)&lt;=5,$A153='Recurring Schedule'!$F$16))),11,""))))</f>
        <v/>
      </c>
      <c r="M153">
        <f>IF('Recurring Schedule'!$C$17="","",IF('Recurring Schedule'!$F$17="","",IF(OR($A153&lt;'Recurring Schedule'!$F$17,$A153&gt;'Recurring Schedule'!$P$17),"",IF(IF('Recurring Schedule'!$N$17&gt;0,MOD($A153-'Recurring Schedule'!$F$17,'Recurring Schedule'!$N$17)=0,IF('Recurring Schedule'!$O$17&gt;0,AND(DAY($A153)=MIN(DAY('Recurring Schedule'!$F$17),DAY(EOMONTH($A153,0))),MOD((YEAR($A153)-YEAR('Recurring Schedule'!$F$17))*12+MONTH($A153)-MONTH('Recurring Schedule'!$F$17),'Recurring Schedule'!$O$17)=0),IF('Recurring Schedule'!$E$17="Weekdays",WEEKDAY($A153,2)&lt;=5,$A153='Recurring Schedule'!$F$17))),12,""))))</f>
        <v/>
      </c>
      <c r="N153">
        <f>IF('Recurring Schedule'!$C$18="","",IF('Recurring Schedule'!$F$18="","",IF(OR($A153&lt;'Recurring Schedule'!$F$18,$A153&gt;'Recurring Schedule'!$P$18),"",IF(IF('Recurring Schedule'!$N$18&gt;0,MOD($A153-'Recurring Schedule'!$F$18,'Recurring Schedule'!$N$18)=0,IF('Recurring Schedule'!$O$18&gt;0,AND(DAY($A153)=MIN(DAY('Recurring Schedule'!$F$18),DAY(EOMONTH($A153,0))),MOD((YEAR($A153)-YEAR('Recurring Schedule'!$F$18))*12+MONTH($A153)-MONTH('Recurring Schedule'!$F$18),'Recurring Schedule'!$O$18)=0),IF('Recurring Schedule'!$E$18="Weekdays",WEEKDAY($A153,2)&lt;=5,$A153='Recurring Schedule'!$F$18))),13,""))))</f>
        <v/>
      </c>
      <c r="O153">
        <f>IF('Recurring Schedule'!$C$19="","",IF('Recurring Schedule'!$F$19="","",IF(OR($A153&lt;'Recurring Schedule'!$F$19,$A153&gt;'Recurring Schedule'!$P$19),"",IF(IF('Recurring Schedule'!$N$19&gt;0,MOD($A153-'Recurring Schedule'!$F$19,'Recurring Schedule'!$N$19)=0,IF('Recurring Schedule'!$O$19&gt;0,AND(DAY($A153)=MIN(DAY('Recurring Schedule'!$F$19),DAY(EOMONTH($A153,0))),MOD((YEAR($A153)-YEAR('Recurring Schedule'!$F$19))*12+MONTH($A153)-MONTH('Recurring Schedule'!$F$19),'Recurring Schedule'!$O$19)=0),IF('Recurring Schedule'!$E$19="Weekdays",WEEKDAY($A153,2)&lt;=5,$A153='Recurring Schedule'!$F$19))),14,""))))</f>
        <v/>
      </c>
      <c r="P153">
        <f>IF('Recurring Schedule'!$C$20="","",IF('Recurring Schedule'!$F$20="","",IF(OR($A153&lt;'Recurring Schedule'!$F$20,$A153&gt;'Recurring Schedule'!$P$20),"",IF(IF('Recurring Schedule'!$N$20&gt;0,MOD($A153-'Recurring Schedule'!$F$20,'Recurring Schedule'!$N$20)=0,IF('Recurring Schedule'!$O$20&gt;0,AND(DAY($A153)=MIN(DAY('Recurring Schedule'!$F$20),DAY(EOMONTH($A153,0))),MOD((YEAR($A153)-YEAR('Recurring Schedule'!$F$20))*12+MONTH($A153)-MONTH('Recurring Schedule'!$F$20),'Recurring Schedule'!$O$20)=0),IF('Recurring Schedule'!$E$20="Weekdays",WEEKDAY($A153,2)&lt;=5,$A153='Recurring Schedule'!$F$20))),15,""))))</f>
        <v/>
      </c>
      <c r="Q153">
        <f>IF('Recurring Schedule'!$C$21="","",IF('Recurring Schedule'!$F$21="","",IF(OR($A153&lt;'Recurring Schedule'!$F$21,$A153&gt;'Recurring Schedule'!$P$21),"",IF(IF('Recurring Schedule'!$N$21&gt;0,MOD($A153-'Recurring Schedule'!$F$21,'Recurring Schedule'!$N$21)=0,IF('Recurring Schedule'!$O$21&gt;0,AND(DAY($A153)=MIN(DAY('Recurring Schedule'!$F$21),DAY(EOMONTH($A153,0))),MOD((YEAR($A153)-YEAR('Recurring Schedule'!$F$21))*12+MONTH($A153)-MONTH('Recurring Schedule'!$F$21),'Recurring Schedule'!$O$21)=0),IF('Recurring Schedule'!$E$21="Weekdays",WEEKDAY($A153,2)&lt;=5,$A153='Recurring Schedule'!$F$21))),16,""))))</f>
        <v/>
      </c>
      <c r="R153">
        <f>IF('Recurring Schedule'!$C$22="","",IF('Recurring Schedule'!$F$22="","",IF(OR($A153&lt;'Recurring Schedule'!$F$22,$A153&gt;'Recurring Schedule'!$P$22),"",IF(IF('Recurring Schedule'!$N$22&gt;0,MOD($A153-'Recurring Schedule'!$F$22,'Recurring Schedule'!$N$22)=0,IF('Recurring Schedule'!$O$22&gt;0,AND(DAY($A153)=MIN(DAY('Recurring Schedule'!$F$22),DAY(EOMONTH($A153,0))),MOD((YEAR($A153)-YEAR('Recurring Schedule'!$F$22))*12+MONTH($A153)-MONTH('Recurring Schedule'!$F$22),'Recurring Schedule'!$O$22)=0),IF('Recurring Schedule'!$E$22="Weekdays",WEEKDAY($A153,2)&lt;=5,$A153='Recurring Schedule'!$F$22))),17,""))))</f>
        <v/>
      </c>
      <c r="S153">
        <f>IF('Recurring Schedule'!$C$23="","",IF('Recurring Schedule'!$F$23="","",IF(OR($A153&lt;'Recurring Schedule'!$F$23,$A153&gt;'Recurring Schedule'!$P$23),"",IF(IF('Recurring Schedule'!$N$23&gt;0,MOD($A153-'Recurring Schedule'!$F$23,'Recurring Schedule'!$N$23)=0,IF('Recurring Schedule'!$O$23&gt;0,AND(DAY($A153)=MIN(DAY('Recurring Schedule'!$F$23),DAY(EOMONTH($A153,0))),MOD((YEAR($A153)-YEAR('Recurring Schedule'!$F$23))*12+MONTH($A153)-MONTH('Recurring Schedule'!$F$23),'Recurring Schedule'!$O$23)=0),IF('Recurring Schedule'!$E$23="Weekdays",WEEKDAY($A153,2)&lt;=5,$A153='Recurring Schedule'!$F$23))),18,""))))</f>
        <v/>
      </c>
      <c r="T153">
        <f>IF('Recurring Schedule'!$C$24="","",IF('Recurring Schedule'!$F$24="","",IF(OR($A153&lt;'Recurring Schedule'!$F$24,$A153&gt;'Recurring Schedule'!$P$24),"",IF(IF('Recurring Schedule'!$N$24&gt;0,MOD($A153-'Recurring Schedule'!$F$24,'Recurring Schedule'!$N$24)=0,IF('Recurring Schedule'!$O$24&gt;0,AND(DAY($A153)=MIN(DAY('Recurring Schedule'!$F$24),DAY(EOMONTH($A153,0))),MOD((YEAR($A153)-YEAR('Recurring Schedule'!$F$24))*12+MONTH($A153)-MONTH('Recurring Schedule'!$F$24),'Recurring Schedule'!$O$24)=0),IF('Recurring Schedule'!$E$24="Weekdays",WEEKDAY($A153,2)&lt;=5,$A153='Recurring Schedule'!$F$24))),19,""))))</f>
        <v/>
      </c>
      <c r="U153">
        <f>IF('Recurring Schedule'!$C$25="","",IF('Recurring Schedule'!$F$25="","",IF(OR($A153&lt;'Recurring Schedule'!$F$25,$A153&gt;'Recurring Schedule'!$P$25),"",IF(IF('Recurring Schedule'!$N$25&gt;0,MOD($A153-'Recurring Schedule'!$F$25,'Recurring Schedule'!$N$25)=0,IF('Recurring Schedule'!$O$25&gt;0,AND(DAY($A153)=MIN(DAY('Recurring Schedule'!$F$25),DAY(EOMONTH($A153,0))),MOD((YEAR($A153)-YEAR('Recurring Schedule'!$F$25))*12+MONTH($A153)-MONTH('Recurring Schedule'!$F$25),'Recurring Schedule'!$O$25)=0),IF('Recurring Schedule'!$E$25="Weekdays",WEEKDAY($A153,2)&lt;=5,$A153='Recurring Schedule'!$F$25))),20,""))))</f>
        <v/>
      </c>
      <c r="V153">
        <f>IF('Recurring Schedule'!$C$26="","",IF('Recurring Schedule'!$F$26="","",IF(OR($A153&lt;'Recurring Schedule'!$F$26,$A153&gt;'Recurring Schedule'!$P$26),"",IF(IF('Recurring Schedule'!$N$26&gt;0,MOD($A153-'Recurring Schedule'!$F$26,'Recurring Schedule'!$N$26)=0,IF('Recurring Schedule'!$O$26&gt;0,AND(DAY($A153)=MIN(DAY('Recurring Schedule'!$F$26),DAY(EOMONTH($A153,0))),MOD((YEAR($A153)-YEAR('Recurring Schedule'!$F$26))*12+MONTH($A153)-MONTH('Recurring Schedule'!$F$26),'Recurring Schedule'!$O$26)=0),IF('Recurring Schedule'!$E$26="Weekdays",WEEKDAY($A153,2)&lt;=5,$A153='Recurring Schedule'!$F$26))),21,""))))</f>
        <v/>
      </c>
      <c r="W153">
        <f>IF('Recurring Schedule'!$C$27="","",IF('Recurring Schedule'!$F$27="","",IF(OR($A153&lt;'Recurring Schedule'!$F$27,$A153&gt;'Recurring Schedule'!$P$27),"",IF(IF('Recurring Schedule'!$N$27&gt;0,MOD($A153-'Recurring Schedule'!$F$27,'Recurring Schedule'!$N$27)=0,IF('Recurring Schedule'!$O$27&gt;0,AND(DAY($A153)=MIN(DAY('Recurring Schedule'!$F$27),DAY(EOMONTH($A153,0))),MOD((YEAR($A153)-YEAR('Recurring Schedule'!$F$27))*12+MONTH($A153)-MONTH('Recurring Schedule'!$F$27),'Recurring Schedule'!$O$27)=0),IF('Recurring Schedule'!$E$27="Weekdays",WEEKDAY($A153,2)&lt;=5,$A153='Recurring Schedule'!$F$27))),22,""))))</f>
        <v/>
      </c>
      <c r="X153">
        <f>IF('Recurring Schedule'!$C$28="","",IF('Recurring Schedule'!$F$28="","",IF(OR($A153&lt;'Recurring Schedule'!$F$28,$A153&gt;'Recurring Schedule'!$P$28),"",IF(IF('Recurring Schedule'!$N$28&gt;0,MOD($A153-'Recurring Schedule'!$F$28,'Recurring Schedule'!$N$28)=0,IF('Recurring Schedule'!$O$28&gt;0,AND(DAY($A153)=MIN(DAY('Recurring Schedule'!$F$28),DAY(EOMONTH($A153,0))),MOD((YEAR($A153)-YEAR('Recurring Schedule'!$F$28))*12+MONTH($A153)-MONTH('Recurring Schedule'!$F$28),'Recurring Schedule'!$O$28)=0),IF('Recurring Schedule'!$E$28="Weekdays",WEEKDAY($A153,2)&lt;=5,$A153='Recurring Schedule'!$F$28))),23,""))))</f>
        <v/>
      </c>
      <c r="Y153">
        <f>IF('Recurring Schedule'!$C$29="","",IF('Recurring Schedule'!$F$29="","",IF(OR($A153&lt;'Recurring Schedule'!$F$29,$A153&gt;'Recurring Schedule'!$P$29),"",IF(IF('Recurring Schedule'!$N$29&gt;0,MOD($A153-'Recurring Schedule'!$F$29,'Recurring Schedule'!$N$29)=0,IF('Recurring Schedule'!$O$29&gt;0,AND(DAY($A153)=MIN(DAY('Recurring Schedule'!$F$29),DAY(EOMONTH($A153,0))),MOD((YEAR($A153)-YEAR('Recurring Schedule'!$F$29))*12+MONTH($A153)-MONTH('Recurring Schedule'!$F$29),'Recurring Schedule'!$O$29)=0),IF('Recurring Schedule'!$E$29="Weekdays",WEEKDAY($A153,2)&lt;=5,$A153='Recurring Schedule'!$F$29))),24,""))))</f>
        <v/>
      </c>
      <c r="Z153">
        <f>IF('Recurring Schedule'!$C$30="","",IF('Recurring Schedule'!$F$30="","",IF(OR($A153&lt;'Recurring Schedule'!$F$30,$A153&gt;'Recurring Schedule'!$P$30),"",IF(IF('Recurring Schedule'!$N$30&gt;0,MOD($A153-'Recurring Schedule'!$F$30,'Recurring Schedule'!$N$30)=0,IF('Recurring Schedule'!$O$30&gt;0,AND(DAY($A153)=MIN(DAY('Recurring Schedule'!$F$30),DAY(EOMONTH($A153,0))),MOD((YEAR($A153)-YEAR('Recurring Schedule'!$F$30))*12+MONTH($A153)-MONTH('Recurring Schedule'!$F$30),'Recurring Schedule'!$O$30)=0),IF('Recurring Schedule'!$E$30="Weekdays",WEEKDAY($A153,2)&lt;=5,$A153='Recurring Schedule'!$F$30))),25,""))))</f>
        <v/>
      </c>
      <c r="AA153">
        <f>IF('Recurring Schedule'!$C$31="","",IF('Recurring Schedule'!$F$31="","",IF(OR($A153&lt;'Recurring Schedule'!$F$31,$A153&gt;'Recurring Schedule'!$P$31),"",IF(IF('Recurring Schedule'!$N$31&gt;0,MOD($A153-'Recurring Schedule'!$F$31,'Recurring Schedule'!$N$31)=0,IF('Recurring Schedule'!$O$31&gt;0,AND(DAY($A153)=MIN(DAY('Recurring Schedule'!$F$31),DAY(EOMONTH($A153,0))),MOD((YEAR($A153)-YEAR('Recurring Schedule'!$F$31))*12+MONTH($A153)-MONTH('Recurring Schedule'!$F$31),'Recurring Schedule'!$O$31)=0),IF('Recurring Schedule'!$E$31="Weekdays",WEEKDAY($A153,2)&lt;=5,$A153='Recurring Schedule'!$F$31))),26,""))))</f>
        <v/>
      </c>
      <c r="AB153">
        <f>IF('Recurring Schedule'!$C$32="","",IF('Recurring Schedule'!$F$32="","",IF(OR($A153&lt;'Recurring Schedule'!$F$32,$A153&gt;'Recurring Schedule'!$P$32),"",IF(IF('Recurring Schedule'!$N$32&gt;0,MOD($A153-'Recurring Schedule'!$F$32,'Recurring Schedule'!$N$32)=0,IF('Recurring Schedule'!$O$32&gt;0,AND(DAY($A153)=MIN(DAY('Recurring Schedule'!$F$32),DAY(EOMONTH($A153,0))),MOD((YEAR($A153)-YEAR('Recurring Schedule'!$F$32))*12+MONTH($A153)-MONTH('Recurring Schedule'!$F$32),'Recurring Schedule'!$O$32)=0),IF('Recurring Schedule'!$E$32="Weekdays",WEEKDAY($A153,2)&lt;=5,$A153='Recurring Schedule'!$F$32))),27,""))))</f>
        <v/>
      </c>
      <c r="AC153">
        <f>IF('Recurring Schedule'!$C$33="","",IF('Recurring Schedule'!$F$33="","",IF(OR($A153&lt;'Recurring Schedule'!$F$33,$A153&gt;'Recurring Schedule'!$P$33),"",IF(IF('Recurring Schedule'!$N$33&gt;0,MOD($A153-'Recurring Schedule'!$F$33,'Recurring Schedule'!$N$33)=0,IF('Recurring Schedule'!$O$33&gt;0,AND(DAY($A153)=MIN(DAY('Recurring Schedule'!$F$33),DAY(EOMONTH($A153,0))),MOD((YEAR($A153)-YEAR('Recurring Schedule'!$F$33))*12+MONTH($A153)-MONTH('Recurring Schedule'!$F$33),'Recurring Schedule'!$O$33)=0),IF('Recurring Schedule'!$E$33="Weekdays",WEEKDAY($A153,2)&lt;=5,$A153='Recurring Schedule'!$F$33))),28,""))))</f>
        <v/>
      </c>
      <c r="AD153">
        <f>IF('Recurring Schedule'!$C$34="","",IF('Recurring Schedule'!$F$34="","",IF(OR($A153&lt;'Recurring Schedule'!$F$34,$A153&gt;'Recurring Schedule'!$P$34),"",IF(IF('Recurring Schedule'!$N$34&gt;0,MOD($A153-'Recurring Schedule'!$F$34,'Recurring Schedule'!$N$34)=0,IF('Recurring Schedule'!$O$34&gt;0,AND(DAY($A153)=MIN(DAY('Recurring Schedule'!$F$34),DAY(EOMONTH($A153,0))),MOD((YEAR($A153)-YEAR('Recurring Schedule'!$F$34))*12+MONTH($A153)-MONTH('Recurring Schedule'!$F$34),'Recurring Schedule'!$O$34)=0),IF('Recurring Schedule'!$E$34="Weekdays",WEEKDAY($A153,2)&lt;=5,$A153='Recurring Schedule'!$F$34))),29,""))))</f>
        <v/>
      </c>
      <c r="AE153">
        <f>IF('Recurring Schedule'!$C$35="","",IF('Recurring Schedule'!$F$35="","",IF(OR($A153&lt;'Recurring Schedule'!$F$35,$A153&gt;'Recurring Schedule'!$P$35),"",IF(IF('Recurring Schedule'!$N$35&gt;0,MOD($A153-'Recurring Schedule'!$F$35,'Recurring Schedule'!$N$35)=0,IF('Recurring Schedule'!$O$35&gt;0,AND(DAY($A153)=MIN(DAY('Recurring Schedule'!$F$35),DAY(EOMONTH($A153,0))),MOD((YEAR($A153)-YEAR('Recurring Schedule'!$F$35))*12+MONTH($A153)-MONTH('Recurring Schedule'!$F$35),'Recurring Schedule'!$O$35)=0),IF('Recurring Schedule'!$E$35="Weekdays",WEEKDAY($A153,2)&lt;=5,$A153='Recurring Schedule'!$F$35))),30,""))))</f>
        <v/>
      </c>
      <c r="AF153">
        <f>IF('Recurring Schedule'!$C$36="","",IF('Recurring Schedule'!$F$36="","",IF(OR($A153&lt;'Recurring Schedule'!$F$36,$A153&gt;'Recurring Schedule'!$P$36),"",IF(IF('Recurring Schedule'!$N$36&gt;0,MOD($A153-'Recurring Schedule'!$F$36,'Recurring Schedule'!$N$36)=0,IF('Recurring Schedule'!$O$36&gt;0,AND(DAY($A153)=MIN(DAY('Recurring Schedule'!$F$36),DAY(EOMONTH($A153,0))),MOD((YEAR($A153)-YEAR('Recurring Schedule'!$F$36))*12+MONTH($A153)-MONTH('Recurring Schedule'!$F$36),'Recurring Schedule'!$O$36)=0),IF('Recurring Schedule'!$E$36="Weekdays",WEEKDAY($A153,2)&lt;=5,$A153='Recurring Schedule'!$F$36))),31,""))))</f>
        <v/>
      </c>
      <c r="AG153">
        <f>IF('Recurring Schedule'!$C$37="","",IF('Recurring Schedule'!$F$37="","",IF(OR($A153&lt;'Recurring Schedule'!$F$37,$A153&gt;'Recurring Schedule'!$P$37),"",IF(IF('Recurring Schedule'!$N$37&gt;0,MOD($A153-'Recurring Schedule'!$F$37,'Recurring Schedule'!$N$37)=0,IF('Recurring Schedule'!$O$37&gt;0,AND(DAY($A153)=MIN(DAY('Recurring Schedule'!$F$37),DAY(EOMONTH($A153,0))),MOD((YEAR($A153)-YEAR('Recurring Schedule'!$F$37))*12+MONTH($A153)-MONTH('Recurring Schedule'!$F$37),'Recurring Schedule'!$O$37)=0),IF('Recurring Schedule'!$E$37="Weekdays",WEEKDAY($A153,2)&lt;=5,$A153='Recurring Schedule'!$F$37))),32,""))))</f>
        <v/>
      </c>
      <c r="AH153">
        <f>IF('Recurring Schedule'!$C$38="","",IF('Recurring Schedule'!$F$38="","",IF(OR($A153&lt;'Recurring Schedule'!$F$38,$A153&gt;'Recurring Schedule'!$P$38),"",IF(IF('Recurring Schedule'!$N$38&gt;0,MOD($A153-'Recurring Schedule'!$F$38,'Recurring Schedule'!$N$38)=0,IF('Recurring Schedule'!$O$38&gt;0,AND(DAY($A153)=MIN(DAY('Recurring Schedule'!$F$38),DAY(EOMONTH($A153,0))),MOD((YEAR($A153)-YEAR('Recurring Schedule'!$F$38))*12+MONTH($A153)-MONTH('Recurring Schedule'!$F$38),'Recurring Schedule'!$O$38)=0),IF('Recurring Schedule'!$E$38="Weekdays",WEEKDAY($A153,2)&lt;=5,$A153='Recurring Schedule'!$F$38))),33,""))))</f>
        <v/>
      </c>
      <c r="AI153">
        <f>IF('Recurring Schedule'!$C$39="","",IF('Recurring Schedule'!$F$39="","",IF(OR($A153&lt;'Recurring Schedule'!$F$39,$A153&gt;'Recurring Schedule'!$P$39),"",IF(IF('Recurring Schedule'!$N$39&gt;0,MOD($A153-'Recurring Schedule'!$F$39,'Recurring Schedule'!$N$39)=0,IF('Recurring Schedule'!$O$39&gt;0,AND(DAY($A153)=MIN(DAY('Recurring Schedule'!$F$39),DAY(EOMONTH($A153,0))),MOD((YEAR($A153)-YEAR('Recurring Schedule'!$F$39))*12+MONTH($A153)-MONTH('Recurring Schedule'!$F$39),'Recurring Schedule'!$O$39)=0),IF('Recurring Schedule'!$E$39="Weekdays",WEEKDAY($A153,2)&lt;=5,$A153='Recurring Schedule'!$F$39))),34,""))))</f>
        <v/>
      </c>
      <c r="AJ153">
        <f>IF('Recurring Schedule'!$C$40="","",IF('Recurring Schedule'!$F$40="","",IF(OR($A153&lt;'Recurring Schedule'!$F$40,$A153&gt;'Recurring Schedule'!$P$40),"",IF(IF('Recurring Schedule'!$N$40&gt;0,MOD($A153-'Recurring Schedule'!$F$40,'Recurring Schedule'!$N$40)=0,IF('Recurring Schedule'!$O$40&gt;0,AND(DAY($A153)=MIN(DAY('Recurring Schedule'!$F$40),DAY(EOMONTH($A153,0))),MOD((YEAR($A153)-YEAR('Recurring Schedule'!$F$40))*12+MONTH($A153)-MONTH('Recurring Schedule'!$F$40),'Recurring Schedule'!$O$40)=0),IF('Recurring Schedule'!$E$40="Weekdays",WEEKDAY($A153,2)&lt;=5,$A153='Recurring Schedule'!$F$40))),35,""))))</f>
        <v/>
      </c>
      <c r="AK153">
        <f>IF('Recurring Schedule'!$C$41="","",IF('Recurring Schedule'!$F$41="","",IF(OR($A153&lt;'Recurring Schedule'!$F$41,$A153&gt;'Recurring Schedule'!$P$41),"",IF(IF('Recurring Schedule'!$N$41&gt;0,MOD($A153-'Recurring Schedule'!$F$41,'Recurring Schedule'!$N$41)=0,IF('Recurring Schedule'!$O$41&gt;0,AND(DAY($A153)=MIN(DAY('Recurring Schedule'!$F$41),DAY(EOMONTH($A153,0))),MOD((YEAR($A153)-YEAR('Recurring Schedule'!$F$41))*12+MONTH($A153)-MONTH('Recurring Schedule'!$F$41),'Recurring Schedule'!$O$41)=0),IF('Recurring Schedule'!$E$41="Weekdays",WEEKDAY($A153,2)&lt;=5,$A153='Recurring Schedule'!$F$41))),36,""))))</f>
        <v/>
      </c>
      <c r="AL153">
        <f>IF('Recurring Schedule'!$C$42="","",IF('Recurring Schedule'!$F$42="","",IF(OR($A153&lt;'Recurring Schedule'!$F$42,$A153&gt;'Recurring Schedule'!$P$42),"",IF(IF('Recurring Schedule'!$N$42&gt;0,MOD($A153-'Recurring Schedule'!$F$42,'Recurring Schedule'!$N$42)=0,IF('Recurring Schedule'!$O$42&gt;0,AND(DAY($A153)=MIN(DAY('Recurring Schedule'!$F$42),DAY(EOMONTH($A153,0))),MOD((YEAR($A153)-YEAR('Recurring Schedule'!$F$42))*12+MONTH($A153)-MONTH('Recurring Schedule'!$F$42),'Recurring Schedule'!$O$42)=0),IF('Recurring Schedule'!$E$42="Weekdays",WEEKDAY($A153,2)&lt;=5,$A153='Recurring Schedule'!$F$42))),37,""))))</f>
        <v/>
      </c>
      <c r="AM153">
        <f>IF('Recurring Schedule'!$C$43="","",IF('Recurring Schedule'!$F$43="","",IF(OR($A153&lt;'Recurring Schedule'!$F$43,$A153&gt;'Recurring Schedule'!$P$43),"",IF(IF('Recurring Schedule'!$N$43&gt;0,MOD($A153-'Recurring Schedule'!$F$43,'Recurring Schedule'!$N$43)=0,IF('Recurring Schedule'!$O$43&gt;0,AND(DAY($A153)=MIN(DAY('Recurring Schedule'!$F$43),DAY(EOMONTH($A153,0))),MOD((YEAR($A153)-YEAR('Recurring Schedule'!$F$43))*12+MONTH($A153)-MONTH('Recurring Schedule'!$F$43),'Recurring Schedule'!$O$43)=0),IF('Recurring Schedule'!$E$43="Weekdays",WEEKDAY($A153,2)&lt;=5,$A153='Recurring Schedule'!$F$43))),38,""))))</f>
        <v/>
      </c>
      <c r="AN153">
        <f>IF('Recurring Schedule'!$C$44="","",IF('Recurring Schedule'!$F$44="","",IF(OR($A153&lt;'Recurring Schedule'!$F$44,$A153&gt;'Recurring Schedule'!$P$44),"",IF(IF('Recurring Schedule'!$N$44&gt;0,MOD($A153-'Recurring Schedule'!$F$44,'Recurring Schedule'!$N$44)=0,IF('Recurring Schedule'!$O$44&gt;0,AND(DAY($A153)=MIN(DAY('Recurring Schedule'!$F$44),DAY(EOMONTH($A153,0))),MOD((YEAR($A153)-YEAR('Recurring Schedule'!$F$44))*12+MONTH($A153)-MONTH('Recurring Schedule'!$F$44),'Recurring Schedule'!$O$44)=0),IF('Recurring Schedule'!$E$44="Weekdays",WEEKDAY($A153,2)&lt;=5,$A153='Recurring Schedule'!$F$44))),39,""))))</f>
        <v/>
      </c>
      <c r="AO153">
        <f>IF('Recurring Schedule'!$C$45="","",IF('Recurring Schedule'!$F$45="","",IF(OR($A153&lt;'Recurring Schedule'!$F$45,$A153&gt;'Recurring Schedule'!$P$45),"",IF(IF('Recurring Schedule'!$N$45&gt;0,MOD($A153-'Recurring Schedule'!$F$45,'Recurring Schedule'!$N$45)=0,IF('Recurring Schedule'!$O$45&gt;0,AND(DAY($A153)=MIN(DAY('Recurring Schedule'!$F$45),DAY(EOMONTH($A153,0))),MOD((YEAR($A153)-YEAR('Recurring Schedule'!$F$45))*12+MONTH($A153)-MONTH('Recurring Schedule'!$F$45),'Recurring Schedule'!$O$45)=0),IF('Recurring Schedule'!$E$45="Weekdays",WEEKDAY($A153,2)&lt;=5,$A153='Recurring Schedule'!$F$45))),40,""))))</f>
        <v/>
      </c>
      <c r="AP153">
        <f>COUNT(B153:AO153)</f>
        <v/>
      </c>
      <c r="AQ153">
        <f>AQ152+AP152</f>
        <v/>
      </c>
      <c r="AS153" t="inlineStr">
        <is>
          <t>R</t>
        </is>
      </c>
      <c r="AT153" t="n">
        <v>157</v>
      </c>
      <c r="AU153">
        <f>'Recurring Log'!C157&amp;""</f>
        <v/>
      </c>
      <c r="AV153">
        <f>'Recurring Log'!D157&amp;""</f>
        <v/>
      </c>
      <c r="AW153">
        <f>IF('Recurring Log'!E157="","",'Recurring Log'!E157)</f>
        <v/>
      </c>
      <c r="AX153">
        <f>IF('Recurring Log'!G157="","",'Recurring Log'!G157)</f>
        <v/>
      </c>
      <c r="AY153">
        <f>IF('Recurring Log'!H157="","",'Recurring Log'!H157)</f>
        <v/>
      </c>
      <c r="AZ153">
        <f>IF(AU153="","",IF('Recurring Log'!J157="","Not Started",'Recurring Log'!J157))</f>
        <v/>
      </c>
      <c r="BA153">
        <f>'Recurring Log'!L157&amp;""</f>
        <v/>
      </c>
      <c r="BB153">
        <f>'Recurring Log'!M157&amp;""</f>
        <v/>
      </c>
      <c r="BC153">
        <f>'Recurring Log'!N157&amp;""</f>
        <v/>
      </c>
      <c r="BD153">
        <f>'Recurring Log'!O157&amp;""</f>
        <v/>
      </c>
      <c r="BE153">
        <f>IF('Recurring Log'!K157="","",'Recurring Log'!K157)</f>
        <v/>
      </c>
      <c r="BF153">
        <f>IFERROR(MATCH(BA153,Setup!$L$6:$L$9,0),5)</f>
        <v/>
      </c>
      <c r="BG153">
        <f>IF(OR(AZ153="Done",AZ153="Cancelled"),1,0)</f>
        <v/>
      </c>
      <c r="BH153">
        <f>IF(AND(AU153&lt;&gt;"",ISNUMBER(AW153)),1,0)</f>
        <v/>
      </c>
      <c r="BI153">
        <f>IF(BH153=0,0,IF(AND(AW153&gt;='Tasks Filter'!$F$3,AW153&lt;='Tasks Filter'!$F$4,OR('Tasks Filter'!$I$3="",ISNUMBER(SEARCH('Tasks Filter'!$I$3,AU153))),OR('Tasks Filter'!$I$4="",BF153=IFERROR(MATCH('Tasks Filter'!$I$4,Setup!$L$6:$L$9,0),0)),OR('Tasks Filter'!$I$5="Both",AND('Tasks Filter'!$I$5="Yes",BB153="✓"),AND('Tasks Filter'!$I$5="No",BB153&lt;&gt;"✓")),OR('Tasks Filter'!$L$3="",AV153='Tasks Filter'!$L$3),OR('Tasks Filter'!$L$4="",AZ153='Tasks Filter'!$L$4),OR('Tasks Filter'!$L$5="",BC153='Tasks Filter'!$L$5),OR('Tasks Filter'!$O$3="",BD153='Tasks Filter'!$O$3),OR('Tasks Filter'!$O$4="Yes",BG153=0)),1,0))</f>
        <v/>
      </c>
      <c r="BJ153">
        <f>IF(BH153=0,"",IF('Tasks Filter'!$F$6="Descending",-1,1)*CHOOSE(MATCH('Tasks Filter'!$F$5,Lists!$G$2:$G$6,0),AW153,BF153,IFERROR(MATCH(AV153,Setup!$F$6:$F$15,0),99),IFERROR(MATCH(BC153,Setup!$H$6:$H$15,0),99),IFERROR(MATCH(AZ153,Setup!$J$6:$J$11,0),99))*1E+9+(AW153-40000)*10000+152)</f>
        <v/>
      </c>
      <c r="BK153">
        <f>IF(BI153=1,BJ153,"")</f>
        <v/>
      </c>
      <c r="BL153">
        <f>IF(AND(BH153=1,BG153=0,N(AW153)&lt;Setup!$D$7),(AW153-40000)*10000+152,"")</f>
        <v/>
      </c>
      <c r="BM153">
        <f>IF(AND(BH153=1,AZ153&lt;&gt;"Cancelled",N(AW153)&gt;=Dashboard!$AB$3,N(AW153)&lt;=Dashboard!$AB$3+6),(AW153-40000)*100000+BF153*10000+152,"")</f>
        <v/>
      </c>
      <c r="BN153">
        <f>IF(AND(BH153=1,AZ153&lt;&gt;"Cancelled"),BF153*10000+152,"")</f>
        <v/>
      </c>
    </row>
    <row r="154">
      <c r="A154">
        <f>Setup!$D$5+152</f>
        <v/>
      </c>
      <c r="B154">
        <f>IF('Recurring Schedule'!$C$6="","",IF('Recurring Schedule'!$F$6="","",IF(OR($A154&lt;'Recurring Schedule'!$F$6,$A154&gt;'Recurring Schedule'!$P$6),"",IF(IF('Recurring Schedule'!$N$6&gt;0,MOD($A154-'Recurring Schedule'!$F$6,'Recurring Schedule'!$N$6)=0,IF('Recurring Schedule'!$O$6&gt;0,AND(DAY($A154)=MIN(DAY('Recurring Schedule'!$F$6),DAY(EOMONTH($A154,0))),MOD((YEAR($A154)-YEAR('Recurring Schedule'!$F$6))*12+MONTH($A154)-MONTH('Recurring Schedule'!$F$6),'Recurring Schedule'!$O$6)=0),IF('Recurring Schedule'!$E$6="Weekdays",WEEKDAY($A154,2)&lt;=5,$A154='Recurring Schedule'!$F$6))),1,""))))</f>
        <v/>
      </c>
      <c r="C154">
        <f>IF('Recurring Schedule'!$C$7="","",IF('Recurring Schedule'!$F$7="","",IF(OR($A154&lt;'Recurring Schedule'!$F$7,$A154&gt;'Recurring Schedule'!$P$7),"",IF(IF('Recurring Schedule'!$N$7&gt;0,MOD($A154-'Recurring Schedule'!$F$7,'Recurring Schedule'!$N$7)=0,IF('Recurring Schedule'!$O$7&gt;0,AND(DAY($A154)=MIN(DAY('Recurring Schedule'!$F$7),DAY(EOMONTH($A154,0))),MOD((YEAR($A154)-YEAR('Recurring Schedule'!$F$7))*12+MONTH($A154)-MONTH('Recurring Schedule'!$F$7),'Recurring Schedule'!$O$7)=0),IF('Recurring Schedule'!$E$7="Weekdays",WEEKDAY($A154,2)&lt;=5,$A154='Recurring Schedule'!$F$7))),2,""))))</f>
        <v/>
      </c>
      <c r="D154">
        <f>IF('Recurring Schedule'!$C$8="","",IF('Recurring Schedule'!$F$8="","",IF(OR($A154&lt;'Recurring Schedule'!$F$8,$A154&gt;'Recurring Schedule'!$P$8),"",IF(IF('Recurring Schedule'!$N$8&gt;0,MOD($A154-'Recurring Schedule'!$F$8,'Recurring Schedule'!$N$8)=0,IF('Recurring Schedule'!$O$8&gt;0,AND(DAY($A154)=MIN(DAY('Recurring Schedule'!$F$8),DAY(EOMONTH($A154,0))),MOD((YEAR($A154)-YEAR('Recurring Schedule'!$F$8))*12+MONTH($A154)-MONTH('Recurring Schedule'!$F$8),'Recurring Schedule'!$O$8)=0),IF('Recurring Schedule'!$E$8="Weekdays",WEEKDAY($A154,2)&lt;=5,$A154='Recurring Schedule'!$F$8))),3,""))))</f>
        <v/>
      </c>
      <c r="E154">
        <f>IF('Recurring Schedule'!$C$9="","",IF('Recurring Schedule'!$F$9="","",IF(OR($A154&lt;'Recurring Schedule'!$F$9,$A154&gt;'Recurring Schedule'!$P$9),"",IF(IF('Recurring Schedule'!$N$9&gt;0,MOD($A154-'Recurring Schedule'!$F$9,'Recurring Schedule'!$N$9)=0,IF('Recurring Schedule'!$O$9&gt;0,AND(DAY($A154)=MIN(DAY('Recurring Schedule'!$F$9),DAY(EOMONTH($A154,0))),MOD((YEAR($A154)-YEAR('Recurring Schedule'!$F$9))*12+MONTH($A154)-MONTH('Recurring Schedule'!$F$9),'Recurring Schedule'!$O$9)=0),IF('Recurring Schedule'!$E$9="Weekdays",WEEKDAY($A154,2)&lt;=5,$A154='Recurring Schedule'!$F$9))),4,""))))</f>
        <v/>
      </c>
      <c r="F154">
        <f>IF('Recurring Schedule'!$C$10="","",IF('Recurring Schedule'!$F$10="","",IF(OR($A154&lt;'Recurring Schedule'!$F$10,$A154&gt;'Recurring Schedule'!$P$10),"",IF(IF('Recurring Schedule'!$N$10&gt;0,MOD($A154-'Recurring Schedule'!$F$10,'Recurring Schedule'!$N$10)=0,IF('Recurring Schedule'!$O$10&gt;0,AND(DAY($A154)=MIN(DAY('Recurring Schedule'!$F$10),DAY(EOMONTH($A154,0))),MOD((YEAR($A154)-YEAR('Recurring Schedule'!$F$10))*12+MONTH($A154)-MONTH('Recurring Schedule'!$F$10),'Recurring Schedule'!$O$10)=0),IF('Recurring Schedule'!$E$10="Weekdays",WEEKDAY($A154,2)&lt;=5,$A154='Recurring Schedule'!$F$10))),5,""))))</f>
        <v/>
      </c>
      <c r="G154">
        <f>IF('Recurring Schedule'!$C$11="","",IF('Recurring Schedule'!$F$11="","",IF(OR($A154&lt;'Recurring Schedule'!$F$11,$A154&gt;'Recurring Schedule'!$P$11),"",IF(IF('Recurring Schedule'!$N$11&gt;0,MOD($A154-'Recurring Schedule'!$F$11,'Recurring Schedule'!$N$11)=0,IF('Recurring Schedule'!$O$11&gt;0,AND(DAY($A154)=MIN(DAY('Recurring Schedule'!$F$11),DAY(EOMONTH($A154,0))),MOD((YEAR($A154)-YEAR('Recurring Schedule'!$F$11))*12+MONTH($A154)-MONTH('Recurring Schedule'!$F$11),'Recurring Schedule'!$O$11)=0),IF('Recurring Schedule'!$E$11="Weekdays",WEEKDAY($A154,2)&lt;=5,$A154='Recurring Schedule'!$F$11))),6,""))))</f>
        <v/>
      </c>
      <c r="H154">
        <f>IF('Recurring Schedule'!$C$12="","",IF('Recurring Schedule'!$F$12="","",IF(OR($A154&lt;'Recurring Schedule'!$F$12,$A154&gt;'Recurring Schedule'!$P$12),"",IF(IF('Recurring Schedule'!$N$12&gt;0,MOD($A154-'Recurring Schedule'!$F$12,'Recurring Schedule'!$N$12)=0,IF('Recurring Schedule'!$O$12&gt;0,AND(DAY($A154)=MIN(DAY('Recurring Schedule'!$F$12),DAY(EOMONTH($A154,0))),MOD((YEAR($A154)-YEAR('Recurring Schedule'!$F$12))*12+MONTH($A154)-MONTH('Recurring Schedule'!$F$12),'Recurring Schedule'!$O$12)=0),IF('Recurring Schedule'!$E$12="Weekdays",WEEKDAY($A154,2)&lt;=5,$A154='Recurring Schedule'!$F$12))),7,""))))</f>
        <v/>
      </c>
      <c r="I154">
        <f>IF('Recurring Schedule'!$C$13="","",IF('Recurring Schedule'!$F$13="","",IF(OR($A154&lt;'Recurring Schedule'!$F$13,$A154&gt;'Recurring Schedule'!$P$13),"",IF(IF('Recurring Schedule'!$N$13&gt;0,MOD($A154-'Recurring Schedule'!$F$13,'Recurring Schedule'!$N$13)=0,IF('Recurring Schedule'!$O$13&gt;0,AND(DAY($A154)=MIN(DAY('Recurring Schedule'!$F$13),DAY(EOMONTH($A154,0))),MOD((YEAR($A154)-YEAR('Recurring Schedule'!$F$13))*12+MONTH($A154)-MONTH('Recurring Schedule'!$F$13),'Recurring Schedule'!$O$13)=0),IF('Recurring Schedule'!$E$13="Weekdays",WEEKDAY($A154,2)&lt;=5,$A154='Recurring Schedule'!$F$13))),8,""))))</f>
        <v/>
      </c>
      <c r="J154">
        <f>IF('Recurring Schedule'!$C$14="","",IF('Recurring Schedule'!$F$14="","",IF(OR($A154&lt;'Recurring Schedule'!$F$14,$A154&gt;'Recurring Schedule'!$P$14),"",IF(IF('Recurring Schedule'!$N$14&gt;0,MOD($A154-'Recurring Schedule'!$F$14,'Recurring Schedule'!$N$14)=0,IF('Recurring Schedule'!$O$14&gt;0,AND(DAY($A154)=MIN(DAY('Recurring Schedule'!$F$14),DAY(EOMONTH($A154,0))),MOD((YEAR($A154)-YEAR('Recurring Schedule'!$F$14))*12+MONTH($A154)-MONTH('Recurring Schedule'!$F$14),'Recurring Schedule'!$O$14)=0),IF('Recurring Schedule'!$E$14="Weekdays",WEEKDAY($A154,2)&lt;=5,$A154='Recurring Schedule'!$F$14))),9,""))))</f>
        <v/>
      </c>
      <c r="K154">
        <f>IF('Recurring Schedule'!$C$15="","",IF('Recurring Schedule'!$F$15="","",IF(OR($A154&lt;'Recurring Schedule'!$F$15,$A154&gt;'Recurring Schedule'!$P$15),"",IF(IF('Recurring Schedule'!$N$15&gt;0,MOD($A154-'Recurring Schedule'!$F$15,'Recurring Schedule'!$N$15)=0,IF('Recurring Schedule'!$O$15&gt;0,AND(DAY($A154)=MIN(DAY('Recurring Schedule'!$F$15),DAY(EOMONTH($A154,0))),MOD((YEAR($A154)-YEAR('Recurring Schedule'!$F$15))*12+MONTH($A154)-MONTH('Recurring Schedule'!$F$15),'Recurring Schedule'!$O$15)=0),IF('Recurring Schedule'!$E$15="Weekdays",WEEKDAY($A154,2)&lt;=5,$A154='Recurring Schedule'!$F$15))),10,""))))</f>
        <v/>
      </c>
      <c r="L154">
        <f>IF('Recurring Schedule'!$C$16="","",IF('Recurring Schedule'!$F$16="","",IF(OR($A154&lt;'Recurring Schedule'!$F$16,$A154&gt;'Recurring Schedule'!$P$16),"",IF(IF('Recurring Schedule'!$N$16&gt;0,MOD($A154-'Recurring Schedule'!$F$16,'Recurring Schedule'!$N$16)=0,IF('Recurring Schedule'!$O$16&gt;0,AND(DAY($A154)=MIN(DAY('Recurring Schedule'!$F$16),DAY(EOMONTH($A154,0))),MOD((YEAR($A154)-YEAR('Recurring Schedule'!$F$16))*12+MONTH($A154)-MONTH('Recurring Schedule'!$F$16),'Recurring Schedule'!$O$16)=0),IF('Recurring Schedule'!$E$16="Weekdays",WEEKDAY($A154,2)&lt;=5,$A154='Recurring Schedule'!$F$16))),11,""))))</f>
        <v/>
      </c>
      <c r="M154">
        <f>IF('Recurring Schedule'!$C$17="","",IF('Recurring Schedule'!$F$17="","",IF(OR($A154&lt;'Recurring Schedule'!$F$17,$A154&gt;'Recurring Schedule'!$P$17),"",IF(IF('Recurring Schedule'!$N$17&gt;0,MOD($A154-'Recurring Schedule'!$F$17,'Recurring Schedule'!$N$17)=0,IF('Recurring Schedule'!$O$17&gt;0,AND(DAY($A154)=MIN(DAY('Recurring Schedule'!$F$17),DAY(EOMONTH($A154,0))),MOD((YEAR($A154)-YEAR('Recurring Schedule'!$F$17))*12+MONTH($A154)-MONTH('Recurring Schedule'!$F$17),'Recurring Schedule'!$O$17)=0),IF('Recurring Schedule'!$E$17="Weekdays",WEEKDAY($A154,2)&lt;=5,$A154='Recurring Schedule'!$F$17))),12,""))))</f>
        <v/>
      </c>
      <c r="N154">
        <f>IF('Recurring Schedule'!$C$18="","",IF('Recurring Schedule'!$F$18="","",IF(OR($A154&lt;'Recurring Schedule'!$F$18,$A154&gt;'Recurring Schedule'!$P$18),"",IF(IF('Recurring Schedule'!$N$18&gt;0,MOD($A154-'Recurring Schedule'!$F$18,'Recurring Schedule'!$N$18)=0,IF('Recurring Schedule'!$O$18&gt;0,AND(DAY($A154)=MIN(DAY('Recurring Schedule'!$F$18),DAY(EOMONTH($A154,0))),MOD((YEAR($A154)-YEAR('Recurring Schedule'!$F$18))*12+MONTH($A154)-MONTH('Recurring Schedule'!$F$18),'Recurring Schedule'!$O$18)=0),IF('Recurring Schedule'!$E$18="Weekdays",WEEKDAY($A154,2)&lt;=5,$A154='Recurring Schedule'!$F$18))),13,""))))</f>
        <v/>
      </c>
      <c r="O154">
        <f>IF('Recurring Schedule'!$C$19="","",IF('Recurring Schedule'!$F$19="","",IF(OR($A154&lt;'Recurring Schedule'!$F$19,$A154&gt;'Recurring Schedule'!$P$19),"",IF(IF('Recurring Schedule'!$N$19&gt;0,MOD($A154-'Recurring Schedule'!$F$19,'Recurring Schedule'!$N$19)=0,IF('Recurring Schedule'!$O$19&gt;0,AND(DAY($A154)=MIN(DAY('Recurring Schedule'!$F$19),DAY(EOMONTH($A154,0))),MOD((YEAR($A154)-YEAR('Recurring Schedule'!$F$19))*12+MONTH($A154)-MONTH('Recurring Schedule'!$F$19),'Recurring Schedule'!$O$19)=0),IF('Recurring Schedule'!$E$19="Weekdays",WEEKDAY($A154,2)&lt;=5,$A154='Recurring Schedule'!$F$19))),14,""))))</f>
        <v/>
      </c>
      <c r="P154">
        <f>IF('Recurring Schedule'!$C$20="","",IF('Recurring Schedule'!$F$20="","",IF(OR($A154&lt;'Recurring Schedule'!$F$20,$A154&gt;'Recurring Schedule'!$P$20),"",IF(IF('Recurring Schedule'!$N$20&gt;0,MOD($A154-'Recurring Schedule'!$F$20,'Recurring Schedule'!$N$20)=0,IF('Recurring Schedule'!$O$20&gt;0,AND(DAY($A154)=MIN(DAY('Recurring Schedule'!$F$20),DAY(EOMONTH($A154,0))),MOD((YEAR($A154)-YEAR('Recurring Schedule'!$F$20))*12+MONTH($A154)-MONTH('Recurring Schedule'!$F$20),'Recurring Schedule'!$O$20)=0),IF('Recurring Schedule'!$E$20="Weekdays",WEEKDAY($A154,2)&lt;=5,$A154='Recurring Schedule'!$F$20))),15,""))))</f>
        <v/>
      </c>
      <c r="Q154">
        <f>IF('Recurring Schedule'!$C$21="","",IF('Recurring Schedule'!$F$21="","",IF(OR($A154&lt;'Recurring Schedule'!$F$21,$A154&gt;'Recurring Schedule'!$P$21),"",IF(IF('Recurring Schedule'!$N$21&gt;0,MOD($A154-'Recurring Schedule'!$F$21,'Recurring Schedule'!$N$21)=0,IF('Recurring Schedule'!$O$21&gt;0,AND(DAY($A154)=MIN(DAY('Recurring Schedule'!$F$21),DAY(EOMONTH($A154,0))),MOD((YEAR($A154)-YEAR('Recurring Schedule'!$F$21))*12+MONTH($A154)-MONTH('Recurring Schedule'!$F$21),'Recurring Schedule'!$O$21)=0),IF('Recurring Schedule'!$E$21="Weekdays",WEEKDAY($A154,2)&lt;=5,$A154='Recurring Schedule'!$F$21))),16,""))))</f>
        <v/>
      </c>
      <c r="R154">
        <f>IF('Recurring Schedule'!$C$22="","",IF('Recurring Schedule'!$F$22="","",IF(OR($A154&lt;'Recurring Schedule'!$F$22,$A154&gt;'Recurring Schedule'!$P$22),"",IF(IF('Recurring Schedule'!$N$22&gt;0,MOD($A154-'Recurring Schedule'!$F$22,'Recurring Schedule'!$N$22)=0,IF('Recurring Schedule'!$O$22&gt;0,AND(DAY($A154)=MIN(DAY('Recurring Schedule'!$F$22),DAY(EOMONTH($A154,0))),MOD((YEAR($A154)-YEAR('Recurring Schedule'!$F$22))*12+MONTH($A154)-MONTH('Recurring Schedule'!$F$22),'Recurring Schedule'!$O$22)=0),IF('Recurring Schedule'!$E$22="Weekdays",WEEKDAY($A154,2)&lt;=5,$A154='Recurring Schedule'!$F$22))),17,""))))</f>
        <v/>
      </c>
      <c r="S154">
        <f>IF('Recurring Schedule'!$C$23="","",IF('Recurring Schedule'!$F$23="","",IF(OR($A154&lt;'Recurring Schedule'!$F$23,$A154&gt;'Recurring Schedule'!$P$23),"",IF(IF('Recurring Schedule'!$N$23&gt;0,MOD($A154-'Recurring Schedule'!$F$23,'Recurring Schedule'!$N$23)=0,IF('Recurring Schedule'!$O$23&gt;0,AND(DAY($A154)=MIN(DAY('Recurring Schedule'!$F$23),DAY(EOMONTH($A154,0))),MOD((YEAR($A154)-YEAR('Recurring Schedule'!$F$23))*12+MONTH($A154)-MONTH('Recurring Schedule'!$F$23),'Recurring Schedule'!$O$23)=0),IF('Recurring Schedule'!$E$23="Weekdays",WEEKDAY($A154,2)&lt;=5,$A154='Recurring Schedule'!$F$23))),18,""))))</f>
        <v/>
      </c>
      <c r="T154">
        <f>IF('Recurring Schedule'!$C$24="","",IF('Recurring Schedule'!$F$24="","",IF(OR($A154&lt;'Recurring Schedule'!$F$24,$A154&gt;'Recurring Schedule'!$P$24),"",IF(IF('Recurring Schedule'!$N$24&gt;0,MOD($A154-'Recurring Schedule'!$F$24,'Recurring Schedule'!$N$24)=0,IF('Recurring Schedule'!$O$24&gt;0,AND(DAY($A154)=MIN(DAY('Recurring Schedule'!$F$24),DAY(EOMONTH($A154,0))),MOD((YEAR($A154)-YEAR('Recurring Schedule'!$F$24))*12+MONTH($A154)-MONTH('Recurring Schedule'!$F$24),'Recurring Schedule'!$O$24)=0),IF('Recurring Schedule'!$E$24="Weekdays",WEEKDAY($A154,2)&lt;=5,$A154='Recurring Schedule'!$F$24))),19,""))))</f>
        <v/>
      </c>
      <c r="U154">
        <f>IF('Recurring Schedule'!$C$25="","",IF('Recurring Schedule'!$F$25="","",IF(OR($A154&lt;'Recurring Schedule'!$F$25,$A154&gt;'Recurring Schedule'!$P$25),"",IF(IF('Recurring Schedule'!$N$25&gt;0,MOD($A154-'Recurring Schedule'!$F$25,'Recurring Schedule'!$N$25)=0,IF('Recurring Schedule'!$O$25&gt;0,AND(DAY($A154)=MIN(DAY('Recurring Schedule'!$F$25),DAY(EOMONTH($A154,0))),MOD((YEAR($A154)-YEAR('Recurring Schedule'!$F$25))*12+MONTH($A154)-MONTH('Recurring Schedule'!$F$25),'Recurring Schedule'!$O$25)=0),IF('Recurring Schedule'!$E$25="Weekdays",WEEKDAY($A154,2)&lt;=5,$A154='Recurring Schedule'!$F$25))),20,""))))</f>
        <v/>
      </c>
      <c r="V154">
        <f>IF('Recurring Schedule'!$C$26="","",IF('Recurring Schedule'!$F$26="","",IF(OR($A154&lt;'Recurring Schedule'!$F$26,$A154&gt;'Recurring Schedule'!$P$26),"",IF(IF('Recurring Schedule'!$N$26&gt;0,MOD($A154-'Recurring Schedule'!$F$26,'Recurring Schedule'!$N$26)=0,IF('Recurring Schedule'!$O$26&gt;0,AND(DAY($A154)=MIN(DAY('Recurring Schedule'!$F$26),DAY(EOMONTH($A154,0))),MOD((YEAR($A154)-YEAR('Recurring Schedule'!$F$26))*12+MONTH($A154)-MONTH('Recurring Schedule'!$F$26),'Recurring Schedule'!$O$26)=0),IF('Recurring Schedule'!$E$26="Weekdays",WEEKDAY($A154,2)&lt;=5,$A154='Recurring Schedule'!$F$26))),21,""))))</f>
        <v/>
      </c>
      <c r="W154">
        <f>IF('Recurring Schedule'!$C$27="","",IF('Recurring Schedule'!$F$27="","",IF(OR($A154&lt;'Recurring Schedule'!$F$27,$A154&gt;'Recurring Schedule'!$P$27),"",IF(IF('Recurring Schedule'!$N$27&gt;0,MOD($A154-'Recurring Schedule'!$F$27,'Recurring Schedule'!$N$27)=0,IF('Recurring Schedule'!$O$27&gt;0,AND(DAY($A154)=MIN(DAY('Recurring Schedule'!$F$27),DAY(EOMONTH($A154,0))),MOD((YEAR($A154)-YEAR('Recurring Schedule'!$F$27))*12+MONTH($A154)-MONTH('Recurring Schedule'!$F$27),'Recurring Schedule'!$O$27)=0),IF('Recurring Schedule'!$E$27="Weekdays",WEEKDAY($A154,2)&lt;=5,$A154='Recurring Schedule'!$F$27))),22,""))))</f>
        <v/>
      </c>
      <c r="X154">
        <f>IF('Recurring Schedule'!$C$28="","",IF('Recurring Schedule'!$F$28="","",IF(OR($A154&lt;'Recurring Schedule'!$F$28,$A154&gt;'Recurring Schedule'!$P$28),"",IF(IF('Recurring Schedule'!$N$28&gt;0,MOD($A154-'Recurring Schedule'!$F$28,'Recurring Schedule'!$N$28)=0,IF('Recurring Schedule'!$O$28&gt;0,AND(DAY($A154)=MIN(DAY('Recurring Schedule'!$F$28),DAY(EOMONTH($A154,0))),MOD((YEAR($A154)-YEAR('Recurring Schedule'!$F$28))*12+MONTH($A154)-MONTH('Recurring Schedule'!$F$28),'Recurring Schedule'!$O$28)=0),IF('Recurring Schedule'!$E$28="Weekdays",WEEKDAY($A154,2)&lt;=5,$A154='Recurring Schedule'!$F$28))),23,""))))</f>
        <v/>
      </c>
      <c r="Y154">
        <f>IF('Recurring Schedule'!$C$29="","",IF('Recurring Schedule'!$F$29="","",IF(OR($A154&lt;'Recurring Schedule'!$F$29,$A154&gt;'Recurring Schedule'!$P$29),"",IF(IF('Recurring Schedule'!$N$29&gt;0,MOD($A154-'Recurring Schedule'!$F$29,'Recurring Schedule'!$N$29)=0,IF('Recurring Schedule'!$O$29&gt;0,AND(DAY($A154)=MIN(DAY('Recurring Schedule'!$F$29),DAY(EOMONTH($A154,0))),MOD((YEAR($A154)-YEAR('Recurring Schedule'!$F$29))*12+MONTH($A154)-MONTH('Recurring Schedule'!$F$29),'Recurring Schedule'!$O$29)=0),IF('Recurring Schedule'!$E$29="Weekdays",WEEKDAY($A154,2)&lt;=5,$A154='Recurring Schedule'!$F$29))),24,""))))</f>
        <v/>
      </c>
      <c r="Z154">
        <f>IF('Recurring Schedule'!$C$30="","",IF('Recurring Schedule'!$F$30="","",IF(OR($A154&lt;'Recurring Schedule'!$F$30,$A154&gt;'Recurring Schedule'!$P$30),"",IF(IF('Recurring Schedule'!$N$30&gt;0,MOD($A154-'Recurring Schedule'!$F$30,'Recurring Schedule'!$N$30)=0,IF('Recurring Schedule'!$O$30&gt;0,AND(DAY($A154)=MIN(DAY('Recurring Schedule'!$F$30),DAY(EOMONTH($A154,0))),MOD((YEAR($A154)-YEAR('Recurring Schedule'!$F$30))*12+MONTH($A154)-MONTH('Recurring Schedule'!$F$30),'Recurring Schedule'!$O$30)=0),IF('Recurring Schedule'!$E$30="Weekdays",WEEKDAY($A154,2)&lt;=5,$A154='Recurring Schedule'!$F$30))),25,""))))</f>
        <v/>
      </c>
      <c r="AA154">
        <f>IF('Recurring Schedule'!$C$31="","",IF('Recurring Schedule'!$F$31="","",IF(OR($A154&lt;'Recurring Schedule'!$F$31,$A154&gt;'Recurring Schedule'!$P$31),"",IF(IF('Recurring Schedule'!$N$31&gt;0,MOD($A154-'Recurring Schedule'!$F$31,'Recurring Schedule'!$N$31)=0,IF('Recurring Schedule'!$O$31&gt;0,AND(DAY($A154)=MIN(DAY('Recurring Schedule'!$F$31),DAY(EOMONTH($A154,0))),MOD((YEAR($A154)-YEAR('Recurring Schedule'!$F$31))*12+MONTH($A154)-MONTH('Recurring Schedule'!$F$31),'Recurring Schedule'!$O$31)=0),IF('Recurring Schedule'!$E$31="Weekdays",WEEKDAY($A154,2)&lt;=5,$A154='Recurring Schedule'!$F$31))),26,""))))</f>
        <v/>
      </c>
      <c r="AB154">
        <f>IF('Recurring Schedule'!$C$32="","",IF('Recurring Schedule'!$F$32="","",IF(OR($A154&lt;'Recurring Schedule'!$F$32,$A154&gt;'Recurring Schedule'!$P$32),"",IF(IF('Recurring Schedule'!$N$32&gt;0,MOD($A154-'Recurring Schedule'!$F$32,'Recurring Schedule'!$N$32)=0,IF('Recurring Schedule'!$O$32&gt;0,AND(DAY($A154)=MIN(DAY('Recurring Schedule'!$F$32),DAY(EOMONTH($A154,0))),MOD((YEAR($A154)-YEAR('Recurring Schedule'!$F$32))*12+MONTH($A154)-MONTH('Recurring Schedule'!$F$32),'Recurring Schedule'!$O$32)=0),IF('Recurring Schedule'!$E$32="Weekdays",WEEKDAY($A154,2)&lt;=5,$A154='Recurring Schedule'!$F$32))),27,""))))</f>
        <v/>
      </c>
      <c r="AC154">
        <f>IF('Recurring Schedule'!$C$33="","",IF('Recurring Schedule'!$F$33="","",IF(OR($A154&lt;'Recurring Schedule'!$F$33,$A154&gt;'Recurring Schedule'!$P$33),"",IF(IF('Recurring Schedule'!$N$33&gt;0,MOD($A154-'Recurring Schedule'!$F$33,'Recurring Schedule'!$N$33)=0,IF('Recurring Schedule'!$O$33&gt;0,AND(DAY($A154)=MIN(DAY('Recurring Schedule'!$F$33),DAY(EOMONTH($A154,0))),MOD((YEAR($A154)-YEAR('Recurring Schedule'!$F$33))*12+MONTH($A154)-MONTH('Recurring Schedule'!$F$33),'Recurring Schedule'!$O$33)=0),IF('Recurring Schedule'!$E$33="Weekdays",WEEKDAY($A154,2)&lt;=5,$A154='Recurring Schedule'!$F$33))),28,""))))</f>
        <v/>
      </c>
      <c r="AD154">
        <f>IF('Recurring Schedule'!$C$34="","",IF('Recurring Schedule'!$F$34="","",IF(OR($A154&lt;'Recurring Schedule'!$F$34,$A154&gt;'Recurring Schedule'!$P$34),"",IF(IF('Recurring Schedule'!$N$34&gt;0,MOD($A154-'Recurring Schedule'!$F$34,'Recurring Schedule'!$N$34)=0,IF('Recurring Schedule'!$O$34&gt;0,AND(DAY($A154)=MIN(DAY('Recurring Schedule'!$F$34),DAY(EOMONTH($A154,0))),MOD((YEAR($A154)-YEAR('Recurring Schedule'!$F$34))*12+MONTH($A154)-MONTH('Recurring Schedule'!$F$34),'Recurring Schedule'!$O$34)=0),IF('Recurring Schedule'!$E$34="Weekdays",WEEKDAY($A154,2)&lt;=5,$A154='Recurring Schedule'!$F$34))),29,""))))</f>
        <v/>
      </c>
      <c r="AE154">
        <f>IF('Recurring Schedule'!$C$35="","",IF('Recurring Schedule'!$F$35="","",IF(OR($A154&lt;'Recurring Schedule'!$F$35,$A154&gt;'Recurring Schedule'!$P$35),"",IF(IF('Recurring Schedule'!$N$35&gt;0,MOD($A154-'Recurring Schedule'!$F$35,'Recurring Schedule'!$N$35)=0,IF('Recurring Schedule'!$O$35&gt;0,AND(DAY($A154)=MIN(DAY('Recurring Schedule'!$F$35),DAY(EOMONTH($A154,0))),MOD((YEAR($A154)-YEAR('Recurring Schedule'!$F$35))*12+MONTH($A154)-MONTH('Recurring Schedule'!$F$35),'Recurring Schedule'!$O$35)=0),IF('Recurring Schedule'!$E$35="Weekdays",WEEKDAY($A154,2)&lt;=5,$A154='Recurring Schedule'!$F$35))),30,""))))</f>
        <v/>
      </c>
      <c r="AF154">
        <f>IF('Recurring Schedule'!$C$36="","",IF('Recurring Schedule'!$F$36="","",IF(OR($A154&lt;'Recurring Schedule'!$F$36,$A154&gt;'Recurring Schedule'!$P$36),"",IF(IF('Recurring Schedule'!$N$36&gt;0,MOD($A154-'Recurring Schedule'!$F$36,'Recurring Schedule'!$N$36)=0,IF('Recurring Schedule'!$O$36&gt;0,AND(DAY($A154)=MIN(DAY('Recurring Schedule'!$F$36),DAY(EOMONTH($A154,0))),MOD((YEAR($A154)-YEAR('Recurring Schedule'!$F$36))*12+MONTH($A154)-MONTH('Recurring Schedule'!$F$36),'Recurring Schedule'!$O$36)=0),IF('Recurring Schedule'!$E$36="Weekdays",WEEKDAY($A154,2)&lt;=5,$A154='Recurring Schedule'!$F$36))),31,""))))</f>
        <v/>
      </c>
      <c r="AG154">
        <f>IF('Recurring Schedule'!$C$37="","",IF('Recurring Schedule'!$F$37="","",IF(OR($A154&lt;'Recurring Schedule'!$F$37,$A154&gt;'Recurring Schedule'!$P$37),"",IF(IF('Recurring Schedule'!$N$37&gt;0,MOD($A154-'Recurring Schedule'!$F$37,'Recurring Schedule'!$N$37)=0,IF('Recurring Schedule'!$O$37&gt;0,AND(DAY($A154)=MIN(DAY('Recurring Schedule'!$F$37),DAY(EOMONTH($A154,0))),MOD((YEAR($A154)-YEAR('Recurring Schedule'!$F$37))*12+MONTH($A154)-MONTH('Recurring Schedule'!$F$37),'Recurring Schedule'!$O$37)=0),IF('Recurring Schedule'!$E$37="Weekdays",WEEKDAY($A154,2)&lt;=5,$A154='Recurring Schedule'!$F$37))),32,""))))</f>
        <v/>
      </c>
      <c r="AH154">
        <f>IF('Recurring Schedule'!$C$38="","",IF('Recurring Schedule'!$F$38="","",IF(OR($A154&lt;'Recurring Schedule'!$F$38,$A154&gt;'Recurring Schedule'!$P$38),"",IF(IF('Recurring Schedule'!$N$38&gt;0,MOD($A154-'Recurring Schedule'!$F$38,'Recurring Schedule'!$N$38)=0,IF('Recurring Schedule'!$O$38&gt;0,AND(DAY($A154)=MIN(DAY('Recurring Schedule'!$F$38),DAY(EOMONTH($A154,0))),MOD((YEAR($A154)-YEAR('Recurring Schedule'!$F$38))*12+MONTH($A154)-MONTH('Recurring Schedule'!$F$38),'Recurring Schedule'!$O$38)=0),IF('Recurring Schedule'!$E$38="Weekdays",WEEKDAY($A154,2)&lt;=5,$A154='Recurring Schedule'!$F$38))),33,""))))</f>
        <v/>
      </c>
      <c r="AI154">
        <f>IF('Recurring Schedule'!$C$39="","",IF('Recurring Schedule'!$F$39="","",IF(OR($A154&lt;'Recurring Schedule'!$F$39,$A154&gt;'Recurring Schedule'!$P$39),"",IF(IF('Recurring Schedule'!$N$39&gt;0,MOD($A154-'Recurring Schedule'!$F$39,'Recurring Schedule'!$N$39)=0,IF('Recurring Schedule'!$O$39&gt;0,AND(DAY($A154)=MIN(DAY('Recurring Schedule'!$F$39),DAY(EOMONTH($A154,0))),MOD((YEAR($A154)-YEAR('Recurring Schedule'!$F$39))*12+MONTH($A154)-MONTH('Recurring Schedule'!$F$39),'Recurring Schedule'!$O$39)=0),IF('Recurring Schedule'!$E$39="Weekdays",WEEKDAY($A154,2)&lt;=5,$A154='Recurring Schedule'!$F$39))),34,""))))</f>
        <v/>
      </c>
      <c r="AJ154">
        <f>IF('Recurring Schedule'!$C$40="","",IF('Recurring Schedule'!$F$40="","",IF(OR($A154&lt;'Recurring Schedule'!$F$40,$A154&gt;'Recurring Schedule'!$P$40),"",IF(IF('Recurring Schedule'!$N$40&gt;0,MOD($A154-'Recurring Schedule'!$F$40,'Recurring Schedule'!$N$40)=0,IF('Recurring Schedule'!$O$40&gt;0,AND(DAY($A154)=MIN(DAY('Recurring Schedule'!$F$40),DAY(EOMONTH($A154,0))),MOD((YEAR($A154)-YEAR('Recurring Schedule'!$F$40))*12+MONTH($A154)-MONTH('Recurring Schedule'!$F$40),'Recurring Schedule'!$O$40)=0),IF('Recurring Schedule'!$E$40="Weekdays",WEEKDAY($A154,2)&lt;=5,$A154='Recurring Schedule'!$F$40))),35,""))))</f>
        <v/>
      </c>
      <c r="AK154">
        <f>IF('Recurring Schedule'!$C$41="","",IF('Recurring Schedule'!$F$41="","",IF(OR($A154&lt;'Recurring Schedule'!$F$41,$A154&gt;'Recurring Schedule'!$P$41),"",IF(IF('Recurring Schedule'!$N$41&gt;0,MOD($A154-'Recurring Schedule'!$F$41,'Recurring Schedule'!$N$41)=0,IF('Recurring Schedule'!$O$41&gt;0,AND(DAY($A154)=MIN(DAY('Recurring Schedule'!$F$41),DAY(EOMONTH($A154,0))),MOD((YEAR($A154)-YEAR('Recurring Schedule'!$F$41))*12+MONTH($A154)-MONTH('Recurring Schedule'!$F$41),'Recurring Schedule'!$O$41)=0),IF('Recurring Schedule'!$E$41="Weekdays",WEEKDAY($A154,2)&lt;=5,$A154='Recurring Schedule'!$F$41))),36,""))))</f>
        <v/>
      </c>
      <c r="AL154">
        <f>IF('Recurring Schedule'!$C$42="","",IF('Recurring Schedule'!$F$42="","",IF(OR($A154&lt;'Recurring Schedule'!$F$42,$A154&gt;'Recurring Schedule'!$P$42),"",IF(IF('Recurring Schedule'!$N$42&gt;0,MOD($A154-'Recurring Schedule'!$F$42,'Recurring Schedule'!$N$42)=0,IF('Recurring Schedule'!$O$42&gt;0,AND(DAY($A154)=MIN(DAY('Recurring Schedule'!$F$42),DAY(EOMONTH($A154,0))),MOD((YEAR($A154)-YEAR('Recurring Schedule'!$F$42))*12+MONTH($A154)-MONTH('Recurring Schedule'!$F$42),'Recurring Schedule'!$O$42)=0),IF('Recurring Schedule'!$E$42="Weekdays",WEEKDAY($A154,2)&lt;=5,$A154='Recurring Schedule'!$F$42))),37,""))))</f>
        <v/>
      </c>
      <c r="AM154">
        <f>IF('Recurring Schedule'!$C$43="","",IF('Recurring Schedule'!$F$43="","",IF(OR($A154&lt;'Recurring Schedule'!$F$43,$A154&gt;'Recurring Schedule'!$P$43),"",IF(IF('Recurring Schedule'!$N$43&gt;0,MOD($A154-'Recurring Schedule'!$F$43,'Recurring Schedule'!$N$43)=0,IF('Recurring Schedule'!$O$43&gt;0,AND(DAY($A154)=MIN(DAY('Recurring Schedule'!$F$43),DAY(EOMONTH($A154,0))),MOD((YEAR($A154)-YEAR('Recurring Schedule'!$F$43))*12+MONTH($A154)-MONTH('Recurring Schedule'!$F$43),'Recurring Schedule'!$O$43)=0),IF('Recurring Schedule'!$E$43="Weekdays",WEEKDAY($A154,2)&lt;=5,$A154='Recurring Schedule'!$F$43))),38,""))))</f>
        <v/>
      </c>
      <c r="AN154">
        <f>IF('Recurring Schedule'!$C$44="","",IF('Recurring Schedule'!$F$44="","",IF(OR($A154&lt;'Recurring Schedule'!$F$44,$A154&gt;'Recurring Schedule'!$P$44),"",IF(IF('Recurring Schedule'!$N$44&gt;0,MOD($A154-'Recurring Schedule'!$F$44,'Recurring Schedule'!$N$44)=0,IF('Recurring Schedule'!$O$44&gt;0,AND(DAY($A154)=MIN(DAY('Recurring Schedule'!$F$44),DAY(EOMONTH($A154,0))),MOD((YEAR($A154)-YEAR('Recurring Schedule'!$F$44))*12+MONTH($A154)-MONTH('Recurring Schedule'!$F$44),'Recurring Schedule'!$O$44)=0),IF('Recurring Schedule'!$E$44="Weekdays",WEEKDAY($A154,2)&lt;=5,$A154='Recurring Schedule'!$F$44))),39,""))))</f>
        <v/>
      </c>
      <c r="AO154">
        <f>IF('Recurring Schedule'!$C$45="","",IF('Recurring Schedule'!$F$45="","",IF(OR($A154&lt;'Recurring Schedule'!$F$45,$A154&gt;'Recurring Schedule'!$P$45),"",IF(IF('Recurring Schedule'!$N$45&gt;0,MOD($A154-'Recurring Schedule'!$F$45,'Recurring Schedule'!$N$45)=0,IF('Recurring Schedule'!$O$45&gt;0,AND(DAY($A154)=MIN(DAY('Recurring Schedule'!$F$45),DAY(EOMONTH($A154,0))),MOD((YEAR($A154)-YEAR('Recurring Schedule'!$F$45))*12+MONTH($A154)-MONTH('Recurring Schedule'!$F$45),'Recurring Schedule'!$O$45)=0),IF('Recurring Schedule'!$E$45="Weekdays",WEEKDAY($A154,2)&lt;=5,$A154='Recurring Schedule'!$F$45))),40,""))))</f>
        <v/>
      </c>
      <c r="AP154">
        <f>COUNT(B154:AO154)</f>
        <v/>
      </c>
      <c r="AQ154">
        <f>AQ153+AP153</f>
        <v/>
      </c>
      <c r="AS154" t="inlineStr">
        <is>
          <t>R</t>
        </is>
      </c>
      <c r="AT154" t="n">
        <v>158</v>
      </c>
      <c r="AU154">
        <f>'Recurring Log'!C158&amp;""</f>
        <v/>
      </c>
      <c r="AV154">
        <f>'Recurring Log'!D158&amp;""</f>
        <v/>
      </c>
      <c r="AW154">
        <f>IF('Recurring Log'!E158="","",'Recurring Log'!E158)</f>
        <v/>
      </c>
      <c r="AX154">
        <f>IF('Recurring Log'!G158="","",'Recurring Log'!G158)</f>
        <v/>
      </c>
      <c r="AY154">
        <f>IF('Recurring Log'!H158="","",'Recurring Log'!H158)</f>
        <v/>
      </c>
      <c r="AZ154">
        <f>IF(AU154="","",IF('Recurring Log'!J158="","Not Started",'Recurring Log'!J158))</f>
        <v/>
      </c>
      <c r="BA154">
        <f>'Recurring Log'!L158&amp;""</f>
        <v/>
      </c>
      <c r="BB154">
        <f>'Recurring Log'!M158&amp;""</f>
        <v/>
      </c>
      <c r="BC154">
        <f>'Recurring Log'!N158&amp;""</f>
        <v/>
      </c>
      <c r="BD154">
        <f>'Recurring Log'!O158&amp;""</f>
        <v/>
      </c>
      <c r="BE154">
        <f>IF('Recurring Log'!K158="","",'Recurring Log'!K158)</f>
        <v/>
      </c>
      <c r="BF154">
        <f>IFERROR(MATCH(BA154,Setup!$L$6:$L$9,0),5)</f>
        <v/>
      </c>
      <c r="BG154">
        <f>IF(OR(AZ154="Done",AZ154="Cancelled"),1,0)</f>
        <v/>
      </c>
      <c r="BH154">
        <f>IF(AND(AU154&lt;&gt;"",ISNUMBER(AW154)),1,0)</f>
        <v/>
      </c>
      <c r="BI154">
        <f>IF(BH154=0,0,IF(AND(AW154&gt;='Tasks Filter'!$F$3,AW154&lt;='Tasks Filter'!$F$4,OR('Tasks Filter'!$I$3="",ISNUMBER(SEARCH('Tasks Filter'!$I$3,AU154))),OR('Tasks Filter'!$I$4="",BF154=IFERROR(MATCH('Tasks Filter'!$I$4,Setup!$L$6:$L$9,0),0)),OR('Tasks Filter'!$I$5="Both",AND('Tasks Filter'!$I$5="Yes",BB154="✓"),AND('Tasks Filter'!$I$5="No",BB154&lt;&gt;"✓")),OR('Tasks Filter'!$L$3="",AV154='Tasks Filter'!$L$3),OR('Tasks Filter'!$L$4="",AZ154='Tasks Filter'!$L$4),OR('Tasks Filter'!$L$5="",BC154='Tasks Filter'!$L$5),OR('Tasks Filter'!$O$3="",BD154='Tasks Filter'!$O$3),OR('Tasks Filter'!$O$4="Yes",BG154=0)),1,0))</f>
        <v/>
      </c>
      <c r="BJ154">
        <f>IF(BH154=0,"",IF('Tasks Filter'!$F$6="Descending",-1,1)*CHOOSE(MATCH('Tasks Filter'!$F$5,Lists!$G$2:$G$6,0),AW154,BF154,IFERROR(MATCH(AV154,Setup!$F$6:$F$15,0),99),IFERROR(MATCH(BC154,Setup!$H$6:$H$15,0),99),IFERROR(MATCH(AZ154,Setup!$J$6:$J$11,0),99))*1E+9+(AW154-40000)*10000+153)</f>
        <v/>
      </c>
      <c r="BK154">
        <f>IF(BI154=1,BJ154,"")</f>
        <v/>
      </c>
      <c r="BL154">
        <f>IF(AND(BH154=1,BG154=0,N(AW154)&lt;Setup!$D$7),(AW154-40000)*10000+153,"")</f>
        <v/>
      </c>
      <c r="BM154">
        <f>IF(AND(BH154=1,AZ154&lt;&gt;"Cancelled",N(AW154)&gt;=Dashboard!$AB$3,N(AW154)&lt;=Dashboard!$AB$3+6),(AW154-40000)*100000+BF154*10000+153,"")</f>
        <v/>
      </c>
      <c r="BN154">
        <f>IF(AND(BH154=1,AZ154&lt;&gt;"Cancelled"),BF154*10000+153,"")</f>
        <v/>
      </c>
    </row>
    <row r="155">
      <c r="A155">
        <f>Setup!$D$5+153</f>
        <v/>
      </c>
      <c r="B155">
        <f>IF('Recurring Schedule'!$C$6="","",IF('Recurring Schedule'!$F$6="","",IF(OR($A155&lt;'Recurring Schedule'!$F$6,$A155&gt;'Recurring Schedule'!$P$6),"",IF(IF('Recurring Schedule'!$N$6&gt;0,MOD($A155-'Recurring Schedule'!$F$6,'Recurring Schedule'!$N$6)=0,IF('Recurring Schedule'!$O$6&gt;0,AND(DAY($A155)=MIN(DAY('Recurring Schedule'!$F$6),DAY(EOMONTH($A155,0))),MOD((YEAR($A155)-YEAR('Recurring Schedule'!$F$6))*12+MONTH($A155)-MONTH('Recurring Schedule'!$F$6),'Recurring Schedule'!$O$6)=0),IF('Recurring Schedule'!$E$6="Weekdays",WEEKDAY($A155,2)&lt;=5,$A155='Recurring Schedule'!$F$6))),1,""))))</f>
        <v/>
      </c>
      <c r="C155">
        <f>IF('Recurring Schedule'!$C$7="","",IF('Recurring Schedule'!$F$7="","",IF(OR($A155&lt;'Recurring Schedule'!$F$7,$A155&gt;'Recurring Schedule'!$P$7),"",IF(IF('Recurring Schedule'!$N$7&gt;0,MOD($A155-'Recurring Schedule'!$F$7,'Recurring Schedule'!$N$7)=0,IF('Recurring Schedule'!$O$7&gt;0,AND(DAY($A155)=MIN(DAY('Recurring Schedule'!$F$7),DAY(EOMONTH($A155,0))),MOD((YEAR($A155)-YEAR('Recurring Schedule'!$F$7))*12+MONTH($A155)-MONTH('Recurring Schedule'!$F$7),'Recurring Schedule'!$O$7)=0),IF('Recurring Schedule'!$E$7="Weekdays",WEEKDAY($A155,2)&lt;=5,$A155='Recurring Schedule'!$F$7))),2,""))))</f>
        <v/>
      </c>
      <c r="D155">
        <f>IF('Recurring Schedule'!$C$8="","",IF('Recurring Schedule'!$F$8="","",IF(OR($A155&lt;'Recurring Schedule'!$F$8,$A155&gt;'Recurring Schedule'!$P$8),"",IF(IF('Recurring Schedule'!$N$8&gt;0,MOD($A155-'Recurring Schedule'!$F$8,'Recurring Schedule'!$N$8)=0,IF('Recurring Schedule'!$O$8&gt;0,AND(DAY($A155)=MIN(DAY('Recurring Schedule'!$F$8),DAY(EOMONTH($A155,0))),MOD((YEAR($A155)-YEAR('Recurring Schedule'!$F$8))*12+MONTH($A155)-MONTH('Recurring Schedule'!$F$8),'Recurring Schedule'!$O$8)=0),IF('Recurring Schedule'!$E$8="Weekdays",WEEKDAY($A155,2)&lt;=5,$A155='Recurring Schedule'!$F$8))),3,""))))</f>
        <v/>
      </c>
      <c r="E155">
        <f>IF('Recurring Schedule'!$C$9="","",IF('Recurring Schedule'!$F$9="","",IF(OR($A155&lt;'Recurring Schedule'!$F$9,$A155&gt;'Recurring Schedule'!$P$9),"",IF(IF('Recurring Schedule'!$N$9&gt;0,MOD($A155-'Recurring Schedule'!$F$9,'Recurring Schedule'!$N$9)=0,IF('Recurring Schedule'!$O$9&gt;0,AND(DAY($A155)=MIN(DAY('Recurring Schedule'!$F$9),DAY(EOMONTH($A155,0))),MOD((YEAR($A155)-YEAR('Recurring Schedule'!$F$9))*12+MONTH($A155)-MONTH('Recurring Schedule'!$F$9),'Recurring Schedule'!$O$9)=0),IF('Recurring Schedule'!$E$9="Weekdays",WEEKDAY($A155,2)&lt;=5,$A155='Recurring Schedule'!$F$9))),4,""))))</f>
        <v/>
      </c>
      <c r="F155">
        <f>IF('Recurring Schedule'!$C$10="","",IF('Recurring Schedule'!$F$10="","",IF(OR($A155&lt;'Recurring Schedule'!$F$10,$A155&gt;'Recurring Schedule'!$P$10),"",IF(IF('Recurring Schedule'!$N$10&gt;0,MOD($A155-'Recurring Schedule'!$F$10,'Recurring Schedule'!$N$10)=0,IF('Recurring Schedule'!$O$10&gt;0,AND(DAY($A155)=MIN(DAY('Recurring Schedule'!$F$10),DAY(EOMONTH($A155,0))),MOD((YEAR($A155)-YEAR('Recurring Schedule'!$F$10))*12+MONTH($A155)-MONTH('Recurring Schedule'!$F$10),'Recurring Schedule'!$O$10)=0),IF('Recurring Schedule'!$E$10="Weekdays",WEEKDAY($A155,2)&lt;=5,$A155='Recurring Schedule'!$F$10))),5,""))))</f>
        <v/>
      </c>
      <c r="G155">
        <f>IF('Recurring Schedule'!$C$11="","",IF('Recurring Schedule'!$F$11="","",IF(OR($A155&lt;'Recurring Schedule'!$F$11,$A155&gt;'Recurring Schedule'!$P$11),"",IF(IF('Recurring Schedule'!$N$11&gt;0,MOD($A155-'Recurring Schedule'!$F$11,'Recurring Schedule'!$N$11)=0,IF('Recurring Schedule'!$O$11&gt;0,AND(DAY($A155)=MIN(DAY('Recurring Schedule'!$F$11),DAY(EOMONTH($A155,0))),MOD((YEAR($A155)-YEAR('Recurring Schedule'!$F$11))*12+MONTH($A155)-MONTH('Recurring Schedule'!$F$11),'Recurring Schedule'!$O$11)=0),IF('Recurring Schedule'!$E$11="Weekdays",WEEKDAY($A155,2)&lt;=5,$A155='Recurring Schedule'!$F$11))),6,""))))</f>
        <v/>
      </c>
      <c r="H155">
        <f>IF('Recurring Schedule'!$C$12="","",IF('Recurring Schedule'!$F$12="","",IF(OR($A155&lt;'Recurring Schedule'!$F$12,$A155&gt;'Recurring Schedule'!$P$12),"",IF(IF('Recurring Schedule'!$N$12&gt;0,MOD($A155-'Recurring Schedule'!$F$12,'Recurring Schedule'!$N$12)=0,IF('Recurring Schedule'!$O$12&gt;0,AND(DAY($A155)=MIN(DAY('Recurring Schedule'!$F$12),DAY(EOMONTH($A155,0))),MOD((YEAR($A155)-YEAR('Recurring Schedule'!$F$12))*12+MONTH($A155)-MONTH('Recurring Schedule'!$F$12),'Recurring Schedule'!$O$12)=0),IF('Recurring Schedule'!$E$12="Weekdays",WEEKDAY($A155,2)&lt;=5,$A155='Recurring Schedule'!$F$12))),7,""))))</f>
        <v/>
      </c>
      <c r="I155">
        <f>IF('Recurring Schedule'!$C$13="","",IF('Recurring Schedule'!$F$13="","",IF(OR($A155&lt;'Recurring Schedule'!$F$13,$A155&gt;'Recurring Schedule'!$P$13),"",IF(IF('Recurring Schedule'!$N$13&gt;0,MOD($A155-'Recurring Schedule'!$F$13,'Recurring Schedule'!$N$13)=0,IF('Recurring Schedule'!$O$13&gt;0,AND(DAY($A155)=MIN(DAY('Recurring Schedule'!$F$13),DAY(EOMONTH($A155,0))),MOD((YEAR($A155)-YEAR('Recurring Schedule'!$F$13))*12+MONTH($A155)-MONTH('Recurring Schedule'!$F$13),'Recurring Schedule'!$O$13)=0),IF('Recurring Schedule'!$E$13="Weekdays",WEEKDAY($A155,2)&lt;=5,$A155='Recurring Schedule'!$F$13))),8,""))))</f>
        <v/>
      </c>
      <c r="J155">
        <f>IF('Recurring Schedule'!$C$14="","",IF('Recurring Schedule'!$F$14="","",IF(OR($A155&lt;'Recurring Schedule'!$F$14,$A155&gt;'Recurring Schedule'!$P$14),"",IF(IF('Recurring Schedule'!$N$14&gt;0,MOD($A155-'Recurring Schedule'!$F$14,'Recurring Schedule'!$N$14)=0,IF('Recurring Schedule'!$O$14&gt;0,AND(DAY($A155)=MIN(DAY('Recurring Schedule'!$F$14),DAY(EOMONTH($A155,0))),MOD((YEAR($A155)-YEAR('Recurring Schedule'!$F$14))*12+MONTH($A155)-MONTH('Recurring Schedule'!$F$14),'Recurring Schedule'!$O$14)=0),IF('Recurring Schedule'!$E$14="Weekdays",WEEKDAY($A155,2)&lt;=5,$A155='Recurring Schedule'!$F$14))),9,""))))</f>
        <v/>
      </c>
      <c r="K155">
        <f>IF('Recurring Schedule'!$C$15="","",IF('Recurring Schedule'!$F$15="","",IF(OR($A155&lt;'Recurring Schedule'!$F$15,$A155&gt;'Recurring Schedule'!$P$15),"",IF(IF('Recurring Schedule'!$N$15&gt;0,MOD($A155-'Recurring Schedule'!$F$15,'Recurring Schedule'!$N$15)=0,IF('Recurring Schedule'!$O$15&gt;0,AND(DAY($A155)=MIN(DAY('Recurring Schedule'!$F$15),DAY(EOMONTH($A155,0))),MOD((YEAR($A155)-YEAR('Recurring Schedule'!$F$15))*12+MONTH($A155)-MONTH('Recurring Schedule'!$F$15),'Recurring Schedule'!$O$15)=0),IF('Recurring Schedule'!$E$15="Weekdays",WEEKDAY($A155,2)&lt;=5,$A155='Recurring Schedule'!$F$15))),10,""))))</f>
        <v/>
      </c>
      <c r="L155">
        <f>IF('Recurring Schedule'!$C$16="","",IF('Recurring Schedule'!$F$16="","",IF(OR($A155&lt;'Recurring Schedule'!$F$16,$A155&gt;'Recurring Schedule'!$P$16),"",IF(IF('Recurring Schedule'!$N$16&gt;0,MOD($A155-'Recurring Schedule'!$F$16,'Recurring Schedule'!$N$16)=0,IF('Recurring Schedule'!$O$16&gt;0,AND(DAY($A155)=MIN(DAY('Recurring Schedule'!$F$16),DAY(EOMONTH($A155,0))),MOD((YEAR($A155)-YEAR('Recurring Schedule'!$F$16))*12+MONTH($A155)-MONTH('Recurring Schedule'!$F$16),'Recurring Schedule'!$O$16)=0),IF('Recurring Schedule'!$E$16="Weekdays",WEEKDAY($A155,2)&lt;=5,$A155='Recurring Schedule'!$F$16))),11,""))))</f>
        <v/>
      </c>
      <c r="M155">
        <f>IF('Recurring Schedule'!$C$17="","",IF('Recurring Schedule'!$F$17="","",IF(OR($A155&lt;'Recurring Schedule'!$F$17,$A155&gt;'Recurring Schedule'!$P$17),"",IF(IF('Recurring Schedule'!$N$17&gt;0,MOD($A155-'Recurring Schedule'!$F$17,'Recurring Schedule'!$N$17)=0,IF('Recurring Schedule'!$O$17&gt;0,AND(DAY($A155)=MIN(DAY('Recurring Schedule'!$F$17),DAY(EOMONTH($A155,0))),MOD((YEAR($A155)-YEAR('Recurring Schedule'!$F$17))*12+MONTH($A155)-MONTH('Recurring Schedule'!$F$17),'Recurring Schedule'!$O$17)=0),IF('Recurring Schedule'!$E$17="Weekdays",WEEKDAY($A155,2)&lt;=5,$A155='Recurring Schedule'!$F$17))),12,""))))</f>
        <v/>
      </c>
      <c r="N155">
        <f>IF('Recurring Schedule'!$C$18="","",IF('Recurring Schedule'!$F$18="","",IF(OR($A155&lt;'Recurring Schedule'!$F$18,$A155&gt;'Recurring Schedule'!$P$18),"",IF(IF('Recurring Schedule'!$N$18&gt;0,MOD($A155-'Recurring Schedule'!$F$18,'Recurring Schedule'!$N$18)=0,IF('Recurring Schedule'!$O$18&gt;0,AND(DAY($A155)=MIN(DAY('Recurring Schedule'!$F$18),DAY(EOMONTH($A155,0))),MOD((YEAR($A155)-YEAR('Recurring Schedule'!$F$18))*12+MONTH($A155)-MONTH('Recurring Schedule'!$F$18),'Recurring Schedule'!$O$18)=0),IF('Recurring Schedule'!$E$18="Weekdays",WEEKDAY($A155,2)&lt;=5,$A155='Recurring Schedule'!$F$18))),13,""))))</f>
        <v/>
      </c>
      <c r="O155">
        <f>IF('Recurring Schedule'!$C$19="","",IF('Recurring Schedule'!$F$19="","",IF(OR($A155&lt;'Recurring Schedule'!$F$19,$A155&gt;'Recurring Schedule'!$P$19),"",IF(IF('Recurring Schedule'!$N$19&gt;0,MOD($A155-'Recurring Schedule'!$F$19,'Recurring Schedule'!$N$19)=0,IF('Recurring Schedule'!$O$19&gt;0,AND(DAY($A155)=MIN(DAY('Recurring Schedule'!$F$19),DAY(EOMONTH($A155,0))),MOD((YEAR($A155)-YEAR('Recurring Schedule'!$F$19))*12+MONTH($A155)-MONTH('Recurring Schedule'!$F$19),'Recurring Schedule'!$O$19)=0),IF('Recurring Schedule'!$E$19="Weekdays",WEEKDAY($A155,2)&lt;=5,$A155='Recurring Schedule'!$F$19))),14,""))))</f>
        <v/>
      </c>
      <c r="P155">
        <f>IF('Recurring Schedule'!$C$20="","",IF('Recurring Schedule'!$F$20="","",IF(OR($A155&lt;'Recurring Schedule'!$F$20,$A155&gt;'Recurring Schedule'!$P$20),"",IF(IF('Recurring Schedule'!$N$20&gt;0,MOD($A155-'Recurring Schedule'!$F$20,'Recurring Schedule'!$N$20)=0,IF('Recurring Schedule'!$O$20&gt;0,AND(DAY($A155)=MIN(DAY('Recurring Schedule'!$F$20),DAY(EOMONTH($A155,0))),MOD((YEAR($A155)-YEAR('Recurring Schedule'!$F$20))*12+MONTH($A155)-MONTH('Recurring Schedule'!$F$20),'Recurring Schedule'!$O$20)=0),IF('Recurring Schedule'!$E$20="Weekdays",WEEKDAY($A155,2)&lt;=5,$A155='Recurring Schedule'!$F$20))),15,""))))</f>
        <v/>
      </c>
      <c r="Q155">
        <f>IF('Recurring Schedule'!$C$21="","",IF('Recurring Schedule'!$F$21="","",IF(OR($A155&lt;'Recurring Schedule'!$F$21,$A155&gt;'Recurring Schedule'!$P$21),"",IF(IF('Recurring Schedule'!$N$21&gt;0,MOD($A155-'Recurring Schedule'!$F$21,'Recurring Schedule'!$N$21)=0,IF('Recurring Schedule'!$O$21&gt;0,AND(DAY($A155)=MIN(DAY('Recurring Schedule'!$F$21),DAY(EOMONTH($A155,0))),MOD((YEAR($A155)-YEAR('Recurring Schedule'!$F$21))*12+MONTH($A155)-MONTH('Recurring Schedule'!$F$21),'Recurring Schedule'!$O$21)=0),IF('Recurring Schedule'!$E$21="Weekdays",WEEKDAY($A155,2)&lt;=5,$A155='Recurring Schedule'!$F$21))),16,""))))</f>
        <v/>
      </c>
      <c r="R155">
        <f>IF('Recurring Schedule'!$C$22="","",IF('Recurring Schedule'!$F$22="","",IF(OR($A155&lt;'Recurring Schedule'!$F$22,$A155&gt;'Recurring Schedule'!$P$22),"",IF(IF('Recurring Schedule'!$N$22&gt;0,MOD($A155-'Recurring Schedule'!$F$22,'Recurring Schedule'!$N$22)=0,IF('Recurring Schedule'!$O$22&gt;0,AND(DAY($A155)=MIN(DAY('Recurring Schedule'!$F$22),DAY(EOMONTH($A155,0))),MOD((YEAR($A155)-YEAR('Recurring Schedule'!$F$22))*12+MONTH($A155)-MONTH('Recurring Schedule'!$F$22),'Recurring Schedule'!$O$22)=0),IF('Recurring Schedule'!$E$22="Weekdays",WEEKDAY($A155,2)&lt;=5,$A155='Recurring Schedule'!$F$22))),17,""))))</f>
        <v/>
      </c>
      <c r="S155">
        <f>IF('Recurring Schedule'!$C$23="","",IF('Recurring Schedule'!$F$23="","",IF(OR($A155&lt;'Recurring Schedule'!$F$23,$A155&gt;'Recurring Schedule'!$P$23),"",IF(IF('Recurring Schedule'!$N$23&gt;0,MOD($A155-'Recurring Schedule'!$F$23,'Recurring Schedule'!$N$23)=0,IF('Recurring Schedule'!$O$23&gt;0,AND(DAY($A155)=MIN(DAY('Recurring Schedule'!$F$23),DAY(EOMONTH($A155,0))),MOD((YEAR($A155)-YEAR('Recurring Schedule'!$F$23))*12+MONTH($A155)-MONTH('Recurring Schedule'!$F$23),'Recurring Schedule'!$O$23)=0),IF('Recurring Schedule'!$E$23="Weekdays",WEEKDAY($A155,2)&lt;=5,$A155='Recurring Schedule'!$F$23))),18,""))))</f>
        <v/>
      </c>
      <c r="T155">
        <f>IF('Recurring Schedule'!$C$24="","",IF('Recurring Schedule'!$F$24="","",IF(OR($A155&lt;'Recurring Schedule'!$F$24,$A155&gt;'Recurring Schedule'!$P$24),"",IF(IF('Recurring Schedule'!$N$24&gt;0,MOD($A155-'Recurring Schedule'!$F$24,'Recurring Schedule'!$N$24)=0,IF('Recurring Schedule'!$O$24&gt;0,AND(DAY($A155)=MIN(DAY('Recurring Schedule'!$F$24),DAY(EOMONTH($A155,0))),MOD((YEAR($A155)-YEAR('Recurring Schedule'!$F$24))*12+MONTH($A155)-MONTH('Recurring Schedule'!$F$24),'Recurring Schedule'!$O$24)=0),IF('Recurring Schedule'!$E$24="Weekdays",WEEKDAY($A155,2)&lt;=5,$A155='Recurring Schedule'!$F$24))),19,""))))</f>
        <v/>
      </c>
      <c r="U155">
        <f>IF('Recurring Schedule'!$C$25="","",IF('Recurring Schedule'!$F$25="","",IF(OR($A155&lt;'Recurring Schedule'!$F$25,$A155&gt;'Recurring Schedule'!$P$25),"",IF(IF('Recurring Schedule'!$N$25&gt;0,MOD($A155-'Recurring Schedule'!$F$25,'Recurring Schedule'!$N$25)=0,IF('Recurring Schedule'!$O$25&gt;0,AND(DAY($A155)=MIN(DAY('Recurring Schedule'!$F$25),DAY(EOMONTH($A155,0))),MOD((YEAR($A155)-YEAR('Recurring Schedule'!$F$25))*12+MONTH($A155)-MONTH('Recurring Schedule'!$F$25),'Recurring Schedule'!$O$25)=0),IF('Recurring Schedule'!$E$25="Weekdays",WEEKDAY($A155,2)&lt;=5,$A155='Recurring Schedule'!$F$25))),20,""))))</f>
        <v/>
      </c>
      <c r="V155">
        <f>IF('Recurring Schedule'!$C$26="","",IF('Recurring Schedule'!$F$26="","",IF(OR($A155&lt;'Recurring Schedule'!$F$26,$A155&gt;'Recurring Schedule'!$P$26),"",IF(IF('Recurring Schedule'!$N$26&gt;0,MOD($A155-'Recurring Schedule'!$F$26,'Recurring Schedule'!$N$26)=0,IF('Recurring Schedule'!$O$26&gt;0,AND(DAY($A155)=MIN(DAY('Recurring Schedule'!$F$26),DAY(EOMONTH($A155,0))),MOD((YEAR($A155)-YEAR('Recurring Schedule'!$F$26))*12+MONTH($A155)-MONTH('Recurring Schedule'!$F$26),'Recurring Schedule'!$O$26)=0),IF('Recurring Schedule'!$E$26="Weekdays",WEEKDAY($A155,2)&lt;=5,$A155='Recurring Schedule'!$F$26))),21,""))))</f>
        <v/>
      </c>
      <c r="W155">
        <f>IF('Recurring Schedule'!$C$27="","",IF('Recurring Schedule'!$F$27="","",IF(OR($A155&lt;'Recurring Schedule'!$F$27,$A155&gt;'Recurring Schedule'!$P$27),"",IF(IF('Recurring Schedule'!$N$27&gt;0,MOD($A155-'Recurring Schedule'!$F$27,'Recurring Schedule'!$N$27)=0,IF('Recurring Schedule'!$O$27&gt;0,AND(DAY($A155)=MIN(DAY('Recurring Schedule'!$F$27),DAY(EOMONTH($A155,0))),MOD((YEAR($A155)-YEAR('Recurring Schedule'!$F$27))*12+MONTH($A155)-MONTH('Recurring Schedule'!$F$27),'Recurring Schedule'!$O$27)=0),IF('Recurring Schedule'!$E$27="Weekdays",WEEKDAY($A155,2)&lt;=5,$A155='Recurring Schedule'!$F$27))),22,""))))</f>
        <v/>
      </c>
      <c r="X155">
        <f>IF('Recurring Schedule'!$C$28="","",IF('Recurring Schedule'!$F$28="","",IF(OR($A155&lt;'Recurring Schedule'!$F$28,$A155&gt;'Recurring Schedule'!$P$28),"",IF(IF('Recurring Schedule'!$N$28&gt;0,MOD($A155-'Recurring Schedule'!$F$28,'Recurring Schedule'!$N$28)=0,IF('Recurring Schedule'!$O$28&gt;0,AND(DAY($A155)=MIN(DAY('Recurring Schedule'!$F$28),DAY(EOMONTH($A155,0))),MOD((YEAR($A155)-YEAR('Recurring Schedule'!$F$28))*12+MONTH($A155)-MONTH('Recurring Schedule'!$F$28),'Recurring Schedule'!$O$28)=0),IF('Recurring Schedule'!$E$28="Weekdays",WEEKDAY($A155,2)&lt;=5,$A155='Recurring Schedule'!$F$28))),23,""))))</f>
        <v/>
      </c>
      <c r="Y155">
        <f>IF('Recurring Schedule'!$C$29="","",IF('Recurring Schedule'!$F$29="","",IF(OR($A155&lt;'Recurring Schedule'!$F$29,$A155&gt;'Recurring Schedule'!$P$29),"",IF(IF('Recurring Schedule'!$N$29&gt;0,MOD($A155-'Recurring Schedule'!$F$29,'Recurring Schedule'!$N$29)=0,IF('Recurring Schedule'!$O$29&gt;0,AND(DAY($A155)=MIN(DAY('Recurring Schedule'!$F$29),DAY(EOMONTH($A155,0))),MOD((YEAR($A155)-YEAR('Recurring Schedule'!$F$29))*12+MONTH($A155)-MONTH('Recurring Schedule'!$F$29),'Recurring Schedule'!$O$29)=0),IF('Recurring Schedule'!$E$29="Weekdays",WEEKDAY($A155,2)&lt;=5,$A155='Recurring Schedule'!$F$29))),24,""))))</f>
        <v/>
      </c>
      <c r="Z155">
        <f>IF('Recurring Schedule'!$C$30="","",IF('Recurring Schedule'!$F$30="","",IF(OR($A155&lt;'Recurring Schedule'!$F$30,$A155&gt;'Recurring Schedule'!$P$30),"",IF(IF('Recurring Schedule'!$N$30&gt;0,MOD($A155-'Recurring Schedule'!$F$30,'Recurring Schedule'!$N$30)=0,IF('Recurring Schedule'!$O$30&gt;0,AND(DAY($A155)=MIN(DAY('Recurring Schedule'!$F$30),DAY(EOMONTH($A155,0))),MOD((YEAR($A155)-YEAR('Recurring Schedule'!$F$30))*12+MONTH($A155)-MONTH('Recurring Schedule'!$F$30),'Recurring Schedule'!$O$30)=0),IF('Recurring Schedule'!$E$30="Weekdays",WEEKDAY($A155,2)&lt;=5,$A155='Recurring Schedule'!$F$30))),25,""))))</f>
        <v/>
      </c>
      <c r="AA155">
        <f>IF('Recurring Schedule'!$C$31="","",IF('Recurring Schedule'!$F$31="","",IF(OR($A155&lt;'Recurring Schedule'!$F$31,$A155&gt;'Recurring Schedule'!$P$31),"",IF(IF('Recurring Schedule'!$N$31&gt;0,MOD($A155-'Recurring Schedule'!$F$31,'Recurring Schedule'!$N$31)=0,IF('Recurring Schedule'!$O$31&gt;0,AND(DAY($A155)=MIN(DAY('Recurring Schedule'!$F$31),DAY(EOMONTH($A155,0))),MOD((YEAR($A155)-YEAR('Recurring Schedule'!$F$31))*12+MONTH($A155)-MONTH('Recurring Schedule'!$F$31),'Recurring Schedule'!$O$31)=0),IF('Recurring Schedule'!$E$31="Weekdays",WEEKDAY($A155,2)&lt;=5,$A155='Recurring Schedule'!$F$31))),26,""))))</f>
        <v/>
      </c>
      <c r="AB155">
        <f>IF('Recurring Schedule'!$C$32="","",IF('Recurring Schedule'!$F$32="","",IF(OR($A155&lt;'Recurring Schedule'!$F$32,$A155&gt;'Recurring Schedule'!$P$32),"",IF(IF('Recurring Schedule'!$N$32&gt;0,MOD($A155-'Recurring Schedule'!$F$32,'Recurring Schedule'!$N$32)=0,IF('Recurring Schedule'!$O$32&gt;0,AND(DAY($A155)=MIN(DAY('Recurring Schedule'!$F$32),DAY(EOMONTH($A155,0))),MOD((YEAR($A155)-YEAR('Recurring Schedule'!$F$32))*12+MONTH($A155)-MONTH('Recurring Schedule'!$F$32),'Recurring Schedule'!$O$32)=0),IF('Recurring Schedule'!$E$32="Weekdays",WEEKDAY($A155,2)&lt;=5,$A155='Recurring Schedule'!$F$32))),27,""))))</f>
        <v/>
      </c>
      <c r="AC155">
        <f>IF('Recurring Schedule'!$C$33="","",IF('Recurring Schedule'!$F$33="","",IF(OR($A155&lt;'Recurring Schedule'!$F$33,$A155&gt;'Recurring Schedule'!$P$33),"",IF(IF('Recurring Schedule'!$N$33&gt;0,MOD($A155-'Recurring Schedule'!$F$33,'Recurring Schedule'!$N$33)=0,IF('Recurring Schedule'!$O$33&gt;0,AND(DAY($A155)=MIN(DAY('Recurring Schedule'!$F$33),DAY(EOMONTH($A155,0))),MOD((YEAR($A155)-YEAR('Recurring Schedule'!$F$33))*12+MONTH($A155)-MONTH('Recurring Schedule'!$F$33),'Recurring Schedule'!$O$33)=0),IF('Recurring Schedule'!$E$33="Weekdays",WEEKDAY($A155,2)&lt;=5,$A155='Recurring Schedule'!$F$33))),28,""))))</f>
        <v/>
      </c>
      <c r="AD155">
        <f>IF('Recurring Schedule'!$C$34="","",IF('Recurring Schedule'!$F$34="","",IF(OR($A155&lt;'Recurring Schedule'!$F$34,$A155&gt;'Recurring Schedule'!$P$34),"",IF(IF('Recurring Schedule'!$N$34&gt;0,MOD($A155-'Recurring Schedule'!$F$34,'Recurring Schedule'!$N$34)=0,IF('Recurring Schedule'!$O$34&gt;0,AND(DAY($A155)=MIN(DAY('Recurring Schedule'!$F$34),DAY(EOMONTH($A155,0))),MOD((YEAR($A155)-YEAR('Recurring Schedule'!$F$34))*12+MONTH($A155)-MONTH('Recurring Schedule'!$F$34),'Recurring Schedule'!$O$34)=0),IF('Recurring Schedule'!$E$34="Weekdays",WEEKDAY($A155,2)&lt;=5,$A155='Recurring Schedule'!$F$34))),29,""))))</f>
        <v/>
      </c>
      <c r="AE155">
        <f>IF('Recurring Schedule'!$C$35="","",IF('Recurring Schedule'!$F$35="","",IF(OR($A155&lt;'Recurring Schedule'!$F$35,$A155&gt;'Recurring Schedule'!$P$35),"",IF(IF('Recurring Schedule'!$N$35&gt;0,MOD($A155-'Recurring Schedule'!$F$35,'Recurring Schedule'!$N$35)=0,IF('Recurring Schedule'!$O$35&gt;0,AND(DAY($A155)=MIN(DAY('Recurring Schedule'!$F$35),DAY(EOMONTH($A155,0))),MOD((YEAR($A155)-YEAR('Recurring Schedule'!$F$35))*12+MONTH($A155)-MONTH('Recurring Schedule'!$F$35),'Recurring Schedule'!$O$35)=0),IF('Recurring Schedule'!$E$35="Weekdays",WEEKDAY($A155,2)&lt;=5,$A155='Recurring Schedule'!$F$35))),30,""))))</f>
        <v/>
      </c>
      <c r="AF155">
        <f>IF('Recurring Schedule'!$C$36="","",IF('Recurring Schedule'!$F$36="","",IF(OR($A155&lt;'Recurring Schedule'!$F$36,$A155&gt;'Recurring Schedule'!$P$36),"",IF(IF('Recurring Schedule'!$N$36&gt;0,MOD($A155-'Recurring Schedule'!$F$36,'Recurring Schedule'!$N$36)=0,IF('Recurring Schedule'!$O$36&gt;0,AND(DAY($A155)=MIN(DAY('Recurring Schedule'!$F$36),DAY(EOMONTH($A155,0))),MOD((YEAR($A155)-YEAR('Recurring Schedule'!$F$36))*12+MONTH($A155)-MONTH('Recurring Schedule'!$F$36),'Recurring Schedule'!$O$36)=0),IF('Recurring Schedule'!$E$36="Weekdays",WEEKDAY($A155,2)&lt;=5,$A155='Recurring Schedule'!$F$36))),31,""))))</f>
        <v/>
      </c>
      <c r="AG155">
        <f>IF('Recurring Schedule'!$C$37="","",IF('Recurring Schedule'!$F$37="","",IF(OR($A155&lt;'Recurring Schedule'!$F$37,$A155&gt;'Recurring Schedule'!$P$37),"",IF(IF('Recurring Schedule'!$N$37&gt;0,MOD($A155-'Recurring Schedule'!$F$37,'Recurring Schedule'!$N$37)=0,IF('Recurring Schedule'!$O$37&gt;0,AND(DAY($A155)=MIN(DAY('Recurring Schedule'!$F$37),DAY(EOMONTH($A155,0))),MOD((YEAR($A155)-YEAR('Recurring Schedule'!$F$37))*12+MONTH($A155)-MONTH('Recurring Schedule'!$F$37),'Recurring Schedule'!$O$37)=0),IF('Recurring Schedule'!$E$37="Weekdays",WEEKDAY($A155,2)&lt;=5,$A155='Recurring Schedule'!$F$37))),32,""))))</f>
        <v/>
      </c>
      <c r="AH155">
        <f>IF('Recurring Schedule'!$C$38="","",IF('Recurring Schedule'!$F$38="","",IF(OR($A155&lt;'Recurring Schedule'!$F$38,$A155&gt;'Recurring Schedule'!$P$38),"",IF(IF('Recurring Schedule'!$N$38&gt;0,MOD($A155-'Recurring Schedule'!$F$38,'Recurring Schedule'!$N$38)=0,IF('Recurring Schedule'!$O$38&gt;0,AND(DAY($A155)=MIN(DAY('Recurring Schedule'!$F$38),DAY(EOMONTH($A155,0))),MOD((YEAR($A155)-YEAR('Recurring Schedule'!$F$38))*12+MONTH($A155)-MONTH('Recurring Schedule'!$F$38),'Recurring Schedule'!$O$38)=0),IF('Recurring Schedule'!$E$38="Weekdays",WEEKDAY($A155,2)&lt;=5,$A155='Recurring Schedule'!$F$38))),33,""))))</f>
        <v/>
      </c>
      <c r="AI155">
        <f>IF('Recurring Schedule'!$C$39="","",IF('Recurring Schedule'!$F$39="","",IF(OR($A155&lt;'Recurring Schedule'!$F$39,$A155&gt;'Recurring Schedule'!$P$39),"",IF(IF('Recurring Schedule'!$N$39&gt;0,MOD($A155-'Recurring Schedule'!$F$39,'Recurring Schedule'!$N$39)=0,IF('Recurring Schedule'!$O$39&gt;0,AND(DAY($A155)=MIN(DAY('Recurring Schedule'!$F$39),DAY(EOMONTH($A155,0))),MOD((YEAR($A155)-YEAR('Recurring Schedule'!$F$39))*12+MONTH($A155)-MONTH('Recurring Schedule'!$F$39),'Recurring Schedule'!$O$39)=0),IF('Recurring Schedule'!$E$39="Weekdays",WEEKDAY($A155,2)&lt;=5,$A155='Recurring Schedule'!$F$39))),34,""))))</f>
        <v/>
      </c>
      <c r="AJ155">
        <f>IF('Recurring Schedule'!$C$40="","",IF('Recurring Schedule'!$F$40="","",IF(OR($A155&lt;'Recurring Schedule'!$F$40,$A155&gt;'Recurring Schedule'!$P$40),"",IF(IF('Recurring Schedule'!$N$40&gt;0,MOD($A155-'Recurring Schedule'!$F$40,'Recurring Schedule'!$N$40)=0,IF('Recurring Schedule'!$O$40&gt;0,AND(DAY($A155)=MIN(DAY('Recurring Schedule'!$F$40),DAY(EOMONTH($A155,0))),MOD((YEAR($A155)-YEAR('Recurring Schedule'!$F$40))*12+MONTH($A155)-MONTH('Recurring Schedule'!$F$40),'Recurring Schedule'!$O$40)=0),IF('Recurring Schedule'!$E$40="Weekdays",WEEKDAY($A155,2)&lt;=5,$A155='Recurring Schedule'!$F$40))),35,""))))</f>
        <v/>
      </c>
      <c r="AK155">
        <f>IF('Recurring Schedule'!$C$41="","",IF('Recurring Schedule'!$F$41="","",IF(OR($A155&lt;'Recurring Schedule'!$F$41,$A155&gt;'Recurring Schedule'!$P$41),"",IF(IF('Recurring Schedule'!$N$41&gt;0,MOD($A155-'Recurring Schedule'!$F$41,'Recurring Schedule'!$N$41)=0,IF('Recurring Schedule'!$O$41&gt;0,AND(DAY($A155)=MIN(DAY('Recurring Schedule'!$F$41),DAY(EOMONTH($A155,0))),MOD((YEAR($A155)-YEAR('Recurring Schedule'!$F$41))*12+MONTH($A155)-MONTH('Recurring Schedule'!$F$41),'Recurring Schedule'!$O$41)=0),IF('Recurring Schedule'!$E$41="Weekdays",WEEKDAY($A155,2)&lt;=5,$A155='Recurring Schedule'!$F$41))),36,""))))</f>
        <v/>
      </c>
      <c r="AL155">
        <f>IF('Recurring Schedule'!$C$42="","",IF('Recurring Schedule'!$F$42="","",IF(OR($A155&lt;'Recurring Schedule'!$F$42,$A155&gt;'Recurring Schedule'!$P$42),"",IF(IF('Recurring Schedule'!$N$42&gt;0,MOD($A155-'Recurring Schedule'!$F$42,'Recurring Schedule'!$N$42)=0,IF('Recurring Schedule'!$O$42&gt;0,AND(DAY($A155)=MIN(DAY('Recurring Schedule'!$F$42),DAY(EOMONTH($A155,0))),MOD((YEAR($A155)-YEAR('Recurring Schedule'!$F$42))*12+MONTH($A155)-MONTH('Recurring Schedule'!$F$42),'Recurring Schedule'!$O$42)=0),IF('Recurring Schedule'!$E$42="Weekdays",WEEKDAY($A155,2)&lt;=5,$A155='Recurring Schedule'!$F$42))),37,""))))</f>
        <v/>
      </c>
      <c r="AM155">
        <f>IF('Recurring Schedule'!$C$43="","",IF('Recurring Schedule'!$F$43="","",IF(OR($A155&lt;'Recurring Schedule'!$F$43,$A155&gt;'Recurring Schedule'!$P$43),"",IF(IF('Recurring Schedule'!$N$43&gt;0,MOD($A155-'Recurring Schedule'!$F$43,'Recurring Schedule'!$N$43)=0,IF('Recurring Schedule'!$O$43&gt;0,AND(DAY($A155)=MIN(DAY('Recurring Schedule'!$F$43),DAY(EOMONTH($A155,0))),MOD((YEAR($A155)-YEAR('Recurring Schedule'!$F$43))*12+MONTH($A155)-MONTH('Recurring Schedule'!$F$43),'Recurring Schedule'!$O$43)=0),IF('Recurring Schedule'!$E$43="Weekdays",WEEKDAY($A155,2)&lt;=5,$A155='Recurring Schedule'!$F$43))),38,""))))</f>
        <v/>
      </c>
      <c r="AN155">
        <f>IF('Recurring Schedule'!$C$44="","",IF('Recurring Schedule'!$F$44="","",IF(OR($A155&lt;'Recurring Schedule'!$F$44,$A155&gt;'Recurring Schedule'!$P$44),"",IF(IF('Recurring Schedule'!$N$44&gt;0,MOD($A155-'Recurring Schedule'!$F$44,'Recurring Schedule'!$N$44)=0,IF('Recurring Schedule'!$O$44&gt;0,AND(DAY($A155)=MIN(DAY('Recurring Schedule'!$F$44),DAY(EOMONTH($A155,0))),MOD((YEAR($A155)-YEAR('Recurring Schedule'!$F$44))*12+MONTH($A155)-MONTH('Recurring Schedule'!$F$44),'Recurring Schedule'!$O$44)=0),IF('Recurring Schedule'!$E$44="Weekdays",WEEKDAY($A155,2)&lt;=5,$A155='Recurring Schedule'!$F$44))),39,""))))</f>
        <v/>
      </c>
      <c r="AO155">
        <f>IF('Recurring Schedule'!$C$45="","",IF('Recurring Schedule'!$F$45="","",IF(OR($A155&lt;'Recurring Schedule'!$F$45,$A155&gt;'Recurring Schedule'!$P$45),"",IF(IF('Recurring Schedule'!$N$45&gt;0,MOD($A155-'Recurring Schedule'!$F$45,'Recurring Schedule'!$N$45)=0,IF('Recurring Schedule'!$O$45&gt;0,AND(DAY($A155)=MIN(DAY('Recurring Schedule'!$F$45),DAY(EOMONTH($A155,0))),MOD((YEAR($A155)-YEAR('Recurring Schedule'!$F$45))*12+MONTH($A155)-MONTH('Recurring Schedule'!$F$45),'Recurring Schedule'!$O$45)=0),IF('Recurring Schedule'!$E$45="Weekdays",WEEKDAY($A155,2)&lt;=5,$A155='Recurring Schedule'!$F$45))),40,""))))</f>
        <v/>
      </c>
      <c r="AP155">
        <f>COUNT(B155:AO155)</f>
        <v/>
      </c>
      <c r="AQ155">
        <f>AQ154+AP154</f>
        <v/>
      </c>
      <c r="AS155" t="inlineStr">
        <is>
          <t>R</t>
        </is>
      </c>
      <c r="AT155" t="n">
        <v>159</v>
      </c>
      <c r="AU155">
        <f>'Recurring Log'!C159&amp;""</f>
        <v/>
      </c>
      <c r="AV155">
        <f>'Recurring Log'!D159&amp;""</f>
        <v/>
      </c>
      <c r="AW155">
        <f>IF('Recurring Log'!E159="","",'Recurring Log'!E159)</f>
        <v/>
      </c>
      <c r="AX155">
        <f>IF('Recurring Log'!G159="","",'Recurring Log'!G159)</f>
        <v/>
      </c>
      <c r="AY155">
        <f>IF('Recurring Log'!H159="","",'Recurring Log'!H159)</f>
        <v/>
      </c>
      <c r="AZ155">
        <f>IF(AU155="","",IF('Recurring Log'!J159="","Not Started",'Recurring Log'!J159))</f>
        <v/>
      </c>
      <c r="BA155">
        <f>'Recurring Log'!L159&amp;""</f>
        <v/>
      </c>
      <c r="BB155">
        <f>'Recurring Log'!M159&amp;""</f>
        <v/>
      </c>
      <c r="BC155">
        <f>'Recurring Log'!N159&amp;""</f>
        <v/>
      </c>
      <c r="BD155">
        <f>'Recurring Log'!O159&amp;""</f>
        <v/>
      </c>
      <c r="BE155">
        <f>IF('Recurring Log'!K159="","",'Recurring Log'!K159)</f>
        <v/>
      </c>
      <c r="BF155">
        <f>IFERROR(MATCH(BA155,Setup!$L$6:$L$9,0),5)</f>
        <v/>
      </c>
      <c r="BG155">
        <f>IF(OR(AZ155="Done",AZ155="Cancelled"),1,0)</f>
        <v/>
      </c>
      <c r="BH155">
        <f>IF(AND(AU155&lt;&gt;"",ISNUMBER(AW155)),1,0)</f>
        <v/>
      </c>
      <c r="BI155">
        <f>IF(BH155=0,0,IF(AND(AW155&gt;='Tasks Filter'!$F$3,AW155&lt;='Tasks Filter'!$F$4,OR('Tasks Filter'!$I$3="",ISNUMBER(SEARCH('Tasks Filter'!$I$3,AU155))),OR('Tasks Filter'!$I$4="",BF155=IFERROR(MATCH('Tasks Filter'!$I$4,Setup!$L$6:$L$9,0),0)),OR('Tasks Filter'!$I$5="Both",AND('Tasks Filter'!$I$5="Yes",BB155="✓"),AND('Tasks Filter'!$I$5="No",BB155&lt;&gt;"✓")),OR('Tasks Filter'!$L$3="",AV155='Tasks Filter'!$L$3),OR('Tasks Filter'!$L$4="",AZ155='Tasks Filter'!$L$4),OR('Tasks Filter'!$L$5="",BC155='Tasks Filter'!$L$5),OR('Tasks Filter'!$O$3="",BD155='Tasks Filter'!$O$3),OR('Tasks Filter'!$O$4="Yes",BG155=0)),1,0))</f>
        <v/>
      </c>
      <c r="BJ155">
        <f>IF(BH155=0,"",IF('Tasks Filter'!$F$6="Descending",-1,1)*CHOOSE(MATCH('Tasks Filter'!$F$5,Lists!$G$2:$G$6,0),AW155,BF155,IFERROR(MATCH(AV155,Setup!$F$6:$F$15,0),99),IFERROR(MATCH(BC155,Setup!$H$6:$H$15,0),99),IFERROR(MATCH(AZ155,Setup!$J$6:$J$11,0),99))*1E+9+(AW155-40000)*10000+154)</f>
        <v/>
      </c>
      <c r="BK155">
        <f>IF(BI155=1,BJ155,"")</f>
        <v/>
      </c>
      <c r="BL155">
        <f>IF(AND(BH155=1,BG155=0,N(AW155)&lt;Setup!$D$7),(AW155-40000)*10000+154,"")</f>
        <v/>
      </c>
      <c r="BM155">
        <f>IF(AND(BH155=1,AZ155&lt;&gt;"Cancelled",N(AW155)&gt;=Dashboard!$AB$3,N(AW155)&lt;=Dashboard!$AB$3+6),(AW155-40000)*100000+BF155*10000+154,"")</f>
        <v/>
      </c>
      <c r="BN155">
        <f>IF(AND(BH155=1,AZ155&lt;&gt;"Cancelled"),BF155*10000+154,"")</f>
        <v/>
      </c>
    </row>
    <row r="156">
      <c r="A156">
        <f>Setup!$D$5+154</f>
        <v/>
      </c>
      <c r="B156">
        <f>IF('Recurring Schedule'!$C$6="","",IF('Recurring Schedule'!$F$6="","",IF(OR($A156&lt;'Recurring Schedule'!$F$6,$A156&gt;'Recurring Schedule'!$P$6),"",IF(IF('Recurring Schedule'!$N$6&gt;0,MOD($A156-'Recurring Schedule'!$F$6,'Recurring Schedule'!$N$6)=0,IF('Recurring Schedule'!$O$6&gt;0,AND(DAY($A156)=MIN(DAY('Recurring Schedule'!$F$6),DAY(EOMONTH($A156,0))),MOD((YEAR($A156)-YEAR('Recurring Schedule'!$F$6))*12+MONTH($A156)-MONTH('Recurring Schedule'!$F$6),'Recurring Schedule'!$O$6)=0),IF('Recurring Schedule'!$E$6="Weekdays",WEEKDAY($A156,2)&lt;=5,$A156='Recurring Schedule'!$F$6))),1,""))))</f>
        <v/>
      </c>
      <c r="C156">
        <f>IF('Recurring Schedule'!$C$7="","",IF('Recurring Schedule'!$F$7="","",IF(OR($A156&lt;'Recurring Schedule'!$F$7,$A156&gt;'Recurring Schedule'!$P$7),"",IF(IF('Recurring Schedule'!$N$7&gt;0,MOD($A156-'Recurring Schedule'!$F$7,'Recurring Schedule'!$N$7)=0,IF('Recurring Schedule'!$O$7&gt;0,AND(DAY($A156)=MIN(DAY('Recurring Schedule'!$F$7),DAY(EOMONTH($A156,0))),MOD((YEAR($A156)-YEAR('Recurring Schedule'!$F$7))*12+MONTH($A156)-MONTH('Recurring Schedule'!$F$7),'Recurring Schedule'!$O$7)=0),IF('Recurring Schedule'!$E$7="Weekdays",WEEKDAY($A156,2)&lt;=5,$A156='Recurring Schedule'!$F$7))),2,""))))</f>
        <v/>
      </c>
      <c r="D156">
        <f>IF('Recurring Schedule'!$C$8="","",IF('Recurring Schedule'!$F$8="","",IF(OR($A156&lt;'Recurring Schedule'!$F$8,$A156&gt;'Recurring Schedule'!$P$8),"",IF(IF('Recurring Schedule'!$N$8&gt;0,MOD($A156-'Recurring Schedule'!$F$8,'Recurring Schedule'!$N$8)=0,IF('Recurring Schedule'!$O$8&gt;0,AND(DAY($A156)=MIN(DAY('Recurring Schedule'!$F$8),DAY(EOMONTH($A156,0))),MOD((YEAR($A156)-YEAR('Recurring Schedule'!$F$8))*12+MONTH($A156)-MONTH('Recurring Schedule'!$F$8),'Recurring Schedule'!$O$8)=0),IF('Recurring Schedule'!$E$8="Weekdays",WEEKDAY($A156,2)&lt;=5,$A156='Recurring Schedule'!$F$8))),3,""))))</f>
        <v/>
      </c>
      <c r="E156">
        <f>IF('Recurring Schedule'!$C$9="","",IF('Recurring Schedule'!$F$9="","",IF(OR($A156&lt;'Recurring Schedule'!$F$9,$A156&gt;'Recurring Schedule'!$P$9),"",IF(IF('Recurring Schedule'!$N$9&gt;0,MOD($A156-'Recurring Schedule'!$F$9,'Recurring Schedule'!$N$9)=0,IF('Recurring Schedule'!$O$9&gt;0,AND(DAY($A156)=MIN(DAY('Recurring Schedule'!$F$9),DAY(EOMONTH($A156,0))),MOD((YEAR($A156)-YEAR('Recurring Schedule'!$F$9))*12+MONTH($A156)-MONTH('Recurring Schedule'!$F$9),'Recurring Schedule'!$O$9)=0),IF('Recurring Schedule'!$E$9="Weekdays",WEEKDAY($A156,2)&lt;=5,$A156='Recurring Schedule'!$F$9))),4,""))))</f>
        <v/>
      </c>
      <c r="F156">
        <f>IF('Recurring Schedule'!$C$10="","",IF('Recurring Schedule'!$F$10="","",IF(OR($A156&lt;'Recurring Schedule'!$F$10,$A156&gt;'Recurring Schedule'!$P$10),"",IF(IF('Recurring Schedule'!$N$10&gt;0,MOD($A156-'Recurring Schedule'!$F$10,'Recurring Schedule'!$N$10)=0,IF('Recurring Schedule'!$O$10&gt;0,AND(DAY($A156)=MIN(DAY('Recurring Schedule'!$F$10),DAY(EOMONTH($A156,0))),MOD((YEAR($A156)-YEAR('Recurring Schedule'!$F$10))*12+MONTH($A156)-MONTH('Recurring Schedule'!$F$10),'Recurring Schedule'!$O$10)=0),IF('Recurring Schedule'!$E$10="Weekdays",WEEKDAY($A156,2)&lt;=5,$A156='Recurring Schedule'!$F$10))),5,""))))</f>
        <v/>
      </c>
      <c r="G156">
        <f>IF('Recurring Schedule'!$C$11="","",IF('Recurring Schedule'!$F$11="","",IF(OR($A156&lt;'Recurring Schedule'!$F$11,$A156&gt;'Recurring Schedule'!$P$11),"",IF(IF('Recurring Schedule'!$N$11&gt;0,MOD($A156-'Recurring Schedule'!$F$11,'Recurring Schedule'!$N$11)=0,IF('Recurring Schedule'!$O$11&gt;0,AND(DAY($A156)=MIN(DAY('Recurring Schedule'!$F$11),DAY(EOMONTH($A156,0))),MOD((YEAR($A156)-YEAR('Recurring Schedule'!$F$11))*12+MONTH($A156)-MONTH('Recurring Schedule'!$F$11),'Recurring Schedule'!$O$11)=0),IF('Recurring Schedule'!$E$11="Weekdays",WEEKDAY($A156,2)&lt;=5,$A156='Recurring Schedule'!$F$11))),6,""))))</f>
        <v/>
      </c>
      <c r="H156">
        <f>IF('Recurring Schedule'!$C$12="","",IF('Recurring Schedule'!$F$12="","",IF(OR($A156&lt;'Recurring Schedule'!$F$12,$A156&gt;'Recurring Schedule'!$P$12),"",IF(IF('Recurring Schedule'!$N$12&gt;0,MOD($A156-'Recurring Schedule'!$F$12,'Recurring Schedule'!$N$12)=0,IF('Recurring Schedule'!$O$12&gt;0,AND(DAY($A156)=MIN(DAY('Recurring Schedule'!$F$12),DAY(EOMONTH($A156,0))),MOD((YEAR($A156)-YEAR('Recurring Schedule'!$F$12))*12+MONTH($A156)-MONTH('Recurring Schedule'!$F$12),'Recurring Schedule'!$O$12)=0),IF('Recurring Schedule'!$E$12="Weekdays",WEEKDAY($A156,2)&lt;=5,$A156='Recurring Schedule'!$F$12))),7,""))))</f>
        <v/>
      </c>
      <c r="I156">
        <f>IF('Recurring Schedule'!$C$13="","",IF('Recurring Schedule'!$F$13="","",IF(OR($A156&lt;'Recurring Schedule'!$F$13,$A156&gt;'Recurring Schedule'!$P$13),"",IF(IF('Recurring Schedule'!$N$13&gt;0,MOD($A156-'Recurring Schedule'!$F$13,'Recurring Schedule'!$N$13)=0,IF('Recurring Schedule'!$O$13&gt;0,AND(DAY($A156)=MIN(DAY('Recurring Schedule'!$F$13),DAY(EOMONTH($A156,0))),MOD((YEAR($A156)-YEAR('Recurring Schedule'!$F$13))*12+MONTH($A156)-MONTH('Recurring Schedule'!$F$13),'Recurring Schedule'!$O$13)=0),IF('Recurring Schedule'!$E$13="Weekdays",WEEKDAY($A156,2)&lt;=5,$A156='Recurring Schedule'!$F$13))),8,""))))</f>
        <v/>
      </c>
      <c r="J156">
        <f>IF('Recurring Schedule'!$C$14="","",IF('Recurring Schedule'!$F$14="","",IF(OR($A156&lt;'Recurring Schedule'!$F$14,$A156&gt;'Recurring Schedule'!$P$14),"",IF(IF('Recurring Schedule'!$N$14&gt;0,MOD($A156-'Recurring Schedule'!$F$14,'Recurring Schedule'!$N$14)=0,IF('Recurring Schedule'!$O$14&gt;0,AND(DAY($A156)=MIN(DAY('Recurring Schedule'!$F$14),DAY(EOMONTH($A156,0))),MOD((YEAR($A156)-YEAR('Recurring Schedule'!$F$14))*12+MONTH($A156)-MONTH('Recurring Schedule'!$F$14),'Recurring Schedule'!$O$14)=0),IF('Recurring Schedule'!$E$14="Weekdays",WEEKDAY($A156,2)&lt;=5,$A156='Recurring Schedule'!$F$14))),9,""))))</f>
        <v/>
      </c>
      <c r="K156">
        <f>IF('Recurring Schedule'!$C$15="","",IF('Recurring Schedule'!$F$15="","",IF(OR($A156&lt;'Recurring Schedule'!$F$15,$A156&gt;'Recurring Schedule'!$P$15),"",IF(IF('Recurring Schedule'!$N$15&gt;0,MOD($A156-'Recurring Schedule'!$F$15,'Recurring Schedule'!$N$15)=0,IF('Recurring Schedule'!$O$15&gt;0,AND(DAY($A156)=MIN(DAY('Recurring Schedule'!$F$15),DAY(EOMONTH($A156,0))),MOD((YEAR($A156)-YEAR('Recurring Schedule'!$F$15))*12+MONTH($A156)-MONTH('Recurring Schedule'!$F$15),'Recurring Schedule'!$O$15)=0),IF('Recurring Schedule'!$E$15="Weekdays",WEEKDAY($A156,2)&lt;=5,$A156='Recurring Schedule'!$F$15))),10,""))))</f>
        <v/>
      </c>
      <c r="L156">
        <f>IF('Recurring Schedule'!$C$16="","",IF('Recurring Schedule'!$F$16="","",IF(OR($A156&lt;'Recurring Schedule'!$F$16,$A156&gt;'Recurring Schedule'!$P$16),"",IF(IF('Recurring Schedule'!$N$16&gt;0,MOD($A156-'Recurring Schedule'!$F$16,'Recurring Schedule'!$N$16)=0,IF('Recurring Schedule'!$O$16&gt;0,AND(DAY($A156)=MIN(DAY('Recurring Schedule'!$F$16),DAY(EOMONTH($A156,0))),MOD((YEAR($A156)-YEAR('Recurring Schedule'!$F$16))*12+MONTH($A156)-MONTH('Recurring Schedule'!$F$16),'Recurring Schedule'!$O$16)=0),IF('Recurring Schedule'!$E$16="Weekdays",WEEKDAY($A156,2)&lt;=5,$A156='Recurring Schedule'!$F$16))),11,""))))</f>
        <v/>
      </c>
      <c r="M156">
        <f>IF('Recurring Schedule'!$C$17="","",IF('Recurring Schedule'!$F$17="","",IF(OR($A156&lt;'Recurring Schedule'!$F$17,$A156&gt;'Recurring Schedule'!$P$17),"",IF(IF('Recurring Schedule'!$N$17&gt;0,MOD($A156-'Recurring Schedule'!$F$17,'Recurring Schedule'!$N$17)=0,IF('Recurring Schedule'!$O$17&gt;0,AND(DAY($A156)=MIN(DAY('Recurring Schedule'!$F$17),DAY(EOMONTH($A156,0))),MOD((YEAR($A156)-YEAR('Recurring Schedule'!$F$17))*12+MONTH($A156)-MONTH('Recurring Schedule'!$F$17),'Recurring Schedule'!$O$17)=0),IF('Recurring Schedule'!$E$17="Weekdays",WEEKDAY($A156,2)&lt;=5,$A156='Recurring Schedule'!$F$17))),12,""))))</f>
        <v/>
      </c>
      <c r="N156">
        <f>IF('Recurring Schedule'!$C$18="","",IF('Recurring Schedule'!$F$18="","",IF(OR($A156&lt;'Recurring Schedule'!$F$18,$A156&gt;'Recurring Schedule'!$P$18),"",IF(IF('Recurring Schedule'!$N$18&gt;0,MOD($A156-'Recurring Schedule'!$F$18,'Recurring Schedule'!$N$18)=0,IF('Recurring Schedule'!$O$18&gt;0,AND(DAY($A156)=MIN(DAY('Recurring Schedule'!$F$18),DAY(EOMONTH($A156,0))),MOD((YEAR($A156)-YEAR('Recurring Schedule'!$F$18))*12+MONTH($A156)-MONTH('Recurring Schedule'!$F$18),'Recurring Schedule'!$O$18)=0),IF('Recurring Schedule'!$E$18="Weekdays",WEEKDAY($A156,2)&lt;=5,$A156='Recurring Schedule'!$F$18))),13,""))))</f>
        <v/>
      </c>
      <c r="O156">
        <f>IF('Recurring Schedule'!$C$19="","",IF('Recurring Schedule'!$F$19="","",IF(OR($A156&lt;'Recurring Schedule'!$F$19,$A156&gt;'Recurring Schedule'!$P$19),"",IF(IF('Recurring Schedule'!$N$19&gt;0,MOD($A156-'Recurring Schedule'!$F$19,'Recurring Schedule'!$N$19)=0,IF('Recurring Schedule'!$O$19&gt;0,AND(DAY($A156)=MIN(DAY('Recurring Schedule'!$F$19),DAY(EOMONTH($A156,0))),MOD((YEAR($A156)-YEAR('Recurring Schedule'!$F$19))*12+MONTH($A156)-MONTH('Recurring Schedule'!$F$19),'Recurring Schedule'!$O$19)=0),IF('Recurring Schedule'!$E$19="Weekdays",WEEKDAY($A156,2)&lt;=5,$A156='Recurring Schedule'!$F$19))),14,""))))</f>
        <v/>
      </c>
      <c r="P156">
        <f>IF('Recurring Schedule'!$C$20="","",IF('Recurring Schedule'!$F$20="","",IF(OR($A156&lt;'Recurring Schedule'!$F$20,$A156&gt;'Recurring Schedule'!$P$20),"",IF(IF('Recurring Schedule'!$N$20&gt;0,MOD($A156-'Recurring Schedule'!$F$20,'Recurring Schedule'!$N$20)=0,IF('Recurring Schedule'!$O$20&gt;0,AND(DAY($A156)=MIN(DAY('Recurring Schedule'!$F$20),DAY(EOMONTH($A156,0))),MOD((YEAR($A156)-YEAR('Recurring Schedule'!$F$20))*12+MONTH($A156)-MONTH('Recurring Schedule'!$F$20),'Recurring Schedule'!$O$20)=0),IF('Recurring Schedule'!$E$20="Weekdays",WEEKDAY($A156,2)&lt;=5,$A156='Recurring Schedule'!$F$20))),15,""))))</f>
        <v/>
      </c>
      <c r="Q156">
        <f>IF('Recurring Schedule'!$C$21="","",IF('Recurring Schedule'!$F$21="","",IF(OR($A156&lt;'Recurring Schedule'!$F$21,$A156&gt;'Recurring Schedule'!$P$21),"",IF(IF('Recurring Schedule'!$N$21&gt;0,MOD($A156-'Recurring Schedule'!$F$21,'Recurring Schedule'!$N$21)=0,IF('Recurring Schedule'!$O$21&gt;0,AND(DAY($A156)=MIN(DAY('Recurring Schedule'!$F$21),DAY(EOMONTH($A156,0))),MOD((YEAR($A156)-YEAR('Recurring Schedule'!$F$21))*12+MONTH($A156)-MONTH('Recurring Schedule'!$F$21),'Recurring Schedule'!$O$21)=0),IF('Recurring Schedule'!$E$21="Weekdays",WEEKDAY($A156,2)&lt;=5,$A156='Recurring Schedule'!$F$21))),16,""))))</f>
        <v/>
      </c>
      <c r="R156">
        <f>IF('Recurring Schedule'!$C$22="","",IF('Recurring Schedule'!$F$22="","",IF(OR($A156&lt;'Recurring Schedule'!$F$22,$A156&gt;'Recurring Schedule'!$P$22),"",IF(IF('Recurring Schedule'!$N$22&gt;0,MOD($A156-'Recurring Schedule'!$F$22,'Recurring Schedule'!$N$22)=0,IF('Recurring Schedule'!$O$22&gt;0,AND(DAY($A156)=MIN(DAY('Recurring Schedule'!$F$22),DAY(EOMONTH($A156,0))),MOD((YEAR($A156)-YEAR('Recurring Schedule'!$F$22))*12+MONTH($A156)-MONTH('Recurring Schedule'!$F$22),'Recurring Schedule'!$O$22)=0),IF('Recurring Schedule'!$E$22="Weekdays",WEEKDAY($A156,2)&lt;=5,$A156='Recurring Schedule'!$F$22))),17,""))))</f>
        <v/>
      </c>
      <c r="S156">
        <f>IF('Recurring Schedule'!$C$23="","",IF('Recurring Schedule'!$F$23="","",IF(OR($A156&lt;'Recurring Schedule'!$F$23,$A156&gt;'Recurring Schedule'!$P$23),"",IF(IF('Recurring Schedule'!$N$23&gt;0,MOD($A156-'Recurring Schedule'!$F$23,'Recurring Schedule'!$N$23)=0,IF('Recurring Schedule'!$O$23&gt;0,AND(DAY($A156)=MIN(DAY('Recurring Schedule'!$F$23),DAY(EOMONTH($A156,0))),MOD((YEAR($A156)-YEAR('Recurring Schedule'!$F$23))*12+MONTH($A156)-MONTH('Recurring Schedule'!$F$23),'Recurring Schedule'!$O$23)=0),IF('Recurring Schedule'!$E$23="Weekdays",WEEKDAY($A156,2)&lt;=5,$A156='Recurring Schedule'!$F$23))),18,""))))</f>
        <v/>
      </c>
      <c r="T156">
        <f>IF('Recurring Schedule'!$C$24="","",IF('Recurring Schedule'!$F$24="","",IF(OR($A156&lt;'Recurring Schedule'!$F$24,$A156&gt;'Recurring Schedule'!$P$24),"",IF(IF('Recurring Schedule'!$N$24&gt;0,MOD($A156-'Recurring Schedule'!$F$24,'Recurring Schedule'!$N$24)=0,IF('Recurring Schedule'!$O$24&gt;0,AND(DAY($A156)=MIN(DAY('Recurring Schedule'!$F$24),DAY(EOMONTH($A156,0))),MOD((YEAR($A156)-YEAR('Recurring Schedule'!$F$24))*12+MONTH($A156)-MONTH('Recurring Schedule'!$F$24),'Recurring Schedule'!$O$24)=0),IF('Recurring Schedule'!$E$24="Weekdays",WEEKDAY($A156,2)&lt;=5,$A156='Recurring Schedule'!$F$24))),19,""))))</f>
        <v/>
      </c>
      <c r="U156">
        <f>IF('Recurring Schedule'!$C$25="","",IF('Recurring Schedule'!$F$25="","",IF(OR($A156&lt;'Recurring Schedule'!$F$25,$A156&gt;'Recurring Schedule'!$P$25),"",IF(IF('Recurring Schedule'!$N$25&gt;0,MOD($A156-'Recurring Schedule'!$F$25,'Recurring Schedule'!$N$25)=0,IF('Recurring Schedule'!$O$25&gt;0,AND(DAY($A156)=MIN(DAY('Recurring Schedule'!$F$25),DAY(EOMONTH($A156,0))),MOD((YEAR($A156)-YEAR('Recurring Schedule'!$F$25))*12+MONTH($A156)-MONTH('Recurring Schedule'!$F$25),'Recurring Schedule'!$O$25)=0),IF('Recurring Schedule'!$E$25="Weekdays",WEEKDAY($A156,2)&lt;=5,$A156='Recurring Schedule'!$F$25))),20,""))))</f>
        <v/>
      </c>
      <c r="V156">
        <f>IF('Recurring Schedule'!$C$26="","",IF('Recurring Schedule'!$F$26="","",IF(OR($A156&lt;'Recurring Schedule'!$F$26,$A156&gt;'Recurring Schedule'!$P$26),"",IF(IF('Recurring Schedule'!$N$26&gt;0,MOD($A156-'Recurring Schedule'!$F$26,'Recurring Schedule'!$N$26)=0,IF('Recurring Schedule'!$O$26&gt;0,AND(DAY($A156)=MIN(DAY('Recurring Schedule'!$F$26),DAY(EOMONTH($A156,0))),MOD((YEAR($A156)-YEAR('Recurring Schedule'!$F$26))*12+MONTH($A156)-MONTH('Recurring Schedule'!$F$26),'Recurring Schedule'!$O$26)=0),IF('Recurring Schedule'!$E$26="Weekdays",WEEKDAY($A156,2)&lt;=5,$A156='Recurring Schedule'!$F$26))),21,""))))</f>
        <v/>
      </c>
      <c r="W156">
        <f>IF('Recurring Schedule'!$C$27="","",IF('Recurring Schedule'!$F$27="","",IF(OR($A156&lt;'Recurring Schedule'!$F$27,$A156&gt;'Recurring Schedule'!$P$27),"",IF(IF('Recurring Schedule'!$N$27&gt;0,MOD($A156-'Recurring Schedule'!$F$27,'Recurring Schedule'!$N$27)=0,IF('Recurring Schedule'!$O$27&gt;0,AND(DAY($A156)=MIN(DAY('Recurring Schedule'!$F$27),DAY(EOMONTH($A156,0))),MOD((YEAR($A156)-YEAR('Recurring Schedule'!$F$27))*12+MONTH($A156)-MONTH('Recurring Schedule'!$F$27),'Recurring Schedule'!$O$27)=0),IF('Recurring Schedule'!$E$27="Weekdays",WEEKDAY($A156,2)&lt;=5,$A156='Recurring Schedule'!$F$27))),22,""))))</f>
        <v/>
      </c>
      <c r="X156">
        <f>IF('Recurring Schedule'!$C$28="","",IF('Recurring Schedule'!$F$28="","",IF(OR($A156&lt;'Recurring Schedule'!$F$28,$A156&gt;'Recurring Schedule'!$P$28),"",IF(IF('Recurring Schedule'!$N$28&gt;0,MOD($A156-'Recurring Schedule'!$F$28,'Recurring Schedule'!$N$28)=0,IF('Recurring Schedule'!$O$28&gt;0,AND(DAY($A156)=MIN(DAY('Recurring Schedule'!$F$28),DAY(EOMONTH($A156,0))),MOD((YEAR($A156)-YEAR('Recurring Schedule'!$F$28))*12+MONTH($A156)-MONTH('Recurring Schedule'!$F$28),'Recurring Schedule'!$O$28)=0),IF('Recurring Schedule'!$E$28="Weekdays",WEEKDAY($A156,2)&lt;=5,$A156='Recurring Schedule'!$F$28))),23,""))))</f>
        <v/>
      </c>
      <c r="Y156">
        <f>IF('Recurring Schedule'!$C$29="","",IF('Recurring Schedule'!$F$29="","",IF(OR($A156&lt;'Recurring Schedule'!$F$29,$A156&gt;'Recurring Schedule'!$P$29),"",IF(IF('Recurring Schedule'!$N$29&gt;0,MOD($A156-'Recurring Schedule'!$F$29,'Recurring Schedule'!$N$29)=0,IF('Recurring Schedule'!$O$29&gt;0,AND(DAY($A156)=MIN(DAY('Recurring Schedule'!$F$29),DAY(EOMONTH($A156,0))),MOD((YEAR($A156)-YEAR('Recurring Schedule'!$F$29))*12+MONTH($A156)-MONTH('Recurring Schedule'!$F$29),'Recurring Schedule'!$O$29)=0),IF('Recurring Schedule'!$E$29="Weekdays",WEEKDAY($A156,2)&lt;=5,$A156='Recurring Schedule'!$F$29))),24,""))))</f>
        <v/>
      </c>
      <c r="Z156">
        <f>IF('Recurring Schedule'!$C$30="","",IF('Recurring Schedule'!$F$30="","",IF(OR($A156&lt;'Recurring Schedule'!$F$30,$A156&gt;'Recurring Schedule'!$P$30),"",IF(IF('Recurring Schedule'!$N$30&gt;0,MOD($A156-'Recurring Schedule'!$F$30,'Recurring Schedule'!$N$30)=0,IF('Recurring Schedule'!$O$30&gt;0,AND(DAY($A156)=MIN(DAY('Recurring Schedule'!$F$30),DAY(EOMONTH($A156,0))),MOD((YEAR($A156)-YEAR('Recurring Schedule'!$F$30))*12+MONTH($A156)-MONTH('Recurring Schedule'!$F$30),'Recurring Schedule'!$O$30)=0),IF('Recurring Schedule'!$E$30="Weekdays",WEEKDAY($A156,2)&lt;=5,$A156='Recurring Schedule'!$F$30))),25,""))))</f>
        <v/>
      </c>
      <c r="AA156">
        <f>IF('Recurring Schedule'!$C$31="","",IF('Recurring Schedule'!$F$31="","",IF(OR($A156&lt;'Recurring Schedule'!$F$31,$A156&gt;'Recurring Schedule'!$P$31),"",IF(IF('Recurring Schedule'!$N$31&gt;0,MOD($A156-'Recurring Schedule'!$F$31,'Recurring Schedule'!$N$31)=0,IF('Recurring Schedule'!$O$31&gt;0,AND(DAY($A156)=MIN(DAY('Recurring Schedule'!$F$31),DAY(EOMONTH($A156,0))),MOD((YEAR($A156)-YEAR('Recurring Schedule'!$F$31))*12+MONTH($A156)-MONTH('Recurring Schedule'!$F$31),'Recurring Schedule'!$O$31)=0),IF('Recurring Schedule'!$E$31="Weekdays",WEEKDAY($A156,2)&lt;=5,$A156='Recurring Schedule'!$F$31))),26,""))))</f>
        <v/>
      </c>
      <c r="AB156">
        <f>IF('Recurring Schedule'!$C$32="","",IF('Recurring Schedule'!$F$32="","",IF(OR($A156&lt;'Recurring Schedule'!$F$32,$A156&gt;'Recurring Schedule'!$P$32),"",IF(IF('Recurring Schedule'!$N$32&gt;0,MOD($A156-'Recurring Schedule'!$F$32,'Recurring Schedule'!$N$32)=0,IF('Recurring Schedule'!$O$32&gt;0,AND(DAY($A156)=MIN(DAY('Recurring Schedule'!$F$32),DAY(EOMONTH($A156,0))),MOD((YEAR($A156)-YEAR('Recurring Schedule'!$F$32))*12+MONTH($A156)-MONTH('Recurring Schedule'!$F$32),'Recurring Schedule'!$O$32)=0),IF('Recurring Schedule'!$E$32="Weekdays",WEEKDAY($A156,2)&lt;=5,$A156='Recurring Schedule'!$F$32))),27,""))))</f>
        <v/>
      </c>
      <c r="AC156">
        <f>IF('Recurring Schedule'!$C$33="","",IF('Recurring Schedule'!$F$33="","",IF(OR($A156&lt;'Recurring Schedule'!$F$33,$A156&gt;'Recurring Schedule'!$P$33),"",IF(IF('Recurring Schedule'!$N$33&gt;0,MOD($A156-'Recurring Schedule'!$F$33,'Recurring Schedule'!$N$33)=0,IF('Recurring Schedule'!$O$33&gt;0,AND(DAY($A156)=MIN(DAY('Recurring Schedule'!$F$33),DAY(EOMONTH($A156,0))),MOD((YEAR($A156)-YEAR('Recurring Schedule'!$F$33))*12+MONTH($A156)-MONTH('Recurring Schedule'!$F$33),'Recurring Schedule'!$O$33)=0),IF('Recurring Schedule'!$E$33="Weekdays",WEEKDAY($A156,2)&lt;=5,$A156='Recurring Schedule'!$F$33))),28,""))))</f>
        <v/>
      </c>
      <c r="AD156">
        <f>IF('Recurring Schedule'!$C$34="","",IF('Recurring Schedule'!$F$34="","",IF(OR($A156&lt;'Recurring Schedule'!$F$34,$A156&gt;'Recurring Schedule'!$P$34),"",IF(IF('Recurring Schedule'!$N$34&gt;0,MOD($A156-'Recurring Schedule'!$F$34,'Recurring Schedule'!$N$34)=0,IF('Recurring Schedule'!$O$34&gt;0,AND(DAY($A156)=MIN(DAY('Recurring Schedule'!$F$34),DAY(EOMONTH($A156,0))),MOD((YEAR($A156)-YEAR('Recurring Schedule'!$F$34))*12+MONTH($A156)-MONTH('Recurring Schedule'!$F$34),'Recurring Schedule'!$O$34)=0),IF('Recurring Schedule'!$E$34="Weekdays",WEEKDAY($A156,2)&lt;=5,$A156='Recurring Schedule'!$F$34))),29,""))))</f>
        <v/>
      </c>
      <c r="AE156">
        <f>IF('Recurring Schedule'!$C$35="","",IF('Recurring Schedule'!$F$35="","",IF(OR($A156&lt;'Recurring Schedule'!$F$35,$A156&gt;'Recurring Schedule'!$P$35),"",IF(IF('Recurring Schedule'!$N$35&gt;0,MOD($A156-'Recurring Schedule'!$F$35,'Recurring Schedule'!$N$35)=0,IF('Recurring Schedule'!$O$35&gt;0,AND(DAY($A156)=MIN(DAY('Recurring Schedule'!$F$35),DAY(EOMONTH($A156,0))),MOD((YEAR($A156)-YEAR('Recurring Schedule'!$F$35))*12+MONTH($A156)-MONTH('Recurring Schedule'!$F$35),'Recurring Schedule'!$O$35)=0),IF('Recurring Schedule'!$E$35="Weekdays",WEEKDAY($A156,2)&lt;=5,$A156='Recurring Schedule'!$F$35))),30,""))))</f>
        <v/>
      </c>
      <c r="AF156">
        <f>IF('Recurring Schedule'!$C$36="","",IF('Recurring Schedule'!$F$36="","",IF(OR($A156&lt;'Recurring Schedule'!$F$36,$A156&gt;'Recurring Schedule'!$P$36),"",IF(IF('Recurring Schedule'!$N$36&gt;0,MOD($A156-'Recurring Schedule'!$F$36,'Recurring Schedule'!$N$36)=0,IF('Recurring Schedule'!$O$36&gt;0,AND(DAY($A156)=MIN(DAY('Recurring Schedule'!$F$36),DAY(EOMONTH($A156,0))),MOD((YEAR($A156)-YEAR('Recurring Schedule'!$F$36))*12+MONTH($A156)-MONTH('Recurring Schedule'!$F$36),'Recurring Schedule'!$O$36)=0),IF('Recurring Schedule'!$E$36="Weekdays",WEEKDAY($A156,2)&lt;=5,$A156='Recurring Schedule'!$F$36))),31,""))))</f>
        <v/>
      </c>
      <c r="AG156">
        <f>IF('Recurring Schedule'!$C$37="","",IF('Recurring Schedule'!$F$37="","",IF(OR($A156&lt;'Recurring Schedule'!$F$37,$A156&gt;'Recurring Schedule'!$P$37),"",IF(IF('Recurring Schedule'!$N$37&gt;0,MOD($A156-'Recurring Schedule'!$F$37,'Recurring Schedule'!$N$37)=0,IF('Recurring Schedule'!$O$37&gt;0,AND(DAY($A156)=MIN(DAY('Recurring Schedule'!$F$37),DAY(EOMONTH($A156,0))),MOD((YEAR($A156)-YEAR('Recurring Schedule'!$F$37))*12+MONTH($A156)-MONTH('Recurring Schedule'!$F$37),'Recurring Schedule'!$O$37)=0),IF('Recurring Schedule'!$E$37="Weekdays",WEEKDAY($A156,2)&lt;=5,$A156='Recurring Schedule'!$F$37))),32,""))))</f>
        <v/>
      </c>
      <c r="AH156">
        <f>IF('Recurring Schedule'!$C$38="","",IF('Recurring Schedule'!$F$38="","",IF(OR($A156&lt;'Recurring Schedule'!$F$38,$A156&gt;'Recurring Schedule'!$P$38),"",IF(IF('Recurring Schedule'!$N$38&gt;0,MOD($A156-'Recurring Schedule'!$F$38,'Recurring Schedule'!$N$38)=0,IF('Recurring Schedule'!$O$38&gt;0,AND(DAY($A156)=MIN(DAY('Recurring Schedule'!$F$38),DAY(EOMONTH($A156,0))),MOD((YEAR($A156)-YEAR('Recurring Schedule'!$F$38))*12+MONTH($A156)-MONTH('Recurring Schedule'!$F$38),'Recurring Schedule'!$O$38)=0),IF('Recurring Schedule'!$E$38="Weekdays",WEEKDAY($A156,2)&lt;=5,$A156='Recurring Schedule'!$F$38))),33,""))))</f>
        <v/>
      </c>
      <c r="AI156">
        <f>IF('Recurring Schedule'!$C$39="","",IF('Recurring Schedule'!$F$39="","",IF(OR($A156&lt;'Recurring Schedule'!$F$39,$A156&gt;'Recurring Schedule'!$P$39),"",IF(IF('Recurring Schedule'!$N$39&gt;0,MOD($A156-'Recurring Schedule'!$F$39,'Recurring Schedule'!$N$39)=0,IF('Recurring Schedule'!$O$39&gt;0,AND(DAY($A156)=MIN(DAY('Recurring Schedule'!$F$39),DAY(EOMONTH($A156,0))),MOD((YEAR($A156)-YEAR('Recurring Schedule'!$F$39))*12+MONTH($A156)-MONTH('Recurring Schedule'!$F$39),'Recurring Schedule'!$O$39)=0),IF('Recurring Schedule'!$E$39="Weekdays",WEEKDAY($A156,2)&lt;=5,$A156='Recurring Schedule'!$F$39))),34,""))))</f>
        <v/>
      </c>
      <c r="AJ156">
        <f>IF('Recurring Schedule'!$C$40="","",IF('Recurring Schedule'!$F$40="","",IF(OR($A156&lt;'Recurring Schedule'!$F$40,$A156&gt;'Recurring Schedule'!$P$40),"",IF(IF('Recurring Schedule'!$N$40&gt;0,MOD($A156-'Recurring Schedule'!$F$40,'Recurring Schedule'!$N$40)=0,IF('Recurring Schedule'!$O$40&gt;0,AND(DAY($A156)=MIN(DAY('Recurring Schedule'!$F$40),DAY(EOMONTH($A156,0))),MOD((YEAR($A156)-YEAR('Recurring Schedule'!$F$40))*12+MONTH($A156)-MONTH('Recurring Schedule'!$F$40),'Recurring Schedule'!$O$40)=0),IF('Recurring Schedule'!$E$40="Weekdays",WEEKDAY($A156,2)&lt;=5,$A156='Recurring Schedule'!$F$40))),35,""))))</f>
        <v/>
      </c>
      <c r="AK156">
        <f>IF('Recurring Schedule'!$C$41="","",IF('Recurring Schedule'!$F$41="","",IF(OR($A156&lt;'Recurring Schedule'!$F$41,$A156&gt;'Recurring Schedule'!$P$41),"",IF(IF('Recurring Schedule'!$N$41&gt;0,MOD($A156-'Recurring Schedule'!$F$41,'Recurring Schedule'!$N$41)=0,IF('Recurring Schedule'!$O$41&gt;0,AND(DAY($A156)=MIN(DAY('Recurring Schedule'!$F$41),DAY(EOMONTH($A156,0))),MOD((YEAR($A156)-YEAR('Recurring Schedule'!$F$41))*12+MONTH($A156)-MONTH('Recurring Schedule'!$F$41),'Recurring Schedule'!$O$41)=0),IF('Recurring Schedule'!$E$41="Weekdays",WEEKDAY($A156,2)&lt;=5,$A156='Recurring Schedule'!$F$41))),36,""))))</f>
        <v/>
      </c>
      <c r="AL156">
        <f>IF('Recurring Schedule'!$C$42="","",IF('Recurring Schedule'!$F$42="","",IF(OR($A156&lt;'Recurring Schedule'!$F$42,$A156&gt;'Recurring Schedule'!$P$42),"",IF(IF('Recurring Schedule'!$N$42&gt;0,MOD($A156-'Recurring Schedule'!$F$42,'Recurring Schedule'!$N$42)=0,IF('Recurring Schedule'!$O$42&gt;0,AND(DAY($A156)=MIN(DAY('Recurring Schedule'!$F$42),DAY(EOMONTH($A156,0))),MOD((YEAR($A156)-YEAR('Recurring Schedule'!$F$42))*12+MONTH($A156)-MONTH('Recurring Schedule'!$F$42),'Recurring Schedule'!$O$42)=0),IF('Recurring Schedule'!$E$42="Weekdays",WEEKDAY($A156,2)&lt;=5,$A156='Recurring Schedule'!$F$42))),37,""))))</f>
        <v/>
      </c>
      <c r="AM156">
        <f>IF('Recurring Schedule'!$C$43="","",IF('Recurring Schedule'!$F$43="","",IF(OR($A156&lt;'Recurring Schedule'!$F$43,$A156&gt;'Recurring Schedule'!$P$43),"",IF(IF('Recurring Schedule'!$N$43&gt;0,MOD($A156-'Recurring Schedule'!$F$43,'Recurring Schedule'!$N$43)=0,IF('Recurring Schedule'!$O$43&gt;0,AND(DAY($A156)=MIN(DAY('Recurring Schedule'!$F$43),DAY(EOMONTH($A156,0))),MOD((YEAR($A156)-YEAR('Recurring Schedule'!$F$43))*12+MONTH($A156)-MONTH('Recurring Schedule'!$F$43),'Recurring Schedule'!$O$43)=0),IF('Recurring Schedule'!$E$43="Weekdays",WEEKDAY($A156,2)&lt;=5,$A156='Recurring Schedule'!$F$43))),38,""))))</f>
        <v/>
      </c>
      <c r="AN156">
        <f>IF('Recurring Schedule'!$C$44="","",IF('Recurring Schedule'!$F$44="","",IF(OR($A156&lt;'Recurring Schedule'!$F$44,$A156&gt;'Recurring Schedule'!$P$44),"",IF(IF('Recurring Schedule'!$N$44&gt;0,MOD($A156-'Recurring Schedule'!$F$44,'Recurring Schedule'!$N$44)=0,IF('Recurring Schedule'!$O$44&gt;0,AND(DAY($A156)=MIN(DAY('Recurring Schedule'!$F$44),DAY(EOMONTH($A156,0))),MOD((YEAR($A156)-YEAR('Recurring Schedule'!$F$44))*12+MONTH($A156)-MONTH('Recurring Schedule'!$F$44),'Recurring Schedule'!$O$44)=0),IF('Recurring Schedule'!$E$44="Weekdays",WEEKDAY($A156,2)&lt;=5,$A156='Recurring Schedule'!$F$44))),39,""))))</f>
        <v/>
      </c>
      <c r="AO156">
        <f>IF('Recurring Schedule'!$C$45="","",IF('Recurring Schedule'!$F$45="","",IF(OR($A156&lt;'Recurring Schedule'!$F$45,$A156&gt;'Recurring Schedule'!$P$45),"",IF(IF('Recurring Schedule'!$N$45&gt;0,MOD($A156-'Recurring Schedule'!$F$45,'Recurring Schedule'!$N$45)=0,IF('Recurring Schedule'!$O$45&gt;0,AND(DAY($A156)=MIN(DAY('Recurring Schedule'!$F$45),DAY(EOMONTH($A156,0))),MOD((YEAR($A156)-YEAR('Recurring Schedule'!$F$45))*12+MONTH($A156)-MONTH('Recurring Schedule'!$F$45),'Recurring Schedule'!$O$45)=0),IF('Recurring Schedule'!$E$45="Weekdays",WEEKDAY($A156,2)&lt;=5,$A156='Recurring Schedule'!$F$45))),40,""))))</f>
        <v/>
      </c>
      <c r="AP156">
        <f>COUNT(B156:AO156)</f>
        <v/>
      </c>
      <c r="AQ156">
        <f>AQ155+AP155</f>
        <v/>
      </c>
      <c r="AS156" t="inlineStr">
        <is>
          <t>R</t>
        </is>
      </c>
      <c r="AT156" t="n">
        <v>160</v>
      </c>
      <c r="AU156">
        <f>'Recurring Log'!C160&amp;""</f>
        <v/>
      </c>
      <c r="AV156">
        <f>'Recurring Log'!D160&amp;""</f>
        <v/>
      </c>
      <c r="AW156">
        <f>IF('Recurring Log'!E160="","",'Recurring Log'!E160)</f>
        <v/>
      </c>
      <c r="AX156">
        <f>IF('Recurring Log'!G160="","",'Recurring Log'!G160)</f>
        <v/>
      </c>
      <c r="AY156">
        <f>IF('Recurring Log'!H160="","",'Recurring Log'!H160)</f>
        <v/>
      </c>
      <c r="AZ156">
        <f>IF(AU156="","",IF('Recurring Log'!J160="","Not Started",'Recurring Log'!J160))</f>
        <v/>
      </c>
      <c r="BA156">
        <f>'Recurring Log'!L160&amp;""</f>
        <v/>
      </c>
      <c r="BB156">
        <f>'Recurring Log'!M160&amp;""</f>
        <v/>
      </c>
      <c r="BC156">
        <f>'Recurring Log'!N160&amp;""</f>
        <v/>
      </c>
      <c r="BD156">
        <f>'Recurring Log'!O160&amp;""</f>
        <v/>
      </c>
      <c r="BE156">
        <f>IF('Recurring Log'!K160="","",'Recurring Log'!K160)</f>
        <v/>
      </c>
      <c r="BF156">
        <f>IFERROR(MATCH(BA156,Setup!$L$6:$L$9,0),5)</f>
        <v/>
      </c>
      <c r="BG156">
        <f>IF(OR(AZ156="Done",AZ156="Cancelled"),1,0)</f>
        <v/>
      </c>
      <c r="BH156">
        <f>IF(AND(AU156&lt;&gt;"",ISNUMBER(AW156)),1,0)</f>
        <v/>
      </c>
      <c r="BI156">
        <f>IF(BH156=0,0,IF(AND(AW156&gt;='Tasks Filter'!$F$3,AW156&lt;='Tasks Filter'!$F$4,OR('Tasks Filter'!$I$3="",ISNUMBER(SEARCH('Tasks Filter'!$I$3,AU156))),OR('Tasks Filter'!$I$4="",BF156=IFERROR(MATCH('Tasks Filter'!$I$4,Setup!$L$6:$L$9,0),0)),OR('Tasks Filter'!$I$5="Both",AND('Tasks Filter'!$I$5="Yes",BB156="✓"),AND('Tasks Filter'!$I$5="No",BB156&lt;&gt;"✓")),OR('Tasks Filter'!$L$3="",AV156='Tasks Filter'!$L$3),OR('Tasks Filter'!$L$4="",AZ156='Tasks Filter'!$L$4),OR('Tasks Filter'!$L$5="",BC156='Tasks Filter'!$L$5),OR('Tasks Filter'!$O$3="",BD156='Tasks Filter'!$O$3),OR('Tasks Filter'!$O$4="Yes",BG156=0)),1,0))</f>
        <v/>
      </c>
      <c r="BJ156">
        <f>IF(BH156=0,"",IF('Tasks Filter'!$F$6="Descending",-1,1)*CHOOSE(MATCH('Tasks Filter'!$F$5,Lists!$G$2:$G$6,0),AW156,BF156,IFERROR(MATCH(AV156,Setup!$F$6:$F$15,0),99),IFERROR(MATCH(BC156,Setup!$H$6:$H$15,0),99),IFERROR(MATCH(AZ156,Setup!$J$6:$J$11,0),99))*1E+9+(AW156-40000)*10000+155)</f>
        <v/>
      </c>
      <c r="BK156">
        <f>IF(BI156=1,BJ156,"")</f>
        <v/>
      </c>
      <c r="BL156">
        <f>IF(AND(BH156=1,BG156=0,N(AW156)&lt;Setup!$D$7),(AW156-40000)*10000+155,"")</f>
        <v/>
      </c>
      <c r="BM156">
        <f>IF(AND(BH156=1,AZ156&lt;&gt;"Cancelled",N(AW156)&gt;=Dashboard!$AB$3,N(AW156)&lt;=Dashboard!$AB$3+6),(AW156-40000)*100000+BF156*10000+155,"")</f>
        <v/>
      </c>
      <c r="BN156">
        <f>IF(AND(BH156=1,AZ156&lt;&gt;"Cancelled"),BF156*10000+155,"")</f>
        <v/>
      </c>
    </row>
    <row r="157">
      <c r="A157">
        <f>Setup!$D$5+155</f>
        <v/>
      </c>
      <c r="B157">
        <f>IF('Recurring Schedule'!$C$6="","",IF('Recurring Schedule'!$F$6="","",IF(OR($A157&lt;'Recurring Schedule'!$F$6,$A157&gt;'Recurring Schedule'!$P$6),"",IF(IF('Recurring Schedule'!$N$6&gt;0,MOD($A157-'Recurring Schedule'!$F$6,'Recurring Schedule'!$N$6)=0,IF('Recurring Schedule'!$O$6&gt;0,AND(DAY($A157)=MIN(DAY('Recurring Schedule'!$F$6),DAY(EOMONTH($A157,0))),MOD((YEAR($A157)-YEAR('Recurring Schedule'!$F$6))*12+MONTH($A157)-MONTH('Recurring Schedule'!$F$6),'Recurring Schedule'!$O$6)=0),IF('Recurring Schedule'!$E$6="Weekdays",WEEKDAY($A157,2)&lt;=5,$A157='Recurring Schedule'!$F$6))),1,""))))</f>
        <v/>
      </c>
      <c r="C157">
        <f>IF('Recurring Schedule'!$C$7="","",IF('Recurring Schedule'!$F$7="","",IF(OR($A157&lt;'Recurring Schedule'!$F$7,$A157&gt;'Recurring Schedule'!$P$7),"",IF(IF('Recurring Schedule'!$N$7&gt;0,MOD($A157-'Recurring Schedule'!$F$7,'Recurring Schedule'!$N$7)=0,IF('Recurring Schedule'!$O$7&gt;0,AND(DAY($A157)=MIN(DAY('Recurring Schedule'!$F$7),DAY(EOMONTH($A157,0))),MOD((YEAR($A157)-YEAR('Recurring Schedule'!$F$7))*12+MONTH($A157)-MONTH('Recurring Schedule'!$F$7),'Recurring Schedule'!$O$7)=0),IF('Recurring Schedule'!$E$7="Weekdays",WEEKDAY($A157,2)&lt;=5,$A157='Recurring Schedule'!$F$7))),2,""))))</f>
        <v/>
      </c>
      <c r="D157">
        <f>IF('Recurring Schedule'!$C$8="","",IF('Recurring Schedule'!$F$8="","",IF(OR($A157&lt;'Recurring Schedule'!$F$8,$A157&gt;'Recurring Schedule'!$P$8),"",IF(IF('Recurring Schedule'!$N$8&gt;0,MOD($A157-'Recurring Schedule'!$F$8,'Recurring Schedule'!$N$8)=0,IF('Recurring Schedule'!$O$8&gt;0,AND(DAY($A157)=MIN(DAY('Recurring Schedule'!$F$8),DAY(EOMONTH($A157,0))),MOD((YEAR($A157)-YEAR('Recurring Schedule'!$F$8))*12+MONTH($A157)-MONTH('Recurring Schedule'!$F$8),'Recurring Schedule'!$O$8)=0),IF('Recurring Schedule'!$E$8="Weekdays",WEEKDAY($A157,2)&lt;=5,$A157='Recurring Schedule'!$F$8))),3,""))))</f>
        <v/>
      </c>
      <c r="E157">
        <f>IF('Recurring Schedule'!$C$9="","",IF('Recurring Schedule'!$F$9="","",IF(OR($A157&lt;'Recurring Schedule'!$F$9,$A157&gt;'Recurring Schedule'!$P$9),"",IF(IF('Recurring Schedule'!$N$9&gt;0,MOD($A157-'Recurring Schedule'!$F$9,'Recurring Schedule'!$N$9)=0,IF('Recurring Schedule'!$O$9&gt;0,AND(DAY($A157)=MIN(DAY('Recurring Schedule'!$F$9),DAY(EOMONTH($A157,0))),MOD((YEAR($A157)-YEAR('Recurring Schedule'!$F$9))*12+MONTH($A157)-MONTH('Recurring Schedule'!$F$9),'Recurring Schedule'!$O$9)=0),IF('Recurring Schedule'!$E$9="Weekdays",WEEKDAY($A157,2)&lt;=5,$A157='Recurring Schedule'!$F$9))),4,""))))</f>
        <v/>
      </c>
      <c r="F157">
        <f>IF('Recurring Schedule'!$C$10="","",IF('Recurring Schedule'!$F$10="","",IF(OR($A157&lt;'Recurring Schedule'!$F$10,$A157&gt;'Recurring Schedule'!$P$10),"",IF(IF('Recurring Schedule'!$N$10&gt;0,MOD($A157-'Recurring Schedule'!$F$10,'Recurring Schedule'!$N$10)=0,IF('Recurring Schedule'!$O$10&gt;0,AND(DAY($A157)=MIN(DAY('Recurring Schedule'!$F$10),DAY(EOMONTH($A157,0))),MOD((YEAR($A157)-YEAR('Recurring Schedule'!$F$10))*12+MONTH($A157)-MONTH('Recurring Schedule'!$F$10),'Recurring Schedule'!$O$10)=0),IF('Recurring Schedule'!$E$10="Weekdays",WEEKDAY($A157,2)&lt;=5,$A157='Recurring Schedule'!$F$10))),5,""))))</f>
        <v/>
      </c>
      <c r="G157">
        <f>IF('Recurring Schedule'!$C$11="","",IF('Recurring Schedule'!$F$11="","",IF(OR($A157&lt;'Recurring Schedule'!$F$11,$A157&gt;'Recurring Schedule'!$P$11),"",IF(IF('Recurring Schedule'!$N$11&gt;0,MOD($A157-'Recurring Schedule'!$F$11,'Recurring Schedule'!$N$11)=0,IF('Recurring Schedule'!$O$11&gt;0,AND(DAY($A157)=MIN(DAY('Recurring Schedule'!$F$11),DAY(EOMONTH($A157,0))),MOD((YEAR($A157)-YEAR('Recurring Schedule'!$F$11))*12+MONTH($A157)-MONTH('Recurring Schedule'!$F$11),'Recurring Schedule'!$O$11)=0),IF('Recurring Schedule'!$E$11="Weekdays",WEEKDAY($A157,2)&lt;=5,$A157='Recurring Schedule'!$F$11))),6,""))))</f>
        <v/>
      </c>
      <c r="H157">
        <f>IF('Recurring Schedule'!$C$12="","",IF('Recurring Schedule'!$F$12="","",IF(OR($A157&lt;'Recurring Schedule'!$F$12,$A157&gt;'Recurring Schedule'!$P$12),"",IF(IF('Recurring Schedule'!$N$12&gt;0,MOD($A157-'Recurring Schedule'!$F$12,'Recurring Schedule'!$N$12)=0,IF('Recurring Schedule'!$O$12&gt;0,AND(DAY($A157)=MIN(DAY('Recurring Schedule'!$F$12),DAY(EOMONTH($A157,0))),MOD((YEAR($A157)-YEAR('Recurring Schedule'!$F$12))*12+MONTH($A157)-MONTH('Recurring Schedule'!$F$12),'Recurring Schedule'!$O$12)=0),IF('Recurring Schedule'!$E$12="Weekdays",WEEKDAY($A157,2)&lt;=5,$A157='Recurring Schedule'!$F$12))),7,""))))</f>
        <v/>
      </c>
      <c r="I157">
        <f>IF('Recurring Schedule'!$C$13="","",IF('Recurring Schedule'!$F$13="","",IF(OR($A157&lt;'Recurring Schedule'!$F$13,$A157&gt;'Recurring Schedule'!$P$13),"",IF(IF('Recurring Schedule'!$N$13&gt;0,MOD($A157-'Recurring Schedule'!$F$13,'Recurring Schedule'!$N$13)=0,IF('Recurring Schedule'!$O$13&gt;0,AND(DAY($A157)=MIN(DAY('Recurring Schedule'!$F$13),DAY(EOMONTH($A157,0))),MOD((YEAR($A157)-YEAR('Recurring Schedule'!$F$13))*12+MONTH($A157)-MONTH('Recurring Schedule'!$F$13),'Recurring Schedule'!$O$13)=0),IF('Recurring Schedule'!$E$13="Weekdays",WEEKDAY($A157,2)&lt;=5,$A157='Recurring Schedule'!$F$13))),8,""))))</f>
        <v/>
      </c>
      <c r="J157">
        <f>IF('Recurring Schedule'!$C$14="","",IF('Recurring Schedule'!$F$14="","",IF(OR($A157&lt;'Recurring Schedule'!$F$14,$A157&gt;'Recurring Schedule'!$P$14),"",IF(IF('Recurring Schedule'!$N$14&gt;0,MOD($A157-'Recurring Schedule'!$F$14,'Recurring Schedule'!$N$14)=0,IF('Recurring Schedule'!$O$14&gt;0,AND(DAY($A157)=MIN(DAY('Recurring Schedule'!$F$14),DAY(EOMONTH($A157,0))),MOD((YEAR($A157)-YEAR('Recurring Schedule'!$F$14))*12+MONTH($A157)-MONTH('Recurring Schedule'!$F$14),'Recurring Schedule'!$O$14)=0),IF('Recurring Schedule'!$E$14="Weekdays",WEEKDAY($A157,2)&lt;=5,$A157='Recurring Schedule'!$F$14))),9,""))))</f>
        <v/>
      </c>
      <c r="K157">
        <f>IF('Recurring Schedule'!$C$15="","",IF('Recurring Schedule'!$F$15="","",IF(OR($A157&lt;'Recurring Schedule'!$F$15,$A157&gt;'Recurring Schedule'!$P$15),"",IF(IF('Recurring Schedule'!$N$15&gt;0,MOD($A157-'Recurring Schedule'!$F$15,'Recurring Schedule'!$N$15)=0,IF('Recurring Schedule'!$O$15&gt;0,AND(DAY($A157)=MIN(DAY('Recurring Schedule'!$F$15),DAY(EOMONTH($A157,0))),MOD((YEAR($A157)-YEAR('Recurring Schedule'!$F$15))*12+MONTH($A157)-MONTH('Recurring Schedule'!$F$15),'Recurring Schedule'!$O$15)=0),IF('Recurring Schedule'!$E$15="Weekdays",WEEKDAY($A157,2)&lt;=5,$A157='Recurring Schedule'!$F$15))),10,""))))</f>
        <v/>
      </c>
      <c r="L157">
        <f>IF('Recurring Schedule'!$C$16="","",IF('Recurring Schedule'!$F$16="","",IF(OR($A157&lt;'Recurring Schedule'!$F$16,$A157&gt;'Recurring Schedule'!$P$16),"",IF(IF('Recurring Schedule'!$N$16&gt;0,MOD($A157-'Recurring Schedule'!$F$16,'Recurring Schedule'!$N$16)=0,IF('Recurring Schedule'!$O$16&gt;0,AND(DAY($A157)=MIN(DAY('Recurring Schedule'!$F$16),DAY(EOMONTH($A157,0))),MOD((YEAR($A157)-YEAR('Recurring Schedule'!$F$16))*12+MONTH($A157)-MONTH('Recurring Schedule'!$F$16),'Recurring Schedule'!$O$16)=0),IF('Recurring Schedule'!$E$16="Weekdays",WEEKDAY($A157,2)&lt;=5,$A157='Recurring Schedule'!$F$16))),11,""))))</f>
        <v/>
      </c>
      <c r="M157">
        <f>IF('Recurring Schedule'!$C$17="","",IF('Recurring Schedule'!$F$17="","",IF(OR($A157&lt;'Recurring Schedule'!$F$17,$A157&gt;'Recurring Schedule'!$P$17),"",IF(IF('Recurring Schedule'!$N$17&gt;0,MOD($A157-'Recurring Schedule'!$F$17,'Recurring Schedule'!$N$17)=0,IF('Recurring Schedule'!$O$17&gt;0,AND(DAY($A157)=MIN(DAY('Recurring Schedule'!$F$17),DAY(EOMONTH($A157,0))),MOD((YEAR($A157)-YEAR('Recurring Schedule'!$F$17))*12+MONTH($A157)-MONTH('Recurring Schedule'!$F$17),'Recurring Schedule'!$O$17)=0),IF('Recurring Schedule'!$E$17="Weekdays",WEEKDAY($A157,2)&lt;=5,$A157='Recurring Schedule'!$F$17))),12,""))))</f>
        <v/>
      </c>
      <c r="N157">
        <f>IF('Recurring Schedule'!$C$18="","",IF('Recurring Schedule'!$F$18="","",IF(OR($A157&lt;'Recurring Schedule'!$F$18,$A157&gt;'Recurring Schedule'!$P$18),"",IF(IF('Recurring Schedule'!$N$18&gt;0,MOD($A157-'Recurring Schedule'!$F$18,'Recurring Schedule'!$N$18)=0,IF('Recurring Schedule'!$O$18&gt;0,AND(DAY($A157)=MIN(DAY('Recurring Schedule'!$F$18),DAY(EOMONTH($A157,0))),MOD((YEAR($A157)-YEAR('Recurring Schedule'!$F$18))*12+MONTH($A157)-MONTH('Recurring Schedule'!$F$18),'Recurring Schedule'!$O$18)=0),IF('Recurring Schedule'!$E$18="Weekdays",WEEKDAY($A157,2)&lt;=5,$A157='Recurring Schedule'!$F$18))),13,""))))</f>
        <v/>
      </c>
      <c r="O157">
        <f>IF('Recurring Schedule'!$C$19="","",IF('Recurring Schedule'!$F$19="","",IF(OR($A157&lt;'Recurring Schedule'!$F$19,$A157&gt;'Recurring Schedule'!$P$19),"",IF(IF('Recurring Schedule'!$N$19&gt;0,MOD($A157-'Recurring Schedule'!$F$19,'Recurring Schedule'!$N$19)=0,IF('Recurring Schedule'!$O$19&gt;0,AND(DAY($A157)=MIN(DAY('Recurring Schedule'!$F$19),DAY(EOMONTH($A157,0))),MOD((YEAR($A157)-YEAR('Recurring Schedule'!$F$19))*12+MONTH($A157)-MONTH('Recurring Schedule'!$F$19),'Recurring Schedule'!$O$19)=0),IF('Recurring Schedule'!$E$19="Weekdays",WEEKDAY($A157,2)&lt;=5,$A157='Recurring Schedule'!$F$19))),14,""))))</f>
        <v/>
      </c>
      <c r="P157">
        <f>IF('Recurring Schedule'!$C$20="","",IF('Recurring Schedule'!$F$20="","",IF(OR($A157&lt;'Recurring Schedule'!$F$20,$A157&gt;'Recurring Schedule'!$P$20),"",IF(IF('Recurring Schedule'!$N$20&gt;0,MOD($A157-'Recurring Schedule'!$F$20,'Recurring Schedule'!$N$20)=0,IF('Recurring Schedule'!$O$20&gt;0,AND(DAY($A157)=MIN(DAY('Recurring Schedule'!$F$20),DAY(EOMONTH($A157,0))),MOD((YEAR($A157)-YEAR('Recurring Schedule'!$F$20))*12+MONTH($A157)-MONTH('Recurring Schedule'!$F$20),'Recurring Schedule'!$O$20)=0),IF('Recurring Schedule'!$E$20="Weekdays",WEEKDAY($A157,2)&lt;=5,$A157='Recurring Schedule'!$F$20))),15,""))))</f>
        <v/>
      </c>
      <c r="Q157">
        <f>IF('Recurring Schedule'!$C$21="","",IF('Recurring Schedule'!$F$21="","",IF(OR($A157&lt;'Recurring Schedule'!$F$21,$A157&gt;'Recurring Schedule'!$P$21),"",IF(IF('Recurring Schedule'!$N$21&gt;0,MOD($A157-'Recurring Schedule'!$F$21,'Recurring Schedule'!$N$21)=0,IF('Recurring Schedule'!$O$21&gt;0,AND(DAY($A157)=MIN(DAY('Recurring Schedule'!$F$21),DAY(EOMONTH($A157,0))),MOD((YEAR($A157)-YEAR('Recurring Schedule'!$F$21))*12+MONTH($A157)-MONTH('Recurring Schedule'!$F$21),'Recurring Schedule'!$O$21)=0),IF('Recurring Schedule'!$E$21="Weekdays",WEEKDAY($A157,2)&lt;=5,$A157='Recurring Schedule'!$F$21))),16,""))))</f>
        <v/>
      </c>
      <c r="R157">
        <f>IF('Recurring Schedule'!$C$22="","",IF('Recurring Schedule'!$F$22="","",IF(OR($A157&lt;'Recurring Schedule'!$F$22,$A157&gt;'Recurring Schedule'!$P$22),"",IF(IF('Recurring Schedule'!$N$22&gt;0,MOD($A157-'Recurring Schedule'!$F$22,'Recurring Schedule'!$N$22)=0,IF('Recurring Schedule'!$O$22&gt;0,AND(DAY($A157)=MIN(DAY('Recurring Schedule'!$F$22),DAY(EOMONTH($A157,0))),MOD((YEAR($A157)-YEAR('Recurring Schedule'!$F$22))*12+MONTH($A157)-MONTH('Recurring Schedule'!$F$22),'Recurring Schedule'!$O$22)=0),IF('Recurring Schedule'!$E$22="Weekdays",WEEKDAY($A157,2)&lt;=5,$A157='Recurring Schedule'!$F$22))),17,""))))</f>
        <v/>
      </c>
      <c r="S157">
        <f>IF('Recurring Schedule'!$C$23="","",IF('Recurring Schedule'!$F$23="","",IF(OR($A157&lt;'Recurring Schedule'!$F$23,$A157&gt;'Recurring Schedule'!$P$23),"",IF(IF('Recurring Schedule'!$N$23&gt;0,MOD($A157-'Recurring Schedule'!$F$23,'Recurring Schedule'!$N$23)=0,IF('Recurring Schedule'!$O$23&gt;0,AND(DAY($A157)=MIN(DAY('Recurring Schedule'!$F$23),DAY(EOMONTH($A157,0))),MOD((YEAR($A157)-YEAR('Recurring Schedule'!$F$23))*12+MONTH($A157)-MONTH('Recurring Schedule'!$F$23),'Recurring Schedule'!$O$23)=0),IF('Recurring Schedule'!$E$23="Weekdays",WEEKDAY($A157,2)&lt;=5,$A157='Recurring Schedule'!$F$23))),18,""))))</f>
        <v/>
      </c>
      <c r="T157">
        <f>IF('Recurring Schedule'!$C$24="","",IF('Recurring Schedule'!$F$24="","",IF(OR($A157&lt;'Recurring Schedule'!$F$24,$A157&gt;'Recurring Schedule'!$P$24),"",IF(IF('Recurring Schedule'!$N$24&gt;0,MOD($A157-'Recurring Schedule'!$F$24,'Recurring Schedule'!$N$24)=0,IF('Recurring Schedule'!$O$24&gt;0,AND(DAY($A157)=MIN(DAY('Recurring Schedule'!$F$24),DAY(EOMONTH($A157,0))),MOD((YEAR($A157)-YEAR('Recurring Schedule'!$F$24))*12+MONTH($A157)-MONTH('Recurring Schedule'!$F$24),'Recurring Schedule'!$O$24)=0),IF('Recurring Schedule'!$E$24="Weekdays",WEEKDAY($A157,2)&lt;=5,$A157='Recurring Schedule'!$F$24))),19,""))))</f>
        <v/>
      </c>
      <c r="U157">
        <f>IF('Recurring Schedule'!$C$25="","",IF('Recurring Schedule'!$F$25="","",IF(OR($A157&lt;'Recurring Schedule'!$F$25,$A157&gt;'Recurring Schedule'!$P$25),"",IF(IF('Recurring Schedule'!$N$25&gt;0,MOD($A157-'Recurring Schedule'!$F$25,'Recurring Schedule'!$N$25)=0,IF('Recurring Schedule'!$O$25&gt;0,AND(DAY($A157)=MIN(DAY('Recurring Schedule'!$F$25),DAY(EOMONTH($A157,0))),MOD((YEAR($A157)-YEAR('Recurring Schedule'!$F$25))*12+MONTH($A157)-MONTH('Recurring Schedule'!$F$25),'Recurring Schedule'!$O$25)=0),IF('Recurring Schedule'!$E$25="Weekdays",WEEKDAY($A157,2)&lt;=5,$A157='Recurring Schedule'!$F$25))),20,""))))</f>
        <v/>
      </c>
      <c r="V157">
        <f>IF('Recurring Schedule'!$C$26="","",IF('Recurring Schedule'!$F$26="","",IF(OR($A157&lt;'Recurring Schedule'!$F$26,$A157&gt;'Recurring Schedule'!$P$26),"",IF(IF('Recurring Schedule'!$N$26&gt;0,MOD($A157-'Recurring Schedule'!$F$26,'Recurring Schedule'!$N$26)=0,IF('Recurring Schedule'!$O$26&gt;0,AND(DAY($A157)=MIN(DAY('Recurring Schedule'!$F$26),DAY(EOMONTH($A157,0))),MOD((YEAR($A157)-YEAR('Recurring Schedule'!$F$26))*12+MONTH($A157)-MONTH('Recurring Schedule'!$F$26),'Recurring Schedule'!$O$26)=0),IF('Recurring Schedule'!$E$26="Weekdays",WEEKDAY($A157,2)&lt;=5,$A157='Recurring Schedule'!$F$26))),21,""))))</f>
        <v/>
      </c>
      <c r="W157">
        <f>IF('Recurring Schedule'!$C$27="","",IF('Recurring Schedule'!$F$27="","",IF(OR($A157&lt;'Recurring Schedule'!$F$27,$A157&gt;'Recurring Schedule'!$P$27),"",IF(IF('Recurring Schedule'!$N$27&gt;0,MOD($A157-'Recurring Schedule'!$F$27,'Recurring Schedule'!$N$27)=0,IF('Recurring Schedule'!$O$27&gt;0,AND(DAY($A157)=MIN(DAY('Recurring Schedule'!$F$27),DAY(EOMONTH($A157,0))),MOD((YEAR($A157)-YEAR('Recurring Schedule'!$F$27))*12+MONTH($A157)-MONTH('Recurring Schedule'!$F$27),'Recurring Schedule'!$O$27)=0),IF('Recurring Schedule'!$E$27="Weekdays",WEEKDAY($A157,2)&lt;=5,$A157='Recurring Schedule'!$F$27))),22,""))))</f>
        <v/>
      </c>
      <c r="X157">
        <f>IF('Recurring Schedule'!$C$28="","",IF('Recurring Schedule'!$F$28="","",IF(OR($A157&lt;'Recurring Schedule'!$F$28,$A157&gt;'Recurring Schedule'!$P$28),"",IF(IF('Recurring Schedule'!$N$28&gt;0,MOD($A157-'Recurring Schedule'!$F$28,'Recurring Schedule'!$N$28)=0,IF('Recurring Schedule'!$O$28&gt;0,AND(DAY($A157)=MIN(DAY('Recurring Schedule'!$F$28),DAY(EOMONTH($A157,0))),MOD((YEAR($A157)-YEAR('Recurring Schedule'!$F$28))*12+MONTH($A157)-MONTH('Recurring Schedule'!$F$28),'Recurring Schedule'!$O$28)=0),IF('Recurring Schedule'!$E$28="Weekdays",WEEKDAY($A157,2)&lt;=5,$A157='Recurring Schedule'!$F$28))),23,""))))</f>
        <v/>
      </c>
      <c r="Y157">
        <f>IF('Recurring Schedule'!$C$29="","",IF('Recurring Schedule'!$F$29="","",IF(OR($A157&lt;'Recurring Schedule'!$F$29,$A157&gt;'Recurring Schedule'!$P$29),"",IF(IF('Recurring Schedule'!$N$29&gt;0,MOD($A157-'Recurring Schedule'!$F$29,'Recurring Schedule'!$N$29)=0,IF('Recurring Schedule'!$O$29&gt;0,AND(DAY($A157)=MIN(DAY('Recurring Schedule'!$F$29),DAY(EOMONTH($A157,0))),MOD((YEAR($A157)-YEAR('Recurring Schedule'!$F$29))*12+MONTH($A157)-MONTH('Recurring Schedule'!$F$29),'Recurring Schedule'!$O$29)=0),IF('Recurring Schedule'!$E$29="Weekdays",WEEKDAY($A157,2)&lt;=5,$A157='Recurring Schedule'!$F$29))),24,""))))</f>
        <v/>
      </c>
      <c r="Z157">
        <f>IF('Recurring Schedule'!$C$30="","",IF('Recurring Schedule'!$F$30="","",IF(OR($A157&lt;'Recurring Schedule'!$F$30,$A157&gt;'Recurring Schedule'!$P$30),"",IF(IF('Recurring Schedule'!$N$30&gt;0,MOD($A157-'Recurring Schedule'!$F$30,'Recurring Schedule'!$N$30)=0,IF('Recurring Schedule'!$O$30&gt;0,AND(DAY($A157)=MIN(DAY('Recurring Schedule'!$F$30),DAY(EOMONTH($A157,0))),MOD((YEAR($A157)-YEAR('Recurring Schedule'!$F$30))*12+MONTH($A157)-MONTH('Recurring Schedule'!$F$30),'Recurring Schedule'!$O$30)=0),IF('Recurring Schedule'!$E$30="Weekdays",WEEKDAY($A157,2)&lt;=5,$A157='Recurring Schedule'!$F$30))),25,""))))</f>
        <v/>
      </c>
      <c r="AA157">
        <f>IF('Recurring Schedule'!$C$31="","",IF('Recurring Schedule'!$F$31="","",IF(OR($A157&lt;'Recurring Schedule'!$F$31,$A157&gt;'Recurring Schedule'!$P$31),"",IF(IF('Recurring Schedule'!$N$31&gt;0,MOD($A157-'Recurring Schedule'!$F$31,'Recurring Schedule'!$N$31)=0,IF('Recurring Schedule'!$O$31&gt;0,AND(DAY($A157)=MIN(DAY('Recurring Schedule'!$F$31),DAY(EOMONTH($A157,0))),MOD((YEAR($A157)-YEAR('Recurring Schedule'!$F$31))*12+MONTH($A157)-MONTH('Recurring Schedule'!$F$31),'Recurring Schedule'!$O$31)=0),IF('Recurring Schedule'!$E$31="Weekdays",WEEKDAY($A157,2)&lt;=5,$A157='Recurring Schedule'!$F$31))),26,""))))</f>
        <v/>
      </c>
      <c r="AB157">
        <f>IF('Recurring Schedule'!$C$32="","",IF('Recurring Schedule'!$F$32="","",IF(OR($A157&lt;'Recurring Schedule'!$F$32,$A157&gt;'Recurring Schedule'!$P$32),"",IF(IF('Recurring Schedule'!$N$32&gt;0,MOD($A157-'Recurring Schedule'!$F$32,'Recurring Schedule'!$N$32)=0,IF('Recurring Schedule'!$O$32&gt;0,AND(DAY($A157)=MIN(DAY('Recurring Schedule'!$F$32),DAY(EOMONTH($A157,0))),MOD((YEAR($A157)-YEAR('Recurring Schedule'!$F$32))*12+MONTH($A157)-MONTH('Recurring Schedule'!$F$32),'Recurring Schedule'!$O$32)=0),IF('Recurring Schedule'!$E$32="Weekdays",WEEKDAY($A157,2)&lt;=5,$A157='Recurring Schedule'!$F$32))),27,""))))</f>
        <v/>
      </c>
      <c r="AC157">
        <f>IF('Recurring Schedule'!$C$33="","",IF('Recurring Schedule'!$F$33="","",IF(OR($A157&lt;'Recurring Schedule'!$F$33,$A157&gt;'Recurring Schedule'!$P$33),"",IF(IF('Recurring Schedule'!$N$33&gt;0,MOD($A157-'Recurring Schedule'!$F$33,'Recurring Schedule'!$N$33)=0,IF('Recurring Schedule'!$O$33&gt;0,AND(DAY($A157)=MIN(DAY('Recurring Schedule'!$F$33),DAY(EOMONTH($A157,0))),MOD((YEAR($A157)-YEAR('Recurring Schedule'!$F$33))*12+MONTH($A157)-MONTH('Recurring Schedule'!$F$33),'Recurring Schedule'!$O$33)=0),IF('Recurring Schedule'!$E$33="Weekdays",WEEKDAY($A157,2)&lt;=5,$A157='Recurring Schedule'!$F$33))),28,""))))</f>
        <v/>
      </c>
      <c r="AD157">
        <f>IF('Recurring Schedule'!$C$34="","",IF('Recurring Schedule'!$F$34="","",IF(OR($A157&lt;'Recurring Schedule'!$F$34,$A157&gt;'Recurring Schedule'!$P$34),"",IF(IF('Recurring Schedule'!$N$34&gt;0,MOD($A157-'Recurring Schedule'!$F$34,'Recurring Schedule'!$N$34)=0,IF('Recurring Schedule'!$O$34&gt;0,AND(DAY($A157)=MIN(DAY('Recurring Schedule'!$F$34),DAY(EOMONTH($A157,0))),MOD((YEAR($A157)-YEAR('Recurring Schedule'!$F$34))*12+MONTH($A157)-MONTH('Recurring Schedule'!$F$34),'Recurring Schedule'!$O$34)=0),IF('Recurring Schedule'!$E$34="Weekdays",WEEKDAY($A157,2)&lt;=5,$A157='Recurring Schedule'!$F$34))),29,""))))</f>
        <v/>
      </c>
      <c r="AE157">
        <f>IF('Recurring Schedule'!$C$35="","",IF('Recurring Schedule'!$F$35="","",IF(OR($A157&lt;'Recurring Schedule'!$F$35,$A157&gt;'Recurring Schedule'!$P$35),"",IF(IF('Recurring Schedule'!$N$35&gt;0,MOD($A157-'Recurring Schedule'!$F$35,'Recurring Schedule'!$N$35)=0,IF('Recurring Schedule'!$O$35&gt;0,AND(DAY($A157)=MIN(DAY('Recurring Schedule'!$F$35),DAY(EOMONTH($A157,0))),MOD((YEAR($A157)-YEAR('Recurring Schedule'!$F$35))*12+MONTH($A157)-MONTH('Recurring Schedule'!$F$35),'Recurring Schedule'!$O$35)=0),IF('Recurring Schedule'!$E$35="Weekdays",WEEKDAY($A157,2)&lt;=5,$A157='Recurring Schedule'!$F$35))),30,""))))</f>
        <v/>
      </c>
      <c r="AF157">
        <f>IF('Recurring Schedule'!$C$36="","",IF('Recurring Schedule'!$F$36="","",IF(OR($A157&lt;'Recurring Schedule'!$F$36,$A157&gt;'Recurring Schedule'!$P$36),"",IF(IF('Recurring Schedule'!$N$36&gt;0,MOD($A157-'Recurring Schedule'!$F$36,'Recurring Schedule'!$N$36)=0,IF('Recurring Schedule'!$O$36&gt;0,AND(DAY($A157)=MIN(DAY('Recurring Schedule'!$F$36),DAY(EOMONTH($A157,0))),MOD((YEAR($A157)-YEAR('Recurring Schedule'!$F$36))*12+MONTH($A157)-MONTH('Recurring Schedule'!$F$36),'Recurring Schedule'!$O$36)=0),IF('Recurring Schedule'!$E$36="Weekdays",WEEKDAY($A157,2)&lt;=5,$A157='Recurring Schedule'!$F$36))),31,""))))</f>
        <v/>
      </c>
      <c r="AG157">
        <f>IF('Recurring Schedule'!$C$37="","",IF('Recurring Schedule'!$F$37="","",IF(OR($A157&lt;'Recurring Schedule'!$F$37,$A157&gt;'Recurring Schedule'!$P$37),"",IF(IF('Recurring Schedule'!$N$37&gt;0,MOD($A157-'Recurring Schedule'!$F$37,'Recurring Schedule'!$N$37)=0,IF('Recurring Schedule'!$O$37&gt;0,AND(DAY($A157)=MIN(DAY('Recurring Schedule'!$F$37),DAY(EOMONTH($A157,0))),MOD((YEAR($A157)-YEAR('Recurring Schedule'!$F$37))*12+MONTH($A157)-MONTH('Recurring Schedule'!$F$37),'Recurring Schedule'!$O$37)=0),IF('Recurring Schedule'!$E$37="Weekdays",WEEKDAY($A157,2)&lt;=5,$A157='Recurring Schedule'!$F$37))),32,""))))</f>
        <v/>
      </c>
      <c r="AH157">
        <f>IF('Recurring Schedule'!$C$38="","",IF('Recurring Schedule'!$F$38="","",IF(OR($A157&lt;'Recurring Schedule'!$F$38,$A157&gt;'Recurring Schedule'!$P$38),"",IF(IF('Recurring Schedule'!$N$38&gt;0,MOD($A157-'Recurring Schedule'!$F$38,'Recurring Schedule'!$N$38)=0,IF('Recurring Schedule'!$O$38&gt;0,AND(DAY($A157)=MIN(DAY('Recurring Schedule'!$F$38),DAY(EOMONTH($A157,0))),MOD((YEAR($A157)-YEAR('Recurring Schedule'!$F$38))*12+MONTH($A157)-MONTH('Recurring Schedule'!$F$38),'Recurring Schedule'!$O$38)=0),IF('Recurring Schedule'!$E$38="Weekdays",WEEKDAY($A157,2)&lt;=5,$A157='Recurring Schedule'!$F$38))),33,""))))</f>
        <v/>
      </c>
      <c r="AI157">
        <f>IF('Recurring Schedule'!$C$39="","",IF('Recurring Schedule'!$F$39="","",IF(OR($A157&lt;'Recurring Schedule'!$F$39,$A157&gt;'Recurring Schedule'!$P$39),"",IF(IF('Recurring Schedule'!$N$39&gt;0,MOD($A157-'Recurring Schedule'!$F$39,'Recurring Schedule'!$N$39)=0,IF('Recurring Schedule'!$O$39&gt;0,AND(DAY($A157)=MIN(DAY('Recurring Schedule'!$F$39),DAY(EOMONTH($A157,0))),MOD((YEAR($A157)-YEAR('Recurring Schedule'!$F$39))*12+MONTH($A157)-MONTH('Recurring Schedule'!$F$39),'Recurring Schedule'!$O$39)=0),IF('Recurring Schedule'!$E$39="Weekdays",WEEKDAY($A157,2)&lt;=5,$A157='Recurring Schedule'!$F$39))),34,""))))</f>
        <v/>
      </c>
      <c r="AJ157">
        <f>IF('Recurring Schedule'!$C$40="","",IF('Recurring Schedule'!$F$40="","",IF(OR($A157&lt;'Recurring Schedule'!$F$40,$A157&gt;'Recurring Schedule'!$P$40),"",IF(IF('Recurring Schedule'!$N$40&gt;0,MOD($A157-'Recurring Schedule'!$F$40,'Recurring Schedule'!$N$40)=0,IF('Recurring Schedule'!$O$40&gt;0,AND(DAY($A157)=MIN(DAY('Recurring Schedule'!$F$40),DAY(EOMONTH($A157,0))),MOD((YEAR($A157)-YEAR('Recurring Schedule'!$F$40))*12+MONTH($A157)-MONTH('Recurring Schedule'!$F$40),'Recurring Schedule'!$O$40)=0),IF('Recurring Schedule'!$E$40="Weekdays",WEEKDAY($A157,2)&lt;=5,$A157='Recurring Schedule'!$F$40))),35,""))))</f>
        <v/>
      </c>
      <c r="AK157">
        <f>IF('Recurring Schedule'!$C$41="","",IF('Recurring Schedule'!$F$41="","",IF(OR($A157&lt;'Recurring Schedule'!$F$41,$A157&gt;'Recurring Schedule'!$P$41),"",IF(IF('Recurring Schedule'!$N$41&gt;0,MOD($A157-'Recurring Schedule'!$F$41,'Recurring Schedule'!$N$41)=0,IF('Recurring Schedule'!$O$41&gt;0,AND(DAY($A157)=MIN(DAY('Recurring Schedule'!$F$41),DAY(EOMONTH($A157,0))),MOD((YEAR($A157)-YEAR('Recurring Schedule'!$F$41))*12+MONTH($A157)-MONTH('Recurring Schedule'!$F$41),'Recurring Schedule'!$O$41)=0),IF('Recurring Schedule'!$E$41="Weekdays",WEEKDAY($A157,2)&lt;=5,$A157='Recurring Schedule'!$F$41))),36,""))))</f>
        <v/>
      </c>
      <c r="AL157">
        <f>IF('Recurring Schedule'!$C$42="","",IF('Recurring Schedule'!$F$42="","",IF(OR($A157&lt;'Recurring Schedule'!$F$42,$A157&gt;'Recurring Schedule'!$P$42),"",IF(IF('Recurring Schedule'!$N$42&gt;0,MOD($A157-'Recurring Schedule'!$F$42,'Recurring Schedule'!$N$42)=0,IF('Recurring Schedule'!$O$42&gt;0,AND(DAY($A157)=MIN(DAY('Recurring Schedule'!$F$42),DAY(EOMONTH($A157,0))),MOD((YEAR($A157)-YEAR('Recurring Schedule'!$F$42))*12+MONTH($A157)-MONTH('Recurring Schedule'!$F$42),'Recurring Schedule'!$O$42)=0),IF('Recurring Schedule'!$E$42="Weekdays",WEEKDAY($A157,2)&lt;=5,$A157='Recurring Schedule'!$F$42))),37,""))))</f>
        <v/>
      </c>
      <c r="AM157">
        <f>IF('Recurring Schedule'!$C$43="","",IF('Recurring Schedule'!$F$43="","",IF(OR($A157&lt;'Recurring Schedule'!$F$43,$A157&gt;'Recurring Schedule'!$P$43),"",IF(IF('Recurring Schedule'!$N$43&gt;0,MOD($A157-'Recurring Schedule'!$F$43,'Recurring Schedule'!$N$43)=0,IF('Recurring Schedule'!$O$43&gt;0,AND(DAY($A157)=MIN(DAY('Recurring Schedule'!$F$43),DAY(EOMONTH($A157,0))),MOD((YEAR($A157)-YEAR('Recurring Schedule'!$F$43))*12+MONTH($A157)-MONTH('Recurring Schedule'!$F$43),'Recurring Schedule'!$O$43)=0),IF('Recurring Schedule'!$E$43="Weekdays",WEEKDAY($A157,2)&lt;=5,$A157='Recurring Schedule'!$F$43))),38,""))))</f>
        <v/>
      </c>
      <c r="AN157">
        <f>IF('Recurring Schedule'!$C$44="","",IF('Recurring Schedule'!$F$44="","",IF(OR($A157&lt;'Recurring Schedule'!$F$44,$A157&gt;'Recurring Schedule'!$P$44),"",IF(IF('Recurring Schedule'!$N$44&gt;0,MOD($A157-'Recurring Schedule'!$F$44,'Recurring Schedule'!$N$44)=0,IF('Recurring Schedule'!$O$44&gt;0,AND(DAY($A157)=MIN(DAY('Recurring Schedule'!$F$44),DAY(EOMONTH($A157,0))),MOD((YEAR($A157)-YEAR('Recurring Schedule'!$F$44))*12+MONTH($A157)-MONTH('Recurring Schedule'!$F$44),'Recurring Schedule'!$O$44)=0),IF('Recurring Schedule'!$E$44="Weekdays",WEEKDAY($A157,2)&lt;=5,$A157='Recurring Schedule'!$F$44))),39,""))))</f>
        <v/>
      </c>
      <c r="AO157">
        <f>IF('Recurring Schedule'!$C$45="","",IF('Recurring Schedule'!$F$45="","",IF(OR($A157&lt;'Recurring Schedule'!$F$45,$A157&gt;'Recurring Schedule'!$P$45),"",IF(IF('Recurring Schedule'!$N$45&gt;0,MOD($A157-'Recurring Schedule'!$F$45,'Recurring Schedule'!$N$45)=0,IF('Recurring Schedule'!$O$45&gt;0,AND(DAY($A157)=MIN(DAY('Recurring Schedule'!$F$45),DAY(EOMONTH($A157,0))),MOD((YEAR($A157)-YEAR('Recurring Schedule'!$F$45))*12+MONTH($A157)-MONTH('Recurring Schedule'!$F$45),'Recurring Schedule'!$O$45)=0),IF('Recurring Schedule'!$E$45="Weekdays",WEEKDAY($A157,2)&lt;=5,$A157='Recurring Schedule'!$F$45))),40,""))))</f>
        <v/>
      </c>
      <c r="AP157">
        <f>COUNT(B157:AO157)</f>
        <v/>
      </c>
      <c r="AQ157">
        <f>AQ156+AP156</f>
        <v/>
      </c>
      <c r="AS157" t="inlineStr">
        <is>
          <t>R</t>
        </is>
      </c>
      <c r="AT157" t="n">
        <v>161</v>
      </c>
      <c r="AU157">
        <f>'Recurring Log'!C161&amp;""</f>
        <v/>
      </c>
      <c r="AV157">
        <f>'Recurring Log'!D161&amp;""</f>
        <v/>
      </c>
      <c r="AW157">
        <f>IF('Recurring Log'!E161="","",'Recurring Log'!E161)</f>
        <v/>
      </c>
      <c r="AX157">
        <f>IF('Recurring Log'!G161="","",'Recurring Log'!G161)</f>
        <v/>
      </c>
      <c r="AY157">
        <f>IF('Recurring Log'!H161="","",'Recurring Log'!H161)</f>
        <v/>
      </c>
      <c r="AZ157">
        <f>IF(AU157="","",IF('Recurring Log'!J161="","Not Started",'Recurring Log'!J161))</f>
        <v/>
      </c>
      <c r="BA157">
        <f>'Recurring Log'!L161&amp;""</f>
        <v/>
      </c>
      <c r="BB157">
        <f>'Recurring Log'!M161&amp;""</f>
        <v/>
      </c>
      <c r="BC157">
        <f>'Recurring Log'!N161&amp;""</f>
        <v/>
      </c>
      <c r="BD157">
        <f>'Recurring Log'!O161&amp;""</f>
        <v/>
      </c>
      <c r="BE157">
        <f>IF('Recurring Log'!K161="","",'Recurring Log'!K161)</f>
        <v/>
      </c>
      <c r="BF157">
        <f>IFERROR(MATCH(BA157,Setup!$L$6:$L$9,0),5)</f>
        <v/>
      </c>
      <c r="BG157">
        <f>IF(OR(AZ157="Done",AZ157="Cancelled"),1,0)</f>
        <v/>
      </c>
      <c r="BH157">
        <f>IF(AND(AU157&lt;&gt;"",ISNUMBER(AW157)),1,0)</f>
        <v/>
      </c>
      <c r="BI157">
        <f>IF(BH157=0,0,IF(AND(AW157&gt;='Tasks Filter'!$F$3,AW157&lt;='Tasks Filter'!$F$4,OR('Tasks Filter'!$I$3="",ISNUMBER(SEARCH('Tasks Filter'!$I$3,AU157))),OR('Tasks Filter'!$I$4="",BF157=IFERROR(MATCH('Tasks Filter'!$I$4,Setup!$L$6:$L$9,0),0)),OR('Tasks Filter'!$I$5="Both",AND('Tasks Filter'!$I$5="Yes",BB157="✓"),AND('Tasks Filter'!$I$5="No",BB157&lt;&gt;"✓")),OR('Tasks Filter'!$L$3="",AV157='Tasks Filter'!$L$3),OR('Tasks Filter'!$L$4="",AZ157='Tasks Filter'!$L$4),OR('Tasks Filter'!$L$5="",BC157='Tasks Filter'!$L$5),OR('Tasks Filter'!$O$3="",BD157='Tasks Filter'!$O$3),OR('Tasks Filter'!$O$4="Yes",BG157=0)),1,0))</f>
        <v/>
      </c>
      <c r="BJ157">
        <f>IF(BH157=0,"",IF('Tasks Filter'!$F$6="Descending",-1,1)*CHOOSE(MATCH('Tasks Filter'!$F$5,Lists!$G$2:$G$6,0),AW157,BF157,IFERROR(MATCH(AV157,Setup!$F$6:$F$15,0),99),IFERROR(MATCH(BC157,Setup!$H$6:$H$15,0),99),IFERROR(MATCH(AZ157,Setup!$J$6:$J$11,0),99))*1E+9+(AW157-40000)*10000+156)</f>
        <v/>
      </c>
      <c r="BK157">
        <f>IF(BI157=1,BJ157,"")</f>
        <v/>
      </c>
      <c r="BL157">
        <f>IF(AND(BH157=1,BG157=0,N(AW157)&lt;Setup!$D$7),(AW157-40000)*10000+156,"")</f>
        <v/>
      </c>
      <c r="BM157">
        <f>IF(AND(BH157=1,AZ157&lt;&gt;"Cancelled",N(AW157)&gt;=Dashboard!$AB$3,N(AW157)&lt;=Dashboard!$AB$3+6),(AW157-40000)*100000+BF157*10000+156,"")</f>
        <v/>
      </c>
      <c r="BN157">
        <f>IF(AND(BH157=1,AZ157&lt;&gt;"Cancelled"),BF157*10000+156,"")</f>
        <v/>
      </c>
    </row>
    <row r="158">
      <c r="A158">
        <f>Setup!$D$5+156</f>
        <v/>
      </c>
      <c r="B158">
        <f>IF('Recurring Schedule'!$C$6="","",IF('Recurring Schedule'!$F$6="","",IF(OR($A158&lt;'Recurring Schedule'!$F$6,$A158&gt;'Recurring Schedule'!$P$6),"",IF(IF('Recurring Schedule'!$N$6&gt;0,MOD($A158-'Recurring Schedule'!$F$6,'Recurring Schedule'!$N$6)=0,IF('Recurring Schedule'!$O$6&gt;0,AND(DAY($A158)=MIN(DAY('Recurring Schedule'!$F$6),DAY(EOMONTH($A158,0))),MOD((YEAR($A158)-YEAR('Recurring Schedule'!$F$6))*12+MONTH($A158)-MONTH('Recurring Schedule'!$F$6),'Recurring Schedule'!$O$6)=0),IF('Recurring Schedule'!$E$6="Weekdays",WEEKDAY($A158,2)&lt;=5,$A158='Recurring Schedule'!$F$6))),1,""))))</f>
        <v/>
      </c>
      <c r="C158">
        <f>IF('Recurring Schedule'!$C$7="","",IF('Recurring Schedule'!$F$7="","",IF(OR($A158&lt;'Recurring Schedule'!$F$7,$A158&gt;'Recurring Schedule'!$P$7),"",IF(IF('Recurring Schedule'!$N$7&gt;0,MOD($A158-'Recurring Schedule'!$F$7,'Recurring Schedule'!$N$7)=0,IF('Recurring Schedule'!$O$7&gt;0,AND(DAY($A158)=MIN(DAY('Recurring Schedule'!$F$7),DAY(EOMONTH($A158,0))),MOD((YEAR($A158)-YEAR('Recurring Schedule'!$F$7))*12+MONTH($A158)-MONTH('Recurring Schedule'!$F$7),'Recurring Schedule'!$O$7)=0),IF('Recurring Schedule'!$E$7="Weekdays",WEEKDAY($A158,2)&lt;=5,$A158='Recurring Schedule'!$F$7))),2,""))))</f>
        <v/>
      </c>
      <c r="D158">
        <f>IF('Recurring Schedule'!$C$8="","",IF('Recurring Schedule'!$F$8="","",IF(OR($A158&lt;'Recurring Schedule'!$F$8,$A158&gt;'Recurring Schedule'!$P$8),"",IF(IF('Recurring Schedule'!$N$8&gt;0,MOD($A158-'Recurring Schedule'!$F$8,'Recurring Schedule'!$N$8)=0,IF('Recurring Schedule'!$O$8&gt;0,AND(DAY($A158)=MIN(DAY('Recurring Schedule'!$F$8),DAY(EOMONTH($A158,0))),MOD((YEAR($A158)-YEAR('Recurring Schedule'!$F$8))*12+MONTH($A158)-MONTH('Recurring Schedule'!$F$8),'Recurring Schedule'!$O$8)=0),IF('Recurring Schedule'!$E$8="Weekdays",WEEKDAY($A158,2)&lt;=5,$A158='Recurring Schedule'!$F$8))),3,""))))</f>
        <v/>
      </c>
      <c r="E158">
        <f>IF('Recurring Schedule'!$C$9="","",IF('Recurring Schedule'!$F$9="","",IF(OR($A158&lt;'Recurring Schedule'!$F$9,$A158&gt;'Recurring Schedule'!$P$9),"",IF(IF('Recurring Schedule'!$N$9&gt;0,MOD($A158-'Recurring Schedule'!$F$9,'Recurring Schedule'!$N$9)=0,IF('Recurring Schedule'!$O$9&gt;0,AND(DAY($A158)=MIN(DAY('Recurring Schedule'!$F$9),DAY(EOMONTH($A158,0))),MOD((YEAR($A158)-YEAR('Recurring Schedule'!$F$9))*12+MONTH($A158)-MONTH('Recurring Schedule'!$F$9),'Recurring Schedule'!$O$9)=0),IF('Recurring Schedule'!$E$9="Weekdays",WEEKDAY($A158,2)&lt;=5,$A158='Recurring Schedule'!$F$9))),4,""))))</f>
        <v/>
      </c>
      <c r="F158">
        <f>IF('Recurring Schedule'!$C$10="","",IF('Recurring Schedule'!$F$10="","",IF(OR($A158&lt;'Recurring Schedule'!$F$10,$A158&gt;'Recurring Schedule'!$P$10),"",IF(IF('Recurring Schedule'!$N$10&gt;0,MOD($A158-'Recurring Schedule'!$F$10,'Recurring Schedule'!$N$10)=0,IF('Recurring Schedule'!$O$10&gt;0,AND(DAY($A158)=MIN(DAY('Recurring Schedule'!$F$10),DAY(EOMONTH($A158,0))),MOD((YEAR($A158)-YEAR('Recurring Schedule'!$F$10))*12+MONTH($A158)-MONTH('Recurring Schedule'!$F$10),'Recurring Schedule'!$O$10)=0),IF('Recurring Schedule'!$E$10="Weekdays",WEEKDAY($A158,2)&lt;=5,$A158='Recurring Schedule'!$F$10))),5,""))))</f>
        <v/>
      </c>
      <c r="G158">
        <f>IF('Recurring Schedule'!$C$11="","",IF('Recurring Schedule'!$F$11="","",IF(OR($A158&lt;'Recurring Schedule'!$F$11,$A158&gt;'Recurring Schedule'!$P$11),"",IF(IF('Recurring Schedule'!$N$11&gt;0,MOD($A158-'Recurring Schedule'!$F$11,'Recurring Schedule'!$N$11)=0,IF('Recurring Schedule'!$O$11&gt;0,AND(DAY($A158)=MIN(DAY('Recurring Schedule'!$F$11),DAY(EOMONTH($A158,0))),MOD((YEAR($A158)-YEAR('Recurring Schedule'!$F$11))*12+MONTH($A158)-MONTH('Recurring Schedule'!$F$11),'Recurring Schedule'!$O$11)=0),IF('Recurring Schedule'!$E$11="Weekdays",WEEKDAY($A158,2)&lt;=5,$A158='Recurring Schedule'!$F$11))),6,""))))</f>
        <v/>
      </c>
      <c r="H158">
        <f>IF('Recurring Schedule'!$C$12="","",IF('Recurring Schedule'!$F$12="","",IF(OR($A158&lt;'Recurring Schedule'!$F$12,$A158&gt;'Recurring Schedule'!$P$12),"",IF(IF('Recurring Schedule'!$N$12&gt;0,MOD($A158-'Recurring Schedule'!$F$12,'Recurring Schedule'!$N$12)=0,IF('Recurring Schedule'!$O$12&gt;0,AND(DAY($A158)=MIN(DAY('Recurring Schedule'!$F$12),DAY(EOMONTH($A158,0))),MOD((YEAR($A158)-YEAR('Recurring Schedule'!$F$12))*12+MONTH($A158)-MONTH('Recurring Schedule'!$F$12),'Recurring Schedule'!$O$12)=0),IF('Recurring Schedule'!$E$12="Weekdays",WEEKDAY($A158,2)&lt;=5,$A158='Recurring Schedule'!$F$12))),7,""))))</f>
        <v/>
      </c>
      <c r="I158">
        <f>IF('Recurring Schedule'!$C$13="","",IF('Recurring Schedule'!$F$13="","",IF(OR($A158&lt;'Recurring Schedule'!$F$13,$A158&gt;'Recurring Schedule'!$P$13),"",IF(IF('Recurring Schedule'!$N$13&gt;0,MOD($A158-'Recurring Schedule'!$F$13,'Recurring Schedule'!$N$13)=0,IF('Recurring Schedule'!$O$13&gt;0,AND(DAY($A158)=MIN(DAY('Recurring Schedule'!$F$13),DAY(EOMONTH($A158,0))),MOD((YEAR($A158)-YEAR('Recurring Schedule'!$F$13))*12+MONTH($A158)-MONTH('Recurring Schedule'!$F$13),'Recurring Schedule'!$O$13)=0),IF('Recurring Schedule'!$E$13="Weekdays",WEEKDAY($A158,2)&lt;=5,$A158='Recurring Schedule'!$F$13))),8,""))))</f>
        <v/>
      </c>
      <c r="J158">
        <f>IF('Recurring Schedule'!$C$14="","",IF('Recurring Schedule'!$F$14="","",IF(OR($A158&lt;'Recurring Schedule'!$F$14,$A158&gt;'Recurring Schedule'!$P$14),"",IF(IF('Recurring Schedule'!$N$14&gt;0,MOD($A158-'Recurring Schedule'!$F$14,'Recurring Schedule'!$N$14)=0,IF('Recurring Schedule'!$O$14&gt;0,AND(DAY($A158)=MIN(DAY('Recurring Schedule'!$F$14),DAY(EOMONTH($A158,0))),MOD((YEAR($A158)-YEAR('Recurring Schedule'!$F$14))*12+MONTH($A158)-MONTH('Recurring Schedule'!$F$14),'Recurring Schedule'!$O$14)=0),IF('Recurring Schedule'!$E$14="Weekdays",WEEKDAY($A158,2)&lt;=5,$A158='Recurring Schedule'!$F$14))),9,""))))</f>
        <v/>
      </c>
      <c r="K158">
        <f>IF('Recurring Schedule'!$C$15="","",IF('Recurring Schedule'!$F$15="","",IF(OR($A158&lt;'Recurring Schedule'!$F$15,$A158&gt;'Recurring Schedule'!$P$15),"",IF(IF('Recurring Schedule'!$N$15&gt;0,MOD($A158-'Recurring Schedule'!$F$15,'Recurring Schedule'!$N$15)=0,IF('Recurring Schedule'!$O$15&gt;0,AND(DAY($A158)=MIN(DAY('Recurring Schedule'!$F$15),DAY(EOMONTH($A158,0))),MOD((YEAR($A158)-YEAR('Recurring Schedule'!$F$15))*12+MONTH($A158)-MONTH('Recurring Schedule'!$F$15),'Recurring Schedule'!$O$15)=0),IF('Recurring Schedule'!$E$15="Weekdays",WEEKDAY($A158,2)&lt;=5,$A158='Recurring Schedule'!$F$15))),10,""))))</f>
        <v/>
      </c>
      <c r="L158">
        <f>IF('Recurring Schedule'!$C$16="","",IF('Recurring Schedule'!$F$16="","",IF(OR($A158&lt;'Recurring Schedule'!$F$16,$A158&gt;'Recurring Schedule'!$P$16),"",IF(IF('Recurring Schedule'!$N$16&gt;0,MOD($A158-'Recurring Schedule'!$F$16,'Recurring Schedule'!$N$16)=0,IF('Recurring Schedule'!$O$16&gt;0,AND(DAY($A158)=MIN(DAY('Recurring Schedule'!$F$16),DAY(EOMONTH($A158,0))),MOD((YEAR($A158)-YEAR('Recurring Schedule'!$F$16))*12+MONTH($A158)-MONTH('Recurring Schedule'!$F$16),'Recurring Schedule'!$O$16)=0),IF('Recurring Schedule'!$E$16="Weekdays",WEEKDAY($A158,2)&lt;=5,$A158='Recurring Schedule'!$F$16))),11,""))))</f>
        <v/>
      </c>
      <c r="M158">
        <f>IF('Recurring Schedule'!$C$17="","",IF('Recurring Schedule'!$F$17="","",IF(OR($A158&lt;'Recurring Schedule'!$F$17,$A158&gt;'Recurring Schedule'!$P$17),"",IF(IF('Recurring Schedule'!$N$17&gt;0,MOD($A158-'Recurring Schedule'!$F$17,'Recurring Schedule'!$N$17)=0,IF('Recurring Schedule'!$O$17&gt;0,AND(DAY($A158)=MIN(DAY('Recurring Schedule'!$F$17),DAY(EOMONTH($A158,0))),MOD((YEAR($A158)-YEAR('Recurring Schedule'!$F$17))*12+MONTH($A158)-MONTH('Recurring Schedule'!$F$17),'Recurring Schedule'!$O$17)=0),IF('Recurring Schedule'!$E$17="Weekdays",WEEKDAY($A158,2)&lt;=5,$A158='Recurring Schedule'!$F$17))),12,""))))</f>
        <v/>
      </c>
      <c r="N158">
        <f>IF('Recurring Schedule'!$C$18="","",IF('Recurring Schedule'!$F$18="","",IF(OR($A158&lt;'Recurring Schedule'!$F$18,$A158&gt;'Recurring Schedule'!$P$18),"",IF(IF('Recurring Schedule'!$N$18&gt;0,MOD($A158-'Recurring Schedule'!$F$18,'Recurring Schedule'!$N$18)=0,IF('Recurring Schedule'!$O$18&gt;0,AND(DAY($A158)=MIN(DAY('Recurring Schedule'!$F$18),DAY(EOMONTH($A158,0))),MOD((YEAR($A158)-YEAR('Recurring Schedule'!$F$18))*12+MONTH($A158)-MONTH('Recurring Schedule'!$F$18),'Recurring Schedule'!$O$18)=0),IF('Recurring Schedule'!$E$18="Weekdays",WEEKDAY($A158,2)&lt;=5,$A158='Recurring Schedule'!$F$18))),13,""))))</f>
        <v/>
      </c>
      <c r="O158">
        <f>IF('Recurring Schedule'!$C$19="","",IF('Recurring Schedule'!$F$19="","",IF(OR($A158&lt;'Recurring Schedule'!$F$19,$A158&gt;'Recurring Schedule'!$P$19),"",IF(IF('Recurring Schedule'!$N$19&gt;0,MOD($A158-'Recurring Schedule'!$F$19,'Recurring Schedule'!$N$19)=0,IF('Recurring Schedule'!$O$19&gt;0,AND(DAY($A158)=MIN(DAY('Recurring Schedule'!$F$19),DAY(EOMONTH($A158,0))),MOD((YEAR($A158)-YEAR('Recurring Schedule'!$F$19))*12+MONTH($A158)-MONTH('Recurring Schedule'!$F$19),'Recurring Schedule'!$O$19)=0),IF('Recurring Schedule'!$E$19="Weekdays",WEEKDAY($A158,2)&lt;=5,$A158='Recurring Schedule'!$F$19))),14,""))))</f>
        <v/>
      </c>
      <c r="P158">
        <f>IF('Recurring Schedule'!$C$20="","",IF('Recurring Schedule'!$F$20="","",IF(OR($A158&lt;'Recurring Schedule'!$F$20,$A158&gt;'Recurring Schedule'!$P$20),"",IF(IF('Recurring Schedule'!$N$20&gt;0,MOD($A158-'Recurring Schedule'!$F$20,'Recurring Schedule'!$N$20)=0,IF('Recurring Schedule'!$O$20&gt;0,AND(DAY($A158)=MIN(DAY('Recurring Schedule'!$F$20),DAY(EOMONTH($A158,0))),MOD((YEAR($A158)-YEAR('Recurring Schedule'!$F$20))*12+MONTH($A158)-MONTH('Recurring Schedule'!$F$20),'Recurring Schedule'!$O$20)=0),IF('Recurring Schedule'!$E$20="Weekdays",WEEKDAY($A158,2)&lt;=5,$A158='Recurring Schedule'!$F$20))),15,""))))</f>
        <v/>
      </c>
      <c r="Q158">
        <f>IF('Recurring Schedule'!$C$21="","",IF('Recurring Schedule'!$F$21="","",IF(OR($A158&lt;'Recurring Schedule'!$F$21,$A158&gt;'Recurring Schedule'!$P$21),"",IF(IF('Recurring Schedule'!$N$21&gt;0,MOD($A158-'Recurring Schedule'!$F$21,'Recurring Schedule'!$N$21)=0,IF('Recurring Schedule'!$O$21&gt;0,AND(DAY($A158)=MIN(DAY('Recurring Schedule'!$F$21),DAY(EOMONTH($A158,0))),MOD((YEAR($A158)-YEAR('Recurring Schedule'!$F$21))*12+MONTH($A158)-MONTH('Recurring Schedule'!$F$21),'Recurring Schedule'!$O$21)=0),IF('Recurring Schedule'!$E$21="Weekdays",WEEKDAY($A158,2)&lt;=5,$A158='Recurring Schedule'!$F$21))),16,""))))</f>
        <v/>
      </c>
      <c r="R158">
        <f>IF('Recurring Schedule'!$C$22="","",IF('Recurring Schedule'!$F$22="","",IF(OR($A158&lt;'Recurring Schedule'!$F$22,$A158&gt;'Recurring Schedule'!$P$22),"",IF(IF('Recurring Schedule'!$N$22&gt;0,MOD($A158-'Recurring Schedule'!$F$22,'Recurring Schedule'!$N$22)=0,IF('Recurring Schedule'!$O$22&gt;0,AND(DAY($A158)=MIN(DAY('Recurring Schedule'!$F$22),DAY(EOMONTH($A158,0))),MOD((YEAR($A158)-YEAR('Recurring Schedule'!$F$22))*12+MONTH($A158)-MONTH('Recurring Schedule'!$F$22),'Recurring Schedule'!$O$22)=0),IF('Recurring Schedule'!$E$22="Weekdays",WEEKDAY($A158,2)&lt;=5,$A158='Recurring Schedule'!$F$22))),17,""))))</f>
        <v/>
      </c>
      <c r="S158">
        <f>IF('Recurring Schedule'!$C$23="","",IF('Recurring Schedule'!$F$23="","",IF(OR($A158&lt;'Recurring Schedule'!$F$23,$A158&gt;'Recurring Schedule'!$P$23),"",IF(IF('Recurring Schedule'!$N$23&gt;0,MOD($A158-'Recurring Schedule'!$F$23,'Recurring Schedule'!$N$23)=0,IF('Recurring Schedule'!$O$23&gt;0,AND(DAY($A158)=MIN(DAY('Recurring Schedule'!$F$23),DAY(EOMONTH($A158,0))),MOD((YEAR($A158)-YEAR('Recurring Schedule'!$F$23))*12+MONTH($A158)-MONTH('Recurring Schedule'!$F$23),'Recurring Schedule'!$O$23)=0),IF('Recurring Schedule'!$E$23="Weekdays",WEEKDAY($A158,2)&lt;=5,$A158='Recurring Schedule'!$F$23))),18,""))))</f>
        <v/>
      </c>
      <c r="T158">
        <f>IF('Recurring Schedule'!$C$24="","",IF('Recurring Schedule'!$F$24="","",IF(OR($A158&lt;'Recurring Schedule'!$F$24,$A158&gt;'Recurring Schedule'!$P$24),"",IF(IF('Recurring Schedule'!$N$24&gt;0,MOD($A158-'Recurring Schedule'!$F$24,'Recurring Schedule'!$N$24)=0,IF('Recurring Schedule'!$O$24&gt;0,AND(DAY($A158)=MIN(DAY('Recurring Schedule'!$F$24),DAY(EOMONTH($A158,0))),MOD((YEAR($A158)-YEAR('Recurring Schedule'!$F$24))*12+MONTH($A158)-MONTH('Recurring Schedule'!$F$24),'Recurring Schedule'!$O$24)=0),IF('Recurring Schedule'!$E$24="Weekdays",WEEKDAY($A158,2)&lt;=5,$A158='Recurring Schedule'!$F$24))),19,""))))</f>
        <v/>
      </c>
      <c r="U158">
        <f>IF('Recurring Schedule'!$C$25="","",IF('Recurring Schedule'!$F$25="","",IF(OR($A158&lt;'Recurring Schedule'!$F$25,$A158&gt;'Recurring Schedule'!$P$25),"",IF(IF('Recurring Schedule'!$N$25&gt;0,MOD($A158-'Recurring Schedule'!$F$25,'Recurring Schedule'!$N$25)=0,IF('Recurring Schedule'!$O$25&gt;0,AND(DAY($A158)=MIN(DAY('Recurring Schedule'!$F$25),DAY(EOMONTH($A158,0))),MOD((YEAR($A158)-YEAR('Recurring Schedule'!$F$25))*12+MONTH($A158)-MONTH('Recurring Schedule'!$F$25),'Recurring Schedule'!$O$25)=0),IF('Recurring Schedule'!$E$25="Weekdays",WEEKDAY($A158,2)&lt;=5,$A158='Recurring Schedule'!$F$25))),20,""))))</f>
        <v/>
      </c>
      <c r="V158">
        <f>IF('Recurring Schedule'!$C$26="","",IF('Recurring Schedule'!$F$26="","",IF(OR($A158&lt;'Recurring Schedule'!$F$26,$A158&gt;'Recurring Schedule'!$P$26),"",IF(IF('Recurring Schedule'!$N$26&gt;0,MOD($A158-'Recurring Schedule'!$F$26,'Recurring Schedule'!$N$26)=0,IF('Recurring Schedule'!$O$26&gt;0,AND(DAY($A158)=MIN(DAY('Recurring Schedule'!$F$26),DAY(EOMONTH($A158,0))),MOD((YEAR($A158)-YEAR('Recurring Schedule'!$F$26))*12+MONTH($A158)-MONTH('Recurring Schedule'!$F$26),'Recurring Schedule'!$O$26)=0),IF('Recurring Schedule'!$E$26="Weekdays",WEEKDAY($A158,2)&lt;=5,$A158='Recurring Schedule'!$F$26))),21,""))))</f>
        <v/>
      </c>
      <c r="W158">
        <f>IF('Recurring Schedule'!$C$27="","",IF('Recurring Schedule'!$F$27="","",IF(OR($A158&lt;'Recurring Schedule'!$F$27,$A158&gt;'Recurring Schedule'!$P$27),"",IF(IF('Recurring Schedule'!$N$27&gt;0,MOD($A158-'Recurring Schedule'!$F$27,'Recurring Schedule'!$N$27)=0,IF('Recurring Schedule'!$O$27&gt;0,AND(DAY($A158)=MIN(DAY('Recurring Schedule'!$F$27),DAY(EOMONTH($A158,0))),MOD((YEAR($A158)-YEAR('Recurring Schedule'!$F$27))*12+MONTH($A158)-MONTH('Recurring Schedule'!$F$27),'Recurring Schedule'!$O$27)=0),IF('Recurring Schedule'!$E$27="Weekdays",WEEKDAY($A158,2)&lt;=5,$A158='Recurring Schedule'!$F$27))),22,""))))</f>
        <v/>
      </c>
      <c r="X158">
        <f>IF('Recurring Schedule'!$C$28="","",IF('Recurring Schedule'!$F$28="","",IF(OR($A158&lt;'Recurring Schedule'!$F$28,$A158&gt;'Recurring Schedule'!$P$28),"",IF(IF('Recurring Schedule'!$N$28&gt;0,MOD($A158-'Recurring Schedule'!$F$28,'Recurring Schedule'!$N$28)=0,IF('Recurring Schedule'!$O$28&gt;0,AND(DAY($A158)=MIN(DAY('Recurring Schedule'!$F$28),DAY(EOMONTH($A158,0))),MOD((YEAR($A158)-YEAR('Recurring Schedule'!$F$28))*12+MONTH($A158)-MONTH('Recurring Schedule'!$F$28),'Recurring Schedule'!$O$28)=0),IF('Recurring Schedule'!$E$28="Weekdays",WEEKDAY($A158,2)&lt;=5,$A158='Recurring Schedule'!$F$28))),23,""))))</f>
        <v/>
      </c>
      <c r="Y158">
        <f>IF('Recurring Schedule'!$C$29="","",IF('Recurring Schedule'!$F$29="","",IF(OR($A158&lt;'Recurring Schedule'!$F$29,$A158&gt;'Recurring Schedule'!$P$29),"",IF(IF('Recurring Schedule'!$N$29&gt;0,MOD($A158-'Recurring Schedule'!$F$29,'Recurring Schedule'!$N$29)=0,IF('Recurring Schedule'!$O$29&gt;0,AND(DAY($A158)=MIN(DAY('Recurring Schedule'!$F$29),DAY(EOMONTH($A158,0))),MOD((YEAR($A158)-YEAR('Recurring Schedule'!$F$29))*12+MONTH($A158)-MONTH('Recurring Schedule'!$F$29),'Recurring Schedule'!$O$29)=0),IF('Recurring Schedule'!$E$29="Weekdays",WEEKDAY($A158,2)&lt;=5,$A158='Recurring Schedule'!$F$29))),24,""))))</f>
        <v/>
      </c>
      <c r="Z158">
        <f>IF('Recurring Schedule'!$C$30="","",IF('Recurring Schedule'!$F$30="","",IF(OR($A158&lt;'Recurring Schedule'!$F$30,$A158&gt;'Recurring Schedule'!$P$30),"",IF(IF('Recurring Schedule'!$N$30&gt;0,MOD($A158-'Recurring Schedule'!$F$30,'Recurring Schedule'!$N$30)=0,IF('Recurring Schedule'!$O$30&gt;0,AND(DAY($A158)=MIN(DAY('Recurring Schedule'!$F$30),DAY(EOMONTH($A158,0))),MOD((YEAR($A158)-YEAR('Recurring Schedule'!$F$30))*12+MONTH($A158)-MONTH('Recurring Schedule'!$F$30),'Recurring Schedule'!$O$30)=0),IF('Recurring Schedule'!$E$30="Weekdays",WEEKDAY($A158,2)&lt;=5,$A158='Recurring Schedule'!$F$30))),25,""))))</f>
        <v/>
      </c>
      <c r="AA158">
        <f>IF('Recurring Schedule'!$C$31="","",IF('Recurring Schedule'!$F$31="","",IF(OR($A158&lt;'Recurring Schedule'!$F$31,$A158&gt;'Recurring Schedule'!$P$31),"",IF(IF('Recurring Schedule'!$N$31&gt;0,MOD($A158-'Recurring Schedule'!$F$31,'Recurring Schedule'!$N$31)=0,IF('Recurring Schedule'!$O$31&gt;0,AND(DAY($A158)=MIN(DAY('Recurring Schedule'!$F$31),DAY(EOMONTH($A158,0))),MOD((YEAR($A158)-YEAR('Recurring Schedule'!$F$31))*12+MONTH($A158)-MONTH('Recurring Schedule'!$F$31),'Recurring Schedule'!$O$31)=0),IF('Recurring Schedule'!$E$31="Weekdays",WEEKDAY($A158,2)&lt;=5,$A158='Recurring Schedule'!$F$31))),26,""))))</f>
        <v/>
      </c>
      <c r="AB158">
        <f>IF('Recurring Schedule'!$C$32="","",IF('Recurring Schedule'!$F$32="","",IF(OR($A158&lt;'Recurring Schedule'!$F$32,$A158&gt;'Recurring Schedule'!$P$32),"",IF(IF('Recurring Schedule'!$N$32&gt;0,MOD($A158-'Recurring Schedule'!$F$32,'Recurring Schedule'!$N$32)=0,IF('Recurring Schedule'!$O$32&gt;0,AND(DAY($A158)=MIN(DAY('Recurring Schedule'!$F$32),DAY(EOMONTH($A158,0))),MOD((YEAR($A158)-YEAR('Recurring Schedule'!$F$32))*12+MONTH($A158)-MONTH('Recurring Schedule'!$F$32),'Recurring Schedule'!$O$32)=0),IF('Recurring Schedule'!$E$32="Weekdays",WEEKDAY($A158,2)&lt;=5,$A158='Recurring Schedule'!$F$32))),27,""))))</f>
        <v/>
      </c>
      <c r="AC158">
        <f>IF('Recurring Schedule'!$C$33="","",IF('Recurring Schedule'!$F$33="","",IF(OR($A158&lt;'Recurring Schedule'!$F$33,$A158&gt;'Recurring Schedule'!$P$33),"",IF(IF('Recurring Schedule'!$N$33&gt;0,MOD($A158-'Recurring Schedule'!$F$33,'Recurring Schedule'!$N$33)=0,IF('Recurring Schedule'!$O$33&gt;0,AND(DAY($A158)=MIN(DAY('Recurring Schedule'!$F$33),DAY(EOMONTH($A158,0))),MOD((YEAR($A158)-YEAR('Recurring Schedule'!$F$33))*12+MONTH($A158)-MONTH('Recurring Schedule'!$F$33),'Recurring Schedule'!$O$33)=0),IF('Recurring Schedule'!$E$33="Weekdays",WEEKDAY($A158,2)&lt;=5,$A158='Recurring Schedule'!$F$33))),28,""))))</f>
        <v/>
      </c>
      <c r="AD158">
        <f>IF('Recurring Schedule'!$C$34="","",IF('Recurring Schedule'!$F$34="","",IF(OR($A158&lt;'Recurring Schedule'!$F$34,$A158&gt;'Recurring Schedule'!$P$34),"",IF(IF('Recurring Schedule'!$N$34&gt;0,MOD($A158-'Recurring Schedule'!$F$34,'Recurring Schedule'!$N$34)=0,IF('Recurring Schedule'!$O$34&gt;0,AND(DAY($A158)=MIN(DAY('Recurring Schedule'!$F$34),DAY(EOMONTH($A158,0))),MOD((YEAR($A158)-YEAR('Recurring Schedule'!$F$34))*12+MONTH($A158)-MONTH('Recurring Schedule'!$F$34),'Recurring Schedule'!$O$34)=0),IF('Recurring Schedule'!$E$34="Weekdays",WEEKDAY($A158,2)&lt;=5,$A158='Recurring Schedule'!$F$34))),29,""))))</f>
        <v/>
      </c>
      <c r="AE158">
        <f>IF('Recurring Schedule'!$C$35="","",IF('Recurring Schedule'!$F$35="","",IF(OR($A158&lt;'Recurring Schedule'!$F$35,$A158&gt;'Recurring Schedule'!$P$35),"",IF(IF('Recurring Schedule'!$N$35&gt;0,MOD($A158-'Recurring Schedule'!$F$35,'Recurring Schedule'!$N$35)=0,IF('Recurring Schedule'!$O$35&gt;0,AND(DAY($A158)=MIN(DAY('Recurring Schedule'!$F$35),DAY(EOMONTH($A158,0))),MOD((YEAR($A158)-YEAR('Recurring Schedule'!$F$35))*12+MONTH($A158)-MONTH('Recurring Schedule'!$F$35),'Recurring Schedule'!$O$35)=0),IF('Recurring Schedule'!$E$35="Weekdays",WEEKDAY($A158,2)&lt;=5,$A158='Recurring Schedule'!$F$35))),30,""))))</f>
        <v/>
      </c>
      <c r="AF158">
        <f>IF('Recurring Schedule'!$C$36="","",IF('Recurring Schedule'!$F$36="","",IF(OR($A158&lt;'Recurring Schedule'!$F$36,$A158&gt;'Recurring Schedule'!$P$36),"",IF(IF('Recurring Schedule'!$N$36&gt;0,MOD($A158-'Recurring Schedule'!$F$36,'Recurring Schedule'!$N$36)=0,IF('Recurring Schedule'!$O$36&gt;0,AND(DAY($A158)=MIN(DAY('Recurring Schedule'!$F$36),DAY(EOMONTH($A158,0))),MOD((YEAR($A158)-YEAR('Recurring Schedule'!$F$36))*12+MONTH($A158)-MONTH('Recurring Schedule'!$F$36),'Recurring Schedule'!$O$36)=0),IF('Recurring Schedule'!$E$36="Weekdays",WEEKDAY($A158,2)&lt;=5,$A158='Recurring Schedule'!$F$36))),31,""))))</f>
        <v/>
      </c>
      <c r="AG158">
        <f>IF('Recurring Schedule'!$C$37="","",IF('Recurring Schedule'!$F$37="","",IF(OR($A158&lt;'Recurring Schedule'!$F$37,$A158&gt;'Recurring Schedule'!$P$37),"",IF(IF('Recurring Schedule'!$N$37&gt;0,MOD($A158-'Recurring Schedule'!$F$37,'Recurring Schedule'!$N$37)=0,IF('Recurring Schedule'!$O$37&gt;0,AND(DAY($A158)=MIN(DAY('Recurring Schedule'!$F$37),DAY(EOMONTH($A158,0))),MOD((YEAR($A158)-YEAR('Recurring Schedule'!$F$37))*12+MONTH($A158)-MONTH('Recurring Schedule'!$F$37),'Recurring Schedule'!$O$37)=0),IF('Recurring Schedule'!$E$37="Weekdays",WEEKDAY($A158,2)&lt;=5,$A158='Recurring Schedule'!$F$37))),32,""))))</f>
        <v/>
      </c>
      <c r="AH158">
        <f>IF('Recurring Schedule'!$C$38="","",IF('Recurring Schedule'!$F$38="","",IF(OR($A158&lt;'Recurring Schedule'!$F$38,$A158&gt;'Recurring Schedule'!$P$38),"",IF(IF('Recurring Schedule'!$N$38&gt;0,MOD($A158-'Recurring Schedule'!$F$38,'Recurring Schedule'!$N$38)=0,IF('Recurring Schedule'!$O$38&gt;0,AND(DAY($A158)=MIN(DAY('Recurring Schedule'!$F$38),DAY(EOMONTH($A158,0))),MOD((YEAR($A158)-YEAR('Recurring Schedule'!$F$38))*12+MONTH($A158)-MONTH('Recurring Schedule'!$F$38),'Recurring Schedule'!$O$38)=0),IF('Recurring Schedule'!$E$38="Weekdays",WEEKDAY($A158,2)&lt;=5,$A158='Recurring Schedule'!$F$38))),33,""))))</f>
        <v/>
      </c>
      <c r="AI158">
        <f>IF('Recurring Schedule'!$C$39="","",IF('Recurring Schedule'!$F$39="","",IF(OR($A158&lt;'Recurring Schedule'!$F$39,$A158&gt;'Recurring Schedule'!$P$39),"",IF(IF('Recurring Schedule'!$N$39&gt;0,MOD($A158-'Recurring Schedule'!$F$39,'Recurring Schedule'!$N$39)=0,IF('Recurring Schedule'!$O$39&gt;0,AND(DAY($A158)=MIN(DAY('Recurring Schedule'!$F$39),DAY(EOMONTH($A158,0))),MOD((YEAR($A158)-YEAR('Recurring Schedule'!$F$39))*12+MONTH($A158)-MONTH('Recurring Schedule'!$F$39),'Recurring Schedule'!$O$39)=0),IF('Recurring Schedule'!$E$39="Weekdays",WEEKDAY($A158,2)&lt;=5,$A158='Recurring Schedule'!$F$39))),34,""))))</f>
        <v/>
      </c>
      <c r="AJ158">
        <f>IF('Recurring Schedule'!$C$40="","",IF('Recurring Schedule'!$F$40="","",IF(OR($A158&lt;'Recurring Schedule'!$F$40,$A158&gt;'Recurring Schedule'!$P$40),"",IF(IF('Recurring Schedule'!$N$40&gt;0,MOD($A158-'Recurring Schedule'!$F$40,'Recurring Schedule'!$N$40)=0,IF('Recurring Schedule'!$O$40&gt;0,AND(DAY($A158)=MIN(DAY('Recurring Schedule'!$F$40),DAY(EOMONTH($A158,0))),MOD((YEAR($A158)-YEAR('Recurring Schedule'!$F$40))*12+MONTH($A158)-MONTH('Recurring Schedule'!$F$40),'Recurring Schedule'!$O$40)=0),IF('Recurring Schedule'!$E$40="Weekdays",WEEKDAY($A158,2)&lt;=5,$A158='Recurring Schedule'!$F$40))),35,""))))</f>
        <v/>
      </c>
      <c r="AK158">
        <f>IF('Recurring Schedule'!$C$41="","",IF('Recurring Schedule'!$F$41="","",IF(OR($A158&lt;'Recurring Schedule'!$F$41,$A158&gt;'Recurring Schedule'!$P$41),"",IF(IF('Recurring Schedule'!$N$41&gt;0,MOD($A158-'Recurring Schedule'!$F$41,'Recurring Schedule'!$N$41)=0,IF('Recurring Schedule'!$O$41&gt;0,AND(DAY($A158)=MIN(DAY('Recurring Schedule'!$F$41),DAY(EOMONTH($A158,0))),MOD((YEAR($A158)-YEAR('Recurring Schedule'!$F$41))*12+MONTH($A158)-MONTH('Recurring Schedule'!$F$41),'Recurring Schedule'!$O$41)=0),IF('Recurring Schedule'!$E$41="Weekdays",WEEKDAY($A158,2)&lt;=5,$A158='Recurring Schedule'!$F$41))),36,""))))</f>
        <v/>
      </c>
      <c r="AL158">
        <f>IF('Recurring Schedule'!$C$42="","",IF('Recurring Schedule'!$F$42="","",IF(OR($A158&lt;'Recurring Schedule'!$F$42,$A158&gt;'Recurring Schedule'!$P$42),"",IF(IF('Recurring Schedule'!$N$42&gt;0,MOD($A158-'Recurring Schedule'!$F$42,'Recurring Schedule'!$N$42)=0,IF('Recurring Schedule'!$O$42&gt;0,AND(DAY($A158)=MIN(DAY('Recurring Schedule'!$F$42),DAY(EOMONTH($A158,0))),MOD((YEAR($A158)-YEAR('Recurring Schedule'!$F$42))*12+MONTH($A158)-MONTH('Recurring Schedule'!$F$42),'Recurring Schedule'!$O$42)=0),IF('Recurring Schedule'!$E$42="Weekdays",WEEKDAY($A158,2)&lt;=5,$A158='Recurring Schedule'!$F$42))),37,""))))</f>
        <v/>
      </c>
      <c r="AM158">
        <f>IF('Recurring Schedule'!$C$43="","",IF('Recurring Schedule'!$F$43="","",IF(OR($A158&lt;'Recurring Schedule'!$F$43,$A158&gt;'Recurring Schedule'!$P$43),"",IF(IF('Recurring Schedule'!$N$43&gt;0,MOD($A158-'Recurring Schedule'!$F$43,'Recurring Schedule'!$N$43)=0,IF('Recurring Schedule'!$O$43&gt;0,AND(DAY($A158)=MIN(DAY('Recurring Schedule'!$F$43),DAY(EOMONTH($A158,0))),MOD((YEAR($A158)-YEAR('Recurring Schedule'!$F$43))*12+MONTH($A158)-MONTH('Recurring Schedule'!$F$43),'Recurring Schedule'!$O$43)=0),IF('Recurring Schedule'!$E$43="Weekdays",WEEKDAY($A158,2)&lt;=5,$A158='Recurring Schedule'!$F$43))),38,""))))</f>
        <v/>
      </c>
      <c r="AN158">
        <f>IF('Recurring Schedule'!$C$44="","",IF('Recurring Schedule'!$F$44="","",IF(OR($A158&lt;'Recurring Schedule'!$F$44,$A158&gt;'Recurring Schedule'!$P$44),"",IF(IF('Recurring Schedule'!$N$44&gt;0,MOD($A158-'Recurring Schedule'!$F$44,'Recurring Schedule'!$N$44)=0,IF('Recurring Schedule'!$O$44&gt;0,AND(DAY($A158)=MIN(DAY('Recurring Schedule'!$F$44),DAY(EOMONTH($A158,0))),MOD((YEAR($A158)-YEAR('Recurring Schedule'!$F$44))*12+MONTH($A158)-MONTH('Recurring Schedule'!$F$44),'Recurring Schedule'!$O$44)=0),IF('Recurring Schedule'!$E$44="Weekdays",WEEKDAY($A158,2)&lt;=5,$A158='Recurring Schedule'!$F$44))),39,""))))</f>
        <v/>
      </c>
      <c r="AO158">
        <f>IF('Recurring Schedule'!$C$45="","",IF('Recurring Schedule'!$F$45="","",IF(OR($A158&lt;'Recurring Schedule'!$F$45,$A158&gt;'Recurring Schedule'!$P$45),"",IF(IF('Recurring Schedule'!$N$45&gt;0,MOD($A158-'Recurring Schedule'!$F$45,'Recurring Schedule'!$N$45)=0,IF('Recurring Schedule'!$O$45&gt;0,AND(DAY($A158)=MIN(DAY('Recurring Schedule'!$F$45),DAY(EOMONTH($A158,0))),MOD((YEAR($A158)-YEAR('Recurring Schedule'!$F$45))*12+MONTH($A158)-MONTH('Recurring Schedule'!$F$45),'Recurring Schedule'!$O$45)=0),IF('Recurring Schedule'!$E$45="Weekdays",WEEKDAY($A158,2)&lt;=5,$A158='Recurring Schedule'!$F$45))),40,""))))</f>
        <v/>
      </c>
      <c r="AP158">
        <f>COUNT(B158:AO158)</f>
        <v/>
      </c>
      <c r="AQ158">
        <f>AQ157+AP157</f>
        <v/>
      </c>
      <c r="AS158" t="inlineStr">
        <is>
          <t>R</t>
        </is>
      </c>
      <c r="AT158" t="n">
        <v>162</v>
      </c>
      <c r="AU158">
        <f>'Recurring Log'!C162&amp;""</f>
        <v/>
      </c>
      <c r="AV158">
        <f>'Recurring Log'!D162&amp;""</f>
        <v/>
      </c>
      <c r="AW158">
        <f>IF('Recurring Log'!E162="","",'Recurring Log'!E162)</f>
        <v/>
      </c>
      <c r="AX158">
        <f>IF('Recurring Log'!G162="","",'Recurring Log'!G162)</f>
        <v/>
      </c>
      <c r="AY158">
        <f>IF('Recurring Log'!H162="","",'Recurring Log'!H162)</f>
        <v/>
      </c>
      <c r="AZ158">
        <f>IF(AU158="","",IF('Recurring Log'!J162="","Not Started",'Recurring Log'!J162))</f>
        <v/>
      </c>
      <c r="BA158">
        <f>'Recurring Log'!L162&amp;""</f>
        <v/>
      </c>
      <c r="BB158">
        <f>'Recurring Log'!M162&amp;""</f>
        <v/>
      </c>
      <c r="BC158">
        <f>'Recurring Log'!N162&amp;""</f>
        <v/>
      </c>
      <c r="BD158">
        <f>'Recurring Log'!O162&amp;""</f>
        <v/>
      </c>
      <c r="BE158">
        <f>IF('Recurring Log'!K162="","",'Recurring Log'!K162)</f>
        <v/>
      </c>
      <c r="BF158">
        <f>IFERROR(MATCH(BA158,Setup!$L$6:$L$9,0),5)</f>
        <v/>
      </c>
      <c r="BG158">
        <f>IF(OR(AZ158="Done",AZ158="Cancelled"),1,0)</f>
        <v/>
      </c>
      <c r="BH158">
        <f>IF(AND(AU158&lt;&gt;"",ISNUMBER(AW158)),1,0)</f>
        <v/>
      </c>
      <c r="BI158">
        <f>IF(BH158=0,0,IF(AND(AW158&gt;='Tasks Filter'!$F$3,AW158&lt;='Tasks Filter'!$F$4,OR('Tasks Filter'!$I$3="",ISNUMBER(SEARCH('Tasks Filter'!$I$3,AU158))),OR('Tasks Filter'!$I$4="",BF158=IFERROR(MATCH('Tasks Filter'!$I$4,Setup!$L$6:$L$9,0),0)),OR('Tasks Filter'!$I$5="Both",AND('Tasks Filter'!$I$5="Yes",BB158="✓"),AND('Tasks Filter'!$I$5="No",BB158&lt;&gt;"✓")),OR('Tasks Filter'!$L$3="",AV158='Tasks Filter'!$L$3),OR('Tasks Filter'!$L$4="",AZ158='Tasks Filter'!$L$4),OR('Tasks Filter'!$L$5="",BC158='Tasks Filter'!$L$5),OR('Tasks Filter'!$O$3="",BD158='Tasks Filter'!$O$3),OR('Tasks Filter'!$O$4="Yes",BG158=0)),1,0))</f>
        <v/>
      </c>
      <c r="BJ158">
        <f>IF(BH158=0,"",IF('Tasks Filter'!$F$6="Descending",-1,1)*CHOOSE(MATCH('Tasks Filter'!$F$5,Lists!$G$2:$G$6,0),AW158,BF158,IFERROR(MATCH(AV158,Setup!$F$6:$F$15,0),99),IFERROR(MATCH(BC158,Setup!$H$6:$H$15,0),99),IFERROR(MATCH(AZ158,Setup!$J$6:$J$11,0),99))*1E+9+(AW158-40000)*10000+157)</f>
        <v/>
      </c>
      <c r="BK158">
        <f>IF(BI158=1,BJ158,"")</f>
        <v/>
      </c>
      <c r="BL158">
        <f>IF(AND(BH158=1,BG158=0,N(AW158)&lt;Setup!$D$7),(AW158-40000)*10000+157,"")</f>
        <v/>
      </c>
      <c r="BM158">
        <f>IF(AND(BH158=1,AZ158&lt;&gt;"Cancelled",N(AW158)&gt;=Dashboard!$AB$3,N(AW158)&lt;=Dashboard!$AB$3+6),(AW158-40000)*100000+BF158*10000+157,"")</f>
        <v/>
      </c>
      <c r="BN158">
        <f>IF(AND(BH158=1,AZ158&lt;&gt;"Cancelled"),BF158*10000+157,"")</f>
        <v/>
      </c>
    </row>
    <row r="159">
      <c r="A159">
        <f>Setup!$D$5+157</f>
        <v/>
      </c>
      <c r="B159">
        <f>IF('Recurring Schedule'!$C$6="","",IF('Recurring Schedule'!$F$6="","",IF(OR($A159&lt;'Recurring Schedule'!$F$6,$A159&gt;'Recurring Schedule'!$P$6),"",IF(IF('Recurring Schedule'!$N$6&gt;0,MOD($A159-'Recurring Schedule'!$F$6,'Recurring Schedule'!$N$6)=0,IF('Recurring Schedule'!$O$6&gt;0,AND(DAY($A159)=MIN(DAY('Recurring Schedule'!$F$6),DAY(EOMONTH($A159,0))),MOD((YEAR($A159)-YEAR('Recurring Schedule'!$F$6))*12+MONTH($A159)-MONTH('Recurring Schedule'!$F$6),'Recurring Schedule'!$O$6)=0),IF('Recurring Schedule'!$E$6="Weekdays",WEEKDAY($A159,2)&lt;=5,$A159='Recurring Schedule'!$F$6))),1,""))))</f>
        <v/>
      </c>
      <c r="C159">
        <f>IF('Recurring Schedule'!$C$7="","",IF('Recurring Schedule'!$F$7="","",IF(OR($A159&lt;'Recurring Schedule'!$F$7,$A159&gt;'Recurring Schedule'!$P$7),"",IF(IF('Recurring Schedule'!$N$7&gt;0,MOD($A159-'Recurring Schedule'!$F$7,'Recurring Schedule'!$N$7)=0,IF('Recurring Schedule'!$O$7&gt;0,AND(DAY($A159)=MIN(DAY('Recurring Schedule'!$F$7),DAY(EOMONTH($A159,0))),MOD((YEAR($A159)-YEAR('Recurring Schedule'!$F$7))*12+MONTH($A159)-MONTH('Recurring Schedule'!$F$7),'Recurring Schedule'!$O$7)=0),IF('Recurring Schedule'!$E$7="Weekdays",WEEKDAY($A159,2)&lt;=5,$A159='Recurring Schedule'!$F$7))),2,""))))</f>
        <v/>
      </c>
      <c r="D159">
        <f>IF('Recurring Schedule'!$C$8="","",IF('Recurring Schedule'!$F$8="","",IF(OR($A159&lt;'Recurring Schedule'!$F$8,$A159&gt;'Recurring Schedule'!$P$8),"",IF(IF('Recurring Schedule'!$N$8&gt;0,MOD($A159-'Recurring Schedule'!$F$8,'Recurring Schedule'!$N$8)=0,IF('Recurring Schedule'!$O$8&gt;0,AND(DAY($A159)=MIN(DAY('Recurring Schedule'!$F$8),DAY(EOMONTH($A159,0))),MOD((YEAR($A159)-YEAR('Recurring Schedule'!$F$8))*12+MONTH($A159)-MONTH('Recurring Schedule'!$F$8),'Recurring Schedule'!$O$8)=0),IF('Recurring Schedule'!$E$8="Weekdays",WEEKDAY($A159,2)&lt;=5,$A159='Recurring Schedule'!$F$8))),3,""))))</f>
        <v/>
      </c>
      <c r="E159">
        <f>IF('Recurring Schedule'!$C$9="","",IF('Recurring Schedule'!$F$9="","",IF(OR($A159&lt;'Recurring Schedule'!$F$9,$A159&gt;'Recurring Schedule'!$P$9),"",IF(IF('Recurring Schedule'!$N$9&gt;0,MOD($A159-'Recurring Schedule'!$F$9,'Recurring Schedule'!$N$9)=0,IF('Recurring Schedule'!$O$9&gt;0,AND(DAY($A159)=MIN(DAY('Recurring Schedule'!$F$9),DAY(EOMONTH($A159,0))),MOD((YEAR($A159)-YEAR('Recurring Schedule'!$F$9))*12+MONTH($A159)-MONTH('Recurring Schedule'!$F$9),'Recurring Schedule'!$O$9)=0),IF('Recurring Schedule'!$E$9="Weekdays",WEEKDAY($A159,2)&lt;=5,$A159='Recurring Schedule'!$F$9))),4,""))))</f>
        <v/>
      </c>
      <c r="F159">
        <f>IF('Recurring Schedule'!$C$10="","",IF('Recurring Schedule'!$F$10="","",IF(OR($A159&lt;'Recurring Schedule'!$F$10,$A159&gt;'Recurring Schedule'!$P$10),"",IF(IF('Recurring Schedule'!$N$10&gt;0,MOD($A159-'Recurring Schedule'!$F$10,'Recurring Schedule'!$N$10)=0,IF('Recurring Schedule'!$O$10&gt;0,AND(DAY($A159)=MIN(DAY('Recurring Schedule'!$F$10),DAY(EOMONTH($A159,0))),MOD((YEAR($A159)-YEAR('Recurring Schedule'!$F$10))*12+MONTH($A159)-MONTH('Recurring Schedule'!$F$10),'Recurring Schedule'!$O$10)=0),IF('Recurring Schedule'!$E$10="Weekdays",WEEKDAY($A159,2)&lt;=5,$A159='Recurring Schedule'!$F$10))),5,""))))</f>
        <v/>
      </c>
      <c r="G159">
        <f>IF('Recurring Schedule'!$C$11="","",IF('Recurring Schedule'!$F$11="","",IF(OR($A159&lt;'Recurring Schedule'!$F$11,$A159&gt;'Recurring Schedule'!$P$11),"",IF(IF('Recurring Schedule'!$N$11&gt;0,MOD($A159-'Recurring Schedule'!$F$11,'Recurring Schedule'!$N$11)=0,IF('Recurring Schedule'!$O$11&gt;0,AND(DAY($A159)=MIN(DAY('Recurring Schedule'!$F$11),DAY(EOMONTH($A159,0))),MOD((YEAR($A159)-YEAR('Recurring Schedule'!$F$11))*12+MONTH($A159)-MONTH('Recurring Schedule'!$F$11),'Recurring Schedule'!$O$11)=0),IF('Recurring Schedule'!$E$11="Weekdays",WEEKDAY($A159,2)&lt;=5,$A159='Recurring Schedule'!$F$11))),6,""))))</f>
        <v/>
      </c>
      <c r="H159">
        <f>IF('Recurring Schedule'!$C$12="","",IF('Recurring Schedule'!$F$12="","",IF(OR($A159&lt;'Recurring Schedule'!$F$12,$A159&gt;'Recurring Schedule'!$P$12),"",IF(IF('Recurring Schedule'!$N$12&gt;0,MOD($A159-'Recurring Schedule'!$F$12,'Recurring Schedule'!$N$12)=0,IF('Recurring Schedule'!$O$12&gt;0,AND(DAY($A159)=MIN(DAY('Recurring Schedule'!$F$12),DAY(EOMONTH($A159,0))),MOD((YEAR($A159)-YEAR('Recurring Schedule'!$F$12))*12+MONTH($A159)-MONTH('Recurring Schedule'!$F$12),'Recurring Schedule'!$O$12)=0),IF('Recurring Schedule'!$E$12="Weekdays",WEEKDAY($A159,2)&lt;=5,$A159='Recurring Schedule'!$F$12))),7,""))))</f>
        <v/>
      </c>
      <c r="I159">
        <f>IF('Recurring Schedule'!$C$13="","",IF('Recurring Schedule'!$F$13="","",IF(OR($A159&lt;'Recurring Schedule'!$F$13,$A159&gt;'Recurring Schedule'!$P$13),"",IF(IF('Recurring Schedule'!$N$13&gt;0,MOD($A159-'Recurring Schedule'!$F$13,'Recurring Schedule'!$N$13)=0,IF('Recurring Schedule'!$O$13&gt;0,AND(DAY($A159)=MIN(DAY('Recurring Schedule'!$F$13),DAY(EOMONTH($A159,0))),MOD((YEAR($A159)-YEAR('Recurring Schedule'!$F$13))*12+MONTH($A159)-MONTH('Recurring Schedule'!$F$13),'Recurring Schedule'!$O$13)=0),IF('Recurring Schedule'!$E$13="Weekdays",WEEKDAY($A159,2)&lt;=5,$A159='Recurring Schedule'!$F$13))),8,""))))</f>
        <v/>
      </c>
      <c r="J159">
        <f>IF('Recurring Schedule'!$C$14="","",IF('Recurring Schedule'!$F$14="","",IF(OR($A159&lt;'Recurring Schedule'!$F$14,$A159&gt;'Recurring Schedule'!$P$14),"",IF(IF('Recurring Schedule'!$N$14&gt;0,MOD($A159-'Recurring Schedule'!$F$14,'Recurring Schedule'!$N$14)=0,IF('Recurring Schedule'!$O$14&gt;0,AND(DAY($A159)=MIN(DAY('Recurring Schedule'!$F$14),DAY(EOMONTH($A159,0))),MOD((YEAR($A159)-YEAR('Recurring Schedule'!$F$14))*12+MONTH($A159)-MONTH('Recurring Schedule'!$F$14),'Recurring Schedule'!$O$14)=0),IF('Recurring Schedule'!$E$14="Weekdays",WEEKDAY($A159,2)&lt;=5,$A159='Recurring Schedule'!$F$14))),9,""))))</f>
        <v/>
      </c>
      <c r="K159">
        <f>IF('Recurring Schedule'!$C$15="","",IF('Recurring Schedule'!$F$15="","",IF(OR($A159&lt;'Recurring Schedule'!$F$15,$A159&gt;'Recurring Schedule'!$P$15),"",IF(IF('Recurring Schedule'!$N$15&gt;0,MOD($A159-'Recurring Schedule'!$F$15,'Recurring Schedule'!$N$15)=0,IF('Recurring Schedule'!$O$15&gt;0,AND(DAY($A159)=MIN(DAY('Recurring Schedule'!$F$15),DAY(EOMONTH($A159,0))),MOD((YEAR($A159)-YEAR('Recurring Schedule'!$F$15))*12+MONTH($A159)-MONTH('Recurring Schedule'!$F$15),'Recurring Schedule'!$O$15)=0),IF('Recurring Schedule'!$E$15="Weekdays",WEEKDAY($A159,2)&lt;=5,$A159='Recurring Schedule'!$F$15))),10,""))))</f>
        <v/>
      </c>
      <c r="L159">
        <f>IF('Recurring Schedule'!$C$16="","",IF('Recurring Schedule'!$F$16="","",IF(OR($A159&lt;'Recurring Schedule'!$F$16,$A159&gt;'Recurring Schedule'!$P$16),"",IF(IF('Recurring Schedule'!$N$16&gt;0,MOD($A159-'Recurring Schedule'!$F$16,'Recurring Schedule'!$N$16)=0,IF('Recurring Schedule'!$O$16&gt;0,AND(DAY($A159)=MIN(DAY('Recurring Schedule'!$F$16),DAY(EOMONTH($A159,0))),MOD((YEAR($A159)-YEAR('Recurring Schedule'!$F$16))*12+MONTH($A159)-MONTH('Recurring Schedule'!$F$16),'Recurring Schedule'!$O$16)=0),IF('Recurring Schedule'!$E$16="Weekdays",WEEKDAY($A159,2)&lt;=5,$A159='Recurring Schedule'!$F$16))),11,""))))</f>
        <v/>
      </c>
      <c r="M159">
        <f>IF('Recurring Schedule'!$C$17="","",IF('Recurring Schedule'!$F$17="","",IF(OR($A159&lt;'Recurring Schedule'!$F$17,$A159&gt;'Recurring Schedule'!$P$17),"",IF(IF('Recurring Schedule'!$N$17&gt;0,MOD($A159-'Recurring Schedule'!$F$17,'Recurring Schedule'!$N$17)=0,IF('Recurring Schedule'!$O$17&gt;0,AND(DAY($A159)=MIN(DAY('Recurring Schedule'!$F$17),DAY(EOMONTH($A159,0))),MOD((YEAR($A159)-YEAR('Recurring Schedule'!$F$17))*12+MONTH($A159)-MONTH('Recurring Schedule'!$F$17),'Recurring Schedule'!$O$17)=0),IF('Recurring Schedule'!$E$17="Weekdays",WEEKDAY($A159,2)&lt;=5,$A159='Recurring Schedule'!$F$17))),12,""))))</f>
        <v/>
      </c>
      <c r="N159">
        <f>IF('Recurring Schedule'!$C$18="","",IF('Recurring Schedule'!$F$18="","",IF(OR($A159&lt;'Recurring Schedule'!$F$18,$A159&gt;'Recurring Schedule'!$P$18),"",IF(IF('Recurring Schedule'!$N$18&gt;0,MOD($A159-'Recurring Schedule'!$F$18,'Recurring Schedule'!$N$18)=0,IF('Recurring Schedule'!$O$18&gt;0,AND(DAY($A159)=MIN(DAY('Recurring Schedule'!$F$18),DAY(EOMONTH($A159,0))),MOD((YEAR($A159)-YEAR('Recurring Schedule'!$F$18))*12+MONTH($A159)-MONTH('Recurring Schedule'!$F$18),'Recurring Schedule'!$O$18)=0),IF('Recurring Schedule'!$E$18="Weekdays",WEEKDAY($A159,2)&lt;=5,$A159='Recurring Schedule'!$F$18))),13,""))))</f>
        <v/>
      </c>
      <c r="O159">
        <f>IF('Recurring Schedule'!$C$19="","",IF('Recurring Schedule'!$F$19="","",IF(OR($A159&lt;'Recurring Schedule'!$F$19,$A159&gt;'Recurring Schedule'!$P$19),"",IF(IF('Recurring Schedule'!$N$19&gt;0,MOD($A159-'Recurring Schedule'!$F$19,'Recurring Schedule'!$N$19)=0,IF('Recurring Schedule'!$O$19&gt;0,AND(DAY($A159)=MIN(DAY('Recurring Schedule'!$F$19),DAY(EOMONTH($A159,0))),MOD((YEAR($A159)-YEAR('Recurring Schedule'!$F$19))*12+MONTH($A159)-MONTH('Recurring Schedule'!$F$19),'Recurring Schedule'!$O$19)=0),IF('Recurring Schedule'!$E$19="Weekdays",WEEKDAY($A159,2)&lt;=5,$A159='Recurring Schedule'!$F$19))),14,""))))</f>
        <v/>
      </c>
      <c r="P159">
        <f>IF('Recurring Schedule'!$C$20="","",IF('Recurring Schedule'!$F$20="","",IF(OR($A159&lt;'Recurring Schedule'!$F$20,$A159&gt;'Recurring Schedule'!$P$20),"",IF(IF('Recurring Schedule'!$N$20&gt;0,MOD($A159-'Recurring Schedule'!$F$20,'Recurring Schedule'!$N$20)=0,IF('Recurring Schedule'!$O$20&gt;0,AND(DAY($A159)=MIN(DAY('Recurring Schedule'!$F$20),DAY(EOMONTH($A159,0))),MOD((YEAR($A159)-YEAR('Recurring Schedule'!$F$20))*12+MONTH($A159)-MONTH('Recurring Schedule'!$F$20),'Recurring Schedule'!$O$20)=0),IF('Recurring Schedule'!$E$20="Weekdays",WEEKDAY($A159,2)&lt;=5,$A159='Recurring Schedule'!$F$20))),15,""))))</f>
        <v/>
      </c>
      <c r="Q159">
        <f>IF('Recurring Schedule'!$C$21="","",IF('Recurring Schedule'!$F$21="","",IF(OR($A159&lt;'Recurring Schedule'!$F$21,$A159&gt;'Recurring Schedule'!$P$21),"",IF(IF('Recurring Schedule'!$N$21&gt;0,MOD($A159-'Recurring Schedule'!$F$21,'Recurring Schedule'!$N$21)=0,IF('Recurring Schedule'!$O$21&gt;0,AND(DAY($A159)=MIN(DAY('Recurring Schedule'!$F$21),DAY(EOMONTH($A159,0))),MOD((YEAR($A159)-YEAR('Recurring Schedule'!$F$21))*12+MONTH($A159)-MONTH('Recurring Schedule'!$F$21),'Recurring Schedule'!$O$21)=0),IF('Recurring Schedule'!$E$21="Weekdays",WEEKDAY($A159,2)&lt;=5,$A159='Recurring Schedule'!$F$21))),16,""))))</f>
        <v/>
      </c>
      <c r="R159">
        <f>IF('Recurring Schedule'!$C$22="","",IF('Recurring Schedule'!$F$22="","",IF(OR($A159&lt;'Recurring Schedule'!$F$22,$A159&gt;'Recurring Schedule'!$P$22),"",IF(IF('Recurring Schedule'!$N$22&gt;0,MOD($A159-'Recurring Schedule'!$F$22,'Recurring Schedule'!$N$22)=0,IF('Recurring Schedule'!$O$22&gt;0,AND(DAY($A159)=MIN(DAY('Recurring Schedule'!$F$22),DAY(EOMONTH($A159,0))),MOD((YEAR($A159)-YEAR('Recurring Schedule'!$F$22))*12+MONTH($A159)-MONTH('Recurring Schedule'!$F$22),'Recurring Schedule'!$O$22)=0),IF('Recurring Schedule'!$E$22="Weekdays",WEEKDAY($A159,2)&lt;=5,$A159='Recurring Schedule'!$F$22))),17,""))))</f>
        <v/>
      </c>
      <c r="S159">
        <f>IF('Recurring Schedule'!$C$23="","",IF('Recurring Schedule'!$F$23="","",IF(OR($A159&lt;'Recurring Schedule'!$F$23,$A159&gt;'Recurring Schedule'!$P$23),"",IF(IF('Recurring Schedule'!$N$23&gt;0,MOD($A159-'Recurring Schedule'!$F$23,'Recurring Schedule'!$N$23)=0,IF('Recurring Schedule'!$O$23&gt;0,AND(DAY($A159)=MIN(DAY('Recurring Schedule'!$F$23),DAY(EOMONTH($A159,0))),MOD((YEAR($A159)-YEAR('Recurring Schedule'!$F$23))*12+MONTH($A159)-MONTH('Recurring Schedule'!$F$23),'Recurring Schedule'!$O$23)=0),IF('Recurring Schedule'!$E$23="Weekdays",WEEKDAY($A159,2)&lt;=5,$A159='Recurring Schedule'!$F$23))),18,""))))</f>
        <v/>
      </c>
      <c r="T159">
        <f>IF('Recurring Schedule'!$C$24="","",IF('Recurring Schedule'!$F$24="","",IF(OR($A159&lt;'Recurring Schedule'!$F$24,$A159&gt;'Recurring Schedule'!$P$24),"",IF(IF('Recurring Schedule'!$N$24&gt;0,MOD($A159-'Recurring Schedule'!$F$24,'Recurring Schedule'!$N$24)=0,IF('Recurring Schedule'!$O$24&gt;0,AND(DAY($A159)=MIN(DAY('Recurring Schedule'!$F$24),DAY(EOMONTH($A159,0))),MOD((YEAR($A159)-YEAR('Recurring Schedule'!$F$24))*12+MONTH($A159)-MONTH('Recurring Schedule'!$F$24),'Recurring Schedule'!$O$24)=0),IF('Recurring Schedule'!$E$24="Weekdays",WEEKDAY($A159,2)&lt;=5,$A159='Recurring Schedule'!$F$24))),19,""))))</f>
        <v/>
      </c>
      <c r="U159">
        <f>IF('Recurring Schedule'!$C$25="","",IF('Recurring Schedule'!$F$25="","",IF(OR($A159&lt;'Recurring Schedule'!$F$25,$A159&gt;'Recurring Schedule'!$P$25),"",IF(IF('Recurring Schedule'!$N$25&gt;0,MOD($A159-'Recurring Schedule'!$F$25,'Recurring Schedule'!$N$25)=0,IF('Recurring Schedule'!$O$25&gt;0,AND(DAY($A159)=MIN(DAY('Recurring Schedule'!$F$25),DAY(EOMONTH($A159,0))),MOD((YEAR($A159)-YEAR('Recurring Schedule'!$F$25))*12+MONTH($A159)-MONTH('Recurring Schedule'!$F$25),'Recurring Schedule'!$O$25)=0),IF('Recurring Schedule'!$E$25="Weekdays",WEEKDAY($A159,2)&lt;=5,$A159='Recurring Schedule'!$F$25))),20,""))))</f>
        <v/>
      </c>
      <c r="V159">
        <f>IF('Recurring Schedule'!$C$26="","",IF('Recurring Schedule'!$F$26="","",IF(OR($A159&lt;'Recurring Schedule'!$F$26,$A159&gt;'Recurring Schedule'!$P$26),"",IF(IF('Recurring Schedule'!$N$26&gt;0,MOD($A159-'Recurring Schedule'!$F$26,'Recurring Schedule'!$N$26)=0,IF('Recurring Schedule'!$O$26&gt;0,AND(DAY($A159)=MIN(DAY('Recurring Schedule'!$F$26),DAY(EOMONTH($A159,0))),MOD((YEAR($A159)-YEAR('Recurring Schedule'!$F$26))*12+MONTH($A159)-MONTH('Recurring Schedule'!$F$26),'Recurring Schedule'!$O$26)=0),IF('Recurring Schedule'!$E$26="Weekdays",WEEKDAY($A159,2)&lt;=5,$A159='Recurring Schedule'!$F$26))),21,""))))</f>
        <v/>
      </c>
      <c r="W159">
        <f>IF('Recurring Schedule'!$C$27="","",IF('Recurring Schedule'!$F$27="","",IF(OR($A159&lt;'Recurring Schedule'!$F$27,$A159&gt;'Recurring Schedule'!$P$27),"",IF(IF('Recurring Schedule'!$N$27&gt;0,MOD($A159-'Recurring Schedule'!$F$27,'Recurring Schedule'!$N$27)=0,IF('Recurring Schedule'!$O$27&gt;0,AND(DAY($A159)=MIN(DAY('Recurring Schedule'!$F$27),DAY(EOMONTH($A159,0))),MOD((YEAR($A159)-YEAR('Recurring Schedule'!$F$27))*12+MONTH($A159)-MONTH('Recurring Schedule'!$F$27),'Recurring Schedule'!$O$27)=0),IF('Recurring Schedule'!$E$27="Weekdays",WEEKDAY($A159,2)&lt;=5,$A159='Recurring Schedule'!$F$27))),22,""))))</f>
        <v/>
      </c>
      <c r="X159">
        <f>IF('Recurring Schedule'!$C$28="","",IF('Recurring Schedule'!$F$28="","",IF(OR($A159&lt;'Recurring Schedule'!$F$28,$A159&gt;'Recurring Schedule'!$P$28),"",IF(IF('Recurring Schedule'!$N$28&gt;0,MOD($A159-'Recurring Schedule'!$F$28,'Recurring Schedule'!$N$28)=0,IF('Recurring Schedule'!$O$28&gt;0,AND(DAY($A159)=MIN(DAY('Recurring Schedule'!$F$28),DAY(EOMONTH($A159,0))),MOD((YEAR($A159)-YEAR('Recurring Schedule'!$F$28))*12+MONTH($A159)-MONTH('Recurring Schedule'!$F$28),'Recurring Schedule'!$O$28)=0),IF('Recurring Schedule'!$E$28="Weekdays",WEEKDAY($A159,2)&lt;=5,$A159='Recurring Schedule'!$F$28))),23,""))))</f>
        <v/>
      </c>
      <c r="Y159">
        <f>IF('Recurring Schedule'!$C$29="","",IF('Recurring Schedule'!$F$29="","",IF(OR($A159&lt;'Recurring Schedule'!$F$29,$A159&gt;'Recurring Schedule'!$P$29),"",IF(IF('Recurring Schedule'!$N$29&gt;0,MOD($A159-'Recurring Schedule'!$F$29,'Recurring Schedule'!$N$29)=0,IF('Recurring Schedule'!$O$29&gt;0,AND(DAY($A159)=MIN(DAY('Recurring Schedule'!$F$29),DAY(EOMONTH($A159,0))),MOD((YEAR($A159)-YEAR('Recurring Schedule'!$F$29))*12+MONTH($A159)-MONTH('Recurring Schedule'!$F$29),'Recurring Schedule'!$O$29)=0),IF('Recurring Schedule'!$E$29="Weekdays",WEEKDAY($A159,2)&lt;=5,$A159='Recurring Schedule'!$F$29))),24,""))))</f>
        <v/>
      </c>
      <c r="Z159">
        <f>IF('Recurring Schedule'!$C$30="","",IF('Recurring Schedule'!$F$30="","",IF(OR($A159&lt;'Recurring Schedule'!$F$30,$A159&gt;'Recurring Schedule'!$P$30),"",IF(IF('Recurring Schedule'!$N$30&gt;0,MOD($A159-'Recurring Schedule'!$F$30,'Recurring Schedule'!$N$30)=0,IF('Recurring Schedule'!$O$30&gt;0,AND(DAY($A159)=MIN(DAY('Recurring Schedule'!$F$30),DAY(EOMONTH($A159,0))),MOD((YEAR($A159)-YEAR('Recurring Schedule'!$F$30))*12+MONTH($A159)-MONTH('Recurring Schedule'!$F$30),'Recurring Schedule'!$O$30)=0),IF('Recurring Schedule'!$E$30="Weekdays",WEEKDAY($A159,2)&lt;=5,$A159='Recurring Schedule'!$F$30))),25,""))))</f>
        <v/>
      </c>
      <c r="AA159">
        <f>IF('Recurring Schedule'!$C$31="","",IF('Recurring Schedule'!$F$31="","",IF(OR($A159&lt;'Recurring Schedule'!$F$31,$A159&gt;'Recurring Schedule'!$P$31),"",IF(IF('Recurring Schedule'!$N$31&gt;0,MOD($A159-'Recurring Schedule'!$F$31,'Recurring Schedule'!$N$31)=0,IF('Recurring Schedule'!$O$31&gt;0,AND(DAY($A159)=MIN(DAY('Recurring Schedule'!$F$31),DAY(EOMONTH($A159,0))),MOD((YEAR($A159)-YEAR('Recurring Schedule'!$F$31))*12+MONTH($A159)-MONTH('Recurring Schedule'!$F$31),'Recurring Schedule'!$O$31)=0),IF('Recurring Schedule'!$E$31="Weekdays",WEEKDAY($A159,2)&lt;=5,$A159='Recurring Schedule'!$F$31))),26,""))))</f>
        <v/>
      </c>
      <c r="AB159">
        <f>IF('Recurring Schedule'!$C$32="","",IF('Recurring Schedule'!$F$32="","",IF(OR($A159&lt;'Recurring Schedule'!$F$32,$A159&gt;'Recurring Schedule'!$P$32),"",IF(IF('Recurring Schedule'!$N$32&gt;0,MOD($A159-'Recurring Schedule'!$F$32,'Recurring Schedule'!$N$32)=0,IF('Recurring Schedule'!$O$32&gt;0,AND(DAY($A159)=MIN(DAY('Recurring Schedule'!$F$32),DAY(EOMONTH($A159,0))),MOD((YEAR($A159)-YEAR('Recurring Schedule'!$F$32))*12+MONTH($A159)-MONTH('Recurring Schedule'!$F$32),'Recurring Schedule'!$O$32)=0),IF('Recurring Schedule'!$E$32="Weekdays",WEEKDAY($A159,2)&lt;=5,$A159='Recurring Schedule'!$F$32))),27,""))))</f>
        <v/>
      </c>
      <c r="AC159">
        <f>IF('Recurring Schedule'!$C$33="","",IF('Recurring Schedule'!$F$33="","",IF(OR($A159&lt;'Recurring Schedule'!$F$33,$A159&gt;'Recurring Schedule'!$P$33),"",IF(IF('Recurring Schedule'!$N$33&gt;0,MOD($A159-'Recurring Schedule'!$F$33,'Recurring Schedule'!$N$33)=0,IF('Recurring Schedule'!$O$33&gt;0,AND(DAY($A159)=MIN(DAY('Recurring Schedule'!$F$33),DAY(EOMONTH($A159,0))),MOD((YEAR($A159)-YEAR('Recurring Schedule'!$F$33))*12+MONTH($A159)-MONTH('Recurring Schedule'!$F$33),'Recurring Schedule'!$O$33)=0),IF('Recurring Schedule'!$E$33="Weekdays",WEEKDAY($A159,2)&lt;=5,$A159='Recurring Schedule'!$F$33))),28,""))))</f>
        <v/>
      </c>
      <c r="AD159">
        <f>IF('Recurring Schedule'!$C$34="","",IF('Recurring Schedule'!$F$34="","",IF(OR($A159&lt;'Recurring Schedule'!$F$34,$A159&gt;'Recurring Schedule'!$P$34),"",IF(IF('Recurring Schedule'!$N$34&gt;0,MOD($A159-'Recurring Schedule'!$F$34,'Recurring Schedule'!$N$34)=0,IF('Recurring Schedule'!$O$34&gt;0,AND(DAY($A159)=MIN(DAY('Recurring Schedule'!$F$34),DAY(EOMONTH($A159,0))),MOD((YEAR($A159)-YEAR('Recurring Schedule'!$F$34))*12+MONTH($A159)-MONTH('Recurring Schedule'!$F$34),'Recurring Schedule'!$O$34)=0),IF('Recurring Schedule'!$E$34="Weekdays",WEEKDAY($A159,2)&lt;=5,$A159='Recurring Schedule'!$F$34))),29,""))))</f>
        <v/>
      </c>
      <c r="AE159">
        <f>IF('Recurring Schedule'!$C$35="","",IF('Recurring Schedule'!$F$35="","",IF(OR($A159&lt;'Recurring Schedule'!$F$35,$A159&gt;'Recurring Schedule'!$P$35),"",IF(IF('Recurring Schedule'!$N$35&gt;0,MOD($A159-'Recurring Schedule'!$F$35,'Recurring Schedule'!$N$35)=0,IF('Recurring Schedule'!$O$35&gt;0,AND(DAY($A159)=MIN(DAY('Recurring Schedule'!$F$35),DAY(EOMONTH($A159,0))),MOD((YEAR($A159)-YEAR('Recurring Schedule'!$F$35))*12+MONTH($A159)-MONTH('Recurring Schedule'!$F$35),'Recurring Schedule'!$O$35)=0),IF('Recurring Schedule'!$E$35="Weekdays",WEEKDAY($A159,2)&lt;=5,$A159='Recurring Schedule'!$F$35))),30,""))))</f>
        <v/>
      </c>
      <c r="AF159">
        <f>IF('Recurring Schedule'!$C$36="","",IF('Recurring Schedule'!$F$36="","",IF(OR($A159&lt;'Recurring Schedule'!$F$36,$A159&gt;'Recurring Schedule'!$P$36),"",IF(IF('Recurring Schedule'!$N$36&gt;0,MOD($A159-'Recurring Schedule'!$F$36,'Recurring Schedule'!$N$36)=0,IF('Recurring Schedule'!$O$36&gt;0,AND(DAY($A159)=MIN(DAY('Recurring Schedule'!$F$36),DAY(EOMONTH($A159,0))),MOD((YEAR($A159)-YEAR('Recurring Schedule'!$F$36))*12+MONTH($A159)-MONTH('Recurring Schedule'!$F$36),'Recurring Schedule'!$O$36)=0),IF('Recurring Schedule'!$E$36="Weekdays",WEEKDAY($A159,2)&lt;=5,$A159='Recurring Schedule'!$F$36))),31,""))))</f>
        <v/>
      </c>
      <c r="AG159">
        <f>IF('Recurring Schedule'!$C$37="","",IF('Recurring Schedule'!$F$37="","",IF(OR($A159&lt;'Recurring Schedule'!$F$37,$A159&gt;'Recurring Schedule'!$P$37),"",IF(IF('Recurring Schedule'!$N$37&gt;0,MOD($A159-'Recurring Schedule'!$F$37,'Recurring Schedule'!$N$37)=0,IF('Recurring Schedule'!$O$37&gt;0,AND(DAY($A159)=MIN(DAY('Recurring Schedule'!$F$37),DAY(EOMONTH($A159,0))),MOD((YEAR($A159)-YEAR('Recurring Schedule'!$F$37))*12+MONTH($A159)-MONTH('Recurring Schedule'!$F$37),'Recurring Schedule'!$O$37)=0),IF('Recurring Schedule'!$E$37="Weekdays",WEEKDAY($A159,2)&lt;=5,$A159='Recurring Schedule'!$F$37))),32,""))))</f>
        <v/>
      </c>
      <c r="AH159">
        <f>IF('Recurring Schedule'!$C$38="","",IF('Recurring Schedule'!$F$38="","",IF(OR($A159&lt;'Recurring Schedule'!$F$38,$A159&gt;'Recurring Schedule'!$P$38),"",IF(IF('Recurring Schedule'!$N$38&gt;0,MOD($A159-'Recurring Schedule'!$F$38,'Recurring Schedule'!$N$38)=0,IF('Recurring Schedule'!$O$38&gt;0,AND(DAY($A159)=MIN(DAY('Recurring Schedule'!$F$38),DAY(EOMONTH($A159,0))),MOD((YEAR($A159)-YEAR('Recurring Schedule'!$F$38))*12+MONTH($A159)-MONTH('Recurring Schedule'!$F$38),'Recurring Schedule'!$O$38)=0),IF('Recurring Schedule'!$E$38="Weekdays",WEEKDAY($A159,2)&lt;=5,$A159='Recurring Schedule'!$F$38))),33,""))))</f>
        <v/>
      </c>
      <c r="AI159">
        <f>IF('Recurring Schedule'!$C$39="","",IF('Recurring Schedule'!$F$39="","",IF(OR($A159&lt;'Recurring Schedule'!$F$39,$A159&gt;'Recurring Schedule'!$P$39),"",IF(IF('Recurring Schedule'!$N$39&gt;0,MOD($A159-'Recurring Schedule'!$F$39,'Recurring Schedule'!$N$39)=0,IF('Recurring Schedule'!$O$39&gt;0,AND(DAY($A159)=MIN(DAY('Recurring Schedule'!$F$39),DAY(EOMONTH($A159,0))),MOD((YEAR($A159)-YEAR('Recurring Schedule'!$F$39))*12+MONTH($A159)-MONTH('Recurring Schedule'!$F$39),'Recurring Schedule'!$O$39)=0),IF('Recurring Schedule'!$E$39="Weekdays",WEEKDAY($A159,2)&lt;=5,$A159='Recurring Schedule'!$F$39))),34,""))))</f>
        <v/>
      </c>
      <c r="AJ159">
        <f>IF('Recurring Schedule'!$C$40="","",IF('Recurring Schedule'!$F$40="","",IF(OR($A159&lt;'Recurring Schedule'!$F$40,$A159&gt;'Recurring Schedule'!$P$40),"",IF(IF('Recurring Schedule'!$N$40&gt;0,MOD($A159-'Recurring Schedule'!$F$40,'Recurring Schedule'!$N$40)=0,IF('Recurring Schedule'!$O$40&gt;0,AND(DAY($A159)=MIN(DAY('Recurring Schedule'!$F$40),DAY(EOMONTH($A159,0))),MOD((YEAR($A159)-YEAR('Recurring Schedule'!$F$40))*12+MONTH($A159)-MONTH('Recurring Schedule'!$F$40),'Recurring Schedule'!$O$40)=0),IF('Recurring Schedule'!$E$40="Weekdays",WEEKDAY($A159,2)&lt;=5,$A159='Recurring Schedule'!$F$40))),35,""))))</f>
        <v/>
      </c>
      <c r="AK159">
        <f>IF('Recurring Schedule'!$C$41="","",IF('Recurring Schedule'!$F$41="","",IF(OR($A159&lt;'Recurring Schedule'!$F$41,$A159&gt;'Recurring Schedule'!$P$41),"",IF(IF('Recurring Schedule'!$N$41&gt;0,MOD($A159-'Recurring Schedule'!$F$41,'Recurring Schedule'!$N$41)=0,IF('Recurring Schedule'!$O$41&gt;0,AND(DAY($A159)=MIN(DAY('Recurring Schedule'!$F$41),DAY(EOMONTH($A159,0))),MOD((YEAR($A159)-YEAR('Recurring Schedule'!$F$41))*12+MONTH($A159)-MONTH('Recurring Schedule'!$F$41),'Recurring Schedule'!$O$41)=0),IF('Recurring Schedule'!$E$41="Weekdays",WEEKDAY($A159,2)&lt;=5,$A159='Recurring Schedule'!$F$41))),36,""))))</f>
        <v/>
      </c>
      <c r="AL159">
        <f>IF('Recurring Schedule'!$C$42="","",IF('Recurring Schedule'!$F$42="","",IF(OR($A159&lt;'Recurring Schedule'!$F$42,$A159&gt;'Recurring Schedule'!$P$42),"",IF(IF('Recurring Schedule'!$N$42&gt;0,MOD($A159-'Recurring Schedule'!$F$42,'Recurring Schedule'!$N$42)=0,IF('Recurring Schedule'!$O$42&gt;0,AND(DAY($A159)=MIN(DAY('Recurring Schedule'!$F$42),DAY(EOMONTH($A159,0))),MOD((YEAR($A159)-YEAR('Recurring Schedule'!$F$42))*12+MONTH($A159)-MONTH('Recurring Schedule'!$F$42),'Recurring Schedule'!$O$42)=0),IF('Recurring Schedule'!$E$42="Weekdays",WEEKDAY($A159,2)&lt;=5,$A159='Recurring Schedule'!$F$42))),37,""))))</f>
        <v/>
      </c>
      <c r="AM159">
        <f>IF('Recurring Schedule'!$C$43="","",IF('Recurring Schedule'!$F$43="","",IF(OR($A159&lt;'Recurring Schedule'!$F$43,$A159&gt;'Recurring Schedule'!$P$43),"",IF(IF('Recurring Schedule'!$N$43&gt;0,MOD($A159-'Recurring Schedule'!$F$43,'Recurring Schedule'!$N$43)=0,IF('Recurring Schedule'!$O$43&gt;0,AND(DAY($A159)=MIN(DAY('Recurring Schedule'!$F$43),DAY(EOMONTH($A159,0))),MOD((YEAR($A159)-YEAR('Recurring Schedule'!$F$43))*12+MONTH($A159)-MONTH('Recurring Schedule'!$F$43),'Recurring Schedule'!$O$43)=0),IF('Recurring Schedule'!$E$43="Weekdays",WEEKDAY($A159,2)&lt;=5,$A159='Recurring Schedule'!$F$43))),38,""))))</f>
        <v/>
      </c>
      <c r="AN159">
        <f>IF('Recurring Schedule'!$C$44="","",IF('Recurring Schedule'!$F$44="","",IF(OR($A159&lt;'Recurring Schedule'!$F$44,$A159&gt;'Recurring Schedule'!$P$44),"",IF(IF('Recurring Schedule'!$N$44&gt;0,MOD($A159-'Recurring Schedule'!$F$44,'Recurring Schedule'!$N$44)=0,IF('Recurring Schedule'!$O$44&gt;0,AND(DAY($A159)=MIN(DAY('Recurring Schedule'!$F$44),DAY(EOMONTH($A159,0))),MOD((YEAR($A159)-YEAR('Recurring Schedule'!$F$44))*12+MONTH($A159)-MONTH('Recurring Schedule'!$F$44),'Recurring Schedule'!$O$44)=0),IF('Recurring Schedule'!$E$44="Weekdays",WEEKDAY($A159,2)&lt;=5,$A159='Recurring Schedule'!$F$44))),39,""))))</f>
        <v/>
      </c>
      <c r="AO159">
        <f>IF('Recurring Schedule'!$C$45="","",IF('Recurring Schedule'!$F$45="","",IF(OR($A159&lt;'Recurring Schedule'!$F$45,$A159&gt;'Recurring Schedule'!$P$45),"",IF(IF('Recurring Schedule'!$N$45&gt;0,MOD($A159-'Recurring Schedule'!$F$45,'Recurring Schedule'!$N$45)=0,IF('Recurring Schedule'!$O$45&gt;0,AND(DAY($A159)=MIN(DAY('Recurring Schedule'!$F$45),DAY(EOMONTH($A159,0))),MOD((YEAR($A159)-YEAR('Recurring Schedule'!$F$45))*12+MONTH($A159)-MONTH('Recurring Schedule'!$F$45),'Recurring Schedule'!$O$45)=0),IF('Recurring Schedule'!$E$45="Weekdays",WEEKDAY($A159,2)&lt;=5,$A159='Recurring Schedule'!$F$45))),40,""))))</f>
        <v/>
      </c>
      <c r="AP159">
        <f>COUNT(B159:AO159)</f>
        <v/>
      </c>
      <c r="AQ159">
        <f>AQ158+AP158</f>
        <v/>
      </c>
      <c r="AS159" t="inlineStr">
        <is>
          <t>R</t>
        </is>
      </c>
      <c r="AT159" t="n">
        <v>163</v>
      </c>
      <c r="AU159">
        <f>'Recurring Log'!C163&amp;""</f>
        <v/>
      </c>
      <c r="AV159">
        <f>'Recurring Log'!D163&amp;""</f>
        <v/>
      </c>
      <c r="AW159">
        <f>IF('Recurring Log'!E163="","",'Recurring Log'!E163)</f>
        <v/>
      </c>
      <c r="AX159">
        <f>IF('Recurring Log'!G163="","",'Recurring Log'!G163)</f>
        <v/>
      </c>
      <c r="AY159">
        <f>IF('Recurring Log'!H163="","",'Recurring Log'!H163)</f>
        <v/>
      </c>
      <c r="AZ159">
        <f>IF(AU159="","",IF('Recurring Log'!J163="","Not Started",'Recurring Log'!J163))</f>
        <v/>
      </c>
      <c r="BA159">
        <f>'Recurring Log'!L163&amp;""</f>
        <v/>
      </c>
      <c r="BB159">
        <f>'Recurring Log'!M163&amp;""</f>
        <v/>
      </c>
      <c r="BC159">
        <f>'Recurring Log'!N163&amp;""</f>
        <v/>
      </c>
      <c r="BD159">
        <f>'Recurring Log'!O163&amp;""</f>
        <v/>
      </c>
      <c r="BE159">
        <f>IF('Recurring Log'!K163="","",'Recurring Log'!K163)</f>
        <v/>
      </c>
      <c r="BF159">
        <f>IFERROR(MATCH(BA159,Setup!$L$6:$L$9,0),5)</f>
        <v/>
      </c>
      <c r="BG159">
        <f>IF(OR(AZ159="Done",AZ159="Cancelled"),1,0)</f>
        <v/>
      </c>
      <c r="BH159">
        <f>IF(AND(AU159&lt;&gt;"",ISNUMBER(AW159)),1,0)</f>
        <v/>
      </c>
      <c r="BI159">
        <f>IF(BH159=0,0,IF(AND(AW159&gt;='Tasks Filter'!$F$3,AW159&lt;='Tasks Filter'!$F$4,OR('Tasks Filter'!$I$3="",ISNUMBER(SEARCH('Tasks Filter'!$I$3,AU159))),OR('Tasks Filter'!$I$4="",BF159=IFERROR(MATCH('Tasks Filter'!$I$4,Setup!$L$6:$L$9,0),0)),OR('Tasks Filter'!$I$5="Both",AND('Tasks Filter'!$I$5="Yes",BB159="✓"),AND('Tasks Filter'!$I$5="No",BB159&lt;&gt;"✓")),OR('Tasks Filter'!$L$3="",AV159='Tasks Filter'!$L$3),OR('Tasks Filter'!$L$4="",AZ159='Tasks Filter'!$L$4),OR('Tasks Filter'!$L$5="",BC159='Tasks Filter'!$L$5),OR('Tasks Filter'!$O$3="",BD159='Tasks Filter'!$O$3),OR('Tasks Filter'!$O$4="Yes",BG159=0)),1,0))</f>
        <v/>
      </c>
      <c r="BJ159">
        <f>IF(BH159=0,"",IF('Tasks Filter'!$F$6="Descending",-1,1)*CHOOSE(MATCH('Tasks Filter'!$F$5,Lists!$G$2:$G$6,0),AW159,BF159,IFERROR(MATCH(AV159,Setup!$F$6:$F$15,0),99),IFERROR(MATCH(BC159,Setup!$H$6:$H$15,0),99),IFERROR(MATCH(AZ159,Setup!$J$6:$J$11,0),99))*1E+9+(AW159-40000)*10000+158)</f>
        <v/>
      </c>
      <c r="BK159">
        <f>IF(BI159=1,BJ159,"")</f>
        <v/>
      </c>
      <c r="BL159">
        <f>IF(AND(BH159=1,BG159=0,N(AW159)&lt;Setup!$D$7),(AW159-40000)*10000+158,"")</f>
        <v/>
      </c>
      <c r="BM159">
        <f>IF(AND(BH159=1,AZ159&lt;&gt;"Cancelled",N(AW159)&gt;=Dashboard!$AB$3,N(AW159)&lt;=Dashboard!$AB$3+6),(AW159-40000)*100000+BF159*10000+158,"")</f>
        <v/>
      </c>
      <c r="BN159">
        <f>IF(AND(BH159=1,AZ159&lt;&gt;"Cancelled"),BF159*10000+158,"")</f>
        <v/>
      </c>
    </row>
    <row r="160">
      <c r="A160">
        <f>Setup!$D$5+158</f>
        <v/>
      </c>
      <c r="B160">
        <f>IF('Recurring Schedule'!$C$6="","",IF('Recurring Schedule'!$F$6="","",IF(OR($A160&lt;'Recurring Schedule'!$F$6,$A160&gt;'Recurring Schedule'!$P$6),"",IF(IF('Recurring Schedule'!$N$6&gt;0,MOD($A160-'Recurring Schedule'!$F$6,'Recurring Schedule'!$N$6)=0,IF('Recurring Schedule'!$O$6&gt;0,AND(DAY($A160)=MIN(DAY('Recurring Schedule'!$F$6),DAY(EOMONTH($A160,0))),MOD((YEAR($A160)-YEAR('Recurring Schedule'!$F$6))*12+MONTH($A160)-MONTH('Recurring Schedule'!$F$6),'Recurring Schedule'!$O$6)=0),IF('Recurring Schedule'!$E$6="Weekdays",WEEKDAY($A160,2)&lt;=5,$A160='Recurring Schedule'!$F$6))),1,""))))</f>
        <v/>
      </c>
      <c r="C160">
        <f>IF('Recurring Schedule'!$C$7="","",IF('Recurring Schedule'!$F$7="","",IF(OR($A160&lt;'Recurring Schedule'!$F$7,$A160&gt;'Recurring Schedule'!$P$7),"",IF(IF('Recurring Schedule'!$N$7&gt;0,MOD($A160-'Recurring Schedule'!$F$7,'Recurring Schedule'!$N$7)=0,IF('Recurring Schedule'!$O$7&gt;0,AND(DAY($A160)=MIN(DAY('Recurring Schedule'!$F$7),DAY(EOMONTH($A160,0))),MOD((YEAR($A160)-YEAR('Recurring Schedule'!$F$7))*12+MONTH($A160)-MONTH('Recurring Schedule'!$F$7),'Recurring Schedule'!$O$7)=0),IF('Recurring Schedule'!$E$7="Weekdays",WEEKDAY($A160,2)&lt;=5,$A160='Recurring Schedule'!$F$7))),2,""))))</f>
        <v/>
      </c>
      <c r="D160">
        <f>IF('Recurring Schedule'!$C$8="","",IF('Recurring Schedule'!$F$8="","",IF(OR($A160&lt;'Recurring Schedule'!$F$8,$A160&gt;'Recurring Schedule'!$P$8),"",IF(IF('Recurring Schedule'!$N$8&gt;0,MOD($A160-'Recurring Schedule'!$F$8,'Recurring Schedule'!$N$8)=0,IF('Recurring Schedule'!$O$8&gt;0,AND(DAY($A160)=MIN(DAY('Recurring Schedule'!$F$8),DAY(EOMONTH($A160,0))),MOD((YEAR($A160)-YEAR('Recurring Schedule'!$F$8))*12+MONTH($A160)-MONTH('Recurring Schedule'!$F$8),'Recurring Schedule'!$O$8)=0),IF('Recurring Schedule'!$E$8="Weekdays",WEEKDAY($A160,2)&lt;=5,$A160='Recurring Schedule'!$F$8))),3,""))))</f>
        <v/>
      </c>
      <c r="E160">
        <f>IF('Recurring Schedule'!$C$9="","",IF('Recurring Schedule'!$F$9="","",IF(OR($A160&lt;'Recurring Schedule'!$F$9,$A160&gt;'Recurring Schedule'!$P$9),"",IF(IF('Recurring Schedule'!$N$9&gt;0,MOD($A160-'Recurring Schedule'!$F$9,'Recurring Schedule'!$N$9)=0,IF('Recurring Schedule'!$O$9&gt;0,AND(DAY($A160)=MIN(DAY('Recurring Schedule'!$F$9),DAY(EOMONTH($A160,0))),MOD((YEAR($A160)-YEAR('Recurring Schedule'!$F$9))*12+MONTH($A160)-MONTH('Recurring Schedule'!$F$9),'Recurring Schedule'!$O$9)=0),IF('Recurring Schedule'!$E$9="Weekdays",WEEKDAY($A160,2)&lt;=5,$A160='Recurring Schedule'!$F$9))),4,""))))</f>
        <v/>
      </c>
      <c r="F160">
        <f>IF('Recurring Schedule'!$C$10="","",IF('Recurring Schedule'!$F$10="","",IF(OR($A160&lt;'Recurring Schedule'!$F$10,$A160&gt;'Recurring Schedule'!$P$10),"",IF(IF('Recurring Schedule'!$N$10&gt;0,MOD($A160-'Recurring Schedule'!$F$10,'Recurring Schedule'!$N$10)=0,IF('Recurring Schedule'!$O$10&gt;0,AND(DAY($A160)=MIN(DAY('Recurring Schedule'!$F$10),DAY(EOMONTH($A160,0))),MOD((YEAR($A160)-YEAR('Recurring Schedule'!$F$10))*12+MONTH($A160)-MONTH('Recurring Schedule'!$F$10),'Recurring Schedule'!$O$10)=0),IF('Recurring Schedule'!$E$10="Weekdays",WEEKDAY($A160,2)&lt;=5,$A160='Recurring Schedule'!$F$10))),5,""))))</f>
        <v/>
      </c>
      <c r="G160">
        <f>IF('Recurring Schedule'!$C$11="","",IF('Recurring Schedule'!$F$11="","",IF(OR($A160&lt;'Recurring Schedule'!$F$11,$A160&gt;'Recurring Schedule'!$P$11),"",IF(IF('Recurring Schedule'!$N$11&gt;0,MOD($A160-'Recurring Schedule'!$F$11,'Recurring Schedule'!$N$11)=0,IF('Recurring Schedule'!$O$11&gt;0,AND(DAY($A160)=MIN(DAY('Recurring Schedule'!$F$11),DAY(EOMONTH($A160,0))),MOD((YEAR($A160)-YEAR('Recurring Schedule'!$F$11))*12+MONTH($A160)-MONTH('Recurring Schedule'!$F$11),'Recurring Schedule'!$O$11)=0),IF('Recurring Schedule'!$E$11="Weekdays",WEEKDAY($A160,2)&lt;=5,$A160='Recurring Schedule'!$F$11))),6,""))))</f>
        <v/>
      </c>
      <c r="H160">
        <f>IF('Recurring Schedule'!$C$12="","",IF('Recurring Schedule'!$F$12="","",IF(OR($A160&lt;'Recurring Schedule'!$F$12,$A160&gt;'Recurring Schedule'!$P$12),"",IF(IF('Recurring Schedule'!$N$12&gt;0,MOD($A160-'Recurring Schedule'!$F$12,'Recurring Schedule'!$N$12)=0,IF('Recurring Schedule'!$O$12&gt;0,AND(DAY($A160)=MIN(DAY('Recurring Schedule'!$F$12),DAY(EOMONTH($A160,0))),MOD((YEAR($A160)-YEAR('Recurring Schedule'!$F$12))*12+MONTH($A160)-MONTH('Recurring Schedule'!$F$12),'Recurring Schedule'!$O$12)=0),IF('Recurring Schedule'!$E$12="Weekdays",WEEKDAY($A160,2)&lt;=5,$A160='Recurring Schedule'!$F$12))),7,""))))</f>
        <v/>
      </c>
      <c r="I160">
        <f>IF('Recurring Schedule'!$C$13="","",IF('Recurring Schedule'!$F$13="","",IF(OR($A160&lt;'Recurring Schedule'!$F$13,$A160&gt;'Recurring Schedule'!$P$13),"",IF(IF('Recurring Schedule'!$N$13&gt;0,MOD($A160-'Recurring Schedule'!$F$13,'Recurring Schedule'!$N$13)=0,IF('Recurring Schedule'!$O$13&gt;0,AND(DAY($A160)=MIN(DAY('Recurring Schedule'!$F$13),DAY(EOMONTH($A160,0))),MOD((YEAR($A160)-YEAR('Recurring Schedule'!$F$13))*12+MONTH($A160)-MONTH('Recurring Schedule'!$F$13),'Recurring Schedule'!$O$13)=0),IF('Recurring Schedule'!$E$13="Weekdays",WEEKDAY($A160,2)&lt;=5,$A160='Recurring Schedule'!$F$13))),8,""))))</f>
        <v/>
      </c>
      <c r="J160">
        <f>IF('Recurring Schedule'!$C$14="","",IF('Recurring Schedule'!$F$14="","",IF(OR($A160&lt;'Recurring Schedule'!$F$14,$A160&gt;'Recurring Schedule'!$P$14),"",IF(IF('Recurring Schedule'!$N$14&gt;0,MOD($A160-'Recurring Schedule'!$F$14,'Recurring Schedule'!$N$14)=0,IF('Recurring Schedule'!$O$14&gt;0,AND(DAY($A160)=MIN(DAY('Recurring Schedule'!$F$14),DAY(EOMONTH($A160,0))),MOD((YEAR($A160)-YEAR('Recurring Schedule'!$F$14))*12+MONTH($A160)-MONTH('Recurring Schedule'!$F$14),'Recurring Schedule'!$O$14)=0),IF('Recurring Schedule'!$E$14="Weekdays",WEEKDAY($A160,2)&lt;=5,$A160='Recurring Schedule'!$F$14))),9,""))))</f>
        <v/>
      </c>
      <c r="K160">
        <f>IF('Recurring Schedule'!$C$15="","",IF('Recurring Schedule'!$F$15="","",IF(OR($A160&lt;'Recurring Schedule'!$F$15,$A160&gt;'Recurring Schedule'!$P$15),"",IF(IF('Recurring Schedule'!$N$15&gt;0,MOD($A160-'Recurring Schedule'!$F$15,'Recurring Schedule'!$N$15)=0,IF('Recurring Schedule'!$O$15&gt;0,AND(DAY($A160)=MIN(DAY('Recurring Schedule'!$F$15),DAY(EOMONTH($A160,0))),MOD((YEAR($A160)-YEAR('Recurring Schedule'!$F$15))*12+MONTH($A160)-MONTH('Recurring Schedule'!$F$15),'Recurring Schedule'!$O$15)=0),IF('Recurring Schedule'!$E$15="Weekdays",WEEKDAY($A160,2)&lt;=5,$A160='Recurring Schedule'!$F$15))),10,""))))</f>
        <v/>
      </c>
      <c r="L160">
        <f>IF('Recurring Schedule'!$C$16="","",IF('Recurring Schedule'!$F$16="","",IF(OR($A160&lt;'Recurring Schedule'!$F$16,$A160&gt;'Recurring Schedule'!$P$16),"",IF(IF('Recurring Schedule'!$N$16&gt;0,MOD($A160-'Recurring Schedule'!$F$16,'Recurring Schedule'!$N$16)=0,IF('Recurring Schedule'!$O$16&gt;0,AND(DAY($A160)=MIN(DAY('Recurring Schedule'!$F$16),DAY(EOMONTH($A160,0))),MOD((YEAR($A160)-YEAR('Recurring Schedule'!$F$16))*12+MONTH($A160)-MONTH('Recurring Schedule'!$F$16),'Recurring Schedule'!$O$16)=0),IF('Recurring Schedule'!$E$16="Weekdays",WEEKDAY($A160,2)&lt;=5,$A160='Recurring Schedule'!$F$16))),11,""))))</f>
        <v/>
      </c>
      <c r="M160">
        <f>IF('Recurring Schedule'!$C$17="","",IF('Recurring Schedule'!$F$17="","",IF(OR($A160&lt;'Recurring Schedule'!$F$17,$A160&gt;'Recurring Schedule'!$P$17),"",IF(IF('Recurring Schedule'!$N$17&gt;0,MOD($A160-'Recurring Schedule'!$F$17,'Recurring Schedule'!$N$17)=0,IF('Recurring Schedule'!$O$17&gt;0,AND(DAY($A160)=MIN(DAY('Recurring Schedule'!$F$17),DAY(EOMONTH($A160,0))),MOD((YEAR($A160)-YEAR('Recurring Schedule'!$F$17))*12+MONTH($A160)-MONTH('Recurring Schedule'!$F$17),'Recurring Schedule'!$O$17)=0),IF('Recurring Schedule'!$E$17="Weekdays",WEEKDAY($A160,2)&lt;=5,$A160='Recurring Schedule'!$F$17))),12,""))))</f>
        <v/>
      </c>
      <c r="N160">
        <f>IF('Recurring Schedule'!$C$18="","",IF('Recurring Schedule'!$F$18="","",IF(OR($A160&lt;'Recurring Schedule'!$F$18,$A160&gt;'Recurring Schedule'!$P$18),"",IF(IF('Recurring Schedule'!$N$18&gt;0,MOD($A160-'Recurring Schedule'!$F$18,'Recurring Schedule'!$N$18)=0,IF('Recurring Schedule'!$O$18&gt;0,AND(DAY($A160)=MIN(DAY('Recurring Schedule'!$F$18),DAY(EOMONTH($A160,0))),MOD((YEAR($A160)-YEAR('Recurring Schedule'!$F$18))*12+MONTH($A160)-MONTH('Recurring Schedule'!$F$18),'Recurring Schedule'!$O$18)=0),IF('Recurring Schedule'!$E$18="Weekdays",WEEKDAY($A160,2)&lt;=5,$A160='Recurring Schedule'!$F$18))),13,""))))</f>
        <v/>
      </c>
      <c r="O160">
        <f>IF('Recurring Schedule'!$C$19="","",IF('Recurring Schedule'!$F$19="","",IF(OR($A160&lt;'Recurring Schedule'!$F$19,$A160&gt;'Recurring Schedule'!$P$19),"",IF(IF('Recurring Schedule'!$N$19&gt;0,MOD($A160-'Recurring Schedule'!$F$19,'Recurring Schedule'!$N$19)=0,IF('Recurring Schedule'!$O$19&gt;0,AND(DAY($A160)=MIN(DAY('Recurring Schedule'!$F$19),DAY(EOMONTH($A160,0))),MOD((YEAR($A160)-YEAR('Recurring Schedule'!$F$19))*12+MONTH($A160)-MONTH('Recurring Schedule'!$F$19),'Recurring Schedule'!$O$19)=0),IF('Recurring Schedule'!$E$19="Weekdays",WEEKDAY($A160,2)&lt;=5,$A160='Recurring Schedule'!$F$19))),14,""))))</f>
        <v/>
      </c>
      <c r="P160">
        <f>IF('Recurring Schedule'!$C$20="","",IF('Recurring Schedule'!$F$20="","",IF(OR($A160&lt;'Recurring Schedule'!$F$20,$A160&gt;'Recurring Schedule'!$P$20),"",IF(IF('Recurring Schedule'!$N$20&gt;0,MOD($A160-'Recurring Schedule'!$F$20,'Recurring Schedule'!$N$20)=0,IF('Recurring Schedule'!$O$20&gt;0,AND(DAY($A160)=MIN(DAY('Recurring Schedule'!$F$20),DAY(EOMONTH($A160,0))),MOD((YEAR($A160)-YEAR('Recurring Schedule'!$F$20))*12+MONTH($A160)-MONTH('Recurring Schedule'!$F$20),'Recurring Schedule'!$O$20)=0),IF('Recurring Schedule'!$E$20="Weekdays",WEEKDAY($A160,2)&lt;=5,$A160='Recurring Schedule'!$F$20))),15,""))))</f>
        <v/>
      </c>
      <c r="Q160">
        <f>IF('Recurring Schedule'!$C$21="","",IF('Recurring Schedule'!$F$21="","",IF(OR($A160&lt;'Recurring Schedule'!$F$21,$A160&gt;'Recurring Schedule'!$P$21),"",IF(IF('Recurring Schedule'!$N$21&gt;0,MOD($A160-'Recurring Schedule'!$F$21,'Recurring Schedule'!$N$21)=0,IF('Recurring Schedule'!$O$21&gt;0,AND(DAY($A160)=MIN(DAY('Recurring Schedule'!$F$21),DAY(EOMONTH($A160,0))),MOD((YEAR($A160)-YEAR('Recurring Schedule'!$F$21))*12+MONTH($A160)-MONTH('Recurring Schedule'!$F$21),'Recurring Schedule'!$O$21)=0),IF('Recurring Schedule'!$E$21="Weekdays",WEEKDAY($A160,2)&lt;=5,$A160='Recurring Schedule'!$F$21))),16,""))))</f>
        <v/>
      </c>
      <c r="R160">
        <f>IF('Recurring Schedule'!$C$22="","",IF('Recurring Schedule'!$F$22="","",IF(OR($A160&lt;'Recurring Schedule'!$F$22,$A160&gt;'Recurring Schedule'!$P$22),"",IF(IF('Recurring Schedule'!$N$22&gt;0,MOD($A160-'Recurring Schedule'!$F$22,'Recurring Schedule'!$N$22)=0,IF('Recurring Schedule'!$O$22&gt;0,AND(DAY($A160)=MIN(DAY('Recurring Schedule'!$F$22),DAY(EOMONTH($A160,0))),MOD((YEAR($A160)-YEAR('Recurring Schedule'!$F$22))*12+MONTH($A160)-MONTH('Recurring Schedule'!$F$22),'Recurring Schedule'!$O$22)=0),IF('Recurring Schedule'!$E$22="Weekdays",WEEKDAY($A160,2)&lt;=5,$A160='Recurring Schedule'!$F$22))),17,""))))</f>
        <v/>
      </c>
      <c r="S160">
        <f>IF('Recurring Schedule'!$C$23="","",IF('Recurring Schedule'!$F$23="","",IF(OR($A160&lt;'Recurring Schedule'!$F$23,$A160&gt;'Recurring Schedule'!$P$23),"",IF(IF('Recurring Schedule'!$N$23&gt;0,MOD($A160-'Recurring Schedule'!$F$23,'Recurring Schedule'!$N$23)=0,IF('Recurring Schedule'!$O$23&gt;0,AND(DAY($A160)=MIN(DAY('Recurring Schedule'!$F$23),DAY(EOMONTH($A160,0))),MOD((YEAR($A160)-YEAR('Recurring Schedule'!$F$23))*12+MONTH($A160)-MONTH('Recurring Schedule'!$F$23),'Recurring Schedule'!$O$23)=0),IF('Recurring Schedule'!$E$23="Weekdays",WEEKDAY($A160,2)&lt;=5,$A160='Recurring Schedule'!$F$23))),18,""))))</f>
        <v/>
      </c>
      <c r="T160">
        <f>IF('Recurring Schedule'!$C$24="","",IF('Recurring Schedule'!$F$24="","",IF(OR($A160&lt;'Recurring Schedule'!$F$24,$A160&gt;'Recurring Schedule'!$P$24),"",IF(IF('Recurring Schedule'!$N$24&gt;0,MOD($A160-'Recurring Schedule'!$F$24,'Recurring Schedule'!$N$24)=0,IF('Recurring Schedule'!$O$24&gt;0,AND(DAY($A160)=MIN(DAY('Recurring Schedule'!$F$24),DAY(EOMONTH($A160,0))),MOD((YEAR($A160)-YEAR('Recurring Schedule'!$F$24))*12+MONTH($A160)-MONTH('Recurring Schedule'!$F$24),'Recurring Schedule'!$O$24)=0),IF('Recurring Schedule'!$E$24="Weekdays",WEEKDAY($A160,2)&lt;=5,$A160='Recurring Schedule'!$F$24))),19,""))))</f>
        <v/>
      </c>
      <c r="U160">
        <f>IF('Recurring Schedule'!$C$25="","",IF('Recurring Schedule'!$F$25="","",IF(OR($A160&lt;'Recurring Schedule'!$F$25,$A160&gt;'Recurring Schedule'!$P$25),"",IF(IF('Recurring Schedule'!$N$25&gt;0,MOD($A160-'Recurring Schedule'!$F$25,'Recurring Schedule'!$N$25)=0,IF('Recurring Schedule'!$O$25&gt;0,AND(DAY($A160)=MIN(DAY('Recurring Schedule'!$F$25),DAY(EOMONTH($A160,0))),MOD((YEAR($A160)-YEAR('Recurring Schedule'!$F$25))*12+MONTH($A160)-MONTH('Recurring Schedule'!$F$25),'Recurring Schedule'!$O$25)=0),IF('Recurring Schedule'!$E$25="Weekdays",WEEKDAY($A160,2)&lt;=5,$A160='Recurring Schedule'!$F$25))),20,""))))</f>
        <v/>
      </c>
      <c r="V160">
        <f>IF('Recurring Schedule'!$C$26="","",IF('Recurring Schedule'!$F$26="","",IF(OR($A160&lt;'Recurring Schedule'!$F$26,$A160&gt;'Recurring Schedule'!$P$26),"",IF(IF('Recurring Schedule'!$N$26&gt;0,MOD($A160-'Recurring Schedule'!$F$26,'Recurring Schedule'!$N$26)=0,IF('Recurring Schedule'!$O$26&gt;0,AND(DAY($A160)=MIN(DAY('Recurring Schedule'!$F$26),DAY(EOMONTH($A160,0))),MOD((YEAR($A160)-YEAR('Recurring Schedule'!$F$26))*12+MONTH($A160)-MONTH('Recurring Schedule'!$F$26),'Recurring Schedule'!$O$26)=0),IF('Recurring Schedule'!$E$26="Weekdays",WEEKDAY($A160,2)&lt;=5,$A160='Recurring Schedule'!$F$26))),21,""))))</f>
        <v/>
      </c>
      <c r="W160">
        <f>IF('Recurring Schedule'!$C$27="","",IF('Recurring Schedule'!$F$27="","",IF(OR($A160&lt;'Recurring Schedule'!$F$27,$A160&gt;'Recurring Schedule'!$P$27),"",IF(IF('Recurring Schedule'!$N$27&gt;0,MOD($A160-'Recurring Schedule'!$F$27,'Recurring Schedule'!$N$27)=0,IF('Recurring Schedule'!$O$27&gt;0,AND(DAY($A160)=MIN(DAY('Recurring Schedule'!$F$27),DAY(EOMONTH($A160,0))),MOD((YEAR($A160)-YEAR('Recurring Schedule'!$F$27))*12+MONTH($A160)-MONTH('Recurring Schedule'!$F$27),'Recurring Schedule'!$O$27)=0),IF('Recurring Schedule'!$E$27="Weekdays",WEEKDAY($A160,2)&lt;=5,$A160='Recurring Schedule'!$F$27))),22,""))))</f>
        <v/>
      </c>
      <c r="X160">
        <f>IF('Recurring Schedule'!$C$28="","",IF('Recurring Schedule'!$F$28="","",IF(OR($A160&lt;'Recurring Schedule'!$F$28,$A160&gt;'Recurring Schedule'!$P$28),"",IF(IF('Recurring Schedule'!$N$28&gt;0,MOD($A160-'Recurring Schedule'!$F$28,'Recurring Schedule'!$N$28)=0,IF('Recurring Schedule'!$O$28&gt;0,AND(DAY($A160)=MIN(DAY('Recurring Schedule'!$F$28),DAY(EOMONTH($A160,0))),MOD((YEAR($A160)-YEAR('Recurring Schedule'!$F$28))*12+MONTH($A160)-MONTH('Recurring Schedule'!$F$28),'Recurring Schedule'!$O$28)=0),IF('Recurring Schedule'!$E$28="Weekdays",WEEKDAY($A160,2)&lt;=5,$A160='Recurring Schedule'!$F$28))),23,""))))</f>
        <v/>
      </c>
      <c r="Y160">
        <f>IF('Recurring Schedule'!$C$29="","",IF('Recurring Schedule'!$F$29="","",IF(OR($A160&lt;'Recurring Schedule'!$F$29,$A160&gt;'Recurring Schedule'!$P$29),"",IF(IF('Recurring Schedule'!$N$29&gt;0,MOD($A160-'Recurring Schedule'!$F$29,'Recurring Schedule'!$N$29)=0,IF('Recurring Schedule'!$O$29&gt;0,AND(DAY($A160)=MIN(DAY('Recurring Schedule'!$F$29),DAY(EOMONTH($A160,0))),MOD((YEAR($A160)-YEAR('Recurring Schedule'!$F$29))*12+MONTH($A160)-MONTH('Recurring Schedule'!$F$29),'Recurring Schedule'!$O$29)=0),IF('Recurring Schedule'!$E$29="Weekdays",WEEKDAY($A160,2)&lt;=5,$A160='Recurring Schedule'!$F$29))),24,""))))</f>
        <v/>
      </c>
      <c r="Z160">
        <f>IF('Recurring Schedule'!$C$30="","",IF('Recurring Schedule'!$F$30="","",IF(OR($A160&lt;'Recurring Schedule'!$F$30,$A160&gt;'Recurring Schedule'!$P$30),"",IF(IF('Recurring Schedule'!$N$30&gt;0,MOD($A160-'Recurring Schedule'!$F$30,'Recurring Schedule'!$N$30)=0,IF('Recurring Schedule'!$O$30&gt;0,AND(DAY($A160)=MIN(DAY('Recurring Schedule'!$F$30),DAY(EOMONTH($A160,0))),MOD((YEAR($A160)-YEAR('Recurring Schedule'!$F$30))*12+MONTH($A160)-MONTH('Recurring Schedule'!$F$30),'Recurring Schedule'!$O$30)=0),IF('Recurring Schedule'!$E$30="Weekdays",WEEKDAY($A160,2)&lt;=5,$A160='Recurring Schedule'!$F$30))),25,""))))</f>
        <v/>
      </c>
      <c r="AA160">
        <f>IF('Recurring Schedule'!$C$31="","",IF('Recurring Schedule'!$F$31="","",IF(OR($A160&lt;'Recurring Schedule'!$F$31,$A160&gt;'Recurring Schedule'!$P$31),"",IF(IF('Recurring Schedule'!$N$31&gt;0,MOD($A160-'Recurring Schedule'!$F$31,'Recurring Schedule'!$N$31)=0,IF('Recurring Schedule'!$O$31&gt;0,AND(DAY($A160)=MIN(DAY('Recurring Schedule'!$F$31),DAY(EOMONTH($A160,0))),MOD((YEAR($A160)-YEAR('Recurring Schedule'!$F$31))*12+MONTH($A160)-MONTH('Recurring Schedule'!$F$31),'Recurring Schedule'!$O$31)=0),IF('Recurring Schedule'!$E$31="Weekdays",WEEKDAY($A160,2)&lt;=5,$A160='Recurring Schedule'!$F$31))),26,""))))</f>
        <v/>
      </c>
      <c r="AB160">
        <f>IF('Recurring Schedule'!$C$32="","",IF('Recurring Schedule'!$F$32="","",IF(OR($A160&lt;'Recurring Schedule'!$F$32,$A160&gt;'Recurring Schedule'!$P$32),"",IF(IF('Recurring Schedule'!$N$32&gt;0,MOD($A160-'Recurring Schedule'!$F$32,'Recurring Schedule'!$N$32)=0,IF('Recurring Schedule'!$O$32&gt;0,AND(DAY($A160)=MIN(DAY('Recurring Schedule'!$F$32),DAY(EOMONTH($A160,0))),MOD((YEAR($A160)-YEAR('Recurring Schedule'!$F$32))*12+MONTH($A160)-MONTH('Recurring Schedule'!$F$32),'Recurring Schedule'!$O$32)=0),IF('Recurring Schedule'!$E$32="Weekdays",WEEKDAY($A160,2)&lt;=5,$A160='Recurring Schedule'!$F$32))),27,""))))</f>
        <v/>
      </c>
      <c r="AC160">
        <f>IF('Recurring Schedule'!$C$33="","",IF('Recurring Schedule'!$F$33="","",IF(OR($A160&lt;'Recurring Schedule'!$F$33,$A160&gt;'Recurring Schedule'!$P$33),"",IF(IF('Recurring Schedule'!$N$33&gt;0,MOD($A160-'Recurring Schedule'!$F$33,'Recurring Schedule'!$N$33)=0,IF('Recurring Schedule'!$O$33&gt;0,AND(DAY($A160)=MIN(DAY('Recurring Schedule'!$F$33),DAY(EOMONTH($A160,0))),MOD((YEAR($A160)-YEAR('Recurring Schedule'!$F$33))*12+MONTH($A160)-MONTH('Recurring Schedule'!$F$33),'Recurring Schedule'!$O$33)=0),IF('Recurring Schedule'!$E$33="Weekdays",WEEKDAY($A160,2)&lt;=5,$A160='Recurring Schedule'!$F$33))),28,""))))</f>
        <v/>
      </c>
      <c r="AD160">
        <f>IF('Recurring Schedule'!$C$34="","",IF('Recurring Schedule'!$F$34="","",IF(OR($A160&lt;'Recurring Schedule'!$F$34,$A160&gt;'Recurring Schedule'!$P$34),"",IF(IF('Recurring Schedule'!$N$34&gt;0,MOD($A160-'Recurring Schedule'!$F$34,'Recurring Schedule'!$N$34)=0,IF('Recurring Schedule'!$O$34&gt;0,AND(DAY($A160)=MIN(DAY('Recurring Schedule'!$F$34),DAY(EOMONTH($A160,0))),MOD((YEAR($A160)-YEAR('Recurring Schedule'!$F$34))*12+MONTH($A160)-MONTH('Recurring Schedule'!$F$34),'Recurring Schedule'!$O$34)=0),IF('Recurring Schedule'!$E$34="Weekdays",WEEKDAY($A160,2)&lt;=5,$A160='Recurring Schedule'!$F$34))),29,""))))</f>
        <v/>
      </c>
      <c r="AE160">
        <f>IF('Recurring Schedule'!$C$35="","",IF('Recurring Schedule'!$F$35="","",IF(OR($A160&lt;'Recurring Schedule'!$F$35,$A160&gt;'Recurring Schedule'!$P$35),"",IF(IF('Recurring Schedule'!$N$35&gt;0,MOD($A160-'Recurring Schedule'!$F$35,'Recurring Schedule'!$N$35)=0,IF('Recurring Schedule'!$O$35&gt;0,AND(DAY($A160)=MIN(DAY('Recurring Schedule'!$F$35),DAY(EOMONTH($A160,0))),MOD((YEAR($A160)-YEAR('Recurring Schedule'!$F$35))*12+MONTH($A160)-MONTH('Recurring Schedule'!$F$35),'Recurring Schedule'!$O$35)=0),IF('Recurring Schedule'!$E$35="Weekdays",WEEKDAY($A160,2)&lt;=5,$A160='Recurring Schedule'!$F$35))),30,""))))</f>
        <v/>
      </c>
      <c r="AF160">
        <f>IF('Recurring Schedule'!$C$36="","",IF('Recurring Schedule'!$F$36="","",IF(OR($A160&lt;'Recurring Schedule'!$F$36,$A160&gt;'Recurring Schedule'!$P$36),"",IF(IF('Recurring Schedule'!$N$36&gt;0,MOD($A160-'Recurring Schedule'!$F$36,'Recurring Schedule'!$N$36)=0,IF('Recurring Schedule'!$O$36&gt;0,AND(DAY($A160)=MIN(DAY('Recurring Schedule'!$F$36),DAY(EOMONTH($A160,0))),MOD((YEAR($A160)-YEAR('Recurring Schedule'!$F$36))*12+MONTH($A160)-MONTH('Recurring Schedule'!$F$36),'Recurring Schedule'!$O$36)=0),IF('Recurring Schedule'!$E$36="Weekdays",WEEKDAY($A160,2)&lt;=5,$A160='Recurring Schedule'!$F$36))),31,""))))</f>
        <v/>
      </c>
      <c r="AG160">
        <f>IF('Recurring Schedule'!$C$37="","",IF('Recurring Schedule'!$F$37="","",IF(OR($A160&lt;'Recurring Schedule'!$F$37,$A160&gt;'Recurring Schedule'!$P$37),"",IF(IF('Recurring Schedule'!$N$37&gt;0,MOD($A160-'Recurring Schedule'!$F$37,'Recurring Schedule'!$N$37)=0,IF('Recurring Schedule'!$O$37&gt;0,AND(DAY($A160)=MIN(DAY('Recurring Schedule'!$F$37),DAY(EOMONTH($A160,0))),MOD((YEAR($A160)-YEAR('Recurring Schedule'!$F$37))*12+MONTH($A160)-MONTH('Recurring Schedule'!$F$37),'Recurring Schedule'!$O$37)=0),IF('Recurring Schedule'!$E$37="Weekdays",WEEKDAY($A160,2)&lt;=5,$A160='Recurring Schedule'!$F$37))),32,""))))</f>
        <v/>
      </c>
      <c r="AH160">
        <f>IF('Recurring Schedule'!$C$38="","",IF('Recurring Schedule'!$F$38="","",IF(OR($A160&lt;'Recurring Schedule'!$F$38,$A160&gt;'Recurring Schedule'!$P$38),"",IF(IF('Recurring Schedule'!$N$38&gt;0,MOD($A160-'Recurring Schedule'!$F$38,'Recurring Schedule'!$N$38)=0,IF('Recurring Schedule'!$O$38&gt;0,AND(DAY($A160)=MIN(DAY('Recurring Schedule'!$F$38),DAY(EOMONTH($A160,0))),MOD((YEAR($A160)-YEAR('Recurring Schedule'!$F$38))*12+MONTH($A160)-MONTH('Recurring Schedule'!$F$38),'Recurring Schedule'!$O$38)=0),IF('Recurring Schedule'!$E$38="Weekdays",WEEKDAY($A160,2)&lt;=5,$A160='Recurring Schedule'!$F$38))),33,""))))</f>
        <v/>
      </c>
      <c r="AI160">
        <f>IF('Recurring Schedule'!$C$39="","",IF('Recurring Schedule'!$F$39="","",IF(OR($A160&lt;'Recurring Schedule'!$F$39,$A160&gt;'Recurring Schedule'!$P$39),"",IF(IF('Recurring Schedule'!$N$39&gt;0,MOD($A160-'Recurring Schedule'!$F$39,'Recurring Schedule'!$N$39)=0,IF('Recurring Schedule'!$O$39&gt;0,AND(DAY($A160)=MIN(DAY('Recurring Schedule'!$F$39),DAY(EOMONTH($A160,0))),MOD((YEAR($A160)-YEAR('Recurring Schedule'!$F$39))*12+MONTH($A160)-MONTH('Recurring Schedule'!$F$39),'Recurring Schedule'!$O$39)=0),IF('Recurring Schedule'!$E$39="Weekdays",WEEKDAY($A160,2)&lt;=5,$A160='Recurring Schedule'!$F$39))),34,""))))</f>
        <v/>
      </c>
      <c r="AJ160">
        <f>IF('Recurring Schedule'!$C$40="","",IF('Recurring Schedule'!$F$40="","",IF(OR($A160&lt;'Recurring Schedule'!$F$40,$A160&gt;'Recurring Schedule'!$P$40),"",IF(IF('Recurring Schedule'!$N$40&gt;0,MOD($A160-'Recurring Schedule'!$F$40,'Recurring Schedule'!$N$40)=0,IF('Recurring Schedule'!$O$40&gt;0,AND(DAY($A160)=MIN(DAY('Recurring Schedule'!$F$40),DAY(EOMONTH($A160,0))),MOD((YEAR($A160)-YEAR('Recurring Schedule'!$F$40))*12+MONTH($A160)-MONTH('Recurring Schedule'!$F$40),'Recurring Schedule'!$O$40)=0),IF('Recurring Schedule'!$E$40="Weekdays",WEEKDAY($A160,2)&lt;=5,$A160='Recurring Schedule'!$F$40))),35,""))))</f>
        <v/>
      </c>
      <c r="AK160">
        <f>IF('Recurring Schedule'!$C$41="","",IF('Recurring Schedule'!$F$41="","",IF(OR($A160&lt;'Recurring Schedule'!$F$41,$A160&gt;'Recurring Schedule'!$P$41),"",IF(IF('Recurring Schedule'!$N$41&gt;0,MOD($A160-'Recurring Schedule'!$F$41,'Recurring Schedule'!$N$41)=0,IF('Recurring Schedule'!$O$41&gt;0,AND(DAY($A160)=MIN(DAY('Recurring Schedule'!$F$41),DAY(EOMONTH($A160,0))),MOD((YEAR($A160)-YEAR('Recurring Schedule'!$F$41))*12+MONTH($A160)-MONTH('Recurring Schedule'!$F$41),'Recurring Schedule'!$O$41)=0),IF('Recurring Schedule'!$E$41="Weekdays",WEEKDAY($A160,2)&lt;=5,$A160='Recurring Schedule'!$F$41))),36,""))))</f>
        <v/>
      </c>
      <c r="AL160">
        <f>IF('Recurring Schedule'!$C$42="","",IF('Recurring Schedule'!$F$42="","",IF(OR($A160&lt;'Recurring Schedule'!$F$42,$A160&gt;'Recurring Schedule'!$P$42),"",IF(IF('Recurring Schedule'!$N$42&gt;0,MOD($A160-'Recurring Schedule'!$F$42,'Recurring Schedule'!$N$42)=0,IF('Recurring Schedule'!$O$42&gt;0,AND(DAY($A160)=MIN(DAY('Recurring Schedule'!$F$42),DAY(EOMONTH($A160,0))),MOD((YEAR($A160)-YEAR('Recurring Schedule'!$F$42))*12+MONTH($A160)-MONTH('Recurring Schedule'!$F$42),'Recurring Schedule'!$O$42)=0),IF('Recurring Schedule'!$E$42="Weekdays",WEEKDAY($A160,2)&lt;=5,$A160='Recurring Schedule'!$F$42))),37,""))))</f>
        <v/>
      </c>
      <c r="AM160">
        <f>IF('Recurring Schedule'!$C$43="","",IF('Recurring Schedule'!$F$43="","",IF(OR($A160&lt;'Recurring Schedule'!$F$43,$A160&gt;'Recurring Schedule'!$P$43),"",IF(IF('Recurring Schedule'!$N$43&gt;0,MOD($A160-'Recurring Schedule'!$F$43,'Recurring Schedule'!$N$43)=0,IF('Recurring Schedule'!$O$43&gt;0,AND(DAY($A160)=MIN(DAY('Recurring Schedule'!$F$43),DAY(EOMONTH($A160,0))),MOD((YEAR($A160)-YEAR('Recurring Schedule'!$F$43))*12+MONTH($A160)-MONTH('Recurring Schedule'!$F$43),'Recurring Schedule'!$O$43)=0),IF('Recurring Schedule'!$E$43="Weekdays",WEEKDAY($A160,2)&lt;=5,$A160='Recurring Schedule'!$F$43))),38,""))))</f>
        <v/>
      </c>
      <c r="AN160">
        <f>IF('Recurring Schedule'!$C$44="","",IF('Recurring Schedule'!$F$44="","",IF(OR($A160&lt;'Recurring Schedule'!$F$44,$A160&gt;'Recurring Schedule'!$P$44),"",IF(IF('Recurring Schedule'!$N$44&gt;0,MOD($A160-'Recurring Schedule'!$F$44,'Recurring Schedule'!$N$44)=0,IF('Recurring Schedule'!$O$44&gt;0,AND(DAY($A160)=MIN(DAY('Recurring Schedule'!$F$44),DAY(EOMONTH($A160,0))),MOD((YEAR($A160)-YEAR('Recurring Schedule'!$F$44))*12+MONTH($A160)-MONTH('Recurring Schedule'!$F$44),'Recurring Schedule'!$O$44)=0),IF('Recurring Schedule'!$E$44="Weekdays",WEEKDAY($A160,2)&lt;=5,$A160='Recurring Schedule'!$F$44))),39,""))))</f>
        <v/>
      </c>
      <c r="AO160">
        <f>IF('Recurring Schedule'!$C$45="","",IF('Recurring Schedule'!$F$45="","",IF(OR($A160&lt;'Recurring Schedule'!$F$45,$A160&gt;'Recurring Schedule'!$P$45),"",IF(IF('Recurring Schedule'!$N$45&gt;0,MOD($A160-'Recurring Schedule'!$F$45,'Recurring Schedule'!$N$45)=0,IF('Recurring Schedule'!$O$45&gt;0,AND(DAY($A160)=MIN(DAY('Recurring Schedule'!$F$45),DAY(EOMONTH($A160,0))),MOD((YEAR($A160)-YEAR('Recurring Schedule'!$F$45))*12+MONTH($A160)-MONTH('Recurring Schedule'!$F$45),'Recurring Schedule'!$O$45)=0),IF('Recurring Schedule'!$E$45="Weekdays",WEEKDAY($A160,2)&lt;=5,$A160='Recurring Schedule'!$F$45))),40,""))))</f>
        <v/>
      </c>
      <c r="AP160">
        <f>COUNT(B160:AO160)</f>
        <v/>
      </c>
      <c r="AQ160">
        <f>AQ159+AP159</f>
        <v/>
      </c>
      <c r="AS160" t="inlineStr">
        <is>
          <t>R</t>
        </is>
      </c>
      <c r="AT160" t="n">
        <v>164</v>
      </c>
      <c r="AU160">
        <f>'Recurring Log'!C164&amp;""</f>
        <v/>
      </c>
      <c r="AV160">
        <f>'Recurring Log'!D164&amp;""</f>
        <v/>
      </c>
      <c r="AW160">
        <f>IF('Recurring Log'!E164="","",'Recurring Log'!E164)</f>
        <v/>
      </c>
      <c r="AX160">
        <f>IF('Recurring Log'!G164="","",'Recurring Log'!G164)</f>
        <v/>
      </c>
      <c r="AY160">
        <f>IF('Recurring Log'!H164="","",'Recurring Log'!H164)</f>
        <v/>
      </c>
      <c r="AZ160">
        <f>IF(AU160="","",IF('Recurring Log'!J164="","Not Started",'Recurring Log'!J164))</f>
        <v/>
      </c>
      <c r="BA160">
        <f>'Recurring Log'!L164&amp;""</f>
        <v/>
      </c>
      <c r="BB160">
        <f>'Recurring Log'!M164&amp;""</f>
        <v/>
      </c>
      <c r="BC160">
        <f>'Recurring Log'!N164&amp;""</f>
        <v/>
      </c>
      <c r="BD160">
        <f>'Recurring Log'!O164&amp;""</f>
        <v/>
      </c>
      <c r="BE160">
        <f>IF('Recurring Log'!K164="","",'Recurring Log'!K164)</f>
        <v/>
      </c>
      <c r="BF160">
        <f>IFERROR(MATCH(BA160,Setup!$L$6:$L$9,0),5)</f>
        <v/>
      </c>
      <c r="BG160">
        <f>IF(OR(AZ160="Done",AZ160="Cancelled"),1,0)</f>
        <v/>
      </c>
      <c r="BH160">
        <f>IF(AND(AU160&lt;&gt;"",ISNUMBER(AW160)),1,0)</f>
        <v/>
      </c>
      <c r="BI160">
        <f>IF(BH160=0,0,IF(AND(AW160&gt;='Tasks Filter'!$F$3,AW160&lt;='Tasks Filter'!$F$4,OR('Tasks Filter'!$I$3="",ISNUMBER(SEARCH('Tasks Filter'!$I$3,AU160))),OR('Tasks Filter'!$I$4="",BF160=IFERROR(MATCH('Tasks Filter'!$I$4,Setup!$L$6:$L$9,0),0)),OR('Tasks Filter'!$I$5="Both",AND('Tasks Filter'!$I$5="Yes",BB160="✓"),AND('Tasks Filter'!$I$5="No",BB160&lt;&gt;"✓")),OR('Tasks Filter'!$L$3="",AV160='Tasks Filter'!$L$3),OR('Tasks Filter'!$L$4="",AZ160='Tasks Filter'!$L$4),OR('Tasks Filter'!$L$5="",BC160='Tasks Filter'!$L$5),OR('Tasks Filter'!$O$3="",BD160='Tasks Filter'!$O$3),OR('Tasks Filter'!$O$4="Yes",BG160=0)),1,0))</f>
        <v/>
      </c>
      <c r="BJ160">
        <f>IF(BH160=0,"",IF('Tasks Filter'!$F$6="Descending",-1,1)*CHOOSE(MATCH('Tasks Filter'!$F$5,Lists!$G$2:$G$6,0),AW160,BF160,IFERROR(MATCH(AV160,Setup!$F$6:$F$15,0),99),IFERROR(MATCH(BC160,Setup!$H$6:$H$15,0),99),IFERROR(MATCH(AZ160,Setup!$J$6:$J$11,0),99))*1E+9+(AW160-40000)*10000+159)</f>
        <v/>
      </c>
      <c r="BK160">
        <f>IF(BI160=1,BJ160,"")</f>
        <v/>
      </c>
      <c r="BL160">
        <f>IF(AND(BH160=1,BG160=0,N(AW160)&lt;Setup!$D$7),(AW160-40000)*10000+159,"")</f>
        <v/>
      </c>
      <c r="BM160">
        <f>IF(AND(BH160=1,AZ160&lt;&gt;"Cancelled",N(AW160)&gt;=Dashboard!$AB$3,N(AW160)&lt;=Dashboard!$AB$3+6),(AW160-40000)*100000+BF160*10000+159,"")</f>
        <v/>
      </c>
      <c r="BN160">
        <f>IF(AND(BH160=1,AZ160&lt;&gt;"Cancelled"),BF160*10000+159,"")</f>
        <v/>
      </c>
    </row>
    <row r="161">
      <c r="A161">
        <f>Setup!$D$5+159</f>
        <v/>
      </c>
      <c r="B161">
        <f>IF('Recurring Schedule'!$C$6="","",IF('Recurring Schedule'!$F$6="","",IF(OR($A161&lt;'Recurring Schedule'!$F$6,$A161&gt;'Recurring Schedule'!$P$6),"",IF(IF('Recurring Schedule'!$N$6&gt;0,MOD($A161-'Recurring Schedule'!$F$6,'Recurring Schedule'!$N$6)=0,IF('Recurring Schedule'!$O$6&gt;0,AND(DAY($A161)=MIN(DAY('Recurring Schedule'!$F$6),DAY(EOMONTH($A161,0))),MOD((YEAR($A161)-YEAR('Recurring Schedule'!$F$6))*12+MONTH($A161)-MONTH('Recurring Schedule'!$F$6),'Recurring Schedule'!$O$6)=0),IF('Recurring Schedule'!$E$6="Weekdays",WEEKDAY($A161,2)&lt;=5,$A161='Recurring Schedule'!$F$6))),1,""))))</f>
        <v/>
      </c>
      <c r="C161">
        <f>IF('Recurring Schedule'!$C$7="","",IF('Recurring Schedule'!$F$7="","",IF(OR($A161&lt;'Recurring Schedule'!$F$7,$A161&gt;'Recurring Schedule'!$P$7),"",IF(IF('Recurring Schedule'!$N$7&gt;0,MOD($A161-'Recurring Schedule'!$F$7,'Recurring Schedule'!$N$7)=0,IF('Recurring Schedule'!$O$7&gt;0,AND(DAY($A161)=MIN(DAY('Recurring Schedule'!$F$7),DAY(EOMONTH($A161,0))),MOD((YEAR($A161)-YEAR('Recurring Schedule'!$F$7))*12+MONTH($A161)-MONTH('Recurring Schedule'!$F$7),'Recurring Schedule'!$O$7)=0),IF('Recurring Schedule'!$E$7="Weekdays",WEEKDAY($A161,2)&lt;=5,$A161='Recurring Schedule'!$F$7))),2,""))))</f>
        <v/>
      </c>
      <c r="D161">
        <f>IF('Recurring Schedule'!$C$8="","",IF('Recurring Schedule'!$F$8="","",IF(OR($A161&lt;'Recurring Schedule'!$F$8,$A161&gt;'Recurring Schedule'!$P$8),"",IF(IF('Recurring Schedule'!$N$8&gt;0,MOD($A161-'Recurring Schedule'!$F$8,'Recurring Schedule'!$N$8)=0,IF('Recurring Schedule'!$O$8&gt;0,AND(DAY($A161)=MIN(DAY('Recurring Schedule'!$F$8),DAY(EOMONTH($A161,0))),MOD((YEAR($A161)-YEAR('Recurring Schedule'!$F$8))*12+MONTH($A161)-MONTH('Recurring Schedule'!$F$8),'Recurring Schedule'!$O$8)=0),IF('Recurring Schedule'!$E$8="Weekdays",WEEKDAY($A161,2)&lt;=5,$A161='Recurring Schedule'!$F$8))),3,""))))</f>
        <v/>
      </c>
      <c r="E161">
        <f>IF('Recurring Schedule'!$C$9="","",IF('Recurring Schedule'!$F$9="","",IF(OR($A161&lt;'Recurring Schedule'!$F$9,$A161&gt;'Recurring Schedule'!$P$9),"",IF(IF('Recurring Schedule'!$N$9&gt;0,MOD($A161-'Recurring Schedule'!$F$9,'Recurring Schedule'!$N$9)=0,IF('Recurring Schedule'!$O$9&gt;0,AND(DAY($A161)=MIN(DAY('Recurring Schedule'!$F$9),DAY(EOMONTH($A161,0))),MOD((YEAR($A161)-YEAR('Recurring Schedule'!$F$9))*12+MONTH($A161)-MONTH('Recurring Schedule'!$F$9),'Recurring Schedule'!$O$9)=0),IF('Recurring Schedule'!$E$9="Weekdays",WEEKDAY($A161,2)&lt;=5,$A161='Recurring Schedule'!$F$9))),4,""))))</f>
        <v/>
      </c>
      <c r="F161">
        <f>IF('Recurring Schedule'!$C$10="","",IF('Recurring Schedule'!$F$10="","",IF(OR($A161&lt;'Recurring Schedule'!$F$10,$A161&gt;'Recurring Schedule'!$P$10),"",IF(IF('Recurring Schedule'!$N$10&gt;0,MOD($A161-'Recurring Schedule'!$F$10,'Recurring Schedule'!$N$10)=0,IF('Recurring Schedule'!$O$10&gt;0,AND(DAY($A161)=MIN(DAY('Recurring Schedule'!$F$10),DAY(EOMONTH($A161,0))),MOD((YEAR($A161)-YEAR('Recurring Schedule'!$F$10))*12+MONTH($A161)-MONTH('Recurring Schedule'!$F$10),'Recurring Schedule'!$O$10)=0),IF('Recurring Schedule'!$E$10="Weekdays",WEEKDAY($A161,2)&lt;=5,$A161='Recurring Schedule'!$F$10))),5,""))))</f>
        <v/>
      </c>
      <c r="G161">
        <f>IF('Recurring Schedule'!$C$11="","",IF('Recurring Schedule'!$F$11="","",IF(OR($A161&lt;'Recurring Schedule'!$F$11,$A161&gt;'Recurring Schedule'!$P$11),"",IF(IF('Recurring Schedule'!$N$11&gt;0,MOD($A161-'Recurring Schedule'!$F$11,'Recurring Schedule'!$N$11)=0,IF('Recurring Schedule'!$O$11&gt;0,AND(DAY($A161)=MIN(DAY('Recurring Schedule'!$F$11),DAY(EOMONTH($A161,0))),MOD((YEAR($A161)-YEAR('Recurring Schedule'!$F$11))*12+MONTH($A161)-MONTH('Recurring Schedule'!$F$11),'Recurring Schedule'!$O$11)=0),IF('Recurring Schedule'!$E$11="Weekdays",WEEKDAY($A161,2)&lt;=5,$A161='Recurring Schedule'!$F$11))),6,""))))</f>
        <v/>
      </c>
      <c r="H161">
        <f>IF('Recurring Schedule'!$C$12="","",IF('Recurring Schedule'!$F$12="","",IF(OR($A161&lt;'Recurring Schedule'!$F$12,$A161&gt;'Recurring Schedule'!$P$12),"",IF(IF('Recurring Schedule'!$N$12&gt;0,MOD($A161-'Recurring Schedule'!$F$12,'Recurring Schedule'!$N$12)=0,IF('Recurring Schedule'!$O$12&gt;0,AND(DAY($A161)=MIN(DAY('Recurring Schedule'!$F$12),DAY(EOMONTH($A161,0))),MOD((YEAR($A161)-YEAR('Recurring Schedule'!$F$12))*12+MONTH($A161)-MONTH('Recurring Schedule'!$F$12),'Recurring Schedule'!$O$12)=0),IF('Recurring Schedule'!$E$12="Weekdays",WEEKDAY($A161,2)&lt;=5,$A161='Recurring Schedule'!$F$12))),7,""))))</f>
        <v/>
      </c>
      <c r="I161">
        <f>IF('Recurring Schedule'!$C$13="","",IF('Recurring Schedule'!$F$13="","",IF(OR($A161&lt;'Recurring Schedule'!$F$13,$A161&gt;'Recurring Schedule'!$P$13),"",IF(IF('Recurring Schedule'!$N$13&gt;0,MOD($A161-'Recurring Schedule'!$F$13,'Recurring Schedule'!$N$13)=0,IF('Recurring Schedule'!$O$13&gt;0,AND(DAY($A161)=MIN(DAY('Recurring Schedule'!$F$13),DAY(EOMONTH($A161,0))),MOD((YEAR($A161)-YEAR('Recurring Schedule'!$F$13))*12+MONTH($A161)-MONTH('Recurring Schedule'!$F$13),'Recurring Schedule'!$O$13)=0),IF('Recurring Schedule'!$E$13="Weekdays",WEEKDAY($A161,2)&lt;=5,$A161='Recurring Schedule'!$F$13))),8,""))))</f>
        <v/>
      </c>
      <c r="J161">
        <f>IF('Recurring Schedule'!$C$14="","",IF('Recurring Schedule'!$F$14="","",IF(OR($A161&lt;'Recurring Schedule'!$F$14,$A161&gt;'Recurring Schedule'!$P$14),"",IF(IF('Recurring Schedule'!$N$14&gt;0,MOD($A161-'Recurring Schedule'!$F$14,'Recurring Schedule'!$N$14)=0,IF('Recurring Schedule'!$O$14&gt;0,AND(DAY($A161)=MIN(DAY('Recurring Schedule'!$F$14),DAY(EOMONTH($A161,0))),MOD((YEAR($A161)-YEAR('Recurring Schedule'!$F$14))*12+MONTH($A161)-MONTH('Recurring Schedule'!$F$14),'Recurring Schedule'!$O$14)=0),IF('Recurring Schedule'!$E$14="Weekdays",WEEKDAY($A161,2)&lt;=5,$A161='Recurring Schedule'!$F$14))),9,""))))</f>
        <v/>
      </c>
      <c r="K161">
        <f>IF('Recurring Schedule'!$C$15="","",IF('Recurring Schedule'!$F$15="","",IF(OR($A161&lt;'Recurring Schedule'!$F$15,$A161&gt;'Recurring Schedule'!$P$15),"",IF(IF('Recurring Schedule'!$N$15&gt;0,MOD($A161-'Recurring Schedule'!$F$15,'Recurring Schedule'!$N$15)=0,IF('Recurring Schedule'!$O$15&gt;0,AND(DAY($A161)=MIN(DAY('Recurring Schedule'!$F$15),DAY(EOMONTH($A161,0))),MOD((YEAR($A161)-YEAR('Recurring Schedule'!$F$15))*12+MONTH($A161)-MONTH('Recurring Schedule'!$F$15),'Recurring Schedule'!$O$15)=0),IF('Recurring Schedule'!$E$15="Weekdays",WEEKDAY($A161,2)&lt;=5,$A161='Recurring Schedule'!$F$15))),10,""))))</f>
        <v/>
      </c>
      <c r="L161">
        <f>IF('Recurring Schedule'!$C$16="","",IF('Recurring Schedule'!$F$16="","",IF(OR($A161&lt;'Recurring Schedule'!$F$16,$A161&gt;'Recurring Schedule'!$P$16),"",IF(IF('Recurring Schedule'!$N$16&gt;0,MOD($A161-'Recurring Schedule'!$F$16,'Recurring Schedule'!$N$16)=0,IF('Recurring Schedule'!$O$16&gt;0,AND(DAY($A161)=MIN(DAY('Recurring Schedule'!$F$16),DAY(EOMONTH($A161,0))),MOD((YEAR($A161)-YEAR('Recurring Schedule'!$F$16))*12+MONTH($A161)-MONTH('Recurring Schedule'!$F$16),'Recurring Schedule'!$O$16)=0),IF('Recurring Schedule'!$E$16="Weekdays",WEEKDAY($A161,2)&lt;=5,$A161='Recurring Schedule'!$F$16))),11,""))))</f>
        <v/>
      </c>
      <c r="M161">
        <f>IF('Recurring Schedule'!$C$17="","",IF('Recurring Schedule'!$F$17="","",IF(OR($A161&lt;'Recurring Schedule'!$F$17,$A161&gt;'Recurring Schedule'!$P$17),"",IF(IF('Recurring Schedule'!$N$17&gt;0,MOD($A161-'Recurring Schedule'!$F$17,'Recurring Schedule'!$N$17)=0,IF('Recurring Schedule'!$O$17&gt;0,AND(DAY($A161)=MIN(DAY('Recurring Schedule'!$F$17),DAY(EOMONTH($A161,0))),MOD((YEAR($A161)-YEAR('Recurring Schedule'!$F$17))*12+MONTH($A161)-MONTH('Recurring Schedule'!$F$17),'Recurring Schedule'!$O$17)=0),IF('Recurring Schedule'!$E$17="Weekdays",WEEKDAY($A161,2)&lt;=5,$A161='Recurring Schedule'!$F$17))),12,""))))</f>
        <v/>
      </c>
      <c r="N161">
        <f>IF('Recurring Schedule'!$C$18="","",IF('Recurring Schedule'!$F$18="","",IF(OR($A161&lt;'Recurring Schedule'!$F$18,$A161&gt;'Recurring Schedule'!$P$18),"",IF(IF('Recurring Schedule'!$N$18&gt;0,MOD($A161-'Recurring Schedule'!$F$18,'Recurring Schedule'!$N$18)=0,IF('Recurring Schedule'!$O$18&gt;0,AND(DAY($A161)=MIN(DAY('Recurring Schedule'!$F$18),DAY(EOMONTH($A161,0))),MOD((YEAR($A161)-YEAR('Recurring Schedule'!$F$18))*12+MONTH($A161)-MONTH('Recurring Schedule'!$F$18),'Recurring Schedule'!$O$18)=0),IF('Recurring Schedule'!$E$18="Weekdays",WEEKDAY($A161,2)&lt;=5,$A161='Recurring Schedule'!$F$18))),13,""))))</f>
        <v/>
      </c>
      <c r="O161">
        <f>IF('Recurring Schedule'!$C$19="","",IF('Recurring Schedule'!$F$19="","",IF(OR($A161&lt;'Recurring Schedule'!$F$19,$A161&gt;'Recurring Schedule'!$P$19),"",IF(IF('Recurring Schedule'!$N$19&gt;0,MOD($A161-'Recurring Schedule'!$F$19,'Recurring Schedule'!$N$19)=0,IF('Recurring Schedule'!$O$19&gt;0,AND(DAY($A161)=MIN(DAY('Recurring Schedule'!$F$19),DAY(EOMONTH($A161,0))),MOD((YEAR($A161)-YEAR('Recurring Schedule'!$F$19))*12+MONTH($A161)-MONTH('Recurring Schedule'!$F$19),'Recurring Schedule'!$O$19)=0),IF('Recurring Schedule'!$E$19="Weekdays",WEEKDAY($A161,2)&lt;=5,$A161='Recurring Schedule'!$F$19))),14,""))))</f>
        <v/>
      </c>
      <c r="P161">
        <f>IF('Recurring Schedule'!$C$20="","",IF('Recurring Schedule'!$F$20="","",IF(OR($A161&lt;'Recurring Schedule'!$F$20,$A161&gt;'Recurring Schedule'!$P$20),"",IF(IF('Recurring Schedule'!$N$20&gt;0,MOD($A161-'Recurring Schedule'!$F$20,'Recurring Schedule'!$N$20)=0,IF('Recurring Schedule'!$O$20&gt;0,AND(DAY($A161)=MIN(DAY('Recurring Schedule'!$F$20),DAY(EOMONTH($A161,0))),MOD((YEAR($A161)-YEAR('Recurring Schedule'!$F$20))*12+MONTH($A161)-MONTH('Recurring Schedule'!$F$20),'Recurring Schedule'!$O$20)=0),IF('Recurring Schedule'!$E$20="Weekdays",WEEKDAY($A161,2)&lt;=5,$A161='Recurring Schedule'!$F$20))),15,""))))</f>
        <v/>
      </c>
      <c r="Q161">
        <f>IF('Recurring Schedule'!$C$21="","",IF('Recurring Schedule'!$F$21="","",IF(OR($A161&lt;'Recurring Schedule'!$F$21,$A161&gt;'Recurring Schedule'!$P$21),"",IF(IF('Recurring Schedule'!$N$21&gt;0,MOD($A161-'Recurring Schedule'!$F$21,'Recurring Schedule'!$N$21)=0,IF('Recurring Schedule'!$O$21&gt;0,AND(DAY($A161)=MIN(DAY('Recurring Schedule'!$F$21),DAY(EOMONTH($A161,0))),MOD((YEAR($A161)-YEAR('Recurring Schedule'!$F$21))*12+MONTH($A161)-MONTH('Recurring Schedule'!$F$21),'Recurring Schedule'!$O$21)=0),IF('Recurring Schedule'!$E$21="Weekdays",WEEKDAY($A161,2)&lt;=5,$A161='Recurring Schedule'!$F$21))),16,""))))</f>
        <v/>
      </c>
      <c r="R161">
        <f>IF('Recurring Schedule'!$C$22="","",IF('Recurring Schedule'!$F$22="","",IF(OR($A161&lt;'Recurring Schedule'!$F$22,$A161&gt;'Recurring Schedule'!$P$22),"",IF(IF('Recurring Schedule'!$N$22&gt;0,MOD($A161-'Recurring Schedule'!$F$22,'Recurring Schedule'!$N$22)=0,IF('Recurring Schedule'!$O$22&gt;0,AND(DAY($A161)=MIN(DAY('Recurring Schedule'!$F$22),DAY(EOMONTH($A161,0))),MOD((YEAR($A161)-YEAR('Recurring Schedule'!$F$22))*12+MONTH($A161)-MONTH('Recurring Schedule'!$F$22),'Recurring Schedule'!$O$22)=0),IF('Recurring Schedule'!$E$22="Weekdays",WEEKDAY($A161,2)&lt;=5,$A161='Recurring Schedule'!$F$22))),17,""))))</f>
        <v/>
      </c>
      <c r="S161">
        <f>IF('Recurring Schedule'!$C$23="","",IF('Recurring Schedule'!$F$23="","",IF(OR($A161&lt;'Recurring Schedule'!$F$23,$A161&gt;'Recurring Schedule'!$P$23),"",IF(IF('Recurring Schedule'!$N$23&gt;0,MOD($A161-'Recurring Schedule'!$F$23,'Recurring Schedule'!$N$23)=0,IF('Recurring Schedule'!$O$23&gt;0,AND(DAY($A161)=MIN(DAY('Recurring Schedule'!$F$23),DAY(EOMONTH($A161,0))),MOD((YEAR($A161)-YEAR('Recurring Schedule'!$F$23))*12+MONTH($A161)-MONTH('Recurring Schedule'!$F$23),'Recurring Schedule'!$O$23)=0),IF('Recurring Schedule'!$E$23="Weekdays",WEEKDAY($A161,2)&lt;=5,$A161='Recurring Schedule'!$F$23))),18,""))))</f>
        <v/>
      </c>
      <c r="T161">
        <f>IF('Recurring Schedule'!$C$24="","",IF('Recurring Schedule'!$F$24="","",IF(OR($A161&lt;'Recurring Schedule'!$F$24,$A161&gt;'Recurring Schedule'!$P$24),"",IF(IF('Recurring Schedule'!$N$24&gt;0,MOD($A161-'Recurring Schedule'!$F$24,'Recurring Schedule'!$N$24)=0,IF('Recurring Schedule'!$O$24&gt;0,AND(DAY($A161)=MIN(DAY('Recurring Schedule'!$F$24),DAY(EOMONTH($A161,0))),MOD((YEAR($A161)-YEAR('Recurring Schedule'!$F$24))*12+MONTH($A161)-MONTH('Recurring Schedule'!$F$24),'Recurring Schedule'!$O$24)=0),IF('Recurring Schedule'!$E$24="Weekdays",WEEKDAY($A161,2)&lt;=5,$A161='Recurring Schedule'!$F$24))),19,""))))</f>
        <v/>
      </c>
      <c r="U161">
        <f>IF('Recurring Schedule'!$C$25="","",IF('Recurring Schedule'!$F$25="","",IF(OR($A161&lt;'Recurring Schedule'!$F$25,$A161&gt;'Recurring Schedule'!$P$25),"",IF(IF('Recurring Schedule'!$N$25&gt;0,MOD($A161-'Recurring Schedule'!$F$25,'Recurring Schedule'!$N$25)=0,IF('Recurring Schedule'!$O$25&gt;0,AND(DAY($A161)=MIN(DAY('Recurring Schedule'!$F$25),DAY(EOMONTH($A161,0))),MOD((YEAR($A161)-YEAR('Recurring Schedule'!$F$25))*12+MONTH($A161)-MONTH('Recurring Schedule'!$F$25),'Recurring Schedule'!$O$25)=0),IF('Recurring Schedule'!$E$25="Weekdays",WEEKDAY($A161,2)&lt;=5,$A161='Recurring Schedule'!$F$25))),20,""))))</f>
        <v/>
      </c>
      <c r="V161">
        <f>IF('Recurring Schedule'!$C$26="","",IF('Recurring Schedule'!$F$26="","",IF(OR($A161&lt;'Recurring Schedule'!$F$26,$A161&gt;'Recurring Schedule'!$P$26),"",IF(IF('Recurring Schedule'!$N$26&gt;0,MOD($A161-'Recurring Schedule'!$F$26,'Recurring Schedule'!$N$26)=0,IF('Recurring Schedule'!$O$26&gt;0,AND(DAY($A161)=MIN(DAY('Recurring Schedule'!$F$26),DAY(EOMONTH($A161,0))),MOD((YEAR($A161)-YEAR('Recurring Schedule'!$F$26))*12+MONTH($A161)-MONTH('Recurring Schedule'!$F$26),'Recurring Schedule'!$O$26)=0),IF('Recurring Schedule'!$E$26="Weekdays",WEEKDAY($A161,2)&lt;=5,$A161='Recurring Schedule'!$F$26))),21,""))))</f>
        <v/>
      </c>
      <c r="W161">
        <f>IF('Recurring Schedule'!$C$27="","",IF('Recurring Schedule'!$F$27="","",IF(OR($A161&lt;'Recurring Schedule'!$F$27,$A161&gt;'Recurring Schedule'!$P$27),"",IF(IF('Recurring Schedule'!$N$27&gt;0,MOD($A161-'Recurring Schedule'!$F$27,'Recurring Schedule'!$N$27)=0,IF('Recurring Schedule'!$O$27&gt;0,AND(DAY($A161)=MIN(DAY('Recurring Schedule'!$F$27),DAY(EOMONTH($A161,0))),MOD((YEAR($A161)-YEAR('Recurring Schedule'!$F$27))*12+MONTH($A161)-MONTH('Recurring Schedule'!$F$27),'Recurring Schedule'!$O$27)=0),IF('Recurring Schedule'!$E$27="Weekdays",WEEKDAY($A161,2)&lt;=5,$A161='Recurring Schedule'!$F$27))),22,""))))</f>
        <v/>
      </c>
      <c r="X161">
        <f>IF('Recurring Schedule'!$C$28="","",IF('Recurring Schedule'!$F$28="","",IF(OR($A161&lt;'Recurring Schedule'!$F$28,$A161&gt;'Recurring Schedule'!$P$28),"",IF(IF('Recurring Schedule'!$N$28&gt;0,MOD($A161-'Recurring Schedule'!$F$28,'Recurring Schedule'!$N$28)=0,IF('Recurring Schedule'!$O$28&gt;0,AND(DAY($A161)=MIN(DAY('Recurring Schedule'!$F$28),DAY(EOMONTH($A161,0))),MOD((YEAR($A161)-YEAR('Recurring Schedule'!$F$28))*12+MONTH($A161)-MONTH('Recurring Schedule'!$F$28),'Recurring Schedule'!$O$28)=0),IF('Recurring Schedule'!$E$28="Weekdays",WEEKDAY($A161,2)&lt;=5,$A161='Recurring Schedule'!$F$28))),23,""))))</f>
        <v/>
      </c>
      <c r="Y161">
        <f>IF('Recurring Schedule'!$C$29="","",IF('Recurring Schedule'!$F$29="","",IF(OR($A161&lt;'Recurring Schedule'!$F$29,$A161&gt;'Recurring Schedule'!$P$29),"",IF(IF('Recurring Schedule'!$N$29&gt;0,MOD($A161-'Recurring Schedule'!$F$29,'Recurring Schedule'!$N$29)=0,IF('Recurring Schedule'!$O$29&gt;0,AND(DAY($A161)=MIN(DAY('Recurring Schedule'!$F$29),DAY(EOMONTH($A161,0))),MOD((YEAR($A161)-YEAR('Recurring Schedule'!$F$29))*12+MONTH($A161)-MONTH('Recurring Schedule'!$F$29),'Recurring Schedule'!$O$29)=0),IF('Recurring Schedule'!$E$29="Weekdays",WEEKDAY($A161,2)&lt;=5,$A161='Recurring Schedule'!$F$29))),24,""))))</f>
        <v/>
      </c>
      <c r="Z161">
        <f>IF('Recurring Schedule'!$C$30="","",IF('Recurring Schedule'!$F$30="","",IF(OR($A161&lt;'Recurring Schedule'!$F$30,$A161&gt;'Recurring Schedule'!$P$30),"",IF(IF('Recurring Schedule'!$N$30&gt;0,MOD($A161-'Recurring Schedule'!$F$30,'Recurring Schedule'!$N$30)=0,IF('Recurring Schedule'!$O$30&gt;0,AND(DAY($A161)=MIN(DAY('Recurring Schedule'!$F$30),DAY(EOMONTH($A161,0))),MOD((YEAR($A161)-YEAR('Recurring Schedule'!$F$30))*12+MONTH($A161)-MONTH('Recurring Schedule'!$F$30),'Recurring Schedule'!$O$30)=0),IF('Recurring Schedule'!$E$30="Weekdays",WEEKDAY($A161,2)&lt;=5,$A161='Recurring Schedule'!$F$30))),25,""))))</f>
        <v/>
      </c>
      <c r="AA161">
        <f>IF('Recurring Schedule'!$C$31="","",IF('Recurring Schedule'!$F$31="","",IF(OR($A161&lt;'Recurring Schedule'!$F$31,$A161&gt;'Recurring Schedule'!$P$31),"",IF(IF('Recurring Schedule'!$N$31&gt;0,MOD($A161-'Recurring Schedule'!$F$31,'Recurring Schedule'!$N$31)=0,IF('Recurring Schedule'!$O$31&gt;0,AND(DAY($A161)=MIN(DAY('Recurring Schedule'!$F$31),DAY(EOMONTH($A161,0))),MOD((YEAR($A161)-YEAR('Recurring Schedule'!$F$31))*12+MONTH($A161)-MONTH('Recurring Schedule'!$F$31),'Recurring Schedule'!$O$31)=0),IF('Recurring Schedule'!$E$31="Weekdays",WEEKDAY($A161,2)&lt;=5,$A161='Recurring Schedule'!$F$31))),26,""))))</f>
        <v/>
      </c>
      <c r="AB161">
        <f>IF('Recurring Schedule'!$C$32="","",IF('Recurring Schedule'!$F$32="","",IF(OR($A161&lt;'Recurring Schedule'!$F$32,$A161&gt;'Recurring Schedule'!$P$32),"",IF(IF('Recurring Schedule'!$N$32&gt;0,MOD($A161-'Recurring Schedule'!$F$32,'Recurring Schedule'!$N$32)=0,IF('Recurring Schedule'!$O$32&gt;0,AND(DAY($A161)=MIN(DAY('Recurring Schedule'!$F$32),DAY(EOMONTH($A161,0))),MOD((YEAR($A161)-YEAR('Recurring Schedule'!$F$32))*12+MONTH($A161)-MONTH('Recurring Schedule'!$F$32),'Recurring Schedule'!$O$32)=0),IF('Recurring Schedule'!$E$32="Weekdays",WEEKDAY($A161,2)&lt;=5,$A161='Recurring Schedule'!$F$32))),27,""))))</f>
        <v/>
      </c>
      <c r="AC161">
        <f>IF('Recurring Schedule'!$C$33="","",IF('Recurring Schedule'!$F$33="","",IF(OR($A161&lt;'Recurring Schedule'!$F$33,$A161&gt;'Recurring Schedule'!$P$33),"",IF(IF('Recurring Schedule'!$N$33&gt;0,MOD($A161-'Recurring Schedule'!$F$33,'Recurring Schedule'!$N$33)=0,IF('Recurring Schedule'!$O$33&gt;0,AND(DAY($A161)=MIN(DAY('Recurring Schedule'!$F$33),DAY(EOMONTH($A161,0))),MOD((YEAR($A161)-YEAR('Recurring Schedule'!$F$33))*12+MONTH($A161)-MONTH('Recurring Schedule'!$F$33),'Recurring Schedule'!$O$33)=0),IF('Recurring Schedule'!$E$33="Weekdays",WEEKDAY($A161,2)&lt;=5,$A161='Recurring Schedule'!$F$33))),28,""))))</f>
        <v/>
      </c>
      <c r="AD161">
        <f>IF('Recurring Schedule'!$C$34="","",IF('Recurring Schedule'!$F$34="","",IF(OR($A161&lt;'Recurring Schedule'!$F$34,$A161&gt;'Recurring Schedule'!$P$34),"",IF(IF('Recurring Schedule'!$N$34&gt;0,MOD($A161-'Recurring Schedule'!$F$34,'Recurring Schedule'!$N$34)=0,IF('Recurring Schedule'!$O$34&gt;0,AND(DAY($A161)=MIN(DAY('Recurring Schedule'!$F$34),DAY(EOMONTH($A161,0))),MOD((YEAR($A161)-YEAR('Recurring Schedule'!$F$34))*12+MONTH($A161)-MONTH('Recurring Schedule'!$F$34),'Recurring Schedule'!$O$34)=0),IF('Recurring Schedule'!$E$34="Weekdays",WEEKDAY($A161,2)&lt;=5,$A161='Recurring Schedule'!$F$34))),29,""))))</f>
        <v/>
      </c>
      <c r="AE161">
        <f>IF('Recurring Schedule'!$C$35="","",IF('Recurring Schedule'!$F$35="","",IF(OR($A161&lt;'Recurring Schedule'!$F$35,$A161&gt;'Recurring Schedule'!$P$35),"",IF(IF('Recurring Schedule'!$N$35&gt;0,MOD($A161-'Recurring Schedule'!$F$35,'Recurring Schedule'!$N$35)=0,IF('Recurring Schedule'!$O$35&gt;0,AND(DAY($A161)=MIN(DAY('Recurring Schedule'!$F$35),DAY(EOMONTH($A161,0))),MOD((YEAR($A161)-YEAR('Recurring Schedule'!$F$35))*12+MONTH($A161)-MONTH('Recurring Schedule'!$F$35),'Recurring Schedule'!$O$35)=0),IF('Recurring Schedule'!$E$35="Weekdays",WEEKDAY($A161,2)&lt;=5,$A161='Recurring Schedule'!$F$35))),30,""))))</f>
        <v/>
      </c>
      <c r="AF161">
        <f>IF('Recurring Schedule'!$C$36="","",IF('Recurring Schedule'!$F$36="","",IF(OR($A161&lt;'Recurring Schedule'!$F$36,$A161&gt;'Recurring Schedule'!$P$36),"",IF(IF('Recurring Schedule'!$N$36&gt;0,MOD($A161-'Recurring Schedule'!$F$36,'Recurring Schedule'!$N$36)=0,IF('Recurring Schedule'!$O$36&gt;0,AND(DAY($A161)=MIN(DAY('Recurring Schedule'!$F$36),DAY(EOMONTH($A161,0))),MOD((YEAR($A161)-YEAR('Recurring Schedule'!$F$36))*12+MONTH($A161)-MONTH('Recurring Schedule'!$F$36),'Recurring Schedule'!$O$36)=0),IF('Recurring Schedule'!$E$36="Weekdays",WEEKDAY($A161,2)&lt;=5,$A161='Recurring Schedule'!$F$36))),31,""))))</f>
        <v/>
      </c>
      <c r="AG161">
        <f>IF('Recurring Schedule'!$C$37="","",IF('Recurring Schedule'!$F$37="","",IF(OR($A161&lt;'Recurring Schedule'!$F$37,$A161&gt;'Recurring Schedule'!$P$37),"",IF(IF('Recurring Schedule'!$N$37&gt;0,MOD($A161-'Recurring Schedule'!$F$37,'Recurring Schedule'!$N$37)=0,IF('Recurring Schedule'!$O$37&gt;0,AND(DAY($A161)=MIN(DAY('Recurring Schedule'!$F$37),DAY(EOMONTH($A161,0))),MOD((YEAR($A161)-YEAR('Recurring Schedule'!$F$37))*12+MONTH($A161)-MONTH('Recurring Schedule'!$F$37),'Recurring Schedule'!$O$37)=0),IF('Recurring Schedule'!$E$37="Weekdays",WEEKDAY($A161,2)&lt;=5,$A161='Recurring Schedule'!$F$37))),32,""))))</f>
        <v/>
      </c>
      <c r="AH161">
        <f>IF('Recurring Schedule'!$C$38="","",IF('Recurring Schedule'!$F$38="","",IF(OR($A161&lt;'Recurring Schedule'!$F$38,$A161&gt;'Recurring Schedule'!$P$38),"",IF(IF('Recurring Schedule'!$N$38&gt;0,MOD($A161-'Recurring Schedule'!$F$38,'Recurring Schedule'!$N$38)=0,IF('Recurring Schedule'!$O$38&gt;0,AND(DAY($A161)=MIN(DAY('Recurring Schedule'!$F$38),DAY(EOMONTH($A161,0))),MOD((YEAR($A161)-YEAR('Recurring Schedule'!$F$38))*12+MONTH($A161)-MONTH('Recurring Schedule'!$F$38),'Recurring Schedule'!$O$38)=0),IF('Recurring Schedule'!$E$38="Weekdays",WEEKDAY($A161,2)&lt;=5,$A161='Recurring Schedule'!$F$38))),33,""))))</f>
        <v/>
      </c>
      <c r="AI161">
        <f>IF('Recurring Schedule'!$C$39="","",IF('Recurring Schedule'!$F$39="","",IF(OR($A161&lt;'Recurring Schedule'!$F$39,$A161&gt;'Recurring Schedule'!$P$39),"",IF(IF('Recurring Schedule'!$N$39&gt;0,MOD($A161-'Recurring Schedule'!$F$39,'Recurring Schedule'!$N$39)=0,IF('Recurring Schedule'!$O$39&gt;0,AND(DAY($A161)=MIN(DAY('Recurring Schedule'!$F$39),DAY(EOMONTH($A161,0))),MOD((YEAR($A161)-YEAR('Recurring Schedule'!$F$39))*12+MONTH($A161)-MONTH('Recurring Schedule'!$F$39),'Recurring Schedule'!$O$39)=0),IF('Recurring Schedule'!$E$39="Weekdays",WEEKDAY($A161,2)&lt;=5,$A161='Recurring Schedule'!$F$39))),34,""))))</f>
        <v/>
      </c>
      <c r="AJ161">
        <f>IF('Recurring Schedule'!$C$40="","",IF('Recurring Schedule'!$F$40="","",IF(OR($A161&lt;'Recurring Schedule'!$F$40,$A161&gt;'Recurring Schedule'!$P$40),"",IF(IF('Recurring Schedule'!$N$40&gt;0,MOD($A161-'Recurring Schedule'!$F$40,'Recurring Schedule'!$N$40)=0,IF('Recurring Schedule'!$O$40&gt;0,AND(DAY($A161)=MIN(DAY('Recurring Schedule'!$F$40),DAY(EOMONTH($A161,0))),MOD((YEAR($A161)-YEAR('Recurring Schedule'!$F$40))*12+MONTH($A161)-MONTH('Recurring Schedule'!$F$40),'Recurring Schedule'!$O$40)=0),IF('Recurring Schedule'!$E$40="Weekdays",WEEKDAY($A161,2)&lt;=5,$A161='Recurring Schedule'!$F$40))),35,""))))</f>
        <v/>
      </c>
      <c r="AK161">
        <f>IF('Recurring Schedule'!$C$41="","",IF('Recurring Schedule'!$F$41="","",IF(OR($A161&lt;'Recurring Schedule'!$F$41,$A161&gt;'Recurring Schedule'!$P$41),"",IF(IF('Recurring Schedule'!$N$41&gt;0,MOD($A161-'Recurring Schedule'!$F$41,'Recurring Schedule'!$N$41)=0,IF('Recurring Schedule'!$O$41&gt;0,AND(DAY($A161)=MIN(DAY('Recurring Schedule'!$F$41),DAY(EOMONTH($A161,0))),MOD((YEAR($A161)-YEAR('Recurring Schedule'!$F$41))*12+MONTH($A161)-MONTH('Recurring Schedule'!$F$41),'Recurring Schedule'!$O$41)=0),IF('Recurring Schedule'!$E$41="Weekdays",WEEKDAY($A161,2)&lt;=5,$A161='Recurring Schedule'!$F$41))),36,""))))</f>
        <v/>
      </c>
      <c r="AL161">
        <f>IF('Recurring Schedule'!$C$42="","",IF('Recurring Schedule'!$F$42="","",IF(OR($A161&lt;'Recurring Schedule'!$F$42,$A161&gt;'Recurring Schedule'!$P$42),"",IF(IF('Recurring Schedule'!$N$42&gt;0,MOD($A161-'Recurring Schedule'!$F$42,'Recurring Schedule'!$N$42)=0,IF('Recurring Schedule'!$O$42&gt;0,AND(DAY($A161)=MIN(DAY('Recurring Schedule'!$F$42),DAY(EOMONTH($A161,0))),MOD((YEAR($A161)-YEAR('Recurring Schedule'!$F$42))*12+MONTH($A161)-MONTH('Recurring Schedule'!$F$42),'Recurring Schedule'!$O$42)=0),IF('Recurring Schedule'!$E$42="Weekdays",WEEKDAY($A161,2)&lt;=5,$A161='Recurring Schedule'!$F$42))),37,""))))</f>
        <v/>
      </c>
      <c r="AM161">
        <f>IF('Recurring Schedule'!$C$43="","",IF('Recurring Schedule'!$F$43="","",IF(OR($A161&lt;'Recurring Schedule'!$F$43,$A161&gt;'Recurring Schedule'!$P$43),"",IF(IF('Recurring Schedule'!$N$43&gt;0,MOD($A161-'Recurring Schedule'!$F$43,'Recurring Schedule'!$N$43)=0,IF('Recurring Schedule'!$O$43&gt;0,AND(DAY($A161)=MIN(DAY('Recurring Schedule'!$F$43),DAY(EOMONTH($A161,0))),MOD((YEAR($A161)-YEAR('Recurring Schedule'!$F$43))*12+MONTH($A161)-MONTH('Recurring Schedule'!$F$43),'Recurring Schedule'!$O$43)=0),IF('Recurring Schedule'!$E$43="Weekdays",WEEKDAY($A161,2)&lt;=5,$A161='Recurring Schedule'!$F$43))),38,""))))</f>
        <v/>
      </c>
      <c r="AN161">
        <f>IF('Recurring Schedule'!$C$44="","",IF('Recurring Schedule'!$F$44="","",IF(OR($A161&lt;'Recurring Schedule'!$F$44,$A161&gt;'Recurring Schedule'!$P$44),"",IF(IF('Recurring Schedule'!$N$44&gt;0,MOD($A161-'Recurring Schedule'!$F$44,'Recurring Schedule'!$N$44)=0,IF('Recurring Schedule'!$O$44&gt;0,AND(DAY($A161)=MIN(DAY('Recurring Schedule'!$F$44),DAY(EOMONTH($A161,0))),MOD((YEAR($A161)-YEAR('Recurring Schedule'!$F$44))*12+MONTH($A161)-MONTH('Recurring Schedule'!$F$44),'Recurring Schedule'!$O$44)=0),IF('Recurring Schedule'!$E$44="Weekdays",WEEKDAY($A161,2)&lt;=5,$A161='Recurring Schedule'!$F$44))),39,""))))</f>
        <v/>
      </c>
      <c r="AO161">
        <f>IF('Recurring Schedule'!$C$45="","",IF('Recurring Schedule'!$F$45="","",IF(OR($A161&lt;'Recurring Schedule'!$F$45,$A161&gt;'Recurring Schedule'!$P$45),"",IF(IF('Recurring Schedule'!$N$45&gt;0,MOD($A161-'Recurring Schedule'!$F$45,'Recurring Schedule'!$N$45)=0,IF('Recurring Schedule'!$O$45&gt;0,AND(DAY($A161)=MIN(DAY('Recurring Schedule'!$F$45),DAY(EOMONTH($A161,0))),MOD((YEAR($A161)-YEAR('Recurring Schedule'!$F$45))*12+MONTH($A161)-MONTH('Recurring Schedule'!$F$45),'Recurring Schedule'!$O$45)=0),IF('Recurring Schedule'!$E$45="Weekdays",WEEKDAY($A161,2)&lt;=5,$A161='Recurring Schedule'!$F$45))),40,""))))</f>
        <v/>
      </c>
      <c r="AP161">
        <f>COUNT(B161:AO161)</f>
        <v/>
      </c>
      <c r="AQ161">
        <f>AQ160+AP160</f>
        <v/>
      </c>
      <c r="AS161" t="inlineStr">
        <is>
          <t>R</t>
        </is>
      </c>
      <c r="AT161" t="n">
        <v>165</v>
      </c>
      <c r="AU161">
        <f>'Recurring Log'!C165&amp;""</f>
        <v/>
      </c>
      <c r="AV161">
        <f>'Recurring Log'!D165&amp;""</f>
        <v/>
      </c>
      <c r="AW161">
        <f>IF('Recurring Log'!E165="","",'Recurring Log'!E165)</f>
        <v/>
      </c>
      <c r="AX161">
        <f>IF('Recurring Log'!G165="","",'Recurring Log'!G165)</f>
        <v/>
      </c>
      <c r="AY161">
        <f>IF('Recurring Log'!H165="","",'Recurring Log'!H165)</f>
        <v/>
      </c>
      <c r="AZ161">
        <f>IF(AU161="","",IF('Recurring Log'!J165="","Not Started",'Recurring Log'!J165))</f>
        <v/>
      </c>
      <c r="BA161">
        <f>'Recurring Log'!L165&amp;""</f>
        <v/>
      </c>
      <c r="BB161">
        <f>'Recurring Log'!M165&amp;""</f>
        <v/>
      </c>
      <c r="BC161">
        <f>'Recurring Log'!N165&amp;""</f>
        <v/>
      </c>
      <c r="BD161">
        <f>'Recurring Log'!O165&amp;""</f>
        <v/>
      </c>
      <c r="BE161">
        <f>IF('Recurring Log'!K165="","",'Recurring Log'!K165)</f>
        <v/>
      </c>
      <c r="BF161">
        <f>IFERROR(MATCH(BA161,Setup!$L$6:$L$9,0),5)</f>
        <v/>
      </c>
      <c r="BG161">
        <f>IF(OR(AZ161="Done",AZ161="Cancelled"),1,0)</f>
        <v/>
      </c>
      <c r="BH161">
        <f>IF(AND(AU161&lt;&gt;"",ISNUMBER(AW161)),1,0)</f>
        <v/>
      </c>
      <c r="BI161">
        <f>IF(BH161=0,0,IF(AND(AW161&gt;='Tasks Filter'!$F$3,AW161&lt;='Tasks Filter'!$F$4,OR('Tasks Filter'!$I$3="",ISNUMBER(SEARCH('Tasks Filter'!$I$3,AU161))),OR('Tasks Filter'!$I$4="",BF161=IFERROR(MATCH('Tasks Filter'!$I$4,Setup!$L$6:$L$9,0),0)),OR('Tasks Filter'!$I$5="Both",AND('Tasks Filter'!$I$5="Yes",BB161="✓"),AND('Tasks Filter'!$I$5="No",BB161&lt;&gt;"✓")),OR('Tasks Filter'!$L$3="",AV161='Tasks Filter'!$L$3),OR('Tasks Filter'!$L$4="",AZ161='Tasks Filter'!$L$4),OR('Tasks Filter'!$L$5="",BC161='Tasks Filter'!$L$5),OR('Tasks Filter'!$O$3="",BD161='Tasks Filter'!$O$3),OR('Tasks Filter'!$O$4="Yes",BG161=0)),1,0))</f>
        <v/>
      </c>
      <c r="BJ161">
        <f>IF(BH161=0,"",IF('Tasks Filter'!$F$6="Descending",-1,1)*CHOOSE(MATCH('Tasks Filter'!$F$5,Lists!$G$2:$G$6,0),AW161,BF161,IFERROR(MATCH(AV161,Setup!$F$6:$F$15,0),99),IFERROR(MATCH(BC161,Setup!$H$6:$H$15,0),99),IFERROR(MATCH(AZ161,Setup!$J$6:$J$11,0),99))*1E+9+(AW161-40000)*10000+160)</f>
        <v/>
      </c>
      <c r="BK161">
        <f>IF(BI161=1,BJ161,"")</f>
        <v/>
      </c>
      <c r="BL161">
        <f>IF(AND(BH161=1,BG161=0,N(AW161)&lt;Setup!$D$7),(AW161-40000)*10000+160,"")</f>
        <v/>
      </c>
      <c r="BM161">
        <f>IF(AND(BH161=1,AZ161&lt;&gt;"Cancelled",N(AW161)&gt;=Dashboard!$AB$3,N(AW161)&lt;=Dashboard!$AB$3+6),(AW161-40000)*100000+BF161*10000+160,"")</f>
        <v/>
      </c>
      <c r="BN161">
        <f>IF(AND(BH161=1,AZ161&lt;&gt;"Cancelled"),BF161*10000+160,"")</f>
        <v/>
      </c>
    </row>
    <row r="162">
      <c r="A162">
        <f>Setup!$D$5+160</f>
        <v/>
      </c>
      <c r="B162">
        <f>IF('Recurring Schedule'!$C$6="","",IF('Recurring Schedule'!$F$6="","",IF(OR($A162&lt;'Recurring Schedule'!$F$6,$A162&gt;'Recurring Schedule'!$P$6),"",IF(IF('Recurring Schedule'!$N$6&gt;0,MOD($A162-'Recurring Schedule'!$F$6,'Recurring Schedule'!$N$6)=0,IF('Recurring Schedule'!$O$6&gt;0,AND(DAY($A162)=MIN(DAY('Recurring Schedule'!$F$6),DAY(EOMONTH($A162,0))),MOD((YEAR($A162)-YEAR('Recurring Schedule'!$F$6))*12+MONTH($A162)-MONTH('Recurring Schedule'!$F$6),'Recurring Schedule'!$O$6)=0),IF('Recurring Schedule'!$E$6="Weekdays",WEEKDAY($A162,2)&lt;=5,$A162='Recurring Schedule'!$F$6))),1,""))))</f>
        <v/>
      </c>
      <c r="C162">
        <f>IF('Recurring Schedule'!$C$7="","",IF('Recurring Schedule'!$F$7="","",IF(OR($A162&lt;'Recurring Schedule'!$F$7,$A162&gt;'Recurring Schedule'!$P$7),"",IF(IF('Recurring Schedule'!$N$7&gt;0,MOD($A162-'Recurring Schedule'!$F$7,'Recurring Schedule'!$N$7)=0,IF('Recurring Schedule'!$O$7&gt;0,AND(DAY($A162)=MIN(DAY('Recurring Schedule'!$F$7),DAY(EOMONTH($A162,0))),MOD((YEAR($A162)-YEAR('Recurring Schedule'!$F$7))*12+MONTH($A162)-MONTH('Recurring Schedule'!$F$7),'Recurring Schedule'!$O$7)=0),IF('Recurring Schedule'!$E$7="Weekdays",WEEKDAY($A162,2)&lt;=5,$A162='Recurring Schedule'!$F$7))),2,""))))</f>
        <v/>
      </c>
      <c r="D162">
        <f>IF('Recurring Schedule'!$C$8="","",IF('Recurring Schedule'!$F$8="","",IF(OR($A162&lt;'Recurring Schedule'!$F$8,$A162&gt;'Recurring Schedule'!$P$8),"",IF(IF('Recurring Schedule'!$N$8&gt;0,MOD($A162-'Recurring Schedule'!$F$8,'Recurring Schedule'!$N$8)=0,IF('Recurring Schedule'!$O$8&gt;0,AND(DAY($A162)=MIN(DAY('Recurring Schedule'!$F$8),DAY(EOMONTH($A162,0))),MOD((YEAR($A162)-YEAR('Recurring Schedule'!$F$8))*12+MONTH($A162)-MONTH('Recurring Schedule'!$F$8),'Recurring Schedule'!$O$8)=0),IF('Recurring Schedule'!$E$8="Weekdays",WEEKDAY($A162,2)&lt;=5,$A162='Recurring Schedule'!$F$8))),3,""))))</f>
        <v/>
      </c>
      <c r="E162">
        <f>IF('Recurring Schedule'!$C$9="","",IF('Recurring Schedule'!$F$9="","",IF(OR($A162&lt;'Recurring Schedule'!$F$9,$A162&gt;'Recurring Schedule'!$P$9),"",IF(IF('Recurring Schedule'!$N$9&gt;0,MOD($A162-'Recurring Schedule'!$F$9,'Recurring Schedule'!$N$9)=0,IF('Recurring Schedule'!$O$9&gt;0,AND(DAY($A162)=MIN(DAY('Recurring Schedule'!$F$9),DAY(EOMONTH($A162,0))),MOD((YEAR($A162)-YEAR('Recurring Schedule'!$F$9))*12+MONTH($A162)-MONTH('Recurring Schedule'!$F$9),'Recurring Schedule'!$O$9)=0),IF('Recurring Schedule'!$E$9="Weekdays",WEEKDAY($A162,2)&lt;=5,$A162='Recurring Schedule'!$F$9))),4,""))))</f>
        <v/>
      </c>
      <c r="F162">
        <f>IF('Recurring Schedule'!$C$10="","",IF('Recurring Schedule'!$F$10="","",IF(OR($A162&lt;'Recurring Schedule'!$F$10,$A162&gt;'Recurring Schedule'!$P$10),"",IF(IF('Recurring Schedule'!$N$10&gt;0,MOD($A162-'Recurring Schedule'!$F$10,'Recurring Schedule'!$N$10)=0,IF('Recurring Schedule'!$O$10&gt;0,AND(DAY($A162)=MIN(DAY('Recurring Schedule'!$F$10),DAY(EOMONTH($A162,0))),MOD((YEAR($A162)-YEAR('Recurring Schedule'!$F$10))*12+MONTH($A162)-MONTH('Recurring Schedule'!$F$10),'Recurring Schedule'!$O$10)=0),IF('Recurring Schedule'!$E$10="Weekdays",WEEKDAY($A162,2)&lt;=5,$A162='Recurring Schedule'!$F$10))),5,""))))</f>
        <v/>
      </c>
      <c r="G162">
        <f>IF('Recurring Schedule'!$C$11="","",IF('Recurring Schedule'!$F$11="","",IF(OR($A162&lt;'Recurring Schedule'!$F$11,$A162&gt;'Recurring Schedule'!$P$11),"",IF(IF('Recurring Schedule'!$N$11&gt;0,MOD($A162-'Recurring Schedule'!$F$11,'Recurring Schedule'!$N$11)=0,IF('Recurring Schedule'!$O$11&gt;0,AND(DAY($A162)=MIN(DAY('Recurring Schedule'!$F$11),DAY(EOMONTH($A162,0))),MOD((YEAR($A162)-YEAR('Recurring Schedule'!$F$11))*12+MONTH($A162)-MONTH('Recurring Schedule'!$F$11),'Recurring Schedule'!$O$11)=0),IF('Recurring Schedule'!$E$11="Weekdays",WEEKDAY($A162,2)&lt;=5,$A162='Recurring Schedule'!$F$11))),6,""))))</f>
        <v/>
      </c>
      <c r="H162">
        <f>IF('Recurring Schedule'!$C$12="","",IF('Recurring Schedule'!$F$12="","",IF(OR($A162&lt;'Recurring Schedule'!$F$12,$A162&gt;'Recurring Schedule'!$P$12),"",IF(IF('Recurring Schedule'!$N$12&gt;0,MOD($A162-'Recurring Schedule'!$F$12,'Recurring Schedule'!$N$12)=0,IF('Recurring Schedule'!$O$12&gt;0,AND(DAY($A162)=MIN(DAY('Recurring Schedule'!$F$12),DAY(EOMONTH($A162,0))),MOD((YEAR($A162)-YEAR('Recurring Schedule'!$F$12))*12+MONTH($A162)-MONTH('Recurring Schedule'!$F$12),'Recurring Schedule'!$O$12)=0),IF('Recurring Schedule'!$E$12="Weekdays",WEEKDAY($A162,2)&lt;=5,$A162='Recurring Schedule'!$F$12))),7,""))))</f>
        <v/>
      </c>
      <c r="I162">
        <f>IF('Recurring Schedule'!$C$13="","",IF('Recurring Schedule'!$F$13="","",IF(OR($A162&lt;'Recurring Schedule'!$F$13,$A162&gt;'Recurring Schedule'!$P$13),"",IF(IF('Recurring Schedule'!$N$13&gt;0,MOD($A162-'Recurring Schedule'!$F$13,'Recurring Schedule'!$N$13)=0,IF('Recurring Schedule'!$O$13&gt;0,AND(DAY($A162)=MIN(DAY('Recurring Schedule'!$F$13),DAY(EOMONTH($A162,0))),MOD((YEAR($A162)-YEAR('Recurring Schedule'!$F$13))*12+MONTH($A162)-MONTH('Recurring Schedule'!$F$13),'Recurring Schedule'!$O$13)=0),IF('Recurring Schedule'!$E$13="Weekdays",WEEKDAY($A162,2)&lt;=5,$A162='Recurring Schedule'!$F$13))),8,""))))</f>
        <v/>
      </c>
      <c r="J162">
        <f>IF('Recurring Schedule'!$C$14="","",IF('Recurring Schedule'!$F$14="","",IF(OR($A162&lt;'Recurring Schedule'!$F$14,$A162&gt;'Recurring Schedule'!$P$14),"",IF(IF('Recurring Schedule'!$N$14&gt;0,MOD($A162-'Recurring Schedule'!$F$14,'Recurring Schedule'!$N$14)=0,IF('Recurring Schedule'!$O$14&gt;0,AND(DAY($A162)=MIN(DAY('Recurring Schedule'!$F$14),DAY(EOMONTH($A162,0))),MOD((YEAR($A162)-YEAR('Recurring Schedule'!$F$14))*12+MONTH($A162)-MONTH('Recurring Schedule'!$F$14),'Recurring Schedule'!$O$14)=0),IF('Recurring Schedule'!$E$14="Weekdays",WEEKDAY($A162,2)&lt;=5,$A162='Recurring Schedule'!$F$14))),9,""))))</f>
        <v/>
      </c>
      <c r="K162">
        <f>IF('Recurring Schedule'!$C$15="","",IF('Recurring Schedule'!$F$15="","",IF(OR($A162&lt;'Recurring Schedule'!$F$15,$A162&gt;'Recurring Schedule'!$P$15),"",IF(IF('Recurring Schedule'!$N$15&gt;0,MOD($A162-'Recurring Schedule'!$F$15,'Recurring Schedule'!$N$15)=0,IF('Recurring Schedule'!$O$15&gt;0,AND(DAY($A162)=MIN(DAY('Recurring Schedule'!$F$15),DAY(EOMONTH($A162,0))),MOD((YEAR($A162)-YEAR('Recurring Schedule'!$F$15))*12+MONTH($A162)-MONTH('Recurring Schedule'!$F$15),'Recurring Schedule'!$O$15)=0),IF('Recurring Schedule'!$E$15="Weekdays",WEEKDAY($A162,2)&lt;=5,$A162='Recurring Schedule'!$F$15))),10,""))))</f>
        <v/>
      </c>
      <c r="L162">
        <f>IF('Recurring Schedule'!$C$16="","",IF('Recurring Schedule'!$F$16="","",IF(OR($A162&lt;'Recurring Schedule'!$F$16,$A162&gt;'Recurring Schedule'!$P$16),"",IF(IF('Recurring Schedule'!$N$16&gt;0,MOD($A162-'Recurring Schedule'!$F$16,'Recurring Schedule'!$N$16)=0,IF('Recurring Schedule'!$O$16&gt;0,AND(DAY($A162)=MIN(DAY('Recurring Schedule'!$F$16),DAY(EOMONTH($A162,0))),MOD((YEAR($A162)-YEAR('Recurring Schedule'!$F$16))*12+MONTH($A162)-MONTH('Recurring Schedule'!$F$16),'Recurring Schedule'!$O$16)=0),IF('Recurring Schedule'!$E$16="Weekdays",WEEKDAY($A162,2)&lt;=5,$A162='Recurring Schedule'!$F$16))),11,""))))</f>
        <v/>
      </c>
      <c r="M162">
        <f>IF('Recurring Schedule'!$C$17="","",IF('Recurring Schedule'!$F$17="","",IF(OR($A162&lt;'Recurring Schedule'!$F$17,$A162&gt;'Recurring Schedule'!$P$17),"",IF(IF('Recurring Schedule'!$N$17&gt;0,MOD($A162-'Recurring Schedule'!$F$17,'Recurring Schedule'!$N$17)=0,IF('Recurring Schedule'!$O$17&gt;0,AND(DAY($A162)=MIN(DAY('Recurring Schedule'!$F$17),DAY(EOMONTH($A162,0))),MOD((YEAR($A162)-YEAR('Recurring Schedule'!$F$17))*12+MONTH($A162)-MONTH('Recurring Schedule'!$F$17),'Recurring Schedule'!$O$17)=0),IF('Recurring Schedule'!$E$17="Weekdays",WEEKDAY($A162,2)&lt;=5,$A162='Recurring Schedule'!$F$17))),12,""))))</f>
        <v/>
      </c>
      <c r="N162">
        <f>IF('Recurring Schedule'!$C$18="","",IF('Recurring Schedule'!$F$18="","",IF(OR($A162&lt;'Recurring Schedule'!$F$18,$A162&gt;'Recurring Schedule'!$P$18),"",IF(IF('Recurring Schedule'!$N$18&gt;0,MOD($A162-'Recurring Schedule'!$F$18,'Recurring Schedule'!$N$18)=0,IF('Recurring Schedule'!$O$18&gt;0,AND(DAY($A162)=MIN(DAY('Recurring Schedule'!$F$18),DAY(EOMONTH($A162,0))),MOD((YEAR($A162)-YEAR('Recurring Schedule'!$F$18))*12+MONTH($A162)-MONTH('Recurring Schedule'!$F$18),'Recurring Schedule'!$O$18)=0),IF('Recurring Schedule'!$E$18="Weekdays",WEEKDAY($A162,2)&lt;=5,$A162='Recurring Schedule'!$F$18))),13,""))))</f>
        <v/>
      </c>
      <c r="O162">
        <f>IF('Recurring Schedule'!$C$19="","",IF('Recurring Schedule'!$F$19="","",IF(OR($A162&lt;'Recurring Schedule'!$F$19,$A162&gt;'Recurring Schedule'!$P$19),"",IF(IF('Recurring Schedule'!$N$19&gt;0,MOD($A162-'Recurring Schedule'!$F$19,'Recurring Schedule'!$N$19)=0,IF('Recurring Schedule'!$O$19&gt;0,AND(DAY($A162)=MIN(DAY('Recurring Schedule'!$F$19),DAY(EOMONTH($A162,0))),MOD((YEAR($A162)-YEAR('Recurring Schedule'!$F$19))*12+MONTH($A162)-MONTH('Recurring Schedule'!$F$19),'Recurring Schedule'!$O$19)=0),IF('Recurring Schedule'!$E$19="Weekdays",WEEKDAY($A162,2)&lt;=5,$A162='Recurring Schedule'!$F$19))),14,""))))</f>
        <v/>
      </c>
      <c r="P162">
        <f>IF('Recurring Schedule'!$C$20="","",IF('Recurring Schedule'!$F$20="","",IF(OR($A162&lt;'Recurring Schedule'!$F$20,$A162&gt;'Recurring Schedule'!$P$20),"",IF(IF('Recurring Schedule'!$N$20&gt;0,MOD($A162-'Recurring Schedule'!$F$20,'Recurring Schedule'!$N$20)=0,IF('Recurring Schedule'!$O$20&gt;0,AND(DAY($A162)=MIN(DAY('Recurring Schedule'!$F$20),DAY(EOMONTH($A162,0))),MOD((YEAR($A162)-YEAR('Recurring Schedule'!$F$20))*12+MONTH($A162)-MONTH('Recurring Schedule'!$F$20),'Recurring Schedule'!$O$20)=0),IF('Recurring Schedule'!$E$20="Weekdays",WEEKDAY($A162,2)&lt;=5,$A162='Recurring Schedule'!$F$20))),15,""))))</f>
        <v/>
      </c>
      <c r="Q162">
        <f>IF('Recurring Schedule'!$C$21="","",IF('Recurring Schedule'!$F$21="","",IF(OR($A162&lt;'Recurring Schedule'!$F$21,$A162&gt;'Recurring Schedule'!$P$21),"",IF(IF('Recurring Schedule'!$N$21&gt;0,MOD($A162-'Recurring Schedule'!$F$21,'Recurring Schedule'!$N$21)=0,IF('Recurring Schedule'!$O$21&gt;0,AND(DAY($A162)=MIN(DAY('Recurring Schedule'!$F$21),DAY(EOMONTH($A162,0))),MOD((YEAR($A162)-YEAR('Recurring Schedule'!$F$21))*12+MONTH($A162)-MONTH('Recurring Schedule'!$F$21),'Recurring Schedule'!$O$21)=0),IF('Recurring Schedule'!$E$21="Weekdays",WEEKDAY($A162,2)&lt;=5,$A162='Recurring Schedule'!$F$21))),16,""))))</f>
        <v/>
      </c>
      <c r="R162">
        <f>IF('Recurring Schedule'!$C$22="","",IF('Recurring Schedule'!$F$22="","",IF(OR($A162&lt;'Recurring Schedule'!$F$22,$A162&gt;'Recurring Schedule'!$P$22),"",IF(IF('Recurring Schedule'!$N$22&gt;0,MOD($A162-'Recurring Schedule'!$F$22,'Recurring Schedule'!$N$22)=0,IF('Recurring Schedule'!$O$22&gt;0,AND(DAY($A162)=MIN(DAY('Recurring Schedule'!$F$22),DAY(EOMONTH($A162,0))),MOD((YEAR($A162)-YEAR('Recurring Schedule'!$F$22))*12+MONTH($A162)-MONTH('Recurring Schedule'!$F$22),'Recurring Schedule'!$O$22)=0),IF('Recurring Schedule'!$E$22="Weekdays",WEEKDAY($A162,2)&lt;=5,$A162='Recurring Schedule'!$F$22))),17,""))))</f>
        <v/>
      </c>
      <c r="S162">
        <f>IF('Recurring Schedule'!$C$23="","",IF('Recurring Schedule'!$F$23="","",IF(OR($A162&lt;'Recurring Schedule'!$F$23,$A162&gt;'Recurring Schedule'!$P$23),"",IF(IF('Recurring Schedule'!$N$23&gt;0,MOD($A162-'Recurring Schedule'!$F$23,'Recurring Schedule'!$N$23)=0,IF('Recurring Schedule'!$O$23&gt;0,AND(DAY($A162)=MIN(DAY('Recurring Schedule'!$F$23),DAY(EOMONTH($A162,0))),MOD((YEAR($A162)-YEAR('Recurring Schedule'!$F$23))*12+MONTH($A162)-MONTH('Recurring Schedule'!$F$23),'Recurring Schedule'!$O$23)=0),IF('Recurring Schedule'!$E$23="Weekdays",WEEKDAY($A162,2)&lt;=5,$A162='Recurring Schedule'!$F$23))),18,""))))</f>
        <v/>
      </c>
      <c r="T162">
        <f>IF('Recurring Schedule'!$C$24="","",IF('Recurring Schedule'!$F$24="","",IF(OR($A162&lt;'Recurring Schedule'!$F$24,$A162&gt;'Recurring Schedule'!$P$24),"",IF(IF('Recurring Schedule'!$N$24&gt;0,MOD($A162-'Recurring Schedule'!$F$24,'Recurring Schedule'!$N$24)=0,IF('Recurring Schedule'!$O$24&gt;0,AND(DAY($A162)=MIN(DAY('Recurring Schedule'!$F$24),DAY(EOMONTH($A162,0))),MOD((YEAR($A162)-YEAR('Recurring Schedule'!$F$24))*12+MONTH($A162)-MONTH('Recurring Schedule'!$F$24),'Recurring Schedule'!$O$24)=0),IF('Recurring Schedule'!$E$24="Weekdays",WEEKDAY($A162,2)&lt;=5,$A162='Recurring Schedule'!$F$24))),19,""))))</f>
        <v/>
      </c>
      <c r="U162">
        <f>IF('Recurring Schedule'!$C$25="","",IF('Recurring Schedule'!$F$25="","",IF(OR($A162&lt;'Recurring Schedule'!$F$25,$A162&gt;'Recurring Schedule'!$P$25),"",IF(IF('Recurring Schedule'!$N$25&gt;0,MOD($A162-'Recurring Schedule'!$F$25,'Recurring Schedule'!$N$25)=0,IF('Recurring Schedule'!$O$25&gt;0,AND(DAY($A162)=MIN(DAY('Recurring Schedule'!$F$25),DAY(EOMONTH($A162,0))),MOD((YEAR($A162)-YEAR('Recurring Schedule'!$F$25))*12+MONTH($A162)-MONTH('Recurring Schedule'!$F$25),'Recurring Schedule'!$O$25)=0),IF('Recurring Schedule'!$E$25="Weekdays",WEEKDAY($A162,2)&lt;=5,$A162='Recurring Schedule'!$F$25))),20,""))))</f>
        <v/>
      </c>
      <c r="V162">
        <f>IF('Recurring Schedule'!$C$26="","",IF('Recurring Schedule'!$F$26="","",IF(OR($A162&lt;'Recurring Schedule'!$F$26,$A162&gt;'Recurring Schedule'!$P$26),"",IF(IF('Recurring Schedule'!$N$26&gt;0,MOD($A162-'Recurring Schedule'!$F$26,'Recurring Schedule'!$N$26)=0,IF('Recurring Schedule'!$O$26&gt;0,AND(DAY($A162)=MIN(DAY('Recurring Schedule'!$F$26),DAY(EOMONTH($A162,0))),MOD((YEAR($A162)-YEAR('Recurring Schedule'!$F$26))*12+MONTH($A162)-MONTH('Recurring Schedule'!$F$26),'Recurring Schedule'!$O$26)=0),IF('Recurring Schedule'!$E$26="Weekdays",WEEKDAY($A162,2)&lt;=5,$A162='Recurring Schedule'!$F$26))),21,""))))</f>
        <v/>
      </c>
      <c r="W162">
        <f>IF('Recurring Schedule'!$C$27="","",IF('Recurring Schedule'!$F$27="","",IF(OR($A162&lt;'Recurring Schedule'!$F$27,$A162&gt;'Recurring Schedule'!$P$27),"",IF(IF('Recurring Schedule'!$N$27&gt;0,MOD($A162-'Recurring Schedule'!$F$27,'Recurring Schedule'!$N$27)=0,IF('Recurring Schedule'!$O$27&gt;0,AND(DAY($A162)=MIN(DAY('Recurring Schedule'!$F$27),DAY(EOMONTH($A162,0))),MOD((YEAR($A162)-YEAR('Recurring Schedule'!$F$27))*12+MONTH($A162)-MONTH('Recurring Schedule'!$F$27),'Recurring Schedule'!$O$27)=0),IF('Recurring Schedule'!$E$27="Weekdays",WEEKDAY($A162,2)&lt;=5,$A162='Recurring Schedule'!$F$27))),22,""))))</f>
        <v/>
      </c>
      <c r="X162">
        <f>IF('Recurring Schedule'!$C$28="","",IF('Recurring Schedule'!$F$28="","",IF(OR($A162&lt;'Recurring Schedule'!$F$28,$A162&gt;'Recurring Schedule'!$P$28),"",IF(IF('Recurring Schedule'!$N$28&gt;0,MOD($A162-'Recurring Schedule'!$F$28,'Recurring Schedule'!$N$28)=0,IF('Recurring Schedule'!$O$28&gt;0,AND(DAY($A162)=MIN(DAY('Recurring Schedule'!$F$28),DAY(EOMONTH($A162,0))),MOD((YEAR($A162)-YEAR('Recurring Schedule'!$F$28))*12+MONTH($A162)-MONTH('Recurring Schedule'!$F$28),'Recurring Schedule'!$O$28)=0),IF('Recurring Schedule'!$E$28="Weekdays",WEEKDAY($A162,2)&lt;=5,$A162='Recurring Schedule'!$F$28))),23,""))))</f>
        <v/>
      </c>
      <c r="Y162">
        <f>IF('Recurring Schedule'!$C$29="","",IF('Recurring Schedule'!$F$29="","",IF(OR($A162&lt;'Recurring Schedule'!$F$29,$A162&gt;'Recurring Schedule'!$P$29),"",IF(IF('Recurring Schedule'!$N$29&gt;0,MOD($A162-'Recurring Schedule'!$F$29,'Recurring Schedule'!$N$29)=0,IF('Recurring Schedule'!$O$29&gt;0,AND(DAY($A162)=MIN(DAY('Recurring Schedule'!$F$29),DAY(EOMONTH($A162,0))),MOD((YEAR($A162)-YEAR('Recurring Schedule'!$F$29))*12+MONTH($A162)-MONTH('Recurring Schedule'!$F$29),'Recurring Schedule'!$O$29)=0),IF('Recurring Schedule'!$E$29="Weekdays",WEEKDAY($A162,2)&lt;=5,$A162='Recurring Schedule'!$F$29))),24,""))))</f>
        <v/>
      </c>
      <c r="Z162">
        <f>IF('Recurring Schedule'!$C$30="","",IF('Recurring Schedule'!$F$30="","",IF(OR($A162&lt;'Recurring Schedule'!$F$30,$A162&gt;'Recurring Schedule'!$P$30),"",IF(IF('Recurring Schedule'!$N$30&gt;0,MOD($A162-'Recurring Schedule'!$F$30,'Recurring Schedule'!$N$30)=0,IF('Recurring Schedule'!$O$30&gt;0,AND(DAY($A162)=MIN(DAY('Recurring Schedule'!$F$30),DAY(EOMONTH($A162,0))),MOD((YEAR($A162)-YEAR('Recurring Schedule'!$F$30))*12+MONTH($A162)-MONTH('Recurring Schedule'!$F$30),'Recurring Schedule'!$O$30)=0),IF('Recurring Schedule'!$E$30="Weekdays",WEEKDAY($A162,2)&lt;=5,$A162='Recurring Schedule'!$F$30))),25,""))))</f>
        <v/>
      </c>
      <c r="AA162">
        <f>IF('Recurring Schedule'!$C$31="","",IF('Recurring Schedule'!$F$31="","",IF(OR($A162&lt;'Recurring Schedule'!$F$31,$A162&gt;'Recurring Schedule'!$P$31),"",IF(IF('Recurring Schedule'!$N$31&gt;0,MOD($A162-'Recurring Schedule'!$F$31,'Recurring Schedule'!$N$31)=0,IF('Recurring Schedule'!$O$31&gt;0,AND(DAY($A162)=MIN(DAY('Recurring Schedule'!$F$31),DAY(EOMONTH($A162,0))),MOD((YEAR($A162)-YEAR('Recurring Schedule'!$F$31))*12+MONTH($A162)-MONTH('Recurring Schedule'!$F$31),'Recurring Schedule'!$O$31)=0),IF('Recurring Schedule'!$E$31="Weekdays",WEEKDAY($A162,2)&lt;=5,$A162='Recurring Schedule'!$F$31))),26,""))))</f>
        <v/>
      </c>
      <c r="AB162">
        <f>IF('Recurring Schedule'!$C$32="","",IF('Recurring Schedule'!$F$32="","",IF(OR($A162&lt;'Recurring Schedule'!$F$32,$A162&gt;'Recurring Schedule'!$P$32),"",IF(IF('Recurring Schedule'!$N$32&gt;0,MOD($A162-'Recurring Schedule'!$F$32,'Recurring Schedule'!$N$32)=0,IF('Recurring Schedule'!$O$32&gt;0,AND(DAY($A162)=MIN(DAY('Recurring Schedule'!$F$32),DAY(EOMONTH($A162,0))),MOD((YEAR($A162)-YEAR('Recurring Schedule'!$F$32))*12+MONTH($A162)-MONTH('Recurring Schedule'!$F$32),'Recurring Schedule'!$O$32)=0),IF('Recurring Schedule'!$E$32="Weekdays",WEEKDAY($A162,2)&lt;=5,$A162='Recurring Schedule'!$F$32))),27,""))))</f>
        <v/>
      </c>
      <c r="AC162">
        <f>IF('Recurring Schedule'!$C$33="","",IF('Recurring Schedule'!$F$33="","",IF(OR($A162&lt;'Recurring Schedule'!$F$33,$A162&gt;'Recurring Schedule'!$P$33),"",IF(IF('Recurring Schedule'!$N$33&gt;0,MOD($A162-'Recurring Schedule'!$F$33,'Recurring Schedule'!$N$33)=0,IF('Recurring Schedule'!$O$33&gt;0,AND(DAY($A162)=MIN(DAY('Recurring Schedule'!$F$33),DAY(EOMONTH($A162,0))),MOD((YEAR($A162)-YEAR('Recurring Schedule'!$F$33))*12+MONTH($A162)-MONTH('Recurring Schedule'!$F$33),'Recurring Schedule'!$O$33)=0),IF('Recurring Schedule'!$E$33="Weekdays",WEEKDAY($A162,2)&lt;=5,$A162='Recurring Schedule'!$F$33))),28,""))))</f>
        <v/>
      </c>
      <c r="AD162">
        <f>IF('Recurring Schedule'!$C$34="","",IF('Recurring Schedule'!$F$34="","",IF(OR($A162&lt;'Recurring Schedule'!$F$34,$A162&gt;'Recurring Schedule'!$P$34),"",IF(IF('Recurring Schedule'!$N$34&gt;0,MOD($A162-'Recurring Schedule'!$F$34,'Recurring Schedule'!$N$34)=0,IF('Recurring Schedule'!$O$34&gt;0,AND(DAY($A162)=MIN(DAY('Recurring Schedule'!$F$34),DAY(EOMONTH($A162,0))),MOD((YEAR($A162)-YEAR('Recurring Schedule'!$F$34))*12+MONTH($A162)-MONTH('Recurring Schedule'!$F$34),'Recurring Schedule'!$O$34)=0),IF('Recurring Schedule'!$E$34="Weekdays",WEEKDAY($A162,2)&lt;=5,$A162='Recurring Schedule'!$F$34))),29,""))))</f>
        <v/>
      </c>
      <c r="AE162">
        <f>IF('Recurring Schedule'!$C$35="","",IF('Recurring Schedule'!$F$35="","",IF(OR($A162&lt;'Recurring Schedule'!$F$35,$A162&gt;'Recurring Schedule'!$P$35),"",IF(IF('Recurring Schedule'!$N$35&gt;0,MOD($A162-'Recurring Schedule'!$F$35,'Recurring Schedule'!$N$35)=0,IF('Recurring Schedule'!$O$35&gt;0,AND(DAY($A162)=MIN(DAY('Recurring Schedule'!$F$35),DAY(EOMONTH($A162,0))),MOD((YEAR($A162)-YEAR('Recurring Schedule'!$F$35))*12+MONTH($A162)-MONTH('Recurring Schedule'!$F$35),'Recurring Schedule'!$O$35)=0),IF('Recurring Schedule'!$E$35="Weekdays",WEEKDAY($A162,2)&lt;=5,$A162='Recurring Schedule'!$F$35))),30,""))))</f>
        <v/>
      </c>
      <c r="AF162">
        <f>IF('Recurring Schedule'!$C$36="","",IF('Recurring Schedule'!$F$36="","",IF(OR($A162&lt;'Recurring Schedule'!$F$36,$A162&gt;'Recurring Schedule'!$P$36),"",IF(IF('Recurring Schedule'!$N$36&gt;0,MOD($A162-'Recurring Schedule'!$F$36,'Recurring Schedule'!$N$36)=0,IF('Recurring Schedule'!$O$36&gt;0,AND(DAY($A162)=MIN(DAY('Recurring Schedule'!$F$36),DAY(EOMONTH($A162,0))),MOD((YEAR($A162)-YEAR('Recurring Schedule'!$F$36))*12+MONTH($A162)-MONTH('Recurring Schedule'!$F$36),'Recurring Schedule'!$O$36)=0),IF('Recurring Schedule'!$E$36="Weekdays",WEEKDAY($A162,2)&lt;=5,$A162='Recurring Schedule'!$F$36))),31,""))))</f>
        <v/>
      </c>
      <c r="AG162">
        <f>IF('Recurring Schedule'!$C$37="","",IF('Recurring Schedule'!$F$37="","",IF(OR($A162&lt;'Recurring Schedule'!$F$37,$A162&gt;'Recurring Schedule'!$P$37),"",IF(IF('Recurring Schedule'!$N$37&gt;0,MOD($A162-'Recurring Schedule'!$F$37,'Recurring Schedule'!$N$37)=0,IF('Recurring Schedule'!$O$37&gt;0,AND(DAY($A162)=MIN(DAY('Recurring Schedule'!$F$37),DAY(EOMONTH($A162,0))),MOD((YEAR($A162)-YEAR('Recurring Schedule'!$F$37))*12+MONTH($A162)-MONTH('Recurring Schedule'!$F$37),'Recurring Schedule'!$O$37)=0),IF('Recurring Schedule'!$E$37="Weekdays",WEEKDAY($A162,2)&lt;=5,$A162='Recurring Schedule'!$F$37))),32,""))))</f>
        <v/>
      </c>
      <c r="AH162">
        <f>IF('Recurring Schedule'!$C$38="","",IF('Recurring Schedule'!$F$38="","",IF(OR($A162&lt;'Recurring Schedule'!$F$38,$A162&gt;'Recurring Schedule'!$P$38),"",IF(IF('Recurring Schedule'!$N$38&gt;0,MOD($A162-'Recurring Schedule'!$F$38,'Recurring Schedule'!$N$38)=0,IF('Recurring Schedule'!$O$38&gt;0,AND(DAY($A162)=MIN(DAY('Recurring Schedule'!$F$38),DAY(EOMONTH($A162,0))),MOD((YEAR($A162)-YEAR('Recurring Schedule'!$F$38))*12+MONTH($A162)-MONTH('Recurring Schedule'!$F$38),'Recurring Schedule'!$O$38)=0),IF('Recurring Schedule'!$E$38="Weekdays",WEEKDAY($A162,2)&lt;=5,$A162='Recurring Schedule'!$F$38))),33,""))))</f>
        <v/>
      </c>
      <c r="AI162">
        <f>IF('Recurring Schedule'!$C$39="","",IF('Recurring Schedule'!$F$39="","",IF(OR($A162&lt;'Recurring Schedule'!$F$39,$A162&gt;'Recurring Schedule'!$P$39),"",IF(IF('Recurring Schedule'!$N$39&gt;0,MOD($A162-'Recurring Schedule'!$F$39,'Recurring Schedule'!$N$39)=0,IF('Recurring Schedule'!$O$39&gt;0,AND(DAY($A162)=MIN(DAY('Recurring Schedule'!$F$39),DAY(EOMONTH($A162,0))),MOD((YEAR($A162)-YEAR('Recurring Schedule'!$F$39))*12+MONTH($A162)-MONTH('Recurring Schedule'!$F$39),'Recurring Schedule'!$O$39)=0),IF('Recurring Schedule'!$E$39="Weekdays",WEEKDAY($A162,2)&lt;=5,$A162='Recurring Schedule'!$F$39))),34,""))))</f>
        <v/>
      </c>
      <c r="AJ162">
        <f>IF('Recurring Schedule'!$C$40="","",IF('Recurring Schedule'!$F$40="","",IF(OR($A162&lt;'Recurring Schedule'!$F$40,$A162&gt;'Recurring Schedule'!$P$40),"",IF(IF('Recurring Schedule'!$N$40&gt;0,MOD($A162-'Recurring Schedule'!$F$40,'Recurring Schedule'!$N$40)=0,IF('Recurring Schedule'!$O$40&gt;0,AND(DAY($A162)=MIN(DAY('Recurring Schedule'!$F$40),DAY(EOMONTH($A162,0))),MOD((YEAR($A162)-YEAR('Recurring Schedule'!$F$40))*12+MONTH($A162)-MONTH('Recurring Schedule'!$F$40),'Recurring Schedule'!$O$40)=0),IF('Recurring Schedule'!$E$40="Weekdays",WEEKDAY($A162,2)&lt;=5,$A162='Recurring Schedule'!$F$40))),35,""))))</f>
        <v/>
      </c>
      <c r="AK162">
        <f>IF('Recurring Schedule'!$C$41="","",IF('Recurring Schedule'!$F$41="","",IF(OR($A162&lt;'Recurring Schedule'!$F$41,$A162&gt;'Recurring Schedule'!$P$41),"",IF(IF('Recurring Schedule'!$N$41&gt;0,MOD($A162-'Recurring Schedule'!$F$41,'Recurring Schedule'!$N$41)=0,IF('Recurring Schedule'!$O$41&gt;0,AND(DAY($A162)=MIN(DAY('Recurring Schedule'!$F$41),DAY(EOMONTH($A162,0))),MOD((YEAR($A162)-YEAR('Recurring Schedule'!$F$41))*12+MONTH($A162)-MONTH('Recurring Schedule'!$F$41),'Recurring Schedule'!$O$41)=0),IF('Recurring Schedule'!$E$41="Weekdays",WEEKDAY($A162,2)&lt;=5,$A162='Recurring Schedule'!$F$41))),36,""))))</f>
        <v/>
      </c>
      <c r="AL162">
        <f>IF('Recurring Schedule'!$C$42="","",IF('Recurring Schedule'!$F$42="","",IF(OR($A162&lt;'Recurring Schedule'!$F$42,$A162&gt;'Recurring Schedule'!$P$42),"",IF(IF('Recurring Schedule'!$N$42&gt;0,MOD($A162-'Recurring Schedule'!$F$42,'Recurring Schedule'!$N$42)=0,IF('Recurring Schedule'!$O$42&gt;0,AND(DAY($A162)=MIN(DAY('Recurring Schedule'!$F$42),DAY(EOMONTH($A162,0))),MOD((YEAR($A162)-YEAR('Recurring Schedule'!$F$42))*12+MONTH($A162)-MONTH('Recurring Schedule'!$F$42),'Recurring Schedule'!$O$42)=0),IF('Recurring Schedule'!$E$42="Weekdays",WEEKDAY($A162,2)&lt;=5,$A162='Recurring Schedule'!$F$42))),37,""))))</f>
        <v/>
      </c>
      <c r="AM162">
        <f>IF('Recurring Schedule'!$C$43="","",IF('Recurring Schedule'!$F$43="","",IF(OR($A162&lt;'Recurring Schedule'!$F$43,$A162&gt;'Recurring Schedule'!$P$43),"",IF(IF('Recurring Schedule'!$N$43&gt;0,MOD($A162-'Recurring Schedule'!$F$43,'Recurring Schedule'!$N$43)=0,IF('Recurring Schedule'!$O$43&gt;0,AND(DAY($A162)=MIN(DAY('Recurring Schedule'!$F$43),DAY(EOMONTH($A162,0))),MOD((YEAR($A162)-YEAR('Recurring Schedule'!$F$43))*12+MONTH($A162)-MONTH('Recurring Schedule'!$F$43),'Recurring Schedule'!$O$43)=0),IF('Recurring Schedule'!$E$43="Weekdays",WEEKDAY($A162,2)&lt;=5,$A162='Recurring Schedule'!$F$43))),38,""))))</f>
        <v/>
      </c>
      <c r="AN162">
        <f>IF('Recurring Schedule'!$C$44="","",IF('Recurring Schedule'!$F$44="","",IF(OR($A162&lt;'Recurring Schedule'!$F$44,$A162&gt;'Recurring Schedule'!$P$44),"",IF(IF('Recurring Schedule'!$N$44&gt;0,MOD($A162-'Recurring Schedule'!$F$44,'Recurring Schedule'!$N$44)=0,IF('Recurring Schedule'!$O$44&gt;0,AND(DAY($A162)=MIN(DAY('Recurring Schedule'!$F$44),DAY(EOMONTH($A162,0))),MOD((YEAR($A162)-YEAR('Recurring Schedule'!$F$44))*12+MONTH($A162)-MONTH('Recurring Schedule'!$F$44),'Recurring Schedule'!$O$44)=0),IF('Recurring Schedule'!$E$44="Weekdays",WEEKDAY($A162,2)&lt;=5,$A162='Recurring Schedule'!$F$44))),39,""))))</f>
        <v/>
      </c>
      <c r="AO162">
        <f>IF('Recurring Schedule'!$C$45="","",IF('Recurring Schedule'!$F$45="","",IF(OR($A162&lt;'Recurring Schedule'!$F$45,$A162&gt;'Recurring Schedule'!$P$45),"",IF(IF('Recurring Schedule'!$N$45&gt;0,MOD($A162-'Recurring Schedule'!$F$45,'Recurring Schedule'!$N$45)=0,IF('Recurring Schedule'!$O$45&gt;0,AND(DAY($A162)=MIN(DAY('Recurring Schedule'!$F$45),DAY(EOMONTH($A162,0))),MOD((YEAR($A162)-YEAR('Recurring Schedule'!$F$45))*12+MONTH($A162)-MONTH('Recurring Schedule'!$F$45),'Recurring Schedule'!$O$45)=0),IF('Recurring Schedule'!$E$45="Weekdays",WEEKDAY($A162,2)&lt;=5,$A162='Recurring Schedule'!$F$45))),40,""))))</f>
        <v/>
      </c>
      <c r="AP162">
        <f>COUNT(B162:AO162)</f>
        <v/>
      </c>
      <c r="AQ162">
        <f>AQ161+AP161</f>
        <v/>
      </c>
      <c r="AS162" t="inlineStr">
        <is>
          <t>R</t>
        </is>
      </c>
      <c r="AT162" t="n">
        <v>166</v>
      </c>
      <c r="AU162">
        <f>'Recurring Log'!C166&amp;""</f>
        <v/>
      </c>
      <c r="AV162">
        <f>'Recurring Log'!D166&amp;""</f>
        <v/>
      </c>
      <c r="AW162">
        <f>IF('Recurring Log'!E166="","",'Recurring Log'!E166)</f>
        <v/>
      </c>
      <c r="AX162">
        <f>IF('Recurring Log'!G166="","",'Recurring Log'!G166)</f>
        <v/>
      </c>
      <c r="AY162">
        <f>IF('Recurring Log'!H166="","",'Recurring Log'!H166)</f>
        <v/>
      </c>
      <c r="AZ162">
        <f>IF(AU162="","",IF('Recurring Log'!J166="","Not Started",'Recurring Log'!J166))</f>
        <v/>
      </c>
      <c r="BA162">
        <f>'Recurring Log'!L166&amp;""</f>
        <v/>
      </c>
      <c r="BB162">
        <f>'Recurring Log'!M166&amp;""</f>
        <v/>
      </c>
      <c r="BC162">
        <f>'Recurring Log'!N166&amp;""</f>
        <v/>
      </c>
      <c r="BD162">
        <f>'Recurring Log'!O166&amp;""</f>
        <v/>
      </c>
      <c r="BE162">
        <f>IF('Recurring Log'!K166="","",'Recurring Log'!K166)</f>
        <v/>
      </c>
      <c r="BF162">
        <f>IFERROR(MATCH(BA162,Setup!$L$6:$L$9,0),5)</f>
        <v/>
      </c>
      <c r="BG162">
        <f>IF(OR(AZ162="Done",AZ162="Cancelled"),1,0)</f>
        <v/>
      </c>
      <c r="BH162">
        <f>IF(AND(AU162&lt;&gt;"",ISNUMBER(AW162)),1,0)</f>
        <v/>
      </c>
      <c r="BI162">
        <f>IF(BH162=0,0,IF(AND(AW162&gt;='Tasks Filter'!$F$3,AW162&lt;='Tasks Filter'!$F$4,OR('Tasks Filter'!$I$3="",ISNUMBER(SEARCH('Tasks Filter'!$I$3,AU162))),OR('Tasks Filter'!$I$4="",BF162=IFERROR(MATCH('Tasks Filter'!$I$4,Setup!$L$6:$L$9,0),0)),OR('Tasks Filter'!$I$5="Both",AND('Tasks Filter'!$I$5="Yes",BB162="✓"),AND('Tasks Filter'!$I$5="No",BB162&lt;&gt;"✓")),OR('Tasks Filter'!$L$3="",AV162='Tasks Filter'!$L$3),OR('Tasks Filter'!$L$4="",AZ162='Tasks Filter'!$L$4),OR('Tasks Filter'!$L$5="",BC162='Tasks Filter'!$L$5),OR('Tasks Filter'!$O$3="",BD162='Tasks Filter'!$O$3),OR('Tasks Filter'!$O$4="Yes",BG162=0)),1,0))</f>
        <v/>
      </c>
      <c r="BJ162">
        <f>IF(BH162=0,"",IF('Tasks Filter'!$F$6="Descending",-1,1)*CHOOSE(MATCH('Tasks Filter'!$F$5,Lists!$G$2:$G$6,0),AW162,BF162,IFERROR(MATCH(AV162,Setup!$F$6:$F$15,0),99),IFERROR(MATCH(BC162,Setup!$H$6:$H$15,0),99),IFERROR(MATCH(AZ162,Setup!$J$6:$J$11,0),99))*1E+9+(AW162-40000)*10000+161)</f>
        <v/>
      </c>
      <c r="BK162">
        <f>IF(BI162=1,BJ162,"")</f>
        <v/>
      </c>
      <c r="BL162">
        <f>IF(AND(BH162=1,BG162=0,N(AW162)&lt;Setup!$D$7),(AW162-40000)*10000+161,"")</f>
        <v/>
      </c>
      <c r="BM162">
        <f>IF(AND(BH162=1,AZ162&lt;&gt;"Cancelled",N(AW162)&gt;=Dashboard!$AB$3,N(AW162)&lt;=Dashboard!$AB$3+6),(AW162-40000)*100000+BF162*10000+161,"")</f>
        <v/>
      </c>
      <c r="BN162">
        <f>IF(AND(BH162=1,AZ162&lt;&gt;"Cancelled"),BF162*10000+161,"")</f>
        <v/>
      </c>
    </row>
    <row r="163">
      <c r="A163">
        <f>Setup!$D$5+161</f>
        <v/>
      </c>
      <c r="B163">
        <f>IF('Recurring Schedule'!$C$6="","",IF('Recurring Schedule'!$F$6="","",IF(OR($A163&lt;'Recurring Schedule'!$F$6,$A163&gt;'Recurring Schedule'!$P$6),"",IF(IF('Recurring Schedule'!$N$6&gt;0,MOD($A163-'Recurring Schedule'!$F$6,'Recurring Schedule'!$N$6)=0,IF('Recurring Schedule'!$O$6&gt;0,AND(DAY($A163)=MIN(DAY('Recurring Schedule'!$F$6),DAY(EOMONTH($A163,0))),MOD((YEAR($A163)-YEAR('Recurring Schedule'!$F$6))*12+MONTH($A163)-MONTH('Recurring Schedule'!$F$6),'Recurring Schedule'!$O$6)=0),IF('Recurring Schedule'!$E$6="Weekdays",WEEKDAY($A163,2)&lt;=5,$A163='Recurring Schedule'!$F$6))),1,""))))</f>
        <v/>
      </c>
      <c r="C163">
        <f>IF('Recurring Schedule'!$C$7="","",IF('Recurring Schedule'!$F$7="","",IF(OR($A163&lt;'Recurring Schedule'!$F$7,$A163&gt;'Recurring Schedule'!$P$7),"",IF(IF('Recurring Schedule'!$N$7&gt;0,MOD($A163-'Recurring Schedule'!$F$7,'Recurring Schedule'!$N$7)=0,IF('Recurring Schedule'!$O$7&gt;0,AND(DAY($A163)=MIN(DAY('Recurring Schedule'!$F$7),DAY(EOMONTH($A163,0))),MOD((YEAR($A163)-YEAR('Recurring Schedule'!$F$7))*12+MONTH($A163)-MONTH('Recurring Schedule'!$F$7),'Recurring Schedule'!$O$7)=0),IF('Recurring Schedule'!$E$7="Weekdays",WEEKDAY($A163,2)&lt;=5,$A163='Recurring Schedule'!$F$7))),2,""))))</f>
        <v/>
      </c>
      <c r="D163">
        <f>IF('Recurring Schedule'!$C$8="","",IF('Recurring Schedule'!$F$8="","",IF(OR($A163&lt;'Recurring Schedule'!$F$8,$A163&gt;'Recurring Schedule'!$P$8),"",IF(IF('Recurring Schedule'!$N$8&gt;0,MOD($A163-'Recurring Schedule'!$F$8,'Recurring Schedule'!$N$8)=0,IF('Recurring Schedule'!$O$8&gt;0,AND(DAY($A163)=MIN(DAY('Recurring Schedule'!$F$8),DAY(EOMONTH($A163,0))),MOD((YEAR($A163)-YEAR('Recurring Schedule'!$F$8))*12+MONTH($A163)-MONTH('Recurring Schedule'!$F$8),'Recurring Schedule'!$O$8)=0),IF('Recurring Schedule'!$E$8="Weekdays",WEEKDAY($A163,2)&lt;=5,$A163='Recurring Schedule'!$F$8))),3,""))))</f>
        <v/>
      </c>
      <c r="E163">
        <f>IF('Recurring Schedule'!$C$9="","",IF('Recurring Schedule'!$F$9="","",IF(OR($A163&lt;'Recurring Schedule'!$F$9,$A163&gt;'Recurring Schedule'!$P$9),"",IF(IF('Recurring Schedule'!$N$9&gt;0,MOD($A163-'Recurring Schedule'!$F$9,'Recurring Schedule'!$N$9)=0,IF('Recurring Schedule'!$O$9&gt;0,AND(DAY($A163)=MIN(DAY('Recurring Schedule'!$F$9),DAY(EOMONTH($A163,0))),MOD((YEAR($A163)-YEAR('Recurring Schedule'!$F$9))*12+MONTH($A163)-MONTH('Recurring Schedule'!$F$9),'Recurring Schedule'!$O$9)=0),IF('Recurring Schedule'!$E$9="Weekdays",WEEKDAY($A163,2)&lt;=5,$A163='Recurring Schedule'!$F$9))),4,""))))</f>
        <v/>
      </c>
      <c r="F163">
        <f>IF('Recurring Schedule'!$C$10="","",IF('Recurring Schedule'!$F$10="","",IF(OR($A163&lt;'Recurring Schedule'!$F$10,$A163&gt;'Recurring Schedule'!$P$10),"",IF(IF('Recurring Schedule'!$N$10&gt;0,MOD($A163-'Recurring Schedule'!$F$10,'Recurring Schedule'!$N$10)=0,IF('Recurring Schedule'!$O$10&gt;0,AND(DAY($A163)=MIN(DAY('Recurring Schedule'!$F$10),DAY(EOMONTH($A163,0))),MOD((YEAR($A163)-YEAR('Recurring Schedule'!$F$10))*12+MONTH($A163)-MONTH('Recurring Schedule'!$F$10),'Recurring Schedule'!$O$10)=0),IF('Recurring Schedule'!$E$10="Weekdays",WEEKDAY($A163,2)&lt;=5,$A163='Recurring Schedule'!$F$10))),5,""))))</f>
        <v/>
      </c>
      <c r="G163">
        <f>IF('Recurring Schedule'!$C$11="","",IF('Recurring Schedule'!$F$11="","",IF(OR($A163&lt;'Recurring Schedule'!$F$11,$A163&gt;'Recurring Schedule'!$P$11),"",IF(IF('Recurring Schedule'!$N$11&gt;0,MOD($A163-'Recurring Schedule'!$F$11,'Recurring Schedule'!$N$11)=0,IF('Recurring Schedule'!$O$11&gt;0,AND(DAY($A163)=MIN(DAY('Recurring Schedule'!$F$11),DAY(EOMONTH($A163,0))),MOD((YEAR($A163)-YEAR('Recurring Schedule'!$F$11))*12+MONTH($A163)-MONTH('Recurring Schedule'!$F$11),'Recurring Schedule'!$O$11)=0),IF('Recurring Schedule'!$E$11="Weekdays",WEEKDAY($A163,2)&lt;=5,$A163='Recurring Schedule'!$F$11))),6,""))))</f>
        <v/>
      </c>
      <c r="H163">
        <f>IF('Recurring Schedule'!$C$12="","",IF('Recurring Schedule'!$F$12="","",IF(OR($A163&lt;'Recurring Schedule'!$F$12,$A163&gt;'Recurring Schedule'!$P$12),"",IF(IF('Recurring Schedule'!$N$12&gt;0,MOD($A163-'Recurring Schedule'!$F$12,'Recurring Schedule'!$N$12)=0,IF('Recurring Schedule'!$O$12&gt;0,AND(DAY($A163)=MIN(DAY('Recurring Schedule'!$F$12),DAY(EOMONTH($A163,0))),MOD((YEAR($A163)-YEAR('Recurring Schedule'!$F$12))*12+MONTH($A163)-MONTH('Recurring Schedule'!$F$12),'Recurring Schedule'!$O$12)=0),IF('Recurring Schedule'!$E$12="Weekdays",WEEKDAY($A163,2)&lt;=5,$A163='Recurring Schedule'!$F$12))),7,""))))</f>
        <v/>
      </c>
      <c r="I163">
        <f>IF('Recurring Schedule'!$C$13="","",IF('Recurring Schedule'!$F$13="","",IF(OR($A163&lt;'Recurring Schedule'!$F$13,$A163&gt;'Recurring Schedule'!$P$13),"",IF(IF('Recurring Schedule'!$N$13&gt;0,MOD($A163-'Recurring Schedule'!$F$13,'Recurring Schedule'!$N$13)=0,IF('Recurring Schedule'!$O$13&gt;0,AND(DAY($A163)=MIN(DAY('Recurring Schedule'!$F$13),DAY(EOMONTH($A163,0))),MOD((YEAR($A163)-YEAR('Recurring Schedule'!$F$13))*12+MONTH($A163)-MONTH('Recurring Schedule'!$F$13),'Recurring Schedule'!$O$13)=0),IF('Recurring Schedule'!$E$13="Weekdays",WEEKDAY($A163,2)&lt;=5,$A163='Recurring Schedule'!$F$13))),8,""))))</f>
        <v/>
      </c>
      <c r="J163">
        <f>IF('Recurring Schedule'!$C$14="","",IF('Recurring Schedule'!$F$14="","",IF(OR($A163&lt;'Recurring Schedule'!$F$14,$A163&gt;'Recurring Schedule'!$P$14),"",IF(IF('Recurring Schedule'!$N$14&gt;0,MOD($A163-'Recurring Schedule'!$F$14,'Recurring Schedule'!$N$14)=0,IF('Recurring Schedule'!$O$14&gt;0,AND(DAY($A163)=MIN(DAY('Recurring Schedule'!$F$14),DAY(EOMONTH($A163,0))),MOD((YEAR($A163)-YEAR('Recurring Schedule'!$F$14))*12+MONTH($A163)-MONTH('Recurring Schedule'!$F$14),'Recurring Schedule'!$O$14)=0),IF('Recurring Schedule'!$E$14="Weekdays",WEEKDAY($A163,2)&lt;=5,$A163='Recurring Schedule'!$F$14))),9,""))))</f>
        <v/>
      </c>
      <c r="K163">
        <f>IF('Recurring Schedule'!$C$15="","",IF('Recurring Schedule'!$F$15="","",IF(OR($A163&lt;'Recurring Schedule'!$F$15,$A163&gt;'Recurring Schedule'!$P$15),"",IF(IF('Recurring Schedule'!$N$15&gt;0,MOD($A163-'Recurring Schedule'!$F$15,'Recurring Schedule'!$N$15)=0,IF('Recurring Schedule'!$O$15&gt;0,AND(DAY($A163)=MIN(DAY('Recurring Schedule'!$F$15),DAY(EOMONTH($A163,0))),MOD((YEAR($A163)-YEAR('Recurring Schedule'!$F$15))*12+MONTH($A163)-MONTH('Recurring Schedule'!$F$15),'Recurring Schedule'!$O$15)=0),IF('Recurring Schedule'!$E$15="Weekdays",WEEKDAY($A163,2)&lt;=5,$A163='Recurring Schedule'!$F$15))),10,""))))</f>
        <v/>
      </c>
      <c r="L163">
        <f>IF('Recurring Schedule'!$C$16="","",IF('Recurring Schedule'!$F$16="","",IF(OR($A163&lt;'Recurring Schedule'!$F$16,$A163&gt;'Recurring Schedule'!$P$16),"",IF(IF('Recurring Schedule'!$N$16&gt;0,MOD($A163-'Recurring Schedule'!$F$16,'Recurring Schedule'!$N$16)=0,IF('Recurring Schedule'!$O$16&gt;0,AND(DAY($A163)=MIN(DAY('Recurring Schedule'!$F$16),DAY(EOMONTH($A163,0))),MOD((YEAR($A163)-YEAR('Recurring Schedule'!$F$16))*12+MONTH($A163)-MONTH('Recurring Schedule'!$F$16),'Recurring Schedule'!$O$16)=0),IF('Recurring Schedule'!$E$16="Weekdays",WEEKDAY($A163,2)&lt;=5,$A163='Recurring Schedule'!$F$16))),11,""))))</f>
        <v/>
      </c>
      <c r="M163">
        <f>IF('Recurring Schedule'!$C$17="","",IF('Recurring Schedule'!$F$17="","",IF(OR($A163&lt;'Recurring Schedule'!$F$17,$A163&gt;'Recurring Schedule'!$P$17),"",IF(IF('Recurring Schedule'!$N$17&gt;0,MOD($A163-'Recurring Schedule'!$F$17,'Recurring Schedule'!$N$17)=0,IF('Recurring Schedule'!$O$17&gt;0,AND(DAY($A163)=MIN(DAY('Recurring Schedule'!$F$17),DAY(EOMONTH($A163,0))),MOD((YEAR($A163)-YEAR('Recurring Schedule'!$F$17))*12+MONTH($A163)-MONTH('Recurring Schedule'!$F$17),'Recurring Schedule'!$O$17)=0),IF('Recurring Schedule'!$E$17="Weekdays",WEEKDAY($A163,2)&lt;=5,$A163='Recurring Schedule'!$F$17))),12,""))))</f>
        <v/>
      </c>
      <c r="N163">
        <f>IF('Recurring Schedule'!$C$18="","",IF('Recurring Schedule'!$F$18="","",IF(OR($A163&lt;'Recurring Schedule'!$F$18,$A163&gt;'Recurring Schedule'!$P$18),"",IF(IF('Recurring Schedule'!$N$18&gt;0,MOD($A163-'Recurring Schedule'!$F$18,'Recurring Schedule'!$N$18)=0,IF('Recurring Schedule'!$O$18&gt;0,AND(DAY($A163)=MIN(DAY('Recurring Schedule'!$F$18),DAY(EOMONTH($A163,0))),MOD((YEAR($A163)-YEAR('Recurring Schedule'!$F$18))*12+MONTH($A163)-MONTH('Recurring Schedule'!$F$18),'Recurring Schedule'!$O$18)=0),IF('Recurring Schedule'!$E$18="Weekdays",WEEKDAY($A163,2)&lt;=5,$A163='Recurring Schedule'!$F$18))),13,""))))</f>
        <v/>
      </c>
      <c r="O163">
        <f>IF('Recurring Schedule'!$C$19="","",IF('Recurring Schedule'!$F$19="","",IF(OR($A163&lt;'Recurring Schedule'!$F$19,$A163&gt;'Recurring Schedule'!$P$19),"",IF(IF('Recurring Schedule'!$N$19&gt;0,MOD($A163-'Recurring Schedule'!$F$19,'Recurring Schedule'!$N$19)=0,IF('Recurring Schedule'!$O$19&gt;0,AND(DAY($A163)=MIN(DAY('Recurring Schedule'!$F$19),DAY(EOMONTH($A163,0))),MOD((YEAR($A163)-YEAR('Recurring Schedule'!$F$19))*12+MONTH($A163)-MONTH('Recurring Schedule'!$F$19),'Recurring Schedule'!$O$19)=0),IF('Recurring Schedule'!$E$19="Weekdays",WEEKDAY($A163,2)&lt;=5,$A163='Recurring Schedule'!$F$19))),14,""))))</f>
        <v/>
      </c>
      <c r="P163">
        <f>IF('Recurring Schedule'!$C$20="","",IF('Recurring Schedule'!$F$20="","",IF(OR($A163&lt;'Recurring Schedule'!$F$20,$A163&gt;'Recurring Schedule'!$P$20),"",IF(IF('Recurring Schedule'!$N$20&gt;0,MOD($A163-'Recurring Schedule'!$F$20,'Recurring Schedule'!$N$20)=0,IF('Recurring Schedule'!$O$20&gt;0,AND(DAY($A163)=MIN(DAY('Recurring Schedule'!$F$20),DAY(EOMONTH($A163,0))),MOD((YEAR($A163)-YEAR('Recurring Schedule'!$F$20))*12+MONTH($A163)-MONTH('Recurring Schedule'!$F$20),'Recurring Schedule'!$O$20)=0),IF('Recurring Schedule'!$E$20="Weekdays",WEEKDAY($A163,2)&lt;=5,$A163='Recurring Schedule'!$F$20))),15,""))))</f>
        <v/>
      </c>
      <c r="Q163">
        <f>IF('Recurring Schedule'!$C$21="","",IF('Recurring Schedule'!$F$21="","",IF(OR($A163&lt;'Recurring Schedule'!$F$21,$A163&gt;'Recurring Schedule'!$P$21),"",IF(IF('Recurring Schedule'!$N$21&gt;0,MOD($A163-'Recurring Schedule'!$F$21,'Recurring Schedule'!$N$21)=0,IF('Recurring Schedule'!$O$21&gt;0,AND(DAY($A163)=MIN(DAY('Recurring Schedule'!$F$21),DAY(EOMONTH($A163,0))),MOD((YEAR($A163)-YEAR('Recurring Schedule'!$F$21))*12+MONTH($A163)-MONTH('Recurring Schedule'!$F$21),'Recurring Schedule'!$O$21)=0),IF('Recurring Schedule'!$E$21="Weekdays",WEEKDAY($A163,2)&lt;=5,$A163='Recurring Schedule'!$F$21))),16,""))))</f>
        <v/>
      </c>
      <c r="R163">
        <f>IF('Recurring Schedule'!$C$22="","",IF('Recurring Schedule'!$F$22="","",IF(OR($A163&lt;'Recurring Schedule'!$F$22,$A163&gt;'Recurring Schedule'!$P$22),"",IF(IF('Recurring Schedule'!$N$22&gt;0,MOD($A163-'Recurring Schedule'!$F$22,'Recurring Schedule'!$N$22)=0,IF('Recurring Schedule'!$O$22&gt;0,AND(DAY($A163)=MIN(DAY('Recurring Schedule'!$F$22),DAY(EOMONTH($A163,0))),MOD((YEAR($A163)-YEAR('Recurring Schedule'!$F$22))*12+MONTH($A163)-MONTH('Recurring Schedule'!$F$22),'Recurring Schedule'!$O$22)=0),IF('Recurring Schedule'!$E$22="Weekdays",WEEKDAY($A163,2)&lt;=5,$A163='Recurring Schedule'!$F$22))),17,""))))</f>
        <v/>
      </c>
      <c r="S163">
        <f>IF('Recurring Schedule'!$C$23="","",IF('Recurring Schedule'!$F$23="","",IF(OR($A163&lt;'Recurring Schedule'!$F$23,$A163&gt;'Recurring Schedule'!$P$23),"",IF(IF('Recurring Schedule'!$N$23&gt;0,MOD($A163-'Recurring Schedule'!$F$23,'Recurring Schedule'!$N$23)=0,IF('Recurring Schedule'!$O$23&gt;0,AND(DAY($A163)=MIN(DAY('Recurring Schedule'!$F$23),DAY(EOMONTH($A163,0))),MOD((YEAR($A163)-YEAR('Recurring Schedule'!$F$23))*12+MONTH($A163)-MONTH('Recurring Schedule'!$F$23),'Recurring Schedule'!$O$23)=0),IF('Recurring Schedule'!$E$23="Weekdays",WEEKDAY($A163,2)&lt;=5,$A163='Recurring Schedule'!$F$23))),18,""))))</f>
        <v/>
      </c>
      <c r="T163">
        <f>IF('Recurring Schedule'!$C$24="","",IF('Recurring Schedule'!$F$24="","",IF(OR($A163&lt;'Recurring Schedule'!$F$24,$A163&gt;'Recurring Schedule'!$P$24),"",IF(IF('Recurring Schedule'!$N$24&gt;0,MOD($A163-'Recurring Schedule'!$F$24,'Recurring Schedule'!$N$24)=0,IF('Recurring Schedule'!$O$24&gt;0,AND(DAY($A163)=MIN(DAY('Recurring Schedule'!$F$24),DAY(EOMONTH($A163,0))),MOD((YEAR($A163)-YEAR('Recurring Schedule'!$F$24))*12+MONTH($A163)-MONTH('Recurring Schedule'!$F$24),'Recurring Schedule'!$O$24)=0),IF('Recurring Schedule'!$E$24="Weekdays",WEEKDAY($A163,2)&lt;=5,$A163='Recurring Schedule'!$F$24))),19,""))))</f>
        <v/>
      </c>
      <c r="U163">
        <f>IF('Recurring Schedule'!$C$25="","",IF('Recurring Schedule'!$F$25="","",IF(OR($A163&lt;'Recurring Schedule'!$F$25,$A163&gt;'Recurring Schedule'!$P$25),"",IF(IF('Recurring Schedule'!$N$25&gt;0,MOD($A163-'Recurring Schedule'!$F$25,'Recurring Schedule'!$N$25)=0,IF('Recurring Schedule'!$O$25&gt;0,AND(DAY($A163)=MIN(DAY('Recurring Schedule'!$F$25),DAY(EOMONTH($A163,0))),MOD((YEAR($A163)-YEAR('Recurring Schedule'!$F$25))*12+MONTH($A163)-MONTH('Recurring Schedule'!$F$25),'Recurring Schedule'!$O$25)=0),IF('Recurring Schedule'!$E$25="Weekdays",WEEKDAY($A163,2)&lt;=5,$A163='Recurring Schedule'!$F$25))),20,""))))</f>
        <v/>
      </c>
      <c r="V163">
        <f>IF('Recurring Schedule'!$C$26="","",IF('Recurring Schedule'!$F$26="","",IF(OR($A163&lt;'Recurring Schedule'!$F$26,$A163&gt;'Recurring Schedule'!$P$26),"",IF(IF('Recurring Schedule'!$N$26&gt;0,MOD($A163-'Recurring Schedule'!$F$26,'Recurring Schedule'!$N$26)=0,IF('Recurring Schedule'!$O$26&gt;0,AND(DAY($A163)=MIN(DAY('Recurring Schedule'!$F$26),DAY(EOMONTH($A163,0))),MOD((YEAR($A163)-YEAR('Recurring Schedule'!$F$26))*12+MONTH($A163)-MONTH('Recurring Schedule'!$F$26),'Recurring Schedule'!$O$26)=0),IF('Recurring Schedule'!$E$26="Weekdays",WEEKDAY($A163,2)&lt;=5,$A163='Recurring Schedule'!$F$26))),21,""))))</f>
        <v/>
      </c>
      <c r="W163">
        <f>IF('Recurring Schedule'!$C$27="","",IF('Recurring Schedule'!$F$27="","",IF(OR($A163&lt;'Recurring Schedule'!$F$27,$A163&gt;'Recurring Schedule'!$P$27),"",IF(IF('Recurring Schedule'!$N$27&gt;0,MOD($A163-'Recurring Schedule'!$F$27,'Recurring Schedule'!$N$27)=0,IF('Recurring Schedule'!$O$27&gt;0,AND(DAY($A163)=MIN(DAY('Recurring Schedule'!$F$27),DAY(EOMONTH($A163,0))),MOD((YEAR($A163)-YEAR('Recurring Schedule'!$F$27))*12+MONTH($A163)-MONTH('Recurring Schedule'!$F$27),'Recurring Schedule'!$O$27)=0),IF('Recurring Schedule'!$E$27="Weekdays",WEEKDAY($A163,2)&lt;=5,$A163='Recurring Schedule'!$F$27))),22,""))))</f>
        <v/>
      </c>
      <c r="X163">
        <f>IF('Recurring Schedule'!$C$28="","",IF('Recurring Schedule'!$F$28="","",IF(OR($A163&lt;'Recurring Schedule'!$F$28,$A163&gt;'Recurring Schedule'!$P$28),"",IF(IF('Recurring Schedule'!$N$28&gt;0,MOD($A163-'Recurring Schedule'!$F$28,'Recurring Schedule'!$N$28)=0,IF('Recurring Schedule'!$O$28&gt;0,AND(DAY($A163)=MIN(DAY('Recurring Schedule'!$F$28),DAY(EOMONTH($A163,0))),MOD((YEAR($A163)-YEAR('Recurring Schedule'!$F$28))*12+MONTH($A163)-MONTH('Recurring Schedule'!$F$28),'Recurring Schedule'!$O$28)=0),IF('Recurring Schedule'!$E$28="Weekdays",WEEKDAY($A163,2)&lt;=5,$A163='Recurring Schedule'!$F$28))),23,""))))</f>
        <v/>
      </c>
      <c r="Y163">
        <f>IF('Recurring Schedule'!$C$29="","",IF('Recurring Schedule'!$F$29="","",IF(OR($A163&lt;'Recurring Schedule'!$F$29,$A163&gt;'Recurring Schedule'!$P$29),"",IF(IF('Recurring Schedule'!$N$29&gt;0,MOD($A163-'Recurring Schedule'!$F$29,'Recurring Schedule'!$N$29)=0,IF('Recurring Schedule'!$O$29&gt;0,AND(DAY($A163)=MIN(DAY('Recurring Schedule'!$F$29),DAY(EOMONTH($A163,0))),MOD((YEAR($A163)-YEAR('Recurring Schedule'!$F$29))*12+MONTH($A163)-MONTH('Recurring Schedule'!$F$29),'Recurring Schedule'!$O$29)=0),IF('Recurring Schedule'!$E$29="Weekdays",WEEKDAY($A163,2)&lt;=5,$A163='Recurring Schedule'!$F$29))),24,""))))</f>
        <v/>
      </c>
      <c r="Z163">
        <f>IF('Recurring Schedule'!$C$30="","",IF('Recurring Schedule'!$F$30="","",IF(OR($A163&lt;'Recurring Schedule'!$F$30,$A163&gt;'Recurring Schedule'!$P$30),"",IF(IF('Recurring Schedule'!$N$30&gt;0,MOD($A163-'Recurring Schedule'!$F$30,'Recurring Schedule'!$N$30)=0,IF('Recurring Schedule'!$O$30&gt;0,AND(DAY($A163)=MIN(DAY('Recurring Schedule'!$F$30),DAY(EOMONTH($A163,0))),MOD((YEAR($A163)-YEAR('Recurring Schedule'!$F$30))*12+MONTH($A163)-MONTH('Recurring Schedule'!$F$30),'Recurring Schedule'!$O$30)=0),IF('Recurring Schedule'!$E$30="Weekdays",WEEKDAY($A163,2)&lt;=5,$A163='Recurring Schedule'!$F$30))),25,""))))</f>
        <v/>
      </c>
      <c r="AA163">
        <f>IF('Recurring Schedule'!$C$31="","",IF('Recurring Schedule'!$F$31="","",IF(OR($A163&lt;'Recurring Schedule'!$F$31,$A163&gt;'Recurring Schedule'!$P$31),"",IF(IF('Recurring Schedule'!$N$31&gt;0,MOD($A163-'Recurring Schedule'!$F$31,'Recurring Schedule'!$N$31)=0,IF('Recurring Schedule'!$O$31&gt;0,AND(DAY($A163)=MIN(DAY('Recurring Schedule'!$F$31),DAY(EOMONTH($A163,0))),MOD((YEAR($A163)-YEAR('Recurring Schedule'!$F$31))*12+MONTH($A163)-MONTH('Recurring Schedule'!$F$31),'Recurring Schedule'!$O$31)=0),IF('Recurring Schedule'!$E$31="Weekdays",WEEKDAY($A163,2)&lt;=5,$A163='Recurring Schedule'!$F$31))),26,""))))</f>
        <v/>
      </c>
      <c r="AB163">
        <f>IF('Recurring Schedule'!$C$32="","",IF('Recurring Schedule'!$F$32="","",IF(OR($A163&lt;'Recurring Schedule'!$F$32,$A163&gt;'Recurring Schedule'!$P$32),"",IF(IF('Recurring Schedule'!$N$32&gt;0,MOD($A163-'Recurring Schedule'!$F$32,'Recurring Schedule'!$N$32)=0,IF('Recurring Schedule'!$O$32&gt;0,AND(DAY($A163)=MIN(DAY('Recurring Schedule'!$F$32),DAY(EOMONTH($A163,0))),MOD((YEAR($A163)-YEAR('Recurring Schedule'!$F$32))*12+MONTH($A163)-MONTH('Recurring Schedule'!$F$32),'Recurring Schedule'!$O$32)=0),IF('Recurring Schedule'!$E$32="Weekdays",WEEKDAY($A163,2)&lt;=5,$A163='Recurring Schedule'!$F$32))),27,""))))</f>
        <v/>
      </c>
      <c r="AC163">
        <f>IF('Recurring Schedule'!$C$33="","",IF('Recurring Schedule'!$F$33="","",IF(OR($A163&lt;'Recurring Schedule'!$F$33,$A163&gt;'Recurring Schedule'!$P$33),"",IF(IF('Recurring Schedule'!$N$33&gt;0,MOD($A163-'Recurring Schedule'!$F$33,'Recurring Schedule'!$N$33)=0,IF('Recurring Schedule'!$O$33&gt;0,AND(DAY($A163)=MIN(DAY('Recurring Schedule'!$F$33),DAY(EOMONTH($A163,0))),MOD((YEAR($A163)-YEAR('Recurring Schedule'!$F$33))*12+MONTH($A163)-MONTH('Recurring Schedule'!$F$33),'Recurring Schedule'!$O$33)=0),IF('Recurring Schedule'!$E$33="Weekdays",WEEKDAY($A163,2)&lt;=5,$A163='Recurring Schedule'!$F$33))),28,""))))</f>
        <v/>
      </c>
      <c r="AD163">
        <f>IF('Recurring Schedule'!$C$34="","",IF('Recurring Schedule'!$F$34="","",IF(OR($A163&lt;'Recurring Schedule'!$F$34,$A163&gt;'Recurring Schedule'!$P$34),"",IF(IF('Recurring Schedule'!$N$34&gt;0,MOD($A163-'Recurring Schedule'!$F$34,'Recurring Schedule'!$N$34)=0,IF('Recurring Schedule'!$O$34&gt;0,AND(DAY($A163)=MIN(DAY('Recurring Schedule'!$F$34),DAY(EOMONTH($A163,0))),MOD((YEAR($A163)-YEAR('Recurring Schedule'!$F$34))*12+MONTH($A163)-MONTH('Recurring Schedule'!$F$34),'Recurring Schedule'!$O$34)=0),IF('Recurring Schedule'!$E$34="Weekdays",WEEKDAY($A163,2)&lt;=5,$A163='Recurring Schedule'!$F$34))),29,""))))</f>
        <v/>
      </c>
      <c r="AE163">
        <f>IF('Recurring Schedule'!$C$35="","",IF('Recurring Schedule'!$F$35="","",IF(OR($A163&lt;'Recurring Schedule'!$F$35,$A163&gt;'Recurring Schedule'!$P$35),"",IF(IF('Recurring Schedule'!$N$35&gt;0,MOD($A163-'Recurring Schedule'!$F$35,'Recurring Schedule'!$N$35)=0,IF('Recurring Schedule'!$O$35&gt;0,AND(DAY($A163)=MIN(DAY('Recurring Schedule'!$F$35),DAY(EOMONTH($A163,0))),MOD((YEAR($A163)-YEAR('Recurring Schedule'!$F$35))*12+MONTH($A163)-MONTH('Recurring Schedule'!$F$35),'Recurring Schedule'!$O$35)=0),IF('Recurring Schedule'!$E$35="Weekdays",WEEKDAY($A163,2)&lt;=5,$A163='Recurring Schedule'!$F$35))),30,""))))</f>
        <v/>
      </c>
      <c r="AF163">
        <f>IF('Recurring Schedule'!$C$36="","",IF('Recurring Schedule'!$F$36="","",IF(OR($A163&lt;'Recurring Schedule'!$F$36,$A163&gt;'Recurring Schedule'!$P$36),"",IF(IF('Recurring Schedule'!$N$36&gt;0,MOD($A163-'Recurring Schedule'!$F$36,'Recurring Schedule'!$N$36)=0,IF('Recurring Schedule'!$O$36&gt;0,AND(DAY($A163)=MIN(DAY('Recurring Schedule'!$F$36),DAY(EOMONTH($A163,0))),MOD((YEAR($A163)-YEAR('Recurring Schedule'!$F$36))*12+MONTH($A163)-MONTH('Recurring Schedule'!$F$36),'Recurring Schedule'!$O$36)=0),IF('Recurring Schedule'!$E$36="Weekdays",WEEKDAY($A163,2)&lt;=5,$A163='Recurring Schedule'!$F$36))),31,""))))</f>
        <v/>
      </c>
      <c r="AG163">
        <f>IF('Recurring Schedule'!$C$37="","",IF('Recurring Schedule'!$F$37="","",IF(OR($A163&lt;'Recurring Schedule'!$F$37,$A163&gt;'Recurring Schedule'!$P$37),"",IF(IF('Recurring Schedule'!$N$37&gt;0,MOD($A163-'Recurring Schedule'!$F$37,'Recurring Schedule'!$N$37)=0,IF('Recurring Schedule'!$O$37&gt;0,AND(DAY($A163)=MIN(DAY('Recurring Schedule'!$F$37),DAY(EOMONTH($A163,0))),MOD((YEAR($A163)-YEAR('Recurring Schedule'!$F$37))*12+MONTH($A163)-MONTH('Recurring Schedule'!$F$37),'Recurring Schedule'!$O$37)=0),IF('Recurring Schedule'!$E$37="Weekdays",WEEKDAY($A163,2)&lt;=5,$A163='Recurring Schedule'!$F$37))),32,""))))</f>
        <v/>
      </c>
      <c r="AH163">
        <f>IF('Recurring Schedule'!$C$38="","",IF('Recurring Schedule'!$F$38="","",IF(OR($A163&lt;'Recurring Schedule'!$F$38,$A163&gt;'Recurring Schedule'!$P$38),"",IF(IF('Recurring Schedule'!$N$38&gt;0,MOD($A163-'Recurring Schedule'!$F$38,'Recurring Schedule'!$N$38)=0,IF('Recurring Schedule'!$O$38&gt;0,AND(DAY($A163)=MIN(DAY('Recurring Schedule'!$F$38),DAY(EOMONTH($A163,0))),MOD((YEAR($A163)-YEAR('Recurring Schedule'!$F$38))*12+MONTH($A163)-MONTH('Recurring Schedule'!$F$38),'Recurring Schedule'!$O$38)=0),IF('Recurring Schedule'!$E$38="Weekdays",WEEKDAY($A163,2)&lt;=5,$A163='Recurring Schedule'!$F$38))),33,""))))</f>
        <v/>
      </c>
      <c r="AI163">
        <f>IF('Recurring Schedule'!$C$39="","",IF('Recurring Schedule'!$F$39="","",IF(OR($A163&lt;'Recurring Schedule'!$F$39,$A163&gt;'Recurring Schedule'!$P$39),"",IF(IF('Recurring Schedule'!$N$39&gt;0,MOD($A163-'Recurring Schedule'!$F$39,'Recurring Schedule'!$N$39)=0,IF('Recurring Schedule'!$O$39&gt;0,AND(DAY($A163)=MIN(DAY('Recurring Schedule'!$F$39),DAY(EOMONTH($A163,0))),MOD((YEAR($A163)-YEAR('Recurring Schedule'!$F$39))*12+MONTH($A163)-MONTH('Recurring Schedule'!$F$39),'Recurring Schedule'!$O$39)=0),IF('Recurring Schedule'!$E$39="Weekdays",WEEKDAY($A163,2)&lt;=5,$A163='Recurring Schedule'!$F$39))),34,""))))</f>
        <v/>
      </c>
      <c r="AJ163">
        <f>IF('Recurring Schedule'!$C$40="","",IF('Recurring Schedule'!$F$40="","",IF(OR($A163&lt;'Recurring Schedule'!$F$40,$A163&gt;'Recurring Schedule'!$P$40),"",IF(IF('Recurring Schedule'!$N$40&gt;0,MOD($A163-'Recurring Schedule'!$F$40,'Recurring Schedule'!$N$40)=0,IF('Recurring Schedule'!$O$40&gt;0,AND(DAY($A163)=MIN(DAY('Recurring Schedule'!$F$40),DAY(EOMONTH($A163,0))),MOD((YEAR($A163)-YEAR('Recurring Schedule'!$F$40))*12+MONTH($A163)-MONTH('Recurring Schedule'!$F$40),'Recurring Schedule'!$O$40)=0),IF('Recurring Schedule'!$E$40="Weekdays",WEEKDAY($A163,2)&lt;=5,$A163='Recurring Schedule'!$F$40))),35,""))))</f>
        <v/>
      </c>
      <c r="AK163">
        <f>IF('Recurring Schedule'!$C$41="","",IF('Recurring Schedule'!$F$41="","",IF(OR($A163&lt;'Recurring Schedule'!$F$41,$A163&gt;'Recurring Schedule'!$P$41),"",IF(IF('Recurring Schedule'!$N$41&gt;0,MOD($A163-'Recurring Schedule'!$F$41,'Recurring Schedule'!$N$41)=0,IF('Recurring Schedule'!$O$41&gt;0,AND(DAY($A163)=MIN(DAY('Recurring Schedule'!$F$41),DAY(EOMONTH($A163,0))),MOD((YEAR($A163)-YEAR('Recurring Schedule'!$F$41))*12+MONTH($A163)-MONTH('Recurring Schedule'!$F$41),'Recurring Schedule'!$O$41)=0),IF('Recurring Schedule'!$E$41="Weekdays",WEEKDAY($A163,2)&lt;=5,$A163='Recurring Schedule'!$F$41))),36,""))))</f>
        <v/>
      </c>
      <c r="AL163">
        <f>IF('Recurring Schedule'!$C$42="","",IF('Recurring Schedule'!$F$42="","",IF(OR($A163&lt;'Recurring Schedule'!$F$42,$A163&gt;'Recurring Schedule'!$P$42),"",IF(IF('Recurring Schedule'!$N$42&gt;0,MOD($A163-'Recurring Schedule'!$F$42,'Recurring Schedule'!$N$42)=0,IF('Recurring Schedule'!$O$42&gt;0,AND(DAY($A163)=MIN(DAY('Recurring Schedule'!$F$42),DAY(EOMONTH($A163,0))),MOD((YEAR($A163)-YEAR('Recurring Schedule'!$F$42))*12+MONTH($A163)-MONTH('Recurring Schedule'!$F$42),'Recurring Schedule'!$O$42)=0),IF('Recurring Schedule'!$E$42="Weekdays",WEEKDAY($A163,2)&lt;=5,$A163='Recurring Schedule'!$F$42))),37,""))))</f>
        <v/>
      </c>
      <c r="AM163">
        <f>IF('Recurring Schedule'!$C$43="","",IF('Recurring Schedule'!$F$43="","",IF(OR($A163&lt;'Recurring Schedule'!$F$43,$A163&gt;'Recurring Schedule'!$P$43),"",IF(IF('Recurring Schedule'!$N$43&gt;0,MOD($A163-'Recurring Schedule'!$F$43,'Recurring Schedule'!$N$43)=0,IF('Recurring Schedule'!$O$43&gt;0,AND(DAY($A163)=MIN(DAY('Recurring Schedule'!$F$43),DAY(EOMONTH($A163,0))),MOD((YEAR($A163)-YEAR('Recurring Schedule'!$F$43))*12+MONTH($A163)-MONTH('Recurring Schedule'!$F$43),'Recurring Schedule'!$O$43)=0),IF('Recurring Schedule'!$E$43="Weekdays",WEEKDAY($A163,2)&lt;=5,$A163='Recurring Schedule'!$F$43))),38,""))))</f>
        <v/>
      </c>
      <c r="AN163">
        <f>IF('Recurring Schedule'!$C$44="","",IF('Recurring Schedule'!$F$44="","",IF(OR($A163&lt;'Recurring Schedule'!$F$44,$A163&gt;'Recurring Schedule'!$P$44),"",IF(IF('Recurring Schedule'!$N$44&gt;0,MOD($A163-'Recurring Schedule'!$F$44,'Recurring Schedule'!$N$44)=0,IF('Recurring Schedule'!$O$44&gt;0,AND(DAY($A163)=MIN(DAY('Recurring Schedule'!$F$44),DAY(EOMONTH($A163,0))),MOD((YEAR($A163)-YEAR('Recurring Schedule'!$F$44))*12+MONTH($A163)-MONTH('Recurring Schedule'!$F$44),'Recurring Schedule'!$O$44)=0),IF('Recurring Schedule'!$E$44="Weekdays",WEEKDAY($A163,2)&lt;=5,$A163='Recurring Schedule'!$F$44))),39,""))))</f>
        <v/>
      </c>
      <c r="AO163">
        <f>IF('Recurring Schedule'!$C$45="","",IF('Recurring Schedule'!$F$45="","",IF(OR($A163&lt;'Recurring Schedule'!$F$45,$A163&gt;'Recurring Schedule'!$P$45),"",IF(IF('Recurring Schedule'!$N$45&gt;0,MOD($A163-'Recurring Schedule'!$F$45,'Recurring Schedule'!$N$45)=0,IF('Recurring Schedule'!$O$45&gt;0,AND(DAY($A163)=MIN(DAY('Recurring Schedule'!$F$45),DAY(EOMONTH($A163,0))),MOD((YEAR($A163)-YEAR('Recurring Schedule'!$F$45))*12+MONTH($A163)-MONTH('Recurring Schedule'!$F$45),'Recurring Schedule'!$O$45)=0),IF('Recurring Schedule'!$E$45="Weekdays",WEEKDAY($A163,2)&lt;=5,$A163='Recurring Schedule'!$F$45))),40,""))))</f>
        <v/>
      </c>
      <c r="AP163">
        <f>COUNT(B163:AO163)</f>
        <v/>
      </c>
      <c r="AQ163">
        <f>AQ162+AP162</f>
        <v/>
      </c>
      <c r="AS163" t="inlineStr">
        <is>
          <t>R</t>
        </is>
      </c>
      <c r="AT163" t="n">
        <v>167</v>
      </c>
      <c r="AU163">
        <f>'Recurring Log'!C167&amp;""</f>
        <v/>
      </c>
      <c r="AV163">
        <f>'Recurring Log'!D167&amp;""</f>
        <v/>
      </c>
      <c r="AW163">
        <f>IF('Recurring Log'!E167="","",'Recurring Log'!E167)</f>
        <v/>
      </c>
      <c r="AX163">
        <f>IF('Recurring Log'!G167="","",'Recurring Log'!G167)</f>
        <v/>
      </c>
      <c r="AY163">
        <f>IF('Recurring Log'!H167="","",'Recurring Log'!H167)</f>
        <v/>
      </c>
      <c r="AZ163">
        <f>IF(AU163="","",IF('Recurring Log'!J167="","Not Started",'Recurring Log'!J167))</f>
        <v/>
      </c>
      <c r="BA163">
        <f>'Recurring Log'!L167&amp;""</f>
        <v/>
      </c>
      <c r="BB163">
        <f>'Recurring Log'!M167&amp;""</f>
        <v/>
      </c>
      <c r="BC163">
        <f>'Recurring Log'!N167&amp;""</f>
        <v/>
      </c>
      <c r="BD163">
        <f>'Recurring Log'!O167&amp;""</f>
        <v/>
      </c>
      <c r="BE163">
        <f>IF('Recurring Log'!K167="","",'Recurring Log'!K167)</f>
        <v/>
      </c>
      <c r="BF163">
        <f>IFERROR(MATCH(BA163,Setup!$L$6:$L$9,0),5)</f>
        <v/>
      </c>
      <c r="BG163">
        <f>IF(OR(AZ163="Done",AZ163="Cancelled"),1,0)</f>
        <v/>
      </c>
      <c r="BH163">
        <f>IF(AND(AU163&lt;&gt;"",ISNUMBER(AW163)),1,0)</f>
        <v/>
      </c>
      <c r="BI163">
        <f>IF(BH163=0,0,IF(AND(AW163&gt;='Tasks Filter'!$F$3,AW163&lt;='Tasks Filter'!$F$4,OR('Tasks Filter'!$I$3="",ISNUMBER(SEARCH('Tasks Filter'!$I$3,AU163))),OR('Tasks Filter'!$I$4="",BF163=IFERROR(MATCH('Tasks Filter'!$I$4,Setup!$L$6:$L$9,0),0)),OR('Tasks Filter'!$I$5="Both",AND('Tasks Filter'!$I$5="Yes",BB163="✓"),AND('Tasks Filter'!$I$5="No",BB163&lt;&gt;"✓")),OR('Tasks Filter'!$L$3="",AV163='Tasks Filter'!$L$3),OR('Tasks Filter'!$L$4="",AZ163='Tasks Filter'!$L$4),OR('Tasks Filter'!$L$5="",BC163='Tasks Filter'!$L$5),OR('Tasks Filter'!$O$3="",BD163='Tasks Filter'!$O$3),OR('Tasks Filter'!$O$4="Yes",BG163=0)),1,0))</f>
        <v/>
      </c>
      <c r="BJ163">
        <f>IF(BH163=0,"",IF('Tasks Filter'!$F$6="Descending",-1,1)*CHOOSE(MATCH('Tasks Filter'!$F$5,Lists!$G$2:$G$6,0),AW163,BF163,IFERROR(MATCH(AV163,Setup!$F$6:$F$15,0),99),IFERROR(MATCH(BC163,Setup!$H$6:$H$15,0),99),IFERROR(MATCH(AZ163,Setup!$J$6:$J$11,0),99))*1E+9+(AW163-40000)*10000+162)</f>
        <v/>
      </c>
      <c r="BK163">
        <f>IF(BI163=1,BJ163,"")</f>
        <v/>
      </c>
      <c r="BL163">
        <f>IF(AND(BH163=1,BG163=0,N(AW163)&lt;Setup!$D$7),(AW163-40000)*10000+162,"")</f>
        <v/>
      </c>
      <c r="BM163">
        <f>IF(AND(BH163=1,AZ163&lt;&gt;"Cancelled",N(AW163)&gt;=Dashboard!$AB$3,N(AW163)&lt;=Dashboard!$AB$3+6),(AW163-40000)*100000+BF163*10000+162,"")</f>
        <v/>
      </c>
      <c r="BN163">
        <f>IF(AND(BH163=1,AZ163&lt;&gt;"Cancelled"),BF163*10000+162,"")</f>
        <v/>
      </c>
    </row>
    <row r="164">
      <c r="A164">
        <f>Setup!$D$5+162</f>
        <v/>
      </c>
      <c r="B164">
        <f>IF('Recurring Schedule'!$C$6="","",IF('Recurring Schedule'!$F$6="","",IF(OR($A164&lt;'Recurring Schedule'!$F$6,$A164&gt;'Recurring Schedule'!$P$6),"",IF(IF('Recurring Schedule'!$N$6&gt;0,MOD($A164-'Recurring Schedule'!$F$6,'Recurring Schedule'!$N$6)=0,IF('Recurring Schedule'!$O$6&gt;0,AND(DAY($A164)=MIN(DAY('Recurring Schedule'!$F$6),DAY(EOMONTH($A164,0))),MOD((YEAR($A164)-YEAR('Recurring Schedule'!$F$6))*12+MONTH($A164)-MONTH('Recurring Schedule'!$F$6),'Recurring Schedule'!$O$6)=0),IF('Recurring Schedule'!$E$6="Weekdays",WEEKDAY($A164,2)&lt;=5,$A164='Recurring Schedule'!$F$6))),1,""))))</f>
        <v/>
      </c>
      <c r="C164">
        <f>IF('Recurring Schedule'!$C$7="","",IF('Recurring Schedule'!$F$7="","",IF(OR($A164&lt;'Recurring Schedule'!$F$7,$A164&gt;'Recurring Schedule'!$P$7),"",IF(IF('Recurring Schedule'!$N$7&gt;0,MOD($A164-'Recurring Schedule'!$F$7,'Recurring Schedule'!$N$7)=0,IF('Recurring Schedule'!$O$7&gt;0,AND(DAY($A164)=MIN(DAY('Recurring Schedule'!$F$7),DAY(EOMONTH($A164,0))),MOD((YEAR($A164)-YEAR('Recurring Schedule'!$F$7))*12+MONTH($A164)-MONTH('Recurring Schedule'!$F$7),'Recurring Schedule'!$O$7)=0),IF('Recurring Schedule'!$E$7="Weekdays",WEEKDAY($A164,2)&lt;=5,$A164='Recurring Schedule'!$F$7))),2,""))))</f>
        <v/>
      </c>
      <c r="D164">
        <f>IF('Recurring Schedule'!$C$8="","",IF('Recurring Schedule'!$F$8="","",IF(OR($A164&lt;'Recurring Schedule'!$F$8,$A164&gt;'Recurring Schedule'!$P$8),"",IF(IF('Recurring Schedule'!$N$8&gt;0,MOD($A164-'Recurring Schedule'!$F$8,'Recurring Schedule'!$N$8)=0,IF('Recurring Schedule'!$O$8&gt;0,AND(DAY($A164)=MIN(DAY('Recurring Schedule'!$F$8),DAY(EOMONTH($A164,0))),MOD((YEAR($A164)-YEAR('Recurring Schedule'!$F$8))*12+MONTH($A164)-MONTH('Recurring Schedule'!$F$8),'Recurring Schedule'!$O$8)=0),IF('Recurring Schedule'!$E$8="Weekdays",WEEKDAY($A164,2)&lt;=5,$A164='Recurring Schedule'!$F$8))),3,""))))</f>
        <v/>
      </c>
      <c r="E164">
        <f>IF('Recurring Schedule'!$C$9="","",IF('Recurring Schedule'!$F$9="","",IF(OR($A164&lt;'Recurring Schedule'!$F$9,$A164&gt;'Recurring Schedule'!$P$9),"",IF(IF('Recurring Schedule'!$N$9&gt;0,MOD($A164-'Recurring Schedule'!$F$9,'Recurring Schedule'!$N$9)=0,IF('Recurring Schedule'!$O$9&gt;0,AND(DAY($A164)=MIN(DAY('Recurring Schedule'!$F$9),DAY(EOMONTH($A164,0))),MOD((YEAR($A164)-YEAR('Recurring Schedule'!$F$9))*12+MONTH($A164)-MONTH('Recurring Schedule'!$F$9),'Recurring Schedule'!$O$9)=0),IF('Recurring Schedule'!$E$9="Weekdays",WEEKDAY($A164,2)&lt;=5,$A164='Recurring Schedule'!$F$9))),4,""))))</f>
        <v/>
      </c>
      <c r="F164">
        <f>IF('Recurring Schedule'!$C$10="","",IF('Recurring Schedule'!$F$10="","",IF(OR($A164&lt;'Recurring Schedule'!$F$10,$A164&gt;'Recurring Schedule'!$P$10),"",IF(IF('Recurring Schedule'!$N$10&gt;0,MOD($A164-'Recurring Schedule'!$F$10,'Recurring Schedule'!$N$10)=0,IF('Recurring Schedule'!$O$10&gt;0,AND(DAY($A164)=MIN(DAY('Recurring Schedule'!$F$10),DAY(EOMONTH($A164,0))),MOD((YEAR($A164)-YEAR('Recurring Schedule'!$F$10))*12+MONTH($A164)-MONTH('Recurring Schedule'!$F$10),'Recurring Schedule'!$O$10)=0),IF('Recurring Schedule'!$E$10="Weekdays",WEEKDAY($A164,2)&lt;=5,$A164='Recurring Schedule'!$F$10))),5,""))))</f>
        <v/>
      </c>
      <c r="G164">
        <f>IF('Recurring Schedule'!$C$11="","",IF('Recurring Schedule'!$F$11="","",IF(OR($A164&lt;'Recurring Schedule'!$F$11,$A164&gt;'Recurring Schedule'!$P$11),"",IF(IF('Recurring Schedule'!$N$11&gt;0,MOD($A164-'Recurring Schedule'!$F$11,'Recurring Schedule'!$N$11)=0,IF('Recurring Schedule'!$O$11&gt;0,AND(DAY($A164)=MIN(DAY('Recurring Schedule'!$F$11),DAY(EOMONTH($A164,0))),MOD((YEAR($A164)-YEAR('Recurring Schedule'!$F$11))*12+MONTH($A164)-MONTH('Recurring Schedule'!$F$11),'Recurring Schedule'!$O$11)=0),IF('Recurring Schedule'!$E$11="Weekdays",WEEKDAY($A164,2)&lt;=5,$A164='Recurring Schedule'!$F$11))),6,""))))</f>
        <v/>
      </c>
      <c r="H164">
        <f>IF('Recurring Schedule'!$C$12="","",IF('Recurring Schedule'!$F$12="","",IF(OR($A164&lt;'Recurring Schedule'!$F$12,$A164&gt;'Recurring Schedule'!$P$12),"",IF(IF('Recurring Schedule'!$N$12&gt;0,MOD($A164-'Recurring Schedule'!$F$12,'Recurring Schedule'!$N$12)=0,IF('Recurring Schedule'!$O$12&gt;0,AND(DAY($A164)=MIN(DAY('Recurring Schedule'!$F$12),DAY(EOMONTH($A164,0))),MOD((YEAR($A164)-YEAR('Recurring Schedule'!$F$12))*12+MONTH($A164)-MONTH('Recurring Schedule'!$F$12),'Recurring Schedule'!$O$12)=0),IF('Recurring Schedule'!$E$12="Weekdays",WEEKDAY($A164,2)&lt;=5,$A164='Recurring Schedule'!$F$12))),7,""))))</f>
        <v/>
      </c>
      <c r="I164">
        <f>IF('Recurring Schedule'!$C$13="","",IF('Recurring Schedule'!$F$13="","",IF(OR($A164&lt;'Recurring Schedule'!$F$13,$A164&gt;'Recurring Schedule'!$P$13),"",IF(IF('Recurring Schedule'!$N$13&gt;0,MOD($A164-'Recurring Schedule'!$F$13,'Recurring Schedule'!$N$13)=0,IF('Recurring Schedule'!$O$13&gt;0,AND(DAY($A164)=MIN(DAY('Recurring Schedule'!$F$13),DAY(EOMONTH($A164,0))),MOD((YEAR($A164)-YEAR('Recurring Schedule'!$F$13))*12+MONTH($A164)-MONTH('Recurring Schedule'!$F$13),'Recurring Schedule'!$O$13)=0),IF('Recurring Schedule'!$E$13="Weekdays",WEEKDAY($A164,2)&lt;=5,$A164='Recurring Schedule'!$F$13))),8,""))))</f>
        <v/>
      </c>
      <c r="J164">
        <f>IF('Recurring Schedule'!$C$14="","",IF('Recurring Schedule'!$F$14="","",IF(OR($A164&lt;'Recurring Schedule'!$F$14,$A164&gt;'Recurring Schedule'!$P$14),"",IF(IF('Recurring Schedule'!$N$14&gt;0,MOD($A164-'Recurring Schedule'!$F$14,'Recurring Schedule'!$N$14)=0,IF('Recurring Schedule'!$O$14&gt;0,AND(DAY($A164)=MIN(DAY('Recurring Schedule'!$F$14),DAY(EOMONTH($A164,0))),MOD((YEAR($A164)-YEAR('Recurring Schedule'!$F$14))*12+MONTH($A164)-MONTH('Recurring Schedule'!$F$14),'Recurring Schedule'!$O$14)=0),IF('Recurring Schedule'!$E$14="Weekdays",WEEKDAY($A164,2)&lt;=5,$A164='Recurring Schedule'!$F$14))),9,""))))</f>
        <v/>
      </c>
      <c r="K164">
        <f>IF('Recurring Schedule'!$C$15="","",IF('Recurring Schedule'!$F$15="","",IF(OR($A164&lt;'Recurring Schedule'!$F$15,$A164&gt;'Recurring Schedule'!$P$15),"",IF(IF('Recurring Schedule'!$N$15&gt;0,MOD($A164-'Recurring Schedule'!$F$15,'Recurring Schedule'!$N$15)=0,IF('Recurring Schedule'!$O$15&gt;0,AND(DAY($A164)=MIN(DAY('Recurring Schedule'!$F$15),DAY(EOMONTH($A164,0))),MOD((YEAR($A164)-YEAR('Recurring Schedule'!$F$15))*12+MONTH($A164)-MONTH('Recurring Schedule'!$F$15),'Recurring Schedule'!$O$15)=0),IF('Recurring Schedule'!$E$15="Weekdays",WEEKDAY($A164,2)&lt;=5,$A164='Recurring Schedule'!$F$15))),10,""))))</f>
        <v/>
      </c>
      <c r="L164">
        <f>IF('Recurring Schedule'!$C$16="","",IF('Recurring Schedule'!$F$16="","",IF(OR($A164&lt;'Recurring Schedule'!$F$16,$A164&gt;'Recurring Schedule'!$P$16),"",IF(IF('Recurring Schedule'!$N$16&gt;0,MOD($A164-'Recurring Schedule'!$F$16,'Recurring Schedule'!$N$16)=0,IF('Recurring Schedule'!$O$16&gt;0,AND(DAY($A164)=MIN(DAY('Recurring Schedule'!$F$16),DAY(EOMONTH($A164,0))),MOD((YEAR($A164)-YEAR('Recurring Schedule'!$F$16))*12+MONTH($A164)-MONTH('Recurring Schedule'!$F$16),'Recurring Schedule'!$O$16)=0),IF('Recurring Schedule'!$E$16="Weekdays",WEEKDAY($A164,2)&lt;=5,$A164='Recurring Schedule'!$F$16))),11,""))))</f>
        <v/>
      </c>
      <c r="M164">
        <f>IF('Recurring Schedule'!$C$17="","",IF('Recurring Schedule'!$F$17="","",IF(OR($A164&lt;'Recurring Schedule'!$F$17,$A164&gt;'Recurring Schedule'!$P$17),"",IF(IF('Recurring Schedule'!$N$17&gt;0,MOD($A164-'Recurring Schedule'!$F$17,'Recurring Schedule'!$N$17)=0,IF('Recurring Schedule'!$O$17&gt;0,AND(DAY($A164)=MIN(DAY('Recurring Schedule'!$F$17),DAY(EOMONTH($A164,0))),MOD((YEAR($A164)-YEAR('Recurring Schedule'!$F$17))*12+MONTH($A164)-MONTH('Recurring Schedule'!$F$17),'Recurring Schedule'!$O$17)=0),IF('Recurring Schedule'!$E$17="Weekdays",WEEKDAY($A164,2)&lt;=5,$A164='Recurring Schedule'!$F$17))),12,""))))</f>
        <v/>
      </c>
      <c r="N164">
        <f>IF('Recurring Schedule'!$C$18="","",IF('Recurring Schedule'!$F$18="","",IF(OR($A164&lt;'Recurring Schedule'!$F$18,$A164&gt;'Recurring Schedule'!$P$18),"",IF(IF('Recurring Schedule'!$N$18&gt;0,MOD($A164-'Recurring Schedule'!$F$18,'Recurring Schedule'!$N$18)=0,IF('Recurring Schedule'!$O$18&gt;0,AND(DAY($A164)=MIN(DAY('Recurring Schedule'!$F$18),DAY(EOMONTH($A164,0))),MOD((YEAR($A164)-YEAR('Recurring Schedule'!$F$18))*12+MONTH($A164)-MONTH('Recurring Schedule'!$F$18),'Recurring Schedule'!$O$18)=0),IF('Recurring Schedule'!$E$18="Weekdays",WEEKDAY($A164,2)&lt;=5,$A164='Recurring Schedule'!$F$18))),13,""))))</f>
        <v/>
      </c>
      <c r="O164">
        <f>IF('Recurring Schedule'!$C$19="","",IF('Recurring Schedule'!$F$19="","",IF(OR($A164&lt;'Recurring Schedule'!$F$19,$A164&gt;'Recurring Schedule'!$P$19),"",IF(IF('Recurring Schedule'!$N$19&gt;0,MOD($A164-'Recurring Schedule'!$F$19,'Recurring Schedule'!$N$19)=0,IF('Recurring Schedule'!$O$19&gt;0,AND(DAY($A164)=MIN(DAY('Recurring Schedule'!$F$19),DAY(EOMONTH($A164,0))),MOD((YEAR($A164)-YEAR('Recurring Schedule'!$F$19))*12+MONTH($A164)-MONTH('Recurring Schedule'!$F$19),'Recurring Schedule'!$O$19)=0),IF('Recurring Schedule'!$E$19="Weekdays",WEEKDAY($A164,2)&lt;=5,$A164='Recurring Schedule'!$F$19))),14,""))))</f>
        <v/>
      </c>
      <c r="P164">
        <f>IF('Recurring Schedule'!$C$20="","",IF('Recurring Schedule'!$F$20="","",IF(OR($A164&lt;'Recurring Schedule'!$F$20,$A164&gt;'Recurring Schedule'!$P$20),"",IF(IF('Recurring Schedule'!$N$20&gt;0,MOD($A164-'Recurring Schedule'!$F$20,'Recurring Schedule'!$N$20)=0,IF('Recurring Schedule'!$O$20&gt;0,AND(DAY($A164)=MIN(DAY('Recurring Schedule'!$F$20),DAY(EOMONTH($A164,0))),MOD((YEAR($A164)-YEAR('Recurring Schedule'!$F$20))*12+MONTH($A164)-MONTH('Recurring Schedule'!$F$20),'Recurring Schedule'!$O$20)=0),IF('Recurring Schedule'!$E$20="Weekdays",WEEKDAY($A164,2)&lt;=5,$A164='Recurring Schedule'!$F$20))),15,""))))</f>
        <v/>
      </c>
      <c r="Q164">
        <f>IF('Recurring Schedule'!$C$21="","",IF('Recurring Schedule'!$F$21="","",IF(OR($A164&lt;'Recurring Schedule'!$F$21,$A164&gt;'Recurring Schedule'!$P$21),"",IF(IF('Recurring Schedule'!$N$21&gt;0,MOD($A164-'Recurring Schedule'!$F$21,'Recurring Schedule'!$N$21)=0,IF('Recurring Schedule'!$O$21&gt;0,AND(DAY($A164)=MIN(DAY('Recurring Schedule'!$F$21),DAY(EOMONTH($A164,0))),MOD((YEAR($A164)-YEAR('Recurring Schedule'!$F$21))*12+MONTH($A164)-MONTH('Recurring Schedule'!$F$21),'Recurring Schedule'!$O$21)=0),IF('Recurring Schedule'!$E$21="Weekdays",WEEKDAY($A164,2)&lt;=5,$A164='Recurring Schedule'!$F$21))),16,""))))</f>
        <v/>
      </c>
      <c r="R164">
        <f>IF('Recurring Schedule'!$C$22="","",IF('Recurring Schedule'!$F$22="","",IF(OR($A164&lt;'Recurring Schedule'!$F$22,$A164&gt;'Recurring Schedule'!$P$22),"",IF(IF('Recurring Schedule'!$N$22&gt;0,MOD($A164-'Recurring Schedule'!$F$22,'Recurring Schedule'!$N$22)=0,IF('Recurring Schedule'!$O$22&gt;0,AND(DAY($A164)=MIN(DAY('Recurring Schedule'!$F$22),DAY(EOMONTH($A164,0))),MOD((YEAR($A164)-YEAR('Recurring Schedule'!$F$22))*12+MONTH($A164)-MONTH('Recurring Schedule'!$F$22),'Recurring Schedule'!$O$22)=0),IF('Recurring Schedule'!$E$22="Weekdays",WEEKDAY($A164,2)&lt;=5,$A164='Recurring Schedule'!$F$22))),17,""))))</f>
        <v/>
      </c>
      <c r="S164">
        <f>IF('Recurring Schedule'!$C$23="","",IF('Recurring Schedule'!$F$23="","",IF(OR($A164&lt;'Recurring Schedule'!$F$23,$A164&gt;'Recurring Schedule'!$P$23),"",IF(IF('Recurring Schedule'!$N$23&gt;0,MOD($A164-'Recurring Schedule'!$F$23,'Recurring Schedule'!$N$23)=0,IF('Recurring Schedule'!$O$23&gt;0,AND(DAY($A164)=MIN(DAY('Recurring Schedule'!$F$23),DAY(EOMONTH($A164,0))),MOD((YEAR($A164)-YEAR('Recurring Schedule'!$F$23))*12+MONTH($A164)-MONTH('Recurring Schedule'!$F$23),'Recurring Schedule'!$O$23)=0),IF('Recurring Schedule'!$E$23="Weekdays",WEEKDAY($A164,2)&lt;=5,$A164='Recurring Schedule'!$F$23))),18,""))))</f>
        <v/>
      </c>
      <c r="T164">
        <f>IF('Recurring Schedule'!$C$24="","",IF('Recurring Schedule'!$F$24="","",IF(OR($A164&lt;'Recurring Schedule'!$F$24,$A164&gt;'Recurring Schedule'!$P$24),"",IF(IF('Recurring Schedule'!$N$24&gt;0,MOD($A164-'Recurring Schedule'!$F$24,'Recurring Schedule'!$N$24)=0,IF('Recurring Schedule'!$O$24&gt;0,AND(DAY($A164)=MIN(DAY('Recurring Schedule'!$F$24),DAY(EOMONTH($A164,0))),MOD((YEAR($A164)-YEAR('Recurring Schedule'!$F$24))*12+MONTH($A164)-MONTH('Recurring Schedule'!$F$24),'Recurring Schedule'!$O$24)=0),IF('Recurring Schedule'!$E$24="Weekdays",WEEKDAY($A164,2)&lt;=5,$A164='Recurring Schedule'!$F$24))),19,""))))</f>
        <v/>
      </c>
      <c r="U164">
        <f>IF('Recurring Schedule'!$C$25="","",IF('Recurring Schedule'!$F$25="","",IF(OR($A164&lt;'Recurring Schedule'!$F$25,$A164&gt;'Recurring Schedule'!$P$25),"",IF(IF('Recurring Schedule'!$N$25&gt;0,MOD($A164-'Recurring Schedule'!$F$25,'Recurring Schedule'!$N$25)=0,IF('Recurring Schedule'!$O$25&gt;0,AND(DAY($A164)=MIN(DAY('Recurring Schedule'!$F$25),DAY(EOMONTH($A164,0))),MOD((YEAR($A164)-YEAR('Recurring Schedule'!$F$25))*12+MONTH($A164)-MONTH('Recurring Schedule'!$F$25),'Recurring Schedule'!$O$25)=0),IF('Recurring Schedule'!$E$25="Weekdays",WEEKDAY($A164,2)&lt;=5,$A164='Recurring Schedule'!$F$25))),20,""))))</f>
        <v/>
      </c>
      <c r="V164">
        <f>IF('Recurring Schedule'!$C$26="","",IF('Recurring Schedule'!$F$26="","",IF(OR($A164&lt;'Recurring Schedule'!$F$26,$A164&gt;'Recurring Schedule'!$P$26),"",IF(IF('Recurring Schedule'!$N$26&gt;0,MOD($A164-'Recurring Schedule'!$F$26,'Recurring Schedule'!$N$26)=0,IF('Recurring Schedule'!$O$26&gt;0,AND(DAY($A164)=MIN(DAY('Recurring Schedule'!$F$26),DAY(EOMONTH($A164,0))),MOD((YEAR($A164)-YEAR('Recurring Schedule'!$F$26))*12+MONTH($A164)-MONTH('Recurring Schedule'!$F$26),'Recurring Schedule'!$O$26)=0),IF('Recurring Schedule'!$E$26="Weekdays",WEEKDAY($A164,2)&lt;=5,$A164='Recurring Schedule'!$F$26))),21,""))))</f>
        <v/>
      </c>
      <c r="W164">
        <f>IF('Recurring Schedule'!$C$27="","",IF('Recurring Schedule'!$F$27="","",IF(OR($A164&lt;'Recurring Schedule'!$F$27,$A164&gt;'Recurring Schedule'!$P$27),"",IF(IF('Recurring Schedule'!$N$27&gt;0,MOD($A164-'Recurring Schedule'!$F$27,'Recurring Schedule'!$N$27)=0,IF('Recurring Schedule'!$O$27&gt;0,AND(DAY($A164)=MIN(DAY('Recurring Schedule'!$F$27),DAY(EOMONTH($A164,0))),MOD((YEAR($A164)-YEAR('Recurring Schedule'!$F$27))*12+MONTH($A164)-MONTH('Recurring Schedule'!$F$27),'Recurring Schedule'!$O$27)=0),IF('Recurring Schedule'!$E$27="Weekdays",WEEKDAY($A164,2)&lt;=5,$A164='Recurring Schedule'!$F$27))),22,""))))</f>
        <v/>
      </c>
      <c r="X164">
        <f>IF('Recurring Schedule'!$C$28="","",IF('Recurring Schedule'!$F$28="","",IF(OR($A164&lt;'Recurring Schedule'!$F$28,$A164&gt;'Recurring Schedule'!$P$28),"",IF(IF('Recurring Schedule'!$N$28&gt;0,MOD($A164-'Recurring Schedule'!$F$28,'Recurring Schedule'!$N$28)=0,IF('Recurring Schedule'!$O$28&gt;0,AND(DAY($A164)=MIN(DAY('Recurring Schedule'!$F$28),DAY(EOMONTH($A164,0))),MOD((YEAR($A164)-YEAR('Recurring Schedule'!$F$28))*12+MONTH($A164)-MONTH('Recurring Schedule'!$F$28),'Recurring Schedule'!$O$28)=0),IF('Recurring Schedule'!$E$28="Weekdays",WEEKDAY($A164,2)&lt;=5,$A164='Recurring Schedule'!$F$28))),23,""))))</f>
        <v/>
      </c>
      <c r="Y164">
        <f>IF('Recurring Schedule'!$C$29="","",IF('Recurring Schedule'!$F$29="","",IF(OR($A164&lt;'Recurring Schedule'!$F$29,$A164&gt;'Recurring Schedule'!$P$29),"",IF(IF('Recurring Schedule'!$N$29&gt;0,MOD($A164-'Recurring Schedule'!$F$29,'Recurring Schedule'!$N$29)=0,IF('Recurring Schedule'!$O$29&gt;0,AND(DAY($A164)=MIN(DAY('Recurring Schedule'!$F$29),DAY(EOMONTH($A164,0))),MOD((YEAR($A164)-YEAR('Recurring Schedule'!$F$29))*12+MONTH($A164)-MONTH('Recurring Schedule'!$F$29),'Recurring Schedule'!$O$29)=0),IF('Recurring Schedule'!$E$29="Weekdays",WEEKDAY($A164,2)&lt;=5,$A164='Recurring Schedule'!$F$29))),24,""))))</f>
        <v/>
      </c>
      <c r="Z164">
        <f>IF('Recurring Schedule'!$C$30="","",IF('Recurring Schedule'!$F$30="","",IF(OR($A164&lt;'Recurring Schedule'!$F$30,$A164&gt;'Recurring Schedule'!$P$30),"",IF(IF('Recurring Schedule'!$N$30&gt;0,MOD($A164-'Recurring Schedule'!$F$30,'Recurring Schedule'!$N$30)=0,IF('Recurring Schedule'!$O$30&gt;0,AND(DAY($A164)=MIN(DAY('Recurring Schedule'!$F$30),DAY(EOMONTH($A164,0))),MOD((YEAR($A164)-YEAR('Recurring Schedule'!$F$30))*12+MONTH($A164)-MONTH('Recurring Schedule'!$F$30),'Recurring Schedule'!$O$30)=0),IF('Recurring Schedule'!$E$30="Weekdays",WEEKDAY($A164,2)&lt;=5,$A164='Recurring Schedule'!$F$30))),25,""))))</f>
        <v/>
      </c>
      <c r="AA164">
        <f>IF('Recurring Schedule'!$C$31="","",IF('Recurring Schedule'!$F$31="","",IF(OR($A164&lt;'Recurring Schedule'!$F$31,$A164&gt;'Recurring Schedule'!$P$31),"",IF(IF('Recurring Schedule'!$N$31&gt;0,MOD($A164-'Recurring Schedule'!$F$31,'Recurring Schedule'!$N$31)=0,IF('Recurring Schedule'!$O$31&gt;0,AND(DAY($A164)=MIN(DAY('Recurring Schedule'!$F$31),DAY(EOMONTH($A164,0))),MOD((YEAR($A164)-YEAR('Recurring Schedule'!$F$31))*12+MONTH($A164)-MONTH('Recurring Schedule'!$F$31),'Recurring Schedule'!$O$31)=0),IF('Recurring Schedule'!$E$31="Weekdays",WEEKDAY($A164,2)&lt;=5,$A164='Recurring Schedule'!$F$31))),26,""))))</f>
        <v/>
      </c>
      <c r="AB164">
        <f>IF('Recurring Schedule'!$C$32="","",IF('Recurring Schedule'!$F$32="","",IF(OR($A164&lt;'Recurring Schedule'!$F$32,$A164&gt;'Recurring Schedule'!$P$32),"",IF(IF('Recurring Schedule'!$N$32&gt;0,MOD($A164-'Recurring Schedule'!$F$32,'Recurring Schedule'!$N$32)=0,IF('Recurring Schedule'!$O$32&gt;0,AND(DAY($A164)=MIN(DAY('Recurring Schedule'!$F$32),DAY(EOMONTH($A164,0))),MOD((YEAR($A164)-YEAR('Recurring Schedule'!$F$32))*12+MONTH($A164)-MONTH('Recurring Schedule'!$F$32),'Recurring Schedule'!$O$32)=0),IF('Recurring Schedule'!$E$32="Weekdays",WEEKDAY($A164,2)&lt;=5,$A164='Recurring Schedule'!$F$32))),27,""))))</f>
        <v/>
      </c>
      <c r="AC164">
        <f>IF('Recurring Schedule'!$C$33="","",IF('Recurring Schedule'!$F$33="","",IF(OR($A164&lt;'Recurring Schedule'!$F$33,$A164&gt;'Recurring Schedule'!$P$33),"",IF(IF('Recurring Schedule'!$N$33&gt;0,MOD($A164-'Recurring Schedule'!$F$33,'Recurring Schedule'!$N$33)=0,IF('Recurring Schedule'!$O$33&gt;0,AND(DAY($A164)=MIN(DAY('Recurring Schedule'!$F$33),DAY(EOMONTH($A164,0))),MOD((YEAR($A164)-YEAR('Recurring Schedule'!$F$33))*12+MONTH($A164)-MONTH('Recurring Schedule'!$F$33),'Recurring Schedule'!$O$33)=0),IF('Recurring Schedule'!$E$33="Weekdays",WEEKDAY($A164,2)&lt;=5,$A164='Recurring Schedule'!$F$33))),28,""))))</f>
        <v/>
      </c>
      <c r="AD164">
        <f>IF('Recurring Schedule'!$C$34="","",IF('Recurring Schedule'!$F$34="","",IF(OR($A164&lt;'Recurring Schedule'!$F$34,$A164&gt;'Recurring Schedule'!$P$34),"",IF(IF('Recurring Schedule'!$N$34&gt;0,MOD($A164-'Recurring Schedule'!$F$34,'Recurring Schedule'!$N$34)=0,IF('Recurring Schedule'!$O$34&gt;0,AND(DAY($A164)=MIN(DAY('Recurring Schedule'!$F$34),DAY(EOMONTH($A164,0))),MOD((YEAR($A164)-YEAR('Recurring Schedule'!$F$34))*12+MONTH($A164)-MONTH('Recurring Schedule'!$F$34),'Recurring Schedule'!$O$34)=0),IF('Recurring Schedule'!$E$34="Weekdays",WEEKDAY($A164,2)&lt;=5,$A164='Recurring Schedule'!$F$34))),29,""))))</f>
        <v/>
      </c>
      <c r="AE164">
        <f>IF('Recurring Schedule'!$C$35="","",IF('Recurring Schedule'!$F$35="","",IF(OR($A164&lt;'Recurring Schedule'!$F$35,$A164&gt;'Recurring Schedule'!$P$35),"",IF(IF('Recurring Schedule'!$N$35&gt;0,MOD($A164-'Recurring Schedule'!$F$35,'Recurring Schedule'!$N$35)=0,IF('Recurring Schedule'!$O$35&gt;0,AND(DAY($A164)=MIN(DAY('Recurring Schedule'!$F$35),DAY(EOMONTH($A164,0))),MOD((YEAR($A164)-YEAR('Recurring Schedule'!$F$35))*12+MONTH($A164)-MONTH('Recurring Schedule'!$F$35),'Recurring Schedule'!$O$35)=0),IF('Recurring Schedule'!$E$35="Weekdays",WEEKDAY($A164,2)&lt;=5,$A164='Recurring Schedule'!$F$35))),30,""))))</f>
        <v/>
      </c>
      <c r="AF164">
        <f>IF('Recurring Schedule'!$C$36="","",IF('Recurring Schedule'!$F$36="","",IF(OR($A164&lt;'Recurring Schedule'!$F$36,$A164&gt;'Recurring Schedule'!$P$36),"",IF(IF('Recurring Schedule'!$N$36&gt;0,MOD($A164-'Recurring Schedule'!$F$36,'Recurring Schedule'!$N$36)=0,IF('Recurring Schedule'!$O$36&gt;0,AND(DAY($A164)=MIN(DAY('Recurring Schedule'!$F$36),DAY(EOMONTH($A164,0))),MOD((YEAR($A164)-YEAR('Recurring Schedule'!$F$36))*12+MONTH($A164)-MONTH('Recurring Schedule'!$F$36),'Recurring Schedule'!$O$36)=0),IF('Recurring Schedule'!$E$36="Weekdays",WEEKDAY($A164,2)&lt;=5,$A164='Recurring Schedule'!$F$36))),31,""))))</f>
        <v/>
      </c>
      <c r="AG164">
        <f>IF('Recurring Schedule'!$C$37="","",IF('Recurring Schedule'!$F$37="","",IF(OR($A164&lt;'Recurring Schedule'!$F$37,$A164&gt;'Recurring Schedule'!$P$37),"",IF(IF('Recurring Schedule'!$N$37&gt;0,MOD($A164-'Recurring Schedule'!$F$37,'Recurring Schedule'!$N$37)=0,IF('Recurring Schedule'!$O$37&gt;0,AND(DAY($A164)=MIN(DAY('Recurring Schedule'!$F$37),DAY(EOMONTH($A164,0))),MOD((YEAR($A164)-YEAR('Recurring Schedule'!$F$37))*12+MONTH($A164)-MONTH('Recurring Schedule'!$F$37),'Recurring Schedule'!$O$37)=0),IF('Recurring Schedule'!$E$37="Weekdays",WEEKDAY($A164,2)&lt;=5,$A164='Recurring Schedule'!$F$37))),32,""))))</f>
        <v/>
      </c>
      <c r="AH164">
        <f>IF('Recurring Schedule'!$C$38="","",IF('Recurring Schedule'!$F$38="","",IF(OR($A164&lt;'Recurring Schedule'!$F$38,$A164&gt;'Recurring Schedule'!$P$38),"",IF(IF('Recurring Schedule'!$N$38&gt;0,MOD($A164-'Recurring Schedule'!$F$38,'Recurring Schedule'!$N$38)=0,IF('Recurring Schedule'!$O$38&gt;0,AND(DAY($A164)=MIN(DAY('Recurring Schedule'!$F$38),DAY(EOMONTH($A164,0))),MOD((YEAR($A164)-YEAR('Recurring Schedule'!$F$38))*12+MONTH($A164)-MONTH('Recurring Schedule'!$F$38),'Recurring Schedule'!$O$38)=0),IF('Recurring Schedule'!$E$38="Weekdays",WEEKDAY($A164,2)&lt;=5,$A164='Recurring Schedule'!$F$38))),33,""))))</f>
        <v/>
      </c>
      <c r="AI164">
        <f>IF('Recurring Schedule'!$C$39="","",IF('Recurring Schedule'!$F$39="","",IF(OR($A164&lt;'Recurring Schedule'!$F$39,$A164&gt;'Recurring Schedule'!$P$39),"",IF(IF('Recurring Schedule'!$N$39&gt;0,MOD($A164-'Recurring Schedule'!$F$39,'Recurring Schedule'!$N$39)=0,IF('Recurring Schedule'!$O$39&gt;0,AND(DAY($A164)=MIN(DAY('Recurring Schedule'!$F$39),DAY(EOMONTH($A164,0))),MOD((YEAR($A164)-YEAR('Recurring Schedule'!$F$39))*12+MONTH($A164)-MONTH('Recurring Schedule'!$F$39),'Recurring Schedule'!$O$39)=0),IF('Recurring Schedule'!$E$39="Weekdays",WEEKDAY($A164,2)&lt;=5,$A164='Recurring Schedule'!$F$39))),34,""))))</f>
        <v/>
      </c>
      <c r="AJ164">
        <f>IF('Recurring Schedule'!$C$40="","",IF('Recurring Schedule'!$F$40="","",IF(OR($A164&lt;'Recurring Schedule'!$F$40,$A164&gt;'Recurring Schedule'!$P$40),"",IF(IF('Recurring Schedule'!$N$40&gt;0,MOD($A164-'Recurring Schedule'!$F$40,'Recurring Schedule'!$N$40)=0,IF('Recurring Schedule'!$O$40&gt;0,AND(DAY($A164)=MIN(DAY('Recurring Schedule'!$F$40),DAY(EOMONTH($A164,0))),MOD((YEAR($A164)-YEAR('Recurring Schedule'!$F$40))*12+MONTH($A164)-MONTH('Recurring Schedule'!$F$40),'Recurring Schedule'!$O$40)=0),IF('Recurring Schedule'!$E$40="Weekdays",WEEKDAY($A164,2)&lt;=5,$A164='Recurring Schedule'!$F$40))),35,""))))</f>
        <v/>
      </c>
      <c r="AK164">
        <f>IF('Recurring Schedule'!$C$41="","",IF('Recurring Schedule'!$F$41="","",IF(OR($A164&lt;'Recurring Schedule'!$F$41,$A164&gt;'Recurring Schedule'!$P$41),"",IF(IF('Recurring Schedule'!$N$41&gt;0,MOD($A164-'Recurring Schedule'!$F$41,'Recurring Schedule'!$N$41)=0,IF('Recurring Schedule'!$O$41&gt;0,AND(DAY($A164)=MIN(DAY('Recurring Schedule'!$F$41),DAY(EOMONTH($A164,0))),MOD((YEAR($A164)-YEAR('Recurring Schedule'!$F$41))*12+MONTH($A164)-MONTH('Recurring Schedule'!$F$41),'Recurring Schedule'!$O$41)=0),IF('Recurring Schedule'!$E$41="Weekdays",WEEKDAY($A164,2)&lt;=5,$A164='Recurring Schedule'!$F$41))),36,""))))</f>
        <v/>
      </c>
      <c r="AL164">
        <f>IF('Recurring Schedule'!$C$42="","",IF('Recurring Schedule'!$F$42="","",IF(OR($A164&lt;'Recurring Schedule'!$F$42,$A164&gt;'Recurring Schedule'!$P$42),"",IF(IF('Recurring Schedule'!$N$42&gt;0,MOD($A164-'Recurring Schedule'!$F$42,'Recurring Schedule'!$N$42)=0,IF('Recurring Schedule'!$O$42&gt;0,AND(DAY($A164)=MIN(DAY('Recurring Schedule'!$F$42),DAY(EOMONTH($A164,0))),MOD((YEAR($A164)-YEAR('Recurring Schedule'!$F$42))*12+MONTH($A164)-MONTH('Recurring Schedule'!$F$42),'Recurring Schedule'!$O$42)=0),IF('Recurring Schedule'!$E$42="Weekdays",WEEKDAY($A164,2)&lt;=5,$A164='Recurring Schedule'!$F$42))),37,""))))</f>
        <v/>
      </c>
      <c r="AM164">
        <f>IF('Recurring Schedule'!$C$43="","",IF('Recurring Schedule'!$F$43="","",IF(OR($A164&lt;'Recurring Schedule'!$F$43,$A164&gt;'Recurring Schedule'!$P$43),"",IF(IF('Recurring Schedule'!$N$43&gt;0,MOD($A164-'Recurring Schedule'!$F$43,'Recurring Schedule'!$N$43)=0,IF('Recurring Schedule'!$O$43&gt;0,AND(DAY($A164)=MIN(DAY('Recurring Schedule'!$F$43),DAY(EOMONTH($A164,0))),MOD((YEAR($A164)-YEAR('Recurring Schedule'!$F$43))*12+MONTH($A164)-MONTH('Recurring Schedule'!$F$43),'Recurring Schedule'!$O$43)=0),IF('Recurring Schedule'!$E$43="Weekdays",WEEKDAY($A164,2)&lt;=5,$A164='Recurring Schedule'!$F$43))),38,""))))</f>
        <v/>
      </c>
      <c r="AN164">
        <f>IF('Recurring Schedule'!$C$44="","",IF('Recurring Schedule'!$F$44="","",IF(OR($A164&lt;'Recurring Schedule'!$F$44,$A164&gt;'Recurring Schedule'!$P$44),"",IF(IF('Recurring Schedule'!$N$44&gt;0,MOD($A164-'Recurring Schedule'!$F$44,'Recurring Schedule'!$N$44)=0,IF('Recurring Schedule'!$O$44&gt;0,AND(DAY($A164)=MIN(DAY('Recurring Schedule'!$F$44),DAY(EOMONTH($A164,0))),MOD((YEAR($A164)-YEAR('Recurring Schedule'!$F$44))*12+MONTH($A164)-MONTH('Recurring Schedule'!$F$44),'Recurring Schedule'!$O$44)=0),IF('Recurring Schedule'!$E$44="Weekdays",WEEKDAY($A164,2)&lt;=5,$A164='Recurring Schedule'!$F$44))),39,""))))</f>
        <v/>
      </c>
      <c r="AO164">
        <f>IF('Recurring Schedule'!$C$45="","",IF('Recurring Schedule'!$F$45="","",IF(OR($A164&lt;'Recurring Schedule'!$F$45,$A164&gt;'Recurring Schedule'!$P$45),"",IF(IF('Recurring Schedule'!$N$45&gt;0,MOD($A164-'Recurring Schedule'!$F$45,'Recurring Schedule'!$N$45)=0,IF('Recurring Schedule'!$O$45&gt;0,AND(DAY($A164)=MIN(DAY('Recurring Schedule'!$F$45),DAY(EOMONTH($A164,0))),MOD((YEAR($A164)-YEAR('Recurring Schedule'!$F$45))*12+MONTH($A164)-MONTH('Recurring Schedule'!$F$45),'Recurring Schedule'!$O$45)=0),IF('Recurring Schedule'!$E$45="Weekdays",WEEKDAY($A164,2)&lt;=5,$A164='Recurring Schedule'!$F$45))),40,""))))</f>
        <v/>
      </c>
      <c r="AP164">
        <f>COUNT(B164:AO164)</f>
        <v/>
      </c>
      <c r="AQ164">
        <f>AQ163+AP163</f>
        <v/>
      </c>
      <c r="AS164" t="inlineStr">
        <is>
          <t>R</t>
        </is>
      </c>
      <c r="AT164" t="n">
        <v>168</v>
      </c>
      <c r="AU164">
        <f>'Recurring Log'!C168&amp;""</f>
        <v/>
      </c>
      <c r="AV164">
        <f>'Recurring Log'!D168&amp;""</f>
        <v/>
      </c>
      <c r="AW164">
        <f>IF('Recurring Log'!E168="","",'Recurring Log'!E168)</f>
        <v/>
      </c>
      <c r="AX164">
        <f>IF('Recurring Log'!G168="","",'Recurring Log'!G168)</f>
        <v/>
      </c>
      <c r="AY164">
        <f>IF('Recurring Log'!H168="","",'Recurring Log'!H168)</f>
        <v/>
      </c>
      <c r="AZ164">
        <f>IF(AU164="","",IF('Recurring Log'!J168="","Not Started",'Recurring Log'!J168))</f>
        <v/>
      </c>
      <c r="BA164">
        <f>'Recurring Log'!L168&amp;""</f>
        <v/>
      </c>
      <c r="BB164">
        <f>'Recurring Log'!M168&amp;""</f>
        <v/>
      </c>
      <c r="BC164">
        <f>'Recurring Log'!N168&amp;""</f>
        <v/>
      </c>
      <c r="BD164">
        <f>'Recurring Log'!O168&amp;""</f>
        <v/>
      </c>
      <c r="BE164">
        <f>IF('Recurring Log'!K168="","",'Recurring Log'!K168)</f>
        <v/>
      </c>
      <c r="BF164">
        <f>IFERROR(MATCH(BA164,Setup!$L$6:$L$9,0),5)</f>
        <v/>
      </c>
      <c r="BG164">
        <f>IF(OR(AZ164="Done",AZ164="Cancelled"),1,0)</f>
        <v/>
      </c>
      <c r="BH164">
        <f>IF(AND(AU164&lt;&gt;"",ISNUMBER(AW164)),1,0)</f>
        <v/>
      </c>
      <c r="BI164">
        <f>IF(BH164=0,0,IF(AND(AW164&gt;='Tasks Filter'!$F$3,AW164&lt;='Tasks Filter'!$F$4,OR('Tasks Filter'!$I$3="",ISNUMBER(SEARCH('Tasks Filter'!$I$3,AU164))),OR('Tasks Filter'!$I$4="",BF164=IFERROR(MATCH('Tasks Filter'!$I$4,Setup!$L$6:$L$9,0),0)),OR('Tasks Filter'!$I$5="Both",AND('Tasks Filter'!$I$5="Yes",BB164="✓"),AND('Tasks Filter'!$I$5="No",BB164&lt;&gt;"✓")),OR('Tasks Filter'!$L$3="",AV164='Tasks Filter'!$L$3),OR('Tasks Filter'!$L$4="",AZ164='Tasks Filter'!$L$4),OR('Tasks Filter'!$L$5="",BC164='Tasks Filter'!$L$5),OR('Tasks Filter'!$O$3="",BD164='Tasks Filter'!$O$3),OR('Tasks Filter'!$O$4="Yes",BG164=0)),1,0))</f>
        <v/>
      </c>
      <c r="BJ164">
        <f>IF(BH164=0,"",IF('Tasks Filter'!$F$6="Descending",-1,1)*CHOOSE(MATCH('Tasks Filter'!$F$5,Lists!$G$2:$G$6,0),AW164,BF164,IFERROR(MATCH(AV164,Setup!$F$6:$F$15,0),99),IFERROR(MATCH(BC164,Setup!$H$6:$H$15,0),99),IFERROR(MATCH(AZ164,Setup!$J$6:$J$11,0),99))*1E+9+(AW164-40000)*10000+163)</f>
        <v/>
      </c>
      <c r="BK164">
        <f>IF(BI164=1,BJ164,"")</f>
        <v/>
      </c>
      <c r="BL164">
        <f>IF(AND(BH164=1,BG164=0,N(AW164)&lt;Setup!$D$7),(AW164-40000)*10000+163,"")</f>
        <v/>
      </c>
      <c r="BM164">
        <f>IF(AND(BH164=1,AZ164&lt;&gt;"Cancelled",N(AW164)&gt;=Dashboard!$AB$3,N(AW164)&lt;=Dashboard!$AB$3+6),(AW164-40000)*100000+BF164*10000+163,"")</f>
        <v/>
      </c>
      <c r="BN164">
        <f>IF(AND(BH164=1,AZ164&lt;&gt;"Cancelled"),BF164*10000+163,"")</f>
        <v/>
      </c>
    </row>
    <row r="165">
      <c r="A165">
        <f>Setup!$D$5+163</f>
        <v/>
      </c>
      <c r="B165">
        <f>IF('Recurring Schedule'!$C$6="","",IF('Recurring Schedule'!$F$6="","",IF(OR($A165&lt;'Recurring Schedule'!$F$6,$A165&gt;'Recurring Schedule'!$P$6),"",IF(IF('Recurring Schedule'!$N$6&gt;0,MOD($A165-'Recurring Schedule'!$F$6,'Recurring Schedule'!$N$6)=0,IF('Recurring Schedule'!$O$6&gt;0,AND(DAY($A165)=MIN(DAY('Recurring Schedule'!$F$6),DAY(EOMONTH($A165,0))),MOD((YEAR($A165)-YEAR('Recurring Schedule'!$F$6))*12+MONTH($A165)-MONTH('Recurring Schedule'!$F$6),'Recurring Schedule'!$O$6)=0),IF('Recurring Schedule'!$E$6="Weekdays",WEEKDAY($A165,2)&lt;=5,$A165='Recurring Schedule'!$F$6))),1,""))))</f>
        <v/>
      </c>
      <c r="C165">
        <f>IF('Recurring Schedule'!$C$7="","",IF('Recurring Schedule'!$F$7="","",IF(OR($A165&lt;'Recurring Schedule'!$F$7,$A165&gt;'Recurring Schedule'!$P$7),"",IF(IF('Recurring Schedule'!$N$7&gt;0,MOD($A165-'Recurring Schedule'!$F$7,'Recurring Schedule'!$N$7)=0,IF('Recurring Schedule'!$O$7&gt;0,AND(DAY($A165)=MIN(DAY('Recurring Schedule'!$F$7),DAY(EOMONTH($A165,0))),MOD((YEAR($A165)-YEAR('Recurring Schedule'!$F$7))*12+MONTH($A165)-MONTH('Recurring Schedule'!$F$7),'Recurring Schedule'!$O$7)=0),IF('Recurring Schedule'!$E$7="Weekdays",WEEKDAY($A165,2)&lt;=5,$A165='Recurring Schedule'!$F$7))),2,""))))</f>
        <v/>
      </c>
      <c r="D165">
        <f>IF('Recurring Schedule'!$C$8="","",IF('Recurring Schedule'!$F$8="","",IF(OR($A165&lt;'Recurring Schedule'!$F$8,$A165&gt;'Recurring Schedule'!$P$8),"",IF(IF('Recurring Schedule'!$N$8&gt;0,MOD($A165-'Recurring Schedule'!$F$8,'Recurring Schedule'!$N$8)=0,IF('Recurring Schedule'!$O$8&gt;0,AND(DAY($A165)=MIN(DAY('Recurring Schedule'!$F$8),DAY(EOMONTH($A165,0))),MOD((YEAR($A165)-YEAR('Recurring Schedule'!$F$8))*12+MONTH($A165)-MONTH('Recurring Schedule'!$F$8),'Recurring Schedule'!$O$8)=0),IF('Recurring Schedule'!$E$8="Weekdays",WEEKDAY($A165,2)&lt;=5,$A165='Recurring Schedule'!$F$8))),3,""))))</f>
        <v/>
      </c>
      <c r="E165">
        <f>IF('Recurring Schedule'!$C$9="","",IF('Recurring Schedule'!$F$9="","",IF(OR($A165&lt;'Recurring Schedule'!$F$9,$A165&gt;'Recurring Schedule'!$P$9),"",IF(IF('Recurring Schedule'!$N$9&gt;0,MOD($A165-'Recurring Schedule'!$F$9,'Recurring Schedule'!$N$9)=0,IF('Recurring Schedule'!$O$9&gt;0,AND(DAY($A165)=MIN(DAY('Recurring Schedule'!$F$9),DAY(EOMONTH($A165,0))),MOD((YEAR($A165)-YEAR('Recurring Schedule'!$F$9))*12+MONTH($A165)-MONTH('Recurring Schedule'!$F$9),'Recurring Schedule'!$O$9)=0),IF('Recurring Schedule'!$E$9="Weekdays",WEEKDAY($A165,2)&lt;=5,$A165='Recurring Schedule'!$F$9))),4,""))))</f>
        <v/>
      </c>
      <c r="F165">
        <f>IF('Recurring Schedule'!$C$10="","",IF('Recurring Schedule'!$F$10="","",IF(OR($A165&lt;'Recurring Schedule'!$F$10,$A165&gt;'Recurring Schedule'!$P$10),"",IF(IF('Recurring Schedule'!$N$10&gt;0,MOD($A165-'Recurring Schedule'!$F$10,'Recurring Schedule'!$N$10)=0,IF('Recurring Schedule'!$O$10&gt;0,AND(DAY($A165)=MIN(DAY('Recurring Schedule'!$F$10),DAY(EOMONTH($A165,0))),MOD((YEAR($A165)-YEAR('Recurring Schedule'!$F$10))*12+MONTH($A165)-MONTH('Recurring Schedule'!$F$10),'Recurring Schedule'!$O$10)=0),IF('Recurring Schedule'!$E$10="Weekdays",WEEKDAY($A165,2)&lt;=5,$A165='Recurring Schedule'!$F$10))),5,""))))</f>
        <v/>
      </c>
      <c r="G165">
        <f>IF('Recurring Schedule'!$C$11="","",IF('Recurring Schedule'!$F$11="","",IF(OR($A165&lt;'Recurring Schedule'!$F$11,$A165&gt;'Recurring Schedule'!$P$11),"",IF(IF('Recurring Schedule'!$N$11&gt;0,MOD($A165-'Recurring Schedule'!$F$11,'Recurring Schedule'!$N$11)=0,IF('Recurring Schedule'!$O$11&gt;0,AND(DAY($A165)=MIN(DAY('Recurring Schedule'!$F$11),DAY(EOMONTH($A165,0))),MOD((YEAR($A165)-YEAR('Recurring Schedule'!$F$11))*12+MONTH($A165)-MONTH('Recurring Schedule'!$F$11),'Recurring Schedule'!$O$11)=0),IF('Recurring Schedule'!$E$11="Weekdays",WEEKDAY($A165,2)&lt;=5,$A165='Recurring Schedule'!$F$11))),6,""))))</f>
        <v/>
      </c>
      <c r="H165">
        <f>IF('Recurring Schedule'!$C$12="","",IF('Recurring Schedule'!$F$12="","",IF(OR($A165&lt;'Recurring Schedule'!$F$12,$A165&gt;'Recurring Schedule'!$P$12),"",IF(IF('Recurring Schedule'!$N$12&gt;0,MOD($A165-'Recurring Schedule'!$F$12,'Recurring Schedule'!$N$12)=0,IF('Recurring Schedule'!$O$12&gt;0,AND(DAY($A165)=MIN(DAY('Recurring Schedule'!$F$12),DAY(EOMONTH($A165,0))),MOD((YEAR($A165)-YEAR('Recurring Schedule'!$F$12))*12+MONTH($A165)-MONTH('Recurring Schedule'!$F$12),'Recurring Schedule'!$O$12)=0),IF('Recurring Schedule'!$E$12="Weekdays",WEEKDAY($A165,2)&lt;=5,$A165='Recurring Schedule'!$F$12))),7,""))))</f>
        <v/>
      </c>
      <c r="I165">
        <f>IF('Recurring Schedule'!$C$13="","",IF('Recurring Schedule'!$F$13="","",IF(OR($A165&lt;'Recurring Schedule'!$F$13,$A165&gt;'Recurring Schedule'!$P$13),"",IF(IF('Recurring Schedule'!$N$13&gt;0,MOD($A165-'Recurring Schedule'!$F$13,'Recurring Schedule'!$N$13)=0,IF('Recurring Schedule'!$O$13&gt;0,AND(DAY($A165)=MIN(DAY('Recurring Schedule'!$F$13),DAY(EOMONTH($A165,0))),MOD((YEAR($A165)-YEAR('Recurring Schedule'!$F$13))*12+MONTH($A165)-MONTH('Recurring Schedule'!$F$13),'Recurring Schedule'!$O$13)=0),IF('Recurring Schedule'!$E$13="Weekdays",WEEKDAY($A165,2)&lt;=5,$A165='Recurring Schedule'!$F$13))),8,""))))</f>
        <v/>
      </c>
      <c r="J165">
        <f>IF('Recurring Schedule'!$C$14="","",IF('Recurring Schedule'!$F$14="","",IF(OR($A165&lt;'Recurring Schedule'!$F$14,$A165&gt;'Recurring Schedule'!$P$14),"",IF(IF('Recurring Schedule'!$N$14&gt;0,MOD($A165-'Recurring Schedule'!$F$14,'Recurring Schedule'!$N$14)=0,IF('Recurring Schedule'!$O$14&gt;0,AND(DAY($A165)=MIN(DAY('Recurring Schedule'!$F$14),DAY(EOMONTH($A165,0))),MOD((YEAR($A165)-YEAR('Recurring Schedule'!$F$14))*12+MONTH($A165)-MONTH('Recurring Schedule'!$F$14),'Recurring Schedule'!$O$14)=0),IF('Recurring Schedule'!$E$14="Weekdays",WEEKDAY($A165,2)&lt;=5,$A165='Recurring Schedule'!$F$14))),9,""))))</f>
        <v/>
      </c>
      <c r="K165">
        <f>IF('Recurring Schedule'!$C$15="","",IF('Recurring Schedule'!$F$15="","",IF(OR($A165&lt;'Recurring Schedule'!$F$15,$A165&gt;'Recurring Schedule'!$P$15),"",IF(IF('Recurring Schedule'!$N$15&gt;0,MOD($A165-'Recurring Schedule'!$F$15,'Recurring Schedule'!$N$15)=0,IF('Recurring Schedule'!$O$15&gt;0,AND(DAY($A165)=MIN(DAY('Recurring Schedule'!$F$15),DAY(EOMONTH($A165,0))),MOD((YEAR($A165)-YEAR('Recurring Schedule'!$F$15))*12+MONTH($A165)-MONTH('Recurring Schedule'!$F$15),'Recurring Schedule'!$O$15)=0),IF('Recurring Schedule'!$E$15="Weekdays",WEEKDAY($A165,2)&lt;=5,$A165='Recurring Schedule'!$F$15))),10,""))))</f>
        <v/>
      </c>
      <c r="L165">
        <f>IF('Recurring Schedule'!$C$16="","",IF('Recurring Schedule'!$F$16="","",IF(OR($A165&lt;'Recurring Schedule'!$F$16,$A165&gt;'Recurring Schedule'!$P$16),"",IF(IF('Recurring Schedule'!$N$16&gt;0,MOD($A165-'Recurring Schedule'!$F$16,'Recurring Schedule'!$N$16)=0,IF('Recurring Schedule'!$O$16&gt;0,AND(DAY($A165)=MIN(DAY('Recurring Schedule'!$F$16),DAY(EOMONTH($A165,0))),MOD((YEAR($A165)-YEAR('Recurring Schedule'!$F$16))*12+MONTH($A165)-MONTH('Recurring Schedule'!$F$16),'Recurring Schedule'!$O$16)=0),IF('Recurring Schedule'!$E$16="Weekdays",WEEKDAY($A165,2)&lt;=5,$A165='Recurring Schedule'!$F$16))),11,""))))</f>
        <v/>
      </c>
      <c r="M165">
        <f>IF('Recurring Schedule'!$C$17="","",IF('Recurring Schedule'!$F$17="","",IF(OR($A165&lt;'Recurring Schedule'!$F$17,$A165&gt;'Recurring Schedule'!$P$17),"",IF(IF('Recurring Schedule'!$N$17&gt;0,MOD($A165-'Recurring Schedule'!$F$17,'Recurring Schedule'!$N$17)=0,IF('Recurring Schedule'!$O$17&gt;0,AND(DAY($A165)=MIN(DAY('Recurring Schedule'!$F$17),DAY(EOMONTH($A165,0))),MOD((YEAR($A165)-YEAR('Recurring Schedule'!$F$17))*12+MONTH($A165)-MONTH('Recurring Schedule'!$F$17),'Recurring Schedule'!$O$17)=0),IF('Recurring Schedule'!$E$17="Weekdays",WEEKDAY($A165,2)&lt;=5,$A165='Recurring Schedule'!$F$17))),12,""))))</f>
        <v/>
      </c>
      <c r="N165">
        <f>IF('Recurring Schedule'!$C$18="","",IF('Recurring Schedule'!$F$18="","",IF(OR($A165&lt;'Recurring Schedule'!$F$18,$A165&gt;'Recurring Schedule'!$P$18),"",IF(IF('Recurring Schedule'!$N$18&gt;0,MOD($A165-'Recurring Schedule'!$F$18,'Recurring Schedule'!$N$18)=0,IF('Recurring Schedule'!$O$18&gt;0,AND(DAY($A165)=MIN(DAY('Recurring Schedule'!$F$18),DAY(EOMONTH($A165,0))),MOD((YEAR($A165)-YEAR('Recurring Schedule'!$F$18))*12+MONTH($A165)-MONTH('Recurring Schedule'!$F$18),'Recurring Schedule'!$O$18)=0),IF('Recurring Schedule'!$E$18="Weekdays",WEEKDAY($A165,2)&lt;=5,$A165='Recurring Schedule'!$F$18))),13,""))))</f>
        <v/>
      </c>
      <c r="O165">
        <f>IF('Recurring Schedule'!$C$19="","",IF('Recurring Schedule'!$F$19="","",IF(OR($A165&lt;'Recurring Schedule'!$F$19,$A165&gt;'Recurring Schedule'!$P$19),"",IF(IF('Recurring Schedule'!$N$19&gt;0,MOD($A165-'Recurring Schedule'!$F$19,'Recurring Schedule'!$N$19)=0,IF('Recurring Schedule'!$O$19&gt;0,AND(DAY($A165)=MIN(DAY('Recurring Schedule'!$F$19),DAY(EOMONTH($A165,0))),MOD((YEAR($A165)-YEAR('Recurring Schedule'!$F$19))*12+MONTH($A165)-MONTH('Recurring Schedule'!$F$19),'Recurring Schedule'!$O$19)=0),IF('Recurring Schedule'!$E$19="Weekdays",WEEKDAY($A165,2)&lt;=5,$A165='Recurring Schedule'!$F$19))),14,""))))</f>
        <v/>
      </c>
      <c r="P165">
        <f>IF('Recurring Schedule'!$C$20="","",IF('Recurring Schedule'!$F$20="","",IF(OR($A165&lt;'Recurring Schedule'!$F$20,$A165&gt;'Recurring Schedule'!$P$20),"",IF(IF('Recurring Schedule'!$N$20&gt;0,MOD($A165-'Recurring Schedule'!$F$20,'Recurring Schedule'!$N$20)=0,IF('Recurring Schedule'!$O$20&gt;0,AND(DAY($A165)=MIN(DAY('Recurring Schedule'!$F$20),DAY(EOMONTH($A165,0))),MOD((YEAR($A165)-YEAR('Recurring Schedule'!$F$20))*12+MONTH($A165)-MONTH('Recurring Schedule'!$F$20),'Recurring Schedule'!$O$20)=0),IF('Recurring Schedule'!$E$20="Weekdays",WEEKDAY($A165,2)&lt;=5,$A165='Recurring Schedule'!$F$20))),15,""))))</f>
        <v/>
      </c>
      <c r="Q165">
        <f>IF('Recurring Schedule'!$C$21="","",IF('Recurring Schedule'!$F$21="","",IF(OR($A165&lt;'Recurring Schedule'!$F$21,$A165&gt;'Recurring Schedule'!$P$21),"",IF(IF('Recurring Schedule'!$N$21&gt;0,MOD($A165-'Recurring Schedule'!$F$21,'Recurring Schedule'!$N$21)=0,IF('Recurring Schedule'!$O$21&gt;0,AND(DAY($A165)=MIN(DAY('Recurring Schedule'!$F$21),DAY(EOMONTH($A165,0))),MOD((YEAR($A165)-YEAR('Recurring Schedule'!$F$21))*12+MONTH($A165)-MONTH('Recurring Schedule'!$F$21),'Recurring Schedule'!$O$21)=0),IF('Recurring Schedule'!$E$21="Weekdays",WEEKDAY($A165,2)&lt;=5,$A165='Recurring Schedule'!$F$21))),16,""))))</f>
        <v/>
      </c>
      <c r="R165">
        <f>IF('Recurring Schedule'!$C$22="","",IF('Recurring Schedule'!$F$22="","",IF(OR($A165&lt;'Recurring Schedule'!$F$22,$A165&gt;'Recurring Schedule'!$P$22),"",IF(IF('Recurring Schedule'!$N$22&gt;0,MOD($A165-'Recurring Schedule'!$F$22,'Recurring Schedule'!$N$22)=0,IF('Recurring Schedule'!$O$22&gt;0,AND(DAY($A165)=MIN(DAY('Recurring Schedule'!$F$22),DAY(EOMONTH($A165,0))),MOD((YEAR($A165)-YEAR('Recurring Schedule'!$F$22))*12+MONTH($A165)-MONTH('Recurring Schedule'!$F$22),'Recurring Schedule'!$O$22)=0),IF('Recurring Schedule'!$E$22="Weekdays",WEEKDAY($A165,2)&lt;=5,$A165='Recurring Schedule'!$F$22))),17,""))))</f>
        <v/>
      </c>
      <c r="S165">
        <f>IF('Recurring Schedule'!$C$23="","",IF('Recurring Schedule'!$F$23="","",IF(OR($A165&lt;'Recurring Schedule'!$F$23,$A165&gt;'Recurring Schedule'!$P$23),"",IF(IF('Recurring Schedule'!$N$23&gt;0,MOD($A165-'Recurring Schedule'!$F$23,'Recurring Schedule'!$N$23)=0,IF('Recurring Schedule'!$O$23&gt;0,AND(DAY($A165)=MIN(DAY('Recurring Schedule'!$F$23),DAY(EOMONTH($A165,0))),MOD((YEAR($A165)-YEAR('Recurring Schedule'!$F$23))*12+MONTH($A165)-MONTH('Recurring Schedule'!$F$23),'Recurring Schedule'!$O$23)=0),IF('Recurring Schedule'!$E$23="Weekdays",WEEKDAY($A165,2)&lt;=5,$A165='Recurring Schedule'!$F$23))),18,""))))</f>
        <v/>
      </c>
      <c r="T165">
        <f>IF('Recurring Schedule'!$C$24="","",IF('Recurring Schedule'!$F$24="","",IF(OR($A165&lt;'Recurring Schedule'!$F$24,$A165&gt;'Recurring Schedule'!$P$24),"",IF(IF('Recurring Schedule'!$N$24&gt;0,MOD($A165-'Recurring Schedule'!$F$24,'Recurring Schedule'!$N$24)=0,IF('Recurring Schedule'!$O$24&gt;0,AND(DAY($A165)=MIN(DAY('Recurring Schedule'!$F$24),DAY(EOMONTH($A165,0))),MOD((YEAR($A165)-YEAR('Recurring Schedule'!$F$24))*12+MONTH($A165)-MONTH('Recurring Schedule'!$F$24),'Recurring Schedule'!$O$24)=0),IF('Recurring Schedule'!$E$24="Weekdays",WEEKDAY($A165,2)&lt;=5,$A165='Recurring Schedule'!$F$24))),19,""))))</f>
        <v/>
      </c>
      <c r="U165">
        <f>IF('Recurring Schedule'!$C$25="","",IF('Recurring Schedule'!$F$25="","",IF(OR($A165&lt;'Recurring Schedule'!$F$25,$A165&gt;'Recurring Schedule'!$P$25),"",IF(IF('Recurring Schedule'!$N$25&gt;0,MOD($A165-'Recurring Schedule'!$F$25,'Recurring Schedule'!$N$25)=0,IF('Recurring Schedule'!$O$25&gt;0,AND(DAY($A165)=MIN(DAY('Recurring Schedule'!$F$25),DAY(EOMONTH($A165,0))),MOD((YEAR($A165)-YEAR('Recurring Schedule'!$F$25))*12+MONTH($A165)-MONTH('Recurring Schedule'!$F$25),'Recurring Schedule'!$O$25)=0),IF('Recurring Schedule'!$E$25="Weekdays",WEEKDAY($A165,2)&lt;=5,$A165='Recurring Schedule'!$F$25))),20,""))))</f>
        <v/>
      </c>
      <c r="V165">
        <f>IF('Recurring Schedule'!$C$26="","",IF('Recurring Schedule'!$F$26="","",IF(OR($A165&lt;'Recurring Schedule'!$F$26,$A165&gt;'Recurring Schedule'!$P$26),"",IF(IF('Recurring Schedule'!$N$26&gt;0,MOD($A165-'Recurring Schedule'!$F$26,'Recurring Schedule'!$N$26)=0,IF('Recurring Schedule'!$O$26&gt;0,AND(DAY($A165)=MIN(DAY('Recurring Schedule'!$F$26),DAY(EOMONTH($A165,0))),MOD((YEAR($A165)-YEAR('Recurring Schedule'!$F$26))*12+MONTH($A165)-MONTH('Recurring Schedule'!$F$26),'Recurring Schedule'!$O$26)=0),IF('Recurring Schedule'!$E$26="Weekdays",WEEKDAY($A165,2)&lt;=5,$A165='Recurring Schedule'!$F$26))),21,""))))</f>
        <v/>
      </c>
      <c r="W165">
        <f>IF('Recurring Schedule'!$C$27="","",IF('Recurring Schedule'!$F$27="","",IF(OR($A165&lt;'Recurring Schedule'!$F$27,$A165&gt;'Recurring Schedule'!$P$27),"",IF(IF('Recurring Schedule'!$N$27&gt;0,MOD($A165-'Recurring Schedule'!$F$27,'Recurring Schedule'!$N$27)=0,IF('Recurring Schedule'!$O$27&gt;0,AND(DAY($A165)=MIN(DAY('Recurring Schedule'!$F$27),DAY(EOMONTH($A165,0))),MOD((YEAR($A165)-YEAR('Recurring Schedule'!$F$27))*12+MONTH($A165)-MONTH('Recurring Schedule'!$F$27),'Recurring Schedule'!$O$27)=0),IF('Recurring Schedule'!$E$27="Weekdays",WEEKDAY($A165,2)&lt;=5,$A165='Recurring Schedule'!$F$27))),22,""))))</f>
        <v/>
      </c>
      <c r="X165">
        <f>IF('Recurring Schedule'!$C$28="","",IF('Recurring Schedule'!$F$28="","",IF(OR($A165&lt;'Recurring Schedule'!$F$28,$A165&gt;'Recurring Schedule'!$P$28),"",IF(IF('Recurring Schedule'!$N$28&gt;0,MOD($A165-'Recurring Schedule'!$F$28,'Recurring Schedule'!$N$28)=0,IF('Recurring Schedule'!$O$28&gt;0,AND(DAY($A165)=MIN(DAY('Recurring Schedule'!$F$28),DAY(EOMONTH($A165,0))),MOD((YEAR($A165)-YEAR('Recurring Schedule'!$F$28))*12+MONTH($A165)-MONTH('Recurring Schedule'!$F$28),'Recurring Schedule'!$O$28)=0),IF('Recurring Schedule'!$E$28="Weekdays",WEEKDAY($A165,2)&lt;=5,$A165='Recurring Schedule'!$F$28))),23,""))))</f>
        <v/>
      </c>
      <c r="Y165">
        <f>IF('Recurring Schedule'!$C$29="","",IF('Recurring Schedule'!$F$29="","",IF(OR($A165&lt;'Recurring Schedule'!$F$29,$A165&gt;'Recurring Schedule'!$P$29),"",IF(IF('Recurring Schedule'!$N$29&gt;0,MOD($A165-'Recurring Schedule'!$F$29,'Recurring Schedule'!$N$29)=0,IF('Recurring Schedule'!$O$29&gt;0,AND(DAY($A165)=MIN(DAY('Recurring Schedule'!$F$29),DAY(EOMONTH($A165,0))),MOD((YEAR($A165)-YEAR('Recurring Schedule'!$F$29))*12+MONTH($A165)-MONTH('Recurring Schedule'!$F$29),'Recurring Schedule'!$O$29)=0),IF('Recurring Schedule'!$E$29="Weekdays",WEEKDAY($A165,2)&lt;=5,$A165='Recurring Schedule'!$F$29))),24,""))))</f>
        <v/>
      </c>
      <c r="Z165">
        <f>IF('Recurring Schedule'!$C$30="","",IF('Recurring Schedule'!$F$30="","",IF(OR($A165&lt;'Recurring Schedule'!$F$30,$A165&gt;'Recurring Schedule'!$P$30),"",IF(IF('Recurring Schedule'!$N$30&gt;0,MOD($A165-'Recurring Schedule'!$F$30,'Recurring Schedule'!$N$30)=0,IF('Recurring Schedule'!$O$30&gt;0,AND(DAY($A165)=MIN(DAY('Recurring Schedule'!$F$30),DAY(EOMONTH($A165,0))),MOD((YEAR($A165)-YEAR('Recurring Schedule'!$F$30))*12+MONTH($A165)-MONTH('Recurring Schedule'!$F$30),'Recurring Schedule'!$O$30)=0),IF('Recurring Schedule'!$E$30="Weekdays",WEEKDAY($A165,2)&lt;=5,$A165='Recurring Schedule'!$F$30))),25,""))))</f>
        <v/>
      </c>
      <c r="AA165">
        <f>IF('Recurring Schedule'!$C$31="","",IF('Recurring Schedule'!$F$31="","",IF(OR($A165&lt;'Recurring Schedule'!$F$31,$A165&gt;'Recurring Schedule'!$P$31),"",IF(IF('Recurring Schedule'!$N$31&gt;0,MOD($A165-'Recurring Schedule'!$F$31,'Recurring Schedule'!$N$31)=0,IF('Recurring Schedule'!$O$31&gt;0,AND(DAY($A165)=MIN(DAY('Recurring Schedule'!$F$31),DAY(EOMONTH($A165,0))),MOD((YEAR($A165)-YEAR('Recurring Schedule'!$F$31))*12+MONTH($A165)-MONTH('Recurring Schedule'!$F$31),'Recurring Schedule'!$O$31)=0),IF('Recurring Schedule'!$E$31="Weekdays",WEEKDAY($A165,2)&lt;=5,$A165='Recurring Schedule'!$F$31))),26,""))))</f>
        <v/>
      </c>
      <c r="AB165">
        <f>IF('Recurring Schedule'!$C$32="","",IF('Recurring Schedule'!$F$32="","",IF(OR($A165&lt;'Recurring Schedule'!$F$32,$A165&gt;'Recurring Schedule'!$P$32),"",IF(IF('Recurring Schedule'!$N$32&gt;0,MOD($A165-'Recurring Schedule'!$F$32,'Recurring Schedule'!$N$32)=0,IF('Recurring Schedule'!$O$32&gt;0,AND(DAY($A165)=MIN(DAY('Recurring Schedule'!$F$32),DAY(EOMONTH($A165,0))),MOD((YEAR($A165)-YEAR('Recurring Schedule'!$F$32))*12+MONTH($A165)-MONTH('Recurring Schedule'!$F$32),'Recurring Schedule'!$O$32)=0),IF('Recurring Schedule'!$E$32="Weekdays",WEEKDAY($A165,2)&lt;=5,$A165='Recurring Schedule'!$F$32))),27,""))))</f>
        <v/>
      </c>
      <c r="AC165">
        <f>IF('Recurring Schedule'!$C$33="","",IF('Recurring Schedule'!$F$33="","",IF(OR($A165&lt;'Recurring Schedule'!$F$33,$A165&gt;'Recurring Schedule'!$P$33),"",IF(IF('Recurring Schedule'!$N$33&gt;0,MOD($A165-'Recurring Schedule'!$F$33,'Recurring Schedule'!$N$33)=0,IF('Recurring Schedule'!$O$33&gt;0,AND(DAY($A165)=MIN(DAY('Recurring Schedule'!$F$33),DAY(EOMONTH($A165,0))),MOD((YEAR($A165)-YEAR('Recurring Schedule'!$F$33))*12+MONTH($A165)-MONTH('Recurring Schedule'!$F$33),'Recurring Schedule'!$O$33)=0),IF('Recurring Schedule'!$E$33="Weekdays",WEEKDAY($A165,2)&lt;=5,$A165='Recurring Schedule'!$F$33))),28,""))))</f>
        <v/>
      </c>
      <c r="AD165">
        <f>IF('Recurring Schedule'!$C$34="","",IF('Recurring Schedule'!$F$34="","",IF(OR($A165&lt;'Recurring Schedule'!$F$34,$A165&gt;'Recurring Schedule'!$P$34),"",IF(IF('Recurring Schedule'!$N$34&gt;0,MOD($A165-'Recurring Schedule'!$F$34,'Recurring Schedule'!$N$34)=0,IF('Recurring Schedule'!$O$34&gt;0,AND(DAY($A165)=MIN(DAY('Recurring Schedule'!$F$34),DAY(EOMONTH($A165,0))),MOD((YEAR($A165)-YEAR('Recurring Schedule'!$F$34))*12+MONTH($A165)-MONTH('Recurring Schedule'!$F$34),'Recurring Schedule'!$O$34)=0),IF('Recurring Schedule'!$E$34="Weekdays",WEEKDAY($A165,2)&lt;=5,$A165='Recurring Schedule'!$F$34))),29,""))))</f>
        <v/>
      </c>
      <c r="AE165">
        <f>IF('Recurring Schedule'!$C$35="","",IF('Recurring Schedule'!$F$35="","",IF(OR($A165&lt;'Recurring Schedule'!$F$35,$A165&gt;'Recurring Schedule'!$P$35),"",IF(IF('Recurring Schedule'!$N$35&gt;0,MOD($A165-'Recurring Schedule'!$F$35,'Recurring Schedule'!$N$35)=0,IF('Recurring Schedule'!$O$35&gt;0,AND(DAY($A165)=MIN(DAY('Recurring Schedule'!$F$35),DAY(EOMONTH($A165,0))),MOD((YEAR($A165)-YEAR('Recurring Schedule'!$F$35))*12+MONTH($A165)-MONTH('Recurring Schedule'!$F$35),'Recurring Schedule'!$O$35)=0),IF('Recurring Schedule'!$E$35="Weekdays",WEEKDAY($A165,2)&lt;=5,$A165='Recurring Schedule'!$F$35))),30,""))))</f>
        <v/>
      </c>
      <c r="AF165">
        <f>IF('Recurring Schedule'!$C$36="","",IF('Recurring Schedule'!$F$36="","",IF(OR($A165&lt;'Recurring Schedule'!$F$36,$A165&gt;'Recurring Schedule'!$P$36),"",IF(IF('Recurring Schedule'!$N$36&gt;0,MOD($A165-'Recurring Schedule'!$F$36,'Recurring Schedule'!$N$36)=0,IF('Recurring Schedule'!$O$36&gt;0,AND(DAY($A165)=MIN(DAY('Recurring Schedule'!$F$36),DAY(EOMONTH($A165,0))),MOD((YEAR($A165)-YEAR('Recurring Schedule'!$F$36))*12+MONTH($A165)-MONTH('Recurring Schedule'!$F$36),'Recurring Schedule'!$O$36)=0),IF('Recurring Schedule'!$E$36="Weekdays",WEEKDAY($A165,2)&lt;=5,$A165='Recurring Schedule'!$F$36))),31,""))))</f>
        <v/>
      </c>
      <c r="AG165">
        <f>IF('Recurring Schedule'!$C$37="","",IF('Recurring Schedule'!$F$37="","",IF(OR($A165&lt;'Recurring Schedule'!$F$37,$A165&gt;'Recurring Schedule'!$P$37),"",IF(IF('Recurring Schedule'!$N$37&gt;0,MOD($A165-'Recurring Schedule'!$F$37,'Recurring Schedule'!$N$37)=0,IF('Recurring Schedule'!$O$37&gt;0,AND(DAY($A165)=MIN(DAY('Recurring Schedule'!$F$37),DAY(EOMONTH($A165,0))),MOD((YEAR($A165)-YEAR('Recurring Schedule'!$F$37))*12+MONTH($A165)-MONTH('Recurring Schedule'!$F$37),'Recurring Schedule'!$O$37)=0),IF('Recurring Schedule'!$E$37="Weekdays",WEEKDAY($A165,2)&lt;=5,$A165='Recurring Schedule'!$F$37))),32,""))))</f>
        <v/>
      </c>
      <c r="AH165">
        <f>IF('Recurring Schedule'!$C$38="","",IF('Recurring Schedule'!$F$38="","",IF(OR($A165&lt;'Recurring Schedule'!$F$38,$A165&gt;'Recurring Schedule'!$P$38),"",IF(IF('Recurring Schedule'!$N$38&gt;0,MOD($A165-'Recurring Schedule'!$F$38,'Recurring Schedule'!$N$38)=0,IF('Recurring Schedule'!$O$38&gt;0,AND(DAY($A165)=MIN(DAY('Recurring Schedule'!$F$38),DAY(EOMONTH($A165,0))),MOD((YEAR($A165)-YEAR('Recurring Schedule'!$F$38))*12+MONTH($A165)-MONTH('Recurring Schedule'!$F$38),'Recurring Schedule'!$O$38)=0),IF('Recurring Schedule'!$E$38="Weekdays",WEEKDAY($A165,2)&lt;=5,$A165='Recurring Schedule'!$F$38))),33,""))))</f>
        <v/>
      </c>
      <c r="AI165">
        <f>IF('Recurring Schedule'!$C$39="","",IF('Recurring Schedule'!$F$39="","",IF(OR($A165&lt;'Recurring Schedule'!$F$39,$A165&gt;'Recurring Schedule'!$P$39),"",IF(IF('Recurring Schedule'!$N$39&gt;0,MOD($A165-'Recurring Schedule'!$F$39,'Recurring Schedule'!$N$39)=0,IF('Recurring Schedule'!$O$39&gt;0,AND(DAY($A165)=MIN(DAY('Recurring Schedule'!$F$39),DAY(EOMONTH($A165,0))),MOD((YEAR($A165)-YEAR('Recurring Schedule'!$F$39))*12+MONTH($A165)-MONTH('Recurring Schedule'!$F$39),'Recurring Schedule'!$O$39)=0),IF('Recurring Schedule'!$E$39="Weekdays",WEEKDAY($A165,2)&lt;=5,$A165='Recurring Schedule'!$F$39))),34,""))))</f>
        <v/>
      </c>
      <c r="AJ165">
        <f>IF('Recurring Schedule'!$C$40="","",IF('Recurring Schedule'!$F$40="","",IF(OR($A165&lt;'Recurring Schedule'!$F$40,$A165&gt;'Recurring Schedule'!$P$40),"",IF(IF('Recurring Schedule'!$N$40&gt;0,MOD($A165-'Recurring Schedule'!$F$40,'Recurring Schedule'!$N$40)=0,IF('Recurring Schedule'!$O$40&gt;0,AND(DAY($A165)=MIN(DAY('Recurring Schedule'!$F$40),DAY(EOMONTH($A165,0))),MOD((YEAR($A165)-YEAR('Recurring Schedule'!$F$40))*12+MONTH($A165)-MONTH('Recurring Schedule'!$F$40),'Recurring Schedule'!$O$40)=0),IF('Recurring Schedule'!$E$40="Weekdays",WEEKDAY($A165,2)&lt;=5,$A165='Recurring Schedule'!$F$40))),35,""))))</f>
        <v/>
      </c>
      <c r="AK165">
        <f>IF('Recurring Schedule'!$C$41="","",IF('Recurring Schedule'!$F$41="","",IF(OR($A165&lt;'Recurring Schedule'!$F$41,$A165&gt;'Recurring Schedule'!$P$41),"",IF(IF('Recurring Schedule'!$N$41&gt;0,MOD($A165-'Recurring Schedule'!$F$41,'Recurring Schedule'!$N$41)=0,IF('Recurring Schedule'!$O$41&gt;0,AND(DAY($A165)=MIN(DAY('Recurring Schedule'!$F$41),DAY(EOMONTH($A165,0))),MOD((YEAR($A165)-YEAR('Recurring Schedule'!$F$41))*12+MONTH($A165)-MONTH('Recurring Schedule'!$F$41),'Recurring Schedule'!$O$41)=0),IF('Recurring Schedule'!$E$41="Weekdays",WEEKDAY($A165,2)&lt;=5,$A165='Recurring Schedule'!$F$41))),36,""))))</f>
        <v/>
      </c>
      <c r="AL165">
        <f>IF('Recurring Schedule'!$C$42="","",IF('Recurring Schedule'!$F$42="","",IF(OR($A165&lt;'Recurring Schedule'!$F$42,$A165&gt;'Recurring Schedule'!$P$42),"",IF(IF('Recurring Schedule'!$N$42&gt;0,MOD($A165-'Recurring Schedule'!$F$42,'Recurring Schedule'!$N$42)=0,IF('Recurring Schedule'!$O$42&gt;0,AND(DAY($A165)=MIN(DAY('Recurring Schedule'!$F$42),DAY(EOMONTH($A165,0))),MOD((YEAR($A165)-YEAR('Recurring Schedule'!$F$42))*12+MONTH($A165)-MONTH('Recurring Schedule'!$F$42),'Recurring Schedule'!$O$42)=0),IF('Recurring Schedule'!$E$42="Weekdays",WEEKDAY($A165,2)&lt;=5,$A165='Recurring Schedule'!$F$42))),37,""))))</f>
        <v/>
      </c>
      <c r="AM165">
        <f>IF('Recurring Schedule'!$C$43="","",IF('Recurring Schedule'!$F$43="","",IF(OR($A165&lt;'Recurring Schedule'!$F$43,$A165&gt;'Recurring Schedule'!$P$43),"",IF(IF('Recurring Schedule'!$N$43&gt;0,MOD($A165-'Recurring Schedule'!$F$43,'Recurring Schedule'!$N$43)=0,IF('Recurring Schedule'!$O$43&gt;0,AND(DAY($A165)=MIN(DAY('Recurring Schedule'!$F$43),DAY(EOMONTH($A165,0))),MOD((YEAR($A165)-YEAR('Recurring Schedule'!$F$43))*12+MONTH($A165)-MONTH('Recurring Schedule'!$F$43),'Recurring Schedule'!$O$43)=0),IF('Recurring Schedule'!$E$43="Weekdays",WEEKDAY($A165,2)&lt;=5,$A165='Recurring Schedule'!$F$43))),38,""))))</f>
        <v/>
      </c>
      <c r="AN165">
        <f>IF('Recurring Schedule'!$C$44="","",IF('Recurring Schedule'!$F$44="","",IF(OR($A165&lt;'Recurring Schedule'!$F$44,$A165&gt;'Recurring Schedule'!$P$44),"",IF(IF('Recurring Schedule'!$N$44&gt;0,MOD($A165-'Recurring Schedule'!$F$44,'Recurring Schedule'!$N$44)=0,IF('Recurring Schedule'!$O$44&gt;0,AND(DAY($A165)=MIN(DAY('Recurring Schedule'!$F$44),DAY(EOMONTH($A165,0))),MOD((YEAR($A165)-YEAR('Recurring Schedule'!$F$44))*12+MONTH($A165)-MONTH('Recurring Schedule'!$F$44),'Recurring Schedule'!$O$44)=0),IF('Recurring Schedule'!$E$44="Weekdays",WEEKDAY($A165,2)&lt;=5,$A165='Recurring Schedule'!$F$44))),39,""))))</f>
        <v/>
      </c>
      <c r="AO165">
        <f>IF('Recurring Schedule'!$C$45="","",IF('Recurring Schedule'!$F$45="","",IF(OR($A165&lt;'Recurring Schedule'!$F$45,$A165&gt;'Recurring Schedule'!$P$45),"",IF(IF('Recurring Schedule'!$N$45&gt;0,MOD($A165-'Recurring Schedule'!$F$45,'Recurring Schedule'!$N$45)=0,IF('Recurring Schedule'!$O$45&gt;0,AND(DAY($A165)=MIN(DAY('Recurring Schedule'!$F$45),DAY(EOMONTH($A165,0))),MOD((YEAR($A165)-YEAR('Recurring Schedule'!$F$45))*12+MONTH($A165)-MONTH('Recurring Schedule'!$F$45),'Recurring Schedule'!$O$45)=0),IF('Recurring Schedule'!$E$45="Weekdays",WEEKDAY($A165,2)&lt;=5,$A165='Recurring Schedule'!$F$45))),40,""))))</f>
        <v/>
      </c>
      <c r="AP165">
        <f>COUNT(B165:AO165)</f>
        <v/>
      </c>
      <c r="AQ165">
        <f>AQ164+AP164</f>
        <v/>
      </c>
      <c r="AS165" t="inlineStr">
        <is>
          <t>R</t>
        </is>
      </c>
      <c r="AT165" t="n">
        <v>169</v>
      </c>
      <c r="AU165">
        <f>'Recurring Log'!C169&amp;""</f>
        <v/>
      </c>
      <c r="AV165">
        <f>'Recurring Log'!D169&amp;""</f>
        <v/>
      </c>
      <c r="AW165">
        <f>IF('Recurring Log'!E169="","",'Recurring Log'!E169)</f>
        <v/>
      </c>
      <c r="AX165">
        <f>IF('Recurring Log'!G169="","",'Recurring Log'!G169)</f>
        <v/>
      </c>
      <c r="AY165">
        <f>IF('Recurring Log'!H169="","",'Recurring Log'!H169)</f>
        <v/>
      </c>
      <c r="AZ165">
        <f>IF(AU165="","",IF('Recurring Log'!J169="","Not Started",'Recurring Log'!J169))</f>
        <v/>
      </c>
      <c r="BA165">
        <f>'Recurring Log'!L169&amp;""</f>
        <v/>
      </c>
      <c r="BB165">
        <f>'Recurring Log'!M169&amp;""</f>
        <v/>
      </c>
      <c r="BC165">
        <f>'Recurring Log'!N169&amp;""</f>
        <v/>
      </c>
      <c r="BD165">
        <f>'Recurring Log'!O169&amp;""</f>
        <v/>
      </c>
      <c r="BE165">
        <f>IF('Recurring Log'!K169="","",'Recurring Log'!K169)</f>
        <v/>
      </c>
      <c r="BF165">
        <f>IFERROR(MATCH(BA165,Setup!$L$6:$L$9,0),5)</f>
        <v/>
      </c>
      <c r="BG165">
        <f>IF(OR(AZ165="Done",AZ165="Cancelled"),1,0)</f>
        <v/>
      </c>
      <c r="BH165">
        <f>IF(AND(AU165&lt;&gt;"",ISNUMBER(AW165)),1,0)</f>
        <v/>
      </c>
      <c r="BI165">
        <f>IF(BH165=0,0,IF(AND(AW165&gt;='Tasks Filter'!$F$3,AW165&lt;='Tasks Filter'!$F$4,OR('Tasks Filter'!$I$3="",ISNUMBER(SEARCH('Tasks Filter'!$I$3,AU165))),OR('Tasks Filter'!$I$4="",BF165=IFERROR(MATCH('Tasks Filter'!$I$4,Setup!$L$6:$L$9,0),0)),OR('Tasks Filter'!$I$5="Both",AND('Tasks Filter'!$I$5="Yes",BB165="✓"),AND('Tasks Filter'!$I$5="No",BB165&lt;&gt;"✓")),OR('Tasks Filter'!$L$3="",AV165='Tasks Filter'!$L$3),OR('Tasks Filter'!$L$4="",AZ165='Tasks Filter'!$L$4),OR('Tasks Filter'!$L$5="",BC165='Tasks Filter'!$L$5),OR('Tasks Filter'!$O$3="",BD165='Tasks Filter'!$O$3),OR('Tasks Filter'!$O$4="Yes",BG165=0)),1,0))</f>
        <v/>
      </c>
      <c r="BJ165">
        <f>IF(BH165=0,"",IF('Tasks Filter'!$F$6="Descending",-1,1)*CHOOSE(MATCH('Tasks Filter'!$F$5,Lists!$G$2:$G$6,0),AW165,BF165,IFERROR(MATCH(AV165,Setup!$F$6:$F$15,0),99),IFERROR(MATCH(BC165,Setup!$H$6:$H$15,0),99),IFERROR(MATCH(AZ165,Setup!$J$6:$J$11,0),99))*1E+9+(AW165-40000)*10000+164)</f>
        <v/>
      </c>
      <c r="BK165">
        <f>IF(BI165=1,BJ165,"")</f>
        <v/>
      </c>
      <c r="BL165">
        <f>IF(AND(BH165=1,BG165=0,N(AW165)&lt;Setup!$D$7),(AW165-40000)*10000+164,"")</f>
        <v/>
      </c>
      <c r="BM165">
        <f>IF(AND(BH165=1,AZ165&lt;&gt;"Cancelled",N(AW165)&gt;=Dashboard!$AB$3,N(AW165)&lt;=Dashboard!$AB$3+6),(AW165-40000)*100000+BF165*10000+164,"")</f>
        <v/>
      </c>
      <c r="BN165">
        <f>IF(AND(BH165=1,AZ165&lt;&gt;"Cancelled"),BF165*10000+164,"")</f>
        <v/>
      </c>
    </row>
    <row r="166">
      <c r="A166">
        <f>Setup!$D$5+164</f>
        <v/>
      </c>
      <c r="B166">
        <f>IF('Recurring Schedule'!$C$6="","",IF('Recurring Schedule'!$F$6="","",IF(OR($A166&lt;'Recurring Schedule'!$F$6,$A166&gt;'Recurring Schedule'!$P$6),"",IF(IF('Recurring Schedule'!$N$6&gt;0,MOD($A166-'Recurring Schedule'!$F$6,'Recurring Schedule'!$N$6)=0,IF('Recurring Schedule'!$O$6&gt;0,AND(DAY($A166)=MIN(DAY('Recurring Schedule'!$F$6),DAY(EOMONTH($A166,0))),MOD((YEAR($A166)-YEAR('Recurring Schedule'!$F$6))*12+MONTH($A166)-MONTH('Recurring Schedule'!$F$6),'Recurring Schedule'!$O$6)=0),IF('Recurring Schedule'!$E$6="Weekdays",WEEKDAY($A166,2)&lt;=5,$A166='Recurring Schedule'!$F$6))),1,""))))</f>
        <v/>
      </c>
      <c r="C166">
        <f>IF('Recurring Schedule'!$C$7="","",IF('Recurring Schedule'!$F$7="","",IF(OR($A166&lt;'Recurring Schedule'!$F$7,$A166&gt;'Recurring Schedule'!$P$7),"",IF(IF('Recurring Schedule'!$N$7&gt;0,MOD($A166-'Recurring Schedule'!$F$7,'Recurring Schedule'!$N$7)=0,IF('Recurring Schedule'!$O$7&gt;0,AND(DAY($A166)=MIN(DAY('Recurring Schedule'!$F$7),DAY(EOMONTH($A166,0))),MOD((YEAR($A166)-YEAR('Recurring Schedule'!$F$7))*12+MONTH($A166)-MONTH('Recurring Schedule'!$F$7),'Recurring Schedule'!$O$7)=0),IF('Recurring Schedule'!$E$7="Weekdays",WEEKDAY($A166,2)&lt;=5,$A166='Recurring Schedule'!$F$7))),2,""))))</f>
        <v/>
      </c>
      <c r="D166">
        <f>IF('Recurring Schedule'!$C$8="","",IF('Recurring Schedule'!$F$8="","",IF(OR($A166&lt;'Recurring Schedule'!$F$8,$A166&gt;'Recurring Schedule'!$P$8),"",IF(IF('Recurring Schedule'!$N$8&gt;0,MOD($A166-'Recurring Schedule'!$F$8,'Recurring Schedule'!$N$8)=0,IF('Recurring Schedule'!$O$8&gt;0,AND(DAY($A166)=MIN(DAY('Recurring Schedule'!$F$8),DAY(EOMONTH($A166,0))),MOD((YEAR($A166)-YEAR('Recurring Schedule'!$F$8))*12+MONTH($A166)-MONTH('Recurring Schedule'!$F$8),'Recurring Schedule'!$O$8)=0),IF('Recurring Schedule'!$E$8="Weekdays",WEEKDAY($A166,2)&lt;=5,$A166='Recurring Schedule'!$F$8))),3,""))))</f>
        <v/>
      </c>
      <c r="E166">
        <f>IF('Recurring Schedule'!$C$9="","",IF('Recurring Schedule'!$F$9="","",IF(OR($A166&lt;'Recurring Schedule'!$F$9,$A166&gt;'Recurring Schedule'!$P$9),"",IF(IF('Recurring Schedule'!$N$9&gt;0,MOD($A166-'Recurring Schedule'!$F$9,'Recurring Schedule'!$N$9)=0,IF('Recurring Schedule'!$O$9&gt;0,AND(DAY($A166)=MIN(DAY('Recurring Schedule'!$F$9),DAY(EOMONTH($A166,0))),MOD((YEAR($A166)-YEAR('Recurring Schedule'!$F$9))*12+MONTH($A166)-MONTH('Recurring Schedule'!$F$9),'Recurring Schedule'!$O$9)=0),IF('Recurring Schedule'!$E$9="Weekdays",WEEKDAY($A166,2)&lt;=5,$A166='Recurring Schedule'!$F$9))),4,""))))</f>
        <v/>
      </c>
      <c r="F166">
        <f>IF('Recurring Schedule'!$C$10="","",IF('Recurring Schedule'!$F$10="","",IF(OR($A166&lt;'Recurring Schedule'!$F$10,$A166&gt;'Recurring Schedule'!$P$10),"",IF(IF('Recurring Schedule'!$N$10&gt;0,MOD($A166-'Recurring Schedule'!$F$10,'Recurring Schedule'!$N$10)=0,IF('Recurring Schedule'!$O$10&gt;0,AND(DAY($A166)=MIN(DAY('Recurring Schedule'!$F$10),DAY(EOMONTH($A166,0))),MOD((YEAR($A166)-YEAR('Recurring Schedule'!$F$10))*12+MONTH($A166)-MONTH('Recurring Schedule'!$F$10),'Recurring Schedule'!$O$10)=0),IF('Recurring Schedule'!$E$10="Weekdays",WEEKDAY($A166,2)&lt;=5,$A166='Recurring Schedule'!$F$10))),5,""))))</f>
        <v/>
      </c>
      <c r="G166">
        <f>IF('Recurring Schedule'!$C$11="","",IF('Recurring Schedule'!$F$11="","",IF(OR($A166&lt;'Recurring Schedule'!$F$11,$A166&gt;'Recurring Schedule'!$P$11),"",IF(IF('Recurring Schedule'!$N$11&gt;0,MOD($A166-'Recurring Schedule'!$F$11,'Recurring Schedule'!$N$11)=0,IF('Recurring Schedule'!$O$11&gt;0,AND(DAY($A166)=MIN(DAY('Recurring Schedule'!$F$11),DAY(EOMONTH($A166,0))),MOD((YEAR($A166)-YEAR('Recurring Schedule'!$F$11))*12+MONTH($A166)-MONTH('Recurring Schedule'!$F$11),'Recurring Schedule'!$O$11)=0),IF('Recurring Schedule'!$E$11="Weekdays",WEEKDAY($A166,2)&lt;=5,$A166='Recurring Schedule'!$F$11))),6,""))))</f>
        <v/>
      </c>
      <c r="H166">
        <f>IF('Recurring Schedule'!$C$12="","",IF('Recurring Schedule'!$F$12="","",IF(OR($A166&lt;'Recurring Schedule'!$F$12,$A166&gt;'Recurring Schedule'!$P$12),"",IF(IF('Recurring Schedule'!$N$12&gt;0,MOD($A166-'Recurring Schedule'!$F$12,'Recurring Schedule'!$N$12)=0,IF('Recurring Schedule'!$O$12&gt;0,AND(DAY($A166)=MIN(DAY('Recurring Schedule'!$F$12),DAY(EOMONTH($A166,0))),MOD((YEAR($A166)-YEAR('Recurring Schedule'!$F$12))*12+MONTH($A166)-MONTH('Recurring Schedule'!$F$12),'Recurring Schedule'!$O$12)=0),IF('Recurring Schedule'!$E$12="Weekdays",WEEKDAY($A166,2)&lt;=5,$A166='Recurring Schedule'!$F$12))),7,""))))</f>
        <v/>
      </c>
      <c r="I166">
        <f>IF('Recurring Schedule'!$C$13="","",IF('Recurring Schedule'!$F$13="","",IF(OR($A166&lt;'Recurring Schedule'!$F$13,$A166&gt;'Recurring Schedule'!$P$13),"",IF(IF('Recurring Schedule'!$N$13&gt;0,MOD($A166-'Recurring Schedule'!$F$13,'Recurring Schedule'!$N$13)=0,IF('Recurring Schedule'!$O$13&gt;0,AND(DAY($A166)=MIN(DAY('Recurring Schedule'!$F$13),DAY(EOMONTH($A166,0))),MOD((YEAR($A166)-YEAR('Recurring Schedule'!$F$13))*12+MONTH($A166)-MONTH('Recurring Schedule'!$F$13),'Recurring Schedule'!$O$13)=0),IF('Recurring Schedule'!$E$13="Weekdays",WEEKDAY($A166,2)&lt;=5,$A166='Recurring Schedule'!$F$13))),8,""))))</f>
        <v/>
      </c>
      <c r="J166">
        <f>IF('Recurring Schedule'!$C$14="","",IF('Recurring Schedule'!$F$14="","",IF(OR($A166&lt;'Recurring Schedule'!$F$14,$A166&gt;'Recurring Schedule'!$P$14),"",IF(IF('Recurring Schedule'!$N$14&gt;0,MOD($A166-'Recurring Schedule'!$F$14,'Recurring Schedule'!$N$14)=0,IF('Recurring Schedule'!$O$14&gt;0,AND(DAY($A166)=MIN(DAY('Recurring Schedule'!$F$14),DAY(EOMONTH($A166,0))),MOD((YEAR($A166)-YEAR('Recurring Schedule'!$F$14))*12+MONTH($A166)-MONTH('Recurring Schedule'!$F$14),'Recurring Schedule'!$O$14)=0),IF('Recurring Schedule'!$E$14="Weekdays",WEEKDAY($A166,2)&lt;=5,$A166='Recurring Schedule'!$F$14))),9,""))))</f>
        <v/>
      </c>
      <c r="K166">
        <f>IF('Recurring Schedule'!$C$15="","",IF('Recurring Schedule'!$F$15="","",IF(OR($A166&lt;'Recurring Schedule'!$F$15,$A166&gt;'Recurring Schedule'!$P$15),"",IF(IF('Recurring Schedule'!$N$15&gt;0,MOD($A166-'Recurring Schedule'!$F$15,'Recurring Schedule'!$N$15)=0,IF('Recurring Schedule'!$O$15&gt;0,AND(DAY($A166)=MIN(DAY('Recurring Schedule'!$F$15),DAY(EOMONTH($A166,0))),MOD((YEAR($A166)-YEAR('Recurring Schedule'!$F$15))*12+MONTH($A166)-MONTH('Recurring Schedule'!$F$15),'Recurring Schedule'!$O$15)=0),IF('Recurring Schedule'!$E$15="Weekdays",WEEKDAY($A166,2)&lt;=5,$A166='Recurring Schedule'!$F$15))),10,""))))</f>
        <v/>
      </c>
      <c r="L166">
        <f>IF('Recurring Schedule'!$C$16="","",IF('Recurring Schedule'!$F$16="","",IF(OR($A166&lt;'Recurring Schedule'!$F$16,$A166&gt;'Recurring Schedule'!$P$16),"",IF(IF('Recurring Schedule'!$N$16&gt;0,MOD($A166-'Recurring Schedule'!$F$16,'Recurring Schedule'!$N$16)=0,IF('Recurring Schedule'!$O$16&gt;0,AND(DAY($A166)=MIN(DAY('Recurring Schedule'!$F$16),DAY(EOMONTH($A166,0))),MOD((YEAR($A166)-YEAR('Recurring Schedule'!$F$16))*12+MONTH($A166)-MONTH('Recurring Schedule'!$F$16),'Recurring Schedule'!$O$16)=0),IF('Recurring Schedule'!$E$16="Weekdays",WEEKDAY($A166,2)&lt;=5,$A166='Recurring Schedule'!$F$16))),11,""))))</f>
        <v/>
      </c>
      <c r="M166">
        <f>IF('Recurring Schedule'!$C$17="","",IF('Recurring Schedule'!$F$17="","",IF(OR($A166&lt;'Recurring Schedule'!$F$17,$A166&gt;'Recurring Schedule'!$P$17),"",IF(IF('Recurring Schedule'!$N$17&gt;0,MOD($A166-'Recurring Schedule'!$F$17,'Recurring Schedule'!$N$17)=0,IF('Recurring Schedule'!$O$17&gt;0,AND(DAY($A166)=MIN(DAY('Recurring Schedule'!$F$17),DAY(EOMONTH($A166,0))),MOD((YEAR($A166)-YEAR('Recurring Schedule'!$F$17))*12+MONTH($A166)-MONTH('Recurring Schedule'!$F$17),'Recurring Schedule'!$O$17)=0),IF('Recurring Schedule'!$E$17="Weekdays",WEEKDAY($A166,2)&lt;=5,$A166='Recurring Schedule'!$F$17))),12,""))))</f>
        <v/>
      </c>
      <c r="N166">
        <f>IF('Recurring Schedule'!$C$18="","",IF('Recurring Schedule'!$F$18="","",IF(OR($A166&lt;'Recurring Schedule'!$F$18,$A166&gt;'Recurring Schedule'!$P$18),"",IF(IF('Recurring Schedule'!$N$18&gt;0,MOD($A166-'Recurring Schedule'!$F$18,'Recurring Schedule'!$N$18)=0,IF('Recurring Schedule'!$O$18&gt;0,AND(DAY($A166)=MIN(DAY('Recurring Schedule'!$F$18),DAY(EOMONTH($A166,0))),MOD((YEAR($A166)-YEAR('Recurring Schedule'!$F$18))*12+MONTH($A166)-MONTH('Recurring Schedule'!$F$18),'Recurring Schedule'!$O$18)=0),IF('Recurring Schedule'!$E$18="Weekdays",WEEKDAY($A166,2)&lt;=5,$A166='Recurring Schedule'!$F$18))),13,""))))</f>
        <v/>
      </c>
      <c r="O166">
        <f>IF('Recurring Schedule'!$C$19="","",IF('Recurring Schedule'!$F$19="","",IF(OR($A166&lt;'Recurring Schedule'!$F$19,$A166&gt;'Recurring Schedule'!$P$19),"",IF(IF('Recurring Schedule'!$N$19&gt;0,MOD($A166-'Recurring Schedule'!$F$19,'Recurring Schedule'!$N$19)=0,IF('Recurring Schedule'!$O$19&gt;0,AND(DAY($A166)=MIN(DAY('Recurring Schedule'!$F$19),DAY(EOMONTH($A166,0))),MOD((YEAR($A166)-YEAR('Recurring Schedule'!$F$19))*12+MONTH($A166)-MONTH('Recurring Schedule'!$F$19),'Recurring Schedule'!$O$19)=0),IF('Recurring Schedule'!$E$19="Weekdays",WEEKDAY($A166,2)&lt;=5,$A166='Recurring Schedule'!$F$19))),14,""))))</f>
        <v/>
      </c>
      <c r="P166">
        <f>IF('Recurring Schedule'!$C$20="","",IF('Recurring Schedule'!$F$20="","",IF(OR($A166&lt;'Recurring Schedule'!$F$20,$A166&gt;'Recurring Schedule'!$P$20),"",IF(IF('Recurring Schedule'!$N$20&gt;0,MOD($A166-'Recurring Schedule'!$F$20,'Recurring Schedule'!$N$20)=0,IF('Recurring Schedule'!$O$20&gt;0,AND(DAY($A166)=MIN(DAY('Recurring Schedule'!$F$20),DAY(EOMONTH($A166,0))),MOD((YEAR($A166)-YEAR('Recurring Schedule'!$F$20))*12+MONTH($A166)-MONTH('Recurring Schedule'!$F$20),'Recurring Schedule'!$O$20)=0),IF('Recurring Schedule'!$E$20="Weekdays",WEEKDAY($A166,2)&lt;=5,$A166='Recurring Schedule'!$F$20))),15,""))))</f>
        <v/>
      </c>
      <c r="Q166">
        <f>IF('Recurring Schedule'!$C$21="","",IF('Recurring Schedule'!$F$21="","",IF(OR($A166&lt;'Recurring Schedule'!$F$21,$A166&gt;'Recurring Schedule'!$P$21),"",IF(IF('Recurring Schedule'!$N$21&gt;0,MOD($A166-'Recurring Schedule'!$F$21,'Recurring Schedule'!$N$21)=0,IF('Recurring Schedule'!$O$21&gt;0,AND(DAY($A166)=MIN(DAY('Recurring Schedule'!$F$21),DAY(EOMONTH($A166,0))),MOD((YEAR($A166)-YEAR('Recurring Schedule'!$F$21))*12+MONTH($A166)-MONTH('Recurring Schedule'!$F$21),'Recurring Schedule'!$O$21)=0),IF('Recurring Schedule'!$E$21="Weekdays",WEEKDAY($A166,2)&lt;=5,$A166='Recurring Schedule'!$F$21))),16,""))))</f>
        <v/>
      </c>
      <c r="R166">
        <f>IF('Recurring Schedule'!$C$22="","",IF('Recurring Schedule'!$F$22="","",IF(OR($A166&lt;'Recurring Schedule'!$F$22,$A166&gt;'Recurring Schedule'!$P$22),"",IF(IF('Recurring Schedule'!$N$22&gt;0,MOD($A166-'Recurring Schedule'!$F$22,'Recurring Schedule'!$N$22)=0,IF('Recurring Schedule'!$O$22&gt;0,AND(DAY($A166)=MIN(DAY('Recurring Schedule'!$F$22),DAY(EOMONTH($A166,0))),MOD((YEAR($A166)-YEAR('Recurring Schedule'!$F$22))*12+MONTH($A166)-MONTH('Recurring Schedule'!$F$22),'Recurring Schedule'!$O$22)=0),IF('Recurring Schedule'!$E$22="Weekdays",WEEKDAY($A166,2)&lt;=5,$A166='Recurring Schedule'!$F$22))),17,""))))</f>
        <v/>
      </c>
      <c r="S166">
        <f>IF('Recurring Schedule'!$C$23="","",IF('Recurring Schedule'!$F$23="","",IF(OR($A166&lt;'Recurring Schedule'!$F$23,$A166&gt;'Recurring Schedule'!$P$23),"",IF(IF('Recurring Schedule'!$N$23&gt;0,MOD($A166-'Recurring Schedule'!$F$23,'Recurring Schedule'!$N$23)=0,IF('Recurring Schedule'!$O$23&gt;0,AND(DAY($A166)=MIN(DAY('Recurring Schedule'!$F$23),DAY(EOMONTH($A166,0))),MOD((YEAR($A166)-YEAR('Recurring Schedule'!$F$23))*12+MONTH($A166)-MONTH('Recurring Schedule'!$F$23),'Recurring Schedule'!$O$23)=0),IF('Recurring Schedule'!$E$23="Weekdays",WEEKDAY($A166,2)&lt;=5,$A166='Recurring Schedule'!$F$23))),18,""))))</f>
        <v/>
      </c>
      <c r="T166">
        <f>IF('Recurring Schedule'!$C$24="","",IF('Recurring Schedule'!$F$24="","",IF(OR($A166&lt;'Recurring Schedule'!$F$24,$A166&gt;'Recurring Schedule'!$P$24),"",IF(IF('Recurring Schedule'!$N$24&gt;0,MOD($A166-'Recurring Schedule'!$F$24,'Recurring Schedule'!$N$24)=0,IF('Recurring Schedule'!$O$24&gt;0,AND(DAY($A166)=MIN(DAY('Recurring Schedule'!$F$24),DAY(EOMONTH($A166,0))),MOD((YEAR($A166)-YEAR('Recurring Schedule'!$F$24))*12+MONTH($A166)-MONTH('Recurring Schedule'!$F$24),'Recurring Schedule'!$O$24)=0),IF('Recurring Schedule'!$E$24="Weekdays",WEEKDAY($A166,2)&lt;=5,$A166='Recurring Schedule'!$F$24))),19,""))))</f>
        <v/>
      </c>
      <c r="U166">
        <f>IF('Recurring Schedule'!$C$25="","",IF('Recurring Schedule'!$F$25="","",IF(OR($A166&lt;'Recurring Schedule'!$F$25,$A166&gt;'Recurring Schedule'!$P$25),"",IF(IF('Recurring Schedule'!$N$25&gt;0,MOD($A166-'Recurring Schedule'!$F$25,'Recurring Schedule'!$N$25)=0,IF('Recurring Schedule'!$O$25&gt;0,AND(DAY($A166)=MIN(DAY('Recurring Schedule'!$F$25),DAY(EOMONTH($A166,0))),MOD((YEAR($A166)-YEAR('Recurring Schedule'!$F$25))*12+MONTH($A166)-MONTH('Recurring Schedule'!$F$25),'Recurring Schedule'!$O$25)=0),IF('Recurring Schedule'!$E$25="Weekdays",WEEKDAY($A166,2)&lt;=5,$A166='Recurring Schedule'!$F$25))),20,""))))</f>
        <v/>
      </c>
      <c r="V166">
        <f>IF('Recurring Schedule'!$C$26="","",IF('Recurring Schedule'!$F$26="","",IF(OR($A166&lt;'Recurring Schedule'!$F$26,$A166&gt;'Recurring Schedule'!$P$26),"",IF(IF('Recurring Schedule'!$N$26&gt;0,MOD($A166-'Recurring Schedule'!$F$26,'Recurring Schedule'!$N$26)=0,IF('Recurring Schedule'!$O$26&gt;0,AND(DAY($A166)=MIN(DAY('Recurring Schedule'!$F$26),DAY(EOMONTH($A166,0))),MOD((YEAR($A166)-YEAR('Recurring Schedule'!$F$26))*12+MONTH($A166)-MONTH('Recurring Schedule'!$F$26),'Recurring Schedule'!$O$26)=0),IF('Recurring Schedule'!$E$26="Weekdays",WEEKDAY($A166,2)&lt;=5,$A166='Recurring Schedule'!$F$26))),21,""))))</f>
        <v/>
      </c>
      <c r="W166">
        <f>IF('Recurring Schedule'!$C$27="","",IF('Recurring Schedule'!$F$27="","",IF(OR($A166&lt;'Recurring Schedule'!$F$27,$A166&gt;'Recurring Schedule'!$P$27),"",IF(IF('Recurring Schedule'!$N$27&gt;0,MOD($A166-'Recurring Schedule'!$F$27,'Recurring Schedule'!$N$27)=0,IF('Recurring Schedule'!$O$27&gt;0,AND(DAY($A166)=MIN(DAY('Recurring Schedule'!$F$27),DAY(EOMONTH($A166,0))),MOD((YEAR($A166)-YEAR('Recurring Schedule'!$F$27))*12+MONTH($A166)-MONTH('Recurring Schedule'!$F$27),'Recurring Schedule'!$O$27)=0),IF('Recurring Schedule'!$E$27="Weekdays",WEEKDAY($A166,2)&lt;=5,$A166='Recurring Schedule'!$F$27))),22,""))))</f>
        <v/>
      </c>
      <c r="X166">
        <f>IF('Recurring Schedule'!$C$28="","",IF('Recurring Schedule'!$F$28="","",IF(OR($A166&lt;'Recurring Schedule'!$F$28,$A166&gt;'Recurring Schedule'!$P$28),"",IF(IF('Recurring Schedule'!$N$28&gt;0,MOD($A166-'Recurring Schedule'!$F$28,'Recurring Schedule'!$N$28)=0,IF('Recurring Schedule'!$O$28&gt;0,AND(DAY($A166)=MIN(DAY('Recurring Schedule'!$F$28),DAY(EOMONTH($A166,0))),MOD((YEAR($A166)-YEAR('Recurring Schedule'!$F$28))*12+MONTH($A166)-MONTH('Recurring Schedule'!$F$28),'Recurring Schedule'!$O$28)=0),IF('Recurring Schedule'!$E$28="Weekdays",WEEKDAY($A166,2)&lt;=5,$A166='Recurring Schedule'!$F$28))),23,""))))</f>
        <v/>
      </c>
      <c r="Y166">
        <f>IF('Recurring Schedule'!$C$29="","",IF('Recurring Schedule'!$F$29="","",IF(OR($A166&lt;'Recurring Schedule'!$F$29,$A166&gt;'Recurring Schedule'!$P$29),"",IF(IF('Recurring Schedule'!$N$29&gt;0,MOD($A166-'Recurring Schedule'!$F$29,'Recurring Schedule'!$N$29)=0,IF('Recurring Schedule'!$O$29&gt;0,AND(DAY($A166)=MIN(DAY('Recurring Schedule'!$F$29),DAY(EOMONTH($A166,0))),MOD((YEAR($A166)-YEAR('Recurring Schedule'!$F$29))*12+MONTH($A166)-MONTH('Recurring Schedule'!$F$29),'Recurring Schedule'!$O$29)=0),IF('Recurring Schedule'!$E$29="Weekdays",WEEKDAY($A166,2)&lt;=5,$A166='Recurring Schedule'!$F$29))),24,""))))</f>
        <v/>
      </c>
      <c r="Z166">
        <f>IF('Recurring Schedule'!$C$30="","",IF('Recurring Schedule'!$F$30="","",IF(OR($A166&lt;'Recurring Schedule'!$F$30,$A166&gt;'Recurring Schedule'!$P$30),"",IF(IF('Recurring Schedule'!$N$30&gt;0,MOD($A166-'Recurring Schedule'!$F$30,'Recurring Schedule'!$N$30)=0,IF('Recurring Schedule'!$O$30&gt;0,AND(DAY($A166)=MIN(DAY('Recurring Schedule'!$F$30),DAY(EOMONTH($A166,0))),MOD((YEAR($A166)-YEAR('Recurring Schedule'!$F$30))*12+MONTH($A166)-MONTH('Recurring Schedule'!$F$30),'Recurring Schedule'!$O$30)=0),IF('Recurring Schedule'!$E$30="Weekdays",WEEKDAY($A166,2)&lt;=5,$A166='Recurring Schedule'!$F$30))),25,""))))</f>
        <v/>
      </c>
      <c r="AA166">
        <f>IF('Recurring Schedule'!$C$31="","",IF('Recurring Schedule'!$F$31="","",IF(OR($A166&lt;'Recurring Schedule'!$F$31,$A166&gt;'Recurring Schedule'!$P$31),"",IF(IF('Recurring Schedule'!$N$31&gt;0,MOD($A166-'Recurring Schedule'!$F$31,'Recurring Schedule'!$N$31)=0,IF('Recurring Schedule'!$O$31&gt;0,AND(DAY($A166)=MIN(DAY('Recurring Schedule'!$F$31),DAY(EOMONTH($A166,0))),MOD((YEAR($A166)-YEAR('Recurring Schedule'!$F$31))*12+MONTH($A166)-MONTH('Recurring Schedule'!$F$31),'Recurring Schedule'!$O$31)=0),IF('Recurring Schedule'!$E$31="Weekdays",WEEKDAY($A166,2)&lt;=5,$A166='Recurring Schedule'!$F$31))),26,""))))</f>
        <v/>
      </c>
      <c r="AB166">
        <f>IF('Recurring Schedule'!$C$32="","",IF('Recurring Schedule'!$F$32="","",IF(OR($A166&lt;'Recurring Schedule'!$F$32,$A166&gt;'Recurring Schedule'!$P$32),"",IF(IF('Recurring Schedule'!$N$32&gt;0,MOD($A166-'Recurring Schedule'!$F$32,'Recurring Schedule'!$N$32)=0,IF('Recurring Schedule'!$O$32&gt;0,AND(DAY($A166)=MIN(DAY('Recurring Schedule'!$F$32),DAY(EOMONTH($A166,0))),MOD((YEAR($A166)-YEAR('Recurring Schedule'!$F$32))*12+MONTH($A166)-MONTH('Recurring Schedule'!$F$32),'Recurring Schedule'!$O$32)=0),IF('Recurring Schedule'!$E$32="Weekdays",WEEKDAY($A166,2)&lt;=5,$A166='Recurring Schedule'!$F$32))),27,""))))</f>
        <v/>
      </c>
      <c r="AC166">
        <f>IF('Recurring Schedule'!$C$33="","",IF('Recurring Schedule'!$F$33="","",IF(OR($A166&lt;'Recurring Schedule'!$F$33,$A166&gt;'Recurring Schedule'!$P$33),"",IF(IF('Recurring Schedule'!$N$33&gt;0,MOD($A166-'Recurring Schedule'!$F$33,'Recurring Schedule'!$N$33)=0,IF('Recurring Schedule'!$O$33&gt;0,AND(DAY($A166)=MIN(DAY('Recurring Schedule'!$F$33),DAY(EOMONTH($A166,0))),MOD((YEAR($A166)-YEAR('Recurring Schedule'!$F$33))*12+MONTH($A166)-MONTH('Recurring Schedule'!$F$33),'Recurring Schedule'!$O$33)=0),IF('Recurring Schedule'!$E$33="Weekdays",WEEKDAY($A166,2)&lt;=5,$A166='Recurring Schedule'!$F$33))),28,""))))</f>
        <v/>
      </c>
      <c r="AD166">
        <f>IF('Recurring Schedule'!$C$34="","",IF('Recurring Schedule'!$F$34="","",IF(OR($A166&lt;'Recurring Schedule'!$F$34,$A166&gt;'Recurring Schedule'!$P$34),"",IF(IF('Recurring Schedule'!$N$34&gt;0,MOD($A166-'Recurring Schedule'!$F$34,'Recurring Schedule'!$N$34)=0,IF('Recurring Schedule'!$O$34&gt;0,AND(DAY($A166)=MIN(DAY('Recurring Schedule'!$F$34),DAY(EOMONTH($A166,0))),MOD((YEAR($A166)-YEAR('Recurring Schedule'!$F$34))*12+MONTH($A166)-MONTH('Recurring Schedule'!$F$34),'Recurring Schedule'!$O$34)=0),IF('Recurring Schedule'!$E$34="Weekdays",WEEKDAY($A166,2)&lt;=5,$A166='Recurring Schedule'!$F$34))),29,""))))</f>
        <v/>
      </c>
      <c r="AE166">
        <f>IF('Recurring Schedule'!$C$35="","",IF('Recurring Schedule'!$F$35="","",IF(OR($A166&lt;'Recurring Schedule'!$F$35,$A166&gt;'Recurring Schedule'!$P$35),"",IF(IF('Recurring Schedule'!$N$35&gt;0,MOD($A166-'Recurring Schedule'!$F$35,'Recurring Schedule'!$N$35)=0,IF('Recurring Schedule'!$O$35&gt;0,AND(DAY($A166)=MIN(DAY('Recurring Schedule'!$F$35),DAY(EOMONTH($A166,0))),MOD((YEAR($A166)-YEAR('Recurring Schedule'!$F$35))*12+MONTH($A166)-MONTH('Recurring Schedule'!$F$35),'Recurring Schedule'!$O$35)=0),IF('Recurring Schedule'!$E$35="Weekdays",WEEKDAY($A166,2)&lt;=5,$A166='Recurring Schedule'!$F$35))),30,""))))</f>
        <v/>
      </c>
      <c r="AF166">
        <f>IF('Recurring Schedule'!$C$36="","",IF('Recurring Schedule'!$F$36="","",IF(OR($A166&lt;'Recurring Schedule'!$F$36,$A166&gt;'Recurring Schedule'!$P$36),"",IF(IF('Recurring Schedule'!$N$36&gt;0,MOD($A166-'Recurring Schedule'!$F$36,'Recurring Schedule'!$N$36)=0,IF('Recurring Schedule'!$O$36&gt;0,AND(DAY($A166)=MIN(DAY('Recurring Schedule'!$F$36),DAY(EOMONTH($A166,0))),MOD((YEAR($A166)-YEAR('Recurring Schedule'!$F$36))*12+MONTH($A166)-MONTH('Recurring Schedule'!$F$36),'Recurring Schedule'!$O$36)=0),IF('Recurring Schedule'!$E$36="Weekdays",WEEKDAY($A166,2)&lt;=5,$A166='Recurring Schedule'!$F$36))),31,""))))</f>
        <v/>
      </c>
      <c r="AG166">
        <f>IF('Recurring Schedule'!$C$37="","",IF('Recurring Schedule'!$F$37="","",IF(OR($A166&lt;'Recurring Schedule'!$F$37,$A166&gt;'Recurring Schedule'!$P$37),"",IF(IF('Recurring Schedule'!$N$37&gt;0,MOD($A166-'Recurring Schedule'!$F$37,'Recurring Schedule'!$N$37)=0,IF('Recurring Schedule'!$O$37&gt;0,AND(DAY($A166)=MIN(DAY('Recurring Schedule'!$F$37),DAY(EOMONTH($A166,0))),MOD((YEAR($A166)-YEAR('Recurring Schedule'!$F$37))*12+MONTH($A166)-MONTH('Recurring Schedule'!$F$37),'Recurring Schedule'!$O$37)=0),IF('Recurring Schedule'!$E$37="Weekdays",WEEKDAY($A166,2)&lt;=5,$A166='Recurring Schedule'!$F$37))),32,""))))</f>
        <v/>
      </c>
      <c r="AH166">
        <f>IF('Recurring Schedule'!$C$38="","",IF('Recurring Schedule'!$F$38="","",IF(OR($A166&lt;'Recurring Schedule'!$F$38,$A166&gt;'Recurring Schedule'!$P$38),"",IF(IF('Recurring Schedule'!$N$38&gt;0,MOD($A166-'Recurring Schedule'!$F$38,'Recurring Schedule'!$N$38)=0,IF('Recurring Schedule'!$O$38&gt;0,AND(DAY($A166)=MIN(DAY('Recurring Schedule'!$F$38),DAY(EOMONTH($A166,0))),MOD((YEAR($A166)-YEAR('Recurring Schedule'!$F$38))*12+MONTH($A166)-MONTH('Recurring Schedule'!$F$38),'Recurring Schedule'!$O$38)=0),IF('Recurring Schedule'!$E$38="Weekdays",WEEKDAY($A166,2)&lt;=5,$A166='Recurring Schedule'!$F$38))),33,""))))</f>
        <v/>
      </c>
      <c r="AI166">
        <f>IF('Recurring Schedule'!$C$39="","",IF('Recurring Schedule'!$F$39="","",IF(OR($A166&lt;'Recurring Schedule'!$F$39,$A166&gt;'Recurring Schedule'!$P$39),"",IF(IF('Recurring Schedule'!$N$39&gt;0,MOD($A166-'Recurring Schedule'!$F$39,'Recurring Schedule'!$N$39)=0,IF('Recurring Schedule'!$O$39&gt;0,AND(DAY($A166)=MIN(DAY('Recurring Schedule'!$F$39),DAY(EOMONTH($A166,0))),MOD((YEAR($A166)-YEAR('Recurring Schedule'!$F$39))*12+MONTH($A166)-MONTH('Recurring Schedule'!$F$39),'Recurring Schedule'!$O$39)=0),IF('Recurring Schedule'!$E$39="Weekdays",WEEKDAY($A166,2)&lt;=5,$A166='Recurring Schedule'!$F$39))),34,""))))</f>
        <v/>
      </c>
      <c r="AJ166">
        <f>IF('Recurring Schedule'!$C$40="","",IF('Recurring Schedule'!$F$40="","",IF(OR($A166&lt;'Recurring Schedule'!$F$40,$A166&gt;'Recurring Schedule'!$P$40),"",IF(IF('Recurring Schedule'!$N$40&gt;0,MOD($A166-'Recurring Schedule'!$F$40,'Recurring Schedule'!$N$40)=0,IF('Recurring Schedule'!$O$40&gt;0,AND(DAY($A166)=MIN(DAY('Recurring Schedule'!$F$40),DAY(EOMONTH($A166,0))),MOD((YEAR($A166)-YEAR('Recurring Schedule'!$F$40))*12+MONTH($A166)-MONTH('Recurring Schedule'!$F$40),'Recurring Schedule'!$O$40)=0),IF('Recurring Schedule'!$E$40="Weekdays",WEEKDAY($A166,2)&lt;=5,$A166='Recurring Schedule'!$F$40))),35,""))))</f>
        <v/>
      </c>
      <c r="AK166">
        <f>IF('Recurring Schedule'!$C$41="","",IF('Recurring Schedule'!$F$41="","",IF(OR($A166&lt;'Recurring Schedule'!$F$41,$A166&gt;'Recurring Schedule'!$P$41),"",IF(IF('Recurring Schedule'!$N$41&gt;0,MOD($A166-'Recurring Schedule'!$F$41,'Recurring Schedule'!$N$41)=0,IF('Recurring Schedule'!$O$41&gt;0,AND(DAY($A166)=MIN(DAY('Recurring Schedule'!$F$41),DAY(EOMONTH($A166,0))),MOD((YEAR($A166)-YEAR('Recurring Schedule'!$F$41))*12+MONTH($A166)-MONTH('Recurring Schedule'!$F$41),'Recurring Schedule'!$O$41)=0),IF('Recurring Schedule'!$E$41="Weekdays",WEEKDAY($A166,2)&lt;=5,$A166='Recurring Schedule'!$F$41))),36,""))))</f>
        <v/>
      </c>
      <c r="AL166">
        <f>IF('Recurring Schedule'!$C$42="","",IF('Recurring Schedule'!$F$42="","",IF(OR($A166&lt;'Recurring Schedule'!$F$42,$A166&gt;'Recurring Schedule'!$P$42),"",IF(IF('Recurring Schedule'!$N$42&gt;0,MOD($A166-'Recurring Schedule'!$F$42,'Recurring Schedule'!$N$42)=0,IF('Recurring Schedule'!$O$42&gt;0,AND(DAY($A166)=MIN(DAY('Recurring Schedule'!$F$42),DAY(EOMONTH($A166,0))),MOD((YEAR($A166)-YEAR('Recurring Schedule'!$F$42))*12+MONTH($A166)-MONTH('Recurring Schedule'!$F$42),'Recurring Schedule'!$O$42)=0),IF('Recurring Schedule'!$E$42="Weekdays",WEEKDAY($A166,2)&lt;=5,$A166='Recurring Schedule'!$F$42))),37,""))))</f>
        <v/>
      </c>
      <c r="AM166">
        <f>IF('Recurring Schedule'!$C$43="","",IF('Recurring Schedule'!$F$43="","",IF(OR($A166&lt;'Recurring Schedule'!$F$43,$A166&gt;'Recurring Schedule'!$P$43),"",IF(IF('Recurring Schedule'!$N$43&gt;0,MOD($A166-'Recurring Schedule'!$F$43,'Recurring Schedule'!$N$43)=0,IF('Recurring Schedule'!$O$43&gt;0,AND(DAY($A166)=MIN(DAY('Recurring Schedule'!$F$43),DAY(EOMONTH($A166,0))),MOD((YEAR($A166)-YEAR('Recurring Schedule'!$F$43))*12+MONTH($A166)-MONTH('Recurring Schedule'!$F$43),'Recurring Schedule'!$O$43)=0),IF('Recurring Schedule'!$E$43="Weekdays",WEEKDAY($A166,2)&lt;=5,$A166='Recurring Schedule'!$F$43))),38,""))))</f>
        <v/>
      </c>
      <c r="AN166">
        <f>IF('Recurring Schedule'!$C$44="","",IF('Recurring Schedule'!$F$44="","",IF(OR($A166&lt;'Recurring Schedule'!$F$44,$A166&gt;'Recurring Schedule'!$P$44),"",IF(IF('Recurring Schedule'!$N$44&gt;0,MOD($A166-'Recurring Schedule'!$F$44,'Recurring Schedule'!$N$44)=0,IF('Recurring Schedule'!$O$44&gt;0,AND(DAY($A166)=MIN(DAY('Recurring Schedule'!$F$44),DAY(EOMONTH($A166,0))),MOD((YEAR($A166)-YEAR('Recurring Schedule'!$F$44))*12+MONTH($A166)-MONTH('Recurring Schedule'!$F$44),'Recurring Schedule'!$O$44)=0),IF('Recurring Schedule'!$E$44="Weekdays",WEEKDAY($A166,2)&lt;=5,$A166='Recurring Schedule'!$F$44))),39,""))))</f>
        <v/>
      </c>
      <c r="AO166">
        <f>IF('Recurring Schedule'!$C$45="","",IF('Recurring Schedule'!$F$45="","",IF(OR($A166&lt;'Recurring Schedule'!$F$45,$A166&gt;'Recurring Schedule'!$P$45),"",IF(IF('Recurring Schedule'!$N$45&gt;0,MOD($A166-'Recurring Schedule'!$F$45,'Recurring Schedule'!$N$45)=0,IF('Recurring Schedule'!$O$45&gt;0,AND(DAY($A166)=MIN(DAY('Recurring Schedule'!$F$45),DAY(EOMONTH($A166,0))),MOD((YEAR($A166)-YEAR('Recurring Schedule'!$F$45))*12+MONTH($A166)-MONTH('Recurring Schedule'!$F$45),'Recurring Schedule'!$O$45)=0),IF('Recurring Schedule'!$E$45="Weekdays",WEEKDAY($A166,2)&lt;=5,$A166='Recurring Schedule'!$F$45))),40,""))))</f>
        <v/>
      </c>
      <c r="AP166">
        <f>COUNT(B166:AO166)</f>
        <v/>
      </c>
      <c r="AQ166">
        <f>AQ165+AP165</f>
        <v/>
      </c>
      <c r="AS166" t="inlineStr">
        <is>
          <t>R</t>
        </is>
      </c>
      <c r="AT166" t="n">
        <v>170</v>
      </c>
      <c r="AU166">
        <f>'Recurring Log'!C170&amp;""</f>
        <v/>
      </c>
      <c r="AV166">
        <f>'Recurring Log'!D170&amp;""</f>
        <v/>
      </c>
      <c r="AW166">
        <f>IF('Recurring Log'!E170="","",'Recurring Log'!E170)</f>
        <v/>
      </c>
      <c r="AX166">
        <f>IF('Recurring Log'!G170="","",'Recurring Log'!G170)</f>
        <v/>
      </c>
      <c r="AY166">
        <f>IF('Recurring Log'!H170="","",'Recurring Log'!H170)</f>
        <v/>
      </c>
      <c r="AZ166">
        <f>IF(AU166="","",IF('Recurring Log'!J170="","Not Started",'Recurring Log'!J170))</f>
        <v/>
      </c>
      <c r="BA166">
        <f>'Recurring Log'!L170&amp;""</f>
        <v/>
      </c>
      <c r="BB166">
        <f>'Recurring Log'!M170&amp;""</f>
        <v/>
      </c>
      <c r="BC166">
        <f>'Recurring Log'!N170&amp;""</f>
        <v/>
      </c>
      <c r="BD166">
        <f>'Recurring Log'!O170&amp;""</f>
        <v/>
      </c>
      <c r="BE166">
        <f>IF('Recurring Log'!K170="","",'Recurring Log'!K170)</f>
        <v/>
      </c>
      <c r="BF166">
        <f>IFERROR(MATCH(BA166,Setup!$L$6:$L$9,0),5)</f>
        <v/>
      </c>
      <c r="BG166">
        <f>IF(OR(AZ166="Done",AZ166="Cancelled"),1,0)</f>
        <v/>
      </c>
      <c r="BH166">
        <f>IF(AND(AU166&lt;&gt;"",ISNUMBER(AW166)),1,0)</f>
        <v/>
      </c>
      <c r="BI166">
        <f>IF(BH166=0,0,IF(AND(AW166&gt;='Tasks Filter'!$F$3,AW166&lt;='Tasks Filter'!$F$4,OR('Tasks Filter'!$I$3="",ISNUMBER(SEARCH('Tasks Filter'!$I$3,AU166))),OR('Tasks Filter'!$I$4="",BF166=IFERROR(MATCH('Tasks Filter'!$I$4,Setup!$L$6:$L$9,0),0)),OR('Tasks Filter'!$I$5="Both",AND('Tasks Filter'!$I$5="Yes",BB166="✓"),AND('Tasks Filter'!$I$5="No",BB166&lt;&gt;"✓")),OR('Tasks Filter'!$L$3="",AV166='Tasks Filter'!$L$3),OR('Tasks Filter'!$L$4="",AZ166='Tasks Filter'!$L$4),OR('Tasks Filter'!$L$5="",BC166='Tasks Filter'!$L$5),OR('Tasks Filter'!$O$3="",BD166='Tasks Filter'!$O$3),OR('Tasks Filter'!$O$4="Yes",BG166=0)),1,0))</f>
        <v/>
      </c>
      <c r="BJ166">
        <f>IF(BH166=0,"",IF('Tasks Filter'!$F$6="Descending",-1,1)*CHOOSE(MATCH('Tasks Filter'!$F$5,Lists!$G$2:$G$6,0),AW166,BF166,IFERROR(MATCH(AV166,Setup!$F$6:$F$15,0),99),IFERROR(MATCH(BC166,Setup!$H$6:$H$15,0),99),IFERROR(MATCH(AZ166,Setup!$J$6:$J$11,0),99))*1E+9+(AW166-40000)*10000+165)</f>
        <v/>
      </c>
      <c r="BK166">
        <f>IF(BI166=1,BJ166,"")</f>
        <v/>
      </c>
      <c r="BL166">
        <f>IF(AND(BH166=1,BG166=0,N(AW166)&lt;Setup!$D$7),(AW166-40000)*10000+165,"")</f>
        <v/>
      </c>
      <c r="BM166">
        <f>IF(AND(BH166=1,AZ166&lt;&gt;"Cancelled",N(AW166)&gt;=Dashboard!$AB$3,N(AW166)&lt;=Dashboard!$AB$3+6),(AW166-40000)*100000+BF166*10000+165,"")</f>
        <v/>
      </c>
      <c r="BN166">
        <f>IF(AND(BH166=1,AZ166&lt;&gt;"Cancelled"),BF166*10000+165,"")</f>
        <v/>
      </c>
    </row>
    <row r="167">
      <c r="A167">
        <f>Setup!$D$5+165</f>
        <v/>
      </c>
      <c r="B167">
        <f>IF('Recurring Schedule'!$C$6="","",IF('Recurring Schedule'!$F$6="","",IF(OR($A167&lt;'Recurring Schedule'!$F$6,$A167&gt;'Recurring Schedule'!$P$6),"",IF(IF('Recurring Schedule'!$N$6&gt;0,MOD($A167-'Recurring Schedule'!$F$6,'Recurring Schedule'!$N$6)=0,IF('Recurring Schedule'!$O$6&gt;0,AND(DAY($A167)=MIN(DAY('Recurring Schedule'!$F$6),DAY(EOMONTH($A167,0))),MOD((YEAR($A167)-YEAR('Recurring Schedule'!$F$6))*12+MONTH($A167)-MONTH('Recurring Schedule'!$F$6),'Recurring Schedule'!$O$6)=0),IF('Recurring Schedule'!$E$6="Weekdays",WEEKDAY($A167,2)&lt;=5,$A167='Recurring Schedule'!$F$6))),1,""))))</f>
        <v/>
      </c>
      <c r="C167">
        <f>IF('Recurring Schedule'!$C$7="","",IF('Recurring Schedule'!$F$7="","",IF(OR($A167&lt;'Recurring Schedule'!$F$7,$A167&gt;'Recurring Schedule'!$P$7),"",IF(IF('Recurring Schedule'!$N$7&gt;0,MOD($A167-'Recurring Schedule'!$F$7,'Recurring Schedule'!$N$7)=0,IF('Recurring Schedule'!$O$7&gt;0,AND(DAY($A167)=MIN(DAY('Recurring Schedule'!$F$7),DAY(EOMONTH($A167,0))),MOD((YEAR($A167)-YEAR('Recurring Schedule'!$F$7))*12+MONTH($A167)-MONTH('Recurring Schedule'!$F$7),'Recurring Schedule'!$O$7)=0),IF('Recurring Schedule'!$E$7="Weekdays",WEEKDAY($A167,2)&lt;=5,$A167='Recurring Schedule'!$F$7))),2,""))))</f>
        <v/>
      </c>
      <c r="D167">
        <f>IF('Recurring Schedule'!$C$8="","",IF('Recurring Schedule'!$F$8="","",IF(OR($A167&lt;'Recurring Schedule'!$F$8,$A167&gt;'Recurring Schedule'!$P$8),"",IF(IF('Recurring Schedule'!$N$8&gt;0,MOD($A167-'Recurring Schedule'!$F$8,'Recurring Schedule'!$N$8)=0,IF('Recurring Schedule'!$O$8&gt;0,AND(DAY($A167)=MIN(DAY('Recurring Schedule'!$F$8),DAY(EOMONTH($A167,0))),MOD((YEAR($A167)-YEAR('Recurring Schedule'!$F$8))*12+MONTH($A167)-MONTH('Recurring Schedule'!$F$8),'Recurring Schedule'!$O$8)=0),IF('Recurring Schedule'!$E$8="Weekdays",WEEKDAY($A167,2)&lt;=5,$A167='Recurring Schedule'!$F$8))),3,""))))</f>
        <v/>
      </c>
      <c r="E167">
        <f>IF('Recurring Schedule'!$C$9="","",IF('Recurring Schedule'!$F$9="","",IF(OR($A167&lt;'Recurring Schedule'!$F$9,$A167&gt;'Recurring Schedule'!$P$9),"",IF(IF('Recurring Schedule'!$N$9&gt;0,MOD($A167-'Recurring Schedule'!$F$9,'Recurring Schedule'!$N$9)=0,IF('Recurring Schedule'!$O$9&gt;0,AND(DAY($A167)=MIN(DAY('Recurring Schedule'!$F$9),DAY(EOMONTH($A167,0))),MOD((YEAR($A167)-YEAR('Recurring Schedule'!$F$9))*12+MONTH($A167)-MONTH('Recurring Schedule'!$F$9),'Recurring Schedule'!$O$9)=0),IF('Recurring Schedule'!$E$9="Weekdays",WEEKDAY($A167,2)&lt;=5,$A167='Recurring Schedule'!$F$9))),4,""))))</f>
        <v/>
      </c>
      <c r="F167">
        <f>IF('Recurring Schedule'!$C$10="","",IF('Recurring Schedule'!$F$10="","",IF(OR($A167&lt;'Recurring Schedule'!$F$10,$A167&gt;'Recurring Schedule'!$P$10),"",IF(IF('Recurring Schedule'!$N$10&gt;0,MOD($A167-'Recurring Schedule'!$F$10,'Recurring Schedule'!$N$10)=0,IF('Recurring Schedule'!$O$10&gt;0,AND(DAY($A167)=MIN(DAY('Recurring Schedule'!$F$10),DAY(EOMONTH($A167,0))),MOD((YEAR($A167)-YEAR('Recurring Schedule'!$F$10))*12+MONTH($A167)-MONTH('Recurring Schedule'!$F$10),'Recurring Schedule'!$O$10)=0),IF('Recurring Schedule'!$E$10="Weekdays",WEEKDAY($A167,2)&lt;=5,$A167='Recurring Schedule'!$F$10))),5,""))))</f>
        <v/>
      </c>
      <c r="G167">
        <f>IF('Recurring Schedule'!$C$11="","",IF('Recurring Schedule'!$F$11="","",IF(OR($A167&lt;'Recurring Schedule'!$F$11,$A167&gt;'Recurring Schedule'!$P$11),"",IF(IF('Recurring Schedule'!$N$11&gt;0,MOD($A167-'Recurring Schedule'!$F$11,'Recurring Schedule'!$N$11)=0,IF('Recurring Schedule'!$O$11&gt;0,AND(DAY($A167)=MIN(DAY('Recurring Schedule'!$F$11),DAY(EOMONTH($A167,0))),MOD((YEAR($A167)-YEAR('Recurring Schedule'!$F$11))*12+MONTH($A167)-MONTH('Recurring Schedule'!$F$11),'Recurring Schedule'!$O$11)=0),IF('Recurring Schedule'!$E$11="Weekdays",WEEKDAY($A167,2)&lt;=5,$A167='Recurring Schedule'!$F$11))),6,""))))</f>
        <v/>
      </c>
      <c r="H167">
        <f>IF('Recurring Schedule'!$C$12="","",IF('Recurring Schedule'!$F$12="","",IF(OR($A167&lt;'Recurring Schedule'!$F$12,$A167&gt;'Recurring Schedule'!$P$12),"",IF(IF('Recurring Schedule'!$N$12&gt;0,MOD($A167-'Recurring Schedule'!$F$12,'Recurring Schedule'!$N$12)=0,IF('Recurring Schedule'!$O$12&gt;0,AND(DAY($A167)=MIN(DAY('Recurring Schedule'!$F$12),DAY(EOMONTH($A167,0))),MOD((YEAR($A167)-YEAR('Recurring Schedule'!$F$12))*12+MONTH($A167)-MONTH('Recurring Schedule'!$F$12),'Recurring Schedule'!$O$12)=0),IF('Recurring Schedule'!$E$12="Weekdays",WEEKDAY($A167,2)&lt;=5,$A167='Recurring Schedule'!$F$12))),7,""))))</f>
        <v/>
      </c>
      <c r="I167">
        <f>IF('Recurring Schedule'!$C$13="","",IF('Recurring Schedule'!$F$13="","",IF(OR($A167&lt;'Recurring Schedule'!$F$13,$A167&gt;'Recurring Schedule'!$P$13),"",IF(IF('Recurring Schedule'!$N$13&gt;0,MOD($A167-'Recurring Schedule'!$F$13,'Recurring Schedule'!$N$13)=0,IF('Recurring Schedule'!$O$13&gt;0,AND(DAY($A167)=MIN(DAY('Recurring Schedule'!$F$13),DAY(EOMONTH($A167,0))),MOD((YEAR($A167)-YEAR('Recurring Schedule'!$F$13))*12+MONTH($A167)-MONTH('Recurring Schedule'!$F$13),'Recurring Schedule'!$O$13)=0),IF('Recurring Schedule'!$E$13="Weekdays",WEEKDAY($A167,2)&lt;=5,$A167='Recurring Schedule'!$F$13))),8,""))))</f>
        <v/>
      </c>
      <c r="J167">
        <f>IF('Recurring Schedule'!$C$14="","",IF('Recurring Schedule'!$F$14="","",IF(OR($A167&lt;'Recurring Schedule'!$F$14,$A167&gt;'Recurring Schedule'!$P$14),"",IF(IF('Recurring Schedule'!$N$14&gt;0,MOD($A167-'Recurring Schedule'!$F$14,'Recurring Schedule'!$N$14)=0,IF('Recurring Schedule'!$O$14&gt;0,AND(DAY($A167)=MIN(DAY('Recurring Schedule'!$F$14),DAY(EOMONTH($A167,0))),MOD((YEAR($A167)-YEAR('Recurring Schedule'!$F$14))*12+MONTH($A167)-MONTH('Recurring Schedule'!$F$14),'Recurring Schedule'!$O$14)=0),IF('Recurring Schedule'!$E$14="Weekdays",WEEKDAY($A167,2)&lt;=5,$A167='Recurring Schedule'!$F$14))),9,""))))</f>
        <v/>
      </c>
      <c r="K167">
        <f>IF('Recurring Schedule'!$C$15="","",IF('Recurring Schedule'!$F$15="","",IF(OR($A167&lt;'Recurring Schedule'!$F$15,$A167&gt;'Recurring Schedule'!$P$15),"",IF(IF('Recurring Schedule'!$N$15&gt;0,MOD($A167-'Recurring Schedule'!$F$15,'Recurring Schedule'!$N$15)=0,IF('Recurring Schedule'!$O$15&gt;0,AND(DAY($A167)=MIN(DAY('Recurring Schedule'!$F$15),DAY(EOMONTH($A167,0))),MOD((YEAR($A167)-YEAR('Recurring Schedule'!$F$15))*12+MONTH($A167)-MONTH('Recurring Schedule'!$F$15),'Recurring Schedule'!$O$15)=0),IF('Recurring Schedule'!$E$15="Weekdays",WEEKDAY($A167,2)&lt;=5,$A167='Recurring Schedule'!$F$15))),10,""))))</f>
        <v/>
      </c>
      <c r="L167">
        <f>IF('Recurring Schedule'!$C$16="","",IF('Recurring Schedule'!$F$16="","",IF(OR($A167&lt;'Recurring Schedule'!$F$16,$A167&gt;'Recurring Schedule'!$P$16),"",IF(IF('Recurring Schedule'!$N$16&gt;0,MOD($A167-'Recurring Schedule'!$F$16,'Recurring Schedule'!$N$16)=0,IF('Recurring Schedule'!$O$16&gt;0,AND(DAY($A167)=MIN(DAY('Recurring Schedule'!$F$16),DAY(EOMONTH($A167,0))),MOD((YEAR($A167)-YEAR('Recurring Schedule'!$F$16))*12+MONTH($A167)-MONTH('Recurring Schedule'!$F$16),'Recurring Schedule'!$O$16)=0),IF('Recurring Schedule'!$E$16="Weekdays",WEEKDAY($A167,2)&lt;=5,$A167='Recurring Schedule'!$F$16))),11,""))))</f>
        <v/>
      </c>
      <c r="M167">
        <f>IF('Recurring Schedule'!$C$17="","",IF('Recurring Schedule'!$F$17="","",IF(OR($A167&lt;'Recurring Schedule'!$F$17,$A167&gt;'Recurring Schedule'!$P$17),"",IF(IF('Recurring Schedule'!$N$17&gt;0,MOD($A167-'Recurring Schedule'!$F$17,'Recurring Schedule'!$N$17)=0,IF('Recurring Schedule'!$O$17&gt;0,AND(DAY($A167)=MIN(DAY('Recurring Schedule'!$F$17),DAY(EOMONTH($A167,0))),MOD((YEAR($A167)-YEAR('Recurring Schedule'!$F$17))*12+MONTH($A167)-MONTH('Recurring Schedule'!$F$17),'Recurring Schedule'!$O$17)=0),IF('Recurring Schedule'!$E$17="Weekdays",WEEKDAY($A167,2)&lt;=5,$A167='Recurring Schedule'!$F$17))),12,""))))</f>
        <v/>
      </c>
      <c r="N167">
        <f>IF('Recurring Schedule'!$C$18="","",IF('Recurring Schedule'!$F$18="","",IF(OR($A167&lt;'Recurring Schedule'!$F$18,$A167&gt;'Recurring Schedule'!$P$18),"",IF(IF('Recurring Schedule'!$N$18&gt;0,MOD($A167-'Recurring Schedule'!$F$18,'Recurring Schedule'!$N$18)=0,IF('Recurring Schedule'!$O$18&gt;0,AND(DAY($A167)=MIN(DAY('Recurring Schedule'!$F$18),DAY(EOMONTH($A167,0))),MOD((YEAR($A167)-YEAR('Recurring Schedule'!$F$18))*12+MONTH($A167)-MONTH('Recurring Schedule'!$F$18),'Recurring Schedule'!$O$18)=0),IF('Recurring Schedule'!$E$18="Weekdays",WEEKDAY($A167,2)&lt;=5,$A167='Recurring Schedule'!$F$18))),13,""))))</f>
        <v/>
      </c>
      <c r="O167">
        <f>IF('Recurring Schedule'!$C$19="","",IF('Recurring Schedule'!$F$19="","",IF(OR($A167&lt;'Recurring Schedule'!$F$19,$A167&gt;'Recurring Schedule'!$P$19),"",IF(IF('Recurring Schedule'!$N$19&gt;0,MOD($A167-'Recurring Schedule'!$F$19,'Recurring Schedule'!$N$19)=0,IF('Recurring Schedule'!$O$19&gt;0,AND(DAY($A167)=MIN(DAY('Recurring Schedule'!$F$19),DAY(EOMONTH($A167,0))),MOD((YEAR($A167)-YEAR('Recurring Schedule'!$F$19))*12+MONTH($A167)-MONTH('Recurring Schedule'!$F$19),'Recurring Schedule'!$O$19)=0),IF('Recurring Schedule'!$E$19="Weekdays",WEEKDAY($A167,2)&lt;=5,$A167='Recurring Schedule'!$F$19))),14,""))))</f>
        <v/>
      </c>
      <c r="P167">
        <f>IF('Recurring Schedule'!$C$20="","",IF('Recurring Schedule'!$F$20="","",IF(OR($A167&lt;'Recurring Schedule'!$F$20,$A167&gt;'Recurring Schedule'!$P$20),"",IF(IF('Recurring Schedule'!$N$20&gt;0,MOD($A167-'Recurring Schedule'!$F$20,'Recurring Schedule'!$N$20)=0,IF('Recurring Schedule'!$O$20&gt;0,AND(DAY($A167)=MIN(DAY('Recurring Schedule'!$F$20),DAY(EOMONTH($A167,0))),MOD((YEAR($A167)-YEAR('Recurring Schedule'!$F$20))*12+MONTH($A167)-MONTH('Recurring Schedule'!$F$20),'Recurring Schedule'!$O$20)=0),IF('Recurring Schedule'!$E$20="Weekdays",WEEKDAY($A167,2)&lt;=5,$A167='Recurring Schedule'!$F$20))),15,""))))</f>
        <v/>
      </c>
      <c r="Q167">
        <f>IF('Recurring Schedule'!$C$21="","",IF('Recurring Schedule'!$F$21="","",IF(OR($A167&lt;'Recurring Schedule'!$F$21,$A167&gt;'Recurring Schedule'!$P$21),"",IF(IF('Recurring Schedule'!$N$21&gt;0,MOD($A167-'Recurring Schedule'!$F$21,'Recurring Schedule'!$N$21)=0,IF('Recurring Schedule'!$O$21&gt;0,AND(DAY($A167)=MIN(DAY('Recurring Schedule'!$F$21),DAY(EOMONTH($A167,0))),MOD((YEAR($A167)-YEAR('Recurring Schedule'!$F$21))*12+MONTH($A167)-MONTH('Recurring Schedule'!$F$21),'Recurring Schedule'!$O$21)=0),IF('Recurring Schedule'!$E$21="Weekdays",WEEKDAY($A167,2)&lt;=5,$A167='Recurring Schedule'!$F$21))),16,""))))</f>
        <v/>
      </c>
      <c r="R167">
        <f>IF('Recurring Schedule'!$C$22="","",IF('Recurring Schedule'!$F$22="","",IF(OR($A167&lt;'Recurring Schedule'!$F$22,$A167&gt;'Recurring Schedule'!$P$22),"",IF(IF('Recurring Schedule'!$N$22&gt;0,MOD($A167-'Recurring Schedule'!$F$22,'Recurring Schedule'!$N$22)=0,IF('Recurring Schedule'!$O$22&gt;0,AND(DAY($A167)=MIN(DAY('Recurring Schedule'!$F$22),DAY(EOMONTH($A167,0))),MOD((YEAR($A167)-YEAR('Recurring Schedule'!$F$22))*12+MONTH($A167)-MONTH('Recurring Schedule'!$F$22),'Recurring Schedule'!$O$22)=0),IF('Recurring Schedule'!$E$22="Weekdays",WEEKDAY($A167,2)&lt;=5,$A167='Recurring Schedule'!$F$22))),17,""))))</f>
        <v/>
      </c>
      <c r="S167">
        <f>IF('Recurring Schedule'!$C$23="","",IF('Recurring Schedule'!$F$23="","",IF(OR($A167&lt;'Recurring Schedule'!$F$23,$A167&gt;'Recurring Schedule'!$P$23),"",IF(IF('Recurring Schedule'!$N$23&gt;0,MOD($A167-'Recurring Schedule'!$F$23,'Recurring Schedule'!$N$23)=0,IF('Recurring Schedule'!$O$23&gt;0,AND(DAY($A167)=MIN(DAY('Recurring Schedule'!$F$23),DAY(EOMONTH($A167,0))),MOD((YEAR($A167)-YEAR('Recurring Schedule'!$F$23))*12+MONTH($A167)-MONTH('Recurring Schedule'!$F$23),'Recurring Schedule'!$O$23)=0),IF('Recurring Schedule'!$E$23="Weekdays",WEEKDAY($A167,2)&lt;=5,$A167='Recurring Schedule'!$F$23))),18,""))))</f>
        <v/>
      </c>
      <c r="T167">
        <f>IF('Recurring Schedule'!$C$24="","",IF('Recurring Schedule'!$F$24="","",IF(OR($A167&lt;'Recurring Schedule'!$F$24,$A167&gt;'Recurring Schedule'!$P$24),"",IF(IF('Recurring Schedule'!$N$24&gt;0,MOD($A167-'Recurring Schedule'!$F$24,'Recurring Schedule'!$N$24)=0,IF('Recurring Schedule'!$O$24&gt;0,AND(DAY($A167)=MIN(DAY('Recurring Schedule'!$F$24),DAY(EOMONTH($A167,0))),MOD((YEAR($A167)-YEAR('Recurring Schedule'!$F$24))*12+MONTH($A167)-MONTH('Recurring Schedule'!$F$24),'Recurring Schedule'!$O$24)=0),IF('Recurring Schedule'!$E$24="Weekdays",WEEKDAY($A167,2)&lt;=5,$A167='Recurring Schedule'!$F$24))),19,""))))</f>
        <v/>
      </c>
      <c r="U167">
        <f>IF('Recurring Schedule'!$C$25="","",IF('Recurring Schedule'!$F$25="","",IF(OR($A167&lt;'Recurring Schedule'!$F$25,$A167&gt;'Recurring Schedule'!$P$25),"",IF(IF('Recurring Schedule'!$N$25&gt;0,MOD($A167-'Recurring Schedule'!$F$25,'Recurring Schedule'!$N$25)=0,IF('Recurring Schedule'!$O$25&gt;0,AND(DAY($A167)=MIN(DAY('Recurring Schedule'!$F$25),DAY(EOMONTH($A167,0))),MOD((YEAR($A167)-YEAR('Recurring Schedule'!$F$25))*12+MONTH($A167)-MONTH('Recurring Schedule'!$F$25),'Recurring Schedule'!$O$25)=0),IF('Recurring Schedule'!$E$25="Weekdays",WEEKDAY($A167,2)&lt;=5,$A167='Recurring Schedule'!$F$25))),20,""))))</f>
        <v/>
      </c>
      <c r="V167">
        <f>IF('Recurring Schedule'!$C$26="","",IF('Recurring Schedule'!$F$26="","",IF(OR($A167&lt;'Recurring Schedule'!$F$26,$A167&gt;'Recurring Schedule'!$P$26),"",IF(IF('Recurring Schedule'!$N$26&gt;0,MOD($A167-'Recurring Schedule'!$F$26,'Recurring Schedule'!$N$26)=0,IF('Recurring Schedule'!$O$26&gt;0,AND(DAY($A167)=MIN(DAY('Recurring Schedule'!$F$26),DAY(EOMONTH($A167,0))),MOD((YEAR($A167)-YEAR('Recurring Schedule'!$F$26))*12+MONTH($A167)-MONTH('Recurring Schedule'!$F$26),'Recurring Schedule'!$O$26)=0),IF('Recurring Schedule'!$E$26="Weekdays",WEEKDAY($A167,2)&lt;=5,$A167='Recurring Schedule'!$F$26))),21,""))))</f>
        <v/>
      </c>
      <c r="W167">
        <f>IF('Recurring Schedule'!$C$27="","",IF('Recurring Schedule'!$F$27="","",IF(OR($A167&lt;'Recurring Schedule'!$F$27,$A167&gt;'Recurring Schedule'!$P$27),"",IF(IF('Recurring Schedule'!$N$27&gt;0,MOD($A167-'Recurring Schedule'!$F$27,'Recurring Schedule'!$N$27)=0,IF('Recurring Schedule'!$O$27&gt;0,AND(DAY($A167)=MIN(DAY('Recurring Schedule'!$F$27),DAY(EOMONTH($A167,0))),MOD((YEAR($A167)-YEAR('Recurring Schedule'!$F$27))*12+MONTH($A167)-MONTH('Recurring Schedule'!$F$27),'Recurring Schedule'!$O$27)=0),IF('Recurring Schedule'!$E$27="Weekdays",WEEKDAY($A167,2)&lt;=5,$A167='Recurring Schedule'!$F$27))),22,""))))</f>
        <v/>
      </c>
      <c r="X167">
        <f>IF('Recurring Schedule'!$C$28="","",IF('Recurring Schedule'!$F$28="","",IF(OR($A167&lt;'Recurring Schedule'!$F$28,$A167&gt;'Recurring Schedule'!$P$28),"",IF(IF('Recurring Schedule'!$N$28&gt;0,MOD($A167-'Recurring Schedule'!$F$28,'Recurring Schedule'!$N$28)=0,IF('Recurring Schedule'!$O$28&gt;0,AND(DAY($A167)=MIN(DAY('Recurring Schedule'!$F$28),DAY(EOMONTH($A167,0))),MOD((YEAR($A167)-YEAR('Recurring Schedule'!$F$28))*12+MONTH($A167)-MONTH('Recurring Schedule'!$F$28),'Recurring Schedule'!$O$28)=0),IF('Recurring Schedule'!$E$28="Weekdays",WEEKDAY($A167,2)&lt;=5,$A167='Recurring Schedule'!$F$28))),23,""))))</f>
        <v/>
      </c>
      <c r="Y167">
        <f>IF('Recurring Schedule'!$C$29="","",IF('Recurring Schedule'!$F$29="","",IF(OR($A167&lt;'Recurring Schedule'!$F$29,$A167&gt;'Recurring Schedule'!$P$29),"",IF(IF('Recurring Schedule'!$N$29&gt;0,MOD($A167-'Recurring Schedule'!$F$29,'Recurring Schedule'!$N$29)=0,IF('Recurring Schedule'!$O$29&gt;0,AND(DAY($A167)=MIN(DAY('Recurring Schedule'!$F$29),DAY(EOMONTH($A167,0))),MOD((YEAR($A167)-YEAR('Recurring Schedule'!$F$29))*12+MONTH($A167)-MONTH('Recurring Schedule'!$F$29),'Recurring Schedule'!$O$29)=0),IF('Recurring Schedule'!$E$29="Weekdays",WEEKDAY($A167,2)&lt;=5,$A167='Recurring Schedule'!$F$29))),24,""))))</f>
        <v/>
      </c>
      <c r="Z167">
        <f>IF('Recurring Schedule'!$C$30="","",IF('Recurring Schedule'!$F$30="","",IF(OR($A167&lt;'Recurring Schedule'!$F$30,$A167&gt;'Recurring Schedule'!$P$30),"",IF(IF('Recurring Schedule'!$N$30&gt;0,MOD($A167-'Recurring Schedule'!$F$30,'Recurring Schedule'!$N$30)=0,IF('Recurring Schedule'!$O$30&gt;0,AND(DAY($A167)=MIN(DAY('Recurring Schedule'!$F$30),DAY(EOMONTH($A167,0))),MOD((YEAR($A167)-YEAR('Recurring Schedule'!$F$30))*12+MONTH($A167)-MONTH('Recurring Schedule'!$F$30),'Recurring Schedule'!$O$30)=0),IF('Recurring Schedule'!$E$30="Weekdays",WEEKDAY($A167,2)&lt;=5,$A167='Recurring Schedule'!$F$30))),25,""))))</f>
        <v/>
      </c>
      <c r="AA167">
        <f>IF('Recurring Schedule'!$C$31="","",IF('Recurring Schedule'!$F$31="","",IF(OR($A167&lt;'Recurring Schedule'!$F$31,$A167&gt;'Recurring Schedule'!$P$31),"",IF(IF('Recurring Schedule'!$N$31&gt;0,MOD($A167-'Recurring Schedule'!$F$31,'Recurring Schedule'!$N$31)=0,IF('Recurring Schedule'!$O$31&gt;0,AND(DAY($A167)=MIN(DAY('Recurring Schedule'!$F$31),DAY(EOMONTH($A167,0))),MOD((YEAR($A167)-YEAR('Recurring Schedule'!$F$31))*12+MONTH($A167)-MONTH('Recurring Schedule'!$F$31),'Recurring Schedule'!$O$31)=0),IF('Recurring Schedule'!$E$31="Weekdays",WEEKDAY($A167,2)&lt;=5,$A167='Recurring Schedule'!$F$31))),26,""))))</f>
        <v/>
      </c>
      <c r="AB167">
        <f>IF('Recurring Schedule'!$C$32="","",IF('Recurring Schedule'!$F$32="","",IF(OR($A167&lt;'Recurring Schedule'!$F$32,$A167&gt;'Recurring Schedule'!$P$32),"",IF(IF('Recurring Schedule'!$N$32&gt;0,MOD($A167-'Recurring Schedule'!$F$32,'Recurring Schedule'!$N$32)=0,IF('Recurring Schedule'!$O$32&gt;0,AND(DAY($A167)=MIN(DAY('Recurring Schedule'!$F$32),DAY(EOMONTH($A167,0))),MOD((YEAR($A167)-YEAR('Recurring Schedule'!$F$32))*12+MONTH($A167)-MONTH('Recurring Schedule'!$F$32),'Recurring Schedule'!$O$32)=0),IF('Recurring Schedule'!$E$32="Weekdays",WEEKDAY($A167,2)&lt;=5,$A167='Recurring Schedule'!$F$32))),27,""))))</f>
        <v/>
      </c>
      <c r="AC167">
        <f>IF('Recurring Schedule'!$C$33="","",IF('Recurring Schedule'!$F$33="","",IF(OR($A167&lt;'Recurring Schedule'!$F$33,$A167&gt;'Recurring Schedule'!$P$33),"",IF(IF('Recurring Schedule'!$N$33&gt;0,MOD($A167-'Recurring Schedule'!$F$33,'Recurring Schedule'!$N$33)=0,IF('Recurring Schedule'!$O$33&gt;0,AND(DAY($A167)=MIN(DAY('Recurring Schedule'!$F$33),DAY(EOMONTH($A167,0))),MOD((YEAR($A167)-YEAR('Recurring Schedule'!$F$33))*12+MONTH($A167)-MONTH('Recurring Schedule'!$F$33),'Recurring Schedule'!$O$33)=0),IF('Recurring Schedule'!$E$33="Weekdays",WEEKDAY($A167,2)&lt;=5,$A167='Recurring Schedule'!$F$33))),28,""))))</f>
        <v/>
      </c>
      <c r="AD167">
        <f>IF('Recurring Schedule'!$C$34="","",IF('Recurring Schedule'!$F$34="","",IF(OR($A167&lt;'Recurring Schedule'!$F$34,$A167&gt;'Recurring Schedule'!$P$34),"",IF(IF('Recurring Schedule'!$N$34&gt;0,MOD($A167-'Recurring Schedule'!$F$34,'Recurring Schedule'!$N$34)=0,IF('Recurring Schedule'!$O$34&gt;0,AND(DAY($A167)=MIN(DAY('Recurring Schedule'!$F$34),DAY(EOMONTH($A167,0))),MOD((YEAR($A167)-YEAR('Recurring Schedule'!$F$34))*12+MONTH($A167)-MONTH('Recurring Schedule'!$F$34),'Recurring Schedule'!$O$34)=0),IF('Recurring Schedule'!$E$34="Weekdays",WEEKDAY($A167,2)&lt;=5,$A167='Recurring Schedule'!$F$34))),29,""))))</f>
        <v/>
      </c>
      <c r="AE167">
        <f>IF('Recurring Schedule'!$C$35="","",IF('Recurring Schedule'!$F$35="","",IF(OR($A167&lt;'Recurring Schedule'!$F$35,$A167&gt;'Recurring Schedule'!$P$35),"",IF(IF('Recurring Schedule'!$N$35&gt;0,MOD($A167-'Recurring Schedule'!$F$35,'Recurring Schedule'!$N$35)=0,IF('Recurring Schedule'!$O$35&gt;0,AND(DAY($A167)=MIN(DAY('Recurring Schedule'!$F$35),DAY(EOMONTH($A167,0))),MOD((YEAR($A167)-YEAR('Recurring Schedule'!$F$35))*12+MONTH($A167)-MONTH('Recurring Schedule'!$F$35),'Recurring Schedule'!$O$35)=0),IF('Recurring Schedule'!$E$35="Weekdays",WEEKDAY($A167,2)&lt;=5,$A167='Recurring Schedule'!$F$35))),30,""))))</f>
        <v/>
      </c>
      <c r="AF167">
        <f>IF('Recurring Schedule'!$C$36="","",IF('Recurring Schedule'!$F$36="","",IF(OR($A167&lt;'Recurring Schedule'!$F$36,$A167&gt;'Recurring Schedule'!$P$36),"",IF(IF('Recurring Schedule'!$N$36&gt;0,MOD($A167-'Recurring Schedule'!$F$36,'Recurring Schedule'!$N$36)=0,IF('Recurring Schedule'!$O$36&gt;0,AND(DAY($A167)=MIN(DAY('Recurring Schedule'!$F$36),DAY(EOMONTH($A167,0))),MOD((YEAR($A167)-YEAR('Recurring Schedule'!$F$36))*12+MONTH($A167)-MONTH('Recurring Schedule'!$F$36),'Recurring Schedule'!$O$36)=0),IF('Recurring Schedule'!$E$36="Weekdays",WEEKDAY($A167,2)&lt;=5,$A167='Recurring Schedule'!$F$36))),31,""))))</f>
        <v/>
      </c>
      <c r="AG167">
        <f>IF('Recurring Schedule'!$C$37="","",IF('Recurring Schedule'!$F$37="","",IF(OR($A167&lt;'Recurring Schedule'!$F$37,$A167&gt;'Recurring Schedule'!$P$37),"",IF(IF('Recurring Schedule'!$N$37&gt;0,MOD($A167-'Recurring Schedule'!$F$37,'Recurring Schedule'!$N$37)=0,IF('Recurring Schedule'!$O$37&gt;0,AND(DAY($A167)=MIN(DAY('Recurring Schedule'!$F$37),DAY(EOMONTH($A167,0))),MOD((YEAR($A167)-YEAR('Recurring Schedule'!$F$37))*12+MONTH($A167)-MONTH('Recurring Schedule'!$F$37),'Recurring Schedule'!$O$37)=0),IF('Recurring Schedule'!$E$37="Weekdays",WEEKDAY($A167,2)&lt;=5,$A167='Recurring Schedule'!$F$37))),32,""))))</f>
        <v/>
      </c>
      <c r="AH167">
        <f>IF('Recurring Schedule'!$C$38="","",IF('Recurring Schedule'!$F$38="","",IF(OR($A167&lt;'Recurring Schedule'!$F$38,$A167&gt;'Recurring Schedule'!$P$38),"",IF(IF('Recurring Schedule'!$N$38&gt;0,MOD($A167-'Recurring Schedule'!$F$38,'Recurring Schedule'!$N$38)=0,IF('Recurring Schedule'!$O$38&gt;0,AND(DAY($A167)=MIN(DAY('Recurring Schedule'!$F$38),DAY(EOMONTH($A167,0))),MOD((YEAR($A167)-YEAR('Recurring Schedule'!$F$38))*12+MONTH($A167)-MONTH('Recurring Schedule'!$F$38),'Recurring Schedule'!$O$38)=0),IF('Recurring Schedule'!$E$38="Weekdays",WEEKDAY($A167,2)&lt;=5,$A167='Recurring Schedule'!$F$38))),33,""))))</f>
        <v/>
      </c>
      <c r="AI167">
        <f>IF('Recurring Schedule'!$C$39="","",IF('Recurring Schedule'!$F$39="","",IF(OR($A167&lt;'Recurring Schedule'!$F$39,$A167&gt;'Recurring Schedule'!$P$39),"",IF(IF('Recurring Schedule'!$N$39&gt;0,MOD($A167-'Recurring Schedule'!$F$39,'Recurring Schedule'!$N$39)=0,IF('Recurring Schedule'!$O$39&gt;0,AND(DAY($A167)=MIN(DAY('Recurring Schedule'!$F$39),DAY(EOMONTH($A167,0))),MOD((YEAR($A167)-YEAR('Recurring Schedule'!$F$39))*12+MONTH($A167)-MONTH('Recurring Schedule'!$F$39),'Recurring Schedule'!$O$39)=0),IF('Recurring Schedule'!$E$39="Weekdays",WEEKDAY($A167,2)&lt;=5,$A167='Recurring Schedule'!$F$39))),34,""))))</f>
        <v/>
      </c>
      <c r="AJ167">
        <f>IF('Recurring Schedule'!$C$40="","",IF('Recurring Schedule'!$F$40="","",IF(OR($A167&lt;'Recurring Schedule'!$F$40,$A167&gt;'Recurring Schedule'!$P$40),"",IF(IF('Recurring Schedule'!$N$40&gt;0,MOD($A167-'Recurring Schedule'!$F$40,'Recurring Schedule'!$N$40)=0,IF('Recurring Schedule'!$O$40&gt;0,AND(DAY($A167)=MIN(DAY('Recurring Schedule'!$F$40),DAY(EOMONTH($A167,0))),MOD((YEAR($A167)-YEAR('Recurring Schedule'!$F$40))*12+MONTH($A167)-MONTH('Recurring Schedule'!$F$40),'Recurring Schedule'!$O$40)=0),IF('Recurring Schedule'!$E$40="Weekdays",WEEKDAY($A167,2)&lt;=5,$A167='Recurring Schedule'!$F$40))),35,""))))</f>
        <v/>
      </c>
      <c r="AK167">
        <f>IF('Recurring Schedule'!$C$41="","",IF('Recurring Schedule'!$F$41="","",IF(OR($A167&lt;'Recurring Schedule'!$F$41,$A167&gt;'Recurring Schedule'!$P$41),"",IF(IF('Recurring Schedule'!$N$41&gt;0,MOD($A167-'Recurring Schedule'!$F$41,'Recurring Schedule'!$N$41)=0,IF('Recurring Schedule'!$O$41&gt;0,AND(DAY($A167)=MIN(DAY('Recurring Schedule'!$F$41),DAY(EOMONTH($A167,0))),MOD((YEAR($A167)-YEAR('Recurring Schedule'!$F$41))*12+MONTH($A167)-MONTH('Recurring Schedule'!$F$41),'Recurring Schedule'!$O$41)=0),IF('Recurring Schedule'!$E$41="Weekdays",WEEKDAY($A167,2)&lt;=5,$A167='Recurring Schedule'!$F$41))),36,""))))</f>
        <v/>
      </c>
      <c r="AL167">
        <f>IF('Recurring Schedule'!$C$42="","",IF('Recurring Schedule'!$F$42="","",IF(OR($A167&lt;'Recurring Schedule'!$F$42,$A167&gt;'Recurring Schedule'!$P$42),"",IF(IF('Recurring Schedule'!$N$42&gt;0,MOD($A167-'Recurring Schedule'!$F$42,'Recurring Schedule'!$N$42)=0,IF('Recurring Schedule'!$O$42&gt;0,AND(DAY($A167)=MIN(DAY('Recurring Schedule'!$F$42),DAY(EOMONTH($A167,0))),MOD((YEAR($A167)-YEAR('Recurring Schedule'!$F$42))*12+MONTH($A167)-MONTH('Recurring Schedule'!$F$42),'Recurring Schedule'!$O$42)=0),IF('Recurring Schedule'!$E$42="Weekdays",WEEKDAY($A167,2)&lt;=5,$A167='Recurring Schedule'!$F$42))),37,""))))</f>
        <v/>
      </c>
      <c r="AM167">
        <f>IF('Recurring Schedule'!$C$43="","",IF('Recurring Schedule'!$F$43="","",IF(OR($A167&lt;'Recurring Schedule'!$F$43,$A167&gt;'Recurring Schedule'!$P$43),"",IF(IF('Recurring Schedule'!$N$43&gt;0,MOD($A167-'Recurring Schedule'!$F$43,'Recurring Schedule'!$N$43)=0,IF('Recurring Schedule'!$O$43&gt;0,AND(DAY($A167)=MIN(DAY('Recurring Schedule'!$F$43),DAY(EOMONTH($A167,0))),MOD((YEAR($A167)-YEAR('Recurring Schedule'!$F$43))*12+MONTH($A167)-MONTH('Recurring Schedule'!$F$43),'Recurring Schedule'!$O$43)=0),IF('Recurring Schedule'!$E$43="Weekdays",WEEKDAY($A167,2)&lt;=5,$A167='Recurring Schedule'!$F$43))),38,""))))</f>
        <v/>
      </c>
      <c r="AN167">
        <f>IF('Recurring Schedule'!$C$44="","",IF('Recurring Schedule'!$F$44="","",IF(OR($A167&lt;'Recurring Schedule'!$F$44,$A167&gt;'Recurring Schedule'!$P$44),"",IF(IF('Recurring Schedule'!$N$44&gt;0,MOD($A167-'Recurring Schedule'!$F$44,'Recurring Schedule'!$N$44)=0,IF('Recurring Schedule'!$O$44&gt;0,AND(DAY($A167)=MIN(DAY('Recurring Schedule'!$F$44),DAY(EOMONTH($A167,0))),MOD((YEAR($A167)-YEAR('Recurring Schedule'!$F$44))*12+MONTH($A167)-MONTH('Recurring Schedule'!$F$44),'Recurring Schedule'!$O$44)=0),IF('Recurring Schedule'!$E$44="Weekdays",WEEKDAY($A167,2)&lt;=5,$A167='Recurring Schedule'!$F$44))),39,""))))</f>
        <v/>
      </c>
      <c r="AO167">
        <f>IF('Recurring Schedule'!$C$45="","",IF('Recurring Schedule'!$F$45="","",IF(OR($A167&lt;'Recurring Schedule'!$F$45,$A167&gt;'Recurring Schedule'!$P$45),"",IF(IF('Recurring Schedule'!$N$45&gt;0,MOD($A167-'Recurring Schedule'!$F$45,'Recurring Schedule'!$N$45)=0,IF('Recurring Schedule'!$O$45&gt;0,AND(DAY($A167)=MIN(DAY('Recurring Schedule'!$F$45),DAY(EOMONTH($A167,0))),MOD((YEAR($A167)-YEAR('Recurring Schedule'!$F$45))*12+MONTH($A167)-MONTH('Recurring Schedule'!$F$45),'Recurring Schedule'!$O$45)=0),IF('Recurring Schedule'!$E$45="Weekdays",WEEKDAY($A167,2)&lt;=5,$A167='Recurring Schedule'!$F$45))),40,""))))</f>
        <v/>
      </c>
      <c r="AP167">
        <f>COUNT(B167:AO167)</f>
        <v/>
      </c>
      <c r="AQ167">
        <f>AQ166+AP166</f>
        <v/>
      </c>
      <c r="AS167" t="inlineStr">
        <is>
          <t>R</t>
        </is>
      </c>
      <c r="AT167" t="n">
        <v>171</v>
      </c>
      <c r="AU167">
        <f>'Recurring Log'!C171&amp;""</f>
        <v/>
      </c>
      <c r="AV167">
        <f>'Recurring Log'!D171&amp;""</f>
        <v/>
      </c>
      <c r="AW167">
        <f>IF('Recurring Log'!E171="","",'Recurring Log'!E171)</f>
        <v/>
      </c>
      <c r="AX167">
        <f>IF('Recurring Log'!G171="","",'Recurring Log'!G171)</f>
        <v/>
      </c>
      <c r="AY167">
        <f>IF('Recurring Log'!H171="","",'Recurring Log'!H171)</f>
        <v/>
      </c>
      <c r="AZ167">
        <f>IF(AU167="","",IF('Recurring Log'!J171="","Not Started",'Recurring Log'!J171))</f>
        <v/>
      </c>
      <c r="BA167">
        <f>'Recurring Log'!L171&amp;""</f>
        <v/>
      </c>
      <c r="BB167">
        <f>'Recurring Log'!M171&amp;""</f>
        <v/>
      </c>
      <c r="BC167">
        <f>'Recurring Log'!N171&amp;""</f>
        <v/>
      </c>
      <c r="BD167">
        <f>'Recurring Log'!O171&amp;""</f>
        <v/>
      </c>
      <c r="BE167">
        <f>IF('Recurring Log'!K171="","",'Recurring Log'!K171)</f>
        <v/>
      </c>
      <c r="BF167">
        <f>IFERROR(MATCH(BA167,Setup!$L$6:$L$9,0),5)</f>
        <v/>
      </c>
      <c r="BG167">
        <f>IF(OR(AZ167="Done",AZ167="Cancelled"),1,0)</f>
        <v/>
      </c>
      <c r="BH167">
        <f>IF(AND(AU167&lt;&gt;"",ISNUMBER(AW167)),1,0)</f>
        <v/>
      </c>
      <c r="BI167">
        <f>IF(BH167=0,0,IF(AND(AW167&gt;='Tasks Filter'!$F$3,AW167&lt;='Tasks Filter'!$F$4,OR('Tasks Filter'!$I$3="",ISNUMBER(SEARCH('Tasks Filter'!$I$3,AU167))),OR('Tasks Filter'!$I$4="",BF167=IFERROR(MATCH('Tasks Filter'!$I$4,Setup!$L$6:$L$9,0),0)),OR('Tasks Filter'!$I$5="Both",AND('Tasks Filter'!$I$5="Yes",BB167="✓"),AND('Tasks Filter'!$I$5="No",BB167&lt;&gt;"✓")),OR('Tasks Filter'!$L$3="",AV167='Tasks Filter'!$L$3),OR('Tasks Filter'!$L$4="",AZ167='Tasks Filter'!$L$4),OR('Tasks Filter'!$L$5="",BC167='Tasks Filter'!$L$5),OR('Tasks Filter'!$O$3="",BD167='Tasks Filter'!$O$3),OR('Tasks Filter'!$O$4="Yes",BG167=0)),1,0))</f>
        <v/>
      </c>
      <c r="BJ167">
        <f>IF(BH167=0,"",IF('Tasks Filter'!$F$6="Descending",-1,1)*CHOOSE(MATCH('Tasks Filter'!$F$5,Lists!$G$2:$G$6,0),AW167,BF167,IFERROR(MATCH(AV167,Setup!$F$6:$F$15,0),99),IFERROR(MATCH(BC167,Setup!$H$6:$H$15,0),99),IFERROR(MATCH(AZ167,Setup!$J$6:$J$11,0),99))*1E+9+(AW167-40000)*10000+166)</f>
        <v/>
      </c>
      <c r="BK167">
        <f>IF(BI167=1,BJ167,"")</f>
        <v/>
      </c>
      <c r="BL167">
        <f>IF(AND(BH167=1,BG167=0,N(AW167)&lt;Setup!$D$7),(AW167-40000)*10000+166,"")</f>
        <v/>
      </c>
      <c r="BM167">
        <f>IF(AND(BH167=1,AZ167&lt;&gt;"Cancelled",N(AW167)&gt;=Dashboard!$AB$3,N(AW167)&lt;=Dashboard!$AB$3+6),(AW167-40000)*100000+BF167*10000+166,"")</f>
        <v/>
      </c>
      <c r="BN167">
        <f>IF(AND(BH167=1,AZ167&lt;&gt;"Cancelled"),BF167*10000+166,"")</f>
        <v/>
      </c>
    </row>
    <row r="168">
      <c r="A168">
        <f>Setup!$D$5+166</f>
        <v/>
      </c>
      <c r="B168">
        <f>IF('Recurring Schedule'!$C$6="","",IF('Recurring Schedule'!$F$6="","",IF(OR($A168&lt;'Recurring Schedule'!$F$6,$A168&gt;'Recurring Schedule'!$P$6),"",IF(IF('Recurring Schedule'!$N$6&gt;0,MOD($A168-'Recurring Schedule'!$F$6,'Recurring Schedule'!$N$6)=0,IF('Recurring Schedule'!$O$6&gt;0,AND(DAY($A168)=MIN(DAY('Recurring Schedule'!$F$6),DAY(EOMONTH($A168,0))),MOD((YEAR($A168)-YEAR('Recurring Schedule'!$F$6))*12+MONTH($A168)-MONTH('Recurring Schedule'!$F$6),'Recurring Schedule'!$O$6)=0),IF('Recurring Schedule'!$E$6="Weekdays",WEEKDAY($A168,2)&lt;=5,$A168='Recurring Schedule'!$F$6))),1,""))))</f>
        <v/>
      </c>
      <c r="C168">
        <f>IF('Recurring Schedule'!$C$7="","",IF('Recurring Schedule'!$F$7="","",IF(OR($A168&lt;'Recurring Schedule'!$F$7,$A168&gt;'Recurring Schedule'!$P$7),"",IF(IF('Recurring Schedule'!$N$7&gt;0,MOD($A168-'Recurring Schedule'!$F$7,'Recurring Schedule'!$N$7)=0,IF('Recurring Schedule'!$O$7&gt;0,AND(DAY($A168)=MIN(DAY('Recurring Schedule'!$F$7),DAY(EOMONTH($A168,0))),MOD((YEAR($A168)-YEAR('Recurring Schedule'!$F$7))*12+MONTH($A168)-MONTH('Recurring Schedule'!$F$7),'Recurring Schedule'!$O$7)=0),IF('Recurring Schedule'!$E$7="Weekdays",WEEKDAY($A168,2)&lt;=5,$A168='Recurring Schedule'!$F$7))),2,""))))</f>
        <v/>
      </c>
      <c r="D168">
        <f>IF('Recurring Schedule'!$C$8="","",IF('Recurring Schedule'!$F$8="","",IF(OR($A168&lt;'Recurring Schedule'!$F$8,$A168&gt;'Recurring Schedule'!$P$8),"",IF(IF('Recurring Schedule'!$N$8&gt;0,MOD($A168-'Recurring Schedule'!$F$8,'Recurring Schedule'!$N$8)=0,IF('Recurring Schedule'!$O$8&gt;0,AND(DAY($A168)=MIN(DAY('Recurring Schedule'!$F$8),DAY(EOMONTH($A168,0))),MOD((YEAR($A168)-YEAR('Recurring Schedule'!$F$8))*12+MONTH($A168)-MONTH('Recurring Schedule'!$F$8),'Recurring Schedule'!$O$8)=0),IF('Recurring Schedule'!$E$8="Weekdays",WEEKDAY($A168,2)&lt;=5,$A168='Recurring Schedule'!$F$8))),3,""))))</f>
        <v/>
      </c>
      <c r="E168">
        <f>IF('Recurring Schedule'!$C$9="","",IF('Recurring Schedule'!$F$9="","",IF(OR($A168&lt;'Recurring Schedule'!$F$9,$A168&gt;'Recurring Schedule'!$P$9),"",IF(IF('Recurring Schedule'!$N$9&gt;0,MOD($A168-'Recurring Schedule'!$F$9,'Recurring Schedule'!$N$9)=0,IF('Recurring Schedule'!$O$9&gt;0,AND(DAY($A168)=MIN(DAY('Recurring Schedule'!$F$9),DAY(EOMONTH($A168,0))),MOD((YEAR($A168)-YEAR('Recurring Schedule'!$F$9))*12+MONTH($A168)-MONTH('Recurring Schedule'!$F$9),'Recurring Schedule'!$O$9)=0),IF('Recurring Schedule'!$E$9="Weekdays",WEEKDAY($A168,2)&lt;=5,$A168='Recurring Schedule'!$F$9))),4,""))))</f>
        <v/>
      </c>
      <c r="F168">
        <f>IF('Recurring Schedule'!$C$10="","",IF('Recurring Schedule'!$F$10="","",IF(OR($A168&lt;'Recurring Schedule'!$F$10,$A168&gt;'Recurring Schedule'!$P$10),"",IF(IF('Recurring Schedule'!$N$10&gt;0,MOD($A168-'Recurring Schedule'!$F$10,'Recurring Schedule'!$N$10)=0,IF('Recurring Schedule'!$O$10&gt;0,AND(DAY($A168)=MIN(DAY('Recurring Schedule'!$F$10),DAY(EOMONTH($A168,0))),MOD((YEAR($A168)-YEAR('Recurring Schedule'!$F$10))*12+MONTH($A168)-MONTH('Recurring Schedule'!$F$10),'Recurring Schedule'!$O$10)=0),IF('Recurring Schedule'!$E$10="Weekdays",WEEKDAY($A168,2)&lt;=5,$A168='Recurring Schedule'!$F$10))),5,""))))</f>
        <v/>
      </c>
      <c r="G168">
        <f>IF('Recurring Schedule'!$C$11="","",IF('Recurring Schedule'!$F$11="","",IF(OR($A168&lt;'Recurring Schedule'!$F$11,$A168&gt;'Recurring Schedule'!$P$11),"",IF(IF('Recurring Schedule'!$N$11&gt;0,MOD($A168-'Recurring Schedule'!$F$11,'Recurring Schedule'!$N$11)=0,IF('Recurring Schedule'!$O$11&gt;0,AND(DAY($A168)=MIN(DAY('Recurring Schedule'!$F$11),DAY(EOMONTH($A168,0))),MOD((YEAR($A168)-YEAR('Recurring Schedule'!$F$11))*12+MONTH($A168)-MONTH('Recurring Schedule'!$F$11),'Recurring Schedule'!$O$11)=0),IF('Recurring Schedule'!$E$11="Weekdays",WEEKDAY($A168,2)&lt;=5,$A168='Recurring Schedule'!$F$11))),6,""))))</f>
        <v/>
      </c>
      <c r="H168">
        <f>IF('Recurring Schedule'!$C$12="","",IF('Recurring Schedule'!$F$12="","",IF(OR($A168&lt;'Recurring Schedule'!$F$12,$A168&gt;'Recurring Schedule'!$P$12),"",IF(IF('Recurring Schedule'!$N$12&gt;0,MOD($A168-'Recurring Schedule'!$F$12,'Recurring Schedule'!$N$12)=0,IF('Recurring Schedule'!$O$12&gt;0,AND(DAY($A168)=MIN(DAY('Recurring Schedule'!$F$12),DAY(EOMONTH($A168,0))),MOD((YEAR($A168)-YEAR('Recurring Schedule'!$F$12))*12+MONTH($A168)-MONTH('Recurring Schedule'!$F$12),'Recurring Schedule'!$O$12)=0),IF('Recurring Schedule'!$E$12="Weekdays",WEEKDAY($A168,2)&lt;=5,$A168='Recurring Schedule'!$F$12))),7,""))))</f>
        <v/>
      </c>
      <c r="I168">
        <f>IF('Recurring Schedule'!$C$13="","",IF('Recurring Schedule'!$F$13="","",IF(OR($A168&lt;'Recurring Schedule'!$F$13,$A168&gt;'Recurring Schedule'!$P$13),"",IF(IF('Recurring Schedule'!$N$13&gt;0,MOD($A168-'Recurring Schedule'!$F$13,'Recurring Schedule'!$N$13)=0,IF('Recurring Schedule'!$O$13&gt;0,AND(DAY($A168)=MIN(DAY('Recurring Schedule'!$F$13),DAY(EOMONTH($A168,0))),MOD((YEAR($A168)-YEAR('Recurring Schedule'!$F$13))*12+MONTH($A168)-MONTH('Recurring Schedule'!$F$13),'Recurring Schedule'!$O$13)=0),IF('Recurring Schedule'!$E$13="Weekdays",WEEKDAY($A168,2)&lt;=5,$A168='Recurring Schedule'!$F$13))),8,""))))</f>
        <v/>
      </c>
      <c r="J168">
        <f>IF('Recurring Schedule'!$C$14="","",IF('Recurring Schedule'!$F$14="","",IF(OR($A168&lt;'Recurring Schedule'!$F$14,$A168&gt;'Recurring Schedule'!$P$14),"",IF(IF('Recurring Schedule'!$N$14&gt;0,MOD($A168-'Recurring Schedule'!$F$14,'Recurring Schedule'!$N$14)=0,IF('Recurring Schedule'!$O$14&gt;0,AND(DAY($A168)=MIN(DAY('Recurring Schedule'!$F$14),DAY(EOMONTH($A168,0))),MOD((YEAR($A168)-YEAR('Recurring Schedule'!$F$14))*12+MONTH($A168)-MONTH('Recurring Schedule'!$F$14),'Recurring Schedule'!$O$14)=0),IF('Recurring Schedule'!$E$14="Weekdays",WEEKDAY($A168,2)&lt;=5,$A168='Recurring Schedule'!$F$14))),9,""))))</f>
        <v/>
      </c>
      <c r="K168">
        <f>IF('Recurring Schedule'!$C$15="","",IF('Recurring Schedule'!$F$15="","",IF(OR($A168&lt;'Recurring Schedule'!$F$15,$A168&gt;'Recurring Schedule'!$P$15),"",IF(IF('Recurring Schedule'!$N$15&gt;0,MOD($A168-'Recurring Schedule'!$F$15,'Recurring Schedule'!$N$15)=0,IF('Recurring Schedule'!$O$15&gt;0,AND(DAY($A168)=MIN(DAY('Recurring Schedule'!$F$15),DAY(EOMONTH($A168,0))),MOD((YEAR($A168)-YEAR('Recurring Schedule'!$F$15))*12+MONTH($A168)-MONTH('Recurring Schedule'!$F$15),'Recurring Schedule'!$O$15)=0),IF('Recurring Schedule'!$E$15="Weekdays",WEEKDAY($A168,2)&lt;=5,$A168='Recurring Schedule'!$F$15))),10,""))))</f>
        <v/>
      </c>
      <c r="L168">
        <f>IF('Recurring Schedule'!$C$16="","",IF('Recurring Schedule'!$F$16="","",IF(OR($A168&lt;'Recurring Schedule'!$F$16,$A168&gt;'Recurring Schedule'!$P$16),"",IF(IF('Recurring Schedule'!$N$16&gt;0,MOD($A168-'Recurring Schedule'!$F$16,'Recurring Schedule'!$N$16)=0,IF('Recurring Schedule'!$O$16&gt;0,AND(DAY($A168)=MIN(DAY('Recurring Schedule'!$F$16),DAY(EOMONTH($A168,0))),MOD((YEAR($A168)-YEAR('Recurring Schedule'!$F$16))*12+MONTH($A168)-MONTH('Recurring Schedule'!$F$16),'Recurring Schedule'!$O$16)=0),IF('Recurring Schedule'!$E$16="Weekdays",WEEKDAY($A168,2)&lt;=5,$A168='Recurring Schedule'!$F$16))),11,""))))</f>
        <v/>
      </c>
      <c r="M168">
        <f>IF('Recurring Schedule'!$C$17="","",IF('Recurring Schedule'!$F$17="","",IF(OR($A168&lt;'Recurring Schedule'!$F$17,$A168&gt;'Recurring Schedule'!$P$17),"",IF(IF('Recurring Schedule'!$N$17&gt;0,MOD($A168-'Recurring Schedule'!$F$17,'Recurring Schedule'!$N$17)=0,IF('Recurring Schedule'!$O$17&gt;0,AND(DAY($A168)=MIN(DAY('Recurring Schedule'!$F$17),DAY(EOMONTH($A168,0))),MOD((YEAR($A168)-YEAR('Recurring Schedule'!$F$17))*12+MONTH($A168)-MONTH('Recurring Schedule'!$F$17),'Recurring Schedule'!$O$17)=0),IF('Recurring Schedule'!$E$17="Weekdays",WEEKDAY($A168,2)&lt;=5,$A168='Recurring Schedule'!$F$17))),12,""))))</f>
        <v/>
      </c>
      <c r="N168">
        <f>IF('Recurring Schedule'!$C$18="","",IF('Recurring Schedule'!$F$18="","",IF(OR($A168&lt;'Recurring Schedule'!$F$18,$A168&gt;'Recurring Schedule'!$P$18),"",IF(IF('Recurring Schedule'!$N$18&gt;0,MOD($A168-'Recurring Schedule'!$F$18,'Recurring Schedule'!$N$18)=0,IF('Recurring Schedule'!$O$18&gt;0,AND(DAY($A168)=MIN(DAY('Recurring Schedule'!$F$18),DAY(EOMONTH($A168,0))),MOD((YEAR($A168)-YEAR('Recurring Schedule'!$F$18))*12+MONTH($A168)-MONTH('Recurring Schedule'!$F$18),'Recurring Schedule'!$O$18)=0),IF('Recurring Schedule'!$E$18="Weekdays",WEEKDAY($A168,2)&lt;=5,$A168='Recurring Schedule'!$F$18))),13,""))))</f>
        <v/>
      </c>
      <c r="O168">
        <f>IF('Recurring Schedule'!$C$19="","",IF('Recurring Schedule'!$F$19="","",IF(OR($A168&lt;'Recurring Schedule'!$F$19,$A168&gt;'Recurring Schedule'!$P$19),"",IF(IF('Recurring Schedule'!$N$19&gt;0,MOD($A168-'Recurring Schedule'!$F$19,'Recurring Schedule'!$N$19)=0,IF('Recurring Schedule'!$O$19&gt;0,AND(DAY($A168)=MIN(DAY('Recurring Schedule'!$F$19),DAY(EOMONTH($A168,0))),MOD((YEAR($A168)-YEAR('Recurring Schedule'!$F$19))*12+MONTH($A168)-MONTH('Recurring Schedule'!$F$19),'Recurring Schedule'!$O$19)=0),IF('Recurring Schedule'!$E$19="Weekdays",WEEKDAY($A168,2)&lt;=5,$A168='Recurring Schedule'!$F$19))),14,""))))</f>
        <v/>
      </c>
      <c r="P168">
        <f>IF('Recurring Schedule'!$C$20="","",IF('Recurring Schedule'!$F$20="","",IF(OR($A168&lt;'Recurring Schedule'!$F$20,$A168&gt;'Recurring Schedule'!$P$20),"",IF(IF('Recurring Schedule'!$N$20&gt;0,MOD($A168-'Recurring Schedule'!$F$20,'Recurring Schedule'!$N$20)=0,IF('Recurring Schedule'!$O$20&gt;0,AND(DAY($A168)=MIN(DAY('Recurring Schedule'!$F$20),DAY(EOMONTH($A168,0))),MOD((YEAR($A168)-YEAR('Recurring Schedule'!$F$20))*12+MONTH($A168)-MONTH('Recurring Schedule'!$F$20),'Recurring Schedule'!$O$20)=0),IF('Recurring Schedule'!$E$20="Weekdays",WEEKDAY($A168,2)&lt;=5,$A168='Recurring Schedule'!$F$20))),15,""))))</f>
        <v/>
      </c>
      <c r="Q168">
        <f>IF('Recurring Schedule'!$C$21="","",IF('Recurring Schedule'!$F$21="","",IF(OR($A168&lt;'Recurring Schedule'!$F$21,$A168&gt;'Recurring Schedule'!$P$21),"",IF(IF('Recurring Schedule'!$N$21&gt;0,MOD($A168-'Recurring Schedule'!$F$21,'Recurring Schedule'!$N$21)=0,IF('Recurring Schedule'!$O$21&gt;0,AND(DAY($A168)=MIN(DAY('Recurring Schedule'!$F$21),DAY(EOMONTH($A168,0))),MOD((YEAR($A168)-YEAR('Recurring Schedule'!$F$21))*12+MONTH($A168)-MONTH('Recurring Schedule'!$F$21),'Recurring Schedule'!$O$21)=0),IF('Recurring Schedule'!$E$21="Weekdays",WEEKDAY($A168,2)&lt;=5,$A168='Recurring Schedule'!$F$21))),16,""))))</f>
        <v/>
      </c>
      <c r="R168">
        <f>IF('Recurring Schedule'!$C$22="","",IF('Recurring Schedule'!$F$22="","",IF(OR($A168&lt;'Recurring Schedule'!$F$22,$A168&gt;'Recurring Schedule'!$P$22),"",IF(IF('Recurring Schedule'!$N$22&gt;0,MOD($A168-'Recurring Schedule'!$F$22,'Recurring Schedule'!$N$22)=0,IF('Recurring Schedule'!$O$22&gt;0,AND(DAY($A168)=MIN(DAY('Recurring Schedule'!$F$22),DAY(EOMONTH($A168,0))),MOD((YEAR($A168)-YEAR('Recurring Schedule'!$F$22))*12+MONTH($A168)-MONTH('Recurring Schedule'!$F$22),'Recurring Schedule'!$O$22)=0),IF('Recurring Schedule'!$E$22="Weekdays",WEEKDAY($A168,2)&lt;=5,$A168='Recurring Schedule'!$F$22))),17,""))))</f>
        <v/>
      </c>
      <c r="S168">
        <f>IF('Recurring Schedule'!$C$23="","",IF('Recurring Schedule'!$F$23="","",IF(OR($A168&lt;'Recurring Schedule'!$F$23,$A168&gt;'Recurring Schedule'!$P$23),"",IF(IF('Recurring Schedule'!$N$23&gt;0,MOD($A168-'Recurring Schedule'!$F$23,'Recurring Schedule'!$N$23)=0,IF('Recurring Schedule'!$O$23&gt;0,AND(DAY($A168)=MIN(DAY('Recurring Schedule'!$F$23),DAY(EOMONTH($A168,0))),MOD((YEAR($A168)-YEAR('Recurring Schedule'!$F$23))*12+MONTH($A168)-MONTH('Recurring Schedule'!$F$23),'Recurring Schedule'!$O$23)=0),IF('Recurring Schedule'!$E$23="Weekdays",WEEKDAY($A168,2)&lt;=5,$A168='Recurring Schedule'!$F$23))),18,""))))</f>
        <v/>
      </c>
      <c r="T168">
        <f>IF('Recurring Schedule'!$C$24="","",IF('Recurring Schedule'!$F$24="","",IF(OR($A168&lt;'Recurring Schedule'!$F$24,$A168&gt;'Recurring Schedule'!$P$24),"",IF(IF('Recurring Schedule'!$N$24&gt;0,MOD($A168-'Recurring Schedule'!$F$24,'Recurring Schedule'!$N$24)=0,IF('Recurring Schedule'!$O$24&gt;0,AND(DAY($A168)=MIN(DAY('Recurring Schedule'!$F$24),DAY(EOMONTH($A168,0))),MOD((YEAR($A168)-YEAR('Recurring Schedule'!$F$24))*12+MONTH($A168)-MONTH('Recurring Schedule'!$F$24),'Recurring Schedule'!$O$24)=0),IF('Recurring Schedule'!$E$24="Weekdays",WEEKDAY($A168,2)&lt;=5,$A168='Recurring Schedule'!$F$24))),19,""))))</f>
        <v/>
      </c>
      <c r="U168">
        <f>IF('Recurring Schedule'!$C$25="","",IF('Recurring Schedule'!$F$25="","",IF(OR($A168&lt;'Recurring Schedule'!$F$25,$A168&gt;'Recurring Schedule'!$P$25),"",IF(IF('Recurring Schedule'!$N$25&gt;0,MOD($A168-'Recurring Schedule'!$F$25,'Recurring Schedule'!$N$25)=0,IF('Recurring Schedule'!$O$25&gt;0,AND(DAY($A168)=MIN(DAY('Recurring Schedule'!$F$25),DAY(EOMONTH($A168,0))),MOD((YEAR($A168)-YEAR('Recurring Schedule'!$F$25))*12+MONTH($A168)-MONTH('Recurring Schedule'!$F$25),'Recurring Schedule'!$O$25)=0),IF('Recurring Schedule'!$E$25="Weekdays",WEEKDAY($A168,2)&lt;=5,$A168='Recurring Schedule'!$F$25))),20,""))))</f>
        <v/>
      </c>
      <c r="V168">
        <f>IF('Recurring Schedule'!$C$26="","",IF('Recurring Schedule'!$F$26="","",IF(OR($A168&lt;'Recurring Schedule'!$F$26,$A168&gt;'Recurring Schedule'!$P$26),"",IF(IF('Recurring Schedule'!$N$26&gt;0,MOD($A168-'Recurring Schedule'!$F$26,'Recurring Schedule'!$N$26)=0,IF('Recurring Schedule'!$O$26&gt;0,AND(DAY($A168)=MIN(DAY('Recurring Schedule'!$F$26),DAY(EOMONTH($A168,0))),MOD((YEAR($A168)-YEAR('Recurring Schedule'!$F$26))*12+MONTH($A168)-MONTH('Recurring Schedule'!$F$26),'Recurring Schedule'!$O$26)=0),IF('Recurring Schedule'!$E$26="Weekdays",WEEKDAY($A168,2)&lt;=5,$A168='Recurring Schedule'!$F$26))),21,""))))</f>
        <v/>
      </c>
      <c r="W168">
        <f>IF('Recurring Schedule'!$C$27="","",IF('Recurring Schedule'!$F$27="","",IF(OR($A168&lt;'Recurring Schedule'!$F$27,$A168&gt;'Recurring Schedule'!$P$27),"",IF(IF('Recurring Schedule'!$N$27&gt;0,MOD($A168-'Recurring Schedule'!$F$27,'Recurring Schedule'!$N$27)=0,IF('Recurring Schedule'!$O$27&gt;0,AND(DAY($A168)=MIN(DAY('Recurring Schedule'!$F$27),DAY(EOMONTH($A168,0))),MOD((YEAR($A168)-YEAR('Recurring Schedule'!$F$27))*12+MONTH($A168)-MONTH('Recurring Schedule'!$F$27),'Recurring Schedule'!$O$27)=0),IF('Recurring Schedule'!$E$27="Weekdays",WEEKDAY($A168,2)&lt;=5,$A168='Recurring Schedule'!$F$27))),22,""))))</f>
        <v/>
      </c>
      <c r="X168">
        <f>IF('Recurring Schedule'!$C$28="","",IF('Recurring Schedule'!$F$28="","",IF(OR($A168&lt;'Recurring Schedule'!$F$28,$A168&gt;'Recurring Schedule'!$P$28),"",IF(IF('Recurring Schedule'!$N$28&gt;0,MOD($A168-'Recurring Schedule'!$F$28,'Recurring Schedule'!$N$28)=0,IF('Recurring Schedule'!$O$28&gt;0,AND(DAY($A168)=MIN(DAY('Recurring Schedule'!$F$28),DAY(EOMONTH($A168,0))),MOD((YEAR($A168)-YEAR('Recurring Schedule'!$F$28))*12+MONTH($A168)-MONTH('Recurring Schedule'!$F$28),'Recurring Schedule'!$O$28)=0),IF('Recurring Schedule'!$E$28="Weekdays",WEEKDAY($A168,2)&lt;=5,$A168='Recurring Schedule'!$F$28))),23,""))))</f>
        <v/>
      </c>
      <c r="Y168">
        <f>IF('Recurring Schedule'!$C$29="","",IF('Recurring Schedule'!$F$29="","",IF(OR($A168&lt;'Recurring Schedule'!$F$29,$A168&gt;'Recurring Schedule'!$P$29),"",IF(IF('Recurring Schedule'!$N$29&gt;0,MOD($A168-'Recurring Schedule'!$F$29,'Recurring Schedule'!$N$29)=0,IF('Recurring Schedule'!$O$29&gt;0,AND(DAY($A168)=MIN(DAY('Recurring Schedule'!$F$29),DAY(EOMONTH($A168,0))),MOD((YEAR($A168)-YEAR('Recurring Schedule'!$F$29))*12+MONTH($A168)-MONTH('Recurring Schedule'!$F$29),'Recurring Schedule'!$O$29)=0),IF('Recurring Schedule'!$E$29="Weekdays",WEEKDAY($A168,2)&lt;=5,$A168='Recurring Schedule'!$F$29))),24,""))))</f>
        <v/>
      </c>
      <c r="Z168">
        <f>IF('Recurring Schedule'!$C$30="","",IF('Recurring Schedule'!$F$30="","",IF(OR($A168&lt;'Recurring Schedule'!$F$30,$A168&gt;'Recurring Schedule'!$P$30),"",IF(IF('Recurring Schedule'!$N$30&gt;0,MOD($A168-'Recurring Schedule'!$F$30,'Recurring Schedule'!$N$30)=0,IF('Recurring Schedule'!$O$30&gt;0,AND(DAY($A168)=MIN(DAY('Recurring Schedule'!$F$30),DAY(EOMONTH($A168,0))),MOD((YEAR($A168)-YEAR('Recurring Schedule'!$F$30))*12+MONTH($A168)-MONTH('Recurring Schedule'!$F$30),'Recurring Schedule'!$O$30)=0),IF('Recurring Schedule'!$E$30="Weekdays",WEEKDAY($A168,2)&lt;=5,$A168='Recurring Schedule'!$F$30))),25,""))))</f>
        <v/>
      </c>
      <c r="AA168">
        <f>IF('Recurring Schedule'!$C$31="","",IF('Recurring Schedule'!$F$31="","",IF(OR($A168&lt;'Recurring Schedule'!$F$31,$A168&gt;'Recurring Schedule'!$P$31),"",IF(IF('Recurring Schedule'!$N$31&gt;0,MOD($A168-'Recurring Schedule'!$F$31,'Recurring Schedule'!$N$31)=0,IF('Recurring Schedule'!$O$31&gt;0,AND(DAY($A168)=MIN(DAY('Recurring Schedule'!$F$31),DAY(EOMONTH($A168,0))),MOD((YEAR($A168)-YEAR('Recurring Schedule'!$F$31))*12+MONTH($A168)-MONTH('Recurring Schedule'!$F$31),'Recurring Schedule'!$O$31)=0),IF('Recurring Schedule'!$E$31="Weekdays",WEEKDAY($A168,2)&lt;=5,$A168='Recurring Schedule'!$F$31))),26,""))))</f>
        <v/>
      </c>
      <c r="AB168">
        <f>IF('Recurring Schedule'!$C$32="","",IF('Recurring Schedule'!$F$32="","",IF(OR($A168&lt;'Recurring Schedule'!$F$32,$A168&gt;'Recurring Schedule'!$P$32),"",IF(IF('Recurring Schedule'!$N$32&gt;0,MOD($A168-'Recurring Schedule'!$F$32,'Recurring Schedule'!$N$32)=0,IF('Recurring Schedule'!$O$32&gt;0,AND(DAY($A168)=MIN(DAY('Recurring Schedule'!$F$32),DAY(EOMONTH($A168,0))),MOD((YEAR($A168)-YEAR('Recurring Schedule'!$F$32))*12+MONTH($A168)-MONTH('Recurring Schedule'!$F$32),'Recurring Schedule'!$O$32)=0),IF('Recurring Schedule'!$E$32="Weekdays",WEEKDAY($A168,2)&lt;=5,$A168='Recurring Schedule'!$F$32))),27,""))))</f>
        <v/>
      </c>
      <c r="AC168">
        <f>IF('Recurring Schedule'!$C$33="","",IF('Recurring Schedule'!$F$33="","",IF(OR($A168&lt;'Recurring Schedule'!$F$33,$A168&gt;'Recurring Schedule'!$P$33),"",IF(IF('Recurring Schedule'!$N$33&gt;0,MOD($A168-'Recurring Schedule'!$F$33,'Recurring Schedule'!$N$33)=0,IF('Recurring Schedule'!$O$33&gt;0,AND(DAY($A168)=MIN(DAY('Recurring Schedule'!$F$33),DAY(EOMONTH($A168,0))),MOD((YEAR($A168)-YEAR('Recurring Schedule'!$F$33))*12+MONTH($A168)-MONTH('Recurring Schedule'!$F$33),'Recurring Schedule'!$O$33)=0),IF('Recurring Schedule'!$E$33="Weekdays",WEEKDAY($A168,2)&lt;=5,$A168='Recurring Schedule'!$F$33))),28,""))))</f>
        <v/>
      </c>
      <c r="AD168">
        <f>IF('Recurring Schedule'!$C$34="","",IF('Recurring Schedule'!$F$34="","",IF(OR($A168&lt;'Recurring Schedule'!$F$34,$A168&gt;'Recurring Schedule'!$P$34),"",IF(IF('Recurring Schedule'!$N$34&gt;0,MOD($A168-'Recurring Schedule'!$F$34,'Recurring Schedule'!$N$34)=0,IF('Recurring Schedule'!$O$34&gt;0,AND(DAY($A168)=MIN(DAY('Recurring Schedule'!$F$34),DAY(EOMONTH($A168,0))),MOD((YEAR($A168)-YEAR('Recurring Schedule'!$F$34))*12+MONTH($A168)-MONTH('Recurring Schedule'!$F$34),'Recurring Schedule'!$O$34)=0),IF('Recurring Schedule'!$E$34="Weekdays",WEEKDAY($A168,2)&lt;=5,$A168='Recurring Schedule'!$F$34))),29,""))))</f>
        <v/>
      </c>
      <c r="AE168">
        <f>IF('Recurring Schedule'!$C$35="","",IF('Recurring Schedule'!$F$35="","",IF(OR($A168&lt;'Recurring Schedule'!$F$35,$A168&gt;'Recurring Schedule'!$P$35),"",IF(IF('Recurring Schedule'!$N$35&gt;0,MOD($A168-'Recurring Schedule'!$F$35,'Recurring Schedule'!$N$35)=0,IF('Recurring Schedule'!$O$35&gt;0,AND(DAY($A168)=MIN(DAY('Recurring Schedule'!$F$35),DAY(EOMONTH($A168,0))),MOD((YEAR($A168)-YEAR('Recurring Schedule'!$F$35))*12+MONTH($A168)-MONTH('Recurring Schedule'!$F$35),'Recurring Schedule'!$O$35)=0),IF('Recurring Schedule'!$E$35="Weekdays",WEEKDAY($A168,2)&lt;=5,$A168='Recurring Schedule'!$F$35))),30,""))))</f>
        <v/>
      </c>
      <c r="AF168">
        <f>IF('Recurring Schedule'!$C$36="","",IF('Recurring Schedule'!$F$36="","",IF(OR($A168&lt;'Recurring Schedule'!$F$36,$A168&gt;'Recurring Schedule'!$P$36),"",IF(IF('Recurring Schedule'!$N$36&gt;0,MOD($A168-'Recurring Schedule'!$F$36,'Recurring Schedule'!$N$36)=0,IF('Recurring Schedule'!$O$36&gt;0,AND(DAY($A168)=MIN(DAY('Recurring Schedule'!$F$36),DAY(EOMONTH($A168,0))),MOD((YEAR($A168)-YEAR('Recurring Schedule'!$F$36))*12+MONTH($A168)-MONTH('Recurring Schedule'!$F$36),'Recurring Schedule'!$O$36)=0),IF('Recurring Schedule'!$E$36="Weekdays",WEEKDAY($A168,2)&lt;=5,$A168='Recurring Schedule'!$F$36))),31,""))))</f>
        <v/>
      </c>
      <c r="AG168">
        <f>IF('Recurring Schedule'!$C$37="","",IF('Recurring Schedule'!$F$37="","",IF(OR($A168&lt;'Recurring Schedule'!$F$37,$A168&gt;'Recurring Schedule'!$P$37),"",IF(IF('Recurring Schedule'!$N$37&gt;0,MOD($A168-'Recurring Schedule'!$F$37,'Recurring Schedule'!$N$37)=0,IF('Recurring Schedule'!$O$37&gt;0,AND(DAY($A168)=MIN(DAY('Recurring Schedule'!$F$37),DAY(EOMONTH($A168,0))),MOD((YEAR($A168)-YEAR('Recurring Schedule'!$F$37))*12+MONTH($A168)-MONTH('Recurring Schedule'!$F$37),'Recurring Schedule'!$O$37)=0),IF('Recurring Schedule'!$E$37="Weekdays",WEEKDAY($A168,2)&lt;=5,$A168='Recurring Schedule'!$F$37))),32,""))))</f>
        <v/>
      </c>
      <c r="AH168">
        <f>IF('Recurring Schedule'!$C$38="","",IF('Recurring Schedule'!$F$38="","",IF(OR($A168&lt;'Recurring Schedule'!$F$38,$A168&gt;'Recurring Schedule'!$P$38),"",IF(IF('Recurring Schedule'!$N$38&gt;0,MOD($A168-'Recurring Schedule'!$F$38,'Recurring Schedule'!$N$38)=0,IF('Recurring Schedule'!$O$38&gt;0,AND(DAY($A168)=MIN(DAY('Recurring Schedule'!$F$38),DAY(EOMONTH($A168,0))),MOD((YEAR($A168)-YEAR('Recurring Schedule'!$F$38))*12+MONTH($A168)-MONTH('Recurring Schedule'!$F$38),'Recurring Schedule'!$O$38)=0),IF('Recurring Schedule'!$E$38="Weekdays",WEEKDAY($A168,2)&lt;=5,$A168='Recurring Schedule'!$F$38))),33,""))))</f>
        <v/>
      </c>
      <c r="AI168">
        <f>IF('Recurring Schedule'!$C$39="","",IF('Recurring Schedule'!$F$39="","",IF(OR($A168&lt;'Recurring Schedule'!$F$39,$A168&gt;'Recurring Schedule'!$P$39),"",IF(IF('Recurring Schedule'!$N$39&gt;0,MOD($A168-'Recurring Schedule'!$F$39,'Recurring Schedule'!$N$39)=0,IF('Recurring Schedule'!$O$39&gt;0,AND(DAY($A168)=MIN(DAY('Recurring Schedule'!$F$39),DAY(EOMONTH($A168,0))),MOD((YEAR($A168)-YEAR('Recurring Schedule'!$F$39))*12+MONTH($A168)-MONTH('Recurring Schedule'!$F$39),'Recurring Schedule'!$O$39)=0),IF('Recurring Schedule'!$E$39="Weekdays",WEEKDAY($A168,2)&lt;=5,$A168='Recurring Schedule'!$F$39))),34,""))))</f>
        <v/>
      </c>
      <c r="AJ168">
        <f>IF('Recurring Schedule'!$C$40="","",IF('Recurring Schedule'!$F$40="","",IF(OR($A168&lt;'Recurring Schedule'!$F$40,$A168&gt;'Recurring Schedule'!$P$40),"",IF(IF('Recurring Schedule'!$N$40&gt;0,MOD($A168-'Recurring Schedule'!$F$40,'Recurring Schedule'!$N$40)=0,IF('Recurring Schedule'!$O$40&gt;0,AND(DAY($A168)=MIN(DAY('Recurring Schedule'!$F$40),DAY(EOMONTH($A168,0))),MOD((YEAR($A168)-YEAR('Recurring Schedule'!$F$40))*12+MONTH($A168)-MONTH('Recurring Schedule'!$F$40),'Recurring Schedule'!$O$40)=0),IF('Recurring Schedule'!$E$40="Weekdays",WEEKDAY($A168,2)&lt;=5,$A168='Recurring Schedule'!$F$40))),35,""))))</f>
        <v/>
      </c>
      <c r="AK168">
        <f>IF('Recurring Schedule'!$C$41="","",IF('Recurring Schedule'!$F$41="","",IF(OR($A168&lt;'Recurring Schedule'!$F$41,$A168&gt;'Recurring Schedule'!$P$41),"",IF(IF('Recurring Schedule'!$N$41&gt;0,MOD($A168-'Recurring Schedule'!$F$41,'Recurring Schedule'!$N$41)=0,IF('Recurring Schedule'!$O$41&gt;0,AND(DAY($A168)=MIN(DAY('Recurring Schedule'!$F$41),DAY(EOMONTH($A168,0))),MOD((YEAR($A168)-YEAR('Recurring Schedule'!$F$41))*12+MONTH($A168)-MONTH('Recurring Schedule'!$F$41),'Recurring Schedule'!$O$41)=0),IF('Recurring Schedule'!$E$41="Weekdays",WEEKDAY($A168,2)&lt;=5,$A168='Recurring Schedule'!$F$41))),36,""))))</f>
        <v/>
      </c>
      <c r="AL168">
        <f>IF('Recurring Schedule'!$C$42="","",IF('Recurring Schedule'!$F$42="","",IF(OR($A168&lt;'Recurring Schedule'!$F$42,$A168&gt;'Recurring Schedule'!$P$42),"",IF(IF('Recurring Schedule'!$N$42&gt;0,MOD($A168-'Recurring Schedule'!$F$42,'Recurring Schedule'!$N$42)=0,IF('Recurring Schedule'!$O$42&gt;0,AND(DAY($A168)=MIN(DAY('Recurring Schedule'!$F$42),DAY(EOMONTH($A168,0))),MOD((YEAR($A168)-YEAR('Recurring Schedule'!$F$42))*12+MONTH($A168)-MONTH('Recurring Schedule'!$F$42),'Recurring Schedule'!$O$42)=0),IF('Recurring Schedule'!$E$42="Weekdays",WEEKDAY($A168,2)&lt;=5,$A168='Recurring Schedule'!$F$42))),37,""))))</f>
        <v/>
      </c>
      <c r="AM168">
        <f>IF('Recurring Schedule'!$C$43="","",IF('Recurring Schedule'!$F$43="","",IF(OR($A168&lt;'Recurring Schedule'!$F$43,$A168&gt;'Recurring Schedule'!$P$43),"",IF(IF('Recurring Schedule'!$N$43&gt;0,MOD($A168-'Recurring Schedule'!$F$43,'Recurring Schedule'!$N$43)=0,IF('Recurring Schedule'!$O$43&gt;0,AND(DAY($A168)=MIN(DAY('Recurring Schedule'!$F$43),DAY(EOMONTH($A168,0))),MOD((YEAR($A168)-YEAR('Recurring Schedule'!$F$43))*12+MONTH($A168)-MONTH('Recurring Schedule'!$F$43),'Recurring Schedule'!$O$43)=0),IF('Recurring Schedule'!$E$43="Weekdays",WEEKDAY($A168,2)&lt;=5,$A168='Recurring Schedule'!$F$43))),38,""))))</f>
        <v/>
      </c>
      <c r="AN168">
        <f>IF('Recurring Schedule'!$C$44="","",IF('Recurring Schedule'!$F$44="","",IF(OR($A168&lt;'Recurring Schedule'!$F$44,$A168&gt;'Recurring Schedule'!$P$44),"",IF(IF('Recurring Schedule'!$N$44&gt;0,MOD($A168-'Recurring Schedule'!$F$44,'Recurring Schedule'!$N$44)=0,IF('Recurring Schedule'!$O$44&gt;0,AND(DAY($A168)=MIN(DAY('Recurring Schedule'!$F$44),DAY(EOMONTH($A168,0))),MOD((YEAR($A168)-YEAR('Recurring Schedule'!$F$44))*12+MONTH($A168)-MONTH('Recurring Schedule'!$F$44),'Recurring Schedule'!$O$44)=0),IF('Recurring Schedule'!$E$44="Weekdays",WEEKDAY($A168,2)&lt;=5,$A168='Recurring Schedule'!$F$44))),39,""))))</f>
        <v/>
      </c>
      <c r="AO168">
        <f>IF('Recurring Schedule'!$C$45="","",IF('Recurring Schedule'!$F$45="","",IF(OR($A168&lt;'Recurring Schedule'!$F$45,$A168&gt;'Recurring Schedule'!$P$45),"",IF(IF('Recurring Schedule'!$N$45&gt;0,MOD($A168-'Recurring Schedule'!$F$45,'Recurring Schedule'!$N$45)=0,IF('Recurring Schedule'!$O$45&gt;0,AND(DAY($A168)=MIN(DAY('Recurring Schedule'!$F$45),DAY(EOMONTH($A168,0))),MOD((YEAR($A168)-YEAR('Recurring Schedule'!$F$45))*12+MONTH($A168)-MONTH('Recurring Schedule'!$F$45),'Recurring Schedule'!$O$45)=0),IF('Recurring Schedule'!$E$45="Weekdays",WEEKDAY($A168,2)&lt;=5,$A168='Recurring Schedule'!$F$45))),40,""))))</f>
        <v/>
      </c>
      <c r="AP168">
        <f>COUNT(B168:AO168)</f>
        <v/>
      </c>
      <c r="AQ168">
        <f>AQ167+AP167</f>
        <v/>
      </c>
      <c r="AS168" t="inlineStr">
        <is>
          <t>R</t>
        </is>
      </c>
      <c r="AT168" t="n">
        <v>172</v>
      </c>
      <c r="AU168">
        <f>'Recurring Log'!C172&amp;""</f>
        <v/>
      </c>
      <c r="AV168">
        <f>'Recurring Log'!D172&amp;""</f>
        <v/>
      </c>
      <c r="AW168">
        <f>IF('Recurring Log'!E172="","",'Recurring Log'!E172)</f>
        <v/>
      </c>
      <c r="AX168">
        <f>IF('Recurring Log'!G172="","",'Recurring Log'!G172)</f>
        <v/>
      </c>
      <c r="AY168">
        <f>IF('Recurring Log'!H172="","",'Recurring Log'!H172)</f>
        <v/>
      </c>
      <c r="AZ168">
        <f>IF(AU168="","",IF('Recurring Log'!J172="","Not Started",'Recurring Log'!J172))</f>
        <v/>
      </c>
      <c r="BA168">
        <f>'Recurring Log'!L172&amp;""</f>
        <v/>
      </c>
      <c r="BB168">
        <f>'Recurring Log'!M172&amp;""</f>
        <v/>
      </c>
      <c r="BC168">
        <f>'Recurring Log'!N172&amp;""</f>
        <v/>
      </c>
      <c r="BD168">
        <f>'Recurring Log'!O172&amp;""</f>
        <v/>
      </c>
      <c r="BE168">
        <f>IF('Recurring Log'!K172="","",'Recurring Log'!K172)</f>
        <v/>
      </c>
      <c r="BF168">
        <f>IFERROR(MATCH(BA168,Setup!$L$6:$L$9,0),5)</f>
        <v/>
      </c>
      <c r="BG168">
        <f>IF(OR(AZ168="Done",AZ168="Cancelled"),1,0)</f>
        <v/>
      </c>
      <c r="BH168">
        <f>IF(AND(AU168&lt;&gt;"",ISNUMBER(AW168)),1,0)</f>
        <v/>
      </c>
      <c r="BI168">
        <f>IF(BH168=0,0,IF(AND(AW168&gt;='Tasks Filter'!$F$3,AW168&lt;='Tasks Filter'!$F$4,OR('Tasks Filter'!$I$3="",ISNUMBER(SEARCH('Tasks Filter'!$I$3,AU168))),OR('Tasks Filter'!$I$4="",BF168=IFERROR(MATCH('Tasks Filter'!$I$4,Setup!$L$6:$L$9,0),0)),OR('Tasks Filter'!$I$5="Both",AND('Tasks Filter'!$I$5="Yes",BB168="✓"),AND('Tasks Filter'!$I$5="No",BB168&lt;&gt;"✓")),OR('Tasks Filter'!$L$3="",AV168='Tasks Filter'!$L$3),OR('Tasks Filter'!$L$4="",AZ168='Tasks Filter'!$L$4),OR('Tasks Filter'!$L$5="",BC168='Tasks Filter'!$L$5),OR('Tasks Filter'!$O$3="",BD168='Tasks Filter'!$O$3),OR('Tasks Filter'!$O$4="Yes",BG168=0)),1,0))</f>
        <v/>
      </c>
      <c r="BJ168">
        <f>IF(BH168=0,"",IF('Tasks Filter'!$F$6="Descending",-1,1)*CHOOSE(MATCH('Tasks Filter'!$F$5,Lists!$G$2:$G$6,0),AW168,BF168,IFERROR(MATCH(AV168,Setup!$F$6:$F$15,0),99),IFERROR(MATCH(BC168,Setup!$H$6:$H$15,0),99),IFERROR(MATCH(AZ168,Setup!$J$6:$J$11,0),99))*1E+9+(AW168-40000)*10000+167)</f>
        <v/>
      </c>
      <c r="BK168">
        <f>IF(BI168=1,BJ168,"")</f>
        <v/>
      </c>
      <c r="BL168">
        <f>IF(AND(BH168=1,BG168=0,N(AW168)&lt;Setup!$D$7),(AW168-40000)*10000+167,"")</f>
        <v/>
      </c>
      <c r="BM168">
        <f>IF(AND(BH168=1,AZ168&lt;&gt;"Cancelled",N(AW168)&gt;=Dashboard!$AB$3,N(AW168)&lt;=Dashboard!$AB$3+6),(AW168-40000)*100000+BF168*10000+167,"")</f>
        <v/>
      </c>
      <c r="BN168">
        <f>IF(AND(BH168=1,AZ168&lt;&gt;"Cancelled"),BF168*10000+167,"")</f>
        <v/>
      </c>
    </row>
    <row r="169">
      <c r="A169">
        <f>Setup!$D$5+167</f>
        <v/>
      </c>
      <c r="B169">
        <f>IF('Recurring Schedule'!$C$6="","",IF('Recurring Schedule'!$F$6="","",IF(OR($A169&lt;'Recurring Schedule'!$F$6,$A169&gt;'Recurring Schedule'!$P$6),"",IF(IF('Recurring Schedule'!$N$6&gt;0,MOD($A169-'Recurring Schedule'!$F$6,'Recurring Schedule'!$N$6)=0,IF('Recurring Schedule'!$O$6&gt;0,AND(DAY($A169)=MIN(DAY('Recurring Schedule'!$F$6),DAY(EOMONTH($A169,0))),MOD((YEAR($A169)-YEAR('Recurring Schedule'!$F$6))*12+MONTH($A169)-MONTH('Recurring Schedule'!$F$6),'Recurring Schedule'!$O$6)=0),IF('Recurring Schedule'!$E$6="Weekdays",WEEKDAY($A169,2)&lt;=5,$A169='Recurring Schedule'!$F$6))),1,""))))</f>
        <v/>
      </c>
      <c r="C169">
        <f>IF('Recurring Schedule'!$C$7="","",IF('Recurring Schedule'!$F$7="","",IF(OR($A169&lt;'Recurring Schedule'!$F$7,$A169&gt;'Recurring Schedule'!$P$7),"",IF(IF('Recurring Schedule'!$N$7&gt;0,MOD($A169-'Recurring Schedule'!$F$7,'Recurring Schedule'!$N$7)=0,IF('Recurring Schedule'!$O$7&gt;0,AND(DAY($A169)=MIN(DAY('Recurring Schedule'!$F$7),DAY(EOMONTH($A169,0))),MOD((YEAR($A169)-YEAR('Recurring Schedule'!$F$7))*12+MONTH($A169)-MONTH('Recurring Schedule'!$F$7),'Recurring Schedule'!$O$7)=0),IF('Recurring Schedule'!$E$7="Weekdays",WEEKDAY($A169,2)&lt;=5,$A169='Recurring Schedule'!$F$7))),2,""))))</f>
        <v/>
      </c>
      <c r="D169">
        <f>IF('Recurring Schedule'!$C$8="","",IF('Recurring Schedule'!$F$8="","",IF(OR($A169&lt;'Recurring Schedule'!$F$8,$A169&gt;'Recurring Schedule'!$P$8),"",IF(IF('Recurring Schedule'!$N$8&gt;0,MOD($A169-'Recurring Schedule'!$F$8,'Recurring Schedule'!$N$8)=0,IF('Recurring Schedule'!$O$8&gt;0,AND(DAY($A169)=MIN(DAY('Recurring Schedule'!$F$8),DAY(EOMONTH($A169,0))),MOD((YEAR($A169)-YEAR('Recurring Schedule'!$F$8))*12+MONTH($A169)-MONTH('Recurring Schedule'!$F$8),'Recurring Schedule'!$O$8)=0),IF('Recurring Schedule'!$E$8="Weekdays",WEEKDAY($A169,2)&lt;=5,$A169='Recurring Schedule'!$F$8))),3,""))))</f>
        <v/>
      </c>
      <c r="E169">
        <f>IF('Recurring Schedule'!$C$9="","",IF('Recurring Schedule'!$F$9="","",IF(OR($A169&lt;'Recurring Schedule'!$F$9,$A169&gt;'Recurring Schedule'!$P$9),"",IF(IF('Recurring Schedule'!$N$9&gt;0,MOD($A169-'Recurring Schedule'!$F$9,'Recurring Schedule'!$N$9)=0,IF('Recurring Schedule'!$O$9&gt;0,AND(DAY($A169)=MIN(DAY('Recurring Schedule'!$F$9),DAY(EOMONTH($A169,0))),MOD((YEAR($A169)-YEAR('Recurring Schedule'!$F$9))*12+MONTH($A169)-MONTH('Recurring Schedule'!$F$9),'Recurring Schedule'!$O$9)=0),IF('Recurring Schedule'!$E$9="Weekdays",WEEKDAY($A169,2)&lt;=5,$A169='Recurring Schedule'!$F$9))),4,""))))</f>
        <v/>
      </c>
      <c r="F169">
        <f>IF('Recurring Schedule'!$C$10="","",IF('Recurring Schedule'!$F$10="","",IF(OR($A169&lt;'Recurring Schedule'!$F$10,$A169&gt;'Recurring Schedule'!$P$10),"",IF(IF('Recurring Schedule'!$N$10&gt;0,MOD($A169-'Recurring Schedule'!$F$10,'Recurring Schedule'!$N$10)=0,IF('Recurring Schedule'!$O$10&gt;0,AND(DAY($A169)=MIN(DAY('Recurring Schedule'!$F$10),DAY(EOMONTH($A169,0))),MOD((YEAR($A169)-YEAR('Recurring Schedule'!$F$10))*12+MONTH($A169)-MONTH('Recurring Schedule'!$F$10),'Recurring Schedule'!$O$10)=0),IF('Recurring Schedule'!$E$10="Weekdays",WEEKDAY($A169,2)&lt;=5,$A169='Recurring Schedule'!$F$10))),5,""))))</f>
        <v/>
      </c>
      <c r="G169">
        <f>IF('Recurring Schedule'!$C$11="","",IF('Recurring Schedule'!$F$11="","",IF(OR($A169&lt;'Recurring Schedule'!$F$11,$A169&gt;'Recurring Schedule'!$P$11),"",IF(IF('Recurring Schedule'!$N$11&gt;0,MOD($A169-'Recurring Schedule'!$F$11,'Recurring Schedule'!$N$11)=0,IF('Recurring Schedule'!$O$11&gt;0,AND(DAY($A169)=MIN(DAY('Recurring Schedule'!$F$11),DAY(EOMONTH($A169,0))),MOD((YEAR($A169)-YEAR('Recurring Schedule'!$F$11))*12+MONTH($A169)-MONTH('Recurring Schedule'!$F$11),'Recurring Schedule'!$O$11)=0),IF('Recurring Schedule'!$E$11="Weekdays",WEEKDAY($A169,2)&lt;=5,$A169='Recurring Schedule'!$F$11))),6,""))))</f>
        <v/>
      </c>
      <c r="H169">
        <f>IF('Recurring Schedule'!$C$12="","",IF('Recurring Schedule'!$F$12="","",IF(OR($A169&lt;'Recurring Schedule'!$F$12,$A169&gt;'Recurring Schedule'!$P$12),"",IF(IF('Recurring Schedule'!$N$12&gt;0,MOD($A169-'Recurring Schedule'!$F$12,'Recurring Schedule'!$N$12)=0,IF('Recurring Schedule'!$O$12&gt;0,AND(DAY($A169)=MIN(DAY('Recurring Schedule'!$F$12),DAY(EOMONTH($A169,0))),MOD((YEAR($A169)-YEAR('Recurring Schedule'!$F$12))*12+MONTH($A169)-MONTH('Recurring Schedule'!$F$12),'Recurring Schedule'!$O$12)=0),IF('Recurring Schedule'!$E$12="Weekdays",WEEKDAY($A169,2)&lt;=5,$A169='Recurring Schedule'!$F$12))),7,""))))</f>
        <v/>
      </c>
      <c r="I169">
        <f>IF('Recurring Schedule'!$C$13="","",IF('Recurring Schedule'!$F$13="","",IF(OR($A169&lt;'Recurring Schedule'!$F$13,$A169&gt;'Recurring Schedule'!$P$13),"",IF(IF('Recurring Schedule'!$N$13&gt;0,MOD($A169-'Recurring Schedule'!$F$13,'Recurring Schedule'!$N$13)=0,IF('Recurring Schedule'!$O$13&gt;0,AND(DAY($A169)=MIN(DAY('Recurring Schedule'!$F$13),DAY(EOMONTH($A169,0))),MOD((YEAR($A169)-YEAR('Recurring Schedule'!$F$13))*12+MONTH($A169)-MONTH('Recurring Schedule'!$F$13),'Recurring Schedule'!$O$13)=0),IF('Recurring Schedule'!$E$13="Weekdays",WEEKDAY($A169,2)&lt;=5,$A169='Recurring Schedule'!$F$13))),8,""))))</f>
        <v/>
      </c>
      <c r="J169">
        <f>IF('Recurring Schedule'!$C$14="","",IF('Recurring Schedule'!$F$14="","",IF(OR($A169&lt;'Recurring Schedule'!$F$14,$A169&gt;'Recurring Schedule'!$P$14),"",IF(IF('Recurring Schedule'!$N$14&gt;0,MOD($A169-'Recurring Schedule'!$F$14,'Recurring Schedule'!$N$14)=0,IF('Recurring Schedule'!$O$14&gt;0,AND(DAY($A169)=MIN(DAY('Recurring Schedule'!$F$14),DAY(EOMONTH($A169,0))),MOD((YEAR($A169)-YEAR('Recurring Schedule'!$F$14))*12+MONTH($A169)-MONTH('Recurring Schedule'!$F$14),'Recurring Schedule'!$O$14)=0),IF('Recurring Schedule'!$E$14="Weekdays",WEEKDAY($A169,2)&lt;=5,$A169='Recurring Schedule'!$F$14))),9,""))))</f>
        <v/>
      </c>
      <c r="K169">
        <f>IF('Recurring Schedule'!$C$15="","",IF('Recurring Schedule'!$F$15="","",IF(OR($A169&lt;'Recurring Schedule'!$F$15,$A169&gt;'Recurring Schedule'!$P$15),"",IF(IF('Recurring Schedule'!$N$15&gt;0,MOD($A169-'Recurring Schedule'!$F$15,'Recurring Schedule'!$N$15)=0,IF('Recurring Schedule'!$O$15&gt;0,AND(DAY($A169)=MIN(DAY('Recurring Schedule'!$F$15),DAY(EOMONTH($A169,0))),MOD((YEAR($A169)-YEAR('Recurring Schedule'!$F$15))*12+MONTH($A169)-MONTH('Recurring Schedule'!$F$15),'Recurring Schedule'!$O$15)=0),IF('Recurring Schedule'!$E$15="Weekdays",WEEKDAY($A169,2)&lt;=5,$A169='Recurring Schedule'!$F$15))),10,""))))</f>
        <v/>
      </c>
      <c r="L169">
        <f>IF('Recurring Schedule'!$C$16="","",IF('Recurring Schedule'!$F$16="","",IF(OR($A169&lt;'Recurring Schedule'!$F$16,$A169&gt;'Recurring Schedule'!$P$16),"",IF(IF('Recurring Schedule'!$N$16&gt;0,MOD($A169-'Recurring Schedule'!$F$16,'Recurring Schedule'!$N$16)=0,IF('Recurring Schedule'!$O$16&gt;0,AND(DAY($A169)=MIN(DAY('Recurring Schedule'!$F$16),DAY(EOMONTH($A169,0))),MOD((YEAR($A169)-YEAR('Recurring Schedule'!$F$16))*12+MONTH($A169)-MONTH('Recurring Schedule'!$F$16),'Recurring Schedule'!$O$16)=0),IF('Recurring Schedule'!$E$16="Weekdays",WEEKDAY($A169,2)&lt;=5,$A169='Recurring Schedule'!$F$16))),11,""))))</f>
        <v/>
      </c>
      <c r="M169">
        <f>IF('Recurring Schedule'!$C$17="","",IF('Recurring Schedule'!$F$17="","",IF(OR($A169&lt;'Recurring Schedule'!$F$17,$A169&gt;'Recurring Schedule'!$P$17),"",IF(IF('Recurring Schedule'!$N$17&gt;0,MOD($A169-'Recurring Schedule'!$F$17,'Recurring Schedule'!$N$17)=0,IF('Recurring Schedule'!$O$17&gt;0,AND(DAY($A169)=MIN(DAY('Recurring Schedule'!$F$17),DAY(EOMONTH($A169,0))),MOD((YEAR($A169)-YEAR('Recurring Schedule'!$F$17))*12+MONTH($A169)-MONTH('Recurring Schedule'!$F$17),'Recurring Schedule'!$O$17)=0),IF('Recurring Schedule'!$E$17="Weekdays",WEEKDAY($A169,2)&lt;=5,$A169='Recurring Schedule'!$F$17))),12,""))))</f>
        <v/>
      </c>
      <c r="N169">
        <f>IF('Recurring Schedule'!$C$18="","",IF('Recurring Schedule'!$F$18="","",IF(OR($A169&lt;'Recurring Schedule'!$F$18,$A169&gt;'Recurring Schedule'!$P$18),"",IF(IF('Recurring Schedule'!$N$18&gt;0,MOD($A169-'Recurring Schedule'!$F$18,'Recurring Schedule'!$N$18)=0,IF('Recurring Schedule'!$O$18&gt;0,AND(DAY($A169)=MIN(DAY('Recurring Schedule'!$F$18),DAY(EOMONTH($A169,0))),MOD((YEAR($A169)-YEAR('Recurring Schedule'!$F$18))*12+MONTH($A169)-MONTH('Recurring Schedule'!$F$18),'Recurring Schedule'!$O$18)=0),IF('Recurring Schedule'!$E$18="Weekdays",WEEKDAY($A169,2)&lt;=5,$A169='Recurring Schedule'!$F$18))),13,""))))</f>
        <v/>
      </c>
      <c r="O169">
        <f>IF('Recurring Schedule'!$C$19="","",IF('Recurring Schedule'!$F$19="","",IF(OR($A169&lt;'Recurring Schedule'!$F$19,$A169&gt;'Recurring Schedule'!$P$19),"",IF(IF('Recurring Schedule'!$N$19&gt;0,MOD($A169-'Recurring Schedule'!$F$19,'Recurring Schedule'!$N$19)=0,IF('Recurring Schedule'!$O$19&gt;0,AND(DAY($A169)=MIN(DAY('Recurring Schedule'!$F$19),DAY(EOMONTH($A169,0))),MOD((YEAR($A169)-YEAR('Recurring Schedule'!$F$19))*12+MONTH($A169)-MONTH('Recurring Schedule'!$F$19),'Recurring Schedule'!$O$19)=0),IF('Recurring Schedule'!$E$19="Weekdays",WEEKDAY($A169,2)&lt;=5,$A169='Recurring Schedule'!$F$19))),14,""))))</f>
        <v/>
      </c>
      <c r="P169">
        <f>IF('Recurring Schedule'!$C$20="","",IF('Recurring Schedule'!$F$20="","",IF(OR($A169&lt;'Recurring Schedule'!$F$20,$A169&gt;'Recurring Schedule'!$P$20),"",IF(IF('Recurring Schedule'!$N$20&gt;0,MOD($A169-'Recurring Schedule'!$F$20,'Recurring Schedule'!$N$20)=0,IF('Recurring Schedule'!$O$20&gt;0,AND(DAY($A169)=MIN(DAY('Recurring Schedule'!$F$20),DAY(EOMONTH($A169,0))),MOD((YEAR($A169)-YEAR('Recurring Schedule'!$F$20))*12+MONTH($A169)-MONTH('Recurring Schedule'!$F$20),'Recurring Schedule'!$O$20)=0),IF('Recurring Schedule'!$E$20="Weekdays",WEEKDAY($A169,2)&lt;=5,$A169='Recurring Schedule'!$F$20))),15,""))))</f>
        <v/>
      </c>
      <c r="Q169">
        <f>IF('Recurring Schedule'!$C$21="","",IF('Recurring Schedule'!$F$21="","",IF(OR($A169&lt;'Recurring Schedule'!$F$21,$A169&gt;'Recurring Schedule'!$P$21),"",IF(IF('Recurring Schedule'!$N$21&gt;0,MOD($A169-'Recurring Schedule'!$F$21,'Recurring Schedule'!$N$21)=0,IF('Recurring Schedule'!$O$21&gt;0,AND(DAY($A169)=MIN(DAY('Recurring Schedule'!$F$21),DAY(EOMONTH($A169,0))),MOD((YEAR($A169)-YEAR('Recurring Schedule'!$F$21))*12+MONTH($A169)-MONTH('Recurring Schedule'!$F$21),'Recurring Schedule'!$O$21)=0),IF('Recurring Schedule'!$E$21="Weekdays",WEEKDAY($A169,2)&lt;=5,$A169='Recurring Schedule'!$F$21))),16,""))))</f>
        <v/>
      </c>
      <c r="R169">
        <f>IF('Recurring Schedule'!$C$22="","",IF('Recurring Schedule'!$F$22="","",IF(OR($A169&lt;'Recurring Schedule'!$F$22,$A169&gt;'Recurring Schedule'!$P$22),"",IF(IF('Recurring Schedule'!$N$22&gt;0,MOD($A169-'Recurring Schedule'!$F$22,'Recurring Schedule'!$N$22)=0,IF('Recurring Schedule'!$O$22&gt;0,AND(DAY($A169)=MIN(DAY('Recurring Schedule'!$F$22),DAY(EOMONTH($A169,0))),MOD((YEAR($A169)-YEAR('Recurring Schedule'!$F$22))*12+MONTH($A169)-MONTH('Recurring Schedule'!$F$22),'Recurring Schedule'!$O$22)=0),IF('Recurring Schedule'!$E$22="Weekdays",WEEKDAY($A169,2)&lt;=5,$A169='Recurring Schedule'!$F$22))),17,""))))</f>
        <v/>
      </c>
      <c r="S169">
        <f>IF('Recurring Schedule'!$C$23="","",IF('Recurring Schedule'!$F$23="","",IF(OR($A169&lt;'Recurring Schedule'!$F$23,$A169&gt;'Recurring Schedule'!$P$23),"",IF(IF('Recurring Schedule'!$N$23&gt;0,MOD($A169-'Recurring Schedule'!$F$23,'Recurring Schedule'!$N$23)=0,IF('Recurring Schedule'!$O$23&gt;0,AND(DAY($A169)=MIN(DAY('Recurring Schedule'!$F$23),DAY(EOMONTH($A169,0))),MOD((YEAR($A169)-YEAR('Recurring Schedule'!$F$23))*12+MONTH($A169)-MONTH('Recurring Schedule'!$F$23),'Recurring Schedule'!$O$23)=0),IF('Recurring Schedule'!$E$23="Weekdays",WEEKDAY($A169,2)&lt;=5,$A169='Recurring Schedule'!$F$23))),18,""))))</f>
        <v/>
      </c>
      <c r="T169">
        <f>IF('Recurring Schedule'!$C$24="","",IF('Recurring Schedule'!$F$24="","",IF(OR($A169&lt;'Recurring Schedule'!$F$24,$A169&gt;'Recurring Schedule'!$P$24),"",IF(IF('Recurring Schedule'!$N$24&gt;0,MOD($A169-'Recurring Schedule'!$F$24,'Recurring Schedule'!$N$24)=0,IF('Recurring Schedule'!$O$24&gt;0,AND(DAY($A169)=MIN(DAY('Recurring Schedule'!$F$24),DAY(EOMONTH($A169,0))),MOD((YEAR($A169)-YEAR('Recurring Schedule'!$F$24))*12+MONTH($A169)-MONTH('Recurring Schedule'!$F$24),'Recurring Schedule'!$O$24)=0),IF('Recurring Schedule'!$E$24="Weekdays",WEEKDAY($A169,2)&lt;=5,$A169='Recurring Schedule'!$F$24))),19,""))))</f>
        <v/>
      </c>
      <c r="U169">
        <f>IF('Recurring Schedule'!$C$25="","",IF('Recurring Schedule'!$F$25="","",IF(OR($A169&lt;'Recurring Schedule'!$F$25,$A169&gt;'Recurring Schedule'!$P$25),"",IF(IF('Recurring Schedule'!$N$25&gt;0,MOD($A169-'Recurring Schedule'!$F$25,'Recurring Schedule'!$N$25)=0,IF('Recurring Schedule'!$O$25&gt;0,AND(DAY($A169)=MIN(DAY('Recurring Schedule'!$F$25),DAY(EOMONTH($A169,0))),MOD((YEAR($A169)-YEAR('Recurring Schedule'!$F$25))*12+MONTH($A169)-MONTH('Recurring Schedule'!$F$25),'Recurring Schedule'!$O$25)=0),IF('Recurring Schedule'!$E$25="Weekdays",WEEKDAY($A169,2)&lt;=5,$A169='Recurring Schedule'!$F$25))),20,""))))</f>
        <v/>
      </c>
      <c r="V169">
        <f>IF('Recurring Schedule'!$C$26="","",IF('Recurring Schedule'!$F$26="","",IF(OR($A169&lt;'Recurring Schedule'!$F$26,$A169&gt;'Recurring Schedule'!$P$26),"",IF(IF('Recurring Schedule'!$N$26&gt;0,MOD($A169-'Recurring Schedule'!$F$26,'Recurring Schedule'!$N$26)=0,IF('Recurring Schedule'!$O$26&gt;0,AND(DAY($A169)=MIN(DAY('Recurring Schedule'!$F$26),DAY(EOMONTH($A169,0))),MOD((YEAR($A169)-YEAR('Recurring Schedule'!$F$26))*12+MONTH($A169)-MONTH('Recurring Schedule'!$F$26),'Recurring Schedule'!$O$26)=0),IF('Recurring Schedule'!$E$26="Weekdays",WEEKDAY($A169,2)&lt;=5,$A169='Recurring Schedule'!$F$26))),21,""))))</f>
        <v/>
      </c>
      <c r="W169">
        <f>IF('Recurring Schedule'!$C$27="","",IF('Recurring Schedule'!$F$27="","",IF(OR($A169&lt;'Recurring Schedule'!$F$27,$A169&gt;'Recurring Schedule'!$P$27),"",IF(IF('Recurring Schedule'!$N$27&gt;0,MOD($A169-'Recurring Schedule'!$F$27,'Recurring Schedule'!$N$27)=0,IF('Recurring Schedule'!$O$27&gt;0,AND(DAY($A169)=MIN(DAY('Recurring Schedule'!$F$27),DAY(EOMONTH($A169,0))),MOD((YEAR($A169)-YEAR('Recurring Schedule'!$F$27))*12+MONTH($A169)-MONTH('Recurring Schedule'!$F$27),'Recurring Schedule'!$O$27)=0),IF('Recurring Schedule'!$E$27="Weekdays",WEEKDAY($A169,2)&lt;=5,$A169='Recurring Schedule'!$F$27))),22,""))))</f>
        <v/>
      </c>
      <c r="X169">
        <f>IF('Recurring Schedule'!$C$28="","",IF('Recurring Schedule'!$F$28="","",IF(OR($A169&lt;'Recurring Schedule'!$F$28,$A169&gt;'Recurring Schedule'!$P$28),"",IF(IF('Recurring Schedule'!$N$28&gt;0,MOD($A169-'Recurring Schedule'!$F$28,'Recurring Schedule'!$N$28)=0,IF('Recurring Schedule'!$O$28&gt;0,AND(DAY($A169)=MIN(DAY('Recurring Schedule'!$F$28),DAY(EOMONTH($A169,0))),MOD((YEAR($A169)-YEAR('Recurring Schedule'!$F$28))*12+MONTH($A169)-MONTH('Recurring Schedule'!$F$28),'Recurring Schedule'!$O$28)=0),IF('Recurring Schedule'!$E$28="Weekdays",WEEKDAY($A169,2)&lt;=5,$A169='Recurring Schedule'!$F$28))),23,""))))</f>
        <v/>
      </c>
      <c r="Y169">
        <f>IF('Recurring Schedule'!$C$29="","",IF('Recurring Schedule'!$F$29="","",IF(OR($A169&lt;'Recurring Schedule'!$F$29,$A169&gt;'Recurring Schedule'!$P$29),"",IF(IF('Recurring Schedule'!$N$29&gt;0,MOD($A169-'Recurring Schedule'!$F$29,'Recurring Schedule'!$N$29)=0,IF('Recurring Schedule'!$O$29&gt;0,AND(DAY($A169)=MIN(DAY('Recurring Schedule'!$F$29),DAY(EOMONTH($A169,0))),MOD((YEAR($A169)-YEAR('Recurring Schedule'!$F$29))*12+MONTH($A169)-MONTH('Recurring Schedule'!$F$29),'Recurring Schedule'!$O$29)=0),IF('Recurring Schedule'!$E$29="Weekdays",WEEKDAY($A169,2)&lt;=5,$A169='Recurring Schedule'!$F$29))),24,""))))</f>
        <v/>
      </c>
      <c r="Z169">
        <f>IF('Recurring Schedule'!$C$30="","",IF('Recurring Schedule'!$F$30="","",IF(OR($A169&lt;'Recurring Schedule'!$F$30,$A169&gt;'Recurring Schedule'!$P$30),"",IF(IF('Recurring Schedule'!$N$30&gt;0,MOD($A169-'Recurring Schedule'!$F$30,'Recurring Schedule'!$N$30)=0,IF('Recurring Schedule'!$O$30&gt;0,AND(DAY($A169)=MIN(DAY('Recurring Schedule'!$F$30),DAY(EOMONTH($A169,0))),MOD((YEAR($A169)-YEAR('Recurring Schedule'!$F$30))*12+MONTH($A169)-MONTH('Recurring Schedule'!$F$30),'Recurring Schedule'!$O$30)=0),IF('Recurring Schedule'!$E$30="Weekdays",WEEKDAY($A169,2)&lt;=5,$A169='Recurring Schedule'!$F$30))),25,""))))</f>
        <v/>
      </c>
      <c r="AA169">
        <f>IF('Recurring Schedule'!$C$31="","",IF('Recurring Schedule'!$F$31="","",IF(OR($A169&lt;'Recurring Schedule'!$F$31,$A169&gt;'Recurring Schedule'!$P$31),"",IF(IF('Recurring Schedule'!$N$31&gt;0,MOD($A169-'Recurring Schedule'!$F$31,'Recurring Schedule'!$N$31)=0,IF('Recurring Schedule'!$O$31&gt;0,AND(DAY($A169)=MIN(DAY('Recurring Schedule'!$F$31),DAY(EOMONTH($A169,0))),MOD((YEAR($A169)-YEAR('Recurring Schedule'!$F$31))*12+MONTH($A169)-MONTH('Recurring Schedule'!$F$31),'Recurring Schedule'!$O$31)=0),IF('Recurring Schedule'!$E$31="Weekdays",WEEKDAY($A169,2)&lt;=5,$A169='Recurring Schedule'!$F$31))),26,""))))</f>
        <v/>
      </c>
      <c r="AB169">
        <f>IF('Recurring Schedule'!$C$32="","",IF('Recurring Schedule'!$F$32="","",IF(OR($A169&lt;'Recurring Schedule'!$F$32,$A169&gt;'Recurring Schedule'!$P$32),"",IF(IF('Recurring Schedule'!$N$32&gt;0,MOD($A169-'Recurring Schedule'!$F$32,'Recurring Schedule'!$N$32)=0,IF('Recurring Schedule'!$O$32&gt;0,AND(DAY($A169)=MIN(DAY('Recurring Schedule'!$F$32),DAY(EOMONTH($A169,0))),MOD((YEAR($A169)-YEAR('Recurring Schedule'!$F$32))*12+MONTH($A169)-MONTH('Recurring Schedule'!$F$32),'Recurring Schedule'!$O$32)=0),IF('Recurring Schedule'!$E$32="Weekdays",WEEKDAY($A169,2)&lt;=5,$A169='Recurring Schedule'!$F$32))),27,""))))</f>
        <v/>
      </c>
      <c r="AC169">
        <f>IF('Recurring Schedule'!$C$33="","",IF('Recurring Schedule'!$F$33="","",IF(OR($A169&lt;'Recurring Schedule'!$F$33,$A169&gt;'Recurring Schedule'!$P$33),"",IF(IF('Recurring Schedule'!$N$33&gt;0,MOD($A169-'Recurring Schedule'!$F$33,'Recurring Schedule'!$N$33)=0,IF('Recurring Schedule'!$O$33&gt;0,AND(DAY($A169)=MIN(DAY('Recurring Schedule'!$F$33),DAY(EOMONTH($A169,0))),MOD((YEAR($A169)-YEAR('Recurring Schedule'!$F$33))*12+MONTH($A169)-MONTH('Recurring Schedule'!$F$33),'Recurring Schedule'!$O$33)=0),IF('Recurring Schedule'!$E$33="Weekdays",WEEKDAY($A169,2)&lt;=5,$A169='Recurring Schedule'!$F$33))),28,""))))</f>
        <v/>
      </c>
      <c r="AD169">
        <f>IF('Recurring Schedule'!$C$34="","",IF('Recurring Schedule'!$F$34="","",IF(OR($A169&lt;'Recurring Schedule'!$F$34,$A169&gt;'Recurring Schedule'!$P$34),"",IF(IF('Recurring Schedule'!$N$34&gt;0,MOD($A169-'Recurring Schedule'!$F$34,'Recurring Schedule'!$N$34)=0,IF('Recurring Schedule'!$O$34&gt;0,AND(DAY($A169)=MIN(DAY('Recurring Schedule'!$F$34),DAY(EOMONTH($A169,0))),MOD((YEAR($A169)-YEAR('Recurring Schedule'!$F$34))*12+MONTH($A169)-MONTH('Recurring Schedule'!$F$34),'Recurring Schedule'!$O$34)=0),IF('Recurring Schedule'!$E$34="Weekdays",WEEKDAY($A169,2)&lt;=5,$A169='Recurring Schedule'!$F$34))),29,""))))</f>
        <v/>
      </c>
      <c r="AE169">
        <f>IF('Recurring Schedule'!$C$35="","",IF('Recurring Schedule'!$F$35="","",IF(OR($A169&lt;'Recurring Schedule'!$F$35,$A169&gt;'Recurring Schedule'!$P$35),"",IF(IF('Recurring Schedule'!$N$35&gt;0,MOD($A169-'Recurring Schedule'!$F$35,'Recurring Schedule'!$N$35)=0,IF('Recurring Schedule'!$O$35&gt;0,AND(DAY($A169)=MIN(DAY('Recurring Schedule'!$F$35),DAY(EOMONTH($A169,0))),MOD((YEAR($A169)-YEAR('Recurring Schedule'!$F$35))*12+MONTH($A169)-MONTH('Recurring Schedule'!$F$35),'Recurring Schedule'!$O$35)=0),IF('Recurring Schedule'!$E$35="Weekdays",WEEKDAY($A169,2)&lt;=5,$A169='Recurring Schedule'!$F$35))),30,""))))</f>
        <v/>
      </c>
      <c r="AF169">
        <f>IF('Recurring Schedule'!$C$36="","",IF('Recurring Schedule'!$F$36="","",IF(OR($A169&lt;'Recurring Schedule'!$F$36,$A169&gt;'Recurring Schedule'!$P$36),"",IF(IF('Recurring Schedule'!$N$36&gt;0,MOD($A169-'Recurring Schedule'!$F$36,'Recurring Schedule'!$N$36)=0,IF('Recurring Schedule'!$O$36&gt;0,AND(DAY($A169)=MIN(DAY('Recurring Schedule'!$F$36),DAY(EOMONTH($A169,0))),MOD((YEAR($A169)-YEAR('Recurring Schedule'!$F$36))*12+MONTH($A169)-MONTH('Recurring Schedule'!$F$36),'Recurring Schedule'!$O$36)=0),IF('Recurring Schedule'!$E$36="Weekdays",WEEKDAY($A169,2)&lt;=5,$A169='Recurring Schedule'!$F$36))),31,""))))</f>
        <v/>
      </c>
      <c r="AG169">
        <f>IF('Recurring Schedule'!$C$37="","",IF('Recurring Schedule'!$F$37="","",IF(OR($A169&lt;'Recurring Schedule'!$F$37,$A169&gt;'Recurring Schedule'!$P$37),"",IF(IF('Recurring Schedule'!$N$37&gt;0,MOD($A169-'Recurring Schedule'!$F$37,'Recurring Schedule'!$N$37)=0,IF('Recurring Schedule'!$O$37&gt;0,AND(DAY($A169)=MIN(DAY('Recurring Schedule'!$F$37),DAY(EOMONTH($A169,0))),MOD((YEAR($A169)-YEAR('Recurring Schedule'!$F$37))*12+MONTH($A169)-MONTH('Recurring Schedule'!$F$37),'Recurring Schedule'!$O$37)=0),IF('Recurring Schedule'!$E$37="Weekdays",WEEKDAY($A169,2)&lt;=5,$A169='Recurring Schedule'!$F$37))),32,""))))</f>
        <v/>
      </c>
      <c r="AH169">
        <f>IF('Recurring Schedule'!$C$38="","",IF('Recurring Schedule'!$F$38="","",IF(OR($A169&lt;'Recurring Schedule'!$F$38,$A169&gt;'Recurring Schedule'!$P$38),"",IF(IF('Recurring Schedule'!$N$38&gt;0,MOD($A169-'Recurring Schedule'!$F$38,'Recurring Schedule'!$N$38)=0,IF('Recurring Schedule'!$O$38&gt;0,AND(DAY($A169)=MIN(DAY('Recurring Schedule'!$F$38),DAY(EOMONTH($A169,0))),MOD((YEAR($A169)-YEAR('Recurring Schedule'!$F$38))*12+MONTH($A169)-MONTH('Recurring Schedule'!$F$38),'Recurring Schedule'!$O$38)=0),IF('Recurring Schedule'!$E$38="Weekdays",WEEKDAY($A169,2)&lt;=5,$A169='Recurring Schedule'!$F$38))),33,""))))</f>
        <v/>
      </c>
      <c r="AI169">
        <f>IF('Recurring Schedule'!$C$39="","",IF('Recurring Schedule'!$F$39="","",IF(OR($A169&lt;'Recurring Schedule'!$F$39,$A169&gt;'Recurring Schedule'!$P$39),"",IF(IF('Recurring Schedule'!$N$39&gt;0,MOD($A169-'Recurring Schedule'!$F$39,'Recurring Schedule'!$N$39)=0,IF('Recurring Schedule'!$O$39&gt;0,AND(DAY($A169)=MIN(DAY('Recurring Schedule'!$F$39),DAY(EOMONTH($A169,0))),MOD((YEAR($A169)-YEAR('Recurring Schedule'!$F$39))*12+MONTH($A169)-MONTH('Recurring Schedule'!$F$39),'Recurring Schedule'!$O$39)=0),IF('Recurring Schedule'!$E$39="Weekdays",WEEKDAY($A169,2)&lt;=5,$A169='Recurring Schedule'!$F$39))),34,""))))</f>
        <v/>
      </c>
      <c r="AJ169">
        <f>IF('Recurring Schedule'!$C$40="","",IF('Recurring Schedule'!$F$40="","",IF(OR($A169&lt;'Recurring Schedule'!$F$40,$A169&gt;'Recurring Schedule'!$P$40),"",IF(IF('Recurring Schedule'!$N$40&gt;0,MOD($A169-'Recurring Schedule'!$F$40,'Recurring Schedule'!$N$40)=0,IF('Recurring Schedule'!$O$40&gt;0,AND(DAY($A169)=MIN(DAY('Recurring Schedule'!$F$40),DAY(EOMONTH($A169,0))),MOD((YEAR($A169)-YEAR('Recurring Schedule'!$F$40))*12+MONTH($A169)-MONTH('Recurring Schedule'!$F$40),'Recurring Schedule'!$O$40)=0),IF('Recurring Schedule'!$E$40="Weekdays",WEEKDAY($A169,2)&lt;=5,$A169='Recurring Schedule'!$F$40))),35,""))))</f>
        <v/>
      </c>
      <c r="AK169">
        <f>IF('Recurring Schedule'!$C$41="","",IF('Recurring Schedule'!$F$41="","",IF(OR($A169&lt;'Recurring Schedule'!$F$41,$A169&gt;'Recurring Schedule'!$P$41),"",IF(IF('Recurring Schedule'!$N$41&gt;0,MOD($A169-'Recurring Schedule'!$F$41,'Recurring Schedule'!$N$41)=0,IF('Recurring Schedule'!$O$41&gt;0,AND(DAY($A169)=MIN(DAY('Recurring Schedule'!$F$41),DAY(EOMONTH($A169,0))),MOD((YEAR($A169)-YEAR('Recurring Schedule'!$F$41))*12+MONTH($A169)-MONTH('Recurring Schedule'!$F$41),'Recurring Schedule'!$O$41)=0),IF('Recurring Schedule'!$E$41="Weekdays",WEEKDAY($A169,2)&lt;=5,$A169='Recurring Schedule'!$F$41))),36,""))))</f>
        <v/>
      </c>
      <c r="AL169">
        <f>IF('Recurring Schedule'!$C$42="","",IF('Recurring Schedule'!$F$42="","",IF(OR($A169&lt;'Recurring Schedule'!$F$42,$A169&gt;'Recurring Schedule'!$P$42),"",IF(IF('Recurring Schedule'!$N$42&gt;0,MOD($A169-'Recurring Schedule'!$F$42,'Recurring Schedule'!$N$42)=0,IF('Recurring Schedule'!$O$42&gt;0,AND(DAY($A169)=MIN(DAY('Recurring Schedule'!$F$42),DAY(EOMONTH($A169,0))),MOD((YEAR($A169)-YEAR('Recurring Schedule'!$F$42))*12+MONTH($A169)-MONTH('Recurring Schedule'!$F$42),'Recurring Schedule'!$O$42)=0),IF('Recurring Schedule'!$E$42="Weekdays",WEEKDAY($A169,2)&lt;=5,$A169='Recurring Schedule'!$F$42))),37,""))))</f>
        <v/>
      </c>
      <c r="AM169">
        <f>IF('Recurring Schedule'!$C$43="","",IF('Recurring Schedule'!$F$43="","",IF(OR($A169&lt;'Recurring Schedule'!$F$43,$A169&gt;'Recurring Schedule'!$P$43),"",IF(IF('Recurring Schedule'!$N$43&gt;0,MOD($A169-'Recurring Schedule'!$F$43,'Recurring Schedule'!$N$43)=0,IF('Recurring Schedule'!$O$43&gt;0,AND(DAY($A169)=MIN(DAY('Recurring Schedule'!$F$43),DAY(EOMONTH($A169,0))),MOD((YEAR($A169)-YEAR('Recurring Schedule'!$F$43))*12+MONTH($A169)-MONTH('Recurring Schedule'!$F$43),'Recurring Schedule'!$O$43)=0),IF('Recurring Schedule'!$E$43="Weekdays",WEEKDAY($A169,2)&lt;=5,$A169='Recurring Schedule'!$F$43))),38,""))))</f>
        <v/>
      </c>
      <c r="AN169">
        <f>IF('Recurring Schedule'!$C$44="","",IF('Recurring Schedule'!$F$44="","",IF(OR($A169&lt;'Recurring Schedule'!$F$44,$A169&gt;'Recurring Schedule'!$P$44),"",IF(IF('Recurring Schedule'!$N$44&gt;0,MOD($A169-'Recurring Schedule'!$F$44,'Recurring Schedule'!$N$44)=0,IF('Recurring Schedule'!$O$44&gt;0,AND(DAY($A169)=MIN(DAY('Recurring Schedule'!$F$44),DAY(EOMONTH($A169,0))),MOD((YEAR($A169)-YEAR('Recurring Schedule'!$F$44))*12+MONTH($A169)-MONTH('Recurring Schedule'!$F$44),'Recurring Schedule'!$O$44)=0),IF('Recurring Schedule'!$E$44="Weekdays",WEEKDAY($A169,2)&lt;=5,$A169='Recurring Schedule'!$F$44))),39,""))))</f>
        <v/>
      </c>
      <c r="AO169">
        <f>IF('Recurring Schedule'!$C$45="","",IF('Recurring Schedule'!$F$45="","",IF(OR($A169&lt;'Recurring Schedule'!$F$45,$A169&gt;'Recurring Schedule'!$P$45),"",IF(IF('Recurring Schedule'!$N$45&gt;0,MOD($A169-'Recurring Schedule'!$F$45,'Recurring Schedule'!$N$45)=0,IF('Recurring Schedule'!$O$45&gt;0,AND(DAY($A169)=MIN(DAY('Recurring Schedule'!$F$45),DAY(EOMONTH($A169,0))),MOD((YEAR($A169)-YEAR('Recurring Schedule'!$F$45))*12+MONTH($A169)-MONTH('Recurring Schedule'!$F$45),'Recurring Schedule'!$O$45)=0),IF('Recurring Schedule'!$E$45="Weekdays",WEEKDAY($A169,2)&lt;=5,$A169='Recurring Schedule'!$F$45))),40,""))))</f>
        <v/>
      </c>
      <c r="AP169">
        <f>COUNT(B169:AO169)</f>
        <v/>
      </c>
      <c r="AQ169">
        <f>AQ168+AP168</f>
        <v/>
      </c>
      <c r="AS169" t="inlineStr">
        <is>
          <t>R</t>
        </is>
      </c>
      <c r="AT169" t="n">
        <v>173</v>
      </c>
      <c r="AU169">
        <f>'Recurring Log'!C173&amp;""</f>
        <v/>
      </c>
      <c r="AV169">
        <f>'Recurring Log'!D173&amp;""</f>
        <v/>
      </c>
      <c r="AW169">
        <f>IF('Recurring Log'!E173="","",'Recurring Log'!E173)</f>
        <v/>
      </c>
      <c r="AX169">
        <f>IF('Recurring Log'!G173="","",'Recurring Log'!G173)</f>
        <v/>
      </c>
      <c r="AY169">
        <f>IF('Recurring Log'!H173="","",'Recurring Log'!H173)</f>
        <v/>
      </c>
      <c r="AZ169">
        <f>IF(AU169="","",IF('Recurring Log'!J173="","Not Started",'Recurring Log'!J173))</f>
        <v/>
      </c>
      <c r="BA169">
        <f>'Recurring Log'!L173&amp;""</f>
        <v/>
      </c>
      <c r="BB169">
        <f>'Recurring Log'!M173&amp;""</f>
        <v/>
      </c>
      <c r="BC169">
        <f>'Recurring Log'!N173&amp;""</f>
        <v/>
      </c>
      <c r="BD169">
        <f>'Recurring Log'!O173&amp;""</f>
        <v/>
      </c>
      <c r="BE169">
        <f>IF('Recurring Log'!K173="","",'Recurring Log'!K173)</f>
        <v/>
      </c>
      <c r="BF169">
        <f>IFERROR(MATCH(BA169,Setup!$L$6:$L$9,0),5)</f>
        <v/>
      </c>
      <c r="BG169">
        <f>IF(OR(AZ169="Done",AZ169="Cancelled"),1,0)</f>
        <v/>
      </c>
      <c r="BH169">
        <f>IF(AND(AU169&lt;&gt;"",ISNUMBER(AW169)),1,0)</f>
        <v/>
      </c>
      <c r="BI169">
        <f>IF(BH169=0,0,IF(AND(AW169&gt;='Tasks Filter'!$F$3,AW169&lt;='Tasks Filter'!$F$4,OR('Tasks Filter'!$I$3="",ISNUMBER(SEARCH('Tasks Filter'!$I$3,AU169))),OR('Tasks Filter'!$I$4="",BF169=IFERROR(MATCH('Tasks Filter'!$I$4,Setup!$L$6:$L$9,0),0)),OR('Tasks Filter'!$I$5="Both",AND('Tasks Filter'!$I$5="Yes",BB169="✓"),AND('Tasks Filter'!$I$5="No",BB169&lt;&gt;"✓")),OR('Tasks Filter'!$L$3="",AV169='Tasks Filter'!$L$3),OR('Tasks Filter'!$L$4="",AZ169='Tasks Filter'!$L$4),OR('Tasks Filter'!$L$5="",BC169='Tasks Filter'!$L$5),OR('Tasks Filter'!$O$3="",BD169='Tasks Filter'!$O$3),OR('Tasks Filter'!$O$4="Yes",BG169=0)),1,0))</f>
        <v/>
      </c>
      <c r="BJ169">
        <f>IF(BH169=0,"",IF('Tasks Filter'!$F$6="Descending",-1,1)*CHOOSE(MATCH('Tasks Filter'!$F$5,Lists!$G$2:$G$6,0),AW169,BF169,IFERROR(MATCH(AV169,Setup!$F$6:$F$15,0),99),IFERROR(MATCH(BC169,Setup!$H$6:$H$15,0),99),IFERROR(MATCH(AZ169,Setup!$J$6:$J$11,0),99))*1E+9+(AW169-40000)*10000+168)</f>
        <v/>
      </c>
      <c r="BK169">
        <f>IF(BI169=1,BJ169,"")</f>
        <v/>
      </c>
      <c r="BL169">
        <f>IF(AND(BH169=1,BG169=0,N(AW169)&lt;Setup!$D$7),(AW169-40000)*10000+168,"")</f>
        <v/>
      </c>
      <c r="BM169">
        <f>IF(AND(BH169=1,AZ169&lt;&gt;"Cancelled",N(AW169)&gt;=Dashboard!$AB$3,N(AW169)&lt;=Dashboard!$AB$3+6),(AW169-40000)*100000+BF169*10000+168,"")</f>
        <v/>
      </c>
      <c r="BN169">
        <f>IF(AND(BH169=1,AZ169&lt;&gt;"Cancelled"),BF169*10000+168,"")</f>
        <v/>
      </c>
    </row>
    <row r="170">
      <c r="A170">
        <f>Setup!$D$5+168</f>
        <v/>
      </c>
      <c r="B170">
        <f>IF('Recurring Schedule'!$C$6="","",IF('Recurring Schedule'!$F$6="","",IF(OR($A170&lt;'Recurring Schedule'!$F$6,$A170&gt;'Recurring Schedule'!$P$6),"",IF(IF('Recurring Schedule'!$N$6&gt;0,MOD($A170-'Recurring Schedule'!$F$6,'Recurring Schedule'!$N$6)=0,IF('Recurring Schedule'!$O$6&gt;0,AND(DAY($A170)=MIN(DAY('Recurring Schedule'!$F$6),DAY(EOMONTH($A170,0))),MOD((YEAR($A170)-YEAR('Recurring Schedule'!$F$6))*12+MONTH($A170)-MONTH('Recurring Schedule'!$F$6),'Recurring Schedule'!$O$6)=0),IF('Recurring Schedule'!$E$6="Weekdays",WEEKDAY($A170,2)&lt;=5,$A170='Recurring Schedule'!$F$6))),1,""))))</f>
        <v/>
      </c>
      <c r="C170">
        <f>IF('Recurring Schedule'!$C$7="","",IF('Recurring Schedule'!$F$7="","",IF(OR($A170&lt;'Recurring Schedule'!$F$7,$A170&gt;'Recurring Schedule'!$P$7),"",IF(IF('Recurring Schedule'!$N$7&gt;0,MOD($A170-'Recurring Schedule'!$F$7,'Recurring Schedule'!$N$7)=0,IF('Recurring Schedule'!$O$7&gt;0,AND(DAY($A170)=MIN(DAY('Recurring Schedule'!$F$7),DAY(EOMONTH($A170,0))),MOD((YEAR($A170)-YEAR('Recurring Schedule'!$F$7))*12+MONTH($A170)-MONTH('Recurring Schedule'!$F$7),'Recurring Schedule'!$O$7)=0),IF('Recurring Schedule'!$E$7="Weekdays",WEEKDAY($A170,2)&lt;=5,$A170='Recurring Schedule'!$F$7))),2,""))))</f>
        <v/>
      </c>
      <c r="D170">
        <f>IF('Recurring Schedule'!$C$8="","",IF('Recurring Schedule'!$F$8="","",IF(OR($A170&lt;'Recurring Schedule'!$F$8,$A170&gt;'Recurring Schedule'!$P$8),"",IF(IF('Recurring Schedule'!$N$8&gt;0,MOD($A170-'Recurring Schedule'!$F$8,'Recurring Schedule'!$N$8)=0,IF('Recurring Schedule'!$O$8&gt;0,AND(DAY($A170)=MIN(DAY('Recurring Schedule'!$F$8),DAY(EOMONTH($A170,0))),MOD((YEAR($A170)-YEAR('Recurring Schedule'!$F$8))*12+MONTH($A170)-MONTH('Recurring Schedule'!$F$8),'Recurring Schedule'!$O$8)=0),IF('Recurring Schedule'!$E$8="Weekdays",WEEKDAY($A170,2)&lt;=5,$A170='Recurring Schedule'!$F$8))),3,""))))</f>
        <v/>
      </c>
      <c r="E170">
        <f>IF('Recurring Schedule'!$C$9="","",IF('Recurring Schedule'!$F$9="","",IF(OR($A170&lt;'Recurring Schedule'!$F$9,$A170&gt;'Recurring Schedule'!$P$9),"",IF(IF('Recurring Schedule'!$N$9&gt;0,MOD($A170-'Recurring Schedule'!$F$9,'Recurring Schedule'!$N$9)=0,IF('Recurring Schedule'!$O$9&gt;0,AND(DAY($A170)=MIN(DAY('Recurring Schedule'!$F$9),DAY(EOMONTH($A170,0))),MOD((YEAR($A170)-YEAR('Recurring Schedule'!$F$9))*12+MONTH($A170)-MONTH('Recurring Schedule'!$F$9),'Recurring Schedule'!$O$9)=0),IF('Recurring Schedule'!$E$9="Weekdays",WEEKDAY($A170,2)&lt;=5,$A170='Recurring Schedule'!$F$9))),4,""))))</f>
        <v/>
      </c>
      <c r="F170">
        <f>IF('Recurring Schedule'!$C$10="","",IF('Recurring Schedule'!$F$10="","",IF(OR($A170&lt;'Recurring Schedule'!$F$10,$A170&gt;'Recurring Schedule'!$P$10),"",IF(IF('Recurring Schedule'!$N$10&gt;0,MOD($A170-'Recurring Schedule'!$F$10,'Recurring Schedule'!$N$10)=0,IF('Recurring Schedule'!$O$10&gt;0,AND(DAY($A170)=MIN(DAY('Recurring Schedule'!$F$10),DAY(EOMONTH($A170,0))),MOD((YEAR($A170)-YEAR('Recurring Schedule'!$F$10))*12+MONTH($A170)-MONTH('Recurring Schedule'!$F$10),'Recurring Schedule'!$O$10)=0),IF('Recurring Schedule'!$E$10="Weekdays",WEEKDAY($A170,2)&lt;=5,$A170='Recurring Schedule'!$F$10))),5,""))))</f>
        <v/>
      </c>
      <c r="G170">
        <f>IF('Recurring Schedule'!$C$11="","",IF('Recurring Schedule'!$F$11="","",IF(OR($A170&lt;'Recurring Schedule'!$F$11,$A170&gt;'Recurring Schedule'!$P$11),"",IF(IF('Recurring Schedule'!$N$11&gt;0,MOD($A170-'Recurring Schedule'!$F$11,'Recurring Schedule'!$N$11)=0,IF('Recurring Schedule'!$O$11&gt;0,AND(DAY($A170)=MIN(DAY('Recurring Schedule'!$F$11),DAY(EOMONTH($A170,0))),MOD((YEAR($A170)-YEAR('Recurring Schedule'!$F$11))*12+MONTH($A170)-MONTH('Recurring Schedule'!$F$11),'Recurring Schedule'!$O$11)=0),IF('Recurring Schedule'!$E$11="Weekdays",WEEKDAY($A170,2)&lt;=5,$A170='Recurring Schedule'!$F$11))),6,""))))</f>
        <v/>
      </c>
      <c r="H170">
        <f>IF('Recurring Schedule'!$C$12="","",IF('Recurring Schedule'!$F$12="","",IF(OR($A170&lt;'Recurring Schedule'!$F$12,$A170&gt;'Recurring Schedule'!$P$12),"",IF(IF('Recurring Schedule'!$N$12&gt;0,MOD($A170-'Recurring Schedule'!$F$12,'Recurring Schedule'!$N$12)=0,IF('Recurring Schedule'!$O$12&gt;0,AND(DAY($A170)=MIN(DAY('Recurring Schedule'!$F$12),DAY(EOMONTH($A170,0))),MOD((YEAR($A170)-YEAR('Recurring Schedule'!$F$12))*12+MONTH($A170)-MONTH('Recurring Schedule'!$F$12),'Recurring Schedule'!$O$12)=0),IF('Recurring Schedule'!$E$12="Weekdays",WEEKDAY($A170,2)&lt;=5,$A170='Recurring Schedule'!$F$12))),7,""))))</f>
        <v/>
      </c>
      <c r="I170">
        <f>IF('Recurring Schedule'!$C$13="","",IF('Recurring Schedule'!$F$13="","",IF(OR($A170&lt;'Recurring Schedule'!$F$13,$A170&gt;'Recurring Schedule'!$P$13),"",IF(IF('Recurring Schedule'!$N$13&gt;0,MOD($A170-'Recurring Schedule'!$F$13,'Recurring Schedule'!$N$13)=0,IF('Recurring Schedule'!$O$13&gt;0,AND(DAY($A170)=MIN(DAY('Recurring Schedule'!$F$13),DAY(EOMONTH($A170,0))),MOD((YEAR($A170)-YEAR('Recurring Schedule'!$F$13))*12+MONTH($A170)-MONTH('Recurring Schedule'!$F$13),'Recurring Schedule'!$O$13)=0),IF('Recurring Schedule'!$E$13="Weekdays",WEEKDAY($A170,2)&lt;=5,$A170='Recurring Schedule'!$F$13))),8,""))))</f>
        <v/>
      </c>
      <c r="J170">
        <f>IF('Recurring Schedule'!$C$14="","",IF('Recurring Schedule'!$F$14="","",IF(OR($A170&lt;'Recurring Schedule'!$F$14,$A170&gt;'Recurring Schedule'!$P$14),"",IF(IF('Recurring Schedule'!$N$14&gt;0,MOD($A170-'Recurring Schedule'!$F$14,'Recurring Schedule'!$N$14)=0,IF('Recurring Schedule'!$O$14&gt;0,AND(DAY($A170)=MIN(DAY('Recurring Schedule'!$F$14),DAY(EOMONTH($A170,0))),MOD((YEAR($A170)-YEAR('Recurring Schedule'!$F$14))*12+MONTH($A170)-MONTH('Recurring Schedule'!$F$14),'Recurring Schedule'!$O$14)=0),IF('Recurring Schedule'!$E$14="Weekdays",WEEKDAY($A170,2)&lt;=5,$A170='Recurring Schedule'!$F$14))),9,""))))</f>
        <v/>
      </c>
      <c r="K170">
        <f>IF('Recurring Schedule'!$C$15="","",IF('Recurring Schedule'!$F$15="","",IF(OR($A170&lt;'Recurring Schedule'!$F$15,$A170&gt;'Recurring Schedule'!$P$15),"",IF(IF('Recurring Schedule'!$N$15&gt;0,MOD($A170-'Recurring Schedule'!$F$15,'Recurring Schedule'!$N$15)=0,IF('Recurring Schedule'!$O$15&gt;0,AND(DAY($A170)=MIN(DAY('Recurring Schedule'!$F$15),DAY(EOMONTH($A170,0))),MOD((YEAR($A170)-YEAR('Recurring Schedule'!$F$15))*12+MONTH($A170)-MONTH('Recurring Schedule'!$F$15),'Recurring Schedule'!$O$15)=0),IF('Recurring Schedule'!$E$15="Weekdays",WEEKDAY($A170,2)&lt;=5,$A170='Recurring Schedule'!$F$15))),10,""))))</f>
        <v/>
      </c>
      <c r="L170">
        <f>IF('Recurring Schedule'!$C$16="","",IF('Recurring Schedule'!$F$16="","",IF(OR($A170&lt;'Recurring Schedule'!$F$16,$A170&gt;'Recurring Schedule'!$P$16),"",IF(IF('Recurring Schedule'!$N$16&gt;0,MOD($A170-'Recurring Schedule'!$F$16,'Recurring Schedule'!$N$16)=0,IF('Recurring Schedule'!$O$16&gt;0,AND(DAY($A170)=MIN(DAY('Recurring Schedule'!$F$16),DAY(EOMONTH($A170,0))),MOD((YEAR($A170)-YEAR('Recurring Schedule'!$F$16))*12+MONTH($A170)-MONTH('Recurring Schedule'!$F$16),'Recurring Schedule'!$O$16)=0),IF('Recurring Schedule'!$E$16="Weekdays",WEEKDAY($A170,2)&lt;=5,$A170='Recurring Schedule'!$F$16))),11,""))))</f>
        <v/>
      </c>
      <c r="M170">
        <f>IF('Recurring Schedule'!$C$17="","",IF('Recurring Schedule'!$F$17="","",IF(OR($A170&lt;'Recurring Schedule'!$F$17,$A170&gt;'Recurring Schedule'!$P$17),"",IF(IF('Recurring Schedule'!$N$17&gt;0,MOD($A170-'Recurring Schedule'!$F$17,'Recurring Schedule'!$N$17)=0,IF('Recurring Schedule'!$O$17&gt;0,AND(DAY($A170)=MIN(DAY('Recurring Schedule'!$F$17),DAY(EOMONTH($A170,0))),MOD((YEAR($A170)-YEAR('Recurring Schedule'!$F$17))*12+MONTH($A170)-MONTH('Recurring Schedule'!$F$17),'Recurring Schedule'!$O$17)=0),IF('Recurring Schedule'!$E$17="Weekdays",WEEKDAY($A170,2)&lt;=5,$A170='Recurring Schedule'!$F$17))),12,""))))</f>
        <v/>
      </c>
      <c r="N170">
        <f>IF('Recurring Schedule'!$C$18="","",IF('Recurring Schedule'!$F$18="","",IF(OR($A170&lt;'Recurring Schedule'!$F$18,$A170&gt;'Recurring Schedule'!$P$18),"",IF(IF('Recurring Schedule'!$N$18&gt;0,MOD($A170-'Recurring Schedule'!$F$18,'Recurring Schedule'!$N$18)=0,IF('Recurring Schedule'!$O$18&gt;0,AND(DAY($A170)=MIN(DAY('Recurring Schedule'!$F$18),DAY(EOMONTH($A170,0))),MOD((YEAR($A170)-YEAR('Recurring Schedule'!$F$18))*12+MONTH($A170)-MONTH('Recurring Schedule'!$F$18),'Recurring Schedule'!$O$18)=0),IF('Recurring Schedule'!$E$18="Weekdays",WEEKDAY($A170,2)&lt;=5,$A170='Recurring Schedule'!$F$18))),13,""))))</f>
        <v/>
      </c>
      <c r="O170">
        <f>IF('Recurring Schedule'!$C$19="","",IF('Recurring Schedule'!$F$19="","",IF(OR($A170&lt;'Recurring Schedule'!$F$19,$A170&gt;'Recurring Schedule'!$P$19),"",IF(IF('Recurring Schedule'!$N$19&gt;0,MOD($A170-'Recurring Schedule'!$F$19,'Recurring Schedule'!$N$19)=0,IF('Recurring Schedule'!$O$19&gt;0,AND(DAY($A170)=MIN(DAY('Recurring Schedule'!$F$19),DAY(EOMONTH($A170,0))),MOD((YEAR($A170)-YEAR('Recurring Schedule'!$F$19))*12+MONTH($A170)-MONTH('Recurring Schedule'!$F$19),'Recurring Schedule'!$O$19)=0),IF('Recurring Schedule'!$E$19="Weekdays",WEEKDAY($A170,2)&lt;=5,$A170='Recurring Schedule'!$F$19))),14,""))))</f>
        <v/>
      </c>
      <c r="P170">
        <f>IF('Recurring Schedule'!$C$20="","",IF('Recurring Schedule'!$F$20="","",IF(OR($A170&lt;'Recurring Schedule'!$F$20,$A170&gt;'Recurring Schedule'!$P$20),"",IF(IF('Recurring Schedule'!$N$20&gt;0,MOD($A170-'Recurring Schedule'!$F$20,'Recurring Schedule'!$N$20)=0,IF('Recurring Schedule'!$O$20&gt;0,AND(DAY($A170)=MIN(DAY('Recurring Schedule'!$F$20),DAY(EOMONTH($A170,0))),MOD((YEAR($A170)-YEAR('Recurring Schedule'!$F$20))*12+MONTH($A170)-MONTH('Recurring Schedule'!$F$20),'Recurring Schedule'!$O$20)=0),IF('Recurring Schedule'!$E$20="Weekdays",WEEKDAY($A170,2)&lt;=5,$A170='Recurring Schedule'!$F$20))),15,""))))</f>
        <v/>
      </c>
      <c r="Q170">
        <f>IF('Recurring Schedule'!$C$21="","",IF('Recurring Schedule'!$F$21="","",IF(OR($A170&lt;'Recurring Schedule'!$F$21,$A170&gt;'Recurring Schedule'!$P$21),"",IF(IF('Recurring Schedule'!$N$21&gt;0,MOD($A170-'Recurring Schedule'!$F$21,'Recurring Schedule'!$N$21)=0,IF('Recurring Schedule'!$O$21&gt;0,AND(DAY($A170)=MIN(DAY('Recurring Schedule'!$F$21),DAY(EOMONTH($A170,0))),MOD((YEAR($A170)-YEAR('Recurring Schedule'!$F$21))*12+MONTH($A170)-MONTH('Recurring Schedule'!$F$21),'Recurring Schedule'!$O$21)=0),IF('Recurring Schedule'!$E$21="Weekdays",WEEKDAY($A170,2)&lt;=5,$A170='Recurring Schedule'!$F$21))),16,""))))</f>
        <v/>
      </c>
      <c r="R170">
        <f>IF('Recurring Schedule'!$C$22="","",IF('Recurring Schedule'!$F$22="","",IF(OR($A170&lt;'Recurring Schedule'!$F$22,$A170&gt;'Recurring Schedule'!$P$22),"",IF(IF('Recurring Schedule'!$N$22&gt;0,MOD($A170-'Recurring Schedule'!$F$22,'Recurring Schedule'!$N$22)=0,IF('Recurring Schedule'!$O$22&gt;0,AND(DAY($A170)=MIN(DAY('Recurring Schedule'!$F$22),DAY(EOMONTH($A170,0))),MOD((YEAR($A170)-YEAR('Recurring Schedule'!$F$22))*12+MONTH($A170)-MONTH('Recurring Schedule'!$F$22),'Recurring Schedule'!$O$22)=0),IF('Recurring Schedule'!$E$22="Weekdays",WEEKDAY($A170,2)&lt;=5,$A170='Recurring Schedule'!$F$22))),17,""))))</f>
        <v/>
      </c>
      <c r="S170">
        <f>IF('Recurring Schedule'!$C$23="","",IF('Recurring Schedule'!$F$23="","",IF(OR($A170&lt;'Recurring Schedule'!$F$23,$A170&gt;'Recurring Schedule'!$P$23),"",IF(IF('Recurring Schedule'!$N$23&gt;0,MOD($A170-'Recurring Schedule'!$F$23,'Recurring Schedule'!$N$23)=0,IF('Recurring Schedule'!$O$23&gt;0,AND(DAY($A170)=MIN(DAY('Recurring Schedule'!$F$23),DAY(EOMONTH($A170,0))),MOD((YEAR($A170)-YEAR('Recurring Schedule'!$F$23))*12+MONTH($A170)-MONTH('Recurring Schedule'!$F$23),'Recurring Schedule'!$O$23)=0),IF('Recurring Schedule'!$E$23="Weekdays",WEEKDAY($A170,2)&lt;=5,$A170='Recurring Schedule'!$F$23))),18,""))))</f>
        <v/>
      </c>
      <c r="T170">
        <f>IF('Recurring Schedule'!$C$24="","",IF('Recurring Schedule'!$F$24="","",IF(OR($A170&lt;'Recurring Schedule'!$F$24,$A170&gt;'Recurring Schedule'!$P$24),"",IF(IF('Recurring Schedule'!$N$24&gt;0,MOD($A170-'Recurring Schedule'!$F$24,'Recurring Schedule'!$N$24)=0,IF('Recurring Schedule'!$O$24&gt;0,AND(DAY($A170)=MIN(DAY('Recurring Schedule'!$F$24),DAY(EOMONTH($A170,0))),MOD((YEAR($A170)-YEAR('Recurring Schedule'!$F$24))*12+MONTH($A170)-MONTH('Recurring Schedule'!$F$24),'Recurring Schedule'!$O$24)=0),IF('Recurring Schedule'!$E$24="Weekdays",WEEKDAY($A170,2)&lt;=5,$A170='Recurring Schedule'!$F$24))),19,""))))</f>
        <v/>
      </c>
      <c r="U170">
        <f>IF('Recurring Schedule'!$C$25="","",IF('Recurring Schedule'!$F$25="","",IF(OR($A170&lt;'Recurring Schedule'!$F$25,$A170&gt;'Recurring Schedule'!$P$25),"",IF(IF('Recurring Schedule'!$N$25&gt;0,MOD($A170-'Recurring Schedule'!$F$25,'Recurring Schedule'!$N$25)=0,IF('Recurring Schedule'!$O$25&gt;0,AND(DAY($A170)=MIN(DAY('Recurring Schedule'!$F$25),DAY(EOMONTH($A170,0))),MOD((YEAR($A170)-YEAR('Recurring Schedule'!$F$25))*12+MONTH($A170)-MONTH('Recurring Schedule'!$F$25),'Recurring Schedule'!$O$25)=0),IF('Recurring Schedule'!$E$25="Weekdays",WEEKDAY($A170,2)&lt;=5,$A170='Recurring Schedule'!$F$25))),20,""))))</f>
        <v/>
      </c>
      <c r="V170">
        <f>IF('Recurring Schedule'!$C$26="","",IF('Recurring Schedule'!$F$26="","",IF(OR($A170&lt;'Recurring Schedule'!$F$26,$A170&gt;'Recurring Schedule'!$P$26),"",IF(IF('Recurring Schedule'!$N$26&gt;0,MOD($A170-'Recurring Schedule'!$F$26,'Recurring Schedule'!$N$26)=0,IF('Recurring Schedule'!$O$26&gt;0,AND(DAY($A170)=MIN(DAY('Recurring Schedule'!$F$26),DAY(EOMONTH($A170,0))),MOD((YEAR($A170)-YEAR('Recurring Schedule'!$F$26))*12+MONTH($A170)-MONTH('Recurring Schedule'!$F$26),'Recurring Schedule'!$O$26)=0),IF('Recurring Schedule'!$E$26="Weekdays",WEEKDAY($A170,2)&lt;=5,$A170='Recurring Schedule'!$F$26))),21,""))))</f>
        <v/>
      </c>
      <c r="W170">
        <f>IF('Recurring Schedule'!$C$27="","",IF('Recurring Schedule'!$F$27="","",IF(OR($A170&lt;'Recurring Schedule'!$F$27,$A170&gt;'Recurring Schedule'!$P$27),"",IF(IF('Recurring Schedule'!$N$27&gt;0,MOD($A170-'Recurring Schedule'!$F$27,'Recurring Schedule'!$N$27)=0,IF('Recurring Schedule'!$O$27&gt;0,AND(DAY($A170)=MIN(DAY('Recurring Schedule'!$F$27),DAY(EOMONTH($A170,0))),MOD((YEAR($A170)-YEAR('Recurring Schedule'!$F$27))*12+MONTH($A170)-MONTH('Recurring Schedule'!$F$27),'Recurring Schedule'!$O$27)=0),IF('Recurring Schedule'!$E$27="Weekdays",WEEKDAY($A170,2)&lt;=5,$A170='Recurring Schedule'!$F$27))),22,""))))</f>
        <v/>
      </c>
      <c r="X170">
        <f>IF('Recurring Schedule'!$C$28="","",IF('Recurring Schedule'!$F$28="","",IF(OR($A170&lt;'Recurring Schedule'!$F$28,$A170&gt;'Recurring Schedule'!$P$28),"",IF(IF('Recurring Schedule'!$N$28&gt;0,MOD($A170-'Recurring Schedule'!$F$28,'Recurring Schedule'!$N$28)=0,IF('Recurring Schedule'!$O$28&gt;0,AND(DAY($A170)=MIN(DAY('Recurring Schedule'!$F$28),DAY(EOMONTH($A170,0))),MOD((YEAR($A170)-YEAR('Recurring Schedule'!$F$28))*12+MONTH($A170)-MONTH('Recurring Schedule'!$F$28),'Recurring Schedule'!$O$28)=0),IF('Recurring Schedule'!$E$28="Weekdays",WEEKDAY($A170,2)&lt;=5,$A170='Recurring Schedule'!$F$28))),23,""))))</f>
        <v/>
      </c>
      <c r="Y170">
        <f>IF('Recurring Schedule'!$C$29="","",IF('Recurring Schedule'!$F$29="","",IF(OR($A170&lt;'Recurring Schedule'!$F$29,$A170&gt;'Recurring Schedule'!$P$29),"",IF(IF('Recurring Schedule'!$N$29&gt;0,MOD($A170-'Recurring Schedule'!$F$29,'Recurring Schedule'!$N$29)=0,IF('Recurring Schedule'!$O$29&gt;0,AND(DAY($A170)=MIN(DAY('Recurring Schedule'!$F$29),DAY(EOMONTH($A170,0))),MOD((YEAR($A170)-YEAR('Recurring Schedule'!$F$29))*12+MONTH($A170)-MONTH('Recurring Schedule'!$F$29),'Recurring Schedule'!$O$29)=0),IF('Recurring Schedule'!$E$29="Weekdays",WEEKDAY($A170,2)&lt;=5,$A170='Recurring Schedule'!$F$29))),24,""))))</f>
        <v/>
      </c>
      <c r="Z170">
        <f>IF('Recurring Schedule'!$C$30="","",IF('Recurring Schedule'!$F$30="","",IF(OR($A170&lt;'Recurring Schedule'!$F$30,$A170&gt;'Recurring Schedule'!$P$30),"",IF(IF('Recurring Schedule'!$N$30&gt;0,MOD($A170-'Recurring Schedule'!$F$30,'Recurring Schedule'!$N$30)=0,IF('Recurring Schedule'!$O$30&gt;0,AND(DAY($A170)=MIN(DAY('Recurring Schedule'!$F$30),DAY(EOMONTH($A170,0))),MOD((YEAR($A170)-YEAR('Recurring Schedule'!$F$30))*12+MONTH($A170)-MONTH('Recurring Schedule'!$F$30),'Recurring Schedule'!$O$30)=0),IF('Recurring Schedule'!$E$30="Weekdays",WEEKDAY($A170,2)&lt;=5,$A170='Recurring Schedule'!$F$30))),25,""))))</f>
        <v/>
      </c>
      <c r="AA170">
        <f>IF('Recurring Schedule'!$C$31="","",IF('Recurring Schedule'!$F$31="","",IF(OR($A170&lt;'Recurring Schedule'!$F$31,$A170&gt;'Recurring Schedule'!$P$31),"",IF(IF('Recurring Schedule'!$N$31&gt;0,MOD($A170-'Recurring Schedule'!$F$31,'Recurring Schedule'!$N$31)=0,IF('Recurring Schedule'!$O$31&gt;0,AND(DAY($A170)=MIN(DAY('Recurring Schedule'!$F$31),DAY(EOMONTH($A170,0))),MOD((YEAR($A170)-YEAR('Recurring Schedule'!$F$31))*12+MONTH($A170)-MONTH('Recurring Schedule'!$F$31),'Recurring Schedule'!$O$31)=0),IF('Recurring Schedule'!$E$31="Weekdays",WEEKDAY($A170,2)&lt;=5,$A170='Recurring Schedule'!$F$31))),26,""))))</f>
        <v/>
      </c>
      <c r="AB170">
        <f>IF('Recurring Schedule'!$C$32="","",IF('Recurring Schedule'!$F$32="","",IF(OR($A170&lt;'Recurring Schedule'!$F$32,$A170&gt;'Recurring Schedule'!$P$32),"",IF(IF('Recurring Schedule'!$N$32&gt;0,MOD($A170-'Recurring Schedule'!$F$32,'Recurring Schedule'!$N$32)=0,IF('Recurring Schedule'!$O$32&gt;0,AND(DAY($A170)=MIN(DAY('Recurring Schedule'!$F$32),DAY(EOMONTH($A170,0))),MOD((YEAR($A170)-YEAR('Recurring Schedule'!$F$32))*12+MONTH($A170)-MONTH('Recurring Schedule'!$F$32),'Recurring Schedule'!$O$32)=0),IF('Recurring Schedule'!$E$32="Weekdays",WEEKDAY($A170,2)&lt;=5,$A170='Recurring Schedule'!$F$32))),27,""))))</f>
        <v/>
      </c>
      <c r="AC170">
        <f>IF('Recurring Schedule'!$C$33="","",IF('Recurring Schedule'!$F$33="","",IF(OR($A170&lt;'Recurring Schedule'!$F$33,$A170&gt;'Recurring Schedule'!$P$33),"",IF(IF('Recurring Schedule'!$N$33&gt;0,MOD($A170-'Recurring Schedule'!$F$33,'Recurring Schedule'!$N$33)=0,IF('Recurring Schedule'!$O$33&gt;0,AND(DAY($A170)=MIN(DAY('Recurring Schedule'!$F$33),DAY(EOMONTH($A170,0))),MOD((YEAR($A170)-YEAR('Recurring Schedule'!$F$33))*12+MONTH($A170)-MONTH('Recurring Schedule'!$F$33),'Recurring Schedule'!$O$33)=0),IF('Recurring Schedule'!$E$33="Weekdays",WEEKDAY($A170,2)&lt;=5,$A170='Recurring Schedule'!$F$33))),28,""))))</f>
        <v/>
      </c>
      <c r="AD170">
        <f>IF('Recurring Schedule'!$C$34="","",IF('Recurring Schedule'!$F$34="","",IF(OR($A170&lt;'Recurring Schedule'!$F$34,$A170&gt;'Recurring Schedule'!$P$34),"",IF(IF('Recurring Schedule'!$N$34&gt;0,MOD($A170-'Recurring Schedule'!$F$34,'Recurring Schedule'!$N$34)=0,IF('Recurring Schedule'!$O$34&gt;0,AND(DAY($A170)=MIN(DAY('Recurring Schedule'!$F$34),DAY(EOMONTH($A170,0))),MOD((YEAR($A170)-YEAR('Recurring Schedule'!$F$34))*12+MONTH($A170)-MONTH('Recurring Schedule'!$F$34),'Recurring Schedule'!$O$34)=0),IF('Recurring Schedule'!$E$34="Weekdays",WEEKDAY($A170,2)&lt;=5,$A170='Recurring Schedule'!$F$34))),29,""))))</f>
        <v/>
      </c>
      <c r="AE170">
        <f>IF('Recurring Schedule'!$C$35="","",IF('Recurring Schedule'!$F$35="","",IF(OR($A170&lt;'Recurring Schedule'!$F$35,$A170&gt;'Recurring Schedule'!$P$35),"",IF(IF('Recurring Schedule'!$N$35&gt;0,MOD($A170-'Recurring Schedule'!$F$35,'Recurring Schedule'!$N$35)=0,IF('Recurring Schedule'!$O$35&gt;0,AND(DAY($A170)=MIN(DAY('Recurring Schedule'!$F$35),DAY(EOMONTH($A170,0))),MOD((YEAR($A170)-YEAR('Recurring Schedule'!$F$35))*12+MONTH($A170)-MONTH('Recurring Schedule'!$F$35),'Recurring Schedule'!$O$35)=0),IF('Recurring Schedule'!$E$35="Weekdays",WEEKDAY($A170,2)&lt;=5,$A170='Recurring Schedule'!$F$35))),30,""))))</f>
        <v/>
      </c>
      <c r="AF170">
        <f>IF('Recurring Schedule'!$C$36="","",IF('Recurring Schedule'!$F$36="","",IF(OR($A170&lt;'Recurring Schedule'!$F$36,$A170&gt;'Recurring Schedule'!$P$36),"",IF(IF('Recurring Schedule'!$N$36&gt;0,MOD($A170-'Recurring Schedule'!$F$36,'Recurring Schedule'!$N$36)=0,IF('Recurring Schedule'!$O$36&gt;0,AND(DAY($A170)=MIN(DAY('Recurring Schedule'!$F$36),DAY(EOMONTH($A170,0))),MOD((YEAR($A170)-YEAR('Recurring Schedule'!$F$36))*12+MONTH($A170)-MONTH('Recurring Schedule'!$F$36),'Recurring Schedule'!$O$36)=0),IF('Recurring Schedule'!$E$36="Weekdays",WEEKDAY($A170,2)&lt;=5,$A170='Recurring Schedule'!$F$36))),31,""))))</f>
        <v/>
      </c>
      <c r="AG170">
        <f>IF('Recurring Schedule'!$C$37="","",IF('Recurring Schedule'!$F$37="","",IF(OR($A170&lt;'Recurring Schedule'!$F$37,$A170&gt;'Recurring Schedule'!$P$37),"",IF(IF('Recurring Schedule'!$N$37&gt;0,MOD($A170-'Recurring Schedule'!$F$37,'Recurring Schedule'!$N$37)=0,IF('Recurring Schedule'!$O$37&gt;0,AND(DAY($A170)=MIN(DAY('Recurring Schedule'!$F$37),DAY(EOMONTH($A170,0))),MOD((YEAR($A170)-YEAR('Recurring Schedule'!$F$37))*12+MONTH($A170)-MONTH('Recurring Schedule'!$F$37),'Recurring Schedule'!$O$37)=0),IF('Recurring Schedule'!$E$37="Weekdays",WEEKDAY($A170,2)&lt;=5,$A170='Recurring Schedule'!$F$37))),32,""))))</f>
        <v/>
      </c>
      <c r="AH170">
        <f>IF('Recurring Schedule'!$C$38="","",IF('Recurring Schedule'!$F$38="","",IF(OR($A170&lt;'Recurring Schedule'!$F$38,$A170&gt;'Recurring Schedule'!$P$38),"",IF(IF('Recurring Schedule'!$N$38&gt;0,MOD($A170-'Recurring Schedule'!$F$38,'Recurring Schedule'!$N$38)=0,IF('Recurring Schedule'!$O$38&gt;0,AND(DAY($A170)=MIN(DAY('Recurring Schedule'!$F$38),DAY(EOMONTH($A170,0))),MOD((YEAR($A170)-YEAR('Recurring Schedule'!$F$38))*12+MONTH($A170)-MONTH('Recurring Schedule'!$F$38),'Recurring Schedule'!$O$38)=0),IF('Recurring Schedule'!$E$38="Weekdays",WEEKDAY($A170,2)&lt;=5,$A170='Recurring Schedule'!$F$38))),33,""))))</f>
        <v/>
      </c>
      <c r="AI170">
        <f>IF('Recurring Schedule'!$C$39="","",IF('Recurring Schedule'!$F$39="","",IF(OR($A170&lt;'Recurring Schedule'!$F$39,$A170&gt;'Recurring Schedule'!$P$39),"",IF(IF('Recurring Schedule'!$N$39&gt;0,MOD($A170-'Recurring Schedule'!$F$39,'Recurring Schedule'!$N$39)=0,IF('Recurring Schedule'!$O$39&gt;0,AND(DAY($A170)=MIN(DAY('Recurring Schedule'!$F$39),DAY(EOMONTH($A170,0))),MOD((YEAR($A170)-YEAR('Recurring Schedule'!$F$39))*12+MONTH($A170)-MONTH('Recurring Schedule'!$F$39),'Recurring Schedule'!$O$39)=0),IF('Recurring Schedule'!$E$39="Weekdays",WEEKDAY($A170,2)&lt;=5,$A170='Recurring Schedule'!$F$39))),34,""))))</f>
        <v/>
      </c>
      <c r="AJ170">
        <f>IF('Recurring Schedule'!$C$40="","",IF('Recurring Schedule'!$F$40="","",IF(OR($A170&lt;'Recurring Schedule'!$F$40,$A170&gt;'Recurring Schedule'!$P$40),"",IF(IF('Recurring Schedule'!$N$40&gt;0,MOD($A170-'Recurring Schedule'!$F$40,'Recurring Schedule'!$N$40)=0,IF('Recurring Schedule'!$O$40&gt;0,AND(DAY($A170)=MIN(DAY('Recurring Schedule'!$F$40),DAY(EOMONTH($A170,0))),MOD((YEAR($A170)-YEAR('Recurring Schedule'!$F$40))*12+MONTH($A170)-MONTH('Recurring Schedule'!$F$40),'Recurring Schedule'!$O$40)=0),IF('Recurring Schedule'!$E$40="Weekdays",WEEKDAY($A170,2)&lt;=5,$A170='Recurring Schedule'!$F$40))),35,""))))</f>
        <v/>
      </c>
      <c r="AK170">
        <f>IF('Recurring Schedule'!$C$41="","",IF('Recurring Schedule'!$F$41="","",IF(OR($A170&lt;'Recurring Schedule'!$F$41,$A170&gt;'Recurring Schedule'!$P$41),"",IF(IF('Recurring Schedule'!$N$41&gt;0,MOD($A170-'Recurring Schedule'!$F$41,'Recurring Schedule'!$N$41)=0,IF('Recurring Schedule'!$O$41&gt;0,AND(DAY($A170)=MIN(DAY('Recurring Schedule'!$F$41),DAY(EOMONTH($A170,0))),MOD((YEAR($A170)-YEAR('Recurring Schedule'!$F$41))*12+MONTH($A170)-MONTH('Recurring Schedule'!$F$41),'Recurring Schedule'!$O$41)=0),IF('Recurring Schedule'!$E$41="Weekdays",WEEKDAY($A170,2)&lt;=5,$A170='Recurring Schedule'!$F$41))),36,""))))</f>
        <v/>
      </c>
      <c r="AL170">
        <f>IF('Recurring Schedule'!$C$42="","",IF('Recurring Schedule'!$F$42="","",IF(OR($A170&lt;'Recurring Schedule'!$F$42,$A170&gt;'Recurring Schedule'!$P$42),"",IF(IF('Recurring Schedule'!$N$42&gt;0,MOD($A170-'Recurring Schedule'!$F$42,'Recurring Schedule'!$N$42)=0,IF('Recurring Schedule'!$O$42&gt;0,AND(DAY($A170)=MIN(DAY('Recurring Schedule'!$F$42),DAY(EOMONTH($A170,0))),MOD((YEAR($A170)-YEAR('Recurring Schedule'!$F$42))*12+MONTH($A170)-MONTH('Recurring Schedule'!$F$42),'Recurring Schedule'!$O$42)=0),IF('Recurring Schedule'!$E$42="Weekdays",WEEKDAY($A170,2)&lt;=5,$A170='Recurring Schedule'!$F$42))),37,""))))</f>
        <v/>
      </c>
      <c r="AM170">
        <f>IF('Recurring Schedule'!$C$43="","",IF('Recurring Schedule'!$F$43="","",IF(OR($A170&lt;'Recurring Schedule'!$F$43,$A170&gt;'Recurring Schedule'!$P$43),"",IF(IF('Recurring Schedule'!$N$43&gt;0,MOD($A170-'Recurring Schedule'!$F$43,'Recurring Schedule'!$N$43)=0,IF('Recurring Schedule'!$O$43&gt;0,AND(DAY($A170)=MIN(DAY('Recurring Schedule'!$F$43),DAY(EOMONTH($A170,0))),MOD((YEAR($A170)-YEAR('Recurring Schedule'!$F$43))*12+MONTH($A170)-MONTH('Recurring Schedule'!$F$43),'Recurring Schedule'!$O$43)=0),IF('Recurring Schedule'!$E$43="Weekdays",WEEKDAY($A170,2)&lt;=5,$A170='Recurring Schedule'!$F$43))),38,""))))</f>
        <v/>
      </c>
      <c r="AN170">
        <f>IF('Recurring Schedule'!$C$44="","",IF('Recurring Schedule'!$F$44="","",IF(OR($A170&lt;'Recurring Schedule'!$F$44,$A170&gt;'Recurring Schedule'!$P$44),"",IF(IF('Recurring Schedule'!$N$44&gt;0,MOD($A170-'Recurring Schedule'!$F$44,'Recurring Schedule'!$N$44)=0,IF('Recurring Schedule'!$O$44&gt;0,AND(DAY($A170)=MIN(DAY('Recurring Schedule'!$F$44),DAY(EOMONTH($A170,0))),MOD((YEAR($A170)-YEAR('Recurring Schedule'!$F$44))*12+MONTH($A170)-MONTH('Recurring Schedule'!$F$44),'Recurring Schedule'!$O$44)=0),IF('Recurring Schedule'!$E$44="Weekdays",WEEKDAY($A170,2)&lt;=5,$A170='Recurring Schedule'!$F$44))),39,""))))</f>
        <v/>
      </c>
      <c r="AO170">
        <f>IF('Recurring Schedule'!$C$45="","",IF('Recurring Schedule'!$F$45="","",IF(OR($A170&lt;'Recurring Schedule'!$F$45,$A170&gt;'Recurring Schedule'!$P$45),"",IF(IF('Recurring Schedule'!$N$45&gt;0,MOD($A170-'Recurring Schedule'!$F$45,'Recurring Schedule'!$N$45)=0,IF('Recurring Schedule'!$O$45&gt;0,AND(DAY($A170)=MIN(DAY('Recurring Schedule'!$F$45),DAY(EOMONTH($A170,0))),MOD((YEAR($A170)-YEAR('Recurring Schedule'!$F$45))*12+MONTH($A170)-MONTH('Recurring Schedule'!$F$45),'Recurring Schedule'!$O$45)=0),IF('Recurring Schedule'!$E$45="Weekdays",WEEKDAY($A170,2)&lt;=5,$A170='Recurring Schedule'!$F$45))),40,""))))</f>
        <v/>
      </c>
      <c r="AP170">
        <f>COUNT(B170:AO170)</f>
        <v/>
      </c>
      <c r="AQ170">
        <f>AQ169+AP169</f>
        <v/>
      </c>
      <c r="AS170" t="inlineStr">
        <is>
          <t>R</t>
        </is>
      </c>
      <c r="AT170" t="n">
        <v>174</v>
      </c>
      <c r="AU170">
        <f>'Recurring Log'!C174&amp;""</f>
        <v/>
      </c>
      <c r="AV170">
        <f>'Recurring Log'!D174&amp;""</f>
        <v/>
      </c>
      <c r="AW170">
        <f>IF('Recurring Log'!E174="","",'Recurring Log'!E174)</f>
        <v/>
      </c>
      <c r="AX170">
        <f>IF('Recurring Log'!G174="","",'Recurring Log'!G174)</f>
        <v/>
      </c>
      <c r="AY170">
        <f>IF('Recurring Log'!H174="","",'Recurring Log'!H174)</f>
        <v/>
      </c>
      <c r="AZ170">
        <f>IF(AU170="","",IF('Recurring Log'!J174="","Not Started",'Recurring Log'!J174))</f>
        <v/>
      </c>
      <c r="BA170">
        <f>'Recurring Log'!L174&amp;""</f>
        <v/>
      </c>
      <c r="BB170">
        <f>'Recurring Log'!M174&amp;""</f>
        <v/>
      </c>
      <c r="BC170">
        <f>'Recurring Log'!N174&amp;""</f>
        <v/>
      </c>
      <c r="BD170">
        <f>'Recurring Log'!O174&amp;""</f>
        <v/>
      </c>
      <c r="BE170">
        <f>IF('Recurring Log'!K174="","",'Recurring Log'!K174)</f>
        <v/>
      </c>
      <c r="BF170">
        <f>IFERROR(MATCH(BA170,Setup!$L$6:$L$9,0),5)</f>
        <v/>
      </c>
      <c r="BG170">
        <f>IF(OR(AZ170="Done",AZ170="Cancelled"),1,0)</f>
        <v/>
      </c>
      <c r="BH170">
        <f>IF(AND(AU170&lt;&gt;"",ISNUMBER(AW170)),1,0)</f>
        <v/>
      </c>
      <c r="BI170">
        <f>IF(BH170=0,0,IF(AND(AW170&gt;='Tasks Filter'!$F$3,AW170&lt;='Tasks Filter'!$F$4,OR('Tasks Filter'!$I$3="",ISNUMBER(SEARCH('Tasks Filter'!$I$3,AU170))),OR('Tasks Filter'!$I$4="",BF170=IFERROR(MATCH('Tasks Filter'!$I$4,Setup!$L$6:$L$9,0),0)),OR('Tasks Filter'!$I$5="Both",AND('Tasks Filter'!$I$5="Yes",BB170="✓"),AND('Tasks Filter'!$I$5="No",BB170&lt;&gt;"✓")),OR('Tasks Filter'!$L$3="",AV170='Tasks Filter'!$L$3),OR('Tasks Filter'!$L$4="",AZ170='Tasks Filter'!$L$4),OR('Tasks Filter'!$L$5="",BC170='Tasks Filter'!$L$5),OR('Tasks Filter'!$O$3="",BD170='Tasks Filter'!$O$3),OR('Tasks Filter'!$O$4="Yes",BG170=0)),1,0))</f>
        <v/>
      </c>
      <c r="BJ170">
        <f>IF(BH170=0,"",IF('Tasks Filter'!$F$6="Descending",-1,1)*CHOOSE(MATCH('Tasks Filter'!$F$5,Lists!$G$2:$G$6,0),AW170,BF170,IFERROR(MATCH(AV170,Setup!$F$6:$F$15,0),99),IFERROR(MATCH(BC170,Setup!$H$6:$H$15,0),99),IFERROR(MATCH(AZ170,Setup!$J$6:$J$11,0),99))*1E+9+(AW170-40000)*10000+169)</f>
        <v/>
      </c>
      <c r="BK170">
        <f>IF(BI170=1,BJ170,"")</f>
        <v/>
      </c>
      <c r="BL170">
        <f>IF(AND(BH170=1,BG170=0,N(AW170)&lt;Setup!$D$7),(AW170-40000)*10000+169,"")</f>
        <v/>
      </c>
      <c r="BM170">
        <f>IF(AND(BH170=1,AZ170&lt;&gt;"Cancelled",N(AW170)&gt;=Dashboard!$AB$3,N(AW170)&lt;=Dashboard!$AB$3+6),(AW170-40000)*100000+BF170*10000+169,"")</f>
        <v/>
      </c>
      <c r="BN170">
        <f>IF(AND(BH170=1,AZ170&lt;&gt;"Cancelled"),BF170*10000+169,"")</f>
        <v/>
      </c>
    </row>
    <row r="171">
      <c r="A171">
        <f>Setup!$D$5+169</f>
        <v/>
      </c>
      <c r="B171">
        <f>IF('Recurring Schedule'!$C$6="","",IF('Recurring Schedule'!$F$6="","",IF(OR($A171&lt;'Recurring Schedule'!$F$6,$A171&gt;'Recurring Schedule'!$P$6),"",IF(IF('Recurring Schedule'!$N$6&gt;0,MOD($A171-'Recurring Schedule'!$F$6,'Recurring Schedule'!$N$6)=0,IF('Recurring Schedule'!$O$6&gt;0,AND(DAY($A171)=MIN(DAY('Recurring Schedule'!$F$6),DAY(EOMONTH($A171,0))),MOD((YEAR($A171)-YEAR('Recurring Schedule'!$F$6))*12+MONTH($A171)-MONTH('Recurring Schedule'!$F$6),'Recurring Schedule'!$O$6)=0),IF('Recurring Schedule'!$E$6="Weekdays",WEEKDAY($A171,2)&lt;=5,$A171='Recurring Schedule'!$F$6))),1,""))))</f>
        <v/>
      </c>
      <c r="C171">
        <f>IF('Recurring Schedule'!$C$7="","",IF('Recurring Schedule'!$F$7="","",IF(OR($A171&lt;'Recurring Schedule'!$F$7,$A171&gt;'Recurring Schedule'!$P$7),"",IF(IF('Recurring Schedule'!$N$7&gt;0,MOD($A171-'Recurring Schedule'!$F$7,'Recurring Schedule'!$N$7)=0,IF('Recurring Schedule'!$O$7&gt;0,AND(DAY($A171)=MIN(DAY('Recurring Schedule'!$F$7),DAY(EOMONTH($A171,0))),MOD((YEAR($A171)-YEAR('Recurring Schedule'!$F$7))*12+MONTH($A171)-MONTH('Recurring Schedule'!$F$7),'Recurring Schedule'!$O$7)=0),IF('Recurring Schedule'!$E$7="Weekdays",WEEKDAY($A171,2)&lt;=5,$A171='Recurring Schedule'!$F$7))),2,""))))</f>
        <v/>
      </c>
      <c r="D171">
        <f>IF('Recurring Schedule'!$C$8="","",IF('Recurring Schedule'!$F$8="","",IF(OR($A171&lt;'Recurring Schedule'!$F$8,$A171&gt;'Recurring Schedule'!$P$8),"",IF(IF('Recurring Schedule'!$N$8&gt;0,MOD($A171-'Recurring Schedule'!$F$8,'Recurring Schedule'!$N$8)=0,IF('Recurring Schedule'!$O$8&gt;0,AND(DAY($A171)=MIN(DAY('Recurring Schedule'!$F$8),DAY(EOMONTH($A171,0))),MOD((YEAR($A171)-YEAR('Recurring Schedule'!$F$8))*12+MONTH($A171)-MONTH('Recurring Schedule'!$F$8),'Recurring Schedule'!$O$8)=0),IF('Recurring Schedule'!$E$8="Weekdays",WEEKDAY($A171,2)&lt;=5,$A171='Recurring Schedule'!$F$8))),3,""))))</f>
        <v/>
      </c>
      <c r="E171">
        <f>IF('Recurring Schedule'!$C$9="","",IF('Recurring Schedule'!$F$9="","",IF(OR($A171&lt;'Recurring Schedule'!$F$9,$A171&gt;'Recurring Schedule'!$P$9),"",IF(IF('Recurring Schedule'!$N$9&gt;0,MOD($A171-'Recurring Schedule'!$F$9,'Recurring Schedule'!$N$9)=0,IF('Recurring Schedule'!$O$9&gt;0,AND(DAY($A171)=MIN(DAY('Recurring Schedule'!$F$9),DAY(EOMONTH($A171,0))),MOD((YEAR($A171)-YEAR('Recurring Schedule'!$F$9))*12+MONTH($A171)-MONTH('Recurring Schedule'!$F$9),'Recurring Schedule'!$O$9)=0),IF('Recurring Schedule'!$E$9="Weekdays",WEEKDAY($A171,2)&lt;=5,$A171='Recurring Schedule'!$F$9))),4,""))))</f>
        <v/>
      </c>
      <c r="F171">
        <f>IF('Recurring Schedule'!$C$10="","",IF('Recurring Schedule'!$F$10="","",IF(OR($A171&lt;'Recurring Schedule'!$F$10,$A171&gt;'Recurring Schedule'!$P$10),"",IF(IF('Recurring Schedule'!$N$10&gt;0,MOD($A171-'Recurring Schedule'!$F$10,'Recurring Schedule'!$N$10)=0,IF('Recurring Schedule'!$O$10&gt;0,AND(DAY($A171)=MIN(DAY('Recurring Schedule'!$F$10),DAY(EOMONTH($A171,0))),MOD((YEAR($A171)-YEAR('Recurring Schedule'!$F$10))*12+MONTH($A171)-MONTH('Recurring Schedule'!$F$10),'Recurring Schedule'!$O$10)=0),IF('Recurring Schedule'!$E$10="Weekdays",WEEKDAY($A171,2)&lt;=5,$A171='Recurring Schedule'!$F$10))),5,""))))</f>
        <v/>
      </c>
      <c r="G171">
        <f>IF('Recurring Schedule'!$C$11="","",IF('Recurring Schedule'!$F$11="","",IF(OR($A171&lt;'Recurring Schedule'!$F$11,$A171&gt;'Recurring Schedule'!$P$11),"",IF(IF('Recurring Schedule'!$N$11&gt;0,MOD($A171-'Recurring Schedule'!$F$11,'Recurring Schedule'!$N$11)=0,IF('Recurring Schedule'!$O$11&gt;0,AND(DAY($A171)=MIN(DAY('Recurring Schedule'!$F$11),DAY(EOMONTH($A171,0))),MOD((YEAR($A171)-YEAR('Recurring Schedule'!$F$11))*12+MONTH($A171)-MONTH('Recurring Schedule'!$F$11),'Recurring Schedule'!$O$11)=0),IF('Recurring Schedule'!$E$11="Weekdays",WEEKDAY($A171,2)&lt;=5,$A171='Recurring Schedule'!$F$11))),6,""))))</f>
        <v/>
      </c>
      <c r="H171">
        <f>IF('Recurring Schedule'!$C$12="","",IF('Recurring Schedule'!$F$12="","",IF(OR($A171&lt;'Recurring Schedule'!$F$12,$A171&gt;'Recurring Schedule'!$P$12),"",IF(IF('Recurring Schedule'!$N$12&gt;0,MOD($A171-'Recurring Schedule'!$F$12,'Recurring Schedule'!$N$12)=0,IF('Recurring Schedule'!$O$12&gt;0,AND(DAY($A171)=MIN(DAY('Recurring Schedule'!$F$12),DAY(EOMONTH($A171,0))),MOD((YEAR($A171)-YEAR('Recurring Schedule'!$F$12))*12+MONTH($A171)-MONTH('Recurring Schedule'!$F$12),'Recurring Schedule'!$O$12)=0),IF('Recurring Schedule'!$E$12="Weekdays",WEEKDAY($A171,2)&lt;=5,$A171='Recurring Schedule'!$F$12))),7,""))))</f>
        <v/>
      </c>
      <c r="I171">
        <f>IF('Recurring Schedule'!$C$13="","",IF('Recurring Schedule'!$F$13="","",IF(OR($A171&lt;'Recurring Schedule'!$F$13,$A171&gt;'Recurring Schedule'!$P$13),"",IF(IF('Recurring Schedule'!$N$13&gt;0,MOD($A171-'Recurring Schedule'!$F$13,'Recurring Schedule'!$N$13)=0,IF('Recurring Schedule'!$O$13&gt;0,AND(DAY($A171)=MIN(DAY('Recurring Schedule'!$F$13),DAY(EOMONTH($A171,0))),MOD((YEAR($A171)-YEAR('Recurring Schedule'!$F$13))*12+MONTH($A171)-MONTH('Recurring Schedule'!$F$13),'Recurring Schedule'!$O$13)=0),IF('Recurring Schedule'!$E$13="Weekdays",WEEKDAY($A171,2)&lt;=5,$A171='Recurring Schedule'!$F$13))),8,""))))</f>
        <v/>
      </c>
      <c r="J171">
        <f>IF('Recurring Schedule'!$C$14="","",IF('Recurring Schedule'!$F$14="","",IF(OR($A171&lt;'Recurring Schedule'!$F$14,$A171&gt;'Recurring Schedule'!$P$14),"",IF(IF('Recurring Schedule'!$N$14&gt;0,MOD($A171-'Recurring Schedule'!$F$14,'Recurring Schedule'!$N$14)=0,IF('Recurring Schedule'!$O$14&gt;0,AND(DAY($A171)=MIN(DAY('Recurring Schedule'!$F$14),DAY(EOMONTH($A171,0))),MOD((YEAR($A171)-YEAR('Recurring Schedule'!$F$14))*12+MONTH($A171)-MONTH('Recurring Schedule'!$F$14),'Recurring Schedule'!$O$14)=0),IF('Recurring Schedule'!$E$14="Weekdays",WEEKDAY($A171,2)&lt;=5,$A171='Recurring Schedule'!$F$14))),9,""))))</f>
        <v/>
      </c>
      <c r="K171">
        <f>IF('Recurring Schedule'!$C$15="","",IF('Recurring Schedule'!$F$15="","",IF(OR($A171&lt;'Recurring Schedule'!$F$15,$A171&gt;'Recurring Schedule'!$P$15),"",IF(IF('Recurring Schedule'!$N$15&gt;0,MOD($A171-'Recurring Schedule'!$F$15,'Recurring Schedule'!$N$15)=0,IF('Recurring Schedule'!$O$15&gt;0,AND(DAY($A171)=MIN(DAY('Recurring Schedule'!$F$15),DAY(EOMONTH($A171,0))),MOD((YEAR($A171)-YEAR('Recurring Schedule'!$F$15))*12+MONTH($A171)-MONTH('Recurring Schedule'!$F$15),'Recurring Schedule'!$O$15)=0),IF('Recurring Schedule'!$E$15="Weekdays",WEEKDAY($A171,2)&lt;=5,$A171='Recurring Schedule'!$F$15))),10,""))))</f>
        <v/>
      </c>
      <c r="L171">
        <f>IF('Recurring Schedule'!$C$16="","",IF('Recurring Schedule'!$F$16="","",IF(OR($A171&lt;'Recurring Schedule'!$F$16,$A171&gt;'Recurring Schedule'!$P$16),"",IF(IF('Recurring Schedule'!$N$16&gt;0,MOD($A171-'Recurring Schedule'!$F$16,'Recurring Schedule'!$N$16)=0,IF('Recurring Schedule'!$O$16&gt;0,AND(DAY($A171)=MIN(DAY('Recurring Schedule'!$F$16),DAY(EOMONTH($A171,0))),MOD((YEAR($A171)-YEAR('Recurring Schedule'!$F$16))*12+MONTH($A171)-MONTH('Recurring Schedule'!$F$16),'Recurring Schedule'!$O$16)=0),IF('Recurring Schedule'!$E$16="Weekdays",WEEKDAY($A171,2)&lt;=5,$A171='Recurring Schedule'!$F$16))),11,""))))</f>
        <v/>
      </c>
      <c r="M171">
        <f>IF('Recurring Schedule'!$C$17="","",IF('Recurring Schedule'!$F$17="","",IF(OR($A171&lt;'Recurring Schedule'!$F$17,$A171&gt;'Recurring Schedule'!$P$17),"",IF(IF('Recurring Schedule'!$N$17&gt;0,MOD($A171-'Recurring Schedule'!$F$17,'Recurring Schedule'!$N$17)=0,IF('Recurring Schedule'!$O$17&gt;0,AND(DAY($A171)=MIN(DAY('Recurring Schedule'!$F$17),DAY(EOMONTH($A171,0))),MOD((YEAR($A171)-YEAR('Recurring Schedule'!$F$17))*12+MONTH($A171)-MONTH('Recurring Schedule'!$F$17),'Recurring Schedule'!$O$17)=0),IF('Recurring Schedule'!$E$17="Weekdays",WEEKDAY($A171,2)&lt;=5,$A171='Recurring Schedule'!$F$17))),12,""))))</f>
        <v/>
      </c>
      <c r="N171">
        <f>IF('Recurring Schedule'!$C$18="","",IF('Recurring Schedule'!$F$18="","",IF(OR($A171&lt;'Recurring Schedule'!$F$18,$A171&gt;'Recurring Schedule'!$P$18),"",IF(IF('Recurring Schedule'!$N$18&gt;0,MOD($A171-'Recurring Schedule'!$F$18,'Recurring Schedule'!$N$18)=0,IF('Recurring Schedule'!$O$18&gt;0,AND(DAY($A171)=MIN(DAY('Recurring Schedule'!$F$18),DAY(EOMONTH($A171,0))),MOD((YEAR($A171)-YEAR('Recurring Schedule'!$F$18))*12+MONTH($A171)-MONTH('Recurring Schedule'!$F$18),'Recurring Schedule'!$O$18)=0),IF('Recurring Schedule'!$E$18="Weekdays",WEEKDAY($A171,2)&lt;=5,$A171='Recurring Schedule'!$F$18))),13,""))))</f>
        <v/>
      </c>
      <c r="O171">
        <f>IF('Recurring Schedule'!$C$19="","",IF('Recurring Schedule'!$F$19="","",IF(OR($A171&lt;'Recurring Schedule'!$F$19,$A171&gt;'Recurring Schedule'!$P$19),"",IF(IF('Recurring Schedule'!$N$19&gt;0,MOD($A171-'Recurring Schedule'!$F$19,'Recurring Schedule'!$N$19)=0,IF('Recurring Schedule'!$O$19&gt;0,AND(DAY($A171)=MIN(DAY('Recurring Schedule'!$F$19),DAY(EOMONTH($A171,0))),MOD((YEAR($A171)-YEAR('Recurring Schedule'!$F$19))*12+MONTH($A171)-MONTH('Recurring Schedule'!$F$19),'Recurring Schedule'!$O$19)=0),IF('Recurring Schedule'!$E$19="Weekdays",WEEKDAY($A171,2)&lt;=5,$A171='Recurring Schedule'!$F$19))),14,""))))</f>
        <v/>
      </c>
      <c r="P171">
        <f>IF('Recurring Schedule'!$C$20="","",IF('Recurring Schedule'!$F$20="","",IF(OR($A171&lt;'Recurring Schedule'!$F$20,$A171&gt;'Recurring Schedule'!$P$20),"",IF(IF('Recurring Schedule'!$N$20&gt;0,MOD($A171-'Recurring Schedule'!$F$20,'Recurring Schedule'!$N$20)=0,IF('Recurring Schedule'!$O$20&gt;0,AND(DAY($A171)=MIN(DAY('Recurring Schedule'!$F$20),DAY(EOMONTH($A171,0))),MOD((YEAR($A171)-YEAR('Recurring Schedule'!$F$20))*12+MONTH($A171)-MONTH('Recurring Schedule'!$F$20),'Recurring Schedule'!$O$20)=0),IF('Recurring Schedule'!$E$20="Weekdays",WEEKDAY($A171,2)&lt;=5,$A171='Recurring Schedule'!$F$20))),15,""))))</f>
        <v/>
      </c>
      <c r="Q171">
        <f>IF('Recurring Schedule'!$C$21="","",IF('Recurring Schedule'!$F$21="","",IF(OR($A171&lt;'Recurring Schedule'!$F$21,$A171&gt;'Recurring Schedule'!$P$21),"",IF(IF('Recurring Schedule'!$N$21&gt;0,MOD($A171-'Recurring Schedule'!$F$21,'Recurring Schedule'!$N$21)=0,IF('Recurring Schedule'!$O$21&gt;0,AND(DAY($A171)=MIN(DAY('Recurring Schedule'!$F$21),DAY(EOMONTH($A171,0))),MOD((YEAR($A171)-YEAR('Recurring Schedule'!$F$21))*12+MONTH($A171)-MONTH('Recurring Schedule'!$F$21),'Recurring Schedule'!$O$21)=0),IF('Recurring Schedule'!$E$21="Weekdays",WEEKDAY($A171,2)&lt;=5,$A171='Recurring Schedule'!$F$21))),16,""))))</f>
        <v/>
      </c>
      <c r="R171">
        <f>IF('Recurring Schedule'!$C$22="","",IF('Recurring Schedule'!$F$22="","",IF(OR($A171&lt;'Recurring Schedule'!$F$22,$A171&gt;'Recurring Schedule'!$P$22),"",IF(IF('Recurring Schedule'!$N$22&gt;0,MOD($A171-'Recurring Schedule'!$F$22,'Recurring Schedule'!$N$22)=0,IF('Recurring Schedule'!$O$22&gt;0,AND(DAY($A171)=MIN(DAY('Recurring Schedule'!$F$22),DAY(EOMONTH($A171,0))),MOD((YEAR($A171)-YEAR('Recurring Schedule'!$F$22))*12+MONTH($A171)-MONTH('Recurring Schedule'!$F$22),'Recurring Schedule'!$O$22)=0),IF('Recurring Schedule'!$E$22="Weekdays",WEEKDAY($A171,2)&lt;=5,$A171='Recurring Schedule'!$F$22))),17,""))))</f>
        <v/>
      </c>
      <c r="S171">
        <f>IF('Recurring Schedule'!$C$23="","",IF('Recurring Schedule'!$F$23="","",IF(OR($A171&lt;'Recurring Schedule'!$F$23,$A171&gt;'Recurring Schedule'!$P$23),"",IF(IF('Recurring Schedule'!$N$23&gt;0,MOD($A171-'Recurring Schedule'!$F$23,'Recurring Schedule'!$N$23)=0,IF('Recurring Schedule'!$O$23&gt;0,AND(DAY($A171)=MIN(DAY('Recurring Schedule'!$F$23),DAY(EOMONTH($A171,0))),MOD((YEAR($A171)-YEAR('Recurring Schedule'!$F$23))*12+MONTH($A171)-MONTH('Recurring Schedule'!$F$23),'Recurring Schedule'!$O$23)=0),IF('Recurring Schedule'!$E$23="Weekdays",WEEKDAY($A171,2)&lt;=5,$A171='Recurring Schedule'!$F$23))),18,""))))</f>
        <v/>
      </c>
      <c r="T171">
        <f>IF('Recurring Schedule'!$C$24="","",IF('Recurring Schedule'!$F$24="","",IF(OR($A171&lt;'Recurring Schedule'!$F$24,$A171&gt;'Recurring Schedule'!$P$24),"",IF(IF('Recurring Schedule'!$N$24&gt;0,MOD($A171-'Recurring Schedule'!$F$24,'Recurring Schedule'!$N$24)=0,IF('Recurring Schedule'!$O$24&gt;0,AND(DAY($A171)=MIN(DAY('Recurring Schedule'!$F$24),DAY(EOMONTH($A171,0))),MOD((YEAR($A171)-YEAR('Recurring Schedule'!$F$24))*12+MONTH($A171)-MONTH('Recurring Schedule'!$F$24),'Recurring Schedule'!$O$24)=0),IF('Recurring Schedule'!$E$24="Weekdays",WEEKDAY($A171,2)&lt;=5,$A171='Recurring Schedule'!$F$24))),19,""))))</f>
        <v/>
      </c>
      <c r="U171">
        <f>IF('Recurring Schedule'!$C$25="","",IF('Recurring Schedule'!$F$25="","",IF(OR($A171&lt;'Recurring Schedule'!$F$25,$A171&gt;'Recurring Schedule'!$P$25),"",IF(IF('Recurring Schedule'!$N$25&gt;0,MOD($A171-'Recurring Schedule'!$F$25,'Recurring Schedule'!$N$25)=0,IF('Recurring Schedule'!$O$25&gt;0,AND(DAY($A171)=MIN(DAY('Recurring Schedule'!$F$25),DAY(EOMONTH($A171,0))),MOD((YEAR($A171)-YEAR('Recurring Schedule'!$F$25))*12+MONTH($A171)-MONTH('Recurring Schedule'!$F$25),'Recurring Schedule'!$O$25)=0),IF('Recurring Schedule'!$E$25="Weekdays",WEEKDAY($A171,2)&lt;=5,$A171='Recurring Schedule'!$F$25))),20,""))))</f>
        <v/>
      </c>
      <c r="V171">
        <f>IF('Recurring Schedule'!$C$26="","",IF('Recurring Schedule'!$F$26="","",IF(OR($A171&lt;'Recurring Schedule'!$F$26,$A171&gt;'Recurring Schedule'!$P$26),"",IF(IF('Recurring Schedule'!$N$26&gt;0,MOD($A171-'Recurring Schedule'!$F$26,'Recurring Schedule'!$N$26)=0,IF('Recurring Schedule'!$O$26&gt;0,AND(DAY($A171)=MIN(DAY('Recurring Schedule'!$F$26),DAY(EOMONTH($A171,0))),MOD((YEAR($A171)-YEAR('Recurring Schedule'!$F$26))*12+MONTH($A171)-MONTH('Recurring Schedule'!$F$26),'Recurring Schedule'!$O$26)=0),IF('Recurring Schedule'!$E$26="Weekdays",WEEKDAY($A171,2)&lt;=5,$A171='Recurring Schedule'!$F$26))),21,""))))</f>
        <v/>
      </c>
      <c r="W171">
        <f>IF('Recurring Schedule'!$C$27="","",IF('Recurring Schedule'!$F$27="","",IF(OR($A171&lt;'Recurring Schedule'!$F$27,$A171&gt;'Recurring Schedule'!$P$27),"",IF(IF('Recurring Schedule'!$N$27&gt;0,MOD($A171-'Recurring Schedule'!$F$27,'Recurring Schedule'!$N$27)=0,IF('Recurring Schedule'!$O$27&gt;0,AND(DAY($A171)=MIN(DAY('Recurring Schedule'!$F$27),DAY(EOMONTH($A171,0))),MOD((YEAR($A171)-YEAR('Recurring Schedule'!$F$27))*12+MONTH($A171)-MONTH('Recurring Schedule'!$F$27),'Recurring Schedule'!$O$27)=0),IF('Recurring Schedule'!$E$27="Weekdays",WEEKDAY($A171,2)&lt;=5,$A171='Recurring Schedule'!$F$27))),22,""))))</f>
        <v/>
      </c>
      <c r="X171">
        <f>IF('Recurring Schedule'!$C$28="","",IF('Recurring Schedule'!$F$28="","",IF(OR($A171&lt;'Recurring Schedule'!$F$28,$A171&gt;'Recurring Schedule'!$P$28),"",IF(IF('Recurring Schedule'!$N$28&gt;0,MOD($A171-'Recurring Schedule'!$F$28,'Recurring Schedule'!$N$28)=0,IF('Recurring Schedule'!$O$28&gt;0,AND(DAY($A171)=MIN(DAY('Recurring Schedule'!$F$28),DAY(EOMONTH($A171,0))),MOD((YEAR($A171)-YEAR('Recurring Schedule'!$F$28))*12+MONTH($A171)-MONTH('Recurring Schedule'!$F$28),'Recurring Schedule'!$O$28)=0),IF('Recurring Schedule'!$E$28="Weekdays",WEEKDAY($A171,2)&lt;=5,$A171='Recurring Schedule'!$F$28))),23,""))))</f>
        <v/>
      </c>
      <c r="Y171">
        <f>IF('Recurring Schedule'!$C$29="","",IF('Recurring Schedule'!$F$29="","",IF(OR($A171&lt;'Recurring Schedule'!$F$29,$A171&gt;'Recurring Schedule'!$P$29),"",IF(IF('Recurring Schedule'!$N$29&gt;0,MOD($A171-'Recurring Schedule'!$F$29,'Recurring Schedule'!$N$29)=0,IF('Recurring Schedule'!$O$29&gt;0,AND(DAY($A171)=MIN(DAY('Recurring Schedule'!$F$29),DAY(EOMONTH($A171,0))),MOD((YEAR($A171)-YEAR('Recurring Schedule'!$F$29))*12+MONTH($A171)-MONTH('Recurring Schedule'!$F$29),'Recurring Schedule'!$O$29)=0),IF('Recurring Schedule'!$E$29="Weekdays",WEEKDAY($A171,2)&lt;=5,$A171='Recurring Schedule'!$F$29))),24,""))))</f>
        <v/>
      </c>
      <c r="Z171">
        <f>IF('Recurring Schedule'!$C$30="","",IF('Recurring Schedule'!$F$30="","",IF(OR($A171&lt;'Recurring Schedule'!$F$30,$A171&gt;'Recurring Schedule'!$P$30),"",IF(IF('Recurring Schedule'!$N$30&gt;0,MOD($A171-'Recurring Schedule'!$F$30,'Recurring Schedule'!$N$30)=0,IF('Recurring Schedule'!$O$30&gt;0,AND(DAY($A171)=MIN(DAY('Recurring Schedule'!$F$30),DAY(EOMONTH($A171,0))),MOD((YEAR($A171)-YEAR('Recurring Schedule'!$F$30))*12+MONTH($A171)-MONTH('Recurring Schedule'!$F$30),'Recurring Schedule'!$O$30)=0),IF('Recurring Schedule'!$E$30="Weekdays",WEEKDAY($A171,2)&lt;=5,$A171='Recurring Schedule'!$F$30))),25,""))))</f>
        <v/>
      </c>
      <c r="AA171">
        <f>IF('Recurring Schedule'!$C$31="","",IF('Recurring Schedule'!$F$31="","",IF(OR($A171&lt;'Recurring Schedule'!$F$31,$A171&gt;'Recurring Schedule'!$P$31),"",IF(IF('Recurring Schedule'!$N$31&gt;0,MOD($A171-'Recurring Schedule'!$F$31,'Recurring Schedule'!$N$31)=0,IF('Recurring Schedule'!$O$31&gt;0,AND(DAY($A171)=MIN(DAY('Recurring Schedule'!$F$31),DAY(EOMONTH($A171,0))),MOD((YEAR($A171)-YEAR('Recurring Schedule'!$F$31))*12+MONTH($A171)-MONTH('Recurring Schedule'!$F$31),'Recurring Schedule'!$O$31)=0),IF('Recurring Schedule'!$E$31="Weekdays",WEEKDAY($A171,2)&lt;=5,$A171='Recurring Schedule'!$F$31))),26,""))))</f>
        <v/>
      </c>
      <c r="AB171">
        <f>IF('Recurring Schedule'!$C$32="","",IF('Recurring Schedule'!$F$32="","",IF(OR($A171&lt;'Recurring Schedule'!$F$32,$A171&gt;'Recurring Schedule'!$P$32),"",IF(IF('Recurring Schedule'!$N$32&gt;0,MOD($A171-'Recurring Schedule'!$F$32,'Recurring Schedule'!$N$32)=0,IF('Recurring Schedule'!$O$32&gt;0,AND(DAY($A171)=MIN(DAY('Recurring Schedule'!$F$32),DAY(EOMONTH($A171,0))),MOD((YEAR($A171)-YEAR('Recurring Schedule'!$F$32))*12+MONTH($A171)-MONTH('Recurring Schedule'!$F$32),'Recurring Schedule'!$O$32)=0),IF('Recurring Schedule'!$E$32="Weekdays",WEEKDAY($A171,2)&lt;=5,$A171='Recurring Schedule'!$F$32))),27,""))))</f>
        <v/>
      </c>
      <c r="AC171">
        <f>IF('Recurring Schedule'!$C$33="","",IF('Recurring Schedule'!$F$33="","",IF(OR($A171&lt;'Recurring Schedule'!$F$33,$A171&gt;'Recurring Schedule'!$P$33),"",IF(IF('Recurring Schedule'!$N$33&gt;0,MOD($A171-'Recurring Schedule'!$F$33,'Recurring Schedule'!$N$33)=0,IF('Recurring Schedule'!$O$33&gt;0,AND(DAY($A171)=MIN(DAY('Recurring Schedule'!$F$33),DAY(EOMONTH($A171,0))),MOD((YEAR($A171)-YEAR('Recurring Schedule'!$F$33))*12+MONTH($A171)-MONTH('Recurring Schedule'!$F$33),'Recurring Schedule'!$O$33)=0),IF('Recurring Schedule'!$E$33="Weekdays",WEEKDAY($A171,2)&lt;=5,$A171='Recurring Schedule'!$F$33))),28,""))))</f>
        <v/>
      </c>
      <c r="AD171">
        <f>IF('Recurring Schedule'!$C$34="","",IF('Recurring Schedule'!$F$34="","",IF(OR($A171&lt;'Recurring Schedule'!$F$34,$A171&gt;'Recurring Schedule'!$P$34),"",IF(IF('Recurring Schedule'!$N$34&gt;0,MOD($A171-'Recurring Schedule'!$F$34,'Recurring Schedule'!$N$34)=0,IF('Recurring Schedule'!$O$34&gt;0,AND(DAY($A171)=MIN(DAY('Recurring Schedule'!$F$34),DAY(EOMONTH($A171,0))),MOD((YEAR($A171)-YEAR('Recurring Schedule'!$F$34))*12+MONTH($A171)-MONTH('Recurring Schedule'!$F$34),'Recurring Schedule'!$O$34)=0),IF('Recurring Schedule'!$E$34="Weekdays",WEEKDAY($A171,2)&lt;=5,$A171='Recurring Schedule'!$F$34))),29,""))))</f>
        <v/>
      </c>
      <c r="AE171">
        <f>IF('Recurring Schedule'!$C$35="","",IF('Recurring Schedule'!$F$35="","",IF(OR($A171&lt;'Recurring Schedule'!$F$35,$A171&gt;'Recurring Schedule'!$P$35),"",IF(IF('Recurring Schedule'!$N$35&gt;0,MOD($A171-'Recurring Schedule'!$F$35,'Recurring Schedule'!$N$35)=0,IF('Recurring Schedule'!$O$35&gt;0,AND(DAY($A171)=MIN(DAY('Recurring Schedule'!$F$35),DAY(EOMONTH($A171,0))),MOD((YEAR($A171)-YEAR('Recurring Schedule'!$F$35))*12+MONTH($A171)-MONTH('Recurring Schedule'!$F$35),'Recurring Schedule'!$O$35)=0),IF('Recurring Schedule'!$E$35="Weekdays",WEEKDAY($A171,2)&lt;=5,$A171='Recurring Schedule'!$F$35))),30,""))))</f>
        <v/>
      </c>
      <c r="AF171">
        <f>IF('Recurring Schedule'!$C$36="","",IF('Recurring Schedule'!$F$36="","",IF(OR($A171&lt;'Recurring Schedule'!$F$36,$A171&gt;'Recurring Schedule'!$P$36),"",IF(IF('Recurring Schedule'!$N$36&gt;0,MOD($A171-'Recurring Schedule'!$F$36,'Recurring Schedule'!$N$36)=0,IF('Recurring Schedule'!$O$36&gt;0,AND(DAY($A171)=MIN(DAY('Recurring Schedule'!$F$36),DAY(EOMONTH($A171,0))),MOD((YEAR($A171)-YEAR('Recurring Schedule'!$F$36))*12+MONTH($A171)-MONTH('Recurring Schedule'!$F$36),'Recurring Schedule'!$O$36)=0),IF('Recurring Schedule'!$E$36="Weekdays",WEEKDAY($A171,2)&lt;=5,$A171='Recurring Schedule'!$F$36))),31,""))))</f>
        <v/>
      </c>
      <c r="AG171">
        <f>IF('Recurring Schedule'!$C$37="","",IF('Recurring Schedule'!$F$37="","",IF(OR($A171&lt;'Recurring Schedule'!$F$37,$A171&gt;'Recurring Schedule'!$P$37),"",IF(IF('Recurring Schedule'!$N$37&gt;0,MOD($A171-'Recurring Schedule'!$F$37,'Recurring Schedule'!$N$37)=0,IF('Recurring Schedule'!$O$37&gt;0,AND(DAY($A171)=MIN(DAY('Recurring Schedule'!$F$37),DAY(EOMONTH($A171,0))),MOD((YEAR($A171)-YEAR('Recurring Schedule'!$F$37))*12+MONTH($A171)-MONTH('Recurring Schedule'!$F$37),'Recurring Schedule'!$O$37)=0),IF('Recurring Schedule'!$E$37="Weekdays",WEEKDAY($A171,2)&lt;=5,$A171='Recurring Schedule'!$F$37))),32,""))))</f>
        <v/>
      </c>
      <c r="AH171">
        <f>IF('Recurring Schedule'!$C$38="","",IF('Recurring Schedule'!$F$38="","",IF(OR($A171&lt;'Recurring Schedule'!$F$38,$A171&gt;'Recurring Schedule'!$P$38),"",IF(IF('Recurring Schedule'!$N$38&gt;0,MOD($A171-'Recurring Schedule'!$F$38,'Recurring Schedule'!$N$38)=0,IF('Recurring Schedule'!$O$38&gt;0,AND(DAY($A171)=MIN(DAY('Recurring Schedule'!$F$38),DAY(EOMONTH($A171,0))),MOD((YEAR($A171)-YEAR('Recurring Schedule'!$F$38))*12+MONTH($A171)-MONTH('Recurring Schedule'!$F$38),'Recurring Schedule'!$O$38)=0),IF('Recurring Schedule'!$E$38="Weekdays",WEEKDAY($A171,2)&lt;=5,$A171='Recurring Schedule'!$F$38))),33,""))))</f>
        <v/>
      </c>
      <c r="AI171">
        <f>IF('Recurring Schedule'!$C$39="","",IF('Recurring Schedule'!$F$39="","",IF(OR($A171&lt;'Recurring Schedule'!$F$39,$A171&gt;'Recurring Schedule'!$P$39),"",IF(IF('Recurring Schedule'!$N$39&gt;0,MOD($A171-'Recurring Schedule'!$F$39,'Recurring Schedule'!$N$39)=0,IF('Recurring Schedule'!$O$39&gt;0,AND(DAY($A171)=MIN(DAY('Recurring Schedule'!$F$39),DAY(EOMONTH($A171,0))),MOD((YEAR($A171)-YEAR('Recurring Schedule'!$F$39))*12+MONTH($A171)-MONTH('Recurring Schedule'!$F$39),'Recurring Schedule'!$O$39)=0),IF('Recurring Schedule'!$E$39="Weekdays",WEEKDAY($A171,2)&lt;=5,$A171='Recurring Schedule'!$F$39))),34,""))))</f>
        <v/>
      </c>
      <c r="AJ171">
        <f>IF('Recurring Schedule'!$C$40="","",IF('Recurring Schedule'!$F$40="","",IF(OR($A171&lt;'Recurring Schedule'!$F$40,$A171&gt;'Recurring Schedule'!$P$40),"",IF(IF('Recurring Schedule'!$N$40&gt;0,MOD($A171-'Recurring Schedule'!$F$40,'Recurring Schedule'!$N$40)=0,IF('Recurring Schedule'!$O$40&gt;0,AND(DAY($A171)=MIN(DAY('Recurring Schedule'!$F$40),DAY(EOMONTH($A171,0))),MOD((YEAR($A171)-YEAR('Recurring Schedule'!$F$40))*12+MONTH($A171)-MONTH('Recurring Schedule'!$F$40),'Recurring Schedule'!$O$40)=0),IF('Recurring Schedule'!$E$40="Weekdays",WEEKDAY($A171,2)&lt;=5,$A171='Recurring Schedule'!$F$40))),35,""))))</f>
        <v/>
      </c>
      <c r="AK171">
        <f>IF('Recurring Schedule'!$C$41="","",IF('Recurring Schedule'!$F$41="","",IF(OR($A171&lt;'Recurring Schedule'!$F$41,$A171&gt;'Recurring Schedule'!$P$41),"",IF(IF('Recurring Schedule'!$N$41&gt;0,MOD($A171-'Recurring Schedule'!$F$41,'Recurring Schedule'!$N$41)=0,IF('Recurring Schedule'!$O$41&gt;0,AND(DAY($A171)=MIN(DAY('Recurring Schedule'!$F$41),DAY(EOMONTH($A171,0))),MOD((YEAR($A171)-YEAR('Recurring Schedule'!$F$41))*12+MONTH($A171)-MONTH('Recurring Schedule'!$F$41),'Recurring Schedule'!$O$41)=0),IF('Recurring Schedule'!$E$41="Weekdays",WEEKDAY($A171,2)&lt;=5,$A171='Recurring Schedule'!$F$41))),36,""))))</f>
        <v/>
      </c>
      <c r="AL171">
        <f>IF('Recurring Schedule'!$C$42="","",IF('Recurring Schedule'!$F$42="","",IF(OR($A171&lt;'Recurring Schedule'!$F$42,$A171&gt;'Recurring Schedule'!$P$42),"",IF(IF('Recurring Schedule'!$N$42&gt;0,MOD($A171-'Recurring Schedule'!$F$42,'Recurring Schedule'!$N$42)=0,IF('Recurring Schedule'!$O$42&gt;0,AND(DAY($A171)=MIN(DAY('Recurring Schedule'!$F$42),DAY(EOMONTH($A171,0))),MOD((YEAR($A171)-YEAR('Recurring Schedule'!$F$42))*12+MONTH($A171)-MONTH('Recurring Schedule'!$F$42),'Recurring Schedule'!$O$42)=0),IF('Recurring Schedule'!$E$42="Weekdays",WEEKDAY($A171,2)&lt;=5,$A171='Recurring Schedule'!$F$42))),37,""))))</f>
        <v/>
      </c>
      <c r="AM171">
        <f>IF('Recurring Schedule'!$C$43="","",IF('Recurring Schedule'!$F$43="","",IF(OR($A171&lt;'Recurring Schedule'!$F$43,$A171&gt;'Recurring Schedule'!$P$43),"",IF(IF('Recurring Schedule'!$N$43&gt;0,MOD($A171-'Recurring Schedule'!$F$43,'Recurring Schedule'!$N$43)=0,IF('Recurring Schedule'!$O$43&gt;0,AND(DAY($A171)=MIN(DAY('Recurring Schedule'!$F$43),DAY(EOMONTH($A171,0))),MOD((YEAR($A171)-YEAR('Recurring Schedule'!$F$43))*12+MONTH($A171)-MONTH('Recurring Schedule'!$F$43),'Recurring Schedule'!$O$43)=0),IF('Recurring Schedule'!$E$43="Weekdays",WEEKDAY($A171,2)&lt;=5,$A171='Recurring Schedule'!$F$43))),38,""))))</f>
        <v/>
      </c>
      <c r="AN171">
        <f>IF('Recurring Schedule'!$C$44="","",IF('Recurring Schedule'!$F$44="","",IF(OR($A171&lt;'Recurring Schedule'!$F$44,$A171&gt;'Recurring Schedule'!$P$44),"",IF(IF('Recurring Schedule'!$N$44&gt;0,MOD($A171-'Recurring Schedule'!$F$44,'Recurring Schedule'!$N$44)=0,IF('Recurring Schedule'!$O$44&gt;0,AND(DAY($A171)=MIN(DAY('Recurring Schedule'!$F$44),DAY(EOMONTH($A171,0))),MOD((YEAR($A171)-YEAR('Recurring Schedule'!$F$44))*12+MONTH($A171)-MONTH('Recurring Schedule'!$F$44),'Recurring Schedule'!$O$44)=0),IF('Recurring Schedule'!$E$44="Weekdays",WEEKDAY($A171,2)&lt;=5,$A171='Recurring Schedule'!$F$44))),39,""))))</f>
        <v/>
      </c>
      <c r="AO171">
        <f>IF('Recurring Schedule'!$C$45="","",IF('Recurring Schedule'!$F$45="","",IF(OR($A171&lt;'Recurring Schedule'!$F$45,$A171&gt;'Recurring Schedule'!$P$45),"",IF(IF('Recurring Schedule'!$N$45&gt;0,MOD($A171-'Recurring Schedule'!$F$45,'Recurring Schedule'!$N$45)=0,IF('Recurring Schedule'!$O$45&gt;0,AND(DAY($A171)=MIN(DAY('Recurring Schedule'!$F$45),DAY(EOMONTH($A171,0))),MOD((YEAR($A171)-YEAR('Recurring Schedule'!$F$45))*12+MONTH($A171)-MONTH('Recurring Schedule'!$F$45),'Recurring Schedule'!$O$45)=0),IF('Recurring Schedule'!$E$45="Weekdays",WEEKDAY($A171,2)&lt;=5,$A171='Recurring Schedule'!$F$45))),40,""))))</f>
        <v/>
      </c>
      <c r="AP171">
        <f>COUNT(B171:AO171)</f>
        <v/>
      </c>
      <c r="AQ171">
        <f>AQ170+AP170</f>
        <v/>
      </c>
      <c r="AS171" t="inlineStr">
        <is>
          <t>R</t>
        </is>
      </c>
      <c r="AT171" t="n">
        <v>175</v>
      </c>
      <c r="AU171">
        <f>'Recurring Log'!C175&amp;""</f>
        <v/>
      </c>
      <c r="AV171">
        <f>'Recurring Log'!D175&amp;""</f>
        <v/>
      </c>
      <c r="AW171">
        <f>IF('Recurring Log'!E175="","",'Recurring Log'!E175)</f>
        <v/>
      </c>
      <c r="AX171">
        <f>IF('Recurring Log'!G175="","",'Recurring Log'!G175)</f>
        <v/>
      </c>
      <c r="AY171">
        <f>IF('Recurring Log'!H175="","",'Recurring Log'!H175)</f>
        <v/>
      </c>
      <c r="AZ171">
        <f>IF(AU171="","",IF('Recurring Log'!J175="","Not Started",'Recurring Log'!J175))</f>
        <v/>
      </c>
      <c r="BA171">
        <f>'Recurring Log'!L175&amp;""</f>
        <v/>
      </c>
      <c r="BB171">
        <f>'Recurring Log'!M175&amp;""</f>
        <v/>
      </c>
      <c r="BC171">
        <f>'Recurring Log'!N175&amp;""</f>
        <v/>
      </c>
      <c r="BD171">
        <f>'Recurring Log'!O175&amp;""</f>
        <v/>
      </c>
      <c r="BE171">
        <f>IF('Recurring Log'!K175="","",'Recurring Log'!K175)</f>
        <v/>
      </c>
      <c r="BF171">
        <f>IFERROR(MATCH(BA171,Setup!$L$6:$L$9,0),5)</f>
        <v/>
      </c>
      <c r="BG171">
        <f>IF(OR(AZ171="Done",AZ171="Cancelled"),1,0)</f>
        <v/>
      </c>
      <c r="BH171">
        <f>IF(AND(AU171&lt;&gt;"",ISNUMBER(AW171)),1,0)</f>
        <v/>
      </c>
      <c r="BI171">
        <f>IF(BH171=0,0,IF(AND(AW171&gt;='Tasks Filter'!$F$3,AW171&lt;='Tasks Filter'!$F$4,OR('Tasks Filter'!$I$3="",ISNUMBER(SEARCH('Tasks Filter'!$I$3,AU171))),OR('Tasks Filter'!$I$4="",BF171=IFERROR(MATCH('Tasks Filter'!$I$4,Setup!$L$6:$L$9,0),0)),OR('Tasks Filter'!$I$5="Both",AND('Tasks Filter'!$I$5="Yes",BB171="✓"),AND('Tasks Filter'!$I$5="No",BB171&lt;&gt;"✓")),OR('Tasks Filter'!$L$3="",AV171='Tasks Filter'!$L$3),OR('Tasks Filter'!$L$4="",AZ171='Tasks Filter'!$L$4),OR('Tasks Filter'!$L$5="",BC171='Tasks Filter'!$L$5),OR('Tasks Filter'!$O$3="",BD171='Tasks Filter'!$O$3),OR('Tasks Filter'!$O$4="Yes",BG171=0)),1,0))</f>
        <v/>
      </c>
      <c r="BJ171">
        <f>IF(BH171=0,"",IF('Tasks Filter'!$F$6="Descending",-1,1)*CHOOSE(MATCH('Tasks Filter'!$F$5,Lists!$G$2:$G$6,0),AW171,BF171,IFERROR(MATCH(AV171,Setup!$F$6:$F$15,0),99),IFERROR(MATCH(BC171,Setup!$H$6:$H$15,0),99),IFERROR(MATCH(AZ171,Setup!$J$6:$J$11,0),99))*1E+9+(AW171-40000)*10000+170)</f>
        <v/>
      </c>
      <c r="BK171">
        <f>IF(BI171=1,BJ171,"")</f>
        <v/>
      </c>
      <c r="BL171">
        <f>IF(AND(BH171=1,BG171=0,N(AW171)&lt;Setup!$D$7),(AW171-40000)*10000+170,"")</f>
        <v/>
      </c>
      <c r="BM171">
        <f>IF(AND(BH171=1,AZ171&lt;&gt;"Cancelled",N(AW171)&gt;=Dashboard!$AB$3,N(AW171)&lt;=Dashboard!$AB$3+6),(AW171-40000)*100000+BF171*10000+170,"")</f>
        <v/>
      </c>
      <c r="BN171">
        <f>IF(AND(BH171=1,AZ171&lt;&gt;"Cancelled"),BF171*10000+170,"")</f>
        <v/>
      </c>
    </row>
    <row r="172">
      <c r="A172">
        <f>Setup!$D$5+170</f>
        <v/>
      </c>
      <c r="B172">
        <f>IF('Recurring Schedule'!$C$6="","",IF('Recurring Schedule'!$F$6="","",IF(OR($A172&lt;'Recurring Schedule'!$F$6,$A172&gt;'Recurring Schedule'!$P$6),"",IF(IF('Recurring Schedule'!$N$6&gt;0,MOD($A172-'Recurring Schedule'!$F$6,'Recurring Schedule'!$N$6)=0,IF('Recurring Schedule'!$O$6&gt;0,AND(DAY($A172)=MIN(DAY('Recurring Schedule'!$F$6),DAY(EOMONTH($A172,0))),MOD((YEAR($A172)-YEAR('Recurring Schedule'!$F$6))*12+MONTH($A172)-MONTH('Recurring Schedule'!$F$6),'Recurring Schedule'!$O$6)=0),IF('Recurring Schedule'!$E$6="Weekdays",WEEKDAY($A172,2)&lt;=5,$A172='Recurring Schedule'!$F$6))),1,""))))</f>
        <v/>
      </c>
      <c r="C172">
        <f>IF('Recurring Schedule'!$C$7="","",IF('Recurring Schedule'!$F$7="","",IF(OR($A172&lt;'Recurring Schedule'!$F$7,$A172&gt;'Recurring Schedule'!$P$7),"",IF(IF('Recurring Schedule'!$N$7&gt;0,MOD($A172-'Recurring Schedule'!$F$7,'Recurring Schedule'!$N$7)=0,IF('Recurring Schedule'!$O$7&gt;0,AND(DAY($A172)=MIN(DAY('Recurring Schedule'!$F$7),DAY(EOMONTH($A172,0))),MOD((YEAR($A172)-YEAR('Recurring Schedule'!$F$7))*12+MONTH($A172)-MONTH('Recurring Schedule'!$F$7),'Recurring Schedule'!$O$7)=0),IF('Recurring Schedule'!$E$7="Weekdays",WEEKDAY($A172,2)&lt;=5,$A172='Recurring Schedule'!$F$7))),2,""))))</f>
        <v/>
      </c>
      <c r="D172">
        <f>IF('Recurring Schedule'!$C$8="","",IF('Recurring Schedule'!$F$8="","",IF(OR($A172&lt;'Recurring Schedule'!$F$8,$A172&gt;'Recurring Schedule'!$P$8),"",IF(IF('Recurring Schedule'!$N$8&gt;0,MOD($A172-'Recurring Schedule'!$F$8,'Recurring Schedule'!$N$8)=0,IF('Recurring Schedule'!$O$8&gt;0,AND(DAY($A172)=MIN(DAY('Recurring Schedule'!$F$8),DAY(EOMONTH($A172,0))),MOD((YEAR($A172)-YEAR('Recurring Schedule'!$F$8))*12+MONTH($A172)-MONTH('Recurring Schedule'!$F$8),'Recurring Schedule'!$O$8)=0),IF('Recurring Schedule'!$E$8="Weekdays",WEEKDAY($A172,2)&lt;=5,$A172='Recurring Schedule'!$F$8))),3,""))))</f>
        <v/>
      </c>
      <c r="E172">
        <f>IF('Recurring Schedule'!$C$9="","",IF('Recurring Schedule'!$F$9="","",IF(OR($A172&lt;'Recurring Schedule'!$F$9,$A172&gt;'Recurring Schedule'!$P$9),"",IF(IF('Recurring Schedule'!$N$9&gt;0,MOD($A172-'Recurring Schedule'!$F$9,'Recurring Schedule'!$N$9)=0,IF('Recurring Schedule'!$O$9&gt;0,AND(DAY($A172)=MIN(DAY('Recurring Schedule'!$F$9),DAY(EOMONTH($A172,0))),MOD((YEAR($A172)-YEAR('Recurring Schedule'!$F$9))*12+MONTH($A172)-MONTH('Recurring Schedule'!$F$9),'Recurring Schedule'!$O$9)=0),IF('Recurring Schedule'!$E$9="Weekdays",WEEKDAY($A172,2)&lt;=5,$A172='Recurring Schedule'!$F$9))),4,""))))</f>
        <v/>
      </c>
      <c r="F172">
        <f>IF('Recurring Schedule'!$C$10="","",IF('Recurring Schedule'!$F$10="","",IF(OR($A172&lt;'Recurring Schedule'!$F$10,$A172&gt;'Recurring Schedule'!$P$10),"",IF(IF('Recurring Schedule'!$N$10&gt;0,MOD($A172-'Recurring Schedule'!$F$10,'Recurring Schedule'!$N$10)=0,IF('Recurring Schedule'!$O$10&gt;0,AND(DAY($A172)=MIN(DAY('Recurring Schedule'!$F$10),DAY(EOMONTH($A172,0))),MOD((YEAR($A172)-YEAR('Recurring Schedule'!$F$10))*12+MONTH($A172)-MONTH('Recurring Schedule'!$F$10),'Recurring Schedule'!$O$10)=0),IF('Recurring Schedule'!$E$10="Weekdays",WEEKDAY($A172,2)&lt;=5,$A172='Recurring Schedule'!$F$10))),5,""))))</f>
        <v/>
      </c>
      <c r="G172">
        <f>IF('Recurring Schedule'!$C$11="","",IF('Recurring Schedule'!$F$11="","",IF(OR($A172&lt;'Recurring Schedule'!$F$11,$A172&gt;'Recurring Schedule'!$P$11),"",IF(IF('Recurring Schedule'!$N$11&gt;0,MOD($A172-'Recurring Schedule'!$F$11,'Recurring Schedule'!$N$11)=0,IF('Recurring Schedule'!$O$11&gt;0,AND(DAY($A172)=MIN(DAY('Recurring Schedule'!$F$11),DAY(EOMONTH($A172,0))),MOD((YEAR($A172)-YEAR('Recurring Schedule'!$F$11))*12+MONTH($A172)-MONTH('Recurring Schedule'!$F$11),'Recurring Schedule'!$O$11)=0),IF('Recurring Schedule'!$E$11="Weekdays",WEEKDAY($A172,2)&lt;=5,$A172='Recurring Schedule'!$F$11))),6,""))))</f>
        <v/>
      </c>
      <c r="H172">
        <f>IF('Recurring Schedule'!$C$12="","",IF('Recurring Schedule'!$F$12="","",IF(OR($A172&lt;'Recurring Schedule'!$F$12,$A172&gt;'Recurring Schedule'!$P$12),"",IF(IF('Recurring Schedule'!$N$12&gt;0,MOD($A172-'Recurring Schedule'!$F$12,'Recurring Schedule'!$N$12)=0,IF('Recurring Schedule'!$O$12&gt;0,AND(DAY($A172)=MIN(DAY('Recurring Schedule'!$F$12),DAY(EOMONTH($A172,0))),MOD((YEAR($A172)-YEAR('Recurring Schedule'!$F$12))*12+MONTH($A172)-MONTH('Recurring Schedule'!$F$12),'Recurring Schedule'!$O$12)=0),IF('Recurring Schedule'!$E$12="Weekdays",WEEKDAY($A172,2)&lt;=5,$A172='Recurring Schedule'!$F$12))),7,""))))</f>
        <v/>
      </c>
      <c r="I172">
        <f>IF('Recurring Schedule'!$C$13="","",IF('Recurring Schedule'!$F$13="","",IF(OR($A172&lt;'Recurring Schedule'!$F$13,$A172&gt;'Recurring Schedule'!$P$13),"",IF(IF('Recurring Schedule'!$N$13&gt;0,MOD($A172-'Recurring Schedule'!$F$13,'Recurring Schedule'!$N$13)=0,IF('Recurring Schedule'!$O$13&gt;0,AND(DAY($A172)=MIN(DAY('Recurring Schedule'!$F$13),DAY(EOMONTH($A172,0))),MOD((YEAR($A172)-YEAR('Recurring Schedule'!$F$13))*12+MONTH($A172)-MONTH('Recurring Schedule'!$F$13),'Recurring Schedule'!$O$13)=0),IF('Recurring Schedule'!$E$13="Weekdays",WEEKDAY($A172,2)&lt;=5,$A172='Recurring Schedule'!$F$13))),8,""))))</f>
        <v/>
      </c>
      <c r="J172">
        <f>IF('Recurring Schedule'!$C$14="","",IF('Recurring Schedule'!$F$14="","",IF(OR($A172&lt;'Recurring Schedule'!$F$14,$A172&gt;'Recurring Schedule'!$P$14),"",IF(IF('Recurring Schedule'!$N$14&gt;0,MOD($A172-'Recurring Schedule'!$F$14,'Recurring Schedule'!$N$14)=0,IF('Recurring Schedule'!$O$14&gt;0,AND(DAY($A172)=MIN(DAY('Recurring Schedule'!$F$14),DAY(EOMONTH($A172,0))),MOD((YEAR($A172)-YEAR('Recurring Schedule'!$F$14))*12+MONTH($A172)-MONTH('Recurring Schedule'!$F$14),'Recurring Schedule'!$O$14)=0),IF('Recurring Schedule'!$E$14="Weekdays",WEEKDAY($A172,2)&lt;=5,$A172='Recurring Schedule'!$F$14))),9,""))))</f>
        <v/>
      </c>
      <c r="K172">
        <f>IF('Recurring Schedule'!$C$15="","",IF('Recurring Schedule'!$F$15="","",IF(OR($A172&lt;'Recurring Schedule'!$F$15,$A172&gt;'Recurring Schedule'!$P$15),"",IF(IF('Recurring Schedule'!$N$15&gt;0,MOD($A172-'Recurring Schedule'!$F$15,'Recurring Schedule'!$N$15)=0,IF('Recurring Schedule'!$O$15&gt;0,AND(DAY($A172)=MIN(DAY('Recurring Schedule'!$F$15),DAY(EOMONTH($A172,0))),MOD((YEAR($A172)-YEAR('Recurring Schedule'!$F$15))*12+MONTH($A172)-MONTH('Recurring Schedule'!$F$15),'Recurring Schedule'!$O$15)=0),IF('Recurring Schedule'!$E$15="Weekdays",WEEKDAY($A172,2)&lt;=5,$A172='Recurring Schedule'!$F$15))),10,""))))</f>
        <v/>
      </c>
      <c r="L172">
        <f>IF('Recurring Schedule'!$C$16="","",IF('Recurring Schedule'!$F$16="","",IF(OR($A172&lt;'Recurring Schedule'!$F$16,$A172&gt;'Recurring Schedule'!$P$16),"",IF(IF('Recurring Schedule'!$N$16&gt;0,MOD($A172-'Recurring Schedule'!$F$16,'Recurring Schedule'!$N$16)=0,IF('Recurring Schedule'!$O$16&gt;0,AND(DAY($A172)=MIN(DAY('Recurring Schedule'!$F$16),DAY(EOMONTH($A172,0))),MOD((YEAR($A172)-YEAR('Recurring Schedule'!$F$16))*12+MONTH($A172)-MONTH('Recurring Schedule'!$F$16),'Recurring Schedule'!$O$16)=0),IF('Recurring Schedule'!$E$16="Weekdays",WEEKDAY($A172,2)&lt;=5,$A172='Recurring Schedule'!$F$16))),11,""))))</f>
        <v/>
      </c>
      <c r="M172">
        <f>IF('Recurring Schedule'!$C$17="","",IF('Recurring Schedule'!$F$17="","",IF(OR($A172&lt;'Recurring Schedule'!$F$17,$A172&gt;'Recurring Schedule'!$P$17),"",IF(IF('Recurring Schedule'!$N$17&gt;0,MOD($A172-'Recurring Schedule'!$F$17,'Recurring Schedule'!$N$17)=0,IF('Recurring Schedule'!$O$17&gt;0,AND(DAY($A172)=MIN(DAY('Recurring Schedule'!$F$17),DAY(EOMONTH($A172,0))),MOD((YEAR($A172)-YEAR('Recurring Schedule'!$F$17))*12+MONTH($A172)-MONTH('Recurring Schedule'!$F$17),'Recurring Schedule'!$O$17)=0),IF('Recurring Schedule'!$E$17="Weekdays",WEEKDAY($A172,2)&lt;=5,$A172='Recurring Schedule'!$F$17))),12,""))))</f>
        <v/>
      </c>
      <c r="N172">
        <f>IF('Recurring Schedule'!$C$18="","",IF('Recurring Schedule'!$F$18="","",IF(OR($A172&lt;'Recurring Schedule'!$F$18,$A172&gt;'Recurring Schedule'!$P$18),"",IF(IF('Recurring Schedule'!$N$18&gt;0,MOD($A172-'Recurring Schedule'!$F$18,'Recurring Schedule'!$N$18)=0,IF('Recurring Schedule'!$O$18&gt;0,AND(DAY($A172)=MIN(DAY('Recurring Schedule'!$F$18),DAY(EOMONTH($A172,0))),MOD((YEAR($A172)-YEAR('Recurring Schedule'!$F$18))*12+MONTH($A172)-MONTH('Recurring Schedule'!$F$18),'Recurring Schedule'!$O$18)=0),IF('Recurring Schedule'!$E$18="Weekdays",WEEKDAY($A172,2)&lt;=5,$A172='Recurring Schedule'!$F$18))),13,""))))</f>
        <v/>
      </c>
      <c r="O172">
        <f>IF('Recurring Schedule'!$C$19="","",IF('Recurring Schedule'!$F$19="","",IF(OR($A172&lt;'Recurring Schedule'!$F$19,$A172&gt;'Recurring Schedule'!$P$19),"",IF(IF('Recurring Schedule'!$N$19&gt;0,MOD($A172-'Recurring Schedule'!$F$19,'Recurring Schedule'!$N$19)=0,IF('Recurring Schedule'!$O$19&gt;0,AND(DAY($A172)=MIN(DAY('Recurring Schedule'!$F$19),DAY(EOMONTH($A172,0))),MOD((YEAR($A172)-YEAR('Recurring Schedule'!$F$19))*12+MONTH($A172)-MONTH('Recurring Schedule'!$F$19),'Recurring Schedule'!$O$19)=0),IF('Recurring Schedule'!$E$19="Weekdays",WEEKDAY($A172,2)&lt;=5,$A172='Recurring Schedule'!$F$19))),14,""))))</f>
        <v/>
      </c>
      <c r="P172">
        <f>IF('Recurring Schedule'!$C$20="","",IF('Recurring Schedule'!$F$20="","",IF(OR($A172&lt;'Recurring Schedule'!$F$20,$A172&gt;'Recurring Schedule'!$P$20),"",IF(IF('Recurring Schedule'!$N$20&gt;0,MOD($A172-'Recurring Schedule'!$F$20,'Recurring Schedule'!$N$20)=0,IF('Recurring Schedule'!$O$20&gt;0,AND(DAY($A172)=MIN(DAY('Recurring Schedule'!$F$20),DAY(EOMONTH($A172,0))),MOD((YEAR($A172)-YEAR('Recurring Schedule'!$F$20))*12+MONTH($A172)-MONTH('Recurring Schedule'!$F$20),'Recurring Schedule'!$O$20)=0),IF('Recurring Schedule'!$E$20="Weekdays",WEEKDAY($A172,2)&lt;=5,$A172='Recurring Schedule'!$F$20))),15,""))))</f>
        <v/>
      </c>
      <c r="Q172">
        <f>IF('Recurring Schedule'!$C$21="","",IF('Recurring Schedule'!$F$21="","",IF(OR($A172&lt;'Recurring Schedule'!$F$21,$A172&gt;'Recurring Schedule'!$P$21),"",IF(IF('Recurring Schedule'!$N$21&gt;0,MOD($A172-'Recurring Schedule'!$F$21,'Recurring Schedule'!$N$21)=0,IF('Recurring Schedule'!$O$21&gt;0,AND(DAY($A172)=MIN(DAY('Recurring Schedule'!$F$21),DAY(EOMONTH($A172,0))),MOD((YEAR($A172)-YEAR('Recurring Schedule'!$F$21))*12+MONTH($A172)-MONTH('Recurring Schedule'!$F$21),'Recurring Schedule'!$O$21)=0),IF('Recurring Schedule'!$E$21="Weekdays",WEEKDAY($A172,2)&lt;=5,$A172='Recurring Schedule'!$F$21))),16,""))))</f>
        <v/>
      </c>
      <c r="R172">
        <f>IF('Recurring Schedule'!$C$22="","",IF('Recurring Schedule'!$F$22="","",IF(OR($A172&lt;'Recurring Schedule'!$F$22,$A172&gt;'Recurring Schedule'!$P$22),"",IF(IF('Recurring Schedule'!$N$22&gt;0,MOD($A172-'Recurring Schedule'!$F$22,'Recurring Schedule'!$N$22)=0,IF('Recurring Schedule'!$O$22&gt;0,AND(DAY($A172)=MIN(DAY('Recurring Schedule'!$F$22),DAY(EOMONTH($A172,0))),MOD((YEAR($A172)-YEAR('Recurring Schedule'!$F$22))*12+MONTH($A172)-MONTH('Recurring Schedule'!$F$22),'Recurring Schedule'!$O$22)=0),IF('Recurring Schedule'!$E$22="Weekdays",WEEKDAY($A172,2)&lt;=5,$A172='Recurring Schedule'!$F$22))),17,""))))</f>
        <v/>
      </c>
      <c r="S172">
        <f>IF('Recurring Schedule'!$C$23="","",IF('Recurring Schedule'!$F$23="","",IF(OR($A172&lt;'Recurring Schedule'!$F$23,$A172&gt;'Recurring Schedule'!$P$23),"",IF(IF('Recurring Schedule'!$N$23&gt;0,MOD($A172-'Recurring Schedule'!$F$23,'Recurring Schedule'!$N$23)=0,IF('Recurring Schedule'!$O$23&gt;0,AND(DAY($A172)=MIN(DAY('Recurring Schedule'!$F$23),DAY(EOMONTH($A172,0))),MOD((YEAR($A172)-YEAR('Recurring Schedule'!$F$23))*12+MONTH($A172)-MONTH('Recurring Schedule'!$F$23),'Recurring Schedule'!$O$23)=0),IF('Recurring Schedule'!$E$23="Weekdays",WEEKDAY($A172,2)&lt;=5,$A172='Recurring Schedule'!$F$23))),18,""))))</f>
        <v/>
      </c>
      <c r="T172">
        <f>IF('Recurring Schedule'!$C$24="","",IF('Recurring Schedule'!$F$24="","",IF(OR($A172&lt;'Recurring Schedule'!$F$24,$A172&gt;'Recurring Schedule'!$P$24),"",IF(IF('Recurring Schedule'!$N$24&gt;0,MOD($A172-'Recurring Schedule'!$F$24,'Recurring Schedule'!$N$24)=0,IF('Recurring Schedule'!$O$24&gt;0,AND(DAY($A172)=MIN(DAY('Recurring Schedule'!$F$24),DAY(EOMONTH($A172,0))),MOD((YEAR($A172)-YEAR('Recurring Schedule'!$F$24))*12+MONTH($A172)-MONTH('Recurring Schedule'!$F$24),'Recurring Schedule'!$O$24)=0),IF('Recurring Schedule'!$E$24="Weekdays",WEEKDAY($A172,2)&lt;=5,$A172='Recurring Schedule'!$F$24))),19,""))))</f>
        <v/>
      </c>
      <c r="U172">
        <f>IF('Recurring Schedule'!$C$25="","",IF('Recurring Schedule'!$F$25="","",IF(OR($A172&lt;'Recurring Schedule'!$F$25,$A172&gt;'Recurring Schedule'!$P$25),"",IF(IF('Recurring Schedule'!$N$25&gt;0,MOD($A172-'Recurring Schedule'!$F$25,'Recurring Schedule'!$N$25)=0,IF('Recurring Schedule'!$O$25&gt;0,AND(DAY($A172)=MIN(DAY('Recurring Schedule'!$F$25),DAY(EOMONTH($A172,0))),MOD((YEAR($A172)-YEAR('Recurring Schedule'!$F$25))*12+MONTH($A172)-MONTH('Recurring Schedule'!$F$25),'Recurring Schedule'!$O$25)=0),IF('Recurring Schedule'!$E$25="Weekdays",WEEKDAY($A172,2)&lt;=5,$A172='Recurring Schedule'!$F$25))),20,""))))</f>
        <v/>
      </c>
      <c r="V172">
        <f>IF('Recurring Schedule'!$C$26="","",IF('Recurring Schedule'!$F$26="","",IF(OR($A172&lt;'Recurring Schedule'!$F$26,$A172&gt;'Recurring Schedule'!$P$26),"",IF(IF('Recurring Schedule'!$N$26&gt;0,MOD($A172-'Recurring Schedule'!$F$26,'Recurring Schedule'!$N$26)=0,IF('Recurring Schedule'!$O$26&gt;0,AND(DAY($A172)=MIN(DAY('Recurring Schedule'!$F$26),DAY(EOMONTH($A172,0))),MOD((YEAR($A172)-YEAR('Recurring Schedule'!$F$26))*12+MONTH($A172)-MONTH('Recurring Schedule'!$F$26),'Recurring Schedule'!$O$26)=0),IF('Recurring Schedule'!$E$26="Weekdays",WEEKDAY($A172,2)&lt;=5,$A172='Recurring Schedule'!$F$26))),21,""))))</f>
        <v/>
      </c>
      <c r="W172">
        <f>IF('Recurring Schedule'!$C$27="","",IF('Recurring Schedule'!$F$27="","",IF(OR($A172&lt;'Recurring Schedule'!$F$27,$A172&gt;'Recurring Schedule'!$P$27),"",IF(IF('Recurring Schedule'!$N$27&gt;0,MOD($A172-'Recurring Schedule'!$F$27,'Recurring Schedule'!$N$27)=0,IF('Recurring Schedule'!$O$27&gt;0,AND(DAY($A172)=MIN(DAY('Recurring Schedule'!$F$27),DAY(EOMONTH($A172,0))),MOD((YEAR($A172)-YEAR('Recurring Schedule'!$F$27))*12+MONTH($A172)-MONTH('Recurring Schedule'!$F$27),'Recurring Schedule'!$O$27)=0),IF('Recurring Schedule'!$E$27="Weekdays",WEEKDAY($A172,2)&lt;=5,$A172='Recurring Schedule'!$F$27))),22,""))))</f>
        <v/>
      </c>
      <c r="X172">
        <f>IF('Recurring Schedule'!$C$28="","",IF('Recurring Schedule'!$F$28="","",IF(OR($A172&lt;'Recurring Schedule'!$F$28,$A172&gt;'Recurring Schedule'!$P$28),"",IF(IF('Recurring Schedule'!$N$28&gt;0,MOD($A172-'Recurring Schedule'!$F$28,'Recurring Schedule'!$N$28)=0,IF('Recurring Schedule'!$O$28&gt;0,AND(DAY($A172)=MIN(DAY('Recurring Schedule'!$F$28),DAY(EOMONTH($A172,0))),MOD((YEAR($A172)-YEAR('Recurring Schedule'!$F$28))*12+MONTH($A172)-MONTH('Recurring Schedule'!$F$28),'Recurring Schedule'!$O$28)=0),IF('Recurring Schedule'!$E$28="Weekdays",WEEKDAY($A172,2)&lt;=5,$A172='Recurring Schedule'!$F$28))),23,""))))</f>
        <v/>
      </c>
      <c r="Y172">
        <f>IF('Recurring Schedule'!$C$29="","",IF('Recurring Schedule'!$F$29="","",IF(OR($A172&lt;'Recurring Schedule'!$F$29,$A172&gt;'Recurring Schedule'!$P$29),"",IF(IF('Recurring Schedule'!$N$29&gt;0,MOD($A172-'Recurring Schedule'!$F$29,'Recurring Schedule'!$N$29)=0,IF('Recurring Schedule'!$O$29&gt;0,AND(DAY($A172)=MIN(DAY('Recurring Schedule'!$F$29),DAY(EOMONTH($A172,0))),MOD((YEAR($A172)-YEAR('Recurring Schedule'!$F$29))*12+MONTH($A172)-MONTH('Recurring Schedule'!$F$29),'Recurring Schedule'!$O$29)=0),IF('Recurring Schedule'!$E$29="Weekdays",WEEKDAY($A172,2)&lt;=5,$A172='Recurring Schedule'!$F$29))),24,""))))</f>
        <v/>
      </c>
      <c r="Z172">
        <f>IF('Recurring Schedule'!$C$30="","",IF('Recurring Schedule'!$F$30="","",IF(OR($A172&lt;'Recurring Schedule'!$F$30,$A172&gt;'Recurring Schedule'!$P$30),"",IF(IF('Recurring Schedule'!$N$30&gt;0,MOD($A172-'Recurring Schedule'!$F$30,'Recurring Schedule'!$N$30)=0,IF('Recurring Schedule'!$O$30&gt;0,AND(DAY($A172)=MIN(DAY('Recurring Schedule'!$F$30),DAY(EOMONTH($A172,0))),MOD((YEAR($A172)-YEAR('Recurring Schedule'!$F$30))*12+MONTH($A172)-MONTH('Recurring Schedule'!$F$30),'Recurring Schedule'!$O$30)=0),IF('Recurring Schedule'!$E$30="Weekdays",WEEKDAY($A172,2)&lt;=5,$A172='Recurring Schedule'!$F$30))),25,""))))</f>
        <v/>
      </c>
      <c r="AA172">
        <f>IF('Recurring Schedule'!$C$31="","",IF('Recurring Schedule'!$F$31="","",IF(OR($A172&lt;'Recurring Schedule'!$F$31,$A172&gt;'Recurring Schedule'!$P$31),"",IF(IF('Recurring Schedule'!$N$31&gt;0,MOD($A172-'Recurring Schedule'!$F$31,'Recurring Schedule'!$N$31)=0,IF('Recurring Schedule'!$O$31&gt;0,AND(DAY($A172)=MIN(DAY('Recurring Schedule'!$F$31),DAY(EOMONTH($A172,0))),MOD((YEAR($A172)-YEAR('Recurring Schedule'!$F$31))*12+MONTH($A172)-MONTH('Recurring Schedule'!$F$31),'Recurring Schedule'!$O$31)=0),IF('Recurring Schedule'!$E$31="Weekdays",WEEKDAY($A172,2)&lt;=5,$A172='Recurring Schedule'!$F$31))),26,""))))</f>
        <v/>
      </c>
      <c r="AB172">
        <f>IF('Recurring Schedule'!$C$32="","",IF('Recurring Schedule'!$F$32="","",IF(OR($A172&lt;'Recurring Schedule'!$F$32,$A172&gt;'Recurring Schedule'!$P$32),"",IF(IF('Recurring Schedule'!$N$32&gt;0,MOD($A172-'Recurring Schedule'!$F$32,'Recurring Schedule'!$N$32)=0,IF('Recurring Schedule'!$O$32&gt;0,AND(DAY($A172)=MIN(DAY('Recurring Schedule'!$F$32),DAY(EOMONTH($A172,0))),MOD((YEAR($A172)-YEAR('Recurring Schedule'!$F$32))*12+MONTH($A172)-MONTH('Recurring Schedule'!$F$32),'Recurring Schedule'!$O$32)=0),IF('Recurring Schedule'!$E$32="Weekdays",WEEKDAY($A172,2)&lt;=5,$A172='Recurring Schedule'!$F$32))),27,""))))</f>
        <v/>
      </c>
      <c r="AC172">
        <f>IF('Recurring Schedule'!$C$33="","",IF('Recurring Schedule'!$F$33="","",IF(OR($A172&lt;'Recurring Schedule'!$F$33,$A172&gt;'Recurring Schedule'!$P$33),"",IF(IF('Recurring Schedule'!$N$33&gt;0,MOD($A172-'Recurring Schedule'!$F$33,'Recurring Schedule'!$N$33)=0,IF('Recurring Schedule'!$O$33&gt;0,AND(DAY($A172)=MIN(DAY('Recurring Schedule'!$F$33),DAY(EOMONTH($A172,0))),MOD((YEAR($A172)-YEAR('Recurring Schedule'!$F$33))*12+MONTH($A172)-MONTH('Recurring Schedule'!$F$33),'Recurring Schedule'!$O$33)=0),IF('Recurring Schedule'!$E$33="Weekdays",WEEKDAY($A172,2)&lt;=5,$A172='Recurring Schedule'!$F$33))),28,""))))</f>
        <v/>
      </c>
      <c r="AD172">
        <f>IF('Recurring Schedule'!$C$34="","",IF('Recurring Schedule'!$F$34="","",IF(OR($A172&lt;'Recurring Schedule'!$F$34,$A172&gt;'Recurring Schedule'!$P$34),"",IF(IF('Recurring Schedule'!$N$34&gt;0,MOD($A172-'Recurring Schedule'!$F$34,'Recurring Schedule'!$N$34)=0,IF('Recurring Schedule'!$O$34&gt;0,AND(DAY($A172)=MIN(DAY('Recurring Schedule'!$F$34),DAY(EOMONTH($A172,0))),MOD((YEAR($A172)-YEAR('Recurring Schedule'!$F$34))*12+MONTH($A172)-MONTH('Recurring Schedule'!$F$34),'Recurring Schedule'!$O$34)=0),IF('Recurring Schedule'!$E$34="Weekdays",WEEKDAY($A172,2)&lt;=5,$A172='Recurring Schedule'!$F$34))),29,""))))</f>
        <v/>
      </c>
      <c r="AE172">
        <f>IF('Recurring Schedule'!$C$35="","",IF('Recurring Schedule'!$F$35="","",IF(OR($A172&lt;'Recurring Schedule'!$F$35,$A172&gt;'Recurring Schedule'!$P$35),"",IF(IF('Recurring Schedule'!$N$35&gt;0,MOD($A172-'Recurring Schedule'!$F$35,'Recurring Schedule'!$N$35)=0,IF('Recurring Schedule'!$O$35&gt;0,AND(DAY($A172)=MIN(DAY('Recurring Schedule'!$F$35),DAY(EOMONTH($A172,0))),MOD((YEAR($A172)-YEAR('Recurring Schedule'!$F$35))*12+MONTH($A172)-MONTH('Recurring Schedule'!$F$35),'Recurring Schedule'!$O$35)=0),IF('Recurring Schedule'!$E$35="Weekdays",WEEKDAY($A172,2)&lt;=5,$A172='Recurring Schedule'!$F$35))),30,""))))</f>
        <v/>
      </c>
      <c r="AF172">
        <f>IF('Recurring Schedule'!$C$36="","",IF('Recurring Schedule'!$F$36="","",IF(OR($A172&lt;'Recurring Schedule'!$F$36,$A172&gt;'Recurring Schedule'!$P$36),"",IF(IF('Recurring Schedule'!$N$36&gt;0,MOD($A172-'Recurring Schedule'!$F$36,'Recurring Schedule'!$N$36)=0,IF('Recurring Schedule'!$O$36&gt;0,AND(DAY($A172)=MIN(DAY('Recurring Schedule'!$F$36),DAY(EOMONTH($A172,0))),MOD((YEAR($A172)-YEAR('Recurring Schedule'!$F$36))*12+MONTH($A172)-MONTH('Recurring Schedule'!$F$36),'Recurring Schedule'!$O$36)=0),IF('Recurring Schedule'!$E$36="Weekdays",WEEKDAY($A172,2)&lt;=5,$A172='Recurring Schedule'!$F$36))),31,""))))</f>
        <v/>
      </c>
      <c r="AG172">
        <f>IF('Recurring Schedule'!$C$37="","",IF('Recurring Schedule'!$F$37="","",IF(OR($A172&lt;'Recurring Schedule'!$F$37,$A172&gt;'Recurring Schedule'!$P$37),"",IF(IF('Recurring Schedule'!$N$37&gt;0,MOD($A172-'Recurring Schedule'!$F$37,'Recurring Schedule'!$N$37)=0,IF('Recurring Schedule'!$O$37&gt;0,AND(DAY($A172)=MIN(DAY('Recurring Schedule'!$F$37),DAY(EOMONTH($A172,0))),MOD((YEAR($A172)-YEAR('Recurring Schedule'!$F$37))*12+MONTH($A172)-MONTH('Recurring Schedule'!$F$37),'Recurring Schedule'!$O$37)=0),IF('Recurring Schedule'!$E$37="Weekdays",WEEKDAY($A172,2)&lt;=5,$A172='Recurring Schedule'!$F$37))),32,""))))</f>
        <v/>
      </c>
      <c r="AH172">
        <f>IF('Recurring Schedule'!$C$38="","",IF('Recurring Schedule'!$F$38="","",IF(OR($A172&lt;'Recurring Schedule'!$F$38,$A172&gt;'Recurring Schedule'!$P$38),"",IF(IF('Recurring Schedule'!$N$38&gt;0,MOD($A172-'Recurring Schedule'!$F$38,'Recurring Schedule'!$N$38)=0,IF('Recurring Schedule'!$O$38&gt;0,AND(DAY($A172)=MIN(DAY('Recurring Schedule'!$F$38),DAY(EOMONTH($A172,0))),MOD((YEAR($A172)-YEAR('Recurring Schedule'!$F$38))*12+MONTH($A172)-MONTH('Recurring Schedule'!$F$38),'Recurring Schedule'!$O$38)=0),IF('Recurring Schedule'!$E$38="Weekdays",WEEKDAY($A172,2)&lt;=5,$A172='Recurring Schedule'!$F$38))),33,""))))</f>
        <v/>
      </c>
      <c r="AI172">
        <f>IF('Recurring Schedule'!$C$39="","",IF('Recurring Schedule'!$F$39="","",IF(OR($A172&lt;'Recurring Schedule'!$F$39,$A172&gt;'Recurring Schedule'!$P$39),"",IF(IF('Recurring Schedule'!$N$39&gt;0,MOD($A172-'Recurring Schedule'!$F$39,'Recurring Schedule'!$N$39)=0,IF('Recurring Schedule'!$O$39&gt;0,AND(DAY($A172)=MIN(DAY('Recurring Schedule'!$F$39),DAY(EOMONTH($A172,0))),MOD((YEAR($A172)-YEAR('Recurring Schedule'!$F$39))*12+MONTH($A172)-MONTH('Recurring Schedule'!$F$39),'Recurring Schedule'!$O$39)=0),IF('Recurring Schedule'!$E$39="Weekdays",WEEKDAY($A172,2)&lt;=5,$A172='Recurring Schedule'!$F$39))),34,""))))</f>
        <v/>
      </c>
      <c r="AJ172">
        <f>IF('Recurring Schedule'!$C$40="","",IF('Recurring Schedule'!$F$40="","",IF(OR($A172&lt;'Recurring Schedule'!$F$40,$A172&gt;'Recurring Schedule'!$P$40),"",IF(IF('Recurring Schedule'!$N$40&gt;0,MOD($A172-'Recurring Schedule'!$F$40,'Recurring Schedule'!$N$40)=0,IF('Recurring Schedule'!$O$40&gt;0,AND(DAY($A172)=MIN(DAY('Recurring Schedule'!$F$40),DAY(EOMONTH($A172,0))),MOD((YEAR($A172)-YEAR('Recurring Schedule'!$F$40))*12+MONTH($A172)-MONTH('Recurring Schedule'!$F$40),'Recurring Schedule'!$O$40)=0),IF('Recurring Schedule'!$E$40="Weekdays",WEEKDAY($A172,2)&lt;=5,$A172='Recurring Schedule'!$F$40))),35,""))))</f>
        <v/>
      </c>
      <c r="AK172">
        <f>IF('Recurring Schedule'!$C$41="","",IF('Recurring Schedule'!$F$41="","",IF(OR($A172&lt;'Recurring Schedule'!$F$41,$A172&gt;'Recurring Schedule'!$P$41),"",IF(IF('Recurring Schedule'!$N$41&gt;0,MOD($A172-'Recurring Schedule'!$F$41,'Recurring Schedule'!$N$41)=0,IF('Recurring Schedule'!$O$41&gt;0,AND(DAY($A172)=MIN(DAY('Recurring Schedule'!$F$41),DAY(EOMONTH($A172,0))),MOD((YEAR($A172)-YEAR('Recurring Schedule'!$F$41))*12+MONTH($A172)-MONTH('Recurring Schedule'!$F$41),'Recurring Schedule'!$O$41)=0),IF('Recurring Schedule'!$E$41="Weekdays",WEEKDAY($A172,2)&lt;=5,$A172='Recurring Schedule'!$F$41))),36,""))))</f>
        <v/>
      </c>
      <c r="AL172">
        <f>IF('Recurring Schedule'!$C$42="","",IF('Recurring Schedule'!$F$42="","",IF(OR($A172&lt;'Recurring Schedule'!$F$42,$A172&gt;'Recurring Schedule'!$P$42),"",IF(IF('Recurring Schedule'!$N$42&gt;0,MOD($A172-'Recurring Schedule'!$F$42,'Recurring Schedule'!$N$42)=0,IF('Recurring Schedule'!$O$42&gt;0,AND(DAY($A172)=MIN(DAY('Recurring Schedule'!$F$42),DAY(EOMONTH($A172,0))),MOD((YEAR($A172)-YEAR('Recurring Schedule'!$F$42))*12+MONTH($A172)-MONTH('Recurring Schedule'!$F$42),'Recurring Schedule'!$O$42)=0),IF('Recurring Schedule'!$E$42="Weekdays",WEEKDAY($A172,2)&lt;=5,$A172='Recurring Schedule'!$F$42))),37,""))))</f>
        <v/>
      </c>
      <c r="AM172">
        <f>IF('Recurring Schedule'!$C$43="","",IF('Recurring Schedule'!$F$43="","",IF(OR($A172&lt;'Recurring Schedule'!$F$43,$A172&gt;'Recurring Schedule'!$P$43),"",IF(IF('Recurring Schedule'!$N$43&gt;0,MOD($A172-'Recurring Schedule'!$F$43,'Recurring Schedule'!$N$43)=0,IF('Recurring Schedule'!$O$43&gt;0,AND(DAY($A172)=MIN(DAY('Recurring Schedule'!$F$43),DAY(EOMONTH($A172,0))),MOD((YEAR($A172)-YEAR('Recurring Schedule'!$F$43))*12+MONTH($A172)-MONTH('Recurring Schedule'!$F$43),'Recurring Schedule'!$O$43)=0),IF('Recurring Schedule'!$E$43="Weekdays",WEEKDAY($A172,2)&lt;=5,$A172='Recurring Schedule'!$F$43))),38,""))))</f>
        <v/>
      </c>
      <c r="AN172">
        <f>IF('Recurring Schedule'!$C$44="","",IF('Recurring Schedule'!$F$44="","",IF(OR($A172&lt;'Recurring Schedule'!$F$44,$A172&gt;'Recurring Schedule'!$P$44),"",IF(IF('Recurring Schedule'!$N$44&gt;0,MOD($A172-'Recurring Schedule'!$F$44,'Recurring Schedule'!$N$44)=0,IF('Recurring Schedule'!$O$44&gt;0,AND(DAY($A172)=MIN(DAY('Recurring Schedule'!$F$44),DAY(EOMONTH($A172,0))),MOD((YEAR($A172)-YEAR('Recurring Schedule'!$F$44))*12+MONTH($A172)-MONTH('Recurring Schedule'!$F$44),'Recurring Schedule'!$O$44)=0),IF('Recurring Schedule'!$E$44="Weekdays",WEEKDAY($A172,2)&lt;=5,$A172='Recurring Schedule'!$F$44))),39,""))))</f>
        <v/>
      </c>
      <c r="AO172">
        <f>IF('Recurring Schedule'!$C$45="","",IF('Recurring Schedule'!$F$45="","",IF(OR($A172&lt;'Recurring Schedule'!$F$45,$A172&gt;'Recurring Schedule'!$P$45),"",IF(IF('Recurring Schedule'!$N$45&gt;0,MOD($A172-'Recurring Schedule'!$F$45,'Recurring Schedule'!$N$45)=0,IF('Recurring Schedule'!$O$45&gt;0,AND(DAY($A172)=MIN(DAY('Recurring Schedule'!$F$45),DAY(EOMONTH($A172,0))),MOD((YEAR($A172)-YEAR('Recurring Schedule'!$F$45))*12+MONTH($A172)-MONTH('Recurring Schedule'!$F$45),'Recurring Schedule'!$O$45)=0),IF('Recurring Schedule'!$E$45="Weekdays",WEEKDAY($A172,2)&lt;=5,$A172='Recurring Schedule'!$F$45))),40,""))))</f>
        <v/>
      </c>
      <c r="AP172">
        <f>COUNT(B172:AO172)</f>
        <v/>
      </c>
      <c r="AQ172">
        <f>AQ171+AP171</f>
        <v/>
      </c>
      <c r="AS172" t="inlineStr">
        <is>
          <t>R</t>
        </is>
      </c>
      <c r="AT172" t="n">
        <v>176</v>
      </c>
      <c r="AU172">
        <f>'Recurring Log'!C176&amp;""</f>
        <v/>
      </c>
      <c r="AV172">
        <f>'Recurring Log'!D176&amp;""</f>
        <v/>
      </c>
      <c r="AW172">
        <f>IF('Recurring Log'!E176="","",'Recurring Log'!E176)</f>
        <v/>
      </c>
      <c r="AX172">
        <f>IF('Recurring Log'!G176="","",'Recurring Log'!G176)</f>
        <v/>
      </c>
      <c r="AY172">
        <f>IF('Recurring Log'!H176="","",'Recurring Log'!H176)</f>
        <v/>
      </c>
      <c r="AZ172">
        <f>IF(AU172="","",IF('Recurring Log'!J176="","Not Started",'Recurring Log'!J176))</f>
        <v/>
      </c>
      <c r="BA172">
        <f>'Recurring Log'!L176&amp;""</f>
        <v/>
      </c>
      <c r="BB172">
        <f>'Recurring Log'!M176&amp;""</f>
        <v/>
      </c>
      <c r="BC172">
        <f>'Recurring Log'!N176&amp;""</f>
        <v/>
      </c>
      <c r="BD172">
        <f>'Recurring Log'!O176&amp;""</f>
        <v/>
      </c>
      <c r="BE172">
        <f>IF('Recurring Log'!K176="","",'Recurring Log'!K176)</f>
        <v/>
      </c>
      <c r="BF172">
        <f>IFERROR(MATCH(BA172,Setup!$L$6:$L$9,0),5)</f>
        <v/>
      </c>
      <c r="BG172">
        <f>IF(OR(AZ172="Done",AZ172="Cancelled"),1,0)</f>
        <v/>
      </c>
      <c r="BH172">
        <f>IF(AND(AU172&lt;&gt;"",ISNUMBER(AW172)),1,0)</f>
        <v/>
      </c>
      <c r="BI172">
        <f>IF(BH172=0,0,IF(AND(AW172&gt;='Tasks Filter'!$F$3,AW172&lt;='Tasks Filter'!$F$4,OR('Tasks Filter'!$I$3="",ISNUMBER(SEARCH('Tasks Filter'!$I$3,AU172))),OR('Tasks Filter'!$I$4="",BF172=IFERROR(MATCH('Tasks Filter'!$I$4,Setup!$L$6:$L$9,0),0)),OR('Tasks Filter'!$I$5="Both",AND('Tasks Filter'!$I$5="Yes",BB172="✓"),AND('Tasks Filter'!$I$5="No",BB172&lt;&gt;"✓")),OR('Tasks Filter'!$L$3="",AV172='Tasks Filter'!$L$3),OR('Tasks Filter'!$L$4="",AZ172='Tasks Filter'!$L$4),OR('Tasks Filter'!$L$5="",BC172='Tasks Filter'!$L$5),OR('Tasks Filter'!$O$3="",BD172='Tasks Filter'!$O$3),OR('Tasks Filter'!$O$4="Yes",BG172=0)),1,0))</f>
        <v/>
      </c>
      <c r="BJ172">
        <f>IF(BH172=0,"",IF('Tasks Filter'!$F$6="Descending",-1,1)*CHOOSE(MATCH('Tasks Filter'!$F$5,Lists!$G$2:$G$6,0),AW172,BF172,IFERROR(MATCH(AV172,Setup!$F$6:$F$15,0),99),IFERROR(MATCH(BC172,Setup!$H$6:$H$15,0),99),IFERROR(MATCH(AZ172,Setup!$J$6:$J$11,0),99))*1E+9+(AW172-40000)*10000+171)</f>
        <v/>
      </c>
      <c r="BK172">
        <f>IF(BI172=1,BJ172,"")</f>
        <v/>
      </c>
      <c r="BL172">
        <f>IF(AND(BH172=1,BG172=0,N(AW172)&lt;Setup!$D$7),(AW172-40000)*10000+171,"")</f>
        <v/>
      </c>
      <c r="BM172">
        <f>IF(AND(BH172=1,AZ172&lt;&gt;"Cancelled",N(AW172)&gt;=Dashboard!$AB$3,N(AW172)&lt;=Dashboard!$AB$3+6),(AW172-40000)*100000+BF172*10000+171,"")</f>
        <v/>
      </c>
      <c r="BN172">
        <f>IF(AND(BH172=1,AZ172&lt;&gt;"Cancelled"),BF172*10000+171,"")</f>
        <v/>
      </c>
    </row>
    <row r="173">
      <c r="A173">
        <f>Setup!$D$5+171</f>
        <v/>
      </c>
      <c r="B173">
        <f>IF('Recurring Schedule'!$C$6="","",IF('Recurring Schedule'!$F$6="","",IF(OR($A173&lt;'Recurring Schedule'!$F$6,$A173&gt;'Recurring Schedule'!$P$6),"",IF(IF('Recurring Schedule'!$N$6&gt;0,MOD($A173-'Recurring Schedule'!$F$6,'Recurring Schedule'!$N$6)=0,IF('Recurring Schedule'!$O$6&gt;0,AND(DAY($A173)=MIN(DAY('Recurring Schedule'!$F$6),DAY(EOMONTH($A173,0))),MOD((YEAR($A173)-YEAR('Recurring Schedule'!$F$6))*12+MONTH($A173)-MONTH('Recurring Schedule'!$F$6),'Recurring Schedule'!$O$6)=0),IF('Recurring Schedule'!$E$6="Weekdays",WEEKDAY($A173,2)&lt;=5,$A173='Recurring Schedule'!$F$6))),1,""))))</f>
        <v/>
      </c>
      <c r="C173">
        <f>IF('Recurring Schedule'!$C$7="","",IF('Recurring Schedule'!$F$7="","",IF(OR($A173&lt;'Recurring Schedule'!$F$7,$A173&gt;'Recurring Schedule'!$P$7),"",IF(IF('Recurring Schedule'!$N$7&gt;0,MOD($A173-'Recurring Schedule'!$F$7,'Recurring Schedule'!$N$7)=0,IF('Recurring Schedule'!$O$7&gt;0,AND(DAY($A173)=MIN(DAY('Recurring Schedule'!$F$7),DAY(EOMONTH($A173,0))),MOD((YEAR($A173)-YEAR('Recurring Schedule'!$F$7))*12+MONTH($A173)-MONTH('Recurring Schedule'!$F$7),'Recurring Schedule'!$O$7)=0),IF('Recurring Schedule'!$E$7="Weekdays",WEEKDAY($A173,2)&lt;=5,$A173='Recurring Schedule'!$F$7))),2,""))))</f>
        <v/>
      </c>
      <c r="D173">
        <f>IF('Recurring Schedule'!$C$8="","",IF('Recurring Schedule'!$F$8="","",IF(OR($A173&lt;'Recurring Schedule'!$F$8,$A173&gt;'Recurring Schedule'!$P$8),"",IF(IF('Recurring Schedule'!$N$8&gt;0,MOD($A173-'Recurring Schedule'!$F$8,'Recurring Schedule'!$N$8)=0,IF('Recurring Schedule'!$O$8&gt;0,AND(DAY($A173)=MIN(DAY('Recurring Schedule'!$F$8),DAY(EOMONTH($A173,0))),MOD((YEAR($A173)-YEAR('Recurring Schedule'!$F$8))*12+MONTH($A173)-MONTH('Recurring Schedule'!$F$8),'Recurring Schedule'!$O$8)=0),IF('Recurring Schedule'!$E$8="Weekdays",WEEKDAY($A173,2)&lt;=5,$A173='Recurring Schedule'!$F$8))),3,""))))</f>
        <v/>
      </c>
      <c r="E173">
        <f>IF('Recurring Schedule'!$C$9="","",IF('Recurring Schedule'!$F$9="","",IF(OR($A173&lt;'Recurring Schedule'!$F$9,$A173&gt;'Recurring Schedule'!$P$9),"",IF(IF('Recurring Schedule'!$N$9&gt;0,MOD($A173-'Recurring Schedule'!$F$9,'Recurring Schedule'!$N$9)=0,IF('Recurring Schedule'!$O$9&gt;0,AND(DAY($A173)=MIN(DAY('Recurring Schedule'!$F$9),DAY(EOMONTH($A173,0))),MOD((YEAR($A173)-YEAR('Recurring Schedule'!$F$9))*12+MONTH($A173)-MONTH('Recurring Schedule'!$F$9),'Recurring Schedule'!$O$9)=0),IF('Recurring Schedule'!$E$9="Weekdays",WEEKDAY($A173,2)&lt;=5,$A173='Recurring Schedule'!$F$9))),4,""))))</f>
        <v/>
      </c>
      <c r="F173">
        <f>IF('Recurring Schedule'!$C$10="","",IF('Recurring Schedule'!$F$10="","",IF(OR($A173&lt;'Recurring Schedule'!$F$10,$A173&gt;'Recurring Schedule'!$P$10),"",IF(IF('Recurring Schedule'!$N$10&gt;0,MOD($A173-'Recurring Schedule'!$F$10,'Recurring Schedule'!$N$10)=0,IF('Recurring Schedule'!$O$10&gt;0,AND(DAY($A173)=MIN(DAY('Recurring Schedule'!$F$10),DAY(EOMONTH($A173,0))),MOD((YEAR($A173)-YEAR('Recurring Schedule'!$F$10))*12+MONTH($A173)-MONTH('Recurring Schedule'!$F$10),'Recurring Schedule'!$O$10)=0),IF('Recurring Schedule'!$E$10="Weekdays",WEEKDAY($A173,2)&lt;=5,$A173='Recurring Schedule'!$F$10))),5,""))))</f>
        <v/>
      </c>
      <c r="G173">
        <f>IF('Recurring Schedule'!$C$11="","",IF('Recurring Schedule'!$F$11="","",IF(OR($A173&lt;'Recurring Schedule'!$F$11,$A173&gt;'Recurring Schedule'!$P$11),"",IF(IF('Recurring Schedule'!$N$11&gt;0,MOD($A173-'Recurring Schedule'!$F$11,'Recurring Schedule'!$N$11)=0,IF('Recurring Schedule'!$O$11&gt;0,AND(DAY($A173)=MIN(DAY('Recurring Schedule'!$F$11),DAY(EOMONTH($A173,0))),MOD((YEAR($A173)-YEAR('Recurring Schedule'!$F$11))*12+MONTH($A173)-MONTH('Recurring Schedule'!$F$11),'Recurring Schedule'!$O$11)=0),IF('Recurring Schedule'!$E$11="Weekdays",WEEKDAY($A173,2)&lt;=5,$A173='Recurring Schedule'!$F$11))),6,""))))</f>
        <v/>
      </c>
      <c r="H173">
        <f>IF('Recurring Schedule'!$C$12="","",IF('Recurring Schedule'!$F$12="","",IF(OR($A173&lt;'Recurring Schedule'!$F$12,$A173&gt;'Recurring Schedule'!$P$12),"",IF(IF('Recurring Schedule'!$N$12&gt;0,MOD($A173-'Recurring Schedule'!$F$12,'Recurring Schedule'!$N$12)=0,IF('Recurring Schedule'!$O$12&gt;0,AND(DAY($A173)=MIN(DAY('Recurring Schedule'!$F$12),DAY(EOMONTH($A173,0))),MOD((YEAR($A173)-YEAR('Recurring Schedule'!$F$12))*12+MONTH($A173)-MONTH('Recurring Schedule'!$F$12),'Recurring Schedule'!$O$12)=0),IF('Recurring Schedule'!$E$12="Weekdays",WEEKDAY($A173,2)&lt;=5,$A173='Recurring Schedule'!$F$12))),7,""))))</f>
        <v/>
      </c>
      <c r="I173">
        <f>IF('Recurring Schedule'!$C$13="","",IF('Recurring Schedule'!$F$13="","",IF(OR($A173&lt;'Recurring Schedule'!$F$13,$A173&gt;'Recurring Schedule'!$P$13),"",IF(IF('Recurring Schedule'!$N$13&gt;0,MOD($A173-'Recurring Schedule'!$F$13,'Recurring Schedule'!$N$13)=0,IF('Recurring Schedule'!$O$13&gt;0,AND(DAY($A173)=MIN(DAY('Recurring Schedule'!$F$13),DAY(EOMONTH($A173,0))),MOD((YEAR($A173)-YEAR('Recurring Schedule'!$F$13))*12+MONTH($A173)-MONTH('Recurring Schedule'!$F$13),'Recurring Schedule'!$O$13)=0),IF('Recurring Schedule'!$E$13="Weekdays",WEEKDAY($A173,2)&lt;=5,$A173='Recurring Schedule'!$F$13))),8,""))))</f>
        <v/>
      </c>
      <c r="J173">
        <f>IF('Recurring Schedule'!$C$14="","",IF('Recurring Schedule'!$F$14="","",IF(OR($A173&lt;'Recurring Schedule'!$F$14,$A173&gt;'Recurring Schedule'!$P$14),"",IF(IF('Recurring Schedule'!$N$14&gt;0,MOD($A173-'Recurring Schedule'!$F$14,'Recurring Schedule'!$N$14)=0,IF('Recurring Schedule'!$O$14&gt;0,AND(DAY($A173)=MIN(DAY('Recurring Schedule'!$F$14),DAY(EOMONTH($A173,0))),MOD((YEAR($A173)-YEAR('Recurring Schedule'!$F$14))*12+MONTH($A173)-MONTH('Recurring Schedule'!$F$14),'Recurring Schedule'!$O$14)=0),IF('Recurring Schedule'!$E$14="Weekdays",WEEKDAY($A173,2)&lt;=5,$A173='Recurring Schedule'!$F$14))),9,""))))</f>
        <v/>
      </c>
      <c r="K173">
        <f>IF('Recurring Schedule'!$C$15="","",IF('Recurring Schedule'!$F$15="","",IF(OR($A173&lt;'Recurring Schedule'!$F$15,$A173&gt;'Recurring Schedule'!$P$15),"",IF(IF('Recurring Schedule'!$N$15&gt;0,MOD($A173-'Recurring Schedule'!$F$15,'Recurring Schedule'!$N$15)=0,IF('Recurring Schedule'!$O$15&gt;0,AND(DAY($A173)=MIN(DAY('Recurring Schedule'!$F$15),DAY(EOMONTH($A173,0))),MOD((YEAR($A173)-YEAR('Recurring Schedule'!$F$15))*12+MONTH($A173)-MONTH('Recurring Schedule'!$F$15),'Recurring Schedule'!$O$15)=0),IF('Recurring Schedule'!$E$15="Weekdays",WEEKDAY($A173,2)&lt;=5,$A173='Recurring Schedule'!$F$15))),10,""))))</f>
        <v/>
      </c>
      <c r="L173">
        <f>IF('Recurring Schedule'!$C$16="","",IF('Recurring Schedule'!$F$16="","",IF(OR($A173&lt;'Recurring Schedule'!$F$16,$A173&gt;'Recurring Schedule'!$P$16),"",IF(IF('Recurring Schedule'!$N$16&gt;0,MOD($A173-'Recurring Schedule'!$F$16,'Recurring Schedule'!$N$16)=0,IF('Recurring Schedule'!$O$16&gt;0,AND(DAY($A173)=MIN(DAY('Recurring Schedule'!$F$16),DAY(EOMONTH($A173,0))),MOD((YEAR($A173)-YEAR('Recurring Schedule'!$F$16))*12+MONTH($A173)-MONTH('Recurring Schedule'!$F$16),'Recurring Schedule'!$O$16)=0),IF('Recurring Schedule'!$E$16="Weekdays",WEEKDAY($A173,2)&lt;=5,$A173='Recurring Schedule'!$F$16))),11,""))))</f>
        <v/>
      </c>
      <c r="M173">
        <f>IF('Recurring Schedule'!$C$17="","",IF('Recurring Schedule'!$F$17="","",IF(OR($A173&lt;'Recurring Schedule'!$F$17,$A173&gt;'Recurring Schedule'!$P$17),"",IF(IF('Recurring Schedule'!$N$17&gt;0,MOD($A173-'Recurring Schedule'!$F$17,'Recurring Schedule'!$N$17)=0,IF('Recurring Schedule'!$O$17&gt;0,AND(DAY($A173)=MIN(DAY('Recurring Schedule'!$F$17),DAY(EOMONTH($A173,0))),MOD((YEAR($A173)-YEAR('Recurring Schedule'!$F$17))*12+MONTH($A173)-MONTH('Recurring Schedule'!$F$17),'Recurring Schedule'!$O$17)=0),IF('Recurring Schedule'!$E$17="Weekdays",WEEKDAY($A173,2)&lt;=5,$A173='Recurring Schedule'!$F$17))),12,""))))</f>
        <v/>
      </c>
      <c r="N173">
        <f>IF('Recurring Schedule'!$C$18="","",IF('Recurring Schedule'!$F$18="","",IF(OR($A173&lt;'Recurring Schedule'!$F$18,$A173&gt;'Recurring Schedule'!$P$18),"",IF(IF('Recurring Schedule'!$N$18&gt;0,MOD($A173-'Recurring Schedule'!$F$18,'Recurring Schedule'!$N$18)=0,IF('Recurring Schedule'!$O$18&gt;0,AND(DAY($A173)=MIN(DAY('Recurring Schedule'!$F$18),DAY(EOMONTH($A173,0))),MOD((YEAR($A173)-YEAR('Recurring Schedule'!$F$18))*12+MONTH($A173)-MONTH('Recurring Schedule'!$F$18),'Recurring Schedule'!$O$18)=0),IF('Recurring Schedule'!$E$18="Weekdays",WEEKDAY($A173,2)&lt;=5,$A173='Recurring Schedule'!$F$18))),13,""))))</f>
        <v/>
      </c>
      <c r="O173">
        <f>IF('Recurring Schedule'!$C$19="","",IF('Recurring Schedule'!$F$19="","",IF(OR($A173&lt;'Recurring Schedule'!$F$19,$A173&gt;'Recurring Schedule'!$P$19),"",IF(IF('Recurring Schedule'!$N$19&gt;0,MOD($A173-'Recurring Schedule'!$F$19,'Recurring Schedule'!$N$19)=0,IF('Recurring Schedule'!$O$19&gt;0,AND(DAY($A173)=MIN(DAY('Recurring Schedule'!$F$19),DAY(EOMONTH($A173,0))),MOD((YEAR($A173)-YEAR('Recurring Schedule'!$F$19))*12+MONTH($A173)-MONTH('Recurring Schedule'!$F$19),'Recurring Schedule'!$O$19)=0),IF('Recurring Schedule'!$E$19="Weekdays",WEEKDAY($A173,2)&lt;=5,$A173='Recurring Schedule'!$F$19))),14,""))))</f>
        <v/>
      </c>
      <c r="P173">
        <f>IF('Recurring Schedule'!$C$20="","",IF('Recurring Schedule'!$F$20="","",IF(OR($A173&lt;'Recurring Schedule'!$F$20,$A173&gt;'Recurring Schedule'!$P$20),"",IF(IF('Recurring Schedule'!$N$20&gt;0,MOD($A173-'Recurring Schedule'!$F$20,'Recurring Schedule'!$N$20)=0,IF('Recurring Schedule'!$O$20&gt;0,AND(DAY($A173)=MIN(DAY('Recurring Schedule'!$F$20),DAY(EOMONTH($A173,0))),MOD((YEAR($A173)-YEAR('Recurring Schedule'!$F$20))*12+MONTH($A173)-MONTH('Recurring Schedule'!$F$20),'Recurring Schedule'!$O$20)=0),IF('Recurring Schedule'!$E$20="Weekdays",WEEKDAY($A173,2)&lt;=5,$A173='Recurring Schedule'!$F$20))),15,""))))</f>
        <v/>
      </c>
      <c r="Q173">
        <f>IF('Recurring Schedule'!$C$21="","",IF('Recurring Schedule'!$F$21="","",IF(OR($A173&lt;'Recurring Schedule'!$F$21,$A173&gt;'Recurring Schedule'!$P$21),"",IF(IF('Recurring Schedule'!$N$21&gt;0,MOD($A173-'Recurring Schedule'!$F$21,'Recurring Schedule'!$N$21)=0,IF('Recurring Schedule'!$O$21&gt;0,AND(DAY($A173)=MIN(DAY('Recurring Schedule'!$F$21),DAY(EOMONTH($A173,0))),MOD((YEAR($A173)-YEAR('Recurring Schedule'!$F$21))*12+MONTH($A173)-MONTH('Recurring Schedule'!$F$21),'Recurring Schedule'!$O$21)=0),IF('Recurring Schedule'!$E$21="Weekdays",WEEKDAY($A173,2)&lt;=5,$A173='Recurring Schedule'!$F$21))),16,""))))</f>
        <v/>
      </c>
      <c r="R173">
        <f>IF('Recurring Schedule'!$C$22="","",IF('Recurring Schedule'!$F$22="","",IF(OR($A173&lt;'Recurring Schedule'!$F$22,$A173&gt;'Recurring Schedule'!$P$22),"",IF(IF('Recurring Schedule'!$N$22&gt;0,MOD($A173-'Recurring Schedule'!$F$22,'Recurring Schedule'!$N$22)=0,IF('Recurring Schedule'!$O$22&gt;0,AND(DAY($A173)=MIN(DAY('Recurring Schedule'!$F$22),DAY(EOMONTH($A173,0))),MOD((YEAR($A173)-YEAR('Recurring Schedule'!$F$22))*12+MONTH($A173)-MONTH('Recurring Schedule'!$F$22),'Recurring Schedule'!$O$22)=0),IF('Recurring Schedule'!$E$22="Weekdays",WEEKDAY($A173,2)&lt;=5,$A173='Recurring Schedule'!$F$22))),17,""))))</f>
        <v/>
      </c>
      <c r="S173">
        <f>IF('Recurring Schedule'!$C$23="","",IF('Recurring Schedule'!$F$23="","",IF(OR($A173&lt;'Recurring Schedule'!$F$23,$A173&gt;'Recurring Schedule'!$P$23),"",IF(IF('Recurring Schedule'!$N$23&gt;0,MOD($A173-'Recurring Schedule'!$F$23,'Recurring Schedule'!$N$23)=0,IF('Recurring Schedule'!$O$23&gt;0,AND(DAY($A173)=MIN(DAY('Recurring Schedule'!$F$23),DAY(EOMONTH($A173,0))),MOD((YEAR($A173)-YEAR('Recurring Schedule'!$F$23))*12+MONTH($A173)-MONTH('Recurring Schedule'!$F$23),'Recurring Schedule'!$O$23)=0),IF('Recurring Schedule'!$E$23="Weekdays",WEEKDAY($A173,2)&lt;=5,$A173='Recurring Schedule'!$F$23))),18,""))))</f>
        <v/>
      </c>
      <c r="T173">
        <f>IF('Recurring Schedule'!$C$24="","",IF('Recurring Schedule'!$F$24="","",IF(OR($A173&lt;'Recurring Schedule'!$F$24,$A173&gt;'Recurring Schedule'!$P$24),"",IF(IF('Recurring Schedule'!$N$24&gt;0,MOD($A173-'Recurring Schedule'!$F$24,'Recurring Schedule'!$N$24)=0,IF('Recurring Schedule'!$O$24&gt;0,AND(DAY($A173)=MIN(DAY('Recurring Schedule'!$F$24),DAY(EOMONTH($A173,0))),MOD((YEAR($A173)-YEAR('Recurring Schedule'!$F$24))*12+MONTH($A173)-MONTH('Recurring Schedule'!$F$24),'Recurring Schedule'!$O$24)=0),IF('Recurring Schedule'!$E$24="Weekdays",WEEKDAY($A173,2)&lt;=5,$A173='Recurring Schedule'!$F$24))),19,""))))</f>
        <v/>
      </c>
      <c r="U173">
        <f>IF('Recurring Schedule'!$C$25="","",IF('Recurring Schedule'!$F$25="","",IF(OR($A173&lt;'Recurring Schedule'!$F$25,$A173&gt;'Recurring Schedule'!$P$25),"",IF(IF('Recurring Schedule'!$N$25&gt;0,MOD($A173-'Recurring Schedule'!$F$25,'Recurring Schedule'!$N$25)=0,IF('Recurring Schedule'!$O$25&gt;0,AND(DAY($A173)=MIN(DAY('Recurring Schedule'!$F$25),DAY(EOMONTH($A173,0))),MOD((YEAR($A173)-YEAR('Recurring Schedule'!$F$25))*12+MONTH($A173)-MONTH('Recurring Schedule'!$F$25),'Recurring Schedule'!$O$25)=0),IF('Recurring Schedule'!$E$25="Weekdays",WEEKDAY($A173,2)&lt;=5,$A173='Recurring Schedule'!$F$25))),20,""))))</f>
        <v/>
      </c>
      <c r="V173">
        <f>IF('Recurring Schedule'!$C$26="","",IF('Recurring Schedule'!$F$26="","",IF(OR($A173&lt;'Recurring Schedule'!$F$26,$A173&gt;'Recurring Schedule'!$P$26),"",IF(IF('Recurring Schedule'!$N$26&gt;0,MOD($A173-'Recurring Schedule'!$F$26,'Recurring Schedule'!$N$26)=0,IF('Recurring Schedule'!$O$26&gt;0,AND(DAY($A173)=MIN(DAY('Recurring Schedule'!$F$26),DAY(EOMONTH($A173,0))),MOD((YEAR($A173)-YEAR('Recurring Schedule'!$F$26))*12+MONTH($A173)-MONTH('Recurring Schedule'!$F$26),'Recurring Schedule'!$O$26)=0),IF('Recurring Schedule'!$E$26="Weekdays",WEEKDAY($A173,2)&lt;=5,$A173='Recurring Schedule'!$F$26))),21,""))))</f>
        <v/>
      </c>
      <c r="W173">
        <f>IF('Recurring Schedule'!$C$27="","",IF('Recurring Schedule'!$F$27="","",IF(OR($A173&lt;'Recurring Schedule'!$F$27,$A173&gt;'Recurring Schedule'!$P$27),"",IF(IF('Recurring Schedule'!$N$27&gt;0,MOD($A173-'Recurring Schedule'!$F$27,'Recurring Schedule'!$N$27)=0,IF('Recurring Schedule'!$O$27&gt;0,AND(DAY($A173)=MIN(DAY('Recurring Schedule'!$F$27),DAY(EOMONTH($A173,0))),MOD((YEAR($A173)-YEAR('Recurring Schedule'!$F$27))*12+MONTH($A173)-MONTH('Recurring Schedule'!$F$27),'Recurring Schedule'!$O$27)=0),IF('Recurring Schedule'!$E$27="Weekdays",WEEKDAY($A173,2)&lt;=5,$A173='Recurring Schedule'!$F$27))),22,""))))</f>
        <v/>
      </c>
      <c r="X173">
        <f>IF('Recurring Schedule'!$C$28="","",IF('Recurring Schedule'!$F$28="","",IF(OR($A173&lt;'Recurring Schedule'!$F$28,$A173&gt;'Recurring Schedule'!$P$28),"",IF(IF('Recurring Schedule'!$N$28&gt;0,MOD($A173-'Recurring Schedule'!$F$28,'Recurring Schedule'!$N$28)=0,IF('Recurring Schedule'!$O$28&gt;0,AND(DAY($A173)=MIN(DAY('Recurring Schedule'!$F$28),DAY(EOMONTH($A173,0))),MOD((YEAR($A173)-YEAR('Recurring Schedule'!$F$28))*12+MONTH($A173)-MONTH('Recurring Schedule'!$F$28),'Recurring Schedule'!$O$28)=0),IF('Recurring Schedule'!$E$28="Weekdays",WEEKDAY($A173,2)&lt;=5,$A173='Recurring Schedule'!$F$28))),23,""))))</f>
        <v/>
      </c>
      <c r="Y173">
        <f>IF('Recurring Schedule'!$C$29="","",IF('Recurring Schedule'!$F$29="","",IF(OR($A173&lt;'Recurring Schedule'!$F$29,$A173&gt;'Recurring Schedule'!$P$29),"",IF(IF('Recurring Schedule'!$N$29&gt;0,MOD($A173-'Recurring Schedule'!$F$29,'Recurring Schedule'!$N$29)=0,IF('Recurring Schedule'!$O$29&gt;0,AND(DAY($A173)=MIN(DAY('Recurring Schedule'!$F$29),DAY(EOMONTH($A173,0))),MOD((YEAR($A173)-YEAR('Recurring Schedule'!$F$29))*12+MONTH($A173)-MONTH('Recurring Schedule'!$F$29),'Recurring Schedule'!$O$29)=0),IF('Recurring Schedule'!$E$29="Weekdays",WEEKDAY($A173,2)&lt;=5,$A173='Recurring Schedule'!$F$29))),24,""))))</f>
        <v/>
      </c>
      <c r="Z173">
        <f>IF('Recurring Schedule'!$C$30="","",IF('Recurring Schedule'!$F$30="","",IF(OR($A173&lt;'Recurring Schedule'!$F$30,$A173&gt;'Recurring Schedule'!$P$30),"",IF(IF('Recurring Schedule'!$N$30&gt;0,MOD($A173-'Recurring Schedule'!$F$30,'Recurring Schedule'!$N$30)=0,IF('Recurring Schedule'!$O$30&gt;0,AND(DAY($A173)=MIN(DAY('Recurring Schedule'!$F$30),DAY(EOMONTH($A173,0))),MOD((YEAR($A173)-YEAR('Recurring Schedule'!$F$30))*12+MONTH($A173)-MONTH('Recurring Schedule'!$F$30),'Recurring Schedule'!$O$30)=0),IF('Recurring Schedule'!$E$30="Weekdays",WEEKDAY($A173,2)&lt;=5,$A173='Recurring Schedule'!$F$30))),25,""))))</f>
        <v/>
      </c>
      <c r="AA173">
        <f>IF('Recurring Schedule'!$C$31="","",IF('Recurring Schedule'!$F$31="","",IF(OR($A173&lt;'Recurring Schedule'!$F$31,$A173&gt;'Recurring Schedule'!$P$31),"",IF(IF('Recurring Schedule'!$N$31&gt;0,MOD($A173-'Recurring Schedule'!$F$31,'Recurring Schedule'!$N$31)=0,IF('Recurring Schedule'!$O$31&gt;0,AND(DAY($A173)=MIN(DAY('Recurring Schedule'!$F$31),DAY(EOMONTH($A173,0))),MOD((YEAR($A173)-YEAR('Recurring Schedule'!$F$31))*12+MONTH($A173)-MONTH('Recurring Schedule'!$F$31),'Recurring Schedule'!$O$31)=0),IF('Recurring Schedule'!$E$31="Weekdays",WEEKDAY($A173,2)&lt;=5,$A173='Recurring Schedule'!$F$31))),26,""))))</f>
        <v/>
      </c>
      <c r="AB173">
        <f>IF('Recurring Schedule'!$C$32="","",IF('Recurring Schedule'!$F$32="","",IF(OR($A173&lt;'Recurring Schedule'!$F$32,$A173&gt;'Recurring Schedule'!$P$32),"",IF(IF('Recurring Schedule'!$N$32&gt;0,MOD($A173-'Recurring Schedule'!$F$32,'Recurring Schedule'!$N$32)=0,IF('Recurring Schedule'!$O$32&gt;0,AND(DAY($A173)=MIN(DAY('Recurring Schedule'!$F$32),DAY(EOMONTH($A173,0))),MOD((YEAR($A173)-YEAR('Recurring Schedule'!$F$32))*12+MONTH($A173)-MONTH('Recurring Schedule'!$F$32),'Recurring Schedule'!$O$32)=0),IF('Recurring Schedule'!$E$32="Weekdays",WEEKDAY($A173,2)&lt;=5,$A173='Recurring Schedule'!$F$32))),27,""))))</f>
        <v/>
      </c>
      <c r="AC173">
        <f>IF('Recurring Schedule'!$C$33="","",IF('Recurring Schedule'!$F$33="","",IF(OR($A173&lt;'Recurring Schedule'!$F$33,$A173&gt;'Recurring Schedule'!$P$33),"",IF(IF('Recurring Schedule'!$N$33&gt;0,MOD($A173-'Recurring Schedule'!$F$33,'Recurring Schedule'!$N$33)=0,IF('Recurring Schedule'!$O$33&gt;0,AND(DAY($A173)=MIN(DAY('Recurring Schedule'!$F$33),DAY(EOMONTH($A173,0))),MOD((YEAR($A173)-YEAR('Recurring Schedule'!$F$33))*12+MONTH($A173)-MONTH('Recurring Schedule'!$F$33),'Recurring Schedule'!$O$33)=0),IF('Recurring Schedule'!$E$33="Weekdays",WEEKDAY($A173,2)&lt;=5,$A173='Recurring Schedule'!$F$33))),28,""))))</f>
        <v/>
      </c>
      <c r="AD173">
        <f>IF('Recurring Schedule'!$C$34="","",IF('Recurring Schedule'!$F$34="","",IF(OR($A173&lt;'Recurring Schedule'!$F$34,$A173&gt;'Recurring Schedule'!$P$34),"",IF(IF('Recurring Schedule'!$N$34&gt;0,MOD($A173-'Recurring Schedule'!$F$34,'Recurring Schedule'!$N$34)=0,IF('Recurring Schedule'!$O$34&gt;0,AND(DAY($A173)=MIN(DAY('Recurring Schedule'!$F$34),DAY(EOMONTH($A173,0))),MOD((YEAR($A173)-YEAR('Recurring Schedule'!$F$34))*12+MONTH($A173)-MONTH('Recurring Schedule'!$F$34),'Recurring Schedule'!$O$34)=0),IF('Recurring Schedule'!$E$34="Weekdays",WEEKDAY($A173,2)&lt;=5,$A173='Recurring Schedule'!$F$34))),29,""))))</f>
        <v/>
      </c>
      <c r="AE173">
        <f>IF('Recurring Schedule'!$C$35="","",IF('Recurring Schedule'!$F$35="","",IF(OR($A173&lt;'Recurring Schedule'!$F$35,$A173&gt;'Recurring Schedule'!$P$35),"",IF(IF('Recurring Schedule'!$N$35&gt;0,MOD($A173-'Recurring Schedule'!$F$35,'Recurring Schedule'!$N$35)=0,IF('Recurring Schedule'!$O$35&gt;0,AND(DAY($A173)=MIN(DAY('Recurring Schedule'!$F$35),DAY(EOMONTH($A173,0))),MOD((YEAR($A173)-YEAR('Recurring Schedule'!$F$35))*12+MONTH($A173)-MONTH('Recurring Schedule'!$F$35),'Recurring Schedule'!$O$35)=0),IF('Recurring Schedule'!$E$35="Weekdays",WEEKDAY($A173,2)&lt;=5,$A173='Recurring Schedule'!$F$35))),30,""))))</f>
        <v/>
      </c>
      <c r="AF173">
        <f>IF('Recurring Schedule'!$C$36="","",IF('Recurring Schedule'!$F$36="","",IF(OR($A173&lt;'Recurring Schedule'!$F$36,$A173&gt;'Recurring Schedule'!$P$36),"",IF(IF('Recurring Schedule'!$N$36&gt;0,MOD($A173-'Recurring Schedule'!$F$36,'Recurring Schedule'!$N$36)=0,IF('Recurring Schedule'!$O$36&gt;0,AND(DAY($A173)=MIN(DAY('Recurring Schedule'!$F$36),DAY(EOMONTH($A173,0))),MOD((YEAR($A173)-YEAR('Recurring Schedule'!$F$36))*12+MONTH($A173)-MONTH('Recurring Schedule'!$F$36),'Recurring Schedule'!$O$36)=0),IF('Recurring Schedule'!$E$36="Weekdays",WEEKDAY($A173,2)&lt;=5,$A173='Recurring Schedule'!$F$36))),31,""))))</f>
        <v/>
      </c>
      <c r="AG173">
        <f>IF('Recurring Schedule'!$C$37="","",IF('Recurring Schedule'!$F$37="","",IF(OR($A173&lt;'Recurring Schedule'!$F$37,$A173&gt;'Recurring Schedule'!$P$37),"",IF(IF('Recurring Schedule'!$N$37&gt;0,MOD($A173-'Recurring Schedule'!$F$37,'Recurring Schedule'!$N$37)=0,IF('Recurring Schedule'!$O$37&gt;0,AND(DAY($A173)=MIN(DAY('Recurring Schedule'!$F$37),DAY(EOMONTH($A173,0))),MOD((YEAR($A173)-YEAR('Recurring Schedule'!$F$37))*12+MONTH($A173)-MONTH('Recurring Schedule'!$F$37),'Recurring Schedule'!$O$37)=0),IF('Recurring Schedule'!$E$37="Weekdays",WEEKDAY($A173,2)&lt;=5,$A173='Recurring Schedule'!$F$37))),32,""))))</f>
        <v/>
      </c>
      <c r="AH173">
        <f>IF('Recurring Schedule'!$C$38="","",IF('Recurring Schedule'!$F$38="","",IF(OR($A173&lt;'Recurring Schedule'!$F$38,$A173&gt;'Recurring Schedule'!$P$38),"",IF(IF('Recurring Schedule'!$N$38&gt;0,MOD($A173-'Recurring Schedule'!$F$38,'Recurring Schedule'!$N$38)=0,IF('Recurring Schedule'!$O$38&gt;0,AND(DAY($A173)=MIN(DAY('Recurring Schedule'!$F$38),DAY(EOMONTH($A173,0))),MOD((YEAR($A173)-YEAR('Recurring Schedule'!$F$38))*12+MONTH($A173)-MONTH('Recurring Schedule'!$F$38),'Recurring Schedule'!$O$38)=0),IF('Recurring Schedule'!$E$38="Weekdays",WEEKDAY($A173,2)&lt;=5,$A173='Recurring Schedule'!$F$38))),33,""))))</f>
        <v/>
      </c>
      <c r="AI173">
        <f>IF('Recurring Schedule'!$C$39="","",IF('Recurring Schedule'!$F$39="","",IF(OR($A173&lt;'Recurring Schedule'!$F$39,$A173&gt;'Recurring Schedule'!$P$39),"",IF(IF('Recurring Schedule'!$N$39&gt;0,MOD($A173-'Recurring Schedule'!$F$39,'Recurring Schedule'!$N$39)=0,IF('Recurring Schedule'!$O$39&gt;0,AND(DAY($A173)=MIN(DAY('Recurring Schedule'!$F$39),DAY(EOMONTH($A173,0))),MOD((YEAR($A173)-YEAR('Recurring Schedule'!$F$39))*12+MONTH($A173)-MONTH('Recurring Schedule'!$F$39),'Recurring Schedule'!$O$39)=0),IF('Recurring Schedule'!$E$39="Weekdays",WEEKDAY($A173,2)&lt;=5,$A173='Recurring Schedule'!$F$39))),34,""))))</f>
        <v/>
      </c>
      <c r="AJ173">
        <f>IF('Recurring Schedule'!$C$40="","",IF('Recurring Schedule'!$F$40="","",IF(OR($A173&lt;'Recurring Schedule'!$F$40,$A173&gt;'Recurring Schedule'!$P$40),"",IF(IF('Recurring Schedule'!$N$40&gt;0,MOD($A173-'Recurring Schedule'!$F$40,'Recurring Schedule'!$N$40)=0,IF('Recurring Schedule'!$O$40&gt;0,AND(DAY($A173)=MIN(DAY('Recurring Schedule'!$F$40),DAY(EOMONTH($A173,0))),MOD((YEAR($A173)-YEAR('Recurring Schedule'!$F$40))*12+MONTH($A173)-MONTH('Recurring Schedule'!$F$40),'Recurring Schedule'!$O$40)=0),IF('Recurring Schedule'!$E$40="Weekdays",WEEKDAY($A173,2)&lt;=5,$A173='Recurring Schedule'!$F$40))),35,""))))</f>
        <v/>
      </c>
      <c r="AK173">
        <f>IF('Recurring Schedule'!$C$41="","",IF('Recurring Schedule'!$F$41="","",IF(OR($A173&lt;'Recurring Schedule'!$F$41,$A173&gt;'Recurring Schedule'!$P$41),"",IF(IF('Recurring Schedule'!$N$41&gt;0,MOD($A173-'Recurring Schedule'!$F$41,'Recurring Schedule'!$N$41)=0,IF('Recurring Schedule'!$O$41&gt;0,AND(DAY($A173)=MIN(DAY('Recurring Schedule'!$F$41),DAY(EOMONTH($A173,0))),MOD((YEAR($A173)-YEAR('Recurring Schedule'!$F$41))*12+MONTH($A173)-MONTH('Recurring Schedule'!$F$41),'Recurring Schedule'!$O$41)=0),IF('Recurring Schedule'!$E$41="Weekdays",WEEKDAY($A173,2)&lt;=5,$A173='Recurring Schedule'!$F$41))),36,""))))</f>
        <v/>
      </c>
      <c r="AL173">
        <f>IF('Recurring Schedule'!$C$42="","",IF('Recurring Schedule'!$F$42="","",IF(OR($A173&lt;'Recurring Schedule'!$F$42,$A173&gt;'Recurring Schedule'!$P$42),"",IF(IF('Recurring Schedule'!$N$42&gt;0,MOD($A173-'Recurring Schedule'!$F$42,'Recurring Schedule'!$N$42)=0,IF('Recurring Schedule'!$O$42&gt;0,AND(DAY($A173)=MIN(DAY('Recurring Schedule'!$F$42),DAY(EOMONTH($A173,0))),MOD((YEAR($A173)-YEAR('Recurring Schedule'!$F$42))*12+MONTH($A173)-MONTH('Recurring Schedule'!$F$42),'Recurring Schedule'!$O$42)=0),IF('Recurring Schedule'!$E$42="Weekdays",WEEKDAY($A173,2)&lt;=5,$A173='Recurring Schedule'!$F$42))),37,""))))</f>
        <v/>
      </c>
      <c r="AM173">
        <f>IF('Recurring Schedule'!$C$43="","",IF('Recurring Schedule'!$F$43="","",IF(OR($A173&lt;'Recurring Schedule'!$F$43,$A173&gt;'Recurring Schedule'!$P$43),"",IF(IF('Recurring Schedule'!$N$43&gt;0,MOD($A173-'Recurring Schedule'!$F$43,'Recurring Schedule'!$N$43)=0,IF('Recurring Schedule'!$O$43&gt;0,AND(DAY($A173)=MIN(DAY('Recurring Schedule'!$F$43),DAY(EOMONTH($A173,0))),MOD((YEAR($A173)-YEAR('Recurring Schedule'!$F$43))*12+MONTH($A173)-MONTH('Recurring Schedule'!$F$43),'Recurring Schedule'!$O$43)=0),IF('Recurring Schedule'!$E$43="Weekdays",WEEKDAY($A173,2)&lt;=5,$A173='Recurring Schedule'!$F$43))),38,""))))</f>
        <v/>
      </c>
      <c r="AN173">
        <f>IF('Recurring Schedule'!$C$44="","",IF('Recurring Schedule'!$F$44="","",IF(OR($A173&lt;'Recurring Schedule'!$F$44,$A173&gt;'Recurring Schedule'!$P$44),"",IF(IF('Recurring Schedule'!$N$44&gt;0,MOD($A173-'Recurring Schedule'!$F$44,'Recurring Schedule'!$N$44)=0,IF('Recurring Schedule'!$O$44&gt;0,AND(DAY($A173)=MIN(DAY('Recurring Schedule'!$F$44),DAY(EOMONTH($A173,0))),MOD((YEAR($A173)-YEAR('Recurring Schedule'!$F$44))*12+MONTH($A173)-MONTH('Recurring Schedule'!$F$44),'Recurring Schedule'!$O$44)=0),IF('Recurring Schedule'!$E$44="Weekdays",WEEKDAY($A173,2)&lt;=5,$A173='Recurring Schedule'!$F$44))),39,""))))</f>
        <v/>
      </c>
      <c r="AO173">
        <f>IF('Recurring Schedule'!$C$45="","",IF('Recurring Schedule'!$F$45="","",IF(OR($A173&lt;'Recurring Schedule'!$F$45,$A173&gt;'Recurring Schedule'!$P$45),"",IF(IF('Recurring Schedule'!$N$45&gt;0,MOD($A173-'Recurring Schedule'!$F$45,'Recurring Schedule'!$N$45)=0,IF('Recurring Schedule'!$O$45&gt;0,AND(DAY($A173)=MIN(DAY('Recurring Schedule'!$F$45),DAY(EOMONTH($A173,0))),MOD((YEAR($A173)-YEAR('Recurring Schedule'!$F$45))*12+MONTH($A173)-MONTH('Recurring Schedule'!$F$45),'Recurring Schedule'!$O$45)=0),IF('Recurring Schedule'!$E$45="Weekdays",WEEKDAY($A173,2)&lt;=5,$A173='Recurring Schedule'!$F$45))),40,""))))</f>
        <v/>
      </c>
      <c r="AP173">
        <f>COUNT(B173:AO173)</f>
        <v/>
      </c>
      <c r="AQ173">
        <f>AQ172+AP172</f>
        <v/>
      </c>
      <c r="AS173" t="inlineStr">
        <is>
          <t>R</t>
        </is>
      </c>
      <c r="AT173" t="n">
        <v>177</v>
      </c>
      <c r="AU173">
        <f>'Recurring Log'!C177&amp;""</f>
        <v/>
      </c>
      <c r="AV173">
        <f>'Recurring Log'!D177&amp;""</f>
        <v/>
      </c>
      <c r="AW173">
        <f>IF('Recurring Log'!E177="","",'Recurring Log'!E177)</f>
        <v/>
      </c>
      <c r="AX173">
        <f>IF('Recurring Log'!G177="","",'Recurring Log'!G177)</f>
        <v/>
      </c>
      <c r="AY173">
        <f>IF('Recurring Log'!H177="","",'Recurring Log'!H177)</f>
        <v/>
      </c>
      <c r="AZ173">
        <f>IF(AU173="","",IF('Recurring Log'!J177="","Not Started",'Recurring Log'!J177))</f>
        <v/>
      </c>
      <c r="BA173">
        <f>'Recurring Log'!L177&amp;""</f>
        <v/>
      </c>
      <c r="BB173">
        <f>'Recurring Log'!M177&amp;""</f>
        <v/>
      </c>
      <c r="BC173">
        <f>'Recurring Log'!N177&amp;""</f>
        <v/>
      </c>
      <c r="BD173">
        <f>'Recurring Log'!O177&amp;""</f>
        <v/>
      </c>
      <c r="BE173">
        <f>IF('Recurring Log'!K177="","",'Recurring Log'!K177)</f>
        <v/>
      </c>
      <c r="BF173">
        <f>IFERROR(MATCH(BA173,Setup!$L$6:$L$9,0),5)</f>
        <v/>
      </c>
      <c r="BG173">
        <f>IF(OR(AZ173="Done",AZ173="Cancelled"),1,0)</f>
        <v/>
      </c>
      <c r="BH173">
        <f>IF(AND(AU173&lt;&gt;"",ISNUMBER(AW173)),1,0)</f>
        <v/>
      </c>
      <c r="BI173">
        <f>IF(BH173=0,0,IF(AND(AW173&gt;='Tasks Filter'!$F$3,AW173&lt;='Tasks Filter'!$F$4,OR('Tasks Filter'!$I$3="",ISNUMBER(SEARCH('Tasks Filter'!$I$3,AU173))),OR('Tasks Filter'!$I$4="",BF173=IFERROR(MATCH('Tasks Filter'!$I$4,Setup!$L$6:$L$9,0),0)),OR('Tasks Filter'!$I$5="Both",AND('Tasks Filter'!$I$5="Yes",BB173="✓"),AND('Tasks Filter'!$I$5="No",BB173&lt;&gt;"✓")),OR('Tasks Filter'!$L$3="",AV173='Tasks Filter'!$L$3),OR('Tasks Filter'!$L$4="",AZ173='Tasks Filter'!$L$4),OR('Tasks Filter'!$L$5="",BC173='Tasks Filter'!$L$5),OR('Tasks Filter'!$O$3="",BD173='Tasks Filter'!$O$3),OR('Tasks Filter'!$O$4="Yes",BG173=0)),1,0))</f>
        <v/>
      </c>
      <c r="BJ173">
        <f>IF(BH173=0,"",IF('Tasks Filter'!$F$6="Descending",-1,1)*CHOOSE(MATCH('Tasks Filter'!$F$5,Lists!$G$2:$G$6,0),AW173,BF173,IFERROR(MATCH(AV173,Setup!$F$6:$F$15,0),99),IFERROR(MATCH(BC173,Setup!$H$6:$H$15,0),99),IFERROR(MATCH(AZ173,Setup!$J$6:$J$11,0),99))*1E+9+(AW173-40000)*10000+172)</f>
        <v/>
      </c>
      <c r="BK173">
        <f>IF(BI173=1,BJ173,"")</f>
        <v/>
      </c>
      <c r="BL173">
        <f>IF(AND(BH173=1,BG173=0,N(AW173)&lt;Setup!$D$7),(AW173-40000)*10000+172,"")</f>
        <v/>
      </c>
      <c r="BM173">
        <f>IF(AND(BH173=1,AZ173&lt;&gt;"Cancelled",N(AW173)&gt;=Dashboard!$AB$3,N(AW173)&lt;=Dashboard!$AB$3+6),(AW173-40000)*100000+BF173*10000+172,"")</f>
        <v/>
      </c>
      <c r="BN173">
        <f>IF(AND(BH173=1,AZ173&lt;&gt;"Cancelled"),BF173*10000+172,"")</f>
        <v/>
      </c>
    </row>
    <row r="174">
      <c r="A174">
        <f>Setup!$D$5+172</f>
        <v/>
      </c>
      <c r="B174">
        <f>IF('Recurring Schedule'!$C$6="","",IF('Recurring Schedule'!$F$6="","",IF(OR($A174&lt;'Recurring Schedule'!$F$6,$A174&gt;'Recurring Schedule'!$P$6),"",IF(IF('Recurring Schedule'!$N$6&gt;0,MOD($A174-'Recurring Schedule'!$F$6,'Recurring Schedule'!$N$6)=0,IF('Recurring Schedule'!$O$6&gt;0,AND(DAY($A174)=MIN(DAY('Recurring Schedule'!$F$6),DAY(EOMONTH($A174,0))),MOD((YEAR($A174)-YEAR('Recurring Schedule'!$F$6))*12+MONTH($A174)-MONTH('Recurring Schedule'!$F$6),'Recurring Schedule'!$O$6)=0),IF('Recurring Schedule'!$E$6="Weekdays",WEEKDAY($A174,2)&lt;=5,$A174='Recurring Schedule'!$F$6))),1,""))))</f>
        <v/>
      </c>
      <c r="C174">
        <f>IF('Recurring Schedule'!$C$7="","",IF('Recurring Schedule'!$F$7="","",IF(OR($A174&lt;'Recurring Schedule'!$F$7,$A174&gt;'Recurring Schedule'!$P$7),"",IF(IF('Recurring Schedule'!$N$7&gt;0,MOD($A174-'Recurring Schedule'!$F$7,'Recurring Schedule'!$N$7)=0,IF('Recurring Schedule'!$O$7&gt;0,AND(DAY($A174)=MIN(DAY('Recurring Schedule'!$F$7),DAY(EOMONTH($A174,0))),MOD((YEAR($A174)-YEAR('Recurring Schedule'!$F$7))*12+MONTH($A174)-MONTH('Recurring Schedule'!$F$7),'Recurring Schedule'!$O$7)=0),IF('Recurring Schedule'!$E$7="Weekdays",WEEKDAY($A174,2)&lt;=5,$A174='Recurring Schedule'!$F$7))),2,""))))</f>
        <v/>
      </c>
      <c r="D174">
        <f>IF('Recurring Schedule'!$C$8="","",IF('Recurring Schedule'!$F$8="","",IF(OR($A174&lt;'Recurring Schedule'!$F$8,$A174&gt;'Recurring Schedule'!$P$8),"",IF(IF('Recurring Schedule'!$N$8&gt;0,MOD($A174-'Recurring Schedule'!$F$8,'Recurring Schedule'!$N$8)=0,IF('Recurring Schedule'!$O$8&gt;0,AND(DAY($A174)=MIN(DAY('Recurring Schedule'!$F$8),DAY(EOMONTH($A174,0))),MOD((YEAR($A174)-YEAR('Recurring Schedule'!$F$8))*12+MONTH($A174)-MONTH('Recurring Schedule'!$F$8),'Recurring Schedule'!$O$8)=0),IF('Recurring Schedule'!$E$8="Weekdays",WEEKDAY($A174,2)&lt;=5,$A174='Recurring Schedule'!$F$8))),3,""))))</f>
        <v/>
      </c>
      <c r="E174">
        <f>IF('Recurring Schedule'!$C$9="","",IF('Recurring Schedule'!$F$9="","",IF(OR($A174&lt;'Recurring Schedule'!$F$9,$A174&gt;'Recurring Schedule'!$P$9),"",IF(IF('Recurring Schedule'!$N$9&gt;0,MOD($A174-'Recurring Schedule'!$F$9,'Recurring Schedule'!$N$9)=0,IF('Recurring Schedule'!$O$9&gt;0,AND(DAY($A174)=MIN(DAY('Recurring Schedule'!$F$9),DAY(EOMONTH($A174,0))),MOD((YEAR($A174)-YEAR('Recurring Schedule'!$F$9))*12+MONTH($A174)-MONTH('Recurring Schedule'!$F$9),'Recurring Schedule'!$O$9)=0),IF('Recurring Schedule'!$E$9="Weekdays",WEEKDAY($A174,2)&lt;=5,$A174='Recurring Schedule'!$F$9))),4,""))))</f>
        <v/>
      </c>
      <c r="F174">
        <f>IF('Recurring Schedule'!$C$10="","",IF('Recurring Schedule'!$F$10="","",IF(OR($A174&lt;'Recurring Schedule'!$F$10,$A174&gt;'Recurring Schedule'!$P$10),"",IF(IF('Recurring Schedule'!$N$10&gt;0,MOD($A174-'Recurring Schedule'!$F$10,'Recurring Schedule'!$N$10)=0,IF('Recurring Schedule'!$O$10&gt;0,AND(DAY($A174)=MIN(DAY('Recurring Schedule'!$F$10),DAY(EOMONTH($A174,0))),MOD((YEAR($A174)-YEAR('Recurring Schedule'!$F$10))*12+MONTH($A174)-MONTH('Recurring Schedule'!$F$10),'Recurring Schedule'!$O$10)=0),IF('Recurring Schedule'!$E$10="Weekdays",WEEKDAY($A174,2)&lt;=5,$A174='Recurring Schedule'!$F$10))),5,""))))</f>
        <v/>
      </c>
      <c r="G174">
        <f>IF('Recurring Schedule'!$C$11="","",IF('Recurring Schedule'!$F$11="","",IF(OR($A174&lt;'Recurring Schedule'!$F$11,$A174&gt;'Recurring Schedule'!$P$11),"",IF(IF('Recurring Schedule'!$N$11&gt;0,MOD($A174-'Recurring Schedule'!$F$11,'Recurring Schedule'!$N$11)=0,IF('Recurring Schedule'!$O$11&gt;0,AND(DAY($A174)=MIN(DAY('Recurring Schedule'!$F$11),DAY(EOMONTH($A174,0))),MOD((YEAR($A174)-YEAR('Recurring Schedule'!$F$11))*12+MONTH($A174)-MONTH('Recurring Schedule'!$F$11),'Recurring Schedule'!$O$11)=0),IF('Recurring Schedule'!$E$11="Weekdays",WEEKDAY($A174,2)&lt;=5,$A174='Recurring Schedule'!$F$11))),6,""))))</f>
        <v/>
      </c>
      <c r="H174">
        <f>IF('Recurring Schedule'!$C$12="","",IF('Recurring Schedule'!$F$12="","",IF(OR($A174&lt;'Recurring Schedule'!$F$12,$A174&gt;'Recurring Schedule'!$P$12),"",IF(IF('Recurring Schedule'!$N$12&gt;0,MOD($A174-'Recurring Schedule'!$F$12,'Recurring Schedule'!$N$12)=0,IF('Recurring Schedule'!$O$12&gt;0,AND(DAY($A174)=MIN(DAY('Recurring Schedule'!$F$12),DAY(EOMONTH($A174,0))),MOD((YEAR($A174)-YEAR('Recurring Schedule'!$F$12))*12+MONTH($A174)-MONTH('Recurring Schedule'!$F$12),'Recurring Schedule'!$O$12)=0),IF('Recurring Schedule'!$E$12="Weekdays",WEEKDAY($A174,2)&lt;=5,$A174='Recurring Schedule'!$F$12))),7,""))))</f>
        <v/>
      </c>
      <c r="I174">
        <f>IF('Recurring Schedule'!$C$13="","",IF('Recurring Schedule'!$F$13="","",IF(OR($A174&lt;'Recurring Schedule'!$F$13,$A174&gt;'Recurring Schedule'!$P$13),"",IF(IF('Recurring Schedule'!$N$13&gt;0,MOD($A174-'Recurring Schedule'!$F$13,'Recurring Schedule'!$N$13)=0,IF('Recurring Schedule'!$O$13&gt;0,AND(DAY($A174)=MIN(DAY('Recurring Schedule'!$F$13),DAY(EOMONTH($A174,0))),MOD((YEAR($A174)-YEAR('Recurring Schedule'!$F$13))*12+MONTH($A174)-MONTH('Recurring Schedule'!$F$13),'Recurring Schedule'!$O$13)=0),IF('Recurring Schedule'!$E$13="Weekdays",WEEKDAY($A174,2)&lt;=5,$A174='Recurring Schedule'!$F$13))),8,""))))</f>
        <v/>
      </c>
      <c r="J174">
        <f>IF('Recurring Schedule'!$C$14="","",IF('Recurring Schedule'!$F$14="","",IF(OR($A174&lt;'Recurring Schedule'!$F$14,$A174&gt;'Recurring Schedule'!$P$14),"",IF(IF('Recurring Schedule'!$N$14&gt;0,MOD($A174-'Recurring Schedule'!$F$14,'Recurring Schedule'!$N$14)=0,IF('Recurring Schedule'!$O$14&gt;0,AND(DAY($A174)=MIN(DAY('Recurring Schedule'!$F$14),DAY(EOMONTH($A174,0))),MOD((YEAR($A174)-YEAR('Recurring Schedule'!$F$14))*12+MONTH($A174)-MONTH('Recurring Schedule'!$F$14),'Recurring Schedule'!$O$14)=0),IF('Recurring Schedule'!$E$14="Weekdays",WEEKDAY($A174,2)&lt;=5,$A174='Recurring Schedule'!$F$14))),9,""))))</f>
        <v/>
      </c>
      <c r="K174">
        <f>IF('Recurring Schedule'!$C$15="","",IF('Recurring Schedule'!$F$15="","",IF(OR($A174&lt;'Recurring Schedule'!$F$15,$A174&gt;'Recurring Schedule'!$P$15),"",IF(IF('Recurring Schedule'!$N$15&gt;0,MOD($A174-'Recurring Schedule'!$F$15,'Recurring Schedule'!$N$15)=0,IF('Recurring Schedule'!$O$15&gt;0,AND(DAY($A174)=MIN(DAY('Recurring Schedule'!$F$15),DAY(EOMONTH($A174,0))),MOD((YEAR($A174)-YEAR('Recurring Schedule'!$F$15))*12+MONTH($A174)-MONTH('Recurring Schedule'!$F$15),'Recurring Schedule'!$O$15)=0),IF('Recurring Schedule'!$E$15="Weekdays",WEEKDAY($A174,2)&lt;=5,$A174='Recurring Schedule'!$F$15))),10,""))))</f>
        <v/>
      </c>
      <c r="L174">
        <f>IF('Recurring Schedule'!$C$16="","",IF('Recurring Schedule'!$F$16="","",IF(OR($A174&lt;'Recurring Schedule'!$F$16,$A174&gt;'Recurring Schedule'!$P$16),"",IF(IF('Recurring Schedule'!$N$16&gt;0,MOD($A174-'Recurring Schedule'!$F$16,'Recurring Schedule'!$N$16)=0,IF('Recurring Schedule'!$O$16&gt;0,AND(DAY($A174)=MIN(DAY('Recurring Schedule'!$F$16),DAY(EOMONTH($A174,0))),MOD((YEAR($A174)-YEAR('Recurring Schedule'!$F$16))*12+MONTH($A174)-MONTH('Recurring Schedule'!$F$16),'Recurring Schedule'!$O$16)=0),IF('Recurring Schedule'!$E$16="Weekdays",WEEKDAY($A174,2)&lt;=5,$A174='Recurring Schedule'!$F$16))),11,""))))</f>
        <v/>
      </c>
      <c r="M174">
        <f>IF('Recurring Schedule'!$C$17="","",IF('Recurring Schedule'!$F$17="","",IF(OR($A174&lt;'Recurring Schedule'!$F$17,$A174&gt;'Recurring Schedule'!$P$17),"",IF(IF('Recurring Schedule'!$N$17&gt;0,MOD($A174-'Recurring Schedule'!$F$17,'Recurring Schedule'!$N$17)=0,IF('Recurring Schedule'!$O$17&gt;0,AND(DAY($A174)=MIN(DAY('Recurring Schedule'!$F$17),DAY(EOMONTH($A174,0))),MOD((YEAR($A174)-YEAR('Recurring Schedule'!$F$17))*12+MONTH($A174)-MONTH('Recurring Schedule'!$F$17),'Recurring Schedule'!$O$17)=0),IF('Recurring Schedule'!$E$17="Weekdays",WEEKDAY($A174,2)&lt;=5,$A174='Recurring Schedule'!$F$17))),12,""))))</f>
        <v/>
      </c>
      <c r="N174">
        <f>IF('Recurring Schedule'!$C$18="","",IF('Recurring Schedule'!$F$18="","",IF(OR($A174&lt;'Recurring Schedule'!$F$18,$A174&gt;'Recurring Schedule'!$P$18),"",IF(IF('Recurring Schedule'!$N$18&gt;0,MOD($A174-'Recurring Schedule'!$F$18,'Recurring Schedule'!$N$18)=0,IF('Recurring Schedule'!$O$18&gt;0,AND(DAY($A174)=MIN(DAY('Recurring Schedule'!$F$18),DAY(EOMONTH($A174,0))),MOD((YEAR($A174)-YEAR('Recurring Schedule'!$F$18))*12+MONTH($A174)-MONTH('Recurring Schedule'!$F$18),'Recurring Schedule'!$O$18)=0),IF('Recurring Schedule'!$E$18="Weekdays",WEEKDAY($A174,2)&lt;=5,$A174='Recurring Schedule'!$F$18))),13,""))))</f>
        <v/>
      </c>
      <c r="O174">
        <f>IF('Recurring Schedule'!$C$19="","",IF('Recurring Schedule'!$F$19="","",IF(OR($A174&lt;'Recurring Schedule'!$F$19,$A174&gt;'Recurring Schedule'!$P$19),"",IF(IF('Recurring Schedule'!$N$19&gt;0,MOD($A174-'Recurring Schedule'!$F$19,'Recurring Schedule'!$N$19)=0,IF('Recurring Schedule'!$O$19&gt;0,AND(DAY($A174)=MIN(DAY('Recurring Schedule'!$F$19),DAY(EOMONTH($A174,0))),MOD((YEAR($A174)-YEAR('Recurring Schedule'!$F$19))*12+MONTH($A174)-MONTH('Recurring Schedule'!$F$19),'Recurring Schedule'!$O$19)=0),IF('Recurring Schedule'!$E$19="Weekdays",WEEKDAY($A174,2)&lt;=5,$A174='Recurring Schedule'!$F$19))),14,""))))</f>
        <v/>
      </c>
      <c r="P174">
        <f>IF('Recurring Schedule'!$C$20="","",IF('Recurring Schedule'!$F$20="","",IF(OR($A174&lt;'Recurring Schedule'!$F$20,$A174&gt;'Recurring Schedule'!$P$20),"",IF(IF('Recurring Schedule'!$N$20&gt;0,MOD($A174-'Recurring Schedule'!$F$20,'Recurring Schedule'!$N$20)=0,IF('Recurring Schedule'!$O$20&gt;0,AND(DAY($A174)=MIN(DAY('Recurring Schedule'!$F$20),DAY(EOMONTH($A174,0))),MOD((YEAR($A174)-YEAR('Recurring Schedule'!$F$20))*12+MONTH($A174)-MONTH('Recurring Schedule'!$F$20),'Recurring Schedule'!$O$20)=0),IF('Recurring Schedule'!$E$20="Weekdays",WEEKDAY($A174,2)&lt;=5,$A174='Recurring Schedule'!$F$20))),15,""))))</f>
        <v/>
      </c>
      <c r="Q174">
        <f>IF('Recurring Schedule'!$C$21="","",IF('Recurring Schedule'!$F$21="","",IF(OR($A174&lt;'Recurring Schedule'!$F$21,$A174&gt;'Recurring Schedule'!$P$21),"",IF(IF('Recurring Schedule'!$N$21&gt;0,MOD($A174-'Recurring Schedule'!$F$21,'Recurring Schedule'!$N$21)=0,IF('Recurring Schedule'!$O$21&gt;0,AND(DAY($A174)=MIN(DAY('Recurring Schedule'!$F$21),DAY(EOMONTH($A174,0))),MOD((YEAR($A174)-YEAR('Recurring Schedule'!$F$21))*12+MONTH($A174)-MONTH('Recurring Schedule'!$F$21),'Recurring Schedule'!$O$21)=0),IF('Recurring Schedule'!$E$21="Weekdays",WEEKDAY($A174,2)&lt;=5,$A174='Recurring Schedule'!$F$21))),16,""))))</f>
        <v/>
      </c>
      <c r="R174">
        <f>IF('Recurring Schedule'!$C$22="","",IF('Recurring Schedule'!$F$22="","",IF(OR($A174&lt;'Recurring Schedule'!$F$22,$A174&gt;'Recurring Schedule'!$P$22),"",IF(IF('Recurring Schedule'!$N$22&gt;0,MOD($A174-'Recurring Schedule'!$F$22,'Recurring Schedule'!$N$22)=0,IF('Recurring Schedule'!$O$22&gt;0,AND(DAY($A174)=MIN(DAY('Recurring Schedule'!$F$22),DAY(EOMONTH($A174,0))),MOD((YEAR($A174)-YEAR('Recurring Schedule'!$F$22))*12+MONTH($A174)-MONTH('Recurring Schedule'!$F$22),'Recurring Schedule'!$O$22)=0),IF('Recurring Schedule'!$E$22="Weekdays",WEEKDAY($A174,2)&lt;=5,$A174='Recurring Schedule'!$F$22))),17,""))))</f>
        <v/>
      </c>
      <c r="S174">
        <f>IF('Recurring Schedule'!$C$23="","",IF('Recurring Schedule'!$F$23="","",IF(OR($A174&lt;'Recurring Schedule'!$F$23,$A174&gt;'Recurring Schedule'!$P$23),"",IF(IF('Recurring Schedule'!$N$23&gt;0,MOD($A174-'Recurring Schedule'!$F$23,'Recurring Schedule'!$N$23)=0,IF('Recurring Schedule'!$O$23&gt;0,AND(DAY($A174)=MIN(DAY('Recurring Schedule'!$F$23),DAY(EOMONTH($A174,0))),MOD((YEAR($A174)-YEAR('Recurring Schedule'!$F$23))*12+MONTH($A174)-MONTH('Recurring Schedule'!$F$23),'Recurring Schedule'!$O$23)=0),IF('Recurring Schedule'!$E$23="Weekdays",WEEKDAY($A174,2)&lt;=5,$A174='Recurring Schedule'!$F$23))),18,""))))</f>
        <v/>
      </c>
      <c r="T174">
        <f>IF('Recurring Schedule'!$C$24="","",IF('Recurring Schedule'!$F$24="","",IF(OR($A174&lt;'Recurring Schedule'!$F$24,$A174&gt;'Recurring Schedule'!$P$24),"",IF(IF('Recurring Schedule'!$N$24&gt;0,MOD($A174-'Recurring Schedule'!$F$24,'Recurring Schedule'!$N$24)=0,IF('Recurring Schedule'!$O$24&gt;0,AND(DAY($A174)=MIN(DAY('Recurring Schedule'!$F$24),DAY(EOMONTH($A174,0))),MOD((YEAR($A174)-YEAR('Recurring Schedule'!$F$24))*12+MONTH($A174)-MONTH('Recurring Schedule'!$F$24),'Recurring Schedule'!$O$24)=0),IF('Recurring Schedule'!$E$24="Weekdays",WEEKDAY($A174,2)&lt;=5,$A174='Recurring Schedule'!$F$24))),19,""))))</f>
        <v/>
      </c>
      <c r="U174">
        <f>IF('Recurring Schedule'!$C$25="","",IF('Recurring Schedule'!$F$25="","",IF(OR($A174&lt;'Recurring Schedule'!$F$25,$A174&gt;'Recurring Schedule'!$P$25),"",IF(IF('Recurring Schedule'!$N$25&gt;0,MOD($A174-'Recurring Schedule'!$F$25,'Recurring Schedule'!$N$25)=0,IF('Recurring Schedule'!$O$25&gt;0,AND(DAY($A174)=MIN(DAY('Recurring Schedule'!$F$25),DAY(EOMONTH($A174,0))),MOD((YEAR($A174)-YEAR('Recurring Schedule'!$F$25))*12+MONTH($A174)-MONTH('Recurring Schedule'!$F$25),'Recurring Schedule'!$O$25)=0),IF('Recurring Schedule'!$E$25="Weekdays",WEEKDAY($A174,2)&lt;=5,$A174='Recurring Schedule'!$F$25))),20,""))))</f>
        <v/>
      </c>
      <c r="V174">
        <f>IF('Recurring Schedule'!$C$26="","",IF('Recurring Schedule'!$F$26="","",IF(OR($A174&lt;'Recurring Schedule'!$F$26,$A174&gt;'Recurring Schedule'!$P$26),"",IF(IF('Recurring Schedule'!$N$26&gt;0,MOD($A174-'Recurring Schedule'!$F$26,'Recurring Schedule'!$N$26)=0,IF('Recurring Schedule'!$O$26&gt;0,AND(DAY($A174)=MIN(DAY('Recurring Schedule'!$F$26),DAY(EOMONTH($A174,0))),MOD((YEAR($A174)-YEAR('Recurring Schedule'!$F$26))*12+MONTH($A174)-MONTH('Recurring Schedule'!$F$26),'Recurring Schedule'!$O$26)=0),IF('Recurring Schedule'!$E$26="Weekdays",WEEKDAY($A174,2)&lt;=5,$A174='Recurring Schedule'!$F$26))),21,""))))</f>
        <v/>
      </c>
      <c r="W174">
        <f>IF('Recurring Schedule'!$C$27="","",IF('Recurring Schedule'!$F$27="","",IF(OR($A174&lt;'Recurring Schedule'!$F$27,$A174&gt;'Recurring Schedule'!$P$27),"",IF(IF('Recurring Schedule'!$N$27&gt;0,MOD($A174-'Recurring Schedule'!$F$27,'Recurring Schedule'!$N$27)=0,IF('Recurring Schedule'!$O$27&gt;0,AND(DAY($A174)=MIN(DAY('Recurring Schedule'!$F$27),DAY(EOMONTH($A174,0))),MOD((YEAR($A174)-YEAR('Recurring Schedule'!$F$27))*12+MONTH($A174)-MONTH('Recurring Schedule'!$F$27),'Recurring Schedule'!$O$27)=0),IF('Recurring Schedule'!$E$27="Weekdays",WEEKDAY($A174,2)&lt;=5,$A174='Recurring Schedule'!$F$27))),22,""))))</f>
        <v/>
      </c>
      <c r="X174">
        <f>IF('Recurring Schedule'!$C$28="","",IF('Recurring Schedule'!$F$28="","",IF(OR($A174&lt;'Recurring Schedule'!$F$28,$A174&gt;'Recurring Schedule'!$P$28),"",IF(IF('Recurring Schedule'!$N$28&gt;0,MOD($A174-'Recurring Schedule'!$F$28,'Recurring Schedule'!$N$28)=0,IF('Recurring Schedule'!$O$28&gt;0,AND(DAY($A174)=MIN(DAY('Recurring Schedule'!$F$28),DAY(EOMONTH($A174,0))),MOD((YEAR($A174)-YEAR('Recurring Schedule'!$F$28))*12+MONTH($A174)-MONTH('Recurring Schedule'!$F$28),'Recurring Schedule'!$O$28)=0),IF('Recurring Schedule'!$E$28="Weekdays",WEEKDAY($A174,2)&lt;=5,$A174='Recurring Schedule'!$F$28))),23,""))))</f>
        <v/>
      </c>
      <c r="Y174">
        <f>IF('Recurring Schedule'!$C$29="","",IF('Recurring Schedule'!$F$29="","",IF(OR($A174&lt;'Recurring Schedule'!$F$29,$A174&gt;'Recurring Schedule'!$P$29),"",IF(IF('Recurring Schedule'!$N$29&gt;0,MOD($A174-'Recurring Schedule'!$F$29,'Recurring Schedule'!$N$29)=0,IF('Recurring Schedule'!$O$29&gt;0,AND(DAY($A174)=MIN(DAY('Recurring Schedule'!$F$29),DAY(EOMONTH($A174,0))),MOD((YEAR($A174)-YEAR('Recurring Schedule'!$F$29))*12+MONTH($A174)-MONTH('Recurring Schedule'!$F$29),'Recurring Schedule'!$O$29)=0),IF('Recurring Schedule'!$E$29="Weekdays",WEEKDAY($A174,2)&lt;=5,$A174='Recurring Schedule'!$F$29))),24,""))))</f>
        <v/>
      </c>
      <c r="Z174">
        <f>IF('Recurring Schedule'!$C$30="","",IF('Recurring Schedule'!$F$30="","",IF(OR($A174&lt;'Recurring Schedule'!$F$30,$A174&gt;'Recurring Schedule'!$P$30),"",IF(IF('Recurring Schedule'!$N$30&gt;0,MOD($A174-'Recurring Schedule'!$F$30,'Recurring Schedule'!$N$30)=0,IF('Recurring Schedule'!$O$30&gt;0,AND(DAY($A174)=MIN(DAY('Recurring Schedule'!$F$30),DAY(EOMONTH($A174,0))),MOD((YEAR($A174)-YEAR('Recurring Schedule'!$F$30))*12+MONTH($A174)-MONTH('Recurring Schedule'!$F$30),'Recurring Schedule'!$O$30)=0),IF('Recurring Schedule'!$E$30="Weekdays",WEEKDAY($A174,2)&lt;=5,$A174='Recurring Schedule'!$F$30))),25,""))))</f>
        <v/>
      </c>
      <c r="AA174">
        <f>IF('Recurring Schedule'!$C$31="","",IF('Recurring Schedule'!$F$31="","",IF(OR($A174&lt;'Recurring Schedule'!$F$31,$A174&gt;'Recurring Schedule'!$P$31),"",IF(IF('Recurring Schedule'!$N$31&gt;0,MOD($A174-'Recurring Schedule'!$F$31,'Recurring Schedule'!$N$31)=0,IF('Recurring Schedule'!$O$31&gt;0,AND(DAY($A174)=MIN(DAY('Recurring Schedule'!$F$31),DAY(EOMONTH($A174,0))),MOD((YEAR($A174)-YEAR('Recurring Schedule'!$F$31))*12+MONTH($A174)-MONTH('Recurring Schedule'!$F$31),'Recurring Schedule'!$O$31)=0),IF('Recurring Schedule'!$E$31="Weekdays",WEEKDAY($A174,2)&lt;=5,$A174='Recurring Schedule'!$F$31))),26,""))))</f>
        <v/>
      </c>
      <c r="AB174">
        <f>IF('Recurring Schedule'!$C$32="","",IF('Recurring Schedule'!$F$32="","",IF(OR($A174&lt;'Recurring Schedule'!$F$32,$A174&gt;'Recurring Schedule'!$P$32),"",IF(IF('Recurring Schedule'!$N$32&gt;0,MOD($A174-'Recurring Schedule'!$F$32,'Recurring Schedule'!$N$32)=0,IF('Recurring Schedule'!$O$32&gt;0,AND(DAY($A174)=MIN(DAY('Recurring Schedule'!$F$32),DAY(EOMONTH($A174,0))),MOD((YEAR($A174)-YEAR('Recurring Schedule'!$F$32))*12+MONTH($A174)-MONTH('Recurring Schedule'!$F$32),'Recurring Schedule'!$O$32)=0),IF('Recurring Schedule'!$E$32="Weekdays",WEEKDAY($A174,2)&lt;=5,$A174='Recurring Schedule'!$F$32))),27,""))))</f>
        <v/>
      </c>
      <c r="AC174">
        <f>IF('Recurring Schedule'!$C$33="","",IF('Recurring Schedule'!$F$33="","",IF(OR($A174&lt;'Recurring Schedule'!$F$33,$A174&gt;'Recurring Schedule'!$P$33),"",IF(IF('Recurring Schedule'!$N$33&gt;0,MOD($A174-'Recurring Schedule'!$F$33,'Recurring Schedule'!$N$33)=0,IF('Recurring Schedule'!$O$33&gt;0,AND(DAY($A174)=MIN(DAY('Recurring Schedule'!$F$33),DAY(EOMONTH($A174,0))),MOD((YEAR($A174)-YEAR('Recurring Schedule'!$F$33))*12+MONTH($A174)-MONTH('Recurring Schedule'!$F$33),'Recurring Schedule'!$O$33)=0),IF('Recurring Schedule'!$E$33="Weekdays",WEEKDAY($A174,2)&lt;=5,$A174='Recurring Schedule'!$F$33))),28,""))))</f>
        <v/>
      </c>
      <c r="AD174">
        <f>IF('Recurring Schedule'!$C$34="","",IF('Recurring Schedule'!$F$34="","",IF(OR($A174&lt;'Recurring Schedule'!$F$34,$A174&gt;'Recurring Schedule'!$P$34),"",IF(IF('Recurring Schedule'!$N$34&gt;0,MOD($A174-'Recurring Schedule'!$F$34,'Recurring Schedule'!$N$34)=0,IF('Recurring Schedule'!$O$34&gt;0,AND(DAY($A174)=MIN(DAY('Recurring Schedule'!$F$34),DAY(EOMONTH($A174,0))),MOD((YEAR($A174)-YEAR('Recurring Schedule'!$F$34))*12+MONTH($A174)-MONTH('Recurring Schedule'!$F$34),'Recurring Schedule'!$O$34)=0),IF('Recurring Schedule'!$E$34="Weekdays",WEEKDAY($A174,2)&lt;=5,$A174='Recurring Schedule'!$F$34))),29,""))))</f>
        <v/>
      </c>
      <c r="AE174">
        <f>IF('Recurring Schedule'!$C$35="","",IF('Recurring Schedule'!$F$35="","",IF(OR($A174&lt;'Recurring Schedule'!$F$35,$A174&gt;'Recurring Schedule'!$P$35),"",IF(IF('Recurring Schedule'!$N$35&gt;0,MOD($A174-'Recurring Schedule'!$F$35,'Recurring Schedule'!$N$35)=0,IF('Recurring Schedule'!$O$35&gt;0,AND(DAY($A174)=MIN(DAY('Recurring Schedule'!$F$35),DAY(EOMONTH($A174,0))),MOD((YEAR($A174)-YEAR('Recurring Schedule'!$F$35))*12+MONTH($A174)-MONTH('Recurring Schedule'!$F$35),'Recurring Schedule'!$O$35)=0),IF('Recurring Schedule'!$E$35="Weekdays",WEEKDAY($A174,2)&lt;=5,$A174='Recurring Schedule'!$F$35))),30,""))))</f>
        <v/>
      </c>
      <c r="AF174">
        <f>IF('Recurring Schedule'!$C$36="","",IF('Recurring Schedule'!$F$36="","",IF(OR($A174&lt;'Recurring Schedule'!$F$36,$A174&gt;'Recurring Schedule'!$P$36),"",IF(IF('Recurring Schedule'!$N$36&gt;0,MOD($A174-'Recurring Schedule'!$F$36,'Recurring Schedule'!$N$36)=0,IF('Recurring Schedule'!$O$36&gt;0,AND(DAY($A174)=MIN(DAY('Recurring Schedule'!$F$36),DAY(EOMONTH($A174,0))),MOD((YEAR($A174)-YEAR('Recurring Schedule'!$F$36))*12+MONTH($A174)-MONTH('Recurring Schedule'!$F$36),'Recurring Schedule'!$O$36)=0),IF('Recurring Schedule'!$E$36="Weekdays",WEEKDAY($A174,2)&lt;=5,$A174='Recurring Schedule'!$F$36))),31,""))))</f>
        <v/>
      </c>
      <c r="AG174">
        <f>IF('Recurring Schedule'!$C$37="","",IF('Recurring Schedule'!$F$37="","",IF(OR($A174&lt;'Recurring Schedule'!$F$37,$A174&gt;'Recurring Schedule'!$P$37),"",IF(IF('Recurring Schedule'!$N$37&gt;0,MOD($A174-'Recurring Schedule'!$F$37,'Recurring Schedule'!$N$37)=0,IF('Recurring Schedule'!$O$37&gt;0,AND(DAY($A174)=MIN(DAY('Recurring Schedule'!$F$37),DAY(EOMONTH($A174,0))),MOD((YEAR($A174)-YEAR('Recurring Schedule'!$F$37))*12+MONTH($A174)-MONTH('Recurring Schedule'!$F$37),'Recurring Schedule'!$O$37)=0),IF('Recurring Schedule'!$E$37="Weekdays",WEEKDAY($A174,2)&lt;=5,$A174='Recurring Schedule'!$F$37))),32,""))))</f>
        <v/>
      </c>
      <c r="AH174">
        <f>IF('Recurring Schedule'!$C$38="","",IF('Recurring Schedule'!$F$38="","",IF(OR($A174&lt;'Recurring Schedule'!$F$38,$A174&gt;'Recurring Schedule'!$P$38),"",IF(IF('Recurring Schedule'!$N$38&gt;0,MOD($A174-'Recurring Schedule'!$F$38,'Recurring Schedule'!$N$38)=0,IF('Recurring Schedule'!$O$38&gt;0,AND(DAY($A174)=MIN(DAY('Recurring Schedule'!$F$38),DAY(EOMONTH($A174,0))),MOD((YEAR($A174)-YEAR('Recurring Schedule'!$F$38))*12+MONTH($A174)-MONTH('Recurring Schedule'!$F$38),'Recurring Schedule'!$O$38)=0),IF('Recurring Schedule'!$E$38="Weekdays",WEEKDAY($A174,2)&lt;=5,$A174='Recurring Schedule'!$F$38))),33,""))))</f>
        <v/>
      </c>
      <c r="AI174">
        <f>IF('Recurring Schedule'!$C$39="","",IF('Recurring Schedule'!$F$39="","",IF(OR($A174&lt;'Recurring Schedule'!$F$39,$A174&gt;'Recurring Schedule'!$P$39),"",IF(IF('Recurring Schedule'!$N$39&gt;0,MOD($A174-'Recurring Schedule'!$F$39,'Recurring Schedule'!$N$39)=0,IF('Recurring Schedule'!$O$39&gt;0,AND(DAY($A174)=MIN(DAY('Recurring Schedule'!$F$39),DAY(EOMONTH($A174,0))),MOD((YEAR($A174)-YEAR('Recurring Schedule'!$F$39))*12+MONTH($A174)-MONTH('Recurring Schedule'!$F$39),'Recurring Schedule'!$O$39)=0),IF('Recurring Schedule'!$E$39="Weekdays",WEEKDAY($A174,2)&lt;=5,$A174='Recurring Schedule'!$F$39))),34,""))))</f>
        <v/>
      </c>
      <c r="AJ174">
        <f>IF('Recurring Schedule'!$C$40="","",IF('Recurring Schedule'!$F$40="","",IF(OR($A174&lt;'Recurring Schedule'!$F$40,$A174&gt;'Recurring Schedule'!$P$40),"",IF(IF('Recurring Schedule'!$N$40&gt;0,MOD($A174-'Recurring Schedule'!$F$40,'Recurring Schedule'!$N$40)=0,IF('Recurring Schedule'!$O$40&gt;0,AND(DAY($A174)=MIN(DAY('Recurring Schedule'!$F$40),DAY(EOMONTH($A174,0))),MOD((YEAR($A174)-YEAR('Recurring Schedule'!$F$40))*12+MONTH($A174)-MONTH('Recurring Schedule'!$F$40),'Recurring Schedule'!$O$40)=0),IF('Recurring Schedule'!$E$40="Weekdays",WEEKDAY($A174,2)&lt;=5,$A174='Recurring Schedule'!$F$40))),35,""))))</f>
        <v/>
      </c>
      <c r="AK174">
        <f>IF('Recurring Schedule'!$C$41="","",IF('Recurring Schedule'!$F$41="","",IF(OR($A174&lt;'Recurring Schedule'!$F$41,$A174&gt;'Recurring Schedule'!$P$41),"",IF(IF('Recurring Schedule'!$N$41&gt;0,MOD($A174-'Recurring Schedule'!$F$41,'Recurring Schedule'!$N$41)=0,IF('Recurring Schedule'!$O$41&gt;0,AND(DAY($A174)=MIN(DAY('Recurring Schedule'!$F$41),DAY(EOMONTH($A174,0))),MOD((YEAR($A174)-YEAR('Recurring Schedule'!$F$41))*12+MONTH($A174)-MONTH('Recurring Schedule'!$F$41),'Recurring Schedule'!$O$41)=0),IF('Recurring Schedule'!$E$41="Weekdays",WEEKDAY($A174,2)&lt;=5,$A174='Recurring Schedule'!$F$41))),36,""))))</f>
        <v/>
      </c>
      <c r="AL174">
        <f>IF('Recurring Schedule'!$C$42="","",IF('Recurring Schedule'!$F$42="","",IF(OR($A174&lt;'Recurring Schedule'!$F$42,$A174&gt;'Recurring Schedule'!$P$42),"",IF(IF('Recurring Schedule'!$N$42&gt;0,MOD($A174-'Recurring Schedule'!$F$42,'Recurring Schedule'!$N$42)=0,IF('Recurring Schedule'!$O$42&gt;0,AND(DAY($A174)=MIN(DAY('Recurring Schedule'!$F$42),DAY(EOMONTH($A174,0))),MOD((YEAR($A174)-YEAR('Recurring Schedule'!$F$42))*12+MONTH($A174)-MONTH('Recurring Schedule'!$F$42),'Recurring Schedule'!$O$42)=0),IF('Recurring Schedule'!$E$42="Weekdays",WEEKDAY($A174,2)&lt;=5,$A174='Recurring Schedule'!$F$42))),37,""))))</f>
        <v/>
      </c>
      <c r="AM174">
        <f>IF('Recurring Schedule'!$C$43="","",IF('Recurring Schedule'!$F$43="","",IF(OR($A174&lt;'Recurring Schedule'!$F$43,$A174&gt;'Recurring Schedule'!$P$43),"",IF(IF('Recurring Schedule'!$N$43&gt;0,MOD($A174-'Recurring Schedule'!$F$43,'Recurring Schedule'!$N$43)=0,IF('Recurring Schedule'!$O$43&gt;0,AND(DAY($A174)=MIN(DAY('Recurring Schedule'!$F$43),DAY(EOMONTH($A174,0))),MOD((YEAR($A174)-YEAR('Recurring Schedule'!$F$43))*12+MONTH($A174)-MONTH('Recurring Schedule'!$F$43),'Recurring Schedule'!$O$43)=0),IF('Recurring Schedule'!$E$43="Weekdays",WEEKDAY($A174,2)&lt;=5,$A174='Recurring Schedule'!$F$43))),38,""))))</f>
        <v/>
      </c>
      <c r="AN174">
        <f>IF('Recurring Schedule'!$C$44="","",IF('Recurring Schedule'!$F$44="","",IF(OR($A174&lt;'Recurring Schedule'!$F$44,$A174&gt;'Recurring Schedule'!$P$44),"",IF(IF('Recurring Schedule'!$N$44&gt;0,MOD($A174-'Recurring Schedule'!$F$44,'Recurring Schedule'!$N$44)=0,IF('Recurring Schedule'!$O$44&gt;0,AND(DAY($A174)=MIN(DAY('Recurring Schedule'!$F$44),DAY(EOMONTH($A174,0))),MOD((YEAR($A174)-YEAR('Recurring Schedule'!$F$44))*12+MONTH($A174)-MONTH('Recurring Schedule'!$F$44),'Recurring Schedule'!$O$44)=0),IF('Recurring Schedule'!$E$44="Weekdays",WEEKDAY($A174,2)&lt;=5,$A174='Recurring Schedule'!$F$44))),39,""))))</f>
        <v/>
      </c>
      <c r="AO174">
        <f>IF('Recurring Schedule'!$C$45="","",IF('Recurring Schedule'!$F$45="","",IF(OR($A174&lt;'Recurring Schedule'!$F$45,$A174&gt;'Recurring Schedule'!$P$45),"",IF(IF('Recurring Schedule'!$N$45&gt;0,MOD($A174-'Recurring Schedule'!$F$45,'Recurring Schedule'!$N$45)=0,IF('Recurring Schedule'!$O$45&gt;0,AND(DAY($A174)=MIN(DAY('Recurring Schedule'!$F$45),DAY(EOMONTH($A174,0))),MOD((YEAR($A174)-YEAR('Recurring Schedule'!$F$45))*12+MONTH($A174)-MONTH('Recurring Schedule'!$F$45),'Recurring Schedule'!$O$45)=0),IF('Recurring Schedule'!$E$45="Weekdays",WEEKDAY($A174,2)&lt;=5,$A174='Recurring Schedule'!$F$45))),40,""))))</f>
        <v/>
      </c>
      <c r="AP174">
        <f>COUNT(B174:AO174)</f>
        <v/>
      </c>
      <c r="AQ174">
        <f>AQ173+AP173</f>
        <v/>
      </c>
      <c r="AS174" t="inlineStr">
        <is>
          <t>R</t>
        </is>
      </c>
      <c r="AT174" t="n">
        <v>178</v>
      </c>
      <c r="AU174">
        <f>'Recurring Log'!C178&amp;""</f>
        <v/>
      </c>
      <c r="AV174">
        <f>'Recurring Log'!D178&amp;""</f>
        <v/>
      </c>
      <c r="AW174">
        <f>IF('Recurring Log'!E178="","",'Recurring Log'!E178)</f>
        <v/>
      </c>
      <c r="AX174">
        <f>IF('Recurring Log'!G178="","",'Recurring Log'!G178)</f>
        <v/>
      </c>
      <c r="AY174">
        <f>IF('Recurring Log'!H178="","",'Recurring Log'!H178)</f>
        <v/>
      </c>
      <c r="AZ174">
        <f>IF(AU174="","",IF('Recurring Log'!J178="","Not Started",'Recurring Log'!J178))</f>
        <v/>
      </c>
      <c r="BA174">
        <f>'Recurring Log'!L178&amp;""</f>
        <v/>
      </c>
      <c r="BB174">
        <f>'Recurring Log'!M178&amp;""</f>
        <v/>
      </c>
      <c r="BC174">
        <f>'Recurring Log'!N178&amp;""</f>
        <v/>
      </c>
      <c r="BD174">
        <f>'Recurring Log'!O178&amp;""</f>
        <v/>
      </c>
      <c r="BE174">
        <f>IF('Recurring Log'!K178="","",'Recurring Log'!K178)</f>
        <v/>
      </c>
      <c r="BF174">
        <f>IFERROR(MATCH(BA174,Setup!$L$6:$L$9,0),5)</f>
        <v/>
      </c>
      <c r="BG174">
        <f>IF(OR(AZ174="Done",AZ174="Cancelled"),1,0)</f>
        <v/>
      </c>
      <c r="BH174">
        <f>IF(AND(AU174&lt;&gt;"",ISNUMBER(AW174)),1,0)</f>
        <v/>
      </c>
      <c r="BI174">
        <f>IF(BH174=0,0,IF(AND(AW174&gt;='Tasks Filter'!$F$3,AW174&lt;='Tasks Filter'!$F$4,OR('Tasks Filter'!$I$3="",ISNUMBER(SEARCH('Tasks Filter'!$I$3,AU174))),OR('Tasks Filter'!$I$4="",BF174=IFERROR(MATCH('Tasks Filter'!$I$4,Setup!$L$6:$L$9,0),0)),OR('Tasks Filter'!$I$5="Both",AND('Tasks Filter'!$I$5="Yes",BB174="✓"),AND('Tasks Filter'!$I$5="No",BB174&lt;&gt;"✓")),OR('Tasks Filter'!$L$3="",AV174='Tasks Filter'!$L$3),OR('Tasks Filter'!$L$4="",AZ174='Tasks Filter'!$L$4),OR('Tasks Filter'!$L$5="",BC174='Tasks Filter'!$L$5),OR('Tasks Filter'!$O$3="",BD174='Tasks Filter'!$O$3),OR('Tasks Filter'!$O$4="Yes",BG174=0)),1,0))</f>
        <v/>
      </c>
      <c r="BJ174">
        <f>IF(BH174=0,"",IF('Tasks Filter'!$F$6="Descending",-1,1)*CHOOSE(MATCH('Tasks Filter'!$F$5,Lists!$G$2:$G$6,0),AW174,BF174,IFERROR(MATCH(AV174,Setup!$F$6:$F$15,0),99),IFERROR(MATCH(BC174,Setup!$H$6:$H$15,0),99),IFERROR(MATCH(AZ174,Setup!$J$6:$J$11,0),99))*1E+9+(AW174-40000)*10000+173)</f>
        <v/>
      </c>
      <c r="BK174">
        <f>IF(BI174=1,BJ174,"")</f>
        <v/>
      </c>
      <c r="BL174">
        <f>IF(AND(BH174=1,BG174=0,N(AW174)&lt;Setup!$D$7),(AW174-40000)*10000+173,"")</f>
        <v/>
      </c>
      <c r="BM174">
        <f>IF(AND(BH174=1,AZ174&lt;&gt;"Cancelled",N(AW174)&gt;=Dashboard!$AB$3,N(AW174)&lt;=Dashboard!$AB$3+6),(AW174-40000)*100000+BF174*10000+173,"")</f>
        <v/>
      </c>
      <c r="BN174">
        <f>IF(AND(BH174=1,AZ174&lt;&gt;"Cancelled"),BF174*10000+173,"")</f>
        <v/>
      </c>
    </row>
    <row r="175">
      <c r="A175">
        <f>Setup!$D$5+173</f>
        <v/>
      </c>
      <c r="B175">
        <f>IF('Recurring Schedule'!$C$6="","",IF('Recurring Schedule'!$F$6="","",IF(OR($A175&lt;'Recurring Schedule'!$F$6,$A175&gt;'Recurring Schedule'!$P$6),"",IF(IF('Recurring Schedule'!$N$6&gt;0,MOD($A175-'Recurring Schedule'!$F$6,'Recurring Schedule'!$N$6)=0,IF('Recurring Schedule'!$O$6&gt;0,AND(DAY($A175)=MIN(DAY('Recurring Schedule'!$F$6),DAY(EOMONTH($A175,0))),MOD((YEAR($A175)-YEAR('Recurring Schedule'!$F$6))*12+MONTH($A175)-MONTH('Recurring Schedule'!$F$6),'Recurring Schedule'!$O$6)=0),IF('Recurring Schedule'!$E$6="Weekdays",WEEKDAY($A175,2)&lt;=5,$A175='Recurring Schedule'!$F$6))),1,""))))</f>
        <v/>
      </c>
      <c r="C175">
        <f>IF('Recurring Schedule'!$C$7="","",IF('Recurring Schedule'!$F$7="","",IF(OR($A175&lt;'Recurring Schedule'!$F$7,$A175&gt;'Recurring Schedule'!$P$7),"",IF(IF('Recurring Schedule'!$N$7&gt;0,MOD($A175-'Recurring Schedule'!$F$7,'Recurring Schedule'!$N$7)=0,IF('Recurring Schedule'!$O$7&gt;0,AND(DAY($A175)=MIN(DAY('Recurring Schedule'!$F$7),DAY(EOMONTH($A175,0))),MOD((YEAR($A175)-YEAR('Recurring Schedule'!$F$7))*12+MONTH($A175)-MONTH('Recurring Schedule'!$F$7),'Recurring Schedule'!$O$7)=0),IF('Recurring Schedule'!$E$7="Weekdays",WEEKDAY($A175,2)&lt;=5,$A175='Recurring Schedule'!$F$7))),2,""))))</f>
        <v/>
      </c>
      <c r="D175">
        <f>IF('Recurring Schedule'!$C$8="","",IF('Recurring Schedule'!$F$8="","",IF(OR($A175&lt;'Recurring Schedule'!$F$8,$A175&gt;'Recurring Schedule'!$P$8),"",IF(IF('Recurring Schedule'!$N$8&gt;0,MOD($A175-'Recurring Schedule'!$F$8,'Recurring Schedule'!$N$8)=0,IF('Recurring Schedule'!$O$8&gt;0,AND(DAY($A175)=MIN(DAY('Recurring Schedule'!$F$8),DAY(EOMONTH($A175,0))),MOD((YEAR($A175)-YEAR('Recurring Schedule'!$F$8))*12+MONTH($A175)-MONTH('Recurring Schedule'!$F$8),'Recurring Schedule'!$O$8)=0),IF('Recurring Schedule'!$E$8="Weekdays",WEEKDAY($A175,2)&lt;=5,$A175='Recurring Schedule'!$F$8))),3,""))))</f>
        <v/>
      </c>
      <c r="E175">
        <f>IF('Recurring Schedule'!$C$9="","",IF('Recurring Schedule'!$F$9="","",IF(OR($A175&lt;'Recurring Schedule'!$F$9,$A175&gt;'Recurring Schedule'!$P$9),"",IF(IF('Recurring Schedule'!$N$9&gt;0,MOD($A175-'Recurring Schedule'!$F$9,'Recurring Schedule'!$N$9)=0,IF('Recurring Schedule'!$O$9&gt;0,AND(DAY($A175)=MIN(DAY('Recurring Schedule'!$F$9),DAY(EOMONTH($A175,0))),MOD((YEAR($A175)-YEAR('Recurring Schedule'!$F$9))*12+MONTH($A175)-MONTH('Recurring Schedule'!$F$9),'Recurring Schedule'!$O$9)=0),IF('Recurring Schedule'!$E$9="Weekdays",WEEKDAY($A175,2)&lt;=5,$A175='Recurring Schedule'!$F$9))),4,""))))</f>
        <v/>
      </c>
      <c r="F175">
        <f>IF('Recurring Schedule'!$C$10="","",IF('Recurring Schedule'!$F$10="","",IF(OR($A175&lt;'Recurring Schedule'!$F$10,$A175&gt;'Recurring Schedule'!$P$10),"",IF(IF('Recurring Schedule'!$N$10&gt;0,MOD($A175-'Recurring Schedule'!$F$10,'Recurring Schedule'!$N$10)=0,IF('Recurring Schedule'!$O$10&gt;0,AND(DAY($A175)=MIN(DAY('Recurring Schedule'!$F$10),DAY(EOMONTH($A175,0))),MOD((YEAR($A175)-YEAR('Recurring Schedule'!$F$10))*12+MONTH($A175)-MONTH('Recurring Schedule'!$F$10),'Recurring Schedule'!$O$10)=0),IF('Recurring Schedule'!$E$10="Weekdays",WEEKDAY($A175,2)&lt;=5,$A175='Recurring Schedule'!$F$10))),5,""))))</f>
        <v/>
      </c>
      <c r="G175">
        <f>IF('Recurring Schedule'!$C$11="","",IF('Recurring Schedule'!$F$11="","",IF(OR($A175&lt;'Recurring Schedule'!$F$11,$A175&gt;'Recurring Schedule'!$P$11),"",IF(IF('Recurring Schedule'!$N$11&gt;0,MOD($A175-'Recurring Schedule'!$F$11,'Recurring Schedule'!$N$11)=0,IF('Recurring Schedule'!$O$11&gt;0,AND(DAY($A175)=MIN(DAY('Recurring Schedule'!$F$11),DAY(EOMONTH($A175,0))),MOD((YEAR($A175)-YEAR('Recurring Schedule'!$F$11))*12+MONTH($A175)-MONTH('Recurring Schedule'!$F$11),'Recurring Schedule'!$O$11)=0),IF('Recurring Schedule'!$E$11="Weekdays",WEEKDAY($A175,2)&lt;=5,$A175='Recurring Schedule'!$F$11))),6,""))))</f>
        <v/>
      </c>
      <c r="H175">
        <f>IF('Recurring Schedule'!$C$12="","",IF('Recurring Schedule'!$F$12="","",IF(OR($A175&lt;'Recurring Schedule'!$F$12,$A175&gt;'Recurring Schedule'!$P$12),"",IF(IF('Recurring Schedule'!$N$12&gt;0,MOD($A175-'Recurring Schedule'!$F$12,'Recurring Schedule'!$N$12)=0,IF('Recurring Schedule'!$O$12&gt;0,AND(DAY($A175)=MIN(DAY('Recurring Schedule'!$F$12),DAY(EOMONTH($A175,0))),MOD((YEAR($A175)-YEAR('Recurring Schedule'!$F$12))*12+MONTH($A175)-MONTH('Recurring Schedule'!$F$12),'Recurring Schedule'!$O$12)=0),IF('Recurring Schedule'!$E$12="Weekdays",WEEKDAY($A175,2)&lt;=5,$A175='Recurring Schedule'!$F$12))),7,""))))</f>
        <v/>
      </c>
      <c r="I175">
        <f>IF('Recurring Schedule'!$C$13="","",IF('Recurring Schedule'!$F$13="","",IF(OR($A175&lt;'Recurring Schedule'!$F$13,$A175&gt;'Recurring Schedule'!$P$13),"",IF(IF('Recurring Schedule'!$N$13&gt;0,MOD($A175-'Recurring Schedule'!$F$13,'Recurring Schedule'!$N$13)=0,IF('Recurring Schedule'!$O$13&gt;0,AND(DAY($A175)=MIN(DAY('Recurring Schedule'!$F$13),DAY(EOMONTH($A175,0))),MOD((YEAR($A175)-YEAR('Recurring Schedule'!$F$13))*12+MONTH($A175)-MONTH('Recurring Schedule'!$F$13),'Recurring Schedule'!$O$13)=0),IF('Recurring Schedule'!$E$13="Weekdays",WEEKDAY($A175,2)&lt;=5,$A175='Recurring Schedule'!$F$13))),8,""))))</f>
        <v/>
      </c>
      <c r="J175">
        <f>IF('Recurring Schedule'!$C$14="","",IF('Recurring Schedule'!$F$14="","",IF(OR($A175&lt;'Recurring Schedule'!$F$14,$A175&gt;'Recurring Schedule'!$P$14),"",IF(IF('Recurring Schedule'!$N$14&gt;0,MOD($A175-'Recurring Schedule'!$F$14,'Recurring Schedule'!$N$14)=0,IF('Recurring Schedule'!$O$14&gt;0,AND(DAY($A175)=MIN(DAY('Recurring Schedule'!$F$14),DAY(EOMONTH($A175,0))),MOD((YEAR($A175)-YEAR('Recurring Schedule'!$F$14))*12+MONTH($A175)-MONTH('Recurring Schedule'!$F$14),'Recurring Schedule'!$O$14)=0),IF('Recurring Schedule'!$E$14="Weekdays",WEEKDAY($A175,2)&lt;=5,$A175='Recurring Schedule'!$F$14))),9,""))))</f>
        <v/>
      </c>
      <c r="K175">
        <f>IF('Recurring Schedule'!$C$15="","",IF('Recurring Schedule'!$F$15="","",IF(OR($A175&lt;'Recurring Schedule'!$F$15,$A175&gt;'Recurring Schedule'!$P$15),"",IF(IF('Recurring Schedule'!$N$15&gt;0,MOD($A175-'Recurring Schedule'!$F$15,'Recurring Schedule'!$N$15)=0,IF('Recurring Schedule'!$O$15&gt;0,AND(DAY($A175)=MIN(DAY('Recurring Schedule'!$F$15),DAY(EOMONTH($A175,0))),MOD((YEAR($A175)-YEAR('Recurring Schedule'!$F$15))*12+MONTH($A175)-MONTH('Recurring Schedule'!$F$15),'Recurring Schedule'!$O$15)=0),IF('Recurring Schedule'!$E$15="Weekdays",WEEKDAY($A175,2)&lt;=5,$A175='Recurring Schedule'!$F$15))),10,""))))</f>
        <v/>
      </c>
      <c r="L175">
        <f>IF('Recurring Schedule'!$C$16="","",IF('Recurring Schedule'!$F$16="","",IF(OR($A175&lt;'Recurring Schedule'!$F$16,$A175&gt;'Recurring Schedule'!$P$16),"",IF(IF('Recurring Schedule'!$N$16&gt;0,MOD($A175-'Recurring Schedule'!$F$16,'Recurring Schedule'!$N$16)=0,IF('Recurring Schedule'!$O$16&gt;0,AND(DAY($A175)=MIN(DAY('Recurring Schedule'!$F$16),DAY(EOMONTH($A175,0))),MOD((YEAR($A175)-YEAR('Recurring Schedule'!$F$16))*12+MONTH($A175)-MONTH('Recurring Schedule'!$F$16),'Recurring Schedule'!$O$16)=0),IF('Recurring Schedule'!$E$16="Weekdays",WEEKDAY($A175,2)&lt;=5,$A175='Recurring Schedule'!$F$16))),11,""))))</f>
        <v/>
      </c>
      <c r="M175">
        <f>IF('Recurring Schedule'!$C$17="","",IF('Recurring Schedule'!$F$17="","",IF(OR($A175&lt;'Recurring Schedule'!$F$17,$A175&gt;'Recurring Schedule'!$P$17),"",IF(IF('Recurring Schedule'!$N$17&gt;0,MOD($A175-'Recurring Schedule'!$F$17,'Recurring Schedule'!$N$17)=0,IF('Recurring Schedule'!$O$17&gt;0,AND(DAY($A175)=MIN(DAY('Recurring Schedule'!$F$17),DAY(EOMONTH($A175,0))),MOD((YEAR($A175)-YEAR('Recurring Schedule'!$F$17))*12+MONTH($A175)-MONTH('Recurring Schedule'!$F$17),'Recurring Schedule'!$O$17)=0),IF('Recurring Schedule'!$E$17="Weekdays",WEEKDAY($A175,2)&lt;=5,$A175='Recurring Schedule'!$F$17))),12,""))))</f>
        <v/>
      </c>
      <c r="N175">
        <f>IF('Recurring Schedule'!$C$18="","",IF('Recurring Schedule'!$F$18="","",IF(OR($A175&lt;'Recurring Schedule'!$F$18,$A175&gt;'Recurring Schedule'!$P$18),"",IF(IF('Recurring Schedule'!$N$18&gt;0,MOD($A175-'Recurring Schedule'!$F$18,'Recurring Schedule'!$N$18)=0,IF('Recurring Schedule'!$O$18&gt;0,AND(DAY($A175)=MIN(DAY('Recurring Schedule'!$F$18),DAY(EOMONTH($A175,0))),MOD((YEAR($A175)-YEAR('Recurring Schedule'!$F$18))*12+MONTH($A175)-MONTH('Recurring Schedule'!$F$18),'Recurring Schedule'!$O$18)=0),IF('Recurring Schedule'!$E$18="Weekdays",WEEKDAY($A175,2)&lt;=5,$A175='Recurring Schedule'!$F$18))),13,""))))</f>
        <v/>
      </c>
      <c r="O175">
        <f>IF('Recurring Schedule'!$C$19="","",IF('Recurring Schedule'!$F$19="","",IF(OR($A175&lt;'Recurring Schedule'!$F$19,$A175&gt;'Recurring Schedule'!$P$19),"",IF(IF('Recurring Schedule'!$N$19&gt;0,MOD($A175-'Recurring Schedule'!$F$19,'Recurring Schedule'!$N$19)=0,IF('Recurring Schedule'!$O$19&gt;0,AND(DAY($A175)=MIN(DAY('Recurring Schedule'!$F$19),DAY(EOMONTH($A175,0))),MOD((YEAR($A175)-YEAR('Recurring Schedule'!$F$19))*12+MONTH($A175)-MONTH('Recurring Schedule'!$F$19),'Recurring Schedule'!$O$19)=0),IF('Recurring Schedule'!$E$19="Weekdays",WEEKDAY($A175,2)&lt;=5,$A175='Recurring Schedule'!$F$19))),14,""))))</f>
        <v/>
      </c>
      <c r="P175">
        <f>IF('Recurring Schedule'!$C$20="","",IF('Recurring Schedule'!$F$20="","",IF(OR($A175&lt;'Recurring Schedule'!$F$20,$A175&gt;'Recurring Schedule'!$P$20),"",IF(IF('Recurring Schedule'!$N$20&gt;0,MOD($A175-'Recurring Schedule'!$F$20,'Recurring Schedule'!$N$20)=0,IF('Recurring Schedule'!$O$20&gt;0,AND(DAY($A175)=MIN(DAY('Recurring Schedule'!$F$20),DAY(EOMONTH($A175,0))),MOD((YEAR($A175)-YEAR('Recurring Schedule'!$F$20))*12+MONTH($A175)-MONTH('Recurring Schedule'!$F$20),'Recurring Schedule'!$O$20)=0),IF('Recurring Schedule'!$E$20="Weekdays",WEEKDAY($A175,2)&lt;=5,$A175='Recurring Schedule'!$F$20))),15,""))))</f>
        <v/>
      </c>
      <c r="Q175">
        <f>IF('Recurring Schedule'!$C$21="","",IF('Recurring Schedule'!$F$21="","",IF(OR($A175&lt;'Recurring Schedule'!$F$21,$A175&gt;'Recurring Schedule'!$P$21),"",IF(IF('Recurring Schedule'!$N$21&gt;0,MOD($A175-'Recurring Schedule'!$F$21,'Recurring Schedule'!$N$21)=0,IF('Recurring Schedule'!$O$21&gt;0,AND(DAY($A175)=MIN(DAY('Recurring Schedule'!$F$21),DAY(EOMONTH($A175,0))),MOD((YEAR($A175)-YEAR('Recurring Schedule'!$F$21))*12+MONTH($A175)-MONTH('Recurring Schedule'!$F$21),'Recurring Schedule'!$O$21)=0),IF('Recurring Schedule'!$E$21="Weekdays",WEEKDAY($A175,2)&lt;=5,$A175='Recurring Schedule'!$F$21))),16,""))))</f>
        <v/>
      </c>
      <c r="R175">
        <f>IF('Recurring Schedule'!$C$22="","",IF('Recurring Schedule'!$F$22="","",IF(OR($A175&lt;'Recurring Schedule'!$F$22,$A175&gt;'Recurring Schedule'!$P$22),"",IF(IF('Recurring Schedule'!$N$22&gt;0,MOD($A175-'Recurring Schedule'!$F$22,'Recurring Schedule'!$N$22)=0,IF('Recurring Schedule'!$O$22&gt;0,AND(DAY($A175)=MIN(DAY('Recurring Schedule'!$F$22),DAY(EOMONTH($A175,0))),MOD((YEAR($A175)-YEAR('Recurring Schedule'!$F$22))*12+MONTH($A175)-MONTH('Recurring Schedule'!$F$22),'Recurring Schedule'!$O$22)=0),IF('Recurring Schedule'!$E$22="Weekdays",WEEKDAY($A175,2)&lt;=5,$A175='Recurring Schedule'!$F$22))),17,""))))</f>
        <v/>
      </c>
      <c r="S175">
        <f>IF('Recurring Schedule'!$C$23="","",IF('Recurring Schedule'!$F$23="","",IF(OR($A175&lt;'Recurring Schedule'!$F$23,$A175&gt;'Recurring Schedule'!$P$23),"",IF(IF('Recurring Schedule'!$N$23&gt;0,MOD($A175-'Recurring Schedule'!$F$23,'Recurring Schedule'!$N$23)=0,IF('Recurring Schedule'!$O$23&gt;0,AND(DAY($A175)=MIN(DAY('Recurring Schedule'!$F$23),DAY(EOMONTH($A175,0))),MOD((YEAR($A175)-YEAR('Recurring Schedule'!$F$23))*12+MONTH($A175)-MONTH('Recurring Schedule'!$F$23),'Recurring Schedule'!$O$23)=0),IF('Recurring Schedule'!$E$23="Weekdays",WEEKDAY($A175,2)&lt;=5,$A175='Recurring Schedule'!$F$23))),18,""))))</f>
        <v/>
      </c>
      <c r="T175">
        <f>IF('Recurring Schedule'!$C$24="","",IF('Recurring Schedule'!$F$24="","",IF(OR($A175&lt;'Recurring Schedule'!$F$24,$A175&gt;'Recurring Schedule'!$P$24),"",IF(IF('Recurring Schedule'!$N$24&gt;0,MOD($A175-'Recurring Schedule'!$F$24,'Recurring Schedule'!$N$24)=0,IF('Recurring Schedule'!$O$24&gt;0,AND(DAY($A175)=MIN(DAY('Recurring Schedule'!$F$24),DAY(EOMONTH($A175,0))),MOD((YEAR($A175)-YEAR('Recurring Schedule'!$F$24))*12+MONTH($A175)-MONTH('Recurring Schedule'!$F$24),'Recurring Schedule'!$O$24)=0),IF('Recurring Schedule'!$E$24="Weekdays",WEEKDAY($A175,2)&lt;=5,$A175='Recurring Schedule'!$F$24))),19,""))))</f>
        <v/>
      </c>
      <c r="U175">
        <f>IF('Recurring Schedule'!$C$25="","",IF('Recurring Schedule'!$F$25="","",IF(OR($A175&lt;'Recurring Schedule'!$F$25,$A175&gt;'Recurring Schedule'!$P$25),"",IF(IF('Recurring Schedule'!$N$25&gt;0,MOD($A175-'Recurring Schedule'!$F$25,'Recurring Schedule'!$N$25)=0,IF('Recurring Schedule'!$O$25&gt;0,AND(DAY($A175)=MIN(DAY('Recurring Schedule'!$F$25),DAY(EOMONTH($A175,0))),MOD((YEAR($A175)-YEAR('Recurring Schedule'!$F$25))*12+MONTH($A175)-MONTH('Recurring Schedule'!$F$25),'Recurring Schedule'!$O$25)=0),IF('Recurring Schedule'!$E$25="Weekdays",WEEKDAY($A175,2)&lt;=5,$A175='Recurring Schedule'!$F$25))),20,""))))</f>
        <v/>
      </c>
      <c r="V175">
        <f>IF('Recurring Schedule'!$C$26="","",IF('Recurring Schedule'!$F$26="","",IF(OR($A175&lt;'Recurring Schedule'!$F$26,$A175&gt;'Recurring Schedule'!$P$26),"",IF(IF('Recurring Schedule'!$N$26&gt;0,MOD($A175-'Recurring Schedule'!$F$26,'Recurring Schedule'!$N$26)=0,IF('Recurring Schedule'!$O$26&gt;0,AND(DAY($A175)=MIN(DAY('Recurring Schedule'!$F$26),DAY(EOMONTH($A175,0))),MOD((YEAR($A175)-YEAR('Recurring Schedule'!$F$26))*12+MONTH($A175)-MONTH('Recurring Schedule'!$F$26),'Recurring Schedule'!$O$26)=0),IF('Recurring Schedule'!$E$26="Weekdays",WEEKDAY($A175,2)&lt;=5,$A175='Recurring Schedule'!$F$26))),21,""))))</f>
        <v/>
      </c>
      <c r="W175">
        <f>IF('Recurring Schedule'!$C$27="","",IF('Recurring Schedule'!$F$27="","",IF(OR($A175&lt;'Recurring Schedule'!$F$27,$A175&gt;'Recurring Schedule'!$P$27),"",IF(IF('Recurring Schedule'!$N$27&gt;0,MOD($A175-'Recurring Schedule'!$F$27,'Recurring Schedule'!$N$27)=0,IF('Recurring Schedule'!$O$27&gt;0,AND(DAY($A175)=MIN(DAY('Recurring Schedule'!$F$27),DAY(EOMONTH($A175,0))),MOD((YEAR($A175)-YEAR('Recurring Schedule'!$F$27))*12+MONTH($A175)-MONTH('Recurring Schedule'!$F$27),'Recurring Schedule'!$O$27)=0),IF('Recurring Schedule'!$E$27="Weekdays",WEEKDAY($A175,2)&lt;=5,$A175='Recurring Schedule'!$F$27))),22,""))))</f>
        <v/>
      </c>
      <c r="X175">
        <f>IF('Recurring Schedule'!$C$28="","",IF('Recurring Schedule'!$F$28="","",IF(OR($A175&lt;'Recurring Schedule'!$F$28,$A175&gt;'Recurring Schedule'!$P$28),"",IF(IF('Recurring Schedule'!$N$28&gt;0,MOD($A175-'Recurring Schedule'!$F$28,'Recurring Schedule'!$N$28)=0,IF('Recurring Schedule'!$O$28&gt;0,AND(DAY($A175)=MIN(DAY('Recurring Schedule'!$F$28),DAY(EOMONTH($A175,0))),MOD((YEAR($A175)-YEAR('Recurring Schedule'!$F$28))*12+MONTH($A175)-MONTH('Recurring Schedule'!$F$28),'Recurring Schedule'!$O$28)=0),IF('Recurring Schedule'!$E$28="Weekdays",WEEKDAY($A175,2)&lt;=5,$A175='Recurring Schedule'!$F$28))),23,""))))</f>
        <v/>
      </c>
      <c r="Y175">
        <f>IF('Recurring Schedule'!$C$29="","",IF('Recurring Schedule'!$F$29="","",IF(OR($A175&lt;'Recurring Schedule'!$F$29,$A175&gt;'Recurring Schedule'!$P$29),"",IF(IF('Recurring Schedule'!$N$29&gt;0,MOD($A175-'Recurring Schedule'!$F$29,'Recurring Schedule'!$N$29)=0,IF('Recurring Schedule'!$O$29&gt;0,AND(DAY($A175)=MIN(DAY('Recurring Schedule'!$F$29),DAY(EOMONTH($A175,0))),MOD((YEAR($A175)-YEAR('Recurring Schedule'!$F$29))*12+MONTH($A175)-MONTH('Recurring Schedule'!$F$29),'Recurring Schedule'!$O$29)=0),IF('Recurring Schedule'!$E$29="Weekdays",WEEKDAY($A175,2)&lt;=5,$A175='Recurring Schedule'!$F$29))),24,""))))</f>
        <v/>
      </c>
      <c r="Z175">
        <f>IF('Recurring Schedule'!$C$30="","",IF('Recurring Schedule'!$F$30="","",IF(OR($A175&lt;'Recurring Schedule'!$F$30,$A175&gt;'Recurring Schedule'!$P$30),"",IF(IF('Recurring Schedule'!$N$30&gt;0,MOD($A175-'Recurring Schedule'!$F$30,'Recurring Schedule'!$N$30)=0,IF('Recurring Schedule'!$O$30&gt;0,AND(DAY($A175)=MIN(DAY('Recurring Schedule'!$F$30),DAY(EOMONTH($A175,0))),MOD((YEAR($A175)-YEAR('Recurring Schedule'!$F$30))*12+MONTH($A175)-MONTH('Recurring Schedule'!$F$30),'Recurring Schedule'!$O$30)=0),IF('Recurring Schedule'!$E$30="Weekdays",WEEKDAY($A175,2)&lt;=5,$A175='Recurring Schedule'!$F$30))),25,""))))</f>
        <v/>
      </c>
      <c r="AA175">
        <f>IF('Recurring Schedule'!$C$31="","",IF('Recurring Schedule'!$F$31="","",IF(OR($A175&lt;'Recurring Schedule'!$F$31,$A175&gt;'Recurring Schedule'!$P$31),"",IF(IF('Recurring Schedule'!$N$31&gt;0,MOD($A175-'Recurring Schedule'!$F$31,'Recurring Schedule'!$N$31)=0,IF('Recurring Schedule'!$O$31&gt;0,AND(DAY($A175)=MIN(DAY('Recurring Schedule'!$F$31),DAY(EOMONTH($A175,0))),MOD((YEAR($A175)-YEAR('Recurring Schedule'!$F$31))*12+MONTH($A175)-MONTH('Recurring Schedule'!$F$31),'Recurring Schedule'!$O$31)=0),IF('Recurring Schedule'!$E$31="Weekdays",WEEKDAY($A175,2)&lt;=5,$A175='Recurring Schedule'!$F$31))),26,""))))</f>
        <v/>
      </c>
      <c r="AB175">
        <f>IF('Recurring Schedule'!$C$32="","",IF('Recurring Schedule'!$F$32="","",IF(OR($A175&lt;'Recurring Schedule'!$F$32,$A175&gt;'Recurring Schedule'!$P$32),"",IF(IF('Recurring Schedule'!$N$32&gt;0,MOD($A175-'Recurring Schedule'!$F$32,'Recurring Schedule'!$N$32)=0,IF('Recurring Schedule'!$O$32&gt;0,AND(DAY($A175)=MIN(DAY('Recurring Schedule'!$F$32),DAY(EOMONTH($A175,0))),MOD((YEAR($A175)-YEAR('Recurring Schedule'!$F$32))*12+MONTH($A175)-MONTH('Recurring Schedule'!$F$32),'Recurring Schedule'!$O$32)=0),IF('Recurring Schedule'!$E$32="Weekdays",WEEKDAY($A175,2)&lt;=5,$A175='Recurring Schedule'!$F$32))),27,""))))</f>
        <v/>
      </c>
      <c r="AC175">
        <f>IF('Recurring Schedule'!$C$33="","",IF('Recurring Schedule'!$F$33="","",IF(OR($A175&lt;'Recurring Schedule'!$F$33,$A175&gt;'Recurring Schedule'!$P$33),"",IF(IF('Recurring Schedule'!$N$33&gt;0,MOD($A175-'Recurring Schedule'!$F$33,'Recurring Schedule'!$N$33)=0,IF('Recurring Schedule'!$O$33&gt;0,AND(DAY($A175)=MIN(DAY('Recurring Schedule'!$F$33),DAY(EOMONTH($A175,0))),MOD((YEAR($A175)-YEAR('Recurring Schedule'!$F$33))*12+MONTH($A175)-MONTH('Recurring Schedule'!$F$33),'Recurring Schedule'!$O$33)=0),IF('Recurring Schedule'!$E$33="Weekdays",WEEKDAY($A175,2)&lt;=5,$A175='Recurring Schedule'!$F$33))),28,""))))</f>
        <v/>
      </c>
      <c r="AD175">
        <f>IF('Recurring Schedule'!$C$34="","",IF('Recurring Schedule'!$F$34="","",IF(OR($A175&lt;'Recurring Schedule'!$F$34,$A175&gt;'Recurring Schedule'!$P$34),"",IF(IF('Recurring Schedule'!$N$34&gt;0,MOD($A175-'Recurring Schedule'!$F$34,'Recurring Schedule'!$N$34)=0,IF('Recurring Schedule'!$O$34&gt;0,AND(DAY($A175)=MIN(DAY('Recurring Schedule'!$F$34),DAY(EOMONTH($A175,0))),MOD((YEAR($A175)-YEAR('Recurring Schedule'!$F$34))*12+MONTH($A175)-MONTH('Recurring Schedule'!$F$34),'Recurring Schedule'!$O$34)=0),IF('Recurring Schedule'!$E$34="Weekdays",WEEKDAY($A175,2)&lt;=5,$A175='Recurring Schedule'!$F$34))),29,""))))</f>
        <v/>
      </c>
      <c r="AE175">
        <f>IF('Recurring Schedule'!$C$35="","",IF('Recurring Schedule'!$F$35="","",IF(OR($A175&lt;'Recurring Schedule'!$F$35,$A175&gt;'Recurring Schedule'!$P$35),"",IF(IF('Recurring Schedule'!$N$35&gt;0,MOD($A175-'Recurring Schedule'!$F$35,'Recurring Schedule'!$N$35)=0,IF('Recurring Schedule'!$O$35&gt;0,AND(DAY($A175)=MIN(DAY('Recurring Schedule'!$F$35),DAY(EOMONTH($A175,0))),MOD((YEAR($A175)-YEAR('Recurring Schedule'!$F$35))*12+MONTH($A175)-MONTH('Recurring Schedule'!$F$35),'Recurring Schedule'!$O$35)=0),IF('Recurring Schedule'!$E$35="Weekdays",WEEKDAY($A175,2)&lt;=5,$A175='Recurring Schedule'!$F$35))),30,""))))</f>
        <v/>
      </c>
      <c r="AF175">
        <f>IF('Recurring Schedule'!$C$36="","",IF('Recurring Schedule'!$F$36="","",IF(OR($A175&lt;'Recurring Schedule'!$F$36,$A175&gt;'Recurring Schedule'!$P$36),"",IF(IF('Recurring Schedule'!$N$36&gt;0,MOD($A175-'Recurring Schedule'!$F$36,'Recurring Schedule'!$N$36)=0,IF('Recurring Schedule'!$O$36&gt;0,AND(DAY($A175)=MIN(DAY('Recurring Schedule'!$F$36),DAY(EOMONTH($A175,0))),MOD((YEAR($A175)-YEAR('Recurring Schedule'!$F$36))*12+MONTH($A175)-MONTH('Recurring Schedule'!$F$36),'Recurring Schedule'!$O$36)=0),IF('Recurring Schedule'!$E$36="Weekdays",WEEKDAY($A175,2)&lt;=5,$A175='Recurring Schedule'!$F$36))),31,""))))</f>
        <v/>
      </c>
      <c r="AG175">
        <f>IF('Recurring Schedule'!$C$37="","",IF('Recurring Schedule'!$F$37="","",IF(OR($A175&lt;'Recurring Schedule'!$F$37,$A175&gt;'Recurring Schedule'!$P$37),"",IF(IF('Recurring Schedule'!$N$37&gt;0,MOD($A175-'Recurring Schedule'!$F$37,'Recurring Schedule'!$N$37)=0,IF('Recurring Schedule'!$O$37&gt;0,AND(DAY($A175)=MIN(DAY('Recurring Schedule'!$F$37),DAY(EOMONTH($A175,0))),MOD((YEAR($A175)-YEAR('Recurring Schedule'!$F$37))*12+MONTH($A175)-MONTH('Recurring Schedule'!$F$37),'Recurring Schedule'!$O$37)=0),IF('Recurring Schedule'!$E$37="Weekdays",WEEKDAY($A175,2)&lt;=5,$A175='Recurring Schedule'!$F$37))),32,""))))</f>
        <v/>
      </c>
      <c r="AH175">
        <f>IF('Recurring Schedule'!$C$38="","",IF('Recurring Schedule'!$F$38="","",IF(OR($A175&lt;'Recurring Schedule'!$F$38,$A175&gt;'Recurring Schedule'!$P$38),"",IF(IF('Recurring Schedule'!$N$38&gt;0,MOD($A175-'Recurring Schedule'!$F$38,'Recurring Schedule'!$N$38)=0,IF('Recurring Schedule'!$O$38&gt;0,AND(DAY($A175)=MIN(DAY('Recurring Schedule'!$F$38),DAY(EOMONTH($A175,0))),MOD((YEAR($A175)-YEAR('Recurring Schedule'!$F$38))*12+MONTH($A175)-MONTH('Recurring Schedule'!$F$38),'Recurring Schedule'!$O$38)=0),IF('Recurring Schedule'!$E$38="Weekdays",WEEKDAY($A175,2)&lt;=5,$A175='Recurring Schedule'!$F$38))),33,""))))</f>
        <v/>
      </c>
      <c r="AI175">
        <f>IF('Recurring Schedule'!$C$39="","",IF('Recurring Schedule'!$F$39="","",IF(OR($A175&lt;'Recurring Schedule'!$F$39,$A175&gt;'Recurring Schedule'!$P$39),"",IF(IF('Recurring Schedule'!$N$39&gt;0,MOD($A175-'Recurring Schedule'!$F$39,'Recurring Schedule'!$N$39)=0,IF('Recurring Schedule'!$O$39&gt;0,AND(DAY($A175)=MIN(DAY('Recurring Schedule'!$F$39),DAY(EOMONTH($A175,0))),MOD((YEAR($A175)-YEAR('Recurring Schedule'!$F$39))*12+MONTH($A175)-MONTH('Recurring Schedule'!$F$39),'Recurring Schedule'!$O$39)=0),IF('Recurring Schedule'!$E$39="Weekdays",WEEKDAY($A175,2)&lt;=5,$A175='Recurring Schedule'!$F$39))),34,""))))</f>
        <v/>
      </c>
      <c r="AJ175">
        <f>IF('Recurring Schedule'!$C$40="","",IF('Recurring Schedule'!$F$40="","",IF(OR($A175&lt;'Recurring Schedule'!$F$40,$A175&gt;'Recurring Schedule'!$P$40),"",IF(IF('Recurring Schedule'!$N$40&gt;0,MOD($A175-'Recurring Schedule'!$F$40,'Recurring Schedule'!$N$40)=0,IF('Recurring Schedule'!$O$40&gt;0,AND(DAY($A175)=MIN(DAY('Recurring Schedule'!$F$40),DAY(EOMONTH($A175,0))),MOD((YEAR($A175)-YEAR('Recurring Schedule'!$F$40))*12+MONTH($A175)-MONTH('Recurring Schedule'!$F$40),'Recurring Schedule'!$O$40)=0),IF('Recurring Schedule'!$E$40="Weekdays",WEEKDAY($A175,2)&lt;=5,$A175='Recurring Schedule'!$F$40))),35,""))))</f>
        <v/>
      </c>
      <c r="AK175">
        <f>IF('Recurring Schedule'!$C$41="","",IF('Recurring Schedule'!$F$41="","",IF(OR($A175&lt;'Recurring Schedule'!$F$41,$A175&gt;'Recurring Schedule'!$P$41),"",IF(IF('Recurring Schedule'!$N$41&gt;0,MOD($A175-'Recurring Schedule'!$F$41,'Recurring Schedule'!$N$41)=0,IF('Recurring Schedule'!$O$41&gt;0,AND(DAY($A175)=MIN(DAY('Recurring Schedule'!$F$41),DAY(EOMONTH($A175,0))),MOD((YEAR($A175)-YEAR('Recurring Schedule'!$F$41))*12+MONTH($A175)-MONTH('Recurring Schedule'!$F$41),'Recurring Schedule'!$O$41)=0),IF('Recurring Schedule'!$E$41="Weekdays",WEEKDAY($A175,2)&lt;=5,$A175='Recurring Schedule'!$F$41))),36,""))))</f>
        <v/>
      </c>
      <c r="AL175">
        <f>IF('Recurring Schedule'!$C$42="","",IF('Recurring Schedule'!$F$42="","",IF(OR($A175&lt;'Recurring Schedule'!$F$42,$A175&gt;'Recurring Schedule'!$P$42),"",IF(IF('Recurring Schedule'!$N$42&gt;0,MOD($A175-'Recurring Schedule'!$F$42,'Recurring Schedule'!$N$42)=0,IF('Recurring Schedule'!$O$42&gt;0,AND(DAY($A175)=MIN(DAY('Recurring Schedule'!$F$42),DAY(EOMONTH($A175,0))),MOD((YEAR($A175)-YEAR('Recurring Schedule'!$F$42))*12+MONTH($A175)-MONTH('Recurring Schedule'!$F$42),'Recurring Schedule'!$O$42)=0),IF('Recurring Schedule'!$E$42="Weekdays",WEEKDAY($A175,2)&lt;=5,$A175='Recurring Schedule'!$F$42))),37,""))))</f>
        <v/>
      </c>
      <c r="AM175">
        <f>IF('Recurring Schedule'!$C$43="","",IF('Recurring Schedule'!$F$43="","",IF(OR($A175&lt;'Recurring Schedule'!$F$43,$A175&gt;'Recurring Schedule'!$P$43),"",IF(IF('Recurring Schedule'!$N$43&gt;0,MOD($A175-'Recurring Schedule'!$F$43,'Recurring Schedule'!$N$43)=0,IF('Recurring Schedule'!$O$43&gt;0,AND(DAY($A175)=MIN(DAY('Recurring Schedule'!$F$43),DAY(EOMONTH($A175,0))),MOD((YEAR($A175)-YEAR('Recurring Schedule'!$F$43))*12+MONTH($A175)-MONTH('Recurring Schedule'!$F$43),'Recurring Schedule'!$O$43)=0),IF('Recurring Schedule'!$E$43="Weekdays",WEEKDAY($A175,2)&lt;=5,$A175='Recurring Schedule'!$F$43))),38,""))))</f>
        <v/>
      </c>
      <c r="AN175">
        <f>IF('Recurring Schedule'!$C$44="","",IF('Recurring Schedule'!$F$44="","",IF(OR($A175&lt;'Recurring Schedule'!$F$44,$A175&gt;'Recurring Schedule'!$P$44),"",IF(IF('Recurring Schedule'!$N$44&gt;0,MOD($A175-'Recurring Schedule'!$F$44,'Recurring Schedule'!$N$44)=0,IF('Recurring Schedule'!$O$44&gt;0,AND(DAY($A175)=MIN(DAY('Recurring Schedule'!$F$44),DAY(EOMONTH($A175,0))),MOD((YEAR($A175)-YEAR('Recurring Schedule'!$F$44))*12+MONTH($A175)-MONTH('Recurring Schedule'!$F$44),'Recurring Schedule'!$O$44)=0),IF('Recurring Schedule'!$E$44="Weekdays",WEEKDAY($A175,2)&lt;=5,$A175='Recurring Schedule'!$F$44))),39,""))))</f>
        <v/>
      </c>
      <c r="AO175">
        <f>IF('Recurring Schedule'!$C$45="","",IF('Recurring Schedule'!$F$45="","",IF(OR($A175&lt;'Recurring Schedule'!$F$45,$A175&gt;'Recurring Schedule'!$P$45),"",IF(IF('Recurring Schedule'!$N$45&gt;0,MOD($A175-'Recurring Schedule'!$F$45,'Recurring Schedule'!$N$45)=0,IF('Recurring Schedule'!$O$45&gt;0,AND(DAY($A175)=MIN(DAY('Recurring Schedule'!$F$45),DAY(EOMONTH($A175,0))),MOD((YEAR($A175)-YEAR('Recurring Schedule'!$F$45))*12+MONTH($A175)-MONTH('Recurring Schedule'!$F$45),'Recurring Schedule'!$O$45)=0),IF('Recurring Schedule'!$E$45="Weekdays",WEEKDAY($A175,2)&lt;=5,$A175='Recurring Schedule'!$F$45))),40,""))))</f>
        <v/>
      </c>
      <c r="AP175">
        <f>COUNT(B175:AO175)</f>
        <v/>
      </c>
      <c r="AQ175">
        <f>AQ174+AP174</f>
        <v/>
      </c>
      <c r="AS175" t="inlineStr">
        <is>
          <t>R</t>
        </is>
      </c>
      <c r="AT175" t="n">
        <v>179</v>
      </c>
      <c r="AU175">
        <f>'Recurring Log'!C179&amp;""</f>
        <v/>
      </c>
      <c r="AV175">
        <f>'Recurring Log'!D179&amp;""</f>
        <v/>
      </c>
      <c r="AW175">
        <f>IF('Recurring Log'!E179="","",'Recurring Log'!E179)</f>
        <v/>
      </c>
      <c r="AX175">
        <f>IF('Recurring Log'!G179="","",'Recurring Log'!G179)</f>
        <v/>
      </c>
      <c r="AY175">
        <f>IF('Recurring Log'!H179="","",'Recurring Log'!H179)</f>
        <v/>
      </c>
      <c r="AZ175">
        <f>IF(AU175="","",IF('Recurring Log'!J179="","Not Started",'Recurring Log'!J179))</f>
        <v/>
      </c>
      <c r="BA175">
        <f>'Recurring Log'!L179&amp;""</f>
        <v/>
      </c>
      <c r="BB175">
        <f>'Recurring Log'!M179&amp;""</f>
        <v/>
      </c>
      <c r="BC175">
        <f>'Recurring Log'!N179&amp;""</f>
        <v/>
      </c>
      <c r="BD175">
        <f>'Recurring Log'!O179&amp;""</f>
        <v/>
      </c>
      <c r="BE175">
        <f>IF('Recurring Log'!K179="","",'Recurring Log'!K179)</f>
        <v/>
      </c>
      <c r="BF175">
        <f>IFERROR(MATCH(BA175,Setup!$L$6:$L$9,0),5)</f>
        <v/>
      </c>
      <c r="BG175">
        <f>IF(OR(AZ175="Done",AZ175="Cancelled"),1,0)</f>
        <v/>
      </c>
      <c r="BH175">
        <f>IF(AND(AU175&lt;&gt;"",ISNUMBER(AW175)),1,0)</f>
        <v/>
      </c>
      <c r="BI175">
        <f>IF(BH175=0,0,IF(AND(AW175&gt;='Tasks Filter'!$F$3,AW175&lt;='Tasks Filter'!$F$4,OR('Tasks Filter'!$I$3="",ISNUMBER(SEARCH('Tasks Filter'!$I$3,AU175))),OR('Tasks Filter'!$I$4="",BF175=IFERROR(MATCH('Tasks Filter'!$I$4,Setup!$L$6:$L$9,0),0)),OR('Tasks Filter'!$I$5="Both",AND('Tasks Filter'!$I$5="Yes",BB175="✓"),AND('Tasks Filter'!$I$5="No",BB175&lt;&gt;"✓")),OR('Tasks Filter'!$L$3="",AV175='Tasks Filter'!$L$3),OR('Tasks Filter'!$L$4="",AZ175='Tasks Filter'!$L$4),OR('Tasks Filter'!$L$5="",BC175='Tasks Filter'!$L$5),OR('Tasks Filter'!$O$3="",BD175='Tasks Filter'!$O$3),OR('Tasks Filter'!$O$4="Yes",BG175=0)),1,0))</f>
        <v/>
      </c>
      <c r="BJ175">
        <f>IF(BH175=0,"",IF('Tasks Filter'!$F$6="Descending",-1,1)*CHOOSE(MATCH('Tasks Filter'!$F$5,Lists!$G$2:$G$6,0),AW175,BF175,IFERROR(MATCH(AV175,Setup!$F$6:$F$15,0),99),IFERROR(MATCH(BC175,Setup!$H$6:$H$15,0),99),IFERROR(MATCH(AZ175,Setup!$J$6:$J$11,0),99))*1E+9+(AW175-40000)*10000+174)</f>
        <v/>
      </c>
      <c r="BK175">
        <f>IF(BI175=1,BJ175,"")</f>
        <v/>
      </c>
      <c r="BL175">
        <f>IF(AND(BH175=1,BG175=0,N(AW175)&lt;Setup!$D$7),(AW175-40000)*10000+174,"")</f>
        <v/>
      </c>
      <c r="BM175">
        <f>IF(AND(BH175=1,AZ175&lt;&gt;"Cancelled",N(AW175)&gt;=Dashboard!$AB$3,N(AW175)&lt;=Dashboard!$AB$3+6),(AW175-40000)*100000+BF175*10000+174,"")</f>
        <v/>
      </c>
      <c r="BN175">
        <f>IF(AND(BH175=1,AZ175&lt;&gt;"Cancelled"),BF175*10000+174,"")</f>
        <v/>
      </c>
    </row>
    <row r="176">
      <c r="A176">
        <f>Setup!$D$5+174</f>
        <v/>
      </c>
      <c r="B176">
        <f>IF('Recurring Schedule'!$C$6="","",IF('Recurring Schedule'!$F$6="","",IF(OR($A176&lt;'Recurring Schedule'!$F$6,$A176&gt;'Recurring Schedule'!$P$6),"",IF(IF('Recurring Schedule'!$N$6&gt;0,MOD($A176-'Recurring Schedule'!$F$6,'Recurring Schedule'!$N$6)=0,IF('Recurring Schedule'!$O$6&gt;0,AND(DAY($A176)=MIN(DAY('Recurring Schedule'!$F$6),DAY(EOMONTH($A176,0))),MOD((YEAR($A176)-YEAR('Recurring Schedule'!$F$6))*12+MONTH($A176)-MONTH('Recurring Schedule'!$F$6),'Recurring Schedule'!$O$6)=0),IF('Recurring Schedule'!$E$6="Weekdays",WEEKDAY($A176,2)&lt;=5,$A176='Recurring Schedule'!$F$6))),1,""))))</f>
        <v/>
      </c>
      <c r="C176">
        <f>IF('Recurring Schedule'!$C$7="","",IF('Recurring Schedule'!$F$7="","",IF(OR($A176&lt;'Recurring Schedule'!$F$7,$A176&gt;'Recurring Schedule'!$P$7),"",IF(IF('Recurring Schedule'!$N$7&gt;0,MOD($A176-'Recurring Schedule'!$F$7,'Recurring Schedule'!$N$7)=0,IF('Recurring Schedule'!$O$7&gt;0,AND(DAY($A176)=MIN(DAY('Recurring Schedule'!$F$7),DAY(EOMONTH($A176,0))),MOD((YEAR($A176)-YEAR('Recurring Schedule'!$F$7))*12+MONTH($A176)-MONTH('Recurring Schedule'!$F$7),'Recurring Schedule'!$O$7)=0),IF('Recurring Schedule'!$E$7="Weekdays",WEEKDAY($A176,2)&lt;=5,$A176='Recurring Schedule'!$F$7))),2,""))))</f>
        <v/>
      </c>
      <c r="D176">
        <f>IF('Recurring Schedule'!$C$8="","",IF('Recurring Schedule'!$F$8="","",IF(OR($A176&lt;'Recurring Schedule'!$F$8,$A176&gt;'Recurring Schedule'!$P$8),"",IF(IF('Recurring Schedule'!$N$8&gt;0,MOD($A176-'Recurring Schedule'!$F$8,'Recurring Schedule'!$N$8)=0,IF('Recurring Schedule'!$O$8&gt;0,AND(DAY($A176)=MIN(DAY('Recurring Schedule'!$F$8),DAY(EOMONTH($A176,0))),MOD((YEAR($A176)-YEAR('Recurring Schedule'!$F$8))*12+MONTH($A176)-MONTH('Recurring Schedule'!$F$8),'Recurring Schedule'!$O$8)=0),IF('Recurring Schedule'!$E$8="Weekdays",WEEKDAY($A176,2)&lt;=5,$A176='Recurring Schedule'!$F$8))),3,""))))</f>
        <v/>
      </c>
      <c r="E176">
        <f>IF('Recurring Schedule'!$C$9="","",IF('Recurring Schedule'!$F$9="","",IF(OR($A176&lt;'Recurring Schedule'!$F$9,$A176&gt;'Recurring Schedule'!$P$9),"",IF(IF('Recurring Schedule'!$N$9&gt;0,MOD($A176-'Recurring Schedule'!$F$9,'Recurring Schedule'!$N$9)=0,IF('Recurring Schedule'!$O$9&gt;0,AND(DAY($A176)=MIN(DAY('Recurring Schedule'!$F$9),DAY(EOMONTH($A176,0))),MOD((YEAR($A176)-YEAR('Recurring Schedule'!$F$9))*12+MONTH($A176)-MONTH('Recurring Schedule'!$F$9),'Recurring Schedule'!$O$9)=0),IF('Recurring Schedule'!$E$9="Weekdays",WEEKDAY($A176,2)&lt;=5,$A176='Recurring Schedule'!$F$9))),4,""))))</f>
        <v/>
      </c>
      <c r="F176">
        <f>IF('Recurring Schedule'!$C$10="","",IF('Recurring Schedule'!$F$10="","",IF(OR($A176&lt;'Recurring Schedule'!$F$10,$A176&gt;'Recurring Schedule'!$P$10),"",IF(IF('Recurring Schedule'!$N$10&gt;0,MOD($A176-'Recurring Schedule'!$F$10,'Recurring Schedule'!$N$10)=0,IF('Recurring Schedule'!$O$10&gt;0,AND(DAY($A176)=MIN(DAY('Recurring Schedule'!$F$10),DAY(EOMONTH($A176,0))),MOD((YEAR($A176)-YEAR('Recurring Schedule'!$F$10))*12+MONTH($A176)-MONTH('Recurring Schedule'!$F$10),'Recurring Schedule'!$O$10)=0),IF('Recurring Schedule'!$E$10="Weekdays",WEEKDAY($A176,2)&lt;=5,$A176='Recurring Schedule'!$F$10))),5,""))))</f>
        <v/>
      </c>
      <c r="G176">
        <f>IF('Recurring Schedule'!$C$11="","",IF('Recurring Schedule'!$F$11="","",IF(OR($A176&lt;'Recurring Schedule'!$F$11,$A176&gt;'Recurring Schedule'!$P$11),"",IF(IF('Recurring Schedule'!$N$11&gt;0,MOD($A176-'Recurring Schedule'!$F$11,'Recurring Schedule'!$N$11)=0,IF('Recurring Schedule'!$O$11&gt;0,AND(DAY($A176)=MIN(DAY('Recurring Schedule'!$F$11),DAY(EOMONTH($A176,0))),MOD((YEAR($A176)-YEAR('Recurring Schedule'!$F$11))*12+MONTH($A176)-MONTH('Recurring Schedule'!$F$11),'Recurring Schedule'!$O$11)=0),IF('Recurring Schedule'!$E$11="Weekdays",WEEKDAY($A176,2)&lt;=5,$A176='Recurring Schedule'!$F$11))),6,""))))</f>
        <v/>
      </c>
      <c r="H176">
        <f>IF('Recurring Schedule'!$C$12="","",IF('Recurring Schedule'!$F$12="","",IF(OR($A176&lt;'Recurring Schedule'!$F$12,$A176&gt;'Recurring Schedule'!$P$12),"",IF(IF('Recurring Schedule'!$N$12&gt;0,MOD($A176-'Recurring Schedule'!$F$12,'Recurring Schedule'!$N$12)=0,IF('Recurring Schedule'!$O$12&gt;0,AND(DAY($A176)=MIN(DAY('Recurring Schedule'!$F$12),DAY(EOMONTH($A176,0))),MOD((YEAR($A176)-YEAR('Recurring Schedule'!$F$12))*12+MONTH($A176)-MONTH('Recurring Schedule'!$F$12),'Recurring Schedule'!$O$12)=0),IF('Recurring Schedule'!$E$12="Weekdays",WEEKDAY($A176,2)&lt;=5,$A176='Recurring Schedule'!$F$12))),7,""))))</f>
        <v/>
      </c>
      <c r="I176">
        <f>IF('Recurring Schedule'!$C$13="","",IF('Recurring Schedule'!$F$13="","",IF(OR($A176&lt;'Recurring Schedule'!$F$13,$A176&gt;'Recurring Schedule'!$P$13),"",IF(IF('Recurring Schedule'!$N$13&gt;0,MOD($A176-'Recurring Schedule'!$F$13,'Recurring Schedule'!$N$13)=0,IF('Recurring Schedule'!$O$13&gt;0,AND(DAY($A176)=MIN(DAY('Recurring Schedule'!$F$13),DAY(EOMONTH($A176,0))),MOD((YEAR($A176)-YEAR('Recurring Schedule'!$F$13))*12+MONTH($A176)-MONTH('Recurring Schedule'!$F$13),'Recurring Schedule'!$O$13)=0),IF('Recurring Schedule'!$E$13="Weekdays",WEEKDAY($A176,2)&lt;=5,$A176='Recurring Schedule'!$F$13))),8,""))))</f>
        <v/>
      </c>
      <c r="J176">
        <f>IF('Recurring Schedule'!$C$14="","",IF('Recurring Schedule'!$F$14="","",IF(OR($A176&lt;'Recurring Schedule'!$F$14,$A176&gt;'Recurring Schedule'!$P$14),"",IF(IF('Recurring Schedule'!$N$14&gt;0,MOD($A176-'Recurring Schedule'!$F$14,'Recurring Schedule'!$N$14)=0,IF('Recurring Schedule'!$O$14&gt;0,AND(DAY($A176)=MIN(DAY('Recurring Schedule'!$F$14),DAY(EOMONTH($A176,0))),MOD((YEAR($A176)-YEAR('Recurring Schedule'!$F$14))*12+MONTH($A176)-MONTH('Recurring Schedule'!$F$14),'Recurring Schedule'!$O$14)=0),IF('Recurring Schedule'!$E$14="Weekdays",WEEKDAY($A176,2)&lt;=5,$A176='Recurring Schedule'!$F$14))),9,""))))</f>
        <v/>
      </c>
      <c r="K176">
        <f>IF('Recurring Schedule'!$C$15="","",IF('Recurring Schedule'!$F$15="","",IF(OR($A176&lt;'Recurring Schedule'!$F$15,$A176&gt;'Recurring Schedule'!$P$15),"",IF(IF('Recurring Schedule'!$N$15&gt;0,MOD($A176-'Recurring Schedule'!$F$15,'Recurring Schedule'!$N$15)=0,IF('Recurring Schedule'!$O$15&gt;0,AND(DAY($A176)=MIN(DAY('Recurring Schedule'!$F$15),DAY(EOMONTH($A176,0))),MOD((YEAR($A176)-YEAR('Recurring Schedule'!$F$15))*12+MONTH($A176)-MONTH('Recurring Schedule'!$F$15),'Recurring Schedule'!$O$15)=0),IF('Recurring Schedule'!$E$15="Weekdays",WEEKDAY($A176,2)&lt;=5,$A176='Recurring Schedule'!$F$15))),10,""))))</f>
        <v/>
      </c>
      <c r="L176">
        <f>IF('Recurring Schedule'!$C$16="","",IF('Recurring Schedule'!$F$16="","",IF(OR($A176&lt;'Recurring Schedule'!$F$16,$A176&gt;'Recurring Schedule'!$P$16),"",IF(IF('Recurring Schedule'!$N$16&gt;0,MOD($A176-'Recurring Schedule'!$F$16,'Recurring Schedule'!$N$16)=0,IF('Recurring Schedule'!$O$16&gt;0,AND(DAY($A176)=MIN(DAY('Recurring Schedule'!$F$16),DAY(EOMONTH($A176,0))),MOD((YEAR($A176)-YEAR('Recurring Schedule'!$F$16))*12+MONTH($A176)-MONTH('Recurring Schedule'!$F$16),'Recurring Schedule'!$O$16)=0),IF('Recurring Schedule'!$E$16="Weekdays",WEEKDAY($A176,2)&lt;=5,$A176='Recurring Schedule'!$F$16))),11,""))))</f>
        <v/>
      </c>
      <c r="M176">
        <f>IF('Recurring Schedule'!$C$17="","",IF('Recurring Schedule'!$F$17="","",IF(OR($A176&lt;'Recurring Schedule'!$F$17,$A176&gt;'Recurring Schedule'!$P$17),"",IF(IF('Recurring Schedule'!$N$17&gt;0,MOD($A176-'Recurring Schedule'!$F$17,'Recurring Schedule'!$N$17)=0,IF('Recurring Schedule'!$O$17&gt;0,AND(DAY($A176)=MIN(DAY('Recurring Schedule'!$F$17),DAY(EOMONTH($A176,0))),MOD((YEAR($A176)-YEAR('Recurring Schedule'!$F$17))*12+MONTH($A176)-MONTH('Recurring Schedule'!$F$17),'Recurring Schedule'!$O$17)=0),IF('Recurring Schedule'!$E$17="Weekdays",WEEKDAY($A176,2)&lt;=5,$A176='Recurring Schedule'!$F$17))),12,""))))</f>
        <v/>
      </c>
      <c r="N176">
        <f>IF('Recurring Schedule'!$C$18="","",IF('Recurring Schedule'!$F$18="","",IF(OR($A176&lt;'Recurring Schedule'!$F$18,$A176&gt;'Recurring Schedule'!$P$18),"",IF(IF('Recurring Schedule'!$N$18&gt;0,MOD($A176-'Recurring Schedule'!$F$18,'Recurring Schedule'!$N$18)=0,IF('Recurring Schedule'!$O$18&gt;0,AND(DAY($A176)=MIN(DAY('Recurring Schedule'!$F$18),DAY(EOMONTH($A176,0))),MOD((YEAR($A176)-YEAR('Recurring Schedule'!$F$18))*12+MONTH($A176)-MONTH('Recurring Schedule'!$F$18),'Recurring Schedule'!$O$18)=0),IF('Recurring Schedule'!$E$18="Weekdays",WEEKDAY($A176,2)&lt;=5,$A176='Recurring Schedule'!$F$18))),13,""))))</f>
        <v/>
      </c>
      <c r="O176">
        <f>IF('Recurring Schedule'!$C$19="","",IF('Recurring Schedule'!$F$19="","",IF(OR($A176&lt;'Recurring Schedule'!$F$19,$A176&gt;'Recurring Schedule'!$P$19),"",IF(IF('Recurring Schedule'!$N$19&gt;0,MOD($A176-'Recurring Schedule'!$F$19,'Recurring Schedule'!$N$19)=0,IF('Recurring Schedule'!$O$19&gt;0,AND(DAY($A176)=MIN(DAY('Recurring Schedule'!$F$19),DAY(EOMONTH($A176,0))),MOD((YEAR($A176)-YEAR('Recurring Schedule'!$F$19))*12+MONTH($A176)-MONTH('Recurring Schedule'!$F$19),'Recurring Schedule'!$O$19)=0),IF('Recurring Schedule'!$E$19="Weekdays",WEEKDAY($A176,2)&lt;=5,$A176='Recurring Schedule'!$F$19))),14,""))))</f>
        <v/>
      </c>
      <c r="P176">
        <f>IF('Recurring Schedule'!$C$20="","",IF('Recurring Schedule'!$F$20="","",IF(OR($A176&lt;'Recurring Schedule'!$F$20,$A176&gt;'Recurring Schedule'!$P$20),"",IF(IF('Recurring Schedule'!$N$20&gt;0,MOD($A176-'Recurring Schedule'!$F$20,'Recurring Schedule'!$N$20)=0,IF('Recurring Schedule'!$O$20&gt;0,AND(DAY($A176)=MIN(DAY('Recurring Schedule'!$F$20),DAY(EOMONTH($A176,0))),MOD((YEAR($A176)-YEAR('Recurring Schedule'!$F$20))*12+MONTH($A176)-MONTH('Recurring Schedule'!$F$20),'Recurring Schedule'!$O$20)=0),IF('Recurring Schedule'!$E$20="Weekdays",WEEKDAY($A176,2)&lt;=5,$A176='Recurring Schedule'!$F$20))),15,""))))</f>
        <v/>
      </c>
      <c r="Q176">
        <f>IF('Recurring Schedule'!$C$21="","",IF('Recurring Schedule'!$F$21="","",IF(OR($A176&lt;'Recurring Schedule'!$F$21,$A176&gt;'Recurring Schedule'!$P$21),"",IF(IF('Recurring Schedule'!$N$21&gt;0,MOD($A176-'Recurring Schedule'!$F$21,'Recurring Schedule'!$N$21)=0,IF('Recurring Schedule'!$O$21&gt;0,AND(DAY($A176)=MIN(DAY('Recurring Schedule'!$F$21),DAY(EOMONTH($A176,0))),MOD((YEAR($A176)-YEAR('Recurring Schedule'!$F$21))*12+MONTH($A176)-MONTH('Recurring Schedule'!$F$21),'Recurring Schedule'!$O$21)=0),IF('Recurring Schedule'!$E$21="Weekdays",WEEKDAY($A176,2)&lt;=5,$A176='Recurring Schedule'!$F$21))),16,""))))</f>
        <v/>
      </c>
      <c r="R176">
        <f>IF('Recurring Schedule'!$C$22="","",IF('Recurring Schedule'!$F$22="","",IF(OR($A176&lt;'Recurring Schedule'!$F$22,$A176&gt;'Recurring Schedule'!$P$22),"",IF(IF('Recurring Schedule'!$N$22&gt;0,MOD($A176-'Recurring Schedule'!$F$22,'Recurring Schedule'!$N$22)=0,IF('Recurring Schedule'!$O$22&gt;0,AND(DAY($A176)=MIN(DAY('Recurring Schedule'!$F$22),DAY(EOMONTH($A176,0))),MOD((YEAR($A176)-YEAR('Recurring Schedule'!$F$22))*12+MONTH($A176)-MONTH('Recurring Schedule'!$F$22),'Recurring Schedule'!$O$22)=0),IF('Recurring Schedule'!$E$22="Weekdays",WEEKDAY($A176,2)&lt;=5,$A176='Recurring Schedule'!$F$22))),17,""))))</f>
        <v/>
      </c>
      <c r="S176">
        <f>IF('Recurring Schedule'!$C$23="","",IF('Recurring Schedule'!$F$23="","",IF(OR($A176&lt;'Recurring Schedule'!$F$23,$A176&gt;'Recurring Schedule'!$P$23),"",IF(IF('Recurring Schedule'!$N$23&gt;0,MOD($A176-'Recurring Schedule'!$F$23,'Recurring Schedule'!$N$23)=0,IF('Recurring Schedule'!$O$23&gt;0,AND(DAY($A176)=MIN(DAY('Recurring Schedule'!$F$23),DAY(EOMONTH($A176,0))),MOD((YEAR($A176)-YEAR('Recurring Schedule'!$F$23))*12+MONTH($A176)-MONTH('Recurring Schedule'!$F$23),'Recurring Schedule'!$O$23)=0),IF('Recurring Schedule'!$E$23="Weekdays",WEEKDAY($A176,2)&lt;=5,$A176='Recurring Schedule'!$F$23))),18,""))))</f>
        <v/>
      </c>
      <c r="T176">
        <f>IF('Recurring Schedule'!$C$24="","",IF('Recurring Schedule'!$F$24="","",IF(OR($A176&lt;'Recurring Schedule'!$F$24,$A176&gt;'Recurring Schedule'!$P$24),"",IF(IF('Recurring Schedule'!$N$24&gt;0,MOD($A176-'Recurring Schedule'!$F$24,'Recurring Schedule'!$N$24)=0,IF('Recurring Schedule'!$O$24&gt;0,AND(DAY($A176)=MIN(DAY('Recurring Schedule'!$F$24),DAY(EOMONTH($A176,0))),MOD((YEAR($A176)-YEAR('Recurring Schedule'!$F$24))*12+MONTH($A176)-MONTH('Recurring Schedule'!$F$24),'Recurring Schedule'!$O$24)=0),IF('Recurring Schedule'!$E$24="Weekdays",WEEKDAY($A176,2)&lt;=5,$A176='Recurring Schedule'!$F$24))),19,""))))</f>
        <v/>
      </c>
      <c r="U176">
        <f>IF('Recurring Schedule'!$C$25="","",IF('Recurring Schedule'!$F$25="","",IF(OR($A176&lt;'Recurring Schedule'!$F$25,$A176&gt;'Recurring Schedule'!$P$25),"",IF(IF('Recurring Schedule'!$N$25&gt;0,MOD($A176-'Recurring Schedule'!$F$25,'Recurring Schedule'!$N$25)=0,IF('Recurring Schedule'!$O$25&gt;0,AND(DAY($A176)=MIN(DAY('Recurring Schedule'!$F$25),DAY(EOMONTH($A176,0))),MOD((YEAR($A176)-YEAR('Recurring Schedule'!$F$25))*12+MONTH($A176)-MONTH('Recurring Schedule'!$F$25),'Recurring Schedule'!$O$25)=0),IF('Recurring Schedule'!$E$25="Weekdays",WEEKDAY($A176,2)&lt;=5,$A176='Recurring Schedule'!$F$25))),20,""))))</f>
        <v/>
      </c>
      <c r="V176">
        <f>IF('Recurring Schedule'!$C$26="","",IF('Recurring Schedule'!$F$26="","",IF(OR($A176&lt;'Recurring Schedule'!$F$26,$A176&gt;'Recurring Schedule'!$P$26),"",IF(IF('Recurring Schedule'!$N$26&gt;0,MOD($A176-'Recurring Schedule'!$F$26,'Recurring Schedule'!$N$26)=0,IF('Recurring Schedule'!$O$26&gt;0,AND(DAY($A176)=MIN(DAY('Recurring Schedule'!$F$26),DAY(EOMONTH($A176,0))),MOD((YEAR($A176)-YEAR('Recurring Schedule'!$F$26))*12+MONTH($A176)-MONTH('Recurring Schedule'!$F$26),'Recurring Schedule'!$O$26)=0),IF('Recurring Schedule'!$E$26="Weekdays",WEEKDAY($A176,2)&lt;=5,$A176='Recurring Schedule'!$F$26))),21,""))))</f>
        <v/>
      </c>
      <c r="W176">
        <f>IF('Recurring Schedule'!$C$27="","",IF('Recurring Schedule'!$F$27="","",IF(OR($A176&lt;'Recurring Schedule'!$F$27,$A176&gt;'Recurring Schedule'!$P$27),"",IF(IF('Recurring Schedule'!$N$27&gt;0,MOD($A176-'Recurring Schedule'!$F$27,'Recurring Schedule'!$N$27)=0,IF('Recurring Schedule'!$O$27&gt;0,AND(DAY($A176)=MIN(DAY('Recurring Schedule'!$F$27),DAY(EOMONTH($A176,0))),MOD((YEAR($A176)-YEAR('Recurring Schedule'!$F$27))*12+MONTH($A176)-MONTH('Recurring Schedule'!$F$27),'Recurring Schedule'!$O$27)=0),IF('Recurring Schedule'!$E$27="Weekdays",WEEKDAY($A176,2)&lt;=5,$A176='Recurring Schedule'!$F$27))),22,""))))</f>
        <v/>
      </c>
      <c r="X176">
        <f>IF('Recurring Schedule'!$C$28="","",IF('Recurring Schedule'!$F$28="","",IF(OR($A176&lt;'Recurring Schedule'!$F$28,$A176&gt;'Recurring Schedule'!$P$28),"",IF(IF('Recurring Schedule'!$N$28&gt;0,MOD($A176-'Recurring Schedule'!$F$28,'Recurring Schedule'!$N$28)=0,IF('Recurring Schedule'!$O$28&gt;0,AND(DAY($A176)=MIN(DAY('Recurring Schedule'!$F$28),DAY(EOMONTH($A176,0))),MOD((YEAR($A176)-YEAR('Recurring Schedule'!$F$28))*12+MONTH($A176)-MONTH('Recurring Schedule'!$F$28),'Recurring Schedule'!$O$28)=0),IF('Recurring Schedule'!$E$28="Weekdays",WEEKDAY($A176,2)&lt;=5,$A176='Recurring Schedule'!$F$28))),23,""))))</f>
        <v/>
      </c>
      <c r="Y176">
        <f>IF('Recurring Schedule'!$C$29="","",IF('Recurring Schedule'!$F$29="","",IF(OR($A176&lt;'Recurring Schedule'!$F$29,$A176&gt;'Recurring Schedule'!$P$29),"",IF(IF('Recurring Schedule'!$N$29&gt;0,MOD($A176-'Recurring Schedule'!$F$29,'Recurring Schedule'!$N$29)=0,IF('Recurring Schedule'!$O$29&gt;0,AND(DAY($A176)=MIN(DAY('Recurring Schedule'!$F$29),DAY(EOMONTH($A176,0))),MOD((YEAR($A176)-YEAR('Recurring Schedule'!$F$29))*12+MONTH($A176)-MONTH('Recurring Schedule'!$F$29),'Recurring Schedule'!$O$29)=0),IF('Recurring Schedule'!$E$29="Weekdays",WEEKDAY($A176,2)&lt;=5,$A176='Recurring Schedule'!$F$29))),24,""))))</f>
        <v/>
      </c>
      <c r="Z176">
        <f>IF('Recurring Schedule'!$C$30="","",IF('Recurring Schedule'!$F$30="","",IF(OR($A176&lt;'Recurring Schedule'!$F$30,$A176&gt;'Recurring Schedule'!$P$30),"",IF(IF('Recurring Schedule'!$N$30&gt;0,MOD($A176-'Recurring Schedule'!$F$30,'Recurring Schedule'!$N$30)=0,IF('Recurring Schedule'!$O$30&gt;0,AND(DAY($A176)=MIN(DAY('Recurring Schedule'!$F$30),DAY(EOMONTH($A176,0))),MOD((YEAR($A176)-YEAR('Recurring Schedule'!$F$30))*12+MONTH($A176)-MONTH('Recurring Schedule'!$F$30),'Recurring Schedule'!$O$30)=0),IF('Recurring Schedule'!$E$30="Weekdays",WEEKDAY($A176,2)&lt;=5,$A176='Recurring Schedule'!$F$30))),25,""))))</f>
        <v/>
      </c>
      <c r="AA176">
        <f>IF('Recurring Schedule'!$C$31="","",IF('Recurring Schedule'!$F$31="","",IF(OR($A176&lt;'Recurring Schedule'!$F$31,$A176&gt;'Recurring Schedule'!$P$31),"",IF(IF('Recurring Schedule'!$N$31&gt;0,MOD($A176-'Recurring Schedule'!$F$31,'Recurring Schedule'!$N$31)=0,IF('Recurring Schedule'!$O$31&gt;0,AND(DAY($A176)=MIN(DAY('Recurring Schedule'!$F$31),DAY(EOMONTH($A176,0))),MOD((YEAR($A176)-YEAR('Recurring Schedule'!$F$31))*12+MONTH($A176)-MONTH('Recurring Schedule'!$F$31),'Recurring Schedule'!$O$31)=0),IF('Recurring Schedule'!$E$31="Weekdays",WEEKDAY($A176,2)&lt;=5,$A176='Recurring Schedule'!$F$31))),26,""))))</f>
        <v/>
      </c>
      <c r="AB176">
        <f>IF('Recurring Schedule'!$C$32="","",IF('Recurring Schedule'!$F$32="","",IF(OR($A176&lt;'Recurring Schedule'!$F$32,$A176&gt;'Recurring Schedule'!$P$32),"",IF(IF('Recurring Schedule'!$N$32&gt;0,MOD($A176-'Recurring Schedule'!$F$32,'Recurring Schedule'!$N$32)=0,IF('Recurring Schedule'!$O$32&gt;0,AND(DAY($A176)=MIN(DAY('Recurring Schedule'!$F$32),DAY(EOMONTH($A176,0))),MOD((YEAR($A176)-YEAR('Recurring Schedule'!$F$32))*12+MONTH($A176)-MONTH('Recurring Schedule'!$F$32),'Recurring Schedule'!$O$32)=0),IF('Recurring Schedule'!$E$32="Weekdays",WEEKDAY($A176,2)&lt;=5,$A176='Recurring Schedule'!$F$32))),27,""))))</f>
        <v/>
      </c>
      <c r="AC176">
        <f>IF('Recurring Schedule'!$C$33="","",IF('Recurring Schedule'!$F$33="","",IF(OR($A176&lt;'Recurring Schedule'!$F$33,$A176&gt;'Recurring Schedule'!$P$33),"",IF(IF('Recurring Schedule'!$N$33&gt;0,MOD($A176-'Recurring Schedule'!$F$33,'Recurring Schedule'!$N$33)=0,IF('Recurring Schedule'!$O$33&gt;0,AND(DAY($A176)=MIN(DAY('Recurring Schedule'!$F$33),DAY(EOMONTH($A176,0))),MOD((YEAR($A176)-YEAR('Recurring Schedule'!$F$33))*12+MONTH($A176)-MONTH('Recurring Schedule'!$F$33),'Recurring Schedule'!$O$33)=0),IF('Recurring Schedule'!$E$33="Weekdays",WEEKDAY($A176,2)&lt;=5,$A176='Recurring Schedule'!$F$33))),28,""))))</f>
        <v/>
      </c>
      <c r="AD176">
        <f>IF('Recurring Schedule'!$C$34="","",IF('Recurring Schedule'!$F$34="","",IF(OR($A176&lt;'Recurring Schedule'!$F$34,$A176&gt;'Recurring Schedule'!$P$34),"",IF(IF('Recurring Schedule'!$N$34&gt;0,MOD($A176-'Recurring Schedule'!$F$34,'Recurring Schedule'!$N$34)=0,IF('Recurring Schedule'!$O$34&gt;0,AND(DAY($A176)=MIN(DAY('Recurring Schedule'!$F$34),DAY(EOMONTH($A176,0))),MOD((YEAR($A176)-YEAR('Recurring Schedule'!$F$34))*12+MONTH($A176)-MONTH('Recurring Schedule'!$F$34),'Recurring Schedule'!$O$34)=0),IF('Recurring Schedule'!$E$34="Weekdays",WEEKDAY($A176,2)&lt;=5,$A176='Recurring Schedule'!$F$34))),29,""))))</f>
        <v/>
      </c>
      <c r="AE176">
        <f>IF('Recurring Schedule'!$C$35="","",IF('Recurring Schedule'!$F$35="","",IF(OR($A176&lt;'Recurring Schedule'!$F$35,$A176&gt;'Recurring Schedule'!$P$35),"",IF(IF('Recurring Schedule'!$N$35&gt;0,MOD($A176-'Recurring Schedule'!$F$35,'Recurring Schedule'!$N$35)=0,IF('Recurring Schedule'!$O$35&gt;0,AND(DAY($A176)=MIN(DAY('Recurring Schedule'!$F$35),DAY(EOMONTH($A176,0))),MOD((YEAR($A176)-YEAR('Recurring Schedule'!$F$35))*12+MONTH($A176)-MONTH('Recurring Schedule'!$F$35),'Recurring Schedule'!$O$35)=0),IF('Recurring Schedule'!$E$35="Weekdays",WEEKDAY($A176,2)&lt;=5,$A176='Recurring Schedule'!$F$35))),30,""))))</f>
        <v/>
      </c>
      <c r="AF176">
        <f>IF('Recurring Schedule'!$C$36="","",IF('Recurring Schedule'!$F$36="","",IF(OR($A176&lt;'Recurring Schedule'!$F$36,$A176&gt;'Recurring Schedule'!$P$36),"",IF(IF('Recurring Schedule'!$N$36&gt;0,MOD($A176-'Recurring Schedule'!$F$36,'Recurring Schedule'!$N$36)=0,IF('Recurring Schedule'!$O$36&gt;0,AND(DAY($A176)=MIN(DAY('Recurring Schedule'!$F$36),DAY(EOMONTH($A176,0))),MOD((YEAR($A176)-YEAR('Recurring Schedule'!$F$36))*12+MONTH($A176)-MONTH('Recurring Schedule'!$F$36),'Recurring Schedule'!$O$36)=0),IF('Recurring Schedule'!$E$36="Weekdays",WEEKDAY($A176,2)&lt;=5,$A176='Recurring Schedule'!$F$36))),31,""))))</f>
        <v/>
      </c>
      <c r="AG176">
        <f>IF('Recurring Schedule'!$C$37="","",IF('Recurring Schedule'!$F$37="","",IF(OR($A176&lt;'Recurring Schedule'!$F$37,$A176&gt;'Recurring Schedule'!$P$37),"",IF(IF('Recurring Schedule'!$N$37&gt;0,MOD($A176-'Recurring Schedule'!$F$37,'Recurring Schedule'!$N$37)=0,IF('Recurring Schedule'!$O$37&gt;0,AND(DAY($A176)=MIN(DAY('Recurring Schedule'!$F$37),DAY(EOMONTH($A176,0))),MOD((YEAR($A176)-YEAR('Recurring Schedule'!$F$37))*12+MONTH($A176)-MONTH('Recurring Schedule'!$F$37),'Recurring Schedule'!$O$37)=0),IF('Recurring Schedule'!$E$37="Weekdays",WEEKDAY($A176,2)&lt;=5,$A176='Recurring Schedule'!$F$37))),32,""))))</f>
        <v/>
      </c>
      <c r="AH176">
        <f>IF('Recurring Schedule'!$C$38="","",IF('Recurring Schedule'!$F$38="","",IF(OR($A176&lt;'Recurring Schedule'!$F$38,$A176&gt;'Recurring Schedule'!$P$38),"",IF(IF('Recurring Schedule'!$N$38&gt;0,MOD($A176-'Recurring Schedule'!$F$38,'Recurring Schedule'!$N$38)=0,IF('Recurring Schedule'!$O$38&gt;0,AND(DAY($A176)=MIN(DAY('Recurring Schedule'!$F$38),DAY(EOMONTH($A176,0))),MOD((YEAR($A176)-YEAR('Recurring Schedule'!$F$38))*12+MONTH($A176)-MONTH('Recurring Schedule'!$F$38),'Recurring Schedule'!$O$38)=0),IF('Recurring Schedule'!$E$38="Weekdays",WEEKDAY($A176,2)&lt;=5,$A176='Recurring Schedule'!$F$38))),33,""))))</f>
        <v/>
      </c>
      <c r="AI176">
        <f>IF('Recurring Schedule'!$C$39="","",IF('Recurring Schedule'!$F$39="","",IF(OR($A176&lt;'Recurring Schedule'!$F$39,$A176&gt;'Recurring Schedule'!$P$39),"",IF(IF('Recurring Schedule'!$N$39&gt;0,MOD($A176-'Recurring Schedule'!$F$39,'Recurring Schedule'!$N$39)=0,IF('Recurring Schedule'!$O$39&gt;0,AND(DAY($A176)=MIN(DAY('Recurring Schedule'!$F$39),DAY(EOMONTH($A176,0))),MOD((YEAR($A176)-YEAR('Recurring Schedule'!$F$39))*12+MONTH($A176)-MONTH('Recurring Schedule'!$F$39),'Recurring Schedule'!$O$39)=0),IF('Recurring Schedule'!$E$39="Weekdays",WEEKDAY($A176,2)&lt;=5,$A176='Recurring Schedule'!$F$39))),34,""))))</f>
        <v/>
      </c>
      <c r="AJ176">
        <f>IF('Recurring Schedule'!$C$40="","",IF('Recurring Schedule'!$F$40="","",IF(OR($A176&lt;'Recurring Schedule'!$F$40,$A176&gt;'Recurring Schedule'!$P$40),"",IF(IF('Recurring Schedule'!$N$40&gt;0,MOD($A176-'Recurring Schedule'!$F$40,'Recurring Schedule'!$N$40)=0,IF('Recurring Schedule'!$O$40&gt;0,AND(DAY($A176)=MIN(DAY('Recurring Schedule'!$F$40),DAY(EOMONTH($A176,0))),MOD((YEAR($A176)-YEAR('Recurring Schedule'!$F$40))*12+MONTH($A176)-MONTH('Recurring Schedule'!$F$40),'Recurring Schedule'!$O$40)=0),IF('Recurring Schedule'!$E$40="Weekdays",WEEKDAY($A176,2)&lt;=5,$A176='Recurring Schedule'!$F$40))),35,""))))</f>
        <v/>
      </c>
      <c r="AK176">
        <f>IF('Recurring Schedule'!$C$41="","",IF('Recurring Schedule'!$F$41="","",IF(OR($A176&lt;'Recurring Schedule'!$F$41,$A176&gt;'Recurring Schedule'!$P$41),"",IF(IF('Recurring Schedule'!$N$41&gt;0,MOD($A176-'Recurring Schedule'!$F$41,'Recurring Schedule'!$N$41)=0,IF('Recurring Schedule'!$O$41&gt;0,AND(DAY($A176)=MIN(DAY('Recurring Schedule'!$F$41),DAY(EOMONTH($A176,0))),MOD((YEAR($A176)-YEAR('Recurring Schedule'!$F$41))*12+MONTH($A176)-MONTH('Recurring Schedule'!$F$41),'Recurring Schedule'!$O$41)=0),IF('Recurring Schedule'!$E$41="Weekdays",WEEKDAY($A176,2)&lt;=5,$A176='Recurring Schedule'!$F$41))),36,""))))</f>
        <v/>
      </c>
      <c r="AL176">
        <f>IF('Recurring Schedule'!$C$42="","",IF('Recurring Schedule'!$F$42="","",IF(OR($A176&lt;'Recurring Schedule'!$F$42,$A176&gt;'Recurring Schedule'!$P$42),"",IF(IF('Recurring Schedule'!$N$42&gt;0,MOD($A176-'Recurring Schedule'!$F$42,'Recurring Schedule'!$N$42)=0,IF('Recurring Schedule'!$O$42&gt;0,AND(DAY($A176)=MIN(DAY('Recurring Schedule'!$F$42),DAY(EOMONTH($A176,0))),MOD((YEAR($A176)-YEAR('Recurring Schedule'!$F$42))*12+MONTH($A176)-MONTH('Recurring Schedule'!$F$42),'Recurring Schedule'!$O$42)=0),IF('Recurring Schedule'!$E$42="Weekdays",WEEKDAY($A176,2)&lt;=5,$A176='Recurring Schedule'!$F$42))),37,""))))</f>
        <v/>
      </c>
      <c r="AM176">
        <f>IF('Recurring Schedule'!$C$43="","",IF('Recurring Schedule'!$F$43="","",IF(OR($A176&lt;'Recurring Schedule'!$F$43,$A176&gt;'Recurring Schedule'!$P$43),"",IF(IF('Recurring Schedule'!$N$43&gt;0,MOD($A176-'Recurring Schedule'!$F$43,'Recurring Schedule'!$N$43)=0,IF('Recurring Schedule'!$O$43&gt;0,AND(DAY($A176)=MIN(DAY('Recurring Schedule'!$F$43),DAY(EOMONTH($A176,0))),MOD((YEAR($A176)-YEAR('Recurring Schedule'!$F$43))*12+MONTH($A176)-MONTH('Recurring Schedule'!$F$43),'Recurring Schedule'!$O$43)=0),IF('Recurring Schedule'!$E$43="Weekdays",WEEKDAY($A176,2)&lt;=5,$A176='Recurring Schedule'!$F$43))),38,""))))</f>
        <v/>
      </c>
      <c r="AN176">
        <f>IF('Recurring Schedule'!$C$44="","",IF('Recurring Schedule'!$F$44="","",IF(OR($A176&lt;'Recurring Schedule'!$F$44,$A176&gt;'Recurring Schedule'!$P$44),"",IF(IF('Recurring Schedule'!$N$44&gt;0,MOD($A176-'Recurring Schedule'!$F$44,'Recurring Schedule'!$N$44)=0,IF('Recurring Schedule'!$O$44&gt;0,AND(DAY($A176)=MIN(DAY('Recurring Schedule'!$F$44),DAY(EOMONTH($A176,0))),MOD((YEAR($A176)-YEAR('Recurring Schedule'!$F$44))*12+MONTH($A176)-MONTH('Recurring Schedule'!$F$44),'Recurring Schedule'!$O$44)=0),IF('Recurring Schedule'!$E$44="Weekdays",WEEKDAY($A176,2)&lt;=5,$A176='Recurring Schedule'!$F$44))),39,""))))</f>
        <v/>
      </c>
      <c r="AO176">
        <f>IF('Recurring Schedule'!$C$45="","",IF('Recurring Schedule'!$F$45="","",IF(OR($A176&lt;'Recurring Schedule'!$F$45,$A176&gt;'Recurring Schedule'!$P$45),"",IF(IF('Recurring Schedule'!$N$45&gt;0,MOD($A176-'Recurring Schedule'!$F$45,'Recurring Schedule'!$N$45)=0,IF('Recurring Schedule'!$O$45&gt;0,AND(DAY($A176)=MIN(DAY('Recurring Schedule'!$F$45),DAY(EOMONTH($A176,0))),MOD((YEAR($A176)-YEAR('Recurring Schedule'!$F$45))*12+MONTH($A176)-MONTH('Recurring Schedule'!$F$45),'Recurring Schedule'!$O$45)=0),IF('Recurring Schedule'!$E$45="Weekdays",WEEKDAY($A176,2)&lt;=5,$A176='Recurring Schedule'!$F$45))),40,""))))</f>
        <v/>
      </c>
      <c r="AP176">
        <f>COUNT(B176:AO176)</f>
        <v/>
      </c>
      <c r="AQ176">
        <f>AQ175+AP175</f>
        <v/>
      </c>
      <c r="AS176" t="inlineStr">
        <is>
          <t>R</t>
        </is>
      </c>
      <c r="AT176" t="n">
        <v>180</v>
      </c>
      <c r="AU176">
        <f>'Recurring Log'!C180&amp;""</f>
        <v/>
      </c>
      <c r="AV176">
        <f>'Recurring Log'!D180&amp;""</f>
        <v/>
      </c>
      <c r="AW176">
        <f>IF('Recurring Log'!E180="","",'Recurring Log'!E180)</f>
        <v/>
      </c>
      <c r="AX176">
        <f>IF('Recurring Log'!G180="","",'Recurring Log'!G180)</f>
        <v/>
      </c>
      <c r="AY176">
        <f>IF('Recurring Log'!H180="","",'Recurring Log'!H180)</f>
        <v/>
      </c>
      <c r="AZ176">
        <f>IF(AU176="","",IF('Recurring Log'!J180="","Not Started",'Recurring Log'!J180))</f>
        <v/>
      </c>
      <c r="BA176">
        <f>'Recurring Log'!L180&amp;""</f>
        <v/>
      </c>
      <c r="BB176">
        <f>'Recurring Log'!M180&amp;""</f>
        <v/>
      </c>
      <c r="BC176">
        <f>'Recurring Log'!N180&amp;""</f>
        <v/>
      </c>
      <c r="BD176">
        <f>'Recurring Log'!O180&amp;""</f>
        <v/>
      </c>
      <c r="BE176">
        <f>IF('Recurring Log'!K180="","",'Recurring Log'!K180)</f>
        <v/>
      </c>
      <c r="BF176">
        <f>IFERROR(MATCH(BA176,Setup!$L$6:$L$9,0),5)</f>
        <v/>
      </c>
      <c r="BG176">
        <f>IF(OR(AZ176="Done",AZ176="Cancelled"),1,0)</f>
        <v/>
      </c>
      <c r="BH176">
        <f>IF(AND(AU176&lt;&gt;"",ISNUMBER(AW176)),1,0)</f>
        <v/>
      </c>
      <c r="BI176">
        <f>IF(BH176=0,0,IF(AND(AW176&gt;='Tasks Filter'!$F$3,AW176&lt;='Tasks Filter'!$F$4,OR('Tasks Filter'!$I$3="",ISNUMBER(SEARCH('Tasks Filter'!$I$3,AU176))),OR('Tasks Filter'!$I$4="",BF176=IFERROR(MATCH('Tasks Filter'!$I$4,Setup!$L$6:$L$9,0),0)),OR('Tasks Filter'!$I$5="Both",AND('Tasks Filter'!$I$5="Yes",BB176="✓"),AND('Tasks Filter'!$I$5="No",BB176&lt;&gt;"✓")),OR('Tasks Filter'!$L$3="",AV176='Tasks Filter'!$L$3),OR('Tasks Filter'!$L$4="",AZ176='Tasks Filter'!$L$4),OR('Tasks Filter'!$L$5="",BC176='Tasks Filter'!$L$5),OR('Tasks Filter'!$O$3="",BD176='Tasks Filter'!$O$3),OR('Tasks Filter'!$O$4="Yes",BG176=0)),1,0))</f>
        <v/>
      </c>
      <c r="BJ176">
        <f>IF(BH176=0,"",IF('Tasks Filter'!$F$6="Descending",-1,1)*CHOOSE(MATCH('Tasks Filter'!$F$5,Lists!$G$2:$G$6,0),AW176,BF176,IFERROR(MATCH(AV176,Setup!$F$6:$F$15,0),99),IFERROR(MATCH(BC176,Setup!$H$6:$H$15,0),99),IFERROR(MATCH(AZ176,Setup!$J$6:$J$11,0),99))*1E+9+(AW176-40000)*10000+175)</f>
        <v/>
      </c>
      <c r="BK176">
        <f>IF(BI176=1,BJ176,"")</f>
        <v/>
      </c>
      <c r="BL176">
        <f>IF(AND(BH176=1,BG176=0,N(AW176)&lt;Setup!$D$7),(AW176-40000)*10000+175,"")</f>
        <v/>
      </c>
      <c r="BM176">
        <f>IF(AND(BH176=1,AZ176&lt;&gt;"Cancelled",N(AW176)&gt;=Dashboard!$AB$3,N(AW176)&lt;=Dashboard!$AB$3+6),(AW176-40000)*100000+BF176*10000+175,"")</f>
        <v/>
      </c>
      <c r="BN176">
        <f>IF(AND(BH176=1,AZ176&lt;&gt;"Cancelled"),BF176*10000+175,"")</f>
        <v/>
      </c>
    </row>
    <row r="177">
      <c r="A177">
        <f>Setup!$D$5+175</f>
        <v/>
      </c>
      <c r="B177">
        <f>IF('Recurring Schedule'!$C$6="","",IF('Recurring Schedule'!$F$6="","",IF(OR($A177&lt;'Recurring Schedule'!$F$6,$A177&gt;'Recurring Schedule'!$P$6),"",IF(IF('Recurring Schedule'!$N$6&gt;0,MOD($A177-'Recurring Schedule'!$F$6,'Recurring Schedule'!$N$6)=0,IF('Recurring Schedule'!$O$6&gt;0,AND(DAY($A177)=MIN(DAY('Recurring Schedule'!$F$6),DAY(EOMONTH($A177,0))),MOD((YEAR($A177)-YEAR('Recurring Schedule'!$F$6))*12+MONTH($A177)-MONTH('Recurring Schedule'!$F$6),'Recurring Schedule'!$O$6)=0),IF('Recurring Schedule'!$E$6="Weekdays",WEEKDAY($A177,2)&lt;=5,$A177='Recurring Schedule'!$F$6))),1,""))))</f>
        <v/>
      </c>
      <c r="C177">
        <f>IF('Recurring Schedule'!$C$7="","",IF('Recurring Schedule'!$F$7="","",IF(OR($A177&lt;'Recurring Schedule'!$F$7,$A177&gt;'Recurring Schedule'!$P$7),"",IF(IF('Recurring Schedule'!$N$7&gt;0,MOD($A177-'Recurring Schedule'!$F$7,'Recurring Schedule'!$N$7)=0,IF('Recurring Schedule'!$O$7&gt;0,AND(DAY($A177)=MIN(DAY('Recurring Schedule'!$F$7),DAY(EOMONTH($A177,0))),MOD((YEAR($A177)-YEAR('Recurring Schedule'!$F$7))*12+MONTH($A177)-MONTH('Recurring Schedule'!$F$7),'Recurring Schedule'!$O$7)=0),IF('Recurring Schedule'!$E$7="Weekdays",WEEKDAY($A177,2)&lt;=5,$A177='Recurring Schedule'!$F$7))),2,""))))</f>
        <v/>
      </c>
      <c r="D177">
        <f>IF('Recurring Schedule'!$C$8="","",IF('Recurring Schedule'!$F$8="","",IF(OR($A177&lt;'Recurring Schedule'!$F$8,$A177&gt;'Recurring Schedule'!$P$8),"",IF(IF('Recurring Schedule'!$N$8&gt;0,MOD($A177-'Recurring Schedule'!$F$8,'Recurring Schedule'!$N$8)=0,IF('Recurring Schedule'!$O$8&gt;0,AND(DAY($A177)=MIN(DAY('Recurring Schedule'!$F$8),DAY(EOMONTH($A177,0))),MOD((YEAR($A177)-YEAR('Recurring Schedule'!$F$8))*12+MONTH($A177)-MONTH('Recurring Schedule'!$F$8),'Recurring Schedule'!$O$8)=0),IF('Recurring Schedule'!$E$8="Weekdays",WEEKDAY($A177,2)&lt;=5,$A177='Recurring Schedule'!$F$8))),3,""))))</f>
        <v/>
      </c>
      <c r="E177">
        <f>IF('Recurring Schedule'!$C$9="","",IF('Recurring Schedule'!$F$9="","",IF(OR($A177&lt;'Recurring Schedule'!$F$9,$A177&gt;'Recurring Schedule'!$P$9),"",IF(IF('Recurring Schedule'!$N$9&gt;0,MOD($A177-'Recurring Schedule'!$F$9,'Recurring Schedule'!$N$9)=0,IF('Recurring Schedule'!$O$9&gt;0,AND(DAY($A177)=MIN(DAY('Recurring Schedule'!$F$9),DAY(EOMONTH($A177,0))),MOD((YEAR($A177)-YEAR('Recurring Schedule'!$F$9))*12+MONTH($A177)-MONTH('Recurring Schedule'!$F$9),'Recurring Schedule'!$O$9)=0),IF('Recurring Schedule'!$E$9="Weekdays",WEEKDAY($A177,2)&lt;=5,$A177='Recurring Schedule'!$F$9))),4,""))))</f>
        <v/>
      </c>
      <c r="F177">
        <f>IF('Recurring Schedule'!$C$10="","",IF('Recurring Schedule'!$F$10="","",IF(OR($A177&lt;'Recurring Schedule'!$F$10,$A177&gt;'Recurring Schedule'!$P$10),"",IF(IF('Recurring Schedule'!$N$10&gt;0,MOD($A177-'Recurring Schedule'!$F$10,'Recurring Schedule'!$N$10)=0,IF('Recurring Schedule'!$O$10&gt;0,AND(DAY($A177)=MIN(DAY('Recurring Schedule'!$F$10),DAY(EOMONTH($A177,0))),MOD((YEAR($A177)-YEAR('Recurring Schedule'!$F$10))*12+MONTH($A177)-MONTH('Recurring Schedule'!$F$10),'Recurring Schedule'!$O$10)=0),IF('Recurring Schedule'!$E$10="Weekdays",WEEKDAY($A177,2)&lt;=5,$A177='Recurring Schedule'!$F$10))),5,""))))</f>
        <v/>
      </c>
      <c r="G177">
        <f>IF('Recurring Schedule'!$C$11="","",IF('Recurring Schedule'!$F$11="","",IF(OR($A177&lt;'Recurring Schedule'!$F$11,$A177&gt;'Recurring Schedule'!$P$11),"",IF(IF('Recurring Schedule'!$N$11&gt;0,MOD($A177-'Recurring Schedule'!$F$11,'Recurring Schedule'!$N$11)=0,IF('Recurring Schedule'!$O$11&gt;0,AND(DAY($A177)=MIN(DAY('Recurring Schedule'!$F$11),DAY(EOMONTH($A177,0))),MOD((YEAR($A177)-YEAR('Recurring Schedule'!$F$11))*12+MONTH($A177)-MONTH('Recurring Schedule'!$F$11),'Recurring Schedule'!$O$11)=0),IF('Recurring Schedule'!$E$11="Weekdays",WEEKDAY($A177,2)&lt;=5,$A177='Recurring Schedule'!$F$11))),6,""))))</f>
        <v/>
      </c>
      <c r="H177">
        <f>IF('Recurring Schedule'!$C$12="","",IF('Recurring Schedule'!$F$12="","",IF(OR($A177&lt;'Recurring Schedule'!$F$12,$A177&gt;'Recurring Schedule'!$P$12),"",IF(IF('Recurring Schedule'!$N$12&gt;0,MOD($A177-'Recurring Schedule'!$F$12,'Recurring Schedule'!$N$12)=0,IF('Recurring Schedule'!$O$12&gt;0,AND(DAY($A177)=MIN(DAY('Recurring Schedule'!$F$12),DAY(EOMONTH($A177,0))),MOD((YEAR($A177)-YEAR('Recurring Schedule'!$F$12))*12+MONTH($A177)-MONTH('Recurring Schedule'!$F$12),'Recurring Schedule'!$O$12)=0),IF('Recurring Schedule'!$E$12="Weekdays",WEEKDAY($A177,2)&lt;=5,$A177='Recurring Schedule'!$F$12))),7,""))))</f>
        <v/>
      </c>
      <c r="I177">
        <f>IF('Recurring Schedule'!$C$13="","",IF('Recurring Schedule'!$F$13="","",IF(OR($A177&lt;'Recurring Schedule'!$F$13,$A177&gt;'Recurring Schedule'!$P$13),"",IF(IF('Recurring Schedule'!$N$13&gt;0,MOD($A177-'Recurring Schedule'!$F$13,'Recurring Schedule'!$N$13)=0,IF('Recurring Schedule'!$O$13&gt;0,AND(DAY($A177)=MIN(DAY('Recurring Schedule'!$F$13),DAY(EOMONTH($A177,0))),MOD((YEAR($A177)-YEAR('Recurring Schedule'!$F$13))*12+MONTH($A177)-MONTH('Recurring Schedule'!$F$13),'Recurring Schedule'!$O$13)=0),IF('Recurring Schedule'!$E$13="Weekdays",WEEKDAY($A177,2)&lt;=5,$A177='Recurring Schedule'!$F$13))),8,""))))</f>
        <v/>
      </c>
      <c r="J177">
        <f>IF('Recurring Schedule'!$C$14="","",IF('Recurring Schedule'!$F$14="","",IF(OR($A177&lt;'Recurring Schedule'!$F$14,$A177&gt;'Recurring Schedule'!$P$14),"",IF(IF('Recurring Schedule'!$N$14&gt;0,MOD($A177-'Recurring Schedule'!$F$14,'Recurring Schedule'!$N$14)=0,IF('Recurring Schedule'!$O$14&gt;0,AND(DAY($A177)=MIN(DAY('Recurring Schedule'!$F$14),DAY(EOMONTH($A177,0))),MOD((YEAR($A177)-YEAR('Recurring Schedule'!$F$14))*12+MONTH($A177)-MONTH('Recurring Schedule'!$F$14),'Recurring Schedule'!$O$14)=0),IF('Recurring Schedule'!$E$14="Weekdays",WEEKDAY($A177,2)&lt;=5,$A177='Recurring Schedule'!$F$14))),9,""))))</f>
        <v/>
      </c>
      <c r="K177">
        <f>IF('Recurring Schedule'!$C$15="","",IF('Recurring Schedule'!$F$15="","",IF(OR($A177&lt;'Recurring Schedule'!$F$15,$A177&gt;'Recurring Schedule'!$P$15),"",IF(IF('Recurring Schedule'!$N$15&gt;0,MOD($A177-'Recurring Schedule'!$F$15,'Recurring Schedule'!$N$15)=0,IF('Recurring Schedule'!$O$15&gt;0,AND(DAY($A177)=MIN(DAY('Recurring Schedule'!$F$15),DAY(EOMONTH($A177,0))),MOD((YEAR($A177)-YEAR('Recurring Schedule'!$F$15))*12+MONTH($A177)-MONTH('Recurring Schedule'!$F$15),'Recurring Schedule'!$O$15)=0),IF('Recurring Schedule'!$E$15="Weekdays",WEEKDAY($A177,2)&lt;=5,$A177='Recurring Schedule'!$F$15))),10,""))))</f>
        <v/>
      </c>
      <c r="L177">
        <f>IF('Recurring Schedule'!$C$16="","",IF('Recurring Schedule'!$F$16="","",IF(OR($A177&lt;'Recurring Schedule'!$F$16,$A177&gt;'Recurring Schedule'!$P$16),"",IF(IF('Recurring Schedule'!$N$16&gt;0,MOD($A177-'Recurring Schedule'!$F$16,'Recurring Schedule'!$N$16)=0,IF('Recurring Schedule'!$O$16&gt;0,AND(DAY($A177)=MIN(DAY('Recurring Schedule'!$F$16),DAY(EOMONTH($A177,0))),MOD((YEAR($A177)-YEAR('Recurring Schedule'!$F$16))*12+MONTH($A177)-MONTH('Recurring Schedule'!$F$16),'Recurring Schedule'!$O$16)=0),IF('Recurring Schedule'!$E$16="Weekdays",WEEKDAY($A177,2)&lt;=5,$A177='Recurring Schedule'!$F$16))),11,""))))</f>
        <v/>
      </c>
      <c r="M177">
        <f>IF('Recurring Schedule'!$C$17="","",IF('Recurring Schedule'!$F$17="","",IF(OR($A177&lt;'Recurring Schedule'!$F$17,$A177&gt;'Recurring Schedule'!$P$17),"",IF(IF('Recurring Schedule'!$N$17&gt;0,MOD($A177-'Recurring Schedule'!$F$17,'Recurring Schedule'!$N$17)=0,IF('Recurring Schedule'!$O$17&gt;0,AND(DAY($A177)=MIN(DAY('Recurring Schedule'!$F$17),DAY(EOMONTH($A177,0))),MOD((YEAR($A177)-YEAR('Recurring Schedule'!$F$17))*12+MONTH($A177)-MONTH('Recurring Schedule'!$F$17),'Recurring Schedule'!$O$17)=0),IF('Recurring Schedule'!$E$17="Weekdays",WEEKDAY($A177,2)&lt;=5,$A177='Recurring Schedule'!$F$17))),12,""))))</f>
        <v/>
      </c>
      <c r="N177">
        <f>IF('Recurring Schedule'!$C$18="","",IF('Recurring Schedule'!$F$18="","",IF(OR($A177&lt;'Recurring Schedule'!$F$18,$A177&gt;'Recurring Schedule'!$P$18),"",IF(IF('Recurring Schedule'!$N$18&gt;0,MOD($A177-'Recurring Schedule'!$F$18,'Recurring Schedule'!$N$18)=0,IF('Recurring Schedule'!$O$18&gt;0,AND(DAY($A177)=MIN(DAY('Recurring Schedule'!$F$18),DAY(EOMONTH($A177,0))),MOD((YEAR($A177)-YEAR('Recurring Schedule'!$F$18))*12+MONTH($A177)-MONTH('Recurring Schedule'!$F$18),'Recurring Schedule'!$O$18)=0),IF('Recurring Schedule'!$E$18="Weekdays",WEEKDAY($A177,2)&lt;=5,$A177='Recurring Schedule'!$F$18))),13,""))))</f>
        <v/>
      </c>
      <c r="O177">
        <f>IF('Recurring Schedule'!$C$19="","",IF('Recurring Schedule'!$F$19="","",IF(OR($A177&lt;'Recurring Schedule'!$F$19,$A177&gt;'Recurring Schedule'!$P$19),"",IF(IF('Recurring Schedule'!$N$19&gt;0,MOD($A177-'Recurring Schedule'!$F$19,'Recurring Schedule'!$N$19)=0,IF('Recurring Schedule'!$O$19&gt;0,AND(DAY($A177)=MIN(DAY('Recurring Schedule'!$F$19),DAY(EOMONTH($A177,0))),MOD((YEAR($A177)-YEAR('Recurring Schedule'!$F$19))*12+MONTH($A177)-MONTH('Recurring Schedule'!$F$19),'Recurring Schedule'!$O$19)=0),IF('Recurring Schedule'!$E$19="Weekdays",WEEKDAY($A177,2)&lt;=5,$A177='Recurring Schedule'!$F$19))),14,""))))</f>
        <v/>
      </c>
      <c r="P177">
        <f>IF('Recurring Schedule'!$C$20="","",IF('Recurring Schedule'!$F$20="","",IF(OR($A177&lt;'Recurring Schedule'!$F$20,$A177&gt;'Recurring Schedule'!$P$20),"",IF(IF('Recurring Schedule'!$N$20&gt;0,MOD($A177-'Recurring Schedule'!$F$20,'Recurring Schedule'!$N$20)=0,IF('Recurring Schedule'!$O$20&gt;0,AND(DAY($A177)=MIN(DAY('Recurring Schedule'!$F$20),DAY(EOMONTH($A177,0))),MOD((YEAR($A177)-YEAR('Recurring Schedule'!$F$20))*12+MONTH($A177)-MONTH('Recurring Schedule'!$F$20),'Recurring Schedule'!$O$20)=0),IF('Recurring Schedule'!$E$20="Weekdays",WEEKDAY($A177,2)&lt;=5,$A177='Recurring Schedule'!$F$20))),15,""))))</f>
        <v/>
      </c>
      <c r="Q177">
        <f>IF('Recurring Schedule'!$C$21="","",IF('Recurring Schedule'!$F$21="","",IF(OR($A177&lt;'Recurring Schedule'!$F$21,$A177&gt;'Recurring Schedule'!$P$21),"",IF(IF('Recurring Schedule'!$N$21&gt;0,MOD($A177-'Recurring Schedule'!$F$21,'Recurring Schedule'!$N$21)=0,IF('Recurring Schedule'!$O$21&gt;0,AND(DAY($A177)=MIN(DAY('Recurring Schedule'!$F$21),DAY(EOMONTH($A177,0))),MOD((YEAR($A177)-YEAR('Recurring Schedule'!$F$21))*12+MONTH($A177)-MONTH('Recurring Schedule'!$F$21),'Recurring Schedule'!$O$21)=0),IF('Recurring Schedule'!$E$21="Weekdays",WEEKDAY($A177,2)&lt;=5,$A177='Recurring Schedule'!$F$21))),16,""))))</f>
        <v/>
      </c>
      <c r="R177">
        <f>IF('Recurring Schedule'!$C$22="","",IF('Recurring Schedule'!$F$22="","",IF(OR($A177&lt;'Recurring Schedule'!$F$22,$A177&gt;'Recurring Schedule'!$P$22),"",IF(IF('Recurring Schedule'!$N$22&gt;0,MOD($A177-'Recurring Schedule'!$F$22,'Recurring Schedule'!$N$22)=0,IF('Recurring Schedule'!$O$22&gt;0,AND(DAY($A177)=MIN(DAY('Recurring Schedule'!$F$22),DAY(EOMONTH($A177,0))),MOD((YEAR($A177)-YEAR('Recurring Schedule'!$F$22))*12+MONTH($A177)-MONTH('Recurring Schedule'!$F$22),'Recurring Schedule'!$O$22)=0),IF('Recurring Schedule'!$E$22="Weekdays",WEEKDAY($A177,2)&lt;=5,$A177='Recurring Schedule'!$F$22))),17,""))))</f>
        <v/>
      </c>
      <c r="S177">
        <f>IF('Recurring Schedule'!$C$23="","",IF('Recurring Schedule'!$F$23="","",IF(OR($A177&lt;'Recurring Schedule'!$F$23,$A177&gt;'Recurring Schedule'!$P$23),"",IF(IF('Recurring Schedule'!$N$23&gt;0,MOD($A177-'Recurring Schedule'!$F$23,'Recurring Schedule'!$N$23)=0,IF('Recurring Schedule'!$O$23&gt;0,AND(DAY($A177)=MIN(DAY('Recurring Schedule'!$F$23),DAY(EOMONTH($A177,0))),MOD((YEAR($A177)-YEAR('Recurring Schedule'!$F$23))*12+MONTH($A177)-MONTH('Recurring Schedule'!$F$23),'Recurring Schedule'!$O$23)=0),IF('Recurring Schedule'!$E$23="Weekdays",WEEKDAY($A177,2)&lt;=5,$A177='Recurring Schedule'!$F$23))),18,""))))</f>
        <v/>
      </c>
      <c r="T177">
        <f>IF('Recurring Schedule'!$C$24="","",IF('Recurring Schedule'!$F$24="","",IF(OR($A177&lt;'Recurring Schedule'!$F$24,$A177&gt;'Recurring Schedule'!$P$24),"",IF(IF('Recurring Schedule'!$N$24&gt;0,MOD($A177-'Recurring Schedule'!$F$24,'Recurring Schedule'!$N$24)=0,IF('Recurring Schedule'!$O$24&gt;0,AND(DAY($A177)=MIN(DAY('Recurring Schedule'!$F$24),DAY(EOMONTH($A177,0))),MOD((YEAR($A177)-YEAR('Recurring Schedule'!$F$24))*12+MONTH($A177)-MONTH('Recurring Schedule'!$F$24),'Recurring Schedule'!$O$24)=0),IF('Recurring Schedule'!$E$24="Weekdays",WEEKDAY($A177,2)&lt;=5,$A177='Recurring Schedule'!$F$24))),19,""))))</f>
        <v/>
      </c>
      <c r="U177">
        <f>IF('Recurring Schedule'!$C$25="","",IF('Recurring Schedule'!$F$25="","",IF(OR($A177&lt;'Recurring Schedule'!$F$25,$A177&gt;'Recurring Schedule'!$P$25),"",IF(IF('Recurring Schedule'!$N$25&gt;0,MOD($A177-'Recurring Schedule'!$F$25,'Recurring Schedule'!$N$25)=0,IF('Recurring Schedule'!$O$25&gt;0,AND(DAY($A177)=MIN(DAY('Recurring Schedule'!$F$25),DAY(EOMONTH($A177,0))),MOD((YEAR($A177)-YEAR('Recurring Schedule'!$F$25))*12+MONTH($A177)-MONTH('Recurring Schedule'!$F$25),'Recurring Schedule'!$O$25)=0),IF('Recurring Schedule'!$E$25="Weekdays",WEEKDAY($A177,2)&lt;=5,$A177='Recurring Schedule'!$F$25))),20,""))))</f>
        <v/>
      </c>
      <c r="V177">
        <f>IF('Recurring Schedule'!$C$26="","",IF('Recurring Schedule'!$F$26="","",IF(OR($A177&lt;'Recurring Schedule'!$F$26,$A177&gt;'Recurring Schedule'!$P$26),"",IF(IF('Recurring Schedule'!$N$26&gt;0,MOD($A177-'Recurring Schedule'!$F$26,'Recurring Schedule'!$N$26)=0,IF('Recurring Schedule'!$O$26&gt;0,AND(DAY($A177)=MIN(DAY('Recurring Schedule'!$F$26),DAY(EOMONTH($A177,0))),MOD((YEAR($A177)-YEAR('Recurring Schedule'!$F$26))*12+MONTH($A177)-MONTH('Recurring Schedule'!$F$26),'Recurring Schedule'!$O$26)=0),IF('Recurring Schedule'!$E$26="Weekdays",WEEKDAY($A177,2)&lt;=5,$A177='Recurring Schedule'!$F$26))),21,""))))</f>
        <v/>
      </c>
      <c r="W177">
        <f>IF('Recurring Schedule'!$C$27="","",IF('Recurring Schedule'!$F$27="","",IF(OR($A177&lt;'Recurring Schedule'!$F$27,$A177&gt;'Recurring Schedule'!$P$27),"",IF(IF('Recurring Schedule'!$N$27&gt;0,MOD($A177-'Recurring Schedule'!$F$27,'Recurring Schedule'!$N$27)=0,IF('Recurring Schedule'!$O$27&gt;0,AND(DAY($A177)=MIN(DAY('Recurring Schedule'!$F$27),DAY(EOMONTH($A177,0))),MOD((YEAR($A177)-YEAR('Recurring Schedule'!$F$27))*12+MONTH($A177)-MONTH('Recurring Schedule'!$F$27),'Recurring Schedule'!$O$27)=0),IF('Recurring Schedule'!$E$27="Weekdays",WEEKDAY($A177,2)&lt;=5,$A177='Recurring Schedule'!$F$27))),22,""))))</f>
        <v/>
      </c>
      <c r="X177">
        <f>IF('Recurring Schedule'!$C$28="","",IF('Recurring Schedule'!$F$28="","",IF(OR($A177&lt;'Recurring Schedule'!$F$28,$A177&gt;'Recurring Schedule'!$P$28),"",IF(IF('Recurring Schedule'!$N$28&gt;0,MOD($A177-'Recurring Schedule'!$F$28,'Recurring Schedule'!$N$28)=0,IF('Recurring Schedule'!$O$28&gt;0,AND(DAY($A177)=MIN(DAY('Recurring Schedule'!$F$28),DAY(EOMONTH($A177,0))),MOD((YEAR($A177)-YEAR('Recurring Schedule'!$F$28))*12+MONTH($A177)-MONTH('Recurring Schedule'!$F$28),'Recurring Schedule'!$O$28)=0),IF('Recurring Schedule'!$E$28="Weekdays",WEEKDAY($A177,2)&lt;=5,$A177='Recurring Schedule'!$F$28))),23,""))))</f>
        <v/>
      </c>
      <c r="Y177">
        <f>IF('Recurring Schedule'!$C$29="","",IF('Recurring Schedule'!$F$29="","",IF(OR($A177&lt;'Recurring Schedule'!$F$29,$A177&gt;'Recurring Schedule'!$P$29),"",IF(IF('Recurring Schedule'!$N$29&gt;0,MOD($A177-'Recurring Schedule'!$F$29,'Recurring Schedule'!$N$29)=0,IF('Recurring Schedule'!$O$29&gt;0,AND(DAY($A177)=MIN(DAY('Recurring Schedule'!$F$29),DAY(EOMONTH($A177,0))),MOD((YEAR($A177)-YEAR('Recurring Schedule'!$F$29))*12+MONTH($A177)-MONTH('Recurring Schedule'!$F$29),'Recurring Schedule'!$O$29)=0),IF('Recurring Schedule'!$E$29="Weekdays",WEEKDAY($A177,2)&lt;=5,$A177='Recurring Schedule'!$F$29))),24,""))))</f>
        <v/>
      </c>
      <c r="Z177">
        <f>IF('Recurring Schedule'!$C$30="","",IF('Recurring Schedule'!$F$30="","",IF(OR($A177&lt;'Recurring Schedule'!$F$30,$A177&gt;'Recurring Schedule'!$P$30),"",IF(IF('Recurring Schedule'!$N$30&gt;0,MOD($A177-'Recurring Schedule'!$F$30,'Recurring Schedule'!$N$30)=0,IF('Recurring Schedule'!$O$30&gt;0,AND(DAY($A177)=MIN(DAY('Recurring Schedule'!$F$30),DAY(EOMONTH($A177,0))),MOD((YEAR($A177)-YEAR('Recurring Schedule'!$F$30))*12+MONTH($A177)-MONTH('Recurring Schedule'!$F$30),'Recurring Schedule'!$O$30)=0),IF('Recurring Schedule'!$E$30="Weekdays",WEEKDAY($A177,2)&lt;=5,$A177='Recurring Schedule'!$F$30))),25,""))))</f>
        <v/>
      </c>
      <c r="AA177">
        <f>IF('Recurring Schedule'!$C$31="","",IF('Recurring Schedule'!$F$31="","",IF(OR($A177&lt;'Recurring Schedule'!$F$31,$A177&gt;'Recurring Schedule'!$P$31),"",IF(IF('Recurring Schedule'!$N$31&gt;0,MOD($A177-'Recurring Schedule'!$F$31,'Recurring Schedule'!$N$31)=0,IF('Recurring Schedule'!$O$31&gt;0,AND(DAY($A177)=MIN(DAY('Recurring Schedule'!$F$31),DAY(EOMONTH($A177,0))),MOD((YEAR($A177)-YEAR('Recurring Schedule'!$F$31))*12+MONTH($A177)-MONTH('Recurring Schedule'!$F$31),'Recurring Schedule'!$O$31)=0),IF('Recurring Schedule'!$E$31="Weekdays",WEEKDAY($A177,2)&lt;=5,$A177='Recurring Schedule'!$F$31))),26,""))))</f>
        <v/>
      </c>
      <c r="AB177">
        <f>IF('Recurring Schedule'!$C$32="","",IF('Recurring Schedule'!$F$32="","",IF(OR($A177&lt;'Recurring Schedule'!$F$32,$A177&gt;'Recurring Schedule'!$P$32),"",IF(IF('Recurring Schedule'!$N$32&gt;0,MOD($A177-'Recurring Schedule'!$F$32,'Recurring Schedule'!$N$32)=0,IF('Recurring Schedule'!$O$32&gt;0,AND(DAY($A177)=MIN(DAY('Recurring Schedule'!$F$32),DAY(EOMONTH($A177,0))),MOD((YEAR($A177)-YEAR('Recurring Schedule'!$F$32))*12+MONTH($A177)-MONTH('Recurring Schedule'!$F$32),'Recurring Schedule'!$O$32)=0),IF('Recurring Schedule'!$E$32="Weekdays",WEEKDAY($A177,2)&lt;=5,$A177='Recurring Schedule'!$F$32))),27,""))))</f>
        <v/>
      </c>
      <c r="AC177">
        <f>IF('Recurring Schedule'!$C$33="","",IF('Recurring Schedule'!$F$33="","",IF(OR($A177&lt;'Recurring Schedule'!$F$33,$A177&gt;'Recurring Schedule'!$P$33),"",IF(IF('Recurring Schedule'!$N$33&gt;0,MOD($A177-'Recurring Schedule'!$F$33,'Recurring Schedule'!$N$33)=0,IF('Recurring Schedule'!$O$33&gt;0,AND(DAY($A177)=MIN(DAY('Recurring Schedule'!$F$33),DAY(EOMONTH($A177,0))),MOD((YEAR($A177)-YEAR('Recurring Schedule'!$F$33))*12+MONTH($A177)-MONTH('Recurring Schedule'!$F$33),'Recurring Schedule'!$O$33)=0),IF('Recurring Schedule'!$E$33="Weekdays",WEEKDAY($A177,2)&lt;=5,$A177='Recurring Schedule'!$F$33))),28,""))))</f>
        <v/>
      </c>
      <c r="AD177">
        <f>IF('Recurring Schedule'!$C$34="","",IF('Recurring Schedule'!$F$34="","",IF(OR($A177&lt;'Recurring Schedule'!$F$34,$A177&gt;'Recurring Schedule'!$P$34),"",IF(IF('Recurring Schedule'!$N$34&gt;0,MOD($A177-'Recurring Schedule'!$F$34,'Recurring Schedule'!$N$34)=0,IF('Recurring Schedule'!$O$34&gt;0,AND(DAY($A177)=MIN(DAY('Recurring Schedule'!$F$34),DAY(EOMONTH($A177,0))),MOD((YEAR($A177)-YEAR('Recurring Schedule'!$F$34))*12+MONTH($A177)-MONTH('Recurring Schedule'!$F$34),'Recurring Schedule'!$O$34)=0),IF('Recurring Schedule'!$E$34="Weekdays",WEEKDAY($A177,2)&lt;=5,$A177='Recurring Schedule'!$F$34))),29,""))))</f>
        <v/>
      </c>
      <c r="AE177">
        <f>IF('Recurring Schedule'!$C$35="","",IF('Recurring Schedule'!$F$35="","",IF(OR($A177&lt;'Recurring Schedule'!$F$35,$A177&gt;'Recurring Schedule'!$P$35),"",IF(IF('Recurring Schedule'!$N$35&gt;0,MOD($A177-'Recurring Schedule'!$F$35,'Recurring Schedule'!$N$35)=0,IF('Recurring Schedule'!$O$35&gt;0,AND(DAY($A177)=MIN(DAY('Recurring Schedule'!$F$35),DAY(EOMONTH($A177,0))),MOD((YEAR($A177)-YEAR('Recurring Schedule'!$F$35))*12+MONTH($A177)-MONTH('Recurring Schedule'!$F$35),'Recurring Schedule'!$O$35)=0),IF('Recurring Schedule'!$E$35="Weekdays",WEEKDAY($A177,2)&lt;=5,$A177='Recurring Schedule'!$F$35))),30,""))))</f>
        <v/>
      </c>
      <c r="AF177">
        <f>IF('Recurring Schedule'!$C$36="","",IF('Recurring Schedule'!$F$36="","",IF(OR($A177&lt;'Recurring Schedule'!$F$36,$A177&gt;'Recurring Schedule'!$P$36),"",IF(IF('Recurring Schedule'!$N$36&gt;0,MOD($A177-'Recurring Schedule'!$F$36,'Recurring Schedule'!$N$36)=0,IF('Recurring Schedule'!$O$36&gt;0,AND(DAY($A177)=MIN(DAY('Recurring Schedule'!$F$36),DAY(EOMONTH($A177,0))),MOD((YEAR($A177)-YEAR('Recurring Schedule'!$F$36))*12+MONTH($A177)-MONTH('Recurring Schedule'!$F$36),'Recurring Schedule'!$O$36)=0),IF('Recurring Schedule'!$E$36="Weekdays",WEEKDAY($A177,2)&lt;=5,$A177='Recurring Schedule'!$F$36))),31,""))))</f>
        <v/>
      </c>
      <c r="AG177">
        <f>IF('Recurring Schedule'!$C$37="","",IF('Recurring Schedule'!$F$37="","",IF(OR($A177&lt;'Recurring Schedule'!$F$37,$A177&gt;'Recurring Schedule'!$P$37),"",IF(IF('Recurring Schedule'!$N$37&gt;0,MOD($A177-'Recurring Schedule'!$F$37,'Recurring Schedule'!$N$37)=0,IF('Recurring Schedule'!$O$37&gt;0,AND(DAY($A177)=MIN(DAY('Recurring Schedule'!$F$37),DAY(EOMONTH($A177,0))),MOD((YEAR($A177)-YEAR('Recurring Schedule'!$F$37))*12+MONTH($A177)-MONTH('Recurring Schedule'!$F$37),'Recurring Schedule'!$O$37)=0),IF('Recurring Schedule'!$E$37="Weekdays",WEEKDAY($A177,2)&lt;=5,$A177='Recurring Schedule'!$F$37))),32,""))))</f>
        <v/>
      </c>
      <c r="AH177">
        <f>IF('Recurring Schedule'!$C$38="","",IF('Recurring Schedule'!$F$38="","",IF(OR($A177&lt;'Recurring Schedule'!$F$38,$A177&gt;'Recurring Schedule'!$P$38),"",IF(IF('Recurring Schedule'!$N$38&gt;0,MOD($A177-'Recurring Schedule'!$F$38,'Recurring Schedule'!$N$38)=0,IF('Recurring Schedule'!$O$38&gt;0,AND(DAY($A177)=MIN(DAY('Recurring Schedule'!$F$38),DAY(EOMONTH($A177,0))),MOD((YEAR($A177)-YEAR('Recurring Schedule'!$F$38))*12+MONTH($A177)-MONTH('Recurring Schedule'!$F$38),'Recurring Schedule'!$O$38)=0),IF('Recurring Schedule'!$E$38="Weekdays",WEEKDAY($A177,2)&lt;=5,$A177='Recurring Schedule'!$F$38))),33,""))))</f>
        <v/>
      </c>
      <c r="AI177">
        <f>IF('Recurring Schedule'!$C$39="","",IF('Recurring Schedule'!$F$39="","",IF(OR($A177&lt;'Recurring Schedule'!$F$39,$A177&gt;'Recurring Schedule'!$P$39),"",IF(IF('Recurring Schedule'!$N$39&gt;0,MOD($A177-'Recurring Schedule'!$F$39,'Recurring Schedule'!$N$39)=0,IF('Recurring Schedule'!$O$39&gt;0,AND(DAY($A177)=MIN(DAY('Recurring Schedule'!$F$39),DAY(EOMONTH($A177,0))),MOD((YEAR($A177)-YEAR('Recurring Schedule'!$F$39))*12+MONTH($A177)-MONTH('Recurring Schedule'!$F$39),'Recurring Schedule'!$O$39)=0),IF('Recurring Schedule'!$E$39="Weekdays",WEEKDAY($A177,2)&lt;=5,$A177='Recurring Schedule'!$F$39))),34,""))))</f>
        <v/>
      </c>
      <c r="AJ177">
        <f>IF('Recurring Schedule'!$C$40="","",IF('Recurring Schedule'!$F$40="","",IF(OR($A177&lt;'Recurring Schedule'!$F$40,$A177&gt;'Recurring Schedule'!$P$40),"",IF(IF('Recurring Schedule'!$N$40&gt;0,MOD($A177-'Recurring Schedule'!$F$40,'Recurring Schedule'!$N$40)=0,IF('Recurring Schedule'!$O$40&gt;0,AND(DAY($A177)=MIN(DAY('Recurring Schedule'!$F$40),DAY(EOMONTH($A177,0))),MOD((YEAR($A177)-YEAR('Recurring Schedule'!$F$40))*12+MONTH($A177)-MONTH('Recurring Schedule'!$F$40),'Recurring Schedule'!$O$40)=0),IF('Recurring Schedule'!$E$40="Weekdays",WEEKDAY($A177,2)&lt;=5,$A177='Recurring Schedule'!$F$40))),35,""))))</f>
        <v/>
      </c>
      <c r="AK177">
        <f>IF('Recurring Schedule'!$C$41="","",IF('Recurring Schedule'!$F$41="","",IF(OR($A177&lt;'Recurring Schedule'!$F$41,$A177&gt;'Recurring Schedule'!$P$41),"",IF(IF('Recurring Schedule'!$N$41&gt;0,MOD($A177-'Recurring Schedule'!$F$41,'Recurring Schedule'!$N$41)=0,IF('Recurring Schedule'!$O$41&gt;0,AND(DAY($A177)=MIN(DAY('Recurring Schedule'!$F$41),DAY(EOMONTH($A177,0))),MOD((YEAR($A177)-YEAR('Recurring Schedule'!$F$41))*12+MONTH($A177)-MONTH('Recurring Schedule'!$F$41),'Recurring Schedule'!$O$41)=0),IF('Recurring Schedule'!$E$41="Weekdays",WEEKDAY($A177,2)&lt;=5,$A177='Recurring Schedule'!$F$41))),36,""))))</f>
        <v/>
      </c>
      <c r="AL177">
        <f>IF('Recurring Schedule'!$C$42="","",IF('Recurring Schedule'!$F$42="","",IF(OR($A177&lt;'Recurring Schedule'!$F$42,$A177&gt;'Recurring Schedule'!$P$42),"",IF(IF('Recurring Schedule'!$N$42&gt;0,MOD($A177-'Recurring Schedule'!$F$42,'Recurring Schedule'!$N$42)=0,IF('Recurring Schedule'!$O$42&gt;0,AND(DAY($A177)=MIN(DAY('Recurring Schedule'!$F$42),DAY(EOMONTH($A177,0))),MOD((YEAR($A177)-YEAR('Recurring Schedule'!$F$42))*12+MONTH($A177)-MONTH('Recurring Schedule'!$F$42),'Recurring Schedule'!$O$42)=0),IF('Recurring Schedule'!$E$42="Weekdays",WEEKDAY($A177,2)&lt;=5,$A177='Recurring Schedule'!$F$42))),37,""))))</f>
        <v/>
      </c>
      <c r="AM177">
        <f>IF('Recurring Schedule'!$C$43="","",IF('Recurring Schedule'!$F$43="","",IF(OR($A177&lt;'Recurring Schedule'!$F$43,$A177&gt;'Recurring Schedule'!$P$43),"",IF(IF('Recurring Schedule'!$N$43&gt;0,MOD($A177-'Recurring Schedule'!$F$43,'Recurring Schedule'!$N$43)=0,IF('Recurring Schedule'!$O$43&gt;0,AND(DAY($A177)=MIN(DAY('Recurring Schedule'!$F$43),DAY(EOMONTH($A177,0))),MOD((YEAR($A177)-YEAR('Recurring Schedule'!$F$43))*12+MONTH($A177)-MONTH('Recurring Schedule'!$F$43),'Recurring Schedule'!$O$43)=0),IF('Recurring Schedule'!$E$43="Weekdays",WEEKDAY($A177,2)&lt;=5,$A177='Recurring Schedule'!$F$43))),38,""))))</f>
        <v/>
      </c>
      <c r="AN177">
        <f>IF('Recurring Schedule'!$C$44="","",IF('Recurring Schedule'!$F$44="","",IF(OR($A177&lt;'Recurring Schedule'!$F$44,$A177&gt;'Recurring Schedule'!$P$44),"",IF(IF('Recurring Schedule'!$N$44&gt;0,MOD($A177-'Recurring Schedule'!$F$44,'Recurring Schedule'!$N$44)=0,IF('Recurring Schedule'!$O$44&gt;0,AND(DAY($A177)=MIN(DAY('Recurring Schedule'!$F$44),DAY(EOMONTH($A177,0))),MOD((YEAR($A177)-YEAR('Recurring Schedule'!$F$44))*12+MONTH($A177)-MONTH('Recurring Schedule'!$F$44),'Recurring Schedule'!$O$44)=0),IF('Recurring Schedule'!$E$44="Weekdays",WEEKDAY($A177,2)&lt;=5,$A177='Recurring Schedule'!$F$44))),39,""))))</f>
        <v/>
      </c>
      <c r="AO177">
        <f>IF('Recurring Schedule'!$C$45="","",IF('Recurring Schedule'!$F$45="","",IF(OR($A177&lt;'Recurring Schedule'!$F$45,$A177&gt;'Recurring Schedule'!$P$45),"",IF(IF('Recurring Schedule'!$N$45&gt;0,MOD($A177-'Recurring Schedule'!$F$45,'Recurring Schedule'!$N$45)=0,IF('Recurring Schedule'!$O$45&gt;0,AND(DAY($A177)=MIN(DAY('Recurring Schedule'!$F$45),DAY(EOMONTH($A177,0))),MOD((YEAR($A177)-YEAR('Recurring Schedule'!$F$45))*12+MONTH($A177)-MONTH('Recurring Schedule'!$F$45),'Recurring Schedule'!$O$45)=0),IF('Recurring Schedule'!$E$45="Weekdays",WEEKDAY($A177,2)&lt;=5,$A177='Recurring Schedule'!$F$45))),40,""))))</f>
        <v/>
      </c>
      <c r="AP177">
        <f>COUNT(B177:AO177)</f>
        <v/>
      </c>
      <c r="AQ177">
        <f>AQ176+AP176</f>
        <v/>
      </c>
      <c r="AS177" t="inlineStr">
        <is>
          <t>R</t>
        </is>
      </c>
      <c r="AT177" t="n">
        <v>181</v>
      </c>
      <c r="AU177">
        <f>'Recurring Log'!C181&amp;""</f>
        <v/>
      </c>
      <c r="AV177">
        <f>'Recurring Log'!D181&amp;""</f>
        <v/>
      </c>
      <c r="AW177">
        <f>IF('Recurring Log'!E181="","",'Recurring Log'!E181)</f>
        <v/>
      </c>
      <c r="AX177">
        <f>IF('Recurring Log'!G181="","",'Recurring Log'!G181)</f>
        <v/>
      </c>
      <c r="AY177">
        <f>IF('Recurring Log'!H181="","",'Recurring Log'!H181)</f>
        <v/>
      </c>
      <c r="AZ177">
        <f>IF(AU177="","",IF('Recurring Log'!J181="","Not Started",'Recurring Log'!J181))</f>
        <v/>
      </c>
      <c r="BA177">
        <f>'Recurring Log'!L181&amp;""</f>
        <v/>
      </c>
      <c r="BB177">
        <f>'Recurring Log'!M181&amp;""</f>
        <v/>
      </c>
      <c r="BC177">
        <f>'Recurring Log'!N181&amp;""</f>
        <v/>
      </c>
      <c r="BD177">
        <f>'Recurring Log'!O181&amp;""</f>
        <v/>
      </c>
      <c r="BE177">
        <f>IF('Recurring Log'!K181="","",'Recurring Log'!K181)</f>
        <v/>
      </c>
      <c r="BF177">
        <f>IFERROR(MATCH(BA177,Setup!$L$6:$L$9,0),5)</f>
        <v/>
      </c>
      <c r="BG177">
        <f>IF(OR(AZ177="Done",AZ177="Cancelled"),1,0)</f>
        <v/>
      </c>
      <c r="BH177">
        <f>IF(AND(AU177&lt;&gt;"",ISNUMBER(AW177)),1,0)</f>
        <v/>
      </c>
      <c r="BI177">
        <f>IF(BH177=0,0,IF(AND(AW177&gt;='Tasks Filter'!$F$3,AW177&lt;='Tasks Filter'!$F$4,OR('Tasks Filter'!$I$3="",ISNUMBER(SEARCH('Tasks Filter'!$I$3,AU177))),OR('Tasks Filter'!$I$4="",BF177=IFERROR(MATCH('Tasks Filter'!$I$4,Setup!$L$6:$L$9,0),0)),OR('Tasks Filter'!$I$5="Both",AND('Tasks Filter'!$I$5="Yes",BB177="✓"),AND('Tasks Filter'!$I$5="No",BB177&lt;&gt;"✓")),OR('Tasks Filter'!$L$3="",AV177='Tasks Filter'!$L$3),OR('Tasks Filter'!$L$4="",AZ177='Tasks Filter'!$L$4),OR('Tasks Filter'!$L$5="",BC177='Tasks Filter'!$L$5),OR('Tasks Filter'!$O$3="",BD177='Tasks Filter'!$O$3),OR('Tasks Filter'!$O$4="Yes",BG177=0)),1,0))</f>
        <v/>
      </c>
      <c r="BJ177">
        <f>IF(BH177=0,"",IF('Tasks Filter'!$F$6="Descending",-1,1)*CHOOSE(MATCH('Tasks Filter'!$F$5,Lists!$G$2:$G$6,0),AW177,BF177,IFERROR(MATCH(AV177,Setup!$F$6:$F$15,0),99),IFERROR(MATCH(BC177,Setup!$H$6:$H$15,0),99),IFERROR(MATCH(AZ177,Setup!$J$6:$J$11,0),99))*1E+9+(AW177-40000)*10000+176)</f>
        <v/>
      </c>
      <c r="BK177">
        <f>IF(BI177=1,BJ177,"")</f>
        <v/>
      </c>
      <c r="BL177">
        <f>IF(AND(BH177=1,BG177=0,N(AW177)&lt;Setup!$D$7),(AW177-40000)*10000+176,"")</f>
        <v/>
      </c>
      <c r="BM177">
        <f>IF(AND(BH177=1,AZ177&lt;&gt;"Cancelled",N(AW177)&gt;=Dashboard!$AB$3,N(AW177)&lt;=Dashboard!$AB$3+6),(AW177-40000)*100000+BF177*10000+176,"")</f>
        <v/>
      </c>
      <c r="BN177">
        <f>IF(AND(BH177=1,AZ177&lt;&gt;"Cancelled"),BF177*10000+176,"")</f>
        <v/>
      </c>
    </row>
    <row r="178">
      <c r="A178">
        <f>Setup!$D$5+176</f>
        <v/>
      </c>
      <c r="B178">
        <f>IF('Recurring Schedule'!$C$6="","",IF('Recurring Schedule'!$F$6="","",IF(OR($A178&lt;'Recurring Schedule'!$F$6,$A178&gt;'Recurring Schedule'!$P$6),"",IF(IF('Recurring Schedule'!$N$6&gt;0,MOD($A178-'Recurring Schedule'!$F$6,'Recurring Schedule'!$N$6)=0,IF('Recurring Schedule'!$O$6&gt;0,AND(DAY($A178)=MIN(DAY('Recurring Schedule'!$F$6),DAY(EOMONTH($A178,0))),MOD((YEAR($A178)-YEAR('Recurring Schedule'!$F$6))*12+MONTH($A178)-MONTH('Recurring Schedule'!$F$6),'Recurring Schedule'!$O$6)=0),IF('Recurring Schedule'!$E$6="Weekdays",WEEKDAY($A178,2)&lt;=5,$A178='Recurring Schedule'!$F$6))),1,""))))</f>
        <v/>
      </c>
      <c r="C178">
        <f>IF('Recurring Schedule'!$C$7="","",IF('Recurring Schedule'!$F$7="","",IF(OR($A178&lt;'Recurring Schedule'!$F$7,$A178&gt;'Recurring Schedule'!$P$7),"",IF(IF('Recurring Schedule'!$N$7&gt;0,MOD($A178-'Recurring Schedule'!$F$7,'Recurring Schedule'!$N$7)=0,IF('Recurring Schedule'!$O$7&gt;0,AND(DAY($A178)=MIN(DAY('Recurring Schedule'!$F$7),DAY(EOMONTH($A178,0))),MOD((YEAR($A178)-YEAR('Recurring Schedule'!$F$7))*12+MONTH($A178)-MONTH('Recurring Schedule'!$F$7),'Recurring Schedule'!$O$7)=0),IF('Recurring Schedule'!$E$7="Weekdays",WEEKDAY($A178,2)&lt;=5,$A178='Recurring Schedule'!$F$7))),2,""))))</f>
        <v/>
      </c>
      <c r="D178">
        <f>IF('Recurring Schedule'!$C$8="","",IF('Recurring Schedule'!$F$8="","",IF(OR($A178&lt;'Recurring Schedule'!$F$8,$A178&gt;'Recurring Schedule'!$P$8),"",IF(IF('Recurring Schedule'!$N$8&gt;0,MOD($A178-'Recurring Schedule'!$F$8,'Recurring Schedule'!$N$8)=0,IF('Recurring Schedule'!$O$8&gt;0,AND(DAY($A178)=MIN(DAY('Recurring Schedule'!$F$8),DAY(EOMONTH($A178,0))),MOD((YEAR($A178)-YEAR('Recurring Schedule'!$F$8))*12+MONTH($A178)-MONTH('Recurring Schedule'!$F$8),'Recurring Schedule'!$O$8)=0),IF('Recurring Schedule'!$E$8="Weekdays",WEEKDAY($A178,2)&lt;=5,$A178='Recurring Schedule'!$F$8))),3,""))))</f>
        <v/>
      </c>
      <c r="E178">
        <f>IF('Recurring Schedule'!$C$9="","",IF('Recurring Schedule'!$F$9="","",IF(OR($A178&lt;'Recurring Schedule'!$F$9,$A178&gt;'Recurring Schedule'!$P$9),"",IF(IF('Recurring Schedule'!$N$9&gt;0,MOD($A178-'Recurring Schedule'!$F$9,'Recurring Schedule'!$N$9)=0,IF('Recurring Schedule'!$O$9&gt;0,AND(DAY($A178)=MIN(DAY('Recurring Schedule'!$F$9),DAY(EOMONTH($A178,0))),MOD((YEAR($A178)-YEAR('Recurring Schedule'!$F$9))*12+MONTH($A178)-MONTH('Recurring Schedule'!$F$9),'Recurring Schedule'!$O$9)=0),IF('Recurring Schedule'!$E$9="Weekdays",WEEKDAY($A178,2)&lt;=5,$A178='Recurring Schedule'!$F$9))),4,""))))</f>
        <v/>
      </c>
      <c r="F178">
        <f>IF('Recurring Schedule'!$C$10="","",IF('Recurring Schedule'!$F$10="","",IF(OR($A178&lt;'Recurring Schedule'!$F$10,$A178&gt;'Recurring Schedule'!$P$10),"",IF(IF('Recurring Schedule'!$N$10&gt;0,MOD($A178-'Recurring Schedule'!$F$10,'Recurring Schedule'!$N$10)=0,IF('Recurring Schedule'!$O$10&gt;0,AND(DAY($A178)=MIN(DAY('Recurring Schedule'!$F$10),DAY(EOMONTH($A178,0))),MOD((YEAR($A178)-YEAR('Recurring Schedule'!$F$10))*12+MONTH($A178)-MONTH('Recurring Schedule'!$F$10),'Recurring Schedule'!$O$10)=0),IF('Recurring Schedule'!$E$10="Weekdays",WEEKDAY($A178,2)&lt;=5,$A178='Recurring Schedule'!$F$10))),5,""))))</f>
        <v/>
      </c>
      <c r="G178">
        <f>IF('Recurring Schedule'!$C$11="","",IF('Recurring Schedule'!$F$11="","",IF(OR($A178&lt;'Recurring Schedule'!$F$11,$A178&gt;'Recurring Schedule'!$P$11),"",IF(IF('Recurring Schedule'!$N$11&gt;0,MOD($A178-'Recurring Schedule'!$F$11,'Recurring Schedule'!$N$11)=0,IF('Recurring Schedule'!$O$11&gt;0,AND(DAY($A178)=MIN(DAY('Recurring Schedule'!$F$11),DAY(EOMONTH($A178,0))),MOD((YEAR($A178)-YEAR('Recurring Schedule'!$F$11))*12+MONTH($A178)-MONTH('Recurring Schedule'!$F$11),'Recurring Schedule'!$O$11)=0),IF('Recurring Schedule'!$E$11="Weekdays",WEEKDAY($A178,2)&lt;=5,$A178='Recurring Schedule'!$F$11))),6,""))))</f>
        <v/>
      </c>
      <c r="H178">
        <f>IF('Recurring Schedule'!$C$12="","",IF('Recurring Schedule'!$F$12="","",IF(OR($A178&lt;'Recurring Schedule'!$F$12,$A178&gt;'Recurring Schedule'!$P$12),"",IF(IF('Recurring Schedule'!$N$12&gt;0,MOD($A178-'Recurring Schedule'!$F$12,'Recurring Schedule'!$N$12)=0,IF('Recurring Schedule'!$O$12&gt;0,AND(DAY($A178)=MIN(DAY('Recurring Schedule'!$F$12),DAY(EOMONTH($A178,0))),MOD((YEAR($A178)-YEAR('Recurring Schedule'!$F$12))*12+MONTH($A178)-MONTH('Recurring Schedule'!$F$12),'Recurring Schedule'!$O$12)=0),IF('Recurring Schedule'!$E$12="Weekdays",WEEKDAY($A178,2)&lt;=5,$A178='Recurring Schedule'!$F$12))),7,""))))</f>
        <v/>
      </c>
      <c r="I178">
        <f>IF('Recurring Schedule'!$C$13="","",IF('Recurring Schedule'!$F$13="","",IF(OR($A178&lt;'Recurring Schedule'!$F$13,$A178&gt;'Recurring Schedule'!$P$13),"",IF(IF('Recurring Schedule'!$N$13&gt;0,MOD($A178-'Recurring Schedule'!$F$13,'Recurring Schedule'!$N$13)=0,IF('Recurring Schedule'!$O$13&gt;0,AND(DAY($A178)=MIN(DAY('Recurring Schedule'!$F$13),DAY(EOMONTH($A178,0))),MOD((YEAR($A178)-YEAR('Recurring Schedule'!$F$13))*12+MONTH($A178)-MONTH('Recurring Schedule'!$F$13),'Recurring Schedule'!$O$13)=0),IF('Recurring Schedule'!$E$13="Weekdays",WEEKDAY($A178,2)&lt;=5,$A178='Recurring Schedule'!$F$13))),8,""))))</f>
        <v/>
      </c>
      <c r="J178">
        <f>IF('Recurring Schedule'!$C$14="","",IF('Recurring Schedule'!$F$14="","",IF(OR($A178&lt;'Recurring Schedule'!$F$14,$A178&gt;'Recurring Schedule'!$P$14),"",IF(IF('Recurring Schedule'!$N$14&gt;0,MOD($A178-'Recurring Schedule'!$F$14,'Recurring Schedule'!$N$14)=0,IF('Recurring Schedule'!$O$14&gt;0,AND(DAY($A178)=MIN(DAY('Recurring Schedule'!$F$14),DAY(EOMONTH($A178,0))),MOD((YEAR($A178)-YEAR('Recurring Schedule'!$F$14))*12+MONTH($A178)-MONTH('Recurring Schedule'!$F$14),'Recurring Schedule'!$O$14)=0),IF('Recurring Schedule'!$E$14="Weekdays",WEEKDAY($A178,2)&lt;=5,$A178='Recurring Schedule'!$F$14))),9,""))))</f>
        <v/>
      </c>
      <c r="K178">
        <f>IF('Recurring Schedule'!$C$15="","",IF('Recurring Schedule'!$F$15="","",IF(OR($A178&lt;'Recurring Schedule'!$F$15,$A178&gt;'Recurring Schedule'!$P$15),"",IF(IF('Recurring Schedule'!$N$15&gt;0,MOD($A178-'Recurring Schedule'!$F$15,'Recurring Schedule'!$N$15)=0,IF('Recurring Schedule'!$O$15&gt;0,AND(DAY($A178)=MIN(DAY('Recurring Schedule'!$F$15),DAY(EOMONTH($A178,0))),MOD((YEAR($A178)-YEAR('Recurring Schedule'!$F$15))*12+MONTH($A178)-MONTH('Recurring Schedule'!$F$15),'Recurring Schedule'!$O$15)=0),IF('Recurring Schedule'!$E$15="Weekdays",WEEKDAY($A178,2)&lt;=5,$A178='Recurring Schedule'!$F$15))),10,""))))</f>
        <v/>
      </c>
      <c r="L178">
        <f>IF('Recurring Schedule'!$C$16="","",IF('Recurring Schedule'!$F$16="","",IF(OR($A178&lt;'Recurring Schedule'!$F$16,$A178&gt;'Recurring Schedule'!$P$16),"",IF(IF('Recurring Schedule'!$N$16&gt;0,MOD($A178-'Recurring Schedule'!$F$16,'Recurring Schedule'!$N$16)=0,IF('Recurring Schedule'!$O$16&gt;0,AND(DAY($A178)=MIN(DAY('Recurring Schedule'!$F$16),DAY(EOMONTH($A178,0))),MOD((YEAR($A178)-YEAR('Recurring Schedule'!$F$16))*12+MONTH($A178)-MONTH('Recurring Schedule'!$F$16),'Recurring Schedule'!$O$16)=0),IF('Recurring Schedule'!$E$16="Weekdays",WEEKDAY($A178,2)&lt;=5,$A178='Recurring Schedule'!$F$16))),11,""))))</f>
        <v/>
      </c>
      <c r="M178">
        <f>IF('Recurring Schedule'!$C$17="","",IF('Recurring Schedule'!$F$17="","",IF(OR($A178&lt;'Recurring Schedule'!$F$17,$A178&gt;'Recurring Schedule'!$P$17),"",IF(IF('Recurring Schedule'!$N$17&gt;0,MOD($A178-'Recurring Schedule'!$F$17,'Recurring Schedule'!$N$17)=0,IF('Recurring Schedule'!$O$17&gt;0,AND(DAY($A178)=MIN(DAY('Recurring Schedule'!$F$17),DAY(EOMONTH($A178,0))),MOD((YEAR($A178)-YEAR('Recurring Schedule'!$F$17))*12+MONTH($A178)-MONTH('Recurring Schedule'!$F$17),'Recurring Schedule'!$O$17)=0),IF('Recurring Schedule'!$E$17="Weekdays",WEEKDAY($A178,2)&lt;=5,$A178='Recurring Schedule'!$F$17))),12,""))))</f>
        <v/>
      </c>
      <c r="N178">
        <f>IF('Recurring Schedule'!$C$18="","",IF('Recurring Schedule'!$F$18="","",IF(OR($A178&lt;'Recurring Schedule'!$F$18,$A178&gt;'Recurring Schedule'!$P$18),"",IF(IF('Recurring Schedule'!$N$18&gt;0,MOD($A178-'Recurring Schedule'!$F$18,'Recurring Schedule'!$N$18)=0,IF('Recurring Schedule'!$O$18&gt;0,AND(DAY($A178)=MIN(DAY('Recurring Schedule'!$F$18),DAY(EOMONTH($A178,0))),MOD((YEAR($A178)-YEAR('Recurring Schedule'!$F$18))*12+MONTH($A178)-MONTH('Recurring Schedule'!$F$18),'Recurring Schedule'!$O$18)=0),IF('Recurring Schedule'!$E$18="Weekdays",WEEKDAY($A178,2)&lt;=5,$A178='Recurring Schedule'!$F$18))),13,""))))</f>
        <v/>
      </c>
      <c r="O178">
        <f>IF('Recurring Schedule'!$C$19="","",IF('Recurring Schedule'!$F$19="","",IF(OR($A178&lt;'Recurring Schedule'!$F$19,$A178&gt;'Recurring Schedule'!$P$19),"",IF(IF('Recurring Schedule'!$N$19&gt;0,MOD($A178-'Recurring Schedule'!$F$19,'Recurring Schedule'!$N$19)=0,IF('Recurring Schedule'!$O$19&gt;0,AND(DAY($A178)=MIN(DAY('Recurring Schedule'!$F$19),DAY(EOMONTH($A178,0))),MOD((YEAR($A178)-YEAR('Recurring Schedule'!$F$19))*12+MONTH($A178)-MONTH('Recurring Schedule'!$F$19),'Recurring Schedule'!$O$19)=0),IF('Recurring Schedule'!$E$19="Weekdays",WEEKDAY($A178,2)&lt;=5,$A178='Recurring Schedule'!$F$19))),14,""))))</f>
        <v/>
      </c>
      <c r="P178">
        <f>IF('Recurring Schedule'!$C$20="","",IF('Recurring Schedule'!$F$20="","",IF(OR($A178&lt;'Recurring Schedule'!$F$20,$A178&gt;'Recurring Schedule'!$P$20),"",IF(IF('Recurring Schedule'!$N$20&gt;0,MOD($A178-'Recurring Schedule'!$F$20,'Recurring Schedule'!$N$20)=0,IF('Recurring Schedule'!$O$20&gt;0,AND(DAY($A178)=MIN(DAY('Recurring Schedule'!$F$20),DAY(EOMONTH($A178,0))),MOD((YEAR($A178)-YEAR('Recurring Schedule'!$F$20))*12+MONTH($A178)-MONTH('Recurring Schedule'!$F$20),'Recurring Schedule'!$O$20)=0),IF('Recurring Schedule'!$E$20="Weekdays",WEEKDAY($A178,2)&lt;=5,$A178='Recurring Schedule'!$F$20))),15,""))))</f>
        <v/>
      </c>
      <c r="Q178">
        <f>IF('Recurring Schedule'!$C$21="","",IF('Recurring Schedule'!$F$21="","",IF(OR($A178&lt;'Recurring Schedule'!$F$21,$A178&gt;'Recurring Schedule'!$P$21),"",IF(IF('Recurring Schedule'!$N$21&gt;0,MOD($A178-'Recurring Schedule'!$F$21,'Recurring Schedule'!$N$21)=0,IF('Recurring Schedule'!$O$21&gt;0,AND(DAY($A178)=MIN(DAY('Recurring Schedule'!$F$21),DAY(EOMONTH($A178,0))),MOD((YEAR($A178)-YEAR('Recurring Schedule'!$F$21))*12+MONTH($A178)-MONTH('Recurring Schedule'!$F$21),'Recurring Schedule'!$O$21)=0),IF('Recurring Schedule'!$E$21="Weekdays",WEEKDAY($A178,2)&lt;=5,$A178='Recurring Schedule'!$F$21))),16,""))))</f>
        <v/>
      </c>
      <c r="R178">
        <f>IF('Recurring Schedule'!$C$22="","",IF('Recurring Schedule'!$F$22="","",IF(OR($A178&lt;'Recurring Schedule'!$F$22,$A178&gt;'Recurring Schedule'!$P$22),"",IF(IF('Recurring Schedule'!$N$22&gt;0,MOD($A178-'Recurring Schedule'!$F$22,'Recurring Schedule'!$N$22)=0,IF('Recurring Schedule'!$O$22&gt;0,AND(DAY($A178)=MIN(DAY('Recurring Schedule'!$F$22),DAY(EOMONTH($A178,0))),MOD((YEAR($A178)-YEAR('Recurring Schedule'!$F$22))*12+MONTH($A178)-MONTH('Recurring Schedule'!$F$22),'Recurring Schedule'!$O$22)=0),IF('Recurring Schedule'!$E$22="Weekdays",WEEKDAY($A178,2)&lt;=5,$A178='Recurring Schedule'!$F$22))),17,""))))</f>
        <v/>
      </c>
      <c r="S178">
        <f>IF('Recurring Schedule'!$C$23="","",IF('Recurring Schedule'!$F$23="","",IF(OR($A178&lt;'Recurring Schedule'!$F$23,$A178&gt;'Recurring Schedule'!$P$23),"",IF(IF('Recurring Schedule'!$N$23&gt;0,MOD($A178-'Recurring Schedule'!$F$23,'Recurring Schedule'!$N$23)=0,IF('Recurring Schedule'!$O$23&gt;0,AND(DAY($A178)=MIN(DAY('Recurring Schedule'!$F$23),DAY(EOMONTH($A178,0))),MOD((YEAR($A178)-YEAR('Recurring Schedule'!$F$23))*12+MONTH($A178)-MONTH('Recurring Schedule'!$F$23),'Recurring Schedule'!$O$23)=0),IF('Recurring Schedule'!$E$23="Weekdays",WEEKDAY($A178,2)&lt;=5,$A178='Recurring Schedule'!$F$23))),18,""))))</f>
        <v/>
      </c>
      <c r="T178">
        <f>IF('Recurring Schedule'!$C$24="","",IF('Recurring Schedule'!$F$24="","",IF(OR($A178&lt;'Recurring Schedule'!$F$24,$A178&gt;'Recurring Schedule'!$P$24),"",IF(IF('Recurring Schedule'!$N$24&gt;0,MOD($A178-'Recurring Schedule'!$F$24,'Recurring Schedule'!$N$24)=0,IF('Recurring Schedule'!$O$24&gt;0,AND(DAY($A178)=MIN(DAY('Recurring Schedule'!$F$24),DAY(EOMONTH($A178,0))),MOD((YEAR($A178)-YEAR('Recurring Schedule'!$F$24))*12+MONTH($A178)-MONTH('Recurring Schedule'!$F$24),'Recurring Schedule'!$O$24)=0),IF('Recurring Schedule'!$E$24="Weekdays",WEEKDAY($A178,2)&lt;=5,$A178='Recurring Schedule'!$F$24))),19,""))))</f>
        <v/>
      </c>
      <c r="U178">
        <f>IF('Recurring Schedule'!$C$25="","",IF('Recurring Schedule'!$F$25="","",IF(OR($A178&lt;'Recurring Schedule'!$F$25,$A178&gt;'Recurring Schedule'!$P$25),"",IF(IF('Recurring Schedule'!$N$25&gt;0,MOD($A178-'Recurring Schedule'!$F$25,'Recurring Schedule'!$N$25)=0,IF('Recurring Schedule'!$O$25&gt;0,AND(DAY($A178)=MIN(DAY('Recurring Schedule'!$F$25),DAY(EOMONTH($A178,0))),MOD((YEAR($A178)-YEAR('Recurring Schedule'!$F$25))*12+MONTH($A178)-MONTH('Recurring Schedule'!$F$25),'Recurring Schedule'!$O$25)=0),IF('Recurring Schedule'!$E$25="Weekdays",WEEKDAY($A178,2)&lt;=5,$A178='Recurring Schedule'!$F$25))),20,""))))</f>
        <v/>
      </c>
      <c r="V178">
        <f>IF('Recurring Schedule'!$C$26="","",IF('Recurring Schedule'!$F$26="","",IF(OR($A178&lt;'Recurring Schedule'!$F$26,$A178&gt;'Recurring Schedule'!$P$26),"",IF(IF('Recurring Schedule'!$N$26&gt;0,MOD($A178-'Recurring Schedule'!$F$26,'Recurring Schedule'!$N$26)=0,IF('Recurring Schedule'!$O$26&gt;0,AND(DAY($A178)=MIN(DAY('Recurring Schedule'!$F$26),DAY(EOMONTH($A178,0))),MOD((YEAR($A178)-YEAR('Recurring Schedule'!$F$26))*12+MONTH($A178)-MONTH('Recurring Schedule'!$F$26),'Recurring Schedule'!$O$26)=0),IF('Recurring Schedule'!$E$26="Weekdays",WEEKDAY($A178,2)&lt;=5,$A178='Recurring Schedule'!$F$26))),21,""))))</f>
        <v/>
      </c>
      <c r="W178">
        <f>IF('Recurring Schedule'!$C$27="","",IF('Recurring Schedule'!$F$27="","",IF(OR($A178&lt;'Recurring Schedule'!$F$27,$A178&gt;'Recurring Schedule'!$P$27),"",IF(IF('Recurring Schedule'!$N$27&gt;0,MOD($A178-'Recurring Schedule'!$F$27,'Recurring Schedule'!$N$27)=0,IF('Recurring Schedule'!$O$27&gt;0,AND(DAY($A178)=MIN(DAY('Recurring Schedule'!$F$27),DAY(EOMONTH($A178,0))),MOD((YEAR($A178)-YEAR('Recurring Schedule'!$F$27))*12+MONTH($A178)-MONTH('Recurring Schedule'!$F$27),'Recurring Schedule'!$O$27)=0),IF('Recurring Schedule'!$E$27="Weekdays",WEEKDAY($A178,2)&lt;=5,$A178='Recurring Schedule'!$F$27))),22,""))))</f>
        <v/>
      </c>
      <c r="X178">
        <f>IF('Recurring Schedule'!$C$28="","",IF('Recurring Schedule'!$F$28="","",IF(OR($A178&lt;'Recurring Schedule'!$F$28,$A178&gt;'Recurring Schedule'!$P$28),"",IF(IF('Recurring Schedule'!$N$28&gt;0,MOD($A178-'Recurring Schedule'!$F$28,'Recurring Schedule'!$N$28)=0,IF('Recurring Schedule'!$O$28&gt;0,AND(DAY($A178)=MIN(DAY('Recurring Schedule'!$F$28),DAY(EOMONTH($A178,0))),MOD((YEAR($A178)-YEAR('Recurring Schedule'!$F$28))*12+MONTH($A178)-MONTH('Recurring Schedule'!$F$28),'Recurring Schedule'!$O$28)=0),IF('Recurring Schedule'!$E$28="Weekdays",WEEKDAY($A178,2)&lt;=5,$A178='Recurring Schedule'!$F$28))),23,""))))</f>
        <v/>
      </c>
      <c r="Y178">
        <f>IF('Recurring Schedule'!$C$29="","",IF('Recurring Schedule'!$F$29="","",IF(OR($A178&lt;'Recurring Schedule'!$F$29,$A178&gt;'Recurring Schedule'!$P$29),"",IF(IF('Recurring Schedule'!$N$29&gt;0,MOD($A178-'Recurring Schedule'!$F$29,'Recurring Schedule'!$N$29)=0,IF('Recurring Schedule'!$O$29&gt;0,AND(DAY($A178)=MIN(DAY('Recurring Schedule'!$F$29),DAY(EOMONTH($A178,0))),MOD((YEAR($A178)-YEAR('Recurring Schedule'!$F$29))*12+MONTH($A178)-MONTH('Recurring Schedule'!$F$29),'Recurring Schedule'!$O$29)=0),IF('Recurring Schedule'!$E$29="Weekdays",WEEKDAY($A178,2)&lt;=5,$A178='Recurring Schedule'!$F$29))),24,""))))</f>
        <v/>
      </c>
      <c r="Z178">
        <f>IF('Recurring Schedule'!$C$30="","",IF('Recurring Schedule'!$F$30="","",IF(OR($A178&lt;'Recurring Schedule'!$F$30,$A178&gt;'Recurring Schedule'!$P$30),"",IF(IF('Recurring Schedule'!$N$30&gt;0,MOD($A178-'Recurring Schedule'!$F$30,'Recurring Schedule'!$N$30)=0,IF('Recurring Schedule'!$O$30&gt;0,AND(DAY($A178)=MIN(DAY('Recurring Schedule'!$F$30),DAY(EOMONTH($A178,0))),MOD((YEAR($A178)-YEAR('Recurring Schedule'!$F$30))*12+MONTH($A178)-MONTH('Recurring Schedule'!$F$30),'Recurring Schedule'!$O$30)=0),IF('Recurring Schedule'!$E$30="Weekdays",WEEKDAY($A178,2)&lt;=5,$A178='Recurring Schedule'!$F$30))),25,""))))</f>
        <v/>
      </c>
      <c r="AA178">
        <f>IF('Recurring Schedule'!$C$31="","",IF('Recurring Schedule'!$F$31="","",IF(OR($A178&lt;'Recurring Schedule'!$F$31,$A178&gt;'Recurring Schedule'!$P$31),"",IF(IF('Recurring Schedule'!$N$31&gt;0,MOD($A178-'Recurring Schedule'!$F$31,'Recurring Schedule'!$N$31)=0,IF('Recurring Schedule'!$O$31&gt;0,AND(DAY($A178)=MIN(DAY('Recurring Schedule'!$F$31),DAY(EOMONTH($A178,0))),MOD((YEAR($A178)-YEAR('Recurring Schedule'!$F$31))*12+MONTH($A178)-MONTH('Recurring Schedule'!$F$31),'Recurring Schedule'!$O$31)=0),IF('Recurring Schedule'!$E$31="Weekdays",WEEKDAY($A178,2)&lt;=5,$A178='Recurring Schedule'!$F$31))),26,""))))</f>
        <v/>
      </c>
      <c r="AB178">
        <f>IF('Recurring Schedule'!$C$32="","",IF('Recurring Schedule'!$F$32="","",IF(OR($A178&lt;'Recurring Schedule'!$F$32,$A178&gt;'Recurring Schedule'!$P$32),"",IF(IF('Recurring Schedule'!$N$32&gt;0,MOD($A178-'Recurring Schedule'!$F$32,'Recurring Schedule'!$N$32)=0,IF('Recurring Schedule'!$O$32&gt;0,AND(DAY($A178)=MIN(DAY('Recurring Schedule'!$F$32),DAY(EOMONTH($A178,0))),MOD((YEAR($A178)-YEAR('Recurring Schedule'!$F$32))*12+MONTH($A178)-MONTH('Recurring Schedule'!$F$32),'Recurring Schedule'!$O$32)=0),IF('Recurring Schedule'!$E$32="Weekdays",WEEKDAY($A178,2)&lt;=5,$A178='Recurring Schedule'!$F$32))),27,""))))</f>
        <v/>
      </c>
      <c r="AC178">
        <f>IF('Recurring Schedule'!$C$33="","",IF('Recurring Schedule'!$F$33="","",IF(OR($A178&lt;'Recurring Schedule'!$F$33,$A178&gt;'Recurring Schedule'!$P$33),"",IF(IF('Recurring Schedule'!$N$33&gt;0,MOD($A178-'Recurring Schedule'!$F$33,'Recurring Schedule'!$N$33)=0,IF('Recurring Schedule'!$O$33&gt;0,AND(DAY($A178)=MIN(DAY('Recurring Schedule'!$F$33),DAY(EOMONTH($A178,0))),MOD((YEAR($A178)-YEAR('Recurring Schedule'!$F$33))*12+MONTH($A178)-MONTH('Recurring Schedule'!$F$33),'Recurring Schedule'!$O$33)=0),IF('Recurring Schedule'!$E$33="Weekdays",WEEKDAY($A178,2)&lt;=5,$A178='Recurring Schedule'!$F$33))),28,""))))</f>
        <v/>
      </c>
      <c r="AD178">
        <f>IF('Recurring Schedule'!$C$34="","",IF('Recurring Schedule'!$F$34="","",IF(OR($A178&lt;'Recurring Schedule'!$F$34,$A178&gt;'Recurring Schedule'!$P$34),"",IF(IF('Recurring Schedule'!$N$34&gt;0,MOD($A178-'Recurring Schedule'!$F$34,'Recurring Schedule'!$N$34)=0,IF('Recurring Schedule'!$O$34&gt;0,AND(DAY($A178)=MIN(DAY('Recurring Schedule'!$F$34),DAY(EOMONTH($A178,0))),MOD((YEAR($A178)-YEAR('Recurring Schedule'!$F$34))*12+MONTH($A178)-MONTH('Recurring Schedule'!$F$34),'Recurring Schedule'!$O$34)=0),IF('Recurring Schedule'!$E$34="Weekdays",WEEKDAY($A178,2)&lt;=5,$A178='Recurring Schedule'!$F$34))),29,""))))</f>
        <v/>
      </c>
      <c r="AE178">
        <f>IF('Recurring Schedule'!$C$35="","",IF('Recurring Schedule'!$F$35="","",IF(OR($A178&lt;'Recurring Schedule'!$F$35,$A178&gt;'Recurring Schedule'!$P$35),"",IF(IF('Recurring Schedule'!$N$35&gt;0,MOD($A178-'Recurring Schedule'!$F$35,'Recurring Schedule'!$N$35)=0,IF('Recurring Schedule'!$O$35&gt;0,AND(DAY($A178)=MIN(DAY('Recurring Schedule'!$F$35),DAY(EOMONTH($A178,0))),MOD((YEAR($A178)-YEAR('Recurring Schedule'!$F$35))*12+MONTH($A178)-MONTH('Recurring Schedule'!$F$35),'Recurring Schedule'!$O$35)=0),IF('Recurring Schedule'!$E$35="Weekdays",WEEKDAY($A178,2)&lt;=5,$A178='Recurring Schedule'!$F$35))),30,""))))</f>
        <v/>
      </c>
      <c r="AF178">
        <f>IF('Recurring Schedule'!$C$36="","",IF('Recurring Schedule'!$F$36="","",IF(OR($A178&lt;'Recurring Schedule'!$F$36,$A178&gt;'Recurring Schedule'!$P$36),"",IF(IF('Recurring Schedule'!$N$36&gt;0,MOD($A178-'Recurring Schedule'!$F$36,'Recurring Schedule'!$N$36)=0,IF('Recurring Schedule'!$O$36&gt;0,AND(DAY($A178)=MIN(DAY('Recurring Schedule'!$F$36),DAY(EOMONTH($A178,0))),MOD((YEAR($A178)-YEAR('Recurring Schedule'!$F$36))*12+MONTH($A178)-MONTH('Recurring Schedule'!$F$36),'Recurring Schedule'!$O$36)=0),IF('Recurring Schedule'!$E$36="Weekdays",WEEKDAY($A178,2)&lt;=5,$A178='Recurring Schedule'!$F$36))),31,""))))</f>
        <v/>
      </c>
      <c r="AG178">
        <f>IF('Recurring Schedule'!$C$37="","",IF('Recurring Schedule'!$F$37="","",IF(OR($A178&lt;'Recurring Schedule'!$F$37,$A178&gt;'Recurring Schedule'!$P$37),"",IF(IF('Recurring Schedule'!$N$37&gt;0,MOD($A178-'Recurring Schedule'!$F$37,'Recurring Schedule'!$N$37)=0,IF('Recurring Schedule'!$O$37&gt;0,AND(DAY($A178)=MIN(DAY('Recurring Schedule'!$F$37),DAY(EOMONTH($A178,0))),MOD((YEAR($A178)-YEAR('Recurring Schedule'!$F$37))*12+MONTH($A178)-MONTH('Recurring Schedule'!$F$37),'Recurring Schedule'!$O$37)=0),IF('Recurring Schedule'!$E$37="Weekdays",WEEKDAY($A178,2)&lt;=5,$A178='Recurring Schedule'!$F$37))),32,""))))</f>
        <v/>
      </c>
      <c r="AH178">
        <f>IF('Recurring Schedule'!$C$38="","",IF('Recurring Schedule'!$F$38="","",IF(OR($A178&lt;'Recurring Schedule'!$F$38,$A178&gt;'Recurring Schedule'!$P$38),"",IF(IF('Recurring Schedule'!$N$38&gt;0,MOD($A178-'Recurring Schedule'!$F$38,'Recurring Schedule'!$N$38)=0,IF('Recurring Schedule'!$O$38&gt;0,AND(DAY($A178)=MIN(DAY('Recurring Schedule'!$F$38),DAY(EOMONTH($A178,0))),MOD((YEAR($A178)-YEAR('Recurring Schedule'!$F$38))*12+MONTH($A178)-MONTH('Recurring Schedule'!$F$38),'Recurring Schedule'!$O$38)=0),IF('Recurring Schedule'!$E$38="Weekdays",WEEKDAY($A178,2)&lt;=5,$A178='Recurring Schedule'!$F$38))),33,""))))</f>
        <v/>
      </c>
      <c r="AI178">
        <f>IF('Recurring Schedule'!$C$39="","",IF('Recurring Schedule'!$F$39="","",IF(OR($A178&lt;'Recurring Schedule'!$F$39,$A178&gt;'Recurring Schedule'!$P$39),"",IF(IF('Recurring Schedule'!$N$39&gt;0,MOD($A178-'Recurring Schedule'!$F$39,'Recurring Schedule'!$N$39)=0,IF('Recurring Schedule'!$O$39&gt;0,AND(DAY($A178)=MIN(DAY('Recurring Schedule'!$F$39),DAY(EOMONTH($A178,0))),MOD((YEAR($A178)-YEAR('Recurring Schedule'!$F$39))*12+MONTH($A178)-MONTH('Recurring Schedule'!$F$39),'Recurring Schedule'!$O$39)=0),IF('Recurring Schedule'!$E$39="Weekdays",WEEKDAY($A178,2)&lt;=5,$A178='Recurring Schedule'!$F$39))),34,""))))</f>
        <v/>
      </c>
      <c r="AJ178">
        <f>IF('Recurring Schedule'!$C$40="","",IF('Recurring Schedule'!$F$40="","",IF(OR($A178&lt;'Recurring Schedule'!$F$40,$A178&gt;'Recurring Schedule'!$P$40),"",IF(IF('Recurring Schedule'!$N$40&gt;0,MOD($A178-'Recurring Schedule'!$F$40,'Recurring Schedule'!$N$40)=0,IF('Recurring Schedule'!$O$40&gt;0,AND(DAY($A178)=MIN(DAY('Recurring Schedule'!$F$40),DAY(EOMONTH($A178,0))),MOD((YEAR($A178)-YEAR('Recurring Schedule'!$F$40))*12+MONTH($A178)-MONTH('Recurring Schedule'!$F$40),'Recurring Schedule'!$O$40)=0),IF('Recurring Schedule'!$E$40="Weekdays",WEEKDAY($A178,2)&lt;=5,$A178='Recurring Schedule'!$F$40))),35,""))))</f>
        <v/>
      </c>
      <c r="AK178">
        <f>IF('Recurring Schedule'!$C$41="","",IF('Recurring Schedule'!$F$41="","",IF(OR($A178&lt;'Recurring Schedule'!$F$41,$A178&gt;'Recurring Schedule'!$P$41),"",IF(IF('Recurring Schedule'!$N$41&gt;0,MOD($A178-'Recurring Schedule'!$F$41,'Recurring Schedule'!$N$41)=0,IF('Recurring Schedule'!$O$41&gt;0,AND(DAY($A178)=MIN(DAY('Recurring Schedule'!$F$41),DAY(EOMONTH($A178,0))),MOD((YEAR($A178)-YEAR('Recurring Schedule'!$F$41))*12+MONTH($A178)-MONTH('Recurring Schedule'!$F$41),'Recurring Schedule'!$O$41)=0),IF('Recurring Schedule'!$E$41="Weekdays",WEEKDAY($A178,2)&lt;=5,$A178='Recurring Schedule'!$F$41))),36,""))))</f>
        <v/>
      </c>
      <c r="AL178">
        <f>IF('Recurring Schedule'!$C$42="","",IF('Recurring Schedule'!$F$42="","",IF(OR($A178&lt;'Recurring Schedule'!$F$42,$A178&gt;'Recurring Schedule'!$P$42),"",IF(IF('Recurring Schedule'!$N$42&gt;0,MOD($A178-'Recurring Schedule'!$F$42,'Recurring Schedule'!$N$42)=0,IF('Recurring Schedule'!$O$42&gt;0,AND(DAY($A178)=MIN(DAY('Recurring Schedule'!$F$42),DAY(EOMONTH($A178,0))),MOD((YEAR($A178)-YEAR('Recurring Schedule'!$F$42))*12+MONTH($A178)-MONTH('Recurring Schedule'!$F$42),'Recurring Schedule'!$O$42)=0),IF('Recurring Schedule'!$E$42="Weekdays",WEEKDAY($A178,2)&lt;=5,$A178='Recurring Schedule'!$F$42))),37,""))))</f>
        <v/>
      </c>
      <c r="AM178">
        <f>IF('Recurring Schedule'!$C$43="","",IF('Recurring Schedule'!$F$43="","",IF(OR($A178&lt;'Recurring Schedule'!$F$43,$A178&gt;'Recurring Schedule'!$P$43),"",IF(IF('Recurring Schedule'!$N$43&gt;0,MOD($A178-'Recurring Schedule'!$F$43,'Recurring Schedule'!$N$43)=0,IF('Recurring Schedule'!$O$43&gt;0,AND(DAY($A178)=MIN(DAY('Recurring Schedule'!$F$43),DAY(EOMONTH($A178,0))),MOD((YEAR($A178)-YEAR('Recurring Schedule'!$F$43))*12+MONTH($A178)-MONTH('Recurring Schedule'!$F$43),'Recurring Schedule'!$O$43)=0),IF('Recurring Schedule'!$E$43="Weekdays",WEEKDAY($A178,2)&lt;=5,$A178='Recurring Schedule'!$F$43))),38,""))))</f>
        <v/>
      </c>
      <c r="AN178">
        <f>IF('Recurring Schedule'!$C$44="","",IF('Recurring Schedule'!$F$44="","",IF(OR($A178&lt;'Recurring Schedule'!$F$44,$A178&gt;'Recurring Schedule'!$P$44),"",IF(IF('Recurring Schedule'!$N$44&gt;0,MOD($A178-'Recurring Schedule'!$F$44,'Recurring Schedule'!$N$44)=0,IF('Recurring Schedule'!$O$44&gt;0,AND(DAY($A178)=MIN(DAY('Recurring Schedule'!$F$44),DAY(EOMONTH($A178,0))),MOD((YEAR($A178)-YEAR('Recurring Schedule'!$F$44))*12+MONTH($A178)-MONTH('Recurring Schedule'!$F$44),'Recurring Schedule'!$O$44)=0),IF('Recurring Schedule'!$E$44="Weekdays",WEEKDAY($A178,2)&lt;=5,$A178='Recurring Schedule'!$F$44))),39,""))))</f>
        <v/>
      </c>
      <c r="AO178">
        <f>IF('Recurring Schedule'!$C$45="","",IF('Recurring Schedule'!$F$45="","",IF(OR($A178&lt;'Recurring Schedule'!$F$45,$A178&gt;'Recurring Schedule'!$P$45),"",IF(IF('Recurring Schedule'!$N$45&gt;0,MOD($A178-'Recurring Schedule'!$F$45,'Recurring Schedule'!$N$45)=0,IF('Recurring Schedule'!$O$45&gt;0,AND(DAY($A178)=MIN(DAY('Recurring Schedule'!$F$45),DAY(EOMONTH($A178,0))),MOD((YEAR($A178)-YEAR('Recurring Schedule'!$F$45))*12+MONTH($A178)-MONTH('Recurring Schedule'!$F$45),'Recurring Schedule'!$O$45)=0),IF('Recurring Schedule'!$E$45="Weekdays",WEEKDAY($A178,2)&lt;=5,$A178='Recurring Schedule'!$F$45))),40,""))))</f>
        <v/>
      </c>
      <c r="AP178">
        <f>COUNT(B178:AO178)</f>
        <v/>
      </c>
      <c r="AQ178">
        <f>AQ177+AP177</f>
        <v/>
      </c>
      <c r="AS178" t="inlineStr">
        <is>
          <t>R</t>
        </is>
      </c>
      <c r="AT178" t="n">
        <v>182</v>
      </c>
      <c r="AU178">
        <f>'Recurring Log'!C182&amp;""</f>
        <v/>
      </c>
      <c r="AV178">
        <f>'Recurring Log'!D182&amp;""</f>
        <v/>
      </c>
      <c r="AW178">
        <f>IF('Recurring Log'!E182="","",'Recurring Log'!E182)</f>
        <v/>
      </c>
      <c r="AX178">
        <f>IF('Recurring Log'!G182="","",'Recurring Log'!G182)</f>
        <v/>
      </c>
      <c r="AY178">
        <f>IF('Recurring Log'!H182="","",'Recurring Log'!H182)</f>
        <v/>
      </c>
      <c r="AZ178">
        <f>IF(AU178="","",IF('Recurring Log'!J182="","Not Started",'Recurring Log'!J182))</f>
        <v/>
      </c>
      <c r="BA178">
        <f>'Recurring Log'!L182&amp;""</f>
        <v/>
      </c>
      <c r="BB178">
        <f>'Recurring Log'!M182&amp;""</f>
        <v/>
      </c>
      <c r="BC178">
        <f>'Recurring Log'!N182&amp;""</f>
        <v/>
      </c>
      <c r="BD178">
        <f>'Recurring Log'!O182&amp;""</f>
        <v/>
      </c>
      <c r="BE178">
        <f>IF('Recurring Log'!K182="","",'Recurring Log'!K182)</f>
        <v/>
      </c>
      <c r="BF178">
        <f>IFERROR(MATCH(BA178,Setup!$L$6:$L$9,0),5)</f>
        <v/>
      </c>
      <c r="BG178">
        <f>IF(OR(AZ178="Done",AZ178="Cancelled"),1,0)</f>
        <v/>
      </c>
      <c r="BH178">
        <f>IF(AND(AU178&lt;&gt;"",ISNUMBER(AW178)),1,0)</f>
        <v/>
      </c>
      <c r="BI178">
        <f>IF(BH178=0,0,IF(AND(AW178&gt;='Tasks Filter'!$F$3,AW178&lt;='Tasks Filter'!$F$4,OR('Tasks Filter'!$I$3="",ISNUMBER(SEARCH('Tasks Filter'!$I$3,AU178))),OR('Tasks Filter'!$I$4="",BF178=IFERROR(MATCH('Tasks Filter'!$I$4,Setup!$L$6:$L$9,0),0)),OR('Tasks Filter'!$I$5="Both",AND('Tasks Filter'!$I$5="Yes",BB178="✓"),AND('Tasks Filter'!$I$5="No",BB178&lt;&gt;"✓")),OR('Tasks Filter'!$L$3="",AV178='Tasks Filter'!$L$3),OR('Tasks Filter'!$L$4="",AZ178='Tasks Filter'!$L$4),OR('Tasks Filter'!$L$5="",BC178='Tasks Filter'!$L$5),OR('Tasks Filter'!$O$3="",BD178='Tasks Filter'!$O$3),OR('Tasks Filter'!$O$4="Yes",BG178=0)),1,0))</f>
        <v/>
      </c>
      <c r="BJ178">
        <f>IF(BH178=0,"",IF('Tasks Filter'!$F$6="Descending",-1,1)*CHOOSE(MATCH('Tasks Filter'!$F$5,Lists!$G$2:$G$6,0),AW178,BF178,IFERROR(MATCH(AV178,Setup!$F$6:$F$15,0),99),IFERROR(MATCH(BC178,Setup!$H$6:$H$15,0),99),IFERROR(MATCH(AZ178,Setup!$J$6:$J$11,0),99))*1E+9+(AW178-40000)*10000+177)</f>
        <v/>
      </c>
      <c r="BK178">
        <f>IF(BI178=1,BJ178,"")</f>
        <v/>
      </c>
      <c r="BL178">
        <f>IF(AND(BH178=1,BG178=0,N(AW178)&lt;Setup!$D$7),(AW178-40000)*10000+177,"")</f>
        <v/>
      </c>
      <c r="BM178">
        <f>IF(AND(BH178=1,AZ178&lt;&gt;"Cancelled",N(AW178)&gt;=Dashboard!$AB$3,N(AW178)&lt;=Dashboard!$AB$3+6),(AW178-40000)*100000+BF178*10000+177,"")</f>
        <v/>
      </c>
      <c r="BN178">
        <f>IF(AND(BH178=1,AZ178&lt;&gt;"Cancelled"),BF178*10000+177,"")</f>
        <v/>
      </c>
    </row>
    <row r="179">
      <c r="A179">
        <f>Setup!$D$5+177</f>
        <v/>
      </c>
      <c r="B179">
        <f>IF('Recurring Schedule'!$C$6="","",IF('Recurring Schedule'!$F$6="","",IF(OR($A179&lt;'Recurring Schedule'!$F$6,$A179&gt;'Recurring Schedule'!$P$6),"",IF(IF('Recurring Schedule'!$N$6&gt;0,MOD($A179-'Recurring Schedule'!$F$6,'Recurring Schedule'!$N$6)=0,IF('Recurring Schedule'!$O$6&gt;0,AND(DAY($A179)=MIN(DAY('Recurring Schedule'!$F$6),DAY(EOMONTH($A179,0))),MOD((YEAR($A179)-YEAR('Recurring Schedule'!$F$6))*12+MONTH($A179)-MONTH('Recurring Schedule'!$F$6),'Recurring Schedule'!$O$6)=0),IF('Recurring Schedule'!$E$6="Weekdays",WEEKDAY($A179,2)&lt;=5,$A179='Recurring Schedule'!$F$6))),1,""))))</f>
        <v/>
      </c>
      <c r="C179">
        <f>IF('Recurring Schedule'!$C$7="","",IF('Recurring Schedule'!$F$7="","",IF(OR($A179&lt;'Recurring Schedule'!$F$7,$A179&gt;'Recurring Schedule'!$P$7),"",IF(IF('Recurring Schedule'!$N$7&gt;0,MOD($A179-'Recurring Schedule'!$F$7,'Recurring Schedule'!$N$7)=0,IF('Recurring Schedule'!$O$7&gt;0,AND(DAY($A179)=MIN(DAY('Recurring Schedule'!$F$7),DAY(EOMONTH($A179,0))),MOD((YEAR($A179)-YEAR('Recurring Schedule'!$F$7))*12+MONTH($A179)-MONTH('Recurring Schedule'!$F$7),'Recurring Schedule'!$O$7)=0),IF('Recurring Schedule'!$E$7="Weekdays",WEEKDAY($A179,2)&lt;=5,$A179='Recurring Schedule'!$F$7))),2,""))))</f>
        <v/>
      </c>
      <c r="D179">
        <f>IF('Recurring Schedule'!$C$8="","",IF('Recurring Schedule'!$F$8="","",IF(OR($A179&lt;'Recurring Schedule'!$F$8,$A179&gt;'Recurring Schedule'!$P$8),"",IF(IF('Recurring Schedule'!$N$8&gt;0,MOD($A179-'Recurring Schedule'!$F$8,'Recurring Schedule'!$N$8)=0,IF('Recurring Schedule'!$O$8&gt;0,AND(DAY($A179)=MIN(DAY('Recurring Schedule'!$F$8),DAY(EOMONTH($A179,0))),MOD((YEAR($A179)-YEAR('Recurring Schedule'!$F$8))*12+MONTH($A179)-MONTH('Recurring Schedule'!$F$8),'Recurring Schedule'!$O$8)=0),IF('Recurring Schedule'!$E$8="Weekdays",WEEKDAY($A179,2)&lt;=5,$A179='Recurring Schedule'!$F$8))),3,""))))</f>
        <v/>
      </c>
      <c r="E179">
        <f>IF('Recurring Schedule'!$C$9="","",IF('Recurring Schedule'!$F$9="","",IF(OR($A179&lt;'Recurring Schedule'!$F$9,$A179&gt;'Recurring Schedule'!$P$9),"",IF(IF('Recurring Schedule'!$N$9&gt;0,MOD($A179-'Recurring Schedule'!$F$9,'Recurring Schedule'!$N$9)=0,IF('Recurring Schedule'!$O$9&gt;0,AND(DAY($A179)=MIN(DAY('Recurring Schedule'!$F$9),DAY(EOMONTH($A179,0))),MOD((YEAR($A179)-YEAR('Recurring Schedule'!$F$9))*12+MONTH($A179)-MONTH('Recurring Schedule'!$F$9),'Recurring Schedule'!$O$9)=0),IF('Recurring Schedule'!$E$9="Weekdays",WEEKDAY($A179,2)&lt;=5,$A179='Recurring Schedule'!$F$9))),4,""))))</f>
        <v/>
      </c>
      <c r="F179">
        <f>IF('Recurring Schedule'!$C$10="","",IF('Recurring Schedule'!$F$10="","",IF(OR($A179&lt;'Recurring Schedule'!$F$10,$A179&gt;'Recurring Schedule'!$P$10),"",IF(IF('Recurring Schedule'!$N$10&gt;0,MOD($A179-'Recurring Schedule'!$F$10,'Recurring Schedule'!$N$10)=0,IF('Recurring Schedule'!$O$10&gt;0,AND(DAY($A179)=MIN(DAY('Recurring Schedule'!$F$10),DAY(EOMONTH($A179,0))),MOD((YEAR($A179)-YEAR('Recurring Schedule'!$F$10))*12+MONTH($A179)-MONTH('Recurring Schedule'!$F$10),'Recurring Schedule'!$O$10)=0),IF('Recurring Schedule'!$E$10="Weekdays",WEEKDAY($A179,2)&lt;=5,$A179='Recurring Schedule'!$F$10))),5,""))))</f>
        <v/>
      </c>
      <c r="G179">
        <f>IF('Recurring Schedule'!$C$11="","",IF('Recurring Schedule'!$F$11="","",IF(OR($A179&lt;'Recurring Schedule'!$F$11,$A179&gt;'Recurring Schedule'!$P$11),"",IF(IF('Recurring Schedule'!$N$11&gt;0,MOD($A179-'Recurring Schedule'!$F$11,'Recurring Schedule'!$N$11)=0,IF('Recurring Schedule'!$O$11&gt;0,AND(DAY($A179)=MIN(DAY('Recurring Schedule'!$F$11),DAY(EOMONTH($A179,0))),MOD((YEAR($A179)-YEAR('Recurring Schedule'!$F$11))*12+MONTH($A179)-MONTH('Recurring Schedule'!$F$11),'Recurring Schedule'!$O$11)=0),IF('Recurring Schedule'!$E$11="Weekdays",WEEKDAY($A179,2)&lt;=5,$A179='Recurring Schedule'!$F$11))),6,""))))</f>
        <v/>
      </c>
      <c r="H179">
        <f>IF('Recurring Schedule'!$C$12="","",IF('Recurring Schedule'!$F$12="","",IF(OR($A179&lt;'Recurring Schedule'!$F$12,$A179&gt;'Recurring Schedule'!$P$12),"",IF(IF('Recurring Schedule'!$N$12&gt;0,MOD($A179-'Recurring Schedule'!$F$12,'Recurring Schedule'!$N$12)=0,IF('Recurring Schedule'!$O$12&gt;0,AND(DAY($A179)=MIN(DAY('Recurring Schedule'!$F$12),DAY(EOMONTH($A179,0))),MOD((YEAR($A179)-YEAR('Recurring Schedule'!$F$12))*12+MONTH($A179)-MONTH('Recurring Schedule'!$F$12),'Recurring Schedule'!$O$12)=0),IF('Recurring Schedule'!$E$12="Weekdays",WEEKDAY($A179,2)&lt;=5,$A179='Recurring Schedule'!$F$12))),7,""))))</f>
        <v/>
      </c>
      <c r="I179">
        <f>IF('Recurring Schedule'!$C$13="","",IF('Recurring Schedule'!$F$13="","",IF(OR($A179&lt;'Recurring Schedule'!$F$13,$A179&gt;'Recurring Schedule'!$P$13),"",IF(IF('Recurring Schedule'!$N$13&gt;0,MOD($A179-'Recurring Schedule'!$F$13,'Recurring Schedule'!$N$13)=0,IF('Recurring Schedule'!$O$13&gt;0,AND(DAY($A179)=MIN(DAY('Recurring Schedule'!$F$13),DAY(EOMONTH($A179,0))),MOD((YEAR($A179)-YEAR('Recurring Schedule'!$F$13))*12+MONTH($A179)-MONTH('Recurring Schedule'!$F$13),'Recurring Schedule'!$O$13)=0),IF('Recurring Schedule'!$E$13="Weekdays",WEEKDAY($A179,2)&lt;=5,$A179='Recurring Schedule'!$F$13))),8,""))))</f>
        <v/>
      </c>
      <c r="J179">
        <f>IF('Recurring Schedule'!$C$14="","",IF('Recurring Schedule'!$F$14="","",IF(OR($A179&lt;'Recurring Schedule'!$F$14,$A179&gt;'Recurring Schedule'!$P$14),"",IF(IF('Recurring Schedule'!$N$14&gt;0,MOD($A179-'Recurring Schedule'!$F$14,'Recurring Schedule'!$N$14)=0,IF('Recurring Schedule'!$O$14&gt;0,AND(DAY($A179)=MIN(DAY('Recurring Schedule'!$F$14),DAY(EOMONTH($A179,0))),MOD((YEAR($A179)-YEAR('Recurring Schedule'!$F$14))*12+MONTH($A179)-MONTH('Recurring Schedule'!$F$14),'Recurring Schedule'!$O$14)=0),IF('Recurring Schedule'!$E$14="Weekdays",WEEKDAY($A179,2)&lt;=5,$A179='Recurring Schedule'!$F$14))),9,""))))</f>
        <v/>
      </c>
      <c r="K179">
        <f>IF('Recurring Schedule'!$C$15="","",IF('Recurring Schedule'!$F$15="","",IF(OR($A179&lt;'Recurring Schedule'!$F$15,$A179&gt;'Recurring Schedule'!$P$15),"",IF(IF('Recurring Schedule'!$N$15&gt;0,MOD($A179-'Recurring Schedule'!$F$15,'Recurring Schedule'!$N$15)=0,IF('Recurring Schedule'!$O$15&gt;0,AND(DAY($A179)=MIN(DAY('Recurring Schedule'!$F$15),DAY(EOMONTH($A179,0))),MOD((YEAR($A179)-YEAR('Recurring Schedule'!$F$15))*12+MONTH($A179)-MONTH('Recurring Schedule'!$F$15),'Recurring Schedule'!$O$15)=0),IF('Recurring Schedule'!$E$15="Weekdays",WEEKDAY($A179,2)&lt;=5,$A179='Recurring Schedule'!$F$15))),10,""))))</f>
        <v/>
      </c>
      <c r="L179">
        <f>IF('Recurring Schedule'!$C$16="","",IF('Recurring Schedule'!$F$16="","",IF(OR($A179&lt;'Recurring Schedule'!$F$16,$A179&gt;'Recurring Schedule'!$P$16),"",IF(IF('Recurring Schedule'!$N$16&gt;0,MOD($A179-'Recurring Schedule'!$F$16,'Recurring Schedule'!$N$16)=0,IF('Recurring Schedule'!$O$16&gt;0,AND(DAY($A179)=MIN(DAY('Recurring Schedule'!$F$16),DAY(EOMONTH($A179,0))),MOD((YEAR($A179)-YEAR('Recurring Schedule'!$F$16))*12+MONTH($A179)-MONTH('Recurring Schedule'!$F$16),'Recurring Schedule'!$O$16)=0),IF('Recurring Schedule'!$E$16="Weekdays",WEEKDAY($A179,2)&lt;=5,$A179='Recurring Schedule'!$F$16))),11,""))))</f>
        <v/>
      </c>
      <c r="M179">
        <f>IF('Recurring Schedule'!$C$17="","",IF('Recurring Schedule'!$F$17="","",IF(OR($A179&lt;'Recurring Schedule'!$F$17,$A179&gt;'Recurring Schedule'!$P$17),"",IF(IF('Recurring Schedule'!$N$17&gt;0,MOD($A179-'Recurring Schedule'!$F$17,'Recurring Schedule'!$N$17)=0,IF('Recurring Schedule'!$O$17&gt;0,AND(DAY($A179)=MIN(DAY('Recurring Schedule'!$F$17),DAY(EOMONTH($A179,0))),MOD((YEAR($A179)-YEAR('Recurring Schedule'!$F$17))*12+MONTH($A179)-MONTH('Recurring Schedule'!$F$17),'Recurring Schedule'!$O$17)=0),IF('Recurring Schedule'!$E$17="Weekdays",WEEKDAY($A179,2)&lt;=5,$A179='Recurring Schedule'!$F$17))),12,""))))</f>
        <v/>
      </c>
      <c r="N179">
        <f>IF('Recurring Schedule'!$C$18="","",IF('Recurring Schedule'!$F$18="","",IF(OR($A179&lt;'Recurring Schedule'!$F$18,$A179&gt;'Recurring Schedule'!$P$18),"",IF(IF('Recurring Schedule'!$N$18&gt;0,MOD($A179-'Recurring Schedule'!$F$18,'Recurring Schedule'!$N$18)=0,IF('Recurring Schedule'!$O$18&gt;0,AND(DAY($A179)=MIN(DAY('Recurring Schedule'!$F$18),DAY(EOMONTH($A179,0))),MOD((YEAR($A179)-YEAR('Recurring Schedule'!$F$18))*12+MONTH($A179)-MONTH('Recurring Schedule'!$F$18),'Recurring Schedule'!$O$18)=0),IF('Recurring Schedule'!$E$18="Weekdays",WEEKDAY($A179,2)&lt;=5,$A179='Recurring Schedule'!$F$18))),13,""))))</f>
        <v/>
      </c>
      <c r="O179">
        <f>IF('Recurring Schedule'!$C$19="","",IF('Recurring Schedule'!$F$19="","",IF(OR($A179&lt;'Recurring Schedule'!$F$19,$A179&gt;'Recurring Schedule'!$P$19),"",IF(IF('Recurring Schedule'!$N$19&gt;0,MOD($A179-'Recurring Schedule'!$F$19,'Recurring Schedule'!$N$19)=0,IF('Recurring Schedule'!$O$19&gt;0,AND(DAY($A179)=MIN(DAY('Recurring Schedule'!$F$19),DAY(EOMONTH($A179,0))),MOD((YEAR($A179)-YEAR('Recurring Schedule'!$F$19))*12+MONTH($A179)-MONTH('Recurring Schedule'!$F$19),'Recurring Schedule'!$O$19)=0),IF('Recurring Schedule'!$E$19="Weekdays",WEEKDAY($A179,2)&lt;=5,$A179='Recurring Schedule'!$F$19))),14,""))))</f>
        <v/>
      </c>
      <c r="P179">
        <f>IF('Recurring Schedule'!$C$20="","",IF('Recurring Schedule'!$F$20="","",IF(OR($A179&lt;'Recurring Schedule'!$F$20,$A179&gt;'Recurring Schedule'!$P$20),"",IF(IF('Recurring Schedule'!$N$20&gt;0,MOD($A179-'Recurring Schedule'!$F$20,'Recurring Schedule'!$N$20)=0,IF('Recurring Schedule'!$O$20&gt;0,AND(DAY($A179)=MIN(DAY('Recurring Schedule'!$F$20),DAY(EOMONTH($A179,0))),MOD((YEAR($A179)-YEAR('Recurring Schedule'!$F$20))*12+MONTH($A179)-MONTH('Recurring Schedule'!$F$20),'Recurring Schedule'!$O$20)=0),IF('Recurring Schedule'!$E$20="Weekdays",WEEKDAY($A179,2)&lt;=5,$A179='Recurring Schedule'!$F$20))),15,""))))</f>
        <v/>
      </c>
      <c r="Q179">
        <f>IF('Recurring Schedule'!$C$21="","",IF('Recurring Schedule'!$F$21="","",IF(OR($A179&lt;'Recurring Schedule'!$F$21,$A179&gt;'Recurring Schedule'!$P$21),"",IF(IF('Recurring Schedule'!$N$21&gt;0,MOD($A179-'Recurring Schedule'!$F$21,'Recurring Schedule'!$N$21)=0,IF('Recurring Schedule'!$O$21&gt;0,AND(DAY($A179)=MIN(DAY('Recurring Schedule'!$F$21),DAY(EOMONTH($A179,0))),MOD((YEAR($A179)-YEAR('Recurring Schedule'!$F$21))*12+MONTH($A179)-MONTH('Recurring Schedule'!$F$21),'Recurring Schedule'!$O$21)=0),IF('Recurring Schedule'!$E$21="Weekdays",WEEKDAY($A179,2)&lt;=5,$A179='Recurring Schedule'!$F$21))),16,""))))</f>
        <v/>
      </c>
      <c r="R179">
        <f>IF('Recurring Schedule'!$C$22="","",IF('Recurring Schedule'!$F$22="","",IF(OR($A179&lt;'Recurring Schedule'!$F$22,$A179&gt;'Recurring Schedule'!$P$22),"",IF(IF('Recurring Schedule'!$N$22&gt;0,MOD($A179-'Recurring Schedule'!$F$22,'Recurring Schedule'!$N$22)=0,IF('Recurring Schedule'!$O$22&gt;0,AND(DAY($A179)=MIN(DAY('Recurring Schedule'!$F$22),DAY(EOMONTH($A179,0))),MOD((YEAR($A179)-YEAR('Recurring Schedule'!$F$22))*12+MONTH($A179)-MONTH('Recurring Schedule'!$F$22),'Recurring Schedule'!$O$22)=0),IF('Recurring Schedule'!$E$22="Weekdays",WEEKDAY($A179,2)&lt;=5,$A179='Recurring Schedule'!$F$22))),17,""))))</f>
        <v/>
      </c>
      <c r="S179">
        <f>IF('Recurring Schedule'!$C$23="","",IF('Recurring Schedule'!$F$23="","",IF(OR($A179&lt;'Recurring Schedule'!$F$23,$A179&gt;'Recurring Schedule'!$P$23),"",IF(IF('Recurring Schedule'!$N$23&gt;0,MOD($A179-'Recurring Schedule'!$F$23,'Recurring Schedule'!$N$23)=0,IF('Recurring Schedule'!$O$23&gt;0,AND(DAY($A179)=MIN(DAY('Recurring Schedule'!$F$23),DAY(EOMONTH($A179,0))),MOD((YEAR($A179)-YEAR('Recurring Schedule'!$F$23))*12+MONTH($A179)-MONTH('Recurring Schedule'!$F$23),'Recurring Schedule'!$O$23)=0),IF('Recurring Schedule'!$E$23="Weekdays",WEEKDAY($A179,2)&lt;=5,$A179='Recurring Schedule'!$F$23))),18,""))))</f>
        <v/>
      </c>
      <c r="T179">
        <f>IF('Recurring Schedule'!$C$24="","",IF('Recurring Schedule'!$F$24="","",IF(OR($A179&lt;'Recurring Schedule'!$F$24,$A179&gt;'Recurring Schedule'!$P$24),"",IF(IF('Recurring Schedule'!$N$24&gt;0,MOD($A179-'Recurring Schedule'!$F$24,'Recurring Schedule'!$N$24)=0,IF('Recurring Schedule'!$O$24&gt;0,AND(DAY($A179)=MIN(DAY('Recurring Schedule'!$F$24),DAY(EOMONTH($A179,0))),MOD((YEAR($A179)-YEAR('Recurring Schedule'!$F$24))*12+MONTH($A179)-MONTH('Recurring Schedule'!$F$24),'Recurring Schedule'!$O$24)=0),IF('Recurring Schedule'!$E$24="Weekdays",WEEKDAY($A179,2)&lt;=5,$A179='Recurring Schedule'!$F$24))),19,""))))</f>
        <v/>
      </c>
      <c r="U179">
        <f>IF('Recurring Schedule'!$C$25="","",IF('Recurring Schedule'!$F$25="","",IF(OR($A179&lt;'Recurring Schedule'!$F$25,$A179&gt;'Recurring Schedule'!$P$25),"",IF(IF('Recurring Schedule'!$N$25&gt;0,MOD($A179-'Recurring Schedule'!$F$25,'Recurring Schedule'!$N$25)=0,IF('Recurring Schedule'!$O$25&gt;0,AND(DAY($A179)=MIN(DAY('Recurring Schedule'!$F$25),DAY(EOMONTH($A179,0))),MOD((YEAR($A179)-YEAR('Recurring Schedule'!$F$25))*12+MONTH($A179)-MONTH('Recurring Schedule'!$F$25),'Recurring Schedule'!$O$25)=0),IF('Recurring Schedule'!$E$25="Weekdays",WEEKDAY($A179,2)&lt;=5,$A179='Recurring Schedule'!$F$25))),20,""))))</f>
        <v/>
      </c>
      <c r="V179">
        <f>IF('Recurring Schedule'!$C$26="","",IF('Recurring Schedule'!$F$26="","",IF(OR($A179&lt;'Recurring Schedule'!$F$26,$A179&gt;'Recurring Schedule'!$P$26),"",IF(IF('Recurring Schedule'!$N$26&gt;0,MOD($A179-'Recurring Schedule'!$F$26,'Recurring Schedule'!$N$26)=0,IF('Recurring Schedule'!$O$26&gt;0,AND(DAY($A179)=MIN(DAY('Recurring Schedule'!$F$26),DAY(EOMONTH($A179,0))),MOD((YEAR($A179)-YEAR('Recurring Schedule'!$F$26))*12+MONTH($A179)-MONTH('Recurring Schedule'!$F$26),'Recurring Schedule'!$O$26)=0),IF('Recurring Schedule'!$E$26="Weekdays",WEEKDAY($A179,2)&lt;=5,$A179='Recurring Schedule'!$F$26))),21,""))))</f>
        <v/>
      </c>
      <c r="W179">
        <f>IF('Recurring Schedule'!$C$27="","",IF('Recurring Schedule'!$F$27="","",IF(OR($A179&lt;'Recurring Schedule'!$F$27,$A179&gt;'Recurring Schedule'!$P$27),"",IF(IF('Recurring Schedule'!$N$27&gt;0,MOD($A179-'Recurring Schedule'!$F$27,'Recurring Schedule'!$N$27)=0,IF('Recurring Schedule'!$O$27&gt;0,AND(DAY($A179)=MIN(DAY('Recurring Schedule'!$F$27),DAY(EOMONTH($A179,0))),MOD((YEAR($A179)-YEAR('Recurring Schedule'!$F$27))*12+MONTH($A179)-MONTH('Recurring Schedule'!$F$27),'Recurring Schedule'!$O$27)=0),IF('Recurring Schedule'!$E$27="Weekdays",WEEKDAY($A179,2)&lt;=5,$A179='Recurring Schedule'!$F$27))),22,""))))</f>
        <v/>
      </c>
      <c r="X179">
        <f>IF('Recurring Schedule'!$C$28="","",IF('Recurring Schedule'!$F$28="","",IF(OR($A179&lt;'Recurring Schedule'!$F$28,$A179&gt;'Recurring Schedule'!$P$28),"",IF(IF('Recurring Schedule'!$N$28&gt;0,MOD($A179-'Recurring Schedule'!$F$28,'Recurring Schedule'!$N$28)=0,IF('Recurring Schedule'!$O$28&gt;0,AND(DAY($A179)=MIN(DAY('Recurring Schedule'!$F$28),DAY(EOMONTH($A179,0))),MOD((YEAR($A179)-YEAR('Recurring Schedule'!$F$28))*12+MONTH($A179)-MONTH('Recurring Schedule'!$F$28),'Recurring Schedule'!$O$28)=0),IF('Recurring Schedule'!$E$28="Weekdays",WEEKDAY($A179,2)&lt;=5,$A179='Recurring Schedule'!$F$28))),23,""))))</f>
        <v/>
      </c>
      <c r="Y179">
        <f>IF('Recurring Schedule'!$C$29="","",IF('Recurring Schedule'!$F$29="","",IF(OR($A179&lt;'Recurring Schedule'!$F$29,$A179&gt;'Recurring Schedule'!$P$29),"",IF(IF('Recurring Schedule'!$N$29&gt;0,MOD($A179-'Recurring Schedule'!$F$29,'Recurring Schedule'!$N$29)=0,IF('Recurring Schedule'!$O$29&gt;0,AND(DAY($A179)=MIN(DAY('Recurring Schedule'!$F$29),DAY(EOMONTH($A179,0))),MOD((YEAR($A179)-YEAR('Recurring Schedule'!$F$29))*12+MONTH($A179)-MONTH('Recurring Schedule'!$F$29),'Recurring Schedule'!$O$29)=0),IF('Recurring Schedule'!$E$29="Weekdays",WEEKDAY($A179,2)&lt;=5,$A179='Recurring Schedule'!$F$29))),24,""))))</f>
        <v/>
      </c>
      <c r="Z179">
        <f>IF('Recurring Schedule'!$C$30="","",IF('Recurring Schedule'!$F$30="","",IF(OR($A179&lt;'Recurring Schedule'!$F$30,$A179&gt;'Recurring Schedule'!$P$30),"",IF(IF('Recurring Schedule'!$N$30&gt;0,MOD($A179-'Recurring Schedule'!$F$30,'Recurring Schedule'!$N$30)=0,IF('Recurring Schedule'!$O$30&gt;0,AND(DAY($A179)=MIN(DAY('Recurring Schedule'!$F$30),DAY(EOMONTH($A179,0))),MOD((YEAR($A179)-YEAR('Recurring Schedule'!$F$30))*12+MONTH($A179)-MONTH('Recurring Schedule'!$F$30),'Recurring Schedule'!$O$30)=0),IF('Recurring Schedule'!$E$30="Weekdays",WEEKDAY($A179,2)&lt;=5,$A179='Recurring Schedule'!$F$30))),25,""))))</f>
        <v/>
      </c>
      <c r="AA179">
        <f>IF('Recurring Schedule'!$C$31="","",IF('Recurring Schedule'!$F$31="","",IF(OR($A179&lt;'Recurring Schedule'!$F$31,$A179&gt;'Recurring Schedule'!$P$31),"",IF(IF('Recurring Schedule'!$N$31&gt;0,MOD($A179-'Recurring Schedule'!$F$31,'Recurring Schedule'!$N$31)=0,IF('Recurring Schedule'!$O$31&gt;0,AND(DAY($A179)=MIN(DAY('Recurring Schedule'!$F$31),DAY(EOMONTH($A179,0))),MOD((YEAR($A179)-YEAR('Recurring Schedule'!$F$31))*12+MONTH($A179)-MONTH('Recurring Schedule'!$F$31),'Recurring Schedule'!$O$31)=0),IF('Recurring Schedule'!$E$31="Weekdays",WEEKDAY($A179,2)&lt;=5,$A179='Recurring Schedule'!$F$31))),26,""))))</f>
        <v/>
      </c>
      <c r="AB179">
        <f>IF('Recurring Schedule'!$C$32="","",IF('Recurring Schedule'!$F$32="","",IF(OR($A179&lt;'Recurring Schedule'!$F$32,$A179&gt;'Recurring Schedule'!$P$32),"",IF(IF('Recurring Schedule'!$N$32&gt;0,MOD($A179-'Recurring Schedule'!$F$32,'Recurring Schedule'!$N$32)=0,IF('Recurring Schedule'!$O$32&gt;0,AND(DAY($A179)=MIN(DAY('Recurring Schedule'!$F$32),DAY(EOMONTH($A179,0))),MOD((YEAR($A179)-YEAR('Recurring Schedule'!$F$32))*12+MONTH($A179)-MONTH('Recurring Schedule'!$F$32),'Recurring Schedule'!$O$32)=0),IF('Recurring Schedule'!$E$32="Weekdays",WEEKDAY($A179,2)&lt;=5,$A179='Recurring Schedule'!$F$32))),27,""))))</f>
        <v/>
      </c>
      <c r="AC179">
        <f>IF('Recurring Schedule'!$C$33="","",IF('Recurring Schedule'!$F$33="","",IF(OR($A179&lt;'Recurring Schedule'!$F$33,$A179&gt;'Recurring Schedule'!$P$33),"",IF(IF('Recurring Schedule'!$N$33&gt;0,MOD($A179-'Recurring Schedule'!$F$33,'Recurring Schedule'!$N$33)=0,IF('Recurring Schedule'!$O$33&gt;0,AND(DAY($A179)=MIN(DAY('Recurring Schedule'!$F$33),DAY(EOMONTH($A179,0))),MOD((YEAR($A179)-YEAR('Recurring Schedule'!$F$33))*12+MONTH($A179)-MONTH('Recurring Schedule'!$F$33),'Recurring Schedule'!$O$33)=0),IF('Recurring Schedule'!$E$33="Weekdays",WEEKDAY($A179,2)&lt;=5,$A179='Recurring Schedule'!$F$33))),28,""))))</f>
        <v/>
      </c>
      <c r="AD179">
        <f>IF('Recurring Schedule'!$C$34="","",IF('Recurring Schedule'!$F$34="","",IF(OR($A179&lt;'Recurring Schedule'!$F$34,$A179&gt;'Recurring Schedule'!$P$34),"",IF(IF('Recurring Schedule'!$N$34&gt;0,MOD($A179-'Recurring Schedule'!$F$34,'Recurring Schedule'!$N$34)=0,IF('Recurring Schedule'!$O$34&gt;0,AND(DAY($A179)=MIN(DAY('Recurring Schedule'!$F$34),DAY(EOMONTH($A179,0))),MOD((YEAR($A179)-YEAR('Recurring Schedule'!$F$34))*12+MONTH($A179)-MONTH('Recurring Schedule'!$F$34),'Recurring Schedule'!$O$34)=0),IF('Recurring Schedule'!$E$34="Weekdays",WEEKDAY($A179,2)&lt;=5,$A179='Recurring Schedule'!$F$34))),29,""))))</f>
        <v/>
      </c>
      <c r="AE179">
        <f>IF('Recurring Schedule'!$C$35="","",IF('Recurring Schedule'!$F$35="","",IF(OR($A179&lt;'Recurring Schedule'!$F$35,$A179&gt;'Recurring Schedule'!$P$35),"",IF(IF('Recurring Schedule'!$N$35&gt;0,MOD($A179-'Recurring Schedule'!$F$35,'Recurring Schedule'!$N$35)=0,IF('Recurring Schedule'!$O$35&gt;0,AND(DAY($A179)=MIN(DAY('Recurring Schedule'!$F$35),DAY(EOMONTH($A179,0))),MOD((YEAR($A179)-YEAR('Recurring Schedule'!$F$35))*12+MONTH($A179)-MONTH('Recurring Schedule'!$F$35),'Recurring Schedule'!$O$35)=0),IF('Recurring Schedule'!$E$35="Weekdays",WEEKDAY($A179,2)&lt;=5,$A179='Recurring Schedule'!$F$35))),30,""))))</f>
        <v/>
      </c>
      <c r="AF179">
        <f>IF('Recurring Schedule'!$C$36="","",IF('Recurring Schedule'!$F$36="","",IF(OR($A179&lt;'Recurring Schedule'!$F$36,$A179&gt;'Recurring Schedule'!$P$36),"",IF(IF('Recurring Schedule'!$N$36&gt;0,MOD($A179-'Recurring Schedule'!$F$36,'Recurring Schedule'!$N$36)=0,IF('Recurring Schedule'!$O$36&gt;0,AND(DAY($A179)=MIN(DAY('Recurring Schedule'!$F$36),DAY(EOMONTH($A179,0))),MOD((YEAR($A179)-YEAR('Recurring Schedule'!$F$36))*12+MONTH($A179)-MONTH('Recurring Schedule'!$F$36),'Recurring Schedule'!$O$36)=0),IF('Recurring Schedule'!$E$36="Weekdays",WEEKDAY($A179,2)&lt;=5,$A179='Recurring Schedule'!$F$36))),31,""))))</f>
        <v/>
      </c>
      <c r="AG179">
        <f>IF('Recurring Schedule'!$C$37="","",IF('Recurring Schedule'!$F$37="","",IF(OR($A179&lt;'Recurring Schedule'!$F$37,$A179&gt;'Recurring Schedule'!$P$37),"",IF(IF('Recurring Schedule'!$N$37&gt;0,MOD($A179-'Recurring Schedule'!$F$37,'Recurring Schedule'!$N$37)=0,IF('Recurring Schedule'!$O$37&gt;0,AND(DAY($A179)=MIN(DAY('Recurring Schedule'!$F$37),DAY(EOMONTH($A179,0))),MOD((YEAR($A179)-YEAR('Recurring Schedule'!$F$37))*12+MONTH($A179)-MONTH('Recurring Schedule'!$F$37),'Recurring Schedule'!$O$37)=0),IF('Recurring Schedule'!$E$37="Weekdays",WEEKDAY($A179,2)&lt;=5,$A179='Recurring Schedule'!$F$37))),32,""))))</f>
        <v/>
      </c>
      <c r="AH179">
        <f>IF('Recurring Schedule'!$C$38="","",IF('Recurring Schedule'!$F$38="","",IF(OR($A179&lt;'Recurring Schedule'!$F$38,$A179&gt;'Recurring Schedule'!$P$38),"",IF(IF('Recurring Schedule'!$N$38&gt;0,MOD($A179-'Recurring Schedule'!$F$38,'Recurring Schedule'!$N$38)=0,IF('Recurring Schedule'!$O$38&gt;0,AND(DAY($A179)=MIN(DAY('Recurring Schedule'!$F$38),DAY(EOMONTH($A179,0))),MOD((YEAR($A179)-YEAR('Recurring Schedule'!$F$38))*12+MONTH($A179)-MONTH('Recurring Schedule'!$F$38),'Recurring Schedule'!$O$38)=0),IF('Recurring Schedule'!$E$38="Weekdays",WEEKDAY($A179,2)&lt;=5,$A179='Recurring Schedule'!$F$38))),33,""))))</f>
        <v/>
      </c>
      <c r="AI179">
        <f>IF('Recurring Schedule'!$C$39="","",IF('Recurring Schedule'!$F$39="","",IF(OR($A179&lt;'Recurring Schedule'!$F$39,$A179&gt;'Recurring Schedule'!$P$39),"",IF(IF('Recurring Schedule'!$N$39&gt;0,MOD($A179-'Recurring Schedule'!$F$39,'Recurring Schedule'!$N$39)=0,IF('Recurring Schedule'!$O$39&gt;0,AND(DAY($A179)=MIN(DAY('Recurring Schedule'!$F$39),DAY(EOMONTH($A179,0))),MOD((YEAR($A179)-YEAR('Recurring Schedule'!$F$39))*12+MONTH($A179)-MONTH('Recurring Schedule'!$F$39),'Recurring Schedule'!$O$39)=0),IF('Recurring Schedule'!$E$39="Weekdays",WEEKDAY($A179,2)&lt;=5,$A179='Recurring Schedule'!$F$39))),34,""))))</f>
        <v/>
      </c>
      <c r="AJ179">
        <f>IF('Recurring Schedule'!$C$40="","",IF('Recurring Schedule'!$F$40="","",IF(OR($A179&lt;'Recurring Schedule'!$F$40,$A179&gt;'Recurring Schedule'!$P$40),"",IF(IF('Recurring Schedule'!$N$40&gt;0,MOD($A179-'Recurring Schedule'!$F$40,'Recurring Schedule'!$N$40)=0,IF('Recurring Schedule'!$O$40&gt;0,AND(DAY($A179)=MIN(DAY('Recurring Schedule'!$F$40),DAY(EOMONTH($A179,0))),MOD((YEAR($A179)-YEAR('Recurring Schedule'!$F$40))*12+MONTH($A179)-MONTH('Recurring Schedule'!$F$40),'Recurring Schedule'!$O$40)=0),IF('Recurring Schedule'!$E$40="Weekdays",WEEKDAY($A179,2)&lt;=5,$A179='Recurring Schedule'!$F$40))),35,""))))</f>
        <v/>
      </c>
      <c r="AK179">
        <f>IF('Recurring Schedule'!$C$41="","",IF('Recurring Schedule'!$F$41="","",IF(OR($A179&lt;'Recurring Schedule'!$F$41,$A179&gt;'Recurring Schedule'!$P$41),"",IF(IF('Recurring Schedule'!$N$41&gt;0,MOD($A179-'Recurring Schedule'!$F$41,'Recurring Schedule'!$N$41)=0,IF('Recurring Schedule'!$O$41&gt;0,AND(DAY($A179)=MIN(DAY('Recurring Schedule'!$F$41),DAY(EOMONTH($A179,0))),MOD((YEAR($A179)-YEAR('Recurring Schedule'!$F$41))*12+MONTH($A179)-MONTH('Recurring Schedule'!$F$41),'Recurring Schedule'!$O$41)=0),IF('Recurring Schedule'!$E$41="Weekdays",WEEKDAY($A179,2)&lt;=5,$A179='Recurring Schedule'!$F$41))),36,""))))</f>
        <v/>
      </c>
      <c r="AL179">
        <f>IF('Recurring Schedule'!$C$42="","",IF('Recurring Schedule'!$F$42="","",IF(OR($A179&lt;'Recurring Schedule'!$F$42,$A179&gt;'Recurring Schedule'!$P$42),"",IF(IF('Recurring Schedule'!$N$42&gt;0,MOD($A179-'Recurring Schedule'!$F$42,'Recurring Schedule'!$N$42)=0,IF('Recurring Schedule'!$O$42&gt;0,AND(DAY($A179)=MIN(DAY('Recurring Schedule'!$F$42),DAY(EOMONTH($A179,0))),MOD((YEAR($A179)-YEAR('Recurring Schedule'!$F$42))*12+MONTH($A179)-MONTH('Recurring Schedule'!$F$42),'Recurring Schedule'!$O$42)=0),IF('Recurring Schedule'!$E$42="Weekdays",WEEKDAY($A179,2)&lt;=5,$A179='Recurring Schedule'!$F$42))),37,""))))</f>
        <v/>
      </c>
      <c r="AM179">
        <f>IF('Recurring Schedule'!$C$43="","",IF('Recurring Schedule'!$F$43="","",IF(OR($A179&lt;'Recurring Schedule'!$F$43,$A179&gt;'Recurring Schedule'!$P$43),"",IF(IF('Recurring Schedule'!$N$43&gt;0,MOD($A179-'Recurring Schedule'!$F$43,'Recurring Schedule'!$N$43)=0,IF('Recurring Schedule'!$O$43&gt;0,AND(DAY($A179)=MIN(DAY('Recurring Schedule'!$F$43),DAY(EOMONTH($A179,0))),MOD((YEAR($A179)-YEAR('Recurring Schedule'!$F$43))*12+MONTH($A179)-MONTH('Recurring Schedule'!$F$43),'Recurring Schedule'!$O$43)=0),IF('Recurring Schedule'!$E$43="Weekdays",WEEKDAY($A179,2)&lt;=5,$A179='Recurring Schedule'!$F$43))),38,""))))</f>
        <v/>
      </c>
      <c r="AN179">
        <f>IF('Recurring Schedule'!$C$44="","",IF('Recurring Schedule'!$F$44="","",IF(OR($A179&lt;'Recurring Schedule'!$F$44,$A179&gt;'Recurring Schedule'!$P$44),"",IF(IF('Recurring Schedule'!$N$44&gt;0,MOD($A179-'Recurring Schedule'!$F$44,'Recurring Schedule'!$N$44)=0,IF('Recurring Schedule'!$O$44&gt;0,AND(DAY($A179)=MIN(DAY('Recurring Schedule'!$F$44),DAY(EOMONTH($A179,0))),MOD((YEAR($A179)-YEAR('Recurring Schedule'!$F$44))*12+MONTH($A179)-MONTH('Recurring Schedule'!$F$44),'Recurring Schedule'!$O$44)=0),IF('Recurring Schedule'!$E$44="Weekdays",WEEKDAY($A179,2)&lt;=5,$A179='Recurring Schedule'!$F$44))),39,""))))</f>
        <v/>
      </c>
      <c r="AO179">
        <f>IF('Recurring Schedule'!$C$45="","",IF('Recurring Schedule'!$F$45="","",IF(OR($A179&lt;'Recurring Schedule'!$F$45,$A179&gt;'Recurring Schedule'!$P$45),"",IF(IF('Recurring Schedule'!$N$45&gt;0,MOD($A179-'Recurring Schedule'!$F$45,'Recurring Schedule'!$N$45)=0,IF('Recurring Schedule'!$O$45&gt;0,AND(DAY($A179)=MIN(DAY('Recurring Schedule'!$F$45),DAY(EOMONTH($A179,0))),MOD((YEAR($A179)-YEAR('Recurring Schedule'!$F$45))*12+MONTH($A179)-MONTH('Recurring Schedule'!$F$45),'Recurring Schedule'!$O$45)=0),IF('Recurring Schedule'!$E$45="Weekdays",WEEKDAY($A179,2)&lt;=5,$A179='Recurring Schedule'!$F$45))),40,""))))</f>
        <v/>
      </c>
      <c r="AP179">
        <f>COUNT(B179:AO179)</f>
        <v/>
      </c>
      <c r="AQ179">
        <f>AQ178+AP178</f>
        <v/>
      </c>
      <c r="AS179" t="inlineStr">
        <is>
          <t>R</t>
        </is>
      </c>
      <c r="AT179" t="n">
        <v>183</v>
      </c>
      <c r="AU179">
        <f>'Recurring Log'!C183&amp;""</f>
        <v/>
      </c>
      <c r="AV179">
        <f>'Recurring Log'!D183&amp;""</f>
        <v/>
      </c>
      <c r="AW179">
        <f>IF('Recurring Log'!E183="","",'Recurring Log'!E183)</f>
        <v/>
      </c>
      <c r="AX179">
        <f>IF('Recurring Log'!G183="","",'Recurring Log'!G183)</f>
        <v/>
      </c>
      <c r="AY179">
        <f>IF('Recurring Log'!H183="","",'Recurring Log'!H183)</f>
        <v/>
      </c>
      <c r="AZ179">
        <f>IF(AU179="","",IF('Recurring Log'!J183="","Not Started",'Recurring Log'!J183))</f>
        <v/>
      </c>
      <c r="BA179">
        <f>'Recurring Log'!L183&amp;""</f>
        <v/>
      </c>
      <c r="BB179">
        <f>'Recurring Log'!M183&amp;""</f>
        <v/>
      </c>
      <c r="BC179">
        <f>'Recurring Log'!N183&amp;""</f>
        <v/>
      </c>
      <c r="BD179">
        <f>'Recurring Log'!O183&amp;""</f>
        <v/>
      </c>
      <c r="BE179">
        <f>IF('Recurring Log'!K183="","",'Recurring Log'!K183)</f>
        <v/>
      </c>
      <c r="BF179">
        <f>IFERROR(MATCH(BA179,Setup!$L$6:$L$9,0),5)</f>
        <v/>
      </c>
      <c r="BG179">
        <f>IF(OR(AZ179="Done",AZ179="Cancelled"),1,0)</f>
        <v/>
      </c>
      <c r="BH179">
        <f>IF(AND(AU179&lt;&gt;"",ISNUMBER(AW179)),1,0)</f>
        <v/>
      </c>
      <c r="BI179">
        <f>IF(BH179=0,0,IF(AND(AW179&gt;='Tasks Filter'!$F$3,AW179&lt;='Tasks Filter'!$F$4,OR('Tasks Filter'!$I$3="",ISNUMBER(SEARCH('Tasks Filter'!$I$3,AU179))),OR('Tasks Filter'!$I$4="",BF179=IFERROR(MATCH('Tasks Filter'!$I$4,Setup!$L$6:$L$9,0),0)),OR('Tasks Filter'!$I$5="Both",AND('Tasks Filter'!$I$5="Yes",BB179="✓"),AND('Tasks Filter'!$I$5="No",BB179&lt;&gt;"✓")),OR('Tasks Filter'!$L$3="",AV179='Tasks Filter'!$L$3),OR('Tasks Filter'!$L$4="",AZ179='Tasks Filter'!$L$4),OR('Tasks Filter'!$L$5="",BC179='Tasks Filter'!$L$5),OR('Tasks Filter'!$O$3="",BD179='Tasks Filter'!$O$3),OR('Tasks Filter'!$O$4="Yes",BG179=0)),1,0))</f>
        <v/>
      </c>
      <c r="BJ179">
        <f>IF(BH179=0,"",IF('Tasks Filter'!$F$6="Descending",-1,1)*CHOOSE(MATCH('Tasks Filter'!$F$5,Lists!$G$2:$G$6,0),AW179,BF179,IFERROR(MATCH(AV179,Setup!$F$6:$F$15,0),99),IFERROR(MATCH(BC179,Setup!$H$6:$H$15,0),99),IFERROR(MATCH(AZ179,Setup!$J$6:$J$11,0),99))*1E+9+(AW179-40000)*10000+178)</f>
        <v/>
      </c>
      <c r="BK179">
        <f>IF(BI179=1,BJ179,"")</f>
        <v/>
      </c>
      <c r="BL179">
        <f>IF(AND(BH179=1,BG179=0,N(AW179)&lt;Setup!$D$7),(AW179-40000)*10000+178,"")</f>
        <v/>
      </c>
      <c r="BM179">
        <f>IF(AND(BH179=1,AZ179&lt;&gt;"Cancelled",N(AW179)&gt;=Dashboard!$AB$3,N(AW179)&lt;=Dashboard!$AB$3+6),(AW179-40000)*100000+BF179*10000+178,"")</f>
        <v/>
      </c>
      <c r="BN179">
        <f>IF(AND(BH179=1,AZ179&lt;&gt;"Cancelled"),BF179*10000+178,"")</f>
        <v/>
      </c>
    </row>
    <row r="180">
      <c r="A180">
        <f>Setup!$D$5+178</f>
        <v/>
      </c>
      <c r="B180">
        <f>IF('Recurring Schedule'!$C$6="","",IF('Recurring Schedule'!$F$6="","",IF(OR($A180&lt;'Recurring Schedule'!$F$6,$A180&gt;'Recurring Schedule'!$P$6),"",IF(IF('Recurring Schedule'!$N$6&gt;0,MOD($A180-'Recurring Schedule'!$F$6,'Recurring Schedule'!$N$6)=0,IF('Recurring Schedule'!$O$6&gt;0,AND(DAY($A180)=MIN(DAY('Recurring Schedule'!$F$6),DAY(EOMONTH($A180,0))),MOD((YEAR($A180)-YEAR('Recurring Schedule'!$F$6))*12+MONTH($A180)-MONTH('Recurring Schedule'!$F$6),'Recurring Schedule'!$O$6)=0),IF('Recurring Schedule'!$E$6="Weekdays",WEEKDAY($A180,2)&lt;=5,$A180='Recurring Schedule'!$F$6))),1,""))))</f>
        <v/>
      </c>
      <c r="C180">
        <f>IF('Recurring Schedule'!$C$7="","",IF('Recurring Schedule'!$F$7="","",IF(OR($A180&lt;'Recurring Schedule'!$F$7,$A180&gt;'Recurring Schedule'!$P$7),"",IF(IF('Recurring Schedule'!$N$7&gt;0,MOD($A180-'Recurring Schedule'!$F$7,'Recurring Schedule'!$N$7)=0,IF('Recurring Schedule'!$O$7&gt;0,AND(DAY($A180)=MIN(DAY('Recurring Schedule'!$F$7),DAY(EOMONTH($A180,0))),MOD((YEAR($A180)-YEAR('Recurring Schedule'!$F$7))*12+MONTH($A180)-MONTH('Recurring Schedule'!$F$7),'Recurring Schedule'!$O$7)=0),IF('Recurring Schedule'!$E$7="Weekdays",WEEKDAY($A180,2)&lt;=5,$A180='Recurring Schedule'!$F$7))),2,""))))</f>
        <v/>
      </c>
      <c r="D180">
        <f>IF('Recurring Schedule'!$C$8="","",IF('Recurring Schedule'!$F$8="","",IF(OR($A180&lt;'Recurring Schedule'!$F$8,$A180&gt;'Recurring Schedule'!$P$8),"",IF(IF('Recurring Schedule'!$N$8&gt;0,MOD($A180-'Recurring Schedule'!$F$8,'Recurring Schedule'!$N$8)=0,IF('Recurring Schedule'!$O$8&gt;0,AND(DAY($A180)=MIN(DAY('Recurring Schedule'!$F$8),DAY(EOMONTH($A180,0))),MOD((YEAR($A180)-YEAR('Recurring Schedule'!$F$8))*12+MONTH($A180)-MONTH('Recurring Schedule'!$F$8),'Recurring Schedule'!$O$8)=0),IF('Recurring Schedule'!$E$8="Weekdays",WEEKDAY($A180,2)&lt;=5,$A180='Recurring Schedule'!$F$8))),3,""))))</f>
        <v/>
      </c>
      <c r="E180">
        <f>IF('Recurring Schedule'!$C$9="","",IF('Recurring Schedule'!$F$9="","",IF(OR($A180&lt;'Recurring Schedule'!$F$9,$A180&gt;'Recurring Schedule'!$P$9),"",IF(IF('Recurring Schedule'!$N$9&gt;0,MOD($A180-'Recurring Schedule'!$F$9,'Recurring Schedule'!$N$9)=0,IF('Recurring Schedule'!$O$9&gt;0,AND(DAY($A180)=MIN(DAY('Recurring Schedule'!$F$9),DAY(EOMONTH($A180,0))),MOD((YEAR($A180)-YEAR('Recurring Schedule'!$F$9))*12+MONTH($A180)-MONTH('Recurring Schedule'!$F$9),'Recurring Schedule'!$O$9)=0),IF('Recurring Schedule'!$E$9="Weekdays",WEEKDAY($A180,2)&lt;=5,$A180='Recurring Schedule'!$F$9))),4,""))))</f>
        <v/>
      </c>
      <c r="F180">
        <f>IF('Recurring Schedule'!$C$10="","",IF('Recurring Schedule'!$F$10="","",IF(OR($A180&lt;'Recurring Schedule'!$F$10,$A180&gt;'Recurring Schedule'!$P$10),"",IF(IF('Recurring Schedule'!$N$10&gt;0,MOD($A180-'Recurring Schedule'!$F$10,'Recurring Schedule'!$N$10)=0,IF('Recurring Schedule'!$O$10&gt;0,AND(DAY($A180)=MIN(DAY('Recurring Schedule'!$F$10),DAY(EOMONTH($A180,0))),MOD((YEAR($A180)-YEAR('Recurring Schedule'!$F$10))*12+MONTH($A180)-MONTH('Recurring Schedule'!$F$10),'Recurring Schedule'!$O$10)=0),IF('Recurring Schedule'!$E$10="Weekdays",WEEKDAY($A180,2)&lt;=5,$A180='Recurring Schedule'!$F$10))),5,""))))</f>
        <v/>
      </c>
      <c r="G180">
        <f>IF('Recurring Schedule'!$C$11="","",IF('Recurring Schedule'!$F$11="","",IF(OR($A180&lt;'Recurring Schedule'!$F$11,$A180&gt;'Recurring Schedule'!$P$11),"",IF(IF('Recurring Schedule'!$N$11&gt;0,MOD($A180-'Recurring Schedule'!$F$11,'Recurring Schedule'!$N$11)=0,IF('Recurring Schedule'!$O$11&gt;0,AND(DAY($A180)=MIN(DAY('Recurring Schedule'!$F$11),DAY(EOMONTH($A180,0))),MOD((YEAR($A180)-YEAR('Recurring Schedule'!$F$11))*12+MONTH($A180)-MONTH('Recurring Schedule'!$F$11),'Recurring Schedule'!$O$11)=0),IF('Recurring Schedule'!$E$11="Weekdays",WEEKDAY($A180,2)&lt;=5,$A180='Recurring Schedule'!$F$11))),6,""))))</f>
        <v/>
      </c>
      <c r="H180">
        <f>IF('Recurring Schedule'!$C$12="","",IF('Recurring Schedule'!$F$12="","",IF(OR($A180&lt;'Recurring Schedule'!$F$12,$A180&gt;'Recurring Schedule'!$P$12),"",IF(IF('Recurring Schedule'!$N$12&gt;0,MOD($A180-'Recurring Schedule'!$F$12,'Recurring Schedule'!$N$12)=0,IF('Recurring Schedule'!$O$12&gt;0,AND(DAY($A180)=MIN(DAY('Recurring Schedule'!$F$12),DAY(EOMONTH($A180,0))),MOD((YEAR($A180)-YEAR('Recurring Schedule'!$F$12))*12+MONTH($A180)-MONTH('Recurring Schedule'!$F$12),'Recurring Schedule'!$O$12)=0),IF('Recurring Schedule'!$E$12="Weekdays",WEEKDAY($A180,2)&lt;=5,$A180='Recurring Schedule'!$F$12))),7,""))))</f>
        <v/>
      </c>
      <c r="I180">
        <f>IF('Recurring Schedule'!$C$13="","",IF('Recurring Schedule'!$F$13="","",IF(OR($A180&lt;'Recurring Schedule'!$F$13,$A180&gt;'Recurring Schedule'!$P$13),"",IF(IF('Recurring Schedule'!$N$13&gt;0,MOD($A180-'Recurring Schedule'!$F$13,'Recurring Schedule'!$N$13)=0,IF('Recurring Schedule'!$O$13&gt;0,AND(DAY($A180)=MIN(DAY('Recurring Schedule'!$F$13),DAY(EOMONTH($A180,0))),MOD((YEAR($A180)-YEAR('Recurring Schedule'!$F$13))*12+MONTH($A180)-MONTH('Recurring Schedule'!$F$13),'Recurring Schedule'!$O$13)=0),IF('Recurring Schedule'!$E$13="Weekdays",WEEKDAY($A180,2)&lt;=5,$A180='Recurring Schedule'!$F$13))),8,""))))</f>
        <v/>
      </c>
      <c r="J180">
        <f>IF('Recurring Schedule'!$C$14="","",IF('Recurring Schedule'!$F$14="","",IF(OR($A180&lt;'Recurring Schedule'!$F$14,$A180&gt;'Recurring Schedule'!$P$14),"",IF(IF('Recurring Schedule'!$N$14&gt;0,MOD($A180-'Recurring Schedule'!$F$14,'Recurring Schedule'!$N$14)=0,IF('Recurring Schedule'!$O$14&gt;0,AND(DAY($A180)=MIN(DAY('Recurring Schedule'!$F$14),DAY(EOMONTH($A180,0))),MOD((YEAR($A180)-YEAR('Recurring Schedule'!$F$14))*12+MONTH($A180)-MONTH('Recurring Schedule'!$F$14),'Recurring Schedule'!$O$14)=0),IF('Recurring Schedule'!$E$14="Weekdays",WEEKDAY($A180,2)&lt;=5,$A180='Recurring Schedule'!$F$14))),9,""))))</f>
        <v/>
      </c>
      <c r="K180">
        <f>IF('Recurring Schedule'!$C$15="","",IF('Recurring Schedule'!$F$15="","",IF(OR($A180&lt;'Recurring Schedule'!$F$15,$A180&gt;'Recurring Schedule'!$P$15),"",IF(IF('Recurring Schedule'!$N$15&gt;0,MOD($A180-'Recurring Schedule'!$F$15,'Recurring Schedule'!$N$15)=0,IF('Recurring Schedule'!$O$15&gt;0,AND(DAY($A180)=MIN(DAY('Recurring Schedule'!$F$15),DAY(EOMONTH($A180,0))),MOD((YEAR($A180)-YEAR('Recurring Schedule'!$F$15))*12+MONTH($A180)-MONTH('Recurring Schedule'!$F$15),'Recurring Schedule'!$O$15)=0),IF('Recurring Schedule'!$E$15="Weekdays",WEEKDAY($A180,2)&lt;=5,$A180='Recurring Schedule'!$F$15))),10,""))))</f>
        <v/>
      </c>
      <c r="L180">
        <f>IF('Recurring Schedule'!$C$16="","",IF('Recurring Schedule'!$F$16="","",IF(OR($A180&lt;'Recurring Schedule'!$F$16,$A180&gt;'Recurring Schedule'!$P$16),"",IF(IF('Recurring Schedule'!$N$16&gt;0,MOD($A180-'Recurring Schedule'!$F$16,'Recurring Schedule'!$N$16)=0,IF('Recurring Schedule'!$O$16&gt;0,AND(DAY($A180)=MIN(DAY('Recurring Schedule'!$F$16),DAY(EOMONTH($A180,0))),MOD((YEAR($A180)-YEAR('Recurring Schedule'!$F$16))*12+MONTH($A180)-MONTH('Recurring Schedule'!$F$16),'Recurring Schedule'!$O$16)=0),IF('Recurring Schedule'!$E$16="Weekdays",WEEKDAY($A180,2)&lt;=5,$A180='Recurring Schedule'!$F$16))),11,""))))</f>
        <v/>
      </c>
      <c r="M180">
        <f>IF('Recurring Schedule'!$C$17="","",IF('Recurring Schedule'!$F$17="","",IF(OR($A180&lt;'Recurring Schedule'!$F$17,$A180&gt;'Recurring Schedule'!$P$17),"",IF(IF('Recurring Schedule'!$N$17&gt;0,MOD($A180-'Recurring Schedule'!$F$17,'Recurring Schedule'!$N$17)=0,IF('Recurring Schedule'!$O$17&gt;0,AND(DAY($A180)=MIN(DAY('Recurring Schedule'!$F$17),DAY(EOMONTH($A180,0))),MOD((YEAR($A180)-YEAR('Recurring Schedule'!$F$17))*12+MONTH($A180)-MONTH('Recurring Schedule'!$F$17),'Recurring Schedule'!$O$17)=0),IF('Recurring Schedule'!$E$17="Weekdays",WEEKDAY($A180,2)&lt;=5,$A180='Recurring Schedule'!$F$17))),12,""))))</f>
        <v/>
      </c>
      <c r="N180">
        <f>IF('Recurring Schedule'!$C$18="","",IF('Recurring Schedule'!$F$18="","",IF(OR($A180&lt;'Recurring Schedule'!$F$18,$A180&gt;'Recurring Schedule'!$P$18),"",IF(IF('Recurring Schedule'!$N$18&gt;0,MOD($A180-'Recurring Schedule'!$F$18,'Recurring Schedule'!$N$18)=0,IF('Recurring Schedule'!$O$18&gt;0,AND(DAY($A180)=MIN(DAY('Recurring Schedule'!$F$18),DAY(EOMONTH($A180,0))),MOD((YEAR($A180)-YEAR('Recurring Schedule'!$F$18))*12+MONTH($A180)-MONTH('Recurring Schedule'!$F$18),'Recurring Schedule'!$O$18)=0),IF('Recurring Schedule'!$E$18="Weekdays",WEEKDAY($A180,2)&lt;=5,$A180='Recurring Schedule'!$F$18))),13,""))))</f>
        <v/>
      </c>
      <c r="O180">
        <f>IF('Recurring Schedule'!$C$19="","",IF('Recurring Schedule'!$F$19="","",IF(OR($A180&lt;'Recurring Schedule'!$F$19,$A180&gt;'Recurring Schedule'!$P$19),"",IF(IF('Recurring Schedule'!$N$19&gt;0,MOD($A180-'Recurring Schedule'!$F$19,'Recurring Schedule'!$N$19)=0,IF('Recurring Schedule'!$O$19&gt;0,AND(DAY($A180)=MIN(DAY('Recurring Schedule'!$F$19),DAY(EOMONTH($A180,0))),MOD((YEAR($A180)-YEAR('Recurring Schedule'!$F$19))*12+MONTH($A180)-MONTH('Recurring Schedule'!$F$19),'Recurring Schedule'!$O$19)=0),IF('Recurring Schedule'!$E$19="Weekdays",WEEKDAY($A180,2)&lt;=5,$A180='Recurring Schedule'!$F$19))),14,""))))</f>
        <v/>
      </c>
      <c r="P180">
        <f>IF('Recurring Schedule'!$C$20="","",IF('Recurring Schedule'!$F$20="","",IF(OR($A180&lt;'Recurring Schedule'!$F$20,$A180&gt;'Recurring Schedule'!$P$20),"",IF(IF('Recurring Schedule'!$N$20&gt;0,MOD($A180-'Recurring Schedule'!$F$20,'Recurring Schedule'!$N$20)=0,IF('Recurring Schedule'!$O$20&gt;0,AND(DAY($A180)=MIN(DAY('Recurring Schedule'!$F$20),DAY(EOMONTH($A180,0))),MOD((YEAR($A180)-YEAR('Recurring Schedule'!$F$20))*12+MONTH($A180)-MONTH('Recurring Schedule'!$F$20),'Recurring Schedule'!$O$20)=0),IF('Recurring Schedule'!$E$20="Weekdays",WEEKDAY($A180,2)&lt;=5,$A180='Recurring Schedule'!$F$20))),15,""))))</f>
        <v/>
      </c>
      <c r="Q180">
        <f>IF('Recurring Schedule'!$C$21="","",IF('Recurring Schedule'!$F$21="","",IF(OR($A180&lt;'Recurring Schedule'!$F$21,$A180&gt;'Recurring Schedule'!$P$21),"",IF(IF('Recurring Schedule'!$N$21&gt;0,MOD($A180-'Recurring Schedule'!$F$21,'Recurring Schedule'!$N$21)=0,IF('Recurring Schedule'!$O$21&gt;0,AND(DAY($A180)=MIN(DAY('Recurring Schedule'!$F$21),DAY(EOMONTH($A180,0))),MOD((YEAR($A180)-YEAR('Recurring Schedule'!$F$21))*12+MONTH($A180)-MONTH('Recurring Schedule'!$F$21),'Recurring Schedule'!$O$21)=0),IF('Recurring Schedule'!$E$21="Weekdays",WEEKDAY($A180,2)&lt;=5,$A180='Recurring Schedule'!$F$21))),16,""))))</f>
        <v/>
      </c>
      <c r="R180">
        <f>IF('Recurring Schedule'!$C$22="","",IF('Recurring Schedule'!$F$22="","",IF(OR($A180&lt;'Recurring Schedule'!$F$22,$A180&gt;'Recurring Schedule'!$P$22),"",IF(IF('Recurring Schedule'!$N$22&gt;0,MOD($A180-'Recurring Schedule'!$F$22,'Recurring Schedule'!$N$22)=0,IF('Recurring Schedule'!$O$22&gt;0,AND(DAY($A180)=MIN(DAY('Recurring Schedule'!$F$22),DAY(EOMONTH($A180,0))),MOD((YEAR($A180)-YEAR('Recurring Schedule'!$F$22))*12+MONTH($A180)-MONTH('Recurring Schedule'!$F$22),'Recurring Schedule'!$O$22)=0),IF('Recurring Schedule'!$E$22="Weekdays",WEEKDAY($A180,2)&lt;=5,$A180='Recurring Schedule'!$F$22))),17,""))))</f>
        <v/>
      </c>
      <c r="S180">
        <f>IF('Recurring Schedule'!$C$23="","",IF('Recurring Schedule'!$F$23="","",IF(OR($A180&lt;'Recurring Schedule'!$F$23,$A180&gt;'Recurring Schedule'!$P$23),"",IF(IF('Recurring Schedule'!$N$23&gt;0,MOD($A180-'Recurring Schedule'!$F$23,'Recurring Schedule'!$N$23)=0,IF('Recurring Schedule'!$O$23&gt;0,AND(DAY($A180)=MIN(DAY('Recurring Schedule'!$F$23),DAY(EOMONTH($A180,0))),MOD((YEAR($A180)-YEAR('Recurring Schedule'!$F$23))*12+MONTH($A180)-MONTH('Recurring Schedule'!$F$23),'Recurring Schedule'!$O$23)=0),IF('Recurring Schedule'!$E$23="Weekdays",WEEKDAY($A180,2)&lt;=5,$A180='Recurring Schedule'!$F$23))),18,""))))</f>
        <v/>
      </c>
      <c r="T180">
        <f>IF('Recurring Schedule'!$C$24="","",IF('Recurring Schedule'!$F$24="","",IF(OR($A180&lt;'Recurring Schedule'!$F$24,$A180&gt;'Recurring Schedule'!$P$24),"",IF(IF('Recurring Schedule'!$N$24&gt;0,MOD($A180-'Recurring Schedule'!$F$24,'Recurring Schedule'!$N$24)=0,IF('Recurring Schedule'!$O$24&gt;0,AND(DAY($A180)=MIN(DAY('Recurring Schedule'!$F$24),DAY(EOMONTH($A180,0))),MOD((YEAR($A180)-YEAR('Recurring Schedule'!$F$24))*12+MONTH($A180)-MONTH('Recurring Schedule'!$F$24),'Recurring Schedule'!$O$24)=0),IF('Recurring Schedule'!$E$24="Weekdays",WEEKDAY($A180,2)&lt;=5,$A180='Recurring Schedule'!$F$24))),19,""))))</f>
        <v/>
      </c>
      <c r="U180">
        <f>IF('Recurring Schedule'!$C$25="","",IF('Recurring Schedule'!$F$25="","",IF(OR($A180&lt;'Recurring Schedule'!$F$25,$A180&gt;'Recurring Schedule'!$P$25),"",IF(IF('Recurring Schedule'!$N$25&gt;0,MOD($A180-'Recurring Schedule'!$F$25,'Recurring Schedule'!$N$25)=0,IF('Recurring Schedule'!$O$25&gt;0,AND(DAY($A180)=MIN(DAY('Recurring Schedule'!$F$25),DAY(EOMONTH($A180,0))),MOD((YEAR($A180)-YEAR('Recurring Schedule'!$F$25))*12+MONTH($A180)-MONTH('Recurring Schedule'!$F$25),'Recurring Schedule'!$O$25)=0),IF('Recurring Schedule'!$E$25="Weekdays",WEEKDAY($A180,2)&lt;=5,$A180='Recurring Schedule'!$F$25))),20,""))))</f>
        <v/>
      </c>
      <c r="V180">
        <f>IF('Recurring Schedule'!$C$26="","",IF('Recurring Schedule'!$F$26="","",IF(OR($A180&lt;'Recurring Schedule'!$F$26,$A180&gt;'Recurring Schedule'!$P$26),"",IF(IF('Recurring Schedule'!$N$26&gt;0,MOD($A180-'Recurring Schedule'!$F$26,'Recurring Schedule'!$N$26)=0,IF('Recurring Schedule'!$O$26&gt;0,AND(DAY($A180)=MIN(DAY('Recurring Schedule'!$F$26),DAY(EOMONTH($A180,0))),MOD((YEAR($A180)-YEAR('Recurring Schedule'!$F$26))*12+MONTH($A180)-MONTH('Recurring Schedule'!$F$26),'Recurring Schedule'!$O$26)=0),IF('Recurring Schedule'!$E$26="Weekdays",WEEKDAY($A180,2)&lt;=5,$A180='Recurring Schedule'!$F$26))),21,""))))</f>
        <v/>
      </c>
      <c r="W180">
        <f>IF('Recurring Schedule'!$C$27="","",IF('Recurring Schedule'!$F$27="","",IF(OR($A180&lt;'Recurring Schedule'!$F$27,$A180&gt;'Recurring Schedule'!$P$27),"",IF(IF('Recurring Schedule'!$N$27&gt;0,MOD($A180-'Recurring Schedule'!$F$27,'Recurring Schedule'!$N$27)=0,IF('Recurring Schedule'!$O$27&gt;0,AND(DAY($A180)=MIN(DAY('Recurring Schedule'!$F$27),DAY(EOMONTH($A180,0))),MOD((YEAR($A180)-YEAR('Recurring Schedule'!$F$27))*12+MONTH($A180)-MONTH('Recurring Schedule'!$F$27),'Recurring Schedule'!$O$27)=0),IF('Recurring Schedule'!$E$27="Weekdays",WEEKDAY($A180,2)&lt;=5,$A180='Recurring Schedule'!$F$27))),22,""))))</f>
        <v/>
      </c>
      <c r="X180">
        <f>IF('Recurring Schedule'!$C$28="","",IF('Recurring Schedule'!$F$28="","",IF(OR($A180&lt;'Recurring Schedule'!$F$28,$A180&gt;'Recurring Schedule'!$P$28),"",IF(IF('Recurring Schedule'!$N$28&gt;0,MOD($A180-'Recurring Schedule'!$F$28,'Recurring Schedule'!$N$28)=0,IF('Recurring Schedule'!$O$28&gt;0,AND(DAY($A180)=MIN(DAY('Recurring Schedule'!$F$28),DAY(EOMONTH($A180,0))),MOD((YEAR($A180)-YEAR('Recurring Schedule'!$F$28))*12+MONTH($A180)-MONTH('Recurring Schedule'!$F$28),'Recurring Schedule'!$O$28)=0),IF('Recurring Schedule'!$E$28="Weekdays",WEEKDAY($A180,2)&lt;=5,$A180='Recurring Schedule'!$F$28))),23,""))))</f>
        <v/>
      </c>
      <c r="Y180">
        <f>IF('Recurring Schedule'!$C$29="","",IF('Recurring Schedule'!$F$29="","",IF(OR($A180&lt;'Recurring Schedule'!$F$29,$A180&gt;'Recurring Schedule'!$P$29),"",IF(IF('Recurring Schedule'!$N$29&gt;0,MOD($A180-'Recurring Schedule'!$F$29,'Recurring Schedule'!$N$29)=0,IF('Recurring Schedule'!$O$29&gt;0,AND(DAY($A180)=MIN(DAY('Recurring Schedule'!$F$29),DAY(EOMONTH($A180,0))),MOD((YEAR($A180)-YEAR('Recurring Schedule'!$F$29))*12+MONTH($A180)-MONTH('Recurring Schedule'!$F$29),'Recurring Schedule'!$O$29)=0),IF('Recurring Schedule'!$E$29="Weekdays",WEEKDAY($A180,2)&lt;=5,$A180='Recurring Schedule'!$F$29))),24,""))))</f>
        <v/>
      </c>
      <c r="Z180">
        <f>IF('Recurring Schedule'!$C$30="","",IF('Recurring Schedule'!$F$30="","",IF(OR($A180&lt;'Recurring Schedule'!$F$30,$A180&gt;'Recurring Schedule'!$P$30),"",IF(IF('Recurring Schedule'!$N$30&gt;0,MOD($A180-'Recurring Schedule'!$F$30,'Recurring Schedule'!$N$30)=0,IF('Recurring Schedule'!$O$30&gt;0,AND(DAY($A180)=MIN(DAY('Recurring Schedule'!$F$30),DAY(EOMONTH($A180,0))),MOD((YEAR($A180)-YEAR('Recurring Schedule'!$F$30))*12+MONTH($A180)-MONTH('Recurring Schedule'!$F$30),'Recurring Schedule'!$O$30)=0),IF('Recurring Schedule'!$E$30="Weekdays",WEEKDAY($A180,2)&lt;=5,$A180='Recurring Schedule'!$F$30))),25,""))))</f>
        <v/>
      </c>
      <c r="AA180">
        <f>IF('Recurring Schedule'!$C$31="","",IF('Recurring Schedule'!$F$31="","",IF(OR($A180&lt;'Recurring Schedule'!$F$31,$A180&gt;'Recurring Schedule'!$P$31),"",IF(IF('Recurring Schedule'!$N$31&gt;0,MOD($A180-'Recurring Schedule'!$F$31,'Recurring Schedule'!$N$31)=0,IF('Recurring Schedule'!$O$31&gt;0,AND(DAY($A180)=MIN(DAY('Recurring Schedule'!$F$31),DAY(EOMONTH($A180,0))),MOD((YEAR($A180)-YEAR('Recurring Schedule'!$F$31))*12+MONTH($A180)-MONTH('Recurring Schedule'!$F$31),'Recurring Schedule'!$O$31)=0),IF('Recurring Schedule'!$E$31="Weekdays",WEEKDAY($A180,2)&lt;=5,$A180='Recurring Schedule'!$F$31))),26,""))))</f>
        <v/>
      </c>
      <c r="AB180">
        <f>IF('Recurring Schedule'!$C$32="","",IF('Recurring Schedule'!$F$32="","",IF(OR($A180&lt;'Recurring Schedule'!$F$32,$A180&gt;'Recurring Schedule'!$P$32),"",IF(IF('Recurring Schedule'!$N$32&gt;0,MOD($A180-'Recurring Schedule'!$F$32,'Recurring Schedule'!$N$32)=0,IF('Recurring Schedule'!$O$32&gt;0,AND(DAY($A180)=MIN(DAY('Recurring Schedule'!$F$32),DAY(EOMONTH($A180,0))),MOD((YEAR($A180)-YEAR('Recurring Schedule'!$F$32))*12+MONTH($A180)-MONTH('Recurring Schedule'!$F$32),'Recurring Schedule'!$O$32)=0),IF('Recurring Schedule'!$E$32="Weekdays",WEEKDAY($A180,2)&lt;=5,$A180='Recurring Schedule'!$F$32))),27,""))))</f>
        <v/>
      </c>
      <c r="AC180">
        <f>IF('Recurring Schedule'!$C$33="","",IF('Recurring Schedule'!$F$33="","",IF(OR($A180&lt;'Recurring Schedule'!$F$33,$A180&gt;'Recurring Schedule'!$P$33),"",IF(IF('Recurring Schedule'!$N$33&gt;0,MOD($A180-'Recurring Schedule'!$F$33,'Recurring Schedule'!$N$33)=0,IF('Recurring Schedule'!$O$33&gt;0,AND(DAY($A180)=MIN(DAY('Recurring Schedule'!$F$33),DAY(EOMONTH($A180,0))),MOD((YEAR($A180)-YEAR('Recurring Schedule'!$F$33))*12+MONTH($A180)-MONTH('Recurring Schedule'!$F$33),'Recurring Schedule'!$O$33)=0),IF('Recurring Schedule'!$E$33="Weekdays",WEEKDAY($A180,2)&lt;=5,$A180='Recurring Schedule'!$F$33))),28,""))))</f>
        <v/>
      </c>
      <c r="AD180">
        <f>IF('Recurring Schedule'!$C$34="","",IF('Recurring Schedule'!$F$34="","",IF(OR($A180&lt;'Recurring Schedule'!$F$34,$A180&gt;'Recurring Schedule'!$P$34),"",IF(IF('Recurring Schedule'!$N$34&gt;0,MOD($A180-'Recurring Schedule'!$F$34,'Recurring Schedule'!$N$34)=0,IF('Recurring Schedule'!$O$34&gt;0,AND(DAY($A180)=MIN(DAY('Recurring Schedule'!$F$34),DAY(EOMONTH($A180,0))),MOD((YEAR($A180)-YEAR('Recurring Schedule'!$F$34))*12+MONTH($A180)-MONTH('Recurring Schedule'!$F$34),'Recurring Schedule'!$O$34)=0),IF('Recurring Schedule'!$E$34="Weekdays",WEEKDAY($A180,2)&lt;=5,$A180='Recurring Schedule'!$F$34))),29,""))))</f>
        <v/>
      </c>
      <c r="AE180">
        <f>IF('Recurring Schedule'!$C$35="","",IF('Recurring Schedule'!$F$35="","",IF(OR($A180&lt;'Recurring Schedule'!$F$35,$A180&gt;'Recurring Schedule'!$P$35),"",IF(IF('Recurring Schedule'!$N$35&gt;0,MOD($A180-'Recurring Schedule'!$F$35,'Recurring Schedule'!$N$35)=0,IF('Recurring Schedule'!$O$35&gt;0,AND(DAY($A180)=MIN(DAY('Recurring Schedule'!$F$35),DAY(EOMONTH($A180,0))),MOD((YEAR($A180)-YEAR('Recurring Schedule'!$F$35))*12+MONTH($A180)-MONTH('Recurring Schedule'!$F$35),'Recurring Schedule'!$O$35)=0),IF('Recurring Schedule'!$E$35="Weekdays",WEEKDAY($A180,2)&lt;=5,$A180='Recurring Schedule'!$F$35))),30,""))))</f>
        <v/>
      </c>
      <c r="AF180">
        <f>IF('Recurring Schedule'!$C$36="","",IF('Recurring Schedule'!$F$36="","",IF(OR($A180&lt;'Recurring Schedule'!$F$36,$A180&gt;'Recurring Schedule'!$P$36),"",IF(IF('Recurring Schedule'!$N$36&gt;0,MOD($A180-'Recurring Schedule'!$F$36,'Recurring Schedule'!$N$36)=0,IF('Recurring Schedule'!$O$36&gt;0,AND(DAY($A180)=MIN(DAY('Recurring Schedule'!$F$36),DAY(EOMONTH($A180,0))),MOD((YEAR($A180)-YEAR('Recurring Schedule'!$F$36))*12+MONTH($A180)-MONTH('Recurring Schedule'!$F$36),'Recurring Schedule'!$O$36)=0),IF('Recurring Schedule'!$E$36="Weekdays",WEEKDAY($A180,2)&lt;=5,$A180='Recurring Schedule'!$F$36))),31,""))))</f>
        <v/>
      </c>
      <c r="AG180">
        <f>IF('Recurring Schedule'!$C$37="","",IF('Recurring Schedule'!$F$37="","",IF(OR($A180&lt;'Recurring Schedule'!$F$37,$A180&gt;'Recurring Schedule'!$P$37),"",IF(IF('Recurring Schedule'!$N$37&gt;0,MOD($A180-'Recurring Schedule'!$F$37,'Recurring Schedule'!$N$37)=0,IF('Recurring Schedule'!$O$37&gt;0,AND(DAY($A180)=MIN(DAY('Recurring Schedule'!$F$37),DAY(EOMONTH($A180,0))),MOD((YEAR($A180)-YEAR('Recurring Schedule'!$F$37))*12+MONTH($A180)-MONTH('Recurring Schedule'!$F$37),'Recurring Schedule'!$O$37)=0),IF('Recurring Schedule'!$E$37="Weekdays",WEEKDAY($A180,2)&lt;=5,$A180='Recurring Schedule'!$F$37))),32,""))))</f>
        <v/>
      </c>
      <c r="AH180">
        <f>IF('Recurring Schedule'!$C$38="","",IF('Recurring Schedule'!$F$38="","",IF(OR($A180&lt;'Recurring Schedule'!$F$38,$A180&gt;'Recurring Schedule'!$P$38),"",IF(IF('Recurring Schedule'!$N$38&gt;0,MOD($A180-'Recurring Schedule'!$F$38,'Recurring Schedule'!$N$38)=0,IF('Recurring Schedule'!$O$38&gt;0,AND(DAY($A180)=MIN(DAY('Recurring Schedule'!$F$38),DAY(EOMONTH($A180,0))),MOD((YEAR($A180)-YEAR('Recurring Schedule'!$F$38))*12+MONTH($A180)-MONTH('Recurring Schedule'!$F$38),'Recurring Schedule'!$O$38)=0),IF('Recurring Schedule'!$E$38="Weekdays",WEEKDAY($A180,2)&lt;=5,$A180='Recurring Schedule'!$F$38))),33,""))))</f>
        <v/>
      </c>
      <c r="AI180">
        <f>IF('Recurring Schedule'!$C$39="","",IF('Recurring Schedule'!$F$39="","",IF(OR($A180&lt;'Recurring Schedule'!$F$39,$A180&gt;'Recurring Schedule'!$P$39),"",IF(IF('Recurring Schedule'!$N$39&gt;0,MOD($A180-'Recurring Schedule'!$F$39,'Recurring Schedule'!$N$39)=0,IF('Recurring Schedule'!$O$39&gt;0,AND(DAY($A180)=MIN(DAY('Recurring Schedule'!$F$39),DAY(EOMONTH($A180,0))),MOD((YEAR($A180)-YEAR('Recurring Schedule'!$F$39))*12+MONTH($A180)-MONTH('Recurring Schedule'!$F$39),'Recurring Schedule'!$O$39)=0),IF('Recurring Schedule'!$E$39="Weekdays",WEEKDAY($A180,2)&lt;=5,$A180='Recurring Schedule'!$F$39))),34,""))))</f>
        <v/>
      </c>
      <c r="AJ180">
        <f>IF('Recurring Schedule'!$C$40="","",IF('Recurring Schedule'!$F$40="","",IF(OR($A180&lt;'Recurring Schedule'!$F$40,$A180&gt;'Recurring Schedule'!$P$40),"",IF(IF('Recurring Schedule'!$N$40&gt;0,MOD($A180-'Recurring Schedule'!$F$40,'Recurring Schedule'!$N$40)=0,IF('Recurring Schedule'!$O$40&gt;0,AND(DAY($A180)=MIN(DAY('Recurring Schedule'!$F$40),DAY(EOMONTH($A180,0))),MOD((YEAR($A180)-YEAR('Recurring Schedule'!$F$40))*12+MONTH($A180)-MONTH('Recurring Schedule'!$F$40),'Recurring Schedule'!$O$40)=0),IF('Recurring Schedule'!$E$40="Weekdays",WEEKDAY($A180,2)&lt;=5,$A180='Recurring Schedule'!$F$40))),35,""))))</f>
        <v/>
      </c>
      <c r="AK180">
        <f>IF('Recurring Schedule'!$C$41="","",IF('Recurring Schedule'!$F$41="","",IF(OR($A180&lt;'Recurring Schedule'!$F$41,$A180&gt;'Recurring Schedule'!$P$41),"",IF(IF('Recurring Schedule'!$N$41&gt;0,MOD($A180-'Recurring Schedule'!$F$41,'Recurring Schedule'!$N$41)=0,IF('Recurring Schedule'!$O$41&gt;0,AND(DAY($A180)=MIN(DAY('Recurring Schedule'!$F$41),DAY(EOMONTH($A180,0))),MOD((YEAR($A180)-YEAR('Recurring Schedule'!$F$41))*12+MONTH($A180)-MONTH('Recurring Schedule'!$F$41),'Recurring Schedule'!$O$41)=0),IF('Recurring Schedule'!$E$41="Weekdays",WEEKDAY($A180,2)&lt;=5,$A180='Recurring Schedule'!$F$41))),36,""))))</f>
        <v/>
      </c>
      <c r="AL180">
        <f>IF('Recurring Schedule'!$C$42="","",IF('Recurring Schedule'!$F$42="","",IF(OR($A180&lt;'Recurring Schedule'!$F$42,$A180&gt;'Recurring Schedule'!$P$42),"",IF(IF('Recurring Schedule'!$N$42&gt;0,MOD($A180-'Recurring Schedule'!$F$42,'Recurring Schedule'!$N$42)=0,IF('Recurring Schedule'!$O$42&gt;0,AND(DAY($A180)=MIN(DAY('Recurring Schedule'!$F$42),DAY(EOMONTH($A180,0))),MOD((YEAR($A180)-YEAR('Recurring Schedule'!$F$42))*12+MONTH($A180)-MONTH('Recurring Schedule'!$F$42),'Recurring Schedule'!$O$42)=0),IF('Recurring Schedule'!$E$42="Weekdays",WEEKDAY($A180,2)&lt;=5,$A180='Recurring Schedule'!$F$42))),37,""))))</f>
        <v/>
      </c>
      <c r="AM180">
        <f>IF('Recurring Schedule'!$C$43="","",IF('Recurring Schedule'!$F$43="","",IF(OR($A180&lt;'Recurring Schedule'!$F$43,$A180&gt;'Recurring Schedule'!$P$43),"",IF(IF('Recurring Schedule'!$N$43&gt;0,MOD($A180-'Recurring Schedule'!$F$43,'Recurring Schedule'!$N$43)=0,IF('Recurring Schedule'!$O$43&gt;0,AND(DAY($A180)=MIN(DAY('Recurring Schedule'!$F$43),DAY(EOMONTH($A180,0))),MOD((YEAR($A180)-YEAR('Recurring Schedule'!$F$43))*12+MONTH($A180)-MONTH('Recurring Schedule'!$F$43),'Recurring Schedule'!$O$43)=0),IF('Recurring Schedule'!$E$43="Weekdays",WEEKDAY($A180,2)&lt;=5,$A180='Recurring Schedule'!$F$43))),38,""))))</f>
        <v/>
      </c>
      <c r="AN180">
        <f>IF('Recurring Schedule'!$C$44="","",IF('Recurring Schedule'!$F$44="","",IF(OR($A180&lt;'Recurring Schedule'!$F$44,$A180&gt;'Recurring Schedule'!$P$44),"",IF(IF('Recurring Schedule'!$N$44&gt;0,MOD($A180-'Recurring Schedule'!$F$44,'Recurring Schedule'!$N$44)=0,IF('Recurring Schedule'!$O$44&gt;0,AND(DAY($A180)=MIN(DAY('Recurring Schedule'!$F$44),DAY(EOMONTH($A180,0))),MOD((YEAR($A180)-YEAR('Recurring Schedule'!$F$44))*12+MONTH($A180)-MONTH('Recurring Schedule'!$F$44),'Recurring Schedule'!$O$44)=0),IF('Recurring Schedule'!$E$44="Weekdays",WEEKDAY($A180,2)&lt;=5,$A180='Recurring Schedule'!$F$44))),39,""))))</f>
        <v/>
      </c>
      <c r="AO180">
        <f>IF('Recurring Schedule'!$C$45="","",IF('Recurring Schedule'!$F$45="","",IF(OR($A180&lt;'Recurring Schedule'!$F$45,$A180&gt;'Recurring Schedule'!$P$45),"",IF(IF('Recurring Schedule'!$N$45&gt;0,MOD($A180-'Recurring Schedule'!$F$45,'Recurring Schedule'!$N$45)=0,IF('Recurring Schedule'!$O$45&gt;0,AND(DAY($A180)=MIN(DAY('Recurring Schedule'!$F$45),DAY(EOMONTH($A180,0))),MOD((YEAR($A180)-YEAR('Recurring Schedule'!$F$45))*12+MONTH($A180)-MONTH('Recurring Schedule'!$F$45),'Recurring Schedule'!$O$45)=0),IF('Recurring Schedule'!$E$45="Weekdays",WEEKDAY($A180,2)&lt;=5,$A180='Recurring Schedule'!$F$45))),40,""))))</f>
        <v/>
      </c>
      <c r="AP180">
        <f>COUNT(B180:AO180)</f>
        <v/>
      </c>
      <c r="AQ180">
        <f>AQ179+AP179</f>
        <v/>
      </c>
      <c r="AS180" t="inlineStr">
        <is>
          <t>R</t>
        </is>
      </c>
      <c r="AT180" t="n">
        <v>184</v>
      </c>
      <c r="AU180">
        <f>'Recurring Log'!C184&amp;""</f>
        <v/>
      </c>
      <c r="AV180">
        <f>'Recurring Log'!D184&amp;""</f>
        <v/>
      </c>
      <c r="AW180">
        <f>IF('Recurring Log'!E184="","",'Recurring Log'!E184)</f>
        <v/>
      </c>
      <c r="AX180">
        <f>IF('Recurring Log'!G184="","",'Recurring Log'!G184)</f>
        <v/>
      </c>
      <c r="AY180">
        <f>IF('Recurring Log'!H184="","",'Recurring Log'!H184)</f>
        <v/>
      </c>
      <c r="AZ180">
        <f>IF(AU180="","",IF('Recurring Log'!J184="","Not Started",'Recurring Log'!J184))</f>
        <v/>
      </c>
      <c r="BA180">
        <f>'Recurring Log'!L184&amp;""</f>
        <v/>
      </c>
      <c r="BB180">
        <f>'Recurring Log'!M184&amp;""</f>
        <v/>
      </c>
      <c r="BC180">
        <f>'Recurring Log'!N184&amp;""</f>
        <v/>
      </c>
      <c r="BD180">
        <f>'Recurring Log'!O184&amp;""</f>
        <v/>
      </c>
      <c r="BE180">
        <f>IF('Recurring Log'!K184="","",'Recurring Log'!K184)</f>
        <v/>
      </c>
      <c r="BF180">
        <f>IFERROR(MATCH(BA180,Setup!$L$6:$L$9,0),5)</f>
        <v/>
      </c>
      <c r="BG180">
        <f>IF(OR(AZ180="Done",AZ180="Cancelled"),1,0)</f>
        <v/>
      </c>
      <c r="BH180">
        <f>IF(AND(AU180&lt;&gt;"",ISNUMBER(AW180)),1,0)</f>
        <v/>
      </c>
      <c r="BI180">
        <f>IF(BH180=0,0,IF(AND(AW180&gt;='Tasks Filter'!$F$3,AW180&lt;='Tasks Filter'!$F$4,OR('Tasks Filter'!$I$3="",ISNUMBER(SEARCH('Tasks Filter'!$I$3,AU180))),OR('Tasks Filter'!$I$4="",BF180=IFERROR(MATCH('Tasks Filter'!$I$4,Setup!$L$6:$L$9,0),0)),OR('Tasks Filter'!$I$5="Both",AND('Tasks Filter'!$I$5="Yes",BB180="✓"),AND('Tasks Filter'!$I$5="No",BB180&lt;&gt;"✓")),OR('Tasks Filter'!$L$3="",AV180='Tasks Filter'!$L$3),OR('Tasks Filter'!$L$4="",AZ180='Tasks Filter'!$L$4),OR('Tasks Filter'!$L$5="",BC180='Tasks Filter'!$L$5),OR('Tasks Filter'!$O$3="",BD180='Tasks Filter'!$O$3),OR('Tasks Filter'!$O$4="Yes",BG180=0)),1,0))</f>
        <v/>
      </c>
      <c r="BJ180">
        <f>IF(BH180=0,"",IF('Tasks Filter'!$F$6="Descending",-1,1)*CHOOSE(MATCH('Tasks Filter'!$F$5,Lists!$G$2:$G$6,0),AW180,BF180,IFERROR(MATCH(AV180,Setup!$F$6:$F$15,0),99),IFERROR(MATCH(BC180,Setup!$H$6:$H$15,0),99),IFERROR(MATCH(AZ180,Setup!$J$6:$J$11,0),99))*1E+9+(AW180-40000)*10000+179)</f>
        <v/>
      </c>
      <c r="BK180">
        <f>IF(BI180=1,BJ180,"")</f>
        <v/>
      </c>
      <c r="BL180">
        <f>IF(AND(BH180=1,BG180=0,N(AW180)&lt;Setup!$D$7),(AW180-40000)*10000+179,"")</f>
        <v/>
      </c>
      <c r="BM180">
        <f>IF(AND(BH180=1,AZ180&lt;&gt;"Cancelled",N(AW180)&gt;=Dashboard!$AB$3,N(AW180)&lt;=Dashboard!$AB$3+6),(AW180-40000)*100000+BF180*10000+179,"")</f>
        <v/>
      </c>
      <c r="BN180">
        <f>IF(AND(BH180=1,AZ180&lt;&gt;"Cancelled"),BF180*10000+179,"")</f>
        <v/>
      </c>
    </row>
    <row r="181">
      <c r="A181">
        <f>Setup!$D$5+179</f>
        <v/>
      </c>
      <c r="B181">
        <f>IF('Recurring Schedule'!$C$6="","",IF('Recurring Schedule'!$F$6="","",IF(OR($A181&lt;'Recurring Schedule'!$F$6,$A181&gt;'Recurring Schedule'!$P$6),"",IF(IF('Recurring Schedule'!$N$6&gt;0,MOD($A181-'Recurring Schedule'!$F$6,'Recurring Schedule'!$N$6)=0,IF('Recurring Schedule'!$O$6&gt;0,AND(DAY($A181)=MIN(DAY('Recurring Schedule'!$F$6),DAY(EOMONTH($A181,0))),MOD((YEAR($A181)-YEAR('Recurring Schedule'!$F$6))*12+MONTH($A181)-MONTH('Recurring Schedule'!$F$6),'Recurring Schedule'!$O$6)=0),IF('Recurring Schedule'!$E$6="Weekdays",WEEKDAY($A181,2)&lt;=5,$A181='Recurring Schedule'!$F$6))),1,""))))</f>
        <v/>
      </c>
      <c r="C181">
        <f>IF('Recurring Schedule'!$C$7="","",IF('Recurring Schedule'!$F$7="","",IF(OR($A181&lt;'Recurring Schedule'!$F$7,$A181&gt;'Recurring Schedule'!$P$7),"",IF(IF('Recurring Schedule'!$N$7&gt;0,MOD($A181-'Recurring Schedule'!$F$7,'Recurring Schedule'!$N$7)=0,IF('Recurring Schedule'!$O$7&gt;0,AND(DAY($A181)=MIN(DAY('Recurring Schedule'!$F$7),DAY(EOMONTH($A181,0))),MOD((YEAR($A181)-YEAR('Recurring Schedule'!$F$7))*12+MONTH($A181)-MONTH('Recurring Schedule'!$F$7),'Recurring Schedule'!$O$7)=0),IF('Recurring Schedule'!$E$7="Weekdays",WEEKDAY($A181,2)&lt;=5,$A181='Recurring Schedule'!$F$7))),2,""))))</f>
        <v/>
      </c>
      <c r="D181">
        <f>IF('Recurring Schedule'!$C$8="","",IF('Recurring Schedule'!$F$8="","",IF(OR($A181&lt;'Recurring Schedule'!$F$8,$A181&gt;'Recurring Schedule'!$P$8),"",IF(IF('Recurring Schedule'!$N$8&gt;0,MOD($A181-'Recurring Schedule'!$F$8,'Recurring Schedule'!$N$8)=0,IF('Recurring Schedule'!$O$8&gt;0,AND(DAY($A181)=MIN(DAY('Recurring Schedule'!$F$8),DAY(EOMONTH($A181,0))),MOD((YEAR($A181)-YEAR('Recurring Schedule'!$F$8))*12+MONTH($A181)-MONTH('Recurring Schedule'!$F$8),'Recurring Schedule'!$O$8)=0),IF('Recurring Schedule'!$E$8="Weekdays",WEEKDAY($A181,2)&lt;=5,$A181='Recurring Schedule'!$F$8))),3,""))))</f>
        <v/>
      </c>
      <c r="E181">
        <f>IF('Recurring Schedule'!$C$9="","",IF('Recurring Schedule'!$F$9="","",IF(OR($A181&lt;'Recurring Schedule'!$F$9,$A181&gt;'Recurring Schedule'!$P$9),"",IF(IF('Recurring Schedule'!$N$9&gt;0,MOD($A181-'Recurring Schedule'!$F$9,'Recurring Schedule'!$N$9)=0,IF('Recurring Schedule'!$O$9&gt;0,AND(DAY($A181)=MIN(DAY('Recurring Schedule'!$F$9),DAY(EOMONTH($A181,0))),MOD((YEAR($A181)-YEAR('Recurring Schedule'!$F$9))*12+MONTH($A181)-MONTH('Recurring Schedule'!$F$9),'Recurring Schedule'!$O$9)=0),IF('Recurring Schedule'!$E$9="Weekdays",WEEKDAY($A181,2)&lt;=5,$A181='Recurring Schedule'!$F$9))),4,""))))</f>
        <v/>
      </c>
      <c r="F181">
        <f>IF('Recurring Schedule'!$C$10="","",IF('Recurring Schedule'!$F$10="","",IF(OR($A181&lt;'Recurring Schedule'!$F$10,$A181&gt;'Recurring Schedule'!$P$10),"",IF(IF('Recurring Schedule'!$N$10&gt;0,MOD($A181-'Recurring Schedule'!$F$10,'Recurring Schedule'!$N$10)=0,IF('Recurring Schedule'!$O$10&gt;0,AND(DAY($A181)=MIN(DAY('Recurring Schedule'!$F$10),DAY(EOMONTH($A181,0))),MOD((YEAR($A181)-YEAR('Recurring Schedule'!$F$10))*12+MONTH($A181)-MONTH('Recurring Schedule'!$F$10),'Recurring Schedule'!$O$10)=0),IF('Recurring Schedule'!$E$10="Weekdays",WEEKDAY($A181,2)&lt;=5,$A181='Recurring Schedule'!$F$10))),5,""))))</f>
        <v/>
      </c>
      <c r="G181">
        <f>IF('Recurring Schedule'!$C$11="","",IF('Recurring Schedule'!$F$11="","",IF(OR($A181&lt;'Recurring Schedule'!$F$11,$A181&gt;'Recurring Schedule'!$P$11),"",IF(IF('Recurring Schedule'!$N$11&gt;0,MOD($A181-'Recurring Schedule'!$F$11,'Recurring Schedule'!$N$11)=0,IF('Recurring Schedule'!$O$11&gt;0,AND(DAY($A181)=MIN(DAY('Recurring Schedule'!$F$11),DAY(EOMONTH($A181,0))),MOD((YEAR($A181)-YEAR('Recurring Schedule'!$F$11))*12+MONTH($A181)-MONTH('Recurring Schedule'!$F$11),'Recurring Schedule'!$O$11)=0),IF('Recurring Schedule'!$E$11="Weekdays",WEEKDAY($A181,2)&lt;=5,$A181='Recurring Schedule'!$F$11))),6,""))))</f>
        <v/>
      </c>
      <c r="H181">
        <f>IF('Recurring Schedule'!$C$12="","",IF('Recurring Schedule'!$F$12="","",IF(OR($A181&lt;'Recurring Schedule'!$F$12,$A181&gt;'Recurring Schedule'!$P$12),"",IF(IF('Recurring Schedule'!$N$12&gt;0,MOD($A181-'Recurring Schedule'!$F$12,'Recurring Schedule'!$N$12)=0,IF('Recurring Schedule'!$O$12&gt;0,AND(DAY($A181)=MIN(DAY('Recurring Schedule'!$F$12),DAY(EOMONTH($A181,0))),MOD((YEAR($A181)-YEAR('Recurring Schedule'!$F$12))*12+MONTH($A181)-MONTH('Recurring Schedule'!$F$12),'Recurring Schedule'!$O$12)=0),IF('Recurring Schedule'!$E$12="Weekdays",WEEKDAY($A181,2)&lt;=5,$A181='Recurring Schedule'!$F$12))),7,""))))</f>
        <v/>
      </c>
      <c r="I181">
        <f>IF('Recurring Schedule'!$C$13="","",IF('Recurring Schedule'!$F$13="","",IF(OR($A181&lt;'Recurring Schedule'!$F$13,$A181&gt;'Recurring Schedule'!$P$13),"",IF(IF('Recurring Schedule'!$N$13&gt;0,MOD($A181-'Recurring Schedule'!$F$13,'Recurring Schedule'!$N$13)=0,IF('Recurring Schedule'!$O$13&gt;0,AND(DAY($A181)=MIN(DAY('Recurring Schedule'!$F$13),DAY(EOMONTH($A181,0))),MOD((YEAR($A181)-YEAR('Recurring Schedule'!$F$13))*12+MONTH($A181)-MONTH('Recurring Schedule'!$F$13),'Recurring Schedule'!$O$13)=0),IF('Recurring Schedule'!$E$13="Weekdays",WEEKDAY($A181,2)&lt;=5,$A181='Recurring Schedule'!$F$13))),8,""))))</f>
        <v/>
      </c>
      <c r="J181">
        <f>IF('Recurring Schedule'!$C$14="","",IF('Recurring Schedule'!$F$14="","",IF(OR($A181&lt;'Recurring Schedule'!$F$14,$A181&gt;'Recurring Schedule'!$P$14),"",IF(IF('Recurring Schedule'!$N$14&gt;0,MOD($A181-'Recurring Schedule'!$F$14,'Recurring Schedule'!$N$14)=0,IF('Recurring Schedule'!$O$14&gt;0,AND(DAY($A181)=MIN(DAY('Recurring Schedule'!$F$14),DAY(EOMONTH($A181,0))),MOD((YEAR($A181)-YEAR('Recurring Schedule'!$F$14))*12+MONTH($A181)-MONTH('Recurring Schedule'!$F$14),'Recurring Schedule'!$O$14)=0),IF('Recurring Schedule'!$E$14="Weekdays",WEEKDAY($A181,2)&lt;=5,$A181='Recurring Schedule'!$F$14))),9,""))))</f>
        <v/>
      </c>
      <c r="K181">
        <f>IF('Recurring Schedule'!$C$15="","",IF('Recurring Schedule'!$F$15="","",IF(OR($A181&lt;'Recurring Schedule'!$F$15,$A181&gt;'Recurring Schedule'!$P$15),"",IF(IF('Recurring Schedule'!$N$15&gt;0,MOD($A181-'Recurring Schedule'!$F$15,'Recurring Schedule'!$N$15)=0,IF('Recurring Schedule'!$O$15&gt;0,AND(DAY($A181)=MIN(DAY('Recurring Schedule'!$F$15),DAY(EOMONTH($A181,0))),MOD((YEAR($A181)-YEAR('Recurring Schedule'!$F$15))*12+MONTH($A181)-MONTH('Recurring Schedule'!$F$15),'Recurring Schedule'!$O$15)=0),IF('Recurring Schedule'!$E$15="Weekdays",WEEKDAY($A181,2)&lt;=5,$A181='Recurring Schedule'!$F$15))),10,""))))</f>
        <v/>
      </c>
      <c r="L181">
        <f>IF('Recurring Schedule'!$C$16="","",IF('Recurring Schedule'!$F$16="","",IF(OR($A181&lt;'Recurring Schedule'!$F$16,$A181&gt;'Recurring Schedule'!$P$16),"",IF(IF('Recurring Schedule'!$N$16&gt;0,MOD($A181-'Recurring Schedule'!$F$16,'Recurring Schedule'!$N$16)=0,IF('Recurring Schedule'!$O$16&gt;0,AND(DAY($A181)=MIN(DAY('Recurring Schedule'!$F$16),DAY(EOMONTH($A181,0))),MOD((YEAR($A181)-YEAR('Recurring Schedule'!$F$16))*12+MONTH($A181)-MONTH('Recurring Schedule'!$F$16),'Recurring Schedule'!$O$16)=0),IF('Recurring Schedule'!$E$16="Weekdays",WEEKDAY($A181,2)&lt;=5,$A181='Recurring Schedule'!$F$16))),11,""))))</f>
        <v/>
      </c>
      <c r="M181">
        <f>IF('Recurring Schedule'!$C$17="","",IF('Recurring Schedule'!$F$17="","",IF(OR($A181&lt;'Recurring Schedule'!$F$17,$A181&gt;'Recurring Schedule'!$P$17),"",IF(IF('Recurring Schedule'!$N$17&gt;0,MOD($A181-'Recurring Schedule'!$F$17,'Recurring Schedule'!$N$17)=0,IF('Recurring Schedule'!$O$17&gt;0,AND(DAY($A181)=MIN(DAY('Recurring Schedule'!$F$17),DAY(EOMONTH($A181,0))),MOD((YEAR($A181)-YEAR('Recurring Schedule'!$F$17))*12+MONTH($A181)-MONTH('Recurring Schedule'!$F$17),'Recurring Schedule'!$O$17)=0),IF('Recurring Schedule'!$E$17="Weekdays",WEEKDAY($A181,2)&lt;=5,$A181='Recurring Schedule'!$F$17))),12,""))))</f>
        <v/>
      </c>
      <c r="N181">
        <f>IF('Recurring Schedule'!$C$18="","",IF('Recurring Schedule'!$F$18="","",IF(OR($A181&lt;'Recurring Schedule'!$F$18,$A181&gt;'Recurring Schedule'!$P$18),"",IF(IF('Recurring Schedule'!$N$18&gt;0,MOD($A181-'Recurring Schedule'!$F$18,'Recurring Schedule'!$N$18)=0,IF('Recurring Schedule'!$O$18&gt;0,AND(DAY($A181)=MIN(DAY('Recurring Schedule'!$F$18),DAY(EOMONTH($A181,0))),MOD((YEAR($A181)-YEAR('Recurring Schedule'!$F$18))*12+MONTH($A181)-MONTH('Recurring Schedule'!$F$18),'Recurring Schedule'!$O$18)=0),IF('Recurring Schedule'!$E$18="Weekdays",WEEKDAY($A181,2)&lt;=5,$A181='Recurring Schedule'!$F$18))),13,""))))</f>
        <v/>
      </c>
      <c r="O181">
        <f>IF('Recurring Schedule'!$C$19="","",IF('Recurring Schedule'!$F$19="","",IF(OR($A181&lt;'Recurring Schedule'!$F$19,$A181&gt;'Recurring Schedule'!$P$19),"",IF(IF('Recurring Schedule'!$N$19&gt;0,MOD($A181-'Recurring Schedule'!$F$19,'Recurring Schedule'!$N$19)=0,IF('Recurring Schedule'!$O$19&gt;0,AND(DAY($A181)=MIN(DAY('Recurring Schedule'!$F$19),DAY(EOMONTH($A181,0))),MOD((YEAR($A181)-YEAR('Recurring Schedule'!$F$19))*12+MONTH($A181)-MONTH('Recurring Schedule'!$F$19),'Recurring Schedule'!$O$19)=0),IF('Recurring Schedule'!$E$19="Weekdays",WEEKDAY($A181,2)&lt;=5,$A181='Recurring Schedule'!$F$19))),14,""))))</f>
        <v/>
      </c>
      <c r="P181">
        <f>IF('Recurring Schedule'!$C$20="","",IF('Recurring Schedule'!$F$20="","",IF(OR($A181&lt;'Recurring Schedule'!$F$20,$A181&gt;'Recurring Schedule'!$P$20),"",IF(IF('Recurring Schedule'!$N$20&gt;0,MOD($A181-'Recurring Schedule'!$F$20,'Recurring Schedule'!$N$20)=0,IF('Recurring Schedule'!$O$20&gt;0,AND(DAY($A181)=MIN(DAY('Recurring Schedule'!$F$20),DAY(EOMONTH($A181,0))),MOD((YEAR($A181)-YEAR('Recurring Schedule'!$F$20))*12+MONTH($A181)-MONTH('Recurring Schedule'!$F$20),'Recurring Schedule'!$O$20)=0),IF('Recurring Schedule'!$E$20="Weekdays",WEEKDAY($A181,2)&lt;=5,$A181='Recurring Schedule'!$F$20))),15,""))))</f>
        <v/>
      </c>
      <c r="Q181">
        <f>IF('Recurring Schedule'!$C$21="","",IF('Recurring Schedule'!$F$21="","",IF(OR($A181&lt;'Recurring Schedule'!$F$21,$A181&gt;'Recurring Schedule'!$P$21),"",IF(IF('Recurring Schedule'!$N$21&gt;0,MOD($A181-'Recurring Schedule'!$F$21,'Recurring Schedule'!$N$21)=0,IF('Recurring Schedule'!$O$21&gt;0,AND(DAY($A181)=MIN(DAY('Recurring Schedule'!$F$21),DAY(EOMONTH($A181,0))),MOD((YEAR($A181)-YEAR('Recurring Schedule'!$F$21))*12+MONTH($A181)-MONTH('Recurring Schedule'!$F$21),'Recurring Schedule'!$O$21)=0),IF('Recurring Schedule'!$E$21="Weekdays",WEEKDAY($A181,2)&lt;=5,$A181='Recurring Schedule'!$F$21))),16,""))))</f>
        <v/>
      </c>
      <c r="R181">
        <f>IF('Recurring Schedule'!$C$22="","",IF('Recurring Schedule'!$F$22="","",IF(OR($A181&lt;'Recurring Schedule'!$F$22,$A181&gt;'Recurring Schedule'!$P$22),"",IF(IF('Recurring Schedule'!$N$22&gt;0,MOD($A181-'Recurring Schedule'!$F$22,'Recurring Schedule'!$N$22)=0,IF('Recurring Schedule'!$O$22&gt;0,AND(DAY($A181)=MIN(DAY('Recurring Schedule'!$F$22),DAY(EOMONTH($A181,0))),MOD((YEAR($A181)-YEAR('Recurring Schedule'!$F$22))*12+MONTH($A181)-MONTH('Recurring Schedule'!$F$22),'Recurring Schedule'!$O$22)=0),IF('Recurring Schedule'!$E$22="Weekdays",WEEKDAY($A181,2)&lt;=5,$A181='Recurring Schedule'!$F$22))),17,""))))</f>
        <v/>
      </c>
      <c r="S181">
        <f>IF('Recurring Schedule'!$C$23="","",IF('Recurring Schedule'!$F$23="","",IF(OR($A181&lt;'Recurring Schedule'!$F$23,$A181&gt;'Recurring Schedule'!$P$23),"",IF(IF('Recurring Schedule'!$N$23&gt;0,MOD($A181-'Recurring Schedule'!$F$23,'Recurring Schedule'!$N$23)=0,IF('Recurring Schedule'!$O$23&gt;0,AND(DAY($A181)=MIN(DAY('Recurring Schedule'!$F$23),DAY(EOMONTH($A181,0))),MOD((YEAR($A181)-YEAR('Recurring Schedule'!$F$23))*12+MONTH($A181)-MONTH('Recurring Schedule'!$F$23),'Recurring Schedule'!$O$23)=0),IF('Recurring Schedule'!$E$23="Weekdays",WEEKDAY($A181,2)&lt;=5,$A181='Recurring Schedule'!$F$23))),18,""))))</f>
        <v/>
      </c>
      <c r="T181">
        <f>IF('Recurring Schedule'!$C$24="","",IF('Recurring Schedule'!$F$24="","",IF(OR($A181&lt;'Recurring Schedule'!$F$24,$A181&gt;'Recurring Schedule'!$P$24),"",IF(IF('Recurring Schedule'!$N$24&gt;0,MOD($A181-'Recurring Schedule'!$F$24,'Recurring Schedule'!$N$24)=0,IF('Recurring Schedule'!$O$24&gt;0,AND(DAY($A181)=MIN(DAY('Recurring Schedule'!$F$24),DAY(EOMONTH($A181,0))),MOD((YEAR($A181)-YEAR('Recurring Schedule'!$F$24))*12+MONTH($A181)-MONTH('Recurring Schedule'!$F$24),'Recurring Schedule'!$O$24)=0),IF('Recurring Schedule'!$E$24="Weekdays",WEEKDAY($A181,2)&lt;=5,$A181='Recurring Schedule'!$F$24))),19,""))))</f>
        <v/>
      </c>
      <c r="U181">
        <f>IF('Recurring Schedule'!$C$25="","",IF('Recurring Schedule'!$F$25="","",IF(OR($A181&lt;'Recurring Schedule'!$F$25,$A181&gt;'Recurring Schedule'!$P$25),"",IF(IF('Recurring Schedule'!$N$25&gt;0,MOD($A181-'Recurring Schedule'!$F$25,'Recurring Schedule'!$N$25)=0,IF('Recurring Schedule'!$O$25&gt;0,AND(DAY($A181)=MIN(DAY('Recurring Schedule'!$F$25),DAY(EOMONTH($A181,0))),MOD((YEAR($A181)-YEAR('Recurring Schedule'!$F$25))*12+MONTH($A181)-MONTH('Recurring Schedule'!$F$25),'Recurring Schedule'!$O$25)=0),IF('Recurring Schedule'!$E$25="Weekdays",WEEKDAY($A181,2)&lt;=5,$A181='Recurring Schedule'!$F$25))),20,""))))</f>
        <v/>
      </c>
      <c r="V181">
        <f>IF('Recurring Schedule'!$C$26="","",IF('Recurring Schedule'!$F$26="","",IF(OR($A181&lt;'Recurring Schedule'!$F$26,$A181&gt;'Recurring Schedule'!$P$26),"",IF(IF('Recurring Schedule'!$N$26&gt;0,MOD($A181-'Recurring Schedule'!$F$26,'Recurring Schedule'!$N$26)=0,IF('Recurring Schedule'!$O$26&gt;0,AND(DAY($A181)=MIN(DAY('Recurring Schedule'!$F$26),DAY(EOMONTH($A181,0))),MOD((YEAR($A181)-YEAR('Recurring Schedule'!$F$26))*12+MONTH($A181)-MONTH('Recurring Schedule'!$F$26),'Recurring Schedule'!$O$26)=0),IF('Recurring Schedule'!$E$26="Weekdays",WEEKDAY($A181,2)&lt;=5,$A181='Recurring Schedule'!$F$26))),21,""))))</f>
        <v/>
      </c>
      <c r="W181">
        <f>IF('Recurring Schedule'!$C$27="","",IF('Recurring Schedule'!$F$27="","",IF(OR($A181&lt;'Recurring Schedule'!$F$27,$A181&gt;'Recurring Schedule'!$P$27),"",IF(IF('Recurring Schedule'!$N$27&gt;0,MOD($A181-'Recurring Schedule'!$F$27,'Recurring Schedule'!$N$27)=0,IF('Recurring Schedule'!$O$27&gt;0,AND(DAY($A181)=MIN(DAY('Recurring Schedule'!$F$27),DAY(EOMONTH($A181,0))),MOD((YEAR($A181)-YEAR('Recurring Schedule'!$F$27))*12+MONTH($A181)-MONTH('Recurring Schedule'!$F$27),'Recurring Schedule'!$O$27)=0),IF('Recurring Schedule'!$E$27="Weekdays",WEEKDAY($A181,2)&lt;=5,$A181='Recurring Schedule'!$F$27))),22,""))))</f>
        <v/>
      </c>
      <c r="X181">
        <f>IF('Recurring Schedule'!$C$28="","",IF('Recurring Schedule'!$F$28="","",IF(OR($A181&lt;'Recurring Schedule'!$F$28,$A181&gt;'Recurring Schedule'!$P$28),"",IF(IF('Recurring Schedule'!$N$28&gt;0,MOD($A181-'Recurring Schedule'!$F$28,'Recurring Schedule'!$N$28)=0,IF('Recurring Schedule'!$O$28&gt;0,AND(DAY($A181)=MIN(DAY('Recurring Schedule'!$F$28),DAY(EOMONTH($A181,0))),MOD((YEAR($A181)-YEAR('Recurring Schedule'!$F$28))*12+MONTH($A181)-MONTH('Recurring Schedule'!$F$28),'Recurring Schedule'!$O$28)=0),IF('Recurring Schedule'!$E$28="Weekdays",WEEKDAY($A181,2)&lt;=5,$A181='Recurring Schedule'!$F$28))),23,""))))</f>
        <v/>
      </c>
      <c r="Y181">
        <f>IF('Recurring Schedule'!$C$29="","",IF('Recurring Schedule'!$F$29="","",IF(OR($A181&lt;'Recurring Schedule'!$F$29,$A181&gt;'Recurring Schedule'!$P$29),"",IF(IF('Recurring Schedule'!$N$29&gt;0,MOD($A181-'Recurring Schedule'!$F$29,'Recurring Schedule'!$N$29)=0,IF('Recurring Schedule'!$O$29&gt;0,AND(DAY($A181)=MIN(DAY('Recurring Schedule'!$F$29),DAY(EOMONTH($A181,0))),MOD((YEAR($A181)-YEAR('Recurring Schedule'!$F$29))*12+MONTH($A181)-MONTH('Recurring Schedule'!$F$29),'Recurring Schedule'!$O$29)=0),IF('Recurring Schedule'!$E$29="Weekdays",WEEKDAY($A181,2)&lt;=5,$A181='Recurring Schedule'!$F$29))),24,""))))</f>
        <v/>
      </c>
      <c r="Z181">
        <f>IF('Recurring Schedule'!$C$30="","",IF('Recurring Schedule'!$F$30="","",IF(OR($A181&lt;'Recurring Schedule'!$F$30,$A181&gt;'Recurring Schedule'!$P$30),"",IF(IF('Recurring Schedule'!$N$30&gt;0,MOD($A181-'Recurring Schedule'!$F$30,'Recurring Schedule'!$N$30)=0,IF('Recurring Schedule'!$O$30&gt;0,AND(DAY($A181)=MIN(DAY('Recurring Schedule'!$F$30),DAY(EOMONTH($A181,0))),MOD((YEAR($A181)-YEAR('Recurring Schedule'!$F$30))*12+MONTH($A181)-MONTH('Recurring Schedule'!$F$30),'Recurring Schedule'!$O$30)=0),IF('Recurring Schedule'!$E$30="Weekdays",WEEKDAY($A181,2)&lt;=5,$A181='Recurring Schedule'!$F$30))),25,""))))</f>
        <v/>
      </c>
      <c r="AA181">
        <f>IF('Recurring Schedule'!$C$31="","",IF('Recurring Schedule'!$F$31="","",IF(OR($A181&lt;'Recurring Schedule'!$F$31,$A181&gt;'Recurring Schedule'!$P$31),"",IF(IF('Recurring Schedule'!$N$31&gt;0,MOD($A181-'Recurring Schedule'!$F$31,'Recurring Schedule'!$N$31)=0,IF('Recurring Schedule'!$O$31&gt;0,AND(DAY($A181)=MIN(DAY('Recurring Schedule'!$F$31),DAY(EOMONTH($A181,0))),MOD((YEAR($A181)-YEAR('Recurring Schedule'!$F$31))*12+MONTH($A181)-MONTH('Recurring Schedule'!$F$31),'Recurring Schedule'!$O$31)=0),IF('Recurring Schedule'!$E$31="Weekdays",WEEKDAY($A181,2)&lt;=5,$A181='Recurring Schedule'!$F$31))),26,""))))</f>
        <v/>
      </c>
      <c r="AB181">
        <f>IF('Recurring Schedule'!$C$32="","",IF('Recurring Schedule'!$F$32="","",IF(OR($A181&lt;'Recurring Schedule'!$F$32,$A181&gt;'Recurring Schedule'!$P$32),"",IF(IF('Recurring Schedule'!$N$32&gt;0,MOD($A181-'Recurring Schedule'!$F$32,'Recurring Schedule'!$N$32)=0,IF('Recurring Schedule'!$O$32&gt;0,AND(DAY($A181)=MIN(DAY('Recurring Schedule'!$F$32),DAY(EOMONTH($A181,0))),MOD((YEAR($A181)-YEAR('Recurring Schedule'!$F$32))*12+MONTH($A181)-MONTH('Recurring Schedule'!$F$32),'Recurring Schedule'!$O$32)=0),IF('Recurring Schedule'!$E$32="Weekdays",WEEKDAY($A181,2)&lt;=5,$A181='Recurring Schedule'!$F$32))),27,""))))</f>
        <v/>
      </c>
      <c r="AC181">
        <f>IF('Recurring Schedule'!$C$33="","",IF('Recurring Schedule'!$F$33="","",IF(OR($A181&lt;'Recurring Schedule'!$F$33,$A181&gt;'Recurring Schedule'!$P$33),"",IF(IF('Recurring Schedule'!$N$33&gt;0,MOD($A181-'Recurring Schedule'!$F$33,'Recurring Schedule'!$N$33)=0,IF('Recurring Schedule'!$O$33&gt;0,AND(DAY($A181)=MIN(DAY('Recurring Schedule'!$F$33),DAY(EOMONTH($A181,0))),MOD((YEAR($A181)-YEAR('Recurring Schedule'!$F$33))*12+MONTH($A181)-MONTH('Recurring Schedule'!$F$33),'Recurring Schedule'!$O$33)=0),IF('Recurring Schedule'!$E$33="Weekdays",WEEKDAY($A181,2)&lt;=5,$A181='Recurring Schedule'!$F$33))),28,""))))</f>
        <v/>
      </c>
      <c r="AD181">
        <f>IF('Recurring Schedule'!$C$34="","",IF('Recurring Schedule'!$F$34="","",IF(OR($A181&lt;'Recurring Schedule'!$F$34,$A181&gt;'Recurring Schedule'!$P$34),"",IF(IF('Recurring Schedule'!$N$34&gt;0,MOD($A181-'Recurring Schedule'!$F$34,'Recurring Schedule'!$N$34)=0,IF('Recurring Schedule'!$O$34&gt;0,AND(DAY($A181)=MIN(DAY('Recurring Schedule'!$F$34),DAY(EOMONTH($A181,0))),MOD((YEAR($A181)-YEAR('Recurring Schedule'!$F$34))*12+MONTH($A181)-MONTH('Recurring Schedule'!$F$34),'Recurring Schedule'!$O$34)=0),IF('Recurring Schedule'!$E$34="Weekdays",WEEKDAY($A181,2)&lt;=5,$A181='Recurring Schedule'!$F$34))),29,""))))</f>
        <v/>
      </c>
      <c r="AE181">
        <f>IF('Recurring Schedule'!$C$35="","",IF('Recurring Schedule'!$F$35="","",IF(OR($A181&lt;'Recurring Schedule'!$F$35,$A181&gt;'Recurring Schedule'!$P$35),"",IF(IF('Recurring Schedule'!$N$35&gt;0,MOD($A181-'Recurring Schedule'!$F$35,'Recurring Schedule'!$N$35)=0,IF('Recurring Schedule'!$O$35&gt;0,AND(DAY($A181)=MIN(DAY('Recurring Schedule'!$F$35),DAY(EOMONTH($A181,0))),MOD((YEAR($A181)-YEAR('Recurring Schedule'!$F$35))*12+MONTH($A181)-MONTH('Recurring Schedule'!$F$35),'Recurring Schedule'!$O$35)=0),IF('Recurring Schedule'!$E$35="Weekdays",WEEKDAY($A181,2)&lt;=5,$A181='Recurring Schedule'!$F$35))),30,""))))</f>
        <v/>
      </c>
      <c r="AF181">
        <f>IF('Recurring Schedule'!$C$36="","",IF('Recurring Schedule'!$F$36="","",IF(OR($A181&lt;'Recurring Schedule'!$F$36,$A181&gt;'Recurring Schedule'!$P$36),"",IF(IF('Recurring Schedule'!$N$36&gt;0,MOD($A181-'Recurring Schedule'!$F$36,'Recurring Schedule'!$N$36)=0,IF('Recurring Schedule'!$O$36&gt;0,AND(DAY($A181)=MIN(DAY('Recurring Schedule'!$F$36),DAY(EOMONTH($A181,0))),MOD((YEAR($A181)-YEAR('Recurring Schedule'!$F$36))*12+MONTH($A181)-MONTH('Recurring Schedule'!$F$36),'Recurring Schedule'!$O$36)=0),IF('Recurring Schedule'!$E$36="Weekdays",WEEKDAY($A181,2)&lt;=5,$A181='Recurring Schedule'!$F$36))),31,""))))</f>
        <v/>
      </c>
      <c r="AG181">
        <f>IF('Recurring Schedule'!$C$37="","",IF('Recurring Schedule'!$F$37="","",IF(OR($A181&lt;'Recurring Schedule'!$F$37,$A181&gt;'Recurring Schedule'!$P$37),"",IF(IF('Recurring Schedule'!$N$37&gt;0,MOD($A181-'Recurring Schedule'!$F$37,'Recurring Schedule'!$N$37)=0,IF('Recurring Schedule'!$O$37&gt;0,AND(DAY($A181)=MIN(DAY('Recurring Schedule'!$F$37),DAY(EOMONTH($A181,0))),MOD((YEAR($A181)-YEAR('Recurring Schedule'!$F$37))*12+MONTH($A181)-MONTH('Recurring Schedule'!$F$37),'Recurring Schedule'!$O$37)=0),IF('Recurring Schedule'!$E$37="Weekdays",WEEKDAY($A181,2)&lt;=5,$A181='Recurring Schedule'!$F$37))),32,""))))</f>
        <v/>
      </c>
      <c r="AH181">
        <f>IF('Recurring Schedule'!$C$38="","",IF('Recurring Schedule'!$F$38="","",IF(OR($A181&lt;'Recurring Schedule'!$F$38,$A181&gt;'Recurring Schedule'!$P$38),"",IF(IF('Recurring Schedule'!$N$38&gt;0,MOD($A181-'Recurring Schedule'!$F$38,'Recurring Schedule'!$N$38)=0,IF('Recurring Schedule'!$O$38&gt;0,AND(DAY($A181)=MIN(DAY('Recurring Schedule'!$F$38),DAY(EOMONTH($A181,0))),MOD((YEAR($A181)-YEAR('Recurring Schedule'!$F$38))*12+MONTH($A181)-MONTH('Recurring Schedule'!$F$38),'Recurring Schedule'!$O$38)=0),IF('Recurring Schedule'!$E$38="Weekdays",WEEKDAY($A181,2)&lt;=5,$A181='Recurring Schedule'!$F$38))),33,""))))</f>
        <v/>
      </c>
      <c r="AI181">
        <f>IF('Recurring Schedule'!$C$39="","",IF('Recurring Schedule'!$F$39="","",IF(OR($A181&lt;'Recurring Schedule'!$F$39,$A181&gt;'Recurring Schedule'!$P$39),"",IF(IF('Recurring Schedule'!$N$39&gt;0,MOD($A181-'Recurring Schedule'!$F$39,'Recurring Schedule'!$N$39)=0,IF('Recurring Schedule'!$O$39&gt;0,AND(DAY($A181)=MIN(DAY('Recurring Schedule'!$F$39),DAY(EOMONTH($A181,0))),MOD((YEAR($A181)-YEAR('Recurring Schedule'!$F$39))*12+MONTH($A181)-MONTH('Recurring Schedule'!$F$39),'Recurring Schedule'!$O$39)=0),IF('Recurring Schedule'!$E$39="Weekdays",WEEKDAY($A181,2)&lt;=5,$A181='Recurring Schedule'!$F$39))),34,""))))</f>
        <v/>
      </c>
      <c r="AJ181">
        <f>IF('Recurring Schedule'!$C$40="","",IF('Recurring Schedule'!$F$40="","",IF(OR($A181&lt;'Recurring Schedule'!$F$40,$A181&gt;'Recurring Schedule'!$P$40),"",IF(IF('Recurring Schedule'!$N$40&gt;0,MOD($A181-'Recurring Schedule'!$F$40,'Recurring Schedule'!$N$40)=0,IF('Recurring Schedule'!$O$40&gt;0,AND(DAY($A181)=MIN(DAY('Recurring Schedule'!$F$40),DAY(EOMONTH($A181,0))),MOD((YEAR($A181)-YEAR('Recurring Schedule'!$F$40))*12+MONTH($A181)-MONTH('Recurring Schedule'!$F$40),'Recurring Schedule'!$O$40)=0),IF('Recurring Schedule'!$E$40="Weekdays",WEEKDAY($A181,2)&lt;=5,$A181='Recurring Schedule'!$F$40))),35,""))))</f>
        <v/>
      </c>
      <c r="AK181">
        <f>IF('Recurring Schedule'!$C$41="","",IF('Recurring Schedule'!$F$41="","",IF(OR($A181&lt;'Recurring Schedule'!$F$41,$A181&gt;'Recurring Schedule'!$P$41),"",IF(IF('Recurring Schedule'!$N$41&gt;0,MOD($A181-'Recurring Schedule'!$F$41,'Recurring Schedule'!$N$41)=0,IF('Recurring Schedule'!$O$41&gt;0,AND(DAY($A181)=MIN(DAY('Recurring Schedule'!$F$41),DAY(EOMONTH($A181,0))),MOD((YEAR($A181)-YEAR('Recurring Schedule'!$F$41))*12+MONTH($A181)-MONTH('Recurring Schedule'!$F$41),'Recurring Schedule'!$O$41)=0),IF('Recurring Schedule'!$E$41="Weekdays",WEEKDAY($A181,2)&lt;=5,$A181='Recurring Schedule'!$F$41))),36,""))))</f>
        <v/>
      </c>
      <c r="AL181">
        <f>IF('Recurring Schedule'!$C$42="","",IF('Recurring Schedule'!$F$42="","",IF(OR($A181&lt;'Recurring Schedule'!$F$42,$A181&gt;'Recurring Schedule'!$P$42),"",IF(IF('Recurring Schedule'!$N$42&gt;0,MOD($A181-'Recurring Schedule'!$F$42,'Recurring Schedule'!$N$42)=0,IF('Recurring Schedule'!$O$42&gt;0,AND(DAY($A181)=MIN(DAY('Recurring Schedule'!$F$42),DAY(EOMONTH($A181,0))),MOD((YEAR($A181)-YEAR('Recurring Schedule'!$F$42))*12+MONTH($A181)-MONTH('Recurring Schedule'!$F$42),'Recurring Schedule'!$O$42)=0),IF('Recurring Schedule'!$E$42="Weekdays",WEEKDAY($A181,2)&lt;=5,$A181='Recurring Schedule'!$F$42))),37,""))))</f>
        <v/>
      </c>
      <c r="AM181">
        <f>IF('Recurring Schedule'!$C$43="","",IF('Recurring Schedule'!$F$43="","",IF(OR($A181&lt;'Recurring Schedule'!$F$43,$A181&gt;'Recurring Schedule'!$P$43),"",IF(IF('Recurring Schedule'!$N$43&gt;0,MOD($A181-'Recurring Schedule'!$F$43,'Recurring Schedule'!$N$43)=0,IF('Recurring Schedule'!$O$43&gt;0,AND(DAY($A181)=MIN(DAY('Recurring Schedule'!$F$43),DAY(EOMONTH($A181,0))),MOD((YEAR($A181)-YEAR('Recurring Schedule'!$F$43))*12+MONTH($A181)-MONTH('Recurring Schedule'!$F$43),'Recurring Schedule'!$O$43)=0),IF('Recurring Schedule'!$E$43="Weekdays",WEEKDAY($A181,2)&lt;=5,$A181='Recurring Schedule'!$F$43))),38,""))))</f>
        <v/>
      </c>
      <c r="AN181">
        <f>IF('Recurring Schedule'!$C$44="","",IF('Recurring Schedule'!$F$44="","",IF(OR($A181&lt;'Recurring Schedule'!$F$44,$A181&gt;'Recurring Schedule'!$P$44),"",IF(IF('Recurring Schedule'!$N$44&gt;0,MOD($A181-'Recurring Schedule'!$F$44,'Recurring Schedule'!$N$44)=0,IF('Recurring Schedule'!$O$44&gt;0,AND(DAY($A181)=MIN(DAY('Recurring Schedule'!$F$44),DAY(EOMONTH($A181,0))),MOD((YEAR($A181)-YEAR('Recurring Schedule'!$F$44))*12+MONTH($A181)-MONTH('Recurring Schedule'!$F$44),'Recurring Schedule'!$O$44)=0),IF('Recurring Schedule'!$E$44="Weekdays",WEEKDAY($A181,2)&lt;=5,$A181='Recurring Schedule'!$F$44))),39,""))))</f>
        <v/>
      </c>
      <c r="AO181">
        <f>IF('Recurring Schedule'!$C$45="","",IF('Recurring Schedule'!$F$45="","",IF(OR($A181&lt;'Recurring Schedule'!$F$45,$A181&gt;'Recurring Schedule'!$P$45),"",IF(IF('Recurring Schedule'!$N$45&gt;0,MOD($A181-'Recurring Schedule'!$F$45,'Recurring Schedule'!$N$45)=0,IF('Recurring Schedule'!$O$45&gt;0,AND(DAY($A181)=MIN(DAY('Recurring Schedule'!$F$45),DAY(EOMONTH($A181,0))),MOD((YEAR($A181)-YEAR('Recurring Schedule'!$F$45))*12+MONTH($A181)-MONTH('Recurring Schedule'!$F$45),'Recurring Schedule'!$O$45)=0),IF('Recurring Schedule'!$E$45="Weekdays",WEEKDAY($A181,2)&lt;=5,$A181='Recurring Schedule'!$F$45))),40,""))))</f>
        <v/>
      </c>
      <c r="AP181">
        <f>COUNT(B181:AO181)</f>
        <v/>
      </c>
      <c r="AQ181">
        <f>AQ180+AP180</f>
        <v/>
      </c>
      <c r="AS181" t="inlineStr">
        <is>
          <t>R</t>
        </is>
      </c>
      <c r="AT181" t="n">
        <v>185</v>
      </c>
      <c r="AU181">
        <f>'Recurring Log'!C185&amp;""</f>
        <v/>
      </c>
      <c r="AV181">
        <f>'Recurring Log'!D185&amp;""</f>
        <v/>
      </c>
      <c r="AW181">
        <f>IF('Recurring Log'!E185="","",'Recurring Log'!E185)</f>
        <v/>
      </c>
      <c r="AX181">
        <f>IF('Recurring Log'!G185="","",'Recurring Log'!G185)</f>
        <v/>
      </c>
      <c r="AY181">
        <f>IF('Recurring Log'!H185="","",'Recurring Log'!H185)</f>
        <v/>
      </c>
      <c r="AZ181">
        <f>IF(AU181="","",IF('Recurring Log'!J185="","Not Started",'Recurring Log'!J185))</f>
        <v/>
      </c>
      <c r="BA181">
        <f>'Recurring Log'!L185&amp;""</f>
        <v/>
      </c>
      <c r="BB181">
        <f>'Recurring Log'!M185&amp;""</f>
        <v/>
      </c>
      <c r="BC181">
        <f>'Recurring Log'!N185&amp;""</f>
        <v/>
      </c>
      <c r="BD181">
        <f>'Recurring Log'!O185&amp;""</f>
        <v/>
      </c>
      <c r="BE181">
        <f>IF('Recurring Log'!K185="","",'Recurring Log'!K185)</f>
        <v/>
      </c>
      <c r="BF181">
        <f>IFERROR(MATCH(BA181,Setup!$L$6:$L$9,0),5)</f>
        <v/>
      </c>
      <c r="BG181">
        <f>IF(OR(AZ181="Done",AZ181="Cancelled"),1,0)</f>
        <v/>
      </c>
      <c r="BH181">
        <f>IF(AND(AU181&lt;&gt;"",ISNUMBER(AW181)),1,0)</f>
        <v/>
      </c>
      <c r="BI181">
        <f>IF(BH181=0,0,IF(AND(AW181&gt;='Tasks Filter'!$F$3,AW181&lt;='Tasks Filter'!$F$4,OR('Tasks Filter'!$I$3="",ISNUMBER(SEARCH('Tasks Filter'!$I$3,AU181))),OR('Tasks Filter'!$I$4="",BF181=IFERROR(MATCH('Tasks Filter'!$I$4,Setup!$L$6:$L$9,0),0)),OR('Tasks Filter'!$I$5="Both",AND('Tasks Filter'!$I$5="Yes",BB181="✓"),AND('Tasks Filter'!$I$5="No",BB181&lt;&gt;"✓")),OR('Tasks Filter'!$L$3="",AV181='Tasks Filter'!$L$3),OR('Tasks Filter'!$L$4="",AZ181='Tasks Filter'!$L$4),OR('Tasks Filter'!$L$5="",BC181='Tasks Filter'!$L$5),OR('Tasks Filter'!$O$3="",BD181='Tasks Filter'!$O$3),OR('Tasks Filter'!$O$4="Yes",BG181=0)),1,0))</f>
        <v/>
      </c>
      <c r="BJ181">
        <f>IF(BH181=0,"",IF('Tasks Filter'!$F$6="Descending",-1,1)*CHOOSE(MATCH('Tasks Filter'!$F$5,Lists!$G$2:$G$6,0),AW181,BF181,IFERROR(MATCH(AV181,Setup!$F$6:$F$15,0),99),IFERROR(MATCH(BC181,Setup!$H$6:$H$15,0),99),IFERROR(MATCH(AZ181,Setup!$J$6:$J$11,0),99))*1E+9+(AW181-40000)*10000+180)</f>
        <v/>
      </c>
      <c r="BK181">
        <f>IF(BI181=1,BJ181,"")</f>
        <v/>
      </c>
      <c r="BL181">
        <f>IF(AND(BH181=1,BG181=0,N(AW181)&lt;Setup!$D$7),(AW181-40000)*10000+180,"")</f>
        <v/>
      </c>
      <c r="BM181">
        <f>IF(AND(BH181=1,AZ181&lt;&gt;"Cancelled",N(AW181)&gt;=Dashboard!$AB$3,N(AW181)&lt;=Dashboard!$AB$3+6),(AW181-40000)*100000+BF181*10000+180,"")</f>
        <v/>
      </c>
      <c r="BN181">
        <f>IF(AND(BH181=1,AZ181&lt;&gt;"Cancelled"),BF181*10000+180,"")</f>
        <v/>
      </c>
    </row>
    <row r="182">
      <c r="A182">
        <f>Setup!$D$5+180</f>
        <v/>
      </c>
      <c r="B182">
        <f>IF('Recurring Schedule'!$C$6="","",IF('Recurring Schedule'!$F$6="","",IF(OR($A182&lt;'Recurring Schedule'!$F$6,$A182&gt;'Recurring Schedule'!$P$6),"",IF(IF('Recurring Schedule'!$N$6&gt;0,MOD($A182-'Recurring Schedule'!$F$6,'Recurring Schedule'!$N$6)=0,IF('Recurring Schedule'!$O$6&gt;0,AND(DAY($A182)=MIN(DAY('Recurring Schedule'!$F$6),DAY(EOMONTH($A182,0))),MOD((YEAR($A182)-YEAR('Recurring Schedule'!$F$6))*12+MONTH($A182)-MONTH('Recurring Schedule'!$F$6),'Recurring Schedule'!$O$6)=0),IF('Recurring Schedule'!$E$6="Weekdays",WEEKDAY($A182,2)&lt;=5,$A182='Recurring Schedule'!$F$6))),1,""))))</f>
        <v/>
      </c>
      <c r="C182">
        <f>IF('Recurring Schedule'!$C$7="","",IF('Recurring Schedule'!$F$7="","",IF(OR($A182&lt;'Recurring Schedule'!$F$7,$A182&gt;'Recurring Schedule'!$P$7),"",IF(IF('Recurring Schedule'!$N$7&gt;0,MOD($A182-'Recurring Schedule'!$F$7,'Recurring Schedule'!$N$7)=0,IF('Recurring Schedule'!$O$7&gt;0,AND(DAY($A182)=MIN(DAY('Recurring Schedule'!$F$7),DAY(EOMONTH($A182,0))),MOD((YEAR($A182)-YEAR('Recurring Schedule'!$F$7))*12+MONTH($A182)-MONTH('Recurring Schedule'!$F$7),'Recurring Schedule'!$O$7)=0),IF('Recurring Schedule'!$E$7="Weekdays",WEEKDAY($A182,2)&lt;=5,$A182='Recurring Schedule'!$F$7))),2,""))))</f>
        <v/>
      </c>
      <c r="D182">
        <f>IF('Recurring Schedule'!$C$8="","",IF('Recurring Schedule'!$F$8="","",IF(OR($A182&lt;'Recurring Schedule'!$F$8,$A182&gt;'Recurring Schedule'!$P$8),"",IF(IF('Recurring Schedule'!$N$8&gt;0,MOD($A182-'Recurring Schedule'!$F$8,'Recurring Schedule'!$N$8)=0,IF('Recurring Schedule'!$O$8&gt;0,AND(DAY($A182)=MIN(DAY('Recurring Schedule'!$F$8),DAY(EOMONTH($A182,0))),MOD((YEAR($A182)-YEAR('Recurring Schedule'!$F$8))*12+MONTH($A182)-MONTH('Recurring Schedule'!$F$8),'Recurring Schedule'!$O$8)=0),IF('Recurring Schedule'!$E$8="Weekdays",WEEKDAY($A182,2)&lt;=5,$A182='Recurring Schedule'!$F$8))),3,""))))</f>
        <v/>
      </c>
      <c r="E182">
        <f>IF('Recurring Schedule'!$C$9="","",IF('Recurring Schedule'!$F$9="","",IF(OR($A182&lt;'Recurring Schedule'!$F$9,$A182&gt;'Recurring Schedule'!$P$9),"",IF(IF('Recurring Schedule'!$N$9&gt;0,MOD($A182-'Recurring Schedule'!$F$9,'Recurring Schedule'!$N$9)=0,IF('Recurring Schedule'!$O$9&gt;0,AND(DAY($A182)=MIN(DAY('Recurring Schedule'!$F$9),DAY(EOMONTH($A182,0))),MOD((YEAR($A182)-YEAR('Recurring Schedule'!$F$9))*12+MONTH($A182)-MONTH('Recurring Schedule'!$F$9),'Recurring Schedule'!$O$9)=0),IF('Recurring Schedule'!$E$9="Weekdays",WEEKDAY($A182,2)&lt;=5,$A182='Recurring Schedule'!$F$9))),4,""))))</f>
        <v/>
      </c>
      <c r="F182">
        <f>IF('Recurring Schedule'!$C$10="","",IF('Recurring Schedule'!$F$10="","",IF(OR($A182&lt;'Recurring Schedule'!$F$10,$A182&gt;'Recurring Schedule'!$P$10),"",IF(IF('Recurring Schedule'!$N$10&gt;0,MOD($A182-'Recurring Schedule'!$F$10,'Recurring Schedule'!$N$10)=0,IF('Recurring Schedule'!$O$10&gt;0,AND(DAY($A182)=MIN(DAY('Recurring Schedule'!$F$10),DAY(EOMONTH($A182,0))),MOD((YEAR($A182)-YEAR('Recurring Schedule'!$F$10))*12+MONTH($A182)-MONTH('Recurring Schedule'!$F$10),'Recurring Schedule'!$O$10)=0),IF('Recurring Schedule'!$E$10="Weekdays",WEEKDAY($A182,2)&lt;=5,$A182='Recurring Schedule'!$F$10))),5,""))))</f>
        <v/>
      </c>
      <c r="G182">
        <f>IF('Recurring Schedule'!$C$11="","",IF('Recurring Schedule'!$F$11="","",IF(OR($A182&lt;'Recurring Schedule'!$F$11,$A182&gt;'Recurring Schedule'!$P$11),"",IF(IF('Recurring Schedule'!$N$11&gt;0,MOD($A182-'Recurring Schedule'!$F$11,'Recurring Schedule'!$N$11)=0,IF('Recurring Schedule'!$O$11&gt;0,AND(DAY($A182)=MIN(DAY('Recurring Schedule'!$F$11),DAY(EOMONTH($A182,0))),MOD((YEAR($A182)-YEAR('Recurring Schedule'!$F$11))*12+MONTH($A182)-MONTH('Recurring Schedule'!$F$11),'Recurring Schedule'!$O$11)=0),IF('Recurring Schedule'!$E$11="Weekdays",WEEKDAY($A182,2)&lt;=5,$A182='Recurring Schedule'!$F$11))),6,""))))</f>
        <v/>
      </c>
      <c r="H182">
        <f>IF('Recurring Schedule'!$C$12="","",IF('Recurring Schedule'!$F$12="","",IF(OR($A182&lt;'Recurring Schedule'!$F$12,$A182&gt;'Recurring Schedule'!$P$12),"",IF(IF('Recurring Schedule'!$N$12&gt;0,MOD($A182-'Recurring Schedule'!$F$12,'Recurring Schedule'!$N$12)=0,IF('Recurring Schedule'!$O$12&gt;0,AND(DAY($A182)=MIN(DAY('Recurring Schedule'!$F$12),DAY(EOMONTH($A182,0))),MOD((YEAR($A182)-YEAR('Recurring Schedule'!$F$12))*12+MONTH($A182)-MONTH('Recurring Schedule'!$F$12),'Recurring Schedule'!$O$12)=0),IF('Recurring Schedule'!$E$12="Weekdays",WEEKDAY($A182,2)&lt;=5,$A182='Recurring Schedule'!$F$12))),7,""))))</f>
        <v/>
      </c>
      <c r="I182">
        <f>IF('Recurring Schedule'!$C$13="","",IF('Recurring Schedule'!$F$13="","",IF(OR($A182&lt;'Recurring Schedule'!$F$13,$A182&gt;'Recurring Schedule'!$P$13),"",IF(IF('Recurring Schedule'!$N$13&gt;0,MOD($A182-'Recurring Schedule'!$F$13,'Recurring Schedule'!$N$13)=0,IF('Recurring Schedule'!$O$13&gt;0,AND(DAY($A182)=MIN(DAY('Recurring Schedule'!$F$13),DAY(EOMONTH($A182,0))),MOD((YEAR($A182)-YEAR('Recurring Schedule'!$F$13))*12+MONTH($A182)-MONTH('Recurring Schedule'!$F$13),'Recurring Schedule'!$O$13)=0),IF('Recurring Schedule'!$E$13="Weekdays",WEEKDAY($A182,2)&lt;=5,$A182='Recurring Schedule'!$F$13))),8,""))))</f>
        <v/>
      </c>
      <c r="J182">
        <f>IF('Recurring Schedule'!$C$14="","",IF('Recurring Schedule'!$F$14="","",IF(OR($A182&lt;'Recurring Schedule'!$F$14,$A182&gt;'Recurring Schedule'!$P$14),"",IF(IF('Recurring Schedule'!$N$14&gt;0,MOD($A182-'Recurring Schedule'!$F$14,'Recurring Schedule'!$N$14)=0,IF('Recurring Schedule'!$O$14&gt;0,AND(DAY($A182)=MIN(DAY('Recurring Schedule'!$F$14),DAY(EOMONTH($A182,0))),MOD((YEAR($A182)-YEAR('Recurring Schedule'!$F$14))*12+MONTH($A182)-MONTH('Recurring Schedule'!$F$14),'Recurring Schedule'!$O$14)=0),IF('Recurring Schedule'!$E$14="Weekdays",WEEKDAY($A182,2)&lt;=5,$A182='Recurring Schedule'!$F$14))),9,""))))</f>
        <v/>
      </c>
      <c r="K182">
        <f>IF('Recurring Schedule'!$C$15="","",IF('Recurring Schedule'!$F$15="","",IF(OR($A182&lt;'Recurring Schedule'!$F$15,$A182&gt;'Recurring Schedule'!$P$15),"",IF(IF('Recurring Schedule'!$N$15&gt;0,MOD($A182-'Recurring Schedule'!$F$15,'Recurring Schedule'!$N$15)=0,IF('Recurring Schedule'!$O$15&gt;0,AND(DAY($A182)=MIN(DAY('Recurring Schedule'!$F$15),DAY(EOMONTH($A182,0))),MOD((YEAR($A182)-YEAR('Recurring Schedule'!$F$15))*12+MONTH($A182)-MONTH('Recurring Schedule'!$F$15),'Recurring Schedule'!$O$15)=0),IF('Recurring Schedule'!$E$15="Weekdays",WEEKDAY($A182,2)&lt;=5,$A182='Recurring Schedule'!$F$15))),10,""))))</f>
        <v/>
      </c>
      <c r="L182">
        <f>IF('Recurring Schedule'!$C$16="","",IF('Recurring Schedule'!$F$16="","",IF(OR($A182&lt;'Recurring Schedule'!$F$16,$A182&gt;'Recurring Schedule'!$P$16),"",IF(IF('Recurring Schedule'!$N$16&gt;0,MOD($A182-'Recurring Schedule'!$F$16,'Recurring Schedule'!$N$16)=0,IF('Recurring Schedule'!$O$16&gt;0,AND(DAY($A182)=MIN(DAY('Recurring Schedule'!$F$16),DAY(EOMONTH($A182,0))),MOD((YEAR($A182)-YEAR('Recurring Schedule'!$F$16))*12+MONTH($A182)-MONTH('Recurring Schedule'!$F$16),'Recurring Schedule'!$O$16)=0),IF('Recurring Schedule'!$E$16="Weekdays",WEEKDAY($A182,2)&lt;=5,$A182='Recurring Schedule'!$F$16))),11,""))))</f>
        <v/>
      </c>
      <c r="M182">
        <f>IF('Recurring Schedule'!$C$17="","",IF('Recurring Schedule'!$F$17="","",IF(OR($A182&lt;'Recurring Schedule'!$F$17,$A182&gt;'Recurring Schedule'!$P$17),"",IF(IF('Recurring Schedule'!$N$17&gt;0,MOD($A182-'Recurring Schedule'!$F$17,'Recurring Schedule'!$N$17)=0,IF('Recurring Schedule'!$O$17&gt;0,AND(DAY($A182)=MIN(DAY('Recurring Schedule'!$F$17),DAY(EOMONTH($A182,0))),MOD((YEAR($A182)-YEAR('Recurring Schedule'!$F$17))*12+MONTH($A182)-MONTH('Recurring Schedule'!$F$17),'Recurring Schedule'!$O$17)=0),IF('Recurring Schedule'!$E$17="Weekdays",WEEKDAY($A182,2)&lt;=5,$A182='Recurring Schedule'!$F$17))),12,""))))</f>
        <v/>
      </c>
      <c r="N182">
        <f>IF('Recurring Schedule'!$C$18="","",IF('Recurring Schedule'!$F$18="","",IF(OR($A182&lt;'Recurring Schedule'!$F$18,$A182&gt;'Recurring Schedule'!$P$18),"",IF(IF('Recurring Schedule'!$N$18&gt;0,MOD($A182-'Recurring Schedule'!$F$18,'Recurring Schedule'!$N$18)=0,IF('Recurring Schedule'!$O$18&gt;0,AND(DAY($A182)=MIN(DAY('Recurring Schedule'!$F$18),DAY(EOMONTH($A182,0))),MOD((YEAR($A182)-YEAR('Recurring Schedule'!$F$18))*12+MONTH($A182)-MONTH('Recurring Schedule'!$F$18),'Recurring Schedule'!$O$18)=0),IF('Recurring Schedule'!$E$18="Weekdays",WEEKDAY($A182,2)&lt;=5,$A182='Recurring Schedule'!$F$18))),13,""))))</f>
        <v/>
      </c>
      <c r="O182">
        <f>IF('Recurring Schedule'!$C$19="","",IF('Recurring Schedule'!$F$19="","",IF(OR($A182&lt;'Recurring Schedule'!$F$19,$A182&gt;'Recurring Schedule'!$P$19),"",IF(IF('Recurring Schedule'!$N$19&gt;0,MOD($A182-'Recurring Schedule'!$F$19,'Recurring Schedule'!$N$19)=0,IF('Recurring Schedule'!$O$19&gt;0,AND(DAY($A182)=MIN(DAY('Recurring Schedule'!$F$19),DAY(EOMONTH($A182,0))),MOD((YEAR($A182)-YEAR('Recurring Schedule'!$F$19))*12+MONTH($A182)-MONTH('Recurring Schedule'!$F$19),'Recurring Schedule'!$O$19)=0),IF('Recurring Schedule'!$E$19="Weekdays",WEEKDAY($A182,2)&lt;=5,$A182='Recurring Schedule'!$F$19))),14,""))))</f>
        <v/>
      </c>
      <c r="P182">
        <f>IF('Recurring Schedule'!$C$20="","",IF('Recurring Schedule'!$F$20="","",IF(OR($A182&lt;'Recurring Schedule'!$F$20,$A182&gt;'Recurring Schedule'!$P$20),"",IF(IF('Recurring Schedule'!$N$20&gt;0,MOD($A182-'Recurring Schedule'!$F$20,'Recurring Schedule'!$N$20)=0,IF('Recurring Schedule'!$O$20&gt;0,AND(DAY($A182)=MIN(DAY('Recurring Schedule'!$F$20),DAY(EOMONTH($A182,0))),MOD((YEAR($A182)-YEAR('Recurring Schedule'!$F$20))*12+MONTH($A182)-MONTH('Recurring Schedule'!$F$20),'Recurring Schedule'!$O$20)=0),IF('Recurring Schedule'!$E$20="Weekdays",WEEKDAY($A182,2)&lt;=5,$A182='Recurring Schedule'!$F$20))),15,""))))</f>
        <v/>
      </c>
      <c r="Q182">
        <f>IF('Recurring Schedule'!$C$21="","",IF('Recurring Schedule'!$F$21="","",IF(OR($A182&lt;'Recurring Schedule'!$F$21,$A182&gt;'Recurring Schedule'!$P$21),"",IF(IF('Recurring Schedule'!$N$21&gt;0,MOD($A182-'Recurring Schedule'!$F$21,'Recurring Schedule'!$N$21)=0,IF('Recurring Schedule'!$O$21&gt;0,AND(DAY($A182)=MIN(DAY('Recurring Schedule'!$F$21),DAY(EOMONTH($A182,0))),MOD((YEAR($A182)-YEAR('Recurring Schedule'!$F$21))*12+MONTH($A182)-MONTH('Recurring Schedule'!$F$21),'Recurring Schedule'!$O$21)=0),IF('Recurring Schedule'!$E$21="Weekdays",WEEKDAY($A182,2)&lt;=5,$A182='Recurring Schedule'!$F$21))),16,""))))</f>
        <v/>
      </c>
      <c r="R182">
        <f>IF('Recurring Schedule'!$C$22="","",IF('Recurring Schedule'!$F$22="","",IF(OR($A182&lt;'Recurring Schedule'!$F$22,$A182&gt;'Recurring Schedule'!$P$22),"",IF(IF('Recurring Schedule'!$N$22&gt;0,MOD($A182-'Recurring Schedule'!$F$22,'Recurring Schedule'!$N$22)=0,IF('Recurring Schedule'!$O$22&gt;0,AND(DAY($A182)=MIN(DAY('Recurring Schedule'!$F$22),DAY(EOMONTH($A182,0))),MOD((YEAR($A182)-YEAR('Recurring Schedule'!$F$22))*12+MONTH($A182)-MONTH('Recurring Schedule'!$F$22),'Recurring Schedule'!$O$22)=0),IF('Recurring Schedule'!$E$22="Weekdays",WEEKDAY($A182,2)&lt;=5,$A182='Recurring Schedule'!$F$22))),17,""))))</f>
        <v/>
      </c>
      <c r="S182">
        <f>IF('Recurring Schedule'!$C$23="","",IF('Recurring Schedule'!$F$23="","",IF(OR($A182&lt;'Recurring Schedule'!$F$23,$A182&gt;'Recurring Schedule'!$P$23),"",IF(IF('Recurring Schedule'!$N$23&gt;0,MOD($A182-'Recurring Schedule'!$F$23,'Recurring Schedule'!$N$23)=0,IF('Recurring Schedule'!$O$23&gt;0,AND(DAY($A182)=MIN(DAY('Recurring Schedule'!$F$23),DAY(EOMONTH($A182,0))),MOD((YEAR($A182)-YEAR('Recurring Schedule'!$F$23))*12+MONTH($A182)-MONTH('Recurring Schedule'!$F$23),'Recurring Schedule'!$O$23)=0),IF('Recurring Schedule'!$E$23="Weekdays",WEEKDAY($A182,2)&lt;=5,$A182='Recurring Schedule'!$F$23))),18,""))))</f>
        <v/>
      </c>
      <c r="T182">
        <f>IF('Recurring Schedule'!$C$24="","",IF('Recurring Schedule'!$F$24="","",IF(OR($A182&lt;'Recurring Schedule'!$F$24,$A182&gt;'Recurring Schedule'!$P$24),"",IF(IF('Recurring Schedule'!$N$24&gt;0,MOD($A182-'Recurring Schedule'!$F$24,'Recurring Schedule'!$N$24)=0,IF('Recurring Schedule'!$O$24&gt;0,AND(DAY($A182)=MIN(DAY('Recurring Schedule'!$F$24),DAY(EOMONTH($A182,0))),MOD((YEAR($A182)-YEAR('Recurring Schedule'!$F$24))*12+MONTH($A182)-MONTH('Recurring Schedule'!$F$24),'Recurring Schedule'!$O$24)=0),IF('Recurring Schedule'!$E$24="Weekdays",WEEKDAY($A182,2)&lt;=5,$A182='Recurring Schedule'!$F$24))),19,""))))</f>
        <v/>
      </c>
      <c r="U182">
        <f>IF('Recurring Schedule'!$C$25="","",IF('Recurring Schedule'!$F$25="","",IF(OR($A182&lt;'Recurring Schedule'!$F$25,$A182&gt;'Recurring Schedule'!$P$25),"",IF(IF('Recurring Schedule'!$N$25&gt;0,MOD($A182-'Recurring Schedule'!$F$25,'Recurring Schedule'!$N$25)=0,IF('Recurring Schedule'!$O$25&gt;0,AND(DAY($A182)=MIN(DAY('Recurring Schedule'!$F$25),DAY(EOMONTH($A182,0))),MOD((YEAR($A182)-YEAR('Recurring Schedule'!$F$25))*12+MONTH($A182)-MONTH('Recurring Schedule'!$F$25),'Recurring Schedule'!$O$25)=0),IF('Recurring Schedule'!$E$25="Weekdays",WEEKDAY($A182,2)&lt;=5,$A182='Recurring Schedule'!$F$25))),20,""))))</f>
        <v/>
      </c>
      <c r="V182">
        <f>IF('Recurring Schedule'!$C$26="","",IF('Recurring Schedule'!$F$26="","",IF(OR($A182&lt;'Recurring Schedule'!$F$26,$A182&gt;'Recurring Schedule'!$P$26),"",IF(IF('Recurring Schedule'!$N$26&gt;0,MOD($A182-'Recurring Schedule'!$F$26,'Recurring Schedule'!$N$26)=0,IF('Recurring Schedule'!$O$26&gt;0,AND(DAY($A182)=MIN(DAY('Recurring Schedule'!$F$26),DAY(EOMONTH($A182,0))),MOD((YEAR($A182)-YEAR('Recurring Schedule'!$F$26))*12+MONTH($A182)-MONTH('Recurring Schedule'!$F$26),'Recurring Schedule'!$O$26)=0),IF('Recurring Schedule'!$E$26="Weekdays",WEEKDAY($A182,2)&lt;=5,$A182='Recurring Schedule'!$F$26))),21,""))))</f>
        <v/>
      </c>
      <c r="W182">
        <f>IF('Recurring Schedule'!$C$27="","",IF('Recurring Schedule'!$F$27="","",IF(OR($A182&lt;'Recurring Schedule'!$F$27,$A182&gt;'Recurring Schedule'!$P$27),"",IF(IF('Recurring Schedule'!$N$27&gt;0,MOD($A182-'Recurring Schedule'!$F$27,'Recurring Schedule'!$N$27)=0,IF('Recurring Schedule'!$O$27&gt;0,AND(DAY($A182)=MIN(DAY('Recurring Schedule'!$F$27),DAY(EOMONTH($A182,0))),MOD((YEAR($A182)-YEAR('Recurring Schedule'!$F$27))*12+MONTH($A182)-MONTH('Recurring Schedule'!$F$27),'Recurring Schedule'!$O$27)=0),IF('Recurring Schedule'!$E$27="Weekdays",WEEKDAY($A182,2)&lt;=5,$A182='Recurring Schedule'!$F$27))),22,""))))</f>
        <v/>
      </c>
      <c r="X182">
        <f>IF('Recurring Schedule'!$C$28="","",IF('Recurring Schedule'!$F$28="","",IF(OR($A182&lt;'Recurring Schedule'!$F$28,$A182&gt;'Recurring Schedule'!$P$28),"",IF(IF('Recurring Schedule'!$N$28&gt;0,MOD($A182-'Recurring Schedule'!$F$28,'Recurring Schedule'!$N$28)=0,IF('Recurring Schedule'!$O$28&gt;0,AND(DAY($A182)=MIN(DAY('Recurring Schedule'!$F$28),DAY(EOMONTH($A182,0))),MOD((YEAR($A182)-YEAR('Recurring Schedule'!$F$28))*12+MONTH($A182)-MONTH('Recurring Schedule'!$F$28),'Recurring Schedule'!$O$28)=0),IF('Recurring Schedule'!$E$28="Weekdays",WEEKDAY($A182,2)&lt;=5,$A182='Recurring Schedule'!$F$28))),23,""))))</f>
        <v/>
      </c>
      <c r="Y182">
        <f>IF('Recurring Schedule'!$C$29="","",IF('Recurring Schedule'!$F$29="","",IF(OR($A182&lt;'Recurring Schedule'!$F$29,$A182&gt;'Recurring Schedule'!$P$29),"",IF(IF('Recurring Schedule'!$N$29&gt;0,MOD($A182-'Recurring Schedule'!$F$29,'Recurring Schedule'!$N$29)=0,IF('Recurring Schedule'!$O$29&gt;0,AND(DAY($A182)=MIN(DAY('Recurring Schedule'!$F$29),DAY(EOMONTH($A182,0))),MOD((YEAR($A182)-YEAR('Recurring Schedule'!$F$29))*12+MONTH($A182)-MONTH('Recurring Schedule'!$F$29),'Recurring Schedule'!$O$29)=0),IF('Recurring Schedule'!$E$29="Weekdays",WEEKDAY($A182,2)&lt;=5,$A182='Recurring Schedule'!$F$29))),24,""))))</f>
        <v/>
      </c>
      <c r="Z182">
        <f>IF('Recurring Schedule'!$C$30="","",IF('Recurring Schedule'!$F$30="","",IF(OR($A182&lt;'Recurring Schedule'!$F$30,$A182&gt;'Recurring Schedule'!$P$30),"",IF(IF('Recurring Schedule'!$N$30&gt;0,MOD($A182-'Recurring Schedule'!$F$30,'Recurring Schedule'!$N$30)=0,IF('Recurring Schedule'!$O$30&gt;0,AND(DAY($A182)=MIN(DAY('Recurring Schedule'!$F$30),DAY(EOMONTH($A182,0))),MOD((YEAR($A182)-YEAR('Recurring Schedule'!$F$30))*12+MONTH($A182)-MONTH('Recurring Schedule'!$F$30),'Recurring Schedule'!$O$30)=0),IF('Recurring Schedule'!$E$30="Weekdays",WEEKDAY($A182,2)&lt;=5,$A182='Recurring Schedule'!$F$30))),25,""))))</f>
        <v/>
      </c>
      <c r="AA182">
        <f>IF('Recurring Schedule'!$C$31="","",IF('Recurring Schedule'!$F$31="","",IF(OR($A182&lt;'Recurring Schedule'!$F$31,$A182&gt;'Recurring Schedule'!$P$31),"",IF(IF('Recurring Schedule'!$N$31&gt;0,MOD($A182-'Recurring Schedule'!$F$31,'Recurring Schedule'!$N$31)=0,IF('Recurring Schedule'!$O$31&gt;0,AND(DAY($A182)=MIN(DAY('Recurring Schedule'!$F$31),DAY(EOMONTH($A182,0))),MOD((YEAR($A182)-YEAR('Recurring Schedule'!$F$31))*12+MONTH($A182)-MONTH('Recurring Schedule'!$F$31),'Recurring Schedule'!$O$31)=0),IF('Recurring Schedule'!$E$31="Weekdays",WEEKDAY($A182,2)&lt;=5,$A182='Recurring Schedule'!$F$31))),26,""))))</f>
        <v/>
      </c>
      <c r="AB182">
        <f>IF('Recurring Schedule'!$C$32="","",IF('Recurring Schedule'!$F$32="","",IF(OR($A182&lt;'Recurring Schedule'!$F$32,$A182&gt;'Recurring Schedule'!$P$32),"",IF(IF('Recurring Schedule'!$N$32&gt;0,MOD($A182-'Recurring Schedule'!$F$32,'Recurring Schedule'!$N$32)=0,IF('Recurring Schedule'!$O$32&gt;0,AND(DAY($A182)=MIN(DAY('Recurring Schedule'!$F$32),DAY(EOMONTH($A182,0))),MOD((YEAR($A182)-YEAR('Recurring Schedule'!$F$32))*12+MONTH($A182)-MONTH('Recurring Schedule'!$F$32),'Recurring Schedule'!$O$32)=0),IF('Recurring Schedule'!$E$32="Weekdays",WEEKDAY($A182,2)&lt;=5,$A182='Recurring Schedule'!$F$32))),27,""))))</f>
        <v/>
      </c>
      <c r="AC182">
        <f>IF('Recurring Schedule'!$C$33="","",IF('Recurring Schedule'!$F$33="","",IF(OR($A182&lt;'Recurring Schedule'!$F$33,$A182&gt;'Recurring Schedule'!$P$33),"",IF(IF('Recurring Schedule'!$N$33&gt;0,MOD($A182-'Recurring Schedule'!$F$33,'Recurring Schedule'!$N$33)=0,IF('Recurring Schedule'!$O$33&gt;0,AND(DAY($A182)=MIN(DAY('Recurring Schedule'!$F$33),DAY(EOMONTH($A182,0))),MOD((YEAR($A182)-YEAR('Recurring Schedule'!$F$33))*12+MONTH($A182)-MONTH('Recurring Schedule'!$F$33),'Recurring Schedule'!$O$33)=0),IF('Recurring Schedule'!$E$33="Weekdays",WEEKDAY($A182,2)&lt;=5,$A182='Recurring Schedule'!$F$33))),28,""))))</f>
        <v/>
      </c>
      <c r="AD182">
        <f>IF('Recurring Schedule'!$C$34="","",IF('Recurring Schedule'!$F$34="","",IF(OR($A182&lt;'Recurring Schedule'!$F$34,$A182&gt;'Recurring Schedule'!$P$34),"",IF(IF('Recurring Schedule'!$N$34&gt;0,MOD($A182-'Recurring Schedule'!$F$34,'Recurring Schedule'!$N$34)=0,IF('Recurring Schedule'!$O$34&gt;0,AND(DAY($A182)=MIN(DAY('Recurring Schedule'!$F$34),DAY(EOMONTH($A182,0))),MOD((YEAR($A182)-YEAR('Recurring Schedule'!$F$34))*12+MONTH($A182)-MONTH('Recurring Schedule'!$F$34),'Recurring Schedule'!$O$34)=0),IF('Recurring Schedule'!$E$34="Weekdays",WEEKDAY($A182,2)&lt;=5,$A182='Recurring Schedule'!$F$34))),29,""))))</f>
        <v/>
      </c>
      <c r="AE182">
        <f>IF('Recurring Schedule'!$C$35="","",IF('Recurring Schedule'!$F$35="","",IF(OR($A182&lt;'Recurring Schedule'!$F$35,$A182&gt;'Recurring Schedule'!$P$35),"",IF(IF('Recurring Schedule'!$N$35&gt;0,MOD($A182-'Recurring Schedule'!$F$35,'Recurring Schedule'!$N$35)=0,IF('Recurring Schedule'!$O$35&gt;0,AND(DAY($A182)=MIN(DAY('Recurring Schedule'!$F$35),DAY(EOMONTH($A182,0))),MOD((YEAR($A182)-YEAR('Recurring Schedule'!$F$35))*12+MONTH($A182)-MONTH('Recurring Schedule'!$F$35),'Recurring Schedule'!$O$35)=0),IF('Recurring Schedule'!$E$35="Weekdays",WEEKDAY($A182,2)&lt;=5,$A182='Recurring Schedule'!$F$35))),30,""))))</f>
        <v/>
      </c>
      <c r="AF182">
        <f>IF('Recurring Schedule'!$C$36="","",IF('Recurring Schedule'!$F$36="","",IF(OR($A182&lt;'Recurring Schedule'!$F$36,$A182&gt;'Recurring Schedule'!$P$36),"",IF(IF('Recurring Schedule'!$N$36&gt;0,MOD($A182-'Recurring Schedule'!$F$36,'Recurring Schedule'!$N$36)=0,IF('Recurring Schedule'!$O$36&gt;0,AND(DAY($A182)=MIN(DAY('Recurring Schedule'!$F$36),DAY(EOMONTH($A182,0))),MOD((YEAR($A182)-YEAR('Recurring Schedule'!$F$36))*12+MONTH($A182)-MONTH('Recurring Schedule'!$F$36),'Recurring Schedule'!$O$36)=0),IF('Recurring Schedule'!$E$36="Weekdays",WEEKDAY($A182,2)&lt;=5,$A182='Recurring Schedule'!$F$36))),31,""))))</f>
        <v/>
      </c>
      <c r="AG182">
        <f>IF('Recurring Schedule'!$C$37="","",IF('Recurring Schedule'!$F$37="","",IF(OR($A182&lt;'Recurring Schedule'!$F$37,$A182&gt;'Recurring Schedule'!$P$37),"",IF(IF('Recurring Schedule'!$N$37&gt;0,MOD($A182-'Recurring Schedule'!$F$37,'Recurring Schedule'!$N$37)=0,IF('Recurring Schedule'!$O$37&gt;0,AND(DAY($A182)=MIN(DAY('Recurring Schedule'!$F$37),DAY(EOMONTH($A182,0))),MOD((YEAR($A182)-YEAR('Recurring Schedule'!$F$37))*12+MONTH($A182)-MONTH('Recurring Schedule'!$F$37),'Recurring Schedule'!$O$37)=0),IF('Recurring Schedule'!$E$37="Weekdays",WEEKDAY($A182,2)&lt;=5,$A182='Recurring Schedule'!$F$37))),32,""))))</f>
        <v/>
      </c>
      <c r="AH182">
        <f>IF('Recurring Schedule'!$C$38="","",IF('Recurring Schedule'!$F$38="","",IF(OR($A182&lt;'Recurring Schedule'!$F$38,$A182&gt;'Recurring Schedule'!$P$38),"",IF(IF('Recurring Schedule'!$N$38&gt;0,MOD($A182-'Recurring Schedule'!$F$38,'Recurring Schedule'!$N$38)=0,IF('Recurring Schedule'!$O$38&gt;0,AND(DAY($A182)=MIN(DAY('Recurring Schedule'!$F$38),DAY(EOMONTH($A182,0))),MOD((YEAR($A182)-YEAR('Recurring Schedule'!$F$38))*12+MONTH($A182)-MONTH('Recurring Schedule'!$F$38),'Recurring Schedule'!$O$38)=0),IF('Recurring Schedule'!$E$38="Weekdays",WEEKDAY($A182,2)&lt;=5,$A182='Recurring Schedule'!$F$38))),33,""))))</f>
        <v/>
      </c>
      <c r="AI182">
        <f>IF('Recurring Schedule'!$C$39="","",IF('Recurring Schedule'!$F$39="","",IF(OR($A182&lt;'Recurring Schedule'!$F$39,$A182&gt;'Recurring Schedule'!$P$39),"",IF(IF('Recurring Schedule'!$N$39&gt;0,MOD($A182-'Recurring Schedule'!$F$39,'Recurring Schedule'!$N$39)=0,IF('Recurring Schedule'!$O$39&gt;0,AND(DAY($A182)=MIN(DAY('Recurring Schedule'!$F$39),DAY(EOMONTH($A182,0))),MOD((YEAR($A182)-YEAR('Recurring Schedule'!$F$39))*12+MONTH($A182)-MONTH('Recurring Schedule'!$F$39),'Recurring Schedule'!$O$39)=0),IF('Recurring Schedule'!$E$39="Weekdays",WEEKDAY($A182,2)&lt;=5,$A182='Recurring Schedule'!$F$39))),34,""))))</f>
        <v/>
      </c>
      <c r="AJ182">
        <f>IF('Recurring Schedule'!$C$40="","",IF('Recurring Schedule'!$F$40="","",IF(OR($A182&lt;'Recurring Schedule'!$F$40,$A182&gt;'Recurring Schedule'!$P$40),"",IF(IF('Recurring Schedule'!$N$40&gt;0,MOD($A182-'Recurring Schedule'!$F$40,'Recurring Schedule'!$N$40)=0,IF('Recurring Schedule'!$O$40&gt;0,AND(DAY($A182)=MIN(DAY('Recurring Schedule'!$F$40),DAY(EOMONTH($A182,0))),MOD((YEAR($A182)-YEAR('Recurring Schedule'!$F$40))*12+MONTH($A182)-MONTH('Recurring Schedule'!$F$40),'Recurring Schedule'!$O$40)=0),IF('Recurring Schedule'!$E$40="Weekdays",WEEKDAY($A182,2)&lt;=5,$A182='Recurring Schedule'!$F$40))),35,""))))</f>
        <v/>
      </c>
      <c r="AK182">
        <f>IF('Recurring Schedule'!$C$41="","",IF('Recurring Schedule'!$F$41="","",IF(OR($A182&lt;'Recurring Schedule'!$F$41,$A182&gt;'Recurring Schedule'!$P$41),"",IF(IF('Recurring Schedule'!$N$41&gt;0,MOD($A182-'Recurring Schedule'!$F$41,'Recurring Schedule'!$N$41)=0,IF('Recurring Schedule'!$O$41&gt;0,AND(DAY($A182)=MIN(DAY('Recurring Schedule'!$F$41),DAY(EOMONTH($A182,0))),MOD((YEAR($A182)-YEAR('Recurring Schedule'!$F$41))*12+MONTH($A182)-MONTH('Recurring Schedule'!$F$41),'Recurring Schedule'!$O$41)=0),IF('Recurring Schedule'!$E$41="Weekdays",WEEKDAY($A182,2)&lt;=5,$A182='Recurring Schedule'!$F$41))),36,""))))</f>
        <v/>
      </c>
      <c r="AL182">
        <f>IF('Recurring Schedule'!$C$42="","",IF('Recurring Schedule'!$F$42="","",IF(OR($A182&lt;'Recurring Schedule'!$F$42,$A182&gt;'Recurring Schedule'!$P$42),"",IF(IF('Recurring Schedule'!$N$42&gt;0,MOD($A182-'Recurring Schedule'!$F$42,'Recurring Schedule'!$N$42)=0,IF('Recurring Schedule'!$O$42&gt;0,AND(DAY($A182)=MIN(DAY('Recurring Schedule'!$F$42),DAY(EOMONTH($A182,0))),MOD((YEAR($A182)-YEAR('Recurring Schedule'!$F$42))*12+MONTH($A182)-MONTH('Recurring Schedule'!$F$42),'Recurring Schedule'!$O$42)=0),IF('Recurring Schedule'!$E$42="Weekdays",WEEKDAY($A182,2)&lt;=5,$A182='Recurring Schedule'!$F$42))),37,""))))</f>
        <v/>
      </c>
      <c r="AM182">
        <f>IF('Recurring Schedule'!$C$43="","",IF('Recurring Schedule'!$F$43="","",IF(OR($A182&lt;'Recurring Schedule'!$F$43,$A182&gt;'Recurring Schedule'!$P$43),"",IF(IF('Recurring Schedule'!$N$43&gt;0,MOD($A182-'Recurring Schedule'!$F$43,'Recurring Schedule'!$N$43)=0,IF('Recurring Schedule'!$O$43&gt;0,AND(DAY($A182)=MIN(DAY('Recurring Schedule'!$F$43),DAY(EOMONTH($A182,0))),MOD((YEAR($A182)-YEAR('Recurring Schedule'!$F$43))*12+MONTH($A182)-MONTH('Recurring Schedule'!$F$43),'Recurring Schedule'!$O$43)=0),IF('Recurring Schedule'!$E$43="Weekdays",WEEKDAY($A182,2)&lt;=5,$A182='Recurring Schedule'!$F$43))),38,""))))</f>
        <v/>
      </c>
      <c r="AN182">
        <f>IF('Recurring Schedule'!$C$44="","",IF('Recurring Schedule'!$F$44="","",IF(OR($A182&lt;'Recurring Schedule'!$F$44,$A182&gt;'Recurring Schedule'!$P$44),"",IF(IF('Recurring Schedule'!$N$44&gt;0,MOD($A182-'Recurring Schedule'!$F$44,'Recurring Schedule'!$N$44)=0,IF('Recurring Schedule'!$O$44&gt;0,AND(DAY($A182)=MIN(DAY('Recurring Schedule'!$F$44),DAY(EOMONTH($A182,0))),MOD((YEAR($A182)-YEAR('Recurring Schedule'!$F$44))*12+MONTH($A182)-MONTH('Recurring Schedule'!$F$44),'Recurring Schedule'!$O$44)=0),IF('Recurring Schedule'!$E$44="Weekdays",WEEKDAY($A182,2)&lt;=5,$A182='Recurring Schedule'!$F$44))),39,""))))</f>
        <v/>
      </c>
      <c r="AO182">
        <f>IF('Recurring Schedule'!$C$45="","",IF('Recurring Schedule'!$F$45="","",IF(OR($A182&lt;'Recurring Schedule'!$F$45,$A182&gt;'Recurring Schedule'!$P$45),"",IF(IF('Recurring Schedule'!$N$45&gt;0,MOD($A182-'Recurring Schedule'!$F$45,'Recurring Schedule'!$N$45)=0,IF('Recurring Schedule'!$O$45&gt;0,AND(DAY($A182)=MIN(DAY('Recurring Schedule'!$F$45),DAY(EOMONTH($A182,0))),MOD((YEAR($A182)-YEAR('Recurring Schedule'!$F$45))*12+MONTH($A182)-MONTH('Recurring Schedule'!$F$45),'Recurring Schedule'!$O$45)=0),IF('Recurring Schedule'!$E$45="Weekdays",WEEKDAY($A182,2)&lt;=5,$A182='Recurring Schedule'!$F$45))),40,""))))</f>
        <v/>
      </c>
      <c r="AP182">
        <f>COUNT(B182:AO182)</f>
        <v/>
      </c>
      <c r="AQ182">
        <f>AQ181+AP181</f>
        <v/>
      </c>
      <c r="AS182" t="inlineStr">
        <is>
          <t>R</t>
        </is>
      </c>
      <c r="AT182" t="n">
        <v>186</v>
      </c>
      <c r="AU182">
        <f>'Recurring Log'!C186&amp;""</f>
        <v/>
      </c>
      <c r="AV182">
        <f>'Recurring Log'!D186&amp;""</f>
        <v/>
      </c>
      <c r="AW182">
        <f>IF('Recurring Log'!E186="","",'Recurring Log'!E186)</f>
        <v/>
      </c>
      <c r="AX182">
        <f>IF('Recurring Log'!G186="","",'Recurring Log'!G186)</f>
        <v/>
      </c>
      <c r="AY182">
        <f>IF('Recurring Log'!H186="","",'Recurring Log'!H186)</f>
        <v/>
      </c>
      <c r="AZ182">
        <f>IF(AU182="","",IF('Recurring Log'!J186="","Not Started",'Recurring Log'!J186))</f>
        <v/>
      </c>
      <c r="BA182">
        <f>'Recurring Log'!L186&amp;""</f>
        <v/>
      </c>
      <c r="BB182">
        <f>'Recurring Log'!M186&amp;""</f>
        <v/>
      </c>
      <c r="BC182">
        <f>'Recurring Log'!N186&amp;""</f>
        <v/>
      </c>
      <c r="BD182">
        <f>'Recurring Log'!O186&amp;""</f>
        <v/>
      </c>
      <c r="BE182">
        <f>IF('Recurring Log'!K186="","",'Recurring Log'!K186)</f>
        <v/>
      </c>
      <c r="BF182">
        <f>IFERROR(MATCH(BA182,Setup!$L$6:$L$9,0),5)</f>
        <v/>
      </c>
      <c r="BG182">
        <f>IF(OR(AZ182="Done",AZ182="Cancelled"),1,0)</f>
        <v/>
      </c>
      <c r="BH182">
        <f>IF(AND(AU182&lt;&gt;"",ISNUMBER(AW182)),1,0)</f>
        <v/>
      </c>
      <c r="BI182">
        <f>IF(BH182=0,0,IF(AND(AW182&gt;='Tasks Filter'!$F$3,AW182&lt;='Tasks Filter'!$F$4,OR('Tasks Filter'!$I$3="",ISNUMBER(SEARCH('Tasks Filter'!$I$3,AU182))),OR('Tasks Filter'!$I$4="",BF182=IFERROR(MATCH('Tasks Filter'!$I$4,Setup!$L$6:$L$9,0),0)),OR('Tasks Filter'!$I$5="Both",AND('Tasks Filter'!$I$5="Yes",BB182="✓"),AND('Tasks Filter'!$I$5="No",BB182&lt;&gt;"✓")),OR('Tasks Filter'!$L$3="",AV182='Tasks Filter'!$L$3),OR('Tasks Filter'!$L$4="",AZ182='Tasks Filter'!$L$4),OR('Tasks Filter'!$L$5="",BC182='Tasks Filter'!$L$5),OR('Tasks Filter'!$O$3="",BD182='Tasks Filter'!$O$3),OR('Tasks Filter'!$O$4="Yes",BG182=0)),1,0))</f>
        <v/>
      </c>
      <c r="BJ182">
        <f>IF(BH182=0,"",IF('Tasks Filter'!$F$6="Descending",-1,1)*CHOOSE(MATCH('Tasks Filter'!$F$5,Lists!$G$2:$G$6,0),AW182,BF182,IFERROR(MATCH(AV182,Setup!$F$6:$F$15,0),99),IFERROR(MATCH(BC182,Setup!$H$6:$H$15,0),99),IFERROR(MATCH(AZ182,Setup!$J$6:$J$11,0),99))*1E+9+(AW182-40000)*10000+181)</f>
        <v/>
      </c>
      <c r="BK182">
        <f>IF(BI182=1,BJ182,"")</f>
        <v/>
      </c>
      <c r="BL182">
        <f>IF(AND(BH182=1,BG182=0,N(AW182)&lt;Setup!$D$7),(AW182-40000)*10000+181,"")</f>
        <v/>
      </c>
      <c r="BM182">
        <f>IF(AND(BH182=1,AZ182&lt;&gt;"Cancelled",N(AW182)&gt;=Dashboard!$AB$3,N(AW182)&lt;=Dashboard!$AB$3+6),(AW182-40000)*100000+BF182*10000+181,"")</f>
        <v/>
      </c>
      <c r="BN182">
        <f>IF(AND(BH182=1,AZ182&lt;&gt;"Cancelled"),BF182*10000+181,"")</f>
        <v/>
      </c>
    </row>
    <row r="183">
      <c r="A183">
        <f>Setup!$D$5+181</f>
        <v/>
      </c>
      <c r="B183">
        <f>IF('Recurring Schedule'!$C$6="","",IF('Recurring Schedule'!$F$6="","",IF(OR($A183&lt;'Recurring Schedule'!$F$6,$A183&gt;'Recurring Schedule'!$P$6),"",IF(IF('Recurring Schedule'!$N$6&gt;0,MOD($A183-'Recurring Schedule'!$F$6,'Recurring Schedule'!$N$6)=0,IF('Recurring Schedule'!$O$6&gt;0,AND(DAY($A183)=MIN(DAY('Recurring Schedule'!$F$6),DAY(EOMONTH($A183,0))),MOD((YEAR($A183)-YEAR('Recurring Schedule'!$F$6))*12+MONTH($A183)-MONTH('Recurring Schedule'!$F$6),'Recurring Schedule'!$O$6)=0),IF('Recurring Schedule'!$E$6="Weekdays",WEEKDAY($A183,2)&lt;=5,$A183='Recurring Schedule'!$F$6))),1,""))))</f>
        <v/>
      </c>
      <c r="C183">
        <f>IF('Recurring Schedule'!$C$7="","",IF('Recurring Schedule'!$F$7="","",IF(OR($A183&lt;'Recurring Schedule'!$F$7,$A183&gt;'Recurring Schedule'!$P$7),"",IF(IF('Recurring Schedule'!$N$7&gt;0,MOD($A183-'Recurring Schedule'!$F$7,'Recurring Schedule'!$N$7)=0,IF('Recurring Schedule'!$O$7&gt;0,AND(DAY($A183)=MIN(DAY('Recurring Schedule'!$F$7),DAY(EOMONTH($A183,0))),MOD((YEAR($A183)-YEAR('Recurring Schedule'!$F$7))*12+MONTH($A183)-MONTH('Recurring Schedule'!$F$7),'Recurring Schedule'!$O$7)=0),IF('Recurring Schedule'!$E$7="Weekdays",WEEKDAY($A183,2)&lt;=5,$A183='Recurring Schedule'!$F$7))),2,""))))</f>
        <v/>
      </c>
      <c r="D183">
        <f>IF('Recurring Schedule'!$C$8="","",IF('Recurring Schedule'!$F$8="","",IF(OR($A183&lt;'Recurring Schedule'!$F$8,$A183&gt;'Recurring Schedule'!$P$8),"",IF(IF('Recurring Schedule'!$N$8&gt;0,MOD($A183-'Recurring Schedule'!$F$8,'Recurring Schedule'!$N$8)=0,IF('Recurring Schedule'!$O$8&gt;0,AND(DAY($A183)=MIN(DAY('Recurring Schedule'!$F$8),DAY(EOMONTH($A183,0))),MOD((YEAR($A183)-YEAR('Recurring Schedule'!$F$8))*12+MONTH($A183)-MONTH('Recurring Schedule'!$F$8),'Recurring Schedule'!$O$8)=0),IF('Recurring Schedule'!$E$8="Weekdays",WEEKDAY($A183,2)&lt;=5,$A183='Recurring Schedule'!$F$8))),3,""))))</f>
        <v/>
      </c>
      <c r="E183">
        <f>IF('Recurring Schedule'!$C$9="","",IF('Recurring Schedule'!$F$9="","",IF(OR($A183&lt;'Recurring Schedule'!$F$9,$A183&gt;'Recurring Schedule'!$P$9),"",IF(IF('Recurring Schedule'!$N$9&gt;0,MOD($A183-'Recurring Schedule'!$F$9,'Recurring Schedule'!$N$9)=0,IF('Recurring Schedule'!$O$9&gt;0,AND(DAY($A183)=MIN(DAY('Recurring Schedule'!$F$9),DAY(EOMONTH($A183,0))),MOD((YEAR($A183)-YEAR('Recurring Schedule'!$F$9))*12+MONTH($A183)-MONTH('Recurring Schedule'!$F$9),'Recurring Schedule'!$O$9)=0),IF('Recurring Schedule'!$E$9="Weekdays",WEEKDAY($A183,2)&lt;=5,$A183='Recurring Schedule'!$F$9))),4,""))))</f>
        <v/>
      </c>
      <c r="F183">
        <f>IF('Recurring Schedule'!$C$10="","",IF('Recurring Schedule'!$F$10="","",IF(OR($A183&lt;'Recurring Schedule'!$F$10,$A183&gt;'Recurring Schedule'!$P$10),"",IF(IF('Recurring Schedule'!$N$10&gt;0,MOD($A183-'Recurring Schedule'!$F$10,'Recurring Schedule'!$N$10)=0,IF('Recurring Schedule'!$O$10&gt;0,AND(DAY($A183)=MIN(DAY('Recurring Schedule'!$F$10),DAY(EOMONTH($A183,0))),MOD((YEAR($A183)-YEAR('Recurring Schedule'!$F$10))*12+MONTH($A183)-MONTH('Recurring Schedule'!$F$10),'Recurring Schedule'!$O$10)=0),IF('Recurring Schedule'!$E$10="Weekdays",WEEKDAY($A183,2)&lt;=5,$A183='Recurring Schedule'!$F$10))),5,""))))</f>
        <v/>
      </c>
      <c r="G183">
        <f>IF('Recurring Schedule'!$C$11="","",IF('Recurring Schedule'!$F$11="","",IF(OR($A183&lt;'Recurring Schedule'!$F$11,$A183&gt;'Recurring Schedule'!$P$11),"",IF(IF('Recurring Schedule'!$N$11&gt;0,MOD($A183-'Recurring Schedule'!$F$11,'Recurring Schedule'!$N$11)=0,IF('Recurring Schedule'!$O$11&gt;0,AND(DAY($A183)=MIN(DAY('Recurring Schedule'!$F$11),DAY(EOMONTH($A183,0))),MOD((YEAR($A183)-YEAR('Recurring Schedule'!$F$11))*12+MONTH($A183)-MONTH('Recurring Schedule'!$F$11),'Recurring Schedule'!$O$11)=0),IF('Recurring Schedule'!$E$11="Weekdays",WEEKDAY($A183,2)&lt;=5,$A183='Recurring Schedule'!$F$11))),6,""))))</f>
        <v/>
      </c>
      <c r="H183">
        <f>IF('Recurring Schedule'!$C$12="","",IF('Recurring Schedule'!$F$12="","",IF(OR($A183&lt;'Recurring Schedule'!$F$12,$A183&gt;'Recurring Schedule'!$P$12),"",IF(IF('Recurring Schedule'!$N$12&gt;0,MOD($A183-'Recurring Schedule'!$F$12,'Recurring Schedule'!$N$12)=0,IF('Recurring Schedule'!$O$12&gt;0,AND(DAY($A183)=MIN(DAY('Recurring Schedule'!$F$12),DAY(EOMONTH($A183,0))),MOD((YEAR($A183)-YEAR('Recurring Schedule'!$F$12))*12+MONTH($A183)-MONTH('Recurring Schedule'!$F$12),'Recurring Schedule'!$O$12)=0),IF('Recurring Schedule'!$E$12="Weekdays",WEEKDAY($A183,2)&lt;=5,$A183='Recurring Schedule'!$F$12))),7,""))))</f>
        <v/>
      </c>
      <c r="I183">
        <f>IF('Recurring Schedule'!$C$13="","",IF('Recurring Schedule'!$F$13="","",IF(OR($A183&lt;'Recurring Schedule'!$F$13,$A183&gt;'Recurring Schedule'!$P$13),"",IF(IF('Recurring Schedule'!$N$13&gt;0,MOD($A183-'Recurring Schedule'!$F$13,'Recurring Schedule'!$N$13)=0,IF('Recurring Schedule'!$O$13&gt;0,AND(DAY($A183)=MIN(DAY('Recurring Schedule'!$F$13),DAY(EOMONTH($A183,0))),MOD((YEAR($A183)-YEAR('Recurring Schedule'!$F$13))*12+MONTH($A183)-MONTH('Recurring Schedule'!$F$13),'Recurring Schedule'!$O$13)=0),IF('Recurring Schedule'!$E$13="Weekdays",WEEKDAY($A183,2)&lt;=5,$A183='Recurring Schedule'!$F$13))),8,""))))</f>
        <v/>
      </c>
      <c r="J183">
        <f>IF('Recurring Schedule'!$C$14="","",IF('Recurring Schedule'!$F$14="","",IF(OR($A183&lt;'Recurring Schedule'!$F$14,$A183&gt;'Recurring Schedule'!$P$14),"",IF(IF('Recurring Schedule'!$N$14&gt;0,MOD($A183-'Recurring Schedule'!$F$14,'Recurring Schedule'!$N$14)=0,IF('Recurring Schedule'!$O$14&gt;0,AND(DAY($A183)=MIN(DAY('Recurring Schedule'!$F$14),DAY(EOMONTH($A183,0))),MOD((YEAR($A183)-YEAR('Recurring Schedule'!$F$14))*12+MONTH($A183)-MONTH('Recurring Schedule'!$F$14),'Recurring Schedule'!$O$14)=0),IF('Recurring Schedule'!$E$14="Weekdays",WEEKDAY($A183,2)&lt;=5,$A183='Recurring Schedule'!$F$14))),9,""))))</f>
        <v/>
      </c>
      <c r="K183">
        <f>IF('Recurring Schedule'!$C$15="","",IF('Recurring Schedule'!$F$15="","",IF(OR($A183&lt;'Recurring Schedule'!$F$15,$A183&gt;'Recurring Schedule'!$P$15),"",IF(IF('Recurring Schedule'!$N$15&gt;0,MOD($A183-'Recurring Schedule'!$F$15,'Recurring Schedule'!$N$15)=0,IF('Recurring Schedule'!$O$15&gt;0,AND(DAY($A183)=MIN(DAY('Recurring Schedule'!$F$15),DAY(EOMONTH($A183,0))),MOD((YEAR($A183)-YEAR('Recurring Schedule'!$F$15))*12+MONTH($A183)-MONTH('Recurring Schedule'!$F$15),'Recurring Schedule'!$O$15)=0),IF('Recurring Schedule'!$E$15="Weekdays",WEEKDAY($A183,2)&lt;=5,$A183='Recurring Schedule'!$F$15))),10,""))))</f>
        <v/>
      </c>
      <c r="L183">
        <f>IF('Recurring Schedule'!$C$16="","",IF('Recurring Schedule'!$F$16="","",IF(OR($A183&lt;'Recurring Schedule'!$F$16,$A183&gt;'Recurring Schedule'!$P$16),"",IF(IF('Recurring Schedule'!$N$16&gt;0,MOD($A183-'Recurring Schedule'!$F$16,'Recurring Schedule'!$N$16)=0,IF('Recurring Schedule'!$O$16&gt;0,AND(DAY($A183)=MIN(DAY('Recurring Schedule'!$F$16),DAY(EOMONTH($A183,0))),MOD((YEAR($A183)-YEAR('Recurring Schedule'!$F$16))*12+MONTH($A183)-MONTH('Recurring Schedule'!$F$16),'Recurring Schedule'!$O$16)=0),IF('Recurring Schedule'!$E$16="Weekdays",WEEKDAY($A183,2)&lt;=5,$A183='Recurring Schedule'!$F$16))),11,""))))</f>
        <v/>
      </c>
      <c r="M183">
        <f>IF('Recurring Schedule'!$C$17="","",IF('Recurring Schedule'!$F$17="","",IF(OR($A183&lt;'Recurring Schedule'!$F$17,$A183&gt;'Recurring Schedule'!$P$17),"",IF(IF('Recurring Schedule'!$N$17&gt;0,MOD($A183-'Recurring Schedule'!$F$17,'Recurring Schedule'!$N$17)=0,IF('Recurring Schedule'!$O$17&gt;0,AND(DAY($A183)=MIN(DAY('Recurring Schedule'!$F$17),DAY(EOMONTH($A183,0))),MOD((YEAR($A183)-YEAR('Recurring Schedule'!$F$17))*12+MONTH($A183)-MONTH('Recurring Schedule'!$F$17),'Recurring Schedule'!$O$17)=0),IF('Recurring Schedule'!$E$17="Weekdays",WEEKDAY($A183,2)&lt;=5,$A183='Recurring Schedule'!$F$17))),12,""))))</f>
        <v/>
      </c>
      <c r="N183">
        <f>IF('Recurring Schedule'!$C$18="","",IF('Recurring Schedule'!$F$18="","",IF(OR($A183&lt;'Recurring Schedule'!$F$18,$A183&gt;'Recurring Schedule'!$P$18),"",IF(IF('Recurring Schedule'!$N$18&gt;0,MOD($A183-'Recurring Schedule'!$F$18,'Recurring Schedule'!$N$18)=0,IF('Recurring Schedule'!$O$18&gt;0,AND(DAY($A183)=MIN(DAY('Recurring Schedule'!$F$18),DAY(EOMONTH($A183,0))),MOD((YEAR($A183)-YEAR('Recurring Schedule'!$F$18))*12+MONTH($A183)-MONTH('Recurring Schedule'!$F$18),'Recurring Schedule'!$O$18)=0),IF('Recurring Schedule'!$E$18="Weekdays",WEEKDAY($A183,2)&lt;=5,$A183='Recurring Schedule'!$F$18))),13,""))))</f>
        <v/>
      </c>
      <c r="O183">
        <f>IF('Recurring Schedule'!$C$19="","",IF('Recurring Schedule'!$F$19="","",IF(OR($A183&lt;'Recurring Schedule'!$F$19,$A183&gt;'Recurring Schedule'!$P$19),"",IF(IF('Recurring Schedule'!$N$19&gt;0,MOD($A183-'Recurring Schedule'!$F$19,'Recurring Schedule'!$N$19)=0,IF('Recurring Schedule'!$O$19&gt;0,AND(DAY($A183)=MIN(DAY('Recurring Schedule'!$F$19),DAY(EOMONTH($A183,0))),MOD((YEAR($A183)-YEAR('Recurring Schedule'!$F$19))*12+MONTH($A183)-MONTH('Recurring Schedule'!$F$19),'Recurring Schedule'!$O$19)=0),IF('Recurring Schedule'!$E$19="Weekdays",WEEKDAY($A183,2)&lt;=5,$A183='Recurring Schedule'!$F$19))),14,""))))</f>
        <v/>
      </c>
      <c r="P183">
        <f>IF('Recurring Schedule'!$C$20="","",IF('Recurring Schedule'!$F$20="","",IF(OR($A183&lt;'Recurring Schedule'!$F$20,$A183&gt;'Recurring Schedule'!$P$20),"",IF(IF('Recurring Schedule'!$N$20&gt;0,MOD($A183-'Recurring Schedule'!$F$20,'Recurring Schedule'!$N$20)=0,IF('Recurring Schedule'!$O$20&gt;0,AND(DAY($A183)=MIN(DAY('Recurring Schedule'!$F$20),DAY(EOMONTH($A183,0))),MOD((YEAR($A183)-YEAR('Recurring Schedule'!$F$20))*12+MONTH($A183)-MONTH('Recurring Schedule'!$F$20),'Recurring Schedule'!$O$20)=0),IF('Recurring Schedule'!$E$20="Weekdays",WEEKDAY($A183,2)&lt;=5,$A183='Recurring Schedule'!$F$20))),15,""))))</f>
        <v/>
      </c>
      <c r="Q183">
        <f>IF('Recurring Schedule'!$C$21="","",IF('Recurring Schedule'!$F$21="","",IF(OR($A183&lt;'Recurring Schedule'!$F$21,$A183&gt;'Recurring Schedule'!$P$21),"",IF(IF('Recurring Schedule'!$N$21&gt;0,MOD($A183-'Recurring Schedule'!$F$21,'Recurring Schedule'!$N$21)=0,IF('Recurring Schedule'!$O$21&gt;0,AND(DAY($A183)=MIN(DAY('Recurring Schedule'!$F$21),DAY(EOMONTH($A183,0))),MOD((YEAR($A183)-YEAR('Recurring Schedule'!$F$21))*12+MONTH($A183)-MONTH('Recurring Schedule'!$F$21),'Recurring Schedule'!$O$21)=0),IF('Recurring Schedule'!$E$21="Weekdays",WEEKDAY($A183,2)&lt;=5,$A183='Recurring Schedule'!$F$21))),16,""))))</f>
        <v/>
      </c>
      <c r="R183">
        <f>IF('Recurring Schedule'!$C$22="","",IF('Recurring Schedule'!$F$22="","",IF(OR($A183&lt;'Recurring Schedule'!$F$22,$A183&gt;'Recurring Schedule'!$P$22),"",IF(IF('Recurring Schedule'!$N$22&gt;0,MOD($A183-'Recurring Schedule'!$F$22,'Recurring Schedule'!$N$22)=0,IF('Recurring Schedule'!$O$22&gt;0,AND(DAY($A183)=MIN(DAY('Recurring Schedule'!$F$22),DAY(EOMONTH($A183,0))),MOD((YEAR($A183)-YEAR('Recurring Schedule'!$F$22))*12+MONTH($A183)-MONTH('Recurring Schedule'!$F$22),'Recurring Schedule'!$O$22)=0),IF('Recurring Schedule'!$E$22="Weekdays",WEEKDAY($A183,2)&lt;=5,$A183='Recurring Schedule'!$F$22))),17,""))))</f>
        <v/>
      </c>
      <c r="S183">
        <f>IF('Recurring Schedule'!$C$23="","",IF('Recurring Schedule'!$F$23="","",IF(OR($A183&lt;'Recurring Schedule'!$F$23,$A183&gt;'Recurring Schedule'!$P$23),"",IF(IF('Recurring Schedule'!$N$23&gt;0,MOD($A183-'Recurring Schedule'!$F$23,'Recurring Schedule'!$N$23)=0,IF('Recurring Schedule'!$O$23&gt;0,AND(DAY($A183)=MIN(DAY('Recurring Schedule'!$F$23),DAY(EOMONTH($A183,0))),MOD((YEAR($A183)-YEAR('Recurring Schedule'!$F$23))*12+MONTH($A183)-MONTH('Recurring Schedule'!$F$23),'Recurring Schedule'!$O$23)=0),IF('Recurring Schedule'!$E$23="Weekdays",WEEKDAY($A183,2)&lt;=5,$A183='Recurring Schedule'!$F$23))),18,""))))</f>
        <v/>
      </c>
      <c r="T183">
        <f>IF('Recurring Schedule'!$C$24="","",IF('Recurring Schedule'!$F$24="","",IF(OR($A183&lt;'Recurring Schedule'!$F$24,$A183&gt;'Recurring Schedule'!$P$24),"",IF(IF('Recurring Schedule'!$N$24&gt;0,MOD($A183-'Recurring Schedule'!$F$24,'Recurring Schedule'!$N$24)=0,IF('Recurring Schedule'!$O$24&gt;0,AND(DAY($A183)=MIN(DAY('Recurring Schedule'!$F$24),DAY(EOMONTH($A183,0))),MOD((YEAR($A183)-YEAR('Recurring Schedule'!$F$24))*12+MONTH($A183)-MONTH('Recurring Schedule'!$F$24),'Recurring Schedule'!$O$24)=0),IF('Recurring Schedule'!$E$24="Weekdays",WEEKDAY($A183,2)&lt;=5,$A183='Recurring Schedule'!$F$24))),19,""))))</f>
        <v/>
      </c>
      <c r="U183">
        <f>IF('Recurring Schedule'!$C$25="","",IF('Recurring Schedule'!$F$25="","",IF(OR($A183&lt;'Recurring Schedule'!$F$25,$A183&gt;'Recurring Schedule'!$P$25),"",IF(IF('Recurring Schedule'!$N$25&gt;0,MOD($A183-'Recurring Schedule'!$F$25,'Recurring Schedule'!$N$25)=0,IF('Recurring Schedule'!$O$25&gt;0,AND(DAY($A183)=MIN(DAY('Recurring Schedule'!$F$25),DAY(EOMONTH($A183,0))),MOD((YEAR($A183)-YEAR('Recurring Schedule'!$F$25))*12+MONTH($A183)-MONTH('Recurring Schedule'!$F$25),'Recurring Schedule'!$O$25)=0),IF('Recurring Schedule'!$E$25="Weekdays",WEEKDAY($A183,2)&lt;=5,$A183='Recurring Schedule'!$F$25))),20,""))))</f>
        <v/>
      </c>
      <c r="V183">
        <f>IF('Recurring Schedule'!$C$26="","",IF('Recurring Schedule'!$F$26="","",IF(OR($A183&lt;'Recurring Schedule'!$F$26,$A183&gt;'Recurring Schedule'!$P$26),"",IF(IF('Recurring Schedule'!$N$26&gt;0,MOD($A183-'Recurring Schedule'!$F$26,'Recurring Schedule'!$N$26)=0,IF('Recurring Schedule'!$O$26&gt;0,AND(DAY($A183)=MIN(DAY('Recurring Schedule'!$F$26),DAY(EOMONTH($A183,0))),MOD((YEAR($A183)-YEAR('Recurring Schedule'!$F$26))*12+MONTH($A183)-MONTH('Recurring Schedule'!$F$26),'Recurring Schedule'!$O$26)=0),IF('Recurring Schedule'!$E$26="Weekdays",WEEKDAY($A183,2)&lt;=5,$A183='Recurring Schedule'!$F$26))),21,""))))</f>
        <v/>
      </c>
      <c r="W183">
        <f>IF('Recurring Schedule'!$C$27="","",IF('Recurring Schedule'!$F$27="","",IF(OR($A183&lt;'Recurring Schedule'!$F$27,$A183&gt;'Recurring Schedule'!$P$27),"",IF(IF('Recurring Schedule'!$N$27&gt;0,MOD($A183-'Recurring Schedule'!$F$27,'Recurring Schedule'!$N$27)=0,IF('Recurring Schedule'!$O$27&gt;0,AND(DAY($A183)=MIN(DAY('Recurring Schedule'!$F$27),DAY(EOMONTH($A183,0))),MOD((YEAR($A183)-YEAR('Recurring Schedule'!$F$27))*12+MONTH($A183)-MONTH('Recurring Schedule'!$F$27),'Recurring Schedule'!$O$27)=0),IF('Recurring Schedule'!$E$27="Weekdays",WEEKDAY($A183,2)&lt;=5,$A183='Recurring Schedule'!$F$27))),22,""))))</f>
        <v/>
      </c>
      <c r="X183">
        <f>IF('Recurring Schedule'!$C$28="","",IF('Recurring Schedule'!$F$28="","",IF(OR($A183&lt;'Recurring Schedule'!$F$28,$A183&gt;'Recurring Schedule'!$P$28),"",IF(IF('Recurring Schedule'!$N$28&gt;0,MOD($A183-'Recurring Schedule'!$F$28,'Recurring Schedule'!$N$28)=0,IF('Recurring Schedule'!$O$28&gt;0,AND(DAY($A183)=MIN(DAY('Recurring Schedule'!$F$28),DAY(EOMONTH($A183,0))),MOD((YEAR($A183)-YEAR('Recurring Schedule'!$F$28))*12+MONTH($A183)-MONTH('Recurring Schedule'!$F$28),'Recurring Schedule'!$O$28)=0),IF('Recurring Schedule'!$E$28="Weekdays",WEEKDAY($A183,2)&lt;=5,$A183='Recurring Schedule'!$F$28))),23,""))))</f>
        <v/>
      </c>
      <c r="Y183">
        <f>IF('Recurring Schedule'!$C$29="","",IF('Recurring Schedule'!$F$29="","",IF(OR($A183&lt;'Recurring Schedule'!$F$29,$A183&gt;'Recurring Schedule'!$P$29),"",IF(IF('Recurring Schedule'!$N$29&gt;0,MOD($A183-'Recurring Schedule'!$F$29,'Recurring Schedule'!$N$29)=0,IF('Recurring Schedule'!$O$29&gt;0,AND(DAY($A183)=MIN(DAY('Recurring Schedule'!$F$29),DAY(EOMONTH($A183,0))),MOD((YEAR($A183)-YEAR('Recurring Schedule'!$F$29))*12+MONTH($A183)-MONTH('Recurring Schedule'!$F$29),'Recurring Schedule'!$O$29)=0),IF('Recurring Schedule'!$E$29="Weekdays",WEEKDAY($A183,2)&lt;=5,$A183='Recurring Schedule'!$F$29))),24,""))))</f>
        <v/>
      </c>
      <c r="Z183">
        <f>IF('Recurring Schedule'!$C$30="","",IF('Recurring Schedule'!$F$30="","",IF(OR($A183&lt;'Recurring Schedule'!$F$30,$A183&gt;'Recurring Schedule'!$P$30),"",IF(IF('Recurring Schedule'!$N$30&gt;0,MOD($A183-'Recurring Schedule'!$F$30,'Recurring Schedule'!$N$30)=0,IF('Recurring Schedule'!$O$30&gt;0,AND(DAY($A183)=MIN(DAY('Recurring Schedule'!$F$30),DAY(EOMONTH($A183,0))),MOD((YEAR($A183)-YEAR('Recurring Schedule'!$F$30))*12+MONTH($A183)-MONTH('Recurring Schedule'!$F$30),'Recurring Schedule'!$O$30)=0),IF('Recurring Schedule'!$E$30="Weekdays",WEEKDAY($A183,2)&lt;=5,$A183='Recurring Schedule'!$F$30))),25,""))))</f>
        <v/>
      </c>
      <c r="AA183">
        <f>IF('Recurring Schedule'!$C$31="","",IF('Recurring Schedule'!$F$31="","",IF(OR($A183&lt;'Recurring Schedule'!$F$31,$A183&gt;'Recurring Schedule'!$P$31),"",IF(IF('Recurring Schedule'!$N$31&gt;0,MOD($A183-'Recurring Schedule'!$F$31,'Recurring Schedule'!$N$31)=0,IF('Recurring Schedule'!$O$31&gt;0,AND(DAY($A183)=MIN(DAY('Recurring Schedule'!$F$31),DAY(EOMONTH($A183,0))),MOD((YEAR($A183)-YEAR('Recurring Schedule'!$F$31))*12+MONTH($A183)-MONTH('Recurring Schedule'!$F$31),'Recurring Schedule'!$O$31)=0),IF('Recurring Schedule'!$E$31="Weekdays",WEEKDAY($A183,2)&lt;=5,$A183='Recurring Schedule'!$F$31))),26,""))))</f>
        <v/>
      </c>
      <c r="AB183">
        <f>IF('Recurring Schedule'!$C$32="","",IF('Recurring Schedule'!$F$32="","",IF(OR($A183&lt;'Recurring Schedule'!$F$32,$A183&gt;'Recurring Schedule'!$P$32),"",IF(IF('Recurring Schedule'!$N$32&gt;0,MOD($A183-'Recurring Schedule'!$F$32,'Recurring Schedule'!$N$32)=0,IF('Recurring Schedule'!$O$32&gt;0,AND(DAY($A183)=MIN(DAY('Recurring Schedule'!$F$32),DAY(EOMONTH($A183,0))),MOD((YEAR($A183)-YEAR('Recurring Schedule'!$F$32))*12+MONTH($A183)-MONTH('Recurring Schedule'!$F$32),'Recurring Schedule'!$O$32)=0),IF('Recurring Schedule'!$E$32="Weekdays",WEEKDAY($A183,2)&lt;=5,$A183='Recurring Schedule'!$F$32))),27,""))))</f>
        <v/>
      </c>
      <c r="AC183">
        <f>IF('Recurring Schedule'!$C$33="","",IF('Recurring Schedule'!$F$33="","",IF(OR($A183&lt;'Recurring Schedule'!$F$33,$A183&gt;'Recurring Schedule'!$P$33),"",IF(IF('Recurring Schedule'!$N$33&gt;0,MOD($A183-'Recurring Schedule'!$F$33,'Recurring Schedule'!$N$33)=0,IF('Recurring Schedule'!$O$33&gt;0,AND(DAY($A183)=MIN(DAY('Recurring Schedule'!$F$33),DAY(EOMONTH($A183,0))),MOD((YEAR($A183)-YEAR('Recurring Schedule'!$F$33))*12+MONTH($A183)-MONTH('Recurring Schedule'!$F$33),'Recurring Schedule'!$O$33)=0),IF('Recurring Schedule'!$E$33="Weekdays",WEEKDAY($A183,2)&lt;=5,$A183='Recurring Schedule'!$F$33))),28,""))))</f>
        <v/>
      </c>
      <c r="AD183">
        <f>IF('Recurring Schedule'!$C$34="","",IF('Recurring Schedule'!$F$34="","",IF(OR($A183&lt;'Recurring Schedule'!$F$34,$A183&gt;'Recurring Schedule'!$P$34),"",IF(IF('Recurring Schedule'!$N$34&gt;0,MOD($A183-'Recurring Schedule'!$F$34,'Recurring Schedule'!$N$34)=0,IF('Recurring Schedule'!$O$34&gt;0,AND(DAY($A183)=MIN(DAY('Recurring Schedule'!$F$34),DAY(EOMONTH($A183,0))),MOD((YEAR($A183)-YEAR('Recurring Schedule'!$F$34))*12+MONTH($A183)-MONTH('Recurring Schedule'!$F$34),'Recurring Schedule'!$O$34)=0),IF('Recurring Schedule'!$E$34="Weekdays",WEEKDAY($A183,2)&lt;=5,$A183='Recurring Schedule'!$F$34))),29,""))))</f>
        <v/>
      </c>
      <c r="AE183">
        <f>IF('Recurring Schedule'!$C$35="","",IF('Recurring Schedule'!$F$35="","",IF(OR($A183&lt;'Recurring Schedule'!$F$35,$A183&gt;'Recurring Schedule'!$P$35),"",IF(IF('Recurring Schedule'!$N$35&gt;0,MOD($A183-'Recurring Schedule'!$F$35,'Recurring Schedule'!$N$35)=0,IF('Recurring Schedule'!$O$35&gt;0,AND(DAY($A183)=MIN(DAY('Recurring Schedule'!$F$35),DAY(EOMONTH($A183,0))),MOD((YEAR($A183)-YEAR('Recurring Schedule'!$F$35))*12+MONTH($A183)-MONTH('Recurring Schedule'!$F$35),'Recurring Schedule'!$O$35)=0),IF('Recurring Schedule'!$E$35="Weekdays",WEEKDAY($A183,2)&lt;=5,$A183='Recurring Schedule'!$F$35))),30,""))))</f>
        <v/>
      </c>
      <c r="AF183">
        <f>IF('Recurring Schedule'!$C$36="","",IF('Recurring Schedule'!$F$36="","",IF(OR($A183&lt;'Recurring Schedule'!$F$36,$A183&gt;'Recurring Schedule'!$P$36),"",IF(IF('Recurring Schedule'!$N$36&gt;0,MOD($A183-'Recurring Schedule'!$F$36,'Recurring Schedule'!$N$36)=0,IF('Recurring Schedule'!$O$36&gt;0,AND(DAY($A183)=MIN(DAY('Recurring Schedule'!$F$36),DAY(EOMONTH($A183,0))),MOD((YEAR($A183)-YEAR('Recurring Schedule'!$F$36))*12+MONTH($A183)-MONTH('Recurring Schedule'!$F$36),'Recurring Schedule'!$O$36)=0),IF('Recurring Schedule'!$E$36="Weekdays",WEEKDAY($A183,2)&lt;=5,$A183='Recurring Schedule'!$F$36))),31,""))))</f>
        <v/>
      </c>
      <c r="AG183">
        <f>IF('Recurring Schedule'!$C$37="","",IF('Recurring Schedule'!$F$37="","",IF(OR($A183&lt;'Recurring Schedule'!$F$37,$A183&gt;'Recurring Schedule'!$P$37),"",IF(IF('Recurring Schedule'!$N$37&gt;0,MOD($A183-'Recurring Schedule'!$F$37,'Recurring Schedule'!$N$37)=0,IF('Recurring Schedule'!$O$37&gt;0,AND(DAY($A183)=MIN(DAY('Recurring Schedule'!$F$37),DAY(EOMONTH($A183,0))),MOD((YEAR($A183)-YEAR('Recurring Schedule'!$F$37))*12+MONTH($A183)-MONTH('Recurring Schedule'!$F$37),'Recurring Schedule'!$O$37)=0),IF('Recurring Schedule'!$E$37="Weekdays",WEEKDAY($A183,2)&lt;=5,$A183='Recurring Schedule'!$F$37))),32,""))))</f>
        <v/>
      </c>
      <c r="AH183">
        <f>IF('Recurring Schedule'!$C$38="","",IF('Recurring Schedule'!$F$38="","",IF(OR($A183&lt;'Recurring Schedule'!$F$38,$A183&gt;'Recurring Schedule'!$P$38),"",IF(IF('Recurring Schedule'!$N$38&gt;0,MOD($A183-'Recurring Schedule'!$F$38,'Recurring Schedule'!$N$38)=0,IF('Recurring Schedule'!$O$38&gt;0,AND(DAY($A183)=MIN(DAY('Recurring Schedule'!$F$38),DAY(EOMONTH($A183,0))),MOD((YEAR($A183)-YEAR('Recurring Schedule'!$F$38))*12+MONTH($A183)-MONTH('Recurring Schedule'!$F$38),'Recurring Schedule'!$O$38)=0),IF('Recurring Schedule'!$E$38="Weekdays",WEEKDAY($A183,2)&lt;=5,$A183='Recurring Schedule'!$F$38))),33,""))))</f>
        <v/>
      </c>
      <c r="AI183">
        <f>IF('Recurring Schedule'!$C$39="","",IF('Recurring Schedule'!$F$39="","",IF(OR($A183&lt;'Recurring Schedule'!$F$39,$A183&gt;'Recurring Schedule'!$P$39),"",IF(IF('Recurring Schedule'!$N$39&gt;0,MOD($A183-'Recurring Schedule'!$F$39,'Recurring Schedule'!$N$39)=0,IF('Recurring Schedule'!$O$39&gt;0,AND(DAY($A183)=MIN(DAY('Recurring Schedule'!$F$39),DAY(EOMONTH($A183,0))),MOD((YEAR($A183)-YEAR('Recurring Schedule'!$F$39))*12+MONTH($A183)-MONTH('Recurring Schedule'!$F$39),'Recurring Schedule'!$O$39)=0),IF('Recurring Schedule'!$E$39="Weekdays",WEEKDAY($A183,2)&lt;=5,$A183='Recurring Schedule'!$F$39))),34,""))))</f>
        <v/>
      </c>
      <c r="AJ183">
        <f>IF('Recurring Schedule'!$C$40="","",IF('Recurring Schedule'!$F$40="","",IF(OR($A183&lt;'Recurring Schedule'!$F$40,$A183&gt;'Recurring Schedule'!$P$40),"",IF(IF('Recurring Schedule'!$N$40&gt;0,MOD($A183-'Recurring Schedule'!$F$40,'Recurring Schedule'!$N$40)=0,IF('Recurring Schedule'!$O$40&gt;0,AND(DAY($A183)=MIN(DAY('Recurring Schedule'!$F$40),DAY(EOMONTH($A183,0))),MOD((YEAR($A183)-YEAR('Recurring Schedule'!$F$40))*12+MONTH($A183)-MONTH('Recurring Schedule'!$F$40),'Recurring Schedule'!$O$40)=0),IF('Recurring Schedule'!$E$40="Weekdays",WEEKDAY($A183,2)&lt;=5,$A183='Recurring Schedule'!$F$40))),35,""))))</f>
        <v/>
      </c>
      <c r="AK183">
        <f>IF('Recurring Schedule'!$C$41="","",IF('Recurring Schedule'!$F$41="","",IF(OR($A183&lt;'Recurring Schedule'!$F$41,$A183&gt;'Recurring Schedule'!$P$41),"",IF(IF('Recurring Schedule'!$N$41&gt;0,MOD($A183-'Recurring Schedule'!$F$41,'Recurring Schedule'!$N$41)=0,IF('Recurring Schedule'!$O$41&gt;0,AND(DAY($A183)=MIN(DAY('Recurring Schedule'!$F$41),DAY(EOMONTH($A183,0))),MOD((YEAR($A183)-YEAR('Recurring Schedule'!$F$41))*12+MONTH($A183)-MONTH('Recurring Schedule'!$F$41),'Recurring Schedule'!$O$41)=0),IF('Recurring Schedule'!$E$41="Weekdays",WEEKDAY($A183,2)&lt;=5,$A183='Recurring Schedule'!$F$41))),36,""))))</f>
        <v/>
      </c>
      <c r="AL183">
        <f>IF('Recurring Schedule'!$C$42="","",IF('Recurring Schedule'!$F$42="","",IF(OR($A183&lt;'Recurring Schedule'!$F$42,$A183&gt;'Recurring Schedule'!$P$42),"",IF(IF('Recurring Schedule'!$N$42&gt;0,MOD($A183-'Recurring Schedule'!$F$42,'Recurring Schedule'!$N$42)=0,IF('Recurring Schedule'!$O$42&gt;0,AND(DAY($A183)=MIN(DAY('Recurring Schedule'!$F$42),DAY(EOMONTH($A183,0))),MOD((YEAR($A183)-YEAR('Recurring Schedule'!$F$42))*12+MONTH($A183)-MONTH('Recurring Schedule'!$F$42),'Recurring Schedule'!$O$42)=0),IF('Recurring Schedule'!$E$42="Weekdays",WEEKDAY($A183,2)&lt;=5,$A183='Recurring Schedule'!$F$42))),37,""))))</f>
        <v/>
      </c>
      <c r="AM183">
        <f>IF('Recurring Schedule'!$C$43="","",IF('Recurring Schedule'!$F$43="","",IF(OR($A183&lt;'Recurring Schedule'!$F$43,$A183&gt;'Recurring Schedule'!$P$43),"",IF(IF('Recurring Schedule'!$N$43&gt;0,MOD($A183-'Recurring Schedule'!$F$43,'Recurring Schedule'!$N$43)=0,IF('Recurring Schedule'!$O$43&gt;0,AND(DAY($A183)=MIN(DAY('Recurring Schedule'!$F$43),DAY(EOMONTH($A183,0))),MOD((YEAR($A183)-YEAR('Recurring Schedule'!$F$43))*12+MONTH($A183)-MONTH('Recurring Schedule'!$F$43),'Recurring Schedule'!$O$43)=0),IF('Recurring Schedule'!$E$43="Weekdays",WEEKDAY($A183,2)&lt;=5,$A183='Recurring Schedule'!$F$43))),38,""))))</f>
        <v/>
      </c>
      <c r="AN183">
        <f>IF('Recurring Schedule'!$C$44="","",IF('Recurring Schedule'!$F$44="","",IF(OR($A183&lt;'Recurring Schedule'!$F$44,$A183&gt;'Recurring Schedule'!$P$44),"",IF(IF('Recurring Schedule'!$N$44&gt;0,MOD($A183-'Recurring Schedule'!$F$44,'Recurring Schedule'!$N$44)=0,IF('Recurring Schedule'!$O$44&gt;0,AND(DAY($A183)=MIN(DAY('Recurring Schedule'!$F$44),DAY(EOMONTH($A183,0))),MOD((YEAR($A183)-YEAR('Recurring Schedule'!$F$44))*12+MONTH($A183)-MONTH('Recurring Schedule'!$F$44),'Recurring Schedule'!$O$44)=0),IF('Recurring Schedule'!$E$44="Weekdays",WEEKDAY($A183,2)&lt;=5,$A183='Recurring Schedule'!$F$44))),39,""))))</f>
        <v/>
      </c>
      <c r="AO183">
        <f>IF('Recurring Schedule'!$C$45="","",IF('Recurring Schedule'!$F$45="","",IF(OR($A183&lt;'Recurring Schedule'!$F$45,$A183&gt;'Recurring Schedule'!$P$45),"",IF(IF('Recurring Schedule'!$N$45&gt;0,MOD($A183-'Recurring Schedule'!$F$45,'Recurring Schedule'!$N$45)=0,IF('Recurring Schedule'!$O$45&gt;0,AND(DAY($A183)=MIN(DAY('Recurring Schedule'!$F$45),DAY(EOMONTH($A183,0))),MOD((YEAR($A183)-YEAR('Recurring Schedule'!$F$45))*12+MONTH($A183)-MONTH('Recurring Schedule'!$F$45),'Recurring Schedule'!$O$45)=0),IF('Recurring Schedule'!$E$45="Weekdays",WEEKDAY($A183,2)&lt;=5,$A183='Recurring Schedule'!$F$45))),40,""))))</f>
        <v/>
      </c>
      <c r="AP183">
        <f>COUNT(B183:AO183)</f>
        <v/>
      </c>
      <c r="AQ183">
        <f>AQ182+AP182</f>
        <v/>
      </c>
      <c r="AS183" t="inlineStr">
        <is>
          <t>R</t>
        </is>
      </c>
      <c r="AT183" t="n">
        <v>187</v>
      </c>
      <c r="AU183">
        <f>'Recurring Log'!C187&amp;""</f>
        <v/>
      </c>
      <c r="AV183">
        <f>'Recurring Log'!D187&amp;""</f>
        <v/>
      </c>
      <c r="AW183">
        <f>IF('Recurring Log'!E187="","",'Recurring Log'!E187)</f>
        <v/>
      </c>
      <c r="AX183">
        <f>IF('Recurring Log'!G187="","",'Recurring Log'!G187)</f>
        <v/>
      </c>
      <c r="AY183">
        <f>IF('Recurring Log'!H187="","",'Recurring Log'!H187)</f>
        <v/>
      </c>
      <c r="AZ183">
        <f>IF(AU183="","",IF('Recurring Log'!J187="","Not Started",'Recurring Log'!J187))</f>
        <v/>
      </c>
      <c r="BA183">
        <f>'Recurring Log'!L187&amp;""</f>
        <v/>
      </c>
      <c r="BB183">
        <f>'Recurring Log'!M187&amp;""</f>
        <v/>
      </c>
      <c r="BC183">
        <f>'Recurring Log'!N187&amp;""</f>
        <v/>
      </c>
      <c r="BD183">
        <f>'Recurring Log'!O187&amp;""</f>
        <v/>
      </c>
      <c r="BE183">
        <f>IF('Recurring Log'!K187="","",'Recurring Log'!K187)</f>
        <v/>
      </c>
      <c r="BF183">
        <f>IFERROR(MATCH(BA183,Setup!$L$6:$L$9,0),5)</f>
        <v/>
      </c>
      <c r="BG183">
        <f>IF(OR(AZ183="Done",AZ183="Cancelled"),1,0)</f>
        <v/>
      </c>
      <c r="BH183">
        <f>IF(AND(AU183&lt;&gt;"",ISNUMBER(AW183)),1,0)</f>
        <v/>
      </c>
      <c r="BI183">
        <f>IF(BH183=0,0,IF(AND(AW183&gt;='Tasks Filter'!$F$3,AW183&lt;='Tasks Filter'!$F$4,OR('Tasks Filter'!$I$3="",ISNUMBER(SEARCH('Tasks Filter'!$I$3,AU183))),OR('Tasks Filter'!$I$4="",BF183=IFERROR(MATCH('Tasks Filter'!$I$4,Setup!$L$6:$L$9,0),0)),OR('Tasks Filter'!$I$5="Both",AND('Tasks Filter'!$I$5="Yes",BB183="✓"),AND('Tasks Filter'!$I$5="No",BB183&lt;&gt;"✓")),OR('Tasks Filter'!$L$3="",AV183='Tasks Filter'!$L$3),OR('Tasks Filter'!$L$4="",AZ183='Tasks Filter'!$L$4),OR('Tasks Filter'!$L$5="",BC183='Tasks Filter'!$L$5),OR('Tasks Filter'!$O$3="",BD183='Tasks Filter'!$O$3),OR('Tasks Filter'!$O$4="Yes",BG183=0)),1,0))</f>
        <v/>
      </c>
      <c r="BJ183">
        <f>IF(BH183=0,"",IF('Tasks Filter'!$F$6="Descending",-1,1)*CHOOSE(MATCH('Tasks Filter'!$F$5,Lists!$G$2:$G$6,0),AW183,BF183,IFERROR(MATCH(AV183,Setup!$F$6:$F$15,0),99),IFERROR(MATCH(BC183,Setup!$H$6:$H$15,0),99),IFERROR(MATCH(AZ183,Setup!$J$6:$J$11,0),99))*1E+9+(AW183-40000)*10000+182)</f>
        <v/>
      </c>
      <c r="BK183">
        <f>IF(BI183=1,BJ183,"")</f>
        <v/>
      </c>
      <c r="BL183">
        <f>IF(AND(BH183=1,BG183=0,N(AW183)&lt;Setup!$D$7),(AW183-40000)*10000+182,"")</f>
        <v/>
      </c>
      <c r="BM183">
        <f>IF(AND(BH183=1,AZ183&lt;&gt;"Cancelled",N(AW183)&gt;=Dashboard!$AB$3,N(AW183)&lt;=Dashboard!$AB$3+6),(AW183-40000)*100000+BF183*10000+182,"")</f>
        <v/>
      </c>
      <c r="BN183">
        <f>IF(AND(BH183=1,AZ183&lt;&gt;"Cancelled"),BF183*10000+182,"")</f>
        <v/>
      </c>
    </row>
    <row r="184">
      <c r="A184">
        <f>Setup!$D$5+182</f>
        <v/>
      </c>
      <c r="B184">
        <f>IF('Recurring Schedule'!$C$6="","",IF('Recurring Schedule'!$F$6="","",IF(OR($A184&lt;'Recurring Schedule'!$F$6,$A184&gt;'Recurring Schedule'!$P$6),"",IF(IF('Recurring Schedule'!$N$6&gt;0,MOD($A184-'Recurring Schedule'!$F$6,'Recurring Schedule'!$N$6)=0,IF('Recurring Schedule'!$O$6&gt;0,AND(DAY($A184)=MIN(DAY('Recurring Schedule'!$F$6),DAY(EOMONTH($A184,0))),MOD((YEAR($A184)-YEAR('Recurring Schedule'!$F$6))*12+MONTH($A184)-MONTH('Recurring Schedule'!$F$6),'Recurring Schedule'!$O$6)=0),IF('Recurring Schedule'!$E$6="Weekdays",WEEKDAY($A184,2)&lt;=5,$A184='Recurring Schedule'!$F$6))),1,""))))</f>
        <v/>
      </c>
      <c r="C184">
        <f>IF('Recurring Schedule'!$C$7="","",IF('Recurring Schedule'!$F$7="","",IF(OR($A184&lt;'Recurring Schedule'!$F$7,$A184&gt;'Recurring Schedule'!$P$7),"",IF(IF('Recurring Schedule'!$N$7&gt;0,MOD($A184-'Recurring Schedule'!$F$7,'Recurring Schedule'!$N$7)=0,IF('Recurring Schedule'!$O$7&gt;0,AND(DAY($A184)=MIN(DAY('Recurring Schedule'!$F$7),DAY(EOMONTH($A184,0))),MOD((YEAR($A184)-YEAR('Recurring Schedule'!$F$7))*12+MONTH($A184)-MONTH('Recurring Schedule'!$F$7),'Recurring Schedule'!$O$7)=0),IF('Recurring Schedule'!$E$7="Weekdays",WEEKDAY($A184,2)&lt;=5,$A184='Recurring Schedule'!$F$7))),2,""))))</f>
        <v/>
      </c>
      <c r="D184">
        <f>IF('Recurring Schedule'!$C$8="","",IF('Recurring Schedule'!$F$8="","",IF(OR($A184&lt;'Recurring Schedule'!$F$8,$A184&gt;'Recurring Schedule'!$P$8),"",IF(IF('Recurring Schedule'!$N$8&gt;0,MOD($A184-'Recurring Schedule'!$F$8,'Recurring Schedule'!$N$8)=0,IF('Recurring Schedule'!$O$8&gt;0,AND(DAY($A184)=MIN(DAY('Recurring Schedule'!$F$8),DAY(EOMONTH($A184,0))),MOD((YEAR($A184)-YEAR('Recurring Schedule'!$F$8))*12+MONTH($A184)-MONTH('Recurring Schedule'!$F$8),'Recurring Schedule'!$O$8)=0),IF('Recurring Schedule'!$E$8="Weekdays",WEEKDAY($A184,2)&lt;=5,$A184='Recurring Schedule'!$F$8))),3,""))))</f>
        <v/>
      </c>
      <c r="E184">
        <f>IF('Recurring Schedule'!$C$9="","",IF('Recurring Schedule'!$F$9="","",IF(OR($A184&lt;'Recurring Schedule'!$F$9,$A184&gt;'Recurring Schedule'!$P$9),"",IF(IF('Recurring Schedule'!$N$9&gt;0,MOD($A184-'Recurring Schedule'!$F$9,'Recurring Schedule'!$N$9)=0,IF('Recurring Schedule'!$O$9&gt;0,AND(DAY($A184)=MIN(DAY('Recurring Schedule'!$F$9),DAY(EOMONTH($A184,0))),MOD((YEAR($A184)-YEAR('Recurring Schedule'!$F$9))*12+MONTH($A184)-MONTH('Recurring Schedule'!$F$9),'Recurring Schedule'!$O$9)=0),IF('Recurring Schedule'!$E$9="Weekdays",WEEKDAY($A184,2)&lt;=5,$A184='Recurring Schedule'!$F$9))),4,""))))</f>
        <v/>
      </c>
      <c r="F184">
        <f>IF('Recurring Schedule'!$C$10="","",IF('Recurring Schedule'!$F$10="","",IF(OR($A184&lt;'Recurring Schedule'!$F$10,$A184&gt;'Recurring Schedule'!$P$10),"",IF(IF('Recurring Schedule'!$N$10&gt;0,MOD($A184-'Recurring Schedule'!$F$10,'Recurring Schedule'!$N$10)=0,IF('Recurring Schedule'!$O$10&gt;0,AND(DAY($A184)=MIN(DAY('Recurring Schedule'!$F$10),DAY(EOMONTH($A184,0))),MOD((YEAR($A184)-YEAR('Recurring Schedule'!$F$10))*12+MONTH($A184)-MONTH('Recurring Schedule'!$F$10),'Recurring Schedule'!$O$10)=0),IF('Recurring Schedule'!$E$10="Weekdays",WEEKDAY($A184,2)&lt;=5,$A184='Recurring Schedule'!$F$10))),5,""))))</f>
        <v/>
      </c>
      <c r="G184">
        <f>IF('Recurring Schedule'!$C$11="","",IF('Recurring Schedule'!$F$11="","",IF(OR($A184&lt;'Recurring Schedule'!$F$11,$A184&gt;'Recurring Schedule'!$P$11),"",IF(IF('Recurring Schedule'!$N$11&gt;0,MOD($A184-'Recurring Schedule'!$F$11,'Recurring Schedule'!$N$11)=0,IF('Recurring Schedule'!$O$11&gt;0,AND(DAY($A184)=MIN(DAY('Recurring Schedule'!$F$11),DAY(EOMONTH($A184,0))),MOD((YEAR($A184)-YEAR('Recurring Schedule'!$F$11))*12+MONTH($A184)-MONTH('Recurring Schedule'!$F$11),'Recurring Schedule'!$O$11)=0),IF('Recurring Schedule'!$E$11="Weekdays",WEEKDAY($A184,2)&lt;=5,$A184='Recurring Schedule'!$F$11))),6,""))))</f>
        <v/>
      </c>
      <c r="H184">
        <f>IF('Recurring Schedule'!$C$12="","",IF('Recurring Schedule'!$F$12="","",IF(OR($A184&lt;'Recurring Schedule'!$F$12,$A184&gt;'Recurring Schedule'!$P$12),"",IF(IF('Recurring Schedule'!$N$12&gt;0,MOD($A184-'Recurring Schedule'!$F$12,'Recurring Schedule'!$N$12)=0,IF('Recurring Schedule'!$O$12&gt;0,AND(DAY($A184)=MIN(DAY('Recurring Schedule'!$F$12),DAY(EOMONTH($A184,0))),MOD((YEAR($A184)-YEAR('Recurring Schedule'!$F$12))*12+MONTH($A184)-MONTH('Recurring Schedule'!$F$12),'Recurring Schedule'!$O$12)=0),IF('Recurring Schedule'!$E$12="Weekdays",WEEKDAY($A184,2)&lt;=5,$A184='Recurring Schedule'!$F$12))),7,""))))</f>
        <v/>
      </c>
      <c r="I184">
        <f>IF('Recurring Schedule'!$C$13="","",IF('Recurring Schedule'!$F$13="","",IF(OR($A184&lt;'Recurring Schedule'!$F$13,$A184&gt;'Recurring Schedule'!$P$13),"",IF(IF('Recurring Schedule'!$N$13&gt;0,MOD($A184-'Recurring Schedule'!$F$13,'Recurring Schedule'!$N$13)=0,IF('Recurring Schedule'!$O$13&gt;0,AND(DAY($A184)=MIN(DAY('Recurring Schedule'!$F$13),DAY(EOMONTH($A184,0))),MOD((YEAR($A184)-YEAR('Recurring Schedule'!$F$13))*12+MONTH($A184)-MONTH('Recurring Schedule'!$F$13),'Recurring Schedule'!$O$13)=0),IF('Recurring Schedule'!$E$13="Weekdays",WEEKDAY($A184,2)&lt;=5,$A184='Recurring Schedule'!$F$13))),8,""))))</f>
        <v/>
      </c>
      <c r="J184">
        <f>IF('Recurring Schedule'!$C$14="","",IF('Recurring Schedule'!$F$14="","",IF(OR($A184&lt;'Recurring Schedule'!$F$14,$A184&gt;'Recurring Schedule'!$P$14),"",IF(IF('Recurring Schedule'!$N$14&gt;0,MOD($A184-'Recurring Schedule'!$F$14,'Recurring Schedule'!$N$14)=0,IF('Recurring Schedule'!$O$14&gt;0,AND(DAY($A184)=MIN(DAY('Recurring Schedule'!$F$14),DAY(EOMONTH($A184,0))),MOD((YEAR($A184)-YEAR('Recurring Schedule'!$F$14))*12+MONTH($A184)-MONTH('Recurring Schedule'!$F$14),'Recurring Schedule'!$O$14)=0),IF('Recurring Schedule'!$E$14="Weekdays",WEEKDAY($A184,2)&lt;=5,$A184='Recurring Schedule'!$F$14))),9,""))))</f>
        <v/>
      </c>
      <c r="K184">
        <f>IF('Recurring Schedule'!$C$15="","",IF('Recurring Schedule'!$F$15="","",IF(OR($A184&lt;'Recurring Schedule'!$F$15,$A184&gt;'Recurring Schedule'!$P$15),"",IF(IF('Recurring Schedule'!$N$15&gt;0,MOD($A184-'Recurring Schedule'!$F$15,'Recurring Schedule'!$N$15)=0,IF('Recurring Schedule'!$O$15&gt;0,AND(DAY($A184)=MIN(DAY('Recurring Schedule'!$F$15),DAY(EOMONTH($A184,0))),MOD((YEAR($A184)-YEAR('Recurring Schedule'!$F$15))*12+MONTH($A184)-MONTH('Recurring Schedule'!$F$15),'Recurring Schedule'!$O$15)=0),IF('Recurring Schedule'!$E$15="Weekdays",WEEKDAY($A184,2)&lt;=5,$A184='Recurring Schedule'!$F$15))),10,""))))</f>
        <v/>
      </c>
      <c r="L184">
        <f>IF('Recurring Schedule'!$C$16="","",IF('Recurring Schedule'!$F$16="","",IF(OR($A184&lt;'Recurring Schedule'!$F$16,$A184&gt;'Recurring Schedule'!$P$16),"",IF(IF('Recurring Schedule'!$N$16&gt;0,MOD($A184-'Recurring Schedule'!$F$16,'Recurring Schedule'!$N$16)=0,IF('Recurring Schedule'!$O$16&gt;0,AND(DAY($A184)=MIN(DAY('Recurring Schedule'!$F$16),DAY(EOMONTH($A184,0))),MOD((YEAR($A184)-YEAR('Recurring Schedule'!$F$16))*12+MONTH($A184)-MONTH('Recurring Schedule'!$F$16),'Recurring Schedule'!$O$16)=0),IF('Recurring Schedule'!$E$16="Weekdays",WEEKDAY($A184,2)&lt;=5,$A184='Recurring Schedule'!$F$16))),11,""))))</f>
        <v/>
      </c>
      <c r="M184">
        <f>IF('Recurring Schedule'!$C$17="","",IF('Recurring Schedule'!$F$17="","",IF(OR($A184&lt;'Recurring Schedule'!$F$17,$A184&gt;'Recurring Schedule'!$P$17),"",IF(IF('Recurring Schedule'!$N$17&gt;0,MOD($A184-'Recurring Schedule'!$F$17,'Recurring Schedule'!$N$17)=0,IF('Recurring Schedule'!$O$17&gt;0,AND(DAY($A184)=MIN(DAY('Recurring Schedule'!$F$17),DAY(EOMONTH($A184,0))),MOD((YEAR($A184)-YEAR('Recurring Schedule'!$F$17))*12+MONTH($A184)-MONTH('Recurring Schedule'!$F$17),'Recurring Schedule'!$O$17)=0),IF('Recurring Schedule'!$E$17="Weekdays",WEEKDAY($A184,2)&lt;=5,$A184='Recurring Schedule'!$F$17))),12,""))))</f>
        <v/>
      </c>
      <c r="N184">
        <f>IF('Recurring Schedule'!$C$18="","",IF('Recurring Schedule'!$F$18="","",IF(OR($A184&lt;'Recurring Schedule'!$F$18,$A184&gt;'Recurring Schedule'!$P$18),"",IF(IF('Recurring Schedule'!$N$18&gt;0,MOD($A184-'Recurring Schedule'!$F$18,'Recurring Schedule'!$N$18)=0,IF('Recurring Schedule'!$O$18&gt;0,AND(DAY($A184)=MIN(DAY('Recurring Schedule'!$F$18),DAY(EOMONTH($A184,0))),MOD((YEAR($A184)-YEAR('Recurring Schedule'!$F$18))*12+MONTH($A184)-MONTH('Recurring Schedule'!$F$18),'Recurring Schedule'!$O$18)=0),IF('Recurring Schedule'!$E$18="Weekdays",WEEKDAY($A184,2)&lt;=5,$A184='Recurring Schedule'!$F$18))),13,""))))</f>
        <v/>
      </c>
      <c r="O184">
        <f>IF('Recurring Schedule'!$C$19="","",IF('Recurring Schedule'!$F$19="","",IF(OR($A184&lt;'Recurring Schedule'!$F$19,$A184&gt;'Recurring Schedule'!$P$19),"",IF(IF('Recurring Schedule'!$N$19&gt;0,MOD($A184-'Recurring Schedule'!$F$19,'Recurring Schedule'!$N$19)=0,IF('Recurring Schedule'!$O$19&gt;0,AND(DAY($A184)=MIN(DAY('Recurring Schedule'!$F$19),DAY(EOMONTH($A184,0))),MOD((YEAR($A184)-YEAR('Recurring Schedule'!$F$19))*12+MONTH($A184)-MONTH('Recurring Schedule'!$F$19),'Recurring Schedule'!$O$19)=0),IF('Recurring Schedule'!$E$19="Weekdays",WEEKDAY($A184,2)&lt;=5,$A184='Recurring Schedule'!$F$19))),14,""))))</f>
        <v/>
      </c>
      <c r="P184">
        <f>IF('Recurring Schedule'!$C$20="","",IF('Recurring Schedule'!$F$20="","",IF(OR($A184&lt;'Recurring Schedule'!$F$20,$A184&gt;'Recurring Schedule'!$P$20),"",IF(IF('Recurring Schedule'!$N$20&gt;0,MOD($A184-'Recurring Schedule'!$F$20,'Recurring Schedule'!$N$20)=0,IF('Recurring Schedule'!$O$20&gt;0,AND(DAY($A184)=MIN(DAY('Recurring Schedule'!$F$20),DAY(EOMONTH($A184,0))),MOD((YEAR($A184)-YEAR('Recurring Schedule'!$F$20))*12+MONTH($A184)-MONTH('Recurring Schedule'!$F$20),'Recurring Schedule'!$O$20)=0),IF('Recurring Schedule'!$E$20="Weekdays",WEEKDAY($A184,2)&lt;=5,$A184='Recurring Schedule'!$F$20))),15,""))))</f>
        <v/>
      </c>
      <c r="Q184">
        <f>IF('Recurring Schedule'!$C$21="","",IF('Recurring Schedule'!$F$21="","",IF(OR($A184&lt;'Recurring Schedule'!$F$21,$A184&gt;'Recurring Schedule'!$P$21),"",IF(IF('Recurring Schedule'!$N$21&gt;0,MOD($A184-'Recurring Schedule'!$F$21,'Recurring Schedule'!$N$21)=0,IF('Recurring Schedule'!$O$21&gt;0,AND(DAY($A184)=MIN(DAY('Recurring Schedule'!$F$21),DAY(EOMONTH($A184,0))),MOD((YEAR($A184)-YEAR('Recurring Schedule'!$F$21))*12+MONTH($A184)-MONTH('Recurring Schedule'!$F$21),'Recurring Schedule'!$O$21)=0),IF('Recurring Schedule'!$E$21="Weekdays",WEEKDAY($A184,2)&lt;=5,$A184='Recurring Schedule'!$F$21))),16,""))))</f>
        <v/>
      </c>
      <c r="R184">
        <f>IF('Recurring Schedule'!$C$22="","",IF('Recurring Schedule'!$F$22="","",IF(OR($A184&lt;'Recurring Schedule'!$F$22,$A184&gt;'Recurring Schedule'!$P$22),"",IF(IF('Recurring Schedule'!$N$22&gt;0,MOD($A184-'Recurring Schedule'!$F$22,'Recurring Schedule'!$N$22)=0,IF('Recurring Schedule'!$O$22&gt;0,AND(DAY($A184)=MIN(DAY('Recurring Schedule'!$F$22),DAY(EOMONTH($A184,0))),MOD((YEAR($A184)-YEAR('Recurring Schedule'!$F$22))*12+MONTH($A184)-MONTH('Recurring Schedule'!$F$22),'Recurring Schedule'!$O$22)=0),IF('Recurring Schedule'!$E$22="Weekdays",WEEKDAY($A184,2)&lt;=5,$A184='Recurring Schedule'!$F$22))),17,""))))</f>
        <v/>
      </c>
      <c r="S184">
        <f>IF('Recurring Schedule'!$C$23="","",IF('Recurring Schedule'!$F$23="","",IF(OR($A184&lt;'Recurring Schedule'!$F$23,$A184&gt;'Recurring Schedule'!$P$23),"",IF(IF('Recurring Schedule'!$N$23&gt;0,MOD($A184-'Recurring Schedule'!$F$23,'Recurring Schedule'!$N$23)=0,IF('Recurring Schedule'!$O$23&gt;0,AND(DAY($A184)=MIN(DAY('Recurring Schedule'!$F$23),DAY(EOMONTH($A184,0))),MOD((YEAR($A184)-YEAR('Recurring Schedule'!$F$23))*12+MONTH($A184)-MONTH('Recurring Schedule'!$F$23),'Recurring Schedule'!$O$23)=0),IF('Recurring Schedule'!$E$23="Weekdays",WEEKDAY($A184,2)&lt;=5,$A184='Recurring Schedule'!$F$23))),18,""))))</f>
        <v/>
      </c>
      <c r="T184">
        <f>IF('Recurring Schedule'!$C$24="","",IF('Recurring Schedule'!$F$24="","",IF(OR($A184&lt;'Recurring Schedule'!$F$24,$A184&gt;'Recurring Schedule'!$P$24),"",IF(IF('Recurring Schedule'!$N$24&gt;0,MOD($A184-'Recurring Schedule'!$F$24,'Recurring Schedule'!$N$24)=0,IF('Recurring Schedule'!$O$24&gt;0,AND(DAY($A184)=MIN(DAY('Recurring Schedule'!$F$24),DAY(EOMONTH($A184,0))),MOD((YEAR($A184)-YEAR('Recurring Schedule'!$F$24))*12+MONTH($A184)-MONTH('Recurring Schedule'!$F$24),'Recurring Schedule'!$O$24)=0),IF('Recurring Schedule'!$E$24="Weekdays",WEEKDAY($A184,2)&lt;=5,$A184='Recurring Schedule'!$F$24))),19,""))))</f>
        <v/>
      </c>
      <c r="U184">
        <f>IF('Recurring Schedule'!$C$25="","",IF('Recurring Schedule'!$F$25="","",IF(OR($A184&lt;'Recurring Schedule'!$F$25,$A184&gt;'Recurring Schedule'!$P$25),"",IF(IF('Recurring Schedule'!$N$25&gt;0,MOD($A184-'Recurring Schedule'!$F$25,'Recurring Schedule'!$N$25)=0,IF('Recurring Schedule'!$O$25&gt;0,AND(DAY($A184)=MIN(DAY('Recurring Schedule'!$F$25),DAY(EOMONTH($A184,0))),MOD((YEAR($A184)-YEAR('Recurring Schedule'!$F$25))*12+MONTH($A184)-MONTH('Recurring Schedule'!$F$25),'Recurring Schedule'!$O$25)=0),IF('Recurring Schedule'!$E$25="Weekdays",WEEKDAY($A184,2)&lt;=5,$A184='Recurring Schedule'!$F$25))),20,""))))</f>
        <v/>
      </c>
      <c r="V184">
        <f>IF('Recurring Schedule'!$C$26="","",IF('Recurring Schedule'!$F$26="","",IF(OR($A184&lt;'Recurring Schedule'!$F$26,$A184&gt;'Recurring Schedule'!$P$26),"",IF(IF('Recurring Schedule'!$N$26&gt;0,MOD($A184-'Recurring Schedule'!$F$26,'Recurring Schedule'!$N$26)=0,IF('Recurring Schedule'!$O$26&gt;0,AND(DAY($A184)=MIN(DAY('Recurring Schedule'!$F$26),DAY(EOMONTH($A184,0))),MOD((YEAR($A184)-YEAR('Recurring Schedule'!$F$26))*12+MONTH($A184)-MONTH('Recurring Schedule'!$F$26),'Recurring Schedule'!$O$26)=0),IF('Recurring Schedule'!$E$26="Weekdays",WEEKDAY($A184,2)&lt;=5,$A184='Recurring Schedule'!$F$26))),21,""))))</f>
        <v/>
      </c>
      <c r="W184">
        <f>IF('Recurring Schedule'!$C$27="","",IF('Recurring Schedule'!$F$27="","",IF(OR($A184&lt;'Recurring Schedule'!$F$27,$A184&gt;'Recurring Schedule'!$P$27),"",IF(IF('Recurring Schedule'!$N$27&gt;0,MOD($A184-'Recurring Schedule'!$F$27,'Recurring Schedule'!$N$27)=0,IF('Recurring Schedule'!$O$27&gt;0,AND(DAY($A184)=MIN(DAY('Recurring Schedule'!$F$27),DAY(EOMONTH($A184,0))),MOD((YEAR($A184)-YEAR('Recurring Schedule'!$F$27))*12+MONTH($A184)-MONTH('Recurring Schedule'!$F$27),'Recurring Schedule'!$O$27)=0),IF('Recurring Schedule'!$E$27="Weekdays",WEEKDAY($A184,2)&lt;=5,$A184='Recurring Schedule'!$F$27))),22,""))))</f>
        <v/>
      </c>
      <c r="X184">
        <f>IF('Recurring Schedule'!$C$28="","",IF('Recurring Schedule'!$F$28="","",IF(OR($A184&lt;'Recurring Schedule'!$F$28,$A184&gt;'Recurring Schedule'!$P$28),"",IF(IF('Recurring Schedule'!$N$28&gt;0,MOD($A184-'Recurring Schedule'!$F$28,'Recurring Schedule'!$N$28)=0,IF('Recurring Schedule'!$O$28&gt;0,AND(DAY($A184)=MIN(DAY('Recurring Schedule'!$F$28),DAY(EOMONTH($A184,0))),MOD((YEAR($A184)-YEAR('Recurring Schedule'!$F$28))*12+MONTH($A184)-MONTH('Recurring Schedule'!$F$28),'Recurring Schedule'!$O$28)=0),IF('Recurring Schedule'!$E$28="Weekdays",WEEKDAY($A184,2)&lt;=5,$A184='Recurring Schedule'!$F$28))),23,""))))</f>
        <v/>
      </c>
      <c r="Y184">
        <f>IF('Recurring Schedule'!$C$29="","",IF('Recurring Schedule'!$F$29="","",IF(OR($A184&lt;'Recurring Schedule'!$F$29,$A184&gt;'Recurring Schedule'!$P$29),"",IF(IF('Recurring Schedule'!$N$29&gt;0,MOD($A184-'Recurring Schedule'!$F$29,'Recurring Schedule'!$N$29)=0,IF('Recurring Schedule'!$O$29&gt;0,AND(DAY($A184)=MIN(DAY('Recurring Schedule'!$F$29),DAY(EOMONTH($A184,0))),MOD((YEAR($A184)-YEAR('Recurring Schedule'!$F$29))*12+MONTH($A184)-MONTH('Recurring Schedule'!$F$29),'Recurring Schedule'!$O$29)=0),IF('Recurring Schedule'!$E$29="Weekdays",WEEKDAY($A184,2)&lt;=5,$A184='Recurring Schedule'!$F$29))),24,""))))</f>
        <v/>
      </c>
      <c r="Z184">
        <f>IF('Recurring Schedule'!$C$30="","",IF('Recurring Schedule'!$F$30="","",IF(OR($A184&lt;'Recurring Schedule'!$F$30,$A184&gt;'Recurring Schedule'!$P$30),"",IF(IF('Recurring Schedule'!$N$30&gt;0,MOD($A184-'Recurring Schedule'!$F$30,'Recurring Schedule'!$N$30)=0,IF('Recurring Schedule'!$O$30&gt;0,AND(DAY($A184)=MIN(DAY('Recurring Schedule'!$F$30),DAY(EOMONTH($A184,0))),MOD((YEAR($A184)-YEAR('Recurring Schedule'!$F$30))*12+MONTH($A184)-MONTH('Recurring Schedule'!$F$30),'Recurring Schedule'!$O$30)=0),IF('Recurring Schedule'!$E$30="Weekdays",WEEKDAY($A184,2)&lt;=5,$A184='Recurring Schedule'!$F$30))),25,""))))</f>
        <v/>
      </c>
      <c r="AA184">
        <f>IF('Recurring Schedule'!$C$31="","",IF('Recurring Schedule'!$F$31="","",IF(OR($A184&lt;'Recurring Schedule'!$F$31,$A184&gt;'Recurring Schedule'!$P$31),"",IF(IF('Recurring Schedule'!$N$31&gt;0,MOD($A184-'Recurring Schedule'!$F$31,'Recurring Schedule'!$N$31)=0,IF('Recurring Schedule'!$O$31&gt;0,AND(DAY($A184)=MIN(DAY('Recurring Schedule'!$F$31),DAY(EOMONTH($A184,0))),MOD((YEAR($A184)-YEAR('Recurring Schedule'!$F$31))*12+MONTH($A184)-MONTH('Recurring Schedule'!$F$31),'Recurring Schedule'!$O$31)=0),IF('Recurring Schedule'!$E$31="Weekdays",WEEKDAY($A184,2)&lt;=5,$A184='Recurring Schedule'!$F$31))),26,""))))</f>
        <v/>
      </c>
      <c r="AB184">
        <f>IF('Recurring Schedule'!$C$32="","",IF('Recurring Schedule'!$F$32="","",IF(OR($A184&lt;'Recurring Schedule'!$F$32,$A184&gt;'Recurring Schedule'!$P$32),"",IF(IF('Recurring Schedule'!$N$32&gt;0,MOD($A184-'Recurring Schedule'!$F$32,'Recurring Schedule'!$N$32)=0,IF('Recurring Schedule'!$O$32&gt;0,AND(DAY($A184)=MIN(DAY('Recurring Schedule'!$F$32),DAY(EOMONTH($A184,0))),MOD((YEAR($A184)-YEAR('Recurring Schedule'!$F$32))*12+MONTH($A184)-MONTH('Recurring Schedule'!$F$32),'Recurring Schedule'!$O$32)=0),IF('Recurring Schedule'!$E$32="Weekdays",WEEKDAY($A184,2)&lt;=5,$A184='Recurring Schedule'!$F$32))),27,""))))</f>
        <v/>
      </c>
      <c r="AC184">
        <f>IF('Recurring Schedule'!$C$33="","",IF('Recurring Schedule'!$F$33="","",IF(OR($A184&lt;'Recurring Schedule'!$F$33,$A184&gt;'Recurring Schedule'!$P$33),"",IF(IF('Recurring Schedule'!$N$33&gt;0,MOD($A184-'Recurring Schedule'!$F$33,'Recurring Schedule'!$N$33)=0,IF('Recurring Schedule'!$O$33&gt;0,AND(DAY($A184)=MIN(DAY('Recurring Schedule'!$F$33),DAY(EOMONTH($A184,0))),MOD((YEAR($A184)-YEAR('Recurring Schedule'!$F$33))*12+MONTH($A184)-MONTH('Recurring Schedule'!$F$33),'Recurring Schedule'!$O$33)=0),IF('Recurring Schedule'!$E$33="Weekdays",WEEKDAY($A184,2)&lt;=5,$A184='Recurring Schedule'!$F$33))),28,""))))</f>
        <v/>
      </c>
      <c r="AD184">
        <f>IF('Recurring Schedule'!$C$34="","",IF('Recurring Schedule'!$F$34="","",IF(OR($A184&lt;'Recurring Schedule'!$F$34,$A184&gt;'Recurring Schedule'!$P$34),"",IF(IF('Recurring Schedule'!$N$34&gt;0,MOD($A184-'Recurring Schedule'!$F$34,'Recurring Schedule'!$N$34)=0,IF('Recurring Schedule'!$O$34&gt;0,AND(DAY($A184)=MIN(DAY('Recurring Schedule'!$F$34),DAY(EOMONTH($A184,0))),MOD((YEAR($A184)-YEAR('Recurring Schedule'!$F$34))*12+MONTH($A184)-MONTH('Recurring Schedule'!$F$34),'Recurring Schedule'!$O$34)=0),IF('Recurring Schedule'!$E$34="Weekdays",WEEKDAY($A184,2)&lt;=5,$A184='Recurring Schedule'!$F$34))),29,""))))</f>
        <v/>
      </c>
      <c r="AE184">
        <f>IF('Recurring Schedule'!$C$35="","",IF('Recurring Schedule'!$F$35="","",IF(OR($A184&lt;'Recurring Schedule'!$F$35,$A184&gt;'Recurring Schedule'!$P$35),"",IF(IF('Recurring Schedule'!$N$35&gt;0,MOD($A184-'Recurring Schedule'!$F$35,'Recurring Schedule'!$N$35)=0,IF('Recurring Schedule'!$O$35&gt;0,AND(DAY($A184)=MIN(DAY('Recurring Schedule'!$F$35),DAY(EOMONTH($A184,0))),MOD((YEAR($A184)-YEAR('Recurring Schedule'!$F$35))*12+MONTH($A184)-MONTH('Recurring Schedule'!$F$35),'Recurring Schedule'!$O$35)=0),IF('Recurring Schedule'!$E$35="Weekdays",WEEKDAY($A184,2)&lt;=5,$A184='Recurring Schedule'!$F$35))),30,""))))</f>
        <v/>
      </c>
      <c r="AF184">
        <f>IF('Recurring Schedule'!$C$36="","",IF('Recurring Schedule'!$F$36="","",IF(OR($A184&lt;'Recurring Schedule'!$F$36,$A184&gt;'Recurring Schedule'!$P$36),"",IF(IF('Recurring Schedule'!$N$36&gt;0,MOD($A184-'Recurring Schedule'!$F$36,'Recurring Schedule'!$N$36)=0,IF('Recurring Schedule'!$O$36&gt;0,AND(DAY($A184)=MIN(DAY('Recurring Schedule'!$F$36),DAY(EOMONTH($A184,0))),MOD((YEAR($A184)-YEAR('Recurring Schedule'!$F$36))*12+MONTH($A184)-MONTH('Recurring Schedule'!$F$36),'Recurring Schedule'!$O$36)=0),IF('Recurring Schedule'!$E$36="Weekdays",WEEKDAY($A184,2)&lt;=5,$A184='Recurring Schedule'!$F$36))),31,""))))</f>
        <v/>
      </c>
      <c r="AG184">
        <f>IF('Recurring Schedule'!$C$37="","",IF('Recurring Schedule'!$F$37="","",IF(OR($A184&lt;'Recurring Schedule'!$F$37,$A184&gt;'Recurring Schedule'!$P$37),"",IF(IF('Recurring Schedule'!$N$37&gt;0,MOD($A184-'Recurring Schedule'!$F$37,'Recurring Schedule'!$N$37)=0,IF('Recurring Schedule'!$O$37&gt;0,AND(DAY($A184)=MIN(DAY('Recurring Schedule'!$F$37),DAY(EOMONTH($A184,0))),MOD((YEAR($A184)-YEAR('Recurring Schedule'!$F$37))*12+MONTH($A184)-MONTH('Recurring Schedule'!$F$37),'Recurring Schedule'!$O$37)=0),IF('Recurring Schedule'!$E$37="Weekdays",WEEKDAY($A184,2)&lt;=5,$A184='Recurring Schedule'!$F$37))),32,""))))</f>
        <v/>
      </c>
      <c r="AH184">
        <f>IF('Recurring Schedule'!$C$38="","",IF('Recurring Schedule'!$F$38="","",IF(OR($A184&lt;'Recurring Schedule'!$F$38,$A184&gt;'Recurring Schedule'!$P$38),"",IF(IF('Recurring Schedule'!$N$38&gt;0,MOD($A184-'Recurring Schedule'!$F$38,'Recurring Schedule'!$N$38)=0,IF('Recurring Schedule'!$O$38&gt;0,AND(DAY($A184)=MIN(DAY('Recurring Schedule'!$F$38),DAY(EOMONTH($A184,0))),MOD((YEAR($A184)-YEAR('Recurring Schedule'!$F$38))*12+MONTH($A184)-MONTH('Recurring Schedule'!$F$38),'Recurring Schedule'!$O$38)=0),IF('Recurring Schedule'!$E$38="Weekdays",WEEKDAY($A184,2)&lt;=5,$A184='Recurring Schedule'!$F$38))),33,""))))</f>
        <v/>
      </c>
      <c r="AI184">
        <f>IF('Recurring Schedule'!$C$39="","",IF('Recurring Schedule'!$F$39="","",IF(OR($A184&lt;'Recurring Schedule'!$F$39,$A184&gt;'Recurring Schedule'!$P$39),"",IF(IF('Recurring Schedule'!$N$39&gt;0,MOD($A184-'Recurring Schedule'!$F$39,'Recurring Schedule'!$N$39)=0,IF('Recurring Schedule'!$O$39&gt;0,AND(DAY($A184)=MIN(DAY('Recurring Schedule'!$F$39),DAY(EOMONTH($A184,0))),MOD((YEAR($A184)-YEAR('Recurring Schedule'!$F$39))*12+MONTH($A184)-MONTH('Recurring Schedule'!$F$39),'Recurring Schedule'!$O$39)=0),IF('Recurring Schedule'!$E$39="Weekdays",WEEKDAY($A184,2)&lt;=5,$A184='Recurring Schedule'!$F$39))),34,""))))</f>
        <v/>
      </c>
      <c r="AJ184">
        <f>IF('Recurring Schedule'!$C$40="","",IF('Recurring Schedule'!$F$40="","",IF(OR($A184&lt;'Recurring Schedule'!$F$40,$A184&gt;'Recurring Schedule'!$P$40),"",IF(IF('Recurring Schedule'!$N$40&gt;0,MOD($A184-'Recurring Schedule'!$F$40,'Recurring Schedule'!$N$40)=0,IF('Recurring Schedule'!$O$40&gt;0,AND(DAY($A184)=MIN(DAY('Recurring Schedule'!$F$40),DAY(EOMONTH($A184,0))),MOD((YEAR($A184)-YEAR('Recurring Schedule'!$F$40))*12+MONTH($A184)-MONTH('Recurring Schedule'!$F$40),'Recurring Schedule'!$O$40)=0),IF('Recurring Schedule'!$E$40="Weekdays",WEEKDAY($A184,2)&lt;=5,$A184='Recurring Schedule'!$F$40))),35,""))))</f>
        <v/>
      </c>
      <c r="AK184">
        <f>IF('Recurring Schedule'!$C$41="","",IF('Recurring Schedule'!$F$41="","",IF(OR($A184&lt;'Recurring Schedule'!$F$41,$A184&gt;'Recurring Schedule'!$P$41),"",IF(IF('Recurring Schedule'!$N$41&gt;0,MOD($A184-'Recurring Schedule'!$F$41,'Recurring Schedule'!$N$41)=0,IF('Recurring Schedule'!$O$41&gt;0,AND(DAY($A184)=MIN(DAY('Recurring Schedule'!$F$41),DAY(EOMONTH($A184,0))),MOD((YEAR($A184)-YEAR('Recurring Schedule'!$F$41))*12+MONTH($A184)-MONTH('Recurring Schedule'!$F$41),'Recurring Schedule'!$O$41)=0),IF('Recurring Schedule'!$E$41="Weekdays",WEEKDAY($A184,2)&lt;=5,$A184='Recurring Schedule'!$F$41))),36,""))))</f>
        <v/>
      </c>
      <c r="AL184">
        <f>IF('Recurring Schedule'!$C$42="","",IF('Recurring Schedule'!$F$42="","",IF(OR($A184&lt;'Recurring Schedule'!$F$42,$A184&gt;'Recurring Schedule'!$P$42),"",IF(IF('Recurring Schedule'!$N$42&gt;0,MOD($A184-'Recurring Schedule'!$F$42,'Recurring Schedule'!$N$42)=0,IF('Recurring Schedule'!$O$42&gt;0,AND(DAY($A184)=MIN(DAY('Recurring Schedule'!$F$42),DAY(EOMONTH($A184,0))),MOD((YEAR($A184)-YEAR('Recurring Schedule'!$F$42))*12+MONTH($A184)-MONTH('Recurring Schedule'!$F$42),'Recurring Schedule'!$O$42)=0),IF('Recurring Schedule'!$E$42="Weekdays",WEEKDAY($A184,2)&lt;=5,$A184='Recurring Schedule'!$F$42))),37,""))))</f>
        <v/>
      </c>
      <c r="AM184">
        <f>IF('Recurring Schedule'!$C$43="","",IF('Recurring Schedule'!$F$43="","",IF(OR($A184&lt;'Recurring Schedule'!$F$43,$A184&gt;'Recurring Schedule'!$P$43),"",IF(IF('Recurring Schedule'!$N$43&gt;0,MOD($A184-'Recurring Schedule'!$F$43,'Recurring Schedule'!$N$43)=0,IF('Recurring Schedule'!$O$43&gt;0,AND(DAY($A184)=MIN(DAY('Recurring Schedule'!$F$43),DAY(EOMONTH($A184,0))),MOD((YEAR($A184)-YEAR('Recurring Schedule'!$F$43))*12+MONTH($A184)-MONTH('Recurring Schedule'!$F$43),'Recurring Schedule'!$O$43)=0),IF('Recurring Schedule'!$E$43="Weekdays",WEEKDAY($A184,2)&lt;=5,$A184='Recurring Schedule'!$F$43))),38,""))))</f>
        <v/>
      </c>
      <c r="AN184">
        <f>IF('Recurring Schedule'!$C$44="","",IF('Recurring Schedule'!$F$44="","",IF(OR($A184&lt;'Recurring Schedule'!$F$44,$A184&gt;'Recurring Schedule'!$P$44),"",IF(IF('Recurring Schedule'!$N$44&gt;0,MOD($A184-'Recurring Schedule'!$F$44,'Recurring Schedule'!$N$44)=0,IF('Recurring Schedule'!$O$44&gt;0,AND(DAY($A184)=MIN(DAY('Recurring Schedule'!$F$44),DAY(EOMONTH($A184,0))),MOD((YEAR($A184)-YEAR('Recurring Schedule'!$F$44))*12+MONTH($A184)-MONTH('Recurring Schedule'!$F$44),'Recurring Schedule'!$O$44)=0),IF('Recurring Schedule'!$E$44="Weekdays",WEEKDAY($A184,2)&lt;=5,$A184='Recurring Schedule'!$F$44))),39,""))))</f>
        <v/>
      </c>
      <c r="AO184">
        <f>IF('Recurring Schedule'!$C$45="","",IF('Recurring Schedule'!$F$45="","",IF(OR($A184&lt;'Recurring Schedule'!$F$45,$A184&gt;'Recurring Schedule'!$P$45),"",IF(IF('Recurring Schedule'!$N$45&gt;0,MOD($A184-'Recurring Schedule'!$F$45,'Recurring Schedule'!$N$45)=0,IF('Recurring Schedule'!$O$45&gt;0,AND(DAY($A184)=MIN(DAY('Recurring Schedule'!$F$45),DAY(EOMONTH($A184,0))),MOD((YEAR($A184)-YEAR('Recurring Schedule'!$F$45))*12+MONTH($A184)-MONTH('Recurring Schedule'!$F$45),'Recurring Schedule'!$O$45)=0),IF('Recurring Schedule'!$E$45="Weekdays",WEEKDAY($A184,2)&lt;=5,$A184='Recurring Schedule'!$F$45))),40,""))))</f>
        <v/>
      </c>
      <c r="AP184">
        <f>COUNT(B184:AO184)</f>
        <v/>
      </c>
      <c r="AQ184">
        <f>AQ183+AP183</f>
        <v/>
      </c>
      <c r="AS184" t="inlineStr">
        <is>
          <t>R</t>
        </is>
      </c>
      <c r="AT184" t="n">
        <v>188</v>
      </c>
      <c r="AU184">
        <f>'Recurring Log'!C188&amp;""</f>
        <v/>
      </c>
      <c r="AV184">
        <f>'Recurring Log'!D188&amp;""</f>
        <v/>
      </c>
      <c r="AW184">
        <f>IF('Recurring Log'!E188="","",'Recurring Log'!E188)</f>
        <v/>
      </c>
      <c r="AX184">
        <f>IF('Recurring Log'!G188="","",'Recurring Log'!G188)</f>
        <v/>
      </c>
      <c r="AY184">
        <f>IF('Recurring Log'!H188="","",'Recurring Log'!H188)</f>
        <v/>
      </c>
      <c r="AZ184">
        <f>IF(AU184="","",IF('Recurring Log'!J188="","Not Started",'Recurring Log'!J188))</f>
        <v/>
      </c>
      <c r="BA184">
        <f>'Recurring Log'!L188&amp;""</f>
        <v/>
      </c>
      <c r="BB184">
        <f>'Recurring Log'!M188&amp;""</f>
        <v/>
      </c>
      <c r="BC184">
        <f>'Recurring Log'!N188&amp;""</f>
        <v/>
      </c>
      <c r="BD184">
        <f>'Recurring Log'!O188&amp;""</f>
        <v/>
      </c>
      <c r="BE184">
        <f>IF('Recurring Log'!K188="","",'Recurring Log'!K188)</f>
        <v/>
      </c>
      <c r="BF184">
        <f>IFERROR(MATCH(BA184,Setup!$L$6:$L$9,0),5)</f>
        <v/>
      </c>
      <c r="BG184">
        <f>IF(OR(AZ184="Done",AZ184="Cancelled"),1,0)</f>
        <v/>
      </c>
      <c r="BH184">
        <f>IF(AND(AU184&lt;&gt;"",ISNUMBER(AW184)),1,0)</f>
        <v/>
      </c>
      <c r="BI184">
        <f>IF(BH184=0,0,IF(AND(AW184&gt;='Tasks Filter'!$F$3,AW184&lt;='Tasks Filter'!$F$4,OR('Tasks Filter'!$I$3="",ISNUMBER(SEARCH('Tasks Filter'!$I$3,AU184))),OR('Tasks Filter'!$I$4="",BF184=IFERROR(MATCH('Tasks Filter'!$I$4,Setup!$L$6:$L$9,0),0)),OR('Tasks Filter'!$I$5="Both",AND('Tasks Filter'!$I$5="Yes",BB184="✓"),AND('Tasks Filter'!$I$5="No",BB184&lt;&gt;"✓")),OR('Tasks Filter'!$L$3="",AV184='Tasks Filter'!$L$3),OR('Tasks Filter'!$L$4="",AZ184='Tasks Filter'!$L$4),OR('Tasks Filter'!$L$5="",BC184='Tasks Filter'!$L$5),OR('Tasks Filter'!$O$3="",BD184='Tasks Filter'!$O$3),OR('Tasks Filter'!$O$4="Yes",BG184=0)),1,0))</f>
        <v/>
      </c>
      <c r="BJ184">
        <f>IF(BH184=0,"",IF('Tasks Filter'!$F$6="Descending",-1,1)*CHOOSE(MATCH('Tasks Filter'!$F$5,Lists!$G$2:$G$6,0),AW184,BF184,IFERROR(MATCH(AV184,Setup!$F$6:$F$15,0),99),IFERROR(MATCH(BC184,Setup!$H$6:$H$15,0),99),IFERROR(MATCH(AZ184,Setup!$J$6:$J$11,0),99))*1E+9+(AW184-40000)*10000+183)</f>
        <v/>
      </c>
      <c r="BK184">
        <f>IF(BI184=1,BJ184,"")</f>
        <v/>
      </c>
      <c r="BL184">
        <f>IF(AND(BH184=1,BG184=0,N(AW184)&lt;Setup!$D$7),(AW184-40000)*10000+183,"")</f>
        <v/>
      </c>
      <c r="BM184">
        <f>IF(AND(BH184=1,AZ184&lt;&gt;"Cancelled",N(AW184)&gt;=Dashboard!$AB$3,N(AW184)&lt;=Dashboard!$AB$3+6),(AW184-40000)*100000+BF184*10000+183,"")</f>
        <v/>
      </c>
      <c r="BN184">
        <f>IF(AND(BH184=1,AZ184&lt;&gt;"Cancelled"),BF184*10000+183,"")</f>
        <v/>
      </c>
    </row>
    <row r="185">
      <c r="A185">
        <f>Setup!$D$5+183</f>
        <v/>
      </c>
      <c r="B185">
        <f>IF('Recurring Schedule'!$C$6="","",IF('Recurring Schedule'!$F$6="","",IF(OR($A185&lt;'Recurring Schedule'!$F$6,$A185&gt;'Recurring Schedule'!$P$6),"",IF(IF('Recurring Schedule'!$N$6&gt;0,MOD($A185-'Recurring Schedule'!$F$6,'Recurring Schedule'!$N$6)=0,IF('Recurring Schedule'!$O$6&gt;0,AND(DAY($A185)=MIN(DAY('Recurring Schedule'!$F$6),DAY(EOMONTH($A185,0))),MOD((YEAR($A185)-YEAR('Recurring Schedule'!$F$6))*12+MONTH($A185)-MONTH('Recurring Schedule'!$F$6),'Recurring Schedule'!$O$6)=0),IF('Recurring Schedule'!$E$6="Weekdays",WEEKDAY($A185,2)&lt;=5,$A185='Recurring Schedule'!$F$6))),1,""))))</f>
        <v/>
      </c>
      <c r="C185">
        <f>IF('Recurring Schedule'!$C$7="","",IF('Recurring Schedule'!$F$7="","",IF(OR($A185&lt;'Recurring Schedule'!$F$7,$A185&gt;'Recurring Schedule'!$P$7),"",IF(IF('Recurring Schedule'!$N$7&gt;0,MOD($A185-'Recurring Schedule'!$F$7,'Recurring Schedule'!$N$7)=0,IF('Recurring Schedule'!$O$7&gt;0,AND(DAY($A185)=MIN(DAY('Recurring Schedule'!$F$7),DAY(EOMONTH($A185,0))),MOD((YEAR($A185)-YEAR('Recurring Schedule'!$F$7))*12+MONTH($A185)-MONTH('Recurring Schedule'!$F$7),'Recurring Schedule'!$O$7)=0),IF('Recurring Schedule'!$E$7="Weekdays",WEEKDAY($A185,2)&lt;=5,$A185='Recurring Schedule'!$F$7))),2,""))))</f>
        <v/>
      </c>
      <c r="D185">
        <f>IF('Recurring Schedule'!$C$8="","",IF('Recurring Schedule'!$F$8="","",IF(OR($A185&lt;'Recurring Schedule'!$F$8,$A185&gt;'Recurring Schedule'!$P$8),"",IF(IF('Recurring Schedule'!$N$8&gt;0,MOD($A185-'Recurring Schedule'!$F$8,'Recurring Schedule'!$N$8)=0,IF('Recurring Schedule'!$O$8&gt;0,AND(DAY($A185)=MIN(DAY('Recurring Schedule'!$F$8),DAY(EOMONTH($A185,0))),MOD((YEAR($A185)-YEAR('Recurring Schedule'!$F$8))*12+MONTH($A185)-MONTH('Recurring Schedule'!$F$8),'Recurring Schedule'!$O$8)=0),IF('Recurring Schedule'!$E$8="Weekdays",WEEKDAY($A185,2)&lt;=5,$A185='Recurring Schedule'!$F$8))),3,""))))</f>
        <v/>
      </c>
      <c r="E185">
        <f>IF('Recurring Schedule'!$C$9="","",IF('Recurring Schedule'!$F$9="","",IF(OR($A185&lt;'Recurring Schedule'!$F$9,$A185&gt;'Recurring Schedule'!$P$9),"",IF(IF('Recurring Schedule'!$N$9&gt;0,MOD($A185-'Recurring Schedule'!$F$9,'Recurring Schedule'!$N$9)=0,IF('Recurring Schedule'!$O$9&gt;0,AND(DAY($A185)=MIN(DAY('Recurring Schedule'!$F$9),DAY(EOMONTH($A185,0))),MOD((YEAR($A185)-YEAR('Recurring Schedule'!$F$9))*12+MONTH($A185)-MONTH('Recurring Schedule'!$F$9),'Recurring Schedule'!$O$9)=0),IF('Recurring Schedule'!$E$9="Weekdays",WEEKDAY($A185,2)&lt;=5,$A185='Recurring Schedule'!$F$9))),4,""))))</f>
        <v/>
      </c>
      <c r="F185">
        <f>IF('Recurring Schedule'!$C$10="","",IF('Recurring Schedule'!$F$10="","",IF(OR($A185&lt;'Recurring Schedule'!$F$10,$A185&gt;'Recurring Schedule'!$P$10),"",IF(IF('Recurring Schedule'!$N$10&gt;0,MOD($A185-'Recurring Schedule'!$F$10,'Recurring Schedule'!$N$10)=0,IF('Recurring Schedule'!$O$10&gt;0,AND(DAY($A185)=MIN(DAY('Recurring Schedule'!$F$10),DAY(EOMONTH($A185,0))),MOD((YEAR($A185)-YEAR('Recurring Schedule'!$F$10))*12+MONTH($A185)-MONTH('Recurring Schedule'!$F$10),'Recurring Schedule'!$O$10)=0),IF('Recurring Schedule'!$E$10="Weekdays",WEEKDAY($A185,2)&lt;=5,$A185='Recurring Schedule'!$F$10))),5,""))))</f>
        <v/>
      </c>
      <c r="G185">
        <f>IF('Recurring Schedule'!$C$11="","",IF('Recurring Schedule'!$F$11="","",IF(OR($A185&lt;'Recurring Schedule'!$F$11,$A185&gt;'Recurring Schedule'!$P$11),"",IF(IF('Recurring Schedule'!$N$11&gt;0,MOD($A185-'Recurring Schedule'!$F$11,'Recurring Schedule'!$N$11)=0,IF('Recurring Schedule'!$O$11&gt;0,AND(DAY($A185)=MIN(DAY('Recurring Schedule'!$F$11),DAY(EOMONTH($A185,0))),MOD((YEAR($A185)-YEAR('Recurring Schedule'!$F$11))*12+MONTH($A185)-MONTH('Recurring Schedule'!$F$11),'Recurring Schedule'!$O$11)=0),IF('Recurring Schedule'!$E$11="Weekdays",WEEKDAY($A185,2)&lt;=5,$A185='Recurring Schedule'!$F$11))),6,""))))</f>
        <v/>
      </c>
      <c r="H185">
        <f>IF('Recurring Schedule'!$C$12="","",IF('Recurring Schedule'!$F$12="","",IF(OR($A185&lt;'Recurring Schedule'!$F$12,$A185&gt;'Recurring Schedule'!$P$12),"",IF(IF('Recurring Schedule'!$N$12&gt;0,MOD($A185-'Recurring Schedule'!$F$12,'Recurring Schedule'!$N$12)=0,IF('Recurring Schedule'!$O$12&gt;0,AND(DAY($A185)=MIN(DAY('Recurring Schedule'!$F$12),DAY(EOMONTH($A185,0))),MOD((YEAR($A185)-YEAR('Recurring Schedule'!$F$12))*12+MONTH($A185)-MONTH('Recurring Schedule'!$F$12),'Recurring Schedule'!$O$12)=0),IF('Recurring Schedule'!$E$12="Weekdays",WEEKDAY($A185,2)&lt;=5,$A185='Recurring Schedule'!$F$12))),7,""))))</f>
        <v/>
      </c>
      <c r="I185">
        <f>IF('Recurring Schedule'!$C$13="","",IF('Recurring Schedule'!$F$13="","",IF(OR($A185&lt;'Recurring Schedule'!$F$13,$A185&gt;'Recurring Schedule'!$P$13),"",IF(IF('Recurring Schedule'!$N$13&gt;0,MOD($A185-'Recurring Schedule'!$F$13,'Recurring Schedule'!$N$13)=0,IF('Recurring Schedule'!$O$13&gt;0,AND(DAY($A185)=MIN(DAY('Recurring Schedule'!$F$13),DAY(EOMONTH($A185,0))),MOD((YEAR($A185)-YEAR('Recurring Schedule'!$F$13))*12+MONTH($A185)-MONTH('Recurring Schedule'!$F$13),'Recurring Schedule'!$O$13)=0),IF('Recurring Schedule'!$E$13="Weekdays",WEEKDAY($A185,2)&lt;=5,$A185='Recurring Schedule'!$F$13))),8,""))))</f>
        <v/>
      </c>
      <c r="J185">
        <f>IF('Recurring Schedule'!$C$14="","",IF('Recurring Schedule'!$F$14="","",IF(OR($A185&lt;'Recurring Schedule'!$F$14,$A185&gt;'Recurring Schedule'!$P$14),"",IF(IF('Recurring Schedule'!$N$14&gt;0,MOD($A185-'Recurring Schedule'!$F$14,'Recurring Schedule'!$N$14)=0,IF('Recurring Schedule'!$O$14&gt;0,AND(DAY($A185)=MIN(DAY('Recurring Schedule'!$F$14),DAY(EOMONTH($A185,0))),MOD((YEAR($A185)-YEAR('Recurring Schedule'!$F$14))*12+MONTH($A185)-MONTH('Recurring Schedule'!$F$14),'Recurring Schedule'!$O$14)=0),IF('Recurring Schedule'!$E$14="Weekdays",WEEKDAY($A185,2)&lt;=5,$A185='Recurring Schedule'!$F$14))),9,""))))</f>
        <v/>
      </c>
      <c r="K185">
        <f>IF('Recurring Schedule'!$C$15="","",IF('Recurring Schedule'!$F$15="","",IF(OR($A185&lt;'Recurring Schedule'!$F$15,$A185&gt;'Recurring Schedule'!$P$15),"",IF(IF('Recurring Schedule'!$N$15&gt;0,MOD($A185-'Recurring Schedule'!$F$15,'Recurring Schedule'!$N$15)=0,IF('Recurring Schedule'!$O$15&gt;0,AND(DAY($A185)=MIN(DAY('Recurring Schedule'!$F$15),DAY(EOMONTH($A185,0))),MOD((YEAR($A185)-YEAR('Recurring Schedule'!$F$15))*12+MONTH($A185)-MONTH('Recurring Schedule'!$F$15),'Recurring Schedule'!$O$15)=0),IF('Recurring Schedule'!$E$15="Weekdays",WEEKDAY($A185,2)&lt;=5,$A185='Recurring Schedule'!$F$15))),10,""))))</f>
        <v/>
      </c>
      <c r="L185">
        <f>IF('Recurring Schedule'!$C$16="","",IF('Recurring Schedule'!$F$16="","",IF(OR($A185&lt;'Recurring Schedule'!$F$16,$A185&gt;'Recurring Schedule'!$P$16),"",IF(IF('Recurring Schedule'!$N$16&gt;0,MOD($A185-'Recurring Schedule'!$F$16,'Recurring Schedule'!$N$16)=0,IF('Recurring Schedule'!$O$16&gt;0,AND(DAY($A185)=MIN(DAY('Recurring Schedule'!$F$16),DAY(EOMONTH($A185,0))),MOD((YEAR($A185)-YEAR('Recurring Schedule'!$F$16))*12+MONTH($A185)-MONTH('Recurring Schedule'!$F$16),'Recurring Schedule'!$O$16)=0),IF('Recurring Schedule'!$E$16="Weekdays",WEEKDAY($A185,2)&lt;=5,$A185='Recurring Schedule'!$F$16))),11,""))))</f>
        <v/>
      </c>
      <c r="M185">
        <f>IF('Recurring Schedule'!$C$17="","",IF('Recurring Schedule'!$F$17="","",IF(OR($A185&lt;'Recurring Schedule'!$F$17,$A185&gt;'Recurring Schedule'!$P$17),"",IF(IF('Recurring Schedule'!$N$17&gt;0,MOD($A185-'Recurring Schedule'!$F$17,'Recurring Schedule'!$N$17)=0,IF('Recurring Schedule'!$O$17&gt;0,AND(DAY($A185)=MIN(DAY('Recurring Schedule'!$F$17),DAY(EOMONTH($A185,0))),MOD((YEAR($A185)-YEAR('Recurring Schedule'!$F$17))*12+MONTH($A185)-MONTH('Recurring Schedule'!$F$17),'Recurring Schedule'!$O$17)=0),IF('Recurring Schedule'!$E$17="Weekdays",WEEKDAY($A185,2)&lt;=5,$A185='Recurring Schedule'!$F$17))),12,""))))</f>
        <v/>
      </c>
      <c r="N185">
        <f>IF('Recurring Schedule'!$C$18="","",IF('Recurring Schedule'!$F$18="","",IF(OR($A185&lt;'Recurring Schedule'!$F$18,$A185&gt;'Recurring Schedule'!$P$18),"",IF(IF('Recurring Schedule'!$N$18&gt;0,MOD($A185-'Recurring Schedule'!$F$18,'Recurring Schedule'!$N$18)=0,IF('Recurring Schedule'!$O$18&gt;0,AND(DAY($A185)=MIN(DAY('Recurring Schedule'!$F$18),DAY(EOMONTH($A185,0))),MOD((YEAR($A185)-YEAR('Recurring Schedule'!$F$18))*12+MONTH($A185)-MONTH('Recurring Schedule'!$F$18),'Recurring Schedule'!$O$18)=0),IF('Recurring Schedule'!$E$18="Weekdays",WEEKDAY($A185,2)&lt;=5,$A185='Recurring Schedule'!$F$18))),13,""))))</f>
        <v/>
      </c>
      <c r="O185">
        <f>IF('Recurring Schedule'!$C$19="","",IF('Recurring Schedule'!$F$19="","",IF(OR($A185&lt;'Recurring Schedule'!$F$19,$A185&gt;'Recurring Schedule'!$P$19),"",IF(IF('Recurring Schedule'!$N$19&gt;0,MOD($A185-'Recurring Schedule'!$F$19,'Recurring Schedule'!$N$19)=0,IF('Recurring Schedule'!$O$19&gt;0,AND(DAY($A185)=MIN(DAY('Recurring Schedule'!$F$19),DAY(EOMONTH($A185,0))),MOD((YEAR($A185)-YEAR('Recurring Schedule'!$F$19))*12+MONTH($A185)-MONTH('Recurring Schedule'!$F$19),'Recurring Schedule'!$O$19)=0),IF('Recurring Schedule'!$E$19="Weekdays",WEEKDAY($A185,2)&lt;=5,$A185='Recurring Schedule'!$F$19))),14,""))))</f>
        <v/>
      </c>
      <c r="P185">
        <f>IF('Recurring Schedule'!$C$20="","",IF('Recurring Schedule'!$F$20="","",IF(OR($A185&lt;'Recurring Schedule'!$F$20,$A185&gt;'Recurring Schedule'!$P$20),"",IF(IF('Recurring Schedule'!$N$20&gt;0,MOD($A185-'Recurring Schedule'!$F$20,'Recurring Schedule'!$N$20)=0,IF('Recurring Schedule'!$O$20&gt;0,AND(DAY($A185)=MIN(DAY('Recurring Schedule'!$F$20),DAY(EOMONTH($A185,0))),MOD((YEAR($A185)-YEAR('Recurring Schedule'!$F$20))*12+MONTH($A185)-MONTH('Recurring Schedule'!$F$20),'Recurring Schedule'!$O$20)=0),IF('Recurring Schedule'!$E$20="Weekdays",WEEKDAY($A185,2)&lt;=5,$A185='Recurring Schedule'!$F$20))),15,""))))</f>
        <v/>
      </c>
      <c r="Q185">
        <f>IF('Recurring Schedule'!$C$21="","",IF('Recurring Schedule'!$F$21="","",IF(OR($A185&lt;'Recurring Schedule'!$F$21,$A185&gt;'Recurring Schedule'!$P$21),"",IF(IF('Recurring Schedule'!$N$21&gt;0,MOD($A185-'Recurring Schedule'!$F$21,'Recurring Schedule'!$N$21)=0,IF('Recurring Schedule'!$O$21&gt;0,AND(DAY($A185)=MIN(DAY('Recurring Schedule'!$F$21),DAY(EOMONTH($A185,0))),MOD((YEAR($A185)-YEAR('Recurring Schedule'!$F$21))*12+MONTH($A185)-MONTH('Recurring Schedule'!$F$21),'Recurring Schedule'!$O$21)=0),IF('Recurring Schedule'!$E$21="Weekdays",WEEKDAY($A185,2)&lt;=5,$A185='Recurring Schedule'!$F$21))),16,""))))</f>
        <v/>
      </c>
      <c r="R185">
        <f>IF('Recurring Schedule'!$C$22="","",IF('Recurring Schedule'!$F$22="","",IF(OR($A185&lt;'Recurring Schedule'!$F$22,$A185&gt;'Recurring Schedule'!$P$22),"",IF(IF('Recurring Schedule'!$N$22&gt;0,MOD($A185-'Recurring Schedule'!$F$22,'Recurring Schedule'!$N$22)=0,IF('Recurring Schedule'!$O$22&gt;0,AND(DAY($A185)=MIN(DAY('Recurring Schedule'!$F$22),DAY(EOMONTH($A185,0))),MOD((YEAR($A185)-YEAR('Recurring Schedule'!$F$22))*12+MONTH($A185)-MONTH('Recurring Schedule'!$F$22),'Recurring Schedule'!$O$22)=0),IF('Recurring Schedule'!$E$22="Weekdays",WEEKDAY($A185,2)&lt;=5,$A185='Recurring Schedule'!$F$22))),17,""))))</f>
        <v/>
      </c>
      <c r="S185">
        <f>IF('Recurring Schedule'!$C$23="","",IF('Recurring Schedule'!$F$23="","",IF(OR($A185&lt;'Recurring Schedule'!$F$23,$A185&gt;'Recurring Schedule'!$P$23),"",IF(IF('Recurring Schedule'!$N$23&gt;0,MOD($A185-'Recurring Schedule'!$F$23,'Recurring Schedule'!$N$23)=0,IF('Recurring Schedule'!$O$23&gt;0,AND(DAY($A185)=MIN(DAY('Recurring Schedule'!$F$23),DAY(EOMONTH($A185,0))),MOD((YEAR($A185)-YEAR('Recurring Schedule'!$F$23))*12+MONTH($A185)-MONTH('Recurring Schedule'!$F$23),'Recurring Schedule'!$O$23)=0),IF('Recurring Schedule'!$E$23="Weekdays",WEEKDAY($A185,2)&lt;=5,$A185='Recurring Schedule'!$F$23))),18,""))))</f>
        <v/>
      </c>
      <c r="T185">
        <f>IF('Recurring Schedule'!$C$24="","",IF('Recurring Schedule'!$F$24="","",IF(OR($A185&lt;'Recurring Schedule'!$F$24,$A185&gt;'Recurring Schedule'!$P$24),"",IF(IF('Recurring Schedule'!$N$24&gt;0,MOD($A185-'Recurring Schedule'!$F$24,'Recurring Schedule'!$N$24)=0,IF('Recurring Schedule'!$O$24&gt;0,AND(DAY($A185)=MIN(DAY('Recurring Schedule'!$F$24),DAY(EOMONTH($A185,0))),MOD((YEAR($A185)-YEAR('Recurring Schedule'!$F$24))*12+MONTH($A185)-MONTH('Recurring Schedule'!$F$24),'Recurring Schedule'!$O$24)=0),IF('Recurring Schedule'!$E$24="Weekdays",WEEKDAY($A185,2)&lt;=5,$A185='Recurring Schedule'!$F$24))),19,""))))</f>
        <v/>
      </c>
      <c r="U185">
        <f>IF('Recurring Schedule'!$C$25="","",IF('Recurring Schedule'!$F$25="","",IF(OR($A185&lt;'Recurring Schedule'!$F$25,$A185&gt;'Recurring Schedule'!$P$25),"",IF(IF('Recurring Schedule'!$N$25&gt;0,MOD($A185-'Recurring Schedule'!$F$25,'Recurring Schedule'!$N$25)=0,IF('Recurring Schedule'!$O$25&gt;0,AND(DAY($A185)=MIN(DAY('Recurring Schedule'!$F$25),DAY(EOMONTH($A185,0))),MOD((YEAR($A185)-YEAR('Recurring Schedule'!$F$25))*12+MONTH($A185)-MONTH('Recurring Schedule'!$F$25),'Recurring Schedule'!$O$25)=0),IF('Recurring Schedule'!$E$25="Weekdays",WEEKDAY($A185,2)&lt;=5,$A185='Recurring Schedule'!$F$25))),20,""))))</f>
        <v/>
      </c>
      <c r="V185">
        <f>IF('Recurring Schedule'!$C$26="","",IF('Recurring Schedule'!$F$26="","",IF(OR($A185&lt;'Recurring Schedule'!$F$26,$A185&gt;'Recurring Schedule'!$P$26),"",IF(IF('Recurring Schedule'!$N$26&gt;0,MOD($A185-'Recurring Schedule'!$F$26,'Recurring Schedule'!$N$26)=0,IF('Recurring Schedule'!$O$26&gt;0,AND(DAY($A185)=MIN(DAY('Recurring Schedule'!$F$26),DAY(EOMONTH($A185,0))),MOD((YEAR($A185)-YEAR('Recurring Schedule'!$F$26))*12+MONTH($A185)-MONTH('Recurring Schedule'!$F$26),'Recurring Schedule'!$O$26)=0),IF('Recurring Schedule'!$E$26="Weekdays",WEEKDAY($A185,2)&lt;=5,$A185='Recurring Schedule'!$F$26))),21,""))))</f>
        <v/>
      </c>
      <c r="W185">
        <f>IF('Recurring Schedule'!$C$27="","",IF('Recurring Schedule'!$F$27="","",IF(OR($A185&lt;'Recurring Schedule'!$F$27,$A185&gt;'Recurring Schedule'!$P$27),"",IF(IF('Recurring Schedule'!$N$27&gt;0,MOD($A185-'Recurring Schedule'!$F$27,'Recurring Schedule'!$N$27)=0,IF('Recurring Schedule'!$O$27&gt;0,AND(DAY($A185)=MIN(DAY('Recurring Schedule'!$F$27),DAY(EOMONTH($A185,0))),MOD((YEAR($A185)-YEAR('Recurring Schedule'!$F$27))*12+MONTH($A185)-MONTH('Recurring Schedule'!$F$27),'Recurring Schedule'!$O$27)=0),IF('Recurring Schedule'!$E$27="Weekdays",WEEKDAY($A185,2)&lt;=5,$A185='Recurring Schedule'!$F$27))),22,""))))</f>
        <v/>
      </c>
      <c r="X185">
        <f>IF('Recurring Schedule'!$C$28="","",IF('Recurring Schedule'!$F$28="","",IF(OR($A185&lt;'Recurring Schedule'!$F$28,$A185&gt;'Recurring Schedule'!$P$28),"",IF(IF('Recurring Schedule'!$N$28&gt;0,MOD($A185-'Recurring Schedule'!$F$28,'Recurring Schedule'!$N$28)=0,IF('Recurring Schedule'!$O$28&gt;0,AND(DAY($A185)=MIN(DAY('Recurring Schedule'!$F$28),DAY(EOMONTH($A185,0))),MOD((YEAR($A185)-YEAR('Recurring Schedule'!$F$28))*12+MONTH($A185)-MONTH('Recurring Schedule'!$F$28),'Recurring Schedule'!$O$28)=0),IF('Recurring Schedule'!$E$28="Weekdays",WEEKDAY($A185,2)&lt;=5,$A185='Recurring Schedule'!$F$28))),23,""))))</f>
        <v/>
      </c>
      <c r="Y185">
        <f>IF('Recurring Schedule'!$C$29="","",IF('Recurring Schedule'!$F$29="","",IF(OR($A185&lt;'Recurring Schedule'!$F$29,$A185&gt;'Recurring Schedule'!$P$29),"",IF(IF('Recurring Schedule'!$N$29&gt;0,MOD($A185-'Recurring Schedule'!$F$29,'Recurring Schedule'!$N$29)=0,IF('Recurring Schedule'!$O$29&gt;0,AND(DAY($A185)=MIN(DAY('Recurring Schedule'!$F$29),DAY(EOMONTH($A185,0))),MOD((YEAR($A185)-YEAR('Recurring Schedule'!$F$29))*12+MONTH($A185)-MONTH('Recurring Schedule'!$F$29),'Recurring Schedule'!$O$29)=0),IF('Recurring Schedule'!$E$29="Weekdays",WEEKDAY($A185,2)&lt;=5,$A185='Recurring Schedule'!$F$29))),24,""))))</f>
        <v/>
      </c>
      <c r="Z185">
        <f>IF('Recurring Schedule'!$C$30="","",IF('Recurring Schedule'!$F$30="","",IF(OR($A185&lt;'Recurring Schedule'!$F$30,$A185&gt;'Recurring Schedule'!$P$30),"",IF(IF('Recurring Schedule'!$N$30&gt;0,MOD($A185-'Recurring Schedule'!$F$30,'Recurring Schedule'!$N$30)=0,IF('Recurring Schedule'!$O$30&gt;0,AND(DAY($A185)=MIN(DAY('Recurring Schedule'!$F$30),DAY(EOMONTH($A185,0))),MOD((YEAR($A185)-YEAR('Recurring Schedule'!$F$30))*12+MONTH($A185)-MONTH('Recurring Schedule'!$F$30),'Recurring Schedule'!$O$30)=0),IF('Recurring Schedule'!$E$30="Weekdays",WEEKDAY($A185,2)&lt;=5,$A185='Recurring Schedule'!$F$30))),25,""))))</f>
        <v/>
      </c>
      <c r="AA185">
        <f>IF('Recurring Schedule'!$C$31="","",IF('Recurring Schedule'!$F$31="","",IF(OR($A185&lt;'Recurring Schedule'!$F$31,$A185&gt;'Recurring Schedule'!$P$31),"",IF(IF('Recurring Schedule'!$N$31&gt;0,MOD($A185-'Recurring Schedule'!$F$31,'Recurring Schedule'!$N$31)=0,IF('Recurring Schedule'!$O$31&gt;0,AND(DAY($A185)=MIN(DAY('Recurring Schedule'!$F$31),DAY(EOMONTH($A185,0))),MOD((YEAR($A185)-YEAR('Recurring Schedule'!$F$31))*12+MONTH($A185)-MONTH('Recurring Schedule'!$F$31),'Recurring Schedule'!$O$31)=0),IF('Recurring Schedule'!$E$31="Weekdays",WEEKDAY($A185,2)&lt;=5,$A185='Recurring Schedule'!$F$31))),26,""))))</f>
        <v/>
      </c>
      <c r="AB185">
        <f>IF('Recurring Schedule'!$C$32="","",IF('Recurring Schedule'!$F$32="","",IF(OR($A185&lt;'Recurring Schedule'!$F$32,$A185&gt;'Recurring Schedule'!$P$32),"",IF(IF('Recurring Schedule'!$N$32&gt;0,MOD($A185-'Recurring Schedule'!$F$32,'Recurring Schedule'!$N$32)=0,IF('Recurring Schedule'!$O$32&gt;0,AND(DAY($A185)=MIN(DAY('Recurring Schedule'!$F$32),DAY(EOMONTH($A185,0))),MOD((YEAR($A185)-YEAR('Recurring Schedule'!$F$32))*12+MONTH($A185)-MONTH('Recurring Schedule'!$F$32),'Recurring Schedule'!$O$32)=0),IF('Recurring Schedule'!$E$32="Weekdays",WEEKDAY($A185,2)&lt;=5,$A185='Recurring Schedule'!$F$32))),27,""))))</f>
        <v/>
      </c>
      <c r="AC185">
        <f>IF('Recurring Schedule'!$C$33="","",IF('Recurring Schedule'!$F$33="","",IF(OR($A185&lt;'Recurring Schedule'!$F$33,$A185&gt;'Recurring Schedule'!$P$33),"",IF(IF('Recurring Schedule'!$N$33&gt;0,MOD($A185-'Recurring Schedule'!$F$33,'Recurring Schedule'!$N$33)=0,IF('Recurring Schedule'!$O$33&gt;0,AND(DAY($A185)=MIN(DAY('Recurring Schedule'!$F$33),DAY(EOMONTH($A185,0))),MOD((YEAR($A185)-YEAR('Recurring Schedule'!$F$33))*12+MONTH($A185)-MONTH('Recurring Schedule'!$F$33),'Recurring Schedule'!$O$33)=0),IF('Recurring Schedule'!$E$33="Weekdays",WEEKDAY($A185,2)&lt;=5,$A185='Recurring Schedule'!$F$33))),28,""))))</f>
        <v/>
      </c>
      <c r="AD185">
        <f>IF('Recurring Schedule'!$C$34="","",IF('Recurring Schedule'!$F$34="","",IF(OR($A185&lt;'Recurring Schedule'!$F$34,$A185&gt;'Recurring Schedule'!$P$34),"",IF(IF('Recurring Schedule'!$N$34&gt;0,MOD($A185-'Recurring Schedule'!$F$34,'Recurring Schedule'!$N$34)=0,IF('Recurring Schedule'!$O$34&gt;0,AND(DAY($A185)=MIN(DAY('Recurring Schedule'!$F$34),DAY(EOMONTH($A185,0))),MOD((YEAR($A185)-YEAR('Recurring Schedule'!$F$34))*12+MONTH($A185)-MONTH('Recurring Schedule'!$F$34),'Recurring Schedule'!$O$34)=0),IF('Recurring Schedule'!$E$34="Weekdays",WEEKDAY($A185,2)&lt;=5,$A185='Recurring Schedule'!$F$34))),29,""))))</f>
        <v/>
      </c>
      <c r="AE185">
        <f>IF('Recurring Schedule'!$C$35="","",IF('Recurring Schedule'!$F$35="","",IF(OR($A185&lt;'Recurring Schedule'!$F$35,$A185&gt;'Recurring Schedule'!$P$35),"",IF(IF('Recurring Schedule'!$N$35&gt;0,MOD($A185-'Recurring Schedule'!$F$35,'Recurring Schedule'!$N$35)=0,IF('Recurring Schedule'!$O$35&gt;0,AND(DAY($A185)=MIN(DAY('Recurring Schedule'!$F$35),DAY(EOMONTH($A185,0))),MOD((YEAR($A185)-YEAR('Recurring Schedule'!$F$35))*12+MONTH($A185)-MONTH('Recurring Schedule'!$F$35),'Recurring Schedule'!$O$35)=0),IF('Recurring Schedule'!$E$35="Weekdays",WEEKDAY($A185,2)&lt;=5,$A185='Recurring Schedule'!$F$35))),30,""))))</f>
        <v/>
      </c>
      <c r="AF185">
        <f>IF('Recurring Schedule'!$C$36="","",IF('Recurring Schedule'!$F$36="","",IF(OR($A185&lt;'Recurring Schedule'!$F$36,$A185&gt;'Recurring Schedule'!$P$36),"",IF(IF('Recurring Schedule'!$N$36&gt;0,MOD($A185-'Recurring Schedule'!$F$36,'Recurring Schedule'!$N$36)=0,IF('Recurring Schedule'!$O$36&gt;0,AND(DAY($A185)=MIN(DAY('Recurring Schedule'!$F$36),DAY(EOMONTH($A185,0))),MOD((YEAR($A185)-YEAR('Recurring Schedule'!$F$36))*12+MONTH($A185)-MONTH('Recurring Schedule'!$F$36),'Recurring Schedule'!$O$36)=0),IF('Recurring Schedule'!$E$36="Weekdays",WEEKDAY($A185,2)&lt;=5,$A185='Recurring Schedule'!$F$36))),31,""))))</f>
        <v/>
      </c>
      <c r="AG185">
        <f>IF('Recurring Schedule'!$C$37="","",IF('Recurring Schedule'!$F$37="","",IF(OR($A185&lt;'Recurring Schedule'!$F$37,$A185&gt;'Recurring Schedule'!$P$37),"",IF(IF('Recurring Schedule'!$N$37&gt;0,MOD($A185-'Recurring Schedule'!$F$37,'Recurring Schedule'!$N$37)=0,IF('Recurring Schedule'!$O$37&gt;0,AND(DAY($A185)=MIN(DAY('Recurring Schedule'!$F$37),DAY(EOMONTH($A185,0))),MOD((YEAR($A185)-YEAR('Recurring Schedule'!$F$37))*12+MONTH($A185)-MONTH('Recurring Schedule'!$F$37),'Recurring Schedule'!$O$37)=0),IF('Recurring Schedule'!$E$37="Weekdays",WEEKDAY($A185,2)&lt;=5,$A185='Recurring Schedule'!$F$37))),32,""))))</f>
        <v/>
      </c>
      <c r="AH185">
        <f>IF('Recurring Schedule'!$C$38="","",IF('Recurring Schedule'!$F$38="","",IF(OR($A185&lt;'Recurring Schedule'!$F$38,$A185&gt;'Recurring Schedule'!$P$38),"",IF(IF('Recurring Schedule'!$N$38&gt;0,MOD($A185-'Recurring Schedule'!$F$38,'Recurring Schedule'!$N$38)=0,IF('Recurring Schedule'!$O$38&gt;0,AND(DAY($A185)=MIN(DAY('Recurring Schedule'!$F$38),DAY(EOMONTH($A185,0))),MOD((YEAR($A185)-YEAR('Recurring Schedule'!$F$38))*12+MONTH($A185)-MONTH('Recurring Schedule'!$F$38),'Recurring Schedule'!$O$38)=0),IF('Recurring Schedule'!$E$38="Weekdays",WEEKDAY($A185,2)&lt;=5,$A185='Recurring Schedule'!$F$38))),33,""))))</f>
        <v/>
      </c>
      <c r="AI185">
        <f>IF('Recurring Schedule'!$C$39="","",IF('Recurring Schedule'!$F$39="","",IF(OR($A185&lt;'Recurring Schedule'!$F$39,$A185&gt;'Recurring Schedule'!$P$39),"",IF(IF('Recurring Schedule'!$N$39&gt;0,MOD($A185-'Recurring Schedule'!$F$39,'Recurring Schedule'!$N$39)=0,IF('Recurring Schedule'!$O$39&gt;0,AND(DAY($A185)=MIN(DAY('Recurring Schedule'!$F$39),DAY(EOMONTH($A185,0))),MOD((YEAR($A185)-YEAR('Recurring Schedule'!$F$39))*12+MONTH($A185)-MONTH('Recurring Schedule'!$F$39),'Recurring Schedule'!$O$39)=0),IF('Recurring Schedule'!$E$39="Weekdays",WEEKDAY($A185,2)&lt;=5,$A185='Recurring Schedule'!$F$39))),34,""))))</f>
        <v/>
      </c>
      <c r="AJ185">
        <f>IF('Recurring Schedule'!$C$40="","",IF('Recurring Schedule'!$F$40="","",IF(OR($A185&lt;'Recurring Schedule'!$F$40,$A185&gt;'Recurring Schedule'!$P$40),"",IF(IF('Recurring Schedule'!$N$40&gt;0,MOD($A185-'Recurring Schedule'!$F$40,'Recurring Schedule'!$N$40)=0,IF('Recurring Schedule'!$O$40&gt;0,AND(DAY($A185)=MIN(DAY('Recurring Schedule'!$F$40),DAY(EOMONTH($A185,0))),MOD((YEAR($A185)-YEAR('Recurring Schedule'!$F$40))*12+MONTH($A185)-MONTH('Recurring Schedule'!$F$40),'Recurring Schedule'!$O$40)=0),IF('Recurring Schedule'!$E$40="Weekdays",WEEKDAY($A185,2)&lt;=5,$A185='Recurring Schedule'!$F$40))),35,""))))</f>
        <v/>
      </c>
      <c r="AK185">
        <f>IF('Recurring Schedule'!$C$41="","",IF('Recurring Schedule'!$F$41="","",IF(OR($A185&lt;'Recurring Schedule'!$F$41,$A185&gt;'Recurring Schedule'!$P$41),"",IF(IF('Recurring Schedule'!$N$41&gt;0,MOD($A185-'Recurring Schedule'!$F$41,'Recurring Schedule'!$N$41)=0,IF('Recurring Schedule'!$O$41&gt;0,AND(DAY($A185)=MIN(DAY('Recurring Schedule'!$F$41),DAY(EOMONTH($A185,0))),MOD((YEAR($A185)-YEAR('Recurring Schedule'!$F$41))*12+MONTH($A185)-MONTH('Recurring Schedule'!$F$41),'Recurring Schedule'!$O$41)=0),IF('Recurring Schedule'!$E$41="Weekdays",WEEKDAY($A185,2)&lt;=5,$A185='Recurring Schedule'!$F$41))),36,""))))</f>
        <v/>
      </c>
      <c r="AL185">
        <f>IF('Recurring Schedule'!$C$42="","",IF('Recurring Schedule'!$F$42="","",IF(OR($A185&lt;'Recurring Schedule'!$F$42,$A185&gt;'Recurring Schedule'!$P$42),"",IF(IF('Recurring Schedule'!$N$42&gt;0,MOD($A185-'Recurring Schedule'!$F$42,'Recurring Schedule'!$N$42)=0,IF('Recurring Schedule'!$O$42&gt;0,AND(DAY($A185)=MIN(DAY('Recurring Schedule'!$F$42),DAY(EOMONTH($A185,0))),MOD((YEAR($A185)-YEAR('Recurring Schedule'!$F$42))*12+MONTH($A185)-MONTH('Recurring Schedule'!$F$42),'Recurring Schedule'!$O$42)=0),IF('Recurring Schedule'!$E$42="Weekdays",WEEKDAY($A185,2)&lt;=5,$A185='Recurring Schedule'!$F$42))),37,""))))</f>
        <v/>
      </c>
      <c r="AM185">
        <f>IF('Recurring Schedule'!$C$43="","",IF('Recurring Schedule'!$F$43="","",IF(OR($A185&lt;'Recurring Schedule'!$F$43,$A185&gt;'Recurring Schedule'!$P$43),"",IF(IF('Recurring Schedule'!$N$43&gt;0,MOD($A185-'Recurring Schedule'!$F$43,'Recurring Schedule'!$N$43)=0,IF('Recurring Schedule'!$O$43&gt;0,AND(DAY($A185)=MIN(DAY('Recurring Schedule'!$F$43),DAY(EOMONTH($A185,0))),MOD((YEAR($A185)-YEAR('Recurring Schedule'!$F$43))*12+MONTH($A185)-MONTH('Recurring Schedule'!$F$43),'Recurring Schedule'!$O$43)=0),IF('Recurring Schedule'!$E$43="Weekdays",WEEKDAY($A185,2)&lt;=5,$A185='Recurring Schedule'!$F$43))),38,""))))</f>
        <v/>
      </c>
      <c r="AN185">
        <f>IF('Recurring Schedule'!$C$44="","",IF('Recurring Schedule'!$F$44="","",IF(OR($A185&lt;'Recurring Schedule'!$F$44,$A185&gt;'Recurring Schedule'!$P$44),"",IF(IF('Recurring Schedule'!$N$44&gt;0,MOD($A185-'Recurring Schedule'!$F$44,'Recurring Schedule'!$N$44)=0,IF('Recurring Schedule'!$O$44&gt;0,AND(DAY($A185)=MIN(DAY('Recurring Schedule'!$F$44),DAY(EOMONTH($A185,0))),MOD((YEAR($A185)-YEAR('Recurring Schedule'!$F$44))*12+MONTH($A185)-MONTH('Recurring Schedule'!$F$44),'Recurring Schedule'!$O$44)=0),IF('Recurring Schedule'!$E$44="Weekdays",WEEKDAY($A185,2)&lt;=5,$A185='Recurring Schedule'!$F$44))),39,""))))</f>
        <v/>
      </c>
      <c r="AO185">
        <f>IF('Recurring Schedule'!$C$45="","",IF('Recurring Schedule'!$F$45="","",IF(OR($A185&lt;'Recurring Schedule'!$F$45,$A185&gt;'Recurring Schedule'!$P$45),"",IF(IF('Recurring Schedule'!$N$45&gt;0,MOD($A185-'Recurring Schedule'!$F$45,'Recurring Schedule'!$N$45)=0,IF('Recurring Schedule'!$O$45&gt;0,AND(DAY($A185)=MIN(DAY('Recurring Schedule'!$F$45),DAY(EOMONTH($A185,0))),MOD((YEAR($A185)-YEAR('Recurring Schedule'!$F$45))*12+MONTH($A185)-MONTH('Recurring Schedule'!$F$45),'Recurring Schedule'!$O$45)=0),IF('Recurring Schedule'!$E$45="Weekdays",WEEKDAY($A185,2)&lt;=5,$A185='Recurring Schedule'!$F$45))),40,""))))</f>
        <v/>
      </c>
      <c r="AP185">
        <f>COUNT(B185:AO185)</f>
        <v/>
      </c>
      <c r="AQ185">
        <f>AQ184+AP184</f>
        <v/>
      </c>
      <c r="AS185" t="inlineStr">
        <is>
          <t>R</t>
        </is>
      </c>
      <c r="AT185" t="n">
        <v>189</v>
      </c>
      <c r="AU185">
        <f>'Recurring Log'!C189&amp;""</f>
        <v/>
      </c>
      <c r="AV185">
        <f>'Recurring Log'!D189&amp;""</f>
        <v/>
      </c>
      <c r="AW185">
        <f>IF('Recurring Log'!E189="","",'Recurring Log'!E189)</f>
        <v/>
      </c>
      <c r="AX185">
        <f>IF('Recurring Log'!G189="","",'Recurring Log'!G189)</f>
        <v/>
      </c>
      <c r="AY185">
        <f>IF('Recurring Log'!H189="","",'Recurring Log'!H189)</f>
        <v/>
      </c>
      <c r="AZ185">
        <f>IF(AU185="","",IF('Recurring Log'!J189="","Not Started",'Recurring Log'!J189))</f>
        <v/>
      </c>
      <c r="BA185">
        <f>'Recurring Log'!L189&amp;""</f>
        <v/>
      </c>
      <c r="BB185">
        <f>'Recurring Log'!M189&amp;""</f>
        <v/>
      </c>
      <c r="BC185">
        <f>'Recurring Log'!N189&amp;""</f>
        <v/>
      </c>
      <c r="BD185">
        <f>'Recurring Log'!O189&amp;""</f>
        <v/>
      </c>
      <c r="BE185">
        <f>IF('Recurring Log'!K189="","",'Recurring Log'!K189)</f>
        <v/>
      </c>
      <c r="BF185">
        <f>IFERROR(MATCH(BA185,Setup!$L$6:$L$9,0),5)</f>
        <v/>
      </c>
      <c r="BG185">
        <f>IF(OR(AZ185="Done",AZ185="Cancelled"),1,0)</f>
        <v/>
      </c>
      <c r="BH185">
        <f>IF(AND(AU185&lt;&gt;"",ISNUMBER(AW185)),1,0)</f>
        <v/>
      </c>
      <c r="BI185">
        <f>IF(BH185=0,0,IF(AND(AW185&gt;='Tasks Filter'!$F$3,AW185&lt;='Tasks Filter'!$F$4,OR('Tasks Filter'!$I$3="",ISNUMBER(SEARCH('Tasks Filter'!$I$3,AU185))),OR('Tasks Filter'!$I$4="",BF185=IFERROR(MATCH('Tasks Filter'!$I$4,Setup!$L$6:$L$9,0),0)),OR('Tasks Filter'!$I$5="Both",AND('Tasks Filter'!$I$5="Yes",BB185="✓"),AND('Tasks Filter'!$I$5="No",BB185&lt;&gt;"✓")),OR('Tasks Filter'!$L$3="",AV185='Tasks Filter'!$L$3),OR('Tasks Filter'!$L$4="",AZ185='Tasks Filter'!$L$4),OR('Tasks Filter'!$L$5="",BC185='Tasks Filter'!$L$5),OR('Tasks Filter'!$O$3="",BD185='Tasks Filter'!$O$3),OR('Tasks Filter'!$O$4="Yes",BG185=0)),1,0))</f>
        <v/>
      </c>
      <c r="BJ185">
        <f>IF(BH185=0,"",IF('Tasks Filter'!$F$6="Descending",-1,1)*CHOOSE(MATCH('Tasks Filter'!$F$5,Lists!$G$2:$G$6,0),AW185,BF185,IFERROR(MATCH(AV185,Setup!$F$6:$F$15,0),99),IFERROR(MATCH(BC185,Setup!$H$6:$H$15,0),99),IFERROR(MATCH(AZ185,Setup!$J$6:$J$11,0),99))*1E+9+(AW185-40000)*10000+184)</f>
        <v/>
      </c>
      <c r="BK185">
        <f>IF(BI185=1,BJ185,"")</f>
        <v/>
      </c>
      <c r="BL185">
        <f>IF(AND(BH185=1,BG185=0,N(AW185)&lt;Setup!$D$7),(AW185-40000)*10000+184,"")</f>
        <v/>
      </c>
      <c r="BM185">
        <f>IF(AND(BH185=1,AZ185&lt;&gt;"Cancelled",N(AW185)&gt;=Dashboard!$AB$3,N(AW185)&lt;=Dashboard!$AB$3+6),(AW185-40000)*100000+BF185*10000+184,"")</f>
        <v/>
      </c>
      <c r="BN185">
        <f>IF(AND(BH185=1,AZ185&lt;&gt;"Cancelled"),BF185*10000+184,"")</f>
        <v/>
      </c>
    </row>
    <row r="186">
      <c r="A186">
        <f>Setup!$D$5+184</f>
        <v/>
      </c>
      <c r="B186">
        <f>IF('Recurring Schedule'!$C$6="","",IF('Recurring Schedule'!$F$6="","",IF(OR($A186&lt;'Recurring Schedule'!$F$6,$A186&gt;'Recurring Schedule'!$P$6),"",IF(IF('Recurring Schedule'!$N$6&gt;0,MOD($A186-'Recurring Schedule'!$F$6,'Recurring Schedule'!$N$6)=0,IF('Recurring Schedule'!$O$6&gt;0,AND(DAY($A186)=MIN(DAY('Recurring Schedule'!$F$6),DAY(EOMONTH($A186,0))),MOD((YEAR($A186)-YEAR('Recurring Schedule'!$F$6))*12+MONTH($A186)-MONTH('Recurring Schedule'!$F$6),'Recurring Schedule'!$O$6)=0),IF('Recurring Schedule'!$E$6="Weekdays",WEEKDAY($A186,2)&lt;=5,$A186='Recurring Schedule'!$F$6))),1,""))))</f>
        <v/>
      </c>
      <c r="C186">
        <f>IF('Recurring Schedule'!$C$7="","",IF('Recurring Schedule'!$F$7="","",IF(OR($A186&lt;'Recurring Schedule'!$F$7,$A186&gt;'Recurring Schedule'!$P$7),"",IF(IF('Recurring Schedule'!$N$7&gt;0,MOD($A186-'Recurring Schedule'!$F$7,'Recurring Schedule'!$N$7)=0,IF('Recurring Schedule'!$O$7&gt;0,AND(DAY($A186)=MIN(DAY('Recurring Schedule'!$F$7),DAY(EOMONTH($A186,0))),MOD((YEAR($A186)-YEAR('Recurring Schedule'!$F$7))*12+MONTH($A186)-MONTH('Recurring Schedule'!$F$7),'Recurring Schedule'!$O$7)=0),IF('Recurring Schedule'!$E$7="Weekdays",WEEKDAY($A186,2)&lt;=5,$A186='Recurring Schedule'!$F$7))),2,""))))</f>
        <v/>
      </c>
      <c r="D186">
        <f>IF('Recurring Schedule'!$C$8="","",IF('Recurring Schedule'!$F$8="","",IF(OR($A186&lt;'Recurring Schedule'!$F$8,$A186&gt;'Recurring Schedule'!$P$8),"",IF(IF('Recurring Schedule'!$N$8&gt;0,MOD($A186-'Recurring Schedule'!$F$8,'Recurring Schedule'!$N$8)=0,IF('Recurring Schedule'!$O$8&gt;0,AND(DAY($A186)=MIN(DAY('Recurring Schedule'!$F$8),DAY(EOMONTH($A186,0))),MOD((YEAR($A186)-YEAR('Recurring Schedule'!$F$8))*12+MONTH($A186)-MONTH('Recurring Schedule'!$F$8),'Recurring Schedule'!$O$8)=0),IF('Recurring Schedule'!$E$8="Weekdays",WEEKDAY($A186,2)&lt;=5,$A186='Recurring Schedule'!$F$8))),3,""))))</f>
        <v/>
      </c>
      <c r="E186">
        <f>IF('Recurring Schedule'!$C$9="","",IF('Recurring Schedule'!$F$9="","",IF(OR($A186&lt;'Recurring Schedule'!$F$9,$A186&gt;'Recurring Schedule'!$P$9),"",IF(IF('Recurring Schedule'!$N$9&gt;0,MOD($A186-'Recurring Schedule'!$F$9,'Recurring Schedule'!$N$9)=0,IF('Recurring Schedule'!$O$9&gt;0,AND(DAY($A186)=MIN(DAY('Recurring Schedule'!$F$9),DAY(EOMONTH($A186,0))),MOD((YEAR($A186)-YEAR('Recurring Schedule'!$F$9))*12+MONTH($A186)-MONTH('Recurring Schedule'!$F$9),'Recurring Schedule'!$O$9)=0),IF('Recurring Schedule'!$E$9="Weekdays",WEEKDAY($A186,2)&lt;=5,$A186='Recurring Schedule'!$F$9))),4,""))))</f>
        <v/>
      </c>
      <c r="F186">
        <f>IF('Recurring Schedule'!$C$10="","",IF('Recurring Schedule'!$F$10="","",IF(OR($A186&lt;'Recurring Schedule'!$F$10,$A186&gt;'Recurring Schedule'!$P$10),"",IF(IF('Recurring Schedule'!$N$10&gt;0,MOD($A186-'Recurring Schedule'!$F$10,'Recurring Schedule'!$N$10)=0,IF('Recurring Schedule'!$O$10&gt;0,AND(DAY($A186)=MIN(DAY('Recurring Schedule'!$F$10),DAY(EOMONTH($A186,0))),MOD((YEAR($A186)-YEAR('Recurring Schedule'!$F$10))*12+MONTH($A186)-MONTH('Recurring Schedule'!$F$10),'Recurring Schedule'!$O$10)=0),IF('Recurring Schedule'!$E$10="Weekdays",WEEKDAY($A186,2)&lt;=5,$A186='Recurring Schedule'!$F$10))),5,""))))</f>
        <v/>
      </c>
      <c r="G186">
        <f>IF('Recurring Schedule'!$C$11="","",IF('Recurring Schedule'!$F$11="","",IF(OR($A186&lt;'Recurring Schedule'!$F$11,$A186&gt;'Recurring Schedule'!$P$11),"",IF(IF('Recurring Schedule'!$N$11&gt;0,MOD($A186-'Recurring Schedule'!$F$11,'Recurring Schedule'!$N$11)=0,IF('Recurring Schedule'!$O$11&gt;0,AND(DAY($A186)=MIN(DAY('Recurring Schedule'!$F$11),DAY(EOMONTH($A186,0))),MOD((YEAR($A186)-YEAR('Recurring Schedule'!$F$11))*12+MONTH($A186)-MONTH('Recurring Schedule'!$F$11),'Recurring Schedule'!$O$11)=0),IF('Recurring Schedule'!$E$11="Weekdays",WEEKDAY($A186,2)&lt;=5,$A186='Recurring Schedule'!$F$11))),6,""))))</f>
        <v/>
      </c>
      <c r="H186">
        <f>IF('Recurring Schedule'!$C$12="","",IF('Recurring Schedule'!$F$12="","",IF(OR($A186&lt;'Recurring Schedule'!$F$12,$A186&gt;'Recurring Schedule'!$P$12),"",IF(IF('Recurring Schedule'!$N$12&gt;0,MOD($A186-'Recurring Schedule'!$F$12,'Recurring Schedule'!$N$12)=0,IF('Recurring Schedule'!$O$12&gt;0,AND(DAY($A186)=MIN(DAY('Recurring Schedule'!$F$12),DAY(EOMONTH($A186,0))),MOD((YEAR($A186)-YEAR('Recurring Schedule'!$F$12))*12+MONTH($A186)-MONTH('Recurring Schedule'!$F$12),'Recurring Schedule'!$O$12)=0),IF('Recurring Schedule'!$E$12="Weekdays",WEEKDAY($A186,2)&lt;=5,$A186='Recurring Schedule'!$F$12))),7,""))))</f>
        <v/>
      </c>
      <c r="I186">
        <f>IF('Recurring Schedule'!$C$13="","",IF('Recurring Schedule'!$F$13="","",IF(OR($A186&lt;'Recurring Schedule'!$F$13,$A186&gt;'Recurring Schedule'!$P$13),"",IF(IF('Recurring Schedule'!$N$13&gt;0,MOD($A186-'Recurring Schedule'!$F$13,'Recurring Schedule'!$N$13)=0,IF('Recurring Schedule'!$O$13&gt;0,AND(DAY($A186)=MIN(DAY('Recurring Schedule'!$F$13),DAY(EOMONTH($A186,0))),MOD((YEAR($A186)-YEAR('Recurring Schedule'!$F$13))*12+MONTH($A186)-MONTH('Recurring Schedule'!$F$13),'Recurring Schedule'!$O$13)=0),IF('Recurring Schedule'!$E$13="Weekdays",WEEKDAY($A186,2)&lt;=5,$A186='Recurring Schedule'!$F$13))),8,""))))</f>
        <v/>
      </c>
      <c r="J186">
        <f>IF('Recurring Schedule'!$C$14="","",IF('Recurring Schedule'!$F$14="","",IF(OR($A186&lt;'Recurring Schedule'!$F$14,$A186&gt;'Recurring Schedule'!$P$14),"",IF(IF('Recurring Schedule'!$N$14&gt;0,MOD($A186-'Recurring Schedule'!$F$14,'Recurring Schedule'!$N$14)=0,IF('Recurring Schedule'!$O$14&gt;0,AND(DAY($A186)=MIN(DAY('Recurring Schedule'!$F$14),DAY(EOMONTH($A186,0))),MOD((YEAR($A186)-YEAR('Recurring Schedule'!$F$14))*12+MONTH($A186)-MONTH('Recurring Schedule'!$F$14),'Recurring Schedule'!$O$14)=0),IF('Recurring Schedule'!$E$14="Weekdays",WEEKDAY($A186,2)&lt;=5,$A186='Recurring Schedule'!$F$14))),9,""))))</f>
        <v/>
      </c>
      <c r="K186">
        <f>IF('Recurring Schedule'!$C$15="","",IF('Recurring Schedule'!$F$15="","",IF(OR($A186&lt;'Recurring Schedule'!$F$15,$A186&gt;'Recurring Schedule'!$P$15),"",IF(IF('Recurring Schedule'!$N$15&gt;0,MOD($A186-'Recurring Schedule'!$F$15,'Recurring Schedule'!$N$15)=0,IF('Recurring Schedule'!$O$15&gt;0,AND(DAY($A186)=MIN(DAY('Recurring Schedule'!$F$15),DAY(EOMONTH($A186,0))),MOD((YEAR($A186)-YEAR('Recurring Schedule'!$F$15))*12+MONTH($A186)-MONTH('Recurring Schedule'!$F$15),'Recurring Schedule'!$O$15)=0),IF('Recurring Schedule'!$E$15="Weekdays",WEEKDAY($A186,2)&lt;=5,$A186='Recurring Schedule'!$F$15))),10,""))))</f>
        <v/>
      </c>
      <c r="L186">
        <f>IF('Recurring Schedule'!$C$16="","",IF('Recurring Schedule'!$F$16="","",IF(OR($A186&lt;'Recurring Schedule'!$F$16,$A186&gt;'Recurring Schedule'!$P$16),"",IF(IF('Recurring Schedule'!$N$16&gt;0,MOD($A186-'Recurring Schedule'!$F$16,'Recurring Schedule'!$N$16)=0,IF('Recurring Schedule'!$O$16&gt;0,AND(DAY($A186)=MIN(DAY('Recurring Schedule'!$F$16),DAY(EOMONTH($A186,0))),MOD((YEAR($A186)-YEAR('Recurring Schedule'!$F$16))*12+MONTH($A186)-MONTH('Recurring Schedule'!$F$16),'Recurring Schedule'!$O$16)=0),IF('Recurring Schedule'!$E$16="Weekdays",WEEKDAY($A186,2)&lt;=5,$A186='Recurring Schedule'!$F$16))),11,""))))</f>
        <v/>
      </c>
      <c r="M186">
        <f>IF('Recurring Schedule'!$C$17="","",IF('Recurring Schedule'!$F$17="","",IF(OR($A186&lt;'Recurring Schedule'!$F$17,$A186&gt;'Recurring Schedule'!$P$17),"",IF(IF('Recurring Schedule'!$N$17&gt;0,MOD($A186-'Recurring Schedule'!$F$17,'Recurring Schedule'!$N$17)=0,IF('Recurring Schedule'!$O$17&gt;0,AND(DAY($A186)=MIN(DAY('Recurring Schedule'!$F$17),DAY(EOMONTH($A186,0))),MOD((YEAR($A186)-YEAR('Recurring Schedule'!$F$17))*12+MONTH($A186)-MONTH('Recurring Schedule'!$F$17),'Recurring Schedule'!$O$17)=0),IF('Recurring Schedule'!$E$17="Weekdays",WEEKDAY($A186,2)&lt;=5,$A186='Recurring Schedule'!$F$17))),12,""))))</f>
        <v/>
      </c>
      <c r="N186">
        <f>IF('Recurring Schedule'!$C$18="","",IF('Recurring Schedule'!$F$18="","",IF(OR($A186&lt;'Recurring Schedule'!$F$18,$A186&gt;'Recurring Schedule'!$P$18),"",IF(IF('Recurring Schedule'!$N$18&gt;0,MOD($A186-'Recurring Schedule'!$F$18,'Recurring Schedule'!$N$18)=0,IF('Recurring Schedule'!$O$18&gt;0,AND(DAY($A186)=MIN(DAY('Recurring Schedule'!$F$18),DAY(EOMONTH($A186,0))),MOD((YEAR($A186)-YEAR('Recurring Schedule'!$F$18))*12+MONTH($A186)-MONTH('Recurring Schedule'!$F$18),'Recurring Schedule'!$O$18)=0),IF('Recurring Schedule'!$E$18="Weekdays",WEEKDAY($A186,2)&lt;=5,$A186='Recurring Schedule'!$F$18))),13,""))))</f>
        <v/>
      </c>
      <c r="O186">
        <f>IF('Recurring Schedule'!$C$19="","",IF('Recurring Schedule'!$F$19="","",IF(OR($A186&lt;'Recurring Schedule'!$F$19,$A186&gt;'Recurring Schedule'!$P$19),"",IF(IF('Recurring Schedule'!$N$19&gt;0,MOD($A186-'Recurring Schedule'!$F$19,'Recurring Schedule'!$N$19)=0,IF('Recurring Schedule'!$O$19&gt;0,AND(DAY($A186)=MIN(DAY('Recurring Schedule'!$F$19),DAY(EOMONTH($A186,0))),MOD((YEAR($A186)-YEAR('Recurring Schedule'!$F$19))*12+MONTH($A186)-MONTH('Recurring Schedule'!$F$19),'Recurring Schedule'!$O$19)=0),IF('Recurring Schedule'!$E$19="Weekdays",WEEKDAY($A186,2)&lt;=5,$A186='Recurring Schedule'!$F$19))),14,""))))</f>
        <v/>
      </c>
      <c r="P186">
        <f>IF('Recurring Schedule'!$C$20="","",IF('Recurring Schedule'!$F$20="","",IF(OR($A186&lt;'Recurring Schedule'!$F$20,$A186&gt;'Recurring Schedule'!$P$20),"",IF(IF('Recurring Schedule'!$N$20&gt;0,MOD($A186-'Recurring Schedule'!$F$20,'Recurring Schedule'!$N$20)=0,IF('Recurring Schedule'!$O$20&gt;0,AND(DAY($A186)=MIN(DAY('Recurring Schedule'!$F$20),DAY(EOMONTH($A186,0))),MOD((YEAR($A186)-YEAR('Recurring Schedule'!$F$20))*12+MONTH($A186)-MONTH('Recurring Schedule'!$F$20),'Recurring Schedule'!$O$20)=0),IF('Recurring Schedule'!$E$20="Weekdays",WEEKDAY($A186,2)&lt;=5,$A186='Recurring Schedule'!$F$20))),15,""))))</f>
        <v/>
      </c>
      <c r="Q186">
        <f>IF('Recurring Schedule'!$C$21="","",IF('Recurring Schedule'!$F$21="","",IF(OR($A186&lt;'Recurring Schedule'!$F$21,$A186&gt;'Recurring Schedule'!$P$21),"",IF(IF('Recurring Schedule'!$N$21&gt;0,MOD($A186-'Recurring Schedule'!$F$21,'Recurring Schedule'!$N$21)=0,IF('Recurring Schedule'!$O$21&gt;0,AND(DAY($A186)=MIN(DAY('Recurring Schedule'!$F$21),DAY(EOMONTH($A186,0))),MOD((YEAR($A186)-YEAR('Recurring Schedule'!$F$21))*12+MONTH($A186)-MONTH('Recurring Schedule'!$F$21),'Recurring Schedule'!$O$21)=0),IF('Recurring Schedule'!$E$21="Weekdays",WEEKDAY($A186,2)&lt;=5,$A186='Recurring Schedule'!$F$21))),16,""))))</f>
        <v/>
      </c>
      <c r="R186">
        <f>IF('Recurring Schedule'!$C$22="","",IF('Recurring Schedule'!$F$22="","",IF(OR($A186&lt;'Recurring Schedule'!$F$22,$A186&gt;'Recurring Schedule'!$P$22),"",IF(IF('Recurring Schedule'!$N$22&gt;0,MOD($A186-'Recurring Schedule'!$F$22,'Recurring Schedule'!$N$22)=0,IF('Recurring Schedule'!$O$22&gt;0,AND(DAY($A186)=MIN(DAY('Recurring Schedule'!$F$22),DAY(EOMONTH($A186,0))),MOD((YEAR($A186)-YEAR('Recurring Schedule'!$F$22))*12+MONTH($A186)-MONTH('Recurring Schedule'!$F$22),'Recurring Schedule'!$O$22)=0),IF('Recurring Schedule'!$E$22="Weekdays",WEEKDAY($A186,2)&lt;=5,$A186='Recurring Schedule'!$F$22))),17,""))))</f>
        <v/>
      </c>
      <c r="S186">
        <f>IF('Recurring Schedule'!$C$23="","",IF('Recurring Schedule'!$F$23="","",IF(OR($A186&lt;'Recurring Schedule'!$F$23,$A186&gt;'Recurring Schedule'!$P$23),"",IF(IF('Recurring Schedule'!$N$23&gt;0,MOD($A186-'Recurring Schedule'!$F$23,'Recurring Schedule'!$N$23)=0,IF('Recurring Schedule'!$O$23&gt;0,AND(DAY($A186)=MIN(DAY('Recurring Schedule'!$F$23),DAY(EOMONTH($A186,0))),MOD((YEAR($A186)-YEAR('Recurring Schedule'!$F$23))*12+MONTH($A186)-MONTH('Recurring Schedule'!$F$23),'Recurring Schedule'!$O$23)=0),IF('Recurring Schedule'!$E$23="Weekdays",WEEKDAY($A186,2)&lt;=5,$A186='Recurring Schedule'!$F$23))),18,""))))</f>
        <v/>
      </c>
      <c r="T186">
        <f>IF('Recurring Schedule'!$C$24="","",IF('Recurring Schedule'!$F$24="","",IF(OR($A186&lt;'Recurring Schedule'!$F$24,$A186&gt;'Recurring Schedule'!$P$24),"",IF(IF('Recurring Schedule'!$N$24&gt;0,MOD($A186-'Recurring Schedule'!$F$24,'Recurring Schedule'!$N$24)=0,IF('Recurring Schedule'!$O$24&gt;0,AND(DAY($A186)=MIN(DAY('Recurring Schedule'!$F$24),DAY(EOMONTH($A186,0))),MOD((YEAR($A186)-YEAR('Recurring Schedule'!$F$24))*12+MONTH($A186)-MONTH('Recurring Schedule'!$F$24),'Recurring Schedule'!$O$24)=0),IF('Recurring Schedule'!$E$24="Weekdays",WEEKDAY($A186,2)&lt;=5,$A186='Recurring Schedule'!$F$24))),19,""))))</f>
        <v/>
      </c>
      <c r="U186">
        <f>IF('Recurring Schedule'!$C$25="","",IF('Recurring Schedule'!$F$25="","",IF(OR($A186&lt;'Recurring Schedule'!$F$25,$A186&gt;'Recurring Schedule'!$P$25),"",IF(IF('Recurring Schedule'!$N$25&gt;0,MOD($A186-'Recurring Schedule'!$F$25,'Recurring Schedule'!$N$25)=0,IF('Recurring Schedule'!$O$25&gt;0,AND(DAY($A186)=MIN(DAY('Recurring Schedule'!$F$25),DAY(EOMONTH($A186,0))),MOD((YEAR($A186)-YEAR('Recurring Schedule'!$F$25))*12+MONTH($A186)-MONTH('Recurring Schedule'!$F$25),'Recurring Schedule'!$O$25)=0),IF('Recurring Schedule'!$E$25="Weekdays",WEEKDAY($A186,2)&lt;=5,$A186='Recurring Schedule'!$F$25))),20,""))))</f>
        <v/>
      </c>
      <c r="V186">
        <f>IF('Recurring Schedule'!$C$26="","",IF('Recurring Schedule'!$F$26="","",IF(OR($A186&lt;'Recurring Schedule'!$F$26,$A186&gt;'Recurring Schedule'!$P$26),"",IF(IF('Recurring Schedule'!$N$26&gt;0,MOD($A186-'Recurring Schedule'!$F$26,'Recurring Schedule'!$N$26)=0,IF('Recurring Schedule'!$O$26&gt;0,AND(DAY($A186)=MIN(DAY('Recurring Schedule'!$F$26),DAY(EOMONTH($A186,0))),MOD((YEAR($A186)-YEAR('Recurring Schedule'!$F$26))*12+MONTH($A186)-MONTH('Recurring Schedule'!$F$26),'Recurring Schedule'!$O$26)=0),IF('Recurring Schedule'!$E$26="Weekdays",WEEKDAY($A186,2)&lt;=5,$A186='Recurring Schedule'!$F$26))),21,""))))</f>
        <v/>
      </c>
      <c r="W186">
        <f>IF('Recurring Schedule'!$C$27="","",IF('Recurring Schedule'!$F$27="","",IF(OR($A186&lt;'Recurring Schedule'!$F$27,$A186&gt;'Recurring Schedule'!$P$27),"",IF(IF('Recurring Schedule'!$N$27&gt;0,MOD($A186-'Recurring Schedule'!$F$27,'Recurring Schedule'!$N$27)=0,IF('Recurring Schedule'!$O$27&gt;0,AND(DAY($A186)=MIN(DAY('Recurring Schedule'!$F$27),DAY(EOMONTH($A186,0))),MOD((YEAR($A186)-YEAR('Recurring Schedule'!$F$27))*12+MONTH($A186)-MONTH('Recurring Schedule'!$F$27),'Recurring Schedule'!$O$27)=0),IF('Recurring Schedule'!$E$27="Weekdays",WEEKDAY($A186,2)&lt;=5,$A186='Recurring Schedule'!$F$27))),22,""))))</f>
        <v/>
      </c>
      <c r="X186">
        <f>IF('Recurring Schedule'!$C$28="","",IF('Recurring Schedule'!$F$28="","",IF(OR($A186&lt;'Recurring Schedule'!$F$28,$A186&gt;'Recurring Schedule'!$P$28),"",IF(IF('Recurring Schedule'!$N$28&gt;0,MOD($A186-'Recurring Schedule'!$F$28,'Recurring Schedule'!$N$28)=0,IF('Recurring Schedule'!$O$28&gt;0,AND(DAY($A186)=MIN(DAY('Recurring Schedule'!$F$28),DAY(EOMONTH($A186,0))),MOD((YEAR($A186)-YEAR('Recurring Schedule'!$F$28))*12+MONTH($A186)-MONTH('Recurring Schedule'!$F$28),'Recurring Schedule'!$O$28)=0),IF('Recurring Schedule'!$E$28="Weekdays",WEEKDAY($A186,2)&lt;=5,$A186='Recurring Schedule'!$F$28))),23,""))))</f>
        <v/>
      </c>
      <c r="Y186">
        <f>IF('Recurring Schedule'!$C$29="","",IF('Recurring Schedule'!$F$29="","",IF(OR($A186&lt;'Recurring Schedule'!$F$29,$A186&gt;'Recurring Schedule'!$P$29),"",IF(IF('Recurring Schedule'!$N$29&gt;0,MOD($A186-'Recurring Schedule'!$F$29,'Recurring Schedule'!$N$29)=0,IF('Recurring Schedule'!$O$29&gt;0,AND(DAY($A186)=MIN(DAY('Recurring Schedule'!$F$29),DAY(EOMONTH($A186,0))),MOD((YEAR($A186)-YEAR('Recurring Schedule'!$F$29))*12+MONTH($A186)-MONTH('Recurring Schedule'!$F$29),'Recurring Schedule'!$O$29)=0),IF('Recurring Schedule'!$E$29="Weekdays",WEEKDAY($A186,2)&lt;=5,$A186='Recurring Schedule'!$F$29))),24,""))))</f>
        <v/>
      </c>
      <c r="Z186">
        <f>IF('Recurring Schedule'!$C$30="","",IF('Recurring Schedule'!$F$30="","",IF(OR($A186&lt;'Recurring Schedule'!$F$30,$A186&gt;'Recurring Schedule'!$P$30),"",IF(IF('Recurring Schedule'!$N$30&gt;0,MOD($A186-'Recurring Schedule'!$F$30,'Recurring Schedule'!$N$30)=0,IF('Recurring Schedule'!$O$30&gt;0,AND(DAY($A186)=MIN(DAY('Recurring Schedule'!$F$30),DAY(EOMONTH($A186,0))),MOD((YEAR($A186)-YEAR('Recurring Schedule'!$F$30))*12+MONTH($A186)-MONTH('Recurring Schedule'!$F$30),'Recurring Schedule'!$O$30)=0),IF('Recurring Schedule'!$E$30="Weekdays",WEEKDAY($A186,2)&lt;=5,$A186='Recurring Schedule'!$F$30))),25,""))))</f>
        <v/>
      </c>
      <c r="AA186">
        <f>IF('Recurring Schedule'!$C$31="","",IF('Recurring Schedule'!$F$31="","",IF(OR($A186&lt;'Recurring Schedule'!$F$31,$A186&gt;'Recurring Schedule'!$P$31),"",IF(IF('Recurring Schedule'!$N$31&gt;0,MOD($A186-'Recurring Schedule'!$F$31,'Recurring Schedule'!$N$31)=0,IF('Recurring Schedule'!$O$31&gt;0,AND(DAY($A186)=MIN(DAY('Recurring Schedule'!$F$31),DAY(EOMONTH($A186,0))),MOD((YEAR($A186)-YEAR('Recurring Schedule'!$F$31))*12+MONTH($A186)-MONTH('Recurring Schedule'!$F$31),'Recurring Schedule'!$O$31)=0),IF('Recurring Schedule'!$E$31="Weekdays",WEEKDAY($A186,2)&lt;=5,$A186='Recurring Schedule'!$F$31))),26,""))))</f>
        <v/>
      </c>
      <c r="AB186">
        <f>IF('Recurring Schedule'!$C$32="","",IF('Recurring Schedule'!$F$32="","",IF(OR($A186&lt;'Recurring Schedule'!$F$32,$A186&gt;'Recurring Schedule'!$P$32),"",IF(IF('Recurring Schedule'!$N$32&gt;0,MOD($A186-'Recurring Schedule'!$F$32,'Recurring Schedule'!$N$32)=0,IF('Recurring Schedule'!$O$32&gt;0,AND(DAY($A186)=MIN(DAY('Recurring Schedule'!$F$32),DAY(EOMONTH($A186,0))),MOD((YEAR($A186)-YEAR('Recurring Schedule'!$F$32))*12+MONTH($A186)-MONTH('Recurring Schedule'!$F$32),'Recurring Schedule'!$O$32)=0),IF('Recurring Schedule'!$E$32="Weekdays",WEEKDAY($A186,2)&lt;=5,$A186='Recurring Schedule'!$F$32))),27,""))))</f>
        <v/>
      </c>
      <c r="AC186">
        <f>IF('Recurring Schedule'!$C$33="","",IF('Recurring Schedule'!$F$33="","",IF(OR($A186&lt;'Recurring Schedule'!$F$33,$A186&gt;'Recurring Schedule'!$P$33),"",IF(IF('Recurring Schedule'!$N$33&gt;0,MOD($A186-'Recurring Schedule'!$F$33,'Recurring Schedule'!$N$33)=0,IF('Recurring Schedule'!$O$33&gt;0,AND(DAY($A186)=MIN(DAY('Recurring Schedule'!$F$33),DAY(EOMONTH($A186,0))),MOD((YEAR($A186)-YEAR('Recurring Schedule'!$F$33))*12+MONTH($A186)-MONTH('Recurring Schedule'!$F$33),'Recurring Schedule'!$O$33)=0),IF('Recurring Schedule'!$E$33="Weekdays",WEEKDAY($A186,2)&lt;=5,$A186='Recurring Schedule'!$F$33))),28,""))))</f>
        <v/>
      </c>
      <c r="AD186">
        <f>IF('Recurring Schedule'!$C$34="","",IF('Recurring Schedule'!$F$34="","",IF(OR($A186&lt;'Recurring Schedule'!$F$34,$A186&gt;'Recurring Schedule'!$P$34),"",IF(IF('Recurring Schedule'!$N$34&gt;0,MOD($A186-'Recurring Schedule'!$F$34,'Recurring Schedule'!$N$34)=0,IF('Recurring Schedule'!$O$34&gt;0,AND(DAY($A186)=MIN(DAY('Recurring Schedule'!$F$34),DAY(EOMONTH($A186,0))),MOD((YEAR($A186)-YEAR('Recurring Schedule'!$F$34))*12+MONTH($A186)-MONTH('Recurring Schedule'!$F$34),'Recurring Schedule'!$O$34)=0),IF('Recurring Schedule'!$E$34="Weekdays",WEEKDAY($A186,2)&lt;=5,$A186='Recurring Schedule'!$F$34))),29,""))))</f>
        <v/>
      </c>
      <c r="AE186">
        <f>IF('Recurring Schedule'!$C$35="","",IF('Recurring Schedule'!$F$35="","",IF(OR($A186&lt;'Recurring Schedule'!$F$35,$A186&gt;'Recurring Schedule'!$P$35),"",IF(IF('Recurring Schedule'!$N$35&gt;0,MOD($A186-'Recurring Schedule'!$F$35,'Recurring Schedule'!$N$35)=0,IF('Recurring Schedule'!$O$35&gt;0,AND(DAY($A186)=MIN(DAY('Recurring Schedule'!$F$35),DAY(EOMONTH($A186,0))),MOD((YEAR($A186)-YEAR('Recurring Schedule'!$F$35))*12+MONTH($A186)-MONTH('Recurring Schedule'!$F$35),'Recurring Schedule'!$O$35)=0),IF('Recurring Schedule'!$E$35="Weekdays",WEEKDAY($A186,2)&lt;=5,$A186='Recurring Schedule'!$F$35))),30,""))))</f>
        <v/>
      </c>
      <c r="AF186">
        <f>IF('Recurring Schedule'!$C$36="","",IF('Recurring Schedule'!$F$36="","",IF(OR($A186&lt;'Recurring Schedule'!$F$36,$A186&gt;'Recurring Schedule'!$P$36),"",IF(IF('Recurring Schedule'!$N$36&gt;0,MOD($A186-'Recurring Schedule'!$F$36,'Recurring Schedule'!$N$36)=0,IF('Recurring Schedule'!$O$36&gt;0,AND(DAY($A186)=MIN(DAY('Recurring Schedule'!$F$36),DAY(EOMONTH($A186,0))),MOD((YEAR($A186)-YEAR('Recurring Schedule'!$F$36))*12+MONTH($A186)-MONTH('Recurring Schedule'!$F$36),'Recurring Schedule'!$O$36)=0),IF('Recurring Schedule'!$E$36="Weekdays",WEEKDAY($A186,2)&lt;=5,$A186='Recurring Schedule'!$F$36))),31,""))))</f>
        <v/>
      </c>
      <c r="AG186">
        <f>IF('Recurring Schedule'!$C$37="","",IF('Recurring Schedule'!$F$37="","",IF(OR($A186&lt;'Recurring Schedule'!$F$37,$A186&gt;'Recurring Schedule'!$P$37),"",IF(IF('Recurring Schedule'!$N$37&gt;0,MOD($A186-'Recurring Schedule'!$F$37,'Recurring Schedule'!$N$37)=0,IF('Recurring Schedule'!$O$37&gt;0,AND(DAY($A186)=MIN(DAY('Recurring Schedule'!$F$37),DAY(EOMONTH($A186,0))),MOD((YEAR($A186)-YEAR('Recurring Schedule'!$F$37))*12+MONTH($A186)-MONTH('Recurring Schedule'!$F$37),'Recurring Schedule'!$O$37)=0),IF('Recurring Schedule'!$E$37="Weekdays",WEEKDAY($A186,2)&lt;=5,$A186='Recurring Schedule'!$F$37))),32,""))))</f>
        <v/>
      </c>
      <c r="AH186">
        <f>IF('Recurring Schedule'!$C$38="","",IF('Recurring Schedule'!$F$38="","",IF(OR($A186&lt;'Recurring Schedule'!$F$38,$A186&gt;'Recurring Schedule'!$P$38),"",IF(IF('Recurring Schedule'!$N$38&gt;0,MOD($A186-'Recurring Schedule'!$F$38,'Recurring Schedule'!$N$38)=0,IF('Recurring Schedule'!$O$38&gt;0,AND(DAY($A186)=MIN(DAY('Recurring Schedule'!$F$38),DAY(EOMONTH($A186,0))),MOD((YEAR($A186)-YEAR('Recurring Schedule'!$F$38))*12+MONTH($A186)-MONTH('Recurring Schedule'!$F$38),'Recurring Schedule'!$O$38)=0),IF('Recurring Schedule'!$E$38="Weekdays",WEEKDAY($A186,2)&lt;=5,$A186='Recurring Schedule'!$F$38))),33,""))))</f>
        <v/>
      </c>
      <c r="AI186">
        <f>IF('Recurring Schedule'!$C$39="","",IF('Recurring Schedule'!$F$39="","",IF(OR($A186&lt;'Recurring Schedule'!$F$39,$A186&gt;'Recurring Schedule'!$P$39),"",IF(IF('Recurring Schedule'!$N$39&gt;0,MOD($A186-'Recurring Schedule'!$F$39,'Recurring Schedule'!$N$39)=0,IF('Recurring Schedule'!$O$39&gt;0,AND(DAY($A186)=MIN(DAY('Recurring Schedule'!$F$39),DAY(EOMONTH($A186,0))),MOD((YEAR($A186)-YEAR('Recurring Schedule'!$F$39))*12+MONTH($A186)-MONTH('Recurring Schedule'!$F$39),'Recurring Schedule'!$O$39)=0),IF('Recurring Schedule'!$E$39="Weekdays",WEEKDAY($A186,2)&lt;=5,$A186='Recurring Schedule'!$F$39))),34,""))))</f>
        <v/>
      </c>
      <c r="AJ186">
        <f>IF('Recurring Schedule'!$C$40="","",IF('Recurring Schedule'!$F$40="","",IF(OR($A186&lt;'Recurring Schedule'!$F$40,$A186&gt;'Recurring Schedule'!$P$40),"",IF(IF('Recurring Schedule'!$N$40&gt;0,MOD($A186-'Recurring Schedule'!$F$40,'Recurring Schedule'!$N$40)=0,IF('Recurring Schedule'!$O$40&gt;0,AND(DAY($A186)=MIN(DAY('Recurring Schedule'!$F$40),DAY(EOMONTH($A186,0))),MOD((YEAR($A186)-YEAR('Recurring Schedule'!$F$40))*12+MONTH($A186)-MONTH('Recurring Schedule'!$F$40),'Recurring Schedule'!$O$40)=0),IF('Recurring Schedule'!$E$40="Weekdays",WEEKDAY($A186,2)&lt;=5,$A186='Recurring Schedule'!$F$40))),35,""))))</f>
        <v/>
      </c>
      <c r="AK186">
        <f>IF('Recurring Schedule'!$C$41="","",IF('Recurring Schedule'!$F$41="","",IF(OR($A186&lt;'Recurring Schedule'!$F$41,$A186&gt;'Recurring Schedule'!$P$41),"",IF(IF('Recurring Schedule'!$N$41&gt;0,MOD($A186-'Recurring Schedule'!$F$41,'Recurring Schedule'!$N$41)=0,IF('Recurring Schedule'!$O$41&gt;0,AND(DAY($A186)=MIN(DAY('Recurring Schedule'!$F$41),DAY(EOMONTH($A186,0))),MOD((YEAR($A186)-YEAR('Recurring Schedule'!$F$41))*12+MONTH($A186)-MONTH('Recurring Schedule'!$F$41),'Recurring Schedule'!$O$41)=0),IF('Recurring Schedule'!$E$41="Weekdays",WEEKDAY($A186,2)&lt;=5,$A186='Recurring Schedule'!$F$41))),36,""))))</f>
        <v/>
      </c>
      <c r="AL186">
        <f>IF('Recurring Schedule'!$C$42="","",IF('Recurring Schedule'!$F$42="","",IF(OR($A186&lt;'Recurring Schedule'!$F$42,$A186&gt;'Recurring Schedule'!$P$42),"",IF(IF('Recurring Schedule'!$N$42&gt;0,MOD($A186-'Recurring Schedule'!$F$42,'Recurring Schedule'!$N$42)=0,IF('Recurring Schedule'!$O$42&gt;0,AND(DAY($A186)=MIN(DAY('Recurring Schedule'!$F$42),DAY(EOMONTH($A186,0))),MOD((YEAR($A186)-YEAR('Recurring Schedule'!$F$42))*12+MONTH($A186)-MONTH('Recurring Schedule'!$F$42),'Recurring Schedule'!$O$42)=0),IF('Recurring Schedule'!$E$42="Weekdays",WEEKDAY($A186,2)&lt;=5,$A186='Recurring Schedule'!$F$42))),37,""))))</f>
        <v/>
      </c>
      <c r="AM186">
        <f>IF('Recurring Schedule'!$C$43="","",IF('Recurring Schedule'!$F$43="","",IF(OR($A186&lt;'Recurring Schedule'!$F$43,$A186&gt;'Recurring Schedule'!$P$43),"",IF(IF('Recurring Schedule'!$N$43&gt;0,MOD($A186-'Recurring Schedule'!$F$43,'Recurring Schedule'!$N$43)=0,IF('Recurring Schedule'!$O$43&gt;0,AND(DAY($A186)=MIN(DAY('Recurring Schedule'!$F$43),DAY(EOMONTH($A186,0))),MOD((YEAR($A186)-YEAR('Recurring Schedule'!$F$43))*12+MONTH($A186)-MONTH('Recurring Schedule'!$F$43),'Recurring Schedule'!$O$43)=0),IF('Recurring Schedule'!$E$43="Weekdays",WEEKDAY($A186,2)&lt;=5,$A186='Recurring Schedule'!$F$43))),38,""))))</f>
        <v/>
      </c>
      <c r="AN186">
        <f>IF('Recurring Schedule'!$C$44="","",IF('Recurring Schedule'!$F$44="","",IF(OR($A186&lt;'Recurring Schedule'!$F$44,$A186&gt;'Recurring Schedule'!$P$44),"",IF(IF('Recurring Schedule'!$N$44&gt;0,MOD($A186-'Recurring Schedule'!$F$44,'Recurring Schedule'!$N$44)=0,IF('Recurring Schedule'!$O$44&gt;0,AND(DAY($A186)=MIN(DAY('Recurring Schedule'!$F$44),DAY(EOMONTH($A186,0))),MOD((YEAR($A186)-YEAR('Recurring Schedule'!$F$44))*12+MONTH($A186)-MONTH('Recurring Schedule'!$F$44),'Recurring Schedule'!$O$44)=0),IF('Recurring Schedule'!$E$44="Weekdays",WEEKDAY($A186,2)&lt;=5,$A186='Recurring Schedule'!$F$44))),39,""))))</f>
        <v/>
      </c>
      <c r="AO186">
        <f>IF('Recurring Schedule'!$C$45="","",IF('Recurring Schedule'!$F$45="","",IF(OR($A186&lt;'Recurring Schedule'!$F$45,$A186&gt;'Recurring Schedule'!$P$45),"",IF(IF('Recurring Schedule'!$N$45&gt;0,MOD($A186-'Recurring Schedule'!$F$45,'Recurring Schedule'!$N$45)=0,IF('Recurring Schedule'!$O$45&gt;0,AND(DAY($A186)=MIN(DAY('Recurring Schedule'!$F$45),DAY(EOMONTH($A186,0))),MOD((YEAR($A186)-YEAR('Recurring Schedule'!$F$45))*12+MONTH($A186)-MONTH('Recurring Schedule'!$F$45),'Recurring Schedule'!$O$45)=0),IF('Recurring Schedule'!$E$45="Weekdays",WEEKDAY($A186,2)&lt;=5,$A186='Recurring Schedule'!$F$45))),40,""))))</f>
        <v/>
      </c>
      <c r="AP186">
        <f>COUNT(B186:AO186)</f>
        <v/>
      </c>
      <c r="AQ186">
        <f>AQ185+AP185</f>
        <v/>
      </c>
      <c r="AS186" t="inlineStr">
        <is>
          <t>R</t>
        </is>
      </c>
      <c r="AT186" t="n">
        <v>190</v>
      </c>
      <c r="AU186">
        <f>'Recurring Log'!C190&amp;""</f>
        <v/>
      </c>
      <c r="AV186">
        <f>'Recurring Log'!D190&amp;""</f>
        <v/>
      </c>
      <c r="AW186">
        <f>IF('Recurring Log'!E190="","",'Recurring Log'!E190)</f>
        <v/>
      </c>
      <c r="AX186">
        <f>IF('Recurring Log'!G190="","",'Recurring Log'!G190)</f>
        <v/>
      </c>
      <c r="AY186">
        <f>IF('Recurring Log'!H190="","",'Recurring Log'!H190)</f>
        <v/>
      </c>
      <c r="AZ186">
        <f>IF(AU186="","",IF('Recurring Log'!J190="","Not Started",'Recurring Log'!J190))</f>
        <v/>
      </c>
      <c r="BA186">
        <f>'Recurring Log'!L190&amp;""</f>
        <v/>
      </c>
      <c r="BB186">
        <f>'Recurring Log'!M190&amp;""</f>
        <v/>
      </c>
      <c r="BC186">
        <f>'Recurring Log'!N190&amp;""</f>
        <v/>
      </c>
      <c r="BD186">
        <f>'Recurring Log'!O190&amp;""</f>
        <v/>
      </c>
      <c r="BE186">
        <f>IF('Recurring Log'!K190="","",'Recurring Log'!K190)</f>
        <v/>
      </c>
      <c r="BF186">
        <f>IFERROR(MATCH(BA186,Setup!$L$6:$L$9,0),5)</f>
        <v/>
      </c>
      <c r="BG186">
        <f>IF(OR(AZ186="Done",AZ186="Cancelled"),1,0)</f>
        <v/>
      </c>
      <c r="BH186">
        <f>IF(AND(AU186&lt;&gt;"",ISNUMBER(AW186)),1,0)</f>
        <v/>
      </c>
      <c r="BI186">
        <f>IF(BH186=0,0,IF(AND(AW186&gt;='Tasks Filter'!$F$3,AW186&lt;='Tasks Filter'!$F$4,OR('Tasks Filter'!$I$3="",ISNUMBER(SEARCH('Tasks Filter'!$I$3,AU186))),OR('Tasks Filter'!$I$4="",BF186=IFERROR(MATCH('Tasks Filter'!$I$4,Setup!$L$6:$L$9,0),0)),OR('Tasks Filter'!$I$5="Both",AND('Tasks Filter'!$I$5="Yes",BB186="✓"),AND('Tasks Filter'!$I$5="No",BB186&lt;&gt;"✓")),OR('Tasks Filter'!$L$3="",AV186='Tasks Filter'!$L$3),OR('Tasks Filter'!$L$4="",AZ186='Tasks Filter'!$L$4),OR('Tasks Filter'!$L$5="",BC186='Tasks Filter'!$L$5),OR('Tasks Filter'!$O$3="",BD186='Tasks Filter'!$O$3),OR('Tasks Filter'!$O$4="Yes",BG186=0)),1,0))</f>
        <v/>
      </c>
      <c r="BJ186">
        <f>IF(BH186=0,"",IF('Tasks Filter'!$F$6="Descending",-1,1)*CHOOSE(MATCH('Tasks Filter'!$F$5,Lists!$G$2:$G$6,0),AW186,BF186,IFERROR(MATCH(AV186,Setup!$F$6:$F$15,0),99),IFERROR(MATCH(BC186,Setup!$H$6:$H$15,0),99),IFERROR(MATCH(AZ186,Setup!$J$6:$J$11,0),99))*1E+9+(AW186-40000)*10000+185)</f>
        <v/>
      </c>
      <c r="BK186">
        <f>IF(BI186=1,BJ186,"")</f>
        <v/>
      </c>
      <c r="BL186">
        <f>IF(AND(BH186=1,BG186=0,N(AW186)&lt;Setup!$D$7),(AW186-40000)*10000+185,"")</f>
        <v/>
      </c>
      <c r="BM186">
        <f>IF(AND(BH186=1,AZ186&lt;&gt;"Cancelled",N(AW186)&gt;=Dashboard!$AB$3,N(AW186)&lt;=Dashboard!$AB$3+6),(AW186-40000)*100000+BF186*10000+185,"")</f>
        <v/>
      </c>
      <c r="BN186">
        <f>IF(AND(BH186=1,AZ186&lt;&gt;"Cancelled"),BF186*10000+185,"")</f>
        <v/>
      </c>
    </row>
    <row r="187">
      <c r="A187">
        <f>Setup!$D$5+185</f>
        <v/>
      </c>
      <c r="B187">
        <f>IF('Recurring Schedule'!$C$6="","",IF('Recurring Schedule'!$F$6="","",IF(OR($A187&lt;'Recurring Schedule'!$F$6,$A187&gt;'Recurring Schedule'!$P$6),"",IF(IF('Recurring Schedule'!$N$6&gt;0,MOD($A187-'Recurring Schedule'!$F$6,'Recurring Schedule'!$N$6)=0,IF('Recurring Schedule'!$O$6&gt;0,AND(DAY($A187)=MIN(DAY('Recurring Schedule'!$F$6),DAY(EOMONTH($A187,0))),MOD((YEAR($A187)-YEAR('Recurring Schedule'!$F$6))*12+MONTH($A187)-MONTH('Recurring Schedule'!$F$6),'Recurring Schedule'!$O$6)=0),IF('Recurring Schedule'!$E$6="Weekdays",WEEKDAY($A187,2)&lt;=5,$A187='Recurring Schedule'!$F$6))),1,""))))</f>
        <v/>
      </c>
      <c r="C187">
        <f>IF('Recurring Schedule'!$C$7="","",IF('Recurring Schedule'!$F$7="","",IF(OR($A187&lt;'Recurring Schedule'!$F$7,$A187&gt;'Recurring Schedule'!$P$7),"",IF(IF('Recurring Schedule'!$N$7&gt;0,MOD($A187-'Recurring Schedule'!$F$7,'Recurring Schedule'!$N$7)=0,IF('Recurring Schedule'!$O$7&gt;0,AND(DAY($A187)=MIN(DAY('Recurring Schedule'!$F$7),DAY(EOMONTH($A187,0))),MOD((YEAR($A187)-YEAR('Recurring Schedule'!$F$7))*12+MONTH($A187)-MONTH('Recurring Schedule'!$F$7),'Recurring Schedule'!$O$7)=0),IF('Recurring Schedule'!$E$7="Weekdays",WEEKDAY($A187,2)&lt;=5,$A187='Recurring Schedule'!$F$7))),2,""))))</f>
        <v/>
      </c>
      <c r="D187">
        <f>IF('Recurring Schedule'!$C$8="","",IF('Recurring Schedule'!$F$8="","",IF(OR($A187&lt;'Recurring Schedule'!$F$8,$A187&gt;'Recurring Schedule'!$P$8),"",IF(IF('Recurring Schedule'!$N$8&gt;0,MOD($A187-'Recurring Schedule'!$F$8,'Recurring Schedule'!$N$8)=0,IF('Recurring Schedule'!$O$8&gt;0,AND(DAY($A187)=MIN(DAY('Recurring Schedule'!$F$8),DAY(EOMONTH($A187,0))),MOD((YEAR($A187)-YEAR('Recurring Schedule'!$F$8))*12+MONTH($A187)-MONTH('Recurring Schedule'!$F$8),'Recurring Schedule'!$O$8)=0),IF('Recurring Schedule'!$E$8="Weekdays",WEEKDAY($A187,2)&lt;=5,$A187='Recurring Schedule'!$F$8))),3,""))))</f>
        <v/>
      </c>
      <c r="E187">
        <f>IF('Recurring Schedule'!$C$9="","",IF('Recurring Schedule'!$F$9="","",IF(OR($A187&lt;'Recurring Schedule'!$F$9,$A187&gt;'Recurring Schedule'!$P$9),"",IF(IF('Recurring Schedule'!$N$9&gt;0,MOD($A187-'Recurring Schedule'!$F$9,'Recurring Schedule'!$N$9)=0,IF('Recurring Schedule'!$O$9&gt;0,AND(DAY($A187)=MIN(DAY('Recurring Schedule'!$F$9),DAY(EOMONTH($A187,0))),MOD((YEAR($A187)-YEAR('Recurring Schedule'!$F$9))*12+MONTH($A187)-MONTH('Recurring Schedule'!$F$9),'Recurring Schedule'!$O$9)=0),IF('Recurring Schedule'!$E$9="Weekdays",WEEKDAY($A187,2)&lt;=5,$A187='Recurring Schedule'!$F$9))),4,""))))</f>
        <v/>
      </c>
      <c r="F187">
        <f>IF('Recurring Schedule'!$C$10="","",IF('Recurring Schedule'!$F$10="","",IF(OR($A187&lt;'Recurring Schedule'!$F$10,$A187&gt;'Recurring Schedule'!$P$10),"",IF(IF('Recurring Schedule'!$N$10&gt;0,MOD($A187-'Recurring Schedule'!$F$10,'Recurring Schedule'!$N$10)=0,IF('Recurring Schedule'!$O$10&gt;0,AND(DAY($A187)=MIN(DAY('Recurring Schedule'!$F$10),DAY(EOMONTH($A187,0))),MOD((YEAR($A187)-YEAR('Recurring Schedule'!$F$10))*12+MONTH($A187)-MONTH('Recurring Schedule'!$F$10),'Recurring Schedule'!$O$10)=0),IF('Recurring Schedule'!$E$10="Weekdays",WEEKDAY($A187,2)&lt;=5,$A187='Recurring Schedule'!$F$10))),5,""))))</f>
        <v/>
      </c>
      <c r="G187">
        <f>IF('Recurring Schedule'!$C$11="","",IF('Recurring Schedule'!$F$11="","",IF(OR($A187&lt;'Recurring Schedule'!$F$11,$A187&gt;'Recurring Schedule'!$P$11),"",IF(IF('Recurring Schedule'!$N$11&gt;0,MOD($A187-'Recurring Schedule'!$F$11,'Recurring Schedule'!$N$11)=0,IF('Recurring Schedule'!$O$11&gt;0,AND(DAY($A187)=MIN(DAY('Recurring Schedule'!$F$11),DAY(EOMONTH($A187,0))),MOD((YEAR($A187)-YEAR('Recurring Schedule'!$F$11))*12+MONTH($A187)-MONTH('Recurring Schedule'!$F$11),'Recurring Schedule'!$O$11)=0),IF('Recurring Schedule'!$E$11="Weekdays",WEEKDAY($A187,2)&lt;=5,$A187='Recurring Schedule'!$F$11))),6,""))))</f>
        <v/>
      </c>
      <c r="H187">
        <f>IF('Recurring Schedule'!$C$12="","",IF('Recurring Schedule'!$F$12="","",IF(OR($A187&lt;'Recurring Schedule'!$F$12,$A187&gt;'Recurring Schedule'!$P$12),"",IF(IF('Recurring Schedule'!$N$12&gt;0,MOD($A187-'Recurring Schedule'!$F$12,'Recurring Schedule'!$N$12)=0,IF('Recurring Schedule'!$O$12&gt;0,AND(DAY($A187)=MIN(DAY('Recurring Schedule'!$F$12),DAY(EOMONTH($A187,0))),MOD((YEAR($A187)-YEAR('Recurring Schedule'!$F$12))*12+MONTH($A187)-MONTH('Recurring Schedule'!$F$12),'Recurring Schedule'!$O$12)=0),IF('Recurring Schedule'!$E$12="Weekdays",WEEKDAY($A187,2)&lt;=5,$A187='Recurring Schedule'!$F$12))),7,""))))</f>
        <v/>
      </c>
      <c r="I187">
        <f>IF('Recurring Schedule'!$C$13="","",IF('Recurring Schedule'!$F$13="","",IF(OR($A187&lt;'Recurring Schedule'!$F$13,$A187&gt;'Recurring Schedule'!$P$13),"",IF(IF('Recurring Schedule'!$N$13&gt;0,MOD($A187-'Recurring Schedule'!$F$13,'Recurring Schedule'!$N$13)=0,IF('Recurring Schedule'!$O$13&gt;0,AND(DAY($A187)=MIN(DAY('Recurring Schedule'!$F$13),DAY(EOMONTH($A187,0))),MOD((YEAR($A187)-YEAR('Recurring Schedule'!$F$13))*12+MONTH($A187)-MONTH('Recurring Schedule'!$F$13),'Recurring Schedule'!$O$13)=0),IF('Recurring Schedule'!$E$13="Weekdays",WEEKDAY($A187,2)&lt;=5,$A187='Recurring Schedule'!$F$13))),8,""))))</f>
        <v/>
      </c>
      <c r="J187">
        <f>IF('Recurring Schedule'!$C$14="","",IF('Recurring Schedule'!$F$14="","",IF(OR($A187&lt;'Recurring Schedule'!$F$14,$A187&gt;'Recurring Schedule'!$P$14),"",IF(IF('Recurring Schedule'!$N$14&gt;0,MOD($A187-'Recurring Schedule'!$F$14,'Recurring Schedule'!$N$14)=0,IF('Recurring Schedule'!$O$14&gt;0,AND(DAY($A187)=MIN(DAY('Recurring Schedule'!$F$14),DAY(EOMONTH($A187,0))),MOD((YEAR($A187)-YEAR('Recurring Schedule'!$F$14))*12+MONTH($A187)-MONTH('Recurring Schedule'!$F$14),'Recurring Schedule'!$O$14)=0),IF('Recurring Schedule'!$E$14="Weekdays",WEEKDAY($A187,2)&lt;=5,$A187='Recurring Schedule'!$F$14))),9,""))))</f>
        <v/>
      </c>
      <c r="K187">
        <f>IF('Recurring Schedule'!$C$15="","",IF('Recurring Schedule'!$F$15="","",IF(OR($A187&lt;'Recurring Schedule'!$F$15,$A187&gt;'Recurring Schedule'!$P$15),"",IF(IF('Recurring Schedule'!$N$15&gt;0,MOD($A187-'Recurring Schedule'!$F$15,'Recurring Schedule'!$N$15)=0,IF('Recurring Schedule'!$O$15&gt;0,AND(DAY($A187)=MIN(DAY('Recurring Schedule'!$F$15),DAY(EOMONTH($A187,0))),MOD((YEAR($A187)-YEAR('Recurring Schedule'!$F$15))*12+MONTH($A187)-MONTH('Recurring Schedule'!$F$15),'Recurring Schedule'!$O$15)=0),IF('Recurring Schedule'!$E$15="Weekdays",WEEKDAY($A187,2)&lt;=5,$A187='Recurring Schedule'!$F$15))),10,""))))</f>
        <v/>
      </c>
      <c r="L187">
        <f>IF('Recurring Schedule'!$C$16="","",IF('Recurring Schedule'!$F$16="","",IF(OR($A187&lt;'Recurring Schedule'!$F$16,$A187&gt;'Recurring Schedule'!$P$16),"",IF(IF('Recurring Schedule'!$N$16&gt;0,MOD($A187-'Recurring Schedule'!$F$16,'Recurring Schedule'!$N$16)=0,IF('Recurring Schedule'!$O$16&gt;0,AND(DAY($A187)=MIN(DAY('Recurring Schedule'!$F$16),DAY(EOMONTH($A187,0))),MOD((YEAR($A187)-YEAR('Recurring Schedule'!$F$16))*12+MONTH($A187)-MONTH('Recurring Schedule'!$F$16),'Recurring Schedule'!$O$16)=0),IF('Recurring Schedule'!$E$16="Weekdays",WEEKDAY($A187,2)&lt;=5,$A187='Recurring Schedule'!$F$16))),11,""))))</f>
        <v/>
      </c>
      <c r="M187">
        <f>IF('Recurring Schedule'!$C$17="","",IF('Recurring Schedule'!$F$17="","",IF(OR($A187&lt;'Recurring Schedule'!$F$17,$A187&gt;'Recurring Schedule'!$P$17),"",IF(IF('Recurring Schedule'!$N$17&gt;0,MOD($A187-'Recurring Schedule'!$F$17,'Recurring Schedule'!$N$17)=0,IF('Recurring Schedule'!$O$17&gt;0,AND(DAY($A187)=MIN(DAY('Recurring Schedule'!$F$17),DAY(EOMONTH($A187,0))),MOD((YEAR($A187)-YEAR('Recurring Schedule'!$F$17))*12+MONTH($A187)-MONTH('Recurring Schedule'!$F$17),'Recurring Schedule'!$O$17)=0),IF('Recurring Schedule'!$E$17="Weekdays",WEEKDAY($A187,2)&lt;=5,$A187='Recurring Schedule'!$F$17))),12,""))))</f>
        <v/>
      </c>
      <c r="N187">
        <f>IF('Recurring Schedule'!$C$18="","",IF('Recurring Schedule'!$F$18="","",IF(OR($A187&lt;'Recurring Schedule'!$F$18,$A187&gt;'Recurring Schedule'!$P$18),"",IF(IF('Recurring Schedule'!$N$18&gt;0,MOD($A187-'Recurring Schedule'!$F$18,'Recurring Schedule'!$N$18)=0,IF('Recurring Schedule'!$O$18&gt;0,AND(DAY($A187)=MIN(DAY('Recurring Schedule'!$F$18),DAY(EOMONTH($A187,0))),MOD((YEAR($A187)-YEAR('Recurring Schedule'!$F$18))*12+MONTH($A187)-MONTH('Recurring Schedule'!$F$18),'Recurring Schedule'!$O$18)=0),IF('Recurring Schedule'!$E$18="Weekdays",WEEKDAY($A187,2)&lt;=5,$A187='Recurring Schedule'!$F$18))),13,""))))</f>
        <v/>
      </c>
      <c r="O187">
        <f>IF('Recurring Schedule'!$C$19="","",IF('Recurring Schedule'!$F$19="","",IF(OR($A187&lt;'Recurring Schedule'!$F$19,$A187&gt;'Recurring Schedule'!$P$19),"",IF(IF('Recurring Schedule'!$N$19&gt;0,MOD($A187-'Recurring Schedule'!$F$19,'Recurring Schedule'!$N$19)=0,IF('Recurring Schedule'!$O$19&gt;0,AND(DAY($A187)=MIN(DAY('Recurring Schedule'!$F$19),DAY(EOMONTH($A187,0))),MOD((YEAR($A187)-YEAR('Recurring Schedule'!$F$19))*12+MONTH($A187)-MONTH('Recurring Schedule'!$F$19),'Recurring Schedule'!$O$19)=0),IF('Recurring Schedule'!$E$19="Weekdays",WEEKDAY($A187,2)&lt;=5,$A187='Recurring Schedule'!$F$19))),14,""))))</f>
        <v/>
      </c>
      <c r="P187">
        <f>IF('Recurring Schedule'!$C$20="","",IF('Recurring Schedule'!$F$20="","",IF(OR($A187&lt;'Recurring Schedule'!$F$20,$A187&gt;'Recurring Schedule'!$P$20),"",IF(IF('Recurring Schedule'!$N$20&gt;0,MOD($A187-'Recurring Schedule'!$F$20,'Recurring Schedule'!$N$20)=0,IF('Recurring Schedule'!$O$20&gt;0,AND(DAY($A187)=MIN(DAY('Recurring Schedule'!$F$20),DAY(EOMONTH($A187,0))),MOD((YEAR($A187)-YEAR('Recurring Schedule'!$F$20))*12+MONTH($A187)-MONTH('Recurring Schedule'!$F$20),'Recurring Schedule'!$O$20)=0),IF('Recurring Schedule'!$E$20="Weekdays",WEEKDAY($A187,2)&lt;=5,$A187='Recurring Schedule'!$F$20))),15,""))))</f>
        <v/>
      </c>
      <c r="Q187">
        <f>IF('Recurring Schedule'!$C$21="","",IF('Recurring Schedule'!$F$21="","",IF(OR($A187&lt;'Recurring Schedule'!$F$21,$A187&gt;'Recurring Schedule'!$P$21),"",IF(IF('Recurring Schedule'!$N$21&gt;0,MOD($A187-'Recurring Schedule'!$F$21,'Recurring Schedule'!$N$21)=0,IF('Recurring Schedule'!$O$21&gt;0,AND(DAY($A187)=MIN(DAY('Recurring Schedule'!$F$21),DAY(EOMONTH($A187,0))),MOD((YEAR($A187)-YEAR('Recurring Schedule'!$F$21))*12+MONTH($A187)-MONTH('Recurring Schedule'!$F$21),'Recurring Schedule'!$O$21)=0),IF('Recurring Schedule'!$E$21="Weekdays",WEEKDAY($A187,2)&lt;=5,$A187='Recurring Schedule'!$F$21))),16,""))))</f>
        <v/>
      </c>
      <c r="R187">
        <f>IF('Recurring Schedule'!$C$22="","",IF('Recurring Schedule'!$F$22="","",IF(OR($A187&lt;'Recurring Schedule'!$F$22,$A187&gt;'Recurring Schedule'!$P$22),"",IF(IF('Recurring Schedule'!$N$22&gt;0,MOD($A187-'Recurring Schedule'!$F$22,'Recurring Schedule'!$N$22)=0,IF('Recurring Schedule'!$O$22&gt;0,AND(DAY($A187)=MIN(DAY('Recurring Schedule'!$F$22),DAY(EOMONTH($A187,0))),MOD((YEAR($A187)-YEAR('Recurring Schedule'!$F$22))*12+MONTH($A187)-MONTH('Recurring Schedule'!$F$22),'Recurring Schedule'!$O$22)=0),IF('Recurring Schedule'!$E$22="Weekdays",WEEKDAY($A187,2)&lt;=5,$A187='Recurring Schedule'!$F$22))),17,""))))</f>
        <v/>
      </c>
      <c r="S187">
        <f>IF('Recurring Schedule'!$C$23="","",IF('Recurring Schedule'!$F$23="","",IF(OR($A187&lt;'Recurring Schedule'!$F$23,$A187&gt;'Recurring Schedule'!$P$23),"",IF(IF('Recurring Schedule'!$N$23&gt;0,MOD($A187-'Recurring Schedule'!$F$23,'Recurring Schedule'!$N$23)=0,IF('Recurring Schedule'!$O$23&gt;0,AND(DAY($A187)=MIN(DAY('Recurring Schedule'!$F$23),DAY(EOMONTH($A187,0))),MOD((YEAR($A187)-YEAR('Recurring Schedule'!$F$23))*12+MONTH($A187)-MONTH('Recurring Schedule'!$F$23),'Recurring Schedule'!$O$23)=0),IF('Recurring Schedule'!$E$23="Weekdays",WEEKDAY($A187,2)&lt;=5,$A187='Recurring Schedule'!$F$23))),18,""))))</f>
        <v/>
      </c>
      <c r="T187">
        <f>IF('Recurring Schedule'!$C$24="","",IF('Recurring Schedule'!$F$24="","",IF(OR($A187&lt;'Recurring Schedule'!$F$24,$A187&gt;'Recurring Schedule'!$P$24),"",IF(IF('Recurring Schedule'!$N$24&gt;0,MOD($A187-'Recurring Schedule'!$F$24,'Recurring Schedule'!$N$24)=0,IF('Recurring Schedule'!$O$24&gt;0,AND(DAY($A187)=MIN(DAY('Recurring Schedule'!$F$24),DAY(EOMONTH($A187,0))),MOD((YEAR($A187)-YEAR('Recurring Schedule'!$F$24))*12+MONTH($A187)-MONTH('Recurring Schedule'!$F$24),'Recurring Schedule'!$O$24)=0),IF('Recurring Schedule'!$E$24="Weekdays",WEEKDAY($A187,2)&lt;=5,$A187='Recurring Schedule'!$F$24))),19,""))))</f>
        <v/>
      </c>
      <c r="U187">
        <f>IF('Recurring Schedule'!$C$25="","",IF('Recurring Schedule'!$F$25="","",IF(OR($A187&lt;'Recurring Schedule'!$F$25,$A187&gt;'Recurring Schedule'!$P$25),"",IF(IF('Recurring Schedule'!$N$25&gt;0,MOD($A187-'Recurring Schedule'!$F$25,'Recurring Schedule'!$N$25)=0,IF('Recurring Schedule'!$O$25&gt;0,AND(DAY($A187)=MIN(DAY('Recurring Schedule'!$F$25),DAY(EOMONTH($A187,0))),MOD((YEAR($A187)-YEAR('Recurring Schedule'!$F$25))*12+MONTH($A187)-MONTH('Recurring Schedule'!$F$25),'Recurring Schedule'!$O$25)=0),IF('Recurring Schedule'!$E$25="Weekdays",WEEKDAY($A187,2)&lt;=5,$A187='Recurring Schedule'!$F$25))),20,""))))</f>
        <v/>
      </c>
      <c r="V187">
        <f>IF('Recurring Schedule'!$C$26="","",IF('Recurring Schedule'!$F$26="","",IF(OR($A187&lt;'Recurring Schedule'!$F$26,$A187&gt;'Recurring Schedule'!$P$26),"",IF(IF('Recurring Schedule'!$N$26&gt;0,MOD($A187-'Recurring Schedule'!$F$26,'Recurring Schedule'!$N$26)=0,IF('Recurring Schedule'!$O$26&gt;0,AND(DAY($A187)=MIN(DAY('Recurring Schedule'!$F$26),DAY(EOMONTH($A187,0))),MOD((YEAR($A187)-YEAR('Recurring Schedule'!$F$26))*12+MONTH($A187)-MONTH('Recurring Schedule'!$F$26),'Recurring Schedule'!$O$26)=0),IF('Recurring Schedule'!$E$26="Weekdays",WEEKDAY($A187,2)&lt;=5,$A187='Recurring Schedule'!$F$26))),21,""))))</f>
        <v/>
      </c>
      <c r="W187">
        <f>IF('Recurring Schedule'!$C$27="","",IF('Recurring Schedule'!$F$27="","",IF(OR($A187&lt;'Recurring Schedule'!$F$27,$A187&gt;'Recurring Schedule'!$P$27),"",IF(IF('Recurring Schedule'!$N$27&gt;0,MOD($A187-'Recurring Schedule'!$F$27,'Recurring Schedule'!$N$27)=0,IF('Recurring Schedule'!$O$27&gt;0,AND(DAY($A187)=MIN(DAY('Recurring Schedule'!$F$27),DAY(EOMONTH($A187,0))),MOD((YEAR($A187)-YEAR('Recurring Schedule'!$F$27))*12+MONTH($A187)-MONTH('Recurring Schedule'!$F$27),'Recurring Schedule'!$O$27)=0),IF('Recurring Schedule'!$E$27="Weekdays",WEEKDAY($A187,2)&lt;=5,$A187='Recurring Schedule'!$F$27))),22,""))))</f>
        <v/>
      </c>
      <c r="X187">
        <f>IF('Recurring Schedule'!$C$28="","",IF('Recurring Schedule'!$F$28="","",IF(OR($A187&lt;'Recurring Schedule'!$F$28,$A187&gt;'Recurring Schedule'!$P$28),"",IF(IF('Recurring Schedule'!$N$28&gt;0,MOD($A187-'Recurring Schedule'!$F$28,'Recurring Schedule'!$N$28)=0,IF('Recurring Schedule'!$O$28&gt;0,AND(DAY($A187)=MIN(DAY('Recurring Schedule'!$F$28),DAY(EOMONTH($A187,0))),MOD((YEAR($A187)-YEAR('Recurring Schedule'!$F$28))*12+MONTH($A187)-MONTH('Recurring Schedule'!$F$28),'Recurring Schedule'!$O$28)=0),IF('Recurring Schedule'!$E$28="Weekdays",WEEKDAY($A187,2)&lt;=5,$A187='Recurring Schedule'!$F$28))),23,""))))</f>
        <v/>
      </c>
      <c r="Y187">
        <f>IF('Recurring Schedule'!$C$29="","",IF('Recurring Schedule'!$F$29="","",IF(OR($A187&lt;'Recurring Schedule'!$F$29,$A187&gt;'Recurring Schedule'!$P$29),"",IF(IF('Recurring Schedule'!$N$29&gt;0,MOD($A187-'Recurring Schedule'!$F$29,'Recurring Schedule'!$N$29)=0,IF('Recurring Schedule'!$O$29&gt;0,AND(DAY($A187)=MIN(DAY('Recurring Schedule'!$F$29),DAY(EOMONTH($A187,0))),MOD((YEAR($A187)-YEAR('Recurring Schedule'!$F$29))*12+MONTH($A187)-MONTH('Recurring Schedule'!$F$29),'Recurring Schedule'!$O$29)=0),IF('Recurring Schedule'!$E$29="Weekdays",WEEKDAY($A187,2)&lt;=5,$A187='Recurring Schedule'!$F$29))),24,""))))</f>
        <v/>
      </c>
      <c r="Z187">
        <f>IF('Recurring Schedule'!$C$30="","",IF('Recurring Schedule'!$F$30="","",IF(OR($A187&lt;'Recurring Schedule'!$F$30,$A187&gt;'Recurring Schedule'!$P$30),"",IF(IF('Recurring Schedule'!$N$30&gt;0,MOD($A187-'Recurring Schedule'!$F$30,'Recurring Schedule'!$N$30)=0,IF('Recurring Schedule'!$O$30&gt;0,AND(DAY($A187)=MIN(DAY('Recurring Schedule'!$F$30),DAY(EOMONTH($A187,0))),MOD((YEAR($A187)-YEAR('Recurring Schedule'!$F$30))*12+MONTH($A187)-MONTH('Recurring Schedule'!$F$30),'Recurring Schedule'!$O$30)=0),IF('Recurring Schedule'!$E$30="Weekdays",WEEKDAY($A187,2)&lt;=5,$A187='Recurring Schedule'!$F$30))),25,""))))</f>
        <v/>
      </c>
      <c r="AA187">
        <f>IF('Recurring Schedule'!$C$31="","",IF('Recurring Schedule'!$F$31="","",IF(OR($A187&lt;'Recurring Schedule'!$F$31,$A187&gt;'Recurring Schedule'!$P$31),"",IF(IF('Recurring Schedule'!$N$31&gt;0,MOD($A187-'Recurring Schedule'!$F$31,'Recurring Schedule'!$N$31)=0,IF('Recurring Schedule'!$O$31&gt;0,AND(DAY($A187)=MIN(DAY('Recurring Schedule'!$F$31),DAY(EOMONTH($A187,0))),MOD((YEAR($A187)-YEAR('Recurring Schedule'!$F$31))*12+MONTH($A187)-MONTH('Recurring Schedule'!$F$31),'Recurring Schedule'!$O$31)=0),IF('Recurring Schedule'!$E$31="Weekdays",WEEKDAY($A187,2)&lt;=5,$A187='Recurring Schedule'!$F$31))),26,""))))</f>
        <v/>
      </c>
      <c r="AB187">
        <f>IF('Recurring Schedule'!$C$32="","",IF('Recurring Schedule'!$F$32="","",IF(OR($A187&lt;'Recurring Schedule'!$F$32,$A187&gt;'Recurring Schedule'!$P$32),"",IF(IF('Recurring Schedule'!$N$32&gt;0,MOD($A187-'Recurring Schedule'!$F$32,'Recurring Schedule'!$N$32)=0,IF('Recurring Schedule'!$O$32&gt;0,AND(DAY($A187)=MIN(DAY('Recurring Schedule'!$F$32),DAY(EOMONTH($A187,0))),MOD((YEAR($A187)-YEAR('Recurring Schedule'!$F$32))*12+MONTH($A187)-MONTH('Recurring Schedule'!$F$32),'Recurring Schedule'!$O$32)=0),IF('Recurring Schedule'!$E$32="Weekdays",WEEKDAY($A187,2)&lt;=5,$A187='Recurring Schedule'!$F$32))),27,""))))</f>
        <v/>
      </c>
      <c r="AC187">
        <f>IF('Recurring Schedule'!$C$33="","",IF('Recurring Schedule'!$F$33="","",IF(OR($A187&lt;'Recurring Schedule'!$F$33,$A187&gt;'Recurring Schedule'!$P$33),"",IF(IF('Recurring Schedule'!$N$33&gt;0,MOD($A187-'Recurring Schedule'!$F$33,'Recurring Schedule'!$N$33)=0,IF('Recurring Schedule'!$O$33&gt;0,AND(DAY($A187)=MIN(DAY('Recurring Schedule'!$F$33),DAY(EOMONTH($A187,0))),MOD((YEAR($A187)-YEAR('Recurring Schedule'!$F$33))*12+MONTH($A187)-MONTH('Recurring Schedule'!$F$33),'Recurring Schedule'!$O$33)=0),IF('Recurring Schedule'!$E$33="Weekdays",WEEKDAY($A187,2)&lt;=5,$A187='Recurring Schedule'!$F$33))),28,""))))</f>
        <v/>
      </c>
      <c r="AD187">
        <f>IF('Recurring Schedule'!$C$34="","",IF('Recurring Schedule'!$F$34="","",IF(OR($A187&lt;'Recurring Schedule'!$F$34,$A187&gt;'Recurring Schedule'!$P$34),"",IF(IF('Recurring Schedule'!$N$34&gt;0,MOD($A187-'Recurring Schedule'!$F$34,'Recurring Schedule'!$N$34)=0,IF('Recurring Schedule'!$O$34&gt;0,AND(DAY($A187)=MIN(DAY('Recurring Schedule'!$F$34),DAY(EOMONTH($A187,0))),MOD((YEAR($A187)-YEAR('Recurring Schedule'!$F$34))*12+MONTH($A187)-MONTH('Recurring Schedule'!$F$34),'Recurring Schedule'!$O$34)=0),IF('Recurring Schedule'!$E$34="Weekdays",WEEKDAY($A187,2)&lt;=5,$A187='Recurring Schedule'!$F$34))),29,""))))</f>
        <v/>
      </c>
      <c r="AE187">
        <f>IF('Recurring Schedule'!$C$35="","",IF('Recurring Schedule'!$F$35="","",IF(OR($A187&lt;'Recurring Schedule'!$F$35,$A187&gt;'Recurring Schedule'!$P$35),"",IF(IF('Recurring Schedule'!$N$35&gt;0,MOD($A187-'Recurring Schedule'!$F$35,'Recurring Schedule'!$N$35)=0,IF('Recurring Schedule'!$O$35&gt;0,AND(DAY($A187)=MIN(DAY('Recurring Schedule'!$F$35),DAY(EOMONTH($A187,0))),MOD((YEAR($A187)-YEAR('Recurring Schedule'!$F$35))*12+MONTH($A187)-MONTH('Recurring Schedule'!$F$35),'Recurring Schedule'!$O$35)=0),IF('Recurring Schedule'!$E$35="Weekdays",WEEKDAY($A187,2)&lt;=5,$A187='Recurring Schedule'!$F$35))),30,""))))</f>
        <v/>
      </c>
      <c r="AF187">
        <f>IF('Recurring Schedule'!$C$36="","",IF('Recurring Schedule'!$F$36="","",IF(OR($A187&lt;'Recurring Schedule'!$F$36,$A187&gt;'Recurring Schedule'!$P$36),"",IF(IF('Recurring Schedule'!$N$36&gt;0,MOD($A187-'Recurring Schedule'!$F$36,'Recurring Schedule'!$N$36)=0,IF('Recurring Schedule'!$O$36&gt;0,AND(DAY($A187)=MIN(DAY('Recurring Schedule'!$F$36),DAY(EOMONTH($A187,0))),MOD((YEAR($A187)-YEAR('Recurring Schedule'!$F$36))*12+MONTH($A187)-MONTH('Recurring Schedule'!$F$36),'Recurring Schedule'!$O$36)=0),IF('Recurring Schedule'!$E$36="Weekdays",WEEKDAY($A187,2)&lt;=5,$A187='Recurring Schedule'!$F$36))),31,""))))</f>
        <v/>
      </c>
      <c r="AG187">
        <f>IF('Recurring Schedule'!$C$37="","",IF('Recurring Schedule'!$F$37="","",IF(OR($A187&lt;'Recurring Schedule'!$F$37,$A187&gt;'Recurring Schedule'!$P$37),"",IF(IF('Recurring Schedule'!$N$37&gt;0,MOD($A187-'Recurring Schedule'!$F$37,'Recurring Schedule'!$N$37)=0,IF('Recurring Schedule'!$O$37&gt;0,AND(DAY($A187)=MIN(DAY('Recurring Schedule'!$F$37),DAY(EOMONTH($A187,0))),MOD((YEAR($A187)-YEAR('Recurring Schedule'!$F$37))*12+MONTH($A187)-MONTH('Recurring Schedule'!$F$37),'Recurring Schedule'!$O$37)=0),IF('Recurring Schedule'!$E$37="Weekdays",WEEKDAY($A187,2)&lt;=5,$A187='Recurring Schedule'!$F$37))),32,""))))</f>
        <v/>
      </c>
      <c r="AH187">
        <f>IF('Recurring Schedule'!$C$38="","",IF('Recurring Schedule'!$F$38="","",IF(OR($A187&lt;'Recurring Schedule'!$F$38,$A187&gt;'Recurring Schedule'!$P$38),"",IF(IF('Recurring Schedule'!$N$38&gt;0,MOD($A187-'Recurring Schedule'!$F$38,'Recurring Schedule'!$N$38)=0,IF('Recurring Schedule'!$O$38&gt;0,AND(DAY($A187)=MIN(DAY('Recurring Schedule'!$F$38),DAY(EOMONTH($A187,0))),MOD((YEAR($A187)-YEAR('Recurring Schedule'!$F$38))*12+MONTH($A187)-MONTH('Recurring Schedule'!$F$38),'Recurring Schedule'!$O$38)=0),IF('Recurring Schedule'!$E$38="Weekdays",WEEKDAY($A187,2)&lt;=5,$A187='Recurring Schedule'!$F$38))),33,""))))</f>
        <v/>
      </c>
      <c r="AI187">
        <f>IF('Recurring Schedule'!$C$39="","",IF('Recurring Schedule'!$F$39="","",IF(OR($A187&lt;'Recurring Schedule'!$F$39,$A187&gt;'Recurring Schedule'!$P$39),"",IF(IF('Recurring Schedule'!$N$39&gt;0,MOD($A187-'Recurring Schedule'!$F$39,'Recurring Schedule'!$N$39)=0,IF('Recurring Schedule'!$O$39&gt;0,AND(DAY($A187)=MIN(DAY('Recurring Schedule'!$F$39),DAY(EOMONTH($A187,0))),MOD((YEAR($A187)-YEAR('Recurring Schedule'!$F$39))*12+MONTH($A187)-MONTH('Recurring Schedule'!$F$39),'Recurring Schedule'!$O$39)=0),IF('Recurring Schedule'!$E$39="Weekdays",WEEKDAY($A187,2)&lt;=5,$A187='Recurring Schedule'!$F$39))),34,""))))</f>
        <v/>
      </c>
      <c r="AJ187">
        <f>IF('Recurring Schedule'!$C$40="","",IF('Recurring Schedule'!$F$40="","",IF(OR($A187&lt;'Recurring Schedule'!$F$40,$A187&gt;'Recurring Schedule'!$P$40),"",IF(IF('Recurring Schedule'!$N$40&gt;0,MOD($A187-'Recurring Schedule'!$F$40,'Recurring Schedule'!$N$40)=0,IF('Recurring Schedule'!$O$40&gt;0,AND(DAY($A187)=MIN(DAY('Recurring Schedule'!$F$40),DAY(EOMONTH($A187,0))),MOD((YEAR($A187)-YEAR('Recurring Schedule'!$F$40))*12+MONTH($A187)-MONTH('Recurring Schedule'!$F$40),'Recurring Schedule'!$O$40)=0),IF('Recurring Schedule'!$E$40="Weekdays",WEEKDAY($A187,2)&lt;=5,$A187='Recurring Schedule'!$F$40))),35,""))))</f>
        <v/>
      </c>
      <c r="AK187">
        <f>IF('Recurring Schedule'!$C$41="","",IF('Recurring Schedule'!$F$41="","",IF(OR($A187&lt;'Recurring Schedule'!$F$41,$A187&gt;'Recurring Schedule'!$P$41),"",IF(IF('Recurring Schedule'!$N$41&gt;0,MOD($A187-'Recurring Schedule'!$F$41,'Recurring Schedule'!$N$41)=0,IF('Recurring Schedule'!$O$41&gt;0,AND(DAY($A187)=MIN(DAY('Recurring Schedule'!$F$41),DAY(EOMONTH($A187,0))),MOD((YEAR($A187)-YEAR('Recurring Schedule'!$F$41))*12+MONTH($A187)-MONTH('Recurring Schedule'!$F$41),'Recurring Schedule'!$O$41)=0),IF('Recurring Schedule'!$E$41="Weekdays",WEEKDAY($A187,2)&lt;=5,$A187='Recurring Schedule'!$F$41))),36,""))))</f>
        <v/>
      </c>
      <c r="AL187">
        <f>IF('Recurring Schedule'!$C$42="","",IF('Recurring Schedule'!$F$42="","",IF(OR($A187&lt;'Recurring Schedule'!$F$42,$A187&gt;'Recurring Schedule'!$P$42),"",IF(IF('Recurring Schedule'!$N$42&gt;0,MOD($A187-'Recurring Schedule'!$F$42,'Recurring Schedule'!$N$42)=0,IF('Recurring Schedule'!$O$42&gt;0,AND(DAY($A187)=MIN(DAY('Recurring Schedule'!$F$42),DAY(EOMONTH($A187,0))),MOD((YEAR($A187)-YEAR('Recurring Schedule'!$F$42))*12+MONTH($A187)-MONTH('Recurring Schedule'!$F$42),'Recurring Schedule'!$O$42)=0),IF('Recurring Schedule'!$E$42="Weekdays",WEEKDAY($A187,2)&lt;=5,$A187='Recurring Schedule'!$F$42))),37,""))))</f>
        <v/>
      </c>
      <c r="AM187">
        <f>IF('Recurring Schedule'!$C$43="","",IF('Recurring Schedule'!$F$43="","",IF(OR($A187&lt;'Recurring Schedule'!$F$43,$A187&gt;'Recurring Schedule'!$P$43),"",IF(IF('Recurring Schedule'!$N$43&gt;0,MOD($A187-'Recurring Schedule'!$F$43,'Recurring Schedule'!$N$43)=0,IF('Recurring Schedule'!$O$43&gt;0,AND(DAY($A187)=MIN(DAY('Recurring Schedule'!$F$43),DAY(EOMONTH($A187,0))),MOD((YEAR($A187)-YEAR('Recurring Schedule'!$F$43))*12+MONTH($A187)-MONTH('Recurring Schedule'!$F$43),'Recurring Schedule'!$O$43)=0),IF('Recurring Schedule'!$E$43="Weekdays",WEEKDAY($A187,2)&lt;=5,$A187='Recurring Schedule'!$F$43))),38,""))))</f>
        <v/>
      </c>
      <c r="AN187">
        <f>IF('Recurring Schedule'!$C$44="","",IF('Recurring Schedule'!$F$44="","",IF(OR($A187&lt;'Recurring Schedule'!$F$44,$A187&gt;'Recurring Schedule'!$P$44),"",IF(IF('Recurring Schedule'!$N$44&gt;0,MOD($A187-'Recurring Schedule'!$F$44,'Recurring Schedule'!$N$44)=0,IF('Recurring Schedule'!$O$44&gt;0,AND(DAY($A187)=MIN(DAY('Recurring Schedule'!$F$44),DAY(EOMONTH($A187,0))),MOD((YEAR($A187)-YEAR('Recurring Schedule'!$F$44))*12+MONTH($A187)-MONTH('Recurring Schedule'!$F$44),'Recurring Schedule'!$O$44)=0),IF('Recurring Schedule'!$E$44="Weekdays",WEEKDAY($A187,2)&lt;=5,$A187='Recurring Schedule'!$F$44))),39,""))))</f>
        <v/>
      </c>
      <c r="AO187">
        <f>IF('Recurring Schedule'!$C$45="","",IF('Recurring Schedule'!$F$45="","",IF(OR($A187&lt;'Recurring Schedule'!$F$45,$A187&gt;'Recurring Schedule'!$P$45),"",IF(IF('Recurring Schedule'!$N$45&gt;0,MOD($A187-'Recurring Schedule'!$F$45,'Recurring Schedule'!$N$45)=0,IF('Recurring Schedule'!$O$45&gt;0,AND(DAY($A187)=MIN(DAY('Recurring Schedule'!$F$45),DAY(EOMONTH($A187,0))),MOD((YEAR($A187)-YEAR('Recurring Schedule'!$F$45))*12+MONTH($A187)-MONTH('Recurring Schedule'!$F$45),'Recurring Schedule'!$O$45)=0),IF('Recurring Schedule'!$E$45="Weekdays",WEEKDAY($A187,2)&lt;=5,$A187='Recurring Schedule'!$F$45))),40,""))))</f>
        <v/>
      </c>
      <c r="AP187">
        <f>COUNT(B187:AO187)</f>
        <v/>
      </c>
      <c r="AQ187">
        <f>AQ186+AP186</f>
        <v/>
      </c>
      <c r="AS187" t="inlineStr">
        <is>
          <t>R</t>
        </is>
      </c>
      <c r="AT187" t="n">
        <v>191</v>
      </c>
      <c r="AU187">
        <f>'Recurring Log'!C191&amp;""</f>
        <v/>
      </c>
      <c r="AV187">
        <f>'Recurring Log'!D191&amp;""</f>
        <v/>
      </c>
      <c r="AW187">
        <f>IF('Recurring Log'!E191="","",'Recurring Log'!E191)</f>
        <v/>
      </c>
      <c r="AX187">
        <f>IF('Recurring Log'!G191="","",'Recurring Log'!G191)</f>
        <v/>
      </c>
      <c r="AY187">
        <f>IF('Recurring Log'!H191="","",'Recurring Log'!H191)</f>
        <v/>
      </c>
      <c r="AZ187">
        <f>IF(AU187="","",IF('Recurring Log'!J191="","Not Started",'Recurring Log'!J191))</f>
        <v/>
      </c>
      <c r="BA187">
        <f>'Recurring Log'!L191&amp;""</f>
        <v/>
      </c>
      <c r="BB187">
        <f>'Recurring Log'!M191&amp;""</f>
        <v/>
      </c>
      <c r="BC187">
        <f>'Recurring Log'!N191&amp;""</f>
        <v/>
      </c>
      <c r="BD187">
        <f>'Recurring Log'!O191&amp;""</f>
        <v/>
      </c>
      <c r="BE187">
        <f>IF('Recurring Log'!K191="","",'Recurring Log'!K191)</f>
        <v/>
      </c>
      <c r="BF187">
        <f>IFERROR(MATCH(BA187,Setup!$L$6:$L$9,0),5)</f>
        <v/>
      </c>
      <c r="BG187">
        <f>IF(OR(AZ187="Done",AZ187="Cancelled"),1,0)</f>
        <v/>
      </c>
      <c r="BH187">
        <f>IF(AND(AU187&lt;&gt;"",ISNUMBER(AW187)),1,0)</f>
        <v/>
      </c>
      <c r="BI187">
        <f>IF(BH187=0,0,IF(AND(AW187&gt;='Tasks Filter'!$F$3,AW187&lt;='Tasks Filter'!$F$4,OR('Tasks Filter'!$I$3="",ISNUMBER(SEARCH('Tasks Filter'!$I$3,AU187))),OR('Tasks Filter'!$I$4="",BF187=IFERROR(MATCH('Tasks Filter'!$I$4,Setup!$L$6:$L$9,0),0)),OR('Tasks Filter'!$I$5="Both",AND('Tasks Filter'!$I$5="Yes",BB187="✓"),AND('Tasks Filter'!$I$5="No",BB187&lt;&gt;"✓")),OR('Tasks Filter'!$L$3="",AV187='Tasks Filter'!$L$3),OR('Tasks Filter'!$L$4="",AZ187='Tasks Filter'!$L$4),OR('Tasks Filter'!$L$5="",BC187='Tasks Filter'!$L$5),OR('Tasks Filter'!$O$3="",BD187='Tasks Filter'!$O$3),OR('Tasks Filter'!$O$4="Yes",BG187=0)),1,0))</f>
        <v/>
      </c>
      <c r="BJ187">
        <f>IF(BH187=0,"",IF('Tasks Filter'!$F$6="Descending",-1,1)*CHOOSE(MATCH('Tasks Filter'!$F$5,Lists!$G$2:$G$6,0),AW187,BF187,IFERROR(MATCH(AV187,Setup!$F$6:$F$15,0),99),IFERROR(MATCH(BC187,Setup!$H$6:$H$15,0),99),IFERROR(MATCH(AZ187,Setup!$J$6:$J$11,0),99))*1E+9+(AW187-40000)*10000+186)</f>
        <v/>
      </c>
      <c r="BK187">
        <f>IF(BI187=1,BJ187,"")</f>
        <v/>
      </c>
      <c r="BL187">
        <f>IF(AND(BH187=1,BG187=0,N(AW187)&lt;Setup!$D$7),(AW187-40000)*10000+186,"")</f>
        <v/>
      </c>
      <c r="BM187">
        <f>IF(AND(BH187=1,AZ187&lt;&gt;"Cancelled",N(AW187)&gt;=Dashboard!$AB$3,N(AW187)&lt;=Dashboard!$AB$3+6),(AW187-40000)*100000+BF187*10000+186,"")</f>
        <v/>
      </c>
      <c r="BN187">
        <f>IF(AND(BH187=1,AZ187&lt;&gt;"Cancelled"),BF187*10000+186,"")</f>
        <v/>
      </c>
    </row>
    <row r="188">
      <c r="A188">
        <f>Setup!$D$5+186</f>
        <v/>
      </c>
      <c r="B188">
        <f>IF('Recurring Schedule'!$C$6="","",IF('Recurring Schedule'!$F$6="","",IF(OR($A188&lt;'Recurring Schedule'!$F$6,$A188&gt;'Recurring Schedule'!$P$6),"",IF(IF('Recurring Schedule'!$N$6&gt;0,MOD($A188-'Recurring Schedule'!$F$6,'Recurring Schedule'!$N$6)=0,IF('Recurring Schedule'!$O$6&gt;0,AND(DAY($A188)=MIN(DAY('Recurring Schedule'!$F$6),DAY(EOMONTH($A188,0))),MOD((YEAR($A188)-YEAR('Recurring Schedule'!$F$6))*12+MONTH($A188)-MONTH('Recurring Schedule'!$F$6),'Recurring Schedule'!$O$6)=0),IF('Recurring Schedule'!$E$6="Weekdays",WEEKDAY($A188,2)&lt;=5,$A188='Recurring Schedule'!$F$6))),1,""))))</f>
        <v/>
      </c>
      <c r="C188">
        <f>IF('Recurring Schedule'!$C$7="","",IF('Recurring Schedule'!$F$7="","",IF(OR($A188&lt;'Recurring Schedule'!$F$7,$A188&gt;'Recurring Schedule'!$P$7),"",IF(IF('Recurring Schedule'!$N$7&gt;0,MOD($A188-'Recurring Schedule'!$F$7,'Recurring Schedule'!$N$7)=0,IF('Recurring Schedule'!$O$7&gt;0,AND(DAY($A188)=MIN(DAY('Recurring Schedule'!$F$7),DAY(EOMONTH($A188,0))),MOD((YEAR($A188)-YEAR('Recurring Schedule'!$F$7))*12+MONTH($A188)-MONTH('Recurring Schedule'!$F$7),'Recurring Schedule'!$O$7)=0),IF('Recurring Schedule'!$E$7="Weekdays",WEEKDAY($A188,2)&lt;=5,$A188='Recurring Schedule'!$F$7))),2,""))))</f>
        <v/>
      </c>
      <c r="D188">
        <f>IF('Recurring Schedule'!$C$8="","",IF('Recurring Schedule'!$F$8="","",IF(OR($A188&lt;'Recurring Schedule'!$F$8,$A188&gt;'Recurring Schedule'!$P$8),"",IF(IF('Recurring Schedule'!$N$8&gt;0,MOD($A188-'Recurring Schedule'!$F$8,'Recurring Schedule'!$N$8)=0,IF('Recurring Schedule'!$O$8&gt;0,AND(DAY($A188)=MIN(DAY('Recurring Schedule'!$F$8),DAY(EOMONTH($A188,0))),MOD((YEAR($A188)-YEAR('Recurring Schedule'!$F$8))*12+MONTH($A188)-MONTH('Recurring Schedule'!$F$8),'Recurring Schedule'!$O$8)=0),IF('Recurring Schedule'!$E$8="Weekdays",WEEKDAY($A188,2)&lt;=5,$A188='Recurring Schedule'!$F$8))),3,""))))</f>
        <v/>
      </c>
      <c r="E188">
        <f>IF('Recurring Schedule'!$C$9="","",IF('Recurring Schedule'!$F$9="","",IF(OR($A188&lt;'Recurring Schedule'!$F$9,$A188&gt;'Recurring Schedule'!$P$9),"",IF(IF('Recurring Schedule'!$N$9&gt;0,MOD($A188-'Recurring Schedule'!$F$9,'Recurring Schedule'!$N$9)=0,IF('Recurring Schedule'!$O$9&gt;0,AND(DAY($A188)=MIN(DAY('Recurring Schedule'!$F$9),DAY(EOMONTH($A188,0))),MOD((YEAR($A188)-YEAR('Recurring Schedule'!$F$9))*12+MONTH($A188)-MONTH('Recurring Schedule'!$F$9),'Recurring Schedule'!$O$9)=0),IF('Recurring Schedule'!$E$9="Weekdays",WEEKDAY($A188,2)&lt;=5,$A188='Recurring Schedule'!$F$9))),4,""))))</f>
        <v/>
      </c>
      <c r="F188">
        <f>IF('Recurring Schedule'!$C$10="","",IF('Recurring Schedule'!$F$10="","",IF(OR($A188&lt;'Recurring Schedule'!$F$10,$A188&gt;'Recurring Schedule'!$P$10),"",IF(IF('Recurring Schedule'!$N$10&gt;0,MOD($A188-'Recurring Schedule'!$F$10,'Recurring Schedule'!$N$10)=0,IF('Recurring Schedule'!$O$10&gt;0,AND(DAY($A188)=MIN(DAY('Recurring Schedule'!$F$10),DAY(EOMONTH($A188,0))),MOD((YEAR($A188)-YEAR('Recurring Schedule'!$F$10))*12+MONTH($A188)-MONTH('Recurring Schedule'!$F$10),'Recurring Schedule'!$O$10)=0),IF('Recurring Schedule'!$E$10="Weekdays",WEEKDAY($A188,2)&lt;=5,$A188='Recurring Schedule'!$F$10))),5,""))))</f>
        <v/>
      </c>
      <c r="G188">
        <f>IF('Recurring Schedule'!$C$11="","",IF('Recurring Schedule'!$F$11="","",IF(OR($A188&lt;'Recurring Schedule'!$F$11,$A188&gt;'Recurring Schedule'!$P$11),"",IF(IF('Recurring Schedule'!$N$11&gt;0,MOD($A188-'Recurring Schedule'!$F$11,'Recurring Schedule'!$N$11)=0,IF('Recurring Schedule'!$O$11&gt;0,AND(DAY($A188)=MIN(DAY('Recurring Schedule'!$F$11),DAY(EOMONTH($A188,0))),MOD((YEAR($A188)-YEAR('Recurring Schedule'!$F$11))*12+MONTH($A188)-MONTH('Recurring Schedule'!$F$11),'Recurring Schedule'!$O$11)=0),IF('Recurring Schedule'!$E$11="Weekdays",WEEKDAY($A188,2)&lt;=5,$A188='Recurring Schedule'!$F$11))),6,""))))</f>
        <v/>
      </c>
      <c r="H188">
        <f>IF('Recurring Schedule'!$C$12="","",IF('Recurring Schedule'!$F$12="","",IF(OR($A188&lt;'Recurring Schedule'!$F$12,$A188&gt;'Recurring Schedule'!$P$12),"",IF(IF('Recurring Schedule'!$N$12&gt;0,MOD($A188-'Recurring Schedule'!$F$12,'Recurring Schedule'!$N$12)=0,IF('Recurring Schedule'!$O$12&gt;0,AND(DAY($A188)=MIN(DAY('Recurring Schedule'!$F$12),DAY(EOMONTH($A188,0))),MOD((YEAR($A188)-YEAR('Recurring Schedule'!$F$12))*12+MONTH($A188)-MONTH('Recurring Schedule'!$F$12),'Recurring Schedule'!$O$12)=0),IF('Recurring Schedule'!$E$12="Weekdays",WEEKDAY($A188,2)&lt;=5,$A188='Recurring Schedule'!$F$12))),7,""))))</f>
        <v/>
      </c>
      <c r="I188">
        <f>IF('Recurring Schedule'!$C$13="","",IF('Recurring Schedule'!$F$13="","",IF(OR($A188&lt;'Recurring Schedule'!$F$13,$A188&gt;'Recurring Schedule'!$P$13),"",IF(IF('Recurring Schedule'!$N$13&gt;0,MOD($A188-'Recurring Schedule'!$F$13,'Recurring Schedule'!$N$13)=0,IF('Recurring Schedule'!$O$13&gt;0,AND(DAY($A188)=MIN(DAY('Recurring Schedule'!$F$13),DAY(EOMONTH($A188,0))),MOD((YEAR($A188)-YEAR('Recurring Schedule'!$F$13))*12+MONTH($A188)-MONTH('Recurring Schedule'!$F$13),'Recurring Schedule'!$O$13)=0),IF('Recurring Schedule'!$E$13="Weekdays",WEEKDAY($A188,2)&lt;=5,$A188='Recurring Schedule'!$F$13))),8,""))))</f>
        <v/>
      </c>
      <c r="J188">
        <f>IF('Recurring Schedule'!$C$14="","",IF('Recurring Schedule'!$F$14="","",IF(OR($A188&lt;'Recurring Schedule'!$F$14,$A188&gt;'Recurring Schedule'!$P$14),"",IF(IF('Recurring Schedule'!$N$14&gt;0,MOD($A188-'Recurring Schedule'!$F$14,'Recurring Schedule'!$N$14)=0,IF('Recurring Schedule'!$O$14&gt;0,AND(DAY($A188)=MIN(DAY('Recurring Schedule'!$F$14),DAY(EOMONTH($A188,0))),MOD((YEAR($A188)-YEAR('Recurring Schedule'!$F$14))*12+MONTH($A188)-MONTH('Recurring Schedule'!$F$14),'Recurring Schedule'!$O$14)=0),IF('Recurring Schedule'!$E$14="Weekdays",WEEKDAY($A188,2)&lt;=5,$A188='Recurring Schedule'!$F$14))),9,""))))</f>
        <v/>
      </c>
      <c r="K188">
        <f>IF('Recurring Schedule'!$C$15="","",IF('Recurring Schedule'!$F$15="","",IF(OR($A188&lt;'Recurring Schedule'!$F$15,$A188&gt;'Recurring Schedule'!$P$15),"",IF(IF('Recurring Schedule'!$N$15&gt;0,MOD($A188-'Recurring Schedule'!$F$15,'Recurring Schedule'!$N$15)=0,IF('Recurring Schedule'!$O$15&gt;0,AND(DAY($A188)=MIN(DAY('Recurring Schedule'!$F$15),DAY(EOMONTH($A188,0))),MOD((YEAR($A188)-YEAR('Recurring Schedule'!$F$15))*12+MONTH($A188)-MONTH('Recurring Schedule'!$F$15),'Recurring Schedule'!$O$15)=0),IF('Recurring Schedule'!$E$15="Weekdays",WEEKDAY($A188,2)&lt;=5,$A188='Recurring Schedule'!$F$15))),10,""))))</f>
        <v/>
      </c>
      <c r="L188">
        <f>IF('Recurring Schedule'!$C$16="","",IF('Recurring Schedule'!$F$16="","",IF(OR($A188&lt;'Recurring Schedule'!$F$16,$A188&gt;'Recurring Schedule'!$P$16),"",IF(IF('Recurring Schedule'!$N$16&gt;0,MOD($A188-'Recurring Schedule'!$F$16,'Recurring Schedule'!$N$16)=0,IF('Recurring Schedule'!$O$16&gt;0,AND(DAY($A188)=MIN(DAY('Recurring Schedule'!$F$16),DAY(EOMONTH($A188,0))),MOD((YEAR($A188)-YEAR('Recurring Schedule'!$F$16))*12+MONTH($A188)-MONTH('Recurring Schedule'!$F$16),'Recurring Schedule'!$O$16)=0),IF('Recurring Schedule'!$E$16="Weekdays",WEEKDAY($A188,2)&lt;=5,$A188='Recurring Schedule'!$F$16))),11,""))))</f>
        <v/>
      </c>
      <c r="M188">
        <f>IF('Recurring Schedule'!$C$17="","",IF('Recurring Schedule'!$F$17="","",IF(OR($A188&lt;'Recurring Schedule'!$F$17,$A188&gt;'Recurring Schedule'!$P$17),"",IF(IF('Recurring Schedule'!$N$17&gt;0,MOD($A188-'Recurring Schedule'!$F$17,'Recurring Schedule'!$N$17)=0,IF('Recurring Schedule'!$O$17&gt;0,AND(DAY($A188)=MIN(DAY('Recurring Schedule'!$F$17),DAY(EOMONTH($A188,0))),MOD((YEAR($A188)-YEAR('Recurring Schedule'!$F$17))*12+MONTH($A188)-MONTH('Recurring Schedule'!$F$17),'Recurring Schedule'!$O$17)=0),IF('Recurring Schedule'!$E$17="Weekdays",WEEKDAY($A188,2)&lt;=5,$A188='Recurring Schedule'!$F$17))),12,""))))</f>
        <v/>
      </c>
      <c r="N188">
        <f>IF('Recurring Schedule'!$C$18="","",IF('Recurring Schedule'!$F$18="","",IF(OR($A188&lt;'Recurring Schedule'!$F$18,$A188&gt;'Recurring Schedule'!$P$18),"",IF(IF('Recurring Schedule'!$N$18&gt;0,MOD($A188-'Recurring Schedule'!$F$18,'Recurring Schedule'!$N$18)=0,IF('Recurring Schedule'!$O$18&gt;0,AND(DAY($A188)=MIN(DAY('Recurring Schedule'!$F$18),DAY(EOMONTH($A188,0))),MOD((YEAR($A188)-YEAR('Recurring Schedule'!$F$18))*12+MONTH($A188)-MONTH('Recurring Schedule'!$F$18),'Recurring Schedule'!$O$18)=0),IF('Recurring Schedule'!$E$18="Weekdays",WEEKDAY($A188,2)&lt;=5,$A188='Recurring Schedule'!$F$18))),13,""))))</f>
        <v/>
      </c>
      <c r="O188">
        <f>IF('Recurring Schedule'!$C$19="","",IF('Recurring Schedule'!$F$19="","",IF(OR($A188&lt;'Recurring Schedule'!$F$19,$A188&gt;'Recurring Schedule'!$P$19),"",IF(IF('Recurring Schedule'!$N$19&gt;0,MOD($A188-'Recurring Schedule'!$F$19,'Recurring Schedule'!$N$19)=0,IF('Recurring Schedule'!$O$19&gt;0,AND(DAY($A188)=MIN(DAY('Recurring Schedule'!$F$19),DAY(EOMONTH($A188,0))),MOD((YEAR($A188)-YEAR('Recurring Schedule'!$F$19))*12+MONTH($A188)-MONTH('Recurring Schedule'!$F$19),'Recurring Schedule'!$O$19)=0),IF('Recurring Schedule'!$E$19="Weekdays",WEEKDAY($A188,2)&lt;=5,$A188='Recurring Schedule'!$F$19))),14,""))))</f>
        <v/>
      </c>
      <c r="P188">
        <f>IF('Recurring Schedule'!$C$20="","",IF('Recurring Schedule'!$F$20="","",IF(OR($A188&lt;'Recurring Schedule'!$F$20,$A188&gt;'Recurring Schedule'!$P$20),"",IF(IF('Recurring Schedule'!$N$20&gt;0,MOD($A188-'Recurring Schedule'!$F$20,'Recurring Schedule'!$N$20)=0,IF('Recurring Schedule'!$O$20&gt;0,AND(DAY($A188)=MIN(DAY('Recurring Schedule'!$F$20),DAY(EOMONTH($A188,0))),MOD((YEAR($A188)-YEAR('Recurring Schedule'!$F$20))*12+MONTH($A188)-MONTH('Recurring Schedule'!$F$20),'Recurring Schedule'!$O$20)=0),IF('Recurring Schedule'!$E$20="Weekdays",WEEKDAY($A188,2)&lt;=5,$A188='Recurring Schedule'!$F$20))),15,""))))</f>
        <v/>
      </c>
      <c r="Q188">
        <f>IF('Recurring Schedule'!$C$21="","",IF('Recurring Schedule'!$F$21="","",IF(OR($A188&lt;'Recurring Schedule'!$F$21,$A188&gt;'Recurring Schedule'!$P$21),"",IF(IF('Recurring Schedule'!$N$21&gt;0,MOD($A188-'Recurring Schedule'!$F$21,'Recurring Schedule'!$N$21)=0,IF('Recurring Schedule'!$O$21&gt;0,AND(DAY($A188)=MIN(DAY('Recurring Schedule'!$F$21),DAY(EOMONTH($A188,0))),MOD((YEAR($A188)-YEAR('Recurring Schedule'!$F$21))*12+MONTH($A188)-MONTH('Recurring Schedule'!$F$21),'Recurring Schedule'!$O$21)=0),IF('Recurring Schedule'!$E$21="Weekdays",WEEKDAY($A188,2)&lt;=5,$A188='Recurring Schedule'!$F$21))),16,""))))</f>
        <v/>
      </c>
      <c r="R188">
        <f>IF('Recurring Schedule'!$C$22="","",IF('Recurring Schedule'!$F$22="","",IF(OR($A188&lt;'Recurring Schedule'!$F$22,$A188&gt;'Recurring Schedule'!$P$22),"",IF(IF('Recurring Schedule'!$N$22&gt;0,MOD($A188-'Recurring Schedule'!$F$22,'Recurring Schedule'!$N$22)=0,IF('Recurring Schedule'!$O$22&gt;0,AND(DAY($A188)=MIN(DAY('Recurring Schedule'!$F$22),DAY(EOMONTH($A188,0))),MOD((YEAR($A188)-YEAR('Recurring Schedule'!$F$22))*12+MONTH($A188)-MONTH('Recurring Schedule'!$F$22),'Recurring Schedule'!$O$22)=0),IF('Recurring Schedule'!$E$22="Weekdays",WEEKDAY($A188,2)&lt;=5,$A188='Recurring Schedule'!$F$22))),17,""))))</f>
        <v/>
      </c>
      <c r="S188">
        <f>IF('Recurring Schedule'!$C$23="","",IF('Recurring Schedule'!$F$23="","",IF(OR($A188&lt;'Recurring Schedule'!$F$23,$A188&gt;'Recurring Schedule'!$P$23),"",IF(IF('Recurring Schedule'!$N$23&gt;0,MOD($A188-'Recurring Schedule'!$F$23,'Recurring Schedule'!$N$23)=0,IF('Recurring Schedule'!$O$23&gt;0,AND(DAY($A188)=MIN(DAY('Recurring Schedule'!$F$23),DAY(EOMONTH($A188,0))),MOD((YEAR($A188)-YEAR('Recurring Schedule'!$F$23))*12+MONTH($A188)-MONTH('Recurring Schedule'!$F$23),'Recurring Schedule'!$O$23)=0),IF('Recurring Schedule'!$E$23="Weekdays",WEEKDAY($A188,2)&lt;=5,$A188='Recurring Schedule'!$F$23))),18,""))))</f>
        <v/>
      </c>
      <c r="T188">
        <f>IF('Recurring Schedule'!$C$24="","",IF('Recurring Schedule'!$F$24="","",IF(OR($A188&lt;'Recurring Schedule'!$F$24,$A188&gt;'Recurring Schedule'!$P$24),"",IF(IF('Recurring Schedule'!$N$24&gt;0,MOD($A188-'Recurring Schedule'!$F$24,'Recurring Schedule'!$N$24)=0,IF('Recurring Schedule'!$O$24&gt;0,AND(DAY($A188)=MIN(DAY('Recurring Schedule'!$F$24),DAY(EOMONTH($A188,0))),MOD((YEAR($A188)-YEAR('Recurring Schedule'!$F$24))*12+MONTH($A188)-MONTH('Recurring Schedule'!$F$24),'Recurring Schedule'!$O$24)=0),IF('Recurring Schedule'!$E$24="Weekdays",WEEKDAY($A188,2)&lt;=5,$A188='Recurring Schedule'!$F$24))),19,""))))</f>
        <v/>
      </c>
      <c r="U188">
        <f>IF('Recurring Schedule'!$C$25="","",IF('Recurring Schedule'!$F$25="","",IF(OR($A188&lt;'Recurring Schedule'!$F$25,$A188&gt;'Recurring Schedule'!$P$25),"",IF(IF('Recurring Schedule'!$N$25&gt;0,MOD($A188-'Recurring Schedule'!$F$25,'Recurring Schedule'!$N$25)=0,IF('Recurring Schedule'!$O$25&gt;0,AND(DAY($A188)=MIN(DAY('Recurring Schedule'!$F$25),DAY(EOMONTH($A188,0))),MOD((YEAR($A188)-YEAR('Recurring Schedule'!$F$25))*12+MONTH($A188)-MONTH('Recurring Schedule'!$F$25),'Recurring Schedule'!$O$25)=0),IF('Recurring Schedule'!$E$25="Weekdays",WEEKDAY($A188,2)&lt;=5,$A188='Recurring Schedule'!$F$25))),20,""))))</f>
        <v/>
      </c>
      <c r="V188">
        <f>IF('Recurring Schedule'!$C$26="","",IF('Recurring Schedule'!$F$26="","",IF(OR($A188&lt;'Recurring Schedule'!$F$26,$A188&gt;'Recurring Schedule'!$P$26),"",IF(IF('Recurring Schedule'!$N$26&gt;0,MOD($A188-'Recurring Schedule'!$F$26,'Recurring Schedule'!$N$26)=0,IF('Recurring Schedule'!$O$26&gt;0,AND(DAY($A188)=MIN(DAY('Recurring Schedule'!$F$26),DAY(EOMONTH($A188,0))),MOD((YEAR($A188)-YEAR('Recurring Schedule'!$F$26))*12+MONTH($A188)-MONTH('Recurring Schedule'!$F$26),'Recurring Schedule'!$O$26)=0),IF('Recurring Schedule'!$E$26="Weekdays",WEEKDAY($A188,2)&lt;=5,$A188='Recurring Schedule'!$F$26))),21,""))))</f>
        <v/>
      </c>
      <c r="W188">
        <f>IF('Recurring Schedule'!$C$27="","",IF('Recurring Schedule'!$F$27="","",IF(OR($A188&lt;'Recurring Schedule'!$F$27,$A188&gt;'Recurring Schedule'!$P$27),"",IF(IF('Recurring Schedule'!$N$27&gt;0,MOD($A188-'Recurring Schedule'!$F$27,'Recurring Schedule'!$N$27)=0,IF('Recurring Schedule'!$O$27&gt;0,AND(DAY($A188)=MIN(DAY('Recurring Schedule'!$F$27),DAY(EOMONTH($A188,0))),MOD((YEAR($A188)-YEAR('Recurring Schedule'!$F$27))*12+MONTH($A188)-MONTH('Recurring Schedule'!$F$27),'Recurring Schedule'!$O$27)=0),IF('Recurring Schedule'!$E$27="Weekdays",WEEKDAY($A188,2)&lt;=5,$A188='Recurring Schedule'!$F$27))),22,""))))</f>
        <v/>
      </c>
      <c r="X188">
        <f>IF('Recurring Schedule'!$C$28="","",IF('Recurring Schedule'!$F$28="","",IF(OR($A188&lt;'Recurring Schedule'!$F$28,$A188&gt;'Recurring Schedule'!$P$28),"",IF(IF('Recurring Schedule'!$N$28&gt;0,MOD($A188-'Recurring Schedule'!$F$28,'Recurring Schedule'!$N$28)=0,IF('Recurring Schedule'!$O$28&gt;0,AND(DAY($A188)=MIN(DAY('Recurring Schedule'!$F$28),DAY(EOMONTH($A188,0))),MOD((YEAR($A188)-YEAR('Recurring Schedule'!$F$28))*12+MONTH($A188)-MONTH('Recurring Schedule'!$F$28),'Recurring Schedule'!$O$28)=0),IF('Recurring Schedule'!$E$28="Weekdays",WEEKDAY($A188,2)&lt;=5,$A188='Recurring Schedule'!$F$28))),23,""))))</f>
        <v/>
      </c>
      <c r="Y188">
        <f>IF('Recurring Schedule'!$C$29="","",IF('Recurring Schedule'!$F$29="","",IF(OR($A188&lt;'Recurring Schedule'!$F$29,$A188&gt;'Recurring Schedule'!$P$29),"",IF(IF('Recurring Schedule'!$N$29&gt;0,MOD($A188-'Recurring Schedule'!$F$29,'Recurring Schedule'!$N$29)=0,IF('Recurring Schedule'!$O$29&gt;0,AND(DAY($A188)=MIN(DAY('Recurring Schedule'!$F$29),DAY(EOMONTH($A188,0))),MOD((YEAR($A188)-YEAR('Recurring Schedule'!$F$29))*12+MONTH($A188)-MONTH('Recurring Schedule'!$F$29),'Recurring Schedule'!$O$29)=0),IF('Recurring Schedule'!$E$29="Weekdays",WEEKDAY($A188,2)&lt;=5,$A188='Recurring Schedule'!$F$29))),24,""))))</f>
        <v/>
      </c>
      <c r="Z188">
        <f>IF('Recurring Schedule'!$C$30="","",IF('Recurring Schedule'!$F$30="","",IF(OR($A188&lt;'Recurring Schedule'!$F$30,$A188&gt;'Recurring Schedule'!$P$30),"",IF(IF('Recurring Schedule'!$N$30&gt;0,MOD($A188-'Recurring Schedule'!$F$30,'Recurring Schedule'!$N$30)=0,IF('Recurring Schedule'!$O$30&gt;0,AND(DAY($A188)=MIN(DAY('Recurring Schedule'!$F$30),DAY(EOMONTH($A188,0))),MOD((YEAR($A188)-YEAR('Recurring Schedule'!$F$30))*12+MONTH($A188)-MONTH('Recurring Schedule'!$F$30),'Recurring Schedule'!$O$30)=0),IF('Recurring Schedule'!$E$30="Weekdays",WEEKDAY($A188,2)&lt;=5,$A188='Recurring Schedule'!$F$30))),25,""))))</f>
        <v/>
      </c>
      <c r="AA188">
        <f>IF('Recurring Schedule'!$C$31="","",IF('Recurring Schedule'!$F$31="","",IF(OR($A188&lt;'Recurring Schedule'!$F$31,$A188&gt;'Recurring Schedule'!$P$31),"",IF(IF('Recurring Schedule'!$N$31&gt;0,MOD($A188-'Recurring Schedule'!$F$31,'Recurring Schedule'!$N$31)=0,IF('Recurring Schedule'!$O$31&gt;0,AND(DAY($A188)=MIN(DAY('Recurring Schedule'!$F$31),DAY(EOMONTH($A188,0))),MOD((YEAR($A188)-YEAR('Recurring Schedule'!$F$31))*12+MONTH($A188)-MONTH('Recurring Schedule'!$F$31),'Recurring Schedule'!$O$31)=0),IF('Recurring Schedule'!$E$31="Weekdays",WEEKDAY($A188,2)&lt;=5,$A188='Recurring Schedule'!$F$31))),26,""))))</f>
        <v/>
      </c>
      <c r="AB188">
        <f>IF('Recurring Schedule'!$C$32="","",IF('Recurring Schedule'!$F$32="","",IF(OR($A188&lt;'Recurring Schedule'!$F$32,$A188&gt;'Recurring Schedule'!$P$32),"",IF(IF('Recurring Schedule'!$N$32&gt;0,MOD($A188-'Recurring Schedule'!$F$32,'Recurring Schedule'!$N$32)=0,IF('Recurring Schedule'!$O$32&gt;0,AND(DAY($A188)=MIN(DAY('Recurring Schedule'!$F$32),DAY(EOMONTH($A188,0))),MOD((YEAR($A188)-YEAR('Recurring Schedule'!$F$32))*12+MONTH($A188)-MONTH('Recurring Schedule'!$F$32),'Recurring Schedule'!$O$32)=0),IF('Recurring Schedule'!$E$32="Weekdays",WEEKDAY($A188,2)&lt;=5,$A188='Recurring Schedule'!$F$32))),27,""))))</f>
        <v/>
      </c>
      <c r="AC188">
        <f>IF('Recurring Schedule'!$C$33="","",IF('Recurring Schedule'!$F$33="","",IF(OR($A188&lt;'Recurring Schedule'!$F$33,$A188&gt;'Recurring Schedule'!$P$33),"",IF(IF('Recurring Schedule'!$N$33&gt;0,MOD($A188-'Recurring Schedule'!$F$33,'Recurring Schedule'!$N$33)=0,IF('Recurring Schedule'!$O$33&gt;0,AND(DAY($A188)=MIN(DAY('Recurring Schedule'!$F$33),DAY(EOMONTH($A188,0))),MOD((YEAR($A188)-YEAR('Recurring Schedule'!$F$33))*12+MONTH($A188)-MONTH('Recurring Schedule'!$F$33),'Recurring Schedule'!$O$33)=0),IF('Recurring Schedule'!$E$33="Weekdays",WEEKDAY($A188,2)&lt;=5,$A188='Recurring Schedule'!$F$33))),28,""))))</f>
        <v/>
      </c>
      <c r="AD188">
        <f>IF('Recurring Schedule'!$C$34="","",IF('Recurring Schedule'!$F$34="","",IF(OR($A188&lt;'Recurring Schedule'!$F$34,$A188&gt;'Recurring Schedule'!$P$34),"",IF(IF('Recurring Schedule'!$N$34&gt;0,MOD($A188-'Recurring Schedule'!$F$34,'Recurring Schedule'!$N$34)=0,IF('Recurring Schedule'!$O$34&gt;0,AND(DAY($A188)=MIN(DAY('Recurring Schedule'!$F$34),DAY(EOMONTH($A188,0))),MOD((YEAR($A188)-YEAR('Recurring Schedule'!$F$34))*12+MONTH($A188)-MONTH('Recurring Schedule'!$F$34),'Recurring Schedule'!$O$34)=0),IF('Recurring Schedule'!$E$34="Weekdays",WEEKDAY($A188,2)&lt;=5,$A188='Recurring Schedule'!$F$34))),29,""))))</f>
        <v/>
      </c>
      <c r="AE188">
        <f>IF('Recurring Schedule'!$C$35="","",IF('Recurring Schedule'!$F$35="","",IF(OR($A188&lt;'Recurring Schedule'!$F$35,$A188&gt;'Recurring Schedule'!$P$35),"",IF(IF('Recurring Schedule'!$N$35&gt;0,MOD($A188-'Recurring Schedule'!$F$35,'Recurring Schedule'!$N$35)=0,IF('Recurring Schedule'!$O$35&gt;0,AND(DAY($A188)=MIN(DAY('Recurring Schedule'!$F$35),DAY(EOMONTH($A188,0))),MOD((YEAR($A188)-YEAR('Recurring Schedule'!$F$35))*12+MONTH($A188)-MONTH('Recurring Schedule'!$F$35),'Recurring Schedule'!$O$35)=0),IF('Recurring Schedule'!$E$35="Weekdays",WEEKDAY($A188,2)&lt;=5,$A188='Recurring Schedule'!$F$35))),30,""))))</f>
        <v/>
      </c>
      <c r="AF188">
        <f>IF('Recurring Schedule'!$C$36="","",IF('Recurring Schedule'!$F$36="","",IF(OR($A188&lt;'Recurring Schedule'!$F$36,$A188&gt;'Recurring Schedule'!$P$36),"",IF(IF('Recurring Schedule'!$N$36&gt;0,MOD($A188-'Recurring Schedule'!$F$36,'Recurring Schedule'!$N$36)=0,IF('Recurring Schedule'!$O$36&gt;0,AND(DAY($A188)=MIN(DAY('Recurring Schedule'!$F$36),DAY(EOMONTH($A188,0))),MOD((YEAR($A188)-YEAR('Recurring Schedule'!$F$36))*12+MONTH($A188)-MONTH('Recurring Schedule'!$F$36),'Recurring Schedule'!$O$36)=0),IF('Recurring Schedule'!$E$36="Weekdays",WEEKDAY($A188,2)&lt;=5,$A188='Recurring Schedule'!$F$36))),31,""))))</f>
        <v/>
      </c>
      <c r="AG188">
        <f>IF('Recurring Schedule'!$C$37="","",IF('Recurring Schedule'!$F$37="","",IF(OR($A188&lt;'Recurring Schedule'!$F$37,$A188&gt;'Recurring Schedule'!$P$37),"",IF(IF('Recurring Schedule'!$N$37&gt;0,MOD($A188-'Recurring Schedule'!$F$37,'Recurring Schedule'!$N$37)=0,IF('Recurring Schedule'!$O$37&gt;0,AND(DAY($A188)=MIN(DAY('Recurring Schedule'!$F$37),DAY(EOMONTH($A188,0))),MOD((YEAR($A188)-YEAR('Recurring Schedule'!$F$37))*12+MONTH($A188)-MONTH('Recurring Schedule'!$F$37),'Recurring Schedule'!$O$37)=0),IF('Recurring Schedule'!$E$37="Weekdays",WEEKDAY($A188,2)&lt;=5,$A188='Recurring Schedule'!$F$37))),32,""))))</f>
        <v/>
      </c>
      <c r="AH188">
        <f>IF('Recurring Schedule'!$C$38="","",IF('Recurring Schedule'!$F$38="","",IF(OR($A188&lt;'Recurring Schedule'!$F$38,$A188&gt;'Recurring Schedule'!$P$38),"",IF(IF('Recurring Schedule'!$N$38&gt;0,MOD($A188-'Recurring Schedule'!$F$38,'Recurring Schedule'!$N$38)=0,IF('Recurring Schedule'!$O$38&gt;0,AND(DAY($A188)=MIN(DAY('Recurring Schedule'!$F$38),DAY(EOMONTH($A188,0))),MOD((YEAR($A188)-YEAR('Recurring Schedule'!$F$38))*12+MONTH($A188)-MONTH('Recurring Schedule'!$F$38),'Recurring Schedule'!$O$38)=0),IF('Recurring Schedule'!$E$38="Weekdays",WEEKDAY($A188,2)&lt;=5,$A188='Recurring Schedule'!$F$38))),33,""))))</f>
        <v/>
      </c>
      <c r="AI188">
        <f>IF('Recurring Schedule'!$C$39="","",IF('Recurring Schedule'!$F$39="","",IF(OR($A188&lt;'Recurring Schedule'!$F$39,$A188&gt;'Recurring Schedule'!$P$39),"",IF(IF('Recurring Schedule'!$N$39&gt;0,MOD($A188-'Recurring Schedule'!$F$39,'Recurring Schedule'!$N$39)=0,IF('Recurring Schedule'!$O$39&gt;0,AND(DAY($A188)=MIN(DAY('Recurring Schedule'!$F$39),DAY(EOMONTH($A188,0))),MOD((YEAR($A188)-YEAR('Recurring Schedule'!$F$39))*12+MONTH($A188)-MONTH('Recurring Schedule'!$F$39),'Recurring Schedule'!$O$39)=0),IF('Recurring Schedule'!$E$39="Weekdays",WEEKDAY($A188,2)&lt;=5,$A188='Recurring Schedule'!$F$39))),34,""))))</f>
        <v/>
      </c>
      <c r="AJ188">
        <f>IF('Recurring Schedule'!$C$40="","",IF('Recurring Schedule'!$F$40="","",IF(OR($A188&lt;'Recurring Schedule'!$F$40,$A188&gt;'Recurring Schedule'!$P$40),"",IF(IF('Recurring Schedule'!$N$40&gt;0,MOD($A188-'Recurring Schedule'!$F$40,'Recurring Schedule'!$N$40)=0,IF('Recurring Schedule'!$O$40&gt;0,AND(DAY($A188)=MIN(DAY('Recurring Schedule'!$F$40),DAY(EOMONTH($A188,0))),MOD((YEAR($A188)-YEAR('Recurring Schedule'!$F$40))*12+MONTH($A188)-MONTH('Recurring Schedule'!$F$40),'Recurring Schedule'!$O$40)=0),IF('Recurring Schedule'!$E$40="Weekdays",WEEKDAY($A188,2)&lt;=5,$A188='Recurring Schedule'!$F$40))),35,""))))</f>
        <v/>
      </c>
      <c r="AK188">
        <f>IF('Recurring Schedule'!$C$41="","",IF('Recurring Schedule'!$F$41="","",IF(OR($A188&lt;'Recurring Schedule'!$F$41,$A188&gt;'Recurring Schedule'!$P$41),"",IF(IF('Recurring Schedule'!$N$41&gt;0,MOD($A188-'Recurring Schedule'!$F$41,'Recurring Schedule'!$N$41)=0,IF('Recurring Schedule'!$O$41&gt;0,AND(DAY($A188)=MIN(DAY('Recurring Schedule'!$F$41),DAY(EOMONTH($A188,0))),MOD((YEAR($A188)-YEAR('Recurring Schedule'!$F$41))*12+MONTH($A188)-MONTH('Recurring Schedule'!$F$41),'Recurring Schedule'!$O$41)=0),IF('Recurring Schedule'!$E$41="Weekdays",WEEKDAY($A188,2)&lt;=5,$A188='Recurring Schedule'!$F$41))),36,""))))</f>
        <v/>
      </c>
      <c r="AL188">
        <f>IF('Recurring Schedule'!$C$42="","",IF('Recurring Schedule'!$F$42="","",IF(OR($A188&lt;'Recurring Schedule'!$F$42,$A188&gt;'Recurring Schedule'!$P$42),"",IF(IF('Recurring Schedule'!$N$42&gt;0,MOD($A188-'Recurring Schedule'!$F$42,'Recurring Schedule'!$N$42)=0,IF('Recurring Schedule'!$O$42&gt;0,AND(DAY($A188)=MIN(DAY('Recurring Schedule'!$F$42),DAY(EOMONTH($A188,0))),MOD((YEAR($A188)-YEAR('Recurring Schedule'!$F$42))*12+MONTH($A188)-MONTH('Recurring Schedule'!$F$42),'Recurring Schedule'!$O$42)=0),IF('Recurring Schedule'!$E$42="Weekdays",WEEKDAY($A188,2)&lt;=5,$A188='Recurring Schedule'!$F$42))),37,""))))</f>
        <v/>
      </c>
      <c r="AM188">
        <f>IF('Recurring Schedule'!$C$43="","",IF('Recurring Schedule'!$F$43="","",IF(OR($A188&lt;'Recurring Schedule'!$F$43,$A188&gt;'Recurring Schedule'!$P$43),"",IF(IF('Recurring Schedule'!$N$43&gt;0,MOD($A188-'Recurring Schedule'!$F$43,'Recurring Schedule'!$N$43)=0,IF('Recurring Schedule'!$O$43&gt;0,AND(DAY($A188)=MIN(DAY('Recurring Schedule'!$F$43),DAY(EOMONTH($A188,0))),MOD((YEAR($A188)-YEAR('Recurring Schedule'!$F$43))*12+MONTH($A188)-MONTH('Recurring Schedule'!$F$43),'Recurring Schedule'!$O$43)=0),IF('Recurring Schedule'!$E$43="Weekdays",WEEKDAY($A188,2)&lt;=5,$A188='Recurring Schedule'!$F$43))),38,""))))</f>
        <v/>
      </c>
      <c r="AN188">
        <f>IF('Recurring Schedule'!$C$44="","",IF('Recurring Schedule'!$F$44="","",IF(OR($A188&lt;'Recurring Schedule'!$F$44,$A188&gt;'Recurring Schedule'!$P$44),"",IF(IF('Recurring Schedule'!$N$44&gt;0,MOD($A188-'Recurring Schedule'!$F$44,'Recurring Schedule'!$N$44)=0,IF('Recurring Schedule'!$O$44&gt;0,AND(DAY($A188)=MIN(DAY('Recurring Schedule'!$F$44),DAY(EOMONTH($A188,0))),MOD((YEAR($A188)-YEAR('Recurring Schedule'!$F$44))*12+MONTH($A188)-MONTH('Recurring Schedule'!$F$44),'Recurring Schedule'!$O$44)=0),IF('Recurring Schedule'!$E$44="Weekdays",WEEKDAY($A188,2)&lt;=5,$A188='Recurring Schedule'!$F$44))),39,""))))</f>
        <v/>
      </c>
      <c r="AO188">
        <f>IF('Recurring Schedule'!$C$45="","",IF('Recurring Schedule'!$F$45="","",IF(OR($A188&lt;'Recurring Schedule'!$F$45,$A188&gt;'Recurring Schedule'!$P$45),"",IF(IF('Recurring Schedule'!$N$45&gt;0,MOD($A188-'Recurring Schedule'!$F$45,'Recurring Schedule'!$N$45)=0,IF('Recurring Schedule'!$O$45&gt;0,AND(DAY($A188)=MIN(DAY('Recurring Schedule'!$F$45),DAY(EOMONTH($A188,0))),MOD((YEAR($A188)-YEAR('Recurring Schedule'!$F$45))*12+MONTH($A188)-MONTH('Recurring Schedule'!$F$45),'Recurring Schedule'!$O$45)=0),IF('Recurring Schedule'!$E$45="Weekdays",WEEKDAY($A188,2)&lt;=5,$A188='Recurring Schedule'!$F$45))),40,""))))</f>
        <v/>
      </c>
      <c r="AP188">
        <f>COUNT(B188:AO188)</f>
        <v/>
      </c>
      <c r="AQ188">
        <f>AQ187+AP187</f>
        <v/>
      </c>
      <c r="AS188" t="inlineStr">
        <is>
          <t>R</t>
        </is>
      </c>
      <c r="AT188" t="n">
        <v>192</v>
      </c>
      <c r="AU188">
        <f>'Recurring Log'!C192&amp;""</f>
        <v/>
      </c>
      <c r="AV188">
        <f>'Recurring Log'!D192&amp;""</f>
        <v/>
      </c>
      <c r="AW188">
        <f>IF('Recurring Log'!E192="","",'Recurring Log'!E192)</f>
        <v/>
      </c>
      <c r="AX188">
        <f>IF('Recurring Log'!G192="","",'Recurring Log'!G192)</f>
        <v/>
      </c>
      <c r="AY188">
        <f>IF('Recurring Log'!H192="","",'Recurring Log'!H192)</f>
        <v/>
      </c>
      <c r="AZ188">
        <f>IF(AU188="","",IF('Recurring Log'!J192="","Not Started",'Recurring Log'!J192))</f>
        <v/>
      </c>
      <c r="BA188">
        <f>'Recurring Log'!L192&amp;""</f>
        <v/>
      </c>
      <c r="BB188">
        <f>'Recurring Log'!M192&amp;""</f>
        <v/>
      </c>
      <c r="BC188">
        <f>'Recurring Log'!N192&amp;""</f>
        <v/>
      </c>
      <c r="BD188">
        <f>'Recurring Log'!O192&amp;""</f>
        <v/>
      </c>
      <c r="BE188">
        <f>IF('Recurring Log'!K192="","",'Recurring Log'!K192)</f>
        <v/>
      </c>
      <c r="BF188">
        <f>IFERROR(MATCH(BA188,Setup!$L$6:$L$9,0),5)</f>
        <v/>
      </c>
      <c r="BG188">
        <f>IF(OR(AZ188="Done",AZ188="Cancelled"),1,0)</f>
        <v/>
      </c>
      <c r="BH188">
        <f>IF(AND(AU188&lt;&gt;"",ISNUMBER(AW188)),1,0)</f>
        <v/>
      </c>
      <c r="BI188">
        <f>IF(BH188=0,0,IF(AND(AW188&gt;='Tasks Filter'!$F$3,AW188&lt;='Tasks Filter'!$F$4,OR('Tasks Filter'!$I$3="",ISNUMBER(SEARCH('Tasks Filter'!$I$3,AU188))),OR('Tasks Filter'!$I$4="",BF188=IFERROR(MATCH('Tasks Filter'!$I$4,Setup!$L$6:$L$9,0),0)),OR('Tasks Filter'!$I$5="Both",AND('Tasks Filter'!$I$5="Yes",BB188="✓"),AND('Tasks Filter'!$I$5="No",BB188&lt;&gt;"✓")),OR('Tasks Filter'!$L$3="",AV188='Tasks Filter'!$L$3),OR('Tasks Filter'!$L$4="",AZ188='Tasks Filter'!$L$4),OR('Tasks Filter'!$L$5="",BC188='Tasks Filter'!$L$5),OR('Tasks Filter'!$O$3="",BD188='Tasks Filter'!$O$3),OR('Tasks Filter'!$O$4="Yes",BG188=0)),1,0))</f>
        <v/>
      </c>
      <c r="BJ188">
        <f>IF(BH188=0,"",IF('Tasks Filter'!$F$6="Descending",-1,1)*CHOOSE(MATCH('Tasks Filter'!$F$5,Lists!$G$2:$G$6,0),AW188,BF188,IFERROR(MATCH(AV188,Setup!$F$6:$F$15,0),99),IFERROR(MATCH(BC188,Setup!$H$6:$H$15,0),99),IFERROR(MATCH(AZ188,Setup!$J$6:$J$11,0),99))*1E+9+(AW188-40000)*10000+187)</f>
        <v/>
      </c>
      <c r="BK188">
        <f>IF(BI188=1,BJ188,"")</f>
        <v/>
      </c>
      <c r="BL188">
        <f>IF(AND(BH188=1,BG188=0,N(AW188)&lt;Setup!$D$7),(AW188-40000)*10000+187,"")</f>
        <v/>
      </c>
      <c r="BM188">
        <f>IF(AND(BH188=1,AZ188&lt;&gt;"Cancelled",N(AW188)&gt;=Dashboard!$AB$3,N(AW188)&lt;=Dashboard!$AB$3+6),(AW188-40000)*100000+BF188*10000+187,"")</f>
        <v/>
      </c>
      <c r="BN188">
        <f>IF(AND(BH188=1,AZ188&lt;&gt;"Cancelled"),BF188*10000+187,"")</f>
        <v/>
      </c>
    </row>
    <row r="189">
      <c r="A189">
        <f>Setup!$D$5+187</f>
        <v/>
      </c>
      <c r="B189">
        <f>IF('Recurring Schedule'!$C$6="","",IF('Recurring Schedule'!$F$6="","",IF(OR($A189&lt;'Recurring Schedule'!$F$6,$A189&gt;'Recurring Schedule'!$P$6),"",IF(IF('Recurring Schedule'!$N$6&gt;0,MOD($A189-'Recurring Schedule'!$F$6,'Recurring Schedule'!$N$6)=0,IF('Recurring Schedule'!$O$6&gt;0,AND(DAY($A189)=MIN(DAY('Recurring Schedule'!$F$6),DAY(EOMONTH($A189,0))),MOD((YEAR($A189)-YEAR('Recurring Schedule'!$F$6))*12+MONTH($A189)-MONTH('Recurring Schedule'!$F$6),'Recurring Schedule'!$O$6)=0),IF('Recurring Schedule'!$E$6="Weekdays",WEEKDAY($A189,2)&lt;=5,$A189='Recurring Schedule'!$F$6))),1,""))))</f>
        <v/>
      </c>
      <c r="C189">
        <f>IF('Recurring Schedule'!$C$7="","",IF('Recurring Schedule'!$F$7="","",IF(OR($A189&lt;'Recurring Schedule'!$F$7,$A189&gt;'Recurring Schedule'!$P$7),"",IF(IF('Recurring Schedule'!$N$7&gt;0,MOD($A189-'Recurring Schedule'!$F$7,'Recurring Schedule'!$N$7)=0,IF('Recurring Schedule'!$O$7&gt;0,AND(DAY($A189)=MIN(DAY('Recurring Schedule'!$F$7),DAY(EOMONTH($A189,0))),MOD((YEAR($A189)-YEAR('Recurring Schedule'!$F$7))*12+MONTH($A189)-MONTH('Recurring Schedule'!$F$7),'Recurring Schedule'!$O$7)=0),IF('Recurring Schedule'!$E$7="Weekdays",WEEKDAY($A189,2)&lt;=5,$A189='Recurring Schedule'!$F$7))),2,""))))</f>
        <v/>
      </c>
      <c r="D189">
        <f>IF('Recurring Schedule'!$C$8="","",IF('Recurring Schedule'!$F$8="","",IF(OR($A189&lt;'Recurring Schedule'!$F$8,$A189&gt;'Recurring Schedule'!$P$8),"",IF(IF('Recurring Schedule'!$N$8&gt;0,MOD($A189-'Recurring Schedule'!$F$8,'Recurring Schedule'!$N$8)=0,IF('Recurring Schedule'!$O$8&gt;0,AND(DAY($A189)=MIN(DAY('Recurring Schedule'!$F$8),DAY(EOMONTH($A189,0))),MOD((YEAR($A189)-YEAR('Recurring Schedule'!$F$8))*12+MONTH($A189)-MONTH('Recurring Schedule'!$F$8),'Recurring Schedule'!$O$8)=0),IF('Recurring Schedule'!$E$8="Weekdays",WEEKDAY($A189,2)&lt;=5,$A189='Recurring Schedule'!$F$8))),3,""))))</f>
        <v/>
      </c>
      <c r="E189">
        <f>IF('Recurring Schedule'!$C$9="","",IF('Recurring Schedule'!$F$9="","",IF(OR($A189&lt;'Recurring Schedule'!$F$9,$A189&gt;'Recurring Schedule'!$P$9),"",IF(IF('Recurring Schedule'!$N$9&gt;0,MOD($A189-'Recurring Schedule'!$F$9,'Recurring Schedule'!$N$9)=0,IF('Recurring Schedule'!$O$9&gt;0,AND(DAY($A189)=MIN(DAY('Recurring Schedule'!$F$9),DAY(EOMONTH($A189,0))),MOD((YEAR($A189)-YEAR('Recurring Schedule'!$F$9))*12+MONTH($A189)-MONTH('Recurring Schedule'!$F$9),'Recurring Schedule'!$O$9)=0),IF('Recurring Schedule'!$E$9="Weekdays",WEEKDAY($A189,2)&lt;=5,$A189='Recurring Schedule'!$F$9))),4,""))))</f>
        <v/>
      </c>
      <c r="F189">
        <f>IF('Recurring Schedule'!$C$10="","",IF('Recurring Schedule'!$F$10="","",IF(OR($A189&lt;'Recurring Schedule'!$F$10,$A189&gt;'Recurring Schedule'!$P$10),"",IF(IF('Recurring Schedule'!$N$10&gt;0,MOD($A189-'Recurring Schedule'!$F$10,'Recurring Schedule'!$N$10)=0,IF('Recurring Schedule'!$O$10&gt;0,AND(DAY($A189)=MIN(DAY('Recurring Schedule'!$F$10),DAY(EOMONTH($A189,0))),MOD((YEAR($A189)-YEAR('Recurring Schedule'!$F$10))*12+MONTH($A189)-MONTH('Recurring Schedule'!$F$10),'Recurring Schedule'!$O$10)=0),IF('Recurring Schedule'!$E$10="Weekdays",WEEKDAY($A189,2)&lt;=5,$A189='Recurring Schedule'!$F$10))),5,""))))</f>
        <v/>
      </c>
      <c r="G189">
        <f>IF('Recurring Schedule'!$C$11="","",IF('Recurring Schedule'!$F$11="","",IF(OR($A189&lt;'Recurring Schedule'!$F$11,$A189&gt;'Recurring Schedule'!$P$11),"",IF(IF('Recurring Schedule'!$N$11&gt;0,MOD($A189-'Recurring Schedule'!$F$11,'Recurring Schedule'!$N$11)=0,IF('Recurring Schedule'!$O$11&gt;0,AND(DAY($A189)=MIN(DAY('Recurring Schedule'!$F$11),DAY(EOMONTH($A189,0))),MOD((YEAR($A189)-YEAR('Recurring Schedule'!$F$11))*12+MONTH($A189)-MONTH('Recurring Schedule'!$F$11),'Recurring Schedule'!$O$11)=0),IF('Recurring Schedule'!$E$11="Weekdays",WEEKDAY($A189,2)&lt;=5,$A189='Recurring Schedule'!$F$11))),6,""))))</f>
        <v/>
      </c>
      <c r="H189">
        <f>IF('Recurring Schedule'!$C$12="","",IF('Recurring Schedule'!$F$12="","",IF(OR($A189&lt;'Recurring Schedule'!$F$12,$A189&gt;'Recurring Schedule'!$P$12),"",IF(IF('Recurring Schedule'!$N$12&gt;0,MOD($A189-'Recurring Schedule'!$F$12,'Recurring Schedule'!$N$12)=0,IF('Recurring Schedule'!$O$12&gt;0,AND(DAY($A189)=MIN(DAY('Recurring Schedule'!$F$12),DAY(EOMONTH($A189,0))),MOD((YEAR($A189)-YEAR('Recurring Schedule'!$F$12))*12+MONTH($A189)-MONTH('Recurring Schedule'!$F$12),'Recurring Schedule'!$O$12)=0),IF('Recurring Schedule'!$E$12="Weekdays",WEEKDAY($A189,2)&lt;=5,$A189='Recurring Schedule'!$F$12))),7,""))))</f>
        <v/>
      </c>
      <c r="I189">
        <f>IF('Recurring Schedule'!$C$13="","",IF('Recurring Schedule'!$F$13="","",IF(OR($A189&lt;'Recurring Schedule'!$F$13,$A189&gt;'Recurring Schedule'!$P$13),"",IF(IF('Recurring Schedule'!$N$13&gt;0,MOD($A189-'Recurring Schedule'!$F$13,'Recurring Schedule'!$N$13)=0,IF('Recurring Schedule'!$O$13&gt;0,AND(DAY($A189)=MIN(DAY('Recurring Schedule'!$F$13),DAY(EOMONTH($A189,0))),MOD((YEAR($A189)-YEAR('Recurring Schedule'!$F$13))*12+MONTH($A189)-MONTH('Recurring Schedule'!$F$13),'Recurring Schedule'!$O$13)=0),IF('Recurring Schedule'!$E$13="Weekdays",WEEKDAY($A189,2)&lt;=5,$A189='Recurring Schedule'!$F$13))),8,""))))</f>
        <v/>
      </c>
      <c r="J189">
        <f>IF('Recurring Schedule'!$C$14="","",IF('Recurring Schedule'!$F$14="","",IF(OR($A189&lt;'Recurring Schedule'!$F$14,$A189&gt;'Recurring Schedule'!$P$14),"",IF(IF('Recurring Schedule'!$N$14&gt;0,MOD($A189-'Recurring Schedule'!$F$14,'Recurring Schedule'!$N$14)=0,IF('Recurring Schedule'!$O$14&gt;0,AND(DAY($A189)=MIN(DAY('Recurring Schedule'!$F$14),DAY(EOMONTH($A189,0))),MOD((YEAR($A189)-YEAR('Recurring Schedule'!$F$14))*12+MONTH($A189)-MONTH('Recurring Schedule'!$F$14),'Recurring Schedule'!$O$14)=0),IF('Recurring Schedule'!$E$14="Weekdays",WEEKDAY($A189,2)&lt;=5,$A189='Recurring Schedule'!$F$14))),9,""))))</f>
        <v/>
      </c>
      <c r="K189">
        <f>IF('Recurring Schedule'!$C$15="","",IF('Recurring Schedule'!$F$15="","",IF(OR($A189&lt;'Recurring Schedule'!$F$15,$A189&gt;'Recurring Schedule'!$P$15),"",IF(IF('Recurring Schedule'!$N$15&gt;0,MOD($A189-'Recurring Schedule'!$F$15,'Recurring Schedule'!$N$15)=0,IF('Recurring Schedule'!$O$15&gt;0,AND(DAY($A189)=MIN(DAY('Recurring Schedule'!$F$15),DAY(EOMONTH($A189,0))),MOD((YEAR($A189)-YEAR('Recurring Schedule'!$F$15))*12+MONTH($A189)-MONTH('Recurring Schedule'!$F$15),'Recurring Schedule'!$O$15)=0),IF('Recurring Schedule'!$E$15="Weekdays",WEEKDAY($A189,2)&lt;=5,$A189='Recurring Schedule'!$F$15))),10,""))))</f>
        <v/>
      </c>
      <c r="L189">
        <f>IF('Recurring Schedule'!$C$16="","",IF('Recurring Schedule'!$F$16="","",IF(OR($A189&lt;'Recurring Schedule'!$F$16,$A189&gt;'Recurring Schedule'!$P$16),"",IF(IF('Recurring Schedule'!$N$16&gt;0,MOD($A189-'Recurring Schedule'!$F$16,'Recurring Schedule'!$N$16)=0,IF('Recurring Schedule'!$O$16&gt;0,AND(DAY($A189)=MIN(DAY('Recurring Schedule'!$F$16),DAY(EOMONTH($A189,0))),MOD((YEAR($A189)-YEAR('Recurring Schedule'!$F$16))*12+MONTH($A189)-MONTH('Recurring Schedule'!$F$16),'Recurring Schedule'!$O$16)=0),IF('Recurring Schedule'!$E$16="Weekdays",WEEKDAY($A189,2)&lt;=5,$A189='Recurring Schedule'!$F$16))),11,""))))</f>
        <v/>
      </c>
      <c r="M189">
        <f>IF('Recurring Schedule'!$C$17="","",IF('Recurring Schedule'!$F$17="","",IF(OR($A189&lt;'Recurring Schedule'!$F$17,$A189&gt;'Recurring Schedule'!$P$17),"",IF(IF('Recurring Schedule'!$N$17&gt;0,MOD($A189-'Recurring Schedule'!$F$17,'Recurring Schedule'!$N$17)=0,IF('Recurring Schedule'!$O$17&gt;0,AND(DAY($A189)=MIN(DAY('Recurring Schedule'!$F$17),DAY(EOMONTH($A189,0))),MOD((YEAR($A189)-YEAR('Recurring Schedule'!$F$17))*12+MONTH($A189)-MONTH('Recurring Schedule'!$F$17),'Recurring Schedule'!$O$17)=0),IF('Recurring Schedule'!$E$17="Weekdays",WEEKDAY($A189,2)&lt;=5,$A189='Recurring Schedule'!$F$17))),12,""))))</f>
        <v/>
      </c>
      <c r="N189">
        <f>IF('Recurring Schedule'!$C$18="","",IF('Recurring Schedule'!$F$18="","",IF(OR($A189&lt;'Recurring Schedule'!$F$18,$A189&gt;'Recurring Schedule'!$P$18),"",IF(IF('Recurring Schedule'!$N$18&gt;0,MOD($A189-'Recurring Schedule'!$F$18,'Recurring Schedule'!$N$18)=0,IF('Recurring Schedule'!$O$18&gt;0,AND(DAY($A189)=MIN(DAY('Recurring Schedule'!$F$18),DAY(EOMONTH($A189,0))),MOD((YEAR($A189)-YEAR('Recurring Schedule'!$F$18))*12+MONTH($A189)-MONTH('Recurring Schedule'!$F$18),'Recurring Schedule'!$O$18)=0),IF('Recurring Schedule'!$E$18="Weekdays",WEEKDAY($A189,2)&lt;=5,$A189='Recurring Schedule'!$F$18))),13,""))))</f>
        <v/>
      </c>
      <c r="O189">
        <f>IF('Recurring Schedule'!$C$19="","",IF('Recurring Schedule'!$F$19="","",IF(OR($A189&lt;'Recurring Schedule'!$F$19,$A189&gt;'Recurring Schedule'!$P$19),"",IF(IF('Recurring Schedule'!$N$19&gt;0,MOD($A189-'Recurring Schedule'!$F$19,'Recurring Schedule'!$N$19)=0,IF('Recurring Schedule'!$O$19&gt;0,AND(DAY($A189)=MIN(DAY('Recurring Schedule'!$F$19),DAY(EOMONTH($A189,0))),MOD((YEAR($A189)-YEAR('Recurring Schedule'!$F$19))*12+MONTH($A189)-MONTH('Recurring Schedule'!$F$19),'Recurring Schedule'!$O$19)=0),IF('Recurring Schedule'!$E$19="Weekdays",WEEKDAY($A189,2)&lt;=5,$A189='Recurring Schedule'!$F$19))),14,""))))</f>
        <v/>
      </c>
      <c r="P189">
        <f>IF('Recurring Schedule'!$C$20="","",IF('Recurring Schedule'!$F$20="","",IF(OR($A189&lt;'Recurring Schedule'!$F$20,$A189&gt;'Recurring Schedule'!$P$20),"",IF(IF('Recurring Schedule'!$N$20&gt;0,MOD($A189-'Recurring Schedule'!$F$20,'Recurring Schedule'!$N$20)=0,IF('Recurring Schedule'!$O$20&gt;0,AND(DAY($A189)=MIN(DAY('Recurring Schedule'!$F$20),DAY(EOMONTH($A189,0))),MOD((YEAR($A189)-YEAR('Recurring Schedule'!$F$20))*12+MONTH($A189)-MONTH('Recurring Schedule'!$F$20),'Recurring Schedule'!$O$20)=0),IF('Recurring Schedule'!$E$20="Weekdays",WEEKDAY($A189,2)&lt;=5,$A189='Recurring Schedule'!$F$20))),15,""))))</f>
        <v/>
      </c>
      <c r="Q189">
        <f>IF('Recurring Schedule'!$C$21="","",IF('Recurring Schedule'!$F$21="","",IF(OR($A189&lt;'Recurring Schedule'!$F$21,$A189&gt;'Recurring Schedule'!$P$21),"",IF(IF('Recurring Schedule'!$N$21&gt;0,MOD($A189-'Recurring Schedule'!$F$21,'Recurring Schedule'!$N$21)=0,IF('Recurring Schedule'!$O$21&gt;0,AND(DAY($A189)=MIN(DAY('Recurring Schedule'!$F$21),DAY(EOMONTH($A189,0))),MOD((YEAR($A189)-YEAR('Recurring Schedule'!$F$21))*12+MONTH($A189)-MONTH('Recurring Schedule'!$F$21),'Recurring Schedule'!$O$21)=0),IF('Recurring Schedule'!$E$21="Weekdays",WEEKDAY($A189,2)&lt;=5,$A189='Recurring Schedule'!$F$21))),16,""))))</f>
        <v/>
      </c>
      <c r="R189">
        <f>IF('Recurring Schedule'!$C$22="","",IF('Recurring Schedule'!$F$22="","",IF(OR($A189&lt;'Recurring Schedule'!$F$22,$A189&gt;'Recurring Schedule'!$P$22),"",IF(IF('Recurring Schedule'!$N$22&gt;0,MOD($A189-'Recurring Schedule'!$F$22,'Recurring Schedule'!$N$22)=0,IF('Recurring Schedule'!$O$22&gt;0,AND(DAY($A189)=MIN(DAY('Recurring Schedule'!$F$22),DAY(EOMONTH($A189,0))),MOD((YEAR($A189)-YEAR('Recurring Schedule'!$F$22))*12+MONTH($A189)-MONTH('Recurring Schedule'!$F$22),'Recurring Schedule'!$O$22)=0),IF('Recurring Schedule'!$E$22="Weekdays",WEEKDAY($A189,2)&lt;=5,$A189='Recurring Schedule'!$F$22))),17,""))))</f>
        <v/>
      </c>
      <c r="S189">
        <f>IF('Recurring Schedule'!$C$23="","",IF('Recurring Schedule'!$F$23="","",IF(OR($A189&lt;'Recurring Schedule'!$F$23,$A189&gt;'Recurring Schedule'!$P$23),"",IF(IF('Recurring Schedule'!$N$23&gt;0,MOD($A189-'Recurring Schedule'!$F$23,'Recurring Schedule'!$N$23)=0,IF('Recurring Schedule'!$O$23&gt;0,AND(DAY($A189)=MIN(DAY('Recurring Schedule'!$F$23),DAY(EOMONTH($A189,0))),MOD((YEAR($A189)-YEAR('Recurring Schedule'!$F$23))*12+MONTH($A189)-MONTH('Recurring Schedule'!$F$23),'Recurring Schedule'!$O$23)=0),IF('Recurring Schedule'!$E$23="Weekdays",WEEKDAY($A189,2)&lt;=5,$A189='Recurring Schedule'!$F$23))),18,""))))</f>
        <v/>
      </c>
      <c r="T189">
        <f>IF('Recurring Schedule'!$C$24="","",IF('Recurring Schedule'!$F$24="","",IF(OR($A189&lt;'Recurring Schedule'!$F$24,$A189&gt;'Recurring Schedule'!$P$24),"",IF(IF('Recurring Schedule'!$N$24&gt;0,MOD($A189-'Recurring Schedule'!$F$24,'Recurring Schedule'!$N$24)=0,IF('Recurring Schedule'!$O$24&gt;0,AND(DAY($A189)=MIN(DAY('Recurring Schedule'!$F$24),DAY(EOMONTH($A189,0))),MOD((YEAR($A189)-YEAR('Recurring Schedule'!$F$24))*12+MONTH($A189)-MONTH('Recurring Schedule'!$F$24),'Recurring Schedule'!$O$24)=0),IF('Recurring Schedule'!$E$24="Weekdays",WEEKDAY($A189,2)&lt;=5,$A189='Recurring Schedule'!$F$24))),19,""))))</f>
        <v/>
      </c>
      <c r="U189">
        <f>IF('Recurring Schedule'!$C$25="","",IF('Recurring Schedule'!$F$25="","",IF(OR($A189&lt;'Recurring Schedule'!$F$25,$A189&gt;'Recurring Schedule'!$P$25),"",IF(IF('Recurring Schedule'!$N$25&gt;0,MOD($A189-'Recurring Schedule'!$F$25,'Recurring Schedule'!$N$25)=0,IF('Recurring Schedule'!$O$25&gt;0,AND(DAY($A189)=MIN(DAY('Recurring Schedule'!$F$25),DAY(EOMONTH($A189,0))),MOD((YEAR($A189)-YEAR('Recurring Schedule'!$F$25))*12+MONTH($A189)-MONTH('Recurring Schedule'!$F$25),'Recurring Schedule'!$O$25)=0),IF('Recurring Schedule'!$E$25="Weekdays",WEEKDAY($A189,2)&lt;=5,$A189='Recurring Schedule'!$F$25))),20,""))))</f>
        <v/>
      </c>
      <c r="V189">
        <f>IF('Recurring Schedule'!$C$26="","",IF('Recurring Schedule'!$F$26="","",IF(OR($A189&lt;'Recurring Schedule'!$F$26,$A189&gt;'Recurring Schedule'!$P$26),"",IF(IF('Recurring Schedule'!$N$26&gt;0,MOD($A189-'Recurring Schedule'!$F$26,'Recurring Schedule'!$N$26)=0,IF('Recurring Schedule'!$O$26&gt;0,AND(DAY($A189)=MIN(DAY('Recurring Schedule'!$F$26),DAY(EOMONTH($A189,0))),MOD((YEAR($A189)-YEAR('Recurring Schedule'!$F$26))*12+MONTH($A189)-MONTH('Recurring Schedule'!$F$26),'Recurring Schedule'!$O$26)=0),IF('Recurring Schedule'!$E$26="Weekdays",WEEKDAY($A189,2)&lt;=5,$A189='Recurring Schedule'!$F$26))),21,""))))</f>
        <v/>
      </c>
      <c r="W189">
        <f>IF('Recurring Schedule'!$C$27="","",IF('Recurring Schedule'!$F$27="","",IF(OR($A189&lt;'Recurring Schedule'!$F$27,$A189&gt;'Recurring Schedule'!$P$27),"",IF(IF('Recurring Schedule'!$N$27&gt;0,MOD($A189-'Recurring Schedule'!$F$27,'Recurring Schedule'!$N$27)=0,IF('Recurring Schedule'!$O$27&gt;0,AND(DAY($A189)=MIN(DAY('Recurring Schedule'!$F$27),DAY(EOMONTH($A189,0))),MOD((YEAR($A189)-YEAR('Recurring Schedule'!$F$27))*12+MONTH($A189)-MONTH('Recurring Schedule'!$F$27),'Recurring Schedule'!$O$27)=0),IF('Recurring Schedule'!$E$27="Weekdays",WEEKDAY($A189,2)&lt;=5,$A189='Recurring Schedule'!$F$27))),22,""))))</f>
        <v/>
      </c>
      <c r="X189">
        <f>IF('Recurring Schedule'!$C$28="","",IF('Recurring Schedule'!$F$28="","",IF(OR($A189&lt;'Recurring Schedule'!$F$28,$A189&gt;'Recurring Schedule'!$P$28),"",IF(IF('Recurring Schedule'!$N$28&gt;0,MOD($A189-'Recurring Schedule'!$F$28,'Recurring Schedule'!$N$28)=0,IF('Recurring Schedule'!$O$28&gt;0,AND(DAY($A189)=MIN(DAY('Recurring Schedule'!$F$28),DAY(EOMONTH($A189,0))),MOD((YEAR($A189)-YEAR('Recurring Schedule'!$F$28))*12+MONTH($A189)-MONTH('Recurring Schedule'!$F$28),'Recurring Schedule'!$O$28)=0),IF('Recurring Schedule'!$E$28="Weekdays",WEEKDAY($A189,2)&lt;=5,$A189='Recurring Schedule'!$F$28))),23,""))))</f>
        <v/>
      </c>
      <c r="Y189">
        <f>IF('Recurring Schedule'!$C$29="","",IF('Recurring Schedule'!$F$29="","",IF(OR($A189&lt;'Recurring Schedule'!$F$29,$A189&gt;'Recurring Schedule'!$P$29),"",IF(IF('Recurring Schedule'!$N$29&gt;0,MOD($A189-'Recurring Schedule'!$F$29,'Recurring Schedule'!$N$29)=0,IF('Recurring Schedule'!$O$29&gt;0,AND(DAY($A189)=MIN(DAY('Recurring Schedule'!$F$29),DAY(EOMONTH($A189,0))),MOD((YEAR($A189)-YEAR('Recurring Schedule'!$F$29))*12+MONTH($A189)-MONTH('Recurring Schedule'!$F$29),'Recurring Schedule'!$O$29)=0),IF('Recurring Schedule'!$E$29="Weekdays",WEEKDAY($A189,2)&lt;=5,$A189='Recurring Schedule'!$F$29))),24,""))))</f>
        <v/>
      </c>
      <c r="Z189">
        <f>IF('Recurring Schedule'!$C$30="","",IF('Recurring Schedule'!$F$30="","",IF(OR($A189&lt;'Recurring Schedule'!$F$30,$A189&gt;'Recurring Schedule'!$P$30),"",IF(IF('Recurring Schedule'!$N$30&gt;0,MOD($A189-'Recurring Schedule'!$F$30,'Recurring Schedule'!$N$30)=0,IF('Recurring Schedule'!$O$30&gt;0,AND(DAY($A189)=MIN(DAY('Recurring Schedule'!$F$30),DAY(EOMONTH($A189,0))),MOD((YEAR($A189)-YEAR('Recurring Schedule'!$F$30))*12+MONTH($A189)-MONTH('Recurring Schedule'!$F$30),'Recurring Schedule'!$O$30)=0),IF('Recurring Schedule'!$E$30="Weekdays",WEEKDAY($A189,2)&lt;=5,$A189='Recurring Schedule'!$F$30))),25,""))))</f>
        <v/>
      </c>
      <c r="AA189">
        <f>IF('Recurring Schedule'!$C$31="","",IF('Recurring Schedule'!$F$31="","",IF(OR($A189&lt;'Recurring Schedule'!$F$31,$A189&gt;'Recurring Schedule'!$P$31),"",IF(IF('Recurring Schedule'!$N$31&gt;0,MOD($A189-'Recurring Schedule'!$F$31,'Recurring Schedule'!$N$31)=0,IF('Recurring Schedule'!$O$31&gt;0,AND(DAY($A189)=MIN(DAY('Recurring Schedule'!$F$31),DAY(EOMONTH($A189,0))),MOD((YEAR($A189)-YEAR('Recurring Schedule'!$F$31))*12+MONTH($A189)-MONTH('Recurring Schedule'!$F$31),'Recurring Schedule'!$O$31)=0),IF('Recurring Schedule'!$E$31="Weekdays",WEEKDAY($A189,2)&lt;=5,$A189='Recurring Schedule'!$F$31))),26,""))))</f>
        <v/>
      </c>
      <c r="AB189">
        <f>IF('Recurring Schedule'!$C$32="","",IF('Recurring Schedule'!$F$32="","",IF(OR($A189&lt;'Recurring Schedule'!$F$32,$A189&gt;'Recurring Schedule'!$P$32),"",IF(IF('Recurring Schedule'!$N$32&gt;0,MOD($A189-'Recurring Schedule'!$F$32,'Recurring Schedule'!$N$32)=0,IF('Recurring Schedule'!$O$32&gt;0,AND(DAY($A189)=MIN(DAY('Recurring Schedule'!$F$32),DAY(EOMONTH($A189,0))),MOD((YEAR($A189)-YEAR('Recurring Schedule'!$F$32))*12+MONTH($A189)-MONTH('Recurring Schedule'!$F$32),'Recurring Schedule'!$O$32)=0),IF('Recurring Schedule'!$E$32="Weekdays",WEEKDAY($A189,2)&lt;=5,$A189='Recurring Schedule'!$F$32))),27,""))))</f>
        <v/>
      </c>
      <c r="AC189">
        <f>IF('Recurring Schedule'!$C$33="","",IF('Recurring Schedule'!$F$33="","",IF(OR($A189&lt;'Recurring Schedule'!$F$33,$A189&gt;'Recurring Schedule'!$P$33),"",IF(IF('Recurring Schedule'!$N$33&gt;0,MOD($A189-'Recurring Schedule'!$F$33,'Recurring Schedule'!$N$33)=0,IF('Recurring Schedule'!$O$33&gt;0,AND(DAY($A189)=MIN(DAY('Recurring Schedule'!$F$33),DAY(EOMONTH($A189,0))),MOD((YEAR($A189)-YEAR('Recurring Schedule'!$F$33))*12+MONTH($A189)-MONTH('Recurring Schedule'!$F$33),'Recurring Schedule'!$O$33)=0),IF('Recurring Schedule'!$E$33="Weekdays",WEEKDAY($A189,2)&lt;=5,$A189='Recurring Schedule'!$F$33))),28,""))))</f>
        <v/>
      </c>
      <c r="AD189">
        <f>IF('Recurring Schedule'!$C$34="","",IF('Recurring Schedule'!$F$34="","",IF(OR($A189&lt;'Recurring Schedule'!$F$34,$A189&gt;'Recurring Schedule'!$P$34),"",IF(IF('Recurring Schedule'!$N$34&gt;0,MOD($A189-'Recurring Schedule'!$F$34,'Recurring Schedule'!$N$34)=0,IF('Recurring Schedule'!$O$34&gt;0,AND(DAY($A189)=MIN(DAY('Recurring Schedule'!$F$34),DAY(EOMONTH($A189,0))),MOD((YEAR($A189)-YEAR('Recurring Schedule'!$F$34))*12+MONTH($A189)-MONTH('Recurring Schedule'!$F$34),'Recurring Schedule'!$O$34)=0),IF('Recurring Schedule'!$E$34="Weekdays",WEEKDAY($A189,2)&lt;=5,$A189='Recurring Schedule'!$F$34))),29,""))))</f>
        <v/>
      </c>
      <c r="AE189">
        <f>IF('Recurring Schedule'!$C$35="","",IF('Recurring Schedule'!$F$35="","",IF(OR($A189&lt;'Recurring Schedule'!$F$35,$A189&gt;'Recurring Schedule'!$P$35),"",IF(IF('Recurring Schedule'!$N$35&gt;0,MOD($A189-'Recurring Schedule'!$F$35,'Recurring Schedule'!$N$35)=0,IF('Recurring Schedule'!$O$35&gt;0,AND(DAY($A189)=MIN(DAY('Recurring Schedule'!$F$35),DAY(EOMONTH($A189,0))),MOD((YEAR($A189)-YEAR('Recurring Schedule'!$F$35))*12+MONTH($A189)-MONTH('Recurring Schedule'!$F$35),'Recurring Schedule'!$O$35)=0),IF('Recurring Schedule'!$E$35="Weekdays",WEEKDAY($A189,2)&lt;=5,$A189='Recurring Schedule'!$F$35))),30,""))))</f>
        <v/>
      </c>
      <c r="AF189">
        <f>IF('Recurring Schedule'!$C$36="","",IF('Recurring Schedule'!$F$36="","",IF(OR($A189&lt;'Recurring Schedule'!$F$36,$A189&gt;'Recurring Schedule'!$P$36),"",IF(IF('Recurring Schedule'!$N$36&gt;0,MOD($A189-'Recurring Schedule'!$F$36,'Recurring Schedule'!$N$36)=0,IF('Recurring Schedule'!$O$36&gt;0,AND(DAY($A189)=MIN(DAY('Recurring Schedule'!$F$36),DAY(EOMONTH($A189,0))),MOD((YEAR($A189)-YEAR('Recurring Schedule'!$F$36))*12+MONTH($A189)-MONTH('Recurring Schedule'!$F$36),'Recurring Schedule'!$O$36)=0),IF('Recurring Schedule'!$E$36="Weekdays",WEEKDAY($A189,2)&lt;=5,$A189='Recurring Schedule'!$F$36))),31,""))))</f>
        <v/>
      </c>
      <c r="AG189">
        <f>IF('Recurring Schedule'!$C$37="","",IF('Recurring Schedule'!$F$37="","",IF(OR($A189&lt;'Recurring Schedule'!$F$37,$A189&gt;'Recurring Schedule'!$P$37),"",IF(IF('Recurring Schedule'!$N$37&gt;0,MOD($A189-'Recurring Schedule'!$F$37,'Recurring Schedule'!$N$37)=0,IF('Recurring Schedule'!$O$37&gt;0,AND(DAY($A189)=MIN(DAY('Recurring Schedule'!$F$37),DAY(EOMONTH($A189,0))),MOD((YEAR($A189)-YEAR('Recurring Schedule'!$F$37))*12+MONTH($A189)-MONTH('Recurring Schedule'!$F$37),'Recurring Schedule'!$O$37)=0),IF('Recurring Schedule'!$E$37="Weekdays",WEEKDAY($A189,2)&lt;=5,$A189='Recurring Schedule'!$F$37))),32,""))))</f>
        <v/>
      </c>
      <c r="AH189">
        <f>IF('Recurring Schedule'!$C$38="","",IF('Recurring Schedule'!$F$38="","",IF(OR($A189&lt;'Recurring Schedule'!$F$38,$A189&gt;'Recurring Schedule'!$P$38),"",IF(IF('Recurring Schedule'!$N$38&gt;0,MOD($A189-'Recurring Schedule'!$F$38,'Recurring Schedule'!$N$38)=0,IF('Recurring Schedule'!$O$38&gt;0,AND(DAY($A189)=MIN(DAY('Recurring Schedule'!$F$38),DAY(EOMONTH($A189,0))),MOD((YEAR($A189)-YEAR('Recurring Schedule'!$F$38))*12+MONTH($A189)-MONTH('Recurring Schedule'!$F$38),'Recurring Schedule'!$O$38)=0),IF('Recurring Schedule'!$E$38="Weekdays",WEEKDAY($A189,2)&lt;=5,$A189='Recurring Schedule'!$F$38))),33,""))))</f>
        <v/>
      </c>
      <c r="AI189">
        <f>IF('Recurring Schedule'!$C$39="","",IF('Recurring Schedule'!$F$39="","",IF(OR($A189&lt;'Recurring Schedule'!$F$39,$A189&gt;'Recurring Schedule'!$P$39),"",IF(IF('Recurring Schedule'!$N$39&gt;0,MOD($A189-'Recurring Schedule'!$F$39,'Recurring Schedule'!$N$39)=0,IF('Recurring Schedule'!$O$39&gt;0,AND(DAY($A189)=MIN(DAY('Recurring Schedule'!$F$39),DAY(EOMONTH($A189,0))),MOD((YEAR($A189)-YEAR('Recurring Schedule'!$F$39))*12+MONTH($A189)-MONTH('Recurring Schedule'!$F$39),'Recurring Schedule'!$O$39)=0),IF('Recurring Schedule'!$E$39="Weekdays",WEEKDAY($A189,2)&lt;=5,$A189='Recurring Schedule'!$F$39))),34,""))))</f>
        <v/>
      </c>
      <c r="AJ189">
        <f>IF('Recurring Schedule'!$C$40="","",IF('Recurring Schedule'!$F$40="","",IF(OR($A189&lt;'Recurring Schedule'!$F$40,$A189&gt;'Recurring Schedule'!$P$40),"",IF(IF('Recurring Schedule'!$N$40&gt;0,MOD($A189-'Recurring Schedule'!$F$40,'Recurring Schedule'!$N$40)=0,IF('Recurring Schedule'!$O$40&gt;0,AND(DAY($A189)=MIN(DAY('Recurring Schedule'!$F$40),DAY(EOMONTH($A189,0))),MOD((YEAR($A189)-YEAR('Recurring Schedule'!$F$40))*12+MONTH($A189)-MONTH('Recurring Schedule'!$F$40),'Recurring Schedule'!$O$40)=0),IF('Recurring Schedule'!$E$40="Weekdays",WEEKDAY($A189,2)&lt;=5,$A189='Recurring Schedule'!$F$40))),35,""))))</f>
        <v/>
      </c>
      <c r="AK189">
        <f>IF('Recurring Schedule'!$C$41="","",IF('Recurring Schedule'!$F$41="","",IF(OR($A189&lt;'Recurring Schedule'!$F$41,$A189&gt;'Recurring Schedule'!$P$41),"",IF(IF('Recurring Schedule'!$N$41&gt;0,MOD($A189-'Recurring Schedule'!$F$41,'Recurring Schedule'!$N$41)=0,IF('Recurring Schedule'!$O$41&gt;0,AND(DAY($A189)=MIN(DAY('Recurring Schedule'!$F$41),DAY(EOMONTH($A189,0))),MOD((YEAR($A189)-YEAR('Recurring Schedule'!$F$41))*12+MONTH($A189)-MONTH('Recurring Schedule'!$F$41),'Recurring Schedule'!$O$41)=0),IF('Recurring Schedule'!$E$41="Weekdays",WEEKDAY($A189,2)&lt;=5,$A189='Recurring Schedule'!$F$41))),36,""))))</f>
        <v/>
      </c>
      <c r="AL189">
        <f>IF('Recurring Schedule'!$C$42="","",IF('Recurring Schedule'!$F$42="","",IF(OR($A189&lt;'Recurring Schedule'!$F$42,$A189&gt;'Recurring Schedule'!$P$42),"",IF(IF('Recurring Schedule'!$N$42&gt;0,MOD($A189-'Recurring Schedule'!$F$42,'Recurring Schedule'!$N$42)=0,IF('Recurring Schedule'!$O$42&gt;0,AND(DAY($A189)=MIN(DAY('Recurring Schedule'!$F$42),DAY(EOMONTH($A189,0))),MOD((YEAR($A189)-YEAR('Recurring Schedule'!$F$42))*12+MONTH($A189)-MONTH('Recurring Schedule'!$F$42),'Recurring Schedule'!$O$42)=0),IF('Recurring Schedule'!$E$42="Weekdays",WEEKDAY($A189,2)&lt;=5,$A189='Recurring Schedule'!$F$42))),37,""))))</f>
        <v/>
      </c>
      <c r="AM189">
        <f>IF('Recurring Schedule'!$C$43="","",IF('Recurring Schedule'!$F$43="","",IF(OR($A189&lt;'Recurring Schedule'!$F$43,$A189&gt;'Recurring Schedule'!$P$43),"",IF(IF('Recurring Schedule'!$N$43&gt;0,MOD($A189-'Recurring Schedule'!$F$43,'Recurring Schedule'!$N$43)=0,IF('Recurring Schedule'!$O$43&gt;0,AND(DAY($A189)=MIN(DAY('Recurring Schedule'!$F$43),DAY(EOMONTH($A189,0))),MOD((YEAR($A189)-YEAR('Recurring Schedule'!$F$43))*12+MONTH($A189)-MONTH('Recurring Schedule'!$F$43),'Recurring Schedule'!$O$43)=0),IF('Recurring Schedule'!$E$43="Weekdays",WEEKDAY($A189,2)&lt;=5,$A189='Recurring Schedule'!$F$43))),38,""))))</f>
        <v/>
      </c>
      <c r="AN189">
        <f>IF('Recurring Schedule'!$C$44="","",IF('Recurring Schedule'!$F$44="","",IF(OR($A189&lt;'Recurring Schedule'!$F$44,$A189&gt;'Recurring Schedule'!$P$44),"",IF(IF('Recurring Schedule'!$N$44&gt;0,MOD($A189-'Recurring Schedule'!$F$44,'Recurring Schedule'!$N$44)=0,IF('Recurring Schedule'!$O$44&gt;0,AND(DAY($A189)=MIN(DAY('Recurring Schedule'!$F$44),DAY(EOMONTH($A189,0))),MOD((YEAR($A189)-YEAR('Recurring Schedule'!$F$44))*12+MONTH($A189)-MONTH('Recurring Schedule'!$F$44),'Recurring Schedule'!$O$44)=0),IF('Recurring Schedule'!$E$44="Weekdays",WEEKDAY($A189,2)&lt;=5,$A189='Recurring Schedule'!$F$44))),39,""))))</f>
        <v/>
      </c>
      <c r="AO189">
        <f>IF('Recurring Schedule'!$C$45="","",IF('Recurring Schedule'!$F$45="","",IF(OR($A189&lt;'Recurring Schedule'!$F$45,$A189&gt;'Recurring Schedule'!$P$45),"",IF(IF('Recurring Schedule'!$N$45&gt;0,MOD($A189-'Recurring Schedule'!$F$45,'Recurring Schedule'!$N$45)=0,IF('Recurring Schedule'!$O$45&gt;0,AND(DAY($A189)=MIN(DAY('Recurring Schedule'!$F$45),DAY(EOMONTH($A189,0))),MOD((YEAR($A189)-YEAR('Recurring Schedule'!$F$45))*12+MONTH($A189)-MONTH('Recurring Schedule'!$F$45),'Recurring Schedule'!$O$45)=0),IF('Recurring Schedule'!$E$45="Weekdays",WEEKDAY($A189,2)&lt;=5,$A189='Recurring Schedule'!$F$45))),40,""))))</f>
        <v/>
      </c>
      <c r="AP189">
        <f>COUNT(B189:AO189)</f>
        <v/>
      </c>
      <c r="AQ189">
        <f>AQ188+AP188</f>
        <v/>
      </c>
      <c r="AS189" t="inlineStr">
        <is>
          <t>R</t>
        </is>
      </c>
      <c r="AT189" t="n">
        <v>193</v>
      </c>
      <c r="AU189">
        <f>'Recurring Log'!C193&amp;""</f>
        <v/>
      </c>
      <c r="AV189">
        <f>'Recurring Log'!D193&amp;""</f>
        <v/>
      </c>
      <c r="AW189">
        <f>IF('Recurring Log'!E193="","",'Recurring Log'!E193)</f>
        <v/>
      </c>
      <c r="AX189">
        <f>IF('Recurring Log'!G193="","",'Recurring Log'!G193)</f>
        <v/>
      </c>
      <c r="AY189">
        <f>IF('Recurring Log'!H193="","",'Recurring Log'!H193)</f>
        <v/>
      </c>
      <c r="AZ189">
        <f>IF(AU189="","",IF('Recurring Log'!J193="","Not Started",'Recurring Log'!J193))</f>
        <v/>
      </c>
      <c r="BA189">
        <f>'Recurring Log'!L193&amp;""</f>
        <v/>
      </c>
      <c r="BB189">
        <f>'Recurring Log'!M193&amp;""</f>
        <v/>
      </c>
      <c r="BC189">
        <f>'Recurring Log'!N193&amp;""</f>
        <v/>
      </c>
      <c r="BD189">
        <f>'Recurring Log'!O193&amp;""</f>
        <v/>
      </c>
      <c r="BE189">
        <f>IF('Recurring Log'!K193="","",'Recurring Log'!K193)</f>
        <v/>
      </c>
      <c r="BF189">
        <f>IFERROR(MATCH(BA189,Setup!$L$6:$L$9,0),5)</f>
        <v/>
      </c>
      <c r="BG189">
        <f>IF(OR(AZ189="Done",AZ189="Cancelled"),1,0)</f>
        <v/>
      </c>
      <c r="BH189">
        <f>IF(AND(AU189&lt;&gt;"",ISNUMBER(AW189)),1,0)</f>
        <v/>
      </c>
      <c r="BI189">
        <f>IF(BH189=0,0,IF(AND(AW189&gt;='Tasks Filter'!$F$3,AW189&lt;='Tasks Filter'!$F$4,OR('Tasks Filter'!$I$3="",ISNUMBER(SEARCH('Tasks Filter'!$I$3,AU189))),OR('Tasks Filter'!$I$4="",BF189=IFERROR(MATCH('Tasks Filter'!$I$4,Setup!$L$6:$L$9,0),0)),OR('Tasks Filter'!$I$5="Both",AND('Tasks Filter'!$I$5="Yes",BB189="✓"),AND('Tasks Filter'!$I$5="No",BB189&lt;&gt;"✓")),OR('Tasks Filter'!$L$3="",AV189='Tasks Filter'!$L$3),OR('Tasks Filter'!$L$4="",AZ189='Tasks Filter'!$L$4),OR('Tasks Filter'!$L$5="",BC189='Tasks Filter'!$L$5),OR('Tasks Filter'!$O$3="",BD189='Tasks Filter'!$O$3),OR('Tasks Filter'!$O$4="Yes",BG189=0)),1,0))</f>
        <v/>
      </c>
      <c r="BJ189">
        <f>IF(BH189=0,"",IF('Tasks Filter'!$F$6="Descending",-1,1)*CHOOSE(MATCH('Tasks Filter'!$F$5,Lists!$G$2:$G$6,0),AW189,BF189,IFERROR(MATCH(AV189,Setup!$F$6:$F$15,0),99),IFERROR(MATCH(BC189,Setup!$H$6:$H$15,0),99),IFERROR(MATCH(AZ189,Setup!$J$6:$J$11,0),99))*1E+9+(AW189-40000)*10000+188)</f>
        <v/>
      </c>
      <c r="BK189">
        <f>IF(BI189=1,BJ189,"")</f>
        <v/>
      </c>
      <c r="BL189">
        <f>IF(AND(BH189=1,BG189=0,N(AW189)&lt;Setup!$D$7),(AW189-40000)*10000+188,"")</f>
        <v/>
      </c>
      <c r="BM189">
        <f>IF(AND(BH189=1,AZ189&lt;&gt;"Cancelled",N(AW189)&gt;=Dashboard!$AB$3,N(AW189)&lt;=Dashboard!$AB$3+6),(AW189-40000)*100000+BF189*10000+188,"")</f>
        <v/>
      </c>
      <c r="BN189">
        <f>IF(AND(BH189=1,AZ189&lt;&gt;"Cancelled"),BF189*10000+188,"")</f>
        <v/>
      </c>
    </row>
    <row r="190">
      <c r="A190">
        <f>Setup!$D$5+188</f>
        <v/>
      </c>
      <c r="B190">
        <f>IF('Recurring Schedule'!$C$6="","",IF('Recurring Schedule'!$F$6="","",IF(OR($A190&lt;'Recurring Schedule'!$F$6,$A190&gt;'Recurring Schedule'!$P$6),"",IF(IF('Recurring Schedule'!$N$6&gt;0,MOD($A190-'Recurring Schedule'!$F$6,'Recurring Schedule'!$N$6)=0,IF('Recurring Schedule'!$O$6&gt;0,AND(DAY($A190)=MIN(DAY('Recurring Schedule'!$F$6),DAY(EOMONTH($A190,0))),MOD((YEAR($A190)-YEAR('Recurring Schedule'!$F$6))*12+MONTH($A190)-MONTH('Recurring Schedule'!$F$6),'Recurring Schedule'!$O$6)=0),IF('Recurring Schedule'!$E$6="Weekdays",WEEKDAY($A190,2)&lt;=5,$A190='Recurring Schedule'!$F$6))),1,""))))</f>
        <v/>
      </c>
      <c r="C190">
        <f>IF('Recurring Schedule'!$C$7="","",IF('Recurring Schedule'!$F$7="","",IF(OR($A190&lt;'Recurring Schedule'!$F$7,$A190&gt;'Recurring Schedule'!$P$7),"",IF(IF('Recurring Schedule'!$N$7&gt;0,MOD($A190-'Recurring Schedule'!$F$7,'Recurring Schedule'!$N$7)=0,IF('Recurring Schedule'!$O$7&gt;0,AND(DAY($A190)=MIN(DAY('Recurring Schedule'!$F$7),DAY(EOMONTH($A190,0))),MOD((YEAR($A190)-YEAR('Recurring Schedule'!$F$7))*12+MONTH($A190)-MONTH('Recurring Schedule'!$F$7),'Recurring Schedule'!$O$7)=0),IF('Recurring Schedule'!$E$7="Weekdays",WEEKDAY($A190,2)&lt;=5,$A190='Recurring Schedule'!$F$7))),2,""))))</f>
        <v/>
      </c>
      <c r="D190">
        <f>IF('Recurring Schedule'!$C$8="","",IF('Recurring Schedule'!$F$8="","",IF(OR($A190&lt;'Recurring Schedule'!$F$8,$A190&gt;'Recurring Schedule'!$P$8),"",IF(IF('Recurring Schedule'!$N$8&gt;0,MOD($A190-'Recurring Schedule'!$F$8,'Recurring Schedule'!$N$8)=0,IF('Recurring Schedule'!$O$8&gt;0,AND(DAY($A190)=MIN(DAY('Recurring Schedule'!$F$8),DAY(EOMONTH($A190,0))),MOD((YEAR($A190)-YEAR('Recurring Schedule'!$F$8))*12+MONTH($A190)-MONTH('Recurring Schedule'!$F$8),'Recurring Schedule'!$O$8)=0),IF('Recurring Schedule'!$E$8="Weekdays",WEEKDAY($A190,2)&lt;=5,$A190='Recurring Schedule'!$F$8))),3,""))))</f>
        <v/>
      </c>
      <c r="E190">
        <f>IF('Recurring Schedule'!$C$9="","",IF('Recurring Schedule'!$F$9="","",IF(OR($A190&lt;'Recurring Schedule'!$F$9,$A190&gt;'Recurring Schedule'!$P$9),"",IF(IF('Recurring Schedule'!$N$9&gt;0,MOD($A190-'Recurring Schedule'!$F$9,'Recurring Schedule'!$N$9)=0,IF('Recurring Schedule'!$O$9&gt;0,AND(DAY($A190)=MIN(DAY('Recurring Schedule'!$F$9),DAY(EOMONTH($A190,0))),MOD((YEAR($A190)-YEAR('Recurring Schedule'!$F$9))*12+MONTH($A190)-MONTH('Recurring Schedule'!$F$9),'Recurring Schedule'!$O$9)=0),IF('Recurring Schedule'!$E$9="Weekdays",WEEKDAY($A190,2)&lt;=5,$A190='Recurring Schedule'!$F$9))),4,""))))</f>
        <v/>
      </c>
      <c r="F190">
        <f>IF('Recurring Schedule'!$C$10="","",IF('Recurring Schedule'!$F$10="","",IF(OR($A190&lt;'Recurring Schedule'!$F$10,$A190&gt;'Recurring Schedule'!$P$10),"",IF(IF('Recurring Schedule'!$N$10&gt;0,MOD($A190-'Recurring Schedule'!$F$10,'Recurring Schedule'!$N$10)=0,IF('Recurring Schedule'!$O$10&gt;0,AND(DAY($A190)=MIN(DAY('Recurring Schedule'!$F$10),DAY(EOMONTH($A190,0))),MOD((YEAR($A190)-YEAR('Recurring Schedule'!$F$10))*12+MONTH($A190)-MONTH('Recurring Schedule'!$F$10),'Recurring Schedule'!$O$10)=0),IF('Recurring Schedule'!$E$10="Weekdays",WEEKDAY($A190,2)&lt;=5,$A190='Recurring Schedule'!$F$10))),5,""))))</f>
        <v/>
      </c>
      <c r="G190">
        <f>IF('Recurring Schedule'!$C$11="","",IF('Recurring Schedule'!$F$11="","",IF(OR($A190&lt;'Recurring Schedule'!$F$11,$A190&gt;'Recurring Schedule'!$P$11),"",IF(IF('Recurring Schedule'!$N$11&gt;0,MOD($A190-'Recurring Schedule'!$F$11,'Recurring Schedule'!$N$11)=0,IF('Recurring Schedule'!$O$11&gt;0,AND(DAY($A190)=MIN(DAY('Recurring Schedule'!$F$11),DAY(EOMONTH($A190,0))),MOD((YEAR($A190)-YEAR('Recurring Schedule'!$F$11))*12+MONTH($A190)-MONTH('Recurring Schedule'!$F$11),'Recurring Schedule'!$O$11)=0),IF('Recurring Schedule'!$E$11="Weekdays",WEEKDAY($A190,2)&lt;=5,$A190='Recurring Schedule'!$F$11))),6,""))))</f>
        <v/>
      </c>
      <c r="H190">
        <f>IF('Recurring Schedule'!$C$12="","",IF('Recurring Schedule'!$F$12="","",IF(OR($A190&lt;'Recurring Schedule'!$F$12,$A190&gt;'Recurring Schedule'!$P$12),"",IF(IF('Recurring Schedule'!$N$12&gt;0,MOD($A190-'Recurring Schedule'!$F$12,'Recurring Schedule'!$N$12)=0,IF('Recurring Schedule'!$O$12&gt;0,AND(DAY($A190)=MIN(DAY('Recurring Schedule'!$F$12),DAY(EOMONTH($A190,0))),MOD((YEAR($A190)-YEAR('Recurring Schedule'!$F$12))*12+MONTH($A190)-MONTH('Recurring Schedule'!$F$12),'Recurring Schedule'!$O$12)=0),IF('Recurring Schedule'!$E$12="Weekdays",WEEKDAY($A190,2)&lt;=5,$A190='Recurring Schedule'!$F$12))),7,""))))</f>
        <v/>
      </c>
      <c r="I190">
        <f>IF('Recurring Schedule'!$C$13="","",IF('Recurring Schedule'!$F$13="","",IF(OR($A190&lt;'Recurring Schedule'!$F$13,$A190&gt;'Recurring Schedule'!$P$13),"",IF(IF('Recurring Schedule'!$N$13&gt;0,MOD($A190-'Recurring Schedule'!$F$13,'Recurring Schedule'!$N$13)=0,IF('Recurring Schedule'!$O$13&gt;0,AND(DAY($A190)=MIN(DAY('Recurring Schedule'!$F$13),DAY(EOMONTH($A190,0))),MOD((YEAR($A190)-YEAR('Recurring Schedule'!$F$13))*12+MONTH($A190)-MONTH('Recurring Schedule'!$F$13),'Recurring Schedule'!$O$13)=0),IF('Recurring Schedule'!$E$13="Weekdays",WEEKDAY($A190,2)&lt;=5,$A190='Recurring Schedule'!$F$13))),8,""))))</f>
        <v/>
      </c>
      <c r="J190">
        <f>IF('Recurring Schedule'!$C$14="","",IF('Recurring Schedule'!$F$14="","",IF(OR($A190&lt;'Recurring Schedule'!$F$14,$A190&gt;'Recurring Schedule'!$P$14),"",IF(IF('Recurring Schedule'!$N$14&gt;0,MOD($A190-'Recurring Schedule'!$F$14,'Recurring Schedule'!$N$14)=0,IF('Recurring Schedule'!$O$14&gt;0,AND(DAY($A190)=MIN(DAY('Recurring Schedule'!$F$14),DAY(EOMONTH($A190,0))),MOD((YEAR($A190)-YEAR('Recurring Schedule'!$F$14))*12+MONTH($A190)-MONTH('Recurring Schedule'!$F$14),'Recurring Schedule'!$O$14)=0),IF('Recurring Schedule'!$E$14="Weekdays",WEEKDAY($A190,2)&lt;=5,$A190='Recurring Schedule'!$F$14))),9,""))))</f>
        <v/>
      </c>
      <c r="K190">
        <f>IF('Recurring Schedule'!$C$15="","",IF('Recurring Schedule'!$F$15="","",IF(OR($A190&lt;'Recurring Schedule'!$F$15,$A190&gt;'Recurring Schedule'!$P$15),"",IF(IF('Recurring Schedule'!$N$15&gt;0,MOD($A190-'Recurring Schedule'!$F$15,'Recurring Schedule'!$N$15)=0,IF('Recurring Schedule'!$O$15&gt;0,AND(DAY($A190)=MIN(DAY('Recurring Schedule'!$F$15),DAY(EOMONTH($A190,0))),MOD((YEAR($A190)-YEAR('Recurring Schedule'!$F$15))*12+MONTH($A190)-MONTH('Recurring Schedule'!$F$15),'Recurring Schedule'!$O$15)=0),IF('Recurring Schedule'!$E$15="Weekdays",WEEKDAY($A190,2)&lt;=5,$A190='Recurring Schedule'!$F$15))),10,""))))</f>
        <v/>
      </c>
      <c r="L190">
        <f>IF('Recurring Schedule'!$C$16="","",IF('Recurring Schedule'!$F$16="","",IF(OR($A190&lt;'Recurring Schedule'!$F$16,$A190&gt;'Recurring Schedule'!$P$16),"",IF(IF('Recurring Schedule'!$N$16&gt;0,MOD($A190-'Recurring Schedule'!$F$16,'Recurring Schedule'!$N$16)=0,IF('Recurring Schedule'!$O$16&gt;0,AND(DAY($A190)=MIN(DAY('Recurring Schedule'!$F$16),DAY(EOMONTH($A190,0))),MOD((YEAR($A190)-YEAR('Recurring Schedule'!$F$16))*12+MONTH($A190)-MONTH('Recurring Schedule'!$F$16),'Recurring Schedule'!$O$16)=0),IF('Recurring Schedule'!$E$16="Weekdays",WEEKDAY($A190,2)&lt;=5,$A190='Recurring Schedule'!$F$16))),11,""))))</f>
        <v/>
      </c>
      <c r="M190">
        <f>IF('Recurring Schedule'!$C$17="","",IF('Recurring Schedule'!$F$17="","",IF(OR($A190&lt;'Recurring Schedule'!$F$17,$A190&gt;'Recurring Schedule'!$P$17),"",IF(IF('Recurring Schedule'!$N$17&gt;0,MOD($A190-'Recurring Schedule'!$F$17,'Recurring Schedule'!$N$17)=0,IF('Recurring Schedule'!$O$17&gt;0,AND(DAY($A190)=MIN(DAY('Recurring Schedule'!$F$17),DAY(EOMONTH($A190,0))),MOD((YEAR($A190)-YEAR('Recurring Schedule'!$F$17))*12+MONTH($A190)-MONTH('Recurring Schedule'!$F$17),'Recurring Schedule'!$O$17)=0),IF('Recurring Schedule'!$E$17="Weekdays",WEEKDAY($A190,2)&lt;=5,$A190='Recurring Schedule'!$F$17))),12,""))))</f>
        <v/>
      </c>
      <c r="N190">
        <f>IF('Recurring Schedule'!$C$18="","",IF('Recurring Schedule'!$F$18="","",IF(OR($A190&lt;'Recurring Schedule'!$F$18,$A190&gt;'Recurring Schedule'!$P$18),"",IF(IF('Recurring Schedule'!$N$18&gt;0,MOD($A190-'Recurring Schedule'!$F$18,'Recurring Schedule'!$N$18)=0,IF('Recurring Schedule'!$O$18&gt;0,AND(DAY($A190)=MIN(DAY('Recurring Schedule'!$F$18),DAY(EOMONTH($A190,0))),MOD((YEAR($A190)-YEAR('Recurring Schedule'!$F$18))*12+MONTH($A190)-MONTH('Recurring Schedule'!$F$18),'Recurring Schedule'!$O$18)=0),IF('Recurring Schedule'!$E$18="Weekdays",WEEKDAY($A190,2)&lt;=5,$A190='Recurring Schedule'!$F$18))),13,""))))</f>
        <v/>
      </c>
      <c r="O190">
        <f>IF('Recurring Schedule'!$C$19="","",IF('Recurring Schedule'!$F$19="","",IF(OR($A190&lt;'Recurring Schedule'!$F$19,$A190&gt;'Recurring Schedule'!$P$19),"",IF(IF('Recurring Schedule'!$N$19&gt;0,MOD($A190-'Recurring Schedule'!$F$19,'Recurring Schedule'!$N$19)=0,IF('Recurring Schedule'!$O$19&gt;0,AND(DAY($A190)=MIN(DAY('Recurring Schedule'!$F$19),DAY(EOMONTH($A190,0))),MOD((YEAR($A190)-YEAR('Recurring Schedule'!$F$19))*12+MONTH($A190)-MONTH('Recurring Schedule'!$F$19),'Recurring Schedule'!$O$19)=0),IF('Recurring Schedule'!$E$19="Weekdays",WEEKDAY($A190,2)&lt;=5,$A190='Recurring Schedule'!$F$19))),14,""))))</f>
        <v/>
      </c>
      <c r="P190">
        <f>IF('Recurring Schedule'!$C$20="","",IF('Recurring Schedule'!$F$20="","",IF(OR($A190&lt;'Recurring Schedule'!$F$20,$A190&gt;'Recurring Schedule'!$P$20),"",IF(IF('Recurring Schedule'!$N$20&gt;0,MOD($A190-'Recurring Schedule'!$F$20,'Recurring Schedule'!$N$20)=0,IF('Recurring Schedule'!$O$20&gt;0,AND(DAY($A190)=MIN(DAY('Recurring Schedule'!$F$20),DAY(EOMONTH($A190,0))),MOD((YEAR($A190)-YEAR('Recurring Schedule'!$F$20))*12+MONTH($A190)-MONTH('Recurring Schedule'!$F$20),'Recurring Schedule'!$O$20)=0),IF('Recurring Schedule'!$E$20="Weekdays",WEEKDAY($A190,2)&lt;=5,$A190='Recurring Schedule'!$F$20))),15,""))))</f>
        <v/>
      </c>
      <c r="Q190">
        <f>IF('Recurring Schedule'!$C$21="","",IF('Recurring Schedule'!$F$21="","",IF(OR($A190&lt;'Recurring Schedule'!$F$21,$A190&gt;'Recurring Schedule'!$P$21),"",IF(IF('Recurring Schedule'!$N$21&gt;0,MOD($A190-'Recurring Schedule'!$F$21,'Recurring Schedule'!$N$21)=0,IF('Recurring Schedule'!$O$21&gt;0,AND(DAY($A190)=MIN(DAY('Recurring Schedule'!$F$21),DAY(EOMONTH($A190,0))),MOD((YEAR($A190)-YEAR('Recurring Schedule'!$F$21))*12+MONTH($A190)-MONTH('Recurring Schedule'!$F$21),'Recurring Schedule'!$O$21)=0),IF('Recurring Schedule'!$E$21="Weekdays",WEEKDAY($A190,2)&lt;=5,$A190='Recurring Schedule'!$F$21))),16,""))))</f>
        <v/>
      </c>
      <c r="R190">
        <f>IF('Recurring Schedule'!$C$22="","",IF('Recurring Schedule'!$F$22="","",IF(OR($A190&lt;'Recurring Schedule'!$F$22,$A190&gt;'Recurring Schedule'!$P$22),"",IF(IF('Recurring Schedule'!$N$22&gt;0,MOD($A190-'Recurring Schedule'!$F$22,'Recurring Schedule'!$N$22)=0,IF('Recurring Schedule'!$O$22&gt;0,AND(DAY($A190)=MIN(DAY('Recurring Schedule'!$F$22),DAY(EOMONTH($A190,0))),MOD((YEAR($A190)-YEAR('Recurring Schedule'!$F$22))*12+MONTH($A190)-MONTH('Recurring Schedule'!$F$22),'Recurring Schedule'!$O$22)=0),IF('Recurring Schedule'!$E$22="Weekdays",WEEKDAY($A190,2)&lt;=5,$A190='Recurring Schedule'!$F$22))),17,""))))</f>
        <v/>
      </c>
      <c r="S190">
        <f>IF('Recurring Schedule'!$C$23="","",IF('Recurring Schedule'!$F$23="","",IF(OR($A190&lt;'Recurring Schedule'!$F$23,$A190&gt;'Recurring Schedule'!$P$23),"",IF(IF('Recurring Schedule'!$N$23&gt;0,MOD($A190-'Recurring Schedule'!$F$23,'Recurring Schedule'!$N$23)=0,IF('Recurring Schedule'!$O$23&gt;0,AND(DAY($A190)=MIN(DAY('Recurring Schedule'!$F$23),DAY(EOMONTH($A190,0))),MOD((YEAR($A190)-YEAR('Recurring Schedule'!$F$23))*12+MONTH($A190)-MONTH('Recurring Schedule'!$F$23),'Recurring Schedule'!$O$23)=0),IF('Recurring Schedule'!$E$23="Weekdays",WEEKDAY($A190,2)&lt;=5,$A190='Recurring Schedule'!$F$23))),18,""))))</f>
        <v/>
      </c>
      <c r="T190">
        <f>IF('Recurring Schedule'!$C$24="","",IF('Recurring Schedule'!$F$24="","",IF(OR($A190&lt;'Recurring Schedule'!$F$24,$A190&gt;'Recurring Schedule'!$P$24),"",IF(IF('Recurring Schedule'!$N$24&gt;0,MOD($A190-'Recurring Schedule'!$F$24,'Recurring Schedule'!$N$24)=0,IF('Recurring Schedule'!$O$24&gt;0,AND(DAY($A190)=MIN(DAY('Recurring Schedule'!$F$24),DAY(EOMONTH($A190,0))),MOD((YEAR($A190)-YEAR('Recurring Schedule'!$F$24))*12+MONTH($A190)-MONTH('Recurring Schedule'!$F$24),'Recurring Schedule'!$O$24)=0),IF('Recurring Schedule'!$E$24="Weekdays",WEEKDAY($A190,2)&lt;=5,$A190='Recurring Schedule'!$F$24))),19,""))))</f>
        <v/>
      </c>
      <c r="U190">
        <f>IF('Recurring Schedule'!$C$25="","",IF('Recurring Schedule'!$F$25="","",IF(OR($A190&lt;'Recurring Schedule'!$F$25,$A190&gt;'Recurring Schedule'!$P$25),"",IF(IF('Recurring Schedule'!$N$25&gt;0,MOD($A190-'Recurring Schedule'!$F$25,'Recurring Schedule'!$N$25)=0,IF('Recurring Schedule'!$O$25&gt;0,AND(DAY($A190)=MIN(DAY('Recurring Schedule'!$F$25),DAY(EOMONTH($A190,0))),MOD((YEAR($A190)-YEAR('Recurring Schedule'!$F$25))*12+MONTH($A190)-MONTH('Recurring Schedule'!$F$25),'Recurring Schedule'!$O$25)=0),IF('Recurring Schedule'!$E$25="Weekdays",WEEKDAY($A190,2)&lt;=5,$A190='Recurring Schedule'!$F$25))),20,""))))</f>
        <v/>
      </c>
      <c r="V190">
        <f>IF('Recurring Schedule'!$C$26="","",IF('Recurring Schedule'!$F$26="","",IF(OR($A190&lt;'Recurring Schedule'!$F$26,$A190&gt;'Recurring Schedule'!$P$26),"",IF(IF('Recurring Schedule'!$N$26&gt;0,MOD($A190-'Recurring Schedule'!$F$26,'Recurring Schedule'!$N$26)=0,IF('Recurring Schedule'!$O$26&gt;0,AND(DAY($A190)=MIN(DAY('Recurring Schedule'!$F$26),DAY(EOMONTH($A190,0))),MOD((YEAR($A190)-YEAR('Recurring Schedule'!$F$26))*12+MONTH($A190)-MONTH('Recurring Schedule'!$F$26),'Recurring Schedule'!$O$26)=0),IF('Recurring Schedule'!$E$26="Weekdays",WEEKDAY($A190,2)&lt;=5,$A190='Recurring Schedule'!$F$26))),21,""))))</f>
        <v/>
      </c>
      <c r="W190">
        <f>IF('Recurring Schedule'!$C$27="","",IF('Recurring Schedule'!$F$27="","",IF(OR($A190&lt;'Recurring Schedule'!$F$27,$A190&gt;'Recurring Schedule'!$P$27),"",IF(IF('Recurring Schedule'!$N$27&gt;0,MOD($A190-'Recurring Schedule'!$F$27,'Recurring Schedule'!$N$27)=0,IF('Recurring Schedule'!$O$27&gt;0,AND(DAY($A190)=MIN(DAY('Recurring Schedule'!$F$27),DAY(EOMONTH($A190,0))),MOD((YEAR($A190)-YEAR('Recurring Schedule'!$F$27))*12+MONTH($A190)-MONTH('Recurring Schedule'!$F$27),'Recurring Schedule'!$O$27)=0),IF('Recurring Schedule'!$E$27="Weekdays",WEEKDAY($A190,2)&lt;=5,$A190='Recurring Schedule'!$F$27))),22,""))))</f>
        <v/>
      </c>
      <c r="X190">
        <f>IF('Recurring Schedule'!$C$28="","",IF('Recurring Schedule'!$F$28="","",IF(OR($A190&lt;'Recurring Schedule'!$F$28,$A190&gt;'Recurring Schedule'!$P$28),"",IF(IF('Recurring Schedule'!$N$28&gt;0,MOD($A190-'Recurring Schedule'!$F$28,'Recurring Schedule'!$N$28)=0,IF('Recurring Schedule'!$O$28&gt;0,AND(DAY($A190)=MIN(DAY('Recurring Schedule'!$F$28),DAY(EOMONTH($A190,0))),MOD((YEAR($A190)-YEAR('Recurring Schedule'!$F$28))*12+MONTH($A190)-MONTH('Recurring Schedule'!$F$28),'Recurring Schedule'!$O$28)=0),IF('Recurring Schedule'!$E$28="Weekdays",WEEKDAY($A190,2)&lt;=5,$A190='Recurring Schedule'!$F$28))),23,""))))</f>
        <v/>
      </c>
      <c r="Y190">
        <f>IF('Recurring Schedule'!$C$29="","",IF('Recurring Schedule'!$F$29="","",IF(OR($A190&lt;'Recurring Schedule'!$F$29,$A190&gt;'Recurring Schedule'!$P$29),"",IF(IF('Recurring Schedule'!$N$29&gt;0,MOD($A190-'Recurring Schedule'!$F$29,'Recurring Schedule'!$N$29)=0,IF('Recurring Schedule'!$O$29&gt;0,AND(DAY($A190)=MIN(DAY('Recurring Schedule'!$F$29),DAY(EOMONTH($A190,0))),MOD((YEAR($A190)-YEAR('Recurring Schedule'!$F$29))*12+MONTH($A190)-MONTH('Recurring Schedule'!$F$29),'Recurring Schedule'!$O$29)=0),IF('Recurring Schedule'!$E$29="Weekdays",WEEKDAY($A190,2)&lt;=5,$A190='Recurring Schedule'!$F$29))),24,""))))</f>
        <v/>
      </c>
      <c r="Z190">
        <f>IF('Recurring Schedule'!$C$30="","",IF('Recurring Schedule'!$F$30="","",IF(OR($A190&lt;'Recurring Schedule'!$F$30,$A190&gt;'Recurring Schedule'!$P$30),"",IF(IF('Recurring Schedule'!$N$30&gt;0,MOD($A190-'Recurring Schedule'!$F$30,'Recurring Schedule'!$N$30)=0,IF('Recurring Schedule'!$O$30&gt;0,AND(DAY($A190)=MIN(DAY('Recurring Schedule'!$F$30),DAY(EOMONTH($A190,0))),MOD((YEAR($A190)-YEAR('Recurring Schedule'!$F$30))*12+MONTH($A190)-MONTH('Recurring Schedule'!$F$30),'Recurring Schedule'!$O$30)=0),IF('Recurring Schedule'!$E$30="Weekdays",WEEKDAY($A190,2)&lt;=5,$A190='Recurring Schedule'!$F$30))),25,""))))</f>
        <v/>
      </c>
      <c r="AA190">
        <f>IF('Recurring Schedule'!$C$31="","",IF('Recurring Schedule'!$F$31="","",IF(OR($A190&lt;'Recurring Schedule'!$F$31,$A190&gt;'Recurring Schedule'!$P$31),"",IF(IF('Recurring Schedule'!$N$31&gt;0,MOD($A190-'Recurring Schedule'!$F$31,'Recurring Schedule'!$N$31)=0,IF('Recurring Schedule'!$O$31&gt;0,AND(DAY($A190)=MIN(DAY('Recurring Schedule'!$F$31),DAY(EOMONTH($A190,0))),MOD((YEAR($A190)-YEAR('Recurring Schedule'!$F$31))*12+MONTH($A190)-MONTH('Recurring Schedule'!$F$31),'Recurring Schedule'!$O$31)=0),IF('Recurring Schedule'!$E$31="Weekdays",WEEKDAY($A190,2)&lt;=5,$A190='Recurring Schedule'!$F$31))),26,""))))</f>
        <v/>
      </c>
      <c r="AB190">
        <f>IF('Recurring Schedule'!$C$32="","",IF('Recurring Schedule'!$F$32="","",IF(OR($A190&lt;'Recurring Schedule'!$F$32,$A190&gt;'Recurring Schedule'!$P$32),"",IF(IF('Recurring Schedule'!$N$32&gt;0,MOD($A190-'Recurring Schedule'!$F$32,'Recurring Schedule'!$N$32)=0,IF('Recurring Schedule'!$O$32&gt;0,AND(DAY($A190)=MIN(DAY('Recurring Schedule'!$F$32),DAY(EOMONTH($A190,0))),MOD((YEAR($A190)-YEAR('Recurring Schedule'!$F$32))*12+MONTH($A190)-MONTH('Recurring Schedule'!$F$32),'Recurring Schedule'!$O$32)=0),IF('Recurring Schedule'!$E$32="Weekdays",WEEKDAY($A190,2)&lt;=5,$A190='Recurring Schedule'!$F$32))),27,""))))</f>
        <v/>
      </c>
      <c r="AC190">
        <f>IF('Recurring Schedule'!$C$33="","",IF('Recurring Schedule'!$F$33="","",IF(OR($A190&lt;'Recurring Schedule'!$F$33,$A190&gt;'Recurring Schedule'!$P$33),"",IF(IF('Recurring Schedule'!$N$33&gt;0,MOD($A190-'Recurring Schedule'!$F$33,'Recurring Schedule'!$N$33)=0,IF('Recurring Schedule'!$O$33&gt;0,AND(DAY($A190)=MIN(DAY('Recurring Schedule'!$F$33),DAY(EOMONTH($A190,0))),MOD((YEAR($A190)-YEAR('Recurring Schedule'!$F$33))*12+MONTH($A190)-MONTH('Recurring Schedule'!$F$33),'Recurring Schedule'!$O$33)=0),IF('Recurring Schedule'!$E$33="Weekdays",WEEKDAY($A190,2)&lt;=5,$A190='Recurring Schedule'!$F$33))),28,""))))</f>
        <v/>
      </c>
      <c r="AD190">
        <f>IF('Recurring Schedule'!$C$34="","",IF('Recurring Schedule'!$F$34="","",IF(OR($A190&lt;'Recurring Schedule'!$F$34,$A190&gt;'Recurring Schedule'!$P$34),"",IF(IF('Recurring Schedule'!$N$34&gt;0,MOD($A190-'Recurring Schedule'!$F$34,'Recurring Schedule'!$N$34)=0,IF('Recurring Schedule'!$O$34&gt;0,AND(DAY($A190)=MIN(DAY('Recurring Schedule'!$F$34),DAY(EOMONTH($A190,0))),MOD((YEAR($A190)-YEAR('Recurring Schedule'!$F$34))*12+MONTH($A190)-MONTH('Recurring Schedule'!$F$34),'Recurring Schedule'!$O$34)=0),IF('Recurring Schedule'!$E$34="Weekdays",WEEKDAY($A190,2)&lt;=5,$A190='Recurring Schedule'!$F$34))),29,""))))</f>
        <v/>
      </c>
      <c r="AE190">
        <f>IF('Recurring Schedule'!$C$35="","",IF('Recurring Schedule'!$F$35="","",IF(OR($A190&lt;'Recurring Schedule'!$F$35,$A190&gt;'Recurring Schedule'!$P$35),"",IF(IF('Recurring Schedule'!$N$35&gt;0,MOD($A190-'Recurring Schedule'!$F$35,'Recurring Schedule'!$N$35)=0,IF('Recurring Schedule'!$O$35&gt;0,AND(DAY($A190)=MIN(DAY('Recurring Schedule'!$F$35),DAY(EOMONTH($A190,0))),MOD((YEAR($A190)-YEAR('Recurring Schedule'!$F$35))*12+MONTH($A190)-MONTH('Recurring Schedule'!$F$35),'Recurring Schedule'!$O$35)=0),IF('Recurring Schedule'!$E$35="Weekdays",WEEKDAY($A190,2)&lt;=5,$A190='Recurring Schedule'!$F$35))),30,""))))</f>
        <v/>
      </c>
      <c r="AF190">
        <f>IF('Recurring Schedule'!$C$36="","",IF('Recurring Schedule'!$F$36="","",IF(OR($A190&lt;'Recurring Schedule'!$F$36,$A190&gt;'Recurring Schedule'!$P$36),"",IF(IF('Recurring Schedule'!$N$36&gt;0,MOD($A190-'Recurring Schedule'!$F$36,'Recurring Schedule'!$N$36)=0,IF('Recurring Schedule'!$O$36&gt;0,AND(DAY($A190)=MIN(DAY('Recurring Schedule'!$F$36),DAY(EOMONTH($A190,0))),MOD((YEAR($A190)-YEAR('Recurring Schedule'!$F$36))*12+MONTH($A190)-MONTH('Recurring Schedule'!$F$36),'Recurring Schedule'!$O$36)=0),IF('Recurring Schedule'!$E$36="Weekdays",WEEKDAY($A190,2)&lt;=5,$A190='Recurring Schedule'!$F$36))),31,""))))</f>
        <v/>
      </c>
      <c r="AG190">
        <f>IF('Recurring Schedule'!$C$37="","",IF('Recurring Schedule'!$F$37="","",IF(OR($A190&lt;'Recurring Schedule'!$F$37,$A190&gt;'Recurring Schedule'!$P$37),"",IF(IF('Recurring Schedule'!$N$37&gt;0,MOD($A190-'Recurring Schedule'!$F$37,'Recurring Schedule'!$N$37)=0,IF('Recurring Schedule'!$O$37&gt;0,AND(DAY($A190)=MIN(DAY('Recurring Schedule'!$F$37),DAY(EOMONTH($A190,0))),MOD((YEAR($A190)-YEAR('Recurring Schedule'!$F$37))*12+MONTH($A190)-MONTH('Recurring Schedule'!$F$37),'Recurring Schedule'!$O$37)=0),IF('Recurring Schedule'!$E$37="Weekdays",WEEKDAY($A190,2)&lt;=5,$A190='Recurring Schedule'!$F$37))),32,""))))</f>
        <v/>
      </c>
      <c r="AH190">
        <f>IF('Recurring Schedule'!$C$38="","",IF('Recurring Schedule'!$F$38="","",IF(OR($A190&lt;'Recurring Schedule'!$F$38,$A190&gt;'Recurring Schedule'!$P$38),"",IF(IF('Recurring Schedule'!$N$38&gt;0,MOD($A190-'Recurring Schedule'!$F$38,'Recurring Schedule'!$N$38)=0,IF('Recurring Schedule'!$O$38&gt;0,AND(DAY($A190)=MIN(DAY('Recurring Schedule'!$F$38),DAY(EOMONTH($A190,0))),MOD((YEAR($A190)-YEAR('Recurring Schedule'!$F$38))*12+MONTH($A190)-MONTH('Recurring Schedule'!$F$38),'Recurring Schedule'!$O$38)=0),IF('Recurring Schedule'!$E$38="Weekdays",WEEKDAY($A190,2)&lt;=5,$A190='Recurring Schedule'!$F$38))),33,""))))</f>
        <v/>
      </c>
      <c r="AI190">
        <f>IF('Recurring Schedule'!$C$39="","",IF('Recurring Schedule'!$F$39="","",IF(OR($A190&lt;'Recurring Schedule'!$F$39,$A190&gt;'Recurring Schedule'!$P$39),"",IF(IF('Recurring Schedule'!$N$39&gt;0,MOD($A190-'Recurring Schedule'!$F$39,'Recurring Schedule'!$N$39)=0,IF('Recurring Schedule'!$O$39&gt;0,AND(DAY($A190)=MIN(DAY('Recurring Schedule'!$F$39),DAY(EOMONTH($A190,0))),MOD((YEAR($A190)-YEAR('Recurring Schedule'!$F$39))*12+MONTH($A190)-MONTH('Recurring Schedule'!$F$39),'Recurring Schedule'!$O$39)=0),IF('Recurring Schedule'!$E$39="Weekdays",WEEKDAY($A190,2)&lt;=5,$A190='Recurring Schedule'!$F$39))),34,""))))</f>
        <v/>
      </c>
      <c r="AJ190">
        <f>IF('Recurring Schedule'!$C$40="","",IF('Recurring Schedule'!$F$40="","",IF(OR($A190&lt;'Recurring Schedule'!$F$40,$A190&gt;'Recurring Schedule'!$P$40),"",IF(IF('Recurring Schedule'!$N$40&gt;0,MOD($A190-'Recurring Schedule'!$F$40,'Recurring Schedule'!$N$40)=0,IF('Recurring Schedule'!$O$40&gt;0,AND(DAY($A190)=MIN(DAY('Recurring Schedule'!$F$40),DAY(EOMONTH($A190,0))),MOD((YEAR($A190)-YEAR('Recurring Schedule'!$F$40))*12+MONTH($A190)-MONTH('Recurring Schedule'!$F$40),'Recurring Schedule'!$O$40)=0),IF('Recurring Schedule'!$E$40="Weekdays",WEEKDAY($A190,2)&lt;=5,$A190='Recurring Schedule'!$F$40))),35,""))))</f>
        <v/>
      </c>
      <c r="AK190">
        <f>IF('Recurring Schedule'!$C$41="","",IF('Recurring Schedule'!$F$41="","",IF(OR($A190&lt;'Recurring Schedule'!$F$41,$A190&gt;'Recurring Schedule'!$P$41),"",IF(IF('Recurring Schedule'!$N$41&gt;0,MOD($A190-'Recurring Schedule'!$F$41,'Recurring Schedule'!$N$41)=0,IF('Recurring Schedule'!$O$41&gt;0,AND(DAY($A190)=MIN(DAY('Recurring Schedule'!$F$41),DAY(EOMONTH($A190,0))),MOD((YEAR($A190)-YEAR('Recurring Schedule'!$F$41))*12+MONTH($A190)-MONTH('Recurring Schedule'!$F$41),'Recurring Schedule'!$O$41)=0),IF('Recurring Schedule'!$E$41="Weekdays",WEEKDAY($A190,2)&lt;=5,$A190='Recurring Schedule'!$F$41))),36,""))))</f>
        <v/>
      </c>
      <c r="AL190">
        <f>IF('Recurring Schedule'!$C$42="","",IF('Recurring Schedule'!$F$42="","",IF(OR($A190&lt;'Recurring Schedule'!$F$42,$A190&gt;'Recurring Schedule'!$P$42),"",IF(IF('Recurring Schedule'!$N$42&gt;0,MOD($A190-'Recurring Schedule'!$F$42,'Recurring Schedule'!$N$42)=0,IF('Recurring Schedule'!$O$42&gt;0,AND(DAY($A190)=MIN(DAY('Recurring Schedule'!$F$42),DAY(EOMONTH($A190,0))),MOD((YEAR($A190)-YEAR('Recurring Schedule'!$F$42))*12+MONTH($A190)-MONTH('Recurring Schedule'!$F$42),'Recurring Schedule'!$O$42)=0),IF('Recurring Schedule'!$E$42="Weekdays",WEEKDAY($A190,2)&lt;=5,$A190='Recurring Schedule'!$F$42))),37,""))))</f>
        <v/>
      </c>
      <c r="AM190">
        <f>IF('Recurring Schedule'!$C$43="","",IF('Recurring Schedule'!$F$43="","",IF(OR($A190&lt;'Recurring Schedule'!$F$43,$A190&gt;'Recurring Schedule'!$P$43),"",IF(IF('Recurring Schedule'!$N$43&gt;0,MOD($A190-'Recurring Schedule'!$F$43,'Recurring Schedule'!$N$43)=0,IF('Recurring Schedule'!$O$43&gt;0,AND(DAY($A190)=MIN(DAY('Recurring Schedule'!$F$43),DAY(EOMONTH($A190,0))),MOD((YEAR($A190)-YEAR('Recurring Schedule'!$F$43))*12+MONTH($A190)-MONTH('Recurring Schedule'!$F$43),'Recurring Schedule'!$O$43)=0),IF('Recurring Schedule'!$E$43="Weekdays",WEEKDAY($A190,2)&lt;=5,$A190='Recurring Schedule'!$F$43))),38,""))))</f>
        <v/>
      </c>
      <c r="AN190">
        <f>IF('Recurring Schedule'!$C$44="","",IF('Recurring Schedule'!$F$44="","",IF(OR($A190&lt;'Recurring Schedule'!$F$44,$A190&gt;'Recurring Schedule'!$P$44),"",IF(IF('Recurring Schedule'!$N$44&gt;0,MOD($A190-'Recurring Schedule'!$F$44,'Recurring Schedule'!$N$44)=0,IF('Recurring Schedule'!$O$44&gt;0,AND(DAY($A190)=MIN(DAY('Recurring Schedule'!$F$44),DAY(EOMONTH($A190,0))),MOD((YEAR($A190)-YEAR('Recurring Schedule'!$F$44))*12+MONTH($A190)-MONTH('Recurring Schedule'!$F$44),'Recurring Schedule'!$O$44)=0),IF('Recurring Schedule'!$E$44="Weekdays",WEEKDAY($A190,2)&lt;=5,$A190='Recurring Schedule'!$F$44))),39,""))))</f>
        <v/>
      </c>
      <c r="AO190">
        <f>IF('Recurring Schedule'!$C$45="","",IF('Recurring Schedule'!$F$45="","",IF(OR($A190&lt;'Recurring Schedule'!$F$45,$A190&gt;'Recurring Schedule'!$P$45),"",IF(IF('Recurring Schedule'!$N$45&gt;0,MOD($A190-'Recurring Schedule'!$F$45,'Recurring Schedule'!$N$45)=0,IF('Recurring Schedule'!$O$45&gt;0,AND(DAY($A190)=MIN(DAY('Recurring Schedule'!$F$45),DAY(EOMONTH($A190,0))),MOD((YEAR($A190)-YEAR('Recurring Schedule'!$F$45))*12+MONTH($A190)-MONTH('Recurring Schedule'!$F$45),'Recurring Schedule'!$O$45)=0),IF('Recurring Schedule'!$E$45="Weekdays",WEEKDAY($A190,2)&lt;=5,$A190='Recurring Schedule'!$F$45))),40,""))))</f>
        <v/>
      </c>
      <c r="AP190">
        <f>COUNT(B190:AO190)</f>
        <v/>
      </c>
      <c r="AQ190">
        <f>AQ189+AP189</f>
        <v/>
      </c>
      <c r="AS190" t="inlineStr">
        <is>
          <t>R</t>
        </is>
      </c>
      <c r="AT190" t="n">
        <v>194</v>
      </c>
      <c r="AU190">
        <f>'Recurring Log'!C194&amp;""</f>
        <v/>
      </c>
      <c r="AV190">
        <f>'Recurring Log'!D194&amp;""</f>
        <v/>
      </c>
      <c r="AW190">
        <f>IF('Recurring Log'!E194="","",'Recurring Log'!E194)</f>
        <v/>
      </c>
      <c r="AX190">
        <f>IF('Recurring Log'!G194="","",'Recurring Log'!G194)</f>
        <v/>
      </c>
      <c r="AY190">
        <f>IF('Recurring Log'!H194="","",'Recurring Log'!H194)</f>
        <v/>
      </c>
      <c r="AZ190">
        <f>IF(AU190="","",IF('Recurring Log'!J194="","Not Started",'Recurring Log'!J194))</f>
        <v/>
      </c>
      <c r="BA190">
        <f>'Recurring Log'!L194&amp;""</f>
        <v/>
      </c>
      <c r="BB190">
        <f>'Recurring Log'!M194&amp;""</f>
        <v/>
      </c>
      <c r="BC190">
        <f>'Recurring Log'!N194&amp;""</f>
        <v/>
      </c>
      <c r="BD190">
        <f>'Recurring Log'!O194&amp;""</f>
        <v/>
      </c>
      <c r="BE190">
        <f>IF('Recurring Log'!K194="","",'Recurring Log'!K194)</f>
        <v/>
      </c>
      <c r="BF190">
        <f>IFERROR(MATCH(BA190,Setup!$L$6:$L$9,0),5)</f>
        <v/>
      </c>
      <c r="BG190">
        <f>IF(OR(AZ190="Done",AZ190="Cancelled"),1,0)</f>
        <v/>
      </c>
      <c r="BH190">
        <f>IF(AND(AU190&lt;&gt;"",ISNUMBER(AW190)),1,0)</f>
        <v/>
      </c>
      <c r="BI190">
        <f>IF(BH190=0,0,IF(AND(AW190&gt;='Tasks Filter'!$F$3,AW190&lt;='Tasks Filter'!$F$4,OR('Tasks Filter'!$I$3="",ISNUMBER(SEARCH('Tasks Filter'!$I$3,AU190))),OR('Tasks Filter'!$I$4="",BF190=IFERROR(MATCH('Tasks Filter'!$I$4,Setup!$L$6:$L$9,0),0)),OR('Tasks Filter'!$I$5="Both",AND('Tasks Filter'!$I$5="Yes",BB190="✓"),AND('Tasks Filter'!$I$5="No",BB190&lt;&gt;"✓")),OR('Tasks Filter'!$L$3="",AV190='Tasks Filter'!$L$3),OR('Tasks Filter'!$L$4="",AZ190='Tasks Filter'!$L$4),OR('Tasks Filter'!$L$5="",BC190='Tasks Filter'!$L$5),OR('Tasks Filter'!$O$3="",BD190='Tasks Filter'!$O$3),OR('Tasks Filter'!$O$4="Yes",BG190=0)),1,0))</f>
        <v/>
      </c>
      <c r="BJ190">
        <f>IF(BH190=0,"",IF('Tasks Filter'!$F$6="Descending",-1,1)*CHOOSE(MATCH('Tasks Filter'!$F$5,Lists!$G$2:$G$6,0),AW190,BF190,IFERROR(MATCH(AV190,Setup!$F$6:$F$15,0),99),IFERROR(MATCH(BC190,Setup!$H$6:$H$15,0),99),IFERROR(MATCH(AZ190,Setup!$J$6:$J$11,0),99))*1E+9+(AW190-40000)*10000+189)</f>
        <v/>
      </c>
      <c r="BK190">
        <f>IF(BI190=1,BJ190,"")</f>
        <v/>
      </c>
      <c r="BL190">
        <f>IF(AND(BH190=1,BG190=0,N(AW190)&lt;Setup!$D$7),(AW190-40000)*10000+189,"")</f>
        <v/>
      </c>
      <c r="BM190">
        <f>IF(AND(BH190=1,AZ190&lt;&gt;"Cancelled",N(AW190)&gt;=Dashboard!$AB$3,N(AW190)&lt;=Dashboard!$AB$3+6),(AW190-40000)*100000+BF190*10000+189,"")</f>
        <v/>
      </c>
      <c r="BN190">
        <f>IF(AND(BH190=1,AZ190&lt;&gt;"Cancelled"),BF190*10000+189,"")</f>
        <v/>
      </c>
    </row>
    <row r="191">
      <c r="A191">
        <f>Setup!$D$5+189</f>
        <v/>
      </c>
      <c r="B191">
        <f>IF('Recurring Schedule'!$C$6="","",IF('Recurring Schedule'!$F$6="","",IF(OR($A191&lt;'Recurring Schedule'!$F$6,$A191&gt;'Recurring Schedule'!$P$6),"",IF(IF('Recurring Schedule'!$N$6&gt;0,MOD($A191-'Recurring Schedule'!$F$6,'Recurring Schedule'!$N$6)=0,IF('Recurring Schedule'!$O$6&gt;0,AND(DAY($A191)=MIN(DAY('Recurring Schedule'!$F$6),DAY(EOMONTH($A191,0))),MOD((YEAR($A191)-YEAR('Recurring Schedule'!$F$6))*12+MONTH($A191)-MONTH('Recurring Schedule'!$F$6),'Recurring Schedule'!$O$6)=0),IF('Recurring Schedule'!$E$6="Weekdays",WEEKDAY($A191,2)&lt;=5,$A191='Recurring Schedule'!$F$6))),1,""))))</f>
        <v/>
      </c>
      <c r="C191">
        <f>IF('Recurring Schedule'!$C$7="","",IF('Recurring Schedule'!$F$7="","",IF(OR($A191&lt;'Recurring Schedule'!$F$7,$A191&gt;'Recurring Schedule'!$P$7),"",IF(IF('Recurring Schedule'!$N$7&gt;0,MOD($A191-'Recurring Schedule'!$F$7,'Recurring Schedule'!$N$7)=0,IF('Recurring Schedule'!$O$7&gt;0,AND(DAY($A191)=MIN(DAY('Recurring Schedule'!$F$7),DAY(EOMONTH($A191,0))),MOD((YEAR($A191)-YEAR('Recurring Schedule'!$F$7))*12+MONTH($A191)-MONTH('Recurring Schedule'!$F$7),'Recurring Schedule'!$O$7)=0),IF('Recurring Schedule'!$E$7="Weekdays",WEEKDAY($A191,2)&lt;=5,$A191='Recurring Schedule'!$F$7))),2,""))))</f>
        <v/>
      </c>
      <c r="D191">
        <f>IF('Recurring Schedule'!$C$8="","",IF('Recurring Schedule'!$F$8="","",IF(OR($A191&lt;'Recurring Schedule'!$F$8,$A191&gt;'Recurring Schedule'!$P$8),"",IF(IF('Recurring Schedule'!$N$8&gt;0,MOD($A191-'Recurring Schedule'!$F$8,'Recurring Schedule'!$N$8)=0,IF('Recurring Schedule'!$O$8&gt;0,AND(DAY($A191)=MIN(DAY('Recurring Schedule'!$F$8),DAY(EOMONTH($A191,0))),MOD((YEAR($A191)-YEAR('Recurring Schedule'!$F$8))*12+MONTH($A191)-MONTH('Recurring Schedule'!$F$8),'Recurring Schedule'!$O$8)=0),IF('Recurring Schedule'!$E$8="Weekdays",WEEKDAY($A191,2)&lt;=5,$A191='Recurring Schedule'!$F$8))),3,""))))</f>
        <v/>
      </c>
      <c r="E191">
        <f>IF('Recurring Schedule'!$C$9="","",IF('Recurring Schedule'!$F$9="","",IF(OR($A191&lt;'Recurring Schedule'!$F$9,$A191&gt;'Recurring Schedule'!$P$9),"",IF(IF('Recurring Schedule'!$N$9&gt;0,MOD($A191-'Recurring Schedule'!$F$9,'Recurring Schedule'!$N$9)=0,IF('Recurring Schedule'!$O$9&gt;0,AND(DAY($A191)=MIN(DAY('Recurring Schedule'!$F$9),DAY(EOMONTH($A191,0))),MOD((YEAR($A191)-YEAR('Recurring Schedule'!$F$9))*12+MONTH($A191)-MONTH('Recurring Schedule'!$F$9),'Recurring Schedule'!$O$9)=0),IF('Recurring Schedule'!$E$9="Weekdays",WEEKDAY($A191,2)&lt;=5,$A191='Recurring Schedule'!$F$9))),4,""))))</f>
        <v/>
      </c>
      <c r="F191">
        <f>IF('Recurring Schedule'!$C$10="","",IF('Recurring Schedule'!$F$10="","",IF(OR($A191&lt;'Recurring Schedule'!$F$10,$A191&gt;'Recurring Schedule'!$P$10),"",IF(IF('Recurring Schedule'!$N$10&gt;0,MOD($A191-'Recurring Schedule'!$F$10,'Recurring Schedule'!$N$10)=0,IF('Recurring Schedule'!$O$10&gt;0,AND(DAY($A191)=MIN(DAY('Recurring Schedule'!$F$10),DAY(EOMONTH($A191,0))),MOD((YEAR($A191)-YEAR('Recurring Schedule'!$F$10))*12+MONTH($A191)-MONTH('Recurring Schedule'!$F$10),'Recurring Schedule'!$O$10)=0),IF('Recurring Schedule'!$E$10="Weekdays",WEEKDAY($A191,2)&lt;=5,$A191='Recurring Schedule'!$F$10))),5,""))))</f>
        <v/>
      </c>
      <c r="G191">
        <f>IF('Recurring Schedule'!$C$11="","",IF('Recurring Schedule'!$F$11="","",IF(OR($A191&lt;'Recurring Schedule'!$F$11,$A191&gt;'Recurring Schedule'!$P$11),"",IF(IF('Recurring Schedule'!$N$11&gt;0,MOD($A191-'Recurring Schedule'!$F$11,'Recurring Schedule'!$N$11)=0,IF('Recurring Schedule'!$O$11&gt;0,AND(DAY($A191)=MIN(DAY('Recurring Schedule'!$F$11),DAY(EOMONTH($A191,0))),MOD((YEAR($A191)-YEAR('Recurring Schedule'!$F$11))*12+MONTH($A191)-MONTH('Recurring Schedule'!$F$11),'Recurring Schedule'!$O$11)=0),IF('Recurring Schedule'!$E$11="Weekdays",WEEKDAY($A191,2)&lt;=5,$A191='Recurring Schedule'!$F$11))),6,""))))</f>
        <v/>
      </c>
      <c r="H191">
        <f>IF('Recurring Schedule'!$C$12="","",IF('Recurring Schedule'!$F$12="","",IF(OR($A191&lt;'Recurring Schedule'!$F$12,$A191&gt;'Recurring Schedule'!$P$12),"",IF(IF('Recurring Schedule'!$N$12&gt;0,MOD($A191-'Recurring Schedule'!$F$12,'Recurring Schedule'!$N$12)=0,IF('Recurring Schedule'!$O$12&gt;0,AND(DAY($A191)=MIN(DAY('Recurring Schedule'!$F$12),DAY(EOMONTH($A191,0))),MOD((YEAR($A191)-YEAR('Recurring Schedule'!$F$12))*12+MONTH($A191)-MONTH('Recurring Schedule'!$F$12),'Recurring Schedule'!$O$12)=0),IF('Recurring Schedule'!$E$12="Weekdays",WEEKDAY($A191,2)&lt;=5,$A191='Recurring Schedule'!$F$12))),7,""))))</f>
        <v/>
      </c>
      <c r="I191">
        <f>IF('Recurring Schedule'!$C$13="","",IF('Recurring Schedule'!$F$13="","",IF(OR($A191&lt;'Recurring Schedule'!$F$13,$A191&gt;'Recurring Schedule'!$P$13),"",IF(IF('Recurring Schedule'!$N$13&gt;0,MOD($A191-'Recurring Schedule'!$F$13,'Recurring Schedule'!$N$13)=0,IF('Recurring Schedule'!$O$13&gt;0,AND(DAY($A191)=MIN(DAY('Recurring Schedule'!$F$13),DAY(EOMONTH($A191,0))),MOD((YEAR($A191)-YEAR('Recurring Schedule'!$F$13))*12+MONTH($A191)-MONTH('Recurring Schedule'!$F$13),'Recurring Schedule'!$O$13)=0),IF('Recurring Schedule'!$E$13="Weekdays",WEEKDAY($A191,2)&lt;=5,$A191='Recurring Schedule'!$F$13))),8,""))))</f>
        <v/>
      </c>
      <c r="J191">
        <f>IF('Recurring Schedule'!$C$14="","",IF('Recurring Schedule'!$F$14="","",IF(OR($A191&lt;'Recurring Schedule'!$F$14,$A191&gt;'Recurring Schedule'!$P$14),"",IF(IF('Recurring Schedule'!$N$14&gt;0,MOD($A191-'Recurring Schedule'!$F$14,'Recurring Schedule'!$N$14)=0,IF('Recurring Schedule'!$O$14&gt;0,AND(DAY($A191)=MIN(DAY('Recurring Schedule'!$F$14),DAY(EOMONTH($A191,0))),MOD((YEAR($A191)-YEAR('Recurring Schedule'!$F$14))*12+MONTH($A191)-MONTH('Recurring Schedule'!$F$14),'Recurring Schedule'!$O$14)=0),IF('Recurring Schedule'!$E$14="Weekdays",WEEKDAY($A191,2)&lt;=5,$A191='Recurring Schedule'!$F$14))),9,""))))</f>
        <v/>
      </c>
      <c r="K191">
        <f>IF('Recurring Schedule'!$C$15="","",IF('Recurring Schedule'!$F$15="","",IF(OR($A191&lt;'Recurring Schedule'!$F$15,$A191&gt;'Recurring Schedule'!$P$15),"",IF(IF('Recurring Schedule'!$N$15&gt;0,MOD($A191-'Recurring Schedule'!$F$15,'Recurring Schedule'!$N$15)=0,IF('Recurring Schedule'!$O$15&gt;0,AND(DAY($A191)=MIN(DAY('Recurring Schedule'!$F$15),DAY(EOMONTH($A191,0))),MOD((YEAR($A191)-YEAR('Recurring Schedule'!$F$15))*12+MONTH($A191)-MONTH('Recurring Schedule'!$F$15),'Recurring Schedule'!$O$15)=0),IF('Recurring Schedule'!$E$15="Weekdays",WEEKDAY($A191,2)&lt;=5,$A191='Recurring Schedule'!$F$15))),10,""))))</f>
        <v/>
      </c>
      <c r="L191">
        <f>IF('Recurring Schedule'!$C$16="","",IF('Recurring Schedule'!$F$16="","",IF(OR($A191&lt;'Recurring Schedule'!$F$16,$A191&gt;'Recurring Schedule'!$P$16),"",IF(IF('Recurring Schedule'!$N$16&gt;0,MOD($A191-'Recurring Schedule'!$F$16,'Recurring Schedule'!$N$16)=0,IF('Recurring Schedule'!$O$16&gt;0,AND(DAY($A191)=MIN(DAY('Recurring Schedule'!$F$16),DAY(EOMONTH($A191,0))),MOD((YEAR($A191)-YEAR('Recurring Schedule'!$F$16))*12+MONTH($A191)-MONTH('Recurring Schedule'!$F$16),'Recurring Schedule'!$O$16)=0),IF('Recurring Schedule'!$E$16="Weekdays",WEEKDAY($A191,2)&lt;=5,$A191='Recurring Schedule'!$F$16))),11,""))))</f>
        <v/>
      </c>
      <c r="M191">
        <f>IF('Recurring Schedule'!$C$17="","",IF('Recurring Schedule'!$F$17="","",IF(OR($A191&lt;'Recurring Schedule'!$F$17,$A191&gt;'Recurring Schedule'!$P$17),"",IF(IF('Recurring Schedule'!$N$17&gt;0,MOD($A191-'Recurring Schedule'!$F$17,'Recurring Schedule'!$N$17)=0,IF('Recurring Schedule'!$O$17&gt;0,AND(DAY($A191)=MIN(DAY('Recurring Schedule'!$F$17),DAY(EOMONTH($A191,0))),MOD((YEAR($A191)-YEAR('Recurring Schedule'!$F$17))*12+MONTH($A191)-MONTH('Recurring Schedule'!$F$17),'Recurring Schedule'!$O$17)=0),IF('Recurring Schedule'!$E$17="Weekdays",WEEKDAY($A191,2)&lt;=5,$A191='Recurring Schedule'!$F$17))),12,""))))</f>
        <v/>
      </c>
      <c r="N191">
        <f>IF('Recurring Schedule'!$C$18="","",IF('Recurring Schedule'!$F$18="","",IF(OR($A191&lt;'Recurring Schedule'!$F$18,$A191&gt;'Recurring Schedule'!$P$18),"",IF(IF('Recurring Schedule'!$N$18&gt;0,MOD($A191-'Recurring Schedule'!$F$18,'Recurring Schedule'!$N$18)=0,IF('Recurring Schedule'!$O$18&gt;0,AND(DAY($A191)=MIN(DAY('Recurring Schedule'!$F$18),DAY(EOMONTH($A191,0))),MOD((YEAR($A191)-YEAR('Recurring Schedule'!$F$18))*12+MONTH($A191)-MONTH('Recurring Schedule'!$F$18),'Recurring Schedule'!$O$18)=0),IF('Recurring Schedule'!$E$18="Weekdays",WEEKDAY($A191,2)&lt;=5,$A191='Recurring Schedule'!$F$18))),13,""))))</f>
        <v/>
      </c>
      <c r="O191">
        <f>IF('Recurring Schedule'!$C$19="","",IF('Recurring Schedule'!$F$19="","",IF(OR($A191&lt;'Recurring Schedule'!$F$19,$A191&gt;'Recurring Schedule'!$P$19),"",IF(IF('Recurring Schedule'!$N$19&gt;0,MOD($A191-'Recurring Schedule'!$F$19,'Recurring Schedule'!$N$19)=0,IF('Recurring Schedule'!$O$19&gt;0,AND(DAY($A191)=MIN(DAY('Recurring Schedule'!$F$19),DAY(EOMONTH($A191,0))),MOD((YEAR($A191)-YEAR('Recurring Schedule'!$F$19))*12+MONTH($A191)-MONTH('Recurring Schedule'!$F$19),'Recurring Schedule'!$O$19)=0),IF('Recurring Schedule'!$E$19="Weekdays",WEEKDAY($A191,2)&lt;=5,$A191='Recurring Schedule'!$F$19))),14,""))))</f>
        <v/>
      </c>
      <c r="P191">
        <f>IF('Recurring Schedule'!$C$20="","",IF('Recurring Schedule'!$F$20="","",IF(OR($A191&lt;'Recurring Schedule'!$F$20,$A191&gt;'Recurring Schedule'!$P$20),"",IF(IF('Recurring Schedule'!$N$20&gt;0,MOD($A191-'Recurring Schedule'!$F$20,'Recurring Schedule'!$N$20)=0,IF('Recurring Schedule'!$O$20&gt;0,AND(DAY($A191)=MIN(DAY('Recurring Schedule'!$F$20),DAY(EOMONTH($A191,0))),MOD((YEAR($A191)-YEAR('Recurring Schedule'!$F$20))*12+MONTH($A191)-MONTH('Recurring Schedule'!$F$20),'Recurring Schedule'!$O$20)=0),IF('Recurring Schedule'!$E$20="Weekdays",WEEKDAY($A191,2)&lt;=5,$A191='Recurring Schedule'!$F$20))),15,""))))</f>
        <v/>
      </c>
      <c r="Q191">
        <f>IF('Recurring Schedule'!$C$21="","",IF('Recurring Schedule'!$F$21="","",IF(OR($A191&lt;'Recurring Schedule'!$F$21,$A191&gt;'Recurring Schedule'!$P$21),"",IF(IF('Recurring Schedule'!$N$21&gt;0,MOD($A191-'Recurring Schedule'!$F$21,'Recurring Schedule'!$N$21)=0,IF('Recurring Schedule'!$O$21&gt;0,AND(DAY($A191)=MIN(DAY('Recurring Schedule'!$F$21),DAY(EOMONTH($A191,0))),MOD((YEAR($A191)-YEAR('Recurring Schedule'!$F$21))*12+MONTH($A191)-MONTH('Recurring Schedule'!$F$21),'Recurring Schedule'!$O$21)=0),IF('Recurring Schedule'!$E$21="Weekdays",WEEKDAY($A191,2)&lt;=5,$A191='Recurring Schedule'!$F$21))),16,""))))</f>
        <v/>
      </c>
      <c r="R191">
        <f>IF('Recurring Schedule'!$C$22="","",IF('Recurring Schedule'!$F$22="","",IF(OR($A191&lt;'Recurring Schedule'!$F$22,$A191&gt;'Recurring Schedule'!$P$22),"",IF(IF('Recurring Schedule'!$N$22&gt;0,MOD($A191-'Recurring Schedule'!$F$22,'Recurring Schedule'!$N$22)=0,IF('Recurring Schedule'!$O$22&gt;0,AND(DAY($A191)=MIN(DAY('Recurring Schedule'!$F$22),DAY(EOMONTH($A191,0))),MOD((YEAR($A191)-YEAR('Recurring Schedule'!$F$22))*12+MONTH($A191)-MONTH('Recurring Schedule'!$F$22),'Recurring Schedule'!$O$22)=0),IF('Recurring Schedule'!$E$22="Weekdays",WEEKDAY($A191,2)&lt;=5,$A191='Recurring Schedule'!$F$22))),17,""))))</f>
        <v/>
      </c>
      <c r="S191">
        <f>IF('Recurring Schedule'!$C$23="","",IF('Recurring Schedule'!$F$23="","",IF(OR($A191&lt;'Recurring Schedule'!$F$23,$A191&gt;'Recurring Schedule'!$P$23),"",IF(IF('Recurring Schedule'!$N$23&gt;0,MOD($A191-'Recurring Schedule'!$F$23,'Recurring Schedule'!$N$23)=0,IF('Recurring Schedule'!$O$23&gt;0,AND(DAY($A191)=MIN(DAY('Recurring Schedule'!$F$23),DAY(EOMONTH($A191,0))),MOD((YEAR($A191)-YEAR('Recurring Schedule'!$F$23))*12+MONTH($A191)-MONTH('Recurring Schedule'!$F$23),'Recurring Schedule'!$O$23)=0),IF('Recurring Schedule'!$E$23="Weekdays",WEEKDAY($A191,2)&lt;=5,$A191='Recurring Schedule'!$F$23))),18,""))))</f>
        <v/>
      </c>
      <c r="T191">
        <f>IF('Recurring Schedule'!$C$24="","",IF('Recurring Schedule'!$F$24="","",IF(OR($A191&lt;'Recurring Schedule'!$F$24,$A191&gt;'Recurring Schedule'!$P$24),"",IF(IF('Recurring Schedule'!$N$24&gt;0,MOD($A191-'Recurring Schedule'!$F$24,'Recurring Schedule'!$N$24)=0,IF('Recurring Schedule'!$O$24&gt;0,AND(DAY($A191)=MIN(DAY('Recurring Schedule'!$F$24),DAY(EOMONTH($A191,0))),MOD((YEAR($A191)-YEAR('Recurring Schedule'!$F$24))*12+MONTH($A191)-MONTH('Recurring Schedule'!$F$24),'Recurring Schedule'!$O$24)=0),IF('Recurring Schedule'!$E$24="Weekdays",WEEKDAY($A191,2)&lt;=5,$A191='Recurring Schedule'!$F$24))),19,""))))</f>
        <v/>
      </c>
      <c r="U191">
        <f>IF('Recurring Schedule'!$C$25="","",IF('Recurring Schedule'!$F$25="","",IF(OR($A191&lt;'Recurring Schedule'!$F$25,$A191&gt;'Recurring Schedule'!$P$25),"",IF(IF('Recurring Schedule'!$N$25&gt;0,MOD($A191-'Recurring Schedule'!$F$25,'Recurring Schedule'!$N$25)=0,IF('Recurring Schedule'!$O$25&gt;0,AND(DAY($A191)=MIN(DAY('Recurring Schedule'!$F$25),DAY(EOMONTH($A191,0))),MOD((YEAR($A191)-YEAR('Recurring Schedule'!$F$25))*12+MONTH($A191)-MONTH('Recurring Schedule'!$F$25),'Recurring Schedule'!$O$25)=0),IF('Recurring Schedule'!$E$25="Weekdays",WEEKDAY($A191,2)&lt;=5,$A191='Recurring Schedule'!$F$25))),20,""))))</f>
        <v/>
      </c>
      <c r="V191">
        <f>IF('Recurring Schedule'!$C$26="","",IF('Recurring Schedule'!$F$26="","",IF(OR($A191&lt;'Recurring Schedule'!$F$26,$A191&gt;'Recurring Schedule'!$P$26),"",IF(IF('Recurring Schedule'!$N$26&gt;0,MOD($A191-'Recurring Schedule'!$F$26,'Recurring Schedule'!$N$26)=0,IF('Recurring Schedule'!$O$26&gt;0,AND(DAY($A191)=MIN(DAY('Recurring Schedule'!$F$26),DAY(EOMONTH($A191,0))),MOD((YEAR($A191)-YEAR('Recurring Schedule'!$F$26))*12+MONTH($A191)-MONTH('Recurring Schedule'!$F$26),'Recurring Schedule'!$O$26)=0),IF('Recurring Schedule'!$E$26="Weekdays",WEEKDAY($A191,2)&lt;=5,$A191='Recurring Schedule'!$F$26))),21,""))))</f>
        <v/>
      </c>
      <c r="W191">
        <f>IF('Recurring Schedule'!$C$27="","",IF('Recurring Schedule'!$F$27="","",IF(OR($A191&lt;'Recurring Schedule'!$F$27,$A191&gt;'Recurring Schedule'!$P$27),"",IF(IF('Recurring Schedule'!$N$27&gt;0,MOD($A191-'Recurring Schedule'!$F$27,'Recurring Schedule'!$N$27)=0,IF('Recurring Schedule'!$O$27&gt;0,AND(DAY($A191)=MIN(DAY('Recurring Schedule'!$F$27),DAY(EOMONTH($A191,0))),MOD((YEAR($A191)-YEAR('Recurring Schedule'!$F$27))*12+MONTH($A191)-MONTH('Recurring Schedule'!$F$27),'Recurring Schedule'!$O$27)=0),IF('Recurring Schedule'!$E$27="Weekdays",WEEKDAY($A191,2)&lt;=5,$A191='Recurring Schedule'!$F$27))),22,""))))</f>
        <v/>
      </c>
      <c r="X191">
        <f>IF('Recurring Schedule'!$C$28="","",IF('Recurring Schedule'!$F$28="","",IF(OR($A191&lt;'Recurring Schedule'!$F$28,$A191&gt;'Recurring Schedule'!$P$28),"",IF(IF('Recurring Schedule'!$N$28&gt;0,MOD($A191-'Recurring Schedule'!$F$28,'Recurring Schedule'!$N$28)=0,IF('Recurring Schedule'!$O$28&gt;0,AND(DAY($A191)=MIN(DAY('Recurring Schedule'!$F$28),DAY(EOMONTH($A191,0))),MOD((YEAR($A191)-YEAR('Recurring Schedule'!$F$28))*12+MONTH($A191)-MONTH('Recurring Schedule'!$F$28),'Recurring Schedule'!$O$28)=0),IF('Recurring Schedule'!$E$28="Weekdays",WEEKDAY($A191,2)&lt;=5,$A191='Recurring Schedule'!$F$28))),23,""))))</f>
        <v/>
      </c>
      <c r="Y191">
        <f>IF('Recurring Schedule'!$C$29="","",IF('Recurring Schedule'!$F$29="","",IF(OR($A191&lt;'Recurring Schedule'!$F$29,$A191&gt;'Recurring Schedule'!$P$29),"",IF(IF('Recurring Schedule'!$N$29&gt;0,MOD($A191-'Recurring Schedule'!$F$29,'Recurring Schedule'!$N$29)=0,IF('Recurring Schedule'!$O$29&gt;0,AND(DAY($A191)=MIN(DAY('Recurring Schedule'!$F$29),DAY(EOMONTH($A191,0))),MOD((YEAR($A191)-YEAR('Recurring Schedule'!$F$29))*12+MONTH($A191)-MONTH('Recurring Schedule'!$F$29),'Recurring Schedule'!$O$29)=0),IF('Recurring Schedule'!$E$29="Weekdays",WEEKDAY($A191,2)&lt;=5,$A191='Recurring Schedule'!$F$29))),24,""))))</f>
        <v/>
      </c>
      <c r="Z191">
        <f>IF('Recurring Schedule'!$C$30="","",IF('Recurring Schedule'!$F$30="","",IF(OR($A191&lt;'Recurring Schedule'!$F$30,$A191&gt;'Recurring Schedule'!$P$30),"",IF(IF('Recurring Schedule'!$N$30&gt;0,MOD($A191-'Recurring Schedule'!$F$30,'Recurring Schedule'!$N$30)=0,IF('Recurring Schedule'!$O$30&gt;0,AND(DAY($A191)=MIN(DAY('Recurring Schedule'!$F$30),DAY(EOMONTH($A191,0))),MOD((YEAR($A191)-YEAR('Recurring Schedule'!$F$30))*12+MONTH($A191)-MONTH('Recurring Schedule'!$F$30),'Recurring Schedule'!$O$30)=0),IF('Recurring Schedule'!$E$30="Weekdays",WEEKDAY($A191,2)&lt;=5,$A191='Recurring Schedule'!$F$30))),25,""))))</f>
        <v/>
      </c>
      <c r="AA191">
        <f>IF('Recurring Schedule'!$C$31="","",IF('Recurring Schedule'!$F$31="","",IF(OR($A191&lt;'Recurring Schedule'!$F$31,$A191&gt;'Recurring Schedule'!$P$31),"",IF(IF('Recurring Schedule'!$N$31&gt;0,MOD($A191-'Recurring Schedule'!$F$31,'Recurring Schedule'!$N$31)=0,IF('Recurring Schedule'!$O$31&gt;0,AND(DAY($A191)=MIN(DAY('Recurring Schedule'!$F$31),DAY(EOMONTH($A191,0))),MOD((YEAR($A191)-YEAR('Recurring Schedule'!$F$31))*12+MONTH($A191)-MONTH('Recurring Schedule'!$F$31),'Recurring Schedule'!$O$31)=0),IF('Recurring Schedule'!$E$31="Weekdays",WEEKDAY($A191,2)&lt;=5,$A191='Recurring Schedule'!$F$31))),26,""))))</f>
        <v/>
      </c>
      <c r="AB191">
        <f>IF('Recurring Schedule'!$C$32="","",IF('Recurring Schedule'!$F$32="","",IF(OR($A191&lt;'Recurring Schedule'!$F$32,$A191&gt;'Recurring Schedule'!$P$32),"",IF(IF('Recurring Schedule'!$N$32&gt;0,MOD($A191-'Recurring Schedule'!$F$32,'Recurring Schedule'!$N$32)=0,IF('Recurring Schedule'!$O$32&gt;0,AND(DAY($A191)=MIN(DAY('Recurring Schedule'!$F$32),DAY(EOMONTH($A191,0))),MOD((YEAR($A191)-YEAR('Recurring Schedule'!$F$32))*12+MONTH($A191)-MONTH('Recurring Schedule'!$F$32),'Recurring Schedule'!$O$32)=0),IF('Recurring Schedule'!$E$32="Weekdays",WEEKDAY($A191,2)&lt;=5,$A191='Recurring Schedule'!$F$32))),27,""))))</f>
        <v/>
      </c>
      <c r="AC191">
        <f>IF('Recurring Schedule'!$C$33="","",IF('Recurring Schedule'!$F$33="","",IF(OR($A191&lt;'Recurring Schedule'!$F$33,$A191&gt;'Recurring Schedule'!$P$33),"",IF(IF('Recurring Schedule'!$N$33&gt;0,MOD($A191-'Recurring Schedule'!$F$33,'Recurring Schedule'!$N$33)=0,IF('Recurring Schedule'!$O$33&gt;0,AND(DAY($A191)=MIN(DAY('Recurring Schedule'!$F$33),DAY(EOMONTH($A191,0))),MOD((YEAR($A191)-YEAR('Recurring Schedule'!$F$33))*12+MONTH($A191)-MONTH('Recurring Schedule'!$F$33),'Recurring Schedule'!$O$33)=0),IF('Recurring Schedule'!$E$33="Weekdays",WEEKDAY($A191,2)&lt;=5,$A191='Recurring Schedule'!$F$33))),28,""))))</f>
        <v/>
      </c>
      <c r="AD191">
        <f>IF('Recurring Schedule'!$C$34="","",IF('Recurring Schedule'!$F$34="","",IF(OR($A191&lt;'Recurring Schedule'!$F$34,$A191&gt;'Recurring Schedule'!$P$34),"",IF(IF('Recurring Schedule'!$N$34&gt;0,MOD($A191-'Recurring Schedule'!$F$34,'Recurring Schedule'!$N$34)=0,IF('Recurring Schedule'!$O$34&gt;0,AND(DAY($A191)=MIN(DAY('Recurring Schedule'!$F$34),DAY(EOMONTH($A191,0))),MOD((YEAR($A191)-YEAR('Recurring Schedule'!$F$34))*12+MONTH($A191)-MONTH('Recurring Schedule'!$F$34),'Recurring Schedule'!$O$34)=0),IF('Recurring Schedule'!$E$34="Weekdays",WEEKDAY($A191,2)&lt;=5,$A191='Recurring Schedule'!$F$34))),29,""))))</f>
        <v/>
      </c>
      <c r="AE191">
        <f>IF('Recurring Schedule'!$C$35="","",IF('Recurring Schedule'!$F$35="","",IF(OR($A191&lt;'Recurring Schedule'!$F$35,$A191&gt;'Recurring Schedule'!$P$35),"",IF(IF('Recurring Schedule'!$N$35&gt;0,MOD($A191-'Recurring Schedule'!$F$35,'Recurring Schedule'!$N$35)=0,IF('Recurring Schedule'!$O$35&gt;0,AND(DAY($A191)=MIN(DAY('Recurring Schedule'!$F$35),DAY(EOMONTH($A191,0))),MOD((YEAR($A191)-YEAR('Recurring Schedule'!$F$35))*12+MONTH($A191)-MONTH('Recurring Schedule'!$F$35),'Recurring Schedule'!$O$35)=0),IF('Recurring Schedule'!$E$35="Weekdays",WEEKDAY($A191,2)&lt;=5,$A191='Recurring Schedule'!$F$35))),30,""))))</f>
        <v/>
      </c>
      <c r="AF191">
        <f>IF('Recurring Schedule'!$C$36="","",IF('Recurring Schedule'!$F$36="","",IF(OR($A191&lt;'Recurring Schedule'!$F$36,$A191&gt;'Recurring Schedule'!$P$36),"",IF(IF('Recurring Schedule'!$N$36&gt;0,MOD($A191-'Recurring Schedule'!$F$36,'Recurring Schedule'!$N$36)=0,IF('Recurring Schedule'!$O$36&gt;0,AND(DAY($A191)=MIN(DAY('Recurring Schedule'!$F$36),DAY(EOMONTH($A191,0))),MOD((YEAR($A191)-YEAR('Recurring Schedule'!$F$36))*12+MONTH($A191)-MONTH('Recurring Schedule'!$F$36),'Recurring Schedule'!$O$36)=0),IF('Recurring Schedule'!$E$36="Weekdays",WEEKDAY($A191,2)&lt;=5,$A191='Recurring Schedule'!$F$36))),31,""))))</f>
        <v/>
      </c>
      <c r="AG191">
        <f>IF('Recurring Schedule'!$C$37="","",IF('Recurring Schedule'!$F$37="","",IF(OR($A191&lt;'Recurring Schedule'!$F$37,$A191&gt;'Recurring Schedule'!$P$37),"",IF(IF('Recurring Schedule'!$N$37&gt;0,MOD($A191-'Recurring Schedule'!$F$37,'Recurring Schedule'!$N$37)=0,IF('Recurring Schedule'!$O$37&gt;0,AND(DAY($A191)=MIN(DAY('Recurring Schedule'!$F$37),DAY(EOMONTH($A191,0))),MOD((YEAR($A191)-YEAR('Recurring Schedule'!$F$37))*12+MONTH($A191)-MONTH('Recurring Schedule'!$F$37),'Recurring Schedule'!$O$37)=0),IF('Recurring Schedule'!$E$37="Weekdays",WEEKDAY($A191,2)&lt;=5,$A191='Recurring Schedule'!$F$37))),32,""))))</f>
        <v/>
      </c>
      <c r="AH191">
        <f>IF('Recurring Schedule'!$C$38="","",IF('Recurring Schedule'!$F$38="","",IF(OR($A191&lt;'Recurring Schedule'!$F$38,$A191&gt;'Recurring Schedule'!$P$38),"",IF(IF('Recurring Schedule'!$N$38&gt;0,MOD($A191-'Recurring Schedule'!$F$38,'Recurring Schedule'!$N$38)=0,IF('Recurring Schedule'!$O$38&gt;0,AND(DAY($A191)=MIN(DAY('Recurring Schedule'!$F$38),DAY(EOMONTH($A191,0))),MOD((YEAR($A191)-YEAR('Recurring Schedule'!$F$38))*12+MONTH($A191)-MONTH('Recurring Schedule'!$F$38),'Recurring Schedule'!$O$38)=0),IF('Recurring Schedule'!$E$38="Weekdays",WEEKDAY($A191,2)&lt;=5,$A191='Recurring Schedule'!$F$38))),33,""))))</f>
        <v/>
      </c>
      <c r="AI191">
        <f>IF('Recurring Schedule'!$C$39="","",IF('Recurring Schedule'!$F$39="","",IF(OR($A191&lt;'Recurring Schedule'!$F$39,$A191&gt;'Recurring Schedule'!$P$39),"",IF(IF('Recurring Schedule'!$N$39&gt;0,MOD($A191-'Recurring Schedule'!$F$39,'Recurring Schedule'!$N$39)=0,IF('Recurring Schedule'!$O$39&gt;0,AND(DAY($A191)=MIN(DAY('Recurring Schedule'!$F$39),DAY(EOMONTH($A191,0))),MOD((YEAR($A191)-YEAR('Recurring Schedule'!$F$39))*12+MONTH($A191)-MONTH('Recurring Schedule'!$F$39),'Recurring Schedule'!$O$39)=0),IF('Recurring Schedule'!$E$39="Weekdays",WEEKDAY($A191,2)&lt;=5,$A191='Recurring Schedule'!$F$39))),34,""))))</f>
        <v/>
      </c>
      <c r="AJ191">
        <f>IF('Recurring Schedule'!$C$40="","",IF('Recurring Schedule'!$F$40="","",IF(OR($A191&lt;'Recurring Schedule'!$F$40,$A191&gt;'Recurring Schedule'!$P$40),"",IF(IF('Recurring Schedule'!$N$40&gt;0,MOD($A191-'Recurring Schedule'!$F$40,'Recurring Schedule'!$N$40)=0,IF('Recurring Schedule'!$O$40&gt;0,AND(DAY($A191)=MIN(DAY('Recurring Schedule'!$F$40),DAY(EOMONTH($A191,0))),MOD((YEAR($A191)-YEAR('Recurring Schedule'!$F$40))*12+MONTH($A191)-MONTH('Recurring Schedule'!$F$40),'Recurring Schedule'!$O$40)=0),IF('Recurring Schedule'!$E$40="Weekdays",WEEKDAY($A191,2)&lt;=5,$A191='Recurring Schedule'!$F$40))),35,""))))</f>
        <v/>
      </c>
      <c r="AK191">
        <f>IF('Recurring Schedule'!$C$41="","",IF('Recurring Schedule'!$F$41="","",IF(OR($A191&lt;'Recurring Schedule'!$F$41,$A191&gt;'Recurring Schedule'!$P$41),"",IF(IF('Recurring Schedule'!$N$41&gt;0,MOD($A191-'Recurring Schedule'!$F$41,'Recurring Schedule'!$N$41)=0,IF('Recurring Schedule'!$O$41&gt;0,AND(DAY($A191)=MIN(DAY('Recurring Schedule'!$F$41),DAY(EOMONTH($A191,0))),MOD((YEAR($A191)-YEAR('Recurring Schedule'!$F$41))*12+MONTH($A191)-MONTH('Recurring Schedule'!$F$41),'Recurring Schedule'!$O$41)=0),IF('Recurring Schedule'!$E$41="Weekdays",WEEKDAY($A191,2)&lt;=5,$A191='Recurring Schedule'!$F$41))),36,""))))</f>
        <v/>
      </c>
      <c r="AL191">
        <f>IF('Recurring Schedule'!$C$42="","",IF('Recurring Schedule'!$F$42="","",IF(OR($A191&lt;'Recurring Schedule'!$F$42,$A191&gt;'Recurring Schedule'!$P$42),"",IF(IF('Recurring Schedule'!$N$42&gt;0,MOD($A191-'Recurring Schedule'!$F$42,'Recurring Schedule'!$N$42)=0,IF('Recurring Schedule'!$O$42&gt;0,AND(DAY($A191)=MIN(DAY('Recurring Schedule'!$F$42),DAY(EOMONTH($A191,0))),MOD((YEAR($A191)-YEAR('Recurring Schedule'!$F$42))*12+MONTH($A191)-MONTH('Recurring Schedule'!$F$42),'Recurring Schedule'!$O$42)=0),IF('Recurring Schedule'!$E$42="Weekdays",WEEKDAY($A191,2)&lt;=5,$A191='Recurring Schedule'!$F$42))),37,""))))</f>
        <v/>
      </c>
      <c r="AM191">
        <f>IF('Recurring Schedule'!$C$43="","",IF('Recurring Schedule'!$F$43="","",IF(OR($A191&lt;'Recurring Schedule'!$F$43,$A191&gt;'Recurring Schedule'!$P$43),"",IF(IF('Recurring Schedule'!$N$43&gt;0,MOD($A191-'Recurring Schedule'!$F$43,'Recurring Schedule'!$N$43)=0,IF('Recurring Schedule'!$O$43&gt;0,AND(DAY($A191)=MIN(DAY('Recurring Schedule'!$F$43),DAY(EOMONTH($A191,0))),MOD((YEAR($A191)-YEAR('Recurring Schedule'!$F$43))*12+MONTH($A191)-MONTH('Recurring Schedule'!$F$43),'Recurring Schedule'!$O$43)=0),IF('Recurring Schedule'!$E$43="Weekdays",WEEKDAY($A191,2)&lt;=5,$A191='Recurring Schedule'!$F$43))),38,""))))</f>
        <v/>
      </c>
      <c r="AN191">
        <f>IF('Recurring Schedule'!$C$44="","",IF('Recurring Schedule'!$F$44="","",IF(OR($A191&lt;'Recurring Schedule'!$F$44,$A191&gt;'Recurring Schedule'!$P$44),"",IF(IF('Recurring Schedule'!$N$44&gt;0,MOD($A191-'Recurring Schedule'!$F$44,'Recurring Schedule'!$N$44)=0,IF('Recurring Schedule'!$O$44&gt;0,AND(DAY($A191)=MIN(DAY('Recurring Schedule'!$F$44),DAY(EOMONTH($A191,0))),MOD((YEAR($A191)-YEAR('Recurring Schedule'!$F$44))*12+MONTH($A191)-MONTH('Recurring Schedule'!$F$44),'Recurring Schedule'!$O$44)=0),IF('Recurring Schedule'!$E$44="Weekdays",WEEKDAY($A191,2)&lt;=5,$A191='Recurring Schedule'!$F$44))),39,""))))</f>
        <v/>
      </c>
      <c r="AO191">
        <f>IF('Recurring Schedule'!$C$45="","",IF('Recurring Schedule'!$F$45="","",IF(OR($A191&lt;'Recurring Schedule'!$F$45,$A191&gt;'Recurring Schedule'!$P$45),"",IF(IF('Recurring Schedule'!$N$45&gt;0,MOD($A191-'Recurring Schedule'!$F$45,'Recurring Schedule'!$N$45)=0,IF('Recurring Schedule'!$O$45&gt;0,AND(DAY($A191)=MIN(DAY('Recurring Schedule'!$F$45),DAY(EOMONTH($A191,0))),MOD((YEAR($A191)-YEAR('Recurring Schedule'!$F$45))*12+MONTH($A191)-MONTH('Recurring Schedule'!$F$45),'Recurring Schedule'!$O$45)=0),IF('Recurring Schedule'!$E$45="Weekdays",WEEKDAY($A191,2)&lt;=5,$A191='Recurring Schedule'!$F$45))),40,""))))</f>
        <v/>
      </c>
      <c r="AP191">
        <f>COUNT(B191:AO191)</f>
        <v/>
      </c>
      <c r="AQ191">
        <f>AQ190+AP190</f>
        <v/>
      </c>
      <c r="AS191" t="inlineStr">
        <is>
          <t>R</t>
        </is>
      </c>
      <c r="AT191" t="n">
        <v>195</v>
      </c>
      <c r="AU191">
        <f>'Recurring Log'!C195&amp;""</f>
        <v/>
      </c>
      <c r="AV191">
        <f>'Recurring Log'!D195&amp;""</f>
        <v/>
      </c>
      <c r="AW191">
        <f>IF('Recurring Log'!E195="","",'Recurring Log'!E195)</f>
        <v/>
      </c>
      <c r="AX191">
        <f>IF('Recurring Log'!G195="","",'Recurring Log'!G195)</f>
        <v/>
      </c>
      <c r="AY191">
        <f>IF('Recurring Log'!H195="","",'Recurring Log'!H195)</f>
        <v/>
      </c>
      <c r="AZ191">
        <f>IF(AU191="","",IF('Recurring Log'!J195="","Not Started",'Recurring Log'!J195))</f>
        <v/>
      </c>
      <c r="BA191">
        <f>'Recurring Log'!L195&amp;""</f>
        <v/>
      </c>
      <c r="BB191">
        <f>'Recurring Log'!M195&amp;""</f>
        <v/>
      </c>
      <c r="BC191">
        <f>'Recurring Log'!N195&amp;""</f>
        <v/>
      </c>
      <c r="BD191">
        <f>'Recurring Log'!O195&amp;""</f>
        <v/>
      </c>
      <c r="BE191">
        <f>IF('Recurring Log'!K195="","",'Recurring Log'!K195)</f>
        <v/>
      </c>
      <c r="BF191">
        <f>IFERROR(MATCH(BA191,Setup!$L$6:$L$9,0),5)</f>
        <v/>
      </c>
      <c r="BG191">
        <f>IF(OR(AZ191="Done",AZ191="Cancelled"),1,0)</f>
        <v/>
      </c>
      <c r="BH191">
        <f>IF(AND(AU191&lt;&gt;"",ISNUMBER(AW191)),1,0)</f>
        <v/>
      </c>
      <c r="BI191">
        <f>IF(BH191=0,0,IF(AND(AW191&gt;='Tasks Filter'!$F$3,AW191&lt;='Tasks Filter'!$F$4,OR('Tasks Filter'!$I$3="",ISNUMBER(SEARCH('Tasks Filter'!$I$3,AU191))),OR('Tasks Filter'!$I$4="",BF191=IFERROR(MATCH('Tasks Filter'!$I$4,Setup!$L$6:$L$9,0),0)),OR('Tasks Filter'!$I$5="Both",AND('Tasks Filter'!$I$5="Yes",BB191="✓"),AND('Tasks Filter'!$I$5="No",BB191&lt;&gt;"✓")),OR('Tasks Filter'!$L$3="",AV191='Tasks Filter'!$L$3),OR('Tasks Filter'!$L$4="",AZ191='Tasks Filter'!$L$4),OR('Tasks Filter'!$L$5="",BC191='Tasks Filter'!$L$5),OR('Tasks Filter'!$O$3="",BD191='Tasks Filter'!$O$3),OR('Tasks Filter'!$O$4="Yes",BG191=0)),1,0))</f>
        <v/>
      </c>
      <c r="BJ191">
        <f>IF(BH191=0,"",IF('Tasks Filter'!$F$6="Descending",-1,1)*CHOOSE(MATCH('Tasks Filter'!$F$5,Lists!$G$2:$G$6,0),AW191,BF191,IFERROR(MATCH(AV191,Setup!$F$6:$F$15,0),99),IFERROR(MATCH(BC191,Setup!$H$6:$H$15,0),99),IFERROR(MATCH(AZ191,Setup!$J$6:$J$11,0),99))*1E+9+(AW191-40000)*10000+190)</f>
        <v/>
      </c>
      <c r="BK191">
        <f>IF(BI191=1,BJ191,"")</f>
        <v/>
      </c>
      <c r="BL191">
        <f>IF(AND(BH191=1,BG191=0,N(AW191)&lt;Setup!$D$7),(AW191-40000)*10000+190,"")</f>
        <v/>
      </c>
      <c r="BM191">
        <f>IF(AND(BH191=1,AZ191&lt;&gt;"Cancelled",N(AW191)&gt;=Dashboard!$AB$3,N(AW191)&lt;=Dashboard!$AB$3+6),(AW191-40000)*100000+BF191*10000+190,"")</f>
        <v/>
      </c>
      <c r="BN191">
        <f>IF(AND(BH191=1,AZ191&lt;&gt;"Cancelled"),BF191*10000+190,"")</f>
        <v/>
      </c>
    </row>
    <row r="192">
      <c r="A192">
        <f>Setup!$D$5+190</f>
        <v/>
      </c>
      <c r="B192">
        <f>IF('Recurring Schedule'!$C$6="","",IF('Recurring Schedule'!$F$6="","",IF(OR($A192&lt;'Recurring Schedule'!$F$6,$A192&gt;'Recurring Schedule'!$P$6),"",IF(IF('Recurring Schedule'!$N$6&gt;0,MOD($A192-'Recurring Schedule'!$F$6,'Recurring Schedule'!$N$6)=0,IF('Recurring Schedule'!$O$6&gt;0,AND(DAY($A192)=MIN(DAY('Recurring Schedule'!$F$6),DAY(EOMONTH($A192,0))),MOD((YEAR($A192)-YEAR('Recurring Schedule'!$F$6))*12+MONTH($A192)-MONTH('Recurring Schedule'!$F$6),'Recurring Schedule'!$O$6)=0),IF('Recurring Schedule'!$E$6="Weekdays",WEEKDAY($A192,2)&lt;=5,$A192='Recurring Schedule'!$F$6))),1,""))))</f>
        <v/>
      </c>
      <c r="C192">
        <f>IF('Recurring Schedule'!$C$7="","",IF('Recurring Schedule'!$F$7="","",IF(OR($A192&lt;'Recurring Schedule'!$F$7,$A192&gt;'Recurring Schedule'!$P$7),"",IF(IF('Recurring Schedule'!$N$7&gt;0,MOD($A192-'Recurring Schedule'!$F$7,'Recurring Schedule'!$N$7)=0,IF('Recurring Schedule'!$O$7&gt;0,AND(DAY($A192)=MIN(DAY('Recurring Schedule'!$F$7),DAY(EOMONTH($A192,0))),MOD((YEAR($A192)-YEAR('Recurring Schedule'!$F$7))*12+MONTH($A192)-MONTH('Recurring Schedule'!$F$7),'Recurring Schedule'!$O$7)=0),IF('Recurring Schedule'!$E$7="Weekdays",WEEKDAY($A192,2)&lt;=5,$A192='Recurring Schedule'!$F$7))),2,""))))</f>
        <v/>
      </c>
      <c r="D192">
        <f>IF('Recurring Schedule'!$C$8="","",IF('Recurring Schedule'!$F$8="","",IF(OR($A192&lt;'Recurring Schedule'!$F$8,$A192&gt;'Recurring Schedule'!$P$8),"",IF(IF('Recurring Schedule'!$N$8&gt;0,MOD($A192-'Recurring Schedule'!$F$8,'Recurring Schedule'!$N$8)=0,IF('Recurring Schedule'!$O$8&gt;0,AND(DAY($A192)=MIN(DAY('Recurring Schedule'!$F$8),DAY(EOMONTH($A192,0))),MOD((YEAR($A192)-YEAR('Recurring Schedule'!$F$8))*12+MONTH($A192)-MONTH('Recurring Schedule'!$F$8),'Recurring Schedule'!$O$8)=0),IF('Recurring Schedule'!$E$8="Weekdays",WEEKDAY($A192,2)&lt;=5,$A192='Recurring Schedule'!$F$8))),3,""))))</f>
        <v/>
      </c>
      <c r="E192">
        <f>IF('Recurring Schedule'!$C$9="","",IF('Recurring Schedule'!$F$9="","",IF(OR($A192&lt;'Recurring Schedule'!$F$9,$A192&gt;'Recurring Schedule'!$P$9),"",IF(IF('Recurring Schedule'!$N$9&gt;0,MOD($A192-'Recurring Schedule'!$F$9,'Recurring Schedule'!$N$9)=0,IF('Recurring Schedule'!$O$9&gt;0,AND(DAY($A192)=MIN(DAY('Recurring Schedule'!$F$9),DAY(EOMONTH($A192,0))),MOD((YEAR($A192)-YEAR('Recurring Schedule'!$F$9))*12+MONTH($A192)-MONTH('Recurring Schedule'!$F$9),'Recurring Schedule'!$O$9)=0),IF('Recurring Schedule'!$E$9="Weekdays",WEEKDAY($A192,2)&lt;=5,$A192='Recurring Schedule'!$F$9))),4,""))))</f>
        <v/>
      </c>
      <c r="F192">
        <f>IF('Recurring Schedule'!$C$10="","",IF('Recurring Schedule'!$F$10="","",IF(OR($A192&lt;'Recurring Schedule'!$F$10,$A192&gt;'Recurring Schedule'!$P$10),"",IF(IF('Recurring Schedule'!$N$10&gt;0,MOD($A192-'Recurring Schedule'!$F$10,'Recurring Schedule'!$N$10)=0,IF('Recurring Schedule'!$O$10&gt;0,AND(DAY($A192)=MIN(DAY('Recurring Schedule'!$F$10),DAY(EOMONTH($A192,0))),MOD((YEAR($A192)-YEAR('Recurring Schedule'!$F$10))*12+MONTH($A192)-MONTH('Recurring Schedule'!$F$10),'Recurring Schedule'!$O$10)=0),IF('Recurring Schedule'!$E$10="Weekdays",WEEKDAY($A192,2)&lt;=5,$A192='Recurring Schedule'!$F$10))),5,""))))</f>
        <v/>
      </c>
      <c r="G192">
        <f>IF('Recurring Schedule'!$C$11="","",IF('Recurring Schedule'!$F$11="","",IF(OR($A192&lt;'Recurring Schedule'!$F$11,$A192&gt;'Recurring Schedule'!$P$11),"",IF(IF('Recurring Schedule'!$N$11&gt;0,MOD($A192-'Recurring Schedule'!$F$11,'Recurring Schedule'!$N$11)=0,IF('Recurring Schedule'!$O$11&gt;0,AND(DAY($A192)=MIN(DAY('Recurring Schedule'!$F$11),DAY(EOMONTH($A192,0))),MOD((YEAR($A192)-YEAR('Recurring Schedule'!$F$11))*12+MONTH($A192)-MONTH('Recurring Schedule'!$F$11),'Recurring Schedule'!$O$11)=0),IF('Recurring Schedule'!$E$11="Weekdays",WEEKDAY($A192,2)&lt;=5,$A192='Recurring Schedule'!$F$11))),6,""))))</f>
        <v/>
      </c>
      <c r="H192">
        <f>IF('Recurring Schedule'!$C$12="","",IF('Recurring Schedule'!$F$12="","",IF(OR($A192&lt;'Recurring Schedule'!$F$12,$A192&gt;'Recurring Schedule'!$P$12),"",IF(IF('Recurring Schedule'!$N$12&gt;0,MOD($A192-'Recurring Schedule'!$F$12,'Recurring Schedule'!$N$12)=0,IF('Recurring Schedule'!$O$12&gt;0,AND(DAY($A192)=MIN(DAY('Recurring Schedule'!$F$12),DAY(EOMONTH($A192,0))),MOD((YEAR($A192)-YEAR('Recurring Schedule'!$F$12))*12+MONTH($A192)-MONTH('Recurring Schedule'!$F$12),'Recurring Schedule'!$O$12)=0),IF('Recurring Schedule'!$E$12="Weekdays",WEEKDAY($A192,2)&lt;=5,$A192='Recurring Schedule'!$F$12))),7,""))))</f>
        <v/>
      </c>
      <c r="I192">
        <f>IF('Recurring Schedule'!$C$13="","",IF('Recurring Schedule'!$F$13="","",IF(OR($A192&lt;'Recurring Schedule'!$F$13,$A192&gt;'Recurring Schedule'!$P$13),"",IF(IF('Recurring Schedule'!$N$13&gt;0,MOD($A192-'Recurring Schedule'!$F$13,'Recurring Schedule'!$N$13)=0,IF('Recurring Schedule'!$O$13&gt;0,AND(DAY($A192)=MIN(DAY('Recurring Schedule'!$F$13),DAY(EOMONTH($A192,0))),MOD((YEAR($A192)-YEAR('Recurring Schedule'!$F$13))*12+MONTH($A192)-MONTH('Recurring Schedule'!$F$13),'Recurring Schedule'!$O$13)=0),IF('Recurring Schedule'!$E$13="Weekdays",WEEKDAY($A192,2)&lt;=5,$A192='Recurring Schedule'!$F$13))),8,""))))</f>
        <v/>
      </c>
      <c r="J192">
        <f>IF('Recurring Schedule'!$C$14="","",IF('Recurring Schedule'!$F$14="","",IF(OR($A192&lt;'Recurring Schedule'!$F$14,$A192&gt;'Recurring Schedule'!$P$14),"",IF(IF('Recurring Schedule'!$N$14&gt;0,MOD($A192-'Recurring Schedule'!$F$14,'Recurring Schedule'!$N$14)=0,IF('Recurring Schedule'!$O$14&gt;0,AND(DAY($A192)=MIN(DAY('Recurring Schedule'!$F$14),DAY(EOMONTH($A192,0))),MOD((YEAR($A192)-YEAR('Recurring Schedule'!$F$14))*12+MONTH($A192)-MONTH('Recurring Schedule'!$F$14),'Recurring Schedule'!$O$14)=0),IF('Recurring Schedule'!$E$14="Weekdays",WEEKDAY($A192,2)&lt;=5,$A192='Recurring Schedule'!$F$14))),9,""))))</f>
        <v/>
      </c>
      <c r="K192">
        <f>IF('Recurring Schedule'!$C$15="","",IF('Recurring Schedule'!$F$15="","",IF(OR($A192&lt;'Recurring Schedule'!$F$15,$A192&gt;'Recurring Schedule'!$P$15),"",IF(IF('Recurring Schedule'!$N$15&gt;0,MOD($A192-'Recurring Schedule'!$F$15,'Recurring Schedule'!$N$15)=0,IF('Recurring Schedule'!$O$15&gt;0,AND(DAY($A192)=MIN(DAY('Recurring Schedule'!$F$15),DAY(EOMONTH($A192,0))),MOD((YEAR($A192)-YEAR('Recurring Schedule'!$F$15))*12+MONTH($A192)-MONTH('Recurring Schedule'!$F$15),'Recurring Schedule'!$O$15)=0),IF('Recurring Schedule'!$E$15="Weekdays",WEEKDAY($A192,2)&lt;=5,$A192='Recurring Schedule'!$F$15))),10,""))))</f>
        <v/>
      </c>
      <c r="L192">
        <f>IF('Recurring Schedule'!$C$16="","",IF('Recurring Schedule'!$F$16="","",IF(OR($A192&lt;'Recurring Schedule'!$F$16,$A192&gt;'Recurring Schedule'!$P$16),"",IF(IF('Recurring Schedule'!$N$16&gt;0,MOD($A192-'Recurring Schedule'!$F$16,'Recurring Schedule'!$N$16)=0,IF('Recurring Schedule'!$O$16&gt;0,AND(DAY($A192)=MIN(DAY('Recurring Schedule'!$F$16),DAY(EOMONTH($A192,0))),MOD((YEAR($A192)-YEAR('Recurring Schedule'!$F$16))*12+MONTH($A192)-MONTH('Recurring Schedule'!$F$16),'Recurring Schedule'!$O$16)=0),IF('Recurring Schedule'!$E$16="Weekdays",WEEKDAY($A192,2)&lt;=5,$A192='Recurring Schedule'!$F$16))),11,""))))</f>
        <v/>
      </c>
      <c r="M192">
        <f>IF('Recurring Schedule'!$C$17="","",IF('Recurring Schedule'!$F$17="","",IF(OR($A192&lt;'Recurring Schedule'!$F$17,$A192&gt;'Recurring Schedule'!$P$17),"",IF(IF('Recurring Schedule'!$N$17&gt;0,MOD($A192-'Recurring Schedule'!$F$17,'Recurring Schedule'!$N$17)=0,IF('Recurring Schedule'!$O$17&gt;0,AND(DAY($A192)=MIN(DAY('Recurring Schedule'!$F$17),DAY(EOMONTH($A192,0))),MOD((YEAR($A192)-YEAR('Recurring Schedule'!$F$17))*12+MONTH($A192)-MONTH('Recurring Schedule'!$F$17),'Recurring Schedule'!$O$17)=0),IF('Recurring Schedule'!$E$17="Weekdays",WEEKDAY($A192,2)&lt;=5,$A192='Recurring Schedule'!$F$17))),12,""))))</f>
        <v/>
      </c>
      <c r="N192">
        <f>IF('Recurring Schedule'!$C$18="","",IF('Recurring Schedule'!$F$18="","",IF(OR($A192&lt;'Recurring Schedule'!$F$18,$A192&gt;'Recurring Schedule'!$P$18),"",IF(IF('Recurring Schedule'!$N$18&gt;0,MOD($A192-'Recurring Schedule'!$F$18,'Recurring Schedule'!$N$18)=0,IF('Recurring Schedule'!$O$18&gt;0,AND(DAY($A192)=MIN(DAY('Recurring Schedule'!$F$18),DAY(EOMONTH($A192,0))),MOD((YEAR($A192)-YEAR('Recurring Schedule'!$F$18))*12+MONTH($A192)-MONTH('Recurring Schedule'!$F$18),'Recurring Schedule'!$O$18)=0),IF('Recurring Schedule'!$E$18="Weekdays",WEEKDAY($A192,2)&lt;=5,$A192='Recurring Schedule'!$F$18))),13,""))))</f>
        <v/>
      </c>
      <c r="O192">
        <f>IF('Recurring Schedule'!$C$19="","",IF('Recurring Schedule'!$F$19="","",IF(OR($A192&lt;'Recurring Schedule'!$F$19,$A192&gt;'Recurring Schedule'!$P$19),"",IF(IF('Recurring Schedule'!$N$19&gt;0,MOD($A192-'Recurring Schedule'!$F$19,'Recurring Schedule'!$N$19)=0,IF('Recurring Schedule'!$O$19&gt;0,AND(DAY($A192)=MIN(DAY('Recurring Schedule'!$F$19),DAY(EOMONTH($A192,0))),MOD((YEAR($A192)-YEAR('Recurring Schedule'!$F$19))*12+MONTH($A192)-MONTH('Recurring Schedule'!$F$19),'Recurring Schedule'!$O$19)=0),IF('Recurring Schedule'!$E$19="Weekdays",WEEKDAY($A192,2)&lt;=5,$A192='Recurring Schedule'!$F$19))),14,""))))</f>
        <v/>
      </c>
      <c r="P192">
        <f>IF('Recurring Schedule'!$C$20="","",IF('Recurring Schedule'!$F$20="","",IF(OR($A192&lt;'Recurring Schedule'!$F$20,$A192&gt;'Recurring Schedule'!$P$20),"",IF(IF('Recurring Schedule'!$N$20&gt;0,MOD($A192-'Recurring Schedule'!$F$20,'Recurring Schedule'!$N$20)=0,IF('Recurring Schedule'!$O$20&gt;0,AND(DAY($A192)=MIN(DAY('Recurring Schedule'!$F$20),DAY(EOMONTH($A192,0))),MOD((YEAR($A192)-YEAR('Recurring Schedule'!$F$20))*12+MONTH($A192)-MONTH('Recurring Schedule'!$F$20),'Recurring Schedule'!$O$20)=0),IF('Recurring Schedule'!$E$20="Weekdays",WEEKDAY($A192,2)&lt;=5,$A192='Recurring Schedule'!$F$20))),15,""))))</f>
        <v/>
      </c>
      <c r="Q192">
        <f>IF('Recurring Schedule'!$C$21="","",IF('Recurring Schedule'!$F$21="","",IF(OR($A192&lt;'Recurring Schedule'!$F$21,$A192&gt;'Recurring Schedule'!$P$21),"",IF(IF('Recurring Schedule'!$N$21&gt;0,MOD($A192-'Recurring Schedule'!$F$21,'Recurring Schedule'!$N$21)=0,IF('Recurring Schedule'!$O$21&gt;0,AND(DAY($A192)=MIN(DAY('Recurring Schedule'!$F$21),DAY(EOMONTH($A192,0))),MOD((YEAR($A192)-YEAR('Recurring Schedule'!$F$21))*12+MONTH($A192)-MONTH('Recurring Schedule'!$F$21),'Recurring Schedule'!$O$21)=0),IF('Recurring Schedule'!$E$21="Weekdays",WEEKDAY($A192,2)&lt;=5,$A192='Recurring Schedule'!$F$21))),16,""))))</f>
        <v/>
      </c>
      <c r="R192">
        <f>IF('Recurring Schedule'!$C$22="","",IF('Recurring Schedule'!$F$22="","",IF(OR($A192&lt;'Recurring Schedule'!$F$22,$A192&gt;'Recurring Schedule'!$P$22),"",IF(IF('Recurring Schedule'!$N$22&gt;0,MOD($A192-'Recurring Schedule'!$F$22,'Recurring Schedule'!$N$22)=0,IF('Recurring Schedule'!$O$22&gt;0,AND(DAY($A192)=MIN(DAY('Recurring Schedule'!$F$22),DAY(EOMONTH($A192,0))),MOD((YEAR($A192)-YEAR('Recurring Schedule'!$F$22))*12+MONTH($A192)-MONTH('Recurring Schedule'!$F$22),'Recurring Schedule'!$O$22)=0),IF('Recurring Schedule'!$E$22="Weekdays",WEEKDAY($A192,2)&lt;=5,$A192='Recurring Schedule'!$F$22))),17,""))))</f>
        <v/>
      </c>
      <c r="S192">
        <f>IF('Recurring Schedule'!$C$23="","",IF('Recurring Schedule'!$F$23="","",IF(OR($A192&lt;'Recurring Schedule'!$F$23,$A192&gt;'Recurring Schedule'!$P$23),"",IF(IF('Recurring Schedule'!$N$23&gt;0,MOD($A192-'Recurring Schedule'!$F$23,'Recurring Schedule'!$N$23)=0,IF('Recurring Schedule'!$O$23&gt;0,AND(DAY($A192)=MIN(DAY('Recurring Schedule'!$F$23),DAY(EOMONTH($A192,0))),MOD((YEAR($A192)-YEAR('Recurring Schedule'!$F$23))*12+MONTH($A192)-MONTH('Recurring Schedule'!$F$23),'Recurring Schedule'!$O$23)=0),IF('Recurring Schedule'!$E$23="Weekdays",WEEKDAY($A192,2)&lt;=5,$A192='Recurring Schedule'!$F$23))),18,""))))</f>
        <v/>
      </c>
      <c r="T192">
        <f>IF('Recurring Schedule'!$C$24="","",IF('Recurring Schedule'!$F$24="","",IF(OR($A192&lt;'Recurring Schedule'!$F$24,$A192&gt;'Recurring Schedule'!$P$24),"",IF(IF('Recurring Schedule'!$N$24&gt;0,MOD($A192-'Recurring Schedule'!$F$24,'Recurring Schedule'!$N$24)=0,IF('Recurring Schedule'!$O$24&gt;0,AND(DAY($A192)=MIN(DAY('Recurring Schedule'!$F$24),DAY(EOMONTH($A192,0))),MOD((YEAR($A192)-YEAR('Recurring Schedule'!$F$24))*12+MONTH($A192)-MONTH('Recurring Schedule'!$F$24),'Recurring Schedule'!$O$24)=0),IF('Recurring Schedule'!$E$24="Weekdays",WEEKDAY($A192,2)&lt;=5,$A192='Recurring Schedule'!$F$24))),19,""))))</f>
        <v/>
      </c>
      <c r="U192">
        <f>IF('Recurring Schedule'!$C$25="","",IF('Recurring Schedule'!$F$25="","",IF(OR($A192&lt;'Recurring Schedule'!$F$25,$A192&gt;'Recurring Schedule'!$P$25),"",IF(IF('Recurring Schedule'!$N$25&gt;0,MOD($A192-'Recurring Schedule'!$F$25,'Recurring Schedule'!$N$25)=0,IF('Recurring Schedule'!$O$25&gt;0,AND(DAY($A192)=MIN(DAY('Recurring Schedule'!$F$25),DAY(EOMONTH($A192,0))),MOD((YEAR($A192)-YEAR('Recurring Schedule'!$F$25))*12+MONTH($A192)-MONTH('Recurring Schedule'!$F$25),'Recurring Schedule'!$O$25)=0),IF('Recurring Schedule'!$E$25="Weekdays",WEEKDAY($A192,2)&lt;=5,$A192='Recurring Schedule'!$F$25))),20,""))))</f>
        <v/>
      </c>
      <c r="V192">
        <f>IF('Recurring Schedule'!$C$26="","",IF('Recurring Schedule'!$F$26="","",IF(OR($A192&lt;'Recurring Schedule'!$F$26,$A192&gt;'Recurring Schedule'!$P$26),"",IF(IF('Recurring Schedule'!$N$26&gt;0,MOD($A192-'Recurring Schedule'!$F$26,'Recurring Schedule'!$N$26)=0,IF('Recurring Schedule'!$O$26&gt;0,AND(DAY($A192)=MIN(DAY('Recurring Schedule'!$F$26),DAY(EOMONTH($A192,0))),MOD((YEAR($A192)-YEAR('Recurring Schedule'!$F$26))*12+MONTH($A192)-MONTH('Recurring Schedule'!$F$26),'Recurring Schedule'!$O$26)=0),IF('Recurring Schedule'!$E$26="Weekdays",WEEKDAY($A192,2)&lt;=5,$A192='Recurring Schedule'!$F$26))),21,""))))</f>
        <v/>
      </c>
      <c r="W192">
        <f>IF('Recurring Schedule'!$C$27="","",IF('Recurring Schedule'!$F$27="","",IF(OR($A192&lt;'Recurring Schedule'!$F$27,$A192&gt;'Recurring Schedule'!$P$27),"",IF(IF('Recurring Schedule'!$N$27&gt;0,MOD($A192-'Recurring Schedule'!$F$27,'Recurring Schedule'!$N$27)=0,IF('Recurring Schedule'!$O$27&gt;0,AND(DAY($A192)=MIN(DAY('Recurring Schedule'!$F$27),DAY(EOMONTH($A192,0))),MOD((YEAR($A192)-YEAR('Recurring Schedule'!$F$27))*12+MONTH($A192)-MONTH('Recurring Schedule'!$F$27),'Recurring Schedule'!$O$27)=0),IF('Recurring Schedule'!$E$27="Weekdays",WEEKDAY($A192,2)&lt;=5,$A192='Recurring Schedule'!$F$27))),22,""))))</f>
        <v/>
      </c>
      <c r="X192">
        <f>IF('Recurring Schedule'!$C$28="","",IF('Recurring Schedule'!$F$28="","",IF(OR($A192&lt;'Recurring Schedule'!$F$28,$A192&gt;'Recurring Schedule'!$P$28),"",IF(IF('Recurring Schedule'!$N$28&gt;0,MOD($A192-'Recurring Schedule'!$F$28,'Recurring Schedule'!$N$28)=0,IF('Recurring Schedule'!$O$28&gt;0,AND(DAY($A192)=MIN(DAY('Recurring Schedule'!$F$28),DAY(EOMONTH($A192,0))),MOD((YEAR($A192)-YEAR('Recurring Schedule'!$F$28))*12+MONTH($A192)-MONTH('Recurring Schedule'!$F$28),'Recurring Schedule'!$O$28)=0),IF('Recurring Schedule'!$E$28="Weekdays",WEEKDAY($A192,2)&lt;=5,$A192='Recurring Schedule'!$F$28))),23,""))))</f>
        <v/>
      </c>
      <c r="Y192">
        <f>IF('Recurring Schedule'!$C$29="","",IF('Recurring Schedule'!$F$29="","",IF(OR($A192&lt;'Recurring Schedule'!$F$29,$A192&gt;'Recurring Schedule'!$P$29),"",IF(IF('Recurring Schedule'!$N$29&gt;0,MOD($A192-'Recurring Schedule'!$F$29,'Recurring Schedule'!$N$29)=0,IF('Recurring Schedule'!$O$29&gt;0,AND(DAY($A192)=MIN(DAY('Recurring Schedule'!$F$29),DAY(EOMONTH($A192,0))),MOD((YEAR($A192)-YEAR('Recurring Schedule'!$F$29))*12+MONTH($A192)-MONTH('Recurring Schedule'!$F$29),'Recurring Schedule'!$O$29)=0),IF('Recurring Schedule'!$E$29="Weekdays",WEEKDAY($A192,2)&lt;=5,$A192='Recurring Schedule'!$F$29))),24,""))))</f>
        <v/>
      </c>
      <c r="Z192">
        <f>IF('Recurring Schedule'!$C$30="","",IF('Recurring Schedule'!$F$30="","",IF(OR($A192&lt;'Recurring Schedule'!$F$30,$A192&gt;'Recurring Schedule'!$P$30),"",IF(IF('Recurring Schedule'!$N$30&gt;0,MOD($A192-'Recurring Schedule'!$F$30,'Recurring Schedule'!$N$30)=0,IF('Recurring Schedule'!$O$30&gt;0,AND(DAY($A192)=MIN(DAY('Recurring Schedule'!$F$30),DAY(EOMONTH($A192,0))),MOD((YEAR($A192)-YEAR('Recurring Schedule'!$F$30))*12+MONTH($A192)-MONTH('Recurring Schedule'!$F$30),'Recurring Schedule'!$O$30)=0),IF('Recurring Schedule'!$E$30="Weekdays",WEEKDAY($A192,2)&lt;=5,$A192='Recurring Schedule'!$F$30))),25,""))))</f>
        <v/>
      </c>
      <c r="AA192">
        <f>IF('Recurring Schedule'!$C$31="","",IF('Recurring Schedule'!$F$31="","",IF(OR($A192&lt;'Recurring Schedule'!$F$31,$A192&gt;'Recurring Schedule'!$P$31),"",IF(IF('Recurring Schedule'!$N$31&gt;0,MOD($A192-'Recurring Schedule'!$F$31,'Recurring Schedule'!$N$31)=0,IF('Recurring Schedule'!$O$31&gt;0,AND(DAY($A192)=MIN(DAY('Recurring Schedule'!$F$31),DAY(EOMONTH($A192,0))),MOD((YEAR($A192)-YEAR('Recurring Schedule'!$F$31))*12+MONTH($A192)-MONTH('Recurring Schedule'!$F$31),'Recurring Schedule'!$O$31)=0),IF('Recurring Schedule'!$E$31="Weekdays",WEEKDAY($A192,2)&lt;=5,$A192='Recurring Schedule'!$F$31))),26,""))))</f>
        <v/>
      </c>
      <c r="AB192">
        <f>IF('Recurring Schedule'!$C$32="","",IF('Recurring Schedule'!$F$32="","",IF(OR($A192&lt;'Recurring Schedule'!$F$32,$A192&gt;'Recurring Schedule'!$P$32),"",IF(IF('Recurring Schedule'!$N$32&gt;0,MOD($A192-'Recurring Schedule'!$F$32,'Recurring Schedule'!$N$32)=0,IF('Recurring Schedule'!$O$32&gt;0,AND(DAY($A192)=MIN(DAY('Recurring Schedule'!$F$32),DAY(EOMONTH($A192,0))),MOD((YEAR($A192)-YEAR('Recurring Schedule'!$F$32))*12+MONTH($A192)-MONTH('Recurring Schedule'!$F$32),'Recurring Schedule'!$O$32)=0),IF('Recurring Schedule'!$E$32="Weekdays",WEEKDAY($A192,2)&lt;=5,$A192='Recurring Schedule'!$F$32))),27,""))))</f>
        <v/>
      </c>
      <c r="AC192">
        <f>IF('Recurring Schedule'!$C$33="","",IF('Recurring Schedule'!$F$33="","",IF(OR($A192&lt;'Recurring Schedule'!$F$33,$A192&gt;'Recurring Schedule'!$P$33),"",IF(IF('Recurring Schedule'!$N$33&gt;0,MOD($A192-'Recurring Schedule'!$F$33,'Recurring Schedule'!$N$33)=0,IF('Recurring Schedule'!$O$33&gt;0,AND(DAY($A192)=MIN(DAY('Recurring Schedule'!$F$33),DAY(EOMONTH($A192,0))),MOD((YEAR($A192)-YEAR('Recurring Schedule'!$F$33))*12+MONTH($A192)-MONTH('Recurring Schedule'!$F$33),'Recurring Schedule'!$O$33)=0),IF('Recurring Schedule'!$E$33="Weekdays",WEEKDAY($A192,2)&lt;=5,$A192='Recurring Schedule'!$F$33))),28,""))))</f>
        <v/>
      </c>
      <c r="AD192">
        <f>IF('Recurring Schedule'!$C$34="","",IF('Recurring Schedule'!$F$34="","",IF(OR($A192&lt;'Recurring Schedule'!$F$34,$A192&gt;'Recurring Schedule'!$P$34),"",IF(IF('Recurring Schedule'!$N$34&gt;0,MOD($A192-'Recurring Schedule'!$F$34,'Recurring Schedule'!$N$34)=0,IF('Recurring Schedule'!$O$34&gt;0,AND(DAY($A192)=MIN(DAY('Recurring Schedule'!$F$34),DAY(EOMONTH($A192,0))),MOD((YEAR($A192)-YEAR('Recurring Schedule'!$F$34))*12+MONTH($A192)-MONTH('Recurring Schedule'!$F$34),'Recurring Schedule'!$O$34)=0),IF('Recurring Schedule'!$E$34="Weekdays",WEEKDAY($A192,2)&lt;=5,$A192='Recurring Schedule'!$F$34))),29,""))))</f>
        <v/>
      </c>
      <c r="AE192">
        <f>IF('Recurring Schedule'!$C$35="","",IF('Recurring Schedule'!$F$35="","",IF(OR($A192&lt;'Recurring Schedule'!$F$35,$A192&gt;'Recurring Schedule'!$P$35),"",IF(IF('Recurring Schedule'!$N$35&gt;0,MOD($A192-'Recurring Schedule'!$F$35,'Recurring Schedule'!$N$35)=0,IF('Recurring Schedule'!$O$35&gt;0,AND(DAY($A192)=MIN(DAY('Recurring Schedule'!$F$35),DAY(EOMONTH($A192,0))),MOD((YEAR($A192)-YEAR('Recurring Schedule'!$F$35))*12+MONTH($A192)-MONTH('Recurring Schedule'!$F$35),'Recurring Schedule'!$O$35)=0),IF('Recurring Schedule'!$E$35="Weekdays",WEEKDAY($A192,2)&lt;=5,$A192='Recurring Schedule'!$F$35))),30,""))))</f>
        <v/>
      </c>
      <c r="AF192">
        <f>IF('Recurring Schedule'!$C$36="","",IF('Recurring Schedule'!$F$36="","",IF(OR($A192&lt;'Recurring Schedule'!$F$36,$A192&gt;'Recurring Schedule'!$P$36),"",IF(IF('Recurring Schedule'!$N$36&gt;0,MOD($A192-'Recurring Schedule'!$F$36,'Recurring Schedule'!$N$36)=0,IF('Recurring Schedule'!$O$36&gt;0,AND(DAY($A192)=MIN(DAY('Recurring Schedule'!$F$36),DAY(EOMONTH($A192,0))),MOD((YEAR($A192)-YEAR('Recurring Schedule'!$F$36))*12+MONTH($A192)-MONTH('Recurring Schedule'!$F$36),'Recurring Schedule'!$O$36)=0),IF('Recurring Schedule'!$E$36="Weekdays",WEEKDAY($A192,2)&lt;=5,$A192='Recurring Schedule'!$F$36))),31,""))))</f>
        <v/>
      </c>
      <c r="AG192">
        <f>IF('Recurring Schedule'!$C$37="","",IF('Recurring Schedule'!$F$37="","",IF(OR($A192&lt;'Recurring Schedule'!$F$37,$A192&gt;'Recurring Schedule'!$P$37),"",IF(IF('Recurring Schedule'!$N$37&gt;0,MOD($A192-'Recurring Schedule'!$F$37,'Recurring Schedule'!$N$37)=0,IF('Recurring Schedule'!$O$37&gt;0,AND(DAY($A192)=MIN(DAY('Recurring Schedule'!$F$37),DAY(EOMONTH($A192,0))),MOD((YEAR($A192)-YEAR('Recurring Schedule'!$F$37))*12+MONTH($A192)-MONTH('Recurring Schedule'!$F$37),'Recurring Schedule'!$O$37)=0),IF('Recurring Schedule'!$E$37="Weekdays",WEEKDAY($A192,2)&lt;=5,$A192='Recurring Schedule'!$F$37))),32,""))))</f>
        <v/>
      </c>
      <c r="AH192">
        <f>IF('Recurring Schedule'!$C$38="","",IF('Recurring Schedule'!$F$38="","",IF(OR($A192&lt;'Recurring Schedule'!$F$38,$A192&gt;'Recurring Schedule'!$P$38),"",IF(IF('Recurring Schedule'!$N$38&gt;0,MOD($A192-'Recurring Schedule'!$F$38,'Recurring Schedule'!$N$38)=0,IF('Recurring Schedule'!$O$38&gt;0,AND(DAY($A192)=MIN(DAY('Recurring Schedule'!$F$38),DAY(EOMONTH($A192,0))),MOD((YEAR($A192)-YEAR('Recurring Schedule'!$F$38))*12+MONTH($A192)-MONTH('Recurring Schedule'!$F$38),'Recurring Schedule'!$O$38)=0),IF('Recurring Schedule'!$E$38="Weekdays",WEEKDAY($A192,2)&lt;=5,$A192='Recurring Schedule'!$F$38))),33,""))))</f>
        <v/>
      </c>
      <c r="AI192">
        <f>IF('Recurring Schedule'!$C$39="","",IF('Recurring Schedule'!$F$39="","",IF(OR($A192&lt;'Recurring Schedule'!$F$39,$A192&gt;'Recurring Schedule'!$P$39),"",IF(IF('Recurring Schedule'!$N$39&gt;0,MOD($A192-'Recurring Schedule'!$F$39,'Recurring Schedule'!$N$39)=0,IF('Recurring Schedule'!$O$39&gt;0,AND(DAY($A192)=MIN(DAY('Recurring Schedule'!$F$39),DAY(EOMONTH($A192,0))),MOD((YEAR($A192)-YEAR('Recurring Schedule'!$F$39))*12+MONTH($A192)-MONTH('Recurring Schedule'!$F$39),'Recurring Schedule'!$O$39)=0),IF('Recurring Schedule'!$E$39="Weekdays",WEEKDAY($A192,2)&lt;=5,$A192='Recurring Schedule'!$F$39))),34,""))))</f>
        <v/>
      </c>
      <c r="AJ192">
        <f>IF('Recurring Schedule'!$C$40="","",IF('Recurring Schedule'!$F$40="","",IF(OR($A192&lt;'Recurring Schedule'!$F$40,$A192&gt;'Recurring Schedule'!$P$40),"",IF(IF('Recurring Schedule'!$N$40&gt;0,MOD($A192-'Recurring Schedule'!$F$40,'Recurring Schedule'!$N$40)=0,IF('Recurring Schedule'!$O$40&gt;0,AND(DAY($A192)=MIN(DAY('Recurring Schedule'!$F$40),DAY(EOMONTH($A192,0))),MOD((YEAR($A192)-YEAR('Recurring Schedule'!$F$40))*12+MONTH($A192)-MONTH('Recurring Schedule'!$F$40),'Recurring Schedule'!$O$40)=0),IF('Recurring Schedule'!$E$40="Weekdays",WEEKDAY($A192,2)&lt;=5,$A192='Recurring Schedule'!$F$40))),35,""))))</f>
        <v/>
      </c>
      <c r="AK192">
        <f>IF('Recurring Schedule'!$C$41="","",IF('Recurring Schedule'!$F$41="","",IF(OR($A192&lt;'Recurring Schedule'!$F$41,$A192&gt;'Recurring Schedule'!$P$41),"",IF(IF('Recurring Schedule'!$N$41&gt;0,MOD($A192-'Recurring Schedule'!$F$41,'Recurring Schedule'!$N$41)=0,IF('Recurring Schedule'!$O$41&gt;0,AND(DAY($A192)=MIN(DAY('Recurring Schedule'!$F$41),DAY(EOMONTH($A192,0))),MOD((YEAR($A192)-YEAR('Recurring Schedule'!$F$41))*12+MONTH($A192)-MONTH('Recurring Schedule'!$F$41),'Recurring Schedule'!$O$41)=0),IF('Recurring Schedule'!$E$41="Weekdays",WEEKDAY($A192,2)&lt;=5,$A192='Recurring Schedule'!$F$41))),36,""))))</f>
        <v/>
      </c>
      <c r="AL192">
        <f>IF('Recurring Schedule'!$C$42="","",IF('Recurring Schedule'!$F$42="","",IF(OR($A192&lt;'Recurring Schedule'!$F$42,$A192&gt;'Recurring Schedule'!$P$42),"",IF(IF('Recurring Schedule'!$N$42&gt;0,MOD($A192-'Recurring Schedule'!$F$42,'Recurring Schedule'!$N$42)=0,IF('Recurring Schedule'!$O$42&gt;0,AND(DAY($A192)=MIN(DAY('Recurring Schedule'!$F$42),DAY(EOMONTH($A192,0))),MOD((YEAR($A192)-YEAR('Recurring Schedule'!$F$42))*12+MONTH($A192)-MONTH('Recurring Schedule'!$F$42),'Recurring Schedule'!$O$42)=0),IF('Recurring Schedule'!$E$42="Weekdays",WEEKDAY($A192,2)&lt;=5,$A192='Recurring Schedule'!$F$42))),37,""))))</f>
        <v/>
      </c>
      <c r="AM192">
        <f>IF('Recurring Schedule'!$C$43="","",IF('Recurring Schedule'!$F$43="","",IF(OR($A192&lt;'Recurring Schedule'!$F$43,$A192&gt;'Recurring Schedule'!$P$43),"",IF(IF('Recurring Schedule'!$N$43&gt;0,MOD($A192-'Recurring Schedule'!$F$43,'Recurring Schedule'!$N$43)=0,IF('Recurring Schedule'!$O$43&gt;0,AND(DAY($A192)=MIN(DAY('Recurring Schedule'!$F$43),DAY(EOMONTH($A192,0))),MOD((YEAR($A192)-YEAR('Recurring Schedule'!$F$43))*12+MONTH($A192)-MONTH('Recurring Schedule'!$F$43),'Recurring Schedule'!$O$43)=0),IF('Recurring Schedule'!$E$43="Weekdays",WEEKDAY($A192,2)&lt;=5,$A192='Recurring Schedule'!$F$43))),38,""))))</f>
        <v/>
      </c>
      <c r="AN192">
        <f>IF('Recurring Schedule'!$C$44="","",IF('Recurring Schedule'!$F$44="","",IF(OR($A192&lt;'Recurring Schedule'!$F$44,$A192&gt;'Recurring Schedule'!$P$44),"",IF(IF('Recurring Schedule'!$N$44&gt;0,MOD($A192-'Recurring Schedule'!$F$44,'Recurring Schedule'!$N$44)=0,IF('Recurring Schedule'!$O$44&gt;0,AND(DAY($A192)=MIN(DAY('Recurring Schedule'!$F$44),DAY(EOMONTH($A192,0))),MOD((YEAR($A192)-YEAR('Recurring Schedule'!$F$44))*12+MONTH($A192)-MONTH('Recurring Schedule'!$F$44),'Recurring Schedule'!$O$44)=0),IF('Recurring Schedule'!$E$44="Weekdays",WEEKDAY($A192,2)&lt;=5,$A192='Recurring Schedule'!$F$44))),39,""))))</f>
        <v/>
      </c>
      <c r="AO192">
        <f>IF('Recurring Schedule'!$C$45="","",IF('Recurring Schedule'!$F$45="","",IF(OR($A192&lt;'Recurring Schedule'!$F$45,$A192&gt;'Recurring Schedule'!$P$45),"",IF(IF('Recurring Schedule'!$N$45&gt;0,MOD($A192-'Recurring Schedule'!$F$45,'Recurring Schedule'!$N$45)=0,IF('Recurring Schedule'!$O$45&gt;0,AND(DAY($A192)=MIN(DAY('Recurring Schedule'!$F$45),DAY(EOMONTH($A192,0))),MOD((YEAR($A192)-YEAR('Recurring Schedule'!$F$45))*12+MONTH($A192)-MONTH('Recurring Schedule'!$F$45),'Recurring Schedule'!$O$45)=0),IF('Recurring Schedule'!$E$45="Weekdays",WEEKDAY($A192,2)&lt;=5,$A192='Recurring Schedule'!$F$45))),40,""))))</f>
        <v/>
      </c>
      <c r="AP192">
        <f>COUNT(B192:AO192)</f>
        <v/>
      </c>
      <c r="AQ192">
        <f>AQ191+AP191</f>
        <v/>
      </c>
      <c r="AS192" t="inlineStr">
        <is>
          <t>R</t>
        </is>
      </c>
      <c r="AT192" t="n">
        <v>196</v>
      </c>
      <c r="AU192">
        <f>'Recurring Log'!C196&amp;""</f>
        <v/>
      </c>
      <c r="AV192">
        <f>'Recurring Log'!D196&amp;""</f>
        <v/>
      </c>
      <c r="AW192">
        <f>IF('Recurring Log'!E196="","",'Recurring Log'!E196)</f>
        <v/>
      </c>
      <c r="AX192">
        <f>IF('Recurring Log'!G196="","",'Recurring Log'!G196)</f>
        <v/>
      </c>
      <c r="AY192">
        <f>IF('Recurring Log'!H196="","",'Recurring Log'!H196)</f>
        <v/>
      </c>
      <c r="AZ192">
        <f>IF(AU192="","",IF('Recurring Log'!J196="","Not Started",'Recurring Log'!J196))</f>
        <v/>
      </c>
      <c r="BA192">
        <f>'Recurring Log'!L196&amp;""</f>
        <v/>
      </c>
      <c r="BB192">
        <f>'Recurring Log'!M196&amp;""</f>
        <v/>
      </c>
      <c r="BC192">
        <f>'Recurring Log'!N196&amp;""</f>
        <v/>
      </c>
      <c r="BD192">
        <f>'Recurring Log'!O196&amp;""</f>
        <v/>
      </c>
      <c r="BE192">
        <f>IF('Recurring Log'!K196="","",'Recurring Log'!K196)</f>
        <v/>
      </c>
      <c r="BF192">
        <f>IFERROR(MATCH(BA192,Setup!$L$6:$L$9,0),5)</f>
        <v/>
      </c>
      <c r="BG192">
        <f>IF(OR(AZ192="Done",AZ192="Cancelled"),1,0)</f>
        <v/>
      </c>
      <c r="BH192">
        <f>IF(AND(AU192&lt;&gt;"",ISNUMBER(AW192)),1,0)</f>
        <v/>
      </c>
      <c r="BI192">
        <f>IF(BH192=0,0,IF(AND(AW192&gt;='Tasks Filter'!$F$3,AW192&lt;='Tasks Filter'!$F$4,OR('Tasks Filter'!$I$3="",ISNUMBER(SEARCH('Tasks Filter'!$I$3,AU192))),OR('Tasks Filter'!$I$4="",BF192=IFERROR(MATCH('Tasks Filter'!$I$4,Setup!$L$6:$L$9,0),0)),OR('Tasks Filter'!$I$5="Both",AND('Tasks Filter'!$I$5="Yes",BB192="✓"),AND('Tasks Filter'!$I$5="No",BB192&lt;&gt;"✓")),OR('Tasks Filter'!$L$3="",AV192='Tasks Filter'!$L$3),OR('Tasks Filter'!$L$4="",AZ192='Tasks Filter'!$L$4),OR('Tasks Filter'!$L$5="",BC192='Tasks Filter'!$L$5),OR('Tasks Filter'!$O$3="",BD192='Tasks Filter'!$O$3),OR('Tasks Filter'!$O$4="Yes",BG192=0)),1,0))</f>
        <v/>
      </c>
      <c r="BJ192">
        <f>IF(BH192=0,"",IF('Tasks Filter'!$F$6="Descending",-1,1)*CHOOSE(MATCH('Tasks Filter'!$F$5,Lists!$G$2:$G$6,0),AW192,BF192,IFERROR(MATCH(AV192,Setup!$F$6:$F$15,0),99),IFERROR(MATCH(BC192,Setup!$H$6:$H$15,0),99),IFERROR(MATCH(AZ192,Setup!$J$6:$J$11,0),99))*1E+9+(AW192-40000)*10000+191)</f>
        <v/>
      </c>
      <c r="BK192">
        <f>IF(BI192=1,BJ192,"")</f>
        <v/>
      </c>
      <c r="BL192">
        <f>IF(AND(BH192=1,BG192=0,N(AW192)&lt;Setup!$D$7),(AW192-40000)*10000+191,"")</f>
        <v/>
      </c>
      <c r="BM192">
        <f>IF(AND(BH192=1,AZ192&lt;&gt;"Cancelled",N(AW192)&gt;=Dashboard!$AB$3,N(AW192)&lt;=Dashboard!$AB$3+6),(AW192-40000)*100000+BF192*10000+191,"")</f>
        <v/>
      </c>
      <c r="BN192">
        <f>IF(AND(BH192=1,AZ192&lt;&gt;"Cancelled"),BF192*10000+191,"")</f>
        <v/>
      </c>
    </row>
    <row r="193">
      <c r="A193">
        <f>Setup!$D$5+191</f>
        <v/>
      </c>
      <c r="B193">
        <f>IF('Recurring Schedule'!$C$6="","",IF('Recurring Schedule'!$F$6="","",IF(OR($A193&lt;'Recurring Schedule'!$F$6,$A193&gt;'Recurring Schedule'!$P$6),"",IF(IF('Recurring Schedule'!$N$6&gt;0,MOD($A193-'Recurring Schedule'!$F$6,'Recurring Schedule'!$N$6)=0,IF('Recurring Schedule'!$O$6&gt;0,AND(DAY($A193)=MIN(DAY('Recurring Schedule'!$F$6),DAY(EOMONTH($A193,0))),MOD((YEAR($A193)-YEAR('Recurring Schedule'!$F$6))*12+MONTH($A193)-MONTH('Recurring Schedule'!$F$6),'Recurring Schedule'!$O$6)=0),IF('Recurring Schedule'!$E$6="Weekdays",WEEKDAY($A193,2)&lt;=5,$A193='Recurring Schedule'!$F$6))),1,""))))</f>
        <v/>
      </c>
      <c r="C193">
        <f>IF('Recurring Schedule'!$C$7="","",IF('Recurring Schedule'!$F$7="","",IF(OR($A193&lt;'Recurring Schedule'!$F$7,$A193&gt;'Recurring Schedule'!$P$7),"",IF(IF('Recurring Schedule'!$N$7&gt;0,MOD($A193-'Recurring Schedule'!$F$7,'Recurring Schedule'!$N$7)=0,IF('Recurring Schedule'!$O$7&gt;0,AND(DAY($A193)=MIN(DAY('Recurring Schedule'!$F$7),DAY(EOMONTH($A193,0))),MOD((YEAR($A193)-YEAR('Recurring Schedule'!$F$7))*12+MONTH($A193)-MONTH('Recurring Schedule'!$F$7),'Recurring Schedule'!$O$7)=0),IF('Recurring Schedule'!$E$7="Weekdays",WEEKDAY($A193,2)&lt;=5,$A193='Recurring Schedule'!$F$7))),2,""))))</f>
        <v/>
      </c>
      <c r="D193">
        <f>IF('Recurring Schedule'!$C$8="","",IF('Recurring Schedule'!$F$8="","",IF(OR($A193&lt;'Recurring Schedule'!$F$8,$A193&gt;'Recurring Schedule'!$P$8),"",IF(IF('Recurring Schedule'!$N$8&gt;0,MOD($A193-'Recurring Schedule'!$F$8,'Recurring Schedule'!$N$8)=0,IF('Recurring Schedule'!$O$8&gt;0,AND(DAY($A193)=MIN(DAY('Recurring Schedule'!$F$8),DAY(EOMONTH($A193,0))),MOD((YEAR($A193)-YEAR('Recurring Schedule'!$F$8))*12+MONTH($A193)-MONTH('Recurring Schedule'!$F$8),'Recurring Schedule'!$O$8)=0),IF('Recurring Schedule'!$E$8="Weekdays",WEEKDAY($A193,2)&lt;=5,$A193='Recurring Schedule'!$F$8))),3,""))))</f>
        <v/>
      </c>
      <c r="E193">
        <f>IF('Recurring Schedule'!$C$9="","",IF('Recurring Schedule'!$F$9="","",IF(OR($A193&lt;'Recurring Schedule'!$F$9,$A193&gt;'Recurring Schedule'!$P$9),"",IF(IF('Recurring Schedule'!$N$9&gt;0,MOD($A193-'Recurring Schedule'!$F$9,'Recurring Schedule'!$N$9)=0,IF('Recurring Schedule'!$O$9&gt;0,AND(DAY($A193)=MIN(DAY('Recurring Schedule'!$F$9),DAY(EOMONTH($A193,0))),MOD((YEAR($A193)-YEAR('Recurring Schedule'!$F$9))*12+MONTH($A193)-MONTH('Recurring Schedule'!$F$9),'Recurring Schedule'!$O$9)=0),IF('Recurring Schedule'!$E$9="Weekdays",WEEKDAY($A193,2)&lt;=5,$A193='Recurring Schedule'!$F$9))),4,""))))</f>
        <v/>
      </c>
      <c r="F193">
        <f>IF('Recurring Schedule'!$C$10="","",IF('Recurring Schedule'!$F$10="","",IF(OR($A193&lt;'Recurring Schedule'!$F$10,$A193&gt;'Recurring Schedule'!$P$10),"",IF(IF('Recurring Schedule'!$N$10&gt;0,MOD($A193-'Recurring Schedule'!$F$10,'Recurring Schedule'!$N$10)=0,IF('Recurring Schedule'!$O$10&gt;0,AND(DAY($A193)=MIN(DAY('Recurring Schedule'!$F$10),DAY(EOMONTH($A193,0))),MOD((YEAR($A193)-YEAR('Recurring Schedule'!$F$10))*12+MONTH($A193)-MONTH('Recurring Schedule'!$F$10),'Recurring Schedule'!$O$10)=0),IF('Recurring Schedule'!$E$10="Weekdays",WEEKDAY($A193,2)&lt;=5,$A193='Recurring Schedule'!$F$10))),5,""))))</f>
        <v/>
      </c>
      <c r="G193">
        <f>IF('Recurring Schedule'!$C$11="","",IF('Recurring Schedule'!$F$11="","",IF(OR($A193&lt;'Recurring Schedule'!$F$11,$A193&gt;'Recurring Schedule'!$P$11),"",IF(IF('Recurring Schedule'!$N$11&gt;0,MOD($A193-'Recurring Schedule'!$F$11,'Recurring Schedule'!$N$11)=0,IF('Recurring Schedule'!$O$11&gt;0,AND(DAY($A193)=MIN(DAY('Recurring Schedule'!$F$11),DAY(EOMONTH($A193,0))),MOD((YEAR($A193)-YEAR('Recurring Schedule'!$F$11))*12+MONTH($A193)-MONTH('Recurring Schedule'!$F$11),'Recurring Schedule'!$O$11)=0),IF('Recurring Schedule'!$E$11="Weekdays",WEEKDAY($A193,2)&lt;=5,$A193='Recurring Schedule'!$F$11))),6,""))))</f>
        <v/>
      </c>
      <c r="H193">
        <f>IF('Recurring Schedule'!$C$12="","",IF('Recurring Schedule'!$F$12="","",IF(OR($A193&lt;'Recurring Schedule'!$F$12,$A193&gt;'Recurring Schedule'!$P$12),"",IF(IF('Recurring Schedule'!$N$12&gt;0,MOD($A193-'Recurring Schedule'!$F$12,'Recurring Schedule'!$N$12)=0,IF('Recurring Schedule'!$O$12&gt;0,AND(DAY($A193)=MIN(DAY('Recurring Schedule'!$F$12),DAY(EOMONTH($A193,0))),MOD((YEAR($A193)-YEAR('Recurring Schedule'!$F$12))*12+MONTH($A193)-MONTH('Recurring Schedule'!$F$12),'Recurring Schedule'!$O$12)=0),IF('Recurring Schedule'!$E$12="Weekdays",WEEKDAY($A193,2)&lt;=5,$A193='Recurring Schedule'!$F$12))),7,""))))</f>
        <v/>
      </c>
      <c r="I193">
        <f>IF('Recurring Schedule'!$C$13="","",IF('Recurring Schedule'!$F$13="","",IF(OR($A193&lt;'Recurring Schedule'!$F$13,$A193&gt;'Recurring Schedule'!$P$13),"",IF(IF('Recurring Schedule'!$N$13&gt;0,MOD($A193-'Recurring Schedule'!$F$13,'Recurring Schedule'!$N$13)=0,IF('Recurring Schedule'!$O$13&gt;0,AND(DAY($A193)=MIN(DAY('Recurring Schedule'!$F$13),DAY(EOMONTH($A193,0))),MOD((YEAR($A193)-YEAR('Recurring Schedule'!$F$13))*12+MONTH($A193)-MONTH('Recurring Schedule'!$F$13),'Recurring Schedule'!$O$13)=0),IF('Recurring Schedule'!$E$13="Weekdays",WEEKDAY($A193,2)&lt;=5,$A193='Recurring Schedule'!$F$13))),8,""))))</f>
        <v/>
      </c>
      <c r="J193">
        <f>IF('Recurring Schedule'!$C$14="","",IF('Recurring Schedule'!$F$14="","",IF(OR($A193&lt;'Recurring Schedule'!$F$14,$A193&gt;'Recurring Schedule'!$P$14),"",IF(IF('Recurring Schedule'!$N$14&gt;0,MOD($A193-'Recurring Schedule'!$F$14,'Recurring Schedule'!$N$14)=0,IF('Recurring Schedule'!$O$14&gt;0,AND(DAY($A193)=MIN(DAY('Recurring Schedule'!$F$14),DAY(EOMONTH($A193,0))),MOD((YEAR($A193)-YEAR('Recurring Schedule'!$F$14))*12+MONTH($A193)-MONTH('Recurring Schedule'!$F$14),'Recurring Schedule'!$O$14)=0),IF('Recurring Schedule'!$E$14="Weekdays",WEEKDAY($A193,2)&lt;=5,$A193='Recurring Schedule'!$F$14))),9,""))))</f>
        <v/>
      </c>
      <c r="K193">
        <f>IF('Recurring Schedule'!$C$15="","",IF('Recurring Schedule'!$F$15="","",IF(OR($A193&lt;'Recurring Schedule'!$F$15,$A193&gt;'Recurring Schedule'!$P$15),"",IF(IF('Recurring Schedule'!$N$15&gt;0,MOD($A193-'Recurring Schedule'!$F$15,'Recurring Schedule'!$N$15)=0,IF('Recurring Schedule'!$O$15&gt;0,AND(DAY($A193)=MIN(DAY('Recurring Schedule'!$F$15),DAY(EOMONTH($A193,0))),MOD((YEAR($A193)-YEAR('Recurring Schedule'!$F$15))*12+MONTH($A193)-MONTH('Recurring Schedule'!$F$15),'Recurring Schedule'!$O$15)=0),IF('Recurring Schedule'!$E$15="Weekdays",WEEKDAY($A193,2)&lt;=5,$A193='Recurring Schedule'!$F$15))),10,""))))</f>
        <v/>
      </c>
      <c r="L193">
        <f>IF('Recurring Schedule'!$C$16="","",IF('Recurring Schedule'!$F$16="","",IF(OR($A193&lt;'Recurring Schedule'!$F$16,$A193&gt;'Recurring Schedule'!$P$16),"",IF(IF('Recurring Schedule'!$N$16&gt;0,MOD($A193-'Recurring Schedule'!$F$16,'Recurring Schedule'!$N$16)=0,IF('Recurring Schedule'!$O$16&gt;0,AND(DAY($A193)=MIN(DAY('Recurring Schedule'!$F$16),DAY(EOMONTH($A193,0))),MOD((YEAR($A193)-YEAR('Recurring Schedule'!$F$16))*12+MONTH($A193)-MONTH('Recurring Schedule'!$F$16),'Recurring Schedule'!$O$16)=0),IF('Recurring Schedule'!$E$16="Weekdays",WEEKDAY($A193,2)&lt;=5,$A193='Recurring Schedule'!$F$16))),11,""))))</f>
        <v/>
      </c>
      <c r="M193">
        <f>IF('Recurring Schedule'!$C$17="","",IF('Recurring Schedule'!$F$17="","",IF(OR($A193&lt;'Recurring Schedule'!$F$17,$A193&gt;'Recurring Schedule'!$P$17),"",IF(IF('Recurring Schedule'!$N$17&gt;0,MOD($A193-'Recurring Schedule'!$F$17,'Recurring Schedule'!$N$17)=0,IF('Recurring Schedule'!$O$17&gt;0,AND(DAY($A193)=MIN(DAY('Recurring Schedule'!$F$17),DAY(EOMONTH($A193,0))),MOD((YEAR($A193)-YEAR('Recurring Schedule'!$F$17))*12+MONTH($A193)-MONTH('Recurring Schedule'!$F$17),'Recurring Schedule'!$O$17)=0),IF('Recurring Schedule'!$E$17="Weekdays",WEEKDAY($A193,2)&lt;=5,$A193='Recurring Schedule'!$F$17))),12,""))))</f>
        <v/>
      </c>
      <c r="N193">
        <f>IF('Recurring Schedule'!$C$18="","",IF('Recurring Schedule'!$F$18="","",IF(OR($A193&lt;'Recurring Schedule'!$F$18,$A193&gt;'Recurring Schedule'!$P$18),"",IF(IF('Recurring Schedule'!$N$18&gt;0,MOD($A193-'Recurring Schedule'!$F$18,'Recurring Schedule'!$N$18)=0,IF('Recurring Schedule'!$O$18&gt;0,AND(DAY($A193)=MIN(DAY('Recurring Schedule'!$F$18),DAY(EOMONTH($A193,0))),MOD((YEAR($A193)-YEAR('Recurring Schedule'!$F$18))*12+MONTH($A193)-MONTH('Recurring Schedule'!$F$18),'Recurring Schedule'!$O$18)=0),IF('Recurring Schedule'!$E$18="Weekdays",WEEKDAY($A193,2)&lt;=5,$A193='Recurring Schedule'!$F$18))),13,""))))</f>
        <v/>
      </c>
      <c r="O193">
        <f>IF('Recurring Schedule'!$C$19="","",IF('Recurring Schedule'!$F$19="","",IF(OR($A193&lt;'Recurring Schedule'!$F$19,$A193&gt;'Recurring Schedule'!$P$19),"",IF(IF('Recurring Schedule'!$N$19&gt;0,MOD($A193-'Recurring Schedule'!$F$19,'Recurring Schedule'!$N$19)=0,IF('Recurring Schedule'!$O$19&gt;0,AND(DAY($A193)=MIN(DAY('Recurring Schedule'!$F$19),DAY(EOMONTH($A193,0))),MOD((YEAR($A193)-YEAR('Recurring Schedule'!$F$19))*12+MONTH($A193)-MONTH('Recurring Schedule'!$F$19),'Recurring Schedule'!$O$19)=0),IF('Recurring Schedule'!$E$19="Weekdays",WEEKDAY($A193,2)&lt;=5,$A193='Recurring Schedule'!$F$19))),14,""))))</f>
        <v/>
      </c>
      <c r="P193">
        <f>IF('Recurring Schedule'!$C$20="","",IF('Recurring Schedule'!$F$20="","",IF(OR($A193&lt;'Recurring Schedule'!$F$20,$A193&gt;'Recurring Schedule'!$P$20),"",IF(IF('Recurring Schedule'!$N$20&gt;0,MOD($A193-'Recurring Schedule'!$F$20,'Recurring Schedule'!$N$20)=0,IF('Recurring Schedule'!$O$20&gt;0,AND(DAY($A193)=MIN(DAY('Recurring Schedule'!$F$20),DAY(EOMONTH($A193,0))),MOD((YEAR($A193)-YEAR('Recurring Schedule'!$F$20))*12+MONTH($A193)-MONTH('Recurring Schedule'!$F$20),'Recurring Schedule'!$O$20)=0),IF('Recurring Schedule'!$E$20="Weekdays",WEEKDAY($A193,2)&lt;=5,$A193='Recurring Schedule'!$F$20))),15,""))))</f>
        <v/>
      </c>
      <c r="Q193">
        <f>IF('Recurring Schedule'!$C$21="","",IF('Recurring Schedule'!$F$21="","",IF(OR($A193&lt;'Recurring Schedule'!$F$21,$A193&gt;'Recurring Schedule'!$P$21),"",IF(IF('Recurring Schedule'!$N$21&gt;0,MOD($A193-'Recurring Schedule'!$F$21,'Recurring Schedule'!$N$21)=0,IF('Recurring Schedule'!$O$21&gt;0,AND(DAY($A193)=MIN(DAY('Recurring Schedule'!$F$21),DAY(EOMONTH($A193,0))),MOD((YEAR($A193)-YEAR('Recurring Schedule'!$F$21))*12+MONTH($A193)-MONTH('Recurring Schedule'!$F$21),'Recurring Schedule'!$O$21)=0),IF('Recurring Schedule'!$E$21="Weekdays",WEEKDAY($A193,2)&lt;=5,$A193='Recurring Schedule'!$F$21))),16,""))))</f>
        <v/>
      </c>
      <c r="R193">
        <f>IF('Recurring Schedule'!$C$22="","",IF('Recurring Schedule'!$F$22="","",IF(OR($A193&lt;'Recurring Schedule'!$F$22,$A193&gt;'Recurring Schedule'!$P$22),"",IF(IF('Recurring Schedule'!$N$22&gt;0,MOD($A193-'Recurring Schedule'!$F$22,'Recurring Schedule'!$N$22)=0,IF('Recurring Schedule'!$O$22&gt;0,AND(DAY($A193)=MIN(DAY('Recurring Schedule'!$F$22),DAY(EOMONTH($A193,0))),MOD((YEAR($A193)-YEAR('Recurring Schedule'!$F$22))*12+MONTH($A193)-MONTH('Recurring Schedule'!$F$22),'Recurring Schedule'!$O$22)=0),IF('Recurring Schedule'!$E$22="Weekdays",WEEKDAY($A193,2)&lt;=5,$A193='Recurring Schedule'!$F$22))),17,""))))</f>
        <v/>
      </c>
      <c r="S193">
        <f>IF('Recurring Schedule'!$C$23="","",IF('Recurring Schedule'!$F$23="","",IF(OR($A193&lt;'Recurring Schedule'!$F$23,$A193&gt;'Recurring Schedule'!$P$23),"",IF(IF('Recurring Schedule'!$N$23&gt;0,MOD($A193-'Recurring Schedule'!$F$23,'Recurring Schedule'!$N$23)=0,IF('Recurring Schedule'!$O$23&gt;0,AND(DAY($A193)=MIN(DAY('Recurring Schedule'!$F$23),DAY(EOMONTH($A193,0))),MOD((YEAR($A193)-YEAR('Recurring Schedule'!$F$23))*12+MONTH($A193)-MONTH('Recurring Schedule'!$F$23),'Recurring Schedule'!$O$23)=0),IF('Recurring Schedule'!$E$23="Weekdays",WEEKDAY($A193,2)&lt;=5,$A193='Recurring Schedule'!$F$23))),18,""))))</f>
        <v/>
      </c>
      <c r="T193">
        <f>IF('Recurring Schedule'!$C$24="","",IF('Recurring Schedule'!$F$24="","",IF(OR($A193&lt;'Recurring Schedule'!$F$24,$A193&gt;'Recurring Schedule'!$P$24),"",IF(IF('Recurring Schedule'!$N$24&gt;0,MOD($A193-'Recurring Schedule'!$F$24,'Recurring Schedule'!$N$24)=0,IF('Recurring Schedule'!$O$24&gt;0,AND(DAY($A193)=MIN(DAY('Recurring Schedule'!$F$24),DAY(EOMONTH($A193,0))),MOD((YEAR($A193)-YEAR('Recurring Schedule'!$F$24))*12+MONTH($A193)-MONTH('Recurring Schedule'!$F$24),'Recurring Schedule'!$O$24)=0),IF('Recurring Schedule'!$E$24="Weekdays",WEEKDAY($A193,2)&lt;=5,$A193='Recurring Schedule'!$F$24))),19,""))))</f>
        <v/>
      </c>
      <c r="U193">
        <f>IF('Recurring Schedule'!$C$25="","",IF('Recurring Schedule'!$F$25="","",IF(OR($A193&lt;'Recurring Schedule'!$F$25,$A193&gt;'Recurring Schedule'!$P$25),"",IF(IF('Recurring Schedule'!$N$25&gt;0,MOD($A193-'Recurring Schedule'!$F$25,'Recurring Schedule'!$N$25)=0,IF('Recurring Schedule'!$O$25&gt;0,AND(DAY($A193)=MIN(DAY('Recurring Schedule'!$F$25),DAY(EOMONTH($A193,0))),MOD((YEAR($A193)-YEAR('Recurring Schedule'!$F$25))*12+MONTH($A193)-MONTH('Recurring Schedule'!$F$25),'Recurring Schedule'!$O$25)=0),IF('Recurring Schedule'!$E$25="Weekdays",WEEKDAY($A193,2)&lt;=5,$A193='Recurring Schedule'!$F$25))),20,""))))</f>
        <v/>
      </c>
      <c r="V193">
        <f>IF('Recurring Schedule'!$C$26="","",IF('Recurring Schedule'!$F$26="","",IF(OR($A193&lt;'Recurring Schedule'!$F$26,$A193&gt;'Recurring Schedule'!$P$26),"",IF(IF('Recurring Schedule'!$N$26&gt;0,MOD($A193-'Recurring Schedule'!$F$26,'Recurring Schedule'!$N$26)=0,IF('Recurring Schedule'!$O$26&gt;0,AND(DAY($A193)=MIN(DAY('Recurring Schedule'!$F$26),DAY(EOMONTH($A193,0))),MOD((YEAR($A193)-YEAR('Recurring Schedule'!$F$26))*12+MONTH($A193)-MONTH('Recurring Schedule'!$F$26),'Recurring Schedule'!$O$26)=0),IF('Recurring Schedule'!$E$26="Weekdays",WEEKDAY($A193,2)&lt;=5,$A193='Recurring Schedule'!$F$26))),21,""))))</f>
        <v/>
      </c>
      <c r="W193">
        <f>IF('Recurring Schedule'!$C$27="","",IF('Recurring Schedule'!$F$27="","",IF(OR($A193&lt;'Recurring Schedule'!$F$27,$A193&gt;'Recurring Schedule'!$P$27),"",IF(IF('Recurring Schedule'!$N$27&gt;0,MOD($A193-'Recurring Schedule'!$F$27,'Recurring Schedule'!$N$27)=0,IF('Recurring Schedule'!$O$27&gt;0,AND(DAY($A193)=MIN(DAY('Recurring Schedule'!$F$27),DAY(EOMONTH($A193,0))),MOD((YEAR($A193)-YEAR('Recurring Schedule'!$F$27))*12+MONTH($A193)-MONTH('Recurring Schedule'!$F$27),'Recurring Schedule'!$O$27)=0),IF('Recurring Schedule'!$E$27="Weekdays",WEEKDAY($A193,2)&lt;=5,$A193='Recurring Schedule'!$F$27))),22,""))))</f>
        <v/>
      </c>
      <c r="X193">
        <f>IF('Recurring Schedule'!$C$28="","",IF('Recurring Schedule'!$F$28="","",IF(OR($A193&lt;'Recurring Schedule'!$F$28,$A193&gt;'Recurring Schedule'!$P$28),"",IF(IF('Recurring Schedule'!$N$28&gt;0,MOD($A193-'Recurring Schedule'!$F$28,'Recurring Schedule'!$N$28)=0,IF('Recurring Schedule'!$O$28&gt;0,AND(DAY($A193)=MIN(DAY('Recurring Schedule'!$F$28),DAY(EOMONTH($A193,0))),MOD((YEAR($A193)-YEAR('Recurring Schedule'!$F$28))*12+MONTH($A193)-MONTH('Recurring Schedule'!$F$28),'Recurring Schedule'!$O$28)=0),IF('Recurring Schedule'!$E$28="Weekdays",WEEKDAY($A193,2)&lt;=5,$A193='Recurring Schedule'!$F$28))),23,""))))</f>
        <v/>
      </c>
      <c r="Y193">
        <f>IF('Recurring Schedule'!$C$29="","",IF('Recurring Schedule'!$F$29="","",IF(OR($A193&lt;'Recurring Schedule'!$F$29,$A193&gt;'Recurring Schedule'!$P$29),"",IF(IF('Recurring Schedule'!$N$29&gt;0,MOD($A193-'Recurring Schedule'!$F$29,'Recurring Schedule'!$N$29)=0,IF('Recurring Schedule'!$O$29&gt;0,AND(DAY($A193)=MIN(DAY('Recurring Schedule'!$F$29),DAY(EOMONTH($A193,0))),MOD((YEAR($A193)-YEAR('Recurring Schedule'!$F$29))*12+MONTH($A193)-MONTH('Recurring Schedule'!$F$29),'Recurring Schedule'!$O$29)=0),IF('Recurring Schedule'!$E$29="Weekdays",WEEKDAY($A193,2)&lt;=5,$A193='Recurring Schedule'!$F$29))),24,""))))</f>
        <v/>
      </c>
      <c r="Z193">
        <f>IF('Recurring Schedule'!$C$30="","",IF('Recurring Schedule'!$F$30="","",IF(OR($A193&lt;'Recurring Schedule'!$F$30,$A193&gt;'Recurring Schedule'!$P$30),"",IF(IF('Recurring Schedule'!$N$30&gt;0,MOD($A193-'Recurring Schedule'!$F$30,'Recurring Schedule'!$N$30)=0,IF('Recurring Schedule'!$O$30&gt;0,AND(DAY($A193)=MIN(DAY('Recurring Schedule'!$F$30),DAY(EOMONTH($A193,0))),MOD((YEAR($A193)-YEAR('Recurring Schedule'!$F$30))*12+MONTH($A193)-MONTH('Recurring Schedule'!$F$30),'Recurring Schedule'!$O$30)=0),IF('Recurring Schedule'!$E$30="Weekdays",WEEKDAY($A193,2)&lt;=5,$A193='Recurring Schedule'!$F$30))),25,""))))</f>
        <v/>
      </c>
      <c r="AA193">
        <f>IF('Recurring Schedule'!$C$31="","",IF('Recurring Schedule'!$F$31="","",IF(OR($A193&lt;'Recurring Schedule'!$F$31,$A193&gt;'Recurring Schedule'!$P$31),"",IF(IF('Recurring Schedule'!$N$31&gt;0,MOD($A193-'Recurring Schedule'!$F$31,'Recurring Schedule'!$N$31)=0,IF('Recurring Schedule'!$O$31&gt;0,AND(DAY($A193)=MIN(DAY('Recurring Schedule'!$F$31),DAY(EOMONTH($A193,0))),MOD((YEAR($A193)-YEAR('Recurring Schedule'!$F$31))*12+MONTH($A193)-MONTH('Recurring Schedule'!$F$31),'Recurring Schedule'!$O$31)=0),IF('Recurring Schedule'!$E$31="Weekdays",WEEKDAY($A193,2)&lt;=5,$A193='Recurring Schedule'!$F$31))),26,""))))</f>
        <v/>
      </c>
      <c r="AB193">
        <f>IF('Recurring Schedule'!$C$32="","",IF('Recurring Schedule'!$F$32="","",IF(OR($A193&lt;'Recurring Schedule'!$F$32,$A193&gt;'Recurring Schedule'!$P$32),"",IF(IF('Recurring Schedule'!$N$32&gt;0,MOD($A193-'Recurring Schedule'!$F$32,'Recurring Schedule'!$N$32)=0,IF('Recurring Schedule'!$O$32&gt;0,AND(DAY($A193)=MIN(DAY('Recurring Schedule'!$F$32),DAY(EOMONTH($A193,0))),MOD((YEAR($A193)-YEAR('Recurring Schedule'!$F$32))*12+MONTH($A193)-MONTH('Recurring Schedule'!$F$32),'Recurring Schedule'!$O$32)=0),IF('Recurring Schedule'!$E$32="Weekdays",WEEKDAY($A193,2)&lt;=5,$A193='Recurring Schedule'!$F$32))),27,""))))</f>
        <v/>
      </c>
      <c r="AC193">
        <f>IF('Recurring Schedule'!$C$33="","",IF('Recurring Schedule'!$F$33="","",IF(OR($A193&lt;'Recurring Schedule'!$F$33,$A193&gt;'Recurring Schedule'!$P$33),"",IF(IF('Recurring Schedule'!$N$33&gt;0,MOD($A193-'Recurring Schedule'!$F$33,'Recurring Schedule'!$N$33)=0,IF('Recurring Schedule'!$O$33&gt;0,AND(DAY($A193)=MIN(DAY('Recurring Schedule'!$F$33),DAY(EOMONTH($A193,0))),MOD((YEAR($A193)-YEAR('Recurring Schedule'!$F$33))*12+MONTH($A193)-MONTH('Recurring Schedule'!$F$33),'Recurring Schedule'!$O$33)=0),IF('Recurring Schedule'!$E$33="Weekdays",WEEKDAY($A193,2)&lt;=5,$A193='Recurring Schedule'!$F$33))),28,""))))</f>
        <v/>
      </c>
      <c r="AD193">
        <f>IF('Recurring Schedule'!$C$34="","",IF('Recurring Schedule'!$F$34="","",IF(OR($A193&lt;'Recurring Schedule'!$F$34,$A193&gt;'Recurring Schedule'!$P$34),"",IF(IF('Recurring Schedule'!$N$34&gt;0,MOD($A193-'Recurring Schedule'!$F$34,'Recurring Schedule'!$N$34)=0,IF('Recurring Schedule'!$O$34&gt;0,AND(DAY($A193)=MIN(DAY('Recurring Schedule'!$F$34),DAY(EOMONTH($A193,0))),MOD((YEAR($A193)-YEAR('Recurring Schedule'!$F$34))*12+MONTH($A193)-MONTH('Recurring Schedule'!$F$34),'Recurring Schedule'!$O$34)=0),IF('Recurring Schedule'!$E$34="Weekdays",WEEKDAY($A193,2)&lt;=5,$A193='Recurring Schedule'!$F$34))),29,""))))</f>
        <v/>
      </c>
      <c r="AE193">
        <f>IF('Recurring Schedule'!$C$35="","",IF('Recurring Schedule'!$F$35="","",IF(OR($A193&lt;'Recurring Schedule'!$F$35,$A193&gt;'Recurring Schedule'!$P$35),"",IF(IF('Recurring Schedule'!$N$35&gt;0,MOD($A193-'Recurring Schedule'!$F$35,'Recurring Schedule'!$N$35)=0,IF('Recurring Schedule'!$O$35&gt;0,AND(DAY($A193)=MIN(DAY('Recurring Schedule'!$F$35),DAY(EOMONTH($A193,0))),MOD((YEAR($A193)-YEAR('Recurring Schedule'!$F$35))*12+MONTH($A193)-MONTH('Recurring Schedule'!$F$35),'Recurring Schedule'!$O$35)=0),IF('Recurring Schedule'!$E$35="Weekdays",WEEKDAY($A193,2)&lt;=5,$A193='Recurring Schedule'!$F$35))),30,""))))</f>
        <v/>
      </c>
      <c r="AF193">
        <f>IF('Recurring Schedule'!$C$36="","",IF('Recurring Schedule'!$F$36="","",IF(OR($A193&lt;'Recurring Schedule'!$F$36,$A193&gt;'Recurring Schedule'!$P$36),"",IF(IF('Recurring Schedule'!$N$36&gt;0,MOD($A193-'Recurring Schedule'!$F$36,'Recurring Schedule'!$N$36)=0,IF('Recurring Schedule'!$O$36&gt;0,AND(DAY($A193)=MIN(DAY('Recurring Schedule'!$F$36),DAY(EOMONTH($A193,0))),MOD((YEAR($A193)-YEAR('Recurring Schedule'!$F$36))*12+MONTH($A193)-MONTH('Recurring Schedule'!$F$36),'Recurring Schedule'!$O$36)=0),IF('Recurring Schedule'!$E$36="Weekdays",WEEKDAY($A193,2)&lt;=5,$A193='Recurring Schedule'!$F$36))),31,""))))</f>
        <v/>
      </c>
      <c r="AG193">
        <f>IF('Recurring Schedule'!$C$37="","",IF('Recurring Schedule'!$F$37="","",IF(OR($A193&lt;'Recurring Schedule'!$F$37,$A193&gt;'Recurring Schedule'!$P$37),"",IF(IF('Recurring Schedule'!$N$37&gt;0,MOD($A193-'Recurring Schedule'!$F$37,'Recurring Schedule'!$N$37)=0,IF('Recurring Schedule'!$O$37&gt;0,AND(DAY($A193)=MIN(DAY('Recurring Schedule'!$F$37),DAY(EOMONTH($A193,0))),MOD((YEAR($A193)-YEAR('Recurring Schedule'!$F$37))*12+MONTH($A193)-MONTH('Recurring Schedule'!$F$37),'Recurring Schedule'!$O$37)=0),IF('Recurring Schedule'!$E$37="Weekdays",WEEKDAY($A193,2)&lt;=5,$A193='Recurring Schedule'!$F$37))),32,""))))</f>
        <v/>
      </c>
      <c r="AH193">
        <f>IF('Recurring Schedule'!$C$38="","",IF('Recurring Schedule'!$F$38="","",IF(OR($A193&lt;'Recurring Schedule'!$F$38,$A193&gt;'Recurring Schedule'!$P$38),"",IF(IF('Recurring Schedule'!$N$38&gt;0,MOD($A193-'Recurring Schedule'!$F$38,'Recurring Schedule'!$N$38)=0,IF('Recurring Schedule'!$O$38&gt;0,AND(DAY($A193)=MIN(DAY('Recurring Schedule'!$F$38),DAY(EOMONTH($A193,0))),MOD((YEAR($A193)-YEAR('Recurring Schedule'!$F$38))*12+MONTH($A193)-MONTH('Recurring Schedule'!$F$38),'Recurring Schedule'!$O$38)=0),IF('Recurring Schedule'!$E$38="Weekdays",WEEKDAY($A193,2)&lt;=5,$A193='Recurring Schedule'!$F$38))),33,""))))</f>
        <v/>
      </c>
      <c r="AI193">
        <f>IF('Recurring Schedule'!$C$39="","",IF('Recurring Schedule'!$F$39="","",IF(OR($A193&lt;'Recurring Schedule'!$F$39,$A193&gt;'Recurring Schedule'!$P$39),"",IF(IF('Recurring Schedule'!$N$39&gt;0,MOD($A193-'Recurring Schedule'!$F$39,'Recurring Schedule'!$N$39)=0,IF('Recurring Schedule'!$O$39&gt;0,AND(DAY($A193)=MIN(DAY('Recurring Schedule'!$F$39),DAY(EOMONTH($A193,0))),MOD((YEAR($A193)-YEAR('Recurring Schedule'!$F$39))*12+MONTH($A193)-MONTH('Recurring Schedule'!$F$39),'Recurring Schedule'!$O$39)=0),IF('Recurring Schedule'!$E$39="Weekdays",WEEKDAY($A193,2)&lt;=5,$A193='Recurring Schedule'!$F$39))),34,""))))</f>
        <v/>
      </c>
      <c r="AJ193">
        <f>IF('Recurring Schedule'!$C$40="","",IF('Recurring Schedule'!$F$40="","",IF(OR($A193&lt;'Recurring Schedule'!$F$40,$A193&gt;'Recurring Schedule'!$P$40),"",IF(IF('Recurring Schedule'!$N$40&gt;0,MOD($A193-'Recurring Schedule'!$F$40,'Recurring Schedule'!$N$40)=0,IF('Recurring Schedule'!$O$40&gt;0,AND(DAY($A193)=MIN(DAY('Recurring Schedule'!$F$40),DAY(EOMONTH($A193,0))),MOD((YEAR($A193)-YEAR('Recurring Schedule'!$F$40))*12+MONTH($A193)-MONTH('Recurring Schedule'!$F$40),'Recurring Schedule'!$O$40)=0),IF('Recurring Schedule'!$E$40="Weekdays",WEEKDAY($A193,2)&lt;=5,$A193='Recurring Schedule'!$F$40))),35,""))))</f>
        <v/>
      </c>
      <c r="AK193">
        <f>IF('Recurring Schedule'!$C$41="","",IF('Recurring Schedule'!$F$41="","",IF(OR($A193&lt;'Recurring Schedule'!$F$41,$A193&gt;'Recurring Schedule'!$P$41),"",IF(IF('Recurring Schedule'!$N$41&gt;0,MOD($A193-'Recurring Schedule'!$F$41,'Recurring Schedule'!$N$41)=0,IF('Recurring Schedule'!$O$41&gt;0,AND(DAY($A193)=MIN(DAY('Recurring Schedule'!$F$41),DAY(EOMONTH($A193,0))),MOD((YEAR($A193)-YEAR('Recurring Schedule'!$F$41))*12+MONTH($A193)-MONTH('Recurring Schedule'!$F$41),'Recurring Schedule'!$O$41)=0),IF('Recurring Schedule'!$E$41="Weekdays",WEEKDAY($A193,2)&lt;=5,$A193='Recurring Schedule'!$F$41))),36,""))))</f>
        <v/>
      </c>
      <c r="AL193">
        <f>IF('Recurring Schedule'!$C$42="","",IF('Recurring Schedule'!$F$42="","",IF(OR($A193&lt;'Recurring Schedule'!$F$42,$A193&gt;'Recurring Schedule'!$P$42),"",IF(IF('Recurring Schedule'!$N$42&gt;0,MOD($A193-'Recurring Schedule'!$F$42,'Recurring Schedule'!$N$42)=0,IF('Recurring Schedule'!$O$42&gt;0,AND(DAY($A193)=MIN(DAY('Recurring Schedule'!$F$42),DAY(EOMONTH($A193,0))),MOD((YEAR($A193)-YEAR('Recurring Schedule'!$F$42))*12+MONTH($A193)-MONTH('Recurring Schedule'!$F$42),'Recurring Schedule'!$O$42)=0),IF('Recurring Schedule'!$E$42="Weekdays",WEEKDAY($A193,2)&lt;=5,$A193='Recurring Schedule'!$F$42))),37,""))))</f>
        <v/>
      </c>
      <c r="AM193">
        <f>IF('Recurring Schedule'!$C$43="","",IF('Recurring Schedule'!$F$43="","",IF(OR($A193&lt;'Recurring Schedule'!$F$43,$A193&gt;'Recurring Schedule'!$P$43),"",IF(IF('Recurring Schedule'!$N$43&gt;0,MOD($A193-'Recurring Schedule'!$F$43,'Recurring Schedule'!$N$43)=0,IF('Recurring Schedule'!$O$43&gt;0,AND(DAY($A193)=MIN(DAY('Recurring Schedule'!$F$43),DAY(EOMONTH($A193,0))),MOD((YEAR($A193)-YEAR('Recurring Schedule'!$F$43))*12+MONTH($A193)-MONTH('Recurring Schedule'!$F$43),'Recurring Schedule'!$O$43)=0),IF('Recurring Schedule'!$E$43="Weekdays",WEEKDAY($A193,2)&lt;=5,$A193='Recurring Schedule'!$F$43))),38,""))))</f>
        <v/>
      </c>
      <c r="AN193">
        <f>IF('Recurring Schedule'!$C$44="","",IF('Recurring Schedule'!$F$44="","",IF(OR($A193&lt;'Recurring Schedule'!$F$44,$A193&gt;'Recurring Schedule'!$P$44),"",IF(IF('Recurring Schedule'!$N$44&gt;0,MOD($A193-'Recurring Schedule'!$F$44,'Recurring Schedule'!$N$44)=0,IF('Recurring Schedule'!$O$44&gt;0,AND(DAY($A193)=MIN(DAY('Recurring Schedule'!$F$44),DAY(EOMONTH($A193,0))),MOD((YEAR($A193)-YEAR('Recurring Schedule'!$F$44))*12+MONTH($A193)-MONTH('Recurring Schedule'!$F$44),'Recurring Schedule'!$O$44)=0),IF('Recurring Schedule'!$E$44="Weekdays",WEEKDAY($A193,2)&lt;=5,$A193='Recurring Schedule'!$F$44))),39,""))))</f>
        <v/>
      </c>
      <c r="AO193">
        <f>IF('Recurring Schedule'!$C$45="","",IF('Recurring Schedule'!$F$45="","",IF(OR($A193&lt;'Recurring Schedule'!$F$45,$A193&gt;'Recurring Schedule'!$P$45),"",IF(IF('Recurring Schedule'!$N$45&gt;0,MOD($A193-'Recurring Schedule'!$F$45,'Recurring Schedule'!$N$45)=0,IF('Recurring Schedule'!$O$45&gt;0,AND(DAY($A193)=MIN(DAY('Recurring Schedule'!$F$45),DAY(EOMONTH($A193,0))),MOD((YEAR($A193)-YEAR('Recurring Schedule'!$F$45))*12+MONTH($A193)-MONTH('Recurring Schedule'!$F$45),'Recurring Schedule'!$O$45)=0),IF('Recurring Schedule'!$E$45="Weekdays",WEEKDAY($A193,2)&lt;=5,$A193='Recurring Schedule'!$F$45))),40,""))))</f>
        <v/>
      </c>
      <c r="AP193">
        <f>COUNT(B193:AO193)</f>
        <v/>
      </c>
      <c r="AQ193">
        <f>AQ192+AP192</f>
        <v/>
      </c>
      <c r="AS193" t="inlineStr">
        <is>
          <t>R</t>
        </is>
      </c>
      <c r="AT193" t="n">
        <v>197</v>
      </c>
      <c r="AU193">
        <f>'Recurring Log'!C197&amp;""</f>
        <v/>
      </c>
      <c r="AV193">
        <f>'Recurring Log'!D197&amp;""</f>
        <v/>
      </c>
      <c r="AW193">
        <f>IF('Recurring Log'!E197="","",'Recurring Log'!E197)</f>
        <v/>
      </c>
      <c r="AX193">
        <f>IF('Recurring Log'!G197="","",'Recurring Log'!G197)</f>
        <v/>
      </c>
      <c r="AY193">
        <f>IF('Recurring Log'!H197="","",'Recurring Log'!H197)</f>
        <v/>
      </c>
      <c r="AZ193">
        <f>IF(AU193="","",IF('Recurring Log'!J197="","Not Started",'Recurring Log'!J197))</f>
        <v/>
      </c>
      <c r="BA193">
        <f>'Recurring Log'!L197&amp;""</f>
        <v/>
      </c>
      <c r="BB193">
        <f>'Recurring Log'!M197&amp;""</f>
        <v/>
      </c>
      <c r="BC193">
        <f>'Recurring Log'!N197&amp;""</f>
        <v/>
      </c>
      <c r="BD193">
        <f>'Recurring Log'!O197&amp;""</f>
        <v/>
      </c>
      <c r="BE193">
        <f>IF('Recurring Log'!K197="","",'Recurring Log'!K197)</f>
        <v/>
      </c>
      <c r="BF193">
        <f>IFERROR(MATCH(BA193,Setup!$L$6:$L$9,0),5)</f>
        <v/>
      </c>
      <c r="BG193">
        <f>IF(OR(AZ193="Done",AZ193="Cancelled"),1,0)</f>
        <v/>
      </c>
      <c r="BH193">
        <f>IF(AND(AU193&lt;&gt;"",ISNUMBER(AW193)),1,0)</f>
        <v/>
      </c>
      <c r="BI193">
        <f>IF(BH193=0,0,IF(AND(AW193&gt;='Tasks Filter'!$F$3,AW193&lt;='Tasks Filter'!$F$4,OR('Tasks Filter'!$I$3="",ISNUMBER(SEARCH('Tasks Filter'!$I$3,AU193))),OR('Tasks Filter'!$I$4="",BF193=IFERROR(MATCH('Tasks Filter'!$I$4,Setup!$L$6:$L$9,0),0)),OR('Tasks Filter'!$I$5="Both",AND('Tasks Filter'!$I$5="Yes",BB193="✓"),AND('Tasks Filter'!$I$5="No",BB193&lt;&gt;"✓")),OR('Tasks Filter'!$L$3="",AV193='Tasks Filter'!$L$3),OR('Tasks Filter'!$L$4="",AZ193='Tasks Filter'!$L$4),OR('Tasks Filter'!$L$5="",BC193='Tasks Filter'!$L$5),OR('Tasks Filter'!$O$3="",BD193='Tasks Filter'!$O$3),OR('Tasks Filter'!$O$4="Yes",BG193=0)),1,0))</f>
        <v/>
      </c>
      <c r="BJ193">
        <f>IF(BH193=0,"",IF('Tasks Filter'!$F$6="Descending",-1,1)*CHOOSE(MATCH('Tasks Filter'!$F$5,Lists!$G$2:$G$6,0),AW193,BF193,IFERROR(MATCH(AV193,Setup!$F$6:$F$15,0),99),IFERROR(MATCH(BC193,Setup!$H$6:$H$15,0),99),IFERROR(MATCH(AZ193,Setup!$J$6:$J$11,0),99))*1E+9+(AW193-40000)*10000+192)</f>
        <v/>
      </c>
      <c r="BK193">
        <f>IF(BI193=1,BJ193,"")</f>
        <v/>
      </c>
      <c r="BL193">
        <f>IF(AND(BH193=1,BG193=0,N(AW193)&lt;Setup!$D$7),(AW193-40000)*10000+192,"")</f>
        <v/>
      </c>
      <c r="BM193">
        <f>IF(AND(BH193=1,AZ193&lt;&gt;"Cancelled",N(AW193)&gt;=Dashboard!$AB$3,N(AW193)&lt;=Dashboard!$AB$3+6),(AW193-40000)*100000+BF193*10000+192,"")</f>
        <v/>
      </c>
      <c r="BN193">
        <f>IF(AND(BH193=1,AZ193&lt;&gt;"Cancelled"),BF193*10000+192,"")</f>
        <v/>
      </c>
    </row>
    <row r="194">
      <c r="A194">
        <f>Setup!$D$5+192</f>
        <v/>
      </c>
      <c r="B194">
        <f>IF('Recurring Schedule'!$C$6="","",IF('Recurring Schedule'!$F$6="","",IF(OR($A194&lt;'Recurring Schedule'!$F$6,$A194&gt;'Recurring Schedule'!$P$6),"",IF(IF('Recurring Schedule'!$N$6&gt;0,MOD($A194-'Recurring Schedule'!$F$6,'Recurring Schedule'!$N$6)=0,IF('Recurring Schedule'!$O$6&gt;0,AND(DAY($A194)=MIN(DAY('Recurring Schedule'!$F$6),DAY(EOMONTH($A194,0))),MOD((YEAR($A194)-YEAR('Recurring Schedule'!$F$6))*12+MONTH($A194)-MONTH('Recurring Schedule'!$F$6),'Recurring Schedule'!$O$6)=0),IF('Recurring Schedule'!$E$6="Weekdays",WEEKDAY($A194,2)&lt;=5,$A194='Recurring Schedule'!$F$6))),1,""))))</f>
        <v/>
      </c>
      <c r="C194">
        <f>IF('Recurring Schedule'!$C$7="","",IF('Recurring Schedule'!$F$7="","",IF(OR($A194&lt;'Recurring Schedule'!$F$7,$A194&gt;'Recurring Schedule'!$P$7),"",IF(IF('Recurring Schedule'!$N$7&gt;0,MOD($A194-'Recurring Schedule'!$F$7,'Recurring Schedule'!$N$7)=0,IF('Recurring Schedule'!$O$7&gt;0,AND(DAY($A194)=MIN(DAY('Recurring Schedule'!$F$7),DAY(EOMONTH($A194,0))),MOD((YEAR($A194)-YEAR('Recurring Schedule'!$F$7))*12+MONTH($A194)-MONTH('Recurring Schedule'!$F$7),'Recurring Schedule'!$O$7)=0),IF('Recurring Schedule'!$E$7="Weekdays",WEEKDAY($A194,2)&lt;=5,$A194='Recurring Schedule'!$F$7))),2,""))))</f>
        <v/>
      </c>
      <c r="D194">
        <f>IF('Recurring Schedule'!$C$8="","",IF('Recurring Schedule'!$F$8="","",IF(OR($A194&lt;'Recurring Schedule'!$F$8,$A194&gt;'Recurring Schedule'!$P$8),"",IF(IF('Recurring Schedule'!$N$8&gt;0,MOD($A194-'Recurring Schedule'!$F$8,'Recurring Schedule'!$N$8)=0,IF('Recurring Schedule'!$O$8&gt;0,AND(DAY($A194)=MIN(DAY('Recurring Schedule'!$F$8),DAY(EOMONTH($A194,0))),MOD((YEAR($A194)-YEAR('Recurring Schedule'!$F$8))*12+MONTH($A194)-MONTH('Recurring Schedule'!$F$8),'Recurring Schedule'!$O$8)=0),IF('Recurring Schedule'!$E$8="Weekdays",WEEKDAY($A194,2)&lt;=5,$A194='Recurring Schedule'!$F$8))),3,""))))</f>
        <v/>
      </c>
      <c r="E194">
        <f>IF('Recurring Schedule'!$C$9="","",IF('Recurring Schedule'!$F$9="","",IF(OR($A194&lt;'Recurring Schedule'!$F$9,$A194&gt;'Recurring Schedule'!$P$9),"",IF(IF('Recurring Schedule'!$N$9&gt;0,MOD($A194-'Recurring Schedule'!$F$9,'Recurring Schedule'!$N$9)=0,IF('Recurring Schedule'!$O$9&gt;0,AND(DAY($A194)=MIN(DAY('Recurring Schedule'!$F$9),DAY(EOMONTH($A194,0))),MOD((YEAR($A194)-YEAR('Recurring Schedule'!$F$9))*12+MONTH($A194)-MONTH('Recurring Schedule'!$F$9),'Recurring Schedule'!$O$9)=0),IF('Recurring Schedule'!$E$9="Weekdays",WEEKDAY($A194,2)&lt;=5,$A194='Recurring Schedule'!$F$9))),4,""))))</f>
        <v/>
      </c>
      <c r="F194">
        <f>IF('Recurring Schedule'!$C$10="","",IF('Recurring Schedule'!$F$10="","",IF(OR($A194&lt;'Recurring Schedule'!$F$10,$A194&gt;'Recurring Schedule'!$P$10),"",IF(IF('Recurring Schedule'!$N$10&gt;0,MOD($A194-'Recurring Schedule'!$F$10,'Recurring Schedule'!$N$10)=0,IF('Recurring Schedule'!$O$10&gt;0,AND(DAY($A194)=MIN(DAY('Recurring Schedule'!$F$10),DAY(EOMONTH($A194,0))),MOD((YEAR($A194)-YEAR('Recurring Schedule'!$F$10))*12+MONTH($A194)-MONTH('Recurring Schedule'!$F$10),'Recurring Schedule'!$O$10)=0),IF('Recurring Schedule'!$E$10="Weekdays",WEEKDAY($A194,2)&lt;=5,$A194='Recurring Schedule'!$F$10))),5,""))))</f>
        <v/>
      </c>
      <c r="G194">
        <f>IF('Recurring Schedule'!$C$11="","",IF('Recurring Schedule'!$F$11="","",IF(OR($A194&lt;'Recurring Schedule'!$F$11,$A194&gt;'Recurring Schedule'!$P$11),"",IF(IF('Recurring Schedule'!$N$11&gt;0,MOD($A194-'Recurring Schedule'!$F$11,'Recurring Schedule'!$N$11)=0,IF('Recurring Schedule'!$O$11&gt;0,AND(DAY($A194)=MIN(DAY('Recurring Schedule'!$F$11),DAY(EOMONTH($A194,0))),MOD((YEAR($A194)-YEAR('Recurring Schedule'!$F$11))*12+MONTH($A194)-MONTH('Recurring Schedule'!$F$11),'Recurring Schedule'!$O$11)=0),IF('Recurring Schedule'!$E$11="Weekdays",WEEKDAY($A194,2)&lt;=5,$A194='Recurring Schedule'!$F$11))),6,""))))</f>
        <v/>
      </c>
      <c r="H194">
        <f>IF('Recurring Schedule'!$C$12="","",IF('Recurring Schedule'!$F$12="","",IF(OR($A194&lt;'Recurring Schedule'!$F$12,$A194&gt;'Recurring Schedule'!$P$12),"",IF(IF('Recurring Schedule'!$N$12&gt;0,MOD($A194-'Recurring Schedule'!$F$12,'Recurring Schedule'!$N$12)=0,IF('Recurring Schedule'!$O$12&gt;0,AND(DAY($A194)=MIN(DAY('Recurring Schedule'!$F$12),DAY(EOMONTH($A194,0))),MOD((YEAR($A194)-YEAR('Recurring Schedule'!$F$12))*12+MONTH($A194)-MONTH('Recurring Schedule'!$F$12),'Recurring Schedule'!$O$12)=0),IF('Recurring Schedule'!$E$12="Weekdays",WEEKDAY($A194,2)&lt;=5,$A194='Recurring Schedule'!$F$12))),7,""))))</f>
        <v/>
      </c>
      <c r="I194">
        <f>IF('Recurring Schedule'!$C$13="","",IF('Recurring Schedule'!$F$13="","",IF(OR($A194&lt;'Recurring Schedule'!$F$13,$A194&gt;'Recurring Schedule'!$P$13),"",IF(IF('Recurring Schedule'!$N$13&gt;0,MOD($A194-'Recurring Schedule'!$F$13,'Recurring Schedule'!$N$13)=0,IF('Recurring Schedule'!$O$13&gt;0,AND(DAY($A194)=MIN(DAY('Recurring Schedule'!$F$13),DAY(EOMONTH($A194,0))),MOD((YEAR($A194)-YEAR('Recurring Schedule'!$F$13))*12+MONTH($A194)-MONTH('Recurring Schedule'!$F$13),'Recurring Schedule'!$O$13)=0),IF('Recurring Schedule'!$E$13="Weekdays",WEEKDAY($A194,2)&lt;=5,$A194='Recurring Schedule'!$F$13))),8,""))))</f>
        <v/>
      </c>
      <c r="J194">
        <f>IF('Recurring Schedule'!$C$14="","",IF('Recurring Schedule'!$F$14="","",IF(OR($A194&lt;'Recurring Schedule'!$F$14,$A194&gt;'Recurring Schedule'!$P$14),"",IF(IF('Recurring Schedule'!$N$14&gt;0,MOD($A194-'Recurring Schedule'!$F$14,'Recurring Schedule'!$N$14)=0,IF('Recurring Schedule'!$O$14&gt;0,AND(DAY($A194)=MIN(DAY('Recurring Schedule'!$F$14),DAY(EOMONTH($A194,0))),MOD((YEAR($A194)-YEAR('Recurring Schedule'!$F$14))*12+MONTH($A194)-MONTH('Recurring Schedule'!$F$14),'Recurring Schedule'!$O$14)=0),IF('Recurring Schedule'!$E$14="Weekdays",WEEKDAY($A194,2)&lt;=5,$A194='Recurring Schedule'!$F$14))),9,""))))</f>
        <v/>
      </c>
      <c r="K194">
        <f>IF('Recurring Schedule'!$C$15="","",IF('Recurring Schedule'!$F$15="","",IF(OR($A194&lt;'Recurring Schedule'!$F$15,$A194&gt;'Recurring Schedule'!$P$15),"",IF(IF('Recurring Schedule'!$N$15&gt;0,MOD($A194-'Recurring Schedule'!$F$15,'Recurring Schedule'!$N$15)=0,IF('Recurring Schedule'!$O$15&gt;0,AND(DAY($A194)=MIN(DAY('Recurring Schedule'!$F$15),DAY(EOMONTH($A194,0))),MOD((YEAR($A194)-YEAR('Recurring Schedule'!$F$15))*12+MONTH($A194)-MONTH('Recurring Schedule'!$F$15),'Recurring Schedule'!$O$15)=0),IF('Recurring Schedule'!$E$15="Weekdays",WEEKDAY($A194,2)&lt;=5,$A194='Recurring Schedule'!$F$15))),10,""))))</f>
        <v/>
      </c>
      <c r="L194">
        <f>IF('Recurring Schedule'!$C$16="","",IF('Recurring Schedule'!$F$16="","",IF(OR($A194&lt;'Recurring Schedule'!$F$16,$A194&gt;'Recurring Schedule'!$P$16),"",IF(IF('Recurring Schedule'!$N$16&gt;0,MOD($A194-'Recurring Schedule'!$F$16,'Recurring Schedule'!$N$16)=0,IF('Recurring Schedule'!$O$16&gt;0,AND(DAY($A194)=MIN(DAY('Recurring Schedule'!$F$16),DAY(EOMONTH($A194,0))),MOD((YEAR($A194)-YEAR('Recurring Schedule'!$F$16))*12+MONTH($A194)-MONTH('Recurring Schedule'!$F$16),'Recurring Schedule'!$O$16)=0),IF('Recurring Schedule'!$E$16="Weekdays",WEEKDAY($A194,2)&lt;=5,$A194='Recurring Schedule'!$F$16))),11,""))))</f>
        <v/>
      </c>
      <c r="M194">
        <f>IF('Recurring Schedule'!$C$17="","",IF('Recurring Schedule'!$F$17="","",IF(OR($A194&lt;'Recurring Schedule'!$F$17,$A194&gt;'Recurring Schedule'!$P$17),"",IF(IF('Recurring Schedule'!$N$17&gt;0,MOD($A194-'Recurring Schedule'!$F$17,'Recurring Schedule'!$N$17)=0,IF('Recurring Schedule'!$O$17&gt;0,AND(DAY($A194)=MIN(DAY('Recurring Schedule'!$F$17),DAY(EOMONTH($A194,0))),MOD((YEAR($A194)-YEAR('Recurring Schedule'!$F$17))*12+MONTH($A194)-MONTH('Recurring Schedule'!$F$17),'Recurring Schedule'!$O$17)=0),IF('Recurring Schedule'!$E$17="Weekdays",WEEKDAY($A194,2)&lt;=5,$A194='Recurring Schedule'!$F$17))),12,""))))</f>
        <v/>
      </c>
      <c r="N194">
        <f>IF('Recurring Schedule'!$C$18="","",IF('Recurring Schedule'!$F$18="","",IF(OR($A194&lt;'Recurring Schedule'!$F$18,$A194&gt;'Recurring Schedule'!$P$18),"",IF(IF('Recurring Schedule'!$N$18&gt;0,MOD($A194-'Recurring Schedule'!$F$18,'Recurring Schedule'!$N$18)=0,IF('Recurring Schedule'!$O$18&gt;0,AND(DAY($A194)=MIN(DAY('Recurring Schedule'!$F$18),DAY(EOMONTH($A194,0))),MOD((YEAR($A194)-YEAR('Recurring Schedule'!$F$18))*12+MONTH($A194)-MONTH('Recurring Schedule'!$F$18),'Recurring Schedule'!$O$18)=0),IF('Recurring Schedule'!$E$18="Weekdays",WEEKDAY($A194,2)&lt;=5,$A194='Recurring Schedule'!$F$18))),13,""))))</f>
        <v/>
      </c>
      <c r="O194">
        <f>IF('Recurring Schedule'!$C$19="","",IF('Recurring Schedule'!$F$19="","",IF(OR($A194&lt;'Recurring Schedule'!$F$19,$A194&gt;'Recurring Schedule'!$P$19),"",IF(IF('Recurring Schedule'!$N$19&gt;0,MOD($A194-'Recurring Schedule'!$F$19,'Recurring Schedule'!$N$19)=0,IF('Recurring Schedule'!$O$19&gt;0,AND(DAY($A194)=MIN(DAY('Recurring Schedule'!$F$19),DAY(EOMONTH($A194,0))),MOD((YEAR($A194)-YEAR('Recurring Schedule'!$F$19))*12+MONTH($A194)-MONTH('Recurring Schedule'!$F$19),'Recurring Schedule'!$O$19)=0),IF('Recurring Schedule'!$E$19="Weekdays",WEEKDAY($A194,2)&lt;=5,$A194='Recurring Schedule'!$F$19))),14,""))))</f>
        <v/>
      </c>
      <c r="P194">
        <f>IF('Recurring Schedule'!$C$20="","",IF('Recurring Schedule'!$F$20="","",IF(OR($A194&lt;'Recurring Schedule'!$F$20,$A194&gt;'Recurring Schedule'!$P$20),"",IF(IF('Recurring Schedule'!$N$20&gt;0,MOD($A194-'Recurring Schedule'!$F$20,'Recurring Schedule'!$N$20)=0,IF('Recurring Schedule'!$O$20&gt;0,AND(DAY($A194)=MIN(DAY('Recurring Schedule'!$F$20),DAY(EOMONTH($A194,0))),MOD((YEAR($A194)-YEAR('Recurring Schedule'!$F$20))*12+MONTH($A194)-MONTH('Recurring Schedule'!$F$20),'Recurring Schedule'!$O$20)=0),IF('Recurring Schedule'!$E$20="Weekdays",WEEKDAY($A194,2)&lt;=5,$A194='Recurring Schedule'!$F$20))),15,""))))</f>
        <v/>
      </c>
      <c r="Q194">
        <f>IF('Recurring Schedule'!$C$21="","",IF('Recurring Schedule'!$F$21="","",IF(OR($A194&lt;'Recurring Schedule'!$F$21,$A194&gt;'Recurring Schedule'!$P$21),"",IF(IF('Recurring Schedule'!$N$21&gt;0,MOD($A194-'Recurring Schedule'!$F$21,'Recurring Schedule'!$N$21)=0,IF('Recurring Schedule'!$O$21&gt;0,AND(DAY($A194)=MIN(DAY('Recurring Schedule'!$F$21),DAY(EOMONTH($A194,0))),MOD((YEAR($A194)-YEAR('Recurring Schedule'!$F$21))*12+MONTH($A194)-MONTH('Recurring Schedule'!$F$21),'Recurring Schedule'!$O$21)=0),IF('Recurring Schedule'!$E$21="Weekdays",WEEKDAY($A194,2)&lt;=5,$A194='Recurring Schedule'!$F$21))),16,""))))</f>
        <v/>
      </c>
      <c r="R194">
        <f>IF('Recurring Schedule'!$C$22="","",IF('Recurring Schedule'!$F$22="","",IF(OR($A194&lt;'Recurring Schedule'!$F$22,$A194&gt;'Recurring Schedule'!$P$22),"",IF(IF('Recurring Schedule'!$N$22&gt;0,MOD($A194-'Recurring Schedule'!$F$22,'Recurring Schedule'!$N$22)=0,IF('Recurring Schedule'!$O$22&gt;0,AND(DAY($A194)=MIN(DAY('Recurring Schedule'!$F$22),DAY(EOMONTH($A194,0))),MOD((YEAR($A194)-YEAR('Recurring Schedule'!$F$22))*12+MONTH($A194)-MONTH('Recurring Schedule'!$F$22),'Recurring Schedule'!$O$22)=0),IF('Recurring Schedule'!$E$22="Weekdays",WEEKDAY($A194,2)&lt;=5,$A194='Recurring Schedule'!$F$22))),17,""))))</f>
        <v/>
      </c>
      <c r="S194">
        <f>IF('Recurring Schedule'!$C$23="","",IF('Recurring Schedule'!$F$23="","",IF(OR($A194&lt;'Recurring Schedule'!$F$23,$A194&gt;'Recurring Schedule'!$P$23),"",IF(IF('Recurring Schedule'!$N$23&gt;0,MOD($A194-'Recurring Schedule'!$F$23,'Recurring Schedule'!$N$23)=0,IF('Recurring Schedule'!$O$23&gt;0,AND(DAY($A194)=MIN(DAY('Recurring Schedule'!$F$23),DAY(EOMONTH($A194,0))),MOD((YEAR($A194)-YEAR('Recurring Schedule'!$F$23))*12+MONTH($A194)-MONTH('Recurring Schedule'!$F$23),'Recurring Schedule'!$O$23)=0),IF('Recurring Schedule'!$E$23="Weekdays",WEEKDAY($A194,2)&lt;=5,$A194='Recurring Schedule'!$F$23))),18,""))))</f>
        <v/>
      </c>
      <c r="T194">
        <f>IF('Recurring Schedule'!$C$24="","",IF('Recurring Schedule'!$F$24="","",IF(OR($A194&lt;'Recurring Schedule'!$F$24,$A194&gt;'Recurring Schedule'!$P$24),"",IF(IF('Recurring Schedule'!$N$24&gt;0,MOD($A194-'Recurring Schedule'!$F$24,'Recurring Schedule'!$N$24)=0,IF('Recurring Schedule'!$O$24&gt;0,AND(DAY($A194)=MIN(DAY('Recurring Schedule'!$F$24),DAY(EOMONTH($A194,0))),MOD((YEAR($A194)-YEAR('Recurring Schedule'!$F$24))*12+MONTH($A194)-MONTH('Recurring Schedule'!$F$24),'Recurring Schedule'!$O$24)=0),IF('Recurring Schedule'!$E$24="Weekdays",WEEKDAY($A194,2)&lt;=5,$A194='Recurring Schedule'!$F$24))),19,""))))</f>
        <v/>
      </c>
      <c r="U194">
        <f>IF('Recurring Schedule'!$C$25="","",IF('Recurring Schedule'!$F$25="","",IF(OR($A194&lt;'Recurring Schedule'!$F$25,$A194&gt;'Recurring Schedule'!$P$25),"",IF(IF('Recurring Schedule'!$N$25&gt;0,MOD($A194-'Recurring Schedule'!$F$25,'Recurring Schedule'!$N$25)=0,IF('Recurring Schedule'!$O$25&gt;0,AND(DAY($A194)=MIN(DAY('Recurring Schedule'!$F$25),DAY(EOMONTH($A194,0))),MOD((YEAR($A194)-YEAR('Recurring Schedule'!$F$25))*12+MONTH($A194)-MONTH('Recurring Schedule'!$F$25),'Recurring Schedule'!$O$25)=0),IF('Recurring Schedule'!$E$25="Weekdays",WEEKDAY($A194,2)&lt;=5,$A194='Recurring Schedule'!$F$25))),20,""))))</f>
        <v/>
      </c>
      <c r="V194">
        <f>IF('Recurring Schedule'!$C$26="","",IF('Recurring Schedule'!$F$26="","",IF(OR($A194&lt;'Recurring Schedule'!$F$26,$A194&gt;'Recurring Schedule'!$P$26),"",IF(IF('Recurring Schedule'!$N$26&gt;0,MOD($A194-'Recurring Schedule'!$F$26,'Recurring Schedule'!$N$26)=0,IF('Recurring Schedule'!$O$26&gt;0,AND(DAY($A194)=MIN(DAY('Recurring Schedule'!$F$26),DAY(EOMONTH($A194,0))),MOD((YEAR($A194)-YEAR('Recurring Schedule'!$F$26))*12+MONTH($A194)-MONTH('Recurring Schedule'!$F$26),'Recurring Schedule'!$O$26)=0),IF('Recurring Schedule'!$E$26="Weekdays",WEEKDAY($A194,2)&lt;=5,$A194='Recurring Schedule'!$F$26))),21,""))))</f>
        <v/>
      </c>
      <c r="W194">
        <f>IF('Recurring Schedule'!$C$27="","",IF('Recurring Schedule'!$F$27="","",IF(OR($A194&lt;'Recurring Schedule'!$F$27,$A194&gt;'Recurring Schedule'!$P$27),"",IF(IF('Recurring Schedule'!$N$27&gt;0,MOD($A194-'Recurring Schedule'!$F$27,'Recurring Schedule'!$N$27)=0,IF('Recurring Schedule'!$O$27&gt;0,AND(DAY($A194)=MIN(DAY('Recurring Schedule'!$F$27),DAY(EOMONTH($A194,0))),MOD((YEAR($A194)-YEAR('Recurring Schedule'!$F$27))*12+MONTH($A194)-MONTH('Recurring Schedule'!$F$27),'Recurring Schedule'!$O$27)=0),IF('Recurring Schedule'!$E$27="Weekdays",WEEKDAY($A194,2)&lt;=5,$A194='Recurring Schedule'!$F$27))),22,""))))</f>
        <v/>
      </c>
      <c r="X194">
        <f>IF('Recurring Schedule'!$C$28="","",IF('Recurring Schedule'!$F$28="","",IF(OR($A194&lt;'Recurring Schedule'!$F$28,$A194&gt;'Recurring Schedule'!$P$28),"",IF(IF('Recurring Schedule'!$N$28&gt;0,MOD($A194-'Recurring Schedule'!$F$28,'Recurring Schedule'!$N$28)=0,IF('Recurring Schedule'!$O$28&gt;0,AND(DAY($A194)=MIN(DAY('Recurring Schedule'!$F$28),DAY(EOMONTH($A194,0))),MOD((YEAR($A194)-YEAR('Recurring Schedule'!$F$28))*12+MONTH($A194)-MONTH('Recurring Schedule'!$F$28),'Recurring Schedule'!$O$28)=0),IF('Recurring Schedule'!$E$28="Weekdays",WEEKDAY($A194,2)&lt;=5,$A194='Recurring Schedule'!$F$28))),23,""))))</f>
        <v/>
      </c>
      <c r="Y194">
        <f>IF('Recurring Schedule'!$C$29="","",IF('Recurring Schedule'!$F$29="","",IF(OR($A194&lt;'Recurring Schedule'!$F$29,$A194&gt;'Recurring Schedule'!$P$29),"",IF(IF('Recurring Schedule'!$N$29&gt;0,MOD($A194-'Recurring Schedule'!$F$29,'Recurring Schedule'!$N$29)=0,IF('Recurring Schedule'!$O$29&gt;0,AND(DAY($A194)=MIN(DAY('Recurring Schedule'!$F$29),DAY(EOMONTH($A194,0))),MOD((YEAR($A194)-YEAR('Recurring Schedule'!$F$29))*12+MONTH($A194)-MONTH('Recurring Schedule'!$F$29),'Recurring Schedule'!$O$29)=0),IF('Recurring Schedule'!$E$29="Weekdays",WEEKDAY($A194,2)&lt;=5,$A194='Recurring Schedule'!$F$29))),24,""))))</f>
        <v/>
      </c>
      <c r="Z194">
        <f>IF('Recurring Schedule'!$C$30="","",IF('Recurring Schedule'!$F$30="","",IF(OR($A194&lt;'Recurring Schedule'!$F$30,$A194&gt;'Recurring Schedule'!$P$30),"",IF(IF('Recurring Schedule'!$N$30&gt;0,MOD($A194-'Recurring Schedule'!$F$30,'Recurring Schedule'!$N$30)=0,IF('Recurring Schedule'!$O$30&gt;0,AND(DAY($A194)=MIN(DAY('Recurring Schedule'!$F$30),DAY(EOMONTH($A194,0))),MOD((YEAR($A194)-YEAR('Recurring Schedule'!$F$30))*12+MONTH($A194)-MONTH('Recurring Schedule'!$F$30),'Recurring Schedule'!$O$30)=0),IF('Recurring Schedule'!$E$30="Weekdays",WEEKDAY($A194,2)&lt;=5,$A194='Recurring Schedule'!$F$30))),25,""))))</f>
        <v/>
      </c>
      <c r="AA194">
        <f>IF('Recurring Schedule'!$C$31="","",IF('Recurring Schedule'!$F$31="","",IF(OR($A194&lt;'Recurring Schedule'!$F$31,$A194&gt;'Recurring Schedule'!$P$31),"",IF(IF('Recurring Schedule'!$N$31&gt;0,MOD($A194-'Recurring Schedule'!$F$31,'Recurring Schedule'!$N$31)=0,IF('Recurring Schedule'!$O$31&gt;0,AND(DAY($A194)=MIN(DAY('Recurring Schedule'!$F$31),DAY(EOMONTH($A194,0))),MOD((YEAR($A194)-YEAR('Recurring Schedule'!$F$31))*12+MONTH($A194)-MONTH('Recurring Schedule'!$F$31),'Recurring Schedule'!$O$31)=0),IF('Recurring Schedule'!$E$31="Weekdays",WEEKDAY($A194,2)&lt;=5,$A194='Recurring Schedule'!$F$31))),26,""))))</f>
        <v/>
      </c>
      <c r="AB194">
        <f>IF('Recurring Schedule'!$C$32="","",IF('Recurring Schedule'!$F$32="","",IF(OR($A194&lt;'Recurring Schedule'!$F$32,$A194&gt;'Recurring Schedule'!$P$32),"",IF(IF('Recurring Schedule'!$N$32&gt;0,MOD($A194-'Recurring Schedule'!$F$32,'Recurring Schedule'!$N$32)=0,IF('Recurring Schedule'!$O$32&gt;0,AND(DAY($A194)=MIN(DAY('Recurring Schedule'!$F$32),DAY(EOMONTH($A194,0))),MOD((YEAR($A194)-YEAR('Recurring Schedule'!$F$32))*12+MONTH($A194)-MONTH('Recurring Schedule'!$F$32),'Recurring Schedule'!$O$32)=0),IF('Recurring Schedule'!$E$32="Weekdays",WEEKDAY($A194,2)&lt;=5,$A194='Recurring Schedule'!$F$32))),27,""))))</f>
        <v/>
      </c>
      <c r="AC194">
        <f>IF('Recurring Schedule'!$C$33="","",IF('Recurring Schedule'!$F$33="","",IF(OR($A194&lt;'Recurring Schedule'!$F$33,$A194&gt;'Recurring Schedule'!$P$33),"",IF(IF('Recurring Schedule'!$N$33&gt;0,MOD($A194-'Recurring Schedule'!$F$33,'Recurring Schedule'!$N$33)=0,IF('Recurring Schedule'!$O$33&gt;0,AND(DAY($A194)=MIN(DAY('Recurring Schedule'!$F$33),DAY(EOMONTH($A194,0))),MOD((YEAR($A194)-YEAR('Recurring Schedule'!$F$33))*12+MONTH($A194)-MONTH('Recurring Schedule'!$F$33),'Recurring Schedule'!$O$33)=0),IF('Recurring Schedule'!$E$33="Weekdays",WEEKDAY($A194,2)&lt;=5,$A194='Recurring Schedule'!$F$33))),28,""))))</f>
        <v/>
      </c>
      <c r="AD194">
        <f>IF('Recurring Schedule'!$C$34="","",IF('Recurring Schedule'!$F$34="","",IF(OR($A194&lt;'Recurring Schedule'!$F$34,$A194&gt;'Recurring Schedule'!$P$34),"",IF(IF('Recurring Schedule'!$N$34&gt;0,MOD($A194-'Recurring Schedule'!$F$34,'Recurring Schedule'!$N$34)=0,IF('Recurring Schedule'!$O$34&gt;0,AND(DAY($A194)=MIN(DAY('Recurring Schedule'!$F$34),DAY(EOMONTH($A194,0))),MOD((YEAR($A194)-YEAR('Recurring Schedule'!$F$34))*12+MONTH($A194)-MONTH('Recurring Schedule'!$F$34),'Recurring Schedule'!$O$34)=0),IF('Recurring Schedule'!$E$34="Weekdays",WEEKDAY($A194,2)&lt;=5,$A194='Recurring Schedule'!$F$34))),29,""))))</f>
        <v/>
      </c>
      <c r="AE194">
        <f>IF('Recurring Schedule'!$C$35="","",IF('Recurring Schedule'!$F$35="","",IF(OR($A194&lt;'Recurring Schedule'!$F$35,$A194&gt;'Recurring Schedule'!$P$35),"",IF(IF('Recurring Schedule'!$N$35&gt;0,MOD($A194-'Recurring Schedule'!$F$35,'Recurring Schedule'!$N$35)=0,IF('Recurring Schedule'!$O$35&gt;0,AND(DAY($A194)=MIN(DAY('Recurring Schedule'!$F$35),DAY(EOMONTH($A194,0))),MOD((YEAR($A194)-YEAR('Recurring Schedule'!$F$35))*12+MONTH($A194)-MONTH('Recurring Schedule'!$F$35),'Recurring Schedule'!$O$35)=0),IF('Recurring Schedule'!$E$35="Weekdays",WEEKDAY($A194,2)&lt;=5,$A194='Recurring Schedule'!$F$35))),30,""))))</f>
        <v/>
      </c>
      <c r="AF194">
        <f>IF('Recurring Schedule'!$C$36="","",IF('Recurring Schedule'!$F$36="","",IF(OR($A194&lt;'Recurring Schedule'!$F$36,$A194&gt;'Recurring Schedule'!$P$36),"",IF(IF('Recurring Schedule'!$N$36&gt;0,MOD($A194-'Recurring Schedule'!$F$36,'Recurring Schedule'!$N$36)=0,IF('Recurring Schedule'!$O$36&gt;0,AND(DAY($A194)=MIN(DAY('Recurring Schedule'!$F$36),DAY(EOMONTH($A194,0))),MOD((YEAR($A194)-YEAR('Recurring Schedule'!$F$36))*12+MONTH($A194)-MONTH('Recurring Schedule'!$F$36),'Recurring Schedule'!$O$36)=0),IF('Recurring Schedule'!$E$36="Weekdays",WEEKDAY($A194,2)&lt;=5,$A194='Recurring Schedule'!$F$36))),31,""))))</f>
        <v/>
      </c>
      <c r="AG194">
        <f>IF('Recurring Schedule'!$C$37="","",IF('Recurring Schedule'!$F$37="","",IF(OR($A194&lt;'Recurring Schedule'!$F$37,$A194&gt;'Recurring Schedule'!$P$37),"",IF(IF('Recurring Schedule'!$N$37&gt;0,MOD($A194-'Recurring Schedule'!$F$37,'Recurring Schedule'!$N$37)=0,IF('Recurring Schedule'!$O$37&gt;0,AND(DAY($A194)=MIN(DAY('Recurring Schedule'!$F$37),DAY(EOMONTH($A194,0))),MOD((YEAR($A194)-YEAR('Recurring Schedule'!$F$37))*12+MONTH($A194)-MONTH('Recurring Schedule'!$F$37),'Recurring Schedule'!$O$37)=0),IF('Recurring Schedule'!$E$37="Weekdays",WEEKDAY($A194,2)&lt;=5,$A194='Recurring Schedule'!$F$37))),32,""))))</f>
        <v/>
      </c>
      <c r="AH194">
        <f>IF('Recurring Schedule'!$C$38="","",IF('Recurring Schedule'!$F$38="","",IF(OR($A194&lt;'Recurring Schedule'!$F$38,$A194&gt;'Recurring Schedule'!$P$38),"",IF(IF('Recurring Schedule'!$N$38&gt;0,MOD($A194-'Recurring Schedule'!$F$38,'Recurring Schedule'!$N$38)=0,IF('Recurring Schedule'!$O$38&gt;0,AND(DAY($A194)=MIN(DAY('Recurring Schedule'!$F$38),DAY(EOMONTH($A194,0))),MOD((YEAR($A194)-YEAR('Recurring Schedule'!$F$38))*12+MONTH($A194)-MONTH('Recurring Schedule'!$F$38),'Recurring Schedule'!$O$38)=0),IF('Recurring Schedule'!$E$38="Weekdays",WEEKDAY($A194,2)&lt;=5,$A194='Recurring Schedule'!$F$38))),33,""))))</f>
        <v/>
      </c>
      <c r="AI194">
        <f>IF('Recurring Schedule'!$C$39="","",IF('Recurring Schedule'!$F$39="","",IF(OR($A194&lt;'Recurring Schedule'!$F$39,$A194&gt;'Recurring Schedule'!$P$39),"",IF(IF('Recurring Schedule'!$N$39&gt;0,MOD($A194-'Recurring Schedule'!$F$39,'Recurring Schedule'!$N$39)=0,IF('Recurring Schedule'!$O$39&gt;0,AND(DAY($A194)=MIN(DAY('Recurring Schedule'!$F$39),DAY(EOMONTH($A194,0))),MOD((YEAR($A194)-YEAR('Recurring Schedule'!$F$39))*12+MONTH($A194)-MONTH('Recurring Schedule'!$F$39),'Recurring Schedule'!$O$39)=0),IF('Recurring Schedule'!$E$39="Weekdays",WEEKDAY($A194,2)&lt;=5,$A194='Recurring Schedule'!$F$39))),34,""))))</f>
        <v/>
      </c>
      <c r="AJ194">
        <f>IF('Recurring Schedule'!$C$40="","",IF('Recurring Schedule'!$F$40="","",IF(OR($A194&lt;'Recurring Schedule'!$F$40,$A194&gt;'Recurring Schedule'!$P$40),"",IF(IF('Recurring Schedule'!$N$40&gt;0,MOD($A194-'Recurring Schedule'!$F$40,'Recurring Schedule'!$N$40)=0,IF('Recurring Schedule'!$O$40&gt;0,AND(DAY($A194)=MIN(DAY('Recurring Schedule'!$F$40),DAY(EOMONTH($A194,0))),MOD((YEAR($A194)-YEAR('Recurring Schedule'!$F$40))*12+MONTH($A194)-MONTH('Recurring Schedule'!$F$40),'Recurring Schedule'!$O$40)=0),IF('Recurring Schedule'!$E$40="Weekdays",WEEKDAY($A194,2)&lt;=5,$A194='Recurring Schedule'!$F$40))),35,""))))</f>
        <v/>
      </c>
      <c r="AK194">
        <f>IF('Recurring Schedule'!$C$41="","",IF('Recurring Schedule'!$F$41="","",IF(OR($A194&lt;'Recurring Schedule'!$F$41,$A194&gt;'Recurring Schedule'!$P$41),"",IF(IF('Recurring Schedule'!$N$41&gt;0,MOD($A194-'Recurring Schedule'!$F$41,'Recurring Schedule'!$N$41)=0,IF('Recurring Schedule'!$O$41&gt;0,AND(DAY($A194)=MIN(DAY('Recurring Schedule'!$F$41),DAY(EOMONTH($A194,0))),MOD((YEAR($A194)-YEAR('Recurring Schedule'!$F$41))*12+MONTH($A194)-MONTH('Recurring Schedule'!$F$41),'Recurring Schedule'!$O$41)=0),IF('Recurring Schedule'!$E$41="Weekdays",WEEKDAY($A194,2)&lt;=5,$A194='Recurring Schedule'!$F$41))),36,""))))</f>
        <v/>
      </c>
      <c r="AL194">
        <f>IF('Recurring Schedule'!$C$42="","",IF('Recurring Schedule'!$F$42="","",IF(OR($A194&lt;'Recurring Schedule'!$F$42,$A194&gt;'Recurring Schedule'!$P$42),"",IF(IF('Recurring Schedule'!$N$42&gt;0,MOD($A194-'Recurring Schedule'!$F$42,'Recurring Schedule'!$N$42)=0,IF('Recurring Schedule'!$O$42&gt;0,AND(DAY($A194)=MIN(DAY('Recurring Schedule'!$F$42),DAY(EOMONTH($A194,0))),MOD((YEAR($A194)-YEAR('Recurring Schedule'!$F$42))*12+MONTH($A194)-MONTH('Recurring Schedule'!$F$42),'Recurring Schedule'!$O$42)=0),IF('Recurring Schedule'!$E$42="Weekdays",WEEKDAY($A194,2)&lt;=5,$A194='Recurring Schedule'!$F$42))),37,""))))</f>
        <v/>
      </c>
      <c r="AM194">
        <f>IF('Recurring Schedule'!$C$43="","",IF('Recurring Schedule'!$F$43="","",IF(OR($A194&lt;'Recurring Schedule'!$F$43,$A194&gt;'Recurring Schedule'!$P$43),"",IF(IF('Recurring Schedule'!$N$43&gt;0,MOD($A194-'Recurring Schedule'!$F$43,'Recurring Schedule'!$N$43)=0,IF('Recurring Schedule'!$O$43&gt;0,AND(DAY($A194)=MIN(DAY('Recurring Schedule'!$F$43),DAY(EOMONTH($A194,0))),MOD((YEAR($A194)-YEAR('Recurring Schedule'!$F$43))*12+MONTH($A194)-MONTH('Recurring Schedule'!$F$43),'Recurring Schedule'!$O$43)=0),IF('Recurring Schedule'!$E$43="Weekdays",WEEKDAY($A194,2)&lt;=5,$A194='Recurring Schedule'!$F$43))),38,""))))</f>
        <v/>
      </c>
      <c r="AN194">
        <f>IF('Recurring Schedule'!$C$44="","",IF('Recurring Schedule'!$F$44="","",IF(OR($A194&lt;'Recurring Schedule'!$F$44,$A194&gt;'Recurring Schedule'!$P$44),"",IF(IF('Recurring Schedule'!$N$44&gt;0,MOD($A194-'Recurring Schedule'!$F$44,'Recurring Schedule'!$N$44)=0,IF('Recurring Schedule'!$O$44&gt;0,AND(DAY($A194)=MIN(DAY('Recurring Schedule'!$F$44),DAY(EOMONTH($A194,0))),MOD((YEAR($A194)-YEAR('Recurring Schedule'!$F$44))*12+MONTH($A194)-MONTH('Recurring Schedule'!$F$44),'Recurring Schedule'!$O$44)=0),IF('Recurring Schedule'!$E$44="Weekdays",WEEKDAY($A194,2)&lt;=5,$A194='Recurring Schedule'!$F$44))),39,""))))</f>
        <v/>
      </c>
      <c r="AO194">
        <f>IF('Recurring Schedule'!$C$45="","",IF('Recurring Schedule'!$F$45="","",IF(OR($A194&lt;'Recurring Schedule'!$F$45,$A194&gt;'Recurring Schedule'!$P$45),"",IF(IF('Recurring Schedule'!$N$45&gt;0,MOD($A194-'Recurring Schedule'!$F$45,'Recurring Schedule'!$N$45)=0,IF('Recurring Schedule'!$O$45&gt;0,AND(DAY($A194)=MIN(DAY('Recurring Schedule'!$F$45),DAY(EOMONTH($A194,0))),MOD((YEAR($A194)-YEAR('Recurring Schedule'!$F$45))*12+MONTH($A194)-MONTH('Recurring Schedule'!$F$45),'Recurring Schedule'!$O$45)=0),IF('Recurring Schedule'!$E$45="Weekdays",WEEKDAY($A194,2)&lt;=5,$A194='Recurring Schedule'!$F$45))),40,""))))</f>
        <v/>
      </c>
      <c r="AP194">
        <f>COUNT(B194:AO194)</f>
        <v/>
      </c>
      <c r="AQ194">
        <f>AQ193+AP193</f>
        <v/>
      </c>
      <c r="AS194" t="inlineStr">
        <is>
          <t>R</t>
        </is>
      </c>
      <c r="AT194" t="n">
        <v>198</v>
      </c>
      <c r="AU194">
        <f>'Recurring Log'!C198&amp;""</f>
        <v/>
      </c>
      <c r="AV194">
        <f>'Recurring Log'!D198&amp;""</f>
        <v/>
      </c>
      <c r="AW194">
        <f>IF('Recurring Log'!E198="","",'Recurring Log'!E198)</f>
        <v/>
      </c>
      <c r="AX194">
        <f>IF('Recurring Log'!G198="","",'Recurring Log'!G198)</f>
        <v/>
      </c>
      <c r="AY194">
        <f>IF('Recurring Log'!H198="","",'Recurring Log'!H198)</f>
        <v/>
      </c>
      <c r="AZ194">
        <f>IF(AU194="","",IF('Recurring Log'!J198="","Not Started",'Recurring Log'!J198))</f>
        <v/>
      </c>
      <c r="BA194">
        <f>'Recurring Log'!L198&amp;""</f>
        <v/>
      </c>
      <c r="BB194">
        <f>'Recurring Log'!M198&amp;""</f>
        <v/>
      </c>
      <c r="BC194">
        <f>'Recurring Log'!N198&amp;""</f>
        <v/>
      </c>
      <c r="BD194">
        <f>'Recurring Log'!O198&amp;""</f>
        <v/>
      </c>
      <c r="BE194">
        <f>IF('Recurring Log'!K198="","",'Recurring Log'!K198)</f>
        <v/>
      </c>
      <c r="BF194">
        <f>IFERROR(MATCH(BA194,Setup!$L$6:$L$9,0),5)</f>
        <v/>
      </c>
      <c r="BG194">
        <f>IF(OR(AZ194="Done",AZ194="Cancelled"),1,0)</f>
        <v/>
      </c>
      <c r="BH194">
        <f>IF(AND(AU194&lt;&gt;"",ISNUMBER(AW194)),1,0)</f>
        <v/>
      </c>
      <c r="BI194">
        <f>IF(BH194=0,0,IF(AND(AW194&gt;='Tasks Filter'!$F$3,AW194&lt;='Tasks Filter'!$F$4,OR('Tasks Filter'!$I$3="",ISNUMBER(SEARCH('Tasks Filter'!$I$3,AU194))),OR('Tasks Filter'!$I$4="",BF194=IFERROR(MATCH('Tasks Filter'!$I$4,Setup!$L$6:$L$9,0),0)),OR('Tasks Filter'!$I$5="Both",AND('Tasks Filter'!$I$5="Yes",BB194="✓"),AND('Tasks Filter'!$I$5="No",BB194&lt;&gt;"✓")),OR('Tasks Filter'!$L$3="",AV194='Tasks Filter'!$L$3),OR('Tasks Filter'!$L$4="",AZ194='Tasks Filter'!$L$4),OR('Tasks Filter'!$L$5="",BC194='Tasks Filter'!$L$5),OR('Tasks Filter'!$O$3="",BD194='Tasks Filter'!$O$3),OR('Tasks Filter'!$O$4="Yes",BG194=0)),1,0))</f>
        <v/>
      </c>
      <c r="BJ194">
        <f>IF(BH194=0,"",IF('Tasks Filter'!$F$6="Descending",-1,1)*CHOOSE(MATCH('Tasks Filter'!$F$5,Lists!$G$2:$G$6,0),AW194,BF194,IFERROR(MATCH(AV194,Setup!$F$6:$F$15,0),99),IFERROR(MATCH(BC194,Setup!$H$6:$H$15,0),99),IFERROR(MATCH(AZ194,Setup!$J$6:$J$11,0),99))*1E+9+(AW194-40000)*10000+193)</f>
        <v/>
      </c>
      <c r="BK194">
        <f>IF(BI194=1,BJ194,"")</f>
        <v/>
      </c>
      <c r="BL194">
        <f>IF(AND(BH194=1,BG194=0,N(AW194)&lt;Setup!$D$7),(AW194-40000)*10000+193,"")</f>
        <v/>
      </c>
      <c r="BM194">
        <f>IF(AND(BH194=1,AZ194&lt;&gt;"Cancelled",N(AW194)&gt;=Dashboard!$AB$3,N(AW194)&lt;=Dashboard!$AB$3+6),(AW194-40000)*100000+BF194*10000+193,"")</f>
        <v/>
      </c>
      <c r="BN194">
        <f>IF(AND(BH194=1,AZ194&lt;&gt;"Cancelled"),BF194*10000+193,"")</f>
        <v/>
      </c>
    </row>
    <row r="195">
      <c r="A195">
        <f>Setup!$D$5+193</f>
        <v/>
      </c>
      <c r="B195">
        <f>IF('Recurring Schedule'!$C$6="","",IF('Recurring Schedule'!$F$6="","",IF(OR($A195&lt;'Recurring Schedule'!$F$6,$A195&gt;'Recurring Schedule'!$P$6),"",IF(IF('Recurring Schedule'!$N$6&gt;0,MOD($A195-'Recurring Schedule'!$F$6,'Recurring Schedule'!$N$6)=0,IF('Recurring Schedule'!$O$6&gt;0,AND(DAY($A195)=MIN(DAY('Recurring Schedule'!$F$6),DAY(EOMONTH($A195,0))),MOD((YEAR($A195)-YEAR('Recurring Schedule'!$F$6))*12+MONTH($A195)-MONTH('Recurring Schedule'!$F$6),'Recurring Schedule'!$O$6)=0),IF('Recurring Schedule'!$E$6="Weekdays",WEEKDAY($A195,2)&lt;=5,$A195='Recurring Schedule'!$F$6))),1,""))))</f>
        <v/>
      </c>
      <c r="C195">
        <f>IF('Recurring Schedule'!$C$7="","",IF('Recurring Schedule'!$F$7="","",IF(OR($A195&lt;'Recurring Schedule'!$F$7,$A195&gt;'Recurring Schedule'!$P$7),"",IF(IF('Recurring Schedule'!$N$7&gt;0,MOD($A195-'Recurring Schedule'!$F$7,'Recurring Schedule'!$N$7)=0,IF('Recurring Schedule'!$O$7&gt;0,AND(DAY($A195)=MIN(DAY('Recurring Schedule'!$F$7),DAY(EOMONTH($A195,0))),MOD((YEAR($A195)-YEAR('Recurring Schedule'!$F$7))*12+MONTH($A195)-MONTH('Recurring Schedule'!$F$7),'Recurring Schedule'!$O$7)=0),IF('Recurring Schedule'!$E$7="Weekdays",WEEKDAY($A195,2)&lt;=5,$A195='Recurring Schedule'!$F$7))),2,""))))</f>
        <v/>
      </c>
      <c r="D195">
        <f>IF('Recurring Schedule'!$C$8="","",IF('Recurring Schedule'!$F$8="","",IF(OR($A195&lt;'Recurring Schedule'!$F$8,$A195&gt;'Recurring Schedule'!$P$8),"",IF(IF('Recurring Schedule'!$N$8&gt;0,MOD($A195-'Recurring Schedule'!$F$8,'Recurring Schedule'!$N$8)=0,IF('Recurring Schedule'!$O$8&gt;0,AND(DAY($A195)=MIN(DAY('Recurring Schedule'!$F$8),DAY(EOMONTH($A195,0))),MOD((YEAR($A195)-YEAR('Recurring Schedule'!$F$8))*12+MONTH($A195)-MONTH('Recurring Schedule'!$F$8),'Recurring Schedule'!$O$8)=0),IF('Recurring Schedule'!$E$8="Weekdays",WEEKDAY($A195,2)&lt;=5,$A195='Recurring Schedule'!$F$8))),3,""))))</f>
        <v/>
      </c>
      <c r="E195">
        <f>IF('Recurring Schedule'!$C$9="","",IF('Recurring Schedule'!$F$9="","",IF(OR($A195&lt;'Recurring Schedule'!$F$9,$A195&gt;'Recurring Schedule'!$P$9),"",IF(IF('Recurring Schedule'!$N$9&gt;0,MOD($A195-'Recurring Schedule'!$F$9,'Recurring Schedule'!$N$9)=0,IF('Recurring Schedule'!$O$9&gt;0,AND(DAY($A195)=MIN(DAY('Recurring Schedule'!$F$9),DAY(EOMONTH($A195,0))),MOD((YEAR($A195)-YEAR('Recurring Schedule'!$F$9))*12+MONTH($A195)-MONTH('Recurring Schedule'!$F$9),'Recurring Schedule'!$O$9)=0),IF('Recurring Schedule'!$E$9="Weekdays",WEEKDAY($A195,2)&lt;=5,$A195='Recurring Schedule'!$F$9))),4,""))))</f>
        <v/>
      </c>
      <c r="F195">
        <f>IF('Recurring Schedule'!$C$10="","",IF('Recurring Schedule'!$F$10="","",IF(OR($A195&lt;'Recurring Schedule'!$F$10,$A195&gt;'Recurring Schedule'!$P$10),"",IF(IF('Recurring Schedule'!$N$10&gt;0,MOD($A195-'Recurring Schedule'!$F$10,'Recurring Schedule'!$N$10)=0,IF('Recurring Schedule'!$O$10&gt;0,AND(DAY($A195)=MIN(DAY('Recurring Schedule'!$F$10),DAY(EOMONTH($A195,0))),MOD((YEAR($A195)-YEAR('Recurring Schedule'!$F$10))*12+MONTH($A195)-MONTH('Recurring Schedule'!$F$10),'Recurring Schedule'!$O$10)=0),IF('Recurring Schedule'!$E$10="Weekdays",WEEKDAY($A195,2)&lt;=5,$A195='Recurring Schedule'!$F$10))),5,""))))</f>
        <v/>
      </c>
      <c r="G195">
        <f>IF('Recurring Schedule'!$C$11="","",IF('Recurring Schedule'!$F$11="","",IF(OR($A195&lt;'Recurring Schedule'!$F$11,$A195&gt;'Recurring Schedule'!$P$11),"",IF(IF('Recurring Schedule'!$N$11&gt;0,MOD($A195-'Recurring Schedule'!$F$11,'Recurring Schedule'!$N$11)=0,IF('Recurring Schedule'!$O$11&gt;0,AND(DAY($A195)=MIN(DAY('Recurring Schedule'!$F$11),DAY(EOMONTH($A195,0))),MOD((YEAR($A195)-YEAR('Recurring Schedule'!$F$11))*12+MONTH($A195)-MONTH('Recurring Schedule'!$F$11),'Recurring Schedule'!$O$11)=0),IF('Recurring Schedule'!$E$11="Weekdays",WEEKDAY($A195,2)&lt;=5,$A195='Recurring Schedule'!$F$11))),6,""))))</f>
        <v/>
      </c>
      <c r="H195">
        <f>IF('Recurring Schedule'!$C$12="","",IF('Recurring Schedule'!$F$12="","",IF(OR($A195&lt;'Recurring Schedule'!$F$12,$A195&gt;'Recurring Schedule'!$P$12),"",IF(IF('Recurring Schedule'!$N$12&gt;0,MOD($A195-'Recurring Schedule'!$F$12,'Recurring Schedule'!$N$12)=0,IF('Recurring Schedule'!$O$12&gt;0,AND(DAY($A195)=MIN(DAY('Recurring Schedule'!$F$12),DAY(EOMONTH($A195,0))),MOD((YEAR($A195)-YEAR('Recurring Schedule'!$F$12))*12+MONTH($A195)-MONTH('Recurring Schedule'!$F$12),'Recurring Schedule'!$O$12)=0),IF('Recurring Schedule'!$E$12="Weekdays",WEEKDAY($A195,2)&lt;=5,$A195='Recurring Schedule'!$F$12))),7,""))))</f>
        <v/>
      </c>
      <c r="I195">
        <f>IF('Recurring Schedule'!$C$13="","",IF('Recurring Schedule'!$F$13="","",IF(OR($A195&lt;'Recurring Schedule'!$F$13,$A195&gt;'Recurring Schedule'!$P$13),"",IF(IF('Recurring Schedule'!$N$13&gt;0,MOD($A195-'Recurring Schedule'!$F$13,'Recurring Schedule'!$N$13)=0,IF('Recurring Schedule'!$O$13&gt;0,AND(DAY($A195)=MIN(DAY('Recurring Schedule'!$F$13),DAY(EOMONTH($A195,0))),MOD((YEAR($A195)-YEAR('Recurring Schedule'!$F$13))*12+MONTH($A195)-MONTH('Recurring Schedule'!$F$13),'Recurring Schedule'!$O$13)=0),IF('Recurring Schedule'!$E$13="Weekdays",WEEKDAY($A195,2)&lt;=5,$A195='Recurring Schedule'!$F$13))),8,""))))</f>
        <v/>
      </c>
      <c r="J195">
        <f>IF('Recurring Schedule'!$C$14="","",IF('Recurring Schedule'!$F$14="","",IF(OR($A195&lt;'Recurring Schedule'!$F$14,$A195&gt;'Recurring Schedule'!$P$14),"",IF(IF('Recurring Schedule'!$N$14&gt;0,MOD($A195-'Recurring Schedule'!$F$14,'Recurring Schedule'!$N$14)=0,IF('Recurring Schedule'!$O$14&gt;0,AND(DAY($A195)=MIN(DAY('Recurring Schedule'!$F$14),DAY(EOMONTH($A195,0))),MOD((YEAR($A195)-YEAR('Recurring Schedule'!$F$14))*12+MONTH($A195)-MONTH('Recurring Schedule'!$F$14),'Recurring Schedule'!$O$14)=0),IF('Recurring Schedule'!$E$14="Weekdays",WEEKDAY($A195,2)&lt;=5,$A195='Recurring Schedule'!$F$14))),9,""))))</f>
        <v/>
      </c>
      <c r="K195">
        <f>IF('Recurring Schedule'!$C$15="","",IF('Recurring Schedule'!$F$15="","",IF(OR($A195&lt;'Recurring Schedule'!$F$15,$A195&gt;'Recurring Schedule'!$P$15),"",IF(IF('Recurring Schedule'!$N$15&gt;0,MOD($A195-'Recurring Schedule'!$F$15,'Recurring Schedule'!$N$15)=0,IF('Recurring Schedule'!$O$15&gt;0,AND(DAY($A195)=MIN(DAY('Recurring Schedule'!$F$15),DAY(EOMONTH($A195,0))),MOD((YEAR($A195)-YEAR('Recurring Schedule'!$F$15))*12+MONTH($A195)-MONTH('Recurring Schedule'!$F$15),'Recurring Schedule'!$O$15)=0),IF('Recurring Schedule'!$E$15="Weekdays",WEEKDAY($A195,2)&lt;=5,$A195='Recurring Schedule'!$F$15))),10,""))))</f>
        <v/>
      </c>
      <c r="L195">
        <f>IF('Recurring Schedule'!$C$16="","",IF('Recurring Schedule'!$F$16="","",IF(OR($A195&lt;'Recurring Schedule'!$F$16,$A195&gt;'Recurring Schedule'!$P$16),"",IF(IF('Recurring Schedule'!$N$16&gt;0,MOD($A195-'Recurring Schedule'!$F$16,'Recurring Schedule'!$N$16)=0,IF('Recurring Schedule'!$O$16&gt;0,AND(DAY($A195)=MIN(DAY('Recurring Schedule'!$F$16),DAY(EOMONTH($A195,0))),MOD((YEAR($A195)-YEAR('Recurring Schedule'!$F$16))*12+MONTH($A195)-MONTH('Recurring Schedule'!$F$16),'Recurring Schedule'!$O$16)=0),IF('Recurring Schedule'!$E$16="Weekdays",WEEKDAY($A195,2)&lt;=5,$A195='Recurring Schedule'!$F$16))),11,""))))</f>
        <v/>
      </c>
      <c r="M195">
        <f>IF('Recurring Schedule'!$C$17="","",IF('Recurring Schedule'!$F$17="","",IF(OR($A195&lt;'Recurring Schedule'!$F$17,$A195&gt;'Recurring Schedule'!$P$17),"",IF(IF('Recurring Schedule'!$N$17&gt;0,MOD($A195-'Recurring Schedule'!$F$17,'Recurring Schedule'!$N$17)=0,IF('Recurring Schedule'!$O$17&gt;0,AND(DAY($A195)=MIN(DAY('Recurring Schedule'!$F$17),DAY(EOMONTH($A195,0))),MOD((YEAR($A195)-YEAR('Recurring Schedule'!$F$17))*12+MONTH($A195)-MONTH('Recurring Schedule'!$F$17),'Recurring Schedule'!$O$17)=0),IF('Recurring Schedule'!$E$17="Weekdays",WEEKDAY($A195,2)&lt;=5,$A195='Recurring Schedule'!$F$17))),12,""))))</f>
        <v/>
      </c>
      <c r="N195">
        <f>IF('Recurring Schedule'!$C$18="","",IF('Recurring Schedule'!$F$18="","",IF(OR($A195&lt;'Recurring Schedule'!$F$18,$A195&gt;'Recurring Schedule'!$P$18),"",IF(IF('Recurring Schedule'!$N$18&gt;0,MOD($A195-'Recurring Schedule'!$F$18,'Recurring Schedule'!$N$18)=0,IF('Recurring Schedule'!$O$18&gt;0,AND(DAY($A195)=MIN(DAY('Recurring Schedule'!$F$18),DAY(EOMONTH($A195,0))),MOD((YEAR($A195)-YEAR('Recurring Schedule'!$F$18))*12+MONTH($A195)-MONTH('Recurring Schedule'!$F$18),'Recurring Schedule'!$O$18)=0),IF('Recurring Schedule'!$E$18="Weekdays",WEEKDAY($A195,2)&lt;=5,$A195='Recurring Schedule'!$F$18))),13,""))))</f>
        <v/>
      </c>
      <c r="O195">
        <f>IF('Recurring Schedule'!$C$19="","",IF('Recurring Schedule'!$F$19="","",IF(OR($A195&lt;'Recurring Schedule'!$F$19,$A195&gt;'Recurring Schedule'!$P$19),"",IF(IF('Recurring Schedule'!$N$19&gt;0,MOD($A195-'Recurring Schedule'!$F$19,'Recurring Schedule'!$N$19)=0,IF('Recurring Schedule'!$O$19&gt;0,AND(DAY($A195)=MIN(DAY('Recurring Schedule'!$F$19),DAY(EOMONTH($A195,0))),MOD((YEAR($A195)-YEAR('Recurring Schedule'!$F$19))*12+MONTH($A195)-MONTH('Recurring Schedule'!$F$19),'Recurring Schedule'!$O$19)=0),IF('Recurring Schedule'!$E$19="Weekdays",WEEKDAY($A195,2)&lt;=5,$A195='Recurring Schedule'!$F$19))),14,""))))</f>
        <v/>
      </c>
      <c r="P195">
        <f>IF('Recurring Schedule'!$C$20="","",IF('Recurring Schedule'!$F$20="","",IF(OR($A195&lt;'Recurring Schedule'!$F$20,$A195&gt;'Recurring Schedule'!$P$20),"",IF(IF('Recurring Schedule'!$N$20&gt;0,MOD($A195-'Recurring Schedule'!$F$20,'Recurring Schedule'!$N$20)=0,IF('Recurring Schedule'!$O$20&gt;0,AND(DAY($A195)=MIN(DAY('Recurring Schedule'!$F$20),DAY(EOMONTH($A195,0))),MOD((YEAR($A195)-YEAR('Recurring Schedule'!$F$20))*12+MONTH($A195)-MONTH('Recurring Schedule'!$F$20),'Recurring Schedule'!$O$20)=0),IF('Recurring Schedule'!$E$20="Weekdays",WEEKDAY($A195,2)&lt;=5,$A195='Recurring Schedule'!$F$20))),15,""))))</f>
        <v/>
      </c>
      <c r="Q195">
        <f>IF('Recurring Schedule'!$C$21="","",IF('Recurring Schedule'!$F$21="","",IF(OR($A195&lt;'Recurring Schedule'!$F$21,$A195&gt;'Recurring Schedule'!$P$21),"",IF(IF('Recurring Schedule'!$N$21&gt;0,MOD($A195-'Recurring Schedule'!$F$21,'Recurring Schedule'!$N$21)=0,IF('Recurring Schedule'!$O$21&gt;0,AND(DAY($A195)=MIN(DAY('Recurring Schedule'!$F$21),DAY(EOMONTH($A195,0))),MOD((YEAR($A195)-YEAR('Recurring Schedule'!$F$21))*12+MONTH($A195)-MONTH('Recurring Schedule'!$F$21),'Recurring Schedule'!$O$21)=0),IF('Recurring Schedule'!$E$21="Weekdays",WEEKDAY($A195,2)&lt;=5,$A195='Recurring Schedule'!$F$21))),16,""))))</f>
        <v/>
      </c>
      <c r="R195">
        <f>IF('Recurring Schedule'!$C$22="","",IF('Recurring Schedule'!$F$22="","",IF(OR($A195&lt;'Recurring Schedule'!$F$22,$A195&gt;'Recurring Schedule'!$P$22),"",IF(IF('Recurring Schedule'!$N$22&gt;0,MOD($A195-'Recurring Schedule'!$F$22,'Recurring Schedule'!$N$22)=0,IF('Recurring Schedule'!$O$22&gt;0,AND(DAY($A195)=MIN(DAY('Recurring Schedule'!$F$22),DAY(EOMONTH($A195,0))),MOD((YEAR($A195)-YEAR('Recurring Schedule'!$F$22))*12+MONTH($A195)-MONTH('Recurring Schedule'!$F$22),'Recurring Schedule'!$O$22)=0),IF('Recurring Schedule'!$E$22="Weekdays",WEEKDAY($A195,2)&lt;=5,$A195='Recurring Schedule'!$F$22))),17,""))))</f>
        <v/>
      </c>
      <c r="S195">
        <f>IF('Recurring Schedule'!$C$23="","",IF('Recurring Schedule'!$F$23="","",IF(OR($A195&lt;'Recurring Schedule'!$F$23,$A195&gt;'Recurring Schedule'!$P$23),"",IF(IF('Recurring Schedule'!$N$23&gt;0,MOD($A195-'Recurring Schedule'!$F$23,'Recurring Schedule'!$N$23)=0,IF('Recurring Schedule'!$O$23&gt;0,AND(DAY($A195)=MIN(DAY('Recurring Schedule'!$F$23),DAY(EOMONTH($A195,0))),MOD((YEAR($A195)-YEAR('Recurring Schedule'!$F$23))*12+MONTH($A195)-MONTH('Recurring Schedule'!$F$23),'Recurring Schedule'!$O$23)=0),IF('Recurring Schedule'!$E$23="Weekdays",WEEKDAY($A195,2)&lt;=5,$A195='Recurring Schedule'!$F$23))),18,""))))</f>
        <v/>
      </c>
      <c r="T195">
        <f>IF('Recurring Schedule'!$C$24="","",IF('Recurring Schedule'!$F$24="","",IF(OR($A195&lt;'Recurring Schedule'!$F$24,$A195&gt;'Recurring Schedule'!$P$24),"",IF(IF('Recurring Schedule'!$N$24&gt;0,MOD($A195-'Recurring Schedule'!$F$24,'Recurring Schedule'!$N$24)=0,IF('Recurring Schedule'!$O$24&gt;0,AND(DAY($A195)=MIN(DAY('Recurring Schedule'!$F$24),DAY(EOMONTH($A195,0))),MOD((YEAR($A195)-YEAR('Recurring Schedule'!$F$24))*12+MONTH($A195)-MONTH('Recurring Schedule'!$F$24),'Recurring Schedule'!$O$24)=0),IF('Recurring Schedule'!$E$24="Weekdays",WEEKDAY($A195,2)&lt;=5,$A195='Recurring Schedule'!$F$24))),19,""))))</f>
        <v/>
      </c>
      <c r="U195">
        <f>IF('Recurring Schedule'!$C$25="","",IF('Recurring Schedule'!$F$25="","",IF(OR($A195&lt;'Recurring Schedule'!$F$25,$A195&gt;'Recurring Schedule'!$P$25),"",IF(IF('Recurring Schedule'!$N$25&gt;0,MOD($A195-'Recurring Schedule'!$F$25,'Recurring Schedule'!$N$25)=0,IF('Recurring Schedule'!$O$25&gt;0,AND(DAY($A195)=MIN(DAY('Recurring Schedule'!$F$25),DAY(EOMONTH($A195,0))),MOD((YEAR($A195)-YEAR('Recurring Schedule'!$F$25))*12+MONTH($A195)-MONTH('Recurring Schedule'!$F$25),'Recurring Schedule'!$O$25)=0),IF('Recurring Schedule'!$E$25="Weekdays",WEEKDAY($A195,2)&lt;=5,$A195='Recurring Schedule'!$F$25))),20,""))))</f>
        <v/>
      </c>
      <c r="V195">
        <f>IF('Recurring Schedule'!$C$26="","",IF('Recurring Schedule'!$F$26="","",IF(OR($A195&lt;'Recurring Schedule'!$F$26,$A195&gt;'Recurring Schedule'!$P$26),"",IF(IF('Recurring Schedule'!$N$26&gt;0,MOD($A195-'Recurring Schedule'!$F$26,'Recurring Schedule'!$N$26)=0,IF('Recurring Schedule'!$O$26&gt;0,AND(DAY($A195)=MIN(DAY('Recurring Schedule'!$F$26),DAY(EOMONTH($A195,0))),MOD((YEAR($A195)-YEAR('Recurring Schedule'!$F$26))*12+MONTH($A195)-MONTH('Recurring Schedule'!$F$26),'Recurring Schedule'!$O$26)=0),IF('Recurring Schedule'!$E$26="Weekdays",WEEKDAY($A195,2)&lt;=5,$A195='Recurring Schedule'!$F$26))),21,""))))</f>
        <v/>
      </c>
      <c r="W195">
        <f>IF('Recurring Schedule'!$C$27="","",IF('Recurring Schedule'!$F$27="","",IF(OR($A195&lt;'Recurring Schedule'!$F$27,$A195&gt;'Recurring Schedule'!$P$27),"",IF(IF('Recurring Schedule'!$N$27&gt;0,MOD($A195-'Recurring Schedule'!$F$27,'Recurring Schedule'!$N$27)=0,IF('Recurring Schedule'!$O$27&gt;0,AND(DAY($A195)=MIN(DAY('Recurring Schedule'!$F$27),DAY(EOMONTH($A195,0))),MOD((YEAR($A195)-YEAR('Recurring Schedule'!$F$27))*12+MONTH($A195)-MONTH('Recurring Schedule'!$F$27),'Recurring Schedule'!$O$27)=0),IF('Recurring Schedule'!$E$27="Weekdays",WEEKDAY($A195,2)&lt;=5,$A195='Recurring Schedule'!$F$27))),22,""))))</f>
        <v/>
      </c>
      <c r="X195">
        <f>IF('Recurring Schedule'!$C$28="","",IF('Recurring Schedule'!$F$28="","",IF(OR($A195&lt;'Recurring Schedule'!$F$28,$A195&gt;'Recurring Schedule'!$P$28),"",IF(IF('Recurring Schedule'!$N$28&gt;0,MOD($A195-'Recurring Schedule'!$F$28,'Recurring Schedule'!$N$28)=0,IF('Recurring Schedule'!$O$28&gt;0,AND(DAY($A195)=MIN(DAY('Recurring Schedule'!$F$28),DAY(EOMONTH($A195,0))),MOD((YEAR($A195)-YEAR('Recurring Schedule'!$F$28))*12+MONTH($A195)-MONTH('Recurring Schedule'!$F$28),'Recurring Schedule'!$O$28)=0),IF('Recurring Schedule'!$E$28="Weekdays",WEEKDAY($A195,2)&lt;=5,$A195='Recurring Schedule'!$F$28))),23,""))))</f>
        <v/>
      </c>
      <c r="Y195">
        <f>IF('Recurring Schedule'!$C$29="","",IF('Recurring Schedule'!$F$29="","",IF(OR($A195&lt;'Recurring Schedule'!$F$29,$A195&gt;'Recurring Schedule'!$P$29),"",IF(IF('Recurring Schedule'!$N$29&gt;0,MOD($A195-'Recurring Schedule'!$F$29,'Recurring Schedule'!$N$29)=0,IF('Recurring Schedule'!$O$29&gt;0,AND(DAY($A195)=MIN(DAY('Recurring Schedule'!$F$29),DAY(EOMONTH($A195,0))),MOD((YEAR($A195)-YEAR('Recurring Schedule'!$F$29))*12+MONTH($A195)-MONTH('Recurring Schedule'!$F$29),'Recurring Schedule'!$O$29)=0),IF('Recurring Schedule'!$E$29="Weekdays",WEEKDAY($A195,2)&lt;=5,$A195='Recurring Schedule'!$F$29))),24,""))))</f>
        <v/>
      </c>
      <c r="Z195">
        <f>IF('Recurring Schedule'!$C$30="","",IF('Recurring Schedule'!$F$30="","",IF(OR($A195&lt;'Recurring Schedule'!$F$30,$A195&gt;'Recurring Schedule'!$P$30),"",IF(IF('Recurring Schedule'!$N$30&gt;0,MOD($A195-'Recurring Schedule'!$F$30,'Recurring Schedule'!$N$30)=0,IF('Recurring Schedule'!$O$30&gt;0,AND(DAY($A195)=MIN(DAY('Recurring Schedule'!$F$30),DAY(EOMONTH($A195,0))),MOD((YEAR($A195)-YEAR('Recurring Schedule'!$F$30))*12+MONTH($A195)-MONTH('Recurring Schedule'!$F$30),'Recurring Schedule'!$O$30)=0),IF('Recurring Schedule'!$E$30="Weekdays",WEEKDAY($A195,2)&lt;=5,$A195='Recurring Schedule'!$F$30))),25,""))))</f>
        <v/>
      </c>
      <c r="AA195">
        <f>IF('Recurring Schedule'!$C$31="","",IF('Recurring Schedule'!$F$31="","",IF(OR($A195&lt;'Recurring Schedule'!$F$31,$A195&gt;'Recurring Schedule'!$P$31),"",IF(IF('Recurring Schedule'!$N$31&gt;0,MOD($A195-'Recurring Schedule'!$F$31,'Recurring Schedule'!$N$31)=0,IF('Recurring Schedule'!$O$31&gt;0,AND(DAY($A195)=MIN(DAY('Recurring Schedule'!$F$31),DAY(EOMONTH($A195,0))),MOD((YEAR($A195)-YEAR('Recurring Schedule'!$F$31))*12+MONTH($A195)-MONTH('Recurring Schedule'!$F$31),'Recurring Schedule'!$O$31)=0),IF('Recurring Schedule'!$E$31="Weekdays",WEEKDAY($A195,2)&lt;=5,$A195='Recurring Schedule'!$F$31))),26,""))))</f>
        <v/>
      </c>
      <c r="AB195">
        <f>IF('Recurring Schedule'!$C$32="","",IF('Recurring Schedule'!$F$32="","",IF(OR($A195&lt;'Recurring Schedule'!$F$32,$A195&gt;'Recurring Schedule'!$P$32),"",IF(IF('Recurring Schedule'!$N$32&gt;0,MOD($A195-'Recurring Schedule'!$F$32,'Recurring Schedule'!$N$32)=0,IF('Recurring Schedule'!$O$32&gt;0,AND(DAY($A195)=MIN(DAY('Recurring Schedule'!$F$32),DAY(EOMONTH($A195,0))),MOD((YEAR($A195)-YEAR('Recurring Schedule'!$F$32))*12+MONTH($A195)-MONTH('Recurring Schedule'!$F$32),'Recurring Schedule'!$O$32)=0),IF('Recurring Schedule'!$E$32="Weekdays",WEEKDAY($A195,2)&lt;=5,$A195='Recurring Schedule'!$F$32))),27,""))))</f>
        <v/>
      </c>
      <c r="AC195">
        <f>IF('Recurring Schedule'!$C$33="","",IF('Recurring Schedule'!$F$33="","",IF(OR($A195&lt;'Recurring Schedule'!$F$33,$A195&gt;'Recurring Schedule'!$P$33),"",IF(IF('Recurring Schedule'!$N$33&gt;0,MOD($A195-'Recurring Schedule'!$F$33,'Recurring Schedule'!$N$33)=0,IF('Recurring Schedule'!$O$33&gt;0,AND(DAY($A195)=MIN(DAY('Recurring Schedule'!$F$33),DAY(EOMONTH($A195,0))),MOD((YEAR($A195)-YEAR('Recurring Schedule'!$F$33))*12+MONTH($A195)-MONTH('Recurring Schedule'!$F$33),'Recurring Schedule'!$O$33)=0),IF('Recurring Schedule'!$E$33="Weekdays",WEEKDAY($A195,2)&lt;=5,$A195='Recurring Schedule'!$F$33))),28,""))))</f>
        <v/>
      </c>
      <c r="AD195">
        <f>IF('Recurring Schedule'!$C$34="","",IF('Recurring Schedule'!$F$34="","",IF(OR($A195&lt;'Recurring Schedule'!$F$34,$A195&gt;'Recurring Schedule'!$P$34),"",IF(IF('Recurring Schedule'!$N$34&gt;0,MOD($A195-'Recurring Schedule'!$F$34,'Recurring Schedule'!$N$34)=0,IF('Recurring Schedule'!$O$34&gt;0,AND(DAY($A195)=MIN(DAY('Recurring Schedule'!$F$34),DAY(EOMONTH($A195,0))),MOD((YEAR($A195)-YEAR('Recurring Schedule'!$F$34))*12+MONTH($A195)-MONTH('Recurring Schedule'!$F$34),'Recurring Schedule'!$O$34)=0),IF('Recurring Schedule'!$E$34="Weekdays",WEEKDAY($A195,2)&lt;=5,$A195='Recurring Schedule'!$F$34))),29,""))))</f>
        <v/>
      </c>
      <c r="AE195">
        <f>IF('Recurring Schedule'!$C$35="","",IF('Recurring Schedule'!$F$35="","",IF(OR($A195&lt;'Recurring Schedule'!$F$35,$A195&gt;'Recurring Schedule'!$P$35),"",IF(IF('Recurring Schedule'!$N$35&gt;0,MOD($A195-'Recurring Schedule'!$F$35,'Recurring Schedule'!$N$35)=0,IF('Recurring Schedule'!$O$35&gt;0,AND(DAY($A195)=MIN(DAY('Recurring Schedule'!$F$35),DAY(EOMONTH($A195,0))),MOD((YEAR($A195)-YEAR('Recurring Schedule'!$F$35))*12+MONTH($A195)-MONTH('Recurring Schedule'!$F$35),'Recurring Schedule'!$O$35)=0),IF('Recurring Schedule'!$E$35="Weekdays",WEEKDAY($A195,2)&lt;=5,$A195='Recurring Schedule'!$F$35))),30,""))))</f>
        <v/>
      </c>
      <c r="AF195">
        <f>IF('Recurring Schedule'!$C$36="","",IF('Recurring Schedule'!$F$36="","",IF(OR($A195&lt;'Recurring Schedule'!$F$36,$A195&gt;'Recurring Schedule'!$P$36),"",IF(IF('Recurring Schedule'!$N$36&gt;0,MOD($A195-'Recurring Schedule'!$F$36,'Recurring Schedule'!$N$36)=0,IF('Recurring Schedule'!$O$36&gt;0,AND(DAY($A195)=MIN(DAY('Recurring Schedule'!$F$36),DAY(EOMONTH($A195,0))),MOD((YEAR($A195)-YEAR('Recurring Schedule'!$F$36))*12+MONTH($A195)-MONTH('Recurring Schedule'!$F$36),'Recurring Schedule'!$O$36)=0),IF('Recurring Schedule'!$E$36="Weekdays",WEEKDAY($A195,2)&lt;=5,$A195='Recurring Schedule'!$F$36))),31,""))))</f>
        <v/>
      </c>
      <c r="AG195">
        <f>IF('Recurring Schedule'!$C$37="","",IF('Recurring Schedule'!$F$37="","",IF(OR($A195&lt;'Recurring Schedule'!$F$37,$A195&gt;'Recurring Schedule'!$P$37),"",IF(IF('Recurring Schedule'!$N$37&gt;0,MOD($A195-'Recurring Schedule'!$F$37,'Recurring Schedule'!$N$37)=0,IF('Recurring Schedule'!$O$37&gt;0,AND(DAY($A195)=MIN(DAY('Recurring Schedule'!$F$37),DAY(EOMONTH($A195,0))),MOD((YEAR($A195)-YEAR('Recurring Schedule'!$F$37))*12+MONTH($A195)-MONTH('Recurring Schedule'!$F$37),'Recurring Schedule'!$O$37)=0),IF('Recurring Schedule'!$E$37="Weekdays",WEEKDAY($A195,2)&lt;=5,$A195='Recurring Schedule'!$F$37))),32,""))))</f>
        <v/>
      </c>
      <c r="AH195">
        <f>IF('Recurring Schedule'!$C$38="","",IF('Recurring Schedule'!$F$38="","",IF(OR($A195&lt;'Recurring Schedule'!$F$38,$A195&gt;'Recurring Schedule'!$P$38),"",IF(IF('Recurring Schedule'!$N$38&gt;0,MOD($A195-'Recurring Schedule'!$F$38,'Recurring Schedule'!$N$38)=0,IF('Recurring Schedule'!$O$38&gt;0,AND(DAY($A195)=MIN(DAY('Recurring Schedule'!$F$38),DAY(EOMONTH($A195,0))),MOD((YEAR($A195)-YEAR('Recurring Schedule'!$F$38))*12+MONTH($A195)-MONTH('Recurring Schedule'!$F$38),'Recurring Schedule'!$O$38)=0),IF('Recurring Schedule'!$E$38="Weekdays",WEEKDAY($A195,2)&lt;=5,$A195='Recurring Schedule'!$F$38))),33,""))))</f>
        <v/>
      </c>
      <c r="AI195">
        <f>IF('Recurring Schedule'!$C$39="","",IF('Recurring Schedule'!$F$39="","",IF(OR($A195&lt;'Recurring Schedule'!$F$39,$A195&gt;'Recurring Schedule'!$P$39),"",IF(IF('Recurring Schedule'!$N$39&gt;0,MOD($A195-'Recurring Schedule'!$F$39,'Recurring Schedule'!$N$39)=0,IF('Recurring Schedule'!$O$39&gt;0,AND(DAY($A195)=MIN(DAY('Recurring Schedule'!$F$39),DAY(EOMONTH($A195,0))),MOD((YEAR($A195)-YEAR('Recurring Schedule'!$F$39))*12+MONTH($A195)-MONTH('Recurring Schedule'!$F$39),'Recurring Schedule'!$O$39)=0),IF('Recurring Schedule'!$E$39="Weekdays",WEEKDAY($A195,2)&lt;=5,$A195='Recurring Schedule'!$F$39))),34,""))))</f>
        <v/>
      </c>
      <c r="AJ195">
        <f>IF('Recurring Schedule'!$C$40="","",IF('Recurring Schedule'!$F$40="","",IF(OR($A195&lt;'Recurring Schedule'!$F$40,$A195&gt;'Recurring Schedule'!$P$40),"",IF(IF('Recurring Schedule'!$N$40&gt;0,MOD($A195-'Recurring Schedule'!$F$40,'Recurring Schedule'!$N$40)=0,IF('Recurring Schedule'!$O$40&gt;0,AND(DAY($A195)=MIN(DAY('Recurring Schedule'!$F$40),DAY(EOMONTH($A195,0))),MOD((YEAR($A195)-YEAR('Recurring Schedule'!$F$40))*12+MONTH($A195)-MONTH('Recurring Schedule'!$F$40),'Recurring Schedule'!$O$40)=0),IF('Recurring Schedule'!$E$40="Weekdays",WEEKDAY($A195,2)&lt;=5,$A195='Recurring Schedule'!$F$40))),35,""))))</f>
        <v/>
      </c>
      <c r="AK195">
        <f>IF('Recurring Schedule'!$C$41="","",IF('Recurring Schedule'!$F$41="","",IF(OR($A195&lt;'Recurring Schedule'!$F$41,$A195&gt;'Recurring Schedule'!$P$41),"",IF(IF('Recurring Schedule'!$N$41&gt;0,MOD($A195-'Recurring Schedule'!$F$41,'Recurring Schedule'!$N$41)=0,IF('Recurring Schedule'!$O$41&gt;0,AND(DAY($A195)=MIN(DAY('Recurring Schedule'!$F$41),DAY(EOMONTH($A195,0))),MOD((YEAR($A195)-YEAR('Recurring Schedule'!$F$41))*12+MONTH($A195)-MONTH('Recurring Schedule'!$F$41),'Recurring Schedule'!$O$41)=0),IF('Recurring Schedule'!$E$41="Weekdays",WEEKDAY($A195,2)&lt;=5,$A195='Recurring Schedule'!$F$41))),36,""))))</f>
        <v/>
      </c>
      <c r="AL195">
        <f>IF('Recurring Schedule'!$C$42="","",IF('Recurring Schedule'!$F$42="","",IF(OR($A195&lt;'Recurring Schedule'!$F$42,$A195&gt;'Recurring Schedule'!$P$42),"",IF(IF('Recurring Schedule'!$N$42&gt;0,MOD($A195-'Recurring Schedule'!$F$42,'Recurring Schedule'!$N$42)=0,IF('Recurring Schedule'!$O$42&gt;0,AND(DAY($A195)=MIN(DAY('Recurring Schedule'!$F$42),DAY(EOMONTH($A195,0))),MOD((YEAR($A195)-YEAR('Recurring Schedule'!$F$42))*12+MONTH($A195)-MONTH('Recurring Schedule'!$F$42),'Recurring Schedule'!$O$42)=0),IF('Recurring Schedule'!$E$42="Weekdays",WEEKDAY($A195,2)&lt;=5,$A195='Recurring Schedule'!$F$42))),37,""))))</f>
        <v/>
      </c>
      <c r="AM195">
        <f>IF('Recurring Schedule'!$C$43="","",IF('Recurring Schedule'!$F$43="","",IF(OR($A195&lt;'Recurring Schedule'!$F$43,$A195&gt;'Recurring Schedule'!$P$43),"",IF(IF('Recurring Schedule'!$N$43&gt;0,MOD($A195-'Recurring Schedule'!$F$43,'Recurring Schedule'!$N$43)=0,IF('Recurring Schedule'!$O$43&gt;0,AND(DAY($A195)=MIN(DAY('Recurring Schedule'!$F$43),DAY(EOMONTH($A195,0))),MOD((YEAR($A195)-YEAR('Recurring Schedule'!$F$43))*12+MONTH($A195)-MONTH('Recurring Schedule'!$F$43),'Recurring Schedule'!$O$43)=0),IF('Recurring Schedule'!$E$43="Weekdays",WEEKDAY($A195,2)&lt;=5,$A195='Recurring Schedule'!$F$43))),38,""))))</f>
        <v/>
      </c>
      <c r="AN195">
        <f>IF('Recurring Schedule'!$C$44="","",IF('Recurring Schedule'!$F$44="","",IF(OR($A195&lt;'Recurring Schedule'!$F$44,$A195&gt;'Recurring Schedule'!$P$44),"",IF(IF('Recurring Schedule'!$N$44&gt;0,MOD($A195-'Recurring Schedule'!$F$44,'Recurring Schedule'!$N$44)=0,IF('Recurring Schedule'!$O$44&gt;0,AND(DAY($A195)=MIN(DAY('Recurring Schedule'!$F$44),DAY(EOMONTH($A195,0))),MOD((YEAR($A195)-YEAR('Recurring Schedule'!$F$44))*12+MONTH($A195)-MONTH('Recurring Schedule'!$F$44),'Recurring Schedule'!$O$44)=0),IF('Recurring Schedule'!$E$44="Weekdays",WEEKDAY($A195,2)&lt;=5,$A195='Recurring Schedule'!$F$44))),39,""))))</f>
        <v/>
      </c>
      <c r="AO195">
        <f>IF('Recurring Schedule'!$C$45="","",IF('Recurring Schedule'!$F$45="","",IF(OR($A195&lt;'Recurring Schedule'!$F$45,$A195&gt;'Recurring Schedule'!$P$45),"",IF(IF('Recurring Schedule'!$N$45&gt;0,MOD($A195-'Recurring Schedule'!$F$45,'Recurring Schedule'!$N$45)=0,IF('Recurring Schedule'!$O$45&gt;0,AND(DAY($A195)=MIN(DAY('Recurring Schedule'!$F$45),DAY(EOMONTH($A195,0))),MOD((YEAR($A195)-YEAR('Recurring Schedule'!$F$45))*12+MONTH($A195)-MONTH('Recurring Schedule'!$F$45),'Recurring Schedule'!$O$45)=0),IF('Recurring Schedule'!$E$45="Weekdays",WEEKDAY($A195,2)&lt;=5,$A195='Recurring Schedule'!$F$45))),40,""))))</f>
        <v/>
      </c>
      <c r="AP195">
        <f>COUNT(B195:AO195)</f>
        <v/>
      </c>
      <c r="AQ195">
        <f>AQ194+AP194</f>
        <v/>
      </c>
      <c r="AS195" t="inlineStr">
        <is>
          <t>R</t>
        </is>
      </c>
      <c r="AT195" t="n">
        <v>199</v>
      </c>
      <c r="AU195">
        <f>'Recurring Log'!C199&amp;""</f>
        <v/>
      </c>
      <c r="AV195">
        <f>'Recurring Log'!D199&amp;""</f>
        <v/>
      </c>
      <c r="AW195">
        <f>IF('Recurring Log'!E199="","",'Recurring Log'!E199)</f>
        <v/>
      </c>
      <c r="AX195">
        <f>IF('Recurring Log'!G199="","",'Recurring Log'!G199)</f>
        <v/>
      </c>
      <c r="AY195">
        <f>IF('Recurring Log'!H199="","",'Recurring Log'!H199)</f>
        <v/>
      </c>
      <c r="AZ195">
        <f>IF(AU195="","",IF('Recurring Log'!J199="","Not Started",'Recurring Log'!J199))</f>
        <v/>
      </c>
      <c r="BA195">
        <f>'Recurring Log'!L199&amp;""</f>
        <v/>
      </c>
      <c r="BB195">
        <f>'Recurring Log'!M199&amp;""</f>
        <v/>
      </c>
      <c r="BC195">
        <f>'Recurring Log'!N199&amp;""</f>
        <v/>
      </c>
      <c r="BD195">
        <f>'Recurring Log'!O199&amp;""</f>
        <v/>
      </c>
      <c r="BE195">
        <f>IF('Recurring Log'!K199="","",'Recurring Log'!K199)</f>
        <v/>
      </c>
      <c r="BF195">
        <f>IFERROR(MATCH(BA195,Setup!$L$6:$L$9,0),5)</f>
        <v/>
      </c>
      <c r="BG195">
        <f>IF(OR(AZ195="Done",AZ195="Cancelled"),1,0)</f>
        <v/>
      </c>
      <c r="BH195">
        <f>IF(AND(AU195&lt;&gt;"",ISNUMBER(AW195)),1,0)</f>
        <v/>
      </c>
      <c r="BI195">
        <f>IF(BH195=0,0,IF(AND(AW195&gt;='Tasks Filter'!$F$3,AW195&lt;='Tasks Filter'!$F$4,OR('Tasks Filter'!$I$3="",ISNUMBER(SEARCH('Tasks Filter'!$I$3,AU195))),OR('Tasks Filter'!$I$4="",BF195=IFERROR(MATCH('Tasks Filter'!$I$4,Setup!$L$6:$L$9,0),0)),OR('Tasks Filter'!$I$5="Both",AND('Tasks Filter'!$I$5="Yes",BB195="✓"),AND('Tasks Filter'!$I$5="No",BB195&lt;&gt;"✓")),OR('Tasks Filter'!$L$3="",AV195='Tasks Filter'!$L$3),OR('Tasks Filter'!$L$4="",AZ195='Tasks Filter'!$L$4),OR('Tasks Filter'!$L$5="",BC195='Tasks Filter'!$L$5),OR('Tasks Filter'!$O$3="",BD195='Tasks Filter'!$O$3),OR('Tasks Filter'!$O$4="Yes",BG195=0)),1,0))</f>
        <v/>
      </c>
      <c r="BJ195">
        <f>IF(BH195=0,"",IF('Tasks Filter'!$F$6="Descending",-1,1)*CHOOSE(MATCH('Tasks Filter'!$F$5,Lists!$G$2:$G$6,0),AW195,BF195,IFERROR(MATCH(AV195,Setup!$F$6:$F$15,0),99),IFERROR(MATCH(BC195,Setup!$H$6:$H$15,0),99),IFERROR(MATCH(AZ195,Setup!$J$6:$J$11,0),99))*1E+9+(AW195-40000)*10000+194)</f>
        <v/>
      </c>
      <c r="BK195">
        <f>IF(BI195=1,BJ195,"")</f>
        <v/>
      </c>
      <c r="BL195">
        <f>IF(AND(BH195=1,BG195=0,N(AW195)&lt;Setup!$D$7),(AW195-40000)*10000+194,"")</f>
        <v/>
      </c>
      <c r="BM195">
        <f>IF(AND(BH195=1,AZ195&lt;&gt;"Cancelled",N(AW195)&gt;=Dashboard!$AB$3,N(AW195)&lt;=Dashboard!$AB$3+6),(AW195-40000)*100000+BF195*10000+194,"")</f>
        <v/>
      </c>
      <c r="BN195">
        <f>IF(AND(BH195=1,AZ195&lt;&gt;"Cancelled"),BF195*10000+194,"")</f>
        <v/>
      </c>
    </row>
    <row r="196">
      <c r="A196">
        <f>Setup!$D$5+194</f>
        <v/>
      </c>
      <c r="B196">
        <f>IF('Recurring Schedule'!$C$6="","",IF('Recurring Schedule'!$F$6="","",IF(OR($A196&lt;'Recurring Schedule'!$F$6,$A196&gt;'Recurring Schedule'!$P$6),"",IF(IF('Recurring Schedule'!$N$6&gt;0,MOD($A196-'Recurring Schedule'!$F$6,'Recurring Schedule'!$N$6)=0,IF('Recurring Schedule'!$O$6&gt;0,AND(DAY($A196)=MIN(DAY('Recurring Schedule'!$F$6),DAY(EOMONTH($A196,0))),MOD((YEAR($A196)-YEAR('Recurring Schedule'!$F$6))*12+MONTH($A196)-MONTH('Recurring Schedule'!$F$6),'Recurring Schedule'!$O$6)=0),IF('Recurring Schedule'!$E$6="Weekdays",WEEKDAY($A196,2)&lt;=5,$A196='Recurring Schedule'!$F$6))),1,""))))</f>
        <v/>
      </c>
      <c r="C196">
        <f>IF('Recurring Schedule'!$C$7="","",IF('Recurring Schedule'!$F$7="","",IF(OR($A196&lt;'Recurring Schedule'!$F$7,$A196&gt;'Recurring Schedule'!$P$7),"",IF(IF('Recurring Schedule'!$N$7&gt;0,MOD($A196-'Recurring Schedule'!$F$7,'Recurring Schedule'!$N$7)=0,IF('Recurring Schedule'!$O$7&gt;0,AND(DAY($A196)=MIN(DAY('Recurring Schedule'!$F$7),DAY(EOMONTH($A196,0))),MOD((YEAR($A196)-YEAR('Recurring Schedule'!$F$7))*12+MONTH($A196)-MONTH('Recurring Schedule'!$F$7),'Recurring Schedule'!$O$7)=0),IF('Recurring Schedule'!$E$7="Weekdays",WEEKDAY($A196,2)&lt;=5,$A196='Recurring Schedule'!$F$7))),2,""))))</f>
        <v/>
      </c>
      <c r="D196">
        <f>IF('Recurring Schedule'!$C$8="","",IF('Recurring Schedule'!$F$8="","",IF(OR($A196&lt;'Recurring Schedule'!$F$8,$A196&gt;'Recurring Schedule'!$P$8),"",IF(IF('Recurring Schedule'!$N$8&gt;0,MOD($A196-'Recurring Schedule'!$F$8,'Recurring Schedule'!$N$8)=0,IF('Recurring Schedule'!$O$8&gt;0,AND(DAY($A196)=MIN(DAY('Recurring Schedule'!$F$8),DAY(EOMONTH($A196,0))),MOD((YEAR($A196)-YEAR('Recurring Schedule'!$F$8))*12+MONTH($A196)-MONTH('Recurring Schedule'!$F$8),'Recurring Schedule'!$O$8)=0),IF('Recurring Schedule'!$E$8="Weekdays",WEEKDAY($A196,2)&lt;=5,$A196='Recurring Schedule'!$F$8))),3,""))))</f>
        <v/>
      </c>
      <c r="E196">
        <f>IF('Recurring Schedule'!$C$9="","",IF('Recurring Schedule'!$F$9="","",IF(OR($A196&lt;'Recurring Schedule'!$F$9,$A196&gt;'Recurring Schedule'!$P$9),"",IF(IF('Recurring Schedule'!$N$9&gt;0,MOD($A196-'Recurring Schedule'!$F$9,'Recurring Schedule'!$N$9)=0,IF('Recurring Schedule'!$O$9&gt;0,AND(DAY($A196)=MIN(DAY('Recurring Schedule'!$F$9),DAY(EOMONTH($A196,0))),MOD((YEAR($A196)-YEAR('Recurring Schedule'!$F$9))*12+MONTH($A196)-MONTH('Recurring Schedule'!$F$9),'Recurring Schedule'!$O$9)=0),IF('Recurring Schedule'!$E$9="Weekdays",WEEKDAY($A196,2)&lt;=5,$A196='Recurring Schedule'!$F$9))),4,""))))</f>
        <v/>
      </c>
      <c r="F196">
        <f>IF('Recurring Schedule'!$C$10="","",IF('Recurring Schedule'!$F$10="","",IF(OR($A196&lt;'Recurring Schedule'!$F$10,$A196&gt;'Recurring Schedule'!$P$10),"",IF(IF('Recurring Schedule'!$N$10&gt;0,MOD($A196-'Recurring Schedule'!$F$10,'Recurring Schedule'!$N$10)=0,IF('Recurring Schedule'!$O$10&gt;0,AND(DAY($A196)=MIN(DAY('Recurring Schedule'!$F$10),DAY(EOMONTH($A196,0))),MOD((YEAR($A196)-YEAR('Recurring Schedule'!$F$10))*12+MONTH($A196)-MONTH('Recurring Schedule'!$F$10),'Recurring Schedule'!$O$10)=0),IF('Recurring Schedule'!$E$10="Weekdays",WEEKDAY($A196,2)&lt;=5,$A196='Recurring Schedule'!$F$10))),5,""))))</f>
        <v/>
      </c>
      <c r="G196">
        <f>IF('Recurring Schedule'!$C$11="","",IF('Recurring Schedule'!$F$11="","",IF(OR($A196&lt;'Recurring Schedule'!$F$11,$A196&gt;'Recurring Schedule'!$P$11),"",IF(IF('Recurring Schedule'!$N$11&gt;0,MOD($A196-'Recurring Schedule'!$F$11,'Recurring Schedule'!$N$11)=0,IF('Recurring Schedule'!$O$11&gt;0,AND(DAY($A196)=MIN(DAY('Recurring Schedule'!$F$11),DAY(EOMONTH($A196,0))),MOD((YEAR($A196)-YEAR('Recurring Schedule'!$F$11))*12+MONTH($A196)-MONTH('Recurring Schedule'!$F$11),'Recurring Schedule'!$O$11)=0),IF('Recurring Schedule'!$E$11="Weekdays",WEEKDAY($A196,2)&lt;=5,$A196='Recurring Schedule'!$F$11))),6,""))))</f>
        <v/>
      </c>
      <c r="H196">
        <f>IF('Recurring Schedule'!$C$12="","",IF('Recurring Schedule'!$F$12="","",IF(OR($A196&lt;'Recurring Schedule'!$F$12,$A196&gt;'Recurring Schedule'!$P$12),"",IF(IF('Recurring Schedule'!$N$12&gt;0,MOD($A196-'Recurring Schedule'!$F$12,'Recurring Schedule'!$N$12)=0,IF('Recurring Schedule'!$O$12&gt;0,AND(DAY($A196)=MIN(DAY('Recurring Schedule'!$F$12),DAY(EOMONTH($A196,0))),MOD((YEAR($A196)-YEAR('Recurring Schedule'!$F$12))*12+MONTH($A196)-MONTH('Recurring Schedule'!$F$12),'Recurring Schedule'!$O$12)=0),IF('Recurring Schedule'!$E$12="Weekdays",WEEKDAY($A196,2)&lt;=5,$A196='Recurring Schedule'!$F$12))),7,""))))</f>
        <v/>
      </c>
      <c r="I196">
        <f>IF('Recurring Schedule'!$C$13="","",IF('Recurring Schedule'!$F$13="","",IF(OR($A196&lt;'Recurring Schedule'!$F$13,$A196&gt;'Recurring Schedule'!$P$13),"",IF(IF('Recurring Schedule'!$N$13&gt;0,MOD($A196-'Recurring Schedule'!$F$13,'Recurring Schedule'!$N$13)=0,IF('Recurring Schedule'!$O$13&gt;0,AND(DAY($A196)=MIN(DAY('Recurring Schedule'!$F$13),DAY(EOMONTH($A196,0))),MOD((YEAR($A196)-YEAR('Recurring Schedule'!$F$13))*12+MONTH($A196)-MONTH('Recurring Schedule'!$F$13),'Recurring Schedule'!$O$13)=0),IF('Recurring Schedule'!$E$13="Weekdays",WEEKDAY($A196,2)&lt;=5,$A196='Recurring Schedule'!$F$13))),8,""))))</f>
        <v/>
      </c>
      <c r="J196">
        <f>IF('Recurring Schedule'!$C$14="","",IF('Recurring Schedule'!$F$14="","",IF(OR($A196&lt;'Recurring Schedule'!$F$14,$A196&gt;'Recurring Schedule'!$P$14),"",IF(IF('Recurring Schedule'!$N$14&gt;0,MOD($A196-'Recurring Schedule'!$F$14,'Recurring Schedule'!$N$14)=0,IF('Recurring Schedule'!$O$14&gt;0,AND(DAY($A196)=MIN(DAY('Recurring Schedule'!$F$14),DAY(EOMONTH($A196,0))),MOD((YEAR($A196)-YEAR('Recurring Schedule'!$F$14))*12+MONTH($A196)-MONTH('Recurring Schedule'!$F$14),'Recurring Schedule'!$O$14)=0),IF('Recurring Schedule'!$E$14="Weekdays",WEEKDAY($A196,2)&lt;=5,$A196='Recurring Schedule'!$F$14))),9,""))))</f>
        <v/>
      </c>
      <c r="K196">
        <f>IF('Recurring Schedule'!$C$15="","",IF('Recurring Schedule'!$F$15="","",IF(OR($A196&lt;'Recurring Schedule'!$F$15,$A196&gt;'Recurring Schedule'!$P$15),"",IF(IF('Recurring Schedule'!$N$15&gt;0,MOD($A196-'Recurring Schedule'!$F$15,'Recurring Schedule'!$N$15)=0,IF('Recurring Schedule'!$O$15&gt;0,AND(DAY($A196)=MIN(DAY('Recurring Schedule'!$F$15),DAY(EOMONTH($A196,0))),MOD((YEAR($A196)-YEAR('Recurring Schedule'!$F$15))*12+MONTH($A196)-MONTH('Recurring Schedule'!$F$15),'Recurring Schedule'!$O$15)=0),IF('Recurring Schedule'!$E$15="Weekdays",WEEKDAY($A196,2)&lt;=5,$A196='Recurring Schedule'!$F$15))),10,""))))</f>
        <v/>
      </c>
      <c r="L196">
        <f>IF('Recurring Schedule'!$C$16="","",IF('Recurring Schedule'!$F$16="","",IF(OR($A196&lt;'Recurring Schedule'!$F$16,$A196&gt;'Recurring Schedule'!$P$16),"",IF(IF('Recurring Schedule'!$N$16&gt;0,MOD($A196-'Recurring Schedule'!$F$16,'Recurring Schedule'!$N$16)=0,IF('Recurring Schedule'!$O$16&gt;0,AND(DAY($A196)=MIN(DAY('Recurring Schedule'!$F$16),DAY(EOMONTH($A196,0))),MOD((YEAR($A196)-YEAR('Recurring Schedule'!$F$16))*12+MONTH($A196)-MONTH('Recurring Schedule'!$F$16),'Recurring Schedule'!$O$16)=0),IF('Recurring Schedule'!$E$16="Weekdays",WEEKDAY($A196,2)&lt;=5,$A196='Recurring Schedule'!$F$16))),11,""))))</f>
        <v/>
      </c>
      <c r="M196">
        <f>IF('Recurring Schedule'!$C$17="","",IF('Recurring Schedule'!$F$17="","",IF(OR($A196&lt;'Recurring Schedule'!$F$17,$A196&gt;'Recurring Schedule'!$P$17),"",IF(IF('Recurring Schedule'!$N$17&gt;0,MOD($A196-'Recurring Schedule'!$F$17,'Recurring Schedule'!$N$17)=0,IF('Recurring Schedule'!$O$17&gt;0,AND(DAY($A196)=MIN(DAY('Recurring Schedule'!$F$17),DAY(EOMONTH($A196,0))),MOD((YEAR($A196)-YEAR('Recurring Schedule'!$F$17))*12+MONTH($A196)-MONTH('Recurring Schedule'!$F$17),'Recurring Schedule'!$O$17)=0),IF('Recurring Schedule'!$E$17="Weekdays",WEEKDAY($A196,2)&lt;=5,$A196='Recurring Schedule'!$F$17))),12,""))))</f>
        <v/>
      </c>
      <c r="N196">
        <f>IF('Recurring Schedule'!$C$18="","",IF('Recurring Schedule'!$F$18="","",IF(OR($A196&lt;'Recurring Schedule'!$F$18,$A196&gt;'Recurring Schedule'!$P$18),"",IF(IF('Recurring Schedule'!$N$18&gt;0,MOD($A196-'Recurring Schedule'!$F$18,'Recurring Schedule'!$N$18)=0,IF('Recurring Schedule'!$O$18&gt;0,AND(DAY($A196)=MIN(DAY('Recurring Schedule'!$F$18),DAY(EOMONTH($A196,0))),MOD((YEAR($A196)-YEAR('Recurring Schedule'!$F$18))*12+MONTH($A196)-MONTH('Recurring Schedule'!$F$18),'Recurring Schedule'!$O$18)=0),IF('Recurring Schedule'!$E$18="Weekdays",WEEKDAY($A196,2)&lt;=5,$A196='Recurring Schedule'!$F$18))),13,""))))</f>
        <v/>
      </c>
      <c r="O196">
        <f>IF('Recurring Schedule'!$C$19="","",IF('Recurring Schedule'!$F$19="","",IF(OR($A196&lt;'Recurring Schedule'!$F$19,$A196&gt;'Recurring Schedule'!$P$19),"",IF(IF('Recurring Schedule'!$N$19&gt;0,MOD($A196-'Recurring Schedule'!$F$19,'Recurring Schedule'!$N$19)=0,IF('Recurring Schedule'!$O$19&gt;0,AND(DAY($A196)=MIN(DAY('Recurring Schedule'!$F$19),DAY(EOMONTH($A196,0))),MOD((YEAR($A196)-YEAR('Recurring Schedule'!$F$19))*12+MONTH($A196)-MONTH('Recurring Schedule'!$F$19),'Recurring Schedule'!$O$19)=0),IF('Recurring Schedule'!$E$19="Weekdays",WEEKDAY($A196,2)&lt;=5,$A196='Recurring Schedule'!$F$19))),14,""))))</f>
        <v/>
      </c>
      <c r="P196">
        <f>IF('Recurring Schedule'!$C$20="","",IF('Recurring Schedule'!$F$20="","",IF(OR($A196&lt;'Recurring Schedule'!$F$20,$A196&gt;'Recurring Schedule'!$P$20),"",IF(IF('Recurring Schedule'!$N$20&gt;0,MOD($A196-'Recurring Schedule'!$F$20,'Recurring Schedule'!$N$20)=0,IF('Recurring Schedule'!$O$20&gt;0,AND(DAY($A196)=MIN(DAY('Recurring Schedule'!$F$20),DAY(EOMONTH($A196,0))),MOD((YEAR($A196)-YEAR('Recurring Schedule'!$F$20))*12+MONTH($A196)-MONTH('Recurring Schedule'!$F$20),'Recurring Schedule'!$O$20)=0),IF('Recurring Schedule'!$E$20="Weekdays",WEEKDAY($A196,2)&lt;=5,$A196='Recurring Schedule'!$F$20))),15,""))))</f>
        <v/>
      </c>
      <c r="Q196">
        <f>IF('Recurring Schedule'!$C$21="","",IF('Recurring Schedule'!$F$21="","",IF(OR($A196&lt;'Recurring Schedule'!$F$21,$A196&gt;'Recurring Schedule'!$P$21),"",IF(IF('Recurring Schedule'!$N$21&gt;0,MOD($A196-'Recurring Schedule'!$F$21,'Recurring Schedule'!$N$21)=0,IF('Recurring Schedule'!$O$21&gt;0,AND(DAY($A196)=MIN(DAY('Recurring Schedule'!$F$21),DAY(EOMONTH($A196,0))),MOD((YEAR($A196)-YEAR('Recurring Schedule'!$F$21))*12+MONTH($A196)-MONTH('Recurring Schedule'!$F$21),'Recurring Schedule'!$O$21)=0),IF('Recurring Schedule'!$E$21="Weekdays",WEEKDAY($A196,2)&lt;=5,$A196='Recurring Schedule'!$F$21))),16,""))))</f>
        <v/>
      </c>
      <c r="R196">
        <f>IF('Recurring Schedule'!$C$22="","",IF('Recurring Schedule'!$F$22="","",IF(OR($A196&lt;'Recurring Schedule'!$F$22,$A196&gt;'Recurring Schedule'!$P$22),"",IF(IF('Recurring Schedule'!$N$22&gt;0,MOD($A196-'Recurring Schedule'!$F$22,'Recurring Schedule'!$N$22)=0,IF('Recurring Schedule'!$O$22&gt;0,AND(DAY($A196)=MIN(DAY('Recurring Schedule'!$F$22),DAY(EOMONTH($A196,0))),MOD((YEAR($A196)-YEAR('Recurring Schedule'!$F$22))*12+MONTH($A196)-MONTH('Recurring Schedule'!$F$22),'Recurring Schedule'!$O$22)=0),IF('Recurring Schedule'!$E$22="Weekdays",WEEKDAY($A196,2)&lt;=5,$A196='Recurring Schedule'!$F$22))),17,""))))</f>
        <v/>
      </c>
      <c r="S196">
        <f>IF('Recurring Schedule'!$C$23="","",IF('Recurring Schedule'!$F$23="","",IF(OR($A196&lt;'Recurring Schedule'!$F$23,$A196&gt;'Recurring Schedule'!$P$23),"",IF(IF('Recurring Schedule'!$N$23&gt;0,MOD($A196-'Recurring Schedule'!$F$23,'Recurring Schedule'!$N$23)=0,IF('Recurring Schedule'!$O$23&gt;0,AND(DAY($A196)=MIN(DAY('Recurring Schedule'!$F$23),DAY(EOMONTH($A196,0))),MOD((YEAR($A196)-YEAR('Recurring Schedule'!$F$23))*12+MONTH($A196)-MONTH('Recurring Schedule'!$F$23),'Recurring Schedule'!$O$23)=0),IF('Recurring Schedule'!$E$23="Weekdays",WEEKDAY($A196,2)&lt;=5,$A196='Recurring Schedule'!$F$23))),18,""))))</f>
        <v/>
      </c>
      <c r="T196">
        <f>IF('Recurring Schedule'!$C$24="","",IF('Recurring Schedule'!$F$24="","",IF(OR($A196&lt;'Recurring Schedule'!$F$24,$A196&gt;'Recurring Schedule'!$P$24),"",IF(IF('Recurring Schedule'!$N$24&gt;0,MOD($A196-'Recurring Schedule'!$F$24,'Recurring Schedule'!$N$24)=0,IF('Recurring Schedule'!$O$24&gt;0,AND(DAY($A196)=MIN(DAY('Recurring Schedule'!$F$24),DAY(EOMONTH($A196,0))),MOD((YEAR($A196)-YEAR('Recurring Schedule'!$F$24))*12+MONTH($A196)-MONTH('Recurring Schedule'!$F$24),'Recurring Schedule'!$O$24)=0),IF('Recurring Schedule'!$E$24="Weekdays",WEEKDAY($A196,2)&lt;=5,$A196='Recurring Schedule'!$F$24))),19,""))))</f>
        <v/>
      </c>
      <c r="U196">
        <f>IF('Recurring Schedule'!$C$25="","",IF('Recurring Schedule'!$F$25="","",IF(OR($A196&lt;'Recurring Schedule'!$F$25,$A196&gt;'Recurring Schedule'!$P$25),"",IF(IF('Recurring Schedule'!$N$25&gt;0,MOD($A196-'Recurring Schedule'!$F$25,'Recurring Schedule'!$N$25)=0,IF('Recurring Schedule'!$O$25&gt;0,AND(DAY($A196)=MIN(DAY('Recurring Schedule'!$F$25),DAY(EOMONTH($A196,0))),MOD((YEAR($A196)-YEAR('Recurring Schedule'!$F$25))*12+MONTH($A196)-MONTH('Recurring Schedule'!$F$25),'Recurring Schedule'!$O$25)=0),IF('Recurring Schedule'!$E$25="Weekdays",WEEKDAY($A196,2)&lt;=5,$A196='Recurring Schedule'!$F$25))),20,""))))</f>
        <v/>
      </c>
      <c r="V196">
        <f>IF('Recurring Schedule'!$C$26="","",IF('Recurring Schedule'!$F$26="","",IF(OR($A196&lt;'Recurring Schedule'!$F$26,$A196&gt;'Recurring Schedule'!$P$26),"",IF(IF('Recurring Schedule'!$N$26&gt;0,MOD($A196-'Recurring Schedule'!$F$26,'Recurring Schedule'!$N$26)=0,IF('Recurring Schedule'!$O$26&gt;0,AND(DAY($A196)=MIN(DAY('Recurring Schedule'!$F$26),DAY(EOMONTH($A196,0))),MOD((YEAR($A196)-YEAR('Recurring Schedule'!$F$26))*12+MONTH($A196)-MONTH('Recurring Schedule'!$F$26),'Recurring Schedule'!$O$26)=0),IF('Recurring Schedule'!$E$26="Weekdays",WEEKDAY($A196,2)&lt;=5,$A196='Recurring Schedule'!$F$26))),21,""))))</f>
        <v/>
      </c>
      <c r="W196">
        <f>IF('Recurring Schedule'!$C$27="","",IF('Recurring Schedule'!$F$27="","",IF(OR($A196&lt;'Recurring Schedule'!$F$27,$A196&gt;'Recurring Schedule'!$P$27),"",IF(IF('Recurring Schedule'!$N$27&gt;0,MOD($A196-'Recurring Schedule'!$F$27,'Recurring Schedule'!$N$27)=0,IF('Recurring Schedule'!$O$27&gt;0,AND(DAY($A196)=MIN(DAY('Recurring Schedule'!$F$27),DAY(EOMONTH($A196,0))),MOD((YEAR($A196)-YEAR('Recurring Schedule'!$F$27))*12+MONTH($A196)-MONTH('Recurring Schedule'!$F$27),'Recurring Schedule'!$O$27)=0),IF('Recurring Schedule'!$E$27="Weekdays",WEEKDAY($A196,2)&lt;=5,$A196='Recurring Schedule'!$F$27))),22,""))))</f>
        <v/>
      </c>
      <c r="X196">
        <f>IF('Recurring Schedule'!$C$28="","",IF('Recurring Schedule'!$F$28="","",IF(OR($A196&lt;'Recurring Schedule'!$F$28,$A196&gt;'Recurring Schedule'!$P$28),"",IF(IF('Recurring Schedule'!$N$28&gt;0,MOD($A196-'Recurring Schedule'!$F$28,'Recurring Schedule'!$N$28)=0,IF('Recurring Schedule'!$O$28&gt;0,AND(DAY($A196)=MIN(DAY('Recurring Schedule'!$F$28),DAY(EOMONTH($A196,0))),MOD((YEAR($A196)-YEAR('Recurring Schedule'!$F$28))*12+MONTH($A196)-MONTH('Recurring Schedule'!$F$28),'Recurring Schedule'!$O$28)=0),IF('Recurring Schedule'!$E$28="Weekdays",WEEKDAY($A196,2)&lt;=5,$A196='Recurring Schedule'!$F$28))),23,""))))</f>
        <v/>
      </c>
      <c r="Y196">
        <f>IF('Recurring Schedule'!$C$29="","",IF('Recurring Schedule'!$F$29="","",IF(OR($A196&lt;'Recurring Schedule'!$F$29,$A196&gt;'Recurring Schedule'!$P$29),"",IF(IF('Recurring Schedule'!$N$29&gt;0,MOD($A196-'Recurring Schedule'!$F$29,'Recurring Schedule'!$N$29)=0,IF('Recurring Schedule'!$O$29&gt;0,AND(DAY($A196)=MIN(DAY('Recurring Schedule'!$F$29),DAY(EOMONTH($A196,0))),MOD((YEAR($A196)-YEAR('Recurring Schedule'!$F$29))*12+MONTH($A196)-MONTH('Recurring Schedule'!$F$29),'Recurring Schedule'!$O$29)=0),IF('Recurring Schedule'!$E$29="Weekdays",WEEKDAY($A196,2)&lt;=5,$A196='Recurring Schedule'!$F$29))),24,""))))</f>
        <v/>
      </c>
      <c r="Z196">
        <f>IF('Recurring Schedule'!$C$30="","",IF('Recurring Schedule'!$F$30="","",IF(OR($A196&lt;'Recurring Schedule'!$F$30,$A196&gt;'Recurring Schedule'!$P$30),"",IF(IF('Recurring Schedule'!$N$30&gt;0,MOD($A196-'Recurring Schedule'!$F$30,'Recurring Schedule'!$N$30)=0,IF('Recurring Schedule'!$O$30&gt;0,AND(DAY($A196)=MIN(DAY('Recurring Schedule'!$F$30),DAY(EOMONTH($A196,0))),MOD((YEAR($A196)-YEAR('Recurring Schedule'!$F$30))*12+MONTH($A196)-MONTH('Recurring Schedule'!$F$30),'Recurring Schedule'!$O$30)=0),IF('Recurring Schedule'!$E$30="Weekdays",WEEKDAY($A196,2)&lt;=5,$A196='Recurring Schedule'!$F$30))),25,""))))</f>
        <v/>
      </c>
      <c r="AA196">
        <f>IF('Recurring Schedule'!$C$31="","",IF('Recurring Schedule'!$F$31="","",IF(OR($A196&lt;'Recurring Schedule'!$F$31,$A196&gt;'Recurring Schedule'!$P$31),"",IF(IF('Recurring Schedule'!$N$31&gt;0,MOD($A196-'Recurring Schedule'!$F$31,'Recurring Schedule'!$N$31)=0,IF('Recurring Schedule'!$O$31&gt;0,AND(DAY($A196)=MIN(DAY('Recurring Schedule'!$F$31),DAY(EOMONTH($A196,0))),MOD((YEAR($A196)-YEAR('Recurring Schedule'!$F$31))*12+MONTH($A196)-MONTH('Recurring Schedule'!$F$31),'Recurring Schedule'!$O$31)=0),IF('Recurring Schedule'!$E$31="Weekdays",WEEKDAY($A196,2)&lt;=5,$A196='Recurring Schedule'!$F$31))),26,""))))</f>
        <v/>
      </c>
      <c r="AB196">
        <f>IF('Recurring Schedule'!$C$32="","",IF('Recurring Schedule'!$F$32="","",IF(OR($A196&lt;'Recurring Schedule'!$F$32,$A196&gt;'Recurring Schedule'!$P$32),"",IF(IF('Recurring Schedule'!$N$32&gt;0,MOD($A196-'Recurring Schedule'!$F$32,'Recurring Schedule'!$N$32)=0,IF('Recurring Schedule'!$O$32&gt;0,AND(DAY($A196)=MIN(DAY('Recurring Schedule'!$F$32),DAY(EOMONTH($A196,0))),MOD((YEAR($A196)-YEAR('Recurring Schedule'!$F$32))*12+MONTH($A196)-MONTH('Recurring Schedule'!$F$32),'Recurring Schedule'!$O$32)=0),IF('Recurring Schedule'!$E$32="Weekdays",WEEKDAY($A196,2)&lt;=5,$A196='Recurring Schedule'!$F$32))),27,""))))</f>
        <v/>
      </c>
      <c r="AC196">
        <f>IF('Recurring Schedule'!$C$33="","",IF('Recurring Schedule'!$F$33="","",IF(OR($A196&lt;'Recurring Schedule'!$F$33,$A196&gt;'Recurring Schedule'!$P$33),"",IF(IF('Recurring Schedule'!$N$33&gt;0,MOD($A196-'Recurring Schedule'!$F$33,'Recurring Schedule'!$N$33)=0,IF('Recurring Schedule'!$O$33&gt;0,AND(DAY($A196)=MIN(DAY('Recurring Schedule'!$F$33),DAY(EOMONTH($A196,0))),MOD((YEAR($A196)-YEAR('Recurring Schedule'!$F$33))*12+MONTH($A196)-MONTH('Recurring Schedule'!$F$33),'Recurring Schedule'!$O$33)=0),IF('Recurring Schedule'!$E$33="Weekdays",WEEKDAY($A196,2)&lt;=5,$A196='Recurring Schedule'!$F$33))),28,""))))</f>
        <v/>
      </c>
      <c r="AD196">
        <f>IF('Recurring Schedule'!$C$34="","",IF('Recurring Schedule'!$F$34="","",IF(OR($A196&lt;'Recurring Schedule'!$F$34,$A196&gt;'Recurring Schedule'!$P$34),"",IF(IF('Recurring Schedule'!$N$34&gt;0,MOD($A196-'Recurring Schedule'!$F$34,'Recurring Schedule'!$N$34)=0,IF('Recurring Schedule'!$O$34&gt;0,AND(DAY($A196)=MIN(DAY('Recurring Schedule'!$F$34),DAY(EOMONTH($A196,0))),MOD((YEAR($A196)-YEAR('Recurring Schedule'!$F$34))*12+MONTH($A196)-MONTH('Recurring Schedule'!$F$34),'Recurring Schedule'!$O$34)=0),IF('Recurring Schedule'!$E$34="Weekdays",WEEKDAY($A196,2)&lt;=5,$A196='Recurring Schedule'!$F$34))),29,""))))</f>
        <v/>
      </c>
      <c r="AE196">
        <f>IF('Recurring Schedule'!$C$35="","",IF('Recurring Schedule'!$F$35="","",IF(OR($A196&lt;'Recurring Schedule'!$F$35,$A196&gt;'Recurring Schedule'!$P$35),"",IF(IF('Recurring Schedule'!$N$35&gt;0,MOD($A196-'Recurring Schedule'!$F$35,'Recurring Schedule'!$N$35)=0,IF('Recurring Schedule'!$O$35&gt;0,AND(DAY($A196)=MIN(DAY('Recurring Schedule'!$F$35),DAY(EOMONTH($A196,0))),MOD((YEAR($A196)-YEAR('Recurring Schedule'!$F$35))*12+MONTH($A196)-MONTH('Recurring Schedule'!$F$35),'Recurring Schedule'!$O$35)=0),IF('Recurring Schedule'!$E$35="Weekdays",WEEKDAY($A196,2)&lt;=5,$A196='Recurring Schedule'!$F$35))),30,""))))</f>
        <v/>
      </c>
      <c r="AF196">
        <f>IF('Recurring Schedule'!$C$36="","",IF('Recurring Schedule'!$F$36="","",IF(OR($A196&lt;'Recurring Schedule'!$F$36,$A196&gt;'Recurring Schedule'!$P$36),"",IF(IF('Recurring Schedule'!$N$36&gt;0,MOD($A196-'Recurring Schedule'!$F$36,'Recurring Schedule'!$N$36)=0,IF('Recurring Schedule'!$O$36&gt;0,AND(DAY($A196)=MIN(DAY('Recurring Schedule'!$F$36),DAY(EOMONTH($A196,0))),MOD((YEAR($A196)-YEAR('Recurring Schedule'!$F$36))*12+MONTH($A196)-MONTH('Recurring Schedule'!$F$36),'Recurring Schedule'!$O$36)=0),IF('Recurring Schedule'!$E$36="Weekdays",WEEKDAY($A196,2)&lt;=5,$A196='Recurring Schedule'!$F$36))),31,""))))</f>
        <v/>
      </c>
      <c r="AG196">
        <f>IF('Recurring Schedule'!$C$37="","",IF('Recurring Schedule'!$F$37="","",IF(OR($A196&lt;'Recurring Schedule'!$F$37,$A196&gt;'Recurring Schedule'!$P$37),"",IF(IF('Recurring Schedule'!$N$37&gt;0,MOD($A196-'Recurring Schedule'!$F$37,'Recurring Schedule'!$N$37)=0,IF('Recurring Schedule'!$O$37&gt;0,AND(DAY($A196)=MIN(DAY('Recurring Schedule'!$F$37),DAY(EOMONTH($A196,0))),MOD((YEAR($A196)-YEAR('Recurring Schedule'!$F$37))*12+MONTH($A196)-MONTH('Recurring Schedule'!$F$37),'Recurring Schedule'!$O$37)=0),IF('Recurring Schedule'!$E$37="Weekdays",WEEKDAY($A196,2)&lt;=5,$A196='Recurring Schedule'!$F$37))),32,""))))</f>
        <v/>
      </c>
      <c r="AH196">
        <f>IF('Recurring Schedule'!$C$38="","",IF('Recurring Schedule'!$F$38="","",IF(OR($A196&lt;'Recurring Schedule'!$F$38,$A196&gt;'Recurring Schedule'!$P$38),"",IF(IF('Recurring Schedule'!$N$38&gt;0,MOD($A196-'Recurring Schedule'!$F$38,'Recurring Schedule'!$N$38)=0,IF('Recurring Schedule'!$O$38&gt;0,AND(DAY($A196)=MIN(DAY('Recurring Schedule'!$F$38),DAY(EOMONTH($A196,0))),MOD((YEAR($A196)-YEAR('Recurring Schedule'!$F$38))*12+MONTH($A196)-MONTH('Recurring Schedule'!$F$38),'Recurring Schedule'!$O$38)=0),IF('Recurring Schedule'!$E$38="Weekdays",WEEKDAY($A196,2)&lt;=5,$A196='Recurring Schedule'!$F$38))),33,""))))</f>
        <v/>
      </c>
      <c r="AI196">
        <f>IF('Recurring Schedule'!$C$39="","",IF('Recurring Schedule'!$F$39="","",IF(OR($A196&lt;'Recurring Schedule'!$F$39,$A196&gt;'Recurring Schedule'!$P$39),"",IF(IF('Recurring Schedule'!$N$39&gt;0,MOD($A196-'Recurring Schedule'!$F$39,'Recurring Schedule'!$N$39)=0,IF('Recurring Schedule'!$O$39&gt;0,AND(DAY($A196)=MIN(DAY('Recurring Schedule'!$F$39),DAY(EOMONTH($A196,0))),MOD((YEAR($A196)-YEAR('Recurring Schedule'!$F$39))*12+MONTH($A196)-MONTH('Recurring Schedule'!$F$39),'Recurring Schedule'!$O$39)=0),IF('Recurring Schedule'!$E$39="Weekdays",WEEKDAY($A196,2)&lt;=5,$A196='Recurring Schedule'!$F$39))),34,""))))</f>
        <v/>
      </c>
      <c r="AJ196">
        <f>IF('Recurring Schedule'!$C$40="","",IF('Recurring Schedule'!$F$40="","",IF(OR($A196&lt;'Recurring Schedule'!$F$40,$A196&gt;'Recurring Schedule'!$P$40),"",IF(IF('Recurring Schedule'!$N$40&gt;0,MOD($A196-'Recurring Schedule'!$F$40,'Recurring Schedule'!$N$40)=0,IF('Recurring Schedule'!$O$40&gt;0,AND(DAY($A196)=MIN(DAY('Recurring Schedule'!$F$40),DAY(EOMONTH($A196,0))),MOD((YEAR($A196)-YEAR('Recurring Schedule'!$F$40))*12+MONTH($A196)-MONTH('Recurring Schedule'!$F$40),'Recurring Schedule'!$O$40)=0),IF('Recurring Schedule'!$E$40="Weekdays",WEEKDAY($A196,2)&lt;=5,$A196='Recurring Schedule'!$F$40))),35,""))))</f>
        <v/>
      </c>
      <c r="AK196">
        <f>IF('Recurring Schedule'!$C$41="","",IF('Recurring Schedule'!$F$41="","",IF(OR($A196&lt;'Recurring Schedule'!$F$41,$A196&gt;'Recurring Schedule'!$P$41),"",IF(IF('Recurring Schedule'!$N$41&gt;0,MOD($A196-'Recurring Schedule'!$F$41,'Recurring Schedule'!$N$41)=0,IF('Recurring Schedule'!$O$41&gt;0,AND(DAY($A196)=MIN(DAY('Recurring Schedule'!$F$41),DAY(EOMONTH($A196,0))),MOD((YEAR($A196)-YEAR('Recurring Schedule'!$F$41))*12+MONTH($A196)-MONTH('Recurring Schedule'!$F$41),'Recurring Schedule'!$O$41)=0),IF('Recurring Schedule'!$E$41="Weekdays",WEEKDAY($A196,2)&lt;=5,$A196='Recurring Schedule'!$F$41))),36,""))))</f>
        <v/>
      </c>
      <c r="AL196">
        <f>IF('Recurring Schedule'!$C$42="","",IF('Recurring Schedule'!$F$42="","",IF(OR($A196&lt;'Recurring Schedule'!$F$42,$A196&gt;'Recurring Schedule'!$P$42),"",IF(IF('Recurring Schedule'!$N$42&gt;0,MOD($A196-'Recurring Schedule'!$F$42,'Recurring Schedule'!$N$42)=0,IF('Recurring Schedule'!$O$42&gt;0,AND(DAY($A196)=MIN(DAY('Recurring Schedule'!$F$42),DAY(EOMONTH($A196,0))),MOD((YEAR($A196)-YEAR('Recurring Schedule'!$F$42))*12+MONTH($A196)-MONTH('Recurring Schedule'!$F$42),'Recurring Schedule'!$O$42)=0),IF('Recurring Schedule'!$E$42="Weekdays",WEEKDAY($A196,2)&lt;=5,$A196='Recurring Schedule'!$F$42))),37,""))))</f>
        <v/>
      </c>
      <c r="AM196">
        <f>IF('Recurring Schedule'!$C$43="","",IF('Recurring Schedule'!$F$43="","",IF(OR($A196&lt;'Recurring Schedule'!$F$43,$A196&gt;'Recurring Schedule'!$P$43),"",IF(IF('Recurring Schedule'!$N$43&gt;0,MOD($A196-'Recurring Schedule'!$F$43,'Recurring Schedule'!$N$43)=0,IF('Recurring Schedule'!$O$43&gt;0,AND(DAY($A196)=MIN(DAY('Recurring Schedule'!$F$43),DAY(EOMONTH($A196,0))),MOD((YEAR($A196)-YEAR('Recurring Schedule'!$F$43))*12+MONTH($A196)-MONTH('Recurring Schedule'!$F$43),'Recurring Schedule'!$O$43)=0),IF('Recurring Schedule'!$E$43="Weekdays",WEEKDAY($A196,2)&lt;=5,$A196='Recurring Schedule'!$F$43))),38,""))))</f>
        <v/>
      </c>
      <c r="AN196">
        <f>IF('Recurring Schedule'!$C$44="","",IF('Recurring Schedule'!$F$44="","",IF(OR($A196&lt;'Recurring Schedule'!$F$44,$A196&gt;'Recurring Schedule'!$P$44),"",IF(IF('Recurring Schedule'!$N$44&gt;0,MOD($A196-'Recurring Schedule'!$F$44,'Recurring Schedule'!$N$44)=0,IF('Recurring Schedule'!$O$44&gt;0,AND(DAY($A196)=MIN(DAY('Recurring Schedule'!$F$44),DAY(EOMONTH($A196,0))),MOD((YEAR($A196)-YEAR('Recurring Schedule'!$F$44))*12+MONTH($A196)-MONTH('Recurring Schedule'!$F$44),'Recurring Schedule'!$O$44)=0),IF('Recurring Schedule'!$E$44="Weekdays",WEEKDAY($A196,2)&lt;=5,$A196='Recurring Schedule'!$F$44))),39,""))))</f>
        <v/>
      </c>
      <c r="AO196">
        <f>IF('Recurring Schedule'!$C$45="","",IF('Recurring Schedule'!$F$45="","",IF(OR($A196&lt;'Recurring Schedule'!$F$45,$A196&gt;'Recurring Schedule'!$P$45),"",IF(IF('Recurring Schedule'!$N$45&gt;0,MOD($A196-'Recurring Schedule'!$F$45,'Recurring Schedule'!$N$45)=0,IF('Recurring Schedule'!$O$45&gt;0,AND(DAY($A196)=MIN(DAY('Recurring Schedule'!$F$45),DAY(EOMONTH($A196,0))),MOD((YEAR($A196)-YEAR('Recurring Schedule'!$F$45))*12+MONTH($A196)-MONTH('Recurring Schedule'!$F$45),'Recurring Schedule'!$O$45)=0),IF('Recurring Schedule'!$E$45="Weekdays",WEEKDAY($A196,2)&lt;=5,$A196='Recurring Schedule'!$F$45))),40,""))))</f>
        <v/>
      </c>
      <c r="AP196">
        <f>COUNT(B196:AO196)</f>
        <v/>
      </c>
      <c r="AQ196">
        <f>AQ195+AP195</f>
        <v/>
      </c>
      <c r="AS196" t="inlineStr">
        <is>
          <t>R</t>
        </is>
      </c>
      <c r="AT196" t="n">
        <v>200</v>
      </c>
      <c r="AU196">
        <f>'Recurring Log'!C200&amp;""</f>
        <v/>
      </c>
      <c r="AV196">
        <f>'Recurring Log'!D200&amp;""</f>
        <v/>
      </c>
      <c r="AW196">
        <f>IF('Recurring Log'!E200="","",'Recurring Log'!E200)</f>
        <v/>
      </c>
      <c r="AX196">
        <f>IF('Recurring Log'!G200="","",'Recurring Log'!G200)</f>
        <v/>
      </c>
      <c r="AY196">
        <f>IF('Recurring Log'!H200="","",'Recurring Log'!H200)</f>
        <v/>
      </c>
      <c r="AZ196">
        <f>IF(AU196="","",IF('Recurring Log'!J200="","Not Started",'Recurring Log'!J200))</f>
        <v/>
      </c>
      <c r="BA196">
        <f>'Recurring Log'!L200&amp;""</f>
        <v/>
      </c>
      <c r="BB196">
        <f>'Recurring Log'!M200&amp;""</f>
        <v/>
      </c>
      <c r="BC196">
        <f>'Recurring Log'!N200&amp;""</f>
        <v/>
      </c>
      <c r="BD196">
        <f>'Recurring Log'!O200&amp;""</f>
        <v/>
      </c>
      <c r="BE196">
        <f>IF('Recurring Log'!K200="","",'Recurring Log'!K200)</f>
        <v/>
      </c>
      <c r="BF196">
        <f>IFERROR(MATCH(BA196,Setup!$L$6:$L$9,0),5)</f>
        <v/>
      </c>
      <c r="BG196">
        <f>IF(OR(AZ196="Done",AZ196="Cancelled"),1,0)</f>
        <v/>
      </c>
      <c r="BH196">
        <f>IF(AND(AU196&lt;&gt;"",ISNUMBER(AW196)),1,0)</f>
        <v/>
      </c>
      <c r="BI196">
        <f>IF(BH196=0,0,IF(AND(AW196&gt;='Tasks Filter'!$F$3,AW196&lt;='Tasks Filter'!$F$4,OR('Tasks Filter'!$I$3="",ISNUMBER(SEARCH('Tasks Filter'!$I$3,AU196))),OR('Tasks Filter'!$I$4="",BF196=IFERROR(MATCH('Tasks Filter'!$I$4,Setup!$L$6:$L$9,0),0)),OR('Tasks Filter'!$I$5="Both",AND('Tasks Filter'!$I$5="Yes",BB196="✓"),AND('Tasks Filter'!$I$5="No",BB196&lt;&gt;"✓")),OR('Tasks Filter'!$L$3="",AV196='Tasks Filter'!$L$3),OR('Tasks Filter'!$L$4="",AZ196='Tasks Filter'!$L$4),OR('Tasks Filter'!$L$5="",BC196='Tasks Filter'!$L$5),OR('Tasks Filter'!$O$3="",BD196='Tasks Filter'!$O$3),OR('Tasks Filter'!$O$4="Yes",BG196=0)),1,0))</f>
        <v/>
      </c>
      <c r="BJ196">
        <f>IF(BH196=0,"",IF('Tasks Filter'!$F$6="Descending",-1,1)*CHOOSE(MATCH('Tasks Filter'!$F$5,Lists!$G$2:$G$6,0),AW196,BF196,IFERROR(MATCH(AV196,Setup!$F$6:$F$15,0),99),IFERROR(MATCH(BC196,Setup!$H$6:$H$15,0),99),IFERROR(MATCH(AZ196,Setup!$J$6:$J$11,0),99))*1E+9+(AW196-40000)*10000+195)</f>
        <v/>
      </c>
      <c r="BK196">
        <f>IF(BI196=1,BJ196,"")</f>
        <v/>
      </c>
      <c r="BL196">
        <f>IF(AND(BH196=1,BG196=0,N(AW196)&lt;Setup!$D$7),(AW196-40000)*10000+195,"")</f>
        <v/>
      </c>
      <c r="BM196">
        <f>IF(AND(BH196=1,AZ196&lt;&gt;"Cancelled",N(AW196)&gt;=Dashboard!$AB$3,N(AW196)&lt;=Dashboard!$AB$3+6),(AW196-40000)*100000+BF196*10000+195,"")</f>
        <v/>
      </c>
      <c r="BN196">
        <f>IF(AND(BH196=1,AZ196&lt;&gt;"Cancelled"),BF196*10000+195,"")</f>
        <v/>
      </c>
    </row>
    <row r="197">
      <c r="A197">
        <f>Setup!$D$5+195</f>
        <v/>
      </c>
      <c r="B197">
        <f>IF('Recurring Schedule'!$C$6="","",IF('Recurring Schedule'!$F$6="","",IF(OR($A197&lt;'Recurring Schedule'!$F$6,$A197&gt;'Recurring Schedule'!$P$6),"",IF(IF('Recurring Schedule'!$N$6&gt;0,MOD($A197-'Recurring Schedule'!$F$6,'Recurring Schedule'!$N$6)=0,IF('Recurring Schedule'!$O$6&gt;0,AND(DAY($A197)=MIN(DAY('Recurring Schedule'!$F$6),DAY(EOMONTH($A197,0))),MOD((YEAR($A197)-YEAR('Recurring Schedule'!$F$6))*12+MONTH($A197)-MONTH('Recurring Schedule'!$F$6),'Recurring Schedule'!$O$6)=0),IF('Recurring Schedule'!$E$6="Weekdays",WEEKDAY($A197,2)&lt;=5,$A197='Recurring Schedule'!$F$6))),1,""))))</f>
        <v/>
      </c>
      <c r="C197">
        <f>IF('Recurring Schedule'!$C$7="","",IF('Recurring Schedule'!$F$7="","",IF(OR($A197&lt;'Recurring Schedule'!$F$7,$A197&gt;'Recurring Schedule'!$P$7),"",IF(IF('Recurring Schedule'!$N$7&gt;0,MOD($A197-'Recurring Schedule'!$F$7,'Recurring Schedule'!$N$7)=0,IF('Recurring Schedule'!$O$7&gt;0,AND(DAY($A197)=MIN(DAY('Recurring Schedule'!$F$7),DAY(EOMONTH($A197,0))),MOD((YEAR($A197)-YEAR('Recurring Schedule'!$F$7))*12+MONTH($A197)-MONTH('Recurring Schedule'!$F$7),'Recurring Schedule'!$O$7)=0),IF('Recurring Schedule'!$E$7="Weekdays",WEEKDAY($A197,2)&lt;=5,$A197='Recurring Schedule'!$F$7))),2,""))))</f>
        <v/>
      </c>
      <c r="D197">
        <f>IF('Recurring Schedule'!$C$8="","",IF('Recurring Schedule'!$F$8="","",IF(OR($A197&lt;'Recurring Schedule'!$F$8,$A197&gt;'Recurring Schedule'!$P$8),"",IF(IF('Recurring Schedule'!$N$8&gt;0,MOD($A197-'Recurring Schedule'!$F$8,'Recurring Schedule'!$N$8)=0,IF('Recurring Schedule'!$O$8&gt;0,AND(DAY($A197)=MIN(DAY('Recurring Schedule'!$F$8),DAY(EOMONTH($A197,0))),MOD((YEAR($A197)-YEAR('Recurring Schedule'!$F$8))*12+MONTH($A197)-MONTH('Recurring Schedule'!$F$8),'Recurring Schedule'!$O$8)=0),IF('Recurring Schedule'!$E$8="Weekdays",WEEKDAY($A197,2)&lt;=5,$A197='Recurring Schedule'!$F$8))),3,""))))</f>
        <v/>
      </c>
      <c r="E197">
        <f>IF('Recurring Schedule'!$C$9="","",IF('Recurring Schedule'!$F$9="","",IF(OR($A197&lt;'Recurring Schedule'!$F$9,$A197&gt;'Recurring Schedule'!$P$9),"",IF(IF('Recurring Schedule'!$N$9&gt;0,MOD($A197-'Recurring Schedule'!$F$9,'Recurring Schedule'!$N$9)=0,IF('Recurring Schedule'!$O$9&gt;0,AND(DAY($A197)=MIN(DAY('Recurring Schedule'!$F$9),DAY(EOMONTH($A197,0))),MOD((YEAR($A197)-YEAR('Recurring Schedule'!$F$9))*12+MONTH($A197)-MONTH('Recurring Schedule'!$F$9),'Recurring Schedule'!$O$9)=0),IF('Recurring Schedule'!$E$9="Weekdays",WEEKDAY($A197,2)&lt;=5,$A197='Recurring Schedule'!$F$9))),4,""))))</f>
        <v/>
      </c>
      <c r="F197">
        <f>IF('Recurring Schedule'!$C$10="","",IF('Recurring Schedule'!$F$10="","",IF(OR($A197&lt;'Recurring Schedule'!$F$10,$A197&gt;'Recurring Schedule'!$P$10),"",IF(IF('Recurring Schedule'!$N$10&gt;0,MOD($A197-'Recurring Schedule'!$F$10,'Recurring Schedule'!$N$10)=0,IF('Recurring Schedule'!$O$10&gt;0,AND(DAY($A197)=MIN(DAY('Recurring Schedule'!$F$10),DAY(EOMONTH($A197,0))),MOD((YEAR($A197)-YEAR('Recurring Schedule'!$F$10))*12+MONTH($A197)-MONTH('Recurring Schedule'!$F$10),'Recurring Schedule'!$O$10)=0),IF('Recurring Schedule'!$E$10="Weekdays",WEEKDAY($A197,2)&lt;=5,$A197='Recurring Schedule'!$F$10))),5,""))))</f>
        <v/>
      </c>
      <c r="G197">
        <f>IF('Recurring Schedule'!$C$11="","",IF('Recurring Schedule'!$F$11="","",IF(OR($A197&lt;'Recurring Schedule'!$F$11,$A197&gt;'Recurring Schedule'!$P$11),"",IF(IF('Recurring Schedule'!$N$11&gt;0,MOD($A197-'Recurring Schedule'!$F$11,'Recurring Schedule'!$N$11)=0,IF('Recurring Schedule'!$O$11&gt;0,AND(DAY($A197)=MIN(DAY('Recurring Schedule'!$F$11),DAY(EOMONTH($A197,0))),MOD((YEAR($A197)-YEAR('Recurring Schedule'!$F$11))*12+MONTH($A197)-MONTH('Recurring Schedule'!$F$11),'Recurring Schedule'!$O$11)=0),IF('Recurring Schedule'!$E$11="Weekdays",WEEKDAY($A197,2)&lt;=5,$A197='Recurring Schedule'!$F$11))),6,""))))</f>
        <v/>
      </c>
      <c r="H197">
        <f>IF('Recurring Schedule'!$C$12="","",IF('Recurring Schedule'!$F$12="","",IF(OR($A197&lt;'Recurring Schedule'!$F$12,$A197&gt;'Recurring Schedule'!$P$12),"",IF(IF('Recurring Schedule'!$N$12&gt;0,MOD($A197-'Recurring Schedule'!$F$12,'Recurring Schedule'!$N$12)=0,IF('Recurring Schedule'!$O$12&gt;0,AND(DAY($A197)=MIN(DAY('Recurring Schedule'!$F$12),DAY(EOMONTH($A197,0))),MOD((YEAR($A197)-YEAR('Recurring Schedule'!$F$12))*12+MONTH($A197)-MONTH('Recurring Schedule'!$F$12),'Recurring Schedule'!$O$12)=0),IF('Recurring Schedule'!$E$12="Weekdays",WEEKDAY($A197,2)&lt;=5,$A197='Recurring Schedule'!$F$12))),7,""))))</f>
        <v/>
      </c>
      <c r="I197">
        <f>IF('Recurring Schedule'!$C$13="","",IF('Recurring Schedule'!$F$13="","",IF(OR($A197&lt;'Recurring Schedule'!$F$13,$A197&gt;'Recurring Schedule'!$P$13),"",IF(IF('Recurring Schedule'!$N$13&gt;0,MOD($A197-'Recurring Schedule'!$F$13,'Recurring Schedule'!$N$13)=0,IF('Recurring Schedule'!$O$13&gt;0,AND(DAY($A197)=MIN(DAY('Recurring Schedule'!$F$13),DAY(EOMONTH($A197,0))),MOD((YEAR($A197)-YEAR('Recurring Schedule'!$F$13))*12+MONTH($A197)-MONTH('Recurring Schedule'!$F$13),'Recurring Schedule'!$O$13)=0),IF('Recurring Schedule'!$E$13="Weekdays",WEEKDAY($A197,2)&lt;=5,$A197='Recurring Schedule'!$F$13))),8,""))))</f>
        <v/>
      </c>
      <c r="J197">
        <f>IF('Recurring Schedule'!$C$14="","",IF('Recurring Schedule'!$F$14="","",IF(OR($A197&lt;'Recurring Schedule'!$F$14,$A197&gt;'Recurring Schedule'!$P$14),"",IF(IF('Recurring Schedule'!$N$14&gt;0,MOD($A197-'Recurring Schedule'!$F$14,'Recurring Schedule'!$N$14)=0,IF('Recurring Schedule'!$O$14&gt;0,AND(DAY($A197)=MIN(DAY('Recurring Schedule'!$F$14),DAY(EOMONTH($A197,0))),MOD((YEAR($A197)-YEAR('Recurring Schedule'!$F$14))*12+MONTH($A197)-MONTH('Recurring Schedule'!$F$14),'Recurring Schedule'!$O$14)=0),IF('Recurring Schedule'!$E$14="Weekdays",WEEKDAY($A197,2)&lt;=5,$A197='Recurring Schedule'!$F$14))),9,""))))</f>
        <v/>
      </c>
      <c r="K197">
        <f>IF('Recurring Schedule'!$C$15="","",IF('Recurring Schedule'!$F$15="","",IF(OR($A197&lt;'Recurring Schedule'!$F$15,$A197&gt;'Recurring Schedule'!$P$15),"",IF(IF('Recurring Schedule'!$N$15&gt;0,MOD($A197-'Recurring Schedule'!$F$15,'Recurring Schedule'!$N$15)=0,IF('Recurring Schedule'!$O$15&gt;0,AND(DAY($A197)=MIN(DAY('Recurring Schedule'!$F$15),DAY(EOMONTH($A197,0))),MOD((YEAR($A197)-YEAR('Recurring Schedule'!$F$15))*12+MONTH($A197)-MONTH('Recurring Schedule'!$F$15),'Recurring Schedule'!$O$15)=0),IF('Recurring Schedule'!$E$15="Weekdays",WEEKDAY($A197,2)&lt;=5,$A197='Recurring Schedule'!$F$15))),10,""))))</f>
        <v/>
      </c>
      <c r="L197">
        <f>IF('Recurring Schedule'!$C$16="","",IF('Recurring Schedule'!$F$16="","",IF(OR($A197&lt;'Recurring Schedule'!$F$16,$A197&gt;'Recurring Schedule'!$P$16),"",IF(IF('Recurring Schedule'!$N$16&gt;0,MOD($A197-'Recurring Schedule'!$F$16,'Recurring Schedule'!$N$16)=0,IF('Recurring Schedule'!$O$16&gt;0,AND(DAY($A197)=MIN(DAY('Recurring Schedule'!$F$16),DAY(EOMONTH($A197,0))),MOD((YEAR($A197)-YEAR('Recurring Schedule'!$F$16))*12+MONTH($A197)-MONTH('Recurring Schedule'!$F$16),'Recurring Schedule'!$O$16)=0),IF('Recurring Schedule'!$E$16="Weekdays",WEEKDAY($A197,2)&lt;=5,$A197='Recurring Schedule'!$F$16))),11,""))))</f>
        <v/>
      </c>
      <c r="M197">
        <f>IF('Recurring Schedule'!$C$17="","",IF('Recurring Schedule'!$F$17="","",IF(OR($A197&lt;'Recurring Schedule'!$F$17,$A197&gt;'Recurring Schedule'!$P$17),"",IF(IF('Recurring Schedule'!$N$17&gt;0,MOD($A197-'Recurring Schedule'!$F$17,'Recurring Schedule'!$N$17)=0,IF('Recurring Schedule'!$O$17&gt;0,AND(DAY($A197)=MIN(DAY('Recurring Schedule'!$F$17),DAY(EOMONTH($A197,0))),MOD((YEAR($A197)-YEAR('Recurring Schedule'!$F$17))*12+MONTH($A197)-MONTH('Recurring Schedule'!$F$17),'Recurring Schedule'!$O$17)=0),IF('Recurring Schedule'!$E$17="Weekdays",WEEKDAY($A197,2)&lt;=5,$A197='Recurring Schedule'!$F$17))),12,""))))</f>
        <v/>
      </c>
      <c r="N197">
        <f>IF('Recurring Schedule'!$C$18="","",IF('Recurring Schedule'!$F$18="","",IF(OR($A197&lt;'Recurring Schedule'!$F$18,$A197&gt;'Recurring Schedule'!$P$18),"",IF(IF('Recurring Schedule'!$N$18&gt;0,MOD($A197-'Recurring Schedule'!$F$18,'Recurring Schedule'!$N$18)=0,IF('Recurring Schedule'!$O$18&gt;0,AND(DAY($A197)=MIN(DAY('Recurring Schedule'!$F$18),DAY(EOMONTH($A197,0))),MOD((YEAR($A197)-YEAR('Recurring Schedule'!$F$18))*12+MONTH($A197)-MONTH('Recurring Schedule'!$F$18),'Recurring Schedule'!$O$18)=0),IF('Recurring Schedule'!$E$18="Weekdays",WEEKDAY($A197,2)&lt;=5,$A197='Recurring Schedule'!$F$18))),13,""))))</f>
        <v/>
      </c>
      <c r="O197">
        <f>IF('Recurring Schedule'!$C$19="","",IF('Recurring Schedule'!$F$19="","",IF(OR($A197&lt;'Recurring Schedule'!$F$19,$A197&gt;'Recurring Schedule'!$P$19),"",IF(IF('Recurring Schedule'!$N$19&gt;0,MOD($A197-'Recurring Schedule'!$F$19,'Recurring Schedule'!$N$19)=0,IF('Recurring Schedule'!$O$19&gt;0,AND(DAY($A197)=MIN(DAY('Recurring Schedule'!$F$19),DAY(EOMONTH($A197,0))),MOD((YEAR($A197)-YEAR('Recurring Schedule'!$F$19))*12+MONTH($A197)-MONTH('Recurring Schedule'!$F$19),'Recurring Schedule'!$O$19)=0),IF('Recurring Schedule'!$E$19="Weekdays",WEEKDAY($A197,2)&lt;=5,$A197='Recurring Schedule'!$F$19))),14,""))))</f>
        <v/>
      </c>
      <c r="P197">
        <f>IF('Recurring Schedule'!$C$20="","",IF('Recurring Schedule'!$F$20="","",IF(OR($A197&lt;'Recurring Schedule'!$F$20,$A197&gt;'Recurring Schedule'!$P$20),"",IF(IF('Recurring Schedule'!$N$20&gt;0,MOD($A197-'Recurring Schedule'!$F$20,'Recurring Schedule'!$N$20)=0,IF('Recurring Schedule'!$O$20&gt;0,AND(DAY($A197)=MIN(DAY('Recurring Schedule'!$F$20),DAY(EOMONTH($A197,0))),MOD((YEAR($A197)-YEAR('Recurring Schedule'!$F$20))*12+MONTH($A197)-MONTH('Recurring Schedule'!$F$20),'Recurring Schedule'!$O$20)=0),IF('Recurring Schedule'!$E$20="Weekdays",WEEKDAY($A197,2)&lt;=5,$A197='Recurring Schedule'!$F$20))),15,""))))</f>
        <v/>
      </c>
      <c r="Q197">
        <f>IF('Recurring Schedule'!$C$21="","",IF('Recurring Schedule'!$F$21="","",IF(OR($A197&lt;'Recurring Schedule'!$F$21,$A197&gt;'Recurring Schedule'!$P$21),"",IF(IF('Recurring Schedule'!$N$21&gt;0,MOD($A197-'Recurring Schedule'!$F$21,'Recurring Schedule'!$N$21)=0,IF('Recurring Schedule'!$O$21&gt;0,AND(DAY($A197)=MIN(DAY('Recurring Schedule'!$F$21),DAY(EOMONTH($A197,0))),MOD((YEAR($A197)-YEAR('Recurring Schedule'!$F$21))*12+MONTH($A197)-MONTH('Recurring Schedule'!$F$21),'Recurring Schedule'!$O$21)=0),IF('Recurring Schedule'!$E$21="Weekdays",WEEKDAY($A197,2)&lt;=5,$A197='Recurring Schedule'!$F$21))),16,""))))</f>
        <v/>
      </c>
      <c r="R197">
        <f>IF('Recurring Schedule'!$C$22="","",IF('Recurring Schedule'!$F$22="","",IF(OR($A197&lt;'Recurring Schedule'!$F$22,$A197&gt;'Recurring Schedule'!$P$22),"",IF(IF('Recurring Schedule'!$N$22&gt;0,MOD($A197-'Recurring Schedule'!$F$22,'Recurring Schedule'!$N$22)=0,IF('Recurring Schedule'!$O$22&gt;0,AND(DAY($A197)=MIN(DAY('Recurring Schedule'!$F$22),DAY(EOMONTH($A197,0))),MOD((YEAR($A197)-YEAR('Recurring Schedule'!$F$22))*12+MONTH($A197)-MONTH('Recurring Schedule'!$F$22),'Recurring Schedule'!$O$22)=0),IF('Recurring Schedule'!$E$22="Weekdays",WEEKDAY($A197,2)&lt;=5,$A197='Recurring Schedule'!$F$22))),17,""))))</f>
        <v/>
      </c>
      <c r="S197">
        <f>IF('Recurring Schedule'!$C$23="","",IF('Recurring Schedule'!$F$23="","",IF(OR($A197&lt;'Recurring Schedule'!$F$23,$A197&gt;'Recurring Schedule'!$P$23),"",IF(IF('Recurring Schedule'!$N$23&gt;0,MOD($A197-'Recurring Schedule'!$F$23,'Recurring Schedule'!$N$23)=0,IF('Recurring Schedule'!$O$23&gt;0,AND(DAY($A197)=MIN(DAY('Recurring Schedule'!$F$23),DAY(EOMONTH($A197,0))),MOD((YEAR($A197)-YEAR('Recurring Schedule'!$F$23))*12+MONTH($A197)-MONTH('Recurring Schedule'!$F$23),'Recurring Schedule'!$O$23)=0),IF('Recurring Schedule'!$E$23="Weekdays",WEEKDAY($A197,2)&lt;=5,$A197='Recurring Schedule'!$F$23))),18,""))))</f>
        <v/>
      </c>
      <c r="T197">
        <f>IF('Recurring Schedule'!$C$24="","",IF('Recurring Schedule'!$F$24="","",IF(OR($A197&lt;'Recurring Schedule'!$F$24,$A197&gt;'Recurring Schedule'!$P$24),"",IF(IF('Recurring Schedule'!$N$24&gt;0,MOD($A197-'Recurring Schedule'!$F$24,'Recurring Schedule'!$N$24)=0,IF('Recurring Schedule'!$O$24&gt;0,AND(DAY($A197)=MIN(DAY('Recurring Schedule'!$F$24),DAY(EOMONTH($A197,0))),MOD((YEAR($A197)-YEAR('Recurring Schedule'!$F$24))*12+MONTH($A197)-MONTH('Recurring Schedule'!$F$24),'Recurring Schedule'!$O$24)=0),IF('Recurring Schedule'!$E$24="Weekdays",WEEKDAY($A197,2)&lt;=5,$A197='Recurring Schedule'!$F$24))),19,""))))</f>
        <v/>
      </c>
      <c r="U197">
        <f>IF('Recurring Schedule'!$C$25="","",IF('Recurring Schedule'!$F$25="","",IF(OR($A197&lt;'Recurring Schedule'!$F$25,$A197&gt;'Recurring Schedule'!$P$25),"",IF(IF('Recurring Schedule'!$N$25&gt;0,MOD($A197-'Recurring Schedule'!$F$25,'Recurring Schedule'!$N$25)=0,IF('Recurring Schedule'!$O$25&gt;0,AND(DAY($A197)=MIN(DAY('Recurring Schedule'!$F$25),DAY(EOMONTH($A197,0))),MOD((YEAR($A197)-YEAR('Recurring Schedule'!$F$25))*12+MONTH($A197)-MONTH('Recurring Schedule'!$F$25),'Recurring Schedule'!$O$25)=0),IF('Recurring Schedule'!$E$25="Weekdays",WEEKDAY($A197,2)&lt;=5,$A197='Recurring Schedule'!$F$25))),20,""))))</f>
        <v/>
      </c>
      <c r="V197">
        <f>IF('Recurring Schedule'!$C$26="","",IF('Recurring Schedule'!$F$26="","",IF(OR($A197&lt;'Recurring Schedule'!$F$26,$A197&gt;'Recurring Schedule'!$P$26),"",IF(IF('Recurring Schedule'!$N$26&gt;0,MOD($A197-'Recurring Schedule'!$F$26,'Recurring Schedule'!$N$26)=0,IF('Recurring Schedule'!$O$26&gt;0,AND(DAY($A197)=MIN(DAY('Recurring Schedule'!$F$26),DAY(EOMONTH($A197,0))),MOD((YEAR($A197)-YEAR('Recurring Schedule'!$F$26))*12+MONTH($A197)-MONTH('Recurring Schedule'!$F$26),'Recurring Schedule'!$O$26)=0),IF('Recurring Schedule'!$E$26="Weekdays",WEEKDAY($A197,2)&lt;=5,$A197='Recurring Schedule'!$F$26))),21,""))))</f>
        <v/>
      </c>
      <c r="W197">
        <f>IF('Recurring Schedule'!$C$27="","",IF('Recurring Schedule'!$F$27="","",IF(OR($A197&lt;'Recurring Schedule'!$F$27,$A197&gt;'Recurring Schedule'!$P$27),"",IF(IF('Recurring Schedule'!$N$27&gt;0,MOD($A197-'Recurring Schedule'!$F$27,'Recurring Schedule'!$N$27)=0,IF('Recurring Schedule'!$O$27&gt;0,AND(DAY($A197)=MIN(DAY('Recurring Schedule'!$F$27),DAY(EOMONTH($A197,0))),MOD((YEAR($A197)-YEAR('Recurring Schedule'!$F$27))*12+MONTH($A197)-MONTH('Recurring Schedule'!$F$27),'Recurring Schedule'!$O$27)=0),IF('Recurring Schedule'!$E$27="Weekdays",WEEKDAY($A197,2)&lt;=5,$A197='Recurring Schedule'!$F$27))),22,""))))</f>
        <v/>
      </c>
      <c r="X197">
        <f>IF('Recurring Schedule'!$C$28="","",IF('Recurring Schedule'!$F$28="","",IF(OR($A197&lt;'Recurring Schedule'!$F$28,$A197&gt;'Recurring Schedule'!$P$28),"",IF(IF('Recurring Schedule'!$N$28&gt;0,MOD($A197-'Recurring Schedule'!$F$28,'Recurring Schedule'!$N$28)=0,IF('Recurring Schedule'!$O$28&gt;0,AND(DAY($A197)=MIN(DAY('Recurring Schedule'!$F$28),DAY(EOMONTH($A197,0))),MOD((YEAR($A197)-YEAR('Recurring Schedule'!$F$28))*12+MONTH($A197)-MONTH('Recurring Schedule'!$F$28),'Recurring Schedule'!$O$28)=0),IF('Recurring Schedule'!$E$28="Weekdays",WEEKDAY($A197,2)&lt;=5,$A197='Recurring Schedule'!$F$28))),23,""))))</f>
        <v/>
      </c>
      <c r="Y197">
        <f>IF('Recurring Schedule'!$C$29="","",IF('Recurring Schedule'!$F$29="","",IF(OR($A197&lt;'Recurring Schedule'!$F$29,$A197&gt;'Recurring Schedule'!$P$29),"",IF(IF('Recurring Schedule'!$N$29&gt;0,MOD($A197-'Recurring Schedule'!$F$29,'Recurring Schedule'!$N$29)=0,IF('Recurring Schedule'!$O$29&gt;0,AND(DAY($A197)=MIN(DAY('Recurring Schedule'!$F$29),DAY(EOMONTH($A197,0))),MOD((YEAR($A197)-YEAR('Recurring Schedule'!$F$29))*12+MONTH($A197)-MONTH('Recurring Schedule'!$F$29),'Recurring Schedule'!$O$29)=0),IF('Recurring Schedule'!$E$29="Weekdays",WEEKDAY($A197,2)&lt;=5,$A197='Recurring Schedule'!$F$29))),24,""))))</f>
        <v/>
      </c>
      <c r="Z197">
        <f>IF('Recurring Schedule'!$C$30="","",IF('Recurring Schedule'!$F$30="","",IF(OR($A197&lt;'Recurring Schedule'!$F$30,$A197&gt;'Recurring Schedule'!$P$30),"",IF(IF('Recurring Schedule'!$N$30&gt;0,MOD($A197-'Recurring Schedule'!$F$30,'Recurring Schedule'!$N$30)=0,IF('Recurring Schedule'!$O$30&gt;0,AND(DAY($A197)=MIN(DAY('Recurring Schedule'!$F$30),DAY(EOMONTH($A197,0))),MOD((YEAR($A197)-YEAR('Recurring Schedule'!$F$30))*12+MONTH($A197)-MONTH('Recurring Schedule'!$F$30),'Recurring Schedule'!$O$30)=0),IF('Recurring Schedule'!$E$30="Weekdays",WEEKDAY($A197,2)&lt;=5,$A197='Recurring Schedule'!$F$30))),25,""))))</f>
        <v/>
      </c>
      <c r="AA197">
        <f>IF('Recurring Schedule'!$C$31="","",IF('Recurring Schedule'!$F$31="","",IF(OR($A197&lt;'Recurring Schedule'!$F$31,$A197&gt;'Recurring Schedule'!$P$31),"",IF(IF('Recurring Schedule'!$N$31&gt;0,MOD($A197-'Recurring Schedule'!$F$31,'Recurring Schedule'!$N$31)=0,IF('Recurring Schedule'!$O$31&gt;0,AND(DAY($A197)=MIN(DAY('Recurring Schedule'!$F$31),DAY(EOMONTH($A197,0))),MOD((YEAR($A197)-YEAR('Recurring Schedule'!$F$31))*12+MONTH($A197)-MONTH('Recurring Schedule'!$F$31),'Recurring Schedule'!$O$31)=0),IF('Recurring Schedule'!$E$31="Weekdays",WEEKDAY($A197,2)&lt;=5,$A197='Recurring Schedule'!$F$31))),26,""))))</f>
        <v/>
      </c>
      <c r="AB197">
        <f>IF('Recurring Schedule'!$C$32="","",IF('Recurring Schedule'!$F$32="","",IF(OR($A197&lt;'Recurring Schedule'!$F$32,$A197&gt;'Recurring Schedule'!$P$32),"",IF(IF('Recurring Schedule'!$N$32&gt;0,MOD($A197-'Recurring Schedule'!$F$32,'Recurring Schedule'!$N$32)=0,IF('Recurring Schedule'!$O$32&gt;0,AND(DAY($A197)=MIN(DAY('Recurring Schedule'!$F$32),DAY(EOMONTH($A197,0))),MOD((YEAR($A197)-YEAR('Recurring Schedule'!$F$32))*12+MONTH($A197)-MONTH('Recurring Schedule'!$F$32),'Recurring Schedule'!$O$32)=0),IF('Recurring Schedule'!$E$32="Weekdays",WEEKDAY($A197,2)&lt;=5,$A197='Recurring Schedule'!$F$32))),27,""))))</f>
        <v/>
      </c>
      <c r="AC197">
        <f>IF('Recurring Schedule'!$C$33="","",IF('Recurring Schedule'!$F$33="","",IF(OR($A197&lt;'Recurring Schedule'!$F$33,$A197&gt;'Recurring Schedule'!$P$33),"",IF(IF('Recurring Schedule'!$N$33&gt;0,MOD($A197-'Recurring Schedule'!$F$33,'Recurring Schedule'!$N$33)=0,IF('Recurring Schedule'!$O$33&gt;0,AND(DAY($A197)=MIN(DAY('Recurring Schedule'!$F$33),DAY(EOMONTH($A197,0))),MOD((YEAR($A197)-YEAR('Recurring Schedule'!$F$33))*12+MONTH($A197)-MONTH('Recurring Schedule'!$F$33),'Recurring Schedule'!$O$33)=0),IF('Recurring Schedule'!$E$33="Weekdays",WEEKDAY($A197,2)&lt;=5,$A197='Recurring Schedule'!$F$33))),28,""))))</f>
        <v/>
      </c>
      <c r="AD197">
        <f>IF('Recurring Schedule'!$C$34="","",IF('Recurring Schedule'!$F$34="","",IF(OR($A197&lt;'Recurring Schedule'!$F$34,$A197&gt;'Recurring Schedule'!$P$34),"",IF(IF('Recurring Schedule'!$N$34&gt;0,MOD($A197-'Recurring Schedule'!$F$34,'Recurring Schedule'!$N$34)=0,IF('Recurring Schedule'!$O$34&gt;0,AND(DAY($A197)=MIN(DAY('Recurring Schedule'!$F$34),DAY(EOMONTH($A197,0))),MOD((YEAR($A197)-YEAR('Recurring Schedule'!$F$34))*12+MONTH($A197)-MONTH('Recurring Schedule'!$F$34),'Recurring Schedule'!$O$34)=0),IF('Recurring Schedule'!$E$34="Weekdays",WEEKDAY($A197,2)&lt;=5,$A197='Recurring Schedule'!$F$34))),29,""))))</f>
        <v/>
      </c>
      <c r="AE197">
        <f>IF('Recurring Schedule'!$C$35="","",IF('Recurring Schedule'!$F$35="","",IF(OR($A197&lt;'Recurring Schedule'!$F$35,$A197&gt;'Recurring Schedule'!$P$35),"",IF(IF('Recurring Schedule'!$N$35&gt;0,MOD($A197-'Recurring Schedule'!$F$35,'Recurring Schedule'!$N$35)=0,IF('Recurring Schedule'!$O$35&gt;0,AND(DAY($A197)=MIN(DAY('Recurring Schedule'!$F$35),DAY(EOMONTH($A197,0))),MOD((YEAR($A197)-YEAR('Recurring Schedule'!$F$35))*12+MONTH($A197)-MONTH('Recurring Schedule'!$F$35),'Recurring Schedule'!$O$35)=0),IF('Recurring Schedule'!$E$35="Weekdays",WEEKDAY($A197,2)&lt;=5,$A197='Recurring Schedule'!$F$35))),30,""))))</f>
        <v/>
      </c>
      <c r="AF197">
        <f>IF('Recurring Schedule'!$C$36="","",IF('Recurring Schedule'!$F$36="","",IF(OR($A197&lt;'Recurring Schedule'!$F$36,$A197&gt;'Recurring Schedule'!$P$36),"",IF(IF('Recurring Schedule'!$N$36&gt;0,MOD($A197-'Recurring Schedule'!$F$36,'Recurring Schedule'!$N$36)=0,IF('Recurring Schedule'!$O$36&gt;0,AND(DAY($A197)=MIN(DAY('Recurring Schedule'!$F$36),DAY(EOMONTH($A197,0))),MOD((YEAR($A197)-YEAR('Recurring Schedule'!$F$36))*12+MONTH($A197)-MONTH('Recurring Schedule'!$F$36),'Recurring Schedule'!$O$36)=0),IF('Recurring Schedule'!$E$36="Weekdays",WEEKDAY($A197,2)&lt;=5,$A197='Recurring Schedule'!$F$36))),31,""))))</f>
        <v/>
      </c>
      <c r="AG197">
        <f>IF('Recurring Schedule'!$C$37="","",IF('Recurring Schedule'!$F$37="","",IF(OR($A197&lt;'Recurring Schedule'!$F$37,$A197&gt;'Recurring Schedule'!$P$37),"",IF(IF('Recurring Schedule'!$N$37&gt;0,MOD($A197-'Recurring Schedule'!$F$37,'Recurring Schedule'!$N$37)=0,IF('Recurring Schedule'!$O$37&gt;0,AND(DAY($A197)=MIN(DAY('Recurring Schedule'!$F$37),DAY(EOMONTH($A197,0))),MOD((YEAR($A197)-YEAR('Recurring Schedule'!$F$37))*12+MONTH($A197)-MONTH('Recurring Schedule'!$F$37),'Recurring Schedule'!$O$37)=0),IF('Recurring Schedule'!$E$37="Weekdays",WEEKDAY($A197,2)&lt;=5,$A197='Recurring Schedule'!$F$37))),32,""))))</f>
        <v/>
      </c>
      <c r="AH197">
        <f>IF('Recurring Schedule'!$C$38="","",IF('Recurring Schedule'!$F$38="","",IF(OR($A197&lt;'Recurring Schedule'!$F$38,$A197&gt;'Recurring Schedule'!$P$38),"",IF(IF('Recurring Schedule'!$N$38&gt;0,MOD($A197-'Recurring Schedule'!$F$38,'Recurring Schedule'!$N$38)=0,IF('Recurring Schedule'!$O$38&gt;0,AND(DAY($A197)=MIN(DAY('Recurring Schedule'!$F$38),DAY(EOMONTH($A197,0))),MOD((YEAR($A197)-YEAR('Recurring Schedule'!$F$38))*12+MONTH($A197)-MONTH('Recurring Schedule'!$F$38),'Recurring Schedule'!$O$38)=0),IF('Recurring Schedule'!$E$38="Weekdays",WEEKDAY($A197,2)&lt;=5,$A197='Recurring Schedule'!$F$38))),33,""))))</f>
        <v/>
      </c>
      <c r="AI197">
        <f>IF('Recurring Schedule'!$C$39="","",IF('Recurring Schedule'!$F$39="","",IF(OR($A197&lt;'Recurring Schedule'!$F$39,$A197&gt;'Recurring Schedule'!$P$39),"",IF(IF('Recurring Schedule'!$N$39&gt;0,MOD($A197-'Recurring Schedule'!$F$39,'Recurring Schedule'!$N$39)=0,IF('Recurring Schedule'!$O$39&gt;0,AND(DAY($A197)=MIN(DAY('Recurring Schedule'!$F$39),DAY(EOMONTH($A197,0))),MOD((YEAR($A197)-YEAR('Recurring Schedule'!$F$39))*12+MONTH($A197)-MONTH('Recurring Schedule'!$F$39),'Recurring Schedule'!$O$39)=0),IF('Recurring Schedule'!$E$39="Weekdays",WEEKDAY($A197,2)&lt;=5,$A197='Recurring Schedule'!$F$39))),34,""))))</f>
        <v/>
      </c>
      <c r="AJ197">
        <f>IF('Recurring Schedule'!$C$40="","",IF('Recurring Schedule'!$F$40="","",IF(OR($A197&lt;'Recurring Schedule'!$F$40,$A197&gt;'Recurring Schedule'!$P$40),"",IF(IF('Recurring Schedule'!$N$40&gt;0,MOD($A197-'Recurring Schedule'!$F$40,'Recurring Schedule'!$N$40)=0,IF('Recurring Schedule'!$O$40&gt;0,AND(DAY($A197)=MIN(DAY('Recurring Schedule'!$F$40),DAY(EOMONTH($A197,0))),MOD((YEAR($A197)-YEAR('Recurring Schedule'!$F$40))*12+MONTH($A197)-MONTH('Recurring Schedule'!$F$40),'Recurring Schedule'!$O$40)=0),IF('Recurring Schedule'!$E$40="Weekdays",WEEKDAY($A197,2)&lt;=5,$A197='Recurring Schedule'!$F$40))),35,""))))</f>
        <v/>
      </c>
      <c r="AK197">
        <f>IF('Recurring Schedule'!$C$41="","",IF('Recurring Schedule'!$F$41="","",IF(OR($A197&lt;'Recurring Schedule'!$F$41,$A197&gt;'Recurring Schedule'!$P$41),"",IF(IF('Recurring Schedule'!$N$41&gt;0,MOD($A197-'Recurring Schedule'!$F$41,'Recurring Schedule'!$N$41)=0,IF('Recurring Schedule'!$O$41&gt;0,AND(DAY($A197)=MIN(DAY('Recurring Schedule'!$F$41),DAY(EOMONTH($A197,0))),MOD((YEAR($A197)-YEAR('Recurring Schedule'!$F$41))*12+MONTH($A197)-MONTH('Recurring Schedule'!$F$41),'Recurring Schedule'!$O$41)=0),IF('Recurring Schedule'!$E$41="Weekdays",WEEKDAY($A197,2)&lt;=5,$A197='Recurring Schedule'!$F$41))),36,""))))</f>
        <v/>
      </c>
      <c r="AL197">
        <f>IF('Recurring Schedule'!$C$42="","",IF('Recurring Schedule'!$F$42="","",IF(OR($A197&lt;'Recurring Schedule'!$F$42,$A197&gt;'Recurring Schedule'!$P$42),"",IF(IF('Recurring Schedule'!$N$42&gt;0,MOD($A197-'Recurring Schedule'!$F$42,'Recurring Schedule'!$N$42)=0,IF('Recurring Schedule'!$O$42&gt;0,AND(DAY($A197)=MIN(DAY('Recurring Schedule'!$F$42),DAY(EOMONTH($A197,0))),MOD((YEAR($A197)-YEAR('Recurring Schedule'!$F$42))*12+MONTH($A197)-MONTH('Recurring Schedule'!$F$42),'Recurring Schedule'!$O$42)=0),IF('Recurring Schedule'!$E$42="Weekdays",WEEKDAY($A197,2)&lt;=5,$A197='Recurring Schedule'!$F$42))),37,""))))</f>
        <v/>
      </c>
      <c r="AM197">
        <f>IF('Recurring Schedule'!$C$43="","",IF('Recurring Schedule'!$F$43="","",IF(OR($A197&lt;'Recurring Schedule'!$F$43,$A197&gt;'Recurring Schedule'!$P$43),"",IF(IF('Recurring Schedule'!$N$43&gt;0,MOD($A197-'Recurring Schedule'!$F$43,'Recurring Schedule'!$N$43)=0,IF('Recurring Schedule'!$O$43&gt;0,AND(DAY($A197)=MIN(DAY('Recurring Schedule'!$F$43),DAY(EOMONTH($A197,0))),MOD((YEAR($A197)-YEAR('Recurring Schedule'!$F$43))*12+MONTH($A197)-MONTH('Recurring Schedule'!$F$43),'Recurring Schedule'!$O$43)=0),IF('Recurring Schedule'!$E$43="Weekdays",WEEKDAY($A197,2)&lt;=5,$A197='Recurring Schedule'!$F$43))),38,""))))</f>
        <v/>
      </c>
      <c r="AN197">
        <f>IF('Recurring Schedule'!$C$44="","",IF('Recurring Schedule'!$F$44="","",IF(OR($A197&lt;'Recurring Schedule'!$F$44,$A197&gt;'Recurring Schedule'!$P$44),"",IF(IF('Recurring Schedule'!$N$44&gt;0,MOD($A197-'Recurring Schedule'!$F$44,'Recurring Schedule'!$N$44)=0,IF('Recurring Schedule'!$O$44&gt;0,AND(DAY($A197)=MIN(DAY('Recurring Schedule'!$F$44),DAY(EOMONTH($A197,0))),MOD((YEAR($A197)-YEAR('Recurring Schedule'!$F$44))*12+MONTH($A197)-MONTH('Recurring Schedule'!$F$44),'Recurring Schedule'!$O$44)=0),IF('Recurring Schedule'!$E$44="Weekdays",WEEKDAY($A197,2)&lt;=5,$A197='Recurring Schedule'!$F$44))),39,""))))</f>
        <v/>
      </c>
      <c r="AO197">
        <f>IF('Recurring Schedule'!$C$45="","",IF('Recurring Schedule'!$F$45="","",IF(OR($A197&lt;'Recurring Schedule'!$F$45,$A197&gt;'Recurring Schedule'!$P$45),"",IF(IF('Recurring Schedule'!$N$45&gt;0,MOD($A197-'Recurring Schedule'!$F$45,'Recurring Schedule'!$N$45)=0,IF('Recurring Schedule'!$O$45&gt;0,AND(DAY($A197)=MIN(DAY('Recurring Schedule'!$F$45),DAY(EOMONTH($A197,0))),MOD((YEAR($A197)-YEAR('Recurring Schedule'!$F$45))*12+MONTH($A197)-MONTH('Recurring Schedule'!$F$45),'Recurring Schedule'!$O$45)=0),IF('Recurring Schedule'!$E$45="Weekdays",WEEKDAY($A197,2)&lt;=5,$A197='Recurring Schedule'!$F$45))),40,""))))</f>
        <v/>
      </c>
      <c r="AP197">
        <f>COUNT(B197:AO197)</f>
        <v/>
      </c>
      <c r="AQ197">
        <f>AQ196+AP196</f>
        <v/>
      </c>
      <c r="AS197" t="inlineStr">
        <is>
          <t>R</t>
        </is>
      </c>
      <c r="AT197" t="n">
        <v>201</v>
      </c>
      <c r="AU197">
        <f>'Recurring Log'!C201&amp;""</f>
        <v/>
      </c>
      <c r="AV197">
        <f>'Recurring Log'!D201&amp;""</f>
        <v/>
      </c>
      <c r="AW197">
        <f>IF('Recurring Log'!E201="","",'Recurring Log'!E201)</f>
        <v/>
      </c>
      <c r="AX197">
        <f>IF('Recurring Log'!G201="","",'Recurring Log'!G201)</f>
        <v/>
      </c>
      <c r="AY197">
        <f>IF('Recurring Log'!H201="","",'Recurring Log'!H201)</f>
        <v/>
      </c>
      <c r="AZ197">
        <f>IF(AU197="","",IF('Recurring Log'!J201="","Not Started",'Recurring Log'!J201))</f>
        <v/>
      </c>
      <c r="BA197">
        <f>'Recurring Log'!L201&amp;""</f>
        <v/>
      </c>
      <c r="BB197">
        <f>'Recurring Log'!M201&amp;""</f>
        <v/>
      </c>
      <c r="BC197">
        <f>'Recurring Log'!N201&amp;""</f>
        <v/>
      </c>
      <c r="BD197">
        <f>'Recurring Log'!O201&amp;""</f>
        <v/>
      </c>
      <c r="BE197">
        <f>IF('Recurring Log'!K201="","",'Recurring Log'!K201)</f>
        <v/>
      </c>
      <c r="BF197">
        <f>IFERROR(MATCH(BA197,Setup!$L$6:$L$9,0),5)</f>
        <v/>
      </c>
      <c r="BG197">
        <f>IF(OR(AZ197="Done",AZ197="Cancelled"),1,0)</f>
        <v/>
      </c>
      <c r="BH197">
        <f>IF(AND(AU197&lt;&gt;"",ISNUMBER(AW197)),1,0)</f>
        <v/>
      </c>
      <c r="BI197">
        <f>IF(BH197=0,0,IF(AND(AW197&gt;='Tasks Filter'!$F$3,AW197&lt;='Tasks Filter'!$F$4,OR('Tasks Filter'!$I$3="",ISNUMBER(SEARCH('Tasks Filter'!$I$3,AU197))),OR('Tasks Filter'!$I$4="",BF197=IFERROR(MATCH('Tasks Filter'!$I$4,Setup!$L$6:$L$9,0),0)),OR('Tasks Filter'!$I$5="Both",AND('Tasks Filter'!$I$5="Yes",BB197="✓"),AND('Tasks Filter'!$I$5="No",BB197&lt;&gt;"✓")),OR('Tasks Filter'!$L$3="",AV197='Tasks Filter'!$L$3),OR('Tasks Filter'!$L$4="",AZ197='Tasks Filter'!$L$4),OR('Tasks Filter'!$L$5="",BC197='Tasks Filter'!$L$5),OR('Tasks Filter'!$O$3="",BD197='Tasks Filter'!$O$3),OR('Tasks Filter'!$O$4="Yes",BG197=0)),1,0))</f>
        <v/>
      </c>
      <c r="BJ197">
        <f>IF(BH197=0,"",IF('Tasks Filter'!$F$6="Descending",-1,1)*CHOOSE(MATCH('Tasks Filter'!$F$5,Lists!$G$2:$G$6,0),AW197,BF197,IFERROR(MATCH(AV197,Setup!$F$6:$F$15,0),99),IFERROR(MATCH(BC197,Setup!$H$6:$H$15,0),99),IFERROR(MATCH(AZ197,Setup!$J$6:$J$11,0),99))*1E+9+(AW197-40000)*10000+196)</f>
        <v/>
      </c>
      <c r="BK197">
        <f>IF(BI197=1,BJ197,"")</f>
        <v/>
      </c>
      <c r="BL197">
        <f>IF(AND(BH197=1,BG197=0,N(AW197)&lt;Setup!$D$7),(AW197-40000)*10000+196,"")</f>
        <v/>
      </c>
      <c r="BM197">
        <f>IF(AND(BH197=1,AZ197&lt;&gt;"Cancelled",N(AW197)&gt;=Dashboard!$AB$3,N(AW197)&lt;=Dashboard!$AB$3+6),(AW197-40000)*100000+BF197*10000+196,"")</f>
        <v/>
      </c>
      <c r="BN197">
        <f>IF(AND(BH197=1,AZ197&lt;&gt;"Cancelled"),BF197*10000+196,"")</f>
        <v/>
      </c>
    </row>
    <row r="198">
      <c r="A198">
        <f>Setup!$D$5+196</f>
        <v/>
      </c>
      <c r="B198">
        <f>IF('Recurring Schedule'!$C$6="","",IF('Recurring Schedule'!$F$6="","",IF(OR($A198&lt;'Recurring Schedule'!$F$6,$A198&gt;'Recurring Schedule'!$P$6),"",IF(IF('Recurring Schedule'!$N$6&gt;0,MOD($A198-'Recurring Schedule'!$F$6,'Recurring Schedule'!$N$6)=0,IF('Recurring Schedule'!$O$6&gt;0,AND(DAY($A198)=MIN(DAY('Recurring Schedule'!$F$6),DAY(EOMONTH($A198,0))),MOD((YEAR($A198)-YEAR('Recurring Schedule'!$F$6))*12+MONTH($A198)-MONTH('Recurring Schedule'!$F$6),'Recurring Schedule'!$O$6)=0),IF('Recurring Schedule'!$E$6="Weekdays",WEEKDAY($A198,2)&lt;=5,$A198='Recurring Schedule'!$F$6))),1,""))))</f>
        <v/>
      </c>
      <c r="C198">
        <f>IF('Recurring Schedule'!$C$7="","",IF('Recurring Schedule'!$F$7="","",IF(OR($A198&lt;'Recurring Schedule'!$F$7,$A198&gt;'Recurring Schedule'!$P$7),"",IF(IF('Recurring Schedule'!$N$7&gt;0,MOD($A198-'Recurring Schedule'!$F$7,'Recurring Schedule'!$N$7)=0,IF('Recurring Schedule'!$O$7&gt;0,AND(DAY($A198)=MIN(DAY('Recurring Schedule'!$F$7),DAY(EOMONTH($A198,0))),MOD((YEAR($A198)-YEAR('Recurring Schedule'!$F$7))*12+MONTH($A198)-MONTH('Recurring Schedule'!$F$7),'Recurring Schedule'!$O$7)=0),IF('Recurring Schedule'!$E$7="Weekdays",WEEKDAY($A198,2)&lt;=5,$A198='Recurring Schedule'!$F$7))),2,""))))</f>
        <v/>
      </c>
      <c r="D198">
        <f>IF('Recurring Schedule'!$C$8="","",IF('Recurring Schedule'!$F$8="","",IF(OR($A198&lt;'Recurring Schedule'!$F$8,$A198&gt;'Recurring Schedule'!$P$8),"",IF(IF('Recurring Schedule'!$N$8&gt;0,MOD($A198-'Recurring Schedule'!$F$8,'Recurring Schedule'!$N$8)=0,IF('Recurring Schedule'!$O$8&gt;0,AND(DAY($A198)=MIN(DAY('Recurring Schedule'!$F$8),DAY(EOMONTH($A198,0))),MOD((YEAR($A198)-YEAR('Recurring Schedule'!$F$8))*12+MONTH($A198)-MONTH('Recurring Schedule'!$F$8),'Recurring Schedule'!$O$8)=0),IF('Recurring Schedule'!$E$8="Weekdays",WEEKDAY($A198,2)&lt;=5,$A198='Recurring Schedule'!$F$8))),3,""))))</f>
        <v/>
      </c>
      <c r="E198">
        <f>IF('Recurring Schedule'!$C$9="","",IF('Recurring Schedule'!$F$9="","",IF(OR($A198&lt;'Recurring Schedule'!$F$9,$A198&gt;'Recurring Schedule'!$P$9),"",IF(IF('Recurring Schedule'!$N$9&gt;0,MOD($A198-'Recurring Schedule'!$F$9,'Recurring Schedule'!$N$9)=0,IF('Recurring Schedule'!$O$9&gt;0,AND(DAY($A198)=MIN(DAY('Recurring Schedule'!$F$9),DAY(EOMONTH($A198,0))),MOD((YEAR($A198)-YEAR('Recurring Schedule'!$F$9))*12+MONTH($A198)-MONTH('Recurring Schedule'!$F$9),'Recurring Schedule'!$O$9)=0),IF('Recurring Schedule'!$E$9="Weekdays",WEEKDAY($A198,2)&lt;=5,$A198='Recurring Schedule'!$F$9))),4,""))))</f>
        <v/>
      </c>
      <c r="F198">
        <f>IF('Recurring Schedule'!$C$10="","",IF('Recurring Schedule'!$F$10="","",IF(OR($A198&lt;'Recurring Schedule'!$F$10,$A198&gt;'Recurring Schedule'!$P$10),"",IF(IF('Recurring Schedule'!$N$10&gt;0,MOD($A198-'Recurring Schedule'!$F$10,'Recurring Schedule'!$N$10)=0,IF('Recurring Schedule'!$O$10&gt;0,AND(DAY($A198)=MIN(DAY('Recurring Schedule'!$F$10),DAY(EOMONTH($A198,0))),MOD((YEAR($A198)-YEAR('Recurring Schedule'!$F$10))*12+MONTH($A198)-MONTH('Recurring Schedule'!$F$10),'Recurring Schedule'!$O$10)=0),IF('Recurring Schedule'!$E$10="Weekdays",WEEKDAY($A198,2)&lt;=5,$A198='Recurring Schedule'!$F$10))),5,""))))</f>
        <v/>
      </c>
      <c r="G198">
        <f>IF('Recurring Schedule'!$C$11="","",IF('Recurring Schedule'!$F$11="","",IF(OR($A198&lt;'Recurring Schedule'!$F$11,$A198&gt;'Recurring Schedule'!$P$11),"",IF(IF('Recurring Schedule'!$N$11&gt;0,MOD($A198-'Recurring Schedule'!$F$11,'Recurring Schedule'!$N$11)=0,IF('Recurring Schedule'!$O$11&gt;0,AND(DAY($A198)=MIN(DAY('Recurring Schedule'!$F$11),DAY(EOMONTH($A198,0))),MOD((YEAR($A198)-YEAR('Recurring Schedule'!$F$11))*12+MONTH($A198)-MONTH('Recurring Schedule'!$F$11),'Recurring Schedule'!$O$11)=0),IF('Recurring Schedule'!$E$11="Weekdays",WEEKDAY($A198,2)&lt;=5,$A198='Recurring Schedule'!$F$11))),6,""))))</f>
        <v/>
      </c>
      <c r="H198">
        <f>IF('Recurring Schedule'!$C$12="","",IF('Recurring Schedule'!$F$12="","",IF(OR($A198&lt;'Recurring Schedule'!$F$12,$A198&gt;'Recurring Schedule'!$P$12),"",IF(IF('Recurring Schedule'!$N$12&gt;0,MOD($A198-'Recurring Schedule'!$F$12,'Recurring Schedule'!$N$12)=0,IF('Recurring Schedule'!$O$12&gt;0,AND(DAY($A198)=MIN(DAY('Recurring Schedule'!$F$12),DAY(EOMONTH($A198,0))),MOD((YEAR($A198)-YEAR('Recurring Schedule'!$F$12))*12+MONTH($A198)-MONTH('Recurring Schedule'!$F$12),'Recurring Schedule'!$O$12)=0),IF('Recurring Schedule'!$E$12="Weekdays",WEEKDAY($A198,2)&lt;=5,$A198='Recurring Schedule'!$F$12))),7,""))))</f>
        <v/>
      </c>
      <c r="I198">
        <f>IF('Recurring Schedule'!$C$13="","",IF('Recurring Schedule'!$F$13="","",IF(OR($A198&lt;'Recurring Schedule'!$F$13,$A198&gt;'Recurring Schedule'!$P$13),"",IF(IF('Recurring Schedule'!$N$13&gt;0,MOD($A198-'Recurring Schedule'!$F$13,'Recurring Schedule'!$N$13)=0,IF('Recurring Schedule'!$O$13&gt;0,AND(DAY($A198)=MIN(DAY('Recurring Schedule'!$F$13),DAY(EOMONTH($A198,0))),MOD((YEAR($A198)-YEAR('Recurring Schedule'!$F$13))*12+MONTH($A198)-MONTH('Recurring Schedule'!$F$13),'Recurring Schedule'!$O$13)=0),IF('Recurring Schedule'!$E$13="Weekdays",WEEKDAY($A198,2)&lt;=5,$A198='Recurring Schedule'!$F$13))),8,""))))</f>
        <v/>
      </c>
      <c r="J198">
        <f>IF('Recurring Schedule'!$C$14="","",IF('Recurring Schedule'!$F$14="","",IF(OR($A198&lt;'Recurring Schedule'!$F$14,$A198&gt;'Recurring Schedule'!$P$14),"",IF(IF('Recurring Schedule'!$N$14&gt;0,MOD($A198-'Recurring Schedule'!$F$14,'Recurring Schedule'!$N$14)=0,IF('Recurring Schedule'!$O$14&gt;0,AND(DAY($A198)=MIN(DAY('Recurring Schedule'!$F$14),DAY(EOMONTH($A198,0))),MOD((YEAR($A198)-YEAR('Recurring Schedule'!$F$14))*12+MONTH($A198)-MONTH('Recurring Schedule'!$F$14),'Recurring Schedule'!$O$14)=0),IF('Recurring Schedule'!$E$14="Weekdays",WEEKDAY($A198,2)&lt;=5,$A198='Recurring Schedule'!$F$14))),9,""))))</f>
        <v/>
      </c>
      <c r="K198">
        <f>IF('Recurring Schedule'!$C$15="","",IF('Recurring Schedule'!$F$15="","",IF(OR($A198&lt;'Recurring Schedule'!$F$15,$A198&gt;'Recurring Schedule'!$P$15),"",IF(IF('Recurring Schedule'!$N$15&gt;0,MOD($A198-'Recurring Schedule'!$F$15,'Recurring Schedule'!$N$15)=0,IF('Recurring Schedule'!$O$15&gt;0,AND(DAY($A198)=MIN(DAY('Recurring Schedule'!$F$15),DAY(EOMONTH($A198,0))),MOD((YEAR($A198)-YEAR('Recurring Schedule'!$F$15))*12+MONTH($A198)-MONTH('Recurring Schedule'!$F$15),'Recurring Schedule'!$O$15)=0),IF('Recurring Schedule'!$E$15="Weekdays",WEEKDAY($A198,2)&lt;=5,$A198='Recurring Schedule'!$F$15))),10,""))))</f>
        <v/>
      </c>
      <c r="L198">
        <f>IF('Recurring Schedule'!$C$16="","",IF('Recurring Schedule'!$F$16="","",IF(OR($A198&lt;'Recurring Schedule'!$F$16,$A198&gt;'Recurring Schedule'!$P$16),"",IF(IF('Recurring Schedule'!$N$16&gt;0,MOD($A198-'Recurring Schedule'!$F$16,'Recurring Schedule'!$N$16)=0,IF('Recurring Schedule'!$O$16&gt;0,AND(DAY($A198)=MIN(DAY('Recurring Schedule'!$F$16),DAY(EOMONTH($A198,0))),MOD((YEAR($A198)-YEAR('Recurring Schedule'!$F$16))*12+MONTH($A198)-MONTH('Recurring Schedule'!$F$16),'Recurring Schedule'!$O$16)=0),IF('Recurring Schedule'!$E$16="Weekdays",WEEKDAY($A198,2)&lt;=5,$A198='Recurring Schedule'!$F$16))),11,""))))</f>
        <v/>
      </c>
      <c r="M198">
        <f>IF('Recurring Schedule'!$C$17="","",IF('Recurring Schedule'!$F$17="","",IF(OR($A198&lt;'Recurring Schedule'!$F$17,$A198&gt;'Recurring Schedule'!$P$17),"",IF(IF('Recurring Schedule'!$N$17&gt;0,MOD($A198-'Recurring Schedule'!$F$17,'Recurring Schedule'!$N$17)=0,IF('Recurring Schedule'!$O$17&gt;0,AND(DAY($A198)=MIN(DAY('Recurring Schedule'!$F$17),DAY(EOMONTH($A198,0))),MOD((YEAR($A198)-YEAR('Recurring Schedule'!$F$17))*12+MONTH($A198)-MONTH('Recurring Schedule'!$F$17),'Recurring Schedule'!$O$17)=0),IF('Recurring Schedule'!$E$17="Weekdays",WEEKDAY($A198,2)&lt;=5,$A198='Recurring Schedule'!$F$17))),12,""))))</f>
        <v/>
      </c>
      <c r="N198">
        <f>IF('Recurring Schedule'!$C$18="","",IF('Recurring Schedule'!$F$18="","",IF(OR($A198&lt;'Recurring Schedule'!$F$18,$A198&gt;'Recurring Schedule'!$P$18),"",IF(IF('Recurring Schedule'!$N$18&gt;0,MOD($A198-'Recurring Schedule'!$F$18,'Recurring Schedule'!$N$18)=0,IF('Recurring Schedule'!$O$18&gt;0,AND(DAY($A198)=MIN(DAY('Recurring Schedule'!$F$18),DAY(EOMONTH($A198,0))),MOD((YEAR($A198)-YEAR('Recurring Schedule'!$F$18))*12+MONTH($A198)-MONTH('Recurring Schedule'!$F$18),'Recurring Schedule'!$O$18)=0),IF('Recurring Schedule'!$E$18="Weekdays",WEEKDAY($A198,2)&lt;=5,$A198='Recurring Schedule'!$F$18))),13,""))))</f>
        <v/>
      </c>
      <c r="O198">
        <f>IF('Recurring Schedule'!$C$19="","",IF('Recurring Schedule'!$F$19="","",IF(OR($A198&lt;'Recurring Schedule'!$F$19,$A198&gt;'Recurring Schedule'!$P$19),"",IF(IF('Recurring Schedule'!$N$19&gt;0,MOD($A198-'Recurring Schedule'!$F$19,'Recurring Schedule'!$N$19)=0,IF('Recurring Schedule'!$O$19&gt;0,AND(DAY($A198)=MIN(DAY('Recurring Schedule'!$F$19),DAY(EOMONTH($A198,0))),MOD((YEAR($A198)-YEAR('Recurring Schedule'!$F$19))*12+MONTH($A198)-MONTH('Recurring Schedule'!$F$19),'Recurring Schedule'!$O$19)=0),IF('Recurring Schedule'!$E$19="Weekdays",WEEKDAY($A198,2)&lt;=5,$A198='Recurring Schedule'!$F$19))),14,""))))</f>
        <v/>
      </c>
      <c r="P198">
        <f>IF('Recurring Schedule'!$C$20="","",IF('Recurring Schedule'!$F$20="","",IF(OR($A198&lt;'Recurring Schedule'!$F$20,$A198&gt;'Recurring Schedule'!$P$20),"",IF(IF('Recurring Schedule'!$N$20&gt;0,MOD($A198-'Recurring Schedule'!$F$20,'Recurring Schedule'!$N$20)=0,IF('Recurring Schedule'!$O$20&gt;0,AND(DAY($A198)=MIN(DAY('Recurring Schedule'!$F$20),DAY(EOMONTH($A198,0))),MOD((YEAR($A198)-YEAR('Recurring Schedule'!$F$20))*12+MONTH($A198)-MONTH('Recurring Schedule'!$F$20),'Recurring Schedule'!$O$20)=0),IF('Recurring Schedule'!$E$20="Weekdays",WEEKDAY($A198,2)&lt;=5,$A198='Recurring Schedule'!$F$20))),15,""))))</f>
        <v/>
      </c>
      <c r="Q198">
        <f>IF('Recurring Schedule'!$C$21="","",IF('Recurring Schedule'!$F$21="","",IF(OR($A198&lt;'Recurring Schedule'!$F$21,$A198&gt;'Recurring Schedule'!$P$21),"",IF(IF('Recurring Schedule'!$N$21&gt;0,MOD($A198-'Recurring Schedule'!$F$21,'Recurring Schedule'!$N$21)=0,IF('Recurring Schedule'!$O$21&gt;0,AND(DAY($A198)=MIN(DAY('Recurring Schedule'!$F$21),DAY(EOMONTH($A198,0))),MOD((YEAR($A198)-YEAR('Recurring Schedule'!$F$21))*12+MONTH($A198)-MONTH('Recurring Schedule'!$F$21),'Recurring Schedule'!$O$21)=0),IF('Recurring Schedule'!$E$21="Weekdays",WEEKDAY($A198,2)&lt;=5,$A198='Recurring Schedule'!$F$21))),16,""))))</f>
        <v/>
      </c>
      <c r="R198">
        <f>IF('Recurring Schedule'!$C$22="","",IF('Recurring Schedule'!$F$22="","",IF(OR($A198&lt;'Recurring Schedule'!$F$22,$A198&gt;'Recurring Schedule'!$P$22),"",IF(IF('Recurring Schedule'!$N$22&gt;0,MOD($A198-'Recurring Schedule'!$F$22,'Recurring Schedule'!$N$22)=0,IF('Recurring Schedule'!$O$22&gt;0,AND(DAY($A198)=MIN(DAY('Recurring Schedule'!$F$22),DAY(EOMONTH($A198,0))),MOD((YEAR($A198)-YEAR('Recurring Schedule'!$F$22))*12+MONTH($A198)-MONTH('Recurring Schedule'!$F$22),'Recurring Schedule'!$O$22)=0),IF('Recurring Schedule'!$E$22="Weekdays",WEEKDAY($A198,2)&lt;=5,$A198='Recurring Schedule'!$F$22))),17,""))))</f>
        <v/>
      </c>
      <c r="S198">
        <f>IF('Recurring Schedule'!$C$23="","",IF('Recurring Schedule'!$F$23="","",IF(OR($A198&lt;'Recurring Schedule'!$F$23,$A198&gt;'Recurring Schedule'!$P$23),"",IF(IF('Recurring Schedule'!$N$23&gt;0,MOD($A198-'Recurring Schedule'!$F$23,'Recurring Schedule'!$N$23)=0,IF('Recurring Schedule'!$O$23&gt;0,AND(DAY($A198)=MIN(DAY('Recurring Schedule'!$F$23),DAY(EOMONTH($A198,0))),MOD((YEAR($A198)-YEAR('Recurring Schedule'!$F$23))*12+MONTH($A198)-MONTH('Recurring Schedule'!$F$23),'Recurring Schedule'!$O$23)=0),IF('Recurring Schedule'!$E$23="Weekdays",WEEKDAY($A198,2)&lt;=5,$A198='Recurring Schedule'!$F$23))),18,""))))</f>
        <v/>
      </c>
      <c r="T198">
        <f>IF('Recurring Schedule'!$C$24="","",IF('Recurring Schedule'!$F$24="","",IF(OR($A198&lt;'Recurring Schedule'!$F$24,$A198&gt;'Recurring Schedule'!$P$24),"",IF(IF('Recurring Schedule'!$N$24&gt;0,MOD($A198-'Recurring Schedule'!$F$24,'Recurring Schedule'!$N$24)=0,IF('Recurring Schedule'!$O$24&gt;0,AND(DAY($A198)=MIN(DAY('Recurring Schedule'!$F$24),DAY(EOMONTH($A198,0))),MOD((YEAR($A198)-YEAR('Recurring Schedule'!$F$24))*12+MONTH($A198)-MONTH('Recurring Schedule'!$F$24),'Recurring Schedule'!$O$24)=0),IF('Recurring Schedule'!$E$24="Weekdays",WEEKDAY($A198,2)&lt;=5,$A198='Recurring Schedule'!$F$24))),19,""))))</f>
        <v/>
      </c>
      <c r="U198">
        <f>IF('Recurring Schedule'!$C$25="","",IF('Recurring Schedule'!$F$25="","",IF(OR($A198&lt;'Recurring Schedule'!$F$25,$A198&gt;'Recurring Schedule'!$P$25),"",IF(IF('Recurring Schedule'!$N$25&gt;0,MOD($A198-'Recurring Schedule'!$F$25,'Recurring Schedule'!$N$25)=0,IF('Recurring Schedule'!$O$25&gt;0,AND(DAY($A198)=MIN(DAY('Recurring Schedule'!$F$25),DAY(EOMONTH($A198,0))),MOD((YEAR($A198)-YEAR('Recurring Schedule'!$F$25))*12+MONTH($A198)-MONTH('Recurring Schedule'!$F$25),'Recurring Schedule'!$O$25)=0),IF('Recurring Schedule'!$E$25="Weekdays",WEEKDAY($A198,2)&lt;=5,$A198='Recurring Schedule'!$F$25))),20,""))))</f>
        <v/>
      </c>
      <c r="V198">
        <f>IF('Recurring Schedule'!$C$26="","",IF('Recurring Schedule'!$F$26="","",IF(OR($A198&lt;'Recurring Schedule'!$F$26,$A198&gt;'Recurring Schedule'!$P$26),"",IF(IF('Recurring Schedule'!$N$26&gt;0,MOD($A198-'Recurring Schedule'!$F$26,'Recurring Schedule'!$N$26)=0,IF('Recurring Schedule'!$O$26&gt;0,AND(DAY($A198)=MIN(DAY('Recurring Schedule'!$F$26),DAY(EOMONTH($A198,0))),MOD((YEAR($A198)-YEAR('Recurring Schedule'!$F$26))*12+MONTH($A198)-MONTH('Recurring Schedule'!$F$26),'Recurring Schedule'!$O$26)=0),IF('Recurring Schedule'!$E$26="Weekdays",WEEKDAY($A198,2)&lt;=5,$A198='Recurring Schedule'!$F$26))),21,""))))</f>
        <v/>
      </c>
      <c r="W198">
        <f>IF('Recurring Schedule'!$C$27="","",IF('Recurring Schedule'!$F$27="","",IF(OR($A198&lt;'Recurring Schedule'!$F$27,$A198&gt;'Recurring Schedule'!$P$27),"",IF(IF('Recurring Schedule'!$N$27&gt;0,MOD($A198-'Recurring Schedule'!$F$27,'Recurring Schedule'!$N$27)=0,IF('Recurring Schedule'!$O$27&gt;0,AND(DAY($A198)=MIN(DAY('Recurring Schedule'!$F$27),DAY(EOMONTH($A198,0))),MOD((YEAR($A198)-YEAR('Recurring Schedule'!$F$27))*12+MONTH($A198)-MONTH('Recurring Schedule'!$F$27),'Recurring Schedule'!$O$27)=0),IF('Recurring Schedule'!$E$27="Weekdays",WEEKDAY($A198,2)&lt;=5,$A198='Recurring Schedule'!$F$27))),22,""))))</f>
        <v/>
      </c>
      <c r="X198">
        <f>IF('Recurring Schedule'!$C$28="","",IF('Recurring Schedule'!$F$28="","",IF(OR($A198&lt;'Recurring Schedule'!$F$28,$A198&gt;'Recurring Schedule'!$P$28),"",IF(IF('Recurring Schedule'!$N$28&gt;0,MOD($A198-'Recurring Schedule'!$F$28,'Recurring Schedule'!$N$28)=0,IF('Recurring Schedule'!$O$28&gt;0,AND(DAY($A198)=MIN(DAY('Recurring Schedule'!$F$28),DAY(EOMONTH($A198,0))),MOD((YEAR($A198)-YEAR('Recurring Schedule'!$F$28))*12+MONTH($A198)-MONTH('Recurring Schedule'!$F$28),'Recurring Schedule'!$O$28)=0),IF('Recurring Schedule'!$E$28="Weekdays",WEEKDAY($A198,2)&lt;=5,$A198='Recurring Schedule'!$F$28))),23,""))))</f>
        <v/>
      </c>
      <c r="Y198">
        <f>IF('Recurring Schedule'!$C$29="","",IF('Recurring Schedule'!$F$29="","",IF(OR($A198&lt;'Recurring Schedule'!$F$29,$A198&gt;'Recurring Schedule'!$P$29),"",IF(IF('Recurring Schedule'!$N$29&gt;0,MOD($A198-'Recurring Schedule'!$F$29,'Recurring Schedule'!$N$29)=0,IF('Recurring Schedule'!$O$29&gt;0,AND(DAY($A198)=MIN(DAY('Recurring Schedule'!$F$29),DAY(EOMONTH($A198,0))),MOD((YEAR($A198)-YEAR('Recurring Schedule'!$F$29))*12+MONTH($A198)-MONTH('Recurring Schedule'!$F$29),'Recurring Schedule'!$O$29)=0),IF('Recurring Schedule'!$E$29="Weekdays",WEEKDAY($A198,2)&lt;=5,$A198='Recurring Schedule'!$F$29))),24,""))))</f>
        <v/>
      </c>
      <c r="Z198">
        <f>IF('Recurring Schedule'!$C$30="","",IF('Recurring Schedule'!$F$30="","",IF(OR($A198&lt;'Recurring Schedule'!$F$30,$A198&gt;'Recurring Schedule'!$P$30),"",IF(IF('Recurring Schedule'!$N$30&gt;0,MOD($A198-'Recurring Schedule'!$F$30,'Recurring Schedule'!$N$30)=0,IF('Recurring Schedule'!$O$30&gt;0,AND(DAY($A198)=MIN(DAY('Recurring Schedule'!$F$30),DAY(EOMONTH($A198,0))),MOD((YEAR($A198)-YEAR('Recurring Schedule'!$F$30))*12+MONTH($A198)-MONTH('Recurring Schedule'!$F$30),'Recurring Schedule'!$O$30)=0),IF('Recurring Schedule'!$E$30="Weekdays",WEEKDAY($A198,2)&lt;=5,$A198='Recurring Schedule'!$F$30))),25,""))))</f>
        <v/>
      </c>
      <c r="AA198">
        <f>IF('Recurring Schedule'!$C$31="","",IF('Recurring Schedule'!$F$31="","",IF(OR($A198&lt;'Recurring Schedule'!$F$31,$A198&gt;'Recurring Schedule'!$P$31),"",IF(IF('Recurring Schedule'!$N$31&gt;0,MOD($A198-'Recurring Schedule'!$F$31,'Recurring Schedule'!$N$31)=0,IF('Recurring Schedule'!$O$31&gt;0,AND(DAY($A198)=MIN(DAY('Recurring Schedule'!$F$31),DAY(EOMONTH($A198,0))),MOD((YEAR($A198)-YEAR('Recurring Schedule'!$F$31))*12+MONTH($A198)-MONTH('Recurring Schedule'!$F$31),'Recurring Schedule'!$O$31)=0),IF('Recurring Schedule'!$E$31="Weekdays",WEEKDAY($A198,2)&lt;=5,$A198='Recurring Schedule'!$F$31))),26,""))))</f>
        <v/>
      </c>
      <c r="AB198">
        <f>IF('Recurring Schedule'!$C$32="","",IF('Recurring Schedule'!$F$32="","",IF(OR($A198&lt;'Recurring Schedule'!$F$32,$A198&gt;'Recurring Schedule'!$P$32),"",IF(IF('Recurring Schedule'!$N$32&gt;0,MOD($A198-'Recurring Schedule'!$F$32,'Recurring Schedule'!$N$32)=0,IF('Recurring Schedule'!$O$32&gt;0,AND(DAY($A198)=MIN(DAY('Recurring Schedule'!$F$32),DAY(EOMONTH($A198,0))),MOD((YEAR($A198)-YEAR('Recurring Schedule'!$F$32))*12+MONTH($A198)-MONTH('Recurring Schedule'!$F$32),'Recurring Schedule'!$O$32)=0),IF('Recurring Schedule'!$E$32="Weekdays",WEEKDAY($A198,2)&lt;=5,$A198='Recurring Schedule'!$F$32))),27,""))))</f>
        <v/>
      </c>
      <c r="AC198">
        <f>IF('Recurring Schedule'!$C$33="","",IF('Recurring Schedule'!$F$33="","",IF(OR($A198&lt;'Recurring Schedule'!$F$33,$A198&gt;'Recurring Schedule'!$P$33),"",IF(IF('Recurring Schedule'!$N$33&gt;0,MOD($A198-'Recurring Schedule'!$F$33,'Recurring Schedule'!$N$33)=0,IF('Recurring Schedule'!$O$33&gt;0,AND(DAY($A198)=MIN(DAY('Recurring Schedule'!$F$33),DAY(EOMONTH($A198,0))),MOD((YEAR($A198)-YEAR('Recurring Schedule'!$F$33))*12+MONTH($A198)-MONTH('Recurring Schedule'!$F$33),'Recurring Schedule'!$O$33)=0),IF('Recurring Schedule'!$E$33="Weekdays",WEEKDAY($A198,2)&lt;=5,$A198='Recurring Schedule'!$F$33))),28,""))))</f>
        <v/>
      </c>
      <c r="AD198">
        <f>IF('Recurring Schedule'!$C$34="","",IF('Recurring Schedule'!$F$34="","",IF(OR($A198&lt;'Recurring Schedule'!$F$34,$A198&gt;'Recurring Schedule'!$P$34),"",IF(IF('Recurring Schedule'!$N$34&gt;0,MOD($A198-'Recurring Schedule'!$F$34,'Recurring Schedule'!$N$34)=0,IF('Recurring Schedule'!$O$34&gt;0,AND(DAY($A198)=MIN(DAY('Recurring Schedule'!$F$34),DAY(EOMONTH($A198,0))),MOD((YEAR($A198)-YEAR('Recurring Schedule'!$F$34))*12+MONTH($A198)-MONTH('Recurring Schedule'!$F$34),'Recurring Schedule'!$O$34)=0),IF('Recurring Schedule'!$E$34="Weekdays",WEEKDAY($A198,2)&lt;=5,$A198='Recurring Schedule'!$F$34))),29,""))))</f>
        <v/>
      </c>
      <c r="AE198">
        <f>IF('Recurring Schedule'!$C$35="","",IF('Recurring Schedule'!$F$35="","",IF(OR($A198&lt;'Recurring Schedule'!$F$35,$A198&gt;'Recurring Schedule'!$P$35),"",IF(IF('Recurring Schedule'!$N$35&gt;0,MOD($A198-'Recurring Schedule'!$F$35,'Recurring Schedule'!$N$35)=0,IF('Recurring Schedule'!$O$35&gt;0,AND(DAY($A198)=MIN(DAY('Recurring Schedule'!$F$35),DAY(EOMONTH($A198,0))),MOD((YEAR($A198)-YEAR('Recurring Schedule'!$F$35))*12+MONTH($A198)-MONTH('Recurring Schedule'!$F$35),'Recurring Schedule'!$O$35)=0),IF('Recurring Schedule'!$E$35="Weekdays",WEEKDAY($A198,2)&lt;=5,$A198='Recurring Schedule'!$F$35))),30,""))))</f>
        <v/>
      </c>
      <c r="AF198">
        <f>IF('Recurring Schedule'!$C$36="","",IF('Recurring Schedule'!$F$36="","",IF(OR($A198&lt;'Recurring Schedule'!$F$36,$A198&gt;'Recurring Schedule'!$P$36),"",IF(IF('Recurring Schedule'!$N$36&gt;0,MOD($A198-'Recurring Schedule'!$F$36,'Recurring Schedule'!$N$36)=0,IF('Recurring Schedule'!$O$36&gt;0,AND(DAY($A198)=MIN(DAY('Recurring Schedule'!$F$36),DAY(EOMONTH($A198,0))),MOD((YEAR($A198)-YEAR('Recurring Schedule'!$F$36))*12+MONTH($A198)-MONTH('Recurring Schedule'!$F$36),'Recurring Schedule'!$O$36)=0),IF('Recurring Schedule'!$E$36="Weekdays",WEEKDAY($A198,2)&lt;=5,$A198='Recurring Schedule'!$F$36))),31,""))))</f>
        <v/>
      </c>
      <c r="AG198">
        <f>IF('Recurring Schedule'!$C$37="","",IF('Recurring Schedule'!$F$37="","",IF(OR($A198&lt;'Recurring Schedule'!$F$37,$A198&gt;'Recurring Schedule'!$P$37),"",IF(IF('Recurring Schedule'!$N$37&gt;0,MOD($A198-'Recurring Schedule'!$F$37,'Recurring Schedule'!$N$37)=0,IF('Recurring Schedule'!$O$37&gt;0,AND(DAY($A198)=MIN(DAY('Recurring Schedule'!$F$37),DAY(EOMONTH($A198,0))),MOD((YEAR($A198)-YEAR('Recurring Schedule'!$F$37))*12+MONTH($A198)-MONTH('Recurring Schedule'!$F$37),'Recurring Schedule'!$O$37)=0),IF('Recurring Schedule'!$E$37="Weekdays",WEEKDAY($A198,2)&lt;=5,$A198='Recurring Schedule'!$F$37))),32,""))))</f>
        <v/>
      </c>
      <c r="AH198">
        <f>IF('Recurring Schedule'!$C$38="","",IF('Recurring Schedule'!$F$38="","",IF(OR($A198&lt;'Recurring Schedule'!$F$38,$A198&gt;'Recurring Schedule'!$P$38),"",IF(IF('Recurring Schedule'!$N$38&gt;0,MOD($A198-'Recurring Schedule'!$F$38,'Recurring Schedule'!$N$38)=0,IF('Recurring Schedule'!$O$38&gt;0,AND(DAY($A198)=MIN(DAY('Recurring Schedule'!$F$38),DAY(EOMONTH($A198,0))),MOD((YEAR($A198)-YEAR('Recurring Schedule'!$F$38))*12+MONTH($A198)-MONTH('Recurring Schedule'!$F$38),'Recurring Schedule'!$O$38)=0),IF('Recurring Schedule'!$E$38="Weekdays",WEEKDAY($A198,2)&lt;=5,$A198='Recurring Schedule'!$F$38))),33,""))))</f>
        <v/>
      </c>
      <c r="AI198">
        <f>IF('Recurring Schedule'!$C$39="","",IF('Recurring Schedule'!$F$39="","",IF(OR($A198&lt;'Recurring Schedule'!$F$39,$A198&gt;'Recurring Schedule'!$P$39),"",IF(IF('Recurring Schedule'!$N$39&gt;0,MOD($A198-'Recurring Schedule'!$F$39,'Recurring Schedule'!$N$39)=0,IF('Recurring Schedule'!$O$39&gt;0,AND(DAY($A198)=MIN(DAY('Recurring Schedule'!$F$39),DAY(EOMONTH($A198,0))),MOD((YEAR($A198)-YEAR('Recurring Schedule'!$F$39))*12+MONTH($A198)-MONTH('Recurring Schedule'!$F$39),'Recurring Schedule'!$O$39)=0),IF('Recurring Schedule'!$E$39="Weekdays",WEEKDAY($A198,2)&lt;=5,$A198='Recurring Schedule'!$F$39))),34,""))))</f>
        <v/>
      </c>
      <c r="AJ198">
        <f>IF('Recurring Schedule'!$C$40="","",IF('Recurring Schedule'!$F$40="","",IF(OR($A198&lt;'Recurring Schedule'!$F$40,$A198&gt;'Recurring Schedule'!$P$40),"",IF(IF('Recurring Schedule'!$N$40&gt;0,MOD($A198-'Recurring Schedule'!$F$40,'Recurring Schedule'!$N$40)=0,IF('Recurring Schedule'!$O$40&gt;0,AND(DAY($A198)=MIN(DAY('Recurring Schedule'!$F$40),DAY(EOMONTH($A198,0))),MOD((YEAR($A198)-YEAR('Recurring Schedule'!$F$40))*12+MONTH($A198)-MONTH('Recurring Schedule'!$F$40),'Recurring Schedule'!$O$40)=0),IF('Recurring Schedule'!$E$40="Weekdays",WEEKDAY($A198,2)&lt;=5,$A198='Recurring Schedule'!$F$40))),35,""))))</f>
        <v/>
      </c>
      <c r="AK198">
        <f>IF('Recurring Schedule'!$C$41="","",IF('Recurring Schedule'!$F$41="","",IF(OR($A198&lt;'Recurring Schedule'!$F$41,$A198&gt;'Recurring Schedule'!$P$41),"",IF(IF('Recurring Schedule'!$N$41&gt;0,MOD($A198-'Recurring Schedule'!$F$41,'Recurring Schedule'!$N$41)=0,IF('Recurring Schedule'!$O$41&gt;0,AND(DAY($A198)=MIN(DAY('Recurring Schedule'!$F$41),DAY(EOMONTH($A198,0))),MOD((YEAR($A198)-YEAR('Recurring Schedule'!$F$41))*12+MONTH($A198)-MONTH('Recurring Schedule'!$F$41),'Recurring Schedule'!$O$41)=0),IF('Recurring Schedule'!$E$41="Weekdays",WEEKDAY($A198,2)&lt;=5,$A198='Recurring Schedule'!$F$41))),36,""))))</f>
        <v/>
      </c>
      <c r="AL198">
        <f>IF('Recurring Schedule'!$C$42="","",IF('Recurring Schedule'!$F$42="","",IF(OR($A198&lt;'Recurring Schedule'!$F$42,$A198&gt;'Recurring Schedule'!$P$42),"",IF(IF('Recurring Schedule'!$N$42&gt;0,MOD($A198-'Recurring Schedule'!$F$42,'Recurring Schedule'!$N$42)=0,IF('Recurring Schedule'!$O$42&gt;0,AND(DAY($A198)=MIN(DAY('Recurring Schedule'!$F$42),DAY(EOMONTH($A198,0))),MOD((YEAR($A198)-YEAR('Recurring Schedule'!$F$42))*12+MONTH($A198)-MONTH('Recurring Schedule'!$F$42),'Recurring Schedule'!$O$42)=0),IF('Recurring Schedule'!$E$42="Weekdays",WEEKDAY($A198,2)&lt;=5,$A198='Recurring Schedule'!$F$42))),37,""))))</f>
        <v/>
      </c>
      <c r="AM198">
        <f>IF('Recurring Schedule'!$C$43="","",IF('Recurring Schedule'!$F$43="","",IF(OR($A198&lt;'Recurring Schedule'!$F$43,$A198&gt;'Recurring Schedule'!$P$43),"",IF(IF('Recurring Schedule'!$N$43&gt;0,MOD($A198-'Recurring Schedule'!$F$43,'Recurring Schedule'!$N$43)=0,IF('Recurring Schedule'!$O$43&gt;0,AND(DAY($A198)=MIN(DAY('Recurring Schedule'!$F$43),DAY(EOMONTH($A198,0))),MOD((YEAR($A198)-YEAR('Recurring Schedule'!$F$43))*12+MONTH($A198)-MONTH('Recurring Schedule'!$F$43),'Recurring Schedule'!$O$43)=0),IF('Recurring Schedule'!$E$43="Weekdays",WEEKDAY($A198,2)&lt;=5,$A198='Recurring Schedule'!$F$43))),38,""))))</f>
        <v/>
      </c>
      <c r="AN198">
        <f>IF('Recurring Schedule'!$C$44="","",IF('Recurring Schedule'!$F$44="","",IF(OR($A198&lt;'Recurring Schedule'!$F$44,$A198&gt;'Recurring Schedule'!$P$44),"",IF(IF('Recurring Schedule'!$N$44&gt;0,MOD($A198-'Recurring Schedule'!$F$44,'Recurring Schedule'!$N$44)=0,IF('Recurring Schedule'!$O$44&gt;0,AND(DAY($A198)=MIN(DAY('Recurring Schedule'!$F$44),DAY(EOMONTH($A198,0))),MOD((YEAR($A198)-YEAR('Recurring Schedule'!$F$44))*12+MONTH($A198)-MONTH('Recurring Schedule'!$F$44),'Recurring Schedule'!$O$44)=0),IF('Recurring Schedule'!$E$44="Weekdays",WEEKDAY($A198,2)&lt;=5,$A198='Recurring Schedule'!$F$44))),39,""))))</f>
        <v/>
      </c>
      <c r="AO198">
        <f>IF('Recurring Schedule'!$C$45="","",IF('Recurring Schedule'!$F$45="","",IF(OR($A198&lt;'Recurring Schedule'!$F$45,$A198&gt;'Recurring Schedule'!$P$45),"",IF(IF('Recurring Schedule'!$N$45&gt;0,MOD($A198-'Recurring Schedule'!$F$45,'Recurring Schedule'!$N$45)=0,IF('Recurring Schedule'!$O$45&gt;0,AND(DAY($A198)=MIN(DAY('Recurring Schedule'!$F$45),DAY(EOMONTH($A198,0))),MOD((YEAR($A198)-YEAR('Recurring Schedule'!$F$45))*12+MONTH($A198)-MONTH('Recurring Schedule'!$F$45),'Recurring Schedule'!$O$45)=0),IF('Recurring Schedule'!$E$45="Weekdays",WEEKDAY($A198,2)&lt;=5,$A198='Recurring Schedule'!$F$45))),40,""))))</f>
        <v/>
      </c>
      <c r="AP198">
        <f>COUNT(B198:AO198)</f>
        <v/>
      </c>
      <c r="AQ198">
        <f>AQ197+AP197</f>
        <v/>
      </c>
      <c r="AS198" t="inlineStr">
        <is>
          <t>R</t>
        </is>
      </c>
      <c r="AT198" t="n">
        <v>202</v>
      </c>
      <c r="AU198">
        <f>'Recurring Log'!C202&amp;""</f>
        <v/>
      </c>
      <c r="AV198">
        <f>'Recurring Log'!D202&amp;""</f>
        <v/>
      </c>
      <c r="AW198">
        <f>IF('Recurring Log'!E202="","",'Recurring Log'!E202)</f>
        <v/>
      </c>
      <c r="AX198">
        <f>IF('Recurring Log'!G202="","",'Recurring Log'!G202)</f>
        <v/>
      </c>
      <c r="AY198">
        <f>IF('Recurring Log'!H202="","",'Recurring Log'!H202)</f>
        <v/>
      </c>
      <c r="AZ198">
        <f>IF(AU198="","",IF('Recurring Log'!J202="","Not Started",'Recurring Log'!J202))</f>
        <v/>
      </c>
      <c r="BA198">
        <f>'Recurring Log'!L202&amp;""</f>
        <v/>
      </c>
      <c r="BB198">
        <f>'Recurring Log'!M202&amp;""</f>
        <v/>
      </c>
      <c r="BC198">
        <f>'Recurring Log'!N202&amp;""</f>
        <v/>
      </c>
      <c r="BD198">
        <f>'Recurring Log'!O202&amp;""</f>
        <v/>
      </c>
      <c r="BE198">
        <f>IF('Recurring Log'!K202="","",'Recurring Log'!K202)</f>
        <v/>
      </c>
      <c r="BF198">
        <f>IFERROR(MATCH(BA198,Setup!$L$6:$L$9,0),5)</f>
        <v/>
      </c>
      <c r="BG198">
        <f>IF(OR(AZ198="Done",AZ198="Cancelled"),1,0)</f>
        <v/>
      </c>
      <c r="BH198">
        <f>IF(AND(AU198&lt;&gt;"",ISNUMBER(AW198)),1,0)</f>
        <v/>
      </c>
      <c r="BI198">
        <f>IF(BH198=0,0,IF(AND(AW198&gt;='Tasks Filter'!$F$3,AW198&lt;='Tasks Filter'!$F$4,OR('Tasks Filter'!$I$3="",ISNUMBER(SEARCH('Tasks Filter'!$I$3,AU198))),OR('Tasks Filter'!$I$4="",BF198=IFERROR(MATCH('Tasks Filter'!$I$4,Setup!$L$6:$L$9,0),0)),OR('Tasks Filter'!$I$5="Both",AND('Tasks Filter'!$I$5="Yes",BB198="✓"),AND('Tasks Filter'!$I$5="No",BB198&lt;&gt;"✓")),OR('Tasks Filter'!$L$3="",AV198='Tasks Filter'!$L$3),OR('Tasks Filter'!$L$4="",AZ198='Tasks Filter'!$L$4),OR('Tasks Filter'!$L$5="",BC198='Tasks Filter'!$L$5),OR('Tasks Filter'!$O$3="",BD198='Tasks Filter'!$O$3),OR('Tasks Filter'!$O$4="Yes",BG198=0)),1,0))</f>
        <v/>
      </c>
      <c r="BJ198">
        <f>IF(BH198=0,"",IF('Tasks Filter'!$F$6="Descending",-1,1)*CHOOSE(MATCH('Tasks Filter'!$F$5,Lists!$G$2:$G$6,0),AW198,BF198,IFERROR(MATCH(AV198,Setup!$F$6:$F$15,0),99),IFERROR(MATCH(BC198,Setup!$H$6:$H$15,0),99),IFERROR(MATCH(AZ198,Setup!$J$6:$J$11,0),99))*1E+9+(AW198-40000)*10000+197)</f>
        <v/>
      </c>
      <c r="BK198">
        <f>IF(BI198=1,BJ198,"")</f>
        <v/>
      </c>
      <c r="BL198">
        <f>IF(AND(BH198=1,BG198=0,N(AW198)&lt;Setup!$D$7),(AW198-40000)*10000+197,"")</f>
        <v/>
      </c>
      <c r="BM198">
        <f>IF(AND(BH198=1,AZ198&lt;&gt;"Cancelled",N(AW198)&gt;=Dashboard!$AB$3,N(AW198)&lt;=Dashboard!$AB$3+6),(AW198-40000)*100000+BF198*10000+197,"")</f>
        <v/>
      </c>
      <c r="BN198">
        <f>IF(AND(BH198=1,AZ198&lt;&gt;"Cancelled"),BF198*10000+197,"")</f>
        <v/>
      </c>
    </row>
    <row r="199">
      <c r="A199">
        <f>Setup!$D$5+197</f>
        <v/>
      </c>
      <c r="B199">
        <f>IF('Recurring Schedule'!$C$6="","",IF('Recurring Schedule'!$F$6="","",IF(OR($A199&lt;'Recurring Schedule'!$F$6,$A199&gt;'Recurring Schedule'!$P$6),"",IF(IF('Recurring Schedule'!$N$6&gt;0,MOD($A199-'Recurring Schedule'!$F$6,'Recurring Schedule'!$N$6)=0,IF('Recurring Schedule'!$O$6&gt;0,AND(DAY($A199)=MIN(DAY('Recurring Schedule'!$F$6),DAY(EOMONTH($A199,0))),MOD((YEAR($A199)-YEAR('Recurring Schedule'!$F$6))*12+MONTH($A199)-MONTH('Recurring Schedule'!$F$6),'Recurring Schedule'!$O$6)=0),IF('Recurring Schedule'!$E$6="Weekdays",WEEKDAY($A199,2)&lt;=5,$A199='Recurring Schedule'!$F$6))),1,""))))</f>
        <v/>
      </c>
      <c r="C199">
        <f>IF('Recurring Schedule'!$C$7="","",IF('Recurring Schedule'!$F$7="","",IF(OR($A199&lt;'Recurring Schedule'!$F$7,$A199&gt;'Recurring Schedule'!$P$7),"",IF(IF('Recurring Schedule'!$N$7&gt;0,MOD($A199-'Recurring Schedule'!$F$7,'Recurring Schedule'!$N$7)=0,IF('Recurring Schedule'!$O$7&gt;0,AND(DAY($A199)=MIN(DAY('Recurring Schedule'!$F$7),DAY(EOMONTH($A199,0))),MOD((YEAR($A199)-YEAR('Recurring Schedule'!$F$7))*12+MONTH($A199)-MONTH('Recurring Schedule'!$F$7),'Recurring Schedule'!$O$7)=0),IF('Recurring Schedule'!$E$7="Weekdays",WEEKDAY($A199,2)&lt;=5,$A199='Recurring Schedule'!$F$7))),2,""))))</f>
        <v/>
      </c>
      <c r="D199">
        <f>IF('Recurring Schedule'!$C$8="","",IF('Recurring Schedule'!$F$8="","",IF(OR($A199&lt;'Recurring Schedule'!$F$8,$A199&gt;'Recurring Schedule'!$P$8),"",IF(IF('Recurring Schedule'!$N$8&gt;0,MOD($A199-'Recurring Schedule'!$F$8,'Recurring Schedule'!$N$8)=0,IF('Recurring Schedule'!$O$8&gt;0,AND(DAY($A199)=MIN(DAY('Recurring Schedule'!$F$8),DAY(EOMONTH($A199,0))),MOD((YEAR($A199)-YEAR('Recurring Schedule'!$F$8))*12+MONTH($A199)-MONTH('Recurring Schedule'!$F$8),'Recurring Schedule'!$O$8)=0),IF('Recurring Schedule'!$E$8="Weekdays",WEEKDAY($A199,2)&lt;=5,$A199='Recurring Schedule'!$F$8))),3,""))))</f>
        <v/>
      </c>
      <c r="E199">
        <f>IF('Recurring Schedule'!$C$9="","",IF('Recurring Schedule'!$F$9="","",IF(OR($A199&lt;'Recurring Schedule'!$F$9,$A199&gt;'Recurring Schedule'!$P$9),"",IF(IF('Recurring Schedule'!$N$9&gt;0,MOD($A199-'Recurring Schedule'!$F$9,'Recurring Schedule'!$N$9)=0,IF('Recurring Schedule'!$O$9&gt;0,AND(DAY($A199)=MIN(DAY('Recurring Schedule'!$F$9),DAY(EOMONTH($A199,0))),MOD((YEAR($A199)-YEAR('Recurring Schedule'!$F$9))*12+MONTH($A199)-MONTH('Recurring Schedule'!$F$9),'Recurring Schedule'!$O$9)=0),IF('Recurring Schedule'!$E$9="Weekdays",WEEKDAY($A199,2)&lt;=5,$A199='Recurring Schedule'!$F$9))),4,""))))</f>
        <v/>
      </c>
      <c r="F199">
        <f>IF('Recurring Schedule'!$C$10="","",IF('Recurring Schedule'!$F$10="","",IF(OR($A199&lt;'Recurring Schedule'!$F$10,$A199&gt;'Recurring Schedule'!$P$10),"",IF(IF('Recurring Schedule'!$N$10&gt;0,MOD($A199-'Recurring Schedule'!$F$10,'Recurring Schedule'!$N$10)=0,IF('Recurring Schedule'!$O$10&gt;0,AND(DAY($A199)=MIN(DAY('Recurring Schedule'!$F$10),DAY(EOMONTH($A199,0))),MOD((YEAR($A199)-YEAR('Recurring Schedule'!$F$10))*12+MONTH($A199)-MONTH('Recurring Schedule'!$F$10),'Recurring Schedule'!$O$10)=0),IF('Recurring Schedule'!$E$10="Weekdays",WEEKDAY($A199,2)&lt;=5,$A199='Recurring Schedule'!$F$10))),5,""))))</f>
        <v/>
      </c>
      <c r="G199">
        <f>IF('Recurring Schedule'!$C$11="","",IF('Recurring Schedule'!$F$11="","",IF(OR($A199&lt;'Recurring Schedule'!$F$11,$A199&gt;'Recurring Schedule'!$P$11),"",IF(IF('Recurring Schedule'!$N$11&gt;0,MOD($A199-'Recurring Schedule'!$F$11,'Recurring Schedule'!$N$11)=0,IF('Recurring Schedule'!$O$11&gt;0,AND(DAY($A199)=MIN(DAY('Recurring Schedule'!$F$11),DAY(EOMONTH($A199,0))),MOD((YEAR($A199)-YEAR('Recurring Schedule'!$F$11))*12+MONTH($A199)-MONTH('Recurring Schedule'!$F$11),'Recurring Schedule'!$O$11)=0),IF('Recurring Schedule'!$E$11="Weekdays",WEEKDAY($A199,2)&lt;=5,$A199='Recurring Schedule'!$F$11))),6,""))))</f>
        <v/>
      </c>
      <c r="H199">
        <f>IF('Recurring Schedule'!$C$12="","",IF('Recurring Schedule'!$F$12="","",IF(OR($A199&lt;'Recurring Schedule'!$F$12,$A199&gt;'Recurring Schedule'!$P$12),"",IF(IF('Recurring Schedule'!$N$12&gt;0,MOD($A199-'Recurring Schedule'!$F$12,'Recurring Schedule'!$N$12)=0,IF('Recurring Schedule'!$O$12&gt;0,AND(DAY($A199)=MIN(DAY('Recurring Schedule'!$F$12),DAY(EOMONTH($A199,0))),MOD((YEAR($A199)-YEAR('Recurring Schedule'!$F$12))*12+MONTH($A199)-MONTH('Recurring Schedule'!$F$12),'Recurring Schedule'!$O$12)=0),IF('Recurring Schedule'!$E$12="Weekdays",WEEKDAY($A199,2)&lt;=5,$A199='Recurring Schedule'!$F$12))),7,""))))</f>
        <v/>
      </c>
      <c r="I199">
        <f>IF('Recurring Schedule'!$C$13="","",IF('Recurring Schedule'!$F$13="","",IF(OR($A199&lt;'Recurring Schedule'!$F$13,$A199&gt;'Recurring Schedule'!$P$13),"",IF(IF('Recurring Schedule'!$N$13&gt;0,MOD($A199-'Recurring Schedule'!$F$13,'Recurring Schedule'!$N$13)=0,IF('Recurring Schedule'!$O$13&gt;0,AND(DAY($A199)=MIN(DAY('Recurring Schedule'!$F$13),DAY(EOMONTH($A199,0))),MOD((YEAR($A199)-YEAR('Recurring Schedule'!$F$13))*12+MONTH($A199)-MONTH('Recurring Schedule'!$F$13),'Recurring Schedule'!$O$13)=0),IF('Recurring Schedule'!$E$13="Weekdays",WEEKDAY($A199,2)&lt;=5,$A199='Recurring Schedule'!$F$13))),8,""))))</f>
        <v/>
      </c>
      <c r="J199">
        <f>IF('Recurring Schedule'!$C$14="","",IF('Recurring Schedule'!$F$14="","",IF(OR($A199&lt;'Recurring Schedule'!$F$14,$A199&gt;'Recurring Schedule'!$P$14),"",IF(IF('Recurring Schedule'!$N$14&gt;0,MOD($A199-'Recurring Schedule'!$F$14,'Recurring Schedule'!$N$14)=0,IF('Recurring Schedule'!$O$14&gt;0,AND(DAY($A199)=MIN(DAY('Recurring Schedule'!$F$14),DAY(EOMONTH($A199,0))),MOD((YEAR($A199)-YEAR('Recurring Schedule'!$F$14))*12+MONTH($A199)-MONTH('Recurring Schedule'!$F$14),'Recurring Schedule'!$O$14)=0),IF('Recurring Schedule'!$E$14="Weekdays",WEEKDAY($A199,2)&lt;=5,$A199='Recurring Schedule'!$F$14))),9,""))))</f>
        <v/>
      </c>
      <c r="K199">
        <f>IF('Recurring Schedule'!$C$15="","",IF('Recurring Schedule'!$F$15="","",IF(OR($A199&lt;'Recurring Schedule'!$F$15,$A199&gt;'Recurring Schedule'!$P$15),"",IF(IF('Recurring Schedule'!$N$15&gt;0,MOD($A199-'Recurring Schedule'!$F$15,'Recurring Schedule'!$N$15)=0,IF('Recurring Schedule'!$O$15&gt;0,AND(DAY($A199)=MIN(DAY('Recurring Schedule'!$F$15),DAY(EOMONTH($A199,0))),MOD((YEAR($A199)-YEAR('Recurring Schedule'!$F$15))*12+MONTH($A199)-MONTH('Recurring Schedule'!$F$15),'Recurring Schedule'!$O$15)=0),IF('Recurring Schedule'!$E$15="Weekdays",WEEKDAY($A199,2)&lt;=5,$A199='Recurring Schedule'!$F$15))),10,""))))</f>
        <v/>
      </c>
      <c r="L199">
        <f>IF('Recurring Schedule'!$C$16="","",IF('Recurring Schedule'!$F$16="","",IF(OR($A199&lt;'Recurring Schedule'!$F$16,$A199&gt;'Recurring Schedule'!$P$16),"",IF(IF('Recurring Schedule'!$N$16&gt;0,MOD($A199-'Recurring Schedule'!$F$16,'Recurring Schedule'!$N$16)=0,IF('Recurring Schedule'!$O$16&gt;0,AND(DAY($A199)=MIN(DAY('Recurring Schedule'!$F$16),DAY(EOMONTH($A199,0))),MOD((YEAR($A199)-YEAR('Recurring Schedule'!$F$16))*12+MONTH($A199)-MONTH('Recurring Schedule'!$F$16),'Recurring Schedule'!$O$16)=0),IF('Recurring Schedule'!$E$16="Weekdays",WEEKDAY($A199,2)&lt;=5,$A199='Recurring Schedule'!$F$16))),11,""))))</f>
        <v/>
      </c>
      <c r="M199">
        <f>IF('Recurring Schedule'!$C$17="","",IF('Recurring Schedule'!$F$17="","",IF(OR($A199&lt;'Recurring Schedule'!$F$17,$A199&gt;'Recurring Schedule'!$P$17),"",IF(IF('Recurring Schedule'!$N$17&gt;0,MOD($A199-'Recurring Schedule'!$F$17,'Recurring Schedule'!$N$17)=0,IF('Recurring Schedule'!$O$17&gt;0,AND(DAY($A199)=MIN(DAY('Recurring Schedule'!$F$17),DAY(EOMONTH($A199,0))),MOD((YEAR($A199)-YEAR('Recurring Schedule'!$F$17))*12+MONTH($A199)-MONTH('Recurring Schedule'!$F$17),'Recurring Schedule'!$O$17)=0),IF('Recurring Schedule'!$E$17="Weekdays",WEEKDAY($A199,2)&lt;=5,$A199='Recurring Schedule'!$F$17))),12,""))))</f>
        <v/>
      </c>
      <c r="N199">
        <f>IF('Recurring Schedule'!$C$18="","",IF('Recurring Schedule'!$F$18="","",IF(OR($A199&lt;'Recurring Schedule'!$F$18,$A199&gt;'Recurring Schedule'!$P$18),"",IF(IF('Recurring Schedule'!$N$18&gt;0,MOD($A199-'Recurring Schedule'!$F$18,'Recurring Schedule'!$N$18)=0,IF('Recurring Schedule'!$O$18&gt;0,AND(DAY($A199)=MIN(DAY('Recurring Schedule'!$F$18),DAY(EOMONTH($A199,0))),MOD((YEAR($A199)-YEAR('Recurring Schedule'!$F$18))*12+MONTH($A199)-MONTH('Recurring Schedule'!$F$18),'Recurring Schedule'!$O$18)=0),IF('Recurring Schedule'!$E$18="Weekdays",WEEKDAY($A199,2)&lt;=5,$A199='Recurring Schedule'!$F$18))),13,""))))</f>
        <v/>
      </c>
      <c r="O199">
        <f>IF('Recurring Schedule'!$C$19="","",IF('Recurring Schedule'!$F$19="","",IF(OR($A199&lt;'Recurring Schedule'!$F$19,$A199&gt;'Recurring Schedule'!$P$19),"",IF(IF('Recurring Schedule'!$N$19&gt;0,MOD($A199-'Recurring Schedule'!$F$19,'Recurring Schedule'!$N$19)=0,IF('Recurring Schedule'!$O$19&gt;0,AND(DAY($A199)=MIN(DAY('Recurring Schedule'!$F$19),DAY(EOMONTH($A199,0))),MOD((YEAR($A199)-YEAR('Recurring Schedule'!$F$19))*12+MONTH($A199)-MONTH('Recurring Schedule'!$F$19),'Recurring Schedule'!$O$19)=0),IF('Recurring Schedule'!$E$19="Weekdays",WEEKDAY($A199,2)&lt;=5,$A199='Recurring Schedule'!$F$19))),14,""))))</f>
        <v/>
      </c>
      <c r="P199">
        <f>IF('Recurring Schedule'!$C$20="","",IF('Recurring Schedule'!$F$20="","",IF(OR($A199&lt;'Recurring Schedule'!$F$20,$A199&gt;'Recurring Schedule'!$P$20),"",IF(IF('Recurring Schedule'!$N$20&gt;0,MOD($A199-'Recurring Schedule'!$F$20,'Recurring Schedule'!$N$20)=0,IF('Recurring Schedule'!$O$20&gt;0,AND(DAY($A199)=MIN(DAY('Recurring Schedule'!$F$20),DAY(EOMONTH($A199,0))),MOD((YEAR($A199)-YEAR('Recurring Schedule'!$F$20))*12+MONTH($A199)-MONTH('Recurring Schedule'!$F$20),'Recurring Schedule'!$O$20)=0),IF('Recurring Schedule'!$E$20="Weekdays",WEEKDAY($A199,2)&lt;=5,$A199='Recurring Schedule'!$F$20))),15,""))))</f>
        <v/>
      </c>
      <c r="Q199">
        <f>IF('Recurring Schedule'!$C$21="","",IF('Recurring Schedule'!$F$21="","",IF(OR($A199&lt;'Recurring Schedule'!$F$21,$A199&gt;'Recurring Schedule'!$P$21),"",IF(IF('Recurring Schedule'!$N$21&gt;0,MOD($A199-'Recurring Schedule'!$F$21,'Recurring Schedule'!$N$21)=0,IF('Recurring Schedule'!$O$21&gt;0,AND(DAY($A199)=MIN(DAY('Recurring Schedule'!$F$21),DAY(EOMONTH($A199,0))),MOD((YEAR($A199)-YEAR('Recurring Schedule'!$F$21))*12+MONTH($A199)-MONTH('Recurring Schedule'!$F$21),'Recurring Schedule'!$O$21)=0),IF('Recurring Schedule'!$E$21="Weekdays",WEEKDAY($A199,2)&lt;=5,$A199='Recurring Schedule'!$F$21))),16,""))))</f>
        <v/>
      </c>
      <c r="R199">
        <f>IF('Recurring Schedule'!$C$22="","",IF('Recurring Schedule'!$F$22="","",IF(OR($A199&lt;'Recurring Schedule'!$F$22,$A199&gt;'Recurring Schedule'!$P$22),"",IF(IF('Recurring Schedule'!$N$22&gt;0,MOD($A199-'Recurring Schedule'!$F$22,'Recurring Schedule'!$N$22)=0,IF('Recurring Schedule'!$O$22&gt;0,AND(DAY($A199)=MIN(DAY('Recurring Schedule'!$F$22),DAY(EOMONTH($A199,0))),MOD((YEAR($A199)-YEAR('Recurring Schedule'!$F$22))*12+MONTH($A199)-MONTH('Recurring Schedule'!$F$22),'Recurring Schedule'!$O$22)=0),IF('Recurring Schedule'!$E$22="Weekdays",WEEKDAY($A199,2)&lt;=5,$A199='Recurring Schedule'!$F$22))),17,""))))</f>
        <v/>
      </c>
      <c r="S199">
        <f>IF('Recurring Schedule'!$C$23="","",IF('Recurring Schedule'!$F$23="","",IF(OR($A199&lt;'Recurring Schedule'!$F$23,$A199&gt;'Recurring Schedule'!$P$23),"",IF(IF('Recurring Schedule'!$N$23&gt;0,MOD($A199-'Recurring Schedule'!$F$23,'Recurring Schedule'!$N$23)=0,IF('Recurring Schedule'!$O$23&gt;0,AND(DAY($A199)=MIN(DAY('Recurring Schedule'!$F$23),DAY(EOMONTH($A199,0))),MOD((YEAR($A199)-YEAR('Recurring Schedule'!$F$23))*12+MONTH($A199)-MONTH('Recurring Schedule'!$F$23),'Recurring Schedule'!$O$23)=0),IF('Recurring Schedule'!$E$23="Weekdays",WEEKDAY($A199,2)&lt;=5,$A199='Recurring Schedule'!$F$23))),18,""))))</f>
        <v/>
      </c>
      <c r="T199">
        <f>IF('Recurring Schedule'!$C$24="","",IF('Recurring Schedule'!$F$24="","",IF(OR($A199&lt;'Recurring Schedule'!$F$24,$A199&gt;'Recurring Schedule'!$P$24),"",IF(IF('Recurring Schedule'!$N$24&gt;0,MOD($A199-'Recurring Schedule'!$F$24,'Recurring Schedule'!$N$24)=0,IF('Recurring Schedule'!$O$24&gt;0,AND(DAY($A199)=MIN(DAY('Recurring Schedule'!$F$24),DAY(EOMONTH($A199,0))),MOD((YEAR($A199)-YEAR('Recurring Schedule'!$F$24))*12+MONTH($A199)-MONTH('Recurring Schedule'!$F$24),'Recurring Schedule'!$O$24)=0),IF('Recurring Schedule'!$E$24="Weekdays",WEEKDAY($A199,2)&lt;=5,$A199='Recurring Schedule'!$F$24))),19,""))))</f>
        <v/>
      </c>
      <c r="U199">
        <f>IF('Recurring Schedule'!$C$25="","",IF('Recurring Schedule'!$F$25="","",IF(OR($A199&lt;'Recurring Schedule'!$F$25,$A199&gt;'Recurring Schedule'!$P$25),"",IF(IF('Recurring Schedule'!$N$25&gt;0,MOD($A199-'Recurring Schedule'!$F$25,'Recurring Schedule'!$N$25)=0,IF('Recurring Schedule'!$O$25&gt;0,AND(DAY($A199)=MIN(DAY('Recurring Schedule'!$F$25),DAY(EOMONTH($A199,0))),MOD((YEAR($A199)-YEAR('Recurring Schedule'!$F$25))*12+MONTH($A199)-MONTH('Recurring Schedule'!$F$25),'Recurring Schedule'!$O$25)=0),IF('Recurring Schedule'!$E$25="Weekdays",WEEKDAY($A199,2)&lt;=5,$A199='Recurring Schedule'!$F$25))),20,""))))</f>
        <v/>
      </c>
      <c r="V199">
        <f>IF('Recurring Schedule'!$C$26="","",IF('Recurring Schedule'!$F$26="","",IF(OR($A199&lt;'Recurring Schedule'!$F$26,$A199&gt;'Recurring Schedule'!$P$26),"",IF(IF('Recurring Schedule'!$N$26&gt;0,MOD($A199-'Recurring Schedule'!$F$26,'Recurring Schedule'!$N$26)=0,IF('Recurring Schedule'!$O$26&gt;0,AND(DAY($A199)=MIN(DAY('Recurring Schedule'!$F$26),DAY(EOMONTH($A199,0))),MOD((YEAR($A199)-YEAR('Recurring Schedule'!$F$26))*12+MONTH($A199)-MONTH('Recurring Schedule'!$F$26),'Recurring Schedule'!$O$26)=0),IF('Recurring Schedule'!$E$26="Weekdays",WEEKDAY($A199,2)&lt;=5,$A199='Recurring Schedule'!$F$26))),21,""))))</f>
        <v/>
      </c>
      <c r="W199">
        <f>IF('Recurring Schedule'!$C$27="","",IF('Recurring Schedule'!$F$27="","",IF(OR($A199&lt;'Recurring Schedule'!$F$27,$A199&gt;'Recurring Schedule'!$P$27),"",IF(IF('Recurring Schedule'!$N$27&gt;0,MOD($A199-'Recurring Schedule'!$F$27,'Recurring Schedule'!$N$27)=0,IF('Recurring Schedule'!$O$27&gt;0,AND(DAY($A199)=MIN(DAY('Recurring Schedule'!$F$27),DAY(EOMONTH($A199,0))),MOD((YEAR($A199)-YEAR('Recurring Schedule'!$F$27))*12+MONTH($A199)-MONTH('Recurring Schedule'!$F$27),'Recurring Schedule'!$O$27)=0),IF('Recurring Schedule'!$E$27="Weekdays",WEEKDAY($A199,2)&lt;=5,$A199='Recurring Schedule'!$F$27))),22,""))))</f>
        <v/>
      </c>
      <c r="X199">
        <f>IF('Recurring Schedule'!$C$28="","",IF('Recurring Schedule'!$F$28="","",IF(OR($A199&lt;'Recurring Schedule'!$F$28,$A199&gt;'Recurring Schedule'!$P$28),"",IF(IF('Recurring Schedule'!$N$28&gt;0,MOD($A199-'Recurring Schedule'!$F$28,'Recurring Schedule'!$N$28)=0,IF('Recurring Schedule'!$O$28&gt;0,AND(DAY($A199)=MIN(DAY('Recurring Schedule'!$F$28),DAY(EOMONTH($A199,0))),MOD((YEAR($A199)-YEAR('Recurring Schedule'!$F$28))*12+MONTH($A199)-MONTH('Recurring Schedule'!$F$28),'Recurring Schedule'!$O$28)=0),IF('Recurring Schedule'!$E$28="Weekdays",WEEKDAY($A199,2)&lt;=5,$A199='Recurring Schedule'!$F$28))),23,""))))</f>
        <v/>
      </c>
      <c r="Y199">
        <f>IF('Recurring Schedule'!$C$29="","",IF('Recurring Schedule'!$F$29="","",IF(OR($A199&lt;'Recurring Schedule'!$F$29,$A199&gt;'Recurring Schedule'!$P$29),"",IF(IF('Recurring Schedule'!$N$29&gt;0,MOD($A199-'Recurring Schedule'!$F$29,'Recurring Schedule'!$N$29)=0,IF('Recurring Schedule'!$O$29&gt;0,AND(DAY($A199)=MIN(DAY('Recurring Schedule'!$F$29),DAY(EOMONTH($A199,0))),MOD((YEAR($A199)-YEAR('Recurring Schedule'!$F$29))*12+MONTH($A199)-MONTH('Recurring Schedule'!$F$29),'Recurring Schedule'!$O$29)=0),IF('Recurring Schedule'!$E$29="Weekdays",WEEKDAY($A199,2)&lt;=5,$A199='Recurring Schedule'!$F$29))),24,""))))</f>
        <v/>
      </c>
      <c r="Z199">
        <f>IF('Recurring Schedule'!$C$30="","",IF('Recurring Schedule'!$F$30="","",IF(OR($A199&lt;'Recurring Schedule'!$F$30,$A199&gt;'Recurring Schedule'!$P$30),"",IF(IF('Recurring Schedule'!$N$30&gt;0,MOD($A199-'Recurring Schedule'!$F$30,'Recurring Schedule'!$N$30)=0,IF('Recurring Schedule'!$O$30&gt;0,AND(DAY($A199)=MIN(DAY('Recurring Schedule'!$F$30),DAY(EOMONTH($A199,0))),MOD((YEAR($A199)-YEAR('Recurring Schedule'!$F$30))*12+MONTH($A199)-MONTH('Recurring Schedule'!$F$30),'Recurring Schedule'!$O$30)=0),IF('Recurring Schedule'!$E$30="Weekdays",WEEKDAY($A199,2)&lt;=5,$A199='Recurring Schedule'!$F$30))),25,""))))</f>
        <v/>
      </c>
      <c r="AA199">
        <f>IF('Recurring Schedule'!$C$31="","",IF('Recurring Schedule'!$F$31="","",IF(OR($A199&lt;'Recurring Schedule'!$F$31,$A199&gt;'Recurring Schedule'!$P$31),"",IF(IF('Recurring Schedule'!$N$31&gt;0,MOD($A199-'Recurring Schedule'!$F$31,'Recurring Schedule'!$N$31)=0,IF('Recurring Schedule'!$O$31&gt;0,AND(DAY($A199)=MIN(DAY('Recurring Schedule'!$F$31),DAY(EOMONTH($A199,0))),MOD((YEAR($A199)-YEAR('Recurring Schedule'!$F$31))*12+MONTH($A199)-MONTH('Recurring Schedule'!$F$31),'Recurring Schedule'!$O$31)=0),IF('Recurring Schedule'!$E$31="Weekdays",WEEKDAY($A199,2)&lt;=5,$A199='Recurring Schedule'!$F$31))),26,""))))</f>
        <v/>
      </c>
      <c r="AB199">
        <f>IF('Recurring Schedule'!$C$32="","",IF('Recurring Schedule'!$F$32="","",IF(OR($A199&lt;'Recurring Schedule'!$F$32,$A199&gt;'Recurring Schedule'!$P$32),"",IF(IF('Recurring Schedule'!$N$32&gt;0,MOD($A199-'Recurring Schedule'!$F$32,'Recurring Schedule'!$N$32)=0,IF('Recurring Schedule'!$O$32&gt;0,AND(DAY($A199)=MIN(DAY('Recurring Schedule'!$F$32),DAY(EOMONTH($A199,0))),MOD((YEAR($A199)-YEAR('Recurring Schedule'!$F$32))*12+MONTH($A199)-MONTH('Recurring Schedule'!$F$32),'Recurring Schedule'!$O$32)=0),IF('Recurring Schedule'!$E$32="Weekdays",WEEKDAY($A199,2)&lt;=5,$A199='Recurring Schedule'!$F$32))),27,""))))</f>
        <v/>
      </c>
      <c r="AC199">
        <f>IF('Recurring Schedule'!$C$33="","",IF('Recurring Schedule'!$F$33="","",IF(OR($A199&lt;'Recurring Schedule'!$F$33,$A199&gt;'Recurring Schedule'!$P$33),"",IF(IF('Recurring Schedule'!$N$33&gt;0,MOD($A199-'Recurring Schedule'!$F$33,'Recurring Schedule'!$N$33)=0,IF('Recurring Schedule'!$O$33&gt;0,AND(DAY($A199)=MIN(DAY('Recurring Schedule'!$F$33),DAY(EOMONTH($A199,0))),MOD((YEAR($A199)-YEAR('Recurring Schedule'!$F$33))*12+MONTH($A199)-MONTH('Recurring Schedule'!$F$33),'Recurring Schedule'!$O$33)=0),IF('Recurring Schedule'!$E$33="Weekdays",WEEKDAY($A199,2)&lt;=5,$A199='Recurring Schedule'!$F$33))),28,""))))</f>
        <v/>
      </c>
      <c r="AD199">
        <f>IF('Recurring Schedule'!$C$34="","",IF('Recurring Schedule'!$F$34="","",IF(OR($A199&lt;'Recurring Schedule'!$F$34,$A199&gt;'Recurring Schedule'!$P$34),"",IF(IF('Recurring Schedule'!$N$34&gt;0,MOD($A199-'Recurring Schedule'!$F$34,'Recurring Schedule'!$N$34)=0,IF('Recurring Schedule'!$O$34&gt;0,AND(DAY($A199)=MIN(DAY('Recurring Schedule'!$F$34),DAY(EOMONTH($A199,0))),MOD((YEAR($A199)-YEAR('Recurring Schedule'!$F$34))*12+MONTH($A199)-MONTH('Recurring Schedule'!$F$34),'Recurring Schedule'!$O$34)=0),IF('Recurring Schedule'!$E$34="Weekdays",WEEKDAY($A199,2)&lt;=5,$A199='Recurring Schedule'!$F$34))),29,""))))</f>
        <v/>
      </c>
      <c r="AE199">
        <f>IF('Recurring Schedule'!$C$35="","",IF('Recurring Schedule'!$F$35="","",IF(OR($A199&lt;'Recurring Schedule'!$F$35,$A199&gt;'Recurring Schedule'!$P$35),"",IF(IF('Recurring Schedule'!$N$35&gt;0,MOD($A199-'Recurring Schedule'!$F$35,'Recurring Schedule'!$N$35)=0,IF('Recurring Schedule'!$O$35&gt;0,AND(DAY($A199)=MIN(DAY('Recurring Schedule'!$F$35),DAY(EOMONTH($A199,0))),MOD((YEAR($A199)-YEAR('Recurring Schedule'!$F$35))*12+MONTH($A199)-MONTH('Recurring Schedule'!$F$35),'Recurring Schedule'!$O$35)=0),IF('Recurring Schedule'!$E$35="Weekdays",WEEKDAY($A199,2)&lt;=5,$A199='Recurring Schedule'!$F$35))),30,""))))</f>
        <v/>
      </c>
      <c r="AF199">
        <f>IF('Recurring Schedule'!$C$36="","",IF('Recurring Schedule'!$F$36="","",IF(OR($A199&lt;'Recurring Schedule'!$F$36,$A199&gt;'Recurring Schedule'!$P$36),"",IF(IF('Recurring Schedule'!$N$36&gt;0,MOD($A199-'Recurring Schedule'!$F$36,'Recurring Schedule'!$N$36)=0,IF('Recurring Schedule'!$O$36&gt;0,AND(DAY($A199)=MIN(DAY('Recurring Schedule'!$F$36),DAY(EOMONTH($A199,0))),MOD((YEAR($A199)-YEAR('Recurring Schedule'!$F$36))*12+MONTH($A199)-MONTH('Recurring Schedule'!$F$36),'Recurring Schedule'!$O$36)=0),IF('Recurring Schedule'!$E$36="Weekdays",WEEKDAY($A199,2)&lt;=5,$A199='Recurring Schedule'!$F$36))),31,""))))</f>
        <v/>
      </c>
      <c r="AG199">
        <f>IF('Recurring Schedule'!$C$37="","",IF('Recurring Schedule'!$F$37="","",IF(OR($A199&lt;'Recurring Schedule'!$F$37,$A199&gt;'Recurring Schedule'!$P$37),"",IF(IF('Recurring Schedule'!$N$37&gt;0,MOD($A199-'Recurring Schedule'!$F$37,'Recurring Schedule'!$N$37)=0,IF('Recurring Schedule'!$O$37&gt;0,AND(DAY($A199)=MIN(DAY('Recurring Schedule'!$F$37),DAY(EOMONTH($A199,0))),MOD((YEAR($A199)-YEAR('Recurring Schedule'!$F$37))*12+MONTH($A199)-MONTH('Recurring Schedule'!$F$37),'Recurring Schedule'!$O$37)=0),IF('Recurring Schedule'!$E$37="Weekdays",WEEKDAY($A199,2)&lt;=5,$A199='Recurring Schedule'!$F$37))),32,""))))</f>
        <v/>
      </c>
      <c r="AH199">
        <f>IF('Recurring Schedule'!$C$38="","",IF('Recurring Schedule'!$F$38="","",IF(OR($A199&lt;'Recurring Schedule'!$F$38,$A199&gt;'Recurring Schedule'!$P$38),"",IF(IF('Recurring Schedule'!$N$38&gt;0,MOD($A199-'Recurring Schedule'!$F$38,'Recurring Schedule'!$N$38)=0,IF('Recurring Schedule'!$O$38&gt;0,AND(DAY($A199)=MIN(DAY('Recurring Schedule'!$F$38),DAY(EOMONTH($A199,0))),MOD((YEAR($A199)-YEAR('Recurring Schedule'!$F$38))*12+MONTH($A199)-MONTH('Recurring Schedule'!$F$38),'Recurring Schedule'!$O$38)=0),IF('Recurring Schedule'!$E$38="Weekdays",WEEKDAY($A199,2)&lt;=5,$A199='Recurring Schedule'!$F$38))),33,""))))</f>
        <v/>
      </c>
      <c r="AI199">
        <f>IF('Recurring Schedule'!$C$39="","",IF('Recurring Schedule'!$F$39="","",IF(OR($A199&lt;'Recurring Schedule'!$F$39,$A199&gt;'Recurring Schedule'!$P$39),"",IF(IF('Recurring Schedule'!$N$39&gt;0,MOD($A199-'Recurring Schedule'!$F$39,'Recurring Schedule'!$N$39)=0,IF('Recurring Schedule'!$O$39&gt;0,AND(DAY($A199)=MIN(DAY('Recurring Schedule'!$F$39),DAY(EOMONTH($A199,0))),MOD((YEAR($A199)-YEAR('Recurring Schedule'!$F$39))*12+MONTH($A199)-MONTH('Recurring Schedule'!$F$39),'Recurring Schedule'!$O$39)=0),IF('Recurring Schedule'!$E$39="Weekdays",WEEKDAY($A199,2)&lt;=5,$A199='Recurring Schedule'!$F$39))),34,""))))</f>
        <v/>
      </c>
      <c r="AJ199">
        <f>IF('Recurring Schedule'!$C$40="","",IF('Recurring Schedule'!$F$40="","",IF(OR($A199&lt;'Recurring Schedule'!$F$40,$A199&gt;'Recurring Schedule'!$P$40),"",IF(IF('Recurring Schedule'!$N$40&gt;0,MOD($A199-'Recurring Schedule'!$F$40,'Recurring Schedule'!$N$40)=0,IF('Recurring Schedule'!$O$40&gt;0,AND(DAY($A199)=MIN(DAY('Recurring Schedule'!$F$40),DAY(EOMONTH($A199,0))),MOD((YEAR($A199)-YEAR('Recurring Schedule'!$F$40))*12+MONTH($A199)-MONTH('Recurring Schedule'!$F$40),'Recurring Schedule'!$O$40)=0),IF('Recurring Schedule'!$E$40="Weekdays",WEEKDAY($A199,2)&lt;=5,$A199='Recurring Schedule'!$F$40))),35,""))))</f>
        <v/>
      </c>
      <c r="AK199">
        <f>IF('Recurring Schedule'!$C$41="","",IF('Recurring Schedule'!$F$41="","",IF(OR($A199&lt;'Recurring Schedule'!$F$41,$A199&gt;'Recurring Schedule'!$P$41),"",IF(IF('Recurring Schedule'!$N$41&gt;0,MOD($A199-'Recurring Schedule'!$F$41,'Recurring Schedule'!$N$41)=0,IF('Recurring Schedule'!$O$41&gt;0,AND(DAY($A199)=MIN(DAY('Recurring Schedule'!$F$41),DAY(EOMONTH($A199,0))),MOD((YEAR($A199)-YEAR('Recurring Schedule'!$F$41))*12+MONTH($A199)-MONTH('Recurring Schedule'!$F$41),'Recurring Schedule'!$O$41)=0),IF('Recurring Schedule'!$E$41="Weekdays",WEEKDAY($A199,2)&lt;=5,$A199='Recurring Schedule'!$F$41))),36,""))))</f>
        <v/>
      </c>
      <c r="AL199">
        <f>IF('Recurring Schedule'!$C$42="","",IF('Recurring Schedule'!$F$42="","",IF(OR($A199&lt;'Recurring Schedule'!$F$42,$A199&gt;'Recurring Schedule'!$P$42),"",IF(IF('Recurring Schedule'!$N$42&gt;0,MOD($A199-'Recurring Schedule'!$F$42,'Recurring Schedule'!$N$42)=0,IF('Recurring Schedule'!$O$42&gt;0,AND(DAY($A199)=MIN(DAY('Recurring Schedule'!$F$42),DAY(EOMONTH($A199,0))),MOD((YEAR($A199)-YEAR('Recurring Schedule'!$F$42))*12+MONTH($A199)-MONTH('Recurring Schedule'!$F$42),'Recurring Schedule'!$O$42)=0),IF('Recurring Schedule'!$E$42="Weekdays",WEEKDAY($A199,2)&lt;=5,$A199='Recurring Schedule'!$F$42))),37,""))))</f>
        <v/>
      </c>
      <c r="AM199">
        <f>IF('Recurring Schedule'!$C$43="","",IF('Recurring Schedule'!$F$43="","",IF(OR($A199&lt;'Recurring Schedule'!$F$43,$A199&gt;'Recurring Schedule'!$P$43),"",IF(IF('Recurring Schedule'!$N$43&gt;0,MOD($A199-'Recurring Schedule'!$F$43,'Recurring Schedule'!$N$43)=0,IF('Recurring Schedule'!$O$43&gt;0,AND(DAY($A199)=MIN(DAY('Recurring Schedule'!$F$43),DAY(EOMONTH($A199,0))),MOD((YEAR($A199)-YEAR('Recurring Schedule'!$F$43))*12+MONTH($A199)-MONTH('Recurring Schedule'!$F$43),'Recurring Schedule'!$O$43)=0),IF('Recurring Schedule'!$E$43="Weekdays",WEEKDAY($A199,2)&lt;=5,$A199='Recurring Schedule'!$F$43))),38,""))))</f>
        <v/>
      </c>
      <c r="AN199">
        <f>IF('Recurring Schedule'!$C$44="","",IF('Recurring Schedule'!$F$44="","",IF(OR($A199&lt;'Recurring Schedule'!$F$44,$A199&gt;'Recurring Schedule'!$P$44),"",IF(IF('Recurring Schedule'!$N$44&gt;0,MOD($A199-'Recurring Schedule'!$F$44,'Recurring Schedule'!$N$44)=0,IF('Recurring Schedule'!$O$44&gt;0,AND(DAY($A199)=MIN(DAY('Recurring Schedule'!$F$44),DAY(EOMONTH($A199,0))),MOD((YEAR($A199)-YEAR('Recurring Schedule'!$F$44))*12+MONTH($A199)-MONTH('Recurring Schedule'!$F$44),'Recurring Schedule'!$O$44)=0),IF('Recurring Schedule'!$E$44="Weekdays",WEEKDAY($A199,2)&lt;=5,$A199='Recurring Schedule'!$F$44))),39,""))))</f>
        <v/>
      </c>
      <c r="AO199">
        <f>IF('Recurring Schedule'!$C$45="","",IF('Recurring Schedule'!$F$45="","",IF(OR($A199&lt;'Recurring Schedule'!$F$45,$A199&gt;'Recurring Schedule'!$P$45),"",IF(IF('Recurring Schedule'!$N$45&gt;0,MOD($A199-'Recurring Schedule'!$F$45,'Recurring Schedule'!$N$45)=0,IF('Recurring Schedule'!$O$45&gt;0,AND(DAY($A199)=MIN(DAY('Recurring Schedule'!$F$45),DAY(EOMONTH($A199,0))),MOD((YEAR($A199)-YEAR('Recurring Schedule'!$F$45))*12+MONTH($A199)-MONTH('Recurring Schedule'!$F$45),'Recurring Schedule'!$O$45)=0),IF('Recurring Schedule'!$E$45="Weekdays",WEEKDAY($A199,2)&lt;=5,$A199='Recurring Schedule'!$F$45))),40,""))))</f>
        <v/>
      </c>
      <c r="AP199">
        <f>COUNT(B199:AO199)</f>
        <v/>
      </c>
      <c r="AQ199">
        <f>AQ198+AP198</f>
        <v/>
      </c>
      <c r="AS199" t="inlineStr">
        <is>
          <t>R</t>
        </is>
      </c>
      <c r="AT199" t="n">
        <v>203</v>
      </c>
      <c r="AU199">
        <f>'Recurring Log'!C203&amp;""</f>
        <v/>
      </c>
      <c r="AV199">
        <f>'Recurring Log'!D203&amp;""</f>
        <v/>
      </c>
      <c r="AW199">
        <f>IF('Recurring Log'!E203="","",'Recurring Log'!E203)</f>
        <v/>
      </c>
      <c r="AX199">
        <f>IF('Recurring Log'!G203="","",'Recurring Log'!G203)</f>
        <v/>
      </c>
      <c r="AY199">
        <f>IF('Recurring Log'!H203="","",'Recurring Log'!H203)</f>
        <v/>
      </c>
      <c r="AZ199">
        <f>IF(AU199="","",IF('Recurring Log'!J203="","Not Started",'Recurring Log'!J203))</f>
        <v/>
      </c>
      <c r="BA199">
        <f>'Recurring Log'!L203&amp;""</f>
        <v/>
      </c>
      <c r="BB199">
        <f>'Recurring Log'!M203&amp;""</f>
        <v/>
      </c>
      <c r="BC199">
        <f>'Recurring Log'!N203&amp;""</f>
        <v/>
      </c>
      <c r="BD199">
        <f>'Recurring Log'!O203&amp;""</f>
        <v/>
      </c>
      <c r="BE199">
        <f>IF('Recurring Log'!K203="","",'Recurring Log'!K203)</f>
        <v/>
      </c>
      <c r="BF199">
        <f>IFERROR(MATCH(BA199,Setup!$L$6:$L$9,0),5)</f>
        <v/>
      </c>
      <c r="BG199">
        <f>IF(OR(AZ199="Done",AZ199="Cancelled"),1,0)</f>
        <v/>
      </c>
      <c r="BH199">
        <f>IF(AND(AU199&lt;&gt;"",ISNUMBER(AW199)),1,0)</f>
        <v/>
      </c>
      <c r="BI199">
        <f>IF(BH199=0,0,IF(AND(AW199&gt;='Tasks Filter'!$F$3,AW199&lt;='Tasks Filter'!$F$4,OR('Tasks Filter'!$I$3="",ISNUMBER(SEARCH('Tasks Filter'!$I$3,AU199))),OR('Tasks Filter'!$I$4="",BF199=IFERROR(MATCH('Tasks Filter'!$I$4,Setup!$L$6:$L$9,0),0)),OR('Tasks Filter'!$I$5="Both",AND('Tasks Filter'!$I$5="Yes",BB199="✓"),AND('Tasks Filter'!$I$5="No",BB199&lt;&gt;"✓")),OR('Tasks Filter'!$L$3="",AV199='Tasks Filter'!$L$3),OR('Tasks Filter'!$L$4="",AZ199='Tasks Filter'!$L$4),OR('Tasks Filter'!$L$5="",BC199='Tasks Filter'!$L$5),OR('Tasks Filter'!$O$3="",BD199='Tasks Filter'!$O$3),OR('Tasks Filter'!$O$4="Yes",BG199=0)),1,0))</f>
        <v/>
      </c>
      <c r="BJ199">
        <f>IF(BH199=0,"",IF('Tasks Filter'!$F$6="Descending",-1,1)*CHOOSE(MATCH('Tasks Filter'!$F$5,Lists!$G$2:$G$6,0),AW199,BF199,IFERROR(MATCH(AV199,Setup!$F$6:$F$15,0),99),IFERROR(MATCH(BC199,Setup!$H$6:$H$15,0),99),IFERROR(MATCH(AZ199,Setup!$J$6:$J$11,0),99))*1E+9+(AW199-40000)*10000+198)</f>
        <v/>
      </c>
      <c r="BK199">
        <f>IF(BI199=1,BJ199,"")</f>
        <v/>
      </c>
      <c r="BL199">
        <f>IF(AND(BH199=1,BG199=0,N(AW199)&lt;Setup!$D$7),(AW199-40000)*10000+198,"")</f>
        <v/>
      </c>
      <c r="BM199">
        <f>IF(AND(BH199=1,AZ199&lt;&gt;"Cancelled",N(AW199)&gt;=Dashboard!$AB$3,N(AW199)&lt;=Dashboard!$AB$3+6),(AW199-40000)*100000+BF199*10000+198,"")</f>
        <v/>
      </c>
      <c r="BN199">
        <f>IF(AND(BH199=1,AZ199&lt;&gt;"Cancelled"),BF199*10000+198,"")</f>
        <v/>
      </c>
    </row>
    <row r="200">
      <c r="A200">
        <f>Setup!$D$5+198</f>
        <v/>
      </c>
      <c r="B200">
        <f>IF('Recurring Schedule'!$C$6="","",IF('Recurring Schedule'!$F$6="","",IF(OR($A200&lt;'Recurring Schedule'!$F$6,$A200&gt;'Recurring Schedule'!$P$6),"",IF(IF('Recurring Schedule'!$N$6&gt;0,MOD($A200-'Recurring Schedule'!$F$6,'Recurring Schedule'!$N$6)=0,IF('Recurring Schedule'!$O$6&gt;0,AND(DAY($A200)=MIN(DAY('Recurring Schedule'!$F$6),DAY(EOMONTH($A200,0))),MOD((YEAR($A200)-YEAR('Recurring Schedule'!$F$6))*12+MONTH($A200)-MONTH('Recurring Schedule'!$F$6),'Recurring Schedule'!$O$6)=0),IF('Recurring Schedule'!$E$6="Weekdays",WEEKDAY($A200,2)&lt;=5,$A200='Recurring Schedule'!$F$6))),1,""))))</f>
        <v/>
      </c>
      <c r="C200">
        <f>IF('Recurring Schedule'!$C$7="","",IF('Recurring Schedule'!$F$7="","",IF(OR($A200&lt;'Recurring Schedule'!$F$7,$A200&gt;'Recurring Schedule'!$P$7),"",IF(IF('Recurring Schedule'!$N$7&gt;0,MOD($A200-'Recurring Schedule'!$F$7,'Recurring Schedule'!$N$7)=0,IF('Recurring Schedule'!$O$7&gt;0,AND(DAY($A200)=MIN(DAY('Recurring Schedule'!$F$7),DAY(EOMONTH($A200,0))),MOD((YEAR($A200)-YEAR('Recurring Schedule'!$F$7))*12+MONTH($A200)-MONTH('Recurring Schedule'!$F$7),'Recurring Schedule'!$O$7)=0),IF('Recurring Schedule'!$E$7="Weekdays",WEEKDAY($A200,2)&lt;=5,$A200='Recurring Schedule'!$F$7))),2,""))))</f>
        <v/>
      </c>
      <c r="D200">
        <f>IF('Recurring Schedule'!$C$8="","",IF('Recurring Schedule'!$F$8="","",IF(OR($A200&lt;'Recurring Schedule'!$F$8,$A200&gt;'Recurring Schedule'!$P$8),"",IF(IF('Recurring Schedule'!$N$8&gt;0,MOD($A200-'Recurring Schedule'!$F$8,'Recurring Schedule'!$N$8)=0,IF('Recurring Schedule'!$O$8&gt;0,AND(DAY($A200)=MIN(DAY('Recurring Schedule'!$F$8),DAY(EOMONTH($A200,0))),MOD((YEAR($A200)-YEAR('Recurring Schedule'!$F$8))*12+MONTH($A200)-MONTH('Recurring Schedule'!$F$8),'Recurring Schedule'!$O$8)=0),IF('Recurring Schedule'!$E$8="Weekdays",WEEKDAY($A200,2)&lt;=5,$A200='Recurring Schedule'!$F$8))),3,""))))</f>
        <v/>
      </c>
      <c r="E200">
        <f>IF('Recurring Schedule'!$C$9="","",IF('Recurring Schedule'!$F$9="","",IF(OR($A200&lt;'Recurring Schedule'!$F$9,$A200&gt;'Recurring Schedule'!$P$9),"",IF(IF('Recurring Schedule'!$N$9&gt;0,MOD($A200-'Recurring Schedule'!$F$9,'Recurring Schedule'!$N$9)=0,IF('Recurring Schedule'!$O$9&gt;0,AND(DAY($A200)=MIN(DAY('Recurring Schedule'!$F$9),DAY(EOMONTH($A200,0))),MOD((YEAR($A200)-YEAR('Recurring Schedule'!$F$9))*12+MONTH($A200)-MONTH('Recurring Schedule'!$F$9),'Recurring Schedule'!$O$9)=0),IF('Recurring Schedule'!$E$9="Weekdays",WEEKDAY($A200,2)&lt;=5,$A200='Recurring Schedule'!$F$9))),4,""))))</f>
        <v/>
      </c>
      <c r="F200">
        <f>IF('Recurring Schedule'!$C$10="","",IF('Recurring Schedule'!$F$10="","",IF(OR($A200&lt;'Recurring Schedule'!$F$10,$A200&gt;'Recurring Schedule'!$P$10),"",IF(IF('Recurring Schedule'!$N$10&gt;0,MOD($A200-'Recurring Schedule'!$F$10,'Recurring Schedule'!$N$10)=0,IF('Recurring Schedule'!$O$10&gt;0,AND(DAY($A200)=MIN(DAY('Recurring Schedule'!$F$10),DAY(EOMONTH($A200,0))),MOD((YEAR($A200)-YEAR('Recurring Schedule'!$F$10))*12+MONTH($A200)-MONTH('Recurring Schedule'!$F$10),'Recurring Schedule'!$O$10)=0),IF('Recurring Schedule'!$E$10="Weekdays",WEEKDAY($A200,2)&lt;=5,$A200='Recurring Schedule'!$F$10))),5,""))))</f>
        <v/>
      </c>
      <c r="G200">
        <f>IF('Recurring Schedule'!$C$11="","",IF('Recurring Schedule'!$F$11="","",IF(OR($A200&lt;'Recurring Schedule'!$F$11,$A200&gt;'Recurring Schedule'!$P$11),"",IF(IF('Recurring Schedule'!$N$11&gt;0,MOD($A200-'Recurring Schedule'!$F$11,'Recurring Schedule'!$N$11)=0,IF('Recurring Schedule'!$O$11&gt;0,AND(DAY($A200)=MIN(DAY('Recurring Schedule'!$F$11),DAY(EOMONTH($A200,0))),MOD((YEAR($A200)-YEAR('Recurring Schedule'!$F$11))*12+MONTH($A200)-MONTH('Recurring Schedule'!$F$11),'Recurring Schedule'!$O$11)=0),IF('Recurring Schedule'!$E$11="Weekdays",WEEKDAY($A200,2)&lt;=5,$A200='Recurring Schedule'!$F$11))),6,""))))</f>
        <v/>
      </c>
      <c r="H200">
        <f>IF('Recurring Schedule'!$C$12="","",IF('Recurring Schedule'!$F$12="","",IF(OR($A200&lt;'Recurring Schedule'!$F$12,$A200&gt;'Recurring Schedule'!$P$12),"",IF(IF('Recurring Schedule'!$N$12&gt;0,MOD($A200-'Recurring Schedule'!$F$12,'Recurring Schedule'!$N$12)=0,IF('Recurring Schedule'!$O$12&gt;0,AND(DAY($A200)=MIN(DAY('Recurring Schedule'!$F$12),DAY(EOMONTH($A200,0))),MOD((YEAR($A200)-YEAR('Recurring Schedule'!$F$12))*12+MONTH($A200)-MONTH('Recurring Schedule'!$F$12),'Recurring Schedule'!$O$12)=0),IF('Recurring Schedule'!$E$12="Weekdays",WEEKDAY($A200,2)&lt;=5,$A200='Recurring Schedule'!$F$12))),7,""))))</f>
        <v/>
      </c>
      <c r="I200">
        <f>IF('Recurring Schedule'!$C$13="","",IF('Recurring Schedule'!$F$13="","",IF(OR($A200&lt;'Recurring Schedule'!$F$13,$A200&gt;'Recurring Schedule'!$P$13),"",IF(IF('Recurring Schedule'!$N$13&gt;0,MOD($A200-'Recurring Schedule'!$F$13,'Recurring Schedule'!$N$13)=0,IF('Recurring Schedule'!$O$13&gt;0,AND(DAY($A200)=MIN(DAY('Recurring Schedule'!$F$13),DAY(EOMONTH($A200,0))),MOD((YEAR($A200)-YEAR('Recurring Schedule'!$F$13))*12+MONTH($A200)-MONTH('Recurring Schedule'!$F$13),'Recurring Schedule'!$O$13)=0),IF('Recurring Schedule'!$E$13="Weekdays",WEEKDAY($A200,2)&lt;=5,$A200='Recurring Schedule'!$F$13))),8,""))))</f>
        <v/>
      </c>
      <c r="J200">
        <f>IF('Recurring Schedule'!$C$14="","",IF('Recurring Schedule'!$F$14="","",IF(OR($A200&lt;'Recurring Schedule'!$F$14,$A200&gt;'Recurring Schedule'!$P$14),"",IF(IF('Recurring Schedule'!$N$14&gt;0,MOD($A200-'Recurring Schedule'!$F$14,'Recurring Schedule'!$N$14)=0,IF('Recurring Schedule'!$O$14&gt;0,AND(DAY($A200)=MIN(DAY('Recurring Schedule'!$F$14),DAY(EOMONTH($A200,0))),MOD((YEAR($A200)-YEAR('Recurring Schedule'!$F$14))*12+MONTH($A200)-MONTH('Recurring Schedule'!$F$14),'Recurring Schedule'!$O$14)=0),IF('Recurring Schedule'!$E$14="Weekdays",WEEKDAY($A200,2)&lt;=5,$A200='Recurring Schedule'!$F$14))),9,""))))</f>
        <v/>
      </c>
      <c r="K200">
        <f>IF('Recurring Schedule'!$C$15="","",IF('Recurring Schedule'!$F$15="","",IF(OR($A200&lt;'Recurring Schedule'!$F$15,$A200&gt;'Recurring Schedule'!$P$15),"",IF(IF('Recurring Schedule'!$N$15&gt;0,MOD($A200-'Recurring Schedule'!$F$15,'Recurring Schedule'!$N$15)=0,IF('Recurring Schedule'!$O$15&gt;0,AND(DAY($A200)=MIN(DAY('Recurring Schedule'!$F$15),DAY(EOMONTH($A200,0))),MOD((YEAR($A200)-YEAR('Recurring Schedule'!$F$15))*12+MONTH($A200)-MONTH('Recurring Schedule'!$F$15),'Recurring Schedule'!$O$15)=0),IF('Recurring Schedule'!$E$15="Weekdays",WEEKDAY($A200,2)&lt;=5,$A200='Recurring Schedule'!$F$15))),10,""))))</f>
        <v/>
      </c>
      <c r="L200">
        <f>IF('Recurring Schedule'!$C$16="","",IF('Recurring Schedule'!$F$16="","",IF(OR($A200&lt;'Recurring Schedule'!$F$16,$A200&gt;'Recurring Schedule'!$P$16),"",IF(IF('Recurring Schedule'!$N$16&gt;0,MOD($A200-'Recurring Schedule'!$F$16,'Recurring Schedule'!$N$16)=0,IF('Recurring Schedule'!$O$16&gt;0,AND(DAY($A200)=MIN(DAY('Recurring Schedule'!$F$16),DAY(EOMONTH($A200,0))),MOD((YEAR($A200)-YEAR('Recurring Schedule'!$F$16))*12+MONTH($A200)-MONTH('Recurring Schedule'!$F$16),'Recurring Schedule'!$O$16)=0),IF('Recurring Schedule'!$E$16="Weekdays",WEEKDAY($A200,2)&lt;=5,$A200='Recurring Schedule'!$F$16))),11,""))))</f>
        <v/>
      </c>
      <c r="M200">
        <f>IF('Recurring Schedule'!$C$17="","",IF('Recurring Schedule'!$F$17="","",IF(OR($A200&lt;'Recurring Schedule'!$F$17,$A200&gt;'Recurring Schedule'!$P$17),"",IF(IF('Recurring Schedule'!$N$17&gt;0,MOD($A200-'Recurring Schedule'!$F$17,'Recurring Schedule'!$N$17)=0,IF('Recurring Schedule'!$O$17&gt;0,AND(DAY($A200)=MIN(DAY('Recurring Schedule'!$F$17),DAY(EOMONTH($A200,0))),MOD((YEAR($A200)-YEAR('Recurring Schedule'!$F$17))*12+MONTH($A200)-MONTH('Recurring Schedule'!$F$17),'Recurring Schedule'!$O$17)=0),IF('Recurring Schedule'!$E$17="Weekdays",WEEKDAY($A200,2)&lt;=5,$A200='Recurring Schedule'!$F$17))),12,""))))</f>
        <v/>
      </c>
      <c r="N200">
        <f>IF('Recurring Schedule'!$C$18="","",IF('Recurring Schedule'!$F$18="","",IF(OR($A200&lt;'Recurring Schedule'!$F$18,$A200&gt;'Recurring Schedule'!$P$18),"",IF(IF('Recurring Schedule'!$N$18&gt;0,MOD($A200-'Recurring Schedule'!$F$18,'Recurring Schedule'!$N$18)=0,IF('Recurring Schedule'!$O$18&gt;0,AND(DAY($A200)=MIN(DAY('Recurring Schedule'!$F$18),DAY(EOMONTH($A200,0))),MOD((YEAR($A200)-YEAR('Recurring Schedule'!$F$18))*12+MONTH($A200)-MONTH('Recurring Schedule'!$F$18),'Recurring Schedule'!$O$18)=0),IF('Recurring Schedule'!$E$18="Weekdays",WEEKDAY($A200,2)&lt;=5,$A200='Recurring Schedule'!$F$18))),13,""))))</f>
        <v/>
      </c>
      <c r="O200">
        <f>IF('Recurring Schedule'!$C$19="","",IF('Recurring Schedule'!$F$19="","",IF(OR($A200&lt;'Recurring Schedule'!$F$19,$A200&gt;'Recurring Schedule'!$P$19),"",IF(IF('Recurring Schedule'!$N$19&gt;0,MOD($A200-'Recurring Schedule'!$F$19,'Recurring Schedule'!$N$19)=0,IF('Recurring Schedule'!$O$19&gt;0,AND(DAY($A200)=MIN(DAY('Recurring Schedule'!$F$19),DAY(EOMONTH($A200,0))),MOD((YEAR($A200)-YEAR('Recurring Schedule'!$F$19))*12+MONTH($A200)-MONTH('Recurring Schedule'!$F$19),'Recurring Schedule'!$O$19)=0),IF('Recurring Schedule'!$E$19="Weekdays",WEEKDAY($A200,2)&lt;=5,$A200='Recurring Schedule'!$F$19))),14,""))))</f>
        <v/>
      </c>
      <c r="P200">
        <f>IF('Recurring Schedule'!$C$20="","",IF('Recurring Schedule'!$F$20="","",IF(OR($A200&lt;'Recurring Schedule'!$F$20,$A200&gt;'Recurring Schedule'!$P$20),"",IF(IF('Recurring Schedule'!$N$20&gt;0,MOD($A200-'Recurring Schedule'!$F$20,'Recurring Schedule'!$N$20)=0,IF('Recurring Schedule'!$O$20&gt;0,AND(DAY($A200)=MIN(DAY('Recurring Schedule'!$F$20),DAY(EOMONTH($A200,0))),MOD((YEAR($A200)-YEAR('Recurring Schedule'!$F$20))*12+MONTH($A200)-MONTH('Recurring Schedule'!$F$20),'Recurring Schedule'!$O$20)=0),IF('Recurring Schedule'!$E$20="Weekdays",WEEKDAY($A200,2)&lt;=5,$A200='Recurring Schedule'!$F$20))),15,""))))</f>
        <v/>
      </c>
      <c r="Q200">
        <f>IF('Recurring Schedule'!$C$21="","",IF('Recurring Schedule'!$F$21="","",IF(OR($A200&lt;'Recurring Schedule'!$F$21,$A200&gt;'Recurring Schedule'!$P$21),"",IF(IF('Recurring Schedule'!$N$21&gt;0,MOD($A200-'Recurring Schedule'!$F$21,'Recurring Schedule'!$N$21)=0,IF('Recurring Schedule'!$O$21&gt;0,AND(DAY($A200)=MIN(DAY('Recurring Schedule'!$F$21),DAY(EOMONTH($A200,0))),MOD((YEAR($A200)-YEAR('Recurring Schedule'!$F$21))*12+MONTH($A200)-MONTH('Recurring Schedule'!$F$21),'Recurring Schedule'!$O$21)=0),IF('Recurring Schedule'!$E$21="Weekdays",WEEKDAY($A200,2)&lt;=5,$A200='Recurring Schedule'!$F$21))),16,""))))</f>
        <v/>
      </c>
      <c r="R200">
        <f>IF('Recurring Schedule'!$C$22="","",IF('Recurring Schedule'!$F$22="","",IF(OR($A200&lt;'Recurring Schedule'!$F$22,$A200&gt;'Recurring Schedule'!$P$22),"",IF(IF('Recurring Schedule'!$N$22&gt;0,MOD($A200-'Recurring Schedule'!$F$22,'Recurring Schedule'!$N$22)=0,IF('Recurring Schedule'!$O$22&gt;0,AND(DAY($A200)=MIN(DAY('Recurring Schedule'!$F$22),DAY(EOMONTH($A200,0))),MOD((YEAR($A200)-YEAR('Recurring Schedule'!$F$22))*12+MONTH($A200)-MONTH('Recurring Schedule'!$F$22),'Recurring Schedule'!$O$22)=0),IF('Recurring Schedule'!$E$22="Weekdays",WEEKDAY($A200,2)&lt;=5,$A200='Recurring Schedule'!$F$22))),17,""))))</f>
        <v/>
      </c>
      <c r="S200">
        <f>IF('Recurring Schedule'!$C$23="","",IF('Recurring Schedule'!$F$23="","",IF(OR($A200&lt;'Recurring Schedule'!$F$23,$A200&gt;'Recurring Schedule'!$P$23),"",IF(IF('Recurring Schedule'!$N$23&gt;0,MOD($A200-'Recurring Schedule'!$F$23,'Recurring Schedule'!$N$23)=0,IF('Recurring Schedule'!$O$23&gt;0,AND(DAY($A200)=MIN(DAY('Recurring Schedule'!$F$23),DAY(EOMONTH($A200,0))),MOD((YEAR($A200)-YEAR('Recurring Schedule'!$F$23))*12+MONTH($A200)-MONTH('Recurring Schedule'!$F$23),'Recurring Schedule'!$O$23)=0),IF('Recurring Schedule'!$E$23="Weekdays",WEEKDAY($A200,2)&lt;=5,$A200='Recurring Schedule'!$F$23))),18,""))))</f>
        <v/>
      </c>
      <c r="T200">
        <f>IF('Recurring Schedule'!$C$24="","",IF('Recurring Schedule'!$F$24="","",IF(OR($A200&lt;'Recurring Schedule'!$F$24,$A200&gt;'Recurring Schedule'!$P$24),"",IF(IF('Recurring Schedule'!$N$24&gt;0,MOD($A200-'Recurring Schedule'!$F$24,'Recurring Schedule'!$N$24)=0,IF('Recurring Schedule'!$O$24&gt;0,AND(DAY($A200)=MIN(DAY('Recurring Schedule'!$F$24),DAY(EOMONTH($A200,0))),MOD((YEAR($A200)-YEAR('Recurring Schedule'!$F$24))*12+MONTH($A200)-MONTH('Recurring Schedule'!$F$24),'Recurring Schedule'!$O$24)=0),IF('Recurring Schedule'!$E$24="Weekdays",WEEKDAY($A200,2)&lt;=5,$A200='Recurring Schedule'!$F$24))),19,""))))</f>
        <v/>
      </c>
      <c r="U200">
        <f>IF('Recurring Schedule'!$C$25="","",IF('Recurring Schedule'!$F$25="","",IF(OR($A200&lt;'Recurring Schedule'!$F$25,$A200&gt;'Recurring Schedule'!$P$25),"",IF(IF('Recurring Schedule'!$N$25&gt;0,MOD($A200-'Recurring Schedule'!$F$25,'Recurring Schedule'!$N$25)=0,IF('Recurring Schedule'!$O$25&gt;0,AND(DAY($A200)=MIN(DAY('Recurring Schedule'!$F$25),DAY(EOMONTH($A200,0))),MOD((YEAR($A200)-YEAR('Recurring Schedule'!$F$25))*12+MONTH($A200)-MONTH('Recurring Schedule'!$F$25),'Recurring Schedule'!$O$25)=0),IF('Recurring Schedule'!$E$25="Weekdays",WEEKDAY($A200,2)&lt;=5,$A200='Recurring Schedule'!$F$25))),20,""))))</f>
        <v/>
      </c>
      <c r="V200">
        <f>IF('Recurring Schedule'!$C$26="","",IF('Recurring Schedule'!$F$26="","",IF(OR($A200&lt;'Recurring Schedule'!$F$26,$A200&gt;'Recurring Schedule'!$P$26),"",IF(IF('Recurring Schedule'!$N$26&gt;0,MOD($A200-'Recurring Schedule'!$F$26,'Recurring Schedule'!$N$26)=0,IF('Recurring Schedule'!$O$26&gt;0,AND(DAY($A200)=MIN(DAY('Recurring Schedule'!$F$26),DAY(EOMONTH($A200,0))),MOD((YEAR($A200)-YEAR('Recurring Schedule'!$F$26))*12+MONTH($A200)-MONTH('Recurring Schedule'!$F$26),'Recurring Schedule'!$O$26)=0),IF('Recurring Schedule'!$E$26="Weekdays",WEEKDAY($A200,2)&lt;=5,$A200='Recurring Schedule'!$F$26))),21,""))))</f>
        <v/>
      </c>
      <c r="W200">
        <f>IF('Recurring Schedule'!$C$27="","",IF('Recurring Schedule'!$F$27="","",IF(OR($A200&lt;'Recurring Schedule'!$F$27,$A200&gt;'Recurring Schedule'!$P$27),"",IF(IF('Recurring Schedule'!$N$27&gt;0,MOD($A200-'Recurring Schedule'!$F$27,'Recurring Schedule'!$N$27)=0,IF('Recurring Schedule'!$O$27&gt;0,AND(DAY($A200)=MIN(DAY('Recurring Schedule'!$F$27),DAY(EOMONTH($A200,0))),MOD((YEAR($A200)-YEAR('Recurring Schedule'!$F$27))*12+MONTH($A200)-MONTH('Recurring Schedule'!$F$27),'Recurring Schedule'!$O$27)=0),IF('Recurring Schedule'!$E$27="Weekdays",WEEKDAY($A200,2)&lt;=5,$A200='Recurring Schedule'!$F$27))),22,""))))</f>
        <v/>
      </c>
      <c r="X200">
        <f>IF('Recurring Schedule'!$C$28="","",IF('Recurring Schedule'!$F$28="","",IF(OR($A200&lt;'Recurring Schedule'!$F$28,$A200&gt;'Recurring Schedule'!$P$28),"",IF(IF('Recurring Schedule'!$N$28&gt;0,MOD($A200-'Recurring Schedule'!$F$28,'Recurring Schedule'!$N$28)=0,IF('Recurring Schedule'!$O$28&gt;0,AND(DAY($A200)=MIN(DAY('Recurring Schedule'!$F$28),DAY(EOMONTH($A200,0))),MOD((YEAR($A200)-YEAR('Recurring Schedule'!$F$28))*12+MONTH($A200)-MONTH('Recurring Schedule'!$F$28),'Recurring Schedule'!$O$28)=0),IF('Recurring Schedule'!$E$28="Weekdays",WEEKDAY($A200,2)&lt;=5,$A200='Recurring Schedule'!$F$28))),23,""))))</f>
        <v/>
      </c>
      <c r="Y200">
        <f>IF('Recurring Schedule'!$C$29="","",IF('Recurring Schedule'!$F$29="","",IF(OR($A200&lt;'Recurring Schedule'!$F$29,$A200&gt;'Recurring Schedule'!$P$29),"",IF(IF('Recurring Schedule'!$N$29&gt;0,MOD($A200-'Recurring Schedule'!$F$29,'Recurring Schedule'!$N$29)=0,IF('Recurring Schedule'!$O$29&gt;0,AND(DAY($A200)=MIN(DAY('Recurring Schedule'!$F$29),DAY(EOMONTH($A200,0))),MOD((YEAR($A200)-YEAR('Recurring Schedule'!$F$29))*12+MONTH($A200)-MONTH('Recurring Schedule'!$F$29),'Recurring Schedule'!$O$29)=0),IF('Recurring Schedule'!$E$29="Weekdays",WEEKDAY($A200,2)&lt;=5,$A200='Recurring Schedule'!$F$29))),24,""))))</f>
        <v/>
      </c>
      <c r="Z200">
        <f>IF('Recurring Schedule'!$C$30="","",IF('Recurring Schedule'!$F$30="","",IF(OR($A200&lt;'Recurring Schedule'!$F$30,$A200&gt;'Recurring Schedule'!$P$30),"",IF(IF('Recurring Schedule'!$N$30&gt;0,MOD($A200-'Recurring Schedule'!$F$30,'Recurring Schedule'!$N$30)=0,IF('Recurring Schedule'!$O$30&gt;0,AND(DAY($A200)=MIN(DAY('Recurring Schedule'!$F$30),DAY(EOMONTH($A200,0))),MOD((YEAR($A200)-YEAR('Recurring Schedule'!$F$30))*12+MONTH($A200)-MONTH('Recurring Schedule'!$F$30),'Recurring Schedule'!$O$30)=0),IF('Recurring Schedule'!$E$30="Weekdays",WEEKDAY($A200,2)&lt;=5,$A200='Recurring Schedule'!$F$30))),25,""))))</f>
        <v/>
      </c>
      <c r="AA200">
        <f>IF('Recurring Schedule'!$C$31="","",IF('Recurring Schedule'!$F$31="","",IF(OR($A200&lt;'Recurring Schedule'!$F$31,$A200&gt;'Recurring Schedule'!$P$31),"",IF(IF('Recurring Schedule'!$N$31&gt;0,MOD($A200-'Recurring Schedule'!$F$31,'Recurring Schedule'!$N$31)=0,IF('Recurring Schedule'!$O$31&gt;0,AND(DAY($A200)=MIN(DAY('Recurring Schedule'!$F$31),DAY(EOMONTH($A200,0))),MOD((YEAR($A200)-YEAR('Recurring Schedule'!$F$31))*12+MONTH($A200)-MONTH('Recurring Schedule'!$F$31),'Recurring Schedule'!$O$31)=0),IF('Recurring Schedule'!$E$31="Weekdays",WEEKDAY($A200,2)&lt;=5,$A200='Recurring Schedule'!$F$31))),26,""))))</f>
        <v/>
      </c>
      <c r="AB200">
        <f>IF('Recurring Schedule'!$C$32="","",IF('Recurring Schedule'!$F$32="","",IF(OR($A200&lt;'Recurring Schedule'!$F$32,$A200&gt;'Recurring Schedule'!$P$32),"",IF(IF('Recurring Schedule'!$N$32&gt;0,MOD($A200-'Recurring Schedule'!$F$32,'Recurring Schedule'!$N$32)=0,IF('Recurring Schedule'!$O$32&gt;0,AND(DAY($A200)=MIN(DAY('Recurring Schedule'!$F$32),DAY(EOMONTH($A200,0))),MOD((YEAR($A200)-YEAR('Recurring Schedule'!$F$32))*12+MONTH($A200)-MONTH('Recurring Schedule'!$F$32),'Recurring Schedule'!$O$32)=0),IF('Recurring Schedule'!$E$32="Weekdays",WEEKDAY($A200,2)&lt;=5,$A200='Recurring Schedule'!$F$32))),27,""))))</f>
        <v/>
      </c>
      <c r="AC200">
        <f>IF('Recurring Schedule'!$C$33="","",IF('Recurring Schedule'!$F$33="","",IF(OR($A200&lt;'Recurring Schedule'!$F$33,$A200&gt;'Recurring Schedule'!$P$33),"",IF(IF('Recurring Schedule'!$N$33&gt;0,MOD($A200-'Recurring Schedule'!$F$33,'Recurring Schedule'!$N$33)=0,IF('Recurring Schedule'!$O$33&gt;0,AND(DAY($A200)=MIN(DAY('Recurring Schedule'!$F$33),DAY(EOMONTH($A200,0))),MOD((YEAR($A200)-YEAR('Recurring Schedule'!$F$33))*12+MONTH($A200)-MONTH('Recurring Schedule'!$F$33),'Recurring Schedule'!$O$33)=0),IF('Recurring Schedule'!$E$33="Weekdays",WEEKDAY($A200,2)&lt;=5,$A200='Recurring Schedule'!$F$33))),28,""))))</f>
        <v/>
      </c>
      <c r="AD200">
        <f>IF('Recurring Schedule'!$C$34="","",IF('Recurring Schedule'!$F$34="","",IF(OR($A200&lt;'Recurring Schedule'!$F$34,$A200&gt;'Recurring Schedule'!$P$34),"",IF(IF('Recurring Schedule'!$N$34&gt;0,MOD($A200-'Recurring Schedule'!$F$34,'Recurring Schedule'!$N$34)=0,IF('Recurring Schedule'!$O$34&gt;0,AND(DAY($A200)=MIN(DAY('Recurring Schedule'!$F$34),DAY(EOMONTH($A200,0))),MOD((YEAR($A200)-YEAR('Recurring Schedule'!$F$34))*12+MONTH($A200)-MONTH('Recurring Schedule'!$F$34),'Recurring Schedule'!$O$34)=0),IF('Recurring Schedule'!$E$34="Weekdays",WEEKDAY($A200,2)&lt;=5,$A200='Recurring Schedule'!$F$34))),29,""))))</f>
        <v/>
      </c>
      <c r="AE200">
        <f>IF('Recurring Schedule'!$C$35="","",IF('Recurring Schedule'!$F$35="","",IF(OR($A200&lt;'Recurring Schedule'!$F$35,$A200&gt;'Recurring Schedule'!$P$35),"",IF(IF('Recurring Schedule'!$N$35&gt;0,MOD($A200-'Recurring Schedule'!$F$35,'Recurring Schedule'!$N$35)=0,IF('Recurring Schedule'!$O$35&gt;0,AND(DAY($A200)=MIN(DAY('Recurring Schedule'!$F$35),DAY(EOMONTH($A200,0))),MOD((YEAR($A200)-YEAR('Recurring Schedule'!$F$35))*12+MONTH($A200)-MONTH('Recurring Schedule'!$F$35),'Recurring Schedule'!$O$35)=0),IF('Recurring Schedule'!$E$35="Weekdays",WEEKDAY($A200,2)&lt;=5,$A200='Recurring Schedule'!$F$35))),30,""))))</f>
        <v/>
      </c>
      <c r="AF200">
        <f>IF('Recurring Schedule'!$C$36="","",IF('Recurring Schedule'!$F$36="","",IF(OR($A200&lt;'Recurring Schedule'!$F$36,$A200&gt;'Recurring Schedule'!$P$36),"",IF(IF('Recurring Schedule'!$N$36&gt;0,MOD($A200-'Recurring Schedule'!$F$36,'Recurring Schedule'!$N$36)=0,IF('Recurring Schedule'!$O$36&gt;0,AND(DAY($A200)=MIN(DAY('Recurring Schedule'!$F$36),DAY(EOMONTH($A200,0))),MOD((YEAR($A200)-YEAR('Recurring Schedule'!$F$36))*12+MONTH($A200)-MONTH('Recurring Schedule'!$F$36),'Recurring Schedule'!$O$36)=0),IF('Recurring Schedule'!$E$36="Weekdays",WEEKDAY($A200,2)&lt;=5,$A200='Recurring Schedule'!$F$36))),31,""))))</f>
        <v/>
      </c>
      <c r="AG200">
        <f>IF('Recurring Schedule'!$C$37="","",IF('Recurring Schedule'!$F$37="","",IF(OR($A200&lt;'Recurring Schedule'!$F$37,$A200&gt;'Recurring Schedule'!$P$37),"",IF(IF('Recurring Schedule'!$N$37&gt;0,MOD($A200-'Recurring Schedule'!$F$37,'Recurring Schedule'!$N$37)=0,IF('Recurring Schedule'!$O$37&gt;0,AND(DAY($A200)=MIN(DAY('Recurring Schedule'!$F$37),DAY(EOMONTH($A200,0))),MOD((YEAR($A200)-YEAR('Recurring Schedule'!$F$37))*12+MONTH($A200)-MONTH('Recurring Schedule'!$F$37),'Recurring Schedule'!$O$37)=0),IF('Recurring Schedule'!$E$37="Weekdays",WEEKDAY($A200,2)&lt;=5,$A200='Recurring Schedule'!$F$37))),32,""))))</f>
        <v/>
      </c>
      <c r="AH200">
        <f>IF('Recurring Schedule'!$C$38="","",IF('Recurring Schedule'!$F$38="","",IF(OR($A200&lt;'Recurring Schedule'!$F$38,$A200&gt;'Recurring Schedule'!$P$38),"",IF(IF('Recurring Schedule'!$N$38&gt;0,MOD($A200-'Recurring Schedule'!$F$38,'Recurring Schedule'!$N$38)=0,IF('Recurring Schedule'!$O$38&gt;0,AND(DAY($A200)=MIN(DAY('Recurring Schedule'!$F$38),DAY(EOMONTH($A200,0))),MOD((YEAR($A200)-YEAR('Recurring Schedule'!$F$38))*12+MONTH($A200)-MONTH('Recurring Schedule'!$F$38),'Recurring Schedule'!$O$38)=0),IF('Recurring Schedule'!$E$38="Weekdays",WEEKDAY($A200,2)&lt;=5,$A200='Recurring Schedule'!$F$38))),33,""))))</f>
        <v/>
      </c>
      <c r="AI200">
        <f>IF('Recurring Schedule'!$C$39="","",IF('Recurring Schedule'!$F$39="","",IF(OR($A200&lt;'Recurring Schedule'!$F$39,$A200&gt;'Recurring Schedule'!$P$39),"",IF(IF('Recurring Schedule'!$N$39&gt;0,MOD($A200-'Recurring Schedule'!$F$39,'Recurring Schedule'!$N$39)=0,IF('Recurring Schedule'!$O$39&gt;0,AND(DAY($A200)=MIN(DAY('Recurring Schedule'!$F$39),DAY(EOMONTH($A200,0))),MOD((YEAR($A200)-YEAR('Recurring Schedule'!$F$39))*12+MONTH($A200)-MONTH('Recurring Schedule'!$F$39),'Recurring Schedule'!$O$39)=0),IF('Recurring Schedule'!$E$39="Weekdays",WEEKDAY($A200,2)&lt;=5,$A200='Recurring Schedule'!$F$39))),34,""))))</f>
        <v/>
      </c>
      <c r="AJ200">
        <f>IF('Recurring Schedule'!$C$40="","",IF('Recurring Schedule'!$F$40="","",IF(OR($A200&lt;'Recurring Schedule'!$F$40,$A200&gt;'Recurring Schedule'!$P$40),"",IF(IF('Recurring Schedule'!$N$40&gt;0,MOD($A200-'Recurring Schedule'!$F$40,'Recurring Schedule'!$N$40)=0,IF('Recurring Schedule'!$O$40&gt;0,AND(DAY($A200)=MIN(DAY('Recurring Schedule'!$F$40),DAY(EOMONTH($A200,0))),MOD((YEAR($A200)-YEAR('Recurring Schedule'!$F$40))*12+MONTH($A200)-MONTH('Recurring Schedule'!$F$40),'Recurring Schedule'!$O$40)=0),IF('Recurring Schedule'!$E$40="Weekdays",WEEKDAY($A200,2)&lt;=5,$A200='Recurring Schedule'!$F$40))),35,""))))</f>
        <v/>
      </c>
      <c r="AK200">
        <f>IF('Recurring Schedule'!$C$41="","",IF('Recurring Schedule'!$F$41="","",IF(OR($A200&lt;'Recurring Schedule'!$F$41,$A200&gt;'Recurring Schedule'!$P$41),"",IF(IF('Recurring Schedule'!$N$41&gt;0,MOD($A200-'Recurring Schedule'!$F$41,'Recurring Schedule'!$N$41)=0,IF('Recurring Schedule'!$O$41&gt;0,AND(DAY($A200)=MIN(DAY('Recurring Schedule'!$F$41),DAY(EOMONTH($A200,0))),MOD((YEAR($A200)-YEAR('Recurring Schedule'!$F$41))*12+MONTH($A200)-MONTH('Recurring Schedule'!$F$41),'Recurring Schedule'!$O$41)=0),IF('Recurring Schedule'!$E$41="Weekdays",WEEKDAY($A200,2)&lt;=5,$A200='Recurring Schedule'!$F$41))),36,""))))</f>
        <v/>
      </c>
      <c r="AL200">
        <f>IF('Recurring Schedule'!$C$42="","",IF('Recurring Schedule'!$F$42="","",IF(OR($A200&lt;'Recurring Schedule'!$F$42,$A200&gt;'Recurring Schedule'!$P$42),"",IF(IF('Recurring Schedule'!$N$42&gt;0,MOD($A200-'Recurring Schedule'!$F$42,'Recurring Schedule'!$N$42)=0,IF('Recurring Schedule'!$O$42&gt;0,AND(DAY($A200)=MIN(DAY('Recurring Schedule'!$F$42),DAY(EOMONTH($A200,0))),MOD((YEAR($A200)-YEAR('Recurring Schedule'!$F$42))*12+MONTH($A200)-MONTH('Recurring Schedule'!$F$42),'Recurring Schedule'!$O$42)=0),IF('Recurring Schedule'!$E$42="Weekdays",WEEKDAY($A200,2)&lt;=5,$A200='Recurring Schedule'!$F$42))),37,""))))</f>
        <v/>
      </c>
      <c r="AM200">
        <f>IF('Recurring Schedule'!$C$43="","",IF('Recurring Schedule'!$F$43="","",IF(OR($A200&lt;'Recurring Schedule'!$F$43,$A200&gt;'Recurring Schedule'!$P$43),"",IF(IF('Recurring Schedule'!$N$43&gt;0,MOD($A200-'Recurring Schedule'!$F$43,'Recurring Schedule'!$N$43)=0,IF('Recurring Schedule'!$O$43&gt;0,AND(DAY($A200)=MIN(DAY('Recurring Schedule'!$F$43),DAY(EOMONTH($A200,0))),MOD((YEAR($A200)-YEAR('Recurring Schedule'!$F$43))*12+MONTH($A200)-MONTH('Recurring Schedule'!$F$43),'Recurring Schedule'!$O$43)=0),IF('Recurring Schedule'!$E$43="Weekdays",WEEKDAY($A200,2)&lt;=5,$A200='Recurring Schedule'!$F$43))),38,""))))</f>
        <v/>
      </c>
      <c r="AN200">
        <f>IF('Recurring Schedule'!$C$44="","",IF('Recurring Schedule'!$F$44="","",IF(OR($A200&lt;'Recurring Schedule'!$F$44,$A200&gt;'Recurring Schedule'!$P$44),"",IF(IF('Recurring Schedule'!$N$44&gt;0,MOD($A200-'Recurring Schedule'!$F$44,'Recurring Schedule'!$N$44)=0,IF('Recurring Schedule'!$O$44&gt;0,AND(DAY($A200)=MIN(DAY('Recurring Schedule'!$F$44),DAY(EOMONTH($A200,0))),MOD((YEAR($A200)-YEAR('Recurring Schedule'!$F$44))*12+MONTH($A200)-MONTH('Recurring Schedule'!$F$44),'Recurring Schedule'!$O$44)=0),IF('Recurring Schedule'!$E$44="Weekdays",WEEKDAY($A200,2)&lt;=5,$A200='Recurring Schedule'!$F$44))),39,""))))</f>
        <v/>
      </c>
      <c r="AO200">
        <f>IF('Recurring Schedule'!$C$45="","",IF('Recurring Schedule'!$F$45="","",IF(OR($A200&lt;'Recurring Schedule'!$F$45,$A200&gt;'Recurring Schedule'!$P$45),"",IF(IF('Recurring Schedule'!$N$45&gt;0,MOD($A200-'Recurring Schedule'!$F$45,'Recurring Schedule'!$N$45)=0,IF('Recurring Schedule'!$O$45&gt;0,AND(DAY($A200)=MIN(DAY('Recurring Schedule'!$F$45),DAY(EOMONTH($A200,0))),MOD((YEAR($A200)-YEAR('Recurring Schedule'!$F$45))*12+MONTH($A200)-MONTH('Recurring Schedule'!$F$45),'Recurring Schedule'!$O$45)=0),IF('Recurring Schedule'!$E$45="Weekdays",WEEKDAY($A200,2)&lt;=5,$A200='Recurring Schedule'!$F$45))),40,""))))</f>
        <v/>
      </c>
      <c r="AP200">
        <f>COUNT(B200:AO200)</f>
        <v/>
      </c>
      <c r="AQ200">
        <f>AQ199+AP199</f>
        <v/>
      </c>
      <c r="AS200" t="inlineStr">
        <is>
          <t>R</t>
        </is>
      </c>
      <c r="AT200" t="n">
        <v>204</v>
      </c>
      <c r="AU200">
        <f>'Recurring Log'!C204&amp;""</f>
        <v/>
      </c>
      <c r="AV200">
        <f>'Recurring Log'!D204&amp;""</f>
        <v/>
      </c>
      <c r="AW200">
        <f>IF('Recurring Log'!E204="","",'Recurring Log'!E204)</f>
        <v/>
      </c>
      <c r="AX200">
        <f>IF('Recurring Log'!G204="","",'Recurring Log'!G204)</f>
        <v/>
      </c>
      <c r="AY200">
        <f>IF('Recurring Log'!H204="","",'Recurring Log'!H204)</f>
        <v/>
      </c>
      <c r="AZ200">
        <f>IF(AU200="","",IF('Recurring Log'!J204="","Not Started",'Recurring Log'!J204))</f>
        <v/>
      </c>
      <c r="BA200">
        <f>'Recurring Log'!L204&amp;""</f>
        <v/>
      </c>
      <c r="BB200">
        <f>'Recurring Log'!M204&amp;""</f>
        <v/>
      </c>
      <c r="BC200">
        <f>'Recurring Log'!N204&amp;""</f>
        <v/>
      </c>
      <c r="BD200">
        <f>'Recurring Log'!O204&amp;""</f>
        <v/>
      </c>
      <c r="BE200">
        <f>IF('Recurring Log'!K204="","",'Recurring Log'!K204)</f>
        <v/>
      </c>
      <c r="BF200">
        <f>IFERROR(MATCH(BA200,Setup!$L$6:$L$9,0),5)</f>
        <v/>
      </c>
      <c r="BG200">
        <f>IF(OR(AZ200="Done",AZ200="Cancelled"),1,0)</f>
        <v/>
      </c>
      <c r="BH200">
        <f>IF(AND(AU200&lt;&gt;"",ISNUMBER(AW200)),1,0)</f>
        <v/>
      </c>
      <c r="BI200">
        <f>IF(BH200=0,0,IF(AND(AW200&gt;='Tasks Filter'!$F$3,AW200&lt;='Tasks Filter'!$F$4,OR('Tasks Filter'!$I$3="",ISNUMBER(SEARCH('Tasks Filter'!$I$3,AU200))),OR('Tasks Filter'!$I$4="",BF200=IFERROR(MATCH('Tasks Filter'!$I$4,Setup!$L$6:$L$9,0),0)),OR('Tasks Filter'!$I$5="Both",AND('Tasks Filter'!$I$5="Yes",BB200="✓"),AND('Tasks Filter'!$I$5="No",BB200&lt;&gt;"✓")),OR('Tasks Filter'!$L$3="",AV200='Tasks Filter'!$L$3),OR('Tasks Filter'!$L$4="",AZ200='Tasks Filter'!$L$4),OR('Tasks Filter'!$L$5="",BC200='Tasks Filter'!$L$5),OR('Tasks Filter'!$O$3="",BD200='Tasks Filter'!$O$3),OR('Tasks Filter'!$O$4="Yes",BG200=0)),1,0))</f>
        <v/>
      </c>
      <c r="BJ200">
        <f>IF(BH200=0,"",IF('Tasks Filter'!$F$6="Descending",-1,1)*CHOOSE(MATCH('Tasks Filter'!$F$5,Lists!$G$2:$G$6,0),AW200,BF200,IFERROR(MATCH(AV200,Setup!$F$6:$F$15,0),99),IFERROR(MATCH(BC200,Setup!$H$6:$H$15,0),99),IFERROR(MATCH(AZ200,Setup!$J$6:$J$11,0),99))*1E+9+(AW200-40000)*10000+199)</f>
        <v/>
      </c>
      <c r="BK200">
        <f>IF(BI200=1,BJ200,"")</f>
        <v/>
      </c>
      <c r="BL200">
        <f>IF(AND(BH200=1,BG200=0,N(AW200)&lt;Setup!$D$7),(AW200-40000)*10000+199,"")</f>
        <v/>
      </c>
      <c r="BM200">
        <f>IF(AND(BH200=1,AZ200&lt;&gt;"Cancelled",N(AW200)&gt;=Dashboard!$AB$3,N(AW200)&lt;=Dashboard!$AB$3+6),(AW200-40000)*100000+BF200*10000+199,"")</f>
        <v/>
      </c>
      <c r="BN200">
        <f>IF(AND(BH200=1,AZ200&lt;&gt;"Cancelled"),BF200*10000+199,"")</f>
        <v/>
      </c>
    </row>
    <row r="201">
      <c r="A201">
        <f>Setup!$D$5+199</f>
        <v/>
      </c>
      <c r="B201">
        <f>IF('Recurring Schedule'!$C$6="","",IF('Recurring Schedule'!$F$6="","",IF(OR($A201&lt;'Recurring Schedule'!$F$6,$A201&gt;'Recurring Schedule'!$P$6),"",IF(IF('Recurring Schedule'!$N$6&gt;0,MOD($A201-'Recurring Schedule'!$F$6,'Recurring Schedule'!$N$6)=0,IF('Recurring Schedule'!$O$6&gt;0,AND(DAY($A201)=MIN(DAY('Recurring Schedule'!$F$6),DAY(EOMONTH($A201,0))),MOD((YEAR($A201)-YEAR('Recurring Schedule'!$F$6))*12+MONTH($A201)-MONTH('Recurring Schedule'!$F$6),'Recurring Schedule'!$O$6)=0),IF('Recurring Schedule'!$E$6="Weekdays",WEEKDAY($A201,2)&lt;=5,$A201='Recurring Schedule'!$F$6))),1,""))))</f>
        <v/>
      </c>
      <c r="C201">
        <f>IF('Recurring Schedule'!$C$7="","",IF('Recurring Schedule'!$F$7="","",IF(OR($A201&lt;'Recurring Schedule'!$F$7,$A201&gt;'Recurring Schedule'!$P$7),"",IF(IF('Recurring Schedule'!$N$7&gt;0,MOD($A201-'Recurring Schedule'!$F$7,'Recurring Schedule'!$N$7)=0,IF('Recurring Schedule'!$O$7&gt;0,AND(DAY($A201)=MIN(DAY('Recurring Schedule'!$F$7),DAY(EOMONTH($A201,0))),MOD((YEAR($A201)-YEAR('Recurring Schedule'!$F$7))*12+MONTH($A201)-MONTH('Recurring Schedule'!$F$7),'Recurring Schedule'!$O$7)=0),IF('Recurring Schedule'!$E$7="Weekdays",WEEKDAY($A201,2)&lt;=5,$A201='Recurring Schedule'!$F$7))),2,""))))</f>
        <v/>
      </c>
      <c r="D201">
        <f>IF('Recurring Schedule'!$C$8="","",IF('Recurring Schedule'!$F$8="","",IF(OR($A201&lt;'Recurring Schedule'!$F$8,$A201&gt;'Recurring Schedule'!$P$8),"",IF(IF('Recurring Schedule'!$N$8&gt;0,MOD($A201-'Recurring Schedule'!$F$8,'Recurring Schedule'!$N$8)=0,IF('Recurring Schedule'!$O$8&gt;0,AND(DAY($A201)=MIN(DAY('Recurring Schedule'!$F$8),DAY(EOMONTH($A201,0))),MOD((YEAR($A201)-YEAR('Recurring Schedule'!$F$8))*12+MONTH($A201)-MONTH('Recurring Schedule'!$F$8),'Recurring Schedule'!$O$8)=0),IF('Recurring Schedule'!$E$8="Weekdays",WEEKDAY($A201,2)&lt;=5,$A201='Recurring Schedule'!$F$8))),3,""))))</f>
        <v/>
      </c>
      <c r="E201">
        <f>IF('Recurring Schedule'!$C$9="","",IF('Recurring Schedule'!$F$9="","",IF(OR($A201&lt;'Recurring Schedule'!$F$9,$A201&gt;'Recurring Schedule'!$P$9),"",IF(IF('Recurring Schedule'!$N$9&gt;0,MOD($A201-'Recurring Schedule'!$F$9,'Recurring Schedule'!$N$9)=0,IF('Recurring Schedule'!$O$9&gt;0,AND(DAY($A201)=MIN(DAY('Recurring Schedule'!$F$9),DAY(EOMONTH($A201,0))),MOD((YEAR($A201)-YEAR('Recurring Schedule'!$F$9))*12+MONTH($A201)-MONTH('Recurring Schedule'!$F$9),'Recurring Schedule'!$O$9)=0),IF('Recurring Schedule'!$E$9="Weekdays",WEEKDAY($A201,2)&lt;=5,$A201='Recurring Schedule'!$F$9))),4,""))))</f>
        <v/>
      </c>
      <c r="F201">
        <f>IF('Recurring Schedule'!$C$10="","",IF('Recurring Schedule'!$F$10="","",IF(OR($A201&lt;'Recurring Schedule'!$F$10,$A201&gt;'Recurring Schedule'!$P$10),"",IF(IF('Recurring Schedule'!$N$10&gt;0,MOD($A201-'Recurring Schedule'!$F$10,'Recurring Schedule'!$N$10)=0,IF('Recurring Schedule'!$O$10&gt;0,AND(DAY($A201)=MIN(DAY('Recurring Schedule'!$F$10),DAY(EOMONTH($A201,0))),MOD((YEAR($A201)-YEAR('Recurring Schedule'!$F$10))*12+MONTH($A201)-MONTH('Recurring Schedule'!$F$10),'Recurring Schedule'!$O$10)=0),IF('Recurring Schedule'!$E$10="Weekdays",WEEKDAY($A201,2)&lt;=5,$A201='Recurring Schedule'!$F$10))),5,""))))</f>
        <v/>
      </c>
      <c r="G201">
        <f>IF('Recurring Schedule'!$C$11="","",IF('Recurring Schedule'!$F$11="","",IF(OR($A201&lt;'Recurring Schedule'!$F$11,$A201&gt;'Recurring Schedule'!$P$11),"",IF(IF('Recurring Schedule'!$N$11&gt;0,MOD($A201-'Recurring Schedule'!$F$11,'Recurring Schedule'!$N$11)=0,IF('Recurring Schedule'!$O$11&gt;0,AND(DAY($A201)=MIN(DAY('Recurring Schedule'!$F$11),DAY(EOMONTH($A201,0))),MOD((YEAR($A201)-YEAR('Recurring Schedule'!$F$11))*12+MONTH($A201)-MONTH('Recurring Schedule'!$F$11),'Recurring Schedule'!$O$11)=0),IF('Recurring Schedule'!$E$11="Weekdays",WEEKDAY($A201,2)&lt;=5,$A201='Recurring Schedule'!$F$11))),6,""))))</f>
        <v/>
      </c>
      <c r="H201">
        <f>IF('Recurring Schedule'!$C$12="","",IF('Recurring Schedule'!$F$12="","",IF(OR($A201&lt;'Recurring Schedule'!$F$12,$A201&gt;'Recurring Schedule'!$P$12),"",IF(IF('Recurring Schedule'!$N$12&gt;0,MOD($A201-'Recurring Schedule'!$F$12,'Recurring Schedule'!$N$12)=0,IF('Recurring Schedule'!$O$12&gt;0,AND(DAY($A201)=MIN(DAY('Recurring Schedule'!$F$12),DAY(EOMONTH($A201,0))),MOD((YEAR($A201)-YEAR('Recurring Schedule'!$F$12))*12+MONTH($A201)-MONTH('Recurring Schedule'!$F$12),'Recurring Schedule'!$O$12)=0),IF('Recurring Schedule'!$E$12="Weekdays",WEEKDAY($A201,2)&lt;=5,$A201='Recurring Schedule'!$F$12))),7,""))))</f>
        <v/>
      </c>
      <c r="I201">
        <f>IF('Recurring Schedule'!$C$13="","",IF('Recurring Schedule'!$F$13="","",IF(OR($A201&lt;'Recurring Schedule'!$F$13,$A201&gt;'Recurring Schedule'!$P$13),"",IF(IF('Recurring Schedule'!$N$13&gt;0,MOD($A201-'Recurring Schedule'!$F$13,'Recurring Schedule'!$N$13)=0,IF('Recurring Schedule'!$O$13&gt;0,AND(DAY($A201)=MIN(DAY('Recurring Schedule'!$F$13),DAY(EOMONTH($A201,0))),MOD((YEAR($A201)-YEAR('Recurring Schedule'!$F$13))*12+MONTH($A201)-MONTH('Recurring Schedule'!$F$13),'Recurring Schedule'!$O$13)=0),IF('Recurring Schedule'!$E$13="Weekdays",WEEKDAY($A201,2)&lt;=5,$A201='Recurring Schedule'!$F$13))),8,""))))</f>
        <v/>
      </c>
      <c r="J201">
        <f>IF('Recurring Schedule'!$C$14="","",IF('Recurring Schedule'!$F$14="","",IF(OR($A201&lt;'Recurring Schedule'!$F$14,$A201&gt;'Recurring Schedule'!$P$14),"",IF(IF('Recurring Schedule'!$N$14&gt;0,MOD($A201-'Recurring Schedule'!$F$14,'Recurring Schedule'!$N$14)=0,IF('Recurring Schedule'!$O$14&gt;0,AND(DAY($A201)=MIN(DAY('Recurring Schedule'!$F$14),DAY(EOMONTH($A201,0))),MOD((YEAR($A201)-YEAR('Recurring Schedule'!$F$14))*12+MONTH($A201)-MONTH('Recurring Schedule'!$F$14),'Recurring Schedule'!$O$14)=0),IF('Recurring Schedule'!$E$14="Weekdays",WEEKDAY($A201,2)&lt;=5,$A201='Recurring Schedule'!$F$14))),9,""))))</f>
        <v/>
      </c>
      <c r="K201">
        <f>IF('Recurring Schedule'!$C$15="","",IF('Recurring Schedule'!$F$15="","",IF(OR($A201&lt;'Recurring Schedule'!$F$15,$A201&gt;'Recurring Schedule'!$P$15),"",IF(IF('Recurring Schedule'!$N$15&gt;0,MOD($A201-'Recurring Schedule'!$F$15,'Recurring Schedule'!$N$15)=0,IF('Recurring Schedule'!$O$15&gt;0,AND(DAY($A201)=MIN(DAY('Recurring Schedule'!$F$15),DAY(EOMONTH($A201,0))),MOD((YEAR($A201)-YEAR('Recurring Schedule'!$F$15))*12+MONTH($A201)-MONTH('Recurring Schedule'!$F$15),'Recurring Schedule'!$O$15)=0),IF('Recurring Schedule'!$E$15="Weekdays",WEEKDAY($A201,2)&lt;=5,$A201='Recurring Schedule'!$F$15))),10,""))))</f>
        <v/>
      </c>
      <c r="L201">
        <f>IF('Recurring Schedule'!$C$16="","",IF('Recurring Schedule'!$F$16="","",IF(OR($A201&lt;'Recurring Schedule'!$F$16,$A201&gt;'Recurring Schedule'!$P$16),"",IF(IF('Recurring Schedule'!$N$16&gt;0,MOD($A201-'Recurring Schedule'!$F$16,'Recurring Schedule'!$N$16)=0,IF('Recurring Schedule'!$O$16&gt;0,AND(DAY($A201)=MIN(DAY('Recurring Schedule'!$F$16),DAY(EOMONTH($A201,0))),MOD((YEAR($A201)-YEAR('Recurring Schedule'!$F$16))*12+MONTH($A201)-MONTH('Recurring Schedule'!$F$16),'Recurring Schedule'!$O$16)=0),IF('Recurring Schedule'!$E$16="Weekdays",WEEKDAY($A201,2)&lt;=5,$A201='Recurring Schedule'!$F$16))),11,""))))</f>
        <v/>
      </c>
      <c r="M201">
        <f>IF('Recurring Schedule'!$C$17="","",IF('Recurring Schedule'!$F$17="","",IF(OR($A201&lt;'Recurring Schedule'!$F$17,$A201&gt;'Recurring Schedule'!$P$17),"",IF(IF('Recurring Schedule'!$N$17&gt;0,MOD($A201-'Recurring Schedule'!$F$17,'Recurring Schedule'!$N$17)=0,IF('Recurring Schedule'!$O$17&gt;0,AND(DAY($A201)=MIN(DAY('Recurring Schedule'!$F$17),DAY(EOMONTH($A201,0))),MOD((YEAR($A201)-YEAR('Recurring Schedule'!$F$17))*12+MONTH($A201)-MONTH('Recurring Schedule'!$F$17),'Recurring Schedule'!$O$17)=0),IF('Recurring Schedule'!$E$17="Weekdays",WEEKDAY($A201,2)&lt;=5,$A201='Recurring Schedule'!$F$17))),12,""))))</f>
        <v/>
      </c>
      <c r="N201">
        <f>IF('Recurring Schedule'!$C$18="","",IF('Recurring Schedule'!$F$18="","",IF(OR($A201&lt;'Recurring Schedule'!$F$18,$A201&gt;'Recurring Schedule'!$P$18),"",IF(IF('Recurring Schedule'!$N$18&gt;0,MOD($A201-'Recurring Schedule'!$F$18,'Recurring Schedule'!$N$18)=0,IF('Recurring Schedule'!$O$18&gt;0,AND(DAY($A201)=MIN(DAY('Recurring Schedule'!$F$18),DAY(EOMONTH($A201,0))),MOD((YEAR($A201)-YEAR('Recurring Schedule'!$F$18))*12+MONTH($A201)-MONTH('Recurring Schedule'!$F$18),'Recurring Schedule'!$O$18)=0),IF('Recurring Schedule'!$E$18="Weekdays",WEEKDAY($A201,2)&lt;=5,$A201='Recurring Schedule'!$F$18))),13,""))))</f>
        <v/>
      </c>
      <c r="O201">
        <f>IF('Recurring Schedule'!$C$19="","",IF('Recurring Schedule'!$F$19="","",IF(OR($A201&lt;'Recurring Schedule'!$F$19,$A201&gt;'Recurring Schedule'!$P$19),"",IF(IF('Recurring Schedule'!$N$19&gt;0,MOD($A201-'Recurring Schedule'!$F$19,'Recurring Schedule'!$N$19)=0,IF('Recurring Schedule'!$O$19&gt;0,AND(DAY($A201)=MIN(DAY('Recurring Schedule'!$F$19),DAY(EOMONTH($A201,0))),MOD((YEAR($A201)-YEAR('Recurring Schedule'!$F$19))*12+MONTH($A201)-MONTH('Recurring Schedule'!$F$19),'Recurring Schedule'!$O$19)=0),IF('Recurring Schedule'!$E$19="Weekdays",WEEKDAY($A201,2)&lt;=5,$A201='Recurring Schedule'!$F$19))),14,""))))</f>
        <v/>
      </c>
      <c r="P201">
        <f>IF('Recurring Schedule'!$C$20="","",IF('Recurring Schedule'!$F$20="","",IF(OR($A201&lt;'Recurring Schedule'!$F$20,$A201&gt;'Recurring Schedule'!$P$20),"",IF(IF('Recurring Schedule'!$N$20&gt;0,MOD($A201-'Recurring Schedule'!$F$20,'Recurring Schedule'!$N$20)=0,IF('Recurring Schedule'!$O$20&gt;0,AND(DAY($A201)=MIN(DAY('Recurring Schedule'!$F$20),DAY(EOMONTH($A201,0))),MOD((YEAR($A201)-YEAR('Recurring Schedule'!$F$20))*12+MONTH($A201)-MONTH('Recurring Schedule'!$F$20),'Recurring Schedule'!$O$20)=0),IF('Recurring Schedule'!$E$20="Weekdays",WEEKDAY($A201,2)&lt;=5,$A201='Recurring Schedule'!$F$20))),15,""))))</f>
        <v/>
      </c>
      <c r="Q201">
        <f>IF('Recurring Schedule'!$C$21="","",IF('Recurring Schedule'!$F$21="","",IF(OR($A201&lt;'Recurring Schedule'!$F$21,$A201&gt;'Recurring Schedule'!$P$21),"",IF(IF('Recurring Schedule'!$N$21&gt;0,MOD($A201-'Recurring Schedule'!$F$21,'Recurring Schedule'!$N$21)=0,IF('Recurring Schedule'!$O$21&gt;0,AND(DAY($A201)=MIN(DAY('Recurring Schedule'!$F$21),DAY(EOMONTH($A201,0))),MOD((YEAR($A201)-YEAR('Recurring Schedule'!$F$21))*12+MONTH($A201)-MONTH('Recurring Schedule'!$F$21),'Recurring Schedule'!$O$21)=0),IF('Recurring Schedule'!$E$21="Weekdays",WEEKDAY($A201,2)&lt;=5,$A201='Recurring Schedule'!$F$21))),16,""))))</f>
        <v/>
      </c>
      <c r="R201">
        <f>IF('Recurring Schedule'!$C$22="","",IF('Recurring Schedule'!$F$22="","",IF(OR($A201&lt;'Recurring Schedule'!$F$22,$A201&gt;'Recurring Schedule'!$P$22),"",IF(IF('Recurring Schedule'!$N$22&gt;0,MOD($A201-'Recurring Schedule'!$F$22,'Recurring Schedule'!$N$22)=0,IF('Recurring Schedule'!$O$22&gt;0,AND(DAY($A201)=MIN(DAY('Recurring Schedule'!$F$22),DAY(EOMONTH($A201,0))),MOD((YEAR($A201)-YEAR('Recurring Schedule'!$F$22))*12+MONTH($A201)-MONTH('Recurring Schedule'!$F$22),'Recurring Schedule'!$O$22)=0),IF('Recurring Schedule'!$E$22="Weekdays",WEEKDAY($A201,2)&lt;=5,$A201='Recurring Schedule'!$F$22))),17,""))))</f>
        <v/>
      </c>
      <c r="S201">
        <f>IF('Recurring Schedule'!$C$23="","",IF('Recurring Schedule'!$F$23="","",IF(OR($A201&lt;'Recurring Schedule'!$F$23,$A201&gt;'Recurring Schedule'!$P$23),"",IF(IF('Recurring Schedule'!$N$23&gt;0,MOD($A201-'Recurring Schedule'!$F$23,'Recurring Schedule'!$N$23)=0,IF('Recurring Schedule'!$O$23&gt;0,AND(DAY($A201)=MIN(DAY('Recurring Schedule'!$F$23),DAY(EOMONTH($A201,0))),MOD((YEAR($A201)-YEAR('Recurring Schedule'!$F$23))*12+MONTH($A201)-MONTH('Recurring Schedule'!$F$23),'Recurring Schedule'!$O$23)=0),IF('Recurring Schedule'!$E$23="Weekdays",WEEKDAY($A201,2)&lt;=5,$A201='Recurring Schedule'!$F$23))),18,""))))</f>
        <v/>
      </c>
      <c r="T201">
        <f>IF('Recurring Schedule'!$C$24="","",IF('Recurring Schedule'!$F$24="","",IF(OR($A201&lt;'Recurring Schedule'!$F$24,$A201&gt;'Recurring Schedule'!$P$24),"",IF(IF('Recurring Schedule'!$N$24&gt;0,MOD($A201-'Recurring Schedule'!$F$24,'Recurring Schedule'!$N$24)=0,IF('Recurring Schedule'!$O$24&gt;0,AND(DAY($A201)=MIN(DAY('Recurring Schedule'!$F$24),DAY(EOMONTH($A201,0))),MOD((YEAR($A201)-YEAR('Recurring Schedule'!$F$24))*12+MONTH($A201)-MONTH('Recurring Schedule'!$F$24),'Recurring Schedule'!$O$24)=0),IF('Recurring Schedule'!$E$24="Weekdays",WEEKDAY($A201,2)&lt;=5,$A201='Recurring Schedule'!$F$24))),19,""))))</f>
        <v/>
      </c>
      <c r="U201">
        <f>IF('Recurring Schedule'!$C$25="","",IF('Recurring Schedule'!$F$25="","",IF(OR($A201&lt;'Recurring Schedule'!$F$25,$A201&gt;'Recurring Schedule'!$P$25),"",IF(IF('Recurring Schedule'!$N$25&gt;0,MOD($A201-'Recurring Schedule'!$F$25,'Recurring Schedule'!$N$25)=0,IF('Recurring Schedule'!$O$25&gt;0,AND(DAY($A201)=MIN(DAY('Recurring Schedule'!$F$25),DAY(EOMONTH($A201,0))),MOD((YEAR($A201)-YEAR('Recurring Schedule'!$F$25))*12+MONTH($A201)-MONTH('Recurring Schedule'!$F$25),'Recurring Schedule'!$O$25)=0),IF('Recurring Schedule'!$E$25="Weekdays",WEEKDAY($A201,2)&lt;=5,$A201='Recurring Schedule'!$F$25))),20,""))))</f>
        <v/>
      </c>
      <c r="V201">
        <f>IF('Recurring Schedule'!$C$26="","",IF('Recurring Schedule'!$F$26="","",IF(OR($A201&lt;'Recurring Schedule'!$F$26,$A201&gt;'Recurring Schedule'!$P$26),"",IF(IF('Recurring Schedule'!$N$26&gt;0,MOD($A201-'Recurring Schedule'!$F$26,'Recurring Schedule'!$N$26)=0,IF('Recurring Schedule'!$O$26&gt;0,AND(DAY($A201)=MIN(DAY('Recurring Schedule'!$F$26),DAY(EOMONTH($A201,0))),MOD((YEAR($A201)-YEAR('Recurring Schedule'!$F$26))*12+MONTH($A201)-MONTH('Recurring Schedule'!$F$26),'Recurring Schedule'!$O$26)=0),IF('Recurring Schedule'!$E$26="Weekdays",WEEKDAY($A201,2)&lt;=5,$A201='Recurring Schedule'!$F$26))),21,""))))</f>
        <v/>
      </c>
      <c r="W201">
        <f>IF('Recurring Schedule'!$C$27="","",IF('Recurring Schedule'!$F$27="","",IF(OR($A201&lt;'Recurring Schedule'!$F$27,$A201&gt;'Recurring Schedule'!$P$27),"",IF(IF('Recurring Schedule'!$N$27&gt;0,MOD($A201-'Recurring Schedule'!$F$27,'Recurring Schedule'!$N$27)=0,IF('Recurring Schedule'!$O$27&gt;0,AND(DAY($A201)=MIN(DAY('Recurring Schedule'!$F$27),DAY(EOMONTH($A201,0))),MOD((YEAR($A201)-YEAR('Recurring Schedule'!$F$27))*12+MONTH($A201)-MONTH('Recurring Schedule'!$F$27),'Recurring Schedule'!$O$27)=0),IF('Recurring Schedule'!$E$27="Weekdays",WEEKDAY($A201,2)&lt;=5,$A201='Recurring Schedule'!$F$27))),22,""))))</f>
        <v/>
      </c>
      <c r="X201">
        <f>IF('Recurring Schedule'!$C$28="","",IF('Recurring Schedule'!$F$28="","",IF(OR($A201&lt;'Recurring Schedule'!$F$28,$A201&gt;'Recurring Schedule'!$P$28),"",IF(IF('Recurring Schedule'!$N$28&gt;0,MOD($A201-'Recurring Schedule'!$F$28,'Recurring Schedule'!$N$28)=0,IF('Recurring Schedule'!$O$28&gt;0,AND(DAY($A201)=MIN(DAY('Recurring Schedule'!$F$28),DAY(EOMONTH($A201,0))),MOD((YEAR($A201)-YEAR('Recurring Schedule'!$F$28))*12+MONTH($A201)-MONTH('Recurring Schedule'!$F$28),'Recurring Schedule'!$O$28)=0),IF('Recurring Schedule'!$E$28="Weekdays",WEEKDAY($A201,2)&lt;=5,$A201='Recurring Schedule'!$F$28))),23,""))))</f>
        <v/>
      </c>
      <c r="Y201">
        <f>IF('Recurring Schedule'!$C$29="","",IF('Recurring Schedule'!$F$29="","",IF(OR($A201&lt;'Recurring Schedule'!$F$29,$A201&gt;'Recurring Schedule'!$P$29),"",IF(IF('Recurring Schedule'!$N$29&gt;0,MOD($A201-'Recurring Schedule'!$F$29,'Recurring Schedule'!$N$29)=0,IF('Recurring Schedule'!$O$29&gt;0,AND(DAY($A201)=MIN(DAY('Recurring Schedule'!$F$29),DAY(EOMONTH($A201,0))),MOD((YEAR($A201)-YEAR('Recurring Schedule'!$F$29))*12+MONTH($A201)-MONTH('Recurring Schedule'!$F$29),'Recurring Schedule'!$O$29)=0),IF('Recurring Schedule'!$E$29="Weekdays",WEEKDAY($A201,2)&lt;=5,$A201='Recurring Schedule'!$F$29))),24,""))))</f>
        <v/>
      </c>
      <c r="Z201">
        <f>IF('Recurring Schedule'!$C$30="","",IF('Recurring Schedule'!$F$30="","",IF(OR($A201&lt;'Recurring Schedule'!$F$30,$A201&gt;'Recurring Schedule'!$P$30),"",IF(IF('Recurring Schedule'!$N$30&gt;0,MOD($A201-'Recurring Schedule'!$F$30,'Recurring Schedule'!$N$30)=0,IF('Recurring Schedule'!$O$30&gt;0,AND(DAY($A201)=MIN(DAY('Recurring Schedule'!$F$30),DAY(EOMONTH($A201,0))),MOD((YEAR($A201)-YEAR('Recurring Schedule'!$F$30))*12+MONTH($A201)-MONTH('Recurring Schedule'!$F$30),'Recurring Schedule'!$O$30)=0),IF('Recurring Schedule'!$E$30="Weekdays",WEEKDAY($A201,2)&lt;=5,$A201='Recurring Schedule'!$F$30))),25,""))))</f>
        <v/>
      </c>
      <c r="AA201">
        <f>IF('Recurring Schedule'!$C$31="","",IF('Recurring Schedule'!$F$31="","",IF(OR($A201&lt;'Recurring Schedule'!$F$31,$A201&gt;'Recurring Schedule'!$P$31),"",IF(IF('Recurring Schedule'!$N$31&gt;0,MOD($A201-'Recurring Schedule'!$F$31,'Recurring Schedule'!$N$31)=0,IF('Recurring Schedule'!$O$31&gt;0,AND(DAY($A201)=MIN(DAY('Recurring Schedule'!$F$31),DAY(EOMONTH($A201,0))),MOD((YEAR($A201)-YEAR('Recurring Schedule'!$F$31))*12+MONTH($A201)-MONTH('Recurring Schedule'!$F$31),'Recurring Schedule'!$O$31)=0),IF('Recurring Schedule'!$E$31="Weekdays",WEEKDAY($A201,2)&lt;=5,$A201='Recurring Schedule'!$F$31))),26,""))))</f>
        <v/>
      </c>
      <c r="AB201">
        <f>IF('Recurring Schedule'!$C$32="","",IF('Recurring Schedule'!$F$32="","",IF(OR($A201&lt;'Recurring Schedule'!$F$32,$A201&gt;'Recurring Schedule'!$P$32),"",IF(IF('Recurring Schedule'!$N$32&gt;0,MOD($A201-'Recurring Schedule'!$F$32,'Recurring Schedule'!$N$32)=0,IF('Recurring Schedule'!$O$32&gt;0,AND(DAY($A201)=MIN(DAY('Recurring Schedule'!$F$32),DAY(EOMONTH($A201,0))),MOD((YEAR($A201)-YEAR('Recurring Schedule'!$F$32))*12+MONTH($A201)-MONTH('Recurring Schedule'!$F$32),'Recurring Schedule'!$O$32)=0),IF('Recurring Schedule'!$E$32="Weekdays",WEEKDAY($A201,2)&lt;=5,$A201='Recurring Schedule'!$F$32))),27,""))))</f>
        <v/>
      </c>
      <c r="AC201">
        <f>IF('Recurring Schedule'!$C$33="","",IF('Recurring Schedule'!$F$33="","",IF(OR($A201&lt;'Recurring Schedule'!$F$33,$A201&gt;'Recurring Schedule'!$P$33),"",IF(IF('Recurring Schedule'!$N$33&gt;0,MOD($A201-'Recurring Schedule'!$F$33,'Recurring Schedule'!$N$33)=0,IF('Recurring Schedule'!$O$33&gt;0,AND(DAY($A201)=MIN(DAY('Recurring Schedule'!$F$33),DAY(EOMONTH($A201,0))),MOD((YEAR($A201)-YEAR('Recurring Schedule'!$F$33))*12+MONTH($A201)-MONTH('Recurring Schedule'!$F$33),'Recurring Schedule'!$O$33)=0),IF('Recurring Schedule'!$E$33="Weekdays",WEEKDAY($A201,2)&lt;=5,$A201='Recurring Schedule'!$F$33))),28,""))))</f>
        <v/>
      </c>
      <c r="AD201">
        <f>IF('Recurring Schedule'!$C$34="","",IF('Recurring Schedule'!$F$34="","",IF(OR($A201&lt;'Recurring Schedule'!$F$34,$A201&gt;'Recurring Schedule'!$P$34),"",IF(IF('Recurring Schedule'!$N$34&gt;0,MOD($A201-'Recurring Schedule'!$F$34,'Recurring Schedule'!$N$34)=0,IF('Recurring Schedule'!$O$34&gt;0,AND(DAY($A201)=MIN(DAY('Recurring Schedule'!$F$34),DAY(EOMONTH($A201,0))),MOD((YEAR($A201)-YEAR('Recurring Schedule'!$F$34))*12+MONTH($A201)-MONTH('Recurring Schedule'!$F$34),'Recurring Schedule'!$O$34)=0),IF('Recurring Schedule'!$E$34="Weekdays",WEEKDAY($A201,2)&lt;=5,$A201='Recurring Schedule'!$F$34))),29,""))))</f>
        <v/>
      </c>
      <c r="AE201">
        <f>IF('Recurring Schedule'!$C$35="","",IF('Recurring Schedule'!$F$35="","",IF(OR($A201&lt;'Recurring Schedule'!$F$35,$A201&gt;'Recurring Schedule'!$P$35),"",IF(IF('Recurring Schedule'!$N$35&gt;0,MOD($A201-'Recurring Schedule'!$F$35,'Recurring Schedule'!$N$35)=0,IF('Recurring Schedule'!$O$35&gt;0,AND(DAY($A201)=MIN(DAY('Recurring Schedule'!$F$35),DAY(EOMONTH($A201,0))),MOD((YEAR($A201)-YEAR('Recurring Schedule'!$F$35))*12+MONTH($A201)-MONTH('Recurring Schedule'!$F$35),'Recurring Schedule'!$O$35)=0),IF('Recurring Schedule'!$E$35="Weekdays",WEEKDAY($A201,2)&lt;=5,$A201='Recurring Schedule'!$F$35))),30,""))))</f>
        <v/>
      </c>
      <c r="AF201">
        <f>IF('Recurring Schedule'!$C$36="","",IF('Recurring Schedule'!$F$36="","",IF(OR($A201&lt;'Recurring Schedule'!$F$36,$A201&gt;'Recurring Schedule'!$P$36),"",IF(IF('Recurring Schedule'!$N$36&gt;0,MOD($A201-'Recurring Schedule'!$F$36,'Recurring Schedule'!$N$36)=0,IF('Recurring Schedule'!$O$36&gt;0,AND(DAY($A201)=MIN(DAY('Recurring Schedule'!$F$36),DAY(EOMONTH($A201,0))),MOD((YEAR($A201)-YEAR('Recurring Schedule'!$F$36))*12+MONTH($A201)-MONTH('Recurring Schedule'!$F$36),'Recurring Schedule'!$O$36)=0),IF('Recurring Schedule'!$E$36="Weekdays",WEEKDAY($A201,2)&lt;=5,$A201='Recurring Schedule'!$F$36))),31,""))))</f>
        <v/>
      </c>
      <c r="AG201">
        <f>IF('Recurring Schedule'!$C$37="","",IF('Recurring Schedule'!$F$37="","",IF(OR($A201&lt;'Recurring Schedule'!$F$37,$A201&gt;'Recurring Schedule'!$P$37),"",IF(IF('Recurring Schedule'!$N$37&gt;0,MOD($A201-'Recurring Schedule'!$F$37,'Recurring Schedule'!$N$37)=0,IF('Recurring Schedule'!$O$37&gt;0,AND(DAY($A201)=MIN(DAY('Recurring Schedule'!$F$37),DAY(EOMONTH($A201,0))),MOD((YEAR($A201)-YEAR('Recurring Schedule'!$F$37))*12+MONTH($A201)-MONTH('Recurring Schedule'!$F$37),'Recurring Schedule'!$O$37)=0),IF('Recurring Schedule'!$E$37="Weekdays",WEEKDAY($A201,2)&lt;=5,$A201='Recurring Schedule'!$F$37))),32,""))))</f>
        <v/>
      </c>
      <c r="AH201">
        <f>IF('Recurring Schedule'!$C$38="","",IF('Recurring Schedule'!$F$38="","",IF(OR($A201&lt;'Recurring Schedule'!$F$38,$A201&gt;'Recurring Schedule'!$P$38),"",IF(IF('Recurring Schedule'!$N$38&gt;0,MOD($A201-'Recurring Schedule'!$F$38,'Recurring Schedule'!$N$38)=0,IF('Recurring Schedule'!$O$38&gt;0,AND(DAY($A201)=MIN(DAY('Recurring Schedule'!$F$38),DAY(EOMONTH($A201,0))),MOD((YEAR($A201)-YEAR('Recurring Schedule'!$F$38))*12+MONTH($A201)-MONTH('Recurring Schedule'!$F$38),'Recurring Schedule'!$O$38)=0),IF('Recurring Schedule'!$E$38="Weekdays",WEEKDAY($A201,2)&lt;=5,$A201='Recurring Schedule'!$F$38))),33,""))))</f>
        <v/>
      </c>
      <c r="AI201">
        <f>IF('Recurring Schedule'!$C$39="","",IF('Recurring Schedule'!$F$39="","",IF(OR($A201&lt;'Recurring Schedule'!$F$39,$A201&gt;'Recurring Schedule'!$P$39),"",IF(IF('Recurring Schedule'!$N$39&gt;0,MOD($A201-'Recurring Schedule'!$F$39,'Recurring Schedule'!$N$39)=0,IF('Recurring Schedule'!$O$39&gt;0,AND(DAY($A201)=MIN(DAY('Recurring Schedule'!$F$39),DAY(EOMONTH($A201,0))),MOD((YEAR($A201)-YEAR('Recurring Schedule'!$F$39))*12+MONTH($A201)-MONTH('Recurring Schedule'!$F$39),'Recurring Schedule'!$O$39)=0),IF('Recurring Schedule'!$E$39="Weekdays",WEEKDAY($A201,2)&lt;=5,$A201='Recurring Schedule'!$F$39))),34,""))))</f>
        <v/>
      </c>
      <c r="AJ201">
        <f>IF('Recurring Schedule'!$C$40="","",IF('Recurring Schedule'!$F$40="","",IF(OR($A201&lt;'Recurring Schedule'!$F$40,$A201&gt;'Recurring Schedule'!$P$40),"",IF(IF('Recurring Schedule'!$N$40&gt;0,MOD($A201-'Recurring Schedule'!$F$40,'Recurring Schedule'!$N$40)=0,IF('Recurring Schedule'!$O$40&gt;0,AND(DAY($A201)=MIN(DAY('Recurring Schedule'!$F$40),DAY(EOMONTH($A201,0))),MOD((YEAR($A201)-YEAR('Recurring Schedule'!$F$40))*12+MONTH($A201)-MONTH('Recurring Schedule'!$F$40),'Recurring Schedule'!$O$40)=0),IF('Recurring Schedule'!$E$40="Weekdays",WEEKDAY($A201,2)&lt;=5,$A201='Recurring Schedule'!$F$40))),35,""))))</f>
        <v/>
      </c>
      <c r="AK201">
        <f>IF('Recurring Schedule'!$C$41="","",IF('Recurring Schedule'!$F$41="","",IF(OR($A201&lt;'Recurring Schedule'!$F$41,$A201&gt;'Recurring Schedule'!$P$41),"",IF(IF('Recurring Schedule'!$N$41&gt;0,MOD($A201-'Recurring Schedule'!$F$41,'Recurring Schedule'!$N$41)=0,IF('Recurring Schedule'!$O$41&gt;0,AND(DAY($A201)=MIN(DAY('Recurring Schedule'!$F$41),DAY(EOMONTH($A201,0))),MOD((YEAR($A201)-YEAR('Recurring Schedule'!$F$41))*12+MONTH($A201)-MONTH('Recurring Schedule'!$F$41),'Recurring Schedule'!$O$41)=0),IF('Recurring Schedule'!$E$41="Weekdays",WEEKDAY($A201,2)&lt;=5,$A201='Recurring Schedule'!$F$41))),36,""))))</f>
        <v/>
      </c>
      <c r="AL201">
        <f>IF('Recurring Schedule'!$C$42="","",IF('Recurring Schedule'!$F$42="","",IF(OR($A201&lt;'Recurring Schedule'!$F$42,$A201&gt;'Recurring Schedule'!$P$42),"",IF(IF('Recurring Schedule'!$N$42&gt;0,MOD($A201-'Recurring Schedule'!$F$42,'Recurring Schedule'!$N$42)=0,IF('Recurring Schedule'!$O$42&gt;0,AND(DAY($A201)=MIN(DAY('Recurring Schedule'!$F$42),DAY(EOMONTH($A201,0))),MOD((YEAR($A201)-YEAR('Recurring Schedule'!$F$42))*12+MONTH($A201)-MONTH('Recurring Schedule'!$F$42),'Recurring Schedule'!$O$42)=0),IF('Recurring Schedule'!$E$42="Weekdays",WEEKDAY($A201,2)&lt;=5,$A201='Recurring Schedule'!$F$42))),37,""))))</f>
        <v/>
      </c>
      <c r="AM201">
        <f>IF('Recurring Schedule'!$C$43="","",IF('Recurring Schedule'!$F$43="","",IF(OR($A201&lt;'Recurring Schedule'!$F$43,$A201&gt;'Recurring Schedule'!$P$43),"",IF(IF('Recurring Schedule'!$N$43&gt;0,MOD($A201-'Recurring Schedule'!$F$43,'Recurring Schedule'!$N$43)=0,IF('Recurring Schedule'!$O$43&gt;0,AND(DAY($A201)=MIN(DAY('Recurring Schedule'!$F$43),DAY(EOMONTH($A201,0))),MOD((YEAR($A201)-YEAR('Recurring Schedule'!$F$43))*12+MONTH($A201)-MONTH('Recurring Schedule'!$F$43),'Recurring Schedule'!$O$43)=0),IF('Recurring Schedule'!$E$43="Weekdays",WEEKDAY($A201,2)&lt;=5,$A201='Recurring Schedule'!$F$43))),38,""))))</f>
        <v/>
      </c>
      <c r="AN201">
        <f>IF('Recurring Schedule'!$C$44="","",IF('Recurring Schedule'!$F$44="","",IF(OR($A201&lt;'Recurring Schedule'!$F$44,$A201&gt;'Recurring Schedule'!$P$44),"",IF(IF('Recurring Schedule'!$N$44&gt;0,MOD($A201-'Recurring Schedule'!$F$44,'Recurring Schedule'!$N$44)=0,IF('Recurring Schedule'!$O$44&gt;0,AND(DAY($A201)=MIN(DAY('Recurring Schedule'!$F$44),DAY(EOMONTH($A201,0))),MOD((YEAR($A201)-YEAR('Recurring Schedule'!$F$44))*12+MONTH($A201)-MONTH('Recurring Schedule'!$F$44),'Recurring Schedule'!$O$44)=0),IF('Recurring Schedule'!$E$44="Weekdays",WEEKDAY($A201,2)&lt;=5,$A201='Recurring Schedule'!$F$44))),39,""))))</f>
        <v/>
      </c>
      <c r="AO201">
        <f>IF('Recurring Schedule'!$C$45="","",IF('Recurring Schedule'!$F$45="","",IF(OR($A201&lt;'Recurring Schedule'!$F$45,$A201&gt;'Recurring Schedule'!$P$45),"",IF(IF('Recurring Schedule'!$N$45&gt;0,MOD($A201-'Recurring Schedule'!$F$45,'Recurring Schedule'!$N$45)=0,IF('Recurring Schedule'!$O$45&gt;0,AND(DAY($A201)=MIN(DAY('Recurring Schedule'!$F$45),DAY(EOMONTH($A201,0))),MOD((YEAR($A201)-YEAR('Recurring Schedule'!$F$45))*12+MONTH($A201)-MONTH('Recurring Schedule'!$F$45),'Recurring Schedule'!$O$45)=0),IF('Recurring Schedule'!$E$45="Weekdays",WEEKDAY($A201,2)&lt;=5,$A201='Recurring Schedule'!$F$45))),40,""))))</f>
        <v/>
      </c>
      <c r="AP201">
        <f>COUNT(B201:AO201)</f>
        <v/>
      </c>
      <c r="AQ201">
        <f>AQ200+AP200</f>
        <v/>
      </c>
      <c r="AS201" t="inlineStr">
        <is>
          <t>R</t>
        </is>
      </c>
      <c r="AT201" t="n">
        <v>205</v>
      </c>
      <c r="AU201">
        <f>'Recurring Log'!C205&amp;""</f>
        <v/>
      </c>
      <c r="AV201">
        <f>'Recurring Log'!D205&amp;""</f>
        <v/>
      </c>
      <c r="AW201">
        <f>IF('Recurring Log'!E205="","",'Recurring Log'!E205)</f>
        <v/>
      </c>
      <c r="AX201">
        <f>IF('Recurring Log'!G205="","",'Recurring Log'!G205)</f>
        <v/>
      </c>
      <c r="AY201">
        <f>IF('Recurring Log'!H205="","",'Recurring Log'!H205)</f>
        <v/>
      </c>
      <c r="AZ201">
        <f>IF(AU201="","",IF('Recurring Log'!J205="","Not Started",'Recurring Log'!J205))</f>
        <v/>
      </c>
      <c r="BA201">
        <f>'Recurring Log'!L205&amp;""</f>
        <v/>
      </c>
      <c r="BB201">
        <f>'Recurring Log'!M205&amp;""</f>
        <v/>
      </c>
      <c r="BC201">
        <f>'Recurring Log'!N205&amp;""</f>
        <v/>
      </c>
      <c r="BD201">
        <f>'Recurring Log'!O205&amp;""</f>
        <v/>
      </c>
      <c r="BE201">
        <f>IF('Recurring Log'!K205="","",'Recurring Log'!K205)</f>
        <v/>
      </c>
      <c r="BF201">
        <f>IFERROR(MATCH(BA201,Setup!$L$6:$L$9,0),5)</f>
        <v/>
      </c>
      <c r="BG201">
        <f>IF(OR(AZ201="Done",AZ201="Cancelled"),1,0)</f>
        <v/>
      </c>
      <c r="BH201">
        <f>IF(AND(AU201&lt;&gt;"",ISNUMBER(AW201)),1,0)</f>
        <v/>
      </c>
      <c r="BI201">
        <f>IF(BH201=0,0,IF(AND(AW201&gt;='Tasks Filter'!$F$3,AW201&lt;='Tasks Filter'!$F$4,OR('Tasks Filter'!$I$3="",ISNUMBER(SEARCH('Tasks Filter'!$I$3,AU201))),OR('Tasks Filter'!$I$4="",BF201=IFERROR(MATCH('Tasks Filter'!$I$4,Setup!$L$6:$L$9,0),0)),OR('Tasks Filter'!$I$5="Both",AND('Tasks Filter'!$I$5="Yes",BB201="✓"),AND('Tasks Filter'!$I$5="No",BB201&lt;&gt;"✓")),OR('Tasks Filter'!$L$3="",AV201='Tasks Filter'!$L$3),OR('Tasks Filter'!$L$4="",AZ201='Tasks Filter'!$L$4),OR('Tasks Filter'!$L$5="",BC201='Tasks Filter'!$L$5),OR('Tasks Filter'!$O$3="",BD201='Tasks Filter'!$O$3),OR('Tasks Filter'!$O$4="Yes",BG201=0)),1,0))</f>
        <v/>
      </c>
      <c r="BJ201">
        <f>IF(BH201=0,"",IF('Tasks Filter'!$F$6="Descending",-1,1)*CHOOSE(MATCH('Tasks Filter'!$F$5,Lists!$G$2:$G$6,0),AW201,BF201,IFERROR(MATCH(AV201,Setup!$F$6:$F$15,0),99),IFERROR(MATCH(BC201,Setup!$H$6:$H$15,0),99),IFERROR(MATCH(AZ201,Setup!$J$6:$J$11,0),99))*1E+9+(AW201-40000)*10000+200)</f>
        <v/>
      </c>
      <c r="BK201">
        <f>IF(BI201=1,BJ201,"")</f>
        <v/>
      </c>
      <c r="BL201">
        <f>IF(AND(BH201=1,BG201=0,N(AW201)&lt;Setup!$D$7),(AW201-40000)*10000+200,"")</f>
        <v/>
      </c>
      <c r="BM201">
        <f>IF(AND(BH201=1,AZ201&lt;&gt;"Cancelled",N(AW201)&gt;=Dashboard!$AB$3,N(AW201)&lt;=Dashboard!$AB$3+6),(AW201-40000)*100000+BF201*10000+200,"")</f>
        <v/>
      </c>
      <c r="BN201">
        <f>IF(AND(BH201=1,AZ201&lt;&gt;"Cancelled"),BF201*10000+200,"")</f>
        <v/>
      </c>
    </row>
    <row r="202">
      <c r="A202">
        <f>Setup!$D$5+200</f>
        <v/>
      </c>
      <c r="B202">
        <f>IF('Recurring Schedule'!$C$6="","",IF('Recurring Schedule'!$F$6="","",IF(OR($A202&lt;'Recurring Schedule'!$F$6,$A202&gt;'Recurring Schedule'!$P$6),"",IF(IF('Recurring Schedule'!$N$6&gt;0,MOD($A202-'Recurring Schedule'!$F$6,'Recurring Schedule'!$N$6)=0,IF('Recurring Schedule'!$O$6&gt;0,AND(DAY($A202)=MIN(DAY('Recurring Schedule'!$F$6),DAY(EOMONTH($A202,0))),MOD((YEAR($A202)-YEAR('Recurring Schedule'!$F$6))*12+MONTH($A202)-MONTH('Recurring Schedule'!$F$6),'Recurring Schedule'!$O$6)=0),IF('Recurring Schedule'!$E$6="Weekdays",WEEKDAY($A202,2)&lt;=5,$A202='Recurring Schedule'!$F$6))),1,""))))</f>
        <v/>
      </c>
      <c r="C202">
        <f>IF('Recurring Schedule'!$C$7="","",IF('Recurring Schedule'!$F$7="","",IF(OR($A202&lt;'Recurring Schedule'!$F$7,$A202&gt;'Recurring Schedule'!$P$7),"",IF(IF('Recurring Schedule'!$N$7&gt;0,MOD($A202-'Recurring Schedule'!$F$7,'Recurring Schedule'!$N$7)=0,IF('Recurring Schedule'!$O$7&gt;0,AND(DAY($A202)=MIN(DAY('Recurring Schedule'!$F$7),DAY(EOMONTH($A202,0))),MOD((YEAR($A202)-YEAR('Recurring Schedule'!$F$7))*12+MONTH($A202)-MONTH('Recurring Schedule'!$F$7),'Recurring Schedule'!$O$7)=0),IF('Recurring Schedule'!$E$7="Weekdays",WEEKDAY($A202,2)&lt;=5,$A202='Recurring Schedule'!$F$7))),2,""))))</f>
        <v/>
      </c>
      <c r="D202">
        <f>IF('Recurring Schedule'!$C$8="","",IF('Recurring Schedule'!$F$8="","",IF(OR($A202&lt;'Recurring Schedule'!$F$8,$A202&gt;'Recurring Schedule'!$P$8),"",IF(IF('Recurring Schedule'!$N$8&gt;0,MOD($A202-'Recurring Schedule'!$F$8,'Recurring Schedule'!$N$8)=0,IF('Recurring Schedule'!$O$8&gt;0,AND(DAY($A202)=MIN(DAY('Recurring Schedule'!$F$8),DAY(EOMONTH($A202,0))),MOD((YEAR($A202)-YEAR('Recurring Schedule'!$F$8))*12+MONTH($A202)-MONTH('Recurring Schedule'!$F$8),'Recurring Schedule'!$O$8)=0),IF('Recurring Schedule'!$E$8="Weekdays",WEEKDAY($A202,2)&lt;=5,$A202='Recurring Schedule'!$F$8))),3,""))))</f>
        <v/>
      </c>
      <c r="E202">
        <f>IF('Recurring Schedule'!$C$9="","",IF('Recurring Schedule'!$F$9="","",IF(OR($A202&lt;'Recurring Schedule'!$F$9,$A202&gt;'Recurring Schedule'!$P$9),"",IF(IF('Recurring Schedule'!$N$9&gt;0,MOD($A202-'Recurring Schedule'!$F$9,'Recurring Schedule'!$N$9)=0,IF('Recurring Schedule'!$O$9&gt;0,AND(DAY($A202)=MIN(DAY('Recurring Schedule'!$F$9),DAY(EOMONTH($A202,0))),MOD((YEAR($A202)-YEAR('Recurring Schedule'!$F$9))*12+MONTH($A202)-MONTH('Recurring Schedule'!$F$9),'Recurring Schedule'!$O$9)=0),IF('Recurring Schedule'!$E$9="Weekdays",WEEKDAY($A202,2)&lt;=5,$A202='Recurring Schedule'!$F$9))),4,""))))</f>
        <v/>
      </c>
      <c r="F202">
        <f>IF('Recurring Schedule'!$C$10="","",IF('Recurring Schedule'!$F$10="","",IF(OR($A202&lt;'Recurring Schedule'!$F$10,$A202&gt;'Recurring Schedule'!$P$10),"",IF(IF('Recurring Schedule'!$N$10&gt;0,MOD($A202-'Recurring Schedule'!$F$10,'Recurring Schedule'!$N$10)=0,IF('Recurring Schedule'!$O$10&gt;0,AND(DAY($A202)=MIN(DAY('Recurring Schedule'!$F$10),DAY(EOMONTH($A202,0))),MOD((YEAR($A202)-YEAR('Recurring Schedule'!$F$10))*12+MONTH($A202)-MONTH('Recurring Schedule'!$F$10),'Recurring Schedule'!$O$10)=0),IF('Recurring Schedule'!$E$10="Weekdays",WEEKDAY($A202,2)&lt;=5,$A202='Recurring Schedule'!$F$10))),5,""))))</f>
        <v/>
      </c>
      <c r="G202">
        <f>IF('Recurring Schedule'!$C$11="","",IF('Recurring Schedule'!$F$11="","",IF(OR($A202&lt;'Recurring Schedule'!$F$11,$A202&gt;'Recurring Schedule'!$P$11),"",IF(IF('Recurring Schedule'!$N$11&gt;0,MOD($A202-'Recurring Schedule'!$F$11,'Recurring Schedule'!$N$11)=0,IF('Recurring Schedule'!$O$11&gt;0,AND(DAY($A202)=MIN(DAY('Recurring Schedule'!$F$11),DAY(EOMONTH($A202,0))),MOD((YEAR($A202)-YEAR('Recurring Schedule'!$F$11))*12+MONTH($A202)-MONTH('Recurring Schedule'!$F$11),'Recurring Schedule'!$O$11)=0),IF('Recurring Schedule'!$E$11="Weekdays",WEEKDAY($A202,2)&lt;=5,$A202='Recurring Schedule'!$F$11))),6,""))))</f>
        <v/>
      </c>
      <c r="H202">
        <f>IF('Recurring Schedule'!$C$12="","",IF('Recurring Schedule'!$F$12="","",IF(OR($A202&lt;'Recurring Schedule'!$F$12,$A202&gt;'Recurring Schedule'!$P$12),"",IF(IF('Recurring Schedule'!$N$12&gt;0,MOD($A202-'Recurring Schedule'!$F$12,'Recurring Schedule'!$N$12)=0,IF('Recurring Schedule'!$O$12&gt;0,AND(DAY($A202)=MIN(DAY('Recurring Schedule'!$F$12),DAY(EOMONTH($A202,0))),MOD((YEAR($A202)-YEAR('Recurring Schedule'!$F$12))*12+MONTH($A202)-MONTH('Recurring Schedule'!$F$12),'Recurring Schedule'!$O$12)=0),IF('Recurring Schedule'!$E$12="Weekdays",WEEKDAY($A202,2)&lt;=5,$A202='Recurring Schedule'!$F$12))),7,""))))</f>
        <v/>
      </c>
      <c r="I202">
        <f>IF('Recurring Schedule'!$C$13="","",IF('Recurring Schedule'!$F$13="","",IF(OR($A202&lt;'Recurring Schedule'!$F$13,$A202&gt;'Recurring Schedule'!$P$13),"",IF(IF('Recurring Schedule'!$N$13&gt;0,MOD($A202-'Recurring Schedule'!$F$13,'Recurring Schedule'!$N$13)=0,IF('Recurring Schedule'!$O$13&gt;0,AND(DAY($A202)=MIN(DAY('Recurring Schedule'!$F$13),DAY(EOMONTH($A202,0))),MOD((YEAR($A202)-YEAR('Recurring Schedule'!$F$13))*12+MONTH($A202)-MONTH('Recurring Schedule'!$F$13),'Recurring Schedule'!$O$13)=0),IF('Recurring Schedule'!$E$13="Weekdays",WEEKDAY($A202,2)&lt;=5,$A202='Recurring Schedule'!$F$13))),8,""))))</f>
        <v/>
      </c>
      <c r="J202">
        <f>IF('Recurring Schedule'!$C$14="","",IF('Recurring Schedule'!$F$14="","",IF(OR($A202&lt;'Recurring Schedule'!$F$14,$A202&gt;'Recurring Schedule'!$P$14),"",IF(IF('Recurring Schedule'!$N$14&gt;0,MOD($A202-'Recurring Schedule'!$F$14,'Recurring Schedule'!$N$14)=0,IF('Recurring Schedule'!$O$14&gt;0,AND(DAY($A202)=MIN(DAY('Recurring Schedule'!$F$14),DAY(EOMONTH($A202,0))),MOD((YEAR($A202)-YEAR('Recurring Schedule'!$F$14))*12+MONTH($A202)-MONTH('Recurring Schedule'!$F$14),'Recurring Schedule'!$O$14)=0),IF('Recurring Schedule'!$E$14="Weekdays",WEEKDAY($A202,2)&lt;=5,$A202='Recurring Schedule'!$F$14))),9,""))))</f>
        <v/>
      </c>
      <c r="K202">
        <f>IF('Recurring Schedule'!$C$15="","",IF('Recurring Schedule'!$F$15="","",IF(OR($A202&lt;'Recurring Schedule'!$F$15,$A202&gt;'Recurring Schedule'!$P$15),"",IF(IF('Recurring Schedule'!$N$15&gt;0,MOD($A202-'Recurring Schedule'!$F$15,'Recurring Schedule'!$N$15)=0,IF('Recurring Schedule'!$O$15&gt;0,AND(DAY($A202)=MIN(DAY('Recurring Schedule'!$F$15),DAY(EOMONTH($A202,0))),MOD((YEAR($A202)-YEAR('Recurring Schedule'!$F$15))*12+MONTH($A202)-MONTH('Recurring Schedule'!$F$15),'Recurring Schedule'!$O$15)=0),IF('Recurring Schedule'!$E$15="Weekdays",WEEKDAY($A202,2)&lt;=5,$A202='Recurring Schedule'!$F$15))),10,""))))</f>
        <v/>
      </c>
      <c r="L202">
        <f>IF('Recurring Schedule'!$C$16="","",IF('Recurring Schedule'!$F$16="","",IF(OR($A202&lt;'Recurring Schedule'!$F$16,$A202&gt;'Recurring Schedule'!$P$16),"",IF(IF('Recurring Schedule'!$N$16&gt;0,MOD($A202-'Recurring Schedule'!$F$16,'Recurring Schedule'!$N$16)=0,IF('Recurring Schedule'!$O$16&gt;0,AND(DAY($A202)=MIN(DAY('Recurring Schedule'!$F$16),DAY(EOMONTH($A202,0))),MOD((YEAR($A202)-YEAR('Recurring Schedule'!$F$16))*12+MONTH($A202)-MONTH('Recurring Schedule'!$F$16),'Recurring Schedule'!$O$16)=0),IF('Recurring Schedule'!$E$16="Weekdays",WEEKDAY($A202,2)&lt;=5,$A202='Recurring Schedule'!$F$16))),11,""))))</f>
        <v/>
      </c>
      <c r="M202">
        <f>IF('Recurring Schedule'!$C$17="","",IF('Recurring Schedule'!$F$17="","",IF(OR($A202&lt;'Recurring Schedule'!$F$17,$A202&gt;'Recurring Schedule'!$P$17),"",IF(IF('Recurring Schedule'!$N$17&gt;0,MOD($A202-'Recurring Schedule'!$F$17,'Recurring Schedule'!$N$17)=0,IF('Recurring Schedule'!$O$17&gt;0,AND(DAY($A202)=MIN(DAY('Recurring Schedule'!$F$17),DAY(EOMONTH($A202,0))),MOD((YEAR($A202)-YEAR('Recurring Schedule'!$F$17))*12+MONTH($A202)-MONTH('Recurring Schedule'!$F$17),'Recurring Schedule'!$O$17)=0),IF('Recurring Schedule'!$E$17="Weekdays",WEEKDAY($A202,2)&lt;=5,$A202='Recurring Schedule'!$F$17))),12,""))))</f>
        <v/>
      </c>
      <c r="N202">
        <f>IF('Recurring Schedule'!$C$18="","",IF('Recurring Schedule'!$F$18="","",IF(OR($A202&lt;'Recurring Schedule'!$F$18,$A202&gt;'Recurring Schedule'!$P$18),"",IF(IF('Recurring Schedule'!$N$18&gt;0,MOD($A202-'Recurring Schedule'!$F$18,'Recurring Schedule'!$N$18)=0,IF('Recurring Schedule'!$O$18&gt;0,AND(DAY($A202)=MIN(DAY('Recurring Schedule'!$F$18),DAY(EOMONTH($A202,0))),MOD((YEAR($A202)-YEAR('Recurring Schedule'!$F$18))*12+MONTH($A202)-MONTH('Recurring Schedule'!$F$18),'Recurring Schedule'!$O$18)=0),IF('Recurring Schedule'!$E$18="Weekdays",WEEKDAY($A202,2)&lt;=5,$A202='Recurring Schedule'!$F$18))),13,""))))</f>
        <v/>
      </c>
      <c r="O202">
        <f>IF('Recurring Schedule'!$C$19="","",IF('Recurring Schedule'!$F$19="","",IF(OR($A202&lt;'Recurring Schedule'!$F$19,$A202&gt;'Recurring Schedule'!$P$19),"",IF(IF('Recurring Schedule'!$N$19&gt;0,MOD($A202-'Recurring Schedule'!$F$19,'Recurring Schedule'!$N$19)=0,IF('Recurring Schedule'!$O$19&gt;0,AND(DAY($A202)=MIN(DAY('Recurring Schedule'!$F$19),DAY(EOMONTH($A202,0))),MOD((YEAR($A202)-YEAR('Recurring Schedule'!$F$19))*12+MONTH($A202)-MONTH('Recurring Schedule'!$F$19),'Recurring Schedule'!$O$19)=0),IF('Recurring Schedule'!$E$19="Weekdays",WEEKDAY($A202,2)&lt;=5,$A202='Recurring Schedule'!$F$19))),14,""))))</f>
        <v/>
      </c>
      <c r="P202">
        <f>IF('Recurring Schedule'!$C$20="","",IF('Recurring Schedule'!$F$20="","",IF(OR($A202&lt;'Recurring Schedule'!$F$20,$A202&gt;'Recurring Schedule'!$P$20),"",IF(IF('Recurring Schedule'!$N$20&gt;0,MOD($A202-'Recurring Schedule'!$F$20,'Recurring Schedule'!$N$20)=0,IF('Recurring Schedule'!$O$20&gt;0,AND(DAY($A202)=MIN(DAY('Recurring Schedule'!$F$20),DAY(EOMONTH($A202,0))),MOD((YEAR($A202)-YEAR('Recurring Schedule'!$F$20))*12+MONTH($A202)-MONTH('Recurring Schedule'!$F$20),'Recurring Schedule'!$O$20)=0),IF('Recurring Schedule'!$E$20="Weekdays",WEEKDAY($A202,2)&lt;=5,$A202='Recurring Schedule'!$F$20))),15,""))))</f>
        <v/>
      </c>
      <c r="Q202">
        <f>IF('Recurring Schedule'!$C$21="","",IF('Recurring Schedule'!$F$21="","",IF(OR($A202&lt;'Recurring Schedule'!$F$21,$A202&gt;'Recurring Schedule'!$P$21),"",IF(IF('Recurring Schedule'!$N$21&gt;0,MOD($A202-'Recurring Schedule'!$F$21,'Recurring Schedule'!$N$21)=0,IF('Recurring Schedule'!$O$21&gt;0,AND(DAY($A202)=MIN(DAY('Recurring Schedule'!$F$21),DAY(EOMONTH($A202,0))),MOD((YEAR($A202)-YEAR('Recurring Schedule'!$F$21))*12+MONTH($A202)-MONTH('Recurring Schedule'!$F$21),'Recurring Schedule'!$O$21)=0),IF('Recurring Schedule'!$E$21="Weekdays",WEEKDAY($A202,2)&lt;=5,$A202='Recurring Schedule'!$F$21))),16,""))))</f>
        <v/>
      </c>
      <c r="R202">
        <f>IF('Recurring Schedule'!$C$22="","",IF('Recurring Schedule'!$F$22="","",IF(OR($A202&lt;'Recurring Schedule'!$F$22,$A202&gt;'Recurring Schedule'!$P$22),"",IF(IF('Recurring Schedule'!$N$22&gt;0,MOD($A202-'Recurring Schedule'!$F$22,'Recurring Schedule'!$N$22)=0,IF('Recurring Schedule'!$O$22&gt;0,AND(DAY($A202)=MIN(DAY('Recurring Schedule'!$F$22),DAY(EOMONTH($A202,0))),MOD((YEAR($A202)-YEAR('Recurring Schedule'!$F$22))*12+MONTH($A202)-MONTH('Recurring Schedule'!$F$22),'Recurring Schedule'!$O$22)=0),IF('Recurring Schedule'!$E$22="Weekdays",WEEKDAY($A202,2)&lt;=5,$A202='Recurring Schedule'!$F$22))),17,""))))</f>
        <v/>
      </c>
      <c r="S202">
        <f>IF('Recurring Schedule'!$C$23="","",IF('Recurring Schedule'!$F$23="","",IF(OR($A202&lt;'Recurring Schedule'!$F$23,$A202&gt;'Recurring Schedule'!$P$23),"",IF(IF('Recurring Schedule'!$N$23&gt;0,MOD($A202-'Recurring Schedule'!$F$23,'Recurring Schedule'!$N$23)=0,IF('Recurring Schedule'!$O$23&gt;0,AND(DAY($A202)=MIN(DAY('Recurring Schedule'!$F$23),DAY(EOMONTH($A202,0))),MOD((YEAR($A202)-YEAR('Recurring Schedule'!$F$23))*12+MONTH($A202)-MONTH('Recurring Schedule'!$F$23),'Recurring Schedule'!$O$23)=0),IF('Recurring Schedule'!$E$23="Weekdays",WEEKDAY($A202,2)&lt;=5,$A202='Recurring Schedule'!$F$23))),18,""))))</f>
        <v/>
      </c>
      <c r="T202">
        <f>IF('Recurring Schedule'!$C$24="","",IF('Recurring Schedule'!$F$24="","",IF(OR($A202&lt;'Recurring Schedule'!$F$24,$A202&gt;'Recurring Schedule'!$P$24),"",IF(IF('Recurring Schedule'!$N$24&gt;0,MOD($A202-'Recurring Schedule'!$F$24,'Recurring Schedule'!$N$24)=0,IF('Recurring Schedule'!$O$24&gt;0,AND(DAY($A202)=MIN(DAY('Recurring Schedule'!$F$24),DAY(EOMONTH($A202,0))),MOD((YEAR($A202)-YEAR('Recurring Schedule'!$F$24))*12+MONTH($A202)-MONTH('Recurring Schedule'!$F$24),'Recurring Schedule'!$O$24)=0),IF('Recurring Schedule'!$E$24="Weekdays",WEEKDAY($A202,2)&lt;=5,$A202='Recurring Schedule'!$F$24))),19,""))))</f>
        <v/>
      </c>
      <c r="U202">
        <f>IF('Recurring Schedule'!$C$25="","",IF('Recurring Schedule'!$F$25="","",IF(OR($A202&lt;'Recurring Schedule'!$F$25,$A202&gt;'Recurring Schedule'!$P$25),"",IF(IF('Recurring Schedule'!$N$25&gt;0,MOD($A202-'Recurring Schedule'!$F$25,'Recurring Schedule'!$N$25)=0,IF('Recurring Schedule'!$O$25&gt;0,AND(DAY($A202)=MIN(DAY('Recurring Schedule'!$F$25),DAY(EOMONTH($A202,0))),MOD((YEAR($A202)-YEAR('Recurring Schedule'!$F$25))*12+MONTH($A202)-MONTH('Recurring Schedule'!$F$25),'Recurring Schedule'!$O$25)=0),IF('Recurring Schedule'!$E$25="Weekdays",WEEKDAY($A202,2)&lt;=5,$A202='Recurring Schedule'!$F$25))),20,""))))</f>
        <v/>
      </c>
      <c r="V202">
        <f>IF('Recurring Schedule'!$C$26="","",IF('Recurring Schedule'!$F$26="","",IF(OR($A202&lt;'Recurring Schedule'!$F$26,$A202&gt;'Recurring Schedule'!$P$26),"",IF(IF('Recurring Schedule'!$N$26&gt;0,MOD($A202-'Recurring Schedule'!$F$26,'Recurring Schedule'!$N$26)=0,IF('Recurring Schedule'!$O$26&gt;0,AND(DAY($A202)=MIN(DAY('Recurring Schedule'!$F$26),DAY(EOMONTH($A202,0))),MOD((YEAR($A202)-YEAR('Recurring Schedule'!$F$26))*12+MONTH($A202)-MONTH('Recurring Schedule'!$F$26),'Recurring Schedule'!$O$26)=0),IF('Recurring Schedule'!$E$26="Weekdays",WEEKDAY($A202,2)&lt;=5,$A202='Recurring Schedule'!$F$26))),21,""))))</f>
        <v/>
      </c>
      <c r="W202">
        <f>IF('Recurring Schedule'!$C$27="","",IF('Recurring Schedule'!$F$27="","",IF(OR($A202&lt;'Recurring Schedule'!$F$27,$A202&gt;'Recurring Schedule'!$P$27),"",IF(IF('Recurring Schedule'!$N$27&gt;0,MOD($A202-'Recurring Schedule'!$F$27,'Recurring Schedule'!$N$27)=0,IF('Recurring Schedule'!$O$27&gt;0,AND(DAY($A202)=MIN(DAY('Recurring Schedule'!$F$27),DAY(EOMONTH($A202,0))),MOD((YEAR($A202)-YEAR('Recurring Schedule'!$F$27))*12+MONTH($A202)-MONTH('Recurring Schedule'!$F$27),'Recurring Schedule'!$O$27)=0),IF('Recurring Schedule'!$E$27="Weekdays",WEEKDAY($A202,2)&lt;=5,$A202='Recurring Schedule'!$F$27))),22,""))))</f>
        <v/>
      </c>
      <c r="X202">
        <f>IF('Recurring Schedule'!$C$28="","",IF('Recurring Schedule'!$F$28="","",IF(OR($A202&lt;'Recurring Schedule'!$F$28,$A202&gt;'Recurring Schedule'!$P$28),"",IF(IF('Recurring Schedule'!$N$28&gt;0,MOD($A202-'Recurring Schedule'!$F$28,'Recurring Schedule'!$N$28)=0,IF('Recurring Schedule'!$O$28&gt;0,AND(DAY($A202)=MIN(DAY('Recurring Schedule'!$F$28),DAY(EOMONTH($A202,0))),MOD((YEAR($A202)-YEAR('Recurring Schedule'!$F$28))*12+MONTH($A202)-MONTH('Recurring Schedule'!$F$28),'Recurring Schedule'!$O$28)=0),IF('Recurring Schedule'!$E$28="Weekdays",WEEKDAY($A202,2)&lt;=5,$A202='Recurring Schedule'!$F$28))),23,""))))</f>
        <v/>
      </c>
      <c r="Y202">
        <f>IF('Recurring Schedule'!$C$29="","",IF('Recurring Schedule'!$F$29="","",IF(OR($A202&lt;'Recurring Schedule'!$F$29,$A202&gt;'Recurring Schedule'!$P$29),"",IF(IF('Recurring Schedule'!$N$29&gt;0,MOD($A202-'Recurring Schedule'!$F$29,'Recurring Schedule'!$N$29)=0,IF('Recurring Schedule'!$O$29&gt;0,AND(DAY($A202)=MIN(DAY('Recurring Schedule'!$F$29),DAY(EOMONTH($A202,0))),MOD((YEAR($A202)-YEAR('Recurring Schedule'!$F$29))*12+MONTH($A202)-MONTH('Recurring Schedule'!$F$29),'Recurring Schedule'!$O$29)=0),IF('Recurring Schedule'!$E$29="Weekdays",WEEKDAY($A202,2)&lt;=5,$A202='Recurring Schedule'!$F$29))),24,""))))</f>
        <v/>
      </c>
      <c r="Z202">
        <f>IF('Recurring Schedule'!$C$30="","",IF('Recurring Schedule'!$F$30="","",IF(OR($A202&lt;'Recurring Schedule'!$F$30,$A202&gt;'Recurring Schedule'!$P$30),"",IF(IF('Recurring Schedule'!$N$30&gt;0,MOD($A202-'Recurring Schedule'!$F$30,'Recurring Schedule'!$N$30)=0,IF('Recurring Schedule'!$O$30&gt;0,AND(DAY($A202)=MIN(DAY('Recurring Schedule'!$F$30),DAY(EOMONTH($A202,0))),MOD((YEAR($A202)-YEAR('Recurring Schedule'!$F$30))*12+MONTH($A202)-MONTH('Recurring Schedule'!$F$30),'Recurring Schedule'!$O$30)=0),IF('Recurring Schedule'!$E$30="Weekdays",WEEKDAY($A202,2)&lt;=5,$A202='Recurring Schedule'!$F$30))),25,""))))</f>
        <v/>
      </c>
      <c r="AA202">
        <f>IF('Recurring Schedule'!$C$31="","",IF('Recurring Schedule'!$F$31="","",IF(OR($A202&lt;'Recurring Schedule'!$F$31,$A202&gt;'Recurring Schedule'!$P$31),"",IF(IF('Recurring Schedule'!$N$31&gt;0,MOD($A202-'Recurring Schedule'!$F$31,'Recurring Schedule'!$N$31)=0,IF('Recurring Schedule'!$O$31&gt;0,AND(DAY($A202)=MIN(DAY('Recurring Schedule'!$F$31),DAY(EOMONTH($A202,0))),MOD((YEAR($A202)-YEAR('Recurring Schedule'!$F$31))*12+MONTH($A202)-MONTH('Recurring Schedule'!$F$31),'Recurring Schedule'!$O$31)=0),IF('Recurring Schedule'!$E$31="Weekdays",WEEKDAY($A202,2)&lt;=5,$A202='Recurring Schedule'!$F$31))),26,""))))</f>
        <v/>
      </c>
      <c r="AB202">
        <f>IF('Recurring Schedule'!$C$32="","",IF('Recurring Schedule'!$F$32="","",IF(OR($A202&lt;'Recurring Schedule'!$F$32,$A202&gt;'Recurring Schedule'!$P$32),"",IF(IF('Recurring Schedule'!$N$32&gt;0,MOD($A202-'Recurring Schedule'!$F$32,'Recurring Schedule'!$N$32)=0,IF('Recurring Schedule'!$O$32&gt;0,AND(DAY($A202)=MIN(DAY('Recurring Schedule'!$F$32),DAY(EOMONTH($A202,0))),MOD((YEAR($A202)-YEAR('Recurring Schedule'!$F$32))*12+MONTH($A202)-MONTH('Recurring Schedule'!$F$32),'Recurring Schedule'!$O$32)=0),IF('Recurring Schedule'!$E$32="Weekdays",WEEKDAY($A202,2)&lt;=5,$A202='Recurring Schedule'!$F$32))),27,""))))</f>
        <v/>
      </c>
      <c r="AC202">
        <f>IF('Recurring Schedule'!$C$33="","",IF('Recurring Schedule'!$F$33="","",IF(OR($A202&lt;'Recurring Schedule'!$F$33,$A202&gt;'Recurring Schedule'!$P$33),"",IF(IF('Recurring Schedule'!$N$33&gt;0,MOD($A202-'Recurring Schedule'!$F$33,'Recurring Schedule'!$N$33)=0,IF('Recurring Schedule'!$O$33&gt;0,AND(DAY($A202)=MIN(DAY('Recurring Schedule'!$F$33),DAY(EOMONTH($A202,0))),MOD((YEAR($A202)-YEAR('Recurring Schedule'!$F$33))*12+MONTH($A202)-MONTH('Recurring Schedule'!$F$33),'Recurring Schedule'!$O$33)=0),IF('Recurring Schedule'!$E$33="Weekdays",WEEKDAY($A202,2)&lt;=5,$A202='Recurring Schedule'!$F$33))),28,""))))</f>
        <v/>
      </c>
      <c r="AD202">
        <f>IF('Recurring Schedule'!$C$34="","",IF('Recurring Schedule'!$F$34="","",IF(OR($A202&lt;'Recurring Schedule'!$F$34,$A202&gt;'Recurring Schedule'!$P$34),"",IF(IF('Recurring Schedule'!$N$34&gt;0,MOD($A202-'Recurring Schedule'!$F$34,'Recurring Schedule'!$N$34)=0,IF('Recurring Schedule'!$O$34&gt;0,AND(DAY($A202)=MIN(DAY('Recurring Schedule'!$F$34),DAY(EOMONTH($A202,0))),MOD((YEAR($A202)-YEAR('Recurring Schedule'!$F$34))*12+MONTH($A202)-MONTH('Recurring Schedule'!$F$34),'Recurring Schedule'!$O$34)=0),IF('Recurring Schedule'!$E$34="Weekdays",WEEKDAY($A202,2)&lt;=5,$A202='Recurring Schedule'!$F$34))),29,""))))</f>
        <v/>
      </c>
      <c r="AE202">
        <f>IF('Recurring Schedule'!$C$35="","",IF('Recurring Schedule'!$F$35="","",IF(OR($A202&lt;'Recurring Schedule'!$F$35,$A202&gt;'Recurring Schedule'!$P$35),"",IF(IF('Recurring Schedule'!$N$35&gt;0,MOD($A202-'Recurring Schedule'!$F$35,'Recurring Schedule'!$N$35)=0,IF('Recurring Schedule'!$O$35&gt;0,AND(DAY($A202)=MIN(DAY('Recurring Schedule'!$F$35),DAY(EOMONTH($A202,0))),MOD((YEAR($A202)-YEAR('Recurring Schedule'!$F$35))*12+MONTH($A202)-MONTH('Recurring Schedule'!$F$35),'Recurring Schedule'!$O$35)=0),IF('Recurring Schedule'!$E$35="Weekdays",WEEKDAY($A202,2)&lt;=5,$A202='Recurring Schedule'!$F$35))),30,""))))</f>
        <v/>
      </c>
      <c r="AF202">
        <f>IF('Recurring Schedule'!$C$36="","",IF('Recurring Schedule'!$F$36="","",IF(OR($A202&lt;'Recurring Schedule'!$F$36,$A202&gt;'Recurring Schedule'!$P$36),"",IF(IF('Recurring Schedule'!$N$36&gt;0,MOD($A202-'Recurring Schedule'!$F$36,'Recurring Schedule'!$N$36)=0,IF('Recurring Schedule'!$O$36&gt;0,AND(DAY($A202)=MIN(DAY('Recurring Schedule'!$F$36),DAY(EOMONTH($A202,0))),MOD((YEAR($A202)-YEAR('Recurring Schedule'!$F$36))*12+MONTH($A202)-MONTH('Recurring Schedule'!$F$36),'Recurring Schedule'!$O$36)=0),IF('Recurring Schedule'!$E$36="Weekdays",WEEKDAY($A202,2)&lt;=5,$A202='Recurring Schedule'!$F$36))),31,""))))</f>
        <v/>
      </c>
      <c r="AG202">
        <f>IF('Recurring Schedule'!$C$37="","",IF('Recurring Schedule'!$F$37="","",IF(OR($A202&lt;'Recurring Schedule'!$F$37,$A202&gt;'Recurring Schedule'!$P$37),"",IF(IF('Recurring Schedule'!$N$37&gt;0,MOD($A202-'Recurring Schedule'!$F$37,'Recurring Schedule'!$N$37)=0,IF('Recurring Schedule'!$O$37&gt;0,AND(DAY($A202)=MIN(DAY('Recurring Schedule'!$F$37),DAY(EOMONTH($A202,0))),MOD((YEAR($A202)-YEAR('Recurring Schedule'!$F$37))*12+MONTH($A202)-MONTH('Recurring Schedule'!$F$37),'Recurring Schedule'!$O$37)=0),IF('Recurring Schedule'!$E$37="Weekdays",WEEKDAY($A202,2)&lt;=5,$A202='Recurring Schedule'!$F$37))),32,""))))</f>
        <v/>
      </c>
      <c r="AH202">
        <f>IF('Recurring Schedule'!$C$38="","",IF('Recurring Schedule'!$F$38="","",IF(OR($A202&lt;'Recurring Schedule'!$F$38,$A202&gt;'Recurring Schedule'!$P$38),"",IF(IF('Recurring Schedule'!$N$38&gt;0,MOD($A202-'Recurring Schedule'!$F$38,'Recurring Schedule'!$N$38)=0,IF('Recurring Schedule'!$O$38&gt;0,AND(DAY($A202)=MIN(DAY('Recurring Schedule'!$F$38),DAY(EOMONTH($A202,0))),MOD((YEAR($A202)-YEAR('Recurring Schedule'!$F$38))*12+MONTH($A202)-MONTH('Recurring Schedule'!$F$38),'Recurring Schedule'!$O$38)=0),IF('Recurring Schedule'!$E$38="Weekdays",WEEKDAY($A202,2)&lt;=5,$A202='Recurring Schedule'!$F$38))),33,""))))</f>
        <v/>
      </c>
      <c r="AI202">
        <f>IF('Recurring Schedule'!$C$39="","",IF('Recurring Schedule'!$F$39="","",IF(OR($A202&lt;'Recurring Schedule'!$F$39,$A202&gt;'Recurring Schedule'!$P$39),"",IF(IF('Recurring Schedule'!$N$39&gt;0,MOD($A202-'Recurring Schedule'!$F$39,'Recurring Schedule'!$N$39)=0,IF('Recurring Schedule'!$O$39&gt;0,AND(DAY($A202)=MIN(DAY('Recurring Schedule'!$F$39),DAY(EOMONTH($A202,0))),MOD((YEAR($A202)-YEAR('Recurring Schedule'!$F$39))*12+MONTH($A202)-MONTH('Recurring Schedule'!$F$39),'Recurring Schedule'!$O$39)=0),IF('Recurring Schedule'!$E$39="Weekdays",WEEKDAY($A202,2)&lt;=5,$A202='Recurring Schedule'!$F$39))),34,""))))</f>
        <v/>
      </c>
      <c r="AJ202">
        <f>IF('Recurring Schedule'!$C$40="","",IF('Recurring Schedule'!$F$40="","",IF(OR($A202&lt;'Recurring Schedule'!$F$40,$A202&gt;'Recurring Schedule'!$P$40),"",IF(IF('Recurring Schedule'!$N$40&gt;0,MOD($A202-'Recurring Schedule'!$F$40,'Recurring Schedule'!$N$40)=0,IF('Recurring Schedule'!$O$40&gt;0,AND(DAY($A202)=MIN(DAY('Recurring Schedule'!$F$40),DAY(EOMONTH($A202,0))),MOD((YEAR($A202)-YEAR('Recurring Schedule'!$F$40))*12+MONTH($A202)-MONTH('Recurring Schedule'!$F$40),'Recurring Schedule'!$O$40)=0),IF('Recurring Schedule'!$E$40="Weekdays",WEEKDAY($A202,2)&lt;=5,$A202='Recurring Schedule'!$F$40))),35,""))))</f>
        <v/>
      </c>
      <c r="AK202">
        <f>IF('Recurring Schedule'!$C$41="","",IF('Recurring Schedule'!$F$41="","",IF(OR($A202&lt;'Recurring Schedule'!$F$41,$A202&gt;'Recurring Schedule'!$P$41),"",IF(IF('Recurring Schedule'!$N$41&gt;0,MOD($A202-'Recurring Schedule'!$F$41,'Recurring Schedule'!$N$41)=0,IF('Recurring Schedule'!$O$41&gt;0,AND(DAY($A202)=MIN(DAY('Recurring Schedule'!$F$41),DAY(EOMONTH($A202,0))),MOD((YEAR($A202)-YEAR('Recurring Schedule'!$F$41))*12+MONTH($A202)-MONTH('Recurring Schedule'!$F$41),'Recurring Schedule'!$O$41)=0),IF('Recurring Schedule'!$E$41="Weekdays",WEEKDAY($A202,2)&lt;=5,$A202='Recurring Schedule'!$F$41))),36,""))))</f>
        <v/>
      </c>
      <c r="AL202">
        <f>IF('Recurring Schedule'!$C$42="","",IF('Recurring Schedule'!$F$42="","",IF(OR($A202&lt;'Recurring Schedule'!$F$42,$A202&gt;'Recurring Schedule'!$P$42),"",IF(IF('Recurring Schedule'!$N$42&gt;0,MOD($A202-'Recurring Schedule'!$F$42,'Recurring Schedule'!$N$42)=0,IF('Recurring Schedule'!$O$42&gt;0,AND(DAY($A202)=MIN(DAY('Recurring Schedule'!$F$42),DAY(EOMONTH($A202,0))),MOD((YEAR($A202)-YEAR('Recurring Schedule'!$F$42))*12+MONTH($A202)-MONTH('Recurring Schedule'!$F$42),'Recurring Schedule'!$O$42)=0),IF('Recurring Schedule'!$E$42="Weekdays",WEEKDAY($A202,2)&lt;=5,$A202='Recurring Schedule'!$F$42))),37,""))))</f>
        <v/>
      </c>
      <c r="AM202">
        <f>IF('Recurring Schedule'!$C$43="","",IF('Recurring Schedule'!$F$43="","",IF(OR($A202&lt;'Recurring Schedule'!$F$43,$A202&gt;'Recurring Schedule'!$P$43),"",IF(IF('Recurring Schedule'!$N$43&gt;0,MOD($A202-'Recurring Schedule'!$F$43,'Recurring Schedule'!$N$43)=0,IF('Recurring Schedule'!$O$43&gt;0,AND(DAY($A202)=MIN(DAY('Recurring Schedule'!$F$43),DAY(EOMONTH($A202,0))),MOD((YEAR($A202)-YEAR('Recurring Schedule'!$F$43))*12+MONTH($A202)-MONTH('Recurring Schedule'!$F$43),'Recurring Schedule'!$O$43)=0),IF('Recurring Schedule'!$E$43="Weekdays",WEEKDAY($A202,2)&lt;=5,$A202='Recurring Schedule'!$F$43))),38,""))))</f>
        <v/>
      </c>
      <c r="AN202">
        <f>IF('Recurring Schedule'!$C$44="","",IF('Recurring Schedule'!$F$44="","",IF(OR($A202&lt;'Recurring Schedule'!$F$44,$A202&gt;'Recurring Schedule'!$P$44),"",IF(IF('Recurring Schedule'!$N$44&gt;0,MOD($A202-'Recurring Schedule'!$F$44,'Recurring Schedule'!$N$44)=0,IF('Recurring Schedule'!$O$44&gt;0,AND(DAY($A202)=MIN(DAY('Recurring Schedule'!$F$44),DAY(EOMONTH($A202,0))),MOD((YEAR($A202)-YEAR('Recurring Schedule'!$F$44))*12+MONTH($A202)-MONTH('Recurring Schedule'!$F$44),'Recurring Schedule'!$O$44)=0),IF('Recurring Schedule'!$E$44="Weekdays",WEEKDAY($A202,2)&lt;=5,$A202='Recurring Schedule'!$F$44))),39,""))))</f>
        <v/>
      </c>
      <c r="AO202">
        <f>IF('Recurring Schedule'!$C$45="","",IF('Recurring Schedule'!$F$45="","",IF(OR($A202&lt;'Recurring Schedule'!$F$45,$A202&gt;'Recurring Schedule'!$P$45),"",IF(IF('Recurring Schedule'!$N$45&gt;0,MOD($A202-'Recurring Schedule'!$F$45,'Recurring Schedule'!$N$45)=0,IF('Recurring Schedule'!$O$45&gt;0,AND(DAY($A202)=MIN(DAY('Recurring Schedule'!$F$45),DAY(EOMONTH($A202,0))),MOD((YEAR($A202)-YEAR('Recurring Schedule'!$F$45))*12+MONTH($A202)-MONTH('Recurring Schedule'!$F$45),'Recurring Schedule'!$O$45)=0),IF('Recurring Schedule'!$E$45="Weekdays",WEEKDAY($A202,2)&lt;=5,$A202='Recurring Schedule'!$F$45))),40,""))))</f>
        <v/>
      </c>
      <c r="AP202">
        <f>COUNT(B202:AO202)</f>
        <v/>
      </c>
      <c r="AQ202">
        <f>AQ201+AP201</f>
        <v/>
      </c>
      <c r="AS202" t="inlineStr">
        <is>
          <t>R</t>
        </is>
      </c>
      <c r="AT202" t="n">
        <v>206</v>
      </c>
      <c r="AU202">
        <f>'Recurring Log'!C206&amp;""</f>
        <v/>
      </c>
      <c r="AV202">
        <f>'Recurring Log'!D206&amp;""</f>
        <v/>
      </c>
      <c r="AW202">
        <f>IF('Recurring Log'!E206="","",'Recurring Log'!E206)</f>
        <v/>
      </c>
      <c r="AX202">
        <f>IF('Recurring Log'!G206="","",'Recurring Log'!G206)</f>
        <v/>
      </c>
      <c r="AY202">
        <f>IF('Recurring Log'!H206="","",'Recurring Log'!H206)</f>
        <v/>
      </c>
      <c r="AZ202">
        <f>IF(AU202="","",IF('Recurring Log'!J206="","Not Started",'Recurring Log'!J206))</f>
        <v/>
      </c>
      <c r="BA202">
        <f>'Recurring Log'!L206&amp;""</f>
        <v/>
      </c>
      <c r="BB202">
        <f>'Recurring Log'!M206&amp;""</f>
        <v/>
      </c>
      <c r="BC202">
        <f>'Recurring Log'!N206&amp;""</f>
        <v/>
      </c>
      <c r="BD202">
        <f>'Recurring Log'!O206&amp;""</f>
        <v/>
      </c>
      <c r="BE202">
        <f>IF('Recurring Log'!K206="","",'Recurring Log'!K206)</f>
        <v/>
      </c>
      <c r="BF202">
        <f>IFERROR(MATCH(BA202,Setup!$L$6:$L$9,0),5)</f>
        <v/>
      </c>
      <c r="BG202">
        <f>IF(OR(AZ202="Done",AZ202="Cancelled"),1,0)</f>
        <v/>
      </c>
      <c r="BH202">
        <f>IF(AND(AU202&lt;&gt;"",ISNUMBER(AW202)),1,0)</f>
        <v/>
      </c>
      <c r="BI202">
        <f>IF(BH202=0,0,IF(AND(AW202&gt;='Tasks Filter'!$F$3,AW202&lt;='Tasks Filter'!$F$4,OR('Tasks Filter'!$I$3="",ISNUMBER(SEARCH('Tasks Filter'!$I$3,AU202))),OR('Tasks Filter'!$I$4="",BF202=IFERROR(MATCH('Tasks Filter'!$I$4,Setup!$L$6:$L$9,0),0)),OR('Tasks Filter'!$I$5="Both",AND('Tasks Filter'!$I$5="Yes",BB202="✓"),AND('Tasks Filter'!$I$5="No",BB202&lt;&gt;"✓")),OR('Tasks Filter'!$L$3="",AV202='Tasks Filter'!$L$3),OR('Tasks Filter'!$L$4="",AZ202='Tasks Filter'!$L$4),OR('Tasks Filter'!$L$5="",BC202='Tasks Filter'!$L$5),OR('Tasks Filter'!$O$3="",BD202='Tasks Filter'!$O$3),OR('Tasks Filter'!$O$4="Yes",BG202=0)),1,0))</f>
        <v/>
      </c>
      <c r="BJ202">
        <f>IF(BH202=0,"",IF('Tasks Filter'!$F$6="Descending",-1,1)*CHOOSE(MATCH('Tasks Filter'!$F$5,Lists!$G$2:$G$6,0),AW202,BF202,IFERROR(MATCH(AV202,Setup!$F$6:$F$15,0),99),IFERROR(MATCH(BC202,Setup!$H$6:$H$15,0),99),IFERROR(MATCH(AZ202,Setup!$J$6:$J$11,0),99))*1E+9+(AW202-40000)*10000+201)</f>
        <v/>
      </c>
      <c r="BK202">
        <f>IF(BI202=1,BJ202,"")</f>
        <v/>
      </c>
      <c r="BL202">
        <f>IF(AND(BH202=1,BG202=0,N(AW202)&lt;Setup!$D$7),(AW202-40000)*10000+201,"")</f>
        <v/>
      </c>
      <c r="BM202">
        <f>IF(AND(BH202=1,AZ202&lt;&gt;"Cancelled",N(AW202)&gt;=Dashboard!$AB$3,N(AW202)&lt;=Dashboard!$AB$3+6),(AW202-40000)*100000+BF202*10000+201,"")</f>
        <v/>
      </c>
      <c r="BN202">
        <f>IF(AND(BH202=1,AZ202&lt;&gt;"Cancelled"),BF202*10000+201,"")</f>
        <v/>
      </c>
    </row>
    <row r="203">
      <c r="A203">
        <f>Setup!$D$5+201</f>
        <v/>
      </c>
      <c r="B203">
        <f>IF('Recurring Schedule'!$C$6="","",IF('Recurring Schedule'!$F$6="","",IF(OR($A203&lt;'Recurring Schedule'!$F$6,$A203&gt;'Recurring Schedule'!$P$6),"",IF(IF('Recurring Schedule'!$N$6&gt;0,MOD($A203-'Recurring Schedule'!$F$6,'Recurring Schedule'!$N$6)=0,IF('Recurring Schedule'!$O$6&gt;0,AND(DAY($A203)=MIN(DAY('Recurring Schedule'!$F$6),DAY(EOMONTH($A203,0))),MOD((YEAR($A203)-YEAR('Recurring Schedule'!$F$6))*12+MONTH($A203)-MONTH('Recurring Schedule'!$F$6),'Recurring Schedule'!$O$6)=0),IF('Recurring Schedule'!$E$6="Weekdays",WEEKDAY($A203,2)&lt;=5,$A203='Recurring Schedule'!$F$6))),1,""))))</f>
        <v/>
      </c>
      <c r="C203">
        <f>IF('Recurring Schedule'!$C$7="","",IF('Recurring Schedule'!$F$7="","",IF(OR($A203&lt;'Recurring Schedule'!$F$7,$A203&gt;'Recurring Schedule'!$P$7),"",IF(IF('Recurring Schedule'!$N$7&gt;0,MOD($A203-'Recurring Schedule'!$F$7,'Recurring Schedule'!$N$7)=0,IF('Recurring Schedule'!$O$7&gt;0,AND(DAY($A203)=MIN(DAY('Recurring Schedule'!$F$7),DAY(EOMONTH($A203,0))),MOD((YEAR($A203)-YEAR('Recurring Schedule'!$F$7))*12+MONTH($A203)-MONTH('Recurring Schedule'!$F$7),'Recurring Schedule'!$O$7)=0),IF('Recurring Schedule'!$E$7="Weekdays",WEEKDAY($A203,2)&lt;=5,$A203='Recurring Schedule'!$F$7))),2,""))))</f>
        <v/>
      </c>
      <c r="D203">
        <f>IF('Recurring Schedule'!$C$8="","",IF('Recurring Schedule'!$F$8="","",IF(OR($A203&lt;'Recurring Schedule'!$F$8,$A203&gt;'Recurring Schedule'!$P$8),"",IF(IF('Recurring Schedule'!$N$8&gt;0,MOD($A203-'Recurring Schedule'!$F$8,'Recurring Schedule'!$N$8)=0,IF('Recurring Schedule'!$O$8&gt;0,AND(DAY($A203)=MIN(DAY('Recurring Schedule'!$F$8),DAY(EOMONTH($A203,0))),MOD((YEAR($A203)-YEAR('Recurring Schedule'!$F$8))*12+MONTH($A203)-MONTH('Recurring Schedule'!$F$8),'Recurring Schedule'!$O$8)=0),IF('Recurring Schedule'!$E$8="Weekdays",WEEKDAY($A203,2)&lt;=5,$A203='Recurring Schedule'!$F$8))),3,""))))</f>
        <v/>
      </c>
      <c r="E203">
        <f>IF('Recurring Schedule'!$C$9="","",IF('Recurring Schedule'!$F$9="","",IF(OR($A203&lt;'Recurring Schedule'!$F$9,$A203&gt;'Recurring Schedule'!$P$9),"",IF(IF('Recurring Schedule'!$N$9&gt;0,MOD($A203-'Recurring Schedule'!$F$9,'Recurring Schedule'!$N$9)=0,IF('Recurring Schedule'!$O$9&gt;0,AND(DAY($A203)=MIN(DAY('Recurring Schedule'!$F$9),DAY(EOMONTH($A203,0))),MOD((YEAR($A203)-YEAR('Recurring Schedule'!$F$9))*12+MONTH($A203)-MONTH('Recurring Schedule'!$F$9),'Recurring Schedule'!$O$9)=0),IF('Recurring Schedule'!$E$9="Weekdays",WEEKDAY($A203,2)&lt;=5,$A203='Recurring Schedule'!$F$9))),4,""))))</f>
        <v/>
      </c>
      <c r="F203">
        <f>IF('Recurring Schedule'!$C$10="","",IF('Recurring Schedule'!$F$10="","",IF(OR($A203&lt;'Recurring Schedule'!$F$10,$A203&gt;'Recurring Schedule'!$P$10),"",IF(IF('Recurring Schedule'!$N$10&gt;0,MOD($A203-'Recurring Schedule'!$F$10,'Recurring Schedule'!$N$10)=0,IF('Recurring Schedule'!$O$10&gt;0,AND(DAY($A203)=MIN(DAY('Recurring Schedule'!$F$10),DAY(EOMONTH($A203,0))),MOD((YEAR($A203)-YEAR('Recurring Schedule'!$F$10))*12+MONTH($A203)-MONTH('Recurring Schedule'!$F$10),'Recurring Schedule'!$O$10)=0),IF('Recurring Schedule'!$E$10="Weekdays",WEEKDAY($A203,2)&lt;=5,$A203='Recurring Schedule'!$F$10))),5,""))))</f>
        <v/>
      </c>
      <c r="G203">
        <f>IF('Recurring Schedule'!$C$11="","",IF('Recurring Schedule'!$F$11="","",IF(OR($A203&lt;'Recurring Schedule'!$F$11,$A203&gt;'Recurring Schedule'!$P$11),"",IF(IF('Recurring Schedule'!$N$11&gt;0,MOD($A203-'Recurring Schedule'!$F$11,'Recurring Schedule'!$N$11)=0,IF('Recurring Schedule'!$O$11&gt;0,AND(DAY($A203)=MIN(DAY('Recurring Schedule'!$F$11),DAY(EOMONTH($A203,0))),MOD((YEAR($A203)-YEAR('Recurring Schedule'!$F$11))*12+MONTH($A203)-MONTH('Recurring Schedule'!$F$11),'Recurring Schedule'!$O$11)=0),IF('Recurring Schedule'!$E$11="Weekdays",WEEKDAY($A203,2)&lt;=5,$A203='Recurring Schedule'!$F$11))),6,""))))</f>
        <v/>
      </c>
      <c r="H203">
        <f>IF('Recurring Schedule'!$C$12="","",IF('Recurring Schedule'!$F$12="","",IF(OR($A203&lt;'Recurring Schedule'!$F$12,$A203&gt;'Recurring Schedule'!$P$12),"",IF(IF('Recurring Schedule'!$N$12&gt;0,MOD($A203-'Recurring Schedule'!$F$12,'Recurring Schedule'!$N$12)=0,IF('Recurring Schedule'!$O$12&gt;0,AND(DAY($A203)=MIN(DAY('Recurring Schedule'!$F$12),DAY(EOMONTH($A203,0))),MOD((YEAR($A203)-YEAR('Recurring Schedule'!$F$12))*12+MONTH($A203)-MONTH('Recurring Schedule'!$F$12),'Recurring Schedule'!$O$12)=0),IF('Recurring Schedule'!$E$12="Weekdays",WEEKDAY($A203,2)&lt;=5,$A203='Recurring Schedule'!$F$12))),7,""))))</f>
        <v/>
      </c>
      <c r="I203">
        <f>IF('Recurring Schedule'!$C$13="","",IF('Recurring Schedule'!$F$13="","",IF(OR($A203&lt;'Recurring Schedule'!$F$13,$A203&gt;'Recurring Schedule'!$P$13),"",IF(IF('Recurring Schedule'!$N$13&gt;0,MOD($A203-'Recurring Schedule'!$F$13,'Recurring Schedule'!$N$13)=0,IF('Recurring Schedule'!$O$13&gt;0,AND(DAY($A203)=MIN(DAY('Recurring Schedule'!$F$13),DAY(EOMONTH($A203,0))),MOD((YEAR($A203)-YEAR('Recurring Schedule'!$F$13))*12+MONTH($A203)-MONTH('Recurring Schedule'!$F$13),'Recurring Schedule'!$O$13)=0),IF('Recurring Schedule'!$E$13="Weekdays",WEEKDAY($A203,2)&lt;=5,$A203='Recurring Schedule'!$F$13))),8,""))))</f>
        <v/>
      </c>
      <c r="J203">
        <f>IF('Recurring Schedule'!$C$14="","",IF('Recurring Schedule'!$F$14="","",IF(OR($A203&lt;'Recurring Schedule'!$F$14,$A203&gt;'Recurring Schedule'!$P$14),"",IF(IF('Recurring Schedule'!$N$14&gt;0,MOD($A203-'Recurring Schedule'!$F$14,'Recurring Schedule'!$N$14)=0,IF('Recurring Schedule'!$O$14&gt;0,AND(DAY($A203)=MIN(DAY('Recurring Schedule'!$F$14),DAY(EOMONTH($A203,0))),MOD((YEAR($A203)-YEAR('Recurring Schedule'!$F$14))*12+MONTH($A203)-MONTH('Recurring Schedule'!$F$14),'Recurring Schedule'!$O$14)=0),IF('Recurring Schedule'!$E$14="Weekdays",WEEKDAY($A203,2)&lt;=5,$A203='Recurring Schedule'!$F$14))),9,""))))</f>
        <v/>
      </c>
      <c r="K203">
        <f>IF('Recurring Schedule'!$C$15="","",IF('Recurring Schedule'!$F$15="","",IF(OR($A203&lt;'Recurring Schedule'!$F$15,$A203&gt;'Recurring Schedule'!$P$15),"",IF(IF('Recurring Schedule'!$N$15&gt;0,MOD($A203-'Recurring Schedule'!$F$15,'Recurring Schedule'!$N$15)=0,IF('Recurring Schedule'!$O$15&gt;0,AND(DAY($A203)=MIN(DAY('Recurring Schedule'!$F$15),DAY(EOMONTH($A203,0))),MOD((YEAR($A203)-YEAR('Recurring Schedule'!$F$15))*12+MONTH($A203)-MONTH('Recurring Schedule'!$F$15),'Recurring Schedule'!$O$15)=0),IF('Recurring Schedule'!$E$15="Weekdays",WEEKDAY($A203,2)&lt;=5,$A203='Recurring Schedule'!$F$15))),10,""))))</f>
        <v/>
      </c>
      <c r="L203">
        <f>IF('Recurring Schedule'!$C$16="","",IF('Recurring Schedule'!$F$16="","",IF(OR($A203&lt;'Recurring Schedule'!$F$16,$A203&gt;'Recurring Schedule'!$P$16),"",IF(IF('Recurring Schedule'!$N$16&gt;0,MOD($A203-'Recurring Schedule'!$F$16,'Recurring Schedule'!$N$16)=0,IF('Recurring Schedule'!$O$16&gt;0,AND(DAY($A203)=MIN(DAY('Recurring Schedule'!$F$16),DAY(EOMONTH($A203,0))),MOD((YEAR($A203)-YEAR('Recurring Schedule'!$F$16))*12+MONTH($A203)-MONTH('Recurring Schedule'!$F$16),'Recurring Schedule'!$O$16)=0),IF('Recurring Schedule'!$E$16="Weekdays",WEEKDAY($A203,2)&lt;=5,$A203='Recurring Schedule'!$F$16))),11,""))))</f>
        <v/>
      </c>
      <c r="M203">
        <f>IF('Recurring Schedule'!$C$17="","",IF('Recurring Schedule'!$F$17="","",IF(OR($A203&lt;'Recurring Schedule'!$F$17,$A203&gt;'Recurring Schedule'!$P$17),"",IF(IF('Recurring Schedule'!$N$17&gt;0,MOD($A203-'Recurring Schedule'!$F$17,'Recurring Schedule'!$N$17)=0,IF('Recurring Schedule'!$O$17&gt;0,AND(DAY($A203)=MIN(DAY('Recurring Schedule'!$F$17),DAY(EOMONTH($A203,0))),MOD((YEAR($A203)-YEAR('Recurring Schedule'!$F$17))*12+MONTH($A203)-MONTH('Recurring Schedule'!$F$17),'Recurring Schedule'!$O$17)=0),IF('Recurring Schedule'!$E$17="Weekdays",WEEKDAY($A203,2)&lt;=5,$A203='Recurring Schedule'!$F$17))),12,""))))</f>
        <v/>
      </c>
      <c r="N203">
        <f>IF('Recurring Schedule'!$C$18="","",IF('Recurring Schedule'!$F$18="","",IF(OR($A203&lt;'Recurring Schedule'!$F$18,$A203&gt;'Recurring Schedule'!$P$18),"",IF(IF('Recurring Schedule'!$N$18&gt;0,MOD($A203-'Recurring Schedule'!$F$18,'Recurring Schedule'!$N$18)=0,IF('Recurring Schedule'!$O$18&gt;0,AND(DAY($A203)=MIN(DAY('Recurring Schedule'!$F$18),DAY(EOMONTH($A203,0))),MOD((YEAR($A203)-YEAR('Recurring Schedule'!$F$18))*12+MONTH($A203)-MONTH('Recurring Schedule'!$F$18),'Recurring Schedule'!$O$18)=0),IF('Recurring Schedule'!$E$18="Weekdays",WEEKDAY($A203,2)&lt;=5,$A203='Recurring Schedule'!$F$18))),13,""))))</f>
        <v/>
      </c>
      <c r="O203">
        <f>IF('Recurring Schedule'!$C$19="","",IF('Recurring Schedule'!$F$19="","",IF(OR($A203&lt;'Recurring Schedule'!$F$19,$A203&gt;'Recurring Schedule'!$P$19),"",IF(IF('Recurring Schedule'!$N$19&gt;0,MOD($A203-'Recurring Schedule'!$F$19,'Recurring Schedule'!$N$19)=0,IF('Recurring Schedule'!$O$19&gt;0,AND(DAY($A203)=MIN(DAY('Recurring Schedule'!$F$19),DAY(EOMONTH($A203,0))),MOD((YEAR($A203)-YEAR('Recurring Schedule'!$F$19))*12+MONTH($A203)-MONTH('Recurring Schedule'!$F$19),'Recurring Schedule'!$O$19)=0),IF('Recurring Schedule'!$E$19="Weekdays",WEEKDAY($A203,2)&lt;=5,$A203='Recurring Schedule'!$F$19))),14,""))))</f>
        <v/>
      </c>
      <c r="P203">
        <f>IF('Recurring Schedule'!$C$20="","",IF('Recurring Schedule'!$F$20="","",IF(OR($A203&lt;'Recurring Schedule'!$F$20,$A203&gt;'Recurring Schedule'!$P$20),"",IF(IF('Recurring Schedule'!$N$20&gt;0,MOD($A203-'Recurring Schedule'!$F$20,'Recurring Schedule'!$N$20)=0,IF('Recurring Schedule'!$O$20&gt;0,AND(DAY($A203)=MIN(DAY('Recurring Schedule'!$F$20),DAY(EOMONTH($A203,0))),MOD((YEAR($A203)-YEAR('Recurring Schedule'!$F$20))*12+MONTH($A203)-MONTH('Recurring Schedule'!$F$20),'Recurring Schedule'!$O$20)=0),IF('Recurring Schedule'!$E$20="Weekdays",WEEKDAY($A203,2)&lt;=5,$A203='Recurring Schedule'!$F$20))),15,""))))</f>
        <v/>
      </c>
      <c r="Q203">
        <f>IF('Recurring Schedule'!$C$21="","",IF('Recurring Schedule'!$F$21="","",IF(OR($A203&lt;'Recurring Schedule'!$F$21,$A203&gt;'Recurring Schedule'!$P$21),"",IF(IF('Recurring Schedule'!$N$21&gt;0,MOD($A203-'Recurring Schedule'!$F$21,'Recurring Schedule'!$N$21)=0,IF('Recurring Schedule'!$O$21&gt;0,AND(DAY($A203)=MIN(DAY('Recurring Schedule'!$F$21),DAY(EOMONTH($A203,0))),MOD((YEAR($A203)-YEAR('Recurring Schedule'!$F$21))*12+MONTH($A203)-MONTH('Recurring Schedule'!$F$21),'Recurring Schedule'!$O$21)=0),IF('Recurring Schedule'!$E$21="Weekdays",WEEKDAY($A203,2)&lt;=5,$A203='Recurring Schedule'!$F$21))),16,""))))</f>
        <v/>
      </c>
      <c r="R203">
        <f>IF('Recurring Schedule'!$C$22="","",IF('Recurring Schedule'!$F$22="","",IF(OR($A203&lt;'Recurring Schedule'!$F$22,$A203&gt;'Recurring Schedule'!$P$22),"",IF(IF('Recurring Schedule'!$N$22&gt;0,MOD($A203-'Recurring Schedule'!$F$22,'Recurring Schedule'!$N$22)=0,IF('Recurring Schedule'!$O$22&gt;0,AND(DAY($A203)=MIN(DAY('Recurring Schedule'!$F$22),DAY(EOMONTH($A203,0))),MOD((YEAR($A203)-YEAR('Recurring Schedule'!$F$22))*12+MONTH($A203)-MONTH('Recurring Schedule'!$F$22),'Recurring Schedule'!$O$22)=0),IF('Recurring Schedule'!$E$22="Weekdays",WEEKDAY($A203,2)&lt;=5,$A203='Recurring Schedule'!$F$22))),17,""))))</f>
        <v/>
      </c>
      <c r="S203">
        <f>IF('Recurring Schedule'!$C$23="","",IF('Recurring Schedule'!$F$23="","",IF(OR($A203&lt;'Recurring Schedule'!$F$23,$A203&gt;'Recurring Schedule'!$P$23),"",IF(IF('Recurring Schedule'!$N$23&gt;0,MOD($A203-'Recurring Schedule'!$F$23,'Recurring Schedule'!$N$23)=0,IF('Recurring Schedule'!$O$23&gt;0,AND(DAY($A203)=MIN(DAY('Recurring Schedule'!$F$23),DAY(EOMONTH($A203,0))),MOD((YEAR($A203)-YEAR('Recurring Schedule'!$F$23))*12+MONTH($A203)-MONTH('Recurring Schedule'!$F$23),'Recurring Schedule'!$O$23)=0),IF('Recurring Schedule'!$E$23="Weekdays",WEEKDAY($A203,2)&lt;=5,$A203='Recurring Schedule'!$F$23))),18,""))))</f>
        <v/>
      </c>
      <c r="T203">
        <f>IF('Recurring Schedule'!$C$24="","",IF('Recurring Schedule'!$F$24="","",IF(OR($A203&lt;'Recurring Schedule'!$F$24,$A203&gt;'Recurring Schedule'!$P$24),"",IF(IF('Recurring Schedule'!$N$24&gt;0,MOD($A203-'Recurring Schedule'!$F$24,'Recurring Schedule'!$N$24)=0,IF('Recurring Schedule'!$O$24&gt;0,AND(DAY($A203)=MIN(DAY('Recurring Schedule'!$F$24),DAY(EOMONTH($A203,0))),MOD((YEAR($A203)-YEAR('Recurring Schedule'!$F$24))*12+MONTH($A203)-MONTH('Recurring Schedule'!$F$24),'Recurring Schedule'!$O$24)=0),IF('Recurring Schedule'!$E$24="Weekdays",WEEKDAY($A203,2)&lt;=5,$A203='Recurring Schedule'!$F$24))),19,""))))</f>
        <v/>
      </c>
      <c r="U203">
        <f>IF('Recurring Schedule'!$C$25="","",IF('Recurring Schedule'!$F$25="","",IF(OR($A203&lt;'Recurring Schedule'!$F$25,$A203&gt;'Recurring Schedule'!$P$25),"",IF(IF('Recurring Schedule'!$N$25&gt;0,MOD($A203-'Recurring Schedule'!$F$25,'Recurring Schedule'!$N$25)=0,IF('Recurring Schedule'!$O$25&gt;0,AND(DAY($A203)=MIN(DAY('Recurring Schedule'!$F$25),DAY(EOMONTH($A203,0))),MOD((YEAR($A203)-YEAR('Recurring Schedule'!$F$25))*12+MONTH($A203)-MONTH('Recurring Schedule'!$F$25),'Recurring Schedule'!$O$25)=0),IF('Recurring Schedule'!$E$25="Weekdays",WEEKDAY($A203,2)&lt;=5,$A203='Recurring Schedule'!$F$25))),20,""))))</f>
        <v/>
      </c>
      <c r="V203">
        <f>IF('Recurring Schedule'!$C$26="","",IF('Recurring Schedule'!$F$26="","",IF(OR($A203&lt;'Recurring Schedule'!$F$26,$A203&gt;'Recurring Schedule'!$P$26),"",IF(IF('Recurring Schedule'!$N$26&gt;0,MOD($A203-'Recurring Schedule'!$F$26,'Recurring Schedule'!$N$26)=0,IF('Recurring Schedule'!$O$26&gt;0,AND(DAY($A203)=MIN(DAY('Recurring Schedule'!$F$26),DAY(EOMONTH($A203,0))),MOD((YEAR($A203)-YEAR('Recurring Schedule'!$F$26))*12+MONTH($A203)-MONTH('Recurring Schedule'!$F$26),'Recurring Schedule'!$O$26)=0),IF('Recurring Schedule'!$E$26="Weekdays",WEEKDAY($A203,2)&lt;=5,$A203='Recurring Schedule'!$F$26))),21,""))))</f>
        <v/>
      </c>
      <c r="W203">
        <f>IF('Recurring Schedule'!$C$27="","",IF('Recurring Schedule'!$F$27="","",IF(OR($A203&lt;'Recurring Schedule'!$F$27,$A203&gt;'Recurring Schedule'!$P$27),"",IF(IF('Recurring Schedule'!$N$27&gt;0,MOD($A203-'Recurring Schedule'!$F$27,'Recurring Schedule'!$N$27)=0,IF('Recurring Schedule'!$O$27&gt;0,AND(DAY($A203)=MIN(DAY('Recurring Schedule'!$F$27),DAY(EOMONTH($A203,0))),MOD((YEAR($A203)-YEAR('Recurring Schedule'!$F$27))*12+MONTH($A203)-MONTH('Recurring Schedule'!$F$27),'Recurring Schedule'!$O$27)=0),IF('Recurring Schedule'!$E$27="Weekdays",WEEKDAY($A203,2)&lt;=5,$A203='Recurring Schedule'!$F$27))),22,""))))</f>
        <v/>
      </c>
      <c r="X203">
        <f>IF('Recurring Schedule'!$C$28="","",IF('Recurring Schedule'!$F$28="","",IF(OR($A203&lt;'Recurring Schedule'!$F$28,$A203&gt;'Recurring Schedule'!$P$28),"",IF(IF('Recurring Schedule'!$N$28&gt;0,MOD($A203-'Recurring Schedule'!$F$28,'Recurring Schedule'!$N$28)=0,IF('Recurring Schedule'!$O$28&gt;0,AND(DAY($A203)=MIN(DAY('Recurring Schedule'!$F$28),DAY(EOMONTH($A203,0))),MOD((YEAR($A203)-YEAR('Recurring Schedule'!$F$28))*12+MONTH($A203)-MONTH('Recurring Schedule'!$F$28),'Recurring Schedule'!$O$28)=0),IF('Recurring Schedule'!$E$28="Weekdays",WEEKDAY($A203,2)&lt;=5,$A203='Recurring Schedule'!$F$28))),23,""))))</f>
        <v/>
      </c>
      <c r="Y203">
        <f>IF('Recurring Schedule'!$C$29="","",IF('Recurring Schedule'!$F$29="","",IF(OR($A203&lt;'Recurring Schedule'!$F$29,$A203&gt;'Recurring Schedule'!$P$29),"",IF(IF('Recurring Schedule'!$N$29&gt;0,MOD($A203-'Recurring Schedule'!$F$29,'Recurring Schedule'!$N$29)=0,IF('Recurring Schedule'!$O$29&gt;0,AND(DAY($A203)=MIN(DAY('Recurring Schedule'!$F$29),DAY(EOMONTH($A203,0))),MOD((YEAR($A203)-YEAR('Recurring Schedule'!$F$29))*12+MONTH($A203)-MONTH('Recurring Schedule'!$F$29),'Recurring Schedule'!$O$29)=0),IF('Recurring Schedule'!$E$29="Weekdays",WEEKDAY($A203,2)&lt;=5,$A203='Recurring Schedule'!$F$29))),24,""))))</f>
        <v/>
      </c>
      <c r="Z203">
        <f>IF('Recurring Schedule'!$C$30="","",IF('Recurring Schedule'!$F$30="","",IF(OR($A203&lt;'Recurring Schedule'!$F$30,$A203&gt;'Recurring Schedule'!$P$30),"",IF(IF('Recurring Schedule'!$N$30&gt;0,MOD($A203-'Recurring Schedule'!$F$30,'Recurring Schedule'!$N$30)=0,IF('Recurring Schedule'!$O$30&gt;0,AND(DAY($A203)=MIN(DAY('Recurring Schedule'!$F$30),DAY(EOMONTH($A203,0))),MOD((YEAR($A203)-YEAR('Recurring Schedule'!$F$30))*12+MONTH($A203)-MONTH('Recurring Schedule'!$F$30),'Recurring Schedule'!$O$30)=0),IF('Recurring Schedule'!$E$30="Weekdays",WEEKDAY($A203,2)&lt;=5,$A203='Recurring Schedule'!$F$30))),25,""))))</f>
        <v/>
      </c>
      <c r="AA203">
        <f>IF('Recurring Schedule'!$C$31="","",IF('Recurring Schedule'!$F$31="","",IF(OR($A203&lt;'Recurring Schedule'!$F$31,$A203&gt;'Recurring Schedule'!$P$31),"",IF(IF('Recurring Schedule'!$N$31&gt;0,MOD($A203-'Recurring Schedule'!$F$31,'Recurring Schedule'!$N$31)=0,IF('Recurring Schedule'!$O$31&gt;0,AND(DAY($A203)=MIN(DAY('Recurring Schedule'!$F$31),DAY(EOMONTH($A203,0))),MOD((YEAR($A203)-YEAR('Recurring Schedule'!$F$31))*12+MONTH($A203)-MONTH('Recurring Schedule'!$F$31),'Recurring Schedule'!$O$31)=0),IF('Recurring Schedule'!$E$31="Weekdays",WEEKDAY($A203,2)&lt;=5,$A203='Recurring Schedule'!$F$31))),26,""))))</f>
        <v/>
      </c>
      <c r="AB203">
        <f>IF('Recurring Schedule'!$C$32="","",IF('Recurring Schedule'!$F$32="","",IF(OR($A203&lt;'Recurring Schedule'!$F$32,$A203&gt;'Recurring Schedule'!$P$32),"",IF(IF('Recurring Schedule'!$N$32&gt;0,MOD($A203-'Recurring Schedule'!$F$32,'Recurring Schedule'!$N$32)=0,IF('Recurring Schedule'!$O$32&gt;0,AND(DAY($A203)=MIN(DAY('Recurring Schedule'!$F$32),DAY(EOMONTH($A203,0))),MOD((YEAR($A203)-YEAR('Recurring Schedule'!$F$32))*12+MONTH($A203)-MONTH('Recurring Schedule'!$F$32),'Recurring Schedule'!$O$32)=0),IF('Recurring Schedule'!$E$32="Weekdays",WEEKDAY($A203,2)&lt;=5,$A203='Recurring Schedule'!$F$32))),27,""))))</f>
        <v/>
      </c>
      <c r="AC203">
        <f>IF('Recurring Schedule'!$C$33="","",IF('Recurring Schedule'!$F$33="","",IF(OR($A203&lt;'Recurring Schedule'!$F$33,$A203&gt;'Recurring Schedule'!$P$33),"",IF(IF('Recurring Schedule'!$N$33&gt;0,MOD($A203-'Recurring Schedule'!$F$33,'Recurring Schedule'!$N$33)=0,IF('Recurring Schedule'!$O$33&gt;0,AND(DAY($A203)=MIN(DAY('Recurring Schedule'!$F$33),DAY(EOMONTH($A203,0))),MOD((YEAR($A203)-YEAR('Recurring Schedule'!$F$33))*12+MONTH($A203)-MONTH('Recurring Schedule'!$F$33),'Recurring Schedule'!$O$33)=0),IF('Recurring Schedule'!$E$33="Weekdays",WEEKDAY($A203,2)&lt;=5,$A203='Recurring Schedule'!$F$33))),28,""))))</f>
        <v/>
      </c>
      <c r="AD203">
        <f>IF('Recurring Schedule'!$C$34="","",IF('Recurring Schedule'!$F$34="","",IF(OR($A203&lt;'Recurring Schedule'!$F$34,$A203&gt;'Recurring Schedule'!$P$34),"",IF(IF('Recurring Schedule'!$N$34&gt;0,MOD($A203-'Recurring Schedule'!$F$34,'Recurring Schedule'!$N$34)=0,IF('Recurring Schedule'!$O$34&gt;0,AND(DAY($A203)=MIN(DAY('Recurring Schedule'!$F$34),DAY(EOMONTH($A203,0))),MOD((YEAR($A203)-YEAR('Recurring Schedule'!$F$34))*12+MONTH($A203)-MONTH('Recurring Schedule'!$F$34),'Recurring Schedule'!$O$34)=0),IF('Recurring Schedule'!$E$34="Weekdays",WEEKDAY($A203,2)&lt;=5,$A203='Recurring Schedule'!$F$34))),29,""))))</f>
        <v/>
      </c>
      <c r="AE203">
        <f>IF('Recurring Schedule'!$C$35="","",IF('Recurring Schedule'!$F$35="","",IF(OR($A203&lt;'Recurring Schedule'!$F$35,$A203&gt;'Recurring Schedule'!$P$35),"",IF(IF('Recurring Schedule'!$N$35&gt;0,MOD($A203-'Recurring Schedule'!$F$35,'Recurring Schedule'!$N$35)=0,IF('Recurring Schedule'!$O$35&gt;0,AND(DAY($A203)=MIN(DAY('Recurring Schedule'!$F$35),DAY(EOMONTH($A203,0))),MOD((YEAR($A203)-YEAR('Recurring Schedule'!$F$35))*12+MONTH($A203)-MONTH('Recurring Schedule'!$F$35),'Recurring Schedule'!$O$35)=0),IF('Recurring Schedule'!$E$35="Weekdays",WEEKDAY($A203,2)&lt;=5,$A203='Recurring Schedule'!$F$35))),30,""))))</f>
        <v/>
      </c>
      <c r="AF203">
        <f>IF('Recurring Schedule'!$C$36="","",IF('Recurring Schedule'!$F$36="","",IF(OR($A203&lt;'Recurring Schedule'!$F$36,$A203&gt;'Recurring Schedule'!$P$36),"",IF(IF('Recurring Schedule'!$N$36&gt;0,MOD($A203-'Recurring Schedule'!$F$36,'Recurring Schedule'!$N$36)=0,IF('Recurring Schedule'!$O$36&gt;0,AND(DAY($A203)=MIN(DAY('Recurring Schedule'!$F$36),DAY(EOMONTH($A203,0))),MOD((YEAR($A203)-YEAR('Recurring Schedule'!$F$36))*12+MONTH($A203)-MONTH('Recurring Schedule'!$F$36),'Recurring Schedule'!$O$36)=0),IF('Recurring Schedule'!$E$36="Weekdays",WEEKDAY($A203,2)&lt;=5,$A203='Recurring Schedule'!$F$36))),31,""))))</f>
        <v/>
      </c>
      <c r="AG203">
        <f>IF('Recurring Schedule'!$C$37="","",IF('Recurring Schedule'!$F$37="","",IF(OR($A203&lt;'Recurring Schedule'!$F$37,$A203&gt;'Recurring Schedule'!$P$37),"",IF(IF('Recurring Schedule'!$N$37&gt;0,MOD($A203-'Recurring Schedule'!$F$37,'Recurring Schedule'!$N$37)=0,IF('Recurring Schedule'!$O$37&gt;0,AND(DAY($A203)=MIN(DAY('Recurring Schedule'!$F$37),DAY(EOMONTH($A203,0))),MOD((YEAR($A203)-YEAR('Recurring Schedule'!$F$37))*12+MONTH($A203)-MONTH('Recurring Schedule'!$F$37),'Recurring Schedule'!$O$37)=0),IF('Recurring Schedule'!$E$37="Weekdays",WEEKDAY($A203,2)&lt;=5,$A203='Recurring Schedule'!$F$37))),32,""))))</f>
        <v/>
      </c>
      <c r="AH203">
        <f>IF('Recurring Schedule'!$C$38="","",IF('Recurring Schedule'!$F$38="","",IF(OR($A203&lt;'Recurring Schedule'!$F$38,$A203&gt;'Recurring Schedule'!$P$38),"",IF(IF('Recurring Schedule'!$N$38&gt;0,MOD($A203-'Recurring Schedule'!$F$38,'Recurring Schedule'!$N$38)=0,IF('Recurring Schedule'!$O$38&gt;0,AND(DAY($A203)=MIN(DAY('Recurring Schedule'!$F$38),DAY(EOMONTH($A203,0))),MOD((YEAR($A203)-YEAR('Recurring Schedule'!$F$38))*12+MONTH($A203)-MONTH('Recurring Schedule'!$F$38),'Recurring Schedule'!$O$38)=0),IF('Recurring Schedule'!$E$38="Weekdays",WEEKDAY($A203,2)&lt;=5,$A203='Recurring Schedule'!$F$38))),33,""))))</f>
        <v/>
      </c>
      <c r="AI203">
        <f>IF('Recurring Schedule'!$C$39="","",IF('Recurring Schedule'!$F$39="","",IF(OR($A203&lt;'Recurring Schedule'!$F$39,$A203&gt;'Recurring Schedule'!$P$39),"",IF(IF('Recurring Schedule'!$N$39&gt;0,MOD($A203-'Recurring Schedule'!$F$39,'Recurring Schedule'!$N$39)=0,IF('Recurring Schedule'!$O$39&gt;0,AND(DAY($A203)=MIN(DAY('Recurring Schedule'!$F$39),DAY(EOMONTH($A203,0))),MOD((YEAR($A203)-YEAR('Recurring Schedule'!$F$39))*12+MONTH($A203)-MONTH('Recurring Schedule'!$F$39),'Recurring Schedule'!$O$39)=0),IF('Recurring Schedule'!$E$39="Weekdays",WEEKDAY($A203,2)&lt;=5,$A203='Recurring Schedule'!$F$39))),34,""))))</f>
        <v/>
      </c>
      <c r="AJ203">
        <f>IF('Recurring Schedule'!$C$40="","",IF('Recurring Schedule'!$F$40="","",IF(OR($A203&lt;'Recurring Schedule'!$F$40,$A203&gt;'Recurring Schedule'!$P$40),"",IF(IF('Recurring Schedule'!$N$40&gt;0,MOD($A203-'Recurring Schedule'!$F$40,'Recurring Schedule'!$N$40)=0,IF('Recurring Schedule'!$O$40&gt;0,AND(DAY($A203)=MIN(DAY('Recurring Schedule'!$F$40),DAY(EOMONTH($A203,0))),MOD((YEAR($A203)-YEAR('Recurring Schedule'!$F$40))*12+MONTH($A203)-MONTH('Recurring Schedule'!$F$40),'Recurring Schedule'!$O$40)=0),IF('Recurring Schedule'!$E$40="Weekdays",WEEKDAY($A203,2)&lt;=5,$A203='Recurring Schedule'!$F$40))),35,""))))</f>
        <v/>
      </c>
      <c r="AK203">
        <f>IF('Recurring Schedule'!$C$41="","",IF('Recurring Schedule'!$F$41="","",IF(OR($A203&lt;'Recurring Schedule'!$F$41,$A203&gt;'Recurring Schedule'!$P$41),"",IF(IF('Recurring Schedule'!$N$41&gt;0,MOD($A203-'Recurring Schedule'!$F$41,'Recurring Schedule'!$N$41)=0,IF('Recurring Schedule'!$O$41&gt;0,AND(DAY($A203)=MIN(DAY('Recurring Schedule'!$F$41),DAY(EOMONTH($A203,0))),MOD((YEAR($A203)-YEAR('Recurring Schedule'!$F$41))*12+MONTH($A203)-MONTH('Recurring Schedule'!$F$41),'Recurring Schedule'!$O$41)=0),IF('Recurring Schedule'!$E$41="Weekdays",WEEKDAY($A203,2)&lt;=5,$A203='Recurring Schedule'!$F$41))),36,""))))</f>
        <v/>
      </c>
      <c r="AL203">
        <f>IF('Recurring Schedule'!$C$42="","",IF('Recurring Schedule'!$F$42="","",IF(OR($A203&lt;'Recurring Schedule'!$F$42,$A203&gt;'Recurring Schedule'!$P$42),"",IF(IF('Recurring Schedule'!$N$42&gt;0,MOD($A203-'Recurring Schedule'!$F$42,'Recurring Schedule'!$N$42)=0,IF('Recurring Schedule'!$O$42&gt;0,AND(DAY($A203)=MIN(DAY('Recurring Schedule'!$F$42),DAY(EOMONTH($A203,0))),MOD((YEAR($A203)-YEAR('Recurring Schedule'!$F$42))*12+MONTH($A203)-MONTH('Recurring Schedule'!$F$42),'Recurring Schedule'!$O$42)=0),IF('Recurring Schedule'!$E$42="Weekdays",WEEKDAY($A203,2)&lt;=5,$A203='Recurring Schedule'!$F$42))),37,""))))</f>
        <v/>
      </c>
      <c r="AM203">
        <f>IF('Recurring Schedule'!$C$43="","",IF('Recurring Schedule'!$F$43="","",IF(OR($A203&lt;'Recurring Schedule'!$F$43,$A203&gt;'Recurring Schedule'!$P$43),"",IF(IF('Recurring Schedule'!$N$43&gt;0,MOD($A203-'Recurring Schedule'!$F$43,'Recurring Schedule'!$N$43)=0,IF('Recurring Schedule'!$O$43&gt;0,AND(DAY($A203)=MIN(DAY('Recurring Schedule'!$F$43),DAY(EOMONTH($A203,0))),MOD((YEAR($A203)-YEAR('Recurring Schedule'!$F$43))*12+MONTH($A203)-MONTH('Recurring Schedule'!$F$43),'Recurring Schedule'!$O$43)=0),IF('Recurring Schedule'!$E$43="Weekdays",WEEKDAY($A203,2)&lt;=5,$A203='Recurring Schedule'!$F$43))),38,""))))</f>
        <v/>
      </c>
      <c r="AN203">
        <f>IF('Recurring Schedule'!$C$44="","",IF('Recurring Schedule'!$F$44="","",IF(OR($A203&lt;'Recurring Schedule'!$F$44,$A203&gt;'Recurring Schedule'!$P$44),"",IF(IF('Recurring Schedule'!$N$44&gt;0,MOD($A203-'Recurring Schedule'!$F$44,'Recurring Schedule'!$N$44)=0,IF('Recurring Schedule'!$O$44&gt;0,AND(DAY($A203)=MIN(DAY('Recurring Schedule'!$F$44),DAY(EOMONTH($A203,0))),MOD((YEAR($A203)-YEAR('Recurring Schedule'!$F$44))*12+MONTH($A203)-MONTH('Recurring Schedule'!$F$44),'Recurring Schedule'!$O$44)=0),IF('Recurring Schedule'!$E$44="Weekdays",WEEKDAY($A203,2)&lt;=5,$A203='Recurring Schedule'!$F$44))),39,""))))</f>
        <v/>
      </c>
      <c r="AO203">
        <f>IF('Recurring Schedule'!$C$45="","",IF('Recurring Schedule'!$F$45="","",IF(OR($A203&lt;'Recurring Schedule'!$F$45,$A203&gt;'Recurring Schedule'!$P$45),"",IF(IF('Recurring Schedule'!$N$45&gt;0,MOD($A203-'Recurring Schedule'!$F$45,'Recurring Schedule'!$N$45)=0,IF('Recurring Schedule'!$O$45&gt;0,AND(DAY($A203)=MIN(DAY('Recurring Schedule'!$F$45),DAY(EOMONTH($A203,0))),MOD((YEAR($A203)-YEAR('Recurring Schedule'!$F$45))*12+MONTH($A203)-MONTH('Recurring Schedule'!$F$45),'Recurring Schedule'!$O$45)=0),IF('Recurring Schedule'!$E$45="Weekdays",WEEKDAY($A203,2)&lt;=5,$A203='Recurring Schedule'!$F$45))),40,""))))</f>
        <v/>
      </c>
      <c r="AP203">
        <f>COUNT(B203:AO203)</f>
        <v/>
      </c>
      <c r="AQ203">
        <f>AQ202+AP202</f>
        <v/>
      </c>
      <c r="AS203" t="inlineStr">
        <is>
          <t>R</t>
        </is>
      </c>
      <c r="AT203" t="n">
        <v>207</v>
      </c>
      <c r="AU203">
        <f>'Recurring Log'!C207&amp;""</f>
        <v/>
      </c>
      <c r="AV203">
        <f>'Recurring Log'!D207&amp;""</f>
        <v/>
      </c>
      <c r="AW203">
        <f>IF('Recurring Log'!E207="","",'Recurring Log'!E207)</f>
        <v/>
      </c>
      <c r="AX203">
        <f>IF('Recurring Log'!G207="","",'Recurring Log'!G207)</f>
        <v/>
      </c>
      <c r="AY203">
        <f>IF('Recurring Log'!H207="","",'Recurring Log'!H207)</f>
        <v/>
      </c>
      <c r="AZ203">
        <f>IF(AU203="","",IF('Recurring Log'!J207="","Not Started",'Recurring Log'!J207))</f>
        <v/>
      </c>
      <c r="BA203">
        <f>'Recurring Log'!L207&amp;""</f>
        <v/>
      </c>
      <c r="BB203">
        <f>'Recurring Log'!M207&amp;""</f>
        <v/>
      </c>
      <c r="BC203">
        <f>'Recurring Log'!N207&amp;""</f>
        <v/>
      </c>
      <c r="BD203">
        <f>'Recurring Log'!O207&amp;""</f>
        <v/>
      </c>
      <c r="BE203">
        <f>IF('Recurring Log'!K207="","",'Recurring Log'!K207)</f>
        <v/>
      </c>
      <c r="BF203">
        <f>IFERROR(MATCH(BA203,Setup!$L$6:$L$9,0),5)</f>
        <v/>
      </c>
      <c r="BG203">
        <f>IF(OR(AZ203="Done",AZ203="Cancelled"),1,0)</f>
        <v/>
      </c>
      <c r="BH203">
        <f>IF(AND(AU203&lt;&gt;"",ISNUMBER(AW203)),1,0)</f>
        <v/>
      </c>
      <c r="BI203">
        <f>IF(BH203=0,0,IF(AND(AW203&gt;='Tasks Filter'!$F$3,AW203&lt;='Tasks Filter'!$F$4,OR('Tasks Filter'!$I$3="",ISNUMBER(SEARCH('Tasks Filter'!$I$3,AU203))),OR('Tasks Filter'!$I$4="",BF203=IFERROR(MATCH('Tasks Filter'!$I$4,Setup!$L$6:$L$9,0),0)),OR('Tasks Filter'!$I$5="Both",AND('Tasks Filter'!$I$5="Yes",BB203="✓"),AND('Tasks Filter'!$I$5="No",BB203&lt;&gt;"✓")),OR('Tasks Filter'!$L$3="",AV203='Tasks Filter'!$L$3),OR('Tasks Filter'!$L$4="",AZ203='Tasks Filter'!$L$4),OR('Tasks Filter'!$L$5="",BC203='Tasks Filter'!$L$5),OR('Tasks Filter'!$O$3="",BD203='Tasks Filter'!$O$3),OR('Tasks Filter'!$O$4="Yes",BG203=0)),1,0))</f>
        <v/>
      </c>
      <c r="BJ203">
        <f>IF(BH203=0,"",IF('Tasks Filter'!$F$6="Descending",-1,1)*CHOOSE(MATCH('Tasks Filter'!$F$5,Lists!$G$2:$G$6,0),AW203,BF203,IFERROR(MATCH(AV203,Setup!$F$6:$F$15,0),99),IFERROR(MATCH(BC203,Setup!$H$6:$H$15,0),99),IFERROR(MATCH(AZ203,Setup!$J$6:$J$11,0),99))*1E+9+(AW203-40000)*10000+202)</f>
        <v/>
      </c>
      <c r="BK203">
        <f>IF(BI203=1,BJ203,"")</f>
        <v/>
      </c>
      <c r="BL203">
        <f>IF(AND(BH203=1,BG203=0,N(AW203)&lt;Setup!$D$7),(AW203-40000)*10000+202,"")</f>
        <v/>
      </c>
      <c r="BM203">
        <f>IF(AND(BH203=1,AZ203&lt;&gt;"Cancelled",N(AW203)&gt;=Dashboard!$AB$3,N(AW203)&lt;=Dashboard!$AB$3+6),(AW203-40000)*100000+BF203*10000+202,"")</f>
        <v/>
      </c>
      <c r="BN203">
        <f>IF(AND(BH203=1,AZ203&lt;&gt;"Cancelled"),BF203*10000+202,"")</f>
        <v/>
      </c>
    </row>
    <row r="204">
      <c r="A204">
        <f>Setup!$D$5+202</f>
        <v/>
      </c>
      <c r="B204">
        <f>IF('Recurring Schedule'!$C$6="","",IF('Recurring Schedule'!$F$6="","",IF(OR($A204&lt;'Recurring Schedule'!$F$6,$A204&gt;'Recurring Schedule'!$P$6),"",IF(IF('Recurring Schedule'!$N$6&gt;0,MOD($A204-'Recurring Schedule'!$F$6,'Recurring Schedule'!$N$6)=0,IF('Recurring Schedule'!$O$6&gt;0,AND(DAY($A204)=MIN(DAY('Recurring Schedule'!$F$6),DAY(EOMONTH($A204,0))),MOD((YEAR($A204)-YEAR('Recurring Schedule'!$F$6))*12+MONTH($A204)-MONTH('Recurring Schedule'!$F$6),'Recurring Schedule'!$O$6)=0),IF('Recurring Schedule'!$E$6="Weekdays",WEEKDAY($A204,2)&lt;=5,$A204='Recurring Schedule'!$F$6))),1,""))))</f>
        <v/>
      </c>
      <c r="C204">
        <f>IF('Recurring Schedule'!$C$7="","",IF('Recurring Schedule'!$F$7="","",IF(OR($A204&lt;'Recurring Schedule'!$F$7,$A204&gt;'Recurring Schedule'!$P$7),"",IF(IF('Recurring Schedule'!$N$7&gt;0,MOD($A204-'Recurring Schedule'!$F$7,'Recurring Schedule'!$N$7)=0,IF('Recurring Schedule'!$O$7&gt;0,AND(DAY($A204)=MIN(DAY('Recurring Schedule'!$F$7),DAY(EOMONTH($A204,0))),MOD((YEAR($A204)-YEAR('Recurring Schedule'!$F$7))*12+MONTH($A204)-MONTH('Recurring Schedule'!$F$7),'Recurring Schedule'!$O$7)=0),IF('Recurring Schedule'!$E$7="Weekdays",WEEKDAY($A204,2)&lt;=5,$A204='Recurring Schedule'!$F$7))),2,""))))</f>
        <v/>
      </c>
      <c r="D204">
        <f>IF('Recurring Schedule'!$C$8="","",IF('Recurring Schedule'!$F$8="","",IF(OR($A204&lt;'Recurring Schedule'!$F$8,$A204&gt;'Recurring Schedule'!$P$8),"",IF(IF('Recurring Schedule'!$N$8&gt;0,MOD($A204-'Recurring Schedule'!$F$8,'Recurring Schedule'!$N$8)=0,IF('Recurring Schedule'!$O$8&gt;0,AND(DAY($A204)=MIN(DAY('Recurring Schedule'!$F$8),DAY(EOMONTH($A204,0))),MOD((YEAR($A204)-YEAR('Recurring Schedule'!$F$8))*12+MONTH($A204)-MONTH('Recurring Schedule'!$F$8),'Recurring Schedule'!$O$8)=0),IF('Recurring Schedule'!$E$8="Weekdays",WEEKDAY($A204,2)&lt;=5,$A204='Recurring Schedule'!$F$8))),3,""))))</f>
        <v/>
      </c>
      <c r="E204">
        <f>IF('Recurring Schedule'!$C$9="","",IF('Recurring Schedule'!$F$9="","",IF(OR($A204&lt;'Recurring Schedule'!$F$9,$A204&gt;'Recurring Schedule'!$P$9),"",IF(IF('Recurring Schedule'!$N$9&gt;0,MOD($A204-'Recurring Schedule'!$F$9,'Recurring Schedule'!$N$9)=0,IF('Recurring Schedule'!$O$9&gt;0,AND(DAY($A204)=MIN(DAY('Recurring Schedule'!$F$9),DAY(EOMONTH($A204,0))),MOD((YEAR($A204)-YEAR('Recurring Schedule'!$F$9))*12+MONTH($A204)-MONTH('Recurring Schedule'!$F$9),'Recurring Schedule'!$O$9)=0),IF('Recurring Schedule'!$E$9="Weekdays",WEEKDAY($A204,2)&lt;=5,$A204='Recurring Schedule'!$F$9))),4,""))))</f>
        <v/>
      </c>
      <c r="F204">
        <f>IF('Recurring Schedule'!$C$10="","",IF('Recurring Schedule'!$F$10="","",IF(OR($A204&lt;'Recurring Schedule'!$F$10,$A204&gt;'Recurring Schedule'!$P$10),"",IF(IF('Recurring Schedule'!$N$10&gt;0,MOD($A204-'Recurring Schedule'!$F$10,'Recurring Schedule'!$N$10)=0,IF('Recurring Schedule'!$O$10&gt;0,AND(DAY($A204)=MIN(DAY('Recurring Schedule'!$F$10),DAY(EOMONTH($A204,0))),MOD((YEAR($A204)-YEAR('Recurring Schedule'!$F$10))*12+MONTH($A204)-MONTH('Recurring Schedule'!$F$10),'Recurring Schedule'!$O$10)=0),IF('Recurring Schedule'!$E$10="Weekdays",WEEKDAY($A204,2)&lt;=5,$A204='Recurring Schedule'!$F$10))),5,""))))</f>
        <v/>
      </c>
      <c r="G204">
        <f>IF('Recurring Schedule'!$C$11="","",IF('Recurring Schedule'!$F$11="","",IF(OR($A204&lt;'Recurring Schedule'!$F$11,$A204&gt;'Recurring Schedule'!$P$11),"",IF(IF('Recurring Schedule'!$N$11&gt;0,MOD($A204-'Recurring Schedule'!$F$11,'Recurring Schedule'!$N$11)=0,IF('Recurring Schedule'!$O$11&gt;0,AND(DAY($A204)=MIN(DAY('Recurring Schedule'!$F$11),DAY(EOMONTH($A204,0))),MOD((YEAR($A204)-YEAR('Recurring Schedule'!$F$11))*12+MONTH($A204)-MONTH('Recurring Schedule'!$F$11),'Recurring Schedule'!$O$11)=0),IF('Recurring Schedule'!$E$11="Weekdays",WEEKDAY($A204,2)&lt;=5,$A204='Recurring Schedule'!$F$11))),6,""))))</f>
        <v/>
      </c>
      <c r="H204">
        <f>IF('Recurring Schedule'!$C$12="","",IF('Recurring Schedule'!$F$12="","",IF(OR($A204&lt;'Recurring Schedule'!$F$12,$A204&gt;'Recurring Schedule'!$P$12),"",IF(IF('Recurring Schedule'!$N$12&gt;0,MOD($A204-'Recurring Schedule'!$F$12,'Recurring Schedule'!$N$12)=0,IF('Recurring Schedule'!$O$12&gt;0,AND(DAY($A204)=MIN(DAY('Recurring Schedule'!$F$12),DAY(EOMONTH($A204,0))),MOD((YEAR($A204)-YEAR('Recurring Schedule'!$F$12))*12+MONTH($A204)-MONTH('Recurring Schedule'!$F$12),'Recurring Schedule'!$O$12)=0),IF('Recurring Schedule'!$E$12="Weekdays",WEEKDAY($A204,2)&lt;=5,$A204='Recurring Schedule'!$F$12))),7,""))))</f>
        <v/>
      </c>
      <c r="I204">
        <f>IF('Recurring Schedule'!$C$13="","",IF('Recurring Schedule'!$F$13="","",IF(OR($A204&lt;'Recurring Schedule'!$F$13,$A204&gt;'Recurring Schedule'!$P$13),"",IF(IF('Recurring Schedule'!$N$13&gt;0,MOD($A204-'Recurring Schedule'!$F$13,'Recurring Schedule'!$N$13)=0,IF('Recurring Schedule'!$O$13&gt;0,AND(DAY($A204)=MIN(DAY('Recurring Schedule'!$F$13),DAY(EOMONTH($A204,0))),MOD((YEAR($A204)-YEAR('Recurring Schedule'!$F$13))*12+MONTH($A204)-MONTH('Recurring Schedule'!$F$13),'Recurring Schedule'!$O$13)=0),IF('Recurring Schedule'!$E$13="Weekdays",WEEKDAY($A204,2)&lt;=5,$A204='Recurring Schedule'!$F$13))),8,""))))</f>
        <v/>
      </c>
      <c r="J204">
        <f>IF('Recurring Schedule'!$C$14="","",IF('Recurring Schedule'!$F$14="","",IF(OR($A204&lt;'Recurring Schedule'!$F$14,$A204&gt;'Recurring Schedule'!$P$14),"",IF(IF('Recurring Schedule'!$N$14&gt;0,MOD($A204-'Recurring Schedule'!$F$14,'Recurring Schedule'!$N$14)=0,IF('Recurring Schedule'!$O$14&gt;0,AND(DAY($A204)=MIN(DAY('Recurring Schedule'!$F$14),DAY(EOMONTH($A204,0))),MOD((YEAR($A204)-YEAR('Recurring Schedule'!$F$14))*12+MONTH($A204)-MONTH('Recurring Schedule'!$F$14),'Recurring Schedule'!$O$14)=0),IF('Recurring Schedule'!$E$14="Weekdays",WEEKDAY($A204,2)&lt;=5,$A204='Recurring Schedule'!$F$14))),9,""))))</f>
        <v/>
      </c>
      <c r="K204">
        <f>IF('Recurring Schedule'!$C$15="","",IF('Recurring Schedule'!$F$15="","",IF(OR($A204&lt;'Recurring Schedule'!$F$15,$A204&gt;'Recurring Schedule'!$P$15),"",IF(IF('Recurring Schedule'!$N$15&gt;0,MOD($A204-'Recurring Schedule'!$F$15,'Recurring Schedule'!$N$15)=0,IF('Recurring Schedule'!$O$15&gt;0,AND(DAY($A204)=MIN(DAY('Recurring Schedule'!$F$15),DAY(EOMONTH($A204,0))),MOD((YEAR($A204)-YEAR('Recurring Schedule'!$F$15))*12+MONTH($A204)-MONTH('Recurring Schedule'!$F$15),'Recurring Schedule'!$O$15)=0),IF('Recurring Schedule'!$E$15="Weekdays",WEEKDAY($A204,2)&lt;=5,$A204='Recurring Schedule'!$F$15))),10,""))))</f>
        <v/>
      </c>
      <c r="L204">
        <f>IF('Recurring Schedule'!$C$16="","",IF('Recurring Schedule'!$F$16="","",IF(OR($A204&lt;'Recurring Schedule'!$F$16,$A204&gt;'Recurring Schedule'!$P$16),"",IF(IF('Recurring Schedule'!$N$16&gt;0,MOD($A204-'Recurring Schedule'!$F$16,'Recurring Schedule'!$N$16)=0,IF('Recurring Schedule'!$O$16&gt;0,AND(DAY($A204)=MIN(DAY('Recurring Schedule'!$F$16),DAY(EOMONTH($A204,0))),MOD((YEAR($A204)-YEAR('Recurring Schedule'!$F$16))*12+MONTH($A204)-MONTH('Recurring Schedule'!$F$16),'Recurring Schedule'!$O$16)=0),IF('Recurring Schedule'!$E$16="Weekdays",WEEKDAY($A204,2)&lt;=5,$A204='Recurring Schedule'!$F$16))),11,""))))</f>
        <v/>
      </c>
      <c r="M204">
        <f>IF('Recurring Schedule'!$C$17="","",IF('Recurring Schedule'!$F$17="","",IF(OR($A204&lt;'Recurring Schedule'!$F$17,$A204&gt;'Recurring Schedule'!$P$17),"",IF(IF('Recurring Schedule'!$N$17&gt;0,MOD($A204-'Recurring Schedule'!$F$17,'Recurring Schedule'!$N$17)=0,IF('Recurring Schedule'!$O$17&gt;0,AND(DAY($A204)=MIN(DAY('Recurring Schedule'!$F$17),DAY(EOMONTH($A204,0))),MOD((YEAR($A204)-YEAR('Recurring Schedule'!$F$17))*12+MONTH($A204)-MONTH('Recurring Schedule'!$F$17),'Recurring Schedule'!$O$17)=0),IF('Recurring Schedule'!$E$17="Weekdays",WEEKDAY($A204,2)&lt;=5,$A204='Recurring Schedule'!$F$17))),12,""))))</f>
        <v/>
      </c>
      <c r="N204">
        <f>IF('Recurring Schedule'!$C$18="","",IF('Recurring Schedule'!$F$18="","",IF(OR($A204&lt;'Recurring Schedule'!$F$18,$A204&gt;'Recurring Schedule'!$P$18),"",IF(IF('Recurring Schedule'!$N$18&gt;0,MOD($A204-'Recurring Schedule'!$F$18,'Recurring Schedule'!$N$18)=0,IF('Recurring Schedule'!$O$18&gt;0,AND(DAY($A204)=MIN(DAY('Recurring Schedule'!$F$18),DAY(EOMONTH($A204,0))),MOD((YEAR($A204)-YEAR('Recurring Schedule'!$F$18))*12+MONTH($A204)-MONTH('Recurring Schedule'!$F$18),'Recurring Schedule'!$O$18)=0),IF('Recurring Schedule'!$E$18="Weekdays",WEEKDAY($A204,2)&lt;=5,$A204='Recurring Schedule'!$F$18))),13,""))))</f>
        <v/>
      </c>
      <c r="O204">
        <f>IF('Recurring Schedule'!$C$19="","",IF('Recurring Schedule'!$F$19="","",IF(OR($A204&lt;'Recurring Schedule'!$F$19,$A204&gt;'Recurring Schedule'!$P$19),"",IF(IF('Recurring Schedule'!$N$19&gt;0,MOD($A204-'Recurring Schedule'!$F$19,'Recurring Schedule'!$N$19)=0,IF('Recurring Schedule'!$O$19&gt;0,AND(DAY($A204)=MIN(DAY('Recurring Schedule'!$F$19),DAY(EOMONTH($A204,0))),MOD((YEAR($A204)-YEAR('Recurring Schedule'!$F$19))*12+MONTH($A204)-MONTH('Recurring Schedule'!$F$19),'Recurring Schedule'!$O$19)=0),IF('Recurring Schedule'!$E$19="Weekdays",WEEKDAY($A204,2)&lt;=5,$A204='Recurring Schedule'!$F$19))),14,""))))</f>
        <v/>
      </c>
      <c r="P204">
        <f>IF('Recurring Schedule'!$C$20="","",IF('Recurring Schedule'!$F$20="","",IF(OR($A204&lt;'Recurring Schedule'!$F$20,$A204&gt;'Recurring Schedule'!$P$20),"",IF(IF('Recurring Schedule'!$N$20&gt;0,MOD($A204-'Recurring Schedule'!$F$20,'Recurring Schedule'!$N$20)=0,IF('Recurring Schedule'!$O$20&gt;0,AND(DAY($A204)=MIN(DAY('Recurring Schedule'!$F$20),DAY(EOMONTH($A204,0))),MOD((YEAR($A204)-YEAR('Recurring Schedule'!$F$20))*12+MONTH($A204)-MONTH('Recurring Schedule'!$F$20),'Recurring Schedule'!$O$20)=0),IF('Recurring Schedule'!$E$20="Weekdays",WEEKDAY($A204,2)&lt;=5,$A204='Recurring Schedule'!$F$20))),15,""))))</f>
        <v/>
      </c>
      <c r="Q204">
        <f>IF('Recurring Schedule'!$C$21="","",IF('Recurring Schedule'!$F$21="","",IF(OR($A204&lt;'Recurring Schedule'!$F$21,$A204&gt;'Recurring Schedule'!$P$21),"",IF(IF('Recurring Schedule'!$N$21&gt;0,MOD($A204-'Recurring Schedule'!$F$21,'Recurring Schedule'!$N$21)=0,IF('Recurring Schedule'!$O$21&gt;0,AND(DAY($A204)=MIN(DAY('Recurring Schedule'!$F$21),DAY(EOMONTH($A204,0))),MOD((YEAR($A204)-YEAR('Recurring Schedule'!$F$21))*12+MONTH($A204)-MONTH('Recurring Schedule'!$F$21),'Recurring Schedule'!$O$21)=0),IF('Recurring Schedule'!$E$21="Weekdays",WEEKDAY($A204,2)&lt;=5,$A204='Recurring Schedule'!$F$21))),16,""))))</f>
        <v/>
      </c>
      <c r="R204">
        <f>IF('Recurring Schedule'!$C$22="","",IF('Recurring Schedule'!$F$22="","",IF(OR($A204&lt;'Recurring Schedule'!$F$22,$A204&gt;'Recurring Schedule'!$P$22),"",IF(IF('Recurring Schedule'!$N$22&gt;0,MOD($A204-'Recurring Schedule'!$F$22,'Recurring Schedule'!$N$22)=0,IF('Recurring Schedule'!$O$22&gt;0,AND(DAY($A204)=MIN(DAY('Recurring Schedule'!$F$22),DAY(EOMONTH($A204,0))),MOD((YEAR($A204)-YEAR('Recurring Schedule'!$F$22))*12+MONTH($A204)-MONTH('Recurring Schedule'!$F$22),'Recurring Schedule'!$O$22)=0),IF('Recurring Schedule'!$E$22="Weekdays",WEEKDAY($A204,2)&lt;=5,$A204='Recurring Schedule'!$F$22))),17,""))))</f>
        <v/>
      </c>
      <c r="S204">
        <f>IF('Recurring Schedule'!$C$23="","",IF('Recurring Schedule'!$F$23="","",IF(OR($A204&lt;'Recurring Schedule'!$F$23,$A204&gt;'Recurring Schedule'!$P$23),"",IF(IF('Recurring Schedule'!$N$23&gt;0,MOD($A204-'Recurring Schedule'!$F$23,'Recurring Schedule'!$N$23)=0,IF('Recurring Schedule'!$O$23&gt;0,AND(DAY($A204)=MIN(DAY('Recurring Schedule'!$F$23),DAY(EOMONTH($A204,0))),MOD((YEAR($A204)-YEAR('Recurring Schedule'!$F$23))*12+MONTH($A204)-MONTH('Recurring Schedule'!$F$23),'Recurring Schedule'!$O$23)=0),IF('Recurring Schedule'!$E$23="Weekdays",WEEKDAY($A204,2)&lt;=5,$A204='Recurring Schedule'!$F$23))),18,""))))</f>
        <v/>
      </c>
      <c r="T204">
        <f>IF('Recurring Schedule'!$C$24="","",IF('Recurring Schedule'!$F$24="","",IF(OR($A204&lt;'Recurring Schedule'!$F$24,$A204&gt;'Recurring Schedule'!$P$24),"",IF(IF('Recurring Schedule'!$N$24&gt;0,MOD($A204-'Recurring Schedule'!$F$24,'Recurring Schedule'!$N$24)=0,IF('Recurring Schedule'!$O$24&gt;0,AND(DAY($A204)=MIN(DAY('Recurring Schedule'!$F$24),DAY(EOMONTH($A204,0))),MOD((YEAR($A204)-YEAR('Recurring Schedule'!$F$24))*12+MONTH($A204)-MONTH('Recurring Schedule'!$F$24),'Recurring Schedule'!$O$24)=0),IF('Recurring Schedule'!$E$24="Weekdays",WEEKDAY($A204,2)&lt;=5,$A204='Recurring Schedule'!$F$24))),19,""))))</f>
        <v/>
      </c>
      <c r="U204">
        <f>IF('Recurring Schedule'!$C$25="","",IF('Recurring Schedule'!$F$25="","",IF(OR($A204&lt;'Recurring Schedule'!$F$25,$A204&gt;'Recurring Schedule'!$P$25),"",IF(IF('Recurring Schedule'!$N$25&gt;0,MOD($A204-'Recurring Schedule'!$F$25,'Recurring Schedule'!$N$25)=0,IF('Recurring Schedule'!$O$25&gt;0,AND(DAY($A204)=MIN(DAY('Recurring Schedule'!$F$25),DAY(EOMONTH($A204,0))),MOD((YEAR($A204)-YEAR('Recurring Schedule'!$F$25))*12+MONTH($A204)-MONTH('Recurring Schedule'!$F$25),'Recurring Schedule'!$O$25)=0),IF('Recurring Schedule'!$E$25="Weekdays",WEEKDAY($A204,2)&lt;=5,$A204='Recurring Schedule'!$F$25))),20,""))))</f>
        <v/>
      </c>
      <c r="V204">
        <f>IF('Recurring Schedule'!$C$26="","",IF('Recurring Schedule'!$F$26="","",IF(OR($A204&lt;'Recurring Schedule'!$F$26,$A204&gt;'Recurring Schedule'!$P$26),"",IF(IF('Recurring Schedule'!$N$26&gt;0,MOD($A204-'Recurring Schedule'!$F$26,'Recurring Schedule'!$N$26)=0,IF('Recurring Schedule'!$O$26&gt;0,AND(DAY($A204)=MIN(DAY('Recurring Schedule'!$F$26),DAY(EOMONTH($A204,0))),MOD((YEAR($A204)-YEAR('Recurring Schedule'!$F$26))*12+MONTH($A204)-MONTH('Recurring Schedule'!$F$26),'Recurring Schedule'!$O$26)=0),IF('Recurring Schedule'!$E$26="Weekdays",WEEKDAY($A204,2)&lt;=5,$A204='Recurring Schedule'!$F$26))),21,""))))</f>
        <v/>
      </c>
      <c r="W204">
        <f>IF('Recurring Schedule'!$C$27="","",IF('Recurring Schedule'!$F$27="","",IF(OR($A204&lt;'Recurring Schedule'!$F$27,$A204&gt;'Recurring Schedule'!$P$27),"",IF(IF('Recurring Schedule'!$N$27&gt;0,MOD($A204-'Recurring Schedule'!$F$27,'Recurring Schedule'!$N$27)=0,IF('Recurring Schedule'!$O$27&gt;0,AND(DAY($A204)=MIN(DAY('Recurring Schedule'!$F$27),DAY(EOMONTH($A204,0))),MOD((YEAR($A204)-YEAR('Recurring Schedule'!$F$27))*12+MONTH($A204)-MONTH('Recurring Schedule'!$F$27),'Recurring Schedule'!$O$27)=0),IF('Recurring Schedule'!$E$27="Weekdays",WEEKDAY($A204,2)&lt;=5,$A204='Recurring Schedule'!$F$27))),22,""))))</f>
        <v/>
      </c>
      <c r="X204">
        <f>IF('Recurring Schedule'!$C$28="","",IF('Recurring Schedule'!$F$28="","",IF(OR($A204&lt;'Recurring Schedule'!$F$28,$A204&gt;'Recurring Schedule'!$P$28),"",IF(IF('Recurring Schedule'!$N$28&gt;0,MOD($A204-'Recurring Schedule'!$F$28,'Recurring Schedule'!$N$28)=0,IF('Recurring Schedule'!$O$28&gt;0,AND(DAY($A204)=MIN(DAY('Recurring Schedule'!$F$28),DAY(EOMONTH($A204,0))),MOD((YEAR($A204)-YEAR('Recurring Schedule'!$F$28))*12+MONTH($A204)-MONTH('Recurring Schedule'!$F$28),'Recurring Schedule'!$O$28)=0),IF('Recurring Schedule'!$E$28="Weekdays",WEEKDAY($A204,2)&lt;=5,$A204='Recurring Schedule'!$F$28))),23,""))))</f>
        <v/>
      </c>
      <c r="Y204">
        <f>IF('Recurring Schedule'!$C$29="","",IF('Recurring Schedule'!$F$29="","",IF(OR($A204&lt;'Recurring Schedule'!$F$29,$A204&gt;'Recurring Schedule'!$P$29),"",IF(IF('Recurring Schedule'!$N$29&gt;0,MOD($A204-'Recurring Schedule'!$F$29,'Recurring Schedule'!$N$29)=0,IF('Recurring Schedule'!$O$29&gt;0,AND(DAY($A204)=MIN(DAY('Recurring Schedule'!$F$29),DAY(EOMONTH($A204,0))),MOD((YEAR($A204)-YEAR('Recurring Schedule'!$F$29))*12+MONTH($A204)-MONTH('Recurring Schedule'!$F$29),'Recurring Schedule'!$O$29)=0),IF('Recurring Schedule'!$E$29="Weekdays",WEEKDAY($A204,2)&lt;=5,$A204='Recurring Schedule'!$F$29))),24,""))))</f>
        <v/>
      </c>
      <c r="Z204">
        <f>IF('Recurring Schedule'!$C$30="","",IF('Recurring Schedule'!$F$30="","",IF(OR($A204&lt;'Recurring Schedule'!$F$30,$A204&gt;'Recurring Schedule'!$P$30),"",IF(IF('Recurring Schedule'!$N$30&gt;0,MOD($A204-'Recurring Schedule'!$F$30,'Recurring Schedule'!$N$30)=0,IF('Recurring Schedule'!$O$30&gt;0,AND(DAY($A204)=MIN(DAY('Recurring Schedule'!$F$30),DAY(EOMONTH($A204,0))),MOD((YEAR($A204)-YEAR('Recurring Schedule'!$F$30))*12+MONTH($A204)-MONTH('Recurring Schedule'!$F$30),'Recurring Schedule'!$O$30)=0),IF('Recurring Schedule'!$E$30="Weekdays",WEEKDAY($A204,2)&lt;=5,$A204='Recurring Schedule'!$F$30))),25,""))))</f>
        <v/>
      </c>
      <c r="AA204">
        <f>IF('Recurring Schedule'!$C$31="","",IF('Recurring Schedule'!$F$31="","",IF(OR($A204&lt;'Recurring Schedule'!$F$31,$A204&gt;'Recurring Schedule'!$P$31),"",IF(IF('Recurring Schedule'!$N$31&gt;0,MOD($A204-'Recurring Schedule'!$F$31,'Recurring Schedule'!$N$31)=0,IF('Recurring Schedule'!$O$31&gt;0,AND(DAY($A204)=MIN(DAY('Recurring Schedule'!$F$31),DAY(EOMONTH($A204,0))),MOD((YEAR($A204)-YEAR('Recurring Schedule'!$F$31))*12+MONTH($A204)-MONTH('Recurring Schedule'!$F$31),'Recurring Schedule'!$O$31)=0),IF('Recurring Schedule'!$E$31="Weekdays",WEEKDAY($A204,2)&lt;=5,$A204='Recurring Schedule'!$F$31))),26,""))))</f>
        <v/>
      </c>
      <c r="AB204">
        <f>IF('Recurring Schedule'!$C$32="","",IF('Recurring Schedule'!$F$32="","",IF(OR($A204&lt;'Recurring Schedule'!$F$32,$A204&gt;'Recurring Schedule'!$P$32),"",IF(IF('Recurring Schedule'!$N$32&gt;0,MOD($A204-'Recurring Schedule'!$F$32,'Recurring Schedule'!$N$32)=0,IF('Recurring Schedule'!$O$32&gt;0,AND(DAY($A204)=MIN(DAY('Recurring Schedule'!$F$32),DAY(EOMONTH($A204,0))),MOD((YEAR($A204)-YEAR('Recurring Schedule'!$F$32))*12+MONTH($A204)-MONTH('Recurring Schedule'!$F$32),'Recurring Schedule'!$O$32)=0),IF('Recurring Schedule'!$E$32="Weekdays",WEEKDAY($A204,2)&lt;=5,$A204='Recurring Schedule'!$F$32))),27,""))))</f>
        <v/>
      </c>
      <c r="AC204">
        <f>IF('Recurring Schedule'!$C$33="","",IF('Recurring Schedule'!$F$33="","",IF(OR($A204&lt;'Recurring Schedule'!$F$33,$A204&gt;'Recurring Schedule'!$P$33),"",IF(IF('Recurring Schedule'!$N$33&gt;0,MOD($A204-'Recurring Schedule'!$F$33,'Recurring Schedule'!$N$33)=0,IF('Recurring Schedule'!$O$33&gt;0,AND(DAY($A204)=MIN(DAY('Recurring Schedule'!$F$33),DAY(EOMONTH($A204,0))),MOD((YEAR($A204)-YEAR('Recurring Schedule'!$F$33))*12+MONTH($A204)-MONTH('Recurring Schedule'!$F$33),'Recurring Schedule'!$O$33)=0),IF('Recurring Schedule'!$E$33="Weekdays",WEEKDAY($A204,2)&lt;=5,$A204='Recurring Schedule'!$F$33))),28,""))))</f>
        <v/>
      </c>
      <c r="AD204">
        <f>IF('Recurring Schedule'!$C$34="","",IF('Recurring Schedule'!$F$34="","",IF(OR($A204&lt;'Recurring Schedule'!$F$34,$A204&gt;'Recurring Schedule'!$P$34),"",IF(IF('Recurring Schedule'!$N$34&gt;0,MOD($A204-'Recurring Schedule'!$F$34,'Recurring Schedule'!$N$34)=0,IF('Recurring Schedule'!$O$34&gt;0,AND(DAY($A204)=MIN(DAY('Recurring Schedule'!$F$34),DAY(EOMONTH($A204,0))),MOD((YEAR($A204)-YEAR('Recurring Schedule'!$F$34))*12+MONTH($A204)-MONTH('Recurring Schedule'!$F$34),'Recurring Schedule'!$O$34)=0),IF('Recurring Schedule'!$E$34="Weekdays",WEEKDAY($A204,2)&lt;=5,$A204='Recurring Schedule'!$F$34))),29,""))))</f>
        <v/>
      </c>
      <c r="AE204">
        <f>IF('Recurring Schedule'!$C$35="","",IF('Recurring Schedule'!$F$35="","",IF(OR($A204&lt;'Recurring Schedule'!$F$35,$A204&gt;'Recurring Schedule'!$P$35),"",IF(IF('Recurring Schedule'!$N$35&gt;0,MOD($A204-'Recurring Schedule'!$F$35,'Recurring Schedule'!$N$35)=0,IF('Recurring Schedule'!$O$35&gt;0,AND(DAY($A204)=MIN(DAY('Recurring Schedule'!$F$35),DAY(EOMONTH($A204,0))),MOD((YEAR($A204)-YEAR('Recurring Schedule'!$F$35))*12+MONTH($A204)-MONTH('Recurring Schedule'!$F$35),'Recurring Schedule'!$O$35)=0),IF('Recurring Schedule'!$E$35="Weekdays",WEEKDAY($A204,2)&lt;=5,$A204='Recurring Schedule'!$F$35))),30,""))))</f>
        <v/>
      </c>
      <c r="AF204">
        <f>IF('Recurring Schedule'!$C$36="","",IF('Recurring Schedule'!$F$36="","",IF(OR($A204&lt;'Recurring Schedule'!$F$36,$A204&gt;'Recurring Schedule'!$P$36),"",IF(IF('Recurring Schedule'!$N$36&gt;0,MOD($A204-'Recurring Schedule'!$F$36,'Recurring Schedule'!$N$36)=0,IF('Recurring Schedule'!$O$36&gt;0,AND(DAY($A204)=MIN(DAY('Recurring Schedule'!$F$36),DAY(EOMONTH($A204,0))),MOD((YEAR($A204)-YEAR('Recurring Schedule'!$F$36))*12+MONTH($A204)-MONTH('Recurring Schedule'!$F$36),'Recurring Schedule'!$O$36)=0),IF('Recurring Schedule'!$E$36="Weekdays",WEEKDAY($A204,2)&lt;=5,$A204='Recurring Schedule'!$F$36))),31,""))))</f>
        <v/>
      </c>
      <c r="AG204">
        <f>IF('Recurring Schedule'!$C$37="","",IF('Recurring Schedule'!$F$37="","",IF(OR($A204&lt;'Recurring Schedule'!$F$37,$A204&gt;'Recurring Schedule'!$P$37),"",IF(IF('Recurring Schedule'!$N$37&gt;0,MOD($A204-'Recurring Schedule'!$F$37,'Recurring Schedule'!$N$37)=0,IF('Recurring Schedule'!$O$37&gt;0,AND(DAY($A204)=MIN(DAY('Recurring Schedule'!$F$37),DAY(EOMONTH($A204,0))),MOD((YEAR($A204)-YEAR('Recurring Schedule'!$F$37))*12+MONTH($A204)-MONTH('Recurring Schedule'!$F$37),'Recurring Schedule'!$O$37)=0),IF('Recurring Schedule'!$E$37="Weekdays",WEEKDAY($A204,2)&lt;=5,$A204='Recurring Schedule'!$F$37))),32,""))))</f>
        <v/>
      </c>
      <c r="AH204">
        <f>IF('Recurring Schedule'!$C$38="","",IF('Recurring Schedule'!$F$38="","",IF(OR($A204&lt;'Recurring Schedule'!$F$38,$A204&gt;'Recurring Schedule'!$P$38),"",IF(IF('Recurring Schedule'!$N$38&gt;0,MOD($A204-'Recurring Schedule'!$F$38,'Recurring Schedule'!$N$38)=0,IF('Recurring Schedule'!$O$38&gt;0,AND(DAY($A204)=MIN(DAY('Recurring Schedule'!$F$38),DAY(EOMONTH($A204,0))),MOD((YEAR($A204)-YEAR('Recurring Schedule'!$F$38))*12+MONTH($A204)-MONTH('Recurring Schedule'!$F$38),'Recurring Schedule'!$O$38)=0),IF('Recurring Schedule'!$E$38="Weekdays",WEEKDAY($A204,2)&lt;=5,$A204='Recurring Schedule'!$F$38))),33,""))))</f>
        <v/>
      </c>
      <c r="AI204">
        <f>IF('Recurring Schedule'!$C$39="","",IF('Recurring Schedule'!$F$39="","",IF(OR($A204&lt;'Recurring Schedule'!$F$39,$A204&gt;'Recurring Schedule'!$P$39),"",IF(IF('Recurring Schedule'!$N$39&gt;0,MOD($A204-'Recurring Schedule'!$F$39,'Recurring Schedule'!$N$39)=0,IF('Recurring Schedule'!$O$39&gt;0,AND(DAY($A204)=MIN(DAY('Recurring Schedule'!$F$39),DAY(EOMONTH($A204,0))),MOD((YEAR($A204)-YEAR('Recurring Schedule'!$F$39))*12+MONTH($A204)-MONTH('Recurring Schedule'!$F$39),'Recurring Schedule'!$O$39)=0),IF('Recurring Schedule'!$E$39="Weekdays",WEEKDAY($A204,2)&lt;=5,$A204='Recurring Schedule'!$F$39))),34,""))))</f>
        <v/>
      </c>
      <c r="AJ204">
        <f>IF('Recurring Schedule'!$C$40="","",IF('Recurring Schedule'!$F$40="","",IF(OR($A204&lt;'Recurring Schedule'!$F$40,$A204&gt;'Recurring Schedule'!$P$40),"",IF(IF('Recurring Schedule'!$N$40&gt;0,MOD($A204-'Recurring Schedule'!$F$40,'Recurring Schedule'!$N$40)=0,IF('Recurring Schedule'!$O$40&gt;0,AND(DAY($A204)=MIN(DAY('Recurring Schedule'!$F$40),DAY(EOMONTH($A204,0))),MOD((YEAR($A204)-YEAR('Recurring Schedule'!$F$40))*12+MONTH($A204)-MONTH('Recurring Schedule'!$F$40),'Recurring Schedule'!$O$40)=0),IF('Recurring Schedule'!$E$40="Weekdays",WEEKDAY($A204,2)&lt;=5,$A204='Recurring Schedule'!$F$40))),35,""))))</f>
        <v/>
      </c>
      <c r="AK204">
        <f>IF('Recurring Schedule'!$C$41="","",IF('Recurring Schedule'!$F$41="","",IF(OR($A204&lt;'Recurring Schedule'!$F$41,$A204&gt;'Recurring Schedule'!$P$41),"",IF(IF('Recurring Schedule'!$N$41&gt;0,MOD($A204-'Recurring Schedule'!$F$41,'Recurring Schedule'!$N$41)=0,IF('Recurring Schedule'!$O$41&gt;0,AND(DAY($A204)=MIN(DAY('Recurring Schedule'!$F$41),DAY(EOMONTH($A204,0))),MOD((YEAR($A204)-YEAR('Recurring Schedule'!$F$41))*12+MONTH($A204)-MONTH('Recurring Schedule'!$F$41),'Recurring Schedule'!$O$41)=0),IF('Recurring Schedule'!$E$41="Weekdays",WEEKDAY($A204,2)&lt;=5,$A204='Recurring Schedule'!$F$41))),36,""))))</f>
        <v/>
      </c>
      <c r="AL204">
        <f>IF('Recurring Schedule'!$C$42="","",IF('Recurring Schedule'!$F$42="","",IF(OR($A204&lt;'Recurring Schedule'!$F$42,$A204&gt;'Recurring Schedule'!$P$42),"",IF(IF('Recurring Schedule'!$N$42&gt;0,MOD($A204-'Recurring Schedule'!$F$42,'Recurring Schedule'!$N$42)=0,IF('Recurring Schedule'!$O$42&gt;0,AND(DAY($A204)=MIN(DAY('Recurring Schedule'!$F$42),DAY(EOMONTH($A204,0))),MOD((YEAR($A204)-YEAR('Recurring Schedule'!$F$42))*12+MONTH($A204)-MONTH('Recurring Schedule'!$F$42),'Recurring Schedule'!$O$42)=0),IF('Recurring Schedule'!$E$42="Weekdays",WEEKDAY($A204,2)&lt;=5,$A204='Recurring Schedule'!$F$42))),37,""))))</f>
        <v/>
      </c>
      <c r="AM204">
        <f>IF('Recurring Schedule'!$C$43="","",IF('Recurring Schedule'!$F$43="","",IF(OR($A204&lt;'Recurring Schedule'!$F$43,$A204&gt;'Recurring Schedule'!$P$43),"",IF(IF('Recurring Schedule'!$N$43&gt;0,MOD($A204-'Recurring Schedule'!$F$43,'Recurring Schedule'!$N$43)=0,IF('Recurring Schedule'!$O$43&gt;0,AND(DAY($A204)=MIN(DAY('Recurring Schedule'!$F$43),DAY(EOMONTH($A204,0))),MOD((YEAR($A204)-YEAR('Recurring Schedule'!$F$43))*12+MONTH($A204)-MONTH('Recurring Schedule'!$F$43),'Recurring Schedule'!$O$43)=0),IF('Recurring Schedule'!$E$43="Weekdays",WEEKDAY($A204,2)&lt;=5,$A204='Recurring Schedule'!$F$43))),38,""))))</f>
        <v/>
      </c>
      <c r="AN204">
        <f>IF('Recurring Schedule'!$C$44="","",IF('Recurring Schedule'!$F$44="","",IF(OR($A204&lt;'Recurring Schedule'!$F$44,$A204&gt;'Recurring Schedule'!$P$44),"",IF(IF('Recurring Schedule'!$N$44&gt;0,MOD($A204-'Recurring Schedule'!$F$44,'Recurring Schedule'!$N$44)=0,IF('Recurring Schedule'!$O$44&gt;0,AND(DAY($A204)=MIN(DAY('Recurring Schedule'!$F$44),DAY(EOMONTH($A204,0))),MOD((YEAR($A204)-YEAR('Recurring Schedule'!$F$44))*12+MONTH($A204)-MONTH('Recurring Schedule'!$F$44),'Recurring Schedule'!$O$44)=0),IF('Recurring Schedule'!$E$44="Weekdays",WEEKDAY($A204,2)&lt;=5,$A204='Recurring Schedule'!$F$44))),39,""))))</f>
        <v/>
      </c>
      <c r="AO204">
        <f>IF('Recurring Schedule'!$C$45="","",IF('Recurring Schedule'!$F$45="","",IF(OR($A204&lt;'Recurring Schedule'!$F$45,$A204&gt;'Recurring Schedule'!$P$45),"",IF(IF('Recurring Schedule'!$N$45&gt;0,MOD($A204-'Recurring Schedule'!$F$45,'Recurring Schedule'!$N$45)=0,IF('Recurring Schedule'!$O$45&gt;0,AND(DAY($A204)=MIN(DAY('Recurring Schedule'!$F$45),DAY(EOMONTH($A204,0))),MOD((YEAR($A204)-YEAR('Recurring Schedule'!$F$45))*12+MONTH($A204)-MONTH('Recurring Schedule'!$F$45),'Recurring Schedule'!$O$45)=0),IF('Recurring Schedule'!$E$45="Weekdays",WEEKDAY($A204,2)&lt;=5,$A204='Recurring Schedule'!$F$45))),40,""))))</f>
        <v/>
      </c>
      <c r="AP204">
        <f>COUNT(B204:AO204)</f>
        <v/>
      </c>
      <c r="AQ204">
        <f>AQ203+AP203</f>
        <v/>
      </c>
      <c r="AS204" t="inlineStr">
        <is>
          <t>R</t>
        </is>
      </c>
      <c r="AT204" t="n">
        <v>208</v>
      </c>
      <c r="AU204">
        <f>'Recurring Log'!C208&amp;""</f>
        <v/>
      </c>
      <c r="AV204">
        <f>'Recurring Log'!D208&amp;""</f>
        <v/>
      </c>
      <c r="AW204">
        <f>IF('Recurring Log'!E208="","",'Recurring Log'!E208)</f>
        <v/>
      </c>
      <c r="AX204">
        <f>IF('Recurring Log'!G208="","",'Recurring Log'!G208)</f>
        <v/>
      </c>
      <c r="AY204">
        <f>IF('Recurring Log'!H208="","",'Recurring Log'!H208)</f>
        <v/>
      </c>
      <c r="AZ204">
        <f>IF(AU204="","",IF('Recurring Log'!J208="","Not Started",'Recurring Log'!J208))</f>
        <v/>
      </c>
      <c r="BA204">
        <f>'Recurring Log'!L208&amp;""</f>
        <v/>
      </c>
      <c r="BB204">
        <f>'Recurring Log'!M208&amp;""</f>
        <v/>
      </c>
      <c r="BC204">
        <f>'Recurring Log'!N208&amp;""</f>
        <v/>
      </c>
      <c r="BD204">
        <f>'Recurring Log'!O208&amp;""</f>
        <v/>
      </c>
      <c r="BE204">
        <f>IF('Recurring Log'!K208="","",'Recurring Log'!K208)</f>
        <v/>
      </c>
      <c r="BF204">
        <f>IFERROR(MATCH(BA204,Setup!$L$6:$L$9,0),5)</f>
        <v/>
      </c>
      <c r="BG204">
        <f>IF(OR(AZ204="Done",AZ204="Cancelled"),1,0)</f>
        <v/>
      </c>
      <c r="BH204">
        <f>IF(AND(AU204&lt;&gt;"",ISNUMBER(AW204)),1,0)</f>
        <v/>
      </c>
      <c r="BI204">
        <f>IF(BH204=0,0,IF(AND(AW204&gt;='Tasks Filter'!$F$3,AW204&lt;='Tasks Filter'!$F$4,OR('Tasks Filter'!$I$3="",ISNUMBER(SEARCH('Tasks Filter'!$I$3,AU204))),OR('Tasks Filter'!$I$4="",BF204=IFERROR(MATCH('Tasks Filter'!$I$4,Setup!$L$6:$L$9,0),0)),OR('Tasks Filter'!$I$5="Both",AND('Tasks Filter'!$I$5="Yes",BB204="✓"),AND('Tasks Filter'!$I$5="No",BB204&lt;&gt;"✓")),OR('Tasks Filter'!$L$3="",AV204='Tasks Filter'!$L$3),OR('Tasks Filter'!$L$4="",AZ204='Tasks Filter'!$L$4),OR('Tasks Filter'!$L$5="",BC204='Tasks Filter'!$L$5),OR('Tasks Filter'!$O$3="",BD204='Tasks Filter'!$O$3),OR('Tasks Filter'!$O$4="Yes",BG204=0)),1,0))</f>
        <v/>
      </c>
      <c r="BJ204">
        <f>IF(BH204=0,"",IF('Tasks Filter'!$F$6="Descending",-1,1)*CHOOSE(MATCH('Tasks Filter'!$F$5,Lists!$G$2:$G$6,0),AW204,BF204,IFERROR(MATCH(AV204,Setup!$F$6:$F$15,0),99),IFERROR(MATCH(BC204,Setup!$H$6:$H$15,0),99),IFERROR(MATCH(AZ204,Setup!$J$6:$J$11,0),99))*1E+9+(AW204-40000)*10000+203)</f>
        <v/>
      </c>
      <c r="BK204">
        <f>IF(BI204=1,BJ204,"")</f>
        <v/>
      </c>
      <c r="BL204">
        <f>IF(AND(BH204=1,BG204=0,N(AW204)&lt;Setup!$D$7),(AW204-40000)*10000+203,"")</f>
        <v/>
      </c>
      <c r="BM204">
        <f>IF(AND(BH204=1,AZ204&lt;&gt;"Cancelled",N(AW204)&gt;=Dashboard!$AB$3,N(AW204)&lt;=Dashboard!$AB$3+6),(AW204-40000)*100000+BF204*10000+203,"")</f>
        <v/>
      </c>
      <c r="BN204">
        <f>IF(AND(BH204=1,AZ204&lt;&gt;"Cancelled"),BF204*10000+203,"")</f>
        <v/>
      </c>
    </row>
    <row r="205">
      <c r="A205">
        <f>Setup!$D$5+203</f>
        <v/>
      </c>
      <c r="B205">
        <f>IF('Recurring Schedule'!$C$6="","",IF('Recurring Schedule'!$F$6="","",IF(OR($A205&lt;'Recurring Schedule'!$F$6,$A205&gt;'Recurring Schedule'!$P$6),"",IF(IF('Recurring Schedule'!$N$6&gt;0,MOD($A205-'Recurring Schedule'!$F$6,'Recurring Schedule'!$N$6)=0,IF('Recurring Schedule'!$O$6&gt;0,AND(DAY($A205)=MIN(DAY('Recurring Schedule'!$F$6),DAY(EOMONTH($A205,0))),MOD((YEAR($A205)-YEAR('Recurring Schedule'!$F$6))*12+MONTH($A205)-MONTH('Recurring Schedule'!$F$6),'Recurring Schedule'!$O$6)=0),IF('Recurring Schedule'!$E$6="Weekdays",WEEKDAY($A205,2)&lt;=5,$A205='Recurring Schedule'!$F$6))),1,""))))</f>
        <v/>
      </c>
      <c r="C205">
        <f>IF('Recurring Schedule'!$C$7="","",IF('Recurring Schedule'!$F$7="","",IF(OR($A205&lt;'Recurring Schedule'!$F$7,$A205&gt;'Recurring Schedule'!$P$7),"",IF(IF('Recurring Schedule'!$N$7&gt;0,MOD($A205-'Recurring Schedule'!$F$7,'Recurring Schedule'!$N$7)=0,IF('Recurring Schedule'!$O$7&gt;0,AND(DAY($A205)=MIN(DAY('Recurring Schedule'!$F$7),DAY(EOMONTH($A205,0))),MOD((YEAR($A205)-YEAR('Recurring Schedule'!$F$7))*12+MONTH($A205)-MONTH('Recurring Schedule'!$F$7),'Recurring Schedule'!$O$7)=0),IF('Recurring Schedule'!$E$7="Weekdays",WEEKDAY($A205,2)&lt;=5,$A205='Recurring Schedule'!$F$7))),2,""))))</f>
        <v/>
      </c>
      <c r="D205">
        <f>IF('Recurring Schedule'!$C$8="","",IF('Recurring Schedule'!$F$8="","",IF(OR($A205&lt;'Recurring Schedule'!$F$8,$A205&gt;'Recurring Schedule'!$P$8),"",IF(IF('Recurring Schedule'!$N$8&gt;0,MOD($A205-'Recurring Schedule'!$F$8,'Recurring Schedule'!$N$8)=0,IF('Recurring Schedule'!$O$8&gt;0,AND(DAY($A205)=MIN(DAY('Recurring Schedule'!$F$8),DAY(EOMONTH($A205,0))),MOD((YEAR($A205)-YEAR('Recurring Schedule'!$F$8))*12+MONTH($A205)-MONTH('Recurring Schedule'!$F$8),'Recurring Schedule'!$O$8)=0),IF('Recurring Schedule'!$E$8="Weekdays",WEEKDAY($A205,2)&lt;=5,$A205='Recurring Schedule'!$F$8))),3,""))))</f>
        <v/>
      </c>
      <c r="E205">
        <f>IF('Recurring Schedule'!$C$9="","",IF('Recurring Schedule'!$F$9="","",IF(OR($A205&lt;'Recurring Schedule'!$F$9,$A205&gt;'Recurring Schedule'!$P$9),"",IF(IF('Recurring Schedule'!$N$9&gt;0,MOD($A205-'Recurring Schedule'!$F$9,'Recurring Schedule'!$N$9)=0,IF('Recurring Schedule'!$O$9&gt;0,AND(DAY($A205)=MIN(DAY('Recurring Schedule'!$F$9),DAY(EOMONTH($A205,0))),MOD((YEAR($A205)-YEAR('Recurring Schedule'!$F$9))*12+MONTH($A205)-MONTH('Recurring Schedule'!$F$9),'Recurring Schedule'!$O$9)=0),IF('Recurring Schedule'!$E$9="Weekdays",WEEKDAY($A205,2)&lt;=5,$A205='Recurring Schedule'!$F$9))),4,""))))</f>
        <v/>
      </c>
      <c r="F205">
        <f>IF('Recurring Schedule'!$C$10="","",IF('Recurring Schedule'!$F$10="","",IF(OR($A205&lt;'Recurring Schedule'!$F$10,$A205&gt;'Recurring Schedule'!$P$10),"",IF(IF('Recurring Schedule'!$N$10&gt;0,MOD($A205-'Recurring Schedule'!$F$10,'Recurring Schedule'!$N$10)=0,IF('Recurring Schedule'!$O$10&gt;0,AND(DAY($A205)=MIN(DAY('Recurring Schedule'!$F$10),DAY(EOMONTH($A205,0))),MOD((YEAR($A205)-YEAR('Recurring Schedule'!$F$10))*12+MONTH($A205)-MONTH('Recurring Schedule'!$F$10),'Recurring Schedule'!$O$10)=0),IF('Recurring Schedule'!$E$10="Weekdays",WEEKDAY($A205,2)&lt;=5,$A205='Recurring Schedule'!$F$10))),5,""))))</f>
        <v/>
      </c>
      <c r="G205">
        <f>IF('Recurring Schedule'!$C$11="","",IF('Recurring Schedule'!$F$11="","",IF(OR($A205&lt;'Recurring Schedule'!$F$11,$A205&gt;'Recurring Schedule'!$P$11),"",IF(IF('Recurring Schedule'!$N$11&gt;0,MOD($A205-'Recurring Schedule'!$F$11,'Recurring Schedule'!$N$11)=0,IF('Recurring Schedule'!$O$11&gt;0,AND(DAY($A205)=MIN(DAY('Recurring Schedule'!$F$11),DAY(EOMONTH($A205,0))),MOD((YEAR($A205)-YEAR('Recurring Schedule'!$F$11))*12+MONTH($A205)-MONTH('Recurring Schedule'!$F$11),'Recurring Schedule'!$O$11)=0),IF('Recurring Schedule'!$E$11="Weekdays",WEEKDAY($A205,2)&lt;=5,$A205='Recurring Schedule'!$F$11))),6,""))))</f>
        <v/>
      </c>
      <c r="H205">
        <f>IF('Recurring Schedule'!$C$12="","",IF('Recurring Schedule'!$F$12="","",IF(OR($A205&lt;'Recurring Schedule'!$F$12,$A205&gt;'Recurring Schedule'!$P$12),"",IF(IF('Recurring Schedule'!$N$12&gt;0,MOD($A205-'Recurring Schedule'!$F$12,'Recurring Schedule'!$N$12)=0,IF('Recurring Schedule'!$O$12&gt;0,AND(DAY($A205)=MIN(DAY('Recurring Schedule'!$F$12),DAY(EOMONTH($A205,0))),MOD((YEAR($A205)-YEAR('Recurring Schedule'!$F$12))*12+MONTH($A205)-MONTH('Recurring Schedule'!$F$12),'Recurring Schedule'!$O$12)=0),IF('Recurring Schedule'!$E$12="Weekdays",WEEKDAY($A205,2)&lt;=5,$A205='Recurring Schedule'!$F$12))),7,""))))</f>
        <v/>
      </c>
      <c r="I205">
        <f>IF('Recurring Schedule'!$C$13="","",IF('Recurring Schedule'!$F$13="","",IF(OR($A205&lt;'Recurring Schedule'!$F$13,$A205&gt;'Recurring Schedule'!$P$13),"",IF(IF('Recurring Schedule'!$N$13&gt;0,MOD($A205-'Recurring Schedule'!$F$13,'Recurring Schedule'!$N$13)=0,IF('Recurring Schedule'!$O$13&gt;0,AND(DAY($A205)=MIN(DAY('Recurring Schedule'!$F$13),DAY(EOMONTH($A205,0))),MOD((YEAR($A205)-YEAR('Recurring Schedule'!$F$13))*12+MONTH($A205)-MONTH('Recurring Schedule'!$F$13),'Recurring Schedule'!$O$13)=0),IF('Recurring Schedule'!$E$13="Weekdays",WEEKDAY($A205,2)&lt;=5,$A205='Recurring Schedule'!$F$13))),8,""))))</f>
        <v/>
      </c>
      <c r="J205">
        <f>IF('Recurring Schedule'!$C$14="","",IF('Recurring Schedule'!$F$14="","",IF(OR($A205&lt;'Recurring Schedule'!$F$14,$A205&gt;'Recurring Schedule'!$P$14),"",IF(IF('Recurring Schedule'!$N$14&gt;0,MOD($A205-'Recurring Schedule'!$F$14,'Recurring Schedule'!$N$14)=0,IF('Recurring Schedule'!$O$14&gt;0,AND(DAY($A205)=MIN(DAY('Recurring Schedule'!$F$14),DAY(EOMONTH($A205,0))),MOD((YEAR($A205)-YEAR('Recurring Schedule'!$F$14))*12+MONTH($A205)-MONTH('Recurring Schedule'!$F$14),'Recurring Schedule'!$O$14)=0),IF('Recurring Schedule'!$E$14="Weekdays",WEEKDAY($A205,2)&lt;=5,$A205='Recurring Schedule'!$F$14))),9,""))))</f>
        <v/>
      </c>
      <c r="K205">
        <f>IF('Recurring Schedule'!$C$15="","",IF('Recurring Schedule'!$F$15="","",IF(OR($A205&lt;'Recurring Schedule'!$F$15,$A205&gt;'Recurring Schedule'!$P$15),"",IF(IF('Recurring Schedule'!$N$15&gt;0,MOD($A205-'Recurring Schedule'!$F$15,'Recurring Schedule'!$N$15)=0,IF('Recurring Schedule'!$O$15&gt;0,AND(DAY($A205)=MIN(DAY('Recurring Schedule'!$F$15),DAY(EOMONTH($A205,0))),MOD((YEAR($A205)-YEAR('Recurring Schedule'!$F$15))*12+MONTH($A205)-MONTH('Recurring Schedule'!$F$15),'Recurring Schedule'!$O$15)=0),IF('Recurring Schedule'!$E$15="Weekdays",WEEKDAY($A205,2)&lt;=5,$A205='Recurring Schedule'!$F$15))),10,""))))</f>
        <v/>
      </c>
      <c r="L205">
        <f>IF('Recurring Schedule'!$C$16="","",IF('Recurring Schedule'!$F$16="","",IF(OR($A205&lt;'Recurring Schedule'!$F$16,$A205&gt;'Recurring Schedule'!$P$16),"",IF(IF('Recurring Schedule'!$N$16&gt;0,MOD($A205-'Recurring Schedule'!$F$16,'Recurring Schedule'!$N$16)=0,IF('Recurring Schedule'!$O$16&gt;0,AND(DAY($A205)=MIN(DAY('Recurring Schedule'!$F$16),DAY(EOMONTH($A205,0))),MOD((YEAR($A205)-YEAR('Recurring Schedule'!$F$16))*12+MONTH($A205)-MONTH('Recurring Schedule'!$F$16),'Recurring Schedule'!$O$16)=0),IF('Recurring Schedule'!$E$16="Weekdays",WEEKDAY($A205,2)&lt;=5,$A205='Recurring Schedule'!$F$16))),11,""))))</f>
        <v/>
      </c>
      <c r="M205">
        <f>IF('Recurring Schedule'!$C$17="","",IF('Recurring Schedule'!$F$17="","",IF(OR($A205&lt;'Recurring Schedule'!$F$17,$A205&gt;'Recurring Schedule'!$P$17),"",IF(IF('Recurring Schedule'!$N$17&gt;0,MOD($A205-'Recurring Schedule'!$F$17,'Recurring Schedule'!$N$17)=0,IF('Recurring Schedule'!$O$17&gt;0,AND(DAY($A205)=MIN(DAY('Recurring Schedule'!$F$17),DAY(EOMONTH($A205,0))),MOD((YEAR($A205)-YEAR('Recurring Schedule'!$F$17))*12+MONTH($A205)-MONTH('Recurring Schedule'!$F$17),'Recurring Schedule'!$O$17)=0),IF('Recurring Schedule'!$E$17="Weekdays",WEEKDAY($A205,2)&lt;=5,$A205='Recurring Schedule'!$F$17))),12,""))))</f>
        <v/>
      </c>
      <c r="N205">
        <f>IF('Recurring Schedule'!$C$18="","",IF('Recurring Schedule'!$F$18="","",IF(OR($A205&lt;'Recurring Schedule'!$F$18,$A205&gt;'Recurring Schedule'!$P$18),"",IF(IF('Recurring Schedule'!$N$18&gt;0,MOD($A205-'Recurring Schedule'!$F$18,'Recurring Schedule'!$N$18)=0,IF('Recurring Schedule'!$O$18&gt;0,AND(DAY($A205)=MIN(DAY('Recurring Schedule'!$F$18),DAY(EOMONTH($A205,0))),MOD((YEAR($A205)-YEAR('Recurring Schedule'!$F$18))*12+MONTH($A205)-MONTH('Recurring Schedule'!$F$18),'Recurring Schedule'!$O$18)=0),IF('Recurring Schedule'!$E$18="Weekdays",WEEKDAY($A205,2)&lt;=5,$A205='Recurring Schedule'!$F$18))),13,""))))</f>
        <v/>
      </c>
      <c r="O205">
        <f>IF('Recurring Schedule'!$C$19="","",IF('Recurring Schedule'!$F$19="","",IF(OR($A205&lt;'Recurring Schedule'!$F$19,$A205&gt;'Recurring Schedule'!$P$19),"",IF(IF('Recurring Schedule'!$N$19&gt;0,MOD($A205-'Recurring Schedule'!$F$19,'Recurring Schedule'!$N$19)=0,IF('Recurring Schedule'!$O$19&gt;0,AND(DAY($A205)=MIN(DAY('Recurring Schedule'!$F$19),DAY(EOMONTH($A205,0))),MOD((YEAR($A205)-YEAR('Recurring Schedule'!$F$19))*12+MONTH($A205)-MONTH('Recurring Schedule'!$F$19),'Recurring Schedule'!$O$19)=0),IF('Recurring Schedule'!$E$19="Weekdays",WEEKDAY($A205,2)&lt;=5,$A205='Recurring Schedule'!$F$19))),14,""))))</f>
        <v/>
      </c>
      <c r="P205">
        <f>IF('Recurring Schedule'!$C$20="","",IF('Recurring Schedule'!$F$20="","",IF(OR($A205&lt;'Recurring Schedule'!$F$20,$A205&gt;'Recurring Schedule'!$P$20),"",IF(IF('Recurring Schedule'!$N$20&gt;0,MOD($A205-'Recurring Schedule'!$F$20,'Recurring Schedule'!$N$20)=0,IF('Recurring Schedule'!$O$20&gt;0,AND(DAY($A205)=MIN(DAY('Recurring Schedule'!$F$20),DAY(EOMONTH($A205,0))),MOD((YEAR($A205)-YEAR('Recurring Schedule'!$F$20))*12+MONTH($A205)-MONTH('Recurring Schedule'!$F$20),'Recurring Schedule'!$O$20)=0),IF('Recurring Schedule'!$E$20="Weekdays",WEEKDAY($A205,2)&lt;=5,$A205='Recurring Schedule'!$F$20))),15,""))))</f>
        <v/>
      </c>
      <c r="Q205">
        <f>IF('Recurring Schedule'!$C$21="","",IF('Recurring Schedule'!$F$21="","",IF(OR($A205&lt;'Recurring Schedule'!$F$21,$A205&gt;'Recurring Schedule'!$P$21),"",IF(IF('Recurring Schedule'!$N$21&gt;0,MOD($A205-'Recurring Schedule'!$F$21,'Recurring Schedule'!$N$21)=0,IF('Recurring Schedule'!$O$21&gt;0,AND(DAY($A205)=MIN(DAY('Recurring Schedule'!$F$21),DAY(EOMONTH($A205,0))),MOD((YEAR($A205)-YEAR('Recurring Schedule'!$F$21))*12+MONTH($A205)-MONTH('Recurring Schedule'!$F$21),'Recurring Schedule'!$O$21)=0),IF('Recurring Schedule'!$E$21="Weekdays",WEEKDAY($A205,2)&lt;=5,$A205='Recurring Schedule'!$F$21))),16,""))))</f>
        <v/>
      </c>
      <c r="R205">
        <f>IF('Recurring Schedule'!$C$22="","",IF('Recurring Schedule'!$F$22="","",IF(OR($A205&lt;'Recurring Schedule'!$F$22,$A205&gt;'Recurring Schedule'!$P$22),"",IF(IF('Recurring Schedule'!$N$22&gt;0,MOD($A205-'Recurring Schedule'!$F$22,'Recurring Schedule'!$N$22)=0,IF('Recurring Schedule'!$O$22&gt;0,AND(DAY($A205)=MIN(DAY('Recurring Schedule'!$F$22),DAY(EOMONTH($A205,0))),MOD((YEAR($A205)-YEAR('Recurring Schedule'!$F$22))*12+MONTH($A205)-MONTH('Recurring Schedule'!$F$22),'Recurring Schedule'!$O$22)=0),IF('Recurring Schedule'!$E$22="Weekdays",WEEKDAY($A205,2)&lt;=5,$A205='Recurring Schedule'!$F$22))),17,""))))</f>
        <v/>
      </c>
      <c r="S205">
        <f>IF('Recurring Schedule'!$C$23="","",IF('Recurring Schedule'!$F$23="","",IF(OR($A205&lt;'Recurring Schedule'!$F$23,$A205&gt;'Recurring Schedule'!$P$23),"",IF(IF('Recurring Schedule'!$N$23&gt;0,MOD($A205-'Recurring Schedule'!$F$23,'Recurring Schedule'!$N$23)=0,IF('Recurring Schedule'!$O$23&gt;0,AND(DAY($A205)=MIN(DAY('Recurring Schedule'!$F$23),DAY(EOMONTH($A205,0))),MOD((YEAR($A205)-YEAR('Recurring Schedule'!$F$23))*12+MONTH($A205)-MONTH('Recurring Schedule'!$F$23),'Recurring Schedule'!$O$23)=0),IF('Recurring Schedule'!$E$23="Weekdays",WEEKDAY($A205,2)&lt;=5,$A205='Recurring Schedule'!$F$23))),18,""))))</f>
        <v/>
      </c>
      <c r="T205">
        <f>IF('Recurring Schedule'!$C$24="","",IF('Recurring Schedule'!$F$24="","",IF(OR($A205&lt;'Recurring Schedule'!$F$24,$A205&gt;'Recurring Schedule'!$P$24),"",IF(IF('Recurring Schedule'!$N$24&gt;0,MOD($A205-'Recurring Schedule'!$F$24,'Recurring Schedule'!$N$24)=0,IF('Recurring Schedule'!$O$24&gt;0,AND(DAY($A205)=MIN(DAY('Recurring Schedule'!$F$24),DAY(EOMONTH($A205,0))),MOD((YEAR($A205)-YEAR('Recurring Schedule'!$F$24))*12+MONTH($A205)-MONTH('Recurring Schedule'!$F$24),'Recurring Schedule'!$O$24)=0),IF('Recurring Schedule'!$E$24="Weekdays",WEEKDAY($A205,2)&lt;=5,$A205='Recurring Schedule'!$F$24))),19,""))))</f>
        <v/>
      </c>
      <c r="U205">
        <f>IF('Recurring Schedule'!$C$25="","",IF('Recurring Schedule'!$F$25="","",IF(OR($A205&lt;'Recurring Schedule'!$F$25,$A205&gt;'Recurring Schedule'!$P$25),"",IF(IF('Recurring Schedule'!$N$25&gt;0,MOD($A205-'Recurring Schedule'!$F$25,'Recurring Schedule'!$N$25)=0,IF('Recurring Schedule'!$O$25&gt;0,AND(DAY($A205)=MIN(DAY('Recurring Schedule'!$F$25),DAY(EOMONTH($A205,0))),MOD((YEAR($A205)-YEAR('Recurring Schedule'!$F$25))*12+MONTH($A205)-MONTH('Recurring Schedule'!$F$25),'Recurring Schedule'!$O$25)=0),IF('Recurring Schedule'!$E$25="Weekdays",WEEKDAY($A205,2)&lt;=5,$A205='Recurring Schedule'!$F$25))),20,""))))</f>
        <v/>
      </c>
      <c r="V205">
        <f>IF('Recurring Schedule'!$C$26="","",IF('Recurring Schedule'!$F$26="","",IF(OR($A205&lt;'Recurring Schedule'!$F$26,$A205&gt;'Recurring Schedule'!$P$26),"",IF(IF('Recurring Schedule'!$N$26&gt;0,MOD($A205-'Recurring Schedule'!$F$26,'Recurring Schedule'!$N$26)=0,IF('Recurring Schedule'!$O$26&gt;0,AND(DAY($A205)=MIN(DAY('Recurring Schedule'!$F$26),DAY(EOMONTH($A205,0))),MOD((YEAR($A205)-YEAR('Recurring Schedule'!$F$26))*12+MONTH($A205)-MONTH('Recurring Schedule'!$F$26),'Recurring Schedule'!$O$26)=0),IF('Recurring Schedule'!$E$26="Weekdays",WEEKDAY($A205,2)&lt;=5,$A205='Recurring Schedule'!$F$26))),21,""))))</f>
        <v/>
      </c>
      <c r="W205">
        <f>IF('Recurring Schedule'!$C$27="","",IF('Recurring Schedule'!$F$27="","",IF(OR($A205&lt;'Recurring Schedule'!$F$27,$A205&gt;'Recurring Schedule'!$P$27),"",IF(IF('Recurring Schedule'!$N$27&gt;0,MOD($A205-'Recurring Schedule'!$F$27,'Recurring Schedule'!$N$27)=0,IF('Recurring Schedule'!$O$27&gt;0,AND(DAY($A205)=MIN(DAY('Recurring Schedule'!$F$27),DAY(EOMONTH($A205,0))),MOD((YEAR($A205)-YEAR('Recurring Schedule'!$F$27))*12+MONTH($A205)-MONTH('Recurring Schedule'!$F$27),'Recurring Schedule'!$O$27)=0),IF('Recurring Schedule'!$E$27="Weekdays",WEEKDAY($A205,2)&lt;=5,$A205='Recurring Schedule'!$F$27))),22,""))))</f>
        <v/>
      </c>
      <c r="X205">
        <f>IF('Recurring Schedule'!$C$28="","",IF('Recurring Schedule'!$F$28="","",IF(OR($A205&lt;'Recurring Schedule'!$F$28,$A205&gt;'Recurring Schedule'!$P$28),"",IF(IF('Recurring Schedule'!$N$28&gt;0,MOD($A205-'Recurring Schedule'!$F$28,'Recurring Schedule'!$N$28)=0,IF('Recurring Schedule'!$O$28&gt;0,AND(DAY($A205)=MIN(DAY('Recurring Schedule'!$F$28),DAY(EOMONTH($A205,0))),MOD((YEAR($A205)-YEAR('Recurring Schedule'!$F$28))*12+MONTH($A205)-MONTH('Recurring Schedule'!$F$28),'Recurring Schedule'!$O$28)=0),IF('Recurring Schedule'!$E$28="Weekdays",WEEKDAY($A205,2)&lt;=5,$A205='Recurring Schedule'!$F$28))),23,""))))</f>
        <v/>
      </c>
      <c r="Y205">
        <f>IF('Recurring Schedule'!$C$29="","",IF('Recurring Schedule'!$F$29="","",IF(OR($A205&lt;'Recurring Schedule'!$F$29,$A205&gt;'Recurring Schedule'!$P$29),"",IF(IF('Recurring Schedule'!$N$29&gt;0,MOD($A205-'Recurring Schedule'!$F$29,'Recurring Schedule'!$N$29)=0,IF('Recurring Schedule'!$O$29&gt;0,AND(DAY($A205)=MIN(DAY('Recurring Schedule'!$F$29),DAY(EOMONTH($A205,0))),MOD((YEAR($A205)-YEAR('Recurring Schedule'!$F$29))*12+MONTH($A205)-MONTH('Recurring Schedule'!$F$29),'Recurring Schedule'!$O$29)=0),IF('Recurring Schedule'!$E$29="Weekdays",WEEKDAY($A205,2)&lt;=5,$A205='Recurring Schedule'!$F$29))),24,""))))</f>
        <v/>
      </c>
      <c r="Z205">
        <f>IF('Recurring Schedule'!$C$30="","",IF('Recurring Schedule'!$F$30="","",IF(OR($A205&lt;'Recurring Schedule'!$F$30,$A205&gt;'Recurring Schedule'!$P$30),"",IF(IF('Recurring Schedule'!$N$30&gt;0,MOD($A205-'Recurring Schedule'!$F$30,'Recurring Schedule'!$N$30)=0,IF('Recurring Schedule'!$O$30&gt;0,AND(DAY($A205)=MIN(DAY('Recurring Schedule'!$F$30),DAY(EOMONTH($A205,0))),MOD((YEAR($A205)-YEAR('Recurring Schedule'!$F$30))*12+MONTH($A205)-MONTH('Recurring Schedule'!$F$30),'Recurring Schedule'!$O$30)=0),IF('Recurring Schedule'!$E$30="Weekdays",WEEKDAY($A205,2)&lt;=5,$A205='Recurring Schedule'!$F$30))),25,""))))</f>
        <v/>
      </c>
      <c r="AA205">
        <f>IF('Recurring Schedule'!$C$31="","",IF('Recurring Schedule'!$F$31="","",IF(OR($A205&lt;'Recurring Schedule'!$F$31,$A205&gt;'Recurring Schedule'!$P$31),"",IF(IF('Recurring Schedule'!$N$31&gt;0,MOD($A205-'Recurring Schedule'!$F$31,'Recurring Schedule'!$N$31)=0,IF('Recurring Schedule'!$O$31&gt;0,AND(DAY($A205)=MIN(DAY('Recurring Schedule'!$F$31),DAY(EOMONTH($A205,0))),MOD((YEAR($A205)-YEAR('Recurring Schedule'!$F$31))*12+MONTH($A205)-MONTH('Recurring Schedule'!$F$31),'Recurring Schedule'!$O$31)=0),IF('Recurring Schedule'!$E$31="Weekdays",WEEKDAY($A205,2)&lt;=5,$A205='Recurring Schedule'!$F$31))),26,""))))</f>
        <v/>
      </c>
      <c r="AB205">
        <f>IF('Recurring Schedule'!$C$32="","",IF('Recurring Schedule'!$F$32="","",IF(OR($A205&lt;'Recurring Schedule'!$F$32,$A205&gt;'Recurring Schedule'!$P$32),"",IF(IF('Recurring Schedule'!$N$32&gt;0,MOD($A205-'Recurring Schedule'!$F$32,'Recurring Schedule'!$N$32)=0,IF('Recurring Schedule'!$O$32&gt;0,AND(DAY($A205)=MIN(DAY('Recurring Schedule'!$F$32),DAY(EOMONTH($A205,0))),MOD((YEAR($A205)-YEAR('Recurring Schedule'!$F$32))*12+MONTH($A205)-MONTH('Recurring Schedule'!$F$32),'Recurring Schedule'!$O$32)=0),IF('Recurring Schedule'!$E$32="Weekdays",WEEKDAY($A205,2)&lt;=5,$A205='Recurring Schedule'!$F$32))),27,""))))</f>
        <v/>
      </c>
      <c r="AC205">
        <f>IF('Recurring Schedule'!$C$33="","",IF('Recurring Schedule'!$F$33="","",IF(OR($A205&lt;'Recurring Schedule'!$F$33,$A205&gt;'Recurring Schedule'!$P$33),"",IF(IF('Recurring Schedule'!$N$33&gt;0,MOD($A205-'Recurring Schedule'!$F$33,'Recurring Schedule'!$N$33)=0,IF('Recurring Schedule'!$O$33&gt;0,AND(DAY($A205)=MIN(DAY('Recurring Schedule'!$F$33),DAY(EOMONTH($A205,0))),MOD((YEAR($A205)-YEAR('Recurring Schedule'!$F$33))*12+MONTH($A205)-MONTH('Recurring Schedule'!$F$33),'Recurring Schedule'!$O$33)=0),IF('Recurring Schedule'!$E$33="Weekdays",WEEKDAY($A205,2)&lt;=5,$A205='Recurring Schedule'!$F$33))),28,""))))</f>
        <v/>
      </c>
      <c r="AD205">
        <f>IF('Recurring Schedule'!$C$34="","",IF('Recurring Schedule'!$F$34="","",IF(OR($A205&lt;'Recurring Schedule'!$F$34,$A205&gt;'Recurring Schedule'!$P$34),"",IF(IF('Recurring Schedule'!$N$34&gt;0,MOD($A205-'Recurring Schedule'!$F$34,'Recurring Schedule'!$N$34)=0,IF('Recurring Schedule'!$O$34&gt;0,AND(DAY($A205)=MIN(DAY('Recurring Schedule'!$F$34),DAY(EOMONTH($A205,0))),MOD((YEAR($A205)-YEAR('Recurring Schedule'!$F$34))*12+MONTH($A205)-MONTH('Recurring Schedule'!$F$34),'Recurring Schedule'!$O$34)=0),IF('Recurring Schedule'!$E$34="Weekdays",WEEKDAY($A205,2)&lt;=5,$A205='Recurring Schedule'!$F$34))),29,""))))</f>
        <v/>
      </c>
      <c r="AE205">
        <f>IF('Recurring Schedule'!$C$35="","",IF('Recurring Schedule'!$F$35="","",IF(OR($A205&lt;'Recurring Schedule'!$F$35,$A205&gt;'Recurring Schedule'!$P$35),"",IF(IF('Recurring Schedule'!$N$35&gt;0,MOD($A205-'Recurring Schedule'!$F$35,'Recurring Schedule'!$N$35)=0,IF('Recurring Schedule'!$O$35&gt;0,AND(DAY($A205)=MIN(DAY('Recurring Schedule'!$F$35),DAY(EOMONTH($A205,0))),MOD((YEAR($A205)-YEAR('Recurring Schedule'!$F$35))*12+MONTH($A205)-MONTH('Recurring Schedule'!$F$35),'Recurring Schedule'!$O$35)=0),IF('Recurring Schedule'!$E$35="Weekdays",WEEKDAY($A205,2)&lt;=5,$A205='Recurring Schedule'!$F$35))),30,""))))</f>
        <v/>
      </c>
      <c r="AF205">
        <f>IF('Recurring Schedule'!$C$36="","",IF('Recurring Schedule'!$F$36="","",IF(OR($A205&lt;'Recurring Schedule'!$F$36,$A205&gt;'Recurring Schedule'!$P$36),"",IF(IF('Recurring Schedule'!$N$36&gt;0,MOD($A205-'Recurring Schedule'!$F$36,'Recurring Schedule'!$N$36)=0,IF('Recurring Schedule'!$O$36&gt;0,AND(DAY($A205)=MIN(DAY('Recurring Schedule'!$F$36),DAY(EOMONTH($A205,0))),MOD((YEAR($A205)-YEAR('Recurring Schedule'!$F$36))*12+MONTH($A205)-MONTH('Recurring Schedule'!$F$36),'Recurring Schedule'!$O$36)=0),IF('Recurring Schedule'!$E$36="Weekdays",WEEKDAY($A205,2)&lt;=5,$A205='Recurring Schedule'!$F$36))),31,""))))</f>
        <v/>
      </c>
      <c r="AG205">
        <f>IF('Recurring Schedule'!$C$37="","",IF('Recurring Schedule'!$F$37="","",IF(OR($A205&lt;'Recurring Schedule'!$F$37,$A205&gt;'Recurring Schedule'!$P$37),"",IF(IF('Recurring Schedule'!$N$37&gt;0,MOD($A205-'Recurring Schedule'!$F$37,'Recurring Schedule'!$N$37)=0,IF('Recurring Schedule'!$O$37&gt;0,AND(DAY($A205)=MIN(DAY('Recurring Schedule'!$F$37),DAY(EOMONTH($A205,0))),MOD((YEAR($A205)-YEAR('Recurring Schedule'!$F$37))*12+MONTH($A205)-MONTH('Recurring Schedule'!$F$37),'Recurring Schedule'!$O$37)=0),IF('Recurring Schedule'!$E$37="Weekdays",WEEKDAY($A205,2)&lt;=5,$A205='Recurring Schedule'!$F$37))),32,""))))</f>
        <v/>
      </c>
      <c r="AH205">
        <f>IF('Recurring Schedule'!$C$38="","",IF('Recurring Schedule'!$F$38="","",IF(OR($A205&lt;'Recurring Schedule'!$F$38,$A205&gt;'Recurring Schedule'!$P$38),"",IF(IF('Recurring Schedule'!$N$38&gt;0,MOD($A205-'Recurring Schedule'!$F$38,'Recurring Schedule'!$N$38)=0,IF('Recurring Schedule'!$O$38&gt;0,AND(DAY($A205)=MIN(DAY('Recurring Schedule'!$F$38),DAY(EOMONTH($A205,0))),MOD((YEAR($A205)-YEAR('Recurring Schedule'!$F$38))*12+MONTH($A205)-MONTH('Recurring Schedule'!$F$38),'Recurring Schedule'!$O$38)=0),IF('Recurring Schedule'!$E$38="Weekdays",WEEKDAY($A205,2)&lt;=5,$A205='Recurring Schedule'!$F$38))),33,""))))</f>
        <v/>
      </c>
      <c r="AI205">
        <f>IF('Recurring Schedule'!$C$39="","",IF('Recurring Schedule'!$F$39="","",IF(OR($A205&lt;'Recurring Schedule'!$F$39,$A205&gt;'Recurring Schedule'!$P$39),"",IF(IF('Recurring Schedule'!$N$39&gt;0,MOD($A205-'Recurring Schedule'!$F$39,'Recurring Schedule'!$N$39)=0,IF('Recurring Schedule'!$O$39&gt;0,AND(DAY($A205)=MIN(DAY('Recurring Schedule'!$F$39),DAY(EOMONTH($A205,0))),MOD((YEAR($A205)-YEAR('Recurring Schedule'!$F$39))*12+MONTH($A205)-MONTH('Recurring Schedule'!$F$39),'Recurring Schedule'!$O$39)=0),IF('Recurring Schedule'!$E$39="Weekdays",WEEKDAY($A205,2)&lt;=5,$A205='Recurring Schedule'!$F$39))),34,""))))</f>
        <v/>
      </c>
      <c r="AJ205">
        <f>IF('Recurring Schedule'!$C$40="","",IF('Recurring Schedule'!$F$40="","",IF(OR($A205&lt;'Recurring Schedule'!$F$40,$A205&gt;'Recurring Schedule'!$P$40),"",IF(IF('Recurring Schedule'!$N$40&gt;0,MOD($A205-'Recurring Schedule'!$F$40,'Recurring Schedule'!$N$40)=0,IF('Recurring Schedule'!$O$40&gt;0,AND(DAY($A205)=MIN(DAY('Recurring Schedule'!$F$40),DAY(EOMONTH($A205,0))),MOD((YEAR($A205)-YEAR('Recurring Schedule'!$F$40))*12+MONTH($A205)-MONTH('Recurring Schedule'!$F$40),'Recurring Schedule'!$O$40)=0),IF('Recurring Schedule'!$E$40="Weekdays",WEEKDAY($A205,2)&lt;=5,$A205='Recurring Schedule'!$F$40))),35,""))))</f>
        <v/>
      </c>
      <c r="AK205">
        <f>IF('Recurring Schedule'!$C$41="","",IF('Recurring Schedule'!$F$41="","",IF(OR($A205&lt;'Recurring Schedule'!$F$41,$A205&gt;'Recurring Schedule'!$P$41),"",IF(IF('Recurring Schedule'!$N$41&gt;0,MOD($A205-'Recurring Schedule'!$F$41,'Recurring Schedule'!$N$41)=0,IF('Recurring Schedule'!$O$41&gt;0,AND(DAY($A205)=MIN(DAY('Recurring Schedule'!$F$41),DAY(EOMONTH($A205,0))),MOD((YEAR($A205)-YEAR('Recurring Schedule'!$F$41))*12+MONTH($A205)-MONTH('Recurring Schedule'!$F$41),'Recurring Schedule'!$O$41)=0),IF('Recurring Schedule'!$E$41="Weekdays",WEEKDAY($A205,2)&lt;=5,$A205='Recurring Schedule'!$F$41))),36,""))))</f>
        <v/>
      </c>
      <c r="AL205">
        <f>IF('Recurring Schedule'!$C$42="","",IF('Recurring Schedule'!$F$42="","",IF(OR($A205&lt;'Recurring Schedule'!$F$42,$A205&gt;'Recurring Schedule'!$P$42),"",IF(IF('Recurring Schedule'!$N$42&gt;0,MOD($A205-'Recurring Schedule'!$F$42,'Recurring Schedule'!$N$42)=0,IF('Recurring Schedule'!$O$42&gt;0,AND(DAY($A205)=MIN(DAY('Recurring Schedule'!$F$42),DAY(EOMONTH($A205,0))),MOD((YEAR($A205)-YEAR('Recurring Schedule'!$F$42))*12+MONTH($A205)-MONTH('Recurring Schedule'!$F$42),'Recurring Schedule'!$O$42)=0),IF('Recurring Schedule'!$E$42="Weekdays",WEEKDAY($A205,2)&lt;=5,$A205='Recurring Schedule'!$F$42))),37,""))))</f>
        <v/>
      </c>
      <c r="AM205">
        <f>IF('Recurring Schedule'!$C$43="","",IF('Recurring Schedule'!$F$43="","",IF(OR($A205&lt;'Recurring Schedule'!$F$43,$A205&gt;'Recurring Schedule'!$P$43),"",IF(IF('Recurring Schedule'!$N$43&gt;0,MOD($A205-'Recurring Schedule'!$F$43,'Recurring Schedule'!$N$43)=0,IF('Recurring Schedule'!$O$43&gt;0,AND(DAY($A205)=MIN(DAY('Recurring Schedule'!$F$43),DAY(EOMONTH($A205,0))),MOD((YEAR($A205)-YEAR('Recurring Schedule'!$F$43))*12+MONTH($A205)-MONTH('Recurring Schedule'!$F$43),'Recurring Schedule'!$O$43)=0),IF('Recurring Schedule'!$E$43="Weekdays",WEEKDAY($A205,2)&lt;=5,$A205='Recurring Schedule'!$F$43))),38,""))))</f>
        <v/>
      </c>
      <c r="AN205">
        <f>IF('Recurring Schedule'!$C$44="","",IF('Recurring Schedule'!$F$44="","",IF(OR($A205&lt;'Recurring Schedule'!$F$44,$A205&gt;'Recurring Schedule'!$P$44),"",IF(IF('Recurring Schedule'!$N$44&gt;0,MOD($A205-'Recurring Schedule'!$F$44,'Recurring Schedule'!$N$44)=0,IF('Recurring Schedule'!$O$44&gt;0,AND(DAY($A205)=MIN(DAY('Recurring Schedule'!$F$44),DAY(EOMONTH($A205,0))),MOD((YEAR($A205)-YEAR('Recurring Schedule'!$F$44))*12+MONTH($A205)-MONTH('Recurring Schedule'!$F$44),'Recurring Schedule'!$O$44)=0),IF('Recurring Schedule'!$E$44="Weekdays",WEEKDAY($A205,2)&lt;=5,$A205='Recurring Schedule'!$F$44))),39,""))))</f>
        <v/>
      </c>
      <c r="AO205">
        <f>IF('Recurring Schedule'!$C$45="","",IF('Recurring Schedule'!$F$45="","",IF(OR($A205&lt;'Recurring Schedule'!$F$45,$A205&gt;'Recurring Schedule'!$P$45),"",IF(IF('Recurring Schedule'!$N$45&gt;0,MOD($A205-'Recurring Schedule'!$F$45,'Recurring Schedule'!$N$45)=0,IF('Recurring Schedule'!$O$45&gt;0,AND(DAY($A205)=MIN(DAY('Recurring Schedule'!$F$45),DAY(EOMONTH($A205,0))),MOD((YEAR($A205)-YEAR('Recurring Schedule'!$F$45))*12+MONTH($A205)-MONTH('Recurring Schedule'!$F$45),'Recurring Schedule'!$O$45)=0),IF('Recurring Schedule'!$E$45="Weekdays",WEEKDAY($A205,2)&lt;=5,$A205='Recurring Schedule'!$F$45))),40,""))))</f>
        <v/>
      </c>
      <c r="AP205">
        <f>COUNT(B205:AO205)</f>
        <v/>
      </c>
      <c r="AQ205">
        <f>AQ204+AP204</f>
        <v/>
      </c>
      <c r="AS205" t="inlineStr">
        <is>
          <t>R</t>
        </is>
      </c>
      <c r="AT205" t="n">
        <v>209</v>
      </c>
      <c r="AU205">
        <f>'Recurring Log'!C209&amp;""</f>
        <v/>
      </c>
      <c r="AV205">
        <f>'Recurring Log'!D209&amp;""</f>
        <v/>
      </c>
      <c r="AW205">
        <f>IF('Recurring Log'!E209="","",'Recurring Log'!E209)</f>
        <v/>
      </c>
      <c r="AX205">
        <f>IF('Recurring Log'!G209="","",'Recurring Log'!G209)</f>
        <v/>
      </c>
      <c r="AY205">
        <f>IF('Recurring Log'!H209="","",'Recurring Log'!H209)</f>
        <v/>
      </c>
      <c r="AZ205">
        <f>IF(AU205="","",IF('Recurring Log'!J209="","Not Started",'Recurring Log'!J209))</f>
        <v/>
      </c>
      <c r="BA205">
        <f>'Recurring Log'!L209&amp;""</f>
        <v/>
      </c>
      <c r="BB205">
        <f>'Recurring Log'!M209&amp;""</f>
        <v/>
      </c>
      <c r="BC205">
        <f>'Recurring Log'!N209&amp;""</f>
        <v/>
      </c>
      <c r="BD205">
        <f>'Recurring Log'!O209&amp;""</f>
        <v/>
      </c>
      <c r="BE205">
        <f>IF('Recurring Log'!K209="","",'Recurring Log'!K209)</f>
        <v/>
      </c>
      <c r="BF205">
        <f>IFERROR(MATCH(BA205,Setup!$L$6:$L$9,0),5)</f>
        <v/>
      </c>
      <c r="BG205">
        <f>IF(OR(AZ205="Done",AZ205="Cancelled"),1,0)</f>
        <v/>
      </c>
      <c r="BH205">
        <f>IF(AND(AU205&lt;&gt;"",ISNUMBER(AW205)),1,0)</f>
        <v/>
      </c>
      <c r="BI205">
        <f>IF(BH205=0,0,IF(AND(AW205&gt;='Tasks Filter'!$F$3,AW205&lt;='Tasks Filter'!$F$4,OR('Tasks Filter'!$I$3="",ISNUMBER(SEARCH('Tasks Filter'!$I$3,AU205))),OR('Tasks Filter'!$I$4="",BF205=IFERROR(MATCH('Tasks Filter'!$I$4,Setup!$L$6:$L$9,0),0)),OR('Tasks Filter'!$I$5="Both",AND('Tasks Filter'!$I$5="Yes",BB205="✓"),AND('Tasks Filter'!$I$5="No",BB205&lt;&gt;"✓")),OR('Tasks Filter'!$L$3="",AV205='Tasks Filter'!$L$3),OR('Tasks Filter'!$L$4="",AZ205='Tasks Filter'!$L$4),OR('Tasks Filter'!$L$5="",BC205='Tasks Filter'!$L$5),OR('Tasks Filter'!$O$3="",BD205='Tasks Filter'!$O$3),OR('Tasks Filter'!$O$4="Yes",BG205=0)),1,0))</f>
        <v/>
      </c>
      <c r="BJ205">
        <f>IF(BH205=0,"",IF('Tasks Filter'!$F$6="Descending",-1,1)*CHOOSE(MATCH('Tasks Filter'!$F$5,Lists!$G$2:$G$6,0),AW205,BF205,IFERROR(MATCH(AV205,Setup!$F$6:$F$15,0),99),IFERROR(MATCH(BC205,Setup!$H$6:$H$15,0),99),IFERROR(MATCH(AZ205,Setup!$J$6:$J$11,0),99))*1E+9+(AW205-40000)*10000+204)</f>
        <v/>
      </c>
      <c r="BK205">
        <f>IF(BI205=1,BJ205,"")</f>
        <v/>
      </c>
      <c r="BL205">
        <f>IF(AND(BH205=1,BG205=0,N(AW205)&lt;Setup!$D$7),(AW205-40000)*10000+204,"")</f>
        <v/>
      </c>
      <c r="BM205">
        <f>IF(AND(BH205=1,AZ205&lt;&gt;"Cancelled",N(AW205)&gt;=Dashboard!$AB$3,N(AW205)&lt;=Dashboard!$AB$3+6),(AW205-40000)*100000+BF205*10000+204,"")</f>
        <v/>
      </c>
      <c r="BN205">
        <f>IF(AND(BH205=1,AZ205&lt;&gt;"Cancelled"),BF205*10000+204,"")</f>
        <v/>
      </c>
    </row>
    <row r="206">
      <c r="A206">
        <f>Setup!$D$5+204</f>
        <v/>
      </c>
      <c r="B206">
        <f>IF('Recurring Schedule'!$C$6="","",IF('Recurring Schedule'!$F$6="","",IF(OR($A206&lt;'Recurring Schedule'!$F$6,$A206&gt;'Recurring Schedule'!$P$6),"",IF(IF('Recurring Schedule'!$N$6&gt;0,MOD($A206-'Recurring Schedule'!$F$6,'Recurring Schedule'!$N$6)=0,IF('Recurring Schedule'!$O$6&gt;0,AND(DAY($A206)=MIN(DAY('Recurring Schedule'!$F$6),DAY(EOMONTH($A206,0))),MOD((YEAR($A206)-YEAR('Recurring Schedule'!$F$6))*12+MONTH($A206)-MONTH('Recurring Schedule'!$F$6),'Recurring Schedule'!$O$6)=0),IF('Recurring Schedule'!$E$6="Weekdays",WEEKDAY($A206,2)&lt;=5,$A206='Recurring Schedule'!$F$6))),1,""))))</f>
        <v/>
      </c>
      <c r="C206">
        <f>IF('Recurring Schedule'!$C$7="","",IF('Recurring Schedule'!$F$7="","",IF(OR($A206&lt;'Recurring Schedule'!$F$7,$A206&gt;'Recurring Schedule'!$P$7),"",IF(IF('Recurring Schedule'!$N$7&gt;0,MOD($A206-'Recurring Schedule'!$F$7,'Recurring Schedule'!$N$7)=0,IF('Recurring Schedule'!$O$7&gt;0,AND(DAY($A206)=MIN(DAY('Recurring Schedule'!$F$7),DAY(EOMONTH($A206,0))),MOD((YEAR($A206)-YEAR('Recurring Schedule'!$F$7))*12+MONTH($A206)-MONTH('Recurring Schedule'!$F$7),'Recurring Schedule'!$O$7)=0),IF('Recurring Schedule'!$E$7="Weekdays",WEEKDAY($A206,2)&lt;=5,$A206='Recurring Schedule'!$F$7))),2,""))))</f>
        <v/>
      </c>
      <c r="D206">
        <f>IF('Recurring Schedule'!$C$8="","",IF('Recurring Schedule'!$F$8="","",IF(OR($A206&lt;'Recurring Schedule'!$F$8,$A206&gt;'Recurring Schedule'!$P$8),"",IF(IF('Recurring Schedule'!$N$8&gt;0,MOD($A206-'Recurring Schedule'!$F$8,'Recurring Schedule'!$N$8)=0,IF('Recurring Schedule'!$O$8&gt;0,AND(DAY($A206)=MIN(DAY('Recurring Schedule'!$F$8),DAY(EOMONTH($A206,0))),MOD((YEAR($A206)-YEAR('Recurring Schedule'!$F$8))*12+MONTH($A206)-MONTH('Recurring Schedule'!$F$8),'Recurring Schedule'!$O$8)=0),IF('Recurring Schedule'!$E$8="Weekdays",WEEKDAY($A206,2)&lt;=5,$A206='Recurring Schedule'!$F$8))),3,""))))</f>
        <v/>
      </c>
      <c r="E206">
        <f>IF('Recurring Schedule'!$C$9="","",IF('Recurring Schedule'!$F$9="","",IF(OR($A206&lt;'Recurring Schedule'!$F$9,$A206&gt;'Recurring Schedule'!$P$9),"",IF(IF('Recurring Schedule'!$N$9&gt;0,MOD($A206-'Recurring Schedule'!$F$9,'Recurring Schedule'!$N$9)=0,IF('Recurring Schedule'!$O$9&gt;0,AND(DAY($A206)=MIN(DAY('Recurring Schedule'!$F$9),DAY(EOMONTH($A206,0))),MOD((YEAR($A206)-YEAR('Recurring Schedule'!$F$9))*12+MONTH($A206)-MONTH('Recurring Schedule'!$F$9),'Recurring Schedule'!$O$9)=0),IF('Recurring Schedule'!$E$9="Weekdays",WEEKDAY($A206,2)&lt;=5,$A206='Recurring Schedule'!$F$9))),4,""))))</f>
        <v/>
      </c>
      <c r="F206">
        <f>IF('Recurring Schedule'!$C$10="","",IF('Recurring Schedule'!$F$10="","",IF(OR($A206&lt;'Recurring Schedule'!$F$10,$A206&gt;'Recurring Schedule'!$P$10),"",IF(IF('Recurring Schedule'!$N$10&gt;0,MOD($A206-'Recurring Schedule'!$F$10,'Recurring Schedule'!$N$10)=0,IF('Recurring Schedule'!$O$10&gt;0,AND(DAY($A206)=MIN(DAY('Recurring Schedule'!$F$10),DAY(EOMONTH($A206,0))),MOD((YEAR($A206)-YEAR('Recurring Schedule'!$F$10))*12+MONTH($A206)-MONTH('Recurring Schedule'!$F$10),'Recurring Schedule'!$O$10)=0),IF('Recurring Schedule'!$E$10="Weekdays",WEEKDAY($A206,2)&lt;=5,$A206='Recurring Schedule'!$F$10))),5,""))))</f>
        <v/>
      </c>
      <c r="G206">
        <f>IF('Recurring Schedule'!$C$11="","",IF('Recurring Schedule'!$F$11="","",IF(OR($A206&lt;'Recurring Schedule'!$F$11,$A206&gt;'Recurring Schedule'!$P$11),"",IF(IF('Recurring Schedule'!$N$11&gt;0,MOD($A206-'Recurring Schedule'!$F$11,'Recurring Schedule'!$N$11)=0,IF('Recurring Schedule'!$O$11&gt;0,AND(DAY($A206)=MIN(DAY('Recurring Schedule'!$F$11),DAY(EOMONTH($A206,0))),MOD((YEAR($A206)-YEAR('Recurring Schedule'!$F$11))*12+MONTH($A206)-MONTH('Recurring Schedule'!$F$11),'Recurring Schedule'!$O$11)=0),IF('Recurring Schedule'!$E$11="Weekdays",WEEKDAY($A206,2)&lt;=5,$A206='Recurring Schedule'!$F$11))),6,""))))</f>
        <v/>
      </c>
      <c r="H206">
        <f>IF('Recurring Schedule'!$C$12="","",IF('Recurring Schedule'!$F$12="","",IF(OR($A206&lt;'Recurring Schedule'!$F$12,$A206&gt;'Recurring Schedule'!$P$12),"",IF(IF('Recurring Schedule'!$N$12&gt;0,MOD($A206-'Recurring Schedule'!$F$12,'Recurring Schedule'!$N$12)=0,IF('Recurring Schedule'!$O$12&gt;0,AND(DAY($A206)=MIN(DAY('Recurring Schedule'!$F$12),DAY(EOMONTH($A206,0))),MOD((YEAR($A206)-YEAR('Recurring Schedule'!$F$12))*12+MONTH($A206)-MONTH('Recurring Schedule'!$F$12),'Recurring Schedule'!$O$12)=0),IF('Recurring Schedule'!$E$12="Weekdays",WEEKDAY($A206,2)&lt;=5,$A206='Recurring Schedule'!$F$12))),7,""))))</f>
        <v/>
      </c>
      <c r="I206">
        <f>IF('Recurring Schedule'!$C$13="","",IF('Recurring Schedule'!$F$13="","",IF(OR($A206&lt;'Recurring Schedule'!$F$13,$A206&gt;'Recurring Schedule'!$P$13),"",IF(IF('Recurring Schedule'!$N$13&gt;0,MOD($A206-'Recurring Schedule'!$F$13,'Recurring Schedule'!$N$13)=0,IF('Recurring Schedule'!$O$13&gt;0,AND(DAY($A206)=MIN(DAY('Recurring Schedule'!$F$13),DAY(EOMONTH($A206,0))),MOD((YEAR($A206)-YEAR('Recurring Schedule'!$F$13))*12+MONTH($A206)-MONTH('Recurring Schedule'!$F$13),'Recurring Schedule'!$O$13)=0),IF('Recurring Schedule'!$E$13="Weekdays",WEEKDAY($A206,2)&lt;=5,$A206='Recurring Schedule'!$F$13))),8,""))))</f>
        <v/>
      </c>
      <c r="J206">
        <f>IF('Recurring Schedule'!$C$14="","",IF('Recurring Schedule'!$F$14="","",IF(OR($A206&lt;'Recurring Schedule'!$F$14,$A206&gt;'Recurring Schedule'!$P$14),"",IF(IF('Recurring Schedule'!$N$14&gt;0,MOD($A206-'Recurring Schedule'!$F$14,'Recurring Schedule'!$N$14)=0,IF('Recurring Schedule'!$O$14&gt;0,AND(DAY($A206)=MIN(DAY('Recurring Schedule'!$F$14),DAY(EOMONTH($A206,0))),MOD((YEAR($A206)-YEAR('Recurring Schedule'!$F$14))*12+MONTH($A206)-MONTH('Recurring Schedule'!$F$14),'Recurring Schedule'!$O$14)=0),IF('Recurring Schedule'!$E$14="Weekdays",WEEKDAY($A206,2)&lt;=5,$A206='Recurring Schedule'!$F$14))),9,""))))</f>
        <v/>
      </c>
      <c r="K206">
        <f>IF('Recurring Schedule'!$C$15="","",IF('Recurring Schedule'!$F$15="","",IF(OR($A206&lt;'Recurring Schedule'!$F$15,$A206&gt;'Recurring Schedule'!$P$15),"",IF(IF('Recurring Schedule'!$N$15&gt;0,MOD($A206-'Recurring Schedule'!$F$15,'Recurring Schedule'!$N$15)=0,IF('Recurring Schedule'!$O$15&gt;0,AND(DAY($A206)=MIN(DAY('Recurring Schedule'!$F$15),DAY(EOMONTH($A206,0))),MOD((YEAR($A206)-YEAR('Recurring Schedule'!$F$15))*12+MONTH($A206)-MONTH('Recurring Schedule'!$F$15),'Recurring Schedule'!$O$15)=0),IF('Recurring Schedule'!$E$15="Weekdays",WEEKDAY($A206,2)&lt;=5,$A206='Recurring Schedule'!$F$15))),10,""))))</f>
        <v/>
      </c>
      <c r="L206">
        <f>IF('Recurring Schedule'!$C$16="","",IF('Recurring Schedule'!$F$16="","",IF(OR($A206&lt;'Recurring Schedule'!$F$16,$A206&gt;'Recurring Schedule'!$P$16),"",IF(IF('Recurring Schedule'!$N$16&gt;0,MOD($A206-'Recurring Schedule'!$F$16,'Recurring Schedule'!$N$16)=0,IF('Recurring Schedule'!$O$16&gt;0,AND(DAY($A206)=MIN(DAY('Recurring Schedule'!$F$16),DAY(EOMONTH($A206,0))),MOD((YEAR($A206)-YEAR('Recurring Schedule'!$F$16))*12+MONTH($A206)-MONTH('Recurring Schedule'!$F$16),'Recurring Schedule'!$O$16)=0),IF('Recurring Schedule'!$E$16="Weekdays",WEEKDAY($A206,2)&lt;=5,$A206='Recurring Schedule'!$F$16))),11,""))))</f>
        <v/>
      </c>
      <c r="M206">
        <f>IF('Recurring Schedule'!$C$17="","",IF('Recurring Schedule'!$F$17="","",IF(OR($A206&lt;'Recurring Schedule'!$F$17,$A206&gt;'Recurring Schedule'!$P$17),"",IF(IF('Recurring Schedule'!$N$17&gt;0,MOD($A206-'Recurring Schedule'!$F$17,'Recurring Schedule'!$N$17)=0,IF('Recurring Schedule'!$O$17&gt;0,AND(DAY($A206)=MIN(DAY('Recurring Schedule'!$F$17),DAY(EOMONTH($A206,0))),MOD((YEAR($A206)-YEAR('Recurring Schedule'!$F$17))*12+MONTH($A206)-MONTH('Recurring Schedule'!$F$17),'Recurring Schedule'!$O$17)=0),IF('Recurring Schedule'!$E$17="Weekdays",WEEKDAY($A206,2)&lt;=5,$A206='Recurring Schedule'!$F$17))),12,""))))</f>
        <v/>
      </c>
      <c r="N206">
        <f>IF('Recurring Schedule'!$C$18="","",IF('Recurring Schedule'!$F$18="","",IF(OR($A206&lt;'Recurring Schedule'!$F$18,$A206&gt;'Recurring Schedule'!$P$18),"",IF(IF('Recurring Schedule'!$N$18&gt;0,MOD($A206-'Recurring Schedule'!$F$18,'Recurring Schedule'!$N$18)=0,IF('Recurring Schedule'!$O$18&gt;0,AND(DAY($A206)=MIN(DAY('Recurring Schedule'!$F$18),DAY(EOMONTH($A206,0))),MOD((YEAR($A206)-YEAR('Recurring Schedule'!$F$18))*12+MONTH($A206)-MONTH('Recurring Schedule'!$F$18),'Recurring Schedule'!$O$18)=0),IF('Recurring Schedule'!$E$18="Weekdays",WEEKDAY($A206,2)&lt;=5,$A206='Recurring Schedule'!$F$18))),13,""))))</f>
        <v/>
      </c>
      <c r="O206">
        <f>IF('Recurring Schedule'!$C$19="","",IF('Recurring Schedule'!$F$19="","",IF(OR($A206&lt;'Recurring Schedule'!$F$19,$A206&gt;'Recurring Schedule'!$P$19),"",IF(IF('Recurring Schedule'!$N$19&gt;0,MOD($A206-'Recurring Schedule'!$F$19,'Recurring Schedule'!$N$19)=0,IF('Recurring Schedule'!$O$19&gt;0,AND(DAY($A206)=MIN(DAY('Recurring Schedule'!$F$19),DAY(EOMONTH($A206,0))),MOD((YEAR($A206)-YEAR('Recurring Schedule'!$F$19))*12+MONTH($A206)-MONTH('Recurring Schedule'!$F$19),'Recurring Schedule'!$O$19)=0),IF('Recurring Schedule'!$E$19="Weekdays",WEEKDAY($A206,2)&lt;=5,$A206='Recurring Schedule'!$F$19))),14,""))))</f>
        <v/>
      </c>
      <c r="P206">
        <f>IF('Recurring Schedule'!$C$20="","",IF('Recurring Schedule'!$F$20="","",IF(OR($A206&lt;'Recurring Schedule'!$F$20,$A206&gt;'Recurring Schedule'!$P$20),"",IF(IF('Recurring Schedule'!$N$20&gt;0,MOD($A206-'Recurring Schedule'!$F$20,'Recurring Schedule'!$N$20)=0,IF('Recurring Schedule'!$O$20&gt;0,AND(DAY($A206)=MIN(DAY('Recurring Schedule'!$F$20),DAY(EOMONTH($A206,0))),MOD((YEAR($A206)-YEAR('Recurring Schedule'!$F$20))*12+MONTH($A206)-MONTH('Recurring Schedule'!$F$20),'Recurring Schedule'!$O$20)=0),IF('Recurring Schedule'!$E$20="Weekdays",WEEKDAY($A206,2)&lt;=5,$A206='Recurring Schedule'!$F$20))),15,""))))</f>
        <v/>
      </c>
      <c r="Q206">
        <f>IF('Recurring Schedule'!$C$21="","",IF('Recurring Schedule'!$F$21="","",IF(OR($A206&lt;'Recurring Schedule'!$F$21,$A206&gt;'Recurring Schedule'!$P$21),"",IF(IF('Recurring Schedule'!$N$21&gt;0,MOD($A206-'Recurring Schedule'!$F$21,'Recurring Schedule'!$N$21)=0,IF('Recurring Schedule'!$O$21&gt;0,AND(DAY($A206)=MIN(DAY('Recurring Schedule'!$F$21),DAY(EOMONTH($A206,0))),MOD((YEAR($A206)-YEAR('Recurring Schedule'!$F$21))*12+MONTH($A206)-MONTH('Recurring Schedule'!$F$21),'Recurring Schedule'!$O$21)=0),IF('Recurring Schedule'!$E$21="Weekdays",WEEKDAY($A206,2)&lt;=5,$A206='Recurring Schedule'!$F$21))),16,""))))</f>
        <v/>
      </c>
      <c r="R206">
        <f>IF('Recurring Schedule'!$C$22="","",IF('Recurring Schedule'!$F$22="","",IF(OR($A206&lt;'Recurring Schedule'!$F$22,$A206&gt;'Recurring Schedule'!$P$22),"",IF(IF('Recurring Schedule'!$N$22&gt;0,MOD($A206-'Recurring Schedule'!$F$22,'Recurring Schedule'!$N$22)=0,IF('Recurring Schedule'!$O$22&gt;0,AND(DAY($A206)=MIN(DAY('Recurring Schedule'!$F$22),DAY(EOMONTH($A206,0))),MOD((YEAR($A206)-YEAR('Recurring Schedule'!$F$22))*12+MONTH($A206)-MONTH('Recurring Schedule'!$F$22),'Recurring Schedule'!$O$22)=0),IF('Recurring Schedule'!$E$22="Weekdays",WEEKDAY($A206,2)&lt;=5,$A206='Recurring Schedule'!$F$22))),17,""))))</f>
        <v/>
      </c>
      <c r="S206">
        <f>IF('Recurring Schedule'!$C$23="","",IF('Recurring Schedule'!$F$23="","",IF(OR($A206&lt;'Recurring Schedule'!$F$23,$A206&gt;'Recurring Schedule'!$P$23),"",IF(IF('Recurring Schedule'!$N$23&gt;0,MOD($A206-'Recurring Schedule'!$F$23,'Recurring Schedule'!$N$23)=0,IF('Recurring Schedule'!$O$23&gt;0,AND(DAY($A206)=MIN(DAY('Recurring Schedule'!$F$23),DAY(EOMONTH($A206,0))),MOD((YEAR($A206)-YEAR('Recurring Schedule'!$F$23))*12+MONTH($A206)-MONTH('Recurring Schedule'!$F$23),'Recurring Schedule'!$O$23)=0),IF('Recurring Schedule'!$E$23="Weekdays",WEEKDAY($A206,2)&lt;=5,$A206='Recurring Schedule'!$F$23))),18,""))))</f>
        <v/>
      </c>
      <c r="T206">
        <f>IF('Recurring Schedule'!$C$24="","",IF('Recurring Schedule'!$F$24="","",IF(OR($A206&lt;'Recurring Schedule'!$F$24,$A206&gt;'Recurring Schedule'!$P$24),"",IF(IF('Recurring Schedule'!$N$24&gt;0,MOD($A206-'Recurring Schedule'!$F$24,'Recurring Schedule'!$N$24)=0,IF('Recurring Schedule'!$O$24&gt;0,AND(DAY($A206)=MIN(DAY('Recurring Schedule'!$F$24),DAY(EOMONTH($A206,0))),MOD((YEAR($A206)-YEAR('Recurring Schedule'!$F$24))*12+MONTH($A206)-MONTH('Recurring Schedule'!$F$24),'Recurring Schedule'!$O$24)=0),IF('Recurring Schedule'!$E$24="Weekdays",WEEKDAY($A206,2)&lt;=5,$A206='Recurring Schedule'!$F$24))),19,""))))</f>
        <v/>
      </c>
      <c r="U206">
        <f>IF('Recurring Schedule'!$C$25="","",IF('Recurring Schedule'!$F$25="","",IF(OR($A206&lt;'Recurring Schedule'!$F$25,$A206&gt;'Recurring Schedule'!$P$25),"",IF(IF('Recurring Schedule'!$N$25&gt;0,MOD($A206-'Recurring Schedule'!$F$25,'Recurring Schedule'!$N$25)=0,IF('Recurring Schedule'!$O$25&gt;0,AND(DAY($A206)=MIN(DAY('Recurring Schedule'!$F$25),DAY(EOMONTH($A206,0))),MOD((YEAR($A206)-YEAR('Recurring Schedule'!$F$25))*12+MONTH($A206)-MONTH('Recurring Schedule'!$F$25),'Recurring Schedule'!$O$25)=0),IF('Recurring Schedule'!$E$25="Weekdays",WEEKDAY($A206,2)&lt;=5,$A206='Recurring Schedule'!$F$25))),20,""))))</f>
        <v/>
      </c>
      <c r="V206">
        <f>IF('Recurring Schedule'!$C$26="","",IF('Recurring Schedule'!$F$26="","",IF(OR($A206&lt;'Recurring Schedule'!$F$26,$A206&gt;'Recurring Schedule'!$P$26),"",IF(IF('Recurring Schedule'!$N$26&gt;0,MOD($A206-'Recurring Schedule'!$F$26,'Recurring Schedule'!$N$26)=0,IF('Recurring Schedule'!$O$26&gt;0,AND(DAY($A206)=MIN(DAY('Recurring Schedule'!$F$26),DAY(EOMONTH($A206,0))),MOD((YEAR($A206)-YEAR('Recurring Schedule'!$F$26))*12+MONTH($A206)-MONTH('Recurring Schedule'!$F$26),'Recurring Schedule'!$O$26)=0),IF('Recurring Schedule'!$E$26="Weekdays",WEEKDAY($A206,2)&lt;=5,$A206='Recurring Schedule'!$F$26))),21,""))))</f>
        <v/>
      </c>
      <c r="W206">
        <f>IF('Recurring Schedule'!$C$27="","",IF('Recurring Schedule'!$F$27="","",IF(OR($A206&lt;'Recurring Schedule'!$F$27,$A206&gt;'Recurring Schedule'!$P$27),"",IF(IF('Recurring Schedule'!$N$27&gt;0,MOD($A206-'Recurring Schedule'!$F$27,'Recurring Schedule'!$N$27)=0,IF('Recurring Schedule'!$O$27&gt;0,AND(DAY($A206)=MIN(DAY('Recurring Schedule'!$F$27),DAY(EOMONTH($A206,0))),MOD((YEAR($A206)-YEAR('Recurring Schedule'!$F$27))*12+MONTH($A206)-MONTH('Recurring Schedule'!$F$27),'Recurring Schedule'!$O$27)=0),IF('Recurring Schedule'!$E$27="Weekdays",WEEKDAY($A206,2)&lt;=5,$A206='Recurring Schedule'!$F$27))),22,""))))</f>
        <v/>
      </c>
      <c r="X206">
        <f>IF('Recurring Schedule'!$C$28="","",IF('Recurring Schedule'!$F$28="","",IF(OR($A206&lt;'Recurring Schedule'!$F$28,$A206&gt;'Recurring Schedule'!$P$28),"",IF(IF('Recurring Schedule'!$N$28&gt;0,MOD($A206-'Recurring Schedule'!$F$28,'Recurring Schedule'!$N$28)=0,IF('Recurring Schedule'!$O$28&gt;0,AND(DAY($A206)=MIN(DAY('Recurring Schedule'!$F$28),DAY(EOMONTH($A206,0))),MOD((YEAR($A206)-YEAR('Recurring Schedule'!$F$28))*12+MONTH($A206)-MONTH('Recurring Schedule'!$F$28),'Recurring Schedule'!$O$28)=0),IF('Recurring Schedule'!$E$28="Weekdays",WEEKDAY($A206,2)&lt;=5,$A206='Recurring Schedule'!$F$28))),23,""))))</f>
        <v/>
      </c>
      <c r="Y206">
        <f>IF('Recurring Schedule'!$C$29="","",IF('Recurring Schedule'!$F$29="","",IF(OR($A206&lt;'Recurring Schedule'!$F$29,$A206&gt;'Recurring Schedule'!$P$29),"",IF(IF('Recurring Schedule'!$N$29&gt;0,MOD($A206-'Recurring Schedule'!$F$29,'Recurring Schedule'!$N$29)=0,IF('Recurring Schedule'!$O$29&gt;0,AND(DAY($A206)=MIN(DAY('Recurring Schedule'!$F$29),DAY(EOMONTH($A206,0))),MOD((YEAR($A206)-YEAR('Recurring Schedule'!$F$29))*12+MONTH($A206)-MONTH('Recurring Schedule'!$F$29),'Recurring Schedule'!$O$29)=0),IF('Recurring Schedule'!$E$29="Weekdays",WEEKDAY($A206,2)&lt;=5,$A206='Recurring Schedule'!$F$29))),24,""))))</f>
        <v/>
      </c>
      <c r="Z206">
        <f>IF('Recurring Schedule'!$C$30="","",IF('Recurring Schedule'!$F$30="","",IF(OR($A206&lt;'Recurring Schedule'!$F$30,$A206&gt;'Recurring Schedule'!$P$30),"",IF(IF('Recurring Schedule'!$N$30&gt;0,MOD($A206-'Recurring Schedule'!$F$30,'Recurring Schedule'!$N$30)=0,IF('Recurring Schedule'!$O$30&gt;0,AND(DAY($A206)=MIN(DAY('Recurring Schedule'!$F$30),DAY(EOMONTH($A206,0))),MOD((YEAR($A206)-YEAR('Recurring Schedule'!$F$30))*12+MONTH($A206)-MONTH('Recurring Schedule'!$F$30),'Recurring Schedule'!$O$30)=0),IF('Recurring Schedule'!$E$30="Weekdays",WEEKDAY($A206,2)&lt;=5,$A206='Recurring Schedule'!$F$30))),25,""))))</f>
        <v/>
      </c>
      <c r="AA206">
        <f>IF('Recurring Schedule'!$C$31="","",IF('Recurring Schedule'!$F$31="","",IF(OR($A206&lt;'Recurring Schedule'!$F$31,$A206&gt;'Recurring Schedule'!$P$31),"",IF(IF('Recurring Schedule'!$N$31&gt;0,MOD($A206-'Recurring Schedule'!$F$31,'Recurring Schedule'!$N$31)=0,IF('Recurring Schedule'!$O$31&gt;0,AND(DAY($A206)=MIN(DAY('Recurring Schedule'!$F$31),DAY(EOMONTH($A206,0))),MOD((YEAR($A206)-YEAR('Recurring Schedule'!$F$31))*12+MONTH($A206)-MONTH('Recurring Schedule'!$F$31),'Recurring Schedule'!$O$31)=0),IF('Recurring Schedule'!$E$31="Weekdays",WEEKDAY($A206,2)&lt;=5,$A206='Recurring Schedule'!$F$31))),26,""))))</f>
        <v/>
      </c>
      <c r="AB206">
        <f>IF('Recurring Schedule'!$C$32="","",IF('Recurring Schedule'!$F$32="","",IF(OR($A206&lt;'Recurring Schedule'!$F$32,$A206&gt;'Recurring Schedule'!$P$32),"",IF(IF('Recurring Schedule'!$N$32&gt;0,MOD($A206-'Recurring Schedule'!$F$32,'Recurring Schedule'!$N$32)=0,IF('Recurring Schedule'!$O$32&gt;0,AND(DAY($A206)=MIN(DAY('Recurring Schedule'!$F$32),DAY(EOMONTH($A206,0))),MOD((YEAR($A206)-YEAR('Recurring Schedule'!$F$32))*12+MONTH($A206)-MONTH('Recurring Schedule'!$F$32),'Recurring Schedule'!$O$32)=0),IF('Recurring Schedule'!$E$32="Weekdays",WEEKDAY($A206,2)&lt;=5,$A206='Recurring Schedule'!$F$32))),27,""))))</f>
        <v/>
      </c>
      <c r="AC206">
        <f>IF('Recurring Schedule'!$C$33="","",IF('Recurring Schedule'!$F$33="","",IF(OR($A206&lt;'Recurring Schedule'!$F$33,$A206&gt;'Recurring Schedule'!$P$33),"",IF(IF('Recurring Schedule'!$N$33&gt;0,MOD($A206-'Recurring Schedule'!$F$33,'Recurring Schedule'!$N$33)=0,IF('Recurring Schedule'!$O$33&gt;0,AND(DAY($A206)=MIN(DAY('Recurring Schedule'!$F$33),DAY(EOMONTH($A206,0))),MOD((YEAR($A206)-YEAR('Recurring Schedule'!$F$33))*12+MONTH($A206)-MONTH('Recurring Schedule'!$F$33),'Recurring Schedule'!$O$33)=0),IF('Recurring Schedule'!$E$33="Weekdays",WEEKDAY($A206,2)&lt;=5,$A206='Recurring Schedule'!$F$33))),28,""))))</f>
        <v/>
      </c>
      <c r="AD206">
        <f>IF('Recurring Schedule'!$C$34="","",IF('Recurring Schedule'!$F$34="","",IF(OR($A206&lt;'Recurring Schedule'!$F$34,$A206&gt;'Recurring Schedule'!$P$34),"",IF(IF('Recurring Schedule'!$N$34&gt;0,MOD($A206-'Recurring Schedule'!$F$34,'Recurring Schedule'!$N$34)=0,IF('Recurring Schedule'!$O$34&gt;0,AND(DAY($A206)=MIN(DAY('Recurring Schedule'!$F$34),DAY(EOMONTH($A206,0))),MOD((YEAR($A206)-YEAR('Recurring Schedule'!$F$34))*12+MONTH($A206)-MONTH('Recurring Schedule'!$F$34),'Recurring Schedule'!$O$34)=0),IF('Recurring Schedule'!$E$34="Weekdays",WEEKDAY($A206,2)&lt;=5,$A206='Recurring Schedule'!$F$34))),29,""))))</f>
        <v/>
      </c>
      <c r="AE206">
        <f>IF('Recurring Schedule'!$C$35="","",IF('Recurring Schedule'!$F$35="","",IF(OR($A206&lt;'Recurring Schedule'!$F$35,$A206&gt;'Recurring Schedule'!$P$35),"",IF(IF('Recurring Schedule'!$N$35&gt;0,MOD($A206-'Recurring Schedule'!$F$35,'Recurring Schedule'!$N$35)=0,IF('Recurring Schedule'!$O$35&gt;0,AND(DAY($A206)=MIN(DAY('Recurring Schedule'!$F$35),DAY(EOMONTH($A206,0))),MOD((YEAR($A206)-YEAR('Recurring Schedule'!$F$35))*12+MONTH($A206)-MONTH('Recurring Schedule'!$F$35),'Recurring Schedule'!$O$35)=0),IF('Recurring Schedule'!$E$35="Weekdays",WEEKDAY($A206,2)&lt;=5,$A206='Recurring Schedule'!$F$35))),30,""))))</f>
        <v/>
      </c>
      <c r="AF206">
        <f>IF('Recurring Schedule'!$C$36="","",IF('Recurring Schedule'!$F$36="","",IF(OR($A206&lt;'Recurring Schedule'!$F$36,$A206&gt;'Recurring Schedule'!$P$36),"",IF(IF('Recurring Schedule'!$N$36&gt;0,MOD($A206-'Recurring Schedule'!$F$36,'Recurring Schedule'!$N$36)=0,IF('Recurring Schedule'!$O$36&gt;0,AND(DAY($A206)=MIN(DAY('Recurring Schedule'!$F$36),DAY(EOMONTH($A206,0))),MOD((YEAR($A206)-YEAR('Recurring Schedule'!$F$36))*12+MONTH($A206)-MONTH('Recurring Schedule'!$F$36),'Recurring Schedule'!$O$36)=0),IF('Recurring Schedule'!$E$36="Weekdays",WEEKDAY($A206,2)&lt;=5,$A206='Recurring Schedule'!$F$36))),31,""))))</f>
        <v/>
      </c>
      <c r="AG206">
        <f>IF('Recurring Schedule'!$C$37="","",IF('Recurring Schedule'!$F$37="","",IF(OR($A206&lt;'Recurring Schedule'!$F$37,$A206&gt;'Recurring Schedule'!$P$37),"",IF(IF('Recurring Schedule'!$N$37&gt;0,MOD($A206-'Recurring Schedule'!$F$37,'Recurring Schedule'!$N$37)=0,IF('Recurring Schedule'!$O$37&gt;0,AND(DAY($A206)=MIN(DAY('Recurring Schedule'!$F$37),DAY(EOMONTH($A206,0))),MOD((YEAR($A206)-YEAR('Recurring Schedule'!$F$37))*12+MONTH($A206)-MONTH('Recurring Schedule'!$F$37),'Recurring Schedule'!$O$37)=0),IF('Recurring Schedule'!$E$37="Weekdays",WEEKDAY($A206,2)&lt;=5,$A206='Recurring Schedule'!$F$37))),32,""))))</f>
        <v/>
      </c>
      <c r="AH206">
        <f>IF('Recurring Schedule'!$C$38="","",IF('Recurring Schedule'!$F$38="","",IF(OR($A206&lt;'Recurring Schedule'!$F$38,$A206&gt;'Recurring Schedule'!$P$38),"",IF(IF('Recurring Schedule'!$N$38&gt;0,MOD($A206-'Recurring Schedule'!$F$38,'Recurring Schedule'!$N$38)=0,IF('Recurring Schedule'!$O$38&gt;0,AND(DAY($A206)=MIN(DAY('Recurring Schedule'!$F$38),DAY(EOMONTH($A206,0))),MOD((YEAR($A206)-YEAR('Recurring Schedule'!$F$38))*12+MONTH($A206)-MONTH('Recurring Schedule'!$F$38),'Recurring Schedule'!$O$38)=0),IF('Recurring Schedule'!$E$38="Weekdays",WEEKDAY($A206,2)&lt;=5,$A206='Recurring Schedule'!$F$38))),33,""))))</f>
        <v/>
      </c>
      <c r="AI206">
        <f>IF('Recurring Schedule'!$C$39="","",IF('Recurring Schedule'!$F$39="","",IF(OR($A206&lt;'Recurring Schedule'!$F$39,$A206&gt;'Recurring Schedule'!$P$39),"",IF(IF('Recurring Schedule'!$N$39&gt;0,MOD($A206-'Recurring Schedule'!$F$39,'Recurring Schedule'!$N$39)=0,IF('Recurring Schedule'!$O$39&gt;0,AND(DAY($A206)=MIN(DAY('Recurring Schedule'!$F$39),DAY(EOMONTH($A206,0))),MOD((YEAR($A206)-YEAR('Recurring Schedule'!$F$39))*12+MONTH($A206)-MONTH('Recurring Schedule'!$F$39),'Recurring Schedule'!$O$39)=0),IF('Recurring Schedule'!$E$39="Weekdays",WEEKDAY($A206,2)&lt;=5,$A206='Recurring Schedule'!$F$39))),34,""))))</f>
        <v/>
      </c>
      <c r="AJ206">
        <f>IF('Recurring Schedule'!$C$40="","",IF('Recurring Schedule'!$F$40="","",IF(OR($A206&lt;'Recurring Schedule'!$F$40,$A206&gt;'Recurring Schedule'!$P$40),"",IF(IF('Recurring Schedule'!$N$40&gt;0,MOD($A206-'Recurring Schedule'!$F$40,'Recurring Schedule'!$N$40)=0,IF('Recurring Schedule'!$O$40&gt;0,AND(DAY($A206)=MIN(DAY('Recurring Schedule'!$F$40),DAY(EOMONTH($A206,0))),MOD((YEAR($A206)-YEAR('Recurring Schedule'!$F$40))*12+MONTH($A206)-MONTH('Recurring Schedule'!$F$40),'Recurring Schedule'!$O$40)=0),IF('Recurring Schedule'!$E$40="Weekdays",WEEKDAY($A206,2)&lt;=5,$A206='Recurring Schedule'!$F$40))),35,""))))</f>
        <v/>
      </c>
      <c r="AK206">
        <f>IF('Recurring Schedule'!$C$41="","",IF('Recurring Schedule'!$F$41="","",IF(OR($A206&lt;'Recurring Schedule'!$F$41,$A206&gt;'Recurring Schedule'!$P$41),"",IF(IF('Recurring Schedule'!$N$41&gt;0,MOD($A206-'Recurring Schedule'!$F$41,'Recurring Schedule'!$N$41)=0,IF('Recurring Schedule'!$O$41&gt;0,AND(DAY($A206)=MIN(DAY('Recurring Schedule'!$F$41),DAY(EOMONTH($A206,0))),MOD((YEAR($A206)-YEAR('Recurring Schedule'!$F$41))*12+MONTH($A206)-MONTH('Recurring Schedule'!$F$41),'Recurring Schedule'!$O$41)=0),IF('Recurring Schedule'!$E$41="Weekdays",WEEKDAY($A206,2)&lt;=5,$A206='Recurring Schedule'!$F$41))),36,""))))</f>
        <v/>
      </c>
      <c r="AL206">
        <f>IF('Recurring Schedule'!$C$42="","",IF('Recurring Schedule'!$F$42="","",IF(OR($A206&lt;'Recurring Schedule'!$F$42,$A206&gt;'Recurring Schedule'!$P$42),"",IF(IF('Recurring Schedule'!$N$42&gt;0,MOD($A206-'Recurring Schedule'!$F$42,'Recurring Schedule'!$N$42)=0,IF('Recurring Schedule'!$O$42&gt;0,AND(DAY($A206)=MIN(DAY('Recurring Schedule'!$F$42),DAY(EOMONTH($A206,0))),MOD((YEAR($A206)-YEAR('Recurring Schedule'!$F$42))*12+MONTH($A206)-MONTH('Recurring Schedule'!$F$42),'Recurring Schedule'!$O$42)=0),IF('Recurring Schedule'!$E$42="Weekdays",WEEKDAY($A206,2)&lt;=5,$A206='Recurring Schedule'!$F$42))),37,""))))</f>
        <v/>
      </c>
      <c r="AM206">
        <f>IF('Recurring Schedule'!$C$43="","",IF('Recurring Schedule'!$F$43="","",IF(OR($A206&lt;'Recurring Schedule'!$F$43,$A206&gt;'Recurring Schedule'!$P$43),"",IF(IF('Recurring Schedule'!$N$43&gt;0,MOD($A206-'Recurring Schedule'!$F$43,'Recurring Schedule'!$N$43)=0,IF('Recurring Schedule'!$O$43&gt;0,AND(DAY($A206)=MIN(DAY('Recurring Schedule'!$F$43),DAY(EOMONTH($A206,0))),MOD((YEAR($A206)-YEAR('Recurring Schedule'!$F$43))*12+MONTH($A206)-MONTH('Recurring Schedule'!$F$43),'Recurring Schedule'!$O$43)=0),IF('Recurring Schedule'!$E$43="Weekdays",WEEKDAY($A206,2)&lt;=5,$A206='Recurring Schedule'!$F$43))),38,""))))</f>
        <v/>
      </c>
      <c r="AN206">
        <f>IF('Recurring Schedule'!$C$44="","",IF('Recurring Schedule'!$F$44="","",IF(OR($A206&lt;'Recurring Schedule'!$F$44,$A206&gt;'Recurring Schedule'!$P$44),"",IF(IF('Recurring Schedule'!$N$44&gt;0,MOD($A206-'Recurring Schedule'!$F$44,'Recurring Schedule'!$N$44)=0,IF('Recurring Schedule'!$O$44&gt;0,AND(DAY($A206)=MIN(DAY('Recurring Schedule'!$F$44),DAY(EOMONTH($A206,0))),MOD((YEAR($A206)-YEAR('Recurring Schedule'!$F$44))*12+MONTH($A206)-MONTH('Recurring Schedule'!$F$44),'Recurring Schedule'!$O$44)=0),IF('Recurring Schedule'!$E$44="Weekdays",WEEKDAY($A206,2)&lt;=5,$A206='Recurring Schedule'!$F$44))),39,""))))</f>
        <v/>
      </c>
      <c r="AO206">
        <f>IF('Recurring Schedule'!$C$45="","",IF('Recurring Schedule'!$F$45="","",IF(OR($A206&lt;'Recurring Schedule'!$F$45,$A206&gt;'Recurring Schedule'!$P$45),"",IF(IF('Recurring Schedule'!$N$45&gt;0,MOD($A206-'Recurring Schedule'!$F$45,'Recurring Schedule'!$N$45)=0,IF('Recurring Schedule'!$O$45&gt;0,AND(DAY($A206)=MIN(DAY('Recurring Schedule'!$F$45),DAY(EOMONTH($A206,0))),MOD((YEAR($A206)-YEAR('Recurring Schedule'!$F$45))*12+MONTH($A206)-MONTH('Recurring Schedule'!$F$45),'Recurring Schedule'!$O$45)=0),IF('Recurring Schedule'!$E$45="Weekdays",WEEKDAY($A206,2)&lt;=5,$A206='Recurring Schedule'!$F$45))),40,""))))</f>
        <v/>
      </c>
      <c r="AP206">
        <f>COUNT(B206:AO206)</f>
        <v/>
      </c>
      <c r="AQ206">
        <f>AQ205+AP205</f>
        <v/>
      </c>
      <c r="AS206" t="inlineStr">
        <is>
          <t>R</t>
        </is>
      </c>
      <c r="AT206" t="n">
        <v>210</v>
      </c>
      <c r="AU206">
        <f>'Recurring Log'!C210&amp;""</f>
        <v/>
      </c>
      <c r="AV206">
        <f>'Recurring Log'!D210&amp;""</f>
        <v/>
      </c>
      <c r="AW206">
        <f>IF('Recurring Log'!E210="","",'Recurring Log'!E210)</f>
        <v/>
      </c>
      <c r="AX206">
        <f>IF('Recurring Log'!G210="","",'Recurring Log'!G210)</f>
        <v/>
      </c>
      <c r="AY206">
        <f>IF('Recurring Log'!H210="","",'Recurring Log'!H210)</f>
        <v/>
      </c>
      <c r="AZ206">
        <f>IF(AU206="","",IF('Recurring Log'!J210="","Not Started",'Recurring Log'!J210))</f>
        <v/>
      </c>
      <c r="BA206">
        <f>'Recurring Log'!L210&amp;""</f>
        <v/>
      </c>
      <c r="BB206">
        <f>'Recurring Log'!M210&amp;""</f>
        <v/>
      </c>
      <c r="BC206">
        <f>'Recurring Log'!N210&amp;""</f>
        <v/>
      </c>
      <c r="BD206">
        <f>'Recurring Log'!O210&amp;""</f>
        <v/>
      </c>
      <c r="BE206">
        <f>IF('Recurring Log'!K210="","",'Recurring Log'!K210)</f>
        <v/>
      </c>
      <c r="BF206">
        <f>IFERROR(MATCH(BA206,Setup!$L$6:$L$9,0),5)</f>
        <v/>
      </c>
      <c r="BG206">
        <f>IF(OR(AZ206="Done",AZ206="Cancelled"),1,0)</f>
        <v/>
      </c>
      <c r="BH206">
        <f>IF(AND(AU206&lt;&gt;"",ISNUMBER(AW206)),1,0)</f>
        <v/>
      </c>
      <c r="BI206">
        <f>IF(BH206=0,0,IF(AND(AW206&gt;='Tasks Filter'!$F$3,AW206&lt;='Tasks Filter'!$F$4,OR('Tasks Filter'!$I$3="",ISNUMBER(SEARCH('Tasks Filter'!$I$3,AU206))),OR('Tasks Filter'!$I$4="",BF206=IFERROR(MATCH('Tasks Filter'!$I$4,Setup!$L$6:$L$9,0),0)),OR('Tasks Filter'!$I$5="Both",AND('Tasks Filter'!$I$5="Yes",BB206="✓"),AND('Tasks Filter'!$I$5="No",BB206&lt;&gt;"✓")),OR('Tasks Filter'!$L$3="",AV206='Tasks Filter'!$L$3),OR('Tasks Filter'!$L$4="",AZ206='Tasks Filter'!$L$4),OR('Tasks Filter'!$L$5="",BC206='Tasks Filter'!$L$5),OR('Tasks Filter'!$O$3="",BD206='Tasks Filter'!$O$3),OR('Tasks Filter'!$O$4="Yes",BG206=0)),1,0))</f>
        <v/>
      </c>
      <c r="BJ206">
        <f>IF(BH206=0,"",IF('Tasks Filter'!$F$6="Descending",-1,1)*CHOOSE(MATCH('Tasks Filter'!$F$5,Lists!$G$2:$G$6,0),AW206,BF206,IFERROR(MATCH(AV206,Setup!$F$6:$F$15,0),99),IFERROR(MATCH(BC206,Setup!$H$6:$H$15,0),99),IFERROR(MATCH(AZ206,Setup!$J$6:$J$11,0),99))*1E+9+(AW206-40000)*10000+205)</f>
        <v/>
      </c>
      <c r="BK206">
        <f>IF(BI206=1,BJ206,"")</f>
        <v/>
      </c>
      <c r="BL206">
        <f>IF(AND(BH206=1,BG206=0,N(AW206)&lt;Setup!$D$7),(AW206-40000)*10000+205,"")</f>
        <v/>
      </c>
      <c r="BM206">
        <f>IF(AND(BH206=1,AZ206&lt;&gt;"Cancelled",N(AW206)&gt;=Dashboard!$AB$3,N(AW206)&lt;=Dashboard!$AB$3+6),(AW206-40000)*100000+BF206*10000+205,"")</f>
        <v/>
      </c>
      <c r="BN206">
        <f>IF(AND(BH206=1,AZ206&lt;&gt;"Cancelled"),BF206*10000+205,"")</f>
        <v/>
      </c>
    </row>
    <row r="207">
      <c r="A207">
        <f>Setup!$D$5+205</f>
        <v/>
      </c>
      <c r="B207">
        <f>IF('Recurring Schedule'!$C$6="","",IF('Recurring Schedule'!$F$6="","",IF(OR($A207&lt;'Recurring Schedule'!$F$6,$A207&gt;'Recurring Schedule'!$P$6),"",IF(IF('Recurring Schedule'!$N$6&gt;0,MOD($A207-'Recurring Schedule'!$F$6,'Recurring Schedule'!$N$6)=0,IF('Recurring Schedule'!$O$6&gt;0,AND(DAY($A207)=MIN(DAY('Recurring Schedule'!$F$6),DAY(EOMONTH($A207,0))),MOD((YEAR($A207)-YEAR('Recurring Schedule'!$F$6))*12+MONTH($A207)-MONTH('Recurring Schedule'!$F$6),'Recurring Schedule'!$O$6)=0),IF('Recurring Schedule'!$E$6="Weekdays",WEEKDAY($A207,2)&lt;=5,$A207='Recurring Schedule'!$F$6))),1,""))))</f>
        <v/>
      </c>
      <c r="C207">
        <f>IF('Recurring Schedule'!$C$7="","",IF('Recurring Schedule'!$F$7="","",IF(OR($A207&lt;'Recurring Schedule'!$F$7,$A207&gt;'Recurring Schedule'!$P$7),"",IF(IF('Recurring Schedule'!$N$7&gt;0,MOD($A207-'Recurring Schedule'!$F$7,'Recurring Schedule'!$N$7)=0,IF('Recurring Schedule'!$O$7&gt;0,AND(DAY($A207)=MIN(DAY('Recurring Schedule'!$F$7),DAY(EOMONTH($A207,0))),MOD((YEAR($A207)-YEAR('Recurring Schedule'!$F$7))*12+MONTH($A207)-MONTH('Recurring Schedule'!$F$7),'Recurring Schedule'!$O$7)=0),IF('Recurring Schedule'!$E$7="Weekdays",WEEKDAY($A207,2)&lt;=5,$A207='Recurring Schedule'!$F$7))),2,""))))</f>
        <v/>
      </c>
      <c r="D207">
        <f>IF('Recurring Schedule'!$C$8="","",IF('Recurring Schedule'!$F$8="","",IF(OR($A207&lt;'Recurring Schedule'!$F$8,$A207&gt;'Recurring Schedule'!$P$8),"",IF(IF('Recurring Schedule'!$N$8&gt;0,MOD($A207-'Recurring Schedule'!$F$8,'Recurring Schedule'!$N$8)=0,IF('Recurring Schedule'!$O$8&gt;0,AND(DAY($A207)=MIN(DAY('Recurring Schedule'!$F$8),DAY(EOMONTH($A207,0))),MOD((YEAR($A207)-YEAR('Recurring Schedule'!$F$8))*12+MONTH($A207)-MONTH('Recurring Schedule'!$F$8),'Recurring Schedule'!$O$8)=0),IF('Recurring Schedule'!$E$8="Weekdays",WEEKDAY($A207,2)&lt;=5,$A207='Recurring Schedule'!$F$8))),3,""))))</f>
        <v/>
      </c>
      <c r="E207">
        <f>IF('Recurring Schedule'!$C$9="","",IF('Recurring Schedule'!$F$9="","",IF(OR($A207&lt;'Recurring Schedule'!$F$9,$A207&gt;'Recurring Schedule'!$P$9),"",IF(IF('Recurring Schedule'!$N$9&gt;0,MOD($A207-'Recurring Schedule'!$F$9,'Recurring Schedule'!$N$9)=0,IF('Recurring Schedule'!$O$9&gt;0,AND(DAY($A207)=MIN(DAY('Recurring Schedule'!$F$9),DAY(EOMONTH($A207,0))),MOD((YEAR($A207)-YEAR('Recurring Schedule'!$F$9))*12+MONTH($A207)-MONTH('Recurring Schedule'!$F$9),'Recurring Schedule'!$O$9)=0),IF('Recurring Schedule'!$E$9="Weekdays",WEEKDAY($A207,2)&lt;=5,$A207='Recurring Schedule'!$F$9))),4,""))))</f>
        <v/>
      </c>
      <c r="F207">
        <f>IF('Recurring Schedule'!$C$10="","",IF('Recurring Schedule'!$F$10="","",IF(OR($A207&lt;'Recurring Schedule'!$F$10,$A207&gt;'Recurring Schedule'!$P$10),"",IF(IF('Recurring Schedule'!$N$10&gt;0,MOD($A207-'Recurring Schedule'!$F$10,'Recurring Schedule'!$N$10)=0,IF('Recurring Schedule'!$O$10&gt;0,AND(DAY($A207)=MIN(DAY('Recurring Schedule'!$F$10),DAY(EOMONTH($A207,0))),MOD((YEAR($A207)-YEAR('Recurring Schedule'!$F$10))*12+MONTH($A207)-MONTH('Recurring Schedule'!$F$10),'Recurring Schedule'!$O$10)=0),IF('Recurring Schedule'!$E$10="Weekdays",WEEKDAY($A207,2)&lt;=5,$A207='Recurring Schedule'!$F$10))),5,""))))</f>
        <v/>
      </c>
      <c r="G207">
        <f>IF('Recurring Schedule'!$C$11="","",IF('Recurring Schedule'!$F$11="","",IF(OR($A207&lt;'Recurring Schedule'!$F$11,$A207&gt;'Recurring Schedule'!$P$11),"",IF(IF('Recurring Schedule'!$N$11&gt;0,MOD($A207-'Recurring Schedule'!$F$11,'Recurring Schedule'!$N$11)=0,IF('Recurring Schedule'!$O$11&gt;0,AND(DAY($A207)=MIN(DAY('Recurring Schedule'!$F$11),DAY(EOMONTH($A207,0))),MOD((YEAR($A207)-YEAR('Recurring Schedule'!$F$11))*12+MONTH($A207)-MONTH('Recurring Schedule'!$F$11),'Recurring Schedule'!$O$11)=0),IF('Recurring Schedule'!$E$11="Weekdays",WEEKDAY($A207,2)&lt;=5,$A207='Recurring Schedule'!$F$11))),6,""))))</f>
        <v/>
      </c>
      <c r="H207">
        <f>IF('Recurring Schedule'!$C$12="","",IF('Recurring Schedule'!$F$12="","",IF(OR($A207&lt;'Recurring Schedule'!$F$12,$A207&gt;'Recurring Schedule'!$P$12),"",IF(IF('Recurring Schedule'!$N$12&gt;0,MOD($A207-'Recurring Schedule'!$F$12,'Recurring Schedule'!$N$12)=0,IF('Recurring Schedule'!$O$12&gt;0,AND(DAY($A207)=MIN(DAY('Recurring Schedule'!$F$12),DAY(EOMONTH($A207,0))),MOD((YEAR($A207)-YEAR('Recurring Schedule'!$F$12))*12+MONTH($A207)-MONTH('Recurring Schedule'!$F$12),'Recurring Schedule'!$O$12)=0),IF('Recurring Schedule'!$E$12="Weekdays",WEEKDAY($A207,2)&lt;=5,$A207='Recurring Schedule'!$F$12))),7,""))))</f>
        <v/>
      </c>
      <c r="I207">
        <f>IF('Recurring Schedule'!$C$13="","",IF('Recurring Schedule'!$F$13="","",IF(OR($A207&lt;'Recurring Schedule'!$F$13,$A207&gt;'Recurring Schedule'!$P$13),"",IF(IF('Recurring Schedule'!$N$13&gt;0,MOD($A207-'Recurring Schedule'!$F$13,'Recurring Schedule'!$N$13)=0,IF('Recurring Schedule'!$O$13&gt;0,AND(DAY($A207)=MIN(DAY('Recurring Schedule'!$F$13),DAY(EOMONTH($A207,0))),MOD((YEAR($A207)-YEAR('Recurring Schedule'!$F$13))*12+MONTH($A207)-MONTH('Recurring Schedule'!$F$13),'Recurring Schedule'!$O$13)=0),IF('Recurring Schedule'!$E$13="Weekdays",WEEKDAY($A207,2)&lt;=5,$A207='Recurring Schedule'!$F$13))),8,""))))</f>
        <v/>
      </c>
      <c r="J207">
        <f>IF('Recurring Schedule'!$C$14="","",IF('Recurring Schedule'!$F$14="","",IF(OR($A207&lt;'Recurring Schedule'!$F$14,$A207&gt;'Recurring Schedule'!$P$14),"",IF(IF('Recurring Schedule'!$N$14&gt;0,MOD($A207-'Recurring Schedule'!$F$14,'Recurring Schedule'!$N$14)=0,IF('Recurring Schedule'!$O$14&gt;0,AND(DAY($A207)=MIN(DAY('Recurring Schedule'!$F$14),DAY(EOMONTH($A207,0))),MOD((YEAR($A207)-YEAR('Recurring Schedule'!$F$14))*12+MONTH($A207)-MONTH('Recurring Schedule'!$F$14),'Recurring Schedule'!$O$14)=0),IF('Recurring Schedule'!$E$14="Weekdays",WEEKDAY($A207,2)&lt;=5,$A207='Recurring Schedule'!$F$14))),9,""))))</f>
        <v/>
      </c>
      <c r="K207">
        <f>IF('Recurring Schedule'!$C$15="","",IF('Recurring Schedule'!$F$15="","",IF(OR($A207&lt;'Recurring Schedule'!$F$15,$A207&gt;'Recurring Schedule'!$P$15),"",IF(IF('Recurring Schedule'!$N$15&gt;0,MOD($A207-'Recurring Schedule'!$F$15,'Recurring Schedule'!$N$15)=0,IF('Recurring Schedule'!$O$15&gt;0,AND(DAY($A207)=MIN(DAY('Recurring Schedule'!$F$15),DAY(EOMONTH($A207,0))),MOD((YEAR($A207)-YEAR('Recurring Schedule'!$F$15))*12+MONTH($A207)-MONTH('Recurring Schedule'!$F$15),'Recurring Schedule'!$O$15)=0),IF('Recurring Schedule'!$E$15="Weekdays",WEEKDAY($A207,2)&lt;=5,$A207='Recurring Schedule'!$F$15))),10,""))))</f>
        <v/>
      </c>
      <c r="L207">
        <f>IF('Recurring Schedule'!$C$16="","",IF('Recurring Schedule'!$F$16="","",IF(OR($A207&lt;'Recurring Schedule'!$F$16,$A207&gt;'Recurring Schedule'!$P$16),"",IF(IF('Recurring Schedule'!$N$16&gt;0,MOD($A207-'Recurring Schedule'!$F$16,'Recurring Schedule'!$N$16)=0,IF('Recurring Schedule'!$O$16&gt;0,AND(DAY($A207)=MIN(DAY('Recurring Schedule'!$F$16),DAY(EOMONTH($A207,0))),MOD((YEAR($A207)-YEAR('Recurring Schedule'!$F$16))*12+MONTH($A207)-MONTH('Recurring Schedule'!$F$16),'Recurring Schedule'!$O$16)=0),IF('Recurring Schedule'!$E$16="Weekdays",WEEKDAY($A207,2)&lt;=5,$A207='Recurring Schedule'!$F$16))),11,""))))</f>
        <v/>
      </c>
      <c r="M207">
        <f>IF('Recurring Schedule'!$C$17="","",IF('Recurring Schedule'!$F$17="","",IF(OR($A207&lt;'Recurring Schedule'!$F$17,$A207&gt;'Recurring Schedule'!$P$17),"",IF(IF('Recurring Schedule'!$N$17&gt;0,MOD($A207-'Recurring Schedule'!$F$17,'Recurring Schedule'!$N$17)=0,IF('Recurring Schedule'!$O$17&gt;0,AND(DAY($A207)=MIN(DAY('Recurring Schedule'!$F$17),DAY(EOMONTH($A207,0))),MOD((YEAR($A207)-YEAR('Recurring Schedule'!$F$17))*12+MONTH($A207)-MONTH('Recurring Schedule'!$F$17),'Recurring Schedule'!$O$17)=0),IF('Recurring Schedule'!$E$17="Weekdays",WEEKDAY($A207,2)&lt;=5,$A207='Recurring Schedule'!$F$17))),12,""))))</f>
        <v/>
      </c>
      <c r="N207">
        <f>IF('Recurring Schedule'!$C$18="","",IF('Recurring Schedule'!$F$18="","",IF(OR($A207&lt;'Recurring Schedule'!$F$18,$A207&gt;'Recurring Schedule'!$P$18),"",IF(IF('Recurring Schedule'!$N$18&gt;0,MOD($A207-'Recurring Schedule'!$F$18,'Recurring Schedule'!$N$18)=0,IF('Recurring Schedule'!$O$18&gt;0,AND(DAY($A207)=MIN(DAY('Recurring Schedule'!$F$18),DAY(EOMONTH($A207,0))),MOD((YEAR($A207)-YEAR('Recurring Schedule'!$F$18))*12+MONTH($A207)-MONTH('Recurring Schedule'!$F$18),'Recurring Schedule'!$O$18)=0),IF('Recurring Schedule'!$E$18="Weekdays",WEEKDAY($A207,2)&lt;=5,$A207='Recurring Schedule'!$F$18))),13,""))))</f>
        <v/>
      </c>
      <c r="O207">
        <f>IF('Recurring Schedule'!$C$19="","",IF('Recurring Schedule'!$F$19="","",IF(OR($A207&lt;'Recurring Schedule'!$F$19,$A207&gt;'Recurring Schedule'!$P$19),"",IF(IF('Recurring Schedule'!$N$19&gt;0,MOD($A207-'Recurring Schedule'!$F$19,'Recurring Schedule'!$N$19)=0,IF('Recurring Schedule'!$O$19&gt;0,AND(DAY($A207)=MIN(DAY('Recurring Schedule'!$F$19),DAY(EOMONTH($A207,0))),MOD((YEAR($A207)-YEAR('Recurring Schedule'!$F$19))*12+MONTH($A207)-MONTH('Recurring Schedule'!$F$19),'Recurring Schedule'!$O$19)=0),IF('Recurring Schedule'!$E$19="Weekdays",WEEKDAY($A207,2)&lt;=5,$A207='Recurring Schedule'!$F$19))),14,""))))</f>
        <v/>
      </c>
      <c r="P207">
        <f>IF('Recurring Schedule'!$C$20="","",IF('Recurring Schedule'!$F$20="","",IF(OR($A207&lt;'Recurring Schedule'!$F$20,$A207&gt;'Recurring Schedule'!$P$20),"",IF(IF('Recurring Schedule'!$N$20&gt;0,MOD($A207-'Recurring Schedule'!$F$20,'Recurring Schedule'!$N$20)=0,IF('Recurring Schedule'!$O$20&gt;0,AND(DAY($A207)=MIN(DAY('Recurring Schedule'!$F$20),DAY(EOMONTH($A207,0))),MOD((YEAR($A207)-YEAR('Recurring Schedule'!$F$20))*12+MONTH($A207)-MONTH('Recurring Schedule'!$F$20),'Recurring Schedule'!$O$20)=0),IF('Recurring Schedule'!$E$20="Weekdays",WEEKDAY($A207,2)&lt;=5,$A207='Recurring Schedule'!$F$20))),15,""))))</f>
        <v/>
      </c>
      <c r="Q207">
        <f>IF('Recurring Schedule'!$C$21="","",IF('Recurring Schedule'!$F$21="","",IF(OR($A207&lt;'Recurring Schedule'!$F$21,$A207&gt;'Recurring Schedule'!$P$21),"",IF(IF('Recurring Schedule'!$N$21&gt;0,MOD($A207-'Recurring Schedule'!$F$21,'Recurring Schedule'!$N$21)=0,IF('Recurring Schedule'!$O$21&gt;0,AND(DAY($A207)=MIN(DAY('Recurring Schedule'!$F$21),DAY(EOMONTH($A207,0))),MOD((YEAR($A207)-YEAR('Recurring Schedule'!$F$21))*12+MONTH($A207)-MONTH('Recurring Schedule'!$F$21),'Recurring Schedule'!$O$21)=0),IF('Recurring Schedule'!$E$21="Weekdays",WEEKDAY($A207,2)&lt;=5,$A207='Recurring Schedule'!$F$21))),16,""))))</f>
        <v/>
      </c>
      <c r="R207">
        <f>IF('Recurring Schedule'!$C$22="","",IF('Recurring Schedule'!$F$22="","",IF(OR($A207&lt;'Recurring Schedule'!$F$22,$A207&gt;'Recurring Schedule'!$P$22),"",IF(IF('Recurring Schedule'!$N$22&gt;0,MOD($A207-'Recurring Schedule'!$F$22,'Recurring Schedule'!$N$22)=0,IF('Recurring Schedule'!$O$22&gt;0,AND(DAY($A207)=MIN(DAY('Recurring Schedule'!$F$22),DAY(EOMONTH($A207,0))),MOD((YEAR($A207)-YEAR('Recurring Schedule'!$F$22))*12+MONTH($A207)-MONTH('Recurring Schedule'!$F$22),'Recurring Schedule'!$O$22)=0),IF('Recurring Schedule'!$E$22="Weekdays",WEEKDAY($A207,2)&lt;=5,$A207='Recurring Schedule'!$F$22))),17,""))))</f>
        <v/>
      </c>
      <c r="S207">
        <f>IF('Recurring Schedule'!$C$23="","",IF('Recurring Schedule'!$F$23="","",IF(OR($A207&lt;'Recurring Schedule'!$F$23,$A207&gt;'Recurring Schedule'!$P$23),"",IF(IF('Recurring Schedule'!$N$23&gt;0,MOD($A207-'Recurring Schedule'!$F$23,'Recurring Schedule'!$N$23)=0,IF('Recurring Schedule'!$O$23&gt;0,AND(DAY($A207)=MIN(DAY('Recurring Schedule'!$F$23),DAY(EOMONTH($A207,0))),MOD((YEAR($A207)-YEAR('Recurring Schedule'!$F$23))*12+MONTH($A207)-MONTH('Recurring Schedule'!$F$23),'Recurring Schedule'!$O$23)=0),IF('Recurring Schedule'!$E$23="Weekdays",WEEKDAY($A207,2)&lt;=5,$A207='Recurring Schedule'!$F$23))),18,""))))</f>
        <v/>
      </c>
      <c r="T207">
        <f>IF('Recurring Schedule'!$C$24="","",IF('Recurring Schedule'!$F$24="","",IF(OR($A207&lt;'Recurring Schedule'!$F$24,$A207&gt;'Recurring Schedule'!$P$24),"",IF(IF('Recurring Schedule'!$N$24&gt;0,MOD($A207-'Recurring Schedule'!$F$24,'Recurring Schedule'!$N$24)=0,IF('Recurring Schedule'!$O$24&gt;0,AND(DAY($A207)=MIN(DAY('Recurring Schedule'!$F$24),DAY(EOMONTH($A207,0))),MOD((YEAR($A207)-YEAR('Recurring Schedule'!$F$24))*12+MONTH($A207)-MONTH('Recurring Schedule'!$F$24),'Recurring Schedule'!$O$24)=0),IF('Recurring Schedule'!$E$24="Weekdays",WEEKDAY($A207,2)&lt;=5,$A207='Recurring Schedule'!$F$24))),19,""))))</f>
        <v/>
      </c>
      <c r="U207">
        <f>IF('Recurring Schedule'!$C$25="","",IF('Recurring Schedule'!$F$25="","",IF(OR($A207&lt;'Recurring Schedule'!$F$25,$A207&gt;'Recurring Schedule'!$P$25),"",IF(IF('Recurring Schedule'!$N$25&gt;0,MOD($A207-'Recurring Schedule'!$F$25,'Recurring Schedule'!$N$25)=0,IF('Recurring Schedule'!$O$25&gt;0,AND(DAY($A207)=MIN(DAY('Recurring Schedule'!$F$25),DAY(EOMONTH($A207,0))),MOD((YEAR($A207)-YEAR('Recurring Schedule'!$F$25))*12+MONTH($A207)-MONTH('Recurring Schedule'!$F$25),'Recurring Schedule'!$O$25)=0),IF('Recurring Schedule'!$E$25="Weekdays",WEEKDAY($A207,2)&lt;=5,$A207='Recurring Schedule'!$F$25))),20,""))))</f>
        <v/>
      </c>
      <c r="V207">
        <f>IF('Recurring Schedule'!$C$26="","",IF('Recurring Schedule'!$F$26="","",IF(OR($A207&lt;'Recurring Schedule'!$F$26,$A207&gt;'Recurring Schedule'!$P$26),"",IF(IF('Recurring Schedule'!$N$26&gt;0,MOD($A207-'Recurring Schedule'!$F$26,'Recurring Schedule'!$N$26)=0,IF('Recurring Schedule'!$O$26&gt;0,AND(DAY($A207)=MIN(DAY('Recurring Schedule'!$F$26),DAY(EOMONTH($A207,0))),MOD((YEAR($A207)-YEAR('Recurring Schedule'!$F$26))*12+MONTH($A207)-MONTH('Recurring Schedule'!$F$26),'Recurring Schedule'!$O$26)=0),IF('Recurring Schedule'!$E$26="Weekdays",WEEKDAY($A207,2)&lt;=5,$A207='Recurring Schedule'!$F$26))),21,""))))</f>
        <v/>
      </c>
      <c r="W207">
        <f>IF('Recurring Schedule'!$C$27="","",IF('Recurring Schedule'!$F$27="","",IF(OR($A207&lt;'Recurring Schedule'!$F$27,$A207&gt;'Recurring Schedule'!$P$27),"",IF(IF('Recurring Schedule'!$N$27&gt;0,MOD($A207-'Recurring Schedule'!$F$27,'Recurring Schedule'!$N$27)=0,IF('Recurring Schedule'!$O$27&gt;0,AND(DAY($A207)=MIN(DAY('Recurring Schedule'!$F$27),DAY(EOMONTH($A207,0))),MOD((YEAR($A207)-YEAR('Recurring Schedule'!$F$27))*12+MONTH($A207)-MONTH('Recurring Schedule'!$F$27),'Recurring Schedule'!$O$27)=0),IF('Recurring Schedule'!$E$27="Weekdays",WEEKDAY($A207,2)&lt;=5,$A207='Recurring Schedule'!$F$27))),22,""))))</f>
        <v/>
      </c>
      <c r="X207">
        <f>IF('Recurring Schedule'!$C$28="","",IF('Recurring Schedule'!$F$28="","",IF(OR($A207&lt;'Recurring Schedule'!$F$28,$A207&gt;'Recurring Schedule'!$P$28),"",IF(IF('Recurring Schedule'!$N$28&gt;0,MOD($A207-'Recurring Schedule'!$F$28,'Recurring Schedule'!$N$28)=0,IF('Recurring Schedule'!$O$28&gt;0,AND(DAY($A207)=MIN(DAY('Recurring Schedule'!$F$28),DAY(EOMONTH($A207,0))),MOD((YEAR($A207)-YEAR('Recurring Schedule'!$F$28))*12+MONTH($A207)-MONTH('Recurring Schedule'!$F$28),'Recurring Schedule'!$O$28)=0),IF('Recurring Schedule'!$E$28="Weekdays",WEEKDAY($A207,2)&lt;=5,$A207='Recurring Schedule'!$F$28))),23,""))))</f>
        <v/>
      </c>
      <c r="Y207">
        <f>IF('Recurring Schedule'!$C$29="","",IF('Recurring Schedule'!$F$29="","",IF(OR($A207&lt;'Recurring Schedule'!$F$29,$A207&gt;'Recurring Schedule'!$P$29),"",IF(IF('Recurring Schedule'!$N$29&gt;0,MOD($A207-'Recurring Schedule'!$F$29,'Recurring Schedule'!$N$29)=0,IF('Recurring Schedule'!$O$29&gt;0,AND(DAY($A207)=MIN(DAY('Recurring Schedule'!$F$29),DAY(EOMONTH($A207,0))),MOD((YEAR($A207)-YEAR('Recurring Schedule'!$F$29))*12+MONTH($A207)-MONTH('Recurring Schedule'!$F$29),'Recurring Schedule'!$O$29)=0),IF('Recurring Schedule'!$E$29="Weekdays",WEEKDAY($A207,2)&lt;=5,$A207='Recurring Schedule'!$F$29))),24,""))))</f>
        <v/>
      </c>
      <c r="Z207">
        <f>IF('Recurring Schedule'!$C$30="","",IF('Recurring Schedule'!$F$30="","",IF(OR($A207&lt;'Recurring Schedule'!$F$30,$A207&gt;'Recurring Schedule'!$P$30),"",IF(IF('Recurring Schedule'!$N$30&gt;0,MOD($A207-'Recurring Schedule'!$F$30,'Recurring Schedule'!$N$30)=0,IF('Recurring Schedule'!$O$30&gt;0,AND(DAY($A207)=MIN(DAY('Recurring Schedule'!$F$30),DAY(EOMONTH($A207,0))),MOD((YEAR($A207)-YEAR('Recurring Schedule'!$F$30))*12+MONTH($A207)-MONTH('Recurring Schedule'!$F$30),'Recurring Schedule'!$O$30)=0),IF('Recurring Schedule'!$E$30="Weekdays",WEEKDAY($A207,2)&lt;=5,$A207='Recurring Schedule'!$F$30))),25,""))))</f>
        <v/>
      </c>
      <c r="AA207">
        <f>IF('Recurring Schedule'!$C$31="","",IF('Recurring Schedule'!$F$31="","",IF(OR($A207&lt;'Recurring Schedule'!$F$31,$A207&gt;'Recurring Schedule'!$P$31),"",IF(IF('Recurring Schedule'!$N$31&gt;0,MOD($A207-'Recurring Schedule'!$F$31,'Recurring Schedule'!$N$31)=0,IF('Recurring Schedule'!$O$31&gt;0,AND(DAY($A207)=MIN(DAY('Recurring Schedule'!$F$31),DAY(EOMONTH($A207,0))),MOD((YEAR($A207)-YEAR('Recurring Schedule'!$F$31))*12+MONTH($A207)-MONTH('Recurring Schedule'!$F$31),'Recurring Schedule'!$O$31)=0),IF('Recurring Schedule'!$E$31="Weekdays",WEEKDAY($A207,2)&lt;=5,$A207='Recurring Schedule'!$F$31))),26,""))))</f>
        <v/>
      </c>
      <c r="AB207">
        <f>IF('Recurring Schedule'!$C$32="","",IF('Recurring Schedule'!$F$32="","",IF(OR($A207&lt;'Recurring Schedule'!$F$32,$A207&gt;'Recurring Schedule'!$P$32),"",IF(IF('Recurring Schedule'!$N$32&gt;0,MOD($A207-'Recurring Schedule'!$F$32,'Recurring Schedule'!$N$32)=0,IF('Recurring Schedule'!$O$32&gt;0,AND(DAY($A207)=MIN(DAY('Recurring Schedule'!$F$32),DAY(EOMONTH($A207,0))),MOD((YEAR($A207)-YEAR('Recurring Schedule'!$F$32))*12+MONTH($A207)-MONTH('Recurring Schedule'!$F$32),'Recurring Schedule'!$O$32)=0),IF('Recurring Schedule'!$E$32="Weekdays",WEEKDAY($A207,2)&lt;=5,$A207='Recurring Schedule'!$F$32))),27,""))))</f>
        <v/>
      </c>
      <c r="AC207">
        <f>IF('Recurring Schedule'!$C$33="","",IF('Recurring Schedule'!$F$33="","",IF(OR($A207&lt;'Recurring Schedule'!$F$33,$A207&gt;'Recurring Schedule'!$P$33),"",IF(IF('Recurring Schedule'!$N$33&gt;0,MOD($A207-'Recurring Schedule'!$F$33,'Recurring Schedule'!$N$33)=0,IF('Recurring Schedule'!$O$33&gt;0,AND(DAY($A207)=MIN(DAY('Recurring Schedule'!$F$33),DAY(EOMONTH($A207,0))),MOD((YEAR($A207)-YEAR('Recurring Schedule'!$F$33))*12+MONTH($A207)-MONTH('Recurring Schedule'!$F$33),'Recurring Schedule'!$O$33)=0),IF('Recurring Schedule'!$E$33="Weekdays",WEEKDAY($A207,2)&lt;=5,$A207='Recurring Schedule'!$F$33))),28,""))))</f>
        <v/>
      </c>
      <c r="AD207">
        <f>IF('Recurring Schedule'!$C$34="","",IF('Recurring Schedule'!$F$34="","",IF(OR($A207&lt;'Recurring Schedule'!$F$34,$A207&gt;'Recurring Schedule'!$P$34),"",IF(IF('Recurring Schedule'!$N$34&gt;0,MOD($A207-'Recurring Schedule'!$F$34,'Recurring Schedule'!$N$34)=0,IF('Recurring Schedule'!$O$34&gt;0,AND(DAY($A207)=MIN(DAY('Recurring Schedule'!$F$34),DAY(EOMONTH($A207,0))),MOD((YEAR($A207)-YEAR('Recurring Schedule'!$F$34))*12+MONTH($A207)-MONTH('Recurring Schedule'!$F$34),'Recurring Schedule'!$O$34)=0),IF('Recurring Schedule'!$E$34="Weekdays",WEEKDAY($A207,2)&lt;=5,$A207='Recurring Schedule'!$F$34))),29,""))))</f>
        <v/>
      </c>
      <c r="AE207">
        <f>IF('Recurring Schedule'!$C$35="","",IF('Recurring Schedule'!$F$35="","",IF(OR($A207&lt;'Recurring Schedule'!$F$35,$A207&gt;'Recurring Schedule'!$P$35),"",IF(IF('Recurring Schedule'!$N$35&gt;0,MOD($A207-'Recurring Schedule'!$F$35,'Recurring Schedule'!$N$35)=0,IF('Recurring Schedule'!$O$35&gt;0,AND(DAY($A207)=MIN(DAY('Recurring Schedule'!$F$35),DAY(EOMONTH($A207,0))),MOD((YEAR($A207)-YEAR('Recurring Schedule'!$F$35))*12+MONTH($A207)-MONTH('Recurring Schedule'!$F$35),'Recurring Schedule'!$O$35)=0),IF('Recurring Schedule'!$E$35="Weekdays",WEEKDAY($A207,2)&lt;=5,$A207='Recurring Schedule'!$F$35))),30,""))))</f>
        <v/>
      </c>
      <c r="AF207">
        <f>IF('Recurring Schedule'!$C$36="","",IF('Recurring Schedule'!$F$36="","",IF(OR($A207&lt;'Recurring Schedule'!$F$36,$A207&gt;'Recurring Schedule'!$P$36),"",IF(IF('Recurring Schedule'!$N$36&gt;0,MOD($A207-'Recurring Schedule'!$F$36,'Recurring Schedule'!$N$36)=0,IF('Recurring Schedule'!$O$36&gt;0,AND(DAY($A207)=MIN(DAY('Recurring Schedule'!$F$36),DAY(EOMONTH($A207,0))),MOD((YEAR($A207)-YEAR('Recurring Schedule'!$F$36))*12+MONTH($A207)-MONTH('Recurring Schedule'!$F$36),'Recurring Schedule'!$O$36)=0),IF('Recurring Schedule'!$E$36="Weekdays",WEEKDAY($A207,2)&lt;=5,$A207='Recurring Schedule'!$F$36))),31,""))))</f>
        <v/>
      </c>
      <c r="AG207">
        <f>IF('Recurring Schedule'!$C$37="","",IF('Recurring Schedule'!$F$37="","",IF(OR($A207&lt;'Recurring Schedule'!$F$37,$A207&gt;'Recurring Schedule'!$P$37),"",IF(IF('Recurring Schedule'!$N$37&gt;0,MOD($A207-'Recurring Schedule'!$F$37,'Recurring Schedule'!$N$37)=0,IF('Recurring Schedule'!$O$37&gt;0,AND(DAY($A207)=MIN(DAY('Recurring Schedule'!$F$37),DAY(EOMONTH($A207,0))),MOD((YEAR($A207)-YEAR('Recurring Schedule'!$F$37))*12+MONTH($A207)-MONTH('Recurring Schedule'!$F$37),'Recurring Schedule'!$O$37)=0),IF('Recurring Schedule'!$E$37="Weekdays",WEEKDAY($A207,2)&lt;=5,$A207='Recurring Schedule'!$F$37))),32,""))))</f>
        <v/>
      </c>
      <c r="AH207">
        <f>IF('Recurring Schedule'!$C$38="","",IF('Recurring Schedule'!$F$38="","",IF(OR($A207&lt;'Recurring Schedule'!$F$38,$A207&gt;'Recurring Schedule'!$P$38),"",IF(IF('Recurring Schedule'!$N$38&gt;0,MOD($A207-'Recurring Schedule'!$F$38,'Recurring Schedule'!$N$38)=0,IF('Recurring Schedule'!$O$38&gt;0,AND(DAY($A207)=MIN(DAY('Recurring Schedule'!$F$38),DAY(EOMONTH($A207,0))),MOD((YEAR($A207)-YEAR('Recurring Schedule'!$F$38))*12+MONTH($A207)-MONTH('Recurring Schedule'!$F$38),'Recurring Schedule'!$O$38)=0),IF('Recurring Schedule'!$E$38="Weekdays",WEEKDAY($A207,2)&lt;=5,$A207='Recurring Schedule'!$F$38))),33,""))))</f>
        <v/>
      </c>
      <c r="AI207">
        <f>IF('Recurring Schedule'!$C$39="","",IF('Recurring Schedule'!$F$39="","",IF(OR($A207&lt;'Recurring Schedule'!$F$39,$A207&gt;'Recurring Schedule'!$P$39),"",IF(IF('Recurring Schedule'!$N$39&gt;0,MOD($A207-'Recurring Schedule'!$F$39,'Recurring Schedule'!$N$39)=0,IF('Recurring Schedule'!$O$39&gt;0,AND(DAY($A207)=MIN(DAY('Recurring Schedule'!$F$39),DAY(EOMONTH($A207,0))),MOD((YEAR($A207)-YEAR('Recurring Schedule'!$F$39))*12+MONTH($A207)-MONTH('Recurring Schedule'!$F$39),'Recurring Schedule'!$O$39)=0),IF('Recurring Schedule'!$E$39="Weekdays",WEEKDAY($A207,2)&lt;=5,$A207='Recurring Schedule'!$F$39))),34,""))))</f>
        <v/>
      </c>
      <c r="AJ207">
        <f>IF('Recurring Schedule'!$C$40="","",IF('Recurring Schedule'!$F$40="","",IF(OR($A207&lt;'Recurring Schedule'!$F$40,$A207&gt;'Recurring Schedule'!$P$40),"",IF(IF('Recurring Schedule'!$N$40&gt;0,MOD($A207-'Recurring Schedule'!$F$40,'Recurring Schedule'!$N$40)=0,IF('Recurring Schedule'!$O$40&gt;0,AND(DAY($A207)=MIN(DAY('Recurring Schedule'!$F$40),DAY(EOMONTH($A207,0))),MOD((YEAR($A207)-YEAR('Recurring Schedule'!$F$40))*12+MONTH($A207)-MONTH('Recurring Schedule'!$F$40),'Recurring Schedule'!$O$40)=0),IF('Recurring Schedule'!$E$40="Weekdays",WEEKDAY($A207,2)&lt;=5,$A207='Recurring Schedule'!$F$40))),35,""))))</f>
        <v/>
      </c>
      <c r="AK207">
        <f>IF('Recurring Schedule'!$C$41="","",IF('Recurring Schedule'!$F$41="","",IF(OR($A207&lt;'Recurring Schedule'!$F$41,$A207&gt;'Recurring Schedule'!$P$41),"",IF(IF('Recurring Schedule'!$N$41&gt;0,MOD($A207-'Recurring Schedule'!$F$41,'Recurring Schedule'!$N$41)=0,IF('Recurring Schedule'!$O$41&gt;0,AND(DAY($A207)=MIN(DAY('Recurring Schedule'!$F$41),DAY(EOMONTH($A207,0))),MOD((YEAR($A207)-YEAR('Recurring Schedule'!$F$41))*12+MONTH($A207)-MONTH('Recurring Schedule'!$F$41),'Recurring Schedule'!$O$41)=0),IF('Recurring Schedule'!$E$41="Weekdays",WEEKDAY($A207,2)&lt;=5,$A207='Recurring Schedule'!$F$41))),36,""))))</f>
        <v/>
      </c>
      <c r="AL207">
        <f>IF('Recurring Schedule'!$C$42="","",IF('Recurring Schedule'!$F$42="","",IF(OR($A207&lt;'Recurring Schedule'!$F$42,$A207&gt;'Recurring Schedule'!$P$42),"",IF(IF('Recurring Schedule'!$N$42&gt;0,MOD($A207-'Recurring Schedule'!$F$42,'Recurring Schedule'!$N$42)=0,IF('Recurring Schedule'!$O$42&gt;0,AND(DAY($A207)=MIN(DAY('Recurring Schedule'!$F$42),DAY(EOMONTH($A207,0))),MOD((YEAR($A207)-YEAR('Recurring Schedule'!$F$42))*12+MONTH($A207)-MONTH('Recurring Schedule'!$F$42),'Recurring Schedule'!$O$42)=0),IF('Recurring Schedule'!$E$42="Weekdays",WEEKDAY($A207,2)&lt;=5,$A207='Recurring Schedule'!$F$42))),37,""))))</f>
        <v/>
      </c>
      <c r="AM207">
        <f>IF('Recurring Schedule'!$C$43="","",IF('Recurring Schedule'!$F$43="","",IF(OR($A207&lt;'Recurring Schedule'!$F$43,$A207&gt;'Recurring Schedule'!$P$43),"",IF(IF('Recurring Schedule'!$N$43&gt;0,MOD($A207-'Recurring Schedule'!$F$43,'Recurring Schedule'!$N$43)=0,IF('Recurring Schedule'!$O$43&gt;0,AND(DAY($A207)=MIN(DAY('Recurring Schedule'!$F$43),DAY(EOMONTH($A207,0))),MOD((YEAR($A207)-YEAR('Recurring Schedule'!$F$43))*12+MONTH($A207)-MONTH('Recurring Schedule'!$F$43),'Recurring Schedule'!$O$43)=0),IF('Recurring Schedule'!$E$43="Weekdays",WEEKDAY($A207,2)&lt;=5,$A207='Recurring Schedule'!$F$43))),38,""))))</f>
        <v/>
      </c>
      <c r="AN207">
        <f>IF('Recurring Schedule'!$C$44="","",IF('Recurring Schedule'!$F$44="","",IF(OR($A207&lt;'Recurring Schedule'!$F$44,$A207&gt;'Recurring Schedule'!$P$44),"",IF(IF('Recurring Schedule'!$N$44&gt;0,MOD($A207-'Recurring Schedule'!$F$44,'Recurring Schedule'!$N$44)=0,IF('Recurring Schedule'!$O$44&gt;0,AND(DAY($A207)=MIN(DAY('Recurring Schedule'!$F$44),DAY(EOMONTH($A207,0))),MOD((YEAR($A207)-YEAR('Recurring Schedule'!$F$44))*12+MONTH($A207)-MONTH('Recurring Schedule'!$F$44),'Recurring Schedule'!$O$44)=0),IF('Recurring Schedule'!$E$44="Weekdays",WEEKDAY($A207,2)&lt;=5,$A207='Recurring Schedule'!$F$44))),39,""))))</f>
        <v/>
      </c>
      <c r="AO207">
        <f>IF('Recurring Schedule'!$C$45="","",IF('Recurring Schedule'!$F$45="","",IF(OR($A207&lt;'Recurring Schedule'!$F$45,$A207&gt;'Recurring Schedule'!$P$45),"",IF(IF('Recurring Schedule'!$N$45&gt;0,MOD($A207-'Recurring Schedule'!$F$45,'Recurring Schedule'!$N$45)=0,IF('Recurring Schedule'!$O$45&gt;0,AND(DAY($A207)=MIN(DAY('Recurring Schedule'!$F$45),DAY(EOMONTH($A207,0))),MOD((YEAR($A207)-YEAR('Recurring Schedule'!$F$45))*12+MONTH($A207)-MONTH('Recurring Schedule'!$F$45),'Recurring Schedule'!$O$45)=0),IF('Recurring Schedule'!$E$45="Weekdays",WEEKDAY($A207,2)&lt;=5,$A207='Recurring Schedule'!$F$45))),40,""))))</f>
        <v/>
      </c>
      <c r="AP207">
        <f>COUNT(B207:AO207)</f>
        <v/>
      </c>
      <c r="AQ207">
        <f>AQ206+AP206</f>
        <v/>
      </c>
      <c r="AS207" t="inlineStr">
        <is>
          <t>R</t>
        </is>
      </c>
      <c r="AT207" t="n">
        <v>211</v>
      </c>
      <c r="AU207">
        <f>'Recurring Log'!C211&amp;""</f>
        <v/>
      </c>
      <c r="AV207">
        <f>'Recurring Log'!D211&amp;""</f>
        <v/>
      </c>
      <c r="AW207">
        <f>IF('Recurring Log'!E211="","",'Recurring Log'!E211)</f>
        <v/>
      </c>
      <c r="AX207">
        <f>IF('Recurring Log'!G211="","",'Recurring Log'!G211)</f>
        <v/>
      </c>
      <c r="AY207">
        <f>IF('Recurring Log'!H211="","",'Recurring Log'!H211)</f>
        <v/>
      </c>
      <c r="AZ207">
        <f>IF(AU207="","",IF('Recurring Log'!J211="","Not Started",'Recurring Log'!J211))</f>
        <v/>
      </c>
      <c r="BA207">
        <f>'Recurring Log'!L211&amp;""</f>
        <v/>
      </c>
      <c r="BB207">
        <f>'Recurring Log'!M211&amp;""</f>
        <v/>
      </c>
      <c r="BC207">
        <f>'Recurring Log'!N211&amp;""</f>
        <v/>
      </c>
      <c r="BD207">
        <f>'Recurring Log'!O211&amp;""</f>
        <v/>
      </c>
      <c r="BE207">
        <f>IF('Recurring Log'!K211="","",'Recurring Log'!K211)</f>
        <v/>
      </c>
      <c r="BF207">
        <f>IFERROR(MATCH(BA207,Setup!$L$6:$L$9,0),5)</f>
        <v/>
      </c>
      <c r="BG207">
        <f>IF(OR(AZ207="Done",AZ207="Cancelled"),1,0)</f>
        <v/>
      </c>
      <c r="BH207">
        <f>IF(AND(AU207&lt;&gt;"",ISNUMBER(AW207)),1,0)</f>
        <v/>
      </c>
      <c r="BI207">
        <f>IF(BH207=0,0,IF(AND(AW207&gt;='Tasks Filter'!$F$3,AW207&lt;='Tasks Filter'!$F$4,OR('Tasks Filter'!$I$3="",ISNUMBER(SEARCH('Tasks Filter'!$I$3,AU207))),OR('Tasks Filter'!$I$4="",BF207=IFERROR(MATCH('Tasks Filter'!$I$4,Setup!$L$6:$L$9,0),0)),OR('Tasks Filter'!$I$5="Both",AND('Tasks Filter'!$I$5="Yes",BB207="✓"),AND('Tasks Filter'!$I$5="No",BB207&lt;&gt;"✓")),OR('Tasks Filter'!$L$3="",AV207='Tasks Filter'!$L$3),OR('Tasks Filter'!$L$4="",AZ207='Tasks Filter'!$L$4),OR('Tasks Filter'!$L$5="",BC207='Tasks Filter'!$L$5),OR('Tasks Filter'!$O$3="",BD207='Tasks Filter'!$O$3),OR('Tasks Filter'!$O$4="Yes",BG207=0)),1,0))</f>
        <v/>
      </c>
      <c r="BJ207">
        <f>IF(BH207=0,"",IF('Tasks Filter'!$F$6="Descending",-1,1)*CHOOSE(MATCH('Tasks Filter'!$F$5,Lists!$G$2:$G$6,0),AW207,BF207,IFERROR(MATCH(AV207,Setup!$F$6:$F$15,0),99),IFERROR(MATCH(BC207,Setup!$H$6:$H$15,0),99),IFERROR(MATCH(AZ207,Setup!$J$6:$J$11,0),99))*1E+9+(AW207-40000)*10000+206)</f>
        <v/>
      </c>
      <c r="BK207">
        <f>IF(BI207=1,BJ207,"")</f>
        <v/>
      </c>
      <c r="BL207">
        <f>IF(AND(BH207=1,BG207=0,N(AW207)&lt;Setup!$D$7),(AW207-40000)*10000+206,"")</f>
        <v/>
      </c>
      <c r="BM207">
        <f>IF(AND(BH207=1,AZ207&lt;&gt;"Cancelled",N(AW207)&gt;=Dashboard!$AB$3,N(AW207)&lt;=Dashboard!$AB$3+6),(AW207-40000)*100000+BF207*10000+206,"")</f>
        <v/>
      </c>
      <c r="BN207">
        <f>IF(AND(BH207=1,AZ207&lt;&gt;"Cancelled"),BF207*10000+206,"")</f>
        <v/>
      </c>
    </row>
    <row r="208">
      <c r="A208">
        <f>Setup!$D$5+206</f>
        <v/>
      </c>
      <c r="B208">
        <f>IF('Recurring Schedule'!$C$6="","",IF('Recurring Schedule'!$F$6="","",IF(OR($A208&lt;'Recurring Schedule'!$F$6,$A208&gt;'Recurring Schedule'!$P$6),"",IF(IF('Recurring Schedule'!$N$6&gt;0,MOD($A208-'Recurring Schedule'!$F$6,'Recurring Schedule'!$N$6)=0,IF('Recurring Schedule'!$O$6&gt;0,AND(DAY($A208)=MIN(DAY('Recurring Schedule'!$F$6),DAY(EOMONTH($A208,0))),MOD((YEAR($A208)-YEAR('Recurring Schedule'!$F$6))*12+MONTH($A208)-MONTH('Recurring Schedule'!$F$6),'Recurring Schedule'!$O$6)=0),IF('Recurring Schedule'!$E$6="Weekdays",WEEKDAY($A208,2)&lt;=5,$A208='Recurring Schedule'!$F$6))),1,""))))</f>
        <v/>
      </c>
      <c r="C208">
        <f>IF('Recurring Schedule'!$C$7="","",IF('Recurring Schedule'!$F$7="","",IF(OR($A208&lt;'Recurring Schedule'!$F$7,$A208&gt;'Recurring Schedule'!$P$7),"",IF(IF('Recurring Schedule'!$N$7&gt;0,MOD($A208-'Recurring Schedule'!$F$7,'Recurring Schedule'!$N$7)=0,IF('Recurring Schedule'!$O$7&gt;0,AND(DAY($A208)=MIN(DAY('Recurring Schedule'!$F$7),DAY(EOMONTH($A208,0))),MOD((YEAR($A208)-YEAR('Recurring Schedule'!$F$7))*12+MONTH($A208)-MONTH('Recurring Schedule'!$F$7),'Recurring Schedule'!$O$7)=0),IF('Recurring Schedule'!$E$7="Weekdays",WEEKDAY($A208,2)&lt;=5,$A208='Recurring Schedule'!$F$7))),2,""))))</f>
        <v/>
      </c>
      <c r="D208">
        <f>IF('Recurring Schedule'!$C$8="","",IF('Recurring Schedule'!$F$8="","",IF(OR($A208&lt;'Recurring Schedule'!$F$8,$A208&gt;'Recurring Schedule'!$P$8),"",IF(IF('Recurring Schedule'!$N$8&gt;0,MOD($A208-'Recurring Schedule'!$F$8,'Recurring Schedule'!$N$8)=0,IF('Recurring Schedule'!$O$8&gt;0,AND(DAY($A208)=MIN(DAY('Recurring Schedule'!$F$8),DAY(EOMONTH($A208,0))),MOD((YEAR($A208)-YEAR('Recurring Schedule'!$F$8))*12+MONTH($A208)-MONTH('Recurring Schedule'!$F$8),'Recurring Schedule'!$O$8)=0),IF('Recurring Schedule'!$E$8="Weekdays",WEEKDAY($A208,2)&lt;=5,$A208='Recurring Schedule'!$F$8))),3,""))))</f>
        <v/>
      </c>
      <c r="E208">
        <f>IF('Recurring Schedule'!$C$9="","",IF('Recurring Schedule'!$F$9="","",IF(OR($A208&lt;'Recurring Schedule'!$F$9,$A208&gt;'Recurring Schedule'!$P$9),"",IF(IF('Recurring Schedule'!$N$9&gt;0,MOD($A208-'Recurring Schedule'!$F$9,'Recurring Schedule'!$N$9)=0,IF('Recurring Schedule'!$O$9&gt;0,AND(DAY($A208)=MIN(DAY('Recurring Schedule'!$F$9),DAY(EOMONTH($A208,0))),MOD((YEAR($A208)-YEAR('Recurring Schedule'!$F$9))*12+MONTH($A208)-MONTH('Recurring Schedule'!$F$9),'Recurring Schedule'!$O$9)=0),IF('Recurring Schedule'!$E$9="Weekdays",WEEKDAY($A208,2)&lt;=5,$A208='Recurring Schedule'!$F$9))),4,""))))</f>
        <v/>
      </c>
      <c r="F208">
        <f>IF('Recurring Schedule'!$C$10="","",IF('Recurring Schedule'!$F$10="","",IF(OR($A208&lt;'Recurring Schedule'!$F$10,$A208&gt;'Recurring Schedule'!$P$10),"",IF(IF('Recurring Schedule'!$N$10&gt;0,MOD($A208-'Recurring Schedule'!$F$10,'Recurring Schedule'!$N$10)=0,IF('Recurring Schedule'!$O$10&gt;0,AND(DAY($A208)=MIN(DAY('Recurring Schedule'!$F$10),DAY(EOMONTH($A208,0))),MOD((YEAR($A208)-YEAR('Recurring Schedule'!$F$10))*12+MONTH($A208)-MONTH('Recurring Schedule'!$F$10),'Recurring Schedule'!$O$10)=0),IF('Recurring Schedule'!$E$10="Weekdays",WEEKDAY($A208,2)&lt;=5,$A208='Recurring Schedule'!$F$10))),5,""))))</f>
        <v/>
      </c>
      <c r="G208">
        <f>IF('Recurring Schedule'!$C$11="","",IF('Recurring Schedule'!$F$11="","",IF(OR($A208&lt;'Recurring Schedule'!$F$11,$A208&gt;'Recurring Schedule'!$P$11),"",IF(IF('Recurring Schedule'!$N$11&gt;0,MOD($A208-'Recurring Schedule'!$F$11,'Recurring Schedule'!$N$11)=0,IF('Recurring Schedule'!$O$11&gt;0,AND(DAY($A208)=MIN(DAY('Recurring Schedule'!$F$11),DAY(EOMONTH($A208,0))),MOD((YEAR($A208)-YEAR('Recurring Schedule'!$F$11))*12+MONTH($A208)-MONTH('Recurring Schedule'!$F$11),'Recurring Schedule'!$O$11)=0),IF('Recurring Schedule'!$E$11="Weekdays",WEEKDAY($A208,2)&lt;=5,$A208='Recurring Schedule'!$F$11))),6,""))))</f>
        <v/>
      </c>
      <c r="H208">
        <f>IF('Recurring Schedule'!$C$12="","",IF('Recurring Schedule'!$F$12="","",IF(OR($A208&lt;'Recurring Schedule'!$F$12,$A208&gt;'Recurring Schedule'!$P$12),"",IF(IF('Recurring Schedule'!$N$12&gt;0,MOD($A208-'Recurring Schedule'!$F$12,'Recurring Schedule'!$N$12)=0,IF('Recurring Schedule'!$O$12&gt;0,AND(DAY($A208)=MIN(DAY('Recurring Schedule'!$F$12),DAY(EOMONTH($A208,0))),MOD((YEAR($A208)-YEAR('Recurring Schedule'!$F$12))*12+MONTH($A208)-MONTH('Recurring Schedule'!$F$12),'Recurring Schedule'!$O$12)=0),IF('Recurring Schedule'!$E$12="Weekdays",WEEKDAY($A208,2)&lt;=5,$A208='Recurring Schedule'!$F$12))),7,""))))</f>
        <v/>
      </c>
      <c r="I208">
        <f>IF('Recurring Schedule'!$C$13="","",IF('Recurring Schedule'!$F$13="","",IF(OR($A208&lt;'Recurring Schedule'!$F$13,$A208&gt;'Recurring Schedule'!$P$13),"",IF(IF('Recurring Schedule'!$N$13&gt;0,MOD($A208-'Recurring Schedule'!$F$13,'Recurring Schedule'!$N$13)=0,IF('Recurring Schedule'!$O$13&gt;0,AND(DAY($A208)=MIN(DAY('Recurring Schedule'!$F$13),DAY(EOMONTH($A208,0))),MOD((YEAR($A208)-YEAR('Recurring Schedule'!$F$13))*12+MONTH($A208)-MONTH('Recurring Schedule'!$F$13),'Recurring Schedule'!$O$13)=0),IF('Recurring Schedule'!$E$13="Weekdays",WEEKDAY($A208,2)&lt;=5,$A208='Recurring Schedule'!$F$13))),8,""))))</f>
        <v/>
      </c>
      <c r="J208">
        <f>IF('Recurring Schedule'!$C$14="","",IF('Recurring Schedule'!$F$14="","",IF(OR($A208&lt;'Recurring Schedule'!$F$14,$A208&gt;'Recurring Schedule'!$P$14),"",IF(IF('Recurring Schedule'!$N$14&gt;0,MOD($A208-'Recurring Schedule'!$F$14,'Recurring Schedule'!$N$14)=0,IF('Recurring Schedule'!$O$14&gt;0,AND(DAY($A208)=MIN(DAY('Recurring Schedule'!$F$14),DAY(EOMONTH($A208,0))),MOD((YEAR($A208)-YEAR('Recurring Schedule'!$F$14))*12+MONTH($A208)-MONTH('Recurring Schedule'!$F$14),'Recurring Schedule'!$O$14)=0),IF('Recurring Schedule'!$E$14="Weekdays",WEEKDAY($A208,2)&lt;=5,$A208='Recurring Schedule'!$F$14))),9,""))))</f>
        <v/>
      </c>
      <c r="K208">
        <f>IF('Recurring Schedule'!$C$15="","",IF('Recurring Schedule'!$F$15="","",IF(OR($A208&lt;'Recurring Schedule'!$F$15,$A208&gt;'Recurring Schedule'!$P$15),"",IF(IF('Recurring Schedule'!$N$15&gt;0,MOD($A208-'Recurring Schedule'!$F$15,'Recurring Schedule'!$N$15)=0,IF('Recurring Schedule'!$O$15&gt;0,AND(DAY($A208)=MIN(DAY('Recurring Schedule'!$F$15),DAY(EOMONTH($A208,0))),MOD((YEAR($A208)-YEAR('Recurring Schedule'!$F$15))*12+MONTH($A208)-MONTH('Recurring Schedule'!$F$15),'Recurring Schedule'!$O$15)=0),IF('Recurring Schedule'!$E$15="Weekdays",WEEKDAY($A208,2)&lt;=5,$A208='Recurring Schedule'!$F$15))),10,""))))</f>
        <v/>
      </c>
      <c r="L208">
        <f>IF('Recurring Schedule'!$C$16="","",IF('Recurring Schedule'!$F$16="","",IF(OR($A208&lt;'Recurring Schedule'!$F$16,$A208&gt;'Recurring Schedule'!$P$16),"",IF(IF('Recurring Schedule'!$N$16&gt;0,MOD($A208-'Recurring Schedule'!$F$16,'Recurring Schedule'!$N$16)=0,IF('Recurring Schedule'!$O$16&gt;0,AND(DAY($A208)=MIN(DAY('Recurring Schedule'!$F$16),DAY(EOMONTH($A208,0))),MOD((YEAR($A208)-YEAR('Recurring Schedule'!$F$16))*12+MONTH($A208)-MONTH('Recurring Schedule'!$F$16),'Recurring Schedule'!$O$16)=0),IF('Recurring Schedule'!$E$16="Weekdays",WEEKDAY($A208,2)&lt;=5,$A208='Recurring Schedule'!$F$16))),11,""))))</f>
        <v/>
      </c>
      <c r="M208">
        <f>IF('Recurring Schedule'!$C$17="","",IF('Recurring Schedule'!$F$17="","",IF(OR($A208&lt;'Recurring Schedule'!$F$17,$A208&gt;'Recurring Schedule'!$P$17),"",IF(IF('Recurring Schedule'!$N$17&gt;0,MOD($A208-'Recurring Schedule'!$F$17,'Recurring Schedule'!$N$17)=0,IF('Recurring Schedule'!$O$17&gt;0,AND(DAY($A208)=MIN(DAY('Recurring Schedule'!$F$17),DAY(EOMONTH($A208,0))),MOD((YEAR($A208)-YEAR('Recurring Schedule'!$F$17))*12+MONTH($A208)-MONTH('Recurring Schedule'!$F$17),'Recurring Schedule'!$O$17)=0),IF('Recurring Schedule'!$E$17="Weekdays",WEEKDAY($A208,2)&lt;=5,$A208='Recurring Schedule'!$F$17))),12,""))))</f>
        <v/>
      </c>
      <c r="N208">
        <f>IF('Recurring Schedule'!$C$18="","",IF('Recurring Schedule'!$F$18="","",IF(OR($A208&lt;'Recurring Schedule'!$F$18,$A208&gt;'Recurring Schedule'!$P$18),"",IF(IF('Recurring Schedule'!$N$18&gt;0,MOD($A208-'Recurring Schedule'!$F$18,'Recurring Schedule'!$N$18)=0,IF('Recurring Schedule'!$O$18&gt;0,AND(DAY($A208)=MIN(DAY('Recurring Schedule'!$F$18),DAY(EOMONTH($A208,0))),MOD((YEAR($A208)-YEAR('Recurring Schedule'!$F$18))*12+MONTH($A208)-MONTH('Recurring Schedule'!$F$18),'Recurring Schedule'!$O$18)=0),IF('Recurring Schedule'!$E$18="Weekdays",WEEKDAY($A208,2)&lt;=5,$A208='Recurring Schedule'!$F$18))),13,""))))</f>
        <v/>
      </c>
      <c r="O208">
        <f>IF('Recurring Schedule'!$C$19="","",IF('Recurring Schedule'!$F$19="","",IF(OR($A208&lt;'Recurring Schedule'!$F$19,$A208&gt;'Recurring Schedule'!$P$19),"",IF(IF('Recurring Schedule'!$N$19&gt;0,MOD($A208-'Recurring Schedule'!$F$19,'Recurring Schedule'!$N$19)=0,IF('Recurring Schedule'!$O$19&gt;0,AND(DAY($A208)=MIN(DAY('Recurring Schedule'!$F$19),DAY(EOMONTH($A208,0))),MOD((YEAR($A208)-YEAR('Recurring Schedule'!$F$19))*12+MONTH($A208)-MONTH('Recurring Schedule'!$F$19),'Recurring Schedule'!$O$19)=0),IF('Recurring Schedule'!$E$19="Weekdays",WEEKDAY($A208,2)&lt;=5,$A208='Recurring Schedule'!$F$19))),14,""))))</f>
        <v/>
      </c>
      <c r="P208">
        <f>IF('Recurring Schedule'!$C$20="","",IF('Recurring Schedule'!$F$20="","",IF(OR($A208&lt;'Recurring Schedule'!$F$20,$A208&gt;'Recurring Schedule'!$P$20),"",IF(IF('Recurring Schedule'!$N$20&gt;0,MOD($A208-'Recurring Schedule'!$F$20,'Recurring Schedule'!$N$20)=0,IF('Recurring Schedule'!$O$20&gt;0,AND(DAY($A208)=MIN(DAY('Recurring Schedule'!$F$20),DAY(EOMONTH($A208,0))),MOD((YEAR($A208)-YEAR('Recurring Schedule'!$F$20))*12+MONTH($A208)-MONTH('Recurring Schedule'!$F$20),'Recurring Schedule'!$O$20)=0),IF('Recurring Schedule'!$E$20="Weekdays",WEEKDAY($A208,2)&lt;=5,$A208='Recurring Schedule'!$F$20))),15,""))))</f>
        <v/>
      </c>
      <c r="Q208">
        <f>IF('Recurring Schedule'!$C$21="","",IF('Recurring Schedule'!$F$21="","",IF(OR($A208&lt;'Recurring Schedule'!$F$21,$A208&gt;'Recurring Schedule'!$P$21),"",IF(IF('Recurring Schedule'!$N$21&gt;0,MOD($A208-'Recurring Schedule'!$F$21,'Recurring Schedule'!$N$21)=0,IF('Recurring Schedule'!$O$21&gt;0,AND(DAY($A208)=MIN(DAY('Recurring Schedule'!$F$21),DAY(EOMONTH($A208,0))),MOD((YEAR($A208)-YEAR('Recurring Schedule'!$F$21))*12+MONTH($A208)-MONTH('Recurring Schedule'!$F$21),'Recurring Schedule'!$O$21)=0),IF('Recurring Schedule'!$E$21="Weekdays",WEEKDAY($A208,2)&lt;=5,$A208='Recurring Schedule'!$F$21))),16,""))))</f>
        <v/>
      </c>
      <c r="R208">
        <f>IF('Recurring Schedule'!$C$22="","",IF('Recurring Schedule'!$F$22="","",IF(OR($A208&lt;'Recurring Schedule'!$F$22,$A208&gt;'Recurring Schedule'!$P$22),"",IF(IF('Recurring Schedule'!$N$22&gt;0,MOD($A208-'Recurring Schedule'!$F$22,'Recurring Schedule'!$N$22)=0,IF('Recurring Schedule'!$O$22&gt;0,AND(DAY($A208)=MIN(DAY('Recurring Schedule'!$F$22),DAY(EOMONTH($A208,0))),MOD((YEAR($A208)-YEAR('Recurring Schedule'!$F$22))*12+MONTH($A208)-MONTH('Recurring Schedule'!$F$22),'Recurring Schedule'!$O$22)=0),IF('Recurring Schedule'!$E$22="Weekdays",WEEKDAY($A208,2)&lt;=5,$A208='Recurring Schedule'!$F$22))),17,""))))</f>
        <v/>
      </c>
      <c r="S208">
        <f>IF('Recurring Schedule'!$C$23="","",IF('Recurring Schedule'!$F$23="","",IF(OR($A208&lt;'Recurring Schedule'!$F$23,$A208&gt;'Recurring Schedule'!$P$23),"",IF(IF('Recurring Schedule'!$N$23&gt;0,MOD($A208-'Recurring Schedule'!$F$23,'Recurring Schedule'!$N$23)=0,IF('Recurring Schedule'!$O$23&gt;0,AND(DAY($A208)=MIN(DAY('Recurring Schedule'!$F$23),DAY(EOMONTH($A208,0))),MOD((YEAR($A208)-YEAR('Recurring Schedule'!$F$23))*12+MONTH($A208)-MONTH('Recurring Schedule'!$F$23),'Recurring Schedule'!$O$23)=0),IF('Recurring Schedule'!$E$23="Weekdays",WEEKDAY($A208,2)&lt;=5,$A208='Recurring Schedule'!$F$23))),18,""))))</f>
        <v/>
      </c>
      <c r="T208">
        <f>IF('Recurring Schedule'!$C$24="","",IF('Recurring Schedule'!$F$24="","",IF(OR($A208&lt;'Recurring Schedule'!$F$24,$A208&gt;'Recurring Schedule'!$P$24),"",IF(IF('Recurring Schedule'!$N$24&gt;0,MOD($A208-'Recurring Schedule'!$F$24,'Recurring Schedule'!$N$24)=0,IF('Recurring Schedule'!$O$24&gt;0,AND(DAY($A208)=MIN(DAY('Recurring Schedule'!$F$24),DAY(EOMONTH($A208,0))),MOD((YEAR($A208)-YEAR('Recurring Schedule'!$F$24))*12+MONTH($A208)-MONTH('Recurring Schedule'!$F$24),'Recurring Schedule'!$O$24)=0),IF('Recurring Schedule'!$E$24="Weekdays",WEEKDAY($A208,2)&lt;=5,$A208='Recurring Schedule'!$F$24))),19,""))))</f>
        <v/>
      </c>
      <c r="U208">
        <f>IF('Recurring Schedule'!$C$25="","",IF('Recurring Schedule'!$F$25="","",IF(OR($A208&lt;'Recurring Schedule'!$F$25,$A208&gt;'Recurring Schedule'!$P$25),"",IF(IF('Recurring Schedule'!$N$25&gt;0,MOD($A208-'Recurring Schedule'!$F$25,'Recurring Schedule'!$N$25)=0,IF('Recurring Schedule'!$O$25&gt;0,AND(DAY($A208)=MIN(DAY('Recurring Schedule'!$F$25),DAY(EOMONTH($A208,0))),MOD((YEAR($A208)-YEAR('Recurring Schedule'!$F$25))*12+MONTH($A208)-MONTH('Recurring Schedule'!$F$25),'Recurring Schedule'!$O$25)=0),IF('Recurring Schedule'!$E$25="Weekdays",WEEKDAY($A208,2)&lt;=5,$A208='Recurring Schedule'!$F$25))),20,""))))</f>
        <v/>
      </c>
      <c r="V208">
        <f>IF('Recurring Schedule'!$C$26="","",IF('Recurring Schedule'!$F$26="","",IF(OR($A208&lt;'Recurring Schedule'!$F$26,$A208&gt;'Recurring Schedule'!$P$26),"",IF(IF('Recurring Schedule'!$N$26&gt;0,MOD($A208-'Recurring Schedule'!$F$26,'Recurring Schedule'!$N$26)=0,IF('Recurring Schedule'!$O$26&gt;0,AND(DAY($A208)=MIN(DAY('Recurring Schedule'!$F$26),DAY(EOMONTH($A208,0))),MOD((YEAR($A208)-YEAR('Recurring Schedule'!$F$26))*12+MONTH($A208)-MONTH('Recurring Schedule'!$F$26),'Recurring Schedule'!$O$26)=0),IF('Recurring Schedule'!$E$26="Weekdays",WEEKDAY($A208,2)&lt;=5,$A208='Recurring Schedule'!$F$26))),21,""))))</f>
        <v/>
      </c>
      <c r="W208">
        <f>IF('Recurring Schedule'!$C$27="","",IF('Recurring Schedule'!$F$27="","",IF(OR($A208&lt;'Recurring Schedule'!$F$27,$A208&gt;'Recurring Schedule'!$P$27),"",IF(IF('Recurring Schedule'!$N$27&gt;0,MOD($A208-'Recurring Schedule'!$F$27,'Recurring Schedule'!$N$27)=0,IF('Recurring Schedule'!$O$27&gt;0,AND(DAY($A208)=MIN(DAY('Recurring Schedule'!$F$27),DAY(EOMONTH($A208,0))),MOD((YEAR($A208)-YEAR('Recurring Schedule'!$F$27))*12+MONTH($A208)-MONTH('Recurring Schedule'!$F$27),'Recurring Schedule'!$O$27)=0),IF('Recurring Schedule'!$E$27="Weekdays",WEEKDAY($A208,2)&lt;=5,$A208='Recurring Schedule'!$F$27))),22,""))))</f>
        <v/>
      </c>
      <c r="X208">
        <f>IF('Recurring Schedule'!$C$28="","",IF('Recurring Schedule'!$F$28="","",IF(OR($A208&lt;'Recurring Schedule'!$F$28,$A208&gt;'Recurring Schedule'!$P$28),"",IF(IF('Recurring Schedule'!$N$28&gt;0,MOD($A208-'Recurring Schedule'!$F$28,'Recurring Schedule'!$N$28)=0,IF('Recurring Schedule'!$O$28&gt;0,AND(DAY($A208)=MIN(DAY('Recurring Schedule'!$F$28),DAY(EOMONTH($A208,0))),MOD((YEAR($A208)-YEAR('Recurring Schedule'!$F$28))*12+MONTH($A208)-MONTH('Recurring Schedule'!$F$28),'Recurring Schedule'!$O$28)=0),IF('Recurring Schedule'!$E$28="Weekdays",WEEKDAY($A208,2)&lt;=5,$A208='Recurring Schedule'!$F$28))),23,""))))</f>
        <v/>
      </c>
      <c r="Y208">
        <f>IF('Recurring Schedule'!$C$29="","",IF('Recurring Schedule'!$F$29="","",IF(OR($A208&lt;'Recurring Schedule'!$F$29,$A208&gt;'Recurring Schedule'!$P$29),"",IF(IF('Recurring Schedule'!$N$29&gt;0,MOD($A208-'Recurring Schedule'!$F$29,'Recurring Schedule'!$N$29)=0,IF('Recurring Schedule'!$O$29&gt;0,AND(DAY($A208)=MIN(DAY('Recurring Schedule'!$F$29),DAY(EOMONTH($A208,0))),MOD((YEAR($A208)-YEAR('Recurring Schedule'!$F$29))*12+MONTH($A208)-MONTH('Recurring Schedule'!$F$29),'Recurring Schedule'!$O$29)=0),IF('Recurring Schedule'!$E$29="Weekdays",WEEKDAY($A208,2)&lt;=5,$A208='Recurring Schedule'!$F$29))),24,""))))</f>
        <v/>
      </c>
      <c r="Z208">
        <f>IF('Recurring Schedule'!$C$30="","",IF('Recurring Schedule'!$F$30="","",IF(OR($A208&lt;'Recurring Schedule'!$F$30,$A208&gt;'Recurring Schedule'!$P$30),"",IF(IF('Recurring Schedule'!$N$30&gt;0,MOD($A208-'Recurring Schedule'!$F$30,'Recurring Schedule'!$N$30)=0,IF('Recurring Schedule'!$O$30&gt;0,AND(DAY($A208)=MIN(DAY('Recurring Schedule'!$F$30),DAY(EOMONTH($A208,0))),MOD((YEAR($A208)-YEAR('Recurring Schedule'!$F$30))*12+MONTH($A208)-MONTH('Recurring Schedule'!$F$30),'Recurring Schedule'!$O$30)=0),IF('Recurring Schedule'!$E$30="Weekdays",WEEKDAY($A208,2)&lt;=5,$A208='Recurring Schedule'!$F$30))),25,""))))</f>
        <v/>
      </c>
      <c r="AA208">
        <f>IF('Recurring Schedule'!$C$31="","",IF('Recurring Schedule'!$F$31="","",IF(OR($A208&lt;'Recurring Schedule'!$F$31,$A208&gt;'Recurring Schedule'!$P$31),"",IF(IF('Recurring Schedule'!$N$31&gt;0,MOD($A208-'Recurring Schedule'!$F$31,'Recurring Schedule'!$N$31)=0,IF('Recurring Schedule'!$O$31&gt;0,AND(DAY($A208)=MIN(DAY('Recurring Schedule'!$F$31),DAY(EOMONTH($A208,0))),MOD((YEAR($A208)-YEAR('Recurring Schedule'!$F$31))*12+MONTH($A208)-MONTH('Recurring Schedule'!$F$31),'Recurring Schedule'!$O$31)=0),IF('Recurring Schedule'!$E$31="Weekdays",WEEKDAY($A208,2)&lt;=5,$A208='Recurring Schedule'!$F$31))),26,""))))</f>
        <v/>
      </c>
      <c r="AB208">
        <f>IF('Recurring Schedule'!$C$32="","",IF('Recurring Schedule'!$F$32="","",IF(OR($A208&lt;'Recurring Schedule'!$F$32,$A208&gt;'Recurring Schedule'!$P$32),"",IF(IF('Recurring Schedule'!$N$32&gt;0,MOD($A208-'Recurring Schedule'!$F$32,'Recurring Schedule'!$N$32)=0,IF('Recurring Schedule'!$O$32&gt;0,AND(DAY($A208)=MIN(DAY('Recurring Schedule'!$F$32),DAY(EOMONTH($A208,0))),MOD((YEAR($A208)-YEAR('Recurring Schedule'!$F$32))*12+MONTH($A208)-MONTH('Recurring Schedule'!$F$32),'Recurring Schedule'!$O$32)=0),IF('Recurring Schedule'!$E$32="Weekdays",WEEKDAY($A208,2)&lt;=5,$A208='Recurring Schedule'!$F$32))),27,""))))</f>
        <v/>
      </c>
      <c r="AC208">
        <f>IF('Recurring Schedule'!$C$33="","",IF('Recurring Schedule'!$F$33="","",IF(OR($A208&lt;'Recurring Schedule'!$F$33,$A208&gt;'Recurring Schedule'!$P$33),"",IF(IF('Recurring Schedule'!$N$33&gt;0,MOD($A208-'Recurring Schedule'!$F$33,'Recurring Schedule'!$N$33)=0,IF('Recurring Schedule'!$O$33&gt;0,AND(DAY($A208)=MIN(DAY('Recurring Schedule'!$F$33),DAY(EOMONTH($A208,0))),MOD((YEAR($A208)-YEAR('Recurring Schedule'!$F$33))*12+MONTH($A208)-MONTH('Recurring Schedule'!$F$33),'Recurring Schedule'!$O$33)=0),IF('Recurring Schedule'!$E$33="Weekdays",WEEKDAY($A208,2)&lt;=5,$A208='Recurring Schedule'!$F$33))),28,""))))</f>
        <v/>
      </c>
      <c r="AD208">
        <f>IF('Recurring Schedule'!$C$34="","",IF('Recurring Schedule'!$F$34="","",IF(OR($A208&lt;'Recurring Schedule'!$F$34,$A208&gt;'Recurring Schedule'!$P$34),"",IF(IF('Recurring Schedule'!$N$34&gt;0,MOD($A208-'Recurring Schedule'!$F$34,'Recurring Schedule'!$N$34)=0,IF('Recurring Schedule'!$O$34&gt;0,AND(DAY($A208)=MIN(DAY('Recurring Schedule'!$F$34),DAY(EOMONTH($A208,0))),MOD((YEAR($A208)-YEAR('Recurring Schedule'!$F$34))*12+MONTH($A208)-MONTH('Recurring Schedule'!$F$34),'Recurring Schedule'!$O$34)=0),IF('Recurring Schedule'!$E$34="Weekdays",WEEKDAY($A208,2)&lt;=5,$A208='Recurring Schedule'!$F$34))),29,""))))</f>
        <v/>
      </c>
      <c r="AE208">
        <f>IF('Recurring Schedule'!$C$35="","",IF('Recurring Schedule'!$F$35="","",IF(OR($A208&lt;'Recurring Schedule'!$F$35,$A208&gt;'Recurring Schedule'!$P$35),"",IF(IF('Recurring Schedule'!$N$35&gt;0,MOD($A208-'Recurring Schedule'!$F$35,'Recurring Schedule'!$N$35)=0,IF('Recurring Schedule'!$O$35&gt;0,AND(DAY($A208)=MIN(DAY('Recurring Schedule'!$F$35),DAY(EOMONTH($A208,0))),MOD((YEAR($A208)-YEAR('Recurring Schedule'!$F$35))*12+MONTH($A208)-MONTH('Recurring Schedule'!$F$35),'Recurring Schedule'!$O$35)=0),IF('Recurring Schedule'!$E$35="Weekdays",WEEKDAY($A208,2)&lt;=5,$A208='Recurring Schedule'!$F$35))),30,""))))</f>
        <v/>
      </c>
      <c r="AF208">
        <f>IF('Recurring Schedule'!$C$36="","",IF('Recurring Schedule'!$F$36="","",IF(OR($A208&lt;'Recurring Schedule'!$F$36,$A208&gt;'Recurring Schedule'!$P$36),"",IF(IF('Recurring Schedule'!$N$36&gt;0,MOD($A208-'Recurring Schedule'!$F$36,'Recurring Schedule'!$N$36)=0,IF('Recurring Schedule'!$O$36&gt;0,AND(DAY($A208)=MIN(DAY('Recurring Schedule'!$F$36),DAY(EOMONTH($A208,0))),MOD((YEAR($A208)-YEAR('Recurring Schedule'!$F$36))*12+MONTH($A208)-MONTH('Recurring Schedule'!$F$36),'Recurring Schedule'!$O$36)=0),IF('Recurring Schedule'!$E$36="Weekdays",WEEKDAY($A208,2)&lt;=5,$A208='Recurring Schedule'!$F$36))),31,""))))</f>
        <v/>
      </c>
      <c r="AG208">
        <f>IF('Recurring Schedule'!$C$37="","",IF('Recurring Schedule'!$F$37="","",IF(OR($A208&lt;'Recurring Schedule'!$F$37,$A208&gt;'Recurring Schedule'!$P$37),"",IF(IF('Recurring Schedule'!$N$37&gt;0,MOD($A208-'Recurring Schedule'!$F$37,'Recurring Schedule'!$N$37)=0,IF('Recurring Schedule'!$O$37&gt;0,AND(DAY($A208)=MIN(DAY('Recurring Schedule'!$F$37),DAY(EOMONTH($A208,0))),MOD((YEAR($A208)-YEAR('Recurring Schedule'!$F$37))*12+MONTH($A208)-MONTH('Recurring Schedule'!$F$37),'Recurring Schedule'!$O$37)=0),IF('Recurring Schedule'!$E$37="Weekdays",WEEKDAY($A208,2)&lt;=5,$A208='Recurring Schedule'!$F$37))),32,""))))</f>
        <v/>
      </c>
      <c r="AH208">
        <f>IF('Recurring Schedule'!$C$38="","",IF('Recurring Schedule'!$F$38="","",IF(OR($A208&lt;'Recurring Schedule'!$F$38,$A208&gt;'Recurring Schedule'!$P$38),"",IF(IF('Recurring Schedule'!$N$38&gt;0,MOD($A208-'Recurring Schedule'!$F$38,'Recurring Schedule'!$N$38)=0,IF('Recurring Schedule'!$O$38&gt;0,AND(DAY($A208)=MIN(DAY('Recurring Schedule'!$F$38),DAY(EOMONTH($A208,0))),MOD((YEAR($A208)-YEAR('Recurring Schedule'!$F$38))*12+MONTH($A208)-MONTH('Recurring Schedule'!$F$38),'Recurring Schedule'!$O$38)=0),IF('Recurring Schedule'!$E$38="Weekdays",WEEKDAY($A208,2)&lt;=5,$A208='Recurring Schedule'!$F$38))),33,""))))</f>
        <v/>
      </c>
      <c r="AI208">
        <f>IF('Recurring Schedule'!$C$39="","",IF('Recurring Schedule'!$F$39="","",IF(OR($A208&lt;'Recurring Schedule'!$F$39,$A208&gt;'Recurring Schedule'!$P$39),"",IF(IF('Recurring Schedule'!$N$39&gt;0,MOD($A208-'Recurring Schedule'!$F$39,'Recurring Schedule'!$N$39)=0,IF('Recurring Schedule'!$O$39&gt;0,AND(DAY($A208)=MIN(DAY('Recurring Schedule'!$F$39),DAY(EOMONTH($A208,0))),MOD((YEAR($A208)-YEAR('Recurring Schedule'!$F$39))*12+MONTH($A208)-MONTH('Recurring Schedule'!$F$39),'Recurring Schedule'!$O$39)=0),IF('Recurring Schedule'!$E$39="Weekdays",WEEKDAY($A208,2)&lt;=5,$A208='Recurring Schedule'!$F$39))),34,""))))</f>
        <v/>
      </c>
      <c r="AJ208">
        <f>IF('Recurring Schedule'!$C$40="","",IF('Recurring Schedule'!$F$40="","",IF(OR($A208&lt;'Recurring Schedule'!$F$40,$A208&gt;'Recurring Schedule'!$P$40),"",IF(IF('Recurring Schedule'!$N$40&gt;0,MOD($A208-'Recurring Schedule'!$F$40,'Recurring Schedule'!$N$40)=0,IF('Recurring Schedule'!$O$40&gt;0,AND(DAY($A208)=MIN(DAY('Recurring Schedule'!$F$40),DAY(EOMONTH($A208,0))),MOD((YEAR($A208)-YEAR('Recurring Schedule'!$F$40))*12+MONTH($A208)-MONTH('Recurring Schedule'!$F$40),'Recurring Schedule'!$O$40)=0),IF('Recurring Schedule'!$E$40="Weekdays",WEEKDAY($A208,2)&lt;=5,$A208='Recurring Schedule'!$F$40))),35,""))))</f>
        <v/>
      </c>
      <c r="AK208">
        <f>IF('Recurring Schedule'!$C$41="","",IF('Recurring Schedule'!$F$41="","",IF(OR($A208&lt;'Recurring Schedule'!$F$41,$A208&gt;'Recurring Schedule'!$P$41),"",IF(IF('Recurring Schedule'!$N$41&gt;0,MOD($A208-'Recurring Schedule'!$F$41,'Recurring Schedule'!$N$41)=0,IF('Recurring Schedule'!$O$41&gt;0,AND(DAY($A208)=MIN(DAY('Recurring Schedule'!$F$41),DAY(EOMONTH($A208,0))),MOD((YEAR($A208)-YEAR('Recurring Schedule'!$F$41))*12+MONTH($A208)-MONTH('Recurring Schedule'!$F$41),'Recurring Schedule'!$O$41)=0),IF('Recurring Schedule'!$E$41="Weekdays",WEEKDAY($A208,2)&lt;=5,$A208='Recurring Schedule'!$F$41))),36,""))))</f>
        <v/>
      </c>
      <c r="AL208">
        <f>IF('Recurring Schedule'!$C$42="","",IF('Recurring Schedule'!$F$42="","",IF(OR($A208&lt;'Recurring Schedule'!$F$42,$A208&gt;'Recurring Schedule'!$P$42),"",IF(IF('Recurring Schedule'!$N$42&gt;0,MOD($A208-'Recurring Schedule'!$F$42,'Recurring Schedule'!$N$42)=0,IF('Recurring Schedule'!$O$42&gt;0,AND(DAY($A208)=MIN(DAY('Recurring Schedule'!$F$42),DAY(EOMONTH($A208,0))),MOD((YEAR($A208)-YEAR('Recurring Schedule'!$F$42))*12+MONTH($A208)-MONTH('Recurring Schedule'!$F$42),'Recurring Schedule'!$O$42)=0),IF('Recurring Schedule'!$E$42="Weekdays",WEEKDAY($A208,2)&lt;=5,$A208='Recurring Schedule'!$F$42))),37,""))))</f>
        <v/>
      </c>
      <c r="AM208">
        <f>IF('Recurring Schedule'!$C$43="","",IF('Recurring Schedule'!$F$43="","",IF(OR($A208&lt;'Recurring Schedule'!$F$43,$A208&gt;'Recurring Schedule'!$P$43),"",IF(IF('Recurring Schedule'!$N$43&gt;0,MOD($A208-'Recurring Schedule'!$F$43,'Recurring Schedule'!$N$43)=0,IF('Recurring Schedule'!$O$43&gt;0,AND(DAY($A208)=MIN(DAY('Recurring Schedule'!$F$43),DAY(EOMONTH($A208,0))),MOD((YEAR($A208)-YEAR('Recurring Schedule'!$F$43))*12+MONTH($A208)-MONTH('Recurring Schedule'!$F$43),'Recurring Schedule'!$O$43)=0),IF('Recurring Schedule'!$E$43="Weekdays",WEEKDAY($A208,2)&lt;=5,$A208='Recurring Schedule'!$F$43))),38,""))))</f>
        <v/>
      </c>
      <c r="AN208">
        <f>IF('Recurring Schedule'!$C$44="","",IF('Recurring Schedule'!$F$44="","",IF(OR($A208&lt;'Recurring Schedule'!$F$44,$A208&gt;'Recurring Schedule'!$P$44),"",IF(IF('Recurring Schedule'!$N$44&gt;0,MOD($A208-'Recurring Schedule'!$F$44,'Recurring Schedule'!$N$44)=0,IF('Recurring Schedule'!$O$44&gt;0,AND(DAY($A208)=MIN(DAY('Recurring Schedule'!$F$44),DAY(EOMONTH($A208,0))),MOD((YEAR($A208)-YEAR('Recurring Schedule'!$F$44))*12+MONTH($A208)-MONTH('Recurring Schedule'!$F$44),'Recurring Schedule'!$O$44)=0),IF('Recurring Schedule'!$E$44="Weekdays",WEEKDAY($A208,2)&lt;=5,$A208='Recurring Schedule'!$F$44))),39,""))))</f>
        <v/>
      </c>
      <c r="AO208">
        <f>IF('Recurring Schedule'!$C$45="","",IF('Recurring Schedule'!$F$45="","",IF(OR($A208&lt;'Recurring Schedule'!$F$45,$A208&gt;'Recurring Schedule'!$P$45),"",IF(IF('Recurring Schedule'!$N$45&gt;0,MOD($A208-'Recurring Schedule'!$F$45,'Recurring Schedule'!$N$45)=0,IF('Recurring Schedule'!$O$45&gt;0,AND(DAY($A208)=MIN(DAY('Recurring Schedule'!$F$45),DAY(EOMONTH($A208,0))),MOD((YEAR($A208)-YEAR('Recurring Schedule'!$F$45))*12+MONTH($A208)-MONTH('Recurring Schedule'!$F$45),'Recurring Schedule'!$O$45)=0),IF('Recurring Schedule'!$E$45="Weekdays",WEEKDAY($A208,2)&lt;=5,$A208='Recurring Schedule'!$F$45))),40,""))))</f>
        <v/>
      </c>
      <c r="AP208">
        <f>COUNT(B208:AO208)</f>
        <v/>
      </c>
      <c r="AQ208">
        <f>AQ207+AP207</f>
        <v/>
      </c>
      <c r="AS208" t="inlineStr">
        <is>
          <t>R</t>
        </is>
      </c>
      <c r="AT208" t="n">
        <v>212</v>
      </c>
      <c r="AU208">
        <f>'Recurring Log'!C212&amp;""</f>
        <v/>
      </c>
      <c r="AV208">
        <f>'Recurring Log'!D212&amp;""</f>
        <v/>
      </c>
      <c r="AW208">
        <f>IF('Recurring Log'!E212="","",'Recurring Log'!E212)</f>
        <v/>
      </c>
      <c r="AX208">
        <f>IF('Recurring Log'!G212="","",'Recurring Log'!G212)</f>
        <v/>
      </c>
      <c r="AY208">
        <f>IF('Recurring Log'!H212="","",'Recurring Log'!H212)</f>
        <v/>
      </c>
      <c r="AZ208">
        <f>IF(AU208="","",IF('Recurring Log'!J212="","Not Started",'Recurring Log'!J212))</f>
        <v/>
      </c>
      <c r="BA208">
        <f>'Recurring Log'!L212&amp;""</f>
        <v/>
      </c>
      <c r="BB208">
        <f>'Recurring Log'!M212&amp;""</f>
        <v/>
      </c>
      <c r="BC208">
        <f>'Recurring Log'!N212&amp;""</f>
        <v/>
      </c>
      <c r="BD208">
        <f>'Recurring Log'!O212&amp;""</f>
        <v/>
      </c>
      <c r="BE208">
        <f>IF('Recurring Log'!K212="","",'Recurring Log'!K212)</f>
        <v/>
      </c>
      <c r="BF208">
        <f>IFERROR(MATCH(BA208,Setup!$L$6:$L$9,0),5)</f>
        <v/>
      </c>
      <c r="BG208">
        <f>IF(OR(AZ208="Done",AZ208="Cancelled"),1,0)</f>
        <v/>
      </c>
      <c r="BH208">
        <f>IF(AND(AU208&lt;&gt;"",ISNUMBER(AW208)),1,0)</f>
        <v/>
      </c>
      <c r="BI208">
        <f>IF(BH208=0,0,IF(AND(AW208&gt;='Tasks Filter'!$F$3,AW208&lt;='Tasks Filter'!$F$4,OR('Tasks Filter'!$I$3="",ISNUMBER(SEARCH('Tasks Filter'!$I$3,AU208))),OR('Tasks Filter'!$I$4="",BF208=IFERROR(MATCH('Tasks Filter'!$I$4,Setup!$L$6:$L$9,0),0)),OR('Tasks Filter'!$I$5="Both",AND('Tasks Filter'!$I$5="Yes",BB208="✓"),AND('Tasks Filter'!$I$5="No",BB208&lt;&gt;"✓")),OR('Tasks Filter'!$L$3="",AV208='Tasks Filter'!$L$3),OR('Tasks Filter'!$L$4="",AZ208='Tasks Filter'!$L$4),OR('Tasks Filter'!$L$5="",BC208='Tasks Filter'!$L$5),OR('Tasks Filter'!$O$3="",BD208='Tasks Filter'!$O$3),OR('Tasks Filter'!$O$4="Yes",BG208=0)),1,0))</f>
        <v/>
      </c>
      <c r="BJ208">
        <f>IF(BH208=0,"",IF('Tasks Filter'!$F$6="Descending",-1,1)*CHOOSE(MATCH('Tasks Filter'!$F$5,Lists!$G$2:$G$6,0),AW208,BF208,IFERROR(MATCH(AV208,Setup!$F$6:$F$15,0),99),IFERROR(MATCH(BC208,Setup!$H$6:$H$15,0),99),IFERROR(MATCH(AZ208,Setup!$J$6:$J$11,0),99))*1E+9+(AW208-40000)*10000+207)</f>
        <v/>
      </c>
      <c r="BK208">
        <f>IF(BI208=1,BJ208,"")</f>
        <v/>
      </c>
      <c r="BL208">
        <f>IF(AND(BH208=1,BG208=0,N(AW208)&lt;Setup!$D$7),(AW208-40000)*10000+207,"")</f>
        <v/>
      </c>
      <c r="BM208">
        <f>IF(AND(BH208=1,AZ208&lt;&gt;"Cancelled",N(AW208)&gt;=Dashboard!$AB$3,N(AW208)&lt;=Dashboard!$AB$3+6),(AW208-40000)*100000+BF208*10000+207,"")</f>
        <v/>
      </c>
      <c r="BN208">
        <f>IF(AND(BH208=1,AZ208&lt;&gt;"Cancelled"),BF208*10000+207,"")</f>
        <v/>
      </c>
    </row>
    <row r="209">
      <c r="A209">
        <f>Setup!$D$5+207</f>
        <v/>
      </c>
      <c r="B209">
        <f>IF('Recurring Schedule'!$C$6="","",IF('Recurring Schedule'!$F$6="","",IF(OR($A209&lt;'Recurring Schedule'!$F$6,$A209&gt;'Recurring Schedule'!$P$6),"",IF(IF('Recurring Schedule'!$N$6&gt;0,MOD($A209-'Recurring Schedule'!$F$6,'Recurring Schedule'!$N$6)=0,IF('Recurring Schedule'!$O$6&gt;0,AND(DAY($A209)=MIN(DAY('Recurring Schedule'!$F$6),DAY(EOMONTH($A209,0))),MOD((YEAR($A209)-YEAR('Recurring Schedule'!$F$6))*12+MONTH($A209)-MONTH('Recurring Schedule'!$F$6),'Recurring Schedule'!$O$6)=0),IF('Recurring Schedule'!$E$6="Weekdays",WEEKDAY($A209,2)&lt;=5,$A209='Recurring Schedule'!$F$6))),1,""))))</f>
        <v/>
      </c>
      <c r="C209">
        <f>IF('Recurring Schedule'!$C$7="","",IF('Recurring Schedule'!$F$7="","",IF(OR($A209&lt;'Recurring Schedule'!$F$7,$A209&gt;'Recurring Schedule'!$P$7),"",IF(IF('Recurring Schedule'!$N$7&gt;0,MOD($A209-'Recurring Schedule'!$F$7,'Recurring Schedule'!$N$7)=0,IF('Recurring Schedule'!$O$7&gt;0,AND(DAY($A209)=MIN(DAY('Recurring Schedule'!$F$7),DAY(EOMONTH($A209,0))),MOD((YEAR($A209)-YEAR('Recurring Schedule'!$F$7))*12+MONTH($A209)-MONTH('Recurring Schedule'!$F$7),'Recurring Schedule'!$O$7)=0),IF('Recurring Schedule'!$E$7="Weekdays",WEEKDAY($A209,2)&lt;=5,$A209='Recurring Schedule'!$F$7))),2,""))))</f>
        <v/>
      </c>
      <c r="D209">
        <f>IF('Recurring Schedule'!$C$8="","",IF('Recurring Schedule'!$F$8="","",IF(OR($A209&lt;'Recurring Schedule'!$F$8,$A209&gt;'Recurring Schedule'!$P$8),"",IF(IF('Recurring Schedule'!$N$8&gt;0,MOD($A209-'Recurring Schedule'!$F$8,'Recurring Schedule'!$N$8)=0,IF('Recurring Schedule'!$O$8&gt;0,AND(DAY($A209)=MIN(DAY('Recurring Schedule'!$F$8),DAY(EOMONTH($A209,0))),MOD((YEAR($A209)-YEAR('Recurring Schedule'!$F$8))*12+MONTH($A209)-MONTH('Recurring Schedule'!$F$8),'Recurring Schedule'!$O$8)=0),IF('Recurring Schedule'!$E$8="Weekdays",WEEKDAY($A209,2)&lt;=5,$A209='Recurring Schedule'!$F$8))),3,""))))</f>
        <v/>
      </c>
      <c r="E209">
        <f>IF('Recurring Schedule'!$C$9="","",IF('Recurring Schedule'!$F$9="","",IF(OR($A209&lt;'Recurring Schedule'!$F$9,$A209&gt;'Recurring Schedule'!$P$9),"",IF(IF('Recurring Schedule'!$N$9&gt;0,MOD($A209-'Recurring Schedule'!$F$9,'Recurring Schedule'!$N$9)=0,IF('Recurring Schedule'!$O$9&gt;0,AND(DAY($A209)=MIN(DAY('Recurring Schedule'!$F$9),DAY(EOMONTH($A209,0))),MOD((YEAR($A209)-YEAR('Recurring Schedule'!$F$9))*12+MONTH($A209)-MONTH('Recurring Schedule'!$F$9),'Recurring Schedule'!$O$9)=0),IF('Recurring Schedule'!$E$9="Weekdays",WEEKDAY($A209,2)&lt;=5,$A209='Recurring Schedule'!$F$9))),4,""))))</f>
        <v/>
      </c>
      <c r="F209">
        <f>IF('Recurring Schedule'!$C$10="","",IF('Recurring Schedule'!$F$10="","",IF(OR($A209&lt;'Recurring Schedule'!$F$10,$A209&gt;'Recurring Schedule'!$P$10),"",IF(IF('Recurring Schedule'!$N$10&gt;0,MOD($A209-'Recurring Schedule'!$F$10,'Recurring Schedule'!$N$10)=0,IF('Recurring Schedule'!$O$10&gt;0,AND(DAY($A209)=MIN(DAY('Recurring Schedule'!$F$10),DAY(EOMONTH($A209,0))),MOD((YEAR($A209)-YEAR('Recurring Schedule'!$F$10))*12+MONTH($A209)-MONTH('Recurring Schedule'!$F$10),'Recurring Schedule'!$O$10)=0),IF('Recurring Schedule'!$E$10="Weekdays",WEEKDAY($A209,2)&lt;=5,$A209='Recurring Schedule'!$F$10))),5,""))))</f>
        <v/>
      </c>
      <c r="G209">
        <f>IF('Recurring Schedule'!$C$11="","",IF('Recurring Schedule'!$F$11="","",IF(OR($A209&lt;'Recurring Schedule'!$F$11,$A209&gt;'Recurring Schedule'!$P$11),"",IF(IF('Recurring Schedule'!$N$11&gt;0,MOD($A209-'Recurring Schedule'!$F$11,'Recurring Schedule'!$N$11)=0,IF('Recurring Schedule'!$O$11&gt;0,AND(DAY($A209)=MIN(DAY('Recurring Schedule'!$F$11),DAY(EOMONTH($A209,0))),MOD((YEAR($A209)-YEAR('Recurring Schedule'!$F$11))*12+MONTH($A209)-MONTH('Recurring Schedule'!$F$11),'Recurring Schedule'!$O$11)=0),IF('Recurring Schedule'!$E$11="Weekdays",WEEKDAY($A209,2)&lt;=5,$A209='Recurring Schedule'!$F$11))),6,""))))</f>
        <v/>
      </c>
      <c r="H209">
        <f>IF('Recurring Schedule'!$C$12="","",IF('Recurring Schedule'!$F$12="","",IF(OR($A209&lt;'Recurring Schedule'!$F$12,$A209&gt;'Recurring Schedule'!$P$12),"",IF(IF('Recurring Schedule'!$N$12&gt;0,MOD($A209-'Recurring Schedule'!$F$12,'Recurring Schedule'!$N$12)=0,IF('Recurring Schedule'!$O$12&gt;0,AND(DAY($A209)=MIN(DAY('Recurring Schedule'!$F$12),DAY(EOMONTH($A209,0))),MOD((YEAR($A209)-YEAR('Recurring Schedule'!$F$12))*12+MONTH($A209)-MONTH('Recurring Schedule'!$F$12),'Recurring Schedule'!$O$12)=0),IF('Recurring Schedule'!$E$12="Weekdays",WEEKDAY($A209,2)&lt;=5,$A209='Recurring Schedule'!$F$12))),7,""))))</f>
        <v/>
      </c>
      <c r="I209">
        <f>IF('Recurring Schedule'!$C$13="","",IF('Recurring Schedule'!$F$13="","",IF(OR($A209&lt;'Recurring Schedule'!$F$13,$A209&gt;'Recurring Schedule'!$P$13),"",IF(IF('Recurring Schedule'!$N$13&gt;0,MOD($A209-'Recurring Schedule'!$F$13,'Recurring Schedule'!$N$13)=0,IF('Recurring Schedule'!$O$13&gt;0,AND(DAY($A209)=MIN(DAY('Recurring Schedule'!$F$13),DAY(EOMONTH($A209,0))),MOD((YEAR($A209)-YEAR('Recurring Schedule'!$F$13))*12+MONTH($A209)-MONTH('Recurring Schedule'!$F$13),'Recurring Schedule'!$O$13)=0),IF('Recurring Schedule'!$E$13="Weekdays",WEEKDAY($A209,2)&lt;=5,$A209='Recurring Schedule'!$F$13))),8,""))))</f>
        <v/>
      </c>
      <c r="J209">
        <f>IF('Recurring Schedule'!$C$14="","",IF('Recurring Schedule'!$F$14="","",IF(OR($A209&lt;'Recurring Schedule'!$F$14,$A209&gt;'Recurring Schedule'!$P$14),"",IF(IF('Recurring Schedule'!$N$14&gt;0,MOD($A209-'Recurring Schedule'!$F$14,'Recurring Schedule'!$N$14)=0,IF('Recurring Schedule'!$O$14&gt;0,AND(DAY($A209)=MIN(DAY('Recurring Schedule'!$F$14),DAY(EOMONTH($A209,0))),MOD((YEAR($A209)-YEAR('Recurring Schedule'!$F$14))*12+MONTH($A209)-MONTH('Recurring Schedule'!$F$14),'Recurring Schedule'!$O$14)=0),IF('Recurring Schedule'!$E$14="Weekdays",WEEKDAY($A209,2)&lt;=5,$A209='Recurring Schedule'!$F$14))),9,""))))</f>
        <v/>
      </c>
      <c r="K209">
        <f>IF('Recurring Schedule'!$C$15="","",IF('Recurring Schedule'!$F$15="","",IF(OR($A209&lt;'Recurring Schedule'!$F$15,$A209&gt;'Recurring Schedule'!$P$15),"",IF(IF('Recurring Schedule'!$N$15&gt;0,MOD($A209-'Recurring Schedule'!$F$15,'Recurring Schedule'!$N$15)=0,IF('Recurring Schedule'!$O$15&gt;0,AND(DAY($A209)=MIN(DAY('Recurring Schedule'!$F$15),DAY(EOMONTH($A209,0))),MOD((YEAR($A209)-YEAR('Recurring Schedule'!$F$15))*12+MONTH($A209)-MONTH('Recurring Schedule'!$F$15),'Recurring Schedule'!$O$15)=0),IF('Recurring Schedule'!$E$15="Weekdays",WEEKDAY($A209,2)&lt;=5,$A209='Recurring Schedule'!$F$15))),10,""))))</f>
        <v/>
      </c>
      <c r="L209">
        <f>IF('Recurring Schedule'!$C$16="","",IF('Recurring Schedule'!$F$16="","",IF(OR($A209&lt;'Recurring Schedule'!$F$16,$A209&gt;'Recurring Schedule'!$P$16),"",IF(IF('Recurring Schedule'!$N$16&gt;0,MOD($A209-'Recurring Schedule'!$F$16,'Recurring Schedule'!$N$16)=0,IF('Recurring Schedule'!$O$16&gt;0,AND(DAY($A209)=MIN(DAY('Recurring Schedule'!$F$16),DAY(EOMONTH($A209,0))),MOD((YEAR($A209)-YEAR('Recurring Schedule'!$F$16))*12+MONTH($A209)-MONTH('Recurring Schedule'!$F$16),'Recurring Schedule'!$O$16)=0),IF('Recurring Schedule'!$E$16="Weekdays",WEEKDAY($A209,2)&lt;=5,$A209='Recurring Schedule'!$F$16))),11,""))))</f>
        <v/>
      </c>
      <c r="M209">
        <f>IF('Recurring Schedule'!$C$17="","",IF('Recurring Schedule'!$F$17="","",IF(OR($A209&lt;'Recurring Schedule'!$F$17,$A209&gt;'Recurring Schedule'!$P$17),"",IF(IF('Recurring Schedule'!$N$17&gt;0,MOD($A209-'Recurring Schedule'!$F$17,'Recurring Schedule'!$N$17)=0,IF('Recurring Schedule'!$O$17&gt;0,AND(DAY($A209)=MIN(DAY('Recurring Schedule'!$F$17),DAY(EOMONTH($A209,0))),MOD((YEAR($A209)-YEAR('Recurring Schedule'!$F$17))*12+MONTH($A209)-MONTH('Recurring Schedule'!$F$17),'Recurring Schedule'!$O$17)=0),IF('Recurring Schedule'!$E$17="Weekdays",WEEKDAY($A209,2)&lt;=5,$A209='Recurring Schedule'!$F$17))),12,""))))</f>
        <v/>
      </c>
      <c r="N209">
        <f>IF('Recurring Schedule'!$C$18="","",IF('Recurring Schedule'!$F$18="","",IF(OR($A209&lt;'Recurring Schedule'!$F$18,$A209&gt;'Recurring Schedule'!$P$18),"",IF(IF('Recurring Schedule'!$N$18&gt;0,MOD($A209-'Recurring Schedule'!$F$18,'Recurring Schedule'!$N$18)=0,IF('Recurring Schedule'!$O$18&gt;0,AND(DAY($A209)=MIN(DAY('Recurring Schedule'!$F$18),DAY(EOMONTH($A209,0))),MOD((YEAR($A209)-YEAR('Recurring Schedule'!$F$18))*12+MONTH($A209)-MONTH('Recurring Schedule'!$F$18),'Recurring Schedule'!$O$18)=0),IF('Recurring Schedule'!$E$18="Weekdays",WEEKDAY($A209,2)&lt;=5,$A209='Recurring Schedule'!$F$18))),13,""))))</f>
        <v/>
      </c>
      <c r="O209">
        <f>IF('Recurring Schedule'!$C$19="","",IF('Recurring Schedule'!$F$19="","",IF(OR($A209&lt;'Recurring Schedule'!$F$19,$A209&gt;'Recurring Schedule'!$P$19),"",IF(IF('Recurring Schedule'!$N$19&gt;0,MOD($A209-'Recurring Schedule'!$F$19,'Recurring Schedule'!$N$19)=0,IF('Recurring Schedule'!$O$19&gt;0,AND(DAY($A209)=MIN(DAY('Recurring Schedule'!$F$19),DAY(EOMONTH($A209,0))),MOD((YEAR($A209)-YEAR('Recurring Schedule'!$F$19))*12+MONTH($A209)-MONTH('Recurring Schedule'!$F$19),'Recurring Schedule'!$O$19)=0),IF('Recurring Schedule'!$E$19="Weekdays",WEEKDAY($A209,2)&lt;=5,$A209='Recurring Schedule'!$F$19))),14,""))))</f>
        <v/>
      </c>
      <c r="P209">
        <f>IF('Recurring Schedule'!$C$20="","",IF('Recurring Schedule'!$F$20="","",IF(OR($A209&lt;'Recurring Schedule'!$F$20,$A209&gt;'Recurring Schedule'!$P$20),"",IF(IF('Recurring Schedule'!$N$20&gt;0,MOD($A209-'Recurring Schedule'!$F$20,'Recurring Schedule'!$N$20)=0,IF('Recurring Schedule'!$O$20&gt;0,AND(DAY($A209)=MIN(DAY('Recurring Schedule'!$F$20),DAY(EOMONTH($A209,0))),MOD((YEAR($A209)-YEAR('Recurring Schedule'!$F$20))*12+MONTH($A209)-MONTH('Recurring Schedule'!$F$20),'Recurring Schedule'!$O$20)=0),IF('Recurring Schedule'!$E$20="Weekdays",WEEKDAY($A209,2)&lt;=5,$A209='Recurring Schedule'!$F$20))),15,""))))</f>
        <v/>
      </c>
      <c r="Q209">
        <f>IF('Recurring Schedule'!$C$21="","",IF('Recurring Schedule'!$F$21="","",IF(OR($A209&lt;'Recurring Schedule'!$F$21,$A209&gt;'Recurring Schedule'!$P$21),"",IF(IF('Recurring Schedule'!$N$21&gt;0,MOD($A209-'Recurring Schedule'!$F$21,'Recurring Schedule'!$N$21)=0,IF('Recurring Schedule'!$O$21&gt;0,AND(DAY($A209)=MIN(DAY('Recurring Schedule'!$F$21),DAY(EOMONTH($A209,0))),MOD((YEAR($A209)-YEAR('Recurring Schedule'!$F$21))*12+MONTH($A209)-MONTH('Recurring Schedule'!$F$21),'Recurring Schedule'!$O$21)=0),IF('Recurring Schedule'!$E$21="Weekdays",WEEKDAY($A209,2)&lt;=5,$A209='Recurring Schedule'!$F$21))),16,""))))</f>
        <v/>
      </c>
      <c r="R209">
        <f>IF('Recurring Schedule'!$C$22="","",IF('Recurring Schedule'!$F$22="","",IF(OR($A209&lt;'Recurring Schedule'!$F$22,$A209&gt;'Recurring Schedule'!$P$22),"",IF(IF('Recurring Schedule'!$N$22&gt;0,MOD($A209-'Recurring Schedule'!$F$22,'Recurring Schedule'!$N$22)=0,IF('Recurring Schedule'!$O$22&gt;0,AND(DAY($A209)=MIN(DAY('Recurring Schedule'!$F$22),DAY(EOMONTH($A209,0))),MOD((YEAR($A209)-YEAR('Recurring Schedule'!$F$22))*12+MONTH($A209)-MONTH('Recurring Schedule'!$F$22),'Recurring Schedule'!$O$22)=0),IF('Recurring Schedule'!$E$22="Weekdays",WEEKDAY($A209,2)&lt;=5,$A209='Recurring Schedule'!$F$22))),17,""))))</f>
        <v/>
      </c>
      <c r="S209">
        <f>IF('Recurring Schedule'!$C$23="","",IF('Recurring Schedule'!$F$23="","",IF(OR($A209&lt;'Recurring Schedule'!$F$23,$A209&gt;'Recurring Schedule'!$P$23),"",IF(IF('Recurring Schedule'!$N$23&gt;0,MOD($A209-'Recurring Schedule'!$F$23,'Recurring Schedule'!$N$23)=0,IF('Recurring Schedule'!$O$23&gt;0,AND(DAY($A209)=MIN(DAY('Recurring Schedule'!$F$23),DAY(EOMONTH($A209,0))),MOD((YEAR($A209)-YEAR('Recurring Schedule'!$F$23))*12+MONTH($A209)-MONTH('Recurring Schedule'!$F$23),'Recurring Schedule'!$O$23)=0),IF('Recurring Schedule'!$E$23="Weekdays",WEEKDAY($A209,2)&lt;=5,$A209='Recurring Schedule'!$F$23))),18,""))))</f>
        <v/>
      </c>
      <c r="T209">
        <f>IF('Recurring Schedule'!$C$24="","",IF('Recurring Schedule'!$F$24="","",IF(OR($A209&lt;'Recurring Schedule'!$F$24,$A209&gt;'Recurring Schedule'!$P$24),"",IF(IF('Recurring Schedule'!$N$24&gt;0,MOD($A209-'Recurring Schedule'!$F$24,'Recurring Schedule'!$N$24)=0,IF('Recurring Schedule'!$O$24&gt;0,AND(DAY($A209)=MIN(DAY('Recurring Schedule'!$F$24),DAY(EOMONTH($A209,0))),MOD((YEAR($A209)-YEAR('Recurring Schedule'!$F$24))*12+MONTH($A209)-MONTH('Recurring Schedule'!$F$24),'Recurring Schedule'!$O$24)=0),IF('Recurring Schedule'!$E$24="Weekdays",WEEKDAY($A209,2)&lt;=5,$A209='Recurring Schedule'!$F$24))),19,""))))</f>
        <v/>
      </c>
      <c r="U209">
        <f>IF('Recurring Schedule'!$C$25="","",IF('Recurring Schedule'!$F$25="","",IF(OR($A209&lt;'Recurring Schedule'!$F$25,$A209&gt;'Recurring Schedule'!$P$25),"",IF(IF('Recurring Schedule'!$N$25&gt;0,MOD($A209-'Recurring Schedule'!$F$25,'Recurring Schedule'!$N$25)=0,IF('Recurring Schedule'!$O$25&gt;0,AND(DAY($A209)=MIN(DAY('Recurring Schedule'!$F$25),DAY(EOMONTH($A209,0))),MOD((YEAR($A209)-YEAR('Recurring Schedule'!$F$25))*12+MONTH($A209)-MONTH('Recurring Schedule'!$F$25),'Recurring Schedule'!$O$25)=0),IF('Recurring Schedule'!$E$25="Weekdays",WEEKDAY($A209,2)&lt;=5,$A209='Recurring Schedule'!$F$25))),20,""))))</f>
        <v/>
      </c>
      <c r="V209">
        <f>IF('Recurring Schedule'!$C$26="","",IF('Recurring Schedule'!$F$26="","",IF(OR($A209&lt;'Recurring Schedule'!$F$26,$A209&gt;'Recurring Schedule'!$P$26),"",IF(IF('Recurring Schedule'!$N$26&gt;0,MOD($A209-'Recurring Schedule'!$F$26,'Recurring Schedule'!$N$26)=0,IF('Recurring Schedule'!$O$26&gt;0,AND(DAY($A209)=MIN(DAY('Recurring Schedule'!$F$26),DAY(EOMONTH($A209,0))),MOD((YEAR($A209)-YEAR('Recurring Schedule'!$F$26))*12+MONTH($A209)-MONTH('Recurring Schedule'!$F$26),'Recurring Schedule'!$O$26)=0),IF('Recurring Schedule'!$E$26="Weekdays",WEEKDAY($A209,2)&lt;=5,$A209='Recurring Schedule'!$F$26))),21,""))))</f>
        <v/>
      </c>
      <c r="W209">
        <f>IF('Recurring Schedule'!$C$27="","",IF('Recurring Schedule'!$F$27="","",IF(OR($A209&lt;'Recurring Schedule'!$F$27,$A209&gt;'Recurring Schedule'!$P$27),"",IF(IF('Recurring Schedule'!$N$27&gt;0,MOD($A209-'Recurring Schedule'!$F$27,'Recurring Schedule'!$N$27)=0,IF('Recurring Schedule'!$O$27&gt;0,AND(DAY($A209)=MIN(DAY('Recurring Schedule'!$F$27),DAY(EOMONTH($A209,0))),MOD((YEAR($A209)-YEAR('Recurring Schedule'!$F$27))*12+MONTH($A209)-MONTH('Recurring Schedule'!$F$27),'Recurring Schedule'!$O$27)=0),IF('Recurring Schedule'!$E$27="Weekdays",WEEKDAY($A209,2)&lt;=5,$A209='Recurring Schedule'!$F$27))),22,""))))</f>
        <v/>
      </c>
      <c r="X209">
        <f>IF('Recurring Schedule'!$C$28="","",IF('Recurring Schedule'!$F$28="","",IF(OR($A209&lt;'Recurring Schedule'!$F$28,$A209&gt;'Recurring Schedule'!$P$28),"",IF(IF('Recurring Schedule'!$N$28&gt;0,MOD($A209-'Recurring Schedule'!$F$28,'Recurring Schedule'!$N$28)=0,IF('Recurring Schedule'!$O$28&gt;0,AND(DAY($A209)=MIN(DAY('Recurring Schedule'!$F$28),DAY(EOMONTH($A209,0))),MOD((YEAR($A209)-YEAR('Recurring Schedule'!$F$28))*12+MONTH($A209)-MONTH('Recurring Schedule'!$F$28),'Recurring Schedule'!$O$28)=0),IF('Recurring Schedule'!$E$28="Weekdays",WEEKDAY($A209,2)&lt;=5,$A209='Recurring Schedule'!$F$28))),23,""))))</f>
        <v/>
      </c>
      <c r="Y209">
        <f>IF('Recurring Schedule'!$C$29="","",IF('Recurring Schedule'!$F$29="","",IF(OR($A209&lt;'Recurring Schedule'!$F$29,$A209&gt;'Recurring Schedule'!$P$29),"",IF(IF('Recurring Schedule'!$N$29&gt;0,MOD($A209-'Recurring Schedule'!$F$29,'Recurring Schedule'!$N$29)=0,IF('Recurring Schedule'!$O$29&gt;0,AND(DAY($A209)=MIN(DAY('Recurring Schedule'!$F$29),DAY(EOMONTH($A209,0))),MOD((YEAR($A209)-YEAR('Recurring Schedule'!$F$29))*12+MONTH($A209)-MONTH('Recurring Schedule'!$F$29),'Recurring Schedule'!$O$29)=0),IF('Recurring Schedule'!$E$29="Weekdays",WEEKDAY($A209,2)&lt;=5,$A209='Recurring Schedule'!$F$29))),24,""))))</f>
        <v/>
      </c>
      <c r="Z209">
        <f>IF('Recurring Schedule'!$C$30="","",IF('Recurring Schedule'!$F$30="","",IF(OR($A209&lt;'Recurring Schedule'!$F$30,$A209&gt;'Recurring Schedule'!$P$30),"",IF(IF('Recurring Schedule'!$N$30&gt;0,MOD($A209-'Recurring Schedule'!$F$30,'Recurring Schedule'!$N$30)=0,IF('Recurring Schedule'!$O$30&gt;0,AND(DAY($A209)=MIN(DAY('Recurring Schedule'!$F$30),DAY(EOMONTH($A209,0))),MOD((YEAR($A209)-YEAR('Recurring Schedule'!$F$30))*12+MONTH($A209)-MONTH('Recurring Schedule'!$F$30),'Recurring Schedule'!$O$30)=0),IF('Recurring Schedule'!$E$30="Weekdays",WEEKDAY($A209,2)&lt;=5,$A209='Recurring Schedule'!$F$30))),25,""))))</f>
        <v/>
      </c>
      <c r="AA209">
        <f>IF('Recurring Schedule'!$C$31="","",IF('Recurring Schedule'!$F$31="","",IF(OR($A209&lt;'Recurring Schedule'!$F$31,$A209&gt;'Recurring Schedule'!$P$31),"",IF(IF('Recurring Schedule'!$N$31&gt;0,MOD($A209-'Recurring Schedule'!$F$31,'Recurring Schedule'!$N$31)=0,IF('Recurring Schedule'!$O$31&gt;0,AND(DAY($A209)=MIN(DAY('Recurring Schedule'!$F$31),DAY(EOMONTH($A209,0))),MOD((YEAR($A209)-YEAR('Recurring Schedule'!$F$31))*12+MONTH($A209)-MONTH('Recurring Schedule'!$F$31),'Recurring Schedule'!$O$31)=0),IF('Recurring Schedule'!$E$31="Weekdays",WEEKDAY($A209,2)&lt;=5,$A209='Recurring Schedule'!$F$31))),26,""))))</f>
        <v/>
      </c>
      <c r="AB209">
        <f>IF('Recurring Schedule'!$C$32="","",IF('Recurring Schedule'!$F$32="","",IF(OR($A209&lt;'Recurring Schedule'!$F$32,$A209&gt;'Recurring Schedule'!$P$32),"",IF(IF('Recurring Schedule'!$N$32&gt;0,MOD($A209-'Recurring Schedule'!$F$32,'Recurring Schedule'!$N$32)=0,IF('Recurring Schedule'!$O$32&gt;0,AND(DAY($A209)=MIN(DAY('Recurring Schedule'!$F$32),DAY(EOMONTH($A209,0))),MOD((YEAR($A209)-YEAR('Recurring Schedule'!$F$32))*12+MONTH($A209)-MONTH('Recurring Schedule'!$F$32),'Recurring Schedule'!$O$32)=0),IF('Recurring Schedule'!$E$32="Weekdays",WEEKDAY($A209,2)&lt;=5,$A209='Recurring Schedule'!$F$32))),27,""))))</f>
        <v/>
      </c>
      <c r="AC209">
        <f>IF('Recurring Schedule'!$C$33="","",IF('Recurring Schedule'!$F$33="","",IF(OR($A209&lt;'Recurring Schedule'!$F$33,$A209&gt;'Recurring Schedule'!$P$33),"",IF(IF('Recurring Schedule'!$N$33&gt;0,MOD($A209-'Recurring Schedule'!$F$33,'Recurring Schedule'!$N$33)=0,IF('Recurring Schedule'!$O$33&gt;0,AND(DAY($A209)=MIN(DAY('Recurring Schedule'!$F$33),DAY(EOMONTH($A209,0))),MOD((YEAR($A209)-YEAR('Recurring Schedule'!$F$33))*12+MONTH($A209)-MONTH('Recurring Schedule'!$F$33),'Recurring Schedule'!$O$33)=0),IF('Recurring Schedule'!$E$33="Weekdays",WEEKDAY($A209,2)&lt;=5,$A209='Recurring Schedule'!$F$33))),28,""))))</f>
        <v/>
      </c>
      <c r="AD209">
        <f>IF('Recurring Schedule'!$C$34="","",IF('Recurring Schedule'!$F$34="","",IF(OR($A209&lt;'Recurring Schedule'!$F$34,$A209&gt;'Recurring Schedule'!$P$34),"",IF(IF('Recurring Schedule'!$N$34&gt;0,MOD($A209-'Recurring Schedule'!$F$34,'Recurring Schedule'!$N$34)=0,IF('Recurring Schedule'!$O$34&gt;0,AND(DAY($A209)=MIN(DAY('Recurring Schedule'!$F$34),DAY(EOMONTH($A209,0))),MOD((YEAR($A209)-YEAR('Recurring Schedule'!$F$34))*12+MONTH($A209)-MONTH('Recurring Schedule'!$F$34),'Recurring Schedule'!$O$34)=0),IF('Recurring Schedule'!$E$34="Weekdays",WEEKDAY($A209,2)&lt;=5,$A209='Recurring Schedule'!$F$34))),29,""))))</f>
        <v/>
      </c>
      <c r="AE209">
        <f>IF('Recurring Schedule'!$C$35="","",IF('Recurring Schedule'!$F$35="","",IF(OR($A209&lt;'Recurring Schedule'!$F$35,$A209&gt;'Recurring Schedule'!$P$35),"",IF(IF('Recurring Schedule'!$N$35&gt;0,MOD($A209-'Recurring Schedule'!$F$35,'Recurring Schedule'!$N$35)=0,IF('Recurring Schedule'!$O$35&gt;0,AND(DAY($A209)=MIN(DAY('Recurring Schedule'!$F$35),DAY(EOMONTH($A209,0))),MOD((YEAR($A209)-YEAR('Recurring Schedule'!$F$35))*12+MONTH($A209)-MONTH('Recurring Schedule'!$F$35),'Recurring Schedule'!$O$35)=0),IF('Recurring Schedule'!$E$35="Weekdays",WEEKDAY($A209,2)&lt;=5,$A209='Recurring Schedule'!$F$35))),30,""))))</f>
        <v/>
      </c>
      <c r="AF209">
        <f>IF('Recurring Schedule'!$C$36="","",IF('Recurring Schedule'!$F$36="","",IF(OR($A209&lt;'Recurring Schedule'!$F$36,$A209&gt;'Recurring Schedule'!$P$36),"",IF(IF('Recurring Schedule'!$N$36&gt;0,MOD($A209-'Recurring Schedule'!$F$36,'Recurring Schedule'!$N$36)=0,IF('Recurring Schedule'!$O$36&gt;0,AND(DAY($A209)=MIN(DAY('Recurring Schedule'!$F$36),DAY(EOMONTH($A209,0))),MOD((YEAR($A209)-YEAR('Recurring Schedule'!$F$36))*12+MONTH($A209)-MONTH('Recurring Schedule'!$F$36),'Recurring Schedule'!$O$36)=0),IF('Recurring Schedule'!$E$36="Weekdays",WEEKDAY($A209,2)&lt;=5,$A209='Recurring Schedule'!$F$36))),31,""))))</f>
        <v/>
      </c>
      <c r="AG209">
        <f>IF('Recurring Schedule'!$C$37="","",IF('Recurring Schedule'!$F$37="","",IF(OR($A209&lt;'Recurring Schedule'!$F$37,$A209&gt;'Recurring Schedule'!$P$37),"",IF(IF('Recurring Schedule'!$N$37&gt;0,MOD($A209-'Recurring Schedule'!$F$37,'Recurring Schedule'!$N$37)=0,IF('Recurring Schedule'!$O$37&gt;0,AND(DAY($A209)=MIN(DAY('Recurring Schedule'!$F$37),DAY(EOMONTH($A209,0))),MOD((YEAR($A209)-YEAR('Recurring Schedule'!$F$37))*12+MONTH($A209)-MONTH('Recurring Schedule'!$F$37),'Recurring Schedule'!$O$37)=0),IF('Recurring Schedule'!$E$37="Weekdays",WEEKDAY($A209,2)&lt;=5,$A209='Recurring Schedule'!$F$37))),32,""))))</f>
        <v/>
      </c>
      <c r="AH209">
        <f>IF('Recurring Schedule'!$C$38="","",IF('Recurring Schedule'!$F$38="","",IF(OR($A209&lt;'Recurring Schedule'!$F$38,$A209&gt;'Recurring Schedule'!$P$38),"",IF(IF('Recurring Schedule'!$N$38&gt;0,MOD($A209-'Recurring Schedule'!$F$38,'Recurring Schedule'!$N$38)=0,IF('Recurring Schedule'!$O$38&gt;0,AND(DAY($A209)=MIN(DAY('Recurring Schedule'!$F$38),DAY(EOMONTH($A209,0))),MOD((YEAR($A209)-YEAR('Recurring Schedule'!$F$38))*12+MONTH($A209)-MONTH('Recurring Schedule'!$F$38),'Recurring Schedule'!$O$38)=0),IF('Recurring Schedule'!$E$38="Weekdays",WEEKDAY($A209,2)&lt;=5,$A209='Recurring Schedule'!$F$38))),33,""))))</f>
        <v/>
      </c>
      <c r="AI209">
        <f>IF('Recurring Schedule'!$C$39="","",IF('Recurring Schedule'!$F$39="","",IF(OR($A209&lt;'Recurring Schedule'!$F$39,$A209&gt;'Recurring Schedule'!$P$39),"",IF(IF('Recurring Schedule'!$N$39&gt;0,MOD($A209-'Recurring Schedule'!$F$39,'Recurring Schedule'!$N$39)=0,IF('Recurring Schedule'!$O$39&gt;0,AND(DAY($A209)=MIN(DAY('Recurring Schedule'!$F$39),DAY(EOMONTH($A209,0))),MOD((YEAR($A209)-YEAR('Recurring Schedule'!$F$39))*12+MONTH($A209)-MONTH('Recurring Schedule'!$F$39),'Recurring Schedule'!$O$39)=0),IF('Recurring Schedule'!$E$39="Weekdays",WEEKDAY($A209,2)&lt;=5,$A209='Recurring Schedule'!$F$39))),34,""))))</f>
        <v/>
      </c>
      <c r="AJ209">
        <f>IF('Recurring Schedule'!$C$40="","",IF('Recurring Schedule'!$F$40="","",IF(OR($A209&lt;'Recurring Schedule'!$F$40,$A209&gt;'Recurring Schedule'!$P$40),"",IF(IF('Recurring Schedule'!$N$40&gt;0,MOD($A209-'Recurring Schedule'!$F$40,'Recurring Schedule'!$N$40)=0,IF('Recurring Schedule'!$O$40&gt;0,AND(DAY($A209)=MIN(DAY('Recurring Schedule'!$F$40),DAY(EOMONTH($A209,0))),MOD((YEAR($A209)-YEAR('Recurring Schedule'!$F$40))*12+MONTH($A209)-MONTH('Recurring Schedule'!$F$40),'Recurring Schedule'!$O$40)=0),IF('Recurring Schedule'!$E$40="Weekdays",WEEKDAY($A209,2)&lt;=5,$A209='Recurring Schedule'!$F$40))),35,""))))</f>
        <v/>
      </c>
      <c r="AK209">
        <f>IF('Recurring Schedule'!$C$41="","",IF('Recurring Schedule'!$F$41="","",IF(OR($A209&lt;'Recurring Schedule'!$F$41,$A209&gt;'Recurring Schedule'!$P$41),"",IF(IF('Recurring Schedule'!$N$41&gt;0,MOD($A209-'Recurring Schedule'!$F$41,'Recurring Schedule'!$N$41)=0,IF('Recurring Schedule'!$O$41&gt;0,AND(DAY($A209)=MIN(DAY('Recurring Schedule'!$F$41),DAY(EOMONTH($A209,0))),MOD((YEAR($A209)-YEAR('Recurring Schedule'!$F$41))*12+MONTH($A209)-MONTH('Recurring Schedule'!$F$41),'Recurring Schedule'!$O$41)=0),IF('Recurring Schedule'!$E$41="Weekdays",WEEKDAY($A209,2)&lt;=5,$A209='Recurring Schedule'!$F$41))),36,""))))</f>
        <v/>
      </c>
      <c r="AL209">
        <f>IF('Recurring Schedule'!$C$42="","",IF('Recurring Schedule'!$F$42="","",IF(OR($A209&lt;'Recurring Schedule'!$F$42,$A209&gt;'Recurring Schedule'!$P$42),"",IF(IF('Recurring Schedule'!$N$42&gt;0,MOD($A209-'Recurring Schedule'!$F$42,'Recurring Schedule'!$N$42)=0,IF('Recurring Schedule'!$O$42&gt;0,AND(DAY($A209)=MIN(DAY('Recurring Schedule'!$F$42),DAY(EOMONTH($A209,0))),MOD((YEAR($A209)-YEAR('Recurring Schedule'!$F$42))*12+MONTH($A209)-MONTH('Recurring Schedule'!$F$42),'Recurring Schedule'!$O$42)=0),IF('Recurring Schedule'!$E$42="Weekdays",WEEKDAY($A209,2)&lt;=5,$A209='Recurring Schedule'!$F$42))),37,""))))</f>
        <v/>
      </c>
      <c r="AM209">
        <f>IF('Recurring Schedule'!$C$43="","",IF('Recurring Schedule'!$F$43="","",IF(OR($A209&lt;'Recurring Schedule'!$F$43,$A209&gt;'Recurring Schedule'!$P$43),"",IF(IF('Recurring Schedule'!$N$43&gt;0,MOD($A209-'Recurring Schedule'!$F$43,'Recurring Schedule'!$N$43)=0,IF('Recurring Schedule'!$O$43&gt;0,AND(DAY($A209)=MIN(DAY('Recurring Schedule'!$F$43),DAY(EOMONTH($A209,0))),MOD((YEAR($A209)-YEAR('Recurring Schedule'!$F$43))*12+MONTH($A209)-MONTH('Recurring Schedule'!$F$43),'Recurring Schedule'!$O$43)=0),IF('Recurring Schedule'!$E$43="Weekdays",WEEKDAY($A209,2)&lt;=5,$A209='Recurring Schedule'!$F$43))),38,""))))</f>
        <v/>
      </c>
      <c r="AN209">
        <f>IF('Recurring Schedule'!$C$44="","",IF('Recurring Schedule'!$F$44="","",IF(OR($A209&lt;'Recurring Schedule'!$F$44,$A209&gt;'Recurring Schedule'!$P$44),"",IF(IF('Recurring Schedule'!$N$44&gt;0,MOD($A209-'Recurring Schedule'!$F$44,'Recurring Schedule'!$N$44)=0,IF('Recurring Schedule'!$O$44&gt;0,AND(DAY($A209)=MIN(DAY('Recurring Schedule'!$F$44),DAY(EOMONTH($A209,0))),MOD((YEAR($A209)-YEAR('Recurring Schedule'!$F$44))*12+MONTH($A209)-MONTH('Recurring Schedule'!$F$44),'Recurring Schedule'!$O$44)=0),IF('Recurring Schedule'!$E$44="Weekdays",WEEKDAY($A209,2)&lt;=5,$A209='Recurring Schedule'!$F$44))),39,""))))</f>
        <v/>
      </c>
      <c r="AO209">
        <f>IF('Recurring Schedule'!$C$45="","",IF('Recurring Schedule'!$F$45="","",IF(OR($A209&lt;'Recurring Schedule'!$F$45,$A209&gt;'Recurring Schedule'!$P$45),"",IF(IF('Recurring Schedule'!$N$45&gt;0,MOD($A209-'Recurring Schedule'!$F$45,'Recurring Schedule'!$N$45)=0,IF('Recurring Schedule'!$O$45&gt;0,AND(DAY($A209)=MIN(DAY('Recurring Schedule'!$F$45),DAY(EOMONTH($A209,0))),MOD((YEAR($A209)-YEAR('Recurring Schedule'!$F$45))*12+MONTH($A209)-MONTH('Recurring Schedule'!$F$45),'Recurring Schedule'!$O$45)=0),IF('Recurring Schedule'!$E$45="Weekdays",WEEKDAY($A209,2)&lt;=5,$A209='Recurring Schedule'!$F$45))),40,""))))</f>
        <v/>
      </c>
      <c r="AP209">
        <f>COUNT(B209:AO209)</f>
        <v/>
      </c>
      <c r="AQ209">
        <f>AQ208+AP208</f>
        <v/>
      </c>
      <c r="AS209" t="inlineStr">
        <is>
          <t>R</t>
        </is>
      </c>
      <c r="AT209" t="n">
        <v>213</v>
      </c>
      <c r="AU209">
        <f>'Recurring Log'!C213&amp;""</f>
        <v/>
      </c>
      <c r="AV209">
        <f>'Recurring Log'!D213&amp;""</f>
        <v/>
      </c>
      <c r="AW209">
        <f>IF('Recurring Log'!E213="","",'Recurring Log'!E213)</f>
        <v/>
      </c>
      <c r="AX209">
        <f>IF('Recurring Log'!G213="","",'Recurring Log'!G213)</f>
        <v/>
      </c>
      <c r="AY209">
        <f>IF('Recurring Log'!H213="","",'Recurring Log'!H213)</f>
        <v/>
      </c>
      <c r="AZ209">
        <f>IF(AU209="","",IF('Recurring Log'!J213="","Not Started",'Recurring Log'!J213))</f>
        <v/>
      </c>
      <c r="BA209">
        <f>'Recurring Log'!L213&amp;""</f>
        <v/>
      </c>
      <c r="BB209">
        <f>'Recurring Log'!M213&amp;""</f>
        <v/>
      </c>
      <c r="BC209">
        <f>'Recurring Log'!N213&amp;""</f>
        <v/>
      </c>
      <c r="BD209">
        <f>'Recurring Log'!O213&amp;""</f>
        <v/>
      </c>
      <c r="BE209">
        <f>IF('Recurring Log'!K213="","",'Recurring Log'!K213)</f>
        <v/>
      </c>
      <c r="BF209">
        <f>IFERROR(MATCH(BA209,Setup!$L$6:$L$9,0),5)</f>
        <v/>
      </c>
      <c r="BG209">
        <f>IF(OR(AZ209="Done",AZ209="Cancelled"),1,0)</f>
        <v/>
      </c>
      <c r="BH209">
        <f>IF(AND(AU209&lt;&gt;"",ISNUMBER(AW209)),1,0)</f>
        <v/>
      </c>
      <c r="BI209">
        <f>IF(BH209=0,0,IF(AND(AW209&gt;='Tasks Filter'!$F$3,AW209&lt;='Tasks Filter'!$F$4,OR('Tasks Filter'!$I$3="",ISNUMBER(SEARCH('Tasks Filter'!$I$3,AU209))),OR('Tasks Filter'!$I$4="",BF209=IFERROR(MATCH('Tasks Filter'!$I$4,Setup!$L$6:$L$9,0),0)),OR('Tasks Filter'!$I$5="Both",AND('Tasks Filter'!$I$5="Yes",BB209="✓"),AND('Tasks Filter'!$I$5="No",BB209&lt;&gt;"✓")),OR('Tasks Filter'!$L$3="",AV209='Tasks Filter'!$L$3),OR('Tasks Filter'!$L$4="",AZ209='Tasks Filter'!$L$4),OR('Tasks Filter'!$L$5="",BC209='Tasks Filter'!$L$5),OR('Tasks Filter'!$O$3="",BD209='Tasks Filter'!$O$3),OR('Tasks Filter'!$O$4="Yes",BG209=0)),1,0))</f>
        <v/>
      </c>
      <c r="BJ209">
        <f>IF(BH209=0,"",IF('Tasks Filter'!$F$6="Descending",-1,1)*CHOOSE(MATCH('Tasks Filter'!$F$5,Lists!$G$2:$G$6,0),AW209,BF209,IFERROR(MATCH(AV209,Setup!$F$6:$F$15,0),99),IFERROR(MATCH(BC209,Setup!$H$6:$H$15,0),99),IFERROR(MATCH(AZ209,Setup!$J$6:$J$11,0),99))*1E+9+(AW209-40000)*10000+208)</f>
        <v/>
      </c>
      <c r="BK209">
        <f>IF(BI209=1,BJ209,"")</f>
        <v/>
      </c>
      <c r="BL209">
        <f>IF(AND(BH209=1,BG209=0,N(AW209)&lt;Setup!$D$7),(AW209-40000)*10000+208,"")</f>
        <v/>
      </c>
      <c r="BM209">
        <f>IF(AND(BH209=1,AZ209&lt;&gt;"Cancelled",N(AW209)&gt;=Dashboard!$AB$3,N(AW209)&lt;=Dashboard!$AB$3+6),(AW209-40000)*100000+BF209*10000+208,"")</f>
        <v/>
      </c>
      <c r="BN209">
        <f>IF(AND(BH209=1,AZ209&lt;&gt;"Cancelled"),BF209*10000+208,"")</f>
        <v/>
      </c>
    </row>
    <row r="210">
      <c r="A210">
        <f>Setup!$D$5+208</f>
        <v/>
      </c>
      <c r="B210">
        <f>IF('Recurring Schedule'!$C$6="","",IF('Recurring Schedule'!$F$6="","",IF(OR($A210&lt;'Recurring Schedule'!$F$6,$A210&gt;'Recurring Schedule'!$P$6),"",IF(IF('Recurring Schedule'!$N$6&gt;0,MOD($A210-'Recurring Schedule'!$F$6,'Recurring Schedule'!$N$6)=0,IF('Recurring Schedule'!$O$6&gt;0,AND(DAY($A210)=MIN(DAY('Recurring Schedule'!$F$6),DAY(EOMONTH($A210,0))),MOD((YEAR($A210)-YEAR('Recurring Schedule'!$F$6))*12+MONTH($A210)-MONTH('Recurring Schedule'!$F$6),'Recurring Schedule'!$O$6)=0),IF('Recurring Schedule'!$E$6="Weekdays",WEEKDAY($A210,2)&lt;=5,$A210='Recurring Schedule'!$F$6))),1,""))))</f>
        <v/>
      </c>
      <c r="C210">
        <f>IF('Recurring Schedule'!$C$7="","",IF('Recurring Schedule'!$F$7="","",IF(OR($A210&lt;'Recurring Schedule'!$F$7,$A210&gt;'Recurring Schedule'!$P$7),"",IF(IF('Recurring Schedule'!$N$7&gt;0,MOD($A210-'Recurring Schedule'!$F$7,'Recurring Schedule'!$N$7)=0,IF('Recurring Schedule'!$O$7&gt;0,AND(DAY($A210)=MIN(DAY('Recurring Schedule'!$F$7),DAY(EOMONTH($A210,0))),MOD((YEAR($A210)-YEAR('Recurring Schedule'!$F$7))*12+MONTH($A210)-MONTH('Recurring Schedule'!$F$7),'Recurring Schedule'!$O$7)=0),IF('Recurring Schedule'!$E$7="Weekdays",WEEKDAY($A210,2)&lt;=5,$A210='Recurring Schedule'!$F$7))),2,""))))</f>
        <v/>
      </c>
      <c r="D210">
        <f>IF('Recurring Schedule'!$C$8="","",IF('Recurring Schedule'!$F$8="","",IF(OR($A210&lt;'Recurring Schedule'!$F$8,$A210&gt;'Recurring Schedule'!$P$8),"",IF(IF('Recurring Schedule'!$N$8&gt;0,MOD($A210-'Recurring Schedule'!$F$8,'Recurring Schedule'!$N$8)=0,IF('Recurring Schedule'!$O$8&gt;0,AND(DAY($A210)=MIN(DAY('Recurring Schedule'!$F$8),DAY(EOMONTH($A210,0))),MOD((YEAR($A210)-YEAR('Recurring Schedule'!$F$8))*12+MONTH($A210)-MONTH('Recurring Schedule'!$F$8),'Recurring Schedule'!$O$8)=0),IF('Recurring Schedule'!$E$8="Weekdays",WEEKDAY($A210,2)&lt;=5,$A210='Recurring Schedule'!$F$8))),3,""))))</f>
        <v/>
      </c>
      <c r="E210">
        <f>IF('Recurring Schedule'!$C$9="","",IF('Recurring Schedule'!$F$9="","",IF(OR($A210&lt;'Recurring Schedule'!$F$9,$A210&gt;'Recurring Schedule'!$P$9),"",IF(IF('Recurring Schedule'!$N$9&gt;0,MOD($A210-'Recurring Schedule'!$F$9,'Recurring Schedule'!$N$9)=0,IF('Recurring Schedule'!$O$9&gt;0,AND(DAY($A210)=MIN(DAY('Recurring Schedule'!$F$9),DAY(EOMONTH($A210,0))),MOD((YEAR($A210)-YEAR('Recurring Schedule'!$F$9))*12+MONTH($A210)-MONTH('Recurring Schedule'!$F$9),'Recurring Schedule'!$O$9)=0),IF('Recurring Schedule'!$E$9="Weekdays",WEEKDAY($A210,2)&lt;=5,$A210='Recurring Schedule'!$F$9))),4,""))))</f>
        <v/>
      </c>
      <c r="F210">
        <f>IF('Recurring Schedule'!$C$10="","",IF('Recurring Schedule'!$F$10="","",IF(OR($A210&lt;'Recurring Schedule'!$F$10,$A210&gt;'Recurring Schedule'!$P$10),"",IF(IF('Recurring Schedule'!$N$10&gt;0,MOD($A210-'Recurring Schedule'!$F$10,'Recurring Schedule'!$N$10)=0,IF('Recurring Schedule'!$O$10&gt;0,AND(DAY($A210)=MIN(DAY('Recurring Schedule'!$F$10),DAY(EOMONTH($A210,0))),MOD((YEAR($A210)-YEAR('Recurring Schedule'!$F$10))*12+MONTH($A210)-MONTH('Recurring Schedule'!$F$10),'Recurring Schedule'!$O$10)=0),IF('Recurring Schedule'!$E$10="Weekdays",WEEKDAY($A210,2)&lt;=5,$A210='Recurring Schedule'!$F$10))),5,""))))</f>
        <v/>
      </c>
      <c r="G210">
        <f>IF('Recurring Schedule'!$C$11="","",IF('Recurring Schedule'!$F$11="","",IF(OR($A210&lt;'Recurring Schedule'!$F$11,$A210&gt;'Recurring Schedule'!$P$11),"",IF(IF('Recurring Schedule'!$N$11&gt;0,MOD($A210-'Recurring Schedule'!$F$11,'Recurring Schedule'!$N$11)=0,IF('Recurring Schedule'!$O$11&gt;0,AND(DAY($A210)=MIN(DAY('Recurring Schedule'!$F$11),DAY(EOMONTH($A210,0))),MOD((YEAR($A210)-YEAR('Recurring Schedule'!$F$11))*12+MONTH($A210)-MONTH('Recurring Schedule'!$F$11),'Recurring Schedule'!$O$11)=0),IF('Recurring Schedule'!$E$11="Weekdays",WEEKDAY($A210,2)&lt;=5,$A210='Recurring Schedule'!$F$11))),6,""))))</f>
        <v/>
      </c>
      <c r="H210">
        <f>IF('Recurring Schedule'!$C$12="","",IF('Recurring Schedule'!$F$12="","",IF(OR($A210&lt;'Recurring Schedule'!$F$12,$A210&gt;'Recurring Schedule'!$P$12),"",IF(IF('Recurring Schedule'!$N$12&gt;0,MOD($A210-'Recurring Schedule'!$F$12,'Recurring Schedule'!$N$12)=0,IF('Recurring Schedule'!$O$12&gt;0,AND(DAY($A210)=MIN(DAY('Recurring Schedule'!$F$12),DAY(EOMONTH($A210,0))),MOD((YEAR($A210)-YEAR('Recurring Schedule'!$F$12))*12+MONTH($A210)-MONTH('Recurring Schedule'!$F$12),'Recurring Schedule'!$O$12)=0),IF('Recurring Schedule'!$E$12="Weekdays",WEEKDAY($A210,2)&lt;=5,$A210='Recurring Schedule'!$F$12))),7,""))))</f>
        <v/>
      </c>
      <c r="I210">
        <f>IF('Recurring Schedule'!$C$13="","",IF('Recurring Schedule'!$F$13="","",IF(OR($A210&lt;'Recurring Schedule'!$F$13,$A210&gt;'Recurring Schedule'!$P$13),"",IF(IF('Recurring Schedule'!$N$13&gt;0,MOD($A210-'Recurring Schedule'!$F$13,'Recurring Schedule'!$N$13)=0,IF('Recurring Schedule'!$O$13&gt;0,AND(DAY($A210)=MIN(DAY('Recurring Schedule'!$F$13),DAY(EOMONTH($A210,0))),MOD((YEAR($A210)-YEAR('Recurring Schedule'!$F$13))*12+MONTH($A210)-MONTH('Recurring Schedule'!$F$13),'Recurring Schedule'!$O$13)=0),IF('Recurring Schedule'!$E$13="Weekdays",WEEKDAY($A210,2)&lt;=5,$A210='Recurring Schedule'!$F$13))),8,""))))</f>
        <v/>
      </c>
      <c r="J210">
        <f>IF('Recurring Schedule'!$C$14="","",IF('Recurring Schedule'!$F$14="","",IF(OR($A210&lt;'Recurring Schedule'!$F$14,$A210&gt;'Recurring Schedule'!$P$14),"",IF(IF('Recurring Schedule'!$N$14&gt;0,MOD($A210-'Recurring Schedule'!$F$14,'Recurring Schedule'!$N$14)=0,IF('Recurring Schedule'!$O$14&gt;0,AND(DAY($A210)=MIN(DAY('Recurring Schedule'!$F$14),DAY(EOMONTH($A210,0))),MOD((YEAR($A210)-YEAR('Recurring Schedule'!$F$14))*12+MONTH($A210)-MONTH('Recurring Schedule'!$F$14),'Recurring Schedule'!$O$14)=0),IF('Recurring Schedule'!$E$14="Weekdays",WEEKDAY($A210,2)&lt;=5,$A210='Recurring Schedule'!$F$14))),9,""))))</f>
        <v/>
      </c>
      <c r="K210">
        <f>IF('Recurring Schedule'!$C$15="","",IF('Recurring Schedule'!$F$15="","",IF(OR($A210&lt;'Recurring Schedule'!$F$15,$A210&gt;'Recurring Schedule'!$P$15),"",IF(IF('Recurring Schedule'!$N$15&gt;0,MOD($A210-'Recurring Schedule'!$F$15,'Recurring Schedule'!$N$15)=0,IF('Recurring Schedule'!$O$15&gt;0,AND(DAY($A210)=MIN(DAY('Recurring Schedule'!$F$15),DAY(EOMONTH($A210,0))),MOD((YEAR($A210)-YEAR('Recurring Schedule'!$F$15))*12+MONTH($A210)-MONTH('Recurring Schedule'!$F$15),'Recurring Schedule'!$O$15)=0),IF('Recurring Schedule'!$E$15="Weekdays",WEEKDAY($A210,2)&lt;=5,$A210='Recurring Schedule'!$F$15))),10,""))))</f>
        <v/>
      </c>
      <c r="L210">
        <f>IF('Recurring Schedule'!$C$16="","",IF('Recurring Schedule'!$F$16="","",IF(OR($A210&lt;'Recurring Schedule'!$F$16,$A210&gt;'Recurring Schedule'!$P$16),"",IF(IF('Recurring Schedule'!$N$16&gt;0,MOD($A210-'Recurring Schedule'!$F$16,'Recurring Schedule'!$N$16)=0,IF('Recurring Schedule'!$O$16&gt;0,AND(DAY($A210)=MIN(DAY('Recurring Schedule'!$F$16),DAY(EOMONTH($A210,0))),MOD((YEAR($A210)-YEAR('Recurring Schedule'!$F$16))*12+MONTH($A210)-MONTH('Recurring Schedule'!$F$16),'Recurring Schedule'!$O$16)=0),IF('Recurring Schedule'!$E$16="Weekdays",WEEKDAY($A210,2)&lt;=5,$A210='Recurring Schedule'!$F$16))),11,""))))</f>
        <v/>
      </c>
      <c r="M210">
        <f>IF('Recurring Schedule'!$C$17="","",IF('Recurring Schedule'!$F$17="","",IF(OR($A210&lt;'Recurring Schedule'!$F$17,$A210&gt;'Recurring Schedule'!$P$17),"",IF(IF('Recurring Schedule'!$N$17&gt;0,MOD($A210-'Recurring Schedule'!$F$17,'Recurring Schedule'!$N$17)=0,IF('Recurring Schedule'!$O$17&gt;0,AND(DAY($A210)=MIN(DAY('Recurring Schedule'!$F$17),DAY(EOMONTH($A210,0))),MOD((YEAR($A210)-YEAR('Recurring Schedule'!$F$17))*12+MONTH($A210)-MONTH('Recurring Schedule'!$F$17),'Recurring Schedule'!$O$17)=0),IF('Recurring Schedule'!$E$17="Weekdays",WEEKDAY($A210,2)&lt;=5,$A210='Recurring Schedule'!$F$17))),12,""))))</f>
        <v/>
      </c>
      <c r="N210">
        <f>IF('Recurring Schedule'!$C$18="","",IF('Recurring Schedule'!$F$18="","",IF(OR($A210&lt;'Recurring Schedule'!$F$18,$A210&gt;'Recurring Schedule'!$P$18),"",IF(IF('Recurring Schedule'!$N$18&gt;0,MOD($A210-'Recurring Schedule'!$F$18,'Recurring Schedule'!$N$18)=0,IF('Recurring Schedule'!$O$18&gt;0,AND(DAY($A210)=MIN(DAY('Recurring Schedule'!$F$18),DAY(EOMONTH($A210,0))),MOD((YEAR($A210)-YEAR('Recurring Schedule'!$F$18))*12+MONTH($A210)-MONTH('Recurring Schedule'!$F$18),'Recurring Schedule'!$O$18)=0),IF('Recurring Schedule'!$E$18="Weekdays",WEEKDAY($A210,2)&lt;=5,$A210='Recurring Schedule'!$F$18))),13,""))))</f>
        <v/>
      </c>
      <c r="O210">
        <f>IF('Recurring Schedule'!$C$19="","",IF('Recurring Schedule'!$F$19="","",IF(OR($A210&lt;'Recurring Schedule'!$F$19,$A210&gt;'Recurring Schedule'!$P$19),"",IF(IF('Recurring Schedule'!$N$19&gt;0,MOD($A210-'Recurring Schedule'!$F$19,'Recurring Schedule'!$N$19)=0,IF('Recurring Schedule'!$O$19&gt;0,AND(DAY($A210)=MIN(DAY('Recurring Schedule'!$F$19),DAY(EOMONTH($A210,0))),MOD((YEAR($A210)-YEAR('Recurring Schedule'!$F$19))*12+MONTH($A210)-MONTH('Recurring Schedule'!$F$19),'Recurring Schedule'!$O$19)=0),IF('Recurring Schedule'!$E$19="Weekdays",WEEKDAY($A210,2)&lt;=5,$A210='Recurring Schedule'!$F$19))),14,""))))</f>
        <v/>
      </c>
      <c r="P210">
        <f>IF('Recurring Schedule'!$C$20="","",IF('Recurring Schedule'!$F$20="","",IF(OR($A210&lt;'Recurring Schedule'!$F$20,$A210&gt;'Recurring Schedule'!$P$20),"",IF(IF('Recurring Schedule'!$N$20&gt;0,MOD($A210-'Recurring Schedule'!$F$20,'Recurring Schedule'!$N$20)=0,IF('Recurring Schedule'!$O$20&gt;0,AND(DAY($A210)=MIN(DAY('Recurring Schedule'!$F$20),DAY(EOMONTH($A210,0))),MOD((YEAR($A210)-YEAR('Recurring Schedule'!$F$20))*12+MONTH($A210)-MONTH('Recurring Schedule'!$F$20),'Recurring Schedule'!$O$20)=0),IF('Recurring Schedule'!$E$20="Weekdays",WEEKDAY($A210,2)&lt;=5,$A210='Recurring Schedule'!$F$20))),15,""))))</f>
        <v/>
      </c>
      <c r="Q210">
        <f>IF('Recurring Schedule'!$C$21="","",IF('Recurring Schedule'!$F$21="","",IF(OR($A210&lt;'Recurring Schedule'!$F$21,$A210&gt;'Recurring Schedule'!$P$21),"",IF(IF('Recurring Schedule'!$N$21&gt;0,MOD($A210-'Recurring Schedule'!$F$21,'Recurring Schedule'!$N$21)=0,IF('Recurring Schedule'!$O$21&gt;0,AND(DAY($A210)=MIN(DAY('Recurring Schedule'!$F$21),DAY(EOMONTH($A210,0))),MOD((YEAR($A210)-YEAR('Recurring Schedule'!$F$21))*12+MONTH($A210)-MONTH('Recurring Schedule'!$F$21),'Recurring Schedule'!$O$21)=0),IF('Recurring Schedule'!$E$21="Weekdays",WEEKDAY($A210,2)&lt;=5,$A210='Recurring Schedule'!$F$21))),16,""))))</f>
        <v/>
      </c>
      <c r="R210">
        <f>IF('Recurring Schedule'!$C$22="","",IF('Recurring Schedule'!$F$22="","",IF(OR($A210&lt;'Recurring Schedule'!$F$22,$A210&gt;'Recurring Schedule'!$P$22),"",IF(IF('Recurring Schedule'!$N$22&gt;0,MOD($A210-'Recurring Schedule'!$F$22,'Recurring Schedule'!$N$22)=0,IF('Recurring Schedule'!$O$22&gt;0,AND(DAY($A210)=MIN(DAY('Recurring Schedule'!$F$22),DAY(EOMONTH($A210,0))),MOD((YEAR($A210)-YEAR('Recurring Schedule'!$F$22))*12+MONTH($A210)-MONTH('Recurring Schedule'!$F$22),'Recurring Schedule'!$O$22)=0),IF('Recurring Schedule'!$E$22="Weekdays",WEEKDAY($A210,2)&lt;=5,$A210='Recurring Schedule'!$F$22))),17,""))))</f>
        <v/>
      </c>
      <c r="S210">
        <f>IF('Recurring Schedule'!$C$23="","",IF('Recurring Schedule'!$F$23="","",IF(OR($A210&lt;'Recurring Schedule'!$F$23,$A210&gt;'Recurring Schedule'!$P$23),"",IF(IF('Recurring Schedule'!$N$23&gt;0,MOD($A210-'Recurring Schedule'!$F$23,'Recurring Schedule'!$N$23)=0,IF('Recurring Schedule'!$O$23&gt;0,AND(DAY($A210)=MIN(DAY('Recurring Schedule'!$F$23),DAY(EOMONTH($A210,0))),MOD((YEAR($A210)-YEAR('Recurring Schedule'!$F$23))*12+MONTH($A210)-MONTH('Recurring Schedule'!$F$23),'Recurring Schedule'!$O$23)=0),IF('Recurring Schedule'!$E$23="Weekdays",WEEKDAY($A210,2)&lt;=5,$A210='Recurring Schedule'!$F$23))),18,""))))</f>
        <v/>
      </c>
      <c r="T210">
        <f>IF('Recurring Schedule'!$C$24="","",IF('Recurring Schedule'!$F$24="","",IF(OR($A210&lt;'Recurring Schedule'!$F$24,$A210&gt;'Recurring Schedule'!$P$24),"",IF(IF('Recurring Schedule'!$N$24&gt;0,MOD($A210-'Recurring Schedule'!$F$24,'Recurring Schedule'!$N$24)=0,IF('Recurring Schedule'!$O$24&gt;0,AND(DAY($A210)=MIN(DAY('Recurring Schedule'!$F$24),DAY(EOMONTH($A210,0))),MOD((YEAR($A210)-YEAR('Recurring Schedule'!$F$24))*12+MONTH($A210)-MONTH('Recurring Schedule'!$F$24),'Recurring Schedule'!$O$24)=0),IF('Recurring Schedule'!$E$24="Weekdays",WEEKDAY($A210,2)&lt;=5,$A210='Recurring Schedule'!$F$24))),19,""))))</f>
        <v/>
      </c>
      <c r="U210">
        <f>IF('Recurring Schedule'!$C$25="","",IF('Recurring Schedule'!$F$25="","",IF(OR($A210&lt;'Recurring Schedule'!$F$25,$A210&gt;'Recurring Schedule'!$P$25),"",IF(IF('Recurring Schedule'!$N$25&gt;0,MOD($A210-'Recurring Schedule'!$F$25,'Recurring Schedule'!$N$25)=0,IF('Recurring Schedule'!$O$25&gt;0,AND(DAY($A210)=MIN(DAY('Recurring Schedule'!$F$25),DAY(EOMONTH($A210,0))),MOD((YEAR($A210)-YEAR('Recurring Schedule'!$F$25))*12+MONTH($A210)-MONTH('Recurring Schedule'!$F$25),'Recurring Schedule'!$O$25)=0),IF('Recurring Schedule'!$E$25="Weekdays",WEEKDAY($A210,2)&lt;=5,$A210='Recurring Schedule'!$F$25))),20,""))))</f>
        <v/>
      </c>
      <c r="V210">
        <f>IF('Recurring Schedule'!$C$26="","",IF('Recurring Schedule'!$F$26="","",IF(OR($A210&lt;'Recurring Schedule'!$F$26,$A210&gt;'Recurring Schedule'!$P$26),"",IF(IF('Recurring Schedule'!$N$26&gt;0,MOD($A210-'Recurring Schedule'!$F$26,'Recurring Schedule'!$N$26)=0,IF('Recurring Schedule'!$O$26&gt;0,AND(DAY($A210)=MIN(DAY('Recurring Schedule'!$F$26),DAY(EOMONTH($A210,0))),MOD((YEAR($A210)-YEAR('Recurring Schedule'!$F$26))*12+MONTH($A210)-MONTH('Recurring Schedule'!$F$26),'Recurring Schedule'!$O$26)=0),IF('Recurring Schedule'!$E$26="Weekdays",WEEKDAY($A210,2)&lt;=5,$A210='Recurring Schedule'!$F$26))),21,""))))</f>
        <v/>
      </c>
      <c r="W210">
        <f>IF('Recurring Schedule'!$C$27="","",IF('Recurring Schedule'!$F$27="","",IF(OR($A210&lt;'Recurring Schedule'!$F$27,$A210&gt;'Recurring Schedule'!$P$27),"",IF(IF('Recurring Schedule'!$N$27&gt;0,MOD($A210-'Recurring Schedule'!$F$27,'Recurring Schedule'!$N$27)=0,IF('Recurring Schedule'!$O$27&gt;0,AND(DAY($A210)=MIN(DAY('Recurring Schedule'!$F$27),DAY(EOMONTH($A210,0))),MOD((YEAR($A210)-YEAR('Recurring Schedule'!$F$27))*12+MONTH($A210)-MONTH('Recurring Schedule'!$F$27),'Recurring Schedule'!$O$27)=0),IF('Recurring Schedule'!$E$27="Weekdays",WEEKDAY($A210,2)&lt;=5,$A210='Recurring Schedule'!$F$27))),22,""))))</f>
        <v/>
      </c>
      <c r="X210">
        <f>IF('Recurring Schedule'!$C$28="","",IF('Recurring Schedule'!$F$28="","",IF(OR($A210&lt;'Recurring Schedule'!$F$28,$A210&gt;'Recurring Schedule'!$P$28),"",IF(IF('Recurring Schedule'!$N$28&gt;0,MOD($A210-'Recurring Schedule'!$F$28,'Recurring Schedule'!$N$28)=0,IF('Recurring Schedule'!$O$28&gt;0,AND(DAY($A210)=MIN(DAY('Recurring Schedule'!$F$28),DAY(EOMONTH($A210,0))),MOD((YEAR($A210)-YEAR('Recurring Schedule'!$F$28))*12+MONTH($A210)-MONTH('Recurring Schedule'!$F$28),'Recurring Schedule'!$O$28)=0),IF('Recurring Schedule'!$E$28="Weekdays",WEEKDAY($A210,2)&lt;=5,$A210='Recurring Schedule'!$F$28))),23,""))))</f>
        <v/>
      </c>
      <c r="Y210">
        <f>IF('Recurring Schedule'!$C$29="","",IF('Recurring Schedule'!$F$29="","",IF(OR($A210&lt;'Recurring Schedule'!$F$29,$A210&gt;'Recurring Schedule'!$P$29),"",IF(IF('Recurring Schedule'!$N$29&gt;0,MOD($A210-'Recurring Schedule'!$F$29,'Recurring Schedule'!$N$29)=0,IF('Recurring Schedule'!$O$29&gt;0,AND(DAY($A210)=MIN(DAY('Recurring Schedule'!$F$29),DAY(EOMONTH($A210,0))),MOD((YEAR($A210)-YEAR('Recurring Schedule'!$F$29))*12+MONTH($A210)-MONTH('Recurring Schedule'!$F$29),'Recurring Schedule'!$O$29)=0),IF('Recurring Schedule'!$E$29="Weekdays",WEEKDAY($A210,2)&lt;=5,$A210='Recurring Schedule'!$F$29))),24,""))))</f>
        <v/>
      </c>
      <c r="Z210">
        <f>IF('Recurring Schedule'!$C$30="","",IF('Recurring Schedule'!$F$30="","",IF(OR($A210&lt;'Recurring Schedule'!$F$30,$A210&gt;'Recurring Schedule'!$P$30),"",IF(IF('Recurring Schedule'!$N$30&gt;0,MOD($A210-'Recurring Schedule'!$F$30,'Recurring Schedule'!$N$30)=0,IF('Recurring Schedule'!$O$30&gt;0,AND(DAY($A210)=MIN(DAY('Recurring Schedule'!$F$30),DAY(EOMONTH($A210,0))),MOD((YEAR($A210)-YEAR('Recurring Schedule'!$F$30))*12+MONTH($A210)-MONTH('Recurring Schedule'!$F$30),'Recurring Schedule'!$O$30)=0),IF('Recurring Schedule'!$E$30="Weekdays",WEEKDAY($A210,2)&lt;=5,$A210='Recurring Schedule'!$F$30))),25,""))))</f>
        <v/>
      </c>
      <c r="AA210">
        <f>IF('Recurring Schedule'!$C$31="","",IF('Recurring Schedule'!$F$31="","",IF(OR($A210&lt;'Recurring Schedule'!$F$31,$A210&gt;'Recurring Schedule'!$P$31),"",IF(IF('Recurring Schedule'!$N$31&gt;0,MOD($A210-'Recurring Schedule'!$F$31,'Recurring Schedule'!$N$31)=0,IF('Recurring Schedule'!$O$31&gt;0,AND(DAY($A210)=MIN(DAY('Recurring Schedule'!$F$31),DAY(EOMONTH($A210,0))),MOD((YEAR($A210)-YEAR('Recurring Schedule'!$F$31))*12+MONTH($A210)-MONTH('Recurring Schedule'!$F$31),'Recurring Schedule'!$O$31)=0),IF('Recurring Schedule'!$E$31="Weekdays",WEEKDAY($A210,2)&lt;=5,$A210='Recurring Schedule'!$F$31))),26,""))))</f>
        <v/>
      </c>
      <c r="AB210">
        <f>IF('Recurring Schedule'!$C$32="","",IF('Recurring Schedule'!$F$32="","",IF(OR($A210&lt;'Recurring Schedule'!$F$32,$A210&gt;'Recurring Schedule'!$P$32),"",IF(IF('Recurring Schedule'!$N$32&gt;0,MOD($A210-'Recurring Schedule'!$F$32,'Recurring Schedule'!$N$32)=0,IF('Recurring Schedule'!$O$32&gt;0,AND(DAY($A210)=MIN(DAY('Recurring Schedule'!$F$32),DAY(EOMONTH($A210,0))),MOD((YEAR($A210)-YEAR('Recurring Schedule'!$F$32))*12+MONTH($A210)-MONTH('Recurring Schedule'!$F$32),'Recurring Schedule'!$O$32)=0),IF('Recurring Schedule'!$E$32="Weekdays",WEEKDAY($A210,2)&lt;=5,$A210='Recurring Schedule'!$F$32))),27,""))))</f>
        <v/>
      </c>
      <c r="AC210">
        <f>IF('Recurring Schedule'!$C$33="","",IF('Recurring Schedule'!$F$33="","",IF(OR($A210&lt;'Recurring Schedule'!$F$33,$A210&gt;'Recurring Schedule'!$P$33),"",IF(IF('Recurring Schedule'!$N$33&gt;0,MOD($A210-'Recurring Schedule'!$F$33,'Recurring Schedule'!$N$33)=0,IF('Recurring Schedule'!$O$33&gt;0,AND(DAY($A210)=MIN(DAY('Recurring Schedule'!$F$33),DAY(EOMONTH($A210,0))),MOD((YEAR($A210)-YEAR('Recurring Schedule'!$F$33))*12+MONTH($A210)-MONTH('Recurring Schedule'!$F$33),'Recurring Schedule'!$O$33)=0),IF('Recurring Schedule'!$E$33="Weekdays",WEEKDAY($A210,2)&lt;=5,$A210='Recurring Schedule'!$F$33))),28,""))))</f>
        <v/>
      </c>
      <c r="AD210">
        <f>IF('Recurring Schedule'!$C$34="","",IF('Recurring Schedule'!$F$34="","",IF(OR($A210&lt;'Recurring Schedule'!$F$34,$A210&gt;'Recurring Schedule'!$P$34),"",IF(IF('Recurring Schedule'!$N$34&gt;0,MOD($A210-'Recurring Schedule'!$F$34,'Recurring Schedule'!$N$34)=0,IF('Recurring Schedule'!$O$34&gt;0,AND(DAY($A210)=MIN(DAY('Recurring Schedule'!$F$34),DAY(EOMONTH($A210,0))),MOD((YEAR($A210)-YEAR('Recurring Schedule'!$F$34))*12+MONTH($A210)-MONTH('Recurring Schedule'!$F$34),'Recurring Schedule'!$O$34)=0),IF('Recurring Schedule'!$E$34="Weekdays",WEEKDAY($A210,2)&lt;=5,$A210='Recurring Schedule'!$F$34))),29,""))))</f>
        <v/>
      </c>
      <c r="AE210">
        <f>IF('Recurring Schedule'!$C$35="","",IF('Recurring Schedule'!$F$35="","",IF(OR($A210&lt;'Recurring Schedule'!$F$35,$A210&gt;'Recurring Schedule'!$P$35),"",IF(IF('Recurring Schedule'!$N$35&gt;0,MOD($A210-'Recurring Schedule'!$F$35,'Recurring Schedule'!$N$35)=0,IF('Recurring Schedule'!$O$35&gt;0,AND(DAY($A210)=MIN(DAY('Recurring Schedule'!$F$35),DAY(EOMONTH($A210,0))),MOD((YEAR($A210)-YEAR('Recurring Schedule'!$F$35))*12+MONTH($A210)-MONTH('Recurring Schedule'!$F$35),'Recurring Schedule'!$O$35)=0),IF('Recurring Schedule'!$E$35="Weekdays",WEEKDAY($A210,2)&lt;=5,$A210='Recurring Schedule'!$F$35))),30,""))))</f>
        <v/>
      </c>
      <c r="AF210">
        <f>IF('Recurring Schedule'!$C$36="","",IF('Recurring Schedule'!$F$36="","",IF(OR($A210&lt;'Recurring Schedule'!$F$36,$A210&gt;'Recurring Schedule'!$P$36),"",IF(IF('Recurring Schedule'!$N$36&gt;0,MOD($A210-'Recurring Schedule'!$F$36,'Recurring Schedule'!$N$36)=0,IF('Recurring Schedule'!$O$36&gt;0,AND(DAY($A210)=MIN(DAY('Recurring Schedule'!$F$36),DAY(EOMONTH($A210,0))),MOD((YEAR($A210)-YEAR('Recurring Schedule'!$F$36))*12+MONTH($A210)-MONTH('Recurring Schedule'!$F$36),'Recurring Schedule'!$O$36)=0),IF('Recurring Schedule'!$E$36="Weekdays",WEEKDAY($A210,2)&lt;=5,$A210='Recurring Schedule'!$F$36))),31,""))))</f>
        <v/>
      </c>
      <c r="AG210">
        <f>IF('Recurring Schedule'!$C$37="","",IF('Recurring Schedule'!$F$37="","",IF(OR($A210&lt;'Recurring Schedule'!$F$37,$A210&gt;'Recurring Schedule'!$P$37),"",IF(IF('Recurring Schedule'!$N$37&gt;0,MOD($A210-'Recurring Schedule'!$F$37,'Recurring Schedule'!$N$37)=0,IF('Recurring Schedule'!$O$37&gt;0,AND(DAY($A210)=MIN(DAY('Recurring Schedule'!$F$37),DAY(EOMONTH($A210,0))),MOD((YEAR($A210)-YEAR('Recurring Schedule'!$F$37))*12+MONTH($A210)-MONTH('Recurring Schedule'!$F$37),'Recurring Schedule'!$O$37)=0),IF('Recurring Schedule'!$E$37="Weekdays",WEEKDAY($A210,2)&lt;=5,$A210='Recurring Schedule'!$F$37))),32,""))))</f>
        <v/>
      </c>
      <c r="AH210">
        <f>IF('Recurring Schedule'!$C$38="","",IF('Recurring Schedule'!$F$38="","",IF(OR($A210&lt;'Recurring Schedule'!$F$38,$A210&gt;'Recurring Schedule'!$P$38),"",IF(IF('Recurring Schedule'!$N$38&gt;0,MOD($A210-'Recurring Schedule'!$F$38,'Recurring Schedule'!$N$38)=0,IF('Recurring Schedule'!$O$38&gt;0,AND(DAY($A210)=MIN(DAY('Recurring Schedule'!$F$38),DAY(EOMONTH($A210,0))),MOD((YEAR($A210)-YEAR('Recurring Schedule'!$F$38))*12+MONTH($A210)-MONTH('Recurring Schedule'!$F$38),'Recurring Schedule'!$O$38)=0),IF('Recurring Schedule'!$E$38="Weekdays",WEEKDAY($A210,2)&lt;=5,$A210='Recurring Schedule'!$F$38))),33,""))))</f>
        <v/>
      </c>
      <c r="AI210">
        <f>IF('Recurring Schedule'!$C$39="","",IF('Recurring Schedule'!$F$39="","",IF(OR($A210&lt;'Recurring Schedule'!$F$39,$A210&gt;'Recurring Schedule'!$P$39),"",IF(IF('Recurring Schedule'!$N$39&gt;0,MOD($A210-'Recurring Schedule'!$F$39,'Recurring Schedule'!$N$39)=0,IF('Recurring Schedule'!$O$39&gt;0,AND(DAY($A210)=MIN(DAY('Recurring Schedule'!$F$39),DAY(EOMONTH($A210,0))),MOD((YEAR($A210)-YEAR('Recurring Schedule'!$F$39))*12+MONTH($A210)-MONTH('Recurring Schedule'!$F$39),'Recurring Schedule'!$O$39)=0),IF('Recurring Schedule'!$E$39="Weekdays",WEEKDAY($A210,2)&lt;=5,$A210='Recurring Schedule'!$F$39))),34,""))))</f>
        <v/>
      </c>
      <c r="AJ210">
        <f>IF('Recurring Schedule'!$C$40="","",IF('Recurring Schedule'!$F$40="","",IF(OR($A210&lt;'Recurring Schedule'!$F$40,$A210&gt;'Recurring Schedule'!$P$40),"",IF(IF('Recurring Schedule'!$N$40&gt;0,MOD($A210-'Recurring Schedule'!$F$40,'Recurring Schedule'!$N$40)=0,IF('Recurring Schedule'!$O$40&gt;0,AND(DAY($A210)=MIN(DAY('Recurring Schedule'!$F$40),DAY(EOMONTH($A210,0))),MOD((YEAR($A210)-YEAR('Recurring Schedule'!$F$40))*12+MONTH($A210)-MONTH('Recurring Schedule'!$F$40),'Recurring Schedule'!$O$40)=0),IF('Recurring Schedule'!$E$40="Weekdays",WEEKDAY($A210,2)&lt;=5,$A210='Recurring Schedule'!$F$40))),35,""))))</f>
        <v/>
      </c>
      <c r="AK210">
        <f>IF('Recurring Schedule'!$C$41="","",IF('Recurring Schedule'!$F$41="","",IF(OR($A210&lt;'Recurring Schedule'!$F$41,$A210&gt;'Recurring Schedule'!$P$41),"",IF(IF('Recurring Schedule'!$N$41&gt;0,MOD($A210-'Recurring Schedule'!$F$41,'Recurring Schedule'!$N$41)=0,IF('Recurring Schedule'!$O$41&gt;0,AND(DAY($A210)=MIN(DAY('Recurring Schedule'!$F$41),DAY(EOMONTH($A210,0))),MOD((YEAR($A210)-YEAR('Recurring Schedule'!$F$41))*12+MONTH($A210)-MONTH('Recurring Schedule'!$F$41),'Recurring Schedule'!$O$41)=0),IF('Recurring Schedule'!$E$41="Weekdays",WEEKDAY($A210,2)&lt;=5,$A210='Recurring Schedule'!$F$41))),36,""))))</f>
        <v/>
      </c>
      <c r="AL210">
        <f>IF('Recurring Schedule'!$C$42="","",IF('Recurring Schedule'!$F$42="","",IF(OR($A210&lt;'Recurring Schedule'!$F$42,$A210&gt;'Recurring Schedule'!$P$42),"",IF(IF('Recurring Schedule'!$N$42&gt;0,MOD($A210-'Recurring Schedule'!$F$42,'Recurring Schedule'!$N$42)=0,IF('Recurring Schedule'!$O$42&gt;0,AND(DAY($A210)=MIN(DAY('Recurring Schedule'!$F$42),DAY(EOMONTH($A210,0))),MOD((YEAR($A210)-YEAR('Recurring Schedule'!$F$42))*12+MONTH($A210)-MONTH('Recurring Schedule'!$F$42),'Recurring Schedule'!$O$42)=0),IF('Recurring Schedule'!$E$42="Weekdays",WEEKDAY($A210,2)&lt;=5,$A210='Recurring Schedule'!$F$42))),37,""))))</f>
        <v/>
      </c>
      <c r="AM210">
        <f>IF('Recurring Schedule'!$C$43="","",IF('Recurring Schedule'!$F$43="","",IF(OR($A210&lt;'Recurring Schedule'!$F$43,$A210&gt;'Recurring Schedule'!$P$43),"",IF(IF('Recurring Schedule'!$N$43&gt;0,MOD($A210-'Recurring Schedule'!$F$43,'Recurring Schedule'!$N$43)=0,IF('Recurring Schedule'!$O$43&gt;0,AND(DAY($A210)=MIN(DAY('Recurring Schedule'!$F$43),DAY(EOMONTH($A210,0))),MOD((YEAR($A210)-YEAR('Recurring Schedule'!$F$43))*12+MONTH($A210)-MONTH('Recurring Schedule'!$F$43),'Recurring Schedule'!$O$43)=0),IF('Recurring Schedule'!$E$43="Weekdays",WEEKDAY($A210,2)&lt;=5,$A210='Recurring Schedule'!$F$43))),38,""))))</f>
        <v/>
      </c>
      <c r="AN210">
        <f>IF('Recurring Schedule'!$C$44="","",IF('Recurring Schedule'!$F$44="","",IF(OR($A210&lt;'Recurring Schedule'!$F$44,$A210&gt;'Recurring Schedule'!$P$44),"",IF(IF('Recurring Schedule'!$N$44&gt;0,MOD($A210-'Recurring Schedule'!$F$44,'Recurring Schedule'!$N$44)=0,IF('Recurring Schedule'!$O$44&gt;0,AND(DAY($A210)=MIN(DAY('Recurring Schedule'!$F$44),DAY(EOMONTH($A210,0))),MOD((YEAR($A210)-YEAR('Recurring Schedule'!$F$44))*12+MONTH($A210)-MONTH('Recurring Schedule'!$F$44),'Recurring Schedule'!$O$44)=0),IF('Recurring Schedule'!$E$44="Weekdays",WEEKDAY($A210,2)&lt;=5,$A210='Recurring Schedule'!$F$44))),39,""))))</f>
        <v/>
      </c>
      <c r="AO210">
        <f>IF('Recurring Schedule'!$C$45="","",IF('Recurring Schedule'!$F$45="","",IF(OR($A210&lt;'Recurring Schedule'!$F$45,$A210&gt;'Recurring Schedule'!$P$45),"",IF(IF('Recurring Schedule'!$N$45&gt;0,MOD($A210-'Recurring Schedule'!$F$45,'Recurring Schedule'!$N$45)=0,IF('Recurring Schedule'!$O$45&gt;0,AND(DAY($A210)=MIN(DAY('Recurring Schedule'!$F$45),DAY(EOMONTH($A210,0))),MOD((YEAR($A210)-YEAR('Recurring Schedule'!$F$45))*12+MONTH($A210)-MONTH('Recurring Schedule'!$F$45),'Recurring Schedule'!$O$45)=0),IF('Recurring Schedule'!$E$45="Weekdays",WEEKDAY($A210,2)&lt;=5,$A210='Recurring Schedule'!$F$45))),40,""))))</f>
        <v/>
      </c>
      <c r="AP210">
        <f>COUNT(B210:AO210)</f>
        <v/>
      </c>
      <c r="AQ210">
        <f>AQ209+AP209</f>
        <v/>
      </c>
      <c r="AS210" t="inlineStr">
        <is>
          <t>R</t>
        </is>
      </c>
      <c r="AT210" t="n">
        <v>214</v>
      </c>
      <c r="AU210">
        <f>'Recurring Log'!C214&amp;""</f>
        <v/>
      </c>
      <c r="AV210">
        <f>'Recurring Log'!D214&amp;""</f>
        <v/>
      </c>
      <c r="AW210">
        <f>IF('Recurring Log'!E214="","",'Recurring Log'!E214)</f>
        <v/>
      </c>
      <c r="AX210">
        <f>IF('Recurring Log'!G214="","",'Recurring Log'!G214)</f>
        <v/>
      </c>
      <c r="AY210">
        <f>IF('Recurring Log'!H214="","",'Recurring Log'!H214)</f>
        <v/>
      </c>
      <c r="AZ210">
        <f>IF(AU210="","",IF('Recurring Log'!J214="","Not Started",'Recurring Log'!J214))</f>
        <v/>
      </c>
      <c r="BA210">
        <f>'Recurring Log'!L214&amp;""</f>
        <v/>
      </c>
      <c r="BB210">
        <f>'Recurring Log'!M214&amp;""</f>
        <v/>
      </c>
      <c r="BC210">
        <f>'Recurring Log'!N214&amp;""</f>
        <v/>
      </c>
      <c r="BD210">
        <f>'Recurring Log'!O214&amp;""</f>
        <v/>
      </c>
      <c r="BE210">
        <f>IF('Recurring Log'!K214="","",'Recurring Log'!K214)</f>
        <v/>
      </c>
      <c r="BF210">
        <f>IFERROR(MATCH(BA210,Setup!$L$6:$L$9,0),5)</f>
        <v/>
      </c>
      <c r="BG210">
        <f>IF(OR(AZ210="Done",AZ210="Cancelled"),1,0)</f>
        <v/>
      </c>
      <c r="BH210">
        <f>IF(AND(AU210&lt;&gt;"",ISNUMBER(AW210)),1,0)</f>
        <v/>
      </c>
      <c r="BI210">
        <f>IF(BH210=0,0,IF(AND(AW210&gt;='Tasks Filter'!$F$3,AW210&lt;='Tasks Filter'!$F$4,OR('Tasks Filter'!$I$3="",ISNUMBER(SEARCH('Tasks Filter'!$I$3,AU210))),OR('Tasks Filter'!$I$4="",BF210=IFERROR(MATCH('Tasks Filter'!$I$4,Setup!$L$6:$L$9,0),0)),OR('Tasks Filter'!$I$5="Both",AND('Tasks Filter'!$I$5="Yes",BB210="✓"),AND('Tasks Filter'!$I$5="No",BB210&lt;&gt;"✓")),OR('Tasks Filter'!$L$3="",AV210='Tasks Filter'!$L$3),OR('Tasks Filter'!$L$4="",AZ210='Tasks Filter'!$L$4),OR('Tasks Filter'!$L$5="",BC210='Tasks Filter'!$L$5),OR('Tasks Filter'!$O$3="",BD210='Tasks Filter'!$O$3),OR('Tasks Filter'!$O$4="Yes",BG210=0)),1,0))</f>
        <v/>
      </c>
      <c r="BJ210">
        <f>IF(BH210=0,"",IF('Tasks Filter'!$F$6="Descending",-1,1)*CHOOSE(MATCH('Tasks Filter'!$F$5,Lists!$G$2:$G$6,0),AW210,BF210,IFERROR(MATCH(AV210,Setup!$F$6:$F$15,0),99),IFERROR(MATCH(BC210,Setup!$H$6:$H$15,0),99),IFERROR(MATCH(AZ210,Setup!$J$6:$J$11,0),99))*1E+9+(AW210-40000)*10000+209)</f>
        <v/>
      </c>
      <c r="BK210">
        <f>IF(BI210=1,BJ210,"")</f>
        <v/>
      </c>
      <c r="BL210">
        <f>IF(AND(BH210=1,BG210=0,N(AW210)&lt;Setup!$D$7),(AW210-40000)*10000+209,"")</f>
        <v/>
      </c>
      <c r="BM210">
        <f>IF(AND(BH210=1,AZ210&lt;&gt;"Cancelled",N(AW210)&gt;=Dashboard!$AB$3,N(AW210)&lt;=Dashboard!$AB$3+6),(AW210-40000)*100000+BF210*10000+209,"")</f>
        <v/>
      </c>
      <c r="BN210">
        <f>IF(AND(BH210=1,AZ210&lt;&gt;"Cancelled"),BF210*10000+209,"")</f>
        <v/>
      </c>
    </row>
    <row r="211">
      <c r="A211">
        <f>Setup!$D$5+209</f>
        <v/>
      </c>
      <c r="B211">
        <f>IF('Recurring Schedule'!$C$6="","",IF('Recurring Schedule'!$F$6="","",IF(OR($A211&lt;'Recurring Schedule'!$F$6,$A211&gt;'Recurring Schedule'!$P$6),"",IF(IF('Recurring Schedule'!$N$6&gt;0,MOD($A211-'Recurring Schedule'!$F$6,'Recurring Schedule'!$N$6)=0,IF('Recurring Schedule'!$O$6&gt;0,AND(DAY($A211)=MIN(DAY('Recurring Schedule'!$F$6),DAY(EOMONTH($A211,0))),MOD((YEAR($A211)-YEAR('Recurring Schedule'!$F$6))*12+MONTH($A211)-MONTH('Recurring Schedule'!$F$6),'Recurring Schedule'!$O$6)=0),IF('Recurring Schedule'!$E$6="Weekdays",WEEKDAY($A211,2)&lt;=5,$A211='Recurring Schedule'!$F$6))),1,""))))</f>
        <v/>
      </c>
      <c r="C211">
        <f>IF('Recurring Schedule'!$C$7="","",IF('Recurring Schedule'!$F$7="","",IF(OR($A211&lt;'Recurring Schedule'!$F$7,$A211&gt;'Recurring Schedule'!$P$7),"",IF(IF('Recurring Schedule'!$N$7&gt;0,MOD($A211-'Recurring Schedule'!$F$7,'Recurring Schedule'!$N$7)=0,IF('Recurring Schedule'!$O$7&gt;0,AND(DAY($A211)=MIN(DAY('Recurring Schedule'!$F$7),DAY(EOMONTH($A211,0))),MOD((YEAR($A211)-YEAR('Recurring Schedule'!$F$7))*12+MONTH($A211)-MONTH('Recurring Schedule'!$F$7),'Recurring Schedule'!$O$7)=0),IF('Recurring Schedule'!$E$7="Weekdays",WEEKDAY($A211,2)&lt;=5,$A211='Recurring Schedule'!$F$7))),2,""))))</f>
        <v/>
      </c>
      <c r="D211">
        <f>IF('Recurring Schedule'!$C$8="","",IF('Recurring Schedule'!$F$8="","",IF(OR($A211&lt;'Recurring Schedule'!$F$8,$A211&gt;'Recurring Schedule'!$P$8),"",IF(IF('Recurring Schedule'!$N$8&gt;0,MOD($A211-'Recurring Schedule'!$F$8,'Recurring Schedule'!$N$8)=0,IF('Recurring Schedule'!$O$8&gt;0,AND(DAY($A211)=MIN(DAY('Recurring Schedule'!$F$8),DAY(EOMONTH($A211,0))),MOD((YEAR($A211)-YEAR('Recurring Schedule'!$F$8))*12+MONTH($A211)-MONTH('Recurring Schedule'!$F$8),'Recurring Schedule'!$O$8)=0),IF('Recurring Schedule'!$E$8="Weekdays",WEEKDAY($A211,2)&lt;=5,$A211='Recurring Schedule'!$F$8))),3,""))))</f>
        <v/>
      </c>
      <c r="E211">
        <f>IF('Recurring Schedule'!$C$9="","",IF('Recurring Schedule'!$F$9="","",IF(OR($A211&lt;'Recurring Schedule'!$F$9,$A211&gt;'Recurring Schedule'!$P$9),"",IF(IF('Recurring Schedule'!$N$9&gt;0,MOD($A211-'Recurring Schedule'!$F$9,'Recurring Schedule'!$N$9)=0,IF('Recurring Schedule'!$O$9&gt;0,AND(DAY($A211)=MIN(DAY('Recurring Schedule'!$F$9),DAY(EOMONTH($A211,0))),MOD((YEAR($A211)-YEAR('Recurring Schedule'!$F$9))*12+MONTH($A211)-MONTH('Recurring Schedule'!$F$9),'Recurring Schedule'!$O$9)=0),IF('Recurring Schedule'!$E$9="Weekdays",WEEKDAY($A211,2)&lt;=5,$A211='Recurring Schedule'!$F$9))),4,""))))</f>
        <v/>
      </c>
      <c r="F211">
        <f>IF('Recurring Schedule'!$C$10="","",IF('Recurring Schedule'!$F$10="","",IF(OR($A211&lt;'Recurring Schedule'!$F$10,$A211&gt;'Recurring Schedule'!$P$10),"",IF(IF('Recurring Schedule'!$N$10&gt;0,MOD($A211-'Recurring Schedule'!$F$10,'Recurring Schedule'!$N$10)=0,IF('Recurring Schedule'!$O$10&gt;0,AND(DAY($A211)=MIN(DAY('Recurring Schedule'!$F$10),DAY(EOMONTH($A211,0))),MOD((YEAR($A211)-YEAR('Recurring Schedule'!$F$10))*12+MONTH($A211)-MONTH('Recurring Schedule'!$F$10),'Recurring Schedule'!$O$10)=0),IF('Recurring Schedule'!$E$10="Weekdays",WEEKDAY($A211,2)&lt;=5,$A211='Recurring Schedule'!$F$10))),5,""))))</f>
        <v/>
      </c>
      <c r="G211">
        <f>IF('Recurring Schedule'!$C$11="","",IF('Recurring Schedule'!$F$11="","",IF(OR($A211&lt;'Recurring Schedule'!$F$11,$A211&gt;'Recurring Schedule'!$P$11),"",IF(IF('Recurring Schedule'!$N$11&gt;0,MOD($A211-'Recurring Schedule'!$F$11,'Recurring Schedule'!$N$11)=0,IF('Recurring Schedule'!$O$11&gt;0,AND(DAY($A211)=MIN(DAY('Recurring Schedule'!$F$11),DAY(EOMONTH($A211,0))),MOD((YEAR($A211)-YEAR('Recurring Schedule'!$F$11))*12+MONTH($A211)-MONTH('Recurring Schedule'!$F$11),'Recurring Schedule'!$O$11)=0),IF('Recurring Schedule'!$E$11="Weekdays",WEEKDAY($A211,2)&lt;=5,$A211='Recurring Schedule'!$F$11))),6,""))))</f>
        <v/>
      </c>
      <c r="H211">
        <f>IF('Recurring Schedule'!$C$12="","",IF('Recurring Schedule'!$F$12="","",IF(OR($A211&lt;'Recurring Schedule'!$F$12,$A211&gt;'Recurring Schedule'!$P$12),"",IF(IF('Recurring Schedule'!$N$12&gt;0,MOD($A211-'Recurring Schedule'!$F$12,'Recurring Schedule'!$N$12)=0,IF('Recurring Schedule'!$O$12&gt;0,AND(DAY($A211)=MIN(DAY('Recurring Schedule'!$F$12),DAY(EOMONTH($A211,0))),MOD((YEAR($A211)-YEAR('Recurring Schedule'!$F$12))*12+MONTH($A211)-MONTH('Recurring Schedule'!$F$12),'Recurring Schedule'!$O$12)=0),IF('Recurring Schedule'!$E$12="Weekdays",WEEKDAY($A211,2)&lt;=5,$A211='Recurring Schedule'!$F$12))),7,""))))</f>
        <v/>
      </c>
      <c r="I211">
        <f>IF('Recurring Schedule'!$C$13="","",IF('Recurring Schedule'!$F$13="","",IF(OR($A211&lt;'Recurring Schedule'!$F$13,$A211&gt;'Recurring Schedule'!$P$13),"",IF(IF('Recurring Schedule'!$N$13&gt;0,MOD($A211-'Recurring Schedule'!$F$13,'Recurring Schedule'!$N$13)=0,IF('Recurring Schedule'!$O$13&gt;0,AND(DAY($A211)=MIN(DAY('Recurring Schedule'!$F$13),DAY(EOMONTH($A211,0))),MOD((YEAR($A211)-YEAR('Recurring Schedule'!$F$13))*12+MONTH($A211)-MONTH('Recurring Schedule'!$F$13),'Recurring Schedule'!$O$13)=0),IF('Recurring Schedule'!$E$13="Weekdays",WEEKDAY($A211,2)&lt;=5,$A211='Recurring Schedule'!$F$13))),8,""))))</f>
        <v/>
      </c>
      <c r="J211">
        <f>IF('Recurring Schedule'!$C$14="","",IF('Recurring Schedule'!$F$14="","",IF(OR($A211&lt;'Recurring Schedule'!$F$14,$A211&gt;'Recurring Schedule'!$P$14),"",IF(IF('Recurring Schedule'!$N$14&gt;0,MOD($A211-'Recurring Schedule'!$F$14,'Recurring Schedule'!$N$14)=0,IF('Recurring Schedule'!$O$14&gt;0,AND(DAY($A211)=MIN(DAY('Recurring Schedule'!$F$14),DAY(EOMONTH($A211,0))),MOD((YEAR($A211)-YEAR('Recurring Schedule'!$F$14))*12+MONTH($A211)-MONTH('Recurring Schedule'!$F$14),'Recurring Schedule'!$O$14)=0),IF('Recurring Schedule'!$E$14="Weekdays",WEEKDAY($A211,2)&lt;=5,$A211='Recurring Schedule'!$F$14))),9,""))))</f>
        <v/>
      </c>
      <c r="K211">
        <f>IF('Recurring Schedule'!$C$15="","",IF('Recurring Schedule'!$F$15="","",IF(OR($A211&lt;'Recurring Schedule'!$F$15,$A211&gt;'Recurring Schedule'!$P$15),"",IF(IF('Recurring Schedule'!$N$15&gt;0,MOD($A211-'Recurring Schedule'!$F$15,'Recurring Schedule'!$N$15)=0,IF('Recurring Schedule'!$O$15&gt;0,AND(DAY($A211)=MIN(DAY('Recurring Schedule'!$F$15),DAY(EOMONTH($A211,0))),MOD((YEAR($A211)-YEAR('Recurring Schedule'!$F$15))*12+MONTH($A211)-MONTH('Recurring Schedule'!$F$15),'Recurring Schedule'!$O$15)=0),IF('Recurring Schedule'!$E$15="Weekdays",WEEKDAY($A211,2)&lt;=5,$A211='Recurring Schedule'!$F$15))),10,""))))</f>
        <v/>
      </c>
      <c r="L211">
        <f>IF('Recurring Schedule'!$C$16="","",IF('Recurring Schedule'!$F$16="","",IF(OR($A211&lt;'Recurring Schedule'!$F$16,$A211&gt;'Recurring Schedule'!$P$16),"",IF(IF('Recurring Schedule'!$N$16&gt;0,MOD($A211-'Recurring Schedule'!$F$16,'Recurring Schedule'!$N$16)=0,IF('Recurring Schedule'!$O$16&gt;0,AND(DAY($A211)=MIN(DAY('Recurring Schedule'!$F$16),DAY(EOMONTH($A211,0))),MOD((YEAR($A211)-YEAR('Recurring Schedule'!$F$16))*12+MONTH($A211)-MONTH('Recurring Schedule'!$F$16),'Recurring Schedule'!$O$16)=0),IF('Recurring Schedule'!$E$16="Weekdays",WEEKDAY($A211,2)&lt;=5,$A211='Recurring Schedule'!$F$16))),11,""))))</f>
        <v/>
      </c>
      <c r="M211">
        <f>IF('Recurring Schedule'!$C$17="","",IF('Recurring Schedule'!$F$17="","",IF(OR($A211&lt;'Recurring Schedule'!$F$17,$A211&gt;'Recurring Schedule'!$P$17),"",IF(IF('Recurring Schedule'!$N$17&gt;0,MOD($A211-'Recurring Schedule'!$F$17,'Recurring Schedule'!$N$17)=0,IF('Recurring Schedule'!$O$17&gt;0,AND(DAY($A211)=MIN(DAY('Recurring Schedule'!$F$17),DAY(EOMONTH($A211,0))),MOD((YEAR($A211)-YEAR('Recurring Schedule'!$F$17))*12+MONTH($A211)-MONTH('Recurring Schedule'!$F$17),'Recurring Schedule'!$O$17)=0),IF('Recurring Schedule'!$E$17="Weekdays",WEEKDAY($A211,2)&lt;=5,$A211='Recurring Schedule'!$F$17))),12,""))))</f>
        <v/>
      </c>
      <c r="N211">
        <f>IF('Recurring Schedule'!$C$18="","",IF('Recurring Schedule'!$F$18="","",IF(OR($A211&lt;'Recurring Schedule'!$F$18,$A211&gt;'Recurring Schedule'!$P$18),"",IF(IF('Recurring Schedule'!$N$18&gt;0,MOD($A211-'Recurring Schedule'!$F$18,'Recurring Schedule'!$N$18)=0,IF('Recurring Schedule'!$O$18&gt;0,AND(DAY($A211)=MIN(DAY('Recurring Schedule'!$F$18),DAY(EOMONTH($A211,0))),MOD((YEAR($A211)-YEAR('Recurring Schedule'!$F$18))*12+MONTH($A211)-MONTH('Recurring Schedule'!$F$18),'Recurring Schedule'!$O$18)=0),IF('Recurring Schedule'!$E$18="Weekdays",WEEKDAY($A211,2)&lt;=5,$A211='Recurring Schedule'!$F$18))),13,""))))</f>
        <v/>
      </c>
      <c r="O211">
        <f>IF('Recurring Schedule'!$C$19="","",IF('Recurring Schedule'!$F$19="","",IF(OR($A211&lt;'Recurring Schedule'!$F$19,$A211&gt;'Recurring Schedule'!$P$19),"",IF(IF('Recurring Schedule'!$N$19&gt;0,MOD($A211-'Recurring Schedule'!$F$19,'Recurring Schedule'!$N$19)=0,IF('Recurring Schedule'!$O$19&gt;0,AND(DAY($A211)=MIN(DAY('Recurring Schedule'!$F$19),DAY(EOMONTH($A211,0))),MOD((YEAR($A211)-YEAR('Recurring Schedule'!$F$19))*12+MONTH($A211)-MONTH('Recurring Schedule'!$F$19),'Recurring Schedule'!$O$19)=0),IF('Recurring Schedule'!$E$19="Weekdays",WEEKDAY($A211,2)&lt;=5,$A211='Recurring Schedule'!$F$19))),14,""))))</f>
        <v/>
      </c>
      <c r="P211">
        <f>IF('Recurring Schedule'!$C$20="","",IF('Recurring Schedule'!$F$20="","",IF(OR($A211&lt;'Recurring Schedule'!$F$20,$A211&gt;'Recurring Schedule'!$P$20),"",IF(IF('Recurring Schedule'!$N$20&gt;0,MOD($A211-'Recurring Schedule'!$F$20,'Recurring Schedule'!$N$20)=0,IF('Recurring Schedule'!$O$20&gt;0,AND(DAY($A211)=MIN(DAY('Recurring Schedule'!$F$20),DAY(EOMONTH($A211,0))),MOD((YEAR($A211)-YEAR('Recurring Schedule'!$F$20))*12+MONTH($A211)-MONTH('Recurring Schedule'!$F$20),'Recurring Schedule'!$O$20)=0),IF('Recurring Schedule'!$E$20="Weekdays",WEEKDAY($A211,2)&lt;=5,$A211='Recurring Schedule'!$F$20))),15,""))))</f>
        <v/>
      </c>
      <c r="Q211">
        <f>IF('Recurring Schedule'!$C$21="","",IF('Recurring Schedule'!$F$21="","",IF(OR($A211&lt;'Recurring Schedule'!$F$21,$A211&gt;'Recurring Schedule'!$P$21),"",IF(IF('Recurring Schedule'!$N$21&gt;0,MOD($A211-'Recurring Schedule'!$F$21,'Recurring Schedule'!$N$21)=0,IF('Recurring Schedule'!$O$21&gt;0,AND(DAY($A211)=MIN(DAY('Recurring Schedule'!$F$21),DAY(EOMONTH($A211,0))),MOD((YEAR($A211)-YEAR('Recurring Schedule'!$F$21))*12+MONTH($A211)-MONTH('Recurring Schedule'!$F$21),'Recurring Schedule'!$O$21)=0),IF('Recurring Schedule'!$E$21="Weekdays",WEEKDAY($A211,2)&lt;=5,$A211='Recurring Schedule'!$F$21))),16,""))))</f>
        <v/>
      </c>
      <c r="R211">
        <f>IF('Recurring Schedule'!$C$22="","",IF('Recurring Schedule'!$F$22="","",IF(OR($A211&lt;'Recurring Schedule'!$F$22,$A211&gt;'Recurring Schedule'!$P$22),"",IF(IF('Recurring Schedule'!$N$22&gt;0,MOD($A211-'Recurring Schedule'!$F$22,'Recurring Schedule'!$N$22)=0,IF('Recurring Schedule'!$O$22&gt;0,AND(DAY($A211)=MIN(DAY('Recurring Schedule'!$F$22),DAY(EOMONTH($A211,0))),MOD((YEAR($A211)-YEAR('Recurring Schedule'!$F$22))*12+MONTH($A211)-MONTH('Recurring Schedule'!$F$22),'Recurring Schedule'!$O$22)=0),IF('Recurring Schedule'!$E$22="Weekdays",WEEKDAY($A211,2)&lt;=5,$A211='Recurring Schedule'!$F$22))),17,""))))</f>
        <v/>
      </c>
      <c r="S211">
        <f>IF('Recurring Schedule'!$C$23="","",IF('Recurring Schedule'!$F$23="","",IF(OR($A211&lt;'Recurring Schedule'!$F$23,$A211&gt;'Recurring Schedule'!$P$23),"",IF(IF('Recurring Schedule'!$N$23&gt;0,MOD($A211-'Recurring Schedule'!$F$23,'Recurring Schedule'!$N$23)=0,IF('Recurring Schedule'!$O$23&gt;0,AND(DAY($A211)=MIN(DAY('Recurring Schedule'!$F$23),DAY(EOMONTH($A211,0))),MOD((YEAR($A211)-YEAR('Recurring Schedule'!$F$23))*12+MONTH($A211)-MONTH('Recurring Schedule'!$F$23),'Recurring Schedule'!$O$23)=0),IF('Recurring Schedule'!$E$23="Weekdays",WEEKDAY($A211,2)&lt;=5,$A211='Recurring Schedule'!$F$23))),18,""))))</f>
        <v/>
      </c>
      <c r="T211">
        <f>IF('Recurring Schedule'!$C$24="","",IF('Recurring Schedule'!$F$24="","",IF(OR($A211&lt;'Recurring Schedule'!$F$24,$A211&gt;'Recurring Schedule'!$P$24),"",IF(IF('Recurring Schedule'!$N$24&gt;0,MOD($A211-'Recurring Schedule'!$F$24,'Recurring Schedule'!$N$24)=0,IF('Recurring Schedule'!$O$24&gt;0,AND(DAY($A211)=MIN(DAY('Recurring Schedule'!$F$24),DAY(EOMONTH($A211,0))),MOD((YEAR($A211)-YEAR('Recurring Schedule'!$F$24))*12+MONTH($A211)-MONTH('Recurring Schedule'!$F$24),'Recurring Schedule'!$O$24)=0),IF('Recurring Schedule'!$E$24="Weekdays",WEEKDAY($A211,2)&lt;=5,$A211='Recurring Schedule'!$F$24))),19,""))))</f>
        <v/>
      </c>
      <c r="U211">
        <f>IF('Recurring Schedule'!$C$25="","",IF('Recurring Schedule'!$F$25="","",IF(OR($A211&lt;'Recurring Schedule'!$F$25,$A211&gt;'Recurring Schedule'!$P$25),"",IF(IF('Recurring Schedule'!$N$25&gt;0,MOD($A211-'Recurring Schedule'!$F$25,'Recurring Schedule'!$N$25)=0,IF('Recurring Schedule'!$O$25&gt;0,AND(DAY($A211)=MIN(DAY('Recurring Schedule'!$F$25),DAY(EOMONTH($A211,0))),MOD((YEAR($A211)-YEAR('Recurring Schedule'!$F$25))*12+MONTH($A211)-MONTH('Recurring Schedule'!$F$25),'Recurring Schedule'!$O$25)=0),IF('Recurring Schedule'!$E$25="Weekdays",WEEKDAY($A211,2)&lt;=5,$A211='Recurring Schedule'!$F$25))),20,""))))</f>
        <v/>
      </c>
      <c r="V211">
        <f>IF('Recurring Schedule'!$C$26="","",IF('Recurring Schedule'!$F$26="","",IF(OR($A211&lt;'Recurring Schedule'!$F$26,$A211&gt;'Recurring Schedule'!$P$26),"",IF(IF('Recurring Schedule'!$N$26&gt;0,MOD($A211-'Recurring Schedule'!$F$26,'Recurring Schedule'!$N$26)=0,IF('Recurring Schedule'!$O$26&gt;0,AND(DAY($A211)=MIN(DAY('Recurring Schedule'!$F$26),DAY(EOMONTH($A211,0))),MOD((YEAR($A211)-YEAR('Recurring Schedule'!$F$26))*12+MONTH($A211)-MONTH('Recurring Schedule'!$F$26),'Recurring Schedule'!$O$26)=0),IF('Recurring Schedule'!$E$26="Weekdays",WEEKDAY($A211,2)&lt;=5,$A211='Recurring Schedule'!$F$26))),21,""))))</f>
        <v/>
      </c>
      <c r="W211">
        <f>IF('Recurring Schedule'!$C$27="","",IF('Recurring Schedule'!$F$27="","",IF(OR($A211&lt;'Recurring Schedule'!$F$27,$A211&gt;'Recurring Schedule'!$P$27),"",IF(IF('Recurring Schedule'!$N$27&gt;0,MOD($A211-'Recurring Schedule'!$F$27,'Recurring Schedule'!$N$27)=0,IF('Recurring Schedule'!$O$27&gt;0,AND(DAY($A211)=MIN(DAY('Recurring Schedule'!$F$27),DAY(EOMONTH($A211,0))),MOD((YEAR($A211)-YEAR('Recurring Schedule'!$F$27))*12+MONTH($A211)-MONTH('Recurring Schedule'!$F$27),'Recurring Schedule'!$O$27)=0),IF('Recurring Schedule'!$E$27="Weekdays",WEEKDAY($A211,2)&lt;=5,$A211='Recurring Schedule'!$F$27))),22,""))))</f>
        <v/>
      </c>
      <c r="X211">
        <f>IF('Recurring Schedule'!$C$28="","",IF('Recurring Schedule'!$F$28="","",IF(OR($A211&lt;'Recurring Schedule'!$F$28,$A211&gt;'Recurring Schedule'!$P$28),"",IF(IF('Recurring Schedule'!$N$28&gt;0,MOD($A211-'Recurring Schedule'!$F$28,'Recurring Schedule'!$N$28)=0,IF('Recurring Schedule'!$O$28&gt;0,AND(DAY($A211)=MIN(DAY('Recurring Schedule'!$F$28),DAY(EOMONTH($A211,0))),MOD((YEAR($A211)-YEAR('Recurring Schedule'!$F$28))*12+MONTH($A211)-MONTH('Recurring Schedule'!$F$28),'Recurring Schedule'!$O$28)=0),IF('Recurring Schedule'!$E$28="Weekdays",WEEKDAY($A211,2)&lt;=5,$A211='Recurring Schedule'!$F$28))),23,""))))</f>
        <v/>
      </c>
      <c r="Y211">
        <f>IF('Recurring Schedule'!$C$29="","",IF('Recurring Schedule'!$F$29="","",IF(OR($A211&lt;'Recurring Schedule'!$F$29,$A211&gt;'Recurring Schedule'!$P$29),"",IF(IF('Recurring Schedule'!$N$29&gt;0,MOD($A211-'Recurring Schedule'!$F$29,'Recurring Schedule'!$N$29)=0,IF('Recurring Schedule'!$O$29&gt;0,AND(DAY($A211)=MIN(DAY('Recurring Schedule'!$F$29),DAY(EOMONTH($A211,0))),MOD((YEAR($A211)-YEAR('Recurring Schedule'!$F$29))*12+MONTH($A211)-MONTH('Recurring Schedule'!$F$29),'Recurring Schedule'!$O$29)=0),IF('Recurring Schedule'!$E$29="Weekdays",WEEKDAY($A211,2)&lt;=5,$A211='Recurring Schedule'!$F$29))),24,""))))</f>
        <v/>
      </c>
      <c r="Z211">
        <f>IF('Recurring Schedule'!$C$30="","",IF('Recurring Schedule'!$F$30="","",IF(OR($A211&lt;'Recurring Schedule'!$F$30,$A211&gt;'Recurring Schedule'!$P$30),"",IF(IF('Recurring Schedule'!$N$30&gt;0,MOD($A211-'Recurring Schedule'!$F$30,'Recurring Schedule'!$N$30)=0,IF('Recurring Schedule'!$O$30&gt;0,AND(DAY($A211)=MIN(DAY('Recurring Schedule'!$F$30),DAY(EOMONTH($A211,0))),MOD((YEAR($A211)-YEAR('Recurring Schedule'!$F$30))*12+MONTH($A211)-MONTH('Recurring Schedule'!$F$30),'Recurring Schedule'!$O$30)=0),IF('Recurring Schedule'!$E$30="Weekdays",WEEKDAY($A211,2)&lt;=5,$A211='Recurring Schedule'!$F$30))),25,""))))</f>
        <v/>
      </c>
      <c r="AA211">
        <f>IF('Recurring Schedule'!$C$31="","",IF('Recurring Schedule'!$F$31="","",IF(OR($A211&lt;'Recurring Schedule'!$F$31,$A211&gt;'Recurring Schedule'!$P$31),"",IF(IF('Recurring Schedule'!$N$31&gt;0,MOD($A211-'Recurring Schedule'!$F$31,'Recurring Schedule'!$N$31)=0,IF('Recurring Schedule'!$O$31&gt;0,AND(DAY($A211)=MIN(DAY('Recurring Schedule'!$F$31),DAY(EOMONTH($A211,0))),MOD((YEAR($A211)-YEAR('Recurring Schedule'!$F$31))*12+MONTH($A211)-MONTH('Recurring Schedule'!$F$31),'Recurring Schedule'!$O$31)=0),IF('Recurring Schedule'!$E$31="Weekdays",WEEKDAY($A211,2)&lt;=5,$A211='Recurring Schedule'!$F$31))),26,""))))</f>
        <v/>
      </c>
      <c r="AB211">
        <f>IF('Recurring Schedule'!$C$32="","",IF('Recurring Schedule'!$F$32="","",IF(OR($A211&lt;'Recurring Schedule'!$F$32,$A211&gt;'Recurring Schedule'!$P$32),"",IF(IF('Recurring Schedule'!$N$32&gt;0,MOD($A211-'Recurring Schedule'!$F$32,'Recurring Schedule'!$N$32)=0,IF('Recurring Schedule'!$O$32&gt;0,AND(DAY($A211)=MIN(DAY('Recurring Schedule'!$F$32),DAY(EOMONTH($A211,0))),MOD((YEAR($A211)-YEAR('Recurring Schedule'!$F$32))*12+MONTH($A211)-MONTH('Recurring Schedule'!$F$32),'Recurring Schedule'!$O$32)=0),IF('Recurring Schedule'!$E$32="Weekdays",WEEKDAY($A211,2)&lt;=5,$A211='Recurring Schedule'!$F$32))),27,""))))</f>
        <v/>
      </c>
      <c r="AC211">
        <f>IF('Recurring Schedule'!$C$33="","",IF('Recurring Schedule'!$F$33="","",IF(OR($A211&lt;'Recurring Schedule'!$F$33,$A211&gt;'Recurring Schedule'!$P$33),"",IF(IF('Recurring Schedule'!$N$33&gt;0,MOD($A211-'Recurring Schedule'!$F$33,'Recurring Schedule'!$N$33)=0,IF('Recurring Schedule'!$O$33&gt;0,AND(DAY($A211)=MIN(DAY('Recurring Schedule'!$F$33),DAY(EOMONTH($A211,0))),MOD((YEAR($A211)-YEAR('Recurring Schedule'!$F$33))*12+MONTH($A211)-MONTH('Recurring Schedule'!$F$33),'Recurring Schedule'!$O$33)=0),IF('Recurring Schedule'!$E$33="Weekdays",WEEKDAY($A211,2)&lt;=5,$A211='Recurring Schedule'!$F$33))),28,""))))</f>
        <v/>
      </c>
      <c r="AD211">
        <f>IF('Recurring Schedule'!$C$34="","",IF('Recurring Schedule'!$F$34="","",IF(OR($A211&lt;'Recurring Schedule'!$F$34,$A211&gt;'Recurring Schedule'!$P$34),"",IF(IF('Recurring Schedule'!$N$34&gt;0,MOD($A211-'Recurring Schedule'!$F$34,'Recurring Schedule'!$N$34)=0,IF('Recurring Schedule'!$O$34&gt;0,AND(DAY($A211)=MIN(DAY('Recurring Schedule'!$F$34),DAY(EOMONTH($A211,0))),MOD((YEAR($A211)-YEAR('Recurring Schedule'!$F$34))*12+MONTH($A211)-MONTH('Recurring Schedule'!$F$34),'Recurring Schedule'!$O$34)=0),IF('Recurring Schedule'!$E$34="Weekdays",WEEKDAY($A211,2)&lt;=5,$A211='Recurring Schedule'!$F$34))),29,""))))</f>
        <v/>
      </c>
      <c r="AE211">
        <f>IF('Recurring Schedule'!$C$35="","",IF('Recurring Schedule'!$F$35="","",IF(OR($A211&lt;'Recurring Schedule'!$F$35,$A211&gt;'Recurring Schedule'!$P$35),"",IF(IF('Recurring Schedule'!$N$35&gt;0,MOD($A211-'Recurring Schedule'!$F$35,'Recurring Schedule'!$N$35)=0,IF('Recurring Schedule'!$O$35&gt;0,AND(DAY($A211)=MIN(DAY('Recurring Schedule'!$F$35),DAY(EOMONTH($A211,0))),MOD((YEAR($A211)-YEAR('Recurring Schedule'!$F$35))*12+MONTH($A211)-MONTH('Recurring Schedule'!$F$35),'Recurring Schedule'!$O$35)=0),IF('Recurring Schedule'!$E$35="Weekdays",WEEKDAY($A211,2)&lt;=5,$A211='Recurring Schedule'!$F$35))),30,""))))</f>
        <v/>
      </c>
      <c r="AF211">
        <f>IF('Recurring Schedule'!$C$36="","",IF('Recurring Schedule'!$F$36="","",IF(OR($A211&lt;'Recurring Schedule'!$F$36,$A211&gt;'Recurring Schedule'!$P$36),"",IF(IF('Recurring Schedule'!$N$36&gt;0,MOD($A211-'Recurring Schedule'!$F$36,'Recurring Schedule'!$N$36)=0,IF('Recurring Schedule'!$O$36&gt;0,AND(DAY($A211)=MIN(DAY('Recurring Schedule'!$F$36),DAY(EOMONTH($A211,0))),MOD((YEAR($A211)-YEAR('Recurring Schedule'!$F$36))*12+MONTH($A211)-MONTH('Recurring Schedule'!$F$36),'Recurring Schedule'!$O$36)=0),IF('Recurring Schedule'!$E$36="Weekdays",WEEKDAY($A211,2)&lt;=5,$A211='Recurring Schedule'!$F$36))),31,""))))</f>
        <v/>
      </c>
      <c r="AG211">
        <f>IF('Recurring Schedule'!$C$37="","",IF('Recurring Schedule'!$F$37="","",IF(OR($A211&lt;'Recurring Schedule'!$F$37,$A211&gt;'Recurring Schedule'!$P$37),"",IF(IF('Recurring Schedule'!$N$37&gt;0,MOD($A211-'Recurring Schedule'!$F$37,'Recurring Schedule'!$N$37)=0,IF('Recurring Schedule'!$O$37&gt;0,AND(DAY($A211)=MIN(DAY('Recurring Schedule'!$F$37),DAY(EOMONTH($A211,0))),MOD((YEAR($A211)-YEAR('Recurring Schedule'!$F$37))*12+MONTH($A211)-MONTH('Recurring Schedule'!$F$37),'Recurring Schedule'!$O$37)=0),IF('Recurring Schedule'!$E$37="Weekdays",WEEKDAY($A211,2)&lt;=5,$A211='Recurring Schedule'!$F$37))),32,""))))</f>
        <v/>
      </c>
      <c r="AH211">
        <f>IF('Recurring Schedule'!$C$38="","",IF('Recurring Schedule'!$F$38="","",IF(OR($A211&lt;'Recurring Schedule'!$F$38,$A211&gt;'Recurring Schedule'!$P$38),"",IF(IF('Recurring Schedule'!$N$38&gt;0,MOD($A211-'Recurring Schedule'!$F$38,'Recurring Schedule'!$N$38)=0,IF('Recurring Schedule'!$O$38&gt;0,AND(DAY($A211)=MIN(DAY('Recurring Schedule'!$F$38),DAY(EOMONTH($A211,0))),MOD((YEAR($A211)-YEAR('Recurring Schedule'!$F$38))*12+MONTH($A211)-MONTH('Recurring Schedule'!$F$38),'Recurring Schedule'!$O$38)=0),IF('Recurring Schedule'!$E$38="Weekdays",WEEKDAY($A211,2)&lt;=5,$A211='Recurring Schedule'!$F$38))),33,""))))</f>
        <v/>
      </c>
      <c r="AI211">
        <f>IF('Recurring Schedule'!$C$39="","",IF('Recurring Schedule'!$F$39="","",IF(OR($A211&lt;'Recurring Schedule'!$F$39,$A211&gt;'Recurring Schedule'!$P$39),"",IF(IF('Recurring Schedule'!$N$39&gt;0,MOD($A211-'Recurring Schedule'!$F$39,'Recurring Schedule'!$N$39)=0,IF('Recurring Schedule'!$O$39&gt;0,AND(DAY($A211)=MIN(DAY('Recurring Schedule'!$F$39),DAY(EOMONTH($A211,0))),MOD((YEAR($A211)-YEAR('Recurring Schedule'!$F$39))*12+MONTH($A211)-MONTH('Recurring Schedule'!$F$39),'Recurring Schedule'!$O$39)=0),IF('Recurring Schedule'!$E$39="Weekdays",WEEKDAY($A211,2)&lt;=5,$A211='Recurring Schedule'!$F$39))),34,""))))</f>
        <v/>
      </c>
      <c r="AJ211">
        <f>IF('Recurring Schedule'!$C$40="","",IF('Recurring Schedule'!$F$40="","",IF(OR($A211&lt;'Recurring Schedule'!$F$40,$A211&gt;'Recurring Schedule'!$P$40),"",IF(IF('Recurring Schedule'!$N$40&gt;0,MOD($A211-'Recurring Schedule'!$F$40,'Recurring Schedule'!$N$40)=0,IF('Recurring Schedule'!$O$40&gt;0,AND(DAY($A211)=MIN(DAY('Recurring Schedule'!$F$40),DAY(EOMONTH($A211,0))),MOD((YEAR($A211)-YEAR('Recurring Schedule'!$F$40))*12+MONTH($A211)-MONTH('Recurring Schedule'!$F$40),'Recurring Schedule'!$O$40)=0),IF('Recurring Schedule'!$E$40="Weekdays",WEEKDAY($A211,2)&lt;=5,$A211='Recurring Schedule'!$F$40))),35,""))))</f>
        <v/>
      </c>
      <c r="AK211">
        <f>IF('Recurring Schedule'!$C$41="","",IF('Recurring Schedule'!$F$41="","",IF(OR($A211&lt;'Recurring Schedule'!$F$41,$A211&gt;'Recurring Schedule'!$P$41),"",IF(IF('Recurring Schedule'!$N$41&gt;0,MOD($A211-'Recurring Schedule'!$F$41,'Recurring Schedule'!$N$41)=0,IF('Recurring Schedule'!$O$41&gt;0,AND(DAY($A211)=MIN(DAY('Recurring Schedule'!$F$41),DAY(EOMONTH($A211,0))),MOD((YEAR($A211)-YEAR('Recurring Schedule'!$F$41))*12+MONTH($A211)-MONTH('Recurring Schedule'!$F$41),'Recurring Schedule'!$O$41)=0),IF('Recurring Schedule'!$E$41="Weekdays",WEEKDAY($A211,2)&lt;=5,$A211='Recurring Schedule'!$F$41))),36,""))))</f>
        <v/>
      </c>
      <c r="AL211">
        <f>IF('Recurring Schedule'!$C$42="","",IF('Recurring Schedule'!$F$42="","",IF(OR($A211&lt;'Recurring Schedule'!$F$42,$A211&gt;'Recurring Schedule'!$P$42),"",IF(IF('Recurring Schedule'!$N$42&gt;0,MOD($A211-'Recurring Schedule'!$F$42,'Recurring Schedule'!$N$42)=0,IF('Recurring Schedule'!$O$42&gt;0,AND(DAY($A211)=MIN(DAY('Recurring Schedule'!$F$42),DAY(EOMONTH($A211,0))),MOD((YEAR($A211)-YEAR('Recurring Schedule'!$F$42))*12+MONTH($A211)-MONTH('Recurring Schedule'!$F$42),'Recurring Schedule'!$O$42)=0),IF('Recurring Schedule'!$E$42="Weekdays",WEEKDAY($A211,2)&lt;=5,$A211='Recurring Schedule'!$F$42))),37,""))))</f>
        <v/>
      </c>
      <c r="AM211">
        <f>IF('Recurring Schedule'!$C$43="","",IF('Recurring Schedule'!$F$43="","",IF(OR($A211&lt;'Recurring Schedule'!$F$43,$A211&gt;'Recurring Schedule'!$P$43),"",IF(IF('Recurring Schedule'!$N$43&gt;0,MOD($A211-'Recurring Schedule'!$F$43,'Recurring Schedule'!$N$43)=0,IF('Recurring Schedule'!$O$43&gt;0,AND(DAY($A211)=MIN(DAY('Recurring Schedule'!$F$43),DAY(EOMONTH($A211,0))),MOD((YEAR($A211)-YEAR('Recurring Schedule'!$F$43))*12+MONTH($A211)-MONTH('Recurring Schedule'!$F$43),'Recurring Schedule'!$O$43)=0),IF('Recurring Schedule'!$E$43="Weekdays",WEEKDAY($A211,2)&lt;=5,$A211='Recurring Schedule'!$F$43))),38,""))))</f>
        <v/>
      </c>
      <c r="AN211">
        <f>IF('Recurring Schedule'!$C$44="","",IF('Recurring Schedule'!$F$44="","",IF(OR($A211&lt;'Recurring Schedule'!$F$44,$A211&gt;'Recurring Schedule'!$P$44),"",IF(IF('Recurring Schedule'!$N$44&gt;0,MOD($A211-'Recurring Schedule'!$F$44,'Recurring Schedule'!$N$44)=0,IF('Recurring Schedule'!$O$44&gt;0,AND(DAY($A211)=MIN(DAY('Recurring Schedule'!$F$44),DAY(EOMONTH($A211,0))),MOD((YEAR($A211)-YEAR('Recurring Schedule'!$F$44))*12+MONTH($A211)-MONTH('Recurring Schedule'!$F$44),'Recurring Schedule'!$O$44)=0),IF('Recurring Schedule'!$E$44="Weekdays",WEEKDAY($A211,2)&lt;=5,$A211='Recurring Schedule'!$F$44))),39,""))))</f>
        <v/>
      </c>
      <c r="AO211">
        <f>IF('Recurring Schedule'!$C$45="","",IF('Recurring Schedule'!$F$45="","",IF(OR($A211&lt;'Recurring Schedule'!$F$45,$A211&gt;'Recurring Schedule'!$P$45),"",IF(IF('Recurring Schedule'!$N$45&gt;0,MOD($A211-'Recurring Schedule'!$F$45,'Recurring Schedule'!$N$45)=0,IF('Recurring Schedule'!$O$45&gt;0,AND(DAY($A211)=MIN(DAY('Recurring Schedule'!$F$45),DAY(EOMONTH($A211,0))),MOD((YEAR($A211)-YEAR('Recurring Schedule'!$F$45))*12+MONTH($A211)-MONTH('Recurring Schedule'!$F$45),'Recurring Schedule'!$O$45)=0),IF('Recurring Schedule'!$E$45="Weekdays",WEEKDAY($A211,2)&lt;=5,$A211='Recurring Schedule'!$F$45))),40,""))))</f>
        <v/>
      </c>
      <c r="AP211">
        <f>COUNT(B211:AO211)</f>
        <v/>
      </c>
      <c r="AQ211">
        <f>AQ210+AP210</f>
        <v/>
      </c>
      <c r="AS211" t="inlineStr">
        <is>
          <t>R</t>
        </is>
      </c>
      <c r="AT211" t="n">
        <v>215</v>
      </c>
      <c r="AU211">
        <f>'Recurring Log'!C215&amp;""</f>
        <v/>
      </c>
      <c r="AV211">
        <f>'Recurring Log'!D215&amp;""</f>
        <v/>
      </c>
      <c r="AW211">
        <f>IF('Recurring Log'!E215="","",'Recurring Log'!E215)</f>
        <v/>
      </c>
      <c r="AX211">
        <f>IF('Recurring Log'!G215="","",'Recurring Log'!G215)</f>
        <v/>
      </c>
      <c r="AY211">
        <f>IF('Recurring Log'!H215="","",'Recurring Log'!H215)</f>
        <v/>
      </c>
      <c r="AZ211">
        <f>IF(AU211="","",IF('Recurring Log'!J215="","Not Started",'Recurring Log'!J215))</f>
        <v/>
      </c>
      <c r="BA211">
        <f>'Recurring Log'!L215&amp;""</f>
        <v/>
      </c>
      <c r="BB211">
        <f>'Recurring Log'!M215&amp;""</f>
        <v/>
      </c>
      <c r="BC211">
        <f>'Recurring Log'!N215&amp;""</f>
        <v/>
      </c>
      <c r="BD211">
        <f>'Recurring Log'!O215&amp;""</f>
        <v/>
      </c>
      <c r="BE211">
        <f>IF('Recurring Log'!K215="","",'Recurring Log'!K215)</f>
        <v/>
      </c>
      <c r="BF211">
        <f>IFERROR(MATCH(BA211,Setup!$L$6:$L$9,0),5)</f>
        <v/>
      </c>
      <c r="BG211">
        <f>IF(OR(AZ211="Done",AZ211="Cancelled"),1,0)</f>
        <v/>
      </c>
      <c r="BH211">
        <f>IF(AND(AU211&lt;&gt;"",ISNUMBER(AW211)),1,0)</f>
        <v/>
      </c>
      <c r="BI211">
        <f>IF(BH211=0,0,IF(AND(AW211&gt;='Tasks Filter'!$F$3,AW211&lt;='Tasks Filter'!$F$4,OR('Tasks Filter'!$I$3="",ISNUMBER(SEARCH('Tasks Filter'!$I$3,AU211))),OR('Tasks Filter'!$I$4="",BF211=IFERROR(MATCH('Tasks Filter'!$I$4,Setup!$L$6:$L$9,0),0)),OR('Tasks Filter'!$I$5="Both",AND('Tasks Filter'!$I$5="Yes",BB211="✓"),AND('Tasks Filter'!$I$5="No",BB211&lt;&gt;"✓")),OR('Tasks Filter'!$L$3="",AV211='Tasks Filter'!$L$3),OR('Tasks Filter'!$L$4="",AZ211='Tasks Filter'!$L$4),OR('Tasks Filter'!$L$5="",BC211='Tasks Filter'!$L$5),OR('Tasks Filter'!$O$3="",BD211='Tasks Filter'!$O$3),OR('Tasks Filter'!$O$4="Yes",BG211=0)),1,0))</f>
        <v/>
      </c>
      <c r="BJ211">
        <f>IF(BH211=0,"",IF('Tasks Filter'!$F$6="Descending",-1,1)*CHOOSE(MATCH('Tasks Filter'!$F$5,Lists!$G$2:$G$6,0),AW211,BF211,IFERROR(MATCH(AV211,Setup!$F$6:$F$15,0),99),IFERROR(MATCH(BC211,Setup!$H$6:$H$15,0),99),IFERROR(MATCH(AZ211,Setup!$J$6:$J$11,0),99))*1E+9+(AW211-40000)*10000+210)</f>
        <v/>
      </c>
      <c r="BK211">
        <f>IF(BI211=1,BJ211,"")</f>
        <v/>
      </c>
      <c r="BL211">
        <f>IF(AND(BH211=1,BG211=0,N(AW211)&lt;Setup!$D$7),(AW211-40000)*10000+210,"")</f>
        <v/>
      </c>
      <c r="BM211">
        <f>IF(AND(BH211=1,AZ211&lt;&gt;"Cancelled",N(AW211)&gt;=Dashboard!$AB$3,N(AW211)&lt;=Dashboard!$AB$3+6),(AW211-40000)*100000+BF211*10000+210,"")</f>
        <v/>
      </c>
      <c r="BN211">
        <f>IF(AND(BH211=1,AZ211&lt;&gt;"Cancelled"),BF211*10000+210,"")</f>
        <v/>
      </c>
    </row>
    <row r="212">
      <c r="A212">
        <f>Setup!$D$5+210</f>
        <v/>
      </c>
      <c r="B212">
        <f>IF('Recurring Schedule'!$C$6="","",IF('Recurring Schedule'!$F$6="","",IF(OR($A212&lt;'Recurring Schedule'!$F$6,$A212&gt;'Recurring Schedule'!$P$6),"",IF(IF('Recurring Schedule'!$N$6&gt;0,MOD($A212-'Recurring Schedule'!$F$6,'Recurring Schedule'!$N$6)=0,IF('Recurring Schedule'!$O$6&gt;0,AND(DAY($A212)=MIN(DAY('Recurring Schedule'!$F$6),DAY(EOMONTH($A212,0))),MOD((YEAR($A212)-YEAR('Recurring Schedule'!$F$6))*12+MONTH($A212)-MONTH('Recurring Schedule'!$F$6),'Recurring Schedule'!$O$6)=0),IF('Recurring Schedule'!$E$6="Weekdays",WEEKDAY($A212,2)&lt;=5,$A212='Recurring Schedule'!$F$6))),1,""))))</f>
        <v/>
      </c>
      <c r="C212">
        <f>IF('Recurring Schedule'!$C$7="","",IF('Recurring Schedule'!$F$7="","",IF(OR($A212&lt;'Recurring Schedule'!$F$7,$A212&gt;'Recurring Schedule'!$P$7),"",IF(IF('Recurring Schedule'!$N$7&gt;0,MOD($A212-'Recurring Schedule'!$F$7,'Recurring Schedule'!$N$7)=0,IF('Recurring Schedule'!$O$7&gt;0,AND(DAY($A212)=MIN(DAY('Recurring Schedule'!$F$7),DAY(EOMONTH($A212,0))),MOD((YEAR($A212)-YEAR('Recurring Schedule'!$F$7))*12+MONTH($A212)-MONTH('Recurring Schedule'!$F$7),'Recurring Schedule'!$O$7)=0),IF('Recurring Schedule'!$E$7="Weekdays",WEEKDAY($A212,2)&lt;=5,$A212='Recurring Schedule'!$F$7))),2,""))))</f>
        <v/>
      </c>
      <c r="D212">
        <f>IF('Recurring Schedule'!$C$8="","",IF('Recurring Schedule'!$F$8="","",IF(OR($A212&lt;'Recurring Schedule'!$F$8,$A212&gt;'Recurring Schedule'!$P$8),"",IF(IF('Recurring Schedule'!$N$8&gt;0,MOD($A212-'Recurring Schedule'!$F$8,'Recurring Schedule'!$N$8)=0,IF('Recurring Schedule'!$O$8&gt;0,AND(DAY($A212)=MIN(DAY('Recurring Schedule'!$F$8),DAY(EOMONTH($A212,0))),MOD((YEAR($A212)-YEAR('Recurring Schedule'!$F$8))*12+MONTH($A212)-MONTH('Recurring Schedule'!$F$8),'Recurring Schedule'!$O$8)=0),IF('Recurring Schedule'!$E$8="Weekdays",WEEKDAY($A212,2)&lt;=5,$A212='Recurring Schedule'!$F$8))),3,""))))</f>
        <v/>
      </c>
      <c r="E212">
        <f>IF('Recurring Schedule'!$C$9="","",IF('Recurring Schedule'!$F$9="","",IF(OR($A212&lt;'Recurring Schedule'!$F$9,$A212&gt;'Recurring Schedule'!$P$9),"",IF(IF('Recurring Schedule'!$N$9&gt;0,MOD($A212-'Recurring Schedule'!$F$9,'Recurring Schedule'!$N$9)=0,IF('Recurring Schedule'!$O$9&gt;0,AND(DAY($A212)=MIN(DAY('Recurring Schedule'!$F$9),DAY(EOMONTH($A212,0))),MOD((YEAR($A212)-YEAR('Recurring Schedule'!$F$9))*12+MONTH($A212)-MONTH('Recurring Schedule'!$F$9),'Recurring Schedule'!$O$9)=0),IF('Recurring Schedule'!$E$9="Weekdays",WEEKDAY($A212,2)&lt;=5,$A212='Recurring Schedule'!$F$9))),4,""))))</f>
        <v/>
      </c>
      <c r="F212">
        <f>IF('Recurring Schedule'!$C$10="","",IF('Recurring Schedule'!$F$10="","",IF(OR($A212&lt;'Recurring Schedule'!$F$10,$A212&gt;'Recurring Schedule'!$P$10),"",IF(IF('Recurring Schedule'!$N$10&gt;0,MOD($A212-'Recurring Schedule'!$F$10,'Recurring Schedule'!$N$10)=0,IF('Recurring Schedule'!$O$10&gt;0,AND(DAY($A212)=MIN(DAY('Recurring Schedule'!$F$10),DAY(EOMONTH($A212,0))),MOD((YEAR($A212)-YEAR('Recurring Schedule'!$F$10))*12+MONTH($A212)-MONTH('Recurring Schedule'!$F$10),'Recurring Schedule'!$O$10)=0),IF('Recurring Schedule'!$E$10="Weekdays",WEEKDAY($A212,2)&lt;=5,$A212='Recurring Schedule'!$F$10))),5,""))))</f>
        <v/>
      </c>
      <c r="G212">
        <f>IF('Recurring Schedule'!$C$11="","",IF('Recurring Schedule'!$F$11="","",IF(OR($A212&lt;'Recurring Schedule'!$F$11,$A212&gt;'Recurring Schedule'!$P$11),"",IF(IF('Recurring Schedule'!$N$11&gt;0,MOD($A212-'Recurring Schedule'!$F$11,'Recurring Schedule'!$N$11)=0,IF('Recurring Schedule'!$O$11&gt;0,AND(DAY($A212)=MIN(DAY('Recurring Schedule'!$F$11),DAY(EOMONTH($A212,0))),MOD((YEAR($A212)-YEAR('Recurring Schedule'!$F$11))*12+MONTH($A212)-MONTH('Recurring Schedule'!$F$11),'Recurring Schedule'!$O$11)=0),IF('Recurring Schedule'!$E$11="Weekdays",WEEKDAY($A212,2)&lt;=5,$A212='Recurring Schedule'!$F$11))),6,""))))</f>
        <v/>
      </c>
      <c r="H212">
        <f>IF('Recurring Schedule'!$C$12="","",IF('Recurring Schedule'!$F$12="","",IF(OR($A212&lt;'Recurring Schedule'!$F$12,$A212&gt;'Recurring Schedule'!$P$12),"",IF(IF('Recurring Schedule'!$N$12&gt;0,MOD($A212-'Recurring Schedule'!$F$12,'Recurring Schedule'!$N$12)=0,IF('Recurring Schedule'!$O$12&gt;0,AND(DAY($A212)=MIN(DAY('Recurring Schedule'!$F$12),DAY(EOMONTH($A212,0))),MOD((YEAR($A212)-YEAR('Recurring Schedule'!$F$12))*12+MONTH($A212)-MONTH('Recurring Schedule'!$F$12),'Recurring Schedule'!$O$12)=0),IF('Recurring Schedule'!$E$12="Weekdays",WEEKDAY($A212,2)&lt;=5,$A212='Recurring Schedule'!$F$12))),7,""))))</f>
        <v/>
      </c>
      <c r="I212">
        <f>IF('Recurring Schedule'!$C$13="","",IF('Recurring Schedule'!$F$13="","",IF(OR($A212&lt;'Recurring Schedule'!$F$13,$A212&gt;'Recurring Schedule'!$P$13),"",IF(IF('Recurring Schedule'!$N$13&gt;0,MOD($A212-'Recurring Schedule'!$F$13,'Recurring Schedule'!$N$13)=0,IF('Recurring Schedule'!$O$13&gt;0,AND(DAY($A212)=MIN(DAY('Recurring Schedule'!$F$13),DAY(EOMONTH($A212,0))),MOD((YEAR($A212)-YEAR('Recurring Schedule'!$F$13))*12+MONTH($A212)-MONTH('Recurring Schedule'!$F$13),'Recurring Schedule'!$O$13)=0),IF('Recurring Schedule'!$E$13="Weekdays",WEEKDAY($A212,2)&lt;=5,$A212='Recurring Schedule'!$F$13))),8,""))))</f>
        <v/>
      </c>
      <c r="J212">
        <f>IF('Recurring Schedule'!$C$14="","",IF('Recurring Schedule'!$F$14="","",IF(OR($A212&lt;'Recurring Schedule'!$F$14,$A212&gt;'Recurring Schedule'!$P$14),"",IF(IF('Recurring Schedule'!$N$14&gt;0,MOD($A212-'Recurring Schedule'!$F$14,'Recurring Schedule'!$N$14)=0,IF('Recurring Schedule'!$O$14&gt;0,AND(DAY($A212)=MIN(DAY('Recurring Schedule'!$F$14),DAY(EOMONTH($A212,0))),MOD((YEAR($A212)-YEAR('Recurring Schedule'!$F$14))*12+MONTH($A212)-MONTH('Recurring Schedule'!$F$14),'Recurring Schedule'!$O$14)=0),IF('Recurring Schedule'!$E$14="Weekdays",WEEKDAY($A212,2)&lt;=5,$A212='Recurring Schedule'!$F$14))),9,""))))</f>
        <v/>
      </c>
      <c r="K212">
        <f>IF('Recurring Schedule'!$C$15="","",IF('Recurring Schedule'!$F$15="","",IF(OR($A212&lt;'Recurring Schedule'!$F$15,$A212&gt;'Recurring Schedule'!$P$15),"",IF(IF('Recurring Schedule'!$N$15&gt;0,MOD($A212-'Recurring Schedule'!$F$15,'Recurring Schedule'!$N$15)=0,IF('Recurring Schedule'!$O$15&gt;0,AND(DAY($A212)=MIN(DAY('Recurring Schedule'!$F$15),DAY(EOMONTH($A212,0))),MOD((YEAR($A212)-YEAR('Recurring Schedule'!$F$15))*12+MONTH($A212)-MONTH('Recurring Schedule'!$F$15),'Recurring Schedule'!$O$15)=0),IF('Recurring Schedule'!$E$15="Weekdays",WEEKDAY($A212,2)&lt;=5,$A212='Recurring Schedule'!$F$15))),10,""))))</f>
        <v/>
      </c>
      <c r="L212">
        <f>IF('Recurring Schedule'!$C$16="","",IF('Recurring Schedule'!$F$16="","",IF(OR($A212&lt;'Recurring Schedule'!$F$16,$A212&gt;'Recurring Schedule'!$P$16),"",IF(IF('Recurring Schedule'!$N$16&gt;0,MOD($A212-'Recurring Schedule'!$F$16,'Recurring Schedule'!$N$16)=0,IF('Recurring Schedule'!$O$16&gt;0,AND(DAY($A212)=MIN(DAY('Recurring Schedule'!$F$16),DAY(EOMONTH($A212,0))),MOD((YEAR($A212)-YEAR('Recurring Schedule'!$F$16))*12+MONTH($A212)-MONTH('Recurring Schedule'!$F$16),'Recurring Schedule'!$O$16)=0),IF('Recurring Schedule'!$E$16="Weekdays",WEEKDAY($A212,2)&lt;=5,$A212='Recurring Schedule'!$F$16))),11,""))))</f>
        <v/>
      </c>
      <c r="M212">
        <f>IF('Recurring Schedule'!$C$17="","",IF('Recurring Schedule'!$F$17="","",IF(OR($A212&lt;'Recurring Schedule'!$F$17,$A212&gt;'Recurring Schedule'!$P$17),"",IF(IF('Recurring Schedule'!$N$17&gt;0,MOD($A212-'Recurring Schedule'!$F$17,'Recurring Schedule'!$N$17)=0,IF('Recurring Schedule'!$O$17&gt;0,AND(DAY($A212)=MIN(DAY('Recurring Schedule'!$F$17),DAY(EOMONTH($A212,0))),MOD((YEAR($A212)-YEAR('Recurring Schedule'!$F$17))*12+MONTH($A212)-MONTH('Recurring Schedule'!$F$17),'Recurring Schedule'!$O$17)=0),IF('Recurring Schedule'!$E$17="Weekdays",WEEKDAY($A212,2)&lt;=5,$A212='Recurring Schedule'!$F$17))),12,""))))</f>
        <v/>
      </c>
      <c r="N212">
        <f>IF('Recurring Schedule'!$C$18="","",IF('Recurring Schedule'!$F$18="","",IF(OR($A212&lt;'Recurring Schedule'!$F$18,$A212&gt;'Recurring Schedule'!$P$18),"",IF(IF('Recurring Schedule'!$N$18&gt;0,MOD($A212-'Recurring Schedule'!$F$18,'Recurring Schedule'!$N$18)=0,IF('Recurring Schedule'!$O$18&gt;0,AND(DAY($A212)=MIN(DAY('Recurring Schedule'!$F$18),DAY(EOMONTH($A212,0))),MOD((YEAR($A212)-YEAR('Recurring Schedule'!$F$18))*12+MONTH($A212)-MONTH('Recurring Schedule'!$F$18),'Recurring Schedule'!$O$18)=0),IF('Recurring Schedule'!$E$18="Weekdays",WEEKDAY($A212,2)&lt;=5,$A212='Recurring Schedule'!$F$18))),13,""))))</f>
        <v/>
      </c>
      <c r="O212">
        <f>IF('Recurring Schedule'!$C$19="","",IF('Recurring Schedule'!$F$19="","",IF(OR($A212&lt;'Recurring Schedule'!$F$19,$A212&gt;'Recurring Schedule'!$P$19),"",IF(IF('Recurring Schedule'!$N$19&gt;0,MOD($A212-'Recurring Schedule'!$F$19,'Recurring Schedule'!$N$19)=0,IF('Recurring Schedule'!$O$19&gt;0,AND(DAY($A212)=MIN(DAY('Recurring Schedule'!$F$19),DAY(EOMONTH($A212,0))),MOD((YEAR($A212)-YEAR('Recurring Schedule'!$F$19))*12+MONTH($A212)-MONTH('Recurring Schedule'!$F$19),'Recurring Schedule'!$O$19)=0),IF('Recurring Schedule'!$E$19="Weekdays",WEEKDAY($A212,2)&lt;=5,$A212='Recurring Schedule'!$F$19))),14,""))))</f>
        <v/>
      </c>
      <c r="P212">
        <f>IF('Recurring Schedule'!$C$20="","",IF('Recurring Schedule'!$F$20="","",IF(OR($A212&lt;'Recurring Schedule'!$F$20,$A212&gt;'Recurring Schedule'!$P$20),"",IF(IF('Recurring Schedule'!$N$20&gt;0,MOD($A212-'Recurring Schedule'!$F$20,'Recurring Schedule'!$N$20)=0,IF('Recurring Schedule'!$O$20&gt;0,AND(DAY($A212)=MIN(DAY('Recurring Schedule'!$F$20),DAY(EOMONTH($A212,0))),MOD((YEAR($A212)-YEAR('Recurring Schedule'!$F$20))*12+MONTH($A212)-MONTH('Recurring Schedule'!$F$20),'Recurring Schedule'!$O$20)=0),IF('Recurring Schedule'!$E$20="Weekdays",WEEKDAY($A212,2)&lt;=5,$A212='Recurring Schedule'!$F$20))),15,""))))</f>
        <v/>
      </c>
      <c r="Q212">
        <f>IF('Recurring Schedule'!$C$21="","",IF('Recurring Schedule'!$F$21="","",IF(OR($A212&lt;'Recurring Schedule'!$F$21,$A212&gt;'Recurring Schedule'!$P$21),"",IF(IF('Recurring Schedule'!$N$21&gt;0,MOD($A212-'Recurring Schedule'!$F$21,'Recurring Schedule'!$N$21)=0,IF('Recurring Schedule'!$O$21&gt;0,AND(DAY($A212)=MIN(DAY('Recurring Schedule'!$F$21),DAY(EOMONTH($A212,0))),MOD((YEAR($A212)-YEAR('Recurring Schedule'!$F$21))*12+MONTH($A212)-MONTH('Recurring Schedule'!$F$21),'Recurring Schedule'!$O$21)=0),IF('Recurring Schedule'!$E$21="Weekdays",WEEKDAY($A212,2)&lt;=5,$A212='Recurring Schedule'!$F$21))),16,""))))</f>
        <v/>
      </c>
      <c r="R212">
        <f>IF('Recurring Schedule'!$C$22="","",IF('Recurring Schedule'!$F$22="","",IF(OR($A212&lt;'Recurring Schedule'!$F$22,$A212&gt;'Recurring Schedule'!$P$22),"",IF(IF('Recurring Schedule'!$N$22&gt;0,MOD($A212-'Recurring Schedule'!$F$22,'Recurring Schedule'!$N$22)=0,IF('Recurring Schedule'!$O$22&gt;0,AND(DAY($A212)=MIN(DAY('Recurring Schedule'!$F$22),DAY(EOMONTH($A212,0))),MOD((YEAR($A212)-YEAR('Recurring Schedule'!$F$22))*12+MONTH($A212)-MONTH('Recurring Schedule'!$F$22),'Recurring Schedule'!$O$22)=0),IF('Recurring Schedule'!$E$22="Weekdays",WEEKDAY($A212,2)&lt;=5,$A212='Recurring Schedule'!$F$22))),17,""))))</f>
        <v/>
      </c>
      <c r="S212">
        <f>IF('Recurring Schedule'!$C$23="","",IF('Recurring Schedule'!$F$23="","",IF(OR($A212&lt;'Recurring Schedule'!$F$23,$A212&gt;'Recurring Schedule'!$P$23),"",IF(IF('Recurring Schedule'!$N$23&gt;0,MOD($A212-'Recurring Schedule'!$F$23,'Recurring Schedule'!$N$23)=0,IF('Recurring Schedule'!$O$23&gt;0,AND(DAY($A212)=MIN(DAY('Recurring Schedule'!$F$23),DAY(EOMONTH($A212,0))),MOD((YEAR($A212)-YEAR('Recurring Schedule'!$F$23))*12+MONTH($A212)-MONTH('Recurring Schedule'!$F$23),'Recurring Schedule'!$O$23)=0),IF('Recurring Schedule'!$E$23="Weekdays",WEEKDAY($A212,2)&lt;=5,$A212='Recurring Schedule'!$F$23))),18,""))))</f>
        <v/>
      </c>
      <c r="T212">
        <f>IF('Recurring Schedule'!$C$24="","",IF('Recurring Schedule'!$F$24="","",IF(OR($A212&lt;'Recurring Schedule'!$F$24,$A212&gt;'Recurring Schedule'!$P$24),"",IF(IF('Recurring Schedule'!$N$24&gt;0,MOD($A212-'Recurring Schedule'!$F$24,'Recurring Schedule'!$N$24)=0,IF('Recurring Schedule'!$O$24&gt;0,AND(DAY($A212)=MIN(DAY('Recurring Schedule'!$F$24),DAY(EOMONTH($A212,0))),MOD((YEAR($A212)-YEAR('Recurring Schedule'!$F$24))*12+MONTH($A212)-MONTH('Recurring Schedule'!$F$24),'Recurring Schedule'!$O$24)=0),IF('Recurring Schedule'!$E$24="Weekdays",WEEKDAY($A212,2)&lt;=5,$A212='Recurring Schedule'!$F$24))),19,""))))</f>
        <v/>
      </c>
      <c r="U212">
        <f>IF('Recurring Schedule'!$C$25="","",IF('Recurring Schedule'!$F$25="","",IF(OR($A212&lt;'Recurring Schedule'!$F$25,$A212&gt;'Recurring Schedule'!$P$25),"",IF(IF('Recurring Schedule'!$N$25&gt;0,MOD($A212-'Recurring Schedule'!$F$25,'Recurring Schedule'!$N$25)=0,IF('Recurring Schedule'!$O$25&gt;0,AND(DAY($A212)=MIN(DAY('Recurring Schedule'!$F$25),DAY(EOMONTH($A212,0))),MOD((YEAR($A212)-YEAR('Recurring Schedule'!$F$25))*12+MONTH($A212)-MONTH('Recurring Schedule'!$F$25),'Recurring Schedule'!$O$25)=0),IF('Recurring Schedule'!$E$25="Weekdays",WEEKDAY($A212,2)&lt;=5,$A212='Recurring Schedule'!$F$25))),20,""))))</f>
        <v/>
      </c>
      <c r="V212">
        <f>IF('Recurring Schedule'!$C$26="","",IF('Recurring Schedule'!$F$26="","",IF(OR($A212&lt;'Recurring Schedule'!$F$26,$A212&gt;'Recurring Schedule'!$P$26),"",IF(IF('Recurring Schedule'!$N$26&gt;0,MOD($A212-'Recurring Schedule'!$F$26,'Recurring Schedule'!$N$26)=0,IF('Recurring Schedule'!$O$26&gt;0,AND(DAY($A212)=MIN(DAY('Recurring Schedule'!$F$26),DAY(EOMONTH($A212,0))),MOD((YEAR($A212)-YEAR('Recurring Schedule'!$F$26))*12+MONTH($A212)-MONTH('Recurring Schedule'!$F$26),'Recurring Schedule'!$O$26)=0),IF('Recurring Schedule'!$E$26="Weekdays",WEEKDAY($A212,2)&lt;=5,$A212='Recurring Schedule'!$F$26))),21,""))))</f>
        <v/>
      </c>
      <c r="W212">
        <f>IF('Recurring Schedule'!$C$27="","",IF('Recurring Schedule'!$F$27="","",IF(OR($A212&lt;'Recurring Schedule'!$F$27,$A212&gt;'Recurring Schedule'!$P$27),"",IF(IF('Recurring Schedule'!$N$27&gt;0,MOD($A212-'Recurring Schedule'!$F$27,'Recurring Schedule'!$N$27)=0,IF('Recurring Schedule'!$O$27&gt;0,AND(DAY($A212)=MIN(DAY('Recurring Schedule'!$F$27),DAY(EOMONTH($A212,0))),MOD((YEAR($A212)-YEAR('Recurring Schedule'!$F$27))*12+MONTH($A212)-MONTH('Recurring Schedule'!$F$27),'Recurring Schedule'!$O$27)=0),IF('Recurring Schedule'!$E$27="Weekdays",WEEKDAY($A212,2)&lt;=5,$A212='Recurring Schedule'!$F$27))),22,""))))</f>
        <v/>
      </c>
      <c r="X212">
        <f>IF('Recurring Schedule'!$C$28="","",IF('Recurring Schedule'!$F$28="","",IF(OR($A212&lt;'Recurring Schedule'!$F$28,$A212&gt;'Recurring Schedule'!$P$28),"",IF(IF('Recurring Schedule'!$N$28&gt;0,MOD($A212-'Recurring Schedule'!$F$28,'Recurring Schedule'!$N$28)=0,IF('Recurring Schedule'!$O$28&gt;0,AND(DAY($A212)=MIN(DAY('Recurring Schedule'!$F$28),DAY(EOMONTH($A212,0))),MOD((YEAR($A212)-YEAR('Recurring Schedule'!$F$28))*12+MONTH($A212)-MONTH('Recurring Schedule'!$F$28),'Recurring Schedule'!$O$28)=0),IF('Recurring Schedule'!$E$28="Weekdays",WEEKDAY($A212,2)&lt;=5,$A212='Recurring Schedule'!$F$28))),23,""))))</f>
        <v/>
      </c>
      <c r="Y212">
        <f>IF('Recurring Schedule'!$C$29="","",IF('Recurring Schedule'!$F$29="","",IF(OR($A212&lt;'Recurring Schedule'!$F$29,$A212&gt;'Recurring Schedule'!$P$29),"",IF(IF('Recurring Schedule'!$N$29&gt;0,MOD($A212-'Recurring Schedule'!$F$29,'Recurring Schedule'!$N$29)=0,IF('Recurring Schedule'!$O$29&gt;0,AND(DAY($A212)=MIN(DAY('Recurring Schedule'!$F$29),DAY(EOMONTH($A212,0))),MOD((YEAR($A212)-YEAR('Recurring Schedule'!$F$29))*12+MONTH($A212)-MONTH('Recurring Schedule'!$F$29),'Recurring Schedule'!$O$29)=0),IF('Recurring Schedule'!$E$29="Weekdays",WEEKDAY($A212,2)&lt;=5,$A212='Recurring Schedule'!$F$29))),24,""))))</f>
        <v/>
      </c>
      <c r="Z212">
        <f>IF('Recurring Schedule'!$C$30="","",IF('Recurring Schedule'!$F$30="","",IF(OR($A212&lt;'Recurring Schedule'!$F$30,$A212&gt;'Recurring Schedule'!$P$30),"",IF(IF('Recurring Schedule'!$N$30&gt;0,MOD($A212-'Recurring Schedule'!$F$30,'Recurring Schedule'!$N$30)=0,IF('Recurring Schedule'!$O$30&gt;0,AND(DAY($A212)=MIN(DAY('Recurring Schedule'!$F$30),DAY(EOMONTH($A212,0))),MOD((YEAR($A212)-YEAR('Recurring Schedule'!$F$30))*12+MONTH($A212)-MONTH('Recurring Schedule'!$F$30),'Recurring Schedule'!$O$30)=0),IF('Recurring Schedule'!$E$30="Weekdays",WEEKDAY($A212,2)&lt;=5,$A212='Recurring Schedule'!$F$30))),25,""))))</f>
        <v/>
      </c>
      <c r="AA212">
        <f>IF('Recurring Schedule'!$C$31="","",IF('Recurring Schedule'!$F$31="","",IF(OR($A212&lt;'Recurring Schedule'!$F$31,$A212&gt;'Recurring Schedule'!$P$31),"",IF(IF('Recurring Schedule'!$N$31&gt;0,MOD($A212-'Recurring Schedule'!$F$31,'Recurring Schedule'!$N$31)=0,IF('Recurring Schedule'!$O$31&gt;0,AND(DAY($A212)=MIN(DAY('Recurring Schedule'!$F$31),DAY(EOMONTH($A212,0))),MOD((YEAR($A212)-YEAR('Recurring Schedule'!$F$31))*12+MONTH($A212)-MONTH('Recurring Schedule'!$F$31),'Recurring Schedule'!$O$31)=0),IF('Recurring Schedule'!$E$31="Weekdays",WEEKDAY($A212,2)&lt;=5,$A212='Recurring Schedule'!$F$31))),26,""))))</f>
        <v/>
      </c>
      <c r="AB212">
        <f>IF('Recurring Schedule'!$C$32="","",IF('Recurring Schedule'!$F$32="","",IF(OR($A212&lt;'Recurring Schedule'!$F$32,$A212&gt;'Recurring Schedule'!$P$32),"",IF(IF('Recurring Schedule'!$N$32&gt;0,MOD($A212-'Recurring Schedule'!$F$32,'Recurring Schedule'!$N$32)=0,IF('Recurring Schedule'!$O$32&gt;0,AND(DAY($A212)=MIN(DAY('Recurring Schedule'!$F$32),DAY(EOMONTH($A212,0))),MOD((YEAR($A212)-YEAR('Recurring Schedule'!$F$32))*12+MONTH($A212)-MONTH('Recurring Schedule'!$F$32),'Recurring Schedule'!$O$32)=0),IF('Recurring Schedule'!$E$32="Weekdays",WEEKDAY($A212,2)&lt;=5,$A212='Recurring Schedule'!$F$32))),27,""))))</f>
        <v/>
      </c>
      <c r="AC212">
        <f>IF('Recurring Schedule'!$C$33="","",IF('Recurring Schedule'!$F$33="","",IF(OR($A212&lt;'Recurring Schedule'!$F$33,$A212&gt;'Recurring Schedule'!$P$33),"",IF(IF('Recurring Schedule'!$N$33&gt;0,MOD($A212-'Recurring Schedule'!$F$33,'Recurring Schedule'!$N$33)=0,IF('Recurring Schedule'!$O$33&gt;0,AND(DAY($A212)=MIN(DAY('Recurring Schedule'!$F$33),DAY(EOMONTH($A212,0))),MOD((YEAR($A212)-YEAR('Recurring Schedule'!$F$33))*12+MONTH($A212)-MONTH('Recurring Schedule'!$F$33),'Recurring Schedule'!$O$33)=0),IF('Recurring Schedule'!$E$33="Weekdays",WEEKDAY($A212,2)&lt;=5,$A212='Recurring Schedule'!$F$33))),28,""))))</f>
        <v/>
      </c>
      <c r="AD212">
        <f>IF('Recurring Schedule'!$C$34="","",IF('Recurring Schedule'!$F$34="","",IF(OR($A212&lt;'Recurring Schedule'!$F$34,$A212&gt;'Recurring Schedule'!$P$34),"",IF(IF('Recurring Schedule'!$N$34&gt;0,MOD($A212-'Recurring Schedule'!$F$34,'Recurring Schedule'!$N$34)=0,IF('Recurring Schedule'!$O$34&gt;0,AND(DAY($A212)=MIN(DAY('Recurring Schedule'!$F$34),DAY(EOMONTH($A212,0))),MOD((YEAR($A212)-YEAR('Recurring Schedule'!$F$34))*12+MONTH($A212)-MONTH('Recurring Schedule'!$F$34),'Recurring Schedule'!$O$34)=0),IF('Recurring Schedule'!$E$34="Weekdays",WEEKDAY($A212,2)&lt;=5,$A212='Recurring Schedule'!$F$34))),29,""))))</f>
        <v/>
      </c>
      <c r="AE212">
        <f>IF('Recurring Schedule'!$C$35="","",IF('Recurring Schedule'!$F$35="","",IF(OR($A212&lt;'Recurring Schedule'!$F$35,$A212&gt;'Recurring Schedule'!$P$35),"",IF(IF('Recurring Schedule'!$N$35&gt;0,MOD($A212-'Recurring Schedule'!$F$35,'Recurring Schedule'!$N$35)=0,IF('Recurring Schedule'!$O$35&gt;0,AND(DAY($A212)=MIN(DAY('Recurring Schedule'!$F$35),DAY(EOMONTH($A212,0))),MOD((YEAR($A212)-YEAR('Recurring Schedule'!$F$35))*12+MONTH($A212)-MONTH('Recurring Schedule'!$F$35),'Recurring Schedule'!$O$35)=0),IF('Recurring Schedule'!$E$35="Weekdays",WEEKDAY($A212,2)&lt;=5,$A212='Recurring Schedule'!$F$35))),30,""))))</f>
        <v/>
      </c>
      <c r="AF212">
        <f>IF('Recurring Schedule'!$C$36="","",IF('Recurring Schedule'!$F$36="","",IF(OR($A212&lt;'Recurring Schedule'!$F$36,$A212&gt;'Recurring Schedule'!$P$36),"",IF(IF('Recurring Schedule'!$N$36&gt;0,MOD($A212-'Recurring Schedule'!$F$36,'Recurring Schedule'!$N$36)=0,IF('Recurring Schedule'!$O$36&gt;0,AND(DAY($A212)=MIN(DAY('Recurring Schedule'!$F$36),DAY(EOMONTH($A212,0))),MOD((YEAR($A212)-YEAR('Recurring Schedule'!$F$36))*12+MONTH($A212)-MONTH('Recurring Schedule'!$F$36),'Recurring Schedule'!$O$36)=0),IF('Recurring Schedule'!$E$36="Weekdays",WEEKDAY($A212,2)&lt;=5,$A212='Recurring Schedule'!$F$36))),31,""))))</f>
        <v/>
      </c>
      <c r="AG212">
        <f>IF('Recurring Schedule'!$C$37="","",IF('Recurring Schedule'!$F$37="","",IF(OR($A212&lt;'Recurring Schedule'!$F$37,$A212&gt;'Recurring Schedule'!$P$37),"",IF(IF('Recurring Schedule'!$N$37&gt;0,MOD($A212-'Recurring Schedule'!$F$37,'Recurring Schedule'!$N$37)=0,IF('Recurring Schedule'!$O$37&gt;0,AND(DAY($A212)=MIN(DAY('Recurring Schedule'!$F$37),DAY(EOMONTH($A212,0))),MOD((YEAR($A212)-YEAR('Recurring Schedule'!$F$37))*12+MONTH($A212)-MONTH('Recurring Schedule'!$F$37),'Recurring Schedule'!$O$37)=0),IF('Recurring Schedule'!$E$37="Weekdays",WEEKDAY($A212,2)&lt;=5,$A212='Recurring Schedule'!$F$37))),32,""))))</f>
        <v/>
      </c>
      <c r="AH212">
        <f>IF('Recurring Schedule'!$C$38="","",IF('Recurring Schedule'!$F$38="","",IF(OR($A212&lt;'Recurring Schedule'!$F$38,$A212&gt;'Recurring Schedule'!$P$38),"",IF(IF('Recurring Schedule'!$N$38&gt;0,MOD($A212-'Recurring Schedule'!$F$38,'Recurring Schedule'!$N$38)=0,IF('Recurring Schedule'!$O$38&gt;0,AND(DAY($A212)=MIN(DAY('Recurring Schedule'!$F$38),DAY(EOMONTH($A212,0))),MOD((YEAR($A212)-YEAR('Recurring Schedule'!$F$38))*12+MONTH($A212)-MONTH('Recurring Schedule'!$F$38),'Recurring Schedule'!$O$38)=0),IF('Recurring Schedule'!$E$38="Weekdays",WEEKDAY($A212,2)&lt;=5,$A212='Recurring Schedule'!$F$38))),33,""))))</f>
        <v/>
      </c>
      <c r="AI212">
        <f>IF('Recurring Schedule'!$C$39="","",IF('Recurring Schedule'!$F$39="","",IF(OR($A212&lt;'Recurring Schedule'!$F$39,$A212&gt;'Recurring Schedule'!$P$39),"",IF(IF('Recurring Schedule'!$N$39&gt;0,MOD($A212-'Recurring Schedule'!$F$39,'Recurring Schedule'!$N$39)=0,IF('Recurring Schedule'!$O$39&gt;0,AND(DAY($A212)=MIN(DAY('Recurring Schedule'!$F$39),DAY(EOMONTH($A212,0))),MOD((YEAR($A212)-YEAR('Recurring Schedule'!$F$39))*12+MONTH($A212)-MONTH('Recurring Schedule'!$F$39),'Recurring Schedule'!$O$39)=0),IF('Recurring Schedule'!$E$39="Weekdays",WEEKDAY($A212,2)&lt;=5,$A212='Recurring Schedule'!$F$39))),34,""))))</f>
        <v/>
      </c>
      <c r="AJ212">
        <f>IF('Recurring Schedule'!$C$40="","",IF('Recurring Schedule'!$F$40="","",IF(OR($A212&lt;'Recurring Schedule'!$F$40,$A212&gt;'Recurring Schedule'!$P$40),"",IF(IF('Recurring Schedule'!$N$40&gt;0,MOD($A212-'Recurring Schedule'!$F$40,'Recurring Schedule'!$N$40)=0,IF('Recurring Schedule'!$O$40&gt;0,AND(DAY($A212)=MIN(DAY('Recurring Schedule'!$F$40),DAY(EOMONTH($A212,0))),MOD((YEAR($A212)-YEAR('Recurring Schedule'!$F$40))*12+MONTH($A212)-MONTH('Recurring Schedule'!$F$40),'Recurring Schedule'!$O$40)=0),IF('Recurring Schedule'!$E$40="Weekdays",WEEKDAY($A212,2)&lt;=5,$A212='Recurring Schedule'!$F$40))),35,""))))</f>
        <v/>
      </c>
      <c r="AK212">
        <f>IF('Recurring Schedule'!$C$41="","",IF('Recurring Schedule'!$F$41="","",IF(OR($A212&lt;'Recurring Schedule'!$F$41,$A212&gt;'Recurring Schedule'!$P$41),"",IF(IF('Recurring Schedule'!$N$41&gt;0,MOD($A212-'Recurring Schedule'!$F$41,'Recurring Schedule'!$N$41)=0,IF('Recurring Schedule'!$O$41&gt;0,AND(DAY($A212)=MIN(DAY('Recurring Schedule'!$F$41),DAY(EOMONTH($A212,0))),MOD((YEAR($A212)-YEAR('Recurring Schedule'!$F$41))*12+MONTH($A212)-MONTH('Recurring Schedule'!$F$41),'Recurring Schedule'!$O$41)=0),IF('Recurring Schedule'!$E$41="Weekdays",WEEKDAY($A212,2)&lt;=5,$A212='Recurring Schedule'!$F$41))),36,""))))</f>
        <v/>
      </c>
      <c r="AL212">
        <f>IF('Recurring Schedule'!$C$42="","",IF('Recurring Schedule'!$F$42="","",IF(OR($A212&lt;'Recurring Schedule'!$F$42,$A212&gt;'Recurring Schedule'!$P$42),"",IF(IF('Recurring Schedule'!$N$42&gt;0,MOD($A212-'Recurring Schedule'!$F$42,'Recurring Schedule'!$N$42)=0,IF('Recurring Schedule'!$O$42&gt;0,AND(DAY($A212)=MIN(DAY('Recurring Schedule'!$F$42),DAY(EOMONTH($A212,0))),MOD((YEAR($A212)-YEAR('Recurring Schedule'!$F$42))*12+MONTH($A212)-MONTH('Recurring Schedule'!$F$42),'Recurring Schedule'!$O$42)=0),IF('Recurring Schedule'!$E$42="Weekdays",WEEKDAY($A212,2)&lt;=5,$A212='Recurring Schedule'!$F$42))),37,""))))</f>
        <v/>
      </c>
      <c r="AM212">
        <f>IF('Recurring Schedule'!$C$43="","",IF('Recurring Schedule'!$F$43="","",IF(OR($A212&lt;'Recurring Schedule'!$F$43,$A212&gt;'Recurring Schedule'!$P$43),"",IF(IF('Recurring Schedule'!$N$43&gt;0,MOD($A212-'Recurring Schedule'!$F$43,'Recurring Schedule'!$N$43)=0,IF('Recurring Schedule'!$O$43&gt;0,AND(DAY($A212)=MIN(DAY('Recurring Schedule'!$F$43),DAY(EOMONTH($A212,0))),MOD((YEAR($A212)-YEAR('Recurring Schedule'!$F$43))*12+MONTH($A212)-MONTH('Recurring Schedule'!$F$43),'Recurring Schedule'!$O$43)=0),IF('Recurring Schedule'!$E$43="Weekdays",WEEKDAY($A212,2)&lt;=5,$A212='Recurring Schedule'!$F$43))),38,""))))</f>
        <v/>
      </c>
      <c r="AN212">
        <f>IF('Recurring Schedule'!$C$44="","",IF('Recurring Schedule'!$F$44="","",IF(OR($A212&lt;'Recurring Schedule'!$F$44,$A212&gt;'Recurring Schedule'!$P$44),"",IF(IF('Recurring Schedule'!$N$44&gt;0,MOD($A212-'Recurring Schedule'!$F$44,'Recurring Schedule'!$N$44)=0,IF('Recurring Schedule'!$O$44&gt;0,AND(DAY($A212)=MIN(DAY('Recurring Schedule'!$F$44),DAY(EOMONTH($A212,0))),MOD((YEAR($A212)-YEAR('Recurring Schedule'!$F$44))*12+MONTH($A212)-MONTH('Recurring Schedule'!$F$44),'Recurring Schedule'!$O$44)=0),IF('Recurring Schedule'!$E$44="Weekdays",WEEKDAY($A212,2)&lt;=5,$A212='Recurring Schedule'!$F$44))),39,""))))</f>
        <v/>
      </c>
      <c r="AO212">
        <f>IF('Recurring Schedule'!$C$45="","",IF('Recurring Schedule'!$F$45="","",IF(OR($A212&lt;'Recurring Schedule'!$F$45,$A212&gt;'Recurring Schedule'!$P$45),"",IF(IF('Recurring Schedule'!$N$45&gt;0,MOD($A212-'Recurring Schedule'!$F$45,'Recurring Schedule'!$N$45)=0,IF('Recurring Schedule'!$O$45&gt;0,AND(DAY($A212)=MIN(DAY('Recurring Schedule'!$F$45),DAY(EOMONTH($A212,0))),MOD((YEAR($A212)-YEAR('Recurring Schedule'!$F$45))*12+MONTH($A212)-MONTH('Recurring Schedule'!$F$45),'Recurring Schedule'!$O$45)=0),IF('Recurring Schedule'!$E$45="Weekdays",WEEKDAY($A212,2)&lt;=5,$A212='Recurring Schedule'!$F$45))),40,""))))</f>
        <v/>
      </c>
      <c r="AP212">
        <f>COUNT(B212:AO212)</f>
        <v/>
      </c>
      <c r="AQ212">
        <f>AQ211+AP211</f>
        <v/>
      </c>
      <c r="AS212" t="inlineStr">
        <is>
          <t>R</t>
        </is>
      </c>
      <c r="AT212" t="n">
        <v>216</v>
      </c>
      <c r="AU212">
        <f>'Recurring Log'!C216&amp;""</f>
        <v/>
      </c>
      <c r="AV212">
        <f>'Recurring Log'!D216&amp;""</f>
        <v/>
      </c>
      <c r="AW212">
        <f>IF('Recurring Log'!E216="","",'Recurring Log'!E216)</f>
        <v/>
      </c>
      <c r="AX212">
        <f>IF('Recurring Log'!G216="","",'Recurring Log'!G216)</f>
        <v/>
      </c>
      <c r="AY212">
        <f>IF('Recurring Log'!H216="","",'Recurring Log'!H216)</f>
        <v/>
      </c>
      <c r="AZ212">
        <f>IF(AU212="","",IF('Recurring Log'!J216="","Not Started",'Recurring Log'!J216))</f>
        <v/>
      </c>
      <c r="BA212">
        <f>'Recurring Log'!L216&amp;""</f>
        <v/>
      </c>
      <c r="BB212">
        <f>'Recurring Log'!M216&amp;""</f>
        <v/>
      </c>
      <c r="BC212">
        <f>'Recurring Log'!N216&amp;""</f>
        <v/>
      </c>
      <c r="BD212">
        <f>'Recurring Log'!O216&amp;""</f>
        <v/>
      </c>
      <c r="BE212">
        <f>IF('Recurring Log'!K216="","",'Recurring Log'!K216)</f>
        <v/>
      </c>
      <c r="BF212">
        <f>IFERROR(MATCH(BA212,Setup!$L$6:$L$9,0),5)</f>
        <v/>
      </c>
      <c r="BG212">
        <f>IF(OR(AZ212="Done",AZ212="Cancelled"),1,0)</f>
        <v/>
      </c>
      <c r="BH212">
        <f>IF(AND(AU212&lt;&gt;"",ISNUMBER(AW212)),1,0)</f>
        <v/>
      </c>
      <c r="BI212">
        <f>IF(BH212=0,0,IF(AND(AW212&gt;='Tasks Filter'!$F$3,AW212&lt;='Tasks Filter'!$F$4,OR('Tasks Filter'!$I$3="",ISNUMBER(SEARCH('Tasks Filter'!$I$3,AU212))),OR('Tasks Filter'!$I$4="",BF212=IFERROR(MATCH('Tasks Filter'!$I$4,Setup!$L$6:$L$9,0),0)),OR('Tasks Filter'!$I$5="Both",AND('Tasks Filter'!$I$5="Yes",BB212="✓"),AND('Tasks Filter'!$I$5="No",BB212&lt;&gt;"✓")),OR('Tasks Filter'!$L$3="",AV212='Tasks Filter'!$L$3),OR('Tasks Filter'!$L$4="",AZ212='Tasks Filter'!$L$4),OR('Tasks Filter'!$L$5="",BC212='Tasks Filter'!$L$5),OR('Tasks Filter'!$O$3="",BD212='Tasks Filter'!$O$3),OR('Tasks Filter'!$O$4="Yes",BG212=0)),1,0))</f>
        <v/>
      </c>
      <c r="BJ212">
        <f>IF(BH212=0,"",IF('Tasks Filter'!$F$6="Descending",-1,1)*CHOOSE(MATCH('Tasks Filter'!$F$5,Lists!$G$2:$G$6,0),AW212,BF212,IFERROR(MATCH(AV212,Setup!$F$6:$F$15,0),99),IFERROR(MATCH(BC212,Setup!$H$6:$H$15,0),99),IFERROR(MATCH(AZ212,Setup!$J$6:$J$11,0),99))*1E+9+(AW212-40000)*10000+211)</f>
        <v/>
      </c>
      <c r="BK212">
        <f>IF(BI212=1,BJ212,"")</f>
        <v/>
      </c>
      <c r="BL212">
        <f>IF(AND(BH212=1,BG212=0,N(AW212)&lt;Setup!$D$7),(AW212-40000)*10000+211,"")</f>
        <v/>
      </c>
      <c r="BM212">
        <f>IF(AND(BH212=1,AZ212&lt;&gt;"Cancelled",N(AW212)&gt;=Dashboard!$AB$3,N(AW212)&lt;=Dashboard!$AB$3+6),(AW212-40000)*100000+BF212*10000+211,"")</f>
        <v/>
      </c>
      <c r="BN212">
        <f>IF(AND(BH212=1,AZ212&lt;&gt;"Cancelled"),BF212*10000+211,"")</f>
        <v/>
      </c>
    </row>
    <row r="213">
      <c r="A213">
        <f>Setup!$D$5+211</f>
        <v/>
      </c>
      <c r="B213">
        <f>IF('Recurring Schedule'!$C$6="","",IF('Recurring Schedule'!$F$6="","",IF(OR($A213&lt;'Recurring Schedule'!$F$6,$A213&gt;'Recurring Schedule'!$P$6),"",IF(IF('Recurring Schedule'!$N$6&gt;0,MOD($A213-'Recurring Schedule'!$F$6,'Recurring Schedule'!$N$6)=0,IF('Recurring Schedule'!$O$6&gt;0,AND(DAY($A213)=MIN(DAY('Recurring Schedule'!$F$6),DAY(EOMONTH($A213,0))),MOD((YEAR($A213)-YEAR('Recurring Schedule'!$F$6))*12+MONTH($A213)-MONTH('Recurring Schedule'!$F$6),'Recurring Schedule'!$O$6)=0),IF('Recurring Schedule'!$E$6="Weekdays",WEEKDAY($A213,2)&lt;=5,$A213='Recurring Schedule'!$F$6))),1,""))))</f>
        <v/>
      </c>
      <c r="C213">
        <f>IF('Recurring Schedule'!$C$7="","",IF('Recurring Schedule'!$F$7="","",IF(OR($A213&lt;'Recurring Schedule'!$F$7,$A213&gt;'Recurring Schedule'!$P$7),"",IF(IF('Recurring Schedule'!$N$7&gt;0,MOD($A213-'Recurring Schedule'!$F$7,'Recurring Schedule'!$N$7)=0,IF('Recurring Schedule'!$O$7&gt;0,AND(DAY($A213)=MIN(DAY('Recurring Schedule'!$F$7),DAY(EOMONTH($A213,0))),MOD((YEAR($A213)-YEAR('Recurring Schedule'!$F$7))*12+MONTH($A213)-MONTH('Recurring Schedule'!$F$7),'Recurring Schedule'!$O$7)=0),IF('Recurring Schedule'!$E$7="Weekdays",WEEKDAY($A213,2)&lt;=5,$A213='Recurring Schedule'!$F$7))),2,""))))</f>
        <v/>
      </c>
      <c r="D213">
        <f>IF('Recurring Schedule'!$C$8="","",IF('Recurring Schedule'!$F$8="","",IF(OR($A213&lt;'Recurring Schedule'!$F$8,$A213&gt;'Recurring Schedule'!$P$8),"",IF(IF('Recurring Schedule'!$N$8&gt;0,MOD($A213-'Recurring Schedule'!$F$8,'Recurring Schedule'!$N$8)=0,IF('Recurring Schedule'!$O$8&gt;0,AND(DAY($A213)=MIN(DAY('Recurring Schedule'!$F$8),DAY(EOMONTH($A213,0))),MOD((YEAR($A213)-YEAR('Recurring Schedule'!$F$8))*12+MONTH($A213)-MONTH('Recurring Schedule'!$F$8),'Recurring Schedule'!$O$8)=0),IF('Recurring Schedule'!$E$8="Weekdays",WEEKDAY($A213,2)&lt;=5,$A213='Recurring Schedule'!$F$8))),3,""))))</f>
        <v/>
      </c>
      <c r="E213">
        <f>IF('Recurring Schedule'!$C$9="","",IF('Recurring Schedule'!$F$9="","",IF(OR($A213&lt;'Recurring Schedule'!$F$9,$A213&gt;'Recurring Schedule'!$P$9),"",IF(IF('Recurring Schedule'!$N$9&gt;0,MOD($A213-'Recurring Schedule'!$F$9,'Recurring Schedule'!$N$9)=0,IF('Recurring Schedule'!$O$9&gt;0,AND(DAY($A213)=MIN(DAY('Recurring Schedule'!$F$9),DAY(EOMONTH($A213,0))),MOD((YEAR($A213)-YEAR('Recurring Schedule'!$F$9))*12+MONTH($A213)-MONTH('Recurring Schedule'!$F$9),'Recurring Schedule'!$O$9)=0),IF('Recurring Schedule'!$E$9="Weekdays",WEEKDAY($A213,2)&lt;=5,$A213='Recurring Schedule'!$F$9))),4,""))))</f>
        <v/>
      </c>
      <c r="F213">
        <f>IF('Recurring Schedule'!$C$10="","",IF('Recurring Schedule'!$F$10="","",IF(OR($A213&lt;'Recurring Schedule'!$F$10,$A213&gt;'Recurring Schedule'!$P$10),"",IF(IF('Recurring Schedule'!$N$10&gt;0,MOD($A213-'Recurring Schedule'!$F$10,'Recurring Schedule'!$N$10)=0,IF('Recurring Schedule'!$O$10&gt;0,AND(DAY($A213)=MIN(DAY('Recurring Schedule'!$F$10),DAY(EOMONTH($A213,0))),MOD((YEAR($A213)-YEAR('Recurring Schedule'!$F$10))*12+MONTH($A213)-MONTH('Recurring Schedule'!$F$10),'Recurring Schedule'!$O$10)=0),IF('Recurring Schedule'!$E$10="Weekdays",WEEKDAY($A213,2)&lt;=5,$A213='Recurring Schedule'!$F$10))),5,""))))</f>
        <v/>
      </c>
      <c r="G213">
        <f>IF('Recurring Schedule'!$C$11="","",IF('Recurring Schedule'!$F$11="","",IF(OR($A213&lt;'Recurring Schedule'!$F$11,$A213&gt;'Recurring Schedule'!$P$11),"",IF(IF('Recurring Schedule'!$N$11&gt;0,MOD($A213-'Recurring Schedule'!$F$11,'Recurring Schedule'!$N$11)=0,IF('Recurring Schedule'!$O$11&gt;0,AND(DAY($A213)=MIN(DAY('Recurring Schedule'!$F$11),DAY(EOMONTH($A213,0))),MOD((YEAR($A213)-YEAR('Recurring Schedule'!$F$11))*12+MONTH($A213)-MONTH('Recurring Schedule'!$F$11),'Recurring Schedule'!$O$11)=0),IF('Recurring Schedule'!$E$11="Weekdays",WEEKDAY($A213,2)&lt;=5,$A213='Recurring Schedule'!$F$11))),6,""))))</f>
        <v/>
      </c>
      <c r="H213">
        <f>IF('Recurring Schedule'!$C$12="","",IF('Recurring Schedule'!$F$12="","",IF(OR($A213&lt;'Recurring Schedule'!$F$12,$A213&gt;'Recurring Schedule'!$P$12),"",IF(IF('Recurring Schedule'!$N$12&gt;0,MOD($A213-'Recurring Schedule'!$F$12,'Recurring Schedule'!$N$12)=0,IF('Recurring Schedule'!$O$12&gt;0,AND(DAY($A213)=MIN(DAY('Recurring Schedule'!$F$12),DAY(EOMONTH($A213,0))),MOD((YEAR($A213)-YEAR('Recurring Schedule'!$F$12))*12+MONTH($A213)-MONTH('Recurring Schedule'!$F$12),'Recurring Schedule'!$O$12)=0),IF('Recurring Schedule'!$E$12="Weekdays",WEEKDAY($A213,2)&lt;=5,$A213='Recurring Schedule'!$F$12))),7,""))))</f>
        <v/>
      </c>
      <c r="I213">
        <f>IF('Recurring Schedule'!$C$13="","",IF('Recurring Schedule'!$F$13="","",IF(OR($A213&lt;'Recurring Schedule'!$F$13,$A213&gt;'Recurring Schedule'!$P$13),"",IF(IF('Recurring Schedule'!$N$13&gt;0,MOD($A213-'Recurring Schedule'!$F$13,'Recurring Schedule'!$N$13)=0,IF('Recurring Schedule'!$O$13&gt;0,AND(DAY($A213)=MIN(DAY('Recurring Schedule'!$F$13),DAY(EOMONTH($A213,0))),MOD((YEAR($A213)-YEAR('Recurring Schedule'!$F$13))*12+MONTH($A213)-MONTH('Recurring Schedule'!$F$13),'Recurring Schedule'!$O$13)=0),IF('Recurring Schedule'!$E$13="Weekdays",WEEKDAY($A213,2)&lt;=5,$A213='Recurring Schedule'!$F$13))),8,""))))</f>
        <v/>
      </c>
      <c r="J213">
        <f>IF('Recurring Schedule'!$C$14="","",IF('Recurring Schedule'!$F$14="","",IF(OR($A213&lt;'Recurring Schedule'!$F$14,$A213&gt;'Recurring Schedule'!$P$14),"",IF(IF('Recurring Schedule'!$N$14&gt;0,MOD($A213-'Recurring Schedule'!$F$14,'Recurring Schedule'!$N$14)=0,IF('Recurring Schedule'!$O$14&gt;0,AND(DAY($A213)=MIN(DAY('Recurring Schedule'!$F$14),DAY(EOMONTH($A213,0))),MOD((YEAR($A213)-YEAR('Recurring Schedule'!$F$14))*12+MONTH($A213)-MONTH('Recurring Schedule'!$F$14),'Recurring Schedule'!$O$14)=0),IF('Recurring Schedule'!$E$14="Weekdays",WEEKDAY($A213,2)&lt;=5,$A213='Recurring Schedule'!$F$14))),9,""))))</f>
        <v/>
      </c>
      <c r="K213">
        <f>IF('Recurring Schedule'!$C$15="","",IF('Recurring Schedule'!$F$15="","",IF(OR($A213&lt;'Recurring Schedule'!$F$15,$A213&gt;'Recurring Schedule'!$P$15),"",IF(IF('Recurring Schedule'!$N$15&gt;0,MOD($A213-'Recurring Schedule'!$F$15,'Recurring Schedule'!$N$15)=0,IF('Recurring Schedule'!$O$15&gt;0,AND(DAY($A213)=MIN(DAY('Recurring Schedule'!$F$15),DAY(EOMONTH($A213,0))),MOD((YEAR($A213)-YEAR('Recurring Schedule'!$F$15))*12+MONTH($A213)-MONTH('Recurring Schedule'!$F$15),'Recurring Schedule'!$O$15)=0),IF('Recurring Schedule'!$E$15="Weekdays",WEEKDAY($A213,2)&lt;=5,$A213='Recurring Schedule'!$F$15))),10,""))))</f>
        <v/>
      </c>
      <c r="L213">
        <f>IF('Recurring Schedule'!$C$16="","",IF('Recurring Schedule'!$F$16="","",IF(OR($A213&lt;'Recurring Schedule'!$F$16,$A213&gt;'Recurring Schedule'!$P$16),"",IF(IF('Recurring Schedule'!$N$16&gt;0,MOD($A213-'Recurring Schedule'!$F$16,'Recurring Schedule'!$N$16)=0,IF('Recurring Schedule'!$O$16&gt;0,AND(DAY($A213)=MIN(DAY('Recurring Schedule'!$F$16),DAY(EOMONTH($A213,0))),MOD((YEAR($A213)-YEAR('Recurring Schedule'!$F$16))*12+MONTH($A213)-MONTH('Recurring Schedule'!$F$16),'Recurring Schedule'!$O$16)=0),IF('Recurring Schedule'!$E$16="Weekdays",WEEKDAY($A213,2)&lt;=5,$A213='Recurring Schedule'!$F$16))),11,""))))</f>
        <v/>
      </c>
      <c r="M213">
        <f>IF('Recurring Schedule'!$C$17="","",IF('Recurring Schedule'!$F$17="","",IF(OR($A213&lt;'Recurring Schedule'!$F$17,$A213&gt;'Recurring Schedule'!$P$17),"",IF(IF('Recurring Schedule'!$N$17&gt;0,MOD($A213-'Recurring Schedule'!$F$17,'Recurring Schedule'!$N$17)=0,IF('Recurring Schedule'!$O$17&gt;0,AND(DAY($A213)=MIN(DAY('Recurring Schedule'!$F$17),DAY(EOMONTH($A213,0))),MOD((YEAR($A213)-YEAR('Recurring Schedule'!$F$17))*12+MONTH($A213)-MONTH('Recurring Schedule'!$F$17),'Recurring Schedule'!$O$17)=0),IF('Recurring Schedule'!$E$17="Weekdays",WEEKDAY($A213,2)&lt;=5,$A213='Recurring Schedule'!$F$17))),12,""))))</f>
        <v/>
      </c>
      <c r="N213">
        <f>IF('Recurring Schedule'!$C$18="","",IF('Recurring Schedule'!$F$18="","",IF(OR($A213&lt;'Recurring Schedule'!$F$18,$A213&gt;'Recurring Schedule'!$P$18),"",IF(IF('Recurring Schedule'!$N$18&gt;0,MOD($A213-'Recurring Schedule'!$F$18,'Recurring Schedule'!$N$18)=0,IF('Recurring Schedule'!$O$18&gt;0,AND(DAY($A213)=MIN(DAY('Recurring Schedule'!$F$18),DAY(EOMONTH($A213,0))),MOD((YEAR($A213)-YEAR('Recurring Schedule'!$F$18))*12+MONTH($A213)-MONTH('Recurring Schedule'!$F$18),'Recurring Schedule'!$O$18)=0),IF('Recurring Schedule'!$E$18="Weekdays",WEEKDAY($A213,2)&lt;=5,$A213='Recurring Schedule'!$F$18))),13,""))))</f>
        <v/>
      </c>
      <c r="O213">
        <f>IF('Recurring Schedule'!$C$19="","",IF('Recurring Schedule'!$F$19="","",IF(OR($A213&lt;'Recurring Schedule'!$F$19,$A213&gt;'Recurring Schedule'!$P$19),"",IF(IF('Recurring Schedule'!$N$19&gt;0,MOD($A213-'Recurring Schedule'!$F$19,'Recurring Schedule'!$N$19)=0,IF('Recurring Schedule'!$O$19&gt;0,AND(DAY($A213)=MIN(DAY('Recurring Schedule'!$F$19),DAY(EOMONTH($A213,0))),MOD((YEAR($A213)-YEAR('Recurring Schedule'!$F$19))*12+MONTH($A213)-MONTH('Recurring Schedule'!$F$19),'Recurring Schedule'!$O$19)=0),IF('Recurring Schedule'!$E$19="Weekdays",WEEKDAY($A213,2)&lt;=5,$A213='Recurring Schedule'!$F$19))),14,""))))</f>
        <v/>
      </c>
      <c r="P213">
        <f>IF('Recurring Schedule'!$C$20="","",IF('Recurring Schedule'!$F$20="","",IF(OR($A213&lt;'Recurring Schedule'!$F$20,$A213&gt;'Recurring Schedule'!$P$20),"",IF(IF('Recurring Schedule'!$N$20&gt;0,MOD($A213-'Recurring Schedule'!$F$20,'Recurring Schedule'!$N$20)=0,IF('Recurring Schedule'!$O$20&gt;0,AND(DAY($A213)=MIN(DAY('Recurring Schedule'!$F$20),DAY(EOMONTH($A213,0))),MOD((YEAR($A213)-YEAR('Recurring Schedule'!$F$20))*12+MONTH($A213)-MONTH('Recurring Schedule'!$F$20),'Recurring Schedule'!$O$20)=0),IF('Recurring Schedule'!$E$20="Weekdays",WEEKDAY($A213,2)&lt;=5,$A213='Recurring Schedule'!$F$20))),15,""))))</f>
        <v/>
      </c>
      <c r="Q213">
        <f>IF('Recurring Schedule'!$C$21="","",IF('Recurring Schedule'!$F$21="","",IF(OR($A213&lt;'Recurring Schedule'!$F$21,$A213&gt;'Recurring Schedule'!$P$21),"",IF(IF('Recurring Schedule'!$N$21&gt;0,MOD($A213-'Recurring Schedule'!$F$21,'Recurring Schedule'!$N$21)=0,IF('Recurring Schedule'!$O$21&gt;0,AND(DAY($A213)=MIN(DAY('Recurring Schedule'!$F$21),DAY(EOMONTH($A213,0))),MOD((YEAR($A213)-YEAR('Recurring Schedule'!$F$21))*12+MONTH($A213)-MONTH('Recurring Schedule'!$F$21),'Recurring Schedule'!$O$21)=0),IF('Recurring Schedule'!$E$21="Weekdays",WEEKDAY($A213,2)&lt;=5,$A213='Recurring Schedule'!$F$21))),16,""))))</f>
        <v/>
      </c>
      <c r="R213">
        <f>IF('Recurring Schedule'!$C$22="","",IF('Recurring Schedule'!$F$22="","",IF(OR($A213&lt;'Recurring Schedule'!$F$22,$A213&gt;'Recurring Schedule'!$P$22),"",IF(IF('Recurring Schedule'!$N$22&gt;0,MOD($A213-'Recurring Schedule'!$F$22,'Recurring Schedule'!$N$22)=0,IF('Recurring Schedule'!$O$22&gt;0,AND(DAY($A213)=MIN(DAY('Recurring Schedule'!$F$22),DAY(EOMONTH($A213,0))),MOD((YEAR($A213)-YEAR('Recurring Schedule'!$F$22))*12+MONTH($A213)-MONTH('Recurring Schedule'!$F$22),'Recurring Schedule'!$O$22)=0),IF('Recurring Schedule'!$E$22="Weekdays",WEEKDAY($A213,2)&lt;=5,$A213='Recurring Schedule'!$F$22))),17,""))))</f>
        <v/>
      </c>
      <c r="S213">
        <f>IF('Recurring Schedule'!$C$23="","",IF('Recurring Schedule'!$F$23="","",IF(OR($A213&lt;'Recurring Schedule'!$F$23,$A213&gt;'Recurring Schedule'!$P$23),"",IF(IF('Recurring Schedule'!$N$23&gt;0,MOD($A213-'Recurring Schedule'!$F$23,'Recurring Schedule'!$N$23)=0,IF('Recurring Schedule'!$O$23&gt;0,AND(DAY($A213)=MIN(DAY('Recurring Schedule'!$F$23),DAY(EOMONTH($A213,0))),MOD((YEAR($A213)-YEAR('Recurring Schedule'!$F$23))*12+MONTH($A213)-MONTH('Recurring Schedule'!$F$23),'Recurring Schedule'!$O$23)=0),IF('Recurring Schedule'!$E$23="Weekdays",WEEKDAY($A213,2)&lt;=5,$A213='Recurring Schedule'!$F$23))),18,""))))</f>
        <v/>
      </c>
      <c r="T213">
        <f>IF('Recurring Schedule'!$C$24="","",IF('Recurring Schedule'!$F$24="","",IF(OR($A213&lt;'Recurring Schedule'!$F$24,$A213&gt;'Recurring Schedule'!$P$24),"",IF(IF('Recurring Schedule'!$N$24&gt;0,MOD($A213-'Recurring Schedule'!$F$24,'Recurring Schedule'!$N$24)=0,IF('Recurring Schedule'!$O$24&gt;0,AND(DAY($A213)=MIN(DAY('Recurring Schedule'!$F$24),DAY(EOMONTH($A213,0))),MOD((YEAR($A213)-YEAR('Recurring Schedule'!$F$24))*12+MONTH($A213)-MONTH('Recurring Schedule'!$F$24),'Recurring Schedule'!$O$24)=0),IF('Recurring Schedule'!$E$24="Weekdays",WEEKDAY($A213,2)&lt;=5,$A213='Recurring Schedule'!$F$24))),19,""))))</f>
        <v/>
      </c>
      <c r="U213">
        <f>IF('Recurring Schedule'!$C$25="","",IF('Recurring Schedule'!$F$25="","",IF(OR($A213&lt;'Recurring Schedule'!$F$25,$A213&gt;'Recurring Schedule'!$P$25),"",IF(IF('Recurring Schedule'!$N$25&gt;0,MOD($A213-'Recurring Schedule'!$F$25,'Recurring Schedule'!$N$25)=0,IF('Recurring Schedule'!$O$25&gt;0,AND(DAY($A213)=MIN(DAY('Recurring Schedule'!$F$25),DAY(EOMONTH($A213,0))),MOD((YEAR($A213)-YEAR('Recurring Schedule'!$F$25))*12+MONTH($A213)-MONTH('Recurring Schedule'!$F$25),'Recurring Schedule'!$O$25)=0),IF('Recurring Schedule'!$E$25="Weekdays",WEEKDAY($A213,2)&lt;=5,$A213='Recurring Schedule'!$F$25))),20,""))))</f>
        <v/>
      </c>
      <c r="V213">
        <f>IF('Recurring Schedule'!$C$26="","",IF('Recurring Schedule'!$F$26="","",IF(OR($A213&lt;'Recurring Schedule'!$F$26,$A213&gt;'Recurring Schedule'!$P$26),"",IF(IF('Recurring Schedule'!$N$26&gt;0,MOD($A213-'Recurring Schedule'!$F$26,'Recurring Schedule'!$N$26)=0,IF('Recurring Schedule'!$O$26&gt;0,AND(DAY($A213)=MIN(DAY('Recurring Schedule'!$F$26),DAY(EOMONTH($A213,0))),MOD((YEAR($A213)-YEAR('Recurring Schedule'!$F$26))*12+MONTH($A213)-MONTH('Recurring Schedule'!$F$26),'Recurring Schedule'!$O$26)=0),IF('Recurring Schedule'!$E$26="Weekdays",WEEKDAY($A213,2)&lt;=5,$A213='Recurring Schedule'!$F$26))),21,""))))</f>
        <v/>
      </c>
      <c r="W213">
        <f>IF('Recurring Schedule'!$C$27="","",IF('Recurring Schedule'!$F$27="","",IF(OR($A213&lt;'Recurring Schedule'!$F$27,$A213&gt;'Recurring Schedule'!$P$27),"",IF(IF('Recurring Schedule'!$N$27&gt;0,MOD($A213-'Recurring Schedule'!$F$27,'Recurring Schedule'!$N$27)=0,IF('Recurring Schedule'!$O$27&gt;0,AND(DAY($A213)=MIN(DAY('Recurring Schedule'!$F$27),DAY(EOMONTH($A213,0))),MOD((YEAR($A213)-YEAR('Recurring Schedule'!$F$27))*12+MONTH($A213)-MONTH('Recurring Schedule'!$F$27),'Recurring Schedule'!$O$27)=0),IF('Recurring Schedule'!$E$27="Weekdays",WEEKDAY($A213,2)&lt;=5,$A213='Recurring Schedule'!$F$27))),22,""))))</f>
        <v/>
      </c>
      <c r="X213">
        <f>IF('Recurring Schedule'!$C$28="","",IF('Recurring Schedule'!$F$28="","",IF(OR($A213&lt;'Recurring Schedule'!$F$28,$A213&gt;'Recurring Schedule'!$P$28),"",IF(IF('Recurring Schedule'!$N$28&gt;0,MOD($A213-'Recurring Schedule'!$F$28,'Recurring Schedule'!$N$28)=0,IF('Recurring Schedule'!$O$28&gt;0,AND(DAY($A213)=MIN(DAY('Recurring Schedule'!$F$28),DAY(EOMONTH($A213,0))),MOD((YEAR($A213)-YEAR('Recurring Schedule'!$F$28))*12+MONTH($A213)-MONTH('Recurring Schedule'!$F$28),'Recurring Schedule'!$O$28)=0),IF('Recurring Schedule'!$E$28="Weekdays",WEEKDAY($A213,2)&lt;=5,$A213='Recurring Schedule'!$F$28))),23,""))))</f>
        <v/>
      </c>
      <c r="Y213">
        <f>IF('Recurring Schedule'!$C$29="","",IF('Recurring Schedule'!$F$29="","",IF(OR($A213&lt;'Recurring Schedule'!$F$29,$A213&gt;'Recurring Schedule'!$P$29),"",IF(IF('Recurring Schedule'!$N$29&gt;0,MOD($A213-'Recurring Schedule'!$F$29,'Recurring Schedule'!$N$29)=0,IF('Recurring Schedule'!$O$29&gt;0,AND(DAY($A213)=MIN(DAY('Recurring Schedule'!$F$29),DAY(EOMONTH($A213,0))),MOD((YEAR($A213)-YEAR('Recurring Schedule'!$F$29))*12+MONTH($A213)-MONTH('Recurring Schedule'!$F$29),'Recurring Schedule'!$O$29)=0),IF('Recurring Schedule'!$E$29="Weekdays",WEEKDAY($A213,2)&lt;=5,$A213='Recurring Schedule'!$F$29))),24,""))))</f>
        <v/>
      </c>
      <c r="Z213">
        <f>IF('Recurring Schedule'!$C$30="","",IF('Recurring Schedule'!$F$30="","",IF(OR($A213&lt;'Recurring Schedule'!$F$30,$A213&gt;'Recurring Schedule'!$P$30),"",IF(IF('Recurring Schedule'!$N$30&gt;0,MOD($A213-'Recurring Schedule'!$F$30,'Recurring Schedule'!$N$30)=0,IF('Recurring Schedule'!$O$30&gt;0,AND(DAY($A213)=MIN(DAY('Recurring Schedule'!$F$30),DAY(EOMONTH($A213,0))),MOD((YEAR($A213)-YEAR('Recurring Schedule'!$F$30))*12+MONTH($A213)-MONTH('Recurring Schedule'!$F$30),'Recurring Schedule'!$O$30)=0),IF('Recurring Schedule'!$E$30="Weekdays",WEEKDAY($A213,2)&lt;=5,$A213='Recurring Schedule'!$F$30))),25,""))))</f>
        <v/>
      </c>
      <c r="AA213">
        <f>IF('Recurring Schedule'!$C$31="","",IF('Recurring Schedule'!$F$31="","",IF(OR($A213&lt;'Recurring Schedule'!$F$31,$A213&gt;'Recurring Schedule'!$P$31),"",IF(IF('Recurring Schedule'!$N$31&gt;0,MOD($A213-'Recurring Schedule'!$F$31,'Recurring Schedule'!$N$31)=0,IF('Recurring Schedule'!$O$31&gt;0,AND(DAY($A213)=MIN(DAY('Recurring Schedule'!$F$31),DAY(EOMONTH($A213,0))),MOD((YEAR($A213)-YEAR('Recurring Schedule'!$F$31))*12+MONTH($A213)-MONTH('Recurring Schedule'!$F$31),'Recurring Schedule'!$O$31)=0),IF('Recurring Schedule'!$E$31="Weekdays",WEEKDAY($A213,2)&lt;=5,$A213='Recurring Schedule'!$F$31))),26,""))))</f>
        <v/>
      </c>
      <c r="AB213">
        <f>IF('Recurring Schedule'!$C$32="","",IF('Recurring Schedule'!$F$32="","",IF(OR($A213&lt;'Recurring Schedule'!$F$32,$A213&gt;'Recurring Schedule'!$P$32),"",IF(IF('Recurring Schedule'!$N$32&gt;0,MOD($A213-'Recurring Schedule'!$F$32,'Recurring Schedule'!$N$32)=0,IF('Recurring Schedule'!$O$32&gt;0,AND(DAY($A213)=MIN(DAY('Recurring Schedule'!$F$32),DAY(EOMONTH($A213,0))),MOD((YEAR($A213)-YEAR('Recurring Schedule'!$F$32))*12+MONTH($A213)-MONTH('Recurring Schedule'!$F$32),'Recurring Schedule'!$O$32)=0),IF('Recurring Schedule'!$E$32="Weekdays",WEEKDAY($A213,2)&lt;=5,$A213='Recurring Schedule'!$F$32))),27,""))))</f>
        <v/>
      </c>
      <c r="AC213">
        <f>IF('Recurring Schedule'!$C$33="","",IF('Recurring Schedule'!$F$33="","",IF(OR($A213&lt;'Recurring Schedule'!$F$33,$A213&gt;'Recurring Schedule'!$P$33),"",IF(IF('Recurring Schedule'!$N$33&gt;0,MOD($A213-'Recurring Schedule'!$F$33,'Recurring Schedule'!$N$33)=0,IF('Recurring Schedule'!$O$33&gt;0,AND(DAY($A213)=MIN(DAY('Recurring Schedule'!$F$33),DAY(EOMONTH($A213,0))),MOD((YEAR($A213)-YEAR('Recurring Schedule'!$F$33))*12+MONTH($A213)-MONTH('Recurring Schedule'!$F$33),'Recurring Schedule'!$O$33)=0),IF('Recurring Schedule'!$E$33="Weekdays",WEEKDAY($A213,2)&lt;=5,$A213='Recurring Schedule'!$F$33))),28,""))))</f>
        <v/>
      </c>
      <c r="AD213">
        <f>IF('Recurring Schedule'!$C$34="","",IF('Recurring Schedule'!$F$34="","",IF(OR($A213&lt;'Recurring Schedule'!$F$34,$A213&gt;'Recurring Schedule'!$P$34),"",IF(IF('Recurring Schedule'!$N$34&gt;0,MOD($A213-'Recurring Schedule'!$F$34,'Recurring Schedule'!$N$34)=0,IF('Recurring Schedule'!$O$34&gt;0,AND(DAY($A213)=MIN(DAY('Recurring Schedule'!$F$34),DAY(EOMONTH($A213,0))),MOD((YEAR($A213)-YEAR('Recurring Schedule'!$F$34))*12+MONTH($A213)-MONTH('Recurring Schedule'!$F$34),'Recurring Schedule'!$O$34)=0),IF('Recurring Schedule'!$E$34="Weekdays",WEEKDAY($A213,2)&lt;=5,$A213='Recurring Schedule'!$F$34))),29,""))))</f>
        <v/>
      </c>
      <c r="AE213">
        <f>IF('Recurring Schedule'!$C$35="","",IF('Recurring Schedule'!$F$35="","",IF(OR($A213&lt;'Recurring Schedule'!$F$35,$A213&gt;'Recurring Schedule'!$P$35),"",IF(IF('Recurring Schedule'!$N$35&gt;0,MOD($A213-'Recurring Schedule'!$F$35,'Recurring Schedule'!$N$35)=0,IF('Recurring Schedule'!$O$35&gt;0,AND(DAY($A213)=MIN(DAY('Recurring Schedule'!$F$35),DAY(EOMONTH($A213,0))),MOD((YEAR($A213)-YEAR('Recurring Schedule'!$F$35))*12+MONTH($A213)-MONTH('Recurring Schedule'!$F$35),'Recurring Schedule'!$O$35)=0),IF('Recurring Schedule'!$E$35="Weekdays",WEEKDAY($A213,2)&lt;=5,$A213='Recurring Schedule'!$F$35))),30,""))))</f>
        <v/>
      </c>
      <c r="AF213">
        <f>IF('Recurring Schedule'!$C$36="","",IF('Recurring Schedule'!$F$36="","",IF(OR($A213&lt;'Recurring Schedule'!$F$36,$A213&gt;'Recurring Schedule'!$P$36),"",IF(IF('Recurring Schedule'!$N$36&gt;0,MOD($A213-'Recurring Schedule'!$F$36,'Recurring Schedule'!$N$36)=0,IF('Recurring Schedule'!$O$36&gt;0,AND(DAY($A213)=MIN(DAY('Recurring Schedule'!$F$36),DAY(EOMONTH($A213,0))),MOD((YEAR($A213)-YEAR('Recurring Schedule'!$F$36))*12+MONTH($A213)-MONTH('Recurring Schedule'!$F$36),'Recurring Schedule'!$O$36)=0),IF('Recurring Schedule'!$E$36="Weekdays",WEEKDAY($A213,2)&lt;=5,$A213='Recurring Schedule'!$F$36))),31,""))))</f>
        <v/>
      </c>
      <c r="AG213">
        <f>IF('Recurring Schedule'!$C$37="","",IF('Recurring Schedule'!$F$37="","",IF(OR($A213&lt;'Recurring Schedule'!$F$37,$A213&gt;'Recurring Schedule'!$P$37),"",IF(IF('Recurring Schedule'!$N$37&gt;0,MOD($A213-'Recurring Schedule'!$F$37,'Recurring Schedule'!$N$37)=0,IF('Recurring Schedule'!$O$37&gt;0,AND(DAY($A213)=MIN(DAY('Recurring Schedule'!$F$37),DAY(EOMONTH($A213,0))),MOD((YEAR($A213)-YEAR('Recurring Schedule'!$F$37))*12+MONTH($A213)-MONTH('Recurring Schedule'!$F$37),'Recurring Schedule'!$O$37)=0),IF('Recurring Schedule'!$E$37="Weekdays",WEEKDAY($A213,2)&lt;=5,$A213='Recurring Schedule'!$F$37))),32,""))))</f>
        <v/>
      </c>
      <c r="AH213">
        <f>IF('Recurring Schedule'!$C$38="","",IF('Recurring Schedule'!$F$38="","",IF(OR($A213&lt;'Recurring Schedule'!$F$38,$A213&gt;'Recurring Schedule'!$P$38),"",IF(IF('Recurring Schedule'!$N$38&gt;0,MOD($A213-'Recurring Schedule'!$F$38,'Recurring Schedule'!$N$38)=0,IF('Recurring Schedule'!$O$38&gt;0,AND(DAY($A213)=MIN(DAY('Recurring Schedule'!$F$38),DAY(EOMONTH($A213,0))),MOD((YEAR($A213)-YEAR('Recurring Schedule'!$F$38))*12+MONTH($A213)-MONTH('Recurring Schedule'!$F$38),'Recurring Schedule'!$O$38)=0),IF('Recurring Schedule'!$E$38="Weekdays",WEEKDAY($A213,2)&lt;=5,$A213='Recurring Schedule'!$F$38))),33,""))))</f>
        <v/>
      </c>
      <c r="AI213">
        <f>IF('Recurring Schedule'!$C$39="","",IF('Recurring Schedule'!$F$39="","",IF(OR($A213&lt;'Recurring Schedule'!$F$39,$A213&gt;'Recurring Schedule'!$P$39),"",IF(IF('Recurring Schedule'!$N$39&gt;0,MOD($A213-'Recurring Schedule'!$F$39,'Recurring Schedule'!$N$39)=0,IF('Recurring Schedule'!$O$39&gt;0,AND(DAY($A213)=MIN(DAY('Recurring Schedule'!$F$39),DAY(EOMONTH($A213,0))),MOD((YEAR($A213)-YEAR('Recurring Schedule'!$F$39))*12+MONTH($A213)-MONTH('Recurring Schedule'!$F$39),'Recurring Schedule'!$O$39)=0),IF('Recurring Schedule'!$E$39="Weekdays",WEEKDAY($A213,2)&lt;=5,$A213='Recurring Schedule'!$F$39))),34,""))))</f>
        <v/>
      </c>
      <c r="AJ213">
        <f>IF('Recurring Schedule'!$C$40="","",IF('Recurring Schedule'!$F$40="","",IF(OR($A213&lt;'Recurring Schedule'!$F$40,$A213&gt;'Recurring Schedule'!$P$40),"",IF(IF('Recurring Schedule'!$N$40&gt;0,MOD($A213-'Recurring Schedule'!$F$40,'Recurring Schedule'!$N$40)=0,IF('Recurring Schedule'!$O$40&gt;0,AND(DAY($A213)=MIN(DAY('Recurring Schedule'!$F$40),DAY(EOMONTH($A213,0))),MOD((YEAR($A213)-YEAR('Recurring Schedule'!$F$40))*12+MONTH($A213)-MONTH('Recurring Schedule'!$F$40),'Recurring Schedule'!$O$40)=0),IF('Recurring Schedule'!$E$40="Weekdays",WEEKDAY($A213,2)&lt;=5,$A213='Recurring Schedule'!$F$40))),35,""))))</f>
        <v/>
      </c>
      <c r="AK213">
        <f>IF('Recurring Schedule'!$C$41="","",IF('Recurring Schedule'!$F$41="","",IF(OR($A213&lt;'Recurring Schedule'!$F$41,$A213&gt;'Recurring Schedule'!$P$41),"",IF(IF('Recurring Schedule'!$N$41&gt;0,MOD($A213-'Recurring Schedule'!$F$41,'Recurring Schedule'!$N$41)=0,IF('Recurring Schedule'!$O$41&gt;0,AND(DAY($A213)=MIN(DAY('Recurring Schedule'!$F$41),DAY(EOMONTH($A213,0))),MOD((YEAR($A213)-YEAR('Recurring Schedule'!$F$41))*12+MONTH($A213)-MONTH('Recurring Schedule'!$F$41),'Recurring Schedule'!$O$41)=0),IF('Recurring Schedule'!$E$41="Weekdays",WEEKDAY($A213,2)&lt;=5,$A213='Recurring Schedule'!$F$41))),36,""))))</f>
        <v/>
      </c>
      <c r="AL213">
        <f>IF('Recurring Schedule'!$C$42="","",IF('Recurring Schedule'!$F$42="","",IF(OR($A213&lt;'Recurring Schedule'!$F$42,$A213&gt;'Recurring Schedule'!$P$42),"",IF(IF('Recurring Schedule'!$N$42&gt;0,MOD($A213-'Recurring Schedule'!$F$42,'Recurring Schedule'!$N$42)=0,IF('Recurring Schedule'!$O$42&gt;0,AND(DAY($A213)=MIN(DAY('Recurring Schedule'!$F$42),DAY(EOMONTH($A213,0))),MOD((YEAR($A213)-YEAR('Recurring Schedule'!$F$42))*12+MONTH($A213)-MONTH('Recurring Schedule'!$F$42),'Recurring Schedule'!$O$42)=0),IF('Recurring Schedule'!$E$42="Weekdays",WEEKDAY($A213,2)&lt;=5,$A213='Recurring Schedule'!$F$42))),37,""))))</f>
        <v/>
      </c>
      <c r="AM213">
        <f>IF('Recurring Schedule'!$C$43="","",IF('Recurring Schedule'!$F$43="","",IF(OR($A213&lt;'Recurring Schedule'!$F$43,$A213&gt;'Recurring Schedule'!$P$43),"",IF(IF('Recurring Schedule'!$N$43&gt;0,MOD($A213-'Recurring Schedule'!$F$43,'Recurring Schedule'!$N$43)=0,IF('Recurring Schedule'!$O$43&gt;0,AND(DAY($A213)=MIN(DAY('Recurring Schedule'!$F$43),DAY(EOMONTH($A213,0))),MOD((YEAR($A213)-YEAR('Recurring Schedule'!$F$43))*12+MONTH($A213)-MONTH('Recurring Schedule'!$F$43),'Recurring Schedule'!$O$43)=0),IF('Recurring Schedule'!$E$43="Weekdays",WEEKDAY($A213,2)&lt;=5,$A213='Recurring Schedule'!$F$43))),38,""))))</f>
        <v/>
      </c>
      <c r="AN213">
        <f>IF('Recurring Schedule'!$C$44="","",IF('Recurring Schedule'!$F$44="","",IF(OR($A213&lt;'Recurring Schedule'!$F$44,$A213&gt;'Recurring Schedule'!$P$44),"",IF(IF('Recurring Schedule'!$N$44&gt;0,MOD($A213-'Recurring Schedule'!$F$44,'Recurring Schedule'!$N$44)=0,IF('Recurring Schedule'!$O$44&gt;0,AND(DAY($A213)=MIN(DAY('Recurring Schedule'!$F$44),DAY(EOMONTH($A213,0))),MOD((YEAR($A213)-YEAR('Recurring Schedule'!$F$44))*12+MONTH($A213)-MONTH('Recurring Schedule'!$F$44),'Recurring Schedule'!$O$44)=0),IF('Recurring Schedule'!$E$44="Weekdays",WEEKDAY($A213,2)&lt;=5,$A213='Recurring Schedule'!$F$44))),39,""))))</f>
        <v/>
      </c>
      <c r="AO213">
        <f>IF('Recurring Schedule'!$C$45="","",IF('Recurring Schedule'!$F$45="","",IF(OR($A213&lt;'Recurring Schedule'!$F$45,$A213&gt;'Recurring Schedule'!$P$45),"",IF(IF('Recurring Schedule'!$N$45&gt;0,MOD($A213-'Recurring Schedule'!$F$45,'Recurring Schedule'!$N$45)=0,IF('Recurring Schedule'!$O$45&gt;0,AND(DAY($A213)=MIN(DAY('Recurring Schedule'!$F$45),DAY(EOMONTH($A213,0))),MOD((YEAR($A213)-YEAR('Recurring Schedule'!$F$45))*12+MONTH($A213)-MONTH('Recurring Schedule'!$F$45),'Recurring Schedule'!$O$45)=0),IF('Recurring Schedule'!$E$45="Weekdays",WEEKDAY($A213,2)&lt;=5,$A213='Recurring Schedule'!$F$45))),40,""))))</f>
        <v/>
      </c>
      <c r="AP213">
        <f>COUNT(B213:AO213)</f>
        <v/>
      </c>
      <c r="AQ213">
        <f>AQ212+AP212</f>
        <v/>
      </c>
      <c r="AS213" t="inlineStr">
        <is>
          <t>R</t>
        </is>
      </c>
      <c r="AT213" t="n">
        <v>217</v>
      </c>
      <c r="AU213">
        <f>'Recurring Log'!C217&amp;""</f>
        <v/>
      </c>
      <c r="AV213">
        <f>'Recurring Log'!D217&amp;""</f>
        <v/>
      </c>
      <c r="AW213">
        <f>IF('Recurring Log'!E217="","",'Recurring Log'!E217)</f>
        <v/>
      </c>
      <c r="AX213">
        <f>IF('Recurring Log'!G217="","",'Recurring Log'!G217)</f>
        <v/>
      </c>
      <c r="AY213">
        <f>IF('Recurring Log'!H217="","",'Recurring Log'!H217)</f>
        <v/>
      </c>
      <c r="AZ213">
        <f>IF(AU213="","",IF('Recurring Log'!J217="","Not Started",'Recurring Log'!J217))</f>
        <v/>
      </c>
      <c r="BA213">
        <f>'Recurring Log'!L217&amp;""</f>
        <v/>
      </c>
      <c r="BB213">
        <f>'Recurring Log'!M217&amp;""</f>
        <v/>
      </c>
      <c r="BC213">
        <f>'Recurring Log'!N217&amp;""</f>
        <v/>
      </c>
      <c r="BD213">
        <f>'Recurring Log'!O217&amp;""</f>
        <v/>
      </c>
      <c r="BE213">
        <f>IF('Recurring Log'!K217="","",'Recurring Log'!K217)</f>
        <v/>
      </c>
      <c r="BF213">
        <f>IFERROR(MATCH(BA213,Setup!$L$6:$L$9,0),5)</f>
        <v/>
      </c>
      <c r="BG213">
        <f>IF(OR(AZ213="Done",AZ213="Cancelled"),1,0)</f>
        <v/>
      </c>
      <c r="BH213">
        <f>IF(AND(AU213&lt;&gt;"",ISNUMBER(AW213)),1,0)</f>
        <v/>
      </c>
      <c r="BI213">
        <f>IF(BH213=0,0,IF(AND(AW213&gt;='Tasks Filter'!$F$3,AW213&lt;='Tasks Filter'!$F$4,OR('Tasks Filter'!$I$3="",ISNUMBER(SEARCH('Tasks Filter'!$I$3,AU213))),OR('Tasks Filter'!$I$4="",BF213=IFERROR(MATCH('Tasks Filter'!$I$4,Setup!$L$6:$L$9,0),0)),OR('Tasks Filter'!$I$5="Both",AND('Tasks Filter'!$I$5="Yes",BB213="✓"),AND('Tasks Filter'!$I$5="No",BB213&lt;&gt;"✓")),OR('Tasks Filter'!$L$3="",AV213='Tasks Filter'!$L$3),OR('Tasks Filter'!$L$4="",AZ213='Tasks Filter'!$L$4),OR('Tasks Filter'!$L$5="",BC213='Tasks Filter'!$L$5),OR('Tasks Filter'!$O$3="",BD213='Tasks Filter'!$O$3),OR('Tasks Filter'!$O$4="Yes",BG213=0)),1,0))</f>
        <v/>
      </c>
      <c r="BJ213">
        <f>IF(BH213=0,"",IF('Tasks Filter'!$F$6="Descending",-1,1)*CHOOSE(MATCH('Tasks Filter'!$F$5,Lists!$G$2:$G$6,0),AW213,BF213,IFERROR(MATCH(AV213,Setup!$F$6:$F$15,0),99),IFERROR(MATCH(BC213,Setup!$H$6:$H$15,0),99),IFERROR(MATCH(AZ213,Setup!$J$6:$J$11,0),99))*1E+9+(AW213-40000)*10000+212)</f>
        <v/>
      </c>
      <c r="BK213">
        <f>IF(BI213=1,BJ213,"")</f>
        <v/>
      </c>
      <c r="BL213">
        <f>IF(AND(BH213=1,BG213=0,N(AW213)&lt;Setup!$D$7),(AW213-40000)*10000+212,"")</f>
        <v/>
      </c>
      <c r="BM213">
        <f>IF(AND(BH213=1,AZ213&lt;&gt;"Cancelled",N(AW213)&gt;=Dashboard!$AB$3,N(AW213)&lt;=Dashboard!$AB$3+6),(AW213-40000)*100000+BF213*10000+212,"")</f>
        <v/>
      </c>
      <c r="BN213">
        <f>IF(AND(BH213=1,AZ213&lt;&gt;"Cancelled"),BF213*10000+212,"")</f>
        <v/>
      </c>
    </row>
    <row r="214">
      <c r="A214">
        <f>Setup!$D$5+212</f>
        <v/>
      </c>
      <c r="B214">
        <f>IF('Recurring Schedule'!$C$6="","",IF('Recurring Schedule'!$F$6="","",IF(OR($A214&lt;'Recurring Schedule'!$F$6,$A214&gt;'Recurring Schedule'!$P$6),"",IF(IF('Recurring Schedule'!$N$6&gt;0,MOD($A214-'Recurring Schedule'!$F$6,'Recurring Schedule'!$N$6)=0,IF('Recurring Schedule'!$O$6&gt;0,AND(DAY($A214)=MIN(DAY('Recurring Schedule'!$F$6),DAY(EOMONTH($A214,0))),MOD((YEAR($A214)-YEAR('Recurring Schedule'!$F$6))*12+MONTH($A214)-MONTH('Recurring Schedule'!$F$6),'Recurring Schedule'!$O$6)=0),IF('Recurring Schedule'!$E$6="Weekdays",WEEKDAY($A214,2)&lt;=5,$A214='Recurring Schedule'!$F$6))),1,""))))</f>
        <v/>
      </c>
      <c r="C214">
        <f>IF('Recurring Schedule'!$C$7="","",IF('Recurring Schedule'!$F$7="","",IF(OR($A214&lt;'Recurring Schedule'!$F$7,$A214&gt;'Recurring Schedule'!$P$7),"",IF(IF('Recurring Schedule'!$N$7&gt;0,MOD($A214-'Recurring Schedule'!$F$7,'Recurring Schedule'!$N$7)=0,IF('Recurring Schedule'!$O$7&gt;0,AND(DAY($A214)=MIN(DAY('Recurring Schedule'!$F$7),DAY(EOMONTH($A214,0))),MOD((YEAR($A214)-YEAR('Recurring Schedule'!$F$7))*12+MONTH($A214)-MONTH('Recurring Schedule'!$F$7),'Recurring Schedule'!$O$7)=0),IF('Recurring Schedule'!$E$7="Weekdays",WEEKDAY($A214,2)&lt;=5,$A214='Recurring Schedule'!$F$7))),2,""))))</f>
        <v/>
      </c>
      <c r="D214">
        <f>IF('Recurring Schedule'!$C$8="","",IF('Recurring Schedule'!$F$8="","",IF(OR($A214&lt;'Recurring Schedule'!$F$8,$A214&gt;'Recurring Schedule'!$P$8),"",IF(IF('Recurring Schedule'!$N$8&gt;0,MOD($A214-'Recurring Schedule'!$F$8,'Recurring Schedule'!$N$8)=0,IF('Recurring Schedule'!$O$8&gt;0,AND(DAY($A214)=MIN(DAY('Recurring Schedule'!$F$8),DAY(EOMONTH($A214,0))),MOD((YEAR($A214)-YEAR('Recurring Schedule'!$F$8))*12+MONTH($A214)-MONTH('Recurring Schedule'!$F$8),'Recurring Schedule'!$O$8)=0),IF('Recurring Schedule'!$E$8="Weekdays",WEEKDAY($A214,2)&lt;=5,$A214='Recurring Schedule'!$F$8))),3,""))))</f>
        <v/>
      </c>
      <c r="E214">
        <f>IF('Recurring Schedule'!$C$9="","",IF('Recurring Schedule'!$F$9="","",IF(OR($A214&lt;'Recurring Schedule'!$F$9,$A214&gt;'Recurring Schedule'!$P$9),"",IF(IF('Recurring Schedule'!$N$9&gt;0,MOD($A214-'Recurring Schedule'!$F$9,'Recurring Schedule'!$N$9)=0,IF('Recurring Schedule'!$O$9&gt;0,AND(DAY($A214)=MIN(DAY('Recurring Schedule'!$F$9),DAY(EOMONTH($A214,0))),MOD((YEAR($A214)-YEAR('Recurring Schedule'!$F$9))*12+MONTH($A214)-MONTH('Recurring Schedule'!$F$9),'Recurring Schedule'!$O$9)=0),IF('Recurring Schedule'!$E$9="Weekdays",WEEKDAY($A214,2)&lt;=5,$A214='Recurring Schedule'!$F$9))),4,""))))</f>
        <v/>
      </c>
      <c r="F214">
        <f>IF('Recurring Schedule'!$C$10="","",IF('Recurring Schedule'!$F$10="","",IF(OR($A214&lt;'Recurring Schedule'!$F$10,$A214&gt;'Recurring Schedule'!$P$10),"",IF(IF('Recurring Schedule'!$N$10&gt;0,MOD($A214-'Recurring Schedule'!$F$10,'Recurring Schedule'!$N$10)=0,IF('Recurring Schedule'!$O$10&gt;0,AND(DAY($A214)=MIN(DAY('Recurring Schedule'!$F$10),DAY(EOMONTH($A214,0))),MOD((YEAR($A214)-YEAR('Recurring Schedule'!$F$10))*12+MONTH($A214)-MONTH('Recurring Schedule'!$F$10),'Recurring Schedule'!$O$10)=0),IF('Recurring Schedule'!$E$10="Weekdays",WEEKDAY($A214,2)&lt;=5,$A214='Recurring Schedule'!$F$10))),5,""))))</f>
        <v/>
      </c>
      <c r="G214">
        <f>IF('Recurring Schedule'!$C$11="","",IF('Recurring Schedule'!$F$11="","",IF(OR($A214&lt;'Recurring Schedule'!$F$11,$A214&gt;'Recurring Schedule'!$P$11),"",IF(IF('Recurring Schedule'!$N$11&gt;0,MOD($A214-'Recurring Schedule'!$F$11,'Recurring Schedule'!$N$11)=0,IF('Recurring Schedule'!$O$11&gt;0,AND(DAY($A214)=MIN(DAY('Recurring Schedule'!$F$11),DAY(EOMONTH($A214,0))),MOD((YEAR($A214)-YEAR('Recurring Schedule'!$F$11))*12+MONTH($A214)-MONTH('Recurring Schedule'!$F$11),'Recurring Schedule'!$O$11)=0),IF('Recurring Schedule'!$E$11="Weekdays",WEEKDAY($A214,2)&lt;=5,$A214='Recurring Schedule'!$F$11))),6,""))))</f>
        <v/>
      </c>
      <c r="H214">
        <f>IF('Recurring Schedule'!$C$12="","",IF('Recurring Schedule'!$F$12="","",IF(OR($A214&lt;'Recurring Schedule'!$F$12,$A214&gt;'Recurring Schedule'!$P$12),"",IF(IF('Recurring Schedule'!$N$12&gt;0,MOD($A214-'Recurring Schedule'!$F$12,'Recurring Schedule'!$N$12)=0,IF('Recurring Schedule'!$O$12&gt;0,AND(DAY($A214)=MIN(DAY('Recurring Schedule'!$F$12),DAY(EOMONTH($A214,0))),MOD((YEAR($A214)-YEAR('Recurring Schedule'!$F$12))*12+MONTH($A214)-MONTH('Recurring Schedule'!$F$12),'Recurring Schedule'!$O$12)=0),IF('Recurring Schedule'!$E$12="Weekdays",WEEKDAY($A214,2)&lt;=5,$A214='Recurring Schedule'!$F$12))),7,""))))</f>
        <v/>
      </c>
      <c r="I214">
        <f>IF('Recurring Schedule'!$C$13="","",IF('Recurring Schedule'!$F$13="","",IF(OR($A214&lt;'Recurring Schedule'!$F$13,$A214&gt;'Recurring Schedule'!$P$13),"",IF(IF('Recurring Schedule'!$N$13&gt;0,MOD($A214-'Recurring Schedule'!$F$13,'Recurring Schedule'!$N$13)=0,IF('Recurring Schedule'!$O$13&gt;0,AND(DAY($A214)=MIN(DAY('Recurring Schedule'!$F$13),DAY(EOMONTH($A214,0))),MOD((YEAR($A214)-YEAR('Recurring Schedule'!$F$13))*12+MONTH($A214)-MONTH('Recurring Schedule'!$F$13),'Recurring Schedule'!$O$13)=0),IF('Recurring Schedule'!$E$13="Weekdays",WEEKDAY($A214,2)&lt;=5,$A214='Recurring Schedule'!$F$13))),8,""))))</f>
        <v/>
      </c>
      <c r="J214">
        <f>IF('Recurring Schedule'!$C$14="","",IF('Recurring Schedule'!$F$14="","",IF(OR($A214&lt;'Recurring Schedule'!$F$14,$A214&gt;'Recurring Schedule'!$P$14),"",IF(IF('Recurring Schedule'!$N$14&gt;0,MOD($A214-'Recurring Schedule'!$F$14,'Recurring Schedule'!$N$14)=0,IF('Recurring Schedule'!$O$14&gt;0,AND(DAY($A214)=MIN(DAY('Recurring Schedule'!$F$14),DAY(EOMONTH($A214,0))),MOD((YEAR($A214)-YEAR('Recurring Schedule'!$F$14))*12+MONTH($A214)-MONTH('Recurring Schedule'!$F$14),'Recurring Schedule'!$O$14)=0),IF('Recurring Schedule'!$E$14="Weekdays",WEEKDAY($A214,2)&lt;=5,$A214='Recurring Schedule'!$F$14))),9,""))))</f>
        <v/>
      </c>
      <c r="K214">
        <f>IF('Recurring Schedule'!$C$15="","",IF('Recurring Schedule'!$F$15="","",IF(OR($A214&lt;'Recurring Schedule'!$F$15,$A214&gt;'Recurring Schedule'!$P$15),"",IF(IF('Recurring Schedule'!$N$15&gt;0,MOD($A214-'Recurring Schedule'!$F$15,'Recurring Schedule'!$N$15)=0,IF('Recurring Schedule'!$O$15&gt;0,AND(DAY($A214)=MIN(DAY('Recurring Schedule'!$F$15),DAY(EOMONTH($A214,0))),MOD((YEAR($A214)-YEAR('Recurring Schedule'!$F$15))*12+MONTH($A214)-MONTH('Recurring Schedule'!$F$15),'Recurring Schedule'!$O$15)=0),IF('Recurring Schedule'!$E$15="Weekdays",WEEKDAY($A214,2)&lt;=5,$A214='Recurring Schedule'!$F$15))),10,""))))</f>
        <v/>
      </c>
      <c r="L214">
        <f>IF('Recurring Schedule'!$C$16="","",IF('Recurring Schedule'!$F$16="","",IF(OR($A214&lt;'Recurring Schedule'!$F$16,$A214&gt;'Recurring Schedule'!$P$16),"",IF(IF('Recurring Schedule'!$N$16&gt;0,MOD($A214-'Recurring Schedule'!$F$16,'Recurring Schedule'!$N$16)=0,IF('Recurring Schedule'!$O$16&gt;0,AND(DAY($A214)=MIN(DAY('Recurring Schedule'!$F$16),DAY(EOMONTH($A214,0))),MOD((YEAR($A214)-YEAR('Recurring Schedule'!$F$16))*12+MONTH($A214)-MONTH('Recurring Schedule'!$F$16),'Recurring Schedule'!$O$16)=0),IF('Recurring Schedule'!$E$16="Weekdays",WEEKDAY($A214,2)&lt;=5,$A214='Recurring Schedule'!$F$16))),11,""))))</f>
        <v/>
      </c>
      <c r="M214">
        <f>IF('Recurring Schedule'!$C$17="","",IF('Recurring Schedule'!$F$17="","",IF(OR($A214&lt;'Recurring Schedule'!$F$17,$A214&gt;'Recurring Schedule'!$P$17),"",IF(IF('Recurring Schedule'!$N$17&gt;0,MOD($A214-'Recurring Schedule'!$F$17,'Recurring Schedule'!$N$17)=0,IF('Recurring Schedule'!$O$17&gt;0,AND(DAY($A214)=MIN(DAY('Recurring Schedule'!$F$17),DAY(EOMONTH($A214,0))),MOD((YEAR($A214)-YEAR('Recurring Schedule'!$F$17))*12+MONTH($A214)-MONTH('Recurring Schedule'!$F$17),'Recurring Schedule'!$O$17)=0),IF('Recurring Schedule'!$E$17="Weekdays",WEEKDAY($A214,2)&lt;=5,$A214='Recurring Schedule'!$F$17))),12,""))))</f>
        <v/>
      </c>
      <c r="N214">
        <f>IF('Recurring Schedule'!$C$18="","",IF('Recurring Schedule'!$F$18="","",IF(OR($A214&lt;'Recurring Schedule'!$F$18,$A214&gt;'Recurring Schedule'!$P$18),"",IF(IF('Recurring Schedule'!$N$18&gt;0,MOD($A214-'Recurring Schedule'!$F$18,'Recurring Schedule'!$N$18)=0,IF('Recurring Schedule'!$O$18&gt;0,AND(DAY($A214)=MIN(DAY('Recurring Schedule'!$F$18),DAY(EOMONTH($A214,0))),MOD((YEAR($A214)-YEAR('Recurring Schedule'!$F$18))*12+MONTH($A214)-MONTH('Recurring Schedule'!$F$18),'Recurring Schedule'!$O$18)=0),IF('Recurring Schedule'!$E$18="Weekdays",WEEKDAY($A214,2)&lt;=5,$A214='Recurring Schedule'!$F$18))),13,""))))</f>
        <v/>
      </c>
      <c r="O214">
        <f>IF('Recurring Schedule'!$C$19="","",IF('Recurring Schedule'!$F$19="","",IF(OR($A214&lt;'Recurring Schedule'!$F$19,$A214&gt;'Recurring Schedule'!$P$19),"",IF(IF('Recurring Schedule'!$N$19&gt;0,MOD($A214-'Recurring Schedule'!$F$19,'Recurring Schedule'!$N$19)=0,IF('Recurring Schedule'!$O$19&gt;0,AND(DAY($A214)=MIN(DAY('Recurring Schedule'!$F$19),DAY(EOMONTH($A214,0))),MOD((YEAR($A214)-YEAR('Recurring Schedule'!$F$19))*12+MONTH($A214)-MONTH('Recurring Schedule'!$F$19),'Recurring Schedule'!$O$19)=0),IF('Recurring Schedule'!$E$19="Weekdays",WEEKDAY($A214,2)&lt;=5,$A214='Recurring Schedule'!$F$19))),14,""))))</f>
        <v/>
      </c>
      <c r="P214">
        <f>IF('Recurring Schedule'!$C$20="","",IF('Recurring Schedule'!$F$20="","",IF(OR($A214&lt;'Recurring Schedule'!$F$20,$A214&gt;'Recurring Schedule'!$P$20),"",IF(IF('Recurring Schedule'!$N$20&gt;0,MOD($A214-'Recurring Schedule'!$F$20,'Recurring Schedule'!$N$20)=0,IF('Recurring Schedule'!$O$20&gt;0,AND(DAY($A214)=MIN(DAY('Recurring Schedule'!$F$20),DAY(EOMONTH($A214,0))),MOD((YEAR($A214)-YEAR('Recurring Schedule'!$F$20))*12+MONTH($A214)-MONTH('Recurring Schedule'!$F$20),'Recurring Schedule'!$O$20)=0),IF('Recurring Schedule'!$E$20="Weekdays",WEEKDAY($A214,2)&lt;=5,$A214='Recurring Schedule'!$F$20))),15,""))))</f>
        <v/>
      </c>
      <c r="Q214">
        <f>IF('Recurring Schedule'!$C$21="","",IF('Recurring Schedule'!$F$21="","",IF(OR($A214&lt;'Recurring Schedule'!$F$21,$A214&gt;'Recurring Schedule'!$P$21),"",IF(IF('Recurring Schedule'!$N$21&gt;0,MOD($A214-'Recurring Schedule'!$F$21,'Recurring Schedule'!$N$21)=0,IF('Recurring Schedule'!$O$21&gt;0,AND(DAY($A214)=MIN(DAY('Recurring Schedule'!$F$21),DAY(EOMONTH($A214,0))),MOD((YEAR($A214)-YEAR('Recurring Schedule'!$F$21))*12+MONTH($A214)-MONTH('Recurring Schedule'!$F$21),'Recurring Schedule'!$O$21)=0),IF('Recurring Schedule'!$E$21="Weekdays",WEEKDAY($A214,2)&lt;=5,$A214='Recurring Schedule'!$F$21))),16,""))))</f>
        <v/>
      </c>
      <c r="R214">
        <f>IF('Recurring Schedule'!$C$22="","",IF('Recurring Schedule'!$F$22="","",IF(OR($A214&lt;'Recurring Schedule'!$F$22,$A214&gt;'Recurring Schedule'!$P$22),"",IF(IF('Recurring Schedule'!$N$22&gt;0,MOD($A214-'Recurring Schedule'!$F$22,'Recurring Schedule'!$N$22)=0,IF('Recurring Schedule'!$O$22&gt;0,AND(DAY($A214)=MIN(DAY('Recurring Schedule'!$F$22),DAY(EOMONTH($A214,0))),MOD((YEAR($A214)-YEAR('Recurring Schedule'!$F$22))*12+MONTH($A214)-MONTH('Recurring Schedule'!$F$22),'Recurring Schedule'!$O$22)=0),IF('Recurring Schedule'!$E$22="Weekdays",WEEKDAY($A214,2)&lt;=5,$A214='Recurring Schedule'!$F$22))),17,""))))</f>
        <v/>
      </c>
      <c r="S214">
        <f>IF('Recurring Schedule'!$C$23="","",IF('Recurring Schedule'!$F$23="","",IF(OR($A214&lt;'Recurring Schedule'!$F$23,$A214&gt;'Recurring Schedule'!$P$23),"",IF(IF('Recurring Schedule'!$N$23&gt;0,MOD($A214-'Recurring Schedule'!$F$23,'Recurring Schedule'!$N$23)=0,IF('Recurring Schedule'!$O$23&gt;0,AND(DAY($A214)=MIN(DAY('Recurring Schedule'!$F$23),DAY(EOMONTH($A214,0))),MOD((YEAR($A214)-YEAR('Recurring Schedule'!$F$23))*12+MONTH($A214)-MONTH('Recurring Schedule'!$F$23),'Recurring Schedule'!$O$23)=0),IF('Recurring Schedule'!$E$23="Weekdays",WEEKDAY($A214,2)&lt;=5,$A214='Recurring Schedule'!$F$23))),18,""))))</f>
        <v/>
      </c>
      <c r="T214">
        <f>IF('Recurring Schedule'!$C$24="","",IF('Recurring Schedule'!$F$24="","",IF(OR($A214&lt;'Recurring Schedule'!$F$24,$A214&gt;'Recurring Schedule'!$P$24),"",IF(IF('Recurring Schedule'!$N$24&gt;0,MOD($A214-'Recurring Schedule'!$F$24,'Recurring Schedule'!$N$24)=0,IF('Recurring Schedule'!$O$24&gt;0,AND(DAY($A214)=MIN(DAY('Recurring Schedule'!$F$24),DAY(EOMONTH($A214,0))),MOD((YEAR($A214)-YEAR('Recurring Schedule'!$F$24))*12+MONTH($A214)-MONTH('Recurring Schedule'!$F$24),'Recurring Schedule'!$O$24)=0),IF('Recurring Schedule'!$E$24="Weekdays",WEEKDAY($A214,2)&lt;=5,$A214='Recurring Schedule'!$F$24))),19,""))))</f>
        <v/>
      </c>
      <c r="U214">
        <f>IF('Recurring Schedule'!$C$25="","",IF('Recurring Schedule'!$F$25="","",IF(OR($A214&lt;'Recurring Schedule'!$F$25,$A214&gt;'Recurring Schedule'!$P$25),"",IF(IF('Recurring Schedule'!$N$25&gt;0,MOD($A214-'Recurring Schedule'!$F$25,'Recurring Schedule'!$N$25)=0,IF('Recurring Schedule'!$O$25&gt;0,AND(DAY($A214)=MIN(DAY('Recurring Schedule'!$F$25),DAY(EOMONTH($A214,0))),MOD((YEAR($A214)-YEAR('Recurring Schedule'!$F$25))*12+MONTH($A214)-MONTH('Recurring Schedule'!$F$25),'Recurring Schedule'!$O$25)=0),IF('Recurring Schedule'!$E$25="Weekdays",WEEKDAY($A214,2)&lt;=5,$A214='Recurring Schedule'!$F$25))),20,""))))</f>
        <v/>
      </c>
      <c r="V214">
        <f>IF('Recurring Schedule'!$C$26="","",IF('Recurring Schedule'!$F$26="","",IF(OR($A214&lt;'Recurring Schedule'!$F$26,$A214&gt;'Recurring Schedule'!$P$26),"",IF(IF('Recurring Schedule'!$N$26&gt;0,MOD($A214-'Recurring Schedule'!$F$26,'Recurring Schedule'!$N$26)=0,IF('Recurring Schedule'!$O$26&gt;0,AND(DAY($A214)=MIN(DAY('Recurring Schedule'!$F$26),DAY(EOMONTH($A214,0))),MOD((YEAR($A214)-YEAR('Recurring Schedule'!$F$26))*12+MONTH($A214)-MONTH('Recurring Schedule'!$F$26),'Recurring Schedule'!$O$26)=0),IF('Recurring Schedule'!$E$26="Weekdays",WEEKDAY($A214,2)&lt;=5,$A214='Recurring Schedule'!$F$26))),21,""))))</f>
        <v/>
      </c>
      <c r="W214">
        <f>IF('Recurring Schedule'!$C$27="","",IF('Recurring Schedule'!$F$27="","",IF(OR($A214&lt;'Recurring Schedule'!$F$27,$A214&gt;'Recurring Schedule'!$P$27),"",IF(IF('Recurring Schedule'!$N$27&gt;0,MOD($A214-'Recurring Schedule'!$F$27,'Recurring Schedule'!$N$27)=0,IF('Recurring Schedule'!$O$27&gt;0,AND(DAY($A214)=MIN(DAY('Recurring Schedule'!$F$27),DAY(EOMONTH($A214,0))),MOD((YEAR($A214)-YEAR('Recurring Schedule'!$F$27))*12+MONTH($A214)-MONTH('Recurring Schedule'!$F$27),'Recurring Schedule'!$O$27)=0),IF('Recurring Schedule'!$E$27="Weekdays",WEEKDAY($A214,2)&lt;=5,$A214='Recurring Schedule'!$F$27))),22,""))))</f>
        <v/>
      </c>
      <c r="X214">
        <f>IF('Recurring Schedule'!$C$28="","",IF('Recurring Schedule'!$F$28="","",IF(OR($A214&lt;'Recurring Schedule'!$F$28,$A214&gt;'Recurring Schedule'!$P$28),"",IF(IF('Recurring Schedule'!$N$28&gt;0,MOD($A214-'Recurring Schedule'!$F$28,'Recurring Schedule'!$N$28)=0,IF('Recurring Schedule'!$O$28&gt;0,AND(DAY($A214)=MIN(DAY('Recurring Schedule'!$F$28),DAY(EOMONTH($A214,0))),MOD((YEAR($A214)-YEAR('Recurring Schedule'!$F$28))*12+MONTH($A214)-MONTH('Recurring Schedule'!$F$28),'Recurring Schedule'!$O$28)=0),IF('Recurring Schedule'!$E$28="Weekdays",WEEKDAY($A214,2)&lt;=5,$A214='Recurring Schedule'!$F$28))),23,""))))</f>
        <v/>
      </c>
      <c r="Y214">
        <f>IF('Recurring Schedule'!$C$29="","",IF('Recurring Schedule'!$F$29="","",IF(OR($A214&lt;'Recurring Schedule'!$F$29,$A214&gt;'Recurring Schedule'!$P$29),"",IF(IF('Recurring Schedule'!$N$29&gt;0,MOD($A214-'Recurring Schedule'!$F$29,'Recurring Schedule'!$N$29)=0,IF('Recurring Schedule'!$O$29&gt;0,AND(DAY($A214)=MIN(DAY('Recurring Schedule'!$F$29),DAY(EOMONTH($A214,0))),MOD((YEAR($A214)-YEAR('Recurring Schedule'!$F$29))*12+MONTH($A214)-MONTH('Recurring Schedule'!$F$29),'Recurring Schedule'!$O$29)=0),IF('Recurring Schedule'!$E$29="Weekdays",WEEKDAY($A214,2)&lt;=5,$A214='Recurring Schedule'!$F$29))),24,""))))</f>
        <v/>
      </c>
      <c r="Z214">
        <f>IF('Recurring Schedule'!$C$30="","",IF('Recurring Schedule'!$F$30="","",IF(OR($A214&lt;'Recurring Schedule'!$F$30,$A214&gt;'Recurring Schedule'!$P$30),"",IF(IF('Recurring Schedule'!$N$30&gt;0,MOD($A214-'Recurring Schedule'!$F$30,'Recurring Schedule'!$N$30)=0,IF('Recurring Schedule'!$O$30&gt;0,AND(DAY($A214)=MIN(DAY('Recurring Schedule'!$F$30),DAY(EOMONTH($A214,0))),MOD((YEAR($A214)-YEAR('Recurring Schedule'!$F$30))*12+MONTH($A214)-MONTH('Recurring Schedule'!$F$30),'Recurring Schedule'!$O$30)=0),IF('Recurring Schedule'!$E$30="Weekdays",WEEKDAY($A214,2)&lt;=5,$A214='Recurring Schedule'!$F$30))),25,""))))</f>
        <v/>
      </c>
      <c r="AA214">
        <f>IF('Recurring Schedule'!$C$31="","",IF('Recurring Schedule'!$F$31="","",IF(OR($A214&lt;'Recurring Schedule'!$F$31,$A214&gt;'Recurring Schedule'!$P$31),"",IF(IF('Recurring Schedule'!$N$31&gt;0,MOD($A214-'Recurring Schedule'!$F$31,'Recurring Schedule'!$N$31)=0,IF('Recurring Schedule'!$O$31&gt;0,AND(DAY($A214)=MIN(DAY('Recurring Schedule'!$F$31),DAY(EOMONTH($A214,0))),MOD((YEAR($A214)-YEAR('Recurring Schedule'!$F$31))*12+MONTH($A214)-MONTH('Recurring Schedule'!$F$31),'Recurring Schedule'!$O$31)=0),IF('Recurring Schedule'!$E$31="Weekdays",WEEKDAY($A214,2)&lt;=5,$A214='Recurring Schedule'!$F$31))),26,""))))</f>
        <v/>
      </c>
      <c r="AB214">
        <f>IF('Recurring Schedule'!$C$32="","",IF('Recurring Schedule'!$F$32="","",IF(OR($A214&lt;'Recurring Schedule'!$F$32,$A214&gt;'Recurring Schedule'!$P$32),"",IF(IF('Recurring Schedule'!$N$32&gt;0,MOD($A214-'Recurring Schedule'!$F$32,'Recurring Schedule'!$N$32)=0,IF('Recurring Schedule'!$O$32&gt;0,AND(DAY($A214)=MIN(DAY('Recurring Schedule'!$F$32),DAY(EOMONTH($A214,0))),MOD((YEAR($A214)-YEAR('Recurring Schedule'!$F$32))*12+MONTH($A214)-MONTH('Recurring Schedule'!$F$32),'Recurring Schedule'!$O$32)=0),IF('Recurring Schedule'!$E$32="Weekdays",WEEKDAY($A214,2)&lt;=5,$A214='Recurring Schedule'!$F$32))),27,""))))</f>
        <v/>
      </c>
      <c r="AC214">
        <f>IF('Recurring Schedule'!$C$33="","",IF('Recurring Schedule'!$F$33="","",IF(OR($A214&lt;'Recurring Schedule'!$F$33,$A214&gt;'Recurring Schedule'!$P$33),"",IF(IF('Recurring Schedule'!$N$33&gt;0,MOD($A214-'Recurring Schedule'!$F$33,'Recurring Schedule'!$N$33)=0,IF('Recurring Schedule'!$O$33&gt;0,AND(DAY($A214)=MIN(DAY('Recurring Schedule'!$F$33),DAY(EOMONTH($A214,0))),MOD((YEAR($A214)-YEAR('Recurring Schedule'!$F$33))*12+MONTH($A214)-MONTH('Recurring Schedule'!$F$33),'Recurring Schedule'!$O$33)=0),IF('Recurring Schedule'!$E$33="Weekdays",WEEKDAY($A214,2)&lt;=5,$A214='Recurring Schedule'!$F$33))),28,""))))</f>
        <v/>
      </c>
      <c r="AD214">
        <f>IF('Recurring Schedule'!$C$34="","",IF('Recurring Schedule'!$F$34="","",IF(OR($A214&lt;'Recurring Schedule'!$F$34,$A214&gt;'Recurring Schedule'!$P$34),"",IF(IF('Recurring Schedule'!$N$34&gt;0,MOD($A214-'Recurring Schedule'!$F$34,'Recurring Schedule'!$N$34)=0,IF('Recurring Schedule'!$O$34&gt;0,AND(DAY($A214)=MIN(DAY('Recurring Schedule'!$F$34),DAY(EOMONTH($A214,0))),MOD((YEAR($A214)-YEAR('Recurring Schedule'!$F$34))*12+MONTH($A214)-MONTH('Recurring Schedule'!$F$34),'Recurring Schedule'!$O$34)=0),IF('Recurring Schedule'!$E$34="Weekdays",WEEKDAY($A214,2)&lt;=5,$A214='Recurring Schedule'!$F$34))),29,""))))</f>
        <v/>
      </c>
      <c r="AE214">
        <f>IF('Recurring Schedule'!$C$35="","",IF('Recurring Schedule'!$F$35="","",IF(OR($A214&lt;'Recurring Schedule'!$F$35,$A214&gt;'Recurring Schedule'!$P$35),"",IF(IF('Recurring Schedule'!$N$35&gt;0,MOD($A214-'Recurring Schedule'!$F$35,'Recurring Schedule'!$N$35)=0,IF('Recurring Schedule'!$O$35&gt;0,AND(DAY($A214)=MIN(DAY('Recurring Schedule'!$F$35),DAY(EOMONTH($A214,0))),MOD((YEAR($A214)-YEAR('Recurring Schedule'!$F$35))*12+MONTH($A214)-MONTH('Recurring Schedule'!$F$35),'Recurring Schedule'!$O$35)=0),IF('Recurring Schedule'!$E$35="Weekdays",WEEKDAY($A214,2)&lt;=5,$A214='Recurring Schedule'!$F$35))),30,""))))</f>
        <v/>
      </c>
      <c r="AF214">
        <f>IF('Recurring Schedule'!$C$36="","",IF('Recurring Schedule'!$F$36="","",IF(OR($A214&lt;'Recurring Schedule'!$F$36,$A214&gt;'Recurring Schedule'!$P$36),"",IF(IF('Recurring Schedule'!$N$36&gt;0,MOD($A214-'Recurring Schedule'!$F$36,'Recurring Schedule'!$N$36)=0,IF('Recurring Schedule'!$O$36&gt;0,AND(DAY($A214)=MIN(DAY('Recurring Schedule'!$F$36),DAY(EOMONTH($A214,0))),MOD((YEAR($A214)-YEAR('Recurring Schedule'!$F$36))*12+MONTH($A214)-MONTH('Recurring Schedule'!$F$36),'Recurring Schedule'!$O$36)=0),IF('Recurring Schedule'!$E$36="Weekdays",WEEKDAY($A214,2)&lt;=5,$A214='Recurring Schedule'!$F$36))),31,""))))</f>
        <v/>
      </c>
      <c r="AG214">
        <f>IF('Recurring Schedule'!$C$37="","",IF('Recurring Schedule'!$F$37="","",IF(OR($A214&lt;'Recurring Schedule'!$F$37,$A214&gt;'Recurring Schedule'!$P$37),"",IF(IF('Recurring Schedule'!$N$37&gt;0,MOD($A214-'Recurring Schedule'!$F$37,'Recurring Schedule'!$N$37)=0,IF('Recurring Schedule'!$O$37&gt;0,AND(DAY($A214)=MIN(DAY('Recurring Schedule'!$F$37),DAY(EOMONTH($A214,0))),MOD((YEAR($A214)-YEAR('Recurring Schedule'!$F$37))*12+MONTH($A214)-MONTH('Recurring Schedule'!$F$37),'Recurring Schedule'!$O$37)=0),IF('Recurring Schedule'!$E$37="Weekdays",WEEKDAY($A214,2)&lt;=5,$A214='Recurring Schedule'!$F$37))),32,""))))</f>
        <v/>
      </c>
      <c r="AH214">
        <f>IF('Recurring Schedule'!$C$38="","",IF('Recurring Schedule'!$F$38="","",IF(OR($A214&lt;'Recurring Schedule'!$F$38,$A214&gt;'Recurring Schedule'!$P$38),"",IF(IF('Recurring Schedule'!$N$38&gt;0,MOD($A214-'Recurring Schedule'!$F$38,'Recurring Schedule'!$N$38)=0,IF('Recurring Schedule'!$O$38&gt;0,AND(DAY($A214)=MIN(DAY('Recurring Schedule'!$F$38),DAY(EOMONTH($A214,0))),MOD((YEAR($A214)-YEAR('Recurring Schedule'!$F$38))*12+MONTH($A214)-MONTH('Recurring Schedule'!$F$38),'Recurring Schedule'!$O$38)=0),IF('Recurring Schedule'!$E$38="Weekdays",WEEKDAY($A214,2)&lt;=5,$A214='Recurring Schedule'!$F$38))),33,""))))</f>
        <v/>
      </c>
      <c r="AI214">
        <f>IF('Recurring Schedule'!$C$39="","",IF('Recurring Schedule'!$F$39="","",IF(OR($A214&lt;'Recurring Schedule'!$F$39,$A214&gt;'Recurring Schedule'!$P$39),"",IF(IF('Recurring Schedule'!$N$39&gt;0,MOD($A214-'Recurring Schedule'!$F$39,'Recurring Schedule'!$N$39)=0,IF('Recurring Schedule'!$O$39&gt;0,AND(DAY($A214)=MIN(DAY('Recurring Schedule'!$F$39),DAY(EOMONTH($A214,0))),MOD((YEAR($A214)-YEAR('Recurring Schedule'!$F$39))*12+MONTH($A214)-MONTH('Recurring Schedule'!$F$39),'Recurring Schedule'!$O$39)=0),IF('Recurring Schedule'!$E$39="Weekdays",WEEKDAY($A214,2)&lt;=5,$A214='Recurring Schedule'!$F$39))),34,""))))</f>
        <v/>
      </c>
      <c r="AJ214">
        <f>IF('Recurring Schedule'!$C$40="","",IF('Recurring Schedule'!$F$40="","",IF(OR($A214&lt;'Recurring Schedule'!$F$40,$A214&gt;'Recurring Schedule'!$P$40),"",IF(IF('Recurring Schedule'!$N$40&gt;0,MOD($A214-'Recurring Schedule'!$F$40,'Recurring Schedule'!$N$40)=0,IF('Recurring Schedule'!$O$40&gt;0,AND(DAY($A214)=MIN(DAY('Recurring Schedule'!$F$40),DAY(EOMONTH($A214,0))),MOD((YEAR($A214)-YEAR('Recurring Schedule'!$F$40))*12+MONTH($A214)-MONTH('Recurring Schedule'!$F$40),'Recurring Schedule'!$O$40)=0),IF('Recurring Schedule'!$E$40="Weekdays",WEEKDAY($A214,2)&lt;=5,$A214='Recurring Schedule'!$F$40))),35,""))))</f>
        <v/>
      </c>
      <c r="AK214">
        <f>IF('Recurring Schedule'!$C$41="","",IF('Recurring Schedule'!$F$41="","",IF(OR($A214&lt;'Recurring Schedule'!$F$41,$A214&gt;'Recurring Schedule'!$P$41),"",IF(IF('Recurring Schedule'!$N$41&gt;0,MOD($A214-'Recurring Schedule'!$F$41,'Recurring Schedule'!$N$41)=0,IF('Recurring Schedule'!$O$41&gt;0,AND(DAY($A214)=MIN(DAY('Recurring Schedule'!$F$41),DAY(EOMONTH($A214,0))),MOD((YEAR($A214)-YEAR('Recurring Schedule'!$F$41))*12+MONTH($A214)-MONTH('Recurring Schedule'!$F$41),'Recurring Schedule'!$O$41)=0),IF('Recurring Schedule'!$E$41="Weekdays",WEEKDAY($A214,2)&lt;=5,$A214='Recurring Schedule'!$F$41))),36,""))))</f>
        <v/>
      </c>
      <c r="AL214">
        <f>IF('Recurring Schedule'!$C$42="","",IF('Recurring Schedule'!$F$42="","",IF(OR($A214&lt;'Recurring Schedule'!$F$42,$A214&gt;'Recurring Schedule'!$P$42),"",IF(IF('Recurring Schedule'!$N$42&gt;0,MOD($A214-'Recurring Schedule'!$F$42,'Recurring Schedule'!$N$42)=0,IF('Recurring Schedule'!$O$42&gt;0,AND(DAY($A214)=MIN(DAY('Recurring Schedule'!$F$42),DAY(EOMONTH($A214,0))),MOD((YEAR($A214)-YEAR('Recurring Schedule'!$F$42))*12+MONTH($A214)-MONTH('Recurring Schedule'!$F$42),'Recurring Schedule'!$O$42)=0),IF('Recurring Schedule'!$E$42="Weekdays",WEEKDAY($A214,2)&lt;=5,$A214='Recurring Schedule'!$F$42))),37,""))))</f>
        <v/>
      </c>
      <c r="AM214">
        <f>IF('Recurring Schedule'!$C$43="","",IF('Recurring Schedule'!$F$43="","",IF(OR($A214&lt;'Recurring Schedule'!$F$43,$A214&gt;'Recurring Schedule'!$P$43),"",IF(IF('Recurring Schedule'!$N$43&gt;0,MOD($A214-'Recurring Schedule'!$F$43,'Recurring Schedule'!$N$43)=0,IF('Recurring Schedule'!$O$43&gt;0,AND(DAY($A214)=MIN(DAY('Recurring Schedule'!$F$43),DAY(EOMONTH($A214,0))),MOD((YEAR($A214)-YEAR('Recurring Schedule'!$F$43))*12+MONTH($A214)-MONTH('Recurring Schedule'!$F$43),'Recurring Schedule'!$O$43)=0),IF('Recurring Schedule'!$E$43="Weekdays",WEEKDAY($A214,2)&lt;=5,$A214='Recurring Schedule'!$F$43))),38,""))))</f>
        <v/>
      </c>
      <c r="AN214">
        <f>IF('Recurring Schedule'!$C$44="","",IF('Recurring Schedule'!$F$44="","",IF(OR($A214&lt;'Recurring Schedule'!$F$44,$A214&gt;'Recurring Schedule'!$P$44),"",IF(IF('Recurring Schedule'!$N$44&gt;0,MOD($A214-'Recurring Schedule'!$F$44,'Recurring Schedule'!$N$44)=0,IF('Recurring Schedule'!$O$44&gt;0,AND(DAY($A214)=MIN(DAY('Recurring Schedule'!$F$44),DAY(EOMONTH($A214,0))),MOD((YEAR($A214)-YEAR('Recurring Schedule'!$F$44))*12+MONTH($A214)-MONTH('Recurring Schedule'!$F$44),'Recurring Schedule'!$O$44)=0),IF('Recurring Schedule'!$E$44="Weekdays",WEEKDAY($A214,2)&lt;=5,$A214='Recurring Schedule'!$F$44))),39,""))))</f>
        <v/>
      </c>
      <c r="AO214">
        <f>IF('Recurring Schedule'!$C$45="","",IF('Recurring Schedule'!$F$45="","",IF(OR($A214&lt;'Recurring Schedule'!$F$45,$A214&gt;'Recurring Schedule'!$P$45),"",IF(IF('Recurring Schedule'!$N$45&gt;0,MOD($A214-'Recurring Schedule'!$F$45,'Recurring Schedule'!$N$45)=0,IF('Recurring Schedule'!$O$45&gt;0,AND(DAY($A214)=MIN(DAY('Recurring Schedule'!$F$45),DAY(EOMONTH($A214,0))),MOD((YEAR($A214)-YEAR('Recurring Schedule'!$F$45))*12+MONTH($A214)-MONTH('Recurring Schedule'!$F$45),'Recurring Schedule'!$O$45)=0),IF('Recurring Schedule'!$E$45="Weekdays",WEEKDAY($A214,2)&lt;=5,$A214='Recurring Schedule'!$F$45))),40,""))))</f>
        <v/>
      </c>
      <c r="AP214">
        <f>COUNT(B214:AO214)</f>
        <v/>
      </c>
      <c r="AQ214">
        <f>AQ213+AP213</f>
        <v/>
      </c>
      <c r="AS214" t="inlineStr">
        <is>
          <t>R</t>
        </is>
      </c>
      <c r="AT214" t="n">
        <v>218</v>
      </c>
      <c r="AU214">
        <f>'Recurring Log'!C218&amp;""</f>
        <v/>
      </c>
      <c r="AV214">
        <f>'Recurring Log'!D218&amp;""</f>
        <v/>
      </c>
      <c r="AW214">
        <f>IF('Recurring Log'!E218="","",'Recurring Log'!E218)</f>
        <v/>
      </c>
      <c r="AX214">
        <f>IF('Recurring Log'!G218="","",'Recurring Log'!G218)</f>
        <v/>
      </c>
      <c r="AY214">
        <f>IF('Recurring Log'!H218="","",'Recurring Log'!H218)</f>
        <v/>
      </c>
      <c r="AZ214">
        <f>IF(AU214="","",IF('Recurring Log'!J218="","Not Started",'Recurring Log'!J218))</f>
        <v/>
      </c>
      <c r="BA214">
        <f>'Recurring Log'!L218&amp;""</f>
        <v/>
      </c>
      <c r="BB214">
        <f>'Recurring Log'!M218&amp;""</f>
        <v/>
      </c>
      <c r="BC214">
        <f>'Recurring Log'!N218&amp;""</f>
        <v/>
      </c>
      <c r="BD214">
        <f>'Recurring Log'!O218&amp;""</f>
        <v/>
      </c>
      <c r="BE214">
        <f>IF('Recurring Log'!K218="","",'Recurring Log'!K218)</f>
        <v/>
      </c>
      <c r="BF214">
        <f>IFERROR(MATCH(BA214,Setup!$L$6:$L$9,0),5)</f>
        <v/>
      </c>
      <c r="BG214">
        <f>IF(OR(AZ214="Done",AZ214="Cancelled"),1,0)</f>
        <v/>
      </c>
      <c r="BH214">
        <f>IF(AND(AU214&lt;&gt;"",ISNUMBER(AW214)),1,0)</f>
        <v/>
      </c>
      <c r="BI214">
        <f>IF(BH214=0,0,IF(AND(AW214&gt;='Tasks Filter'!$F$3,AW214&lt;='Tasks Filter'!$F$4,OR('Tasks Filter'!$I$3="",ISNUMBER(SEARCH('Tasks Filter'!$I$3,AU214))),OR('Tasks Filter'!$I$4="",BF214=IFERROR(MATCH('Tasks Filter'!$I$4,Setup!$L$6:$L$9,0),0)),OR('Tasks Filter'!$I$5="Both",AND('Tasks Filter'!$I$5="Yes",BB214="✓"),AND('Tasks Filter'!$I$5="No",BB214&lt;&gt;"✓")),OR('Tasks Filter'!$L$3="",AV214='Tasks Filter'!$L$3),OR('Tasks Filter'!$L$4="",AZ214='Tasks Filter'!$L$4),OR('Tasks Filter'!$L$5="",BC214='Tasks Filter'!$L$5),OR('Tasks Filter'!$O$3="",BD214='Tasks Filter'!$O$3),OR('Tasks Filter'!$O$4="Yes",BG214=0)),1,0))</f>
        <v/>
      </c>
      <c r="BJ214">
        <f>IF(BH214=0,"",IF('Tasks Filter'!$F$6="Descending",-1,1)*CHOOSE(MATCH('Tasks Filter'!$F$5,Lists!$G$2:$G$6,0),AW214,BF214,IFERROR(MATCH(AV214,Setup!$F$6:$F$15,0),99),IFERROR(MATCH(BC214,Setup!$H$6:$H$15,0),99),IFERROR(MATCH(AZ214,Setup!$J$6:$J$11,0),99))*1E+9+(AW214-40000)*10000+213)</f>
        <v/>
      </c>
      <c r="BK214">
        <f>IF(BI214=1,BJ214,"")</f>
        <v/>
      </c>
      <c r="BL214">
        <f>IF(AND(BH214=1,BG214=0,N(AW214)&lt;Setup!$D$7),(AW214-40000)*10000+213,"")</f>
        <v/>
      </c>
      <c r="BM214">
        <f>IF(AND(BH214=1,AZ214&lt;&gt;"Cancelled",N(AW214)&gt;=Dashboard!$AB$3,N(AW214)&lt;=Dashboard!$AB$3+6),(AW214-40000)*100000+BF214*10000+213,"")</f>
        <v/>
      </c>
      <c r="BN214">
        <f>IF(AND(BH214=1,AZ214&lt;&gt;"Cancelled"),BF214*10000+213,"")</f>
        <v/>
      </c>
    </row>
    <row r="215">
      <c r="A215">
        <f>Setup!$D$5+213</f>
        <v/>
      </c>
      <c r="B215">
        <f>IF('Recurring Schedule'!$C$6="","",IF('Recurring Schedule'!$F$6="","",IF(OR($A215&lt;'Recurring Schedule'!$F$6,$A215&gt;'Recurring Schedule'!$P$6),"",IF(IF('Recurring Schedule'!$N$6&gt;0,MOD($A215-'Recurring Schedule'!$F$6,'Recurring Schedule'!$N$6)=0,IF('Recurring Schedule'!$O$6&gt;0,AND(DAY($A215)=MIN(DAY('Recurring Schedule'!$F$6),DAY(EOMONTH($A215,0))),MOD((YEAR($A215)-YEAR('Recurring Schedule'!$F$6))*12+MONTH($A215)-MONTH('Recurring Schedule'!$F$6),'Recurring Schedule'!$O$6)=0),IF('Recurring Schedule'!$E$6="Weekdays",WEEKDAY($A215,2)&lt;=5,$A215='Recurring Schedule'!$F$6))),1,""))))</f>
        <v/>
      </c>
      <c r="C215">
        <f>IF('Recurring Schedule'!$C$7="","",IF('Recurring Schedule'!$F$7="","",IF(OR($A215&lt;'Recurring Schedule'!$F$7,$A215&gt;'Recurring Schedule'!$P$7),"",IF(IF('Recurring Schedule'!$N$7&gt;0,MOD($A215-'Recurring Schedule'!$F$7,'Recurring Schedule'!$N$7)=0,IF('Recurring Schedule'!$O$7&gt;0,AND(DAY($A215)=MIN(DAY('Recurring Schedule'!$F$7),DAY(EOMONTH($A215,0))),MOD((YEAR($A215)-YEAR('Recurring Schedule'!$F$7))*12+MONTH($A215)-MONTH('Recurring Schedule'!$F$7),'Recurring Schedule'!$O$7)=0),IF('Recurring Schedule'!$E$7="Weekdays",WEEKDAY($A215,2)&lt;=5,$A215='Recurring Schedule'!$F$7))),2,""))))</f>
        <v/>
      </c>
      <c r="D215">
        <f>IF('Recurring Schedule'!$C$8="","",IF('Recurring Schedule'!$F$8="","",IF(OR($A215&lt;'Recurring Schedule'!$F$8,$A215&gt;'Recurring Schedule'!$P$8),"",IF(IF('Recurring Schedule'!$N$8&gt;0,MOD($A215-'Recurring Schedule'!$F$8,'Recurring Schedule'!$N$8)=0,IF('Recurring Schedule'!$O$8&gt;0,AND(DAY($A215)=MIN(DAY('Recurring Schedule'!$F$8),DAY(EOMONTH($A215,0))),MOD((YEAR($A215)-YEAR('Recurring Schedule'!$F$8))*12+MONTH($A215)-MONTH('Recurring Schedule'!$F$8),'Recurring Schedule'!$O$8)=0),IF('Recurring Schedule'!$E$8="Weekdays",WEEKDAY($A215,2)&lt;=5,$A215='Recurring Schedule'!$F$8))),3,""))))</f>
        <v/>
      </c>
      <c r="E215">
        <f>IF('Recurring Schedule'!$C$9="","",IF('Recurring Schedule'!$F$9="","",IF(OR($A215&lt;'Recurring Schedule'!$F$9,$A215&gt;'Recurring Schedule'!$P$9),"",IF(IF('Recurring Schedule'!$N$9&gt;0,MOD($A215-'Recurring Schedule'!$F$9,'Recurring Schedule'!$N$9)=0,IF('Recurring Schedule'!$O$9&gt;0,AND(DAY($A215)=MIN(DAY('Recurring Schedule'!$F$9),DAY(EOMONTH($A215,0))),MOD((YEAR($A215)-YEAR('Recurring Schedule'!$F$9))*12+MONTH($A215)-MONTH('Recurring Schedule'!$F$9),'Recurring Schedule'!$O$9)=0),IF('Recurring Schedule'!$E$9="Weekdays",WEEKDAY($A215,2)&lt;=5,$A215='Recurring Schedule'!$F$9))),4,""))))</f>
        <v/>
      </c>
      <c r="F215">
        <f>IF('Recurring Schedule'!$C$10="","",IF('Recurring Schedule'!$F$10="","",IF(OR($A215&lt;'Recurring Schedule'!$F$10,$A215&gt;'Recurring Schedule'!$P$10),"",IF(IF('Recurring Schedule'!$N$10&gt;0,MOD($A215-'Recurring Schedule'!$F$10,'Recurring Schedule'!$N$10)=0,IF('Recurring Schedule'!$O$10&gt;0,AND(DAY($A215)=MIN(DAY('Recurring Schedule'!$F$10),DAY(EOMONTH($A215,0))),MOD((YEAR($A215)-YEAR('Recurring Schedule'!$F$10))*12+MONTH($A215)-MONTH('Recurring Schedule'!$F$10),'Recurring Schedule'!$O$10)=0),IF('Recurring Schedule'!$E$10="Weekdays",WEEKDAY($A215,2)&lt;=5,$A215='Recurring Schedule'!$F$10))),5,""))))</f>
        <v/>
      </c>
      <c r="G215">
        <f>IF('Recurring Schedule'!$C$11="","",IF('Recurring Schedule'!$F$11="","",IF(OR($A215&lt;'Recurring Schedule'!$F$11,$A215&gt;'Recurring Schedule'!$P$11),"",IF(IF('Recurring Schedule'!$N$11&gt;0,MOD($A215-'Recurring Schedule'!$F$11,'Recurring Schedule'!$N$11)=0,IF('Recurring Schedule'!$O$11&gt;0,AND(DAY($A215)=MIN(DAY('Recurring Schedule'!$F$11),DAY(EOMONTH($A215,0))),MOD((YEAR($A215)-YEAR('Recurring Schedule'!$F$11))*12+MONTH($A215)-MONTH('Recurring Schedule'!$F$11),'Recurring Schedule'!$O$11)=0),IF('Recurring Schedule'!$E$11="Weekdays",WEEKDAY($A215,2)&lt;=5,$A215='Recurring Schedule'!$F$11))),6,""))))</f>
        <v/>
      </c>
      <c r="H215">
        <f>IF('Recurring Schedule'!$C$12="","",IF('Recurring Schedule'!$F$12="","",IF(OR($A215&lt;'Recurring Schedule'!$F$12,$A215&gt;'Recurring Schedule'!$P$12),"",IF(IF('Recurring Schedule'!$N$12&gt;0,MOD($A215-'Recurring Schedule'!$F$12,'Recurring Schedule'!$N$12)=0,IF('Recurring Schedule'!$O$12&gt;0,AND(DAY($A215)=MIN(DAY('Recurring Schedule'!$F$12),DAY(EOMONTH($A215,0))),MOD((YEAR($A215)-YEAR('Recurring Schedule'!$F$12))*12+MONTH($A215)-MONTH('Recurring Schedule'!$F$12),'Recurring Schedule'!$O$12)=0),IF('Recurring Schedule'!$E$12="Weekdays",WEEKDAY($A215,2)&lt;=5,$A215='Recurring Schedule'!$F$12))),7,""))))</f>
        <v/>
      </c>
      <c r="I215">
        <f>IF('Recurring Schedule'!$C$13="","",IF('Recurring Schedule'!$F$13="","",IF(OR($A215&lt;'Recurring Schedule'!$F$13,$A215&gt;'Recurring Schedule'!$P$13),"",IF(IF('Recurring Schedule'!$N$13&gt;0,MOD($A215-'Recurring Schedule'!$F$13,'Recurring Schedule'!$N$13)=0,IF('Recurring Schedule'!$O$13&gt;0,AND(DAY($A215)=MIN(DAY('Recurring Schedule'!$F$13),DAY(EOMONTH($A215,0))),MOD((YEAR($A215)-YEAR('Recurring Schedule'!$F$13))*12+MONTH($A215)-MONTH('Recurring Schedule'!$F$13),'Recurring Schedule'!$O$13)=0),IF('Recurring Schedule'!$E$13="Weekdays",WEEKDAY($A215,2)&lt;=5,$A215='Recurring Schedule'!$F$13))),8,""))))</f>
        <v/>
      </c>
      <c r="J215">
        <f>IF('Recurring Schedule'!$C$14="","",IF('Recurring Schedule'!$F$14="","",IF(OR($A215&lt;'Recurring Schedule'!$F$14,$A215&gt;'Recurring Schedule'!$P$14),"",IF(IF('Recurring Schedule'!$N$14&gt;0,MOD($A215-'Recurring Schedule'!$F$14,'Recurring Schedule'!$N$14)=0,IF('Recurring Schedule'!$O$14&gt;0,AND(DAY($A215)=MIN(DAY('Recurring Schedule'!$F$14),DAY(EOMONTH($A215,0))),MOD((YEAR($A215)-YEAR('Recurring Schedule'!$F$14))*12+MONTH($A215)-MONTH('Recurring Schedule'!$F$14),'Recurring Schedule'!$O$14)=0),IF('Recurring Schedule'!$E$14="Weekdays",WEEKDAY($A215,2)&lt;=5,$A215='Recurring Schedule'!$F$14))),9,""))))</f>
        <v/>
      </c>
      <c r="K215">
        <f>IF('Recurring Schedule'!$C$15="","",IF('Recurring Schedule'!$F$15="","",IF(OR($A215&lt;'Recurring Schedule'!$F$15,$A215&gt;'Recurring Schedule'!$P$15),"",IF(IF('Recurring Schedule'!$N$15&gt;0,MOD($A215-'Recurring Schedule'!$F$15,'Recurring Schedule'!$N$15)=0,IF('Recurring Schedule'!$O$15&gt;0,AND(DAY($A215)=MIN(DAY('Recurring Schedule'!$F$15),DAY(EOMONTH($A215,0))),MOD((YEAR($A215)-YEAR('Recurring Schedule'!$F$15))*12+MONTH($A215)-MONTH('Recurring Schedule'!$F$15),'Recurring Schedule'!$O$15)=0),IF('Recurring Schedule'!$E$15="Weekdays",WEEKDAY($A215,2)&lt;=5,$A215='Recurring Schedule'!$F$15))),10,""))))</f>
        <v/>
      </c>
      <c r="L215">
        <f>IF('Recurring Schedule'!$C$16="","",IF('Recurring Schedule'!$F$16="","",IF(OR($A215&lt;'Recurring Schedule'!$F$16,$A215&gt;'Recurring Schedule'!$P$16),"",IF(IF('Recurring Schedule'!$N$16&gt;0,MOD($A215-'Recurring Schedule'!$F$16,'Recurring Schedule'!$N$16)=0,IF('Recurring Schedule'!$O$16&gt;0,AND(DAY($A215)=MIN(DAY('Recurring Schedule'!$F$16),DAY(EOMONTH($A215,0))),MOD((YEAR($A215)-YEAR('Recurring Schedule'!$F$16))*12+MONTH($A215)-MONTH('Recurring Schedule'!$F$16),'Recurring Schedule'!$O$16)=0),IF('Recurring Schedule'!$E$16="Weekdays",WEEKDAY($A215,2)&lt;=5,$A215='Recurring Schedule'!$F$16))),11,""))))</f>
        <v/>
      </c>
      <c r="M215">
        <f>IF('Recurring Schedule'!$C$17="","",IF('Recurring Schedule'!$F$17="","",IF(OR($A215&lt;'Recurring Schedule'!$F$17,$A215&gt;'Recurring Schedule'!$P$17),"",IF(IF('Recurring Schedule'!$N$17&gt;0,MOD($A215-'Recurring Schedule'!$F$17,'Recurring Schedule'!$N$17)=0,IF('Recurring Schedule'!$O$17&gt;0,AND(DAY($A215)=MIN(DAY('Recurring Schedule'!$F$17),DAY(EOMONTH($A215,0))),MOD((YEAR($A215)-YEAR('Recurring Schedule'!$F$17))*12+MONTH($A215)-MONTH('Recurring Schedule'!$F$17),'Recurring Schedule'!$O$17)=0),IF('Recurring Schedule'!$E$17="Weekdays",WEEKDAY($A215,2)&lt;=5,$A215='Recurring Schedule'!$F$17))),12,""))))</f>
        <v/>
      </c>
      <c r="N215">
        <f>IF('Recurring Schedule'!$C$18="","",IF('Recurring Schedule'!$F$18="","",IF(OR($A215&lt;'Recurring Schedule'!$F$18,$A215&gt;'Recurring Schedule'!$P$18),"",IF(IF('Recurring Schedule'!$N$18&gt;0,MOD($A215-'Recurring Schedule'!$F$18,'Recurring Schedule'!$N$18)=0,IF('Recurring Schedule'!$O$18&gt;0,AND(DAY($A215)=MIN(DAY('Recurring Schedule'!$F$18),DAY(EOMONTH($A215,0))),MOD((YEAR($A215)-YEAR('Recurring Schedule'!$F$18))*12+MONTH($A215)-MONTH('Recurring Schedule'!$F$18),'Recurring Schedule'!$O$18)=0),IF('Recurring Schedule'!$E$18="Weekdays",WEEKDAY($A215,2)&lt;=5,$A215='Recurring Schedule'!$F$18))),13,""))))</f>
        <v/>
      </c>
      <c r="O215">
        <f>IF('Recurring Schedule'!$C$19="","",IF('Recurring Schedule'!$F$19="","",IF(OR($A215&lt;'Recurring Schedule'!$F$19,$A215&gt;'Recurring Schedule'!$P$19),"",IF(IF('Recurring Schedule'!$N$19&gt;0,MOD($A215-'Recurring Schedule'!$F$19,'Recurring Schedule'!$N$19)=0,IF('Recurring Schedule'!$O$19&gt;0,AND(DAY($A215)=MIN(DAY('Recurring Schedule'!$F$19),DAY(EOMONTH($A215,0))),MOD((YEAR($A215)-YEAR('Recurring Schedule'!$F$19))*12+MONTH($A215)-MONTH('Recurring Schedule'!$F$19),'Recurring Schedule'!$O$19)=0),IF('Recurring Schedule'!$E$19="Weekdays",WEEKDAY($A215,2)&lt;=5,$A215='Recurring Schedule'!$F$19))),14,""))))</f>
        <v/>
      </c>
      <c r="P215">
        <f>IF('Recurring Schedule'!$C$20="","",IF('Recurring Schedule'!$F$20="","",IF(OR($A215&lt;'Recurring Schedule'!$F$20,$A215&gt;'Recurring Schedule'!$P$20),"",IF(IF('Recurring Schedule'!$N$20&gt;0,MOD($A215-'Recurring Schedule'!$F$20,'Recurring Schedule'!$N$20)=0,IF('Recurring Schedule'!$O$20&gt;0,AND(DAY($A215)=MIN(DAY('Recurring Schedule'!$F$20),DAY(EOMONTH($A215,0))),MOD((YEAR($A215)-YEAR('Recurring Schedule'!$F$20))*12+MONTH($A215)-MONTH('Recurring Schedule'!$F$20),'Recurring Schedule'!$O$20)=0),IF('Recurring Schedule'!$E$20="Weekdays",WEEKDAY($A215,2)&lt;=5,$A215='Recurring Schedule'!$F$20))),15,""))))</f>
        <v/>
      </c>
      <c r="Q215">
        <f>IF('Recurring Schedule'!$C$21="","",IF('Recurring Schedule'!$F$21="","",IF(OR($A215&lt;'Recurring Schedule'!$F$21,$A215&gt;'Recurring Schedule'!$P$21),"",IF(IF('Recurring Schedule'!$N$21&gt;0,MOD($A215-'Recurring Schedule'!$F$21,'Recurring Schedule'!$N$21)=0,IF('Recurring Schedule'!$O$21&gt;0,AND(DAY($A215)=MIN(DAY('Recurring Schedule'!$F$21),DAY(EOMONTH($A215,0))),MOD((YEAR($A215)-YEAR('Recurring Schedule'!$F$21))*12+MONTH($A215)-MONTH('Recurring Schedule'!$F$21),'Recurring Schedule'!$O$21)=0),IF('Recurring Schedule'!$E$21="Weekdays",WEEKDAY($A215,2)&lt;=5,$A215='Recurring Schedule'!$F$21))),16,""))))</f>
        <v/>
      </c>
      <c r="R215">
        <f>IF('Recurring Schedule'!$C$22="","",IF('Recurring Schedule'!$F$22="","",IF(OR($A215&lt;'Recurring Schedule'!$F$22,$A215&gt;'Recurring Schedule'!$P$22),"",IF(IF('Recurring Schedule'!$N$22&gt;0,MOD($A215-'Recurring Schedule'!$F$22,'Recurring Schedule'!$N$22)=0,IF('Recurring Schedule'!$O$22&gt;0,AND(DAY($A215)=MIN(DAY('Recurring Schedule'!$F$22),DAY(EOMONTH($A215,0))),MOD((YEAR($A215)-YEAR('Recurring Schedule'!$F$22))*12+MONTH($A215)-MONTH('Recurring Schedule'!$F$22),'Recurring Schedule'!$O$22)=0),IF('Recurring Schedule'!$E$22="Weekdays",WEEKDAY($A215,2)&lt;=5,$A215='Recurring Schedule'!$F$22))),17,""))))</f>
        <v/>
      </c>
      <c r="S215">
        <f>IF('Recurring Schedule'!$C$23="","",IF('Recurring Schedule'!$F$23="","",IF(OR($A215&lt;'Recurring Schedule'!$F$23,$A215&gt;'Recurring Schedule'!$P$23),"",IF(IF('Recurring Schedule'!$N$23&gt;0,MOD($A215-'Recurring Schedule'!$F$23,'Recurring Schedule'!$N$23)=0,IF('Recurring Schedule'!$O$23&gt;0,AND(DAY($A215)=MIN(DAY('Recurring Schedule'!$F$23),DAY(EOMONTH($A215,0))),MOD((YEAR($A215)-YEAR('Recurring Schedule'!$F$23))*12+MONTH($A215)-MONTH('Recurring Schedule'!$F$23),'Recurring Schedule'!$O$23)=0),IF('Recurring Schedule'!$E$23="Weekdays",WEEKDAY($A215,2)&lt;=5,$A215='Recurring Schedule'!$F$23))),18,""))))</f>
        <v/>
      </c>
      <c r="T215">
        <f>IF('Recurring Schedule'!$C$24="","",IF('Recurring Schedule'!$F$24="","",IF(OR($A215&lt;'Recurring Schedule'!$F$24,$A215&gt;'Recurring Schedule'!$P$24),"",IF(IF('Recurring Schedule'!$N$24&gt;0,MOD($A215-'Recurring Schedule'!$F$24,'Recurring Schedule'!$N$24)=0,IF('Recurring Schedule'!$O$24&gt;0,AND(DAY($A215)=MIN(DAY('Recurring Schedule'!$F$24),DAY(EOMONTH($A215,0))),MOD((YEAR($A215)-YEAR('Recurring Schedule'!$F$24))*12+MONTH($A215)-MONTH('Recurring Schedule'!$F$24),'Recurring Schedule'!$O$24)=0),IF('Recurring Schedule'!$E$24="Weekdays",WEEKDAY($A215,2)&lt;=5,$A215='Recurring Schedule'!$F$24))),19,""))))</f>
        <v/>
      </c>
      <c r="U215">
        <f>IF('Recurring Schedule'!$C$25="","",IF('Recurring Schedule'!$F$25="","",IF(OR($A215&lt;'Recurring Schedule'!$F$25,$A215&gt;'Recurring Schedule'!$P$25),"",IF(IF('Recurring Schedule'!$N$25&gt;0,MOD($A215-'Recurring Schedule'!$F$25,'Recurring Schedule'!$N$25)=0,IF('Recurring Schedule'!$O$25&gt;0,AND(DAY($A215)=MIN(DAY('Recurring Schedule'!$F$25),DAY(EOMONTH($A215,0))),MOD((YEAR($A215)-YEAR('Recurring Schedule'!$F$25))*12+MONTH($A215)-MONTH('Recurring Schedule'!$F$25),'Recurring Schedule'!$O$25)=0),IF('Recurring Schedule'!$E$25="Weekdays",WEEKDAY($A215,2)&lt;=5,$A215='Recurring Schedule'!$F$25))),20,""))))</f>
        <v/>
      </c>
      <c r="V215">
        <f>IF('Recurring Schedule'!$C$26="","",IF('Recurring Schedule'!$F$26="","",IF(OR($A215&lt;'Recurring Schedule'!$F$26,$A215&gt;'Recurring Schedule'!$P$26),"",IF(IF('Recurring Schedule'!$N$26&gt;0,MOD($A215-'Recurring Schedule'!$F$26,'Recurring Schedule'!$N$26)=0,IF('Recurring Schedule'!$O$26&gt;0,AND(DAY($A215)=MIN(DAY('Recurring Schedule'!$F$26),DAY(EOMONTH($A215,0))),MOD((YEAR($A215)-YEAR('Recurring Schedule'!$F$26))*12+MONTH($A215)-MONTH('Recurring Schedule'!$F$26),'Recurring Schedule'!$O$26)=0),IF('Recurring Schedule'!$E$26="Weekdays",WEEKDAY($A215,2)&lt;=5,$A215='Recurring Schedule'!$F$26))),21,""))))</f>
        <v/>
      </c>
      <c r="W215">
        <f>IF('Recurring Schedule'!$C$27="","",IF('Recurring Schedule'!$F$27="","",IF(OR($A215&lt;'Recurring Schedule'!$F$27,$A215&gt;'Recurring Schedule'!$P$27),"",IF(IF('Recurring Schedule'!$N$27&gt;0,MOD($A215-'Recurring Schedule'!$F$27,'Recurring Schedule'!$N$27)=0,IF('Recurring Schedule'!$O$27&gt;0,AND(DAY($A215)=MIN(DAY('Recurring Schedule'!$F$27),DAY(EOMONTH($A215,0))),MOD((YEAR($A215)-YEAR('Recurring Schedule'!$F$27))*12+MONTH($A215)-MONTH('Recurring Schedule'!$F$27),'Recurring Schedule'!$O$27)=0),IF('Recurring Schedule'!$E$27="Weekdays",WEEKDAY($A215,2)&lt;=5,$A215='Recurring Schedule'!$F$27))),22,""))))</f>
        <v/>
      </c>
      <c r="X215">
        <f>IF('Recurring Schedule'!$C$28="","",IF('Recurring Schedule'!$F$28="","",IF(OR($A215&lt;'Recurring Schedule'!$F$28,$A215&gt;'Recurring Schedule'!$P$28),"",IF(IF('Recurring Schedule'!$N$28&gt;0,MOD($A215-'Recurring Schedule'!$F$28,'Recurring Schedule'!$N$28)=0,IF('Recurring Schedule'!$O$28&gt;0,AND(DAY($A215)=MIN(DAY('Recurring Schedule'!$F$28),DAY(EOMONTH($A215,0))),MOD((YEAR($A215)-YEAR('Recurring Schedule'!$F$28))*12+MONTH($A215)-MONTH('Recurring Schedule'!$F$28),'Recurring Schedule'!$O$28)=0),IF('Recurring Schedule'!$E$28="Weekdays",WEEKDAY($A215,2)&lt;=5,$A215='Recurring Schedule'!$F$28))),23,""))))</f>
        <v/>
      </c>
      <c r="Y215">
        <f>IF('Recurring Schedule'!$C$29="","",IF('Recurring Schedule'!$F$29="","",IF(OR($A215&lt;'Recurring Schedule'!$F$29,$A215&gt;'Recurring Schedule'!$P$29),"",IF(IF('Recurring Schedule'!$N$29&gt;0,MOD($A215-'Recurring Schedule'!$F$29,'Recurring Schedule'!$N$29)=0,IF('Recurring Schedule'!$O$29&gt;0,AND(DAY($A215)=MIN(DAY('Recurring Schedule'!$F$29),DAY(EOMONTH($A215,0))),MOD((YEAR($A215)-YEAR('Recurring Schedule'!$F$29))*12+MONTH($A215)-MONTH('Recurring Schedule'!$F$29),'Recurring Schedule'!$O$29)=0),IF('Recurring Schedule'!$E$29="Weekdays",WEEKDAY($A215,2)&lt;=5,$A215='Recurring Schedule'!$F$29))),24,""))))</f>
        <v/>
      </c>
      <c r="Z215">
        <f>IF('Recurring Schedule'!$C$30="","",IF('Recurring Schedule'!$F$30="","",IF(OR($A215&lt;'Recurring Schedule'!$F$30,$A215&gt;'Recurring Schedule'!$P$30),"",IF(IF('Recurring Schedule'!$N$30&gt;0,MOD($A215-'Recurring Schedule'!$F$30,'Recurring Schedule'!$N$30)=0,IF('Recurring Schedule'!$O$30&gt;0,AND(DAY($A215)=MIN(DAY('Recurring Schedule'!$F$30),DAY(EOMONTH($A215,0))),MOD((YEAR($A215)-YEAR('Recurring Schedule'!$F$30))*12+MONTH($A215)-MONTH('Recurring Schedule'!$F$30),'Recurring Schedule'!$O$30)=0),IF('Recurring Schedule'!$E$30="Weekdays",WEEKDAY($A215,2)&lt;=5,$A215='Recurring Schedule'!$F$30))),25,""))))</f>
        <v/>
      </c>
      <c r="AA215">
        <f>IF('Recurring Schedule'!$C$31="","",IF('Recurring Schedule'!$F$31="","",IF(OR($A215&lt;'Recurring Schedule'!$F$31,$A215&gt;'Recurring Schedule'!$P$31),"",IF(IF('Recurring Schedule'!$N$31&gt;0,MOD($A215-'Recurring Schedule'!$F$31,'Recurring Schedule'!$N$31)=0,IF('Recurring Schedule'!$O$31&gt;0,AND(DAY($A215)=MIN(DAY('Recurring Schedule'!$F$31),DAY(EOMONTH($A215,0))),MOD((YEAR($A215)-YEAR('Recurring Schedule'!$F$31))*12+MONTH($A215)-MONTH('Recurring Schedule'!$F$31),'Recurring Schedule'!$O$31)=0),IF('Recurring Schedule'!$E$31="Weekdays",WEEKDAY($A215,2)&lt;=5,$A215='Recurring Schedule'!$F$31))),26,""))))</f>
        <v/>
      </c>
      <c r="AB215">
        <f>IF('Recurring Schedule'!$C$32="","",IF('Recurring Schedule'!$F$32="","",IF(OR($A215&lt;'Recurring Schedule'!$F$32,$A215&gt;'Recurring Schedule'!$P$32),"",IF(IF('Recurring Schedule'!$N$32&gt;0,MOD($A215-'Recurring Schedule'!$F$32,'Recurring Schedule'!$N$32)=0,IF('Recurring Schedule'!$O$32&gt;0,AND(DAY($A215)=MIN(DAY('Recurring Schedule'!$F$32),DAY(EOMONTH($A215,0))),MOD((YEAR($A215)-YEAR('Recurring Schedule'!$F$32))*12+MONTH($A215)-MONTH('Recurring Schedule'!$F$32),'Recurring Schedule'!$O$32)=0),IF('Recurring Schedule'!$E$32="Weekdays",WEEKDAY($A215,2)&lt;=5,$A215='Recurring Schedule'!$F$32))),27,""))))</f>
        <v/>
      </c>
      <c r="AC215">
        <f>IF('Recurring Schedule'!$C$33="","",IF('Recurring Schedule'!$F$33="","",IF(OR($A215&lt;'Recurring Schedule'!$F$33,$A215&gt;'Recurring Schedule'!$P$33),"",IF(IF('Recurring Schedule'!$N$33&gt;0,MOD($A215-'Recurring Schedule'!$F$33,'Recurring Schedule'!$N$33)=0,IF('Recurring Schedule'!$O$33&gt;0,AND(DAY($A215)=MIN(DAY('Recurring Schedule'!$F$33),DAY(EOMONTH($A215,0))),MOD((YEAR($A215)-YEAR('Recurring Schedule'!$F$33))*12+MONTH($A215)-MONTH('Recurring Schedule'!$F$33),'Recurring Schedule'!$O$33)=0),IF('Recurring Schedule'!$E$33="Weekdays",WEEKDAY($A215,2)&lt;=5,$A215='Recurring Schedule'!$F$33))),28,""))))</f>
        <v/>
      </c>
      <c r="AD215">
        <f>IF('Recurring Schedule'!$C$34="","",IF('Recurring Schedule'!$F$34="","",IF(OR($A215&lt;'Recurring Schedule'!$F$34,$A215&gt;'Recurring Schedule'!$P$34),"",IF(IF('Recurring Schedule'!$N$34&gt;0,MOD($A215-'Recurring Schedule'!$F$34,'Recurring Schedule'!$N$34)=0,IF('Recurring Schedule'!$O$34&gt;0,AND(DAY($A215)=MIN(DAY('Recurring Schedule'!$F$34),DAY(EOMONTH($A215,0))),MOD((YEAR($A215)-YEAR('Recurring Schedule'!$F$34))*12+MONTH($A215)-MONTH('Recurring Schedule'!$F$34),'Recurring Schedule'!$O$34)=0),IF('Recurring Schedule'!$E$34="Weekdays",WEEKDAY($A215,2)&lt;=5,$A215='Recurring Schedule'!$F$34))),29,""))))</f>
        <v/>
      </c>
      <c r="AE215">
        <f>IF('Recurring Schedule'!$C$35="","",IF('Recurring Schedule'!$F$35="","",IF(OR($A215&lt;'Recurring Schedule'!$F$35,$A215&gt;'Recurring Schedule'!$P$35),"",IF(IF('Recurring Schedule'!$N$35&gt;0,MOD($A215-'Recurring Schedule'!$F$35,'Recurring Schedule'!$N$35)=0,IF('Recurring Schedule'!$O$35&gt;0,AND(DAY($A215)=MIN(DAY('Recurring Schedule'!$F$35),DAY(EOMONTH($A215,0))),MOD((YEAR($A215)-YEAR('Recurring Schedule'!$F$35))*12+MONTH($A215)-MONTH('Recurring Schedule'!$F$35),'Recurring Schedule'!$O$35)=0),IF('Recurring Schedule'!$E$35="Weekdays",WEEKDAY($A215,2)&lt;=5,$A215='Recurring Schedule'!$F$35))),30,""))))</f>
        <v/>
      </c>
      <c r="AF215">
        <f>IF('Recurring Schedule'!$C$36="","",IF('Recurring Schedule'!$F$36="","",IF(OR($A215&lt;'Recurring Schedule'!$F$36,$A215&gt;'Recurring Schedule'!$P$36),"",IF(IF('Recurring Schedule'!$N$36&gt;0,MOD($A215-'Recurring Schedule'!$F$36,'Recurring Schedule'!$N$36)=0,IF('Recurring Schedule'!$O$36&gt;0,AND(DAY($A215)=MIN(DAY('Recurring Schedule'!$F$36),DAY(EOMONTH($A215,0))),MOD((YEAR($A215)-YEAR('Recurring Schedule'!$F$36))*12+MONTH($A215)-MONTH('Recurring Schedule'!$F$36),'Recurring Schedule'!$O$36)=0),IF('Recurring Schedule'!$E$36="Weekdays",WEEKDAY($A215,2)&lt;=5,$A215='Recurring Schedule'!$F$36))),31,""))))</f>
        <v/>
      </c>
      <c r="AG215">
        <f>IF('Recurring Schedule'!$C$37="","",IF('Recurring Schedule'!$F$37="","",IF(OR($A215&lt;'Recurring Schedule'!$F$37,$A215&gt;'Recurring Schedule'!$P$37),"",IF(IF('Recurring Schedule'!$N$37&gt;0,MOD($A215-'Recurring Schedule'!$F$37,'Recurring Schedule'!$N$37)=0,IF('Recurring Schedule'!$O$37&gt;0,AND(DAY($A215)=MIN(DAY('Recurring Schedule'!$F$37),DAY(EOMONTH($A215,0))),MOD((YEAR($A215)-YEAR('Recurring Schedule'!$F$37))*12+MONTH($A215)-MONTH('Recurring Schedule'!$F$37),'Recurring Schedule'!$O$37)=0),IF('Recurring Schedule'!$E$37="Weekdays",WEEKDAY($A215,2)&lt;=5,$A215='Recurring Schedule'!$F$37))),32,""))))</f>
        <v/>
      </c>
      <c r="AH215">
        <f>IF('Recurring Schedule'!$C$38="","",IF('Recurring Schedule'!$F$38="","",IF(OR($A215&lt;'Recurring Schedule'!$F$38,$A215&gt;'Recurring Schedule'!$P$38),"",IF(IF('Recurring Schedule'!$N$38&gt;0,MOD($A215-'Recurring Schedule'!$F$38,'Recurring Schedule'!$N$38)=0,IF('Recurring Schedule'!$O$38&gt;0,AND(DAY($A215)=MIN(DAY('Recurring Schedule'!$F$38),DAY(EOMONTH($A215,0))),MOD((YEAR($A215)-YEAR('Recurring Schedule'!$F$38))*12+MONTH($A215)-MONTH('Recurring Schedule'!$F$38),'Recurring Schedule'!$O$38)=0),IF('Recurring Schedule'!$E$38="Weekdays",WEEKDAY($A215,2)&lt;=5,$A215='Recurring Schedule'!$F$38))),33,""))))</f>
        <v/>
      </c>
      <c r="AI215">
        <f>IF('Recurring Schedule'!$C$39="","",IF('Recurring Schedule'!$F$39="","",IF(OR($A215&lt;'Recurring Schedule'!$F$39,$A215&gt;'Recurring Schedule'!$P$39),"",IF(IF('Recurring Schedule'!$N$39&gt;0,MOD($A215-'Recurring Schedule'!$F$39,'Recurring Schedule'!$N$39)=0,IF('Recurring Schedule'!$O$39&gt;0,AND(DAY($A215)=MIN(DAY('Recurring Schedule'!$F$39),DAY(EOMONTH($A215,0))),MOD((YEAR($A215)-YEAR('Recurring Schedule'!$F$39))*12+MONTH($A215)-MONTH('Recurring Schedule'!$F$39),'Recurring Schedule'!$O$39)=0),IF('Recurring Schedule'!$E$39="Weekdays",WEEKDAY($A215,2)&lt;=5,$A215='Recurring Schedule'!$F$39))),34,""))))</f>
        <v/>
      </c>
      <c r="AJ215">
        <f>IF('Recurring Schedule'!$C$40="","",IF('Recurring Schedule'!$F$40="","",IF(OR($A215&lt;'Recurring Schedule'!$F$40,$A215&gt;'Recurring Schedule'!$P$40),"",IF(IF('Recurring Schedule'!$N$40&gt;0,MOD($A215-'Recurring Schedule'!$F$40,'Recurring Schedule'!$N$40)=0,IF('Recurring Schedule'!$O$40&gt;0,AND(DAY($A215)=MIN(DAY('Recurring Schedule'!$F$40),DAY(EOMONTH($A215,0))),MOD((YEAR($A215)-YEAR('Recurring Schedule'!$F$40))*12+MONTH($A215)-MONTH('Recurring Schedule'!$F$40),'Recurring Schedule'!$O$40)=0),IF('Recurring Schedule'!$E$40="Weekdays",WEEKDAY($A215,2)&lt;=5,$A215='Recurring Schedule'!$F$40))),35,""))))</f>
        <v/>
      </c>
      <c r="AK215">
        <f>IF('Recurring Schedule'!$C$41="","",IF('Recurring Schedule'!$F$41="","",IF(OR($A215&lt;'Recurring Schedule'!$F$41,$A215&gt;'Recurring Schedule'!$P$41),"",IF(IF('Recurring Schedule'!$N$41&gt;0,MOD($A215-'Recurring Schedule'!$F$41,'Recurring Schedule'!$N$41)=0,IF('Recurring Schedule'!$O$41&gt;0,AND(DAY($A215)=MIN(DAY('Recurring Schedule'!$F$41),DAY(EOMONTH($A215,0))),MOD((YEAR($A215)-YEAR('Recurring Schedule'!$F$41))*12+MONTH($A215)-MONTH('Recurring Schedule'!$F$41),'Recurring Schedule'!$O$41)=0),IF('Recurring Schedule'!$E$41="Weekdays",WEEKDAY($A215,2)&lt;=5,$A215='Recurring Schedule'!$F$41))),36,""))))</f>
        <v/>
      </c>
      <c r="AL215">
        <f>IF('Recurring Schedule'!$C$42="","",IF('Recurring Schedule'!$F$42="","",IF(OR($A215&lt;'Recurring Schedule'!$F$42,$A215&gt;'Recurring Schedule'!$P$42),"",IF(IF('Recurring Schedule'!$N$42&gt;0,MOD($A215-'Recurring Schedule'!$F$42,'Recurring Schedule'!$N$42)=0,IF('Recurring Schedule'!$O$42&gt;0,AND(DAY($A215)=MIN(DAY('Recurring Schedule'!$F$42),DAY(EOMONTH($A215,0))),MOD((YEAR($A215)-YEAR('Recurring Schedule'!$F$42))*12+MONTH($A215)-MONTH('Recurring Schedule'!$F$42),'Recurring Schedule'!$O$42)=0),IF('Recurring Schedule'!$E$42="Weekdays",WEEKDAY($A215,2)&lt;=5,$A215='Recurring Schedule'!$F$42))),37,""))))</f>
        <v/>
      </c>
      <c r="AM215">
        <f>IF('Recurring Schedule'!$C$43="","",IF('Recurring Schedule'!$F$43="","",IF(OR($A215&lt;'Recurring Schedule'!$F$43,$A215&gt;'Recurring Schedule'!$P$43),"",IF(IF('Recurring Schedule'!$N$43&gt;0,MOD($A215-'Recurring Schedule'!$F$43,'Recurring Schedule'!$N$43)=0,IF('Recurring Schedule'!$O$43&gt;0,AND(DAY($A215)=MIN(DAY('Recurring Schedule'!$F$43),DAY(EOMONTH($A215,0))),MOD((YEAR($A215)-YEAR('Recurring Schedule'!$F$43))*12+MONTH($A215)-MONTH('Recurring Schedule'!$F$43),'Recurring Schedule'!$O$43)=0),IF('Recurring Schedule'!$E$43="Weekdays",WEEKDAY($A215,2)&lt;=5,$A215='Recurring Schedule'!$F$43))),38,""))))</f>
        <v/>
      </c>
      <c r="AN215">
        <f>IF('Recurring Schedule'!$C$44="","",IF('Recurring Schedule'!$F$44="","",IF(OR($A215&lt;'Recurring Schedule'!$F$44,$A215&gt;'Recurring Schedule'!$P$44),"",IF(IF('Recurring Schedule'!$N$44&gt;0,MOD($A215-'Recurring Schedule'!$F$44,'Recurring Schedule'!$N$44)=0,IF('Recurring Schedule'!$O$44&gt;0,AND(DAY($A215)=MIN(DAY('Recurring Schedule'!$F$44),DAY(EOMONTH($A215,0))),MOD((YEAR($A215)-YEAR('Recurring Schedule'!$F$44))*12+MONTH($A215)-MONTH('Recurring Schedule'!$F$44),'Recurring Schedule'!$O$44)=0),IF('Recurring Schedule'!$E$44="Weekdays",WEEKDAY($A215,2)&lt;=5,$A215='Recurring Schedule'!$F$44))),39,""))))</f>
        <v/>
      </c>
      <c r="AO215">
        <f>IF('Recurring Schedule'!$C$45="","",IF('Recurring Schedule'!$F$45="","",IF(OR($A215&lt;'Recurring Schedule'!$F$45,$A215&gt;'Recurring Schedule'!$P$45),"",IF(IF('Recurring Schedule'!$N$45&gt;0,MOD($A215-'Recurring Schedule'!$F$45,'Recurring Schedule'!$N$45)=0,IF('Recurring Schedule'!$O$45&gt;0,AND(DAY($A215)=MIN(DAY('Recurring Schedule'!$F$45),DAY(EOMONTH($A215,0))),MOD((YEAR($A215)-YEAR('Recurring Schedule'!$F$45))*12+MONTH($A215)-MONTH('Recurring Schedule'!$F$45),'Recurring Schedule'!$O$45)=0),IF('Recurring Schedule'!$E$45="Weekdays",WEEKDAY($A215,2)&lt;=5,$A215='Recurring Schedule'!$F$45))),40,""))))</f>
        <v/>
      </c>
      <c r="AP215">
        <f>COUNT(B215:AO215)</f>
        <v/>
      </c>
      <c r="AQ215">
        <f>AQ214+AP214</f>
        <v/>
      </c>
      <c r="AS215" t="inlineStr">
        <is>
          <t>R</t>
        </is>
      </c>
      <c r="AT215" t="n">
        <v>219</v>
      </c>
      <c r="AU215">
        <f>'Recurring Log'!C219&amp;""</f>
        <v/>
      </c>
      <c r="AV215">
        <f>'Recurring Log'!D219&amp;""</f>
        <v/>
      </c>
      <c r="AW215">
        <f>IF('Recurring Log'!E219="","",'Recurring Log'!E219)</f>
        <v/>
      </c>
      <c r="AX215">
        <f>IF('Recurring Log'!G219="","",'Recurring Log'!G219)</f>
        <v/>
      </c>
      <c r="AY215">
        <f>IF('Recurring Log'!H219="","",'Recurring Log'!H219)</f>
        <v/>
      </c>
      <c r="AZ215">
        <f>IF(AU215="","",IF('Recurring Log'!J219="","Not Started",'Recurring Log'!J219))</f>
        <v/>
      </c>
      <c r="BA215">
        <f>'Recurring Log'!L219&amp;""</f>
        <v/>
      </c>
      <c r="BB215">
        <f>'Recurring Log'!M219&amp;""</f>
        <v/>
      </c>
      <c r="BC215">
        <f>'Recurring Log'!N219&amp;""</f>
        <v/>
      </c>
      <c r="BD215">
        <f>'Recurring Log'!O219&amp;""</f>
        <v/>
      </c>
      <c r="BE215">
        <f>IF('Recurring Log'!K219="","",'Recurring Log'!K219)</f>
        <v/>
      </c>
      <c r="BF215">
        <f>IFERROR(MATCH(BA215,Setup!$L$6:$L$9,0),5)</f>
        <v/>
      </c>
      <c r="BG215">
        <f>IF(OR(AZ215="Done",AZ215="Cancelled"),1,0)</f>
        <v/>
      </c>
      <c r="BH215">
        <f>IF(AND(AU215&lt;&gt;"",ISNUMBER(AW215)),1,0)</f>
        <v/>
      </c>
      <c r="BI215">
        <f>IF(BH215=0,0,IF(AND(AW215&gt;='Tasks Filter'!$F$3,AW215&lt;='Tasks Filter'!$F$4,OR('Tasks Filter'!$I$3="",ISNUMBER(SEARCH('Tasks Filter'!$I$3,AU215))),OR('Tasks Filter'!$I$4="",BF215=IFERROR(MATCH('Tasks Filter'!$I$4,Setup!$L$6:$L$9,0),0)),OR('Tasks Filter'!$I$5="Both",AND('Tasks Filter'!$I$5="Yes",BB215="✓"),AND('Tasks Filter'!$I$5="No",BB215&lt;&gt;"✓")),OR('Tasks Filter'!$L$3="",AV215='Tasks Filter'!$L$3),OR('Tasks Filter'!$L$4="",AZ215='Tasks Filter'!$L$4),OR('Tasks Filter'!$L$5="",BC215='Tasks Filter'!$L$5),OR('Tasks Filter'!$O$3="",BD215='Tasks Filter'!$O$3),OR('Tasks Filter'!$O$4="Yes",BG215=0)),1,0))</f>
        <v/>
      </c>
      <c r="BJ215">
        <f>IF(BH215=0,"",IF('Tasks Filter'!$F$6="Descending",-1,1)*CHOOSE(MATCH('Tasks Filter'!$F$5,Lists!$G$2:$G$6,0),AW215,BF215,IFERROR(MATCH(AV215,Setup!$F$6:$F$15,0),99),IFERROR(MATCH(BC215,Setup!$H$6:$H$15,0),99),IFERROR(MATCH(AZ215,Setup!$J$6:$J$11,0),99))*1E+9+(AW215-40000)*10000+214)</f>
        <v/>
      </c>
      <c r="BK215">
        <f>IF(BI215=1,BJ215,"")</f>
        <v/>
      </c>
      <c r="BL215">
        <f>IF(AND(BH215=1,BG215=0,N(AW215)&lt;Setup!$D$7),(AW215-40000)*10000+214,"")</f>
        <v/>
      </c>
      <c r="BM215">
        <f>IF(AND(BH215=1,AZ215&lt;&gt;"Cancelled",N(AW215)&gt;=Dashboard!$AB$3,N(AW215)&lt;=Dashboard!$AB$3+6),(AW215-40000)*100000+BF215*10000+214,"")</f>
        <v/>
      </c>
      <c r="BN215">
        <f>IF(AND(BH215=1,AZ215&lt;&gt;"Cancelled"),BF215*10000+214,"")</f>
        <v/>
      </c>
    </row>
    <row r="216">
      <c r="A216">
        <f>Setup!$D$5+214</f>
        <v/>
      </c>
      <c r="B216">
        <f>IF('Recurring Schedule'!$C$6="","",IF('Recurring Schedule'!$F$6="","",IF(OR($A216&lt;'Recurring Schedule'!$F$6,$A216&gt;'Recurring Schedule'!$P$6),"",IF(IF('Recurring Schedule'!$N$6&gt;0,MOD($A216-'Recurring Schedule'!$F$6,'Recurring Schedule'!$N$6)=0,IF('Recurring Schedule'!$O$6&gt;0,AND(DAY($A216)=MIN(DAY('Recurring Schedule'!$F$6),DAY(EOMONTH($A216,0))),MOD((YEAR($A216)-YEAR('Recurring Schedule'!$F$6))*12+MONTH($A216)-MONTH('Recurring Schedule'!$F$6),'Recurring Schedule'!$O$6)=0),IF('Recurring Schedule'!$E$6="Weekdays",WEEKDAY($A216,2)&lt;=5,$A216='Recurring Schedule'!$F$6))),1,""))))</f>
        <v/>
      </c>
      <c r="C216">
        <f>IF('Recurring Schedule'!$C$7="","",IF('Recurring Schedule'!$F$7="","",IF(OR($A216&lt;'Recurring Schedule'!$F$7,$A216&gt;'Recurring Schedule'!$P$7),"",IF(IF('Recurring Schedule'!$N$7&gt;0,MOD($A216-'Recurring Schedule'!$F$7,'Recurring Schedule'!$N$7)=0,IF('Recurring Schedule'!$O$7&gt;0,AND(DAY($A216)=MIN(DAY('Recurring Schedule'!$F$7),DAY(EOMONTH($A216,0))),MOD((YEAR($A216)-YEAR('Recurring Schedule'!$F$7))*12+MONTH($A216)-MONTH('Recurring Schedule'!$F$7),'Recurring Schedule'!$O$7)=0),IF('Recurring Schedule'!$E$7="Weekdays",WEEKDAY($A216,2)&lt;=5,$A216='Recurring Schedule'!$F$7))),2,""))))</f>
        <v/>
      </c>
      <c r="D216">
        <f>IF('Recurring Schedule'!$C$8="","",IF('Recurring Schedule'!$F$8="","",IF(OR($A216&lt;'Recurring Schedule'!$F$8,$A216&gt;'Recurring Schedule'!$P$8),"",IF(IF('Recurring Schedule'!$N$8&gt;0,MOD($A216-'Recurring Schedule'!$F$8,'Recurring Schedule'!$N$8)=0,IF('Recurring Schedule'!$O$8&gt;0,AND(DAY($A216)=MIN(DAY('Recurring Schedule'!$F$8),DAY(EOMONTH($A216,0))),MOD((YEAR($A216)-YEAR('Recurring Schedule'!$F$8))*12+MONTH($A216)-MONTH('Recurring Schedule'!$F$8),'Recurring Schedule'!$O$8)=0),IF('Recurring Schedule'!$E$8="Weekdays",WEEKDAY($A216,2)&lt;=5,$A216='Recurring Schedule'!$F$8))),3,""))))</f>
        <v/>
      </c>
      <c r="E216">
        <f>IF('Recurring Schedule'!$C$9="","",IF('Recurring Schedule'!$F$9="","",IF(OR($A216&lt;'Recurring Schedule'!$F$9,$A216&gt;'Recurring Schedule'!$P$9),"",IF(IF('Recurring Schedule'!$N$9&gt;0,MOD($A216-'Recurring Schedule'!$F$9,'Recurring Schedule'!$N$9)=0,IF('Recurring Schedule'!$O$9&gt;0,AND(DAY($A216)=MIN(DAY('Recurring Schedule'!$F$9),DAY(EOMONTH($A216,0))),MOD((YEAR($A216)-YEAR('Recurring Schedule'!$F$9))*12+MONTH($A216)-MONTH('Recurring Schedule'!$F$9),'Recurring Schedule'!$O$9)=0),IF('Recurring Schedule'!$E$9="Weekdays",WEEKDAY($A216,2)&lt;=5,$A216='Recurring Schedule'!$F$9))),4,""))))</f>
        <v/>
      </c>
      <c r="F216">
        <f>IF('Recurring Schedule'!$C$10="","",IF('Recurring Schedule'!$F$10="","",IF(OR($A216&lt;'Recurring Schedule'!$F$10,$A216&gt;'Recurring Schedule'!$P$10),"",IF(IF('Recurring Schedule'!$N$10&gt;0,MOD($A216-'Recurring Schedule'!$F$10,'Recurring Schedule'!$N$10)=0,IF('Recurring Schedule'!$O$10&gt;0,AND(DAY($A216)=MIN(DAY('Recurring Schedule'!$F$10),DAY(EOMONTH($A216,0))),MOD((YEAR($A216)-YEAR('Recurring Schedule'!$F$10))*12+MONTH($A216)-MONTH('Recurring Schedule'!$F$10),'Recurring Schedule'!$O$10)=0),IF('Recurring Schedule'!$E$10="Weekdays",WEEKDAY($A216,2)&lt;=5,$A216='Recurring Schedule'!$F$10))),5,""))))</f>
        <v/>
      </c>
      <c r="G216">
        <f>IF('Recurring Schedule'!$C$11="","",IF('Recurring Schedule'!$F$11="","",IF(OR($A216&lt;'Recurring Schedule'!$F$11,$A216&gt;'Recurring Schedule'!$P$11),"",IF(IF('Recurring Schedule'!$N$11&gt;0,MOD($A216-'Recurring Schedule'!$F$11,'Recurring Schedule'!$N$11)=0,IF('Recurring Schedule'!$O$11&gt;0,AND(DAY($A216)=MIN(DAY('Recurring Schedule'!$F$11),DAY(EOMONTH($A216,0))),MOD((YEAR($A216)-YEAR('Recurring Schedule'!$F$11))*12+MONTH($A216)-MONTH('Recurring Schedule'!$F$11),'Recurring Schedule'!$O$11)=0),IF('Recurring Schedule'!$E$11="Weekdays",WEEKDAY($A216,2)&lt;=5,$A216='Recurring Schedule'!$F$11))),6,""))))</f>
        <v/>
      </c>
      <c r="H216">
        <f>IF('Recurring Schedule'!$C$12="","",IF('Recurring Schedule'!$F$12="","",IF(OR($A216&lt;'Recurring Schedule'!$F$12,$A216&gt;'Recurring Schedule'!$P$12),"",IF(IF('Recurring Schedule'!$N$12&gt;0,MOD($A216-'Recurring Schedule'!$F$12,'Recurring Schedule'!$N$12)=0,IF('Recurring Schedule'!$O$12&gt;0,AND(DAY($A216)=MIN(DAY('Recurring Schedule'!$F$12),DAY(EOMONTH($A216,0))),MOD((YEAR($A216)-YEAR('Recurring Schedule'!$F$12))*12+MONTH($A216)-MONTH('Recurring Schedule'!$F$12),'Recurring Schedule'!$O$12)=0),IF('Recurring Schedule'!$E$12="Weekdays",WEEKDAY($A216,2)&lt;=5,$A216='Recurring Schedule'!$F$12))),7,""))))</f>
        <v/>
      </c>
      <c r="I216">
        <f>IF('Recurring Schedule'!$C$13="","",IF('Recurring Schedule'!$F$13="","",IF(OR($A216&lt;'Recurring Schedule'!$F$13,$A216&gt;'Recurring Schedule'!$P$13),"",IF(IF('Recurring Schedule'!$N$13&gt;0,MOD($A216-'Recurring Schedule'!$F$13,'Recurring Schedule'!$N$13)=0,IF('Recurring Schedule'!$O$13&gt;0,AND(DAY($A216)=MIN(DAY('Recurring Schedule'!$F$13),DAY(EOMONTH($A216,0))),MOD((YEAR($A216)-YEAR('Recurring Schedule'!$F$13))*12+MONTH($A216)-MONTH('Recurring Schedule'!$F$13),'Recurring Schedule'!$O$13)=0),IF('Recurring Schedule'!$E$13="Weekdays",WEEKDAY($A216,2)&lt;=5,$A216='Recurring Schedule'!$F$13))),8,""))))</f>
        <v/>
      </c>
      <c r="J216">
        <f>IF('Recurring Schedule'!$C$14="","",IF('Recurring Schedule'!$F$14="","",IF(OR($A216&lt;'Recurring Schedule'!$F$14,$A216&gt;'Recurring Schedule'!$P$14),"",IF(IF('Recurring Schedule'!$N$14&gt;0,MOD($A216-'Recurring Schedule'!$F$14,'Recurring Schedule'!$N$14)=0,IF('Recurring Schedule'!$O$14&gt;0,AND(DAY($A216)=MIN(DAY('Recurring Schedule'!$F$14),DAY(EOMONTH($A216,0))),MOD((YEAR($A216)-YEAR('Recurring Schedule'!$F$14))*12+MONTH($A216)-MONTH('Recurring Schedule'!$F$14),'Recurring Schedule'!$O$14)=0),IF('Recurring Schedule'!$E$14="Weekdays",WEEKDAY($A216,2)&lt;=5,$A216='Recurring Schedule'!$F$14))),9,""))))</f>
        <v/>
      </c>
      <c r="K216">
        <f>IF('Recurring Schedule'!$C$15="","",IF('Recurring Schedule'!$F$15="","",IF(OR($A216&lt;'Recurring Schedule'!$F$15,$A216&gt;'Recurring Schedule'!$P$15),"",IF(IF('Recurring Schedule'!$N$15&gt;0,MOD($A216-'Recurring Schedule'!$F$15,'Recurring Schedule'!$N$15)=0,IF('Recurring Schedule'!$O$15&gt;0,AND(DAY($A216)=MIN(DAY('Recurring Schedule'!$F$15),DAY(EOMONTH($A216,0))),MOD((YEAR($A216)-YEAR('Recurring Schedule'!$F$15))*12+MONTH($A216)-MONTH('Recurring Schedule'!$F$15),'Recurring Schedule'!$O$15)=0),IF('Recurring Schedule'!$E$15="Weekdays",WEEKDAY($A216,2)&lt;=5,$A216='Recurring Schedule'!$F$15))),10,""))))</f>
        <v/>
      </c>
      <c r="L216">
        <f>IF('Recurring Schedule'!$C$16="","",IF('Recurring Schedule'!$F$16="","",IF(OR($A216&lt;'Recurring Schedule'!$F$16,$A216&gt;'Recurring Schedule'!$P$16),"",IF(IF('Recurring Schedule'!$N$16&gt;0,MOD($A216-'Recurring Schedule'!$F$16,'Recurring Schedule'!$N$16)=0,IF('Recurring Schedule'!$O$16&gt;0,AND(DAY($A216)=MIN(DAY('Recurring Schedule'!$F$16),DAY(EOMONTH($A216,0))),MOD((YEAR($A216)-YEAR('Recurring Schedule'!$F$16))*12+MONTH($A216)-MONTH('Recurring Schedule'!$F$16),'Recurring Schedule'!$O$16)=0),IF('Recurring Schedule'!$E$16="Weekdays",WEEKDAY($A216,2)&lt;=5,$A216='Recurring Schedule'!$F$16))),11,""))))</f>
        <v/>
      </c>
      <c r="M216">
        <f>IF('Recurring Schedule'!$C$17="","",IF('Recurring Schedule'!$F$17="","",IF(OR($A216&lt;'Recurring Schedule'!$F$17,$A216&gt;'Recurring Schedule'!$P$17),"",IF(IF('Recurring Schedule'!$N$17&gt;0,MOD($A216-'Recurring Schedule'!$F$17,'Recurring Schedule'!$N$17)=0,IF('Recurring Schedule'!$O$17&gt;0,AND(DAY($A216)=MIN(DAY('Recurring Schedule'!$F$17),DAY(EOMONTH($A216,0))),MOD((YEAR($A216)-YEAR('Recurring Schedule'!$F$17))*12+MONTH($A216)-MONTH('Recurring Schedule'!$F$17),'Recurring Schedule'!$O$17)=0),IF('Recurring Schedule'!$E$17="Weekdays",WEEKDAY($A216,2)&lt;=5,$A216='Recurring Schedule'!$F$17))),12,""))))</f>
        <v/>
      </c>
      <c r="N216">
        <f>IF('Recurring Schedule'!$C$18="","",IF('Recurring Schedule'!$F$18="","",IF(OR($A216&lt;'Recurring Schedule'!$F$18,$A216&gt;'Recurring Schedule'!$P$18),"",IF(IF('Recurring Schedule'!$N$18&gt;0,MOD($A216-'Recurring Schedule'!$F$18,'Recurring Schedule'!$N$18)=0,IF('Recurring Schedule'!$O$18&gt;0,AND(DAY($A216)=MIN(DAY('Recurring Schedule'!$F$18),DAY(EOMONTH($A216,0))),MOD((YEAR($A216)-YEAR('Recurring Schedule'!$F$18))*12+MONTH($A216)-MONTH('Recurring Schedule'!$F$18),'Recurring Schedule'!$O$18)=0),IF('Recurring Schedule'!$E$18="Weekdays",WEEKDAY($A216,2)&lt;=5,$A216='Recurring Schedule'!$F$18))),13,""))))</f>
        <v/>
      </c>
      <c r="O216">
        <f>IF('Recurring Schedule'!$C$19="","",IF('Recurring Schedule'!$F$19="","",IF(OR($A216&lt;'Recurring Schedule'!$F$19,$A216&gt;'Recurring Schedule'!$P$19),"",IF(IF('Recurring Schedule'!$N$19&gt;0,MOD($A216-'Recurring Schedule'!$F$19,'Recurring Schedule'!$N$19)=0,IF('Recurring Schedule'!$O$19&gt;0,AND(DAY($A216)=MIN(DAY('Recurring Schedule'!$F$19),DAY(EOMONTH($A216,0))),MOD((YEAR($A216)-YEAR('Recurring Schedule'!$F$19))*12+MONTH($A216)-MONTH('Recurring Schedule'!$F$19),'Recurring Schedule'!$O$19)=0),IF('Recurring Schedule'!$E$19="Weekdays",WEEKDAY($A216,2)&lt;=5,$A216='Recurring Schedule'!$F$19))),14,""))))</f>
        <v/>
      </c>
      <c r="P216">
        <f>IF('Recurring Schedule'!$C$20="","",IF('Recurring Schedule'!$F$20="","",IF(OR($A216&lt;'Recurring Schedule'!$F$20,$A216&gt;'Recurring Schedule'!$P$20),"",IF(IF('Recurring Schedule'!$N$20&gt;0,MOD($A216-'Recurring Schedule'!$F$20,'Recurring Schedule'!$N$20)=0,IF('Recurring Schedule'!$O$20&gt;0,AND(DAY($A216)=MIN(DAY('Recurring Schedule'!$F$20),DAY(EOMONTH($A216,0))),MOD((YEAR($A216)-YEAR('Recurring Schedule'!$F$20))*12+MONTH($A216)-MONTH('Recurring Schedule'!$F$20),'Recurring Schedule'!$O$20)=0),IF('Recurring Schedule'!$E$20="Weekdays",WEEKDAY($A216,2)&lt;=5,$A216='Recurring Schedule'!$F$20))),15,""))))</f>
        <v/>
      </c>
      <c r="Q216">
        <f>IF('Recurring Schedule'!$C$21="","",IF('Recurring Schedule'!$F$21="","",IF(OR($A216&lt;'Recurring Schedule'!$F$21,$A216&gt;'Recurring Schedule'!$P$21),"",IF(IF('Recurring Schedule'!$N$21&gt;0,MOD($A216-'Recurring Schedule'!$F$21,'Recurring Schedule'!$N$21)=0,IF('Recurring Schedule'!$O$21&gt;0,AND(DAY($A216)=MIN(DAY('Recurring Schedule'!$F$21),DAY(EOMONTH($A216,0))),MOD((YEAR($A216)-YEAR('Recurring Schedule'!$F$21))*12+MONTH($A216)-MONTH('Recurring Schedule'!$F$21),'Recurring Schedule'!$O$21)=0),IF('Recurring Schedule'!$E$21="Weekdays",WEEKDAY($A216,2)&lt;=5,$A216='Recurring Schedule'!$F$21))),16,""))))</f>
        <v/>
      </c>
      <c r="R216">
        <f>IF('Recurring Schedule'!$C$22="","",IF('Recurring Schedule'!$F$22="","",IF(OR($A216&lt;'Recurring Schedule'!$F$22,$A216&gt;'Recurring Schedule'!$P$22),"",IF(IF('Recurring Schedule'!$N$22&gt;0,MOD($A216-'Recurring Schedule'!$F$22,'Recurring Schedule'!$N$22)=0,IF('Recurring Schedule'!$O$22&gt;0,AND(DAY($A216)=MIN(DAY('Recurring Schedule'!$F$22),DAY(EOMONTH($A216,0))),MOD((YEAR($A216)-YEAR('Recurring Schedule'!$F$22))*12+MONTH($A216)-MONTH('Recurring Schedule'!$F$22),'Recurring Schedule'!$O$22)=0),IF('Recurring Schedule'!$E$22="Weekdays",WEEKDAY($A216,2)&lt;=5,$A216='Recurring Schedule'!$F$22))),17,""))))</f>
        <v/>
      </c>
      <c r="S216">
        <f>IF('Recurring Schedule'!$C$23="","",IF('Recurring Schedule'!$F$23="","",IF(OR($A216&lt;'Recurring Schedule'!$F$23,$A216&gt;'Recurring Schedule'!$P$23),"",IF(IF('Recurring Schedule'!$N$23&gt;0,MOD($A216-'Recurring Schedule'!$F$23,'Recurring Schedule'!$N$23)=0,IF('Recurring Schedule'!$O$23&gt;0,AND(DAY($A216)=MIN(DAY('Recurring Schedule'!$F$23),DAY(EOMONTH($A216,0))),MOD((YEAR($A216)-YEAR('Recurring Schedule'!$F$23))*12+MONTH($A216)-MONTH('Recurring Schedule'!$F$23),'Recurring Schedule'!$O$23)=0),IF('Recurring Schedule'!$E$23="Weekdays",WEEKDAY($A216,2)&lt;=5,$A216='Recurring Schedule'!$F$23))),18,""))))</f>
        <v/>
      </c>
      <c r="T216">
        <f>IF('Recurring Schedule'!$C$24="","",IF('Recurring Schedule'!$F$24="","",IF(OR($A216&lt;'Recurring Schedule'!$F$24,$A216&gt;'Recurring Schedule'!$P$24),"",IF(IF('Recurring Schedule'!$N$24&gt;0,MOD($A216-'Recurring Schedule'!$F$24,'Recurring Schedule'!$N$24)=0,IF('Recurring Schedule'!$O$24&gt;0,AND(DAY($A216)=MIN(DAY('Recurring Schedule'!$F$24),DAY(EOMONTH($A216,0))),MOD((YEAR($A216)-YEAR('Recurring Schedule'!$F$24))*12+MONTH($A216)-MONTH('Recurring Schedule'!$F$24),'Recurring Schedule'!$O$24)=0),IF('Recurring Schedule'!$E$24="Weekdays",WEEKDAY($A216,2)&lt;=5,$A216='Recurring Schedule'!$F$24))),19,""))))</f>
        <v/>
      </c>
      <c r="U216">
        <f>IF('Recurring Schedule'!$C$25="","",IF('Recurring Schedule'!$F$25="","",IF(OR($A216&lt;'Recurring Schedule'!$F$25,$A216&gt;'Recurring Schedule'!$P$25),"",IF(IF('Recurring Schedule'!$N$25&gt;0,MOD($A216-'Recurring Schedule'!$F$25,'Recurring Schedule'!$N$25)=0,IF('Recurring Schedule'!$O$25&gt;0,AND(DAY($A216)=MIN(DAY('Recurring Schedule'!$F$25),DAY(EOMONTH($A216,0))),MOD((YEAR($A216)-YEAR('Recurring Schedule'!$F$25))*12+MONTH($A216)-MONTH('Recurring Schedule'!$F$25),'Recurring Schedule'!$O$25)=0),IF('Recurring Schedule'!$E$25="Weekdays",WEEKDAY($A216,2)&lt;=5,$A216='Recurring Schedule'!$F$25))),20,""))))</f>
        <v/>
      </c>
      <c r="V216">
        <f>IF('Recurring Schedule'!$C$26="","",IF('Recurring Schedule'!$F$26="","",IF(OR($A216&lt;'Recurring Schedule'!$F$26,$A216&gt;'Recurring Schedule'!$P$26),"",IF(IF('Recurring Schedule'!$N$26&gt;0,MOD($A216-'Recurring Schedule'!$F$26,'Recurring Schedule'!$N$26)=0,IF('Recurring Schedule'!$O$26&gt;0,AND(DAY($A216)=MIN(DAY('Recurring Schedule'!$F$26),DAY(EOMONTH($A216,0))),MOD((YEAR($A216)-YEAR('Recurring Schedule'!$F$26))*12+MONTH($A216)-MONTH('Recurring Schedule'!$F$26),'Recurring Schedule'!$O$26)=0),IF('Recurring Schedule'!$E$26="Weekdays",WEEKDAY($A216,2)&lt;=5,$A216='Recurring Schedule'!$F$26))),21,""))))</f>
        <v/>
      </c>
      <c r="W216">
        <f>IF('Recurring Schedule'!$C$27="","",IF('Recurring Schedule'!$F$27="","",IF(OR($A216&lt;'Recurring Schedule'!$F$27,$A216&gt;'Recurring Schedule'!$P$27),"",IF(IF('Recurring Schedule'!$N$27&gt;0,MOD($A216-'Recurring Schedule'!$F$27,'Recurring Schedule'!$N$27)=0,IF('Recurring Schedule'!$O$27&gt;0,AND(DAY($A216)=MIN(DAY('Recurring Schedule'!$F$27),DAY(EOMONTH($A216,0))),MOD((YEAR($A216)-YEAR('Recurring Schedule'!$F$27))*12+MONTH($A216)-MONTH('Recurring Schedule'!$F$27),'Recurring Schedule'!$O$27)=0),IF('Recurring Schedule'!$E$27="Weekdays",WEEKDAY($A216,2)&lt;=5,$A216='Recurring Schedule'!$F$27))),22,""))))</f>
        <v/>
      </c>
      <c r="X216">
        <f>IF('Recurring Schedule'!$C$28="","",IF('Recurring Schedule'!$F$28="","",IF(OR($A216&lt;'Recurring Schedule'!$F$28,$A216&gt;'Recurring Schedule'!$P$28),"",IF(IF('Recurring Schedule'!$N$28&gt;0,MOD($A216-'Recurring Schedule'!$F$28,'Recurring Schedule'!$N$28)=0,IF('Recurring Schedule'!$O$28&gt;0,AND(DAY($A216)=MIN(DAY('Recurring Schedule'!$F$28),DAY(EOMONTH($A216,0))),MOD((YEAR($A216)-YEAR('Recurring Schedule'!$F$28))*12+MONTH($A216)-MONTH('Recurring Schedule'!$F$28),'Recurring Schedule'!$O$28)=0),IF('Recurring Schedule'!$E$28="Weekdays",WEEKDAY($A216,2)&lt;=5,$A216='Recurring Schedule'!$F$28))),23,""))))</f>
        <v/>
      </c>
      <c r="Y216">
        <f>IF('Recurring Schedule'!$C$29="","",IF('Recurring Schedule'!$F$29="","",IF(OR($A216&lt;'Recurring Schedule'!$F$29,$A216&gt;'Recurring Schedule'!$P$29),"",IF(IF('Recurring Schedule'!$N$29&gt;0,MOD($A216-'Recurring Schedule'!$F$29,'Recurring Schedule'!$N$29)=0,IF('Recurring Schedule'!$O$29&gt;0,AND(DAY($A216)=MIN(DAY('Recurring Schedule'!$F$29),DAY(EOMONTH($A216,0))),MOD((YEAR($A216)-YEAR('Recurring Schedule'!$F$29))*12+MONTH($A216)-MONTH('Recurring Schedule'!$F$29),'Recurring Schedule'!$O$29)=0),IF('Recurring Schedule'!$E$29="Weekdays",WEEKDAY($A216,2)&lt;=5,$A216='Recurring Schedule'!$F$29))),24,""))))</f>
        <v/>
      </c>
      <c r="Z216">
        <f>IF('Recurring Schedule'!$C$30="","",IF('Recurring Schedule'!$F$30="","",IF(OR($A216&lt;'Recurring Schedule'!$F$30,$A216&gt;'Recurring Schedule'!$P$30),"",IF(IF('Recurring Schedule'!$N$30&gt;0,MOD($A216-'Recurring Schedule'!$F$30,'Recurring Schedule'!$N$30)=0,IF('Recurring Schedule'!$O$30&gt;0,AND(DAY($A216)=MIN(DAY('Recurring Schedule'!$F$30),DAY(EOMONTH($A216,0))),MOD((YEAR($A216)-YEAR('Recurring Schedule'!$F$30))*12+MONTH($A216)-MONTH('Recurring Schedule'!$F$30),'Recurring Schedule'!$O$30)=0),IF('Recurring Schedule'!$E$30="Weekdays",WEEKDAY($A216,2)&lt;=5,$A216='Recurring Schedule'!$F$30))),25,""))))</f>
        <v/>
      </c>
      <c r="AA216">
        <f>IF('Recurring Schedule'!$C$31="","",IF('Recurring Schedule'!$F$31="","",IF(OR($A216&lt;'Recurring Schedule'!$F$31,$A216&gt;'Recurring Schedule'!$P$31),"",IF(IF('Recurring Schedule'!$N$31&gt;0,MOD($A216-'Recurring Schedule'!$F$31,'Recurring Schedule'!$N$31)=0,IF('Recurring Schedule'!$O$31&gt;0,AND(DAY($A216)=MIN(DAY('Recurring Schedule'!$F$31),DAY(EOMONTH($A216,0))),MOD((YEAR($A216)-YEAR('Recurring Schedule'!$F$31))*12+MONTH($A216)-MONTH('Recurring Schedule'!$F$31),'Recurring Schedule'!$O$31)=0),IF('Recurring Schedule'!$E$31="Weekdays",WEEKDAY($A216,2)&lt;=5,$A216='Recurring Schedule'!$F$31))),26,""))))</f>
        <v/>
      </c>
      <c r="AB216">
        <f>IF('Recurring Schedule'!$C$32="","",IF('Recurring Schedule'!$F$32="","",IF(OR($A216&lt;'Recurring Schedule'!$F$32,$A216&gt;'Recurring Schedule'!$P$32),"",IF(IF('Recurring Schedule'!$N$32&gt;0,MOD($A216-'Recurring Schedule'!$F$32,'Recurring Schedule'!$N$32)=0,IF('Recurring Schedule'!$O$32&gt;0,AND(DAY($A216)=MIN(DAY('Recurring Schedule'!$F$32),DAY(EOMONTH($A216,0))),MOD((YEAR($A216)-YEAR('Recurring Schedule'!$F$32))*12+MONTH($A216)-MONTH('Recurring Schedule'!$F$32),'Recurring Schedule'!$O$32)=0),IF('Recurring Schedule'!$E$32="Weekdays",WEEKDAY($A216,2)&lt;=5,$A216='Recurring Schedule'!$F$32))),27,""))))</f>
        <v/>
      </c>
      <c r="AC216">
        <f>IF('Recurring Schedule'!$C$33="","",IF('Recurring Schedule'!$F$33="","",IF(OR($A216&lt;'Recurring Schedule'!$F$33,$A216&gt;'Recurring Schedule'!$P$33),"",IF(IF('Recurring Schedule'!$N$33&gt;0,MOD($A216-'Recurring Schedule'!$F$33,'Recurring Schedule'!$N$33)=0,IF('Recurring Schedule'!$O$33&gt;0,AND(DAY($A216)=MIN(DAY('Recurring Schedule'!$F$33),DAY(EOMONTH($A216,0))),MOD((YEAR($A216)-YEAR('Recurring Schedule'!$F$33))*12+MONTH($A216)-MONTH('Recurring Schedule'!$F$33),'Recurring Schedule'!$O$33)=0),IF('Recurring Schedule'!$E$33="Weekdays",WEEKDAY($A216,2)&lt;=5,$A216='Recurring Schedule'!$F$33))),28,""))))</f>
        <v/>
      </c>
      <c r="AD216">
        <f>IF('Recurring Schedule'!$C$34="","",IF('Recurring Schedule'!$F$34="","",IF(OR($A216&lt;'Recurring Schedule'!$F$34,$A216&gt;'Recurring Schedule'!$P$34),"",IF(IF('Recurring Schedule'!$N$34&gt;0,MOD($A216-'Recurring Schedule'!$F$34,'Recurring Schedule'!$N$34)=0,IF('Recurring Schedule'!$O$34&gt;0,AND(DAY($A216)=MIN(DAY('Recurring Schedule'!$F$34),DAY(EOMONTH($A216,0))),MOD((YEAR($A216)-YEAR('Recurring Schedule'!$F$34))*12+MONTH($A216)-MONTH('Recurring Schedule'!$F$34),'Recurring Schedule'!$O$34)=0),IF('Recurring Schedule'!$E$34="Weekdays",WEEKDAY($A216,2)&lt;=5,$A216='Recurring Schedule'!$F$34))),29,""))))</f>
        <v/>
      </c>
      <c r="AE216">
        <f>IF('Recurring Schedule'!$C$35="","",IF('Recurring Schedule'!$F$35="","",IF(OR($A216&lt;'Recurring Schedule'!$F$35,$A216&gt;'Recurring Schedule'!$P$35),"",IF(IF('Recurring Schedule'!$N$35&gt;0,MOD($A216-'Recurring Schedule'!$F$35,'Recurring Schedule'!$N$35)=0,IF('Recurring Schedule'!$O$35&gt;0,AND(DAY($A216)=MIN(DAY('Recurring Schedule'!$F$35),DAY(EOMONTH($A216,0))),MOD((YEAR($A216)-YEAR('Recurring Schedule'!$F$35))*12+MONTH($A216)-MONTH('Recurring Schedule'!$F$35),'Recurring Schedule'!$O$35)=0),IF('Recurring Schedule'!$E$35="Weekdays",WEEKDAY($A216,2)&lt;=5,$A216='Recurring Schedule'!$F$35))),30,""))))</f>
        <v/>
      </c>
      <c r="AF216">
        <f>IF('Recurring Schedule'!$C$36="","",IF('Recurring Schedule'!$F$36="","",IF(OR($A216&lt;'Recurring Schedule'!$F$36,$A216&gt;'Recurring Schedule'!$P$36),"",IF(IF('Recurring Schedule'!$N$36&gt;0,MOD($A216-'Recurring Schedule'!$F$36,'Recurring Schedule'!$N$36)=0,IF('Recurring Schedule'!$O$36&gt;0,AND(DAY($A216)=MIN(DAY('Recurring Schedule'!$F$36),DAY(EOMONTH($A216,0))),MOD((YEAR($A216)-YEAR('Recurring Schedule'!$F$36))*12+MONTH($A216)-MONTH('Recurring Schedule'!$F$36),'Recurring Schedule'!$O$36)=0),IF('Recurring Schedule'!$E$36="Weekdays",WEEKDAY($A216,2)&lt;=5,$A216='Recurring Schedule'!$F$36))),31,""))))</f>
        <v/>
      </c>
      <c r="AG216">
        <f>IF('Recurring Schedule'!$C$37="","",IF('Recurring Schedule'!$F$37="","",IF(OR($A216&lt;'Recurring Schedule'!$F$37,$A216&gt;'Recurring Schedule'!$P$37),"",IF(IF('Recurring Schedule'!$N$37&gt;0,MOD($A216-'Recurring Schedule'!$F$37,'Recurring Schedule'!$N$37)=0,IF('Recurring Schedule'!$O$37&gt;0,AND(DAY($A216)=MIN(DAY('Recurring Schedule'!$F$37),DAY(EOMONTH($A216,0))),MOD((YEAR($A216)-YEAR('Recurring Schedule'!$F$37))*12+MONTH($A216)-MONTH('Recurring Schedule'!$F$37),'Recurring Schedule'!$O$37)=0),IF('Recurring Schedule'!$E$37="Weekdays",WEEKDAY($A216,2)&lt;=5,$A216='Recurring Schedule'!$F$37))),32,""))))</f>
        <v/>
      </c>
      <c r="AH216">
        <f>IF('Recurring Schedule'!$C$38="","",IF('Recurring Schedule'!$F$38="","",IF(OR($A216&lt;'Recurring Schedule'!$F$38,$A216&gt;'Recurring Schedule'!$P$38),"",IF(IF('Recurring Schedule'!$N$38&gt;0,MOD($A216-'Recurring Schedule'!$F$38,'Recurring Schedule'!$N$38)=0,IF('Recurring Schedule'!$O$38&gt;0,AND(DAY($A216)=MIN(DAY('Recurring Schedule'!$F$38),DAY(EOMONTH($A216,0))),MOD((YEAR($A216)-YEAR('Recurring Schedule'!$F$38))*12+MONTH($A216)-MONTH('Recurring Schedule'!$F$38),'Recurring Schedule'!$O$38)=0),IF('Recurring Schedule'!$E$38="Weekdays",WEEKDAY($A216,2)&lt;=5,$A216='Recurring Schedule'!$F$38))),33,""))))</f>
        <v/>
      </c>
      <c r="AI216">
        <f>IF('Recurring Schedule'!$C$39="","",IF('Recurring Schedule'!$F$39="","",IF(OR($A216&lt;'Recurring Schedule'!$F$39,$A216&gt;'Recurring Schedule'!$P$39),"",IF(IF('Recurring Schedule'!$N$39&gt;0,MOD($A216-'Recurring Schedule'!$F$39,'Recurring Schedule'!$N$39)=0,IF('Recurring Schedule'!$O$39&gt;0,AND(DAY($A216)=MIN(DAY('Recurring Schedule'!$F$39),DAY(EOMONTH($A216,0))),MOD((YEAR($A216)-YEAR('Recurring Schedule'!$F$39))*12+MONTH($A216)-MONTH('Recurring Schedule'!$F$39),'Recurring Schedule'!$O$39)=0),IF('Recurring Schedule'!$E$39="Weekdays",WEEKDAY($A216,2)&lt;=5,$A216='Recurring Schedule'!$F$39))),34,""))))</f>
        <v/>
      </c>
      <c r="AJ216">
        <f>IF('Recurring Schedule'!$C$40="","",IF('Recurring Schedule'!$F$40="","",IF(OR($A216&lt;'Recurring Schedule'!$F$40,$A216&gt;'Recurring Schedule'!$P$40),"",IF(IF('Recurring Schedule'!$N$40&gt;0,MOD($A216-'Recurring Schedule'!$F$40,'Recurring Schedule'!$N$40)=0,IF('Recurring Schedule'!$O$40&gt;0,AND(DAY($A216)=MIN(DAY('Recurring Schedule'!$F$40),DAY(EOMONTH($A216,0))),MOD((YEAR($A216)-YEAR('Recurring Schedule'!$F$40))*12+MONTH($A216)-MONTH('Recurring Schedule'!$F$40),'Recurring Schedule'!$O$40)=0),IF('Recurring Schedule'!$E$40="Weekdays",WEEKDAY($A216,2)&lt;=5,$A216='Recurring Schedule'!$F$40))),35,""))))</f>
        <v/>
      </c>
      <c r="AK216">
        <f>IF('Recurring Schedule'!$C$41="","",IF('Recurring Schedule'!$F$41="","",IF(OR($A216&lt;'Recurring Schedule'!$F$41,$A216&gt;'Recurring Schedule'!$P$41),"",IF(IF('Recurring Schedule'!$N$41&gt;0,MOD($A216-'Recurring Schedule'!$F$41,'Recurring Schedule'!$N$41)=0,IF('Recurring Schedule'!$O$41&gt;0,AND(DAY($A216)=MIN(DAY('Recurring Schedule'!$F$41),DAY(EOMONTH($A216,0))),MOD((YEAR($A216)-YEAR('Recurring Schedule'!$F$41))*12+MONTH($A216)-MONTH('Recurring Schedule'!$F$41),'Recurring Schedule'!$O$41)=0),IF('Recurring Schedule'!$E$41="Weekdays",WEEKDAY($A216,2)&lt;=5,$A216='Recurring Schedule'!$F$41))),36,""))))</f>
        <v/>
      </c>
      <c r="AL216">
        <f>IF('Recurring Schedule'!$C$42="","",IF('Recurring Schedule'!$F$42="","",IF(OR($A216&lt;'Recurring Schedule'!$F$42,$A216&gt;'Recurring Schedule'!$P$42),"",IF(IF('Recurring Schedule'!$N$42&gt;0,MOD($A216-'Recurring Schedule'!$F$42,'Recurring Schedule'!$N$42)=0,IF('Recurring Schedule'!$O$42&gt;0,AND(DAY($A216)=MIN(DAY('Recurring Schedule'!$F$42),DAY(EOMONTH($A216,0))),MOD((YEAR($A216)-YEAR('Recurring Schedule'!$F$42))*12+MONTH($A216)-MONTH('Recurring Schedule'!$F$42),'Recurring Schedule'!$O$42)=0),IF('Recurring Schedule'!$E$42="Weekdays",WEEKDAY($A216,2)&lt;=5,$A216='Recurring Schedule'!$F$42))),37,""))))</f>
        <v/>
      </c>
      <c r="AM216">
        <f>IF('Recurring Schedule'!$C$43="","",IF('Recurring Schedule'!$F$43="","",IF(OR($A216&lt;'Recurring Schedule'!$F$43,$A216&gt;'Recurring Schedule'!$P$43),"",IF(IF('Recurring Schedule'!$N$43&gt;0,MOD($A216-'Recurring Schedule'!$F$43,'Recurring Schedule'!$N$43)=0,IF('Recurring Schedule'!$O$43&gt;0,AND(DAY($A216)=MIN(DAY('Recurring Schedule'!$F$43),DAY(EOMONTH($A216,0))),MOD((YEAR($A216)-YEAR('Recurring Schedule'!$F$43))*12+MONTH($A216)-MONTH('Recurring Schedule'!$F$43),'Recurring Schedule'!$O$43)=0),IF('Recurring Schedule'!$E$43="Weekdays",WEEKDAY($A216,2)&lt;=5,$A216='Recurring Schedule'!$F$43))),38,""))))</f>
        <v/>
      </c>
      <c r="AN216">
        <f>IF('Recurring Schedule'!$C$44="","",IF('Recurring Schedule'!$F$44="","",IF(OR($A216&lt;'Recurring Schedule'!$F$44,$A216&gt;'Recurring Schedule'!$P$44),"",IF(IF('Recurring Schedule'!$N$44&gt;0,MOD($A216-'Recurring Schedule'!$F$44,'Recurring Schedule'!$N$44)=0,IF('Recurring Schedule'!$O$44&gt;0,AND(DAY($A216)=MIN(DAY('Recurring Schedule'!$F$44),DAY(EOMONTH($A216,0))),MOD((YEAR($A216)-YEAR('Recurring Schedule'!$F$44))*12+MONTH($A216)-MONTH('Recurring Schedule'!$F$44),'Recurring Schedule'!$O$44)=0),IF('Recurring Schedule'!$E$44="Weekdays",WEEKDAY($A216,2)&lt;=5,$A216='Recurring Schedule'!$F$44))),39,""))))</f>
        <v/>
      </c>
      <c r="AO216">
        <f>IF('Recurring Schedule'!$C$45="","",IF('Recurring Schedule'!$F$45="","",IF(OR($A216&lt;'Recurring Schedule'!$F$45,$A216&gt;'Recurring Schedule'!$P$45),"",IF(IF('Recurring Schedule'!$N$45&gt;0,MOD($A216-'Recurring Schedule'!$F$45,'Recurring Schedule'!$N$45)=0,IF('Recurring Schedule'!$O$45&gt;0,AND(DAY($A216)=MIN(DAY('Recurring Schedule'!$F$45),DAY(EOMONTH($A216,0))),MOD((YEAR($A216)-YEAR('Recurring Schedule'!$F$45))*12+MONTH($A216)-MONTH('Recurring Schedule'!$F$45),'Recurring Schedule'!$O$45)=0),IF('Recurring Schedule'!$E$45="Weekdays",WEEKDAY($A216,2)&lt;=5,$A216='Recurring Schedule'!$F$45))),40,""))))</f>
        <v/>
      </c>
      <c r="AP216">
        <f>COUNT(B216:AO216)</f>
        <v/>
      </c>
      <c r="AQ216">
        <f>AQ215+AP215</f>
        <v/>
      </c>
      <c r="AS216" t="inlineStr">
        <is>
          <t>R</t>
        </is>
      </c>
      <c r="AT216" t="n">
        <v>220</v>
      </c>
      <c r="AU216">
        <f>'Recurring Log'!C220&amp;""</f>
        <v/>
      </c>
      <c r="AV216">
        <f>'Recurring Log'!D220&amp;""</f>
        <v/>
      </c>
      <c r="AW216">
        <f>IF('Recurring Log'!E220="","",'Recurring Log'!E220)</f>
        <v/>
      </c>
      <c r="AX216">
        <f>IF('Recurring Log'!G220="","",'Recurring Log'!G220)</f>
        <v/>
      </c>
      <c r="AY216">
        <f>IF('Recurring Log'!H220="","",'Recurring Log'!H220)</f>
        <v/>
      </c>
      <c r="AZ216">
        <f>IF(AU216="","",IF('Recurring Log'!J220="","Not Started",'Recurring Log'!J220))</f>
        <v/>
      </c>
      <c r="BA216">
        <f>'Recurring Log'!L220&amp;""</f>
        <v/>
      </c>
      <c r="BB216">
        <f>'Recurring Log'!M220&amp;""</f>
        <v/>
      </c>
      <c r="BC216">
        <f>'Recurring Log'!N220&amp;""</f>
        <v/>
      </c>
      <c r="BD216">
        <f>'Recurring Log'!O220&amp;""</f>
        <v/>
      </c>
      <c r="BE216">
        <f>IF('Recurring Log'!K220="","",'Recurring Log'!K220)</f>
        <v/>
      </c>
      <c r="BF216">
        <f>IFERROR(MATCH(BA216,Setup!$L$6:$L$9,0),5)</f>
        <v/>
      </c>
      <c r="BG216">
        <f>IF(OR(AZ216="Done",AZ216="Cancelled"),1,0)</f>
        <v/>
      </c>
      <c r="BH216">
        <f>IF(AND(AU216&lt;&gt;"",ISNUMBER(AW216)),1,0)</f>
        <v/>
      </c>
      <c r="BI216">
        <f>IF(BH216=0,0,IF(AND(AW216&gt;='Tasks Filter'!$F$3,AW216&lt;='Tasks Filter'!$F$4,OR('Tasks Filter'!$I$3="",ISNUMBER(SEARCH('Tasks Filter'!$I$3,AU216))),OR('Tasks Filter'!$I$4="",BF216=IFERROR(MATCH('Tasks Filter'!$I$4,Setup!$L$6:$L$9,0),0)),OR('Tasks Filter'!$I$5="Both",AND('Tasks Filter'!$I$5="Yes",BB216="✓"),AND('Tasks Filter'!$I$5="No",BB216&lt;&gt;"✓")),OR('Tasks Filter'!$L$3="",AV216='Tasks Filter'!$L$3),OR('Tasks Filter'!$L$4="",AZ216='Tasks Filter'!$L$4),OR('Tasks Filter'!$L$5="",BC216='Tasks Filter'!$L$5),OR('Tasks Filter'!$O$3="",BD216='Tasks Filter'!$O$3),OR('Tasks Filter'!$O$4="Yes",BG216=0)),1,0))</f>
        <v/>
      </c>
      <c r="BJ216">
        <f>IF(BH216=0,"",IF('Tasks Filter'!$F$6="Descending",-1,1)*CHOOSE(MATCH('Tasks Filter'!$F$5,Lists!$G$2:$G$6,0),AW216,BF216,IFERROR(MATCH(AV216,Setup!$F$6:$F$15,0),99),IFERROR(MATCH(BC216,Setup!$H$6:$H$15,0),99),IFERROR(MATCH(AZ216,Setup!$J$6:$J$11,0),99))*1E+9+(AW216-40000)*10000+215)</f>
        <v/>
      </c>
      <c r="BK216">
        <f>IF(BI216=1,BJ216,"")</f>
        <v/>
      </c>
      <c r="BL216">
        <f>IF(AND(BH216=1,BG216=0,N(AW216)&lt;Setup!$D$7),(AW216-40000)*10000+215,"")</f>
        <v/>
      </c>
      <c r="BM216">
        <f>IF(AND(BH216=1,AZ216&lt;&gt;"Cancelled",N(AW216)&gt;=Dashboard!$AB$3,N(AW216)&lt;=Dashboard!$AB$3+6),(AW216-40000)*100000+BF216*10000+215,"")</f>
        <v/>
      </c>
      <c r="BN216">
        <f>IF(AND(BH216=1,AZ216&lt;&gt;"Cancelled"),BF216*10000+215,"")</f>
        <v/>
      </c>
    </row>
    <row r="217">
      <c r="A217">
        <f>Setup!$D$5+215</f>
        <v/>
      </c>
      <c r="B217">
        <f>IF('Recurring Schedule'!$C$6="","",IF('Recurring Schedule'!$F$6="","",IF(OR($A217&lt;'Recurring Schedule'!$F$6,$A217&gt;'Recurring Schedule'!$P$6),"",IF(IF('Recurring Schedule'!$N$6&gt;0,MOD($A217-'Recurring Schedule'!$F$6,'Recurring Schedule'!$N$6)=0,IF('Recurring Schedule'!$O$6&gt;0,AND(DAY($A217)=MIN(DAY('Recurring Schedule'!$F$6),DAY(EOMONTH($A217,0))),MOD((YEAR($A217)-YEAR('Recurring Schedule'!$F$6))*12+MONTH($A217)-MONTH('Recurring Schedule'!$F$6),'Recurring Schedule'!$O$6)=0),IF('Recurring Schedule'!$E$6="Weekdays",WEEKDAY($A217,2)&lt;=5,$A217='Recurring Schedule'!$F$6))),1,""))))</f>
        <v/>
      </c>
      <c r="C217">
        <f>IF('Recurring Schedule'!$C$7="","",IF('Recurring Schedule'!$F$7="","",IF(OR($A217&lt;'Recurring Schedule'!$F$7,$A217&gt;'Recurring Schedule'!$P$7),"",IF(IF('Recurring Schedule'!$N$7&gt;0,MOD($A217-'Recurring Schedule'!$F$7,'Recurring Schedule'!$N$7)=0,IF('Recurring Schedule'!$O$7&gt;0,AND(DAY($A217)=MIN(DAY('Recurring Schedule'!$F$7),DAY(EOMONTH($A217,0))),MOD((YEAR($A217)-YEAR('Recurring Schedule'!$F$7))*12+MONTH($A217)-MONTH('Recurring Schedule'!$F$7),'Recurring Schedule'!$O$7)=0),IF('Recurring Schedule'!$E$7="Weekdays",WEEKDAY($A217,2)&lt;=5,$A217='Recurring Schedule'!$F$7))),2,""))))</f>
        <v/>
      </c>
      <c r="D217">
        <f>IF('Recurring Schedule'!$C$8="","",IF('Recurring Schedule'!$F$8="","",IF(OR($A217&lt;'Recurring Schedule'!$F$8,$A217&gt;'Recurring Schedule'!$P$8),"",IF(IF('Recurring Schedule'!$N$8&gt;0,MOD($A217-'Recurring Schedule'!$F$8,'Recurring Schedule'!$N$8)=0,IF('Recurring Schedule'!$O$8&gt;0,AND(DAY($A217)=MIN(DAY('Recurring Schedule'!$F$8),DAY(EOMONTH($A217,0))),MOD((YEAR($A217)-YEAR('Recurring Schedule'!$F$8))*12+MONTH($A217)-MONTH('Recurring Schedule'!$F$8),'Recurring Schedule'!$O$8)=0),IF('Recurring Schedule'!$E$8="Weekdays",WEEKDAY($A217,2)&lt;=5,$A217='Recurring Schedule'!$F$8))),3,""))))</f>
        <v/>
      </c>
      <c r="E217">
        <f>IF('Recurring Schedule'!$C$9="","",IF('Recurring Schedule'!$F$9="","",IF(OR($A217&lt;'Recurring Schedule'!$F$9,$A217&gt;'Recurring Schedule'!$P$9),"",IF(IF('Recurring Schedule'!$N$9&gt;0,MOD($A217-'Recurring Schedule'!$F$9,'Recurring Schedule'!$N$9)=0,IF('Recurring Schedule'!$O$9&gt;0,AND(DAY($A217)=MIN(DAY('Recurring Schedule'!$F$9),DAY(EOMONTH($A217,0))),MOD((YEAR($A217)-YEAR('Recurring Schedule'!$F$9))*12+MONTH($A217)-MONTH('Recurring Schedule'!$F$9),'Recurring Schedule'!$O$9)=0),IF('Recurring Schedule'!$E$9="Weekdays",WEEKDAY($A217,2)&lt;=5,$A217='Recurring Schedule'!$F$9))),4,""))))</f>
        <v/>
      </c>
      <c r="F217">
        <f>IF('Recurring Schedule'!$C$10="","",IF('Recurring Schedule'!$F$10="","",IF(OR($A217&lt;'Recurring Schedule'!$F$10,$A217&gt;'Recurring Schedule'!$P$10),"",IF(IF('Recurring Schedule'!$N$10&gt;0,MOD($A217-'Recurring Schedule'!$F$10,'Recurring Schedule'!$N$10)=0,IF('Recurring Schedule'!$O$10&gt;0,AND(DAY($A217)=MIN(DAY('Recurring Schedule'!$F$10),DAY(EOMONTH($A217,0))),MOD((YEAR($A217)-YEAR('Recurring Schedule'!$F$10))*12+MONTH($A217)-MONTH('Recurring Schedule'!$F$10),'Recurring Schedule'!$O$10)=0),IF('Recurring Schedule'!$E$10="Weekdays",WEEKDAY($A217,2)&lt;=5,$A217='Recurring Schedule'!$F$10))),5,""))))</f>
        <v/>
      </c>
      <c r="G217">
        <f>IF('Recurring Schedule'!$C$11="","",IF('Recurring Schedule'!$F$11="","",IF(OR($A217&lt;'Recurring Schedule'!$F$11,$A217&gt;'Recurring Schedule'!$P$11),"",IF(IF('Recurring Schedule'!$N$11&gt;0,MOD($A217-'Recurring Schedule'!$F$11,'Recurring Schedule'!$N$11)=0,IF('Recurring Schedule'!$O$11&gt;0,AND(DAY($A217)=MIN(DAY('Recurring Schedule'!$F$11),DAY(EOMONTH($A217,0))),MOD((YEAR($A217)-YEAR('Recurring Schedule'!$F$11))*12+MONTH($A217)-MONTH('Recurring Schedule'!$F$11),'Recurring Schedule'!$O$11)=0),IF('Recurring Schedule'!$E$11="Weekdays",WEEKDAY($A217,2)&lt;=5,$A217='Recurring Schedule'!$F$11))),6,""))))</f>
        <v/>
      </c>
      <c r="H217">
        <f>IF('Recurring Schedule'!$C$12="","",IF('Recurring Schedule'!$F$12="","",IF(OR($A217&lt;'Recurring Schedule'!$F$12,$A217&gt;'Recurring Schedule'!$P$12),"",IF(IF('Recurring Schedule'!$N$12&gt;0,MOD($A217-'Recurring Schedule'!$F$12,'Recurring Schedule'!$N$12)=0,IF('Recurring Schedule'!$O$12&gt;0,AND(DAY($A217)=MIN(DAY('Recurring Schedule'!$F$12),DAY(EOMONTH($A217,0))),MOD((YEAR($A217)-YEAR('Recurring Schedule'!$F$12))*12+MONTH($A217)-MONTH('Recurring Schedule'!$F$12),'Recurring Schedule'!$O$12)=0),IF('Recurring Schedule'!$E$12="Weekdays",WEEKDAY($A217,2)&lt;=5,$A217='Recurring Schedule'!$F$12))),7,""))))</f>
        <v/>
      </c>
      <c r="I217">
        <f>IF('Recurring Schedule'!$C$13="","",IF('Recurring Schedule'!$F$13="","",IF(OR($A217&lt;'Recurring Schedule'!$F$13,$A217&gt;'Recurring Schedule'!$P$13),"",IF(IF('Recurring Schedule'!$N$13&gt;0,MOD($A217-'Recurring Schedule'!$F$13,'Recurring Schedule'!$N$13)=0,IF('Recurring Schedule'!$O$13&gt;0,AND(DAY($A217)=MIN(DAY('Recurring Schedule'!$F$13),DAY(EOMONTH($A217,0))),MOD((YEAR($A217)-YEAR('Recurring Schedule'!$F$13))*12+MONTH($A217)-MONTH('Recurring Schedule'!$F$13),'Recurring Schedule'!$O$13)=0),IF('Recurring Schedule'!$E$13="Weekdays",WEEKDAY($A217,2)&lt;=5,$A217='Recurring Schedule'!$F$13))),8,""))))</f>
        <v/>
      </c>
      <c r="J217">
        <f>IF('Recurring Schedule'!$C$14="","",IF('Recurring Schedule'!$F$14="","",IF(OR($A217&lt;'Recurring Schedule'!$F$14,$A217&gt;'Recurring Schedule'!$P$14),"",IF(IF('Recurring Schedule'!$N$14&gt;0,MOD($A217-'Recurring Schedule'!$F$14,'Recurring Schedule'!$N$14)=0,IF('Recurring Schedule'!$O$14&gt;0,AND(DAY($A217)=MIN(DAY('Recurring Schedule'!$F$14),DAY(EOMONTH($A217,0))),MOD((YEAR($A217)-YEAR('Recurring Schedule'!$F$14))*12+MONTH($A217)-MONTH('Recurring Schedule'!$F$14),'Recurring Schedule'!$O$14)=0),IF('Recurring Schedule'!$E$14="Weekdays",WEEKDAY($A217,2)&lt;=5,$A217='Recurring Schedule'!$F$14))),9,""))))</f>
        <v/>
      </c>
      <c r="K217">
        <f>IF('Recurring Schedule'!$C$15="","",IF('Recurring Schedule'!$F$15="","",IF(OR($A217&lt;'Recurring Schedule'!$F$15,$A217&gt;'Recurring Schedule'!$P$15),"",IF(IF('Recurring Schedule'!$N$15&gt;0,MOD($A217-'Recurring Schedule'!$F$15,'Recurring Schedule'!$N$15)=0,IF('Recurring Schedule'!$O$15&gt;0,AND(DAY($A217)=MIN(DAY('Recurring Schedule'!$F$15),DAY(EOMONTH($A217,0))),MOD((YEAR($A217)-YEAR('Recurring Schedule'!$F$15))*12+MONTH($A217)-MONTH('Recurring Schedule'!$F$15),'Recurring Schedule'!$O$15)=0),IF('Recurring Schedule'!$E$15="Weekdays",WEEKDAY($A217,2)&lt;=5,$A217='Recurring Schedule'!$F$15))),10,""))))</f>
        <v/>
      </c>
      <c r="L217">
        <f>IF('Recurring Schedule'!$C$16="","",IF('Recurring Schedule'!$F$16="","",IF(OR($A217&lt;'Recurring Schedule'!$F$16,$A217&gt;'Recurring Schedule'!$P$16),"",IF(IF('Recurring Schedule'!$N$16&gt;0,MOD($A217-'Recurring Schedule'!$F$16,'Recurring Schedule'!$N$16)=0,IF('Recurring Schedule'!$O$16&gt;0,AND(DAY($A217)=MIN(DAY('Recurring Schedule'!$F$16),DAY(EOMONTH($A217,0))),MOD((YEAR($A217)-YEAR('Recurring Schedule'!$F$16))*12+MONTH($A217)-MONTH('Recurring Schedule'!$F$16),'Recurring Schedule'!$O$16)=0),IF('Recurring Schedule'!$E$16="Weekdays",WEEKDAY($A217,2)&lt;=5,$A217='Recurring Schedule'!$F$16))),11,""))))</f>
        <v/>
      </c>
      <c r="M217">
        <f>IF('Recurring Schedule'!$C$17="","",IF('Recurring Schedule'!$F$17="","",IF(OR($A217&lt;'Recurring Schedule'!$F$17,$A217&gt;'Recurring Schedule'!$P$17),"",IF(IF('Recurring Schedule'!$N$17&gt;0,MOD($A217-'Recurring Schedule'!$F$17,'Recurring Schedule'!$N$17)=0,IF('Recurring Schedule'!$O$17&gt;0,AND(DAY($A217)=MIN(DAY('Recurring Schedule'!$F$17),DAY(EOMONTH($A217,0))),MOD((YEAR($A217)-YEAR('Recurring Schedule'!$F$17))*12+MONTH($A217)-MONTH('Recurring Schedule'!$F$17),'Recurring Schedule'!$O$17)=0),IF('Recurring Schedule'!$E$17="Weekdays",WEEKDAY($A217,2)&lt;=5,$A217='Recurring Schedule'!$F$17))),12,""))))</f>
        <v/>
      </c>
      <c r="N217">
        <f>IF('Recurring Schedule'!$C$18="","",IF('Recurring Schedule'!$F$18="","",IF(OR($A217&lt;'Recurring Schedule'!$F$18,$A217&gt;'Recurring Schedule'!$P$18),"",IF(IF('Recurring Schedule'!$N$18&gt;0,MOD($A217-'Recurring Schedule'!$F$18,'Recurring Schedule'!$N$18)=0,IF('Recurring Schedule'!$O$18&gt;0,AND(DAY($A217)=MIN(DAY('Recurring Schedule'!$F$18),DAY(EOMONTH($A217,0))),MOD((YEAR($A217)-YEAR('Recurring Schedule'!$F$18))*12+MONTH($A217)-MONTH('Recurring Schedule'!$F$18),'Recurring Schedule'!$O$18)=0),IF('Recurring Schedule'!$E$18="Weekdays",WEEKDAY($A217,2)&lt;=5,$A217='Recurring Schedule'!$F$18))),13,""))))</f>
        <v/>
      </c>
      <c r="O217">
        <f>IF('Recurring Schedule'!$C$19="","",IF('Recurring Schedule'!$F$19="","",IF(OR($A217&lt;'Recurring Schedule'!$F$19,$A217&gt;'Recurring Schedule'!$P$19),"",IF(IF('Recurring Schedule'!$N$19&gt;0,MOD($A217-'Recurring Schedule'!$F$19,'Recurring Schedule'!$N$19)=0,IF('Recurring Schedule'!$O$19&gt;0,AND(DAY($A217)=MIN(DAY('Recurring Schedule'!$F$19),DAY(EOMONTH($A217,0))),MOD((YEAR($A217)-YEAR('Recurring Schedule'!$F$19))*12+MONTH($A217)-MONTH('Recurring Schedule'!$F$19),'Recurring Schedule'!$O$19)=0),IF('Recurring Schedule'!$E$19="Weekdays",WEEKDAY($A217,2)&lt;=5,$A217='Recurring Schedule'!$F$19))),14,""))))</f>
        <v/>
      </c>
      <c r="P217">
        <f>IF('Recurring Schedule'!$C$20="","",IF('Recurring Schedule'!$F$20="","",IF(OR($A217&lt;'Recurring Schedule'!$F$20,$A217&gt;'Recurring Schedule'!$P$20),"",IF(IF('Recurring Schedule'!$N$20&gt;0,MOD($A217-'Recurring Schedule'!$F$20,'Recurring Schedule'!$N$20)=0,IF('Recurring Schedule'!$O$20&gt;0,AND(DAY($A217)=MIN(DAY('Recurring Schedule'!$F$20),DAY(EOMONTH($A217,0))),MOD((YEAR($A217)-YEAR('Recurring Schedule'!$F$20))*12+MONTH($A217)-MONTH('Recurring Schedule'!$F$20),'Recurring Schedule'!$O$20)=0),IF('Recurring Schedule'!$E$20="Weekdays",WEEKDAY($A217,2)&lt;=5,$A217='Recurring Schedule'!$F$20))),15,""))))</f>
        <v/>
      </c>
      <c r="Q217">
        <f>IF('Recurring Schedule'!$C$21="","",IF('Recurring Schedule'!$F$21="","",IF(OR($A217&lt;'Recurring Schedule'!$F$21,$A217&gt;'Recurring Schedule'!$P$21),"",IF(IF('Recurring Schedule'!$N$21&gt;0,MOD($A217-'Recurring Schedule'!$F$21,'Recurring Schedule'!$N$21)=0,IF('Recurring Schedule'!$O$21&gt;0,AND(DAY($A217)=MIN(DAY('Recurring Schedule'!$F$21),DAY(EOMONTH($A217,0))),MOD((YEAR($A217)-YEAR('Recurring Schedule'!$F$21))*12+MONTH($A217)-MONTH('Recurring Schedule'!$F$21),'Recurring Schedule'!$O$21)=0),IF('Recurring Schedule'!$E$21="Weekdays",WEEKDAY($A217,2)&lt;=5,$A217='Recurring Schedule'!$F$21))),16,""))))</f>
        <v/>
      </c>
      <c r="R217">
        <f>IF('Recurring Schedule'!$C$22="","",IF('Recurring Schedule'!$F$22="","",IF(OR($A217&lt;'Recurring Schedule'!$F$22,$A217&gt;'Recurring Schedule'!$P$22),"",IF(IF('Recurring Schedule'!$N$22&gt;0,MOD($A217-'Recurring Schedule'!$F$22,'Recurring Schedule'!$N$22)=0,IF('Recurring Schedule'!$O$22&gt;0,AND(DAY($A217)=MIN(DAY('Recurring Schedule'!$F$22),DAY(EOMONTH($A217,0))),MOD((YEAR($A217)-YEAR('Recurring Schedule'!$F$22))*12+MONTH($A217)-MONTH('Recurring Schedule'!$F$22),'Recurring Schedule'!$O$22)=0),IF('Recurring Schedule'!$E$22="Weekdays",WEEKDAY($A217,2)&lt;=5,$A217='Recurring Schedule'!$F$22))),17,""))))</f>
        <v/>
      </c>
      <c r="S217">
        <f>IF('Recurring Schedule'!$C$23="","",IF('Recurring Schedule'!$F$23="","",IF(OR($A217&lt;'Recurring Schedule'!$F$23,$A217&gt;'Recurring Schedule'!$P$23),"",IF(IF('Recurring Schedule'!$N$23&gt;0,MOD($A217-'Recurring Schedule'!$F$23,'Recurring Schedule'!$N$23)=0,IF('Recurring Schedule'!$O$23&gt;0,AND(DAY($A217)=MIN(DAY('Recurring Schedule'!$F$23),DAY(EOMONTH($A217,0))),MOD((YEAR($A217)-YEAR('Recurring Schedule'!$F$23))*12+MONTH($A217)-MONTH('Recurring Schedule'!$F$23),'Recurring Schedule'!$O$23)=0),IF('Recurring Schedule'!$E$23="Weekdays",WEEKDAY($A217,2)&lt;=5,$A217='Recurring Schedule'!$F$23))),18,""))))</f>
        <v/>
      </c>
      <c r="T217">
        <f>IF('Recurring Schedule'!$C$24="","",IF('Recurring Schedule'!$F$24="","",IF(OR($A217&lt;'Recurring Schedule'!$F$24,$A217&gt;'Recurring Schedule'!$P$24),"",IF(IF('Recurring Schedule'!$N$24&gt;0,MOD($A217-'Recurring Schedule'!$F$24,'Recurring Schedule'!$N$24)=0,IF('Recurring Schedule'!$O$24&gt;0,AND(DAY($A217)=MIN(DAY('Recurring Schedule'!$F$24),DAY(EOMONTH($A217,0))),MOD((YEAR($A217)-YEAR('Recurring Schedule'!$F$24))*12+MONTH($A217)-MONTH('Recurring Schedule'!$F$24),'Recurring Schedule'!$O$24)=0),IF('Recurring Schedule'!$E$24="Weekdays",WEEKDAY($A217,2)&lt;=5,$A217='Recurring Schedule'!$F$24))),19,""))))</f>
        <v/>
      </c>
      <c r="U217">
        <f>IF('Recurring Schedule'!$C$25="","",IF('Recurring Schedule'!$F$25="","",IF(OR($A217&lt;'Recurring Schedule'!$F$25,$A217&gt;'Recurring Schedule'!$P$25),"",IF(IF('Recurring Schedule'!$N$25&gt;0,MOD($A217-'Recurring Schedule'!$F$25,'Recurring Schedule'!$N$25)=0,IF('Recurring Schedule'!$O$25&gt;0,AND(DAY($A217)=MIN(DAY('Recurring Schedule'!$F$25),DAY(EOMONTH($A217,0))),MOD((YEAR($A217)-YEAR('Recurring Schedule'!$F$25))*12+MONTH($A217)-MONTH('Recurring Schedule'!$F$25),'Recurring Schedule'!$O$25)=0),IF('Recurring Schedule'!$E$25="Weekdays",WEEKDAY($A217,2)&lt;=5,$A217='Recurring Schedule'!$F$25))),20,""))))</f>
        <v/>
      </c>
      <c r="V217">
        <f>IF('Recurring Schedule'!$C$26="","",IF('Recurring Schedule'!$F$26="","",IF(OR($A217&lt;'Recurring Schedule'!$F$26,$A217&gt;'Recurring Schedule'!$P$26),"",IF(IF('Recurring Schedule'!$N$26&gt;0,MOD($A217-'Recurring Schedule'!$F$26,'Recurring Schedule'!$N$26)=0,IF('Recurring Schedule'!$O$26&gt;0,AND(DAY($A217)=MIN(DAY('Recurring Schedule'!$F$26),DAY(EOMONTH($A217,0))),MOD((YEAR($A217)-YEAR('Recurring Schedule'!$F$26))*12+MONTH($A217)-MONTH('Recurring Schedule'!$F$26),'Recurring Schedule'!$O$26)=0),IF('Recurring Schedule'!$E$26="Weekdays",WEEKDAY($A217,2)&lt;=5,$A217='Recurring Schedule'!$F$26))),21,""))))</f>
        <v/>
      </c>
      <c r="W217">
        <f>IF('Recurring Schedule'!$C$27="","",IF('Recurring Schedule'!$F$27="","",IF(OR($A217&lt;'Recurring Schedule'!$F$27,$A217&gt;'Recurring Schedule'!$P$27),"",IF(IF('Recurring Schedule'!$N$27&gt;0,MOD($A217-'Recurring Schedule'!$F$27,'Recurring Schedule'!$N$27)=0,IF('Recurring Schedule'!$O$27&gt;0,AND(DAY($A217)=MIN(DAY('Recurring Schedule'!$F$27),DAY(EOMONTH($A217,0))),MOD((YEAR($A217)-YEAR('Recurring Schedule'!$F$27))*12+MONTH($A217)-MONTH('Recurring Schedule'!$F$27),'Recurring Schedule'!$O$27)=0),IF('Recurring Schedule'!$E$27="Weekdays",WEEKDAY($A217,2)&lt;=5,$A217='Recurring Schedule'!$F$27))),22,""))))</f>
        <v/>
      </c>
      <c r="X217">
        <f>IF('Recurring Schedule'!$C$28="","",IF('Recurring Schedule'!$F$28="","",IF(OR($A217&lt;'Recurring Schedule'!$F$28,$A217&gt;'Recurring Schedule'!$P$28),"",IF(IF('Recurring Schedule'!$N$28&gt;0,MOD($A217-'Recurring Schedule'!$F$28,'Recurring Schedule'!$N$28)=0,IF('Recurring Schedule'!$O$28&gt;0,AND(DAY($A217)=MIN(DAY('Recurring Schedule'!$F$28),DAY(EOMONTH($A217,0))),MOD((YEAR($A217)-YEAR('Recurring Schedule'!$F$28))*12+MONTH($A217)-MONTH('Recurring Schedule'!$F$28),'Recurring Schedule'!$O$28)=0),IF('Recurring Schedule'!$E$28="Weekdays",WEEKDAY($A217,2)&lt;=5,$A217='Recurring Schedule'!$F$28))),23,""))))</f>
        <v/>
      </c>
      <c r="Y217">
        <f>IF('Recurring Schedule'!$C$29="","",IF('Recurring Schedule'!$F$29="","",IF(OR($A217&lt;'Recurring Schedule'!$F$29,$A217&gt;'Recurring Schedule'!$P$29),"",IF(IF('Recurring Schedule'!$N$29&gt;0,MOD($A217-'Recurring Schedule'!$F$29,'Recurring Schedule'!$N$29)=0,IF('Recurring Schedule'!$O$29&gt;0,AND(DAY($A217)=MIN(DAY('Recurring Schedule'!$F$29),DAY(EOMONTH($A217,0))),MOD((YEAR($A217)-YEAR('Recurring Schedule'!$F$29))*12+MONTH($A217)-MONTH('Recurring Schedule'!$F$29),'Recurring Schedule'!$O$29)=0),IF('Recurring Schedule'!$E$29="Weekdays",WEEKDAY($A217,2)&lt;=5,$A217='Recurring Schedule'!$F$29))),24,""))))</f>
        <v/>
      </c>
      <c r="Z217">
        <f>IF('Recurring Schedule'!$C$30="","",IF('Recurring Schedule'!$F$30="","",IF(OR($A217&lt;'Recurring Schedule'!$F$30,$A217&gt;'Recurring Schedule'!$P$30),"",IF(IF('Recurring Schedule'!$N$30&gt;0,MOD($A217-'Recurring Schedule'!$F$30,'Recurring Schedule'!$N$30)=0,IF('Recurring Schedule'!$O$30&gt;0,AND(DAY($A217)=MIN(DAY('Recurring Schedule'!$F$30),DAY(EOMONTH($A217,0))),MOD((YEAR($A217)-YEAR('Recurring Schedule'!$F$30))*12+MONTH($A217)-MONTH('Recurring Schedule'!$F$30),'Recurring Schedule'!$O$30)=0),IF('Recurring Schedule'!$E$30="Weekdays",WEEKDAY($A217,2)&lt;=5,$A217='Recurring Schedule'!$F$30))),25,""))))</f>
        <v/>
      </c>
      <c r="AA217">
        <f>IF('Recurring Schedule'!$C$31="","",IF('Recurring Schedule'!$F$31="","",IF(OR($A217&lt;'Recurring Schedule'!$F$31,$A217&gt;'Recurring Schedule'!$P$31),"",IF(IF('Recurring Schedule'!$N$31&gt;0,MOD($A217-'Recurring Schedule'!$F$31,'Recurring Schedule'!$N$31)=0,IF('Recurring Schedule'!$O$31&gt;0,AND(DAY($A217)=MIN(DAY('Recurring Schedule'!$F$31),DAY(EOMONTH($A217,0))),MOD((YEAR($A217)-YEAR('Recurring Schedule'!$F$31))*12+MONTH($A217)-MONTH('Recurring Schedule'!$F$31),'Recurring Schedule'!$O$31)=0),IF('Recurring Schedule'!$E$31="Weekdays",WEEKDAY($A217,2)&lt;=5,$A217='Recurring Schedule'!$F$31))),26,""))))</f>
        <v/>
      </c>
      <c r="AB217">
        <f>IF('Recurring Schedule'!$C$32="","",IF('Recurring Schedule'!$F$32="","",IF(OR($A217&lt;'Recurring Schedule'!$F$32,$A217&gt;'Recurring Schedule'!$P$32),"",IF(IF('Recurring Schedule'!$N$32&gt;0,MOD($A217-'Recurring Schedule'!$F$32,'Recurring Schedule'!$N$32)=0,IF('Recurring Schedule'!$O$32&gt;0,AND(DAY($A217)=MIN(DAY('Recurring Schedule'!$F$32),DAY(EOMONTH($A217,0))),MOD((YEAR($A217)-YEAR('Recurring Schedule'!$F$32))*12+MONTH($A217)-MONTH('Recurring Schedule'!$F$32),'Recurring Schedule'!$O$32)=0),IF('Recurring Schedule'!$E$32="Weekdays",WEEKDAY($A217,2)&lt;=5,$A217='Recurring Schedule'!$F$32))),27,""))))</f>
        <v/>
      </c>
      <c r="AC217">
        <f>IF('Recurring Schedule'!$C$33="","",IF('Recurring Schedule'!$F$33="","",IF(OR($A217&lt;'Recurring Schedule'!$F$33,$A217&gt;'Recurring Schedule'!$P$33),"",IF(IF('Recurring Schedule'!$N$33&gt;0,MOD($A217-'Recurring Schedule'!$F$33,'Recurring Schedule'!$N$33)=0,IF('Recurring Schedule'!$O$33&gt;0,AND(DAY($A217)=MIN(DAY('Recurring Schedule'!$F$33),DAY(EOMONTH($A217,0))),MOD((YEAR($A217)-YEAR('Recurring Schedule'!$F$33))*12+MONTH($A217)-MONTH('Recurring Schedule'!$F$33),'Recurring Schedule'!$O$33)=0),IF('Recurring Schedule'!$E$33="Weekdays",WEEKDAY($A217,2)&lt;=5,$A217='Recurring Schedule'!$F$33))),28,""))))</f>
        <v/>
      </c>
      <c r="AD217">
        <f>IF('Recurring Schedule'!$C$34="","",IF('Recurring Schedule'!$F$34="","",IF(OR($A217&lt;'Recurring Schedule'!$F$34,$A217&gt;'Recurring Schedule'!$P$34),"",IF(IF('Recurring Schedule'!$N$34&gt;0,MOD($A217-'Recurring Schedule'!$F$34,'Recurring Schedule'!$N$34)=0,IF('Recurring Schedule'!$O$34&gt;0,AND(DAY($A217)=MIN(DAY('Recurring Schedule'!$F$34),DAY(EOMONTH($A217,0))),MOD((YEAR($A217)-YEAR('Recurring Schedule'!$F$34))*12+MONTH($A217)-MONTH('Recurring Schedule'!$F$34),'Recurring Schedule'!$O$34)=0),IF('Recurring Schedule'!$E$34="Weekdays",WEEKDAY($A217,2)&lt;=5,$A217='Recurring Schedule'!$F$34))),29,""))))</f>
        <v/>
      </c>
      <c r="AE217">
        <f>IF('Recurring Schedule'!$C$35="","",IF('Recurring Schedule'!$F$35="","",IF(OR($A217&lt;'Recurring Schedule'!$F$35,$A217&gt;'Recurring Schedule'!$P$35),"",IF(IF('Recurring Schedule'!$N$35&gt;0,MOD($A217-'Recurring Schedule'!$F$35,'Recurring Schedule'!$N$35)=0,IF('Recurring Schedule'!$O$35&gt;0,AND(DAY($A217)=MIN(DAY('Recurring Schedule'!$F$35),DAY(EOMONTH($A217,0))),MOD((YEAR($A217)-YEAR('Recurring Schedule'!$F$35))*12+MONTH($A217)-MONTH('Recurring Schedule'!$F$35),'Recurring Schedule'!$O$35)=0),IF('Recurring Schedule'!$E$35="Weekdays",WEEKDAY($A217,2)&lt;=5,$A217='Recurring Schedule'!$F$35))),30,""))))</f>
        <v/>
      </c>
      <c r="AF217">
        <f>IF('Recurring Schedule'!$C$36="","",IF('Recurring Schedule'!$F$36="","",IF(OR($A217&lt;'Recurring Schedule'!$F$36,$A217&gt;'Recurring Schedule'!$P$36),"",IF(IF('Recurring Schedule'!$N$36&gt;0,MOD($A217-'Recurring Schedule'!$F$36,'Recurring Schedule'!$N$36)=0,IF('Recurring Schedule'!$O$36&gt;0,AND(DAY($A217)=MIN(DAY('Recurring Schedule'!$F$36),DAY(EOMONTH($A217,0))),MOD((YEAR($A217)-YEAR('Recurring Schedule'!$F$36))*12+MONTH($A217)-MONTH('Recurring Schedule'!$F$36),'Recurring Schedule'!$O$36)=0),IF('Recurring Schedule'!$E$36="Weekdays",WEEKDAY($A217,2)&lt;=5,$A217='Recurring Schedule'!$F$36))),31,""))))</f>
        <v/>
      </c>
      <c r="AG217">
        <f>IF('Recurring Schedule'!$C$37="","",IF('Recurring Schedule'!$F$37="","",IF(OR($A217&lt;'Recurring Schedule'!$F$37,$A217&gt;'Recurring Schedule'!$P$37),"",IF(IF('Recurring Schedule'!$N$37&gt;0,MOD($A217-'Recurring Schedule'!$F$37,'Recurring Schedule'!$N$37)=0,IF('Recurring Schedule'!$O$37&gt;0,AND(DAY($A217)=MIN(DAY('Recurring Schedule'!$F$37),DAY(EOMONTH($A217,0))),MOD((YEAR($A217)-YEAR('Recurring Schedule'!$F$37))*12+MONTH($A217)-MONTH('Recurring Schedule'!$F$37),'Recurring Schedule'!$O$37)=0),IF('Recurring Schedule'!$E$37="Weekdays",WEEKDAY($A217,2)&lt;=5,$A217='Recurring Schedule'!$F$37))),32,""))))</f>
        <v/>
      </c>
      <c r="AH217">
        <f>IF('Recurring Schedule'!$C$38="","",IF('Recurring Schedule'!$F$38="","",IF(OR($A217&lt;'Recurring Schedule'!$F$38,$A217&gt;'Recurring Schedule'!$P$38),"",IF(IF('Recurring Schedule'!$N$38&gt;0,MOD($A217-'Recurring Schedule'!$F$38,'Recurring Schedule'!$N$38)=0,IF('Recurring Schedule'!$O$38&gt;0,AND(DAY($A217)=MIN(DAY('Recurring Schedule'!$F$38),DAY(EOMONTH($A217,0))),MOD((YEAR($A217)-YEAR('Recurring Schedule'!$F$38))*12+MONTH($A217)-MONTH('Recurring Schedule'!$F$38),'Recurring Schedule'!$O$38)=0),IF('Recurring Schedule'!$E$38="Weekdays",WEEKDAY($A217,2)&lt;=5,$A217='Recurring Schedule'!$F$38))),33,""))))</f>
        <v/>
      </c>
      <c r="AI217">
        <f>IF('Recurring Schedule'!$C$39="","",IF('Recurring Schedule'!$F$39="","",IF(OR($A217&lt;'Recurring Schedule'!$F$39,$A217&gt;'Recurring Schedule'!$P$39),"",IF(IF('Recurring Schedule'!$N$39&gt;0,MOD($A217-'Recurring Schedule'!$F$39,'Recurring Schedule'!$N$39)=0,IF('Recurring Schedule'!$O$39&gt;0,AND(DAY($A217)=MIN(DAY('Recurring Schedule'!$F$39),DAY(EOMONTH($A217,0))),MOD((YEAR($A217)-YEAR('Recurring Schedule'!$F$39))*12+MONTH($A217)-MONTH('Recurring Schedule'!$F$39),'Recurring Schedule'!$O$39)=0),IF('Recurring Schedule'!$E$39="Weekdays",WEEKDAY($A217,2)&lt;=5,$A217='Recurring Schedule'!$F$39))),34,""))))</f>
        <v/>
      </c>
      <c r="AJ217">
        <f>IF('Recurring Schedule'!$C$40="","",IF('Recurring Schedule'!$F$40="","",IF(OR($A217&lt;'Recurring Schedule'!$F$40,$A217&gt;'Recurring Schedule'!$P$40),"",IF(IF('Recurring Schedule'!$N$40&gt;0,MOD($A217-'Recurring Schedule'!$F$40,'Recurring Schedule'!$N$40)=0,IF('Recurring Schedule'!$O$40&gt;0,AND(DAY($A217)=MIN(DAY('Recurring Schedule'!$F$40),DAY(EOMONTH($A217,0))),MOD((YEAR($A217)-YEAR('Recurring Schedule'!$F$40))*12+MONTH($A217)-MONTH('Recurring Schedule'!$F$40),'Recurring Schedule'!$O$40)=0),IF('Recurring Schedule'!$E$40="Weekdays",WEEKDAY($A217,2)&lt;=5,$A217='Recurring Schedule'!$F$40))),35,""))))</f>
        <v/>
      </c>
      <c r="AK217">
        <f>IF('Recurring Schedule'!$C$41="","",IF('Recurring Schedule'!$F$41="","",IF(OR($A217&lt;'Recurring Schedule'!$F$41,$A217&gt;'Recurring Schedule'!$P$41),"",IF(IF('Recurring Schedule'!$N$41&gt;0,MOD($A217-'Recurring Schedule'!$F$41,'Recurring Schedule'!$N$41)=0,IF('Recurring Schedule'!$O$41&gt;0,AND(DAY($A217)=MIN(DAY('Recurring Schedule'!$F$41),DAY(EOMONTH($A217,0))),MOD((YEAR($A217)-YEAR('Recurring Schedule'!$F$41))*12+MONTH($A217)-MONTH('Recurring Schedule'!$F$41),'Recurring Schedule'!$O$41)=0),IF('Recurring Schedule'!$E$41="Weekdays",WEEKDAY($A217,2)&lt;=5,$A217='Recurring Schedule'!$F$41))),36,""))))</f>
        <v/>
      </c>
      <c r="AL217">
        <f>IF('Recurring Schedule'!$C$42="","",IF('Recurring Schedule'!$F$42="","",IF(OR($A217&lt;'Recurring Schedule'!$F$42,$A217&gt;'Recurring Schedule'!$P$42),"",IF(IF('Recurring Schedule'!$N$42&gt;0,MOD($A217-'Recurring Schedule'!$F$42,'Recurring Schedule'!$N$42)=0,IF('Recurring Schedule'!$O$42&gt;0,AND(DAY($A217)=MIN(DAY('Recurring Schedule'!$F$42),DAY(EOMONTH($A217,0))),MOD((YEAR($A217)-YEAR('Recurring Schedule'!$F$42))*12+MONTH($A217)-MONTH('Recurring Schedule'!$F$42),'Recurring Schedule'!$O$42)=0),IF('Recurring Schedule'!$E$42="Weekdays",WEEKDAY($A217,2)&lt;=5,$A217='Recurring Schedule'!$F$42))),37,""))))</f>
        <v/>
      </c>
      <c r="AM217">
        <f>IF('Recurring Schedule'!$C$43="","",IF('Recurring Schedule'!$F$43="","",IF(OR($A217&lt;'Recurring Schedule'!$F$43,$A217&gt;'Recurring Schedule'!$P$43),"",IF(IF('Recurring Schedule'!$N$43&gt;0,MOD($A217-'Recurring Schedule'!$F$43,'Recurring Schedule'!$N$43)=0,IF('Recurring Schedule'!$O$43&gt;0,AND(DAY($A217)=MIN(DAY('Recurring Schedule'!$F$43),DAY(EOMONTH($A217,0))),MOD((YEAR($A217)-YEAR('Recurring Schedule'!$F$43))*12+MONTH($A217)-MONTH('Recurring Schedule'!$F$43),'Recurring Schedule'!$O$43)=0),IF('Recurring Schedule'!$E$43="Weekdays",WEEKDAY($A217,2)&lt;=5,$A217='Recurring Schedule'!$F$43))),38,""))))</f>
        <v/>
      </c>
      <c r="AN217">
        <f>IF('Recurring Schedule'!$C$44="","",IF('Recurring Schedule'!$F$44="","",IF(OR($A217&lt;'Recurring Schedule'!$F$44,$A217&gt;'Recurring Schedule'!$P$44),"",IF(IF('Recurring Schedule'!$N$44&gt;0,MOD($A217-'Recurring Schedule'!$F$44,'Recurring Schedule'!$N$44)=0,IF('Recurring Schedule'!$O$44&gt;0,AND(DAY($A217)=MIN(DAY('Recurring Schedule'!$F$44),DAY(EOMONTH($A217,0))),MOD((YEAR($A217)-YEAR('Recurring Schedule'!$F$44))*12+MONTH($A217)-MONTH('Recurring Schedule'!$F$44),'Recurring Schedule'!$O$44)=0),IF('Recurring Schedule'!$E$44="Weekdays",WEEKDAY($A217,2)&lt;=5,$A217='Recurring Schedule'!$F$44))),39,""))))</f>
        <v/>
      </c>
      <c r="AO217">
        <f>IF('Recurring Schedule'!$C$45="","",IF('Recurring Schedule'!$F$45="","",IF(OR($A217&lt;'Recurring Schedule'!$F$45,$A217&gt;'Recurring Schedule'!$P$45),"",IF(IF('Recurring Schedule'!$N$45&gt;0,MOD($A217-'Recurring Schedule'!$F$45,'Recurring Schedule'!$N$45)=0,IF('Recurring Schedule'!$O$45&gt;0,AND(DAY($A217)=MIN(DAY('Recurring Schedule'!$F$45),DAY(EOMONTH($A217,0))),MOD((YEAR($A217)-YEAR('Recurring Schedule'!$F$45))*12+MONTH($A217)-MONTH('Recurring Schedule'!$F$45),'Recurring Schedule'!$O$45)=0),IF('Recurring Schedule'!$E$45="Weekdays",WEEKDAY($A217,2)&lt;=5,$A217='Recurring Schedule'!$F$45))),40,""))))</f>
        <v/>
      </c>
      <c r="AP217">
        <f>COUNT(B217:AO217)</f>
        <v/>
      </c>
      <c r="AQ217">
        <f>AQ216+AP216</f>
        <v/>
      </c>
      <c r="AS217" t="inlineStr">
        <is>
          <t>R</t>
        </is>
      </c>
      <c r="AT217" t="n">
        <v>221</v>
      </c>
      <c r="AU217">
        <f>'Recurring Log'!C221&amp;""</f>
        <v/>
      </c>
      <c r="AV217">
        <f>'Recurring Log'!D221&amp;""</f>
        <v/>
      </c>
      <c r="AW217">
        <f>IF('Recurring Log'!E221="","",'Recurring Log'!E221)</f>
        <v/>
      </c>
      <c r="AX217">
        <f>IF('Recurring Log'!G221="","",'Recurring Log'!G221)</f>
        <v/>
      </c>
      <c r="AY217">
        <f>IF('Recurring Log'!H221="","",'Recurring Log'!H221)</f>
        <v/>
      </c>
      <c r="AZ217">
        <f>IF(AU217="","",IF('Recurring Log'!J221="","Not Started",'Recurring Log'!J221))</f>
        <v/>
      </c>
      <c r="BA217">
        <f>'Recurring Log'!L221&amp;""</f>
        <v/>
      </c>
      <c r="BB217">
        <f>'Recurring Log'!M221&amp;""</f>
        <v/>
      </c>
      <c r="BC217">
        <f>'Recurring Log'!N221&amp;""</f>
        <v/>
      </c>
      <c r="BD217">
        <f>'Recurring Log'!O221&amp;""</f>
        <v/>
      </c>
      <c r="BE217">
        <f>IF('Recurring Log'!K221="","",'Recurring Log'!K221)</f>
        <v/>
      </c>
      <c r="BF217">
        <f>IFERROR(MATCH(BA217,Setup!$L$6:$L$9,0),5)</f>
        <v/>
      </c>
      <c r="BG217">
        <f>IF(OR(AZ217="Done",AZ217="Cancelled"),1,0)</f>
        <v/>
      </c>
      <c r="BH217">
        <f>IF(AND(AU217&lt;&gt;"",ISNUMBER(AW217)),1,0)</f>
        <v/>
      </c>
      <c r="BI217">
        <f>IF(BH217=0,0,IF(AND(AW217&gt;='Tasks Filter'!$F$3,AW217&lt;='Tasks Filter'!$F$4,OR('Tasks Filter'!$I$3="",ISNUMBER(SEARCH('Tasks Filter'!$I$3,AU217))),OR('Tasks Filter'!$I$4="",BF217=IFERROR(MATCH('Tasks Filter'!$I$4,Setup!$L$6:$L$9,0),0)),OR('Tasks Filter'!$I$5="Both",AND('Tasks Filter'!$I$5="Yes",BB217="✓"),AND('Tasks Filter'!$I$5="No",BB217&lt;&gt;"✓")),OR('Tasks Filter'!$L$3="",AV217='Tasks Filter'!$L$3),OR('Tasks Filter'!$L$4="",AZ217='Tasks Filter'!$L$4),OR('Tasks Filter'!$L$5="",BC217='Tasks Filter'!$L$5),OR('Tasks Filter'!$O$3="",BD217='Tasks Filter'!$O$3),OR('Tasks Filter'!$O$4="Yes",BG217=0)),1,0))</f>
        <v/>
      </c>
      <c r="BJ217">
        <f>IF(BH217=0,"",IF('Tasks Filter'!$F$6="Descending",-1,1)*CHOOSE(MATCH('Tasks Filter'!$F$5,Lists!$G$2:$G$6,0),AW217,BF217,IFERROR(MATCH(AV217,Setup!$F$6:$F$15,0),99),IFERROR(MATCH(BC217,Setup!$H$6:$H$15,0),99),IFERROR(MATCH(AZ217,Setup!$J$6:$J$11,0),99))*1E+9+(AW217-40000)*10000+216)</f>
        <v/>
      </c>
      <c r="BK217">
        <f>IF(BI217=1,BJ217,"")</f>
        <v/>
      </c>
      <c r="BL217">
        <f>IF(AND(BH217=1,BG217=0,N(AW217)&lt;Setup!$D$7),(AW217-40000)*10000+216,"")</f>
        <v/>
      </c>
      <c r="BM217">
        <f>IF(AND(BH217=1,AZ217&lt;&gt;"Cancelled",N(AW217)&gt;=Dashboard!$AB$3,N(AW217)&lt;=Dashboard!$AB$3+6),(AW217-40000)*100000+BF217*10000+216,"")</f>
        <v/>
      </c>
      <c r="BN217">
        <f>IF(AND(BH217=1,AZ217&lt;&gt;"Cancelled"),BF217*10000+216,"")</f>
        <v/>
      </c>
    </row>
    <row r="218">
      <c r="A218">
        <f>Setup!$D$5+216</f>
        <v/>
      </c>
      <c r="B218">
        <f>IF('Recurring Schedule'!$C$6="","",IF('Recurring Schedule'!$F$6="","",IF(OR($A218&lt;'Recurring Schedule'!$F$6,$A218&gt;'Recurring Schedule'!$P$6),"",IF(IF('Recurring Schedule'!$N$6&gt;0,MOD($A218-'Recurring Schedule'!$F$6,'Recurring Schedule'!$N$6)=0,IF('Recurring Schedule'!$O$6&gt;0,AND(DAY($A218)=MIN(DAY('Recurring Schedule'!$F$6),DAY(EOMONTH($A218,0))),MOD((YEAR($A218)-YEAR('Recurring Schedule'!$F$6))*12+MONTH($A218)-MONTH('Recurring Schedule'!$F$6),'Recurring Schedule'!$O$6)=0),IF('Recurring Schedule'!$E$6="Weekdays",WEEKDAY($A218,2)&lt;=5,$A218='Recurring Schedule'!$F$6))),1,""))))</f>
        <v/>
      </c>
      <c r="C218">
        <f>IF('Recurring Schedule'!$C$7="","",IF('Recurring Schedule'!$F$7="","",IF(OR($A218&lt;'Recurring Schedule'!$F$7,$A218&gt;'Recurring Schedule'!$P$7),"",IF(IF('Recurring Schedule'!$N$7&gt;0,MOD($A218-'Recurring Schedule'!$F$7,'Recurring Schedule'!$N$7)=0,IF('Recurring Schedule'!$O$7&gt;0,AND(DAY($A218)=MIN(DAY('Recurring Schedule'!$F$7),DAY(EOMONTH($A218,0))),MOD((YEAR($A218)-YEAR('Recurring Schedule'!$F$7))*12+MONTH($A218)-MONTH('Recurring Schedule'!$F$7),'Recurring Schedule'!$O$7)=0),IF('Recurring Schedule'!$E$7="Weekdays",WEEKDAY($A218,2)&lt;=5,$A218='Recurring Schedule'!$F$7))),2,""))))</f>
        <v/>
      </c>
      <c r="D218">
        <f>IF('Recurring Schedule'!$C$8="","",IF('Recurring Schedule'!$F$8="","",IF(OR($A218&lt;'Recurring Schedule'!$F$8,$A218&gt;'Recurring Schedule'!$P$8),"",IF(IF('Recurring Schedule'!$N$8&gt;0,MOD($A218-'Recurring Schedule'!$F$8,'Recurring Schedule'!$N$8)=0,IF('Recurring Schedule'!$O$8&gt;0,AND(DAY($A218)=MIN(DAY('Recurring Schedule'!$F$8),DAY(EOMONTH($A218,0))),MOD((YEAR($A218)-YEAR('Recurring Schedule'!$F$8))*12+MONTH($A218)-MONTH('Recurring Schedule'!$F$8),'Recurring Schedule'!$O$8)=0),IF('Recurring Schedule'!$E$8="Weekdays",WEEKDAY($A218,2)&lt;=5,$A218='Recurring Schedule'!$F$8))),3,""))))</f>
        <v/>
      </c>
      <c r="E218">
        <f>IF('Recurring Schedule'!$C$9="","",IF('Recurring Schedule'!$F$9="","",IF(OR($A218&lt;'Recurring Schedule'!$F$9,$A218&gt;'Recurring Schedule'!$P$9),"",IF(IF('Recurring Schedule'!$N$9&gt;0,MOD($A218-'Recurring Schedule'!$F$9,'Recurring Schedule'!$N$9)=0,IF('Recurring Schedule'!$O$9&gt;0,AND(DAY($A218)=MIN(DAY('Recurring Schedule'!$F$9),DAY(EOMONTH($A218,0))),MOD((YEAR($A218)-YEAR('Recurring Schedule'!$F$9))*12+MONTH($A218)-MONTH('Recurring Schedule'!$F$9),'Recurring Schedule'!$O$9)=0),IF('Recurring Schedule'!$E$9="Weekdays",WEEKDAY($A218,2)&lt;=5,$A218='Recurring Schedule'!$F$9))),4,""))))</f>
        <v/>
      </c>
      <c r="F218">
        <f>IF('Recurring Schedule'!$C$10="","",IF('Recurring Schedule'!$F$10="","",IF(OR($A218&lt;'Recurring Schedule'!$F$10,$A218&gt;'Recurring Schedule'!$P$10),"",IF(IF('Recurring Schedule'!$N$10&gt;0,MOD($A218-'Recurring Schedule'!$F$10,'Recurring Schedule'!$N$10)=0,IF('Recurring Schedule'!$O$10&gt;0,AND(DAY($A218)=MIN(DAY('Recurring Schedule'!$F$10),DAY(EOMONTH($A218,0))),MOD((YEAR($A218)-YEAR('Recurring Schedule'!$F$10))*12+MONTH($A218)-MONTH('Recurring Schedule'!$F$10),'Recurring Schedule'!$O$10)=0),IF('Recurring Schedule'!$E$10="Weekdays",WEEKDAY($A218,2)&lt;=5,$A218='Recurring Schedule'!$F$10))),5,""))))</f>
        <v/>
      </c>
      <c r="G218">
        <f>IF('Recurring Schedule'!$C$11="","",IF('Recurring Schedule'!$F$11="","",IF(OR($A218&lt;'Recurring Schedule'!$F$11,$A218&gt;'Recurring Schedule'!$P$11),"",IF(IF('Recurring Schedule'!$N$11&gt;0,MOD($A218-'Recurring Schedule'!$F$11,'Recurring Schedule'!$N$11)=0,IF('Recurring Schedule'!$O$11&gt;0,AND(DAY($A218)=MIN(DAY('Recurring Schedule'!$F$11),DAY(EOMONTH($A218,0))),MOD((YEAR($A218)-YEAR('Recurring Schedule'!$F$11))*12+MONTH($A218)-MONTH('Recurring Schedule'!$F$11),'Recurring Schedule'!$O$11)=0),IF('Recurring Schedule'!$E$11="Weekdays",WEEKDAY($A218,2)&lt;=5,$A218='Recurring Schedule'!$F$11))),6,""))))</f>
        <v/>
      </c>
      <c r="H218">
        <f>IF('Recurring Schedule'!$C$12="","",IF('Recurring Schedule'!$F$12="","",IF(OR($A218&lt;'Recurring Schedule'!$F$12,$A218&gt;'Recurring Schedule'!$P$12),"",IF(IF('Recurring Schedule'!$N$12&gt;0,MOD($A218-'Recurring Schedule'!$F$12,'Recurring Schedule'!$N$12)=0,IF('Recurring Schedule'!$O$12&gt;0,AND(DAY($A218)=MIN(DAY('Recurring Schedule'!$F$12),DAY(EOMONTH($A218,0))),MOD((YEAR($A218)-YEAR('Recurring Schedule'!$F$12))*12+MONTH($A218)-MONTH('Recurring Schedule'!$F$12),'Recurring Schedule'!$O$12)=0),IF('Recurring Schedule'!$E$12="Weekdays",WEEKDAY($A218,2)&lt;=5,$A218='Recurring Schedule'!$F$12))),7,""))))</f>
        <v/>
      </c>
      <c r="I218">
        <f>IF('Recurring Schedule'!$C$13="","",IF('Recurring Schedule'!$F$13="","",IF(OR($A218&lt;'Recurring Schedule'!$F$13,$A218&gt;'Recurring Schedule'!$P$13),"",IF(IF('Recurring Schedule'!$N$13&gt;0,MOD($A218-'Recurring Schedule'!$F$13,'Recurring Schedule'!$N$13)=0,IF('Recurring Schedule'!$O$13&gt;0,AND(DAY($A218)=MIN(DAY('Recurring Schedule'!$F$13),DAY(EOMONTH($A218,0))),MOD((YEAR($A218)-YEAR('Recurring Schedule'!$F$13))*12+MONTH($A218)-MONTH('Recurring Schedule'!$F$13),'Recurring Schedule'!$O$13)=0),IF('Recurring Schedule'!$E$13="Weekdays",WEEKDAY($A218,2)&lt;=5,$A218='Recurring Schedule'!$F$13))),8,""))))</f>
        <v/>
      </c>
      <c r="J218">
        <f>IF('Recurring Schedule'!$C$14="","",IF('Recurring Schedule'!$F$14="","",IF(OR($A218&lt;'Recurring Schedule'!$F$14,$A218&gt;'Recurring Schedule'!$P$14),"",IF(IF('Recurring Schedule'!$N$14&gt;0,MOD($A218-'Recurring Schedule'!$F$14,'Recurring Schedule'!$N$14)=0,IF('Recurring Schedule'!$O$14&gt;0,AND(DAY($A218)=MIN(DAY('Recurring Schedule'!$F$14),DAY(EOMONTH($A218,0))),MOD((YEAR($A218)-YEAR('Recurring Schedule'!$F$14))*12+MONTH($A218)-MONTH('Recurring Schedule'!$F$14),'Recurring Schedule'!$O$14)=0),IF('Recurring Schedule'!$E$14="Weekdays",WEEKDAY($A218,2)&lt;=5,$A218='Recurring Schedule'!$F$14))),9,""))))</f>
        <v/>
      </c>
      <c r="K218">
        <f>IF('Recurring Schedule'!$C$15="","",IF('Recurring Schedule'!$F$15="","",IF(OR($A218&lt;'Recurring Schedule'!$F$15,$A218&gt;'Recurring Schedule'!$P$15),"",IF(IF('Recurring Schedule'!$N$15&gt;0,MOD($A218-'Recurring Schedule'!$F$15,'Recurring Schedule'!$N$15)=0,IF('Recurring Schedule'!$O$15&gt;0,AND(DAY($A218)=MIN(DAY('Recurring Schedule'!$F$15),DAY(EOMONTH($A218,0))),MOD((YEAR($A218)-YEAR('Recurring Schedule'!$F$15))*12+MONTH($A218)-MONTH('Recurring Schedule'!$F$15),'Recurring Schedule'!$O$15)=0),IF('Recurring Schedule'!$E$15="Weekdays",WEEKDAY($A218,2)&lt;=5,$A218='Recurring Schedule'!$F$15))),10,""))))</f>
        <v/>
      </c>
      <c r="L218">
        <f>IF('Recurring Schedule'!$C$16="","",IF('Recurring Schedule'!$F$16="","",IF(OR($A218&lt;'Recurring Schedule'!$F$16,$A218&gt;'Recurring Schedule'!$P$16),"",IF(IF('Recurring Schedule'!$N$16&gt;0,MOD($A218-'Recurring Schedule'!$F$16,'Recurring Schedule'!$N$16)=0,IF('Recurring Schedule'!$O$16&gt;0,AND(DAY($A218)=MIN(DAY('Recurring Schedule'!$F$16),DAY(EOMONTH($A218,0))),MOD((YEAR($A218)-YEAR('Recurring Schedule'!$F$16))*12+MONTH($A218)-MONTH('Recurring Schedule'!$F$16),'Recurring Schedule'!$O$16)=0),IF('Recurring Schedule'!$E$16="Weekdays",WEEKDAY($A218,2)&lt;=5,$A218='Recurring Schedule'!$F$16))),11,""))))</f>
        <v/>
      </c>
      <c r="M218">
        <f>IF('Recurring Schedule'!$C$17="","",IF('Recurring Schedule'!$F$17="","",IF(OR($A218&lt;'Recurring Schedule'!$F$17,$A218&gt;'Recurring Schedule'!$P$17),"",IF(IF('Recurring Schedule'!$N$17&gt;0,MOD($A218-'Recurring Schedule'!$F$17,'Recurring Schedule'!$N$17)=0,IF('Recurring Schedule'!$O$17&gt;0,AND(DAY($A218)=MIN(DAY('Recurring Schedule'!$F$17),DAY(EOMONTH($A218,0))),MOD((YEAR($A218)-YEAR('Recurring Schedule'!$F$17))*12+MONTH($A218)-MONTH('Recurring Schedule'!$F$17),'Recurring Schedule'!$O$17)=0),IF('Recurring Schedule'!$E$17="Weekdays",WEEKDAY($A218,2)&lt;=5,$A218='Recurring Schedule'!$F$17))),12,""))))</f>
        <v/>
      </c>
      <c r="N218">
        <f>IF('Recurring Schedule'!$C$18="","",IF('Recurring Schedule'!$F$18="","",IF(OR($A218&lt;'Recurring Schedule'!$F$18,$A218&gt;'Recurring Schedule'!$P$18),"",IF(IF('Recurring Schedule'!$N$18&gt;0,MOD($A218-'Recurring Schedule'!$F$18,'Recurring Schedule'!$N$18)=0,IF('Recurring Schedule'!$O$18&gt;0,AND(DAY($A218)=MIN(DAY('Recurring Schedule'!$F$18),DAY(EOMONTH($A218,0))),MOD((YEAR($A218)-YEAR('Recurring Schedule'!$F$18))*12+MONTH($A218)-MONTH('Recurring Schedule'!$F$18),'Recurring Schedule'!$O$18)=0),IF('Recurring Schedule'!$E$18="Weekdays",WEEKDAY($A218,2)&lt;=5,$A218='Recurring Schedule'!$F$18))),13,""))))</f>
        <v/>
      </c>
      <c r="O218">
        <f>IF('Recurring Schedule'!$C$19="","",IF('Recurring Schedule'!$F$19="","",IF(OR($A218&lt;'Recurring Schedule'!$F$19,$A218&gt;'Recurring Schedule'!$P$19),"",IF(IF('Recurring Schedule'!$N$19&gt;0,MOD($A218-'Recurring Schedule'!$F$19,'Recurring Schedule'!$N$19)=0,IF('Recurring Schedule'!$O$19&gt;0,AND(DAY($A218)=MIN(DAY('Recurring Schedule'!$F$19),DAY(EOMONTH($A218,0))),MOD((YEAR($A218)-YEAR('Recurring Schedule'!$F$19))*12+MONTH($A218)-MONTH('Recurring Schedule'!$F$19),'Recurring Schedule'!$O$19)=0),IF('Recurring Schedule'!$E$19="Weekdays",WEEKDAY($A218,2)&lt;=5,$A218='Recurring Schedule'!$F$19))),14,""))))</f>
        <v/>
      </c>
      <c r="P218">
        <f>IF('Recurring Schedule'!$C$20="","",IF('Recurring Schedule'!$F$20="","",IF(OR($A218&lt;'Recurring Schedule'!$F$20,$A218&gt;'Recurring Schedule'!$P$20),"",IF(IF('Recurring Schedule'!$N$20&gt;0,MOD($A218-'Recurring Schedule'!$F$20,'Recurring Schedule'!$N$20)=0,IF('Recurring Schedule'!$O$20&gt;0,AND(DAY($A218)=MIN(DAY('Recurring Schedule'!$F$20),DAY(EOMONTH($A218,0))),MOD((YEAR($A218)-YEAR('Recurring Schedule'!$F$20))*12+MONTH($A218)-MONTH('Recurring Schedule'!$F$20),'Recurring Schedule'!$O$20)=0),IF('Recurring Schedule'!$E$20="Weekdays",WEEKDAY($A218,2)&lt;=5,$A218='Recurring Schedule'!$F$20))),15,""))))</f>
        <v/>
      </c>
      <c r="Q218">
        <f>IF('Recurring Schedule'!$C$21="","",IF('Recurring Schedule'!$F$21="","",IF(OR($A218&lt;'Recurring Schedule'!$F$21,$A218&gt;'Recurring Schedule'!$P$21),"",IF(IF('Recurring Schedule'!$N$21&gt;0,MOD($A218-'Recurring Schedule'!$F$21,'Recurring Schedule'!$N$21)=0,IF('Recurring Schedule'!$O$21&gt;0,AND(DAY($A218)=MIN(DAY('Recurring Schedule'!$F$21),DAY(EOMONTH($A218,0))),MOD((YEAR($A218)-YEAR('Recurring Schedule'!$F$21))*12+MONTH($A218)-MONTH('Recurring Schedule'!$F$21),'Recurring Schedule'!$O$21)=0),IF('Recurring Schedule'!$E$21="Weekdays",WEEKDAY($A218,2)&lt;=5,$A218='Recurring Schedule'!$F$21))),16,""))))</f>
        <v/>
      </c>
      <c r="R218">
        <f>IF('Recurring Schedule'!$C$22="","",IF('Recurring Schedule'!$F$22="","",IF(OR($A218&lt;'Recurring Schedule'!$F$22,$A218&gt;'Recurring Schedule'!$P$22),"",IF(IF('Recurring Schedule'!$N$22&gt;0,MOD($A218-'Recurring Schedule'!$F$22,'Recurring Schedule'!$N$22)=0,IF('Recurring Schedule'!$O$22&gt;0,AND(DAY($A218)=MIN(DAY('Recurring Schedule'!$F$22),DAY(EOMONTH($A218,0))),MOD((YEAR($A218)-YEAR('Recurring Schedule'!$F$22))*12+MONTH($A218)-MONTH('Recurring Schedule'!$F$22),'Recurring Schedule'!$O$22)=0),IF('Recurring Schedule'!$E$22="Weekdays",WEEKDAY($A218,2)&lt;=5,$A218='Recurring Schedule'!$F$22))),17,""))))</f>
        <v/>
      </c>
      <c r="S218">
        <f>IF('Recurring Schedule'!$C$23="","",IF('Recurring Schedule'!$F$23="","",IF(OR($A218&lt;'Recurring Schedule'!$F$23,$A218&gt;'Recurring Schedule'!$P$23),"",IF(IF('Recurring Schedule'!$N$23&gt;0,MOD($A218-'Recurring Schedule'!$F$23,'Recurring Schedule'!$N$23)=0,IF('Recurring Schedule'!$O$23&gt;0,AND(DAY($A218)=MIN(DAY('Recurring Schedule'!$F$23),DAY(EOMONTH($A218,0))),MOD((YEAR($A218)-YEAR('Recurring Schedule'!$F$23))*12+MONTH($A218)-MONTH('Recurring Schedule'!$F$23),'Recurring Schedule'!$O$23)=0),IF('Recurring Schedule'!$E$23="Weekdays",WEEKDAY($A218,2)&lt;=5,$A218='Recurring Schedule'!$F$23))),18,""))))</f>
        <v/>
      </c>
      <c r="T218">
        <f>IF('Recurring Schedule'!$C$24="","",IF('Recurring Schedule'!$F$24="","",IF(OR($A218&lt;'Recurring Schedule'!$F$24,$A218&gt;'Recurring Schedule'!$P$24),"",IF(IF('Recurring Schedule'!$N$24&gt;0,MOD($A218-'Recurring Schedule'!$F$24,'Recurring Schedule'!$N$24)=0,IF('Recurring Schedule'!$O$24&gt;0,AND(DAY($A218)=MIN(DAY('Recurring Schedule'!$F$24),DAY(EOMONTH($A218,0))),MOD((YEAR($A218)-YEAR('Recurring Schedule'!$F$24))*12+MONTH($A218)-MONTH('Recurring Schedule'!$F$24),'Recurring Schedule'!$O$24)=0),IF('Recurring Schedule'!$E$24="Weekdays",WEEKDAY($A218,2)&lt;=5,$A218='Recurring Schedule'!$F$24))),19,""))))</f>
        <v/>
      </c>
      <c r="U218">
        <f>IF('Recurring Schedule'!$C$25="","",IF('Recurring Schedule'!$F$25="","",IF(OR($A218&lt;'Recurring Schedule'!$F$25,$A218&gt;'Recurring Schedule'!$P$25),"",IF(IF('Recurring Schedule'!$N$25&gt;0,MOD($A218-'Recurring Schedule'!$F$25,'Recurring Schedule'!$N$25)=0,IF('Recurring Schedule'!$O$25&gt;0,AND(DAY($A218)=MIN(DAY('Recurring Schedule'!$F$25),DAY(EOMONTH($A218,0))),MOD((YEAR($A218)-YEAR('Recurring Schedule'!$F$25))*12+MONTH($A218)-MONTH('Recurring Schedule'!$F$25),'Recurring Schedule'!$O$25)=0),IF('Recurring Schedule'!$E$25="Weekdays",WEEKDAY($A218,2)&lt;=5,$A218='Recurring Schedule'!$F$25))),20,""))))</f>
        <v/>
      </c>
      <c r="V218">
        <f>IF('Recurring Schedule'!$C$26="","",IF('Recurring Schedule'!$F$26="","",IF(OR($A218&lt;'Recurring Schedule'!$F$26,$A218&gt;'Recurring Schedule'!$P$26),"",IF(IF('Recurring Schedule'!$N$26&gt;0,MOD($A218-'Recurring Schedule'!$F$26,'Recurring Schedule'!$N$26)=0,IF('Recurring Schedule'!$O$26&gt;0,AND(DAY($A218)=MIN(DAY('Recurring Schedule'!$F$26),DAY(EOMONTH($A218,0))),MOD((YEAR($A218)-YEAR('Recurring Schedule'!$F$26))*12+MONTH($A218)-MONTH('Recurring Schedule'!$F$26),'Recurring Schedule'!$O$26)=0),IF('Recurring Schedule'!$E$26="Weekdays",WEEKDAY($A218,2)&lt;=5,$A218='Recurring Schedule'!$F$26))),21,""))))</f>
        <v/>
      </c>
      <c r="W218">
        <f>IF('Recurring Schedule'!$C$27="","",IF('Recurring Schedule'!$F$27="","",IF(OR($A218&lt;'Recurring Schedule'!$F$27,$A218&gt;'Recurring Schedule'!$P$27),"",IF(IF('Recurring Schedule'!$N$27&gt;0,MOD($A218-'Recurring Schedule'!$F$27,'Recurring Schedule'!$N$27)=0,IF('Recurring Schedule'!$O$27&gt;0,AND(DAY($A218)=MIN(DAY('Recurring Schedule'!$F$27),DAY(EOMONTH($A218,0))),MOD((YEAR($A218)-YEAR('Recurring Schedule'!$F$27))*12+MONTH($A218)-MONTH('Recurring Schedule'!$F$27),'Recurring Schedule'!$O$27)=0),IF('Recurring Schedule'!$E$27="Weekdays",WEEKDAY($A218,2)&lt;=5,$A218='Recurring Schedule'!$F$27))),22,""))))</f>
        <v/>
      </c>
      <c r="X218">
        <f>IF('Recurring Schedule'!$C$28="","",IF('Recurring Schedule'!$F$28="","",IF(OR($A218&lt;'Recurring Schedule'!$F$28,$A218&gt;'Recurring Schedule'!$P$28),"",IF(IF('Recurring Schedule'!$N$28&gt;0,MOD($A218-'Recurring Schedule'!$F$28,'Recurring Schedule'!$N$28)=0,IF('Recurring Schedule'!$O$28&gt;0,AND(DAY($A218)=MIN(DAY('Recurring Schedule'!$F$28),DAY(EOMONTH($A218,0))),MOD((YEAR($A218)-YEAR('Recurring Schedule'!$F$28))*12+MONTH($A218)-MONTH('Recurring Schedule'!$F$28),'Recurring Schedule'!$O$28)=0),IF('Recurring Schedule'!$E$28="Weekdays",WEEKDAY($A218,2)&lt;=5,$A218='Recurring Schedule'!$F$28))),23,""))))</f>
        <v/>
      </c>
      <c r="Y218">
        <f>IF('Recurring Schedule'!$C$29="","",IF('Recurring Schedule'!$F$29="","",IF(OR($A218&lt;'Recurring Schedule'!$F$29,$A218&gt;'Recurring Schedule'!$P$29),"",IF(IF('Recurring Schedule'!$N$29&gt;0,MOD($A218-'Recurring Schedule'!$F$29,'Recurring Schedule'!$N$29)=0,IF('Recurring Schedule'!$O$29&gt;0,AND(DAY($A218)=MIN(DAY('Recurring Schedule'!$F$29),DAY(EOMONTH($A218,0))),MOD((YEAR($A218)-YEAR('Recurring Schedule'!$F$29))*12+MONTH($A218)-MONTH('Recurring Schedule'!$F$29),'Recurring Schedule'!$O$29)=0),IF('Recurring Schedule'!$E$29="Weekdays",WEEKDAY($A218,2)&lt;=5,$A218='Recurring Schedule'!$F$29))),24,""))))</f>
        <v/>
      </c>
      <c r="Z218">
        <f>IF('Recurring Schedule'!$C$30="","",IF('Recurring Schedule'!$F$30="","",IF(OR($A218&lt;'Recurring Schedule'!$F$30,$A218&gt;'Recurring Schedule'!$P$30),"",IF(IF('Recurring Schedule'!$N$30&gt;0,MOD($A218-'Recurring Schedule'!$F$30,'Recurring Schedule'!$N$30)=0,IF('Recurring Schedule'!$O$30&gt;0,AND(DAY($A218)=MIN(DAY('Recurring Schedule'!$F$30),DAY(EOMONTH($A218,0))),MOD((YEAR($A218)-YEAR('Recurring Schedule'!$F$30))*12+MONTH($A218)-MONTH('Recurring Schedule'!$F$30),'Recurring Schedule'!$O$30)=0),IF('Recurring Schedule'!$E$30="Weekdays",WEEKDAY($A218,2)&lt;=5,$A218='Recurring Schedule'!$F$30))),25,""))))</f>
        <v/>
      </c>
      <c r="AA218">
        <f>IF('Recurring Schedule'!$C$31="","",IF('Recurring Schedule'!$F$31="","",IF(OR($A218&lt;'Recurring Schedule'!$F$31,$A218&gt;'Recurring Schedule'!$P$31),"",IF(IF('Recurring Schedule'!$N$31&gt;0,MOD($A218-'Recurring Schedule'!$F$31,'Recurring Schedule'!$N$31)=0,IF('Recurring Schedule'!$O$31&gt;0,AND(DAY($A218)=MIN(DAY('Recurring Schedule'!$F$31),DAY(EOMONTH($A218,0))),MOD((YEAR($A218)-YEAR('Recurring Schedule'!$F$31))*12+MONTH($A218)-MONTH('Recurring Schedule'!$F$31),'Recurring Schedule'!$O$31)=0),IF('Recurring Schedule'!$E$31="Weekdays",WEEKDAY($A218,2)&lt;=5,$A218='Recurring Schedule'!$F$31))),26,""))))</f>
        <v/>
      </c>
      <c r="AB218">
        <f>IF('Recurring Schedule'!$C$32="","",IF('Recurring Schedule'!$F$32="","",IF(OR($A218&lt;'Recurring Schedule'!$F$32,$A218&gt;'Recurring Schedule'!$P$32),"",IF(IF('Recurring Schedule'!$N$32&gt;0,MOD($A218-'Recurring Schedule'!$F$32,'Recurring Schedule'!$N$32)=0,IF('Recurring Schedule'!$O$32&gt;0,AND(DAY($A218)=MIN(DAY('Recurring Schedule'!$F$32),DAY(EOMONTH($A218,0))),MOD((YEAR($A218)-YEAR('Recurring Schedule'!$F$32))*12+MONTH($A218)-MONTH('Recurring Schedule'!$F$32),'Recurring Schedule'!$O$32)=0),IF('Recurring Schedule'!$E$32="Weekdays",WEEKDAY($A218,2)&lt;=5,$A218='Recurring Schedule'!$F$32))),27,""))))</f>
        <v/>
      </c>
      <c r="AC218">
        <f>IF('Recurring Schedule'!$C$33="","",IF('Recurring Schedule'!$F$33="","",IF(OR($A218&lt;'Recurring Schedule'!$F$33,$A218&gt;'Recurring Schedule'!$P$33),"",IF(IF('Recurring Schedule'!$N$33&gt;0,MOD($A218-'Recurring Schedule'!$F$33,'Recurring Schedule'!$N$33)=0,IF('Recurring Schedule'!$O$33&gt;0,AND(DAY($A218)=MIN(DAY('Recurring Schedule'!$F$33),DAY(EOMONTH($A218,0))),MOD((YEAR($A218)-YEAR('Recurring Schedule'!$F$33))*12+MONTH($A218)-MONTH('Recurring Schedule'!$F$33),'Recurring Schedule'!$O$33)=0),IF('Recurring Schedule'!$E$33="Weekdays",WEEKDAY($A218,2)&lt;=5,$A218='Recurring Schedule'!$F$33))),28,""))))</f>
        <v/>
      </c>
      <c r="AD218">
        <f>IF('Recurring Schedule'!$C$34="","",IF('Recurring Schedule'!$F$34="","",IF(OR($A218&lt;'Recurring Schedule'!$F$34,$A218&gt;'Recurring Schedule'!$P$34),"",IF(IF('Recurring Schedule'!$N$34&gt;0,MOD($A218-'Recurring Schedule'!$F$34,'Recurring Schedule'!$N$34)=0,IF('Recurring Schedule'!$O$34&gt;0,AND(DAY($A218)=MIN(DAY('Recurring Schedule'!$F$34),DAY(EOMONTH($A218,0))),MOD((YEAR($A218)-YEAR('Recurring Schedule'!$F$34))*12+MONTH($A218)-MONTH('Recurring Schedule'!$F$34),'Recurring Schedule'!$O$34)=0),IF('Recurring Schedule'!$E$34="Weekdays",WEEKDAY($A218,2)&lt;=5,$A218='Recurring Schedule'!$F$34))),29,""))))</f>
        <v/>
      </c>
      <c r="AE218">
        <f>IF('Recurring Schedule'!$C$35="","",IF('Recurring Schedule'!$F$35="","",IF(OR($A218&lt;'Recurring Schedule'!$F$35,$A218&gt;'Recurring Schedule'!$P$35),"",IF(IF('Recurring Schedule'!$N$35&gt;0,MOD($A218-'Recurring Schedule'!$F$35,'Recurring Schedule'!$N$35)=0,IF('Recurring Schedule'!$O$35&gt;0,AND(DAY($A218)=MIN(DAY('Recurring Schedule'!$F$35),DAY(EOMONTH($A218,0))),MOD((YEAR($A218)-YEAR('Recurring Schedule'!$F$35))*12+MONTH($A218)-MONTH('Recurring Schedule'!$F$35),'Recurring Schedule'!$O$35)=0),IF('Recurring Schedule'!$E$35="Weekdays",WEEKDAY($A218,2)&lt;=5,$A218='Recurring Schedule'!$F$35))),30,""))))</f>
        <v/>
      </c>
      <c r="AF218">
        <f>IF('Recurring Schedule'!$C$36="","",IF('Recurring Schedule'!$F$36="","",IF(OR($A218&lt;'Recurring Schedule'!$F$36,$A218&gt;'Recurring Schedule'!$P$36),"",IF(IF('Recurring Schedule'!$N$36&gt;0,MOD($A218-'Recurring Schedule'!$F$36,'Recurring Schedule'!$N$36)=0,IF('Recurring Schedule'!$O$36&gt;0,AND(DAY($A218)=MIN(DAY('Recurring Schedule'!$F$36),DAY(EOMONTH($A218,0))),MOD((YEAR($A218)-YEAR('Recurring Schedule'!$F$36))*12+MONTH($A218)-MONTH('Recurring Schedule'!$F$36),'Recurring Schedule'!$O$36)=0),IF('Recurring Schedule'!$E$36="Weekdays",WEEKDAY($A218,2)&lt;=5,$A218='Recurring Schedule'!$F$36))),31,""))))</f>
        <v/>
      </c>
      <c r="AG218">
        <f>IF('Recurring Schedule'!$C$37="","",IF('Recurring Schedule'!$F$37="","",IF(OR($A218&lt;'Recurring Schedule'!$F$37,$A218&gt;'Recurring Schedule'!$P$37),"",IF(IF('Recurring Schedule'!$N$37&gt;0,MOD($A218-'Recurring Schedule'!$F$37,'Recurring Schedule'!$N$37)=0,IF('Recurring Schedule'!$O$37&gt;0,AND(DAY($A218)=MIN(DAY('Recurring Schedule'!$F$37),DAY(EOMONTH($A218,0))),MOD((YEAR($A218)-YEAR('Recurring Schedule'!$F$37))*12+MONTH($A218)-MONTH('Recurring Schedule'!$F$37),'Recurring Schedule'!$O$37)=0),IF('Recurring Schedule'!$E$37="Weekdays",WEEKDAY($A218,2)&lt;=5,$A218='Recurring Schedule'!$F$37))),32,""))))</f>
        <v/>
      </c>
      <c r="AH218">
        <f>IF('Recurring Schedule'!$C$38="","",IF('Recurring Schedule'!$F$38="","",IF(OR($A218&lt;'Recurring Schedule'!$F$38,$A218&gt;'Recurring Schedule'!$P$38),"",IF(IF('Recurring Schedule'!$N$38&gt;0,MOD($A218-'Recurring Schedule'!$F$38,'Recurring Schedule'!$N$38)=0,IF('Recurring Schedule'!$O$38&gt;0,AND(DAY($A218)=MIN(DAY('Recurring Schedule'!$F$38),DAY(EOMONTH($A218,0))),MOD((YEAR($A218)-YEAR('Recurring Schedule'!$F$38))*12+MONTH($A218)-MONTH('Recurring Schedule'!$F$38),'Recurring Schedule'!$O$38)=0),IF('Recurring Schedule'!$E$38="Weekdays",WEEKDAY($A218,2)&lt;=5,$A218='Recurring Schedule'!$F$38))),33,""))))</f>
        <v/>
      </c>
      <c r="AI218">
        <f>IF('Recurring Schedule'!$C$39="","",IF('Recurring Schedule'!$F$39="","",IF(OR($A218&lt;'Recurring Schedule'!$F$39,$A218&gt;'Recurring Schedule'!$P$39),"",IF(IF('Recurring Schedule'!$N$39&gt;0,MOD($A218-'Recurring Schedule'!$F$39,'Recurring Schedule'!$N$39)=0,IF('Recurring Schedule'!$O$39&gt;0,AND(DAY($A218)=MIN(DAY('Recurring Schedule'!$F$39),DAY(EOMONTH($A218,0))),MOD((YEAR($A218)-YEAR('Recurring Schedule'!$F$39))*12+MONTH($A218)-MONTH('Recurring Schedule'!$F$39),'Recurring Schedule'!$O$39)=0),IF('Recurring Schedule'!$E$39="Weekdays",WEEKDAY($A218,2)&lt;=5,$A218='Recurring Schedule'!$F$39))),34,""))))</f>
        <v/>
      </c>
      <c r="AJ218">
        <f>IF('Recurring Schedule'!$C$40="","",IF('Recurring Schedule'!$F$40="","",IF(OR($A218&lt;'Recurring Schedule'!$F$40,$A218&gt;'Recurring Schedule'!$P$40),"",IF(IF('Recurring Schedule'!$N$40&gt;0,MOD($A218-'Recurring Schedule'!$F$40,'Recurring Schedule'!$N$40)=0,IF('Recurring Schedule'!$O$40&gt;0,AND(DAY($A218)=MIN(DAY('Recurring Schedule'!$F$40),DAY(EOMONTH($A218,0))),MOD((YEAR($A218)-YEAR('Recurring Schedule'!$F$40))*12+MONTH($A218)-MONTH('Recurring Schedule'!$F$40),'Recurring Schedule'!$O$40)=0),IF('Recurring Schedule'!$E$40="Weekdays",WEEKDAY($A218,2)&lt;=5,$A218='Recurring Schedule'!$F$40))),35,""))))</f>
        <v/>
      </c>
      <c r="AK218">
        <f>IF('Recurring Schedule'!$C$41="","",IF('Recurring Schedule'!$F$41="","",IF(OR($A218&lt;'Recurring Schedule'!$F$41,$A218&gt;'Recurring Schedule'!$P$41),"",IF(IF('Recurring Schedule'!$N$41&gt;0,MOD($A218-'Recurring Schedule'!$F$41,'Recurring Schedule'!$N$41)=0,IF('Recurring Schedule'!$O$41&gt;0,AND(DAY($A218)=MIN(DAY('Recurring Schedule'!$F$41),DAY(EOMONTH($A218,0))),MOD((YEAR($A218)-YEAR('Recurring Schedule'!$F$41))*12+MONTH($A218)-MONTH('Recurring Schedule'!$F$41),'Recurring Schedule'!$O$41)=0),IF('Recurring Schedule'!$E$41="Weekdays",WEEKDAY($A218,2)&lt;=5,$A218='Recurring Schedule'!$F$41))),36,""))))</f>
        <v/>
      </c>
      <c r="AL218">
        <f>IF('Recurring Schedule'!$C$42="","",IF('Recurring Schedule'!$F$42="","",IF(OR($A218&lt;'Recurring Schedule'!$F$42,$A218&gt;'Recurring Schedule'!$P$42),"",IF(IF('Recurring Schedule'!$N$42&gt;0,MOD($A218-'Recurring Schedule'!$F$42,'Recurring Schedule'!$N$42)=0,IF('Recurring Schedule'!$O$42&gt;0,AND(DAY($A218)=MIN(DAY('Recurring Schedule'!$F$42),DAY(EOMONTH($A218,0))),MOD((YEAR($A218)-YEAR('Recurring Schedule'!$F$42))*12+MONTH($A218)-MONTH('Recurring Schedule'!$F$42),'Recurring Schedule'!$O$42)=0),IF('Recurring Schedule'!$E$42="Weekdays",WEEKDAY($A218,2)&lt;=5,$A218='Recurring Schedule'!$F$42))),37,""))))</f>
        <v/>
      </c>
      <c r="AM218">
        <f>IF('Recurring Schedule'!$C$43="","",IF('Recurring Schedule'!$F$43="","",IF(OR($A218&lt;'Recurring Schedule'!$F$43,$A218&gt;'Recurring Schedule'!$P$43),"",IF(IF('Recurring Schedule'!$N$43&gt;0,MOD($A218-'Recurring Schedule'!$F$43,'Recurring Schedule'!$N$43)=0,IF('Recurring Schedule'!$O$43&gt;0,AND(DAY($A218)=MIN(DAY('Recurring Schedule'!$F$43),DAY(EOMONTH($A218,0))),MOD((YEAR($A218)-YEAR('Recurring Schedule'!$F$43))*12+MONTH($A218)-MONTH('Recurring Schedule'!$F$43),'Recurring Schedule'!$O$43)=0),IF('Recurring Schedule'!$E$43="Weekdays",WEEKDAY($A218,2)&lt;=5,$A218='Recurring Schedule'!$F$43))),38,""))))</f>
        <v/>
      </c>
      <c r="AN218">
        <f>IF('Recurring Schedule'!$C$44="","",IF('Recurring Schedule'!$F$44="","",IF(OR($A218&lt;'Recurring Schedule'!$F$44,$A218&gt;'Recurring Schedule'!$P$44),"",IF(IF('Recurring Schedule'!$N$44&gt;0,MOD($A218-'Recurring Schedule'!$F$44,'Recurring Schedule'!$N$44)=0,IF('Recurring Schedule'!$O$44&gt;0,AND(DAY($A218)=MIN(DAY('Recurring Schedule'!$F$44),DAY(EOMONTH($A218,0))),MOD((YEAR($A218)-YEAR('Recurring Schedule'!$F$44))*12+MONTH($A218)-MONTH('Recurring Schedule'!$F$44),'Recurring Schedule'!$O$44)=0),IF('Recurring Schedule'!$E$44="Weekdays",WEEKDAY($A218,2)&lt;=5,$A218='Recurring Schedule'!$F$44))),39,""))))</f>
        <v/>
      </c>
      <c r="AO218">
        <f>IF('Recurring Schedule'!$C$45="","",IF('Recurring Schedule'!$F$45="","",IF(OR($A218&lt;'Recurring Schedule'!$F$45,$A218&gt;'Recurring Schedule'!$P$45),"",IF(IF('Recurring Schedule'!$N$45&gt;0,MOD($A218-'Recurring Schedule'!$F$45,'Recurring Schedule'!$N$45)=0,IF('Recurring Schedule'!$O$45&gt;0,AND(DAY($A218)=MIN(DAY('Recurring Schedule'!$F$45),DAY(EOMONTH($A218,0))),MOD((YEAR($A218)-YEAR('Recurring Schedule'!$F$45))*12+MONTH($A218)-MONTH('Recurring Schedule'!$F$45),'Recurring Schedule'!$O$45)=0),IF('Recurring Schedule'!$E$45="Weekdays",WEEKDAY($A218,2)&lt;=5,$A218='Recurring Schedule'!$F$45))),40,""))))</f>
        <v/>
      </c>
      <c r="AP218">
        <f>COUNT(B218:AO218)</f>
        <v/>
      </c>
      <c r="AQ218">
        <f>AQ217+AP217</f>
        <v/>
      </c>
      <c r="AS218" t="inlineStr">
        <is>
          <t>R</t>
        </is>
      </c>
      <c r="AT218" t="n">
        <v>222</v>
      </c>
      <c r="AU218">
        <f>'Recurring Log'!C222&amp;""</f>
        <v/>
      </c>
      <c r="AV218">
        <f>'Recurring Log'!D222&amp;""</f>
        <v/>
      </c>
      <c r="AW218">
        <f>IF('Recurring Log'!E222="","",'Recurring Log'!E222)</f>
        <v/>
      </c>
      <c r="AX218">
        <f>IF('Recurring Log'!G222="","",'Recurring Log'!G222)</f>
        <v/>
      </c>
      <c r="AY218">
        <f>IF('Recurring Log'!H222="","",'Recurring Log'!H222)</f>
        <v/>
      </c>
      <c r="AZ218">
        <f>IF(AU218="","",IF('Recurring Log'!J222="","Not Started",'Recurring Log'!J222))</f>
        <v/>
      </c>
      <c r="BA218">
        <f>'Recurring Log'!L222&amp;""</f>
        <v/>
      </c>
      <c r="BB218">
        <f>'Recurring Log'!M222&amp;""</f>
        <v/>
      </c>
      <c r="BC218">
        <f>'Recurring Log'!N222&amp;""</f>
        <v/>
      </c>
      <c r="BD218">
        <f>'Recurring Log'!O222&amp;""</f>
        <v/>
      </c>
      <c r="BE218">
        <f>IF('Recurring Log'!K222="","",'Recurring Log'!K222)</f>
        <v/>
      </c>
      <c r="BF218">
        <f>IFERROR(MATCH(BA218,Setup!$L$6:$L$9,0),5)</f>
        <v/>
      </c>
      <c r="BG218">
        <f>IF(OR(AZ218="Done",AZ218="Cancelled"),1,0)</f>
        <v/>
      </c>
      <c r="BH218">
        <f>IF(AND(AU218&lt;&gt;"",ISNUMBER(AW218)),1,0)</f>
        <v/>
      </c>
      <c r="BI218">
        <f>IF(BH218=0,0,IF(AND(AW218&gt;='Tasks Filter'!$F$3,AW218&lt;='Tasks Filter'!$F$4,OR('Tasks Filter'!$I$3="",ISNUMBER(SEARCH('Tasks Filter'!$I$3,AU218))),OR('Tasks Filter'!$I$4="",BF218=IFERROR(MATCH('Tasks Filter'!$I$4,Setup!$L$6:$L$9,0),0)),OR('Tasks Filter'!$I$5="Both",AND('Tasks Filter'!$I$5="Yes",BB218="✓"),AND('Tasks Filter'!$I$5="No",BB218&lt;&gt;"✓")),OR('Tasks Filter'!$L$3="",AV218='Tasks Filter'!$L$3),OR('Tasks Filter'!$L$4="",AZ218='Tasks Filter'!$L$4),OR('Tasks Filter'!$L$5="",BC218='Tasks Filter'!$L$5),OR('Tasks Filter'!$O$3="",BD218='Tasks Filter'!$O$3),OR('Tasks Filter'!$O$4="Yes",BG218=0)),1,0))</f>
        <v/>
      </c>
      <c r="BJ218">
        <f>IF(BH218=0,"",IF('Tasks Filter'!$F$6="Descending",-1,1)*CHOOSE(MATCH('Tasks Filter'!$F$5,Lists!$G$2:$G$6,0),AW218,BF218,IFERROR(MATCH(AV218,Setup!$F$6:$F$15,0),99),IFERROR(MATCH(BC218,Setup!$H$6:$H$15,0),99),IFERROR(MATCH(AZ218,Setup!$J$6:$J$11,0),99))*1E+9+(AW218-40000)*10000+217)</f>
        <v/>
      </c>
      <c r="BK218">
        <f>IF(BI218=1,BJ218,"")</f>
        <v/>
      </c>
      <c r="BL218">
        <f>IF(AND(BH218=1,BG218=0,N(AW218)&lt;Setup!$D$7),(AW218-40000)*10000+217,"")</f>
        <v/>
      </c>
      <c r="BM218">
        <f>IF(AND(BH218=1,AZ218&lt;&gt;"Cancelled",N(AW218)&gt;=Dashboard!$AB$3,N(AW218)&lt;=Dashboard!$AB$3+6),(AW218-40000)*100000+BF218*10000+217,"")</f>
        <v/>
      </c>
      <c r="BN218">
        <f>IF(AND(BH218=1,AZ218&lt;&gt;"Cancelled"),BF218*10000+217,"")</f>
        <v/>
      </c>
    </row>
    <row r="219">
      <c r="A219">
        <f>Setup!$D$5+217</f>
        <v/>
      </c>
      <c r="B219">
        <f>IF('Recurring Schedule'!$C$6="","",IF('Recurring Schedule'!$F$6="","",IF(OR($A219&lt;'Recurring Schedule'!$F$6,$A219&gt;'Recurring Schedule'!$P$6),"",IF(IF('Recurring Schedule'!$N$6&gt;0,MOD($A219-'Recurring Schedule'!$F$6,'Recurring Schedule'!$N$6)=0,IF('Recurring Schedule'!$O$6&gt;0,AND(DAY($A219)=MIN(DAY('Recurring Schedule'!$F$6),DAY(EOMONTH($A219,0))),MOD((YEAR($A219)-YEAR('Recurring Schedule'!$F$6))*12+MONTH($A219)-MONTH('Recurring Schedule'!$F$6),'Recurring Schedule'!$O$6)=0),IF('Recurring Schedule'!$E$6="Weekdays",WEEKDAY($A219,2)&lt;=5,$A219='Recurring Schedule'!$F$6))),1,""))))</f>
        <v/>
      </c>
      <c r="C219">
        <f>IF('Recurring Schedule'!$C$7="","",IF('Recurring Schedule'!$F$7="","",IF(OR($A219&lt;'Recurring Schedule'!$F$7,$A219&gt;'Recurring Schedule'!$P$7),"",IF(IF('Recurring Schedule'!$N$7&gt;0,MOD($A219-'Recurring Schedule'!$F$7,'Recurring Schedule'!$N$7)=0,IF('Recurring Schedule'!$O$7&gt;0,AND(DAY($A219)=MIN(DAY('Recurring Schedule'!$F$7),DAY(EOMONTH($A219,0))),MOD((YEAR($A219)-YEAR('Recurring Schedule'!$F$7))*12+MONTH($A219)-MONTH('Recurring Schedule'!$F$7),'Recurring Schedule'!$O$7)=0),IF('Recurring Schedule'!$E$7="Weekdays",WEEKDAY($A219,2)&lt;=5,$A219='Recurring Schedule'!$F$7))),2,""))))</f>
        <v/>
      </c>
      <c r="D219">
        <f>IF('Recurring Schedule'!$C$8="","",IF('Recurring Schedule'!$F$8="","",IF(OR($A219&lt;'Recurring Schedule'!$F$8,$A219&gt;'Recurring Schedule'!$P$8),"",IF(IF('Recurring Schedule'!$N$8&gt;0,MOD($A219-'Recurring Schedule'!$F$8,'Recurring Schedule'!$N$8)=0,IF('Recurring Schedule'!$O$8&gt;0,AND(DAY($A219)=MIN(DAY('Recurring Schedule'!$F$8),DAY(EOMONTH($A219,0))),MOD((YEAR($A219)-YEAR('Recurring Schedule'!$F$8))*12+MONTH($A219)-MONTH('Recurring Schedule'!$F$8),'Recurring Schedule'!$O$8)=0),IF('Recurring Schedule'!$E$8="Weekdays",WEEKDAY($A219,2)&lt;=5,$A219='Recurring Schedule'!$F$8))),3,""))))</f>
        <v/>
      </c>
      <c r="E219">
        <f>IF('Recurring Schedule'!$C$9="","",IF('Recurring Schedule'!$F$9="","",IF(OR($A219&lt;'Recurring Schedule'!$F$9,$A219&gt;'Recurring Schedule'!$P$9),"",IF(IF('Recurring Schedule'!$N$9&gt;0,MOD($A219-'Recurring Schedule'!$F$9,'Recurring Schedule'!$N$9)=0,IF('Recurring Schedule'!$O$9&gt;0,AND(DAY($A219)=MIN(DAY('Recurring Schedule'!$F$9),DAY(EOMONTH($A219,0))),MOD((YEAR($A219)-YEAR('Recurring Schedule'!$F$9))*12+MONTH($A219)-MONTH('Recurring Schedule'!$F$9),'Recurring Schedule'!$O$9)=0),IF('Recurring Schedule'!$E$9="Weekdays",WEEKDAY($A219,2)&lt;=5,$A219='Recurring Schedule'!$F$9))),4,""))))</f>
        <v/>
      </c>
      <c r="F219">
        <f>IF('Recurring Schedule'!$C$10="","",IF('Recurring Schedule'!$F$10="","",IF(OR($A219&lt;'Recurring Schedule'!$F$10,$A219&gt;'Recurring Schedule'!$P$10),"",IF(IF('Recurring Schedule'!$N$10&gt;0,MOD($A219-'Recurring Schedule'!$F$10,'Recurring Schedule'!$N$10)=0,IF('Recurring Schedule'!$O$10&gt;0,AND(DAY($A219)=MIN(DAY('Recurring Schedule'!$F$10),DAY(EOMONTH($A219,0))),MOD((YEAR($A219)-YEAR('Recurring Schedule'!$F$10))*12+MONTH($A219)-MONTH('Recurring Schedule'!$F$10),'Recurring Schedule'!$O$10)=0),IF('Recurring Schedule'!$E$10="Weekdays",WEEKDAY($A219,2)&lt;=5,$A219='Recurring Schedule'!$F$10))),5,""))))</f>
        <v/>
      </c>
      <c r="G219">
        <f>IF('Recurring Schedule'!$C$11="","",IF('Recurring Schedule'!$F$11="","",IF(OR($A219&lt;'Recurring Schedule'!$F$11,$A219&gt;'Recurring Schedule'!$P$11),"",IF(IF('Recurring Schedule'!$N$11&gt;0,MOD($A219-'Recurring Schedule'!$F$11,'Recurring Schedule'!$N$11)=0,IF('Recurring Schedule'!$O$11&gt;0,AND(DAY($A219)=MIN(DAY('Recurring Schedule'!$F$11),DAY(EOMONTH($A219,0))),MOD((YEAR($A219)-YEAR('Recurring Schedule'!$F$11))*12+MONTH($A219)-MONTH('Recurring Schedule'!$F$11),'Recurring Schedule'!$O$11)=0),IF('Recurring Schedule'!$E$11="Weekdays",WEEKDAY($A219,2)&lt;=5,$A219='Recurring Schedule'!$F$11))),6,""))))</f>
        <v/>
      </c>
      <c r="H219">
        <f>IF('Recurring Schedule'!$C$12="","",IF('Recurring Schedule'!$F$12="","",IF(OR($A219&lt;'Recurring Schedule'!$F$12,$A219&gt;'Recurring Schedule'!$P$12),"",IF(IF('Recurring Schedule'!$N$12&gt;0,MOD($A219-'Recurring Schedule'!$F$12,'Recurring Schedule'!$N$12)=0,IF('Recurring Schedule'!$O$12&gt;0,AND(DAY($A219)=MIN(DAY('Recurring Schedule'!$F$12),DAY(EOMONTH($A219,0))),MOD((YEAR($A219)-YEAR('Recurring Schedule'!$F$12))*12+MONTH($A219)-MONTH('Recurring Schedule'!$F$12),'Recurring Schedule'!$O$12)=0),IF('Recurring Schedule'!$E$12="Weekdays",WEEKDAY($A219,2)&lt;=5,$A219='Recurring Schedule'!$F$12))),7,""))))</f>
        <v/>
      </c>
      <c r="I219">
        <f>IF('Recurring Schedule'!$C$13="","",IF('Recurring Schedule'!$F$13="","",IF(OR($A219&lt;'Recurring Schedule'!$F$13,$A219&gt;'Recurring Schedule'!$P$13),"",IF(IF('Recurring Schedule'!$N$13&gt;0,MOD($A219-'Recurring Schedule'!$F$13,'Recurring Schedule'!$N$13)=0,IF('Recurring Schedule'!$O$13&gt;0,AND(DAY($A219)=MIN(DAY('Recurring Schedule'!$F$13),DAY(EOMONTH($A219,0))),MOD((YEAR($A219)-YEAR('Recurring Schedule'!$F$13))*12+MONTH($A219)-MONTH('Recurring Schedule'!$F$13),'Recurring Schedule'!$O$13)=0),IF('Recurring Schedule'!$E$13="Weekdays",WEEKDAY($A219,2)&lt;=5,$A219='Recurring Schedule'!$F$13))),8,""))))</f>
        <v/>
      </c>
      <c r="J219">
        <f>IF('Recurring Schedule'!$C$14="","",IF('Recurring Schedule'!$F$14="","",IF(OR($A219&lt;'Recurring Schedule'!$F$14,$A219&gt;'Recurring Schedule'!$P$14),"",IF(IF('Recurring Schedule'!$N$14&gt;0,MOD($A219-'Recurring Schedule'!$F$14,'Recurring Schedule'!$N$14)=0,IF('Recurring Schedule'!$O$14&gt;0,AND(DAY($A219)=MIN(DAY('Recurring Schedule'!$F$14),DAY(EOMONTH($A219,0))),MOD((YEAR($A219)-YEAR('Recurring Schedule'!$F$14))*12+MONTH($A219)-MONTH('Recurring Schedule'!$F$14),'Recurring Schedule'!$O$14)=0),IF('Recurring Schedule'!$E$14="Weekdays",WEEKDAY($A219,2)&lt;=5,$A219='Recurring Schedule'!$F$14))),9,""))))</f>
        <v/>
      </c>
      <c r="K219">
        <f>IF('Recurring Schedule'!$C$15="","",IF('Recurring Schedule'!$F$15="","",IF(OR($A219&lt;'Recurring Schedule'!$F$15,$A219&gt;'Recurring Schedule'!$P$15),"",IF(IF('Recurring Schedule'!$N$15&gt;0,MOD($A219-'Recurring Schedule'!$F$15,'Recurring Schedule'!$N$15)=0,IF('Recurring Schedule'!$O$15&gt;0,AND(DAY($A219)=MIN(DAY('Recurring Schedule'!$F$15),DAY(EOMONTH($A219,0))),MOD((YEAR($A219)-YEAR('Recurring Schedule'!$F$15))*12+MONTH($A219)-MONTH('Recurring Schedule'!$F$15),'Recurring Schedule'!$O$15)=0),IF('Recurring Schedule'!$E$15="Weekdays",WEEKDAY($A219,2)&lt;=5,$A219='Recurring Schedule'!$F$15))),10,""))))</f>
        <v/>
      </c>
      <c r="L219">
        <f>IF('Recurring Schedule'!$C$16="","",IF('Recurring Schedule'!$F$16="","",IF(OR($A219&lt;'Recurring Schedule'!$F$16,$A219&gt;'Recurring Schedule'!$P$16),"",IF(IF('Recurring Schedule'!$N$16&gt;0,MOD($A219-'Recurring Schedule'!$F$16,'Recurring Schedule'!$N$16)=0,IF('Recurring Schedule'!$O$16&gt;0,AND(DAY($A219)=MIN(DAY('Recurring Schedule'!$F$16),DAY(EOMONTH($A219,0))),MOD((YEAR($A219)-YEAR('Recurring Schedule'!$F$16))*12+MONTH($A219)-MONTH('Recurring Schedule'!$F$16),'Recurring Schedule'!$O$16)=0),IF('Recurring Schedule'!$E$16="Weekdays",WEEKDAY($A219,2)&lt;=5,$A219='Recurring Schedule'!$F$16))),11,""))))</f>
        <v/>
      </c>
      <c r="M219">
        <f>IF('Recurring Schedule'!$C$17="","",IF('Recurring Schedule'!$F$17="","",IF(OR($A219&lt;'Recurring Schedule'!$F$17,$A219&gt;'Recurring Schedule'!$P$17),"",IF(IF('Recurring Schedule'!$N$17&gt;0,MOD($A219-'Recurring Schedule'!$F$17,'Recurring Schedule'!$N$17)=0,IF('Recurring Schedule'!$O$17&gt;0,AND(DAY($A219)=MIN(DAY('Recurring Schedule'!$F$17),DAY(EOMONTH($A219,0))),MOD((YEAR($A219)-YEAR('Recurring Schedule'!$F$17))*12+MONTH($A219)-MONTH('Recurring Schedule'!$F$17),'Recurring Schedule'!$O$17)=0),IF('Recurring Schedule'!$E$17="Weekdays",WEEKDAY($A219,2)&lt;=5,$A219='Recurring Schedule'!$F$17))),12,""))))</f>
        <v/>
      </c>
      <c r="N219">
        <f>IF('Recurring Schedule'!$C$18="","",IF('Recurring Schedule'!$F$18="","",IF(OR($A219&lt;'Recurring Schedule'!$F$18,$A219&gt;'Recurring Schedule'!$P$18),"",IF(IF('Recurring Schedule'!$N$18&gt;0,MOD($A219-'Recurring Schedule'!$F$18,'Recurring Schedule'!$N$18)=0,IF('Recurring Schedule'!$O$18&gt;0,AND(DAY($A219)=MIN(DAY('Recurring Schedule'!$F$18),DAY(EOMONTH($A219,0))),MOD((YEAR($A219)-YEAR('Recurring Schedule'!$F$18))*12+MONTH($A219)-MONTH('Recurring Schedule'!$F$18),'Recurring Schedule'!$O$18)=0),IF('Recurring Schedule'!$E$18="Weekdays",WEEKDAY($A219,2)&lt;=5,$A219='Recurring Schedule'!$F$18))),13,""))))</f>
        <v/>
      </c>
      <c r="O219">
        <f>IF('Recurring Schedule'!$C$19="","",IF('Recurring Schedule'!$F$19="","",IF(OR($A219&lt;'Recurring Schedule'!$F$19,$A219&gt;'Recurring Schedule'!$P$19),"",IF(IF('Recurring Schedule'!$N$19&gt;0,MOD($A219-'Recurring Schedule'!$F$19,'Recurring Schedule'!$N$19)=0,IF('Recurring Schedule'!$O$19&gt;0,AND(DAY($A219)=MIN(DAY('Recurring Schedule'!$F$19),DAY(EOMONTH($A219,0))),MOD((YEAR($A219)-YEAR('Recurring Schedule'!$F$19))*12+MONTH($A219)-MONTH('Recurring Schedule'!$F$19),'Recurring Schedule'!$O$19)=0),IF('Recurring Schedule'!$E$19="Weekdays",WEEKDAY($A219,2)&lt;=5,$A219='Recurring Schedule'!$F$19))),14,""))))</f>
        <v/>
      </c>
      <c r="P219">
        <f>IF('Recurring Schedule'!$C$20="","",IF('Recurring Schedule'!$F$20="","",IF(OR($A219&lt;'Recurring Schedule'!$F$20,$A219&gt;'Recurring Schedule'!$P$20),"",IF(IF('Recurring Schedule'!$N$20&gt;0,MOD($A219-'Recurring Schedule'!$F$20,'Recurring Schedule'!$N$20)=0,IF('Recurring Schedule'!$O$20&gt;0,AND(DAY($A219)=MIN(DAY('Recurring Schedule'!$F$20),DAY(EOMONTH($A219,0))),MOD((YEAR($A219)-YEAR('Recurring Schedule'!$F$20))*12+MONTH($A219)-MONTH('Recurring Schedule'!$F$20),'Recurring Schedule'!$O$20)=0),IF('Recurring Schedule'!$E$20="Weekdays",WEEKDAY($A219,2)&lt;=5,$A219='Recurring Schedule'!$F$20))),15,""))))</f>
        <v/>
      </c>
      <c r="Q219">
        <f>IF('Recurring Schedule'!$C$21="","",IF('Recurring Schedule'!$F$21="","",IF(OR($A219&lt;'Recurring Schedule'!$F$21,$A219&gt;'Recurring Schedule'!$P$21),"",IF(IF('Recurring Schedule'!$N$21&gt;0,MOD($A219-'Recurring Schedule'!$F$21,'Recurring Schedule'!$N$21)=0,IF('Recurring Schedule'!$O$21&gt;0,AND(DAY($A219)=MIN(DAY('Recurring Schedule'!$F$21),DAY(EOMONTH($A219,0))),MOD((YEAR($A219)-YEAR('Recurring Schedule'!$F$21))*12+MONTH($A219)-MONTH('Recurring Schedule'!$F$21),'Recurring Schedule'!$O$21)=0),IF('Recurring Schedule'!$E$21="Weekdays",WEEKDAY($A219,2)&lt;=5,$A219='Recurring Schedule'!$F$21))),16,""))))</f>
        <v/>
      </c>
      <c r="R219">
        <f>IF('Recurring Schedule'!$C$22="","",IF('Recurring Schedule'!$F$22="","",IF(OR($A219&lt;'Recurring Schedule'!$F$22,$A219&gt;'Recurring Schedule'!$P$22),"",IF(IF('Recurring Schedule'!$N$22&gt;0,MOD($A219-'Recurring Schedule'!$F$22,'Recurring Schedule'!$N$22)=0,IF('Recurring Schedule'!$O$22&gt;0,AND(DAY($A219)=MIN(DAY('Recurring Schedule'!$F$22),DAY(EOMONTH($A219,0))),MOD((YEAR($A219)-YEAR('Recurring Schedule'!$F$22))*12+MONTH($A219)-MONTH('Recurring Schedule'!$F$22),'Recurring Schedule'!$O$22)=0),IF('Recurring Schedule'!$E$22="Weekdays",WEEKDAY($A219,2)&lt;=5,$A219='Recurring Schedule'!$F$22))),17,""))))</f>
        <v/>
      </c>
      <c r="S219">
        <f>IF('Recurring Schedule'!$C$23="","",IF('Recurring Schedule'!$F$23="","",IF(OR($A219&lt;'Recurring Schedule'!$F$23,$A219&gt;'Recurring Schedule'!$P$23),"",IF(IF('Recurring Schedule'!$N$23&gt;0,MOD($A219-'Recurring Schedule'!$F$23,'Recurring Schedule'!$N$23)=0,IF('Recurring Schedule'!$O$23&gt;0,AND(DAY($A219)=MIN(DAY('Recurring Schedule'!$F$23),DAY(EOMONTH($A219,0))),MOD((YEAR($A219)-YEAR('Recurring Schedule'!$F$23))*12+MONTH($A219)-MONTH('Recurring Schedule'!$F$23),'Recurring Schedule'!$O$23)=0),IF('Recurring Schedule'!$E$23="Weekdays",WEEKDAY($A219,2)&lt;=5,$A219='Recurring Schedule'!$F$23))),18,""))))</f>
        <v/>
      </c>
      <c r="T219">
        <f>IF('Recurring Schedule'!$C$24="","",IF('Recurring Schedule'!$F$24="","",IF(OR($A219&lt;'Recurring Schedule'!$F$24,$A219&gt;'Recurring Schedule'!$P$24),"",IF(IF('Recurring Schedule'!$N$24&gt;0,MOD($A219-'Recurring Schedule'!$F$24,'Recurring Schedule'!$N$24)=0,IF('Recurring Schedule'!$O$24&gt;0,AND(DAY($A219)=MIN(DAY('Recurring Schedule'!$F$24),DAY(EOMONTH($A219,0))),MOD((YEAR($A219)-YEAR('Recurring Schedule'!$F$24))*12+MONTH($A219)-MONTH('Recurring Schedule'!$F$24),'Recurring Schedule'!$O$24)=0),IF('Recurring Schedule'!$E$24="Weekdays",WEEKDAY($A219,2)&lt;=5,$A219='Recurring Schedule'!$F$24))),19,""))))</f>
        <v/>
      </c>
      <c r="U219">
        <f>IF('Recurring Schedule'!$C$25="","",IF('Recurring Schedule'!$F$25="","",IF(OR($A219&lt;'Recurring Schedule'!$F$25,$A219&gt;'Recurring Schedule'!$P$25),"",IF(IF('Recurring Schedule'!$N$25&gt;0,MOD($A219-'Recurring Schedule'!$F$25,'Recurring Schedule'!$N$25)=0,IF('Recurring Schedule'!$O$25&gt;0,AND(DAY($A219)=MIN(DAY('Recurring Schedule'!$F$25),DAY(EOMONTH($A219,0))),MOD((YEAR($A219)-YEAR('Recurring Schedule'!$F$25))*12+MONTH($A219)-MONTH('Recurring Schedule'!$F$25),'Recurring Schedule'!$O$25)=0),IF('Recurring Schedule'!$E$25="Weekdays",WEEKDAY($A219,2)&lt;=5,$A219='Recurring Schedule'!$F$25))),20,""))))</f>
        <v/>
      </c>
      <c r="V219">
        <f>IF('Recurring Schedule'!$C$26="","",IF('Recurring Schedule'!$F$26="","",IF(OR($A219&lt;'Recurring Schedule'!$F$26,$A219&gt;'Recurring Schedule'!$P$26),"",IF(IF('Recurring Schedule'!$N$26&gt;0,MOD($A219-'Recurring Schedule'!$F$26,'Recurring Schedule'!$N$26)=0,IF('Recurring Schedule'!$O$26&gt;0,AND(DAY($A219)=MIN(DAY('Recurring Schedule'!$F$26),DAY(EOMONTH($A219,0))),MOD((YEAR($A219)-YEAR('Recurring Schedule'!$F$26))*12+MONTH($A219)-MONTH('Recurring Schedule'!$F$26),'Recurring Schedule'!$O$26)=0),IF('Recurring Schedule'!$E$26="Weekdays",WEEKDAY($A219,2)&lt;=5,$A219='Recurring Schedule'!$F$26))),21,""))))</f>
        <v/>
      </c>
      <c r="W219">
        <f>IF('Recurring Schedule'!$C$27="","",IF('Recurring Schedule'!$F$27="","",IF(OR($A219&lt;'Recurring Schedule'!$F$27,$A219&gt;'Recurring Schedule'!$P$27),"",IF(IF('Recurring Schedule'!$N$27&gt;0,MOD($A219-'Recurring Schedule'!$F$27,'Recurring Schedule'!$N$27)=0,IF('Recurring Schedule'!$O$27&gt;0,AND(DAY($A219)=MIN(DAY('Recurring Schedule'!$F$27),DAY(EOMONTH($A219,0))),MOD((YEAR($A219)-YEAR('Recurring Schedule'!$F$27))*12+MONTH($A219)-MONTH('Recurring Schedule'!$F$27),'Recurring Schedule'!$O$27)=0),IF('Recurring Schedule'!$E$27="Weekdays",WEEKDAY($A219,2)&lt;=5,$A219='Recurring Schedule'!$F$27))),22,""))))</f>
        <v/>
      </c>
      <c r="X219">
        <f>IF('Recurring Schedule'!$C$28="","",IF('Recurring Schedule'!$F$28="","",IF(OR($A219&lt;'Recurring Schedule'!$F$28,$A219&gt;'Recurring Schedule'!$P$28),"",IF(IF('Recurring Schedule'!$N$28&gt;0,MOD($A219-'Recurring Schedule'!$F$28,'Recurring Schedule'!$N$28)=0,IF('Recurring Schedule'!$O$28&gt;0,AND(DAY($A219)=MIN(DAY('Recurring Schedule'!$F$28),DAY(EOMONTH($A219,0))),MOD((YEAR($A219)-YEAR('Recurring Schedule'!$F$28))*12+MONTH($A219)-MONTH('Recurring Schedule'!$F$28),'Recurring Schedule'!$O$28)=0),IF('Recurring Schedule'!$E$28="Weekdays",WEEKDAY($A219,2)&lt;=5,$A219='Recurring Schedule'!$F$28))),23,""))))</f>
        <v/>
      </c>
      <c r="Y219">
        <f>IF('Recurring Schedule'!$C$29="","",IF('Recurring Schedule'!$F$29="","",IF(OR($A219&lt;'Recurring Schedule'!$F$29,$A219&gt;'Recurring Schedule'!$P$29),"",IF(IF('Recurring Schedule'!$N$29&gt;0,MOD($A219-'Recurring Schedule'!$F$29,'Recurring Schedule'!$N$29)=0,IF('Recurring Schedule'!$O$29&gt;0,AND(DAY($A219)=MIN(DAY('Recurring Schedule'!$F$29),DAY(EOMONTH($A219,0))),MOD((YEAR($A219)-YEAR('Recurring Schedule'!$F$29))*12+MONTH($A219)-MONTH('Recurring Schedule'!$F$29),'Recurring Schedule'!$O$29)=0),IF('Recurring Schedule'!$E$29="Weekdays",WEEKDAY($A219,2)&lt;=5,$A219='Recurring Schedule'!$F$29))),24,""))))</f>
        <v/>
      </c>
      <c r="Z219">
        <f>IF('Recurring Schedule'!$C$30="","",IF('Recurring Schedule'!$F$30="","",IF(OR($A219&lt;'Recurring Schedule'!$F$30,$A219&gt;'Recurring Schedule'!$P$30),"",IF(IF('Recurring Schedule'!$N$30&gt;0,MOD($A219-'Recurring Schedule'!$F$30,'Recurring Schedule'!$N$30)=0,IF('Recurring Schedule'!$O$30&gt;0,AND(DAY($A219)=MIN(DAY('Recurring Schedule'!$F$30),DAY(EOMONTH($A219,0))),MOD((YEAR($A219)-YEAR('Recurring Schedule'!$F$30))*12+MONTH($A219)-MONTH('Recurring Schedule'!$F$30),'Recurring Schedule'!$O$30)=0),IF('Recurring Schedule'!$E$30="Weekdays",WEEKDAY($A219,2)&lt;=5,$A219='Recurring Schedule'!$F$30))),25,""))))</f>
        <v/>
      </c>
      <c r="AA219">
        <f>IF('Recurring Schedule'!$C$31="","",IF('Recurring Schedule'!$F$31="","",IF(OR($A219&lt;'Recurring Schedule'!$F$31,$A219&gt;'Recurring Schedule'!$P$31),"",IF(IF('Recurring Schedule'!$N$31&gt;0,MOD($A219-'Recurring Schedule'!$F$31,'Recurring Schedule'!$N$31)=0,IF('Recurring Schedule'!$O$31&gt;0,AND(DAY($A219)=MIN(DAY('Recurring Schedule'!$F$31),DAY(EOMONTH($A219,0))),MOD((YEAR($A219)-YEAR('Recurring Schedule'!$F$31))*12+MONTH($A219)-MONTH('Recurring Schedule'!$F$31),'Recurring Schedule'!$O$31)=0),IF('Recurring Schedule'!$E$31="Weekdays",WEEKDAY($A219,2)&lt;=5,$A219='Recurring Schedule'!$F$31))),26,""))))</f>
        <v/>
      </c>
      <c r="AB219">
        <f>IF('Recurring Schedule'!$C$32="","",IF('Recurring Schedule'!$F$32="","",IF(OR($A219&lt;'Recurring Schedule'!$F$32,$A219&gt;'Recurring Schedule'!$P$32),"",IF(IF('Recurring Schedule'!$N$32&gt;0,MOD($A219-'Recurring Schedule'!$F$32,'Recurring Schedule'!$N$32)=0,IF('Recurring Schedule'!$O$32&gt;0,AND(DAY($A219)=MIN(DAY('Recurring Schedule'!$F$32),DAY(EOMONTH($A219,0))),MOD((YEAR($A219)-YEAR('Recurring Schedule'!$F$32))*12+MONTH($A219)-MONTH('Recurring Schedule'!$F$32),'Recurring Schedule'!$O$32)=0),IF('Recurring Schedule'!$E$32="Weekdays",WEEKDAY($A219,2)&lt;=5,$A219='Recurring Schedule'!$F$32))),27,""))))</f>
        <v/>
      </c>
      <c r="AC219">
        <f>IF('Recurring Schedule'!$C$33="","",IF('Recurring Schedule'!$F$33="","",IF(OR($A219&lt;'Recurring Schedule'!$F$33,$A219&gt;'Recurring Schedule'!$P$33),"",IF(IF('Recurring Schedule'!$N$33&gt;0,MOD($A219-'Recurring Schedule'!$F$33,'Recurring Schedule'!$N$33)=0,IF('Recurring Schedule'!$O$33&gt;0,AND(DAY($A219)=MIN(DAY('Recurring Schedule'!$F$33),DAY(EOMONTH($A219,0))),MOD((YEAR($A219)-YEAR('Recurring Schedule'!$F$33))*12+MONTH($A219)-MONTH('Recurring Schedule'!$F$33),'Recurring Schedule'!$O$33)=0),IF('Recurring Schedule'!$E$33="Weekdays",WEEKDAY($A219,2)&lt;=5,$A219='Recurring Schedule'!$F$33))),28,""))))</f>
        <v/>
      </c>
      <c r="AD219">
        <f>IF('Recurring Schedule'!$C$34="","",IF('Recurring Schedule'!$F$34="","",IF(OR($A219&lt;'Recurring Schedule'!$F$34,$A219&gt;'Recurring Schedule'!$P$34),"",IF(IF('Recurring Schedule'!$N$34&gt;0,MOD($A219-'Recurring Schedule'!$F$34,'Recurring Schedule'!$N$34)=0,IF('Recurring Schedule'!$O$34&gt;0,AND(DAY($A219)=MIN(DAY('Recurring Schedule'!$F$34),DAY(EOMONTH($A219,0))),MOD((YEAR($A219)-YEAR('Recurring Schedule'!$F$34))*12+MONTH($A219)-MONTH('Recurring Schedule'!$F$34),'Recurring Schedule'!$O$34)=0),IF('Recurring Schedule'!$E$34="Weekdays",WEEKDAY($A219,2)&lt;=5,$A219='Recurring Schedule'!$F$34))),29,""))))</f>
        <v/>
      </c>
      <c r="AE219">
        <f>IF('Recurring Schedule'!$C$35="","",IF('Recurring Schedule'!$F$35="","",IF(OR($A219&lt;'Recurring Schedule'!$F$35,$A219&gt;'Recurring Schedule'!$P$35),"",IF(IF('Recurring Schedule'!$N$35&gt;0,MOD($A219-'Recurring Schedule'!$F$35,'Recurring Schedule'!$N$35)=0,IF('Recurring Schedule'!$O$35&gt;0,AND(DAY($A219)=MIN(DAY('Recurring Schedule'!$F$35),DAY(EOMONTH($A219,0))),MOD((YEAR($A219)-YEAR('Recurring Schedule'!$F$35))*12+MONTH($A219)-MONTH('Recurring Schedule'!$F$35),'Recurring Schedule'!$O$35)=0),IF('Recurring Schedule'!$E$35="Weekdays",WEEKDAY($A219,2)&lt;=5,$A219='Recurring Schedule'!$F$35))),30,""))))</f>
        <v/>
      </c>
      <c r="AF219">
        <f>IF('Recurring Schedule'!$C$36="","",IF('Recurring Schedule'!$F$36="","",IF(OR($A219&lt;'Recurring Schedule'!$F$36,$A219&gt;'Recurring Schedule'!$P$36),"",IF(IF('Recurring Schedule'!$N$36&gt;0,MOD($A219-'Recurring Schedule'!$F$36,'Recurring Schedule'!$N$36)=0,IF('Recurring Schedule'!$O$36&gt;0,AND(DAY($A219)=MIN(DAY('Recurring Schedule'!$F$36),DAY(EOMONTH($A219,0))),MOD((YEAR($A219)-YEAR('Recurring Schedule'!$F$36))*12+MONTH($A219)-MONTH('Recurring Schedule'!$F$36),'Recurring Schedule'!$O$36)=0),IF('Recurring Schedule'!$E$36="Weekdays",WEEKDAY($A219,2)&lt;=5,$A219='Recurring Schedule'!$F$36))),31,""))))</f>
        <v/>
      </c>
      <c r="AG219">
        <f>IF('Recurring Schedule'!$C$37="","",IF('Recurring Schedule'!$F$37="","",IF(OR($A219&lt;'Recurring Schedule'!$F$37,$A219&gt;'Recurring Schedule'!$P$37),"",IF(IF('Recurring Schedule'!$N$37&gt;0,MOD($A219-'Recurring Schedule'!$F$37,'Recurring Schedule'!$N$37)=0,IF('Recurring Schedule'!$O$37&gt;0,AND(DAY($A219)=MIN(DAY('Recurring Schedule'!$F$37),DAY(EOMONTH($A219,0))),MOD((YEAR($A219)-YEAR('Recurring Schedule'!$F$37))*12+MONTH($A219)-MONTH('Recurring Schedule'!$F$37),'Recurring Schedule'!$O$37)=0),IF('Recurring Schedule'!$E$37="Weekdays",WEEKDAY($A219,2)&lt;=5,$A219='Recurring Schedule'!$F$37))),32,""))))</f>
        <v/>
      </c>
      <c r="AH219">
        <f>IF('Recurring Schedule'!$C$38="","",IF('Recurring Schedule'!$F$38="","",IF(OR($A219&lt;'Recurring Schedule'!$F$38,$A219&gt;'Recurring Schedule'!$P$38),"",IF(IF('Recurring Schedule'!$N$38&gt;0,MOD($A219-'Recurring Schedule'!$F$38,'Recurring Schedule'!$N$38)=0,IF('Recurring Schedule'!$O$38&gt;0,AND(DAY($A219)=MIN(DAY('Recurring Schedule'!$F$38),DAY(EOMONTH($A219,0))),MOD((YEAR($A219)-YEAR('Recurring Schedule'!$F$38))*12+MONTH($A219)-MONTH('Recurring Schedule'!$F$38),'Recurring Schedule'!$O$38)=0),IF('Recurring Schedule'!$E$38="Weekdays",WEEKDAY($A219,2)&lt;=5,$A219='Recurring Schedule'!$F$38))),33,""))))</f>
        <v/>
      </c>
      <c r="AI219">
        <f>IF('Recurring Schedule'!$C$39="","",IF('Recurring Schedule'!$F$39="","",IF(OR($A219&lt;'Recurring Schedule'!$F$39,$A219&gt;'Recurring Schedule'!$P$39),"",IF(IF('Recurring Schedule'!$N$39&gt;0,MOD($A219-'Recurring Schedule'!$F$39,'Recurring Schedule'!$N$39)=0,IF('Recurring Schedule'!$O$39&gt;0,AND(DAY($A219)=MIN(DAY('Recurring Schedule'!$F$39),DAY(EOMONTH($A219,0))),MOD((YEAR($A219)-YEAR('Recurring Schedule'!$F$39))*12+MONTH($A219)-MONTH('Recurring Schedule'!$F$39),'Recurring Schedule'!$O$39)=0),IF('Recurring Schedule'!$E$39="Weekdays",WEEKDAY($A219,2)&lt;=5,$A219='Recurring Schedule'!$F$39))),34,""))))</f>
        <v/>
      </c>
      <c r="AJ219">
        <f>IF('Recurring Schedule'!$C$40="","",IF('Recurring Schedule'!$F$40="","",IF(OR($A219&lt;'Recurring Schedule'!$F$40,$A219&gt;'Recurring Schedule'!$P$40),"",IF(IF('Recurring Schedule'!$N$40&gt;0,MOD($A219-'Recurring Schedule'!$F$40,'Recurring Schedule'!$N$40)=0,IF('Recurring Schedule'!$O$40&gt;0,AND(DAY($A219)=MIN(DAY('Recurring Schedule'!$F$40),DAY(EOMONTH($A219,0))),MOD((YEAR($A219)-YEAR('Recurring Schedule'!$F$40))*12+MONTH($A219)-MONTH('Recurring Schedule'!$F$40),'Recurring Schedule'!$O$40)=0),IF('Recurring Schedule'!$E$40="Weekdays",WEEKDAY($A219,2)&lt;=5,$A219='Recurring Schedule'!$F$40))),35,""))))</f>
        <v/>
      </c>
      <c r="AK219">
        <f>IF('Recurring Schedule'!$C$41="","",IF('Recurring Schedule'!$F$41="","",IF(OR($A219&lt;'Recurring Schedule'!$F$41,$A219&gt;'Recurring Schedule'!$P$41),"",IF(IF('Recurring Schedule'!$N$41&gt;0,MOD($A219-'Recurring Schedule'!$F$41,'Recurring Schedule'!$N$41)=0,IF('Recurring Schedule'!$O$41&gt;0,AND(DAY($A219)=MIN(DAY('Recurring Schedule'!$F$41),DAY(EOMONTH($A219,0))),MOD((YEAR($A219)-YEAR('Recurring Schedule'!$F$41))*12+MONTH($A219)-MONTH('Recurring Schedule'!$F$41),'Recurring Schedule'!$O$41)=0),IF('Recurring Schedule'!$E$41="Weekdays",WEEKDAY($A219,2)&lt;=5,$A219='Recurring Schedule'!$F$41))),36,""))))</f>
        <v/>
      </c>
      <c r="AL219">
        <f>IF('Recurring Schedule'!$C$42="","",IF('Recurring Schedule'!$F$42="","",IF(OR($A219&lt;'Recurring Schedule'!$F$42,$A219&gt;'Recurring Schedule'!$P$42),"",IF(IF('Recurring Schedule'!$N$42&gt;0,MOD($A219-'Recurring Schedule'!$F$42,'Recurring Schedule'!$N$42)=0,IF('Recurring Schedule'!$O$42&gt;0,AND(DAY($A219)=MIN(DAY('Recurring Schedule'!$F$42),DAY(EOMONTH($A219,0))),MOD((YEAR($A219)-YEAR('Recurring Schedule'!$F$42))*12+MONTH($A219)-MONTH('Recurring Schedule'!$F$42),'Recurring Schedule'!$O$42)=0),IF('Recurring Schedule'!$E$42="Weekdays",WEEKDAY($A219,2)&lt;=5,$A219='Recurring Schedule'!$F$42))),37,""))))</f>
        <v/>
      </c>
      <c r="AM219">
        <f>IF('Recurring Schedule'!$C$43="","",IF('Recurring Schedule'!$F$43="","",IF(OR($A219&lt;'Recurring Schedule'!$F$43,$A219&gt;'Recurring Schedule'!$P$43),"",IF(IF('Recurring Schedule'!$N$43&gt;0,MOD($A219-'Recurring Schedule'!$F$43,'Recurring Schedule'!$N$43)=0,IF('Recurring Schedule'!$O$43&gt;0,AND(DAY($A219)=MIN(DAY('Recurring Schedule'!$F$43),DAY(EOMONTH($A219,0))),MOD((YEAR($A219)-YEAR('Recurring Schedule'!$F$43))*12+MONTH($A219)-MONTH('Recurring Schedule'!$F$43),'Recurring Schedule'!$O$43)=0),IF('Recurring Schedule'!$E$43="Weekdays",WEEKDAY($A219,2)&lt;=5,$A219='Recurring Schedule'!$F$43))),38,""))))</f>
        <v/>
      </c>
      <c r="AN219">
        <f>IF('Recurring Schedule'!$C$44="","",IF('Recurring Schedule'!$F$44="","",IF(OR($A219&lt;'Recurring Schedule'!$F$44,$A219&gt;'Recurring Schedule'!$P$44),"",IF(IF('Recurring Schedule'!$N$44&gt;0,MOD($A219-'Recurring Schedule'!$F$44,'Recurring Schedule'!$N$44)=0,IF('Recurring Schedule'!$O$44&gt;0,AND(DAY($A219)=MIN(DAY('Recurring Schedule'!$F$44),DAY(EOMONTH($A219,0))),MOD((YEAR($A219)-YEAR('Recurring Schedule'!$F$44))*12+MONTH($A219)-MONTH('Recurring Schedule'!$F$44),'Recurring Schedule'!$O$44)=0),IF('Recurring Schedule'!$E$44="Weekdays",WEEKDAY($A219,2)&lt;=5,$A219='Recurring Schedule'!$F$44))),39,""))))</f>
        <v/>
      </c>
      <c r="AO219">
        <f>IF('Recurring Schedule'!$C$45="","",IF('Recurring Schedule'!$F$45="","",IF(OR($A219&lt;'Recurring Schedule'!$F$45,$A219&gt;'Recurring Schedule'!$P$45),"",IF(IF('Recurring Schedule'!$N$45&gt;0,MOD($A219-'Recurring Schedule'!$F$45,'Recurring Schedule'!$N$45)=0,IF('Recurring Schedule'!$O$45&gt;0,AND(DAY($A219)=MIN(DAY('Recurring Schedule'!$F$45),DAY(EOMONTH($A219,0))),MOD((YEAR($A219)-YEAR('Recurring Schedule'!$F$45))*12+MONTH($A219)-MONTH('Recurring Schedule'!$F$45),'Recurring Schedule'!$O$45)=0),IF('Recurring Schedule'!$E$45="Weekdays",WEEKDAY($A219,2)&lt;=5,$A219='Recurring Schedule'!$F$45))),40,""))))</f>
        <v/>
      </c>
      <c r="AP219">
        <f>COUNT(B219:AO219)</f>
        <v/>
      </c>
      <c r="AQ219">
        <f>AQ218+AP218</f>
        <v/>
      </c>
      <c r="AS219" t="inlineStr">
        <is>
          <t>R</t>
        </is>
      </c>
      <c r="AT219" t="n">
        <v>223</v>
      </c>
      <c r="AU219">
        <f>'Recurring Log'!C223&amp;""</f>
        <v/>
      </c>
      <c r="AV219">
        <f>'Recurring Log'!D223&amp;""</f>
        <v/>
      </c>
      <c r="AW219">
        <f>IF('Recurring Log'!E223="","",'Recurring Log'!E223)</f>
        <v/>
      </c>
      <c r="AX219">
        <f>IF('Recurring Log'!G223="","",'Recurring Log'!G223)</f>
        <v/>
      </c>
      <c r="AY219">
        <f>IF('Recurring Log'!H223="","",'Recurring Log'!H223)</f>
        <v/>
      </c>
      <c r="AZ219">
        <f>IF(AU219="","",IF('Recurring Log'!J223="","Not Started",'Recurring Log'!J223))</f>
        <v/>
      </c>
      <c r="BA219">
        <f>'Recurring Log'!L223&amp;""</f>
        <v/>
      </c>
      <c r="BB219">
        <f>'Recurring Log'!M223&amp;""</f>
        <v/>
      </c>
      <c r="BC219">
        <f>'Recurring Log'!N223&amp;""</f>
        <v/>
      </c>
      <c r="BD219">
        <f>'Recurring Log'!O223&amp;""</f>
        <v/>
      </c>
      <c r="BE219">
        <f>IF('Recurring Log'!K223="","",'Recurring Log'!K223)</f>
        <v/>
      </c>
      <c r="BF219">
        <f>IFERROR(MATCH(BA219,Setup!$L$6:$L$9,0),5)</f>
        <v/>
      </c>
      <c r="BG219">
        <f>IF(OR(AZ219="Done",AZ219="Cancelled"),1,0)</f>
        <v/>
      </c>
      <c r="BH219">
        <f>IF(AND(AU219&lt;&gt;"",ISNUMBER(AW219)),1,0)</f>
        <v/>
      </c>
      <c r="BI219">
        <f>IF(BH219=0,0,IF(AND(AW219&gt;='Tasks Filter'!$F$3,AW219&lt;='Tasks Filter'!$F$4,OR('Tasks Filter'!$I$3="",ISNUMBER(SEARCH('Tasks Filter'!$I$3,AU219))),OR('Tasks Filter'!$I$4="",BF219=IFERROR(MATCH('Tasks Filter'!$I$4,Setup!$L$6:$L$9,0),0)),OR('Tasks Filter'!$I$5="Both",AND('Tasks Filter'!$I$5="Yes",BB219="✓"),AND('Tasks Filter'!$I$5="No",BB219&lt;&gt;"✓")),OR('Tasks Filter'!$L$3="",AV219='Tasks Filter'!$L$3),OR('Tasks Filter'!$L$4="",AZ219='Tasks Filter'!$L$4),OR('Tasks Filter'!$L$5="",BC219='Tasks Filter'!$L$5),OR('Tasks Filter'!$O$3="",BD219='Tasks Filter'!$O$3),OR('Tasks Filter'!$O$4="Yes",BG219=0)),1,0))</f>
        <v/>
      </c>
      <c r="BJ219">
        <f>IF(BH219=0,"",IF('Tasks Filter'!$F$6="Descending",-1,1)*CHOOSE(MATCH('Tasks Filter'!$F$5,Lists!$G$2:$G$6,0),AW219,BF219,IFERROR(MATCH(AV219,Setup!$F$6:$F$15,0),99),IFERROR(MATCH(BC219,Setup!$H$6:$H$15,0),99),IFERROR(MATCH(AZ219,Setup!$J$6:$J$11,0),99))*1E+9+(AW219-40000)*10000+218)</f>
        <v/>
      </c>
      <c r="BK219">
        <f>IF(BI219=1,BJ219,"")</f>
        <v/>
      </c>
      <c r="BL219">
        <f>IF(AND(BH219=1,BG219=0,N(AW219)&lt;Setup!$D$7),(AW219-40000)*10000+218,"")</f>
        <v/>
      </c>
      <c r="BM219">
        <f>IF(AND(BH219=1,AZ219&lt;&gt;"Cancelled",N(AW219)&gt;=Dashboard!$AB$3,N(AW219)&lt;=Dashboard!$AB$3+6),(AW219-40000)*100000+BF219*10000+218,"")</f>
        <v/>
      </c>
      <c r="BN219">
        <f>IF(AND(BH219=1,AZ219&lt;&gt;"Cancelled"),BF219*10000+218,"")</f>
        <v/>
      </c>
    </row>
    <row r="220">
      <c r="A220">
        <f>Setup!$D$5+218</f>
        <v/>
      </c>
      <c r="B220">
        <f>IF('Recurring Schedule'!$C$6="","",IF('Recurring Schedule'!$F$6="","",IF(OR($A220&lt;'Recurring Schedule'!$F$6,$A220&gt;'Recurring Schedule'!$P$6),"",IF(IF('Recurring Schedule'!$N$6&gt;0,MOD($A220-'Recurring Schedule'!$F$6,'Recurring Schedule'!$N$6)=0,IF('Recurring Schedule'!$O$6&gt;0,AND(DAY($A220)=MIN(DAY('Recurring Schedule'!$F$6),DAY(EOMONTH($A220,0))),MOD((YEAR($A220)-YEAR('Recurring Schedule'!$F$6))*12+MONTH($A220)-MONTH('Recurring Schedule'!$F$6),'Recurring Schedule'!$O$6)=0),IF('Recurring Schedule'!$E$6="Weekdays",WEEKDAY($A220,2)&lt;=5,$A220='Recurring Schedule'!$F$6))),1,""))))</f>
        <v/>
      </c>
      <c r="C220">
        <f>IF('Recurring Schedule'!$C$7="","",IF('Recurring Schedule'!$F$7="","",IF(OR($A220&lt;'Recurring Schedule'!$F$7,$A220&gt;'Recurring Schedule'!$P$7),"",IF(IF('Recurring Schedule'!$N$7&gt;0,MOD($A220-'Recurring Schedule'!$F$7,'Recurring Schedule'!$N$7)=0,IF('Recurring Schedule'!$O$7&gt;0,AND(DAY($A220)=MIN(DAY('Recurring Schedule'!$F$7),DAY(EOMONTH($A220,0))),MOD((YEAR($A220)-YEAR('Recurring Schedule'!$F$7))*12+MONTH($A220)-MONTH('Recurring Schedule'!$F$7),'Recurring Schedule'!$O$7)=0),IF('Recurring Schedule'!$E$7="Weekdays",WEEKDAY($A220,2)&lt;=5,$A220='Recurring Schedule'!$F$7))),2,""))))</f>
        <v/>
      </c>
      <c r="D220">
        <f>IF('Recurring Schedule'!$C$8="","",IF('Recurring Schedule'!$F$8="","",IF(OR($A220&lt;'Recurring Schedule'!$F$8,$A220&gt;'Recurring Schedule'!$P$8),"",IF(IF('Recurring Schedule'!$N$8&gt;0,MOD($A220-'Recurring Schedule'!$F$8,'Recurring Schedule'!$N$8)=0,IF('Recurring Schedule'!$O$8&gt;0,AND(DAY($A220)=MIN(DAY('Recurring Schedule'!$F$8),DAY(EOMONTH($A220,0))),MOD((YEAR($A220)-YEAR('Recurring Schedule'!$F$8))*12+MONTH($A220)-MONTH('Recurring Schedule'!$F$8),'Recurring Schedule'!$O$8)=0),IF('Recurring Schedule'!$E$8="Weekdays",WEEKDAY($A220,2)&lt;=5,$A220='Recurring Schedule'!$F$8))),3,""))))</f>
        <v/>
      </c>
      <c r="E220">
        <f>IF('Recurring Schedule'!$C$9="","",IF('Recurring Schedule'!$F$9="","",IF(OR($A220&lt;'Recurring Schedule'!$F$9,$A220&gt;'Recurring Schedule'!$P$9),"",IF(IF('Recurring Schedule'!$N$9&gt;0,MOD($A220-'Recurring Schedule'!$F$9,'Recurring Schedule'!$N$9)=0,IF('Recurring Schedule'!$O$9&gt;0,AND(DAY($A220)=MIN(DAY('Recurring Schedule'!$F$9),DAY(EOMONTH($A220,0))),MOD((YEAR($A220)-YEAR('Recurring Schedule'!$F$9))*12+MONTH($A220)-MONTH('Recurring Schedule'!$F$9),'Recurring Schedule'!$O$9)=0),IF('Recurring Schedule'!$E$9="Weekdays",WEEKDAY($A220,2)&lt;=5,$A220='Recurring Schedule'!$F$9))),4,""))))</f>
        <v/>
      </c>
      <c r="F220">
        <f>IF('Recurring Schedule'!$C$10="","",IF('Recurring Schedule'!$F$10="","",IF(OR($A220&lt;'Recurring Schedule'!$F$10,$A220&gt;'Recurring Schedule'!$P$10),"",IF(IF('Recurring Schedule'!$N$10&gt;0,MOD($A220-'Recurring Schedule'!$F$10,'Recurring Schedule'!$N$10)=0,IF('Recurring Schedule'!$O$10&gt;0,AND(DAY($A220)=MIN(DAY('Recurring Schedule'!$F$10),DAY(EOMONTH($A220,0))),MOD((YEAR($A220)-YEAR('Recurring Schedule'!$F$10))*12+MONTH($A220)-MONTH('Recurring Schedule'!$F$10),'Recurring Schedule'!$O$10)=0),IF('Recurring Schedule'!$E$10="Weekdays",WEEKDAY($A220,2)&lt;=5,$A220='Recurring Schedule'!$F$10))),5,""))))</f>
        <v/>
      </c>
      <c r="G220">
        <f>IF('Recurring Schedule'!$C$11="","",IF('Recurring Schedule'!$F$11="","",IF(OR($A220&lt;'Recurring Schedule'!$F$11,$A220&gt;'Recurring Schedule'!$P$11),"",IF(IF('Recurring Schedule'!$N$11&gt;0,MOD($A220-'Recurring Schedule'!$F$11,'Recurring Schedule'!$N$11)=0,IF('Recurring Schedule'!$O$11&gt;0,AND(DAY($A220)=MIN(DAY('Recurring Schedule'!$F$11),DAY(EOMONTH($A220,0))),MOD((YEAR($A220)-YEAR('Recurring Schedule'!$F$11))*12+MONTH($A220)-MONTH('Recurring Schedule'!$F$11),'Recurring Schedule'!$O$11)=0),IF('Recurring Schedule'!$E$11="Weekdays",WEEKDAY($A220,2)&lt;=5,$A220='Recurring Schedule'!$F$11))),6,""))))</f>
        <v/>
      </c>
      <c r="H220">
        <f>IF('Recurring Schedule'!$C$12="","",IF('Recurring Schedule'!$F$12="","",IF(OR($A220&lt;'Recurring Schedule'!$F$12,$A220&gt;'Recurring Schedule'!$P$12),"",IF(IF('Recurring Schedule'!$N$12&gt;0,MOD($A220-'Recurring Schedule'!$F$12,'Recurring Schedule'!$N$12)=0,IF('Recurring Schedule'!$O$12&gt;0,AND(DAY($A220)=MIN(DAY('Recurring Schedule'!$F$12),DAY(EOMONTH($A220,0))),MOD((YEAR($A220)-YEAR('Recurring Schedule'!$F$12))*12+MONTH($A220)-MONTH('Recurring Schedule'!$F$12),'Recurring Schedule'!$O$12)=0),IF('Recurring Schedule'!$E$12="Weekdays",WEEKDAY($A220,2)&lt;=5,$A220='Recurring Schedule'!$F$12))),7,""))))</f>
        <v/>
      </c>
      <c r="I220">
        <f>IF('Recurring Schedule'!$C$13="","",IF('Recurring Schedule'!$F$13="","",IF(OR($A220&lt;'Recurring Schedule'!$F$13,$A220&gt;'Recurring Schedule'!$P$13),"",IF(IF('Recurring Schedule'!$N$13&gt;0,MOD($A220-'Recurring Schedule'!$F$13,'Recurring Schedule'!$N$13)=0,IF('Recurring Schedule'!$O$13&gt;0,AND(DAY($A220)=MIN(DAY('Recurring Schedule'!$F$13),DAY(EOMONTH($A220,0))),MOD((YEAR($A220)-YEAR('Recurring Schedule'!$F$13))*12+MONTH($A220)-MONTH('Recurring Schedule'!$F$13),'Recurring Schedule'!$O$13)=0),IF('Recurring Schedule'!$E$13="Weekdays",WEEKDAY($A220,2)&lt;=5,$A220='Recurring Schedule'!$F$13))),8,""))))</f>
        <v/>
      </c>
      <c r="J220">
        <f>IF('Recurring Schedule'!$C$14="","",IF('Recurring Schedule'!$F$14="","",IF(OR($A220&lt;'Recurring Schedule'!$F$14,$A220&gt;'Recurring Schedule'!$P$14),"",IF(IF('Recurring Schedule'!$N$14&gt;0,MOD($A220-'Recurring Schedule'!$F$14,'Recurring Schedule'!$N$14)=0,IF('Recurring Schedule'!$O$14&gt;0,AND(DAY($A220)=MIN(DAY('Recurring Schedule'!$F$14),DAY(EOMONTH($A220,0))),MOD((YEAR($A220)-YEAR('Recurring Schedule'!$F$14))*12+MONTH($A220)-MONTH('Recurring Schedule'!$F$14),'Recurring Schedule'!$O$14)=0),IF('Recurring Schedule'!$E$14="Weekdays",WEEKDAY($A220,2)&lt;=5,$A220='Recurring Schedule'!$F$14))),9,""))))</f>
        <v/>
      </c>
      <c r="K220">
        <f>IF('Recurring Schedule'!$C$15="","",IF('Recurring Schedule'!$F$15="","",IF(OR($A220&lt;'Recurring Schedule'!$F$15,$A220&gt;'Recurring Schedule'!$P$15),"",IF(IF('Recurring Schedule'!$N$15&gt;0,MOD($A220-'Recurring Schedule'!$F$15,'Recurring Schedule'!$N$15)=0,IF('Recurring Schedule'!$O$15&gt;0,AND(DAY($A220)=MIN(DAY('Recurring Schedule'!$F$15),DAY(EOMONTH($A220,0))),MOD((YEAR($A220)-YEAR('Recurring Schedule'!$F$15))*12+MONTH($A220)-MONTH('Recurring Schedule'!$F$15),'Recurring Schedule'!$O$15)=0),IF('Recurring Schedule'!$E$15="Weekdays",WEEKDAY($A220,2)&lt;=5,$A220='Recurring Schedule'!$F$15))),10,""))))</f>
        <v/>
      </c>
      <c r="L220">
        <f>IF('Recurring Schedule'!$C$16="","",IF('Recurring Schedule'!$F$16="","",IF(OR($A220&lt;'Recurring Schedule'!$F$16,$A220&gt;'Recurring Schedule'!$P$16),"",IF(IF('Recurring Schedule'!$N$16&gt;0,MOD($A220-'Recurring Schedule'!$F$16,'Recurring Schedule'!$N$16)=0,IF('Recurring Schedule'!$O$16&gt;0,AND(DAY($A220)=MIN(DAY('Recurring Schedule'!$F$16),DAY(EOMONTH($A220,0))),MOD((YEAR($A220)-YEAR('Recurring Schedule'!$F$16))*12+MONTH($A220)-MONTH('Recurring Schedule'!$F$16),'Recurring Schedule'!$O$16)=0),IF('Recurring Schedule'!$E$16="Weekdays",WEEKDAY($A220,2)&lt;=5,$A220='Recurring Schedule'!$F$16))),11,""))))</f>
        <v/>
      </c>
      <c r="M220">
        <f>IF('Recurring Schedule'!$C$17="","",IF('Recurring Schedule'!$F$17="","",IF(OR($A220&lt;'Recurring Schedule'!$F$17,$A220&gt;'Recurring Schedule'!$P$17),"",IF(IF('Recurring Schedule'!$N$17&gt;0,MOD($A220-'Recurring Schedule'!$F$17,'Recurring Schedule'!$N$17)=0,IF('Recurring Schedule'!$O$17&gt;0,AND(DAY($A220)=MIN(DAY('Recurring Schedule'!$F$17),DAY(EOMONTH($A220,0))),MOD((YEAR($A220)-YEAR('Recurring Schedule'!$F$17))*12+MONTH($A220)-MONTH('Recurring Schedule'!$F$17),'Recurring Schedule'!$O$17)=0),IF('Recurring Schedule'!$E$17="Weekdays",WEEKDAY($A220,2)&lt;=5,$A220='Recurring Schedule'!$F$17))),12,""))))</f>
        <v/>
      </c>
      <c r="N220">
        <f>IF('Recurring Schedule'!$C$18="","",IF('Recurring Schedule'!$F$18="","",IF(OR($A220&lt;'Recurring Schedule'!$F$18,$A220&gt;'Recurring Schedule'!$P$18),"",IF(IF('Recurring Schedule'!$N$18&gt;0,MOD($A220-'Recurring Schedule'!$F$18,'Recurring Schedule'!$N$18)=0,IF('Recurring Schedule'!$O$18&gt;0,AND(DAY($A220)=MIN(DAY('Recurring Schedule'!$F$18),DAY(EOMONTH($A220,0))),MOD((YEAR($A220)-YEAR('Recurring Schedule'!$F$18))*12+MONTH($A220)-MONTH('Recurring Schedule'!$F$18),'Recurring Schedule'!$O$18)=0),IF('Recurring Schedule'!$E$18="Weekdays",WEEKDAY($A220,2)&lt;=5,$A220='Recurring Schedule'!$F$18))),13,""))))</f>
        <v/>
      </c>
      <c r="O220">
        <f>IF('Recurring Schedule'!$C$19="","",IF('Recurring Schedule'!$F$19="","",IF(OR($A220&lt;'Recurring Schedule'!$F$19,$A220&gt;'Recurring Schedule'!$P$19),"",IF(IF('Recurring Schedule'!$N$19&gt;0,MOD($A220-'Recurring Schedule'!$F$19,'Recurring Schedule'!$N$19)=0,IF('Recurring Schedule'!$O$19&gt;0,AND(DAY($A220)=MIN(DAY('Recurring Schedule'!$F$19),DAY(EOMONTH($A220,0))),MOD((YEAR($A220)-YEAR('Recurring Schedule'!$F$19))*12+MONTH($A220)-MONTH('Recurring Schedule'!$F$19),'Recurring Schedule'!$O$19)=0),IF('Recurring Schedule'!$E$19="Weekdays",WEEKDAY($A220,2)&lt;=5,$A220='Recurring Schedule'!$F$19))),14,""))))</f>
        <v/>
      </c>
      <c r="P220">
        <f>IF('Recurring Schedule'!$C$20="","",IF('Recurring Schedule'!$F$20="","",IF(OR($A220&lt;'Recurring Schedule'!$F$20,$A220&gt;'Recurring Schedule'!$P$20),"",IF(IF('Recurring Schedule'!$N$20&gt;0,MOD($A220-'Recurring Schedule'!$F$20,'Recurring Schedule'!$N$20)=0,IF('Recurring Schedule'!$O$20&gt;0,AND(DAY($A220)=MIN(DAY('Recurring Schedule'!$F$20),DAY(EOMONTH($A220,0))),MOD((YEAR($A220)-YEAR('Recurring Schedule'!$F$20))*12+MONTH($A220)-MONTH('Recurring Schedule'!$F$20),'Recurring Schedule'!$O$20)=0),IF('Recurring Schedule'!$E$20="Weekdays",WEEKDAY($A220,2)&lt;=5,$A220='Recurring Schedule'!$F$20))),15,""))))</f>
        <v/>
      </c>
      <c r="Q220">
        <f>IF('Recurring Schedule'!$C$21="","",IF('Recurring Schedule'!$F$21="","",IF(OR($A220&lt;'Recurring Schedule'!$F$21,$A220&gt;'Recurring Schedule'!$P$21),"",IF(IF('Recurring Schedule'!$N$21&gt;0,MOD($A220-'Recurring Schedule'!$F$21,'Recurring Schedule'!$N$21)=0,IF('Recurring Schedule'!$O$21&gt;0,AND(DAY($A220)=MIN(DAY('Recurring Schedule'!$F$21),DAY(EOMONTH($A220,0))),MOD((YEAR($A220)-YEAR('Recurring Schedule'!$F$21))*12+MONTH($A220)-MONTH('Recurring Schedule'!$F$21),'Recurring Schedule'!$O$21)=0),IF('Recurring Schedule'!$E$21="Weekdays",WEEKDAY($A220,2)&lt;=5,$A220='Recurring Schedule'!$F$21))),16,""))))</f>
        <v/>
      </c>
      <c r="R220">
        <f>IF('Recurring Schedule'!$C$22="","",IF('Recurring Schedule'!$F$22="","",IF(OR($A220&lt;'Recurring Schedule'!$F$22,$A220&gt;'Recurring Schedule'!$P$22),"",IF(IF('Recurring Schedule'!$N$22&gt;0,MOD($A220-'Recurring Schedule'!$F$22,'Recurring Schedule'!$N$22)=0,IF('Recurring Schedule'!$O$22&gt;0,AND(DAY($A220)=MIN(DAY('Recurring Schedule'!$F$22),DAY(EOMONTH($A220,0))),MOD((YEAR($A220)-YEAR('Recurring Schedule'!$F$22))*12+MONTH($A220)-MONTH('Recurring Schedule'!$F$22),'Recurring Schedule'!$O$22)=0),IF('Recurring Schedule'!$E$22="Weekdays",WEEKDAY($A220,2)&lt;=5,$A220='Recurring Schedule'!$F$22))),17,""))))</f>
        <v/>
      </c>
      <c r="S220">
        <f>IF('Recurring Schedule'!$C$23="","",IF('Recurring Schedule'!$F$23="","",IF(OR($A220&lt;'Recurring Schedule'!$F$23,$A220&gt;'Recurring Schedule'!$P$23),"",IF(IF('Recurring Schedule'!$N$23&gt;0,MOD($A220-'Recurring Schedule'!$F$23,'Recurring Schedule'!$N$23)=0,IF('Recurring Schedule'!$O$23&gt;0,AND(DAY($A220)=MIN(DAY('Recurring Schedule'!$F$23),DAY(EOMONTH($A220,0))),MOD((YEAR($A220)-YEAR('Recurring Schedule'!$F$23))*12+MONTH($A220)-MONTH('Recurring Schedule'!$F$23),'Recurring Schedule'!$O$23)=0),IF('Recurring Schedule'!$E$23="Weekdays",WEEKDAY($A220,2)&lt;=5,$A220='Recurring Schedule'!$F$23))),18,""))))</f>
        <v/>
      </c>
      <c r="T220">
        <f>IF('Recurring Schedule'!$C$24="","",IF('Recurring Schedule'!$F$24="","",IF(OR($A220&lt;'Recurring Schedule'!$F$24,$A220&gt;'Recurring Schedule'!$P$24),"",IF(IF('Recurring Schedule'!$N$24&gt;0,MOD($A220-'Recurring Schedule'!$F$24,'Recurring Schedule'!$N$24)=0,IF('Recurring Schedule'!$O$24&gt;0,AND(DAY($A220)=MIN(DAY('Recurring Schedule'!$F$24),DAY(EOMONTH($A220,0))),MOD((YEAR($A220)-YEAR('Recurring Schedule'!$F$24))*12+MONTH($A220)-MONTH('Recurring Schedule'!$F$24),'Recurring Schedule'!$O$24)=0),IF('Recurring Schedule'!$E$24="Weekdays",WEEKDAY($A220,2)&lt;=5,$A220='Recurring Schedule'!$F$24))),19,""))))</f>
        <v/>
      </c>
      <c r="U220">
        <f>IF('Recurring Schedule'!$C$25="","",IF('Recurring Schedule'!$F$25="","",IF(OR($A220&lt;'Recurring Schedule'!$F$25,$A220&gt;'Recurring Schedule'!$P$25),"",IF(IF('Recurring Schedule'!$N$25&gt;0,MOD($A220-'Recurring Schedule'!$F$25,'Recurring Schedule'!$N$25)=0,IF('Recurring Schedule'!$O$25&gt;0,AND(DAY($A220)=MIN(DAY('Recurring Schedule'!$F$25),DAY(EOMONTH($A220,0))),MOD((YEAR($A220)-YEAR('Recurring Schedule'!$F$25))*12+MONTH($A220)-MONTH('Recurring Schedule'!$F$25),'Recurring Schedule'!$O$25)=0),IF('Recurring Schedule'!$E$25="Weekdays",WEEKDAY($A220,2)&lt;=5,$A220='Recurring Schedule'!$F$25))),20,""))))</f>
        <v/>
      </c>
      <c r="V220">
        <f>IF('Recurring Schedule'!$C$26="","",IF('Recurring Schedule'!$F$26="","",IF(OR($A220&lt;'Recurring Schedule'!$F$26,$A220&gt;'Recurring Schedule'!$P$26),"",IF(IF('Recurring Schedule'!$N$26&gt;0,MOD($A220-'Recurring Schedule'!$F$26,'Recurring Schedule'!$N$26)=0,IF('Recurring Schedule'!$O$26&gt;0,AND(DAY($A220)=MIN(DAY('Recurring Schedule'!$F$26),DAY(EOMONTH($A220,0))),MOD((YEAR($A220)-YEAR('Recurring Schedule'!$F$26))*12+MONTH($A220)-MONTH('Recurring Schedule'!$F$26),'Recurring Schedule'!$O$26)=0),IF('Recurring Schedule'!$E$26="Weekdays",WEEKDAY($A220,2)&lt;=5,$A220='Recurring Schedule'!$F$26))),21,""))))</f>
        <v/>
      </c>
      <c r="W220">
        <f>IF('Recurring Schedule'!$C$27="","",IF('Recurring Schedule'!$F$27="","",IF(OR($A220&lt;'Recurring Schedule'!$F$27,$A220&gt;'Recurring Schedule'!$P$27),"",IF(IF('Recurring Schedule'!$N$27&gt;0,MOD($A220-'Recurring Schedule'!$F$27,'Recurring Schedule'!$N$27)=0,IF('Recurring Schedule'!$O$27&gt;0,AND(DAY($A220)=MIN(DAY('Recurring Schedule'!$F$27),DAY(EOMONTH($A220,0))),MOD((YEAR($A220)-YEAR('Recurring Schedule'!$F$27))*12+MONTH($A220)-MONTH('Recurring Schedule'!$F$27),'Recurring Schedule'!$O$27)=0),IF('Recurring Schedule'!$E$27="Weekdays",WEEKDAY($A220,2)&lt;=5,$A220='Recurring Schedule'!$F$27))),22,""))))</f>
        <v/>
      </c>
      <c r="X220">
        <f>IF('Recurring Schedule'!$C$28="","",IF('Recurring Schedule'!$F$28="","",IF(OR($A220&lt;'Recurring Schedule'!$F$28,$A220&gt;'Recurring Schedule'!$P$28),"",IF(IF('Recurring Schedule'!$N$28&gt;0,MOD($A220-'Recurring Schedule'!$F$28,'Recurring Schedule'!$N$28)=0,IF('Recurring Schedule'!$O$28&gt;0,AND(DAY($A220)=MIN(DAY('Recurring Schedule'!$F$28),DAY(EOMONTH($A220,0))),MOD((YEAR($A220)-YEAR('Recurring Schedule'!$F$28))*12+MONTH($A220)-MONTH('Recurring Schedule'!$F$28),'Recurring Schedule'!$O$28)=0),IF('Recurring Schedule'!$E$28="Weekdays",WEEKDAY($A220,2)&lt;=5,$A220='Recurring Schedule'!$F$28))),23,""))))</f>
        <v/>
      </c>
      <c r="Y220">
        <f>IF('Recurring Schedule'!$C$29="","",IF('Recurring Schedule'!$F$29="","",IF(OR($A220&lt;'Recurring Schedule'!$F$29,$A220&gt;'Recurring Schedule'!$P$29),"",IF(IF('Recurring Schedule'!$N$29&gt;0,MOD($A220-'Recurring Schedule'!$F$29,'Recurring Schedule'!$N$29)=0,IF('Recurring Schedule'!$O$29&gt;0,AND(DAY($A220)=MIN(DAY('Recurring Schedule'!$F$29),DAY(EOMONTH($A220,0))),MOD((YEAR($A220)-YEAR('Recurring Schedule'!$F$29))*12+MONTH($A220)-MONTH('Recurring Schedule'!$F$29),'Recurring Schedule'!$O$29)=0),IF('Recurring Schedule'!$E$29="Weekdays",WEEKDAY($A220,2)&lt;=5,$A220='Recurring Schedule'!$F$29))),24,""))))</f>
        <v/>
      </c>
      <c r="Z220">
        <f>IF('Recurring Schedule'!$C$30="","",IF('Recurring Schedule'!$F$30="","",IF(OR($A220&lt;'Recurring Schedule'!$F$30,$A220&gt;'Recurring Schedule'!$P$30),"",IF(IF('Recurring Schedule'!$N$30&gt;0,MOD($A220-'Recurring Schedule'!$F$30,'Recurring Schedule'!$N$30)=0,IF('Recurring Schedule'!$O$30&gt;0,AND(DAY($A220)=MIN(DAY('Recurring Schedule'!$F$30),DAY(EOMONTH($A220,0))),MOD((YEAR($A220)-YEAR('Recurring Schedule'!$F$30))*12+MONTH($A220)-MONTH('Recurring Schedule'!$F$30),'Recurring Schedule'!$O$30)=0),IF('Recurring Schedule'!$E$30="Weekdays",WEEKDAY($A220,2)&lt;=5,$A220='Recurring Schedule'!$F$30))),25,""))))</f>
        <v/>
      </c>
      <c r="AA220">
        <f>IF('Recurring Schedule'!$C$31="","",IF('Recurring Schedule'!$F$31="","",IF(OR($A220&lt;'Recurring Schedule'!$F$31,$A220&gt;'Recurring Schedule'!$P$31),"",IF(IF('Recurring Schedule'!$N$31&gt;0,MOD($A220-'Recurring Schedule'!$F$31,'Recurring Schedule'!$N$31)=0,IF('Recurring Schedule'!$O$31&gt;0,AND(DAY($A220)=MIN(DAY('Recurring Schedule'!$F$31),DAY(EOMONTH($A220,0))),MOD((YEAR($A220)-YEAR('Recurring Schedule'!$F$31))*12+MONTH($A220)-MONTH('Recurring Schedule'!$F$31),'Recurring Schedule'!$O$31)=0),IF('Recurring Schedule'!$E$31="Weekdays",WEEKDAY($A220,2)&lt;=5,$A220='Recurring Schedule'!$F$31))),26,""))))</f>
        <v/>
      </c>
      <c r="AB220">
        <f>IF('Recurring Schedule'!$C$32="","",IF('Recurring Schedule'!$F$32="","",IF(OR($A220&lt;'Recurring Schedule'!$F$32,$A220&gt;'Recurring Schedule'!$P$32),"",IF(IF('Recurring Schedule'!$N$32&gt;0,MOD($A220-'Recurring Schedule'!$F$32,'Recurring Schedule'!$N$32)=0,IF('Recurring Schedule'!$O$32&gt;0,AND(DAY($A220)=MIN(DAY('Recurring Schedule'!$F$32),DAY(EOMONTH($A220,0))),MOD((YEAR($A220)-YEAR('Recurring Schedule'!$F$32))*12+MONTH($A220)-MONTH('Recurring Schedule'!$F$32),'Recurring Schedule'!$O$32)=0),IF('Recurring Schedule'!$E$32="Weekdays",WEEKDAY($A220,2)&lt;=5,$A220='Recurring Schedule'!$F$32))),27,""))))</f>
        <v/>
      </c>
      <c r="AC220">
        <f>IF('Recurring Schedule'!$C$33="","",IF('Recurring Schedule'!$F$33="","",IF(OR($A220&lt;'Recurring Schedule'!$F$33,$A220&gt;'Recurring Schedule'!$P$33),"",IF(IF('Recurring Schedule'!$N$33&gt;0,MOD($A220-'Recurring Schedule'!$F$33,'Recurring Schedule'!$N$33)=0,IF('Recurring Schedule'!$O$33&gt;0,AND(DAY($A220)=MIN(DAY('Recurring Schedule'!$F$33),DAY(EOMONTH($A220,0))),MOD((YEAR($A220)-YEAR('Recurring Schedule'!$F$33))*12+MONTH($A220)-MONTH('Recurring Schedule'!$F$33),'Recurring Schedule'!$O$33)=0),IF('Recurring Schedule'!$E$33="Weekdays",WEEKDAY($A220,2)&lt;=5,$A220='Recurring Schedule'!$F$33))),28,""))))</f>
        <v/>
      </c>
      <c r="AD220">
        <f>IF('Recurring Schedule'!$C$34="","",IF('Recurring Schedule'!$F$34="","",IF(OR($A220&lt;'Recurring Schedule'!$F$34,$A220&gt;'Recurring Schedule'!$P$34),"",IF(IF('Recurring Schedule'!$N$34&gt;0,MOD($A220-'Recurring Schedule'!$F$34,'Recurring Schedule'!$N$34)=0,IF('Recurring Schedule'!$O$34&gt;0,AND(DAY($A220)=MIN(DAY('Recurring Schedule'!$F$34),DAY(EOMONTH($A220,0))),MOD((YEAR($A220)-YEAR('Recurring Schedule'!$F$34))*12+MONTH($A220)-MONTH('Recurring Schedule'!$F$34),'Recurring Schedule'!$O$34)=0),IF('Recurring Schedule'!$E$34="Weekdays",WEEKDAY($A220,2)&lt;=5,$A220='Recurring Schedule'!$F$34))),29,""))))</f>
        <v/>
      </c>
      <c r="AE220">
        <f>IF('Recurring Schedule'!$C$35="","",IF('Recurring Schedule'!$F$35="","",IF(OR($A220&lt;'Recurring Schedule'!$F$35,$A220&gt;'Recurring Schedule'!$P$35),"",IF(IF('Recurring Schedule'!$N$35&gt;0,MOD($A220-'Recurring Schedule'!$F$35,'Recurring Schedule'!$N$35)=0,IF('Recurring Schedule'!$O$35&gt;0,AND(DAY($A220)=MIN(DAY('Recurring Schedule'!$F$35),DAY(EOMONTH($A220,0))),MOD((YEAR($A220)-YEAR('Recurring Schedule'!$F$35))*12+MONTH($A220)-MONTH('Recurring Schedule'!$F$35),'Recurring Schedule'!$O$35)=0),IF('Recurring Schedule'!$E$35="Weekdays",WEEKDAY($A220,2)&lt;=5,$A220='Recurring Schedule'!$F$35))),30,""))))</f>
        <v/>
      </c>
      <c r="AF220">
        <f>IF('Recurring Schedule'!$C$36="","",IF('Recurring Schedule'!$F$36="","",IF(OR($A220&lt;'Recurring Schedule'!$F$36,$A220&gt;'Recurring Schedule'!$P$36),"",IF(IF('Recurring Schedule'!$N$36&gt;0,MOD($A220-'Recurring Schedule'!$F$36,'Recurring Schedule'!$N$36)=0,IF('Recurring Schedule'!$O$36&gt;0,AND(DAY($A220)=MIN(DAY('Recurring Schedule'!$F$36),DAY(EOMONTH($A220,0))),MOD((YEAR($A220)-YEAR('Recurring Schedule'!$F$36))*12+MONTH($A220)-MONTH('Recurring Schedule'!$F$36),'Recurring Schedule'!$O$36)=0),IF('Recurring Schedule'!$E$36="Weekdays",WEEKDAY($A220,2)&lt;=5,$A220='Recurring Schedule'!$F$36))),31,""))))</f>
        <v/>
      </c>
      <c r="AG220">
        <f>IF('Recurring Schedule'!$C$37="","",IF('Recurring Schedule'!$F$37="","",IF(OR($A220&lt;'Recurring Schedule'!$F$37,$A220&gt;'Recurring Schedule'!$P$37),"",IF(IF('Recurring Schedule'!$N$37&gt;0,MOD($A220-'Recurring Schedule'!$F$37,'Recurring Schedule'!$N$37)=0,IF('Recurring Schedule'!$O$37&gt;0,AND(DAY($A220)=MIN(DAY('Recurring Schedule'!$F$37),DAY(EOMONTH($A220,0))),MOD((YEAR($A220)-YEAR('Recurring Schedule'!$F$37))*12+MONTH($A220)-MONTH('Recurring Schedule'!$F$37),'Recurring Schedule'!$O$37)=0),IF('Recurring Schedule'!$E$37="Weekdays",WEEKDAY($A220,2)&lt;=5,$A220='Recurring Schedule'!$F$37))),32,""))))</f>
        <v/>
      </c>
      <c r="AH220">
        <f>IF('Recurring Schedule'!$C$38="","",IF('Recurring Schedule'!$F$38="","",IF(OR($A220&lt;'Recurring Schedule'!$F$38,$A220&gt;'Recurring Schedule'!$P$38),"",IF(IF('Recurring Schedule'!$N$38&gt;0,MOD($A220-'Recurring Schedule'!$F$38,'Recurring Schedule'!$N$38)=0,IF('Recurring Schedule'!$O$38&gt;0,AND(DAY($A220)=MIN(DAY('Recurring Schedule'!$F$38),DAY(EOMONTH($A220,0))),MOD((YEAR($A220)-YEAR('Recurring Schedule'!$F$38))*12+MONTH($A220)-MONTH('Recurring Schedule'!$F$38),'Recurring Schedule'!$O$38)=0),IF('Recurring Schedule'!$E$38="Weekdays",WEEKDAY($A220,2)&lt;=5,$A220='Recurring Schedule'!$F$38))),33,""))))</f>
        <v/>
      </c>
      <c r="AI220">
        <f>IF('Recurring Schedule'!$C$39="","",IF('Recurring Schedule'!$F$39="","",IF(OR($A220&lt;'Recurring Schedule'!$F$39,$A220&gt;'Recurring Schedule'!$P$39),"",IF(IF('Recurring Schedule'!$N$39&gt;0,MOD($A220-'Recurring Schedule'!$F$39,'Recurring Schedule'!$N$39)=0,IF('Recurring Schedule'!$O$39&gt;0,AND(DAY($A220)=MIN(DAY('Recurring Schedule'!$F$39),DAY(EOMONTH($A220,0))),MOD((YEAR($A220)-YEAR('Recurring Schedule'!$F$39))*12+MONTH($A220)-MONTH('Recurring Schedule'!$F$39),'Recurring Schedule'!$O$39)=0),IF('Recurring Schedule'!$E$39="Weekdays",WEEKDAY($A220,2)&lt;=5,$A220='Recurring Schedule'!$F$39))),34,""))))</f>
        <v/>
      </c>
      <c r="AJ220">
        <f>IF('Recurring Schedule'!$C$40="","",IF('Recurring Schedule'!$F$40="","",IF(OR($A220&lt;'Recurring Schedule'!$F$40,$A220&gt;'Recurring Schedule'!$P$40),"",IF(IF('Recurring Schedule'!$N$40&gt;0,MOD($A220-'Recurring Schedule'!$F$40,'Recurring Schedule'!$N$40)=0,IF('Recurring Schedule'!$O$40&gt;0,AND(DAY($A220)=MIN(DAY('Recurring Schedule'!$F$40),DAY(EOMONTH($A220,0))),MOD((YEAR($A220)-YEAR('Recurring Schedule'!$F$40))*12+MONTH($A220)-MONTH('Recurring Schedule'!$F$40),'Recurring Schedule'!$O$40)=0),IF('Recurring Schedule'!$E$40="Weekdays",WEEKDAY($A220,2)&lt;=5,$A220='Recurring Schedule'!$F$40))),35,""))))</f>
        <v/>
      </c>
      <c r="AK220">
        <f>IF('Recurring Schedule'!$C$41="","",IF('Recurring Schedule'!$F$41="","",IF(OR($A220&lt;'Recurring Schedule'!$F$41,$A220&gt;'Recurring Schedule'!$P$41),"",IF(IF('Recurring Schedule'!$N$41&gt;0,MOD($A220-'Recurring Schedule'!$F$41,'Recurring Schedule'!$N$41)=0,IF('Recurring Schedule'!$O$41&gt;0,AND(DAY($A220)=MIN(DAY('Recurring Schedule'!$F$41),DAY(EOMONTH($A220,0))),MOD((YEAR($A220)-YEAR('Recurring Schedule'!$F$41))*12+MONTH($A220)-MONTH('Recurring Schedule'!$F$41),'Recurring Schedule'!$O$41)=0),IF('Recurring Schedule'!$E$41="Weekdays",WEEKDAY($A220,2)&lt;=5,$A220='Recurring Schedule'!$F$41))),36,""))))</f>
        <v/>
      </c>
      <c r="AL220">
        <f>IF('Recurring Schedule'!$C$42="","",IF('Recurring Schedule'!$F$42="","",IF(OR($A220&lt;'Recurring Schedule'!$F$42,$A220&gt;'Recurring Schedule'!$P$42),"",IF(IF('Recurring Schedule'!$N$42&gt;0,MOD($A220-'Recurring Schedule'!$F$42,'Recurring Schedule'!$N$42)=0,IF('Recurring Schedule'!$O$42&gt;0,AND(DAY($A220)=MIN(DAY('Recurring Schedule'!$F$42),DAY(EOMONTH($A220,0))),MOD((YEAR($A220)-YEAR('Recurring Schedule'!$F$42))*12+MONTH($A220)-MONTH('Recurring Schedule'!$F$42),'Recurring Schedule'!$O$42)=0),IF('Recurring Schedule'!$E$42="Weekdays",WEEKDAY($A220,2)&lt;=5,$A220='Recurring Schedule'!$F$42))),37,""))))</f>
        <v/>
      </c>
      <c r="AM220">
        <f>IF('Recurring Schedule'!$C$43="","",IF('Recurring Schedule'!$F$43="","",IF(OR($A220&lt;'Recurring Schedule'!$F$43,$A220&gt;'Recurring Schedule'!$P$43),"",IF(IF('Recurring Schedule'!$N$43&gt;0,MOD($A220-'Recurring Schedule'!$F$43,'Recurring Schedule'!$N$43)=0,IF('Recurring Schedule'!$O$43&gt;0,AND(DAY($A220)=MIN(DAY('Recurring Schedule'!$F$43),DAY(EOMONTH($A220,0))),MOD((YEAR($A220)-YEAR('Recurring Schedule'!$F$43))*12+MONTH($A220)-MONTH('Recurring Schedule'!$F$43),'Recurring Schedule'!$O$43)=0),IF('Recurring Schedule'!$E$43="Weekdays",WEEKDAY($A220,2)&lt;=5,$A220='Recurring Schedule'!$F$43))),38,""))))</f>
        <v/>
      </c>
      <c r="AN220">
        <f>IF('Recurring Schedule'!$C$44="","",IF('Recurring Schedule'!$F$44="","",IF(OR($A220&lt;'Recurring Schedule'!$F$44,$A220&gt;'Recurring Schedule'!$P$44),"",IF(IF('Recurring Schedule'!$N$44&gt;0,MOD($A220-'Recurring Schedule'!$F$44,'Recurring Schedule'!$N$44)=0,IF('Recurring Schedule'!$O$44&gt;0,AND(DAY($A220)=MIN(DAY('Recurring Schedule'!$F$44),DAY(EOMONTH($A220,0))),MOD((YEAR($A220)-YEAR('Recurring Schedule'!$F$44))*12+MONTH($A220)-MONTH('Recurring Schedule'!$F$44),'Recurring Schedule'!$O$44)=0),IF('Recurring Schedule'!$E$44="Weekdays",WEEKDAY($A220,2)&lt;=5,$A220='Recurring Schedule'!$F$44))),39,""))))</f>
        <v/>
      </c>
      <c r="AO220">
        <f>IF('Recurring Schedule'!$C$45="","",IF('Recurring Schedule'!$F$45="","",IF(OR($A220&lt;'Recurring Schedule'!$F$45,$A220&gt;'Recurring Schedule'!$P$45),"",IF(IF('Recurring Schedule'!$N$45&gt;0,MOD($A220-'Recurring Schedule'!$F$45,'Recurring Schedule'!$N$45)=0,IF('Recurring Schedule'!$O$45&gt;0,AND(DAY($A220)=MIN(DAY('Recurring Schedule'!$F$45),DAY(EOMONTH($A220,0))),MOD((YEAR($A220)-YEAR('Recurring Schedule'!$F$45))*12+MONTH($A220)-MONTH('Recurring Schedule'!$F$45),'Recurring Schedule'!$O$45)=0),IF('Recurring Schedule'!$E$45="Weekdays",WEEKDAY($A220,2)&lt;=5,$A220='Recurring Schedule'!$F$45))),40,""))))</f>
        <v/>
      </c>
      <c r="AP220">
        <f>COUNT(B220:AO220)</f>
        <v/>
      </c>
      <c r="AQ220">
        <f>AQ219+AP219</f>
        <v/>
      </c>
      <c r="AS220" t="inlineStr">
        <is>
          <t>R</t>
        </is>
      </c>
      <c r="AT220" t="n">
        <v>224</v>
      </c>
      <c r="AU220">
        <f>'Recurring Log'!C224&amp;""</f>
        <v/>
      </c>
      <c r="AV220">
        <f>'Recurring Log'!D224&amp;""</f>
        <v/>
      </c>
      <c r="AW220">
        <f>IF('Recurring Log'!E224="","",'Recurring Log'!E224)</f>
        <v/>
      </c>
      <c r="AX220">
        <f>IF('Recurring Log'!G224="","",'Recurring Log'!G224)</f>
        <v/>
      </c>
      <c r="AY220">
        <f>IF('Recurring Log'!H224="","",'Recurring Log'!H224)</f>
        <v/>
      </c>
      <c r="AZ220">
        <f>IF(AU220="","",IF('Recurring Log'!J224="","Not Started",'Recurring Log'!J224))</f>
        <v/>
      </c>
      <c r="BA220">
        <f>'Recurring Log'!L224&amp;""</f>
        <v/>
      </c>
      <c r="BB220">
        <f>'Recurring Log'!M224&amp;""</f>
        <v/>
      </c>
      <c r="BC220">
        <f>'Recurring Log'!N224&amp;""</f>
        <v/>
      </c>
      <c r="BD220">
        <f>'Recurring Log'!O224&amp;""</f>
        <v/>
      </c>
      <c r="BE220">
        <f>IF('Recurring Log'!K224="","",'Recurring Log'!K224)</f>
        <v/>
      </c>
      <c r="BF220">
        <f>IFERROR(MATCH(BA220,Setup!$L$6:$L$9,0),5)</f>
        <v/>
      </c>
      <c r="BG220">
        <f>IF(OR(AZ220="Done",AZ220="Cancelled"),1,0)</f>
        <v/>
      </c>
      <c r="BH220">
        <f>IF(AND(AU220&lt;&gt;"",ISNUMBER(AW220)),1,0)</f>
        <v/>
      </c>
      <c r="BI220">
        <f>IF(BH220=0,0,IF(AND(AW220&gt;='Tasks Filter'!$F$3,AW220&lt;='Tasks Filter'!$F$4,OR('Tasks Filter'!$I$3="",ISNUMBER(SEARCH('Tasks Filter'!$I$3,AU220))),OR('Tasks Filter'!$I$4="",BF220=IFERROR(MATCH('Tasks Filter'!$I$4,Setup!$L$6:$L$9,0),0)),OR('Tasks Filter'!$I$5="Both",AND('Tasks Filter'!$I$5="Yes",BB220="✓"),AND('Tasks Filter'!$I$5="No",BB220&lt;&gt;"✓")),OR('Tasks Filter'!$L$3="",AV220='Tasks Filter'!$L$3),OR('Tasks Filter'!$L$4="",AZ220='Tasks Filter'!$L$4),OR('Tasks Filter'!$L$5="",BC220='Tasks Filter'!$L$5),OR('Tasks Filter'!$O$3="",BD220='Tasks Filter'!$O$3),OR('Tasks Filter'!$O$4="Yes",BG220=0)),1,0))</f>
        <v/>
      </c>
      <c r="BJ220">
        <f>IF(BH220=0,"",IF('Tasks Filter'!$F$6="Descending",-1,1)*CHOOSE(MATCH('Tasks Filter'!$F$5,Lists!$G$2:$G$6,0),AW220,BF220,IFERROR(MATCH(AV220,Setup!$F$6:$F$15,0),99),IFERROR(MATCH(BC220,Setup!$H$6:$H$15,0),99),IFERROR(MATCH(AZ220,Setup!$J$6:$J$11,0),99))*1E+9+(AW220-40000)*10000+219)</f>
        <v/>
      </c>
      <c r="BK220">
        <f>IF(BI220=1,BJ220,"")</f>
        <v/>
      </c>
      <c r="BL220">
        <f>IF(AND(BH220=1,BG220=0,N(AW220)&lt;Setup!$D$7),(AW220-40000)*10000+219,"")</f>
        <v/>
      </c>
      <c r="BM220">
        <f>IF(AND(BH220=1,AZ220&lt;&gt;"Cancelled",N(AW220)&gt;=Dashboard!$AB$3,N(AW220)&lt;=Dashboard!$AB$3+6),(AW220-40000)*100000+BF220*10000+219,"")</f>
        <v/>
      </c>
      <c r="BN220">
        <f>IF(AND(BH220=1,AZ220&lt;&gt;"Cancelled"),BF220*10000+219,"")</f>
        <v/>
      </c>
    </row>
    <row r="221">
      <c r="A221">
        <f>Setup!$D$5+219</f>
        <v/>
      </c>
      <c r="B221">
        <f>IF('Recurring Schedule'!$C$6="","",IF('Recurring Schedule'!$F$6="","",IF(OR($A221&lt;'Recurring Schedule'!$F$6,$A221&gt;'Recurring Schedule'!$P$6),"",IF(IF('Recurring Schedule'!$N$6&gt;0,MOD($A221-'Recurring Schedule'!$F$6,'Recurring Schedule'!$N$6)=0,IF('Recurring Schedule'!$O$6&gt;0,AND(DAY($A221)=MIN(DAY('Recurring Schedule'!$F$6),DAY(EOMONTH($A221,0))),MOD((YEAR($A221)-YEAR('Recurring Schedule'!$F$6))*12+MONTH($A221)-MONTH('Recurring Schedule'!$F$6),'Recurring Schedule'!$O$6)=0),IF('Recurring Schedule'!$E$6="Weekdays",WEEKDAY($A221,2)&lt;=5,$A221='Recurring Schedule'!$F$6))),1,""))))</f>
        <v/>
      </c>
      <c r="C221">
        <f>IF('Recurring Schedule'!$C$7="","",IF('Recurring Schedule'!$F$7="","",IF(OR($A221&lt;'Recurring Schedule'!$F$7,$A221&gt;'Recurring Schedule'!$P$7),"",IF(IF('Recurring Schedule'!$N$7&gt;0,MOD($A221-'Recurring Schedule'!$F$7,'Recurring Schedule'!$N$7)=0,IF('Recurring Schedule'!$O$7&gt;0,AND(DAY($A221)=MIN(DAY('Recurring Schedule'!$F$7),DAY(EOMONTH($A221,0))),MOD((YEAR($A221)-YEAR('Recurring Schedule'!$F$7))*12+MONTH($A221)-MONTH('Recurring Schedule'!$F$7),'Recurring Schedule'!$O$7)=0),IF('Recurring Schedule'!$E$7="Weekdays",WEEKDAY($A221,2)&lt;=5,$A221='Recurring Schedule'!$F$7))),2,""))))</f>
        <v/>
      </c>
      <c r="D221">
        <f>IF('Recurring Schedule'!$C$8="","",IF('Recurring Schedule'!$F$8="","",IF(OR($A221&lt;'Recurring Schedule'!$F$8,$A221&gt;'Recurring Schedule'!$P$8),"",IF(IF('Recurring Schedule'!$N$8&gt;0,MOD($A221-'Recurring Schedule'!$F$8,'Recurring Schedule'!$N$8)=0,IF('Recurring Schedule'!$O$8&gt;0,AND(DAY($A221)=MIN(DAY('Recurring Schedule'!$F$8),DAY(EOMONTH($A221,0))),MOD((YEAR($A221)-YEAR('Recurring Schedule'!$F$8))*12+MONTH($A221)-MONTH('Recurring Schedule'!$F$8),'Recurring Schedule'!$O$8)=0),IF('Recurring Schedule'!$E$8="Weekdays",WEEKDAY($A221,2)&lt;=5,$A221='Recurring Schedule'!$F$8))),3,""))))</f>
        <v/>
      </c>
      <c r="E221">
        <f>IF('Recurring Schedule'!$C$9="","",IF('Recurring Schedule'!$F$9="","",IF(OR($A221&lt;'Recurring Schedule'!$F$9,$A221&gt;'Recurring Schedule'!$P$9),"",IF(IF('Recurring Schedule'!$N$9&gt;0,MOD($A221-'Recurring Schedule'!$F$9,'Recurring Schedule'!$N$9)=0,IF('Recurring Schedule'!$O$9&gt;0,AND(DAY($A221)=MIN(DAY('Recurring Schedule'!$F$9),DAY(EOMONTH($A221,0))),MOD((YEAR($A221)-YEAR('Recurring Schedule'!$F$9))*12+MONTH($A221)-MONTH('Recurring Schedule'!$F$9),'Recurring Schedule'!$O$9)=0),IF('Recurring Schedule'!$E$9="Weekdays",WEEKDAY($A221,2)&lt;=5,$A221='Recurring Schedule'!$F$9))),4,""))))</f>
        <v/>
      </c>
      <c r="F221">
        <f>IF('Recurring Schedule'!$C$10="","",IF('Recurring Schedule'!$F$10="","",IF(OR($A221&lt;'Recurring Schedule'!$F$10,$A221&gt;'Recurring Schedule'!$P$10),"",IF(IF('Recurring Schedule'!$N$10&gt;0,MOD($A221-'Recurring Schedule'!$F$10,'Recurring Schedule'!$N$10)=0,IF('Recurring Schedule'!$O$10&gt;0,AND(DAY($A221)=MIN(DAY('Recurring Schedule'!$F$10),DAY(EOMONTH($A221,0))),MOD((YEAR($A221)-YEAR('Recurring Schedule'!$F$10))*12+MONTH($A221)-MONTH('Recurring Schedule'!$F$10),'Recurring Schedule'!$O$10)=0),IF('Recurring Schedule'!$E$10="Weekdays",WEEKDAY($A221,2)&lt;=5,$A221='Recurring Schedule'!$F$10))),5,""))))</f>
        <v/>
      </c>
      <c r="G221">
        <f>IF('Recurring Schedule'!$C$11="","",IF('Recurring Schedule'!$F$11="","",IF(OR($A221&lt;'Recurring Schedule'!$F$11,$A221&gt;'Recurring Schedule'!$P$11),"",IF(IF('Recurring Schedule'!$N$11&gt;0,MOD($A221-'Recurring Schedule'!$F$11,'Recurring Schedule'!$N$11)=0,IF('Recurring Schedule'!$O$11&gt;0,AND(DAY($A221)=MIN(DAY('Recurring Schedule'!$F$11),DAY(EOMONTH($A221,0))),MOD((YEAR($A221)-YEAR('Recurring Schedule'!$F$11))*12+MONTH($A221)-MONTH('Recurring Schedule'!$F$11),'Recurring Schedule'!$O$11)=0),IF('Recurring Schedule'!$E$11="Weekdays",WEEKDAY($A221,2)&lt;=5,$A221='Recurring Schedule'!$F$11))),6,""))))</f>
        <v/>
      </c>
      <c r="H221">
        <f>IF('Recurring Schedule'!$C$12="","",IF('Recurring Schedule'!$F$12="","",IF(OR($A221&lt;'Recurring Schedule'!$F$12,$A221&gt;'Recurring Schedule'!$P$12),"",IF(IF('Recurring Schedule'!$N$12&gt;0,MOD($A221-'Recurring Schedule'!$F$12,'Recurring Schedule'!$N$12)=0,IF('Recurring Schedule'!$O$12&gt;0,AND(DAY($A221)=MIN(DAY('Recurring Schedule'!$F$12),DAY(EOMONTH($A221,0))),MOD((YEAR($A221)-YEAR('Recurring Schedule'!$F$12))*12+MONTH($A221)-MONTH('Recurring Schedule'!$F$12),'Recurring Schedule'!$O$12)=0),IF('Recurring Schedule'!$E$12="Weekdays",WEEKDAY($A221,2)&lt;=5,$A221='Recurring Schedule'!$F$12))),7,""))))</f>
        <v/>
      </c>
      <c r="I221">
        <f>IF('Recurring Schedule'!$C$13="","",IF('Recurring Schedule'!$F$13="","",IF(OR($A221&lt;'Recurring Schedule'!$F$13,$A221&gt;'Recurring Schedule'!$P$13),"",IF(IF('Recurring Schedule'!$N$13&gt;0,MOD($A221-'Recurring Schedule'!$F$13,'Recurring Schedule'!$N$13)=0,IF('Recurring Schedule'!$O$13&gt;0,AND(DAY($A221)=MIN(DAY('Recurring Schedule'!$F$13),DAY(EOMONTH($A221,0))),MOD((YEAR($A221)-YEAR('Recurring Schedule'!$F$13))*12+MONTH($A221)-MONTH('Recurring Schedule'!$F$13),'Recurring Schedule'!$O$13)=0),IF('Recurring Schedule'!$E$13="Weekdays",WEEKDAY($A221,2)&lt;=5,$A221='Recurring Schedule'!$F$13))),8,""))))</f>
        <v/>
      </c>
      <c r="J221">
        <f>IF('Recurring Schedule'!$C$14="","",IF('Recurring Schedule'!$F$14="","",IF(OR($A221&lt;'Recurring Schedule'!$F$14,$A221&gt;'Recurring Schedule'!$P$14),"",IF(IF('Recurring Schedule'!$N$14&gt;0,MOD($A221-'Recurring Schedule'!$F$14,'Recurring Schedule'!$N$14)=0,IF('Recurring Schedule'!$O$14&gt;0,AND(DAY($A221)=MIN(DAY('Recurring Schedule'!$F$14),DAY(EOMONTH($A221,0))),MOD((YEAR($A221)-YEAR('Recurring Schedule'!$F$14))*12+MONTH($A221)-MONTH('Recurring Schedule'!$F$14),'Recurring Schedule'!$O$14)=0),IF('Recurring Schedule'!$E$14="Weekdays",WEEKDAY($A221,2)&lt;=5,$A221='Recurring Schedule'!$F$14))),9,""))))</f>
        <v/>
      </c>
      <c r="K221">
        <f>IF('Recurring Schedule'!$C$15="","",IF('Recurring Schedule'!$F$15="","",IF(OR($A221&lt;'Recurring Schedule'!$F$15,$A221&gt;'Recurring Schedule'!$P$15),"",IF(IF('Recurring Schedule'!$N$15&gt;0,MOD($A221-'Recurring Schedule'!$F$15,'Recurring Schedule'!$N$15)=0,IF('Recurring Schedule'!$O$15&gt;0,AND(DAY($A221)=MIN(DAY('Recurring Schedule'!$F$15),DAY(EOMONTH($A221,0))),MOD((YEAR($A221)-YEAR('Recurring Schedule'!$F$15))*12+MONTH($A221)-MONTH('Recurring Schedule'!$F$15),'Recurring Schedule'!$O$15)=0),IF('Recurring Schedule'!$E$15="Weekdays",WEEKDAY($A221,2)&lt;=5,$A221='Recurring Schedule'!$F$15))),10,""))))</f>
        <v/>
      </c>
      <c r="L221">
        <f>IF('Recurring Schedule'!$C$16="","",IF('Recurring Schedule'!$F$16="","",IF(OR($A221&lt;'Recurring Schedule'!$F$16,$A221&gt;'Recurring Schedule'!$P$16),"",IF(IF('Recurring Schedule'!$N$16&gt;0,MOD($A221-'Recurring Schedule'!$F$16,'Recurring Schedule'!$N$16)=0,IF('Recurring Schedule'!$O$16&gt;0,AND(DAY($A221)=MIN(DAY('Recurring Schedule'!$F$16),DAY(EOMONTH($A221,0))),MOD((YEAR($A221)-YEAR('Recurring Schedule'!$F$16))*12+MONTH($A221)-MONTH('Recurring Schedule'!$F$16),'Recurring Schedule'!$O$16)=0),IF('Recurring Schedule'!$E$16="Weekdays",WEEKDAY($A221,2)&lt;=5,$A221='Recurring Schedule'!$F$16))),11,""))))</f>
        <v/>
      </c>
      <c r="M221">
        <f>IF('Recurring Schedule'!$C$17="","",IF('Recurring Schedule'!$F$17="","",IF(OR($A221&lt;'Recurring Schedule'!$F$17,$A221&gt;'Recurring Schedule'!$P$17),"",IF(IF('Recurring Schedule'!$N$17&gt;0,MOD($A221-'Recurring Schedule'!$F$17,'Recurring Schedule'!$N$17)=0,IF('Recurring Schedule'!$O$17&gt;0,AND(DAY($A221)=MIN(DAY('Recurring Schedule'!$F$17),DAY(EOMONTH($A221,0))),MOD((YEAR($A221)-YEAR('Recurring Schedule'!$F$17))*12+MONTH($A221)-MONTH('Recurring Schedule'!$F$17),'Recurring Schedule'!$O$17)=0),IF('Recurring Schedule'!$E$17="Weekdays",WEEKDAY($A221,2)&lt;=5,$A221='Recurring Schedule'!$F$17))),12,""))))</f>
        <v/>
      </c>
      <c r="N221">
        <f>IF('Recurring Schedule'!$C$18="","",IF('Recurring Schedule'!$F$18="","",IF(OR($A221&lt;'Recurring Schedule'!$F$18,$A221&gt;'Recurring Schedule'!$P$18),"",IF(IF('Recurring Schedule'!$N$18&gt;0,MOD($A221-'Recurring Schedule'!$F$18,'Recurring Schedule'!$N$18)=0,IF('Recurring Schedule'!$O$18&gt;0,AND(DAY($A221)=MIN(DAY('Recurring Schedule'!$F$18),DAY(EOMONTH($A221,0))),MOD((YEAR($A221)-YEAR('Recurring Schedule'!$F$18))*12+MONTH($A221)-MONTH('Recurring Schedule'!$F$18),'Recurring Schedule'!$O$18)=0),IF('Recurring Schedule'!$E$18="Weekdays",WEEKDAY($A221,2)&lt;=5,$A221='Recurring Schedule'!$F$18))),13,""))))</f>
        <v/>
      </c>
      <c r="O221">
        <f>IF('Recurring Schedule'!$C$19="","",IF('Recurring Schedule'!$F$19="","",IF(OR($A221&lt;'Recurring Schedule'!$F$19,$A221&gt;'Recurring Schedule'!$P$19),"",IF(IF('Recurring Schedule'!$N$19&gt;0,MOD($A221-'Recurring Schedule'!$F$19,'Recurring Schedule'!$N$19)=0,IF('Recurring Schedule'!$O$19&gt;0,AND(DAY($A221)=MIN(DAY('Recurring Schedule'!$F$19),DAY(EOMONTH($A221,0))),MOD((YEAR($A221)-YEAR('Recurring Schedule'!$F$19))*12+MONTH($A221)-MONTH('Recurring Schedule'!$F$19),'Recurring Schedule'!$O$19)=0),IF('Recurring Schedule'!$E$19="Weekdays",WEEKDAY($A221,2)&lt;=5,$A221='Recurring Schedule'!$F$19))),14,""))))</f>
        <v/>
      </c>
      <c r="P221">
        <f>IF('Recurring Schedule'!$C$20="","",IF('Recurring Schedule'!$F$20="","",IF(OR($A221&lt;'Recurring Schedule'!$F$20,$A221&gt;'Recurring Schedule'!$P$20),"",IF(IF('Recurring Schedule'!$N$20&gt;0,MOD($A221-'Recurring Schedule'!$F$20,'Recurring Schedule'!$N$20)=0,IF('Recurring Schedule'!$O$20&gt;0,AND(DAY($A221)=MIN(DAY('Recurring Schedule'!$F$20),DAY(EOMONTH($A221,0))),MOD((YEAR($A221)-YEAR('Recurring Schedule'!$F$20))*12+MONTH($A221)-MONTH('Recurring Schedule'!$F$20),'Recurring Schedule'!$O$20)=0),IF('Recurring Schedule'!$E$20="Weekdays",WEEKDAY($A221,2)&lt;=5,$A221='Recurring Schedule'!$F$20))),15,""))))</f>
        <v/>
      </c>
      <c r="Q221">
        <f>IF('Recurring Schedule'!$C$21="","",IF('Recurring Schedule'!$F$21="","",IF(OR($A221&lt;'Recurring Schedule'!$F$21,$A221&gt;'Recurring Schedule'!$P$21),"",IF(IF('Recurring Schedule'!$N$21&gt;0,MOD($A221-'Recurring Schedule'!$F$21,'Recurring Schedule'!$N$21)=0,IF('Recurring Schedule'!$O$21&gt;0,AND(DAY($A221)=MIN(DAY('Recurring Schedule'!$F$21),DAY(EOMONTH($A221,0))),MOD((YEAR($A221)-YEAR('Recurring Schedule'!$F$21))*12+MONTH($A221)-MONTH('Recurring Schedule'!$F$21),'Recurring Schedule'!$O$21)=0),IF('Recurring Schedule'!$E$21="Weekdays",WEEKDAY($A221,2)&lt;=5,$A221='Recurring Schedule'!$F$21))),16,""))))</f>
        <v/>
      </c>
      <c r="R221">
        <f>IF('Recurring Schedule'!$C$22="","",IF('Recurring Schedule'!$F$22="","",IF(OR($A221&lt;'Recurring Schedule'!$F$22,$A221&gt;'Recurring Schedule'!$P$22),"",IF(IF('Recurring Schedule'!$N$22&gt;0,MOD($A221-'Recurring Schedule'!$F$22,'Recurring Schedule'!$N$22)=0,IF('Recurring Schedule'!$O$22&gt;0,AND(DAY($A221)=MIN(DAY('Recurring Schedule'!$F$22),DAY(EOMONTH($A221,0))),MOD((YEAR($A221)-YEAR('Recurring Schedule'!$F$22))*12+MONTH($A221)-MONTH('Recurring Schedule'!$F$22),'Recurring Schedule'!$O$22)=0),IF('Recurring Schedule'!$E$22="Weekdays",WEEKDAY($A221,2)&lt;=5,$A221='Recurring Schedule'!$F$22))),17,""))))</f>
        <v/>
      </c>
      <c r="S221">
        <f>IF('Recurring Schedule'!$C$23="","",IF('Recurring Schedule'!$F$23="","",IF(OR($A221&lt;'Recurring Schedule'!$F$23,$A221&gt;'Recurring Schedule'!$P$23),"",IF(IF('Recurring Schedule'!$N$23&gt;0,MOD($A221-'Recurring Schedule'!$F$23,'Recurring Schedule'!$N$23)=0,IF('Recurring Schedule'!$O$23&gt;0,AND(DAY($A221)=MIN(DAY('Recurring Schedule'!$F$23),DAY(EOMONTH($A221,0))),MOD((YEAR($A221)-YEAR('Recurring Schedule'!$F$23))*12+MONTH($A221)-MONTH('Recurring Schedule'!$F$23),'Recurring Schedule'!$O$23)=0),IF('Recurring Schedule'!$E$23="Weekdays",WEEKDAY($A221,2)&lt;=5,$A221='Recurring Schedule'!$F$23))),18,""))))</f>
        <v/>
      </c>
      <c r="T221">
        <f>IF('Recurring Schedule'!$C$24="","",IF('Recurring Schedule'!$F$24="","",IF(OR($A221&lt;'Recurring Schedule'!$F$24,$A221&gt;'Recurring Schedule'!$P$24),"",IF(IF('Recurring Schedule'!$N$24&gt;0,MOD($A221-'Recurring Schedule'!$F$24,'Recurring Schedule'!$N$24)=0,IF('Recurring Schedule'!$O$24&gt;0,AND(DAY($A221)=MIN(DAY('Recurring Schedule'!$F$24),DAY(EOMONTH($A221,0))),MOD((YEAR($A221)-YEAR('Recurring Schedule'!$F$24))*12+MONTH($A221)-MONTH('Recurring Schedule'!$F$24),'Recurring Schedule'!$O$24)=0),IF('Recurring Schedule'!$E$24="Weekdays",WEEKDAY($A221,2)&lt;=5,$A221='Recurring Schedule'!$F$24))),19,""))))</f>
        <v/>
      </c>
      <c r="U221">
        <f>IF('Recurring Schedule'!$C$25="","",IF('Recurring Schedule'!$F$25="","",IF(OR($A221&lt;'Recurring Schedule'!$F$25,$A221&gt;'Recurring Schedule'!$P$25),"",IF(IF('Recurring Schedule'!$N$25&gt;0,MOD($A221-'Recurring Schedule'!$F$25,'Recurring Schedule'!$N$25)=0,IF('Recurring Schedule'!$O$25&gt;0,AND(DAY($A221)=MIN(DAY('Recurring Schedule'!$F$25),DAY(EOMONTH($A221,0))),MOD((YEAR($A221)-YEAR('Recurring Schedule'!$F$25))*12+MONTH($A221)-MONTH('Recurring Schedule'!$F$25),'Recurring Schedule'!$O$25)=0),IF('Recurring Schedule'!$E$25="Weekdays",WEEKDAY($A221,2)&lt;=5,$A221='Recurring Schedule'!$F$25))),20,""))))</f>
        <v/>
      </c>
      <c r="V221">
        <f>IF('Recurring Schedule'!$C$26="","",IF('Recurring Schedule'!$F$26="","",IF(OR($A221&lt;'Recurring Schedule'!$F$26,$A221&gt;'Recurring Schedule'!$P$26),"",IF(IF('Recurring Schedule'!$N$26&gt;0,MOD($A221-'Recurring Schedule'!$F$26,'Recurring Schedule'!$N$26)=0,IF('Recurring Schedule'!$O$26&gt;0,AND(DAY($A221)=MIN(DAY('Recurring Schedule'!$F$26),DAY(EOMONTH($A221,0))),MOD((YEAR($A221)-YEAR('Recurring Schedule'!$F$26))*12+MONTH($A221)-MONTH('Recurring Schedule'!$F$26),'Recurring Schedule'!$O$26)=0),IF('Recurring Schedule'!$E$26="Weekdays",WEEKDAY($A221,2)&lt;=5,$A221='Recurring Schedule'!$F$26))),21,""))))</f>
        <v/>
      </c>
      <c r="W221">
        <f>IF('Recurring Schedule'!$C$27="","",IF('Recurring Schedule'!$F$27="","",IF(OR($A221&lt;'Recurring Schedule'!$F$27,$A221&gt;'Recurring Schedule'!$P$27),"",IF(IF('Recurring Schedule'!$N$27&gt;0,MOD($A221-'Recurring Schedule'!$F$27,'Recurring Schedule'!$N$27)=0,IF('Recurring Schedule'!$O$27&gt;0,AND(DAY($A221)=MIN(DAY('Recurring Schedule'!$F$27),DAY(EOMONTH($A221,0))),MOD((YEAR($A221)-YEAR('Recurring Schedule'!$F$27))*12+MONTH($A221)-MONTH('Recurring Schedule'!$F$27),'Recurring Schedule'!$O$27)=0),IF('Recurring Schedule'!$E$27="Weekdays",WEEKDAY($A221,2)&lt;=5,$A221='Recurring Schedule'!$F$27))),22,""))))</f>
        <v/>
      </c>
      <c r="X221">
        <f>IF('Recurring Schedule'!$C$28="","",IF('Recurring Schedule'!$F$28="","",IF(OR($A221&lt;'Recurring Schedule'!$F$28,$A221&gt;'Recurring Schedule'!$P$28),"",IF(IF('Recurring Schedule'!$N$28&gt;0,MOD($A221-'Recurring Schedule'!$F$28,'Recurring Schedule'!$N$28)=0,IF('Recurring Schedule'!$O$28&gt;0,AND(DAY($A221)=MIN(DAY('Recurring Schedule'!$F$28),DAY(EOMONTH($A221,0))),MOD((YEAR($A221)-YEAR('Recurring Schedule'!$F$28))*12+MONTH($A221)-MONTH('Recurring Schedule'!$F$28),'Recurring Schedule'!$O$28)=0),IF('Recurring Schedule'!$E$28="Weekdays",WEEKDAY($A221,2)&lt;=5,$A221='Recurring Schedule'!$F$28))),23,""))))</f>
        <v/>
      </c>
      <c r="Y221">
        <f>IF('Recurring Schedule'!$C$29="","",IF('Recurring Schedule'!$F$29="","",IF(OR($A221&lt;'Recurring Schedule'!$F$29,$A221&gt;'Recurring Schedule'!$P$29),"",IF(IF('Recurring Schedule'!$N$29&gt;0,MOD($A221-'Recurring Schedule'!$F$29,'Recurring Schedule'!$N$29)=0,IF('Recurring Schedule'!$O$29&gt;0,AND(DAY($A221)=MIN(DAY('Recurring Schedule'!$F$29),DAY(EOMONTH($A221,0))),MOD((YEAR($A221)-YEAR('Recurring Schedule'!$F$29))*12+MONTH($A221)-MONTH('Recurring Schedule'!$F$29),'Recurring Schedule'!$O$29)=0),IF('Recurring Schedule'!$E$29="Weekdays",WEEKDAY($A221,2)&lt;=5,$A221='Recurring Schedule'!$F$29))),24,""))))</f>
        <v/>
      </c>
      <c r="Z221">
        <f>IF('Recurring Schedule'!$C$30="","",IF('Recurring Schedule'!$F$30="","",IF(OR($A221&lt;'Recurring Schedule'!$F$30,$A221&gt;'Recurring Schedule'!$P$30),"",IF(IF('Recurring Schedule'!$N$30&gt;0,MOD($A221-'Recurring Schedule'!$F$30,'Recurring Schedule'!$N$30)=0,IF('Recurring Schedule'!$O$30&gt;0,AND(DAY($A221)=MIN(DAY('Recurring Schedule'!$F$30),DAY(EOMONTH($A221,0))),MOD((YEAR($A221)-YEAR('Recurring Schedule'!$F$30))*12+MONTH($A221)-MONTH('Recurring Schedule'!$F$30),'Recurring Schedule'!$O$30)=0),IF('Recurring Schedule'!$E$30="Weekdays",WEEKDAY($A221,2)&lt;=5,$A221='Recurring Schedule'!$F$30))),25,""))))</f>
        <v/>
      </c>
      <c r="AA221">
        <f>IF('Recurring Schedule'!$C$31="","",IF('Recurring Schedule'!$F$31="","",IF(OR($A221&lt;'Recurring Schedule'!$F$31,$A221&gt;'Recurring Schedule'!$P$31),"",IF(IF('Recurring Schedule'!$N$31&gt;0,MOD($A221-'Recurring Schedule'!$F$31,'Recurring Schedule'!$N$31)=0,IF('Recurring Schedule'!$O$31&gt;0,AND(DAY($A221)=MIN(DAY('Recurring Schedule'!$F$31),DAY(EOMONTH($A221,0))),MOD((YEAR($A221)-YEAR('Recurring Schedule'!$F$31))*12+MONTH($A221)-MONTH('Recurring Schedule'!$F$31),'Recurring Schedule'!$O$31)=0),IF('Recurring Schedule'!$E$31="Weekdays",WEEKDAY($A221,2)&lt;=5,$A221='Recurring Schedule'!$F$31))),26,""))))</f>
        <v/>
      </c>
      <c r="AB221">
        <f>IF('Recurring Schedule'!$C$32="","",IF('Recurring Schedule'!$F$32="","",IF(OR($A221&lt;'Recurring Schedule'!$F$32,$A221&gt;'Recurring Schedule'!$P$32),"",IF(IF('Recurring Schedule'!$N$32&gt;0,MOD($A221-'Recurring Schedule'!$F$32,'Recurring Schedule'!$N$32)=0,IF('Recurring Schedule'!$O$32&gt;0,AND(DAY($A221)=MIN(DAY('Recurring Schedule'!$F$32),DAY(EOMONTH($A221,0))),MOD((YEAR($A221)-YEAR('Recurring Schedule'!$F$32))*12+MONTH($A221)-MONTH('Recurring Schedule'!$F$32),'Recurring Schedule'!$O$32)=0),IF('Recurring Schedule'!$E$32="Weekdays",WEEKDAY($A221,2)&lt;=5,$A221='Recurring Schedule'!$F$32))),27,""))))</f>
        <v/>
      </c>
      <c r="AC221">
        <f>IF('Recurring Schedule'!$C$33="","",IF('Recurring Schedule'!$F$33="","",IF(OR($A221&lt;'Recurring Schedule'!$F$33,$A221&gt;'Recurring Schedule'!$P$33),"",IF(IF('Recurring Schedule'!$N$33&gt;0,MOD($A221-'Recurring Schedule'!$F$33,'Recurring Schedule'!$N$33)=0,IF('Recurring Schedule'!$O$33&gt;0,AND(DAY($A221)=MIN(DAY('Recurring Schedule'!$F$33),DAY(EOMONTH($A221,0))),MOD((YEAR($A221)-YEAR('Recurring Schedule'!$F$33))*12+MONTH($A221)-MONTH('Recurring Schedule'!$F$33),'Recurring Schedule'!$O$33)=0),IF('Recurring Schedule'!$E$33="Weekdays",WEEKDAY($A221,2)&lt;=5,$A221='Recurring Schedule'!$F$33))),28,""))))</f>
        <v/>
      </c>
      <c r="AD221">
        <f>IF('Recurring Schedule'!$C$34="","",IF('Recurring Schedule'!$F$34="","",IF(OR($A221&lt;'Recurring Schedule'!$F$34,$A221&gt;'Recurring Schedule'!$P$34),"",IF(IF('Recurring Schedule'!$N$34&gt;0,MOD($A221-'Recurring Schedule'!$F$34,'Recurring Schedule'!$N$34)=0,IF('Recurring Schedule'!$O$34&gt;0,AND(DAY($A221)=MIN(DAY('Recurring Schedule'!$F$34),DAY(EOMONTH($A221,0))),MOD((YEAR($A221)-YEAR('Recurring Schedule'!$F$34))*12+MONTH($A221)-MONTH('Recurring Schedule'!$F$34),'Recurring Schedule'!$O$34)=0),IF('Recurring Schedule'!$E$34="Weekdays",WEEKDAY($A221,2)&lt;=5,$A221='Recurring Schedule'!$F$34))),29,""))))</f>
        <v/>
      </c>
      <c r="AE221">
        <f>IF('Recurring Schedule'!$C$35="","",IF('Recurring Schedule'!$F$35="","",IF(OR($A221&lt;'Recurring Schedule'!$F$35,$A221&gt;'Recurring Schedule'!$P$35),"",IF(IF('Recurring Schedule'!$N$35&gt;0,MOD($A221-'Recurring Schedule'!$F$35,'Recurring Schedule'!$N$35)=0,IF('Recurring Schedule'!$O$35&gt;0,AND(DAY($A221)=MIN(DAY('Recurring Schedule'!$F$35),DAY(EOMONTH($A221,0))),MOD((YEAR($A221)-YEAR('Recurring Schedule'!$F$35))*12+MONTH($A221)-MONTH('Recurring Schedule'!$F$35),'Recurring Schedule'!$O$35)=0),IF('Recurring Schedule'!$E$35="Weekdays",WEEKDAY($A221,2)&lt;=5,$A221='Recurring Schedule'!$F$35))),30,""))))</f>
        <v/>
      </c>
      <c r="AF221">
        <f>IF('Recurring Schedule'!$C$36="","",IF('Recurring Schedule'!$F$36="","",IF(OR($A221&lt;'Recurring Schedule'!$F$36,$A221&gt;'Recurring Schedule'!$P$36),"",IF(IF('Recurring Schedule'!$N$36&gt;0,MOD($A221-'Recurring Schedule'!$F$36,'Recurring Schedule'!$N$36)=0,IF('Recurring Schedule'!$O$36&gt;0,AND(DAY($A221)=MIN(DAY('Recurring Schedule'!$F$36),DAY(EOMONTH($A221,0))),MOD((YEAR($A221)-YEAR('Recurring Schedule'!$F$36))*12+MONTH($A221)-MONTH('Recurring Schedule'!$F$36),'Recurring Schedule'!$O$36)=0),IF('Recurring Schedule'!$E$36="Weekdays",WEEKDAY($A221,2)&lt;=5,$A221='Recurring Schedule'!$F$36))),31,""))))</f>
        <v/>
      </c>
      <c r="AG221">
        <f>IF('Recurring Schedule'!$C$37="","",IF('Recurring Schedule'!$F$37="","",IF(OR($A221&lt;'Recurring Schedule'!$F$37,$A221&gt;'Recurring Schedule'!$P$37),"",IF(IF('Recurring Schedule'!$N$37&gt;0,MOD($A221-'Recurring Schedule'!$F$37,'Recurring Schedule'!$N$37)=0,IF('Recurring Schedule'!$O$37&gt;0,AND(DAY($A221)=MIN(DAY('Recurring Schedule'!$F$37),DAY(EOMONTH($A221,0))),MOD((YEAR($A221)-YEAR('Recurring Schedule'!$F$37))*12+MONTH($A221)-MONTH('Recurring Schedule'!$F$37),'Recurring Schedule'!$O$37)=0),IF('Recurring Schedule'!$E$37="Weekdays",WEEKDAY($A221,2)&lt;=5,$A221='Recurring Schedule'!$F$37))),32,""))))</f>
        <v/>
      </c>
      <c r="AH221">
        <f>IF('Recurring Schedule'!$C$38="","",IF('Recurring Schedule'!$F$38="","",IF(OR($A221&lt;'Recurring Schedule'!$F$38,$A221&gt;'Recurring Schedule'!$P$38),"",IF(IF('Recurring Schedule'!$N$38&gt;0,MOD($A221-'Recurring Schedule'!$F$38,'Recurring Schedule'!$N$38)=0,IF('Recurring Schedule'!$O$38&gt;0,AND(DAY($A221)=MIN(DAY('Recurring Schedule'!$F$38),DAY(EOMONTH($A221,0))),MOD((YEAR($A221)-YEAR('Recurring Schedule'!$F$38))*12+MONTH($A221)-MONTH('Recurring Schedule'!$F$38),'Recurring Schedule'!$O$38)=0),IF('Recurring Schedule'!$E$38="Weekdays",WEEKDAY($A221,2)&lt;=5,$A221='Recurring Schedule'!$F$38))),33,""))))</f>
        <v/>
      </c>
      <c r="AI221">
        <f>IF('Recurring Schedule'!$C$39="","",IF('Recurring Schedule'!$F$39="","",IF(OR($A221&lt;'Recurring Schedule'!$F$39,$A221&gt;'Recurring Schedule'!$P$39),"",IF(IF('Recurring Schedule'!$N$39&gt;0,MOD($A221-'Recurring Schedule'!$F$39,'Recurring Schedule'!$N$39)=0,IF('Recurring Schedule'!$O$39&gt;0,AND(DAY($A221)=MIN(DAY('Recurring Schedule'!$F$39),DAY(EOMONTH($A221,0))),MOD((YEAR($A221)-YEAR('Recurring Schedule'!$F$39))*12+MONTH($A221)-MONTH('Recurring Schedule'!$F$39),'Recurring Schedule'!$O$39)=0),IF('Recurring Schedule'!$E$39="Weekdays",WEEKDAY($A221,2)&lt;=5,$A221='Recurring Schedule'!$F$39))),34,""))))</f>
        <v/>
      </c>
      <c r="AJ221">
        <f>IF('Recurring Schedule'!$C$40="","",IF('Recurring Schedule'!$F$40="","",IF(OR($A221&lt;'Recurring Schedule'!$F$40,$A221&gt;'Recurring Schedule'!$P$40),"",IF(IF('Recurring Schedule'!$N$40&gt;0,MOD($A221-'Recurring Schedule'!$F$40,'Recurring Schedule'!$N$40)=0,IF('Recurring Schedule'!$O$40&gt;0,AND(DAY($A221)=MIN(DAY('Recurring Schedule'!$F$40),DAY(EOMONTH($A221,0))),MOD((YEAR($A221)-YEAR('Recurring Schedule'!$F$40))*12+MONTH($A221)-MONTH('Recurring Schedule'!$F$40),'Recurring Schedule'!$O$40)=0),IF('Recurring Schedule'!$E$40="Weekdays",WEEKDAY($A221,2)&lt;=5,$A221='Recurring Schedule'!$F$40))),35,""))))</f>
        <v/>
      </c>
      <c r="AK221">
        <f>IF('Recurring Schedule'!$C$41="","",IF('Recurring Schedule'!$F$41="","",IF(OR($A221&lt;'Recurring Schedule'!$F$41,$A221&gt;'Recurring Schedule'!$P$41),"",IF(IF('Recurring Schedule'!$N$41&gt;0,MOD($A221-'Recurring Schedule'!$F$41,'Recurring Schedule'!$N$41)=0,IF('Recurring Schedule'!$O$41&gt;0,AND(DAY($A221)=MIN(DAY('Recurring Schedule'!$F$41),DAY(EOMONTH($A221,0))),MOD((YEAR($A221)-YEAR('Recurring Schedule'!$F$41))*12+MONTH($A221)-MONTH('Recurring Schedule'!$F$41),'Recurring Schedule'!$O$41)=0),IF('Recurring Schedule'!$E$41="Weekdays",WEEKDAY($A221,2)&lt;=5,$A221='Recurring Schedule'!$F$41))),36,""))))</f>
        <v/>
      </c>
      <c r="AL221">
        <f>IF('Recurring Schedule'!$C$42="","",IF('Recurring Schedule'!$F$42="","",IF(OR($A221&lt;'Recurring Schedule'!$F$42,$A221&gt;'Recurring Schedule'!$P$42),"",IF(IF('Recurring Schedule'!$N$42&gt;0,MOD($A221-'Recurring Schedule'!$F$42,'Recurring Schedule'!$N$42)=0,IF('Recurring Schedule'!$O$42&gt;0,AND(DAY($A221)=MIN(DAY('Recurring Schedule'!$F$42),DAY(EOMONTH($A221,0))),MOD((YEAR($A221)-YEAR('Recurring Schedule'!$F$42))*12+MONTH($A221)-MONTH('Recurring Schedule'!$F$42),'Recurring Schedule'!$O$42)=0),IF('Recurring Schedule'!$E$42="Weekdays",WEEKDAY($A221,2)&lt;=5,$A221='Recurring Schedule'!$F$42))),37,""))))</f>
        <v/>
      </c>
      <c r="AM221">
        <f>IF('Recurring Schedule'!$C$43="","",IF('Recurring Schedule'!$F$43="","",IF(OR($A221&lt;'Recurring Schedule'!$F$43,$A221&gt;'Recurring Schedule'!$P$43),"",IF(IF('Recurring Schedule'!$N$43&gt;0,MOD($A221-'Recurring Schedule'!$F$43,'Recurring Schedule'!$N$43)=0,IF('Recurring Schedule'!$O$43&gt;0,AND(DAY($A221)=MIN(DAY('Recurring Schedule'!$F$43),DAY(EOMONTH($A221,0))),MOD((YEAR($A221)-YEAR('Recurring Schedule'!$F$43))*12+MONTH($A221)-MONTH('Recurring Schedule'!$F$43),'Recurring Schedule'!$O$43)=0),IF('Recurring Schedule'!$E$43="Weekdays",WEEKDAY($A221,2)&lt;=5,$A221='Recurring Schedule'!$F$43))),38,""))))</f>
        <v/>
      </c>
      <c r="AN221">
        <f>IF('Recurring Schedule'!$C$44="","",IF('Recurring Schedule'!$F$44="","",IF(OR($A221&lt;'Recurring Schedule'!$F$44,$A221&gt;'Recurring Schedule'!$P$44),"",IF(IF('Recurring Schedule'!$N$44&gt;0,MOD($A221-'Recurring Schedule'!$F$44,'Recurring Schedule'!$N$44)=0,IF('Recurring Schedule'!$O$44&gt;0,AND(DAY($A221)=MIN(DAY('Recurring Schedule'!$F$44),DAY(EOMONTH($A221,0))),MOD((YEAR($A221)-YEAR('Recurring Schedule'!$F$44))*12+MONTH($A221)-MONTH('Recurring Schedule'!$F$44),'Recurring Schedule'!$O$44)=0),IF('Recurring Schedule'!$E$44="Weekdays",WEEKDAY($A221,2)&lt;=5,$A221='Recurring Schedule'!$F$44))),39,""))))</f>
        <v/>
      </c>
      <c r="AO221">
        <f>IF('Recurring Schedule'!$C$45="","",IF('Recurring Schedule'!$F$45="","",IF(OR($A221&lt;'Recurring Schedule'!$F$45,$A221&gt;'Recurring Schedule'!$P$45),"",IF(IF('Recurring Schedule'!$N$45&gt;0,MOD($A221-'Recurring Schedule'!$F$45,'Recurring Schedule'!$N$45)=0,IF('Recurring Schedule'!$O$45&gt;0,AND(DAY($A221)=MIN(DAY('Recurring Schedule'!$F$45),DAY(EOMONTH($A221,0))),MOD((YEAR($A221)-YEAR('Recurring Schedule'!$F$45))*12+MONTH($A221)-MONTH('Recurring Schedule'!$F$45),'Recurring Schedule'!$O$45)=0),IF('Recurring Schedule'!$E$45="Weekdays",WEEKDAY($A221,2)&lt;=5,$A221='Recurring Schedule'!$F$45))),40,""))))</f>
        <v/>
      </c>
      <c r="AP221">
        <f>COUNT(B221:AO221)</f>
        <v/>
      </c>
      <c r="AQ221">
        <f>AQ220+AP220</f>
        <v/>
      </c>
      <c r="AS221" t="inlineStr">
        <is>
          <t>R</t>
        </is>
      </c>
      <c r="AT221" t="n">
        <v>225</v>
      </c>
      <c r="AU221">
        <f>'Recurring Log'!C225&amp;""</f>
        <v/>
      </c>
      <c r="AV221">
        <f>'Recurring Log'!D225&amp;""</f>
        <v/>
      </c>
      <c r="AW221">
        <f>IF('Recurring Log'!E225="","",'Recurring Log'!E225)</f>
        <v/>
      </c>
      <c r="AX221">
        <f>IF('Recurring Log'!G225="","",'Recurring Log'!G225)</f>
        <v/>
      </c>
      <c r="AY221">
        <f>IF('Recurring Log'!H225="","",'Recurring Log'!H225)</f>
        <v/>
      </c>
      <c r="AZ221">
        <f>IF(AU221="","",IF('Recurring Log'!J225="","Not Started",'Recurring Log'!J225))</f>
        <v/>
      </c>
      <c r="BA221">
        <f>'Recurring Log'!L225&amp;""</f>
        <v/>
      </c>
      <c r="BB221">
        <f>'Recurring Log'!M225&amp;""</f>
        <v/>
      </c>
      <c r="BC221">
        <f>'Recurring Log'!N225&amp;""</f>
        <v/>
      </c>
      <c r="BD221">
        <f>'Recurring Log'!O225&amp;""</f>
        <v/>
      </c>
      <c r="BE221">
        <f>IF('Recurring Log'!K225="","",'Recurring Log'!K225)</f>
        <v/>
      </c>
      <c r="BF221">
        <f>IFERROR(MATCH(BA221,Setup!$L$6:$L$9,0),5)</f>
        <v/>
      </c>
      <c r="BG221">
        <f>IF(OR(AZ221="Done",AZ221="Cancelled"),1,0)</f>
        <v/>
      </c>
      <c r="BH221">
        <f>IF(AND(AU221&lt;&gt;"",ISNUMBER(AW221)),1,0)</f>
        <v/>
      </c>
      <c r="BI221">
        <f>IF(BH221=0,0,IF(AND(AW221&gt;='Tasks Filter'!$F$3,AW221&lt;='Tasks Filter'!$F$4,OR('Tasks Filter'!$I$3="",ISNUMBER(SEARCH('Tasks Filter'!$I$3,AU221))),OR('Tasks Filter'!$I$4="",BF221=IFERROR(MATCH('Tasks Filter'!$I$4,Setup!$L$6:$L$9,0),0)),OR('Tasks Filter'!$I$5="Both",AND('Tasks Filter'!$I$5="Yes",BB221="✓"),AND('Tasks Filter'!$I$5="No",BB221&lt;&gt;"✓")),OR('Tasks Filter'!$L$3="",AV221='Tasks Filter'!$L$3),OR('Tasks Filter'!$L$4="",AZ221='Tasks Filter'!$L$4),OR('Tasks Filter'!$L$5="",BC221='Tasks Filter'!$L$5),OR('Tasks Filter'!$O$3="",BD221='Tasks Filter'!$O$3),OR('Tasks Filter'!$O$4="Yes",BG221=0)),1,0))</f>
        <v/>
      </c>
      <c r="BJ221">
        <f>IF(BH221=0,"",IF('Tasks Filter'!$F$6="Descending",-1,1)*CHOOSE(MATCH('Tasks Filter'!$F$5,Lists!$G$2:$G$6,0),AW221,BF221,IFERROR(MATCH(AV221,Setup!$F$6:$F$15,0),99),IFERROR(MATCH(BC221,Setup!$H$6:$H$15,0),99),IFERROR(MATCH(AZ221,Setup!$J$6:$J$11,0),99))*1E+9+(AW221-40000)*10000+220)</f>
        <v/>
      </c>
      <c r="BK221">
        <f>IF(BI221=1,BJ221,"")</f>
        <v/>
      </c>
      <c r="BL221">
        <f>IF(AND(BH221=1,BG221=0,N(AW221)&lt;Setup!$D$7),(AW221-40000)*10000+220,"")</f>
        <v/>
      </c>
      <c r="BM221">
        <f>IF(AND(BH221=1,AZ221&lt;&gt;"Cancelled",N(AW221)&gt;=Dashboard!$AB$3,N(AW221)&lt;=Dashboard!$AB$3+6),(AW221-40000)*100000+BF221*10000+220,"")</f>
        <v/>
      </c>
      <c r="BN221">
        <f>IF(AND(BH221=1,AZ221&lt;&gt;"Cancelled"),BF221*10000+220,"")</f>
        <v/>
      </c>
    </row>
    <row r="222">
      <c r="A222">
        <f>Setup!$D$5+220</f>
        <v/>
      </c>
      <c r="B222">
        <f>IF('Recurring Schedule'!$C$6="","",IF('Recurring Schedule'!$F$6="","",IF(OR($A222&lt;'Recurring Schedule'!$F$6,$A222&gt;'Recurring Schedule'!$P$6),"",IF(IF('Recurring Schedule'!$N$6&gt;0,MOD($A222-'Recurring Schedule'!$F$6,'Recurring Schedule'!$N$6)=0,IF('Recurring Schedule'!$O$6&gt;0,AND(DAY($A222)=MIN(DAY('Recurring Schedule'!$F$6),DAY(EOMONTH($A222,0))),MOD((YEAR($A222)-YEAR('Recurring Schedule'!$F$6))*12+MONTH($A222)-MONTH('Recurring Schedule'!$F$6),'Recurring Schedule'!$O$6)=0),IF('Recurring Schedule'!$E$6="Weekdays",WEEKDAY($A222,2)&lt;=5,$A222='Recurring Schedule'!$F$6))),1,""))))</f>
        <v/>
      </c>
      <c r="C222">
        <f>IF('Recurring Schedule'!$C$7="","",IF('Recurring Schedule'!$F$7="","",IF(OR($A222&lt;'Recurring Schedule'!$F$7,$A222&gt;'Recurring Schedule'!$P$7),"",IF(IF('Recurring Schedule'!$N$7&gt;0,MOD($A222-'Recurring Schedule'!$F$7,'Recurring Schedule'!$N$7)=0,IF('Recurring Schedule'!$O$7&gt;0,AND(DAY($A222)=MIN(DAY('Recurring Schedule'!$F$7),DAY(EOMONTH($A222,0))),MOD((YEAR($A222)-YEAR('Recurring Schedule'!$F$7))*12+MONTH($A222)-MONTH('Recurring Schedule'!$F$7),'Recurring Schedule'!$O$7)=0),IF('Recurring Schedule'!$E$7="Weekdays",WEEKDAY($A222,2)&lt;=5,$A222='Recurring Schedule'!$F$7))),2,""))))</f>
        <v/>
      </c>
      <c r="D222">
        <f>IF('Recurring Schedule'!$C$8="","",IF('Recurring Schedule'!$F$8="","",IF(OR($A222&lt;'Recurring Schedule'!$F$8,$A222&gt;'Recurring Schedule'!$P$8),"",IF(IF('Recurring Schedule'!$N$8&gt;0,MOD($A222-'Recurring Schedule'!$F$8,'Recurring Schedule'!$N$8)=0,IF('Recurring Schedule'!$O$8&gt;0,AND(DAY($A222)=MIN(DAY('Recurring Schedule'!$F$8),DAY(EOMONTH($A222,0))),MOD((YEAR($A222)-YEAR('Recurring Schedule'!$F$8))*12+MONTH($A222)-MONTH('Recurring Schedule'!$F$8),'Recurring Schedule'!$O$8)=0),IF('Recurring Schedule'!$E$8="Weekdays",WEEKDAY($A222,2)&lt;=5,$A222='Recurring Schedule'!$F$8))),3,""))))</f>
        <v/>
      </c>
      <c r="E222">
        <f>IF('Recurring Schedule'!$C$9="","",IF('Recurring Schedule'!$F$9="","",IF(OR($A222&lt;'Recurring Schedule'!$F$9,$A222&gt;'Recurring Schedule'!$P$9),"",IF(IF('Recurring Schedule'!$N$9&gt;0,MOD($A222-'Recurring Schedule'!$F$9,'Recurring Schedule'!$N$9)=0,IF('Recurring Schedule'!$O$9&gt;0,AND(DAY($A222)=MIN(DAY('Recurring Schedule'!$F$9),DAY(EOMONTH($A222,0))),MOD((YEAR($A222)-YEAR('Recurring Schedule'!$F$9))*12+MONTH($A222)-MONTH('Recurring Schedule'!$F$9),'Recurring Schedule'!$O$9)=0),IF('Recurring Schedule'!$E$9="Weekdays",WEEKDAY($A222,2)&lt;=5,$A222='Recurring Schedule'!$F$9))),4,""))))</f>
        <v/>
      </c>
      <c r="F222">
        <f>IF('Recurring Schedule'!$C$10="","",IF('Recurring Schedule'!$F$10="","",IF(OR($A222&lt;'Recurring Schedule'!$F$10,$A222&gt;'Recurring Schedule'!$P$10),"",IF(IF('Recurring Schedule'!$N$10&gt;0,MOD($A222-'Recurring Schedule'!$F$10,'Recurring Schedule'!$N$10)=0,IF('Recurring Schedule'!$O$10&gt;0,AND(DAY($A222)=MIN(DAY('Recurring Schedule'!$F$10),DAY(EOMONTH($A222,0))),MOD((YEAR($A222)-YEAR('Recurring Schedule'!$F$10))*12+MONTH($A222)-MONTH('Recurring Schedule'!$F$10),'Recurring Schedule'!$O$10)=0),IF('Recurring Schedule'!$E$10="Weekdays",WEEKDAY($A222,2)&lt;=5,$A222='Recurring Schedule'!$F$10))),5,""))))</f>
        <v/>
      </c>
      <c r="G222">
        <f>IF('Recurring Schedule'!$C$11="","",IF('Recurring Schedule'!$F$11="","",IF(OR($A222&lt;'Recurring Schedule'!$F$11,$A222&gt;'Recurring Schedule'!$P$11),"",IF(IF('Recurring Schedule'!$N$11&gt;0,MOD($A222-'Recurring Schedule'!$F$11,'Recurring Schedule'!$N$11)=0,IF('Recurring Schedule'!$O$11&gt;0,AND(DAY($A222)=MIN(DAY('Recurring Schedule'!$F$11),DAY(EOMONTH($A222,0))),MOD((YEAR($A222)-YEAR('Recurring Schedule'!$F$11))*12+MONTH($A222)-MONTH('Recurring Schedule'!$F$11),'Recurring Schedule'!$O$11)=0),IF('Recurring Schedule'!$E$11="Weekdays",WEEKDAY($A222,2)&lt;=5,$A222='Recurring Schedule'!$F$11))),6,""))))</f>
        <v/>
      </c>
      <c r="H222">
        <f>IF('Recurring Schedule'!$C$12="","",IF('Recurring Schedule'!$F$12="","",IF(OR($A222&lt;'Recurring Schedule'!$F$12,$A222&gt;'Recurring Schedule'!$P$12),"",IF(IF('Recurring Schedule'!$N$12&gt;0,MOD($A222-'Recurring Schedule'!$F$12,'Recurring Schedule'!$N$12)=0,IF('Recurring Schedule'!$O$12&gt;0,AND(DAY($A222)=MIN(DAY('Recurring Schedule'!$F$12),DAY(EOMONTH($A222,0))),MOD((YEAR($A222)-YEAR('Recurring Schedule'!$F$12))*12+MONTH($A222)-MONTH('Recurring Schedule'!$F$12),'Recurring Schedule'!$O$12)=0),IF('Recurring Schedule'!$E$12="Weekdays",WEEKDAY($A222,2)&lt;=5,$A222='Recurring Schedule'!$F$12))),7,""))))</f>
        <v/>
      </c>
      <c r="I222">
        <f>IF('Recurring Schedule'!$C$13="","",IF('Recurring Schedule'!$F$13="","",IF(OR($A222&lt;'Recurring Schedule'!$F$13,$A222&gt;'Recurring Schedule'!$P$13),"",IF(IF('Recurring Schedule'!$N$13&gt;0,MOD($A222-'Recurring Schedule'!$F$13,'Recurring Schedule'!$N$13)=0,IF('Recurring Schedule'!$O$13&gt;0,AND(DAY($A222)=MIN(DAY('Recurring Schedule'!$F$13),DAY(EOMONTH($A222,0))),MOD((YEAR($A222)-YEAR('Recurring Schedule'!$F$13))*12+MONTH($A222)-MONTH('Recurring Schedule'!$F$13),'Recurring Schedule'!$O$13)=0),IF('Recurring Schedule'!$E$13="Weekdays",WEEKDAY($A222,2)&lt;=5,$A222='Recurring Schedule'!$F$13))),8,""))))</f>
        <v/>
      </c>
      <c r="J222">
        <f>IF('Recurring Schedule'!$C$14="","",IF('Recurring Schedule'!$F$14="","",IF(OR($A222&lt;'Recurring Schedule'!$F$14,$A222&gt;'Recurring Schedule'!$P$14),"",IF(IF('Recurring Schedule'!$N$14&gt;0,MOD($A222-'Recurring Schedule'!$F$14,'Recurring Schedule'!$N$14)=0,IF('Recurring Schedule'!$O$14&gt;0,AND(DAY($A222)=MIN(DAY('Recurring Schedule'!$F$14),DAY(EOMONTH($A222,0))),MOD((YEAR($A222)-YEAR('Recurring Schedule'!$F$14))*12+MONTH($A222)-MONTH('Recurring Schedule'!$F$14),'Recurring Schedule'!$O$14)=0),IF('Recurring Schedule'!$E$14="Weekdays",WEEKDAY($A222,2)&lt;=5,$A222='Recurring Schedule'!$F$14))),9,""))))</f>
        <v/>
      </c>
      <c r="K222">
        <f>IF('Recurring Schedule'!$C$15="","",IF('Recurring Schedule'!$F$15="","",IF(OR($A222&lt;'Recurring Schedule'!$F$15,$A222&gt;'Recurring Schedule'!$P$15),"",IF(IF('Recurring Schedule'!$N$15&gt;0,MOD($A222-'Recurring Schedule'!$F$15,'Recurring Schedule'!$N$15)=0,IF('Recurring Schedule'!$O$15&gt;0,AND(DAY($A222)=MIN(DAY('Recurring Schedule'!$F$15),DAY(EOMONTH($A222,0))),MOD((YEAR($A222)-YEAR('Recurring Schedule'!$F$15))*12+MONTH($A222)-MONTH('Recurring Schedule'!$F$15),'Recurring Schedule'!$O$15)=0),IF('Recurring Schedule'!$E$15="Weekdays",WEEKDAY($A222,2)&lt;=5,$A222='Recurring Schedule'!$F$15))),10,""))))</f>
        <v/>
      </c>
      <c r="L222">
        <f>IF('Recurring Schedule'!$C$16="","",IF('Recurring Schedule'!$F$16="","",IF(OR($A222&lt;'Recurring Schedule'!$F$16,$A222&gt;'Recurring Schedule'!$P$16),"",IF(IF('Recurring Schedule'!$N$16&gt;0,MOD($A222-'Recurring Schedule'!$F$16,'Recurring Schedule'!$N$16)=0,IF('Recurring Schedule'!$O$16&gt;0,AND(DAY($A222)=MIN(DAY('Recurring Schedule'!$F$16),DAY(EOMONTH($A222,0))),MOD((YEAR($A222)-YEAR('Recurring Schedule'!$F$16))*12+MONTH($A222)-MONTH('Recurring Schedule'!$F$16),'Recurring Schedule'!$O$16)=0),IF('Recurring Schedule'!$E$16="Weekdays",WEEKDAY($A222,2)&lt;=5,$A222='Recurring Schedule'!$F$16))),11,""))))</f>
        <v/>
      </c>
      <c r="M222">
        <f>IF('Recurring Schedule'!$C$17="","",IF('Recurring Schedule'!$F$17="","",IF(OR($A222&lt;'Recurring Schedule'!$F$17,$A222&gt;'Recurring Schedule'!$P$17),"",IF(IF('Recurring Schedule'!$N$17&gt;0,MOD($A222-'Recurring Schedule'!$F$17,'Recurring Schedule'!$N$17)=0,IF('Recurring Schedule'!$O$17&gt;0,AND(DAY($A222)=MIN(DAY('Recurring Schedule'!$F$17),DAY(EOMONTH($A222,0))),MOD((YEAR($A222)-YEAR('Recurring Schedule'!$F$17))*12+MONTH($A222)-MONTH('Recurring Schedule'!$F$17),'Recurring Schedule'!$O$17)=0),IF('Recurring Schedule'!$E$17="Weekdays",WEEKDAY($A222,2)&lt;=5,$A222='Recurring Schedule'!$F$17))),12,""))))</f>
        <v/>
      </c>
      <c r="N222">
        <f>IF('Recurring Schedule'!$C$18="","",IF('Recurring Schedule'!$F$18="","",IF(OR($A222&lt;'Recurring Schedule'!$F$18,$A222&gt;'Recurring Schedule'!$P$18),"",IF(IF('Recurring Schedule'!$N$18&gt;0,MOD($A222-'Recurring Schedule'!$F$18,'Recurring Schedule'!$N$18)=0,IF('Recurring Schedule'!$O$18&gt;0,AND(DAY($A222)=MIN(DAY('Recurring Schedule'!$F$18),DAY(EOMONTH($A222,0))),MOD((YEAR($A222)-YEAR('Recurring Schedule'!$F$18))*12+MONTH($A222)-MONTH('Recurring Schedule'!$F$18),'Recurring Schedule'!$O$18)=0),IF('Recurring Schedule'!$E$18="Weekdays",WEEKDAY($A222,2)&lt;=5,$A222='Recurring Schedule'!$F$18))),13,""))))</f>
        <v/>
      </c>
      <c r="O222">
        <f>IF('Recurring Schedule'!$C$19="","",IF('Recurring Schedule'!$F$19="","",IF(OR($A222&lt;'Recurring Schedule'!$F$19,$A222&gt;'Recurring Schedule'!$P$19),"",IF(IF('Recurring Schedule'!$N$19&gt;0,MOD($A222-'Recurring Schedule'!$F$19,'Recurring Schedule'!$N$19)=0,IF('Recurring Schedule'!$O$19&gt;0,AND(DAY($A222)=MIN(DAY('Recurring Schedule'!$F$19),DAY(EOMONTH($A222,0))),MOD((YEAR($A222)-YEAR('Recurring Schedule'!$F$19))*12+MONTH($A222)-MONTH('Recurring Schedule'!$F$19),'Recurring Schedule'!$O$19)=0),IF('Recurring Schedule'!$E$19="Weekdays",WEEKDAY($A222,2)&lt;=5,$A222='Recurring Schedule'!$F$19))),14,""))))</f>
        <v/>
      </c>
      <c r="P222">
        <f>IF('Recurring Schedule'!$C$20="","",IF('Recurring Schedule'!$F$20="","",IF(OR($A222&lt;'Recurring Schedule'!$F$20,$A222&gt;'Recurring Schedule'!$P$20),"",IF(IF('Recurring Schedule'!$N$20&gt;0,MOD($A222-'Recurring Schedule'!$F$20,'Recurring Schedule'!$N$20)=0,IF('Recurring Schedule'!$O$20&gt;0,AND(DAY($A222)=MIN(DAY('Recurring Schedule'!$F$20),DAY(EOMONTH($A222,0))),MOD((YEAR($A222)-YEAR('Recurring Schedule'!$F$20))*12+MONTH($A222)-MONTH('Recurring Schedule'!$F$20),'Recurring Schedule'!$O$20)=0),IF('Recurring Schedule'!$E$20="Weekdays",WEEKDAY($A222,2)&lt;=5,$A222='Recurring Schedule'!$F$20))),15,""))))</f>
        <v/>
      </c>
      <c r="Q222">
        <f>IF('Recurring Schedule'!$C$21="","",IF('Recurring Schedule'!$F$21="","",IF(OR($A222&lt;'Recurring Schedule'!$F$21,$A222&gt;'Recurring Schedule'!$P$21),"",IF(IF('Recurring Schedule'!$N$21&gt;0,MOD($A222-'Recurring Schedule'!$F$21,'Recurring Schedule'!$N$21)=0,IF('Recurring Schedule'!$O$21&gt;0,AND(DAY($A222)=MIN(DAY('Recurring Schedule'!$F$21),DAY(EOMONTH($A222,0))),MOD((YEAR($A222)-YEAR('Recurring Schedule'!$F$21))*12+MONTH($A222)-MONTH('Recurring Schedule'!$F$21),'Recurring Schedule'!$O$21)=0),IF('Recurring Schedule'!$E$21="Weekdays",WEEKDAY($A222,2)&lt;=5,$A222='Recurring Schedule'!$F$21))),16,""))))</f>
        <v/>
      </c>
      <c r="R222">
        <f>IF('Recurring Schedule'!$C$22="","",IF('Recurring Schedule'!$F$22="","",IF(OR($A222&lt;'Recurring Schedule'!$F$22,$A222&gt;'Recurring Schedule'!$P$22),"",IF(IF('Recurring Schedule'!$N$22&gt;0,MOD($A222-'Recurring Schedule'!$F$22,'Recurring Schedule'!$N$22)=0,IF('Recurring Schedule'!$O$22&gt;0,AND(DAY($A222)=MIN(DAY('Recurring Schedule'!$F$22),DAY(EOMONTH($A222,0))),MOD((YEAR($A222)-YEAR('Recurring Schedule'!$F$22))*12+MONTH($A222)-MONTH('Recurring Schedule'!$F$22),'Recurring Schedule'!$O$22)=0),IF('Recurring Schedule'!$E$22="Weekdays",WEEKDAY($A222,2)&lt;=5,$A222='Recurring Schedule'!$F$22))),17,""))))</f>
        <v/>
      </c>
      <c r="S222">
        <f>IF('Recurring Schedule'!$C$23="","",IF('Recurring Schedule'!$F$23="","",IF(OR($A222&lt;'Recurring Schedule'!$F$23,$A222&gt;'Recurring Schedule'!$P$23),"",IF(IF('Recurring Schedule'!$N$23&gt;0,MOD($A222-'Recurring Schedule'!$F$23,'Recurring Schedule'!$N$23)=0,IF('Recurring Schedule'!$O$23&gt;0,AND(DAY($A222)=MIN(DAY('Recurring Schedule'!$F$23),DAY(EOMONTH($A222,0))),MOD((YEAR($A222)-YEAR('Recurring Schedule'!$F$23))*12+MONTH($A222)-MONTH('Recurring Schedule'!$F$23),'Recurring Schedule'!$O$23)=0),IF('Recurring Schedule'!$E$23="Weekdays",WEEKDAY($A222,2)&lt;=5,$A222='Recurring Schedule'!$F$23))),18,""))))</f>
        <v/>
      </c>
      <c r="T222">
        <f>IF('Recurring Schedule'!$C$24="","",IF('Recurring Schedule'!$F$24="","",IF(OR($A222&lt;'Recurring Schedule'!$F$24,$A222&gt;'Recurring Schedule'!$P$24),"",IF(IF('Recurring Schedule'!$N$24&gt;0,MOD($A222-'Recurring Schedule'!$F$24,'Recurring Schedule'!$N$24)=0,IF('Recurring Schedule'!$O$24&gt;0,AND(DAY($A222)=MIN(DAY('Recurring Schedule'!$F$24),DAY(EOMONTH($A222,0))),MOD((YEAR($A222)-YEAR('Recurring Schedule'!$F$24))*12+MONTH($A222)-MONTH('Recurring Schedule'!$F$24),'Recurring Schedule'!$O$24)=0),IF('Recurring Schedule'!$E$24="Weekdays",WEEKDAY($A222,2)&lt;=5,$A222='Recurring Schedule'!$F$24))),19,""))))</f>
        <v/>
      </c>
      <c r="U222">
        <f>IF('Recurring Schedule'!$C$25="","",IF('Recurring Schedule'!$F$25="","",IF(OR($A222&lt;'Recurring Schedule'!$F$25,$A222&gt;'Recurring Schedule'!$P$25),"",IF(IF('Recurring Schedule'!$N$25&gt;0,MOD($A222-'Recurring Schedule'!$F$25,'Recurring Schedule'!$N$25)=0,IF('Recurring Schedule'!$O$25&gt;0,AND(DAY($A222)=MIN(DAY('Recurring Schedule'!$F$25),DAY(EOMONTH($A222,0))),MOD((YEAR($A222)-YEAR('Recurring Schedule'!$F$25))*12+MONTH($A222)-MONTH('Recurring Schedule'!$F$25),'Recurring Schedule'!$O$25)=0),IF('Recurring Schedule'!$E$25="Weekdays",WEEKDAY($A222,2)&lt;=5,$A222='Recurring Schedule'!$F$25))),20,""))))</f>
        <v/>
      </c>
      <c r="V222">
        <f>IF('Recurring Schedule'!$C$26="","",IF('Recurring Schedule'!$F$26="","",IF(OR($A222&lt;'Recurring Schedule'!$F$26,$A222&gt;'Recurring Schedule'!$P$26),"",IF(IF('Recurring Schedule'!$N$26&gt;0,MOD($A222-'Recurring Schedule'!$F$26,'Recurring Schedule'!$N$26)=0,IF('Recurring Schedule'!$O$26&gt;0,AND(DAY($A222)=MIN(DAY('Recurring Schedule'!$F$26),DAY(EOMONTH($A222,0))),MOD((YEAR($A222)-YEAR('Recurring Schedule'!$F$26))*12+MONTH($A222)-MONTH('Recurring Schedule'!$F$26),'Recurring Schedule'!$O$26)=0),IF('Recurring Schedule'!$E$26="Weekdays",WEEKDAY($A222,2)&lt;=5,$A222='Recurring Schedule'!$F$26))),21,""))))</f>
        <v/>
      </c>
      <c r="W222">
        <f>IF('Recurring Schedule'!$C$27="","",IF('Recurring Schedule'!$F$27="","",IF(OR($A222&lt;'Recurring Schedule'!$F$27,$A222&gt;'Recurring Schedule'!$P$27),"",IF(IF('Recurring Schedule'!$N$27&gt;0,MOD($A222-'Recurring Schedule'!$F$27,'Recurring Schedule'!$N$27)=0,IF('Recurring Schedule'!$O$27&gt;0,AND(DAY($A222)=MIN(DAY('Recurring Schedule'!$F$27),DAY(EOMONTH($A222,0))),MOD((YEAR($A222)-YEAR('Recurring Schedule'!$F$27))*12+MONTH($A222)-MONTH('Recurring Schedule'!$F$27),'Recurring Schedule'!$O$27)=0),IF('Recurring Schedule'!$E$27="Weekdays",WEEKDAY($A222,2)&lt;=5,$A222='Recurring Schedule'!$F$27))),22,""))))</f>
        <v/>
      </c>
      <c r="X222">
        <f>IF('Recurring Schedule'!$C$28="","",IF('Recurring Schedule'!$F$28="","",IF(OR($A222&lt;'Recurring Schedule'!$F$28,$A222&gt;'Recurring Schedule'!$P$28),"",IF(IF('Recurring Schedule'!$N$28&gt;0,MOD($A222-'Recurring Schedule'!$F$28,'Recurring Schedule'!$N$28)=0,IF('Recurring Schedule'!$O$28&gt;0,AND(DAY($A222)=MIN(DAY('Recurring Schedule'!$F$28),DAY(EOMONTH($A222,0))),MOD((YEAR($A222)-YEAR('Recurring Schedule'!$F$28))*12+MONTH($A222)-MONTH('Recurring Schedule'!$F$28),'Recurring Schedule'!$O$28)=0),IF('Recurring Schedule'!$E$28="Weekdays",WEEKDAY($A222,2)&lt;=5,$A222='Recurring Schedule'!$F$28))),23,""))))</f>
        <v/>
      </c>
      <c r="Y222">
        <f>IF('Recurring Schedule'!$C$29="","",IF('Recurring Schedule'!$F$29="","",IF(OR($A222&lt;'Recurring Schedule'!$F$29,$A222&gt;'Recurring Schedule'!$P$29),"",IF(IF('Recurring Schedule'!$N$29&gt;0,MOD($A222-'Recurring Schedule'!$F$29,'Recurring Schedule'!$N$29)=0,IF('Recurring Schedule'!$O$29&gt;0,AND(DAY($A222)=MIN(DAY('Recurring Schedule'!$F$29),DAY(EOMONTH($A222,0))),MOD((YEAR($A222)-YEAR('Recurring Schedule'!$F$29))*12+MONTH($A222)-MONTH('Recurring Schedule'!$F$29),'Recurring Schedule'!$O$29)=0),IF('Recurring Schedule'!$E$29="Weekdays",WEEKDAY($A222,2)&lt;=5,$A222='Recurring Schedule'!$F$29))),24,""))))</f>
        <v/>
      </c>
      <c r="Z222">
        <f>IF('Recurring Schedule'!$C$30="","",IF('Recurring Schedule'!$F$30="","",IF(OR($A222&lt;'Recurring Schedule'!$F$30,$A222&gt;'Recurring Schedule'!$P$30),"",IF(IF('Recurring Schedule'!$N$30&gt;0,MOD($A222-'Recurring Schedule'!$F$30,'Recurring Schedule'!$N$30)=0,IF('Recurring Schedule'!$O$30&gt;0,AND(DAY($A222)=MIN(DAY('Recurring Schedule'!$F$30),DAY(EOMONTH($A222,0))),MOD((YEAR($A222)-YEAR('Recurring Schedule'!$F$30))*12+MONTH($A222)-MONTH('Recurring Schedule'!$F$30),'Recurring Schedule'!$O$30)=0),IF('Recurring Schedule'!$E$30="Weekdays",WEEKDAY($A222,2)&lt;=5,$A222='Recurring Schedule'!$F$30))),25,""))))</f>
        <v/>
      </c>
      <c r="AA222">
        <f>IF('Recurring Schedule'!$C$31="","",IF('Recurring Schedule'!$F$31="","",IF(OR($A222&lt;'Recurring Schedule'!$F$31,$A222&gt;'Recurring Schedule'!$P$31),"",IF(IF('Recurring Schedule'!$N$31&gt;0,MOD($A222-'Recurring Schedule'!$F$31,'Recurring Schedule'!$N$31)=0,IF('Recurring Schedule'!$O$31&gt;0,AND(DAY($A222)=MIN(DAY('Recurring Schedule'!$F$31),DAY(EOMONTH($A222,0))),MOD((YEAR($A222)-YEAR('Recurring Schedule'!$F$31))*12+MONTH($A222)-MONTH('Recurring Schedule'!$F$31),'Recurring Schedule'!$O$31)=0),IF('Recurring Schedule'!$E$31="Weekdays",WEEKDAY($A222,2)&lt;=5,$A222='Recurring Schedule'!$F$31))),26,""))))</f>
        <v/>
      </c>
      <c r="AB222">
        <f>IF('Recurring Schedule'!$C$32="","",IF('Recurring Schedule'!$F$32="","",IF(OR($A222&lt;'Recurring Schedule'!$F$32,$A222&gt;'Recurring Schedule'!$P$32),"",IF(IF('Recurring Schedule'!$N$32&gt;0,MOD($A222-'Recurring Schedule'!$F$32,'Recurring Schedule'!$N$32)=0,IF('Recurring Schedule'!$O$32&gt;0,AND(DAY($A222)=MIN(DAY('Recurring Schedule'!$F$32),DAY(EOMONTH($A222,0))),MOD((YEAR($A222)-YEAR('Recurring Schedule'!$F$32))*12+MONTH($A222)-MONTH('Recurring Schedule'!$F$32),'Recurring Schedule'!$O$32)=0),IF('Recurring Schedule'!$E$32="Weekdays",WEEKDAY($A222,2)&lt;=5,$A222='Recurring Schedule'!$F$32))),27,""))))</f>
        <v/>
      </c>
      <c r="AC222">
        <f>IF('Recurring Schedule'!$C$33="","",IF('Recurring Schedule'!$F$33="","",IF(OR($A222&lt;'Recurring Schedule'!$F$33,$A222&gt;'Recurring Schedule'!$P$33),"",IF(IF('Recurring Schedule'!$N$33&gt;0,MOD($A222-'Recurring Schedule'!$F$33,'Recurring Schedule'!$N$33)=0,IF('Recurring Schedule'!$O$33&gt;0,AND(DAY($A222)=MIN(DAY('Recurring Schedule'!$F$33),DAY(EOMONTH($A222,0))),MOD((YEAR($A222)-YEAR('Recurring Schedule'!$F$33))*12+MONTH($A222)-MONTH('Recurring Schedule'!$F$33),'Recurring Schedule'!$O$33)=0),IF('Recurring Schedule'!$E$33="Weekdays",WEEKDAY($A222,2)&lt;=5,$A222='Recurring Schedule'!$F$33))),28,""))))</f>
        <v/>
      </c>
      <c r="AD222">
        <f>IF('Recurring Schedule'!$C$34="","",IF('Recurring Schedule'!$F$34="","",IF(OR($A222&lt;'Recurring Schedule'!$F$34,$A222&gt;'Recurring Schedule'!$P$34),"",IF(IF('Recurring Schedule'!$N$34&gt;0,MOD($A222-'Recurring Schedule'!$F$34,'Recurring Schedule'!$N$34)=0,IF('Recurring Schedule'!$O$34&gt;0,AND(DAY($A222)=MIN(DAY('Recurring Schedule'!$F$34),DAY(EOMONTH($A222,0))),MOD((YEAR($A222)-YEAR('Recurring Schedule'!$F$34))*12+MONTH($A222)-MONTH('Recurring Schedule'!$F$34),'Recurring Schedule'!$O$34)=0),IF('Recurring Schedule'!$E$34="Weekdays",WEEKDAY($A222,2)&lt;=5,$A222='Recurring Schedule'!$F$34))),29,""))))</f>
        <v/>
      </c>
      <c r="AE222">
        <f>IF('Recurring Schedule'!$C$35="","",IF('Recurring Schedule'!$F$35="","",IF(OR($A222&lt;'Recurring Schedule'!$F$35,$A222&gt;'Recurring Schedule'!$P$35),"",IF(IF('Recurring Schedule'!$N$35&gt;0,MOD($A222-'Recurring Schedule'!$F$35,'Recurring Schedule'!$N$35)=0,IF('Recurring Schedule'!$O$35&gt;0,AND(DAY($A222)=MIN(DAY('Recurring Schedule'!$F$35),DAY(EOMONTH($A222,0))),MOD((YEAR($A222)-YEAR('Recurring Schedule'!$F$35))*12+MONTH($A222)-MONTH('Recurring Schedule'!$F$35),'Recurring Schedule'!$O$35)=0),IF('Recurring Schedule'!$E$35="Weekdays",WEEKDAY($A222,2)&lt;=5,$A222='Recurring Schedule'!$F$35))),30,""))))</f>
        <v/>
      </c>
      <c r="AF222">
        <f>IF('Recurring Schedule'!$C$36="","",IF('Recurring Schedule'!$F$36="","",IF(OR($A222&lt;'Recurring Schedule'!$F$36,$A222&gt;'Recurring Schedule'!$P$36),"",IF(IF('Recurring Schedule'!$N$36&gt;0,MOD($A222-'Recurring Schedule'!$F$36,'Recurring Schedule'!$N$36)=0,IF('Recurring Schedule'!$O$36&gt;0,AND(DAY($A222)=MIN(DAY('Recurring Schedule'!$F$36),DAY(EOMONTH($A222,0))),MOD((YEAR($A222)-YEAR('Recurring Schedule'!$F$36))*12+MONTH($A222)-MONTH('Recurring Schedule'!$F$36),'Recurring Schedule'!$O$36)=0),IF('Recurring Schedule'!$E$36="Weekdays",WEEKDAY($A222,2)&lt;=5,$A222='Recurring Schedule'!$F$36))),31,""))))</f>
        <v/>
      </c>
      <c r="AG222">
        <f>IF('Recurring Schedule'!$C$37="","",IF('Recurring Schedule'!$F$37="","",IF(OR($A222&lt;'Recurring Schedule'!$F$37,$A222&gt;'Recurring Schedule'!$P$37),"",IF(IF('Recurring Schedule'!$N$37&gt;0,MOD($A222-'Recurring Schedule'!$F$37,'Recurring Schedule'!$N$37)=0,IF('Recurring Schedule'!$O$37&gt;0,AND(DAY($A222)=MIN(DAY('Recurring Schedule'!$F$37),DAY(EOMONTH($A222,0))),MOD((YEAR($A222)-YEAR('Recurring Schedule'!$F$37))*12+MONTH($A222)-MONTH('Recurring Schedule'!$F$37),'Recurring Schedule'!$O$37)=0),IF('Recurring Schedule'!$E$37="Weekdays",WEEKDAY($A222,2)&lt;=5,$A222='Recurring Schedule'!$F$37))),32,""))))</f>
        <v/>
      </c>
      <c r="AH222">
        <f>IF('Recurring Schedule'!$C$38="","",IF('Recurring Schedule'!$F$38="","",IF(OR($A222&lt;'Recurring Schedule'!$F$38,$A222&gt;'Recurring Schedule'!$P$38),"",IF(IF('Recurring Schedule'!$N$38&gt;0,MOD($A222-'Recurring Schedule'!$F$38,'Recurring Schedule'!$N$38)=0,IF('Recurring Schedule'!$O$38&gt;0,AND(DAY($A222)=MIN(DAY('Recurring Schedule'!$F$38),DAY(EOMONTH($A222,0))),MOD((YEAR($A222)-YEAR('Recurring Schedule'!$F$38))*12+MONTH($A222)-MONTH('Recurring Schedule'!$F$38),'Recurring Schedule'!$O$38)=0),IF('Recurring Schedule'!$E$38="Weekdays",WEEKDAY($A222,2)&lt;=5,$A222='Recurring Schedule'!$F$38))),33,""))))</f>
        <v/>
      </c>
      <c r="AI222">
        <f>IF('Recurring Schedule'!$C$39="","",IF('Recurring Schedule'!$F$39="","",IF(OR($A222&lt;'Recurring Schedule'!$F$39,$A222&gt;'Recurring Schedule'!$P$39),"",IF(IF('Recurring Schedule'!$N$39&gt;0,MOD($A222-'Recurring Schedule'!$F$39,'Recurring Schedule'!$N$39)=0,IF('Recurring Schedule'!$O$39&gt;0,AND(DAY($A222)=MIN(DAY('Recurring Schedule'!$F$39),DAY(EOMONTH($A222,0))),MOD((YEAR($A222)-YEAR('Recurring Schedule'!$F$39))*12+MONTH($A222)-MONTH('Recurring Schedule'!$F$39),'Recurring Schedule'!$O$39)=0),IF('Recurring Schedule'!$E$39="Weekdays",WEEKDAY($A222,2)&lt;=5,$A222='Recurring Schedule'!$F$39))),34,""))))</f>
        <v/>
      </c>
      <c r="AJ222">
        <f>IF('Recurring Schedule'!$C$40="","",IF('Recurring Schedule'!$F$40="","",IF(OR($A222&lt;'Recurring Schedule'!$F$40,$A222&gt;'Recurring Schedule'!$P$40),"",IF(IF('Recurring Schedule'!$N$40&gt;0,MOD($A222-'Recurring Schedule'!$F$40,'Recurring Schedule'!$N$40)=0,IF('Recurring Schedule'!$O$40&gt;0,AND(DAY($A222)=MIN(DAY('Recurring Schedule'!$F$40),DAY(EOMONTH($A222,0))),MOD((YEAR($A222)-YEAR('Recurring Schedule'!$F$40))*12+MONTH($A222)-MONTH('Recurring Schedule'!$F$40),'Recurring Schedule'!$O$40)=0),IF('Recurring Schedule'!$E$40="Weekdays",WEEKDAY($A222,2)&lt;=5,$A222='Recurring Schedule'!$F$40))),35,""))))</f>
        <v/>
      </c>
      <c r="AK222">
        <f>IF('Recurring Schedule'!$C$41="","",IF('Recurring Schedule'!$F$41="","",IF(OR($A222&lt;'Recurring Schedule'!$F$41,$A222&gt;'Recurring Schedule'!$P$41),"",IF(IF('Recurring Schedule'!$N$41&gt;0,MOD($A222-'Recurring Schedule'!$F$41,'Recurring Schedule'!$N$41)=0,IF('Recurring Schedule'!$O$41&gt;0,AND(DAY($A222)=MIN(DAY('Recurring Schedule'!$F$41),DAY(EOMONTH($A222,0))),MOD((YEAR($A222)-YEAR('Recurring Schedule'!$F$41))*12+MONTH($A222)-MONTH('Recurring Schedule'!$F$41),'Recurring Schedule'!$O$41)=0),IF('Recurring Schedule'!$E$41="Weekdays",WEEKDAY($A222,2)&lt;=5,$A222='Recurring Schedule'!$F$41))),36,""))))</f>
        <v/>
      </c>
      <c r="AL222">
        <f>IF('Recurring Schedule'!$C$42="","",IF('Recurring Schedule'!$F$42="","",IF(OR($A222&lt;'Recurring Schedule'!$F$42,$A222&gt;'Recurring Schedule'!$P$42),"",IF(IF('Recurring Schedule'!$N$42&gt;0,MOD($A222-'Recurring Schedule'!$F$42,'Recurring Schedule'!$N$42)=0,IF('Recurring Schedule'!$O$42&gt;0,AND(DAY($A222)=MIN(DAY('Recurring Schedule'!$F$42),DAY(EOMONTH($A222,0))),MOD((YEAR($A222)-YEAR('Recurring Schedule'!$F$42))*12+MONTH($A222)-MONTH('Recurring Schedule'!$F$42),'Recurring Schedule'!$O$42)=0),IF('Recurring Schedule'!$E$42="Weekdays",WEEKDAY($A222,2)&lt;=5,$A222='Recurring Schedule'!$F$42))),37,""))))</f>
        <v/>
      </c>
      <c r="AM222">
        <f>IF('Recurring Schedule'!$C$43="","",IF('Recurring Schedule'!$F$43="","",IF(OR($A222&lt;'Recurring Schedule'!$F$43,$A222&gt;'Recurring Schedule'!$P$43),"",IF(IF('Recurring Schedule'!$N$43&gt;0,MOD($A222-'Recurring Schedule'!$F$43,'Recurring Schedule'!$N$43)=0,IF('Recurring Schedule'!$O$43&gt;0,AND(DAY($A222)=MIN(DAY('Recurring Schedule'!$F$43),DAY(EOMONTH($A222,0))),MOD((YEAR($A222)-YEAR('Recurring Schedule'!$F$43))*12+MONTH($A222)-MONTH('Recurring Schedule'!$F$43),'Recurring Schedule'!$O$43)=0),IF('Recurring Schedule'!$E$43="Weekdays",WEEKDAY($A222,2)&lt;=5,$A222='Recurring Schedule'!$F$43))),38,""))))</f>
        <v/>
      </c>
      <c r="AN222">
        <f>IF('Recurring Schedule'!$C$44="","",IF('Recurring Schedule'!$F$44="","",IF(OR($A222&lt;'Recurring Schedule'!$F$44,$A222&gt;'Recurring Schedule'!$P$44),"",IF(IF('Recurring Schedule'!$N$44&gt;0,MOD($A222-'Recurring Schedule'!$F$44,'Recurring Schedule'!$N$44)=0,IF('Recurring Schedule'!$O$44&gt;0,AND(DAY($A222)=MIN(DAY('Recurring Schedule'!$F$44),DAY(EOMONTH($A222,0))),MOD((YEAR($A222)-YEAR('Recurring Schedule'!$F$44))*12+MONTH($A222)-MONTH('Recurring Schedule'!$F$44),'Recurring Schedule'!$O$44)=0),IF('Recurring Schedule'!$E$44="Weekdays",WEEKDAY($A222,2)&lt;=5,$A222='Recurring Schedule'!$F$44))),39,""))))</f>
        <v/>
      </c>
      <c r="AO222">
        <f>IF('Recurring Schedule'!$C$45="","",IF('Recurring Schedule'!$F$45="","",IF(OR($A222&lt;'Recurring Schedule'!$F$45,$A222&gt;'Recurring Schedule'!$P$45),"",IF(IF('Recurring Schedule'!$N$45&gt;0,MOD($A222-'Recurring Schedule'!$F$45,'Recurring Schedule'!$N$45)=0,IF('Recurring Schedule'!$O$45&gt;0,AND(DAY($A222)=MIN(DAY('Recurring Schedule'!$F$45),DAY(EOMONTH($A222,0))),MOD((YEAR($A222)-YEAR('Recurring Schedule'!$F$45))*12+MONTH($A222)-MONTH('Recurring Schedule'!$F$45),'Recurring Schedule'!$O$45)=0),IF('Recurring Schedule'!$E$45="Weekdays",WEEKDAY($A222,2)&lt;=5,$A222='Recurring Schedule'!$F$45))),40,""))))</f>
        <v/>
      </c>
      <c r="AP222">
        <f>COUNT(B222:AO222)</f>
        <v/>
      </c>
      <c r="AQ222">
        <f>AQ221+AP221</f>
        <v/>
      </c>
      <c r="AS222" t="inlineStr">
        <is>
          <t>R</t>
        </is>
      </c>
      <c r="AT222" t="n">
        <v>226</v>
      </c>
      <c r="AU222">
        <f>'Recurring Log'!C226&amp;""</f>
        <v/>
      </c>
      <c r="AV222">
        <f>'Recurring Log'!D226&amp;""</f>
        <v/>
      </c>
      <c r="AW222">
        <f>IF('Recurring Log'!E226="","",'Recurring Log'!E226)</f>
        <v/>
      </c>
      <c r="AX222">
        <f>IF('Recurring Log'!G226="","",'Recurring Log'!G226)</f>
        <v/>
      </c>
      <c r="AY222">
        <f>IF('Recurring Log'!H226="","",'Recurring Log'!H226)</f>
        <v/>
      </c>
      <c r="AZ222">
        <f>IF(AU222="","",IF('Recurring Log'!J226="","Not Started",'Recurring Log'!J226))</f>
        <v/>
      </c>
      <c r="BA222">
        <f>'Recurring Log'!L226&amp;""</f>
        <v/>
      </c>
      <c r="BB222">
        <f>'Recurring Log'!M226&amp;""</f>
        <v/>
      </c>
      <c r="BC222">
        <f>'Recurring Log'!N226&amp;""</f>
        <v/>
      </c>
      <c r="BD222">
        <f>'Recurring Log'!O226&amp;""</f>
        <v/>
      </c>
      <c r="BE222">
        <f>IF('Recurring Log'!K226="","",'Recurring Log'!K226)</f>
        <v/>
      </c>
      <c r="BF222">
        <f>IFERROR(MATCH(BA222,Setup!$L$6:$L$9,0),5)</f>
        <v/>
      </c>
      <c r="BG222">
        <f>IF(OR(AZ222="Done",AZ222="Cancelled"),1,0)</f>
        <v/>
      </c>
      <c r="BH222">
        <f>IF(AND(AU222&lt;&gt;"",ISNUMBER(AW222)),1,0)</f>
        <v/>
      </c>
      <c r="BI222">
        <f>IF(BH222=0,0,IF(AND(AW222&gt;='Tasks Filter'!$F$3,AW222&lt;='Tasks Filter'!$F$4,OR('Tasks Filter'!$I$3="",ISNUMBER(SEARCH('Tasks Filter'!$I$3,AU222))),OR('Tasks Filter'!$I$4="",BF222=IFERROR(MATCH('Tasks Filter'!$I$4,Setup!$L$6:$L$9,0),0)),OR('Tasks Filter'!$I$5="Both",AND('Tasks Filter'!$I$5="Yes",BB222="✓"),AND('Tasks Filter'!$I$5="No",BB222&lt;&gt;"✓")),OR('Tasks Filter'!$L$3="",AV222='Tasks Filter'!$L$3),OR('Tasks Filter'!$L$4="",AZ222='Tasks Filter'!$L$4),OR('Tasks Filter'!$L$5="",BC222='Tasks Filter'!$L$5),OR('Tasks Filter'!$O$3="",BD222='Tasks Filter'!$O$3),OR('Tasks Filter'!$O$4="Yes",BG222=0)),1,0))</f>
        <v/>
      </c>
      <c r="BJ222">
        <f>IF(BH222=0,"",IF('Tasks Filter'!$F$6="Descending",-1,1)*CHOOSE(MATCH('Tasks Filter'!$F$5,Lists!$G$2:$G$6,0),AW222,BF222,IFERROR(MATCH(AV222,Setup!$F$6:$F$15,0),99),IFERROR(MATCH(BC222,Setup!$H$6:$H$15,0),99),IFERROR(MATCH(AZ222,Setup!$J$6:$J$11,0),99))*1E+9+(AW222-40000)*10000+221)</f>
        <v/>
      </c>
      <c r="BK222">
        <f>IF(BI222=1,BJ222,"")</f>
        <v/>
      </c>
      <c r="BL222">
        <f>IF(AND(BH222=1,BG222=0,N(AW222)&lt;Setup!$D$7),(AW222-40000)*10000+221,"")</f>
        <v/>
      </c>
      <c r="BM222">
        <f>IF(AND(BH222=1,AZ222&lt;&gt;"Cancelled",N(AW222)&gt;=Dashboard!$AB$3,N(AW222)&lt;=Dashboard!$AB$3+6),(AW222-40000)*100000+BF222*10000+221,"")</f>
        <v/>
      </c>
      <c r="BN222">
        <f>IF(AND(BH222=1,AZ222&lt;&gt;"Cancelled"),BF222*10000+221,"")</f>
        <v/>
      </c>
    </row>
    <row r="223">
      <c r="A223">
        <f>Setup!$D$5+221</f>
        <v/>
      </c>
      <c r="B223">
        <f>IF('Recurring Schedule'!$C$6="","",IF('Recurring Schedule'!$F$6="","",IF(OR($A223&lt;'Recurring Schedule'!$F$6,$A223&gt;'Recurring Schedule'!$P$6),"",IF(IF('Recurring Schedule'!$N$6&gt;0,MOD($A223-'Recurring Schedule'!$F$6,'Recurring Schedule'!$N$6)=0,IF('Recurring Schedule'!$O$6&gt;0,AND(DAY($A223)=MIN(DAY('Recurring Schedule'!$F$6),DAY(EOMONTH($A223,0))),MOD((YEAR($A223)-YEAR('Recurring Schedule'!$F$6))*12+MONTH($A223)-MONTH('Recurring Schedule'!$F$6),'Recurring Schedule'!$O$6)=0),IF('Recurring Schedule'!$E$6="Weekdays",WEEKDAY($A223,2)&lt;=5,$A223='Recurring Schedule'!$F$6))),1,""))))</f>
        <v/>
      </c>
      <c r="C223">
        <f>IF('Recurring Schedule'!$C$7="","",IF('Recurring Schedule'!$F$7="","",IF(OR($A223&lt;'Recurring Schedule'!$F$7,$A223&gt;'Recurring Schedule'!$P$7),"",IF(IF('Recurring Schedule'!$N$7&gt;0,MOD($A223-'Recurring Schedule'!$F$7,'Recurring Schedule'!$N$7)=0,IF('Recurring Schedule'!$O$7&gt;0,AND(DAY($A223)=MIN(DAY('Recurring Schedule'!$F$7),DAY(EOMONTH($A223,0))),MOD((YEAR($A223)-YEAR('Recurring Schedule'!$F$7))*12+MONTH($A223)-MONTH('Recurring Schedule'!$F$7),'Recurring Schedule'!$O$7)=0),IF('Recurring Schedule'!$E$7="Weekdays",WEEKDAY($A223,2)&lt;=5,$A223='Recurring Schedule'!$F$7))),2,""))))</f>
        <v/>
      </c>
      <c r="D223">
        <f>IF('Recurring Schedule'!$C$8="","",IF('Recurring Schedule'!$F$8="","",IF(OR($A223&lt;'Recurring Schedule'!$F$8,$A223&gt;'Recurring Schedule'!$P$8),"",IF(IF('Recurring Schedule'!$N$8&gt;0,MOD($A223-'Recurring Schedule'!$F$8,'Recurring Schedule'!$N$8)=0,IF('Recurring Schedule'!$O$8&gt;0,AND(DAY($A223)=MIN(DAY('Recurring Schedule'!$F$8),DAY(EOMONTH($A223,0))),MOD((YEAR($A223)-YEAR('Recurring Schedule'!$F$8))*12+MONTH($A223)-MONTH('Recurring Schedule'!$F$8),'Recurring Schedule'!$O$8)=0),IF('Recurring Schedule'!$E$8="Weekdays",WEEKDAY($A223,2)&lt;=5,$A223='Recurring Schedule'!$F$8))),3,""))))</f>
        <v/>
      </c>
      <c r="E223">
        <f>IF('Recurring Schedule'!$C$9="","",IF('Recurring Schedule'!$F$9="","",IF(OR($A223&lt;'Recurring Schedule'!$F$9,$A223&gt;'Recurring Schedule'!$P$9),"",IF(IF('Recurring Schedule'!$N$9&gt;0,MOD($A223-'Recurring Schedule'!$F$9,'Recurring Schedule'!$N$9)=0,IF('Recurring Schedule'!$O$9&gt;0,AND(DAY($A223)=MIN(DAY('Recurring Schedule'!$F$9),DAY(EOMONTH($A223,0))),MOD((YEAR($A223)-YEAR('Recurring Schedule'!$F$9))*12+MONTH($A223)-MONTH('Recurring Schedule'!$F$9),'Recurring Schedule'!$O$9)=0),IF('Recurring Schedule'!$E$9="Weekdays",WEEKDAY($A223,2)&lt;=5,$A223='Recurring Schedule'!$F$9))),4,""))))</f>
        <v/>
      </c>
      <c r="F223">
        <f>IF('Recurring Schedule'!$C$10="","",IF('Recurring Schedule'!$F$10="","",IF(OR($A223&lt;'Recurring Schedule'!$F$10,$A223&gt;'Recurring Schedule'!$P$10),"",IF(IF('Recurring Schedule'!$N$10&gt;0,MOD($A223-'Recurring Schedule'!$F$10,'Recurring Schedule'!$N$10)=0,IF('Recurring Schedule'!$O$10&gt;0,AND(DAY($A223)=MIN(DAY('Recurring Schedule'!$F$10),DAY(EOMONTH($A223,0))),MOD((YEAR($A223)-YEAR('Recurring Schedule'!$F$10))*12+MONTH($A223)-MONTH('Recurring Schedule'!$F$10),'Recurring Schedule'!$O$10)=0),IF('Recurring Schedule'!$E$10="Weekdays",WEEKDAY($A223,2)&lt;=5,$A223='Recurring Schedule'!$F$10))),5,""))))</f>
        <v/>
      </c>
      <c r="G223">
        <f>IF('Recurring Schedule'!$C$11="","",IF('Recurring Schedule'!$F$11="","",IF(OR($A223&lt;'Recurring Schedule'!$F$11,$A223&gt;'Recurring Schedule'!$P$11),"",IF(IF('Recurring Schedule'!$N$11&gt;0,MOD($A223-'Recurring Schedule'!$F$11,'Recurring Schedule'!$N$11)=0,IF('Recurring Schedule'!$O$11&gt;0,AND(DAY($A223)=MIN(DAY('Recurring Schedule'!$F$11),DAY(EOMONTH($A223,0))),MOD((YEAR($A223)-YEAR('Recurring Schedule'!$F$11))*12+MONTH($A223)-MONTH('Recurring Schedule'!$F$11),'Recurring Schedule'!$O$11)=0),IF('Recurring Schedule'!$E$11="Weekdays",WEEKDAY($A223,2)&lt;=5,$A223='Recurring Schedule'!$F$11))),6,""))))</f>
        <v/>
      </c>
      <c r="H223">
        <f>IF('Recurring Schedule'!$C$12="","",IF('Recurring Schedule'!$F$12="","",IF(OR($A223&lt;'Recurring Schedule'!$F$12,$A223&gt;'Recurring Schedule'!$P$12),"",IF(IF('Recurring Schedule'!$N$12&gt;0,MOD($A223-'Recurring Schedule'!$F$12,'Recurring Schedule'!$N$12)=0,IF('Recurring Schedule'!$O$12&gt;0,AND(DAY($A223)=MIN(DAY('Recurring Schedule'!$F$12),DAY(EOMONTH($A223,0))),MOD((YEAR($A223)-YEAR('Recurring Schedule'!$F$12))*12+MONTH($A223)-MONTH('Recurring Schedule'!$F$12),'Recurring Schedule'!$O$12)=0),IF('Recurring Schedule'!$E$12="Weekdays",WEEKDAY($A223,2)&lt;=5,$A223='Recurring Schedule'!$F$12))),7,""))))</f>
        <v/>
      </c>
      <c r="I223">
        <f>IF('Recurring Schedule'!$C$13="","",IF('Recurring Schedule'!$F$13="","",IF(OR($A223&lt;'Recurring Schedule'!$F$13,$A223&gt;'Recurring Schedule'!$P$13),"",IF(IF('Recurring Schedule'!$N$13&gt;0,MOD($A223-'Recurring Schedule'!$F$13,'Recurring Schedule'!$N$13)=0,IF('Recurring Schedule'!$O$13&gt;0,AND(DAY($A223)=MIN(DAY('Recurring Schedule'!$F$13),DAY(EOMONTH($A223,0))),MOD((YEAR($A223)-YEAR('Recurring Schedule'!$F$13))*12+MONTH($A223)-MONTH('Recurring Schedule'!$F$13),'Recurring Schedule'!$O$13)=0),IF('Recurring Schedule'!$E$13="Weekdays",WEEKDAY($A223,2)&lt;=5,$A223='Recurring Schedule'!$F$13))),8,""))))</f>
        <v/>
      </c>
      <c r="J223">
        <f>IF('Recurring Schedule'!$C$14="","",IF('Recurring Schedule'!$F$14="","",IF(OR($A223&lt;'Recurring Schedule'!$F$14,$A223&gt;'Recurring Schedule'!$P$14),"",IF(IF('Recurring Schedule'!$N$14&gt;0,MOD($A223-'Recurring Schedule'!$F$14,'Recurring Schedule'!$N$14)=0,IF('Recurring Schedule'!$O$14&gt;0,AND(DAY($A223)=MIN(DAY('Recurring Schedule'!$F$14),DAY(EOMONTH($A223,0))),MOD((YEAR($A223)-YEAR('Recurring Schedule'!$F$14))*12+MONTH($A223)-MONTH('Recurring Schedule'!$F$14),'Recurring Schedule'!$O$14)=0),IF('Recurring Schedule'!$E$14="Weekdays",WEEKDAY($A223,2)&lt;=5,$A223='Recurring Schedule'!$F$14))),9,""))))</f>
        <v/>
      </c>
      <c r="K223">
        <f>IF('Recurring Schedule'!$C$15="","",IF('Recurring Schedule'!$F$15="","",IF(OR($A223&lt;'Recurring Schedule'!$F$15,$A223&gt;'Recurring Schedule'!$P$15),"",IF(IF('Recurring Schedule'!$N$15&gt;0,MOD($A223-'Recurring Schedule'!$F$15,'Recurring Schedule'!$N$15)=0,IF('Recurring Schedule'!$O$15&gt;0,AND(DAY($A223)=MIN(DAY('Recurring Schedule'!$F$15),DAY(EOMONTH($A223,0))),MOD((YEAR($A223)-YEAR('Recurring Schedule'!$F$15))*12+MONTH($A223)-MONTH('Recurring Schedule'!$F$15),'Recurring Schedule'!$O$15)=0),IF('Recurring Schedule'!$E$15="Weekdays",WEEKDAY($A223,2)&lt;=5,$A223='Recurring Schedule'!$F$15))),10,""))))</f>
        <v/>
      </c>
      <c r="L223">
        <f>IF('Recurring Schedule'!$C$16="","",IF('Recurring Schedule'!$F$16="","",IF(OR($A223&lt;'Recurring Schedule'!$F$16,$A223&gt;'Recurring Schedule'!$P$16),"",IF(IF('Recurring Schedule'!$N$16&gt;0,MOD($A223-'Recurring Schedule'!$F$16,'Recurring Schedule'!$N$16)=0,IF('Recurring Schedule'!$O$16&gt;0,AND(DAY($A223)=MIN(DAY('Recurring Schedule'!$F$16),DAY(EOMONTH($A223,0))),MOD((YEAR($A223)-YEAR('Recurring Schedule'!$F$16))*12+MONTH($A223)-MONTH('Recurring Schedule'!$F$16),'Recurring Schedule'!$O$16)=0),IF('Recurring Schedule'!$E$16="Weekdays",WEEKDAY($A223,2)&lt;=5,$A223='Recurring Schedule'!$F$16))),11,""))))</f>
        <v/>
      </c>
      <c r="M223">
        <f>IF('Recurring Schedule'!$C$17="","",IF('Recurring Schedule'!$F$17="","",IF(OR($A223&lt;'Recurring Schedule'!$F$17,$A223&gt;'Recurring Schedule'!$P$17),"",IF(IF('Recurring Schedule'!$N$17&gt;0,MOD($A223-'Recurring Schedule'!$F$17,'Recurring Schedule'!$N$17)=0,IF('Recurring Schedule'!$O$17&gt;0,AND(DAY($A223)=MIN(DAY('Recurring Schedule'!$F$17),DAY(EOMONTH($A223,0))),MOD((YEAR($A223)-YEAR('Recurring Schedule'!$F$17))*12+MONTH($A223)-MONTH('Recurring Schedule'!$F$17),'Recurring Schedule'!$O$17)=0),IF('Recurring Schedule'!$E$17="Weekdays",WEEKDAY($A223,2)&lt;=5,$A223='Recurring Schedule'!$F$17))),12,""))))</f>
        <v/>
      </c>
      <c r="N223">
        <f>IF('Recurring Schedule'!$C$18="","",IF('Recurring Schedule'!$F$18="","",IF(OR($A223&lt;'Recurring Schedule'!$F$18,$A223&gt;'Recurring Schedule'!$P$18),"",IF(IF('Recurring Schedule'!$N$18&gt;0,MOD($A223-'Recurring Schedule'!$F$18,'Recurring Schedule'!$N$18)=0,IF('Recurring Schedule'!$O$18&gt;0,AND(DAY($A223)=MIN(DAY('Recurring Schedule'!$F$18),DAY(EOMONTH($A223,0))),MOD((YEAR($A223)-YEAR('Recurring Schedule'!$F$18))*12+MONTH($A223)-MONTH('Recurring Schedule'!$F$18),'Recurring Schedule'!$O$18)=0),IF('Recurring Schedule'!$E$18="Weekdays",WEEKDAY($A223,2)&lt;=5,$A223='Recurring Schedule'!$F$18))),13,""))))</f>
        <v/>
      </c>
      <c r="O223">
        <f>IF('Recurring Schedule'!$C$19="","",IF('Recurring Schedule'!$F$19="","",IF(OR($A223&lt;'Recurring Schedule'!$F$19,$A223&gt;'Recurring Schedule'!$P$19),"",IF(IF('Recurring Schedule'!$N$19&gt;0,MOD($A223-'Recurring Schedule'!$F$19,'Recurring Schedule'!$N$19)=0,IF('Recurring Schedule'!$O$19&gt;0,AND(DAY($A223)=MIN(DAY('Recurring Schedule'!$F$19),DAY(EOMONTH($A223,0))),MOD((YEAR($A223)-YEAR('Recurring Schedule'!$F$19))*12+MONTH($A223)-MONTH('Recurring Schedule'!$F$19),'Recurring Schedule'!$O$19)=0),IF('Recurring Schedule'!$E$19="Weekdays",WEEKDAY($A223,2)&lt;=5,$A223='Recurring Schedule'!$F$19))),14,""))))</f>
        <v/>
      </c>
      <c r="P223">
        <f>IF('Recurring Schedule'!$C$20="","",IF('Recurring Schedule'!$F$20="","",IF(OR($A223&lt;'Recurring Schedule'!$F$20,$A223&gt;'Recurring Schedule'!$P$20),"",IF(IF('Recurring Schedule'!$N$20&gt;0,MOD($A223-'Recurring Schedule'!$F$20,'Recurring Schedule'!$N$20)=0,IF('Recurring Schedule'!$O$20&gt;0,AND(DAY($A223)=MIN(DAY('Recurring Schedule'!$F$20),DAY(EOMONTH($A223,0))),MOD((YEAR($A223)-YEAR('Recurring Schedule'!$F$20))*12+MONTH($A223)-MONTH('Recurring Schedule'!$F$20),'Recurring Schedule'!$O$20)=0),IF('Recurring Schedule'!$E$20="Weekdays",WEEKDAY($A223,2)&lt;=5,$A223='Recurring Schedule'!$F$20))),15,""))))</f>
        <v/>
      </c>
      <c r="Q223">
        <f>IF('Recurring Schedule'!$C$21="","",IF('Recurring Schedule'!$F$21="","",IF(OR($A223&lt;'Recurring Schedule'!$F$21,$A223&gt;'Recurring Schedule'!$P$21),"",IF(IF('Recurring Schedule'!$N$21&gt;0,MOD($A223-'Recurring Schedule'!$F$21,'Recurring Schedule'!$N$21)=0,IF('Recurring Schedule'!$O$21&gt;0,AND(DAY($A223)=MIN(DAY('Recurring Schedule'!$F$21),DAY(EOMONTH($A223,0))),MOD((YEAR($A223)-YEAR('Recurring Schedule'!$F$21))*12+MONTH($A223)-MONTH('Recurring Schedule'!$F$21),'Recurring Schedule'!$O$21)=0),IF('Recurring Schedule'!$E$21="Weekdays",WEEKDAY($A223,2)&lt;=5,$A223='Recurring Schedule'!$F$21))),16,""))))</f>
        <v/>
      </c>
      <c r="R223">
        <f>IF('Recurring Schedule'!$C$22="","",IF('Recurring Schedule'!$F$22="","",IF(OR($A223&lt;'Recurring Schedule'!$F$22,$A223&gt;'Recurring Schedule'!$P$22),"",IF(IF('Recurring Schedule'!$N$22&gt;0,MOD($A223-'Recurring Schedule'!$F$22,'Recurring Schedule'!$N$22)=0,IF('Recurring Schedule'!$O$22&gt;0,AND(DAY($A223)=MIN(DAY('Recurring Schedule'!$F$22),DAY(EOMONTH($A223,0))),MOD((YEAR($A223)-YEAR('Recurring Schedule'!$F$22))*12+MONTH($A223)-MONTH('Recurring Schedule'!$F$22),'Recurring Schedule'!$O$22)=0),IF('Recurring Schedule'!$E$22="Weekdays",WEEKDAY($A223,2)&lt;=5,$A223='Recurring Schedule'!$F$22))),17,""))))</f>
        <v/>
      </c>
      <c r="S223">
        <f>IF('Recurring Schedule'!$C$23="","",IF('Recurring Schedule'!$F$23="","",IF(OR($A223&lt;'Recurring Schedule'!$F$23,$A223&gt;'Recurring Schedule'!$P$23),"",IF(IF('Recurring Schedule'!$N$23&gt;0,MOD($A223-'Recurring Schedule'!$F$23,'Recurring Schedule'!$N$23)=0,IF('Recurring Schedule'!$O$23&gt;0,AND(DAY($A223)=MIN(DAY('Recurring Schedule'!$F$23),DAY(EOMONTH($A223,0))),MOD((YEAR($A223)-YEAR('Recurring Schedule'!$F$23))*12+MONTH($A223)-MONTH('Recurring Schedule'!$F$23),'Recurring Schedule'!$O$23)=0),IF('Recurring Schedule'!$E$23="Weekdays",WEEKDAY($A223,2)&lt;=5,$A223='Recurring Schedule'!$F$23))),18,""))))</f>
        <v/>
      </c>
      <c r="T223">
        <f>IF('Recurring Schedule'!$C$24="","",IF('Recurring Schedule'!$F$24="","",IF(OR($A223&lt;'Recurring Schedule'!$F$24,$A223&gt;'Recurring Schedule'!$P$24),"",IF(IF('Recurring Schedule'!$N$24&gt;0,MOD($A223-'Recurring Schedule'!$F$24,'Recurring Schedule'!$N$24)=0,IF('Recurring Schedule'!$O$24&gt;0,AND(DAY($A223)=MIN(DAY('Recurring Schedule'!$F$24),DAY(EOMONTH($A223,0))),MOD((YEAR($A223)-YEAR('Recurring Schedule'!$F$24))*12+MONTH($A223)-MONTH('Recurring Schedule'!$F$24),'Recurring Schedule'!$O$24)=0),IF('Recurring Schedule'!$E$24="Weekdays",WEEKDAY($A223,2)&lt;=5,$A223='Recurring Schedule'!$F$24))),19,""))))</f>
        <v/>
      </c>
      <c r="U223">
        <f>IF('Recurring Schedule'!$C$25="","",IF('Recurring Schedule'!$F$25="","",IF(OR($A223&lt;'Recurring Schedule'!$F$25,$A223&gt;'Recurring Schedule'!$P$25),"",IF(IF('Recurring Schedule'!$N$25&gt;0,MOD($A223-'Recurring Schedule'!$F$25,'Recurring Schedule'!$N$25)=0,IF('Recurring Schedule'!$O$25&gt;0,AND(DAY($A223)=MIN(DAY('Recurring Schedule'!$F$25),DAY(EOMONTH($A223,0))),MOD((YEAR($A223)-YEAR('Recurring Schedule'!$F$25))*12+MONTH($A223)-MONTH('Recurring Schedule'!$F$25),'Recurring Schedule'!$O$25)=0),IF('Recurring Schedule'!$E$25="Weekdays",WEEKDAY($A223,2)&lt;=5,$A223='Recurring Schedule'!$F$25))),20,""))))</f>
        <v/>
      </c>
      <c r="V223">
        <f>IF('Recurring Schedule'!$C$26="","",IF('Recurring Schedule'!$F$26="","",IF(OR($A223&lt;'Recurring Schedule'!$F$26,$A223&gt;'Recurring Schedule'!$P$26),"",IF(IF('Recurring Schedule'!$N$26&gt;0,MOD($A223-'Recurring Schedule'!$F$26,'Recurring Schedule'!$N$26)=0,IF('Recurring Schedule'!$O$26&gt;0,AND(DAY($A223)=MIN(DAY('Recurring Schedule'!$F$26),DAY(EOMONTH($A223,0))),MOD((YEAR($A223)-YEAR('Recurring Schedule'!$F$26))*12+MONTH($A223)-MONTH('Recurring Schedule'!$F$26),'Recurring Schedule'!$O$26)=0),IF('Recurring Schedule'!$E$26="Weekdays",WEEKDAY($A223,2)&lt;=5,$A223='Recurring Schedule'!$F$26))),21,""))))</f>
        <v/>
      </c>
      <c r="W223">
        <f>IF('Recurring Schedule'!$C$27="","",IF('Recurring Schedule'!$F$27="","",IF(OR($A223&lt;'Recurring Schedule'!$F$27,$A223&gt;'Recurring Schedule'!$P$27),"",IF(IF('Recurring Schedule'!$N$27&gt;0,MOD($A223-'Recurring Schedule'!$F$27,'Recurring Schedule'!$N$27)=0,IF('Recurring Schedule'!$O$27&gt;0,AND(DAY($A223)=MIN(DAY('Recurring Schedule'!$F$27),DAY(EOMONTH($A223,0))),MOD((YEAR($A223)-YEAR('Recurring Schedule'!$F$27))*12+MONTH($A223)-MONTH('Recurring Schedule'!$F$27),'Recurring Schedule'!$O$27)=0),IF('Recurring Schedule'!$E$27="Weekdays",WEEKDAY($A223,2)&lt;=5,$A223='Recurring Schedule'!$F$27))),22,""))))</f>
        <v/>
      </c>
      <c r="X223">
        <f>IF('Recurring Schedule'!$C$28="","",IF('Recurring Schedule'!$F$28="","",IF(OR($A223&lt;'Recurring Schedule'!$F$28,$A223&gt;'Recurring Schedule'!$P$28),"",IF(IF('Recurring Schedule'!$N$28&gt;0,MOD($A223-'Recurring Schedule'!$F$28,'Recurring Schedule'!$N$28)=0,IF('Recurring Schedule'!$O$28&gt;0,AND(DAY($A223)=MIN(DAY('Recurring Schedule'!$F$28),DAY(EOMONTH($A223,0))),MOD((YEAR($A223)-YEAR('Recurring Schedule'!$F$28))*12+MONTH($A223)-MONTH('Recurring Schedule'!$F$28),'Recurring Schedule'!$O$28)=0),IF('Recurring Schedule'!$E$28="Weekdays",WEEKDAY($A223,2)&lt;=5,$A223='Recurring Schedule'!$F$28))),23,""))))</f>
        <v/>
      </c>
      <c r="Y223">
        <f>IF('Recurring Schedule'!$C$29="","",IF('Recurring Schedule'!$F$29="","",IF(OR($A223&lt;'Recurring Schedule'!$F$29,$A223&gt;'Recurring Schedule'!$P$29),"",IF(IF('Recurring Schedule'!$N$29&gt;0,MOD($A223-'Recurring Schedule'!$F$29,'Recurring Schedule'!$N$29)=0,IF('Recurring Schedule'!$O$29&gt;0,AND(DAY($A223)=MIN(DAY('Recurring Schedule'!$F$29),DAY(EOMONTH($A223,0))),MOD((YEAR($A223)-YEAR('Recurring Schedule'!$F$29))*12+MONTH($A223)-MONTH('Recurring Schedule'!$F$29),'Recurring Schedule'!$O$29)=0),IF('Recurring Schedule'!$E$29="Weekdays",WEEKDAY($A223,2)&lt;=5,$A223='Recurring Schedule'!$F$29))),24,""))))</f>
        <v/>
      </c>
      <c r="Z223">
        <f>IF('Recurring Schedule'!$C$30="","",IF('Recurring Schedule'!$F$30="","",IF(OR($A223&lt;'Recurring Schedule'!$F$30,$A223&gt;'Recurring Schedule'!$P$30),"",IF(IF('Recurring Schedule'!$N$30&gt;0,MOD($A223-'Recurring Schedule'!$F$30,'Recurring Schedule'!$N$30)=0,IF('Recurring Schedule'!$O$30&gt;0,AND(DAY($A223)=MIN(DAY('Recurring Schedule'!$F$30),DAY(EOMONTH($A223,0))),MOD((YEAR($A223)-YEAR('Recurring Schedule'!$F$30))*12+MONTH($A223)-MONTH('Recurring Schedule'!$F$30),'Recurring Schedule'!$O$30)=0),IF('Recurring Schedule'!$E$30="Weekdays",WEEKDAY($A223,2)&lt;=5,$A223='Recurring Schedule'!$F$30))),25,""))))</f>
        <v/>
      </c>
      <c r="AA223">
        <f>IF('Recurring Schedule'!$C$31="","",IF('Recurring Schedule'!$F$31="","",IF(OR($A223&lt;'Recurring Schedule'!$F$31,$A223&gt;'Recurring Schedule'!$P$31),"",IF(IF('Recurring Schedule'!$N$31&gt;0,MOD($A223-'Recurring Schedule'!$F$31,'Recurring Schedule'!$N$31)=0,IF('Recurring Schedule'!$O$31&gt;0,AND(DAY($A223)=MIN(DAY('Recurring Schedule'!$F$31),DAY(EOMONTH($A223,0))),MOD((YEAR($A223)-YEAR('Recurring Schedule'!$F$31))*12+MONTH($A223)-MONTH('Recurring Schedule'!$F$31),'Recurring Schedule'!$O$31)=0),IF('Recurring Schedule'!$E$31="Weekdays",WEEKDAY($A223,2)&lt;=5,$A223='Recurring Schedule'!$F$31))),26,""))))</f>
        <v/>
      </c>
      <c r="AB223">
        <f>IF('Recurring Schedule'!$C$32="","",IF('Recurring Schedule'!$F$32="","",IF(OR($A223&lt;'Recurring Schedule'!$F$32,$A223&gt;'Recurring Schedule'!$P$32),"",IF(IF('Recurring Schedule'!$N$32&gt;0,MOD($A223-'Recurring Schedule'!$F$32,'Recurring Schedule'!$N$32)=0,IF('Recurring Schedule'!$O$32&gt;0,AND(DAY($A223)=MIN(DAY('Recurring Schedule'!$F$32),DAY(EOMONTH($A223,0))),MOD((YEAR($A223)-YEAR('Recurring Schedule'!$F$32))*12+MONTH($A223)-MONTH('Recurring Schedule'!$F$32),'Recurring Schedule'!$O$32)=0),IF('Recurring Schedule'!$E$32="Weekdays",WEEKDAY($A223,2)&lt;=5,$A223='Recurring Schedule'!$F$32))),27,""))))</f>
        <v/>
      </c>
      <c r="AC223">
        <f>IF('Recurring Schedule'!$C$33="","",IF('Recurring Schedule'!$F$33="","",IF(OR($A223&lt;'Recurring Schedule'!$F$33,$A223&gt;'Recurring Schedule'!$P$33),"",IF(IF('Recurring Schedule'!$N$33&gt;0,MOD($A223-'Recurring Schedule'!$F$33,'Recurring Schedule'!$N$33)=0,IF('Recurring Schedule'!$O$33&gt;0,AND(DAY($A223)=MIN(DAY('Recurring Schedule'!$F$33),DAY(EOMONTH($A223,0))),MOD((YEAR($A223)-YEAR('Recurring Schedule'!$F$33))*12+MONTH($A223)-MONTH('Recurring Schedule'!$F$33),'Recurring Schedule'!$O$33)=0),IF('Recurring Schedule'!$E$33="Weekdays",WEEKDAY($A223,2)&lt;=5,$A223='Recurring Schedule'!$F$33))),28,""))))</f>
        <v/>
      </c>
      <c r="AD223">
        <f>IF('Recurring Schedule'!$C$34="","",IF('Recurring Schedule'!$F$34="","",IF(OR($A223&lt;'Recurring Schedule'!$F$34,$A223&gt;'Recurring Schedule'!$P$34),"",IF(IF('Recurring Schedule'!$N$34&gt;0,MOD($A223-'Recurring Schedule'!$F$34,'Recurring Schedule'!$N$34)=0,IF('Recurring Schedule'!$O$34&gt;0,AND(DAY($A223)=MIN(DAY('Recurring Schedule'!$F$34),DAY(EOMONTH($A223,0))),MOD((YEAR($A223)-YEAR('Recurring Schedule'!$F$34))*12+MONTH($A223)-MONTH('Recurring Schedule'!$F$34),'Recurring Schedule'!$O$34)=0),IF('Recurring Schedule'!$E$34="Weekdays",WEEKDAY($A223,2)&lt;=5,$A223='Recurring Schedule'!$F$34))),29,""))))</f>
        <v/>
      </c>
      <c r="AE223">
        <f>IF('Recurring Schedule'!$C$35="","",IF('Recurring Schedule'!$F$35="","",IF(OR($A223&lt;'Recurring Schedule'!$F$35,$A223&gt;'Recurring Schedule'!$P$35),"",IF(IF('Recurring Schedule'!$N$35&gt;0,MOD($A223-'Recurring Schedule'!$F$35,'Recurring Schedule'!$N$35)=0,IF('Recurring Schedule'!$O$35&gt;0,AND(DAY($A223)=MIN(DAY('Recurring Schedule'!$F$35),DAY(EOMONTH($A223,0))),MOD((YEAR($A223)-YEAR('Recurring Schedule'!$F$35))*12+MONTH($A223)-MONTH('Recurring Schedule'!$F$35),'Recurring Schedule'!$O$35)=0),IF('Recurring Schedule'!$E$35="Weekdays",WEEKDAY($A223,2)&lt;=5,$A223='Recurring Schedule'!$F$35))),30,""))))</f>
        <v/>
      </c>
      <c r="AF223">
        <f>IF('Recurring Schedule'!$C$36="","",IF('Recurring Schedule'!$F$36="","",IF(OR($A223&lt;'Recurring Schedule'!$F$36,$A223&gt;'Recurring Schedule'!$P$36),"",IF(IF('Recurring Schedule'!$N$36&gt;0,MOD($A223-'Recurring Schedule'!$F$36,'Recurring Schedule'!$N$36)=0,IF('Recurring Schedule'!$O$36&gt;0,AND(DAY($A223)=MIN(DAY('Recurring Schedule'!$F$36),DAY(EOMONTH($A223,0))),MOD((YEAR($A223)-YEAR('Recurring Schedule'!$F$36))*12+MONTH($A223)-MONTH('Recurring Schedule'!$F$36),'Recurring Schedule'!$O$36)=0),IF('Recurring Schedule'!$E$36="Weekdays",WEEKDAY($A223,2)&lt;=5,$A223='Recurring Schedule'!$F$36))),31,""))))</f>
        <v/>
      </c>
      <c r="AG223">
        <f>IF('Recurring Schedule'!$C$37="","",IF('Recurring Schedule'!$F$37="","",IF(OR($A223&lt;'Recurring Schedule'!$F$37,$A223&gt;'Recurring Schedule'!$P$37),"",IF(IF('Recurring Schedule'!$N$37&gt;0,MOD($A223-'Recurring Schedule'!$F$37,'Recurring Schedule'!$N$37)=0,IF('Recurring Schedule'!$O$37&gt;0,AND(DAY($A223)=MIN(DAY('Recurring Schedule'!$F$37),DAY(EOMONTH($A223,0))),MOD((YEAR($A223)-YEAR('Recurring Schedule'!$F$37))*12+MONTH($A223)-MONTH('Recurring Schedule'!$F$37),'Recurring Schedule'!$O$37)=0),IF('Recurring Schedule'!$E$37="Weekdays",WEEKDAY($A223,2)&lt;=5,$A223='Recurring Schedule'!$F$37))),32,""))))</f>
        <v/>
      </c>
      <c r="AH223">
        <f>IF('Recurring Schedule'!$C$38="","",IF('Recurring Schedule'!$F$38="","",IF(OR($A223&lt;'Recurring Schedule'!$F$38,$A223&gt;'Recurring Schedule'!$P$38),"",IF(IF('Recurring Schedule'!$N$38&gt;0,MOD($A223-'Recurring Schedule'!$F$38,'Recurring Schedule'!$N$38)=0,IF('Recurring Schedule'!$O$38&gt;0,AND(DAY($A223)=MIN(DAY('Recurring Schedule'!$F$38),DAY(EOMONTH($A223,0))),MOD((YEAR($A223)-YEAR('Recurring Schedule'!$F$38))*12+MONTH($A223)-MONTH('Recurring Schedule'!$F$38),'Recurring Schedule'!$O$38)=0),IF('Recurring Schedule'!$E$38="Weekdays",WEEKDAY($A223,2)&lt;=5,$A223='Recurring Schedule'!$F$38))),33,""))))</f>
        <v/>
      </c>
      <c r="AI223">
        <f>IF('Recurring Schedule'!$C$39="","",IF('Recurring Schedule'!$F$39="","",IF(OR($A223&lt;'Recurring Schedule'!$F$39,$A223&gt;'Recurring Schedule'!$P$39),"",IF(IF('Recurring Schedule'!$N$39&gt;0,MOD($A223-'Recurring Schedule'!$F$39,'Recurring Schedule'!$N$39)=0,IF('Recurring Schedule'!$O$39&gt;0,AND(DAY($A223)=MIN(DAY('Recurring Schedule'!$F$39),DAY(EOMONTH($A223,0))),MOD((YEAR($A223)-YEAR('Recurring Schedule'!$F$39))*12+MONTH($A223)-MONTH('Recurring Schedule'!$F$39),'Recurring Schedule'!$O$39)=0),IF('Recurring Schedule'!$E$39="Weekdays",WEEKDAY($A223,2)&lt;=5,$A223='Recurring Schedule'!$F$39))),34,""))))</f>
        <v/>
      </c>
      <c r="AJ223">
        <f>IF('Recurring Schedule'!$C$40="","",IF('Recurring Schedule'!$F$40="","",IF(OR($A223&lt;'Recurring Schedule'!$F$40,$A223&gt;'Recurring Schedule'!$P$40),"",IF(IF('Recurring Schedule'!$N$40&gt;0,MOD($A223-'Recurring Schedule'!$F$40,'Recurring Schedule'!$N$40)=0,IF('Recurring Schedule'!$O$40&gt;0,AND(DAY($A223)=MIN(DAY('Recurring Schedule'!$F$40),DAY(EOMONTH($A223,0))),MOD((YEAR($A223)-YEAR('Recurring Schedule'!$F$40))*12+MONTH($A223)-MONTH('Recurring Schedule'!$F$40),'Recurring Schedule'!$O$40)=0),IF('Recurring Schedule'!$E$40="Weekdays",WEEKDAY($A223,2)&lt;=5,$A223='Recurring Schedule'!$F$40))),35,""))))</f>
        <v/>
      </c>
      <c r="AK223">
        <f>IF('Recurring Schedule'!$C$41="","",IF('Recurring Schedule'!$F$41="","",IF(OR($A223&lt;'Recurring Schedule'!$F$41,$A223&gt;'Recurring Schedule'!$P$41),"",IF(IF('Recurring Schedule'!$N$41&gt;0,MOD($A223-'Recurring Schedule'!$F$41,'Recurring Schedule'!$N$41)=0,IF('Recurring Schedule'!$O$41&gt;0,AND(DAY($A223)=MIN(DAY('Recurring Schedule'!$F$41),DAY(EOMONTH($A223,0))),MOD((YEAR($A223)-YEAR('Recurring Schedule'!$F$41))*12+MONTH($A223)-MONTH('Recurring Schedule'!$F$41),'Recurring Schedule'!$O$41)=0),IF('Recurring Schedule'!$E$41="Weekdays",WEEKDAY($A223,2)&lt;=5,$A223='Recurring Schedule'!$F$41))),36,""))))</f>
        <v/>
      </c>
      <c r="AL223">
        <f>IF('Recurring Schedule'!$C$42="","",IF('Recurring Schedule'!$F$42="","",IF(OR($A223&lt;'Recurring Schedule'!$F$42,$A223&gt;'Recurring Schedule'!$P$42),"",IF(IF('Recurring Schedule'!$N$42&gt;0,MOD($A223-'Recurring Schedule'!$F$42,'Recurring Schedule'!$N$42)=0,IF('Recurring Schedule'!$O$42&gt;0,AND(DAY($A223)=MIN(DAY('Recurring Schedule'!$F$42),DAY(EOMONTH($A223,0))),MOD((YEAR($A223)-YEAR('Recurring Schedule'!$F$42))*12+MONTH($A223)-MONTH('Recurring Schedule'!$F$42),'Recurring Schedule'!$O$42)=0),IF('Recurring Schedule'!$E$42="Weekdays",WEEKDAY($A223,2)&lt;=5,$A223='Recurring Schedule'!$F$42))),37,""))))</f>
        <v/>
      </c>
      <c r="AM223">
        <f>IF('Recurring Schedule'!$C$43="","",IF('Recurring Schedule'!$F$43="","",IF(OR($A223&lt;'Recurring Schedule'!$F$43,$A223&gt;'Recurring Schedule'!$P$43),"",IF(IF('Recurring Schedule'!$N$43&gt;0,MOD($A223-'Recurring Schedule'!$F$43,'Recurring Schedule'!$N$43)=0,IF('Recurring Schedule'!$O$43&gt;0,AND(DAY($A223)=MIN(DAY('Recurring Schedule'!$F$43),DAY(EOMONTH($A223,0))),MOD((YEAR($A223)-YEAR('Recurring Schedule'!$F$43))*12+MONTH($A223)-MONTH('Recurring Schedule'!$F$43),'Recurring Schedule'!$O$43)=0),IF('Recurring Schedule'!$E$43="Weekdays",WEEKDAY($A223,2)&lt;=5,$A223='Recurring Schedule'!$F$43))),38,""))))</f>
        <v/>
      </c>
      <c r="AN223">
        <f>IF('Recurring Schedule'!$C$44="","",IF('Recurring Schedule'!$F$44="","",IF(OR($A223&lt;'Recurring Schedule'!$F$44,$A223&gt;'Recurring Schedule'!$P$44),"",IF(IF('Recurring Schedule'!$N$44&gt;0,MOD($A223-'Recurring Schedule'!$F$44,'Recurring Schedule'!$N$44)=0,IF('Recurring Schedule'!$O$44&gt;0,AND(DAY($A223)=MIN(DAY('Recurring Schedule'!$F$44),DAY(EOMONTH($A223,0))),MOD((YEAR($A223)-YEAR('Recurring Schedule'!$F$44))*12+MONTH($A223)-MONTH('Recurring Schedule'!$F$44),'Recurring Schedule'!$O$44)=0),IF('Recurring Schedule'!$E$44="Weekdays",WEEKDAY($A223,2)&lt;=5,$A223='Recurring Schedule'!$F$44))),39,""))))</f>
        <v/>
      </c>
      <c r="AO223">
        <f>IF('Recurring Schedule'!$C$45="","",IF('Recurring Schedule'!$F$45="","",IF(OR($A223&lt;'Recurring Schedule'!$F$45,$A223&gt;'Recurring Schedule'!$P$45),"",IF(IF('Recurring Schedule'!$N$45&gt;0,MOD($A223-'Recurring Schedule'!$F$45,'Recurring Schedule'!$N$45)=0,IF('Recurring Schedule'!$O$45&gt;0,AND(DAY($A223)=MIN(DAY('Recurring Schedule'!$F$45),DAY(EOMONTH($A223,0))),MOD((YEAR($A223)-YEAR('Recurring Schedule'!$F$45))*12+MONTH($A223)-MONTH('Recurring Schedule'!$F$45),'Recurring Schedule'!$O$45)=0),IF('Recurring Schedule'!$E$45="Weekdays",WEEKDAY($A223,2)&lt;=5,$A223='Recurring Schedule'!$F$45))),40,""))))</f>
        <v/>
      </c>
      <c r="AP223">
        <f>COUNT(B223:AO223)</f>
        <v/>
      </c>
      <c r="AQ223">
        <f>AQ222+AP222</f>
        <v/>
      </c>
      <c r="AS223" t="inlineStr">
        <is>
          <t>R</t>
        </is>
      </c>
      <c r="AT223" t="n">
        <v>227</v>
      </c>
      <c r="AU223">
        <f>'Recurring Log'!C227&amp;""</f>
        <v/>
      </c>
      <c r="AV223">
        <f>'Recurring Log'!D227&amp;""</f>
        <v/>
      </c>
      <c r="AW223">
        <f>IF('Recurring Log'!E227="","",'Recurring Log'!E227)</f>
        <v/>
      </c>
      <c r="AX223">
        <f>IF('Recurring Log'!G227="","",'Recurring Log'!G227)</f>
        <v/>
      </c>
      <c r="AY223">
        <f>IF('Recurring Log'!H227="","",'Recurring Log'!H227)</f>
        <v/>
      </c>
      <c r="AZ223">
        <f>IF(AU223="","",IF('Recurring Log'!J227="","Not Started",'Recurring Log'!J227))</f>
        <v/>
      </c>
      <c r="BA223">
        <f>'Recurring Log'!L227&amp;""</f>
        <v/>
      </c>
      <c r="BB223">
        <f>'Recurring Log'!M227&amp;""</f>
        <v/>
      </c>
      <c r="BC223">
        <f>'Recurring Log'!N227&amp;""</f>
        <v/>
      </c>
      <c r="BD223">
        <f>'Recurring Log'!O227&amp;""</f>
        <v/>
      </c>
      <c r="BE223">
        <f>IF('Recurring Log'!K227="","",'Recurring Log'!K227)</f>
        <v/>
      </c>
      <c r="BF223">
        <f>IFERROR(MATCH(BA223,Setup!$L$6:$L$9,0),5)</f>
        <v/>
      </c>
      <c r="BG223">
        <f>IF(OR(AZ223="Done",AZ223="Cancelled"),1,0)</f>
        <v/>
      </c>
      <c r="BH223">
        <f>IF(AND(AU223&lt;&gt;"",ISNUMBER(AW223)),1,0)</f>
        <v/>
      </c>
      <c r="BI223">
        <f>IF(BH223=0,0,IF(AND(AW223&gt;='Tasks Filter'!$F$3,AW223&lt;='Tasks Filter'!$F$4,OR('Tasks Filter'!$I$3="",ISNUMBER(SEARCH('Tasks Filter'!$I$3,AU223))),OR('Tasks Filter'!$I$4="",BF223=IFERROR(MATCH('Tasks Filter'!$I$4,Setup!$L$6:$L$9,0),0)),OR('Tasks Filter'!$I$5="Both",AND('Tasks Filter'!$I$5="Yes",BB223="✓"),AND('Tasks Filter'!$I$5="No",BB223&lt;&gt;"✓")),OR('Tasks Filter'!$L$3="",AV223='Tasks Filter'!$L$3),OR('Tasks Filter'!$L$4="",AZ223='Tasks Filter'!$L$4),OR('Tasks Filter'!$L$5="",BC223='Tasks Filter'!$L$5),OR('Tasks Filter'!$O$3="",BD223='Tasks Filter'!$O$3),OR('Tasks Filter'!$O$4="Yes",BG223=0)),1,0))</f>
        <v/>
      </c>
      <c r="BJ223">
        <f>IF(BH223=0,"",IF('Tasks Filter'!$F$6="Descending",-1,1)*CHOOSE(MATCH('Tasks Filter'!$F$5,Lists!$G$2:$G$6,0),AW223,BF223,IFERROR(MATCH(AV223,Setup!$F$6:$F$15,0),99),IFERROR(MATCH(BC223,Setup!$H$6:$H$15,0),99),IFERROR(MATCH(AZ223,Setup!$J$6:$J$11,0),99))*1E+9+(AW223-40000)*10000+222)</f>
        <v/>
      </c>
      <c r="BK223">
        <f>IF(BI223=1,BJ223,"")</f>
        <v/>
      </c>
      <c r="BL223">
        <f>IF(AND(BH223=1,BG223=0,N(AW223)&lt;Setup!$D$7),(AW223-40000)*10000+222,"")</f>
        <v/>
      </c>
      <c r="BM223">
        <f>IF(AND(BH223=1,AZ223&lt;&gt;"Cancelled",N(AW223)&gt;=Dashboard!$AB$3,N(AW223)&lt;=Dashboard!$AB$3+6),(AW223-40000)*100000+BF223*10000+222,"")</f>
        <v/>
      </c>
      <c r="BN223">
        <f>IF(AND(BH223=1,AZ223&lt;&gt;"Cancelled"),BF223*10000+222,"")</f>
        <v/>
      </c>
    </row>
    <row r="224">
      <c r="A224">
        <f>Setup!$D$5+222</f>
        <v/>
      </c>
      <c r="B224">
        <f>IF('Recurring Schedule'!$C$6="","",IF('Recurring Schedule'!$F$6="","",IF(OR($A224&lt;'Recurring Schedule'!$F$6,$A224&gt;'Recurring Schedule'!$P$6),"",IF(IF('Recurring Schedule'!$N$6&gt;0,MOD($A224-'Recurring Schedule'!$F$6,'Recurring Schedule'!$N$6)=0,IF('Recurring Schedule'!$O$6&gt;0,AND(DAY($A224)=MIN(DAY('Recurring Schedule'!$F$6),DAY(EOMONTH($A224,0))),MOD((YEAR($A224)-YEAR('Recurring Schedule'!$F$6))*12+MONTH($A224)-MONTH('Recurring Schedule'!$F$6),'Recurring Schedule'!$O$6)=0),IF('Recurring Schedule'!$E$6="Weekdays",WEEKDAY($A224,2)&lt;=5,$A224='Recurring Schedule'!$F$6))),1,""))))</f>
        <v/>
      </c>
      <c r="C224">
        <f>IF('Recurring Schedule'!$C$7="","",IF('Recurring Schedule'!$F$7="","",IF(OR($A224&lt;'Recurring Schedule'!$F$7,$A224&gt;'Recurring Schedule'!$P$7),"",IF(IF('Recurring Schedule'!$N$7&gt;0,MOD($A224-'Recurring Schedule'!$F$7,'Recurring Schedule'!$N$7)=0,IF('Recurring Schedule'!$O$7&gt;0,AND(DAY($A224)=MIN(DAY('Recurring Schedule'!$F$7),DAY(EOMONTH($A224,0))),MOD((YEAR($A224)-YEAR('Recurring Schedule'!$F$7))*12+MONTH($A224)-MONTH('Recurring Schedule'!$F$7),'Recurring Schedule'!$O$7)=0),IF('Recurring Schedule'!$E$7="Weekdays",WEEKDAY($A224,2)&lt;=5,$A224='Recurring Schedule'!$F$7))),2,""))))</f>
        <v/>
      </c>
      <c r="D224">
        <f>IF('Recurring Schedule'!$C$8="","",IF('Recurring Schedule'!$F$8="","",IF(OR($A224&lt;'Recurring Schedule'!$F$8,$A224&gt;'Recurring Schedule'!$P$8),"",IF(IF('Recurring Schedule'!$N$8&gt;0,MOD($A224-'Recurring Schedule'!$F$8,'Recurring Schedule'!$N$8)=0,IF('Recurring Schedule'!$O$8&gt;0,AND(DAY($A224)=MIN(DAY('Recurring Schedule'!$F$8),DAY(EOMONTH($A224,0))),MOD((YEAR($A224)-YEAR('Recurring Schedule'!$F$8))*12+MONTH($A224)-MONTH('Recurring Schedule'!$F$8),'Recurring Schedule'!$O$8)=0),IF('Recurring Schedule'!$E$8="Weekdays",WEEKDAY($A224,2)&lt;=5,$A224='Recurring Schedule'!$F$8))),3,""))))</f>
        <v/>
      </c>
      <c r="E224">
        <f>IF('Recurring Schedule'!$C$9="","",IF('Recurring Schedule'!$F$9="","",IF(OR($A224&lt;'Recurring Schedule'!$F$9,$A224&gt;'Recurring Schedule'!$P$9),"",IF(IF('Recurring Schedule'!$N$9&gt;0,MOD($A224-'Recurring Schedule'!$F$9,'Recurring Schedule'!$N$9)=0,IF('Recurring Schedule'!$O$9&gt;0,AND(DAY($A224)=MIN(DAY('Recurring Schedule'!$F$9),DAY(EOMONTH($A224,0))),MOD((YEAR($A224)-YEAR('Recurring Schedule'!$F$9))*12+MONTH($A224)-MONTH('Recurring Schedule'!$F$9),'Recurring Schedule'!$O$9)=0),IF('Recurring Schedule'!$E$9="Weekdays",WEEKDAY($A224,2)&lt;=5,$A224='Recurring Schedule'!$F$9))),4,""))))</f>
        <v/>
      </c>
      <c r="F224">
        <f>IF('Recurring Schedule'!$C$10="","",IF('Recurring Schedule'!$F$10="","",IF(OR($A224&lt;'Recurring Schedule'!$F$10,$A224&gt;'Recurring Schedule'!$P$10),"",IF(IF('Recurring Schedule'!$N$10&gt;0,MOD($A224-'Recurring Schedule'!$F$10,'Recurring Schedule'!$N$10)=0,IF('Recurring Schedule'!$O$10&gt;0,AND(DAY($A224)=MIN(DAY('Recurring Schedule'!$F$10),DAY(EOMONTH($A224,0))),MOD((YEAR($A224)-YEAR('Recurring Schedule'!$F$10))*12+MONTH($A224)-MONTH('Recurring Schedule'!$F$10),'Recurring Schedule'!$O$10)=0),IF('Recurring Schedule'!$E$10="Weekdays",WEEKDAY($A224,2)&lt;=5,$A224='Recurring Schedule'!$F$10))),5,""))))</f>
        <v/>
      </c>
      <c r="G224">
        <f>IF('Recurring Schedule'!$C$11="","",IF('Recurring Schedule'!$F$11="","",IF(OR($A224&lt;'Recurring Schedule'!$F$11,$A224&gt;'Recurring Schedule'!$P$11),"",IF(IF('Recurring Schedule'!$N$11&gt;0,MOD($A224-'Recurring Schedule'!$F$11,'Recurring Schedule'!$N$11)=0,IF('Recurring Schedule'!$O$11&gt;0,AND(DAY($A224)=MIN(DAY('Recurring Schedule'!$F$11),DAY(EOMONTH($A224,0))),MOD((YEAR($A224)-YEAR('Recurring Schedule'!$F$11))*12+MONTH($A224)-MONTH('Recurring Schedule'!$F$11),'Recurring Schedule'!$O$11)=0),IF('Recurring Schedule'!$E$11="Weekdays",WEEKDAY($A224,2)&lt;=5,$A224='Recurring Schedule'!$F$11))),6,""))))</f>
        <v/>
      </c>
      <c r="H224">
        <f>IF('Recurring Schedule'!$C$12="","",IF('Recurring Schedule'!$F$12="","",IF(OR($A224&lt;'Recurring Schedule'!$F$12,$A224&gt;'Recurring Schedule'!$P$12),"",IF(IF('Recurring Schedule'!$N$12&gt;0,MOD($A224-'Recurring Schedule'!$F$12,'Recurring Schedule'!$N$12)=0,IF('Recurring Schedule'!$O$12&gt;0,AND(DAY($A224)=MIN(DAY('Recurring Schedule'!$F$12),DAY(EOMONTH($A224,0))),MOD((YEAR($A224)-YEAR('Recurring Schedule'!$F$12))*12+MONTH($A224)-MONTH('Recurring Schedule'!$F$12),'Recurring Schedule'!$O$12)=0),IF('Recurring Schedule'!$E$12="Weekdays",WEEKDAY($A224,2)&lt;=5,$A224='Recurring Schedule'!$F$12))),7,""))))</f>
        <v/>
      </c>
      <c r="I224">
        <f>IF('Recurring Schedule'!$C$13="","",IF('Recurring Schedule'!$F$13="","",IF(OR($A224&lt;'Recurring Schedule'!$F$13,$A224&gt;'Recurring Schedule'!$P$13),"",IF(IF('Recurring Schedule'!$N$13&gt;0,MOD($A224-'Recurring Schedule'!$F$13,'Recurring Schedule'!$N$13)=0,IF('Recurring Schedule'!$O$13&gt;0,AND(DAY($A224)=MIN(DAY('Recurring Schedule'!$F$13),DAY(EOMONTH($A224,0))),MOD((YEAR($A224)-YEAR('Recurring Schedule'!$F$13))*12+MONTH($A224)-MONTH('Recurring Schedule'!$F$13),'Recurring Schedule'!$O$13)=0),IF('Recurring Schedule'!$E$13="Weekdays",WEEKDAY($A224,2)&lt;=5,$A224='Recurring Schedule'!$F$13))),8,""))))</f>
        <v/>
      </c>
      <c r="J224">
        <f>IF('Recurring Schedule'!$C$14="","",IF('Recurring Schedule'!$F$14="","",IF(OR($A224&lt;'Recurring Schedule'!$F$14,$A224&gt;'Recurring Schedule'!$P$14),"",IF(IF('Recurring Schedule'!$N$14&gt;0,MOD($A224-'Recurring Schedule'!$F$14,'Recurring Schedule'!$N$14)=0,IF('Recurring Schedule'!$O$14&gt;0,AND(DAY($A224)=MIN(DAY('Recurring Schedule'!$F$14),DAY(EOMONTH($A224,0))),MOD((YEAR($A224)-YEAR('Recurring Schedule'!$F$14))*12+MONTH($A224)-MONTH('Recurring Schedule'!$F$14),'Recurring Schedule'!$O$14)=0),IF('Recurring Schedule'!$E$14="Weekdays",WEEKDAY($A224,2)&lt;=5,$A224='Recurring Schedule'!$F$14))),9,""))))</f>
        <v/>
      </c>
      <c r="K224">
        <f>IF('Recurring Schedule'!$C$15="","",IF('Recurring Schedule'!$F$15="","",IF(OR($A224&lt;'Recurring Schedule'!$F$15,$A224&gt;'Recurring Schedule'!$P$15),"",IF(IF('Recurring Schedule'!$N$15&gt;0,MOD($A224-'Recurring Schedule'!$F$15,'Recurring Schedule'!$N$15)=0,IF('Recurring Schedule'!$O$15&gt;0,AND(DAY($A224)=MIN(DAY('Recurring Schedule'!$F$15),DAY(EOMONTH($A224,0))),MOD((YEAR($A224)-YEAR('Recurring Schedule'!$F$15))*12+MONTH($A224)-MONTH('Recurring Schedule'!$F$15),'Recurring Schedule'!$O$15)=0),IF('Recurring Schedule'!$E$15="Weekdays",WEEKDAY($A224,2)&lt;=5,$A224='Recurring Schedule'!$F$15))),10,""))))</f>
        <v/>
      </c>
      <c r="L224">
        <f>IF('Recurring Schedule'!$C$16="","",IF('Recurring Schedule'!$F$16="","",IF(OR($A224&lt;'Recurring Schedule'!$F$16,$A224&gt;'Recurring Schedule'!$P$16),"",IF(IF('Recurring Schedule'!$N$16&gt;0,MOD($A224-'Recurring Schedule'!$F$16,'Recurring Schedule'!$N$16)=0,IF('Recurring Schedule'!$O$16&gt;0,AND(DAY($A224)=MIN(DAY('Recurring Schedule'!$F$16),DAY(EOMONTH($A224,0))),MOD((YEAR($A224)-YEAR('Recurring Schedule'!$F$16))*12+MONTH($A224)-MONTH('Recurring Schedule'!$F$16),'Recurring Schedule'!$O$16)=0),IF('Recurring Schedule'!$E$16="Weekdays",WEEKDAY($A224,2)&lt;=5,$A224='Recurring Schedule'!$F$16))),11,""))))</f>
        <v/>
      </c>
      <c r="M224">
        <f>IF('Recurring Schedule'!$C$17="","",IF('Recurring Schedule'!$F$17="","",IF(OR($A224&lt;'Recurring Schedule'!$F$17,$A224&gt;'Recurring Schedule'!$P$17),"",IF(IF('Recurring Schedule'!$N$17&gt;0,MOD($A224-'Recurring Schedule'!$F$17,'Recurring Schedule'!$N$17)=0,IF('Recurring Schedule'!$O$17&gt;0,AND(DAY($A224)=MIN(DAY('Recurring Schedule'!$F$17),DAY(EOMONTH($A224,0))),MOD((YEAR($A224)-YEAR('Recurring Schedule'!$F$17))*12+MONTH($A224)-MONTH('Recurring Schedule'!$F$17),'Recurring Schedule'!$O$17)=0),IF('Recurring Schedule'!$E$17="Weekdays",WEEKDAY($A224,2)&lt;=5,$A224='Recurring Schedule'!$F$17))),12,""))))</f>
        <v/>
      </c>
      <c r="N224">
        <f>IF('Recurring Schedule'!$C$18="","",IF('Recurring Schedule'!$F$18="","",IF(OR($A224&lt;'Recurring Schedule'!$F$18,$A224&gt;'Recurring Schedule'!$P$18),"",IF(IF('Recurring Schedule'!$N$18&gt;0,MOD($A224-'Recurring Schedule'!$F$18,'Recurring Schedule'!$N$18)=0,IF('Recurring Schedule'!$O$18&gt;0,AND(DAY($A224)=MIN(DAY('Recurring Schedule'!$F$18),DAY(EOMONTH($A224,0))),MOD((YEAR($A224)-YEAR('Recurring Schedule'!$F$18))*12+MONTH($A224)-MONTH('Recurring Schedule'!$F$18),'Recurring Schedule'!$O$18)=0),IF('Recurring Schedule'!$E$18="Weekdays",WEEKDAY($A224,2)&lt;=5,$A224='Recurring Schedule'!$F$18))),13,""))))</f>
        <v/>
      </c>
      <c r="O224">
        <f>IF('Recurring Schedule'!$C$19="","",IF('Recurring Schedule'!$F$19="","",IF(OR($A224&lt;'Recurring Schedule'!$F$19,$A224&gt;'Recurring Schedule'!$P$19),"",IF(IF('Recurring Schedule'!$N$19&gt;0,MOD($A224-'Recurring Schedule'!$F$19,'Recurring Schedule'!$N$19)=0,IF('Recurring Schedule'!$O$19&gt;0,AND(DAY($A224)=MIN(DAY('Recurring Schedule'!$F$19),DAY(EOMONTH($A224,0))),MOD((YEAR($A224)-YEAR('Recurring Schedule'!$F$19))*12+MONTH($A224)-MONTH('Recurring Schedule'!$F$19),'Recurring Schedule'!$O$19)=0),IF('Recurring Schedule'!$E$19="Weekdays",WEEKDAY($A224,2)&lt;=5,$A224='Recurring Schedule'!$F$19))),14,""))))</f>
        <v/>
      </c>
      <c r="P224">
        <f>IF('Recurring Schedule'!$C$20="","",IF('Recurring Schedule'!$F$20="","",IF(OR($A224&lt;'Recurring Schedule'!$F$20,$A224&gt;'Recurring Schedule'!$P$20),"",IF(IF('Recurring Schedule'!$N$20&gt;0,MOD($A224-'Recurring Schedule'!$F$20,'Recurring Schedule'!$N$20)=0,IF('Recurring Schedule'!$O$20&gt;0,AND(DAY($A224)=MIN(DAY('Recurring Schedule'!$F$20),DAY(EOMONTH($A224,0))),MOD((YEAR($A224)-YEAR('Recurring Schedule'!$F$20))*12+MONTH($A224)-MONTH('Recurring Schedule'!$F$20),'Recurring Schedule'!$O$20)=0),IF('Recurring Schedule'!$E$20="Weekdays",WEEKDAY($A224,2)&lt;=5,$A224='Recurring Schedule'!$F$20))),15,""))))</f>
        <v/>
      </c>
      <c r="Q224">
        <f>IF('Recurring Schedule'!$C$21="","",IF('Recurring Schedule'!$F$21="","",IF(OR($A224&lt;'Recurring Schedule'!$F$21,$A224&gt;'Recurring Schedule'!$P$21),"",IF(IF('Recurring Schedule'!$N$21&gt;0,MOD($A224-'Recurring Schedule'!$F$21,'Recurring Schedule'!$N$21)=0,IF('Recurring Schedule'!$O$21&gt;0,AND(DAY($A224)=MIN(DAY('Recurring Schedule'!$F$21),DAY(EOMONTH($A224,0))),MOD((YEAR($A224)-YEAR('Recurring Schedule'!$F$21))*12+MONTH($A224)-MONTH('Recurring Schedule'!$F$21),'Recurring Schedule'!$O$21)=0),IF('Recurring Schedule'!$E$21="Weekdays",WEEKDAY($A224,2)&lt;=5,$A224='Recurring Schedule'!$F$21))),16,""))))</f>
        <v/>
      </c>
      <c r="R224">
        <f>IF('Recurring Schedule'!$C$22="","",IF('Recurring Schedule'!$F$22="","",IF(OR($A224&lt;'Recurring Schedule'!$F$22,$A224&gt;'Recurring Schedule'!$P$22),"",IF(IF('Recurring Schedule'!$N$22&gt;0,MOD($A224-'Recurring Schedule'!$F$22,'Recurring Schedule'!$N$22)=0,IF('Recurring Schedule'!$O$22&gt;0,AND(DAY($A224)=MIN(DAY('Recurring Schedule'!$F$22),DAY(EOMONTH($A224,0))),MOD((YEAR($A224)-YEAR('Recurring Schedule'!$F$22))*12+MONTH($A224)-MONTH('Recurring Schedule'!$F$22),'Recurring Schedule'!$O$22)=0),IF('Recurring Schedule'!$E$22="Weekdays",WEEKDAY($A224,2)&lt;=5,$A224='Recurring Schedule'!$F$22))),17,""))))</f>
        <v/>
      </c>
      <c r="S224">
        <f>IF('Recurring Schedule'!$C$23="","",IF('Recurring Schedule'!$F$23="","",IF(OR($A224&lt;'Recurring Schedule'!$F$23,$A224&gt;'Recurring Schedule'!$P$23),"",IF(IF('Recurring Schedule'!$N$23&gt;0,MOD($A224-'Recurring Schedule'!$F$23,'Recurring Schedule'!$N$23)=0,IF('Recurring Schedule'!$O$23&gt;0,AND(DAY($A224)=MIN(DAY('Recurring Schedule'!$F$23),DAY(EOMONTH($A224,0))),MOD((YEAR($A224)-YEAR('Recurring Schedule'!$F$23))*12+MONTH($A224)-MONTH('Recurring Schedule'!$F$23),'Recurring Schedule'!$O$23)=0),IF('Recurring Schedule'!$E$23="Weekdays",WEEKDAY($A224,2)&lt;=5,$A224='Recurring Schedule'!$F$23))),18,""))))</f>
        <v/>
      </c>
      <c r="T224">
        <f>IF('Recurring Schedule'!$C$24="","",IF('Recurring Schedule'!$F$24="","",IF(OR($A224&lt;'Recurring Schedule'!$F$24,$A224&gt;'Recurring Schedule'!$P$24),"",IF(IF('Recurring Schedule'!$N$24&gt;0,MOD($A224-'Recurring Schedule'!$F$24,'Recurring Schedule'!$N$24)=0,IF('Recurring Schedule'!$O$24&gt;0,AND(DAY($A224)=MIN(DAY('Recurring Schedule'!$F$24),DAY(EOMONTH($A224,0))),MOD((YEAR($A224)-YEAR('Recurring Schedule'!$F$24))*12+MONTH($A224)-MONTH('Recurring Schedule'!$F$24),'Recurring Schedule'!$O$24)=0),IF('Recurring Schedule'!$E$24="Weekdays",WEEKDAY($A224,2)&lt;=5,$A224='Recurring Schedule'!$F$24))),19,""))))</f>
        <v/>
      </c>
      <c r="U224">
        <f>IF('Recurring Schedule'!$C$25="","",IF('Recurring Schedule'!$F$25="","",IF(OR($A224&lt;'Recurring Schedule'!$F$25,$A224&gt;'Recurring Schedule'!$P$25),"",IF(IF('Recurring Schedule'!$N$25&gt;0,MOD($A224-'Recurring Schedule'!$F$25,'Recurring Schedule'!$N$25)=0,IF('Recurring Schedule'!$O$25&gt;0,AND(DAY($A224)=MIN(DAY('Recurring Schedule'!$F$25),DAY(EOMONTH($A224,0))),MOD((YEAR($A224)-YEAR('Recurring Schedule'!$F$25))*12+MONTH($A224)-MONTH('Recurring Schedule'!$F$25),'Recurring Schedule'!$O$25)=0),IF('Recurring Schedule'!$E$25="Weekdays",WEEKDAY($A224,2)&lt;=5,$A224='Recurring Schedule'!$F$25))),20,""))))</f>
        <v/>
      </c>
      <c r="V224">
        <f>IF('Recurring Schedule'!$C$26="","",IF('Recurring Schedule'!$F$26="","",IF(OR($A224&lt;'Recurring Schedule'!$F$26,$A224&gt;'Recurring Schedule'!$P$26),"",IF(IF('Recurring Schedule'!$N$26&gt;0,MOD($A224-'Recurring Schedule'!$F$26,'Recurring Schedule'!$N$26)=0,IF('Recurring Schedule'!$O$26&gt;0,AND(DAY($A224)=MIN(DAY('Recurring Schedule'!$F$26),DAY(EOMONTH($A224,0))),MOD((YEAR($A224)-YEAR('Recurring Schedule'!$F$26))*12+MONTH($A224)-MONTH('Recurring Schedule'!$F$26),'Recurring Schedule'!$O$26)=0),IF('Recurring Schedule'!$E$26="Weekdays",WEEKDAY($A224,2)&lt;=5,$A224='Recurring Schedule'!$F$26))),21,""))))</f>
        <v/>
      </c>
      <c r="W224">
        <f>IF('Recurring Schedule'!$C$27="","",IF('Recurring Schedule'!$F$27="","",IF(OR($A224&lt;'Recurring Schedule'!$F$27,$A224&gt;'Recurring Schedule'!$P$27),"",IF(IF('Recurring Schedule'!$N$27&gt;0,MOD($A224-'Recurring Schedule'!$F$27,'Recurring Schedule'!$N$27)=0,IF('Recurring Schedule'!$O$27&gt;0,AND(DAY($A224)=MIN(DAY('Recurring Schedule'!$F$27),DAY(EOMONTH($A224,0))),MOD((YEAR($A224)-YEAR('Recurring Schedule'!$F$27))*12+MONTH($A224)-MONTH('Recurring Schedule'!$F$27),'Recurring Schedule'!$O$27)=0),IF('Recurring Schedule'!$E$27="Weekdays",WEEKDAY($A224,2)&lt;=5,$A224='Recurring Schedule'!$F$27))),22,""))))</f>
        <v/>
      </c>
      <c r="X224">
        <f>IF('Recurring Schedule'!$C$28="","",IF('Recurring Schedule'!$F$28="","",IF(OR($A224&lt;'Recurring Schedule'!$F$28,$A224&gt;'Recurring Schedule'!$P$28),"",IF(IF('Recurring Schedule'!$N$28&gt;0,MOD($A224-'Recurring Schedule'!$F$28,'Recurring Schedule'!$N$28)=0,IF('Recurring Schedule'!$O$28&gt;0,AND(DAY($A224)=MIN(DAY('Recurring Schedule'!$F$28),DAY(EOMONTH($A224,0))),MOD((YEAR($A224)-YEAR('Recurring Schedule'!$F$28))*12+MONTH($A224)-MONTH('Recurring Schedule'!$F$28),'Recurring Schedule'!$O$28)=0),IF('Recurring Schedule'!$E$28="Weekdays",WEEKDAY($A224,2)&lt;=5,$A224='Recurring Schedule'!$F$28))),23,""))))</f>
        <v/>
      </c>
      <c r="Y224">
        <f>IF('Recurring Schedule'!$C$29="","",IF('Recurring Schedule'!$F$29="","",IF(OR($A224&lt;'Recurring Schedule'!$F$29,$A224&gt;'Recurring Schedule'!$P$29),"",IF(IF('Recurring Schedule'!$N$29&gt;0,MOD($A224-'Recurring Schedule'!$F$29,'Recurring Schedule'!$N$29)=0,IF('Recurring Schedule'!$O$29&gt;0,AND(DAY($A224)=MIN(DAY('Recurring Schedule'!$F$29),DAY(EOMONTH($A224,0))),MOD((YEAR($A224)-YEAR('Recurring Schedule'!$F$29))*12+MONTH($A224)-MONTH('Recurring Schedule'!$F$29),'Recurring Schedule'!$O$29)=0),IF('Recurring Schedule'!$E$29="Weekdays",WEEKDAY($A224,2)&lt;=5,$A224='Recurring Schedule'!$F$29))),24,""))))</f>
        <v/>
      </c>
      <c r="Z224">
        <f>IF('Recurring Schedule'!$C$30="","",IF('Recurring Schedule'!$F$30="","",IF(OR($A224&lt;'Recurring Schedule'!$F$30,$A224&gt;'Recurring Schedule'!$P$30),"",IF(IF('Recurring Schedule'!$N$30&gt;0,MOD($A224-'Recurring Schedule'!$F$30,'Recurring Schedule'!$N$30)=0,IF('Recurring Schedule'!$O$30&gt;0,AND(DAY($A224)=MIN(DAY('Recurring Schedule'!$F$30),DAY(EOMONTH($A224,0))),MOD((YEAR($A224)-YEAR('Recurring Schedule'!$F$30))*12+MONTH($A224)-MONTH('Recurring Schedule'!$F$30),'Recurring Schedule'!$O$30)=0),IF('Recurring Schedule'!$E$30="Weekdays",WEEKDAY($A224,2)&lt;=5,$A224='Recurring Schedule'!$F$30))),25,""))))</f>
        <v/>
      </c>
      <c r="AA224">
        <f>IF('Recurring Schedule'!$C$31="","",IF('Recurring Schedule'!$F$31="","",IF(OR($A224&lt;'Recurring Schedule'!$F$31,$A224&gt;'Recurring Schedule'!$P$31),"",IF(IF('Recurring Schedule'!$N$31&gt;0,MOD($A224-'Recurring Schedule'!$F$31,'Recurring Schedule'!$N$31)=0,IF('Recurring Schedule'!$O$31&gt;0,AND(DAY($A224)=MIN(DAY('Recurring Schedule'!$F$31),DAY(EOMONTH($A224,0))),MOD((YEAR($A224)-YEAR('Recurring Schedule'!$F$31))*12+MONTH($A224)-MONTH('Recurring Schedule'!$F$31),'Recurring Schedule'!$O$31)=0),IF('Recurring Schedule'!$E$31="Weekdays",WEEKDAY($A224,2)&lt;=5,$A224='Recurring Schedule'!$F$31))),26,""))))</f>
        <v/>
      </c>
      <c r="AB224">
        <f>IF('Recurring Schedule'!$C$32="","",IF('Recurring Schedule'!$F$32="","",IF(OR($A224&lt;'Recurring Schedule'!$F$32,$A224&gt;'Recurring Schedule'!$P$32),"",IF(IF('Recurring Schedule'!$N$32&gt;0,MOD($A224-'Recurring Schedule'!$F$32,'Recurring Schedule'!$N$32)=0,IF('Recurring Schedule'!$O$32&gt;0,AND(DAY($A224)=MIN(DAY('Recurring Schedule'!$F$32),DAY(EOMONTH($A224,0))),MOD((YEAR($A224)-YEAR('Recurring Schedule'!$F$32))*12+MONTH($A224)-MONTH('Recurring Schedule'!$F$32),'Recurring Schedule'!$O$32)=0),IF('Recurring Schedule'!$E$32="Weekdays",WEEKDAY($A224,2)&lt;=5,$A224='Recurring Schedule'!$F$32))),27,""))))</f>
        <v/>
      </c>
      <c r="AC224">
        <f>IF('Recurring Schedule'!$C$33="","",IF('Recurring Schedule'!$F$33="","",IF(OR($A224&lt;'Recurring Schedule'!$F$33,$A224&gt;'Recurring Schedule'!$P$33),"",IF(IF('Recurring Schedule'!$N$33&gt;0,MOD($A224-'Recurring Schedule'!$F$33,'Recurring Schedule'!$N$33)=0,IF('Recurring Schedule'!$O$33&gt;0,AND(DAY($A224)=MIN(DAY('Recurring Schedule'!$F$33),DAY(EOMONTH($A224,0))),MOD((YEAR($A224)-YEAR('Recurring Schedule'!$F$33))*12+MONTH($A224)-MONTH('Recurring Schedule'!$F$33),'Recurring Schedule'!$O$33)=0),IF('Recurring Schedule'!$E$33="Weekdays",WEEKDAY($A224,2)&lt;=5,$A224='Recurring Schedule'!$F$33))),28,""))))</f>
        <v/>
      </c>
      <c r="AD224">
        <f>IF('Recurring Schedule'!$C$34="","",IF('Recurring Schedule'!$F$34="","",IF(OR($A224&lt;'Recurring Schedule'!$F$34,$A224&gt;'Recurring Schedule'!$P$34),"",IF(IF('Recurring Schedule'!$N$34&gt;0,MOD($A224-'Recurring Schedule'!$F$34,'Recurring Schedule'!$N$34)=0,IF('Recurring Schedule'!$O$34&gt;0,AND(DAY($A224)=MIN(DAY('Recurring Schedule'!$F$34),DAY(EOMONTH($A224,0))),MOD((YEAR($A224)-YEAR('Recurring Schedule'!$F$34))*12+MONTH($A224)-MONTH('Recurring Schedule'!$F$34),'Recurring Schedule'!$O$34)=0),IF('Recurring Schedule'!$E$34="Weekdays",WEEKDAY($A224,2)&lt;=5,$A224='Recurring Schedule'!$F$34))),29,""))))</f>
        <v/>
      </c>
      <c r="AE224">
        <f>IF('Recurring Schedule'!$C$35="","",IF('Recurring Schedule'!$F$35="","",IF(OR($A224&lt;'Recurring Schedule'!$F$35,$A224&gt;'Recurring Schedule'!$P$35),"",IF(IF('Recurring Schedule'!$N$35&gt;0,MOD($A224-'Recurring Schedule'!$F$35,'Recurring Schedule'!$N$35)=0,IF('Recurring Schedule'!$O$35&gt;0,AND(DAY($A224)=MIN(DAY('Recurring Schedule'!$F$35),DAY(EOMONTH($A224,0))),MOD((YEAR($A224)-YEAR('Recurring Schedule'!$F$35))*12+MONTH($A224)-MONTH('Recurring Schedule'!$F$35),'Recurring Schedule'!$O$35)=0),IF('Recurring Schedule'!$E$35="Weekdays",WEEKDAY($A224,2)&lt;=5,$A224='Recurring Schedule'!$F$35))),30,""))))</f>
        <v/>
      </c>
      <c r="AF224">
        <f>IF('Recurring Schedule'!$C$36="","",IF('Recurring Schedule'!$F$36="","",IF(OR($A224&lt;'Recurring Schedule'!$F$36,$A224&gt;'Recurring Schedule'!$P$36),"",IF(IF('Recurring Schedule'!$N$36&gt;0,MOD($A224-'Recurring Schedule'!$F$36,'Recurring Schedule'!$N$36)=0,IF('Recurring Schedule'!$O$36&gt;0,AND(DAY($A224)=MIN(DAY('Recurring Schedule'!$F$36),DAY(EOMONTH($A224,0))),MOD((YEAR($A224)-YEAR('Recurring Schedule'!$F$36))*12+MONTH($A224)-MONTH('Recurring Schedule'!$F$36),'Recurring Schedule'!$O$36)=0),IF('Recurring Schedule'!$E$36="Weekdays",WEEKDAY($A224,2)&lt;=5,$A224='Recurring Schedule'!$F$36))),31,""))))</f>
        <v/>
      </c>
      <c r="AG224">
        <f>IF('Recurring Schedule'!$C$37="","",IF('Recurring Schedule'!$F$37="","",IF(OR($A224&lt;'Recurring Schedule'!$F$37,$A224&gt;'Recurring Schedule'!$P$37),"",IF(IF('Recurring Schedule'!$N$37&gt;0,MOD($A224-'Recurring Schedule'!$F$37,'Recurring Schedule'!$N$37)=0,IF('Recurring Schedule'!$O$37&gt;0,AND(DAY($A224)=MIN(DAY('Recurring Schedule'!$F$37),DAY(EOMONTH($A224,0))),MOD((YEAR($A224)-YEAR('Recurring Schedule'!$F$37))*12+MONTH($A224)-MONTH('Recurring Schedule'!$F$37),'Recurring Schedule'!$O$37)=0),IF('Recurring Schedule'!$E$37="Weekdays",WEEKDAY($A224,2)&lt;=5,$A224='Recurring Schedule'!$F$37))),32,""))))</f>
        <v/>
      </c>
      <c r="AH224">
        <f>IF('Recurring Schedule'!$C$38="","",IF('Recurring Schedule'!$F$38="","",IF(OR($A224&lt;'Recurring Schedule'!$F$38,$A224&gt;'Recurring Schedule'!$P$38),"",IF(IF('Recurring Schedule'!$N$38&gt;0,MOD($A224-'Recurring Schedule'!$F$38,'Recurring Schedule'!$N$38)=0,IF('Recurring Schedule'!$O$38&gt;0,AND(DAY($A224)=MIN(DAY('Recurring Schedule'!$F$38),DAY(EOMONTH($A224,0))),MOD((YEAR($A224)-YEAR('Recurring Schedule'!$F$38))*12+MONTH($A224)-MONTH('Recurring Schedule'!$F$38),'Recurring Schedule'!$O$38)=0),IF('Recurring Schedule'!$E$38="Weekdays",WEEKDAY($A224,2)&lt;=5,$A224='Recurring Schedule'!$F$38))),33,""))))</f>
        <v/>
      </c>
      <c r="AI224">
        <f>IF('Recurring Schedule'!$C$39="","",IF('Recurring Schedule'!$F$39="","",IF(OR($A224&lt;'Recurring Schedule'!$F$39,$A224&gt;'Recurring Schedule'!$P$39),"",IF(IF('Recurring Schedule'!$N$39&gt;0,MOD($A224-'Recurring Schedule'!$F$39,'Recurring Schedule'!$N$39)=0,IF('Recurring Schedule'!$O$39&gt;0,AND(DAY($A224)=MIN(DAY('Recurring Schedule'!$F$39),DAY(EOMONTH($A224,0))),MOD((YEAR($A224)-YEAR('Recurring Schedule'!$F$39))*12+MONTH($A224)-MONTH('Recurring Schedule'!$F$39),'Recurring Schedule'!$O$39)=0),IF('Recurring Schedule'!$E$39="Weekdays",WEEKDAY($A224,2)&lt;=5,$A224='Recurring Schedule'!$F$39))),34,""))))</f>
        <v/>
      </c>
      <c r="AJ224">
        <f>IF('Recurring Schedule'!$C$40="","",IF('Recurring Schedule'!$F$40="","",IF(OR($A224&lt;'Recurring Schedule'!$F$40,$A224&gt;'Recurring Schedule'!$P$40),"",IF(IF('Recurring Schedule'!$N$40&gt;0,MOD($A224-'Recurring Schedule'!$F$40,'Recurring Schedule'!$N$40)=0,IF('Recurring Schedule'!$O$40&gt;0,AND(DAY($A224)=MIN(DAY('Recurring Schedule'!$F$40),DAY(EOMONTH($A224,0))),MOD((YEAR($A224)-YEAR('Recurring Schedule'!$F$40))*12+MONTH($A224)-MONTH('Recurring Schedule'!$F$40),'Recurring Schedule'!$O$40)=0),IF('Recurring Schedule'!$E$40="Weekdays",WEEKDAY($A224,2)&lt;=5,$A224='Recurring Schedule'!$F$40))),35,""))))</f>
        <v/>
      </c>
      <c r="AK224">
        <f>IF('Recurring Schedule'!$C$41="","",IF('Recurring Schedule'!$F$41="","",IF(OR($A224&lt;'Recurring Schedule'!$F$41,$A224&gt;'Recurring Schedule'!$P$41),"",IF(IF('Recurring Schedule'!$N$41&gt;0,MOD($A224-'Recurring Schedule'!$F$41,'Recurring Schedule'!$N$41)=0,IF('Recurring Schedule'!$O$41&gt;0,AND(DAY($A224)=MIN(DAY('Recurring Schedule'!$F$41),DAY(EOMONTH($A224,0))),MOD((YEAR($A224)-YEAR('Recurring Schedule'!$F$41))*12+MONTH($A224)-MONTH('Recurring Schedule'!$F$41),'Recurring Schedule'!$O$41)=0),IF('Recurring Schedule'!$E$41="Weekdays",WEEKDAY($A224,2)&lt;=5,$A224='Recurring Schedule'!$F$41))),36,""))))</f>
        <v/>
      </c>
      <c r="AL224">
        <f>IF('Recurring Schedule'!$C$42="","",IF('Recurring Schedule'!$F$42="","",IF(OR($A224&lt;'Recurring Schedule'!$F$42,$A224&gt;'Recurring Schedule'!$P$42),"",IF(IF('Recurring Schedule'!$N$42&gt;0,MOD($A224-'Recurring Schedule'!$F$42,'Recurring Schedule'!$N$42)=0,IF('Recurring Schedule'!$O$42&gt;0,AND(DAY($A224)=MIN(DAY('Recurring Schedule'!$F$42),DAY(EOMONTH($A224,0))),MOD((YEAR($A224)-YEAR('Recurring Schedule'!$F$42))*12+MONTH($A224)-MONTH('Recurring Schedule'!$F$42),'Recurring Schedule'!$O$42)=0),IF('Recurring Schedule'!$E$42="Weekdays",WEEKDAY($A224,2)&lt;=5,$A224='Recurring Schedule'!$F$42))),37,""))))</f>
        <v/>
      </c>
      <c r="AM224">
        <f>IF('Recurring Schedule'!$C$43="","",IF('Recurring Schedule'!$F$43="","",IF(OR($A224&lt;'Recurring Schedule'!$F$43,$A224&gt;'Recurring Schedule'!$P$43),"",IF(IF('Recurring Schedule'!$N$43&gt;0,MOD($A224-'Recurring Schedule'!$F$43,'Recurring Schedule'!$N$43)=0,IF('Recurring Schedule'!$O$43&gt;0,AND(DAY($A224)=MIN(DAY('Recurring Schedule'!$F$43),DAY(EOMONTH($A224,0))),MOD((YEAR($A224)-YEAR('Recurring Schedule'!$F$43))*12+MONTH($A224)-MONTH('Recurring Schedule'!$F$43),'Recurring Schedule'!$O$43)=0),IF('Recurring Schedule'!$E$43="Weekdays",WEEKDAY($A224,2)&lt;=5,$A224='Recurring Schedule'!$F$43))),38,""))))</f>
        <v/>
      </c>
      <c r="AN224">
        <f>IF('Recurring Schedule'!$C$44="","",IF('Recurring Schedule'!$F$44="","",IF(OR($A224&lt;'Recurring Schedule'!$F$44,$A224&gt;'Recurring Schedule'!$P$44),"",IF(IF('Recurring Schedule'!$N$44&gt;0,MOD($A224-'Recurring Schedule'!$F$44,'Recurring Schedule'!$N$44)=0,IF('Recurring Schedule'!$O$44&gt;0,AND(DAY($A224)=MIN(DAY('Recurring Schedule'!$F$44),DAY(EOMONTH($A224,0))),MOD((YEAR($A224)-YEAR('Recurring Schedule'!$F$44))*12+MONTH($A224)-MONTH('Recurring Schedule'!$F$44),'Recurring Schedule'!$O$44)=0),IF('Recurring Schedule'!$E$44="Weekdays",WEEKDAY($A224,2)&lt;=5,$A224='Recurring Schedule'!$F$44))),39,""))))</f>
        <v/>
      </c>
      <c r="AO224">
        <f>IF('Recurring Schedule'!$C$45="","",IF('Recurring Schedule'!$F$45="","",IF(OR($A224&lt;'Recurring Schedule'!$F$45,$A224&gt;'Recurring Schedule'!$P$45),"",IF(IF('Recurring Schedule'!$N$45&gt;0,MOD($A224-'Recurring Schedule'!$F$45,'Recurring Schedule'!$N$45)=0,IF('Recurring Schedule'!$O$45&gt;0,AND(DAY($A224)=MIN(DAY('Recurring Schedule'!$F$45),DAY(EOMONTH($A224,0))),MOD((YEAR($A224)-YEAR('Recurring Schedule'!$F$45))*12+MONTH($A224)-MONTH('Recurring Schedule'!$F$45),'Recurring Schedule'!$O$45)=0),IF('Recurring Schedule'!$E$45="Weekdays",WEEKDAY($A224,2)&lt;=5,$A224='Recurring Schedule'!$F$45))),40,""))))</f>
        <v/>
      </c>
      <c r="AP224">
        <f>COUNT(B224:AO224)</f>
        <v/>
      </c>
      <c r="AQ224">
        <f>AQ223+AP223</f>
        <v/>
      </c>
      <c r="AS224" t="inlineStr">
        <is>
          <t>R</t>
        </is>
      </c>
      <c r="AT224" t="n">
        <v>228</v>
      </c>
      <c r="AU224">
        <f>'Recurring Log'!C228&amp;""</f>
        <v/>
      </c>
      <c r="AV224">
        <f>'Recurring Log'!D228&amp;""</f>
        <v/>
      </c>
      <c r="AW224">
        <f>IF('Recurring Log'!E228="","",'Recurring Log'!E228)</f>
        <v/>
      </c>
      <c r="AX224">
        <f>IF('Recurring Log'!G228="","",'Recurring Log'!G228)</f>
        <v/>
      </c>
      <c r="AY224">
        <f>IF('Recurring Log'!H228="","",'Recurring Log'!H228)</f>
        <v/>
      </c>
      <c r="AZ224">
        <f>IF(AU224="","",IF('Recurring Log'!J228="","Not Started",'Recurring Log'!J228))</f>
        <v/>
      </c>
      <c r="BA224">
        <f>'Recurring Log'!L228&amp;""</f>
        <v/>
      </c>
      <c r="BB224">
        <f>'Recurring Log'!M228&amp;""</f>
        <v/>
      </c>
      <c r="BC224">
        <f>'Recurring Log'!N228&amp;""</f>
        <v/>
      </c>
      <c r="BD224">
        <f>'Recurring Log'!O228&amp;""</f>
        <v/>
      </c>
      <c r="BE224">
        <f>IF('Recurring Log'!K228="","",'Recurring Log'!K228)</f>
        <v/>
      </c>
      <c r="BF224">
        <f>IFERROR(MATCH(BA224,Setup!$L$6:$L$9,0),5)</f>
        <v/>
      </c>
      <c r="BG224">
        <f>IF(OR(AZ224="Done",AZ224="Cancelled"),1,0)</f>
        <v/>
      </c>
      <c r="BH224">
        <f>IF(AND(AU224&lt;&gt;"",ISNUMBER(AW224)),1,0)</f>
        <v/>
      </c>
      <c r="BI224">
        <f>IF(BH224=0,0,IF(AND(AW224&gt;='Tasks Filter'!$F$3,AW224&lt;='Tasks Filter'!$F$4,OR('Tasks Filter'!$I$3="",ISNUMBER(SEARCH('Tasks Filter'!$I$3,AU224))),OR('Tasks Filter'!$I$4="",BF224=IFERROR(MATCH('Tasks Filter'!$I$4,Setup!$L$6:$L$9,0),0)),OR('Tasks Filter'!$I$5="Both",AND('Tasks Filter'!$I$5="Yes",BB224="✓"),AND('Tasks Filter'!$I$5="No",BB224&lt;&gt;"✓")),OR('Tasks Filter'!$L$3="",AV224='Tasks Filter'!$L$3),OR('Tasks Filter'!$L$4="",AZ224='Tasks Filter'!$L$4),OR('Tasks Filter'!$L$5="",BC224='Tasks Filter'!$L$5),OR('Tasks Filter'!$O$3="",BD224='Tasks Filter'!$O$3),OR('Tasks Filter'!$O$4="Yes",BG224=0)),1,0))</f>
        <v/>
      </c>
      <c r="BJ224">
        <f>IF(BH224=0,"",IF('Tasks Filter'!$F$6="Descending",-1,1)*CHOOSE(MATCH('Tasks Filter'!$F$5,Lists!$G$2:$G$6,0),AW224,BF224,IFERROR(MATCH(AV224,Setup!$F$6:$F$15,0),99),IFERROR(MATCH(BC224,Setup!$H$6:$H$15,0),99),IFERROR(MATCH(AZ224,Setup!$J$6:$J$11,0),99))*1E+9+(AW224-40000)*10000+223)</f>
        <v/>
      </c>
      <c r="BK224">
        <f>IF(BI224=1,BJ224,"")</f>
        <v/>
      </c>
      <c r="BL224">
        <f>IF(AND(BH224=1,BG224=0,N(AW224)&lt;Setup!$D$7),(AW224-40000)*10000+223,"")</f>
        <v/>
      </c>
      <c r="BM224">
        <f>IF(AND(BH224=1,AZ224&lt;&gt;"Cancelled",N(AW224)&gt;=Dashboard!$AB$3,N(AW224)&lt;=Dashboard!$AB$3+6),(AW224-40000)*100000+BF224*10000+223,"")</f>
        <v/>
      </c>
      <c r="BN224">
        <f>IF(AND(BH224=1,AZ224&lt;&gt;"Cancelled"),BF224*10000+223,"")</f>
        <v/>
      </c>
    </row>
    <row r="225">
      <c r="A225">
        <f>Setup!$D$5+223</f>
        <v/>
      </c>
      <c r="B225">
        <f>IF('Recurring Schedule'!$C$6="","",IF('Recurring Schedule'!$F$6="","",IF(OR($A225&lt;'Recurring Schedule'!$F$6,$A225&gt;'Recurring Schedule'!$P$6),"",IF(IF('Recurring Schedule'!$N$6&gt;0,MOD($A225-'Recurring Schedule'!$F$6,'Recurring Schedule'!$N$6)=0,IF('Recurring Schedule'!$O$6&gt;0,AND(DAY($A225)=MIN(DAY('Recurring Schedule'!$F$6),DAY(EOMONTH($A225,0))),MOD((YEAR($A225)-YEAR('Recurring Schedule'!$F$6))*12+MONTH($A225)-MONTH('Recurring Schedule'!$F$6),'Recurring Schedule'!$O$6)=0),IF('Recurring Schedule'!$E$6="Weekdays",WEEKDAY($A225,2)&lt;=5,$A225='Recurring Schedule'!$F$6))),1,""))))</f>
        <v/>
      </c>
      <c r="C225">
        <f>IF('Recurring Schedule'!$C$7="","",IF('Recurring Schedule'!$F$7="","",IF(OR($A225&lt;'Recurring Schedule'!$F$7,$A225&gt;'Recurring Schedule'!$P$7),"",IF(IF('Recurring Schedule'!$N$7&gt;0,MOD($A225-'Recurring Schedule'!$F$7,'Recurring Schedule'!$N$7)=0,IF('Recurring Schedule'!$O$7&gt;0,AND(DAY($A225)=MIN(DAY('Recurring Schedule'!$F$7),DAY(EOMONTH($A225,0))),MOD((YEAR($A225)-YEAR('Recurring Schedule'!$F$7))*12+MONTH($A225)-MONTH('Recurring Schedule'!$F$7),'Recurring Schedule'!$O$7)=0),IF('Recurring Schedule'!$E$7="Weekdays",WEEKDAY($A225,2)&lt;=5,$A225='Recurring Schedule'!$F$7))),2,""))))</f>
        <v/>
      </c>
      <c r="D225">
        <f>IF('Recurring Schedule'!$C$8="","",IF('Recurring Schedule'!$F$8="","",IF(OR($A225&lt;'Recurring Schedule'!$F$8,$A225&gt;'Recurring Schedule'!$P$8),"",IF(IF('Recurring Schedule'!$N$8&gt;0,MOD($A225-'Recurring Schedule'!$F$8,'Recurring Schedule'!$N$8)=0,IF('Recurring Schedule'!$O$8&gt;0,AND(DAY($A225)=MIN(DAY('Recurring Schedule'!$F$8),DAY(EOMONTH($A225,0))),MOD((YEAR($A225)-YEAR('Recurring Schedule'!$F$8))*12+MONTH($A225)-MONTH('Recurring Schedule'!$F$8),'Recurring Schedule'!$O$8)=0),IF('Recurring Schedule'!$E$8="Weekdays",WEEKDAY($A225,2)&lt;=5,$A225='Recurring Schedule'!$F$8))),3,""))))</f>
        <v/>
      </c>
      <c r="E225">
        <f>IF('Recurring Schedule'!$C$9="","",IF('Recurring Schedule'!$F$9="","",IF(OR($A225&lt;'Recurring Schedule'!$F$9,$A225&gt;'Recurring Schedule'!$P$9),"",IF(IF('Recurring Schedule'!$N$9&gt;0,MOD($A225-'Recurring Schedule'!$F$9,'Recurring Schedule'!$N$9)=0,IF('Recurring Schedule'!$O$9&gt;0,AND(DAY($A225)=MIN(DAY('Recurring Schedule'!$F$9),DAY(EOMONTH($A225,0))),MOD((YEAR($A225)-YEAR('Recurring Schedule'!$F$9))*12+MONTH($A225)-MONTH('Recurring Schedule'!$F$9),'Recurring Schedule'!$O$9)=0),IF('Recurring Schedule'!$E$9="Weekdays",WEEKDAY($A225,2)&lt;=5,$A225='Recurring Schedule'!$F$9))),4,""))))</f>
        <v/>
      </c>
      <c r="F225">
        <f>IF('Recurring Schedule'!$C$10="","",IF('Recurring Schedule'!$F$10="","",IF(OR($A225&lt;'Recurring Schedule'!$F$10,$A225&gt;'Recurring Schedule'!$P$10),"",IF(IF('Recurring Schedule'!$N$10&gt;0,MOD($A225-'Recurring Schedule'!$F$10,'Recurring Schedule'!$N$10)=0,IF('Recurring Schedule'!$O$10&gt;0,AND(DAY($A225)=MIN(DAY('Recurring Schedule'!$F$10),DAY(EOMONTH($A225,0))),MOD((YEAR($A225)-YEAR('Recurring Schedule'!$F$10))*12+MONTH($A225)-MONTH('Recurring Schedule'!$F$10),'Recurring Schedule'!$O$10)=0),IF('Recurring Schedule'!$E$10="Weekdays",WEEKDAY($A225,2)&lt;=5,$A225='Recurring Schedule'!$F$10))),5,""))))</f>
        <v/>
      </c>
      <c r="G225">
        <f>IF('Recurring Schedule'!$C$11="","",IF('Recurring Schedule'!$F$11="","",IF(OR($A225&lt;'Recurring Schedule'!$F$11,$A225&gt;'Recurring Schedule'!$P$11),"",IF(IF('Recurring Schedule'!$N$11&gt;0,MOD($A225-'Recurring Schedule'!$F$11,'Recurring Schedule'!$N$11)=0,IF('Recurring Schedule'!$O$11&gt;0,AND(DAY($A225)=MIN(DAY('Recurring Schedule'!$F$11),DAY(EOMONTH($A225,0))),MOD((YEAR($A225)-YEAR('Recurring Schedule'!$F$11))*12+MONTH($A225)-MONTH('Recurring Schedule'!$F$11),'Recurring Schedule'!$O$11)=0),IF('Recurring Schedule'!$E$11="Weekdays",WEEKDAY($A225,2)&lt;=5,$A225='Recurring Schedule'!$F$11))),6,""))))</f>
        <v/>
      </c>
      <c r="H225">
        <f>IF('Recurring Schedule'!$C$12="","",IF('Recurring Schedule'!$F$12="","",IF(OR($A225&lt;'Recurring Schedule'!$F$12,$A225&gt;'Recurring Schedule'!$P$12),"",IF(IF('Recurring Schedule'!$N$12&gt;0,MOD($A225-'Recurring Schedule'!$F$12,'Recurring Schedule'!$N$12)=0,IF('Recurring Schedule'!$O$12&gt;0,AND(DAY($A225)=MIN(DAY('Recurring Schedule'!$F$12),DAY(EOMONTH($A225,0))),MOD((YEAR($A225)-YEAR('Recurring Schedule'!$F$12))*12+MONTH($A225)-MONTH('Recurring Schedule'!$F$12),'Recurring Schedule'!$O$12)=0),IF('Recurring Schedule'!$E$12="Weekdays",WEEKDAY($A225,2)&lt;=5,$A225='Recurring Schedule'!$F$12))),7,""))))</f>
        <v/>
      </c>
      <c r="I225">
        <f>IF('Recurring Schedule'!$C$13="","",IF('Recurring Schedule'!$F$13="","",IF(OR($A225&lt;'Recurring Schedule'!$F$13,$A225&gt;'Recurring Schedule'!$P$13),"",IF(IF('Recurring Schedule'!$N$13&gt;0,MOD($A225-'Recurring Schedule'!$F$13,'Recurring Schedule'!$N$13)=0,IF('Recurring Schedule'!$O$13&gt;0,AND(DAY($A225)=MIN(DAY('Recurring Schedule'!$F$13),DAY(EOMONTH($A225,0))),MOD((YEAR($A225)-YEAR('Recurring Schedule'!$F$13))*12+MONTH($A225)-MONTH('Recurring Schedule'!$F$13),'Recurring Schedule'!$O$13)=0),IF('Recurring Schedule'!$E$13="Weekdays",WEEKDAY($A225,2)&lt;=5,$A225='Recurring Schedule'!$F$13))),8,""))))</f>
        <v/>
      </c>
      <c r="J225">
        <f>IF('Recurring Schedule'!$C$14="","",IF('Recurring Schedule'!$F$14="","",IF(OR($A225&lt;'Recurring Schedule'!$F$14,$A225&gt;'Recurring Schedule'!$P$14),"",IF(IF('Recurring Schedule'!$N$14&gt;0,MOD($A225-'Recurring Schedule'!$F$14,'Recurring Schedule'!$N$14)=0,IF('Recurring Schedule'!$O$14&gt;0,AND(DAY($A225)=MIN(DAY('Recurring Schedule'!$F$14),DAY(EOMONTH($A225,0))),MOD((YEAR($A225)-YEAR('Recurring Schedule'!$F$14))*12+MONTH($A225)-MONTH('Recurring Schedule'!$F$14),'Recurring Schedule'!$O$14)=0),IF('Recurring Schedule'!$E$14="Weekdays",WEEKDAY($A225,2)&lt;=5,$A225='Recurring Schedule'!$F$14))),9,""))))</f>
        <v/>
      </c>
      <c r="K225">
        <f>IF('Recurring Schedule'!$C$15="","",IF('Recurring Schedule'!$F$15="","",IF(OR($A225&lt;'Recurring Schedule'!$F$15,$A225&gt;'Recurring Schedule'!$P$15),"",IF(IF('Recurring Schedule'!$N$15&gt;0,MOD($A225-'Recurring Schedule'!$F$15,'Recurring Schedule'!$N$15)=0,IF('Recurring Schedule'!$O$15&gt;0,AND(DAY($A225)=MIN(DAY('Recurring Schedule'!$F$15),DAY(EOMONTH($A225,0))),MOD((YEAR($A225)-YEAR('Recurring Schedule'!$F$15))*12+MONTH($A225)-MONTH('Recurring Schedule'!$F$15),'Recurring Schedule'!$O$15)=0),IF('Recurring Schedule'!$E$15="Weekdays",WEEKDAY($A225,2)&lt;=5,$A225='Recurring Schedule'!$F$15))),10,""))))</f>
        <v/>
      </c>
      <c r="L225">
        <f>IF('Recurring Schedule'!$C$16="","",IF('Recurring Schedule'!$F$16="","",IF(OR($A225&lt;'Recurring Schedule'!$F$16,$A225&gt;'Recurring Schedule'!$P$16),"",IF(IF('Recurring Schedule'!$N$16&gt;0,MOD($A225-'Recurring Schedule'!$F$16,'Recurring Schedule'!$N$16)=0,IF('Recurring Schedule'!$O$16&gt;0,AND(DAY($A225)=MIN(DAY('Recurring Schedule'!$F$16),DAY(EOMONTH($A225,0))),MOD((YEAR($A225)-YEAR('Recurring Schedule'!$F$16))*12+MONTH($A225)-MONTH('Recurring Schedule'!$F$16),'Recurring Schedule'!$O$16)=0),IF('Recurring Schedule'!$E$16="Weekdays",WEEKDAY($A225,2)&lt;=5,$A225='Recurring Schedule'!$F$16))),11,""))))</f>
        <v/>
      </c>
      <c r="M225">
        <f>IF('Recurring Schedule'!$C$17="","",IF('Recurring Schedule'!$F$17="","",IF(OR($A225&lt;'Recurring Schedule'!$F$17,$A225&gt;'Recurring Schedule'!$P$17),"",IF(IF('Recurring Schedule'!$N$17&gt;0,MOD($A225-'Recurring Schedule'!$F$17,'Recurring Schedule'!$N$17)=0,IF('Recurring Schedule'!$O$17&gt;0,AND(DAY($A225)=MIN(DAY('Recurring Schedule'!$F$17),DAY(EOMONTH($A225,0))),MOD((YEAR($A225)-YEAR('Recurring Schedule'!$F$17))*12+MONTH($A225)-MONTH('Recurring Schedule'!$F$17),'Recurring Schedule'!$O$17)=0),IF('Recurring Schedule'!$E$17="Weekdays",WEEKDAY($A225,2)&lt;=5,$A225='Recurring Schedule'!$F$17))),12,""))))</f>
        <v/>
      </c>
      <c r="N225">
        <f>IF('Recurring Schedule'!$C$18="","",IF('Recurring Schedule'!$F$18="","",IF(OR($A225&lt;'Recurring Schedule'!$F$18,$A225&gt;'Recurring Schedule'!$P$18),"",IF(IF('Recurring Schedule'!$N$18&gt;0,MOD($A225-'Recurring Schedule'!$F$18,'Recurring Schedule'!$N$18)=0,IF('Recurring Schedule'!$O$18&gt;0,AND(DAY($A225)=MIN(DAY('Recurring Schedule'!$F$18),DAY(EOMONTH($A225,0))),MOD((YEAR($A225)-YEAR('Recurring Schedule'!$F$18))*12+MONTH($A225)-MONTH('Recurring Schedule'!$F$18),'Recurring Schedule'!$O$18)=0),IF('Recurring Schedule'!$E$18="Weekdays",WEEKDAY($A225,2)&lt;=5,$A225='Recurring Schedule'!$F$18))),13,""))))</f>
        <v/>
      </c>
      <c r="O225">
        <f>IF('Recurring Schedule'!$C$19="","",IF('Recurring Schedule'!$F$19="","",IF(OR($A225&lt;'Recurring Schedule'!$F$19,$A225&gt;'Recurring Schedule'!$P$19),"",IF(IF('Recurring Schedule'!$N$19&gt;0,MOD($A225-'Recurring Schedule'!$F$19,'Recurring Schedule'!$N$19)=0,IF('Recurring Schedule'!$O$19&gt;0,AND(DAY($A225)=MIN(DAY('Recurring Schedule'!$F$19),DAY(EOMONTH($A225,0))),MOD((YEAR($A225)-YEAR('Recurring Schedule'!$F$19))*12+MONTH($A225)-MONTH('Recurring Schedule'!$F$19),'Recurring Schedule'!$O$19)=0),IF('Recurring Schedule'!$E$19="Weekdays",WEEKDAY($A225,2)&lt;=5,$A225='Recurring Schedule'!$F$19))),14,""))))</f>
        <v/>
      </c>
      <c r="P225">
        <f>IF('Recurring Schedule'!$C$20="","",IF('Recurring Schedule'!$F$20="","",IF(OR($A225&lt;'Recurring Schedule'!$F$20,$A225&gt;'Recurring Schedule'!$P$20),"",IF(IF('Recurring Schedule'!$N$20&gt;0,MOD($A225-'Recurring Schedule'!$F$20,'Recurring Schedule'!$N$20)=0,IF('Recurring Schedule'!$O$20&gt;0,AND(DAY($A225)=MIN(DAY('Recurring Schedule'!$F$20),DAY(EOMONTH($A225,0))),MOD((YEAR($A225)-YEAR('Recurring Schedule'!$F$20))*12+MONTH($A225)-MONTH('Recurring Schedule'!$F$20),'Recurring Schedule'!$O$20)=0),IF('Recurring Schedule'!$E$20="Weekdays",WEEKDAY($A225,2)&lt;=5,$A225='Recurring Schedule'!$F$20))),15,""))))</f>
        <v/>
      </c>
      <c r="Q225">
        <f>IF('Recurring Schedule'!$C$21="","",IF('Recurring Schedule'!$F$21="","",IF(OR($A225&lt;'Recurring Schedule'!$F$21,$A225&gt;'Recurring Schedule'!$P$21),"",IF(IF('Recurring Schedule'!$N$21&gt;0,MOD($A225-'Recurring Schedule'!$F$21,'Recurring Schedule'!$N$21)=0,IF('Recurring Schedule'!$O$21&gt;0,AND(DAY($A225)=MIN(DAY('Recurring Schedule'!$F$21),DAY(EOMONTH($A225,0))),MOD((YEAR($A225)-YEAR('Recurring Schedule'!$F$21))*12+MONTH($A225)-MONTH('Recurring Schedule'!$F$21),'Recurring Schedule'!$O$21)=0),IF('Recurring Schedule'!$E$21="Weekdays",WEEKDAY($A225,2)&lt;=5,$A225='Recurring Schedule'!$F$21))),16,""))))</f>
        <v/>
      </c>
      <c r="R225">
        <f>IF('Recurring Schedule'!$C$22="","",IF('Recurring Schedule'!$F$22="","",IF(OR($A225&lt;'Recurring Schedule'!$F$22,$A225&gt;'Recurring Schedule'!$P$22),"",IF(IF('Recurring Schedule'!$N$22&gt;0,MOD($A225-'Recurring Schedule'!$F$22,'Recurring Schedule'!$N$22)=0,IF('Recurring Schedule'!$O$22&gt;0,AND(DAY($A225)=MIN(DAY('Recurring Schedule'!$F$22),DAY(EOMONTH($A225,0))),MOD((YEAR($A225)-YEAR('Recurring Schedule'!$F$22))*12+MONTH($A225)-MONTH('Recurring Schedule'!$F$22),'Recurring Schedule'!$O$22)=0),IF('Recurring Schedule'!$E$22="Weekdays",WEEKDAY($A225,2)&lt;=5,$A225='Recurring Schedule'!$F$22))),17,""))))</f>
        <v/>
      </c>
      <c r="S225">
        <f>IF('Recurring Schedule'!$C$23="","",IF('Recurring Schedule'!$F$23="","",IF(OR($A225&lt;'Recurring Schedule'!$F$23,$A225&gt;'Recurring Schedule'!$P$23),"",IF(IF('Recurring Schedule'!$N$23&gt;0,MOD($A225-'Recurring Schedule'!$F$23,'Recurring Schedule'!$N$23)=0,IF('Recurring Schedule'!$O$23&gt;0,AND(DAY($A225)=MIN(DAY('Recurring Schedule'!$F$23),DAY(EOMONTH($A225,0))),MOD((YEAR($A225)-YEAR('Recurring Schedule'!$F$23))*12+MONTH($A225)-MONTH('Recurring Schedule'!$F$23),'Recurring Schedule'!$O$23)=0),IF('Recurring Schedule'!$E$23="Weekdays",WEEKDAY($A225,2)&lt;=5,$A225='Recurring Schedule'!$F$23))),18,""))))</f>
        <v/>
      </c>
      <c r="T225">
        <f>IF('Recurring Schedule'!$C$24="","",IF('Recurring Schedule'!$F$24="","",IF(OR($A225&lt;'Recurring Schedule'!$F$24,$A225&gt;'Recurring Schedule'!$P$24),"",IF(IF('Recurring Schedule'!$N$24&gt;0,MOD($A225-'Recurring Schedule'!$F$24,'Recurring Schedule'!$N$24)=0,IF('Recurring Schedule'!$O$24&gt;0,AND(DAY($A225)=MIN(DAY('Recurring Schedule'!$F$24),DAY(EOMONTH($A225,0))),MOD((YEAR($A225)-YEAR('Recurring Schedule'!$F$24))*12+MONTH($A225)-MONTH('Recurring Schedule'!$F$24),'Recurring Schedule'!$O$24)=0),IF('Recurring Schedule'!$E$24="Weekdays",WEEKDAY($A225,2)&lt;=5,$A225='Recurring Schedule'!$F$24))),19,""))))</f>
        <v/>
      </c>
      <c r="U225">
        <f>IF('Recurring Schedule'!$C$25="","",IF('Recurring Schedule'!$F$25="","",IF(OR($A225&lt;'Recurring Schedule'!$F$25,$A225&gt;'Recurring Schedule'!$P$25),"",IF(IF('Recurring Schedule'!$N$25&gt;0,MOD($A225-'Recurring Schedule'!$F$25,'Recurring Schedule'!$N$25)=0,IF('Recurring Schedule'!$O$25&gt;0,AND(DAY($A225)=MIN(DAY('Recurring Schedule'!$F$25),DAY(EOMONTH($A225,0))),MOD((YEAR($A225)-YEAR('Recurring Schedule'!$F$25))*12+MONTH($A225)-MONTH('Recurring Schedule'!$F$25),'Recurring Schedule'!$O$25)=0),IF('Recurring Schedule'!$E$25="Weekdays",WEEKDAY($A225,2)&lt;=5,$A225='Recurring Schedule'!$F$25))),20,""))))</f>
        <v/>
      </c>
      <c r="V225">
        <f>IF('Recurring Schedule'!$C$26="","",IF('Recurring Schedule'!$F$26="","",IF(OR($A225&lt;'Recurring Schedule'!$F$26,$A225&gt;'Recurring Schedule'!$P$26),"",IF(IF('Recurring Schedule'!$N$26&gt;0,MOD($A225-'Recurring Schedule'!$F$26,'Recurring Schedule'!$N$26)=0,IF('Recurring Schedule'!$O$26&gt;0,AND(DAY($A225)=MIN(DAY('Recurring Schedule'!$F$26),DAY(EOMONTH($A225,0))),MOD((YEAR($A225)-YEAR('Recurring Schedule'!$F$26))*12+MONTH($A225)-MONTH('Recurring Schedule'!$F$26),'Recurring Schedule'!$O$26)=0),IF('Recurring Schedule'!$E$26="Weekdays",WEEKDAY($A225,2)&lt;=5,$A225='Recurring Schedule'!$F$26))),21,""))))</f>
        <v/>
      </c>
      <c r="W225">
        <f>IF('Recurring Schedule'!$C$27="","",IF('Recurring Schedule'!$F$27="","",IF(OR($A225&lt;'Recurring Schedule'!$F$27,$A225&gt;'Recurring Schedule'!$P$27),"",IF(IF('Recurring Schedule'!$N$27&gt;0,MOD($A225-'Recurring Schedule'!$F$27,'Recurring Schedule'!$N$27)=0,IF('Recurring Schedule'!$O$27&gt;0,AND(DAY($A225)=MIN(DAY('Recurring Schedule'!$F$27),DAY(EOMONTH($A225,0))),MOD((YEAR($A225)-YEAR('Recurring Schedule'!$F$27))*12+MONTH($A225)-MONTH('Recurring Schedule'!$F$27),'Recurring Schedule'!$O$27)=0),IF('Recurring Schedule'!$E$27="Weekdays",WEEKDAY($A225,2)&lt;=5,$A225='Recurring Schedule'!$F$27))),22,""))))</f>
        <v/>
      </c>
      <c r="X225">
        <f>IF('Recurring Schedule'!$C$28="","",IF('Recurring Schedule'!$F$28="","",IF(OR($A225&lt;'Recurring Schedule'!$F$28,$A225&gt;'Recurring Schedule'!$P$28),"",IF(IF('Recurring Schedule'!$N$28&gt;0,MOD($A225-'Recurring Schedule'!$F$28,'Recurring Schedule'!$N$28)=0,IF('Recurring Schedule'!$O$28&gt;0,AND(DAY($A225)=MIN(DAY('Recurring Schedule'!$F$28),DAY(EOMONTH($A225,0))),MOD((YEAR($A225)-YEAR('Recurring Schedule'!$F$28))*12+MONTH($A225)-MONTH('Recurring Schedule'!$F$28),'Recurring Schedule'!$O$28)=0),IF('Recurring Schedule'!$E$28="Weekdays",WEEKDAY($A225,2)&lt;=5,$A225='Recurring Schedule'!$F$28))),23,""))))</f>
        <v/>
      </c>
      <c r="Y225">
        <f>IF('Recurring Schedule'!$C$29="","",IF('Recurring Schedule'!$F$29="","",IF(OR($A225&lt;'Recurring Schedule'!$F$29,$A225&gt;'Recurring Schedule'!$P$29),"",IF(IF('Recurring Schedule'!$N$29&gt;0,MOD($A225-'Recurring Schedule'!$F$29,'Recurring Schedule'!$N$29)=0,IF('Recurring Schedule'!$O$29&gt;0,AND(DAY($A225)=MIN(DAY('Recurring Schedule'!$F$29),DAY(EOMONTH($A225,0))),MOD((YEAR($A225)-YEAR('Recurring Schedule'!$F$29))*12+MONTH($A225)-MONTH('Recurring Schedule'!$F$29),'Recurring Schedule'!$O$29)=0),IF('Recurring Schedule'!$E$29="Weekdays",WEEKDAY($A225,2)&lt;=5,$A225='Recurring Schedule'!$F$29))),24,""))))</f>
        <v/>
      </c>
      <c r="Z225">
        <f>IF('Recurring Schedule'!$C$30="","",IF('Recurring Schedule'!$F$30="","",IF(OR($A225&lt;'Recurring Schedule'!$F$30,$A225&gt;'Recurring Schedule'!$P$30),"",IF(IF('Recurring Schedule'!$N$30&gt;0,MOD($A225-'Recurring Schedule'!$F$30,'Recurring Schedule'!$N$30)=0,IF('Recurring Schedule'!$O$30&gt;0,AND(DAY($A225)=MIN(DAY('Recurring Schedule'!$F$30),DAY(EOMONTH($A225,0))),MOD((YEAR($A225)-YEAR('Recurring Schedule'!$F$30))*12+MONTH($A225)-MONTH('Recurring Schedule'!$F$30),'Recurring Schedule'!$O$30)=0),IF('Recurring Schedule'!$E$30="Weekdays",WEEKDAY($A225,2)&lt;=5,$A225='Recurring Schedule'!$F$30))),25,""))))</f>
        <v/>
      </c>
      <c r="AA225">
        <f>IF('Recurring Schedule'!$C$31="","",IF('Recurring Schedule'!$F$31="","",IF(OR($A225&lt;'Recurring Schedule'!$F$31,$A225&gt;'Recurring Schedule'!$P$31),"",IF(IF('Recurring Schedule'!$N$31&gt;0,MOD($A225-'Recurring Schedule'!$F$31,'Recurring Schedule'!$N$31)=0,IF('Recurring Schedule'!$O$31&gt;0,AND(DAY($A225)=MIN(DAY('Recurring Schedule'!$F$31),DAY(EOMONTH($A225,0))),MOD((YEAR($A225)-YEAR('Recurring Schedule'!$F$31))*12+MONTH($A225)-MONTH('Recurring Schedule'!$F$31),'Recurring Schedule'!$O$31)=0),IF('Recurring Schedule'!$E$31="Weekdays",WEEKDAY($A225,2)&lt;=5,$A225='Recurring Schedule'!$F$31))),26,""))))</f>
        <v/>
      </c>
      <c r="AB225">
        <f>IF('Recurring Schedule'!$C$32="","",IF('Recurring Schedule'!$F$32="","",IF(OR($A225&lt;'Recurring Schedule'!$F$32,$A225&gt;'Recurring Schedule'!$P$32),"",IF(IF('Recurring Schedule'!$N$32&gt;0,MOD($A225-'Recurring Schedule'!$F$32,'Recurring Schedule'!$N$32)=0,IF('Recurring Schedule'!$O$32&gt;0,AND(DAY($A225)=MIN(DAY('Recurring Schedule'!$F$32),DAY(EOMONTH($A225,0))),MOD((YEAR($A225)-YEAR('Recurring Schedule'!$F$32))*12+MONTH($A225)-MONTH('Recurring Schedule'!$F$32),'Recurring Schedule'!$O$32)=0),IF('Recurring Schedule'!$E$32="Weekdays",WEEKDAY($A225,2)&lt;=5,$A225='Recurring Schedule'!$F$32))),27,""))))</f>
        <v/>
      </c>
      <c r="AC225">
        <f>IF('Recurring Schedule'!$C$33="","",IF('Recurring Schedule'!$F$33="","",IF(OR($A225&lt;'Recurring Schedule'!$F$33,$A225&gt;'Recurring Schedule'!$P$33),"",IF(IF('Recurring Schedule'!$N$33&gt;0,MOD($A225-'Recurring Schedule'!$F$33,'Recurring Schedule'!$N$33)=0,IF('Recurring Schedule'!$O$33&gt;0,AND(DAY($A225)=MIN(DAY('Recurring Schedule'!$F$33),DAY(EOMONTH($A225,0))),MOD((YEAR($A225)-YEAR('Recurring Schedule'!$F$33))*12+MONTH($A225)-MONTH('Recurring Schedule'!$F$33),'Recurring Schedule'!$O$33)=0),IF('Recurring Schedule'!$E$33="Weekdays",WEEKDAY($A225,2)&lt;=5,$A225='Recurring Schedule'!$F$33))),28,""))))</f>
        <v/>
      </c>
      <c r="AD225">
        <f>IF('Recurring Schedule'!$C$34="","",IF('Recurring Schedule'!$F$34="","",IF(OR($A225&lt;'Recurring Schedule'!$F$34,$A225&gt;'Recurring Schedule'!$P$34),"",IF(IF('Recurring Schedule'!$N$34&gt;0,MOD($A225-'Recurring Schedule'!$F$34,'Recurring Schedule'!$N$34)=0,IF('Recurring Schedule'!$O$34&gt;0,AND(DAY($A225)=MIN(DAY('Recurring Schedule'!$F$34),DAY(EOMONTH($A225,0))),MOD((YEAR($A225)-YEAR('Recurring Schedule'!$F$34))*12+MONTH($A225)-MONTH('Recurring Schedule'!$F$34),'Recurring Schedule'!$O$34)=0),IF('Recurring Schedule'!$E$34="Weekdays",WEEKDAY($A225,2)&lt;=5,$A225='Recurring Schedule'!$F$34))),29,""))))</f>
        <v/>
      </c>
      <c r="AE225">
        <f>IF('Recurring Schedule'!$C$35="","",IF('Recurring Schedule'!$F$35="","",IF(OR($A225&lt;'Recurring Schedule'!$F$35,$A225&gt;'Recurring Schedule'!$P$35),"",IF(IF('Recurring Schedule'!$N$35&gt;0,MOD($A225-'Recurring Schedule'!$F$35,'Recurring Schedule'!$N$35)=0,IF('Recurring Schedule'!$O$35&gt;0,AND(DAY($A225)=MIN(DAY('Recurring Schedule'!$F$35),DAY(EOMONTH($A225,0))),MOD((YEAR($A225)-YEAR('Recurring Schedule'!$F$35))*12+MONTH($A225)-MONTH('Recurring Schedule'!$F$35),'Recurring Schedule'!$O$35)=0),IF('Recurring Schedule'!$E$35="Weekdays",WEEKDAY($A225,2)&lt;=5,$A225='Recurring Schedule'!$F$35))),30,""))))</f>
        <v/>
      </c>
      <c r="AF225">
        <f>IF('Recurring Schedule'!$C$36="","",IF('Recurring Schedule'!$F$36="","",IF(OR($A225&lt;'Recurring Schedule'!$F$36,$A225&gt;'Recurring Schedule'!$P$36),"",IF(IF('Recurring Schedule'!$N$36&gt;0,MOD($A225-'Recurring Schedule'!$F$36,'Recurring Schedule'!$N$36)=0,IF('Recurring Schedule'!$O$36&gt;0,AND(DAY($A225)=MIN(DAY('Recurring Schedule'!$F$36),DAY(EOMONTH($A225,0))),MOD((YEAR($A225)-YEAR('Recurring Schedule'!$F$36))*12+MONTH($A225)-MONTH('Recurring Schedule'!$F$36),'Recurring Schedule'!$O$36)=0),IF('Recurring Schedule'!$E$36="Weekdays",WEEKDAY($A225,2)&lt;=5,$A225='Recurring Schedule'!$F$36))),31,""))))</f>
        <v/>
      </c>
      <c r="AG225">
        <f>IF('Recurring Schedule'!$C$37="","",IF('Recurring Schedule'!$F$37="","",IF(OR($A225&lt;'Recurring Schedule'!$F$37,$A225&gt;'Recurring Schedule'!$P$37),"",IF(IF('Recurring Schedule'!$N$37&gt;0,MOD($A225-'Recurring Schedule'!$F$37,'Recurring Schedule'!$N$37)=0,IF('Recurring Schedule'!$O$37&gt;0,AND(DAY($A225)=MIN(DAY('Recurring Schedule'!$F$37),DAY(EOMONTH($A225,0))),MOD((YEAR($A225)-YEAR('Recurring Schedule'!$F$37))*12+MONTH($A225)-MONTH('Recurring Schedule'!$F$37),'Recurring Schedule'!$O$37)=0),IF('Recurring Schedule'!$E$37="Weekdays",WEEKDAY($A225,2)&lt;=5,$A225='Recurring Schedule'!$F$37))),32,""))))</f>
        <v/>
      </c>
      <c r="AH225">
        <f>IF('Recurring Schedule'!$C$38="","",IF('Recurring Schedule'!$F$38="","",IF(OR($A225&lt;'Recurring Schedule'!$F$38,$A225&gt;'Recurring Schedule'!$P$38),"",IF(IF('Recurring Schedule'!$N$38&gt;0,MOD($A225-'Recurring Schedule'!$F$38,'Recurring Schedule'!$N$38)=0,IF('Recurring Schedule'!$O$38&gt;0,AND(DAY($A225)=MIN(DAY('Recurring Schedule'!$F$38),DAY(EOMONTH($A225,0))),MOD((YEAR($A225)-YEAR('Recurring Schedule'!$F$38))*12+MONTH($A225)-MONTH('Recurring Schedule'!$F$38),'Recurring Schedule'!$O$38)=0),IF('Recurring Schedule'!$E$38="Weekdays",WEEKDAY($A225,2)&lt;=5,$A225='Recurring Schedule'!$F$38))),33,""))))</f>
        <v/>
      </c>
      <c r="AI225">
        <f>IF('Recurring Schedule'!$C$39="","",IF('Recurring Schedule'!$F$39="","",IF(OR($A225&lt;'Recurring Schedule'!$F$39,$A225&gt;'Recurring Schedule'!$P$39),"",IF(IF('Recurring Schedule'!$N$39&gt;0,MOD($A225-'Recurring Schedule'!$F$39,'Recurring Schedule'!$N$39)=0,IF('Recurring Schedule'!$O$39&gt;0,AND(DAY($A225)=MIN(DAY('Recurring Schedule'!$F$39),DAY(EOMONTH($A225,0))),MOD((YEAR($A225)-YEAR('Recurring Schedule'!$F$39))*12+MONTH($A225)-MONTH('Recurring Schedule'!$F$39),'Recurring Schedule'!$O$39)=0),IF('Recurring Schedule'!$E$39="Weekdays",WEEKDAY($A225,2)&lt;=5,$A225='Recurring Schedule'!$F$39))),34,""))))</f>
        <v/>
      </c>
      <c r="AJ225">
        <f>IF('Recurring Schedule'!$C$40="","",IF('Recurring Schedule'!$F$40="","",IF(OR($A225&lt;'Recurring Schedule'!$F$40,$A225&gt;'Recurring Schedule'!$P$40),"",IF(IF('Recurring Schedule'!$N$40&gt;0,MOD($A225-'Recurring Schedule'!$F$40,'Recurring Schedule'!$N$40)=0,IF('Recurring Schedule'!$O$40&gt;0,AND(DAY($A225)=MIN(DAY('Recurring Schedule'!$F$40),DAY(EOMONTH($A225,0))),MOD((YEAR($A225)-YEAR('Recurring Schedule'!$F$40))*12+MONTH($A225)-MONTH('Recurring Schedule'!$F$40),'Recurring Schedule'!$O$40)=0),IF('Recurring Schedule'!$E$40="Weekdays",WEEKDAY($A225,2)&lt;=5,$A225='Recurring Schedule'!$F$40))),35,""))))</f>
        <v/>
      </c>
      <c r="AK225">
        <f>IF('Recurring Schedule'!$C$41="","",IF('Recurring Schedule'!$F$41="","",IF(OR($A225&lt;'Recurring Schedule'!$F$41,$A225&gt;'Recurring Schedule'!$P$41),"",IF(IF('Recurring Schedule'!$N$41&gt;0,MOD($A225-'Recurring Schedule'!$F$41,'Recurring Schedule'!$N$41)=0,IF('Recurring Schedule'!$O$41&gt;0,AND(DAY($A225)=MIN(DAY('Recurring Schedule'!$F$41),DAY(EOMONTH($A225,0))),MOD((YEAR($A225)-YEAR('Recurring Schedule'!$F$41))*12+MONTH($A225)-MONTH('Recurring Schedule'!$F$41),'Recurring Schedule'!$O$41)=0),IF('Recurring Schedule'!$E$41="Weekdays",WEEKDAY($A225,2)&lt;=5,$A225='Recurring Schedule'!$F$41))),36,""))))</f>
        <v/>
      </c>
      <c r="AL225">
        <f>IF('Recurring Schedule'!$C$42="","",IF('Recurring Schedule'!$F$42="","",IF(OR($A225&lt;'Recurring Schedule'!$F$42,$A225&gt;'Recurring Schedule'!$P$42),"",IF(IF('Recurring Schedule'!$N$42&gt;0,MOD($A225-'Recurring Schedule'!$F$42,'Recurring Schedule'!$N$42)=0,IF('Recurring Schedule'!$O$42&gt;0,AND(DAY($A225)=MIN(DAY('Recurring Schedule'!$F$42),DAY(EOMONTH($A225,0))),MOD((YEAR($A225)-YEAR('Recurring Schedule'!$F$42))*12+MONTH($A225)-MONTH('Recurring Schedule'!$F$42),'Recurring Schedule'!$O$42)=0),IF('Recurring Schedule'!$E$42="Weekdays",WEEKDAY($A225,2)&lt;=5,$A225='Recurring Schedule'!$F$42))),37,""))))</f>
        <v/>
      </c>
      <c r="AM225">
        <f>IF('Recurring Schedule'!$C$43="","",IF('Recurring Schedule'!$F$43="","",IF(OR($A225&lt;'Recurring Schedule'!$F$43,$A225&gt;'Recurring Schedule'!$P$43),"",IF(IF('Recurring Schedule'!$N$43&gt;0,MOD($A225-'Recurring Schedule'!$F$43,'Recurring Schedule'!$N$43)=0,IF('Recurring Schedule'!$O$43&gt;0,AND(DAY($A225)=MIN(DAY('Recurring Schedule'!$F$43),DAY(EOMONTH($A225,0))),MOD((YEAR($A225)-YEAR('Recurring Schedule'!$F$43))*12+MONTH($A225)-MONTH('Recurring Schedule'!$F$43),'Recurring Schedule'!$O$43)=0),IF('Recurring Schedule'!$E$43="Weekdays",WEEKDAY($A225,2)&lt;=5,$A225='Recurring Schedule'!$F$43))),38,""))))</f>
        <v/>
      </c>
      <c r="AN225">
        <f>IF('Recurring Schedule'!$C$44="","",IF('Recurring Schedule'!$F$44="","",IF(OR($A225&lt;'Recurring Schedule'!$F$44,$A225&gt;'Recurring Schedule'!$P$44),"",IF(IF('Recurring Schedule'!$N$44&gt;0,MOD($A225-'Recurring Schedule'!$F$44,'Recurring Schedule'!$N$44)=0,IF('Recurring Schedule'!$O$44&gt;0,AND(DAY($A225)=MIN(DAY('Recurring Schedule'!$F$44),DAY(EOMONTH($A225,0))),MOD((YEAR($A225)-YEAR('Recurring Schedule'!$F$44))*12+MONTH($A225)-MONTH('Recurring Schedule'!$F$44),'Recurring Schedule'!$O$44)=0),IF('Recurring Schedule'!$E$44="Weekdays",WEEKDAY($A225,2)&lt;=5,$A225='Recurring Schedule'!$F$44))),39,""))))</f>
        <v/>
      </c>
      <c r="AO225">
        <f>IF('Recurring Schedule'!$C$45="","",IF('Recurring Schedule'!$F$45="","",IF(OR($A225&lt;'Recurring Schedule'!$F$45,$A225&gt;'Recurring Schedule'!$P$45),"",IF(IF('Recurring Schedule'!$N$45&gt;0,MOD($A225-'Recurring Schedule'!$F$45,'Recurring Schedule'!$N$45)=0,IF('Recurring Schedule'!$O$45&gt;0,AND(DAY($A225)=MIN(DAY('Recurring Schedule'!$F$45),DAY(EOMONTH($A225,0))),MOD((YEAR($A225)-YEAR('Recurring Schedule'!$F$45))*12+MONTH($A225)-MONTH('Recurring Schedule'!$F$45),'Recurring Schedule'!$O$45)=0),IF('Recurring Schedule'!$E$45="Weekdays",WEEKDAY($A225,2)&lt;=5,$A225='Recurring Schedule'!$F$45))),40,""))))</f>
        <v/>
      </c>
      <c r="AP225">
        <f>COUNT(B225:AO225)</f>
        <v/>
      </c>
      <c r="AQ225">
        <f>AQ224+AP224</f>
        <v/>
      </c>
      <c r="AS225" t="inlineStr">
        <is>
          <t>R</t>
        </is>
      </c>
      <c r="AT225" t="n">
        <v>229</v>
      </c>
      <c r="AU225">
        <f>'Recurring Log'!C229&amp;""</f>
        <v/>
      </c>
      <c r="AV225">
        <f>'Recurring Log'!D229&amp;""</f>
        <v/>
      </c>
      <c r="AW225">
        <f>IF('Recurring Log'!E229="","",'Recurring Log'!E229)</f>
        <v/>
      </c>
      <c r="AX225">
        <f>IF('Recurring Log'!G229="","",'Recurring Log'!G229)</f>
        <v/>
      </c>
      <c r="AY225">
        <f>IF('Recurring Log'!H229="","",'Recurring Log'!H229)</f>
        <v/>
      </c>
      <c r="AZ225">
        <f>IF(AU225="","",IF('Recurring Log'!J229="","Not Started",'Recurring Log'!J229))</f>
        <v/>
      </c>
      <c r="BA225">
        <f>'Recurring Log'!L229&amp;""</f>
        <v/>
      </c>
      <c r="BB225">
        <f>'Recurring Log'!M229&amp;""</f>
        <v/>
      </c>
      <c r="BC225">
        <f>'Recurring Log'!N229&amp;""</f>
        <v/>
      </c>
      <c r="BD225">
        <f>'Recurring Log'!O229&amp;""</f>
        <v/>
      </c>
      <c r="BE225">
        <f>IF('Recurring Log'!K229="","",'Recurring Log'!K229)</f>
        <v/>
      </c>
      <c r="BF225">
        <f>IFERROR(MATCH(BA225,Setup!$L$6:$L$9,0),5)</f>
        <v/>
      </c>
      <c r="BG225">
        <f>IF(OR(AZ225="Done",AZ225="Cancelled"),1,0)</f>
        <v/>
      </c>
      <c r="BH225">
        <f>IF(AND(AU225&lt;&gt;"",ISNUMBER(AW225)),1,0)</f>
        <v/>
      </c>
      <c r="BI225">
        <f>IF(BH225=0,0,IF(AND(AW225&gt;='Tasks Filter'!$F$3,AW225&lt;='Tasks Filter'!$F$4,OR('Tasks Filter'!$I$3="",ISNUMBER(SEARCH('Tasks Filter'!$I$3,AU225))),OR('Tasks Filter'!$I$4="",BF225=IFERROR(MATCH('Tasks Filter'!$I$4,Setup!$L$6:$L$9,0),0)),OR('Tasks Filter'!$I$5="Both",AND('Tasks Filter'!$I$5="Yes",BB225="✓"),AND('Tasks Filter'!$I$5="No",BB225&lt;&gt;"✓")),OR('Tasks Filter'!$L$3="",AV225='Tasks Filter'!$L$3),OR('Tasks Filter'!$L$4="",AZ225='Tasks Filter'!$L$4),OR('Tasks Filter'!$L$5="",BC225='Tasks Filter'!$L$5),OR('Tasks Filter'!$O$3="",BD225='Tasks Filter'!$O$3),OR('Tasks Filter'!$O$4="Yes",BG225=0)),1,0))</f>
        <v/>
      </c>
      <c r="BJ225">
        <f>IF(BH225=0,"",IF('Tasks Filter'!$F$6="Descending",-1,1)*CHOOSE(MATCH('Tasks Filter'!$F$5,Lists!$G$2:$G$6,0),AW225,BF225,IFERROR(MATCH(AV225,Setup!$F$6:$F$15,0),99),IFERROR(MATCH(BC225,Setup!$H$6:$H$15,0),99),IFERROR(MATCH(AZ225,Setup!$J$6:$J$11,0),99))*1E+9+(AW225-40000)*10000+224)</f>
        <v/>
      </c>
      <c r="BK225">
        <f>IF(BI225=1,BJ225,"")</f>
        <v/>
      </c>
      <c r="BL225">
        <f>IF(AND(BH225=1,BG225=0,N(AW225)&lt;Setup!$D$7),(AW225-40000)*10000+224,"")</f>
        <v/>
      </c>
      <c r="BM225">
        <f>IF(AND(BH225=1,AZ225&lt;&gt;"Cancelled",N(AW225)&gt;=Dashboard!$AB$3,N(AW225)&lt;=Dashboard!$AB$3+6),(AW225-40000)*100000+BF225*10000+224,"")</f>
        <v/>
      </c>
      <c r="BN225">
        <f>IF(AND(BH225=1,AZ225&lt;&gt;"Cancelled"),BF225*10000+224,"")</f>
        <v/>
      </c>
    </row>
    <row r="226">
      <c r="A226">
        <f>Setup!$D$5+224</f>
        <v/>
      </c>
      <c r="B226">
        <f>IF('Recurring Schedule'!$C$6="","",IF('Recurring Schedule'!$F$6="","",IF(OR($A226&lt;'Recurring Schedule'!$F$6,$A226&gt;'Recurring Schedule'!$P$6),"",IF(IF('Recurring Schedule'!$N$6&gt;0,MOD($A226-'Recurring Schedule'!$F$6,'Recurring Schedule'!$N$6)=0,IF('Recurring Schedule'!$O$6&gt;0,AND(DAY($A226)=MIN(DAY('Recurring Schedule'!$F$6),DAY(EOMONTH($A226,0))),MOD((YEAR($A226)-YEAR('Recurring Schedule'!$F$6))*12+MONTH($A226)-MONTH('Recurring Schedule'!$F$6),'Recurring Schedule'!$O$6)=0),IF('Recurring Schedule'!$E$6="Weekdays",WEEKDAY($A226,2)&lt;=5,$A226='Recurring Schedule'!$F$6))),1,""))))</f>
        <v/>
      </c>
      <c r="C226">
        <f>IF('Recurring Schedule'!$C$7="","",IF('Recurring Schedule'!$F$7="","",IF(OR($A226&lt;'Recurring Schedule'!$F$7,$A226&gt;'Recurring Schedule'!$P$7),"",IF(IF('Recurring Schedule'!$N$7&gt;0,MOD($A226-'Recurring Schedule'!$F$7,'Recurring Schedule'!$N$7)=0,IF('Recurring Schedule'!$O$7&gt;0,AND(DAY($A226)=MIN(DAY('Recurring Schedule'!$F$7),DAY(EOMONTH($A226,0))),MOD((YEAR($A226)-YEAR('Recurring Schedule'!$F$7))*12+MONTH($A226)-MONTH('Recurring Schedule'!$F$7),'Recurring Schedule'!$O$7)=0),IF('Recurring Schedule'!$E$7="Weekdays",WEEKDAY($A226,2)&lt;=5,$A226='Recurring Schedule'!$F$7))),2,""))))</f>
        <v/>
      </c>
      <c r="D226">
        <f>IF('Recurring Schedule'!$C$8="","",IF('Recurring Schedule'!$F$8="","",IF(OR($A226&lt;'Recurring Schedule'!$F$8,$A226&gt;'Recurring Schedule'!$P$8),"",IF(IF('Recurring Schedule'!$N$8&gt;0,MOD($A226-'Recurring Schedule'!$F$8,'Recurring Schedule'!$N$8)=0,IF('Recurring Schedule'!$O$8&gt;0,AND(DAY($A226)=MIN(DAY('Recurring Schedule'!$F$8),DAY(EOMONTH($A226,0))),MOD((YEAR($A226)-YEAR('Recurring Schedule'!$F$8))*12+MONTH($A226)-MONTH('Recurring Schedule'!$F$8),'Recurring Schedule'!$O$8)=0),IF('Recurring Schedule'!$E$8="Weekdays",WEEKDAY($A226,2)&lt;=5,$A226='Recurring Schedule'!$F$8))),3,""))))</f>
        <v/>
      </c>
      <c r="E226">
        <f>IF('Recurring Schedule'!$C$9="","",IF('Recurring Schedule'!$F$9="","",IF(OR($A226&lt;'Recurring Schedule'!$F$9,$A226&gt;'Recurring Schedule'!$P$9),"",IF(IF('Recurring Schedule'!$N$9&gt;0,MOD($A226-'Recurring Schedule'!$F$9,'Recurring Schedule'!$N$9)=0,IF('Recurring Schedule'!$O$9&gt;0,AND(DAY($A226)=MIN(DAY('Recurring Schedule'!$F$9),DAY(EOMONTH($A226,0))),MOD((YEAR($A226)-YEAR('Recurring Schedule'!$F$9))*12+MONTH($A226)-MONTH('Recurring Schedule'!$F$9),'Recurring Schedule'!$O$9)=0),IF('Recurring Schedule'!$E$9="Weekdays",WEEKDAY($A226,2)&lt;=5,$A226='Recurring Schedule'!$F$9))),4,""))))</f>
        <v/>
      </c>
      <c r="F226">
        <f>IF('Recurring Schedule'!$C$10="","",IF('Recurring Schedule'!$F$10="","",IF(OR($A226&lt;'Recurring Schedule'!$F$10,$A226&gt;'Recurring Schedule'!$P$10),"",IF(IF('Recurring Schedule'!$N$10&gt;0,MOD($A226-'Recurring Schedule'!$F$10,'Recurring Schedule'!$N$10)=0,IF('Recurring Schedule'!$O$10&gt;0,AND(DAY($A226)=MIN(DAY('Recurring Schedule'!$F$10),DAY(EOMONTH($A226,0))),MOD((YEAR($A226)-YEAR('Recurring Schedule'!$F$10))*12+MONTH($A226)-MONTH('Recurring Schedule'!$F$10),'Recurring Schedule'!$O$10)=0),IF('Recurring Schedule'!$E$10="Weekdays",WEEKDAY($A226,2)&lt;=5,$A226='Recurring Schedule'!$F$10))),5,""))))</f>
        <v/>
      </c>
      <c r="G226">
        <f>IF('Recurring Schedule'!$C$11="","",IF('Recurring Schedule'!$F$11="","",IF(OR($A226&lt;'Recurring Schedule'!$F$11,$A226&gt;'Recurring Schedule'!$P$11),"",IF(IF('Recurring Schedule'!$N$11&gt;0,MOD($A226-'Recurring Schedule'!$F$11,'Recurring Schedule'!$N$11)=0,IF('Recurring Schedule'!$O$11&gt;0,AND(DAY($A226)=MIN(DAY('Recurring Schedule'!$F$11),DAY(EOMONTH($A226,0))),MOD((YEAR($A226)-YEAR('Recurring Schedule'!$F$11))*12+MONTH($A226)-MONTH('Recurring Schedule'!$F$11),'Recurring Schedule'!$O$11)=0),IF('Recurring Schedule'!$E$11="Weekdays",WEEKDAY($A226,2)&lt;=5,$A226='Recurring Schedule'!$F$11))),6,""))))</f>
        <v/>
      </c>
      <c r="H226">
        <f>IF('Recurring Schedule'!$C$12="","",IF('Recurring Schedule'!$F$12="","",IF(OR($A226&lt;'Recurring Schedule'!$F$12,$A226&gt;'Recurring Schedule'!$P$12),"",IF(IF('Recurring Schedule'!$N$12&gt;0,MOD($A226-'Recurring Schedule'!$F$12,'Recurring Schedule'!$N$12)=0,IF('Recurring Schedule'!$O$12&gt;0,AND(DAY($A226)=MIN(DAY('Recurring Schedule'!$F$12),DAY(EOMONTH($A226,0))),MOD((YEAR($A226)-YEAR('Recurring Schedule'!$F$12))*12+MONTH($A226)-MONTH('Recurring Schedule'!$F$12),'Recurring Schedule'!$O$12)=0),IF('Recurring Schedule'!$E$12="Weekdays",WEEKDAY($A226,2)&lt;=5,$A226='Recurring Schedule'!$F$12))),7,""))))</f>
        <v/>
      </c>
      <c r="I226">
        <f>IF('Recurring Schedule'!$C$13="","",IF('Recurring Schedule'!$F$13="","",IF(OR($A226&lt;'Recurring Schedule'!$F$13,$A226&gt;'Recurring Schedule'!$P$13),"",IF(IF('Recurring Schedule'!$N$13&gt;0,MOD($A226-'Recurring Schedule'!$F$13,'Recurring Schedule'!$N$13)=0,IF('Recurring Schedule'!$O$13&gt;0,AND(DAY($A226)=MIN(DAY('Recurring Schedule'!$F$13),DAY(EOMONTH($A226,0))),MOD((YEAR($A226)-YEAR('Recurring Schedule'!$F$13))*12+MONTH($A226)-MONTH('Recurring Schedule'!$F$13),'Recurring Schedule'!$O$13)=0),IF('Recurring Schedule'!$E$13="Weekdays",WEEKDAY($A226,2)&lt;=5,$A226='Recurring Schedule'!$F$13))),8,""))))</f>
        <v/>
      </c>
      <c r="J226">
        <f>IF('Recurring Schedule'!$C$14="","",IF('Recurring Schedule'!$F$14="","",IF(OR($A226&lt;'Recurring Schedule'!$F$14,$A226&gt;'Recurring Schedule'!$P$14),"",IF(IF('Recurring Schedule'!$N$14&gt;0,MOD($A226-'Recurring Schedule'!$F$14,'Recurring Schedule'!$N$14)=0,IF('Recurring Schedule'!$O$14&gt;0,AND(DAY($A226)=MIN(DAY('Recurring Schedule'!$F$14),DAY(EOMONTH($A226,0))),MOD((YEAR($A226)-YEAR('Recurring Schedule'!$F$14))*12+MONTH($A226)-MONTH('Recurring Schedule'!$F$14),'Recurring Schedule'!$O$14)=0),IF('Recurring Schedule'!$E$14="Weekdays",WEEKDAY($A226,2)&lt;=5,$A226='Recurring Schedule'!$F$14))),9,""))))</f>
        <v/>
      </c>
      <c r="K226">
        <f>IF('Recurring Schedule'!$C$15="","",IF('Recurring Schedule'!$F$15="","",IF(OR($A226&lt;'Recurring Schedule'!$F$15,$A226&gt;'Recurring Schedule'!$P$15),"",IF(IF('Recurring Schedule'!$N$15&gt;0,MOD($A226-'Recurring Schedule'!$F$15,'Recurring Schedule'!$N$15)=0,IF('Recurring Schedule'!$O$15&gt;0,AND(DAY($A226)=MIN(DAY('Recurring Schedule'!$F$15),DAY(EOMONTH($A226,0))),MOD((YEAR($A226)-YEAR('Recurring Schedule'!$F$15))*12+MONTH($A226)-MONTH('Recurring Schedule'!$F$15),'Recurring Schedule'!$O$15)=0),IF('Recurring Schedule'!$E$15="Weekdays",WEEKDAY($A226,2)&lt;=5,$A226='Recurring Schedule'!$F$15))),10,""))))</f>
        <v/>
      </c>
      <c r="L226">
        <f>IF('Recurring Schedule'!$C$16="","",IF('Recurring Schedule'!$F$16="","",IF(OR($A226&lt;'Recurring Schedule'!$F$16,$A226&gt;'Recurring Schedule'!$P$16),"",IF(IF('Recurring Schedule'!$N$16&gt;0,MOD($A226-'Recurring Schedule'!$F$16,'Recurring Schedule'!$N$16)=0,IF('Recurring Schedule'!$O$16&gt;0,AND(DAY($A226)=MIN(DAY('Recurring Schedule'!$F$16),DAY(EOMONTH($A226,0))),MOD((YEAR($A226)-YEAR('Recurring Schedule'!$F$16))*12+MONTH($A226)-MONTH('Recurring Schedule'!$F$16),'Recurring Schedule'!$O$16)=0),IF('Recurring Schedule'!$E$16="Weekdays",WEEKDAY($A226,2)&lt;=5,$A226='Recurring Schedule'!$F$16))),11,""))))</f>
        <v/>
      </c>
      <c r="M226">
        <f>IF('Recurring Schedule'!$C$17="","",IF('Recurring Schedule'!$F$17="","",IF(OR($A226&lt;'Recurring Schedule'!$F$17,$A226&gt;'Recurring Schedule'!$P$17),"",IF(IF('Recurring Schedule'!$N$17&gt;0,MOD($A226-'Recurring Schedule'!$F$17,'Recurring Schedule'!$N$17)=0,IF('Recurring Schedule'!$O$17&gt;0,AND(DAY($A226)=MIN(DAY('Recurring Schedule'!$F$17),DAY(EOMONTH($A226,0))),MOD((YEAR($A226)-YEAR('Recurring Schedule'!$F$17))*12+MONTH($A226)-MONTH('Recurring Schedule'!$F$17),'Recurring Schedule'!$O$17)=0),IF('Recurring Schedule'!$E$17="Weekdays",WEEKDAY($A226,2)&lt;=5,$A226='Recurring Schedule'!$F$17))),12,""))))</f>
        <v/>
      </c>
      <c r="N226">
        <f>IF('Recurring Schedule'!$C$18="","",IF('Recurring Schedule'!$F$18="","",IF(OR($A226&lt;'Recurring Schedule'!$F$18,$A226&gt;'Recurring Schedule'!$P$18),"",IF(IF('Recurring Schedule'!$N$18&gt;0,MOD($A226-'Recurring Schedule'!$F$18,'Recurring Schedule'!$N$18)=0,IF('Recurring Schedule'!$O$18&gt;0,AND(DAY($A226)=MIN(DAY('Recurring Schedule'!$F$18),DAY(EOMONTH($A226,0))),MOD((YEAR($A226)-YEAR('Recurring Schedule'!$F$18))*12+MONTH($A226)-MONTH('Recurring Schedule'!$F$18),'Recurring Schedule'!$O$18)=0),IF('Recurring Schedule'!$E$18="Weekdays",WEEKDAY($A226,2)&lt;=5,$A226='Recurring Schedule'!$F$18))),13,""))))</f>
        <v/>
      </c>
      <c r="O226">
        <f>IF('Recurring Schedule'!$C$19="","",IF('Recurring Schedule'!$F$19="","",IF(OR($A226&lt;'Recurring Schedule'!$F$19,$A226&gt;'Recurring Schedule'!$P$19),"",IF(IF('Recurring Schedule'!$N$19&gt;0,MOD($A226-'Recurring Schedule'!$F$19,'Recurring Schedule'!$N$19)=0,IF('Recurring Schedule'!$O$19&gt;0,AND(DAY($A226)=MIN(DAY('Recurring Schedule'!$F$19),DAY(EOMONTH($A226,0))),MOD((YEAR($A226)-YEAR('Recurring Schedule'!$F$19))*12+MONTH($A226)-MONTH('Recurring Schedule'!$F$19),'Recurring Schedule'!$O$19)=0),IF('Recurring Schedule'!$E$19="Weekdays",WEEKDAY($A226,2)&lt;=5,$A226='Recurring Schedule'!$F$19))),14,""))))</f>
        <v/>
      </c>
      <c r="P226">
        <f>IF('Recurring Schedule'!$C$20="","",IF('Recurring Schedule'!$F$20="","",IF(OR($A226&lt;'Recurring Schedule'!$F$20,$A226&gt;'Recurring Schedule'!$P$20),"",IF(IF('Recurring Schedule'!$N$20&gt;0,MOD($A226-'Recurring Schedule'!$F$20,'Recurring Schedule'!$N$20)=0,IF('Recurring Schedule'!$O$20&gt;0,AND(DAY($A226)=MIN(DAY('Recurring Schedule'!$F$20),DAY(EOMONTH($A226,0))),MOD((YEAR($A226)-YEAR('Recurring Schedule'!$F$20))*12+MONTH($A226)-MONTH('Recurring Schedule'!$F$20),'Recurring Schedule'!$O$20)=0),IF('Recurring Schedule'!$E$20="Weekdays",WEEKDAY($A226,2)&lt;=5,$A226='Recurring Schedule'!$F$20))),15,""))))</f>
        <v/>
      </c>
      <c r="Q226">
        <f>IF('Recurring Schedule'!$C$21="","",IF('Recurring Schedule'!$F$21="","",IF(OR($A226&lt;'Recurring Schedule'!$F$21,$A226&gt;'Recurring Schedule'!$P$21),"",IF(IF('Recurring Schedule'!$N$21&gt;0,MOD($A226-'Recurring Schedule'!$F$21,'Recurring Schedule'!$N$21)=0,IF('Recurring Schedule'!$O$21&gt;0,AND(DAY($A226)=MIN(DAY('Recurring Schedule'!$F$21),DAY(EOMONTH($A226,0))),MOD((YEAR($A226)-YEAR('Recurring Schedule'!$F$21))*12+MONTH($A226)-MONTH('Recurring Schedule'!$F$21),'Recurring Schedule'!$O$21)=0),IF('Recurring Schedule'!$E$21="Weekdays",WEEKDAY($A226,2)&lt;=5,$A226='Recurring Schedule'!$F$21))),16,""))))</f>
        <v/>
      </c>
      <c r="R226">
        <f>IF('Recurring Schedule'!$C$22="","",IF('Recurring Schedule'!$F$22="","",IF(OR($A226&lt;'Recurring Schedule'!$F$22,$A226&gt;'Recurring Schedule'!$P$22),"",IF(IF('Recurring Schedule'!$N$22&gt;0,MOD($A226-'Recurring Schedule'!$F$22,'Recurring Schedule'!$N$22)=0,IF('Recurring Schedule'!$O$22&gt;0,AND(DAY($A226)=MIN(DAY('Recurring Schedule'!$F$22),DAY(EOMONTH($A226,0))),MOD((YEAR($A226)-YEAR('Recurring Schedule'!$F$22))*12+MONTH($A226)-MONTH('Recurring Schedule'!$F$22),'Recurring Schedule'!$O$22)=0),IF('Recurring Schedule'!$E$22="Weekdays",WEEKDAY($A226,2)&lt;=5,$A226='Recurring Schedule'!$F$22))),17,""))))</f>
        <v/>
      </c>
      <c r="S226">
        <f>IF('Recurring Schedule'!$C$23="","",IF('Recurring Schedule'!$F$23="","",IF(OR($A226&lt;'Recurring Schedule'!$F$23,$A226&gt;'Recurring Schedule'!$P$23),"",IF(IF('Recurring Schedule'!$N$23&gt;0,MOD($A226-'Recurring Schedule'!$F$23,'Recurring Schedule'!$N$23)=0,IF('Recurring Schedule'!$O$23&gt;0,AND(DAY($A226)=MIN(DAY('Recurring Schedule'!$F$23),DAY(EOMONTH($A226,0))),MOD((YEAR($A226)-YEAR('Recurring Schedule'!$F$23))*12+MONTH($A226)-MONTH('Recurring Schedule'!$F$23),'Recurring Schedule'!$O$23)=0),IF('Recurring Schedule'!$E$23="Weekdays",WEEKDAY($A226,2)&lt;=5,$A226='Recurring Schedule'!$F$23))),18,""))))</f>
        <v/>
      </c>
      <c r="T226">
        <f>IF('Recurring Schedule'!$C$24="","",IF('Recurring Schedule'!$F$24="","",IF(OR($A226&lt;'Recurring Schedule'!$F$24,$A226&gt;'Recurring Schedule'!$P$24),"",IF(IF('Recurring Schedule'!$N$24&gt;0,MOD($A226-'Recurring Schedule'!$F$24,'Recurring Schedule'!$N$24)=0,IF('Recurring Schedule'!$O$24&gt;0,AND(DAY($A226)=MIN(DAY('Recurring Schedule'!$F$24),DAY(EOMONTH($A226,0))),MOD((YEAR($A226)-YEAR('Recurring Schedule'!$F$24))*12+MONTH($A226)-MONTH('Recurring Schedule'!$F$24),'Recurring Schedule'!$O$24)=0),IF('Recurring Schedule'!$E$24="Weekdays",WEEKDAY($A226,2)&lt;=5,$A226='Recurring Schedule'!$F$24))),19,""))))</f>
        <v/>
      </c>
      <c r="U226">
        <f>IF('Recurring Schedule'!$C$25="","",IF('Recurring Schedule'!$F$25="","",IF(OR($A226&lt;'Recurring Schedule'!$F$25,$A226&gt;'Recurring Schedule'!$P$25),"",IF(IF('Recurring Schedule'!$N$25&gt;0,MOD($A226-'Recurring Schedule'!$F$25,'Recurring Schedule'!$N$25)=0,IF('Recurring Schedule'!$O$25&gt;0,AND(DAY($A226)=MIN(DAY('Recurring Schedule'!$F$25),DAY(EOMONTH($A226,0))),MOD((YEAR($A226)-YEAR('Recurring Schedule'!$F$25))*12+MONTH($A226)-MONTH('Recurring Schedule'!$F$25),'Recurring Schedule'!$O$25)=0),IF('Recurring Schedule'!$E$25="Weekdays",WEEKDAY($A226,2)&lt;=5,$A226='Recurring Schedule'!$F$25))),20,""))))</f>
        <v/>
      </c>
      <c r="V226">
        <f>IF('Recurring Schedule'!$C$26="","",IF('Recurring Schedule'!$F$26="","",IF(OR($A226&lt;'Recurring Schedule'!$F$26,$A226&gt;'Recurring Schedule'!$P$26),"",IF(IF('Recurring Schedule'!$N$26&gt;0,MOD($A226-'Recurring Schedule'!$F$26,'Recurring Schedule'!$N$26)=0,IF('Recurring Schedule'!$O$26&gt;0,AND(DAY($A226)=MIN(DAY('Recurring Schedule'!$F$26),DAY(EOMONTH($A226,0))),MOD((YEAR($A226)-YEAR('Recurring Schedule'!$F$26))*12+MONTH($A226)-MONTH('Recurring Schedule'!$F$26),'Recurring Schedule'!$O$26)=0),IF('Recurring Schedule'!$E$26="Weekdays",WEEKDAY($A226,2)&lt;=5,$A226='Recurring Schedule'!$F$26))),21,""))))</f>
        <v/>
      </c>
      <c r="W226">
        <f>IF('Recurring Schedule'!$C$27="","",IF('Recurring Schedule'!$F$27="","",IF(OR($A226&lt;'Recurring Schedule'!$F$27,$A226&gt;'Recurring Schedule'!$P$27),"",IF(IF('Recurring Schedule'!$N$27&gt;0,MOD($A226-'Recurring Schedule'!$F$27,'Recurring Schedule'!$N$27)=0,IF('Recurring Schedule'!$O$27&gt;0,AND(DAY($A226)=MIN(DAY('Recurring Schedule'!$F$27),DAY(EOMONTH($A226,0))),MOD((YEAR($A226)-YEAR('Recurring Schedule'!$F$27))*12+MONTH($A226)-MONTH('Recurring Schedule'!$F$27),'Recurring Schedule'!$O$27)=0),IF('Recurring Schedule'!$E$27="Weekdays",WEEKDAY($A226,2)&lt;=5,$A226='Recurring Schedule'!$F$27))),22,""))))</f>
        <v/>
      </c>
      <c r="X226">
        <f>IF('Recurring Schedule'!$C$28="","",IF('Recurring Schedule'!$F$28="","",IF(OR($A226&lt;'Recurring Schedule'!$F$28,$A226&gt;'Recurring Schedule'!$P$28),"",IF(IF('Recurring Schedule'!$N$28&gt;0,MOD($A226-'Recurring Schedule'!$F$28,'Recurring Schedule'!$N$28)=0,IF('Recurring Schedule'!$O$28&gt;0,AND(DAY($A226)=MIN(DAY('Recurring Schedule'!$F$28),DAY(EOMONTH($A226,0))),MOD((YEAR($A226)-YEAR('Recurring Schedule'!$F$28))*12+MONTH($A226)-MONTH('Recurring Schedule'!$F$28),'Recurring Schedule'!$O$28)=0),IF('Recurring Schedule'!$E$28="Weekdays",WEEKDAY($A226,2)&lt;=5,$A226='Recurring Schedule'!$F$28))),23,""))))</f>
        <v/>
      </c>
      <c r="Y226">
        <f>IF('Recurring Schedule'!$C$29="","",IF('Recurring Schedule'!$F$29="","",IF(OR($A226&lt;'Recurring Schedule'!$F$29,$A226&gt;'Recurring Schedule'!$P$29),"",IF(IF('Recurring Schedule'!$N$29&gt;0,MOD($A226-'Recurring Schedule'!$F$29,'Recurring Schedule'!$N$29)=0,IF('Recurring Schedule'!$O$29&gt;0,AND(DAY($A226)=MIN(DAY('Recurring Schedule'!$F$29),DAY(EOMONTH($A226,0))),MOD((YEAR($A226)-YEAR('Recurring Schedule'!$F$29))*12+MONTH($A226)-MONTH('Recurring Schedule'!$F$29),'Recurring Schedule'!$O$29)=0),IF('Recurring Schedule'!$E$29="Weekdays",WEEKDAY($A226,2)&lt;=5,$A226='Recurring Schedule'!$F$29))),24,""))))</f>
        <v/>
      </c>
      <c r="Z226">
        <f>IF('Recurring Schedule'!$C$30="","",IF('Recurring Schedule'!$F$30="","",IF(OR($A226&lt;'Recurring Schedule'!$F$30,$A226&gt;'Recurring Schedule'!$P$30),"",IF(IF('Recurring Schedule'!$N$30&gt;0,MOD($A226-'Recurring Schedule'!$F$30,'Recurring Schedule'!$N$30)=0,IF('Recurring Schedule'!$O$30&gt;0,AND(DAY($A226)=MIN(DAY('Recurring Schedule'!$F$30),DAY(EOMONTH($A226,0))),MOD((YEAR($A226)-YEAR('Recurring Schedule'!$F$30))*12+MONTH($A226)-MONTH('Recurring Schedule'!$F$30),'Recurring Schedule'!$O$30)=0),IF('Recurring Schedule'!$E$30="Weekdays",WEEKDAY($A226,2)&lt;=5,$A226='Recurring Schedule'!$F$30))),25,""))))</f>
        <v/>
      </c>
      <c r="AA226">
        <f>IF('Recurring Schedule'!$C$31="","",IF('Recurring Schedule'!$F$31="","",IF(OR($A226&lt;'Recurring Schedule'!$F$31,$A226&gt;'Recurring Schedule'!$P$31),"",IF(IF('Recurring Schedule'!$N$31&gt;0,MOD($A226-'Recurring Schedule'!$F$31,'Recurring Schedule'!$N$31)=0,IF('Recurring Schedule'!$O$31&gt;0,AND(DAY($A226)=MIN(DAY('Recurring Schedule'!$F$31),DAY(EOMONTH($A226,0))),MOD((YEAR($A226)-YEAR('Recurring Schedule'!$F$31))*12+MONTH($A226)-MONTH('Recurring Schedule'!$F$31),'Recurring Schedule'!$O$31)=0),IF('Recurring Schedule'!$E$31="Weekdays",WEEKDAY($A226,2)&lt;=5,$A226='Recurring Schedule'!$F$31))),26,""))))</f>
        <v/>
      </c>
      <c r="AB226">
        <f>IF('Recurring Schedule'!$C$32="","",IF('Recurring Schedule'!$F$32="","",IF(OR($A226&lt;'Recurring Schedule'!$F$32,$A226&gt;'Recurring Schedule'!$P$32),"",IF(IF('Recurring Schedule'!$N$32&gt;0,MOD($A226-'Recurring Schedule'!$F$32,'Recurring Schedule'!$N$32)=0,IF('Recurring Schedule'!$O$32&gt;0,AND(DAY($A226)=MIN(DAY('Recurring Schedule'!$F$32),DAY(EOMONTH($A226,0))),MOD((YEAR($A226)-YEAR('Recurring Schedule'!$F$32))*12+MONTH($A226)-MONTH('Recurring Schedule'!$F$32),'Recurring Schedule'!$O$32)=0),IF('Recurring Schedule'!$E$32="Weekdays",WEEKDAY($A226,2)&lt;=5,$A226='Recurring Schedule'!$F$32))),27,""))))</f>
        <v/>
      </c>
      <c r="AC226">
        <f>IF('Recurring Schedule'!$C$33="","",IF('Recurring Schedule'!$F$33="","",IF(OR($A226&lt;'Recurring Schedule'!$F$33,$A226&gt;'Recurring Schedule'!$P$33),"",IF(IF('Recurring Schedule'!$N$33&gt;0,MOD($A226-'Recurring Schedule'!$F$33,'Recurring Schedule'!$N$33)=0,IF('Recurring Schedule'!$O$33&gt;0,AND(DAY($A226)=MIN(DAY('Recurring Schedule'!$F$33),DAY(EOMONTH($A226,0))),MOD((YEAR($A226)-YEAR('Recurring Schedule'!$F$33))*12+MONTH($A226)-MONTH('Recurring Schedule'!$F$33),'Recurring Schedule'!$O$33)=0),IF('Recurring Schedule'!$E$33="Weekdays",WEEKDAY($A226,2)&lt;=5,$A226='Recurring Schedule'!$F$33))),28,""))))</f>
        <v/>
      </c>
      <c r="AD226">
        <f>IF('Recurring Schedule'!$C$34="","",IF('Recurring Schedule'!$F$34="","",IF(OR($A226&lt;'Recurring Schedule'!$F$34,$A226&gt;'Recurring Schedule'!$P$34),"",IF(IF('Recurring Schedule'!$N$34&gt;0,MOD($A226-'Recurring Schedule'!$F$34,'Recurring Schedule'!$N$34)=0,IF('Recurring Schedule'!$O$34&gt;0,AND(DAY($A226)=MIN(DAY('Recurring Schedule'!$F$34),DAY(EOMONTH($A226,0))),MOD((YEAR($A226)-YEAR('Recurring Schedule'!$F$34))*12+MONTH($A226)-MONTH('Recurring Schedule'!$F$34),'Recurring Schedule'!$O$34)=0),IF('Recurring Schedule'!$E$34="Weekdays",WEEKDAY($A226,2)&lt;=5,$A226='Recurring Schedule'!$F$34))),29,""))))</f>
        <v/>
      </c>
      <c r="AE226">
        <f>IF('Recurring Schedule'!$C$35="","",IF('Recurring Schedule'!$F$35="","",IF(OR($A226&lt;'Recurring Schedule'!$F$35,$A226&gt;'Recurring Schedule'!$P$35),"",IF(IF('Recurring Schedule'!$N$35&gt;0,MOD($A226-'Recurring Schedule'!$F$35,'Recurring Schedule'!$N$35)=0,IF('Recurring Schedule'!$O$35&gt;0,AND(DAY($A226)=MIN(DAY('Recurring Schedule'!$F$35),DAY(EOMONTH($A226,0))),MOD((YEAR($A226)-YEAR('Recurring Schedule'!$F$35))*12+MONTH($A226)-MONTH('Recurring Schedule'!$F$35),'Recurring Schedule'!$O$35)=0),IF('Recurring Schedule'!$E$35="Weekdays",WEEKDAY($A226,2)&lt;=5,$A226='Recurring Schedule'!$F$35))),30,""))))</f>
        <v/>
      </c>
      <c r="AF226">
        <f>IF('Recurring Schedule'!$C$36="","",IF('Recurring Schedule'!$F$36="","",IF(OR($A226&lt;'Recurring Schedule'!$F$36,$A226&gt;'Recurring Schedule'!$P$36),"",IF(IF('Recurring Schedule'!$N$36&gt;0,MOD($A226-'Recurring Schedule'!$F$36,'Recurring Schedule'!$N$36)=0,IF('Recurring Schedule'!$O$36&gt;0,AND(DAY($A226)=MIN(DAY('Recurring Schedule'!$F$36),DAY(EOMONTH($A226,0))),MOD((YEAR($A226)-YEAR('Recurring Schedule'!$F$36))*12+MONTH($A226)-MONTH('Recurring Schedule'!$F$36),'Recurring Schedule'!$O$36)=0),IF('Recurring Schedule'!$E$36="Weekdays",WEEKDAY($A226,2)&lt;=5,$A226='Recurring Schedule'!$F$36))),31,""))))</f>
        <v/>
      </c>
      <c r="AG226">
        <f>IF('Recurring Schedule'!$C$37="","",IF('Recurring Schedule'!$F$37="","",IF(OR($A226&lt;'Recurring Schedule'!$F$37,$A226&gt;'Recurring Schedule'!$P$37),"",IF(IF('Recurring Schedule'!$N$37&gt;0,MOD($A226-'Recurring Schedule'!$F$37,'Recurring Schedule'!$N$37)=0,IF('Recurring Schedule'!$O$37&gt;0,AND(DAY($A226)=MIN(DAY('Recurring Schedule'!$F$37),DAY(EOMONTH($A226,0))),MOD((YEAR($A226)-YEAR('Recurring Schedule'!$F$37))*12+MONTH($A226)-MONTH('Recurring Schedule'!$F$37),'Recurring Schedule'!$O$37)=0),IF('Recurring Schedule'!$E$37="Weekdays",WEEKDAY($A226,2)&lt;=5,$A226='Recurring Schedule'!$F$37))),32,""))))</f>
        <v/>
      </c>
      <c r="AH226">
        <f>IF('Recurring Schedule'!$C$38="","",IF('Recurring Schedule'!$F$38="","",IF(OR($A226&lt;'Recurring Schedule'!$F$38,$A226&gt;'Recurring Schedule'!$P$38),"",IF(IF('Recurring Schedule'!$N$38&gt;0,MOD($A226-'Recurring Schedule'!$F$38,'Recurring Schedule'!$N$38)=0,IF('Recurring Schedule'!$O$38&gt;0,AND(DAY($A226)=MIN(DAY('Recurring Schedule'!$F$38),DAY(EOMONTH($A226,0))),MOD((YEAR($A226)-YEAR('Recurring Schedule'!$F$38))*12+MONTH($A226)-MONTH('Recurring Schedule'!$F$38),'Recurring Schedule'!$O$38)=0),IF('Recurring Schedule'!$E$38="Weekdays",WEEKDAY($A226,2)&lt;=5,$A226='Recurring Schedule'!$F$38))),33,""))))</f>
        <v/>
      </c>
      <c r="AI226">
        <f>IF('Recurring Schedule'!$C$39="","",IF('Recurring Schedule'!$F$39="","",IF(OR($A226&lt;'Recurring Schedule'!$F$39,$A226&gt;'Recurring Schedule'!$P$39),"",IF(IF('Recurring Schedule'!$N$39&gt;0,MOD($A226-'Recurring Schedule'!$F$39,'Recurring Schedule'!$N$39)=0,IF('Recurring Schedule'!$O$39&gt;0,AND(DAY($A226)=MIN(DAY('Recurring Schedule'!$F$39),DAY(EOMONTH($A226,0))),MOD((YEAR($A226)-YEAR('Recurring Schedule'!$F$39))*12+MONTH($A226)-MONTH('Recurring Schedule'!$F$39),'Recurring Schedule'!$O$39)=0),IF('Recurring Schedule'!$E$39="Weekdays",WEEKDAY($A226,2)&lt;=5,$A226='Recurring Schedule'!$F$39))),34,""))))</f>
        <v/>
      </c>
      <c r="AJ226">
        <f>IF('Recurring Schedule'!$C$40="","",IF('Recurring Schedule'!$F$40="","",IF(OR($A226&lt;'Recurring Schedule'!$F$40,$A226&gt;'Recurring Schedule'!$P$40),"",IF(IF('Recurring Schedule'!$N$40&gt;0,MOD($A226-'Recurring Schedule'!$F$40,'Recurring Schedule'!$N$40)=0,IF('Recurring Schedule'!$O$40&gt;0,AND(DAY($A226)=MIN(DAY('Recurring Schedule'!$F$40),DAY(EOMONTH($A226,0))),MOD((YEAR($A226)-YEAR('Recurring Schedule'!$F$40))*12+MONTH($A226)-MONTH('Recurring Schedule'!$F$40),'Recurring Schedule'!$O$40)=0),IF('Recurring Schedule'!$E$40="Weekdays",WEEKDAY($A226,2)&lt;=5,$A226='Recurring Schedule'!$F$40))),35,""))))</f>
        <v/>
      </c>
      <c r="AK226">
        <f>IF('Recurring Schedule'!$C$41="","",IF('Recurring Schedule'!$F$41="","",IF(OR($A226&lt;'Recurring Schedule'!$F$41,$A226&gt;'Recurring Schedule'!$P$41),"",IF(IF('Recurring Schedule'!$N$41&gt;0,MOD($A226-'Recurring Schedule'!$F$41,'Recurring Schedule'!$N$41)=0,IF('Recurring Schedule'!$O$41&gt;0,AND(DAY($A226)=MIN(DAY('Recurring Schedule'!$F$41),DAY(EOMONTH($A226,0))),MOD((YEAR($A226)-YEAR('Recurring Schedule'!$F$41))*12+MONTH($A226)-MONTH('Recurring Schedule'!$F$41),'Recurring Schedule'!$O$41)=0),IF('Recurring Schedule'!$E$41="Weekdays",WEEKDAY($A226,2)&lt;=5,$A226='Recurring Schedule'!$F$41))),36,""))))</f>
        <v/>
      </c>
      <c r="AL226">
        <f>IF('Recurring Schedule'!$C$42="","",IF('Recurring Schedule'!$F$42="","",IF(OR($A226&lt;'Recurring Schedule'!$F$42,$A226&gt;'Recurring Schedule'!$P$42),"",IF(IF('Recurring Schedule'!$N$42&gt;0,MOD($A226-'Recurring Schedule'!$F$42,'Recurring Schedule'!$N$42)=0,IF('Recurring Schedule'!$O$42&gt;0,AND(DAY($A226)=MIN(DAY('Recurring Schedule'!$F$42),DAY(EOMONTH($A226,0))),MOD((YEAR($A226)-YEAR('Recurring Schedule'!$F$42))*12+MONTH($A226)-MONTH('Recurring Schedule'!$F$42),'Recurring Schedule'!$O$42)=0),IF('Recurring Schedule'!$E$42="Weekdays",WEEKDAY($A226,2)&lt;=5,$A226='Recurring Schedule'!$F$42))),37,""))))</f>
        <v/>
      </c>
      <c r="AM226">
        <f>IF('Recurring Schedule'!$C$43="","",IF('Recurring Schedule'!$F$43="","",IF(OR($A226&lt;'Recurring Schedule'!$F$43,$A226&gt;'Recurring Schedule'!$P$43),"",IF(IF('Recurring Schedule'!$N$43&gt;0,MOD($A226-'Recurring Schedule'!$F$43,'Recurring Schedule'!$N$43)=0,IF('Recurring Schedule'!$O$43&gt;0,AND(DAY($A226)=MIN(DAY('Recurring Schedule'!$F$43),DAY(EOMONTH($A226,0))),MOD((YEAR($A226)-YEAR('Recurring Schedule'!$F$43))*12+MONTH($A226)-MONTH('Recurring Schedule'!$F$43),'Recurring Schedule'!$O$43)=0),IF('Recurring Schedule'!$E$43="Weekdays",WEEKDAY($A226,2)&lt;=5,$A226='Recurring Schedule'!$F$43))),38,""))))</f>
        <v/>
      </c>
      <c r="AN226">
        <f>IF('Recurring Schedule'!$C$44="","",IF('Recurring Schedule'!$F$44="","",IF(OR($A226&lt;'Recurring Schedule'!$F$44,$A226&gt;'Recurring Schedule'!$P$44),"",IF(IF('Recurring Schedule'!$N$44&gt;0,MOD($A226-'Recurring Schedule'!$F$44,'Recurring Schedule'!$N$44)=0,IF('Recurring Schedule'!$O$44&gt;0,AND(DAY($A226)=MIN(DAY('Recurring Schedule'!$F$44),DAY(EOMONTH($A226,0))),MOD((YEAR($A226)-YEAR('Recurring Schedule'!$F$44))*12+MONTH($A226)-MONTH('Recurring Schedule'!$F$44),'Recurring Schedule'!$O$44)=0),IF('Recurring Schedule'!$E$44="Weekdays",WEEKDAY($A226,2)&lt;=5,$A226='Recurring Schedule'!$F$44))),39,""))))</f>
        <v/>
      </c>
      <c r="AO226">
        <f>IF('Recurring Schedule'!$C$45="","",IF('Recurring Schedule'!$F$45="","",IF(OR($A226&lt;'Recurring Schedule'!$F$45,$A226&gt;'Recurring Schedule'!$P$45),"",IF(IF('Recurring Schedule'!$N$45&gt;0,MOD($A226-'Recurring Schedule'!$F$45,'Recurring Schedule'!$N$45)=0,IF('Recurring Schedule'!$O$45&gt;0,AND(DAY($A226)=MIN(DAY('Recurring Schedule'!$F$45),DAY(EOMONTH($A226,0))),MOD((YEAR($A226)-YEAR('Recurring Schedule'!$F$45))*12+MONTH($A226)-MONTH('Recurring Schedule'!$F$45),'Recurring Schedule'!$O$45)=0),IF('Recurring Schedule'!$E$45="Weekdays",WEEKDAY($A226,2)&lt;=5,$A226='Recurring Schedule'!$F$45))),40,""))))</f>
        <v/>
      </c>
      <c r="AP226">
        <f>COUNT(B226:AO226)</f>
        <v/>
      </c>
      <c r="AQ226">
        <f>AQ225+AP225</f>
        <v/>
      </c>
      <c r="AS226" t="inlineStr">
        <is>
          <t>R</t>
        </is>
      </c>
      <c r="AT226" t="n">
        <v>230</v>
      </c>
      <c r="AU226">
        <f>'Recurring Log'!C230&amp;""</f>
        <v/>
      </c>
      <c r="AV226">
        <f>'Recurring Log'!D230&amp;""</f>
        <v/>
      </c>
      <c r="AW226">
        <f>IF('Recurring Log'!E230="","",'Recurring Log'!E230)</f>
        <v/>
      </c>
      <c r="AX226">
        <f>IF('Recurring Log'!G230="","",'Recurring Log'!G230)</f>
        <v/>
      </c>
      <c r="AY226">
        <f>IF('Recurring Log'!H230="","",'Recurring Log'!H230)</f>
        <v/>
      </c>
      <c r="AZ226">
        <f>IF(AU226="","",IF('Recurring Log'!J230="","Not Started",'Recurring Log'!J230))</f>
        <v/>
      </c>
      <c r="BA226">
        <f>'Recurring Log'!L230&amp;""</f>
        <v/>
      </c>
      <c r="BB226">
        <f>'Recurring Log'!M230&amp;""</f>
        <v/>
      </c>
      <c r="BC226">
        <f>'Recurring Log'!N230&amp;""</f>
        <v/>
      </c>
      <c r="BD226">
        <f>'Recurring Log'!O230&amp;""</f>
        <v/>
      </c>
      <c r="BE226">
        <f>IF('Recurring Log'!K230="","",'Recurring Log'!K230)</f>
        <v/>
      </c>
      <c r="BF226">
        <f>IFERROR(MATCH(BA226,Setup!$L$6:$L$9,0),5)</f>
        <v/>
      </c>
      <c r="BG226">
        <f>IF(OR(AZ226="Done",AZ226="Cancelled"),1,0)</f>
        <v/>
      </c>
      <c r="BH226">
        <f>IF(AND(AU226&lt;&gt;"",ISNUMBER(AW226)),1,0)</f>
        <v/>
      </c>
      <c r="BI226">
        <f>IF(BH226=0,0,IF(AND(AW226&gt;='Tasks Filter'!$F$3,AW226&lt;='Tasks Filter'!$F$4,OR('Tasks Filter'!$I$3="",ISNUMBER(SEARCH('Tasks Filter'!$I$3,AU226))),OR('Tasks Filter'!$I$4="",BF226=IFERROR(MATCH('Tasks Filter'!$I$4,Setup!$L$6:$L$9,0),0)),OR('Tasks Filter'!$I$5="Both",AND('Tasks Filter'!$I$5="Yes",BB226="✓"),AND('Tasks Filter'!$I$5="No",BB226&lt;&gt;"✓")),OR('Tasks Filter'!$L$3="",AV226='Tasks Filter'!$L$3),OR('Tasks Filter'!$L$4="",AZ226='Tasks Filter'!$L$4),OR('Tasks Filter'!$L$5="",BC226='Tasks Filter'!$L$5),OR('Tasks Filter'!$O$3="",BD226='Tasks Filter'!$O$3),OR('Tasks Filter'!$O$4="Yes",BG226=0)),1,0))</f>
        <v/>
      </c>
      <c r="BJ226">
        <f>IF(BH226=0,"",IF('Tasks Filter'!$F$6="Descending",-1,1)*CHOOSE(MATCH('Tasks Filter'!$F$5,Lists!$G$2:$G$6,0),AW226,BF226,IFERROR(MATCH(AV226,Setup!$F$6:$F$15,0),99),IFERROR(MATCH(BC226,Setup!$H$6:$H$15,0),99),IFERROR(MATCH(AZ226,Setup!$J$6:$J$11,0),99))*1E+9+(AW226-40000)*10000+225)</f>
        <v/>
      </c>
      <c r="BK226">
        <f>IF(BI226=1,BJ226,"")</f>
        <v/>
      </c>
      <c r="BL226">
        <f>IF(AND(BH226=1,BG226=0,N(AW226)&lt;Setup!$D$7),(AW226-40000)*10000+225,"")</f>
        <v/>
      </c>
      <c r="BM226">
        <f>IF(AND(BH226=1,AZ226&lt;&gt;"Cancelled",N(AW226)&gt;=Dashboard!$AB$3,N(AW226)&lt;=Dashboard!$AB$3+6),(AW226-40000)*100000+BF226*10000+225,"")</f>
        <v/>
      </c>
      <c r="BN226">
        <f>IF(AND(BH226=1,AZ226&lt;&gt;"Cancelled"),BF226*10000+225,"")</f>
        <v/>
      </c>
    </row>
    <row r="227">
      <c r="A227">
        <f>Setup!$D$5+225</f>
        <v/>
      </c>
      <c r="B227">
        <f>IF('Recurring Schedule'!$C$6="","",IF('Recurring Schedule'!$F$6="","",IF(OR($A227&lt;'Recurring Schedule'!$F$6,$A227&gt;'Recurring Schedule'!$P$6),"",IF(IF('Recurring Schedule'!$N$6&gt;0,MOD($A227-'Recurring Schedule'!$F$6,'Recurring Schedule'!$N$6)=0,IF('Recurring Schedule'!$O$6&gt;0,AND(DAY($A227)=MIN(DAY('Recurring Schedule'!$F$6),DAY(EOMONTH($A227,0))),MOD((YEAR($A227)-YEAR('Recurring Schedule'!$F$6))*12+MONTH($A227)-MONTH('Recurring Schedule'!$F$6),'Recurring Schedule'!$O$6)=0),IF('Recurring Schedule'!$E$6="Weekdays",WEEKDAY($A227,2)&lt;=5,$A227='Recurring Schedule'!$F$6))),1,""))))</f>
        <v/>
      </c>
      <c r="C227">
        <f>IF('Recurring Schedule'!$C$7="","",IF('Recurring Schedule'!$F$7="","",IF(OR($A227&lt;'Recurring Schedule'!$F$7,$A227&gt;'Recurring Schedule'!$P$7),"",IF(IF('Recurring Schedule'!$N$7&gt;0,MOD($A227-'Recurring Schedule'!$F$7,'Recurring Schedule'!$N$7)=0,IF('Recurring Schedule'!$O$7&gt;0,AND(DAY($A227)=MIN(DAY('Recurring Schedule'!$F$7),DAY(EOMONTH($A227,0))),MOD((YEAR($A227)-YEAR('Recurring Schedule'!$F$7))*12+MONTH($A227)-MONTH('Recurring Schedule'!$F$7),'Recurring Schedule'!$O$7)=0),IF('Recurring Schedule'!$E$7="Weekdays",WEEKDAY($A227,2)&lt;=5,$A227='Recurring Schedule'!$F$7))),2,""))))</f>
        <v/>
      </c>
      <c r="D227">
        <f>IF('Recurring Schedule'!$C$8="","",IF('Recurring Schedule'!$F$8="","",IF(OR($A227&lt;'Recurring Schedule'!$F$8,$A227&gt;'Recurring Schedule'!$P$8),"",IF(IF('Recurring Schedule'!$N$8&gt;0,MOD($A227-'Recurring Schedule'!$F$8,'Recurring Schedule'!$N$8)=0,IF('Recurring Schedule'!$O$8&gt;0,AND(DAY($A227)=MIN(DAY('Recurring Schedule'!$F$8),DAY(EOMONTH($A227,0))),MOD((YEAR($A227)-YEAR('Recurring Schedule'!$F$8))*12+MONTH($A227)-MONTH('Recurring Schedule'!$F$8),'Recurring Schedule'!$O$8)=0),IF('Recurring Schedule'!$E$8="Weekdays",WEEKDAY($A227,2)&lt;=5,$A227='Recurring Schedule'!$F$8))),3,""))))</f>
        <v/>
      </c>
      <c r="E227">
        <f>IF('Recurring Schedule'!$C$9="","",IF('Recurring Schedule'!$F$9="","",IF(OR($A227&lt;'Recurring Schedule'!$F$9,$A227&gt;'Recurring Schedule'!$P$9),"",IF(IF('Recurring Schedule'!$N$9&gt;0,MOD($A227-'Recurring Schedule'!$F$9,'Recurring Schedule'!$N$9)=0,IF('Recurring Schedule'!$O$9&gt;0,AND(DAY($A227)=MIN(DAY('Recurring Schedule'!$F$9),DAY(EOMONTH($A227,0))),MOD((YEAR($A227)-YEAR('Recurring Schedule'!$F$9))*12+MONTH($A227)-MONTH('Recurring Schedule'!$F$9),'Recurring Schedule'!$O$9)=0),IF('Recurring Schedule'!$E$9="Weekdays",WEEKDAY($A227,2)&lt;=5,$A227='Recurring Schedule'!$F$9))),4,""))))</f>
        <v/>
      </c>
      <c r="F227">
        <f>IF('Recurring Schedule'!$C$10="","",IF('Recurring Schedule'!$F$10="","",IF(OR($A227&lt;'Recurring Schedule'!$F$10,$A227&gt;'Recurring Schedule'!$P$10),"",IF(IF('Recurring Schedule'!$N$10&gt;0,MOD($A227-'Recurring Schedule'!$F$10,'Recurring Schedule'!$N$10)=0,IF('Recurring Schedule'!$O$10&gt;0,AND(DAY($A227)=MIN(DAY('Recurring Schedule'!$F$10),DAY(EOMONTH($A227,0))),MOD((YEAR($A227)-YEAR('Recurring Schedule'!$F$10))*12+MONTH($A227)-MONTH('Recurring Schedule'!$F$10),'Recurring Schedule'!$O$10)=0),IF('Recurring Schedule'!$E$10="Weekdays",WEEKDAY($A227,2)&lt;=5,$A227='Recurring Schedule'!$F$10))),5,""))))</f>
        <v/>
      </c>
      <c r="G227">
        <f>IF('Recurring Schedule'!$C$11="","",IF('Recurring Schedule'!$F$11="","",IF(OR($A227&lt;'Recurring Schedule'!$F$11,$A227&gt;'Recurring Schedule'!$P$11),"",IF(IF('Recurring Schedule'!$N$11&gt;0,MOD($A227-'Recurring Schedule'!$F$11,'Recurring Schedule'!$N$11)=0,IF('Recurring Schedule'!$O$11&gt;0,AND(DAY($A227)=MIN(DAY('Recurring Schedule'!$F$11),DAY(EOMONTH($A227,0))),MOD((YEAR($A227)-YEAR('Recurring Schedule'!$F$11))*12+MONTH($A227)-MONTH('Recurring Schedule'!$F$11),'Recurring Schedule'!$O$11)=0),IF('Recurring Schedule'!$E$11="Weekdays",WEEKDAY($A227,2)&lt;=5,$A227='Recurring Schedule'!$F$11))),6,""))))</f>
        <v/>
      </c>
      <c r="H227">
        <f>IF('Recurring Schedule'!$C$12="","",IF('Recurring Schedule'!$F$12="","",IF(OR($A227&lt;'Recurring Schedule'!$F$12,$A227&gt;'Recurring Schedule'!$P$12),"",IF(IF('Recurring Schedule'!$N$12&gt;0,MOD($A227-'Recurring Schedule'!$F$12,'Recurring Schedule'!$N$12)=0,IF('Recurring Schedule'!$O$12&gt;0,AND(DAY($A227)=MIN(DAY('Recurring Schedule'!$F$12),DAY(EOMONTH($A227,0))),MOD((YEAR($A227)-YEAR('Recurring Schedule'!$F$12))*12+MONTH($A227)-MONTH('Recurring Schedule'!$F$12),'Recurring Schedule'!$O$12)=0),IF('Recurring Schedule'!$E$12="Weekdays",WEEKDAY($A227,2)&lt;=5,$A227='Recurring Schedule'!$F$12))),7,""))))</f>
        <v/>
      </c>
      <c r="I227">
        <f>IF('Recurring Schedule'!$C$13="","",IF('Recurring Schedule'!$F$13="","",IF(OR($A227&lt;'Recurring Schedule'!$F$13,$A227&gt;'Recurring Schedule'!$P$13),"",IF(IF('Recurring Schedule'!$N$13&gt;0,MOD($A227-'Recurring Schedule'!$F$13,'Recurring Schedule'!$N$13)=0,IF('Recurring Schedule'!$O$13&gt;0,AND(DAY($A227)=MIN(DAY('Recurring Schedule'!$F$13),DAY(EOMONTH($A227,0))),MOD((YEAR($A227)-YEAR('Recurring Schedule'!$F$13))*12+MONTH($A227)-MONTH('Recurring Schedule'!$F$13),'Recurring Schedule'!$O$13)=0),IF('Recurring Schedule'!$E$13="Weekdays",WEEKDAY($A227,2)&lt;=5,$A227='Recurring Schedule'!$F$13))),8,""))))</f>
        <v/>
      </c>
      <c r="J227">
        <f>IF('Recurring Schedule'!$C$14="","",IF('Recurring Schedule'!$F$14="","",IF(OR($A227&lt;'Recurring Schedule'!$F$14,$A227&gt;'Recurring Schedule'!$P$14),"",IF(IF('Recurring Schedule'!$N$14&gt;0,MOD($A227-'Recurring Schedule'!$F$14,'Recurring Schedule'!$N$14)=0,IF('Recurring Schedule'!$O$14&gt;0,AND(DAY($A227)=MIN(DAY('Recurring Schedule'!$F$14),DAY(EOMONTH($A227,0))),MOD((YEAR($A227)-YEAR('Recurring Schedule'!$F$14))*12+MONTH($A227)-MONTH('Recurring Schedule'!$F$14),'Recurring Schedule'!$O$14)=0),IF('Recurring Schedule'!$E$14="Weekdays",WEEKDAY($A227,2)&lt;=5,$A227='Recurring Schedule'!$F$14))),9,""))))</f>
        <v/>
      </c>
      <c r="K227">
        <f>IF('Recurring Schedule'!$C$15="","",IF('Recurring Schedule'!$F$15="","",IF(OR($A227&lt;'Recurring Schedule'!$F$15,$A227&gt;'Recurring Schedule'!$P$15),"",IF(IF('Recurring Schedule'!$N$15&gt;0,MOD($A227-'Recurring Schedule'!$F$15,'Recurring Schedule'!$N$15)=0,IF('Recurring Schedule'!$O$15&gt;0,AND(DAY($A227)=MIN(DAY('Recurring Schedule'!$F$15),DAY(EOMONTH($A227,0))),MOD((YEAR($A227)-YEAR('Recurring Schedule'!$F$15))*12+MONTH($A227)-MONTH('Recurring Schedule'!$F$15),'Recurring Schedule'!$O$15)=0),IF('Recurring Schedule'!$E$15="Weekdays",WEEKDAY($A227,2)&lt;=5,$A227='Recurring Schedule'!$F$15))),10,""))))</f>
        <v/>
      </c>
      <c r="L227">
        <f>IF('Recurring Schedule'!$C$16="","",IF('Recurring Schedule'!$F$16="","",IF(OR($A227&lt;'Recurring Schedule'!$F$16,$A227&gt;'Recurring Schedule'!$P$16),"",IF(IF('Recurring Schedule'!$N$16&gt;0,MOD($A227-'Recurring Schedule'!$F$16,'Recurring Schedule'!$N$16)=0,IF('Recurring Schedule'!$O$16&gt;0,AND(DAY($A227)=MIN(DAY('Recurring Schedule'!$F$16),DAY(EOMONTH($A227,0))),MOD((YEAR($A227)-YEAR('Recurring Schedule'!$F$16))*12+MONTH($A227)-MONTH('Recurring Schedule'!$F$16),'Recurring Schedule'!$O$16)=0),IF('Recurring Schedule'!$E$16="Weekdays",WEEKDAY($A227,2)&lt;=5,$A227='Recurring Schedule'!$F$16))),11,""))))</f>
        <v/>
      </c>
      <c r="M227">
        <f>IF('Recurring Schedule'!$C$17="","",IF('Recurring Schedule'!$F$17="","",IF(OR($A227&lt;'Recurring Schedule'!$F$17,$A227&gt;'Recurring Schedule'!$P$17),"",IF(IF('Recurring Schedule'!$N$17&gt;0,MOD($A227-'Recurring Schedule'!$F$17,'Recurring Schedule'!$N$17)=0,IF('Recurring Schedule'!$O$17&gt;0,AND(DAY($A227)=MIN(DAY('Recurring Schedule'!$F$17),DAY(EOMONTH($A227,0))),MOD((YEAR($A227)-YEAR('Recurring Schedule'!$F$17))*12+MONTH($A227)-MONTH('Recurring Schedule'!$F$17),'Recurring Schedule'!$O$17)=0),IF('Recurring Schedule'!$E$17="Weekdays",WEEKDAY($A227,2)&lt;=5,$A227='Recurring Schedule'!$F$17))),12,""))))</f>
        <v/>
      </c>
      <c r="N227">
        <f>IF('Recurring Schedule'!$C$18="","",IF('Recurring Schedule'!$F$18="","",IF(OR($A227&lt;'Recurring Schedule'!$F$18,$A227&gt;'Recurring Schedule'!$P$18),"",IF(IF('Recurring Schedule'!$N$18&gt;0,MOD($A227-'Recurring Schedule'!$F$18,'Recurring Schedule'!$N$18)=0,IF('Recurring Schedule'!$O$18&gt;0,AND(DAY($A227)=MIN(DAY('Recurring Schedule'!$F$18),DAY(EOMONTH($A227,0))),MOD((YEAR($A227)-YEAR('Recurring Schedule'!$F$18))*12+MONTH($A227)-MONTH('Recurring Schedule'!$F$18),'Recurring Schedule'!$O$18)=0),IF('Recurring Schedule'!$E$18="Weekdays",WEEKDAY($A227,2)&lt;=5,$A227='Recurring Schedule'!$F$18))),13,""))))</f>
        <v/>
      </c>
      <c r="O227">
        <f>IF('Recurring Schedule'!$C$19="","",IF('Recurring Schedule'!$F$19="","",IF(OR($A227&lt;'Recurring Schedule'!$F$19,$A227&gt;'Recurring Schedule'!$P$19),"",IF(IF('Recurring Schedule'!$N$19&gt;0,MOD($A227-'Recurring Schedule'!$F$19,'Recurring Schedule'!$N$19)=0,IF('Recurring Schedule'!$O$19&gt;0,AND(DAY($A227)=MIN(DAY('Recurring Schedule'!$F$19),DAY(EOMONTH($A227,0))),MOD((YEAR($A227)-YEAR('Recurring Schedule'!$F$19))*12+MONTH($A227)-MONTH('Recurring Schedule'!$F$19),'Recurring Schedule'!$O$19)=0),IF('Recurring Schedule'!$E$19="Weekdays",WEEKDAY($A227,2)&lt;=5,$A227='Recurring Schedule'!$F$19))),14,""))))</f>
        <v/>
      </c>
      <c r="P227">
        <f>IF('Recurring Schedule'!$C$20="","",IF('Recurring Schedule'!$F$20="","",IF(OR($A227&lt;'Recurring Schedule'!$F$20,$A227&gt;'Recurring Schedule'!$P$20),"",IF(IF('Recurring Schedule'!$N$20&gt;0,MOD($A227-'Recurring Schedule'!$F$20,'Recurring Schedule'!$N$20)=0,IF('Recurring Schedule'!$O$20&gt;0,AND(DAY($A227)=MIN(DAY('Recurring Schedule'!$F$20),DAY(EOMONTH($A227,0))),MOD((YEAR($A227)-YEAR('Recurring Schedule'!$F$20))*12+MONTH($A227)-MONTH('Recurring Schedule'!$F$20),'Recurring Schedule'!$O$20)=0),IF('Recurring Schedule'!$E$20="Weekdays",WEEKDAY($A227,2)&lt;=5,$A227='Recurring Schedule'!$F$20))),15,""))))</f>
        <v/>
      </c>
      <c r="Q227">
        <f>IF('Recurring Schedule'!$C$21="","",IF('Recurring Schedule'!$F$21="","",IF(OR($A227&lt;'Recurring Schedule'!$F$21,$A227&gt;'Recurring Schedule'!$P$21),"",IF(IF('Recurring Schedule'!$N$21&gt;0,MOD($A227-'Recurring Schedule'!$F$21,'Recurring Schedule'!$N$21)=0,IF('Recurring Schedule'!$O$21&gt;0,AND(DAY($A227)=MIN(DAY('Recurring Schedule'!$F$21),DAY(EOMONTH($A227,0))),MOD((YEAR($A227)-YEAR('Recurring Schedule'!$F$21))*12+MONTH($A227)-MONTH('Recurring Schedule'!$F$21),'Recurring Schedule'!$O$21)=0),IF('Recurring Schedule'!$E$21="Weekdays",WEEKDAY($A227,2)&lt;=5,$A227='Recurring Schedule'!$F$21))),16,""))))</f>
        <v/>
      </c>
      <c r="R227">
        <f>IF('Recurring Schedule'!$C$22="","",IF('Recurring Schedule'!$F$22="","",IF(OR($A227&lt;'Recurring Schedule'!$F$22,$A227&gt;'Recurring Schedule'!$P$22),"",IF(IF('Recurring Schedule'!$N$22&gt;0,MOD($A227-'Recurring Schedule'!$F$22,'Recurring Schedule'!$N$22)=0,IF('Recurring Schedule'!$O$22&gt;0,AND(DAY($A227)=MIN(DAY('Recurring Schedule'!$F$22),DAY(EOMONTH($A227,0))),MOD((YEAR($A227)-YEAR('Recurring Schedule'!$F$22))*12+MONTH($A227)-MONTH('Recurring Schedule'!$F$22),'Recurring Schedule'!$O$22)=0),IF('Recurring Schedule'!$E$22="Weekdays",WEEKDAY($A227,2)&lt;=5,$A227='Recurring Schedule'!$F$22))),17,""))))</f>
        <v/>
      </c>
      <c r="S227">
        <f>IF('Recurring Schedule'!$C$23="","",IF('Recurring Schedule'!$F$23="","",IF(OR($A227&lt;'Recurring Schedule'!$F$23,$A227&gt;'Recurring Schedule'!$P$23),"",IF(IF('Recurring Schedule'!$N$23&gt;0,MOD($A227-'Recurring Schedule'!$F$23,'Recurring Schedule'!$N$23)=0,IF('Recurring Schedule'!$O$23&gt;0,AND(DAY($A227)=MIN(DAY('Recurring Schedule'!$F$23),DAY(EOMONTH($A227,0))),MOD((YEAR($A227)-YEAR('Recurring Schedule'!$F$23))*12+MONTH($A227)-MONTH('Recurring Schedule'!$F$23),'Recurring Schedule'!$O$23)=0),IF('Recurring Schedule'!$E$23="Weekdays",WEEKDAY($A227,2)&lt;=5,$A227='Recurring Schedule'!$F$23))),18,""))))</f>
        <v/>
      </c>
      <c r="T227">
        <f>IF('Recurring Schedule'!$C$24="","",IF('Recurring Schedule'!$F$24="","",IF(OR($A227&lt;'Recurring Schedule'!$F$24,$A227&gt;'Recurring Schedule'!$P$24),"",IF(IF('Recurring Schedule'!$N$24&gt;0,MOD($A227-'Recurring Schedule'!$F$24,'Recurring Schedule'!$N$24)=0,IF('Recurring Schedule'!$O$24&gt;0,AND(DAY($A227)=MIN(DAY('Recurring Schedule'!$F$24),DAY(EOMONTH($A227,0))),MOD((YEAR($A227)-YEAR('Recurring Schedule'!$F$24))*12+MONTH($A227)-MONTH('Recurring Schedule'!$F$24),'Recurring Schedule'!$O$24)=0),IF('Recurring Schedule'!$E$24="Weekdays",WEEKDAY($A227,2)&lt;=5,$A227='Recurring Schedule'!$F$24))),19,""))))</f>
        <v/>
      </c>
      <c r="U227">
        <f>IF('Recurring Schedule'!$C$25="","",IF('Recurring Schedule'!$F$25="","",IF(OR($A227&lt;'Recurring Schedule'!$F$25,$A227&gt;'Recurring Schedule'!$P$25),"",IF(IF('Recurring Schedule'!$N$25&gt;0,MOD($A227-'Recurring Schedule'!$F$25,'Recurring Schedule'!$N$25)=0,IF('Recurring Schedule'!$O$25&gt;0,AND(DAY($A227)=MIN(DAY('Recurring Schedule'!$F$25),DAY(EOMONTH($A227,0))),MOD((YEAR($A227)-YEAR('Recurring Schedule'!$F$25))*12+MONTH($A227)-MONTH('Recurring Schedule'!$F$25),'Recurring Schedule'!$O$25)=0),IF('Recurring Schedule'!$E$25="Weekdays",WEEKDAY($A227,2)&lt;=5,$A227='Recurring Schedule'!$F$25))),20,""))))</f>
        <v/>
      </c>
      <c r="V227">
        <f>IF('Recurring Schedule'!$C$26="","",IF('Recurring Schedule'!$F$26="","",IF(OR($A227&lt;'Recurring Schedule'!$F$26,$A227&gt;'Recurring Schedule'!$P$26),"",IF(IF('Recurring Schedule'!$N$26&gt;0,MOD($A227-'Recurring Schedule'!$F$26,'Recurring Schedule'!$N$26)=0,IF('Recurring Schedule'!$O$26&gt;0,AND(DAY($A227)=MIN(DAY('Recurring Schedule'!$F$26),DAY(EOMONTH($A227,0))),MOD((YEAR($A227)-YEAR('Recurring Schedule'!$F$26))*12+MONTH($A227)-MONTH('Recurring Schedule'!$F$26),'Recurring Schedule'!$O$26)=0),IF('Recurring Schedule'!$E$26="Weekdays",WEEKDAY($A227,2)&lt;=5,$A227='Recurring Schedule'!$F$26))),21,""))))</f>
        <v/>
      </c>
      <c r="W227">
        <f>IF('Recurring Schedule'!$C$27="","",IF('Recurring Schedule'!$F$27="","",IF(OR($A227&lt;'Recurring Schedule'!$F$27,$A227&gt;'Recurring Schedule'!$P$27),"",IF(IF('Recurring Schedule'!$N$27&gt;0,MOD($A227-'Recurring Schedule'!$F$27,'Recurring Schedule'!$N$27)=0,IF('Recurring Schedule'!$O$27&gt;0,AND(DAY($A227)=MIN(DAY('Recurring Schedule'!$F$27),DAY(EOMONTH($A227,0))),MOD((YEAR($A227)-YEAR('Recurring Schedule'!$F$27))*12+MONTH($A227)-MONTH('Recurring Schedule'!$F$27),'Recurring Schedule'!$O$27)=0),IF('Recurring Schedule'!$E$27="Weekdays",WEEKDAY($A227,2)&lt;=5,$A227='Recurring Schedule'!$F$27))),22,""))))</f>
        <v/>
      </c>
      <c r="X227">
        <f>IF('Recurring Schedule'!$C$28="","",IF('Recurring Schedule'!$F$28="","",IF(OR($A227&lt;'Recurring Schedule'!$F$28,$A227&gt;'Recurring Schedule'!$P$28),"",IF(IF('Recurring Schedule'!$N$28&gt;0,MOD($A227-'Recurring Schedule'!$F$28,'Recurring Schedule'!$N$28)=0,IF('Recurring Schedule'!$O$28&gt;0,AND(DAY($A227)=MIN(DAY('Recurring Schedule'!$F$28),DAY(EOMONTH($A227,0))),MOD((YEAR($A227)-YEAR('Recurring Schedule'!$F$28))*12+MONTH($A227)-MONTH('Recurring Schedule'!$F$28),'Recurring Schedule'!$O$28)=0),IF('Recurring Schedule'!$E$28="Weekdays",WEEKDAY($A227,2)&lt;=5,$A227='Recurring Schedule'!$F$28))),23,""))))</f>
        <v/>
      </c>
      <c r="Y227">
        <f>IF('Recurring Schedule'!$C$29="","",IF('Recurring Schedule'!$F$29="","",IF(OR($A227&lt;'Recurring Schedule'!$F$29,$A227&gt;'Recurring Schedule'!$P$29),"",IF(IF('Recurring Schedule'!$N$29&gt;0,MOD($A227-'Recurring Schedule'!$F$29,'Recurring Schedule'!$N$29)=0,IF('Recurring Schedule'!$O$29&gt;0,AND(DAY($A227)=MIN(DAY('Recurring Schedule'!$F$29),DAY(EOMONTH($A227,0))),MOD((YEAR($A227)-YEAR('Recurring Schedule'!$F$29))*12+MONTH($A227)-MONTH('Recurring Schedule'!$F$29),'Recurring Schedule'!$O$29)=0),IF('Recurring Schedule'!$E$29="Weekdays",WEEKDAY($A227,2)&lt;=5,$A227='Recurring Schedule'!$F$29))),24,""))))</f>
        <v/>
      </c>
      <c r="Z227">
        <f>IF('Recurring Schedule'!$C$30="","",IF('Recurring Schedule'!$F$30="","",IF(OR($A227&lt;'Recurring Schedule'!$F$30,$A227&gt;'Recurring Schedule'!$P$30),"",IF(IF('Recurring Schedule'!$N$30&gt;0,MOD($A227-'Recurring Schedule'!$F$30,'Recurring Schedule'!$N$30)=0,IF('Recurring Schedule'!$O$30&gt;0,AND(DAY($A227)=MIN(DAY('Recurring Schedule'!$F$30),DAY(EOMONTH($A227,0))),MOD((YEAR($A227)-YEAR('Recurring Schedule'!$F$30))*12+MONTH($A227)-MONTH('Recurring Schedule'!$F$30),'Recurring Schedule'!$O$30)=0),IF('Recurring Schedule'!$E$30="Weekdays",WEEKDAY($A227,2)&lt;=5,$A227='Recurring Schedule'!$F$30))),25,""))))</f>
        <v/>
      </c>
      <c r="AA227">
        <f>IF('Recurring Schedule'!$C$31="","",IF('Recurring Schedule'!$F$31="","",IF(OR($A227&lt;'Recurring Schedule'!$F$31,$A227&gt;'Recurring Schedule'!$P$31),"",IF(IF('Recurring Schedule'!$N$31&gt;0,MOD($A227-'Recurring Schedule'!$F$31,'Recurring Schedule'!$N$31)=0,IF('Recurring Schedule'!$O$31&gt;0,AND(DAY($A227)=MIN(DAY('Recurring Schedule'!$F$31),DAY(EOMONTH($A227,0))),MOD((YEAR($A227)-YEAR('Recurring Schedule'!$F$31))*12+MONTH($A227)-MONTH('Recurring Schedule'!$F$31),'Recurring Schedule'!$O$31)=0),IF('Recurring Schedule'!$E$31="Weekdays",WEEKDAY($A227,2)&lt;=5,$A227='Recurring Schedule'!$F$31))),26,""))))</f>
        <v/>
      </c>
      <c r="AB227">
        <f>IF('Recurring Schedule'!$C$32="","",IF('Recurring Schedule'!$F$32="","",IF(OR($A227&lt;'Recurring Schedule'!$F$32,$A227&gt;'Recurring Schedule'!$P$32),"",IF(IF('Recurring Schedule'!$N$32&gt;0,MOD($A227-'Recurring Schedule'!$F$32,'Recurring Schedule'!$N$32)=0,IF('Recurring Schedule'!$O$32&gt;0,AND(DAY($A227)=MIN(DAY('Recurring Schedule'!$F$32),DAY(EOMONTH($A227,0))),MOD((YEAR($A227)-YEAR('Recurring Schedule'!$F$32))*12+MONTH($A227)-MONTH('Recurring Schedule'!$F$32),'Recurring Schedule'!$O$32)=0),IF('Recurring Schedule'!$E$32="Weekdays",WEEKDAY($A227,2)&lt;=5,$A227='Recurring Schedule'!$F$32))),27,""))))</f>
        <v/>
      </c>
      <c r="AC227">
        <f>IF('Recurring Schedule'!$C$33="","",IF('Recurring Schedule'!$F$33="","",IF(OR($A227&lt;'Recurring Schedule'!$F$33,$A227&gt;'Recurring Schedule'!$P$33),"",IF(IF('Recurring Schedule'!$N$33&gt;0,MOD($A227-'Recurring Schedule'!$F$33,'Recurring Schedule'!$N$33)=0,IF('Recurring Schedule'!$O$33&gt;0,AND(DAY($A227)=MIN(DAY('Recurring Schedule'!$F$33),DAY(EOMONTH($A227,0))),MOD((YEAR($A227)-YEAR('Recurring Schedule'!$F$33))*12+MONTH($A227)-MONTH('Recurring Schedule'!$F$33),'Recurring Schedule'!$O$33)=0),IF('Recurring Schedule'!$E$33="Weekdays",WEEKDAY($A227,2)&lt;=5,$A227='Recurring Schedule'!$F$33))),28,""))))</f>
        <v/>
      </c>
      <c r="AD227">
        <f>IF('Recurring Schedule'!$C$34="","",IF('Recurring Schedule'!$F$34="","",IF(OR($A227&lt;'Recurring Schedule'!$F$34,$A227&gt;'Recurring Schedule'!$P$34),"",IF(IF('Recurring Schedule'!$N$34&gt;0,MOD($A227-'Recurring Schedule'!$F$34,'Recurring Schedule'!$N$34)=0,IF('Recurring Schedule'!$O$34&gt;0,AND(DAY($A227)=MIN(DAY('Recurring Schedule'!$F$34),DAY(EOMONTH($A227,0))),MOD((YEAR($A227)-YEAR('Recurring Schedule'!$F$34))*12+MONTH($A227)-MONTH('Recurring Schedule'!$F$34),'Recurring Schedule'!$O$34)=0),IF('Recurring Schedule'!$E$34="Weekdays",WEEKDAY($A227,2)&lt;=5,$A227='Recurring Schedule'!$F$34))),29,""))))</f>
        <v/>
      </c>
      <c r="AE227">
        <f>IF('Recurring Schedule'!$C$35="","",IF('Recurring Schedule'!$F$35="","",IF(OR($A227&lt;'Recurring Schedule'!$F$35,$A227&gt;'Recurring Schedule'!$P$35),"",IF(IF('Recurring Schedule'!$N$35&gt;0,MOD($A227-'Recurring Schedule'!$F$35,'Recurring Schedule'!$N$35)=0,IF('Recurring Schedule'!$O$35&gt;0,AND(DAY($A227)=MIN(DAY('Recurring Schedule'!$F$35),DAY(EOMONTH($A227,0))),MOD((YEAR($A227)-YEAR('Recurring Schedule'!$F$35))*12+MONTH($A227)-MONTH('Recurring Schedule'!$F$35),'Recurring Schedule'!$O$35)=0),IF('Recurring Schedule'!$E$35="Weekdays",WEEKDAY($A227,2)&lt;=5,$A227='Recurring Schedule'!$F$35))),30,""))))</f>
        <v/>
      </c>
      <c r="AF227">
        <f>IF('Recurring Schedule'!$C$36="","",IF('Recurring Schedule'!$F$36="","",IF(OR($A227&lt;'Recurring Schedule'!$F$36,$A227&gt;'Recurring Schedule'!$P$36),"",IF(IF('Recurring Schedule'!$N$36&gt;0,MOD($A227-'Recurring Schedule'!$F$36,'Recurring Schedule'!$N$36)=0,IF('Recurring Schedule'!$O$36&gt;0,AND(DAY($A227)=MIN(DAY('Recurring Schedule'!$F$36),DAY(EOMONTH($A227,0))),MOD((YEAR($A227)-YEAR('Recurring Schedule'!$F$36))*12+MONTH($A227)-MONTH('Recurring Schedule'!$F$36),'Recurring Schedule'!$O$36)=0),IF('Recurring Schedule'!$E$36="Weekdays",WEEKDAY($A227,2)&lt;=5,$A227='Recurring Schedule'!$F$36))),31,""))))</f>
        <v/>
      </c>
      <c r="AG227">
        <f>IF('Recurring Schedule'!$C$37="","",IF('Recurring Schedule'!$F$37="","",IF(OR($A227&lt;'Recurring Schedule'!$F$37,$A227&gt;'Recurring Schedule'!$P$37),"",IF(IF('Recurring Schedule'!$N$37&gt;0,MOD($A227-'Recurring Schedule'!$F$37,'Recurring Schedule'!$N$37)=0,IF('Recurring Schedule'!$O$37&gt;0,AND(DAY($A227)=MIN(DAY('Recurring Schedule'!$F$37),DAY(EOMONTH($A227,0))),MOD((YEAR($A227)-YEAR('Recurring Schedule'!$F$37))*12+MONTH($A227)-MONTH('Recurring Schedule'!$F$37),'Recurring Schedule'!$O$37)=0),IF('Recurring Schedule'!$E$37="Weekdays",WEEKDAY($A227,2)&lt;=5,$A227='Recurring Schedule'!$F$37))),32,""))))</f>
        <v/>
      </c>
      <c r="AH227">
        <f>IF('Recurring Schedule'!$C$38="","",IF('Recurring Schedule'!$F$38="","",IF(OR($A227&lt;'Recurring Schedule'!$F$38,$A227&gt;'Recurring Schedule'!$P$38),"",IF(IF('Recurring Schedule'!$N$38&gt;0,MOD($A227-'Recurring Schedule'!$F$38,'Recurring Schedule'!$N$38)=0,IF('Recurring Schedule'!$O$38&gt;0,AND(DAY($A227)=MIN(DAY('Recurring Schedule'!$F$38),DAY(EOMONTH($A227,0))),MOD((YEAR($A227)-YEAR('Recurring Schedule'!$F$38))*12+MONTH($A227)-MONTH('Recurring Schedule'!$F$38),'Recurring Schedule'!$O$38)=0),IF('Recurring Schedule'!$E$38="Weekdays",WEEKDAY($A227,2)&lt;=5,$A227='Recurring Schedule'!$F$38))),33,""))))</f>
        <v/>
      </c>
      <c r="AI227">
        <f>IF('Recurring Schedule'!$C$39="","",IF('Recurring Schedule'!$F$39="","",IF(OR($A227&lt;'Recurring Schedule'!$F$39,$A227&gt;'Recurring Schedule'!$P$39),"",IF(IF('Recurring Schedule'!$N$39&gt;0,MOD($A227-'Recurring Schedule'!$F$39,'Recurring Schedule'!$N$39)=0,IF('Recurring Schedule'!$O$39&gt;0,AND(DAY($A227)=MIN(DAY('Recurring Schedule'!$F$39),DAY(EOMONTH($A227,0))),MOD((YEAR($A227)-YEAR('Recurring Schedule'!$F$39))*12+MONTH($A227)-MONTH('Recurring Schedule'!$F$39),'Recurring Schedule'!$O$39)=0),IF('Recurring Schedule'!$E$39="Weekdays",WEEKDAY($A227,2)&lt;=5,$A227='Recurring Schedule'!$F$39))),34,""))))</f>
        <v/>
      </c>
      <c r="AJ227">
        <f>IF('Recurring Schedule'!$C$40="","",IF('Recurring Schedule'!$F$40="","",IF(OR($A227&lt;'Recurring Schedule'!$F$40,$A227&gt;'Recurring Schedule'!$P$40),"",IF(IF('Recurring Schedule'!$N$40&gt;0,MOD($A227-'Recurring Schedule'!$F$40,'Recurring Schedule'!$N$40)=0,IF('Recurring Schedule'!$O$40&gt;0,AND(DAY($A227)=MIN(DAY('Recurring Schedule'!$F$40),DAY(EOMONTH($A227,0))),MOD((YEAR($A227)-YEAR('Recurring Schedule'!$F$40))*12+MONTH($A227)-MONTH('Recurring Schedule'!$F$40),'Recurring Schedule'!$O$40)=0),IF('Recurring Schedule'!$E$40="Weekdays",WEEKDAY($A227,2)&lt;=5,$A227='Recurring Schedule'!$F$40))),35,""))))</f>
        <v/>
      </c>
      <c r="AK227">
        <f>IF('Recurring Schedule'!$C$41="","",IF('Recurring Schedule'!$F$41="","",IF(OR($A227&lt;'Recurring Schedule'!$F$41,$A227&gt;'Recurring Schedule'!$P$41),"",IF(IF('Recurring Schedule'!$N$41&gt;0,MOD($A227-'Recurring Schedule'!$F$41,'Recurring Schedule'!$N$41)=0,IF('Recurring Schedule'!$O$41&gt;0,AND(DAY($A227)=MIN(DAY('Recurring Schedule'!$F$41),DAY(EOMONTH($A227,0))),MOD((YEAR($A227)-YEAR('Recurring Schedule'!$F$41))*12+MONTH($A227)-MONTH('Recurring Schedule'!$F$41),'Recurring Schedule'!$O$41)=0),IF('Recurring Schedule'!$E$41="Weekdays",WEEKDAY($A227,2)&lt;=5,$A227='Recurring Schedule'!$F$41))),36,""))))</f>
        <v/>
      </c>
      <c r="AL227">
        <f>IF('Recurring Schedule'!$C$42="","",IF('Recurring Schedule'!$F$42="","",IF(OR($A227&lt;'Recurring Schedule'!$F$42,$A227&gt;'Recurring Schedule'!$P$42),"",IF(IF('Recurring Schedule'!$N$42&gt;0,MOD($A227-'Recurring Schedule'!$F$42,'Recurring Schedule'!$N$42)=0,IF('Recurring Schedule'!$O$42&gt;0,AND(DAY($A227)=MIN(DAY('Recurring Schedule'!$F$42),DAY(EOMONTH($A227,0))),MOD((YEAR($A227)-YEAR('Recurring Schedule'!$F$42))*12+MONTH($A227)-MONTH('Recurring Schedule'!$F$42),'Recurring Schedule'!$O$42)=0),IF('Recurring Schedule'!$E$42="Weekdays",WEEKDAY($A227,2)&lt;=5,$A227='Recurring Schedule'!$F$42))),37,""))))</f>
        <v/>
      </c>
      <c r="AM227">
        <f>IF('Recurring Schedule'!$C$43="","",IF('Recurring Schedule'!$F$43="","",IF(OR($A227&lt;'Recurring Schedule'!$F$43,$A227&gt;'Recurring Schedule'!$P$43),"",IF(IF('Recurring Schedule'!$N$43&gt;0,MOD($A227-'Recurring Schedule'!$F$43,'Recurring Schedule'!$N$43)=0,IF('Recurring Schedule'!$O$43&gt;0,AND(DAY($A227)=MIN(DAY('Recurring Schedule'!$F$43),DAY(EOMONTH($A227,0))),MOD((YEAR($A227)-YEAR('Recurring Schedule'!$F$43))*12+MONTH($A227)-MONTH('Recurring Schedule'!$F$43),'Recurring Schedule'!$O$43)=0),IF('Recurring Schedule'!$E$43="Weekdays",WEEKDAY($A227,2)&lt;=5,$A227='Recurring Schedule'!$F$43))),38,""))))</f>
        <v/>
      </c>
      <c r="AN227">
        <f>IF('Recurring Schedule'!$C$44="","",IF('Recurring Schedule'!$F$44="","",IF(OR($A227&lt;'Recurring Schedule'!$F$44,$A227&gt;'Recurring Schedule'!$P$44),"",IF(IF('Recurring Schedule'!$N$44&gt;0,MOD($A227-'Recurring Schedule'!$F$44,'Recurring Schedule'!$N$44)=0,IF('Recurring Schedule'!$O$44&gt;0,AND(DAY($A227)=MIN(DAY('Recurring Schedule'!$F$44),DAY(EOMONTH($A227,0))),MOD((YEAR($A227)-YEAR('Recurring Schedule'!$F$44))*12+MONTH($A227)-MONTH('Recurring Schedule'!$F$44),'Recurring Schedule'!$O$44)=0),IF('Recurring Schedule'!$E$44="Weekdays",WEEKDAY($A227,2)&lt;=5,$A227='Recurring Schedule'!$F$44))),39,""))))</f>
        <v/>
      </c>
      <c r="AO227">
        <f>IF('Recurring Schedule'!$C$45="","",IF('Recurring Schedule'!$F$45="","",IF(OR($A227&lt;'Recurring Schedule'!$F$45,$A227&gt;'Recurring Schedule'!$P$45),"",IF(IF('Recurring Schedule'!$N$45&gt;0,MOD($A227-'Recurring Schedule'!$F$45,'Recurring Schedule'!$N$45)=0,IF('Recurring Schedule'!$O$45&gt;0,AND(DAY($A227)=MIN(DAY('Recurring Schedule'!$F$45),DAY(EOMONTH($A227,0))),MOD((YEAR($A227)-YEAR('Recurring Schedule'!$F$45))*12+MONTH($A227)-MONTH('Recurring Schedule'!$F$45),'Recurring Schedule'!$O$45)=0),IF('Recurring Schedule'!$E$45="Weekdays",WEEKDAY($A227,2)&lt;=5,$A227='Recurring Schedule'!$F$45))),40,""))))</f>
        <v/>
      </c>
      <c r="AP227">
        <f>COUNT(B227:AO227)</f>
        <v/>
      </c>
      <c r="AQ227">
        <f>AQ226+AP226</f>
        <v/>
      </c>
      <c r="AS227" t="inlineStr">
        <is>
          <t>R</t>
        </is>
      </c>
      <c r="AT227" t="n">
        <v>231</v>
      </c>
      <c r="AU227">
        <f>'Recurring Log'!C231&amp;""</f>
        <v/>
      </c>
      <c r="AV227">
        <f>'Recurring Log'!D231&amp;""</f>
        <v/>
      </c>
      <c r="AW227">
        <f>IF('Recurring Log'!E231="","",'Recurring Log'!E231)</f>
        <v/>
      </c>
      <c r="AX227">
        <f>IF('Recurring Log'!G231="","",'Recurring Log'!G231)</f>
        <v/>
      </c>
      <c r="AY227">
        <f>IF('Recurring Log'!H231="","",'Recurring Log'!H231)</f>
        <v/>
      </c>
      <c r="AZ227">
        <f>IF(AU227="","",IF('Recurring Log'!J231="","Not Started",'Recurring Log'!J231))</f>
        <v/>
      </c>
      <c r="BA227">
        <f>'Recurring Log'!L231&amp;""</f>
        <v/>
      </c>
      <c r="BB227">
        <f>'Recurring Log'!M231&amp;""</f>
        <v/>
      </c>
      <c r="BC227">
        <f>'Recurring Log'!N231&amp;""</f>
        <v/>
      </c>
      <c r="BD227">
        <f>'Recurring Log'!O231&amp;""</f>
        <v/>
      </c>
      <c r="BE227">
        <f>IF('Recurring Log'!K231="","",'Recurring Log'!K231)</f>
        <v/>
      </c>
      <c r="BF227">
        <f>IFERROR(MATCH(BA227,Setup!$L$6:$L$9,0),5)</f>
        <v/>
      </c>
      <c r="BG227">
        <f>IF(OR(AZ227="Done",AZ227="Cancelled"),1,0)</f>
        <v/>
      </c>
      <c r="BH227">
        <f>IF(AND(AU227&lt;&gt;"",ISNUMBER(AW227)),1,0)</f>
        <v/>
      </c>
      <c r="BI227">
        <f>IF(BH227=0,0,IF(AND(AW227&gt;='Tasks Filter'!$F$3,AW227&lt;='Tasks Filter'!$F$4,OR('Tasks Filter'!$I$3="",ISNUMBER(SEARCH('Tasks Filter'!$I$3,AU227))),OR('Tasks Filter'!$I$4="",BF227=IFERROR(MATCH('Tasks Filter'!$I$4,Setup!$L$6:$L$9,0),0)),OR('Tasks Filter'!$I$5="Both",AND('Tasks Filter'!$I$5="Yes",BB227="✓"),AND('Tasks Filter'!$I$5="No",BB227&lt;&gt;"✓")),OR('Tasks Filter'!$L$3="",AV227='Tasks Filter'!$L$3),OR('Tasks Filter'!$L$4="",AZ227='Tasks Filter'!$L$4),OR('Tasks Filter'!$L$5="",BC227='Tasks Filter'!$L$5),OR('Tasks Filter'!$O$3="",BD227='Tasks Filter'!$O$3),OR('Tasks Filter'!$O$4="Yes",BG227=0)),1,0))</f>
        <v/>
      </c>
      <c r="BJ227">
        <f>IF(BH227=0,"",IF('Tasks Filter'!$F$6="Descending",-1,1)*CHOOSE(MATCH('Tasks Filter'!$F$5,Lists!$G$2:$G$6,0),AW227,BF227,IFERROR(MATCH(AV227,Setup!$F$6:$F$15,0),99),IFERROR(MATCH(BC227,Setup!$H$6:$H$15,0),99),IFERROR(MATCH(AZ227,Setup!$J$6:$J$11,0),99))*1E+9+(AW227-40000)*10000+226)</f>
        <v/>
      </c>
      <c r="BK227">
        <f>IF(BI227=1,BJ227,"")</f>
        <v/>
      </c>
      <c r="BL227">
        <f>IF(AND(BH227=1,BG227=0,N(AW227)&lt;Setup!$D$7),(AW227-40000)*10000+226,"")</f>
        <v/>
      </c>
      <c r="BM227">
        <f>IF(AND(BH227=1,AZ227&lt;&gt;"Cancelled",N(AW227)&gt;=Dashboard!$AB$3,N(AW227)&lt;=Dashboard!$AB$3+6),(AW227-40000)*100000+BF227*10000+226,"")</f>
        <v/>
      </c>
      <c r="BN227">
        <f>IF(AND(BH227=1,AZ227&lt;&gt;"Cancelled"),BF227*10000+226,"")</f>
        <v/>
      </c>
    </row>
    <row r="228">
      <c r="A228">
        <f>Setup!$D$5+226</f>
        <v/>
      </c>
      <c r="B228">
        <f>IF('Recurring Schedule'!$C$6="","",IF('Recurring Schedule'!$F$6="","",IF(OR($A228&lt;'Recurring Schedule'!$F$6,$A228&gt;'Recurring Schedule'!$P$6),"",IF(IF('Recurring Schedule'!$N$6&gt;0,MOD($A228-'Recurring Schedule'!$F$6,'Recurring Schedule'!$N$6)=0,IF('Recurring Schedule'!$O$6&gt;0,AND(DAY($A228)=MIN(DAY('Recurring Schedule'!$F$6),DAY(EOMONTH($A228,0))),MOD((YEAR($A228)-YEAR('Recurring Schedule'!$F$6))*12+MONTH($A228)-MONTH('Recurring Schedule'!$F$6),'Recurring Schedule'!$O$6)=0),IF('Recurring Schedule'!$E$6="Weekdays",WEEKDAY($A228,2)&lt;=5,$A228='Recurring Schedule'!$F$6))),1,""))))</f>
        <v/>
      </c>
      <c r="C228">
        <f>IF('Recurring Schedule'!$C$7="","",IF('Recurring Schedule'!$F$7="","",IF(OR($A228&lt;'Recurring Schedule'!$F$7,$A228&gt;'Recurring Schedule'!$P$7),"",IF(IF('Recurring Schedule'!$N$7&gt;0,MOD($A228-'Recurring Schedule'!$F$7,'Recurring Schedule'!$N$7)=0,IF('Recurring Schedule'!$O$7&gt;0,AND(DAY($A228)=MIN(DAY('Recurring Schedule'!$F$7),DAY(EOMONTH($A228,0))),MOD((YEAR($A228)-YEAR('Recurring Schedule'!$F$7))*12+MONTH($A228)-MONTH('Recurring Schedule'!$F$7),'Recurring Schedule'!$O$7)=0),IF('Recurring Schedule'!$E$7="Weekdays",WEEKDAY($A228,2)&lt;=5,$A228='Recurring Schedule'!$F$7))),2,""))))</f>
        <v/>
      </c>
      <c r="D228">
        <f>IF('Recurring Schedule'!$C$8="","",IF('Recurring Schedule'!$F$8="","",IF(OR($A228&lt;'Recurring Schedule'!$F$8,$A228&gt;'Recurring Schedule'!$P$8),"",IF(IF('Recurring Schedule'!$N$8&gt;0,MOD($A228-'Recurring Schedule'!$F$8,'Recurring Schedule'!$N$8)=0,IF('Recurring Schedule'!$O$8&gt;0,AND(DAY($A228)=MIN(DAY('Recurring Schedule'!$F$8),DAY(EOMONTH($A228,0))),MOD((YEAR($A228)-YEAR('Recurring Schedule'!$F$8))*12+MONTH($A228)-MONTH('Recurring Schedule'!$F$8),'Recurring Schedule'!$O$8)=0),IF('Recurring Schedule'!$E$8="Weekdays",WEEKDAY($A228,2)&lt;=5,$A228='Recurring Schedule'!$F$8))),3,""))))</f>
        <v/>
      </c>
      <c r="E228">
        <f>IF('Recurring Schedule'!$C$9="","",IF('Recurring Schedule'!$F$9="","",IF(OR($A228&lt;'Recurring Schedule'!$F$9,$A228&gt;'Recurring Schedule'!$P$9),"",IF(IF('Recurring Schedule'!$N$9&gt;0,MOD($A228-'Recurring Schedule'!$F$9,'Recurring Schedule'!$N$9)=0,IF('Recurring Schedule'!$O$9&gt;0,AND(DAY($A228)=MIN(DAY('Recurring Schedule'!$F$9),DAY(EOMONTH($A228,0))),MOD((YEAR($A228)-YEAR('Recurring Schedule'!$F$9))*12+MONTH($A228)-MONTH('Recurring Schedule'!$F$9),'Recurring Schedule'!$O$9)=0),IF('Recurring Schedule'!$E$9="Weekdays",WEEKDAY($A228,2)&lt;=5,$A228='Recurring Schedule'!$F$9))),4,""))))</f>
        <v/>
      </c>
      <c r="F228">
        <f>IF('Recurring Schedule'!$C$10="","",IF('Recurring Schedule'!$F$10="","",IF(OR($A228&lt;'Recurring Schedule'!$F$10,$A228&gt;'Recurring Schedule'!$P$10),"",IF(IF('Recurring Schedule'!$N$10&gt;0,MOD($A228-'Recurring Schedule'!$F$10,'Recurring Schedule'!$N$10)=0,IF('Recurring Schedule'!$O$10&gt;0,AND(DAY($A228)=MIN(DAY('Recurring Schedule'!$F$10),DAY(EOMONTH($A228,0))),MOD((YEAR($A228)-YEAR('Recurring Schedule'!$F$10))*12+MONTH($A228)-MONTH('Recurring Schedule'!$F$10),'Recurring Schedule'!$O$10)=0),IF('Recurring Schedule'!$E$10="Weekdays",WEEKDAY($A228,2)&lt;=5,$A228='Recurring Schedule'!$F$10))),5,""))))</f>
        <v/>
      </c>
      <c r="G228">
        <f>IF('Recurring Schedule'!$C$11="","",IF('Recurring Schedule'!$F$11="","",IF(OR($A228&lt;'Recurring Schedule'!$F$11,$A228&gt;'Recurring Schedule'!$P$11),"",IF(IF('Recurring Schedule'!$N$11&gt;0,MOD($A228-'Recurring Schedule'!$F$11,'Recurring Schedule'!$N$11)=0,IF('Recurring Schedule'!$O$11&gt;0,AND(DAY($A228)=MIN(DAY('Recurring Schedule'!$F$11),DAY(EOMONTH($A228,0))),MOD((YEAR($A228)-YEAR('Recurring Schedule'!$F$11))*12+MONTH($A228)-MONTH('Recurring Schedule'!$F$11),'Recurring Schedule'!$O$11)=0),IF('Recurring Schedule'!$E$11="Weekdays",WEEKDAY($A228,2)&lt;=5,$A228='Recurring Schedule'!$F$11))),6,""))))</f>
        <v/>
      </c>
      <c r="H228">
        <f>IF('Recurring Schedule'!$C$12="","",IF('Recurring Schedule'!$F$12="","",IF(OR($A228&lt;'Recurring Schedule'!$F$12,$A228&gt;'Recurring Schedule'!$P$12),"",IF(IF('Recurring Schedule'!$N$12&gt;0,MOD($A228-'Recurring Schedule'!$F$12,'Recurring Schedule'!$N$12)=0,IF('Recurring Schedule'!$O$12&gt;0,AND(DAY($A228)=MIN(DAY('Recurring Schedule'!$F$12),DAY(EOMONTH($A228,0))),MOD((YEAR($A228)-YEAR('Recurring Schedule'!$F$12))*12+MONTH($A228)-MONTH('Recurring Schedule'!$F$12),'Recurring Schedule'!$O$12)=0),IF('Recurring Schedule'!$E$12="Weekdays",WEEKDAY($A228,2)&lt;=5,$A228='Recurring Schedule'!$F$12))),7,""))))</f>
        <v/>
      </c>
      <c r="I228">
        <f>IF('Recurring Schedule'!$C$13="","",IF('Recurring Schedule'!$F$13="","",IF(OR($A228&lt;'Recurring Schedule'!$F$13,$A228&gt;'Recurring Schedule'!$P$13),"",IF(IF('Recurring Schedule'!$N$13&gt;0,MOD($A228-'Recurring Schedule'!$F$13,'Recurring Schedule'!$N$13)=0,IF('Recurring Schedule'!$O$13&gt;0,AND(DAY($A228)=MIN(DAY('Recurring Schedule'!$F$13),DAY(EOMONTH($A228,0))),MOD((YEAR($A228)-YEAR('Recurring Schedule'!$F$13))*12+MONTH($A228)-MONTH('Recurring Schedule'!$F$13),'Recurring Schedule'!$O$13)=0),IF('Recurring Schedule'!$E$13="Weekdays",WEEKDAY($A228,2)&lt;=5,$A228='Recurring Schedule'!$F$13))),8,""))))</f>
        <v/>
      </c>
      <c r="J228">
        <f>IF('Recurring Schedule'!$C$14="","",IF('Recurring Schedule'!$F$14="","",IF(OR($A228&lt;'Recurring Schedule'!$F$14,$A228&gt;'Recurring Schedule'!$P$14),"",IF(IF('Recurring Schedule'!$N$14&gt;0,MOD($A228-'Recurring Schedule'!$F$14,'Recurring Schedule'!$N$14)=0,IF('Recurring Schedule'!$O$14&gt;0,AND(DAY($A228)=MIN(DAY('Recurring Schedule'!$F$14),DAY(EOMONTH($A228,0))),MOD((YEAR($A228)-YEAR('Recurring Schedule'!$F$14))*12+MONTH($A228)-MONTH('Recurring Schedule'!$F$14),'Recurring Schedule'!$O$14)=0),IF('Recurring Schedule'!$E$14="Weekdays",WEEKDAY($A228,2)&lt;=5,$A228='Recurring Schedule'!$F$14))),9,""))))</f>
        <v/>
      </c>
      <c r="K228">
        <f>IF('Recurring Schedule'!$C$15="","",IF('Recurring Schedule'!$F$15="","",IF(OR($A228&lt;'Recurring Schedule'!$F$15,$A228&gt;'Recurring Schedule'!$P$15),"",IF(IF('Recurring Schedule'!$N$15&gt;0,MOD($A228-'Recurring Schedule'!$F$15,'Recurring Schedule'!$N$15)=0,IF('Recurring Schedule'!$O$15&gt;0,AND(DAY($A228)=MIN(DAY('Recurring Schedule'!$F$15),DAY(EOMONTH($A228,0))),MOD((YEAR($A228)-YEAR('Recurring Schedule'!$F$15))*12+MONTH($A228)-MONTH('Recurring Schedule'!$F$15),'Recurring Schedule'!$O$15)=0),IF('Recurring Schedule'!$E$15="Weekdays",WEEKDAY($A228,2)&lt;=5,$A228='Recurring Schedule'!$F$15))),10,""))))</f>
        <v/>
      </c>
      <c r="L228">
        <f>IF('Recurring Schedule'!$C$16="","",IF('Recurring Schedule'!$F$16="","",IF(OR($A228&lt;'Recurring Schedule'!$F$16,$A228&gt;'Recurring Schedule'!$P$16),"",IF(IF('Recurring Schedule'!$N$16&gt;0,MOD($A228-'Recurring Schedule'!$F$16,'Recurring Schedule'!$N$16)=0,IF('Recurring Schedule'!$O$16&gt;0,AND(DAY($A228)=MIN(DAY('Recurring Schedule'!$F$16),DAY(EOMONTH($A228,0))),MOD((YEAR($A228)-YEAR('Recurring Schedule'!$F$16))*12+MONTH($A228)-MONTH('Recurring Schedule'!$F$16),'Recurring Schedule'!$O$16)=0),IF('Recurring Schedule'!$E$16="Weekdays",WEEKDAY($A228,2)&lt;=5,$A228='Recurring Schedule'!$F$16))),11,""))))</f>
        <v/>
      </c>
      <c r="M228">
        <f>IF('Recurring Schedule'!$C$17="","",IF('Recurring Schedule'!$F$17="","",IF(OR($A228&lt;'Recurring Schedule'!$F$17,$A228&gt;'Recurring Schedule'!$P$17),"",IF(IF('Recurring Schedule'!$N$17&gt;0,MOD($A228-'Recurring Schedule'!$F$17,'Recurring Schedule'!$N$17)=0,IF('Recurring Schedule'!$O$17&gt;0,AND(DAY($A228)=MIN(DAY('Recurring Schedule'!$F$17),DAY(EOMONTH($A228,0))),MOD((YEAR($A228)-YEAR('Recurring Schedule'!$F$17))*12+MONTH($A228)-MONTH('Recurring Schedule'!$F$17),'Recurring Schedule'!$O$17)=0),IF('Recurring Schedule'!$E$17="Weekdays",WEEKDAY($A228,2)&lt;=5,$A228='Recurring Schedule'!$F$17))),12,""))))</f>
        <v/>
      </c>
      <c r="N228">
        <f>IF('Recurring Schedule'!$C$18="","",IF('Recurring Schedule'!$F$18="","",IF(OR($A228&lt;'Recurring Schedule'!$F$18,$A228&gt;'Recurring Schedule'!$P$18),"",IF(IF('Recurring Schedule'!$N$18&gt;0,MOD($A228-'Recurring Schedule'!$F$18,'Recurring Schedule'!$N$18)=0,IF('Recurring Schedule'!$O$18&gt;0,AND(DAY($A228)=MIN(DAY('Recurring Schedule'!$F$18),DAY(EOMONTH($A228,0))),MOD((YEAR($A228)-YEAR('Recurring Schedule'!$F$18))*12+MONTH($A228)-MONTH('Recurring Schedule'!$F$18),'Recurring Schedule'!$O$18)=0),IF('Recurring Schedule'!$E$18="Weekdays",WEEKDAY($A228,2)&lt;=5,$A228='Recurring Schedule'!$F$18))),13,""))))</f>
        <v/>
      </c>
      <c r="O228">
        <f>IF('Recurring Schedule'!$C$19="","",IF('Recurring Schedule'!$F$19="","",IF(OR($A228&lt;'Recurring Schedule'!$F$19,$A228&gt;'Recurring Schedule'!$P$19),"",IF(IF('Recurring Schedule'!$N$19&gt;0,MOD($A228-'Recurring Schedule'!$F$19,'Recurring Schedule'!$N$19)=0,IF('Recurring Schedule'!$O$19&gt;0,AND(DAY($A228)=MIN(DAY('Recurring Schedule'!$F$19),DAY(EOMONTH($A228,0))),MOD((YEAR($A228)-YEAR('Recurring Schedule'!$F$19))*12+MONTH($A228)-MONTH('Recurring Schedule'!$F$19),'Recurring Schedule'!$O$19)=0),IF('Recurring Schedule'!$E$19="Weekdays",WEEKDAY($A228,2)&lt;=5,$A228='Recurring Schedule'!$F$19))),14,""))))</f>
        <v/>
      </c>
      <c r="P228">
        <f>IF('Recurring Schedule'!$C$20="","",IF('Recurring Schedule'!$F$20="","",IF(OR($A228&lt;'Recurring Schedule'!$F$20,$A228&gt;'Recurring Schedule'!$P$20),"",IF(IF('Recurring Schedule'!$N$20&gt;0,MOD($A228-'Recurring Schedule'!$F$20,'Recurring Schedule'!$N$20)=0,IF('Recurring Schedule'!$O$20&gt;0,AND(DAY($A228)=MIN(DAY('Recurring Schedule'!$F$20),DAY(EOMONTH($A228,0))),MOD((YEAR($A228)-YEAR('Recurring Schedule'!$F$20))*12+MONTH($A228)-MONTH('Recurring Schedule'!$F$20),'Recurring Schedule'!$O$20)=0),IF('Recurring Schedule'!$E$20="Weekdays",WEEKDAY($A228,2)&lt;=5,$A228='Recurring Schedule'!$F$20))),15,""))))</f>
        <v/>
      </c>
      <c r="Q228">
        <f>IF('Recurring Schedule'!$C$21="","",IF('Recurring Schedule'!$F$21="","",IF(OR($A228&lt;'Recurring Schedule'!$F$21,$A228&gt;'Recurring Schedule'!$P$21),"",IF(IF('Recurring Schedule'!$N$21&gt;0,MOD($A228-'Recurring Schedule'!$F$21,'Recurring Schedule'!$N$21)=0,IF('Recurring Schedule'!$O$21&gt;0,AND(DAY($A228)=MIN(DAY('Recurring Schedule'!$F$21),DAY(EOMONTH($A228,0))),MOD((YEAR($A228)-YEAR('Recurring Schedule'!$F$21))*12+MONTH($A228)-MONTH('Recurring Schedule'!$F$21),'Recurring Schedule'!$O$21)=0),IF('Recurring Schedule'!$E$21="Weekdays",WEEKDAY($A228,2)&lt;=5,$A228='Recurring Schedule'!$F$21))),16,""))))</f>
        <v/>
      </c>
      <c r="R228">
        <f>IF('Recurring Schedule'!$C$22="","",IF('Recurring Schedule'!$F$22="","",IF(OR($A228&lt;'Recurring Schedule'!$F$22,$A228&gt;'Recurring Schedule'!$P$22),"",IF(IF('Recurring Schedule'!$N$22&gt;0,MOD($A228-'Recurring Schedule'!$F$22,'Recurring Schedule'!$N$22)=0,IF('Recurring Schedule'!$O$22&gt;0,AND(DAY($A228)=MIN(DAY('Recurring Schedule'!$F$22),DAY(EOMONTH($A228,0))),MOD((YEAR($A228)-YEAR('Recurring Schedule'!$F$22))*12+MONTH($A228)-MONTH('Recurring Schedule'!$F$22),'Recurring Schedule'!$O$22)=0),IF('Recurring Schedule'!$E$22="Weekdays",WEEKDAY($A228,2)&lt;=5,$A228='Recurring Schedule'!$F$22))),17,""))))</f>
        <v/>
      </c>
      <c r="S228">
        <f>IF('Recurring Schedule'!$C$23="","",IF('Recurring Schedule'!$F$23="","",IF(OR($A228&lt;'Recurring Schedule'!$F$23,$A228&gt;'Recurring Schedule'!$P$23),"",IF(IF('Recurring Schedule'!$N$23&gt;0,MOD($A228-'Recurring Schedule'!$F$23,'Recurring Schedule'!$N$23)=0,IF('Recurring Schedule'!$O$23&gt;0,AND(DAY($A228)=MIN(DAY('Recurring Schedule'!$F$23),DAY(EOMONTH($A228,0))),MOD((YEAR($A228)-YEAR('Recurring Schedule'!$F$23))*12+MONTH($A228)-MONTH('Recurring Schedule'!$F$23),'Recurring Schedule'!$O$23)=0),IF('Recurring Schedule'!$E$23="Weekdays",WEEKDAY($A228,2)&lt;=5,$A228='Recurring Schedule'!$F$23))),18,""))))</f>
        <v/>
      </c>
      <c r="T228">
        <f>IF('Recurring Schedule'!$C$24="","",IF('Recurring Schedule'!$F$24="","",IF(OR($A228&lt;'Recurring Schedule'!$F$24,$A228&gt;'Recurring Schedule'!$P$24),"",IF(IF('Recurring Schedule'!$N$24&gt;0,MOD($A228-'Recurring Schedule'!$F$24,'Recurring Schedule'!$N$24)=0,IF('Recurring Schedule'!$O$24&gt;0,AND(DAY($A228)=MIN(DAY('Recurring Schedule'!$F$24),DAY(EOMONTH($A228,0))),MOD((YEAR($A228)-YEAR('Recurring Schedule'!$F$24))*12+MONTH($A228)-MONTH('Recurring Schedule'!$F$24),'Recurring Schedule'!$O$24)=0),IF('Recurring Schedule'!$E$24="Weekdays",WEEKDAY($A228,2)&lt;=5,$A228='Recurring Schedule'!$F$24))),19,""))))</f>
        <v/>
      </c>
      <c r="U228">
        <f>IF('Recurring Schedule'!$C$25="","",IF('Recurring Schedule'!$F$25="","",IF(OR($A228&lt;'Recurring Schedule'!$F$25,$A228&gt;'Recurring Schedule'!$P$25),"",IF(IF('Recurring Schedule'!$N$25&gt;0,MOD($A228-'Recurring Schedule'!$F$25,'Recurring Schedule'!$N$25)=0,IF('Recurring Schedule'!$O$25&gt;0,AND(DAY($A228)=MIN(DAY('Recurring Schedule'!$F$25),DAY(EOMONTH($A228,0))),MOD((YEAR($A228)-YEAR('Recurring Schedule'!$F$25))*12+MONTH($A228)-MONTH('Recurring Schedule'!$F$25),'Recurring Schedule'!$O$25)=0),IF('Recurring Schedule'!$E$25="Weekdays",WEEKDAY($A228,2)&lt;=5,$A228='Recurring Schedule'!$F$25))),20,""))))</f>
        <v/>
      </c>
      <c r="V228">
        <f>IF('Recurring Schedule'!$C$26="","",IF('Recurring Schedule'!$F$26="","",IF(OR($A228&lt;'Recurring Schedule'!$F$26,$A228&gt;'Recurring Schedule'!$P$26),"",IF(IF('Recurring Schedule'!$N$26&gt;0,MOD($A228-'Recurring Schedule'!$F$26,'Recurring Schedule'!$N$26)=0,IF('Recurring Schedule'!$O$26&gt;0,AND(DAY($A228)=MIN(DAY('Recurring Schedule'!$F$26),DAY(EOMONTH($A228,0))),MOD((YEAR($A228)-YEAR('Recurring Schedule'!$F$26))*12+MONTH($A228)-MONTH('Recurring Schedule'!$F$26),'Recurring Schedule'!$O$26)=0),IF('Recurring Schedule'!$E$26="Weekdays",WEEKDAY($A228,2)&lt;=5,$A228='Recurring Schedule'!$F$26))),21,""))))</f>
        <v/>
      </c>
      <c r="W228">
        <f>IF('Recurring Schedule'!$C$27="","",IF('Recurring Schedule'!$F$27="","",IF(OR($A228&lt;'Recurring Schedule'!$F$27,$A228&gt;'Recurring Schedule'!$P$27),"",IF(IF('Recurring Schedule'!$N$27&gt;0,MOD($A228-'Recurring Schedule'!$F$27,'Recurring Schedule'!$N$27)=0,IF('Recurring Schedule'!$O$27&gt;0,AND(DAY($A228)=MIN(DAY('Recurring Schedule'!$F$27),DAY(EOMONTH($A228,0))),MOD((YEAR($A228)-YEAR('Recurring Schedule'!$F$27))*12+MONTH($A228)-MONTH('Recurring Schedule'!$F$27),'Recurring Schedule'!$O$27)=0),IF('Recurring Schedule'!$E$27="Weekdays",WEEKDAY($A228,2)&lt;=5,$A228='Recurring Schedule'!$F$27))),22,""))))</f>
        <v/>
      </c>
      <c r="X228">
        <f>IF('Recurring Schedule'!$C$28="","",IF('Recurring Schedule'!$F$28="","",IF(OR($A228&lt;'Recurring Schedule'!$F$28,$A228&gt;'Recurring Schedule'!$P$28),"",IF(IF('Recurring Schedule'!$N$28&gt;0,MOD($A228-'Recurring Schedule'!$F$28,'Recurring Schedule'!$N$28)=0,IF('Recurring Schedule'!$O$28&gt;0,AND(DAY($A228)=MIN(DAY('Recurring Schedule'!$F$28),DAY(EOMONTH($A228,0))),MOD((YEAR($A228)-YEAR('Recurring Schedule'!$F$28))*12+MONTH($A228)-MONTH('Recurring Schedule'!$F$28),'Recurring Schedule'!$O$28)=0),IF('Recurring Schedule'!$E$28="Weekdays",WEEKDAY($A228,2)&lt;=5,$A228='Recurring Schedule'!$F$28))),23,""))))</f>
        <v/>
      </c>
      <c r="Y228">
        <f>IF('Recurring Schedule'!$C$29="","",IF('Recurring Schedule'!$F$29="","",IF(OR($A228&lt;'Recurring Schedule'!$F$29,$A228&gt;'Recurring Schedule'!$P$29),"",IF(IF('Recurring Schedule'!$N$29&gt;0,MOD($A228-'Recurring Schedule'!$F$29,'Recurring Schedule'!$N$29)=0,IF('Recurring Schedule'!$O$29&gt;0,AND(DAY($A228)=MIN(DAY('Recurring Schedule'!$F$29),DAY(EOMONTH($A228,0))),MOD((YEAR($A228)-YEAR('Recurring Schedule'!$F$29))*12+MONTH($A228)-MONTH('Recurring Schedule'!$F$29),'Recurring Schedule'!$O$29)=0),IF('Recurring Schedule'!$E$29="Weekdays",WEEKDAY($A228,2)&lt;=5,$A228='Recurring Schedule'!$F$29))),24,""))))</f>
        <v/>
      </c>
      <c r="Z228">
        <f>IF('Recurring Schedule'!$C$30="","",IF('Recurring Schedule'!$F$30="","",IF(OR($A228&lt;'Recurring Schedule'!$F$30,$A228&gt;'Recurring Schedule'!$P$30),"",IF(IF('Recurring Schedule'!$N$30&gt;0,MOD($A228-'Recurring Schedule'!$F$30,'Recurring Schedule'!$N$30)=0,IF('Recurring Schedule'!$O$30&gt;0,AND(DAY($A228)=MIN(DAY('Recurring Schedule'!$F$30),DAY(EOMONTH($A228,0))),MOD((YEAR($A228)-YEAR('Recurring Schedule'!$F$30))*12+MONTH($A228)-MONTH('Recurring Schedule'!$F$30),'Recurring Schedule'!$O$30)=0),IF('Recurring Schedule'!$E$30="Weekdays",WEEKDAY($A228,2)&lt;=5,$A228='Recurring Schedule'!$F$30))),25,""))))</f>
        <v/>
      </c>
      <c r="AA228">
        <f>IF('Recurring Schedule'!$C$31="","",IF('Recurring Schedule'!$F$31="","",IF(OR($A228&lt;'Recurring Schedule'!$F$31,$A228&gt;'Recurring Schedule'!$P$31),"",IF(IF('Recurring Schedule'!$N$31&gt;0,MOD($A228-'Recurring Schedule'!$F$31,'Recurring Schedule'!$N$31)=0,IF('Recurring Schedule'!$O$31&gt;0,AND(DAY($A228)=MIN(DAY('Recurring Schedule'!$F$31),DAY(EOMONTH($A228,0))),MOD((YEAR($A228)-YEAR('Recurring Schedule'!$F$31))*12+MONTH($A228)-MONTH('Recurring Schedule'!$F$31),'Recurring Schedule'!$O$31)=0),IF('Recurring Schedule'!$E$31="Weekdays",WEEKDAY($A228,2)&lt;=5,$A228='Recurring Schedule'!$F$31))),26,""))))</f>
        <v/>
      </c>
      <c r="AB228">
        <f>IF('Recurring Schedule'!$C$32="","",IF('Recurring Schedule'!$F$32="","",IF(OR($A228&lt;'Recurring Schedule'!$F$32,$A228&gt;'Recurring Schedule'!$P$32),"",IF(IF('Recurring Schedule'!$N$32&gt;0,MOD($A228-'Recurring Schedule'!$F$32,'Recurring Schedule'!$N$32)=0,IF('Recurring Schedule'!$O$32&gt;0,AND(DAY($A228)=MIN(DAY('Recurring Schedule'!$F$32),DAY(EOMONTH($A228,0))),MOD((YEAR($A228)-YEAR('Recurring Schedule'!$F$32))*12+MONTH($A228)-MONTH('Recurring Schedule'!$F$32),'Recurring Schedule'!$O$32)=0),IF('Recurring Schedule'!$E$32="Weekdays",WEEKDAY($A228,2)&lt;=5,$A228='Recurring Schedule'!$F$32))),27,""))))</f>
        <v/>
      </c>
      <c r="AC228">
        <f>IF('Recurring Schedule'!$C$33="","",IF('Recurring Schedule'!$F$33="","",IF(OR($A228&lt;'Recurring Schedule'!$F$33,$A228&gt;'Recurring Schedule'!$P$33),"",IF(IF('Recurring Schedule'!$N$33&gt;0,MOD($A228-'Recurring Schedule'!$F$33,'Recurring Schedule'!$N$33)=0,IF('Recurring Schedule'!$O$33&gt;0,AND(DAY($A228)=MIN(DAY('Recurring Schedule'!$F$33),DAY(EOMONTH($A228,0))),MOD((YEAR($A228)-YEAR('Recurring Schedule'!$F$33))*12+MONTH($A228)-MONTH('Recurring Schedule'!$F$33),'Recurring Schedule'!$O$33)=0),IF('Recurring Schedule'!$E$33="Weekdays",WEEKDAY($A228,2)&lt;=5,$A228='Recurring Schedule'!$F$33))),28,""))))</f>
        <v/>
      </c>
      <c r="AD228">
        <f>IF('Recurring Schedule'!$C$34="","",IF('Recurring Schedule'!$F$34="","",IF(OR($A228&lt;'Recurring Schedule'!$F$34,$A228&gt;'Recurring Schedule'!$P$34),"",IF(IF('Recurring Schedule'!$N$34&gt;0,MOD($A228-'Recurring Schedule'!$F$34,'Recurring Schedule'!$N$34)=0,IF('Recurring Schedule'!$O$34&gt;0,AND(DAY($A228)=MIN(DAY('Recurring Schedule'!$F$34),DAY(EOMONTH($A228,0))),MOD((YEAR($A228)-YEAR('Recurring Schedule'!$F$34))*12+MONTH($A228)-MONTH('Recurring Schedule'!$F$34),'Recurring Schedule'!$O$34)=0),IF('Recurring Schedule'!$E$34="Weekdays",WEEKDAY($A228,2)&lt;=5,$A228='Recurring Schedule'!$F$34))),29,""))))</f>
        <v/>
      </c>
      <c r="AE228">
        <f>IF('Recurring Schedule'!$C$35="","",IF('Recurring Schedule'!$F$35="","",IF(OR($A228&lt;'Recurring Schedule'!$F$35,$A228&gt;'Recurring Schedule'!$P$35),"",IF(IF('Recurring Schedule'!$N$35&gt;0,MOD($A228-'Recurring Schedule'!$F$35,'Recurring Schedule'!$N$35)=0,IF('Recurring Schedule'!$O$35&gt;0,AND(DAY($A228)=MIN(DAY('Recurring Schedule'!$F$35),DAY(EOMONTH($A228,0))),MOD((YEAR($A228)-YEAR('Recurring Schedule'!$F$35))*12+MONTH($A228)-MONTH('Recurring Schedule'!$F$35),'Recurring Schedule'!$O$35)=0),IF('Recurring Schedule'!$E$35="Weekdays",WEEKDAY($A228,2)&lt;=5,$A228='Recurring Schedule'!$F$35))),30,""))))</f>
        <v/>
      </c>
      <c r="AF228">
        <f>IF('Recurring Schedule'!$C$36="","",IF('Recurring Schedule'!$F$36="","",IF(OR($A228&lt;'Recurring Schedule'!$F$36,$A228&gt;'Recurring Schedule'!$P$36),"",IF(IF('Recurring Schedule'!$N$36&gt;0,MOD($A228-'Recurring Schedule'!$F$36,'Recurring Schedule'!$N$36)=0,IF('Recurring Schedule'!$O$36&gt;0,AND(DAY($A228)=MIN(DAY('Recurring Schedule'!$F$36),DAY(EOMONTH($A228,0))),MOD((YEAR($A228)-YEAR('Recurring Schedule'!$F$36))*12+MONTH($A228)-MONTH('Recurring Schedule'!$F$36),'Recurring Schedule'!$O$36)=0),IF('Recurring Schedule'!$E$36="Weekdays",WEEKDAY($A228,2)&lt;=5,$A228='Recurring Schedule'!$F$36))),31,""))))</f>
        <v/>
      </c>
      <c r="AG228">
        <f>IF('Recurring Schedule'!$C$37="","",IF('Recurring Schedule'!$F$37="","",IF(OR($A228&lt;'Recurring Schedule'!$F$37,$A228&gt;'Recurring Schedule'!$P$37),"",IF(IF('Recurring Schedule'!$N$37&gt;0,MOD($A228-'Recurring Schedule'!$F$37,'Recurring Schedule'!$N$37)=0,IF('Recurring Schedule'!$O$37&gt;0,AND(DAY($A228)=MIN(DAY('Recurring Schedule'!$F$37),DAY(EOMONTH($A228,0))),MOD((YEAR($A228)-YEAR('Recurring Schedule'!$F$37))*12+MONTH($A228)-MONTH('Recurring Schedule'!$F$37),'Recurring Schedule'!$O$37)=0),IF('Recurring Schedule'!$E$37="Weekdays",WEEKDAY($A228,2)&lt;=5,$A228='Recurring Schedule'!$F$37))),32,""))))</f>
        <v/>
      </c>
      <c r="AH228">
        <f>IF('Recurring Schedule'!$C$38="","",IF('Recurring Schedule'!$F$38="","",IF(OR($A228&lt;'Recurring Schedule'!$F$38,$A228&gt;'Recurring Schedule'!$P$38),"",IF(IF('Recurring Schedule'!$N$38&gt;0,MOD($A228-'Recurring Schedule'!$F$38,'Recurring Schedule'!$N$38)=0,IF('Recurring Schedule'!$O$38&gt;0,AND(DAY($A228)=MIN(DAY('Recurring Schedule'!$F$38),DAY(EOMONTH($A228,0))),MOD((YEAR($A228)-YEAR('Recurring Schedule'!$F$38))*12+MONTH($A228)-MONTH('Recurring Schedule'!$F$38),'Recurring Schedule'!$O$38)=0),IF('Recurring Schedule'!$E$38="Weekdays",WEEKDAY($A228,2)&lt;=5,$A228='Recurring Schedule'!$F$38))),33,""))))</f>
        <v/>
      </c>
      <c r="AI228">
        <f>IF('Recurring Schedule'!$C$39="","",IF('Recurring Schedule'!$F$39="","",IF(OR($A228&lt;'Recurring Schedule'!$F$39,$A228&gt;'Recurring Schedule'!$P$39),"",IF(IF('Recurring Schedule'!$N$39&gt;0,MOD($A228-'Recurring Schedule'!$F$39,'Recurring Schedule'!$N$39)=0,IF('Recurring Schedule'!$O$39&gt;0,AND(DAY($A228)=MIN(DAY('Recurring Schedule'!$F$39),DAY(EOMONTH($A228,0))),MOD((YEAR($A228)-YEAR('Recurring Schedule'!$F$39))*12+MONTH($A228)-MONTH('Recurring Schedule'!$F$39),'Recurring Schedule'!$O$39)=0),IF('Recurring Schedule'!$E$39="Weekdays",WEEKDAY($A228,2)&lt;=5,$A228='Recurring Schedule'!$F$39))),34,""))))</f>
        <v/>
      </c>
      <c r="AJ228">
        <f>IF('Recurring Schedule'!$C$40="","",IF('Recurring Schedule'!$F$40="","",IF(OR($A228&lt;'Recurring Schedule'!$F$40,$A228&gt;'Recurring Schedule'!$P$40),"",IF(IF('Recurring Schedule'!$N$40&gt;0,MOD($A228-'Recurring Schedule'!$F$40,'Recurring Schedule'!$N$40)=0,IF('Recurring Schedule'!$O$40&gt;0,AND(DAY($A228)=MIN(DAY('Recurring Schedule'!$F$40),DAY(EOMONTH($A228,0))),MOD((YEAR($A228)-YEAR('Recurring Schedule'!$F$40))*12+MONTH($A228)-MONTH('Recurring Schedule'!$F$40),'Recurring Schedule'!$O$40)=0),IF('Recurring Schedule'!$E$40="Weekdays",WEEKDAY($A228,2)&lt;=5,$A228='Recurring Schedule'!$F$40))),35,""))))</f>
        <v/>
      </c>
      <c r="AK228">
        <f>IF('Recurring Schedule'!$C$41="","",IF('Recurring Schedule'!$F$41="","",IF(OR($A228&lt;'Recurring Schedule'!$F$41,$A228&gt;'Recurring Schedule'!$P$41),"",IF(IF('Recurring Schedule'!$N$41&gt;0,MOD($A228-'Recurring Schedule'!$F$41,'Recurring Schedule'!$N$41)=0,IF('Recurring Schedule'!$O$41&gt;0,AND(DAY($A228)=MIN(DAY('Recurring Schedule'!$F$41),DAY(EOMONTH($A228,0))),MOD((YEAR($A228)-YEAR('Recurring Schedule'!$F$41))*12+MONTH($A228)-MONTH('Recurring Schedule'!$F$41),'Recurring Schedule'!$O$41)=0),IF('Recurring Schedule'!$E$41="Weekdays",WEEKDAY($A228,2)&lt;=5,$A228='Recurring Schedule'!$F$41))),36,""))))</f>
        <v/>
      </c>
      <c r="AL228">
        <f>IF('Recurring Schedule'!$C$42="","",IF('Recurring Schedule'!$F$42="","",IF(OR($A228&lt;'Recurring Schedule'!$F$42,$A228&gt;'Recurring Schedule'!$P$42),"",IF(IF('Recurring Schedule'!$N$42&gt;0,MOD($A228-'Recurring Schedule'!$F$42,'Recurring Schedule'!$N$42)=0,IF('Recurring Schedule'!$O$42&gt;0,AND(DAY($A228)=MIN(DAY('Recurring Schedule'!$F$42),DAY(EOMONTH($A228,0))),MOD((YEAR($A228)-YEAR('Recurring Schedule'!$F$42))*12+MONTH($A228)-MONTH('Recurring Schedule'!$F$42),'Recurring Schedule'!$O$42)=0),IF('Recurring Schedule'!$E$42="Weekdays",WEEKDAY($A228,2)&lt;=5,$A228='Recurring Schedule'!$F$42))),37,""))))</f>
        <v/>
      </c>
      <c r="AM228">
        <f>IF('Recurring Schedule'!$C$43="","",IF('Recurring Schedule'!$F$43="","",IF(OR($A228&lt;'Recurring Schedule'!$F$43,$A228&gt;'Recurring Schedule'!$P$43),"",IF(IF('Recurring Schedule'!$N$43&gt;0,MOD($A228-'Recurring Schedule'!$F$43,'Recurring Schedule'!$N$43)=0,IF('Recurring Schedule'!$O$43&gt;0,AND(DAY($A228)=MIN(DAY('Recurring Schedule'!$F$43),DAY(EOMONTH($A228,0))),MOD((YEAR($A228)-YEAR('Recurring Schedule'!$F$43))*12+MONTH($A228)-MONTH('Recurring Schedule'!$F$43),'Recurring Schedule'!$O$43)=0),IF('Recurring Schedule'!$E$43="Weekdays",WEEKDAY($A228,2)&lt;=5,$A228='Recurring Schedule'!$F$43))),38,""))))</f>
        <v/>
      </c>
      <c r="AN228">
        <f>IF('Recurring Schedule'!$C$44="","",IF('Recurring Schedule'!$F$44="","",IF(OR($A228&lt;'Recurring Schedule'!$F$44,$A228&gt;'Recurring Schedule'!$P$44),"",IF(IF('Recurring Schedule'!$N$44&gt;0,MOD($A228-'Recurring Schedule'!$F$44,'Recurring Schedule'!$N$44)=0,IF('Recurring Schedule'!$O$44&gt;0,AND(DAY($A228)=MIN(DAY('Recurring Schedule'!$F$44),DAY(EOMONTH($A228,0))),MOD((YEAR($A228)-YEAR('Recurring Schedule'!$F$44))*12+MONTH($A228)-MONTH('Recurring Schedule'!$F$44),'Recurring Schedule'!$O$44)=0),IF('Recurring Schedule'!$E$44="Weekdays",WEEKDAY($A228,2)&lt;=5,$A228='Recurring Schedule'!$F$44))),39,""))))</f>
        <v/>
      </c>
      <c r="AO228">
        <f>IF('Recurring Schedule'!$C$45="","",IF('Recurring Schedule'!$F$45="","",IF(OR($A228&lt;'Recurring Schedule'!$F$45,$A228&gt;'Recurring Schedule'!$P$45),"",IF(IF('Recurring Schedule'!$N$45&gt;0,MOD($A228-'Recurring Schedule'!$F$45,'Recurring Schedule'!$N$45)=0,IF('Recurring Schedule'!$O$45&gt;0,AND(DAY($A228)=MIN(DAY('Recurring Schedule'!$F$45),DAY(EOMONTH($A228,0))),MOD((YEAR($A228)-YEAR('Recurring Schedule'!$F$45))*12+MONTH($A228)-MONTH('Recurring Schedule'!$F$45),'Recurring Schedule'!$O$45)=0),IF('Recurring Schedule'!$E$45="Weekdays",WEEKDAY($A228,2)&lt;=5,$A228='Recurring Schedule'!$F$45))),40,""))))</f>
        <v/>
      </c>
      <c r="AP228">
        <f>COUNT(B228:AO228)</f>
        <v/>
      </c>
      <c r="AQ228">
        <f>AQ227+AP227</f>
        <v/>
      </c>
      <c r="AS228" t="inlineStr">
        <is>
          <t>R</t>
        </is>
      </c>
      <c r="AT228" t="n">
        <v>232</v>
      </c>
      <c r="AU228">
        <f>'Recurring Log'!C232&amp;""</f>
        <v/>
      </c>
      <c r="AV228">
        <f>'Recurring Log'!D232&amp;""</f>
        <v/>
      </c>
      <c r="AW228">
        <f>IF('Recurring Log'!E232="","",'Recurring Log'!E232)</f>
        <v/>
      </c>
      <c r="AX228">
        <f>IF('Recurring Log'!G232="","",'Recurring Log'!G232)</f>
        <v/>
      </c>
      <c r="AY228">
        <f>IF('Recurring Log'!H232="","",'Recurring Log'!H232)</f>
        <v/>
      </c>
      <c r="AZ228">
        <f>IF(AU228="","",IF('Recurring Log'!J232="","Not Started",'Recurring Log'!J232))</f>
        <v/>
      </c>
      <c r="BA228">
        <f>'Recurring Log'!L232&amp;""</f>
        <v/>
      </c>
      <c r="BB228">
        <f>'Recurring Log'!M232&amp;""</f>
        <v/>
      </c>
      <c r="BC228">
        <f>'Recurring Log'!N232&amp;""</f>
        <v/>
      </c>
      <c r="BD228">
        <f>'Recurring Log'!O232&amp;""</f>
        <v/>
      </c>
      <c r="BE228">
        <f>IF('Recurring Log'!K232="","",'Recurring Log'!K232)</f>
        <v/>
      </c>
      <c r="BF228">
        <f>IFERROR(MATCH(BA228,Setup!$L$6:$L$9,0),5)</f>
        <v/>
      </c>
      <c r="BG228">
        <f>IF(OR(AZ228="Done",AZ228="Cancelled"),1,0)</f>
        <v/>
      </c>
      <c r="BH228">
        <f>IF(AND(AU228&lt;&gt;"",ISNUMBER(AW228)),1,0)</f>
        <v/>
      </c>
      <c r="BI228">
        <f>IF(BH228=0,0,IF(AND(AW228&gt;='Tasks Filter'!$F$3,AW228&lt;='Tasks Filter'!$F$4,OR('Tasks Filter'!$I$3="",ISNUMBER(SEARCH('Tasks Filter'!$I$3,AU228))),OR('Tasks Filter'!$I$4="",BF228=IFERROR(MATCH('Tasks Filter'!$I$4,Setup!$L$6:$L$9,0),0)),OR('Tasks Filter'!$I$5="Both",AND('Tasks Filter'!$I$5="Yes",BB228="✓"),AND('Tasks Filter'!$I$5="No",BB228&lt;&gt;"✓")),OR('Tasks Filter'!$L$3="",AV228='Tasks Filter'!$L$3),OR('Tasks Filter'!$L$4="",AZ228='Tasks Filter'!$L$4),OR('Tasks Filter'!$L$5="",BC228='Tasks Filter'!$L$5),OR('Tasks Filter'!$O$3="",BD228='Tasks Filter'!$O$3),OR('Tasks Filter'!$O$4="Yes",BG228=0)),1,0))</f>
        <v/>
      </c>
      <c r="BJ228">
        <f>IF(BH228=0,"",IF('Tasks Filter'!$F$6="Descending",-1,1)*CHOOSE(MATCH('Tasks Filter'!$F$5,Lists!$G$2:$G$6,0),AW228,BF228,IFERROR(MATCH(AV228,Setup!$F$6:$F$15,0),99),IFERROR(MATCH(BC228,Setup!$H$6:$H$15,0),99),IFERROR(MATCH(AZ228,Setup!$J$6:$J$11,0),99))*1E+9+(AW228-40000)*10000+227)</f>
        <v/>
      </c>
      <c r="BK228">
        <f>IF(BI228=1,BJ228,"")</f>
        <v/>
      </c>
      <c r="BL228">
        <f>IF(AND(BH228=1,BG228=0,N(AW228)&lt;Setup!$D$7),(AW228-40000)*10000+227,"")</f>
        <v/>
      </c>
      <c r="BM228">
        <f>IF(AND(BH228=1,AZ228&lt;&gt;"Cancelled",N(AW228)&gt;=Dashboard!$AB$3,N(AW228)&lt;=Dashboard!$AB$3+6),(AW228-40000)*100000+BF228*10000+227,"")</f>
        <v/>
      </c>
      <c r="BN228">
        <f>IF(AND(BH228=1,AZ228&lt;&gt;"Cancelled"),BF228*10000+227,"")</f>
        <v/>
      </c>
    </row>
    <row r="229">
      <c r="A229">
        <f>Setup!$D$5+227</f>
        <v/>
      </c>
      <c r="B229">
        <f>IF('Recurring Schedule'!$C$6="","",IF('Recurring Schedule'!$F$6="","",IF(OR($A229&lt;'Recurring Schedule'!$F$6,$A229&gt;'Recurring Schedule'!$P$6),"",IF(IF('Recurring Schedule'!$N$6&gt;0,MOD($A229-'Recurring Schedule'!$F$6,'Recurring Schedule'!$N$6)=0,IF('Recurring Schedule'!$O$6&gt;0,AND(DAY($A229)=MIN(DAY('Recurring Schedule'!$F$6),DAY(EOMONTH($A229,0))),MOD((YEAR($A229)-YEAR('Recurring Schedule'!$F$6))*12+MONTH($A229)-MONTH('Recurring Schedule'!$F$6),'Recurring Schedule'!$O$6)=0),IF('Recurring Schedule'!$E$6="Weekdays",WEEKDAY($A229,2)&lt;=5,$A229='Recurring Schedule'!$F$6))),1,""))))</f>
        <v/>
      </c>
      <c r="C229">
        <f>IF('Recurring Schedule'!$C$7="","",IF('Recurring Schedule'!$F$7="","",IF(OR($A229&lt;'Recurring Schedule'!$F$7,$A229&gt;'Recurring Schedule'!$P$7),"",IF(IF('Recurring Schedule'!$N$7&gt;0,MOD($A229-'Recurring Schedule'!$F$7,'Recurring Schedule'!$N$7)=0,IF('Recurring Schedule'!$O$7&gt;0,AND(DAY($A229)=MIN(DAY('Recurring Schedule'!$F$7),DAY(EOMONTH($A229,0))),MOD((YEAR($A229)-YEAR('Recurring Schedule'!$F$7))*12+MONTH($A229)-MONTH('Recurring Schedule'!$F$7),'Recurring Schedule'!$O$7)=0),IF('Recurring Schedule'!$E$7="Weekdays",WEEKDAY($A229,2)&lt;=5,$A229='Recurring Schedule'!$F$7))),2,""))))</f>
        <v/>
      </c>
      <c r="D229">
        <f>IF('Recurring Schedule'!$C$8="","",IF('Recurring Schedule'!$F$8="","",IF(OR($A229&lt;'Recurring Schedule'!$F$8,$A229&gt;'Recurring Schedule'!$P$8),"",IF(IF('Recurring Schedule'!$N$8&gt;0,MOD($A229-'Recurring Schedule'!$F$8,'Recurring Schedule'!$N$8)=0,IF('Recurring Schedule'!$O$8&gt;0,AND(DAY($A229)=MIN(DAY('Recurring Schedule'!$F$8),DAY(EOMONTH($A229,0))),MOD((YEAR($A229)-YEAR('Recurring Schedule'!$F$8))*12+MONTH($A229)-MONTH('Recurring Schedule'!$F$8),'Recurring Schedule'!$O$8)=0),IF('Recurring Schedule'!$E$8="Weekdays",WEEKDAY($A229,2)&lt;=5,$A229='Recurring Schedule'!$F$8))),3,""))))</f>
        <v/>
      </c>
      <c r="E229">
        <f>IF('Recurring Schedule'!$C$9="","",IF('Recurring Schedule'!$F$9="","",IF(OR($A229&lt;'Recurring Schedule'!$F$9,$A229&gt;'Recurring Schedule'!$P$9),"",IF(IF('Recurring Schedule'!$N$9&gt;0,MOD($A229-'Recurring Schedule'!$F$9,'Recurring Schedule'!$N$9)=0,IF('Recurring Schedule'!$O$9&gt;0,AND(DAY($A229)=MIN(DAY('Recurring Schedule'!$F$9),DAY(EOMONTH($A229,0))),MOD((YEAR($A229)-YEAR('Recurring Schedule'!$F$9))*12+MONTH($A229)-MONTH('Recurring Schedule'!$F$9),'Recurring Schedule'!$O$9)=0),IF('Recurring Schedule'!$E$9="Weekdays",WEEKDAY($A229,2)&lt;=5,$A229='Recurring Schedule'!$F$9))),4,""))))</f>
        <v/>
      </c>
      <c r="F229">
        <f>IF('Recurring Schedule'!$C$10="","",IF('Recurring Schedule'!$F$10="","",IF(OR($A229&lt;'Recurring Schedule'!$F$10,$A229&gt;'Recurring Schedule'!$P$10),"",IF(IF('Recurring Schedule'!$N$10&gt;0,MOD($A229-'Recurring Schedule'!$F$10,'Recurring Schedule'!$N$10)=0,IF('Recurring Schedule'!$O$10&gt;0,AND(DAY($A229)=MIN(DAY('Recurring Schedule'!$F$10),DAY(EOMONTH($A229,0))),MOD((YEAR($A229)-YEAR('Recurring Schedule'!$F$10))*12+MONTH($A229)-MONTH('Recurring Schedule'!$F$10),'Recurring Schedule'!$O$10)=0),IF('Recurring Schedule'!$E$10="Weekdays",WEEKDAY($A229,2)&lt;=5,$A229='Recurring Schedule'!$F$10))),5,""))))</f>
        <v/>
      </c>
      <c r="G229">
        <f>IF('Recurring Schedule'!$C$11="","",IF('Recurring Schedule'!$F$11="","",IF(OR($A229&lt;'Recurring Schedule'!$F$11,$A229&gt;'Recurring Schedule'!$P$11),"",IF(IF('Recurring Schedule'!$N$11&gt;0,MOD($A229-'Recurring Schedule'!$F$11,'Recurring Schedule'!$N$11)=0,IF('Recurring Schedule'!$O$11&gt;0,AND(DAY($A229)=MIN(DAY('Recurring Schedule'!$F$11),DAY(EOMONTH($A229,0))),MOD((YEAR($A229)-YEAR('Recurring Schedule'!$F$11))*12+MONTH($A229)-MONTH('Recurring Schedule'!$F$11),'Recurring Schedule'!$O$11)=0),IF('Recurring Schedule'!$E$11="Weekdays",WEEKDAY($A229,2)&lt;=5,$A229='Recurring Schedule'!$F$11))),6,""))))</f>
        <v/>
      </c>
      <c r="H229">
        <f>IF('Recurring Schedule'!$C$12="","",IF('Recurring Schedule'!$F$12="","",IF(OR($A229&lt;'Recurring Schedule'!$F$12,$A229&gt;'Recurring Schedule'!$P$12),"",IF(IF('Recurring Schedule'!$N$12&gt;0,MOD($A229-'Recurring Schedule'!$F$12,'Recurring Schedule'!$N$12)=0,IF('Recurring Schedule'!$O$12&gt;0,AND(DAY($A229)=MIN(DAY('Recurring Schedule'!$F$12),DAY(EOMONTH($A229,0))),MOD((YEAR($A229)-YEAR('Recurring Schedule'!$F$12))*12+MONTH($A229)-MONTH('Recurring Schedule'!$F$12),'Recurring Schedule'!$O$12)=0),IF('Recurring Schedule'!$E$12="Weekdays",WEEKDAY($A229,2)&lt;=5,$A229='Recurring Schedule'!$F$12))),7,""))))</f>
        <v/>
      </c>
      <c r="I229">
        <f>IF('Recurring Schedule'!$C$13="","",IF('Recurring Schedule'!$F$13="","",IF(OR($A229&lt;'Recurring Schedule'!$F$13,$A229&gt;'Recurring Schedule'!$P$13),"",IF(IF('Recurring Schedule'!$N$13&gt;0,MOD($A229-'Recurring Schedule'!$F$13,'Recurring Schedule'!$N$13)=0,IF('Recurring Schedule'!$O$13&gt;0,AND(DAY($A229)=MIN(DAY('Recurring Schedule'!$F$13),DAY(EOMONTH($A229,0))),MOD((YEAR($A229)-YEAR('Recurring Schedule'!$F$13))*12+MONTH($A229)-MONTH('Recurring Schedule'!$F$13),'Recurring Schedule'!$O$13)=0),IF('Recurring Schedule'!$E$13="Weekdays",WEEKDAY($A229,2)&lt;=5,$A229='Recurring Schedule'!$F$13))),8,""))))</f>
        <v/>
      </c>
      <c r="J229">
        <f>IF('Recurring Schedule'!$C$14="","",IF('Recurring Schedule'!$F$14="","",IF(OR($A229&lt;'Recurring Schedule'!$F$14,$A229&gt;'Recurring Schedule'!$P$14),"",IF(IF('Recurring Schedule'!$N$14&gt;0,MOD($A229-'Recurring Schedule'!$F$14,'Recurring Schedule'!$N$14)=0,IF('Recurring Schedule'!$O$14&gt;0,AND(DAY($A229)=MIN(DAY('Recurring Schedule'!$F$14),DAY(EOMONTH($A229,0))),MOD((YEAR($A229)-YEAR('Recurring Schedule'!$F$14))*12+MONTH($A229)-MONTH('Recurring Schedule'!$F$14),'Recurring Schedule'!$O$14)=0),IF('Recurring Schedule'!$E$14="Weekdays",WEEKDAY($A229,2)&lt;=5,$A229='Recurring Schedule'!$F$14))),9,""))))</f>
        <v/>
      </c>
      <c r="K229">
        <f>IF('Recurring Schedule'!$C$15="","",IF('Recurring Schedule'!$F$15="","",IF(OR($A229&lt;'Recurring Schedule'!$F$15,$A229&gt;'Recurring Schedule'!$P$15),"",IF(IF('Recurring Schedule'!$N$15&gt;0,MOD($A229-'Recurring Schedule'!$F$15,'Recurring Schedule'!$N$15)=0,IF('Recurring Schedule'!$O$15&gt;0,AND(DAY($A229)=MIN(DAY('Recurring Schedule'!$F$15),DAY(EOMONTH($A229,0))),MOD((YEAR($A229)-YEAR('Recurring Schedule'!$F$15))*12+MONTH($A229)-MONTH('Recurring Schedule'!$F$15),'Recurring Schedule'!$O$15)=0),IF('Recurring Schedule'!$E$15="Weekdays",WEEKDAY($A229,2)&lt;=5,$A229='Recurring Schedule'!$F$15))),10,""))))</f>
        <v/>
      </c>
      <c r="L229">
        <f>IF('Recurring Schedule'!$C$16="","",IF('Recurring Schedule'!$F$16="","",IF(OR($A229&lt;'Recurring Schedule'!$F$16,$A229&gt;'Recurring Schedule'!$P$16),"",IF(IF('Recurring Schedule'!$N$16&gt;0,MOD($A229-'Recurring Schedule'!$F$16,'Recurring Schedule'!$N$16)=0,IF('Recurring Schedule'!$O$16&gt;0,AND(DAY($A229)=MIN(DAY('Recurring Schedule'!$F$16),DAY(EOMONTH($A229,0))),MOD((YEAR($A229)-YEAR('Recurring Schedule'!$F$16))*12+MONTH($A229)-MONTH('Recurring Schedule'!$F$16),'Recurring Schedule'!$O$16)=0),IF('Recurring Schedule'!$E$16="Weekdays",WEEKDAY($A229,2)&lt;=5,$A229='Recurring Schedule'!$F$16))),11,""))))</f>
        <v/>
      </c>
      <c r="M229">
        <f>IF('Recurring Schedule'!$C$17="","",IF('Recurring Schedule'!$F$17="","",IF(OR($A229&lt;'Recurring Schedule'!$F$17,$A229&gt;'Recurring Schedule'!$P$17),"",IF(IF('Recurring Schedule'!$N$17&gt;0,MOD($A229-'Recurring Schedule'!$F$17,'Recurring Schedule'!$N$17)=0,IF('Recurring Schedule'!$O$17&gt;0,AND(DAY($A229)=MIN(DAY('Recurring Schedule'!$F$17),DAY(EOMONTH($A229,0))),MOD((YEAR($A229)-YEAR('Recurring Schedule'!$F$17))*12+MONTH($A229)-MONTH('Recurring Schedule'!$F$17),'Recurring Schedule'!$O$17)=0),IF('Recurring Schedule'!$E$17="Weekdays",WEEKDAY($A229,2)&lt;=5,$A229='Recurring Schedule'!$F$17))),12,""))))</f>
        <v/>
      </c>
      <c r="N229">
        <f>IF('Recurring Schedule'!$C$18="","",IF('Recurring Schedule'!$F$18="","",IF(OR($A229&lt;'Recurring Schedule'!$F$18,$A229&gt;'Recurring Schedule'!$P$18),"",IF(IF('Recurring Schedule'!$N$18&gt;0,MOD($A229-'Recurring Schedule'!$F$18,'Recurring Schedule'!$N$18)=0,IF('Recurring Schedule'!$O$18&gt;0,AND(DAY($A229)=MIN(DAY('Recurring Schedule'!$F$18),DAY(EOMONTH($A229,0))),MOD((YEAR($A229)-YEAR('Recurring Schedule'!$F$18))*12+MONTH($A229)-MONTH('Recurring Schedule'!$F$18),'Recurring Schedule'!$O$18)=0),IF('Recurring Schedule'!$E$18="Weekdays",WEEKDAY($A229,2)&lt;=5,$A229='Recurring Schedule'!$F$18))),13,""))))</f>
        <v/>
      </c>
      <c r="O229">
        <f>IF('Recurring Schedule'!$C$19="","",IF('Recurring Schedule'!$F$19="","",IF(OR($A229&lt;'Recurring Schedule'!$F$19,$A229&gt;'Recurring Schedule'!$P$19),"",IF(IF('Recurring Schedule'!$N$19&gt;0,MOD($A229-'Recurring Schedule'!$F$19,'Recurring Schedule'!$N$19)=0,IF('Recurring Schedule'!$O$19&gt;0,AND(DAY($A229)=MIN(DAY('Recurring Schedule'!$F$19),DAY(EOMONTH($A229,0))),MOD((YEAR($A229)-YEAR('Recurring Schedule'!$F$19))*12+MONTH($A229)-MONTH('Recurring Schedule'!$F$19),'Recurring Schedule'!$O$19)=0),IF('Recurring Schedule'!$E$19="Weekdays",WEEKDAY($A229,2)&lt;=5,$A229='Recurring Schedule'!$F$19))),14,""))))</f>
        <v/>
      </c>
      <c r="P229">
        <f>IF('Recurring Schedule'!$C$20="","",IF('Recurring Schedule'!$F$20="","",IF(OR($A229&lt;'Recurring Schedule'!$F$20,$A229&gt;'Recurring Schedule'!$P$20),"",IF(IF('Recurring Schedule'!$N$20&gt;0,MOD($A229-'Recurring Schedule'!$F$20,'Recurring Schedule'!$N$20)=0,IF('Recurring Schedule'!$O$20&gt;0,AND(DAY($A229)=MIN(DAY('Recurring Schedule'!$F$20),DAY(EOMONTH($A229,0))),MOD((YEAR($A229)-YEAR('Recurring Schedule'!$F$20))*12+MONTH($A229)-MONTH('Recurring Schedule'!$F$20),'Recurring Schedule'!$O$20)=0),IF('Recurring Schedule'!$E$20="Weekdays",WEEKDAY($A229,2)&lt;=5,$A229='Recurring Schedule'!$F$20))),15,""))))</f>
        <v/>
      </c>
      <c r="Q229">
        <f>IF('Recurring Schedule'!$C$21="","",IF('Recurring Schedule'!$F$21="","",IF(OR($A229&lt;'Recurring Schedule'!$F$21,$A229&gt;'Recurring Schedule'!$P$21),"",IF(IF('Recurring Schedule'!$N$21&gt;0,MOD($A229-'Recurring Schedule'!$F$21,'Recurring Schedule'!$N$21)=0,IF('Recurring Schedule'!$O$21&gt;0,AND(DAY($A229)=MIN(DAY('Recurring Schedule'!$F$21),DAY(EOMONTH($A229,0))),MOD((YEAR($A229)-YEAR('Recurring Schedule'!$F$21))*12+MONTH($A229)-MONTH('Recurring Schedule'!$F$21),'Recurring Schedule'!$O$21)=0),IF('Recurring Schedule'!$E$21="Weekdays",WEEKDAY($A229,2)&lt;=5,$A229='Recurring Schedule'!$F$21))),16,""))))</f>
        <v/>
      </c>
      <c r="R229">
        <f>IF('Recurring Schedule'!$C$22="","",IF('Recurring Schedule'!$F$22="","",IF(OR($A229&lt;'Recurring Schedule'!$F$22,$A229&gt;'Recurring Schedule'!$P$22),"",IF(IF('Recurring Schedule'!$N$22&gt;0,MOD($A229-'Recurring Schedule'!$F$22,'Recurring Schedule'!$N$22)=0,IF('Recurring Schedule'!$O$22&gt;0,AND(DAY($A229)=MIN(DAY('Recurring Schedule'!$F$22),DAY(EOMONTH($A229,0))),MOD((YEAR($A229)-YEAR('Recurring Schedule'!$F$22))*12+MONTH($A229)-MONTH('Recurring Schedule'!$F$22),'Recurring Schedule'!$O$22)=0),IF('Recurring Schedule'!$E$22="Weekdays",WEEKDAY($A229,2)&lt;=5,$A229='Recurring Schedule'!$F$22))),17,""))))</f>
        <v/>
      </c>
      <c r="S229">
        <f>IF('Recurring Schedule'!$C$23="","",IF('Recurring Schedule'!$F$23="","",IF(OR($A229&lt;'Recurring Schedule'!$F$23,$A229&gt;'Recurring Schedule'!$P$23),"",IF(IF('Recurring Schedule'!$N$23&gt;0,MOD($A229-'Recurring Schedule'!$F$23,'Recurring Schedule'!$N$23)=0,IF('Recurring Schedule'!$O$23&gt;0,AND(DAY($A229)=MIN(DAY('Recurring Schedule'!$F$23),DAY(EOMONTH($A229,0))),MOD((YEAR($A229)-YEAR('Recurring Schedule'!$F$23))*12+MONTH($A229)-MONTH('Recurring Schedule'!$F$23),'Recurring Schedule'!$O$23)=0),IF('Recurring Schedule'!$E$23="Weekdays",WEEKDAY($A229,2)&lt;=5,$A229='Recurring Schedule'!$F$23))),18,""))))</f>
        <v/>
      </c>
      <c r="T229">
        <f>IF('Recurring Schedule'!$C$24="","",IF('Recurring Schedule'!$F$24="","",IF(OR($A229&lt;'Recurring Schedule'!$F$24,$A229&gt;'Recurring Schedule'!$P$24),"",IF(IF('Recurring Schedule'!$N$24&gt;0,MOD($A229-'Recurring Schedule'!$F$24,'Recurring Schedule'!$N$24)=0,IF('Recurring Schedule'!$O$24&gt;0,AND(DAY($A229)=MIN(DAY('Recurring Schedule'!$F$24),DAY(EOMONTH($A229,0))),MOD((YEAR($A229)-YEAR('Recurring Schedule'!$F$24))*12+MONTH($A229)-MONTH('Recurring Schedule'!$F$24),'Recurring Schedule'!$O$24)=0),IF('Recurring Schedule'!$E$24="Weekdays",WEEKDAY($A229,2)&lt;=5,$A229='Recurring Schedule'!$F$24))),19,""))))</f>
        <v/>
      </c>
      <c r="U229">
        <f>IF('Recurring Schedule'!$C$25="","",IF('Recurring Schedule'!$F$25="","",IF(OR($A229&lt;'Recurring Schedule'!$F$25,$A229&gt;'Recurring Schedule'!$P$25),"",IF(IF('Recurring Schedule'!$N$25&gt;0,MOD($A229-'Recurring Schedule'!$F$25,'Recurring Schedule'!$N$25)=0,IF('Recurring Schedule'!$O$25&gt;0,AND(DAY($A229)=MIN(DAY('Recurring Schedule'!$F$25),DAY(EOMONTH($A229,0))),MOD((YEAR($A229)-YEAR('Recurring Schedule'!$F$25))*12+MONTH($A229)-MONTH('Recurring Schedule'!$F$25),'Recurring Schedule'!$O$25)=0),IF('Recurring Schedule'!$E$25="Weekdays",WEEKDAY($A229,2)&lt;=5,$A229='Recurring Schedule'!$F$25))),20,""))))</f>
        <v/>
      </c>
      <c r="V229">
        <f>IF('Recurring Schedule'!$C$26="","",IF('Recurring Schedule'!$F$26="","",IF(OR($A229&lt;'Recurring Schedule'!$F$26,$A229&gt;'Recurring Schedule'!$P$26),"",IF(IF('Recurring Schedule'!$N$26&gt;0,MOD($A229-'Recurring Schedule'!$F$26,'Recurring Schedule'!$N$26)=0,IF('Recurring Schedule'!$O$26&gt;0,AND(DAY($A229)=MIN(DAY('Recurring Schedule'!$F$26),DAY(EOMONTH($A229,0))),MOD((YEAR($A229)-YEAR('Recurring Schedule'!$F$26))*12+MONTH($A229)-MONTH('Recurring Schedule'!$F$26),'Recurring Schedule'!$O$26)=0),IF('Recurring Schedule'!$E$26="Weekdays",WEEKDAY($A229,2)&lt;=5,$A229='Recurring Schedule'!$F$26))),21,""))))</f>
        <v/>
      </c>
      <c r="W229">
        <f>IF('Recurring Schedule'!$C$27="","",IF('Recurring Schedule'!$F$27="","",IF(OR($A229&lt;'Recurring Schedule'!$F$27,$A229&gt;'Recurring Schedule'!$P$27),"",IF(IF('Recurring Schedule'!$N$27&gt;0,MOD($A229-'Recurring Schedule'!$F$27,'Recurring Schedule'!$N$27)=0,IF('Recurring Schedule'!$O$27&gt;0,AND(DAY($A229)=MIN(DAY('Recurring Schedule'!$F$27),DAY(EOMONTH($A229,0))),MOD((YEAR($A229)-YEAR('Recurring Schedule'!$F$27))*12+MONTH($A229)-MONTH('Recurring Schedule'!$F$27),'Recurring Schedule'!$O$27)=0),IF('Recurring Schedule'!$E$27="Weekdays",WEEKDAY($A229,2)&lt;=5,$A229='Recurring Schedule'!$F$27))),22,""))))</f>
        <v/>
      </c>
      <c r="X229">
        <f>IF('Recurring Schedule'!$C$28="","",IF('Recurring Schedule'!$F$28="","",IF(OR($A229&lt;'Recurring Schedule'!$F$28,$A229&gt;'Recurring Schedule'!$P$28),"",IF(IF('Recurring Schedule'!$N$28&gt;0,MOD($A229-'Recurring Schedule'!$F$28,'Recurring Schedule'!$N$28)=0,IF('Recurring Schedule'!$O$28&gt;0,AND(DAY($A229)=MIN(DAY('Recurring Schedule'!$F$28),DAY(EOMONTH($A229,0))),MOD((YEAR($A229)-YEAR('Recurring Schedule'!$F$28))*12+MONTH($A229)-MONTH('Recurring Schedule'!$F$28),'Recurring Schedule'!$O$28)=0),IF('Recurring Schedule'!$E$28="Weekdays",WEEKDAY($A229,2)&lt;=5,$A229='Recurring Schedule'!$F$28))),23,""))))</f>
        <v/>
      </c>
      <c r="Y229">
        <f>IF('Recurring Schedule'!$C$29="","",IF('Recurring Schedule'!$F$29="","",IF(OR($A229&lt;'Recurring Schedule'!$F$29,$A229&gt;'Recurring Schedule'!$P$29),"",IF(IF('Recurring Schedule'!$N$29&gt;0,MOD($A229-'Recurring Schedule'!$F$29,'Recurring Schedule'!$N$29)=0,IF('Recurring Schedule'!$O$29&gt;0,AND(DAY($A229)=MIN(DAY('Recurring Schedule'!$F$29),DAY(EOMONTH($A229,0))),MOD((YEAR($A229)-YEAR('Recurring Schedule'!$F$29))*12+MONTH($A229)-MONTH('Recurring Schedule'!$F$29),'Recurring Schedule'!$O$29)=0),IF('Recurring Schedule'!$E$29="Weekdays",WEEKDAY($A229,2)&lt;=5,$A229='Recurring Schedule'!$F$29))),24,""))))</f>
        <v/>
      </c>
      <c r="Z229">
        <f>IF('Recurring Schedule'!$C$30="","",IF('Recurring Schedule'!$F$30="","",IF(OR($A229&lt;'Recurring Schedule'!$F$30,$A229&gt;'Recurring Schedule'!$P$30),"",IF(IF('Recurring Schedule'!$N$30&gt;0,MOD($A229-'Recurring Schedule'!$F$30,'Recurring Schedule'!$N$30)=0,IF('Recurring Schedule'!$O$30&gt;0,AND(DAY($A229)=MIN(DAY('Recurring Schedule'!$F$30),DAY(EOMONTH($A229,0))),MOD((YEAR($A229)-YEAR('Recurring Schedule'!$F$30))*12+MONTH($A229)-MONTH('Recurring Schedule'!$F$30),'Recurring Schedule'!$O$30)=0),IF('Recurring Schedule'!$E$30="Weekdays",WEEKDAY($A229,2)&lt;=5,$A229='Recurring Schedule'!$F$30))),25,""))))</f>
        <v/>
      </c>
      <c r="AA229">
        <f>IF('Recurring Schedule'!$C$31="","",IF('Recurring Schedule'!$F$31="","",IF(OR($A229&lt;'Recurring Schedule'!$F$31,$A229&gt;'Recurring Schedule'!$P$31),"",IF(IF('Recurring Schedule'!$N$31&gt;0,MOD($A229-'Recurring Schedule'!$F$31,'Recurring Schedule'!$N$31)=0,IF('Recurring Schedule'!$O$31&gt;0,AND(DAY($A229)=MIN(DAY('Recurring Schedule'!$F$31),DAY(EOMONTH($A229,0))),MOD((YEAR($A229)-YEAR('Recurring Schedule'!$F$31))*12+MONTH($A229)-MONTH('Recurring Schedule'!$F$31),'Recurring Schedule'!$O$31)=0),IF('Recurring Schedule'!$E$31="Weekdays",WEEKDAY($A229,2)&lt;=5,$A229='Recurring Schedule'!$F$31))),26,""))))</f>
        <v/>
      </c>
      <c r="AB229">
        <f>IF('Recurring Schedule'!$C$32="","",IF('Recurring Schedule'!$F$32="","",IF(OR($A229&lt;'Recurring Schedule'!$F$32,$A229&gt;'Recurring Schedule'!$P$32),"",IF(IF('Recurring Schedule'!$N$32&gt;0,MOD($A229-'Recurring Schedule'!$F$32,'Recurring Schedule'!$N$32)=0,IF('Recurring Schedule'!$O$32&gt;0,AND(DAY($A229)=MIN(DAY('Recurring Schedule'!$F$32),DAY(EOMONTH($A229,0))),MOD((YEAR($A229)-YEAR('Recurring Schedule'!$F$32))*12+MONTH($A229)-MONTH('Recurring Schedule'!$F$32),'Recurring Schedule'!$O$32)=0),IF('Recurring Schedule'!$E$32="Weekdays",WEEKDAY($A229,2)&lt;=5,$A229='Recurring Schedule'!$F$32))),27,""))))</f>
        <v/>
      </c>
      <c r="AC229">
        <f>IF('Recurring Schedule'!$C$33="","",IF('Recurring Schedule'!$F$33="","",IF(OR($A229&lt;'Recurring Schedule'!$F$33,$A229&gt;'Recurring Schedule'!$P$33),"",IF(IF('Recurring Schedule'!$N$33&gt;0,MOD($A229-'Recurring Schedule'!$F$33,'Recurring Schedule'!$N$33)=0,IF('Recurring Schedule'!$O$33&gt;0,AND(DAY($A229)=MIN(DAY('Recurring Schedule'!$F$33),DAY(EOMONTH($A229,0))),MOD((YEAR($A229)-YEAR('Recurring Schedule'!$F$33))*12+MONTH($A229)-MONTH('Recurring Schedule'!$F$33),'Recurring Schedule'!$O$33)=0),IF('Recurring Schedule'!$E$33="Weekdays",WEEKDAY($A229,2)&lt;=5,$A229='Recurring Schedule'!$F$33))),28,""))))</f>
        <v/>
      </c>
      <c r="AD229">
        <f>IF('Recurring Schedule'!$C$34="","",IF('Recurring Schedule'!$F$34="","",IF(OR($A229&lt;'Recurring Schedule'!$F$34,$A229&gt;'Recurring Schedule'!$P$34),"",IF(IF('Recurring Schedule'!$N$34&gt;0,MOD($A229-'Recurring Schedule'!$F$34,'Recurring Schedule'!$N$34)=0,IF('Recurring Schedule'!$O$34&gt;0,AND(DAY($A229)=MIN(DAY('Recurring Schedule'!$F$34),DAY(EOMONTH($A229,0))),MOD((YEAR($A229)-YEAR('Recurring Schedule'!$F$34))*12+MONTH($A229)-MONTH('Recurring Schedule'!$F$34),'Recurring Schedule'!$O$34)=0),IF('Recurring Schedule'!$E$34="Weekdays",WEEKDAY($A229,2)&lt;=5,$A229='Recurring Schedule'!$F$34))),29,""))))</f>
        <v/>
      </c>
      <c r="AE229">
        <f>IF('Recurring Schedule'!$C$35="","",IF('Recurring Schedule'!$F$35="","",IF(OR($A229&lt;'Recurring Schedule'!$F$35,$A229&gt;'Recurring Schedule'!$P$35),"",IF(IF('Recurring Schedule'!$N$35&gt;0,MOD($A229-'Recurring Schedule'!$F$35,'Recurring Schedule'!$N$35)=0,IF('Recurring Schedule'!$O$35&gt;0,AND(DAY($A229)=MIN(DAY('Recurring Schedule'!$F$35),DAY(EOMONTH($A229,0))),MOD((YEAR($A229)-YEAR('Recurring Schedule'!$F$35))*12+MONTH($A229)-MONTH('Recurring Schedule'!$F$35),'Recurring Schedule'!$O$35)=0),IF('Recurring Schedule'!$E$35="Weekdays",WEEKDAY($A229,2)&lt;=5,$A229='Recurring Schedule'!$F$35))),30,""))))</f>
        <v/>
      </c>
      <c r="AF229">
        <f>IF('Recurring Schedule'!$C$36="","",IF('Recurring Schedule'!$F$36="","",IF(OR($A229&lt;'Recurring Schedule'!$F$36,$A229&gt;'Recurring Schedule'!$P$36),"",IF(IF('Recurring Schedule'!$N$36&gt;0,MOD($A229-'Recurring Schedule'!$F$36,'Recurring Schedule'!$N$36)=0,IF('Recurring Schedule'!$O$36&gt;0,AND(DAY($A229)=MIN(DAY('Recurring Schedule'!$F$36),DAY(EOMONTH($A229,0))),MOD((YEAR($A229)-YEAR('Recurring Schedule'!$F$36))*12+MONTH($A229)-MONTH('Recurring Schedule'!$F$36),'Recurring Schedule'!$O$36)=0),IF('Recurring Schedule'!$E$36="Weekdays",WEEKDAY($A229,2)&lt;=5,$A229='Recurring Schedule'!$F$36))),31,""))))</f>
        <v/>
      </c>
      <c r="AG229">
        <f>IF('Recurring Schedule'!$C$37="","",IF('Recurring Schedule'!$F$37="","",IF(OR($A229&lt;'Recurring Schedule'!$F$37,$A229&gt;'Recurring Schedule'!$P$37),"",IF(IF('Recurring Schedule'!$N$37&gt;0,MOD($A229-'Recurring Schedule'!$F$37,'Recurring Schedule'!$N$37)=0,IF('Recurring Schedule'!$O$37&gt;0,AND(DAY($A229)=MIN(DAY('Recurring Schedule'!$F$37),DAY(EOMONTH($A229,0))),MOD((YEAR($A229)-YEAR('Recurring Schedule'!$F$37))*12+MONTH($A229)-MONTH('Recurring Schedule'!$F$37),'Recurring Schedule'!$O$37)=0),IF('Recurring Schedule'!$E$37="Weekdays",WEEKDAY($A229,2)&lt;=5,$A229='Recurring Schedule'!$F$37))),32,""))))</f>
        <v/>
      </c>
      <c r="AH229">
        <f>IF('Recurring Schedule'!$C$38="","",IF('Recurring Schedule'!$F$38="","",IF(OR($A229&lt;'Recurring Schedule'!$F$38,$A229&gt;'Recurring Schedule'!$P$38),"",IF(IF('Recurring Schedule'!$N$38&gt;0,MOD($A229-'Recurring Schedule'!$F$38,'Recurring Schedule'!$N$38)=0,IF('Recurring Schedule'!$O$38&gt;0,AND(DAY($A229)=MIN(DAY('Recurring Schedule'!$F$38),DAY(EOMONTH($A229,0))),MOD((YEAR($A229)-YEAR('Recurring Schedule'!$F$38))*12+MONTH($A229)-MONTH('Recurring Schedule'!$F$38),'Recurring Schedule'!$O$38)=0),IF('Recurring Schedule'!$E$38="Weekdays",WEEKDAY($A229,2)&lt;=5,$A229='Recurring Schedule'!$F$38))),33,""))))</f>
        <v/>
      </c>
      <c r="AI229">
        <f>IF('Recurring Schedule'!$C$39="","",IF('Recurring Schedule'!$F$39="","",IF(OR($A229&lt;'Recurring Schedule'!$F$39,$A229&gt;'Recurring Schedule'!$P$39),"",IF(IF('Recurring Schedule'!$N$39&gt;0,MOD($A229-'Recurring Schedule'!$F$39,'Recurring Schedule'!$N$39)=0,IF('Recurring Schedule'!$O$39&gt;0,AND(DAY($A229)=MIN(DAY('Recurring Schedule'!$F$39),DAY(EOMONTH($A229,0))),MOD((YEAR($A229)-YEAR('Recurring Schedule'!$F$39))*12+MONTH($A229)-MONTH('Recurring Schedule'!$F$39),'Recurring Schedule'!$O$39)=0),IF('Recurring Schedule'!$E$39="Weekdays",WEEKDAY($A229,2)&lt;=5,$A229='Recurring Schedule'!$F$39))),34,""))))</f>
        <v/>
      </c>
      <c r="AJ229">
        <f>IF('Recurring Schedule'!$C$40="","",IF('Recurring Schedule'!$F$40="","",IF(OR($A229&lt;'Recurring Schedule'!$F$40,$A229&gt;'Recurring Schedule'!$P$40),"",IF(IF('Recurring Schedule'!$N$40&gt;0,MOD($A229-'Recurring Schedule'!$F$40,'Recurring Schedule'!$N$40)=0,IF('Recurring Schedule'!$O$40&gt;0,AND(DAY($A229)=MIN(DAY('Recurring Schedule'!$F$40),DAY(EOMONTH($A229,0))),MOD((YEAR($A229)-YEAR('Recurring Schedule'!$F$40))*12+MONTH($A229)-MONTH('Recurring Schedule'!$F$40),'Recurring Schedule'!$O$40)=0),IF('Recurring Schedule'!$E$40="Weekdays",WEEKDAY($A229,2)&lt;=5,$A229='Recurring Schedule'!$F$40))),35,""))))</f>
        <v/>
      </c>
      <c r="AK229">
        <f>IF('Recurring Schedule'!$C$41="","",IF('Recurring Schedule'!$F$41="","",IF(OR($A229&lt;'Recurring Schedule'!$F$41,$A229&gt;'Recurring Schedule'!$P$41),"",IF(IF('Recurring Schedule'!$N$41&gt;0,MOD($A229-'Recurring Schedule'!$F$41,'Recurring Schedule'!$N$41)=0,IF('Recurring Schedule'!$O$41&gt;0,AND(DAY($A229)=MIN(DAY('Recurring Schedule'!$F$41),DAY(EOMONTH($A229,0))),MOD((YEAR($A229)-YEAR('Recurring Schedule'!$F$41))*12+MONTH($A229)-MONTH('Recurring Schedule'!$F$41),'Recurring Schedule'!$O$41)=0),IF('Recurring Schedule'!$E$41="Weekdays",WEEKDAY($A229,2)&lt;=5,$A229='Recurring Schedule'!$F$41))),36,""))))</f>
        <v/>
      </c>
      <c r="AL229">
        <f>IF('Recurring Schedule'!$C$42="","",IF('Recurring Schedule'!$F$42="","",IF(OR($A229&lt;'Recurring Schedule'!$F$42,$A229&gt;'Recurring Schedule'!$P$42),"",IF(IF('Recurring Schedule'!$N$42&gt;0,MOD($A229-'Recurring Schedule'!$F$42,'Recurring Schedule'!$N$42)=0,IF('Recurring Schedule'!$O$42&gt;0,AND(DAY($A229)=MIN(DAY('Recurring Schedule'!$F$42),DAY(EOMONTH($A229,0))),MOD((YEAR($A229)-YEAR('Recurring Schedule'!$F$42))*12+MONTH($A229)-MONTH('Recurring Schedule'!$F$42),'Recurring Schedule'!$O$42)=0),IF('Recurring Schedule'!$E$42="Weekdays",WEEKDAY($A229,2)&lt;=5,$A229='Recurring Schedule'!$F$42))),37,""))))</f>
        <v/>
      </c>
      <c r="AM229">
        <f>IF('Recurring Schedule'!$C$43="","",IF('Recurring Schedule'!$F$43="","",IF(OR($A229&lt;'Recurring Schedule'!$F$43,$A229&gt;'Recurring Schedule'!$P$43),"",IF(IF('Recurring Schedule'!$N$43&gt;0,MOD($A229-'Recurring Schedule'!$F$43,'Recurring Schedule'!$N$43)=0,IF('Recurring Schedule'!$O$43&gt;0,AND(DAY($A229)=MIN(DAY('Recurring Schedule'!$F$43),DAY(EOMONTH($A229,0))),MOD((YEAR($A229)-YEAR('Recurring Schedule'!$F$43))*12+MONTH($A229)-MONTH('Recurring Schedule'!$F$43),'Recurring Schedule'!$O$43)=0),IF('Recurring Schedule'!$E$43="Weekdays",WEEKDAY($A229,2)&lt;=5,$A229='Recurring Schedule'!$F$43))),38,""))))</f>
        <v/>
      </c>
      <c r="AN229">
        <f>IF('Recurring Schedule'!$C$44="","",IF('Recurring Schedule'!$F$44="","",IF(OR($A229&lt;'Recurring Schedule'!$F$44,$A229&gt;'Recurring Schedule'!$P$44),"",IF(IF('Recurring Schedule'!$N$44&gt;0,MOD($A229-'Recurring Schedule'!$F$44,'Recurring Schedule'!$N$44)=0,IF('Recurring Schedule'!$O$44&gt;0,AND(DAY($A229)=MIN(DAY('Recurring Schedule'!$F$44),DAY(EOMONTH($A229,0))),MOD((YEAR($A229)-YEAR('Recurring Schedule'!$F$44))*12+MONTH($A229)-MONTH('Recurring Schedule'!$F$44),'Recurring Schedule'!$O$44)=0),IF('Recurring Schedule'!$E$44="Weekdays",WEEKDAY($A229,2)&lt;=5,$A229='Recurring Schedule'!$F$44))),39,""))))</f>
        <v/>
      </c>
      <c r="AO229">
        <f>IF('Recurring Schedule'!$C$45="","",IF('Recurring Schedule'!$F$45="","",IF(OR($A229&lt;'Recurring Schedule'!$F$45,$A229&gt;'Recurring Schedule'!$P$45),"",IF(IF('Recurring Schedule'!$N$45&gt;0,MOD($A229-'Recurring Schedule'!$F$45,'Recurring Schedule'!$N$45)=0,IF('Recurring Schedule'!$O$45&gt;0,AND(DAY($A229)=MIN(DAY('Recurring Schedule'!$F$45),DAY(EOMONTH($A229,0))),MOD((YEAR($A229)-YEAR('Recurring Schedule'!$F$45))*12+MONTH($A229)-MONTH('Recurring Schedule'!$F$45),'Recurring Schedule'!$O$45)=0),IF('Recurring Schedule'!$E$45="Weekdays",WEEKDAY($A229,2)&lt;=5,$A229='Recurring Schedule'!$F$45))),40,""))))</f>
        <v/>
      </c>
      <c r="AP229">
        <f>COUNT(B229:AO229)</f>
        <v/>
      </c>
      <c r="AQ229">
        <f>AQ228+AP228</f>
        <v/>
      </c>
      <c r="AS229" t="inlineStr">
        <is>
          <t>R</t>
        </is>
      </c>
      <c r="AT229" t="n">
        <v>233</v>
      </c>
      <c r="AU229">
        <f>'Recurring Log'!C233&amp;""</f>
        <v/>
      </c>
      <c r="AV229">
        <f>'Recurring Log'!D233&amp;""</f>
        <v/>
      </c>
      <c r="AW229">
        <f>IF('Recurring Log'!E233="","",'Recurring Log'!E233)</f>
        <v/>
      </c>
      <c r="AX229">
        <f>IF('Recurring Log'!G233="","",'Recurring Log'!G233)</f>
        <v/>
      </c>
      <c r="AY229">
        <f>IF('Recurring Log'!H233="","",'Recurring Log'!H233)</f>
        <v/>
      </c>
      <c r="AZ229">
        <f>IF(AU229="","",IF('Recurring Log'!J233="","Not Started",'Recurring Log'!J233))</f>
        <v/>
      </c>
      <c r="BA229">
        <f>'Recurring Log'!L233&amp;""</f>
        <v/>
      </c>
      <c r="BB229">
        <f>'Recurring Log'!M233&amp;""</f>
        <v/>
      </c>
      <c r="BC229">
        <f>'Recurring Log'!N233&amp;""</f>
        <v/>
      </c>
      <c r="BD229">
        <f>'Recurring Log'!O233&amp;""</f>
        <v/>
      </c>
      <c r="BE229">
        <f>IF('Recurring Log'!K233="","",'Recurring Log'!K233)</f>
        <v/>
      </c>
      <c r="BF229">
        <f>IFERROR(MATCH(BA229,Setup!$L$6:$L$9,0),5)</f>
        <v/>
      </c>
      <c r="BG229">
        <f>IF(OR(AZ229="Done",AZ229="Cancelled"),1,0)</f>
        <v/>
      </c>
      <c r="BH229">
        <f>IF(AND(AU229&lt;&gt;"",ISNUMBER(AW229)),1,0)</f>
        <v/>
      </c>
      <c r="BI229">
        <f>IF(BH229=0,0,IF(AND(AW229&gt;='Tasks Filter'!$F$3,AW229&lt;='Tasks Filter'!$F$4,OR('Tasks Filter'!$I$3="",ISNUMBER(SEARCH('Tasks Filter'!$I$3,AU229))),OR('Tasks Filter'!$I$4="",BF229=IFERROR(MATCH('Tasks Filter'!$I$4,Setup!$L$6:$L$9,0),0)),OR('Tasks Filter'!$I$5="Both",AND('Tasks Filter'!$I$5="Yes",BB229="✓"),AND('Tasks Filter'!$I$5="No",BB229&lt;&gt;"✓")),OR('Tasks Filter'!$L$3="",AV229='Tasks Filter'!$L$3),OR('Tasks Filter'!$L$4="",AZ229='Tasks Filter'!$L$4),OR('Tasks Filter'!$L$5="",BC229='Tasks Filter'!$L$5),OR('Tasks Filter'!$O$3="",BD229='Tasks Filter'!$O$3),OR('Tasks Filter'!$O$4="Yes",BG229=0)),1,0))</f>
        <v/>
      </c>
      <c r="BJ229">
        <f>IF(BH229=0,"",IF('Tasks Filter'!$F$6="Descending",-1,1)*CHOOSE(MATCH('Tasks Filter'!$F$5,Lists!$G$2:$G$6,0),AW229,BF229,IFERROR(MATCH(AV229,Setup!$F$6:$F$15,0),99),IFERROR(MATCH(BC229,Setup!$H$6:$H$15,0),99),IFERROR(MATCH(AZ229,Setup!$J$6:$J$11,0),99))*1E+9+(AW229-40000)*10000+228)</f>
        <v/>
      </c>
      <c r="BK229">
        <f>IF(BI229=1,BJ229,"")</f>
        <v/>
      </c>
      <c r="BL229">
        <f>IF(AND(BH229=1,BG229=0,N(AW229)&lt;Setup!$D$7),(AW229-40000)*10000+228,"")</f>
        <v/>
      </c>
      <c r="BM229">
        <f>IF(AND(BH229=1,AZ229&lt;&gt;"Cancelled",N(AW229)&gt;=Dashboard!$AB$3,N(AW229)&lt;=Dashboard!$AB$3+6),(AW229-40000)*100000+BF229*10000+228,"")</f>
        <v/>
      </c>
      <c r="BN229">
        <f>IF(AND(BH229=1,AZ229&lt;&gt;"Cancelled"),BF229*10000+228,"")</f>
        <v/>
      </c>
    </row>
    <row r="230">
      <c r="A230">
        <f>Setup!$D$5+228</f>
        <v/>
      </c>
      <c r="B230">
        <f>IF('Recurring Schedule'!$C$6="","",IF('Recurring Schedule'!$F$6="","",IF(OR($A230&lt;'Recurring Schedule'!$F$6,$A230&gt;'Recurring Schedule'!$P$6),"",IF(IF('Recurring Schedule'!$N$6&gt;0,MOD($A230-'Recurring Schedule'!$F$6,'Recurring Schedule'!$N$6)=0,IF('Recurring Schedule'!$O$6&gt;0,AND(DAY($A230)=MIN(DAY('Recurring Schedule'!$F$6),DAY(EOMONTH($A230,0))),MOD((YEAR($A230)-YEAR('Recurring Schedule'!$F$6))*12+MONTH($A230)-MONTH('Recurring Schedule'!$F$6),'Recurring Schedule'!$O$6)=0),IF('Recurring Schedule'!$E$6="Weekdays",WEEKDAY($A230,2)&lt;=5,$A230='Recurring Schedule'!$F$6))),1,""))))</f>
        <v/>
      </c>
      <c r="C230">
        <f>IF('Recurring Schedule'!$C$7="","",IF('Recurring Schedule'!$F$7="","",IF(OR($A230&lt;'Recurring Schedule'!$F$7,$A230&gt;'Recurring Schedule'!$P$7),"",IF(IF('Recurring Schedule'!$N$7&gt;0,MOD($A230-'Recurring Schedule'!$F$7,'Recurring Schedule'!$N$7)=0,IF('Recurring Schedule'!$O$7&gt;0,AND(DAY($A230)=MIN(DAY('Recurring Schedule'!$F$7),DAY(EOMONTH($A230,0))),MOD((YEAR($A230)-YEAR('Recurring Schedule'!$F$7))*12+MONTH($A230)-MONTH('Recurring Schedule'!$F$7),'Recurring Schedule'!$O$7)=0),IF('Recurring Schedule'!$E$7="Weekdays",WEEKDAY($A230,2)&lt;=5,$A230='Recurring Schedule'!$F$7))),2,""))))</f>
        <v/>
      </c>
      <c r="D230">
        <f>IF('Recurring Schedule'!$C$8="","",IF('Recurring Schedule'!$F$8="","",IF(OR($A230&lt;'Recurring Schedule'!$F$8,$A230&gt;'Recurring Schedule'!$P$8),"",IF(IF('Recurring Schedule'!$N$8&gt;0,MOD($A230-'Recurring Schedule'!$F$8,'Recurring Schedule'!$N$8)=0,IF('Recurring Schedule'!$O$8&gt;0,AND(DAY($A230)=MIN(DAY('Recurring Schedule'!$F$8),DAY(EOMONTH($A230,0))),MOD((YEAR($A230)-YEAR('Recurring Schedule'!$F$8))*12+MONTH($A230)-MONTH('Recurring Schedule'!$F$8),'Recurring Schedule'!$O$8)=0),IF('Recurring Schedule'!$E$8="Weekdays",WEEKDAY($A230,2)&lt;=5,$A230='Recurring Schedule'!$F$8))),3,""))))</f>
        <v/>
      </c>
      <c r="E230">
        <f>IF('Recurring Schedule'!$C$9="","",IF('Recurring Schedule'!$F$9="","",IF(OR($A230&lt;'Recurring Schedule'!$F$9,$A230&gt;'Recurring Schedule'!$P$9),"",IF(IF('Recurring Schedule'!$N$9&gt;0,MOD($A230-'Recurring Schedule'!$F$9,'Recurring Schedule'!$N$9)=0,IF('Recurring Schedule'!$O$9&gt;0,AND(DAY($A230)=MIN(DAY('Recurring Schedule'!$F$9),DAY(EOMONTH($A230,0))),MOD((YEAR($A230)-YEAR('Recurring Schedule'!$F$9))*12+MONTH($A230)-MONTH('Recurring Schedule'!$F$9),'Recurring Schedule'!$O$9)=0),IF('Recurring Schedule'!$E$9="Weekdays",WEEKDAY($A230,2)&lt;=5,$A230='Recurring Schedule'!$F$9))),4,""))))</f>
        <v/>
      </c>
      <c r="F230">
        <f>IF('Recurring Schedule'!$C$10="","",IF('Recurring Schedule'!$F$10="","",IF(OR($A230&lt;'Recurring Schedule'!$F$10,$A230&gt;'Recurring Schedule'!$P$10),"",IF(IF('Recurring Schedule'!$N$10&gt;0,MOD($A230-'Recurring Schedule'!$F$10,'Recurring Schedule'!$N$10)=0,IF('Recurring Schedule'!$O$10&gt;0,AND(DAY($A230)=MIN(DAY('Recurring Schedule'!$F$10),DAY(EOMONTH($A230,0))),MOD((YEAR($A230)-YEAR('Recurring Schedule'!$F$10))*12+MONTH($A230)-MONTH('Recurring Schedule'!$F$10),'Recurring Schedule'!$O$10)=0),IF('Recurring Schedule'!$E$10="Weekdays",WEEKDAY($A230,2)&lt;=5,$A230='Recurring Schedule'!$F$10))),5,""))))</f>
        <v/>
      </c>
      <c r="G230">
        <f>IF('Recurring Schedule'!$C$11="","",IF('Recurring Schedule'!$F$11="","",IF(OR($A230&lt;'Recurring Schedule'!$F$11,$A230&gt;'Recurring Schedule'!$P$11),"",IF(IF('Recurring Schedule'!$N$11&gt;0,MOD($A230-'Recurring Schedule'!$F$11,'Recurring Schedule'!$N$11)=0,IF('Recurring Schedule'!$O$11&gt;0,AND(DAY($A230)=MIN(DAY('Recurring Schedule'!$F$11),DAY(EOMONTH($A230,0))),MOD((YEAR($A230)-YEAR('Recurring Schedule'!$F$11))*12+MONTH($A230)-MONTH('Recurring Schedule'!$F$11),'Recurring Schedule'!$O$11)=0),IF('Recurring Schedule'!$E$11="Weekdays",WEEKDAY($A230,2)&lt;=5,$A230='Recurring Schedule'!$F$11))),6,""))))</f>
        <v/>
      </c>
      <c r="H230">
        <f>IF('Recurring Schedule'!$C$12="","",IF('Recurring Schedule'!$F$12="","",IF(OR($A230&lt;'Recurring Schedule'!$F$12,$A230&gt;'Recurring Schedule'!$P$12),"",IF(IF('Recurring Schedule'!$N$12&gt;0,MOD($A230-'Recurring Schedule'!$F$12,'Recurring Schedule'!$N$12)=0,IF('Recurring Schedule'!$O$12&gt;0,AND(DAY($A230)=MIN(DAY('Recurring Schedule'!$F$12),DAY(EOMONTH($A230,0))),MOD((YEAR($A230)-YEAR('Recurring Schedule'!$F$12))*12+MONTH($A230)-MONTH('Recurring Schedule'!$F$12),'Recurring Schedule'!$O$12)=0),IF('Recurring Schedule'!$E$12="Weekdays",WEEKDAY($A230,2)&lt;=5,$A230='Recurring Schedule'!$F$12))),7,""))))</f>
        <v/>
      </c>
      <c r="I230">
        <f>IF('Recurring Schedule'!$C$13="","",IF('Recurring Schedule'!$F$13="","",IF(OR($A230&lt;'Recurring Schedule'!$F$13,$A230&gt;'Recurring Schedule'!$P$13),"",IF(IF('Recurring Schedule'!$N$13&gt;0,MOD($A230-'Recurring Schedule'!$F$13,'Recurring Schedule'!$N$13)=0,IF('Recurring Schedule'!$O$13&gt;0,AND(DAY($A230)=MIN(DAY('Recurring Schedule'!$F$13),DAY(EOMONTH($A230,0))),MOD((YEAR($A230)-YEAR('Recurring Schedule'!$F$13))*12+MONTH($A230)-MONTH('Recurring Schedule'!$F$13),'Recurring Schedule'!$O$13)=0),IF('Recurring Schedule'!$E$13="Weekdays",WEEKDAY($A230,2)&lt;=5,$A230='Recurring Schedule'!$F$13))),8,""))))</f>
        <v/>
      </c>
      <c r="J230">
        <f>IF('Recurring Schedule'!$C$14="","",IF('Recurring Schedule'!$F$14="","",IF(OR($A230&lt;'Recurring Schedule'!$F$14,$A230&gt;'Recurring Schedule'!$P$14),"",IF(IF('Recurring Schedule'!$N$14&gt;0,MOD($A230-'Recurring Schedule'!$F$14,'Recurring Schedule'!$N$14)=0,IF('Recurring Schedule'!$O$14&gt;0,AND(DAY($A230)=MIN(DAY('Recurring Schedule'!$F$14),DAY(EOMONTH($A230,0))),MOD((YEAR($A230)-YEAR('Recurring Schedule'!$F$14))*12+MONTH($A230)-MONTH('Recurring Schedule'!$F$14),'Recurring Schedule'!$O$14)=0),IF('Recurring Schedule'!$E$14="Weekdays",WEEKDAY($A230,2)&lt;=5,$A230='Recurring Schedule'!$F$14))),9,""))))</f>
        <v/>
      </c>
      <c r="K230">
        <f>IF('Recurring Schedule'!$C$15="","",IF('Recurring Schedule'!$F$15="","",IF(OR($A230&lt;'Recurring Schedule'!$F$15,$A230&gt;'Recurring Schedule'!$P$15),"",IF(IF('Recurring Schedule'!$N$15&gt;0,MOD($A230-'Recurring Schedule'!$F$15,'Recurring Schedule'!$N$15)=0,IF('Recurring Schedule'!$O$15&gt;0,AND(DAY($A230)=MIN(DAY('Recurring Schedule'!$F$15),DAY(EOMONTH($A230,0))),MOD((YEAR($A230)-YEAR('Recurring Schedule'!$F$15))*12+MONTH($A230)-MONTH('Recurring Schedule'!$F$15),'Recurring Schedule'!$O$15)=0),IF('Recurring Schedule'!$E$15="Weekdays",WEEKDAY($A230,2)&lt;=5,$A230='Recurring Schedule'!$F$15))),10,""))))</f>
        <v/>
      </c>
      <c r="L230">
        <f>IF('Recurring Schedule'!$C$16="","",IF('Recurring Schedule'!$F$16="","",IF(OR($A230&lt;'Recurring Schedule'!$F$16,$A230&gt;'Recurring Schedule'!$P$16),"",IF(IF('Recurring Schedule'!$N$16&gt;0,MOD($A230-'Recurring Schedule'!$F$16,'Recurring Schedule'!$N$16)=0,IF('Recurring Schedule'!$O$16&gt;0,AND(DAY($A230)=MIN(DAY('Recurring Schedule'!$F$16),DAY(EOMONTH($A230,0))),MOD((YEAR($A230)-YEAR('Recurring Schedule'!$F$16))*12+MONTH($A230)-MONTH('Recurring Schedule'!$F$16),'Recurring Schedule'!$O$16)=0),IF('Recurring Schedule'!$E$16="Weekdays",WEEKDAY($A230,2)&lt;=5,$A230='Recurring Schedule'!$F$16))),11,""))))</f>
        <v/>
      </c>
      <c r="M230">
        <f>IF('Recurring Schedule'!$C$17="","",IF('Recurring Schedule'!$F$17="","",IF(OR($A230&lt;'Recurring Schedule'!$F$17,$A230&gt;'Recurring Schedule'!$P$17),"",IF(IF('Recurring Schedule'!$N$17&gt;0,MOD($A230-'Recurring Schedule'!$F$17,'Recurring Schedule'!$N$17)=0,IF('Recurring Schedule'!$O$17&gt;0,AND(DAY($A230)=MIN(DAY('Recurring Schedule'!$F$17),DAY(EOMONTH($A230,0))),MOD((YEAR($A230)-YEAR('Recurring Schedule'!$F$17))*12+MONTH($A230)-MONTH('Recurring Schedule'!$F$17),'Recurring Schedule'!$O$17)=0),IF('Recurring Schedule'!$E$17="Weekdays",WEEKDAY($A230,2)&lt;=5,$A230='Recurring Schedule'!$F$17))),12,""))))</f>
        <v/>
      </c>
      <c r="N230">
        <f>IF('Recurring Schedule'!$C$18="","",IF('Recurring Schedule'!$F$18="","",IF(OR($A230&lt;'Recurring Schedule'!$F$18,$A230&gt;'Recurring Schedule'!$P$18),"",IF(IF('Recurring Schedule'!$N$18&gt;0,MOD($A230-'Recurring Schedule'!$F$18,'Recurring Schedule'!$N$18)=0,IF('Recurring Schedule'!$O$18&gt;0,AND(DAY($A230)=MIN(DAY('Recurring Schedule'!$F$18),DAY(EOMONTH($A230,0))),MOD((YEAR($A230)-YEAR('Recurring Schedule'!$F$18))*12+MONTH($A230)-MONTH('Recurring Schedule'!$F$18),'Recurring Schedule'!$O$18)=0),IF('Recurring Schedule'!$E$18="Weekdays",WEEKDAY($A230,2)&lt;=5,$A230='Recurring Schedule'!$F$18))),13,""))))</f>
        <v/>
      </c>
      <c r="O230">
        <f>IF('Recurring Schedule'!$C$19="","",IF('Recurring Schedule'!$F$19="","",IF(OR($A230&lt;'Recurring Schedule'!$F$19,$A230&gt;'Recurring Schedule'!$P$19),"",IF(IF('Recurring Schedule'!$N$19&gt;0,MOD($A230-'Recurring Schedule'!$F$19,'Recurring Schedule'!$N$19)=0,IF('Recurring Schedule'!$O$19&gt;0,AND(DAY($A230)=MIN(DAY('Recurring Schedule'!$F$19),DAY(EOMONTH($A230,0))),MOD((YEAR($A230)-YEAR('Recurring Schedule'!$F$19))*12+MONTH($A230)-MONTH('Recurring Schedule'!$F$19),'Recurring Schedule'!$O$19)=0),IF('Recurring Schedule'!$E$19="Weekdays",WEEKDAY($A230,2)&lt;=5,$A230='Recurring Schedule'!$F$19))),14,""))))</f>
        <v/>
      </c>
      <c r="P230">
        <f>IF('Recurring Schedule'!$C$20="","",IF('Recurring Schedule'!$F$20="","",IF(OR($A230&lt;'Recurring Schedule'!$F$20,$A230&gt;'Recurring Schedule'!$P$20),"",IF(IF('Recurring Schedule'!$N$20&gt;0,MOD($A230-'Recurring Schedule'!$F$20,'Recurring Schedule'!$N$20)=0,IF('Recurring Schedule'!$O$20&gt;0,AND(DAY($A230)=MIN(DAY('Recurring Schedule'!$F$20),DAY(EOMONTH($A230,0))),MOD((YEAR($A230)-YEAR('Recurring Schedule'!$F$20))*12+MONTH($A230)-MONTH('Recurring Schedule'!$F$20),'Recurring Schedule'!$O$20)=0),IF('Recurring Schedule'!$E$20="Weekdays",WEEKDAY($A230,2)&lt;=5,$A230='Recurring Schedule'!$F$20))),15,""))))</f>
        <v/>
      </c>
      <c r="Q230">
        <f>IF('Recurring Schedule'!$C$21="","",IF('Recurring Schedule'!$F$21="","",IF(OR($A230&lt;'Recurring Schedule'!$F$21,$A230&gt;'Recurring Schedule'!$P$21),"",IF(IF('Recurring Schedule'!$N$21&gt;0,MOD($A230-'Recurring Schedule'!$F$21,'Recurring Schedule'!$N$21)=0,IF('Recurring Schedule'!$O$21&gt;0,AND(DAY($A230)=MIN(DAY('Recurring Schedule'!$F$21),DAY(EOMONTH($A230,0))),MOD((YEAR($A230)-YEAR('Recurring Schedule'!$F$21))*12+MONTH($A230)-MONTH('Recurring Schedule'!$F$21),'Recurring Schedule'!$O$21)=0),IF('Recurring Schedule'!$E$21="Weekdays",WEEKDAY($A230,2)&lt;=5,$A230='Recurring Schedule'!$F$21))),16,""))))</f>
        <v/>
      </c>
      <c r="R230">
        <f>IF('Recurring Schedule'!$C$22="","",IF('Recurring Schedule'!$F$22="","",IF(OR($A230&lt;'Recurring Schedule'!$F$22,$A230&gt;'Recurring Schedule'!$P$22),"",IF(IF('Recurring Schedule'!$N$22&gt;0,MOD($A230-'Recurring Schedule'!$F$22,'Recurring Schedule'!$N$22)=0,IF('Recurring Schedule'!$O$22&gt;0,AND(DAY($A230)=MIN(DAY('Recurring Schedule'!$F$22),DAY(EOMONTH($A230,0))),MOD((YEAR($A230)-YEAR('Recurring Schedule'!$F$22))*12+MONTH($A230)-MONTH('Recurring Schedule'!$F$22),'Recurring Schedule'!$O$22)=0),IF('Recurring Schedule'!$E$22="Weekdays",WEEKDAY($A230,2)&lt;=5,$A230='Recurring Schedule'!$F$22))),17,""))))</f>
        <v/>
      </c>
      <c r="S230">
        <f>IF('Recurring Schedule'!$C$23="","",IF('Recurring Schedule'!$F$23="","",IF(OR($A230&lt;'Recurring Schedule'!$F$23,$A230&gt;'Recurring Schedule'!$P$23),"",IF(IF('Recurring Schedule'!$N$23&gt;0,MOD($A230-'Recurring Schedule'!$F$23,'Recurring Schedule'!$N$23)=0,IF('Recurring Schedule'!$O$23&gt;0,AND(DAY($A230)=MIN(DAY('Recurring Schedule'!$F$23),DAY(EOMONTH($A230,0))),MOD((YEAR($A230)-YEAR('Recurring Schedule'!$F$23))*12+MONTH($A230)-MONTH('Recurring Schedule'!$F$23),'Recurring Schedule'!$O$23)=0),IF('Recurring Schedule'!$E$23="Weekdays",WEEKDAY($A230,2)&lt;=5,$A230='Recurring Schedule'!$F$23))),18,""))))</f>
        <v/>
      </c>
      <c r="T230">
        <f>IF('Recurring Schedule'!$C$24="","",IF('Recurring Schedule'!$F$24="","",IF(OR($A230&lt;'Recurring Schedule'!$F$24,$A230&gt;'Recurring Schedule'!$P$24),"",IF(IF('Recurring Schedule'!$N$24&gt;0,MOD($A230-'Recurring Schedule'!$F$24,'Recurring Schedule'!$N$24)=0,IF('Recurring Schedule'!$O$24&gt;0,AND(DAY($A230)=MIN(DAY('Recurring Schedule'!$F$24),DAY(EOMONTH($A230,0))),MOD((YEAR($A230)-YEAR('Recurring Schedule'!$F$24))*12+MONTH($A230)-MONTH('Recurring Schedule'!$F$24),'Recurring Schedule'!$O$24)=0),IF('Recurring Schedule'!$E$24="Weekdays",WEEKDAY($A230,2)&lt;=5,$A230='Recurring Schedule'!$F$24))),19,""))))</f>
        <v/>
      </c>
      <c r="U230">
        <f>IF('Recurring Schedule'!$C$25="","",IF('Recurring Schedule'!$F$25="","",IF(OR($A230&lt;'Recurring Schedule'!$F$25,$A230&gt;'Recurring Schedule'!$P$25),"",IF(IF('Recurring Schedule'!$N$25&gt;0,MOD($A230-'Recurring Schedule'!$F$25,'Recurring Schedule'!$N$25)=0,IF('Recurring Schedule'!$O$25&gt;0,AND(DAY($A230)=MIN(DAY('Recurring Schedule'!$F$25),DAY(EOMONTH($A230,0))),MOD((YEAR($A230)-YEAR('Recurring Schedule'!$F$25))*12+MONTH($A230)-MONTH('Recurring Schedule'!$F$25),'Recurring Schedule'!$O$25)=0),IF('Recurring Schedule'!$E$25="Weekdays",WEEKDAY($A230,2)&lt;=5,$A230='Recurring Schedule'!$F$25))),20,""))))</f>
        <v/>
      </c>
      <c r="V230">
        <f>IF('Recurring Schedule'!$C$26="","",IF('Recurring Schedule'!$F$26="","",IF(OR($A230&lt;'Recurring Schedule'!$F$26,$A230&gt;'Recurring Schedule'!$P$26),"",IF(IF('Recurring Schedule'!$N$26&gt;0,MOD($A230-'Recurring Schedule'!$F$26,'Recurring Schedule'!$N$26)=0,IF('Recurring Schedule'!$O$26&gt;0,AND(DAY($A230)=MIN(DAY('Recurring Schedule'!$F$26),DAY(EOMONTH($A230,0))),MOD((YEAR($A230)-YEAR('Recurring Schedule'!$F$26))*12+MONTH($A230)-MONTH('Recurring Schedule'!$F$26),'Recurring Schedule'!$O$26)=0),IF('Recurring Schedule'!$E$26="Weekdays",WEEKDAY($A230,2)&lt;=5,$A230='Recurring Schedule'!$F$26))),21,""))))</f>
        <v/>
      </c>
      <c r="W230">
        <f>IF('Recurring Schedule'!$C$27="","",IF('Recurring Schedule'!$F$27="","",IF(OR($A230&lt;'Recurring Schedule'!$F$27,$A230&gt;'Recurring Schedule'!$P$27),"",IF(IF('Recurring Schedule'!$N$27&gt;0,MOD($A230-'Recurring Schedule'!$F$27,'Recurring Schedule'!$N$27)=0,IF('Recurring Schedule'!$O$27&gt;0,AND(DAY($A230)=MIN(DAY('Recurring Schedule'!$F$27),DAY(EOMONTH($A230,0))),MOD((YEAR($A230)-YEAR('Recurring Schedule'!$F$27))*12+MONTH($A230)-MONTH('Recurring Schedule'!$F$27),'Recurring Schedule'!$O$27)=0),IF('Recurring Schedule'!$E$27="Weekdays",WEEKDAY($A230,2)&lt;=5,$A230='Recurring Schedule'!$F$27))),22,""))))</f>
        <v/>
      </c>
      <c r="X230">
        <f>IF('Recurring Schedule'!$C$28="","",IF('Recurring Schedule'!$F$28="","",IF(OR($A230&lt;'Recurring Schedule'!$F$28,$A230&gt;'Recurring Schedule'!$P$28),"",IF(IF('Recurring Schedule'!$N$28&gt;0,MOD($A230-'Recurring Schedule'!$F$28,'Recurring Schedule'!$N$28)=0,IF('Recurring Schedule'!$O$28&gt;0,AND(DAY($A230)=MIN(DAY('Recurring Schedule'!$F$28),DAY(EOMONTH($A230,0))),MOD((YEAR($A230)-YEAR('Recurring Schedule'!$F$28))*12+MONTH($A230)-MONTH('Recurring Schedule'!$F$28),'Recurring Schedule'!$O$28)=0),IF('Recurring Schedule'!$E$28="Weekdays",WEEKDAY($A230,2)&lt;=5,$A230='Recurring Schedule'!$F$28))),23,""))))</f>
        <v/>
      </c>
      <c r="Y230">
        <f>IF('Recurring Schedule'!$C$29="","",IF('Recurring Schedule'!$F$29="","",IF(OR($A230&lt;'Recurring Schedule'!$F$29,$A230&gt;'Recurring Schedule'!$P$29),"",IF(IF('Recurring Schedule'!$N$29&gt;0,MOD($A230-'Recurring Schedule'!$F$29,'Recurring Schedule'!$N$29)=0,IF('Recurring Schedule'!$O$29&gt;0,AND(DAY($A230)=MIN(DAY('Recurring Schedule'!$F$29),DAY(EOMONTH($A230,0))),MOD((YEAR($A230)-YEAR('Recurring Schedule'!$F$29))*12+MONTH($A230)-MONTH('Recurring Schedule'!$F$29),'Recurring Schedule'!$O$29)=0),IF('Recurring Schedule'!$E$29="Weekdays",WEEKDAY($A230,2)&lt;=5,$A230='Recurring Schedule'!$F$29))),24,""))))</f>
        <v/>
      </c>
      <c r="Z230">
        <f>IF('Recurring Schedule'!$C$30="","",IF('Recurring Schedule'!$F$30="","",IF(OR($A230&lt;'Recurring Schedule'!$F$30,$A230&gt;'Recurring Schedule'!$P$30),"",IF(IF('Recurring Schedule'!$N$30&gt;0,MOD($A230-'Recurring Schedule'!$F$30,'Recurring Schedule'!$N$30)=0,IF('Recurring Schedule'!$O$30&gt;0,AND(DAY($A230)=MIN(DAY('Recurring Schedule'!$F$30),DAY(EOMONTH($A230,0))),MOD((YEAR($A230)-YEAR('Recurring Schedule'!$F$30))*12+MONTH($A230)-MONTH('Recurring Schedule'!$F$30),'Recurring Schedule'!$O$30)=0),IF('Recurring Schedule'!$E$30="Weekdays",WEEKDAY($A230,2)&lt;=5,$A230='Recurring Schedule'!$F$30))),25,""))))</f>
        <v/>
      </c>
      <c r="AA230">
        <f>IF('Recurring Schedule'!$C$31="","",IF('Recurring Schedule'!$F$31="","",IF(OR($A230&lt;'Recurring Schedule'!$F$31,$A230&gt;'Recurring Schedule'!$P$31),"",IF(IF('Recurring Schedule'!$N$31&gt;0,MOD($A230-'Recurring Schedule'!$F$31,'Recurring Schedule'!$N$31)=0,IF('Recurring Schedule'!$O$31&gt;0,AND(DAY($A230)=MIN(DAY('Recurring Schedule'!$F$31),DAY(EOMONTH($A230,0))),MOD((YEAR($A230)-YEAR('Recurring Schedule'!$F$31))*12+MONTH($A230)-MONTH('Recurring Schedule'!$F$31),'Recurring Schedule'!$O$31)=0),IF('Recurring Schedule'!$E$31="Weekdays",WEEKDAY($A230,2)&lt;=5,$A230='Recurring Schedule'!$F$31))),26,""))))</f>
        <v/>
      </c>
      <c r="AB230">
        <f>IF('Recurring Schedule'!$C$32="","",IF('Recurring Schedule'!$F$32="","",IF(OR($A230&lt;'Recurring Schedule'!$F$32,$A230&gt;'Recurring Schedule'!$P$32),"",IF(IF('Recurring Schedule'!$N$32&gt;0,MOD($A230-'Recurring Schedule'!$F$32,'Recurring Schedule'!$N$32)=0,IF('Recurring Schedule'!$O$32&gt;0,AND(DAY($A230)=MIN(DAY('Recurring Schedule'!$F$32),DAY(EOMONTH($A230,0))),MOD((YEAR($A230)-YEAR('Recurring Schedule'!$F$32))*12+MONTH($A230)-MONTH('Recurring Schedule'!$F$32),'Recurring Schedule'!$O$32)=0),IF('Recurring Schedule'!$E$32="Weekdays",WEEKDAY($A230,2)&lt;=5,$A230='Recurring Schedule'!$F$32))),27,""))))</f>
        <v/>
      </c>
      <c r="AC230">
        <f>IF('Recurring Schedule'!$C$33="","",IF('Recurring Schedule'!$F$33="","",IF(OR($A230&lt;'Recurring Schedule'!$F$33,$A230&gt;'Recurring Schedule'!$P$33),"",IF(IF('Recurring Schedule'!$N$33&gt;0,MOD($A230-'Recurring Schedule'!$F$33,'Recurring Schedule'!$N$33)=0,IF('Recurring Schedule'!$O$33&gt;0,AND(DAY($A230)=MIN(DAY('Recurring Schedule'!$F$33),DAY(EOMONTH($A230,0))),MOD((YEAR($A230)-YEAR('Recurring Schedule'!$F$33))*12+MONTH($A230)-MONTH('Recurring Schedule'!$F$33),'Recurring Schedule'!$O$33)=0),IF('Recurring Schedule'!$E$33="Weekdays",WEEKDAY($A230,2)&lt;=5,$A230='Recurring Schedule'!$F$33))),28,""))))</f>
        <v/>
      </c>
      <c r="AD230">
        <f>IF('Recurring Schedule'!$C$34="","",IF('Recurring Schedule'!$F$34="","",IF(OR($A230&lt;'Recurring Schedule'!$F$34,$A230&gt;'Recurring Schedule'!$P$34),"",IF(IF('Recurring Schedule'!$N$34&gt;0,MOD($A230-'Recurring Schedule'!$F$34,'Recurring Schedule'!$N$34)=0,IF('Recurring Schedule'!$O$34&gt;0,AND(DAY($A230)=MIN(DAY('Recurring Schedule'!$F$34),DAY(EOMONTH($A230,0))),MOD((YEAR($A230)-YEAR('Recurring Schedule'!$F$34))*12+MONTH($A230)-MONTH('Recurring Schedule'!$F$34),'Recurring Schedule'!$O$34)=0),IF('Recurring Schedule'!$E$34="Weekdays",WEEKDAY($A230,2)&lt;=5,$A230='Recurring Schedule'!$F$34))),29,""))))</f>
        <v/>
      </c>
      <c r="AE230">
        <f>IF('Recurring Schedule'!$C$35="","",IF('Recurring Schedule'!$F$35="","",IF(OR($A230&lt;'Recurring Schedule'!$F$35,$A230&gt;'Recurring Schedule'!$P$35),"",IF(IF('Recurring Schedule'!$N$35&gt;0,MOD($A230-'Recurring Schedule'!$F$35,'Recurring Schedule'!$N$35)=0,IF('Recurring Schedule'!$O$35&gt;0,AND(DAY($A230)=MIN(DAY('Recurring Schedule'!$F$35),DAY(EOMONTH($A230,0))),MOD((YEAR($A230)-YEAR('Recurring Schedule'!$F$35))*12+MONTH($A230)-MONTH('Recurring Schedule'!$F$35),'Recurring Schedule'!$O$35)=0),IF('Recurring Schedule'!$E$35="Weekdays",WEEKDAY($A230,2)&lt;=5,$A230='Recurring Schedule'!$F$35))),30,""))))</f>
        <v/>
      </c>
      <c r="AF230">
        <f>IF('Recurring Schedule'!$C$36="","",IF('Recurring Schedule'!$F$36="","",IF(OR($A230&lt;'Recurring Schedule'!$F$36,$A230&gt;'Recurring Schedule'!$P$36),"",IF(IF('Recurring Schedule'!$N$36&gt;0,MOD($A230-'Recurring Schedule'!$F$36,'Recurring Schedule'!$N$36)=0,IF('Recurring Schedule'!$O$36&gt;0,AND(DAY($A230)=MIN(DAY('Recurring Schedule'!$F$36),DAY(EOMONTH($A230,0))),MOD((YEAR($A230)-YEAR('Recurring Schedule'!$F$36))*12+MONTH($A230)-MONTH('Recurring Schedule'!$F$36),'Recurring Schedule'!$O$36)=0),IF('Recurring Schedule'!$E$36="Weekdays",WEEKDAY($A230,2)&lt;=5,$A230='Recurring Schedule'!$F$36))),31,""))))</f>
        <v/>
      </c>
      <c r="AG230">
        <f>IF('Recurring Schedule'!$C$37="","",IF('Recurring Schedule'!$F$37="","",IF(OR($A230&lt;'Recurring Schedule'!$F$37,$A230&gt;'Recurring Schedule'!$P$37),"",IF(IF('Recurring Schedule'!$N$37&gt;0,MOD($A230-'Recurring Schedule'!$F$37,'Recurring Schedule'!$N$37)=0,IF('Recurring Schedule'!$O$37&gt;0,AND(DAY($A230)=MIN(DAY('Recurring Schedule'!$F$37),DAY(EOMONTH($A230,0))),MOD((YEAR($A230)-YEAR('Recurring Schedule'!$F$37))*12+MONTH($A230)-MONTH('Recurring Schedule'!$F$37),'Recurring Schedule'!$O$37)=0),IF('Recurring Schedule'!$E$37="Weekdays",WEEKDAY($A230,2)&lt;=5,$A230='Recurring Schedule'!$F$37))),32,""))))</f>
        <v/>
      </c>
      <c r="AH230">
        <f>IF('Recurring Schedule'!$C$38="","",IF('Recurring Schedule'!$F$38="","",IF(OR($A230&lt;'Recurring Schedule'!$F$38,$A230&gt;'Recurring Schedule'!$P$38),"",IF(IF('Recurring Schedule'!$N$38&gt;0,MOD($A230-'Recurring Schedule'!$F$38,'Recurring Schedule'!$N$38)=0,IF('Recurring Schedule'!$O$38&gt;0,AND(DAY($A230)=MIN(DAY('Recurring Schedule'!$F$38),DAY(EOMONTH($A230,0))),MOD((YEAR($A230)-YEAR('Recurring Schedule'!$F$38))*12+MONTH($A230)-MONTH('Recurring Schedule'!$F$38),'Recurring Schedule'!$O$38)=0),IF('Recurring Schedule'!$E$38="Weekdays",WEEKDAY($A230,2)&lt;=5,$A230='Recurring Schedule'!$F$38))),33,""))))</f>
        <v/>
      </c>
      <c r="AI230">
        <f>IF('Recurring Schedule'!$C$39="","",IF('Recurring Schedule'!$F$39="","",IF(OR($A230&lt;'Recurring Schedule'!$F$39,$A230&gt;'Recurring Schedule'!$P$39),"",IF(IF('Recurring Schedule'!$N$39&gt;0,MOD($A230-'Recurring Schedule'!$F$39,'Recurring Schedule'!$N$39)=0,IF('Recurring Schedule'!$O$39&gt;0,AND(DAY($A230)=MIN(DAY('Recurring Schedule'!$F$39),DAY(EOMONTH($A230,0))),MOD((YEAR($A230)-YEAR('Recurring Schedule'!$F$39))*12+MONTH($A230)-MONTH('Recurring Schedule'!$F$39),'Recurring Schedule'!$O$39)=0),IF('Recurring Schedule'!$E$39="Weekdays",WEEKDAY($A230,2)&lt;=5,$A230='Recurring Schedule'!$F$39))),34,""))))</f>
        <v/>
      </c>
      <c r="AJ230">
        <f>IF('Recurring Schedule'!$C$40="","",IF('Recurring Schedule'!$F$40="","",IF(OR($A230&lt;'Recurring Schedule'!$F$40,$A230&gt;'Recurring Schedule'!$P$40),"",IF(IF('Recurring Schedule'!$N$40&gt;0,MOD($A230-'Recurring Schedule'!$F$40,'Recurring Schedule'!$N$40)=0,IF('Recurring Schedule'!$O$40&gt;0,AND(DAY($A230)=MIN(DAY('Recurring Schedule'!$F$40),DAY(EOMONTH($A230,0))),MOD((YEAR($A230)-YEAR('Recurring Schedule'!$F$40))*12+MONTH($A230)-MONTH('Recurring Schedule'!$F$40),'Recurring Schedule'!$O$40)=0),IF('Recurring Schedule'!$E$40="Weekdays",WEEKDAY($A230,2)&lt;=5,$A230='Recurring Schedule'!$F$40))),35,""))))</f>
        <v/>
      </c>
      <c r="AK230">
        <f>IF('Recurring Schedule'!$C$41="","",IF('Recurring Schedule'!$F$41="","",IF(OR($A230&lt;'Recurring Schedule'!$F$41,$A230&gt;'Recurring Schedule'!$P$41),"",IF(IF('Recurring Schedule'!$N$41&gt;0,MOD($A230-'Recurring Schedule'!$F$41,'Recurring Schedule'!$N$41)=0,IF('Recurring Schedule'!$O$41&gt;0,AND(DAY($A230)=MIN(DAY('Recurring Schedule'!$F$41),DAY(EOMONTH($A230,0))),MOD((YEAR($A230)-YEAR('Recurring Schedule'!$F$41))*12+MONTH($A230)-MONTH('Recurring Schedule'!$F$41),'Recurring Schedule'!$O$41)=0),IF('Recurring Schedule'!$E$41="Weekdays",WEEKDAY($A230,2)&lt;=5,$A230='Recurring Schedule'!$F$41))),36,""))))</f>
        <v/>
      </c>
      <c r="AL230">
        <f>IF('Recurring Schedule'!$C$42="","",IF('Recurring Schedule'!$F$42="","",IF(OR($A230&lt;'Recurring Schedule'!$F$42,$A230&gt;'Recurring Schedule'!$P$42),"",IF(IF('Recurring Schedule'!$N$42&gt;0,MOD($A230-'Recurring Schedule'!$F$42,'Recurring Schedule'!$N$42)=0,IF('Recurring Schedule'!$O$42&gt;0,AND(DAY($A230)=MIN(DAY('Recurring Schedule'!$F$42),DAY(EOMONTH($A230,0))),MOD((YEAR($A230)-YEAR('Recurring Schedule'!$F$42))*12+MONTH($A230)-MONTH('Recurring Schedule'!$F$42),'Recurring Schedule'!$O$42)=0),IF('Recurring Schedule'!$E$42="Weekdays",WEEKDAY($A230,2)&lt;=5,$A230='Recurring Schedule'!$F$42))),37,""))))</f>
        <v/>
      </c>
      <c r="AM230">
        <f>IF('Recurring Schedule'!$C$43="","",IF('Recurring Schedule'!$F$43="","",IF(OR($A230&lt;'Recurring Schedule'!$F$43,$A230&gt;'Recurring Schedule'!$P$43),"",IF(IF('Recurring Schedule'!$N$43&gt;0,MOD($A230-'Recurring Schedule'!$F$43,'Recurring Schedule'!$N$43)=0,IF('Recurring Schedule'!$O$43&gt;0,AND(DAY($A230)=MIN(DAY('Recurring Schedule'!$F$43),DAY(EOMONTH($A230,0))),MOD((YEAR($A230)-YEAR('Recurring Schedule'!$F$43))*12+MONTH($A230)-MONTH('Recurring Schedule'!$F$43),'Recurring Schedule'!$O$43)=0),IF('Recurring Schedule'!$E$43="Weekdays",WEEKDAY($A230,2)&lt;=5,$A230='Recurring Schedule'!$F$43))),38,""))))</f>
        <v/>
      </c>
      <c r="AN230">
        <f>IF('Recurring Schedule'!$C$44="","",IF('Recurring Schedule'!$F$44="","",IF(OR($A230&lt;'Recurring Schedule'!$F$44,$A230&gt;'Recurring Schedule'!$P$44),"",IF(IF('Recurring Schedule'!$N$44&gt;0,MOD($A230-'Recurring Schedule'!$F$44,'Recurring Schedule'!$N$44)=0,IF('Recurring Schedule'!$O$44&gt;0,AND(DAY($A230)=MIN(DAY('Recurring Schedule'!$F$44),DAY(EOMONTH($A230,0))),MOD((YEAR($A230)-YEAR('Recurring Schedule'!$F$44))*12+MONTH($A230)-MONTH('Recurring Schedule'!$F$44),'Recurring Schedule'!$O$44)=0),IF('Recurring Schedule'!$E$44="Weekdays",WEEKDAY($A230,2)&lt;=5,$A230='Recurring Schedule'!$F$44))),39,""))))</f>
        <v/>
      </c>
      <c r="AO230">
        <f>IF('Recurring Schedule'!$C$45="","",IF('Recurring Schedule'!$F$45="","",IF(OR($A230&lt;'Recurring Schedule'!$F$45,$A230&gt;'Recurring Schedule'!$P$45),"",IF(IF('Recurring Schedule'!$N$45&gt;0,MOD($A230-'Recurring Schedule'!$F$45,'Recurring Schedule'!$N$45)=0,IF('Recurring Schedule'!$O$45&gt;0,AND(DAY($A230)=MIN(DAY('Recurring Schedule'!$F$45),DAY(EOMONTH($A230,0))),MOD((YEAR($A230)-YEAR('Recurring Schedule'!$F$45))*12+MONTH($A230)-MONTH('Recurring Schedule'!$F$45),'Recurring Schedule'!$O$45)=0),IF('Recurring Schedule'!$E$45="Weekdays",WEEKDAY($A230,2)&lt;=5,$A230='Recurring Schedule'!$F$45))),40,""))))</f>
        <v/>
      </c>
      <c r="AP230">
        <f>COUNT(B230:AO230)</f>
        <v/>
      </c>
      <c r="AQ230">
        <f>AQ229+AP229</f>
        <v/>
      </c>
      <c r="AS230" t="inlineStr">
        <is>
          <t>R</t>
        </is>
      </c>
      <c r="AT230" t="n">
        <v>234</v>
      </c>
      <c r="AU230">
        <f>'Recurring Log'!C234&amp;""</f>
        <v/>
      </c>
      <c r="AV230">
        <f>'Recurring Log'!D234&amp;""</f>
        <v/>
      </c>
      <c r="AW230">
        <f>IF('Recurring Log'!E234="","",'Recurring Log'!E234)</f>
        <v/>
      </c>
      <c r="AX230">
        <f>IF('Recurring Log'!G234="","",'Recurring Log'!G234)</f>
        <v/>
      </c>
      <c r="AY230">
        <f>IF('Recurring Log'!H234="","",'Recurring Log'!H234)</f>
        <v/>
      </c>
      <c r="AZ230">
        <f>IF(AU230="","",IF('Recurring Log'!J234="","Not Started",'Recurring Log'!J234))</f>
        <v/>
      </c>
      <c r="BA230">
        <f>'Recurring Log'!L234&amp;""</f>
        <v/>
      </c>
      <c r="BB230">
        <f>'Recurring Log'!M234&amp;""</f>
        <v/>
      </c>
      <c r="BC230">
        <f>'Recurring Log'!N234&amp;""</f>
        <v/>
      </c>
      <c r="BD230">
        <f>'Recurring Log'!O234&amp;""</f>
        <v/>
      </c>
      <c r="BE230">
        <f>IF('Recurring Log'!K234="","",'Recurring Log'!K234)</f>
        <v/>
      </c>
      <c r="BF230">
        <f>IFERROR(MATCH(BA230,Setup!$L$6:$L$9,0),5)</f>
        <v/>
      </c>
      <c r="BG230">
        <f>IF(OR(AZ230="Done",AZ230="Cancelled"),1,0)</f>
        <v/>
      </c>
      <c r="BH230">
        <f>IF(AND(AU230&lt;&gt;"",ISNUMBER(AW230)),1,0)</f>
        <v/>
      </c>
      <c r="BI230">
        <f>IF(BH230=0,0,IF(AND(AW230&gt;='Tasks Filter'!$F$3,AW230&lt;='Tasks Filter'!$F$4,OR('Tasks Filter'!$I$3="",ISNUMBER(SEARCH('Tasks Filter'!$I$3,AU230))),OR('Tasks Filter'!$I$4="",BF230=IFERROR(MATCH('Tasks Filter'!$I$4,Setup!$L$6:$L$9,0),0)),OR('Tasks Filter'!$I$5="Both",AND('Tasks Filter'!$I$5="Yes",BB230="✓"),AND('Tasks Filter'!$I$5="No",BB230&lt;&gt;"✓")),OR('Tasks Filter'!$L$3="",AV230='Tasks Filter'!$L$3),OR('Tasks Filter'!$L$4="",AZ230='Tasks Filter'!$L$4),OR('Tasks Filter'!$L$5="",BC230='Tasks Filter'!$L$5),OR('Tasks Filter'!$O$3="",BD230='Tasks Filter'!$O$3),OR('Tasks Filter'!$O$4="Yes",BG230=0)),1,0))</f>
        <v/>
      </c>
      <c r="BJ230">
        <f>IF(BH230=0,"",IF('Tasks Filter'!$F$6="Descending",-1,1)*CHOOSE(MATCH('Tasks Filter'!$F$5,Lists!$G$2:$G$6,0),AW230,BF230,IFERROR(MATCH(AV230,Setup!$F$6:$F$15,0),99),IFERROR(MATCH(BC230,Setup!$H$6:$H$15,0),99),IFERROR(MATCH(AZ230,Setup!$J$6:$J$11,0),99))*1E+9+(AW230-40000)*10000+229)</f>
        <v/>
      </c>
      <c r="BK230">
        <f>IF(BI230=1,BJ230,"")</f>
        <v/>
      </c>
      <c r="BL230">
        <f>IF(AND(BH230=1,BG230=0,N(AW230)&lt;Setup!$D$7),(AW230-40000)*10000+229,"")</f>
        <v/>
      </c>
      <c r="BM230">
        <f>IF(AND(BH230=1,AZ230&lt;&gt;"Cancelled",N(AW230)&gt;=Dashboard!$AB$3,N(AW230)&lt;=Dashboard!$AB$3+6),(AW230-40000)*100000+BF230*10000+229,"")</f>
        <v/>
      </c>
      <c r="BN230">
        <f>IF(AND(BH230=1,AZ230&lt;&gt;"Cancelled"),BF230*10000+229,"")</f>
        <v/>
      </c>
    </row>
    <row r="231">
      <c r="A231">
        <f>Setup!$D$5+229</f>
        <v/>
      </c>
      <c r="B231">
        <f>IF('Recurring Schedule'!$C$6="","",IF('Recurring Schedule'!$F$6="","",IF(OR($A231&lt;'Recurring Schedule'!$F$6,$A231&gt;'Recurring Schedule'!$P$6),"",IF(IF('Recurring Schedule'!$N$6&gt;0,MOD($A231-'Recurring Schedule'!$F$6,'Recurring Schedule'!$N$6)=0,IF('Recurring Schedule'!$O$6&gt;0,AND(DAY($A231)=MIN(DAY('Recurring Schedule'!$F$6),DAY(EOMONTH($A231,0))),MOD((YEAR($A231)-YEAR('Recurring Schedule'!$F$6))*12+MONTH($A231)-MONTH('Recurring Schedule'!$F$6),'Recurring Schedule'!$O$6)=0),IF('Recurring Schedule'!$E$6="Weekdays",WEEKDAY($A231,2)&lt;=5,$A231='Recurring Schedule'!$F$6))),1,""))))</f>
        <v/>
      </c>
      <c r="C231">
        <f>IF('Recurring Schedule'!$C$7="","",IF('Recurring Schedule'!$F$7="","",IF(OR($A231&lt;'Recurring Schedule'!$F$7,$A231&gt;'Recurring Schedule'!$P$7),"",IF(IF('Recurring Schedule'!$N$7&gt;0,MOD($A231-'Recurring Schedule'!$F$7,'Recurring Schedule'!$N$7)=0,IF('Recurring Schedule'!$O$7&gt;0,AND(DAY($A231)=MIN(DAY('Recurring Schedule'!$F$7),DAY(EOMONTH($A231,0))),MOD((YEAR($A231)-YEAR('Recurring Schedule'!$F$7))*12+MONTH($A231)-MONTH('Recurring Schedule'!$F$7),'Recurring Schedule'!$O$7)=0),IF('Recurring Schedule'!$E$7="Weekdays",WEEKDAY($A231,2)&lt;=5,$A231='Recurring Schedule'!$F$7))),2,""))))</f>
        <v/>
      </c>
      <c r="D231">
        <f>IF('Recurring Schedule'!$C$8="","",IF('Recurring Schedule'!$F$8="","",IF(OR($A231&lt;'Recurring Schedule'!$F$8,$A231&gt;'Recurring Schedule'!$P$8),"",IF(IF('Recurring Schedule'!$N$8&gt;0,MOD($A231-'Recurring Schedule'!$F$8,'Recurring Schedule'!$N$8)=0,IF('Recurring Schedule'!$O$8&gt;0,AND(DAY($A231)=MIN(DAY('Recurring Schedule'!$F$8),DAY(EOMONTH($A231,0))),MOD((YEAR($A231)-YEAR('Recurring Schedule'!$F$8))*12+MONTH($A231)-MONTH('Recurring Schedule'!$F$8),'Recurring Schedule'!$O$8)=0),IF('Recurring Schedule'!$E$8="Weekdays",WEEKDAY($A231,2)&lt;=5,$A231='Recurring Schedule'!$F$8))),3,""))))</f>
        <v/>
      </c>
      <c r="E231">
        <f>IF('Recurring Schedule'!$C$9="","",IF('Recurring Schedule'!$F$9="","",IF(OR($A231&lt;'Recurring Schedule'!$F$9,$A231&gt;'Recurring Schedule'!$P$9),"",IF(IF('Recurring Schedule'!$N$9&gt;0,MOD($A231-'Recurring Schedule'!$F$9,'Recurring Schedule'!$N$9)=0,IF('Recurring Schedule'!$O$9&gt;0,AND(DAY($A231)=MIN(DAY('Recurring Schedule'!$F$9),DAY(EOMONTH($A231,0))),MOD((YEAR($A231)-YEAR('Recurring Schedule'!$F$9))*12+MONTH($A231)-MONTH('Recurring Schedule'!$F$9),'Recurring Schedule'!$O$9)=0),IF('Recurring Schedule'!$E$9="Weekdays",WEEKDAY($A231,2)&lt;=5,$A231='Recurring Schedule'!$F$9))),4,""))))</f>
        <v/>
      </c>
      <c r="F231">
        <f>IF('Recurring Schedule'!$C$10="","",IF('Recurring Schedule'!$F$10="","",IF(OR($A231&lt;'Recurring Schedule'!$F$10,$A231&gt;'Recurring Schedule'!$P$10),"",IF(IF('Recurring Schedule'!$N$10&gt;0,MOD($A231-'Recurring Schedule'!$F$10,'Recurring Schedule'!$N$10)=0,IF('Recurring Schedule'!$O$10&gt;0,AND(DAY($A231)=MIN(DAY('Recurring Schedule'!$F$10),DAY(EOMONTH($A231,0))),MOD((YEAR($A231)-YEAR('Recurring Schedule'!$F$10))*12+MONTH($A231)-MONTH('Recurring Schedule'!$F$10),'Recurring Schedule'!$O$10)=0),IF('Recurring Schedule'!$E$10="Weekdays",WEEKDAY($A231,2)&lt;=5,$A231='Recurring Schedule'!$F$10))),5,""))))</f>
        <v/>
      </c>
      <c r="G231">
        <f>IF('Recurring Schedule'!$C$11="","",IF('Recurring Schedule'!$F$11="","",IF(OR($A231&lt;'Recurring Schedule'!$F$11,$A231&gt;'Recurring Schedule'!$P$11),"",IF(IF('Recurring Schedule'!$N$11&gt;0,MOD($A231-'Recurring Schedule'!$F$11,'Recurring Schedule'!$N$11)=0,IF('Recurring Schedule'!$O$11&gt;0,AND(DAY($A231)=MIN(DAY('Recurring Schedule'!$F$11),DAY(EOMONTH($A231,0))),MOD((YEAR($A231)-YEAR('Recurring Schedule'!$F$11))*12+MONTH($A231)-MONTH('Recurring Schedule'!$F$11),'Recurring Schedule'!$O$11)=0),IF('Recurring Schedule'!$E$11="Weekdays",WEEKDAY($A231,2)&lt;=5,$A231='Recurring Schedule'!$F$11))),6,""))))</f>
        <v/>
      </c>
      <c r="H231">
        <f>IF('Recurring Schedule'!$C$12="","",IF('Recurring Schedule'!$F$12="","",IF(OR($A231&lt;'Recurring Schedule'!$F$12,$A231&gt;'Recurring Schedule'!$P$12),"",IF(IF('Recurring Schedule'!$N$12&gt;0,MOD($A231-'Recurring Schedule'!$F$12,'Recurring Schedule'!$N$12)=0,IF('Recurring Schedule'!$O$12&gt;0,AND(DAY($A231)=MIN(DAY('Recurring Schedule'!$F$12),DAY(EOMONTH($A231,0))),MOD((YEAR($A231)-YEAR('Recurring Schedule'!$F$12))*12+MONTH($A231)-MONTH('Recurring Schedule'!$F$12),'Recurring Schedule'!$O$12)=0),IF('Recurring Schedule'!$E$12="Weekdays",WEEKDAY($A231,2)&lt;=5,$A231='Recurring Schedule'!$F$12))),7,""))))</f>
        <v/>
      </c>
      <c r="I231">
        <f>IF('Recurring Schedule'!$C$13="","",IF('Recurring Schedule'!$F$13="","",IF(OR($A231&lt;'Recurring Schedule'!$F$13,$A231&gt;'Recurring Schedule'!$P$13),"",IF(IF('Recurring Schedule'!$N$13&gt;0,MOD($A231-'Recurring Schedule'!$F$13,'Recurring Schedule'!$N$13)=0,IF('Recurring Schedule'!$O$13&gt;0,AND(DAY($A231)=MIN(DAY('Recurring Schedule'!$F$13),DAY(EOMONTH($A231,0))),MOD((YEAR($A231)-YEAR('Recurring Schedule'!$F$13))*12+MONTH($A231)-MONTH('Recurring Schedule'!$F$13),'Recurring Schedule'!$O$13)=0),IF('Recurring Schedule'!$E$13="Weekdays",WEEKDAY($A231,2)&lt;=5,$A231='Recurring Schedule'!$F$13))),8,""))))</f>
        <v/>
      </c>
      <c r="J231">
        <f>IF('Recurring Schedule'!$C$14="","",IF('Recurring Schedule'!$F$14="","",IF(OR($A231&lt;'Recurring Schedule'!$F$14,$A231&gt;'Recurring Schedule'!$P$14),"",IF(IF('Recurring Schedule'!$N$14&gt;0,MOD($A231-'Recurring Schedule'!$F$14,'Recurring Schedule'!$N$14)=0,IF('Recurring Schedule'!$O$14&gt;0,AND(DAY($A231)=MIN(DAY('Recurring Schedule'!$F$14),DAY(EOMONTH($A231,0))),MOD((YEAR($A231)-YEAR('Recurring Schedule'!$F$14))*12+MONTH($A231)-MONTH('Recurring Schedule'!$F$14),'Recurring Schedule'!$O$14)=0),IF('Recurring Schedule'!$E$14="Weekdays",WEEKDAY($A231,2)&lt;=5,$A231='Recurring Schedule'!$F$14))),9,""))))</f>
        <v/>
      </c>
      <c r="K231">
        <f>IF('Recurring Schedule'!$C$15="","",IF('Recurring Schedule'!$F$15="","",IF(OR($A231&lt;'Recurring Schedule'!$F$15,$A231&gt;'Recurring Schedule'!$P$15),"",IF(IF('Recurring Schedule'!$N$15&gt;0,MOD($A231-'Recurring Schedule'!$F$15,'Recurring Schedule'!$N$15)=0,IF('Recurring Schedule'!$O$15&gt;0,AND(DAY($A231)=MIN(DAY('Recurring Schedule'!$F$15),DAY(EOMONTH($A231,0))),MOD((YEAR($A231)-YEAR('Recurring Schedule'!$F$15))*12+MONTH($A231)-MONTH('Recurring Schedule'!$F$15),'Recurring Schedule'!$O$15)=0),IF('Recurring Schedule'!$E$15="Weekdays",WEEKDAY($A231,2)&lt;=5,$A231='Recurring Schedule'!$F$15))),10,""))))</f>
        <v/>
      </c>
      <c r="L231">
        <f>IF('Recurring Schedule'!$C$16="","",IF('Recurring Schedule'!$F$16="","",IF(OR($A231&lt;'Recurring Schedule'!$F$16,$A231&gt;'Recurring Schedule'!$P$16),"",IF(IF('Recurring Schedule'!$N$16&gt;0,MOD($A231-'Recurring Schedule'!$F$16,'Recurring Schedule'!$N$16)=0,IF('Recurring Schedule'!$O$16&gt;0,AND(DAY($A231)=MIN(DAY('Recurring Schedule'!$F$16),DAY(EOMONTH($A231,0))),MOD((YEAR($A231)-YEAR('Recurring Schedule'!$F$16))*12+MONTH($A231)-MONTH('Recurring Schedule'!$F$16),'Recurring Schedule'!$O$16)=0),IF('Recurring Schedule'!$E$16="Weekdays",WEEKDAY($A231,2)&lt;=5,$A231='Recurring Schedule'!$F$16))),11,""))))</f>
        <v/>
      </c>
      <c r="M231">
        <f>IF('Recurring Schedule'!$C$17="","",IF('Recurring Schedule'!$F$17="","",IF(OR($A231&lt;'Recurring Schedule'!$F$17,$A231&gt;'Recurring Schedule'!$P$17),"",IF(IF('Recurring Schedule'!$N$17&gt;0,MOD($A231-'Recurring Schedule'!$F$17,'Recurring Schedule'!$N$17)=0,IF('Recurring Schedule'!$O$17&gt;0,AND(DAY($A231)=MIN(DAY('Recurring Schedule'!$F$17),DAY(EOMONTH($A231,0))),MOD((YEAR($A231)-YEAR('Recurring Schedule'!$F$17))*12+MONTH($A231)-MONTH('Recurring Schedule'!$F$17),'Recurring Schedule'!$O$17)=0),IF('Recurring Schedule'!$E$17="Weekdays",WEEKDAY($A231,2)&lt;=5,$A231='Recurring Schedule'!$F$17))),12,""))))</f>
        <v/>
      </c>
      <c r="N231">
        <f>IF('Recurring Schedule'!$C$18="","",IF('Recurring Schedule'!$F$18="","",IF(OR($A231&lt;'Recurring Schedule'!$F$18,$A231&gt;'Recurring Schedule'!$P$18),"",IF(IF('Recurring Schedule'!$N$18&gt;0,MOD($A231-'Recurring Schedule'!$F$18,'Recurring Schedule'!$N$18)=0,IF('Recurring Schedule'!$O$18&gt;0,AND(DAY($A231)=MIN(DAY('Recurring Schedule'!$F$18),DAY(EOMONTH($A231,0))),MOD((YEAR($A231)-YEAR('Recurring Schedule'!$F$18))*12+MONTH($A231)-MONTH('Recurring Schedule'!$F$18),'Recurring Schedule'!$O$18)=0),IF('Recurring Schedule'!$E$18="Weekdays",WEEKDAY($A231,2)&lt;=5,$A231='Recurring Schedule'!$F$18))),13,""))))</f>
        <v/>
      </c>
      <c r="O231">
        <f>IF('Recurring Schedule'!$C$19="","",IF('Recurring Schedule'!$F$19="","",IF(OR($A231&lt;'Recurring Schedule'!$F$19,$A231&gt;'Recurring Schedule'!$P$19),"",IF(IF('Recurring Schedule'!$N$19&gt;0,MOD($A231-'Recurring Schedule'!$F$19,'Recurring Schedule'!$N$19)=0,IF('Recurring Schedule'!$O$19&gt;0,AND(DAY($A231)=MIN(DAY('Recurring Schedule'!$F$19),DAY(EOMONTH($A231,0))),MOD((YEAR($A231)-YEAR('Recurring Schedule'!$F$19))*12+MONTH($A231)-MONTH('Recurring Schedule'!$F$19),'Recurring Schedule'!$O$19)=0),IF('Recurring Schedule'!$E$19="Weekdays",WEEKDAY($A231,2)&lt;=5,$A231='Recurring Schedule'!$F$19))),14,""))))</f>
        <v/>
      </c>
      <c r="P231">
        <f>IF('Recurring Schedule'!$C$20="","",IF('Recurring Schedule'!$F$20="","",IF(OR($A231&lt;'Recurring Schedule'!$F$20,$A231&gt;'Recurring Schedule'!$P$20),"",IF(IF('Recurring Schedule'!$N$20&gt;0,MOD($A231-'Recurring Schedule'!$F$20,'Recurring Schedule'!$N$20)=0,IF('Recurring Schedule'!$O$20&gt;0,AND(DAY($A231)=MIN(DAY('Recurring Schedule'!$F$20),DAY(EOMONTH($A231,0))),MOD((YEAR($A231)-YEAR('Recurring Schedule'!$F$20))*12+MONTH($A231)-MONTH('Recurring Schedule'!$F$20),'Recurring Schedule'!$O$20)=0),IF('Recurring Schedule'!$E$20="Weekdays",WEEKDAY($A231,2)&lt;=5,$A231='Recurring Schedule'!$F$20))),15,""))))</f>
        <v/>
      </c>
      <c r="Q231">
        <f>IF('Recurring Schedule'!$C$21="","",IF('Recurring Schedule'!$F$21="","",IF(OR($A231&lt;'Recurring Schedule'!$F$21,$A231&gt;'Recurring Schedule'!$P$21),"",IF(IF('Recurring Schedule'!$N$21&gt;0,MOD($A231-'Recurring Schedule'!$F$21,'Recurring Schedule'!$N$21)=0,IF('Recurring Schedule'!$O$21&gt;0,AND(DAY($A231)=MIN(DAY('Recurring Schedule'!$F$21),DAY(EOMONTH($A231,0))),MOD((YEAR($A231)-YEAR('Recurring Schedule'!$F$21))*12+MONTH($A231)-MONTH('Recurring Schedule'!$F$21),'Recurring Schedule'!$O$21)=0),IF('Recurring Schedule'!$E$21="Weekdays",WEEKDAY($A231,2)&lt;=5,$A231='Recurring Schedule'!$F$21))),16,""))))</f>
        <v/>
      </c>
      <c r="R231">
        <f>IF('Recurring Schedule'!$C$22="","",IF('Recurring Schedule'!$F$22="","",IF(OR($A231&lt;'Recurring Schedule'!$F$22,$A231&gt;'Recurring Schedule'!$P$22),"",IF(IF('Recurring Schedule'!$N$22&gt;0,MOD($A231-'Recurring Schedule'!$F$22,'Recurring Schedule'!$N$22)=0,IF('Recurring Schedule'!$O$22&gt;0,AND(DAY($A231)=MIN(DAY('Recurring Schedule'!$F$22),DAY(EOMONTH($A231,0))),MOD((YEAR($A231)-YEAR('Recurring Schedule'!$F$22))*12+MONTH($A231)-MONTH('Recurring Schedule'!$F$22),'Recurring Schedule'!$O$22)=0),IF('Recurring Schedule'!$E$22="Weekdays",WEEKDAY($A231,2)&lt;=5,$A231='Recurring Schedule'!$F$22))),17,""))))</f>
        <v/>
      </c>
      <c r="S231">
        <f>IF('Recurring Schedule'!$C$23="","",IF('Recurring Schedule'!$F$23="","",IF(OR($A231&lt;'Recurring Schedule'!$F$23,$A231&gt;'Recurring Schedule'!$P$23),"",IF(IF('Recurring Schedule'!$N$23&gt;0,MOD($A231-'Recurring Schedule'!$F$23,'Recurring Schedule'!$N$23)=0,IF('Recurring Schedule'!$O$23&gt;0,AND(DAY($A231)=MIN(DAY('Recurring Schedule'!$F$23),DAY(EOMONTH($A231,0))),MOD((YEAR($A231)-YEAR('Recurring Schedule'!$F$23))*12+MONTH($A231)-MONTH('Recurring Schedule'!$F$23),'Recurring Schedule'!$O$23)=0),IF('Recurring Schedule'!$E$23="Weekdays",WEEKDAY($A231,2)&lt;=5,$A231='Recurring Schedule'!$F$23))),18,""))))</f>
        <v/>
      </c>
      <c r="T231">
        <f>IF('Recurring Schedule'!$C$24="","",IF('Recurring Schedule'!$F$24="","",IF(OR($A231&lt;'Recurring Schedule'!$F$24,$A231&gt;'Recurring Schedule'!$P$24),"",IF(IF('Recurring Schedule'!$N$24&gt;0,MOD($A231-'Recurring Schedule'!$F$24,'Recurring Schedule'!$N$24)=0,IF('Recurring Schedule'!$O$24&gt;0,AND(DAY($A231)=MIN(DAY('Recurring Schedule'!$F$24),DAY(EOMONTH($A231,0))),MOD((YEAR($A231)-YEAR('Recurring Schedule'!$F$24))*12+MONTH($A231)-MONTH('Recurring Schedule'!$F$24),'Recurring Schedule'!$O$24)=0),IF('Recurring Schedule'!$E$24="Weekdays",WEEKDAY($A231,2)&lt;=5,$A231='Recurring Schedule'!$F$24))),19,""))))</f>
        <v/>
      </c>
      <c r="U231">
        <f>IF('Recurring Schedule'!$C$25="","",IF('Recurring Schedule'!$F$25="","",IF(OR($A231&lt;'Recurring Schedule'!$F$25,$A231&gt;'Recurring Schedule'!$P$25),"",IF(IF('Recurring Schedule'!$N$25&gt;0,MOD($A231-'Recurring Schedule'!$F$25,'Recurring Schedule'!$N$25)=0,IF('Recurring Schedule'!$O$25&gt;0,AND(DAY($A231)=MIN(DAY('Recurring Schedule'!$F$25),DAY(EOMONTH($A231,0))),MOD((YEAR($A231)-YEAR('Recurring Schedule'!$F$25))*12+MONTH($A231)-MONTH('Recurring Schedule'!$F$25),'Recurring Schedule'!$O$25)=0),IF('Recurring Schedule'!$E$25="Weekdays",WEEKDAY($A231,2)&lt;=5,$A231='Recurring Schedule'!$F$25))),20,""))))</f>
        <v/>
      </c>
      <c r="V231">
        <f>IF('Recurring Schedule'!$C$26="","",IF('Recurring Schedule'!$F$26="","",IF(OR($A231&lt;'Recurring Schedule'!$F$26,$A231&gt;'Recurring Schedule'!$P$26),"",IF(IF('Recurring Schedule'!$N$26&gt;0,MOD($A231-'Recurring Schedule'!$F$26,'Recurring Schedule'!$N$26)=0,IF('Recurring Schedule'!$O$26&gt;0,AND(DAY($A231)=MIN(DAY('Recurring Schedule'!$F$26),DAY(EOMONTH($A231,0))),MOD((YEAR($A231)-YEAR('Recurring Schedule'!$F$26))*12+MONTH($A231)-MONTH('Recurring Schedule'!$F$26),'Recurring Schedule'!$O$26)=0),IF('Recurring Schedule'!$E$26="Weekdays",WEEKDAY($A231,2)&lt;=5,$A231='Recurring Schedule'!$F$26))),21,""))))</f>
        <v/>
      </c>
      <c r="W231">
        <f>IF('Recurring Schedule'!$C$27="","",IF('Recurring Schedule'!$F$27="","",IF(OR($A231&lt;'Recurring Schedule'!$F$27,$A231&gt;'Recurring Schedule'!$P$27),"",IF(IF('Recurring Schedule'!$N$27&gt;0,MOD($A231-'Recurring Schedule'!$F$27,'Recurring Schedule'!$N$27)=0,IF('Recurring Schedule'!$O$27&gt;0,AND(DAY($A231)=MIN(DAY('Recurring Schedule'!$F$27),DAY(EOMONTH($A231,0))),MOD((YEAR($A231)-YEAR('Recurring Schedule'!$F$27))*12+MONTH($A231)-MONTH('Recurring Schedule'!$F$27),'Recurring Schedule'!$O$27)=0),IF('Recurring Schedule'!$E$27="Weekdays",WEEKDAY($A231,2)&lt;=5,$A231='Recurring Schedule'!$F$27))),22,""))))</f>
        <v/>
      </c>
      <c r="X231">
        <f>IF('Recurring Schedule'!$C$28="","",IF('Recurring Schedule'!$F$28="","",IF(OR($A231&lt;'Recurring Schedule'!$F$28,$A231&gt;'Recurring Schedule'!$P$28),"",IF(IF('Recurring Schedule'!$N$28&gt;0,MOD($A231-'Recurring Schedule'!$F$28,'Recurring Schedule'!$N$28)=0,IF('Recurring Schedule'!$O$28&gt;0,AND(DAY($A231)=MIN(DAY('Recurring Schedule'!$F$28),DAY(EOMONTH($A231,0))),MOD((YEAR($A231)-YEAR('Recurring Schedule'!$F$28))*12+MONTH($A231)-MONTH('Recurring Schedule'!$F$28),'Recurring Schedule'!$O$28)=0),IF('Recurring Schedule'!$E$28="Weekdays",WEEKDAY($A231,2)&lt;=5,$A231='Recurring Schedule'!$F$28))),23,""))))</f>
        <v/>
      </c>
      <c r="Y231">
        <f>IF('Recurring Schedule'!$C$29="","",IF('Recurring Schedule'!$F$29="","",IF(OR($A231&lt;'Recurring Schedule'!$F$29,$A231&gt;'Recurring Schedule'!$P$29),"",IF(IF('Recurring Schedule'!$N$29&gt;0,MOD($A231-'Recurring Schedule'!$F$29,'Recurring Schedule'!$N$29)=0,IF('Recurring Schedule'!$O$29&gt;0,AND(DAY($A231)=MIN(DAY('Recurring Schedule'!$F$29),DAY(EOMONTH($A231,0))),MOD((YEAR($A231)-YEAR('Recurring Schedule'!$F$29))*12+MONTH($A231)-MONTH('Recurring Schedule'!$F$29),'Recurring Schedule'!$O$29)=0),IF('Recurring Schedule'!$E$29="Weekdays",WEEKDAY($A231,2)&lt;=5,$A231='Recurring Schedule'!$F$29))),24,""))))</f>
        <v/>
      </c>
      <c r="Z231">
        <f>IF('Recurring Schedule'!$C$30="","",IF('Recurring Schedule'!$F$30="","",IF(OR($A231&lt;'Recurring Schedule'!$F$30,$A231&gt;'Recurring Schedule'!$P$30),"",IF(IF('Recurring Schedule'!$N$30&gt;0,MOD($A231-'Recurring Schedule'!$F$30,'Recurring Schedule'!$N$30)=0,IF('Recurring Schedule'!$O$30&gt;0,AND(DAY($A231)=MIN(DAY('Recurring Schedule'!$F$30),DAY(EOMONTH($A231,0))),MOD((YEAR($A231)-YEAR('Recurring Schedule'!$F$30))*12+MONTH($A231)-MONTH('Recurring Schedule'!$F$30),'Recurring Schedule'!$O$30)=0),IF('Recurring Schedule'!$E$30="Weekdays",WEEKDAY($A231,2)&lt;=5,$A231='Recurring Schedule'!$F$30))),25,""))))</f>
        <v/>
      </c>
      <c r="AA231">
        <f>IF('Recurring Schedule'!$C$31="","",IF('Recurring Schedule'!$F$31="","",IF(OR($A231&lt;'Recurring Schedule'!$F$31,$A231&gt;'Recurring Schedule'!$P$31),"",IF(IF('Recurring Schedule'!$N$31&gt;0,MOD($A231-'Recurring Schedule'!$F$31,'Recurring Schedule'!$N$31)=0,IF('Recurring Schedule'!$O$31&gt;0,AND(DAY($A231)=MIN(DAY('Recurring Schedule'!$F$31),DAY(EOMONTH($A231,0))),MOD((YEAR($A231)-YEAR('Recurring Schedule'!$F$31))*12+MONTH($A231)-MONTH('Recurring Schedule'!$F$31),'Recurring Schedule'!$O$31)=0),IF('Recurring Schedule'!$E$31="Weekdays",WEEKDAY($A231,2)&lt;=5,$A231='Recurring Schedule'!$F$31))),26,""))))</f>
        <v/>
      </c>
      <c r="AB231">
        <f>IF('Recurring Schedule'!$C$32="","",IF('Recurring Schedule'!$F$32="","",IF(OR($A231&lt;'Recurring Schedule'!$F$32,$A231&gt;'Recurring Schedule'!$P$32),"",IF(IF('Recurring Schedule'!$N$32&gt;0,MOD($A231-'Recurring Schedule'!$F$32,'Recurring Schedule'!$N$32)=0,IF('Recurring Schedule'!$O$32&gt;0,AND(DAY($A231)=MIN(DAY('Recurring Schedule'!$F$32),DAY(EOMONTH($A231,0))),MOD((YEAR($A231)-YEAR('Recurring Schedule'!$F$32))*12+MONTH($A231)-MONTH('Recurring Schedule'!$F$32),'Recurring Schedule'!$O$32)=0),IF('Recurring Schedule'!$E$32="Weekdays",WEEKDAY($A231,2)&lt;=5,$A231='Recurring Schedule'!$F$32))),27,""))))</f>
        <v/>
      </c>
      <c r="AC231">
        <f>IF('Recurring Schedule'!$C$33="","",IF('Recurring Schedule'!$F$33="","",IF(OR($A231&lt;'Recurring Schedule'!$F$33,$A231&gt;'Recurring Schedule'!$P$33),"",IF(IF('Recurring Schedule'!$N$33&gt;0,MOD($A231-'Recurring Schedule'!$F$33,'Recurring Schedule'!$N$33)=0,IF('Recurring Schedule'!$O$33&gt;0,AND(DAY($A231)=MIN(DAY('Recurring Schedule'!$F$33),DAY(EOMONTH($A231,0))),MOD((YEAR($A231)-YEAR('Recurring Schedule'!$F$33))*12+MONTH($A231)-MONTH('Recurring Schedule'!$F$33),'Recurring Schedule'!$O$33)=0),IF('Recurring Schedule'!$E$33="Weekdays",WEEKDAY($A231,2)&lt;=5,$A231='Recurring Schedule'!$F$33))),28,""))))</f>
        <v/>
      </c>
      <c r="AD231">
        <f>IF('Recurring Schedule'!$C$34="","",IF('Recurring Schedule'!$F$34="","",IF(OR($A231&lt;'Recurring Schedule'!$F$34,$A231&gt;'Recurring Schedule'!$P$34),"",IF(IF('Recurring Schedule'!$N$34&gt;0,MOD($A231-'Recurring Schedule'!$F$34,'Recurring Schedule'!$N$34)=0,IF('Recurring Schedule'!$O$34&gt;0,AND(DAY($A231)=MIN(DAY('Recurring Schedule'!$F$34),DAY(EOMONTH($A231,0))),MOD((YEAR($A231)-YEAR('Recurring Schedule'!$F$34))*12+MONTH($A231)-MONTH('Recurring Schedule'!$F$34),'Recurring Schedule'!$O$34)=0),IF('Recurring Schedule'!$E$34="Weekdays",WEEKDAY($A231,2)&lt;=5,$A231='Recurring Schedule'!$F$34))),29,""))))</f>
        <v/>
      </c>
      <c r="AE231">
        <f>IF('Recurring Schedule'!$C$35="","",IF('Recurring Schedule'!$F$35="","",IF(OR($A231&lt;'Recurring Schedule'!$F$35,$A231&gt;'Recurring Schedule'!$P$35),"",IF(IF('Recurring Schedule'!$N$35&gt;0,MOD($A231-'Recurring Schedule'!$F$35,'Recurring Schedule'!$N$35)=0,IF('Recurring Schedule'!$O$35&gt;0,AND(DAY($A231)=MIN(DAY('Recurring Schedule'!$F$35),DAY(EOMONTH($A231,0))),MOD((YEAR($A231)-YEAR('Recurring Schedule'!$F$35))*12+MONTH($A231)-MONTH('Recurring Schedule'!$F$35),'Recurring Schedule'!$O$35)=0),IF('Recurring Schedule'!$E$35="Weekdays",WEEKDAY($A231,2)&lt;=5,$A231='Recurring Schedule'!$F$35))),30,""))))</f>
        <v/>
      </c>
      <c r="AF231">
        <f>IF('Recurring Schedule'!$C$36="","",IF('Recurring Schedule'!$F$36="","",IF(OR($A231&lt;'Recurring Schedule'!$F$36,$A231&gt;'Recurring Schedule'!$P$36),"",IF(IF('Recurring Schedule'!$N$36&gt;0,MOD($A231-'Recurring Schedule'!$F$36,'Recurring Schedule'!$N$36)=0,IF('Recurring Schedule'!$O$36&gt;0,AND(DAY($A231)=MIN(DAY('Recurring Schedule'!$F$36),DAY(EOMONTH($A231,0))),MOD((YEAR($A231)-YEAR('Recurring Schedule'!$F$36))*12+MONTH($A231)-MONTH('Recurring Schedule'!$F$36),'Recurring Schedule'!$O$36)=0),IF('Recurring Schedule'!$E$36="Weekdays",WEEKDAY($A231,2)&lt;=5,$A231='Recurring Schedule'!$F$36))),31,""))))</f>
        <v/>
      </c>
      <c r="AG231">
        <f>IF('Recurring Schedule'!$C$37="","",IF('Recurring Schedule'!$F$37="","",IF(OR($A231&lt;'Recurring Schedule'!$F$37,$A231&gt;'Recurring Schedule'!$P$37),"",IF(IF('Recurring Schedule'!$N$37&gt;0,MOD($A231-'Recurring Schedule'!$F$37,'Recurring Schedule'!$N$37)=0,IF('Recurring Schedule'!$O$37&gt;0,AND(DAY($A231)=MIN(DAY('Recurring Schedule'!$F$37),DAY(EOMONTH($A231,0))),MOD((YEAR($A231)-YEAR('Recurring Schedule'!$F$37))*12+MONTH($A231)-MONTH('Recurring Schedule'!$F$37),'Recurring Schedule'!$O$37)=0),IF('Recurring Schedule'!$E$37="Weekdays",WEEKDAY($A231,2)&lt;=5,$A231='Recurring Schedule'!$F$37))),32,""))))</f>
        <v/>
      </c>
      <c r="AH231">
        <f>IF('Recurring Schedule'!$C$38="","",IF('Recurring Schedule'!$F$38="","",IF(OR($A231&lt;'Recurring Schedule'!$F$38,$A231&gt;'Recurring Schedule'!$P$38),"",IF(IF('Recurring Schedule'!$N$38&gt;0,MOD($A231-'Recurring Schedule'!$F$38,'Recurring Schedule'!$N$38)=0,IF('Recurring Schedule'!$O$38&gt;0,AND(DAY($A231)=MIN(DAY('Recurring Schedule'!$F$38),DAY(EOMONTH($A231,0))),MOD((YEAR($A231)-YEAR('Recurring Schedule'!$F$38))*12+MONTH($A231)-MONTH('Recurring Schedule'!$F$38),'Recurring Schedule'!$O$38)=0),IF('Recurring Schedule'!$E$38="Weekdays",WEEKDAY($A231,2)&lt;=5,$A231='Recurring Schedule'!$F$38))),33,""))))</f>
        <v/>
      </c>
      <c r="AI231">
        <f>IF('Recurring Schedule'!$C$39="","",IF('Recurring Schedule'!$F$39="","",IF(OR($A231&lt;'Recurring Schedule'!$F$39,$A231&gt;'Recurring Schedule'!$P$39),"",IF(IF('Recurring Schedule'!$N$39&gt;0,MOD($A231-'Recurring Schedule'!$F$39,'Recurring Schedule'!$N$39)=0,IF('Recurring Schedule'!$O$39&gt;0,AND(DAY($A231)=MIN(DAY('Recurring Schedule'!$F$39),DAY(EOMONTH($A231,0))),MOD((YEAR($A231)-YEAR('Recurring Schedule'!$F$39))*12+MONTH($A231)-MONTH('Recurring Schedule'!$F$39),'Recurring Schedule'!$O$39)=0),IF('Recurring Schedule'!$E$39="Weekdays",WEEKDAY($A231,2)&lt;=5,$A231='Recurring Schedule'!$F$39))),34,""))))</f>
        <v/>
      </c>
      <c r="AJ231">
        <f>IF('Recurring Schedule'!$C$40="","",IF('Recurring Schedule'!$F$40="","",IF(OR($A231&lt;'Recurring Schedule'!$F$40,$A231&gt;'Recurring Schedule'!$P$40),"",IF(IF('Recurring Schedule'!$N$40&gt;0,MOD($A231-'Recurring Schedule'!$F$40,'Recurring Schedule'!$N$40)=0,IF('Recurring Schedule'!$O$40&gt;0,AND(DAY($A231)=MIN(DAY('Recurring Schedule'!$F$40),DAY(EOMONTH($A231,0))),MOD((YEAR($A231)-YEAR('Recurring Schedule'!$F$40))*12+MONTH($A231)-MONTH('Recurring Schedule'!$F$40),'Recurring Schedule'!$O$40)=0),IF('Recurring Schedule'!$E$40="Weekdays",WEEKDAY($A231,2)&lt;=5,$A231='Recurring Schedule'!$F$40))),35,""))))</f>
        <v/>
      </c>
      <c r="AK231">
        <f>IF('Recurring Schedule'!$C$41="","",IF('Recurring Schedule'!$F$41="","",IF(OR($A231&lt;'Recurring Schedule'!$F$41,$A231&gt;'Recurring Schedule'!$P$41),"",IF(IF('Recurring Schedule'!$N$41&gt;0,MOD($A231-'Recurring Schedule'!$F$41,'Recurring Schedule'!$N$41)=0,IF('Recurring Schedule'!$O$41&gt;0,AND(DAY($A231)=MIN(DAY('Recurring Schedule'!$F$41),DAY(EOMONTH($A231,0))),MOD((YEAR($A231)-YEAR('Recurring Schedule'!$F$41))*12+MONTH($A231)-MONTH('Recurring Schedule'!$F$41),'Recurring Schedule'!$O$41)=0),IF('Recurring Schedule'!$E$41="Weekdays",WEEKDAY($A231,2)&lt;=5,$A231='Recurring Schedule'!$F$41))),36,""))))</f>
        <v/>
      </c>
      <c r="AL231">
        <f>IF('Recurring Schedule'!$C$42="","",IF('Recurring Schedule'!$F$42="","",IF(OR($A231&lt;'Recurring Schedule'!$F$42,$A231&gt;'Recurring Schedule'!$P$42),"",IF(IF('Recurring Schedule'!$N$42&gt;0,MOD($A231-'Recurring Schedule'!$F$42,'Recurring Schedule'!$N$42)=0,IF('Recurring Schedule'!$O$42&gt;0,AND(DAY($A231)=MIN(DAY('Recurring Schedule'!$F$42),DAY(EOMONTH($A231,0))),MOD((YEAR($A231)-YEAR('Recurring Schedule'!$F$42))*12+MONTH($A231)-MONTH('Recurring Schedule'!$F$42),'Recurring Schedule'!$O$42)=0),IF('Recurring Schedule'!$E$42="Weekdays",WEEKDAY($A231,2)&lt;=5,$A231='Recurring Schedule'!$F$42))),37,""))))</f>
        <v/>
      </c>
      <c r="AM231">
        <f>IF('Recurring Schedule'!$C$43="","",IF('Recurring Schedule'!$F$43="","",IF(OR($A231&lt;'Recurring Schedule'!$F$43,$A231&gt;'Recurring Schedule'!$P$43),"",IF(IF('Recurring Schedule'!$N$43&gt;0,MOD($A231-'Recurring Schedule'!$F$43,'Recurring Schedule'!$N$43)=0,IF('Recurring Schedule'!$O$43&gt;0,AND(DAY($A231)=MIN(DAY('Recurring Schedule'!$F$43),DAY(EOMONTH($A231,0))),MOD((YEAR($A231)-YEAR('Recurring Schedule'!$F$43))*12+MONTH($A231)-MONTH('Recurring Schedule'!$F$43),'Recurring Schedule'!$O$43)=0),IF('Recurring Schedule'!$E$43="Weekdays",WEEKDAY($A231,2)&lt;=5,$A231='Recurring Schedule'!$F$43))),38,""))))</f>
        <v/>
      </c>
      <c r="AN231">
        <f>IF('Recurring Schedule'!$C$44="","",IF('Recurring Schedule'!$F$44="","",IF(OR($A231&lt;'Recurring Schedule'!$F$44,$A231&gt;'Recurring Schedule'!$P$44),"",IF(IF('Recurring Schedule'!$N$44&gt;0,MOD($A231-'Recurring Schedule'!$F$44,'Recurring Schedule'!$N$44)=0,IF('Recurring Schedule'!$O$44&gt;0,AND(DAY($A231)=MIN(DAY('Recurring Schedule'!$F$44),DAY(EOMONTH($A231,0))),MOD((YEAR($A231)-YEAR('Recurring Schedule'!$F$44))*12+MONTH($A231)-MONTH('Recurring Schedule'!$F$44),'Recurring Schedule'!$O$44)=0),IF('Recurring Schedule'!$E$44="Weekdays",WEEKDAY($A231,2)&lt;=5,$A231='Recurring Schedule'!$F$44))),39,""))))</f>
        <v/>
      </c>
      <c r="AO231">
        <f>IF('Recurring Schedule'!$C$45="","",IF('Recurring Schedule'!$F$45="","",IF(OR($A231&lt;'Recurring Schedule'!$F$45,$A231&gt;'Recurring Schedule'!$P$45),"",IF(IF('Recurring Schedule'!$N$45&gt;0,MOD($A231-'Recurring Schedule'!$F$45,'Recurring Schedule'!$N$45)=0,IF('Recurring Schedule'!$O$45&gt;0,AND(DAY($A231)=MIN(DAY('Recurring Schedule'!$F$45),DAY(EOMONTH($A231,0))),MOD((YEAR($A231)-YEAR('Recurring Schedule'!$F$45))*12+MONTH($A231)-MONTH('Recurring Schedule'!$F$45),'Recurring Schedule'!$O$45)=0),IF('Recurring Schedule'!$E$45="Weekdays",WEEKDAY($A231,2)&lt;=5,$A231='Recurring Schedule'!$F$45))),40,""))))</f>
        <v/>
      </c>
      <c r="AP231">
        <f>COUNT(B231:AO231)</f>
        <v/>
      </c>
      <c r="AQ231">
        <f>AQ230+AP230</f>
        <v/>
      </c>
      <c r="AS231" t="inlineStr">
        <is>
          <t>R</t>
        </is>
      </c>
      <c r="AT231" t="n">
        <v>235</v>
      </c>
      <c r="AU231">
        <f>'Recurring Log'!C235&amp;""</f>
        <v/>
      </c>
      <c r="AV231">
        <f>'Recurring Log'!D235&amp;""</f>
        <v/>
      </c>
      <c r="AW231">
        <f>IF('Recurring Log'!E235="","",'Recurring Log'!E235)</f>
        <v/>
      </c>
      <c r="AX231">
        <f>IF('Recurring Log'!G235="","",'Recurring Log'!G235)</f>
        <v/>
      </c>
      <c r="AY231">
        <f>IF('Recurring Log'!H235="","",'Recurring Log'!H235)</f>
        <v/>
      </c>
      <c r="AZ231">
        <f>IF(AU231="","",IF('Recurring Log'!J235="","Not Started",'Recurring Log'!J235))</f>
        <v/>
      </c>
      <c r="BA231">
        <f>'Recurring Log'!L235&amp;""</f>
        <v/>
      </c>
      <c r="BB231">
        <f>'Recurring Log'!M235&amp;""</f>
        <v/>
      </c>
      <c r="BC231">
        <f>'Recurring Log'!N235&amp;""</f>
        <v/>
      </c>
      <c r="BD231">
        <f>'Recurring Log'!O235&amp;""</f>
        <v/>
      </c>
      <c r="BE231">
        <f>IF('Recurring Log'!K235="","",'Recurring Log'!K235)</f>
        <v/>
      </c>
      <c r="BF231">
        <f>IFERROR(MATCH(BA231,Setup!$L$6:$L$9,0),5)</f>
        <v/>
      </c>
      <c r="BG231">
        <f>IF(OR(AZ231="Done",AZ231="Cancelled"),1,0)</f>
        <v/>
      </c>
      <c r="BH231">
        <f>IF(AND(AU231&lt;&gt;"",ISNUMBER(AW231)),1,0)</f>
        <v/>
      </c>
      <c r="BI231">
        <f>IF(BH231=0,0,IF(AND(AW231&gt;='Tasks Filter'!$F$3,AW231&lt;='Tasks Filter'!$F$4,OR('Tasks Filter'!$I$3="",ISNUMBER(SEARCH('Tasks Filter'!$I$3,AU231))),OR('Tasks Filter'!$I$4="",BF231=IFERROR(MATCH('Tasks Filter'!$I$4,Setup!$L$6:$L$9,0),0)),OR('Tasks Filter'!$I$5="Both",AND('Tasks Filter'!$I$5="Yes",BB231="✓"),AND('Tasks Filter'!$I$5="No",BB231&lt;&gt;"✓")),OR('Tasks Filter'!$L$3="",AV231='Tasks Filter'!$L$3),OR('Tasks Filter'!$L$4="",AZ231='Tasks Filter'!$L$4),OR('Tasks Filter'!$L$5="",BC231='Tasks Filter'!$L$5),OR('Tasks Filter'!$O$3="",BD231='Tasks Filter'!$O$3),OR('Tasks Filter'!$O$4="Yes",BG231=0)),1,0))</f>
        <v/>
      </c>
      <c r="BJ231">
        <f>IF(BH231=0,"",IF('Tasks Filter'!$F$6="Descending",-1,1)*CHOOSE(MATCH('Tasks Filter'!$F$5,Lists!$G$2:$G$6,0),AW231,BF231,IFERROR(MATCH(AV231,Setup!$F$6:$F$15,0),99),IFERROR(MATCH(BC231,Setup!$H$6:$H$15,0),99),IFERROR(MATCH(AZ231,Setup!$J$6:$J$11,0),99))*1E+9+(AW231-40000)*10000+230)</f>
        <v/>
      </c>
      <c r="BK231">
        <f>IF(BI231=1,BJ231,"")</f>
        <v/>
      </c>
      <c r="BL231">
        <f>IF(AND(BH231=1,BG231=0,N(AW231)&lt;Setup!$D$7),(AW231-40000)*10000+230,"")</f>
        <v/>
      </c>
      <c r="BM231">
        <f>IF(AND(BH231=1,AZ231&lt;&gt;"Cancelled",N(AW231)&gt;=Dashboard!$AB$3,N(AW231)&lt;=Dashboard!$AB$3+6),(AW231-40000)*100000+BF231*10000+230,"")</f>
        <v/>
      </c>
      <c r="BN231">
        <f>IF(AND(BH231=1,AZ231&lt;&gt;"Cancelled"),BF231*10000+230,"")</f>
        <v/>
      </c>
    </row>
    <row r="232">
      <c r="A232">
        <f>Setup!$D$5+230</f>
        <v/>
      </c>
      <c r="B232">
        <f>IF('Recurring Schedule'!$C$6="","",IF('Recurring Schedule'!$F$6="","",IF(OR($A232&lt;'Recurring Schedule'!$F$6,$A232&gt;'Recurring Schedule'!$P$6),"",IF(IF('Recurring Schedule'!$N$6&gt;0,MOD($A232-'Recurring Schedule'!$F$6,'Recurring Schedule'!$N$6)=0,IF('Recurring Schedule'!$O$6&gt;0,AND(DAY($A232)=MIN(DAY('Recurring Schedule'!$F$6),DAY(EOMONTH($A232,0))),MOD((YEAR($A232)-YEAR('Recurring Schedule'!$F$6))*12+MONTH($A232)-MONTH('Recurring Schedule'!$F$6),'Recurring Schedule'!$O$6)=0),IF('Recurring Schedule'!$E$6="Weekdays",WEEKDAY($A232,2)&lt;=5,$A232='Recurring Schedule'!$F$6))),1,""))))</f>
        <v/>
      </c>
      <c r="C232">
        <f>IF('Recurring Schedule'!$C$7="","",IF('Recurring Schedule'!$F$7="","",IF(OR($A232&lt;'Recurring Schedule'!$F$7,$A232&gt;'Recurring Schedule'!$P$7),"",IF(IF('Recurring Schedule'!$N$7&gt;0,MOD($A232-'Recurring Schedule'!$F$7,'Recurring Schedule'!$N$7)=0,IF('Recurring Schedule'!$O$7&gt;0,AND(DAY($A232)=MIN(DAY('Recurring Schedule'!$F$7),DAY(EOMONTH($A232,0))),MOD((YEAR($A232)-YEAR('Recurring Schedule'!$F$7))*12+MONTH($A232)-MONTH('Recurring Schedule'!$F$7),'Recurring Schedule'!$O$7)=0),IF('Recurring Schedule'!$E$7="Weekdays",WEEKDAY($A232,2)&lt;=5,$A232='Recurring Schedule'!$F$7))),2,""))))</f>
        <v/>
      </c>
      <c r="D232">
        <f>IF('Recurring Schedule'!$C$8="","",IF('Recurring Schedule'!$F$8="","",IF(OR($A232&lt;'Recurring Schedule'!$F$8,$A232&gt;'Recurring Schedule'!$P$8),"",IF(IF('Recurring Schedule'!$N$8&gt;0,MOD($A232-'Recurring Schedule'!$F$8,'Recurring Schedule'!$N$8)=0,IF('Recurring Schedule'!$O$8&gt;0,AND(DAY($A232)=MIN(DAY('Recurring Schedule'!$F$8),DAY(EOMONTH($A232,0))),MOD((YEAR($A232)-YEAR('Recurring Schedule'!$F$8))*12+MONTH($A232)-MONTH('Recurring Schedule'!$F$8),'Recurring Schedule'!$O$8)=0),IF('Recurring Schedule'!$E$8="Weekdays",WEEKDAY($A232,2)&lt;=5,$A232='Recurring Schedule'!$F$8))),3,""))))</f>
        <v/>
      </c>
      <c r="E232">
        <f>IF('Recurring Schedule'!$C$9="","",IF('Recurring Schedule'!$F$9="","",IF(OR($A232&lt;'Recurring Schedule'!$F$9,$A232&gt;'Recurring Schedule'!$P$9),"",IF(IF('Recurring Schedule'!$N$9&gt;0,MOD($A232-'Recurring Schedule'!$F$9,'Recurring Schedule'!$N$9)=0,IF('Recurring Schedule'!$O$9&gt;0,AND(DAY($A232)=MIN(DAY('Recurring Schedule'!$F$9),DAY(EOMONTH($A232,0))),MOD((YEAR($A232)-YEAR('Recurring Schedule'!$F$9))*12+MONTH($A232)-MONTH('Recurring Schedule'!$F$9),'Recurring Schedule'!$O$9)=0),IF('Recurring Schedule'!$E$9="Weekdays",WEEKDAY($A232,2)&lt;=5,$A232='Recurring Schedule'!$F$9))),4,""))))</f>
        <v/>
      </c>
      <c r="F232">
        <f>IF('Recurring Schedule'!$C$10="","",IF('Recurring Schedule'!$F$10="","",IF(OR($A232&lt;'Recurring Schedule'!$F$10,$A232&gt;'Recurring Schedule'!$P$10),"",IF(IF('Recurring Schedule'!$N$10&gt;0,MOD($A232-'Recurring Schedule'!$F$10,'Recurring Schedule'!$N$10)=0,IF('Recurring Schedule'!$O$10&gt;0,AND(DAY($A232)=MIN(DAY('Recurring Schedule'!$F$10),DAY(EOMONTH($A232,0))),MOD((YEAR($A232)-YEAR('Recurring Schedule'!$F$10))*12+MONTH($A232)-MONTH('Recurring Schedule'!$F$10),'Recurring Schedule'!$O$10)=0),IF('Recurring Schedule'!$E$10="Weekdays",WEEKDAY($A232,2)&lt;=5,$A232='Recurring Schedule'!$F$10))),5,""))))</f>
        <v/>
      </c>
      <c r="G232">
        <f>IF('Recurring Schedule'!$C$11="","",IF('Recurring Schedule'!$F$11="","",IF(OR($A232&lt;'Recurring Schedule'!$F$11,$A232&gt;'Recurring Schedule'!$P$11),"",IF(IF('Recurring Schedule'!$N$11&gt;0,MOD($A232-'Recurring Schedule'!$F$11,'Recurring Schedule'!$N$11)=0,IF('Recurring Schedule'!$O$11&gt;0,AND(DAY($A232)=MIN(DAY('Recurring Schedule'!$F$11),DAY(EOMONTH($A232,0))),MOD((YEAR($A232)-YEAR('Recurring Schedule'!$F$11))*12+MONTH($A232)-MONTH('Recurring Schedule'!$F$11),'Recurring Schedule'!$O$11)=0),IF('Recurring Schedule'!$E$11="Weekdays",WEEKDAY($A232,2)&lt;=5,$A232='Recurring Schedule'!$F$11))),6,""))))</f>
        <v/>
      </c>
      <c r="H232">
        <f>IF('Recurring Schedule'!$C$12="","",IF('Recurring Schedule'!$F$12="","",IF(OR($A232&lt;'Recurring Schedule'!$F$12,$A232&gt;'Recurring Schedule'!$P$12),"",IF(IF('Recurring Schedule'!$N$12&gt;0,MOD($A232-'Recurring Schedule'!$F$12,'Recurring Schedule'!$N$12)=0,IF('Recurring Schedule'!$O$12&gt;0,AND(DAY($A232)=MIN(DAY('Recurring Schedule'!$F$12),DAY(EOMONTH($A232,0))),MOD((YEAR($A232)-YEAR('Recurring Schedule'!$F$12))*12+MONTH($A232)-MONTH('Recurring Schedule'!$F$12),'Recurring Schedule'!$O$12)=0),IF('Recurring Schedule'!$E$12="Weekdays",WEEKDAY($A232,2)&lt;=5,$A232='Recurring Schedule'!$F$12))),7,""))))</f>
        <v/>
      </c>
      <c r="I232">
        <f>IF('Recurring Schedule'!$C$13="","",IF('Recurring Schedule'!$F$13="","",IF(OR($A232&lt;'Recurring Schedule'!$F$13,$A232&gt;'Recurring Schedule'!$P$13),"",IF(IF('Recurring Schedule'!$N$13&gt;0,MOD($A232-'Recurring Schedule'!$F$13,'Recurring Schedule'!$N$13)=0,IF('Recurring Schedule'!$O$13&gt;0,AND(DAY($A232)=MIN(DAY('Recurring Schedule'!$F$13),DAY(EOMONTH($A232,0))),MOD((YEAR($A232)-YEAR('Recurring Schedule'!$F$13))*12+MONTH($A232)-MONTH('Recurring Schedule'!$F$13),'Recurring Schedule'!$O$13)=0),IF('Recurring Schedule'!$E$13="Weekdays",WEEKDAY($A232,2)&lt;=5,$A232='Recurring Schedule'!$F$13))),8,""))))</f>
        <v/>
      </c>
      <c r="J232">
        <f>IF('Recurring Schedule'!$C$14="","",IF('Recurring Schedule'!$F$14="","",IF(OR($A232&lt;'Recurring Schedule'!$F$14,$A232&gt;'Recurring Schedule'!$P$14),"",IF(IF('Recurring Schedule'!$N$14&gt;0,MOD($A232-'Recurring Schedule'!$F$14,'Recurring Schedule'!$N$14)=0,IF('Recurring Schedule'!$O$14&gt;0,AND(DAY($A232)=MIN(DAY('Recurring Schedule'!$F$14),DAY(EOMONTH($A232,0))),MOD((YEAR($A232)-YEAR('Recurring Schedule'!$F$14))*12+MONTH($A232)-MONTH('Recurring Schedule'!$F$14),'Recurring Schedule'!$O$14)=0),IF('Recurring Schedule'!$E$14="Weekdays",WEEKDAY($A232,2)&lt;=5,$A232='Recurring Schedule'!$F$14))),9,""))))</f>
        <v/>
      </c>
      <c r="K232">
        <f>IF('Recurring Schedule'!$C$15="","",IF('Recurring Schedule'!$F$15="","",IF(OR($A232&lt;'Recurring Schedule'!$F$15,$A232&gt;'Recurring Schedule'!$P$15),"",IF(IF('Recurring Schedule'!$N$15&gt;0,MOD($A232-'Recurring Schedule'!$F$15,'Recurring Schedule'!$N$15)=0,IF('Recurring Schedule'!$O$15&gt;0,AND(DAY($A232)=MIN(DAY('Recurring Schedule'!$F$15),DAY(EOMONTH($A232,0))),MOD((YEAR($A232)-YEAR('Recurring Schedule'!$F$15))*12+MONTH($A232)-MONTH('Recurring Schedule'!$F$15),'Recurring Schedule'!$O$15)=0),IF('Recurring Schedule'!$E$15="Weekdays",WEEKDAY($A232,2)&lt;=5,$A232='Recurring Schedule'!$F$15))),10,""))))</f>
        <v/>
      </c>
      <c r="L232">
        <f>IF('Recurring Schedule'!$C$16="","",IF('Recurring Schedule'!$F$16="","",IF(OR($A232&lt;'Recurring Schedule'!$F$16,$A232&gt;'Recurring Schedule'!$P$16),"",IF(IF('Recurring Schedule'!$N$16&gt;0,MOD($A232-'Recurring Schedule'!$F$16,'Recurring Schedule'!$N$16)=0,IF('Recurring Schedule'!$O$16&gt;0,AND(DAY($A232)=MIN(DAY('Recurring Schedule'!$F$16),DAY(EOMONTH($A232,0))),MOD((YEAR($A232)-YEAR('Recurring Schedule'!$F$16))*12+MONTH($A232)-MONTH('Recurring Schedule'!$F$16),'Recurring Schedule'!$O$16)=0),IF('Recurring Schedule'!$E$16="Weekdays",WEEKDAY($A232,2)&lt;=5,$A232='Recurring Schedule'!$F$16))),11,""))))</f>
        <v/>
      </c>
      <c r="M232">
        <f>IF('Recurring Schedule'!$C$17="","",IF('Recurring Schedule'!$F$17="","",IF(OR($A232&lt;'Recurring Schedule'!$F$17,$A232&gt;'Recurring Schedule'!$P$17),"",IF(IF('Recurring Schedule'!$N$17&gt;0,MOD($A232-'Recurring Schedule'!$F$17,'Recurring Schedule'!$N$17)=0,IF('Recurring Schedule'!$O$17&gt;0,AND(DAY($A232)=MIN(DAY('Recurring Schedule'!$F$17),DAY(EOMONTH($A232,0))),MOD((YEAR($A232)-YEAR('Recurring Schedule'!$F$17))*12+MONTH($A232)-MONTH('Recurring Schedule'!$F$17),'Recurring Schedule'!$O$17)=0),IF('Recurring Schedule'!$E$17="Weekdays",WEEKDAY($A232,2)&lt;=5,$A232='Recurring Schedule'!$F$17))),12,""))))</f>
        <v/>
      </c>
      <c r="N232">
        <f>IF('Recurring Schedule'!$C$18="","",IF('Recurring Schedule'!$F$18="","",IF(OR($A232&lt;'Recurring Schedule'!$F$18,$A232&gt;'Recurring Schedule'!$P$18),"",IF(IF('Recurring Schedule'!$N$18&gt;0,MOD($A232-'Recurring Schedule'!$F$18,'Recurring Schedule'!$N$18)=0,IF('Recurring Schedule'!$O$18&gt;0,AND(DAY($A232)=MIN(DAY('Recurring Schedule'!$F$18),DAY(EOMONTH($A232,0))),MOD((YEAR($A232)-YEAR('Recurring Schedule'!$F$18))*12+MONTH($A232)-MONTH('Recurring Schedule'!$F$18),'Recurring Schedule'!$O$18)=0),IF('Recurring Schedule'!$E$18="Weekdays",WEEKDAY($A232,2)&lt;=5,$A232='Recurring Schedule'!$F$18))),13,""))))</f>
        <v/>
      </c>
      <c r="O232">
        <f>IF('Recurring Schedule'!$C$19="","",IF('Recurring Schedule'!$F$19="","",IF(OR($A232&lt;'Recurring Schedule'!$F$19,$A232&gt;'Recurring Schedule'!$P$19),"",IF(IF('Recurring Schedule'!$N$19&gt;0,MOD($A232-'Recurring Schedule'!$F$19,'Recurring Schedule'!$N$19)=0,IF('Recurring Schedule'!$O$19&gt;0,AND(DAY($A232)=MIN(DAY('Recurring Schedule'!$F$19),DAY(EOMONTH($A232,0))),MOD((YEAR($A232)-YEAR('Recurring Schedule'!$F$19))*12+MONTH($A232)-MONTH('Recurring Schedule'!$F$19),'Recurring Schedule'!$O$19)=0),IF('Recurring Schedule'!$E$19="Weekdays",WEEKDAY($A232,2)&lt;=5,$A232='Recurring Schedule'!$F$19))),14,""))))</f>
        <v/>
      </c>
      <c r="P232">
        <f>IF('Recurring Schedule'!$C$20="","",IF('Recurring Schedule'!$F$20="","",IF(OR($A232&lt;'Recurring Schedule'!$F$20,$A232&gt;'Recurring Schedule'!$P$20),"",IF(IF('Recurring Schedule'!$N$20&gt;0,MOD($A232-'Recurring Schedule'!$F$20,'Recurring Schedule'!$N$20)=0,IF('Recurring Schedule'!$O$20&gt;0,AND(DAY($A232)=MIN(DAY('Recurring Schedule'!$F$20),DAY(EOMONTH($A232,0))),MOD((YEAR($A232)-YEAR('Recurring Schedule'!$F$20))*12+MONTH($A232)-MONTH('Recurring Schedule'!$F$20),'Recurring Schedule'!$O$20)=0),IF('Recurring Schedule'!$E$20="Weekdays",WEEKDAY($A232,2)&lt;=5,$A232='Recurring Schedule'!$F$20))),15,""))))</f>
        <v/>
      </c>
      <c r="Q232">
        <f>IF('Recurring Schedule'!$C$21="","",IF('Recurring Schedule'!$F$21="","",IF(OR($A232&lt;'Recurring Schedule'!$F$21,$A232&gt;'Recurring Schedule'!$P$21),"",IF(IF('Recurring Schedule'!$N$21&gt;0,MOD($A232-'Recurring Schedule'!$F$21,'Recurring Schedule'!$N$21)=0,IF('Recurring Schedule'!$O$21&gt;0,AND(DAY($A232)=MIN(DAY('Recurring Schedule'!$F$21),DAY(EOMONTH($A232,0))),MOD((YEAR($A232)-YEAR('Recurring Schedule'!$F$21))*12+MONTH($A232)-MONTH('Recurring Schedule'!$F$21),'Recurring Schedule'!$O$21)=0),IF('Recurring Schedule'!$E$21="Weekdays",WEEKDAY($A232,2)&lt;=5,$A232='Recurring Schedule'!$F$21))),16,""))))</f>
        <v/>
      </c>
      <c r="R232">
        <f>IF('Recurring Schedule'!$C$22="","",IF('Recurring Schedule'!$F$22="","",IF(OR($A232&lt;'Recurring Schedule'!$F$22,$A232&gt;'Recurring Schedule'!$P$22),"",IF(IF('Recurring Schedule'!$N$22&gt;0,MOD($A232-'Recurring Schedule'!$F$22,'Recurring Schedule'!$N$22)=0,IF('Recurring Schedule'!$O$22&gt;0,AND(DAY($A232)=MIN(DAY('Recurring Schedule'!$F$22),DAY(EOMONTH($A232,0))),MOD((YEAR($A232)-YEAR('Recurring Schedule'!$F$22))*12+MONTH($A232)-MONTH('Recurring Schedule'!$F$22),'Recurring Schedule'!$O$22)=0),IF('Recurring Schedule'!$E$22="Weekdays",WEEKDAY($A232,2)&lt;=5,$A232='Recurring Schedule'!$F$22))),17,""))))</f>
        <v/>
      </c>
      <c r="S232">
        <f>IF('Recurring Schedule'!$C$23="","",IF('Recurring Schedule'!$F$23="","",IF(OR($A232&lt;'Recurring Schedule'!$F$23,$A232&gt;'Recurring Schedule'!$P$23),"",IF(IF('Recurring Schedule'!$N$23&gt;0,MOD($A232-'Recurring Schedule'!$F$23,'Recurring Schedule'!$N$23)=0,IF('Recurring Schedule'!$O$23&gt;0,AND(DAY($A232)=MIN(DAY('Recurring Schedule'!$F$23),DAY(EOMONTH($A232,0))),MOD((YEAR($A232)-YEAR('Recurring Schedule'!$F$23))*12+MONTH($A232)-MONTH('Recurring Schedule'!$F$23),'Recurring Schedule'!$O$23)=0),IF('Recurring Schedule'!$E$23="Weekdays",WEEKDAY($A232,2)&lt;=5,$A232='Recurring Schedule'!$F$23))),18,""))))</f>
        <v/>
      </c>
      <c r="T232">
        <f>IF('Recurring Schedule'!$C$24="","",IF('Recurring Schedule'!$F$24="","",IF(OR($A232&lt;'Recurring Schedule'!$F$24,$A232&gt;'Recurring Schedule'!$P$24),"",IF(IF('Recurring Schedule'!$N$24&gt;0,MOD($A232-'Recurring Schedule'!$F$24,'Recurring Schedule'!$N$24)=0,IF('Recurring Schedule'!$O$24&gt;0,AND(DAY($A232)=MIN(DAY('Recurring Schedule'!$F$24),DAY(EOMONTH($A232,0))),MOD((YEAR($A232)-YEAR('Recurring Schedule'!$F$24))*12+MONTH($A232)-MONTH('Recurring Schedule'!$F$24),'Recurring Schedule'!$O$24)=0),IF('Recurring Schedule'!$E$24="Weekdays",WEEKDAY($A232,2)&lt;=5,$A232='Recurring Schedule'!$F$24))),19,""))))</f>
        <v/>
      </c>
      <c r="U232">
        <f>IF('Recurring Schedule'!$C$25="","",IF('Recurring Schedule'!$F$25="","",IF(OR($A232&lt;'Recurring Schedule'!$F$25,$A232&gt;'Recurring Schedule'!$P$25),"",IF(IF('Recurring Schedule'!$N$25&gt;0,MOD($A232-'Recurring Schedule'!$F$25,'Recurring Schedule'!$N$25)=0,IF('Recurring Schedule'!$O$25&gt;0,AND(DAY($A232)=MIN(DAY('Recurring Schedule'!$F$25),DAY(EOMONTH($A232,0))),MOD((YEAR($A232)-YEAR('Recurring Schedule'!$F$25))*12+MONTH($A232)-MONTH('Recurring Schedule'!$F$25),'Recurring Schedule'!$O$25)=0),IF('Recurring Schedule'!$E$25="Weekdays",WEEKDAY($A232,2)&lt;=5,$A232='Recurring Schedule'!$F$25))),20,""))))</f>
        <v/>
      </c>
      <c r="V232">
        <f>IF('Recurring Schedule'!$C$26="","",IF('Recurring Schedule'!$F$26="","",IF(OR($A232&lt;'Recurring Schedule'!$F$26,$A232&gt;'Recurring Schedule'!$P$26),"",IF(IF('Recurring Schedule'!$N$26&gt;0,MOD($A232-'Recurring Schedule'!$F$26,'Recurring Schedule'!$N$26)=0,IF('Recurring Schedule'!$O$26&gt;0,AND(DAY($A232)=MIN(DAY('Recurring Schedule'!$F$26),DAY(EOMONTH($A232,0))),MOD((YEAR($A232)-YEAR('Recurring Schedule'!$F$26))*12+MONTH($A232)-MONTH('Recurring Schedule'!$F$26),'Recurring Schedule'!$O$26)=0),IF('Recurring Schedule'!$E$26="Weekdays",WEEKDAY($A232,2)&lt;=5,$A232='Recurring Schedule'!$F$26))),21,""))))</f>
        <v/>
      </c>
      <c r="W232">
        <f>IF('Recurring Schedule'!$C$27="","",IF('Recurring Schedule'!$F$27="","",IF(OR($A232&lt;'Recurring Schedule'!$F$27,$A232&gt;'Recurring Schedule'!$P$27),"",IF(IF('Recurring Schedule'!$N$27&gt;0,MOD($A232-'Recurring Schedule'!$F$27,'Recurring Schedule'!$N$27)=0,IF('Recurring Schedule'!$O$27&gt;0,AND(DAY($A232)=MIN(DAY('Recurring Schedule'!$F$27),DAY(EOMONTH($A232,0))),MOD((YEAR($A232)-YEAR('Recurring Schedule'!$F$27))*12+MONTH($A232)-MONTH('Recurring Schedule'!$F$27),'Recurring Schedule'!$O$27)=0),IF('Recurring Schedule'!$E$27="Weekdays",WEEKDAY($A232,2)&lt;=5,$A232='Recurring Schedule'!$F$27))),22,""))))</f>
        <v/>
      </c>
      <c r="X232">
        <f>IF('Recurring Schedule'!$C$28="","",IF('Recurring Schedule'!$F$28="","",IF(OR($A232&lt;'Recurring Schedule'!$F$28,$A232&gt;'Recurring Schedule'!$P$28),"",IF(IF('Recurring Schedule'!$N$28&gt;0,MOD($A232-'Recurring Schedule'!$F$28,'Recurring Schedule'!$N$28)=0,IF('Recurring Schedule'!$O$28&gt;0,AND(DAY($A232)=MIN(DAY('Recurring Schedule'!$F$28),DAY(EOMONTH($A232,0))),MOD((YEAR($A232)-YEAR('Recurring Schedule'!$F$28))*12+MONTH($A232)-MONTH('Recurring Schedule'!$F$28),'Recurring Schedule'!$O$28)=0),IF('Recurring Schedule'!$E$28="Weekdays",WEEKDAY($A232,2)&lt;=5,$A232='Recurring Schedule'!$F$28))),23,""))))</f>
        <v/>
      </c>
      <c r="Y232">
        <f>IF('Recurring Schedule'!$C$29="","",IF('Recurring Schedule'!$F$29="","",IF(OR($A232&lt;'Recurring Schedule'!$F$29,$A232&gt;'Recurring Schedule'!$P$29),"",IF(IF('Recurring Schedule'!$N$29&gt;0,MOD($A232-'Recurring Schedule'!$F$29,'Recurring Schedule'!$N$29)=0,IF('Recurring Schedule'!$O$29&gt;0,AND(DAY($A232)=MIN(DAY('Recurring Schedule'!$F$29),DAY(EOMONTH($A232,0))),MOD((YEAR($A232)-YEAR('Recurring Schedule'!$F$29))*12+MONTH($A232)-MONTH('Recurring Schedule'!$F$29),'Recurring Schedule'!$O$29)=0),IF('Recurring Schedule'!$E$29="Weekdays",WEEKDAY($A232,2)&lt;=5,$A232='Recurring Schedule'!$F$29))),24,""))))</f>
        <v/>
      </c>
      <c r="Z232">
        <f>IF('Recurring Schedule'!$C$30="","",IF('Recurring Schedule'!$F$30="","",IF(OR($A232&lt;'Recurring Schedule'!$F$30,$A232&gt;'Recurring Schedule'!$P$30),"",IF(IF('Recurring Schedule'!$N$30&gt;0,MOD($A232-'Recurring Schedule'!$F$30,'Recurring Schedule'!$N$30)=0,IF('Recurring Schedule'!$O$30&gt;0,AND(DAY($A232)=MIN(DAY('Recurring Schedule'!$F$30),DAY(EOMONTH($A232,0))),MOD((YEAR($A232)-YEAR('Recurring Schedule'!$F$30))*12+MONTH($A232)-MONTH('Recurring Schedule'!$F$30),'Recurring Schedule'!$O$30)=0),IF('Recurring Schedule'!$E$30="Weekdays",WEEKDAY($A232,2)&lt;=5,$A232='Recurring Schedule'!$F$30))),25,""))))</f>
        <v/>
      </c>
      <c r="AA232">
        <f>IF('Recurring Schedule'!$C$31="","",IF('Recurring Schedule'!$F$31="","",IF(OR($A232&lt;'Recurring Schedule'!$F$31,$A232&gt;'Recurring Schedule'!$P$31),"",IF(IF('Recurring Schedule'!$N$31&gt;0,MOD($A232-'Recurring Schedule'!$F$31,'Recurring Schedule'!$N$31)=0,IF('Recurring Schedule'!$O$31&gt;0,AND(DAY($A232)=MIN(DAY('Recurring Schedule'!$F$31),DAY(EOMONTH($A232,0))),MOD((YEAR($A232)-YEAR('Recurring Schedule'!$F$31))*12+MONTH($A232)-MONTH('Recurring Schedule'!$F$31),'Recurring Schedule'!$O$31)=0),IF('Recurring Schedule'!$E$31="Weekdays",WEEKDAY($A232,2)&lt;=5,$A232='Recurring Schedule'!$F$31))),26,""))))</f>
        <v/>
      </c>
      <c r="AB232">
        <f>IF('Recurring Schedule'!$C$32="","",IF('Recurring Schedule'!$F$32="","",IF(OR($A232&lt;'Recurring Schedule'!$F$32,$A232&gt;'Recurring Schedule'!$P$32),"",IF(IF('Recurring Schedule'!$N$32&gt;0,MOD($A232-'Recurring Schedule'!$F$32,'Recurring Schedule'!$N$32)=0,IF('Recurring Schedule'!$O$32&gt;0,AND(DAY($A232)=MIN(DAY('Recurring Schedule'!$F$32),DAY(EOMONTH($A232,0))),MOD((YEAR($A232)-YEAR('Recurring Schedule'!$F$32))*12+MONTH($A232)-MONTH('Recurring Schedule'!$F$32),'Recurring Schedule'!$O$32)=0),IF('Recurring Schedule'!$E$32="Weekdays",WEEKDAY($A232,2)&lt;=5,$A232='Recurring Schedule'!$F$32))),27,""))))</f>
        <v/>
      </c>
      <c r="AC232">
        <f>IF('Recurring Schedule'!$C$33="","",IF('Recurring Schedule'!$F$33="","",IF(OR($A232&lt;'Recurring Schedule'!$F$33,$A232&gt;'Recurring Schedule'!$P$33),"",IF(IF('Recurring Schedule'!$N$33&gt;0,MOD($A232-'Recurring Schedule'!$F$33,'Recurring Schedule'!$N$33)=0,IF('Recurring Schedule'!$O$33&gt;0,AND(DAY($A232)=MIN(DAY('Recurring Schedule'!$F$33),DAY(EOMONTH($A232,0))),MOD((YEAR($A232)-YEAR('Recurring Schedule'!$F$33))*12+MONTH($A232)-MONTH('Recurring Schedule'!$F$33),'Recurring Schedule'!$O$33)=0),IF('Recurring Schedule'!$E$33="Weekdays",WEEKDAY($A232,2)&lt;=5,$A232='Recurring Schedule'!$F$33))),28,""))))</f>
        <v/>
      </c>
      <c r="AD232">
        <f>IF('Recurring Schedule'!$C$34="","",IF('Recurring Schedule'!$F$34="","",IF(OR($A232&lt;'Recurring Schedule'!$F$34,$A232&gt;'Recurring Schedule'!$P$34),"",IF(IF('Recurring Schedule'!$N$34&gt;0,MOD($A232-'Recurring Schedule'!$F$34,'Recurring Schedule'!$N$34)=0,IF('Recurring Schedule'!$O$34&gt;0,AND(DAY($A232)=MIN(DAY('Recurring Schedule'!$F$34),DAY(EOMONTH($A232,0))),MOD((YEAR($A232)-YEAR('Recurring Schedule'!$F$34))*12+MONTH($A232)-MONTH('Recurring Schedule'!$F$34),'Recurring Schedule'!$O$34)=0),IF('Recurring Schedule'!$E$34="Weekdays",WEEKDAY($A232,2)&lt;=5,$A232='Recurring Schedule'!$F$34))),29,""))))</f>
        <v/>
      </c>
      <c r="AE232">
        <f>IF('Recurring Schedule'!$C$35="","",IF('Recurring Schedule'!$F$35="","",IF(OR($A232&lt;'Recurring Schedule'!$F$35,$A232&gt;'Recurring Schedule'!$P$35),"",IF(IF('Recurring Schedule'!$N$35&gt;0,MOD($A232-'Recurring Schedule'!$F$35,'Recurring Schedule'!$N$35)=0,IF('Recurring Schedule'!$O$35&gt;0,AND(DAY($A232)=MIN(DAY('Recurring Schedule'!$F$35),DAY(EOMONTH($A232,0))),MOD((YEAR($A232)-YEAR('Recurring Schedule'!$F$35))*12+MONTH($A232)-MONTH('Recurring Schedule'!$F$35),'Recurring Schedule'!$O$35)=0),IF('Recurring Schedule'!$E$35="Weekdays",WEEKDAY($A232,2)&lt;=5,$A232='Recurring Schedule'!$F$35))),30,""))))</f>
        <v/>
      </c>
      <c r="AF232">
        <f>IF('Recurring Schedule'!$C$36="","",IF('Recurring Schedule'!$F$36="","",IF(OR($A232&lt;'Recurring Schedule'!$F$36,$A232&gt;'Recurring Schedule'!$P$36),"",IF(IF('Recurring Schedule'!$N$36&gt;0,MOD($A232-'Recurring Schedule'!$F$36,'Recurring Schedule'!$N$36)=0,IF('Recurring Schedule'!$O$36&gt;0,AND(DAY($A232)=MIN(DAY('Recurring Schedule'!$F$36),DAY(EOMONTH($A232,0))),MOD((YEAR($A232)-YEAR('Recurring Schedule'!$F$36))*12+MONTH($A232)-MONTH('Recurring Schedule'!$F$36),'Recurring Schedule'!$O$36)=0),IF('Recurring Schedule'!$E$36="Weekdays",WEEKDAY($A232,2)&lt;=5,$A232='Recurring Schedule'!$F$36))),31,""))))</f>
        <v/>
      </c>
      <c r="AG232">
        <f>IF('Recurring Schedule'!$C$37="","",IF('Recurring Schedule'!$F$37="","",IF(OR($A232&lt;'Recurring Schedule'!$F$37,$A232&gt;'Recurring Schedule'!$P$37),"",IF(IF('Recurring Schedule'!$N$37&gt;0,MOD($A232-'Recurring Schedule'!$F$37,'Recurring Schedule'!$N$37)=0,IF('Recurring Schedule'!$O$37&gt;0,AND(DAY($A232)=MIN(DAY('Recurring Schedule'!$F$37),DAY(EOMONTH($A232,0))),MOD((YEAR($A232)-YEAR('Recurring Schedule'!$F$37))*12+MONTH($A232)-MONTH('Recurring Schedule'!$F$37),'Recurring Schedule'!$O$37)=0),IF('Recurring Schedule'!$E$37="Weekdays",WEEKDAY($A232,2)&lt;=5,$A232='Recurring Schedule'!$F$37))),32,""))))</f>
        <v/>
      </c>
      <c r="AH232">
        <f>IF('Recurring Schedule'!$C$38="","",IF('Recurring Schedule'!$F$38="","",IF(OR($A232&lt;'Recurring Schedule'!$F$38,$A232&gt;'Recurring Schedule'!$P$38),"",IF(IF('Recurring Schedule'!$N$38&gt;0,MOD($A232-'Recurring Schedule'!$F$38,'Recurring Schedule'!$N$38)=0,IF('Recurring Schedule'!$O$38&gt;0,AND(DAY($A232)=MIN(DAY('Recurring Schedule'!$F$38),DAY(EOMONTH($A232,0))),MOD((YEAR($A232)-YEAR('Recurring Schedule'!$F$38))*12+MONTH($A232)-MONTH('Recurring Schedule'!$F$38),'Recurring Schedule'!$O$38)=0),IF('Recurring Schedule'!$E$38="Weekdays",WEEKDAY($A232,2)&lt;=5,$A232='Recurring Schedule'!$F$38))),33,""))))</f>
        <v/>
      </c>
      <c r="AI232">
        <f>IF('Recurring Schedule'!$C$39="","",IF('Recurring Schedule'!$F$39="","",IF(OR($A232&lt;'Recurring Schedule'!$F$39,$A232&gt;'Recurring Schedule'!$P$39),"",IF(IF('Recurring Schedule'!$N$39&gt;0,MOD($A232-'Recurring Schedule'!$F$39,'Recurring Schedule'!$N$39)=0,IF('Recurring Schedule'!$O$39&gt;0,AND(DAY($A232)=MIN(DAY('Recurring Schedule'!$F$39),DAY(EOMONTH($A232,0))),MOD((YEAR($A232)-YEAR('Recurring Schedule'!$F$39))*12+MONTH($A232)-MONTH('Recurring Schedule'!$F$39),'Recurring Schedule'!$O$39)=0),IF('Recurring Schedule'!$E$39="Weekdays",WEEKDAY($A232,2)&lt;=5,$A232='Recurring Schedule'!$F$39))),34,""))))</f>
        <v/>
      </c>
      <c r="AJ232">
        <f>IF('Recurring Schedule'!$C$40="","",IF('Recurring Schedule'!$F$40="","",IF(OR($A232&lt;'Recurring Schedule'!$F$40,$A232&gt;'Recurring Schedule'!$P$40),"",IF(IF('Recurring Schedule'!$N$40&gt;0,MOD($A232-'Recurring Schedule'!$F$40,'Recurring Schedule'!$N$40)=0,IF('Recurring Schedule'!$O$40&gt;0,AND(DAY($A232)=MIN(DAY('Recurring Schedule'!$F$40),DAY(EOMONTH($A232,0))),MOD((YEAR($A232)-YEAR('Recurring Schedule'!$F$40))*12+MONTH($A232)-MONTH('Recurring Schedule'!$F$40),'Recurring Schedule'!$O$40)=0),IF('Recurring Schedule'!$E$40="Weekdays",WEEKDAY($A232,2)&lt;=5,$A232='Recurring Schedule'!$F$40))),35,""))))</f>
        <v/>
      </c>
      <c r="AK232">
        <f>IF('Recurring Schedule'!$C$41="","",IF('Recurring Schedule'!$F$41="","",IF(OR($A232&lt;'Recurring Schedule'!$F$41,$A232&gt;'Recurring Schedule'!$P$41),"",IF(IF('Recurring Schedule'!$N$41&gt;0,MOD($A232-'Recurring Schedule'!$F$41,'Recurring Schedule'!$N$41)=0,IF('Recurring Schedule'!$O$41&gt;0,AND(DAY($A232)=MIN(DAY('Recurring Schedule'!$F$41),DAY(EOMONTH($A232,0))),MOD((YEAR($A232)-YEAR('Recurring Schedule'!$F$41))*12+MONTH($A232)-MONTH('Recurring Schedule'!$F$41),'Recurring Schedule'!$O$41)=0),IF('Recurring Schedule'!$E$41="Weekdays",WEEKDAY($A232,2)&lt;=5,$A232='Recurring Schedule'!$F$41))),36,""))))</f>
        <v/>
      </c>
      <c r="AL232">
        <f>IF('Recurring Schedule'!$C$42="","",IF('Recurring Schedule'!$F$42="","",IF(OR($A232&lt;'Recurring Schedule'!$F$42,$A232&gt;'Recurring Schedule'!$P$42),"",IF(IF('Recurring Schedule'!$N$42&gt;0,MOD($A232-'Recurring Schedule'!$F$42,'Recurring Schedule'!$N$42)=0,IF('Recurring Schedule'!$O$42&gt;0,AND(DAY($A232)=MIN(DAY('Recurring Schedule'!$F$42),DAY(EOMONTH($A232,0))),MOD((YEAR($A232)-YEAR('Recurring Schedule'!$F$42))*12+MONTH($A232)-MONTH('Recurring Schedule'!$F$42),'Recurring Schedule'!$O$42)=0),IF('Recurring Schedule'!$E$42="Weekdays",WEEKDAY($A232,2)&lt;=5,$A232='Recurring Schedule'!$F$42))),37,""))))</f>
        <v/>
      </c>
      <c r="AM232">
        <f>IF('Recurring Schedule'!$C$43="","",IF('Recurring Schedule'!$F$43="","",IF(OR($A232&lt;'Recurring Schedule'!$F$43,$A232&gt;'Recurring Schedule'!$P$43),"",IF(IF('Recurring Schedule'!$N$43&gt;0,MOD($A232-'Recurring Schedule'!$F$43,'Recurring Schedule'!$N$43)=0,IF('Recurring Schedule'!$O$43&gt;0,AND(DAY($A232)=MIN(DAY('Recurring Schedule'!$F$43),DAY(EOMONTH($A232,0))),MOD((YEAR($A232)-YEAR('Recurring Schedule'!$F$43))*12+MONTH($A232)-MONTH('Recurring Schedule'!$F$43),'Recurring Schedule'!$O$43)=0),IF('Recurring Schedule'!$E$43="Weekdays",WEEKDAY($A232,2)&lt;=5,$A232='Recurring Schedule'!$F$43))),38,""))))</f>
        <v/>
      </c>
      <c r="AN232">
        <f>IF('Recurring Schedule'!$C$44="","",IF('Recurring Schedule'!$F$44="","",IF(OR($A232&lt;'Recurring Schedule'!$F$44,$A232&gt;'Recurring Schedule'!$P$44),"",IF(IF('Recurring Schedule'!$N$44&gt;0,MOD($A232-'Recurring Schedule'!$F$44,'Recurring Schedule'!$N$44)=0,IF('Recurring Schedule'!$O$44&gt;0,AND(DAY($A232)=MIN(DAY('Recurring Schedule'!$F$44),DAY(EOMONTH($A232,0))),MOD((YEAR($A232)-YEAR('Recurring Schedule'!$F$44))*12+MONTH($A232)-MONTH('Recurring Schedule'!$F$44),'Recurring Schedule'!$O$44)=0),IF('Recurring Schedule'!$E$44="Weekdays",WEEKDAY($A232,2)&lt;=5,$A232='Recurring Schedule'!$F$44))),39,""))))</f>
        <v/>
      </c>
      <c r="AO232">
        <f>IF('Recurring Schedule'!$C$45="","",IF('Recurring Schedule'!$F$45="","",IF(OR($A232&lt;'Recurring Schedule'!$F$45,$A232&gt;'Recurring Schedule'!$P$45),"",IF(IF('Recurring Schedule'!$N$45&gt;0,MOD($A232-'Recurring Schedule'!$F$45,'Recurring Schedule'!$N$45)=0,IF('Recurring Schedule'!$O$45&gt;0,AND(DAY($A232)=MIN(DAY('Recurring Schedule'!$F$45),DAY(EOMONTH($A232,0))),MOD((YEAR($A232)-YEAR('Recurring Schedule'!$F$45))*12+MONTH($A232)-MONTH('Recurring Schedule'!$F$45),'Recurring Schedule'!$O$45)=0),IF('Recurring Schedule'!$E$45="Weekdays",WEEKDAY($A232,2)&lt;=5,$A232='Recurring Schedule'!$F$45))),40,""))))</f>
        <v/>
      </c>
      <c r="AP232">
        <f>COUNT(B232:AO232)</f>
        <v/>
      </c>
      <c r="AQ232">
        <f>AQ231+AP231</f>
        <v/>
      </c>
      <c r="AS232" t="inlineStr">
        <is>
          <t>R</t>
        </is>
      </c>
      <c r="AT232" t="n">
        <v>236</v>
      </c>
      <c r="AU232">
        <f>'Recurring Log'!C236&amp;""</f>
        <v/>
      </c>
      <c r="AV232">
        <f>'Recurring Log'!D236&amp;""</f>
        <v/>
      </c>
      <c r="AW232">
        <f>IF('Recurring Log'!E236="","",'Recurring Log'!E236)</f>
        <v/>
      </c>
      <c r="AX232">
        <f>IF('Recurring Log'!G236="","",'Recurring Log'!G236)</f>
        <v/>
      </c>
      <c r="AY232">
        <f>IF('Recurring Log'!H236="","",'Recurring Log'!H236)</f>
        <v/>
      </c>
      <c r="AZ232">
        <f>IF(AU232="","",IF('Recurring Log'!J236="","Not Started",'Recurring Log'!J236))</f>
        <v/>
      </c>
      <c r="BA232">
        <f>'Recurring Log'!L236&amp;""</f>
        <v/>
      </c>
      <c r="BB232">
        <f>'Recurring Log'!M236&amp;""</f>
        <v/>
      </c>
      <c r="BC232">
        <f>'Recurring Log'!N236&amp;""</f>
        <v/>
      </c>
      <c r="BD232">
        <f>'Recurring Log'!O236&amp;""</f>
        <v/>
      </c>
      <c r="BE232">
        <f>IF('Recurring Log'!K236="","",'Recurring Log'!K236)</f>
        <v/>
      </c>
      <c r="BF232">
        <f>IFERROR(MATCH(BA232,Setup!$L$6:$L$9,0),5)</f>
        <v/>
      </c>
      <c r="BG232">
        <f>IF(OR(AZ232="Done",AZ232="Cancelled"),1,0)</f>
        <v/>
      </c>
      <c r="BH232">
        <f>IF(AND(AU232&lt;&gt;"",ISNUMBER(AW232)),1,0)</f>
        <v/>
      </c>
      <c r="BI232">
        <f>IF(BH232=0,0,IF(AND(AW232&gt;='Tasks Filter'!$F$3,AW232&lt;='Tasks Filter'!$F$4,OR('Tasks Filter'!$I$3="",ISNUMBER(SEARCH('Tasks Filter'!$I$3,AU232))),OR('Tasks Filter'!$I$4="",BF232=IFERROR(MATCH('Tasks Filter'!$I$4,Setup!$L$6:$L$9,0),0)),OR('Tasks Filter'!$I$5="Both",AND('Tasks Filter'!$I$5="Yes",BB232="✓"),AND('Tasks Filter'!$I$5="No",BB232&lt;&gt;"✓")),OR('Tasks Filter'!$L$3="",AV232='Tasks Filter'!$L$3),OR('Tasks Filter'!$L$4="",AZ232='Tasks Filter'!$L$4),OR('Tasks Filter'!$L$5="",BC232='Tasks Filter'!$L$5),OR('Tasks Filter'!$O$3="",BD232='Tasks Filter'!$O$3),OR('Tasks Filter'!$O$4="Yes",BG232=0)),1,0))</f>
        <v/>
      </c>
      <c r="BJ232">
        <f>IF(BH232=0,"",IF('Tasks Filter'!$F$6="Descending",-1,1)*CHOOSE(MATCH('Tasks Filter'!$F$5,Lists!$G$2:$G$6,0),AW232,BF232,IFERROR(MATCH(AV232,Setup!$F$6:$F$15,0),99),IFERROR(MATCH(BC232,Setup!$H$6:$H$15,0),99),IFERROR(MATCH(AZ232,Setup!$J$6:$J$11,0),99))*1E+9+(AW232-40000)*10000+231)</f>
        <v/>
      </c>
      <c r="BK232">
        <f>IF(BI232=1,BJ232,"")</f>
        <v/>
      </c>
      <c r="BL232">
        <f>IF(AND(BH232=1,BG232=0,N(AW232)&lt;Setup!$D$7),(AW232-40000)*10000+231,"")</f>
        <v/>
      </c>
      <c r="BM232">
        <f>IF(AND(BH232=1,AZ232&lt;&gt;"Cancelled",N(AW232)&gt;=Dashboard!$AB$3,N(AW232)&lt;=Dashboard!$AB$3+6),(AW232-40000)*100000+BF232*10000+231,"")</f>
        <v/>
      </c>
      <c r="BN232">
        <f>IF(AND(BH232=1,AZ232&lt;&gt;"Cancelled"),BF232*10000+231,"")</f>
        <v/>
      </c>
    </row>
    <row r="233">
      <c r="A233">
        <f>Setup!$D$5+231</f>
        <v/>
      </c>
      <c r="B233">
        <f>IF('Recurring Schedule'!$C$6="","",IF('Recurring Schedule'!$F$6="","",IF(OR($A233&lt;'Recurring Schedule'!$F$6,$A233&gt;'Recurring Schedule'!$P$6),"",IF(IF('Recurring Schedule'!$N$6&gt;0,MOD($A233-'Recurring Schedule'!$F$6,'Recurring Schedule'!$N$6)=0,IF('Recurring Schedule'!$O$6&gt;0,AND(DAY($A233)=MIN(DAY('Recurring Schedule'!$F$6),DAY(EOMONTH($A233,0))),MOD((YEAR($A233)-YEAR('Recurring Schedule'!$F$6))*12+MONTH($A233)-MONTH('Recurring Schedule'!$F$6),'Recurring Schedule'!$O$6)=0),IF('Recurring Schedule'!$E$6="Weekdays",WEEKDAY($A233,2)&lt;=5,$A233='Recurring Schedule'!$F$6))),1,""))))</f>
        <v/>
      </c>
      <c r="C233">
        <f>IF('Recurring Schedule'!$C$7="","",IF('Recurring Schedule'!$F$7="","",IF(OR($A233&lt;'Recurring Schedule'!$F$7,$A233&gt;'Recurring Schedule'!$P$7),"",IF(IF('Recurring Schedule'!$N$7&gt;0,MOD($A233-'Recurring Schedule'!$F$7,'Recurring Schedule'!$N$7)=0,IF('Recurring Schedule'!$O$7&gt;0,AND(DAY($A233)=MIN(DAY('Recurring Schedule'!$F$7),DAY(EOMONTH($A233,0))),MOD((YEAR($A233)-YEAR('Recurring Schedule'!$F$7))*12+MONTH($A233)-MONTH('Recurring Schedule'!$F$7),'Recurring Schedule'!$O$7)=0),IF('Recurring Schedule'!$E$7="Weekdays",WEEKDAY($A233,2)&lt;=5,$A233='Recurring Schedule'!$F$7))),2,""))))</f>
        <v/>
      </c>
      <c r="D233">
        <f>IF('Recurring Schedule'!$C$8="","",IF('Recurring Schedule'!$F$8="","",IF(OR($A233&lt;'Recurring Schedule'!$F$8,$A233&gt;'Recurring Schedule'!$P$8),"",IF(IF('Recurring Schedule'!$N$8&gt;0,MOD($A233-'Recurring Schedule'!$F$8,'Recurring Schedule'!$N$8)=0,IF('Recurring Schedule'!$O$8&gt;0,AND(DAY($A233)=MIN(DAY('Recurring Schedule'!$F$8),DAY(EOMONTH($A233,0))),MOD((YEAR($A233)-YEAR('Recurring Schedule'!$F$8))*12+MONTH($A233)-MONTH('Recurring Schedule'!$F$8),'Recurring Schedule'!$O$8)=0),IF('Recurring Schedule'!$E$8="Weekdays",WEEKDAY($A233,2)&lt;=5,$A233='Recurring Schedule'!$F$8))),3,""))))</f>
        <v/>
      </c>
      <c r="E233">
        <f>IF('Recurring Schedule'!$C$9="","",IF('Recurring Schedule'!$F$9="","",IF(OR($A233&lt;'Recurring Schedule'!$F$9,$A233&gt;'Recurring Schedule'!$P$9),"",IF(IF('Recurring Schedule'!$N$9&gt;0,MOD($A233-'Recurring Schedule'!$F$9,'Recurring Schedule'!$N$9)=0,IF('Recurring Schedule'!$O$9&gt;0,AND(DAY($A233)=MIN(DAY('Recurring Schedule'!$F$9),DAY(EOMONTH($A233,0))),MOD((YEAR($A233)-YEAR('Recurring Schedule'!$F$9))*12+MONTH($A233)-MONTH('Recurring Schedule'!$F$9),'Recurring Schedule'!$O$9)=0),IF('Recurring Schedule'!$E$9="Weekdays",WEEKDAY($A233,2)&lt;=5,$A233='Recurring Schedule'!$F$9))),4,""))))</f>
        <v/>
      </c>
      <c r="F233">
        <f>IF('Recurring Schedule'!$C$10="","",IF('Recurring Schedule'!$F$10="","",IF(OR($A233&lt;'Recurring Schedule'!$F$10,$A233&gt;'Recurring Schedule'!$P$10),"",IF(IF('Recurring Schedule'!$N$10&gt;0,MOD($A233-'Recurring Schedule'!$F$10,'Recurring Schedule'!$N$10)=0,IF('Recurring Schedule'!$O$10&gt;0,AND(DAY($A233)=MIN(DAY('Recurring Schedule'!$F$10),DAY(EOMONTH($A233,0))),MOD((YEAR($A233)-YEAR('Recurring Schedule'!$F$10))*12+MONTH($A233)-MONTH('Recurring Schedule'!$F$10),'Recurring Schedule'!$O$10)=0),IF('Recurring Schedule'!$E$10="Weekdays",WEEKDAY($A233,2)&lt;=5,$A233='Recurring Schedule'!$F$10))),5,""))))</f>
        <v/>
      </c>
      <c r="G233">
        <f>IF('Recurring Schedule'!$C$11="","",IF('Recurring Schedule'!$F$11="","",IF(OR($A233&lt;'Recurring Schedule'!$F$11,$A233&gt;'Recurring Schedule'!$P$11),"",IF(IF('Recurring Schedule'!$N$11&gt;0,MOD($A233-'Recurring Schedule'!$F$11,'Recurring Schedule'!$N$11)=0,IF('Recurring Schedule'!$O$11&gt;0,AND(DAY($A233)=MIN(DAY('Recurring Schedule'!$F$11),DAY(EOMONTH($A233,0))),MOD((YEAR($A233)-YEAR('Recurring Schedule'!$F$11))*12+MONTH($A233)-MONTH('Recurring Schedule'!$F$11),'Recurring Schedule'!$O$11)=0),IF('Recurring Schedule'!$E$11="Weekdays",WEEKDAY($A233,2)&lt;=5,$A233='Recurring Schedule'!$F$11))),6,""))))</f>
        <v/>
      </c>
      <c r="H233">
        <f>IF('Recurring Schedule'!$C$12="","",IF('Recurring Schedule'!$F$12="","",IF(OR($A233&lt;'Recurring Schedule'!$F$12,$A233&gt;'Recurring Schedule'!$P$12),"",IF(IF('Recurring Schedule'!$N$12&gt;0,MOD($A233-'Recurring Schedule'!$F$12,'Recurring Schedule'!$N$12)=0,IF('Recurring Schedule'!$O$12&gt;0,AND(DAY($A233)=MIN(DAY('Recurring Schedule'!$F$12),DAY(EOMONTH($A233,0))),MOD((YEAR($A233)-YEAR('Recurring Schedule'!$F$12))*12+MONTH($A233)-MONTH('Recurring Schedule'!$F$12),'Recurring Schedule'!$O$12)=0),IF('Recurring Schedule'!$E$12="Weekdays",WEEKDAY($A233,2)&lt;=5,$A233='Recurring Schedule'!$F$12))),7,""))))</f>
        <v/>
      </c>
      <c r="I233">
        <f>IF('Recurring Schedule'!$C$13="","",IF('Recurring Schedule'!$F$13="","",IF(OR($A233&lt;'Recurring Schedule'!$F$13,$A233&gt;'Recurring Schedule'!$P$13),"",IF(IF('Recurring Schedule'!$N$13&gt;0,MOD($A233-'Recurring Schedule'!$F$13,'Recurring Schedule'!$N$13)=0,IF('Recurring Schedule'!$O$13&gt;0,AND(DAY($A233)=MIN(DAY('Recurring Schedule'!$F$13),DAY(EOMONTH($A233,0))),MOD((YEAR($A233)-YEAR('Recurring Schedule'!$F$13))*12+MONTH($A233)-MONTH('Recurring Schedule'!$F$13),'Recurring Schedule'!$O$13)=0),IF('Recurring Schedule'!$E$13="Weekdays",WEEKDAY($A233,2)&lt;=5,$A233='Recurring Schedule'!$F$13))),8,""))))</f>
        <v/>
      </c>
      <c r="J233">
        <f>IF('Recurring Schedule'!$C$14="","",IF('Recurring Schedule'!$F$14="","",IF(OR($A233&lt;'Recurring Schedule'!$F$14,$A233&gt;'Recurring Schedule'!$P$14),"",IF(IF('Recurring Schedule'!$N$14&gt;0,MOD($A233-'Recurring Schedule'!$F$14,'Recurring Schedule'!$N$14)=0,IF('Recurring Schedule'!$O$14&gt;0,AND(DAY($A233)=MIN(DAY('Recurring Schedule'!$F$14),DAY(EOMONTH($A233,0))),MOD((YEAR($A233)-YEAR('Recurring Schedule'!$F$14))*12+MONTH($A233)-MONTH('Recurring Schedule'!$F$14),'Recurring Schedule'!$O$14)=0),IF('Recurring Schedule'!$E$14="Weekdays",WEEKDAY($A233,2)&lt;=5,$A233='Recurring Schedule'!$F$14))),9,""))))</f>
        <v/>
      </c>
      <c r="K233">
        <f>IF('Recurring Schedule'!$C$15="","",IF('Recurring Schedule'!$F$15="","",IF(OR($A233&lt;'Recurring Schedule'!$F$15,$A233&gt;'Recurring Schedule'!$P$15),"",IF(IF('Recurring Schedule'!$N$15&gt;0,MOD($A233-'Recurring Schedule'!$F$15,'Recurring Schedule'!$N$15)=0,IF('Recurring Schedule'!$O$15&gt;0,AND(DAY($A233)=MIN(DAY('Recurring Schedule'!$F$15),DAY(EOMONTH($A233,0))),MOD((YEAR($A233)-YEAR('Recurring Schedule'!$F$15))*12+MONTH($A233)-MONTH('Recurring Schedule'!$F$15),'Recurring Schedule'!$O$15)=0),IF('Recurring Schedule'!$E$15="Weekdays",WEEKDAY($A233,2)&lt;=5,$A233='Recurring Schedule'!$F$15))),10,""))))</f>
        <v/>
      </c>
      <c r="L233">
        <f>IF('Recurring Schedule'!$C$16="","",IF('Recurring Schedule'!$F$16="","",IF(OR($A233&lt;'Recurring Schedule'!$F$16,$A233&gt;'Recurring Schedule'!$P$16),"",IF(IF('Recurring Schedule'!$N$16&gt;0,MOD($A233-'Recurring Schedule'!$F$16,'Recurring Schedule'!$N$16)=0,IF('Recurring Schedule'!$O$16&gt;0,AND(DAY($A233)=MIN(DAY('Recurring Schedule'!$F$16),DAY(EOMONTH($A233,0))),MOD((YEAR($A233)-YEAR('Recurring Schedule'!$F$16))*12+MONTH($A233)-MONTH('Recurring Schedule'!$F$16),'Recurring Schedule'!$O$16)=0),IF('Recurring Schedule'!$E$16="Weekdays",WEEKDAY($A233,2)&lt;=5,$A233='Recurring Schedule'!$F$16))),11,""))))</f>
        <v/>
      </c>
      <c r="M233">
        <f>IF('Recurring Schedule'!$C$17="","",IF('Recurring Schedule'!$F$17="","",IF(OR($A233&lt;'Recurring Schedule'!$F$17,$A233&gt;'Recurring Schedule'!$P$17),"",IF(IF('Recurring Schedule'!$N$17&gt;0,MOD($A233-'Recurring Schedule'!$F$17,'Recurring Schedule'!$N$17)=0,IF('Recurring Schedule'!$O$17&gt;0,AND(DAY($A233)=MIN(DAY('Recurring Schedule'!$F$17),DAY(EOMONTH($A233,0))),MOD((YEAR($A233)-YEAR('Recurring Schedule'!$F$17))*12+MONTH($A233)-MONTH('Recurring Schedule'!$F$17),'Recurring Schedule'!$O$17)=0),IF('Recurring Schedule'!$E$17="Weekdays",WEEKDAY($A233,2)&lt;=5,$A233='Recurring Schedule'!$F$17))),12,""))))</f>
        <v/>
      </c>
      <c r="N233">
        <f>IF('Recurring Schedule'!$C$18="","",IF('Recurring Schedule'!$F$18="","",IF(OR($A233&lt;'Recurring Schedule'!$F$18,$A233&gt;'Recurring Schedule'!$P$18),"",IF(IF('Recurring Schedule'!$N$18&gt;0,MOD($A233-'Recurring Schedule'!$F$18,'Recurring Schedule'!$N$18)=0,IF('Recurring Schedule'!$O$18&gt;0,AND(DAY($A233)=MIN(DAY('Recurring Schedule'!$F$18),DAY(EOMONTH($A233,0))),MOD((YEAR($A233)-YEAR('Recurring Schedule'!$F$18))*12+MONTH($A233)-MONTH('Recurring Schedule'!$F$18),'Recurring Schedule'!$O$18)=0),IF('Recurring Schedule'!$E$18="Weekdays",WEEKDAY($A233,2)&lt;=5,$A233='Recurring Schedule'!$F$18))),13,""))))</f>
        <v/>
      </c>
      <c r="O233">
        <f>IF('Recurring Schedule'!$C$19="","",IF('Recurring Schedule'!$F$19="","",IF(OR($A233&lt;'Recurring Schedule'!$F$19,$A233&gt;'Recurring Schedule'!$P$19),"",IF(IF('Recurring Schedule'!$N$19&gt;0,MOD($A233-'Recurring Schedule'!$F$19,'Recurring Schedule'!$N$19)=0,IF('Recurring Schedule'!$O$19&gt;0,AND(DAY($A233)=MIN(DAY('Recurring Schedule'!$F$19),DAY(EOMONTH($A233,0))),MOD((YEAR($A233)-YEAR('Recurring Schedule'!$F$19))*12+MONTH($A233)-MONTH('Recurring Schedule'!$F$19),'Recurring Schedule'!$O$19)=0),IF('Recurring Schedule'!$E$19="Weekdays",WEEKDAY($A233,2)&lt;=5,$A233='Recurring Schedule'!$F$19))),14,""))))</f>
        <v/>
      </c>
      <c r="P233">
        <f>IF('Recurring Schedule'!$C$20="","",IF('Recurring Schedule'!$F$20="","",IF(OR($A233&lt;'Recurring Schedule'!$F$20,$A233&gt;'Recurring Schedule'!$P$20),"",IF(IF('Recurring Schedule'!$N$20&gt;0,MOD($A233-'Recurring Schedule'!$F$20,'Recurring Schedule'!$N$20)=0,IF('Recurring Schedule'!$O$20&gt;0,AND(DAY($A233)=MIN(DAY('Recurring Schedule'!$F$20),DAY(EOMONTH($A233,0))),MOD((YEAR($A233)-YEAR('Recurring Schedule'!$F$20))*12+MONTH($A233)-MONTH('Recurring Schedule'!$F$20),'Recurring Schedule'!$O$20)=0),IF('Recurring Schedule'!$E$20="Weekdays",WEEKDAY($A233,2)&lt;=5,$A233='Recurring Schedule'!$F$20))),15,""))))</f>
        <v/>
      </c>
      <c r="Q233">
        <f>IF('Recurring Schedule'!$C$21="","",IF('Recurring Schedule'!$F$21="","",IF(OR($A233&lt;'Recurring Schedule'!$F$21,$A233&gt;'Recurring Schedule'!$P$21),"",IF(IF('Recurring Schedule'!$N$21&gt;0,MOD($A233-'Recurring Schedule'!$F$21,'Recurring Schedule'!$N$21)=0,IF('Recurring Schedule'!$O$21&gt;0,AND(DAY($A233)=MIN(DAY('Recurring Schedule'!$F$21),DAY(EOMONTH($A233,0))),MOD((YEAR($A233)-YEAR('Recurring Schedule'!$F$21))*12+MONTH($A233)-MONTH('Recurring Schedule'!$F$21),'Recurring Schedule'!$O$21)=0),IF('Recurring Schedule'!$E$21="Weekdays",WEEKDAY($A233,2)&lt;=5,$A233='Recurring Schedule'!$F$21))),16,""))))</f>
        <v/>
      </c>
      <c r="R233">
        <f>IF('Recurring Schedule'!$C$22="","",IF('Recurring Schedule'!$F$22="","",IF(OR($A233&lt;'Recurring Schedule'!$F$22,$A233&gt;'Recurring Schedule'!$P$22),"",IF(IF('Recurring Schedule'!$N$22&gt;0,MOD($A233-'Recurring Schedule'!$F$22,'Recurring Schedule'!$N$22)=0,IF('Recurring Schedule'!$O$22&gt;0,AND(DAY($A233)=MIN(DAY('Recurring Schedule'!$F$22),DAY(EOMONTH($A233,0))),MOD((YEAR($A233)-YEAR('Recurring Schedule'!$F$22))*12+MONTH($A233)-MONTH('Recurring Schedule'!$F$22),'Recurring Schedule'!$O$22)=0),IF('Recurring Schedule'!$E$22="Weekdays",WEEKDAY($A233,2)&lt;=5,$A233='Recurring Schedule'!$F$22))),17,""))))</f>
        <v/>
      </c>
      <c r="S233">
        <f>IF('Recurring Schedule'!$C$23="","",IF('Recurring Schedule'!$F$23="","",IF(OR($A233&lt;'Recurring Schedule'!$F$23,$A233&gt;'Recurring Schedule'!$P$23),"",IF(IF('Recurring Schedule'!$N$23&gt;0,MOD($A233-'Recurring Schedule'!$F$23,'Recurring Schedule'!$N$23)=0,IF('Recurring Schedule'!$O$23&gt;0,AND(DAY($A233)=MIN(DAY('Recurring Schedule'!$F$23),DAY(EOMONTH($A233,0))),MOD((YEAR($A233)-YEAR('Recurring Schedule'!$F$23))*12+MONTH($A233)-MONTH('Recurring Schedule'!$F$23),'Recurring Schedule'!$O$23)=0),IF('Recurring Schedule'!$E$23="Weekdays",WEEKDAY($A233,2)&lt;=5,$A233='Recurring Schedule'!$F$23))),18,""))))</f>
        <v/>
      </c>
      <c r="T233">
        <f>IF('Recurring Schedule'!$C$24="","",IF('Recurring Schedule'!$F$24="","",IF(OR($A233&lt;'Recurring Schedule'!$F$24,$A233&gt;'Recurring Schedule'!$P$24),"",IF(IF('Recurring Schedule'!$N$24&gt;0,MOD($A233-'Recurring Schedule'!$F$24,'Recurring Schedule'!$N$24)=0,IF('Recurring Schedule'!$O$24&gt;0,AND(DAY($A233)=MIN(DAY('Recurring Schedule'!$F$24),DAY(EOMONTH($A233,0))),MOD((YEAR($A233)-YEAR('Recurring Schedule'!$F$24))*12+MONTH($A233)-MONTH('Recurring Schedule'!$F$24),'Recurring Schedule'!$O$24)=0),IF('Recurring Schedule'!$E$24="Weekdays",WEEKDAY($A233,2)&lt;=5,$A233='Recurring Schedule'!$F$24))),19,""))))</f>
        <v/>
      </c>
      <c r="U233">
        <f>IF('Recurring Schedule'!$C$25="","",IF('Recurring Schedule'!$F$25="","",IF(OR($A233&lt;'Recurring Schedule'!$F$25,$A233&gt;'Recurring Schedule'!$P$25),"",IF(IF('Recurring Schedule'!$N$25&gt;0,MOD($A233-'Recurring Schedule'!$F$25,'Recurring Schedule'!$N$25)=0,IF('Recurring Schedule'!$O$25&gt;0,AND(DAY($A233)=MIN(DAY('Recurring Schedule'!$F$25),DAY(EOMONTH($A233,0))),MOD((YEAR($A233)-YEAR('Recurring Schedule'!$F$25))*12+MONTH($A233)-MONTH('Recurring Schedule'!$F$25),'Recurring Schedule'!$O$25)=0),IF('Recurring Schedule'!$E$25="Weekdays",WEEKDAY($A233,2)&lt;=5,$A233='Recurring Schedule'!$F$25))),20,""))))</f>
        <v/>
      </c>
      <c r="V233">
        <f>IF('Recurring Schedule'!$C$26="","",IF('Recurring Schedule'!$F$26="","",IF(OR($A233&lt;'Recurring Schedule'!$F$26,$A233&gt;'Recurring Schedule'!$P$26),"",IF(IF('Recurring Schedule'!$N$26&gt;0,MOD($A233-'Recurring Schedule'!$F$26,'Recurring Schedule'!$N$26)=0,IF('Recurring Schedule'!$O$26&gt;0,AND(DAY($A233)=MIN(DAY('Recurring Schedule'!$F$26),DAY(EOMONTH($A233,0))),MOD((YEAR($A233)-YEAR('Recurring Schedule'!$F$26))*12+MONTH($A233)-MONTH('Recurring Schedule'!$F$26),'Recurring Schedule'!$O$26)=0),IF('Recurring Schedule'!$E$26="Weekdays",WEEKDAY($A233,2)&lt;=5,$A233='Recurring Schedule'!$F$26))),21,""))))</f>
        <v/>
      </c>
      <c r="W233">
        <f>IF('Recurring Schedule'!$C$27="","",IF('Recurring Schedule'!$F$27="","",IF(OR($A233&lt;'Recurring Schedule'!$F$27,$A233&gt;'Recurring Schedule'!$P$27),"",IF(IF('Recurring Schedule'!$N$27&gt;0,MOD($A233-'Recurring Schedule'!$F$27,'Recurring Schedule'!$N$27)=0,IF('Recurring Schedule'!$O$27&gt;0,AND(DAY($A233)=MIN(DAY('Recurring Schedule'!$F$27),DAY(EOMONTH($A233,0))),MOD((YEAR($A233)-YEAR('Recurring Schedule'!$F$27))*12+MONTH($A233)-MONTH('Recurring Schedule'!$F$27),'Recurring Schedule'!$O$27)=0),IF('Recurring Schedule'!$E$27="Weekdays",WEEKDAY($A233,2)&lt;=5,$A233='Recurring Schedule'!$F$27))),22,""))))</f>
        <v/>
      </c>
      <c r="X233">
        <f>IF('Recurring Schedule'!$C$28="","",IF('Recurring Schedule'!$F$28="","",IF(OR($A233&lt;'Recurring Schedule'!$F$28,$A233&gt;'Recurring Schedule'!$P$28),"",IF(IF('Recurring Schedule'!$N$28&gt;0,MOD($A233-'Recurring Schedule'!$F$28,'Recurring Schedule'!$N$28)=0,IF('Recurring Schedule'!$O$28&gt;0,AND(DAY($A233)=MIN(DAY('Recurring Schedule'!$F$28),DAY(EOMONTH($A233,0))),MOD((YEAR($A233)-YEAR('Recurring Schedule'!$F$28))*12+MONTH($A233)-MONTH('Recurring Schedule'!$F$28),'Recurring Schedule'!$O$28)=0),IF('Recurring Schedule'!$E$28="Weekdays",WEEKDAY($A233,2)&lt;=5,$A233='Recurring Schedule'!$F$28))),23,""))))</f>
        <v/>
      </c>
      <c r="Y233">
        <f>IF('Recurring Schedule'!$C$29="","",IF('Recurring Schedule'!$F$29="","",IF(OR($A233&lt;'Recurring Schedule'!$F$29,$A233&gt;'Recurring Schedule'!$P$29),"",IF(IF('Recurring Schedule'!$N$29&gt;0,MOD($A233-'Recurring Schedule'!$F$29,'Recurring Schedule'!$N$29)=0,IF('Recurring Schedule'!$O$29&gt;0,AND(DAY($A233)=MIN(DAY('Recurring Schedule'!$F$29),DAY(EOMONTH($A233,0))),MOD((YEAR($A233)-YEAR('Recurring Schedule'!$F$29))*12+MONTH($A233)-MONTH('Recurring Schedule'!$F$29),'Recurring Schedule'!$O$29)=0),IF('Recurring Schedule'!$E$29="Weekdays",WEEKDAY($A233,2)&lt;=5,$A233='Recurring Schedule'!$F$29))),24,""))))</f>
        <v/>
      </c>
      <c r="Z233">
        <f>IF('Recurring Schedule'!$C$30="","",IF('Recurring Schedule'!$F$30="","",IF(OR($A233&lt;'Recurring Schedule'!$F$30,$A233&gt;'Recurring Schedule'!$P$30),"",IF(IF('Recurring Schedule'!$N$30&gt;0,MOD($A233-'Recurring Schedule'!$F$30,'Recurring Schedule'!$N$30)=0,IF('Recurring Schedule'!$O$30&gt;0,AND(DAY($A233)=MIN(DAY('Recurring Schedule'!$F$30),DAY(EOMONTH($A233,0))),MOD((YEAR($A233)-YEAR('Recurring Schedule'!$F$30))*12+MONTH($A233)-MONTH('Recurring Schedule'!$F$30),'Recurring Schedule'!$O$30)=0),IF('Recurring Schedule'!$E$30="Weekdays",WEEKDAY($A233,2)&lt;=5,$A233='Recurring Schedule'!$F$30))),25,""))))</f>
        <v/>
      </c>
      <c r="AA233">
        <f>IF('Recurring Schedule'!$C$31="","",IF('Recurring Schedule'!$F$31="","",IF(OR($A233&lt;'Recurring Schedule'!$F$31,$A233&gt;'Recurring Schedule'!$P$31),"",IF(IF('Recurring Schedule'!$N$31&gt;0,MOD($A233-'Recurring Schedule'!$F$31,'Recurring Schedule'!$N$31)=0,IF('Recurring Schedule'!$O$31&gt;0,AND(DAY($A233)=MIN(DAY('Recurring Schedule'!$F$31),DAY(EOMONTH($A233,0))),MOD((YEAR($A233)-YEAR('Recurring Schedule'!$F$31))*12+MONTH($A233)-MONTH('Recurring Schedule'!$F$31),'Recurring Schedule'!$O$31)=0),IF('Recurring Schedule'!$E$31="Weekdays",WEEKDAY($A233,2)&lt;=5,$A233='Recurring Schedule'!$F$31))),26,""))))</f>
        <v/>
      </c>
      <c r="AB233">
        <f>IF('Recurring Schedule'!$C$32="","",IF('Recurring Schedule'!$F$32="","",IF(OR($A233&lt;'Recurring Schedule'!$F$32,$A233&gt;'Recurring Schedule'!$P$32),"",IF(IF('Recurring Schedule'!$N$32&gt;0,MOD($A233-'Recurring Schedule'!$F$32,'Recurring Schedule'!$N$32)=0,IF('Recurring Schedule'!$O$32&gt;0,AND(DAY($A233)=MIN(DAY('Recurring Schedule'!$F$32),DAY(EOMONTH($A233,0))),MOD((YEAR($A233)-YEAR('Recurring Schedule'!$F$32))*12+MONTH($A233)-MONTH('Recurring Schedule'!$F$32),'Recurring Schedule'!$O$32)=0),IF('Recurring Schedule'!$E$32="Weekdays",WEEKDAY($A233,2)&lt;=5,$A233='Recurring Schedule'!$F$32))),27,""))))</f>
        <v/>
      </c>
      <c r="AC233">
        <f>IF('Recurring Schedule'!$C$33="","",IF('Recurring Schedule'!$F$33="","",IF(OR($A233&lt;'Recurring Schedule'!$F$33,$A233&gt;'Recurring Schedule'!$P$33),"",IF(IF('Recurring Schedule'!$N$33&gt;0,MOD($A233-'Recurring Schedule'!$F$33,'Recurring Schedule'!$N$33)=0,IF('Recurring Schedule'!$O$33&gt;0,AND(DAY($A233)=MIN(DAY('Recurring Schedule'!$F$33),DAY(EOMONTH($A233,0))),MOD((YEAR($A233)-YEAR('Recurring Schedule'!$F$33))*12+MONTH($A233)-MONTH('Recurring Schedule'!$F$33),'Recurring Schedule'!$O$33)=0),IF('Recurring Schedule'!$E$33="Weekdays",WEEKDAY($A233,2)&lt;=5,$A233='Recurring Schedule'!$F$33))),28,""))))</f>
        <v/>
      </c>
      <c r="AD233">
        <f>IF('Recurring Schedule'!$C$34="","",IF('Recurring Schedule'!$F$34="","",IF(OR($A233&lt;'Recurring Schedule'!$F$34,$A233&gt;'Recurring Schedule'!$P$34),"",IF(IF('Recurring Schedule'!$N$34&gt;0,MOD($A233-'Recurring Schedule'!$F$34,'Recurring Schedule'!$N$34)=0,IF('Recurring Schedule'!$O$34&gt;0,AND(DAY($A233)=MIN(DAY('Recurring Schedule'!$F$34),DAY(EOMONTH($A233,0))),MOD((YEAR($A233)-YEAR('Recurring Schedule'!$F$34))*12+MONTH($A233)-MONTH('Recurring Schedule'!$F$34),'Recurring Schedule'!$O$34)=0),IF('Recurring Schedule'!$E$34="Weekdays",WEEKDAY($A233,2)&lt;=5,$A233='Recurring Schedule'!$F$34))),29,""))))</f>
        <v/>
      </c>
      <c r="AE233">
        <f>IF('Recurring Schedule'!$C$35="","",IF('Recurring Schedule'!$F$35="","",IF(OR($A233&lt;'Recurring Schedule'!$F$35,$A233&gt;'Recurring Schedule'!$P$35),"",IF(IF('Recurring Schedule'!$N$35&gt;0,MOD($A233-'Recurring Schedule'!$F$35,'Recurring Schedule'!$N$35)=0,IF('Recurring Schedule'!$O$35&gt;0,AND(DAY($A233)=MIN(DAY('Recurring Schedule'!$F$35),DAY(EOMONTH($A233,0))),MOD((YEAR($A233)-YEAR('Recurring Schedule'!$F$35))*12+MONTH($A233)-MONTH('Recurring Schedule'!$F$35),'Recurring Schedule'!$O$35)=0),IF('Recurring Schedule'!$E$35="Weekdays",WEEKDAY($A233,2)&lt;=5,$A233='Recurring Schedule'!$F$35))),30,""))))</f>
        <v/>
      </c>
      <c r="AF233">
        <f>IF('Recurring Schedule'!$C$36="","",IF('Recurring Schedule'!$F$36="","",IF(OR($A233&lt;'Recurring Schedule'!$F$36,$A233&gt;'Recurring Schedule'!$P$36),"",IF(IF('Recurring Schedule'!$N$36&gt;0,MOD($A233-'Recurring Schedule'!$F$36,'Recurring Schedule'!$N$36)=0,IF('Recurring Schedule'!$O$36&gt;0,AND(DAY($A233)=MIN(DAY('Recurring Schedule'!$F$36),DAY(EOMONTH($A233,0))),MOD((YEAR($A233)-YEAR('Recurring Schedule'!$F$36))*12+MONTH($A233)-MONTH('Recurring Schedule'!$F$36),'Recurring Schedule'!$O$36)=0),IF('Recurring Schedule'!$E$36="Weekdays",WEEKDAY($A233,2)&lt;=5,$A233='Recurring Schedule'!$F$36))),31,""))))</f>
        <v/>
      </c>
      <c r="AG233">
        <f>IF('Recurring Schedule'!$C$37="","",IF('Recurring Schedule'!$F$37="","",IF(OR($A233&lt;'Recurring Schedule'!$F$37,$A233&gt;'Recurring Schedule'!$P$37),"",IF(IF('Recurring Schedule'!$N$37&gt;0,MOD($A233-'Recurring Schedule'!$F$37,'Recurring Schedule'!$N$37)=0,IF('Recurring Schedule'!$O$37&gt;0,AND(DAY($A233)=MIN(DAY('Recurring Schedule'!$F$37),DAY(EOMONTH($A233,0))),MOD((YEAR($A233)-YEAR('Recurring Schedule'!$F$37))*12+MONTH($A233)-MONTH('Recurring Schedule'!$F$37),'Recurring Schedule'!$O$37)=0),IF('Recurring Schedule'!$E$37="Weekdays",WEEKDAY($A233,2)&lt;=5,$A233='Recurring Schedule'!$F$37))),32,""))))</f>
        <v/>
      </c>
      <c r="AH233">
        <f>IF('Recurring Schedule'!$C$38="","",IF('Recurring Schedule'!$F$38="","",IF(OR($A233&lt;'Recurring Schedule'!$F$38,$A233&gt;'Recurring Schedule'!$P$38),"",IF(IF('Recurring Schedule'!$N$38&gt;0,MOD($A233-'Recurring Schedule'!$F$38,'Recurring Schedule'!$N$38)=0,IF('Recurring Schedule'!$O$38&gt;0,AND(DAY($A233)=MIN(DAY('Recurring Schedule'!$F$38),DAY(EOMONTH($A233,0))),MOD((YEAR($A233)-YEAR('Recurring Schedule'!$F$38))*12+MONTH($A233)-MONTH('Recurring Schedule'!$F$38),'Recurring Schedule'!$O$38)=0),IF('Recurring Schedule'!$E$38="Weekdays",WEEKDAY($A233,2)&lt;=5,$A233='Recurring Schedule'!$F$38))),33,""))))</f>
        <v/>
      </c>
      <c r="AI233">
        <f>IF('Recurring Schedule'!$C$39="","",IF('Recurring Schedule'!$F$39="","",IF(OR($A233&lt;'Recurring Schedule'!$F$39,$A233&gt;'Recurring Schedule'!$P$39),"",IF(IF('Recurring Schedule'!$N$39&gt;0,MOD($A233-'Recurring Schedule'!$F$39,'Recurring Schedule'!$N$39)=0,IF('Recurring Schedule'!$O$39&gt;0,AND(DAY($A233)=MIN(DAY('Recurring Schedule'!$F$39),DAY(EOMONTH($A233,0))),MOD((YEAR($A233)-YEAR('Recurring Schedule'!$F$39))*12+MONTH($A233)-MONTH('Recurring Schedule'!$F$39),'Recurring Schedule'!$O$39)=0),IF('Recurring Schedule'!$E$39="Weekdays",WEEKDAY($A233,2)&lt;=5,$A233='Recurring Schedule'!$F$39))),34,""))))</f>
        <v/>
      </c>
      <c r="AJ233">
        <f>IF('Recurring Schedule'!$C$40="","",IF('Recurring Schedule'!$F$40="","",IF(OR($A233&lt;'Recurring Schedule'!$F$40,$A233&gt;'Recurring Schedule'!$P$40),"",IF(IF('Recurring Schedule'!$N$40&gt;0,MOD($A233-'Recurring Schedule'!$F$40,'Recurring Schedule'!$N$40)=0,IF('Recurring Schedule'!$O$40&gt;0,AND(DAY($A233)=MIN(DAY('Recurring Schedule'!$F$40),DAY(EOMONTH($A233,0))),MOD((YEAR($A233)-YEAR('Recurring Schedule'!$F$40))*12+MONTH($A233)-MONTH('Recurring Schedule'!$F$40),'Recurring Schedule'!$O$40)=0),IF('Recurring Schedule'!$E$40="Weekdays",WEEKDAY($A233,2)&lt;=5,$A233='Recurring Schedule'!$F$40))),35,""))))</f>
        <v/>
      </c>
      <c r="AK233">
        <f>IF('Recurring Schedule'!$C$41="","",IF('Recurring Schedule'!$F$41="","",IF(OR($A233&lt;'Recurring Schedule'!$F$41,$A233&gt;'Recurring Schedule'!$P$41),"",IF(IF('Recurring Schedule'!$N$41&gt;0,MOD($A233-'Recurring Schedule'!$F$41,'Recurring Schedule'!$N$41)=0,IF('Recurring Schedule'!$O$41&gt;0,AND(DAY($A233)=MIN(DAY('Recurring Schedule'!$F$41),DAY(EOMONTH($A233,0))),MOD((YEAR($A233)-YEAR('Recurring Schedule'!$F$41))*12+MONTH($A233)-MONTH('Recurring Schedule'!$F$41),'Recurring Schedule'!$O$41)=0),IF('Recurring Schedule'!$E$41="Weekdays",WEEKDAY($A233,2)&lt;=5,$A233='Recurring Schedule'!$F$41))),36,""))))</f>
        <v/>
      </c>
      <c r="AL233">
        <f>IF('Recurring Schedule'!$C$42="","",IF('Recurring Schedule'!$F$42="","",IF(OR($A233&lt;'Recurring Schedule'!$F$42,$A233&gt;'Recurring Schedule'!$P$42),"",IF(IF('Recurring Schedule'!$N$42&gt;0,MOD($A233-'Recurring Schedule'!$F$42,'Recurring Schedule'!$N$42)=0,IF('Recurring Schedule'!$O$42&gt;0,AND(DAY($A233)=MIN(DAY('Recurring Schedule'!$F$42),DAY(EOMONTH($A233,0))),MOD((YEAR($A233)-YEAR('Recurring Schedule'!$F$42))*12+MONTH($A233)-MONTH('Recurring Schedule'!$F$42),'Recurring Schedule'!$O$42)=0),IF('Recurring Schedule'!$E$42="Weekdays",WEEKDAY($A233,2)&lt;=5,$A233='Recurring Schedule'!$F$42))),37,""))))</f>
        <v/>
      </c>
      <c r="AM233">
        <f>IF('Recurring Schedule'!$C$43="","",IF('Recurring Schedule'!$F$43="","",IF(OR($A233&lt;'Recurring Schedule'!$F$43,$A233&gt;'Recurring Schedule'!$P$43),"",IF(IF('Recurring Schedule'!$N$43&gt;0,MOD($A233-'Recurring Schedule'!$F$43,'Recurring Schedule'!$N$43)=0,IF('Recurring Schedule'!$O$43&gt;0,AND(DAY($A233)=MIN(DAY('Recurring Schedule'!$F$43),DAY(EOMONTH($A233,0))),MOD((YEAR($A233)-YEAR('Recurring Schedule'!$F$43))*12+MONTH($A233)-MONTH('Recurring Schedule'!$F$43),'Recurring Schedule'!$O$43)=0),IF('Recurring Schedule'!$E$43="Weekdays",WEEKDAY($A233,2)&lt;=5,$A233='Recurring Schedule'!$F$43))),38,""))))</f>
        <v/>
      </c>
      <c r="AN233">
        <f>IF('Recurring Schedule'!$C$44="","",IF('Recurring Schedule'!$F$44="","",IF(OR($A233&lt;'Recurring Schedule'!$F$44,$A233&gt;'Recurring Schedule'!$P$44),"",IF(IF('Recurring Schedule'!$N$44&gt;0,MOD($A233-'Recurring Schedule'!$F$44,'Recurring Schedule'!$N$44)=0,IF('Recurring Schedule'!$O$44&gt;0,AND(DAY($A233)=MIN(DAY('Recurring Schedule'!$F$44),DAY(EOMONTH($A233,0))),MOD((YEAR($A233)-YEAR('Recurring Schedule'!$F$44))*12+MONTH($A233)-MONTH('Recurring Schedule'!$F$44),'Recurring Schedule'!$O$44)=0),IF('Recurring Schedule'!$E$44="Weekdays",WEEKDAY($A233,2)&lt;=5,$A233='Recurring Schedule'!$F$44))),39,""))))</f>
        <v/>
      </c>
      <c r="AO233">
        <f>IF('Recurring Schedule'!$C$45="","",IF('Recurring Schedule'!$F$45="","",IF(OR($A233&lt;'Recurring Schedule'!$F$45,$A233&gt;'Recurring Schedule'!$P$45),"",IF(IF('Recurring Schedule'!$N$45&gt;0,MOD($A233-'Recurring Schedule'!$F$45,'Recurring Schedule'!$N$45)=0,IF('Recurring Schedule'!$O$45&gt;0,AND(DAY($A233)=MIN(DAY('Recurring Schedule'!$F$45),DAY(EOMONTH($A233,0))),MOD((YEAR($A233)-YEAR('Recurring Schedule'!$F$45))*12+MONTH($A233)-MONTH('Recurring Schedule'!$F$45),'Recurring Schedule'!$O$45)=0),IF('Recurring Schedule'!$E$45="Weekdays",WEEKDAY($A233,2)&lt;=5,$A233='Recurring Schedule'!$F$45))),40,""))))</f>
        <v/>
      </c>
      <c r="AP233">
        <f>COUNT(B233:AO233)</f>
        <v/>
      </c>
      <c r="AQ233">
        <f>AQ232+AP232</f>
        <v/>
      </c>
      <c r="AS233" t="inlineStr">
        <is>
          <t>R</t>
        </is>
      </c>
      <c r="AT233" t="n">
        <v>237</v>
      </c>
      <c r="AU233">
        <f>'Recurring Log'!C237&amp;""</f>
        <v/>
      </c>
      <c r="AV233">
        <f>'Recurring Log'!D237&amp;""</f>
        <v/>
      </c>
      <c r="AW233">
        <f>IF('Recurring Log'!E237="","",'Recurring Log'!E237)</f>
        <v/>
      </c>
      <c r="AX233">
        <f>IF('Recurring Log'!G237="","",'Recurring Log'!G237)</f>
        <v/>
      </c>
      <c r="AY233">
        <f>IF('Recurring Log'!H237="","",'Recurring Log'!H237)</f>
        <v/>
      </c>
      <c r="AZ233">
        <f>IF(AU233="","",IF('Recurring Log'!J237="","Not Started",'Recurring Log'!J237))</f>
        <v/>
      </c>
      <c r="BA233">
        <f>'Recurring Log'!L237&amp;""</f>
        <v/>
      </c>
      <c r="BB233">
        <f>'Recurring Log'!M237&amp;""</f>
        <v/>
      </c>
      <c r="BC233">
        <f>'Recurring Log'!N237&amp;""</f>
        <v/>
      </c>
      <c r="BD233">
        <f>'Recurring Log'!O237&amp;""</f>
        <v/>
      </c>
      <c r="BE233">
        <f>IF('Recurring Log'!K237="","",'Recurring Log'!K237)</f>
        <v/>
      </c>
      <c r="BF233">
        <f>IFERROR(MATCH(BA233,Setup!$L$6:$L$9,0),5)</f>
        <v/>
      </c>
      <c r="BG233">
        <f>IF(OR(AZ233="Done",AZ233="Cancelled"),1,0)</f>
        <v/>
      </c>
      <c r="BH233">
        <f>IF(AND(AU233&lt;&gt;"",ISNUMBER(AW233)),1,0)</f>
        <v/>
      </c>
      <c r="BI233">
        <f>IF(BH233=0,0,IF(AND(AW233&gt;='Tasks Filter'!$F$3,AW233&lt;='Tasks Filter'!$F$4,OR('Tasks Filter'!$I$3="",ISNUMBER(SEARCH('Tasks Filter'!$I$3,AU233))),OR('Tasks Filter'!$I$4="",BF233=IFERROR(MATCH('Tasks Filter'!$I$4,Setup!$L$6:$L$9,0),0)),OR('Tasks Filter'!$I$5="Both",AND('Tasks Filter'!$I$5="Yes",BB233="✓"),AND('Tasks Filter'!$I$5="No",BB233&lt;&gt;"✓")),OR('Tasks Filter'!$L$3="",AV233='Tasks Filter'!$L$3),OR('Tasks Filter'!$L$4="",AZ233='Tasks Filter'!$L$4),OR('Tasks Filter'!$L$5="",BC233='Tasks Filter'!$L$5),OR('Tasks Filter'!$O$3="",BD233='Tasks Filter'!$O$3),OR('Tasks Filter'!$O$4="Yes",BG233=0)),1,0))</f>
        <v/>
      </c>
      <c r="BJ233">
        <f>IF(BH233=0,"",IF('Tasks Filter'!$F$6="Descending",-1,1)*CHOOSE(MATCH('Tasks Filter'!$F$5,Lists!$G$2:$G$6,0),AW233,BF233,IFERROR(MATCH(AV233,Setup!$F$6:$F$15,0),99),IFERROR(MATCH(BC233,Setup!$H$6:$H$15,0),99),IFERROR(MATCH(AZ233,Setup!$J$6:$J$11,0),99))*1E+9+(AW233-40000)*10000+232)</f>
        <v/>
      </c>
      <c r="BK233">
        <f>IF(BI233=1,BJ233,"")</f>
        <v/>
      </c>
      <c r="BL233">
        <f>IF(AND(BH233=1,BG233=0,N(AW233)&lt;Setup!$D$7),(AW233-40000)*10000+232,"")</f>
        <v/>
      </c>
      <c r="BM233">
        <f>IF(AND(BH233=1,AZ233&lt;&gt;"Cancelled",N(AW233)&gt;=Dashboard!$AB$3,N(AW233)&lt;=Dashboard!$AB$3+6),(AW233-40000)*100000+BF233*10000+232,"")</f>
        <v/>
      </c>
      <c r="BN233">
        <f>IF(AND(BH233=1,AZ233&lt;&gt;"Cancelled"),BF233*10000+232,"")</f>
        <v/>
      </c>
    </row>
    <row r="234">
      <c r="A234">
        <f>Setup!$D$5+232</f>
        <v/>
      </c>
      <c r="B234">
        <f>IF('Recurring Schedule'!$C$6="","",IF('Recurring Schedule'!$F$6="","",IF(OR($A234&lt;'Recurring Schedule'!$F$6,$A234&gt;'Recurring Schedule'!$P$6),"",IF(IF('Recurring Schedule'!$N$6&gt;0,MOD($A234-'Recurring Schedule'!$F$6,'Recurring Schedule'!$N$6)=0,IF('Recurring Schedule'!$O$6&gt;0,AND(DAY($A234)=MIN(DAY('Recurring Schedule'!$F$6),DAY(EOMONTH($A234,0))),MOD((YEAR($A234)-YEAR('Recurring Schedule'!$F$6))*12+MONTH($A234)-MONTH('Recurring Schedule'!$F$6),'Recurring Schedule'!$O$6)=0),IF('Recurring Schedule'!$E$6="Weekdays",WEEKDAY($A234,2)&lt;=5,$A234='Recurring Schedule'!$F$6))),1,""))))</f>
        <v/>
      </c>
      <c r="C234">
        <f>IF('Recurring Schedule'!$C$7="","",IF('Recurring Schedule'!$F$7="","",IF(OR($A234&lt;'Recurring Schedule'!$F$7,$A234&gt;'Recurring Schedule'!$P$7),"",IF(IF('Recurring Schedule'!$N$7&gt;0,MOD($A234-'Recurring Schedule'!$F$7,'Recurring Schedule'!$N$7)=0,IF('Recurring Schedule'!$O$7&gt;0,AND(DAY($A234)=MIN(DAY('Recurring Schedule'!$F$7),DAY(EOMONTH($A234,0))),MOD((YEAR($A234)-YEAR('Recurring Schedule'!$F$7))*12+MONTH($A234)-MONTH('Recurring Schedule'!$F$7),'Recurring Schedule'!$O$7)=0),IF('Recurring Schedule'!$E$7="Weekdays",WEEKDAY($A234,2)&lt;=5,$A234='Recurring Schedule'!$F$7))),2,""))))</f>
        <v/>
      </c>
      <c r="D234">
        <f>IF('Recurring Schedule'!$C$8="","",IF('Recurring Schedule'!$F$8="","",IF(OR($A234&lt;'Recurring Schedule'!$F$8,$A234&gt;'Recurring Schedule'!$P$8),"",IF(IF('Recurring Schedule'!$N$8&gt;0,MOD($A234-'Recurring Schedule'!$F$8,'Recurring Schedule'!$N$8)=0,IF('Recurring Schedule'!$O$8&gt;0,AND(DAY($A234)=MIN(DAY('Recurring Schedule'!$F$8),DAY(EOMONTH($A234,0))),MOD((YEAR($A234)-YEAR('Recurring Schedule'!$F$8))*12+MONTH($A234)-MONTH('Recurring Schedule'!$F$8),'Recurring Schedule'!$O$8)=0),IF('Recurring Schedule'!$E$8="Weekdays",WEEKDAY($A234,2)&lt;=5,$A234='Recurring Schedule'!$F$8))),3,""))))</f>
        <v/>
      </c>
      <c r="E234">
        <f>IF('Recurring Schedule'!$C$9="","",IF('Recurring Schedule'!$F$9="","",IF(OR($A234&lt;'Recurring Schedule'!$F$9,$A234&gt;'Recurring Schedule'!$P$9),"",IF(IF('Recurring Schedule'!$N$9&gt;0,MOD($A234-'Recurring Schedule'!$F$9,'Recurring Schedule'!$N$9)=0,IF('Recurring Schedule'!$O$9&gt;0,AND(DAY($A234)=MIN(DAY('Recurring Schedule'!$F$9),DAY(EOMONTH($A234,0))),MOD((YEAR($A234)-YEAR('Recurring Schedule'!$F$9))*12+MONTH($A234)-MONTH('Recurring Schedule'!$F$9),'Recurring Schedule'!$O$9)=0),IF('Recurring Schedule'!$E$9="Weekdays",WEEKDAY($A234,2)&lt;=5,$A234='Recurring Schedule'!$F$9))),4,""))))</f>
        <v/>
      </c>
      <c r="F234">
        <f>IF('Recurring Schedule'!$C$10="","",IF('Recurring Schedule'!$F$10="","",IF(OR($A234&lt;'Recurring Schedule'!$F$10,$A234&gt;'Recurring Schedule'!$P$10),"",IF(IF('Recurring Schedule'!$N$10&gt;0,MOD($A234-'Recurring Schedule'!$F$10,'Recurring Schedule'!$N$10)=0,IF('Recurring Schedule'!$O$10&gt;0,AND(DAY($A234)=MIN(DAY('Recurring Schedule'!$F$10),DAY(EOMONTH($A234,0))),MOD((YEAR($A234)-YEAR('Recurring Schedule'!$F$10))*12+MONTH($A234)-MONTH('Recurring Schedule'!$F$10),'Recurring Schedule'!$O$10)=0),IF('Recurring Schedule'!$E$10="Weekdays",WEEKDAY($A234,2)&lt;=5,$A234='Recurring Schedule'!$F$10))),5,""))))</f>
        <v/>
      </c>
      <c r="G234">
        <f>IF('Recurring Schedule'!$C$11="","",IF('Recurring Schedule'!$F$11="","",IF(OR($A234&lt;'Recurring Schedule'!$F$11,$A234&gt;'Recurring Schedule'!$P$11),"",IF(IF('Recurring Schedule'!$N$11&gt;0,MOD($A234-'Recurring Schedule'!$F$11,'Recurring Schedule'!$N$11)=0,IF('Recurring Schedule'!$O$11&gt;0,AND(DAY($A234)=MIN(DAY('Recurring Schedule'!$F$11),DAY(EOMONTH($A234,0))),MOD((YEAR($A234)-YEAR('Recurring Schedule'!$F$11))*12+MONTH($A234)-MONTH('Recurring Schedule'!$F$11),'Recurring Schedule'!$O$11)=0),IF('Recurring Schedule'!$E$11="Weekdays",WEEKDAY($A234,2)&lt;=5,$A234='Recurring Schedule'!$F$11))),6,""))))</f>
        <v/>
      </c>
      <c r="H234">
        <f>IF('Recurring Schedule'!$C$12="","",IF('Recurring Schedule'!$F$12="","",IF(OR($A234&lt;'Recurring Schedule'!$F$12,$A234&gt;'Recurring Schedule'!$P$12),"",IF(IF('Recurring Schedule'!$N$12&gt;0,MOD($A234-'Recurring Schedule'!$F$12,'Recurring Schedule'!$N$12)=0,IF('Recurring Schedule'!$O$12&gt;0,AND(DAY($A234)=MIN(DAY('Recurring Schedule'!$F$12),DAY(EOMONTH($A234,0))),MOD((YEAR($A234)-YEAR('Recurring Schedule'!$F$12))*12+MONTH($A234)-MONTH('Recurring Schedule'!$F$12),'Recurring Schedule'!$O$12)=0),IF('Recurring Schedule'!$E$12="Weekdays",WEEKDAY($A234,2)&lt;=5,$A234='Recurring Schedule'!$F$12))),7,""))))</f>
        <v/>
      </c>
      <c r="I234">
        <f>IF('Recurring Schedule'!$C$13="","",IF('Recurring Schedule'!$F$13="","",IF(OR($A234&lt;'Recurring Schedule'!$F$13,$A234&gt;'Recurring Schedule'!$P$13),"",IF(IF('Recurring Schedule'!$N$13&gt;0,MOD($A234-'Recurring Schedule'!$F$13,'Recurring Schedule'!$N$13)=0,IF('Recurring Schedule'!$O$13&gt;0,AND(DAY($A234)=MIN(DAY('Recurring Schedule'!$F$13),DAY(EOMONTH($A234,0))),MOD((YEAR($A234)-YEAR('Recurring Schedule'!$F$13))*12+MONTH($A234)-MONTH('Recurring Schedule'!$F$13),'Recurring Schedule'!$O$13)=0),IF('Recurring Schedule'!$E$13="Weekdays",WEEKDAY($A234,2)&lt;=5,$A234='Recurring Schedule'!$F$13))),8,""))))</f>
        <v/>
      </c>
      <c r="J234">
        <f>IF('Recurring Schedule'!$C$14="","",IF('Recurring Schedule'!$F$14="","",IF(OR($A234&lt;'Recurring Schedule'!$F$14,$A234&gt;'Recurring Schedule'!$P$14),"",IF(IF('Recurring Schedule'!$N$14&gt;0,MOD($A234-'Recurring Schedule'!$F$14,'Recurring Schedule'!$N$14)=0,IF('Recurring Schedule'!$O$14&gt;0,AND(DAY($A234)=MIN(DAY('Recurring Schedule'!$F$14),DAY(EOMONTH($A234,0))),MOD((YEAR($A234)-YEAR('Recurring Schedule'!$F$14))*12+MONTH($A234)-MONTH('Recurring Schedule'!$F$14),'Recurring Schedule'!$O$14)=0),IF('Recurring Schedule'!$E$14="Weekdays",WEEKDAY($A234,2)&lt;=5,$A234='Recurring Schedule'!$F$14))),9,""))))</f>
        <v/>
      </c>
      <c r="K234">
        <f>IF('Recurring Schedule'!$C$15="","",IF('Recurring Schedule'!$F$15="","",IF(OR($A234&lt;'Recurring Schedule'!$F$15,$A234&gt;'Recurring Schedule'!$P$15),"",IF(IF('Recurring Schedule'!$N$15&gt;0,MOD($A234-'Recurring Schedule'!$F$15,'Recurring Schedule'!$N$15)=0,IF('Recurring Schedule'!$O$15&gt;0,AND(DAY($A234)=MIN(DAY('Recurring Schedule'!$F$15),DAY(EOMONTH($A234,0))),MOD((YEAR($A234)-YEAR('Recurring Schedule'!$F$15))*12+MONTH($A234)-MONTH('Recurring Schedule'!$F$15),'Recurring Schedule'!$O$15)=0),IF('Recurring Schedule'!$E$15="Weekdays",WEEKDAY($A234,2)&lt;=5,$A234='Recurring Schedule'!$F$15))),10,""))))</f>
        <v/>
      </c>
      <c r="L234">
        <f>IF('Recurring Schedule'!$C$16="","",IF('Recurring Schedule'!$F$16="","",IF(OR($A234&lt;'Recurring Schedule'!$F$16,$A234&gt;'Recurring Schedule'!$P$16),"",IF(IF('Recurring Schedule'!$N$16&gt;0,MOD($A234-'Recurring Schedule'!$F$16,'Recurring Schedule'!$N$16)=0,IF('Recurring Schedule'!$O$16&gt;0,AND(DAY($A234)=MIN(DAY('Recurring Schedule'!$F$16),DAY(EOMONTH($A234,0))),MOD((YEAR($A234)-YEAR('Recurring Schedule'!$F$16))*12+MONTH($A234)-MONTH('Recurring Schedule'!$F$16),'Recurring Schedule'!$O$16)=0),IF('Recurring Schedule'!$E$16="Weekdays",WEEKDAY($A234,2)&lt;=5,$A234='Recurring Schedule'!$F$16))),11,""))))</f>
        <v/>
      </c>
      <c r="M234">
        <f>IF('Recurring Schedule'!$C$17="","",IF('Recurring Schedule'!$F$17="","",IF(OR($A234&lt;'Recurring Schedule'!$F$17,$A234&gt;'Recurring Schedule'!$P$17),"",IF(IF('Recurring Schedule'!$N$17&gt;0,MOD($A234-'Recurring Schedule'!$F$17,'Recurring Schedule'!$N$17)=0,IF('Recurring Schedule'!$O$17&gt;0,AND(DAY($A234)=MIN(DAY('Recurring Schedule'!$F$17),DAY(EOMONTH($A234,0))),MOD((YEAR($A234)-YEAR('Recurring Schedule'!$F$17))*12+MONTH($A234)-MONTH('Recurring Schedule'!$F$17),'Recurring Schedule'!$O$17)=0),IF('Recurring Schedule'!$E$17="Weekdays",WEEKDAY($A234,2)&lt;=5,$A234='Recurring Schedule'!$F$17))),12,""))))</f>
        <v/>
      </c>
      <c r="N234">
        <f>IF('Recurring Schedule'!$C$18="","",IF('Recurring Schedule'!$F$18="","",IF(OR($A234&lt;'Recurring Schedule'!$F$18,$A234&gt;'Recurring Schedule'!$P$18),"",IF(IF('Recurring Schedule'!$N$18&gt;0,MOD($A234-'Recurring Schedule'!$F$18,'Recurring Schedule'!$N$18)=0,IF('Recurring Schedule'!$O$18&gt;0,AND(DAY($A234)=MIN(DAY('Recurring Schedule'!$F$18),DAY(EOMONTH($A234,0))),MOD((YEAR($A234)-YEAR('Recurring Schedule'!$F$18))*12+MONTH($A234)-MONTH('Recurring Schedule'!$F$18),'Recurring Schedule'!$O$18)=0),IF('Recurring Schedule'!$E$18="Weekdays",WEEKDAY($A234,2)&lt;=5,$A234='Recurring Schedule'!$F$18))),13,""))))</f>
        <v/>
      </c>
      <c r="O234">
        <f>IF('Recurring Schedule'!$C$19="","",IF('Recurring Schedule'!$F$19="","",IF(OR($A234&lt;'Recurring Schedule'!$F$19,$A234&gt;'Recurring Schedule'!$P$19),"",IF(IF('Recurring Schedule'!$N$19&gt;0,MOD($A234-'Recurring Schedule'!$F$19,'Recurring Schedule'!$N$19)=0,IF('Recurring Schedule'!$O$19&gt;0,AND(DAY($A234)=MIN(DAY('Recurring Schedule'!$F$19),DAY(EOMONTH($A234,0))),MOD((YEAR($A234)-YEAR('Recurring Schedule'!$F$19))*12+MONTH($A234)-MONTH('Recurring Schedule'!$F$19),'Recurring Schedule'!$O$19)=0),IF('Recurring Schedule'!$E$19="Weekdays",WEEKDAY($A234,2)&lt;=5,$A234='Recurring Schedule'!$F$19))),14,""))))</f>
        <v/>
      </c>
      <c r="P234">
        <f>IF('Recurring Schedule'!$C$20="","",IF('Recurring Schedule'!$F$20="","",IF(OR($A234&lt;'Recurring Schedule'!$F$20,$A234&gt;'Recurring Schedule'!$P$20),"",IF(IF('Recurring Schedule'!$N$20&gt;0,MOD($A234-'Recurring Schedule'!$F$20,'Recurring Schedule'!$N$20)=0,IF('Recurring Schedule'!$O$20&gt;0,AND(DAY($A234)=MIN(DAY('Recurring Schedule'!$F$20),DAY(EOMONTH($A234,0))),MOD((YEAR($A234)-YEAR('Recurring Schedule'!$F$20))*12+MONTH($A234)-MONTH('Recurring Schedule'!$F$20),'Recurring Schedule'!$O$20)=0),IF('Recurring Schedule'!$E$20="Weekdays",WEEKDAY($A234,2)&lt;=5,$A234='Recurring Schedule'!$F$20))),15,""))))</f>
        <v/>
      </c>
      <c r="Q234">
        <f>IF('Recurring Schedule'!$C$21="","",IF('Recurring Schedule'!$F$21="","",IF(OR($A234&lt;'Recurring Schedule'!$F$21,$A234&gt;'Recurring Schedule'!$P$21),"",IF(IF('Recurring Schedule'!$N$21&gt;0,MOD($A234-'Recurring Schedule'!$F$21,'Recurring Schedule'!$N$21)=0,IF('Recurring Schedule'!$O$21&gt;0,AND(DAY($A234)=MIN(DAY('Recurring Schedule'!$F$21),DAY(EOMONTH($A234,0))),MOD((YEAR($A234)-YEAR('Recurring Schedule'!$F$21))*12+MONTH($A234)-MONTH('Recurring Schedule'!$F$21),'Recurring Schedule'!$O$21)=0),IF('Recurring Schedule'!$E$21="Weekdays",WEEKDAY($A234,2)&lt;=5,$A234='Recurring Schedule'!$F$21))),16,""))))</f>
        <v/>
      </c>
      <c r="R234">
        <f>IF('Recurring Schedule'!$C$22="","",IF('Recurring Schedule'!$F$22="","",IF(OR($A234&lt;'Recurring Schedule'!$F$22,$A234&gt;'Recurring Schedule'!$P$22),"",IF(IF('Recurring Schedule'!$N$22&gt;0,MOD($A234-'Recurring Schedule'!$F$22,'Recurring Schedule'!$N$22)=0,IF('Recurring Schedule'!$O$22&gt;0,AND(DAY($A234)=MIN(DAY('Recurring Schedule'!$F$22),DAY(EOMONTH($A234,0))),MOD((YEAR($A234)-YEAR('Recurring Schedule'!$F$22))*12+MONTH($A234)-MONTH('Recurring Schedule'!$F$22),'Recurring Schedule'!$O$22)=0),IF('Recurring Schedule'!$E$22="Weekdays",WEEKDAY($A234,2)&lt;=5,$A234='Recurring Schedule'!$F$22))),17,""))))</f>
        <v/>
      </c>
      <c r="S234">
        <f>IF('Recurring Schedule'!$C$23="","",IF('Recurring Schedule'!$F$23="","",IF(OR($A234&lt;'Recurring Schedule'!$F$23,$A234&gt;'Recurring Schedule'!$P$23),"",IF(IF('Recurring Schedule'!$N$23&gt;0,MOD($A234-'Recurring Schedule'!$F$23,'Recurring Schedule'!$N$23)=0,IF('Recurring Schedule'!$O$23&gt;0,AND(DAY($A234)=MIN(DAY('Recurring Schedule'!$F$23),DAY(EOMONTH($A234,0))),MOD((YEAR($A234)-YEAR('Recurring Schedule'!$F$23))*12+MONTH($A234)-MONTH('Recurring Schedule'!$F$23),'Recurring Schedule'!$O$23)=0),IF('Recurring Schedule'!$E$23="Weekdays",WEEKDAY($A234,2)&lt;=5,$A234='Recurring Schedule'!$F$23))),18,""))))</f>
        <v/>
      </c>
      <c r="T234">
        <f>IF('Recurring Schedule'!$C$24="","",IF('Recurring Schedule'!$F$24="","",IF(OR($A234&lt;'Recurring Schedule'!$F$24,$A234&gt;'Recurring Schedule'!$P$24),"",IF(IF('Recurring Schedule'!$N$24&gt;0,MOD($A234-'Recurring Schedule'!$F$24,'Recurring Schedule'!$N$24)=0,IF('Recurring Schedule'!$O$24&gt;0,AND(DAY($A234)=MIN(DAY('Recurring Schedule'!$F$24),DAY(EOMONTH($A234,0))),MOD((YEAR($A234)-YEAR('Recurring Schedule'!$F$24))*12+MONTH($A234)-MONTH('Recurring Schedule'!$F$24),'Recurring Schedule'!$O$24)=0),IF('Recurring Schedule'!$E$24="Weekdays",WEEKDAY($A234,2)&lt;=5,$A234='Recurring Schedule'!$F$24))),19,""))))</f>
        <v/>
      </c>
      <c r="U234">
        <f>IF('Recurring Schedule'!$C$25="","",IF('Recurring Schedule'!$F$25="","",IF(OR($A234&lt;'Recurring Schedule'!$F$25,$A234&gt;'Recurring Schedule'!$P$25),"",IF(IF('Recurring Schedule'!$N$25&gt;0,MOD($A234-'Recurring Schedule'!$F$25,'Recurring Schedule'!$N$25)=0,IF('Recurring Schedule'!$O$25&gt;0,AND(DAY($A234)=MIN(DAY('Recurring Schedule'!$F$25),DAY(EOMONTH($A234,0))),MOD((YEAR($A234)-YEAR('Recurring Schedule'!$F$25))*12+MONTH($A234)-MONTH('Recurring Schedule'!$F$25),'Recurring Schedule'!$O$25)=0),IF('Recurring Schedule'!$E$25="Weekdays",WEEKDAY($A234,2)&lt;=5,$A234='Recurring Schedule'!$F$25))),20,""))))</f>
        <v/>
      </c>
      <c r="V234">
        <f>IF('Recurring Schedule'!$C$26="","",IF('Recurring Schedule'!$F$26="","",IF(OR($A234&lt;'Recurring Schedule'!$F$26,$A234&gt;'Recurring Schedule'!$P$26),"",IF(IF('Recurring Schedule'!$N$26&gt;0,MOD($A234-'Recurring Schedule'!$F$26,'Recurring Schedule'!$N$26)=0,IF('Recurring Schedule'!$O$26&gt;0,AND(DAY($A234)=MIN(DAY('Recurring Schedule'!$F$26),DAY(EOMONTH($A234,0))),MOD((YEAR($A234)-YEAR('Recurring Schedule'!$F$26))*12+MONTH($A234)-MONTH('Recurring Schedule'!$F$26),'Recurring Schedule'!$O$26)=0),IF('Recurring Schedule'!$E$26="Weekdays",WEEKDAY($A234,2)&lt;=5,$A234='Recurring Schedule'!$F$26))),21,""))))</f>
        <v/>
      </c>
      <c r="W234">
        <f>IF('Recurring Schedule'!$C$27="","",IF('Recurring Schedule'!$F$27="","",IF(OR($A234&lt;'Recurring Schedule'!$F$27,$A234&gt;'Recurring Schedule'!$P$27),"",IF(IF('Recurring Schedule'!$N$27&gt;0,MOD($A234-'Recurring Schedule'!$F$27,'Recurring Schedule'!$N$27)=0,IF('Recurring Schedule'!$O$27&gt;0,AND(DAY($A234)=MIN(DAY('Recurring Schedule'!$F$27),DAY(EOMONTH($A234,0))),MOD((YEAR($A234)-YEAR('Recurring Schedule'!$F$27))*12+MONTH($A234)-MONTH('Recurring Schedule'!$F$27),'Recurring Schedule'!$O$27)=0),IF('Recurring Schedule'!$E$27="Weekdays",WEEKDAY($A234,2)&lt;=5,$A234='Recurring Schedule'!$F$27))),22,""))))</f>
        <v/>
      </c>
      <c r="X234">
        <f>IF('Recurring Schedule'!$C$28="","",IF('Recurring Schedule'!$F$28="","",IF(OR($A234&lt;'Recurring Schedule'!$F$28,$A234&gt;'Recurring Schedule'!$P$28),"",IF(IF('Recurring Schedule'!$N$28&gt;0,MOD($A234-'Recurring Schedule'!$F$28,'Recurring Schedule'!$N$28)=0,IF('Recurring Schedule'!$O$28&gt;0,AND(DAY($A234)=MIN(DAY('Recurring Schedule'!$F$28),DAY(EOMONTH($A234,0))),MOD((YEAR($A234)-YEAR('Recurring Schedule'!$F$28))*12+MONTH($A234)-MONTH('Recurring Schedule'!$F$28),'Recurring Schedule'!$O$28)=0),IF('Recurring Schedule'!$E$28="Weekdays",WEEKDAY($A234,2)&lt;=5,$A234='Recurring Schedule'!$F$28))),23,""))))</f>
        <v/>
      </c>
      <c r="Y234">
        <f>IF('Recurring Schedule'!$C$29="","",IF('Recurring Schedule'!$F$29="","",IF(OR($A234&lt;'Recurring Schedule'!$F$29,$A234&gt;'Recurring Schedule'!$P$29),"",IF(IF('Recurring Schedule'!$N$29&gt;0,MOD($A234-'Recurring Schedule'!$F$29,'Recurring Schedule'!$N$29)=0,IF('Recurring Schedule'!$O$29&gt;0,AND(DAY($A234)=MIN(DAY('Recurring Schedule'!$F$29),DAY(EOMONTH($A234,0))),MOD((YEAR($A234)-YEAR('Recurring Schedule'!$F$29))*12+MONTH($A234)-MONTH('Recurring Schedule'!$F$29),'Recurring Schedule'!$O$29)=0),IF('Recurring Schedule'!$E$29="Weekdays",WEEKDAY($A234,2)&lt;=5,$A234='Recurring Schedule'!$F$29))),24,""))))</f>
        <v/>
      </c>
      <c r="Z234">
        <f>IF('Recurring Schedule'!$C$30="","",IF('Recurring Schedule'!$F$30="","",IF(OR($A234&lt;'Recurring Schedule'!$F$30,$A234&gt;'Recurring Schedule'!$P$30),"",IF(IF('Recurring Schedule'!$N$30&gt;0,MOD($A234-'Recurring Schedule'!$F$30,'Recurring Schedule'!$N$30)=0,IF('Recurring Schedule'!$O$30&gt;0,AND(DAY($A234)=MIN(DAY('Recurring Schedule'!$F$30),DAY(EOMONTH($A234,0))),MOD((YEAR($A234)-YEAR('Recurring Schedule'!$F$30))*12+MONTH($A234)-MONTH('Recurring Schedule'!$F$30),'Recurring Schedule'!$O$30)=0),IF('Recurring Schedule'!$E$30="Weekdays",WEEKDAY($A234,2)&lt;=5,$A234='Recurring Schedule'!$F$30))),25,""))))</f>
        <v/>
      </c>
      <c r="AA234">
        <f>IF('Recurring Schedule'!$C$31="","",IF('Recurring Schedule'!$F$31="","",IF(OR($A234&lt;'Recurring Schedule'!$F$31,$A234&gt;'Recurring Schedule'!$P$31),"",IF(IF('Recurring Schedule'!$N$31&gt;0,MOD($A234-'Recurring Schedule'!$F$31,'Recurring Schedule'!$N$31)=0,IF('Recurring Schedule'!$O$31&gt;0,AND(DAY($A234)=MIN(DAY('Recurring Schedule'!$F$31),DAY(EOMONTH($A234,0))),MOD((YEAR($A234)-YEAR('Recurring Schedule'!$F$31))*12+MONTH($A234)-MONTH('Recurring Schedule'!$F$31),'Recurring Schedule'!$O$31)=0),IF('Recurring Schedule'!$E$31="Weekdays",WEEKDAY($A234,2)&lt;=5,$A234='Recurring Schedule'!$F$31))),26,""))))</f>
        <v/>
      </c>
      <c r="AB234">
        <f>IF('Recurring Schedule'!$C$32="","",IF('Recurring Schedule'!$F$32="","",IF(OR($A234&lt;'Recurring Schedule'!$F$32,$A234&gt;'Recurring Schedule'!$P$32),"",IF(IF('Recurring Schedule'!$N$32&gt;0,MOD($A234-'Recurring Schedule'!$F$32,'Recurring Schedule'!$N$32)=0,IF('Recurring Schedule'!$O$32&gt;0,AND(DAY($A234)=MIN(DAY('Recurring Schedule'!$F$32),DAY(EOMONTH($A234,0))),MOD((YEAR($A234)-YEAR('Recurring Schedule'!$F$32))*12+MONTH($A234)-MONTH('Recurring Schedule'!$F$32),'Recurring Schedule'!$O$32)=0),IF('Recurring Schedule'!$E$32="Weekdays",WEEKDAY($A234,2)&lt;=5,$A234='Recurring Schedule'!$F$32))),27,""))))</f>
        <v/>
      </c>
      <c r="AC234">
        <f>IF('Recurring Schedule'!$C$33="","",IF('Recurring Schedule'!$F$33="","",IF(OR($A234&lt;'Recurring Schedule'!$F$33,$A234&gt;'Recurring Schedule'!$P$33),"",IF(IF('Recurring Schedule'!$N$33&gt;0,MOD($A234-'Recurring Schedule'!$F$33,'Recurring Schedule'!$N$33)=0,IF('Recurring Schedule'!$O$33&gt;0,AND(DAY($A234)=MIN(DAY('Recurring Schedule'!$F$33),DAY(EOMONTH($A234,0))),MOD((YEAR($A234)-YEAR('Recurring Schedule'!$F$33))*12+MONTH($A234)-MONTH('Recurring Schedule'!$F$33),'Recurring Schedule'!$O$33)=0),IF('Recurring Schedule'!$E$33="Weekdays",WEEKDAY($A234,2)&lt;=5,$A234='Recurring Schedule'!$F$33))),28,""))))</f>
        <v/>
      </c>
      <c r="AD234">
        <f>IF('Recurring Schedule'!$C$34="","",IF('Recurring Schedule'!$F$34="","",IF(OR($A234&lt;'Recurring Schedule'!$F$34,$A234&gt;'Recurring Schedule'!$P$34),"",IF(IF('Recurring Schedule'!$N$34&gt;0,MOD($A234-'Recurring Schedule'!$F$34,'Recurring Schedule'!$N$34)=0,IF('Recurring Schedule'!$O$34&gt;0,AND(DAY($A234)=MIN(DAY('Recurring Schedule'!$F$34),DAY(EOMONTH($A234,0))),MOD((YEAR($A234)-YEAR('Recurring Schedule'!$F$34))*12+MONTH($A234)-MONTH('Recurring Schedule'!$F$34),'Recurring Schedule'!$O$34)=0),IF('Recurring Schedule'!$E$34="Weekdays",WEEKDAY($A234,2)&lt;=5,$A234='Recurring Schedule'!$F$34))),29,""))))</f>
        <v/>
      </c>
      <c r="AE234">
        <f>IF('Recurring Schedule'!$C$35="","",IF('Recurring Schedule'!$F$35="","",IF(OR($A234&lt;'Recurring Schedule'!$F$35,$A234&gt;'Recurring Schedule'!$P$35),"",IF(IF('Recurring Schedule'!$N$35&gt;0,MOD($A234-'Recurring Schedule'!$F$35,'Recurring Schedule'!$N$35)=0,IF('Recurring Schedule'!$O$35&gt;0,AND(DAY($A234)=MIN(DAY('Recurring Schedule'!$F$35),DAY(EOMONTH($A234,0))),MOD((YEAR($A234)-YEAR('Recurring Schedule'!$F$35))*12+MONTH($A234)-MONTH('Recurring Schedule'!$F$35),'Recurring Schedule'!$O$35)=0),IF('Recurring Schedule'!$E$35="Weekdays",WEEKDAY($A234,2)&lt;=5,$A234='Recurring Schedule'!$F$35))),30,""))))</f>
        <v/>
      </c>
      <c r="AF234">
        <f>IF('Recurring Schedule'!$C$36="","",IF('Recurring Schedule'!$F$36="","",IF(OR($A234&lt;'Recurring Schedule'!$F$36,$A234&gt;'Recurring Schedule'!$P$36),"",IF(IF('Recurring Schedule'!$N$36&gt;0,MOD($A234-'Recurring Schedule'!$F$36,'Recurring Schedule'!$N$36)=0,IF('Recurring Schedule'!$O$36&gt;0,AND(DAY($A234)=MIN(DAY('Recurring Schedule'!$F$36),DAY(EOMONTH($A234,0))),MOD((YEAR($A234)-YEAR('Recurring Schedule'!$F$36))*12+MONTH($A234)-MONTH('Recurring Schedule'!$F$36),'Recurring Schedule'!$O$36)=0),IF('Recurring Schedule'!$E$36="Weekdays",WEEKDAY($A234,2)&lt;=5,$A234='Recurring Schedule'!$F$36))),31,""))))</f>
        <v/>
      </c>
      <c r="AG234">
        <f>IF('Recurring Schedule'!$C$37="","",IF('Recurring Schedule'!$F$37="","",IF(OR($A234&lt;'Recurring Schedule'!$F$37,$A234&gt;'Recurring Schedule'!$P$37),"",IF(IF('Recurring Schedule'!$N$37&gt;0,MOD($A234-'Recurring Schedule'!$F$37,'Recurring Schedule'!$N$37)=0,IF('Recurring Schedule'!$O$37&gt;0,AND(DAY($A234)=MIN(DAY('Recurring Schedule'!$F$37),DAY(EOMONTH($A234,0))),MOD((YEAR($A234)-YEAR('Recurring Schedule'!$F$37))*12+MONTH($A234)-MONTH('Recurring Schedule'!$F$37),'Recurring Schedule'!$O$37)=0),IF('Recurring Schedule'!$E$37="Weekdays",WEEKDAY($A234,2)&lt;=5,$A234='Recurring Schedule'!$F$37))),32,""))))</f>
        <v/>
      </c>
      <c r="AH234">
        <f>IF('Recurring Schedule'!$C$38="","",IF('Recurring Schedule'!$F$38="","",IF(OR($A234&lt;'Recurring Schedule'!$F$38,$A234&gt;'Recurring Schedule'!$P$38),"",IF(IF('Recurring Schedule'!$N$38&gt;0,MOD($A234-'Recurring Schedule'!$F$38,'Recurring Schedule'!$N$38)=0,IF('Recurring Schedule'!$O$38&gt;0,AND(DAY($A234)=MIN(DAY('Recurring Schedule'!$F$38),DAY(EOMONTH($A234,0))),MOD((YEAR($A234)-YEAR('Recurring Schedule'!$F$38))*12+MONTH($A234)-MONTH('Recurring Schedule'!$F$38),'Recurring Schedule'!$O$38)=0),IF('Recurring Schedule'!$E$38="Weekdays",WEEKDAY($A234,2)&lt;=5,$A234='Recurring Schedule'!$F$38))),33,""))))</f>
        <v/>
      </c>
      <c r="AI234">
        <f>IF('Recurring Schedule'!$C$39="","",IF('Recurring Schedule'!$F$39="","",IF(OR($A234&lt;'Recurring Schedule'!$F$39,$A234&gt;'Recurring Schedule'!$P$39),"",IF(IF('Recurring Schedule'!$N$39&gt;0,MOD($A234-'Recurring Schedule'!$F$39,'Recurring Schedule'!$N$39)=0,IF('Recurring Schedule'!$O$39&gt;0,AND(DAY($A234)=MIN(DAY('Recurring Schedule'!$F$39),DAY(EOMONTH($A234,0))),MOD((YEAR($A234)-YEAR('Recurring Schedule'!$F$39))*12+MONTH($A234)-MONTH('Recurring Schedule'!$F$39),'Recurring Schedule'!$O$39)=0),IF('Recurring Schedule'!$E$39="Weekdays",WEEKDAY($A234,2)&lt;=5,$A234='Recurring Schedule'!$F$39))),34,""))))</f>
        <v/>
      </c>
      <c r="AJ234">
        <f>IF('Recurring Schedule'!$C$40="","",IF('Recurring Schedule'!$F$40="","",IF(OR($A234&lt;'Recurring Schedule'!$F$40,$A234&gt;'Recurring Schedule'!$P$40),"",IF(IF('Recurring Schedule'!$N$40&gt;0,MOD($A234-'Recurring Schedule'!$F$40,'Recurring Schedule'!$N$40)=0,IF('Recurring Schedule'!$O$40&gt;0,AND(DAY($A234)=MIN(DAY('Recurring Schedule'!$F$40),DAY(EOMONTH($A234,0))),MOD((YEAR($A234)-YEAR('Recurring Schedule'!$F$40))*12+MONTH($A234)-MONTH('Recurring Schedule'!$F$40),'Recurring Schedule'!$O$40)=0),IF('Recurring Schedule'!$E$40="Weekdays",WEEKDAY($A234,2)&lt;=5,$A234='Recurring Schedule'!$F$40))),35,""))))</f>
        <v/>
      </c>
      <c r="AK234">
        <f>IF('Recurring Schedule'!$C$41="","",IF('Recurring Schedule'!$F$41="","",IF(OR($A234&lt;'Recurring Schedule'!$F$41,$A234&gt;'Recurring Schedule'!$P$41),"",IF(IF('Recurring Schedule'!$N$41&gt;0,MOD($A234-'Recurring Schedule'!$F$41,'Recurring Schedule'!$N$41)=0,IF('Recurring Schedule'!$O$41&gt;0,AND(DAY($A234)=MIN(DAY('Recurring Schedule'!$F$41),DAY(EOMONTH($A234,0))),MOD((YEAR($A234)-YEAR('Recurring Schedule'!$F$41))*12+MONTH($A234)-MONTH('Recurring Schedule'!$F$41),'Recurring Schedule'!$O$41)=0),IF('Recurring Schedule'!$E$41="Weekdays",WEEKDAY($A234,2)&lt;=5,$A234='Recurring Schedule'!$F$41))),36,""))))</f>
        <v/>
      </c>
      <c r="AL234">
        <f>IF('Recurring Schedule'!$C$42="","",IF('Recurring Schedule'!$F$42="","",IF(OR($A234&lt;'Recurring Schedule'!$F$42,$A234&gt;'Recurring Schedule'!$P$42),"",IF(IF('Recurring Schedule'!$N$42&gt;0,MOD($A234-'Recurring Schedule'!$F$42,'Recurring Schedule'!$N$42)=0,IF('Recurring Schedule'!$O$42&gt;0,AND(DAY($A234)=MIN(DAY('Recurring Schedule'!$F$42),DAY(EOMONTH($A234,0))),MOD((YEAR($A234)-YEAR('Recurring Schedule'!$F$42))*12+MONTH($A234)-MONTH('Recurring Schedule'!$F$42),'Recurring Schedule'!$O$42)=0),IF('Recurring Schedule'!$E$42="Weekdays",WEEKDAY($A234,2)&lt;=5,$A234='Recurring Schedule'!$F$42))),37,""))))</f>
        <v/>
      </c>
      <c r="AM234">
        <f>IF('Recurring Schedule'!$C$43="","",IF('Recurring Schedule'!$F$43="","",IF(OR($A234&lt;'Recurring Schedule'!$F$43,$A234&gt;'Recurring Schedule'!$P$43),"",IF(IF('Recurring Schedule'!$N$43&gt;0,MOD($A234-'Recurring Schedule'!$F$43,'Recurring Schedule'!$N$43)=0,IF('Recurring Schedule'!$O$43&gt;0,AND(DAY($A234)=MIN(DAY('Recurring Schedule'!$F$43),DAY(EOMONTH($A234,0))),MOD((YEAR($A234)-YEAR('Recurring Schedule'!$F$43))*12+MONTH($A234)-MONTH('Recurring Schedule'!$F$43),'Recurring Schedule'!$O$43)=0),IF('Recurring Schedule'!$E$43="Weekdays",WEEKDAY($A234,2)&lt;=5,$A234='Recurring Schedule'!$F$43))),38,""))))</f>
        <v/>
      </c>
      <c r="AN234">
        <f>IF('Recurring Schedule'!$C$44="","",IF('Recurring Schedule'!$F$44="","",IF(OR($A234&lt;'Recurring Schedule'!$F$44,$A234&gt;'Recurring Schedule'!$P$44),"",IF(IF('Recurring Schedule'!$N$44&gt;0,MOD($A234-'Recurring Schedule'!$F$44,'Recurring Schedule'!$N$44)=0,IF('Recurring Schedule'!$O$44&gt;0,AND(DAY($A234)=MIN(DAY('Recurring Schedule'!$F$44),DAY(EOMONTH($A234,0))),MOD((YEAR($A234)-YEAR('Recurring Schedule'!$F$44))*12+MONTH($A234)-MONTH('Recurring Schedule'!$F$44),'Recurring Schedule'!$O$44)=0),IF('Recurring Schedule'!$E$44="Weekdays",WEEKDAY($A234,2)&lt;=5,$A234='Recurring Schedule'!$F$44))),39,""))))</f>
        <v/>
      </c>
      <c r="AO234">
        <f>IF('Recurring Schedule'!$C$45="","",IF('Recurring Schedule'!$F$45="","",IF(OR($A234&lt;'Recurring Schedule'!$F$45,$A234&gt;'Recurring Schedule'!$P$45),"",IF(IF('Recurring Schedule'!$N$45&gt;0,MOD($A234-'Recurring Schedule'!$F$45,'Recurring Schedule'!$N$45)=0,IF('Recurring Schedule'!$O$45&gt;0,AND(DAY($A234)=MIN(DAY('Recurring Schedule'!$F$45),DAY(EOMONTH($A234,0))),MOD((YEAR($A234)-YEAR('Recurring Schedule'!$F$45))*12+MONTH($A234)-MONTH('Recurring Schedule'!$F$45),'Recurring Schedule'!$O$45)=0),IF('Recurring Schedule'!$E$45="Weekdays",WEEKDAY($A234,2)&lt;=5,$A234='Recurring Schedule'!$F$45))),40,""))))</f>
        <v/>
      </c>
      <c r="AP234">
        <f>COUNT(B234:AO234)</f>
        <v/>
      </c>
      <c r="AQ234">
        <f>AQ233+AP233</f>
        <v/>
      </c>
      <c r="AS234" t="inlineStr">
        <is>
          <t>R</t>
        </is>
      </c>
      <c r="AT234" t="n">
        <v>238</v>
      </c>
      <c r="AU234">
        <f>'Recurring Log'!C238&amp;""</f>
        <v/>
      </c>
      <c r="AV234">
        <f>'Recurring Log'!D238&amp;""</f>
        <v/>
      </c>
      <c r="AW234">
        <f>IF('Recurring Log'!E238="","",'Recurring Log'!E238)</f>
        <v/>
      </c>
      <c r="AX234">
        <f>IF('Recurring Log'!G238="","",'Recurring Log'!G238)</f>
        <v/>
      </c>
      <c r="AY234">
        <f>IF('Recurring Log'!H238="","",'Recurring Log'!H238)</f>
        <v/>
      </c>
      <c r="AZ234">
        <f>IF(AU234="","",IF('Recurring Log'!J238="","Not Started",'Recurring Log'!J238))</f>
        <v/>
      </c>
      <c r="BA234">
        <f>'Recurring Log'!L238&amp;""</f>
        <v/>
      </c>
      <c r="BB234">
        <f>'Recurring Log'!M238&amp;""</f>
        <v/>
      </c>
      <c r="BC234">
        <f>'Recurring Log'!N238&amp;""</f>
        <v/>
      </c>
      <c r="BD234">
        <f>'Recurring Log'!O238&amp;""</f>
        <v/>
      </c>
      <c r="BE234">
        <f>IF('Recurring Log'!K238="","",'Recurring Log'!K238)</f>
        <v/>
      </c>
      <c r="BF234">
        <f>IFERROR(MATCH(BA234,Setup!$L$6:$L$9,0),5)</f>
        <v/>
      </c>
      <c r="BG234">
        <f>IF(OR(AZ234="Done",AZ234="Cancelled"),1,0)</f>
        <v/>
      </c>
      <c r="BH234">
        <f>IF(AND(AU234&lt;&gt;"",ISNUMBER(AW234)),1,0)</f>
        <v/>
      </c>
      <c r="BI234">
        <f>IF(BH234=0,0,IF(AND(AW234&gt;='Tasks Filter'!$F$3,AW234&lt;='Tasks Filter'!$F$4,OR('Tasks Filter'!$I$3="",ISNUMBER(SEARCH('Tasks Filter'!$I$3,AU234))),OR('Tasks Filter'!$I$4="",BF234=IFERROR(MATCH('Tasks Filter'!$I$4,Setup!$L$6:$L$9,0),0)),OR('Tasks Filter'!$I$5="Both",AND('Tasks Filter'!$I$5="Yes",BB234="✓"),AND('Tasks Filter'!$I$5="No",BB234&lt;&gt;"✓")),OR('Tasks Filter'!$L$3="",AV234='Tasks Filter'!$L$3),OR('Tasks Filter'!$L$4="",AZ234='Tasks Filter'!$L$4),OR('Tasks Filter'!$L$5="",BC234='Tasks Filter'!$L$5),OR('Tasks Filter'!$O$3="",BD234='Tasks Filter'!$O$3),OR('Tasks Filter'!$O$4="Yes",BG234=0)),1,0))</f>
        <v/>
      </c>
      <c r="BJ234">
        <f>IF(BH234=0,"",IF('Tasks Filter'!$F$6="Descending",-1,1)*CHOOSE(MATCH('Tasks Filter'!$F$5,Lists!$G$2:$G$6,0),AW234,BF234,IFERROR(MATCH(AV234,Setup!$F$6:$F$15,0),99),IFERROR(MATCH(BC234,Setup!$H$6:$H$15,0),99),IFERROR(MATCH(AZ234,Setup!$J$6:$J$11,0),99))*1E+9+(AW234-40000)*10000+233)</f>
        <v/>
      </c>
      <c r="BK234">
        <f>IF(BI234=1,BJ234,"")</f>
        <v/>
      </c>
      <c r="BL234">
        <f>IF(AND(BH234=1,BG234=0,N(AW234)&lt;Setup!$D$7),(AW234-40000)*10000+233,"")</f>
        <v/>
      </c>
      <c r="BM234">
        <f>IF(AND(BH234=1,AZ234&lt;&gt;"Cancelled",N(AW234)&gt;=Dashboard!$AB$3,N(AW234)&lt;=Dashboard!$AB$3+6),(AW234-40000)*100000+BF234*10000+233,"")</f>
        <v/>
      </c>
      <c r="BN234">
        <f>IF(AND(BH234=1,AZ234&lt;&gt;"Cancelled"),BF234*10000+233,"")</f>
        <v/>
      </c>
    </row>
    <row r="235">
      <c r="A235">
        <f>Setup!$D$5+233</f>
        <v/>
      </c>
      <c r="B235">
        <f>IF('Recurring Schedule'!$C$6="","",IF('Recurring Schedule'!$F$6="","",IF(OR($A235&lt;'Recurring Schedule'!$F$6,$A235&gt;'Recurring Schedule'!$P$6),"",IF(IF('Recurring Schedule'!$N$6&gt;0,MOD($A235-'Recurring Schedule'!$F$6,'Recurring Schedule'!$N$6)=0,IF('Recurring Schedule'!$O$6&gt;0,AND(DAY($A235)=MIN(DAY('Recurring Schedule'!$F$6),DAY(EOMONTH($A235,0))),MOD((YEAR($A235)-YEAR('Recurring Schedule'!$F$6))*12+MONTH($A235)-MONTH('Recurring Schedule'!$F$6),'Recurring Schedule'!$O$6)=0),IF('Recurring Schedule'!$E$6="Weekdays",WEEKDAY($A235,2)&lt;=5,$A235='Recurring Schedule'!$F$6))),1,""))))</f>
        <v/>
      </c>
      <c r="C235">
        <f>IF('Recurring Schedule'!$C$7="","",IF('Recurring Schedule'!$F$7="","",IF(OR($A235&lt;'Recurring Schedule'!$F$7,$A235&gt;'Recurring Schedule'!$P$7),"",IF(IF('Recurring Schedule'!$N$7&gt;0,MOD($A235-'Recurring Schedule'!$F$7,'Recurring Schedule'!$N$7)=0,IF('Recurring Schedule'!$O$7&gt;0,AND(DAY($A235)=MIN(DAY('Recurring Schedule'!$F$7),DAY(EOMONTH($A235,0))),MOD((YEAR($A235)-YEAR('Recurring Schedule'!$F$7))*12+MONTH($A235)-MONTH('Recurring Schedule'!$F$7),'Recurring Schedule'!$O$7)=0),IF('Recurring Schedule'!$E$7="Weekdays",WEEKDAY($A235,2)&lt;=5,$A235='Recurring Schedule'!$F$7))),2,""))))</f>
        <v/>
      </c>
      <c r="D235">
        <f>IF('Recurring Schedule'!$C$8="","",IF('Recurring Schedule'!$F$8="","",IF(OR($A235&lt;'Recurring Schedule'!$F$8,$A235&gt;'Recurring Schedule'!$P$8),"",IF(IF('Recurring Schedule'!$N$8&gt;0,MOD($A235-'Recurring Schedule'!$F$8,'Recurring Schedule'!$N$8)=0,IF('Recurring Schedule'!$O$8&gt;0,AND(DAY($A235)=MIN(DAY('Recurring Schedule'!$F$8),DAY(EOMONTH($A235,0))),MOD((YEAR($A235)-YEAR('Recurring Schedule'!$F$8))*12+MONTH($A235)-MONTH('Recurring Schedule'!$F$8),'Recurring Schedule'!$O$8)=0),IF('Recurring Schedule'!$E$8="Weekdays",WEEKDAY($A235,2)&lt;=5,$A235='Recurring Schedule'!$F$8))),3,""))))</f>
        <v/>
      </c>
      <c r="E235">
        <f>IF('Recurring Schedule'!$C$9="","",IF('Recurring Schedule'!$F$9="","",IF(OR($A235&lt;'Recurring Schedule'!$F$9,$A235&gt;'Recurring Schedule'!$P$9),"",IF(IF('Recurring Schedule'!$N$9&gt;0,MOD($A235-'Recurring Schedule'!$F$9,'Recurring Schedule'!$N$9)=0,IF('Recurring Schedule'!$O$9&gt;0,AND(DAY($A235)=MIN(DAY('Recurring Schedule'!$F$9),DAY(EOMONTH($A235,0))),MOD((YEAR($A235)-YEAR('Recurring Schedule'!$F$9))*12+MONTH($A235)-MONTH('Recurring Schedule'!$F$9),'Recurring Schedule'!$O$9)=0),IF('Recurring Schedule'!$E$9="Weekdays",WEEKDAY($A235,2)&lt;=5,$A235='Recurring Schedule'!$F$9))),4,""))))</f>
        <v/>
      </c>
      <c r="F235">
        <f>IF('Recurring Schedule'!$C$10="","",IF('Recurring Schedule'!$F$10="","",IF(OR($A235&lt;'Recurring Schedule'!$F$10,$A235&gt;'Recurring Schedule'!$P$10),"",IF(IF('Recurring Schedule'!$N$10&gt;0,MOD($A235-'Recurring Schedule'!$F$10,'Recurring Schedule'!$N$10)=0,IF('Recurring Schedule'!$O$10&gt;0,AND(DAY($A235)=MIN(DAY('Recurring Schedule'!$F$10),DAY(EOMONTH($A235,0))),MOD((YEAR($A235)-YEAR('Recurring Schedule'!$F$10))*12+MONTH($A235)-MONTH('Recurring Schedule'!$F$10),'Recurring Schedule'!$O$10)=0),IF('Recurring Schedule'!$E$10="Weekdays",WEEKDAY($A235,2)&lt;=5,$A235='Recurring Schedule'!$F$10))),5,""))))</f>
        <v/>
      </c>
      <c r="G235">
        <f>IF('Recurring Schedule'!$C$11="","",IF('Recurring Schedule'!$F$11="","",IF(OR($A235&lt;'Recurring Schedule'!$F$11,$A235&gt;'Recurring Schedule'!$P$11),"",IF(IF('Recurring Schedule'!$N$11&gt;0,MOD($A235-'Recurring Schedule'!$F$11,'Recurring Schedule'!$N$11)=0,IF('Recurring Schedule'!$O$11&gt;0,AND(DAY($A235)=MIN(DAY('Recurring Schedule'!$F$11),DAY(EOMONTH($A235,0))),MOD((YEAR($A235)-YEAR('Recurring Schedule'!$F$11))*12+MONTH($A235)-MONTH('Recurring Schedule'!$F$11),'Recurring Schedule'!$O$11)=0),IF('Recurring Schedule'!$E$11="Weekdays",WEEKDAY($A235,2)&lt;=5,$A235='Recurring Schedule'!$F$11))),6,""))))</f>
        <v/>
      </c>
      <c r="H235">
        <f>IF('Recurring Schedule'!$C$12="","",IF('Recurring Schedule'!$F$12="","",IF(OR($A235&lt;'Recurring Schedule'!$F$12,$A235&gt;'Recurring Schedule'!$P$12),"",IF(IF('Recurring Schedule'!$N$12&gt;0,MOD($A235-'Recurring Schedule'!$F$12,'Recurring Schedule'!$N$12)=0,IF('Recurring Schedule'!$O$12&gt;0,AND(DAY($A235)=MIN(DAY('Recurring Schedule'!$F$12),DAY(EOMONTH($A235,0))),MOD((YEAR($A235)-YEAR('Recurring Schedule'!$F$12))*12+MONTH($A235)-MONTH('Recurring Schedule'!$F$12),'Recurring Schedule'!$O$12)=0),IF('Recurring Schedule'!$E$12="Weekdays",WEEKDAY($A235,2)&lt;=5,$A235='Recurring Schedule'!$F$12))),7,""))))</f>
        <v/>
      </c>
      <c r="I235">
        <f>IF('Recurring Schedule'!$C$13="","",IF('Recurring Schedule'!$F$13="","",IF(OR($A235&lt;'Recurring Schedule'!$F$13,$A235&gt;'Recurring Schedule'!$P$13),"",IF(IF('Recurring Schedule'!$N$13&gt;0,MOD($A235-'Recurring Schedule'!$F$13,'Recurring Schedule'!$N$13)=0,IF('Recurring Schedule'!$O$13&gt;0,AND(DAY($A235)=MIN(DAY('Recurring Schedule'!$F$13),DAY(EOMONTH($A235,0))),MOD((YEAR($A235)-YEAR('Recurring Schedule'!$F$13))*12+MONTH($A235)-MONTH('Recurring Schedule'!$F$13),'Recurring Schedule'!$O$13)=0),IF('Recurring Schedule'!$E$13="Weekdays",WEEKDAY($A235,2)&lt;=5,$A235='Recurring Schedule'!$F$13))),8,""))))</f>
        <v/>
      </c>
      <c r="J235">
        <f>IF('Recurring Schedule'!$C$14="","",IF('Recurring Schedule'!$F$14="","",IF(OR($A235&lt;'Recurring Schedule'!$F$14,$A235&gt;'Recurring Schedule'!$P$14),"",IF(IF('Recurring Schedule'!$N$14&gt;0,MOD($A235-'Recurring Schedule'!$F$14,'Recurring Schedule'!$N$14)=0,IF('Recurring Schedule'!$O$14&gt;0,AND(DAY($A235)=MIN(DAY('Recurring Schedule'!$F$14),DAY(EOMONTH($A235,0))),MOD((YEAR($A235)-YEAR('Recurring Schedule'!$F$14))*12+MONTH($A235)-MONTH('Recurring Schedule'!$F$14),'Recurring Schedule'!$O$14)=0),IF('Recurring Schedule'!$E$14="Weekdays",WEEKDAY($A235,2)&lt;=5,$A235='Recurring Schedule'!$F$14))),9,""))))</f>
        <v/>
      </c>
      <c r="K235">
        <f>IF('Recurring Schedule'!$C$15="","",IF('Recurring Schedule'!$F$15="","",IF(OR($A235&lt;'Recurring Schedule'!$F$15,$A235&gt;'Recurring Schedule'!$P$15),"",IF(IF('Recurring Schedule'!$N$15&gt;0,MOD($A235-'Recurring Schedule'!$F$15,'Recurring Schedule'!$N$15)=0,IF('Recurring Schedule'!$O$15&gt;0,AND(DAY($A235)=MIN(DAY('Recurring Schedule'!$F$15),DAY(EOMONTH($A235,0))),MOD((YEAR($A235)-YEAR('Recurring Schedule'!$F$15))*12+MONTH($A235)-MONTH('Recurring Schedule'!$F$15),'Recurring Schedule'!$O$15)=0),IF('Recurring Schedule'!$E$15="Weekdays",WEEKDAY($A235,2)&lt;=5,$A235='Recurring Schedule'!$F$15))),10,""))))</f>
        <v/>
      </c>
      <c r="L235">
        <f>IF('Recurring Schedule'!$C$16="","",IF('Recurring Schedule'!$F$16="","",IF(OR($A235&lt;'Recurring Schedule'!$F$16,$A235&gt;'Recurring Schedule'!$P$16),"",IF(IF('Recurring Schedule'!$N$16&gt;0,MOD($A235-'Recurring Schedule'!$F$16,'Recurring Schedule'!$N$16)=0,IF('Recurring Schedule'!$O$16&gt;0,AND(DAY($A235)=MIN(DAY('Recurring Schedule'!$F$16),DAY(EOMONTH($A235,0))),MOD((YEAR($A235)-YEAR('Recurring Schedule'!$F$16))*12+MONTH($A235)-MONTH('Recurring Schedule'!$F$16),'Recurring Schedule'!$O$16)=0),IF('Recurring Schedule'!$E$16="Weekdays",WEEKDAY($A235,2)&lt;=5,$A235='Recurring Schedule'!$F$16))),11,""))))</f>
        <v/>
      </c>
      <c r="M235">
        <f>IF('Recurring Schedule'!$C$17="","",IF('Recurring Schedule'!$F$17="","",IF(OR($A235&lt;'Recurring Schedule'!$F$17,$A235&gt;'Recurring Schedule'!$P$17),"",IF(IF('Recurring Schedule'!$N$17&gt;0,MOD($A235-'Recurring Schedule'!$F$17,'Recurring Schedule'!$N$17)=0,IF('Recurring Schedule'!$O$17&gt;0,AND(DAY($A235)=MIN(DAY('Recurring Schedule'!$F$17),DAY(EOMONTH($A235,0))),MOD((YEAR($A235)-YEAR('Recurring Schedule'!$F$17))*12+MONTH($A235)-MONTH('Recurring Schedule'!$F$17),'Recurring Schedule'!$O$17)=0),IF('Recurring Schedule'!$E$17="Weekdays",WEEKDAY($A235,2)&lt;=5,$A235='Recurring Schedule'!$F$17))),12,""))))</f>
        <v/>
      </c>
      <c r="N235">
        <f>IF('Recurring Schedule'!$C$18="","",IF('Recurring Schedule'!$F$18="","",IF(OR($A235&lt;'Recurring Schedule'!$F$18,$A235&gt;'Recurring Schedule'!$P$18),"",IF(IF('Recurring Schedule'!$N$18&gt;0,MOD($A235-'Recurring Schedule'!$F$18,'Recurring Schedule'!$N$18)=0,IF('Recurring Schedule'!$O$18&gt;0,AND(DAY($A235)=MIN(DAY('Recurring Schedule'!$F$18),DAY(EOMONTH($A235,0))),MOD((YEAR($A235)-YEAR('Recurring Schedule'!$F$18))*12+MONTH($A235)-MONTH('Recurring Schedule'!$F$18),'Recurring Schedule'!$O$18)=0),IF('Recurring Schedule'!$E$18="Weekdays",WEEKDAY($A235,2)&lt;=5,$A235='Recurring Schedule'!$F$18))),13,""))))</f>
        <v/>
      </c>
      <c r="O235">
        <f>IF('Recurring Schedule'!$C$19="","",IF('Recurring Schedule'!$F$19="","",IF(OR($A235&lt;'Recurring Schedule'!$F$19,$A235&gt;'Recurring Schedule'!$P$19),"",IF(IF('Recurring Schedule'!$N$19&gt;0,MOD($A235-'Recurring Schedule'!$F$19,'Recurring Schedule'!$N$19)=0,IF('Recurring Schedule'!$O$19&gt;0,AND(DAY($A235)=MIN(DAY('Recurring Schedule'!$F$19),DAY(EOMONTH($A235,0))),MOD((YEAR($A235)-YEAR('Recurring Schedule'!$F$19))*12+MONTH($A235)-MONTH('Recurring Schedule'!$F$19),'Recurring Schedule'!$O$19)=0),IF('Recurring Schedule'!$E$19="Weekdays",WEEKDAY($A235,2)&lt;=5,$A235='Recurring Schedule'!$F$19))),14,""))))</f>
        <v/>
      </c>
      <c r="P235">
        <f>IF('Recurring Schedule'!$C$20="","",IF('Recurring Schedule'!$F$20="","",IF(OR($A235&lt;'Recurring Schedule'!$F$20,$A235&gt;'Recurring Schedule'!$P$20),"",IF(IF('Recurring Schedule'!$N$20&gt;0,MOD($A235-'Recurring Schedule'!$F$20,'Recurring Schedule'!$N$20)=0,IF('Recurring Schedule'!$O$20&gt;0,AND(DAY($A235)=MIN(DAY('Recurring Schedule'!$F$20),DAY(EOMONTH($A235,0))),MOD((YEAR($A235)-YEAR('Recurring Schedule'!$F$20))*12+MONTH($A235)-MONTH('Recurring Schedule'!$F$20),'Recurring Schedule'!$O$20)=0),IF('Recurring Schedule'!$E$20="Weekdays",WEEKDAY($A235,2)&lt;=5,$A235='Recurring Schedule'!$F$20))),15,""))))</f>
        <v/>
      </c>
      <c r="Q235">
        <f>IF('Recurring Schedule'!$C$21="","",IF('Recurring Schedule'!$F$21="","",IF(OR($A235&lt;'Recurring Schedule'!$F$21,$A235&gt;'Recurring Schedule'!$P$21),"",IF(IF('Recurring Schedule'!$N$21&gt;0,MOD($A235-'Recurring Schedule'!$F$21,'Recurring Schedule'!$N$21)=0,IF('Recurring Schedule'!$O$21&gt;0,AND(DAY($A235)=MIN(DAY('Recurring Schedule'!$F$21),DAY(EOMONTH($A235,0))),MOD((YEAR($A235)-YEAR('Recurring Schedule'!$F$21))*12+MONTH($A235)-MONTH('Recurring Schedule'!$F$21),'Recurring Schedule'!$O$21)=0),IF('Recurring Schedule'!$E$21="Weekdays",WEEKDAY($A235,2)&lt;=5,$A235='Recurring Schedule'!$F$21))),16,""))))</f>
        <v/>
      </c>
      <c r="R235">
        <f>IF('Recurring Schedule'!$C$22="","",IF('Recurring Schedule'!$F$22="","",IF(OR($A235&lt;'Recurring Schedule'!$F$22,$A235&gt;'Recurring Schedule'!$P$22),"",IF(IF('Recurring Schedule'!$N$22&gt;0,MOD($A235-'Recurring Schedule'!$F$22,'Recurring Schedule'!$N$22)=0,IF('Recurring Schedule'!$O$22&gt;0,AND(DAY($A235)=MIN(DAY('Recurring Schedule'!$F$22),DAY(EOMONTH($A235,0))),MOD((YEAR($A235)-YEAR('Recurring Schedule'!$F$22))*12+MONTH($A235)-MONTH('Recurring Schedule'!$F$22),'Recurring Schedule'!$O$22)=0),IF('Recurring Schedule'!$E$22="Weekdays",WEEKDAY($A235,2)&lt;=5,$A235='Recurring Schedule'!$F$22))),17,""))))</f>
        <v/>
      </c>
      <c r="S235">
        <f>IF('Recurring Schedule'!$C$23="","",IF('Recurring Schedule'!$F$23="","",IF(OR($A235&lt;'Recurring Schedule'!$F$23,$A235&gt;'Recurring Schedule'!$P$23),"",IF(IF('Recurring Schedule'!$N$23&gt;0,MOD($A235-'Recurring Schedule'!$F$23,'Recurring Schedule'!$N$23)=0,IF('Recurring Schedule'!$O$23&gt;0,AND(DAY($A235)=MIN(DAY('Recurring Schedule'!$F$23),DAY(EOMONTH($A235,0))),MOD((YEAR($A235)-YEAR('Recurring Schedule'!$F$23))*12+MONTH($A235)-MONTH('Recurring Schedule'!$F$23),'Recurring Schedule'!$O$23)=0),IF('Recurring Schedule'!$E$23="Weekdays",WEEKDAY($A235,2)&lt;=5,$A235='Recurring Schedule'!$F$23))),18,""))))</f>
        <v/>
      </c>
      <c r="T235">
        <f>IF('Recurring Schedule'!$C$24="","",IF('Recurring Schedule'!$F$24="","",IF(OR($A235&lt;'Recurring Schedule'!$F$24,$A235&gt;'Recurring Schedule'!$P$24),"",IF(IF('Recurring Schedule'!$N$24&gt;0,MOD($A235-'Recurring Schedule'!$F$24,'Recurring Schedule'!$N$24)=0,IF('Recurring Schedule'!$O$24&gt;0,AND(DAY($A235)=MIN(DAY('Recurring Schedule'!$F$24),DAY(EOMONTH($A235,0))),MOD((YEAR($A235)-YEAR('Recurring Schedule'!$F$24))*12+MONTH($A235)-MONTH('Recurring Schedule'!$F$24),'Recurring Schedule'!$O$24)=0),IF('Recurring Schedule'!$E$24="Weekdays",WEEKDAY($A235,2)&lt;=5,$A235='Recurring Schedule'!$F$24))),19,""))))</f>
        <v/>
      </c>
      <c r="U235">
        <f>IF('Recurring Schedule'!$C$25="","",IF('Recurring Schedule'!$F$25="","",IF(OR($A235&lt;'Recurring Schedule'!$F$25,$A235&gt;'Recurring Schedule'!$P$25),"",IF(IF('Recurring Schedule'!$N$25&gt;0,MOD($A235-'Recurring Schedule'!$F$25,'Recurring Schedule'!$N$25)=0,IF('Recurring Schedule'!$O$25&gt;0,AND(DAY($A235)=MIN(DAY('Recurring Schedule'!$F$25),DAY(EOMONTH($A235,0))),MOD((YEAR($A235)-YEAR('Recurring Schedule'!$F$25))*12+MONTH($A235)-MONTH('Recurring Schedule'!$F$25),'Recurring Schedule'!$O$25)=0),IF('Recurring Schedule'!$E$25="Weekdays",WEEKDAY($A235,2)&lt;=5,$A235='Recurring Schedule'!$F$25))),20,""))))</f>
        <v/>
      </c>
      <c r="V235">
        <f>IF('Recurring Schedule'!$C$26="","",IF('Recurring Schedule'!$F$26="","",IF(OR($A235&lt;'Recurring Schedule'!$F$26,$A235&gt;'Recurring Schedule'!$P$26),"",IF(IF('Recurring Schedule'!$N$26&gt;0,MOD($A235-'Recurring Schedule'!$F$26,'Recurring Schedule'!$N$26)=0,IF('Recurring Schedule'!$O$26&gt;0,AND(DAY($A235)=MIN(DAY('Recurring Schedule'!$F$26),DAY(EOMONTH($A235,0))),MOD((YEAR($A235)-YEAR('Recurring Schedule'!$F$26))*12+MONTH($A235)-MONTH('Recurring Schedule'!$F$26),'Recurring Schedule'!$O$26)=0),IF('Recurring Schedule'!$E$26="Weekdays",WEEKDAY($A235,2)&lt;=5,$A235='Recurring Schedule'!$F$26))),21,""))))</f>
        <v/>
      </c>
      <c r="W235">
        <f>IF('Recurring Schedule'!$C$27="","",IF('Recurring Schedule'!$F$27="","",IF(OR($A235&lt;'Recurring Schedule'!$F$27,$A235&gt;'Recurring Schedule'!$P$27),"",IF(IF('Recurring Schedule'!$N$27&gt;0,MOD($A235-'Recurring Schedule'!$F$27,'Recurring Schedule'!$N$27)=0,IF('Recurring Schedule'!$O$27&gt;0,AND(DAY($A235)=MIN(DAY('Recurring Schedule'!$F$27),DAY(EOMONTH($A235,0))),MOD((YEAR($A235)-YEAR('Recurring Schedule'!$F$27))*12+MONTH($A235)-MONTH('Recurring Schedule'!$F$27),'Recurring Schedule'!$O$27)=0),IF('Recurring Schedule'!$E$27="Weekdays",WEEKDAY($A235,2)&lt;=5,$A235='Recurring Schedule'!$F$27))),22,""))))</f>
        <v/>
      </c>
      <c r="X235">
        <f>IF('Recurring Schedule'!$C$28="","",IF('Recurring Schedule'!$F$28="","",IF(OR($A235&lt;'Recurring Schedule'!$F$28,$A235&gt;'Recurring Schedule'!$P$28),"",IF(IF('Recurring Schedule'!$N$28&gt;0,MOD($A235-'Recurring Schedule'!$F$28,'Recurring Schedule'!$N$28)=0,IF('Recurring Schedule'!$O$28&gt;0,AND(DAY($A235)=MIN(DAY('Recurring Schedule'!$F$28),DAY(EOMONTH($A235,0))),MOD((YEAR($A235)-YEAR('Recurring Schedule'!$F$28))*12+MONTH($A235)-MONTH('Recurring Schedule'!$F$28),'Recurring Schedule'!$O$28)=0),IF('Recurring Schedule'!$E$28="Weekdays",WEEKDAY($A235,2)&lt;=5,$A235='Recurring Schedule'!$F$28))),23,""))))</f>
        <v/>
      </c>
      <c r="Y235">
        <f>IF('Recurring Schedule'!$C$29="","",IF('Recurring Schedule'!$F$29="","",IF(OR($A235&lt;'Recurring Schedule'!$F$29,$A235&gt;'Recurring Schedule'!$P$29),"",IF(IF('Recurring Schedule'!$N$29&gt;0,MOD($A235-'Recurring Schedule'!$F$29,'Recurring Schedule'!$N$29)=0,IF('Recurring Schedule'!$O$29&gt;0,AND(DAY($A235)=MIN(DAY('Recurring Schedule'!$F$29),DAY(EOMONTH($A235,0))),MOD((YEAR($A235)-YEAR('Recurring Schedule'!$F$29))*12+MONTH($A235)-MONTH('Recurring Schedule'!$F$29),'Recurring Schedule'!$O$29)=0),IF('Recurring Schedule'!$E$29="Weekdays",WEEKDAY($A235,2)&lt;=5,$A235='Recurring Schedule'!$F$29))),24,""))))</f>
        <v/>
      </c>
      <c r="Z235">
        <f>IF('Recurring Schedule'!$C$30="","",IF('Recurring Schedule'!$F$30="","",IF(OR($A235&lt;'Recurring Schedule'!$F$30,$A235&gt;'Recurring Schedule'!$P$30),"",IF(IF('Recurring Schedule'!$N$30&gt;0,MOD($A235-'Recurring Schedule'!$F$30,'Recurring Schedule'!$N$30)=0,IF('Recurring Schedule'!$O$30&gt;0,AND(DAY($A235)=MIN(DAY('Recurring Schedule'!$F$30),DAY(EOMONTH($A235,0))),MOD((YEAR($A235)-YEAR('Recurring Schedule'!$F$30))*12+MONTH($A235)-MONTH('Recurring Schedule'!$F$30),'Recurring Schedule'!$O$30)=0),IF('Recurring Schedule'!$E$30="Weekdays",WEEKDAY($A235,2)&lt;=5,$A235='Recurring Schedule'!$F$30))),25,""))))</f>
        <v/>
      </c>
      <c r="AA235">
        <f>IF('Recurring Schedule'!$C$31="","",IF('Recurring Schedule'!$F$31="","",IF(OR($A235&lt;'Recurring Schedule'!$F$31,$A235&gt;'Recurring Schedule'!$P$31),"",IF(IF('Recurring Schedule'!$N$31&gt;0,MOD($A235-'Recurring Schedule'!$F$31,'Recurring Schedule'!$N$31)=0,IF('Recurring Schedule'!$O$31&gt;0,AND(DAY($A235)=MIN(DAY('Recurring Schedule'!$F$31),DAY(EOMONTH($A235,0))),MOD((YEAR($A235)-YEAR('Recurring Schedule'!$F$31))*12+MONTH($A235)-MONTH('Recurring Schedule'!$F$31),'Recurring Schedule'!$O$31)=0),IF('Recurring Schedule'!$E$31="Weekdays",WEEKDAY($A235,2)&lt;=5,$A235='Recurring Schedule'!$F$31))),26,""))))</f>
        <v/>
      </c>
      <c r="AB235">
        <f>IF('Recurring Schedule'!$C$32="","",IF('Recurring Schedule'!$F$32="","",IF(OR($A235&lt;'Recurring Schedule'!$F$32,$A235&gt;'Recurring Schedule'!$P$32),"",IF(IF('Recurring Schedule'!$N$32&gt;0,MOD($A235-'Recurring Schedule'!$F$32,'Recurring Schedule'!$N$32)=0,IF('Recurring Schedule'!$O$32&gt;0,AND(DAY($A235)=MIN(DAY('Recurring Schedule'!$F$32),DAY(EOMONTH($A235,0))),MOD((YEAR($A235)-YEAR('Recurring Schedule'!$F$32))*12+MONTH($A235)-MONTH('Recurring Schedule'!$F$32),'Recurring Schedule'!$O$32)=0),IF('Recurring Schedule'!$E$32="Weekdays",WEEKDAY($A235,2)&lt;=5,$A235='Recurring Schedule'!$F$32))),27,""))))</f>
        <v/>
      </c>
      <c r="AC235">
        <f>IF('Recurring Schedule'!$C$33="","",IF('Recurring Schedule'!$F$33="","",IF(OR($A235&lt;'Recurring Schedule'!$F$33,$A235&gt;'Recurring Schedule'!$P$33),"",IF(IF('Recurring Schedule'!$N$33&gt;0,MOD($A235-'Recurring Schedule'!$F$33,'Recurring Schedule'!$N$33)=0,IF('Recurring Schedule'!$O$33&gt;0,AND(DAY($A235)=MIN(DAY('Recurring Schedule'!$F$33),DAY(EOMONTH($A235,0))),MOD((YEAR($A235)-YEAR('Recurring Schedule'!$F$33))*12+MONTH($A235)-MONTH('Recurring Schedule'!$F$33),'Recurring Schedule'!$O$33)=0),IF('Recurring Schedule'!$E$33="Weekdays",WEEKDAY($A235,2)&lt;=5,$A235='Recurring Schedule'!$F$33))),28,""))))</f>
        <v/>
      </c>
      <c r="AD235">
        <f>IF('Recurring Schedule'!$C$34="","",IF('Recurring Schedule'!$F$34="","",IF(OR($A235&lt;'Recurring Schedule'!$F$34,$A235&gt;'Recurring Schedule'!$P$34),"",IF(IF('Recurring Schedule'!$N$34&gt;0,MOD($A235-'Recurring Schedule'!$F$34,'Recurring Schedule'!$N$34)=0,IF('Recurring Schedule'!$O$34&gt;0,AND(DAY($A235)=MIN(DAY('Recurring Schedule'!$F$34),DAY(EOMONTH($A235,0))),MOD((YEAR($A235)-YEAR('Recurring Schedule'!$F$34))*12+MONTH($A235)-MONTH('Recurring Schedule'!$F$34),'Recurring Schedule'!$O$34)=0),IF('Recurring Schedule'!$E$34="Weekdays",WEEKDAY($A235,2)&lt;=5,$A235='Recurring Schedule'!$F$34))),29,""))))</f>
        <v/>
      </c>
      <c r="AE235">
        <f>IF('Recurring Schedule'!$C$35="","",IF('Recurring Schedule'!$F$35="","",IF(OR($A235&lt;'Recurring Schedule'!$F$35,$A235&gt;'Recurring Schedule'!$P$35),"",IF(IF('Recurring Schedule'!$N$35&gt;0,MOD($A235-'Recurring Schedule'!$F$35,'Recurring Schedule'!$N$35)=0,IF('Recurring Schedule'!$O$35&gt;0,AND(DAY($A235)=MIN(DAY('Recurring Schedule'!$F$35),DAY(EOMONTH($A235,0))),MOD((YEAR($A235)-YEAR('Recurring Schedule'!$F$35))*12+MONTH($A235)-MONTH('Recurring Schedule'!$F$35),'Recurring Schedule'!$O$35)=0),IF('Recurring Schedule'!$E$35="Weekdays",WEEKDAY($A235,2)&lt;=5,$A235='Recurring Schedule'!$F$35))),30,""))))</f>
        <v/>
      </c>
      <c r="AF235">
        <f>IF('Recurring Schedule'!$C$36="","",IF('Recurring Schedule'!$F$36="","",IF(OR($A235&lt;'Recurring Schedule'!$F$36,$A235&gt;'Recurring Schedule'!$P$36),"",IF(IF('Recurring Schedule'!$N$36&gt;0,MOD($A235-'Recurring Schedule'!$F$36,'Recurring Schedule'!$N$36)=0,IF('Recurring Schedule'!$O$36&gt;0,AND(DAY($A235)=MIN(DAY('Recurring Schedule'!$F$36),DAY(EOMONTH($A235,0))),MOD((YEAR($A235)-YEAR('Recurring Schedule'!$F$36))*12+MONTH($A235)-MONTH('Recurring Schedule'!$F$36),'Recurring Schedule'!$O$36)=0),IF('Recurring Schedule'!$E$36="Weekdays",WEEKDAY($A235,2)&lt;=5,$A235='Recurring Schedule'!$F$36))),31,""))))</f>
        <v/>
      </c>
      <c r="AG235">
        <f>IF('Recurring Schedule'!$C$37="","",IF('Recurring Schedule'!$F$37="","",IF(OR($A235&lt;'Recurring Schedule'!$F$37,$A235&gt;'Recurring Schedule'!$P$37),"",IF(IF('Recurring Schedule'!$N$37&gt;0,MOD($A235-'Recurring Schedule'!$F$37,'Recurring Schedule'!$N$37)=0,IF('Recurring Schedule'!$O$37&gt;0,AND(DAY($A235)=MIN(DAY('Recurring Schedule'!$F$37),DAY(EOMONTH($A235,0))),MOD((YEAR($A235)-YEAR('Recurring Schedule'!$F$37))*12+MONTH($A235)-MONTH('Recurring Schedule'!$F$37),'Recurring Schedule'!$O$37)=0),IF('Recurring Schedule'!$E$37="Weekdays",WEEKDAY($A235,2)&lt;=5,$A235='Recurring Schedule'!$F$37))),32,""))))</f>
        <v/>
      </c>
      <c r="AH235">
        <f>IF('Recurring Schedule'!$C$38="","",IF('Recurring Schedule'!$F$38="","",IF(OR($A235&lt;'Recurring Schedule'!$F$38,$A235&gt;'Recurring Schedule'!$P$38),"",IF(IF('Recurring Schedule'!$N$38&gt;0,MOD($A235-'Recurring Schedule'!$F$38,'Recurring Schedule'!$N$38)=0,IF('Recurring Schedule'!$O$38&gt;0,AND(DAY($A235)=MIN(DAY('Recurring Schedule'!$F$38),DAY(EOMONTH($A235,0))),MOD((YEAR($A235)-YEAR('Recurring Schedule'!$F$38))*12+MONTH($A235)-MONTH('Recurring Schedule'!$F$38),'Recurring Schedule'!$O$38)=0),IF('Recurring Schedule'!$E$38="Weekdays",WEEKDAY($A235,2)&lt;=5,$A235='Recurring Schedule'!$F$38))),33,""))))</f>
        <v/>
      </c>
      <c r="AI235">
        <f>IF('Recurring Schedule'!$C$39="","",IF('Recurring Schedule'!$F$39="","",IF(OR($A235&lt;'Recurring Schedule'!$F$39,$A235&gt;'Recurring Schedule'!$P$39),"",IF(IF('Recurring Schedule'!$N$39&gt;0,MOD($A235-'Recurring Schedule'!$F$39,'Recurring Schedule'!$N$39)=0,IF('Recurring Schedule'!$O$39&gt;0,AND(DAY($A235)=MIN(DAY('Recurring Schedule'!$F$39),DAY(EOMONTH($A235,0))),MOD((YEAR($A235)-YEAR('Recurring Schedule'!$F$39))*12+MONTH($A235)-MONTH('Recurring Schedule'!$F$39),'Recurring Schedule'!$O$39)=0),IF('Recurring Schedule'!$E$39="Weekdays",WEEKDAY($A235,2)&lt;=5,$A235='Recurring Schedule'!$F$39))),34,""))))</f>
        <v/>
      </c>
      <c r="AJ235">
        <f>IF('Recurring Schedule'!$C$40="","",IF('Recurring Schedule'!$F$40="","",IF(OR($A235&lt;'Recurring Schedule'!$F$40,$A235&gt;'Recurring Schedule'!$P$40),"",IF(IF('Recurring Schedule'!$N$40&gt;0,MOD($A235-'Recurring Schedule'!$F$40,'Recurring Schedule'!$N$40)=0,IF('Recurring Schedule'!$O$40&gt;0,AND(DAY($A235)=MIN(DAY('Recurring Schedule'!$F$40),DAY(EOMONTH($A235,0))),MOD((YEAR($A235)-YEAR('Recurring Schedule'!$F$40))*12+MONTH($A235)-MONTH('Recurring Schedule'!$F$40),'Recurring Schedule'!$O$40)=0),IF('Recurring Schedule'!$E$40="Weekdays",WEEKDAY($A235,2)&lt;=5,$A235='Recurring Schedule'!$F$40))),35,""))))</f>
        <v/>
      </c>
      <c r="AK235">
        <f>IF('Recurring Schedule'!$C$41="","",IF('Recurring Schedule'!$F$41="","",IF(OR($A235&lt;'Recurring Schedule'!$F$41,$A235&gt;'Recurring Schedule'!$P$41),"",IF(IF('Recurring Schedule'!$N$41&gt;0,MOD($A235-'Recurring Schedule'!$F$41,'Recurring Schedule'!$N$41)=0,IF('Recurring Schedule'!$O$41&gt;0,AND(DAY($A235)=MIN(DAY('Recurring Schedule'!$F$41),DAY(EOMONTH($A235,0))),MOD((YEAR($A235)-YEAR('Recurring Schedule'!$F$41))*12+MONTH($A235)-MONTH('Recurring Schedule'!$F$41),'Recurring Schedule'!$O$41)=0),IF('Recurring Schedule'!$E$41="Weekdays",WEEKDAY($A235,2)&lt;=5,$A235='Recurring Schedule'!$F$41))),36,""))))</f>
        <v/>
      </c>
      <c r="AL235">
        <f>IF('Recurring Schedule'!$C$42="","",IF('Recurring Schedule'!$F$42="","",IF(OR($A235&lt;'Recurring Schedule'!$F$42,$A235&gt;'Recurring Schedule'!$P$42),"",IF(IF('Recurring Schedule'!$N$42&gt;0,MOD($A235-'Recurring Schedule'!$F$42,'Recurring Schedule'!$N$42)=0,IF('Recurring Schedule'!$O$42&gt;0,AND(DAY($A235)=MIN(DAY('Recurring Schedule'!$F$42),DAY(EOMONTH($A235,0))),MOD((YEAR($A235)-YEAR('Recurring Schedule'!$F$42))*12+MONTH($A235)-MONTH('Recurring Schedule'!$F$42),'Recurring Schedule'!$O$42)=0),IF('Recurring Schedule'!$E$42="Weekdays",WEEKDAY($A235,2)&lt;=5,$A235='Recurring Schedule'!$F$42))),37,""))))</f>
        <v/>
      </c>
      <c r="AM235">
        <f>IF('Recurring Schedule'!$C$43="","",IF('Recurring Schedule'!$F$43="","",IF(OR($A235&lt;'Recurring Schedule'!$F$43,$A235&gt;'Recurring Schedule'!$P$43),"",IF(IF('Recurring Schedule'!$N$43&gt;0,MOD($A235-'Recurring Schedule'!$F$43,'Recurring Schedule'!$N$43)=0,IF('Recurring Schedule'!$O$43&gt;0,AND(DAY($A235)=MIN(DAY('Recurring Schedule'!$F$43),DAY(EOMONTH($A235,0))),MOD((YEAR($A235)-YEAR('Recurring Schedule'!$F$43))*12+MONTH($A235)-MONTH('Recurring Schedule'!$F$43),'Recurring Schedule'!$O$43)=0),IF('Recurring Schedule'!$E$43="Weekdays",WEEKDAY($A235,2)&lt;=5,$A235='Recurring Schedule'!$F$43))),38,""))))</f>
        <v/>
      </c>
      <c r="AN235">
        <f>IF('Recurring Schedule'!$C$44="","",IF('Recurring Schedule'!$F$44="","",IF(OR($A235&lt;'Recurring Schedule'!$F$44,$A235&gt;'Recurring Schedule'!$P$44),"",IF(IF('Recurring Schedule'!$N$44&gt;0,MOD($A235-'Recurring Schedule'!$F$44,'Recurring Schedule'!$N$44)=0,IF('Recurring Schedule'!$O$44&gt;0,AND(DAY($A235)=MIN(DAY('Recurring Schedule'!$F$44),DAY(EOMONTH($A235,0))),MOD((YEAR($A235)-YEAR('Recurring Schedule'!$F$44))*12+MONTH($A235)-MONTH('Recurring Schedule'!$F$44),'Recurring Schedule'!$O$44)=0),IF('Recurring Schedule'!$E$44="Weekdays",WEEKDAY($A235,2)&lt;=5,$A235='Recurring Schedule'!$F$44))),39,""))))</f>
        <v/>
      </c>
      <c r="AO235">
        <f>IF('Recurring Schedule'!$C$45="","",IF('Recurring Schedule'!$F$45="","",IF(OR($A235&lt;'Recurring Schedule'!$F$45,$A235&gt;'Recurring Schedule'!$P$45),"",IF(IF('Recurring Schedule'!$N$45&gt;0,MOD($A235-'Recurring Schedule'!$F$45,'Recurring Schedule'!$N$45)=0,IF('Recurring Schedule'!$O$45&gt;0,AND(DAY($A235)=MIN(DAY('Recurring Schedule'!$F$45),DAY(EOMONTH($A235,0))),MOD((YEAR($A235)-YEAR('Recurring Schedule'!$F$45))*12+MONTH($A235)-MONTH('Recurring Schedule'!$F$45),'Recurring Schedule'!$O$45)=0),IF('Recurring Schedule'!$E$45="Weekdays",WEEKDAY($A235,2)&lt;=5,$A235='Recurring Schedule'!$F$45))),40,""))))</f>
        <v/>
      </c>
      <c r="AP235">
        <f>COUNT(B235:AO235)</f>
        <v/>
      </c>
      <c r="AQ235">
        <f>AQ234+AP234</f>
        <v/>
      </c>
      <c r="AS235" t="inlineStr">
        <is>
          <t>R</t>
        </is>
      </c>
      <c r="AT235" t="n">
        <v>239</v>
      </c>
      <c r="AU235">
        <f>'Recurring Log'!C239&amp;""</f>
        <v/>
      </c>
      <c r="AV235">
        <f>'Recurring Log'!D239&amp;""</f>
        <v/>
      </c>
      <c r="AW235">
        <f>IF('Recurring Log'!E239="","",'Recurring Log'!E239)</f>
        <v/>
      </c>
      <c r="AX235">
        <f>IF('Recurring Log'!G239="","",'Recurring Log'!G239)</f>
        <v/>
      </c>
      <c r="AY235">
        <f>IF('Recurring Log'!H239="","",'Recurring Log'!H239)</f>
        <v/>
      </c>
      <c r="AZ235">
        <f>IF(AU235="","",IF('Recurring Log'!J239="","Not Started",'Recurring Log'!J239))</f>
        <v/>
      </c>
      <c r="BA235">
        <f>'Recurring Log'!L239&amp;""</f>
        <v/>
      </c>
      <c r="BB235">
        <f>'Recurring Log'!M239&amp;""</f>
        <v/>
      </c>
      <c r="BC235">
        <f>'Recurring Log'!N239&amp;""</f>
        <v/>
      </c>
      <c r="BD235">
        <f>'Recurring Log'!O239&amp;""</f>
        <v/>
      </c>
      <c r="BE235">
        <f>IF('Recurring Log'!K239="","",'Recurring Log'!K239)</f>
        <v/>
      </c>
      <c r="BF235">
        <f>IFERROR(MATCH(BA235,Setup!$L$6:$L$9,0),5)</f>
        <v/>
      </c>
      <c r="BG235">
        <f>IF(OR(AZ235="Done",AZ235="Cancelled"),1,0)</f>
        <v/>
      </c>
      <c r="BH235">
        <f>IF(AND(AU235&lt;&gt;"",ISNUMBER(AW235)),1,0)</f>
        <v/>
      </c>
      <c r="BI235">
        <f>IF(BH235=0,0,IF(AND(AW235&gt;='Tasks Filter'!$F$3,AW235&lt;='Tasks Filter'!$F$4,OR('Tasks Filter'!$I$3="",ISNUMBER(SEARCH('Tasks Filter'!$I$3,AU235))),OR('Tasks Filter'!$I$4="",BF235=IFERROR(MATCH('Tasks Filter'!$I$4,Setup!$L$6:$L$9,0),0)),OR('Tasks Filter'!$I$5="Both",AND('Tasks Filter'!$I$5="Yes",BB235="✓"),AND('Tasks Filter'!$I$5="No",BB235&lt;&gt;"✓")),OR('Tasks Filter'!$L$3="",AV235='Tasks Filter'!$L$3),OR('Tasks Filter'!$L$4="",AZ235='Tasks Filter'!$L$4),OR('Tasks Filter'!$L$5="",BC235='Tasks Filter'!$L$5),OR('Tasks Filter'!$O$3="",BD235='Tasks Filter'!$O$3),OR('Tasks Filter'!$O$4="Yes",BG235=0)),1,0))</f>
        <v/>
      </c>
      <c r="BJ235">
        <f>IF(BH235=0,"",IF('Tasks Filter'!$F$6="Descending",-1,1)*CHOOSE(MATCH('Tasks Filter'!$F$5,Lists!$G$2:$G$6,0),AW235,BF235,IFERROR(MATCH(AV235,Setup!$F$6:$F$15,0),99),IFERROR(MATCH(BC235,Setup!$H$6:$H$15,0),99),IFERROR(MATCH(AZ235,Setup!$J$6:$J$11,0),99))*1E+9+(AW235-40000)*10000+234)</f>
        <v/>
      </c>
      <c r="BK235">
        <f>IF(BI235=1,BJ235,"")</f>
        <v/>
      </c>
      <c r="BL235">
        <f>IF(AND(BH235=1,BG235=0,N(AW235)&lt;Setup!$D$7),(AW235-40000)*10000+234,"")</f>
        <v/>
      </c>
      <c r="BM235">
        <f>IF(AND(BH235=1,AZ235&lt;&gt;"Cancelled",N(AW235)&gt;=Dashboard!$AB$3,N(AW235)&lt;=Dashboard!$AB$3+6),(AW235-40000)*100000+BF235*10000+234,"")</f>
        <v/>
      </c>
      <c r="BN235">
        <f>IF(AND(BH235=1,AZ235&lt;&gt;"Cancelled"),BF235*10000+234,"")</f>
        <v/>
      </c>
    </row>
    <row r="236">
      <c r="A236">
        <f>Setup!$D$5+234</f>
        <v/>
      </c>
      <c r="B236">
        <f>IF('Recurring Schedule'!$C$6="","",IF('Recurring Schedule'!$F$6="","",IF(OR($A236&lt;'Recurring Schedule'!$F$6,$A236&gt;'Recurring Schedule'!$P$6),"",IF(IF('Recurring Schedule'!$N$6&gt;0,MOD($A236-'Recurring Schedule'!$F$6,'Recurring Schedule'!$N$6)=0,IF('Recurring Schedule'!$O$6&gt;0,AND(DAY($A236)=MIN(DAY('Recurring Schedule'!$F$6),DAY(EOMONTH($A236,0))),MOD((YEAR($A236)-YEAR('Recurring Schedule'!$F$6))*12+MONTH($A236)-MONTH('Recurring Schedule'!$F$6),'Recurring Schedule'!$O$6)=0),IF('Recurring Schedule'!$E$6="Weekdays",WEEKDAY($A236,2)&lt;=5,$A236='Recurring Schedule'!$F$6))),1,""))))</f>
        <v/>
      </c>
      <c r="C236">
        <f>IF('Recurring Schedule'!$C$7="","",IF('Recurring Schedule'!$F$7="","",IF(OR($A236&lt;'Recurring Schedule'!$F$7,$A236&gt;'Recurring Schedule'!$P$7),"",IF(IF('Recurring Schedule'!$N$7&gt;0,MOD($A236-'Recurring Schedule'!$F$7,'Recurring Schedule'!$N$7)=0,IF('Recurring Schedule'!$O$7&gt;0,AND(DAY($A236)=MIN(DAY('Recurring Schedule'!$F$7),DAY(EOMONTH($A236,0))),MOD((YEAR($A236)-YEAR('Recurring Schedule'!$F$7))*12+MONTH($A236)-MONTH('Recurring Schedule'!$F$7),'Recurring Schedule'!$O$7)=0),IF('Recurring Schedule'!$E$7="Weekdays",WEEKDAY($A236,2)&lt;=5,$A236='Recurring Schedule'!$F$7))),2,""))))</f>
        <v/>
      </c>
      <c r="D236">
        <f>IF('Recurring Schedule'!$C$8="","",IF('Recurring Schedule'!$F$8="","",IF(OR($A236&lt;'Recurring Schedule'!$F$8,$A236&gt;'Recurring Schedule'!$P$8),"",IF(IF('Recurring Schedule'!$N$8&gt;0,MOD($A236-'Recurring Schedule'!$F$8,'Recurring Schedule'!$N$8)=0,IF('Recurring Schedule'!$O$8&gt;0,AND(DAY($A236)=MIN(DAY('Recurring Schedule'!$F$8),DAY(EOMONTH($A236,0))),MOD((YEAR($A236)-YEAR('Recurring Schedule'!$F$8))*12+MONTH($A236)-MONTH('Recurring Schedule'!$F$8),'Recurring Schedule'!$O$8)=0),IF('Recurring Schedule'!$E$8="Weekdays",WEEKDAY($A236,2)&lt;=5,$A236='Recurring Schedule'!$F$8))),3,""))))</f>
        <v/>
      </c>
      <c r="E236">
        <f>IF('Recurring Schedule'!$C$9="","",IF('Recurring Schedule'!$F$9="","",IF(OR($A236&lt;'Recurring Schedule'!$F$9,$A236&gt;'Recurring Schedule'!$P$9),"",IF(IF('Recurring Schedule'!$N$9&gt;0,MOD($A236-'Recurring Schedule'!$F$9,'Recurring Schedule'!$N$9)=0,IF('Recurring Schedule'!$O$9&gt;0,AND(DAY($A236)=MIN(DAY('Recurring Schedule'!$F$9),DAY(EOMONTH($A236,0))),MOD((YEAR($A236)-YEAR('Recurring Schedule'!$F$9))*12+MONTH($A236)-MONTH('Recurring Schedule'!$F$9),'Recurring Schedule'!$O$9)=0),IF('Recurring Schedule'!$E$9="Weekdays",WEEKDAY($A236,2)&lt;=5,$A236='Recurring Schedule'!$F$9))),4,""))))</f>
        <v/>
      </c>
      <c r="F236">
        <f>IF('Recurring Schedule'!$C$10="","",IF('Recurring Schedule'!$F$10="","",IF(OR($A236&lt;'Recurring Schedule'!$F$10,$A236&gt;'Recurring Schedule'!$P$10),"",IF(IF('Recurring Schedule'!$N$10&gt;0,MOD($A236-'Recurring Schedule'!$F$10,'Recurring Schedule'!$N$10)=0,IF('Recurring Schedule'!$O$10&gt;0,AND(DAY($A236)=MIN(DAY('Recurring Schedule'!$F$10),DAY(EOMONTH($A236,0))),MOD((YEAR($A236)-YEAR('Recurring Schedule'!$F$10))*12+MONTH($A236)-MONTH('Recurring Schedule'!$F$10),'Recurring Schedule'!$O$10)=0),IF('Recurring Schedule'!$E$10="Weekdays",WEEKDAY($A236,2)&lt;=5,$A236='Recurring Schedule'!$F$10))),5,""))))</f>
        <v/>
      </c>
      <c r="G236">
        <f>IF('Recurring Schedule'!$C$11="","",IF('Recurring Schedule'!$F$11="","",IF(OR($A236&lt;'Recurring Schedule'!$F$11,$A236&gt;'Recurring Schedule'!$P$11),"",IF(IF('Recurring Schedule'!$N$11&gt;0,MOD($A236-'Recurring Schedule'!$F$11,'Recurring Schedule'!$N$11)=0,IF('Recurring Schedule'!$O$11&gt;0,AND(DAY($A236)=MIN(DAY('Recurring Schedule'!$F$11),DAY(EOMONTH($A236,0))),MOD((YEAR($A236)-YEAR('Recurring Schedule'!$F$11))*12+MONTH($A236)-MONTH('Recurring Schedule'!$F$11),'Recurring Schedule'!$O$11)=0),IF('Recurring Schedule'!$E$11="Weekdays",WEEKDAY($A236,2)&lt;=5,$A236='Recurring Schedule'!$F$11))),6,""))))</f>
        <v/>
      </c>
      <c r="H236">
        <f>IF('Recurring Schedule'!$C$12="","",IF('Recurring Schedule'!$F$12="","",IF(OR($A236&lt;'Recurring Schedule'!$F$12,$A236&gt;'Recurring Schedule'!$P$12),"",IF(IF('Recurring Schedule'!$N$12&gt;0,MOD($A236-'Recurring Schedule'!$F$12,'Recurring Schedule'!$N$12)=0,IF('Recurring Schedule'!$O$12&gt;0,AND(DAY($A236)=MIN(DAY('Recurring Schedule'!$F$12),DAY(EOMONTH($A236,0))),MOD((YEAR($A236)-YEAR('Recurring Schedule'!$F$12))*12+MONTH($A236)-MONTH('Recurring Schedule'!$F$12),'Recurring Schedule'!$O$12)=0),IF('Recurring Schedule'!$E$12="Weekdays",WEEKDAY($A236,2)&lt;=5,$A236='Recurring Schedule'!$F$12))),7,""))))</f>
        <v/>
      </c>
      <c r="I236">
        <f>IF('Recurring Schedule'!$C$13="","",IF('Recurring Schedule'!$F$13="","",IF(OR($A236&lt;'Recurring Schedule'!$F$13,$A236&gt;'Recurring Schedule'!$P$13),"",IF(IF('Recurring Schedule'!$N$13&gt;0,MOD($A236-'Recurring Schedule'!$F$13,'Recurring Schedule'!$N$13)=0,IF('Recurring Schedule'!$O$13&gt;0,AND(DAY($A236)=MIN(DAY('Recurring Schedule'!$F$13),DAY(EOMONTH($A236,0))),MOD((YEAR($A236)-YEAR('Recurring Schedule'!$F$13))*12+MONTH($A236)-MONTH('Recurring Schedule'!$F$13),'Recurring Schedule'!$O$13)=0),IF('Recurring Schedule'!$E$13="Weekdays",WEEKDAY($A236,2)&lt;=5,$A236='Recurring Schedule'!$F$13))),8,""))))</f>
        <v/>
      </c>
      <c r="J236">
        <f>IF('Recurring Schedule'!$C$14="","",IF('Recurring Schedule'!$F$14="","",IF(OR($A236&lt;'Recurring Schedule'!$F$14,$A236&gt;'Recurring Schedule'!$P$14),"",IF(IF('Recurring Schedule'!$N$14&gt;0,MOD($A236-'Recurring Schedule'!$F$14,'Recurring Schedule'!$N$14)=0,IF('Recurring Schedule'!$O$14&gt;0,AND(DAY($A236)=MIN(DAY('Recurring Schedule'!$F$14),DAY(EOMONTH($A236,0))),MOD((YEAR($A236)-YEAR('Recurring Schedule'!$F$14))*12+MONTH($A236)-MONTH('Recurring Schedule'!$F$14),'Recurring Schedule'!$O$14)=0),IF('Recurring Schedule'!$E$14="Weekdays",WEEKDAY($A236,2)&lt;=5,$A236='Recurring Schedule'!$F$14))),9,""))))</f>
        <v/>
      </c>
      <c r="K236">
        <f>IF('Recurring Schedule'!$C$15="","",IF('Recurring Schedule'!$F$15="","",IF(OR($A236&lt;'Recurring Schedule'!$F$15,$A236&gt;'Recurring Schedule'!$P$15),"",IF(IF('Recurring Schedule'!$N$15&gt;0,MOD($A236-'Recurring Schedule'!$F$15,'Recurring Schedule'!$N$15)=0,IF('Recurring Schedule'!$O$15&gt;0,AND(DAY($A236)=MIN(DAY('Recurring Schedule'!$F$15),DAY(EOMONTH($A236,0))),MOD((YEAR($A236)-YEAR('Recurring Schedule'!$F$15))*12+MONTH($A236)-MONTH('Recurring Schedule'!$F$15),'Recurring Schedule'!$O$15)=0),IF('Recurring Schedule'!$E$15="Weekdays",WEEKDAY($A236,2)&lt;=5,$A236='Recurring Schedule'!$F$15))),10,""))))</f>
        <v/>
      </c>
      <c r="L236">
        <f>IF('Recurring Schedule'!$C$16="","",IF('Recurring Schedule'!$F$16="","",IF(OR($A236&lt;'Recurring Schedule'!$F$16,$A236&gt;'Recurring Schedule'!$P$16),"",IF(IF('Recurring Schedule'!$N$16&gt;0,MOD($A236-'Recurring Schedule'!$F$16,'Recurring Schedule'!$N$16)=0,IF('Recurring Schedule'!$O$16&gt;0,AND(DAY($A236)=MIN(DAY('Recurring Schedule'!$F$16),DAY(EOMONTH($A236,0))),MOD((YEAR($A236)-YEAR('Recurring Schedule'!$F$16))*12+MONTH($A236)-MONTH('Recurring Schedule'!$F$16),'Recurring Schedule'!$O$16)=0),IF('Recurring Schedule'!$E$16="Weekdays",WEEKDAY($A236,2)&lt;=5,$A236='Recurring Schedule'!$F$16))),11,""))))</f>
        <v/>
      </c>
      <c r="M236">
        <f>IF('Recurring Schedule'!$C$17="","",IF('Recurring Schedule'!$F$17="","",IF(OR($A236&lt;'Recurring Schedule'!$F$17,$A236&gt;'Recurring Schedule'!$P$17),"",IF(IF('Recurring Schedule'!$N$17&gt;0,MOD($A236-'Recurring Schedule'!$F$17,'Recurring Schedule'!$N$17)=0,IF('Recurring Schedule'!$O$17&gt;0,AND(DAY($A236)=MIN(DAY('Recurring Schedule'!$F$17),DAY(EOMONTH($A236,0))),MOD((YEAR($A236)-YEAR('Recurring Schedule'!$F$17))*12+MONTH($A236)-MONTH('Recurring Schedule'!$F$17),'Recurring Schedule'!$O$17)=0),IF('Recurring Schedule'!$E$17="Weekdays",WEEKDAY($A236,2)&lt;=5,$A236='Recurring Schedule'!$F$17))),12,""))))</f>
        <v/>
      </c>
      <c r="N236">
        <f>IF('Recurring Schedule'!$C$18="","",IF('Recurring Schedule'!$F$18="","",IF(OR($A236&lt;'Recurring Schedule'!$F$18,$A236&gt;'Recurring Schedule'!$P$18),"",IF(IF('Recurring Schedule'!$N$18&gt;0,MOD($A236-'Recurring Schedule'!$F$18,'Recurring Schedule'!$N$18)=0,IF('Recurring Schedule'!$O$18&gt;0,AND(DAY($A236)=MIN(DAY('Recurring Schedule'!$F$18),DAY(EOMONTH($A236,0))),MOD((YEAR($A236)-YEAR('Recurring Schedule'!$F$18))*12+MONTH($A236)-MONTH('Recurring Schedule'!$F$18),'Recurring Schedule'!$O$18)=0),IF('Recurring Schedule'!$E$18="Weekdays",WEEKDAY($A236,2)&lt;=5,$A236='Recurring Schedule'!$F$18))),13,""))))</f>
        <v/>
      </c>
      <c r="O236">
        <f>IF('Recurring Schedule'!$C$19="","",IF('Recurring Schedule'!$F$19="","",IF(OR($A236&lt;'Recurring Schedule'!$F$19,$A236&gt;'Recurring Schedule'!$P$19),"",IF(IF('Recurring Schedule'!$N$19&gt;0,MOD($A236-'Recurring Schedule'!$F$19,'Recurring Schedule'!$N$19)=0,IF('Recurring Schedule'!$O$19&gt;0,AND(DAY($A236)=MIN(DAY('Recurring Schedule'!$F$19),DAY(EOMONTH($A236,0))),MOD((YEAR($A236)-YEAR('Recurring Schedule'!$F$19))*12+MONTH($A236)-MONTH('Recurring Schedule'!$F$19),'Recurring Schedule'!$O$19)=0),IF('Recurring Schedule'!$E$19="Weekdays",WEEKDAY($A236,2)&lt;=5,$A236='Recurring Schedule'!$F$19))),14,""))))</f>
        <v/>
      </c>
      <c r="P236">
        <f>IF('Recurring Schedule'!$C$20="","",IF('Recurring Schedule'!$F$20="","",IF(OR($A236&lt;'Recurring Schedule'!$F$20,$A236&gt;'Recurring Schedule'!$P$20),"",IF(IF('Recurring Schedule'!$N$20&gt;0,MOD($A236-'Recurring Schedule'!$F$20,'Recurring Schedule'!$N$20)=0,IF('Recurring Schedule'!$O$20&gt;0,AND(DAY($A236)=MIN(DAY('Recurring Schedule'!$F$20),DAY(EOMONTH($A236,0))),MOD((YEAR($A236)-YEAR('Recurring Schedule'!$F$20))*12+MONTH($A236)-MONTH('Recurring Schedule'!$F$20),'Recurring Schedule'!$O$20)=0),IF('Recurring Schedule'!$E$20="Weekdays",WEEKDAY($A236,2)&lt;=5,$A236='Recurring Schedule'!$F$20))),15,""))))</f>
        <v/>
      </c>
      <c r="Q236">
        <f>IF('Recurring Schedule'!$C$21="","",IF('Recurring Schedule'!$F$21="","",IF(OR($A236&lt;'Recurring Schedule'!$F$21,$A236&gt;'Recurring Schedule'!$P$21),"",IF(IF('Recurring Schedule'!$N$21&gt;0,MOD($A236-'Recurring Schedule'!$F$21,'Recurring Schedule'!$N$21)=0,IF('Recurring Schedule'!$O$21&gt;0,AND(DAY($A236)=MIN(DAY('Recurring Schedule'!$F$21),DAY(EOMONTH($A236,0))),MOD((YEAR($A236)-YEAR('Recurring Schedule'!$F$21))*12+MONTH($A236)-MONTH('Recurring Schedule'!$F$21),'Recurring Schedule'!$O$21)=0),IF('Recurring Schedule'!$E$21="Weekdays",WEEKDAY($A236,2)&lt;=5,$A236='Recurring Schedule'!$F$21))),16,""))))</f>
        <v/>
      </c>
      <c r="R236">
        <f>IF('Recurring Schedule'!$C$22="","",IF('Recurring Schedule'!$F$22="","",IF(OR($A236&lt;'Recurring Schedule'!$F$22,$A236&gt;'Recurring Schedule'!$P$22),"",IF(IF('Recurring Schedule'!$N$22&gt;0,MOD($A236-'Recurring Schedule'!$F$22,'Recurring Schedule'!$N$22)=0,IF('Recurring Schedule'!$O$22&gt;0,AND(DAY($A236)=MIN(DAY('Recurring Schedule'!$F$22),DAY(EOMONTH($A236,0))),MOD((YEAR($A236)-YEAR('Recurring Schedule'!$F$22))*12+MONTH($A236)-MONTH('Recurring Schedule'!$F$22),'Recurring Schedule'!$O$22)=0),IF('Recurring Schedule'!$E$22="Weekdays",WEEKDAY($A236,2)&lt;=5,$A236='Recurring Schedule'!$F$22))),17,""))))</f>
        <v/>
      </c>
      <c r="S236">
        <f>IF('Recurring Schedule'!$C$23="","",IF('Recurring Schedule'!$F$23="","",IF(OR($A236&lt;'Recurring Schedule'!$F$23,$A236&gt;'Recurring Schedule'!$P$23),"",IF(IF('Recurring Schedule'!$N$23&gt;0,MOD($A236-'Recurring Schedule'!$F$23,'Recurring Schedule'!$N$23)=0,IF('Recurring Schedule'!$O$23&gt;0,AND(DAY($A236)=MIN(DAY('Recurring Schedule'!$F$23),DAY(EOMONTH($A236,0))),MOD((YEAR($A236)-YEAR('Recurring Schedule'!$F$23))*12+MONTH($A236)-MONTH('Recurring Schedule'!$F$23),'Recurring Schedule'!$O$23)=0),IF('Recurring Schedule'!$E$23="Weekdays",WEEKDAY($A236,2)&lt;=5,$A236='Recurring Schedule'!$F$23))),18,""))))</f>
        <v/>
      </c>
      <c r="T236">
        <f>IF('Recurring Schedule'!$C$24="","",IF('Recurring Schedule'!$F$24="","",IF(OR($A236&lt;'Recurring Schedule'!$F$24,$A236&gt;'Recurring Schedule'!$P$24),"",IF(IF('Recurring Schedule'!$N$24&gt;0,MOD($A236-'Recurring Schedule'!$F$24,'Recurring Schedule'!$N$24)=0,IF('Recurring Schedule'!$O$24&gt;0,AND(DAY($A236)=MIN(DAY('Recurring Schedule'!$F$24),DAY(EOMONTH($A236,0))),MOD((YEAR($A236)-YEAR('Recurring Schedule'!$F$24))*12+MONTH($A236)-MONTH('Recurring Schedule'!$F$24),'Recurring Schedule'!$O$24)=0),IF('Recurring Schedule'!$E$24="Weekdays",WEEKDAY($A236,2)&lt;=5,$A236='Recurring Schedule'!$F$24))),19,""))))</f>
        <v/>
      </c>
      <c r="U236">
        <f>IF('Recurring Schedule'!$C$25="","",IF('Recurring Schedule'!$F$25="","",IF(OR($A236&lt;'Recurring Schedule'!$F$25,$A236&gt;'Recurring Schedule'!$P$25),"",IF(IF('Recurring Schedule'!$N$25&gt;0,MOD($A236-'Recurring Schedule'!$F$25,'Recurring Schedule'!$N$25)=0,IF('Recurring Schedule'!$O$25&gt;0,AND(DAY($A236)=MIN(DAY('Recurring Schedule'!$F$25),DAY(EOMONTH($A236,0))),MOD((YEAR($A236)-YEAR('Recurring Schedule'!$F$25))*12+MONTH($A236)-MONTH('Recurring Schedule'!$F$25),'Recurring Schedule'!$O$25)=0),IF('Recurring Schedule'!$E$25="Weekdays",WEEKDAY($A236,2)&lt;=5,$A236='Recurring Schedule'!$F$25))),20,""))))</f>
        <v/>
      </c>
      <c r="V236">
        <f>IF('Recurring Schedule'!$C$26="","",IF('Recurring Schedule'!$F$26="","",IF(OR($A236&lt;'Recurring Schedule'!$F$26,$A236&gt;'Recurring Schedule'!$P$26),"",IF(IF('Recurring Schedule'!$N$26&gt;0,MOD($A236-'Recurring Schedule'!$F$26,'Recurring Schedule'!$N$26)=0,IF('Recurring Schedule'!$O$26&gt;0,AND(DAY($A236)=MIN(DAY('Recurring Schedule'!$F$26),DAY(EOMONTH($A236,0))),MOD((YEAR($A236)-YEAR('Recurring Schedule'!$F$26))*12+MONTH($A236)-MONTH('Recurring Schedule'!$F$26),'Recurring Schedule'!$O$26)=0),IF('Recurring Schedule'!$E$26="Weekdays",WEEKDAY($A236,2)&lt;=5,$A236='Recurring Schedule'!$F$26))),21,""))))</f>
        <v/>
      </c>
      <c r="W236">
        <f>IF('Recurring Schedule'!$C$27="","",IF('Recurring Schedule'!$F$27="","",IF(OR($A236&lt;'Recurring Schedule'!$F$27,$A236&gt;'Recurring Schedule'!$P$27),"",IF(IF('Recurring Schedule'!$N$27&gt;0,MOD($A236-'Recurring Schedule'!$F$27,'Recurring Schedule'!$N$27)=0,IF('Recurring Schedule'!$O$27&gt;0,AND(DAY($A236)=MIN(DAY('Recurring Schedule'!$F$27),DAY(EOMONTH($A236,0))),MOD((YEAR($A236)-YEAR('Recurring Schedule'!$F$27))*12+MONTH($A236)-MONTH('Recurring Schedule'!$F$27),'Recurring Schedule'!$O$27)=0),IF('Recurring Schedule'!$E$27="Weekdays",WEEKDAY($A236,2)&lt;=5,$A236='Recurring Schedule'!$F$27))),22,""))))</f>
        <v/>
      </c>
      <c r="X236">
        <f>IF('Recurring Schedule'!$C$28="","",IF('Recurring Schedule'!$F$28="","",IF(OR($A236&lt;'Recurring Schedule'!$F$28,$A236&gt;'Recurring Schedule'!$P$28),"",IF(IF('Recurring Schedule'!$N$28&gt;0,MOD($A236-'Recurring Schedule'!$F$28,'Recurring Schedule'!$N$28)=0,IF('Recurring Schedule'!$O$28&gt;0,AND(DAY($A236)=MIN(DAY('Recurring Schedule'!$F$28),DAY(EOMONTH($A236,0))),MOD((YEAR($A236)-YEAR('Recurring Schedule'!$F$28))*12+MONTH($A236)-MONTH('Recurring Schedule'!$F$28),'Recurring Schedule'!$O$28)=0),IF('Recurring Schedule'!$E$28="Weekdays",WEEKDAY($A236,2)&lt;=5,$A236='Recurring Schedule'!$F$28))),23,""))))</f>
        <v/>
      </c>
      <c r="Y236">
        <f>IF('Recurring Schedule'!$C$29="","",IF('Recurring Schedule'!$F$29="","",IF(OR($A236&lt;'Recurring Schedule'!$F$29,$A236&gt;'Recurring Schedule'!$P$29),"",IF(IF('Recurring Schedule'!$N$29&gt;0,MOD($A236-'Recurring Schedule'!$F$29,'Recurring Schedule'!$N$29)=0,IF('Recurring Schedule'!$O$29&gt;0,AND(DAY($A236)=MIN(DAY('Recurring Schedule'!$F$29),DAY(EOMONTH($A236,0))),MOD((YEAR($A236)-YEAR('Recurring Schedule'!$F$29))*12+MONTH($A236)-MONTH('Recurring Schedule'!$F$29),'Recurring Schedule'!$O$29)=0),IF('Recurring Schedule'!$E$29="Weekdays",WEEKDAY($A236,2)&lt;=5,$A236='Recurring Schedule'!$F$29))),24,""))))</f>
        <v/>
      </c>
      <c r="Z236">
        <f>IF('Recurring Schedule'!$C$30="","",IF('Recurring Schedule'!$F$30="","",IF(OR($A236&lt;'Recurring Schedule'!$F$30,$A236&gt;'Recurring Schedule'!$P$30),"",IF(IF('Recurring Schedule'!$N$30&gt;0,MOD($A236-'Recurring Schedule'!$F$30,'Recurring Schedule'!$N$30)=0,IF('Recurring Schedule'!$O$30&gt;0,AND(DAY($A236)=MIN(DAY('Recurring Schedule'!$F$30),DAY(EOMONTH($A236,0))),MOD((YEAR($A236)-YEAR('Recurring Schedule'!$F$30))*12+MONTH($A236)-MONTH('Recurring Schedule'!$F$30),'Recurring Schedule'!$O$30)=0),IF('Recurring Schedule'!$E$30="Weekdays",WEEKDAY($A236,2)&lt;=5,$A236='Recurring Schedule'!$F$30))),25,""))))</f>
        <v/>
      </c>
      <c r="AA236">
        <f>IF('Recurring Schedule'!$C$31="","",IF('Recurring Schedule'!$F$31="","",IF(OR($A236&lt;'Recurring Schedule'!$F$31,$A236&gt;'Recurring Schedule'!$P$31),"",IF(IF('Recurring Schedule'!$N$31&gt;0,MOD($A236-'Recurring Schedule'!$F$31,'Recurring Schedule'!$N$31)=0,IF('Recurring Schedule'!$O$31&gt;0,AND(DAY($A236)=MIN(DAY('Recurring Schedule'!$F$31),DAY(EOMONTH($A236,0))),MOD((YEAR($A236)-YEAR('Recurring Schedule'!$F$31))*12+MONTH($A236)-MONTH('Recurring Schedule'!$F$31),'Recurring Schedule'!$O$31)=0),IF('Recurring Schedule'!$E$31="Weekdays",WEEKDAY($A236,2)&lt;=5,$A236='Recurring Schedule'!$F$31))),26,""))))</f>
        <v/>
      </c>
      <c r="AB236">
        <f>IF('Recurring Schedule'!$C$32="","",IF('Recurring Schedule'!$F$32="","",IF(OR($A236&lt;'Recurring Schedule'!$F$32,$A236&gt;'Recurring Schedule'!$P$32),"",IF(IF('Recurring Schedule'!$N$32&gt;0,MOD($A236-'Recurring Schedule'!$F$32,'Recurring Schedule'!$N$32)=0,IF('Recurring Schedule'!$O$32&gt;0,AND(DAY($A236)=MIN(DAY('Recurring Schedule'!$F$32),DAY(EOMONTH($A236,0))),MOD((YEAR($A236)-YEAR('Recurring Schedule'!$F$32))*12+MONTH($A236)-MONTH('Recurring Schedule'!$F$32),'Recurring Schedule'!$O$32)=0),IF('Recurring Schedule'!$E$32="Weekdays",WEEKDAY($A236,2)&lt;=5,$A236='Recurring Schedule'!$F$32))),27,""))))</f>
        <v/>
      </c>
      <c r="AC236">
        <f>IF('Recurring Schedule'!$C$33="","",IF('Recurring Schedule'!$F$33="","",IF(OR($A236&lt;'Recurring Schedule'!$F$33,$A236&gt;'Recurring Schedule'!$P$33),"",IF(IF('Recurring Schedule'!$N$33&gt;0,MOD($A236-'Recurring Schedule'!$F$33,'Recurring Schedule'!$N$33)=0,IF('Recurring Schedule'!$O$33&gt;0,AND(DAY($A236)=MIN(DAY('Recurring Schedule'!$F$33),DAY(EOMONTH($A236,0))),MOD((YEAR($A236)-YEAR('Recurring Schedule'!$F$33))*12+MONTH($A236)-MONTH('Recurring Schedule'!$F$33),'Recurring Schedule'!$O$33)=0),IF('Recurring Schedule'!$E$33="Weekdays",WEEKDAY($A236,2)&lt;=5,$A236='Recurring Schedule'!$F$33))),28,""))))</f>
        <v/>
      </c>
      <c r="AD236">
        <f>IF('Recurring Schedule'!$C$34="","",IF('Recurring Schedule'!$F$34="","",IF(OR($A236&lt;'Recurring Schedule'!$F$34,$A236&gt;'Recurring Schedule'!$P$34),"",IF(IF('Recurring Schedule'!$N$34&gt;0,MOD($A236-'Recurring Schedule'!$F$34,'Recurring Schedule'!$N$34)=0,IF('Recurring Schedule'!$O$34&gt;0,AND(DAY($A236)=MIN(DAY('Recurring Schedule'!$F$34),DAY(EOMONTH($A236,0))),MOD((YEAR($A236)-YEAR('Recurring Schedule'!$F$34))*12+MONTH($A236)-MONTH('Recurring Schedule'!$F$34),'Recurring Schedule'!$O$34)=0),IF('Recurring Schedule'!$E$34="Weekdays",WEEKDAY($A236,2)&lt;=5,$A236='Recurring Schedule'!$F$34))),29,""))))</f>
        <v/>
      </c>
      <c r="AE236">
        <f>IF('Recurring Schedule'!$C$35="","",IF('Recurring Schedule'!$F$35="","",IF(OR($A236&lt;'Recurring Schedule'!$F$35,$A236&gt;'Recurring Schedule'!$P$35),"",IF(IF('Recurring Schedule'!$N$35&gt;0,MOD($A236-'Recurring Schedule'!$F$35,'Recurring Schedule'!$N$35)=0,IF('Recurring Schedule'!$O$35&gt;0,AND(DAY($A236)=MIN(DAY('Recurring Schedule'!$F$35),DAY(EOMONTH($A236,0))),MOD((YEAR($A236)-YEAR('Recurring Schedule'!$F$35))*12+MONTH($A236)-MONTH('Recurring Schedule'!$F$35),'Recurring Schedule'!$O$35)=0),IF('Recurring Schedule'!$E$35="Weekdays",WEEKDAY($A236,2)&lt;=5,$A236='Recurring Schedule'!$F$35))),30,""))))</f>
        <v/>
      </c>
      <c r="AF236">
        <f>IF('Recurring Schedule'!$C$36="","",IF('Recurring Schedule'!$F$36="","",IF(OR($A236&lt;'Recurring Schedule'!$F$36,$A236&gt;'Recurring Schedule'!$P$36),"",IF(IF('Recurring Schedule'!$N$36&gt;0,MOD($A236-'Recurring Schedule'!$F$36,'Recurring Schedule'!$N$36)=0,IF('Recurring Schedule'!$O$36&gt;0,AND(DAY($A236)=MIN(DAY('Recurring Schedule'!$F$36),DAY(EOMONTH($A236,0))),MOD((YEAR($A236)-YEAR('Recurring Schedule'!$F$36))*12+MONTH($A236)-MONTH('Recurring Schedule'!$F$36),'Recurring Schedule'!$O$36)=0),IF('Recurring Schedule'!$E$36="Weekdays",WEEKDAY($A236,2)&lt;=5,$A236='Recurring Schedule'!$F$36))),31,""))))</f>
        <v/>
      </c>
      <c r="AG236">
        <f>IF('Recurring Schedule'!$C$37="","",IF('Recurring Schedule'!$F$37="","",IF(OR($A236&lt;'Recurring Schedule'!$F$37,$A236&gt;'Recurring Schedule'!$P$37),"",IF(IF('Recurring Schedule'!$N$37&gt;0,MOD($A236-'Recurring Schedule'!$F$37,'Recurring Schedule'!$N$37)=0,IF('Recurring Schedule'!$O$37&gt;0,AND(DAY($A236)=MIN(DAY('Recurring Schedule'!$F$37),DAY(EOMONTH($A236,0))),MOD((YEAR($A236)-YEAR('Recurring Schedule'!$F$37))*12+MONTH($A236)-MONTH('Recurring Schedule'!$F$37),'Recurring Schedule'!$O$37)=0),IF('Recurring Schedule'!$E$37="Weekdays",WEEKDAY($A236,2)&lt;=5,$A236='Recurring Schedule'!$F$37))),32,""))))</f>
        <v/>
      </c>
      <c r="AH236">
        <f>IF('Recurring Schedule'!$C$38="","",IF('Recurring Schedule'!$F$38="","",IF(OR($A236&lt;'Recurring Schedule'!$F$38,$A236&gt;'Recurring Schedule'!$P$38),"",IF(IF('Recurring Schedule'!$N$38&gt;0,MOD($A236-'Recurring Schedule'!$F$38,'Recurring Schedule'!$N$38)=0,IF('Recurring Schedule'!$O$38&gt;0,AND(DAY($A236)=MIN(DAY('Recurring Schedule'!$F$38),DAY(EOMONTH($A236,0))),MOD((YEAR($A236)-YEAR('Recurring Schedule'!$F$38))*12+MONTH($A236)-MONTH('Recurring Schedule'!$F$38),'Recurring Schedule'!$O$38)=0),IF('Recurring Schedule'!$E$38="Weekdays",WEEKDAY($A236,2)&lt;=5,$A236='Recurring Schedule'!$F$38))),33,""))))</f>
        <v/>
      </c>
      <c r="AI236">
        <f>IF('Recurring Schedule'!$C$39="","",IF('Recurring Schedule'!$F$39="","",IF(OR($A236&lt;'Recurring Schedule'!$F$39,$A236&gt;'Recurring Schedule'!$P$39),"",IF(IF('Recurring Schedule'!$N$39&gt;0,MOD($A236-'Recurring Schedule'!$F$39,'Recurring Schedule'!$N$39)=0,IF('Recurring Schedule'!$O$39&gt;0,AND(DAY($A236)=MIN(DAY('Recurring Schedule'!$F$39),DAY(EOMONTH($A236,0))),MOD((YEAR($A236)-YEAR('Recurring Schedule'!$F$39))*12+MONTH($A236)-MONTH('Recurring Schedule'!$F$39),'Recurring Schedule'!$O$39)=0),IF('Recurring Schedule'!$E$39="Weekdays",WEEKDAY($A236,2)&lt;=5,$A236='Recurring Schedule'!$F$39))),34,""))))</f>
        <v/>
      </c>
      <c r="AJ236">
        <f>IF('Recurring Schedule'!$C$40="","",IF('Recurring Schedule'!$F$40="","",IF(OR($A236&lt;'Recurring Schedule'!$F$40,$A236&gt;'Recurring Schedule'!$P$40),"",IF(IF('Recurring Schedule'!$N$40&gt;0,MOD($A236-'Recurring Schedule'!$F$40,'Recurring Schedule'!$N$40)=0,IF('Recurring Schedule'!$O$40&gt;0,AND(DAY($A236)=MIN(DAY('Recurring Schedule'!$F$40),DAY(EOMONTH($A236,0))),MOD((YEAR($A236)-YEAR('Recurring Schedule'!$F$40))*12+MONTH($A236)-MONTH('Recurring Schedule'!$F$40),'Recurring Schedule'!$O$40)=0),IF('Recurring Schedule'!$E$40="Weekdays",WEEKDAY($A236,2)&lt;=5,$A236='Recurring Schedule'!$F$40))),35,""))))</f>
        <v/>
      </c>
      <c r="AK236">
        <f>IF('Recurring Schedule'!$C$41="","",IF('Recurring Schedule'!$F$41="","",IF(OR($A236&lt;'Recurring Schedule'!$F$41,$A236&gt;'Recurring Schedule'!$P$41),"",IF(IF('Recurring Schedule'!$N$41&gt;0,MOD($A236-'Recurring Schedule'!$F$41,'Recurring Schedule'!$N$41)=0,IF('Recurring Schedule'!$O$41&gt;0,AND(DAY($A236)=MIN(DAY('Recurring Schedule'!$F$41),DAY(EOMONTH($A236,0))),MOD((YEAR($A236)-YEAR('Recurring Schedule'!$F$41))*12+MONTH($A236)-MONTH('Recurring Schedule'!$F$41),'Recurring Schedule'!$O$41)=0),IF('Recurring Schedule'!$E$41="Weekdays",WEEKDAY($A236,2)&lt;=5,$A236='Recurring Schedule'!$F$41))),36,""))))</f>
        <v/>
      </c>
      <c r="AL236">
        <f>IF('Recurring Schedule'!$C$42="","",IF('Recurring Schedule'!$F$42="","",IF(OR($A236&lt;'Recurring Schedule'!$F$42,$A236&gt;'Recurring Schedule'!$P$42),"",IF(IF('Recurring Schedule'!$N$42&gt;0,MOD($A236-'Recurring Schedule'!$F$42,'Recurring Schedule'!$N$42)=0,IF('Recurring Schedule'!$O$42&gt;0,AND(DAY($A236)=MIN(DAY('Recurring Schedule'!$F$42),DAY(EOMONTH($A236,0))),MOD((YEAR($A236)-YEAR('Recurring Schedule'!$F$42))*12+MONTH($A236)-MONTH('Recurring Schedule'!$F$42),'Recurring Schedule'!$O$42)=0),IF('Recurring Schedule'!$E$42="Weekdays",WEEKDAY($A236,2)&lt;=5,$A236='Recurring Schedule'!$F$42))),37,""))))</f>
        <v/>
      </c>
      <c r="AM236">
        <f>IF('Recurring Schedule'!$C$43="","",IF('Recurring Schedule'!$F$43="","",IF(OR($A236&lt;'Recurring Schedule'!$F$43,$A236&gt;'Recurring Schedule'!$P$43),"",IF(IF('Recurring Schedule'!$N$43&gt;0,MOD($A236-'Recurring Schedule'!$F$43,'Recurring Schedule'!$N$43)=0,IF('Recurring Schedule'!$O$43&gt;0,AND(DAY($A236)=MIN(DAY('Recurring Schedule'!$F$43),DAY(EOMONTH($A236,0))),MOD((YEAR($A236)-YEAR('Recurring Schedule'!$F$43))*12+MONTH($A236)-MONTH('Recurring Schedule'!$F$43),'Recurring Schedule'!$O$43)=0),IF('Recurring Schedule'!$E$43="Weekdays",WEEKDAY($A236,2)&lt;=5,$A236='Recurring Schedule'!$F$43))),38,""))))</f>
        <v/>
      </c>
      <c r="AN236">
        <f>IF('Recurring Schedule'!$C$44="","",IF('Recurring Schedule'!$F$44="","",IF(OR($A236&lt;'Recurring Schedule'!$F$44,$A236&gt;'Recurring Schedule'!$P$44),"",IF(IF('Recurring Schedule'!$N$44&gt;0,MOD($A236-'Recurring Schedule'!$F$44,'Recurring Schedule'!$N$44)=0,IF('Recurring Schedule'!$O$44&gt;0,AND(DAY($A236)=MIN(DAY('Recurring Schedule'!$F$44),DAY(EOMONTH($A236,0))),MOD((YEAR($A236)-YEAR('Recurring Schedule'!$F$44))*12+MONTH($A236)-MONTH('Recurring Schedule'!$F$44),'Recurring Schedule'!$O$44)=0),IF('Recurring Schedule'!$E$44="Weekdays",WEEKDAY($A236,2)&lt;=5,$A236='Recurring Schedule'!$F$44))),39,""))))</f>
        <v/>
      </c>
      <c r="AO236">
        <f>IF('Recurring Schedule'!$C$45="","",IF('Recurring Schedule'!$F$45="","",IF(OR($A236&lt;'Recurring Schedule'!$F$45,$A236&gt;'Recurring Schedule'!$P$45),"",IF(IF('Recurring Schedule'!$N$45&gt;0,MOD($A236-'Recurring Schedule'!$F$45,'Recurring Schedule'!$N$45)=0,IF('Recurring Schedule'!$O$45&gt;0,AND(DAY($A236)=MIN(DAY('Recurring Schedule'!$F$45),DAY(EOMONTH($A236,0))),MOD((YEAR($A236)-YEAR('Recurring Schedule'!$F$45))*12+MONTH($A236)-MONTH('Recurring Schedule'!$F$45),'Recurring Schedule'!$O$45)=0),IF('Recurring Schedule'!$E$45="Weekdays",WEEKDAY($A236,2)&lt;=5,$A236='Recurring Schedule'!$F$45))),40,""))))</f>
        <v/>
      </c>
      <c r="AP236">
        <f>COUNT(B236:AO236)</f>
        <v/>
      </c>
      <c r="AQ236">
        <f>AQ235+AP235</f>
        <v/>
      </c>
      <c r="AS236" t="inlineStr">
        <is>
          <t>R</t>
        </is>
      </c>
      <c r="AT236" t="n">
        <v>240</v>
      </c>
      <c r="AU236">
        <f>'Recurring Log'!C240&amp;""</f>
        <v/>
      </c>
      <c r="AV236">
        <f>'Recurring Log'!D240&amp;""</f>
        <v/>
      </c>
      <c r="AW236">
        <f>IF('Recurring Log'!E240="","",'Recurring Log'!E240)</f>
        <v/>
      </c>
      <c r="AX236">
        <f>IF('Recurring Log'!G240="","",'Recurring Log'!G240)</f>
        <v/>
      </c>
      <c r="AY236">
        <f>IF('Recurring Log'!H240="","",'Recurring Log'!H240)</f>
        <v/>
      </c>
      <c r="AZ236">
        <f>IF(AU236="","",IF('Recurring Log'!J240="","Not Started",'Recurring Log'!J240))</f>
        <v/>
      </c>
      <c r="BA236">
        <f>'Recurring Log'!L240&amp;""</f>
        <v/>
      </c>
      <c r="BB236">
        <f>'Recurring Log'!M240&amp;""</f>
        <v/>
      </c>
      <c r="BC236">
        <f>'Recurring Log'!N240&amp;""</f>
        <v/>
      </c>
      <c r="BD236">
        <f>'Recurring Log'!O240&amp;""</f>
        <v/>
      </c>
      <c r="BE236">
        <f>IF('Recurring Log'!K240="","",'Recurring Log'!K240)</f>
        <v/>
      </c>
      <c r="BF236">
        <f>IFERROR(MATCH(BA236,Setup!$L$6:$L$9,0),5)</f>
        <v/>
      </c>
      <c r="BG236">
        <f>IF(OR(AZ236="Done",AZ236="Cancelled"),1,0)</f>
        <v/>
      </c>
      <c r="BH236">
        <f>IF(AND(AU236&lt;&gt;"",ISNUMBER(AW236)),1,0)</f>
        <v/>
      </c>
      <c r="BI236">
        <f>IF(BH236=0,0,IF(AND(AW236&gt;='Tasks Filter'!$F$3,AW236&lt;='Tasks Filter'!$F$4,OR('Tasks Filter'!$I$3="",ISNUMBER(SEARCH('Tasks Filter'!$I$3,AU236))),OR('Tasks Filter'!$I$4="",BF236=IFERROR(MATCH('Tasks Filter'!$I$4,Setup!$L$6:$L$9,0),0)),OR('Tasks Filter'!$I$5="Both",AND('Tasks Filter'!$I$5="Yes",BB236="✓"),AND('Tasks Filter'!$I$5="No",BB236&lt;&gt;"✓")),OR('Tasks Filter'!$L$3="",AV236='Tasks Filter'!$L$3),OR('Tasks Filter'!$L$4="",AZ236='Tasks Filter'!$L$4),OR('Tasks Filter'!$L$5="",BC236='Tasks Filter'!$L$5),OR('Tasks Filter'!$O$3="",BD236='Tasks Filter'!$O$3),OR('Tasks Filter'!$O$4="Yes",BG236=0)),1,0))</f>
        <v/>
      </c>
      <c r="BJ236">
        <f>IF(BH236=0,"",IF('Tasks Filter'!$F$6="Descending",-1,1)*CHOOSE(MATCH('Tasks Filter'!$F$5,Lists!$G$2:$G$6,0),AW236,BF236,IFERROR(MATCH(AV236,Setup!$F$6:$F$15,0),99),IFERROR(MATCH(BC236,Setup!$H$6:$H$15,0),99),IFERROR(MATCH(AZ236,Setup!$J$6:$J$11,0),99))*1E+9+(AW236-40000)*10000+235)</f>
        <v/>
      </c>
      <c r="BK236">
        <f>IF(BI236=1,BJ236,"")</f>
        <v/>
      </c>
      <c r="BL236">
        <f>IF(AND(BH236=1,BG236=0,N(AW236)&lt;Setup!$D$7),(AW236-40000)*10000+235,"")</f>
        <v/>
      </c>
      <c r="BM236">
        <f>IF(AND(BH236=1,AZ236&lt;&gt;"Cancelled",N(AW236)&gt;=Dashboard!$AB$3,N(AW236)&lt;=Dashboard!$AB$3+6),(AW236-40000)*100000+BF236*10000+235,"")</f>
        <v/>
      </c>
      <c r="BN236">
        <f>IF(AND(BH236=1,AZ236&lt;&gt;"Cancelled"),BF236*10000+235,"")</f>
        <v/>
      </c>
    </row>
    <row r="237">
      <c r="A237">
        <f>Setup!$D$5+235</f>
        <v/>
      </c>
      <c r="B237">
        <f>IF('Recurring Schedule'!$C$6="","",IF('Recurring Schedule'!$F$6="","",IF(OR($A237&lt;'Recurring Schedule'!$F$6,$A237&gt;'Recurring Schedule'!$P$6),"",IF(IF('Recurring Schedule'!$N$6&gt;0,MOD($A237-'Recurring Schedule'!$F$6,'Recurring Schedule'!$N$6)=0,IF('Recurring Schedule'!$O$6&gt;0,AND(DAY($A237)=MIN(DAY('Recurring Schedule'!$F$6),DAY(EOMONTH($A237,0))),MOD((YEAR($A237)-YEAR('Recurring Schedule'!$F$6))*12+MONTH($A237)-MONTH('Recurring Schedule'!$F$6),'Recurring Schedule'!$O$6)=0),IF('Recurring Schedule'!$E$6="Weekdays",WEEKDAY($A237,2)&lt;=5,$A237='Recurring Schedule'!$F$6))),1,""))))</f>
        <v/>
      </c>
      <c r="C237">
        <f>IF('Recurring Schedule'!$C$7="","",IF('Recurring Schedule'!$F$7="","",IF(OR($A237&lt;'Recurring Schedule'!$F$7,$A237&gt;'Recurring Schedule'!$P$7),"",IF(IF('Recurring Schedule'!$N$7&gt;0,MOD($A237-'Recurring Schedule'!$F$7,'Recurring Schedule'!$N$7)=0,IF('Recurring Schedule'!$O$7&gt;0,AND(DAY($A237)=MIN(DAY('Recurring Schedule'!$F$7),DAY(EOMONTH($A237,0))),MOD((YEAR($A237)-YEAR('Recurring Schedule'!$F$7))*12+MONTH($A237)-MONTH('Recurring Schedule'!$F$7),'Recurring Schedule'!$O$7)=0),IF('Recurring Schedule'!$E$7="Weekdays",WEEKDAY($A237,2)&lt;=5,$A237='Recurring Schedule'!$F$7))),2,""))))</f>
        <v/>
      </c>
      <c r="D237">
        <f>IF('Recurring Schedule'!$C$8="","",IF('Recurring Schedule'!$F$8="","",IF(OR($A237&lt;'Recurring Schedule'!$F$8,$A237&gt;'Recurring Schedule'!$P$8),"",IF(IF('Recurring Schedule'!$N$8&gt;0,MOD($A237-'Recurring Schedule'!$F$8,'Recurring Schedule'!$N$8)=0,IF('Recurring Schedule'!$O$8&gt;0,AND(DAY($A237)=MIN(DAY('Recurring Schedule'!$F$8),DAY(EOMONTH($A237,0))),MOD((YEAR($A237)-YEAR('Recurring Schedule'!$F$8))*12+MONTH($A237)-MONTH('Recurring Schedule'!$F$8),'Recurring Schedule'!$O$8)=0),IF('Recurring Schedule'!$E$8="Weekdays",WEEKDAY($A237,2)&lt;=5,$A237='Recurring Schedule'!$F$8))),3,""))))</f>
        <v/>
      </c>
      <c r="E237">
        <f>IF('Recurring Schedule'!$C$9="","",IF('Recurring Schedule'!$F$9="","",IF(OR($A237&lt;'Recurring Schedule'!$F$9,$A237&gt;'Recurring Schedule'!$P$9),"",IF(IF('Recurring Schedule'!$N$9&gt;0,MOD($A237-'Recurring Schedule'!$F$9,'Recurring Schedule'!$N$9)=0,IF('Recurring Schedule'!$O$9&gt;0,AND(DAY($A237)=MIN(DAY('Recurring Schedule'!$F$9),DAY(EOMONTH($A237,0))),MOD((YEAR($A237)-YEAR('Recurring Schedule'!$F$9))*12+MONTH($A237)-MONTH('Recurring Schedule'!$F$9),'Recurring Schedule'!$O$9)=0),IF('Recurring Schedule'!$E$9="Weekdays",WEEKDAY($A237,2)&lt;=5,$A237='Recurring Schedule'!$F$9))),4,""))))</f>
        <v/>
      </c>
      <c r="F237">
        <f>IF('Recurring Schedule'!$C$10="","",IF('Recurring Schedule'!$F$10="","",IF(OR($A237&lt;'Recurring Schedule'!$F$10,$A237&gt;'Recurring Schedule'!$P$10),"",IF(IF('Recurring Schedule'!$N$10&gt;0,MOD($A237-'Recurring Schedule'!$F$10,'Recurring Schedule'!$N$10)=0,IF('Recurring Schedule'!$O$10&gt;0,AND(DAY($A237)=MIN(DAY('Recurring Schedule'!$F$10),DAY(EOMONTH($A237,0))),MOD((YEAR($A237)-YEAR('Recurring Schedule'!$F$10))*12+MONTH($A237)-MONTH('Recurring Schedule'!$F$10),'Recurring Schedule'!$O$10)=0),IF('Recurring Schedule'!$E$10="Weekdays",WEEKDAY($A237,2)&lt;=5,$A237='Recurring Schedule'!$F$10))),5,""))))</f>
        <v/>
      </c>
      <c r="G237">
        <f>IF('Recurring Schedule'!$C$11="","",IF('Recurring Schedule'!$F$11="","",IF(OR($A237&lt;'Recurring Schedule'!$F$11,$A237&gt;'Recurring Schedule'!$P$11),"",IF(IF('Recurring Schedule'!$N$11&gt;0,MOD($A237-'Recurring Schedule'!$F$11,'Recurring Schedule'!$N$11)=0,IF('Recurring Schedule'!$O$11&gt;0,AND(DAY($A237)=MIN(DAY('Recurring Schedule'!$F$11),DAY(EOMONTH($A237,0))),MOD((YEAR($A237)-YEAR('Recurring Schedule'!$F$11))*12+MONTH($A237)-MONTH('Recurring Schedule'!$F$11),'Recurring Schedule'!$O$11)=0),IF('Recurring Schedule'!$E$11="Weekdays",WEEKDAY($A237,2)&lt;=5,$A237='Recurring Schedule'!$F$11))),6,""))))</f>
        <v/>
      </c>
      <c r="H237">
        <f>IF('Recurring Schedule'!$C$12="","",IF('Recurring Schedule'!$F$12="","",IF(OR($A237&lt;'Recurring Schedule'!$F$12,$A237&gt;'Recurring Schedule'!$P$12),"",IF(IF('Recurring Schedule'!$N$12&gt;0,MOD($A237-'Recurring Schedule'!$F$12,'Recurring Schedule'!$N$12)=0,IF('Recurring Schedule'!$O$12&gt;0,AND(DAY($A237)=MIN(DAY('Recurring Schedule'!$F$12),DAY(EOMONTH($A237,0))),MOD((YEAR($A237)-YEAR('Recurring Schedule'!$F$12))*12+MONTH($A237)-MONTH('Recurring Schedule'!$F$12),'Recurring Schedule'!$O$12)=0),IF('Recurring Schedule'!$E$12="Weekdays",WEEKDAY($A237,2)&lt;=5,$A237='Recurring Schedule'!$F$12))),7,""))))</f>
        <v/>
      </c>
      <c r="I237">
        <f>IF('Recurring Schedule'!$C$13="","",IF('Recurring Schedule'!$F$13="","",IF(OR($A237&lt;'Recurring Schedule'!$F$13,$A237&gt;'Recurring Schedule'!$P$13),"",IF(IF('Recurring Schedule'!$N$13&gt;0,MOD($A237-'Recurring Schedule'!$F$13,'Recurring Schedule'!$N$13)=0,IF('Recurring Schedule'!$O$13&gt;0,AND(DAY($A237)=MIN(DAY('Recurring Schedule'!$F$13),DAY(EOMONTH($A237,0))),MOD((YEAR($A237)-YEAR('Recurring Schedule'!$F$13))*12+MONTH($A237)-MONTH('Recurring Schedule'!$F$13),'Recurring Schedule'!$O$13)=0),IF('Recurring Schedule'!$E$13="Weekdays",WEEKDAY($A237,2)&lt;=5,$A237='Recurring Schedule'!$F$13))),8,""))))</f>
        <v/>
      </c>
      <c r="J237">
        <f>IF('Recurring Schedule'!$C$14="","",IF('Recurring Schedule'!$F$14="","",IF(OR($A237&lt;'Recurring Schedule'!$F$14,$A237&gt;'Recurring Schedule'!$P$14),"",IF(IF('Recurring Schedule'!$N$14&gt;0,MOD($A237-'Recurring Schedule'!$F$14,'Recurring Schedule'!$N$14)=0,IF('Recurring Schedule'!$O$14&gt;0,AND(DAY($A237)=MIN(DAY('Recurring Schedule'!$F$14),DAY(EOMONTH($A237,0))),MOD((YEAR($A237)-YEAR('Recurring Schedule'!$F$14))*12+MONTH($A237)-MONTH('Recurring Schedule'!$F$14),'Recurring Schedule'!$O$14)=0),IF('Recurring Schedule'!$E$14="Weekdays",WEEKDAY($A237,2)&lt;=5,$A237='Recurring Schedule'!$F$14))),9,""))))</f>
        <v/>
      </c>
      <c r="K237">
        <f>IF('Recurring Schedule'!$C$15="","",IF('Recurring Schedule'!$F$15="","",IF(OR($A237&lt;'Recurring Schedule'!$F$15,$A237&gt;'Recurring Schedule'!$P$15),"",IF(IF('Recurring Schedule'!$N$15&gt;0,MOD($A237-'Recurring Schedule'!$F$15,'Recurring Schedule'!$N$15)=0,IF('Recurring Schedule'!$O$15&gt;0,AND(DAY($A237)=MIN(DAY('Recurring Schedule'!$F$15),DAY(EOMONTH($A237,0))),MOD((YEAR($A237)-YEAR('Recurring Schedule'!$F$15))*12+MONTH($A237)-MONTH('Recurring Schedule'!$F$15),'Recurring Schedule'!$O$15)=0),IF('Recurring Schedule'!$E$15="Weekdays",WEEKDAY($A237,2)&lt;=5,$A237='Recurring Schedule'!$F$15))),10,""))))</f>
        <v/>
      </c>
      <c r="L237">
        <f>IF('Recurring Schedule'!$C$16="","",IF('Recurring Schedule'!$F$16="","",IF(OR($A237&lt;'Recurring Schedule'!$F$16,$A237&gt;'Recurring Schedule'!$P$16),"",IF(IF('Recurring Schedule'!$N$16&gt;0,MOD($A237-'Recurring Schedule'!$F$16,'Recurring Schedule'!$N$16)=0,IF('Recurring Schedule'!$O$16&gt;0,AND(DAY($A237)=MIN(DAY('Recurring Schedule'!$F$16),DAY(EOMONTH($A237,0))),MOD((YEAR($A237)-YEAR('Recurring Schedule'!$F$16))*12+MONTH($A237)-MONTH('Recurring Schedule'!$F$16),'Recurring Schedule'!$O$16)=0),IF('Recurring Schedule'!$E$16="Weekdays",WEEKDAY($A237,2)&lt;=5,$A237='Recurring Schedule'!$F$16))),11,""))))</f>
        <v/>
      </c>
      <c r="M237">
        <f>IF('Recurring Schedule'!$C$17="","",IF('Recurring Schedule'!$F$17="","",IF(OR($A237&lt;'Recurring Schedule'!$F$17,$A237&gt;'Recurring Schedule'!$P$17),"",IF(IF('Recurring Schedule'!$N$17&gt;0,MOD($A237-'Recurring Schedule'!$F$17,'Recurring Schedule'!$N$17)=0,IF('Recurring Schedule'!$O$17&gt;0,AND(DAY($A237)=MIN(DAY('Recurring Schedule'!$F$17),DAY(EOMONTH($A237,0))),MOD((YEAR($A237)-YEAR('Recurring Schedule'!$F$17))*12+MONTH($A237)-MONTH('Recurring Schedule'!$F$17),'Recurring Schedule'!$O$17)=0),IF('Recurring Schedule'!$E$17="Weekdays",WEEKDAY($A237,2)&lt;=5,$A237='Recurring Schedule'!$F$17))),12,""))))</f>
        <v/>
      </c>
      <c r="N237">
        <f>IF('Recurring Schedule'!$C$18="","",IF('Recurring Schedule'!$F$18="","",IF(OR($A237&lt;'Recurring Schedule'!$F$18,$A237&gt;'Recurring Schedule'!$P$18),"",IF(IF('Recurring Schedule'!$N$18&gt;0,MOD($A237-'Recurring Schedule'!$F$18,'Recurring Schedule'!$N$18)=0,IF('Recurring Schedule'!$O$18&gt;0,AND(DAY($A237)=MIN(DAY('Recurring Schedule'!$F$18),DAY(EOMONTH($A237,0))),MOD((YEAR($A237)-YEAR('Recurring Schedule'!$F$18))*12+MONTH($A237)-MONTH('Recurring Schedule'!$F$18),'Recurring Schedule'!$O$18)=0),IF('Recurring Schedule'!$E$18="Weekdays",WEEKDAY($A237,2)&lt;=5,$A237='Recurring Schedule'!$F$18))),13,""))))</f>
        <v/>
      </c>
      <c r="O237">
        <f>IF('Recurring Schedule'!$C$19="","",IF('Recurring Schedule'!$F$19="","",IF(OR($A237&lt;'Recurring Schedule'!$F$19,$A237&gt;'Recurring Schedule'!$P$19),"",IF(IF('Recurring Schedule'!$N$19&gt;0,MOD($A237-'Recurring Schedule'!$F$19,'Recurring Schedule'!$N$19)=0,IF('Recurring Schedule'!$O$19&gt;0,AND(DAY($A237)=MIN(DAY('Recurring Schedule'!$F$19),DAY(EOMONTH($A237,0))),MOD((YEAR($A237)-YEAR('Recurring Schedule'!$F$19))*12+MONTH($A237)-MONTH('Recurring Schedule'!$F$19),'Recurring Schedule'!$O$19)=0),IF('Recurring Schedule'!$E$19="Weekdays",WEEKDAY($A237,2)&lt;=5,$A237='Recurring Schedule'!$F$19))),14,""))))</f>
        <v/>
      </c>
      <c r="P237">
        <f>IF('Recurring Schedule'!$C$20="","",IF('Recurring Schedule'!$F$20="","",IF(OR($A237&lt;'Recurring Schedule'!$F$20,$A237&gt;'Recurring Schedule'!$P$20),"",IF(IF('Recurring Schedule'!$N$20&gt;0,MOD($A237-'Recurring Schedule'!$F$20,'Recurring Schedule'!$N$20)=0,IF('Recurring Schedule'!$O$20&gt;0,AND(DAY($A237)=MIN(DAY('Recurring Schedule'!$F$20),DAY(EOMONTH($A237,0))),MOD((YEAR($A237)-YEAR('Recurring Schedule'!$F$20))*12+MONTH($A237)-MONTH('Recurring Schedule'!$F$20),'Recurring Schedule'!$O$20)=0),IF('Recurring Schedule'!$E$20="Weekdays",WEEKDAY($A237,2)&lt;=5,$A237='Recurring Schedule'!$F$20))),15,""))))</f>
        <v/>
      </c>
      <c r="Q237">
        <f>IF('Recurring Schedule'!$C$21="","",IF('Recurring Schedule'!$F$21="","",IF(OR($A237&lt;'Recurring Schedule'!$F$21,$A237&gt;'Recurring Schedule'!$P$21),"",IF(IF('Recurring Schedule'!$N$21&gt;0,MOD($A237-'Recurring Schedule'!$F$21,'Recurring Schedule'!$N$21)=0,IF('Recurring Schedule'!$O$21&gt;0,AND(DAY($A237)=MIN(DAY('Recurring Schedule'!$F$21),DAY(EOMONTH($A237,0))),MOD((YEAR($A237)-YEAR('Recurring Schedule'!$F$21))*12+MONTH($A237)-MONTH('Recurring Schedule'!$F$21),'Recurring Schedule'!$O$21)=0),IF('Recurring Schedule'!$E$21="Weekdays",WEEKDAY($A237,2)&lt;=5,$A237='Recurring Schedule'!$F$21))),16,""))))</f>
        <v/>
      </c>
      <c r="R237">
        <f>IF('Recurring Schedule'!$C$22="","",IF('Recurring Schedule'!$F$22="","",IF(OR($A237&lt;'Recurring Schedule'!$F$22,$A237&gt;'Recurring Schedule'!$P$22),"",IF(IF('Recurring Schedule'!$N$22&gt;0,MOD($A237-'Recurring Schedule'!$F$22,'Recurring Schedule'!$N$22)=0,IF('Recurring Schedule'!$O$22&gt;0,AND(DAY($A237)=MIN(DAY('Recurring Schedule'!$F$22),DAY(EOMONTH($A237,0))),MOD((YEAR($A237)-YEAR('Recurring Schedule'!$F$22))*12+MONTH($A237)-MONTH('Recurring Schedule'!$F$22),'Recurring Schedule'!$O$22)=0),IF('Recurring Schedule'!$E$22="Weekdays",WEEKDAY($A237,2)&lt;=5,$A237='Recurring Schedule'!$F$22))),17,""))))</f>
        <v/>
      </c>
      <c r="S237">
        <f>IF('Recurring Schedule'!$C$23="","",IF('Recurring Schedule'!$F$23="","",IF(OR($A237&lt;'Recurring Schedule'!$F$23,$A237&gt;'Recurring Schedule'!$P$23),"",IF(IF('Recurring Schedule'!$N$23&gt;0,MOD($A237-'Recurring Schedule'!$F$23,'Recurring Schedule'!$N$23)=0,IF('Recurring Schedule'!$O$23&gt;0,AND(DAY($A237)=MIN(DAY('Recurring Schedule'!$F$23),DAY(EOMONTH($A237,0))),MOD((YEAR($A237)-YEAR('Recurring Schedule'!$F$23))*12+MONTH($A237)-MONTH('Recurring Schedule'!$F$23),'Recurring Schedule'!$O$23)=0),IF('Recurring Schedule'!$E$23="Weekdays",WEEKDAY($A237,2)&lt;=5,$A237='Recurring Schedule'!$F$23))),18,""))))</f>
        <v/>
      </c>
      <c r="T237">
        <f>IF('Recurring Schedule'!$C$24="","",IF('Recurring Schedule'!$F$24="","",IF(OR($A237&lt;'Recurring Schedule'!$F$24,$A237&gt;'Recurring Schedule'!$P$24),"",IF(IF('Recurring Schedule'!$N$24&gt;0,MOD($A237-'Recurring Schedule'!$F$24,'Recurring Schedule'!$N$24)=0,IF('Recurring Schedule'!$O$24&gt;0,AND(DAY($A237)=MIN(DAY('Recurring Schedule'!$F$24),DAY(EOMONTH($A237,0))),MOD((YEAR($A237)-YEAR('Recurring Schedule'!$F$24))*12+MONTH($A237)-MONTH('Recurring Schedule'!$F$24),'Recurring Schedule'!$O$24)=0),IF('Recurring Schedule'!$E$24="Weekdays",WEEKDAY($A237,2)&lt;=5,$A237='Recurring Schedule'!$F$24))),19,""))))</f>
        <v/>
      </c>
      <c r="U237">
        <f>IF('Recurring Schedule'!$C$25="","",IF('Recurring Schedule'!$F$25="","",IF(OR($A237&lt;'Recurring Schedule'!$F$25,$A237&gt;'Recurring Schedule'!$P$25),"",IF(IF('Recurring Schedule'!$N$25&gt;0,MOD($A237-'Recurring Schedule'!$F$25,'Recurring Schedule'!$N$25)=0,IF('Recurring Schedule'!$O$25&gt;0,AND(DAY($A237)=MIN(DAY('Recurring Schedule'!$F$25),DAY(EOMONTH($A237,0))),MOD((YEAR($A237)-YEAR('Recurring Schedule'!$F$25))*12+MONTH($A237)-MONTH('Recurring Schedule'!$F$25),'Recurring Schedule'!$O$25)=0),IF('Recurring Schedule'!$E$25="Weekdays",WEEKDAY($A237,2)&lt;=5,$A237='Recurring Schedule'!$F$25))),20,""))))</f>
        <v/>
      </c>
      <c r="V237">
        <f>IF('Recurring Schedule'!$C$26="","",IF('Recurring Schedule'!$F$26="","",IF(OR($A237&lt;'Recurring Schedule'!$F$26,$A237&gt;'Recurring Schedule'!$P$26),"",IF(IF('Recurring Schedule'!$N$26&gt;0,MOD($A237-'Recurring Schedule'!$F$26,'Recurring Schedule'!$N$26)=0,IF('Recurring Schedule'!$O$26&gt;0,AND(DAY($A237)=MIN(DAY('Recurring Schedule'!$F$26),DAY(EOMONTH($A237,0))),MOD((YEAR($A237)-YEAR('Recurring Schedule'!$F$26))*12+MONTH($A237)-MONTH('Recurring Schedule'!$F$26),'Recurring Schedule'!$O$26)=0),IF('Recurring Schedule'!$E$26="Weekdays",WEEKDAY($A237,2)&lt;=5,$A237='Recurring Schedule'!$F$26))),21,""))))</f>
        <v/>
      </c>
      <c r="W237">
        <f>IF('Recurring Schedule'!$C$27="","",IF('Recurring Schedule'!$F$27="","",IF(OR($A237&lt;'Recurring Schedule'!$F$27,$A237&gt;'Recurring Schedule'!$P$27),"",IF(IF('Recurring Schedule'!$N$27&gt;0,MOD($A237-'Recurring Schedule'!$F$27,'Recurring Schedule'!$N$27)=0,IF('Recurring Schedule'!$O$27&gt;0,AND(DAY($A237)=MIN(DAY('Recurring Schedule'!$F$27),DAY(EOMONTH($A237,0))),MOD((YEAR($A237)-YEAR('Recurring Schedule'!$F$27))*12+MONTH($A237)-MONTH('Recurring Schedule'!$F$27),'Recurring Schedule'!$O$27)=0),IF('Recurring Schedule'!$E$27="Weekdays",WEEKDAY($A237,2)&lt;=5,$A237='Recurring Schedule'!$F$27))),22,""))))</f>
        <v/>
      </c>
      <c r="X237">
        <f>IF('Recurring Schedule'!$C$28="","",IF('Recurring Schedule'!$F$28="","",IF(OR($A237&lt;'Recurring Schedule'!$F$28,$A237&gt;'Recurring Schedule'!$P$28),"",IF(IF('Recurring Schedule'!$N$28&gt;0,MOD($A237-'Recurring Schedule'!$F$28,'Recurring Schedule'!$N$28)=0,IF('Recurring Schedule'!$O$28&gt;0,AND(DAY($A237)=MIN(DAY('Recurring Schedule'!$F$28),DAY(EOMONTH($A237,0))),MOD((YEAR($A237)-YEAR('Recurring Schedule'!$F$28))*12+MONTH($A237)-MONTH('Recurring Schedule'!$F$28),'Recurring Schedule'!$O$28)=0),IF('Recurring Schedule'!$E$28="Weekdays",WEEKDAY($A237,2)&lt;=5,$A237='Recurring Schedule'!$F$28))),23,""))))</f>
        <v/>
      </c>
      <c r="Y237">
        <f>IF('Recurring Schedule'!$C$29="","",IF('Recurring Schedule'!$F$29="","",IF(OR($A237&lt;'Recurring Schedule'!$F$29,$A237&gt;'Recurring Schedule'!$P$29),"",IF(IF('Recurring Schedule'!$N$29&gt;0,MOD($A237-'Recurring Schedule'!$F$29,'Recurring Schedule'!$N$29)=0,IF('Recurring Schedule'!$O$29&gt;0,AND(DAY($A237)=MIN(DAY('Recurring Schedule'!$F$29),DAY(EOMONTH($A237,0))),MOD((YEAR($A237)-YEAR('Recurring Schedule'!$F$29))*12+MONTH($A237)-MONTH('Recurring Schedule'!$F$29),'Recurring Schedule'!$O$29)=0),IF('Recurring Schedule'!$E$29="Weekdays",WEEKDAY($A237,2)&lt;=5,$A237='Recurring Schedule'!$F$29))),24,""))))</f>
        <v/>
      </c>
      <c r="Z237">
        <f>IF('Recurring Schedule'!$C$30="","",IF('Recurring Schedule'!$F$30="","",IF(OR($A237&lt;'Recurring Schedule'!$F$30,$A237&gt;'Recurring Schedule'!$P$30),"",IF(IF('Recurring Schedule'!$N$30&gt;0,MOD($A237-'Recurring Schedule'!$F$30,'Recurring Schedule'!$N$30)=0,IF('Recurring Schedule'!$O$30&gt;0,AND(DAY($A237)=MIN(DAY('Recurring Schedule'!$F$30),DAY(EOMONTH($A237,0))),MOD((YEAR($A237)-YEAR('Recurring Schedule'!$F$30))*12+MONTH($A237)-MONTH('Recurring Schedule'!$F$30),'Recurring Schedule'!$O$30)=0),IF('Recurring Schedule'!$E$30="Weekdays",WEEKDAY($A237,2)&lt;=5,$A237='Recurring Schedule'!$F$30))),25,""))))</f>
        <v/>
      </c>
      <c r="AA237">
        <f>IF('Recurring Schedule'!$C$31="","",IF('Recurring Schedule'!$F$31="","",IF(OR($A237&lt;'Recurring Schedule'!$F$31,$A237&gt;'Recurring Schedule'!$P$31),"",IF(IF('Recurring Schedule'!$N$31&gt;0,MOD($A237-'Recurring Schedule'!$F$31,'Recurring Schedule'!$N$31)=0,IF('Recurring Schedule'!$O$31&gt;0,AND(DAY($A237)=MIN(DAY('Recurring Schedule'!$F$31),DAY(EOMONTH($A237,0))),MOD((YEAR($A237)-YEAR('Recurring Schedule'!$F$31))*12+MONTH($A237)-MONTH('Recurring Schedule'!$F$31),'Recurring Schedule'!$O$31)=0),IF('Recurring Schedule'!$E$31="Weekdays",WEEKDAY($A237,2)&lt;=5,$A237='Recurring Schedule'!$F$31))),26,""))))</f>
        <v/>
      </c>
      <c r="AB237">
        <f>IF('Recurring Schedule'!$C$32="","",IF('Recurring Schedule'!$F$32="","",IF(OR($A237&lt;'Recurring Schedule'!$F$32,$A237&gt;'Recurring Schedule'!$P$32),"",IF(IF('Recurring Schedule'!$N$32&gt;0,MOD($A237-'Recurring Schedule'!$F$32,'Recurring Schedule'!$N$32)=0,IF('Recurring Schedule'!$O$32&gt;0,AND(DAY($A237)=MIN(DAY('Recurring Schedule'!$F$32),DAY(EOMONTH($A237,0))),MOD((YEAR($A237)-YEAR('Recurring Schedule'!$F$32))*12+MONTH($A237)-MONTH('Recurring Schedule'!$F$32),'Recurring Schedule'!$O$32)=0),IF('Recurring Schedule'!$E$32="Weekdays",WEEKDAY($A237,2)&lt;=5,$A237='Recurring Schedule'!$F$32))),27,""))))</f>
        <v/>
      </c>
      <c r="AC237">
        <f>IF('Recurring Schedule'!$C$33="","",IF('Recurring Schedule'!$F$33="","",IF(OR($A237&lt;'Recurring Schedule'!$F$33,$A237&gt;'Recurring Schedule'!$P$33),"",IF(IF('Recurring Schedule'!$N$33&gt;0,MOD($A237-'Recurring Schedule'!$F$33,'Recurring Schedule'!$N$33)=0,IF('Recurring Schedule'!$O$33&gt;0,AND(DAY($A237)=MIN(DAY('Recurring Schedule'!$F$33),DAY(EOMONTH($A237,0))),MOD((YEAR($A237)-YEAR('Recurring Schedule'!$F$33))*12+MONTH($A237)-MONTH('Recurring Schedule'!$F$33),'Recurring Schedule'!$O$33)=0),IF('Recurring Schedule'!$E$33="Weekdays",WEEKDAY($A237,2)&lt;=5,$A237='Recurring Schedule'!$F$33))),28,""))))</f>
        <v/>
      </c>
      <c r="AD237">
        <f>IF('Recurring Schedule'!$C$34="","",IF('Recurring Schedule'!$F$34="","",IF(OR($A237&lt;'Recurring Schedule'!$F$34,$A237&gt;'Recurring Schedule'!$P$34),"",IF(IF('Recurring Schedule'!$N$34&gt;0,MOD($A237-'Recurring Schedule'!$F$34,'Recurring Schedule'!$N$34)=0,IF('Recurring Schedule'!$O$34&gt;0,AND(DAY($A237)=MIN(DAY('Recurring Schedule'!$F$34),DAY(EOMONTH($A237,0))),MOD((YEAR($A237)-YEAR('Recurring Schedule'!$F$34))*12+MONTH($A237)-MONTH('Recurring Schedule'!$F$34),'Recurring Schedule'!$O$34)=0),IF('Recurring Schedule'!$E$34="Weekdays",WEEKDAY($A237,2)&lt;=5,$A237='Recurring Schedule'!$F$34))),29,""))))</f>
        <v/>
      </c>
      <c r="AE237">
        <f>IF('Recurring Schedule'!$C$35="","",IF('Recurring Schedule'!$F$35="","",IF(OR($A237&lt;'Recurring Schedule'!$F$35,$A237&gt;'Recurring Schedule'!$P$35),"",IF(IF('Recurring Schedule'!$N$35&gt;0,MOD($A237-'Recurring Schedule'!$F$35,'Recurring Schedule'!$N$35)=0,IF('Recurring Schedule'!$O$35&gt;0,AND(DAY($A237)=MIN(DAY('Recurring Schedule'!$F$35),DAY(EOMONTH($A237,0))),MOD((YEAR($A237)-YEAR('Recurring Schedule'!$F$35))*12+MONTH($A237)-MONTH('Recurring Schedule'!$F$35),'Recurring Schedule'!$O$35)=0),IF('Recurring Schedule'!$E$35="Weekdays",WEEKDAY($A237,2)&lt;=5,$A237='Recurring Schedule'!$F$35))),30,""))))</f>
        <v/>
      </c>
      <c r="AF237">
        <f>IF('Recurring Schedule'!$C$36="","",IF('Recurring Schedule'!$F$36="","",IF(OR($A237&lt;'Recurring Schedule'!$F$36,$A237&gt;'Recurring Schedule'!$P$36),"",IF(IF('Recurring Schedule'!$N$36&gt;0,MOD($A237-'Recurring Schedule'!$F$36,'Recurring Schedule'!$N$36)=0,IF('Recurring Schedule'!$O$36&gt;0,AND(DAY($A237)=MIN(DAY('Recurring Schedule'!$F$36),DAY(EOMONTH($A237,0))),MOD((YEAR($A237)-YEAR('Recurring Schedule'!$F$36))*12+MONTH($A237)-MONTH('Recurring Schedule'!$F$36),'Recurring Schedule'!$O$36)=0),IF('Recurring Schedule'!$E$36="Weekdays",WEEKDAY($A237,2)&lt;=5,$A237='Recurring Schedule'!$F$36))),31,""))))</f>
        <v/>
      </c>
      <c r="AG237">
        <f>IF('Recurring Schedule'!$C$37="","",IF('Recurring Schedule'!$F$37="","",IF(OR($A237&lt;'Recurring Schedule'!$F$37,$A237&gt;'Recurring Schedule'!$P$37),"",IF(IF('Recurring Schedule'!$N$37&gt;0,MOD($A237-'Recurring Schedule'!$F$37,'Recurring Schedule'!$N$37)=0,IF('Recurring Schedule'!$O$37&gt;0,AND(DAY($A237)=MIN(DAY('Recurring Schedule'!$F$37),DAY(EOMONTH($A237,0))),MOD((YEAR($A237)-YEAR('Recurring Schedule'!$F$37))*12+MONTH($A237)-MONTH('Recurring Schedule'!$F$37),'Recurring Schedule'!$O$37)=0),IF('Recurring Schedule'!$E$37="Weekdays",WEEKDAY($A237,2)&lt;=5,$A237='Recurring Schedule'!$F$37))),32,""))))</f>
        <v/>
      </c>
      <c r="AH237">
        <f>IF('Recurring Schedule'!$C$38="","",IF('Recurring Schedule'!$F$38="","",IF(OR($A237&lt;'Recurring Schedule'!$F$38,$A237&gt;'Recurring Schedule'!$P$38),"",IF(IF('Recurring Schedule'!$N$38&gt;0,MOD($A237-'Recurring Schedule'!$F$38,'Recurring Schedule'!$N$38)=0,IF('Recurring Schedule'!$O$38&gt;0,AND(DAY($A237)=MIN(DAY('Recurring Schedule'!$F$38),DAY(EOMONTH($A237,0))),MOD((YEAR($A237)-YEAR('Recurring Schedule'!$F$38))*12+MONTH($A237)-MONTH('Recurring Schedule'!$F$38),'Recurring Schedule'!$O$38)=0),IF('Recurring Schedule'!$E$38="Weekdays",WEEKDAY($A237,2)&lt;=5,$A237='Recurring Schedule'!$F$38))),33,""))))</f>
        <v/>
      </c>
      <c r="AI237">
        <f>IF('Recurring Schedule'!$C$39="","",IF('Recurring Schedule'!$F$39="","",IF(OR($A237&lt;'Recurring Schedule'!$F$39,$A237&gt;'Recurring Schedule'!$P$39),"",IF(IF('Recurring Schedule'!$N$39&gt;0,MOD($A237-'Recurring Schedule'!$F$39,'Recurring Schedule'!$N$39)=0,IF('Recurring Schedule'!$O$39&gt;0,AND(DAY($A237)=MIN(DAY('Recurring Schedule'!$F$39),DAY(EOMONTH($A237,0))),MOD((YEAR($A237)-YEAR('Recurring Schedule'!$F$39))*12+MONTH($A237)-MONTH('Recurring Schedule'!$F$39),'Recurring Schedule'!$O$39)=0),IF('Recurring Schedule'!$E$39="Weekdays",WEEKDAY($A237,2)&lt;=5,$A237='Recurring Schedule'!$F$39))),34,""))))</f>
        <v/>
      </c>
      <c r="AJ237">
        <f>IF('Recurring Schedule'!$C$40="","",IF('Recurring Schedule'!$F$40="","",IF(OR($A237&lt;'Recurring Schedule'!$F$40,$A237&gt;'Recurring Schedule'!$P$40),"",IF(IF('Recurring Schedule'!$N$40&gt;0,MOD($A237-'Recurring Schedule'!$F$40,'Recurring Schedule'!$N$40)=0,IF('Recurring Schedule'!$O$40&gt;0,AND(DAY($A237)=MIN(DAY('Recurring Schedule'!$F$40),DAY(EOMONTH($A237,0))),MOD((YEAR($A237)-YEAR('Recurring Schedule'!$F$40))*12+MONTH($A237)-MONTH('Recurring Schedule'!$F$40),'Recurring Schedule'!$O$40)=0),IF('Recurring Schedule'!$E$40="Weekdays",WEEKDAY($A237,2)&lt;=5,$A237='Recurring Schedule'!$F$40))),35,""))))</f>
        <v/>
      </c>
      <c r="AK237">
        <f>IF('Recurring Schedule'!$C$41="","",IF('Recurring Schedule'!$F$41="","",IF(OR($A237&lt;'Recurring Schedule'!$F$41,$A237&gt;'Recurring Schedule'!$P$41),"",IF(IF('Recurring Schedule'!$N$41&gt;0,MOD($A237-'Recurring Schedule'!$F$41,'Recurring Schedule'!$N$41)=0,IF('Recurring Schedule'!$O$41&gt;0,AND(DAY($A237)=MIN(DAY('Recurring Schedule'!$F$41),DAY(EOMONTH($A237,0))),MOD((YEAR($A237)-YEAR('Recurring Schedule'!$F$41))*12+MONTH($A237)-MONTH('Recurring Schedule'!$F$41),'Recurring Schedule'!$O$41)=0),IF('Recurring Schedule'!$E$41="Weekdays",WEEKDAY($A237,2)&lt;=5,$A237='Recurring Schedule'!$F$41))),36,""))))</f>
        <v/>
      </c>
      <c r="AL237">
        <f>IF('Recurring Schedule'!$C$42="","",IF('Recurring Schedule'!$F$42="","",IF(OR($A237&lt;'Recurring Schedule'!$F$42,$A237&gt;'Recurring Schedule'!$P$42),"",IF(IF('Recurring Schedule'!$N$42&gt;0,MOD($A237-'Recurring Schedule'!$F$42,'Recurring Schedule'!$N$42)=0,IF('Recurring Schedule'!$O$42&gt;0,AND(DAY($A237)=MIN(DAY('Recurring Schedule'!$F$42),DAY(EOMONTH($A237,0))),MOD((YEAR($A237)-YEAR('Recurring Schedule'!$F$42))*12+MONTH($A237)-MONTH('Recurring Schedule'!$F$42),'Recurring Schedule'!$O$42)=0),IF('Recurring Schedule'!$E$42="Weekdays",WEEKDAY($A237,2)&lt;=5,$A237='Recurring Schedule'!$F$42))),37,""))))</f>
        <v/>
      </c>
      <c r="AM237">
        <f>IF('Recurring Schedule'!$C$43="","",IF('Recurring Schedule'!$F$43="","",IF(OR($A237&lt;'Recurring Schedule'!$F$43,$A237&gt;'Recurring Schedule'!$P$43),"",IF(IF('Recurring Schedule'!$N$43&gt;0,MOD($A237-'Recurring Schedule'!$F$43,'Recurring Schedule'!$N$43)=0,IF('Recurring Schedule'!$O$43&gt;0,AND(DAY($A237)=MIN(DAY('Recurring Schedule'!$F$43),DAY(EOMONTH($A237,0))),MOD((YEAR($A237)-YEAR('Recurring Schedule'!$F$43))*12+MONTH($A237)-MONTH('Recurring Schedule'!$F$43),'Recurring Schedule'!$O$43)=0),IF('Recurring Schedule'!$E$43="Weekdays",WEEKDAY($A237,2)&lt;=5,$A237='Recurring Schedule'!$F$43))),38,""))))</f>
        <v/>
      </c>
      <c r="AN237">
        <f>IF('Recurring Schedule'!$C$44="","",IF('Recurring Schedule'!$F$44="","",IF(OR($A237&lt;'Recurring Schedule'!$F$44,$A237&gt;'Recurring Schedule'!$P$44),"",IF(IF('Recurring Schedule'!$N$44&gt;0,MOD($A237-'Recurring Schedule'!$F$44,'Recurring Schedule'!$N$44)=0,IF('Recurring Schedule'!$O$44&gt;0,AND(DAY($A237)=MIN(DAY('Recurring Schedule'!$F$44),DAY(EOMONTH($A237,0))),MOD((YEAR($A237)-YEAR('Recurring Schedule'!$F$44))*12+MONTH($A237)-MONTH('Recurring Schedule'!$F$44),'Recurring Schedule'!$O$44)=0),IF('Recurring Schedule'!$E$44="Weekdays",WEEKDAY($A237,2)&lt;=5,$A237='Recurring Schedule'!$F$44))),39,""))))</f>
        <v/>
      </c>
      <c r="AO237">
        <f>IF('Recurring Schedule'!$C$45="","",IF('Recurring Schedule'!$F$45="","",IF(OR($A237&lt;'Recurring Schedule'!$F$45,$A237&gt;'Recurring Schedule'!$P$45),"",IF(IF('Recurring Schedule'!$N$45&gt;0,MOD($A237-'Recurring Schedule'!$F$45,'Recurring Schedule'!$N$45)=0,IF('Recurring Schedule'!$O$45&gt;0,AND(DAY($A237)=MIN(DAY('Recurring Schedule'!$F$45),DAY(EOMONTH($A237,0))),MOD((YEAR($A237)-YEAR('Recurring Schedule'!$F$45))*12+MONTH($A237)-MONTH('Recurring Schedule'!$F$45),'Recurring Schedule'!$O$45)=0),IF('Recurring Schedule'!$E$45="Weekdays",WEEKDAY($A237,2)&lt;=5,$A237='Recurring Schedule'!$F$45))),40,""))))</f>
        <v/>
      </c>
      <c r="AP237">
        <f>COUNT(B237:AO237)</f>
        <v/>
      </c>
      <c r="AQ237">
        <f>AQ236+AP236</f>
        <v/>
      </c>
      <c r="AS237" t="inlineStr">
        <is>
          <t>R</t>
        </is>
      </c>
      <c r="AT237" t="n">
        <v>241</v>
      </c>
      <c r="AU237">
        <f>'Recurring Log'!C241&amp;""</f>
        <v/>
      </c>
      <c r="AV237">
        <f>'Recurring Log'!D241&amp;""</f>
        <v/>
      </c>
      <c r="AW237">
        <f>IF('Recurring Log'!E241="","",'Recurring Log'!E241)</f>
        <v/>
      </c>
      <c r="AX237">
        <f>IF('Recurring Log'!G241="","",'Recurring Log'!G241)</f>
        <v/>
      </c>
      <c r="AY237">
        <f>IF('Recurring Log'!H241="","",'Recurring Log'!H241)</f>
        <v/>
      </c>
      <c r="AZ237">
        <f>IF(AU237="","",IF('Recurring Log'!J241="","Not Started",'Recurring Log'!J241))</f>
        <v/>
      </c>
      <c r="BA237">
        <f>'Recurring Log'!L241&amp;""</f>
        <v/>
      </c>
      <c r="BB237">
        <f>'Recurring Log'!M241&amp;""</f>
        <v/>
      </c>
      <c r="BC237">
        <f>'Recurring Log'!N241&amp;""</f>
        <v/>
      </c>
      <c r="BD237">
        <f>'Recurring Log'!O241&amp;""</f>
        <v/>
      </c>
      <c r="BE237">
        <f>IF('Recurring Log'!K241="","",'Recurring Log'!K241)</f>
        <v/>
      </c>
      <c r="BF237">
        <f>IFERROR(MATCH(BA237,Setup!$L$6:$L$9,0),5)</f>
        <v/>
      </c>
      <c r="BG237">
        <f>IF(OR(AZ237="Done",AZ237="Cancelled"),1,0)</f>
        <v/>
      </c>
      <c r="BH237">
        <f>IF(AND(AU237&lt;&gt;"",ISNUMBER(AW237)),1,0)</f>
        <v/>
      </c>
      <c r="BI237">
        <f>IF(BH237=0,0,IF(AND(AW237&gt;='Tasks Filter'!$F$3,AW237&lt;='Tasks Filter'!$F$4,OR('Tasks Filter'!$I$3="",ISNUMBER(SEARCH('Tasks Filter'!$I$3,AU237))),OR('Tasks Filter'!$I$4="",BF237=IFERROR(MATCH('Tasks Filter'!$I$4,Setup!$L$6:$L$9,0),0)),OR('Tasks Filter'!$I$5="Both",AND('Tasks Filter'!$I$5="Yes",BB237="✓"),AND('Tasks Filter'!$I$5="No",BB237&lt;&gt;"✓")),OR('Tasks Filter'!$L$3="",AV237='Tasks Filter'!$L$3),OR('Tasks Filter'!$L$4="",AZ237='Tasks Filter'!$L$4),OR('Tasks Filter'!$L$5="",BC237='Tasks Filter'!$L$5),OR('Tasks Filter'!$O$3="",BD237='Tasks Filter'!$O$3),OR('Tasks Filter'!$O$4="Yes",BG237=0)),1,0))</f>
        <v/>
      </c>
      <c r="BJ237">
        <f>IF(BH237=0,"",IF('Tasks Filter'!$F$6="Descending",-1,1)*CHOOSE(MATCH('Tasks Filter'!$F$5,Lists!$G$2:$G$6,0),AW237,BF237,IFERROR(MATCH(AV237,Setup!$F$6:$F$15,0),99),IFERROR(MATCH(BC237,Setup!$H$6:$H$15,0),99),IFERROR(MATCH(AZ237,Setup!$J$6:$J$11,0),99))*1E+9+(AW237-40000)*10000+236)</f>
        <v/>
      </c>
      <c r="BK237">
        <f>IF(BI237=1,BJ237,"")</f>
        <v/>
      </c>
      <c r="BL237">
        <f>IF(AND(BH237=1,BG237=0,N(AW237)&lt;Setup!$D$7),(AW237-40000)*10000+236,"")</f>
        <v/>
      </c>
      <c r="BM237">
        <f>IF(AND(BH237=1,AZ237&lt;&gt;"Cancelled",N(AW237)&gt;=Dashboard!$AB$3,N(AW237)&lt;=Dashboard!$AB$3+6),(AW237-40000)*100000+BF237*10000+236,"")</f>
        <v/>
      </c>
      <c r="BN237">
        <f>IF(AND(BH237=1,AZ237&lt;&gt;"Cancelled"),BF237*10000+236,"")</f>
        <v/>
      </c>
    </row>
    <row r="238">
      <c r="A238">
        <f>Setup!$D$5+236</f>
        <v/>
      </c>
      <c r="B238">
        <f>IF('Recurring Schedule'!$C$6="","",IF('Recurring Schedule'!$F$6="","",IF(OR($A238&lt;'Recurring Schedule'!$F$6,$A238&gt;'Recurring Schedule'!$P$6),"",IF(IF('Recurring Schedule'!$N$6&gt;0,MOD($A238-'Recurring Schedule'!$F$6,'Recurring Schedule'!$N$6)=0,IF('Recurring Schedule'!$O$6&gt;0,AND(DAY($A238)=MIN(DAY('Recurring Schedule'!$F$6),DAY(EOMONTH($A238,0))),MOD((YEAR($A238)-YEAR('Recurring Schedule'!$F$6))*12+MONTH($A238)-MONTH('Recurring Schedule'!$F$6),'Recurring Schedule'!$O$6)=0),IF('Recurring Schedule'!$E$6="Weekdays",WEEKDAY($A238,2)&lt;=5,$A238='Recurring Schedule'!$F$6))),1,""))))</f>
        <v/>
      </c>
      <c r="C238">
        <f>IF('Recurring Schedule'!$C$7="","",IF('Recurring Schedule'!$F$7="","",IF(OR($A238&lt;'Recurring Schedule'!$F$7,$A238&gt;'Recurring Schedule'!$P$7),"",IF(IF('Recurring Schedule'!$N$7&gt;0,MOD($A238-'Recurring Schedule'!$F$7,'Recurring Schedule'!$N$7)=0,IF('Recurring Schedule'!$O$7&gt;0,AND(DAY($A238)=MIN(DAY('Recurring Schedule'!$F$7),DAY(EOMONTH($A238,0))),MOD((YEAR($A238)-YEAR('Recurring Schedule'!$F$7))*12+MONTH($A238)-MONTH('Recurring Schedule'!$F$7),'Recurring Schedule'!$O$7)=0),IF('Recurring Schedule'!$E$7="Weekdays",WEEKDAY($A238,2)&lt;=5,$A238='Recurring Schedule'!$F$7))),2,""))))</f>
        <v/>
      </c>
      <c r="D238">
        <f>IF('Recurring Schedule'!$C$8="","",IF('Recurring Schedule'!$F$8="","",IF(OR($A238&lt;'Recurring Schedule'!$F$8,$A238&gt;'Recurring Schedule'!$P$8),"",IF(IF('Recurring Schedule'!$N$8&gt;0,MOD($A238-'Recurring Schedule'!$F$8,'Recurring Schedule'!$N$8)=0,IF('Recurring Schedule'!$O$8&gt;0,AND(DAY($A238)=MIN(DAY('Recurring Schedule'!$F$8),DAY(EOMONTH($A238,0))),MOD((YEAR($A238)-YEAR('Recurring Schedule'!$F$8))*12+MONTH($A238)-MONTH('Recurring Schedule'!$F$8),'Recurring Schedule'!$O$8)=0),IF('Recurring Schedule'!$E$8="Weekdays",WEEKDAY($A238,2)&lt;=5,$A238='Recurring Schedule'!$F$8))),3,""))))</f>
        <v/>
      </c>
      <c r="E238">
        <f>IF('Recurring Schedule'!$C$9="","",IF('Recurring Schedule'!$F$9="","",IF(OR($A238&lt;'Recurring Schedule'!$F$9,$A238&gt;'Recurring Schedule'!$P$9),"",IF(IF('Recurring Schedule'!$N$9&gt;0,MOD($A238-'Recurring Schedule'!$F$9,'Recurring Schedule'!$N$9)=0,IF('Recurring Schedule'!$O$9&gt;0,AND(DAY($A238)=MIN(DAY('Recurring Schedule'!$F$9),DAY(EOMONTH($A238,0))),MOD((YEAR($A238)-YEAR('Recurring Schedule'!$F$9))*12+MONTH($A238)-MONTH('Recurring Schedule'!$F$9),'Recurring Schedule'!$O$9)=0),IF('Recurring Schedule'!$E$9="Weekdays",WEEKDAY($A238,2)&lt;=5,$A238='Recurring Schedule'!$F$9))),4,""))))</f>
        <v/>
      </c>
      <c r="F238">
        <f>IF('Recurring Schedule'!$C$10="","",IF('Recurring Schedule'!$F$10="","",IF(OR($A238&lt;'Recurring Schedule'!$F$10,$A238&gt;'Recurring Schedule'!$P$10),"",IF(IF('Recurring Schedule'!$N$10&gt;0,MOD($A238-'Recurring Schedule'!$F$10,'Recurring Schedule'!$N$10)=0,IF('Recurring Schedule'!$O$10&gt;0,AND(DAY($A238)=MIN(DAY('Recurring Schedule'!$F$10),DAY(EOMONTH($A238,0))),MOD((YEAR($A238)-YEAR('Recurring Schedule'!$F$10))*12+MONTH($A238)-MONTH('Recurring Schedule'!$F$10),'Recurring Schedule'!$O$10)=0),IF('Recurring Schedule'!$E$10="Weekdays",WEEKDAY($A238,2)&lt;=5,$A238='Recurring Schedule'!$F$10))),5,""))))</f>
        <v/>
      </c>
      <c r="G238">
        <f>IF('Recurring Schedule'!$C$11="","",IF('Recurring Schedule'!$F$11="","",IF(OR($A238&lt;'Recurring Schedule'!$F$11,$A238&gt;'Recurring Schedule'!$P$11),"",IF(IF('Recurring Schedule'!$N$11&gt;0,MOD($A238-'Recurring Schedule'!$F$11,'Recurring Schedule'!$N$11)=0,IF('Recurring Schedule'!$O$11&gt;0,AND(DAY($A238)=MIN(DAY('Recurring Schedule'!$F$11),DAY(EOMONTH($A238,0))),MOD((YEAR($A238)-YEAR('Recurring Schedule'!$F$11))*12+MONTH($A238)-MONTH('Recurring Schedule'!$F$11),'Recurring Schedule'!$O$11)=0),IF('Recurring Schedule'!$E$11="Weekdays",WEEKDAY($A238,2)&lt;=5,$A238='Recurring Schedule'!$F$11))),6,""))))</f>
        <v/>
      </c>
      <c r="H238">
        <f>IF('Recurring Schedule'!$C$12="","",IF('Recurring Schedule'!$F$12="","",IF(OR($A238&lt;'Recurring Schedule'!$F$12,$A238&gt;'Recurring Schedule'!$P$12),"",IF(IF('Recurring Schedule'!$N$12&gt;0,MOD($A238-'Recurring Schedule'!$F$12,'Recurring Schedule'!$N$12)=0,IF('Recurring Schedule'!$O$12&gt;0,AND(DAY($A238)=MIN(DAY('Recurring Schedule'!$F$12),DAY(EOMONTH($A238,0))),MOD((YEAR($A238)-YEAR('Recurring Schedule'!$F$12))*12+MONTH($A238)-MONTH('Recurring Schedule'!$F$12),'Recurring Schedule'!$O$12)=0),IF('Recurring Schedule'!$E$12="Weekdays",WEEKDAY($A238,2)&lt;=5,$A238='Recurring Schedule'!$F$12))),7,""))))</f>
        <v/>
      </c>
      <c r="I238">
        <f>IF('Recurring Schedule'!$C$13="","",IF('Recurring Schedule'!$F$13="","",IF(OR($A238&lt;'Recurring Schedule'!$F$13,$A238&gt;'Recurring Schedule'!$P$13),"",IF(IF('Recurring Schedule'!$N$13&gt;0,MOD($A238-'Recurring Schedule'!$F$13,'Recurring Schedule'!$N$13)=0,IF('Recurring Schedule'!$O$13&gt;0,AND(DAY($A238)=MIN(DAY('Recurring Schedule'!$F$13),DAY(EOMONTH($A238,0))),MOD((YEAR($A238)-YEAR('Recurring Schedule'!$F$13))*12+MONTH($A238)-MONTH('Recurring Schedule'!$F$13),'Recurring Schedule'!$O$13)=0),IF('Recurring Schedule'!$E$13="Weekdays",WEEKDAY($A238,2)&lt;=5,$A238='Recurring Schedule'!$F$13))),8,""))))</f>
        <v/>
      </c>
      <c r="J238">
        <f>IF('Recurring Schedule'!$C$14="","",IF('Recurring Schedule'!$F$14="","",IF(OR($A238&lt;'Recurring Schedule'!$F$14,$A238&gt;'Recurring Schedule'!$P$14),"",IF(IF('Recurring Schedule'!$N$14&gt;0,MOD($A238-'Recurring Schedule'!$F$14,'Recurring Schedule'!$N$14)=0,IF('Recurring Schedule'!$O$14&gt;0,AND(DAY($A238)=MIN(DAY('Recurring Schedule'!$F$14),DAY(EOMONTH($A238,0))),MOD((YEAR($A238)-YEAR('Recurring Schedule'!$F$14))*12+MONTH($A238)-MONTH('Recurring Schedule'!$F$14),'Recurring Schedule'!$O$14)=0),IF('Recurring Schedule'!$E$14="Weekdays",WEEKDAY($A238,2)&lt;=5,$A238='Recurring Schedule'!$F$14))),9,""))))</f>
        <v/>
      </c>
      <c r="K238">
        <f>IF('Recurring Schedule'!$C$15="","",IF('Recurring Schedule'!$F$15="","",IF(OR($A238&lt;'Recurring Schedule'!$F$15,$A238&gt;'Recurring Schedule'!$P$15),"",IF(IF('Recurring Schedule'!$N$15&gt;0,MOD($A238-'Recurring Schedule'!$F$15,'Recurring Schedule'!$N$15)=0,IF('Recurring Schedule'!$O$15&gt;0,AND(DAY($A238)=MIN(DAY('Recurring Schedule'!$F$15),DAY(EOMONTH($A238,0))),MOD((YEAR($A238)-YEAR('Recurring Schedule'!$F$15))*12+MONTH($A238)-MONTH('Recurring Schedule'!$F$15),'Recurring Schedule'!$O$15)=0),IF('Recurring Schedule'!$E$15="Weekdays",WEEKDAY($A238,2)&lt;=5,$A238='Recurring Schedule'!$F$15))),10,""))))</f>
        <v/>
      </c>
      <c r="L238">
        <f>IF('Recurring Schedule'!$C$16="","",IF('Recurring Schedule'!$F$16="","",IF(OR($A238&lt;'Recurring Schedule'!$F$16,$A238&gt;'Recurring Schedule'!$P$16),"",IF(IF('Recurring Schedule'!$N$16&gt;0,MOD($A238-'Recurring Schedule'!$F$16,'Recurring Schedule'!$N$16)=0,IF('Recurring Schedule'!$O$16&gt;0,AND(DAY($A238)=MIN(DAY('Recurring Schedule'!$F$16),DAY(EOMONTH($A238,0))),MOD((YEAR($A238)-YEAR('Recurring Schedule'!$F$16))*12+MONTH($A238)-MONTH('Recurring Schedule'!$F$16),'Recurring Schedule'!$O$16)=0),IF('Recurring Schedule'!$E$16="Weekdays",WEEKDAY($A238,2)&lt;=5,$A238='Recurring Schedule'!$F$16))),11,""))))</f>
        <v/>
      </c>
      <c r="M238">
        <f>IF('Recurring Schedule'!$C$17="","",IF('Recurring Schedule'!$F$17="","",IF(OR($A238&lt;'Recurring Schedule'!$F$17,$A238&gt;'Recurring Schedule'!$P$17),"",IF(IF('Recurring Schedule'!$N$17&gt;0,MOD($A238-'Recurring Schedule'!$F$17,'Recurring Schedule'!$N$17)=0,IF('Recurring Schedule'!$O$17&gt;0,AND(DAY($A238)=MIN(DAY('Recurring Schedule'!$F$17),DAY(EOMONTH($A238,0))),MOD((YEAR($A238)-YEAR('Recurring Schedule'!$F$17))*12+MONTH($A238)-MONTH('Recurring Schedule'!$F$17),'Recurring Schedule'!$O$17)=0),IF('Recurring Schedule'!$E$17="Weekdays",WEEKDAY($A238,2)&lt;=5,$A238='Recurring Schedule'!$F$17))),12,""))))</f>
        <v/>
      </c>
      <c r="N238">
        <f>IF('Recurring Schedule'!$C$18="","",IF('Recurring Schedule'!$F$18="","",IF(OR($A238&lt;'Recurring Schedule'!$F$18,$A238&gt;'Recurring Schedule'!$P$18),"",IF(IF('Recurring Schedule'!$N$18&gt;0,MOD($A238-'Recurring Schedule'!$F$18,'Recurring Schedule'!$N$18)=0,IF('Recurring Schedule'!$O$18&gt;0,AND(DAY($A238)=MIN(DAY('Recurring Schedule'!$F$18),DAY(EOMONTH($A238,0))),MOD((YEAR($A238)-YEAR('Recurring Schedule'!$F$18))*12+MONTH($A238)-MONTH('Recurring Schedule'!$F$18),'Recurring Schedule'!$O$18)=0),IF('Recurring Schedule'!$E$18="Weekdays",WEEKDAY($A238,2)&lt;=5,$A238='Recurring Schedule'!$F$18))),13,""))))</f>
        <v/>
      </c>
      <c r="O238">
        <f>IF('Recurring Schedule'!$C$19="","",IF('Recurring Schedule'!$F$19="","",IF(OR($A238&lt;'Recurring Schedule'!$F$19,$A238&gt;'Recurring Schedule'!$P$19),"",IF(IF('Recurring Schedule'!$N$19&gt;0,MOD($A238-'Recurring Schedule'!$F$19,'Recurring Schedule'!$N$19)=0,IF('Recurring Schedule'!$O$19&gt;0,AND(DAY($A238)=MIN(DAY('Recurring Schedule'!$F$19),DAY(EOMONTH($A238,0))),MOD((YEAR($A238)-YEAR('Recurring Schedule'!$F$19))*12+MONTH($A238)-MONTH('Recurring Schedule'!$F$19),'Recurring Schedule'!$O$19)=0),IF('Recurring Schedule'!$E$19="Weekdays",WEEKDAY($A238,2)&lt;=5,$A238='Recurring Schedule'!$F$19))),14,""))))</f>
        <v/>
      </c>
      <c r="P238">
        <f>IF('Recurring Schedule'!$C$20="","",IF('Recurring Schedule'!$F$20="","",IF(OR($A238&lt;'Recurring Schedule'!$F$20,$A238&gt;'Recurring Schedule'!$P$20),"",IF(IF('Recurring Schedule'!$N$20&gt;0,MOD($A238-'Recurring Schedule'!$F$20,'Recurring Schedule'!$N$20)=0,IF('Recurring Schedule'!$O$20&gt;0,AND(DAY($A238)=MIN(DAY('Recurring Schedule'!$F$20),DAY(EOMONTH($A238,0))),MOD((YEAR($A238)-YEAR('Recurring Schedule'!$F$20))*12+MONTH($A238)-MONTH('Recurring Schedule'!$F$20),'Recurring Schedule'!$O$20)=0),IF('Recurring Schedule'!$E$20="Weekdays",WEEKDAY($A238,2)&lt;=5,$A238='Recurring Schedule'!$F$20))),15,""))))</f>
        <v/>
      </c>
      <c r="Q238">
        <f>IF('Recurring Schedule'!$C$21="","",IF('Recurring Schedule'!$F$21="","",IF(OR($A238&lt;'Recurring Schedule'!$F$21,$A238&gt;'Recurring Schedule'!$P$21),"",IF(IF('Recurring Schedule'!$N$21&gt;0,MOD($A238-'Recurring Schedule'!$F$21,'Recurring Schedule'!$N$21)=0,IF('Recurring Schedule'!$O$21&gt;0,AND(DAY($A238)=MIN(DAY('Recurring Schedule'!$F$21),DAY(EOMONTH($A238,0))),MOD((YEAR($A238)-YEAR('Recurring Schedule'!$F$21))*12+MONTH($A238)-MONTH('Recurring Schedule'!$F$21),'Recurring Schedule'!$O$21)=0),IF('Recurring Schedule'!$E$21="Weekdays",WEEKDAY($A238,2)&lt;=5,$A238='Recurring Schedule'!$F$21))),16,""))))</f>
        <v/>
      </c>
      <c r="R238">
        <f>IF('Recurring Schedule'!$C$22="","",IF('Recurring Schedule'!$F$22="","",IF(OR($A238&lt;'Recurring Schedule'!$F$22,$A238&gt;'Recurring Schedule'!$P$22),"",IF(IF('Recurring Schedule'!$N$22&gt;0,MOD($A238-'Recurring Schedule'!$F$22,'Recurring Schedule'!$N$22)=0,IF('Recurring Schedule'!$O$22&gt;0,AND(DAY($A238)=MIN(DAY('Recurring Schedule'!$F$22),DAY(EOMONTH($A238,0))),MOD((YEAR($A238)-YEAR('Recurring Schedule'!$F$22))*12+MONTH($A238)-MONTH('Recurring Schedule'!$F$22),'Recurring Schedule'!$O$22)=0),IF('Recurring Schedule'!$E$22="Weekdays",WEEKDAY($A238,2)&lt;=5,$A238='Recurring Schedule'!$F$22))),17,""))))</f>
        <v/>
      </c>
      <c r="S238">
        <f>IF('Recurring Schedule'!$C$23="","",IF('Recurring Schedule'!$F$23="","",IF(OR($A238&lt;'Recurring Schedule'!$F$23,$A238&gt;'Recurring Schedule'!$P$23),"",IF(IF('Recurring Schedule'!$N$23&gt;0,MOD($A238-'Recurring Schedule'!$F$23,'Recurring Schedule'!$N$23)=0,IF('Recurring Schedule'!$O$23&gt;0,AND(DAY($A238)=MIN(DAY('Recurring Schedule'!$F$23),DAY(EOMONTH($A238,0))),MOD((YEAR($A238)-YEAR('Recurring Schedule'!$F$23))*12+MONTH($A238)-MONTH('Recurring Schedule'!$F$23),'Recurring Schedule'!$O$23)=0),IF('Recurring Schedule'!$E$23="Weekdays",WEEKDAY($A238,2)&lt;=5,$A238='Recurring Schedule'!$F$23))),18,""))))</f>
        <v/>
      </c>
      <c r="T238">
        <f>IF('Recurring Schedule'!$C$24="","",IF('Recurring Schedule'!$F$24="","",IF(OR($A238&lt;'Recurring Schedule'!$F$24,$A238&gt;'Recurring Schedule'!$P$24),"",IF(IF('Recurring Schedule'!$N$24&gt;0,MOD($A238-'Recurring Schedule'!$F$24,'Recurring Schedule'!$N$24)=0,IF('Recurring Schedule'!$O$24&gt;0,AND(DAY($A238)=MIN(DAY('Recurring Schedule'!$F$24),DAY(EOMONTH($A238,0))),MOD((YEAR($A238)-YEAR('Recurring Schedule'!$F$24))*12+MONTH($A238)-MONTH('Recurring Schedule'!$F$24),'Recurring Schedule'!$O$24)=0),IF('Recurring Schedule'!$E$24="Weekdays",WEEKDAY($A238,2)&lt;=5,$A238='Recurring Schedule'!$F$24))),19,""))))</f>
        <v/>
      </c>
      <c r="U238">
        <f>IF('Recurring Schedule'!$C$25="","",IF('Recurring Schedule'!$F$25="","",IF(OR($A238&lt;'Recurring Schedule'!$F$25,$A238&gt;'Recurring Schedule'!$P$25),"",IF(IF('Recurring Schedule'!$N$25&gt;0,MOD($A238-'Recurring Schedule'!$F$25,'Recurring Schedule'!$N$25)=0,IF('Recurring Schedule'!$O$25&gt;0,AND(DAY($A238)=MIN(DAY('Recurring Schedule'!$F$25),DAY(EOMONTH($A238,0))),MOD((YEAR($A238)-YEAR('Recurring Schedule'!$F$25))*12+MONTH($A238)-MONTH('Recurring Schedule'!$F$25),'Recurring Schedule'!$O$25)=0),IF('Recurring Schedule'!$E$25="Weekdays",WEEKDAY($A238,2)&lt;=5,$A238='Recurring Schedule'!$F$25))),20,""))))</f>
        <v/>
      </c>
      <c r="V238">
        <f>IF('Recurring Schedule'!$C$26="","",IF('Recurring Schedule'!$F$26="","",IF(OR($A238&lt;'Recurring Schedule'!$F$26,$A238&gt;'Recurring Schedule'!$P$26),"",IF(IF('Recurring Schedule'!$N$26&gt;0,MOD($A238-'Recurring Schedule'!$F$26,'Recurring Schedule'!$N$26)=0,IF('Recurring Schedule'!$O$26&gt;0,AND(DAY($A238)=MIN(DAY('Recurring Schedule'!$F$26),DAY(EOMONTH($A238,0))),MOD((YEAR($A238)-YEAR('Recurring Schedule'!$F$26))*12+MONTH($A238)-MONTH('Recurring Schedule'!$F$26),'Recurring Schedule'!$O$26)=0),IF('Recurring Schedule'!$E$26="Weekdays",WEEKDAY($A238,2)&lt;=5,$A238='Recurring Schedule'!$F$26))),21,""))))</f>
        <v/>
      </c>
      <c r="W238">
        <f>IF('Recurring Schedule'!$C$27="","",IF('Recurring Schedule'!$F$27="","",IF(OR($A238&lt;'Recurring Schedule'!$F$27,$A238&gt;'Recurring Schedule'!$P$27),"",IF(IF('Recurring Schedule'!$N$27&gt;0,MOD($A238-'Recurring Schedule'!$F$27,'Recurring Schedule'!$N$27)=0,IF('Recurring Schedule'!$O$27&gt;0,AND(DAY($A238)=MIN(DAY('Recurring Schedule'!$F$27),DAY(EOMONTH($A238,0))),MOD((YEAR($A238)-YEAR('Recurring Schedule'!$F$27))*12+MONTH($A238)-MONTH('Recurring Schedule'!$F$27),'Recurring Schedule'!$O$27)=0),IF('Recurring Schedule'!$E$27="Weekdays",WEEKDAY($A238,2)&lt;=5,$A238='Recurring Schedule'!$F$27))),22,""))))</f>
        <v/>
      </c>
      <c r="X238">
        <f>IF('Recurring Schedule'!$C$28="","",IF('Recurring Schedule'!$F$28="","",IF(OR($A238&lt;'Recurring Schedule'!$F$28,$A238&gt;'Recurring Schedule'!$P$28),"",IF(IF('Recurring Schedule'!$N$28&gt;0,MOD($A238-'Recurring Schedule'!$F$28,'Recurring Schedule'!$N$28)=0,IF('Recurring Schedule'!$O$28&gt;0,AND(DAY($A238)=MIN(DAY('Recurring Schedule'!$F$28),DAY(EOMONTH($A238,0))),MOD((YEAR($A238)-YEAR('Recurring Schedule'!$F$28))*12+MONTH($A238)-MONTH('Recurring Schedule'!$F$28),'Recurring Schedule'!$O$28)=0),IF('Recurring Schedule'!$E$28="Weekdays",WEEKDAY($A238,2)&lt;=5,$A238='Recurring Schedule'!$F$28))),23,""))))</f>
        <v/>
      </c>
      <c r="Y238">
        <f>IF('Recurring Schedule'!$C$29="","",IF('Recurring Schedule'!$F$29="","",IF(OR($A238&lt;'Recurring Schedule'!$F$29,$A238&gt;'Recurring Schedule'!$P$29),"",IF(IF('Recurring Schedule'!$N$29&gt;0,MOD($A238-'Recurring Schedule'!$F$29,'Recurring Schedule'!$N$29)=0,IF('Recurring Schedule'!$O$29&gt;0,AND(DAY($A238)=MIN(DAY('Recurring Schedule'!$F$29),DAY(EOMONTH($A238,0))),MOD((YEAR($A238)-YEAR('Recurring Schedule'!$F$29))*12+MONTH($A238)-MONTH('Recurring Schedule'!$F$29),'Recurring Schedule'!$O$29)=0),IF('Recurring Schedule'!$E$29="Weekdays",WEEKDAY($A238,2)&lt;=5,$A238='Recurring Schedule'!$F$29))),24,""))))</f>
        <v/>
      </c>
      <c r="Z238">
        <f>IF('Recurring Schedule'!$C$30="","",IF('Recurring Schedule'!$F$30="","",IF(OR($A238&lt;'Recurring Schedule'!$F$30,$A238&gt;'Recurring Schedule'!$P$30),"",IF(IF('Recurring Schedule'!$N$30&gt;0,MOD($A238-'Recurring Schedule'!$F$30,'Recurring Schedule'!$N$30)=0,IF('Recurring Schedule'!$O$30&gt;0,AND(DAY($A238)=MIN(DAY('Recurring Schedule'!$F$30),DAY(EOMONTH($A238,0))),MOD((YEAR($A238)-YEAR('Recurring Schedule'!$F$30))*12+MONTH($A238)-MONTH('Recurring Schedule'!$F$30),'Recurring Schedule'!$O$30)=0),IF('Recurring Schedule'!$E$30="Weekdays",WEEKDAY($A238,2)&lt;=5,$A238='Recurring Schedule'!$F$30))),25,""))))</f>
        <v/>
      </c>
      <c r="AA238">
        <f>IF('Recurring Schedule'!$C$31="","",IF('Recurring Schedule'!$F$31="","",IF(OR($A238&lt;'Recurring Schedule'!$F$31,$A238&gt;'Recurring Schedule'!$P$31),"",IF(IF('Recurring Schedule'!$N$31&gt;0,MOD($A238-'Recurring Schedule'!$F$31,'Recurring Schedule'!$N$31)=0,IF('Recurring Schedule'!$O$31&gt;0,AND(DAY($A238)=MIN(DAY('Recurring Schedule'!$F$31),DAY(EOMONTH($A238,0))),MOD((YEAR($A238)-YEAR('Recurring Schedule'!$F$31))*12+MONTH($A238)-MONTH('Recurring Schedule'!$F$31),'Recurring Schedule'!$O$31)=0),IF('Recurring Schedule'!$E$31="Weekdays",WEEKDAY($A238,2)&lt;=5,$A238='Recurring Schedule'!$F$31))),26,""))))</f>
        <v/>
      </c>
      <c r="AB238">
        <f>IF('Recurring Schedule'!$C$32="","",IF('Recurring Schedule'!$F$32="","",IF(OR($A238&lt;'Recurring Schedule'!$F$32,$A238&gt;'Recurring Schedule'!$P$32),"",IF(IF('Recurring Schedule'!$N$32&gt;0,MOD($A238-'Recurring Schedule'!$F$32,'Recurring Schedule'!$N$32)=0,IF('Recurring Schedule'!$O$32&gt;0,AND(DAY($A238)=MIN(DAY('Recurring Schedule'!$F$32),DAY(EOMONTH($A238,0))),MOD((YEAR($A238)-YEAR('Recurring Schedule'!$F$32))*12+MONTH($A238)-MONTH('Recurring Schedule'!$F$32),'Recurring Schedule'!$O$32)=0),IF('Recurring Schedule'!$E$32="Weekdays",WEEKDAY($A238,2)&lt;=5,$A238='Recurring Schedule'!$F$32))),27,""))))</f>
        <v/>
      </c>
      <c r="AC238">
        <f>IF('Recurring Schedule'!$C$33="","",IF('Recurring Schedule'!$F$33="","",IF(OR($A238&lt;'Recurring Schedule'!$F$33,$A238&gt;'Recurring Schedule'!$P$33),"",IF(IF('Recurring Schedule'!$N$33&gt;0,MOD($A238-'Recurring Schedule'!$F$33,'Recurring Schedule'!$N$33)=0,IF('Recurring Schedule'!$O$33&gt;0,AND(DAY($A238)=MIN(DAY('Recurring Schedule'!$F$33),DAY(EOMONTH($A238,0))),MOD((YEAR($A238)-YEAR('Recurring Schedule'!$F$33))*12+MONTH($A238)-MONTH('Recurring Schedule'!$F$33),'Recurring Schedule'!$O$33)=0),IF('Recurring Schedule'!$E$33="Weekdays",WEEKDAY($A238,2)&lt;=5,$A238='Recurring Schedule'!$F$33))),28,""))))</f>
        <v/>
      </c>
      <c r="AD238">
        <f>IF('Recurring Schedule'!$C$34="","",IF('Recurring Schedule'!$F$34="","",IF(OR($A238&lt;'Recurring Schedule'!$F$34,$A238&gt;'Recurring Schedule'!$P$34),"",IF(IF('Recurring Schedule'!$N$34&gt;0,MOD($A238-'Recurring Schedule'!$F$34,'Recurring Schedule'!$N$34)=0,IF('Recurring Schedule'!$O$34&gt;0,AND(DAY($A238)=MIN(DAY('Recurring Schedule'!$F$34),DAY(EOMONTH($A238,0))),MOD((YEAR($A238)-YEAR('Recurring Schedule'!$F$34))*12+MONTH($A238)-MONTH('Recurring Schedule'!$F$34),'Recurring Schedule'!$O$34)=0),IF('Recurring Schedule'!$E$34="Weekdays",WEEKDAY($A238,2)&lt;=5,$A238='Recurring Schedule'!$F$34))),29,""))))</f>
        <v/>
      </c>
      <c r="AE238">
        <f>IF('Recurring Schedule'!$C$35="","",IF('Recurring Schedule'!$F$35="","",IF(OR($A238&lt;'Recurring Schedule'!$F$35,$A238&gt;'Recurring Schedule'!$P$35),"",IF(IF('Recurring Schedule'!$N$35&gt;0,MOD($A238-'Recurring Schedule'!$F$35,'Recurring Schedule'!$N$35)=0,IF('Recurring Schedule'!$O$35&gt;0,AND(DAY($A238)=MIN(DAY('Recurring Schedule'!$F$35),DAY(EOMONTH($A238,0))),MOD((YEAR($A238)-YEAR('Recurring Schedule'!$F$35))*12+MONTH($A238)-MONTH('Recurring Schedule'!$F$35),'Recurring Schedule'!$O$35)=0),IF('Recurring Schedule'!$E$35="Weekdays",WEEKDAY($A238,2)&lt;=5,$A238='Recurring Schedule'!$F$35))),30,""))))</f>
        <v/>
      </c>
      <c r="AF238">
        <f>IF('Recurring Schedule'!$C$36="","",IF('Recurring Schedule'!$F$36="","",IF(OR($A238&lt;'Recurring Schedule'!$F$36,$A238&gt;'Recurring Schedule'!$P$36),"",IF(IF('Recurring Schedule'!$N$36&gt;0,MOD($A238-'Recurring Schedule'!$F$36,'Recurring Schedule'!$N$36)=0,IF('Recurring Schedule'!$O$36&gt;0,AND(DAY($A238)=MIN(DAY('Recurring Schedule'!$F$36),DAY(EOMONTH($A238,0))),MOD((YEAR($A238)-YEAR('Recurring Schedule'!$F$36))*12+MONTH($A238)-MONTH('Recurring Schedule'!$F$36),'Recurring Schedule'!$O$36)=0),IF('Recurring Schedule'!$E$36="Weekdays",WEEKDAY($A238,2)&lt;=5,$A238='Recurring Schedule'!$F$36))),31,""))))</f>
        <v/>
      </c>
      <c r="AG238">
        <f>IF('Recurring Schedule'!$C$37="","",IF('Recurring Schedule'!$F$37="","",IF(OR($A238&lt;'Recurring Schedule'!$F$37,$A238&gt;'Recurring Schedule'!$P$37),"",IF(IF('Recurring Schedule'!$N$37&gt;0,MOD($A238-'Recurring Schedule'!$F$37,'Recurring Schedule'!$N$37)=0,IF('Recurring Schedule'!$O$37&gt;0,AND(DAY($A238)=MIN(DAY('Recurring Schedule'!$F$37),DAY(EOMONTH($A238,0))),MOD((YEAR($A238)-YEAR('Recurring Schedule'!$F$37))*12+MONTH($A238)-MONTH('Recurring Schedule'!$F$37),'Recurring Schedule'!$O$37)=0),IF('Recurring Schedule'!$E$37="Weekdays",WEEKDAY($A238,2)&lt;=5,$A238='Recurring Schedule'!$F$37))),32,""))))</f>
        <v/>
      </c>
      <c r="AH238">
        <f>IF('Recurring Schedule'!$C$38="","",IF('Recurring Schedule'!$F$38="","",IF(OR($A238&lt;'Recurring Schedule'!$F$38,$A238&gt;'Recurring Schedule'!$P$38),"",IF(IF('Recurring Schedule'!$N$38&gt;0,MOD($A238-'Recurring Schedule'!$F$38,'Recurring Schedule'!$N$38)=0,IF('Recurring Schedule'!$O$38&gt;0,AND(DAY($A238)=MIN(DAY('Recurring Schedule'!$F$38),DAY(EOMONTH($A238,0))),MOD((YEAR($A238)-YEAR('Recurring Schedule'!$F$38))*12+MONTH($A238)-MONTH('Recurring Schedule'!$F$38),'Recurring Schedule'!$O$38)=0),IF('Recurring Schedule'!$E$38="Weekdays",WEEKDAY($A238,2)&lt;=5,$A238='Recurring Schedule'!$F$38))),33,""))))</f>
        <v/>
      </c>
      <c r="AI238">
        <f>IF('Recurring Schedule'!$C$39="","",IF('Recurring Schedule'!$F$39="","",IF(OR($A238&lt;'Recurring Schedule'!$F$39,$A238&gt;'Recurring Schedule'!$P$39),"",IF(IF('Recurring Schedule'!$N$39&gt;0,MOD($A238-'Recurring Schedule'!$F$39,'Recurring Schedule'!$N$39)=0,IF('Recurring Schedule'!$O$39&gt;0,AND(DAY($A238)=MIN(DAY('Recurring Schedule'!$F$39),DAY(EOMONTH($A238,0))),MOD((YEAR($A238)-YEAR('Recurring Schedule'!$F$39))*12+MONTH($A238)-MONTH('Recurring Schedule'!$F$39),'Recurring Schedule'!$O$39)=0),IF('Recurring Schedule'!$E$39="Weekdays",WEEKDAY($A238,2)&lt;=5,$A238='Recurring Schedule'!$F$39))),34,""))))</f>
        <v/>
      </c>
      <c r="AJ238">
        <f>IF('Recurring Schedule'!$C$40="","",IF('Recurring Schedule'!$F$40="","",IF(OR($A238&lt;'Recurring Schedule'!$F$40,$A238&gt;'Recurring Schedule'!$P$40),"",IF(IF('Recurring Schedule'!$N$40&gt;0,MOD($A238-'Recurring Schedule'!$F$40,'Recurring Schedule'!$N$40)=0,IF('Recurring Schedule'!$O$40&gt;0,AND(DAY($A238)=MIN(DAY('Recurring Schedule'!$F$40),DAY(EOMONTH($A238,0))),MOD((YEAR($A238)-YEAR('Recurring Schedule'!$F$40))*12+MONTH($A238)-MONTH('Recurring Schedule'!$F$40),'Recurring Schedule'!$O$40)=0),IF('Recurring Schedule'!$E$40="Weekdays",WEEKDAY($A238,2)&lt;=5,$A238='Recurring Schedule'!$F$40))),35,""))))</f>
        <v/>
      </c>
      <c r="AK238">
        <f>IF('Recurring Schedule'!$C$41="","",IF('Recurring Schedule'!$F$41="","",IF(OR($A238&lt;'Recurring Schedule'!$F$41,$A238&gt;'Recurring Schedule'!$P$41),"",IF(IF('Recurring Schedule'!$N$41&gt;0,MOD($A238-'Recurring Schedule'!$F$41,'Recurring Schedule'!$N$41)=0,IF('Recurring Schedule'!$O$41&gt;0,AND(DAY($A238)=MIN(DAY('Recurring Schedule'!$F$41),DAY(EOMONTH($A238,0))),MOD((YEAR($A238)-YEAR('Recurring Schedule'!$F$41))*12+MONTH($A238)-MONTH('Recurring Schedule'!$F$41),'Recurring Schedule'!$O$41)=0),IF('Recurring Schedule'!$E$41="Weekdays",WEEKDAY($A238,2)&lt;=5,$A238='Recurring Schedule'!$F$41))),36,""))))</f>
        <v/>
      </c>
      <c r="AL238">
        <f>IF('Recurring Schedule'!$C$42="","",IF('Recurring Schedule'!$F$42="","",IF(OR($A238&lt;'Recurring Schedule'!$F$42,$A238&gt;'Recurring Schedule'!$P$42),"",IF(IF('Recurring Schedule'!$N$42&gt;0,MOD($A238-'Recurring Schedule'!$F$42,'Recurring Schedule'!$N$42)=0,IF('Recurring Schedule'!$O$42&gt;0,AND(DAY($A238)=MIN(DAY('Recurring Schedule'!$F$42),DAY(EOMONTH($A238,0))),MOD((YEAR($A238)-YEAR('Recurring Schedule'!$F$42))*12+MONTH($A238)-MONTH('Recurring Schedule'!$F$42),'Recurring Schedule'!$O$42)=0),IF('Recurring Schedule'!$E$42="Weekdays",WEEKDAY($A238,2)&lt;=5,$A238='Recurring Schedule'!$F$42))),37,""))))</f>
        <v/>
      </c>
      <c r="AM238">
        <f>IF('Recurring Schedule'!$C$43="","",IF('Recurring Schedule'!$F$43="","",IF(OR($A238&lt;'Recurring Schedule'!$F$43,$A238&gt;'Recurring Schedule'!$P$43),"",IF(IF('Recurring Schedule'!$N$43&gt;0,MOD($A238-'Recurring Schedule'!$F$43,'Recurring Schedule'!$N$43)=0,IF('Recurring Schedule'!$O$43&gt;0,AND(DAY($A238)=MIN(DAY('Recurring Schedule'!$F$43),DAY(EOMONTH($A238,0))),MOD((YEAR($A238)-YEAR('Recurring Schedule'!$F$43))*12+MONTH($A238)-MONTH('Recurring Schedule'!$F$43),'Recurring Schedule'!$O$43)=0),IF('Recurring Schedule'!$E$43="Weekdays",WEEKDAY($A238,2)&lt;=5,$A238='Recurring Schedule'!$F$43))),38,""))))</f>
        <v/>
      </c>
      <c r="AN238">
        <f>IF('Recurring Schedule'!$C$44="","",IF('Recurring Schedule'!$F$44="","",IF(OR($A238&lt;'Recurring Schedule'!$F$44,$A238&gt;'Recurring Schedule'!$P$44),"",IF(IF('Recurring Schedule'!$N$44&gt;0,MOD($A238-'Recurring Schedule'!$F$44,'Recurring Schedule'!$N$44)=0,IF('Recurring Schedule'!$O$44&gt;0,AND(DAY($A238)=MIN(DAY('Recurring Schedule'!$F$44),DAY(EOMONTH($A238,0))),MOD((YEAR($A238)-YEAR('Recurring Schedule'!$F$44))*12+MONTH($A238)-MONTH('Recurring Schedule'!$F$44),'Recurring Schedule'!$O$44)=0),IF('Recurring Schedule'!$E$44="Weekdays",WEEKDAY($A238,2)&lt;=5,$A238='Recurring Schedule'!$F$44))),39,""))))</f>
        <v/>
      </c>
      <c r="AO238">
        <f>IF('Recurring Schedule'!$C$45="","",IF('Recurring Schedule'!$F$45="","",IF(OR($A238&lt;'Recurring Schedule'!$F$45,$A238&gt;'Recurring Schedule'!$P$45),"",IF(IF('Recurring Schedule'!$N$45&gt;0,MOD($A238-'Recurring Schedule'!$F$45,'Recurring Schedule'!$N$45)=0,IF('Recurring Schedule'!$O$45&gt;0,AND(DAY($A238)=MIN(DAY('Recurring Schedule'!$F$45),DAY(EOMONTH($A238,0))),MOD((YEAR($A238)-YEAR('Recurring Schedule'!$F$45))*12+MONTH($A238)-MONTH('Recurring Schedule'!$F$45),'Recurring Schedule'!$O$45)=0),IF('Recurring Schedule'!$E$45="Weekdays",WEEKDAY($A238,2)&lt;=5,$A238='Recurring Schedule'!$F$45))),40,""))))</f>
        <v/>
      </c>
      <c r="AP238">
        <f>COUNT(B238:AO238)</f>
        <v/>
      </c>
      <c r="AQ238">
        <f>AQ237+AP237</f>
        <v/>
      </c>
      <c r="AS238" t="inlineStr">
        <is>
          <t>R</t>
        </is>
      </c>
      <c r="AT238" t="n">
        <v>242</v>
      </c>
      <c r="AU238">
        <f>'Recurring Log'!C242&amp;""</f>
        <v/>
      </c>
      <c r="AV238">
        <f>'Recurring Log'!D242&amp;""</f>
        <v/>
      </c>
      <c r="AW238">
        <f>IF('Recurring Log'!E242="","",'Recurring Log'!E242)</f>
        <v/>
      </c>
      <c r="AX238">
        <f>IF('Recurring Log'!G242="","",'Recurring Log'!G242)</f>
        <v/>
      </c>
      <c r="AY238">
        <f>IF('Recurring Log'!H242="","",'Recurring Log'!H242)</f>
        <v/>
      </c>
      <c r="AZ238">
        <f>IF(AU238="","",IF('Recurring Log'!J242="","Not Started",'Recurring Log'!J242))</f>
        <v/>
      </c>
      <c r="BA238">
        <f>'Recurring Log'!L242&amp;""</f>
        <v/>
      </c>
      <c r="BB238">
        <f>'Recurring Log'!M242&amp;""</f>
        <v/>
      </c>
      <c r="BC238">
        <f>'Recurring Log'!N242&amp;""</f>
        <v/>
      </c>
      <c r="BD238">
        <f>'Recurring Log'!O242&amp;""</f>
        <v/>
      </c>
      <c r="BE238">
        <f>IF('Recurring Log'!K242="","",'Recurring Log'!K242)</f>
        <v/>
      </c>
      <c r="BF238">
        <f>IFERROR(MATCH(BA238,Setup!$L$6:$L$9,0),5)</f>
        <v/>
      </c>
      <c r="BG238">
        <f>IF(OR(AZ238="Done",AZ238="Cancelled"),1,0)</f>
        <v/>
      </c>
      <c r="BH238">
        <f>IF(AND(AU238&lt;&gt;"",ISNUMBER(AW238)),1,0)</f>
        <v/>
      </c>
      <c r="BI238">
        <f>IF(BH238=0,0,IF(AND(AW238&gt;='Tasks Filter'!$F$3,AW238&lt;='Tasks Filter'!$F$4,OR('Tasks Filter'!$I$3="",ISNUMBER(SEARCH('Tasks Filter'!$I$3,AU238))),OR('Tasks Filter'!$I$4="",BF238=IFERROR(MATCH('Tasks Filter'!$I$4,Setup!$L$6:$L$9,0),0)),OR('Tasks Filter'!$I$5="Both",AND('Tasks Filter'!$I$5="Yes",BB238="✓"),AND('Tasks Filter'!$I$5="No",BB238&lt;&gt;"✓")),OR('Tasks Filter'!$L$3="",AV238='Tasks Filter'!$L$3),OR('Tasks Filter'!$L$4="",AZ238='Tasks Filter'!$L$4),OR('Tasks Filter'!$L$5="",BC238='Tasks Filter'!$L$5),OR('Tasks Filter'!$O$3="",BD238='Tasks Filter'!$O$3),OR('Tasks Filter'!$O$4="Yes",BG238=0)),1,0))</f>
        <v/>
      </c>
      <c r="BJ238">
        <f>IF(BH238=0,"",IF('Tasks Filter'!$F$6="Descending",-1,1)*CHOOSE(MATCH('Tasks Filter'!$F$5,Lists!$G$2:$G$6,0),AW238,BF238,IFERROR(MATCH(AV238,Setup!$F$6:$F$15,0),99),IFERROR(MATCH(BC238,Setup!$H$6:$H$15,0),99),IFERROR(MATCH(AZ238,Setup!$J$6:$J$11,0),99))*1E+9+(AW238-40000)*10000+237)</f>
        <v/>
      </c>
      <c r="BK238">
        <f>IF(BI238=1,BJ238,"")</f>
        <v/>
      </c>
      <c r="BL238">
        <f>IF(AND(BH238=1,BG238=0,N(AW238)&lt;Setup!$D$7),(AW238-40000)*10000+237,"")</f>
        <v/>
      </c>
      <c r="BM238">
        <f>IF(AND(BH238=1,AZ238&lt;&gt;"Cancelled",N(AW238)&gt;=Dashboard!$AB$3,N(AW238)&lt;=Dashboard!$AB$3+6),(AW238-40000)*100000+BF238*10000+237,"")</f>
        <v/>
      </c>
      <c r="BN238">
        <f>IF(AND(BH238=1,AZ238&lt;&gt;"Cancelled"),BF238*10000+237,"")</f>
        <v/>
      </c>
    </row>
    <row r="239">
      <c r="A239">
        <f>Setup!$D$5+237</f>
        <v/>
      </c>
      <c r="B239">
        <f>IF('Recurring Schedule'!$C$6="","",IF('Recurring Schedule'!$F$6="","",IF(OR($A239&lt;'Recurring Schedule'!$F$6,$A239&gt;'Recurring Schedule'!$P$6),"",IF(IF('Recurring Schedule'!$N$6&gt;0,MOD($A239-'Recurring Schedule'!$F$6,'Recurring Schedule'!$N$6)=0,IF('Recurring Schedule'!$O$6&gt;0,AND(DAY($A239)=MIN(DAY('Recurring Schedule'!$F$6),DAY(EOMONTH($A239,0))),MOD((YEAR($A239)-YEAR('Recurring Schedule'!$F$6))*12+MONTH($A239)-MONTH('Recurring Schedule'!$F$6),'Recurring Schedule'!$O$6)=0),IF('Recurring Schedule'!$E$6="Weekdays",WEEKDAY($A239,2)&lt;=5,$A239='Recurring Schedule'!$F$6))),1,""))))</f>
        <v/>
      </c>
      <c r="C239">
        <f>IF('Recurring Schedule'!$C$7="","",IF('Recurring Schedule'!$F$7="","",IF(OR($A239&lt;'Recurring Schedule'!$F$7,$A239&gt;'Recurring Schedule'!$P$7),"",IF(IF('Recurring Schedule'!$N$7&gt;0,MOD($A239-'Recurring Schedule'!$F$7,'Recurring Schedule'!$N$7)=0,IF('Recurring Schedule'!$O$7&gt;0,AND(DAY($A239)=MIN(DAY('Recurring Schedule'!$F$7),DAY(EOMONTH($A239,0))),MOD((YEAR($A239)-YEAR('Recurring Schedule'!$F$7))*12+MONTH($A239)-MONTH('Recurring Schedule'!$F$7),'Recurring Schedule'!$O$7)=0),IF('Recurring Schedule'!$E$7="Weekdays",WEEKDAY($A239,2)&lt;=5,$A239='Recurring Schedule'!$F$7))),2,""))))</f>
        <v/>
      </c>
      <c r="D239">
        <f>IF('Recurring Schedule'!$C$8="","",IF('Recurring Schedule'!$F$8="","",IF(OR($A239&lt;'Recurring Schedule'!$F$8,$A239&gt;'Recurring Schedule'!$P$8),"",IF(IF('Recurring Schedule'!$N$8&gt;0,MOD($A239-'Recurring Schedule'!$F$8,'Recurring Schedule'!$N$8)=0,IF('Recurring Schedule'!$O$8&gt;0,AND(DAY($A239)=MIN(DAY('Recurring Schedule'!$F$8),DAY(EOMONTH($A239,0))),MOD((YEAR($A239)-YEAR('Recurring Schedule'!$F$8))*12+MONTH($A239)-MONTH('Recurring Schedule'!$F$8),'Recurring Schedule'!$O$8)=0),IF('Recurring Schedule'!$E$8="Weekdays",WEEKDAY($A239,2)&lt;=5,$A239='Recurring Schedule'!$F$8))),3,""))))</f>
        <v/>
      </c>
      <c r="E239">
        <f>IF('Recurring Schedule'!$C$9="","",IF('Recurring Schedule'!$F$9="","",IF(OR($A239&lt;'Recurring Schedule'!$F$9,$A239&gt;'Recurring Schedule'!$P$9),"",IF(IF('Recurring Schedule'!$N$9&gt;0,MOD($A239-'Recurring Schedule'!$F$9,'Recurring Schedule'!$N$9)=0,IF('Recurring Schedule'!$O$9&gt;0,AND(DAY($A239)=MIN(DAY('Recurring Schedule'!$F$9),DAY(EOMONTH($A239,0))),MOD((YEAR($A239)-YEAR('Recurring Schedule'!$F$9))*12+MONTH($A239)-MONTH('Recurring Schedule'!$F$9),'Recurring Schedule'!$O$9)=0),IF('Recurring Schedule'!$E$9="Weekdays",WEEKDAY($A239,2)&lt;=5,$A239='Recurring Schedule'!$F$9))),4,""))))</f>
        <v/>
      </c>
      <c r="F239">
        <f>IF('Recurring Schedule'!$C$10="","",IF('Recurring Schedule'!$F$10="","",IF(OR($A239&lt;'Recurring Schedule'!$F$10,$A239&gt;'Recurring Schedule'!$P$10),"",IF(IF('Recurring Schedule'!$N$10&gt;0,MOD($A239-'Recurring Schedule'!$F$10,'Recurring Schedule'!$N$10)=0,IF('Recurring Schedule'!$O$10&gt;0,AND(DAY($A239)=MIN(DAY('Recurring Schedule'!$F$10),DAY(EOMONTH($A239,0))),MOD((YEAR($A239)-YEAR('Recurring Schedule'!$F$10))*12+MONTH($A239)-MONTH('Recurring Schedule'!$F$10),'Recurring Schedule'!$O$10)=0),IF('Recurring Schedule'!$E$10="Weekdays",WEEKDAY($A239,2)&lt;=5,$A239='Recurring Schedule'!$F$10))),5,""))))</f>
        <v/>
      </c>
      <c r="G239">
        <f>IF('Recurring Schedule'!$C$11="","",IF('Recurring Schedule'!$F$11="","",IF(OR($A239&lt;'Recurring Schedule'!$F$11,$A239&gt;'Recurring Schedule'!$P$11),"",IF(IF('Recurring Schedule'!$N$11&gt;0,MOD($A239-'Recurring Schedule'!$F$11,'Recurring Schedule'!$N$11)=0,IF('Recurring Schedule'!$O$11&gt;0,AND(DAY($A239)=MIN(DAY('Recurring Schedule'!$F$11),DAY(EOMONTH($A239,0))),MOD((YEAR($A239)-YEAR('Recurring Schedule'!$F$11))*12+MONTH($A239)-MONTH('Recurring Schedule'!$F$11),'Recurring Schedule'!$O$11)=0),IF('Recurring Schedule'!$E$11="Weekdays",WEEKDAY($A239,2)&lt;=5,$A239='Recurring Schedule'!$F$11))),6,""))))</f>
        <v/>
      </c>
      <c r="H239">
        <f>IF('Recurring Schedule'!$C$12="","",IF('Recurring Schedule'!$F$12="","",IF(OR($A239&lt;'Recurring Schedule'!$F$12,$A239&gt;'Recurring Schedule'!$P$12),"",IF(IF('Recurring Schedule'!$N$12&gt;0,MOD($A239-'Recurring Schedule'!$F$12,'Recurring Schedule'!$N$12)=0,IF('Recurring Schedule'!$O$12&gt;0,AND(DAY($A239)=MIN(DAY('Recurring Schedule'!$F$12),DAY(EOMONTH($A239,0))),MOD((YEAR($A239)-YEAR('Recurring Schedule'!$F$12))*12+MONTH($A239)-MONTH('Recurring Schedule'!$F$12),'Recurring Schedule'!$O$12)=0),IF('Recurring Schedule'!$E$12="Weekdays",WEEKDAY($A239,2)&lt;=5,$A239='Recurring Schedule'!$F$12))),7,""))))</f>
        <v/>
      </c>
      <c r="I239">
        <f>IF('Recurring Schedule'!$C$13="","",IF('Recurring Schedule'!$F$13="","",IF(OR($A239&lt;'Recurring Schedule'!$F$13,$A239&gt;'Recurring Schedule'!$P$13),"",IF(IF('Recurring Schedule'!$N$13&gt;0,MOD($A239-'Recurring Schedule'!$F$13,'Recurring Schedule'!$N$13)=0,IF('Recurring Schedule'!$O$13&gt;0,AND(DAY($A239)=MIN(DAY('Recurring Schedule'!$F$13),DAY(EOMONTH($A239,0))),MOD((YEAR($A239)-YEAR('Recurring Schedule'!$F$13))*12+MONTH($A239)-MONTH('Recurring Schedule'!$F$13),'Recurring Schedule'!$O$13)=0),IF('Recurring Schedule'!$E$13="Weekdays",WEEKDAY($A239,2)&lt;=5,$A239='Recurring Schedule'!$F$13))),8,""))))</f>
        <v/>
      </c>
      <c r="J239">
        <f>IF('Recurring Schedule'!$C$14="","",IF('Recurring Schedule'!$F$14="","",IF(OR($A239&lt;'Recurring Schedule'!$F$14,$A239&gt;'Recurring Schedule'!$P$14),"",IF(IF('Recurring Schedule'!$N$14&gt;0,MOD($A239-'Recurring Schedule'!$F$14,'Recurring Schedule'!$N$14)=0,IF('Recurring Schedule'!$O$14&gt;0,AND(DAY($A239)=MIN(DAY('Recurring Schedule'!$F$14),DAY(EOMONTH($A239,0))),MOD((YEAR($A239)-YEAR('Recurring Schedule'!$F$14))*12+MONTH($A239)-MONTH('Recurring Schedule'!$F$14),'Recurring Schedule'!$O$14)=0),IF('Recurring Schedule'!$E$14="Weekdays",WEEKDAY($A239,2)&lt;=5,$A239='Recurring Schedule'!$F$14))),9,""))))</f>
        <v/>
      </c>
      <c r="K239">
        <f>IF('Recurring Schedule'!$C$15="","",IF('Recurring Schedule'!$F$15="","",IF(OR($A239&lt;'Recurring Schedule'!$F$15,$A239&gt;'Recurring Schedule'!$P$15),"",IF(IF('Recurring Schedule'!$N$15&gt;0,MOD($A239-'Recurring Schedule'!$F$15,'Recurring Schedule'!$N$15)=0,IF('Recurring Schedule'!$O$15&gt;0,AND(DAY($A239)=MIN(DAY('Recurring Schedule'!$F$15),DAY(EOMONTH($A239,0))),MOD((YEAR($A239)-YEAR('Recurring Schedule'!$F$15))*12+MONTH($A239)-MONTH('Recurring Schedule'!$F$15),'Recurring Schedule'!$O$15)=0),IF('Recurring Schedule'!$E$15="Weekdays",WEEKDAY($A239,2)&lt;=5,$A239='Recurring Schedule'!$F$15))),10,""))))</f>
        <v/>
      </c>
      <c r="L239">
        <f>IF('Recurring Schedule'!$C$16="","",IF('Recurring Schedule'!$F$16="","",IF(OR($A239&lt;'Recurring Schedule'!$F$16,$A239&gt;'Recurring Schedule'!$P$16),"",IF(IF('Recurring Schedule'!$N$16&gt;0,MOD($A239-'Recurring Schedule'!$F$16,'Recurring Schedule'!$N$16)=0,IF('Recurring Schedule'!$O$16&gt;0,AND(DAY($A239)=MIN(DAY('Recurring Schedule'!$F$16),DAY(EOMONTH($A239,0))),MOD((YEAR($A239)-YEAR('Recurring Schedule'!$F$16))*12+MONTH($A239)-MONTH('Recurring Schedule'!$F$16),'Recurring Schedule'!$O$16)=0),IF('Recurring Schedule'!$E$16="Weekdays",WEEKDAY($A239,2)&lt;=5,$A239='Recurring Schedule'!$F$16))),11,""))))</f>
        <v/>
      </c>
      <c r="M239">
        <f>IF('Recurring Schedule'!$C$17="","",IF('Recurring Schedule'!$F$17="","",IF(OR($A239&lt;'Recurring Schedule'!$F$17,$A239&gt;'Recurring Schedule'!$P$17),"",IF(IF('Recurring Schedule'!$N$17&gt;0,MOD($A239-'Recurring Schedule'!$F$17,'Recurring Schedule'!$N$17)=0,IF('Recurring Schedule'!$O$17&gt;0,AND(DAY($A239)=MIN(DAY('Recurring Schedule'!$F$17),DAY(EOMONTH($A239,0))),MOD((YEAR($A239)-YEAR('Recurring Schedule'!$F$17))*12+MONTH($A239)-MONTH('Recurring Schedule'!$F$17),'Recurring Schedule'!$O$17)=0),IF('Recurring Schedule'!$E$17="Weekdays",WEEKDAY($A239,2)&lt;=5,$A239='Recurring Schedule'!$F$17))),12,""))))</f>
        <v/>
      </c>
      <c r="N239">
        <f>IF('Recurring Schedule'!$C$18="","",IF('Recurring Schedule'!$F$18="","",IF(OR($A239&lt;'Recurring Schedule'!$F$18,$A239&gt;'Recurring Schedule'!$P$18),"",IF(IF('Recurring Schedule'!$N$18&gt;0,MOD($A239-'Recurring Schedule'!$F$18,'Recurring Schedule'!$N$18)=0,IF('Recurring Schedule'!$O$18&gt;0,AND(DAY($A239)=MIN(DAY('Recurring Schedule'!$F$18),DAY(EOMONTH($A239,0))),MOD((YEAR($A239)-YEAR('Recurring Schedule'!$F$18))*12+MONTH($A239)-MONTH('Recurring Schedule'!$F$18),'Recurring Schedule'!$O$18)=0),IF('Recurring Schedule'!$E$18="Weekdays",WEEKDAY($A239,2)&lt;=5,$A239='Recurring Schedule'!$F$18))),13,""))))</f>
        <v/>
      </c>
      <c r="O239">
        <f>IF('Recurring Schedule'!$C$19="","",IF('Recurring Schedule'!$F$19="","",IF(OR($A239&lt;'Recurring Schedule'!$F$19,$A239&gt;'Recurring Schedule'!$P$19),"",IF(IF('Recurring Schedule'!$N$19&gt;0,MOD($A239-'Recurring Schedule'!$F$19,'Recurring Schedule'!$N$19)=0,IF('Recurring Schedule'!$O$19&gt;0,AND(DAY($A239)=MIN(DAY('Recurring Schedule'!$F$19),DAY(EOMONTH($A239,0))),MOD((YEAR($A239)-YEAR('Recurring Schedule'!$F$19))*12+MONTH($A239)-MONTH('Recurring Schedule'!$F$19),'Recurring Schedule'!$O$19)=0),IF('Recurring Schedule'!$E$19="Weekdays",WEEKDAY($A239,2)&lt;=5,$A239='Recurring Schedule'!$F$19))),14,""))))</f>
        <v/>
      </c>
      <c r="P239">
        <f>IF('Recurring Schedule'!$C$20="","",IF('Recurring Schedule'!$F$20="","",IF(OR($A239&lt;'Recurring Schedule'!$F$20,$A239&gt;'Recurring Schedule'!$P$20),"",IF(IF('Recurring Schedule'!$N$20&gt;0,MOD($A239-'Recurring Schedule'!$F$20,'Recurring Schedule'!$N$20)=0,IF('Recurring Schedule'!$O$20&gt;0,AND(DAY($A239)=MIN(DAY('Recurring Schedule'!$F$20),DAY(EOMONTH($A239,0))),MOD((YEAR($A239)-YEAR('Recurring Schedule'!$F$20))*12+MONTH($A239)-MONTH('Recurring Schedule'!$F$20),'Recurring Schedule'!$O$20)=0),IF('Recurring Schedule'!$E$20="Weekdays",WEEKDAY($A239,2)&lt;=5,$A239='Recurring Schedule'!$F$20))),15,""))))</f>
        <v/>
      </c>
      <c r="Q239">
        <f>IF('Recurring Schedule'!$C$21="","",IF('Recurring Schedule'!$F$21="","",IF(OR($A239&lt;'Recurring Schedule'!$F$21,$A239&gt;'Recurring Schedule'!$P$21),"",IF(IF('Recurring Schedule'!$N$21&gt;0,MOD($A239-'Recurring Schedule'!$F$21,'Recurring Schedule'!$N$21)=0,IF('Recurring Schedule'!$O$21&gt;0,AND(DAY($A239)=MIN(DAY('Recurring Schedule'!$F$21),DAY(EOMONTH($A239,0))),MOD((YEAR($A239)-YEAR('Recurring Schedule'!$F$21))*12+MONTH($A239)-MONTH('Recurring Schedule'!$F$21),'Recurring Schedule'!$O$21)=0),IF('Recurring Schedule'!$E$21="Weekdays",WEEKDAY($A239,2)&lt;=5,$A239='Recurring Schedule'!$F$21))),16,""))))</f>
        <v/>
      </c>
      <c r="R239">
        <f>IF('Recurring Schedule'!$C$22="","",IF('Recurring Schedule'!$F$22="","",IF(OR($A239&lt;'Recurring Schedule'!$F$22,$A239&gt;'Recurring Schedule'!$P$22),"",IF(IF('Recurring Schedule'!$N$22&gt;0,MOD($A239-'Recurring Schedule'!$F$22,'Recurring Schedule'!$N$22)=0,IF('Recurring Schedule'!$O$22&gt;0,AND(DAY($A239)=MIN(DAY('Recurring Schedule'!$F$22),DAY(EOMONTH($A239,0))),MOD((YEAR($A239)-YEAR('Recurring Schedule'!$F$22))*12+MONTH($A239)-MONTH('Recurring Schedule'!$F$22),'Recurring Schedule'!$O$22)=0),IF('Recurring Schedule'!$E$22="Weekdays",WEEKDAY($A239,2)&lt;=5,$A239='Recurring Schedule'!$F$22))),17,""))))</f>
        <v/>
      </c>
      <c r="S239">
        <f>IF('Recurring Schedule'!$C$23="","",IF('Recurring Schedule'!$F$23="","",IF(OR($A239&lt;'Recurring Schedule'!$F$23,$A239&gt;'Recurring Schedule'!$P$23),"",IF(IF('Recurring Schedule'!$N$23&gt;0,MOD($A239-'Recurring Schedule'!$F$23,'Recurring Schedule'!$N$23)=0,IF('Recurring Schedule'!$O$23&gt;0,AND(DAY($A239)=MIN(DAY('Recurring Schedule'!$F$23),DAY(EOMONTH($A239,0))),MOD((YEAR($A239)-YEAR('Recurring Schedule'!$F$23))*12+MONTH($A239)-MONTH('Recurring Schedule'!$F$23),'Recurring Schedule'!$O$23)=0),IF('Recurring Schedule'!$E$23="Weekdays",WEEKDAY($A239,2)&lt;=5,$A239='Recurring Schedule'!$F$23))),18,""))))</f>
        <v/>
      </c>
      <c r="T239">
        <f>IF('Recurring Schedule'!$C$24="","",IF('Recurring Schedule'!$F$24="","",IF(OR($A239&lt;'Recurring Schedule'!$F$24,$A239&gt;'Recurring Schedule'!$P$24),"",IF(IF('Recurring Schedule'!$N$24&gt;0,MOD($A239-'Recurring Schedule'!$F$24,'Recurring Schedule'!$N$24)=0,IF('Recurring Schedule'!$O$24&gt;0,AND(DAY($A239)=MIN(DAY('Recurring Schedule'!$F$24),DAY(EOMONTH($A239,0))),MOD((YEAR($A239)-YEAR('Recurring Schedule'!$F$24))*12+MONTH($A239)-MONTH('Recurring Schedule'!$F$24),'Recurring Schedule'!$O$24)=0),IF('Recurring Schedule'!$E$24="Weekdays",WEEKDAY($A239,2)&lt;=5,$A239='Recurring Schedule'!$F$24))),19,""))))</f>
        <v/>
      </c>
      <c r="U239">
        <f>IF('Recurring Schedule'!$C$25="","",IF('Recurring Schedule'!$F$25="","",IF(OR($A239&lt;'Recurring Schedule'!$F$25,$A239&gt;'Recurring Schedule'!$P$25),"",IF(IF('Recurring Schedule'!$N$25&gt;0,MOD($A239-'Recurring Schedule'!$F$25,'Recurring Schedule'!$N$25)=0,IF('Recurring Schedule'!$O$25&gt;0,AND(DAY($A239)=MIN(DAY('Recurring Schedule'!$F$25),DAY(EOMONTH($A239,0))),MOD((YEAR($A239)-YEAR('Recurring Schedule'!$F$25))*12+MONTH($A239)-MONTH('Recurring Schedule'!$F$25),'Recurring Schedule'!$O$25)=0),IF('Recurring Schedule'!$E$25="Weekdays",WEEKDAY($A239,2)&lt;=5,$A239='Recurring Schedule'!$F$25))),20,""))))</f>
        <v/>
      </c>
      <c r="V239">
        <f>IF('Recurring Schedule'!$C$26="","",IF('Recurring Schedule'!$F$26="","",IF(OR($A239&lt;'Recurring Schedule'!$F$26,$A239&gt;'Recurring Schedule'!$P$26),"",IF(IF('Recurring Schedule'!$N$26&gt;0,MOD($A239-'Recurring Schedule'!$F$26,'Recurring Schedule'!$N$26)=0,IF('Recurring Schedule'!$O$26&gt;0,AND(DAY($A239)=MIN(DAY('Recurring Schedule'!$F$26),DAY(EOMONTH($A239,0))),MOD((YEAR($A239)-YEAR('Recurring Schedule'!$F$26))*12+MONTH($A239)-MONTH('Recurring Schedule'!$F$26),'Recurring Schedule'!$O$26)=0),IF('Recurring Schedule'!$E$26="Weekdays",WEEKDAY($A239,2)&lt;=5,$A239='Recurring Schedule'!$F$26))),21,""))))</f>
        <v/>
      </c>
      <c r="W239">
        <f>IF('Recurring Schedule'!$C$27="","",IF('Recurring Schedule'!$F$27="","",IF(OR($A239&lt;'Recurring Schedule'!$F$27,$A239&gt;'Recurring Schedule'!$P$27),"",IF(IF('Recurring Schedule'!$N$27&gt;0,MOD($A239-'Recurring Schedule'!$F$27,'Recurring Schedule'!$N$27)=0,IF('Recurring Schedule'!$O$27&gt;0,AND(DAY($A239)=MIN(DAY('Recurring Schedule'!$F$27),DAY(EOMONTH($A239,0))),MOD((YEAR($A239)-YEAR('Recurring Schedule'!$F$27))*12+MONTH($A239)-MONTH('Recurring Schedule'!$F$27),'Recurring Schedule'!$O$27)=0),IF('Recurring Schedule'!$E$27="Weekdays",WEEKDAY($A239,2)&lt;=5,$A239='Recurring Schedule'!$F$27))),22,""))))</f>
        <v/>
      </c>
      <c r="X239">
        <f>IF('Recurring Schedule'!$C$28="","",IF('Recurring Schedule'!$F$28="","",IF(OR($A239&lt;'Recurring Schedule'!$F$28,$A239&gt;'Recurring Schedule'!$P$28),"",IF(IF('Recurring Schedule'!$N$28&gt;0,MOD($A239-'Recurring Schedule'!$F$28,'Recurring Schedule'!$N$28)=0,IF('Recurring Schedule'!$O$28&gt;0,AND(DAY($A239)=MIN(DAY('Recurring Schedule'!$F$28),DAY(EOMONTH($A239,0))),MOD((YEAR($A239)-YEAR('Recurring Schedule'!$F$28))*12+MONTH($A239)-MONTH('Recurring Schedule'!$F$28),'Recurring Schedule'!$O$28)=0),IF('Recurring Schedule'!$E$28="Weekdays",WEEKDAY($A239,2)&lt;=5,$A239='Recurring Schedule'!$F$28))),23,""))))</f>
        <v/>
      </c>
      <c r="Y239">
        <f>IF('Recurring Schedule'!$C$29="","",IF('Recurring Schedule'!$F$29="","",IF(OR($A239&lt;'Recurring Schedule'!$F$29,$A239&gt;'Recurring Schedule'!$P$29),"",IF(IF('Recurring Schedule'!$N$29&gt;0,MOD($A239-'Recurring Schedule'!$F$29,'Recurring Schedule'!$N$29)=0,IF('Recurring Schedule'!$O$29&gt;0,AND(DAY($A239)=MIN(DAY('Recurring Schedule'!$F$29),DAY(EOMONTH($A239,0))),MOD((YEAR($A239)-YEAR('Recurring Schedule'!$F$29))*12+MONTH($A239)-MONTH('Recurring Schedule'!$F$29),'Recurring Schedule'!$O$29)=0),IF('Recurring Schedule'!$E$29="Weekdays",WEEKDAY($A239,2)&lt;=5,$A239='Recurring Schedule'!$F$29))),24,""))))</f>
        <v/>
      </c>
      <c r="Z239">
        <f>IF('Recurring Schedule'!$C$30="","",IF('Recurring Schedule'!$F$30="","",IF(OR($A239&lt;'Recurring Schedule'!$F$30,$A239&gt;'Recurring Schedule'!$P$30),"",IF(IF('Recurring Schedule'!$N$30&gt;0,MOD($A239-'Recurring Schedule'!$F$30,'Recurring Schedule'!$N$30)=0,IF('Recurring Schedule'!$O$30&gt;0,AND(DAY($A239)=MIN(DAY('Recurring Schedule'!$F$30),DAY(EOMONTH($A239,0))),MOD((YEAR($A239)-YEAR('Recurring Schedule'!$F$30))*12+MONTH($A239)-MONTH('Recurring Schedule'!$F$30),'Recurring Schedule'!$O$30)=0),IF('Recurring Schedule'!$E$30="Weekdays",WEEKDAY($A239,2)&lt;=5,$A239='Recurring Schedule'!$F$30))),25,""))))</f>
        <v/>
      </c>
      <c r="AA239">
        <f>IF('Recurring Schedule'!$C$31="","",IF('Recurring Schedule'!$F$31="","",IF(OR($A239&lt;'Recurring Schedule'!$F$31,$A239&gt;'Recurring Schedule'!$P$31),"",IF(IF('Recurring Schedule'!$N$31&gt;0,MOD($A239-'Recurring Schedule'!$F$31,'Recurring Schedule'!$N$31)=0,IF('Recurring Schedule'!$O$31&gt;0,AND(DAY($A239)=MIN(DAY('Recurring Schedule'!$F$31),DAY(EOMONTH($A239,0))),MOD((YEAR($A239)-YEAR('Recurring Schedule'!$F$31))*12+MONTH($A239)-MONTH('Recurring Schedule'!$F$31),'Recurring Schedule'!$O$31)=0),IF('Recurring Schedule'!$E$31="Weekdays",WEEKDAY($A239,2)&lt;=5,$A239='Recurring Schedule'!$F$31))),26,""))))</f>
        <v/>
      </c>
      <c r="AB239">
        <f>IF('Recurring Schedule'!$C$32="","",IF('Recurring Schedule'!$F$32="","",IF(OR($A239&lt;'Recurring Schedule'!$F$32,$A239&gt;'Recurring Schedule'!$P$32),"",IF(IF('Recurring Schedule'!$N$32&gt;0,MOD($A239-'Recurring Schedule'!$F$32,'Recurring Schedule'!$N$32)=0,IF('Recurring Schedule'!$O$32&gt;0,AND(DAY($A239)=MIN(DAY('Recurring Schedule'!$F$32),DAY(EOMONTH($A239,0))),MOD((YEAR($A239)-YEAR('Recurring Schedule'!$F$32))*12+MONTH($A239)-MONTH('Recurring Schedule'!$F$32),'Recurring Schedule'!$O$32)=0),IF('Recurring Schedule'!$E$32="Weekdays",WEEKDAY($A239,2)&lt;=5,$A239='Recurring Schedule'!$F$32))),27,""))))</f>
        <v/>
      </c>
      <c r="AC239">
        <f>IF('Recurring Schedule'!$C$33="","",IF('Recurring Schedule'!$F$33="","",IF(OR($A239&lt;'Recurring Schedule'!$F$33,$A239&gt;'Recurring Schedule'!$P$33),"",IF(IF('Recurring Schedule'!$N$33&gt;0,MOD($A239-'Recurring Schedule'!$F$33,'Recurring Schedule'!$N$33)=0,IF('Recurring Schedule'!$O$33&gt;0,AND(DAY($A239)=MIN(DAY('Recurring Schedule'!$F$33),DAY(EOMONTH($A239,0))),MOD((YEAR($A239)-YEAR('Recurring Schedule'!$F$33))*12+MONTH($A239)-MONTH('Recurring Schedule'!$F$33),'Recurring Schedule'!$O$33)=0),IF('Recurring Schedule'!$E$33="Weekdays",WEEKDAY($A239,2)&lt;=5,$A239='Recurring Schedule'!$F$33))),28,""))))</f>
        <v/>
      </c>
      <c r="AD239">
        <f>IF('Recurring Schedule'!$C$34="","",IF('Recurring Schedule'!$F$34="","",IF(OR($A239&lt;'Recurring Schedule'!$F$34,$A239&gt;'Recurring Schedule'!$P$34),"",IF(IF('Recurring Schedule'!$N$34&gt;0,MOD($A239-'Recurring Schedule'!$F$34,'Recurring Schedule'!$N$34)=0,IF('Recurring Schedule'!$O$34&gt;0,AND(DAY($A239)=MIN(DAY('Recurring Schedule'!$F$34),DAY(EOMONTH($A239,0))),MOD((YEAR($A239)-YEAR('Recurring Schedule'!$F$34))*12+MONTH($A239)-MONTH('Recurring Schedule'!$F$34),'Recurring Schedule'!$O$34)=0),IF('Recurring Schedule'!$E$34="Weekdays",WEEKDAY($A239,2)&lt;=5,$A239='Recurring Schedule'!$F$34))),29,""))))</f>
        <v/>
      </c>
      <c r="AE239">
        <f>IF('Recurring Schedule'!$C$35="","",IF('Recurring Schedule'!$F$35="","",IF(OR($A239&lt;'Recurring Schedule'!$F$35,$A239&gt;'Recurring Schedule'!$P$35),"",IF(IF('Recurring Schedule'!$N$35&gt;0,MOD($A239-'Recurring Schedule'!$F$35,'Recurring Schedule'!$N$35)=0,IF('Recurring Schedule'!$O$35&gt;0,AND(DAY($A239)=MIN(DAY('Recurring Schedule'!$F$35),DAY(EOMONTH($A239,0))),MOD((YEAR($A239)-YEAR('Recurring Schedule'!$F$35))*12+MONTH($A239)-MONTH('Recurring Schedule'!$F$35),'Recurring Schedule'!$O$35)=0),IF('Recurring Schedule'!$E$35="Weekdays",WEEKDAY($A239,2)&lt;=5,$A239='Recurring Schedule'!$F$35))),30,""))))</f>
        <v/>
      </c>
      <c r="AF239">
        <f>IF('Recurring Schedule'!$C$36="","",IF('Recurring Schedule'!$F$36="","",IF(OR($A239&lt;'Recurring Schedule'!$F$36,$A239&gt;'Recurring Schedule'!$P$36),"",IF(IF('Recurring Schedule'!$N$36&gt;0,MOD($A239-'Recurring Schedule'!$F$36,'Recurring Schedule'!$N$36)=0,IF('Recurring Schedule'!$O$36&gt;0,AND(DAY($A239)=MIN(DAY('Recurring Schedule'!$F$36),DAY(EOMONTH($A239,0))),MOD((YEAR($A239)-YEAR('Recurring Schedule'!$F$36))*12+MONTH($A239)-MONTH('Recurring Schedule'!$F$36),'Recurring Schedule'!$O$36)=0),IF('Recurring Schedule'!$E$36="Weekdays",WEEKDAY($A239,2)&lt;=5,$A239='Recurring Schedule'!$F$36))),31,""))))</f>
        <v/>
      </c>
      <c r="AG239">
        <f>IF('Recurring Schedule'!$C$37="","",IF('Recurring Schedule'!$F$37="","",IF(OR($A239&lt;'Recurring Schedule'!$F$37,$A239&gt;'Recurring Schedule'!$P$37),"",IF(IF('Recurring Schedule'!$N$37&gt;0,MOD($A239-'Recurring Schedule'!$F$37,'Recurring Schedule'!$N$37)=0,IF('Recurring Schedule'!$O$37&gt;0,AND(DAY($A239)=MIN(DAY('Recurring Schedule'!$F$37),DAY(EOMONTH($A239,0))),MOD((YEAR($A239)-YEAR('Recurring Schedule'!$F$37))*12+MONTH($A239)-MONTH('Recurring Schedule'!$F$37),'Recurring Schedule'!$O$37)=0),IF('Recurring Schedule'!$E$37="Weekdays",WEEKDAY($A239,2)&lt;=5,$A239='Recurring Schedule'!$F$37))),32,""))))</f>
        <v/>
      </c>
      <c r="AH239">
        <f>IF('Recurring Schedule'!$C$38="","",IF('Recurring Schedule'!$F$38="","",IF(OR($A239&lt;'Recurring Schedule'!$F$38,$A239&gt;'Recurring Schedule'!$P$38),"",IF(IF('Recurring Schedule'!$N$38&gt;0,MOD($A239-'Recurring Schedule'!$F$38,'Recurring Schedule'!$N$38)=0,IF('Recurring Schedule'!$O$38&gt;0,AND(DAY($A239)=MIN(DAY('Recurring Schedule'!$F$38),DAY(EOMONTH($A239,0))),MOD((YEAR($A239)-YEAR('Recurring Schedule'!$F$38))*12+MONTH($A239)-MONTH('Recurring Schedule'!$F$38),'Recurring Schedule'!$O$38)=0),IF('Recurring Schedule'!$E$38="Weekdays",WEEKDAY($A239,2)&lt;=5,$A239='Recurring Schedule'!$F$38))),33,""))))</f>
        <v/>
      </c>
      <c r="AI239">
        <f>IF('Recurring Schedule'!$C$39="","",IF('Recurring Schedule'!$F$39="","",IF(OR($A239&lt;'Recurring Schedule'!$F$39,$A239&gt;'Recurring Schedule'!$P$39),"",IF(IF('Recurring Schedule'!$N$39&gt;0,MOD($A239-'Recurring Schedule'!$F$39,'Recurring Schedule'!$N$39)=0,IF('Recurring Schedule'!$O$39&gt;0,AND(DAY($A239)=MIN(DAY('Recurring Schedule'!$F$39),DAY(EOMONTH($A239,0))),MOD((YEAR($A239)-YEAR('Recurring Schedule'!$F$39))*12+MONTH($A239)-MONTH('Recurring Schedule'!$F$39),'Recurring Schedule'!$O$39)=0),IF('Recurring Schedule'!$E$39="Weekdays",WEEKDAY($A239,2)&lt;=5,$A239='Recurring Schedule'!$F$39))),34,""))))</f>
        <v/>
      </c>
      <c r="AJ239">
        <f>IF('Recurring Schedule'!$C$40="","",IF('Recurring Schedule'!$F$40="","",IF(OR($A239&lt;'Recurring Schedule'!$F$40,$A239&gt;'Recurring Schedule'!$P$40),"",IF(IF('Recurring Schedule'!$N$40&gt;0,MOD($A239-'Recurring Schedule'!$F$40,'Recurring Schedule'!$N$40)=0,IF('Recurring Schedule'!$O$40&gt;0,AND(DAY($A239)=MIN(DAY('Recurring Schedule'!$F$40),DAY(EOMONTH($A239,0))),MOD((YEAR($A239)-YEAR('Recurring Schedule'!$F$40))*12+MONTH($A239)-MONTH('Recurring Schedule'!$F$40),'Recurring Schedule'!$O$40)=0),IF('Recurring Schedule'!$E$40="Weekdays",WEEKDAY($A239,2)&lt;=5,$A239='Recurring Schedule'!$F$40))),35,""))))</f>
        <v/>
      </c>
      <c r="AK239">
        <f>IF('Recurring Schedule'!$C$41="","",IF('Recurring Schedule'!$F$41="","",IF(OR($A239&lt;'Recurring Schedule'!$F$41,$A239&gt;'Recurring Schedule'!$P$41),"",IF(IF('Recurring Schedule'!$N$41&gt;0,MOD($A239-'Recurring Schedule'!$F$41,'Recurring Schedule'!$N$41)=0,IF('Recurring Schedule'!$O$41&gt;0,AND(DAY($A239)=MIN(DAY('Recurring Schedule'!$F$41),DAY(EOMONTH($A239,0))),MOD((YEAR($A239)-YEAR('Recurring Schedule'!$F$41))*12+MONTH($A239)-MONTH('Recurring Schedule'!$F$41),'Recurring Schedule'!$O$41)=0),IF('Recurring Schedule'!$E$41="Weekdays",WEEKDAY($A239,2)&lt;=5,$A239='Recurring Schedule'!$F$41))),36,""))))</f>
        <v/>
      </c>
      <c r="AL239">
        <f>IF('Recurring Schedule'!$C$42="","",IF('Recurring Schedule'!$F$42="","",IF(OR($A239&lt;'Recurring Schedule'!$F$42,$A239&gt;'Recurring Schedule'!$P$42),"",IF(IF('Recurring Schedule'!$N$42&gt;0,MOD($A239-'Recurring Schedule'!$F$42,'Recurring Schedule'!$N$42)=0,IF('Recurring Schedule'!$O$42&gt;0,AND(DAY($A239)=MIN(DAY('Recurring Schedule'!$F$42),DAY(EOMONTH($A239,0))),MOD((YEAR($A239)-YEAR('Recurring Schedule'!$F$42))*12+MONTH($A239)-MONTH('Recurring Schedule'!$F$42),'Recurring Schedule'!$O$42)=0),IF('Recurring Schedule'!$E$42="Weekdays",WEEKDAY($A239,2)&lt;=5,$A239='Recurring Schedule'!$F$42))),37,""))))</f>
        <v/>
      </c>
      <c r="AM239">
        <f>IF('Recurring Schedule'!$C$43="","",IF('Recurring Schedule'!$F$43="","",IF(OR($A239&lt;'Recurring Schedule'!$F$43,$A239&gt;'Recurring Schedule'!$P$43),"",IF(IF('Recurring Schedule'!$N$43&gt;0,MOD($A239-'Recurring Schedule'!$F$43,'Recurring Schedule'!$N$43)=0,IF('Recurring Schedule'!$O$43&gt;0,AND(DAY($A239)=MIN(DAY('Recurring Schedule'!$F$43),DAY(EOMONTH($A239,0))),MOD((YEAR($A239)-YEAR('Recurring Schedule'!$F$43))*12+MONTH($A239)-MONTH('Recurring Schedule'!$F$43),'Recurring Schedule'!$O$43)=0),IF('Recurring Schedule'!$E$43="Weekdays",WEEKDAY($A239,2)&lt;=5,$A239='Recurring Schedule'!$F$43))),38,""))))</f>
        <v/>
      </c>
      <c r="AN239">
        <f>IF('Recurring Schedule'!$C$44="","",IF('Recurring Schedule'!$F$44="","",IF(OR($A239&lt;'Recurring Schedule'!$F$44,$A239&gt;'Recurring Schedule'!$P$44),"",IF(IF('Recurring Schedule'!$N$44&gt;0,MOD($A239-'Recurring Schedule'!$F$44,'Recurring Schedule'!$N$44)=0,IF('Recurring Schedule'!$O$44&gt;0,AND(DAY($A239)=MIN(DAY('Recurring Schedule'!$F$44),DAY(EOMONTH($A239,0))),MOD((YEAR($A239)-YEAR('Recurring Schedule'!$F$44))*12+MONTH($A239)-MONTH('Recurring Schedule'!$F$44),'Recurring Schedule'!$O$44)=0),IF('Recurring Schedule'!$E$44="Weekdays",WEEKDAY($A239,2)&lt;=5,$A239='Recurring Schedule'!$F$44))),39,""))))</f>
        <v/>
      </c>
      <c r="AO239">
        <f>IF('Recurring Schedule'!$C$45="","",IF('Recurring Schedule'!$F$45="","",IF(OR($A239&lt;'Recurring Schedule'!$F$45,$A239&gt;'Recurring Schedule'!$P$45),"",IF(IF('Recurring Schedule'!$N$45&gt;0,MOD($A239-'Recurring Schedule'!$F$45,'Recurring Schedule'!$N$45)=0,IF('Recurring Schedule'!$O$45&gt;0,AND(DAY($A239)=MIN(DAY('Recurring Schedule'!$F$45),DAY(EOMONTH($A239,0))),MOD((YEAR($A239)-YEAR('Recurring Schedule'!$F$45))*12+MONTH($A239)-MONTH('Recurring Schedule'!$F$45),'Recurring Schedule'!$O$45)=0),IF('Recurring Schedule'!$E$45="Weekdays",WEEKDAY($A239,2)&lt;=5,$A239='Recurring Schedule'!$F$45))),40,""))))</f>
        <v/>
      </c>
      <c r="AP239">
        <f>COUNT(B239:AO239)</f>
        <v/>
      </c>
      <c r="AQ239">
        <f>AQ238+AP238</f>
        <v/>
      </c>
      <c r="AS239" t="inlineStr">
        <is>
          <t>R</t>
        </is>
      </c>
      <c r="AT239" t="n">
        <v>243</v>
      </c>
      <c r="AU239">
        <f>'Recurring Log'!C243&amp;""</f>
        <v/>
      </c>
      <c r="AV239">
        <f>'Recurring Log'!D243&amp;""</f>
        <v/>
      </c>
      <c r="AW239">
        <f>IF('Recurring Log'!E243="","",'Recurring Log'!E243)</f>
        <v/>
      </c>
      <c r="AX239">
        <f>IF('Recurring Log'!G243="","",'Recurring Log'!G243)</f>
        <v/>
      </c>
      <c r="AY239">
        <f>IF('Recurring Log'!H243="","",'Recurring Log'!H243)</f>
        <v/>
      </c>
      <c r="AZ239">
        <f>IF(AU239="","",IF('Recurring Log'!J243="","Not Started",'Recurring Log'!J243))</f>
        <v/>
      </c>
      <c r="BA239">
        <f>'Recurring Log'!L243&amp;""</f>
        <v/>
      </c>
      <c r="BB239">
        <f>'Recurring Log'!M243&amp;""</f>
        <v/>
      </c>
      <c r="BC239">
        <f>'Recurring Log'!N243&amp;""</f>
        <v/>
      </c>
      <c r="BD239">
        <f>'Recurring Log'!O243&amp;""</f>
        <v/>
      </c>
      <c r="BE239">
        <f>IF('Recurring Log'!K243="","",'Recurring Log'!K243)</f>
        <v/>
      </c>
      <c r="BF239">
        <f>IFERROR(MATCH(BA239,Setup!$L$6:$L$9,0),5)</f>
        <v/>
      </c>
      <c r="BG239">
        <f>IF(OR(AZ239="Done",AZ239="Cancelled"),1,0)</f>
        <v/>
      </c>
      <c r="BH239">
        <f>IF(AND(AU239&lt;&gt;"",ISNUMBER(AW239)),1,0)</f>
        <v/>
      </c>
      <c r="BI239">
        <f>IF(BH239=0,0,IF(AND(AW239&gt;='Tasks Filter'!$F$3,AW239&lt;='Tasks Filter'!$F$4,OR('Tasks Filter'!$I$3="",ISNUMBER(SEARCH('Tasks Filter'!$I$3,AU239))),OR('Tasks Filter'!$I$4="",BF239=IFERROR(MATCH('Tasks Filter'!$I$4,Setup!$L$6:$L$9,0),0)),OR('Tasks Filter'!$I$5="Both",AND('Tasks Filter'!$I$5="Yes",BB239="✓"),AND('Tasks Filter'!$I$5="No",BB239&lt;&gt;"✓")),OR('Tasks Filter'!$L$3="",AV239='Tasks Filter'!$L$3),OR('Tasks Filter'!$L$4="",AZ239='Tasks Filter'!$L$4),OR('Tasks Filter'!$L$5="",BC239='Tasks Filter'!$L$5),OR('Tasks Filter'!$O$3="",BD239='Tasks Filter'!$O$3),OR('Tasks Filter'!$O$4="Yes",BG239=0)),1,0))</f>
        <v/>
      </c>
      <c r="BJ239">
        <f>IF(BH239=0,"",IF('Tasks Filter'!$F$6="Descending",-1,1)*CHOOSE(MATCH('Tasks Filter'!$F$5,Lists!$G$2:$G$6,0),AW239,BF239,IFERROR(MATCH(AV239,Setup!$F$6:$F$15,0),99),IFERROR(MATCH(BC239,Setup!$H$6:$H$15,0),99),IFERROR(MATCH(AZ239,Setup!$J$6:$J$11,0),99))*1E+9+(AW239-40000)*10000+238)</f>
        <v/>
      </c>
      <c r="BK239">
        <f>IF(BI239=1,BJ239,"")</f>
        <v/>
      </c>
      <c r="BL239">
        <f>IF(AND(BH239=1,BG239=0,N(AW239)&lt;Setup!$D$7),(AW239-40000)*10000+238,"")</f>
        <v/>
      </c>
      <c r="BM239">
        <f>IF(AND(BH239=1,AZ239&lt;&gt;"Cancelled",N(AW239)&gt;=Dashboard!$AB$3,N(AW239)&lt;=Dashboard!$AB$3+6),(AW239-40000)*100000+BF239*10000+238,"")</f>
        <v/>
      </c>
      <c r="BN239">
        <f>IF(AND(BH239=1,AZ239&lt;&gt;"Cancelled"),BF239*10000+238,"")</f>
        <v/>
      </c>
    </row>
    <row r="240">
      <c r="A240">
        <f>Setup!$D$5+238</f>
        <v/>
      </c>
      <c r="B240">
        <f>IF('Recurring Schedule'!$C$6="","",IF('Recurring Schedule'!$F$6="","",IF(OR($A240&lt;'Recurring Schedule'!$F$6,$A240&gt;'Recurring Schedule'!$P$6),"",IF(IF('Recurring Schedule'!$N$6&gt;0,MOD($A240-'Recurring Schedule'!$F$6,'Recurring Schedule'!$N$6)=0,IF('Recurring Schedule'!$O$6&gt;0,AND(DAY($A240)=MIN(DAY('Recurring Schedule'!$F$6),DAY(EOMONTH($A240,0))),MOD((YEAR($A240)-YEAR('Recurring Schedule'!$F$6))*12+MONTH($A240)-MONTH('Recurring Schedule'!$F$6),'Recurring Schedule'!$O$6)=0),IF('Recurring Schedule'!$E$6="Weekdays",WEEKDAY($A240,2)&lt;=5,$A240='Recurring Schedule'!$F$6))),1,""))))</f>
        <v/>
      </c>
      <c r="C240">
        <f>IF('Recurring Schedule'!$C$7="","",IF('Recurring Schedule'!$F$7="","",IF(OR($A240&lt;'Recurring Schedule'!$F$7,$A240&gt;'Recurring Schedule'!$P$7),"",IF(IF('Recurring Schedule'!$N$7&gt;0,MOD($A240-'Recurring Schedule'!$F$7,'Recurring Schedule'!$N$7)=0,IF('Recurring Schedule'!$O$7&gt;0,AND(DAY($A240)=MIN(DAY('Recurring Schedule'!$F$7),DAY(EOMONTH($A240,0))),MOD((YEAR($A240)-YEAR('Recurring Schedule'!$F$7))*12+MONTH($A240)-MONTH('Recurring Schedule'!$F$7),'Recurring Schedule'!$O$7)=0),IF('Recurring Schedule'!$E$7="Weekdays",WEEKDAY($A240,2)&lt;=5,$A240='Recurring Schedule'!$F$7))),2,""))))</f>
        <v/>
      </c>
      <c r="D240">
        <f>IF('Recurring Schedule'!$C$8="","",IF('Recurring Schedule'!$F$8="","",IF(OR($A240&lt;'Recurring Schedule'!$F$8,$A240&gt;'Recurring Schedule'!$P$8),"",IF(IF('Recurring Schedule'!$N$8&gt;0,MOD($A240-'Recurring Schedule'!$F$8,'Recurring Schedule'!$N$8)=0,IF('Recurring Schedule'!$O$8&gt;0,AND(DAY($A240)=MIN(DAY('Recurring Schedule'!$F$8),DAY(EOMONTH($A240,0))),MOD((YEAR($A240)-YEAR('Recurring Schedule'!$F$8))*12+MONTH($A240)-MONTH('Recurring Schedule'!$F$8),'Recurring Schedule'!$O$8)=0),IF('Recurring Schedule'!$E$8="Weekdays",WEEKDAY($A240,2)&lt;=5,$A240='Recurring Schedule'!$F$8))),3,""))))</f>
        <v/>
      </c>
      <c r="E240">
        <f>IF('Recurring Schedule'!$C$9="","",IF('Recurring Schedule'!$F$9="","",IF(OR($A240&lt;'Recurring Schedule'!$F$9,$A240&gt;'Recurring Schedule'!$P$9),"",IF(IF('Recurring Schedule'!$N$9&gt;0,MOD($A240-'Recurring Schedule'!$F$9,'Recurring Schedule'!$N$9)=0,IF('Recurring Schedule'!$O$9&gt;0,AND(DAY($A240)=MIN(DAY('Recurring Schedule'!$F$9),DAY(EOMONTH($A240,0))),MOD((YEAR($A240)-YEAR('Recurring Schedule'!$F$9))*12+MONTH($A240)-MONTH('Recurring Schedule'!$F$9),'Recurring Schedule'!$O$9)=0),IF('Recurring Schedule'!$E$9="Weekdays",WEEKDAY($A240,2)&lt;=5,$A240='Recurring Schedule'!$F$9))),4,""))))</f>
        <v/>
      </c>
      <c r="F240">
        <f>IF('Recurring Schedule'!$C$10="","",IF('Recurring Schedule'!$F$10="","",IF(OR($A240&lt;'Recurring Schedule'!$F$10,$A240&gt;'Recurring Schedule'!$P$10),"",IF(IF('Recurring Schedule'!$N$10&gt;0,MOD($A240-'Recurring Schedule'!$F$10,'Recurring Schedule'!$N$10)=0,IF('Recurring Schedule'!$O$10&gt;0,AND(DAY($A240)=MIN(DAY('Recurring Schedule'!$F$10),DAY(EOMONTH($A240,0))),MOD((YEAR($A240)-YEAR('Recurring Schedule'!$F$10))*12+MONTH($A240)-MONTH('Recurring Schedule'!$F$10),'Recurring Schedule'!$O$10)=0),IF('Recurring Schedule'!$E$10="Weekdays",WEEKDAY($A240,2)&lt;=5,$A240='Recurring Schedule'!$F$10))),5,""))))</f>
        <v/>
      </c>
      <c r="G240">
        <f>IF('Recurring Schedule'!$C$11="","",IF('Recurring Schedule'!$F$11="","",IF(OR($A240&lt;'Recurring Schedule'!$F$11,$A240&gt;'Recurring Schedule'!$P$11),"",IF(IF('Recurring Schedule'!$N$11&gt;0,MOD($A240-'Recurring Schedule'!$F$11,'Recurring Schedule'!$N$11)=0,IF('Recurring Schedule'!$O$11&gt;0,AND(DAY($A240)=MIN(DAY('Recurring Schedule'!$F$11),DAY(EOMONTH($A240,0))),MOD((YEAR($A240)-YEAR('Recurring Schedule'!$F$11))*12+MONTH($A240)-MONTH('Recurring Schedule'!$F$11),'Recurring Schedule'!$O$11)=0),IF('Recurring Schedule'!$E$11="Weekdays",WEEKDAY($A240,2)&lt;=5,$A240='Recurring Schedule'!$F$11))),6,""))))</f>
        <v/>
      </c>
      <c r="H240">
        <f>IF('Recurring Schedule'!$C$12="","",IF('Recurring Schedule'!$F$12="","",IF(OR($A240&lt;'Recurring Schedule'!$F$12,$A240&gt;'Recurring Schedule'!$P$12),"",IF(IF('Recurring Schedule'!$N$12&gt;0,MOD($A240-'Recurring Schedule'!$F$12,'Recurring Schedule'!$N$12)=0,IF('Recurring Schedule'!$O$12&gt;0,AND(DAY($A240)=MIN(DAY('Recurring Schedule'!$F$12),DAY(EOMONTH($A240,0))),MOD((YEAR($A240)-YEAR('Recurring Schedule'!$F$12))*12+MONTH($A240)-MONTH('Recurring Schedule'!$F$12),'Recurring Schedule'!$O$12)=0),IF('Recurring Schedule'!$E$12="Weekdays",WEEKDAY($A240,2)&lt;=5,$A240='Recurring Schedule'!$F$12))),7,""))))</f>
        <v/>
      </c>
      <c r="I240">
        <f>IF('Recurring Schedule'!$C$13="","",IF('Recurring Schedule'!$F$13="","",IF(OR($A240&lt;'Recurring Schedule'!$F$13,$A240&gt;'Recurring Schedule'!$P$13),"",IF(IF('Recurring Schedule'!$N$13&gt;0,MOD($A240-'Recurring Schedule'!$F$13,'Recurring Schedule'!$N$13)=0,IF('Recurring Schedule'!$O$13&gt;0,AND(DAY($A240)=MIN(DAY('Recurring Schedule'!$F$13),DAY(EOMONTH($A240,0))),MOD((YEAR($A240)-YEAR('Recurring Schedule'!$F$13))*12+MONTH($A240)-MONTH('Recurring Schedule'!$F$13),'Recurring Schedule'!$O$13)=0),IF('Recurring Schedule'!$E$13="Weekdays",WEEKDAY($A240,2)&lt;=5,$A240='Recurring Schedule'!$F$13))),8,""))))</f>
        <v/>
      </c>
      <c r="J240">
        <f>IF('Recurring Schedule'!$C$14="","",IF('Recurring Schedule'!$F$14="","",IF(OR($A240&lt;'Recurring Schedule'!$F$14,$A240&gt;'Recurring Schedule'!$P$14),"",IF(IF('Recurring Schedule'!$N$14&gt;0,MOD($A240-'Recurring Schedule'!$F$14,'Recurring Schedule'!$N$14)=0,IF('Recurring Schedule'!$O$14&gt;0,AND(DAY($A240)=MIN(DAY('Recurring Schedule'!$F$14),DAY(EOMONTH($A240,0))),MOD((YEAR($A240)-YEAR('Recurring Schedule'!$F$14))*12+MONTH($A240)-MONTH('Recurring Schedule'!$F$14),'Recurring Schedule'!$O$14)=0),IF('Recurring Schedule'!$E$14="Weekdays",WEEKDAY($A240,2)&lt;=5,$A240='Recurring Schedule'!$F$14))),9,""))))</f>
        <v/>
      </c>
      <c r="K240">
        <f>IF('Recurring Schedule'!$C$15="","",IF('Recurring Schedule'!$F$15="","",IF(OR($A240&lt;'Recurring Schedule'!$F$15,$A240&gt;'Recurring Schedule'!$P$15),"",IF(IF('Recurring Schedule'!$N$15&gt;0,MOD($A240-'Recurring Schedule'!$F$15,'Recurring Schedule'!$N$15)=0,IF('Recurring Schedule'!$O$15&gt;0,AND(DAY($A240)=MIN(DAY('Recurring Schedule'!$F$15),DAY(EOMONTH($A240,0))),MOD((YEAR($A240)-YEAR('Recurring Schedule'!$F$15))*12+MONTH($A240)-MONTH('Recurring Schedule'!$F$15),'Recurring Schedule'!$O$15)=0),IF('Recurring Schedule'!$E$15="Weekdays",WEEKDAY($A240,2)&lt;=5,$A240='Recurring Schedule'!$F$15))),10,""))))</f>
        <v/>
      </c>
      <c r="L240">
        <f>IF('Recurring Schedule'!$C$16="","",IF('Recurring Schedule'!$F$16="","",IF(OR($A240&lt;'Recurring Schedule'!$F$16,$A240&gt;'Recurring Schedule'!$P$16),"",IF(IF('Recurring Schedule'!$N$16&gt;0,MOD($A240-'Recurring Schedule'!$F$16,'Recurring Schedule'!$N$16)=0,IF('Recurring Schedule'!$O$16&gt;0,AND(DAY($A240)=MIN(DAY('Recurring Schedule'!$F$16),DAY(EOMONTH($A240,0))),MOD((YEAR($A240)-YEAR('Recurring Schedule'!$F$16))*12+MONTH($A240)-MONTH('Recurring Schedule'!$F$16),'Recurring Schedule'!$O$16)=0),IF('Recurring Schedule'!$E$16="Weekdays",WEEKDAY($A240,2)&lt;=5,$A240='Recurring Schedule'!$F$16))),11,""))))</f>
        <v/>
      </c>
      <c r="M240">
        <f>IF('Recurring Schedule'!$C$17="","",IF('Recurring Schedule'!$F$17="","",IF(OR($A240&lt;'Recurring Schedule'!$F$17,$A240&gt;'Recurring Schedule'!$P$17),"",IF(IF('Recurring Schedule'!$N$17&gt;0,MOD($A240-'Recurring Schedule'!$F$17,'Recurring Schedule'!$N$17)=0,IF('Recurring Schedule'!$O$17&gt;0,AND(DAY($A240)=MIN(DAY('Recurring Schedule'!$F$17),DAY(EOMONTH($A240,0))),MOD((YEAR($A240)-YEAR('Recurring Schedule'!$F$17))*12+MONTH($A240)-MONTH('Recurring Schedule'!$F$17),'Recurring Schedule'!$O$17)=0),IF('Recurring Schedule'!$E$17="Weekdays",WEEKDAY($A240,2)&lt;=5,$A240='Recurring Schedule'!$F$17))),12,""))))</f>
        <v/>
      </c>
      <c r="N240">
        <f>IF('Recurring Schedule'!$C$18="","",IF('Recurring Schedule'!$F$18="","",IF(OR($A240&lt;'Recurring Schedule'!$F$18,$A240&gt;'Recurring Schedule'!$P$18),"",IF(IF('Recurring Schedule'!$N$18&gt;0,MOD($A240-'Recurring Schedule'!$F$18,'Recurring Schedule'!$N$18)=0,IF('Recurring Schedule'!$O$18&gt;0,AND(DAY($A240)=MIN(DAY('Recurring Schedule'!$F$18),DAY(EOMONTH($A240,0))),MOD((YEAR($A240)-YEAR('Recurring Schedule'!$F$18))*12+MONTH($A240)-MONTH('Recurring Schedule'!$F$18),'Recurring Schedule'!$O$18)=0),IF('Recurring Schedule'!$E$18="Weekdays",WEEKDAY($A240,2)&lt;=5,$A240='Recurring Schedule'!$F$18))),13,""))))</f>
        <v/>
      </c>
      <c r="O240">
        <f>IF('Recurring Schedule'!$C$19="","",IF('Recurring Schedule'!$F$19="","",IF(OR($A240&lt;'Recurring Schedule'!$F$19,$A240&gt;'Recurring Schedule'!$P$19),"",IF(IF('Recurring Schedule'!$N$19&gt;0,MOD($A240-'Recurring Schedule'!$F$19,'Recurring Schedule'!$N$19)=0,IF('Recurring Schedule'!$O$19&gt;0,AND(DAY($A240)=MIN(DAY('Recurring Schedule'!$F$19),DAY(EOMONTH($A240,0))),MOD((YEAR($A240)-YEAR('Recurring Schedule'!$F$19))*12+MONTH($A240)-MONTH('Recurring Schedule'!$F$19),'Recurring Schedule'!$O$19)=0),IF('Recurring Schedule'!$E$19="Weekdays",WEEKDAY($A240,2)&lt;=5,$A240='Recurring Schedule'!$F$19))),14,""))))</f>
        <v/>
      </c>
      <c r="P240">
        <f>IF('Recurring Schedule'!$C$20="","",IF('Recurring Schedule'!$F$20="","",IF(OR($A240&lt;'Recurring Schedule'!$F$20,$A240&gt;'Recurring Schedule'!$P$20),"",IF(IF('Recurring Schedule'!$N$20&gt;0,MOD($A240-'Recurring Schedule'!$F$20,'Recurring Schedule'!$N$20)=0,IF('Recurring Schedule'!$O$20&gt;0,AND(DAY($A240)=MIN(DAY('Recurring Schedule'!$F$20),DAY(EOMONTH($A240,0))),MOD((YEAR($A240)-YEAR('Recurring Schedule'!$F$20))*12+MONTH($A240)-MONTH('Recurring Schedule'!$F$20),'Recurring Schedule'!$O$20)=0),IF('Recurring Schedule'!$E$20="Weekdays",WEEKDAY($A240,2)&lt;=5,$A240='Recurring Schedule'!$F$20))),15,""))))</f>
        <v/>
      </c>
      <c r="Q240">
        <f>IF('Recurring Schedule'!$C$21="","",IF('Recurring Schedule'!$F$21="","",IF(OR($A240&lt;'Recurring Schedule'!$F$21,$A240&gt;'Recurring Schedule'!$P$21),"",IF(IF('Recurring Schedule'!$N$21&gt;0,MOD($A240-'Recurring Schedule'!$F$21,'Recurring Schedule'!$N$21)=0,IF('Recurring Schedule'!$O$21&gt;0,AND(DAY($A240)=MIN(DAY('Recurring Schedule'!$F$21),DAY(EOMONTH($A240,0))),MOD((YEAR($A240)-YEAR('Recurring Schedule'!$F$21))*12+MONTH($A240)-MONTH('Recurring Schedule'!$F$21),'Recurring Schedule'!$O$21)=0),IF('Recurring Schedule'!$E$21="Weekdays",WEEKDAY($A240,2)&lt;=5,$A240='Recurring Schedule'!$F$21))),16,""))))</f>
        <v/>
      </c>
      <c r="R240">
        <f>IF('Recurring Schedule'!$C$22="","",IF('Recurring Schedule'!$F$22="","",IF(OR($A240&lt;'Recurring Schedule'!$F$22,$A240&gt;'Recurring Schedule'!$P$22),"",IF(IF('Recurring Schedule'!$N$22&gt;0,MOD($A240-'Recurring Schedule'!$F$22,'Recurring Schedule'!$N$22)=0,IF('Recurring Schedule'!$O$22&gt;0,AND(DAY($A240)=MIN(DAY('Recurring Schedule'!$F$22),DAY(EOMONTH($A240,0))),MOD((YEAR($A240)-YEAR('Recurring Schedule'!$F$22))*12+MONTH($A240)-MONTH('Recurring Schedule'!$F$22),'Recurring Schedule'!$O$22)=0),IF('Recurring Schedule'!$E$22="Weekdays",WEEKDAY($A240,2)&lt;=5,$A240='Recurring Schedule'!$F$22))),17,""))))</f>
        <v/>
      </c>
      <c r="S240">
        <f>IF('Recurring Schedule'!$C$23="","",IF('Recurring Schedule'!$F$23="","",IF(OR($A240&lt;'Recurring Schedule'!$F$23,$A240&gt;'Recurring Schedule'!$P$23),"",IF(IF('Recurring Schedule'!$N$23&gt;0,MOD($A240-'Recurring Schedule'!$F$23,'Recurring Schedule'!$N$23)=0,IF('Recurring Schedule'!$O$23&gt;0,AND(DAY($A240)=MIN(DAY('Recurring Schedule'!$F$23),DAY(EOMONTH($A240,0))),MOD((YEAR($A240)-YEAR('Recurring Schedule'!$F$23))*12+MONTH($A240)-MONTH('Recurring Schedule'!$F$23),'Recurring Schedule'!$O$23)=0),IF('Recurring Schedule'!$E$23="Weekdays",WEEKDAY($A240,2)&lt;=5,$A240='Recurring Schedule'!$F$23))),18,""))))</f>
        <v/>
      </c>
      <c r="T240">
        <f>IF('Recurring Schedule'!$C$24="","",IF('Recurring Schedule'!$F$24="","",IF(OR($A240&lt;'Recurring Schedule'!$F$24,$A240&gt;'Recurring Schedule'!$P$24),"",IF(IF('Recurring Schedule'!$N$24&gt;0,MOD($A240-'Recurring Schedule'!$F$24,'Recurring Schedule'!$N$24)=0,IF('Recurring Schedule'!$O$24&gt;0,AND(DAY($A240)=MIN(DAY('Recurring Schedule'!$F$24),DAY(EOMONTH($A240,0))),MOD((YEAR($A240)-YEAR('Recurring Schedule'!$F$24))*12+MONTH($A240)-MONTH('Recurring Schedule'!$F$24),'Recurring Schedule'!$O$24)=0),IF('Recurring Schedule'!$E$24="Weekdays",WEEKDAY($A240,2)&lt;=5,$A240='Recurring Schedule'!$F$24))),19,""))))</f>
        <v/>
      </c>
      <c r="U240">
        <f>IF('Recurring Schedule'!$C$25="","",IF('Recurring Schedule'!$F$25="","",IF(OR($A240&lt;'Recurring Schedule'!$F$25,$A240&gt;'Recurring Schedule'!$P$25),"",IF(IF('Recurring Schedule'!$N$25&gt;0,MOD($A240-'Recurring Schedule'!$F$25,'Recurring Schedule'!$N$25)=0,IF('Recurring Schedule'!$O$25&gt;0,AND(DAY($A240)=MIN(DAY('Recurring Schedule'!$F$25),DAY(EOMONTH($A240,0))),MOD((YEAR($A240)-YEAR('Recurring Schedule'!$F$25))*12+MONTH($A240)-MONTH('Recurring Schedule'!$F$25),'Recurring Schedule'!$O$25)=0),IF('Recurring Schedule'!$E$25="Weekdays",WEEKDAY($A240,2)&lt;=5,$A240='Recurring Schedule'!$F$25))),20,""))))</f>
        <v/>
      </c>
      <c r="V240">
        <f>IF('Recurring Schedule'!$C$26="","",IF('Recurring Schedule'!$F$26="","",IF(OR($A240&lt;'Recurring Schedule'!$F$26,$A240&gt;'Recurring Schedule'!$P$26),"",IF(IF('Recurring Schedule'!$N$26&gt;0,MOD($A240-'Recurring Schedule'!$F$26,'Recurring Schedule'!$N$26)=0,IF('Recurring Schedule'!$O$26&gt;0,AND(DAY($A240)=MIN(DAY('Recurring Schedule'!$F$26),DAY(EOMONTH($A240,0))),MOD((YEAR($A240)-YEAR('Recurring Schedule'!$F$26))*12+MONTH($A240)-MONTH('Recurring Schedule'!$F$26),'Recurring Schedule'!$O$26)=0),IF('Recurring Schedule'!$E$26="Weekdays",WEEKDAY($A240,2)&lt;=5,$A240='Recurring Schedule'!$F$26))),21,""))))</f>
        <v/>
      </c>
      <c r="W240">
        <f>IF('Recurring Schedule'!$C$27="","",IF('Recurring Schedule'!$F$27="","",IF(OR($A240&lt;'Recurring Schedule'!$F$27,$A240&gt;'Recurring Schedule'!$P$27),"",IF(IF('Recurring Schedule'!$N$27&gt;0,MOD($A240-'Recurring Schedule'!$F$27,'Recurring Schedule'!$N$27)=0,IF('Recurring Schedule'!$O$27&gt;0,AND(DAY($A240)=MIN(DAY('Recurring Schedule'!$F$27),DAY(EOMONTH($A240,0))),MOD((YEAR($A240)-YEAR('Recurring Schedule'!$F$27))*12+MONTH($A240)-MONTH('Recurring Schedule'!$F$27),'Recurring Schedule'!$O$27)=0),IF('Recurring Schedule'!$E$27="Weekdays",WEEKDAY($A240,2)&lt;=5,$A240='Recurring Schedule'!$F$27))),22,""))))</f>
        <v/>
      </c>
      <c r="X240">
        <f>IF('Recurring Schedule'!$C$28="","",IF('Recurring Schedule'!$F$28="","",IF(OR($A240&lt;'Recurring Schedule'!$F$28,$A240&gt;'Recurring Schedule'!$P$28),"",IF(IF('Recurring Schedule'!$N$28&gt;0,MOD($A240-'Recurring Schedule'!$F$28,'Recurring Schedule'!$N$28)=0,IF('Recurring Schedule'!$O$28&gt;0,AND(DAY($A240)=MIN(DAY('Recurring Schedule'!$F$28),DAY(EOMONTH($A240,0))),MOD((YEAR($A240)-YEAR('Recurring Schedule'!$F$28))*12+MONTH($A240)-MONTH('Recurring Schedule'!$F$28),'Recurring Schedule'!$O$28)=0),IF('Recurring Schedule'!$E$28="Weekdays",WEEKDAY($A240,2)&lt;=5,$A240='Recurring Schedule'!$F$28))),23,""))))</f>
        <v/>
      </c>
      <c r="Y240">
        <f>IF('Recurring Schedule'!$C$29="","",IF('Recurring Schedule'!$F$29="","",IF(OR($A240&lt;'Recurring Schedule'!$F$29,$A240&gt;'Recurring Schedule'!$P$29),"",IF(IF('Recurring Schedule'!$N$29&gt;0,MOD($A240-'Recurring Schedule'!$F$29,'Recurring Schedule'!$N$29)=0,IF('Recurring Schedule'!$O$29&gt;0,AND(DAY($A240)=MIN(DAY('Recurring Schedule'!$F$29),DAY(EOMONTH($A240,0))),MOD((YEAR($A240)-YEAR('Recurring Schedule'!$F$29))*12+MONTH($A240)-MONTH('Recurring Schedule'!$F$29),'Recurring Schedule'!$O$29)=0),IF('Recurring Schedule'!$E$29="Weekdays",WEEKDAY($A240,2)&lt;=5,$A240='Recurring Schedule'!$F$29))),24,""))))</f>
        <v/>
      </c>
      <c r="Z240">
        <f>IF('Recurring Schedule'!$C$30="","",IF('Recurring Schedule'!$F$30="","",IF(OR($A240&lt;'Recurring Schedule'!$F$30,$A240&gt;'Recurring Schedule'!$P$30),"",IF(IF('Recurring Schedule'!$N$30&gt;0,MOD($A240-'Recurring Schedule'!$F$30,'Recurring Schedule'!$N$30)=0,IF('Recurring Schedule'!$O$30&gt;0,AND(DAY($A240)=MIN(DAY('Recurring Schedule'!$F$30),DAY(EOMONTH($A240,0))),MOD((YEAR($A240)-YEAR('Recurring Schedule'!$F$30))*12+MONTH($A240)-MONTH('Recurring Schedule'!$F$30),'Recurring Schedule'!$O$30)=0),IF('Recurring Schedule'!$E$30="Weekdays",WEEKDAY($A240,2)&lt;=5,$A240='Recurring Schedule'!$F$30))),25,""))))</f>
        <v/>
      </c>
      <c r="AA240">
        <f>IF('Recurring Schedule'!$C$31="","",IF('Recurring Schedule'!$F$31="","",IF(OR($A240&lt;'Recurring Schedule'!$F$31,$A240&gt;'Recurring Schedule'!$P$31),"",IF(IF('Recurring Schedule'!$N$31&gt;0,MOD($A240-'Recurring Schedule'!$F$31,'Recurring Schedule'!$N$31)=0,IF('Recurring Schedule'!$O$31&gt;0,AND(DAY($A240)=MIN(DAY('Recurring Schedule'!$F$31),DAY(EOMONTH($A240,0))),MOD((YEAR($A240)-YEAR('Recurring Schedule'!$F$31))*12+MONTH($A240)-MONTH('Recurring Schedule'!$F$31),'Recurring Schedule'!$O$31)=0),IF('Recurring Schedule'!$E$31="Weekdays",WEEKDAY($A240,2)&lt;=5,$A240='Recurring Schedule'!$F$31))),26,""))))</f>
        <v/>
      </c>
      <c r="AB240">
        <f>IF('Recurring Schedule'!$C$32="","",IF('Recurring Schedule'!$F$32="","",IF(OR($A240&lt;'Recurring Schedule'!$F$32,$A240&gt;'Recurring Schedule'!$P$32),"",IF(IF('Recurring Schedule'!$N$32&gt;0,MOD($A240-'Recurring Schedule'!$F$32,'Recurring Schedule'!$N$32)=0,IF('Recurring Schedule'!$O$32&gt;0,AND(DAY($A240)=MIN(DAY('Recurring Schedule'!$F$32),DAY(EOMONTH($A240,0))),MOD((YEAR($A240)-YEAR('Recurring Schedule'!$F$32))*12+MONTH($A240)-MONTH('Recurring Schedule'!$F$32),'Recurring Schedule'!$O$32)=0),IF('Recurring Schedule'!$E$32="Weekdays",WEEKDAY($A240,2)&lt;=5,$A240='Recurring Schedule'!$F$32))),27,""))))</f>
        <v/>
      </c>
      <c r="AC240">
        <f>IF('Recurring Schedule'!$C$33="","",IF('Recurring Schedule'!$F$33="","",IF(OR($A240&lt;'Recurring Schedule'!$F$33,$A240&gt;'Recurring Schedule'!$P$33),"",IF(IF('Recurring Schedule'!$N$33&gt;0,MOD($A240-'Recurring Schedule'!$F$33,'Recurring Schedule'!$N$33)=0,IF('Recurring Schedule'!$O$33&gt;0,AND(DAY($A240)=MIN(DAY('Recurring Schedule'!$F$33),DAY(EOMONTH($A240,0))),MOD((YEAR($A240)-YEAR('Recurring Schedule'!$F$33))*12+MONTH($A240)-MONTH('Recurring Schedule'!$F$33),'Recurring Schedule'!$O$33)=0),IF('Recurring Schedule'!$E$33="Weekdays",WEEKDAY($A240,2)&lt;=5,$A240='Recurring Schedule'!$F$33))),28,""))))</f>
        <v/>
      </c>
      <c r="AD240">
        <f>IF('Recurring Schedule'!$C$34="","",IF('Recurring Schedule'!$F$34="","",IF(OR($A240&lt;'Recurring Schedule'!$F$34,$A240&gt;'Recurring Schedule'!$P$34),"",IF(IF('Recurring Schedule'!$N$34&gt;0,MOD($A240-'Recurring Schedule'!$F$34,'Recurring Schedule'!$N$34)=0,IF('Recurring Schedule'!$O$34&gt;0,AND(DAY($A240)=MIN(DAY('Recurring Schedule'!$F$34),DAY(EOMONTH($A240,0))),MOD((YEAR($A240)-YEAR('Recurring Schedule'!$F$34))*12+MONTH($A240)-MONTH('Recurring Schedule'!$F$34),'Recurring Schedule'!$O$34)=0),IF('Recurring Schedule'!$E$34="Weekdays",WEEKDAY($A240,2)&lt;=5,$A240='Recurring Schedule'!$F$34))),29,""))))</f>
        <v/>
      </c>
      <c r="AE240">
        <f>IF('Recurring Schedule'!$C$35="","",IF('Recurring Schedule'!$F$35="","",IF(OR($A240&lt;'Recurring Schedule'!$F$35,$A240&gt;'Recurring Schedule'!$P$35),"",IF(IF('Recurring Schedule'!$N$35&gt;0,MOD($A240-'Recurring Schedule'!$F$35,'Recurring Schedule'!$N$35)=0,IF('Recurring Schedule'!$O$35&gt;0,AND(DAY($A240)=MIN(DAY('Recurring Schedule'!$F$35),DAY(EOMONTH($A240,0))),MOD((YEAR($A240)-YEAR('Recurring Schedule'!$F$35))*12+MONTH($A240)-MONTH('Recurring Schedule'!$F$35),'Recurring Schedule'!$O$35)=0),IF('Recurring Schedule'!$E$35="Weekdays",WEEKDAY($A240,2)&lt;=5,$A240='Recurring Schedule'!$F$35))),30,""))))</f>
        <v/>
      </c>
      <c r="AF240">
        <f>IF('Recurring Schedule'!$C$36="","",IF('Recurring Schedule'!$F$36="","",IF(OR($A240&lt;'Recurring Schedule'!$F$36,$A240&gt;'Recurring Schedule'!$P$36),"",IF(IF('Recurring Schedule'!$N$36&gt;0,MOD($A240-'Recurring Schedule'!$F$36,'Recurring Schedule'!$N$36)=0,IF('Recurring Schedule'!$O$36&gt;0,AND(DAY($A240)=MIN(DAY('Recurring Schedule'!$F$36),DAY(EOMONTH($A240,0))),MOD((YEAR($A240)-YEAR('Recurring Schedule'!$F$36))*12+MONTH($A240)-MONTH('Recurring Schedule'!$F$36),'Recurring Schedule'!$O$36)=0),IF('Recurring Schedule'!$E$36="Weekdays",WEEKDAY($A240,2)&lt;=5,$A240='Recurring Schedule'!$F$36))),31,""))))</f>
        <v/>
      </c>
      <c r="AG240">
        <f>IF('Recurring Schedule'!$C$37="","",IF('Recurring Schedule'!$F$37="","",IF(OR($A240&lt;'Recurring Schedule'!$F$37,$A240&gt;'Recurring Schedule'!$P$37),"",IF(IF('Recurring Schedule'!$N$37&gt;0,MOD($A240-'Recurring Schedule'!$F$37,'Recurring Schedule'!$N$37)=0,IF('Recurring Schedule'!$O$37&gt;0,AND(DAY($A240)=MIN(DAY('Recurring Schedule'!$F$37),DAY(EOMONTH($A240,0))),MOD((YEAR($A240)-YEAR('Recurring Schedule'!$F$37))*12+MONTH($A240)-MONTH('Recurring Schedule'!$F$37),'Recurring Schedule'!$O$37)=0),IF('Recurring Schedule'!$E$37="Weekdays",WEEKDAY($A240,2)&lt;=5,$A240='Recurring Schedule'!$F$37))),32,""))))</f>
        <v/>
      </c>
      <c r="AH240">
        <f>IF('Recurring Schedule'!$C$38="","",IF('Recurring Schedule'!$F$38="","",IF(OR($A240&lt;'Recurring Schedule'!$F$38,$A240&gt;'Recurring Schedule'!$P$38),"",IF(IF('Recurring Schedule'!$N$38&gt;0,MOD($A240-'Recurring Schedule'!$F$38,'Recurring Schedule'!$N$38)=0,IF('Recurring Schedule'!$O$38&gt;0,AND(DAY($A240)=MIN(DAY('Recurring Schedule'!$F$38),DAY(EOMONTH($A240,0))),MOD((YEAR($A240)-YEAR('Recurring Schedule'!$F$38))*12+MONTH($A240)-MONTH('Recurring Schedule'!$F$38),'Recurring Schedule'!$O$38)=0),IF('Recurring Schedule'!$E$38="Weekdays",WEEKDAY($A240,2)&lt;=5,$A240='Recurring Schedule'!$F$38))),33,""))))</f>
        <v/>
      </c>
      <c r="AI240">
        <f>IF('Recurring Schedule'!$C$39="","",IF('Recurring Schedule'!$F$39="","",IF(OR($A240&lt;'Recurring Schedule'!$F$39,$A240&gt;'Recurring Schedule'!$P$39),"",IF(IF('Recurring Schedule'!$N$39&gt;0,MOD($A240-'Recurring Schedule'!$F$39,'Recurring Schedule'!$N$39)=0,IF('Recurring Schedule'!$O$39&gt;0,AND(DAY($A240)=MIN(DAY('Recurring Schedule'!$F$39),DAY(EOMONTH($A240,0))),MOD((YEAR($A240)-YEAR('Recurring Schedule'!$F$39))*12+MONTH($A240)-MONTH('Recurring Schedule'!$F$39),'Recurring Schedule'!$O$39)=0),IF('Recurring Schedule'!$E$39="Weekdays",WEEKDAY($A240,2)&lt;=5,$A240='Recurring Schedule'!$F$39))),34,""))))</f>
        <v/>
      </c>
      <c r="AJ240">
        <f>IF('Recurring Schedule'!$C$40="","",IF('Recurring Schedule'!$F$40="","",IF(OR($A240&lt;'Recurring Schedule'!$F$40,$A240&gt;'Recurring Schedule'!$P$40),"",IF(IF('Recurring Schedule'!$N$40&gt;0,MOD($A240-'Recurring Schedule'!$F$40,'Recurring Schedule'!$N$40)=0,IF('Recurring Schedule'!$O$40&gt;0,AND(DAY($A240)=MIN(DAY('Recurring Schedule'!$F$40),DAY(EOMONTH($A240,0))),MOD((YEAR($A240)-YEAR('Recurring Schedule'!$F$40))*12+MONTH($A240)-MONTH('Recurring Schedule'!$F$40),'Recurring Schedule'!$O$40)=0),IF('Recurring Schedule'!$E$40="Weekdays",WEEKDAY($A240,2)&lt;=5,$A240='Recurring Schedule'!$F$40))),35,""))))</f>
        <v/>
      </c>
      <c r="AK240">
        <f>IF('Recurring Schedule'!$C$41="","",IF('Recurring Schedule'!$F$41="","",IF(OR($A240&lt;'Recurring Schedule'!$F$41,$A240&gt;'Recurring Schedule'!$P$41),"",IF(IF('Recurring Schedule'!$N$41&gt;0,MOD($A240-'Recurring Schedule'!$F$41,'Recurring Schedule'!$N$41)=0,IF('Recurring Schedule'!$O$41&gt;0,AND(DAY($A240)=MIN(DAY('Recurring Schedule'!$F$41),DAY(EOMONTH($A240,0))),MOD((YEAR($A240)-YEAR('Recurring Schedule'!$F$41))*12+MONTH($A240)-MONTH('Recurring Schedule'!$F$41),'Recurring Schedule'!$O$41)=0),IF('Recurring Schedule'!$E$41="Weekdays",WEEKDAY($A240,2)&lt;=5,$A240='Recurring Schedule'!$F$41))),36,""))))</f>
        <v/>
      </c>
      <c r="AL240">
        <f>IF('Recurring Schedule'!$C$42="","",IF('Recurring Schedule'!$F$42="","",IF(OR($A240&lt;'Recurring Schedule'!$F$42,$A240&gt;'Recurring Schedule'!$P$42),"",IF(IF('Recurring Schedule'!$N$42&gt;0,MOD($A240-'Recurring Schedule'!$F$42,'Recurring Schedule'!$N$42)=0,IF('Recurring Schedule'!$O$42&gt;0,AND(DAY($A240)=MIN(DAY('Recurring Schedule'!$F$42),DAY(EOMONTH($A240,0))),MOD((YEAR($A240)-YEAR('Recurring Schedule'!$F$42))*12+MONTH($A240)-MONTH('Recurring Schedule'!$F$42),'Recurring Schedule'!$O$42)=0),IF('Recurring Schedule'!$E$42="Weekdays",WEEKDAY($A240,2)&lt;=5,$A240='Recurring Schedule'!$F$42))),37,""))))</f>
        <v/>
      </c>
      <c r="AM240">
        <f>IF('Recurring Schedule'!$C$43="","",IF('Recurring Schedule'!$F$43="","",IF(OR($A240&lt;'Recurring Schedule'!$F$43,$A240&gt;'Recurring Schedule'!$P$43),"",IF(IF('Recurring Schedule'!$N$43&gt;0,MOD($A240-'Recurring Schedule'!$F$43,'Recurring Schedule'!$N$43)=0,IF('Recurring Schedule'!$O$43&gt;0,AND(DAY($A240)=MIN(DAY('Recurring Schedule'!$F$43),DAY(EOMONTH($A240,0))),MOD((YEAR($A240)-YEAR('Recurring Schedule'!$F$43))*12+MONTH($A240)-MONTH('Recurring Schedule'!$F$43),'Recurring Schedule'!$O$43)=0),IF('Recurring Schedule'!$E$43="Weekdays",WEEKDAY($A240,2)&lt;=5,$A240='Recurring Schedule'!$F$43))),38,""))))</f>
        <v/>
      </c>
      <c r="AN240">
        <f>IF('Recurring Schedule'!$C$44="","",IF('Recurring Schedule'!$F$44="","",IF(OR($A240&lt;'Recurring Schedule'!$F$44,$A240&gt;'Recurring Schedule'!$P$44),"",IF(IF('Recurring Schedule'!$N$44&gt;0,MOD($A240-'Recurring Schedule'!$F$44,'Recurring Schedule'!$N$44)=0,IF('Recurring Schedule'!$O$44&gt;0,AND(DAY($A240)=MIN(DAY('Recurring Schedule'!$F$44),DAY(EOMONTH($A240,0))),MOD((YEAR($A240)-YEAR('Recurring Schedule'!$F$44))*12+MONTH($A240)-MONTH('Recurring Schedule'!$F$44),'Recurring Schedule'!$O$44)=0),IF('Recurring Schedule'!$E$44="Weekdays",WEEKDAY($A240,2)&lt;=5,$A240='Recurring Schedule'!$F$44))),39,""))))</f>
        <v/>
      </c>
      <c r="AO240">
        <f>IF('Recurring Schedule'!$C$45="","",IF('Recurring Schedule'!$F$45="","",IF(OR($A240&lt;'Recurring Schedule'!$F$45,$A240&gt;'Recurring Schedule'!$P$45),"",IF(IF('Recurring Schedule'!$N$45&gt;0,MOD($A240-'Recurring Schedule'!$F$45,'Recurring Schedule'!$N$45)=0,IF('Recurring Schedule'!$O$45&gt;0,AND(DAY($A240)=MIN(DAY('Recurring Schedule'!$F$45),DAY(EOMONTH($A240,0))),MOD((YEAR($A240)-YEAR('Recurring Schedule'!$F$45))*12+MONTH($A240)-MONTH('Recurring Schedule'!$F$45),'Recurring Schedule'!$O$45)=0),IF('Recurring Schedule'!$E$45="Weekdays",WEEKDAY($A240,2)&lt;=5,$A240='Recurring Schedule'!$F$45))),40,""))))</f>
        <v/>
      </c>
      <c r="AP240">
        <f>COUNT(B240:AO240)</f>
        <v/>
      </c>
      <c r="AQ240">
        <f>AQ239+AP239</f>
        <v/>
      </c>
      <c r="AS240" t="inlineStr">
        <is>
          <t>R</t>
        </is>
      </c>
      <c r="AT240" t="n">
        <v>244</v>
      </c>
      <c r="AU240">
        <f>'Recurring Log'!C244&amp;""</f>
        <v/>
      </c>
      <c r="AV240">
        <f>'Recurring Log'!D244&amp;""</f>
        <v/>
      </c>
      <c r="AW240">
        <f>IF('Recurring Log'!E244="","",'Recurring Log'!E244)</f>
        <v/>
      </c>
      <c r="AX240">
        <f>IF('Recurring Log'!G244="","",'Recurring Log'!G244)</f>
        <v/>
      </c>
      <c r="AY240">
        <f>IF('Recurring Log'!H244="","",'Recurring Log'!H244)</f>
        <v/>
      </c>
      <c r="AZ240">
        <f>IF(AU240="","",IF('Recurring Log'!J244="","Not Started",'Recurring Log'!J244))</f>
        <v/>
      </c>
      <c r="BA240">
        <f>'Recurring Log'!L244&amp;""</f>
        <v/>
      </c>
      <c r="BB240">
        <f>'Recurring Log'!M244&amp;""</f>
        <v/>
      </c>
      <c r="BC240">
        <f>'Recurring Log'!N244&amp;""</f>
        <v/>
      </c>
      <c r="BD240">
        <f>'Recurring Log'!O244&amp;""</f>
        <v/>
      </c>
      <c r="BE240">
        <f>IF('Recurring Log'!K244="","",'Recurring Log'!K244)</f>
        <v/>
      </c>
      <c r="BF240">
        <f>IFERROR(MATCH(BA240,Setup!$L$6:$L$9,0),5)</f>
        <v/>
      </c>
      <c r="BG240">
        <f>IF(OR(AZ240="Done",AZ240="Cancelled"),1,0)</f>
        <v/>
      </c>
      <c r="BH240">
        <f>IF(AND(AU240&lt;&gt;"",ISNUMBER(AW240)),1,0)</f>
        <v/>
      </c>
      <c r="BI240">
        <f>IF(BH240=0,0,IF(AND(AW240&gt;='Tasks Filter'!$F$3,AW240&lt;='Tasks Filter'!$F$4,OR('Tasks Filter'!$I$3="",ISNUMBER(SEARCH('Tasks Filter'!$I$3,AU240))),OR('Tasks Filter'!$I$4="",BF240=IFERROR(MATCH('Tasks Filter'!$I$4,Setup!$L$6:$L$9,0),0)),OR('Tasks Filter'!$I$5="Both",AND('Tasks Filter'!$I$5="Yes",BB240="✓"),AND('Tasks Filter'!$I$5="No",BB240&lt;&gt;"✓")),OR('Tasks Filter'!$L$3="",AV240='Tasks Filter'!$L$3),OR('Tasks Filter'!$L$4="",AZ240='Tasks Filter'!$L$4),OR('Tasks Filter'!$L$5="",BC240='Tasks Filter'!$L$5),OR('Tasks Filter'!$O$3="",BD240='Tasks Filter'!$O$3),OR('Tasks Filter'!$O$4="Yes",BG240=0)),1,0))</f>
        <v/>
      </c>
      <c r="BJ240">
        <f>IF(BH240=0,"",IF('Tasks Filter'!$F$6="Descending",-1,1)*CHOOSE(MATCH('Tasks Filter'!$F$5,Lists!$G$2:$G$6,0),AW240,BF240,IFERROR(MATCH(AV240,Setup!$F$6:$F$15,0),99),IFERROR(MATCH(BC240,Setup!$H$6:$H$15,0),99),IFERROR(MATCH(AZ240,Setup!$J$6:$J$11,0),99))*1E+9+(AW240-40000)*10000+239)</f>
        <v/>
      </c>
      <c r="BK240">
        <f>IF(BI240=1,BJ240,"")</f>
        <v/>
      </c>
      <c r="BL240">
        <f>IF(AND(BH240=1,BG240=0,N(AW240)&lt;Setup!$D$7),(AW240-40000)*10000+239,"")</f>
        <v/>
      </c>
      <c r="BM240">
        <f>IF(AND(BH240=1,AZ240&lt;&gt;"Cancelled",N(AW240)&gt;=Dashboard!$AB$3,N(AW240)&lt;=Dashboard!$AB$3+6),(AW240-40000)*100000+BF240*10000+239,"")</f>
        <v/>
      </c>
      <c r="BN240">
        <f>IF(AND(BH240=1,AZ240&lt;&gt;"Cancelled"),BF240*10000+239,"")</f>
        <v/>
      </c>
    </row>
    <row r="241">
      <c r="A241">
        <f>Setup!$D$5+239</f>
        <v/>
      </c>
      <c r="B241">
        <f>IF('Recurring Schedule'!$C$6="","",IF('Recurring Schedule'!$F$6="","",IF(OR($A241&lt;'Recurring Schedule'!$F$6,$A241&gt;'Recurring Schedule'!$P$6),"",IF(IF('Recurring Schedule'!$N$6&gt;0,MOD($A241-'Recurring Schedule'!$F$6,'Recurring Schedule'!$N$6)=0,IF('Recurring Schedule'!$O$6&gt;0,AND(DAY($A241)=MIN(DAY('Recurring Schedule'!$F$6),DAY(EOMONTH($A241,0))),MOD((YEAR($A241)-YEAR('Recurring Schedule'!$F$6))*12+MONTH($A241)-MONTH('Recurring Schedule'!$F$6),'Recurring Schedule'!$O$6)=0),IF('Recurring Schedule'!$E$6="Weekdays",WEEKDAY($A241,2)&lt;=5,$A241='Recurring Schedule'!$F$6))),1,""))))</f>
        <v/>
      </c>
      <c r="C241">
        <f>IF('Recurring Schedule'!$C$7="","",IF('Recurring Schedule'!$F$7="","",IF(OR($A241&lt;'Recurring Schedule'!$F$7,$A241&gt;'Recurring Schedule'!$P$7),"",IF(IF('Recurring Schedule'!$N$7&gt;0,MOD($A241-'Recurring Schedule'!$F$7,'Recurring Schedule'!$N$7)=0,IF('Recurring Schedule'!$O$7&gt;0,AND(DAY($A241)=MIN(DAY('Recurring Schedule'!$F$7),DAY(EOMONTH($A241,0))),MOD((YEAR($A241)-YEAR('Recurring Schedule'!$F$7))*12+MONTH($A241)-MONTH('Recurring Schedule'!$F$7),'Recurring Schedule'!$O$7)=0),IF('Recurring Schedule'!$E$7="Weekdays",WEEKDAY($A241,2)&lt;=5,$A241='Recurring Schedule'!$F$7))),2,""))))</f>
        <v/>
      </c>
      <c r="D241">
        <f>IF('Recurring Schedule'!$C$8="","",IF('Recurring Schedule'!$F$8="","",IF(OR($A241&lt;'Recurring Schedule'!$F$8,$A241&gt;'Recurring Schedule'!$P$8),"",IF(IF('Recurring Schedule'!$N$8&gt;0,MOD($A241-'Recurring Schedule'!$F$8,'Recurring Schedule'!$N$8)=0,IF('Recurring Schedule'!$O$8&gt;0,AND(DAY($A241)=MIN(DAY('Recurring Schedule'!$F$8),DAY(EOMONTH($A241,0))),MOD((YEAR($A241)-YEAR('Recurring Schedule'!$F$8))*12+MONTH($A241)-MONTH('Recurring Schedule'!$F$8),'Recurring Schedule'!$O$8)=0),IF('Recurring Schedule'!$E$8="Weekdays",WEEKDAY($A241,2)&lt;=5,$A241='Recurring Schedule'!$F$8))),3,""))))</f>
        <v/>
      </c>
      <c r="E241">
        <f>IF('Recurring Schedule'!$C$9="","",IF('Recurring Schedule'!$F$9="","",IF(OR($A241&lt;'Recurring Schedule'!$F$9,$A241&gt;'Recurring Schedule'!$P$9),"",IF(IF('Recurring Schedule'!$N$9&gt;0,MOD($A241-'Recurring Schedule'!$F$9,'Recurring Schedule'!$N$9)=0,IF('Recurring Schedule'!$O$9&gt;0,AND(DAY($A241)=MIN(DAY('Recurring Schedule'!$F$9),DAY(EOMONTH($A241,0))),MOD((YEAR($A241)-YEAR('Recurring Schedule'!$F$9))*12+MONTH($A241)-MONTH('Recurring Schedule'!$F$9),'Recurring Schedule'!$O$9)=0),IF('Recurring Schedule'!$E$9="Weekdays",WEEKDAY($A241,2)&lt;=5,$A241='Recurring Schedule'!$F$9))),4,""))))</f>
        <v/>
      </c>
      <c r="F241">
        <f>IF('Recurring Schedule'!$C$10="","",IF('Recurring Schedule'!$F$10="","",IF(OR($A241&lt;'Recurring Schedule'!$F$10,$A241&gt;'Recurring Schedule'!$P$10),"",IF(IF('Recurring Schedule'!$N$10&gt;0,MOD($A241-'Recurring Schedule'!$F$10,'Recurring Schedule'!$N$10)=0,IF('Recurring Schedule'!$O$10&gt;0,AND(DAY($A241)=MIN(DAY('Recurring Schedule'!$F$10),DAY(EOMONTH($A241,0))),MOD((YEAR($A241)-YEAR('Recurring Schedule'!$F$10))*12+MONTH($A241)-MONTH('Recurring Schedule'!$F$10),'Recurring Schedule'!$O$10)=0),IF('Recurring Schedule'!$E$10="Weekdays",WEEKDAY($A241,2)&lt;=5,$A241='Recurring Schedule'!$F$10))),5,""))))</f>
        <v/>
      </c>
      <c r="G241">
        <f>IF('Recurring Schedule'!$C$11="","",IF('Recurring Schedule'!$F$11="","",IF(OR($A241&lt;'Recurring Schedule'!$F$11,$A241&gt;'Recurring Schedule'!$P$11),"",IF(IF('Recurring Schedule'!$N$11&gt;0,MOD($A241-'Recurring Schedule'!$F$11,'Recurring Schedule'!$N$11)=0,IF('Recurring Schedule'!$O$11&gt;0,AND(DAY($A241)=MIN(DAY('Recurring Schedule'!$F$11),DAY(EOMONTH($A241,0))),MOD((YEAR($A241)-YEAR('Recurring Schedule'!$F$11))*12+MONTH($A241)-MONTH('Recurring Schedule'!$F$11),'Recurring Schedule'!$O$11)=0),IF('Recurring Schedule'!$E$11="Weekdays",WEEKDAY($A241,2)&lt;=5,$A241='Recurring Schedule'!$F$11))),6,""))))</f>
        <v/>
      </c>
      <c r="H241">
        <f>IF('Recurring Schedule'!$C$12="","",IF('Recurring Schedule'!$F$12="","",IF(OR($A241&lt;'Recurring Schedule'!$F$12,$A241&gt;'Recurring Schedule'!$P$12),"",IF(IF('Recurring Schedule'!$N$12&gt;0,MOD($A241-'Recurring Schedule'!$F$12,'Recurring Schedule'!$N$12)=0,IF('Recurring Schedule'!$O$12&gt;0,AND(DAY($A241)=MIN(DAY('Recurring Schedule'!$F$12),DAY(EOMONTH($A241,0))),MOD((YEAR($A241)-YEAR('Recurring Schedule'!$F$12))*12+MONTH($A241)-MONTH('Recurring Schedule'!$F$12),'Recurring Schedule'!$O$12)=0),IF('Recurring Schedule'!$E$12="Weekdays",WEEKDAY($A241,2)&lt;=5,$A241='Recurring Schedule'!$F$12))),7,""))))</f>
        <v/>
      </c>
      <c r="I241">
        <f>IF('Recurring Schedule'!$C$13="","",IF('Recurring Schedule'!$F$13="","",IF(OR($A241&lt;'Recurring Schedule'!$F$13,$A241&gt;'Recurring Schedule'!$P$13),"",IF(IF('Recurring Schedule'!$N$13&gt;0,MOD($A241-'Recurring Schedule'!$F$13,'Recurring Schedule'!$N$13)=0,IF('Recurring Schedule'!$O$13&gt;0,AND(DAY($A241)=MIN(DAY('Recurring Schedule'!$F$13),DAY(EOMONTH($A241,0))),MOD((YEAR($A241)-YEAR('Recurring Schedule'!$F$13))*12+MONTH($A241)-MONTH('Recurring Schedule'!$F$13),'Recurring Schedule'!$O$13)=0),IF('Recurring Schedule'!$E$13="Weekdays",WEEKDAY($A241,2)&lt;=5,$A241='Recurring Schedule'!$F$13))),8,""))))</f>
        <v/>
      </c>
      <c r="J241">
        <f>IF('Recurring Schedule'!$C$14="","",IF('Recurring Schedule'!$F$14="","",IF(OR($A241&lt;'Recurring Schedule'!$F$14,$A241&gt;'Recurring Schedule'!$P$14),"",IF(IF('Recurring Schedule'!$N$14&gt;0,MOD($A241-'Recurring Schedule'!$F$14,'Recurring Schedule'!$N$14)=0,IF('Recurring Schedule'!$O$14&gt;0,AND(DAY($A241)=MIN(DAY('Recurring Schedule'!$F$14),DAY(EOMONTH($A241,0))),MOD((YEAR($A241)-YEAR('Recurring Schedule'!$F$14))*12+MONTH($A241)-MONTH('Recurring Schedule'!$F$14),'Recurring Schedule'!$O$14)=0),IF('Recurring Schedule'!$E$14="Weekdays",WEEKDAY($A241,2)&lt;=5,$A241='Recurring Schedule'!$F$14))),9,""))))</f>
        <v/>
      </c>
      <c r="K241">
        <f>IF('Recurring Schedule'!$C$15="","",IF('Recurring Schedule'!$F$15="","",IF(OR($A241&lt;'Recurring Schedule'!$F$15,$A241&gt;'Recurring Schedule'!$P$15),"",IF(IF('Recurring Schedule'!$N$15&gt;0,MOD($A241-'Recurring Schedule'!$F$15,'Recurring Schedule'!$N$15)=0,IF('Recurring Schedule'!$O$15&gt;0,AND(DAY($A241)=MIN(DAY('Recurring Schedule'!$F$15),DAY(EOMONTH($A241,0))),MOD((YEAR($A241)-YEAR('Recurring Schedule'!$F$15))*12+MONTH($A241)-MONTH('Recurring Schedule'!$F$15),'Recurring Schedule'!$O$15)=0),IF('Recurring Schedule'!$E$15="Weekdays",WEEKDAY($A241,2)&lt;=5,$A241='Recurring Schedule'!$F$15))),10,""))))</f>
        <v/>
      </c>
      <c r="L241">
        <f>IF('Recurring Schedule'!$C$16="","",IF('Recurring Schedule'!$F$16="","",IF(OR($A241&lt;'Recurring Schedule'!$F$16,$A241&gt;'Recurring Schedule'!$P$16),"",IF(IF('Recurring Schedule'!$N$16&gt;0,MOD($A241-'Recurring Schedule'!$F$16,'Recurring Schedule'!$N$16)=0,IF('Recurring Schedule'!$O$16&gt;0,AND(DAY($A241)=MIN(DAY('Recurring Schedule'!$F$16),DAY(EOMONTH($A241,0))),MOD((YEAR($A241)-YEAR('Recurring Schedule'!$F$16))*12+MONTH($A241)-MONTH('Recurring Schedule'!$F$16),'Recurring Schedule'!$O$16)=0),IF('Recurring Schedule'!$E$16="Weekdays",WEEKDAY($A241,2)&lt;=5,$A241='Recurring Schedule'!$F$16))),11,""))))</f>
        <v/>
      </c>
      <c r="M241">
        <f>IF('Recurring Schedule'!$C$17="","",IF('Recurring Schedule'!$F$17="","",IF(OR($A241&lt;'Recurring Schedule'!$F$17,$A241&gt;'Recurring Schedule'!$P$17),"",IF(IF('Recurring Schedule'!$N$17&gt;0,MOD($A241-'Recurring Schedule'!$F$17,'Recurring Schedule'!$N$17)=0,IF('Recurring Schedule'!$O$17&gt;0,AND(DAY($A241)=MIN(DAY('Recurring Schedule'!$F$17),DAY(EOMONTH($A241,0))),MOD((YEAR($A241)-YEAR('Recurring Schedule'!$F$17))*12+MONTH($A241)-MONTH('Recurring Schedule'!$F$17),'Recurring Schedule'!$O$17)=0),IF('Recurring Schedule'!$E$17="Weekdays",WEEKDAY($A241,2)&lt;=5,$A241='Recurring Schedule'!$F$17))),12,""))))</f>
        <v/>
      </c>
      <c r="N241">
        <f>IF('Recurring Schedule'!$C$18="","",IF('Recurring Schedule'!$F$18="","",IF(OR($A241&lt;'Recurring Schedule'!$F$18,$A241&gt;'Recurring Schedule'!$P$18),"",IF(IF('Recurring Schedule'!$N$18&gt;0,MOD($A241-'Recurring Schedule'!$F$18,'Recurring Schedule'!$N$18)=0,IF('Recurring Schedule'!$O$18&gt;0,AND(DAY($A241)=MIN(DAY('Recurring Schedule'!$F$18),DAY(EOMONTH($A241,0))),MOD((YEAR($A241)-YEAR('Recurring Schedule'!$F$18))*12+MONTH($A241)-MONTH('Recurring Schedule'!$F$18),'Recurring Schedule'!$O$18)=0),IF('Recurring Schedule'!$E$18="Weekdays",WEEKDAY($A241,2)&lt;=5,$A241='Recurring Schedule'!$F$18))),13,""))))</f>
        <v/>
      </c>
      <c r="O241">
        <f>IF('Recurring Schedule'!$C$19="","",IF('Recurring Schedule'!$F$19="","",IF(OR($A241&lt;'Recurring Schedule'!$F$19,$A241&gt;'Recurring Schedule'!$P$19),"",IF(IF('Recurring Schedule'!$N$19&gt;0,MOD($A241-'Recurring Schedule'!$F$19,'Recurring Schedule'!$N$19)=0,IF('Recurring Schedule'!$O$19&gt;0,AND(DAY($A241)=MIN(DAY('Recurring Schedule'!$F$19),DAY(EOMONTH($A241,0))),MOD((YEAR($A241)-YEAR('Recurring Schedule'!$F$19))*12+MONTH($A241)-MONTH('Recurring Schedule'!$F$19),'Recurring Schedule'!$O$19)=0),IF('Recurring Schedule'!$E$19="Weekdays",WEEKDAY($A241,2)&lt;=5,$A241='Recurring Schedule'!$F$19))),14,""))))</f>
        <v/>
      </c>
      <c r="P241">
        <f>IF('Recurring Schedule'!$C$20="","",IF('Recurring Schedule'!$F$20="","",IF(OR($A241&lt;'Recurring Schedule'!$F$20,$A241&gt;'Recurring Schedule'!$P$20),"",IF(IF('Recurring Schedule'!$N$20&gt;0,MOD($A241-'Recurring Schedule'!$F$20,'Recurring Schedule'!$N$20)=0,IF('Recurring Schedule'!$O$20&gt;0,AND(DAY($A241)=MIN(DAY('Recurring Schedule'!$F$20),DAY(EOMONTH($A241,0))),MOD((YEAR($A241)-YEAR('Recurring Schedule'!$F$20))*12+MONTH($A241)-MONTH('Recurring Schedule'!$F$20),'Recurring Schedule'!$O$20)=0),IF('Recurring Schedule'!$E$20="Weekdays",WEEKDAY($A241,2)&lt;=5,$A241='Recurring Schedule'!$F$20))),15,""))))</f>
        <v/>
      </c>
      <c r="Q241">
        <f>IF('Recurring Schedule'!$C$21="","",IF('Recurring Schedule'!$F$21="","",IF(OR($A241&lt;'Recurring Schedule'!$F$21,$A241&gt;'Recurring Schedule'!$P$21),"",IF(IF('Recurring Schedule'!$N$21&gt;0,MOD($A241-'Recurring Schedule'!$F$21,'Recurring Schedule'!$N$21)=0,IF('Recurring Schedule'!$O$21&gt;0,AND(DAY($A241)=MIN(DAY('Recurring Schedule'!$F$21),DAY(EOMONTH($A241,0))),MOD((YEAR($A241)-YEAR('Recurring Schedule'!$F$21))*12+MONTH($A241)-MONTH('Recurring Schedule'!$F$21),'Recurring Schedule'!$O$21)=0),IF('Recurring Schedule'!$E$21="Weekdays",WEEKDAY($A241,2)&lt;=5,$A241='Recurring Schedule'!$F$21))),16,""))))</f>
        <v/>
      </c>
      <c r="R241">
        <f>IF('Recurring Schedule'!$C$22="","",IF('Recurring Schedule'!$F$22="","",IF(OR($A241&lt;'Recurring Schedule'!$F$22,$A241&gt;'Recurring Schedule'!$P$22),"",IF(IF('Recurring Schedule'!$N$22&gt;0,MOD($A241-'Recurring Schedule'!$F$22,'Recurring Schedule'!$N$22)=0,IF('Recurring Schedule'!$O$22&gt;0,AND(DAY($A241)=MIN(DAY('Recurring Schedule'!$F$22),DAY(EOMONTH($A241,0))),MOD((YEAR($A241)-YEAR('Recurring Schedule'!$F$22))*12+MONTH($A241)-MONTH('Recurring Schedule'!$F$22),'Recurring Schedule'!$O$22)=0),IF('Recurring Schedule'!$E$22="Weekdays",WEEKDAY($A241,2)&lt;=5,$A241='Recurring Schedule'!$F$22))),17,""))))</f>
        <v/>
      </c>
      <c r="S241">
        <f>IF('Recurring Schedule'!$C$23="","",IF('Recurring Schedule'!$F$23="","",IF(OR($A241&lt;'Recurring Schedule'!$F$23,$A241&gt;'Recurring Schedule'!$P$23),"",IF(IF('Recurring Schedule'!$N$23&gt;0,MOD($A241-'Recurring Schedule'!$F$23,'Recurring Schedule'!$N$23)=0,IF('Recurring Schedule'!$O$23&gt;0,AND(DAY($A241)=MIN(DAY('Recurring Schedule'!$F$23),DAY(EOMONTH($A241,0))),MOD((YEAR($A241)-YEAR('Recurring Schedule'!$F$23))*12+MONTH($A241)-MONTH('Recurring Schedule'!$F$23),'Recurring Schedule'!$O$23)=0),IF('Recurring Schedule'!$E$23="Weekdays",WEEKDAY($A241,2)&lt;=5,$A241='Recurring Schedule'!$F$23))),18,""))))</f>
        <v/>
      </c>
      <c r="T241">
        <f>IF('Recurring Schedule'!$C$24="","",IF('Recurring Schedule'!$F$24="","",IF(OR($A241&lt;'Recurring Schedule'!$F$24,$A241&gt;'Recurring Schedule'!$P$24),"",IF(IF('Recurring Schedule'!$N$24&gt;0,MOD($A241-'Recurring Schedule'!$F$24,'Recurring Schedule'!$N$24)=0,IF('Recurring Schedule'!$O$24&gt;0,AND(DAY($A241)=MIN(DAY('Recurring Schedule'!$F$24),DAY(EOMONTH($A241,0))),MOD((YEAR($A241)-YEAR('Recurring Schedule'!$F$24))*12+MONTH($A241)-MONTH('Recurring Schedule'!$F$24),'Recurring Schedule'!$O$24)=0),IF('Recurring Schedule'!$E$24="Weekdays",WEEKDAY($A241,2)&lt;=5,$A241='Recurring Schedule'!$F$24))),19,""))))</f>
        <v/>
      </c>
      <c r="U241">
        <f>IF('Recurring Schedule'!$C$25="","",IF('Recurring Schedule'!$F$25="","",IF(OR($A241&lt;'Recurring Schedule'!$F$25,$A241&gt;'Recurring Schedule'!$P$25),"",IF(IF('Recurring Schedule'!$N$25&gt;0,MOD($A241-'Recurring Schedule'!$F$25,'Recurring Schedule'!$N$25)=0,IF('Recurring Schedule'!$O$25&gt;0,AND(DAY($A241)=MIN(DAY('Recurring Schedule'!$F$25),DAY(EOMONTH($A241,0))),MOD((YEAR($A241)-YEAR('Recurring Schedule'!$F$25))*12+MONTH($A241)-MONTH('Recurring Schedule'!$F$25),'Recurring Schedule'!$O$25)=0),IF('Recurring Schedule'!$E$25="Weekdays",WEEKDAY($A241,2)&lt;=5,$A241='Recurring Schedule'!$F$25))),20,""))))</f>
        <v/>
      </c>
      <c r="V241">
        <f>IF('Recurring Schedule'!$C$26="","",IF('Recurring Schedule'!$F$26="","",IF(OR($A241&lt;'Recurring Schedule'!$F$26,$A241&gt;'Recurring Schedule'!$P$26),"",IF(IF('Recurring Schedule'!$N$26&gt;0,MOD($A241-'Recurring Schedule'!$F$26,'Recurring Schedule'!$N$26)=0,IF('Recurring Schedule'!$O$26&gt;0,AND(DAY($A241)=MIN(DAY('Recurring Schedule'!$F$26),DAY(EOMONTH($A241,0))),MOD((YEAR($A241)-YEAR('Recurring Schedule'!$F$26))*12+MONTH($A241)-MONTH('Recurring Schedule'!$F$26),'Recurring Schedule'!$O$26)=0),IF('Recurring Schedule'!$E$26="Weekdays",WEEKDAY($A241,2)&lt;=5,$A241='Recurring Schedule'!$F$26))),21,""))))</f>
        <v/>
      </c>
      <c r="W241">
        <f>IF('Recurring Schedule'!$C$27="","",IF('Recurring Schedule'!$F$27="","",IF(OR($A241&lt;'Recurring Schedule'!$F$27,$A241&gt;'Recurring Schedule'!$P$27),"",IF(IF('Recurring Schedule'!$N$27&gt;0,MOD($A241-'Recurring Schedule'!$F$27,'Recurring Schedule'!$N$27)=0,IF('Recurring Schedule'!$O$27&gt;0,AND(DAY($A241)=MIN(DAY('Recurring Schedule'!$F$27),DAY(EOMONTH($A241,0))),MOD((YEAR($A241)-YEAR('Recurring Schedule'!$F$27))*12+MONTH($A241)-MONTH('Recurring Schedule'!$F$27),'Recurring Schedule'!$O$27)=0),IF('Recurring Schedule'!$E$27="Weekdays",WEEKDAY($A241,2)&lt;=5,$A241='Recurring Schedule'!$F$27))),22,""))))</f>
        <v/>
      </c>
      <c r="X241">
        <f>IF('Recurring Schedule'!$C$28="","",IF('Recurring Schedule'!$F$28="","",IF(OR($A241&lt;'Recurring Schedule'!$F$28,$A241&gt;'Recurring Schedule'!$P$28),"",IF(IF('Recurring Schedule'!$N$28&gt;0,MOD($A241-'Recurring Schedule'!$F$28,'Recurring Schedule'!$N$28)=0,IF('Recurring Schedule'!$O$28&gt;0,AND(DAY($A241)=MIN(DAY('Recurring Schedule'!$F$28),DAY(EOMONTH($A241,0))),MOD((YEAR($A241)-YEAR('Recurring Schedule'!$F$28))*12+MONTH($A241)-MONTH('Recurring Schedule'!$F$28),'Recurring Schedule'!$O$28)=0),IF('Recurring Schedule'!$E$28="Weekdays",WEEKDAY($A241,2)&lt;=5,$A241='Recurring Schedule'!$F$28))),23,""))))</f>
        <v/>
      </c>
      <c r="Y241">
        <f>IF('Recurring Schedule'!$C$29="","",IF('Recurring Schedule'!$F$29="","",IF(OR($A241&lt;'Recurring Schedule'!$F$29,$A241&gt;'Recurring Schedule'!$P$29),"",IF(IF('Recurring Schedule'!$N$29&gt;0,MOD($A241-'Recurring Schedule'!$F$29,'Recurring Schedule'!$N$29)=0,IF('Recurring Schedule'!$O$29&gt;0,AND(DAY($A241)=MIN(DAY('Recurring Schedule'!$F$29),DAY(EOMONTH($A241,0))),MOD((YEAR($A241)-YEAR('Recurring Schedule'!$F$29))*12+MONTH($A241)-MONTH('Recurring Schedule'!$F$29),'Recurring Schedule'!$O$29)=0),IF('Recurring Schedule'!$E$29="Weekdays",WEEKDAY($A241,2)&lt;=5,$A241='Recurring Schedule'!$F$29))),24,""))))</f>
        <v/>
      </c>
      <c r="Z241">
        <f>IF('Recurring Schedule'!$C$30="","",IF('Recurring Schedule'!$F$30="","",IF(OR($A241&lt;'Recurring Schedule'!$F$30,$A241&gt;'Recurring Schedule'!$P$30),"",IF(IF('Recurring Schedule'!$N$30&gt;0,MOD($A241-'Recurring Schedule'!$F$30,'Recurring Schedule'!$N$30)=0,IF('Recurring Schedule'!$O$30&gt;0,AND(DAY($A241)=MIN(DAY('Recurring Schedule'!$F$30),DAY(EOMONTH($A241,0))),MOD((YEAR($A241)-YEAR('Recurring Schedule'!$F$30))*12+MONTH($A241)-MONTH('Recurring Schedule'!$F$30),'Recurring Schedule'!$O$30)=0),IF('Recurring Schedule'!$E$30="Weekdays",WEEKDAY($A241,2)&lt;=5,$A241='Recurring Schedule'!$F$30))),25,""))))</f>
        <v/>
      </c>
      <c r="AA241">
        <f>IF('Recurring Schedule'!$C$31="","",IF('Recurring Schedule'!$F$31="","",IF(OR($A241&lt;'Recurring Schedule'!$F$31,$A241&gt;'Recurring Schedule'!$P$31),"",IF(IF('Recurring Schedule'!$N$31&gt;0,MOD($A241-'Recurring Schedule'!$F$31,'Recurring Schedule'!$N$31)=0,IF('Recurring Schedule'!$O$31&gt;0,AND(DAY($A241)=MIN(DAY('Recurring Schedule'!$F$31),DAY(EOMONTH($A241,0))),MOD((YEAR($A241)-YEAR('Recurring Schedule'!$F$31))*12+MONTH($A241)-MONTH('Recurring Schedule'!$F$31),'Recurring Schedule'!$O$31)=0),IF('Recurring Schedule'!$E$31="Weekdays",WEEKDAY($A241,2)&lt;=5,$A241='Recurring Schedule'!$F$31))),26,""))))</f>
        <v/>
      </c>
      <c r="AB241">
        <f>IF('Recurring Schedule'!$C$32="","",IF('Recurring Schedule'!$F$32="","",IF(OR($A241&lt;'Recurring Schedule'!$F$32,$A241&gt;'Recurring Schedule'!$P$32),"",IF(IF('Recurring Schedule'!$N$32&gt;0,MOD($A241-'Recurring Schedule'!$F$32,'Recurring Schedule'!$N$32)=0,IF('Recurring Schedule'!$O$32&gt;0,AND(DAY($A241)=MIN(DAY('Recurring Schedule'!$F$32),DAY(EOMONTH($A241,0))),MOD((YEAR($A241)-YEAR('Recurring Schedule'!$F$32))*12+MONTH($A241)-MONTH('Recurring Schedule'!$F$32),'Recurring Schedule'!$O$32)=0),IF('Recurring Schedule'!$E$32="Weekdays",WEEKDAY($A241,2)&lt;=5,$A241='Recurring Schedule'!$F$32))),27,""))))</f>
        <v/>
      </c>
      <c r="AC241">
        <f>IF('Recurring Schedule'!$C$33="","",IF('Recurring Schedule'!$F$33="","",IF(OR($A241&lt;'Recurring Schedule'!$F$33,$A241&gt;'Recurring Schedule'!$P$33),"",IF(IF('Recurring Schedule'!$N$33&gt;0,MOD($A241-'Recurring Schedule'!$F$33,'Recurring Schedule'!$N$33)=0,IF('Recurring Schedule'!$O$33&gt;0,AND(DAY($A241)=MIN(DAY('Recurring Schedule'!$F$33),DAY(EOMONTH($A241,0))),MOD((YEAR($A241)-YEAR('Recurring Schedule'!$F$33))*12+MONTH($A241)-MONTH('Recurring Schedule'!$F$33),'Recurring Schedule'!$O$33)=0),IF('Recurring Schedule'!$E$33="Weekdays",WEEKDAY($A241,2)&lt;=5,$A241='Recurring Schedule'!$F$33))),28,""))))</f>
        <v/>
      </c>
      <c r="AD241">
        <f>IF('Recurring Schedule'!$C$34="","",IF('Recurring Schedule'!$F$34="","",IF(OR($A241&lt;'Recurring Schedule'!$F$34,$A241&gt;'Recurring Schedule'!$P$34),"",IF(IF('Recurring Schedule'!$N$34&gt;0,MOD($A241-'Recurring Schedule'!$F$34,'Recurring Schedule'!$N$34)=0,IF('Recurring Schedule'!$O$34&gt;0,AND(DAY($A241)=MIN(DAY('Recurring Schedule'!$F$34),DAY(EOMONTH($A241,0))),MOD((YEAR($A241)-YEAR('Recurring Schedule'!$F$34))*12+MONTH($A241)-MONTH('Recurring Schedule'!$F$34),'Recurring Schedule'!$O$34)=0),IF('Recurring Schedule'!$E$34="Weekdays",WEEKDAY($A241,2)&lt;=5,$A241='Recurring Schedule'!$F$34))),29,""))))</f>
        <v/>
      </c>
      <c r="AE241">
        <f>IF('Recurring Schedule'!$C$35="","",IF('Recurring Schedule'!$F$35="","",IF(OR($A241&lt;'Recurring Schedule'!$F$35,$A241&gt;'Recurring Schedule'!$P$35),"",IF(IF('Recurring Schedule'!$N$35&gt;0,MOD($A241-'Recurring Schedule'!$F$35,'Recurring Schedule'!$N$35)=0,IF('Recurring Schedule'!$O$35&gt;0,AND(DAY($A241)=MIN(DAY('Recurring Schedule'!$F$35),DAY(EOMONTH($A241,0))),MOD((YEAR($A241)-YEAR('Recurring Schedule'!$F$35))*12+MONTH($A241)-MONTH('Recurring Schedule'!$F$35),'Recurring Schedule'!$O$35)=0),IF('Recurring Schedule'!$E$35="Weekdays",WEEKDAY($A241,2)&lt;=5,$A241='Recurring Schedule'!$F$35))),30,""))))</f>
        <v/>
      </c>
      <c r="AF241">
        <f>IF('Recurring Schedule'!$C$36="","",IF('Recurring Schedule'!$F$36="","",IF(OR($A241&lt;'Recurring Schedule'!$F$36,$A241&gt;'Recurring Schedule'!$P$36),"",IF(IF('Recurring Schedule'!$N$36&gt;0,MOD($A241-'Recurring Schedule'!$F$36,'Recurring Schedule'!$N$36)=0,IF('Recurring Schedule'!$O$36&gt;0,AND(DAY($A241)=MIN(DAY('Recurring Schedule'!$F$36),DAY(EOMONTH($A241,0))),MOD((YEAR($A241)-YEAR('Recurring Schedule'!$F$36))*12+MONTH($A241)-MONTH('Recurring Schedule'!$F$36),'Recurring Schedule'!$O$36)=0),IF('Recurring Schedule'!$E$36="Weekdays",WEEKDAY($A241,2)&lt;=5,$A241='Recurring Schedule'!$F$36))),31,""))))</f>
        <v/>
      </c>
      <c r="AG241">
        <f>IF('Recurring Schedule'!$C$37="","",IF('Recurring Schedule'!$F$37="","",IF(OR($A241&lt;'Recurring Schedule'!$F$37,$A241&gt;'Recurring Schedule'!$P$37),"",IF(IF('Recurring Schedule'!$N$37&gt;0,MOD($A241-'Recurring Schedule'!$F$37,'Recurring Schedule'!$N$37)=0,IF('Recurring Schedule'!$O$37&gt;0,AND(DAY($A241)=MIN(DAY('Recurring Schedule'!$F$37),DAY(EOMONTH($A241,0))),MOD((YEAR($A241)-YEAR('Recurring Schedule'!$F$37))*12+MONTH($A241)-MONTH('Recurring Schedule'!$F$37),'Recurring Schedule'!$O$37)=0),IF('Recurring Schedule'!$E$37="Weekdays",WEEKDAY($A241,2)&lt;=5,$A241='Recurring Schedule'!$F$37))),32,""))))</f>
        <v/>
      </c>
      <c r="AH241">
        <f>IF('Recurring Schedule'!$C$38="","",IF('Recurring Schedule'!$F$38="","",IF(OR($A241&lt;'Recurring Schedule'!$F$38,$A241&gt;'Recurring Schedule'!$P$38),"",IF(IF('Recurring Schedule'!$N$38&gt;0,MOD($A241-'Recurring Schedule'!$F$38,'Recurring Schedule'!$N$38)=0,IF('Recurring Schedule'!$O$38&gt;0,AND(DAY($A241)=MIN(DAY('Recurring Schedule'!$F$38),DAY(EOMONTH($A241,0))),MOD((YEAR($A241)-YEAR('Recurring Schedule'!$F$38))*12+MONTH($A241)-MONTH('Recurring Schedule'!$F$38),'Recurring Schedule'!$O$38)=0),IF('Recurring Schedule'!$E$38="Weekdays",WEEKDAY($A241,2)&lt;=5,$A241='Recurring Schedule'!$F$38))),33,""))))</f>
        <v/>
      </c>
      <c r="AI241">
        <f>IF('Recurring Schedule'!$C$39="","",IF('Recurring Schedule'!$F$39="","",IF(OR($A241&lt;'Recurring Schedule'!$F$39,$A241&gt;'Recurring Schedule'!$P$39),"",IF(IF('Recurring Schedule'!$N$39&gt;0,MOD($A241-'Recurring Schedule'!$F$39,'Recurring Schedule'!$N$39)=0,IF('Recurring Schedule'!$O$39&gt;0,AND(DAY($A241)=MIN(DAY('Recurring Schedule'!$F$39),DAY(EOMONTH($A241,0))),MOD((YEAR($A241)-YEAR('Recurring Schedule'!$F$39))*12+MONTH($A241)-MONTH('Recurring Schedule'!$F$39),'Recurring Schedule'!$O$39)=0),IF('Recurring Schedule'!$E$39="Weekdays",WEEKDAY($A241,2)&lt;=5,$A241='Recurring Schedule'!$F$39))),34,""))))</f>
        <v/>
      </c>
      <c r="AJ241">
        <f>IF('Recurring Schedule'!$C$40="","",IF('Recurring Schedule'!$F$40="","",IF(OR($A241&lt;'Recurring Schedule'!$F$40,$A241&gt;'Recurring Schedule'!$P$40),"",IF(IF('Recurring Schedule'!$N$40&gt;0,MOD($A241-'Recurring Schedule'!$F$40,'Recurring Schedule'!$N$40)=0,IF('Recurring Schedule'!$O$40&gt;0,AND(DAY($A241)=MIN(DAY('Recurring Schedule'!$F$40),DAY(EOMONTH($A241,0))),MOD((YEAR($A241)-YEAR('Recurring Schedule'!$F$40))*12+MONTH($A241)-MONTH('Recurring Schedule'!$F$40),'Recurring Schedule'!$O$40)=0),IF('Recurring Schedule'!$E$40="Weekdays",WEEKDAY($A241,2)&lt;=5,$A241='Recurring Schedule'!$F$40))),35,""))))</f>
        <v/>
      </c>
      <c r="AK241">
        <f>IF('Recurring Schedule'!$C$41="","",IF('Recurring Schedule'!$F$41="","",IF(OR($A241&lt;'Recurring Schedule'!$F$41,$A241&gt;'Recurring Schedule'!$P$41),"",IF(IF('Recurring Schedule'!$N$41&gt;0,MOD($A241-'Recurring Schedule'!$F$41,'Recurring Schedule'!$N$41)=0,IF('Recurring Schedule'!$O$41&gt;0,AND(DAY($A241)=MIN(DAY('Recurring Schedule'!$F$41),DAY(EOMONTH($A241,0))),MOD((YEAR($A241)-YEAR('Recurring Schedule'!$F$41))*12+MONTH($A241)-MONTH('Recurring Schedule'!$F$41),'Recurring Schedule'!$O$41)=0),IF('Recurring Schedule'!$E$41="Weekdays",WEEKDAY($A241,2)&lt;=5,$A241='Recurring Schedule'!$F$41))),36,""))))</f>
        <v/>
      </c>
      <c r="AL241">
        <f>IF('Recurring Schedule'!$C$42="","",IF('Recurring Schedule'!$F$42="","",IF(OR($A241&lt;'Recurring Schedule'!$F$42,$A241&gt;'Recurring Schedule'!$P$42),"",IF(IF('Recurring Schedule'!$N$42&gt;0,MOD($A241-'Recurring Schedule'!$F$42,'Recurring Schedule'!$N$42)=0,IF('Recurring Schedule'!$O$42&gt;0,AND(DAY($A241)=MIN(DAY('Recurring Schedule'!$F$42),DAY(EOMONTH($A241,0))),MOD((YEAR($A241)-YEAR('Recurring Schedule'!$F$42))*12+MONTH($A241)-MONTH('Recurring Schedule'!$F$42),'Recurring Schedule'!$O$42)=0),IF('Recurring Schedule'!$E$42="Weekdays",WEEKDAY($A241,2)&lt;=5,$A241='Recurring Schedule'!$F$42))),37,""))))</f>
        <v/>
      </c>
      <c r="AM241">
        <f>IF('Recurring Schedule'!$C$43="","",IF('Recurring Schedule'!$F$43="","",IF(OR($A241&lt;'Recurring Schedule'!$F$43,$A241&gt;'Recurring Schedule'!$P$43),"",IF(IF('Recurring Schedule'!$N$43&gt;0,MOD($A241-'Recurring Schedule'!$F$43,'Recurring Schedule'!$N$43)=0,IF('Recurring Schedule'!$O$43&gt;0,AND(DAY($A241)=MIN(DAY('Recurring Schedule'!$F$43),DAY(EOMONTH($A241,0))),MOD((YEAR($A241)-YEAR('Recurring Schedule'!$F$43))*12+MONTH($A241)-MONTH('Recurring Schedule'!$F$43),'Recurring Schedule'!$O$43)=0),IF('Recurring Schedule'!$E$43="Weekdays",WEEKDAY($A241,2)&lt;=5,$A241='Recurring Schedule'!$F$43))),38,""))))</f>
        <v/>
      </c>
      <c r="AN241">
        <f>IF('Recurring Schedule'!$C$44="","",IF('Recurring Schedule'!$F$44="","",IF(OR($A241&lt;'Recurring Schedule'!$F$44,$A241&gt;'Recurring Schedule'!$P$44),"",IF(IF('Recurring Schedule'!$N$44&gt;0,MOD($A241-'Recurring Schedule'!$F$44,'Recurring Schedule'!$N$44)=0,IF('Recurring Schedule'!$O$44&gt;0,AND(DAY($A241)=MIN(DAY('Recurring Schedule'!$F$44),DAY(EOMONTH($A241,0))),MOD((YEAR($A241)-YEAR('Recurring Schedule'!$F$44))*12+MONTH($A241)-MONTH('Recurring Schedule'!$F$44),'Recurring Schedule'!$O$44)=0),IF('Recurring Schedule'!$E$44="Weekdays",WEEKDAY($A241,2)&lt;=5,$A241='Recurring Schedule'!$F$44))),39,""))))</f>
        <v/>
      </c>
      <c r="AO241">
        <f>IF('Recurring Schedule'!$C$45="","",IF('Recurring Schedule'!$F$45="","",IF(OR($A241&lt;'Recurring Schedule'!$F$45,$A241&gt;'Recurring Schedule'!$P$45),"",IF(IF('Recurring Schedule'!$N$45&gt;0,MOD($A241-'Recurring Schedule'!$F$45,'Recurring Schedule'!$N$45)=0,IF('Recurring Schedule'!$O$45&gt;0,AND(DAY($A241)=MIN(DAY('Recurring Schedule'!$F$45),DAY(EOMONTH($A241,0))),MOD((YEAR($A241)-YEAR('Recurring Schedule'!$F$45))*12+MONTH($A241)-MONTH('Recurring Schedule'!$F$45),'Recurring Schedule'!$O$45)=0),IF('Recurring Schedule'!$E$45="Weekdays",WEEKDAY($A241,2)&lt;=5,$A241='Recurring Schedule'!$F$45))),40,""))))</f>
        <v/>
      </c>
      <c r="AP241">
        <f>COUNT(B241:AO241)</f>
        <v/>
      </c>
      <c r="AQ241">
        <f>AQ240+AP240</f>
        <v/>
      </c>
      <c r="AS241" t="inlineStr">
        <is>
          <t>R</t>
        </is>
      </c>
      <c r="AT241" t="n">
        <v>245</v>
      </c>
      <c r="AU241">
        <f>'Recurring Log'!C245&amp;""</f>
        <v/>
      </c>
      <c r="AV241">
        <f>'Recurring Log'!D245&amp;""</f>
        <v/>
      </c>
      <c r="AW241">
        <f>IF('Recurring Log'!E245="","",'Recurring Log'!E245)</f>
        <v/>
      </c>
      <c r="AX241">
        <f>IF('Recurring Log'!G245="","",'Recurring Log'!G245)</f>
        <v/>
      </c>
      <c r="AY241">
        <f>IF('Recurring Log'!H245="","",'Recurring Log'!H245)</f>
        <v/>
      </c>
      <c r="AZ241">
        <f>IF(AU241="","",IF('Recurring Log'!J245="","Not Started",'Recurring Log'!J245))</f>
        <v/>
      </c>
      <c r="BA241">
        <f>'Recurring Log'!L245&amp;""</f>
        <v/>
      </c>
      <c r="BB241">
        <f>'Recurring Log'!M245&amp;""</f>
        <v/>
      </c>
      <c r="BC241">
        <f>'Recurring Log'!N245&amp;""</f>
        <v/>
      </c>
      <c r="BD241">
        <f>'Recurring Log'!O245&amp;""</f>
        <v/>
      </c>
      <c r="BE241">
        <f>IF('Recurring Log'!K245="","",'Recurring Log'!K245)</f>
        <v/>
      </c>
      <c r="BF241">
        <f>IFERROR(MATCH(BA241,Setup!$L$6:$L$9,0),5)</f>
        <v/>
      </c>
      <c r="BG241">
        <f>IF(OR(AZ241="Done",AZ241="Cancelled"),1,0)</f>
        <v/>
      </c>
      <c r="BH241">
        <f>IF(AND(AU241&lt;&gt;"",ISNUMBER(AW241)),1,0)</f>
        <v/>
      </c>
      <c r="BI241">
        <f>IF(BH241=0,0,IF(AND(AW241&gt;='Tasks Filter'!$F$3,AW241&lt;='Tasks Filter'!$F$4,OR('Tasks Filter'!$I$3="",ISNUMBER(SEARCH('Tasks Filter'!$I$3,AU241))),OR('Tasks Filter'!$I$4="",BF241=IFERROR(MATCH('Tasks Filter'!$I$4,Setup!$L$6:$L$9,0),0)),OR('Tasks Filter'!$I$5="Both",AND('Tasks Filter'!$I$5="Yes",BB241="✓"),AND('Tasks Filter'!$I$5="No",BB241&lt;&gt;"✓")),OR('Tasks Filter'!$L$3="",AV241='Tasks Filter'!$L$3),OR('Tasks Filter'!$L$4="",AZ241='Tasks Filter'!$L$4),OR('Tasks Filter'!$L$5="",BC241='Tasks Filter'!$L$5),OR('Tasks Filter'!$O$3="",BD241='Tasks Filter'!$O$3),OR('Tasks Filter'!$O$4="Yes",BG241=0)),1,0))</f>
        <v/>
      </c>
      <c r="BJ241">
        <f>IF(BH241=0,"",IF('Tasks Filter'!$F$6="Descending",-1,1)*CHOOSE(MATCH('Tasks Filter'!$F$5,Lists!$G$2:$G$6,0),AW241,BF241,IFERROR(MATCH(AV241,Setup!$F$6:$F$15,0),99),IFERROR(MATCH(BC241,Setup!$H$6:$H$15,0),99),IFERROR(MATCH(AZ241,Setup!$J$6:$J$11,0),99))*1E+9+(AW241-40000)*10000+240)</f>
        <v/>
      </c>
      <c r="BK241">
        <f>IF(BI241=1,BJ241,"")</f>
        <v/>
      </c>
      <c r="BL241">
        <f>IF(AND(BH241=1,BG241=0,N(AW241)&lt;Setup!$D$7),(AW241-40000)*10000+240,"")</f>
        <v/>
      </c>
      <c r="BM241">
        <f>IF(AND(BH241=1,AZ241&lt;&gt;"Cancelled",N(AW241)&gt;=Dashboard!$AB$3,N(AW241)&lt;=Dashboard!$AB$3+6),(AW241-40000)*100000+BF241*10000+240,"")</f>
        <v/>
      </c>
      <c r="BN241">
        <f>IF(AND(BH241=1,AZ241&lt;&gt;"Cancelled"),BF241*10000+240,"")</f>
        <v/>
      </c>
    </row>
    <row r="242">
      <c r="A242">
        <f>Setup!$D$5+240</f>
        <v/>
      </c>
      <c r="B242">
        <f>IF('Recurring Schedule'!$C$6="","",IF('Recurring Schedule'!$F$6="","",IF(OR($A242&lt;'Recurring Schedule'!$F$6,$A242&gt;'Recurring Schedule'!$P$6),"",IF(IF('Recurring Schedule'!$N$6&gt;0,MOD($A242-'Recurring Schedule'!$F$6,'Recurring Schedule'!$N$6)=0,IF('Recurring Schedule'!$O$6&gt;0,AND(DAY($A242)=MIN(DAY('Recurring Schedule'!$F$6),DAY(EOMONTH($A242,0))),MOD((YEAR($A242)-YEAR('Recurring Schedule'!$F$6))*12+MONTH($A242)-MONTH('Recurring Schedule'!$F$6),'Recurring Schedule'!$O$6)=0),IF('Recurring Schedule'!$E$6="Weekdays",WEEKDAY($A242,2)&lt;=5,$A242='Recurring Schedule'!$F$6))),1,""))))</f>
        <v/>
      </c>
      <c r="C242">
        <f>IF('Recurring Schedule'!$C$7="","",IF('Recurring Schedule'!$F$7="","",IF(OR($A242&lt;'Recurring Schedule'!$F$7,$A242&gt;'Recurring Schedule'!$P$7),"",IF(IF('Recurring Schedule'!$N$7&gt;0,MOD($A242-'Recurring Schedule'!$F$7,'Recurring Schedule'!$N$7)=0,IF('Recurring Schedule'!$O$7&gt;0,AND(DAY($A242)=MIN(DAY('Recurring Schedule'!$F$7),DAY(EOMONTH($A242,0))),MOD((YEAR($A242)-YEAR('Recurring Schedule'!$F$7))*12+MONTH($A242)-MONTH('Recurring Schedule'!$F$7),'Recurring Schedule'!$O$7)=0),IF('Recurring Schedule'!$E$7="Weekdays",WEEKDAY($A242,2)&lt;=5,$A242='Recurring Schedule'!$F$7))),2,""))))</f>
        <v/>
      </c>
      <c r="D242">
        <f>IF('Recurring Schedule'!$C$8="","",IF('Recurring Schedule'!$F$8="","",IF(OR($A242&lt;'Recurring Schedule'!$F$8,$A242&gt;'Recurring Schedule'!$P$8),"",IF(IF('Recurring Schedule'!$N$8&gt;0,MOD($A242-'Recurring Schedule'!$F$8,'Recurring Schedule'!$N$8)=0,IF('Recurring Schedule'!$O$8&gt;0,AND(DAY($A242)=MIN(DAY('Recurring Schedule'!$F$8),DAY(EOMONTH($A242,0))),MOD((YEAR($A242)-YEAR('Recurring Schedule'!$F$8))*12+MONTH($A242)-MONTH('Recurring Schedule'!$F$8),'Recurring Schedule'!$O$8)=0),IF('Recurring Schedule'!$E$8="Weekdays",WEEKDAY($A242,2)&lt;=5,$A242='Recurring Schedule'!$F$8))),3,""))))</f>
        <v/>
      </c>
      <c r="E242">
        <f>IF('Recurring Schedule'!$C$9="","",IF('Recurring Schedule'!$F$9="","",IF(OR($A242&lt;'Recurring Schedule'!$F$9,$A242&gt;'Recurring Schedule'!$P$9),"",IF(IF('Recurring Schedule'!$N$9&gt;0,MOD($A242-'Recurring Schedule'!$F$9,'Recurring Schedule'!$N$9)=0,IF('Recurring Schedule'!$O$9&gt;0,AND(DAY($A242)=MIN(DAY('Recurring Schedule'!$F$9),DAY(EOMONTH($A242,0))),MOD((YEAR($A242)-YEAR('Recurring Schedule'!$F$9))*12+MONTH($A242)-MONTH('Recurring Schedule'!$F$9),'Recurring Schedule'!$O$9)=0),IF('Recurring Schedule'!$E$9="Weekdays",WEEKDAY($A242,2)&lt;=5,$A242='Recurring Schedule'!$F$9))),4,""))))</f>
        <v/>
      </c>
      <c r="F242">
        <f>IF('Recurring Schedule'!$C$10="","",IF('Recurring Schedule'!$F$10="","",IF(OR($A242&lt;'Recurring Schedule'!$F$10,$A242&gt;'Recurring Schedule'!$P$10),"",IF(IF('Recurring Schedule'!$N$10&gt;0,MOD($A242-'Recurring Schedule'!$F$10,'Recurring Schedule'!$N$10)=0,IF('Recurring Schedule'!$O$10&gt;0,AND(DAY($A242)=MIN(DAY('Recurring Schedule'!$F$10),DAY(EOMONTH($A242,0))),MOD((YEAR($A242)-YEAR('Recurring Schedule'!$F$10))*12+MONTH($A242)-MONTH('Recurring Schedule'!$F$10),'Recurring Schedule'!$O$10)=0),IF('Recurring Schedule'!$E$10="Weekdays",WEEKDAY($A242,2)&lt;=5,$A242='Recurring Schedule'!$F$10))),5,""))))</f>
        <v/>
      </c>
      <c r="G242">
        <f>IF('Recurring Schedule'!$C$11="","",IF('Recurring Schedule'!$F$11="","",IF(OR($A242&lt;'Recurring Schedule'!$F$11,$A242&gt;'Recurring Schedule'!$P$11),"",IF(IF('Recurring Schedule'!$N$11&gt;0,MOD($A242-'Recurring Schedule'!$F$11,'Recurring Schedule'!$N$11)=0,IF('Recurring Schedule'!$O$11&gt;0,AND(DAY($A242)=MIN(DAY('Recurring Schedule'!$F$11),DAY(EOMONTH($A242,0))),MOD((YEAR($A242)-YEAR('Recurring Schedule'!$F$11))*12+MONTH($A242)-MONTH('Recurring Schedule'!$F$11),'Recurring Schedule'!$O$11)=0),IF('Recurring Schedule'!$E$11="Weekdays",WEEKDAY($A242,2)&lt;=5,$A242='Recurring Schedule'!$F$11))),6,""))))</f>
        <v/>
      </c>
      <c r="H242">
        <f>IF('Recurring Schedule'!$C$12="","",IF('Recurring Schedule'!$F$12="","",IF(OR($A242&lt;'Recurring Schedule'!$F$12,$A242&gt;'Recurring Schedule'!$P$12),"",IF(IF('Recurring Schedule'!$N$12&gt;0,MOD($A242-'Recurring Schedule'!$F$12,'Recurring Schedule'!$N$12)=0,IF('Recurring Schedule'!$O$12&gt;0,AND(DAY($A242)=MIN(DAY('Recurring Schedule'!$F$12),DAY(EOMONTH($A242,0))),MOD((YEAR($A242)-YEAR('Recurring Schedule'!$F$12))*12+MONTH($A242)-MONTH('Recurring Schedule'!$F$12),'Recurring Schedule'!$O$12)=0),IF('Recurring Schedule'!$E$12="Weekdays",WEEKDAY($A242,2)&lt;=5,$A242='Recurring Schedule'!$F$12))),7,""))))</f>
        <v/>
      </c>
      <c r="I242">
        <f>IF('Recurring Schedule'!$C$13="","",IF('Recurring Schedule'!$F$13="","",IF(OR($A242&lt;'Recurring Schedule'!$F$13,$A242&gt;'Recurring Schedule'!$P$13),"",IF(IF('Recurring Schedule'!$N$13&gt;0,MOD($A242-'Recurring Schedule'!$F$13,'Recurring Schedule'!$N$13)=0,IF('Recurring Schedule'!$O$13&gt;0,AND(DAY($A242)=MIN(DAY('Recurring Schedule'!$F$13),DAY(EOMONTH($A242,0))),MOD((YEAR($A242)-YEAR('Recurring Schedule'!$F$13))*12+MONTH($A242)-MONTH('Recurring Schedule'!$F$13),'Recurring Schedule'!$O$13)=0),IF('Recurring Schedule'!$E$13="Weekdays",WEEKDAY($A242,2)&lt;=5,$A242='Recurring Schedule'!$F$13))),8,""))))</f>
        <v/>
      </c>
      <c r="J242">
        <f>IF('Recurring Schedule'!$C$14="","",IF('Recurring Schedule'!$F$14="","",IF(OR($A242&lt;'Recurring Schedule'!$F$14,$A242&gt;'Recurring Schedule'!$P$14),"",IF(IF('Recurring Schedule'!$N$14&gt;0,MOD($A242-'Recurring Schedule'!$F$14,'Recurring Schedule'!$N$14)=0,IF('Recurring Schedule'!$O$14&gt;0,AND(DAY($A242)=MIN(DAY('Recurring Schedule'!$F$14),DAY(EOMONTH($A242,0))),MOD((YEAR($A242)-YEAR('Recurring Schedule'!$F$14))*12+MONTH($A242)-MONTH('Recurring Schedule'!$F$14),'Recurring Schedule'!$O$14)=0),IF('Recurring Schedule'!$E$14="Weekdays",WEEKDAY($A242,2)&lt;=5,$A242='Recurring Schedule'!$F$14))),9,""))))</f>
        <v/>
      </c>
      <c r="K242">
        <f>IF('Recurring Schedule'!$C$15="","",IF('Recurring Schedule'!$F$15="","",IF(OR($A242&lt;'Recurring Schedule'!$F$15,$A242&gt;'Recurring Schedule'!$P$15),"",IF(IF('Recurring Schedule'!$N$15&gt;0,MOD($A242-'Recurring Schedule'!$F$15,'Recurring Schedule'!$N$15)=0,IF('Recurring Schedule'!$O$15&gt;0,AND(DAY($A242)=MIN(DAY('Recurring Schedule'!$F$15),DAY(EOMONTH($A242,0))),MOD((YEAR($A242)-YEAR('Recurring Schedule'!$F$15))*12+MONTH($A242)-MONTH('Recurring Schedule'!$F$15),'Recurring Schedule'!$O$15)=0),IF('Recurring Schedule'!$E$15="Weekdays",WEEKDAY($A242,2)&lt;=5,$A242='Recurring Schedule'!$F$15))),10,""))))</f>
        <v/>
      </c>
      <c r="L242">
        <f>IF('Recurring Schedule'!$C$16="","",IF('Recurring Schedule'!$F$16="","",IF(OR($A242&lt;'Recurring Schedule'!$F$16,$A242&gt;'Recurring Schedule'!$P$16),"",IF(IF('Recurring Schedule'!$N$16&gt;0,MOD($A242-'Recurring Schedule'!$F$16,'Recurring Schedule'!$N$16)=0,IF('Recurring Schedule'!$O$16&gt;0,AND(DAY($A242)=MIN(DAY('Recurring Schedule'!$F$16),DAY(EOMONTH($A242,0))),MOD((YEAR($A242)-YEAR('Recurring Schedule'!$F$16))*12+MONTH($A242)-MONTH('Recurring Schedule'!$F$16),'Recurring Schedule'!$O$16)=0),IF('Recurring Schedule'!$E$16="Weekdays",WEEKDAY($A242,2)&lt;=5,$A242='Recurring Schedule'!$F$16))),11,""))))</f>
        <v/>
      </c>
      <c r="M242">
        <f>IF('Recurring Schedule'!$C$17="","",IF('Recurring Schedule'!$F$17="","",IF(OR($A242&lt;'Recurring Schedule'!$F$17,$A242&gt;'Recurring Schedule'!$P$17),"",IF(IF('Recurring Schedule'!$N$17&gt;0,MOD($A242-'Recurring Schedule'!$F$17,'Recurring Schedule'!$N$17)=0,IF('Recurring Schedule'!$O$17&gt;0,AND(DAY($A242)=MIN(DAY('Recurring Schedule'!$F$17),DAY(EOMONTH($A242,0))),MOD((YEAR($A242)-YEAR('Recurring Schedule'!$F$17))*12+MONTH($A242)-MONTH('Recurring Schedule'!$F$17),'Recurring Schedule'!$O$17)=0),IF('Recurring Schedule'!$E$17="Weekdays",WEEKDAY($A242,2)&lt;=5,$A242='Recurring Schedule'!$F$17))),12,""))))</f>
        <v/>
      </c>
      <c r="N242">
        <f>IF('Recurring Schedule'!$C$18="","",IF('Recurring Schedule'!$F$18="","",IF(OR($A242&lt;'Recurring Schedule'!$F$18,$A242&gt;'Recurring Schedule'!$P$18),"",IF(IF('Recurring Schedule'!$N$18&gt;0,MOD($A242-'Recurring Schedule'!$F$18,'Recurring Schedule'!$N$18)=0,IF('Recurring Schedule'!$O$18&gt;0,AND(DAY($A242)=MIN(DAY('Recurring Schedule'!$F$18),DAY(EOMONTH($A242,0))),MOD((YEAR($A242)-YEAR('Recurring Schedule'!$F$18))*12+MONTH($A242)-MONTH('Recurring Schedule'!$F$18),'Recurring Schedule'!$O$18)=0),IF('Recurring Schedule'!$E$18="Weekdays",WEEKDAY($A242,2)&lt;=5,$A242='Recurring Schedule'!$F$18))),13,""))))</f>
        <v/>
      </c>
      <c r="O242">
        <f>IF('Recurring Schedule'!$C$19="","",IF('Recurring Schedule'!$F$19="","",IF(OR($A242&lt;'Recurring Schedule'!$F$19,$A242&gt;'Recurring Schedule'!$P$19),"",IF(IF('Recurring Schedule'!$N$19&gt;0,MOD($A242-'Recurring Schedule'!$F$19,'Recurring Schedule'!$N$19)=0,IF('Recurring Schedule'!$O$19&gt;0,AND(DAY($A242)=MIN(DAY('Recurring Schedule'!$F$19),DAY(EOMONTH($A242,0))),MOD((YEAR($A242)-YEAR('Recurring Schedule'!$F$19))*12+MONTH($A242)-MONTH('Recurring Schedule'!$F$19),'Recurring Schedule'!$O$19)=0),IF('Recurring Schedule'!$E$19="Weekdays",WEEKDAY($A242,2)&lt;=5,$A242='Recurring Schedule'!$F$19))),14,""))))</f>
        <v/>
      </c>
      <c r="P242">
        <f>IF('Recurring Schedule'!$C$20="","",IF('Recurring Schedule'!$F$20="","",IF(OR($A242&lt;'Recurring Schedule'!$F$20,$A242&gt;'Recurring Schedule'!$P$20),"",IF(IF('Recurring Schedule'!$N$20&gt;0,MOD($A242-'Recurring Schedule'!$F$20,'Recurring Schedule'!$N$20)=0,IF('Recurring Schedule'!$O$20&gt;0,AND(DAY($A242)=MIN(DAY('Recurring Schedule'!$F$20),DAY(EOMONTH($A242,0))),MOD((YEAR($A242)-YEAR('Recurring Schedule'!$F$20))*12+MONTH($A242)-MONTH('Recurring Schedule'!$F$20),'Recurring Schedule'!$O$20)=0),IF('Recurring Schedule'!$E$20="Weekdays",WEEKDAY($A242,2)&lt;=5,$A242='Recurring Schedule'!$F$20))),15,""))))</f>
        <v/>
      </c>
      <c r="Q242">
        <f>IF('Recurring Schedule'!$C$21="","",IF('Recurring Schedule'!$F$21="","",IF(OR($A242&lt;'Recurring Schedule'!$F$21,$A242&gt;'Recurring Schedule'!$P$21),"",IF(IF('Recurring Schedule'!$N$21&gt;0,MOD($A242-'Recurring Schedule'!$F$21,'Recurring Schedule'!$N$21)=0,IF('Recurring Schedule'!$O$21&gt;0,AND(DAY($A242)=MIN(DAY('Recurring Schedule'!$F$21),DAY(EOMONTH($A242,0))),MOD((YEAR($A242)-YEAR('Recurring Schedule'!$F$21))*12+MONTH($A242)-MONTH('Recurring Schedule'!$F$21),'Recurring Schedule'!$O$21)=0),IF('Recurring Schedule'!$E$21="Weekdays",WEEKDAY($A242,2)&lt;=5,$A242='Recurring Schedule'!$F$21))),16,""))))</f>
        <v/>
      </c>
      <c r="R242">
        <f>IF('Recurring Schedule'!$C$22="","",IF('Recurring Schedule'!$F$22="","",IF(OR($A242&lt;'Recurring Schedule'!$F$22,$A242&gt;'Recurring Schedule'!$P$22),"",IF(IF('Recurring Schedule'!$N$22&gt;0,MOD($A242-'Recurring Schedule'!$F$22,'Recurring Schedule'!$N$22)=0,IF('Recurring Schedule'!$O$22&gt;0,AND(DAY($A242)=MIN(DAY('Recurring Schedule'!$F$22),DAY(EOMONTH($A242,0))),MOD((YEAR($A242)-YEAR('Recurring Schedule'!$F$22))*12+MONTH($A242)-MONTH('Recurring Schedule'!$F$22),'Recurring Schedule'!$O$22)=0),IF('Recurring Schedule'!$E$22="Weekdays",WEEKDAY($A242,2)&lt;=5,$A242='Recurring Schedule'!$F$22))),17,""))))</f>
        <v/>
      </c>
      <c r="S242">
        <f>IF('Recurring Schedule'!$C$23="","",IF('Recurring Schedule'!$F$23="","",IF(OR($A242&lt;'Recurring Schedule'!$F$23,$A242&gt;'Recurring Schedule'!$P$23),"",IF(IF('Recurring Schedule'!$N$23&gt;0,MOD($A242-'Recurring Schedule'!$F$23,'Recurring Schedule'!$N$23)=0,IF('Recurring Schedule'!$O$23&gt;0,AND(DAY($A242)=MIN(DAY('Recurring Schedule'!$F$23),DAY(EOMONTH($A242,0))),MOD((YEAR($A242)-YEAR('Recurring Schedule'!$F$23))*12+MONTH($A242)-MONTH('Recurring Schedule'!$F$23),'Recurring Schedule'!$O$23)=0),IF('Recurring Schedule'!$E$23="Weekdays",WEEKDAY($A242,2)&lt;=5,$A242='Recurring Schedule'!$F$23))),18,""))))</f>
        <v/>
      </c>
      <c r="T242">
        <f>IF('Recurring Schedule'!$C$24="","",IF('Recurring Schedule'!$F$24="","",IF(OR($A242&lt;'Recurring Schedule'!$F$24,$A242&gt;'Recurring Schedule'!$P$24),"",IF(IF('Recurring Schedule'!$N$24&gt;0,MOD($A242-'Recurring Schedule'!$F$24,'Recurring Schedule'!$N$24)=0,IF('Recurring Schedule'!$O$24&gt;0,AND(DAY($A242)=MIN(DAY('Recurring Schedule'!$F$24),DAY(EOMONTH($A242,0))),MOD((YEAR($A242)-YEAR('Recurring Schedule'!$F$24))*12+MONTH($A242)-MONTH('Recurring Schedule'!$F$24),'Recurring Schedule'!$O$24)=0),IF('Recurring Schedule'!$E$24="Weekdays",WEEKDAY($A242,2)&lt;=5,$A242='Recurring Schedule'!$F$24))),19,""))))</f>
        <v/>
      </c>
      <c r="U242">
        <f>IF('Recurring Schedule'!$C$25="","",IF('Recurring Schedule'!$F$25="","",IF(OR($A242&lt;'Recurring Schedule'!$F$25,$A242&gt;'Recurring Schedule'!$P$25),"",IF(IF('Recurring Schedule'!$N$25&gt;0,MOD($A242-'Recurring Schedule'!$F$25,'Recurring Schedule'!$N$25)=0,IF('Recurring Schedule'!$O$25&gt;0,AND(DAY($A242)=MIN(DAY('Recurring Schedule'!$F$25),DAY(EOMONTH($A242,0))),MOD((YEAR($A242)-YEAR('Recurring Schedule'!$F$25))*12+MONTH($A242)-MONTH('Recurring Schedule'!$F$25),'Recurring Schedule'!$O$25)=0),IF('Recurring Schedule'!$E$25="Weekdays",WEEKDAY($A242,2)&lt;=5,$A242='Recurring Schedule'!$F$25))),20,""))))</f>
        <v/>
      </c>
      <c r="V242">
        <f>IF('Recurring Schedule'!$C$26="","",IF('Recurring Schedule'!$F$26="","",IF(OR($A242&lt;'Recurring Schedule'!$F$26,$A242&gt;'Recurring Schedule'!$P$26),"",IF(IF('Recurring Schedule'!$N$26&gt;0,MOD($A242-'Recurring Schedule'!$F$26,'Recurring Schedule'!$N$26)=0,IF('Recurring Schedule'!$O$26&gt;0,AND(DAY($A242)=MIN(DAY('Recurring Schedule'!$F$26),DAY(EOMONTH($A242,0))),MOD((YEAR($A242)-YEAR('Recurring Schedule'!$F$26))*12+MONTH($A242)-MONTH('Recurring Schedule'!$F$26),'Recurring Schedule'!$O$26)=0),IF('Recurring Schedule'!$E$26="Weekdays",WEEKDAY($A242,2)&lt;=5,$A242='Recurring Schedule'!$F$26))),21,""))))</f>
        <v/>
      </c>
      <c r="W242">
        <f>IF('Recurring Schedule'!$C$27="","",IF('Recurring Schedule'!$F$27="","",IF(OR($A242&lt;'Recurring Schedule'!$F$27,$A242&gt;'Recurring Schedule'!$P$27),"",IF(IF('Recurring Schedule'!$N$27&gt;0,MOD($A242-'Recurring Schedule'!$F$27,'Recurring Schedule'!$N$27)=0,IF('Recurring Schedule'!$O$27&gt;0,AND(DAY($A242)=MIN(DAY('Recurring Schedule'!$F$27),DAY(EOMONTH($A242,0))),MOD((YEAR($A242)-YEAR('Recurring Schedule'!$F$27))*12+MONTH($A242)-MONTH('Recurring Schedule'!$F$27),'Recurring Schedule'!$O$27)=0),IF('Recurring Schedule'!$E$27="Weekdays",WEEKDAY($A242,2)&lt;=5,$A242='Recurring Schedule'!$F$27))),22,""))))</f>
        <v/>
      </c>
      <c r="X242">
        <f>IF('Recurring Schedule'!$C$28="","",IF('Recurring Schedule'!$F$28="","",IF(OR($A242&lt;'Recurring Schedule'!$F$28,$A242&gt;'Recurring Schedule'!$P$28),"",IF(IF('Recurring Schedule'!$N$28&gt;0,MOD($A242-'Recurring Schedule'!$F$28,'Recurring Schedule'!$N$28)=0,IF('Recurring Schedule'!$O$28&gt;0,AND(DAY($A242)=MIN(DAY('Recurring Schedule'!$F$28),DAY(EOMONTH($A242,0))),MOD((YEAR($A242)-YEAR('Recurring Schedule'!$F$28))*12+MONTH($A242)-MONTH('Recurring Schedule'!$F$28),'Recurring Schedule'!$O$28)=0),IF('Recurring Schedule'!$E$28="Weekdays",WEEKDAY($A242,2)&lt;=5,$A242='Recurring Schedule'!$F$28))),23,""))))</f>
        <v/>
      </c>
      <c r="Y242">
        <f>IF('Recurring Schedule'!$C$29="","",IF('Recurring Schedule'!$F$29="","",IF(OR($A242&lt;'Recurring Schedule'!$F$29,$A242&gt;'Recurring Schedule'!$P$29),"",IF(IF('Recurring Schedule'!$N$29&gt;0,MOD($A242-'Recurring Schedule'!$F$29,'Recurring Schedule'!$N$29)=0,IF('Recurring Schedule'!$O$29&gt;0,AND(DAY($A242)=MIN(DAY('Recurring Schedule'!$F$29),DAY(EOMONTH($A242,0))),MOD((YEAR($A242)-YEAR('Recurring Schedule'!$F$29))*12+MONTH($A242)-MONTH('Recurring Schedule'!$F$29),'Recurring Schedule'!$O$29)=0),IF('Recurring Schedule'!$E$29="Weekdays",WEEKDAY($A242,2)&lt;=5,$A242='Recurring Schedule'!$F$29))),24,""))))</f>
        <v/>
      </c>
      <c r="Z242">
        <f>IF('Recurring Schedule'!$C$30="","",IF('Recurring Schedule'!$F$30="","",IF(OR($A242&lt;'Recurring Schedule'!$F$30,$A242&gt;'Recurring Schedule'!$P$30),"",IF(IF('Recurring Schedule'!$N$30&gt;0,MOD($A242-'Recurring Schedule'!$F$30,'Recurring Schedule'!$N$30)=0,IF('Recurring Schedule'!$O$30&gt;0,AND(DAY($A242)=MIN(DAY('Recurring Schedule'!$F$30),DAY(EOMONTH($A242,0))),MOD((YEAR($A242)-YEAR('Recurring Schedule'!$F$30))*12+MONTH($A242)-MONTH('Recurring Schedule'!$F$30),'Recurring Schedule'!$O$30)=0),IF('Recurring Schedule'!$E$30="Weekdays",WEEKDAY($A242,2)&lt;=5,$A242='Recurring Schedule'!$F$30))),25,""))))</f>
        <v/>
      </c>
      <c r="AA242">
        <f>IF('Recurring Schedule'!$C$31="","",IF('Recurring Schedule'!$F$31="","",IF(OR($A242&lt;'Recurring Schedule'!$F$31,$A242&gt;'Recurring Schedule'!$P$31),"",IF(IF('Recurring Schedule'!$N$31&gt;0,MOD($A242-'Recurring Schedule'!$F$31,'Recurring Schedule'!$N$31)=0,IF('Recurring Schedule'!$O$31&gt;0,AND(DAY($A242)=MIN(DAY('Recurring Schedule'!$F$31),DAY(EOMONTH($A242,0))),MOD((YEAR($A242)-YEAR('Recurring Schedule'!$F$31))*12+MONTH($A242)-MONTH('Recurring Schedule'!$F$31),'Recurring Schedule'!$O$31)=0),IF('Recurring Schedule'!$E$31="Weekdays",WEEKDAY($A242,2)&lt;=5,$A242='Recurring Schedule'!$F$31))),26,""))))</f>
        <v/>
      </c>
      <c r="AB242">
        <f>IF('Recurring Schedule'!$C$32="","",IF('Recurring Schedule'!$F$32="","",IF(OR($A242&lt;'Recurring Schedule'!$F$32,$A242&gt;'Recurring Schedule'!$P$32),"",IF(IF('Recurring Schedule'!$N$32&gt;0,MOD($A242-'Recurring Schedule'!$F$32,'Recurring Schedule'!$N$32)=0,IF('Recurring Schedule'!$O$32&gt;0,AND(DAY($A242)=MIN(DAY('Recurring Schedule'!$F$32),DAY(EOMONTH($A242,0))),MOD((YEAR($A242)-YEAR('Recurring Schedule'!$F$32))*12+MONTH($A242)-MONTH('Recurring Schedule'!$F$32),'Recurring Schedule'!$O$32)=0),IF('Recurring Schedule'!$E$32="Weekdays",WEEKDAY($A242,2)&lt;=5,$A242='Recurring Schedule'!$F$32))),27,""))))</f>
        <v/>
      </c>
      <c r="AC242">
        <f>IF('Recurring Schedule'!$C$33="","",IF('Recurring Schedule'!$F$33="","",IF(OR($A242&lt;'Recurring Schedule'!$F$33,$A242&gt;'Recurring Schedule'!$P$33),"",IF(IF('Recurring Schedule'!$N$33&gt;0,MOD($A242-'Recurring Schedule'!$F$33,'Recurring Schedule'!$N$33)=0,IF('Recurring Schedule'!$O$33&gt;0,AND(DAY($A242)=MIN(DAY('Recurring Schedule'!$F$33),DAY(EOMONTH($A242,0))),MOD((YEAR($A242)-YEAR('Recurring Schedule'!$F$33))*12+MONTH($A242)-MONTH('Recurring Schedule'!$F$33),'Recurring Schedule'!$O$33)=0),IF('Recurring Schedule'!$E$33="Weekdays",WEEKDAY($A242,2)&lt;=5,$A242='Recurring Schedule'!$F$33))),28,""))))</f>
        <v/>
      </c>
      <c r="AD242">
        <f>IF('Recurring Schedule'!$C$34="","",IF('Recurring Schedule'!$F$34="","",IF(OR($A242&lt;'Recurring Schedule'!$F$34,$A242&gt;'Recurring Schedule'!$P$34),"",IF(IF('Recurring Schedule'!$N$34&gt;0,MOD($A242-'Recurring Schedule'!$F$34,'Recurring Schedule'!$N$34)=0,IF('Recurring Schedule'!$O$34&gt;0,AND(DAY($A242)=MIN(DAY('Recurring Schedule'!$F$34),DAY(EOMONTH($A242,0))),MOD((YEAR($A242)-YEAR('Recurring Schedule'!$F$34))*12+MONTH($A242)-MONTH('Recurring Schedule'!$F$34),'Recurring Schedule'!$O$34)=0),IF('Recurring Schedule'!$E$34="Weekdays",WEEKDAY($A242,2)&lt;=5,$A242='Recurring Schedule'!$F$34))),29,""))))</f>
        <v/>
      </c>
      <c r="AE242">
        <f>IF('Recurring Schedule'!$C$35="","",IF('Recurring Schedule'!$F$35="","",IF(OR($A242&lt;'Recurring Schedule'!$F$35,$A242&gt;'Recurring Schedule'!$P$35),"",IF(IF('Recurring Schedule'!$N$35&gt;0,MOD($A242-'Recurring Schedule'!$F$35,'Recurring Schedule'!$N$35)=0,IF('Recurring Schedule'!$O$35&gt;0,AND(DAY($A242)=MIN(DAY('Recurring Schedule'!$F$35),DAY(EOMONTH($A242,0))),MOD((YEAR($A242)-YEAR('Recurring Schedule'!$F$35))*12+MONTH($A242)-MONTH('Recurring Schedule'!$F$35),'Recurring Schedule'!$O$35)=0),IF('Recurring Schedule'!$E$35="Weekdays",WEEKDAY($A242,2)&lt;=5,$A242='Recurring Schedule'!$F$35))),30,""))))</f>
        <v/>
      </c>
      <c r="AF242">
        <f>IF('Recurring Schedule'!$C$36="","",IF('Recurring Schedule'!$F$36="","",IF(OR($A242&lt;'Recurring Schedule'!$F$36,$A242&gt;'Recurring Schedule'!$P$36),"",IF(IF('Recurring Schedule'!$N$36&gt;0,MOD($A242-'Recurring Schedule'!$F$36,'Recurring Schedule'!$N$36)=0,IF('Recurring Schedule'!$O$36&gt;0,AND(DAY($A242)=MIN(DAY('Recurring Schedule'!$F$36),DAY(EOMONTH($A242,0))),MOD((YEAR($A242)-YEAR('Recurring Schedule'!$F$36))*12+MONTH($A242)-MONTH('Recurring Schedule'!$F$36),'Recurring Schedule'!$O$36)=0),IF('Recurring Schedule'!$E$36="Weekdays",WEEKDAY($A242,2)&lt;=5,$A242='Recurring Schedule'!$F$36))),31,""))))</f>
        <v/>
      </c>
      <c r="AG242">
        <f>IF('Recurring Schedule'!$C$37="","",IF('Recurring Schedule'!$F$37="","",IF(OR($A242&lt;'Recurring Schedule'!$F$37,$A242&gt;'Recurring Schedule'!$P$37),"",IF(IF('Recurring Schedule'!$N$37&gt;0,MOD($A242-'Recurring Schedule'!$F$37,'Recurring Schedule'!$N$37)=0,IF('Recurring Schedule'!$O$37&gt;0,AND(DAY($A242)=MIN(DAY('Recurring Schedule'!$F$37),DAY(EOMONTH($A242,0))),MOD((YEAR($A242)-YEAR('Recurring Schedule'!$F$37))*12+MONTH($A242)-MONTH('Recurring Schedule'!$F$37),'Recurring Schedule'!$O$37)=0),IF('Recurring Schedule'!$E$37="Weekdays",WEEKDAY($A242,2)&lt;=5,$A242='Recurring Schedule'!$F$37))),32,""))))</f>
        <v/>
      </c>
      <c r="AH242">
        <f>IF('Recurring Schedule'!$C$38="","",IF('Recurring Schedule'!$F$38="","",IF(OR($A242&lt;'Recurring Schedule'!$F$38,$A242&gt;'Recurring Schedule'!$P$38),"",IF(IF('Recurring Schedule'!$N$38&gt;0,MOD($A242-'Recurring Schedule'!$F$38,'Recurring Schedule'!$N$38)=0,IF('Recurring Schedule'!$O$38&gt;0,AND(DAY($A242)=MIN(DAY('Recurring Schedule'!$F$38),DAY(EOMONTH($A242,0))),MOD((YEAR($A242)-YEAR('Recurring Schedule'!$F$38))*12+MONTH($A242)-MONTH('Recurring Schedule'!$F$38),'Recurring Schedule'!$O$38)=0),IF('Recurring Schedule'!$E$38="Weekdays",WEEKDAY($A242,2)&lt;=5,$A242='Recurring Schedule'!$F$38))),33,""))))</f>
        <v/>
      </c>
      <c r="AI242">
        <f>IF('Recurring Schedule'!$C$39="","",IF('Recurring Schedule'!$F$39="","",IF(OR($A242&lt;'Recurring Schedule'!$F$39,$A242&gt;'Recurring Schedule'!$P$39),"",IF(IF('Recurring Schedule'!$N$39&gt;0,MOD($A242-'Recurring Schedule'!$F$39,'Recurring Schedule'!$N$39)=0,IF('Recurring Schedule'!$O$39&gt;0,AND(DAY($A242)=MIN(DAY('Recurring Schedule'!$F$39),DAY(EOMONTH($A242,0))),MOD((YEAR($A242)-YEAR('Recurring Schedule'!$F$39))*12+MONTH($A242)-MONTH('Recurring Schedule'!$F$39),'Recurring Schedule'!$O$39)=0),IF('Recurring Schedule'!$E$39="Weekdays",WEEKDAY($A242,2)&lt;=5,$A242='Recurring Schedule'!$F$39))),34,""))))</f>
        <v/>
      </c>
      <c r="AJ242">
        <f>IF('Recurring Schedule'!$C$40="","",IF('Recurring Schedule'!$F$40="","",IF(OR($A242&lt;'Recurring Schedule'!$F$40,$A242&gt;'Recurring Schedule'!$P$40),"",IF(IF('Recurring Schedule'!$N$40&gt;0,MOD($A242-'Recurring Schedule'!$F$40,'Recurring Schedule'!$N$40)=0,IF('Recurring Schedule'!$O$40&gt;0,AND(DAY($A242)=MIN(DAY('Recurring Schedule'!$F$40),DAY(EOMONTH($A242,0))),MOD((YEAR($A242)-YEAR('Recurring Schedule'!$F$40))*12+MONTH($A242)-MONTH('Recurring Schedule'!$F$40),'Recurring Schedule'!$O$40)=0),IF('Recurring Schedule'!$E$40="Weekdays",WEEKDAY($A242,2)&lt;=5,$A242='Recurring Schedule'!$F$40))),35,""))))</f>
        <v/>
      </c>
      <c r="AK242">
        <f>IF('Recurring Schedule'!$C$41="","",IF('Recurring Schedule'!$F$41="","",IF(OR($A242&lt;'Recurring Schedule'!$F$41,$A242&gt;'Recurring Schedule'!$P$41),"",IF(IF('Recurring Schedule'!$N$41&gt;0,MOD($A242-'Recurring Schedule'!$F$41,'Recurring Schedule'!$N$41)=0,IF('Recurring Schedule'!$O$41&gt;0,AND(DAY($A242)=MIN(DAY('Recurring Schedule'!$F$41),DAY(EOMONTH($A242,0))),MOD((YEAR($A242)-YEAR('Recurring Schedule'!$F$41))*12+MONTH($A242)-MONTH('Recurring Schedule'!$F$41),'Recurring Schedule'!$O$41)=0),IF('Recurring Schedule'!$E$41="Weekdays",WEEKDAY($A242,2)&lt;=5,$A242='Recurring Schedule'!$F$41))),36,""))))</f>
        <v/>
      </c>
      <c r="AL242">
        <f>IF('Recurring Schedule'!$C$42="","",IF('Recurring Schedule'!$F$42="","",IF(OR($A242&lt;'Recurring Schedule'!$F$42,$A242&gt;'Recurring Schedule'!$P$42),"",IF(IF('Recurring Schedule'!$N$42&gt;0,MOD($A242-'Recurring Schedule'!$F$42,'Recurring Schedule'!$N$42)=0,IF('Recurring Schedule'!$O$42&gt;0,AND(DAY($A242)=MIN(DAY('Recurring Schedule'!$F$42),DAY(EOMONTH($A242,0))),MOD((YEAR($A242)-YEAR('Recurring Schedule'!$F$42))*12+MONTH($A242)-MONTH('Recurring Schedule'!$F$42),'Recurring Schedule'!$O$42)=0),IF('Recurring Schedule'!$E$42="Weekdays",WEEKDAY($A242,2)&lt;=5,$A242='Recurring Schedule'!$F$42))),37,""))))</f>
        <v/>
      </c>
      <c r="AM242">
        <f>IF('Recurring Schedule'!$C$43="","",IF('Recurring Schedule'!$F$43="","",IF(OR($A242&lt;'Recurring Schedule'!$F$43,$A242&gt;'Recurring Schedule'!$P$43),"",IF(IF('Recurring Schedule'!$N$43&gt;0,MOD($A242-'Recurring Schedule'!$F$43,'Recurring Schedule'!$N$43)=0,IF('Recurring Schedule'!$O$43&gt;0,AND(DAY($A242)=MIN(DAY('Recurring Schedule'!$F$43),DAY(EOMONTH($A242,0))),MOD((YEAR($A242)-YEAR('Recurring Schedule'!$F$43))*12+MONTH($A242)-MONTH('Recurring Schedule'!$F$43),'Recurring Schedule'!$O$43)=0),IF('Recurring Schedule'!$E$43="Weekdays",WEEKDAY($A242,2)&lt;=5,$A242='Recurring Schedule'!$F$43))),38,""))))</f>
        <v/>
      </c>
      <c r="AN242">
        <f>IF('Recurring Schedule'!$C$44="","",IF('Recurring Schedule'!$F$44="","",IF(OR($A242&lt;'Recurring Schedule'!$F$44,$A242&gt;'Recurring Schedule'!$P$44),"",IF(IF('Recurring Schedule'!$N$44&gt;0,MOD($A242-'Recurring Schedule'!$F$44,'Recurring Schedule'!$N$44)=0,IF('Recurring Schedule'!$O$44&gt;0,AND(DAY($A242)=MIN(DAY('Recurring Schedule'!$F$44),DAY(EOMONTH($A242,0))),MOD((YEAR($A242)-YEAR('Recurring Schedule'!$F$44))*12+MONTH($A242)-MONTH('Recurring Schedule'!$F$44),'Recurring Schedule'!$O$44)=0),IF('Recurring Schedule'!$E$44="Weekdays",WEEKDAY($A242,2)&lt;=5,$A242='Recurring Schedule'!$F$44))),39,""))))</f>
        <v/>
      </c>
      <c r="AO242">
        <f>IF('Recurring Schedule'!$C$45="","",IF('Recurring Schedule'!$F$45="","",IF(OR($A242&lt;'Recurring Schedule'!$F$45,$A242&gt;'Recurring Schedule'!$P$45),"",IF(IF('Recurring Schedule'!$N$45&gt;0,MOD($A242-'Recurring Schedule'!$F$45,'Recurring Schedule'!$N$45)=0,IF('Recurring Schedule'!$O$45&gt;0,AND(DAY($A242)=MIN(DAY('Recurring Schedule'!$F$45),DAY(EOMONTH($A242,0))),MOD((YEAR($A242)-YEAR('Recurring Schedule'!$F$45))*12+MONTH($A242)-MONTH('Recurring Schedule'!$F$45),'Recurring Schedule'!$O$45)=0),IF('Recurring Schedule'!$E$45="Weekdays",WEEKDAY($A242,2)&lt;=5,$A242='Recurring Schedule'!$F$45))),40,""))))</f>
        <v/>
      </c>
      <c r="AP242">
        <f>COUNT(B242:AO242)</f>
        <v/>
      </c>
      <c r="AQ242">
        <f>AQ241+AP241</f>
        <v/>
      </c>
      <c r="AS242" t="inlineStr">
        <is>
          <t>R</t>
        </is>
      </c>
      <c r="AT242" t="n">
        <v>246</v>
      </c>
      <c r="AU242">
        <f>'Recurring Log'!C246&amp;""</f>
        <v/>
      </c>
      <c r="AV242">
        <f>'Recurring Log'!D246&amp;""</f>
        <v/>
      </c>
      <c r="AW242">
        <f>IF('Recurring Log'!E246="","",'Recurring Log'!E246)</f>
        <v/>
      </c>
      <c r="AX242">
        <f>IF('Recurring Log'!G246="","",'Recurring Log'!G246)</f>
        <v/>
      </c>
      <c r="AY242">
        <f>IF('Recurring Log'!H246="","",'Recurring Log'!H246)</f>
        <v/>
      </c>
      <c r="AZ242">
        <f>IF(AU242="","",IF('Recurring Log'!J246="","Not Started",'Recurring Log'!J246))</f>
        <v/>
      </c>
      <c r="BA242">
        <f>'Recurring Log'!L246&amp;""</f>
        <v/>
      </c>
      <c r="BB242">
        <f>'Recurring Log'!M246&amp;""</f>
        <v/>
      </c>
      <c r="BC242">
        <f>'Recurring Log'!N246&amp;""</f>
        <v/>
      </c>
      <c r="BD242">
        <f>'Recurring Log'!O246&amp;""</f>
        <v/>
      </c>
      <c r="BE242">
        <f>IF('Recurring Log'!K246="","",'Recurring Log'!K246)</f>
        <v/>
      </c>
      <c r="BF242">
        <f>IFERROR(MATCH(BA242,Setup!$L$6:$L$9,0),5)</f>
        <v/>
      </c>
      <c r="BG242">
        <f>IF(OR(AZ242="Done",AZ242="Cancelled"),1,0)</f>
        <v/>
      </c>
      <c r="BH242">
        <f>IF(AND(AU242&lt;&gt;"",ISNUMBER(AW242)),1,0)</f>
        <v/>
      </c>
      <c r="BI242">
        <f>IF(BH242=0,0,IF(AND(AW242&gt;='Tasks Filter'!$F$3,AW242&lt;='Tasks Filter'!$F$4,OR('Tasks Filter'!$I$3="",ISNUMBER(SEARCH('Tasks Filter'!$I$3,AU242))),OR('Tasks Filter'!$I$4="",BF242=IFERROR(MATCH('Tasks Filter'!$I$4,Setup!$L$6:$L$9,0),0)),OR('Tasks Filter'!$I$5="Both",AND('Tasks Filter'!$I$5="Yes",BB242="✓"),AND('Tasks Filter'!$I$5="No",BB242&lt;&gt;"✓")),OR('Tasks Filter'!$L$3="",AV242='Tasks Filter'!$L$3),OR('Tasks Filter'!$L$4="",AZ242='Tasks Filter'!$L$4),OR('Tasks Filter'!$L$5="",BC242='Tasks Filter'!$L$5),OR('Tasks Filter'!$O$3="",BD242='Tasks Filter'!$O$3),OR('Tasks Filter'!$O$4="Yes",BG242=0)),1,0))</f>
        <v/>
      </c>
      <c r="BJ242">
        <f>IF(BH242=0,"",IF('Tasks Filter'!$F$6="Descending",-1,1)*CHOOSE(MATCH('Tasks Filter'!$F$5,Lists!$G$2:$G$6,0),AW242,BF242,IFERROR(MATCH(AV242,Setup!$F$6:$F$15,0),99),IFERROR(MATCH(BC242,Setup!$H$6:$H$15,0),99),IFERROR(MATCH(AZ242,Setup!$J$6:$J$11,0),99))*1E+9+(AW242-40000)*10000+241)</f>
        <v/>
      </c>
      <c r="BK242">
        <f>IF(BI242=1,BJ242,"")</f>
        <v/>
      </c>
      <c r="BL242">
        <f>IF(AND(BH242=1,BG242=0,N(AW242)&lt;Setup!$D$7),(AW242-40000)*10000+241,"")</f>
        <v/>
      </c>
      <c r="BM242">
        <f>IF(AND(BH242=1,AZ242&lt;&gt;"Cancelled",N(AW242)&gt;=Dashboard!$AB$3,N(AW242)&lt;=Dashboard!$AB$3+6),(AW242-40000)*100000+BF242*10000+241,"")</f>
        <v/>
      </c>
      <c r="BN242">
        <f>IF(AND(BH242=1,AZ242&lt;&gt;"Cancelled"),BF242*10000+241,"")</f>
        <v/>
      </c>
    </row>
    <row r="243">
      <c r="A243">
        <f>Setup!$D$5+241</f>
        <v/>
      </c>
      <c r="B243">
        <f>IF('Recurring Schedule'!$C$6="","",IF('Recurring Schedule'!$F$6="","",IF(OR($A243&lt;'Recurring Schedule'!$F$6,$A243&gt;'Recurring Schedule'!$P$6),"",IF(IF('Recurring Schedule'!$N$6&gt;0,MOD($A243-'Recurring Schedule'!$F$6,'Recurring Schedule'!$N$6)=0,IF('Recurring Schedule'!$O$6&gt;0,AND(DAY($A243)=MIN(DAY('Recurring Schedule'!$F$6),DAY(EOMONTH($A243,0))),MOD((YEAR($A243)-YEAR('Recurring Schedule'!$F$6))*12+MONTH($A243)-MONTH('Recurring Schedule'!$F$6),'Recurring Schedule'!$O$6)=0),IF('Recurring Schedule'!$E$6="Weekdays",WEEKDAY($A243,2)&lt;=5,$A243='Recurring Schedule'!$F$6))),1,""))))</f>
        <v/>
      </c>
      <c r="C243">
        <f>IF('Recurring Schedule'!$C$7="","",IF('Recurring Schedule'!$F$7="","",IF(OR($A243&lt;'Recurring Schedule'!$F$7,$A243&gt;'Recurring Schedule'!$P$7),"",IF(IF('Recurring Schedule'!$N$7&gt;0,MOD($A243-'Recurring Schedule'!$F$7,'Recurring Schedule'!$N$7)=0,IF('Recurring Schedule'!$O$7&gt;0,AND(DAY($A243)=MIN(DAY('Recurring Schedule'!$F$7),DAY(EOMONTH($A243,0))),MOD((YEAR($A243)-YEAR('Recurring Schedule'!$F$7))*12+MONTH($A243)-MONTH('Recurring Schedule'!$F$7),'Recurring Schedule'!$O$7)=0),IF('Recurring Schedule'!$E$7="Weekdays",WEEKDAY($A243,2)&lt;=5,$A243='Recurring Schedule'!$F$7))),2,""))))</f>
        <v/>
      </c>
      <c r="D243">
        <f>IF('Recurring Schedule'!$C$8="","",IF('Recurring Schedule'!$F$8="","",IF(OR($A243&lt;'Recurring Schedule'!$F$8,$A243&gt;'Recurring Schedule'!$P$8),"",IF(IF('Recurring Schedule'!$N$8&gt;0,MOD($A243-'Recurring Schedule'!$F$8,'Recurring Schedule'!$N$8)=0,IF('Recurring Schedule'!$O$8&gt;0,AND(DAY($A243)=MIN(DAY('Recurring Schedule'!$F$8),DAY(EOMONTH($A243,0))),MOD((YEAR($A243)-YEAR('Recurring Schedule'!$F$8))*12+MONTH($A243)-MONTH('Recurring Schedule'!$F$8),'Recurring Schedule'!$O$8)=0),IF('Recurring Schedule'!$E$8="Weekdays",WEEKDAY($A243,2)&lt;=5,$A243='Recurring Schedule'!$F$8))),3,""))))</f>
        <v/>
      </c>
      <c r="E243">
        <f>IF('Recurring Schedule'!$C$9="","",IF('Recurring Schedule'!$F$9="","",IF(OR($A243&lt;'Recurring Schedule'!$F$9,$A243&gt;'Recurring Schedule'!$P$9),"",IF(IF('Recurring Schedule'!$N$9&gt;0,MOD($A243-'Recurring Schedule'!$F$9,'Recurring Schedule'!$N$9)=0,IF('Recurring Schedule'!$O$9&gt;0,AND(DAY($A243)=MIN(DAY('Recurring Schedule'!$F$9),DAY(EOMONTH($A243,0))),MOD((YEAR($A243)-YEAR('Recurring Schedule'!$F$9))*12+MONTH($A243)-MONTH('Recurring Schedule'!$F$9),'Recurring Schedule'!$O$9)=0),IF('Recurring Schedule'!$E$9="Weekdays",WEEKDAY($A243,2)&lt;=5,$A243='Recurring Schedule'!$F$9))),4,""))))</f>
        <v/>
      </c>
      <c r="F243">
        <f>IF('Recurring Schedule'!$C$10="","",IF('Recurring Schedule'!$F$10="","",IF(OR($A243&lt;'Recurring Schedule'!$F$10,$A243&gt;'Recurring Schedule'!$P$10),"",IF(IF('Recurring Schedule'!$N$10&gt;0,MOD($A243-'Recurring Schedule'!$F$10,'Recurring Schedule'!$N$10)=0,IF('Recurring Schedule'!$O$10&gt;0,AND(DAY($A243)=MIN(DAY('Recurring Schedule'!$F$10),DAY(EOMONTH($A243,0))),MOD((YEAR($A243)-YEAR('Recurring Schedule'!$F$10))*12+MONTH($A243)-MONTH('Recurring Schedule'!$F$10),'Recurring Schedule'!$O$10)=0),IF('Recurring Schedule'!$E$10="Weekdays",WEEKDAY($A243,2)&lt;=5,$A243='Recurring Schedule'!$F$10))),5,""))))</f>
        <v/>
      </c>
      <c r="G243">
        <f>IF('Recurring Schedule'!$C$11="","",IF('Recurring Schedule'!$F$11="","",IF(OR($A243&lt;'Recurring Schedule'!$F$11,$A243&gt;'Recurring Schedule'!$P$11),"",IF(IF('Recurring Schedule'!$N$11&gt;0,MOD($A243-'Recurring Schedule'!$F$11,'Recurring Schedule'!$N$11)=0,IF('Recurring Schedule'!$O$11&gt;0,AND(DAY($A243)=MIN(DAY('Recurring Schedule'!$F$11),DAY(EOMONTH($A243,0))),MOD((YEAR($A243)-YEAR('Recurring Schedule'!$F$11))*12+MONTH($A243)-MONTH('Recurring Schedule'!$F$11),'Recurring Schedule'!$O$11)=0),IF('Recurring Schedule'!$E$11="Weekdays",WEEKDAY($A243,2)&lt;=5,$A243='Recurring Schedule'!$F$11))),6,""))))</f>
        <v/>
      </c>
      <c r="H243">
        <f>IF('Recurring Schedule'!$C$12="","",IF('Recurring Schedule'!$F$12="","",IF(OR($A243&lt;'Recurring Schedule'!$F$12,$A243&gt;'Recurring Schedule'!$P$12),"",IF(IF('Recurring Schedule'!$N$12&gt;0,MOD($A243-'Recurring Schedule'!$F$12,'Recurring Schedule'!$N$12)=0,IF('Recurring Schedule'!$O$12&gt;0,AND(DAY($A243)=MIN(DAY('Recurring Schedule'!$F$12),DAY(EOMONTH($A243,0))),MOD((YEAR($A243)-YEAR('Recurring Schedule'!$F$12))*12+MONTH($A243)-MONTH('Recurring Schedule'!$F$12),'Recurring Schedule'!$O$12)=0),IF('Recurring Schedule'!$E$12="Weekdays",WEEKDAY($A243,2)&lt;=5,$A243='Recurring Schedule'!$F$12))),7,""))))</f>
        <v/>
      </c>
      <c r="I243">
        <f>IF('Recurring Schedule'!$C$13="","",IF('Recurring Schedule'!$F$13="","",IF(OR($A243&lt;'Recurring Schedule'!$F$13,$A243&gt;'Recurring Schedule'!$P$13),"",IF(IF('Recurring Schedule'!$N$13&gt;0,MOD($A243-'Recurring Schedule'!$F$13,'Recurring Schedule'!$N$13)=0,IF('Recurring Schedule'!$O$13&gt;0,AND(DAY($A243)=MIN(DAY('Recurring Schedule'!$F$13),DAY(EOMONTH($A243,0))),MOD((YEAR($A243)-YEAR('Recurring Schedule'!$F$13))*12+MONTH($A243)-MONTH('Recurring Schedule'!$F$13),'Recurring Schedule'!$O$13)=0),IF('Recurring Schedule'!$E$13="Weekdays",WEEKDAY($A243,2)&lt;=5,$A243='Recurring Schedule'!$F$13))),8,""))))</f>
        <v/>
      </c>
      <c r="J243">
        <f>IF('Recurring Schedule'!$C$14="","",IF('Recurring Schedule'!$F$14="","",IF(OR($A243&lt;'Recurring Schedule'!$F$14,$A243&gt;'Recurring Schedule'!$P$14),"",IF(IF('Recurring Schedule'!$N$14&gt;0,MOD($A243-'Recurring Schedule'!$F$14,'Recurring Schedule'!$N$14)=0,IF('Recurring Schedule'!$O$14&gt;0,AND(DAY($A243)=MIN(DAY('Recurring Schedule'!$F$14),DAY(EOMONTH($A243,0))),MOD((YEAR($A243)-YEAR('Recurring Schedule'!$F$14))*12+MONTH($A243)-MONTH('Recurring Schedule'!$F$14),'Recurring Schedule'!$O$14)=0),IF('Recurring Schedule'!$E$14="Weekdays",WEEKDAY($A243,2)&lt;=5,$A243='Recurring Schedule'!$F$14))),9,""))))</f>
        <v/>
      </c>
      <c r="K243">
        <f>IF('Recurring Schedule'!$C$15="","",IF('Recurring Schedule'!$F$15="","",IF(OR($A243&lt;'Recurring Schedule'!$F$15,$A243&gt;'Recurring Schedule'!$P$15),"",IF(IF('Recurring Schedule'!$N$15&gt;0,MOD($A243-'Recurring Schedule'!$F$15,'Recurring Schedule'!$N$15)=0,IF('Recurring Schedule'!$O$15&gt;0,AND(DAY($A243)=MIN(DAY('Recurring Schedule'!$F$15),DAY(EOMONTH($A243,0))),MOD((YEAR($A243)-YEAR('Recurring Schedule'!$F$15))*12+MONTH($A243)-MONTH('Recurring Schedule'!$F$15),'Recurring Schedule'!$O$15)=0),IF('Recurring Schedule'!$E$15="Weekdays",WEEKDAY($A243,2)&lt;=5,$A243='Recurring Schedule'!$F$15))),10,""))))</f>
        <v/>
      </c>
      <c r="L243">
        <f>IF('Recurring Schedule'!$C$16="","",IF('Recurring Schedule'!$F$16="","",IF(OR($A243&lt;'Recurring Schedule'!$F$16,$A243&gt;'Recurring Schedule'!$P$16),"",IF(IF('Recurring Schedule'!$N$16&gt;0,MOD($A243-'Recurring Schedule'!$F$16,'Recurring Schedule'!$N$16)=0,IF('Recurring Schedule'!$O$16&gt;0,AND(DAY($A243)=MIN(DAY('Recurring Schedule'!$F$16),DAY(EOMONTH($A243,0))),MOD((YEAR($A243)-YEAR('Recurring Schedule'!$F$16))*12+MONTH($A243)-MONTH('Recurring Schedule'!$F$16),'Recurring Schedule'!$O$16)=0),IF('Recurring Schedule'!$E$16="Weekdays",WEEKDAY($A243,2)&lt;=5,$A243='Recurring Schedule'!$F$16))),11,""))))</f>
        <v/>
      </c>
      <c r="M243">
        <f>IF('Recurring Schedule'!$C$17="","",IF('Recurring Schedule'!$F$17="","",IF(OR($A243&lt;'Recurring Schedule'!$F$17,$A243&gt;'Recurring Schedule'!$P$17),"",IF(IF('Recurring Schedule'!$N$17&gt;0,MOD($A243-'Recurring Schedule'!$F$17,'Recurring Schedule'!$N$17)=0,IF('Recurring Schedule'!$O$17&gt;0,AND(DAY($A243)=MIN(DAY('Recurring Schedule'!$F$17),DAY(EOMONTH($A243,0))),MOD((YEAR($A243)-YEAR('Recurring Schedule'!$F$17))*12+MONTH($A243)-MONTH('Recurring Schedule'!$F$17),'Recurring Schedule'!$O$17)=0),IF('Recurring Schedule'!$E$17="Weekdays",WEEKDAY($A243,2)&lt;=5,$A243='Recurring Schedule'!$F$17))),12,""))))</f>
        <v/>
      </c>
      <c r="N243">
        <f>IF('Recurring Schedule'!$C$18="","",IF('Recurring Schedule'!$F$18="","",IF(OR($A243&lt;'Recurring Schedule'!$F$18,$A243&gt;'Recurring Schedule'!$P$18),"",IF(IF('Recurring Schedule'!$N$18&gt;0,MOD($A243-'Recurring Schedule'!$F$18,'Recurring Schedule'!$N$18)=0,IF('Recurring Schedule'!$O$18&gt;0,AND(DAY($A243)=MIN(DAY('Recurring Schedule'!$F$18),DAY(EOMONTH($A243,0))),MOD((YEAR($A243)-YEAR('Recurring Schedule'!$F$18))*12+MONTH($A243)-MONTH('Recurring Schedule'!$F$18),'Recurring Schedule'!$O$18)=0),IF('Recurring Schedule'!$E$18="Weekdays",WEEKDAY($A243,2)&lt;=5,$A243='Recurring Schedule'!$F$18))),13,""))))</f>
        <v/>
      </c>
      <c r="O243">
        <f>IF('Recurring Schedule'!$C$19="","",IF('Recurring Schedule'!$F$19="","",IF(OR($A243&lt;'Recurring Schedule'!$F$19,$A243&gt;'Recurring Schedule'!$P$19),"",IF(IF('Recurring Schedule'!$N$19&gt;0,MOD($A243-'Recurring Schedule'!$F$19,'Recurring Schedule'!$N$19)=0,IF('Recurring Schedule'!$O$19&gt;0,AND(DAY($A243)=MIN(DAY('Recurring Schedule'!$F$19),DAY(EOMONTH($A243,0))),MOD((YEAR($A243)-YEAR('Recurring Schedule'!$F$19))*12+MONTH($A243)-MONTH('Recurring Schedule'!$F$19),'Recurring Schedule'!$O$19)=0),IF('Recurring Schedule'!$E$19="Weekdays",WEEKDAY($A243,2)&lt;=5,$A243='Recurring Schedule'!$F$19))),14,""))))</f>
        <v/>
      </c>
      <c r="P243">
        <f>IF('Recurring Schedule'!$C$20="","",IF('Recurring Schedule'!$F$20="","",IF(OR($A243&lt;'Recurring Schedule'!$F$20,$A243&gt;'Recurring Schedule'!$P$20),"",IF(IF('Recurring Schedule'!$N$20&gt;0,MOD($A243-'Recurring Schedule'!$F$20,'Recurring Schedule'!$N$20)=0,IF('Recurring Schedule'!$O$20&gt;0,AND(DAY($A243)=MIN(DAY('Recurring Schedule'!$F$20),DAY(EOMONTH($A243,0))),MOD((YEAR($A243)-YEAR('Recurring Schedule'!$F$20))*12+MONTH($A243)-MONTH('Recurring Schedule'!$F$20),'Recurring Schedule'!$O$20)=0),IF('Recurring Schedule'!$E$20="Weekdays",WEEKDAY($A243,2)&lt;=5,$A243='Recurring Schedule'!$F$20))),15,""))))</f>
        <v/>
      </c>
      <c r="Q243">
        <f>IF('Recurring Schedule'!$C$21="","",IF('Recurring Schedule'!$F$21="","",IF(OR($A243&lt;'Recurring Schedule'!$F$21,$A243&gt;'Recurring Schedule'!$P$21),"",IF(IF('Recurring Schedule'!$N$21&gt;0,MOD($A243-'Recurring Schedule'!$F$21,'Recurring Schedule'!$N$21)=0,IF('Recurring Schedule'!$O$21&gt;0,AND(DAY($A243)=MIN(DAY('Recurring Schedule'!$F$21),DAY(EOMONTH($A243,0))),MOD((YEAR($A243)-YEAR('Recurring Schedule'!$F$21))*12+MONTH($A243)-MONTH('Recurring Schedule'!$F$21),'Recurring Schedule'!$O$21)=0),IF('Recurring Schedule'!$E$21="Weekdays",WEEKDAY($A243,2)&lt;=5,$A243='Recurring Schedule'!$F$21))),16,""))))</f>
        <v/>
      </c>
      <c r="R243">
        <f>IF('Recurring Schedule'!$C$22="","",IF('Recurring Schedule'!$F$22="","",IF(OR($A243&lt;'Recurring Schedule'!$F$22,$A243&gt;'Recurring Schedule'!$P$22),"",IF(IF('Recurring Schedule'!$N$22&gt;0,MOD($A243-'Recurring Schedule'!$F$22,'Recurring Schedule'!$N$22)=0,IF('Recurring Schedule'!$O$22&gt;0,AND(DAY($A243)=MIN(DAY('Recurring Schedule'!$F$22),DAY(EOMONTH($A243,0))),MOD((YEAR($A243)-YEAR('Recurring Schedule'!$F$22))*12+MONTH($A243)-MONTH('Recurring Schedule'!$F$22),'Recurring Schedule'!$O$22)=0),IF('Recurring Schedule'!$E$22="Weekdays",WEEKDAY($A243,2)&lt;=5,$A243='Recurring Schedule'!$F$22))),17,""))))</f>
        <v/>
      </c>
      <c r="S243">
        <f>IF('Recurring Schedule'!$C$23="","",IF('Recurring Schedule'!$F$23="","",IF(OR($A243&lt;'Recurring Schedule'!$F$23,$A243&gt;'Recurring Schedule'!$P$23),"",IF(IF('Recurring Schedule'!$N$23&gt;0,MOD($A243-'Recurring Schedule'!$F$23,'Recurring Schedule'!$N$23)=0,IF('Recurring Schedule'!$O$23&gt;0,AND(DAY($A243)=MIN(DAY('Recurring Schedule'!$F$23),DAY(EOMONTH($A243,0))),MOD((YEAR($A243)-YEAR('Recurring Schedule'!$F$23))*12+MONTH($A243)-MONTH('Recurring Schedule'!$F$23),'Recurring Schedule'!$O$23)=0),IF('Recurring Schedule'!$E$23="Weekdays",WEEKDAY($A243,2)&lt;=5,$A243='Recurring Schedule'!$F$23))),18,""))))</f>
        <v/>
      </c>
      <c r="T243">
        <f>IF('Recurring Schedule'!$C$24="","",IF('Recurring Schedule'!$F$24="","",IF(OR($A243&lt;'Recurring Schedule'!$F$24,$A243&gt;'Recurring Schedule'!$P$24),"",IF(IF('Recurring Schedule'!$N$24&gt;0,MOD($A243-'Recurring Schedule'!$F$24,'Recurring Schedule'!$N$24)=0,IF('Recurring Schedule'!$O$24&gt;0,AND(DAY($A243)=MIN(DAY('Recurring Schedule'!$F$24),DAY(EOMONTH($A243,0))),MOD((YEAR($A243)-YEAR('Recurring Schedule'!$F$24))*12+MONTH($A243)-MONTH('Recurring Schedule'!$F$24),'Recurring Schedule'!$O$24)=0),IF('Recurring Schedule'!$E$24="Weekdays",WEEKDAY($A243,2)&lt;=5,$A243='Recurring Schedule'!$F$24))),19,""))))</f>
        <v/>
      </c>
      <c r="U243">
        <f>IF('Recurring Schedule'!$C$25="","",IF('Recurring Schedule'!$F$25="","",IF(OR($A243&lt;'Recurring Schedule'!$F$25,$A243&gt;'Recurring Schedule'!$P$25),"",IF(IF('Recurring Schedule'!$N$25&gt;0,MOD($A243-'Recurring Schedule'!$F$25,'Recurring Schedule'!$N$25)=0,IF('Recurring Schedule'!$O$25&gt;0,AND(DAY($A243)=MIN(DAY('Recurring Schedule'!$F$25),DAY(EOMONTH($A243,0))),MOD((YEAR($A243)-YEAR('Recurring Schedule'!$F$25))*12+MONTH($A243)-MONTH('Recurring Schedule'!$F$25),'Recurring Schedule'!$O$25)=0),IF('Recurring Schedule'!$E$25="Weekdays",WEEKDAY($A243,2)&lt;=5,$A243='Recurring Schedule'!$F$25))),20,""))))</f>
        <v/>
      </c>
      <c r="V243">
        <f>IF('Recurring Schedule'!$C$26="","",IF('Recurring Schedule'!$F$26="","",IF(OR($A243&lt;'Recurring Schedule'!$F$26,$A243&gt;'Recurring Schedule'!$P$26),"",IF(IF('Recurring Schedule'!$N$26&gt;0,MOD($A243-'Recurring Schedule'!$F$26,'Recurring Schedule'!$N$26)=0,IF('Recurring Schedule'!$O$26&gt;0,AND(DAY($A243)=MIN(DAY('Recurring Schedule'!$F$26),DAY(EOMONTH($A243,0))),MOD((YEAR($A243)-YEAR('Recurring Schedule'!$F$26))*12+MONTH($A243)-MONTH('Recurring Schedule'!$F$26),'Recurring Schedule'!$O$26)=0),IF('Recurring Schedule'!$E$26="Weekdays",WEEKDAY($A243,2)&lt;=5,$A243='Recurring Schedule'!$F$26))),21,""))))</f>
        <v/>
      </c>
      <c r="W243">
        <f>IF('Recurring Schedule'!$C$27="","",IF('Recurring Schedule'!$F$27="","",IF(OR($A243&lt;'Recurring Schedule'!$F$27,$A243&gt;'Recurring Schedule'!$P$27),"",IF(IF('Recurring Schedule'!$N$27&gt;0,MOD($A243-'Recurring Schedule'!$F$27,'Recurring Schedule'!$N$27)=0,IF('Recurring Schedule'!$O$27&gt;0,AND(DAY($A243)=MIN(DAY('Recurring Schedule'!$F$27),DAY(EOMONTH($A243,0))),MOD((YEAR($A243)-YEAR('Recurring Schedule'!$F$27))*12+MONTH($A243)-MONTH('Recurring Schedule'!$F$27),'Recurring Schedule'!$O$27)=0),IF('Recurring Schedule'!$E$27="Weekdays",WEEKDAY($A243,2)&lt;=5,$A243='Recurring Schedule'!$F$27))),22,""))))</f>
        <v/>
      </c>
      <c r="X243">
        <f>IF('Recurring Schedule'!$C$28="","",IF('Recurring Schedule'!$F$28="","",IF(OR($A243&lt;'Recurring Schedule'!$F$28,$A243&gt;'Recurring Schedule'!$P$28),"",IF(IF('Recurring Schedule'!$N$28&gt;0,MOD($A243-'Recurring Schedule'!$F$28,'Recurring Schedule'!$N$28)=0,IF('Recurring Schedule'!$O$28&gt;0,AND(DAY($A243)=MIN(DAY('Recurring Schedule'!$F$28),DAY(EOMONTH($A243,0))),MOD((YEAR($A243)-YEAR('Recurring Schedule'!$F$28))*12+MONTH($A243)-MONTH('Recurring Schedule'!$F$28),'Recurring Schedule'!$O$28)=0),IF('Recurring Schedule'!$E$28="Weekdays",WEEKDAY($A243,2)&lt;=5,$A243='Recurring Schedule'!$F$28))),23,""))))</f>
        <v/>
      </c>
      <c r="Y243">
        <f>IF('Recurring Schedule'!$C$29="","",IF('Recurring Schedule'!$F$29="","",IF(OR($A243&lt;'Recurring Schedule'!$F$29,$A243&gt;'Recurring Schedule'!$P$29),"",IF(IF('Recurring Schedule'!$N$29&gt;0,MOD($A243-'Recurring Schedule'!$F$29,'Recurring Schedule'!$N$29)=0,IF('Recurring Schedule'!$O$29&gt;0,AND(DAY($A243)=MIN(DAY('Recurring Schedule'!$F$29),DAY(EOMONTH($A243,0))),MOD((YEAR($A243)-YEAR('Recurring Schedule'!$F$29))*12+MONTH($A243)-MONTH('Recurring Schedule'!$F$29),'Recurring Schedule'!$O$29)=0),IF('Recurring Schedule'!$E$29="Weekdays",WEEKDAY($A243,2)&lt;=5,$A243='Recurring Schedule'!$F$29))),24,""))))</f>
        <v/>
      </c>
      <c r="Z243">
        <f>IF('Recurring Schedule'!$C$30="","",IF('Recurring Schedule'!$F$30="","",IF(OR($A243&lt;'Recurring Schedule'!$F$30,$A243&gt;'Recurring Schedule'!$P$30),"",IF(IF('Recurring Schedule'!$N$30&gt;0,MOD($A243-'Recurring Schedule'!$F$30,'Recurring Schedule'!$N$30)=0,IF('Recurring Schedule'!$O$30&gt;0,AND(DAY($A243)=MIN(DAY('Recurring Schedule'!$F$30),DAY(EOMONTH($A243,0))),MOD((YEAR($A243)-YEAR('Recurring Schedule'!$F$30))*12+MONTH($A243)-MONTH('Recurring Schedule'!$F$30),'Recurring Schedule'!$O$30)=0),IF('Recurring Schedule'!$E$30="Weekdays",WEEKDAY($A243,2)&lt;=5,$A243='Recurring Schedule'!$F$30))),25,""))))</f>
        <v/>
      </c>
      <c r="AA243">
        <f>IF('Recurring Schedule'!$C$31="","",IF('Recurring Schedule'!$F$31="","",IF(OR($A243&lt;'Recurring Schedule'!$F$31,$A243&gt;'Recurring Schedule'!$P$31),"",IF(IF('Recurring Schedule'!$N$31&gt;0,MOD($A243-'Recurring Schedule'!$F$31,'Recurring Schedule'!$N$31)=0,IF('Recurring Schedule'!$O$31&gt;0,AND(DAY($A243)=MIN(DAY('Recurring Schedule'!$F$31),DAY(EOMONTH($A243,0))),MOD((YEAR($A243)-YEAR('Recurring Schedule'!$F$31))*12+MONTH($A243)-MONTH('Recurring Schedule'!$F$31),'Recurring Schedule'!$O$31)=0),IF('Recurring Schedule'!$E$31="Weekdays",WEEKDAY($A243,2)&lt;=5,$A243='Recurring Schedule'!$F$31))),26,""))))</f>
        <v/>
      </c>
      <c r="AB243">
        <f>IF('Recurring Schedule'!$C$32="","",IF('Recurring Schedule'!$F$32="","",IF(OR($A243&lt;'Recurring Schedule'!$F$32,$A243&gt;'Recurring Schedule'!$P$32),"",IF(IF('Recurring Schedule'!$N$32&gt;0,MOD($A243-'Recurring Schedule'!$F$32,'Recurring Schedule'!$N$32)=0,IF('Recurring Schedule'!$O$32&gt;0,AND(DAY($A243)=MIN(DAY('Recurring Schedule'!$F$32),DAY(EOMONTH($A243,0))),MOD((YEAR($A243)-YEAR('Recurring Schedule'!$F$32))*12+MONTH($A243)-MONTH('Recurring Schedule'!$F$32),'Recurring Schedule'!$O$32)=0),IF('Recurring Schedule'!$E$32="Weekdays",WEEKDAY($A243,2)&lt;=5,$A243='Recurring Schedule'!$F$32))),27,""))))</f>
        <v/>
      </c>
      <c r="AC243">
        <f>IF('Recurring Schedule'!$C$33="","",IF('Recurring Schedule'!$F$33="","",IF(OR($A243&lt;'Recurring Schedule'!$F$33,$A243&gt;'Recurring Schedule'!$P$33),"",IF(IF('Recurring Schedule'!$N$33&gt;0,MOD($A243-'Recurring Schedule'!$F$33,'Recurring Schedule'!$N$33)=0,IF('Recurring Schedule'!$O$33&gt;0,AND(DAY($A243)=MIN(DAY('Recurring Schedule'!$F$33),DAY(EOMONTH($A243,0))),MOD((YEAR($A243)-YEAR('Recurring Schedule'!$F$33))*12+MONTH($A243)-MONTH('Recurring Schedule'!$F$33),'Recurring Schedule'!$O$33)=0),IF('Recurring Schedule'!$E$33="Weekdays",WEEKDAY($A243,2)&lt;=5,$A243='Recurring Schedule'!$F$33))),28,""))))</f>
        <v/>
      </c>
      <c r="AD243">
        <f>IF('Recurring Schedule'!$C$34="","",IF('Recurring Schedule'!$F$34="","",IF(OR($A243&lt;'Recurring Schedule'!$F$34,$A243&gt;'Recurring Schedule'!$P$34),"",IF(IF('Recurring Schedule'!$N$34&gt;0,MOD($A243-'Recurring Schedule'!$F$34,'Recurring Schedule'!$N$34)=0,IF('Recurring Schedule'!$O$34&gt;0,AND(DAY($A243)=MIN(DAY('Recurring Schedule'!$F$34),DAY(EOMONTH($A243,0))),MOD((YEAR($A243)-YEAR('Recurring Schedule'!$F$34))*12+MONTH($A243)-MONTH('Recurring Schedule'!$F$34),'Recurring Schedule'!$O$34)=0),IF('Recurring Schedule'!$E$34="Weekdays",WEEKDAY($A243,2)&lt;=5,$A243='Recurring Schedule'!$F$34))),29,""))))</f>
        <v/>
      </c>
      <c r="AE243">
        <f>IF('Recurring Schedule'!$C$35="","",IF('Recurring Schedule'!$F$35="","",IF(OR($A243&lt;'Recurring Schedule'!$F$35,$A243&gt;'Recurring Schedule'!$P$35),"",IF(IF('Recurring Schedule'!$N$35&gt;0,MOD($A243-'Recurring Schedule'!$F$35,'Recurring Schedule'!$N$35)=0,IF('Recurring Schedule'!$O$35&gt;0,AND(DAY($A243)=MIN(DAY('Recurring Schedule'!$F$35),DAY(EOMONTH($A243,0))),MOD((YEAR($A243)-YEAR('Recurring Schedule'!$F$35))*12+MONTH($A243)-MONTH('Recurring Schedule'!$F$35),'Recurring Schedule'!$O$35)=0),IF('Recurring Schedule'!$E$35="Weekdays",WEEKDAY($A243,2)&lt;=5,$A243='Recurring Schedule'!$F$35))),30,""))))</f>
        <v/>
      </c>
      <c r="AF243">
        <f>IF('Recurring Schedule'!$C$36="","",IF('Recurring Schedule'!$F$36="","",IF(OR($A243&lt;'Recurring Schedule'!$F$36,$A243&gt;'Recurring Schedule'!$P$36),"",IF(IF('Recurring Schedule'!$N$36&gt;0,MOD($A243-'Recurring Schedule'!$F$36,'Recurring Schedule'!$N$36)=0,IF('Recurring Schedule'!$O$36&gt;0,AND(DAY($A243)=MIN(DAY('Recurring Schedule'!$F$36),DAY(EOMONTH($A243,0))),MOD((YEAR($A243)-YEAR('Recurring Schedule'!$F$36))*12+MONTH($A243)-MONTH('Recurring Schedule'!$F$36),'Recurring Schedule'!$O$36)=0),IF('Recurring Schedule'!$E$36="Weekdays",WEEKDAY($A243,2)&lt;=5,$A243='Recurring Schedule'!$F$36))),31,""))))</f>
        <v/>
      </c>
      <c r="AG243">
        <f>IF('Recurring Schedule'!$C$37="","",IF('Recurring Schedule'!$F$37="","",IF(OR($A243&lt;'Recurring Schedule'!$F$37,$A243&gt;'Recurring Schedule'!$P$37),"",IF(IF('Recurring Schedule'!$N$37&gt;0,MOD($A243-'Recurring Schedule'!$F$37,'Recurring Schedule'!$N$37)=0,IF('Recurring Schedule'!$O$37&gt;0,AND(DAY($A243)=MIN(DAY('Recurring Schedule'!$F$37),DAY(EOMONTH($A243,0))),MOD((YEAR($A243)-YEAR('Recurring Schedule'!$F$37))*12+MONTH($A243)-MONTH('Recurring Schedule'!$F$37),'Recurring Schedule'!$O$37)=0),IF('Recurring Schedule'!$E$37="Weekdays",WEEKDAY($A243,2)&lt;=5,$A243='Recurring Schedule'!$F$37))),32,""))))</f>
        <v/>
      </c>
      <c r="AH243">
        <f>IF('Recurring Schedule'!$C$38="","",IF('Recurring Schedule'!$F$38="","",IF(OR($A243&lt;'Recurring Schedule'!$F$38,$A243&gt;'Recurring Schedule'!$P$38),"",IF(IF('Recurring Schedule'!$N$38&gt;0,MOD($A243-'Recurring Schedule'!$F$38,'Recurring Schedule'!$N$38)=0,IF('Recurring Schedule'!$O$38&gt;0,AND(DAY($A243)=MIN(DAY('Recurring Schedule'!$F$38),DAY(EOMONTH($A243,0))),MOD((YEAR($A243)-YEAR('Recurring Schedule'!$F$38))*12+MONTH($A243)-MONTH('Recurring Schedule'!$F$38),'Recurring Schedule'!$O$38)=0),IF('Recurring Schedule'!$E$38="Weekdays",WEEKDAY($A243,2)&lt;=5,$A243='Recurring Schedule'!$F$38))),33,""))))</f>
        <v/>
      </c>
      <c r="AI243">
        <f>IF('Recurring Schedule'!$C$39="","",IF('Recurring Schedule'!$F$39="","",IF(OR($A243&lt;'Recurring Schedule'!$F$39,$A243&gt;'Recurring Schedule'!$P$39),"",IF(IF('Recurring Schedule'!$N$39&gt;0,MOD($A243-'Recurring Schedule'!$F$39,'Recurring Schedule'!$N$39)=0,IF('Recurring Schedule'!$O$39&gt;0,AND(DAY($A243)=MIN(DAY('Recurring Schedule'!$F$39),DAY(EOMONTH($A243,0))),MOD((YEAR($A243)-YEAR('Recurring Schedule'!$F$39))*12+MONTH($A243)-MONTH('Recurring Schedule'!$F$39),'Recurring Schedule'!$O$39)=0),IF('Recurring Schedule'!$E$39="Weekdays",WEEKDAY($A243,2)&lt;=5,$A243='Recurring Schedule'!$F$39))),34,""))))</f>
        <v/>
      </c>
      <c r="AJ243">
        <f>IF('Recurring Schedule'!$C$40="","",IF('Recurring Schedule'!$F$40="","",IF(OR($A243&lt;'Recurring Schedule'!$F$40,$A243&gt;'Recurring Schedule'!$P$40),"",IF(IF('Recurring Schedule'!$N$40&gt;0,MOD($A243-'Recurring Schedule'!$F$40,'Recurring Schedule'!$N$40)=0,IF('Recurring Schedule'!$O$40&gt;0,AND(DAY($A243)=MIN(DAY('Recurring Schedule'!$F$40),DAY(EOMONTH($A243,0))),MOD((YEAR($A243)-YEAR('Recurring Schedule'!$F$40))*12+MONTH($A243)-MONTH('Recurring Schedule'!$F$40),'Recurring Schedule'!$O$40)=0),IF('Recurring Schedule'!$E$40="Weekdays",WEEKDAY($A243,2)&lt;=5,$A243='Recurring Schedule'!$F$40))),35,""))))</f>
        <v/>
      </c>
      <c r="AK243">
        <f>IF('Recurring Schedule'!$C$41="","",IF('Recurring Schedule'!$F$41="","",IF(OR($A243&lt;'Recurring Schedule'!$F$41,$A243&gt;'Recurring Schedule'!$P$41),"",IF(IF('Recurring Schedule'!$N$41&gt;0,MOD($A243-'Recurring Schedule'!$F$41,'Recurring Schedule'!$N$41)=0,IF('Recurring Schedule'!$O$41&gt;0,AND(DAY($A243)=MIN(DAY('Recurring Schedule'!$F$41),DAY(EOMONTH($A243,0))),MOD((YEAR($A243)-YEAR('Recurring Schedule'!$F$41))*12+MONTH($A243)-MONTH('Recurring Schedule'!$F$41),'Recurring Schedule'!$O$41)=0),IF('Recurring Schedule'!$E$41="Weekdays",WEEKDAY($A243,2)&lt;=5,$A243='Recurring Schedule'!$F$41))),36,""))))</f>
        <v/>
      </c>
      <c r="AL243">
        <f>IF('Recurring Schedule'!$C$42="","",IF('Recurring Schedule'!$F$42="","",IF(OR($A243&lt;'Recurring Schedule'!$F$42,$A243&gt;'Recurring Schedule'!$P$42),"",IF(IF('Recurring Schedule'!$N$42&gt;0,MOD($A243-'Recurring Schedule'!$F$42,'Recurring Schedule'!$N$42)=0,IF('Recurring Schedule'!$O$42&gt;0,AND(DAY($A243)=MIN(DAY('Recurring Schedule'!$F$42),DAY(EOMONTH($A243,0))),MOD((YEAR($A243)-YEAR('Recurring Schedule'!$F$42))*12+MONTH($A243)-MONTH('Recurring Schedule'!$F$42),'Recurring Schedule'!$O$42)=0),IF('Recurring Schedule'!$E$42="Weekdays",WEEKDAY($A243,2)&lt;=5,$A243='Recurring Schedule'!$F$42))),37,""))))</f>
        <v/>
      </c>
      <c r="AM243">
        <f>IF('Recurring Schedule'!$C$43="","",IF('Recurring Schedule'!$F$43="","",IF(OR($A243&lt;'Recurring Schedule'!$F$43,$A243&gt;'Recurring Schedule'!$P$43),"",IF(IF('Recurring Schedule'!$N$43&gt;0,MOD($A243-'Recurring Schedule'!$F$43,'Recurring Schedule'!$N$43)=0,IF('Recurring Schedule'!$O$43&gt;0,AND(DAY($A243)=MIN(DAY('Recurring Schedule'!$F$43),DAY(EOMONTH($A243,0))),MOD((YEAR($A243)-YEAR('Recurring Schedule'!$F$43))*12+MONTH($A243)-MONTH('Recurring Schedule'!$F$43),'Recurring Schedule'!$O$43)=0),IF('Recurring Schedule'!$E$43="Weekdays",WEEKDAY($A243,2)&lt;=5,$A243='Recurring Schedule'!$F$43))),38,""))))</f>
        <v/>
      </c>
      <c r="AN243">
        <f>IF('Recurring Schedule'!$C$44="","",IF('Recurring Schedule'!$F$44="","",IF(OR($A243&lt;'Recurring Schedule'!$F$44,$A243&gt;'Recurring Schedule'!$P$44),"",IF(IF('Recurring Schedule'!$N$44&gt;0,MOD($A243-'Recurring Schedule'!$F$44,'Recurring Schedule'!$N$44)=0,IF('Recurring Schedule'!$O$44&gt;0,AND(DAY($A243)=MIN(DAY('Recurring Schedule'!$F$44),DAY(EOMONTH($A243,0))),MOD((YEAR($A243)-YEAR('Recurring Schedule'!$F$44))*12+MONTH($A243)-MONTH('Recurring Schedule'!$F$44),'Recurring Schedule'!$O$44)=0),IF('Recurring Schedule'!$E$44="Weekdays",WEEKDAY($A243,2)&lt;=5,$A243='Recurring Schedule'!$F$44))),39,""))))</f>
        <v/>
      </c>
      <c r="AO243">
        <f>IF('Recurring Schedule'!$C$45="","",IF('Recurring Schedule'!$F$45="","",IF(OR($A243&lt;'Recurring Schedule'!$F$45,$A243&gt;'Recurring Schedule'!$P$45),"",IF(IF('Recurring Schedule'!$N$45&gt;0,MOD($A243-'Recurring Schedule'!$F$45,'Recurring Schedule'!$N$45)=0,IF('Recurring Schedule'!$O$45&gt;0,AND(DAY($A243)=MIN(DAY('Recurring Schedule'!$F$45),DAY(EOMONTH($A243,0))),MOD((YEAR($A243)-YEAR('Recurring Schedule'!$F$45))*12+MONTH($A243)-MONTH('Recurring Schedule'!$F$45),'Recurring Schedule'!$O$45)=0),IF('Recurring Schedule'!$E$45="Weekdays",WEEKDAY($A243,2)&lt;=5,$A243='Recurring Schedule'!$F$45))),40,""))))</f>
        <v/>
      </c>
      <c r="AP243">
        <f>COUNT(B243:AO243)</f>
        <v/>
      </c>
      <c r="AQ243">
        <f>AQ242+AP242</f>
        <v/>
      </c>
      <c r="AS243" t="inlineStr">
        <is>
          <t>R</t>
        </is>
      </c>
      <c r="AT243" t="n">
        <v>247</v>
      </c>
      <c r="AU243">
        <f>'Recurring Log'!C247&amp;""</f>
        <v/>
      </c>
      <c r="AV243">
        <f>'Recurring Log'!D247&amp;""</f>
        <v/>
      </c>
      <c r="AW243">
        <f>IF('Recurring Log'!E247="","",'Recurring Log'!E247)</f>
        <v/>
      </c>
      <c r="AX243">
        <f>IF('Recurring Log'!G247="","",'Recurring Log'!G247)</f>
        <v/>
      </c>
      <c r="AY243">
        <f>IF('Recurring Log'!H247="","",'Recurring Log'!H247)</f>
        <v/>
      </c>
      <c r="AZ243">
        <f>IF(AU243="","",IF('Recurring Log'!J247="","Not Started",'Recurring Log'!J247))</f>
        <v/>
      </c>
      <c r="BA243">
        <f>'Recurring Log'!L247&amp;""</f>
        <v/>
      </c>
      <c r="BB243">
        <f>'Recurring Log'!M247&amp;""</f>
        <v/>
      </c>
      <c r="BC243">
        <f>'Recurring Log'!N247&amp;""</f>
        <v/>
      </c>
      <c r="BD243">
        <f>'Recurring Log'!O247&amp;""</f>
        <v/>
      </c>
      <c r="BE243">
        <f>IF('Recurring Log'!K247="","",'Recurring Log'!K247)</f>
        <v/>
      </c>
      <c r="BF243">
        <f>IFERROR(MATCH(BA243,Setup!$L$6:$L$9,0),5)</f>
        <v/>
      </c>
      <c r="BG243">
        <f>IF(OR(AZ243="Done",AZ243="Cancelled"),1,0)</f>
        <v/>
      </c>
      <c r="BH243">
        <f>IF(AND(AU243&lt;&gt;"",ISNUMBER(AW243)),1,0)</f>
        <v/>
      </c>
      <c r="BI243">
        <f>IF(BH243=0,0,IF(AND(AW243&gt;='Tasks Filter'!$F$3,AW243&lt;='Tasks Filter'!$F$4,OR('Tasks Filter'!$I$3="",ISNUMBER(SEARCH('Tasks Filter'!$I$3,AU243))),OR('Tasks Filter'!$I$4="",BF243=IFERROR(MATCH('Tasks Filter'!$I$4,Setup!$L$6:$L$9,0),0)),OR('Tasks Filter'!$I$5="Both",AND('Tasks Filter'!$I$5="Yes",BB243="✓"),AND('Tasks Filter'!$I$5="No",BB243&lt;&gt;"✓")),OR('Tasks Filter'!$L$3="",AV243='Tasks Filter'!$L$3),OR('Tasks Filter'!$L$4="",AZ243='Tasks Filter'!$L$4),OR('Tasks Filter'!$L$5="",BC243='Tasks Filter'!$L$5),OR('Tasks Filter'!$O$3="",BD243='Tasks Filter'!$O$3),OR('Tasks Filter'!$O$4="Yes",BG243=0)),1,0))</f>
        <v/>
      </c>
      <c r="BJ243">
        <f>IF(BH243=0,"",IF('Tasks Filter'!$F$6="Descending",-1,1)*CHOOSE(MATCH('Tasks Filter'!$F$5,Lists!$G$2:$G$6,0),AW243,BF243,IFERROR(MATCH(AV243,Setup!$F$6:$F$15,0),99),IFERROR(MATCH(BC243,Setup!$H$6:$H$15,0),99),IFERROR(MATCH(AZ243,Setup!$J$6:$J$11,0),99))*1E+9+(AW243-40000)*10000+242)</f>
        <v/>
      </c>
      <c r="BK243">
        <f>IF(BI243=1,BJ243,"")</f>
        <v/>
      </c>
      <c r="BL243">
        <f>IF(AND(BH243=1,BG243=0,N(AW243)&lt;Setup!$D$7),(AW243-40000)*10000+242,"")</f>
        <v/>
      </c>
      <c r="BM243">
        <f>IF(AND(BH243=1,AZ243&lt;&gt;"Cancelled",N(AW243)&gt;=Dashboard!$AB$3,N(AW243)&lt;=Dashboard!$AB$3+6),(AW243-40000)*100000+BF243*10000+242,"")</f>
        <v/>
      </c>
      <c r="BN243">
        <f>IF(AND(BH243=1,AZ243&lt;&gt;"Cancelled"),BF243*10000+242,"")</f>
        <v/>
      </c>
    </row>
    <row r="244">
      <c r="A244">
        <f>Setup!$D$5+242</f>
        <v/>
      </c>
      <c r="B244">
        <f>IF('Recurring Schedule'!$C$6="","",IF('Recurring Schedule'!$F$6="","",IF(OR($A244&lt;'Recurring Schedule'!$F$6,$A244&gt;'Recurring Schedule'!$P$6),"",IF(IF('Recurring Schedule'!$N$6&gt;0,MOD($A244-'Recurring Schedule'!$F$6,'Recurring Schedule'!$N$6)=0,IF('Recurring Schedule'!$O$6&gt;0,AND(DAY($A244)=MIN(DAY('Recurring Schedule'!$F$6),DAY(EOMONTH($A244,0))),MOD((YEAR($A244)-YEAR('Recurring Schedule'!$F$6))*12+MONTH($A244)-MONTH('Recurring Schedule'!$F$6),'Recurring Schedule'!$O$6)=0),IF('Recurring Schedule'!$E$6="Weekdays",WEEKDAY($A244,2)&lt;=5,$A244='Recurring Schedule'!$F$6))),1,""))))</f>
        <v/>
      </c>
      <c r="C244">
        <f>IF('Recurring Schedule'!$C$7="","",IF('Recurring Schedule'!$F$7="","",IF(OR($A244&lt;'Recurring Schedule'!$F$7,$A244&gt;'Recurring Schedule'!$P$7),"",IF(IF('Recurring Schedule'!$N$7&gt;0,MOD($A244-'Recurring Schedule'!$F$7,'Recurring Schedule'!$N$7)=0,IF('Recurring Schedule'!$O$7&gt;0,AND(DAY($A244)=MIN(DAY('Recurring Schedule'!$F$7),DAY(EOMONTH($A244,0))),MOD((YEAR($A244)-YEAR('Recurring Schedule'!$F$7))*12+MONTH($A244)-MONTH('Recurring Schedule'!$F$7),'Recurring Schedule'!$O$7)=0),IF('Recurring Schedule'!$E$7="Weekdays",WEEKDAY($A244,2)&lt;=5,$A244='Recurring Schedule'!$F$7))),2,""))))</f>
        <v/>
      </c>
      <c r="D244">
        <f>IF('Recurring Schedule'!$C$8="","",IF('Recurring Schedule'!$F$8="","",IF(OR($A244&lt;'Recurring Schedule'!$F$8,$A244&gt;'Recurring Schedule'!$P$8),"",IF(IF('Recurring Schedule'!$N$8&gt;0,MOD($A244-'Recurring Schedule'!$F$8,'Recurring Schedule'!$N$8)=0,IF('Recurring Schedule'!$O$8&gt;0,AND(DAY($A244)=MIN(DAY('Recurring Schedule'!$F$8),DAY(EOMONTH($A244,0))),MOD((YEAR($A244)-YEAR('Recurring Schedule'!$F$8))*12+MONTH($A244)-MONTH('Recurring Schedule'!$F$8),'Recurring Schedule'!$O$8)=0),IF('Recurring Schedule'!$E$8="Weekdays",WEEKDAY($A244,2)&lt;=5,$A244='Recurring Schedule'!$F$8))),3,""))))</f>
        <v/>
      </c>
      <c r="E244">
        <f>IF('Recurring Schedule'!$C$9="","",IF('Recurring Schedule'!$F$9="","",IF(OR($A244&lt;'Recurring Schedule'!$F$9,$A244&gt;'Recurring Schedule'!$P$9),"",IF(IF('Recurring Schedule'!$N$9&gt;0,MOD($A244-'Recurring Schedule'!$F$9,'Recurring Schedule'!$N$9)=0,IF('Recurring Schedule'!$O$9&gt;0,AND(DAY($A244)=MIN(DAY('Recurring Schedule'!$F$9),DAY(EOMONTH($A244,0))),MOD((YEAR($A244)-YEAR('Recurring Schedule'!$F$9))*12+MONTH($A244)-MONTH('Recurring Schedule'!$F$9),'Recurring Schedule'!$O$9)=0),IF('Recurring Schedule'!$E$9="Weekdays",WEEKDAY($A244,2)&lt;=5,$A244='Recurring Schedule'!$F$9))),4,""))))</f>
        <v/>
      </c>
      <c r="F244">
        <f>IF('Recurring Schedule'!$C$10="","",IF('Recurring Schedule'!$F$10="","",IF(OR($A244&lt;'Recurring Schedule'!$F$10,$A244&gt;'Recurring Schedule'!$P$10),"",IF(IF('Recurring Schedule'!$N$10&gt;0,MOD($A244-'Recurring Schedule'!$F$10,'Recurring Schedule'!$N$10)=0,IF('Recurring Schedule'!$O$10&gt;0,AND(DAY($A244)=MIN(DAY('Recurring Schedule'!$F$10),DAY(EOMONTH($A244,0))),MOD((YEAR($A244)-YEAR('Recurring Schedule'!$F$10))*12+MONTH($A244)-MONTH('Recurring Schedule'!$F$10),'Recurring Schedule'!$O$10)=0),IF('Recurring Schedule'!$E$10="Weekdays",WEEKDAY($A244,2)&lt;=5,$A244='Recurring Schedule'!$F$10))),5,""))))</f>
        <v/>
      </c>
      <c r="G244">
        <f>IF('Recurring Schedule'!$C$11="","",IF('Recurring Schedule'!$F$11="","",IF(OR($A244&lt;'Recurring Schedule'!$F$11,$A244&gt;'Recurring Schedule'!$P$11),"",IF(IF('Recurring Schedule'!$N$11&gt;0,MOD($A244-'Recurring Schedule'!$F$11,'Recurring Schedule'!$N$11)=0,IF('Recurring Schedule'!$O$11&gt;0,AND(DAY($A244)=MIN(DAY('Recurring Schedule'!$F$11),DAY(EOMONTH($A244,0))),MOD((YEAR($A244)-YEAR('Recurring Schedule'!$F$11))*12+MONTH($A244)-MONTH('Recurring Schedule'!$F$11),'Recurring Schedule'!$O$11)=0),IF('Recurring Schedule'!$E$11="Weekdays",WEEKDAY($A244,2)&lt;=5,$A244='Recurring Schedule'!$F$11))),6,""))))</f>
        <v/>
      </c>
      <c r="H244">
        <f>IF('Recurring Schedule'!$C$12="","",IF('Recurring Schedule'!$F$12="","",IF(OR($A244&lt;'Recurring Schedule'!$F$12,$A244&gt;'Recurring Schedule'!$P$12),"",IF(IF('Recurring Schedule'!$N$12&gt;0,MOD($A244-'Recurring Schedule'!$F$12,'Recurring Schedule'!$N$12)=0,IF('Recurring Schedule'!$O$12&gt;0,AND(DAY($A244)=MIN(DAY('Recurring Schedule'!$F$12),DAY(EOMONTH($A244,0))),MOD((YEAR($A244)-YEAR('Recurring Schedule'!$F$12))*12+MONTH($A244)-MONTH('Recurring Schedule'!$F$12),'Recurring Schedule'!$O$12)=0),IF('Recurring Schedule'!$E$12="Weekdays",WEEKDAY($A244,2)&lt;=5,$A244='Recurring Schedule'!$F$12))),7,""))))</f>
        <v/>
      </c>
      <c r="I244">
        <f>IF('Recurring Schedule'!$C$13="","",IF('Recurring Schedule'!$F$13="","",IF(OR($A244&lt;'Recurring Schedule'!$F$13,$A244&gt;'Recurring Schedule'!$P$13),"",IF(IF('Recurring Schedule'!$N$13&gt;0,MOD($A244-'Recurring Schedule'!$F$13,'Recurring Schedule'!$N$13)=0,IF('Recurring Schedule'!$O$13&gt;0,AND(DAY($A244)=MIN(DAY('Recurring Schedule'!$F$13),DAY(EOMONTH($A244,0))),MOD((YEAR($A244)-YEAR('Recurring Schedule'!$F$13))*12+MONTH($A244)-MONTH('Recurring Schedule'!$F$13),'Recurring Schedule'!$O$13)=0),IF('Recurring Schedule'!$E$13="Weekdays",WEEKDAY($A244,2)&lt;=5,$A244='Recurring Schedule'!$F$13))),8,""))))</f>
        <v/>
      </c>
      <c r="J244">
        <f>IF('Recurring Schedule'!$C$14="","",IF('Recurring Schedule'!$F$14="","",IF(OR($A244&lt;'Recurring Schedule'!$F$14,$A244&gt;'Recurring Schedule'!$P$14),"",IF(IF('Recurring Schedule'!$N$14&gt;0,MOD($A244-'Recurring Schedule'!$F$14,'Recurring Schedule'!$N$14)=0,IF('Recurring Schedule'!$O$14&gt;0,AND(DAY($A244)=MIN(DAY('Recurring Schedule'!$F$14),DAY(EOMONTH($A244,0))),MOD((YEAR($A244)-YEAR('Recurring Schedule'!$F$14))*12+MONTH($A244)-MONTH('Recurring Schedule'!$F$14),'Recurring Schedule'!$O$14)=0),IF('Recurring Schedule'!$E$14="Weekdays",WEEKDAY($A244,2)&lt;=5,$A244='Recurring Schedule'!$F$14))),9,""))))</f>
        <v/>
      </c>
      <c r="K244">
        <f>IF('Recurring Schedule'!$C$15="","",IF('Recurring Schedule'!$F$15="","",IF(OR($A244&lt;'Recurring Schedule'!$F$15,$A244&gt;'Recurring Schedule'!$P$15),"",IF(IF('Recurring Schedule'!$N$15&gt;0,MOD($A244-'Recurring Schedule'!$F$15,'Recurring Schedule'!$N$15)=0,IF('Recurring Schedule'!$O$15&gt;0,AND(DAY($A244)=MIN(DAY('Recurring Schedule'!$F$15),DAY(EOMONTH($A244,0))),MOD((YEAR($A244)-YEAR('Recurring Schedule'!$F$15))*12+MONTH($A244)-MONTH('Recurring Schedule'!$F$15),'Recurring Schedule'!$O$15)=0),IF('Recurring Schedule'!$E$15="Weekdays",WEEKDAY($A244,2)&lt;=5,$A244='Recurring Schedule'!$F$15))),10,""))))</f>
        <v/>
      </c>
      <c r="L244">
        <f>IF('Recurring Schedule'!$C$16="","",IF('Recurring Schedule'!$F$16="","",IF(OR($A244&lt;'Recurring Schedule'!$F$16,$A244&gt;'Recurring Schedule'!$P$16),"",IF(IF('Recurring Schedule'!$N$16&gt;0,MOD($A244-'Recurring Schedule'!$F$16,'Recurring Schedule'!$N$16)=0,IF('Recurring Schedule'!$O$16&gt;0,AND(DAY($A244)=MIN(DAY('Recurring Schedule'!$F$16),DAY(EOMONTH($A244,0))),MOD((YEAR($A244)-YEAR('Recurring Schedule'!$F$16))*12+MONTH($A244)-MONTH('Recurring Schedule'!$F$16),'Recurring Schedule'!$O$16)=0),IF('Recurring Schedule'!$E$16="Weekdays",WEEKDAY($A244,2)&lt;=5,$A244='Recurring Schedule'!$F$16))),11,""))))</f>
        <v/>
      </c>
      <c r="M244">
        <f>IF('Recurring Schedule'!$C$17="","",IF('Recurring Schedule'!$F$17="","",IF(OR($A244&lt;'Recurring Schedule'!$F$17,$A244&gt;'Recurring Schedule'!$P$17),"",IF(IF('Recurring Schedule'!$N$17&gt;0,MOD($A244-'Recurring Schedule'!$F$17,'Recurring Schedule'!$N$17)=0,IF('Recurring Schedule'!$O$17&gt;0,AND(DAY($A244)=MIN(DAY('Recurring Schedule'!$F$17),DAY(EOMONTH($A244,0))),MOD((YEAR($A244)-YEAR('Recurring Schedule'!$F$17))*12+MONTH($A244)-MONTH('Recurring Schedule'!$F$17),'Recurring Schedule'!$O$17)=0),IF('Recurring Schedule'!$E$17="Weekdays",WEEKDAY($A244,2)&lt;=5,$A244='Recurring Schedule'!$F$17))),12,""))))</f>
        <v/>
      </c>
      <c r="N244">
        <f>IF('Recurring Schedule'!$C$18="","",IF('Recurring Schedule'!$F$18="","",IF(OR($A244&lt;'Recurring Schedule'!$F$18,$A244&gt;'Recurring Schedule'!$P$18),"",IF(IF('Recurring Schedule'!$N$18&gt;0,MOD($A244-'Recurring Schedule'!$F$18,'Recurring Schedule'!$N$18)=0,IF('Recurring Schedule'!$O$18&gt;0,AND(DAY($A244)=MIN(DAY('Recurring Schedule'!$F$18),DAY(EOMONTH($A244,0))),MOD((YEAR($A244)-YEAR('Recurring Schedule'!$F$18))*12+MONTH($A244)-MONTH('Recurring Schedule'!$F$18),'Recurring Schedule'!$O$18)=0),IF('Recurring Schedule'!$E$18="Weekdays",WEEKDAY($A244,2)&lt;=5,$A244='Recurring Schedule'!$F$18))),13,""))))</f>
        <v/>
      </c>
      <c r="O244">
        <f>IF('Recurring Schedule'!$C$19="","",IF('Recurring Schedule'!$F$19="","",IF(OR($A244&lt;'Recurring Schedule'!$F$19,$A244&gt;'Recurring Schedule'!$P$19),"",IF(IF('Recurring Schedule'!$N$19&gt;0,MOD($A244-'Recurring Schedule'!$F$19,'Recurring Schedule'!$N$19)=0,IF('Recurring Schedule'!$O$19&gt;0,AND(DAY($A244)=MIN(DAY('Recurring Schedule'!$F$19),DAY(EOMONTH($A244,0))),MOD((YEAR($A244)-YEAR('Recurring Schedule'!$F$19))*12+MONTH($A244)-MONTH('Recurring Schedule'!$F$19),'Recurring Schedule'!$O$19)=0),IF('Recurring Schedule'!$E$19="Weekdays",WEEKDAY($A244,2)&lt;=5,$A244='Recurring Schedule'!$F$19))),14,""))))</f>
        <v/>
      </c>
      <c r="P244">
        <f>IF('Recurring Schedule'!$C$20="","",IF('Recurring Schedule'!$F$20="","",IF(OR($A244&lt;'Recurring Schedule'!$F$20,$A244&gt;'Recurring Schedule'!$P$20),"",IF(IF('Recurring Schedule'!$N$20&gt;0,MOD($A244-'Recurring Schedule'!$F$20,'Recurring Schedule'!$N$20)=0,IF('Recurring Schedule'!$O$20&gt;0,AND(DAY($A244)=MIN(DAY('Recurring Schedule'!$F$20),DAY(EOMONTH($A244,0))),MOD((YEAR($A244)-YEAR('Recurring Schedule'!$F$20))*12+MONTH($A244)-MONTH('Recurring Schedule'!$F$20),'Recurring Schedule'!$O$20)=0),IF('Recurring Schedule'!$E$20="Weekdays",WEEKDAY($A244,2)&lt;=5,$A244='Recurring Schedule'!$F$20))),15,""))))</f>
        <v/>
      </c>
      <c r="Q244">
        <f>IF('Recurring Schedule'!$C$21="","",IF('Recurring Schedule'!$F$21="","",IF(OR($A244&lt;'Recurring Schedule'!$F$21,$A244&gt;'Recurring Schedule'!$P$21),"",IF(IF('Recurring Schedule'!$N$21&gt;0,MOD($A244-'Recurring Schedule'!$F$21,'Recurring Schedule'!$N$21)=0,IF('Recurring Schedule'!$O$21&gt;0,AND(DAY($A244)=MIN(DAY('Recurring Schedule'!$F$21),DAY(EOMONTH($A244,0))),MOD((YEAR($A244)-YEAR('Recurring Schedule'!$F$21))*12+MONTH($A244)-MONTH('Recurring Schedule'!$F$21),'Recurring Schedule'!$O$21)=0),IF('Recurring Schedule'!$E$21="Weekdays",WEEKDAY($A244,2)&lt;=5,$A244='Recurring Schedule'!$F$21))),16,""))))</f>
        <v/>
      </c>
      <c r="R244">
        <f>IF('Recurring Schedule'!$C$22="","",IF('Recurring Schedule'!$F$22="","",IF(OR($A244&lt;'Recurring Schedule'!$F$22,$A244&gt;'Recurring Schedule'!$P$22),"",IF(IF('Recurring Schedule'!$N$22&gt;0,MOD($A244-'Recurring Schedule'!$F$22,'Recurring Schedule'!$N$22)=0,IF('Recurring Schedule'!$O$22&gt;0,AND(DAY($A244)=MIN(DAY('Recurring Schedule'!$F$22),DAY(EOMONTH($A244,0))),MOD((YEAR($A244)-YEAR('Recurring Schedule'!$F$22))*12+MONTH($A244)-MONTH('Recurring Schedule'!$F$22),'Recurring Schedule'!$O$22)=0),IF('Recurring Schedule'!$E$22="Weekdays",WEEKDAY($A244,2)&lt;=5,$A244='Recurring Schedule'!$F$22))),17,""))))</f>
        <v/>
      </c>
      <c r="S244">
        <f>IF('Recurring Schedule'!$C$23="","",IF('Recurring Schedule'!$F$23="","",IF(OR($A244&lt;'Recurring Schedule'!$F$23,$A244&gt;'Recurring Schedule'!$P$23),"",IF(IF('Recurring Schedule'!$N$23&gt;0,MOD($A244-'Recurring Schedule'!$F$23,'Recurring Schedule'!$N$23)=0,IF('Recurring Schedule'!$O$23&gt;0,AND(DAY($A244)=MIN(DAY('Recurring Schedule'!$F$23),DAY(EOMONTH($A244,0))),MOD((YEAR($A244)-YEAR('Recurring Schedule'!$F$23))*12+MONTH($A244)-MONTH('Recurring Schedule'!$F$23),'Recurring Schedule'!$O$23)=0),IF('Recurring Schedule'!$E$23="Weekdays",WEEKDAY($A244,2)&lt;=5,$A244='Recurring Schedule'!$F$23))),18,""))))</f>
        <v/>
      </c>
      <c r="T244">
        <f>IF('Recurring Schedule'!$C$24="","",IF('Recurring Schedule'!$F$24="","",IF(OR($A244&lt;'Recurring Schedule'!$F$24,$A244&gt;'Recurring Schedule'!$P$24),"",IF(IF('Recurring Schedule'!$N$24&gt;0,MOD($A244-'Recurring Schedule'!$F$24,'Recurring Schedule'!$N$24)=0,IF('Recurring Schedule'!$O$24&gt;0,AND(DAY($A244)=MIN(DAY('Recurring Schedule'!$F$24),DAY(EOMONTH($A244,0))),MOD((YEAR($A244)-YEAR('Recurring Schedule'!$F$24))*12+MONTH($A244)-MONTH('Recurring Schedule'!$F$24),'Recurring Schedule'!$O$24)=0),IF('Recurring Schedule'!$E$24="Weekdays",WEEKDAY($A244,2)&lt;=5,$A244='Recurring Schedule'!$F$24))),19,""))))</f>
        <v/>
      </c>
      <c r="U244">
        <f>IF('Recurring Schedule'!$C$25="","",IF('Recurring Schedule'!$F$25="","",IF(OR($A244&lt;'Recurring Schedule'!$F$25,$A244&gt;'Recurring Schedule'!$P$25),"",IF(IF('Recurring Schedule'!$N$25&gt;0,MOD($A244-'Recurring Schedule'!$F$25,'Recurring Schedule'!$N$25)=0,IF('Recurring Schedule'!$O$25&gt;0,AND(DAY($A244)=MIN(DAY('Recurring Schedule'!$F$25),DAY(EOMONTH($A244,0))),MOD((YEAR($A244)-YEAR('Recurring Schedule'!$F$25))*12+MONTH($A244)-MONTH('Recurring Schedule'!$F$25),'Recurring Schedule'!$O$25)=0),IF('Recurring Schedule'!$E$25="Weekdays",WEEKDAY($A244,2)&lt;=5,$A244='Recurring Schedule'!$F$25))),20,""))))</f>
        <v/>
      </c>
      <c r="V244">
        <f>IF('Recurring Schedule'!$C$26="","",IF('Recurring Schedule'!$F$26="","",IF(OR($A244&lt;'Recurring Schedule'!$F$26,$A244&gt;'Recurring Schedule'!$P$26),"",IF(IF('Recurring Schedule'!$N$26&gt;0,MOD($A244-'Recurring Schedule'!$F$26,'Recurring Schedule'!$N$26)=0,IF('Recurring Schedule'!$O$26&gt;0,AND(DAY($A244)=MIN(DAY('Recurring Schedule'!$F$26),DAY(EOMONTH($A244,0))),MOD((YEAR($A244)-YEAR('Recurring Schedule'!$F$26))*12+MONTH($A244)-MONTH('Recurring Schedule'!$F$26),'Recurring Schedule'!$O$26)=0),IF('Recurring Schedule'!$E$26="Weekdays",WEEKDAY($A244,2)&lt;=5,$A244='Recurring Schedule'!$F$26))),21,""))))</f>
        <v/>
      </c>
      <c r="W244">
        <f>IF('Recurring Schedule'!$C$27="","",IF('Recurring Schedule'!$F$27="","",IF(OR($A244&lt;'Recurring Schedule'!$F$27,$A244&gt;'Recurring Schedule'!$P$27),"",IF(IF('Recurring Schedule'!$N$27&gt;0,MOD($A244-'Recurring Schedule'!$F$27,'Recurring Schedule'!$N$27)=0,IF('Recurring Schedule'!$O$27&gt;0,AND(DAY($A244)=MIN(DAY('Recurring Schedule'!$F$27),DAY(EOMONTH($A244,0))),MOD((YEAR($A244)-YEAR('Recurring Schedule'!$F$27))*12+MONTH($A244)-MONTH('Recurring Schedule'!$F$27),'Recurring Schedule'!$O$27)=0),IF('Recurring Schedule'!$E$27="Weekdays",WEEKDAY($A244,2)&lt;=5,$A244='Recurring Schedule'!$F$27))),22,""))))</f>
        <v/>
      </c>
      <c r="X244">
        <f>IF('Recurring Schedule'!$C$28="","",IF('Recurring Schedule'!$F$28="","",IF(OR($A244&lt;'Recurring Schedule'!$F$28,$A244&gt;'Recurring Schedule'!$P$28),"",IF(IF('Recurring Schedule'!$N$28&gt;0,MOD($A244-'Recurring Schedule'!$F$28,'Recurring Schedule'!$N$28)=0,IF('Recurring Schedule'!$O$28&gt;0,AND(DAY($A244)=MIN(DAY('Recurring Schedule'!$F$28),DAY(EOMONTH($A244,0))),MOD((YEAR($A244)-YEAR('Recurring Schedule'!$F$28))*12+MONTH($A244)-MONTH('Recurring Schedule'!$F$28),'Recurring Schedule'!$O$28)=0),IF('Recurring Schedule'!$E$28="Weekdays",WEEKDAY($A244,2)&lt;=5,$A244='Recurring Schedule'!$F$28))),23,""))))</f>
        <v/>
      </c>
      <c r="Y244">
        <f>IF('Recurring Schedule'!$C$29="","",IF('Recurring Schedule'!$F$29="","",IF(OR($A244&lt;'Recurring Schedule'!$F$29,$A244&gt;'Recurring Schedule'!$P$29),"",IF(IF('Recurring Schedule'!$N$29&gt;0,MOD($A244-'Recurring Schedule'!$F$29,'Recurring Schedule'!$N$29)=0,IF('Recurring Schedule'!$O$29&gt;0,AND(DAY($A244)=MIN(DAY('Recurring Schedule'!$F$29),DAY(EOMONTH($A244,0))),MOD((YEAR($A244)-YEAR('Recurring Schedule'!$F$29))*12+MONTH($A244)-MONTH('Recurring Schedule'!$F$29),'Recurring Schedule'!$O$29)=0),IF('Recurring Schedule'!$E$29="Weekdays",WEEKDAY($A244,2)&lt;=5,$A244='Recurring Schedule'!$F$29))),24,""))))</f>
        <v/>
      </c>
      <c r="Z244">
        <f>IF('Recurring Schedule'!$C$30="","",IF('Recurring Schedule'!$F$30="","",IF(OR($A244&lt;'Recurring Schedule'!$F$30,$A244&gt;'Recurring Schedule'!$P$30),"",IF(IF('Recurring Schedule'!$N$30&gt;0,MOD($A244-'Recurring Schedule'!$F$30,'Recurring Schedule'!$N$30)=0,IF('Recurring Schedule'!$O$30&gt;0,AND(DAY($A244)=MIN(DAY('Recurring Schedule'!$F$30),DAY(EOMONTH($A244,0))),MOD((YEAR($A244)-YEAR('Recurring Schedule'!$F$30))*12+MONTH($A244)-MONTH('Recurring Schedule'!$F$30),'Recurring Schedule'!$O$30)=0),IF('Recurring Schedule'!$E$30="Weekdays",WEEKDAY($A244,2)&lt;=5,$A244='Recurring Schedule'!$F$30))),25,""))))</f>
        <v/>
      </c>
      <c r="AA244">
        <f>IF('Recurring Schedule'!$C$31="","",IF('Recurring Schedule'!$F$31="","",IF(OR($A244&lt;'Recurring Schedule'!$F$31,$A244&gt;'Recurring Schedule'!$P$31),"",IF(IF('Recurring Schedule'!$N$31&gt;0,MOD($A244-'Recurring Schedule'!$F$31,'Recurring Schedule'!$N$31)=0,IF('Recurring Schedule'!$O$31&gt;0,AND(DAY($A244)=MIN(DAY('Recurring Schedule'!$F$31),DAY(EOMONTH($A244,0))),MOD((YEAR($A244)-YEAR('Recurring Schedule'!$F$31))*12+MONTH($A244)-MONTH('Recurring Schedule'!$F$31),'Recurring Schedule'!$O$31)=0),IF('Recurring Schedule'!$E$31="Weekdays",WEEKDAY($A244,2)&lt;=5,$A244='Recurring Schedule'!$F$31))),26,""))))</f>
        <v/>
      </c>
      <c r="AB244">
        <f>IF('Recurring Schedule'!$C$32="","",IF('Recurring Schedule'!$F$32="","",IF(OR($A244&lt;'Recurring Schedule'!$F$32,$A244&gt;'Recurring Schedule'!$P$32),"",IF(IF('Recurring Schedule'!$N$32&gt;0,MOD($A244-'Recurring Schedule'!$F$32,'Recurring Schedule'!$N$32)=0,IF('Recurring Schedule'!$O$32&gt;0,AND(DAY($A244)=MIN(DAY('Recurring Schedule'!$F$32),DAY(EOMONTH($A244,0))),MOD((YEAR($A244)-YEAR('Recurring Schedule'!$F$32))*12+MONTH($A244)-MONTH('Recurring Schedule'!$F$32),'Recurring Schedule'!$O$32)=0),IF('Recurring Schedule'!$E$32="Weekdays",WEEKDAY($A244,2)&lt;=5,$A244='Recurring Schedule'!$F$32))),27,""))))</f>
        <v/>
      </c>
      <c r="AC244">
        <f>IF('Recurring Schedule'!$C$33="","",IF('Recurring Schedule'!$F$33="","",IF(OR($A244&lt;'Recurring Schedule'!$F$33,$A244&gt;'Recurring Schedule'!$P$33),"",IF(IF('Recurring Schedule'!$N$33&gt;0,MOD($A244-'Recurring Schedule'!$F$33,'Recurring Schedule'!$N$33)=0,IF('Recurring Schedule'!$O$33&gt;0,AND(DAY($A244)=MIN(DAY('Recurring Schedule'!$F$33),DAY(EOMONTH($A244,0))),MOD((YEAR($A244)-YEAR('Recurring Schedule'!$F$33))*12+MONTH($A244)-MONTH('Recurring Schedule'!$F$33),'Recurring Schedule'!$O$33)=0),IF('Recurring Schedule'!$E$33="Weekdays",WEEKDAY($A244,2)&lt;=5,$A244='Recurring Schedule'!$F$33))),28,""))))</f>
        <v/>
      </c>
      <c r="AD244">
        <f>IF('Recurring Schedule'!$C$34="","",IF('Recurring Schedule'!$F$34="","",IF(OR($A244&lt;'Recurring Schedule'!$F$34,$A244&gt;'Recurring Schedule'!$P$34),"",IF(IF('Recurring Schedule'!$N$34&gt;0,MOD($A244-'Recurring Schedule'!$F$34,'Recurring Schedule'!$N$34)=0,IF('Recurring Schedule'!$O$34&gt;0,AND(DAY($A244)=MIN(DAY('Recurring Schedule'!$F$34),DAY(EOMONTH($A244,0))),MOD((YEAR($A244)-YEAR('Recurring Schedule'!$F$34))*12+MONTH($A244)-MONTH('Recurring Schedule'!$F$34),'Recurring Schedule'!$O$34)=0),IF('Recurring Schedule'!$E$34="Weekdays",WEEKDAY($A244,2)&lt;=5,$A244='Recurring Schedule'!$F$34))),29,""))))</f>
        <v/>
      </c>
      <c r="AE244">
        <f>IF('Recurring Schedule'!$C$35="","",IF('Recurring Schedule'!$F$35="","",IF(OR($A244&lt;'Recurring Schedule'!$F$35,$A244&gt;'Recurring Schedule'!$P$35),"",IF(IF('Recurring Schedule'!$N$35&gt;0,MOD($A244-'Recurring Schedule'!$F$35,'Recurring Schedule'!$N$35)=0,IF('Recurring Schedule'!$O$35&gt;0,AND(DAY($A244)=MIN(DAY('Recurring Schedule'!$F$35),DAY(EOMONTH($A244,0))),MOD((YEAR($A244)-YEAR('Recurring Schedule'!$F$35))*12+MONTH($A244)-MONTH('Recurring Schedule'!$F$35),'Recurring Schedule'!$O$35)=0),IF('Recurring Schedule'!$E$35="Weekdays",WEEKDAY($A244,2)&lt;=5,$A244='Recurring Schedule'!$F$35))),30,""))))</f>
        <v/>
      </c>
      <c r="AF244">
        <f>IF('Recurring Schedule'!$C$36="","",IF('Recurring Schedule'!$F$36="","",IF(OR($A244&lt;'Recurring Schedule'!$F$36,$A244&gt;'Recurring Schedule'!$P$36),"",IF(IF('Recurring Schedule'!$N$36&gt;0,MOD($A244-'Recurring Schedule'!$F$36,'Recurring Schedule'!$N$36)=0,IF('Recurring Schedule'!$O$36&gt;0,AND(DAY($A244)=MIN(DAY('Recurring Schedule'!$F$36),DAY(EOMONTH($A244,0))),MOD((YEAR($A244)-YEAR('Recurring Schedule'!$F$36))*12+MONTH($A244)-MONTH('Recurring Schedule'!$F$36),'Recurring Schedule'!$O$36)=0),IF('Recurring Schedule'!$E$36="Weekdays",WEEKDAY($A244,2)&lt;=5,$A244='Recurring Schedule'!$F$36))),31,""))))</f>
        <v/>
      </c>
      <c r="AG244">
        <f>IF('Recurring Schedule'!$C$37="","",IF('Recurring Schedule'!$F$37="","",IF(OR($A244&lt;'Recurring Schedule'!$F$37,$A244&gt;'Recurring Schedule'!$P$37),"",IF(IF('Recurring Schedule'!$N$37&gt;0,MOD($A244-'Recurring Schedule'!$F$37,'Recurring Schedule'!$N$37)=0,IF('Recurring Schedule'!$O$37&gt;0,AND(DAY($A244)=MIN(DAY('Recurring Schedule'!$F$37),DAY(EOMONTH($A244,0))),MOD((YEAR($A244)-YEAR('Recurring Schedule'!$F$37))*12+MONTH($A244)-MONTH('Recurring Schedule'!$F$37),'Recurring Schedule'!$O$37)=0),IF('Recurring Schedule'!$E$37="Weekdays",WEEKDAY($A244,2)&lt;=5,$A244='Recurring Schedule'!$F$37))),32,""))))</f>
        <v/>
      </c>
      <c r="AH244">
        <f>IF('Recurring Schedule'!$C$38="","",IF('Recurring Schedule'!$F$38="","",IF(OR($A244&lt;'Recurring Schedule'!$F$38,$A244&gt;'Recurring Schedule'!$P$38),"",IF(IF('Recurring Schedule'!$N$38&gt;0,MOD($A244-'Recurring Schedule'!$F$38,'Recurring Schedule'!$N$38)=0,IF('Recurring Schedule'!$O$38&gt;0,AND(DAY($A244)=MIN(DAY('Recurring Schedule'!$F$38),DAY(EOMONTH($A244,0))),MOD((YEAR($A244)-YEAR('Recurring Schedule'!$F$38))*12+MONTH($A244)-MONTH('Recurring Schedule'!$F$38),'Recurring Schedule'!$O$38)=0),IF('Recurring Schedule'!$E$38="Weekdays",WEEKDAY($A244,2)&lt;=5,$A244='Recurring Schedule'!$F$38))),33,""))))</f>
        <v/>
      </c>
      <c r="AI244">
        <f>IF('Recurring Schedule'!$C$39="","",IF('Recurring Schedule'!$F$39="","",IF(OR($A244&lt;'Recurring Schedule'!$F$39,$A244&gt;'Recurring Schedule'!$P$39),"",IF(IF('Recurring Schedule'!$N$39&gt;0,MOD($A244-'Recurring Schedule'!$F$39,'Recurring Schedule'!$N$39)=0,IF('Recurring Schedule'!$O$39&gt;0,AND(DAY($A244)=MIN(DAY('Recurring Schedule'!$F$39),DAY(EOMONTH($A244,0))),MOD((YEAR($A244)-YEAR('Recurring Schedule'!$F$39))*12+MONTH($A244)-MONTH('Recurring Schedule'!$F$39),'Recurring Schedule'!$O$39)=0),IF('Recurring Schedule'!$E$39="Weekdays",WEEKDAY($A244,2)&lt;=5,$A244='Recurring Schedule'!$F$39))),34,""))))</f>
        <v/>
      </c>
      <c r="AJ244">
        <f>IF('Recurring Schedule'!$C$40="","",IF('Recurring Schedule'!$F$40="","",IF(OR($A244&lt;'Recurring Schedule'!$F$40,$A244&gt;'Recurring Schedule'!$P$40),"",IF(IF('Recurring Schedule'!$N$40&gt;0,MOD($A244-'Recurring Schedule'!$F$40,'Recurring Schedule'!$N$40)=0,IF('Recurring Schedule'!$O$40&gt;0,AND(DAY($A244)=MIN(DAY('Recurring Schedule'!$F$40),DAY(EOMONTH($A244,0))),MOD((YEAR($A244)-YEAR('Recurring Schedule'!$F$40))*12+MONTH($A244)-MONTH('Recurring Schedule'!$F$40),'Recurring Schedule'!$O$40)=0),IF('Recurring Schedule'!$E$40="Weekdays",WEEKDAY($A244,2)&lt;=5,$A244='Recurring Schedule'!$F$40))),35,""))))</f>
        <v/>
      </c>
      <c r="AK244">
        <f>IF('Recurring Schedule'!$C$41="","",IF('Recurring Schedule'!$F$41="","",IF(OR($A244&lt;'Recurring Schedule'!$F$41,$A244&gt;'Recurring Schedule'!$P$41),"",IF(IF('Recurring Schedule'!$N$41&gt;0,MOD($A244-'Recurring Schedule'!$F$41,'Recurring Schedule'!$N$41)=0,IF('Recurring Schedule'!$O$41&gt;0,AND(DAY($A244)=MIN(DAY('Recurring Schedule'!$F$41),DAY(EOMONTH($A244,0))),MOD((YEAR($A244)-YEAR('Recurring Schedule'!$F$41))*12+MONTH($A244)-MONTH('Recurring Schedule'!$F$41),'Recurring Schedule'!$O$41)=0),IF('Recurring Schedule'!$E$41="Weekdays",WEEKDAY($A244,2)&lt;=5,$A244='Recurring Schedule'!$F$41))),36,""))))</f>
        <v/>
      </c>
      <c r="AL244">
        <f>IF('Recurring Schedule'!$C$42="","",IF('Recurring Schedule'!$F$42="","",IF(OR($A244&lt;'Recurring Schedule'!$F$42,$A244&gt;'Recurring Schedule'!$P$42),"",IF(IF('Recurring Schedule'!$N$42&gt;0,MOD($A244-'Recurring Schedule'!$F$42,'Recurring Schedule'!$N$42)=0,IF('Recurring Schedule'!$O$42&gt;0,AND(DAY($A244)=MIN(DAY('Recurring Schedule'!$F$42),DAY(EOMONTH($A244,0))),MOD((YEAR($A244)-YEAR('Recurring Schedule'!$F$42))*12+MONTH($A244)-MONTH('Recurring Schedule'!$F$42),'Recurring Schedule'!$O$42)=0),IF('Recurring Schedule'!$E$42="Weekdays",WEEKDAY($A244,2)&lt;=5,$A244='Recurring Schedule'!$F$42))),37,""))))</f>
        <v/>
      </c>
      <c r="AM244">
        <f>IF('Recurring Schedule'!$C$43="","",IF('Recurring Schedule'!$F$43="","",IF(OR($A244&lt;'Recurring Schedule'!$F$43,$A244&gt;'Recurring Schedule'!$P$43),"",IF(IF('Recurring Schedule'!$N$43&gt;0,MOD($A244-'Recurring Schedule'!$F$43,'Recurring Schedule'!$N$43)=0,IF('Recurring Schedule'!$O$43&gt;0,AND(DAY($A244)=MIN(DAY('Recurring Schedule'!$F$43),DAY(EOMONTH($A244,0))),MOD((YEAR($A244)-YEAR('Recurring Schedule'!$F$43))*12+MONTH($A244)-MONTH('Recurring Schedule'!$F$43),'Recurring Schedule'!$O$43)=0),IF('Recurring Schedule'!$E$43="Weekdays",WEEKDAY($A244,2)&lt;=5,$A244='Recurring Schedule'!$F$43))),38,""))))</f>
        <v/>
      </c>
      <c r="AN244">
        <f>IF('Recurring Schedule'!$C$44="","",IF('Recurring Schedule'!$F$44="","",IF(OR($A244&lt;'Recurring Schedule'!$F$44,$A244&gt;'Recurring Schedule'!$P$44),"",IF(IF('Recurring Schedule'!$N$44&gt;0,MOD($A244-'Recurring Schedule'!$F$44,'Recurring Schedule'!$N$44)=0,IF('Recurring Schedule'!$O$44&gt;0,AND(DAY($A244)=MIN(DAY('Recurring Schedule'!$F$44),DAY(EOMONTH($A244,0))),MOD((YEAR($A244)-YEAR('Recurring Schedule'!$F$44))*12+MONTH($A244)-MONTH('Recurring Schedule'!$F$44),'Recurring Schedule'!$O$44)=0),IF('Recurring Schedule'!$E$44="Weekdays",WEEKDAY($A244,2)&lt;=5,$A244='Recurring Schedule'!$F$44))),39,""))))</f>
        <v/>
      </c>
      <c r="AO244">
        <f>IF('Recurring Schedule'!$C$45="","",IF('Recurring Schedule'!$F$45="","",IF(OR($A244&lt;'Recurring Schedule'!$F$45,$A244&gt;'Recurring Schedule'!$P$45),"",IF(IF('Recurring Schedule'!$N$45&gt;0,MOD($A244-'Recurring Schedule'!$F$45,'Recurring Schedule'!$N$45)=0,IF('Recurring Schedule'!$O$45&gt;0,AND(DAY($A244)=MIN(DAY('Recurring Schedule'!$F$45),DAY(EOMONTH($A244,0))),MOD((YEAR($A244)-YEAR('Recurring Schedule'!$F$45))*12+MONTH($A244)-MONTH('Recurring Schedule'!$F$45),'Recurring Schedule'!$O$45)=0),IF('Recurring Schedule'!$E$45="Weekdays",WEEKDAY($A244,2)&lt;=5,$A244='Recurring Schedule'!$F$45))),40,""))))</f>
        <v/>
      </c>
      <c r="AP244">
        <f>COUNT(B244:AO244)</f>
        <v/>
      </c>
      <c r="AQ244">
        <f>AQ243+AP243</f>
        <v/>
      </c>
      <c r="AS244" t="inlineStr">
        <is>
          <t>R</t>
        </is>
      </c>
      <c r="AT244" t="n">
        <v>248</v>
      </c>
      <c r="AU244">
        <f>'Recurring Log'!C248&amp;""</f>
        <v/>
      </c>
      <c r="AV244">
        <f>'Recurring Log'!D248&amp;""</f>
        <v/>
      </c>
      <c r="AW244">
        <f>IF('Recurring Log'!E248="","",'Recurring Log'!E248)</f>
        <v/>
      </c>
      <c r="AX244">
        <f>IF('Recurring Log'!G248="","",'Recurring Log'!G248)</f>
        <v/>
      </c>
      <c r="AY244">
        <f>IF('Recurring Log'!H248="","",'Recurring Log'!H248)</f>
        <v/>
      </c>
      <c r="AZ244">
        <f>IF(AU244="","",IF('Recurring Log'!J248="","Not Started",'Recurring Log'!J248))</f>
        <v/>
      </c>
      <c r="BA244">
        <f>'Recurring Log'!L248&amp;""</f>
        <v/>
      </c>
      <c r="BB244">
        <f>'Recurring Log'!M248&amp;""</f>
        <v/>
      </c>
      <c r="BC244">
        <f>'Recurring Log'!N248&amp;""</f>
        <v/>
      </c>
      <c r="BD244">
        <f>'Recurring Log'!O248&amp;""</f>
        <v/>
      </c>
      <c r="BE244">
        <f>IF('Recurring Log'!K248="","",'Recurring Log'!K248)</f>
        <v/>
      </c>
      <c r="BF244">
        <f>IFERROR(MATCH(BA244,Setup!$L$6:$L$9,0),5)</f>
        <v/>
      </c>
      <c r="BG244">
        <f>IF(OR(AZ244="Done",AZ244="Cancelled"),1,0)</f>
        <v/>
      </c>
      <c r="BH244">
        <f>IF(AND(AU244&lt;&gt;"",ISNUMBER(AW244)),1,0)</f>
        <v/>
      </c>
      <c r="BI244">
        <f>IF(BH244=0,0,IF(AND(AW244&gt;='Tasks Filter'!$F$3,AW244&lt;='Tasks Filter'!$F$4,OR('Tasks Filter'!$I$3="",ISNUMBER(SEARCH('Tasks Filter'!$I$3,AU244))),OR('Tasks Filter'!$I$4="",BF244=IFERROR(MATCH('Tasks Filter'!$I$4,Setup!$L$6:$L$9,0),0)),OR('Tasks Filter'!$I$5="Both",AND('Tasks Filter'!$I$5="Yes",BB244="✓"),AND('Tasks Filter'!$I$5="No",BB244&lt;&gt;"✓")),OR('Tasks Filter'!$L$3="",AV244='Tasks Filter'!$L$3),OR('Tasks Filter'!$L$4="",AZ244='Tasks Filter'!$L$4),OR('Tasks Filter'!$L$5="",BC244='Tasks Filter'!$L$5),OR('Tasks Filter'!$O$3="",BD244='Tasks Filter'!$O$3),OR('Tasks Filter'!$O$4="Yes",BG244=0)),1,0))</f>
        <v/>
      </c>
      <c r="BJ244">
        <f>IF(BH244=0,"",IF('Tasks Filter'!$F$6="Descending",-1,1)*CHOOSE(MATCH('Tasks Filter'!$F$5,Lists!$G$2:$G$6,0),AW244,BF244,IFERROR(MATCH(AV244,Setup!$F$6:$F$15,0),99),IFERROR(MATCH(BC244,Setup!$H$6:$H$15,0),99),IFERROR(MATCH(AZ244,Setup!$J$6:$J$11,0),99))*1E+9+(AW244-40000)*10000+243)</f>
        <v/>
      </c>
      <c r="BK244">
        <f>IF(BI244=1,BJ244,"")</f>
        <v/>
      </c>
      <c r="BL244">
        <f>IF(AND(BH244=1,BG244=0,N(AW244)&lt;Setup!$D$7),(AW244-40000)*10000+243,"")</f>
        <v/>
      </c>
      <c r="BM244">
        <f>IF(AND(BH244=1,AZ244&lt;&gt;"Cancelled",N(AW244)&gt;=Dashboard!$AB$3,N(AW244)&lt;=Dashboard!$AB$3+6),(AW244-40000)*100000+BF244*10000+243,"")</f>
        <v/>
      </c>
      <c r="BN244">
        <f>IF(AND(BH244=1,AZ244&lt;&gt;"Cancelled"),BF244*10000+243,"")</f>
        <v/>
      </c>
    </row>
    <row r="245">
      <c r="A245">
        <f>Setup!$D$5+243</f>
        <v/>
      </c>
      <c r="B245">
        <f>IF('Recurring Schedule'!$C$6="","",IF('Recurring Schedule'!$F$6="","",IF(OR($A245&lt;'Recurring Schedule'!$F$6,$A245&gt;'Recurring Schedule'!$P$6),"",IF(IF('Recurring Schedule'!$N$6&gt;0,MOD($A245-'Recurring Schedule'!$F$6,'Recurring Schedule'!$N$6)=0,IF('Recurring Schedule'!$O$6&gt;0,AND(DAY($A245)=MIN(DAY('Recurring Schedule'!$F$6),DAY(EOMONTH($A245,0))),MOD((YEAR($A245)-YEAR('Recurring Schedule'!$F$6))*12+MONTH($A245)-MONTH('Recurring Schedule'!$F$6),'Recurring Schedule'!$O$6)=0),IF('Recurring Schedule'!$E$6="Weekdays",WEEKDAY($A245,2)&lt;=5,$A245='Recurring Schedule'!$F$6))),1,""))))</f>
        <v/>
      </c>
      <c r="C245">
        <f>IF('Recurring Schedule'!$C$7="","",IF('Recurring Schedule'!$F$7="","",IF(OR($A245&lt;'Recurring Schedule'!$F$7,$A245&gt;'Recurring Schedule'!$P$7),"",IF(IF('Recurring Schedule'!$N$7&gt;0,MOD($A245-'Recurring Schedule'!$F$7,'Recurring Schedule'!$N$7)=0,IF('Recurring Schedule'!$O$7&gt;0,AND(DAY($A245)=MIN(DAY('Recurring Schedule'!$F$7),DAY(EOMONTH($A245,0))),MOD((YEAR($A245)-YEAR('Recurring Schedule'!$F$7))*12+MONTH($A245)-MONTH('Recurring Schedule'!$F$7),'Recurring Schedule'!$O$7)=0),IF('Recurring Schedule'!$E$7="Weekdays",WEEKDAY($A245,2)&lt;=5,$A245='Recurring Schedule'!$F$7))),2,""))))</f>
        <v/>
      </c>
      <c r="D245">
        <f>IF('Recurring Schedule'!$C$8="","",IF('Recurring Schedule'!$F$8="","",IF(OR($A245&lt;'Recurring Schedule'!$F$8,$A245&gt;'Recurring Schedule'!$P$8),"",IF(IF('Recurring Schedule'!$N$8&gt;0,MOD($A245-'Recurring Schedule'!$F$8,'Recurring Schedule'!$N$8)=0,IF('Recurring Schedule'!$O$8&gt;0,AND(DAY($A245)=MIN(DAY('Recurring Schedule'!$F$8),DAY(EOMONTH($A245,0))),MOD((YEAR($A245)-YEAR('Recurring Schedule'!$F$8))*12+MONTH($A245)-MONTH('Recurring Schedule'!$F$8),'Recurring Schedule'!$O$8)=0),IF('Recurring Schedule'!$E$8="Weekdays",WEEKDAY($A245,2)&lt;=5,$A245='Recurring Schedule'!$F$8))),3,""))))</f>
        <v/>
      </c>
      <c r="E245">
        <f>IF('Recurring Schedule'!$C$9="","",IF('Recurring Schedule'!$F$9="","",IF(OR($A245&lt;'Recurring Schedule'!$F$9,$A245&gt;'Recurring Schedule'!$P$9),"",IF(IF('Recurring Schedule'!$N$9&gt;0,MOD($A245-'Recurring Schedule'!$F$9,'Recurring Schedule'!$N$9)=0,IF('Recurring Schedule'!$O$9&gt;0,AND(DAY($A245)=MIN(DAY('Recurring Schedule'!$F$9),DAY(EOMONTH($A245,0))),MOD((YEAR($A245)-YEAR('Recurring Schedule'!$F$9))*12+MONTH($A245)-MONTH('Recurring Schedule'!$F$9),'Recurring Schedule'!$O$9)=0),IF('Recurring Schedule'!$E$9="Weekdays",WEEKDAY($A245,2)&lt;=5,$A245='Recurring Schedule'!$F$9))),4,""))))</f>
        <v/>
      </c>
      <c r="F245">
        <f>IF('Recurring Schedule'!$C$10="","",IF('Recurring Schedule'!$F$10="","",IF(OR($A245&lt;'Recurring Schedule'!$F$10,$A245&gt;'Recurring Schedule'!$P$10),"",IF(IF('Recurring Schedule'!$N$10&gt;0,MOD($A245-'Recurring Schedule'!$F$10,'Recurring Schedule'!$N$10)=0,IF('Recurring Schedule'!$O$10&gt;0,AND(DAY($A245)=MIN(DAY('Recurring Schedule'!$F$10),DAY(EOMONTH($A245,0))),MOD((YEAR($A245)-YEAR('Recurring Schedule'!$F$10))*12+MONTH($A245)-MONTH('Recurring Schedule'!$F$10),'Recurring Schedule'!$O$10)=0),IF('Recurring Schedule'!$E$10="Weekdays",WEEKDAY($A245,2)&lt;=5,$A245='Recurring Schedule'!$F$10))),5,""))))</f>
        <v/>
      </c>
      <c r="G245">
        <f>IF('Recurring Schedule'!$C$11="","",IF('Recurring Schedule'!$F$11="","",IF(OR($A245&lt;'Recurring Schedule'!$F$11,$A245&gt;'Recurring Schedule'!$P$11),"",IF(IF('Recurring Schedule'!$N$11&gt;0,MOD($A245-'Recurring Schedule'!$F$11,'Recurring Schedule'!$N$11)=0,IF('Recurring Schedule'!$O$11&gt;0,AND(DAY($A245)=MIN(DAY('Recurring Schedule'!$F$11),DAY(EOMONTH($A245,0))),MOD((YEAR($A245)-YEAR('Recurring Schedule'!$F$11))*12+MONTH($A245)-MONTH('Recurring Schedule'!$F$11),'Recurring Schedule'!$O$11)=0),IF('Recurring Schedule'!$E$11="Weekdays",WEEKDAY($A245,2)&lt;=5,$A245='Recurring Schedule'!$F$11))),6,""))))</f>
        <v/>
      </c>
      <c r="H245">
        <f>IF('Recurring Schedule'!$C$12="","",IF('Recurring Schedule'!$F$12="","",IF(OR($A245&lt;'Recurring Schedule'!$F$12,$A245&gt;'Recurring Schedule'!$P$12),"",IF(IF('Recurring Schedule'!$N$12&gt;0,MOD($A245-'Recurring Schedule'!$F$12,'Recurring Schedule'!$N$12)=0,IF('Recurring Schedule'!$O$12&gt;0,AND(DAY($A245)=MIN(DAY('Recurring Schedule'!$F$12),DAY(EOMONTH($A245,0))),MOD((YEAR($A245)-YEAR('Recurring Schedule'!$F$12))*12+MONTH($A245)-MONTH('Recurring Schedule'!$F$12),'Recurring Schedule'!$O$12)=0),IF('Recurring Schedule'!$E$12="Weekdays",WEEKDAY($A245,2)&lt;=5,$A245='Recurring Schedule'!$F$12))),7,""))))</f>
        <v/>
      </c>
      <c r="I245">
        <f>IF('Recurring Schedule'!$C$13="","",IF('Recurring Schedule'!$F$13="","",IF(OR($A245&lt;'Recurring Schedule'!$F$13,$A245&gt;'Recurring Schedule'!$P$13),"",IF(IF('Recurring Schedule'!$N$13&gt;0,MOD($A245-'Recurring Schedule'!$F$13,'Recurring Schedule'!$N$13)=0,IF('Recurring Schedule'!$O$13&gt;0,AND(DAY($A245)=MIN(DAY('Recurring Schedule'!$F$13),DAY(EOMONTH($A245,0))),MOD((YEAR($A245)-YEAR('Recurring Schedule'!$F$13))*12+MONTH($A245)-MONTH('Recurring Schedule'!$F$13),'Recurring Schedule'!$O$13)=0),IF('Recurring Schedule'!$E$13="Weekdays",WEEKDAY($A245,2)&lt;=5,$A245='Recurring Schedule'!$F$13))),8,""))))</f>
        <v/>
      </c>
      <c r="J245">
        <f>IF('Recurring Schedule'!$C$14="","",IF('Recurring Schedule'!$F$14="","",IF(OR($A245&lt;'Recurring Schedule'!$F$14,$A245&gt;'Recurring Schedule'!$P$14),"",IF(IF('Recurring Schedule'!$N$14&gt;0,MOD($A245-'Recurring Schedule'!$F$14,'Recurring Schedule'!$N$14)=0,IF('Recurring Schedule'!$O$14&gt;0,AND(DAY($A245)=MIN(DAY('Recurring Schedule'!$F$14),DAY(EOMONTH($A245,0))),MOD((YEAR($A245)-YEAR('Recurring Schedule'!$F$14))*12+MONTH($A245)-MONTH('Recurring Schedule'!$F$14),'Recurring Schedule'!$O$14)=0),IF('Recurring Schedule'!$E$14="Weekdays",WEEKDAY($A245,2)&lt;=5,$A245='Recurring Schedule'!$F$14))),9,""))))</f>
        <v/>
      </c>
      <c r="K245">
        <f>IF('Recurring Schedule'!$C$15="","",IF('Recurring Schedule'!$F$15="","",IF(OR($A245&lt;'Recurring Schedule'!$F$15,$A245&gt;'Recurring Schedule'!$P$15),"",IF(IF('Recurring Schedule'!$N$15&gt;0,MOD($A245-'Recurring Schedule'!$F$15,'Recurring Schedule'!$N$15)=0,IF('Recurring Schedule'!$O$15&gt;0,AND(DAY($A245)=MIN(DAY('Recurring Schedule'!$F$15),DAY(EOMONTH($A245,0))),MOD((YEAR($A245)-YEAR('Recurring Schedule'!$F$15))*12+MONTH($A245)-MONTH('Recurring Schedule'!$F$15),'Recurring Schedule'!$O$15)=0),IF('Recurring Schedule'!$E$15="Weekdays",WEEKDAY($A245,2)&lt;=5,$A245='Recurring Schedule'!$F$15))),10,""))))</f>
        <v/>
      </c>
      <c r="L245">
        <f>IF('Recurring Schedule'!$C$16="","",IF('Recurring Schedule'!$F$16="","",IF(OR($A245&lt;'Recurring Schedule'!$F$16,$A245&gt;'Recurring Schedule'!$P$16),"",IF(IF('Recurring Schedule'!$N$16&gt;0,MOD($A245-'Recurring Schedule'!$F$16,'Recurring Schedule'!$N$16)=0,IF('Recurring Schedule'!$O$16&gt;0,AND(DAY($A245)=MIN(DAY('Recurring Schedule'!$F$16),DAY(EOMONTH($A245,0))),MOD((YEAR($A245)-YEAR('Recurring Schedule'!$F$16))*12+MONTH($A245)-MONTH('Recurring Schedule'!$F$16),'Recurring Schedule'!$O$16)=0),IF('Recurring Schedule'!$E$16="Weekdays",WEEKDAY($A245,2)&lt;=5,$A245='Recurring Schedule'!$F$16))),11,""))))</f>
        <v/>
      </c>
      <c r="M245">
        <f>IF('Recurring Schedule'!$C$17="","",IF('Recurring Schedule'!$F$17="","",IF(OR($A245&lt;'Recurring Schedule'!$F$17,$A245&gt;'Recurring Schedule'!$P$17),"",IF(IF('Recurring Schedule'!$N$17&gt;0,MOD($A245-'Recurring Schedule'!$F$17,'Recurring Schedule'!$N$17)=0,IF('Recurring Schedule'!$O$17&gt;0,AND(DAY($A245)=MIN(DAY('Recurring Schedule'!$F$17),DAY(EOMONTH($A245,0))),MOD((YEAR($A245)-YEAR('Recurring Schedule'!$F$17))*12+MONTH($A245)-MONTH('Recurring Schedule'!$F$17),'Recurring Schedule'!$O$17)=0),IF('Recurring Schedule'!$E$17="Weekdays",WEEKDAY($A245,2)&lt;=5,$A245='Recurring Schedule'!$F$17))),12,""))))</f>
        <v/>
      </c>
      <c r="N245">
        <f>IF('Recurring Schedule'!$C$18="","",IF('Recurring Schedule'!$F$18="","",IF(OR($A245&lt;'Recurring Schedule'!$F$18,$A245&gt;'Recurring Schedule'!$P$18),"",IF(IF('Recurring Schedule'!$N$18&gt;0,MOD($A245-'Recurring Schedule'!$F$18,'Recurring Schedule'!$N$18)=0,IF('Recurring Schedule'!$O$18&gt;0,AND(DAY($A245)=MIN(DAY('Recurring Schedule'!$F$18),DAY(EOMONTH($A245,0))),MOD((YEAR($A245)-YEAR('Recurring Schedule'!$F$18))*12+MONTH($A245)-MONTH('Recurring Schedule'!$F$18),'Recurring Schedule'!$O$18)=0),IF('Recurring Schedule'!$E$18="Weekdays",WEEKDAY($A245,2)&lt;=5,$A245='Recurring Schedule'!$F$18))),13,""))))</f>
        <v/>
      </c>
      <c r="O245">
        <f>IF('Recurring Schedule'!$C$19="","",IF('Recurring Schedule'!$F$19="","",IF(OR($A245&lt;'Recurring Schedule'!$F$19,$A245&gt;'Recurring Schedule'!$P$19),"",IF(IF('Recurring Schedule'!$N$19&gt;0,MOD($A245-'Recurring Schedule'!$F$19,'Recurring Schedule'!$N$19)=0,IF('Recurring Schedule'!$O$19&gt;0,AND(DAY($A245)=MIN(DAY('Recurring Schedule'!$F$19),DAY(EOMONTH($A245,0))),MOD((YEAR($A245)-YEAR('Recurring Schedule'!$F$19))*12+MONTH($A245)-MONTH('Recurring Schedule'!$F$19),'Recurring Schedule'!$O$19)=0),IF('Recurring Schedule'!$E$19="Weekdays",WEEKDAY($A245,2)&lt;=5,$A245='Recurring Schedule'!$F$19))),14,""))))</f>
        <v/>
      </c>
      <c r="P245">
        <f>IF('Recurring Schedule'!$C$20="","",IF('Recurring Schedule'!$F$20="","",IF(OR($A245&lt;'Recurring Schedule'!$F$20,$A245&gt;'Recurring Schedule'!$P$20),"",IF(IF('Recurring Schedule'!$N$20&gt;0,MOD($A245-'Recurring Schedule'!$F$20,'Recurring Schedule'!$N$20)=0,IF('Recurring Schedule'!$O$20&gt;0,AND(DAY($A245)=MIN(DAY('Recurring Schedule'!$F$20),DAY(EOMONTH($A245,0))),MOD((YEAR($A245)-YEAR('Recurring Schedule'!$F$20))*12+MONTH($A245)-MONTH('Recurring Schedule'!$F$20),'Recurring Schedule'!$O$20)=0),IF('Recurring Schedule'!$E$20="Weekdays",WEEKDAY($A245,2)&lt;=5,$A245='Recurring Schedule'!$F$20))),15,""))))</f>
        <v/>
      </c>
      <c r="Q245">
        <f>IF('Recurring Schedule'!$C$21="","",IF('Recurring Schedule'!$F$21="","",IF(OR($A245&lt;'Recurring Schedule'!$F$21,$A245&gt;'Recurring Schedule'!$P$21),"",IF(IF('Recurring Schedule'!$N$21&gt;0,MOD($A245-'Recurring Schedule'!$F$21,'Recurring Schedule'!$N$21)=0,IF('Recurring Schedule'!$O$21&gt;0,AND(DAY($A245)=MIN(DAY('Recurring Schedule'!$F$21),DAY(EOMONTH($A245,0))),MOD((YEAR($A245)-YEAR('Recurring Schedule'!$F$21))*12+MONTH($A245)-MONTH('Recurring Schedule'!$F$21),'Recurring Schedule'!$O$21)=0),IF('Recurring Schedule'!$E$21="Weekdays",WEEKDAY($A245,2)&lt;=5,$A245='Recurring Schedule'!$F$21))),16,""))))</f>
        <v/>
      </c>
      <c r="R245">
        <f>IF('Recurring Schedule'!$C$22="","",IF('Recurring Schedule'!$F$22="","",IF(OR($A245&lt;'Recurring Schedule'!$F$22,$A245&gt;'Recurring Schedule'!$P$22),"",IF(IF('Recurring Schedule'!$N$22&gt;0,MOD($A245-'Recurring Schedule'!$F$22,'Recurring Schedule'!$N$22)=0,IF('Recurring Schedule'!$O$22&gt;0,AND(DAY($A245)=MIN(DAY('Recurring Schedule'!$F$22),DAY(EOMONTH($A245,0))),MOD((YEAR($A245)-YEAR('Recurring Schedule'!$F$22))*12+MONTH($A245)-MONTH('Recurring Schedule'!$F$22),'Recurring Schedule'!$O$22)=0),IF('Recurring Schedule'!$E$22="Weekdays",WEEKDAY($A245,2)&lt;=5,$A245='Recurring Schedule'!$F$22))),17,""))))</f>
        <v/>
      </c>
      <c r="S245">
        <f>IF('Recurring Schedule'!$C$23="","",IF('Recurring Schedule'!$F$23="","",IF(OR($A245&lt;'Recurring Schedule'!$F$23,$A245&gt;'Recurring Schedule'!$P$23),"",IF(IF('Recurring Schedule'!$N$23&gt;0,MOD($A245-'Recurring Schedule'!$F$23,'Recurring Schedule'!$N$23)=0,IF('Recurring Schedule'!$O$23&gt;0,AND(DAY($A245)=MIN(DAY('Recurring Schedule'!$F$23),DAY(EOMONTH($A245,0))),MOD((YEAR($A245)-YEAR('Recurring Schedule'!$F$23))*12+MONTH($A245)-MONTH('Recurring Schedule'!$F$23),'Recurring Schedule'!$O$23)=0),IF('Recurring Schedule'!$E$23="Weekdays",WEEKDAY($A245,2)&lt;=5,$A245='Recurring Schedule'!$F$23))),18,""))))</f>
        <v/>
      </c>
      <c r="T245">
        <f>IF('Recurring Schedule'!$C$24="","",IF('Recurring Schedule'!$F$24="","",IF(OR($A245&lt;'Recurring Schedule'!$F$24,$A245&gt;'Recurring Schedule'!$P$24),"",IF(IF('Recurring Schedule'!$N$24&gt;0,MOD($A245-'Recurring Schedule'!$F$24,'Recurring Schedule'!$N$24)=0,IF('Recurring Schedule'!$O$24&gt;0,AND(DAY($A245)=MIN(DAY('Recurring Schedule'!$F$24),DAY(EOMONTH($A245,0))),MOD((YEAR($A245)-YEAR('Recurring Schedule'!$F$24))*12+MONTH($A245)-MONTH('Recurring Schedule'!$F$24),'Recurring Schedule'!$O$24)=0),IF('Recurring Schedule'!$E$24="Weekdays",WEEKDAY($A245,2)&lt;=5,$A245='Recurring Schedule'!$F$24))),19,""))))</f>
        <v/>
      </c>
      <c r="U245">
        <f>IF('Recurring Schedule'!$C$25="","",IF('Recurring Schedule'!$F$25="","",IF(OR($A245&lt;'Recurring Schedule'!$F$25,$A245&gt;'Recurring Schedule'!$P$25),"",IF(IF('Recurring Schedule'!$N$25&gt;0,MOD($A245-'Recurring Schedule'!$F$25,'Recurring Schedule'!$N$25)=0,IF('Recurring Schedule'!$O$25&gt;0,AND(DAY($A245)=MIN(DAY('Recurring Schedule'!$F$25),DAY(EOMONTH($A245,0))),MOD((YEAR($A245)-YEAR('Recurring Schedule'!$F$25))*12+MONTH($A245)-MONTH('Recurring Schedule'!$F$25),'Recurring Schedule'!$O$25)=0),IF('Recurring Schedule'!$E$25="Weekdays",WEEKDAY($A245,2)&lt;=5,$A245='Recurring Schedule'!$F$25))),20,""))))</f>
        <v/>
      </c>
      <c r="V245">
        <f>IF('Recurring Schedule'!$C$26="","",IF('Recurring Schedule'!$F$26="","",IF(OR($A245&lt;'Recurring Schedule'!$F$26,$A245&gt;'Recurring Schedule'!$P$26),"",IF(IF('Recurring Schedule'!$N$26&gt;0,MOD($A245-'Recurring Schedule'!$F$26,'Recurring Schedule'!$N$26)=0,IF('Recurring Schedule'!$O$26&gt;0,AND(DAY($A245)=MIN(DAY('Recurring Schedule'!$F$26),DAY(EOMONTH($A245,0))),MOD((YEAR($A245)-YEAR('Recurring Schedule'!$F$26))*12+MONTH($A245)-MONTH('Recurring Schedule'!$F$26),'Recurring Schedule'!$O$26)=0),IF('Recurring Schedule'!$E$26="Weekdays",WEEKDAY($A245,2)&lt;=5,$A245='Recurring Schedule'!$F$26))),21,""))))</f>
        <v/>
      </c>
      <c r="W245">
        <f>IF('Recurring Schedule'!$C$27="","",IF('Recurring Schedule'!$F$27="","",IF(OR($A245&lt;'Recurring Schedule'!$F$27,$A245&gt;'Recurring Schedule'!$P$27),"",IF(IF('Recurring Schedule'!$N$27&gt;0,MOD($A245-'Recurring Schedule'!$F$27,'Recurring Schedule'!$N$27)=0,IF('Recurring Schedule'!$O$27&gt;0,AND(DAY($A245)=MIN(DAY('Recurring Schedule'!$F$27),DAY(EOMONTH($A245,0))),MOD((YEAR($A245)-YEAR('Recurring Schedule'!$F$27))*12+MONTH($A245)-MONTH('Recurring Schedule'!$F$27),'Recurring Schedule'!$O$27)=0),IF('Recurring Schedule'!$E$27="Weekdays",WEEKDAY($A245,2)&lt;=5,$A245='Recurring Schedule'!$F$27))),22,""))))</f>
        <v/>
      </c>
      <c r="X245">
        <f>IF('Recurring Schedule'!$C$28="","",IF('Recurring Schedule'!$F$28="","",IF(OR($A245&lt;'Recurring Schedule'!$F$28,$A245&gt;'Recurring Schedule'!$P$28),"",IF(IF('Recurring Schedule'!$N$28&gt;0,MOD($A245-'Recurring Schedule'!$F$28,'Recurring Schedule'!$N$28)=0,IF('Recurring Schedule'!$O$28&gt;0,AND(DAY($A245)=MIN(DAY('Recurring Schedule'!$F$28),DAY(EOMONTH($A245,0))),MOD((YEAR($A245)-YEAR('Recurring Schedule'!$F$28))*12+MONTH($A245)-MONTH('Recurring Schedule'!$F$28),'Recurring Schedule'!$O$28)=0),IF('Recurring Schedule'!$E$28="Weekdays",WEEKDAY($A245,2)&lt;=5,$A245='Recurring Schedule'!$F$28))),23,""))))</f>
        <v/>
      </c>
      <c r="Y245">
        <f>IF('Recurring Schedule'!$C$29="","",IF('Recurring Schedule'!$F$29="","",IF(OR($A245&lt;'Recurring Schedule'!$F$29,$A245&gt;'Recurring Schedule'!$P$29),"",IF(IF('Recurring Schedule'!$N$29&gt;0,MOD($A245-'Recurring Schedule'!$F$29,'Recurring Schedule'!$N$29)=0,IF('Recurring Schedule'!$O$29&gt;0,AND(DAY($A245)=MIN(DAY('Recurring Schedule'!$F$29),DAY(EOMONTH($A245,0))),MOD((YEAR($A245)-YEAR('Recurring Schedule'!$F$29))*12+MONTH($A245)-MONTH('Recurring Schedule'!$F$29),'Recurring Schedule'!$O$29)=0),IF('Recurring Schedule'!$E$29="Weekdays",WEEKDAY($A245,2)&lt;=5,$A245='Recurring Schedule'!$F$29))),24,""))))</f>
        <v/>
      </c>
      <c r="Z245">
        <f>IF('Recurring Schedule'!$C$30="","",IF('Recurring Schedule'!$F$30="","",IF(OR($A245&lt;'Recurring Schedule'!$F$30,$A245&gt;'Recurring Schedule'!$P$30),"",IF(IF('Recurring Schedule'!$N$30&gt;0,MOD($A245-'Recurring Schedule'!$F$30,'Recurring Schedule'!$N$30)=0,IF('Recurring Schedule'!$O$30&gt;0,AND(DAY($A245)=MIN(DAY('Recurring Schedule'!$F$30),DAY(EOMONTH($A245,0))),MOD((YEAR($A245)-YEAR('Recurring Schedule'!$F$30))*12+MONTH($A245)-MONTH('Recurring Schedule'!$F$30),'Recurring Schedule'!$O$30)=0),IF('Recurring Schedule'!$E$30="Weekdays",WEEKDAY($A245,2)&lt;=5,$A245='Recurring Schedule'!$F$30))),25,""))))</f>
        <v/>
      </c>
      <c r="AA245">
        <f>IF('Recurring Schedule'!$C$31="","",IF('Recurring Schedule'!$F$31="","",IF(OR($A245&lt;'Recurring Schedule'!$F$31,$A245&gt;'Recurring Schedule'!$P$31),"",IF(IF('Recurring Schedule'!$N$31&gt;0,MOD($A245-'Recurring Schedule'!$F$31,'Recurring Schedule'!$N$31)=0,IF('Recurring Schedule'!$O$31&gt;0,AND(DAY($A245)=MIN(DAY('Recurring Schedule'!$F$31),DAY(EOMONTH($A245,0))),MOD((YEAR($A245)-YEAR('Recurring Schedule'!$F$31))*12+MONTH($A245)-MONTH('Recurring Schedule'!$F$31),'Recurring Schedule'!$O$31)=0),IF('Recurring Schedule'!$E$31="Weekdays",WEEKDAY($A245,2)&lt;=5,$A245='Recurring Schedule'!$F$31))),26,""))))</f>
        <v/>
      </c>
      <c r="AB245">
        <f>IF('Recurring Schedule'!$C$32="","",IF('Recurring Schedule'!$F$32="","",IF(OR($A245&lt;'Recurring Schedule'!$F$32,$A245&gt;'Recurring Schedule'!$P$32),"",IF(IF('Recurring Schedule'!$N$32&gt;0,MOD($A245-'Recurring Schedule'!$F$32,'Recurring Schedule'!$N$32)=0,IF('Recurring Schedule'!$O$32&gt;0,AND(DAY($A245)=MIN(DAY('Recurring Schedule'!$F$32),DAY(EOMONTH($A245,0))),MOD((YEAR($A245)-YEAR('Recurring Schedule'!$F$32))*12+MONTH($A245)-MONTH('Recurring Schedule'!$F$32),'Recurring Schedule'!$O$32)=0),IF('Recurring Schedule'!$E$32="Weekdays",WEEKDAY($A245,2)&lt;=5,$A245='Recurring Schedule'!$F$32))),27,""))))</f>
        <v/>
      </c>
      <c r="AC245">
        <f>IF('Recurring Schedule'!$C$33="","",IF('Recurring Schedule'!$F$33="","",IF(OR($A245&lt;'Recurring Schedule'!$F$33,$A245&gt;'Recurring Schedule'!$P$33),"",IF(IF('Recurring Schedule'!$N$33&gt;0,MOD($A245-'Recurring Schedule'!$F$33,'Recurring Schedule'!$N$33)=0,IF('Recurring Schedule'!$O$33&gt;0,AND(DAY($A245)=MIN(DAY('Recurring Schedule'!$F$33),DAY(EOMONTH($A245,0))),MOD((YEAR($A245)-YEAR('Recurring Schedule'!$F$33))*12+MONTH($A245)-MONTH('Recurring Schedule'!$F$33),'Recurring Schedule'!$O$33)=0),IF('Recurring Schedule'!$E$33="Weekdays",WEEKDAY($A245,2)&lt;=5,$A245='Recurring Schedule'!$F$33))),28,""))))</f>
        <v/>
      </c>
      <c r="AD245">
        <f>IF('Recurring Schedule'!$C$34="","",IF('Recurring Schedule'!$F$34="","",IF(OR($A245&lt;'Recurring Schedule'!$F$34,$A245&gt;'Recurring Schedule'!$P$34),"",IF(IF('Recurring Schedule'!$N$34&gt;0,MOD($A245-'Recurring Schedule'!$F$34,'Recurring Schedule'!$N$34)=0,IF('Recurring Schedule'!$O$34&gt;0,AND(DAY($A245)=MIN(DAY('Recurring Schedule'!$F$34),DAY(EOMONTH($A245,0))),MOD((YEAR($A245)-YEAR('Recurring Schedule'!$F$34))*12+MONTH($A245)-MONTH('Recurring Schedule'!$F$34),'Recurring Schedule'!$O$34)=0),IF('Recurring Schedule'!$E$34="Weekdays",WEEKDAY($A245,2)&lt;=5,$A245='Recurring Schedule'!$F$34))),29,""))))</f>
        <v/>
      </c>
      <c r="AE245">
        <f>IF('Recurring Schedule'!$C$35="","",IF('Recurring Schedule'!$F$35="","",IF(OR($A245&lt;'Recurring Schedule'!$F$35,$A245&gt;'Recurring Schedule'!$P$35),"",IF(IF('Recurring Schedule'!$N$35&gt;0,MOD($A245-'Recurring Schedule'!$F$35,'Recurring Schedule'!$N$35)=0,IF('Recurring Schedule'!$O$35&gt;0,AND(DAY($A245)=MIN(DAY('Recurring Schedule'!$F$35),DAY(EOMONTH($A245,0))),MOD((YEAR($A245)-YEAR('Recurring Schedule'!$F$35))*12+MONTH($A245)-MONTH('Recurring Schedule'!$F$35),'Recurring Schedule'!$O$35)=0),IF('Recurring Schedule'!$E$35="Weekdays",WEEKDAY($A245,2)&lt;=5,$A245='Recurring Schedule'!$F$35))),30,""))))</f>
        <v/>
      </c>
      <c r="AF245">
        <f>IF('Recurring Schedule'!$C$36="","",IF('Recurring Schedule'!$F$36="","",IF(OR($A245&lt;'Recurring Schedule'!$F$36,$A245&gt;'Recurring Schedule'!$P$36),"",IF(IF('Recurring Schedule'!$N$36&gt;0,MOD($A245-'Recurring Schedule'!$F$36,'Recurring Schedule'!$N$36)=0,IF('Recurring Schedule'!$O$36&gt;0,AND(DAY($A245)=MIN(DAY('Recurring Schedule'!$F$36),DAY(EOMONTH($A245,0))),MOD((YEAR($A245)-YEAR('Recurring Schedule'!$F$36))*12+MONTH($A245)-MONTH('Recurring Schedule'!$F$36),'Recurring Schedule'!$O$36)=0),IF('Recurring Schedule'!$E$36="Weekdays",WEEKDAY($A245,2)&lt;=5,$A245='Recurring Schedule'!$F$36))),31,""))))</f>
        <v/>
      </c>
      <c r="AG245">
        <f>IF('Recurring Schedule'!$C$37="","",IF('Recurring Schedule'!$F$37="","",IF(OR($A245&lt;'Recurring Schedule'!$F$37,$A245&gt;'Recurring Schedule'!$P$37),"",IF(IF('Recurring Schedule'!$N$37&gt;0,MOD($A245-'Recurring Schedule'!$F$37,'Recurring Schedule'!$N$37)=0,IF('Recurring Schedule'!$O$37&gt;0,AND(DAY($A245)=MIN(DAY('Recurring Schedule'!$F$37),DAY(EOMONTH($A245,0))),MOD((YEAR($A245)-YEAR('Recurring Schedule'!$F$37))*12+MONTH($A245)-MONTH('Recurring Schedule'!$F$37),'Recurring Schedule'!$O$37)=0),IF('Recurring Schedule'!$E$37="Weekdays",WEEKDAY($A245,2)&lt;=5,$A245='Recurring Schedule'!$F$37))),32,""))))</f>
        <v/>
      </c>
      <c r="AH245">
        <f>IF('Recurring Schedule'!$C$38="","",IF('Recurring Schedule'!$F$38="","",IF(OR($A245&lt;'Recurring Schedule'!$F$38,$A245&gt;'Recurring Schedule'!$P$38),"",IF(IF('Recurring Schedule'!$N$38&gt;0,MOD($A245-'Recurring Schedule'!$F$38,'Recurring Schedule'!$N$38)=0,IF('Recurring Schedule'!$O$38&gt;0,AND(DAY($A245)=MIN(DAY('Recurring Schedule'!$F$38),DAY(EOMONTH($A245,0))),MOD((YEAR($A245)-YEAR('Recurring Schedule'!$F$38))*12+MONTH($A245)-MONTH('Recurring Schedule'!$F$38),'Recurring Schedule'!$O$38)=0),IF('Recurring Schedule'!$E$38="Weekdays",WEEKDAY($A245,2)&lt;=5,$A245='Recurring Schedule'!$F$38))),33,""))))</f>
        <v/>
      </c>
      <c r="AI245">
        <f>IF('Recurring Schedule'!$C$39="","",IF('Recurring Schedule'!$F$39="","",IF(OR($A245&lt;'Recurring Schedule'!$F$39,$A245&gt;'Recurring Schedule'!$P$39),"",IF(IF('Recurring Schedule'!$N$39&gt;0,MOD($A245-'Recurring Schedule'!$F$39,'Recurring Schedule'!$N$39)=0,IF('Recurring Schedule'!$O$39&gt;0,AND(DAY($A245)=MIN(DAY('Recurring Schedule'!$F$39),DAY(EOMONTH($A245,0))),MOD((YEAR($A245)-YEAR('Recurring Schedule'!$F$39))*12+MONTH($A245)-MONTH('Recurring Schedule'!$F$39),'Recurring Schedule'!$O$39)=0),IF('Recurring Schedule'!$E$39="Weekdays",WEEKDAY($A245,2)&lt;=5,$A245='Recurring Schedule'!$F$39))),34,""))))</f>
        <v/>
      </c>
      <c r="AJ245">
        <f>IF('Recurring Schedule'!$C$40="","",IF('Recurring Schedule'!$F$40="","",IF(OR($A245&lt;'Recurring Schedule'!$F$40,$A245&gt;'Recurring Schedule'!$P$40),"",IF(IF('Recurring Schedule'!$N$40&gt;0,MOD($A245-'Recurring Schedule'!$F$40,'Recurring Schedule'!$N$40)=0,IF('Recurring Schedule'!$O$40&gt;0,AND(DAY($A245)=MIN(DAY('Recurring Schedule'!$F$40),DAY(EOMONTH($A245,0))),MOD((YEAR($A245)-YEAR('Recurring Schedule'!$F$40))*12+MONTH($A245)-MONTH('Recurring Schedule'!$F$40),'Recurring Schedule'!$O$40)=0),IF('Recurring Schedule'!$E$40="Weekdays",WEEKDAY($A245,2)&lt;=5,$A245='Recurring Schedule'!$F$40))),35,""))))</f>
        <v/>
      </c>
      <c r="AK245">
        <f>IF('Recurring Schedule'!$C$41="","",IF('Recurring Schedule'!$F$41="","",IF(OR($A245&lt;'Recurring Schedule'!$F$41,$A245&gt;'Recurring Schedule'!$P$41),"",IF(IF('Recurring Schedule'!$N$41&gt;0,MOD($A245-'Recurring Schedule'!$F$41,'Recurring Schedule'!$N$41)=0,IF('Recurring Schedule'!$O$41&gt;0,AND(DAY($A245)=MIN(DAY('Recurring Schedule'!$F$41),DAY(EOMONTH($A245,0))),MOD((YEAR($A245)-YEAR('Recurring Schedule'!$F$41))*12+MONTH($A245)-MONTH('Recurring Schedule'!$F$41),'Recurring Schedule'!$O$41)=0),IF('Recurring Schedule'!$E$41="Weekdays",WEEKDAY($A245,2)&lt;=5,$A245='Recurring Schedule'!$F$41))),36,""))))</f>
        <v/>
      </c>
      <c r="AL245">
        <f>IF('Recurring Schedule'!$C$42="","",IF('Recurring Schedule'!$F$42="","",IF(OR($A245&lt;'Recurring Schedule'!$F$42,$A245&gt;'Recurring Schedule'!$P$42),"",IF(IF('Recurring Schedule'!$N$42&gt;0,MOD($A245-'Recurring Schedule'!$F$42,'Recurring Schedule'!$N$42)=0,IF('Recurring Schedule'!$O$42&gt;0,AND(DAY($A245)=MIN(DAY('Recurring Schedule'!$F$42),DAY(EOMONTH($A245,0))),MOD((YEAR($A245)-YEAR('Recurring Schedule'!$F$42))*12+MONTH($A245)-MONTH('Recurring Schedule'!$F$42),'Recurring Schedule'!$O$42)=0),IF('Recurring Schedule'!$E$42="Weekdays",WEEKDAY($A245,2)&lt;=5,$A245='Recurring Schedule'!$F$42))),37,""))))</f>
        <v/>
      </c>
      <c r="AM245">
        <f>IF('Recurring Schedule'!$C$43="","",IF('Recurring Schedule'!$F$43="","",IF(OR($A245&lt;'Recurring Schedule'!$F$43,$A245&gt;'Recurring Schedule'!$P$43),"",IF(IF('Recurring Schedule'!$N$43&gt;0,MOD($A245-'Recurring Schedule'!$F$43,'Recurring Schedule'!$N$43)=0,IF('Recurring Schedule'!$O$43&gt;0,AND(DAY($A245)=MIN(DAY('Recurring Schedule'!$F$43),DAY(EOMONTH($A245,0))),MOD((YEAR($A245)-YEAR('Recurring Schedule'!$F$43))*12+MONTH($A245)-MONTH('Recurring Schedule'!$F$43),'Recurring Schedule'!$O$43)=0),IF('Recurring Schedule'!$E$43="Weekdays",WEEKDAY($A245,2)&lt;=5,$A245='Recurring Schedule'!$F$43))),38,""))))</f>
        <v/>
      </c>
      <c r="AN245">
        <f>IF('Recurring Schedule'!$C$44="","",IF('Recurring Schedule'!$F$44="","",IF(OR($A245&lt;'Recurring Schedule'!$F$44,$A245&gt;'Recurring Schedule'!$P$44),"",IF(IF('Recurring Schedule'!$N$44&gt;0,MOD($A245-'Recurring Schedule'!$F$44,'Recurring Schedule'!$N$44)=0,IF('Recurring Schedule'!$O$44&gt;0,AND(DAY($A245)=MIN(DAY('Recurring Schedule'!$F$44),DAY(EOMONTH($A245,0))),MOD((YEAR($A245)-YEAR('Recurring Schedule'!$F$44))*12+MONTH($A245)-MONTH('Recurring Schedule'!$F$44),'Recurring Schedule'!$O$44)=0),IF('Recurring Schedule'!$E$44="Weekdays",WEEKDAY($A245,2)&lt;=5,$A245='Recurring Schedule'!$F$44))),39,""))))</f>
        <v/>
      </c>
      <c r="AO245">
        <f>IF('Recurring Schedule'!$C$45="","",IF('Recurring Schedule'!$F$45="","",IF(OR($A245&lt;'Recurring Schedule'!$F$45,$A245&gt;'Recurring Schedule'!$P$45),"",IF(IF('Recurring Schedule'!$N$45&gt;0,MOD($A245-'Recurring Schedule'!$F$45,'Recurring Schedule'!$N$45)=0,IF('Recurring Schedule'!$O$45&gt;0,AND(DAY($A245)=MIN(DAY('Recurring Schedule'!$F$45),DAY(EOMONTH($A245,0))),MOD((YEAR($A245)-YEAR('Recurring Schedule'!$F$45))*12+MONTH($A245)-MONTH('Recurring Schedule'!$F$45),'Recurring Schedule'!$O$45)=0),IF('Recurring Schedule'!$E$45="Weekdays",WEEKDAY($A245,2)&lt;=5,$A245='Recurring Schedule'!$F$45))),40,""))))</f>
        <v/>
      </c>
      <c r="AP245">
        <f>COUNT(B245:AO245)</f>
        <v/>
      </c>
      <c r="AQ245">
        <f>AQ244+AP244</f>
        <v/>
      </c>
      <c r="AS245" t="inlineStr">
        <is>
          <t>R</t>
        </is>
      </c>
      <c r="AT245" t="n">
        <v>249</v>
      </c>
      <c r="AU245">
        <f>'Recurring Log'!C249&amp;""</f>
        <v/>
      </c>
      <c r="AV245">
        <f>'Recurring Log'!D249&amp;""</f>
        <v/>
      </c>
      <c r="AW245">
        <f>IF('Recurring Log'!E249="","",'Recurring Log'!E249)</f>
        <v/>
      </c>
      <c r="AX245">
        <f>IF('Recurring Log'!G249="","",'Recurring Log'!G249)</f>
        <v/>
      </c>
      <c r="AY245">
        <f>IF('Recurring Log'!H249="","",'Recurring Log'!H249)</f>
        <v/>
      </c>
      <c r="AZ245">
        <f>IF(AU245="","",IF('Recurring Log'!J249="","Not Started",'Recurring Log'!J249))</f>
        <v/>
      </c>
      <c r="BA245">
        <f>'Recurring Log'!L249&amp;""</f>
        <v/>
      </c>
      <c r="BB245">
        <f>'Recurring Log'!M249&amp;""</f>
        <v/>
      </c>
      <c r="BC245">
        <f>'Recurring Log'!N249&amp;""</f>
        <v/>
      </c>
      <c r="BD245">
        <f>'Recurring Log'!O249&amp;""</f>
        <v/>
      </c>
      <c r="BE245">
        <f>IF('Recurring Log'!K249="","",'Recurring Log'!K249)</f>
        <v/>
      </c>
      <c r="BF245">
        <f>IFERROR(MATCH(BA245,Setup!$L$6:$L$9,0),5)</f>
        <v/>
      </c>
      <c r="BG245">
        <f>IF(OR(AZ245="Done",AZ245="Cancelled"),1,0)</f>
        <v/>
      </c>
      <c r="BH245">
        <f>IF(AND(AU245&lt;&gt;"",ISNUMBER(AW245)),1,0)</f>
        <v/>
      </c>
      <c r="BI245">
        <f>IF(BH245=0,0,IF(AND(AW245&gt;='Tasks Filter'!$F$3,AW245&lt;='Tasks Filter'!$F$4,OR('Tasks Filter'!$I$3="",ISNUMBER(SEARCH('Tasks Filter'!$I$3,AU245))),OR('Tasks Filter'!$I$4="",BF245=IFERROR(MATCH('Tasks Filter'!$I$4,Setup!$L$6:$L$9,0),0)),OR('Tasks Filter'!$I$5="Both",AND('Tasks Filter'!$I$5="Yes",BB245="✓"),AND('Tasks Filter'!$I$5="No",BB245&lt;&gt;"✓")),OR('Tasks Filter'!$L$3="",AV245='Tasks Filter'!$L$3),OR('Tasks Filter'!$L$4="",AZ245='Tasks Filter'!$L$4),OR('Tasks Filter'!$L$5="",BC245='Tasks Filter'!$L$5),OR('Tasks Filter'!$O$3="",BD245='Tasks Filter'!$O$3),OR('Tasks Filter'!$O$4="Yes",BG245=0)),1,0))</f>
        <v/>
      </c>
      <c r="BJ245">
        <f>IF(BH245=0,"",IF('Tasks Filter'!$F$6="Descending",-1,1)*CHOOSE(MATCH('Tasks Filter'!$F$5,Lists!$G$2:$G$6,0),AW245,BF245,IFERROR(MATCH(AV245,Setup!$F$6:$F$15,0),99),IFERROR(MATCH(BC245,Setup!$H$6:$H$15,0),99),IFERROR(MATCH(AZ245,Setup!$J$6:$J$11,0),99))*1E+9+(AW245-40000)*10000+244)</f>
        <v/>
      </c>
      <c r="BK245">
        <f>IF(BI245=1,BJ245,"")</f>
        <v/>
      </c>
      <c r="BL245">
        <f>IF(AND(BH245=1,BG245=0,N(AW245)&lt;Setup!$D$7),(AW245-40000)*10000+244,"")</f>
        <v/>
      </c>
      <c r="BM245">
        <f>IF(AND(BH245=1,AZ245&lt;&gt;"Cancelled",N(AW245)&gt;=Dashboard!$AB$3,N(AW245)&lt;=Dashboard!$AB$3+6),(AW245-40000)*100000+BF245*10000+244,"")</f>
        <v/>
      </c>
      <c r="BN245">
        <f>IF(AND(BH245=1,AZ245&lt;&gt;"Cancelled"),BF245*10000+244,"")</f>
        <v/>
      </c>
    </row>
    <row r="246">
      <c r="A246">
        <f>Setup!$D$5+244</f>
        <v/>
      </c>
      <c r="B246">
        <f>IF('Recurring Schedule'!$C$6="","",IF('Recurring Schedule'!$F$6="","",IF(OR($A246&lt;'Recurring Schedule'!$F$6,$A246&gt;'Recurring Schedule'!$P$6),"",IF(IF('Recurring Schedule'!$N$6&gt;0,MOD($A246-'Recurring Schedule'!$F$6,'Recurring Schedule'!$N$6)=0,IF('Recurring Schedule'!$O$6&gt;0,AND(DAY($A246)=MIN(DAY('Recurring Schedule'!$F$6),DAY(EOMONTH($A246,0))),MOD((YEAR($A246)-YEAR('Recurring Schedule'!$F$6))*12+MONTH($A246)-MONTH('Recurring Schedule'!$F$6),'Recurring Schedule'!$O$6)=0),IF('Recurring Schedule'!$E$6="Weekdays",WEEKDAY($A246,2)&lt;=5,$A246='Recurring Schedule'!$F$6))),1,""))))</f>
        <v/>
      </c>
      <c r="C246">
        <f>IF('Recurring Schedule'!$C$7="","",IF('Recurring Schedule'!$F$7="","",IF(OR($A246&lt;'Recurring Schedule'!$F$7,$A246&gt;'Recurring Schedule'!$P$7),"",IF(IF('Recurring Schedule'!$N$7&gt;0,MOD($A246-'Recurring Schedule'!$F$7,'Recurring Schedule'!$N$7)=0,IF('Recurring Schedule'!$O$7&gt;0,AND(DAY($A246)=MIN(DAY('Recurring Schedule'!$F$7),DAY(EOMONTH($A246,0))),MOD((YEAR($A246)-YEAR('Recurring Schedule'!$F$7))*12+MONTH($A246)-MONTH('Recurring Schedule'!$F$7),'Recurring Schedule'!$O$7)=0),IF('Recurring Schedule'!$E$7="Weekdays",WEEKDAY($A246,2)&lt;=5,$A246='Recurring Schedule'!$F$7))),2,""))))</f>
        <v/>
      </c>
      <c r="D246">
        <f>IF('Recurring Schedule'!$C$8="","",IF('Recurring Schedule'!$F$8="","",IF(OR($A246&lt;'Recurring Schedule'!$F$8,$A246&gt;'Recurring Schedule'!$P$8),"",IF(IF('Recurring Schedule'!$N$8&gt;0,MOD($A246-'Recurring Schedule'!$F$8,'Recurring Schedule'!$N$8)=0,IF('Recurring Schedule'!$O$8&gt;0,AND(DAY($A246)=MIN(DAY('Recurring Schedule'!$F$8),DAY(EOMONTH($A246,0))),MOD((YEAR($A246)-YEAR('Recurring Schedule'!$F$8))*12+MONTH($A246)-MONTH('Recurring Schedule'!$F$8),'Recurring Schedule'!$O$8)=0),IF('Recurring Schedule'!$E$8="Weekdays",WEEKDAY($A246,2)&lt;=5,$A246='Recurring Schedule'!$F$8))),3,""))))</f>
        <v/>
      </c>
      <c r="E246">
        <f>IF('Recurring Schedule'!$C$9="","",IF('Recurring Schedule'!$F$9="","",IF(OR($A246&lt;'Recurring Schedule'!$F$9,$A246&gt;'Recurring Schedule'!$P$9),"",IF(IF('Recurring Schedule'!$N$9&gt;0,MOD($A246-'Recurring Schedule'!$F$9,'Recurring Schedule'!$N$9)=0,IF('Recurring Schedule'!$O$9&gt;0,AND(DAY($A246)=MIN(DAY('Recurring Schedule'!$F$9),DAY(EOMONTH($A246,0))),MOD((YEAR($A246)-YEAR('Recurring Schedule'!$F$9))*12+MONTH($A246)-MONTH('Recurring Schedule'!$F$9),'Recurring Schedule'!$O$9)=0),IF('Recurring Schedule'!$E$9="Weekdays",WEEKDAY($A246,2)&lt;=5,$A246='Recurring Schedule'!$F$9))),4,""))))</f>
        <v/>
      </c>
      <c r="F246">
        <f>IF('Recurring Schedule'!$C$10="","",IF('Recurring Schedule'!$F$10="","",IF(OR($A246&lt;'Recurring Schedule'!$F$10,$A246&gt;'Recurring Schedule'!$P$10),"",IF(IF('Recurring Schedule'!$N$10&gt;0,MOD($A246-'Recurring Schedule'!$F$10,'Recurring Schedule'!$N$10)=0,IF('Recurring Schedule'!$O$10&gt;0,AND(DAY($A246)=MIN(DAY('Recurring Schedule'!$F$10),DAY(EOMONTH($A246,0))),MOD((YEAR($A246)-YEAR('Recurring Schedule'!$F$10))*12+MONTH($A246)-MONTH('Recurring Schedule'!$F$10),'Recurring Schedule'!$O$10)=0),IF('Recurring Schedule'!$E$10="Weekdays",WEEKDAY($A246,2)&lt;=5,$A246='Recurring Schedule'!$F$10))),5,""))))</f>
        <v/>
      </c>
      <c r="G246">
        <f>IF('Recurring Schedule'!$C$11="","",IF('Recurring Schedule'!$F$11="","",IF(OR($A246&lt;'Recurring Schedule'!$F$11,$A246&gt;'Recurring Schedule'!$P$11),"",IF(IF('Recurring Schedule'!$N$11&gt;0,MOD($A246-'Recurring Schedule'!$F$11,'Recurring Schedule'!$N$11)=0,IF('Recurring Schedule'!$O$11&gt;0,AND(DAY($A246)=MIN(DAY('Recurring Schedule'!$F$11),DAY(EOMONTH($A246,0))),MOD((YEAR($A246)-YEAR('Recurring Schedule'!$F$11))*12+MONTH($A246)-MONTH('Recurring Schedule'!$F$11),'Recurring Schedule'!$O$11)=0),IF('Recurring Schedule'!$E$11="Weekdays",WEEKDAY($A246,2)&lt;=5,$A246='Recurring Schedule'!$F$11))),6,""))))</f>
        <v/>
      </c>
      <c r="H246">
        <f>IF('Recurring Schedule'!$C$12="","",IF('Recurring Schedule'!$F$12="","",IF(OR($A246&lt;'Recurring Schedule'!$F$12,$A246&gt;'Recurring Schedule'!$P$12),"",IF(IF('Recurring Schedule'!$N$12&gt;0,MOD($A246-'Recurring Schedule'!$F$12,'Recurring Schedule'!$N$12)=0,IF('Recurring Schedule'!$O$12&gt;0,AND(DAY($A246)=MIN(DAY('Recurring Schedule'!$F$12),DAY(EOMONTH($A246,0))),MOD((YEAR($A246)-YEAR('Recurring Schedule'!$F$12))*12+MONTH($A246)-MONTH('Recurring Schedule'!$F$12),'Recurring Schedule'!$O$12)=0),IF('Recurring Schedule'!$E$12="Weekdays",WEEKDAY($A246,2)&lt;=5,$A246='Recurring Schedule'!$F$12))),7,""))))</f>
        <v/>
      </c>
      <c r="I246">
        <f>IF('Recurring Schedule'!$C$13="","",IF('Recurring Schedule'!$F$13="","",IF(OR($A246&lt;'Recurring Schedule'!$F$13,$A246&gt;'Recurring Schedule'!$P$13),"",IF(IF('Recurring Schedule'!$N$13&gt;0,MOD($A246-'Recurring Schedule'!$F$13,'Recurring Schedule'!$N$13)=0,IF('Recurring Schedule'!$O$13&gt;0,AND(DAY($A246)=MIN(DAY('Recurring Schedule'!$F$13),DAY(EOMONTH($A246,0))),MOD((YEAR($A246)-YEAR('Recurring Schedule'!$F$13))*12+MONTH($A246)-MONTH('Recurring Schedule'!$F$13),'Recurring Schedule'!$O$13)=0),IF('Recurring Schedule'!$E$13="Weekdays",WEEKDAY($A246,2)&lt;=5,$A246='Recurring Schedule'!$F$13))),8,""))))</f>
        <v/>
      </c>
      <c r="J246">
        <f>IF('Recurring Schedule'!$C$14="","",IF('Recurring Schedule'!$F$14="","",IF(OR($A246&lt;'Recurring Schedule'!$F$14,$A246&gt;'Recurring Schedule'!$P$14),"",IF(IF('Recurring Schedule'!$N$14&gt;0,MOD($A246-'Recurring Schedule'!$F$14,'Recurring Schedule'!$N$14)=0,IF('Recurring Schedule'!$O$14&gt;0,AND(DAY($A246)=MIN(DAY('Recurring Schedule'!$F$14),DAY(EOMONTH($A246,0))),MOD((YEAR($A246)-YEAR('Recurring Schedule'!$F$14))*12+MONTH($A246)-MONTH('Recurring Schedule'!$F$14),'Recurring Schedule'!$O$14)=0),IF('Recurring Schedule'!$E$14="Weekdays",WEEKDAY($A246,2)&lt;=5,$A246='Recurring Schedule'!$F$14))),9,""))))</f>
        <v/>
      </c>
      <c r="K246">
        <f>IF('Recurring Schedule'!$C$15="","",IF('Recurring Schedule'!$F$15="","",IF(OR($A246&lt;'Recurring Schedule'!$F$15,$A246&gt;'Recurring Schedule'!$P$15),"",IF(IF('Recurring Schedule'!$N$15&gt;0,MOD($A246-'Recurring Schedule'!$F$15,'Recurring Schedule'!$N$15)=0,IF('Recurring Schedule'!$O$15&gt;0,AND(DAY($A246)=MIN(DAY('Recurring Schedule'!$F$15),DAY(EOMONTH($A246,0))),MOD((YEAR($A246)-YEAR('Recurring Schedule'!$F$15))*12+MONTH($A246)-MONTH('Recurring Schedule'!$F$15),'Recurring Schedule'!$O$15)=0),IF('Recurring Schedule'!$E$15="Weekdays",WEEKDAY($A246,2)&lt;=5,$A246='Recurring Schedule'!$F$15))),10,""))))</f>
        <v/>
      </c>
      <c r="L246">
        <f>IF('Recurring Schedule'!$C$16="","",IF('Recurring Schedule'!$F$16="","",IF(OR($A246&lt;'Recurring Schedule'!$F$16,$A246&gt;'Recurring Schedule'!$P$16),"",IF(IF('Recurring Schedule'!$N$16&gt;0,MOD($A246-'Recurring Schedule'!$F$16,'Recurring Schedule'!$N$16)=0,IF('Recurring Schedule'!$O$16&gt;0,AND(DAY($A246)=MIN(DAY('Recurring Schedule'!$F$16),DAY(EOMONTH($A246,0))),MOD((YEAR($A246)-YEAR('Recurring Schedule'!$F$16))*12+MONTH($A246)-MONTH('Recurring Schedule'!$F$16),'Recurring Schedule'!$O$16)=0),IF('Recurring Schedule'!$E$16="Weekdays",WEEKDAY($A246,2)&lt;=5,$A246='Recurring Schedule'!$F$16))),11,""))))</f>
        <v/>
      </c>
      <c r="M246">
        <f>IF('Recurring Schedule'!$C$17="","",IF('Recurring Schedule'!$F$17="","",IF(OR($A246&lt;'Recurring Schedule'!$F$17,$A246&gt;'Recurring Schedule'!$P$17),"",IF(IF('Recurring Schedule'!$N$17&gt;0,MOD($A246-'Recurring Schedule'!$F$17,'Recurring Schedule'!$N$17)=0,IF('Recurring Schedule'!$O$17&gt;0,AND(DAY($A246)=MIN(DAY('Recurring Schedule'!$F$17),DAY(EOMONTH($A246,0))),MOD((YEAR($A246)-YEAR('Recurring Schedule'!$F$17))*12+MONTH($A246)-MONTH('Recurring Schedule'!$F$17),'Recurring Schedule'!$O$17)=0),IF('Recurring Schedule'!$E$17="Weekdays",WEEKDAY($A246,2)&lt;=5,$A246='Recurring Schedule'!$F$17))),12,""))))</f>
        <v/>
      </c>
      <c r="N246">
        <f>IF('Recurring Schedule'!$C$18="","",IF('Recurring Schedule'!$F$18="","",IF(OR($A246&lt;'Recurring Schedule'!$F$18,$A246&gt;'Recurring Schedule'!$P$18),"",IF(IF('Recurring Schedule'!$N$18&gt;0,MOD($A246-'Recurring Schedule'!$F$18,'Recurring Schedule'!$N$18)=0,IF('Recurring Schedule'!$O$18&gt;0,AND(DAY($A246)=MIN(DAY('Recurring Schedule'!$F$18),DAY(EOMONTH($A246,0))),MOD((YEAR($A246)-YEAR('Recurring Schedule'!$F$18))*12+MONTH($A246)-MONTH('Recurring Schedule'!$F$18),'Recurring Schedule'!$O$18)=0),IF('Recurring Schedule'!$E$18="Weekdays",WEEKDAY($A246,2)&lt;=5,$A246='Recurring Schedule'!$F$18))),13,""))))</f>
        <v/>
      </c>
      <c r="O246">
        <f>IF('Recurring Schedule'!$C$19="","",IF('Recurring Schedule'!$F$19="","",IF(OR($A246&lt;'Recurring Schedule'!$F$19,$A246&gt;'Recurring Schedule'!$P$19),"",IF(IF('Recurring Schedule'!$N$19&gt;0,MOD($A246-'Recurring Schedule'!$F$19,'Recurring Schedule'!$N$19)=0,IF('Recurring Schedule'!$O$19&gt;0,AND(DAY($A246)=MIN(DAY('Recurring Schedule'!$F$19),DAY(EOMONTH($A246,0))),MOD((YEAR($A246)-YEAR('Recurring Schedule'!$F$19))*12+MONTH($A246)-MONTH('Recurring Schedule'!$F$19),'Recurring Schedule'!$O$19)=0),IF('Recurring Schedule'!$E$19="Weekdays",WEEKDAY($A246,2)&lt;=5,$A246='Recurring Schedule'!$F$19))),14,""))))</f>
        <v/>
      </c>
      <c r="P246">
        <f>IF('Recurring Schedule'!$C$20="","",IF('Recurring Schedule'!$F$20="","",IF(OR($A246&lt;'Recurring Schedule'!$F$20,$A246&gt;'Recurring Schedule'!$P$20),"",IF(IF('Recurring Schedule'!$N$20&gt;0,MOD($A246-'Recurring Schedule'!$F$20,'Recurring Schedule'!$N$20)=0,IF('Recurring Schedule'!$O$20&gt;0,AND(DAY($A246)=MIN(DAY('Recurring Schedule'!$F$20),DAY(EOMONTH($A246,0))),MOD((YEAR($A246)-YEAR('Recurring Schedule'!$F$20))*12+MONTH($A246)-MONTH('Recurring Schedule'!$F$20),'Recurring Schedule'!$O$20)=0),IF('Recurring Schedule'!$E$20="Weekdays",WEEKDAY($A246,2)&lt;=5,$A246='Recurring Schedule'!$F$20))),15,""))))</f>
        <v/>
      </c>
      <c r="Q246">
        <f>IF('Recurring Schedule'!$C$21="","",IF('Recurring Schedule'!$F$21="","",IF(OR($A246&lt;'Recurring Schedule'!$F$21,$A246&gt;'Recurring Schedule'!$P$21),"",IF(IF('Recurring Schedule'!$N$21&gt;0,MOD($A246-'Recurring Schedule'!$F$21,'Recurring Schedule'!$N$21)=0,IF('Recurring Schedule'!$O$21&gt;0,AND(DAY($A246)=MIN(DAY('Recurring Schedule'!$F$21),DAY(EOMONTH($A246,0))),MOD((YEAR($A246)-YEAR('Recurring Schedule'!$F$21))*12+MONTH($A246)-MONTH('Recurring Schedule'!$F$21),'Recurring Schedule'!$O$21)=0),IF('Recurring Schedule'!$E$21="Weekdays",WEEKDAY($A246,2)&lt;=5,$A246='Recurring Schedule'!$F$21))),16,""))))</f>
        <v/>
      </c>
      <c r="R246">
        <f>IF('Recurring Schedule'!$C$22="","",IF('Recurring Schedule'!$F$22="","",IF(OR($A246&lt;'Recurring Schedule'!$F$22,$A246&gt;'Recurring Schedule'!$P$22),"",IF(IF('Recurring Schedule'!$N$22&gt;0,MOD($A246-'Recurring Schedule'!$F$22,'Recurring Schedule'!$N$22)=0,IF('Recurring Schedule'!$O$22&gt;0,AND(DAY($A246)=MIN(DAY('Recurring Schedule'!$F$22),DAY(EOMONTH($A246,0))),MOD((YEAR($A246)-YEAR('Recurring Schedule'!$F$22))*12+MONTH($A246)-MONTH('Recurring Schedule'!$F$22),'Recurring Schedule'!$O$22)=0),IF('Recurring Schedule'!$E$22="Weekdays",WEEKDAY($A246,2)&lt;=5,$A246='Recurring Schedule'!$F$22))),17,""))))</f>
        <v/>
      </c>
      <c r="S246">
        <f>IF('Recurring Schedule'!$C$23="","",IF('Recurring Schedule'!$F$23="","",IF(OR($A246&lt;'Recurring Schedule'!$F$23,$A246&gt;'Recurring Schedule'!$P$23),"",IF(IF('Recurring Schedule'!$N$23&gt;0,MOD($A246-'Recurring Schedule'!$F$23,'Recurring Schedule'!$N$23)=0,IF('Recurring Schedule'!$O$23&gt;0,AND(DAY($A246)=MIN(DAY('Recurring Schedule'!$F$23),DAY(EOMONTH($A246,0))),MOD((YEAR($A246)-YEAR('Recurring Schedule'!$F$23))*12+MONTH($A246)-MONTH('Recurring Schedule'!$F$23),'Recurring Schedule'!$O$23)=0),IF('Recurring Schedule'!$E$23="Weekdays",WEEKDAY($A246,2)&lt;=5,$A246='Recurring Schedule'!$F$23))),18,""))))</f>
        <v/>
      </c>
      <c r="T246">
        <f>IF('Recurring Schedule'!$C$24="","",IF('Recurring Schedule'!$F$24="","",IF(OR($A246&lt;'Recurring Schedule'!$F$24,$A246&gt;'Recurring Schedule'!$P$24),"",IF(IF('Recurring Schedule'!$N$24&gt;0,MOD($A246-'Recurring Schedule'!$F$24,'Recurring Schedule'!$N$24)=0,IF('Recurring Schedule'!$O$24&gt;0,AND(DAY($A246)=MIN(DAY('Recurring Schedule'!$F$24),DAY(EOMONTH($A246,0))),MOD((YEAR($A246)-YEAR('Recurring Schedule'!$F$24))*12+MONTH($A246)-MONTH('Recurring Schedule'!$F$24),'Recurring Schedule'!$O$24)=0),IF('Recurring Schedule'!$E$24="Weekdays",WEEKDAY($A246,2)&lt;=5,$A246='Recurring Schedule'!$F$24))),19,""))))</f>
        <v/>
      </c>
      <c r="U246">
        <f>IF('Recurring Schedule'!$C$25="","",IF('Recurring Schedule'!$F$25="","",IF(OR($A246&lt;'Recurring Schedule'!$F$25,$A246&gt;'Recurring Schedule'!$P$25),"",IF(IF('Recurring Schedule'!$N$25&gt;0,MOD($A246-'Recurring Schedule'!$F$25,'Recurring Schedule'!$N$25)=0,IF('Recurring Schedule'!$O$25&gt;0,AND(DAY($A246)=MIN(DAY('Recurring Schedule'!$F$25),DAY(EOMONTH($A246,0))),MOD((YEAR($A246)-YEAR('Recurring Schedule'!$F$25))*12+MONTH($A246)-MONTH('Recurring Schedule'!$F$25),'Recurring Schedule'!$O$25)=0),IF('Recurring Schedule'!$E$25="Weekdays",WEEKDAY($A246,2)&lt;=5,$A246='Recurring Schedule'!$F$25))),20,""))))</f>
        <v/>
      </c>
      <c r="V246">
        <f>IF('Recurring Schedule'!$C$26="","",IF('Recurring Schedule'!$F$26="","",IF(OR($A246&lt;'Recurring Schedule'!$F$26,$A246&gt;'Recurring Schedule'!$P$26),"",IF(IF('Recurring Schedule'!$N$26&gt;0,MOD($A246-'Recurring Schedule'!$F$26,'Recurring Schedule'!$N$26)=0,IF('Recurring Schedule'!$O$26&gt;0,AND(DAY($A246)=MIN(DAY('Recurring Schedule'!$F$26),DAY(EOMONTH($A246,0))),MOD((YEAR($A246)-YEAR('Recurring Schedule'!$F$26))*12+MONTH($A246)-MONTH('Recurring Schedule'!$F$26),'Recurring Schedule'!$O$26)=0),IF('Recurring Schedule'!$E$26="Weekdays",WEEKDAY($A246,2)&lt;=5,$A246='Recurring Schedule'!$F$26))),21,""))))</f>
        <v/>
      </c>
      <c r="W246">
        <f>IF('Recurring Schedule'!$C$27="","",IF('Recurring Schedule'!$F$27="","",IF(OR($A246&lt;'Recurring Schedule'!$F$27,$A246&gt;'Recurring Schedule'!$P$27),"",IF(IF('Recurring Schedule'!$N$27&gt;0,MOD($A246-'Recurring Schedule'!$F$27,'Recurring Schedule'!$N$27)=0,IF('Recurring Schedule'!$O$27&gt;0,AND(DAY($A246)=MIN(DAY('Recurring Schedule'!$F$27),DAY(EOMONTH($A246,0))),MOD((YEAR($A246)-YEAR('Recurring Schedule'!$F$27))*12+MONTH($A246)-MONTH('Recurring Schedule'!$F$27),'Recurring Schedule'!$O$27)=0),IF('Recurring Schedule'!$E$27="Weekdays",WEEKDAY($A246,2)&lt;=5,$A246='Recurring Schedule'!$F$27))),22,""))))</f>
        <v/>
      </c>
      <c r="X246">
        <f>IF('Recurring Schedule'!$C$28="","",IF('Recurring Schedule'!$F$28="","",IF(OR($A246&lt;'Recurring Schedule'!$F$28,$A246&gt;'Recurring Schedule'!$P$28),"",IF(IF('Recurring Schedule'!$N$28&gt;0,MOD($A246-'Recurring Schedule'!$F$28,'Recurring Schedule'!$N$28)=0,IF('Recurring Schedule'!$O$28&gt;0,AND(DAY($A246)=MIN(DAY('Recurring Schedule'!$F$28),DAY(EOMONTH($A246,0))),MOD((YEAR($A246)-YEAR('Recurring Schedule'!$F$28))*12+MONTH($A246)-MONTH('Recurring Schedule'!$F$28),'Recurring Schedule'!$O$28)=0),IF('Recurring Schedule'!$E$28="Weekdays",WEEKDAY($A246,2)&lt;=5,$A246='Recurring Schedule'!$F$28))),23,""))))</f>
        <v/>
      </c>
      <c r="Y246">
        <f>IF('Recurring Schedule'!$C$29="","",IF('Recurring Schedule'!$F$29="","",IF(OR($A246&lt;'Recurring Schedule'!$F$29,$A246&gt;'Recurring Schedule'!$P$29),"",IF(IF('Recurring Schedule'!$N$29&gt;0,MOD($A246-'Recurring Schedule'!$F$29,'Recurring Schedule'!$N$29)=0,IF('Recurring Schedule'!$O$29&gt;0,AND(DAY($A246)=MIN(DAY('Recurring Schedule'!$F$29),DAY(EOMONTH($A246,0))),MOD((YEAR($A246)-YEAR('Recurring Schedule'!$F$29))*12+MONTH($A246)-MONTH('Recurring Schedule'!$F$29),'Recurring Schedule'!$O$29)=0),IF('Recurring Schedule'!$E$29="Weekdays",WEEKDAY($A246,2)&lt;=5,$A246='Recurring Schedule'!$F$29))),24,""))))</f>
        <v/>
      </c>
      <c r="Z246">
        <f>IF('Recurring Schedule'!$C$30="","",IF('Recurring Schedule'!$F$30="","",IF(OR($A246&lt;'Recurring Schedule'!$F$30,$A246&gt;'Recurring Schedule'!$P$30),"",IF(IF('Recurring Schedule'!$N$30&gt;0,MOD($A246-'Recurring Schedule'!$F$30,'Recurring Schedule'!$N$30)=0,IF('Recurring Schedule'!$O$30&gt;0,AND(DAY($A246)=MIN(DAY('Recurring Schedule'!$F$30),DAY(EOMONTH($A246,0))),MOD((YEAR($A246)-YEAR('Recurring Schedule'!$F$30))*12+MONTH($A246)-MONTH('Recurring Schedule'!$F$30),'Recurring Schedule'!$O$30)=0),IF('Recurring Schedule'!$E$30="Weekdays",WEEKDAY($A246,2)&lt;=5,$A246='Recurring Schedule'!$F$30))),25,""))))</f>
        <v/>
      </c>
      <c r="AA246">
        <f>IF('Recurring Schedule'!$C$31="","",IF('Recurring Schedule'!$F$31="","",IF(OR($A246&lt;'Recurring Schedule'!$F$31,$A246&gt;'Recurring Schedule'!$P$31),"",IF(IF('Recurring Schedule'!$N$31&gt;0,MOD($A246-'Recurring Schedule'!$F$31,'Recurring Schedule'!$N$31)=0,IF('Recurring Schedule'!$O$31&gt;0,AND(DAY($A246)=MIN(DAY('Recurring Schedule'!$F$31),DAY(EOMONTH($A246,0))),MOD((YEAR($A246)-YEAR('Recurring Schedule'!$F$31))*12+MONTH($A246)-MONTH('Recurring Schedule'!$F$31),'Recurring Schedule'!$O$31)=0),IF('Recurring Schedule'!$E$31="Weekdays",WEEKDAY($A246,2)&lt;=5,$A246='Recurring Schedule'!$F$31))),26,""))))</f>
        <v/>
      </c>
      <c r="AB246">
        <f>IF('Recurring Schedule'!$C$32="","",IF('Recurring Schedule'!$F$32="","",IF(OR($A246&lt;'Recurring Schedule'!$F$32,$A246&gt;'Recurring Schedule'!$P$32),"",IF(IF('Recurring Schedule'!$N$32&gt;0,MOD($A246-'Recurring Schedule'!$F$32,'Recurring Schedule'!$N$32)=0,IF('Recurring Schedule'!$O$32&gt;0,AND(DAY($A246)=MIN(DAY('Recurring Schedule'!$F$32),DAY(EOMONTH($A246,0))),MOD((YEAR($A246)-YEAR('Recurring Schedule'!$F$32))*12+MONTH($A246)-MONTH('Recurring Schedule'!$F$32),'Recurring Schedule'!$O$32)=0),IF('Recurring Schedule'!$E$32="Weekdays",WEEKDAY($A246,2)&lt;=5,$A246='Recurring Schedule'!$F$32))),27,""))))</f>
        <v/>
      </c>
      <c r="AC246">
        <f>IF('Recurring Schedule'!$C$33="","",IF('Recurring Schedule'!$F$33="","",IF(OR($A246&lt;'Recurring Schedule'!$F$33,$A246&gt;'Recurring Schedule'!$P$33),"",IF(IF('Recurring Schedule'!$N$33&gt;0,MOD($A246-'Recurring Schedule'!$F$33,'Recurring Schedule'!$N$33)=0,IF('Recurring Schedule'!$O$33&gt;0,AND(DAY($A246)=MIN(DAY('Recurring Schedule'!$F$33),DAY(EOMONTH($A246,0))),MOD((YEAR($A246)-YEAR('Recurring Schedule'!$F$33))*12+MONTH($A246)-MONTH('Recurring Schedule'!$F$33),'Recurring Schedule'!$O$33)=0),IF('Recurring Schedule'!$E$33="Weekdays",WEEKDAY($A246,2)&lt;=5,$A246='Recurring Schedule'!$F$33))),28,""))))</f>
        <v/>
      </c>
      <c r="AD246">
        <f>IF('Recurring Schedule'!$C$34="","",IF('Recurring Schedule'!$F$34="","",IF(OR($A246&lt;'Recurring Schedule'!$F$34,$A246&gt;'Recurring Schedule'!$P$34),"",IF(IF('Recurring Schedule'!$N$34&gt;0,MOD($A246-'Recurring Schedule'!$F$34,'Recurring Schedule'!$N$34)=0,IF('Recurring Schedule'!$O$34&gt;0,AND(DAY($A246)=MIN(DAY('Recurring Schedule'!$F$34),DAY(EOMONTH($A246,0))),MOD((YEAR($A246)-YEAR('Recurring Schedule'!$F$34))*12+MONTH($A246)-MONTH('Recurring Schedule'!$F$34),'Recurring Schedule'!$O$34)=0),IF('Recurring Schedule'!$E$34="Weekdays",WEEKDAY($A246,2)&lt;=5,$A246='Recurring Schedule'!$F$34))),29,""))))</f>
        <v/>
      </c>
      <c r="AE246">
        <f>IF('Recurring Schedule'!$C$35="","",IF('Recurring Schedule'!$F$35="","",IF(OR($A246&lt;'Recurring Schedule'!$F$35,$A246&gt;'Recurring Schedule'!$P$35),"",IF(IF('Recurring Schedule'!$N$35&gt;0,MOD($A246-'Recurring Schedule'!$F$35,'Recurring Schedule'!$N$35)=0,IF('Recurring Schedule'!$O$35&gt;0,AND(DAY($A246)=MIN(DAY('Recurring Schedule'!$F$35),DAY(EOMONTH($A246,0))),MOD((YEAR($A246)-YEAR('Recurring Schedule'!$F$35))*12+MONTH($A246)-MONTH('Recurring Schedule'!$F$35),'Recurring Schedule'!$O$35)=0),IF('Recurring Schedule'!$E$35="Weekdays",WEEKDAY($A246,2)&lt;=5,$A246='Recurring Schedule'!$F$35))),30,""))))</f>
        <v/>
      </c>
      <c r="AF246">
        <f>IF('Recurring Schedule'!$C$36="","",IF('Recurring Schedule'!$F$36="","",IF(OR($A246&lt;'Recurring Schedule'!$F$36,$A246&gt;'Recurring Schedule'!$P$36),"",IF(IF('Recurring Schedule'!$N$36&gt;0,MOD($A246-'Recurring Schedule'!$F$36,'Recurring Schedule'!$N$36)=0,IF('Recurring Schedule'!$O$36&gt;0,AND(DAY($A246)=MIN(DAY('Recurring Schedule'!$F$36),DAY(EOMONTH($A246,0))),MOD((YEAR($A246)-YEAR('Recurring Schedule'!$F$36))*12+MONTH($A246)-MONTH('Recurring Schedule'!$F$36),'Recurring Schedule'!$O$36)=0),IF('Recurring Schedule'!$E$36="Weekdays",WEEKDAY($A246,2)&lt;=5,$A246='Recurring Schedule'!$F$36))),31,""))))</f>
        <v/>
      </c>
      <c r="AG246">
        <f>IF('Recurring Schedule'!$C$37="","",IF('Recurring Schedule'!$F$37="","",IF(OR($A246&lt;'Recurring Schedule'!$F$37,$A246&gt;'Recurring Schedule'!$P$37),"",IF(IF('Recurring Schedule'!$N$37&gt;0,MOD($A246-'Recurring Schedule'!$F$37,'Recurring Schedule'!$N$37)=0,IF('Recurring Schedule'!$O$37&gt;0,AND(DAY($A246)=MIN(DAY('Recurring Schedule'!$F$37),DAY(EOMONTH($A246,0))),MOD((YEAR($A246)-YEAR('Recurring Schedule'!$F$37))*12+MONTH($A246)-MONTH('Recurring Schedule'!$F$37),'Recurring Schedule'!$O$37)=0),IF('Recurring Schedule'!$E$37="Weekdays",WEEKDAY($A246,2)&lt;=5,$A246='Recurring Schedule'!$F$37))),32,""))))</f>
        <v/>
      </c>
      <c r="AH246">
        <f>IF('Recurring Schedule'!$C$38="","",IF('Recurring Schedule'!$F$38="","",IF(OR($A246&lt;'Recurring Schedule'!$F$38,$A246&gt;'Recurring Schedule'!$P$38),"",IF(IF('Recurring Schedule'!$N$38&gt;0,MOD($A246-'Recurring Schedule'!$F$38,'Recurring Schedule'!$N$38)=0,IF('Recurring Schedule'!$O$38&gt;0,AND(DAY($A246)=MIN(DAY('Recurring Schedule'!$F$38),DAY(EOMONTH($A246,0))),MOD((YEAR($A246)-YEAR('Recurring Schedule'!$F$38))*12+MONTH($A246)-MONTH('Recurring Schedule'!$F$38),'Recurring Schedule'!$O$38)=0),IF('Recurring Schedule'!$E$38="Weekdays",WEEKDAY($A246,2)&lt;=5,$A246='Recurring Schedule'!$F$38))),33,""))))</f>
        <v/>
      </c>
      <c r="AI246">
        <f>IF('Recurring Schedule'!$C$39="","",IF('Recurring Schedule'!$F$39="","",IF(OR($A246&lt;'Recurring Schedule'!$F$39,$A246&gt;'Recurring Schedule'!$P$39),"",IF(IF('Recurring Schedule'!$N$39&gt;0,MOD($A246-'Recurring Schedule'!$F$39,'Recurring Schedule'!$N$39)=0,IF('Recurring Schedule'!$O$39&gt;0,AND(DAY($A246)=MIN(DAY('Recurring Schedule'!$F$39),DAY(EOMONTH($A246,0))),MOD((YEAR($A246)-YEAR('Recurring Schedule'!$F$39))*12+MONTH($A246)-MONTH('Recurring Schedule'!$F$39),'Recurring Schedule'!$O$39)=0),IF('Recurring Schedule'!$E$39="Weekdays",WEEKDAY($A246,2)&lt;=5,$A246='Recurring Schedule'!$F$39))),34,""))))</f>
        <v/>
      </c>
      <c r="AJ246">
        <f>IF('Recurring Schedule'!$C$40="","",IF('Recurring Schedule'!$F$40="","",IF(OR($A246&lt;'Recurring Schedule'!$F$40,$A246&gt;'Recurring Schedule'!$P$40),"",IF(IF('Recurring Schedule'!$N$40&gt;0,MOD($A246-'Recurring Schedule'!$F$40,'Recurring Schedule'!$N$40)=0,IF('Recurring Schedule'!$O$40&gt;0,AND(DAY($A246)=MIN(DAY('Recurring Schedule'!$F$40),DAY(EOMONTH($A246,0))),MOD((YEAR($A246)-YEAR('Recurring Schedule'!$F$40))*12+MONTH($A246)-MONTH('Recurring Schedule'!$F$40),'Recurring Schedule'!$O$40)=0),IF('Recurring Schedule'!$E$40="Weekdays",WEEKDAY($A246,2)&lt;=5,$A246='Recurring Schedule'!$F$40))),35,""))))</f>
        <v/>
      </c>
      <c r="AK246">
        <f>IF('Recurring Schedule'!$C$41="","",IF('Recurring Schedule'!$F$41="","",IF(OR($A246&lt;'Recurring Schedule'!$F$41,$A246&gt;'Recurring Schedule'!$P$41),"",IF(IF('Recurring Schedule'!$N$41&gt;0,MOD($A246-'Recurring Schedule'!$F$41,'Recurring Schedule'!$N$41)=0,IF('Recurring Schedule'!$O$41&gt;0,AND(DAY($A246)=MIN(DAY('Recurring Schedule'!$F$41),DAY(EOMONTH($A246,0))),MOD((YEAR($A246)-YEAR('Recurring Schedule'!$F$41))*12+MONTH($A246)-MONTH('Recurring Schedule'!$F$41),'Recurring Schedule'!$O$41)=0),IF('Recurring Schedule'!$E$41="Weekdays",WEEKDAY($A246,2)&lt;=5,$A246='Recurring Schedule'!$F$41))),36,""))))</f>
        <v/>
      </c>
      <c r="AL246">
        <f>IF('Recurring Schedule'!$C$42="","",IF('Recurring Schedule'!$F$42="","",IF(OR($A246&lt;'Recurring Schedule'!$F$42,$A246&gt;'Recurring Schedule'!$P$42),"",IF(IF('Recurring Schedule'!$N$42&gt;0,MOD($A246-'Recurring Schedule'!$F$42,'Recurring Schedule'!$N$42)=0,IF('Recurring Schedule'!$O$42&gt;0,AND(DAY($A246)=MIN(DAY('Recurring Schedule'!$F$42),DAY(EOMONTH($A246,0))),MOD((YEAR($A246)-YEAR('Recurring Schedule'!$F$42))*12+MONTH($A246)-MONTH('Recurring Schedule'!$F$42),'Recurring Schedule'!$O$42)=0),IF('Recurring Schedule'!$E$42="Weekdays",WEEKDAY($A246,2)&lt;=5,$A246='Recurring Schedule'!$F$42))),37,""))))</f>
        <v/>
      </c>
      <c r="AM246">
        <f>IF('Recurring Schedule'!$C$43="","",IF('Recurring Schedule'!$F$43="","",IF(OR($A246&lt;'Recurring Schedule'!$F$43,$A246&gt;'Recurring Schedule'!$P$43),"",IF(IF('Recurring Schedule'!$N$43&gt;0,MOD($A246-'Recurring Schedule'!$F$43,'Recurring Schedule'!$N$43)=0,IF('Recurring Schedule'!$O$43&gt;0,AND(DAY($A246)=MIN(DAY('Recurring Schedule'!$F$43),DAY(EOMONTH($A246,0))),MOD((YEAR($A246)-YEAR('Recurring Schedule'!$F$43))*12+MONTH($A246)-MONTH('Recurring Schedule'!$F$43),'Recurring Schedule'!$O$43)=0),IF('Recurring Schedule'!$E$43="Weekdays",WEEKDAY($A246,2)&lt;=5,$A246='Recurring Schedule'!$F$43))),38,""))))</f>
        <v/>
      </c>
      <c r="AN246">
        <f>IF('Recurring Schedule'!$C$44="","",IF('Recurring Schedule'!$F$44="","",IF(OR($A246&lt;'Recurring Schedule'!$F$44,$A246&gt;'Recurring Schedule'!$P$44),"",IF(IF('Recurring Schedule'!$N$44&gt;0,MOD($A246-'Recurring Schedule'!$F$44,'Recurring Schedule'!$N$44)=0,IF('Recurring Schedule'!$O$44&gt;0,AND(DAY($A246)=MIN(DAY('Recurring Schedule'!$F$44),DAY(EOMONTH($A246,0))),MOD((YEAR($A246)-YEAR('Recurring Schedule'!$F$44))*12+MONTH($A246)-MONTH('Recurring Schedule'!$F$44),'Recurring Schedule'!$O$44)=0),IF('Recurring Schedule'!$E$44="Weekdays",WEEKDAY($A246,2)&lt;=5,$A246='Recurring Schedule'!$F$44))),39,""))))</f>
        <v/>
      </c>
      <c r="AO246">
        <f>IF('Recurring Schedule'!$C$45="","",IF('Recurring Schedule'!$F$45="","",IF(OR($A246&lt;'Recurring Schedule'!$F$45,$A246&gt;'Recurring Schedule'!$P$45),"",IF(IF('Recurring Schedule'!$N$45&gt;0,MOD($A246-'Recurring Schedule'!$F$45,'Recurring Schedule'!$N$45)=0,IF('Recurring Schedule'!$O$45&gt;0,AND(DAY($A246)=MIN(DAY('Recurring Schedule'!$F$45),DAY(EOMONTH($A246,0))),MOD((YEAR($A246)-YEAR('Recurring Schedule'!$F$45))*12+MONTH($A246)-MONTH('Recurring Schedule'!$F$45),'Recurring Schedule'!$O$45)=0),IF('Recurring Schedule'!$E$45="Weekdays",WEEKDAY($A246,2)&lt;=5,$A246='Recurring Schedule'!$F$45))),40,""))))</f>
        <v/>
      </c>
      <c r="AP246">
        <f>COUNT(B246:AO246)</f>
        <v/>
      </c>
      <c r="AQ246">
        <f>AQ245+AP245</f>
        <v/>
      </c>
      <c r="AS246" t="inlineStr">
        <is>
          <t>R</t>
        </is>
      </c>
      <c r="AT246" t="n">
        <v>250</v>
      </c>
      <c r="AU246">
        <f>'Recurring Log'!C250&amp;""</f>
        <v/>
      </c>
      <c r="AV246">
        <f>'Recurring Log'!D250&amp;""</f>
        <v/>
      </c>
      <c r="AW246">
        <f>IF('Recurring Log'!E250="","",'Recurring Log'!E250)</f>
        <v/>
      </c>
      <c r="AX246">
        <f>IF('Recurring Log'!G250="","",'Recurring Log'!G250)</f>
        <v/>
      </c>
      <c r="AY246">
        <f>IF('Recurring Log'!H250="","",'Recurring Log'!H250)</f>
        <v/>
      </c>
      <c r="AZ246">
        <f>IF(AU246="","",IF('Recurring Log'!J250="","Not Started",'Recurring Log'!J250))</f>
        <v/>
      </c>
      <c r="BA246">
        <f>'Recurring Log'!L250&amp;""</f>
        <v/>
      </c>
      <c r="BB246">
        <f>'Recurring Log'!M250&amp;""</f>
        <v/>
      </c>
      <c r="BC246">
        <f>'Recurring Log'!N250&amp;""</f>
        <v/>
      </c>
      <c r="BD246">
        <f>'Recurring Log'!O250&amp;""</f>
        <v/>
      </c>
      <c r="BE246">
        <f>IF('Recurring Log'!K250="","",'Recurring Log'!K250)</f>
        <v/>
      </c>
      <c r="BF246">
        <f>IFERROR(MATCH(BA246,Setup!$L$6:$L$9,0),5)</f>
        <v/>
      </c>
      <c r="BG246">
        <f>IF(OR(AZ246="Done",AZ246="Cancelled"),1,0)</f>
        <v/>
      </c>
      <c r="BH246">
        <f>IF(AND(AU246&lt;&gt;"",ISNUMBER(AW246)),1,0)</f>
        <v/>
      </c>
      <c r="BI246">
        <f>IF(BH246=0,0,IF(AND(AW246&gt;='Tasks Filter'!$F$3,AW246&lt;='Tasks Filter'!$F$4,OR('Tasks Filter'!$I$3="",ISNUMBER(SEARCH('Tasks Filter'!$I$3,AU246))),OR('Tasks Filter'!$I$4="",BF246=IFERROR(MATCH('Tasks Filter'!$I$4,Setup!$L$6:$L$9,0),0)),OR('Tasks Filter'!$I$5="Both",AND('Tasks Filter'!$I$5="Yes",BB246="✓"),AND('Tasks Filter'!$I$5="No",BB246&lt;&gt;"✓")),OR('Tasks Filter'!$L$3="",AV246='Tasks Filter'!$L$3),OR('Tasks Filter'!$L$4="",AZ246='Tasks Filter'!$L$4),OR('Tasks Filter'!$L$5="",BC246='Tasks Filter'!$L$5),OR('Tasks Filter'!$O$3="",BD246='Tasks Filter'!$O$3),OR('Tasks Filter'!$O$4="Yes",BG246=0)),1,0))</f>
        <v/>
      </c>
      <c r="BJ246">
        <f>IF(BH246=0,"",IF('Tasks Filter'!$F$6="Descending",-1,1)*CHOOSE(MATCH('Tasks Filter'!$F$5,Lists!$G$2:$G$6,0),AW246,BF246,IFERROR(MATCH(AV246,Setup!$F$6:$F$15,0),99),IFERROR(MATCH(BC246,Setup!$H$6:$H$15,0),99),IFERROR(MATCH(AZ246,Setup!$J$6:$J$11,0),99))*1E+9+(AW246-40000)*10000+245)</f>
        <v/>
      </c>
      <c r="BK246">
        <f>IF(BI246=1,BJ246,"")</f>
        <v/>
      </c>
      <c r="BL246">
        <f>IF(AND(BH246=1,BG246=0,N(AW246)&lt;Setup!$D$7),(AW246-40000)*10000+245,"")</f>
        <v/>
      </c>
      <c r="BM246">
        <f>IF(AND(BH246=1,AZ246&lt;&gt;"Cancelled",N(AW246)&gt;=Dashboard!$AB$3,N(AW246)&lt;=Dashboard!$AB$3+6),(AW246-40000)*100000+BF246*10000+245,"")</f>
        <v/>
      </c>
      <c r="BN246">
        <f>IF(AND(BH246=1,AZ246&lt;&gt;"Cancelled"),BF246*10000+245,"")</f>
        <v/>
      </c>
    </row>
    <row r="247">
      <c r="A247">
        <f>Setup!$D$5+245</f>
        <v/>
      </c>
      <c r="B247">
        <f>IF('Recurring Schedule'!$C$6="","",IF('Recurring Schedule'!$F$6="","",IF(OR($A247&lt;'Recurring Schedule'!$F$6,$A247&gt;'Recurring Schedule'!$P$6),"",IF(IF('Recurring Schedule'!$N$6&gt;0,MOD($A247-'Recurring Schedule'!$F$6,'Recurring Schedule'!$N$6)=0,IF('Recurring Schedule'!$O$6&gt;0,AND(DAY($A247)=MIN(DAY('Recurring Schedule'!$F$6),DAY(EOMONTH($A247,0))),MOD((YEAR($A247)-YEAR('Recurring Schedule'!$F$6))*12+MONTH($A247)-MONTH('Recurring Schedule'!$F$6),'Recurring Schedule'!$O$6)=0),IF('Recurring Schedule'!$E$6="Weekdays",WEEKDAY($A247,2)&lt;=5,$A247='Recurring Schedule'!$F$6))),1,""))))</f>
        <v/>
      </c>
      <c r="C247">
        <f>IF('Recurring Schedule'!$C$7="","",IF('Recurring Schedule'!$F$7="","",IF(OR($A247&lt;'Recurring Schedule'!$F$7,$A247&gt;'Recurring Schedule'!$P$7),"",IF(IF('Recurring Schedule'!$N$7&gt;0,MOD($A247-'Recurring Schedule'!$F$7,'Recurring Schedule'!$N$7)=0,IF('Recurring Schedule'!$O$7&gt;0,AND(DAY($A247)=MIN(DAY('Recurring Schedule'!$F$7),DAY(EOMONTH($A247,0))),MOD((YEAR($A247)-YEAR('Recurring Schedule'!$F$7))*12+MONTH($A247)-MONTH('Recurring Schedule'!$F$7),'Recurring Schedule'!$O$7)=0),IF('Recurring Schedule'!$E$7="Weekdays",WEEKDAY($A247,2)&lt;=5,$A247='Recurring Schedule'!$F$7))),2,""))))</f>
        <v/>
      </c>
      <c r="D247">
        <f>IF('Recurring Schedule'!$C$8="","",IF('Recurring Schedule'!$F$8="","",IF(OR($A247&lt;'Recurring Schedule'!$F$8,$A247&gt;'Recurring Schedule'!$P$8),"",IF(IF('Recurring Schedule'!$N$8&gt;0,MOD($A247-'Recurring Schedule'!$F$8,'Recurring Schedule'!$N$8)=0,IF('Recurring Schedule'!$O$8&gt;0,AND(DAY($A247)=MIN(DAY('Recurring Schedule'!$F$8),DAY(EOMONTH($A247,0))),MOD((YEAR($A247)-YEAR('Recurring Schedule'!$F$8))*12+MONTH($A247)-MONTH('Recurring Schedule'!$F$8),'Recurring Schedule'!$O$8)=0),IF('Recurring Schedule'!$E$8="Weekdays",WEEKDAY($A247,2)&lt;=5,$A247='Recurring Schedule'!$F$8))),3,""))))</f>
        <v/>
      </c>
      <c r="E247">
        <f>IF('Recurring Schedule'!$C$9="","",IF('Recurring Schedule'!$F$9="","",IF(OR($A247&lt;'Recurring Schedule'!$F$9,$A247&gt;'Recurring Schedule'!$P$9),"",IF(IF('Recurring Schedule'!$N$9&gt;0,MOD($A247-'Recurring Schedule'!$F$9,'Recurring Schedule'!$N$9)=0,IF('Recurring Schedule'!$O$9&gt;0,AND(DAY($A247)=MIN(DAY('Recurring Schedule'!$F$9),DAY(EOMONTH($A247,0))),MOD((YEAR($A247)-YEAR('Recurring Schedule'!$F$9))*12+MONTH($A247)-MONTH('Recurring Schedule'!$F$9),'Recurring Schedule'!$O$9)=0),IF('Recurring Schedule'!$E$9="Weekdays",WEEKDAY($A247,2)&lt;=5,$A247='Recurring Schedule'!$F$9))),4,""))))</f>
        <v/>
      </c>
      <c r="F247">
        <f>IF('Recurring Schedule'!$C$10="","",IF('Recurring Schedule'!$F$10="","",IF(OR($A247&lt;'Recurring Schedule'!$F$10,$A247&gt;'Recurring Schedule'!$P$10),"",IF(IF('Recurring Schedule'!$N$10&gt;0,MOD($A247-'Recurring Schedule'!$F$10,'Recurring Schedule'!$N$10)=0,IF('Recurring Schedule'!$O$10&gt;0,AND(DAY($A247)=MIN(DAY('Recurring Schedule'!$F$10),DAY(EOMONTH($A247,0))),MOD((YEAR($A247)-YEAR('Recurring Schedule'!$F$10))*12+MONTH($A247)-MONTH('Recurring Schedule'!$F$10),'Recurring Schedule'!$O$10)=0),IF('Recurring Schedule'!$E$10="Weekdays",WEEKDAY($A247,2)&lt;=5,$A247='Recurring Schedule'!$F$10))),5,""))))</f>
        <v/>
      </c>
      <c r="G247">
        <f>IF('Recurring Schedule'!$C$11="","",IF('Recurring Schedule'!$F$11="","",IF(OR($A247&lt;'Recurring Schedule'!$F$11,$A247&gt;'Recurring Schedule'!$P$11),"",IF(IF('Recurring Schedule'!$N$11&gt;0,MOD($A247-'Recurring Schedule'!$F$11,'Recurring Schedule'!$N$11)=0,IF('Recurring Schedule'!$O$11&gt;0,AND(DAY($A247)=MIN(DAY('Recurring Schedule'!$F$11),DAY(EOMONTH($A247,0))),MOD((YEAR($A247)-YEAR('Recurring Schedule'!$F$11))*12+MONTH($A247)-MONTH('Recurring Schedule'!$F$11),'Recurring Schedule'!$O$11)=0),IF('Recurring Schedule'!$E$11="Weekdays",WEEKDAY($A247,2)&lt;=5,$A247='Recurring Schedule'!$F$11))),6,""))))</f>
        <v/>
      </c>
      <c r="H247">
        <f>IF('Recurring Schedule'!$C$12="","",IF('Recurring Schedule'!$F$12="","",IF(OR($A247&lt;'Recurring Schedule'!$F$12,$A247&gt;'Recurring Schedule'!$P$12),"",IF(IF('Recurring Schedule'!$N$12&gt;0,MOD($A247-'Recurring Schedule'!$F$12,'Recurring Schedule'!$N$12)=0,IF('Recurring Schedule'!$O$12&gt;0,AND(DAY($A247)=MIN(DAY('Recurring Schedule'!$F$12),DAY(EOMONTH($A247,0))),MOD((YEAR($A247)-YEAR('Recurring Schedule'!$F$12))*12+MONTH($A247)-MONTH('Recurring Schedule'!$F$12),'Recurring Schedule'!$O$12)=0),IF('Recurring Schedule'!$E$12="Weekdays",WEEKDAY($A247,2)&lt;=5,$A247='Recurring Schedule'!$F$12))),7,""))))</f>
        <v/>
      </c>
      <c r="I247">
        <f>IF('Recurring Schedule'!$C$13="","",IF('Recurring Schedule'!$F$13="","",IF(OR($A247&lt;'Recurring Schedule'!$F$13,$A247&gt;'Recurring Schedule'!$P$13),"",IF(IF('Recurring Schedule'!$N$13&gt;0,MOD($A247-'Recurring Schedule'!$F$13,'Recurring Schedule'!$N$13)=0,IF('Recurring Schedule'!$O$13&gt;0,AND(DAY($A247)=MIN(DAY('Recurring Schedule'!$F$13),DAY(EOMONTH($A247,0))),MOD((YEAR($A247)-YEAR('Recurring Schedule'!$F$13))*12+MONTH($A247)-MONTH('Recurring Schedule'!$F$13),'Recurring Schedule'!$O$13)=0),IF('Recurring Schedule'!$E$13="Weekdays",WEEKDAY($A247,2)&lt;=5,$A247='Recurring Schedule'!$F$13))),8,""))))</f>
        <v/>
      </c>
      <c r="J247">
        <f>IF('Recurring Schedule'!$C$14="","",IF('Recurring Schedule'!$F$14="","",IF(OR($A247&lt;'Recurring Schedule'!$F$14,$A247&gt;'Recurring Schedule'!$P$14),"",IF(IF('Recurring Schedule'!$N$14&gt;0,MOD($A247-'Recurring Schedule'!$F$14,'Recurring Schedule'!$N$14)=0,IF('Recurring Schedule'!$O$14&gt;0,AND(DAY($A247)=MIN(DAY('Recurring Schedule'!$F$14),DAY(EOMONTH($A247,0))),MOD((YEAR($A247)-YEAR('Recurring Schedule'!$F$14))*12+MONTH($A247)-MONTH('Recurring Schedule'!$F$14),'Recurring Schedule'!$O$14)=0),IF('Recurring Schedule'!$E$14="Weekdays",WEEKDAY($A247,2)&lt;=5,$A247='Recurring Schedule'!$F$14))),9,""))))</f>
        <v/>
      </c>
      <c r="K247">
        <f>IF('Recurring Schedule'!$C$15="","",IF('Recurring Schedule'!$F$15="","",IF(OR($A247&lt;'Recurring Schedule'!$F$15,$A247&gt;'Recurring Schedule'!$P$15),"",IF(IF('Recurring Schedule'!$N$15&gt;0,MOD($A247-'Recurring Schedule'!$F$15,'Recurring Schedule'!$N$15)=0,IF('Recurring Schedule'!$O$15&gt;0,AND(DAY($A247)=MIN(DAY('Recurring Schedule'!$F$15),DAY(EOMONTH($A247,0))),MOD((YEAR($A247)-YEAR('Recurring Schedule'!$F$15))*12+MONTH($A247)-MONTH('Recurring Schedule'!$F$15),'Recurring Schedule'!$O$15)=0),IF('Recurring Schedule'!$E$15="Weekdays",WEEKDAY($A247,2)&lt;=5,$A247='Recurring Schedule'!$F$15))),10,""))))</f>
        <v/>
      </c>
      <c r="L247">
        <f>IF('Recurring Schedule'!$C$16="","",IF('Recurring Schedule'!$F$16="","",IF(OR($A247&lt;'Recurring Schedule'!$F$16,$A247&gt;'Recurring Schedule'!$P$16),"",IF(IF('Recurring Schedule'!$N$16&gt;0,MOD($A247-'Recurring Schedule'!$F$16,'Recurring Schedule'!$N$16)=0,IF('Recurring Schedule'!$O$16&gt;0,AND(DAY($A247)=MIN(DAY('Recurring Schedule'!$F$16),DAY(EOMONTH($A247,0))),MOD((YEAR($A247)-YEAR('Recurring Schedule'!$F$16))*12+MONTH($A247)-MONTH('Recurring Schedule'!$F$16),'Recurring Schedule'!$O$16)=0),IF('Recurring Schedule'!$E$16="Weekdays",WEEKDAY($A247,2)&lt;=5,$A247='Recurring Schedule'!$F$16))),11,""))))</f>
        <v/>
      </c>
      <c r="M247">
        <f>IF('Recurring Schedule'!$C$17="","",IF('Recurring Schedule'!$F$17="","",IF(OR($A247&lt;'Recurring Schedule'!$F$17,$A247&gt;'Recurring Schedule'!$P$17),"",IF(IF('Recurring Schedule'!$N$17&gt;0,MOD($A247-'Recurring Schedule'!$F$17,'Recurring Schedule'!$N$17)=0,IF('Recurring Schedule'!$O$17&gt;0,AND(DAY($A247)=MIN(DAY('Recurring Schedule'!$F$17),DAY(EOMONTH($A247,0))),MOD((YEAR($A247)-YEAR('Recurring Schedule'!$F$17))*12+MONTH($A247)-MONTH('Recurring Schedule'!$F$17),'Recurring Schedule'!$O$17)=0),IF('Recurring Schedule'!$E$17="Weekdays",WEEKDAY($A247,2)&lt;=5,$A247='Recurring Schedule'!$F$17))),12,""))))</f>
        <v/>
      </c>
      <c r="N247">
        <f>IF('Recurring Schedule'!$C$18="","",IF('Recurring Schedule'!$F$18="","",IF(OR($A247&lt;'Recurring Schedule'!$F$18,$A247&gt;'Recurring Schedule'!$P$18),"",IF(IF('Recurring Schedule'!$N$18&gt;0,MOD($A247-'Recurring Schedule'!$F$18,'Recurring Schedule'!$N$18)=0,IF('Recurring Schedule'!$O$18&gt;0,AND(DAY($A247)=MIN(DAY('Recurring Schedule'!$F$18),DAY(EOMONTH($A247,0))),MOD((YEAR($A247)-YEAR('Recurring Schedule'!$F$18))*12+MONTH($A247)-MONTH('Recurring Schedule'!$F$18),'Recurring Schedule'!$O$18)=0),IF('Recurring Schedule'!$E$18="Weekdays",WEEKDAY($A247,2)&lt;=5,$A247='Recurring Schedule'!$F$18))),13,""))))</f>
        <v/>
      </c>
      <c r="O247">
        <f>IF('Recurring Schedule'!$C$19="","",IF('Recurring Schedule'!$F$19="","",IF(OR($A247&lt;'Recurring Schedule'!$F$19,$A247&gt;'Recurring Schedule'!$P$19),"",IF(IF('Recurring Schedule'!$N$19&gt;0,MOD($A247-'Recurring Schedule'!$F$19,'Recurring Schedule'!$N$19)=0,IF('Recurring Schedule'!$O$19&gt;0,AND(DAY($A247)=MIN(DAY('Recurring Schedule'!$F$19),DAY(EOMONTH($A247,0))),MOD((YEAR($A247)-YEAR('Recurring Schedule'!$F$19))*12+MONTH($A247)-MONTH('Recurring Schedule'!$F$19),'Recurring Schedule'!$O$19)=0),IF('Recurring Schedule'!$E$19="Weekdays",WEEKDAY($A247,2)&lt;=5,$A247='Recurring Schedule'!$F$19))),14,""))))</f>
        <v/>
      </c>
      <c r="P247">
        <f>IF('Recurring Schedule'!$C$20="","",IF('Recurring Schedule'!$F$20="","",IF(OR($A247&lt;'Recurring Schedule'!$F$20,$A247&gt;'Recurring Schedule'!$P$20),"",IF(IF('Recurring Schedule'!$N$20&gt;0,MOD($A247-'Recurring Schedule'!$F$20,'Recurring Schedule'!$N$20)=0,IF('Recurring Schedule'!$O$20&gt;0,AND(DAY($A247)=MIN(DAY('Recurring Schedule'!$F$20),DAY(EOMONTH($A247,0))),MOD((YEAR($A247)-YEAR('Recurring Schedule'!$F$20))*12+MONTH($A247)-MONTH('Recurring Schedule'!$F$20),'Recurring Schedule'!$O$20)=0),IF('Recurring Schedule'!$E$20="Weekdays",WEEKDAY($A247,2)&lt;=5,$A247='Recurring Schedule'!$F$20))),15,""))))</f>
        <v/>
      </c>
      <c r="Q247">
        <f>IF('Recurring Schedule'!$C$21="","",IF('Recurring Schedule'!$F$21="","",IF(OR($A247&lt;'Recurring Schedule'!$F$21,$A247&gt;'Recurring Schedule'!$P$21),"",IF(IF('Recurring Schedule'!$N$21&gt;0,MOD($A247-'Recurring Schedule'!$F$21,'Recurring Schedule'!$N$21)=0,IF('Recurring Schedule'!$O$21&gt;0,AND(DAY($A247)=MIN(DAY('Recurring Schedule'!$F$21),DAY(EOMONTH($A247,0))),MOD((YEAR($A247)-YEAR('Recurring Schedule'!$F$21))*12+MONTH($A247)-MONTH('Recurring Schedule'!$F$21),'Recurring Schedule'!$O$21)=0),IF('Recurring Schedule'!$E$21="Weekdays",WEEKDAY($A247,2)&lt;=5,$A247='Recurring Schedule'!$F$21))),16,""))))</f>
        <v/>
      </c>
      <c r="R247">
        <f>IF('Recurring Schedule'!$C$22="","",IF('Recurring Schedule'!$F$22="","",IF(OR($A247&lt;'Recurring Schedule'!$F$22,$A247&gt;'Recurring Schedule'!$P$22),"",IF(IF('Recurring Schedule'!$N$22&gt;0,MOD($A247-'Recurring Schedule'!$F$22,'Recurring Schedule'!$N$22)=0,IF('Recurring Schedule'!$O$22&gt;0,AND(DAY($A247)=MIN(DAY('Recurring Schedule'!$F$22),DAY(EOMONTH($A247,0))),MOD((YEAR($A247)-YEAR('Recurring Schedule'!$F$22))*12+MONTH($A247)-MONTH('Recurring Schedule'!$F$22),'Recurring Schedule'!$O$22)=0),IF('Recurring Schedule'!$E$22="Weekdays",WEEKDAY($A247,2)&lt;=5,$A247='Recurring Schedule'!$F$22))),17,""))))</f>
        <v/>
      </c>
      <c r="S247">
        <f>IF('Recurring Schedule'!$C$23="","",IF('Recurring Schedule'!$F$23="","",IF(OR($A247&lt;'Recurring Schedule'!$F$23,$A247&gt;'Recurring Schedule'!$P$23),"",IF(IF('Recurring Schedule'!$N$23&gt;0,MOD($A247-'Recurring Schedule'!$F$23,'Recurring Schedule'!$N$23)=0,IF('Recurring Schedule'!$O$23&gt;0,AND(DAY($A247)=MIN(DAY('Recurring Schedule'!$F$23),DAY(EOMONTH($A247,0))),MOD((YEAR($A247)-YEAR('Recurring Schedule'!$F$23))*12+MONTH($A247)-MONTH('Recurring Schedule'!$F$23),'Recurring Schedule'!$O$23)=0),IF('Recurring Schedule'!$E$23="Weekdays",WEEKDAY($A247,2)&lt;=5,$A247='Recurring Schedule'!$F$23))),18,""))))</f>
        <v/>
      </c>
      <c r="T247">
        <f>IF('Recurring Schedule'!$C$24="","",IF('Recurring Schedule'!$F$24="","",IF(OR($A247&lt;'Recurring Schedule'!$F$24,$A247&gt;'Recurring Schedule'!$P$24),"",IF(IF('Recurring Schedule'!$N$24&gt;0,MOD($A247-'Recurring Schedule'!$F$24,'Recurring Schedule'!$N$24)=0,IF('Recurring Schedule'!$O$24&gt;0,AND(DAY($A247)=MIN(DAY('Recurring Schedule'!$F$24),DAY(EOMONTH($A247,0))),MOD((YEAR($A247)-YEAR('Recurring Schedule'!$F$24))*12+MONTH($A247)-MONTH('Recurring Schedule'!$F$24),'Recurring Schedule'!$O$24)=0),IF('Recurring Schedule'!$E$24="Weekdays",WEEKDAY($A247,2)&lt;=5,$A247='Recurring Schedule'!$F$24))),19,""))))</f>
        <v/>
      </c>
      <c r="U247">
        <f>IF('Recurring Schedule'!$C$25="","",IF('Recurring Schedule'!$F$25="","",IF(OR($A247&lt;'Recurring Schedule'!$F$25,$A247&gt;'Recurring Schedule'!$P$25),"",IF(IF('Recurring Schedule'!$N$25&gt;0,MOD($A247-'Recurring Schedule'!$F$25,'Recurring Schedule'!$N$25)=0,IF('Recurring Schedule'!$O$25&gt;0,AND(DAY($A247)=MIN(DAY('Recurring Schedule'!$F$25),DAY(EOMONTH($A247,0))),MOD((YEAR($A247)-YEAR('Recurring Schedule'!$F$25))*12+MONTH($A247)-MONTH('Recurring Schedule'!$F$25),'Recurring Schedule'!$O$25)=0),IF('Recurring Schedule'!$E$25="Weekdays",WEEKDAY($A247,2)&lt;=5,$A247='Recurring Schedule'!$F$25))),20,""))))</f>
        <v/>
      </c>
      <c r="V247">
        <f>IF('Recurring Schedule'!$C$26="","",IF('Recurring Schedule'!$F$26="","",IF(OR($A247&lt;'Recurring Schedule'!$F$26,$A247&gt;'Recurring Schedule'!$P$26),"",IF(IF('Recurring Schedule'!$N$26&gt;0,MOD($A247-'Recurring Schedule'!$F$26,'Recurring Schedule'!$N$26)=0,IF('Recurring Schedule'!$O$26&gt;0,AND(DAY($A247)=MIN(DAY('Recurring Schedule'!$F$26),DAY(EOMONTH($A247,0))),MOD((YEAR($A247)-YEAR('Recurring Schedule'!$F$26))*12+MONTH($A247)-MONTH('Recurring Schedule'!$F$26),'Recurring Schedule'!$O$26)=0),IF('Recurring Schedule'!$E$26="Weekdays",WEEKDAY($A247,2)&lt;=5,$A247='Recurring Schedule'!$F$26))),21,""))))</f>
        <v/>
      </c>
      <c r="W247">
        <f>IF('Recurring Schedule'!$C$27="","",IF('Recurring Schedule'!$F$27="","",IF(OR($A247&lt;'Recurring Schedule'!$F$27,$A247&gt;'Recurring Schedule'!$P$27),"",IF(IF('Recurring Schedule'!$N$27&gt;0,MOD($A247-'Recurring Schedule'!$F$27,'Recurring Schedule'!$N$27)=0,IF('Recurring Schedule'!$O$27&gt;0,AND(DAY($A247)=MIN(DAY('Recurring Schedule'!$F$27),DAY(EOMONTH($A247,0))),MOD((YEAR($A247)-YEAR('Recurring Schedule'!$F$27))*12+MONTH($A247)-MONTH('Recurring Schedule'!$F$27),'Recurring Schedule'!$O$27)=0),IF('Recurring Schedule'!$E$27="Weekdays",WEEKDAY($A247,2)&lt;=5,$A247='Recurring Schedule'!$F$27))),22,""))))</f>
        <v/>
      </c>
      <c r="X247">
        <f>IF('Recurring Schedule'!$C$28="","",IF('Recurring Schedule'!$F$28="","",IF(OR($A247&lt;'Recurring Schedule'!$F$28,$A247&gt;'Recurring Schedule'!$P$28),"",IF(IF('Recurring Schedule'!$N$28&gt;0,MOD($A247-'Recurring Schedule'!$F$28,'Recurring Schedule'!$N$28)=0,IF('Recurring Schedule'!$O$28&gt;0,AND(DAY($A247)=MIN(DAY('Recurring Schedule'!$F$28),DAY(EOMONTH($A247,0))),MOD((YEAR($A247)-YEAR('Recurring Schedule'!$F$28))*12+MONTH($A247)-MONTH('Recurring Schedule'!$F$28),'Recurring Schedule'!$O$28)=0),IF('Recurring Schedule'!$E$28="Weekdays",WEEKDAY($A247,2)&lt;=5,$A247='Recurring Schedule'!$F$28))),23,""))))</f>
        <v/>
      </c>
      <c r="Y247">
        <f>IF('Recurring Schedule'!$C$29="","",IF('Recurring Schedule'!$F$29="","",IF(OR($A247&lt;'Recurring Schedule'!$F$29,$A247&gt;'Recurring Schedule'!$P$29),"",IF(IF('Recurring Schedule'!$N$29&gt;0,MOD($A247-'Recurring Schedule'!$F$29,'Recurring Schedule'!$N$29)=0,IF('Recurring Schedule'!$O$29&gt;0,AND(DAY($A247)=MIN(DAY('Recurring Schedule'!$F$29),DAY(EOMONTH($A247,0))),MOD((YEAR($A247)-YEAR('Recurring Schedule'!$F$29))*12+MONTH($A247)-MONTH('Recurring Schedule'!$F$29),'Recurring Schedule'!$O$29)=0),IF('Recurring Schedule'!$E$29="Weekdays",WEEKDAY($A247,2)&lt;=5,$A247='Recurring Schedule'!$F$29))),24,""))))</f>
        <v/>
      </c>
      <c r="Z247">
        <f>IF('Recurring Schedule'!$C$30="","",IF('Recurring Schedule'!$F$30="","",IF(OR($A247&lt;'Recurring Schedule'!$F$30,$A247&gt;'Recurring Schedule'!$P$30),"",IF(IF('Recurring Schedule'!$N$30&gt;0,MOD($A247-'Recurring Schedule'!$F$30,'Recurring Schedule'!$N$30)=0,IF('Recurring Schedule'!$O$30&gt;0,AND(DAY($A247)=MIN(DAY('Recurring Schedule'!$F$30),DAY(EOMONTH($A247,0))),MOD((YEAR($A247)-YEAR('Recurring Schedule'!$F$30))*12+MONTH($A247)-MONTH('Recurring Schedule'!$F$30),'Recurring Schedule'!$O$30)=0),IF('Recurring Schedule'!$E$30="Weekdays",WEEKDAY($A247,2)&lt;=5,$A247='Recurring Schedule'!$F$30))),25,""))))</f>
        <v/>
      </c>
      <c r="AA247">
        <f>IF('Recurring Schedule'!$C$31="","",IF('Recurring Schedule'!$F$31="","",IF(OR($A247&lt;'Recurring Schedule'!$F$31,$A247&gt;'Recurring Schedule'!$P$31),"",IF(IF('Recurring Schedule'!$N$31&gt;0,MOD($A247-'Recurring Schedule'!$F$31,'Recurring Schedule'!$N$31)=0,IF('Recurring Schedule'!$O$31&gt;0,AND(DAY($A247)=MIN(DAY('Recurring Schedule'!$F$31),DAY(EOMONTH($A247,0))),MOD((YEAR($A247)-YEAR('Recurring Schedule'!$F$31))*12+MONTH($A247)-MONTH('Recurring Schedule'!$F$31),'Recurring Schedule'!$O$31)=0),IF('Recurring Schedule'!$E$31="Weekdays",WEEKDAY($A247,2)&lt;=5,$A247='Recurring Schedule'!$F$31))),26,""))))</f>
        <v/>
      </c>
      <c r="AB247">
        <f>IF('Recurring Schedule'!$C$32="","",IF('Recurring Schedule'!$F$32="","",IF(OR($A247&lt;'Recurring Schedule'!$F$32,$A247&gt;'Recurring Schedule'!$P$32),"",IF(IF('Recurring Schedule'!$N$32&gt;0,MOD($A247-'Recurring Schedule'!$F$32,'Recurring Schedule'!$N$32)=0,IF('Recurring Schedule'!$O$32&gt;0,AND(DAY($A247)=MIN(DAY('Recurring Schedule'!$F$32),DAY(EOMONTH($A247,0))),MOD((YEAR($A247)-YEAR('Recurring Schedule'!$F$32))*12+MONTH($A247)-MONTH('Recurring Schedule'!$F$32),'Recurring Schedule'!$O$32)=0),IF('Recurring Schedule'!$E$32="Weekdays",WEEKDAY($A247,2)&lt;=5,$A247='Recurring Schedule'!$F$32))),27,""))))</f>
        <v/>
      </c>
      <c r="AC247">
        <f>IF('Recurring Schedule'!$C$33="","",IF('Recurring Schedule'!$F$33="","",IF(OR($A247&lt;'Recurring Schedule'!$F$33,$A247&gt;'Recurring Schedule'!$P$33),"",IF(IF('Recurring Schedule'!$N$33&gt;0,MOD($A247-'Recurring Schedule'!$F$33,'Recurring Schedule'!$N$33)=0,IF('Recurring Schedule'!$O$33&gt;0,AND(DAY($A247)=MIN(DAY('Recurring Schedule'!$F$33),DAY(EOMONTH($A247,0))),MOD((YEAR($A247)-YEAR('Recurring Schedule'!$F$33))*12+MONTH($A247)-MONTH('Recurring Schedule'!$F$33),'Recurring Schedule'!$O$33)=0),IF('Recurring Schedule'!$E$33="Weekdays",WEEKDAY($A247,2)&lt;=5,$A247='Recurring Schedule'!$F$33))),28,""))))</f>
        <v/>
      </c>
      <c r="AD247">
        <f>IF('Recurring Schedule'!$C$34="","",IF('Recurring Schedule'!$F$34="","",IF(OR($A247&lt;'Recurring Schedule'!$F$34,$A247&gt;'Recurring Schedule'!$P$34),"",IF(IF('Recurring Schedule'!$N$34&gt;0,MOD($A247-'Recurring Schedule'!$F$34,'Recurring Schedule'!$N$34)=0,IF('Recurring Schedule'!$O$34&gt;0,AND(DAY($A247)=MIN(DAY('Recurring Schedule'!$F$34),DAY(EOMONTH($A247,0))),MOD((YEAR($A247)-YEAR('Recurring Schedule'!$F$34))*12+MONTH($A247)-MONTH('Recurring Schedule'!$F$34),'Recurring Schedule'!$O$34)=0),IF('Recurring Schedule'!$E$34="Weekdays",WEEKDAY($A247,2)&lt;=5,$A247='Recurring Schedule'!$F$34))),29,""))))</f>
        <v/>
      </c>
      <c r="AE247">
        <f>IF('Recurring Schedule'!$C$35="","",IF('Recurring Schedule'!$F$35="","",IF(OR($A247&lt;'Recurring Schedule'!$F$35,$A247&gt;'Recurring Schedule'!$P$35),"",IF(IF('Recurring Schedule'!$N$35&gt;0,MOD($A247-'Recurring Schedule'!$F$35,'Recurring Schedule'!$N$35)=0,IF('Recurring Schedule'!$O$35&gt;0,AND(DAY($A247)=MIN(DAY('Recurring Schedule'!$F$35),DAY(EOMONTH($A247,0))),MOD((YEAR($A247)-YEAR('Recurring Schedule'!$F$35))*12+MONTH($A247)-MONTH('Recurring Schedule'!$F$35),'Recurring Schedule'!$O$35)=0),IF('Recurring Schedule'!$E$35="Weekdays",WEEKDAY($A247,2)&lt;=5,$A247='Recurring Schedule'!$F$35))),30,""))))</f>
        <v/>
      </c>
      <c r="AF247">
        <f>IF('Recurring Schedule'!$C$36="","",IF('Recurring Schedule'!$F$36="","",IF(OR($A247&lt;'Recurring Schedule'!$F$36,$A247&gt;'Recurring Schedule'!$P$36),"",IF(IF('Recurring Schedule'!$N$36&gt;0,MOD($A247-'Recurring Schedule'!$F$36,'Recurring Schedule'!$N$36)=0,IF('Recurring Schedule'!$O$36&gt;0,AND(DAY($A247)=MIN(DAY('Recurring Schedule'!$F$36),DAY(EOMONTH($A247,0))),MOD((YEAR($A247)-YEAR('Recurring Schedule'!$F$36))*12+MONTH($A247)-MONTH('Recurring Schedule'!$F$36),'Recurring Schedule'!$O$36)=0),IF('Recurring Schedule'!$E$36="Weekdays",WEEKDAY($A247,2)&lt;=5,$A247='Recurring Schedule'!$F$36))),31,""))))</f>
        <v/>
      </c>
      <c r="AG247">
        <f>IF('Recurring Schedule'!$C$37="","",IF('Recurring Schedule'!$F$37="","",IF(OR($A247&lt;'Recurring Schedule'!$F$37,$A247&gt;'Recurring Schedule'!$P$37),"",IF(IF('Recurring Schedule'!$N$37&gt;0,MOD($A247-'Recurring Schedule'!$F$37,'Recurring Schedule'!$N$37)=0,IF('Recurring Schedule'!$O$37&gt;0,AND(DAY($A247)=MIN(DAY('Recurring Schedule'!$F$37),DAY(EOMONTH($A247,0))),MOD((YEAR($A247)-YEAR('Recurring Schedule'!$F$37))*12+MONTH($A247)-MONTH('Recurring Schedule'!$F$37),'Recurring Schedule'!$O$37)=0),IF('Recurring Schedule'!$E$37="Weekdays",WEEKDAY($A247,2)&lt;=5,$A247='Recurring Schedule'!$F$37))),32,""))))</f>
        <v/>
      </c>
      <c r="AH247">
        <f>IF('Recurring Schedule'!$C$38="","",IF('Recurring Schedule'!$F$38="","",IF(OR($A247&lt;'Recurring Schedule'!$F$38,$A247&gt;'Recurring Schedule'!$P$38),"",IF(IF('Recurring Schedule'!$N$38&gt;0,MOD($A247-'Recurring Schedule'!$F$38,'Recurring Schedule'!$N$38)=0,IF('Recurring Schedule'!$O$38&gt;0,AND(DAY($A247)=MIN(DAY('Recurring Schedule'!$F$38),DAY(EOMONTH($A247,0))),MOD((YEAR($A247)-YEAR('Recurring Schedule'!$F$38))*12+MONTH($A247)-MONTH('Recurring Schedule'!$F$38),'Recurring Schedule'!$O$38)=0),IF('Recurring Schedule'!$E$38="Weekdays",WEEKDAY($A247,2)&lt;=5,$A247='Recurring Schedule'!$F$38))),33,""))))</f>
        <v/>
      </c>
      <c r="AI247">
        <f>IF('Recurring Schedule'!$C$39="","",IF('Recurring Schedule'!$F$39="","",IF(OR($A247&lt;'Recurring Schedule'!$F$39,$A247&gt;'Recurring Schedule'!$P$39),"",IF(IF('Recurring Schedule'!$N$39&gt;0,MOD($A247-'Recurring Schedule'!$F$39,'Recurring Schedule'!$N$39)=0,IF('Recurring Schedule'!$O$39&gt;0,AND(DAY($A247)=MIN(DAY('Recurring Schedule'!$F$39),DAY(EOMONTH($A247,0))),MOD((YEAR($A247)-YEAR('Recurring Schedule'!$F$39))*12+MONTH($A247)-MONTH('Recurring Schedule'!$F$39),'Recurring Schedule'!$O$39)=0),IF('Recurring Schedule'!$E$39="Weekdays",WEEKDAY($A247,2)&lt;=5,$A247='Recurring Schedule'!$F$39))),34,""))))</f>
        <v/>
      </c>
      <c r="AJ247">
        <f>IF('Recurring Schedule'!$C$40="","",IF('Recurring Schedule'!$F$40="","",IF(OR($A247&lt;'Recurring Schedule'!$F$40,$A247&gt;'Recurring Schedule'!$P$40),"",IF(IF('Recurring Schedule'!$N$40&gt;0,MOD($A247-'Recurring Schedule'!$F$40,'Recurring Schedule'!$N$40)=0,IF('Recurring Schedule'!$O$40&gt;0,AND(DAY($A247)=MIN(DAY('Recurring Schedule'!$F$40),DAY(EOMONTH($A247,0))),MOD((YEAR($A247)-YEAR('Recurring Schedule'!$F$40))*12+MONTH($A247)-MONTH('Recurring Schedule'!$F$40),'Recurring Schedule'!$O$40)=0),IF('Recurring Schedule'!$E$40="Weekdays",WEEKDAY($A247,2)&lt;=5,$A247='Recurring Schedule'!$F$40))),35,""))))</f>
        <v/>
      </c>
      <c r="AK247">
        <f>IF('Recurring Schedule'!$C$41="","",IF('Recurring Schedule'!$F$41="","",IF(OR($A247&lt;'Recurring Schedule'!$F$41,$A247&gt;'Recurring Schedule'!$P$41),"",IF(IF('Recurring Schedule'!$N$41&gt;0,MOD($A247-'Recurring Schedule'!$F$41,'Recurring Schedule'!$N$41)=0,IF('Recurring Schedule'!$O$41&gt;0,AND(DAY($A247)=MIN(DAY('Recurring Schedule'!$F$41),DAY(EOMONTH($A247,0))),MOD((YEAR($A247)-YEAR('Recurring Schedule'!$F$41))*12+MONTH($A247)-MONTH('Recurring Schedule'!$F$41),'Recurring Schedule'!$O$41)=0),IF('Recurring Schedule'!$E$41="Weekdays",WEEKDAY($A247,2)&lt;=5,$A247='Recurring Schedule'!$F$41))),36,""))))</f>
        <v/>
      </c>
      <c r="AL247">
        <f>IF('Recurring Schedule'!$C$42="","",IF('Recurring Schedule'!$F$42="","",IF(OR($A247&lt;'Recurring Schedule'!$F$42,$A247&gt;'Recurring Schedule'!$P$42),"",IF(IF('Recurring Schedule'!$N$42&gt;0,MOD($A247-'Recurring Schedule'!$F$42,'Recurring Schedule'!$N$42)=0,IF('Recurring Schedule'!$O$42&gt;0,AND(DAY($A247)=MIN(DAY('Recurring Schedule'!$F$42),DAY(EOMONTH($A247,0))),MOD((YEAR($A247)-YEAR('Recurring Schedule'!$F$42))*12+MONTH($A247)-MONTH('Recurring Schedule'!$F$42),'Recurring Schedule'!$O$42)=0),IF('Recurring Schedule'!$E$42="Weekdays",WEEKDAY($A247,2)&lt;=5,$A247='Recurring Schedule'!$F$42))),37,""))))</f>
        <v/>
      </c>
      <c r="AM247">
        <f>IF('Recurring Schedule'!$C$43="","",IF('Recurring Schedule'!$F$43="","",IF(OR($A247&lt;'Recurring Schedule'!$F$43,$A247&gt;'Recurring Schedule'!$P$43),"",IF(IF('Recurring Schedule'!$N$43&gt;0,MOD($A247-'Recurring Schedule'!$F$43,'Recurring Schedule'!$N$43)=0,IF('Recurring Schedule'!$O$43&gt;0,AND(DAY($A247)=MIN(DAY('Recurring Schedule'!$F$43),DAY(EOMONTH($A247,0))),MOD((YEAR($A247)-YEAR('Recurring Schedule'!$F$43))*12+MONTH($A247)-MONTH('Recurring Schedule'!$F$43),'Recurring Schedule'!$O$43)=0),IF('Recurring Schedule'!$E$43="Weekdays",WEEKDAY($A247,2)&lt;=5,$A247='Recurring Schedule'!$F$43))),38,""))))</f>
        <v/>
      </c>
      <c r="AN247">
        <f>IF('Recurring Schedule'!$C$44="","",IF('Recurring Schedule'!$F$44="","",IF(OR($A247&lt;'Recurring Schedule'!$F$44,$A247&gt;'Recurring Schedule'!$P$44),"",IF(IF('Recurring Schedule'!$N$44&gt;0,MOD($A247-'Recurring Schedule'!$F$44,'Recurring Schedule'!$N$44)=0,IF('Recurring Schedule'!$O$44&gt;0,AND(DAY($A247)=MIN(DAY('Recurring Schedule'!$F$44),DAY(EOMONTH($A247,0))),MOD((YEAR($A247)-YEAR('Recurring Schedule'!$F$44))*12+MONTH($A247)-MONTH('Recurring Schedule'!$F$44),'Recurring Schedule'!$O$44)=0),IF('Recurring Schedule'!$E$44="Weekdays",WEEKDAY($A247,2)&lt;=5,$A247='Recurring Schedule'!$F$44))),39,""))))</f>
        <v/>
      </c>
      <c r="AO247">
        <f>IF('Recurring Schedule'!$C$45="","",IF('Recurring Schedule'!$F$45="","",IF(OR($A247&lt;'Recurring Schedule'!$F$45,$A247&gt;'Recurring Schedule'!$P$45),"",IF(IF('Recurring Schedule'!$N$45&gt;0,MOD($A247-'Recurring Schedule'!$F$45,'Recurring Schedule'!$N$45)=0,IF('Recurring Schedule'!$O$45&gt;0,AND(DAY($A247)=MIN(DAY('Recurring Schedule'!$F$45),DAY(EOMONTH($A247,0))),MOD((YEAR($A247)-YEAR('Recurring Schedule'!$F$45))*12+MONTH($A247)-MONTH('Recurring Schedule'!$F$45),'Recurring Schedule'!$O$45)=0),IF('Recurring Schedule'!$E$45="Weekdays",WEEKDAY($A247,2)&lt;=5,$A247='Recurring Schedule'!$F$45))),40,""))))</f>
        <v/>
      </c>
      <c r="AP247">
        <f>COUNT(B247:AO247)</f>
        <v/>
      </c>
      <c r="AQ247">
        <f>AQ246+AP246</f>
        <v/>
      </c>
      <c r="AS247" t="inlineStr">
        <is>
          <t>R</t>
        </is>
      </c>
      <c r="AT247" t="n">
        <v>251</v>
      </c>
      <c r="AU247">
        <f>'Recurring Log'!C251&amp;""</f>
        <v/>
      </c>
      <c r="AV247">
        <f>'Recurring Log'!D251&amp;""</f>
        <v/>
      </c>
      <c r="AW247">
        <f>IF('Recurring Log'!E251="","",'Recurring Log'!E251)</f>
        <v/>
      </c>
      <c r="AX247">
        <f>IF('Recurring Log'!G251="","",'Recurring Log'!G251)</f>
        <v/>
      </c>
      <c r="AY247">
        <f>IF('Recurring Log'!H251="","",'Recurring Log'!H251)</f>
        <v/>
      </c>
      <c r="AZ247">
        <f>IF(AU247="","",IF('Recurring Log'!J251="","Not Started",'Recurring Log'!J251))</f>
        <v/>
      </c>
      <c r="BA247">
        <f>'Recurring Log'!L251&amp;""</f>
        <v/>
      </c>
      <c r="BB247">
        <f>'Recurring Log'!M251&amp;""</f>
        <v/>
      </c>
      <c r="BC247">
        <f>'Recurring Log'!N251&amp;""</f>
        <v/>
      </c>
      <c r="BD247">
        <f>'Recurring Log'!O251&amp;""</f>
        <v/>
      </c>
      <c r="BE247">
        <f>IF('Recurring Log'!K251="","",'Recurring Log'!K251)</f>
        <v/>
      </c>
      <c r="BF247">
        <f>IFERROR(MATCH(BA247,Setup!$L$6:$L$9,0),5)</f>
        <v/>
      </c>
      <c r="BG247">
        <f>IF(OR(AZ247="Done",AZ247="Cancelled"),1,0)</f>
        <v/>
      </c>
      <c r="BH247">
        <f>IF(AND(AU247&lt;&gt;"",ISNUMBER(AW247)),1,0)</f>
        <v/>
      </c>
      <c r="BI247">
        <f>IF(BH247=0,0,IF(AND(AW247&gt;='Tasks Filter'!$F$3,AW247&lt;='Tasks Filter'!$F$4,OR('Tasks Filter'!$I$3="",ISNUMBER(SEARCH('Tasks Filter'!$I$3,AU247))),OR('Tasks Filter'!$I$4="",BF247=IFERROR(MATCH('Tasks Filter'!$I$4,Setup!$L$6:$L$9,0),0)),OR('Tasks Filter'!$I$5="Both",AND('Tasks Filter'!$I$5="Yes",BB247="✓"),AND('Tasks Filter'!$I$5="No",BB247&lt;&gt;"✓")),OR('Tasks Filter'!$L$3="",AV247='Tasks Filter'!$L$3),OR('Tasks Filter'!$L$4="",AZ247='Tasks Filter'!$L$4),OR('Tasks Filter'!$L$5="",BC247='Tasks Filter'!$L$5),OR('Tasks Filter'!$O$3="",BD247='Tasks Filter'!$O$3),OR('Tasks Filter'!$O$4="Yes",BG247=0)),1,0))</f>
        <v/>
      </c>
      <c r="BJ247">
        <f>IF(BH247=0,"",IF('Tasks Filter'!$F$6="Descending",-1,1)*CHOOSE(MATCH('Tasks Filter'!$F$5,Lists!$G$2:$G$6,0),AW247,BF247,IFERROR(MATCH(AV247,Setup!$F$6:$F$15,0),99),IFERROR(MATCH(BC247,Setup!$H$6:$H$15,0),99),IFERROR(MATCH(AZ247,Setup!$J$6:$J$11,0),99))*1E+9+(AW247-40000)*10000+246)</f>
        <v/>
      </c>
      <c r="BK247">
        <f>IF(BI247=1,BJ247,"")</f>
        <v/>
      </c>
      <c r="BL247">
        <f>IF(AND(BH247=1,BG247=0,N(AW247)&lt;Setup!$D$7),(AW247-40000)*10000+246,"")</f>
        <v/>
      </c>
      <c r="BM247">
        <f>IF(AND(BH247=1,AZ247&lt;&gt;"Cancelled",N(AW247)&gt;=Dashboard!$AB$3,N(AW247)&lt;=Dashboard!$AB$3+6),(AW247-40000)*100000+BF247*10000+246,"")</f>
        <v/>
      </c>
      <c r="BN247">
        <f>IF(AND(BH247=1,AZ247&lt;&gt;"Cancelled"),BF247*10000+246,"")</f>
        <v/>
      </c>
    </row>
    <row r="248">
      <c r="A248">
        <f>Setup!$D$5+246</f>
        <v/>
      </c>
      <c r="B248">
        <f>IF('Recurring Schedule'!$C$6="","",IF('Recurring Schedule'!$F$6="","",IF(OR($A248&lt;'Recurring Schedule'!$F$6,$A248&gt;'Recurring Schedule'!$P$6),"",IF(IF('Recurring Schedule'!$N$6&gt;0,MOD($A248-'Recurring Schedule'!$F$6,'Recurring Schedule'!$N$6)=0,IF('Recurring Schedule'!$O$6&gt;0,AND(DAY($A248)=MIN(DAY('Recurring Schedule'!$F$6),DAY(EOMONTH($A248,0))),MOD((YEAR($A248)-YEAR('Recurring Schedule'!$F$6))*12+MONTH($A248)-MONTH('Recurring Schedule'!$F$6),'Recurring Schedule'!$O$6)=0),IF('Recurring Schedule'!$E$6="Weekdays",WEEKDAY($A248,2)&lt;=5,$A248='Recurring Schedule'!$F$6))),1,""))))</f>
        <v/>
      </c>
      <c r="C248">
        <f>IF('Recurring Schedule'!$C$7="","",IF('Recurring Schedule'!$F$7="","",IF(OR($A248&lt;'Recurring Schedule'!$F$7,$A248&gt;'Recurring Schedule'!$P$7),"",IF(IF('Recurring Schedule'!$N$7&gt;0,MOD($A248-'Recurring Schedule'!$F$7,'Recurring Schedule'!$N$7)=0,IF('Recurring Schedule'!$O$7&gt;0,AND(DAY($A248)=MIN(DAY('Recurring Schedule'!$F$7),DAY(EOMONTH($A248,0))),MOD((YEAR($A248)-YEAR('Recurring Schedule'!$F$7))*12+MONTH($A248)-MONTH('Recurring Schedule'!$F$7),'Recurring Schedule'!$O$7)=0),IF('Recurring Schedule'!$E$7="Weekdays",WEEKDAY($A248,2)&lt;=5,$A248='Recurring Schedule'!$F$7))),2,""))))</f>
        <v/>
      </c>
      <c r="D248">
        <f>IF('Recurring Schedule'!$C$8="","",IF('Recurring Schedule'!$F$8="","",IF(OR($A248&lt;'Recurring Schedule'!$F$8,$A248&gt;'Recurring Schedule'!$P$8),"",IF(IF('Recurring Schedule'!$N$8&gt;0,MOD($A248-'Recurring Schedule'!$F$8,'Recurring Schedule'!$N$8)=0,IF('Recurring Schedule'!$O$8&gt;0,AND(DAY($A248)=MIN(DAY('Recurring Schedule'!$F$8),DAY(EOMONTH($A248,0))),MOD((YEAR($A248)-YEAR('Recurring Schedule'!$F$8))*12+MONTH($A248)-MONTH('Recurring Schedule'!$F$8),'Recurring Schedule'!$O$8)=0),IF('Recurring Schedule'!$E$8="Weekdays",WEEKDAY($A248,2)&lt;=5,$A248='Recurring Schedule'!$F$8))),3,""))))</f>
        <v/>
      </c>
      <c r="E248">
        <f>IF('Recurring Schedule'!$C$9="","",IF('Recurring Schedule'!$F$9="","",IF(OR($A248&lt;'Recurring Schedule'!$F$9,$A248&gt;'Recurring Schedule'!$P$9),"",IF(IF('Recurring Schedule'!$N$9&gt;0,MOD($A248-'Recurring Schedule'!$F$9,'Recurring Schedule'!$N$9)=0,IF('Recurring Schedule'!$O$9&gt;0,AND(DAY($A248)=MIN(DAY('Recurring Schedule'!$F$9),DAY(EOMONTH($A248,0))),MOD((YEAR($A248)-YEAR('Recurring Schedule'!$F$9))*12+MONTH($A248)-MONTH('Recurring Schedule'!$F$9),'Recurring Schedule'!$O$9)=0),IF('Recurring Schedule'!$E$9="Weekdays",WEEKDAY($A248,2)&lt;=5,$A248='Recurring Schedule'!$F$9))),4,""))))</f>
        <v/>
      </c>
      <c r="F248">
        <f>IF('Recurring Schedule'!$C$10="","",IF('Recurring Schedule'!$F$10="","",IF(OR($A248&lt;'Recurring Schedule'!$F$10,$A248&gt;'Recurring Schedule'!$P$10),"",IF(IF('Recurring Schedule'!$N$10&gt;0,MOD($A248-'Recurring Schedule'!$F$10,'Recurring Schedule'!$N$10)=0,IF('Recurring Schedule'!$O$10&gt;0,AND(DAY($A248)=MIN(DAY('Recurring Schedule'!$F$10),DAY(EOMONTH($A248,0))),MOD((YEAR($A248)-YEAR('Recurring Schedule'!$F$10))*12+MONTH($A248)-MONTH('Recurring Schedule'!$F$10),'Recurring Schedule'!$O$10)=0),IF('Recurring Schedule'!$E$10="Weekdays",WEEKDAY($A248,2)&lt;=5,$A248='Recurring Schedule'!$F$10))),5,""))))</f>
        <v/>
      </c>
      <c r="G248">
        <f>IF('Recurring Schedule'!$C$11="","",IF('Recurring Schedule'!$F$11="","",IF(OR($A248&lt;'Recurring Schedule'!$F$11,$A248&gt;'Recurring Schedule'!$P$11),"",IF(IF('Recurring Schedule'!$N$11&gt;0,MOD($A248-'Recurring Schedule'!$F$11,'Recurring Schedule'!$N$11)=0,IF('Recurring Schedule'!$O$11&gt;0,AND(DAY($A248)=MIN(DAY('Recurring Schedule'!$F$11),DAY(EOMONTH($A248,0))),MOD((YEAR($A248)-YEAR('Recurring Schedule'!$F$11))*12+MONTH($A248)-MONTH('Recurring Schedule'!$F$11),'Recurring Schedule'!$O$11)=0),IF('Recurring Schedule'!$E$11="Weekdays",WEEKDAY($A248,2)&lt;=5,$A248='Recurring Schedule'!$F$11))),6,""))))</f>
        <v/>
      </c>
      <c r="H248">
        <f>IF('Recurring Schedule'!$C$12="","",IF('Recurring Schedule'!$F$12="","",IF(OR($A248&lt;'Recurring Schedule'!$F$12,$A248&gt;'Recurring Schedule'!$P$12),"",IF(IF('Recurring Schedule'!$N$12&gt;0,MOD($A248-'Recurring Schedule'!$F$12,'Recurring Schedule'!$N$12)=0,IF('Recurring Schedule'!$O$12&gt;0,AND(DAY($A248)=MIN(DAY('Recurring Schedule'!$F$12),DAY(EOMONTH($A248,0))),MOD((YEAR($A248)-YEAR('Recurring Schedule'!$F$12))*12+MONTH($A248)-MONTH('Recurring Schedule'!$F$12),'Recurring Schedule'!$O$12)=0),IF('Recurring Schedule'!$E$12="Weekdays",WEEKDAY($A248,2)&lt;=5,$A248='Recurring Schedule'!$F$12))),7,""))))</f>
        <v/>
      </c>
      <c r="I248">
        <f>IF('Recurring Schedule'!$C$13="","",IF('Recurring Schedule'!$F$13="","",IF(OR($A248&lt;'Recurring Schedule'!$F$13,$A248&gt;'Recurring Schedule'!$P$13),"",IF(IF('Recurring Schedule'!$N$13&gt;0,MOD($A248-'Recurring Schedule'!$F$13,'Recurring Schedule'!$N$13)=0,IF('Recurring Schedule'!$O$13&gt;0,AND(DAY($A248)=MIN(DAY('Recurring Schedule'!$F$13),DAY(EOMONTH($A248,0))),MOD((YEAR($A248)-YEAR('Recurring Schedule'!$F$13))*12+MONTH($A248)-MONTH('Recurring Schedule'!$F$13),'Recurring Schedule'!$O$13)=0),IF('Recurring Schedule'!$E$13="Weekdays",WEEKDAY($A248,2)&lt;=5,$A248='Recurring Schedule'!$F$13))),8,""))))</f>
        <v/>
      </c>
      <c r="J248">
        <f>IF('Recurring Schedule'!$C$14="","",IF('Recurring Schedule'!$F$14="","",IF(OR($A248&lt;'Recurring Schedule'!$F$14,$A248&gt;'Recurring Schedule'!$P$14),"",IF(IF('Recurring Schedule'!$N$14&gt;0,MOD($A248-'Recurring Schedule'!$F$14,'Recurring Schedule'!$N$14)=0,IF('Recurring Schedule'!$O$14&gt;0,AND(DAY($A248)=MIN(DAY('Recurring Schedule'!$F$14),DAY(EOMONTH($A248,0))),MOD((YEAR($A248)-YEAR('Recurring Schedule'!$F$14))*12+MONTH($A248)-MONTH('Recurring Schedule'!$F$14),'Recurring Schedule'!$O$14)=0),IF('Recurring Schedule'!$E$14="Weekdays",WEEKDAY($A248,2)&lt;=5,$A248='Recurring Schedule'!$F$14))),9,""))))</f>
        <v/>
      </c>
      <c r="K248">
        <f>IF('Recurring Schedule'!$C$15="","",IF('Recurring Schedule'!$F$15="","",IF(OR($A248&lt;'Recurring Schedule'!$F$15,$A248&gt;'Recurring Schedule'!$P$15),"",IF(IF('Recurring Schedule'!$N$15&gt;0,MOD($A248-'Recurring Schedule'!$F$15,'Recurring Schedule'!$N$15)=0,IF('Recurring Schedule'!$O$15&gt;0,AND(DAY($A248)=MIN(DAY('Recurring Schedule'!$F$15),DAY(EOMONTH($A248,0))),MOD((YEAR($A248)-YEAR('Recurring Schedule'!$F$15))*12+MONTH($A248)-MONTH('Recurring Schedule'!$F$15),'Recurring Schedule'!$O$15)=0),IF('Recurring Schedule'!$E$15="Weekdays",WEEKDAY($A248,2)&lt;=5,$A248='Recurring Schedule'!$F$15))),10,""))))</f>
        <v/>
      </c>
      <c r="L248">
        <f>IF('Recurring Schedule'!$C$16="","",IF('Recurring Schedule'!$F$16="","",IF(OR($A248&lt;'Recurring Schedule'!$F$16,$A248&gt;'Recurring Schedule'!$P$16),"",IF(IF('Recurring Schedule'!$N$16&gt;0,MOD($A248-'Recurring Schedule'!$F$16,'Recurring Schedule'!$N$16)=0,IF('Recurring Schedule'!$O$16&gt;0,AND(DAY($A248)=MIN(DAY('Recurring Schedule'!$F$16),DAY(EOMONTH($A248,0))),MOD((YEAR($A248)-YEAR('Recurring Schedule'!$F$16))*12+MONTH($A248)-MONTH('Recurring Schedule'!$F$16),'Recurring Schedule'!$O$16)=0),IF('Recurring Schedule'!$E$16="Weekdays",WEEKDAY($A248,2)&lt;=5,$A248='Recurring Schedule'!$F$16))),11,""))))</f>
        <v/>
      </c>
      <c r="M248">
        <f>IF('Recurring Schedule'!$C$17="","",IF('Recurring Schedule'!$F$17="","",IF(OR($A248&lt;'Recurring Schedule'!$F$17,$A248&gt;'Recurring Schedule'!$P$17),"",IF(IF('Recurring Schedule'!$N$17&gt;0,MOD($A248-'Recurring Schedule'!$F$17,'Recurring Schedule'!$N$17)=0,IF('Recurring Schedule'!$O$17&gt;0,AND(DAY($A248)=MIN(DAY('Recurring Schedule'!$F$17),DAY(EOMONTH($A248,0))),MOD((YEAR($A248)-YEAR('Recurring Schedule'!$F$17))*12+MONTH($A248)-MONTH('Recurring Schedule'!$F$17),'Recurring Schedule'!$O$17)=0),IF('Recurring Schedule'!$E$17="Weekdays",WEEKDAY($A248,2)&lt;=5,$A248='Recurring Schedule'!$F$17))),12,""))))</f>
        <v/>
      </c>
      <c r="N248">
        <f>IF('Recurring Schedule'!$C$18="","",IF('Recurring Schedule'!$F$18="","",IF(OR($A248&lt;'Recurring Schedule'!$F$18,$A248&gt;'Recurring Schedule'!$P$18),"",IF(IF('Recurring Schedule'!$N$18&gt;0,MOD($A248-'Recurring Schedule'!$F$18,'Recurring Schedule'!$N$18)=0,IF('Recurring Schedule'!$O$18&gt;0,AND(DAY($A248)=MIN(DAY('Recurring Schedule'!$F$18),DAY(EOMONTH($A248,0))),MOD((YEAR($A248)-YEAR('Recurring Schedule'!$F$18))*12+MONTH($A248)-MONTH('Recurring Schedule'!$F$18),'Recurring Schedule'!$O$18)=0),IF('Recurring Schedule'!$E$18="Weekdays",WEEKDAY($A248,2)&lt;=5,$A248='Recurring Schedule'!$F$18))),13,""))))</f>
        <v/>
      </c>
      <c r="O248">
        <f>IF('Recurring Schedule'!$C$19="","",IF('Recurring Schedule'!$F$19="","",IF(OR($A248&lt;'Recurring Schedule'!$F$19,$A248&gt;'Recurring Schedule'!$P$19),"",IF(IF('Recurring Schedule'!$N$19&gt;0,MOD($A248-'Recurring Schedule'!$F$19,'Recurring Schedule'!$N$19)=0,IF('Recurring Schedule'!$O$19&gt;0,AND(DAY($A248)=MIN(DAY('Recurring Schedule'!$F$19),DAY(EOMONTH($A248,0))),MOD((YEAR($A248)-YEAR('Recurring Schedule'!$F$19))*12+MONTH($A248)-MONTH('Recurring Schedule'!$F$19),'Recurring Schedule'!$O$19)=0),IF('Recurring Schedule'!$E$19="Weekdays",WEEKDAY($A248,2)&lt;=5,$A248='Recurring Schedule'!$F$19))),14,""))))</f>
        <v/>
      </c>
      <c r="P248">
        <f>IF('Recurring Schedule'!$C$20="","",IF('Recurring Schedule'!$F$20="","",IF(OR($A248&lt;'Recurring Schedule'!$F$20,$A248&gt;'Recurring Schedule'!$P$20),"",IF(IF('Recurring Schedule'!$N$20&gt;0,MOD($A248-'Recurring Schedule'!$F$20,'Recurring Schedule'!$N$20)=0,IF('Recurring Schedule'!$O$20&gt;0,AND(DAY($A248)=MIN(DAY('Recurring Schedule'!$F$20),DAY(EOMONTH($A248,0))),MOD((YEAR($A248)-YEAR('Recurring Schedule'!$F$20))*12+MONTH($A248)-MONTH('Recurring Schedule'!$F$20),'Recurring Schedule'!$O$20)=0),IF('Recurring Schedule'!$E$20="Weekdays",WEEKDAY($A248,2)&lt;=5,$A248='Recurring Schedule'!$F$20))),15,""))))</f>
        <v/>
      </c>
      <c r="Q248">
        <f>IF('Recurring Schedule'!$C$21="","",IF('Recurring Schedule'!$F$21="","",IF(OR($A248&lt;'Recurring Schedule'!$F$21,$A248&gt;'Recurring Schedule'!$P$21),"",IF(IF('Recurring Schedule'!$N$21&gt;0,MOD($A248-'Recurring Schedule'!$F$21,'Recurring Schedule'!$N$21)=0,IF('Recurring Schedule'!$O$21&gt;0,AND(DAY($A248)=MIN(DAY('Recurring Schedule'!$F$21),DAY(EOMONTH($A248,0))),MOD((YEAR($A248)-YEAR('Recurring Schedule'!$F$21))*12+MONTH($A248)-MONTH('Recurring Schedule'!$F$21),'Recurring Schedule'!$O$21)=0),IF('Recurring Schedule'!$E$21="Weekdays",WEEKDAY($A248,2)&lt;=5,$A248='Recurring Schedule'!$F$21))),16,""))))</f>
        <v/>
      </c>
      <c r="R248">
        <f>IF('Recurring Schedule'!$C$22="","",IF('Recurring Schedule'!$F$22="","",IF(OR($A248&lt;'Recurring Schedule'!$F$22,$A248&gt;'Recurring Schedule'!$P$22),"",IF(IF('Recurring Schedule'!$N$22&gt;0,MOD($A248-'Recurring Schedule'!$F$22,'Recurring Schedule'!$N$22)=0,IF('Recurring Schedule'!$O$22&gt;0,AND(DAY($A248)=MIN(DAY('Recurring Schedule'!$F$22),DAY(EOMONTH($A248,0))),MOD((YEAR($A248)-YEAR('Recurring Schedule'!$F$22))*12+MONTH($A248)-MONTH('Recurring Schedule'!$F$22),'Recurring Schedule'!$O$22)=0),IF('Recurring Schedule'!$E$22="Weekdays",WEEKDAY($A248,2)&lt;=5,$A248='Recurring Schedule'!$F$22))),17,""))))</f>
        <v/>
      </c>
      <c r="S248">
        <f>IF('Recurring Schedule'!$C$23="","",IF('Recurring Schedule'!$F$23="","",IF(OR($A248&lt;'Recurring Schedule'!$F$23,$A248&gt;'Recurring Schedule'!$P$23),"",IF(IF('Recurring Schedule'!$N$23&gt;0,MOD($A248-'Recurring Schedule'!$F$23,'Recurring Schedule'!$N$23)=0,IF('Recurring Schedule'!$O$23&gt;0,AND(DAY($A248)=MIN(DAY('Recurring Schedule'!$F$23),DAY(EOMONTH($A248,0))),MOD((YEAR($A248)-YEAR('Recurring Schedule'!$F$23))*12+MONTH($A248)-MONTH('Recurring Schedule'!$F$23),'Recurring Schedule'!$O$23)=0),IF('Recurring Schedule'!$E$23="Weekdays",WEEKDAY($A248,2)&lt;=5,$A248='Recurring Schedule'!$F$23))),18,""))))</f>
        <v/>
      </c>
      <c r="T248">
        <f>IF('Recurring Schedule'!$C$24="","",IF('Recurring Schedule'!$F$24="","",IF(OR($A248&lt;'Recurring Schedule'!$F$24,$A248&gt;'Recurring Schedule'!$P$24),"",IF(IF('Recurring Schedule'!$N$24&gt;0,MOD($A248-'Recurring Schedule'!$F$24,'Recurring Schedule'!$N$24)=0,IF('Recurring Schedule'!$O$24&gt;0,AND(DAY($A248)=MIN(DAY('Recurring Schedule'!$F$24),DAY(EOMONTH($A248,0))),MOD((YEAR($A248)-YEAR('Recurring Schedule'!$F$24))*12+MONTH($A248)-MONTH('Recurring Schedule'!$F$24),'Recurring Schedule'!$O$24)=0),IF('Recurring Schedule'!$E$24="Weekdays",WEEKDAY($A248,2)&lt;=5,$A248='Recurring Schedule'!$F$24))),19,""))))</f>
        <v/>
      </c>
      <c r="U248">
        <f>IF('Recurring Schedule'!$C$25="","",IF('Recurring Schedule'!$F$25="","",IF(OR($A248&lt;'Recurring Schedule'!$F$25,$A248&gt;'Recurring Schedule'!$P$25),"",IF(IF('Recurring Schedule'!$N$25&gt;0,MOD($A248-'Recurring Schedule'!$F$25,'Recurring Schedule'!$N$25)=0,IF('Recurring Schedule'!$O$25&gt;0,AND(DAY($A248)=MIN(DAY('Recurring Schedule'!$F$25),DAY(EOMONTH($A248,0))),MOD((YEAR($A248)-YEAR('Recurring Schedule'!$F$25))*12+MONTH($A248)-MONTH('Recurring Schedule'!$F$25),'Recurring Schedule'!$O$25)=0),IF('Recurring Schedule'!$E$25="Weekdays",WEEKDAY($A248,2)&lt;=5,$A248='Recurring Schedule'!$F$25))),20,""))))</f>
        <v/>
      </c>
      <c r="V248">
        <f>IF('Recurring Schedule'!$C$26="","",IF('Recurring Schedule'!$F$26="","",IF(OR($A248&lt;'Recurring Schedule'!$F$26,$A248&gt;'Recurring Schedule'!$P$26),"",IF(IF('Recurring Schedule'!$N$26&gt;0,MOD($A248-'Recurring Schedule'!$F$26,'Recurring Schedule'!$N$26)=0,IF('Recurring Schedule'!$O$26&gt;0,AND(DAY($A248)=MIN(DAY('Recurring Schedule'!$F$26),DAY(EOMONTH($A248,0))),MOD((YEAR($A248)-YEAR('Recurring Schedule'!$F$26))*12+MONTH($A248)-MONTH('Recurring Schedule'!$F$26),'Recurring Schedule'!$O$26)=0),IF('Recurring Schedule'!$E$26="Weekdays",WEEKDAY($A248,2)&lt;=5,$A248='Recurring Schedule'!$F$26))),21,""))))</f>
        <v/>
      </c>
      <c r="W248">
        <f>IF('Recurring Schedule'!$C$27="","",IF('Recurring Schedule'!$F$27="","",IF(OR($A248&lt;'Recurring Schedule'!$F$27,$A248&gt;'Recurring Schedule'!$P$27),"",IF(IF('Recurring Schedule'!$N$27&gt;0,MOD($A248-'Recurring Schedule'!$F$27,'Recurring Schedule'!$N$27)=0,IF('Recurring Schedule'!$O$27&gt;0,AND(DAY($A248)=MIN(DAY('Recurring Schedule'!$F$27),DAY(EOMONTH($A248,0))),MOD((YEAR($A248)-YEAR('Recurring Schedule'!$F$27))*12+MONTH($A248)-MONTH('Recurring Schedule'!$F$27),'Recurring Schedule'!$O$27)=0),IF('Recurring Schedule'!$E$27="Weekdays",WEEKDAY($A248,2)&lt;=5,$A248='Recurring Schedule'!$F$27))),22,""))))</f>
        <v/>
      </c>
      <c r="X248">
        <f>IF('Recurring Schedule'!$C$28="","",IF('Recurring Schedule'!$F$28="","",IF(OR($A248&lt;'Recurring Schedule'!$F$28,$A248&gt;'Recurring Schedule'!$P$28),"",IF(IF('Recurring Schedule'!$N$28&gt;0,MOD($A248-'Recurring Schedule'!$F$28,'Recurring Schedule'!$N$28)=0,IF('Recurring Schedule'!$O$28&gt;0,AND(DAY($A248)=MIN(DAY('Recurring Schedule'!$F$28),DAY(EOMONTH($A248,0))),MOD((YEAR($A248)-YEAR('Recurring Schedule'!$F$28))*12+MONTH($A248)-MONTH('Recurring Schedule'!$F$28),'Recurring Schedule'!$O$28)=0),IF('Recurring Schedule'!$E$28="Weekdays",WEEKDAY($A248,2)&lt;=5,$A248='Recurring Schedule'!$F$28))),23,""))))</f>
        <v/>
      </c>
      <c r="Y248">
        <f>IF('Recurring Schedule'!$C$29="","",IF('Recurring Schedule'!$F$29="","",IF(OR($A248&lt;'Recurring Schedule'!$F$29,$A248&gt;'Recurring Schedule'!$P$29),"",IF(IF('Recurring Schedule'!$N$29&gt;0,MOD($A248-'Recurring Schedule'!$F$29,'Recurring Schedule'!$N$29)=0,IF('Recurring Schedule'!$O$29&gt;0,AND(DAY($A248)=MIN(DAY('Recurring Schedule'!$F$29),DAY(EOMONTH($A248,0))),MOD((YEAR($A248)-YEAR('Recurring Schedule'!$F$29))*12+MONTH($A248)-MONTH('Recurring Schedule'!$F$29),'Recurring Schedule'!$O$29)=0),IF('Recurring Schedule'!$E$29="Weekdays",WEEKDAY($A248,2)&lt;=5,$A248='Recurring Schedule'!$F$29))),24,""))))</f>
        <v/>
      </c>
      <c r="Z248">
        <f>IF('Recurring Schedule'!$C$30="","",IF('Recurring Schedule'!$F$30="","",IF(OR($A248&lt;'Recurring Schedule'!$F$30,$A248&gt;'Recurring Schedule'!$P$30),"",IF(IF('Recurring Schedule'!$N$30&gt;0,MOD($A248-'Recurring Schedule'!$F$30,'Recurring Schedule'!$N$30)=0,IF('Recurring Schedule'!$O$30&gt;0,AND(DAY($A248)=MIN(DAY('Recurring Schedule'!$F$30),DAY(EOMONTH($A248,0))),MOD((YEAR($A248)-YEAR('Recurring Schedule'!$F$30))*12+MONTH($A248)-MONTH('Recurring Schedule'!$F$30),'Recurring Schedule'!$O$30)=0),IF('Recurring Schedule'!$E$30="Weekdays",WEEKDAY($A248,2)&lt;=5,$A248='Recurring Schedule'!$F$30))),25,""))))</f>
        <v/>
      </c>
      <c r="AA248">
        <f>IF('Recurring Schedule'!$C$31="","",IF('Recurring Schedule'!$F$31="","",IF(OR($A248&lt;'Recurring Schedule'!$F$31,$A248&gt;'Recurring Schedule'!$P$31),"",IF(IF('Recurring Schedule'!$N$31&gt;0,MOD($A248-'Recurring Schedule'!$F$31,'Recurring Schedule'!$N$31)=0,IF('Recurring Schedule'!$O$31&gt;0,AND(DAY($A248)=MIN(DAY('Recurring Schedule'!$F$31),DAY(EOMONTH($A248,0))),MOD((YEAR($A248)-YEAR('Recurring Schedule'!$F$31))*12+MONTH($A248)-MONTH('Recurring Schedule'!$F$31),'Recurring Schedule'!$O$31)=0),IF('Recurring Schedule'!$E$31="Weekdays",WEEKDAY($A248,2)&lt;=5,$A248='Recurring Schedule'!$F$31))),26,""))))</f>
        <v/>
      </c>
      <c r="AB248">
        <f>IF('Recurring Schedule'!$C$32="","",IF('Recurring Schedule'!$F$32="","",IF(OR($A248&lt;'Recurring Schedule'!$F$32,$A248&gt;'Recurring Schedule'!$P$32),"",IF(IF('Recurring Schedule'!$N$32&gt;0,MOD($A248-'Recurring Schedule'!$F$32,'Recurring Schedule'!$N$32)=0,IF('Recurring Schedule'!$O$32&gt;0,AND(DAY($A248)=MIN(DAY('Recurring Schedule'!$F$32),DAY(EOMONTH($A248,0))),MOD((YEAR($A248)-YEAR('Recurring Schedule'!$F$32))*12+MONTH($A248)-MONTH('Recurring Schedule'!$F$32),'Recurring Schedule'!$O$32)=0),IF('Recurring Schedule'!$E$32="Weekdays",WEEKDAY($A248,2)&lt;=5,$A248='Recurring Schedule'!$F$32))),27,""))))</f>
        <v/>
      </c>
      <c r="AC248">
        <f>IF('Recurring Schedule'!$C$33="","",IF('Recurring Schedule'!$F$33="","",IF(OR($A248&lt;'Recurring Schedule'!$F$33,$A248&gt;'Recurring Schedule'!$P$33),"",IF(IF('Recurring Schedule'!$N$33&gt;0,MOD($A248-'Recurring Schedule'!$F$33,'Recurring Schedule'!$N$33)=0,IF('Recurring Schedule'!$O$33&gt;0,AND(DAY($A248)=MIN(DAY('Recurring Schedule'!$F$33),DAY(EOMONTH($A248,0))),MOD((YEAR($A248)-YEAR('Recurring Schedule'!$F$33))*12+MONTH($A248)-MONTH('Recurring Schedule'!$F$33),'Recurring Schedule'!$O$33)=0),IF('Recurring Schedule'!$E$33="Weekdays",WEEKDAY($A248,2)&lt;=5,$A248='Recurring Schedule'!$F$33))),28,""))))</f>
        <v/>
      </c>
      <c r="AD248">
        <f>IF('Recurring Schedule'!$C$34="","",IF('Recurring Schedule'!$F$34="","",IF(OR($A248&lt;'Recurring Schedule'!$F$34,$A248&gt;'Recurring Schedule'!$P$34),"",IF(IF('Recurring Schedule'!$N$34&gt;0,MOD($A248-'Recurring Schedule'!$F$34,'Recurring Schedule'!$N$34)=0,IF('Recurring Schedule'!$O$34&gt;0,AND(DAY($A248)=MIN(DAY('Recurring Schedule'!$F$34),DAY(EOMONTH($A248,0))),MOD((YEAR($A248)-YEAR('Recurring Schedule'!$F$34))*12+MONTH($A248)-MONTH('Recurring Schedule'!$F$34),'Recurring Schedule'!$O$34)=0),IF('Recurring Schedule'!$E$34="Weekdays",WEEKDAY($A248,2)&lt;=5,$A248='Recurring Schedule'!$F$34))),29,""))))</f>
        <v/>
      </c>
      <c r="AE248">
        <f>IF('Recurring Schedule'!$C$35="","",IF('Recurring Schedule'!$F$35="","",IF(OR($A248&lt;'Recurring Schedule'!$F$35,$A248&gt;'Recurring Schedule'!$P$35),"",IF(IF('Recurring Schedule'!$N$35&gt;0,MOD($A248-'Recurring Schedule'!$F$35,'Recurring Schedule'!$N$35)=0,IF('Recurring Schedule'!$O$35&gt;0,AND(DAY($A248)=MIN(DAY('Recurring Schedule'!$F$35),DAY(EOMONTH($A248,0))),MOD((YEAR($A248)-YEAR('Recurring Schedule'!$F$35))*12+MONTH($A248)-MONTH('Recurring Schedule'!$F$35),'Recurring Schedule'!$O$35)=0),IF('Recurring Schedule'!$E$35="Weekdays",WEEKDAY($A248,2)&lt;=5,$A248='Recurring Schedule'!$F$35))),30,""))))</f>
        <v/>
      </c>
      <c r="AF248">
        <f>IF('Recurring Schedule'!$C$36="","",IF('Recurring Schedule'!$F$36="","",IF(OR($A248&lt;'Recurring Schedule'!$F$36,$A248&gt;'Recurring Schedule'!$P$36),"",IF(IF('Recurring Schedule'!$N$36&gt;0,MOD($A248-'Recurring Schedule'!$F$36,'Recurring Schedule'!$N$36)=0,IF('Recurring Schedule'!$O$36&gt;0,AND(DAY($A248)=MIN(DAY('Recurring Schedule'!$F$36),DAY(EOMONTH($A248,0))),MOD((YEAR($A248)-YEAR('Recurring Schedule'!$F$36))*12+MONTH($A248)-MONTH('Recurring Schedule'!$F$36),'Recurring Schedule'!$O$36)=0),IF('Recurring Schedule'!$E$36="Weekdays",WEEKDAY($A248,2)&lt;=5,$A248='Recurring Schedule'!$F$36))),31,""))))</f>
        <v/>
      </c>
      <c r="AG248">
        <f>IF('Recurring Schedule'!$C$37="","",IF('Recurring Schedule'!$F$37="","",IF(OR($A248&lt;'Recurring Schedule'!$F$37,$A248&gt;'Recurring Schedule'!$P$37),"",IF(IF('Recurring Schedule'!$N$37&gt;0,MOD($A248-'Recurring Schedule'!$F$37,'Recurring Schedule'!$N$37)=0,IF('Recurring Schedule'!$O$37&gt;0,AND(DAY($A248)=MIN(DAY('Recurring Schedule'!$F$37),DAY(EOMONTH($A248,0))),MOD((YEAR($A248)-YEAR('Recurring Schedule'!$F$37))*12+MONTH($A248)-MONTH('Recurring Schedule'!$F$37),'Recurring Schedule'!$O$37)=0),IF('Recurring Schedule'!$E$37="Weekdays",WEEKDAY($A248,2)&lt;=5,$A248='Recurring Schedule'!$F$37))),32,""))))</f>
        <v/>
      </c>
      <c r="AH248">
        <f>IF('Recurring Schedule'!$C$38="","",IF('Recurring Schedule'!$F$38="","",IF(OR($A248&lt;'Recurring Schedule'!$F$38,$A248&gt;'Recurring Schedule'!$P$38),"",IF(IF('Recurring Schedule'!$N$38&gt;0,MOD($A248-'Recurring Schedule'!$F$38,'Recurring Schedule'!$N$38)=0,IF('Recurring Schedule'!$O$38&gt;0,AND(DAY($A248)=MIN(DAY('Recurring Schedule'!$F$38),DAY(EOMONTH($A248,0))),MOD((YEAR($A248)-YEAR('Recurring Schedule'!$F$38))*12+MONTH($A248)-MONTH('Recurring Schedule'!$F$38),'Recurring Schedule'!$O$38)=0),IF('Recurring Schedule'!$E$38="Weekdays",WEEKDAY($A248,2)&lt;=5,$A248='Recurring Schedule'!$F$38))),33,""))))</f>
        <v/>
      </c>
      <c r="AI248">
        <f>IF('Recurring Schedule'!$C$39="","",IF('Recurring Schedule'!$F$39="","",IF(OR($A248&lt;'Recurring Schedule'!$F$39,$A248&gt;'Recurring Schedule'!$P$39),"",IF(IF('Recurring Schedule'!$N$39&gt;0,MOD($A248-'Recurring Schedule'!$F$39,'Recurring Schedule'!$N$39)=0,IF('Recurring Schedule'!$O$39&gt;0,AND(DAY($A248)=MIN(DAY('Recurring Schedule'!$F$39),DAY(EOMONTH($A248,0))),MOD((YEAR($A248)-YEAR('Recurring Schedule'!$F$39))*12+MONTH($A248)-MONTH('Recurring Schedule'!$F$39),'Recurring Schedule'!$O$39)=0),IF('Recurring Schedule'!$E$39="Weekdays",WEEKDAY($A248,2)&lt;=5,$A248='Recurring Schedule'!$F$39))),34,""))))</f>
        <v/>
      </c>
      <c r="AJ248">
        <f>IF('Recurring Schedule'!$C$40="","",IF('Recurring Schedule'!$F$40="","",IF(OR($A248&lt;'Recurring Schedule'!$F$40,$A248&gt;'Recurring Schedule'!$P$40),"",IF(IF('Recurring Schedule'!$N$40&gt;0,MOD($A248-'Recurring Schedule'!$F$40,'Recurring Schedule'!$N$40)=0,IF('Recurring Schedule'!$O$40&gt;0,AND(DAY($A248)=MIN(DAY('Recurring Schedule'!$F$40),DAY(EOMONTH($A248,0))),MOD((YEAR($A248)-YEAR('Recurring Schedule'!$F$40))*12+MONTH($A248)-MONTH('Recurring Schedule'!$F$40),'Recurring Schedule'!$O$40)=0),IF('Recurring Schedule'!$E$40="Weekdays",WEEKDAY($A248,2)&lt;=5,$A248='Recurring Schedule'!$F$40))),35,""))))</f>
        <v/>
      </c>
      <c r="AK248">
        <f>IF('Recurring Schedule'!$C$41="","",IF('Recurring Schedule'!$F$41="","",IF(OR($A248&lt;'Recurring Schedule'!$F$41,$A248&gt;'Recurring Schedule'!$P$41),"",IF(IF('Recurring Schedule'!$N$41&gt;0,MOD($A248-'Recurring Schedule'!$F$41,'Recurring Schedule'!$N$41)=0,IF('Recurring Schedule'!$O$41&gt;0,AND(DAY($A248)=MIN(DAY('Recurring Schedule'!$F$41),DAY(EOMONTH($A248,0))),MOD((YEAR($A248)-YEAR('Recurring Schedule'!$F$41))*12+MONTH($A248)-MONTH('Recurring Schedule'!$F$41),'Recurring Schedule'!$O$41)=0),IF('Recurring Schedule'!$E$41="Weekdays",WEEKDAY($A248,2)&lt;=5,$A248='Recurring Schedule'!$F$41))),36,""))))</f>
        <v/>
      </c>
      <c r="AL248">
        <f>IF('Recurring Schedule'!$C$42="","",IF('Recurring Schedule'!$F$42="","",IF(OR($A248&lt;'Recurring Schedule'!$F$42,$A248&gt;'Recurring Schedule'!$P$42),"",IF(IF('Recurring Schedule'!$N$42&gt;0,MOD($A248-'Recurring Schedule'!$F$42,'Recurring Schedule'!$N$42)=0,IF('Recurring Schedule'!$O$42&gt;0,AND(DAY($A248)=MIN(DAY('Recurring Schedule'!$F$42),DAY(EOMONTH($A248,0))),MOD((YEAR($A248)-YEAR('Recurring Schedule'!$F$42))*12+MONTH($A248)-MONTH('Recurring Schedule'!$F$42),'Recurring Schedule'!$O$42)=0),IF('Recurring Schedule'!$E$42="Weekdays",WEEKDAY($A248,2)&lt;=5,$A248='Recurring Schedule'!$F$42))),37,""))))</f>
        <v/>
      </c>
      <c r="AM248">
        <f>IF('Recurring Schedule'!$C$43="","",IF('Recurring Schedule'!$F$43="","",IF(OR($A248&lt;'Recurring Schedule'!$F$43,$A248&gt;'Recurring Schedule'!$P$43),"",IF(IF('Recurring Schedule'!$N$43&gt;0,MOD($A248-'Recurring Schedule'!$F$43,'Recurring Schedule'!$N$43)=0,IF('Recurring Schedule'!$O$43&gt;0,AND(DAY($A248)=MIN(DAY('Recurring Schedule'!$F$43),DAY(EOMONTH($A248,0))),MOD((YEAR($A248)-YEAR('Recurring Schedule'!$F$43))*12+MONTH($A248)-MONTH('Recurring Schedule'!$F$43),'Recurring Schedule'!$O$43)=0),IF('Recurring Schedule'!$E$43="Weekdays",WEEKDAY($A248,2)&lt;=5,$A248='Recurring Schedule'!$F$43))),38,""))))</f>
        <v/>
      </c>
      <c r="AN248">
        <f>IF('Recurring Schedule'!$C$44="","",IF('Recurring Schedule'!$F$44="","",IF(OR($A248&lt;'Recurring Schedule'!$F$44,$A248&gt;'Recurring Schedule'!$P$44),"",IF(IF('Recurring Schedule'!$N$44&gt;0,MOD($A248-'Recurring Schedule'!$F$44,'Recurring Schedule'!$N$44)=0,IF('Recurring Schedule'!$O$44&gt;0,AND(DAY($A248)=MIN(DAY('Recurring Schedule'!$F$44),DAY(EOMONTH($A248,0))),MOD((YEAR($A248)-YEAR('Recurring Schedule'!$F$44))*12+MONTH($A248)-MONTH('Recurring Schedule'!$F$44),'Recurring Schedule'!$O$44)=0),IF('Recurring Schedule'!$E$44="Weekdays",WEEKDAY($A248,2)&lt;=5,$A248='Recurring Schedule'!$F$44))),39,""))))</f>
        <v/>
      </c>
      <c r="AO248">
        <f>IF('Recurring Schedule'!$C$45="","",IF('Recurring Schedule'!$F$45="","",IF(OR($A248&lt;'Recurring Schedule'!$F$45,$A248&gt;'Recurring Schedule'!$P$45),"",IF(IF('Recurring Schedule'!$N$45&gt;0,MOD($A248-'Recurring Schedule'!$F$45,'Recurring Schedule'!$N$45)=0,IF('Recurring Schedule'!$O$45&gt;0,AND(DAY($A248)=MIN(DAY('Recurring Schedule'!$F$45),DAY(EOMONTH($A248,0))),MOD((YEAR($A248)-YEAR('Recurring Schedule'!$F$45))*12+MONTH($A248)-MONTH('Recurring Schedule'!$F$45),'Recurring Schedule'!$O$45)=0),IF('Recurring Schedule'!$E$45="Weekdays",WEEKDAY($A248,2)&lt;=5,$A248='Recurring Schedule'!$F$45))),40,""))))</f>
        <v/>
      </c>
      <c r="AP248">
        <f>COUNT(B248:AO248)</f>
        <v/>
      </c>
      <c r="AQ248">
        <f>AQ247+AP247</f>
        <v/>
      </c>
      <c r="AS248" t="inlineStr">
        <is>
          <t>R</t>
        </is>
      </c>
      <c r="AT248" t="n">
        <v>252</v>
      </c>
      <c r="AU248">
        <f>'Recurring Log'!C252&amp;""</f>
        <v/>
      </c>
      <c r="AV248">
        <f>'Recurring Log'!D252&amp;""</f>
        <v/>
      </c>
      <c r="AW248">
        <f>IF('Recurring Log'!E252="","",'Recurring Log'!E252)</f>
        <v/>
      </c>
      <c r="AX248">
        <f>IF('Recurring Log'!G252="","",'Recurring Log'!G252)</f>
        <v/>
      </c>
      <c r="AY248">
        <f>IF('Recurring Log'!H252="","",'Recurring Log'!H252)</f>
        <v/>
      </c>
      <c r="AZ248">
        <f>IF(AU248="","",IF('Recurring Log'!J252="","Not Started",'Recurring Log'!J252))</f>
        <v/>
      </c>
      <c r="BA248">
        <f>'Recurring Log'!L252&amp;""</f>
        <v/>
      </c>
      <c r="BB248">
        <f>'Recurring Log'!M252&amp;""</f>
        <v/>
      </c>
      <c r="BC248">
        <f>'Recurring Log'!N252&amp;""</f>
        <v/>
      </c>
      <c r="BD248">
        <f>'Recurring Log'!O252&amp;""</f>
        <v/>
      </c>
      <c r="BE248">
        <f>IF('Recurring Log'!K252="","",'Recurring Log'!K252)</f>
        <v/>
      </c>
      <c r="BF248">
        <f>IFERROR(MATCH(BA248,Setup!$L$6:$L$9,0),5)</f>
        <v/>
      </c>
      <c r="BG248">
        <f>IF(OR(AZ248="Done",AZ248="Cancelled"),1,0)</f>
        <v/>
      </c>
      <c r="BH248">
        <f>IF(AND(AU248&lt;&gt;"",ISNUMBER(AW248)),1,0)</f>
        <v/>
      </c>
      <c r="BI248">
        <f>IF(BH248=0,0,IF(AND(AW248&gt;='Tasks Filter'!$F$3,AW248&lt;='Tasks Filter'!$F$4,OR('Tasks Filter'!$I$3="",ISNUMBER(SEARCH('Tasks Filter'!$I$3,AU248))),OR('Tasks Filter'!$I$4="",BF248=IFERROR(MATCH('Tasks Filter'!$I$4,Setup!$L$6:$L$9,0),0)),OR('Tasks Filter'!$I$5="Both",AND('Tasks Filter'!$I$5="Yes",BB248="✓"),AND('Tasks Filter'!$I$5="No",BB248&lt;&gt;"✓")),OR('Tasks Filter'!$L$3="",AV248='Tasks Filter'!$L$3),OR('Tasks Filter'!$L$4="",AZ248='Tasks Filter'!$L$4),OR('Tasks Filter'!$L$5="",BC248='Tasks Filter'!$L$5),OR('Tasks Filter'!$O$3="",BD248='Tasks Filter'!$O$3),OR('Tasks Filter'!$O$4="Yes",BG248=0)),1,0))</f>
        <v/>
      </c>
      <c r="BJ248">
        <f>IF(BH248=0,"",IF('Tasks Filter'!$F$6="Descending",-1,1)*CHOOSE(MATCH('Tasks Filter'!$F$5,Lists!$G$2:$G$6,0),AW248,BF248,IFERROR(MATCH(AV248,Setup!$F$6:$F$15,0),99),IFERROR(MATCH(BC248,Setup!$H$6:$H$15,0),99),IFERROR(MATCH(AZ248,Setup!$J$6:$J$11,0),99))*1E+9+(AW248-40000)*10000+247)</f>
        <v/>
      </c>
      <c r="BK248">
        <f>IF(BI248=1,BJ248,"")</f>
        <v/>
      </c>
      <c r="BL248">
        <f>IF(AND(BH248=1,BG248=0,N(AW248)&lt;Setup!$D$7),(AW248-40000)*10000+247,"")</f>
        <v/>
      </c>
      <c r="BM248">
        <f>IF(AND(BH248=1,AZ248&lt;&gt;"Cancelled",N(AW248)&gt;=Dashboard!$AB$3,N(AW248)&lt;=Dashboard!$AB$3+6),(AW248-40000)*100000+BF248*10000+247,"")</f>
        <v/>
      </c>
      <c r="BN248">
        <f>IF(AND(BH248=1,AZ248&lt;&gt;"Cancelled"),BF248*10000+247,"")</f>
        <v/>
      </c>
    </row>
    <row r="249">
      <c r="A249">
        <f>Setup!$D$5+247</f>
        <v/>
      </c>
      <c r="B249">
        <f>IF('Recurring Schedule'!$C$6="","",IF('Recurring Schedule'!$F$6="","",IF(OR($A249&lt;'Recurring Schedule'!$F$6,$A249&gt;'Recurring Schedule'!$P$6),"",IF(IF('Recurring Schedule'!$N$6&gt;0,MOD($A249-'Recurring Schedule'!$F$6,'Recurring Schedule'!$N$6)=0,IF('Recurring Schedule'!$O$6&gt;0,AND(DAY($A249)=MIN(DAY('Recurring Schedule'!$F$6),DAY(EOMONTH($A249,0))),MOD((YEAR($A249)-YEAR('Recurring Schedule'!$F$6))*12+MONTH($A249)-MONTH('Recurring Schedule'!$F$6),'Recurring Schedule'!$O$6)=0),IF('Recurring Schedule'!$E$6="Weekdays",WEEKDAY($A249,2)&lt;=5,$A249='Recurring Schedule'!$F$6))),1,""))))</f>
        <v/>
      </c>
      <c r="C249">
        <f>IF('Recurring Schedule'!$C$7="","",IF('Recurring Schedule'!$F$7="","",IF(OR($A249&lt;'Recurring Schedule'!$F$7,$A249&gt;'Recurring Schedule'!$P$7),"",IF(IF('Recurring Schedule'!$N$7&gt;0,MOD($A249-'Recurring Schedule'!$F$7,'Recurring Schedule'!$N$7)=0,IF('Recurring Schedule'!$O$7&gt;0,AND(DAY($A249)=MIN(DAY('Recurring Schedule'!$F$7),DAY(EOMONTH($A249,0))),MOD((YEAR($A249)-YEAR('Recurring Schedule'!$F$7))*12+MONTH($A249)-MONTH('Recurring Schedule'!$F$7),'Recurring Schedule'!$O$7)=0),IF('Recurring Schedule'!$E$7="Weekdays",WEEKDAY($A249,2)&lt;=5,$A249='Recurring Schedule'!$F$7))),2,""))))</f>
        <v/>
      </c>
      <c r="D249">
        <f>IF('Recurring Schedule'!$C$8="","",IF('Recurring Schedule'!$F$8="","",IF(OR($A249&lt;'Recurring Schedule'!$F$8,$A249&gt;'Recurring Schedule'!$P$8),"",IF(IF('Recurring Schedule'!$N$8&gt;0,MOD($A249-'Recurring Schedule'!$F$8,'Recurring Schedule'!$N$8)=0,IF('Recurring Schedule'!$O$8&gt;0,AND(DAY($A249)=MIN(DAY('Recurring Schedule'!$F$8),DAY(EOMONTH($A249,0))),MOD((YEAR($A249)-YEAR('Recurring Schedule'!$F$8))*12+MONTH($A249)-MONTH('Recurring Schedule'!$F$8),'Recurring Schedule'!$O$8)=0),IF('Recurring Schedule'!$E$8="Weekdays",WEEKDAY($A249,2)&lt;=5,$A249='Recurring Schedule'!$F$8))),3,""))))</f>
        <v/>
      </c>
      <c r="E249">
        <f>IF('Recurring Schedule'!$C$9="","",IF('Recurring Schedule'!$F$9="","",IF(OR($A249&lt;'Recurring Schedule'!$F$9,$A249&gt;'Recurring Schedule'!$P$9),"",IF(IF('Recurring Schedule'!$N$9&gt;0,MOD($A249-'Recurring Schedule'!$F$9,'Recurring Schedule'!$N$9)=0,IF('Recurring Schedule'!$O$9&gt;0,AND(DAY($A249)=MIN(DAY('Recurring Schedule'!$F$9),DAY(EOMONTH($A249,0))),MOD((YEAR($A249)-YEAR('Recurring Schedule'!$F$9))*12+MONTH($A249)-MONTH('Recurring Schedule'!$F$9),'Recurring Schedule'!$O$9)=0),IF('Recurring Schedule'!$E$9="Weekdays",WEEKDAY($A249,2)&lt;=5,$A249='Recurring Schedule'!$F$9))),4,""))))</f>
        <v/>
      </c>
      <c r="F249">
        <f>IF('Recurring Schedule'!$C$10="","",IF('Recurring Schedule'!$F$10="","",IF(OR($A249&lt;'Recurring Schedule'!$F$10,$A249&gt;'Recurring Schedule'!$P$10),"",IF(IF('Recurring Schedule'!$N$10&gt;0,MOD($A249-'Recurring Schedule'!$F$10,'Recurring Schedule'!$N$10)=0,IF('Recurring Schedule'!$O$10&gt;0,AND(DAY($A249)=MIN(DAY('Recurring Schedule'!$F$10),DAY(EOMONTH($A249,0))),MOD((YEAR($A249)-YEAR('Recurring Schedule'!$F$10))*12+MONTH($A249)-MONTH('Recurring Schedule'!$F$10),'Recurring Schedule'!$O$10)=0),IF('Recurring Schedule'!$E$10="Weekdays",WEEKDAY($A249,2)&lt;=5,$A249='Recurring Schedule'!$F$10))),5,""))))</f>
        <v/>
      </c>
      <c r="G249">
        <f>IF('Recurring Schedule'!$C$11="","",IF('Recurring Schedule'!$F$11="","",IF(OR($A249&lt;'Recurring Schedule'!$F$11,$A249&gt;'Recurring Schedule'!$P$11),"",IF(IF('Recurring Schedule'!$N$11&gt;0,MOD($A249-'Recurring Schedule'!$F$11,'Recurring Schedule'!$N$11)=0,IF('Recurring Schedule'!$O$11&gt;0,AND(DAY($A249)=MIN(DAY('Recurring Schedule'!$F$11),DAY(EOMONTH($A249,0))),MOD((YEAR($A249)-YEAR('Recurring Schedule'!$F$11))*12+MONTH($A249)-MONTH('Recurring Schedule'!$F$11),'Recurring Schedule'!$O$11)=0),IF('Recurring Schedule'!$E$11="Weekdays",WEEKDAY($A249,2)&lt;=5,$A249='Recurring Schedule'!$F$11))),6,""))))</f>
        <v/>
      </c>
      <c r="H249">
        <f>IF('Recurring Schedule'!$C$12="","",IF('Recurring Schedule'!$F$12="","",IF(OR($A249&lt;'Recurring Schedule'!$F$12,$A249&gt;'Recurring Schedule'!$P$12),"",IF(IF('Recurring Schedule'!$N$12&gt;0,MOD($A249-'Recurring Schedule'!$F$12,'Recurring Schedule'!$N$12)=0,IF('Recurring Schedule'!$O$12&gt;0,AND(DAY($A249)=MIN(DAY('Recurring Schedule'!$F$12),DAY(EOMONTH($A249,0))),MOD((YEAR($A249)-YEAR('Recurring Schedule'!$F$12))*12+MONTH($A249)-MONTH('Recurring Schedule'!$F$12),'Recurring Schedule'!$O$12)=0),IF('Recurring Schedule'!$E$12="Weekdays",WEEKDAY($A249,2)&lt;=5,$A249='Recurring Schedule'!$F$12))),7,""))))</f>
        <v/>
      </c>
      <c r="I249">
        <f>IF('Recurring Schedule'!$C$13="","",IF('Recurring Schedule'!$F$13="","",IF(OR($A249&lt;'Recurring Schedule'!$F$13,$A249&gt;'Recurring Schedule'!$P$13),"",IF(IF('Recurring Schedule'!$N$13&gt;0,MOD($A249-'Recurring Schedule'!$F$13,'Recurring Schedule'!$N$13)=0,IF('Recurring Schedule'!$O$13&gt;0,AND(DAY($A249)=MIN(DAY('Recurring Schedule'!$F$13),DAY(EOMONTH($A249,0))),MOD((YEAR($A249)-YEAR('Recurring Schedule'!$F$13))*12+MONTH($A249)-MONTH('Recurring Schedule'!$F$13),'Recurring Schedule'!$O$13)=0),IF('Recurring Schedule'!$E$13="Weekdays",WEEKDAY($A249,2)&lt;=5,$A249='Recurring Schedule'!$F$13))),8,""))))</f>
        <v/>
      </c>
      <c r="J249">
        <f>IF('Recurring Schedule'!$C$14="","",IF('Recurring Schedule'!$F$14="","",IF(OR($A249&lt;'Recurring Schedule'!$F$14,$A249&gt;'Recurring Schedule'!$P$14),"",IF(IF('Recurring Schedule'!$N$14&gt;0,MOD($A249-'Recurring Schedule'!$F$14,'Recurring Schedule'!$N$14)=0,IF('Recurring Schedule'!$O$14&gt;0,AND(DAY($A249)=MIN(DAY('Recurring Schedule'!$F$14),DAY(EOMONTH($A249,0))),MOD((YEAR($A249)-YEAR('Recurring Schedule'!$F$14))*12+MONTH($A249)-MONTH('Recurring Schedule'!$F$14),'Recurring Schedule'!$O$14)=0),IF('Recurring Schedule'!$E$14="Weekdays",WEEKDAY($A249,2)&lt;=5,$A249='Recurring Schedule'!$F$14))),9,""))))</f>
        <v/>
      </c>
      <c r="K249">
        <f>IF('Recurring Schedule'!$C$15="","",IF('Recurring Schedule'!$F$15="","",IF(OR($A249&lt;'Recurring Schedule'!$F$15,$A249&gt;'Recurring Schedule'!$P$15),"",IF(IF('Recurring Schedule'!$N$15&gt;0,MOD($A249-'Recurring Schedule'!$F$15,'Recurring Schedule'!$N$15)=0,IF('Recurring Schedule'!$O$15&gt;0,AND(DAY($A249)=MIN(DAY('Recurring Schedule'!$F$15),DAY(EOMONTH($A249,0))),MOD((YEAR($A249)-YEAR('Recurring Schedule'!$F$15))*12+MONTH($A249)-MONTH('Recurring Schedule'!$F$15),'Recurring Schedule'!$O$15)=0),IF('Recurring Schedule'!$E$15="Weekdays",WEEKDAY($A249,2)&lt;=5,$A249='Recurring Schedule'!$F$15))),10,""))))</f>
        <v/>
      </c>
      <c r="L249">
        <f>IF('Recurring Schedule'!$C$16="","",IF('Recurring Schedule'!$F$16="","",IF(OR($A249&lt;'Recurring Schedule'!$F$16,$A249&gt;'Recurring Schedule'!$P$16),"",IF(IF('Recurring Schedule'!$N$16&gt;0,MOD($A249-'Recurring Schedule'!$F$16,'Recurring Schedule'!$N$16)=0,IF('Recurring Schedule'!$O$16&gt;0,AND(DAY($A249)=MIN(DAY('Recurring Schedule'!$F$16),DAY(EOMONTH($A249,0))),MOD((YEAR($A249)-YEAR('Recurring Schedule'!$F$16))*12+MONTH($A249)-MONTH('Recurring Schedule'!$F$16),'Recurring Schedule'!$O$16)=0),IF('Recurring Schedule'!$E$16="Weekdays",WEEKDAY($A249,2)&lt;=5,$A249='Recurring Schedule'!$F$16))),11,""))))</f>
        <v/>
      </c>
      <c r="M249">
        <f>IF('Recurring Schedule'!$C$17="","",IF('Recurring Schedule'!$F$17="","",IF(OR($A249&lt;'Recurring Schedule'!$F$17,$A249&gt;'Recurring Schedule'!$P$17),"",IF(IF('Recurring Schedule'!$N$17&gt;0,MOD($A249-'Recurring Schedule'!$F$17,'Recurring Schedule'!$N$17)=0,IF('Recurring Schedule'!$O$17&gt;0,AND(DAY($A249)=MIN(DAY('Recurring Schedule'!$F$17),DAY(EOMONTH($A249,0))),MOD((YEAR($A249)-YEAR('Recurring Schedule'!$F$17))*12+MONTH($A249)-MONTH('Recurring Schedule'!$F$17),'Recurring Schedule'!$O$17)=0),IF('Recurring Schedule'!$E$17="Weekdays",WEEKDAY($A249,2)&lt;=5,$A249='Recurring Schedule'!$F$17))),12,""))))</f>
        <v/>
      </c>
      <c r="N249">
        <f>IF('Recurring Schedule'!$C$18="","",IF('Recurring Schedule'!$F$18="","",IF(OR($A249&lt;'Recurring Schedule'!$F$18,$A249&gt;'Recurring Schedule'!$P$18),"",IF(IF('Recurring Schedule'!$N$18&gt;0,MOD($A249-'Recurring Schedule'!$F$18,'Recurring Schedule'!$N$18)=0,IF('Recurring Schedule'!$O$18&gt;0,AND(DAY($A249)=MIN(DAY('Recurring Schedule'!$F$18),DAY(EOMONTH($A249,0))),MOD((YEAR($A249)-YEAR('Recurring Schedule'!$F$18))*12+MONTH($A249)-MONTH('Recurring Schedule'!$F$18),'Recurring Schedule'!$O$18)=0),IF('Recurring Schedule'!$E$18="Weekdays",WEEKDAY($A249,2)&lt;=5,$A249='Recurring Schedule'!$F$18))),13,""))))</f>
        <v/>
      </c>
      <c r="O249">
        <f>IF('Recurring Schedule'!$C$19="","",IF('Recurring Schedule'!$F$19="","",IF(OR($A249&lt;'Recurring Schedule'!$F$19,$A249&gt;'Recurring Schedule'!$P$19),"",IF(IF('Recurring Schedule'!$N$19&gt;0,MOD($A249-'Recurring Schedule'!$F$19,'Recurring Schedule'!$N$19)=0,IF('Recurring Schedule'!$O$19&gt;0,AND(DAY($A249)=MIN(DAY('Recurring Schedule'!$F$19),DAY(EOMONTH($A249,0))),MOD((YEAR($A249)-YEAR('Recurring Schedule'!$F$19))*12+MONTH($A249)-MONTH('Recurring Schedule'!$F$19),'Recurring Schedule'!$O$19)=0),IF('Recurring Schedule'!$E$19="Weekdays",WEEKDAY($A249,2)&lt;=5,$A249='Recurring Schedule'!$F$19))),14,""))))</f>
        <v/>
      </c>
      <c r="P249">
        <f>IF('Recurring Schedule'!$C$20="","",IF('Recurring Schedule'!$F$20="","",IF(OR($A249&lt;'Recurring Schedule'!$F$20,$A249&gt;'Recurring Schedule'!$P$20),"",IF(IF('Recurring Schedule'!$N$20&gt;0,MOD($A249-'Recurring Schedule'!$F$20,'Recurring Schedule'!$N$20)=0,IF('Recurring Schedule'!$O$20&gt;0,AND(DAY($A249)=MIN(DAY('Recurring Schedule'!$F$20),DAY(EOMONTH($A249,0))),MOD((YEAR($A249)-YEAR('Recurring Schedule'!$F$20))*12+MONTH($A249)-MONTH('Recurring Schedule'!$F$20),'Recurring Schedule'!$O$20)=0),IF('Recurring Schedule'!$E$20="Weekdays",WEEKDAY($A249,2)&lt;=5,$A249='Recurring Schedule'!$F$20))),15,""))))</f>
        <v/>
      </c>
      <c r="Q249">
        <f>IF('Recurring Schedule'!$C$21="","",IF('Recurring Schedule'!$F$21="","",IF(OR($A249&lt;'Recurring Schedule'!$F$21,$A249&gt;'Recurring Schedule'!$P$21),"",IF(IF('Recurring Schedule'!$N$21&gt;0,MOD($A249-'Recurring Schedule'!$F$21,'Recurring Schedule'!$N$21)=0,IF('Recurring Schedule'!$O$21&gt;0,AND(DAY($A249)=MIN(DAY('Recurring Schedule'!$F$21),DAY(EOMONTH($A249,0))),MOD((YEAR($A249)-YEAR('Recurring Schedule'!$F$21))*12+MONTH($A249)-MONTH('Recurring Schedule'!$F$21),'Recurring Schedule'!$O$21)=0),IF('Recurring Schedule'!$E$21="Weekdays",WEEKDAY($A249,2)&lt;=5,$A249='Recurring Schedule'!$F$21))),16,""))))</f>
        <v/>
      </c>
      <c r="R249">
        <f>IF('Recurring Schedule'!$C$22="","",IF('Recurring Schedule'!$F$22="","",IF(OR($A249&lt;'Recurring Schedule'!$F$22,$A249&gt;'Recurring Schedule'!$P$22),"",IF(IF('Recurring Schedule'!$N$22&gt;0,MOD($A249-'Recurring Schedule'!$F$22,'Recurring Schedule'!$N$22)=0,IF('Recurring Schedule'!$O$22&gt;0,AND(DAY($A249)=MIN(DAY('Recurring Schedule'!$F$22),DAY(EOMONTH($A249,0))),MOD((YEAR($A249)-YEAR('Recurring Schedule'!$F$22))*12+MONTH($A249)-MONTH('Recurring Schedule'!$F$22),'Recurring Schedule'!$O$22)=0),IF('Recurring Schedule'!$E$22="Weekdays",WEEKDAY($A249,2)&lt;=5,$A249='Recurring Schedule'!$F$22))),17,""))))</f>
        <v/>
      </c>
      <c r="S249">
        <f>IF('Recurring Schedule'!$C$23="","",IF('Recurring Schedule'!$F$23="","",IF(OR($A249&lt;'Recurring Schedule'!$F$23,$A249&gt;'Recurring Schedule'!$P$23),"",IF(IF('Recurring Schedule'!$N$23&gt;0,MOD($A249-'Recurring Schedule'!$F$23,'Recurring Schedule'!$N$23)=0,IF('Recurring Schedule'!$O$23&gt;0,AND(DAY($A249)=MIN(DAY('Recurring Schedule'!$F$23),DAY(EOMONTH($A249,0))),MOD((YEAR($A249)-YEAR('Recurring Schedule'!$F$23))*12+MONTH($A249)-MONTH('Recurring Schedule'!$F$23),'Recurring Schedule'!$O$23)=0),IF('Recurring Schedule'!$E$23="Weekdays",WEEKDAY($A249,2)&lt;=5,$A249='Recurring Schedule'!$F$23))),18,""))))</f>
        <v/>
      </c>
      <c r="T249">
        <f>IF('Recurring Schedule'!$C$24="","",IF('Recurring Schedule'!$F$24="","",IF(OR($A249&lt;'Recurring Schedule'!$F$24,$A249&gt;'Recurring Schedule'!$P$24),"",IF(IF('Recurring Schedule'!$N$24&gt;0,MOD($A249-'Recurring Schedule'!$F$24,'Recurring Schedule'!$N$24)=0,IF('Recurring Schedule'!$O$24&gt;0,AND(DAY($A249)=MIN(DAY('Recurring Schedule'!$F$24),DAY(EOMONTH($A249,0))),MOD((YEAR($A249)-YEAR('Recurring Schedule'!$F$24))*12+MONTH($A249)-MONTH('Recurring Schedule'!$F$24),'Recurring Schedule'!$O$24)=0),IF('Recurring Schedule'!$E$24="Weekdays",WEEKDAY($A249,2)&lt;=5,$A249='Recurring Schedule'!$F$24))),19,""))))</f>
        <v/>
      </c>
      <c r="U249">
        <f>IF('Recurring Schedule'!$C$25="","",IF('Recurring Schedule'!$F$25="","",IF(OR($A249&lt;'Recurring Schedule'!$F$25,$A249&gt;'Recurring Schedule'!$P$25),"",IF(IF('Recurring Schedule'!$N$25&gt;0,MOD($A249-'Recurring Schedule'!$F$25,'Recurring Schedule'!$N$25)=0,IF('Recurring Schedule'!$O$25&gt;0,AND(DAY($A249)=MIN(DAY('Recurring Schedule'!$F$25),DAY(EOMONTH($A249,0))),MOD((YEAR($A249)-YEAR('Recurring Schedule'!$F$25))*12+MONTH($A249)-MONTH('Recurring Schedule'!$F$25),'Recurring Schedule'!$O$25)=0),IF('Recurring Schedule'!$E$25="Weekdays",WEEKDAY($A249,2)&lt;=5,$A249='Recurring Schedule'!$F$25))),20,""))))</f>
        <v/>
      </c>
      <c r="V249">
        <f>IF('Recurring Schedule'!$C$26="","",IF('Recurring Schedule'!$F$26="","",IF(OR($A249&lt;'Recurring Schedule'!$F$26,$A249&gt;'Recurring Schedule'!$P$26),"",IF(IF('Recurring Schedule'!$N$26&gt;0,MOD($A249-'Recurring Schedule'!$F$26,'Recurring Schedule'!$N$26)=0,IF('Recurring Schedule'!$O$26&gt;0,AND(DAY($A249)=MIN(DAY('Recurring Schedule'!$F$26),DAY(EOMONTH($A249,0))),MOD((YEAR($A249)-YEAR('Recurring Schedule'!$F$26))*12+MONTH($A249)-MONTH('Recurring Schedule'!$F$26),'Recurring Schedule'!$O$26)=0),IF('Recurring Schedule'!$E$26="Weekdays",WEEKDAY($A249,2)&lt;=5,$A249='Recurring Schedule'!$F$26))),21,""))))</f>
        <v/>
      </c>
      <c r="W249">
        <f>IF('Recurring Schedule'!$C$27="","",IF('Recurring Schedule'!$F$27="","",IF(OR($A249&lt;'Recurring Schedule'!$F$27,$A249&gt;'Recurring Schedule'!$P$27),"",IF(IF('Recurring Schedule'!$N$27&gt;0,MOD($A249-'Recurring Schedule'!$F$27,'Recurring Schedule'!$N$27)=0,IF('Recurring Schedule'!$O$27&gt;0,AND(DAY($A249)=MIN(DAY('Recurring Schedule'!$F$27),DAY(EOMONTH($A249,0))),MOD((YEAR($A249)-YEAR('Recurring Schedule'!$F$27))*12+MONTH($A249)-MONTH('Recurring Schedule'!$F$27),'Recurring Schedule'!$O$27)=0),IF('Recurring Schedule'!$E$27="Weekdays",WEEKDAY($A249,2)&lt;=5,$A249='Recurring Schedule'!$F$27))),22,""))))</f>
        <v/>
      </c>
      <c r="X249">
        <f>IF('Recurring Schedule'!$C$28="","",IF('Recurring Schedule'!$F$28="","",IF(OR($A249&lt;'Recurring Schedule'!$F$28,$A249&gt;'Recurring Schedule'!$P$28),"",IF(IF('Recurring Schedule'!$N$28&gt;0,MOD($A249-'Recurring Schedule'!$F$28,'Recurring Schedule'!$N$28)=0,IF('Recurring Schedule'!$O$28&gt;0,AND(DAY($A249)=MIN(DAY('Recurring Schedule'!$F$28),DAY(EOMONTH($A249,0))),MOD((YEAR($A249)-YEAR('Recurring Schedule'!$F$28))*12+MONTH($A249)-MONTH('Recurring Schedule'!$F$28),'Recurring Schedule'!$O$28)=0),IF('Recurring Schedule'!$E$28="Weekdays",WEEKDAY($A249,2)&lt;=5,$A249='Recurring Schedule'!$F$28))),23,""))))</f>
        <v/>
      </c>
      <c r="Y249">
        <f>IF('Recurring Schedule'!$C$29="","",IF('Recurring Schedule'!$F$29="","",IF(OR($A249&lt;'Recurring Schedule'!$F$29,$A249&gt;'Recurring Schedule'!$P$29),"",IF(IF('Recurring Schedule'!$N$29&gt;0,MOD($A249-'Recurring Schedule'!$F$29,'Recurring Schedule'!$N$29)=0,IF('Recurring Schedule'!$O$29&gt;0,AND(DAY($A249)=MIN(DAY('Recurring Schedule'!$F$29),DAY(EOMONTH($A249,0))),MOD((YEAR($A249)-YEAR('Recurring Schedule'!$F$29))*12+MONTH($A249)-MONTH('Recurring Schedule'!$F$29),'Recurring Schedule'!$O$29)=0),IF('Recurring Schedule'!$E$29="Weekdays",WEEKDAY($A249,2)&lt;=5,$A249='Recurring Schedule'!$F$29))),24,""))))</f>
        <v/>
      </c>
      <c r="Z249">
        <f>IF('Recurring Schedule'!$C$30="","",IF('Recurring Schedule'!$F$30="","",IF(OR($A249&lt;'Recurring Schedule'!$F$30,$A249&gt;'Recurring Schedule'!$P$30),"",IF(IF('Recurring Schedule'!$N$30&gt;0,MOD($A249-'Recurring Schedule'!$F$30,'Recurring Schedule'!$N$30)=0,IF('Recurring Schedule'!$O$30&gt;0,AND(DAY($A249)=MIN(DAY('Recurring Schedule'!$F$30),DAY(EOMONTH($A249,0))),MOD((YEAR($A249)-YEAR('Recurring Schedule'!$F$30))*12+MONTH($A249)-MONTH('Recurring Schedule'!$F$30),'Recurring Schedule'!$O$30)=0),IF('Recurring Schedule'!$E$30="Weekdays",WEEKDAY($A249,2)&lt;=5,$A249='Recurring Schedule'!$F$30))),25,""))))</f>
        <v/>
      </c>
      <c r="AA249">
        <f>IF('Recurring Schedule'!$C$31="","",IF('Recurring Schedule'!$F$31="","",IF(OR($A249&lt;'Recurring Schedule'!$F$31,$A249&gt;'Recurring Schedule'!$P$31),"",IF(IF('Recurring Schedule'!$N$31&gt;0,MOD($A249-'Recurring Schedule'!$F$31,'Recurring Schedule'!$N$31)=0,IF('Recurring Schedule'!$O$31&gt;0,AND(DAY($A249)=MIN(DAY('Recurring Schedule'!$F$31),DAY(EOMONTH($A249,0))),MOD((YEAR($A249)-YEAR('Recurring Schedule'!$F$31))*12+MONTH($A249)-MONTH('Recurring Schedule'!$F$31),'Recurring Schedule'!$O$31)=0),IF('Recurring Schedule'!$E$31="Weekdays",WEEKDAY($A249,2)&lt;=5,$A249='Recurring Schedule'!$F$31))),26,""))))</f>
        <v/>
      </c>
      <c r="AB249">
        <f>IF('Recurring Schedule'!$C$32="","",IF('Recurring Schedule'!$F$32="","",IF(OR($A249&lt;'Recurring Schedule'!$F$32,$A249&gt;'Recurring Schedule'!$P$32),"",IF(IF('Recurring Schedule'!$N$32&gt;0,MOD($A249-'Recurring Schedule'!$F$32,'Recurring Schedule'!$N$32)=0,IF('Recurring Schedule'!$O$32&gt;0,AND(DAY($A249)=MIN(DAY('Recurring Schedule'!$F$32),DAY(EOMONTH($A249,0))),MOD((YEAR($A249)-YEAR('Recurring Schedule'!$F$32))*12+MONTH($A249)-MONTH('Recurring Schedule'!$F$32),'Recurring Schedule'!$O$32)=0),IF('Recurring Schedule'!$E$32="Weekdays",WEEKDAY($A249,2)&lt;=5,$A249='Recurring Schedule'!$F$32))),27,""))))</f>
        <v/>
      </c>
      <c r="AC249">
        <f>IF('Recurring Schedule'!$C$33="","",IF('Recurring Schedule'!$F$33="","",IF(OR($A249&lt;'Recurring Schedule'!$F$33,$A249&gt;'Recurring Schedule'!$P$33),"",IF(IF('Recurring Schedule'!$N$33&gt;0,MOD($A249-'Recurring Schedule'!$F$33,'Recurring Schedule'!$N$33)=0,IF('Recurring Schedule'!$O$33&gt;0,AND(DAY($A249)=MIN(DAY('Recurring Schedule'!$F$33),DAY(EOMONTH($A249,0))),MOD((YEAR($A249)-YEAR('Recurring Schedule'!$F$33))*12+MONTH($A249)-MONTH('Recurring Schedule'!$F$33),'Recurring Schedule'!$O$33)=0),IF('Recurring Schedule'!$E$33="Weekdays",WEEKDAY($A249,2)&lt;=5,$A249='Recurring Schedule'!$F$33))),28,""))))</f>
        <v/>
      </c>
      <c r="AD249">
        <f>IF('Recurring Schedule'!$C$34="","",IF('Recurring Schedule'!$F$34="","",IF(OR($A249&lt;'Recurring Schedule'!$F$34,$A249&gt;'Recurring Schedule'!$P$34),"",IF(IF('Recurring Schedule'!$N$34&gt;0,MOD($A249-'Recurring Schedule'!$F$34,'Recurring Schedule'!$N$34)=0,IF('Recurring Schedule'!$O$34&gt;0,AND(DAY($A249)=MIN(DAY('Recurring Schedule'!$F$34),DAY(EOMONTH($A249,0))),MOD((YEAR($A249)-YEAR('Recurring Schedule'!$F$34))*12+MONTH($A249)-MONTH('Recurring Schedule'!$F$34),'Recurring Schedule'!$O$34)=0),IF('Recurring Schedule'!$E$34="Weekdays",WEEKDAY($A249,2)&lt;=5,$A249='Recurring Schedule'!$F$34))),29,""))))</f>
        <v/>
      </c>
      <c r="AE249">
        <f>IF('Recurring Schedule'!$C$35="","",IF('Recurring Schedule'!$F$35="","",IF(OR($A249&lt;'Recurring Schedule'!$F$35,$A249&gt;'Recurring Schedule'!$P$35),"",IF(IF('Recurring Schedule'!$N$35&gt;0,MOD($A249-'Recurring Schedule'!$F$35,'Recurring Schedule'!$N$35)=0,IF('Recurring Schedule'!$O$35&gt;0,AND(DAY($A249)=MIN(DAY('Recurring Schedule'!$F$35),DAY(EOMONTH($A249,0))),MOD((YEAR($A249)-YEAR('Recurring Schedule'!$F$35))*12+MONTH($A249)-MONTH('Recurring Schedule'!$F$35),'Recurring Schedule'!$O$35)=0),IF('Recurring Schedule'!$E$35="Weekdays",WEEKDAY($A249,2)&lt;=5,$A249='Recurring Schedule'!$F$35))),30,""))))</f>
        <v/>
      </c>
      <c r="AF249">
        <f>IF('Recurring Schedule'!$C$36="","",IF('Recurring Schedule'!$F$36="","",IF(OR($A249&lt;'Recurring Schedule'!$F$36,$A249&gt;'Recurring Schedule'!$P$36),"",IF(IF('Recurring Schedule'!$N$36&gt;0,MOD($A249-'Recurring Schedule'!$F$36,'Recurring Schedule'!$N$36)=0,IF('Recurring Schedule'!$O$36&gt;0,AND(DAY($A249)=MIN(DAY('Recurring Schedule'!$F$36),DAY(EOMONTH($A249,0))),MOD((YEAR($A249)-YEAR('Recurring Schedule'!$F$36))*12+MONTH($A249)-MONTH('Recurring Schedule'!$F$36),'Recurring Schedule'!$O$36)=0),IF('Recurring Schedule'!$E$36="Weekdays",WEEKDAY($A249,2)&lt;=5,$A249='Recurring Schedule'!$F$36))),31,""))))</f>
        <v/>
      </c>
      <c r="AG249">
        <f>IF('Recurring Schedule'!$C$37="","",IF('Recurring Schedule'!$F$37="","",IF(OR($A249&lt;'Recurring Schedule'!$F$37,$A249&gt;'Recurring Schedule'!$P$37),"",IF(IF('Recurring Schedule'!$N$37&gt;0,MOD($A249-'Recurring Schedule'!$F$37,'Recurring Schedule'!$N$37)=0,IF('Recurring Schedule'!$O$37&gt;0,AND(DAY($A249)=MIN(DAY('Recurring Schedule'!$F$37),DAY(EOMONTH($A249,0))),MOD((YEAR($A249)-YEAR('Recurring Schedule'!$F$37))*12+MONTH($A249)-MONTH('Recurring Schedule'!$F$37),'Recurring Schedule'!$O$37)=0),IF('Recurring Schedule'!$E$37="Weekdays",WEEKDAY($A249,2)&lt;=5,$A249='Recurring Schedule'!$F$37))),32,""))))</f>
        <v/>
      </c>
      <c r="AH249">
        <f>IF('Recurring Schedule'!$C$38="","",IF('Recurring Schedule'!$F$38="","",IF(OR($A249&lt;'Recurring Schedule'!$F$38,$A249&gt;'Recurring Schedule'!$P$38),"",IF(IF('Recurring Schedule'!$N$38&gt;0,MOD($A249-'Recurring Schedule'!$F$38,'Recurring Schedule'!$N$38)=0,IF('Recurring Schedule'!$O$38&gt;0,AND(DAY($A249)=MIN(DAY('Recurring Schedule'!$F$38),DAY(EOMONTH($A249,0))),MOD((YEAR($A249)-YEAR('Recurring Schedule'!$F$38))*12+MONTH($A249)-MONTH('Recurring Schedule'!$F$38),'Recurring Schedule'!$O$38)=0),IF('Recurring Schedule'!$E$38="Weekdays",WEEKDAY($A249,2)&lt;=5,$A249='Recurring Schedule'!$F$38))),33,""))))</f>
        <v/>
      </c>
      <c r="AI249">
        <f>IF('Recurring Schedule'!$C$39="","",IF('Recurring Schedule'!$F$39="","",IF(OR($A249&lt;'Recurring Schedule'!$F$39,$A249&gt;'Recurring Schedule'!$P$39),"",IF(IF('Recurring Schedule'!$N$39&gt;0,MOD($A249-'Recurring Schedule'!$F$39,'Recurring Schedule'!$N$39)=0,IF('Recurring Schedule'!$O$39&gt;0,AND(DAY($A249)=MIN(DAY('Recurring Schedule'!$F$39),DAY(EOMONTH($A249,0))),MOD((YEAR($A249)-YEAR('Recurring Schedule'!$F$39))*12+MONTH($A249)-MONTH('Recurring Schedule'!$F$39),'Recurring Schedule'!$O$39)=0),IF('Recurring Schedule'!$E$39="Weekdays",WEEKDAY($A249,2)&lt;=5,$A249='Recurring Schedule'!$F$39))),34,""))))</f>
        <v/>
      </c>
      <c r="AJ249">
        <f>IF('Recurring Schedule'!$C$40="","",IF('Recurring Schedule'!$F$40="","",IF(OR($A249&lt;'Recurring Schedule'!$F$40,$A249&gt;'Recurring Schedule'!$P$40),"",IF(IF('Recurring Schedule'!$N$40&gt;0,MOD($A249-'Recurring Schedule'!$F$40,'Recurring Schedule'!$N$40)=0,IF('Recurring Schedule'!$O$40&gt;0,AND(DAY($A249)=MIN(DAY('Recurring Schedule'!$F$40),DAY(EOMONTH($A249,0))),MOD((YEAR($A249)-YEAR('Recurring Schedule'!$F$40))*12+MONTH($A249)-MONTH('Recurring Schedule'!$F$40),'Recurring Schedule'!$O$40)=0),IF('Recurring Schedule'!$E$40="Weekdays",WEEKDAY($A249,2)&lt;=5,$A249='Recurring Schedule'!$F$40))),35,""))))</f>
        <v/>
      </c>
      <c r="AK249">
        <f>IF('Recurring Schedule'!$C$41="","",IF('Recurring Schedule'!$F$41="","",IF(OR($A249&lt;'Recurring Schedule'!$F$41,$A249&gt;'Recurring Schedule'!$P$41),"",IF(IF('Recurring Schedule'!$N$41&gt;0,MOD($A249-'Recurring Schedule'!$F$41,'Recurring Schedule'!$N$41)=0,IF('Recurring Schedule'!$O$41&gt;0,AND(DAY($A249)=MIN(DAY('Recurring Schedule'!$F$41),DAY(EOMONTH($A249,0))),MOD((YEAR($A249)-YEAR('Recurring Schedule'!$F$41))*12+MONTH($A249)-MONTH('Recurring Schedule'!$F$41),'Recurring Schedule'!$O$41)=0),IF('Recurring Schedule'!$E$41="Weekdays",WEEKDAY($A249,2)&lt;=5,$A249='Recurring Schedule'!$F$41))),36,""))))</f>
        <v/>
      </c>
      <c r="AL249">
        <f>IF('Recurring Schedule'!$C$42="","",IF('Recurring Schedule'!$F$42="","",IF(OR($A249&lt;'Recurring Schedule'!$F$42,$A249&gt;'Recurring Schedule'!$P$42),"",IF(IF('Recurring Schedule'!$N$42&gt;0,MOD($A249-'Recurring Schedule'!$F$42,'Recurring Schedule'!$N$42)=0,IF('Recurring Schedule'!$O$42&gt;0,AND(DAY($A249)=MIN(DAY('Recurring Schedule'!$F$42),DAY(EOMONTH($A249,0))),MOD((YEAR($A249)-YEAR('Recurring Schedule'!$F$42))*12+MONTH($A249)-MONTH('Recurring Schedule'!$F$42),'Recurring Schedule'!$O$42)=0),IF('Recurring Schedule'!$E$42="Weekdays",WEEKDAY($A249,2)&lt;=5,$A249='Recurring Schedule'!$F$42))),37,""))))</f>
        <v/>
      </c>
      <c r="AM249">
        <f>IF('Recurring Schedule'!$C$43="","",IF('Recurring Schedule'!$F$43="","",IF(OR($A249&lt;'Recurring Schedule'!$F$43,$A249&gt;'Recurring Schedule'!$P$43),"",IF(IF('Recurring Schedule'!$N$43&gt;0,MOD($A249-'Recurring Schedule'!$F$43,'Recurring Schedule'!$N$43)=0,IF('Recurring Schedule'!$O$43&gt;0,AND(DAY($A249)=MIN(DAY('Recurring Schedule'!$F$43),DAY(EOMONTH($A249,0))),MOD((YEAR($A249)-YEAR('Recurring Schedule'!$F$43))*12+MONTH($A249)-MONTH('Recurring Schedule'!$F$43),'Recurring Schedule'!$O$43)=0),IF('Recurring Schedule'!$E$43="Weekdays",WEEKDAY($A249,2)&lt;=5,$A249='Recurring Schedule'!$F$43))),38,""))))</f>
        <v/>
      </c>
      <c r="AN249">
        <f>IF('Recurring Schedule'!$C$44="","",IF('Recurring Schedule'!$F$44="","",IF(OR($A249&lt;'Recurring Schedule'!$F$44,$A249&gt;'Recurring Schedule'!$P$44),"",IF(IF('Recurring Schedule'!$N$44&gt;0,MOD($A249-'Recurring Schedule'!$F$44,'Recurring Schedule'!$N$44)=0,IF('Recurring Schedule'!$O$44&gt;0,AND(DAY($A249)=MIN(DAY('Recurring Schedule'!$F$44),DAY(EOMONTH($A249,0))),MOD((YEAR($A249)-YEAR('Recurring Schedule'!$F$44))*12+MONTH($A249)-MONTH('Recurring Schedule'!$F$44),'Recurring Schedule'!$O$44)=0),IF('Recurring Schedule'!$E$44="Weekdays",WEEKDAY($A249,2)&lt;=5,$A249='Recurring Schedule'!$F$44))),39,""))))</f>
        <v/>
      </c>
      <c r="AO249">
        <f>IF('Recurring Schedule'!$C$45="","",IF('Recurring Schedule'!$F$45="","",IF(OR($A249&lt;'Recurring Schedule'!$F$45,$A249&gt;'Recurring Schedule'!$P$45),"",IF(IF('Recurring Schedule'!$N$45&gt;0,MOD($A249-'Recurring Schedule'!$F$45,'Recurring Schedule'!$N$45)=0,IF('Recurring Schedule'!$O$45&gt;0,AND(DAY($A249)=MIN(DAY('Recurring Schedule'!$F$45),DAY(EOMONTH($A249,0))),MOD((YEAR($A249)-YEAR('Recurring Schedule'!$F$45))*12+MONTH($A249)-MONTH('Recurring Schedule'!$F$45),'Recurring Schedule'!$O$45)=0),IF('Recurring Schedule'!$E$45="Weekdays",WEEKDAY($A249,2)&lt;=5,$A249='Recurring Schedule'!$F$45))),40,""))))</f>
        <v/>
      </c>
      <c r="AP249">
        <f>COUNT(B249:AO249)</f>
        <v/>
      </c>
      <c r="AQ249">
        <f>AQ248+AP248</f>
        <v/>
      </c>
      <c r="AS249" t="inlineStr">
        <is>
          <t>R</t>
        </is>
      </c>
      <c r="AT249" t="n">
        <v>253</v>
      </c>
      <c r="AU249">
        <f>'Recurring Log'!C253&amp;""</f>
        <v/>
      </c>
      <c r="AV249">
        <f>'Recurring Log'!D253&amp;""</f>
        <v/>
      </c>
      <c r="AW249">
        <f>IF('Recurring Log'!E253="","",'Recurring Log'!E253)</f>
        <v/>
      </c>
      <c r="AX249">
        <f>IF('Recurring Log'!G253="","",'Recurring Log'!G253)</f>
        <v/>
      </c>
      <c r="AY249">
        <f>IF('Recurring Log'!H253="","",'Recurring Log'!H253)</f>
        <v/>
      </c>
      <c r="AZ249">
        <f>IF(AU249="","",IF('Recurring Log'!J253="","Not Started",'Recurring Log'!J253))</f>
        <v/>
      </c>
      <c r="BA249">
        <f>'Recurring Log'!L253&amp;""</f>
        <v/>
      </c>
      <c r="BB249">
        <f>'Recurring Log'!M253&amp;""</f>
        <v/>
      </c>
      <c r="BC249">
        <f>'Recurring Log'!N253&amp;""</f>
        <v/>
      </c>
      <c r="BD249">
        <f>'Recurring Log'!O253&amp;""</f>
        <v/>
      </c>
      <c r="BE249">
        <f>IF('Recurring Log'!K253="","",'Recurring Log'!K253)</f>
        <v/>
      </c>
      <c r="BF249">
        <f>IFERROR(MATCH(BA249,Setup!$L$6:$L$9,0),5)</f>
        <v/>
      </c>
      <c r="BG249">
        <f>IF(OR(AZ249="Done",AZ249="Cancelled"),1,0)</f>
        <v/>
      </c>
      <c r="BH249">
        <f>IF(AND(AU249&lt;&gt;"",ISNUMBER(AW249)),1,0)</f>
        <v/>
      </c>
      <c r="BI249">
        <f>IF(BH249=0,0,IF(AND(AW249&gt;='Tasks Filter'!$F$3,AW249&lt;='Tasks Filter'!$F$4,OR('Tasks Filter'!$I$3="",ISNUMBER(SEARCH('Tasks Filter'!$I$3,AU249))),OR('Tasks Filter'!$I$4="",BF249=IFERROR(MATCH('Tasks Filter'!$I$4,Setup!$L$6:$L$9,0),0)),OR('Tasks Filter'!$I$5="Both",AND('Tasks Filter'!$I$5="Yes",BB249="✓"),AND('Tasks Filter'!$I$5="No",BB249&lt;&gt;"✓")),OR('Tasks Filter'!$L$3="",AV249='Tasks Filter'!$L$3),OR('Tasks Filter'!$L$4="",AZ249='Tasks Filter'!$L$4),OR('Tasks Filter'!$L$5="",BC249='Tasks Filter'!$L$5),OR('Tasks Filter'!$O$3="",BD249='Tasks Filter'!$O$3),OR('Tasks Filter'!$O$4="Yes",BG249=0)),1,0))</f>
        <v/>
      </c>
      <c r="BJ249">
        <f>IF(BH249=0,"",IF('Tasks Filter'!$F$6="Descending",-1,1)*CHOOSE(MATCH('Tasks Filter'!$F$5,Lists!$G$2:$G$6,0),AW249,BF249,IFERROR(MATCH(AV249,Setup!$F$6:$F$15,0),99),IFERROR(MATCH(BC249,Setup!$H$6:$H$15,0),99),IFERROR(MATCH(AZ249,Setup!$J$6:$J$11,0),99))*1E+9+(AW249-40000)*10000+248)</f>
        <v/>
      </c>
      <c r="BK249">
        <f>IF(BI249=1,BJ249,"")</f>
        <v/>
      </c>
      <c r="BL249">
        <f>IF(AND(BH249=1,BG249=0,N(AW249)&lt;Setup!$D$7),(AW249-40000)*10000+248,"")</f>
        <v/>
      </c>
      <c r="BM249">
        <f>IF(AND(BH249=1,AZ249&lt;&gt;"Cancelled",N(AW249)&gt;=Dashboard!$AB$3,N(AW249)&lt;=Dashboard!$AB$3+6),(AW249-40000)*100000+BF249*10000+248,"")</f>
        <v/>
      </c>
      <c r="BN249">
        <f>IF(AND(BH249=1,AZ249&lt;&gt;"Cancelled"),BF249*10000+248,"")</f>
        <v/>
      </c>
    </row>
    <row r="250">
      <c r="A250">
        <f>Setup!$D$5+248</f>
        <v/>
      </c>
      <c r="B250">
        <f>IF('Recurring Schedule'!$C$6="","",IF('Recurring Schedule'!$F$6="","",IF(OR($A250&lt;'Recurring Schedule'!$F$6,$A250&gt;'Recurring Schedule'!$P$6),"",IF(IF('Recurring Schedule'!$N$6&gt;0,MOD($A250-'Recurring Schedule'!$F$6,'Recurring Schedule'!$N$6)=0,IF('Recurring Schedule'!$O$6&gt;0,AND(DAY($A250)=MIN(DAY('Recurring Schedule'!$F$6),DAY(EOMONTH($A250,0))),MOD((YEAR($A250)-YEAR('Recurring Schedule'!$F$6))*12+MONTH($A250)-MONTH('Recurring Schedule'!$F$6),'Recurring Schedule'!$O$6)=0),IF('Recurring Schedule'!$E$6="Weekdays",WEEKDAY($A250,2)&lt;=5,$A250='Recurring Schedule'!$F$6))),1,""))))</f>
        <v/>
      </c>
      <c r="C250">
        <f>IF('Recurring Schedule'!$C$7="","",IF('Recurring Schedule'!$F$7="","",IF(OR($A250&lt;'Recurring Schedule'!$F$7,$A250&gt;'Recurring Schedule'!$P$7),"",IF(IF('Recurring Schedule'!$N$7&gt;0,MOD($A250-'Recurring Schedule'!$F$7,'Recurring Schedule'!$N$7)=0,IF('Recurring Schedule'!$O$7&gt;0,AND(DAY($A250)=MIN(DAY('Recurring Schedule'!$F$7),DAY(EOMONTH($A250,0))),MOD((YEAR($A250)-YEAR('Recurring Schedule'!$F$7))*12+MONTH($A250)-MONTH('Recurring Schedule'!$F$7),'Recurring Schedule'!$O$7)=0),IF('Recurring Schedule'!$E$7="Weekdays",WEEKDAY($A250,2)&lt;=5,$A250='Recurring Schedule'!$F$7))),2,""))))</f>
        <v/>
      </c>
      <c r="D250">
        <f>IF('Recurring Schedule'!$C$8="","",IF('Recurring Schedule'!$F$8="","",IF(OR($A250&lt;'Recurring Schedule'!$F$8,$A250&gt;'Recurring Schedule'!$P$8),"",IF(IF('Recurring Schedule'!$N$8&gt;0,MOD($A250-'Recurring Schedule'!$F$8,'Recurring Schedule'!$N$8)=0,IF('Recurring Schedule'!$O$8&gt;0,AND(DAY($A250)=MIN(DAY('Recurring Schedule'!$F$8),DAY(EOMONTH($A250,0))),MOD((YEAR($A250)-YEAR('Recurring Schedule'!$F$8))*12+MONTH($A250)-MONTH('Recurring Schedule'!$F$8),'Recurring Schedule'!$O$8)=0),IF('Recurring Schedule'!$E$8="Weekdays",WEEKDAY($A250,2)&lt;=5,$A250='Recurring Schedule'!$F$8))),3,""))))</f>
        <v/>
      </c>
      <c r="E250">
        <f>IF('Recurring Schedule'!$C$9="","",IF('Recurring Schedule'!$F$9="","",IF(OR($A250&lt;'Recurring Schedule'!$F$9,$A250&gt;'Recurring Schedule'!$P$9),"",IF(IF('Recurring Schedule'!$N$9&gt;0,MOD($A250-'Recurring Schedule'!$F$9,'Recurring Schedule'!$N$9)=0,IF('Recurring Schedule'!$O$9&gt;0,AND(DAY($A250)=MIN(DAY('Recurring Schedule'!$F$9),DAY(EOMONTH($A250,0))),MOD((YEAR($A250)-YEAR('Recurring Schedule'!$F$9))*12+MONTH($A250)-MONTH('Recurring Schedule'!$F$9),'Recurring Schedule'!$O$9)=0),IF('Recurring Schedule'!$E$9="Weekdays",WEEKDAY($A250,2)&lt;=5,$A250='Recurring Schedule'!$F$9))),4,""))))</f>
        <v/>
      </c>
      <c r="F250">
        <f>IF('Recurring Schedule'!$C$10="","",IF('Recurring Schedule'!$F$10="","",IF(OR($A250&lt;'Recurring Schedule'!$F$10,$A250&gt;'Recurring Schedule'!$P$10),"",IF(IF('Recurring Schedule'!$N$10&gt;0,MOD($A250-'Recurring Schedule'!$F$10,'Recurring Schedule'!$N$10)=0,IF('Recurring Schedule'!$O$10&gt;0,AND(DAY($A250)=MIN(DAY('Recurring Schedule'!$F$10),DAY(EOMONTH($A250,0))),MOD((YEAR($A250)-YEAR('Recurring Schedule'!$F$10))*12+MONTH($A250)-MONTH('Recurring Schedule'!$F$10),'Recurring Schedule'!$O$10)=0),IF('Recurring Schedule'!$E$10="Weekdays",WEEKDAY($A250,2)&lt;=5,$A250='Recurring Schedule'!$F$10))),5,""))))</f>
        <v/>
      </c>
      <c r="G250">
        <f>IF('Recurring Schedule'!$C$11="","",IF('Recurring Schedule'!$F$11="","",IF(OR($A250&lt;'Recurring Schedule'!$F$11,$A250&gt;'Recurring Schedule'!$P$11),"",IF(IF('Recurring Schedule'!$N$11&gt;0,MOD($A250-'Recurring Schedule'!$F$11,'Recurring Schedule'!$N$11)=0,IF('Recurring Schedule'!$O$11&gt;0,AND(DAY($A250)=MIN(DAY('Recurring Schedule'!$F$11),DAY(EOMONTH($A250,0))),MOD((YEAR($A250)-YEAR('Recurring Schedule'!$F$11))*12+MONTH($A250)-MONTH('Recurring Schedule'!$F$11),'Recurring Schedule'!$O$11)=0),IF('Recurring Schedule'!$E$11="Weekdays",WEEKDAY($A250,2)&lt;=5,$A250='Recurring Schedule'!$F$11))),6,""))))</f>
        <v/>
      </c>
      <c r="H250">
        <f>IF('Recurring Schedule'!$C$12="","",IF('Recurring Schedule'!$F$12="","",IF(OR($A250&lt;'Recurring Schedule'!$F$12,$A250&gt;'Recurring Schedule'!$P$12),"",IF(IF('Recurring Schedule'!$N$12&gt;0,MOD($A250-'Recurring Schedule'!$F$12,'Recurring Schedule'!$N$12)=0,IF('Recurring Schedule'!$O$12&gt;0,AND(DAY($A250)=MIN(DAY('Recurring Schedule'!$F$12),DAY(EOMONTH($A250,0))),MOD((YEAR($A250)-YEAR('Recurring Schedule'!$F$12))*12+MONTH($A250)-MONTH('Recurring Schedule'!$F$12),'Recurring Schedule'!$O$12)=0),IF('Recurring Schedule'!$E$12="Weekdays",WEEKDAY($A250,2)&lt;=5,$A250='Recurring Schedule'!$F$12))),7,""))))</f>
        <v/>
      </c>
      <c r="I250">
        <f>IF('Recurring Schedule'!$C$13="","",IF('Recurring Schedule'!$F$13="","",IF(OR($A250&lt;'Recurring Schedule'!$F$13,$A250&gt;'Recurring Schedule'!$P$13),"",IF(IF('Recurring Schedule'!$N$13&gt;0,MOD($A250-'Recurring Schedule'!$F$13,'Recurring Schedule'!$N$13)=0,IF('Recurring Schedule'!$O$13&gt;0,AND(DAY($A250)=MIN(DAY('Recurring Schedule'!$F$13),DAY(EOMONTH($A250,0))),MOD((YEAR($A250)-YEAR('Recurring Schedule'!$F$13))*12+MONTH($A250)-MONTH('Recurring Schedule'!$F$13),'Recurring Schedule'!$O$13)=0),IF('Recurring Schedule'!$E$13="Weekdays",WEEKDAY($A250,2)&lt;=5,$A250='Recurring Schedule'!$F$13))),8,""))))</f>
        <v/>
      </c>
      <c r="J250">
        <f>IF('Recurring Schedule'!$C$14="","",IF('Recurring Schedule'!$F$14="","",IF(OR($A250&lt;'Recurring Schedule'!$F$14,$A250&gt;'Recurring Schedule'!$P$14),"",IF(IF('Recurring Schedule'!$N$14&gt;0,MOD($A250-'Recurring Schedule'!$F$14,'Recurring Schedule'!$N$14)=0,IF('Recurring Schedule'!$O$14&gt;0,AND(DAY($A250)=MIN(DAY('Recurring Schedule'!$F$14),DAY(EOMONTH($A250,0))),MOD((YEAR($A250)-YEAR('Recurring Schedule'!$F$14))*12+MONTH($A250)-MONTH('Recurring Schedule'!$F$14),'Recurring Schedule'!$O$14)=0),IF('Recurring Schedule'!$E$14="Weekdays",WEEKDAY($A250,2)&lt;=5,$A250='Recurring Schedule'!$F$14))),9,""))))</f>
        <v/>
      </c>
      <c r="K250">
        <f>IF('Recurring Schedule'!$C$15="","",IF('Recurring Schedule'!$F$15="","",IF(OR($A250&lt;'Recurring Schedule'!$F$15,$A250&gt;'Recurring Schedule'!$P$15),"",IF(IF('Recurring Schedule'!$N$15&gt;0,MOD($A250-'Recurring Schedule'!$F$15,'Recurring Schedule'!$N$15)=0,IF('Recurring Schedule'!$O$15&gt;0,AND(DAY($A250)=MIN(DAY('Recurring Schedule'!$F$15),DAY(EOMONTH($A250,0))),MOD((YEAR($A250)-YEAR('Recurring Schedule'!$F$15))*12+MONTH($A250)-MONTH('Recurring Schedule'!$F$15),'Recurring Schedule'!$O$15)=0),IF('Recurring Schedule'!$E$15="Weekdays",WEEKDAY($A250,2)&lt;=5,$A250='Recurring Schedule'!$F$15))),10,""))))</f>
        <v/>
      </c>
      <c r="L250">
        <f>IF('Recurring Schedule'!$C$16="","",IF('Recurring Schedule'!$F$16="","",IF(OR($A250&lt;'Recurring Schedule'!$F$16,$A250&gt;'Recurring Schedule'!$P$16),"",IF(IF('Recurring Schedule'!$N$16&gt;0,MOD($A250-'Recurring Schedule'!$F$16,'Recurring Schedule'!$N$16)=0,IF('Recurring Schedule'!$O$16&gt;0,AND(DAY($A250)=MIN(DAY('Recurring Schedule'!$F$16),DAY(EOMONTH($A250,0))),MOD((YEAR($A250)-YEAR('Recurring Schedule'!$F$16))*12+MONTH($A250)-MONTH('Recurring Schedule'!$F$16),'Recurring Schedule'!$O$16)=0),IF('Recurring Schedule'!$E$16="Weekdays",WEEKDAY($A250,2)&lt;=5,$A250='Recurring Schedule'!$F$16))),11,""))))</f>
        <v/>
      </c>
      <c r="M250">
        <f>IF('Recurring Schedule'!$C$17="","",IF('Recurring Schedule'!$F$17="","",IF(OR($A250&lt;'Recurring Schedule'!$F$17,$A250&gt;'Recurring Schedule'!$P$17),"",IF(IF('Recurring Schedule'!$N$17&gt;0,MOD($A250-'Recurring Schedule'!$F$17,'Recurring Schedule'!$N$17)=0,IF('Recurring Schedule'!$O$17&gt;0,AND(DAY($A250)=MIN(DAY('Recurring Schedule'!$F$17),DAY(EOMONTH($A250,0))),MOD((YEAR($A250)-YEAR('Recurring Schedule'!$F$17))*12+MONTH($A250)-MONTH('Recurring Schedule'!$F$17),'Recurring Schedule'!$O$17)=0),IF('Recurring Schedule'!$E$17="Weekdays",WEEKDAY($A250,2)&lt;=5,$A250='Recurring Schedule'!$F$17))),12,""))))</f>
        <v/>
      </c>
      <c r="N250">
        <f>IF('Recurring Schedule'!$C$18="","",IF('Recurring Schedule'!$F$18="","",IF(OR($A250&lt;'Recurring Schedule'!$F$18,$A250&gt;'Recurring Schedule'!$P$18),"",IF(IF('Recurring Schedule'!$N$18&gt;0,MOD($A250-'Recurring Schedule'!$F$18,'Recurring Schedule'!$N$18)=0,IF('Recurring Schedule'!$O$18&gt;0,AND(DAY($A250)=MIN(DAY('Recurring Schedule'!$F$18),DAY(EOMONTH($A250,0))),MOD((YEAR($A250)-YEAR('Recurring Schedule'!$F$18))*12+MONTH($A250)-MONTH('Recurring Schedule'!$F$18),'Recurring Schedule'!$O$18)=0),IF('Recurring Schedule'!$E$18="Weekdays",WEEKDAY($A250,2)&lt;=5,$A250='Recurring Schedule'!$F$18))),13,""))))</f>
        <v/>
      </c>
      <c r="O250">
        <f>IF('Recurring Schedule'!$C$19="","",IF('Recurring Schedule'!$F$19="","",IF(OR($A250&lt;'Recurring Schedule'!$F$19,$A250&gt;'Recurring Schedule'!$P$19),"",IF(IF('Recurring Schedule'!$N$19&gt;0,MOD($A250-'Recurring Schedule'!$F$19,'Recurring Schedule'!$N$19)=0,IF('Recurring Schedule'!$O$19&gt;0,AND(DAY($A250)=MIN(DAY('Recurring Schedule'!$F$19),DAY(EOMONTH($A250,0))),MOD((YEAR($A250)-YEAR('Recurring Schedule'!$F$19))*12+MONTH($A250)-MONTH('Recurring Schedule'!$F$19),'Recurring Schedule'!$O$19)=0),IF('Recurring Schedule'!$E$19="Weekdays",WEEKDAY($A250,2)&lt;=5,$A250='Recurring Schedule'!$F$19))),14,""))))</f>
        <v/>
      </c>
      <c r="P250">
        <f>IF('Recurring Schedule'!$C$20="","",IF('Recurring Schedule'!$F$20="","",IF(OR($A250&lt;'Recurring Schedule'!$F$20,$A250&gt;'Recurring Schedule'!$P$20),"",IF(IF('Recurring Schedule'!$N$20&gt;0,MOD($A250-'Recurring Schedule'!$F$20,'Recurring Schedule'!$N$20)=0,IF('Recurring Schedule'!$O$20&gt;0,AND(DAY($A250)=MIN(DAY('Recurring Schedule'!$F$20),DAY(EOMONTH($A250,0))),MOD((YEAR($A250)-YEAR('Recurring Schedule'!$F$20))*12+MONTH($A250)-MONTH('Recurring Schedule'!$F$20),'Recurring Schedule'!$O$20)=0),IF('Recurring Schedule'!$E$20="Weekdays",WEEKDAY($A250,2)&lt;=5,$A250='Recurring Schedule'!$F$20))),15,""))))</f>
        <v/>
      </c>
      <c r="Q250">
        <f>IF('Recurring Schedule'!$C$21="","",IF('Recurring Schedule'!$F$21="","",IF(OR($A250&lt;'Recurring Schedule'!$F$21,$A250&gt;'Recurring Schedule'!$P$21),"",IF(IF('Recurring Schedule'!$N$21&gt;0,MOD($A250-'Recurring Schedule'!$F$21,'Recurring Schedule'!$N$21)=0,IF('Recurring Schedule'!$O$21&gt;0,AND(DAY($A250)=MIN(DAY('Recurring Schedule'!$F$21),DAY(EOMONTH($A250,0))),MOD((YEAR($A250)-YEAR('Recurring Schedule'!$F$21))*12+MONTH($A250)-MONTH('Recurring Schedule'!$F$21),'Recurring Schedule'!$O$21)=0),IF('Recurring Schedule'!$E$21="Weekdays",WEEKDAY($A250,2)&lt;=5,$A250='Recurring Schedule'!$F$21))),16,""))))</f>
        <v/>
      </c>
      <c r="R250">
        <f>IF('Recurring Schedule'!$C$22="","",IF('Recurring Schedule'!$F$22="","",IF(OR($A250&lt;'Recurring Schedule'!$F$22,$A250&gt;'Recurring Schedule'!$P$22),"",IF(IF('Recurring Schedule'!$N$22&gt;0,MOD($A250-'Recurring Schedule'!$F$22,'Recurring Schedule'!$N$22)=0,IF('Recurring Schedule'!$O$22&gt;0,AND(DAY($A250)=MIN(DAY('Recurring Schedule'!$F$22),DAY(EOMONTH($A250,0))),MOD((YEAR($A250)-YEAR('Recurring Schedule'!$F$22))*12+MONTH($A250)-MONTH('Recurring Schedule'!$F$22),'Recurring Schedule'!$O$22)=0),IF('Recurring Schedule'!$E$22="Weekdays",WEEKDAY($A250,2)&lt;=5,$A250='Recurring Schedule'!$F$22))),17,""))))</f>
        <v/>
      </c>
      <c r="S250">
        <f>IF('Recurring Schedule'!$C$23="","",IF('Recurring Schedule'!$F$23="","",IF(OR($A250&lt;'Recurring Schedule'!$F$23,$A250&gt;'Recurring Schedule'!$P$23),"",IF(IF('Recurring Schedule'!$N$23&gt;0,MOD($A250-'Recurring Schedule'!$F$23,'Recurring Schedule'!$N$23)=0,IF('Recurring Schedule'!$O$23&gt;0,AND(DAY($A250)=MIN(DAY('Recurring Schedule'!$F$23),DAY(EOMONTH($A250,0))),MOD((YEAR($A250)-YEAR('Recurring Schedule'!$F$23))*12+MONTH($A250)-MONTH('Recurring Schedule'!$F$23),'Recurring Schedule'!$O$23)=0),IF('Recurring Schedule'!$E$23="Weekdays",WEEKDAY($A250,2)&lt;=5,$A250='Recurring Schedule'!$F$23))),18,""))))</f>
        <v/>
      </c>
      <c r="T250">
        <f>IF('Recurring Schedule'!$C$24="","",IF('Recurring Schedule'!$F$24="","",IF(OR($A250&lt;'Recurring Schedule'!$F$24,$A250&gt;'Recurring Schedule'!$P$24),"",IF(IF('Recurring Schedule'!$N$24&gt;0,MOD($A250-'Recurring Schedule'!$F$24,'Recurring Schedule'!$N$24)=0,IF('Recurring Schedule'!$O$24&gt;0,AND(DAY($A250)=MIN(DAY('Recurring Schedule'!$F$24),DAY(EOMONTH($A250,0))),MOD((YEAR($A250)-YEAR('Recurring Schedule'!$F$24))*12+MONTH($A250)-MONTH('Recurring Schedule'!$F$24),'Recurring Schedule'!$O$24)=0),IF('Recurring Schedule'!$E$24="Weekdays",WEEKDAY($A250,2)&lt;=5,$A250='Recurring Schedule'!$F$24))),19,""))))</f>
        <v/>
      </c>
      <c r="U250">
        <f>IF('Recurring Schedule'!$C$25="","",IF('Recurring Schedule'!$F$25="","",IF(OR($A250&lt;'Recurring Schedule'!$F$25,$A250&gt;'Recurring Schedule'!$P$25),"",IF(IF('Recurring Schedule'!$N$25&gt;0,MOD($A250-'Recurring Schedule'!$F$25,'Recurring Schedule'!$N$25)=0,IF('Recurring Schedule'!$O$25&gt;0,AND(DAY($A250)=MIN(DAY('Recurring Schedule'!$F$25),DAY(EOMONTH($A250,0))),MOD((YEAR($A250)-YEAR('Recurring Schedule'!$F$25))*12+MONTH($A250)-MONTH('Recurring Schedule'!$F$25),'Recurring Schedule'!$O$25)=0),IF('Recurring Schedule'!$E$25="Weekdays",WEEKDAY($A250,2)&lt;=5,$A250='Recurring Schedule'!$F$25))),20,""))))</f>
        <v/>
      </c>
      <c r="V250">
        <f>IF('Recurring Schedule'!$C$26="","",IF('Recurring Schedule'!$F$26="","",IF(OR($A250&lt;'Recurring Schedule'!$F$26,$A250&gt;'Recurring Schedule'!$P$26),"",IF(IF('Recurring Schedule'!$N$26&gt;0,MOD($A250-'Recurring Schedule'!$F$26,'Recurring Schedule'!$N$26)=0,IF('Recurring Schedule'!$O$26&gt;0,AND(DAY($A250)=MIN(DAY('Recurring Schedule'!$F$26),DAY(EOMONTH($A250,0))),MOD((YEAR($A250)-YEAR('Recurring Schedule'!$F$26))*12+MONTH($A250)-MONTH('Recurring Schedule'!$F$26),'Recurring Schedule'!$O$26)=0),IF('Recurring Schedule'!$E$26="Weekdays",WEEKDAY($A250,2)&lt;=5,$A250='Recurring Schedule'!$F$26))),21,""))))</f>
        <v/>
      </c>
      <c r="W250">
        <f>IF('Recurring Schedule'!$C$27="","",IF('Recurring Schedule'!$F$27="","",IF(OR($A250&lt;'Recurring Schedule'!$F$27,$A250&gt;'Recurring Schedule'!$P$27),"",IF(IF('Recurring Schedule'!$N$27&gt;0,MOD($A250-'Recurring Schedule'!$F$27,'Recurring Schedule'!$N$27)=0,IF('Recurring Schedule'!$O$27&gt;0,AND(DAY($A250)=MIN(DAY('Recurring Schedule'!$F$27),DAY(EOMONTH($A250,0))),MOD((YEAR($A250)-YEAR('Recurring Schedule'!$F$27))*12+MONTH($A250)-MONTH('Recurring Schedule'!$F$27),'Recurring Schedule'!$O$27)=0),IF('Recurring Schedule'!$E$27="Weekdays",WEEKDAY($A250,2)&lt;=5,$A250='Recurring Schedule'!$F$27))),22,""))))</f>
        <v/>
      </c>
      <c r="X250">
        <f>IF('Recurring Schedule'!$C$28="","",IF('Recurring Schedule'!$F$28="","",IF(OR($A250&lt;'Recurring Schedule'!$F$28,$A250&gt;'Recurring Schedule'!$P$28),"",IF(IF('Recurring Schedule'!$N$28&gt;0,MOD($A250-'Recurring Schedule'!$F$28,'Recurring Schedule'!$N$28)=0,IF('Recurring Schedule'!$O$28&gt;0,AND(DAY($A250)=MIN(DAY('Recurring Schedule'!$F$28),DAY(EOMONTH($A250,0))),MOD((YEAR($A250)-YEAR('Recurring Schedule'!$F$28))*12+MONTH($A250)-MONTH('Recurring Schedule'!$F$28),'Recurring Schedule'!$O$28)=0),IF('Recurring Schedule'!$E$28="Weekdays",WEEKDAY($A250,2)&lt;=5,$A250='Recurring Schedule'!$F$28))),23,""))))</f>
        <v/>
      </c>
      <c r="Y250">
        <f>IF('Recurring Schedule'!$C$29="","",IF('Recurring Schedule'!$F$29="","",IF(OR($A250&lt;'Recurring Schedule'!$F$29,$A250&gt;'Recurring Schedule'!$P$29),"",IF(IF('Recurring Schedule'!$N$29&gt;0,MOD($A250-'Recurring Schedule'!$F$29,'Recurring Schedule'!$N$29)=0,IF('Recurring Schedule'!$O$29&gt;0,AND(DAY($A250)=MIN(DAY('Recurring Schedule'!$F$29),DAY(EOMONTH($A250,0))),MOD((YEAR($A250)-YEAR('Recurring Schedule'!$F$29))*12+MONTH($A250)-MONTH('Recurring Schedule'!$F$29),'Recurring Schedule'!$O$29)=0),IF('Recurring Schedule'!$E$29="Weekdays",WEEKDAY($A250,2)&lt;=5,$A250='Recurring Schedule'!$F$29))),24,""))))</f>
        <v/>
      </c>
      <c r="Z250">
        <f>IF('Recurring Schedule'!$C$30="","",IF('Recurring Schedule'!$F$30="","",IF(OR($A250&lt;'Recurring Schedule'!$F$30,$A250&gt;'Recurring Schedule'!$P$30),"",IF(IF('Recurring Schedule'!$N$30&gt;0,MOD($A250-'Recurring Schedule'!$F$30,'Recurring Schedule'!$N$30)=0,IF('Recurring Schedule'!$O$30&gt;0,AND(DAY($A250)=MIN(DAY('Recurring Schedule'!$F$30),DAY(EOMONTH($A250,0))),MOD((YEAR($A250)-YEAR('Recurring Schedule'!$F$30))*12+MONTH($A250)-MONTH('Recurring Schedule'!$F$30),'Recurring Schedule'!$O$30)=0),IF('Recurring Schedule'!$E$30="Weekdays",WEEKDAY($A250,2)&lt;=5,$A250='Recurring Schedule'!$F$30))),25,""))))</f>
        <v/>
      </c>
      <c r="AA250">
        <f>IF('Recurring Schedule'!$C$31="","",IF('Recurring Schedule'!$F$31="","",IF(OR($A250&lt;'Recurring Schedule'!$F$31,$A250&gt;'Recurring Schedule'!$P$31),"",IF(IF('Recurring Schedule'!$N$31&gt;0,MOD($A250-'Recurring Schedule'!$F$31,'Recurring Schedule'!$N$31)=0,IF('Recurring Schedule'!$O$31&gt;0,AND(DAY($A250)=MIN(DAY('Recurring Schedule'!$F$31),DAY(EOMONTH($A250,0))),MOD((YEAR($A250)-YEAR('Recurring Schedule'!$F$31))*12+MONTH($A250)-MONTH('Recurring Schedule'!$F$31),'Recurring Schedule'!$O$31)=0),IF('Recurring Schedule'!$E$31="Weekdays",WEEKDAY($A250,2)&lt;=5,$A250='Recurring Schedule'!$F$31))),26,""))))</f>
        <v/>
      </c>
      <c r="AB250">
        <f>IF('Recurring Schedule'!$C$32="","",IF('Recurring Schedule'!$F$32="","",IF(OR($A250&lt;'Recurring Schedule'!$F$32,$A250&gt;'Recurring Schedule'!$P$32),"",IF(IF('Recurring Schedule'!$N$32&gt;0,MOD($A250-'Recurring Schedule'!$F$32,'Recurring Schedule'!$N$32)=0,IF('Recurring Schedule'!$O$32&gt;0,AND(DAY($A250)=MIN(DAY('Recurring Schedule'!$F$32),DAY(EOMONTH($A250,0))),MOD((YEAR($A250)-YEAR('Recurring Schedule'!$F$32))*12+MONTH($A250)-MONTH('Recurring Schedule'!$F$32),'Recurring Schedule'!$O$32)=0),IF('Recurring Schedule'!$E$32="Weekdays",WEEKDAY($A250,2)&lt;=5,$A250='Recurring Schedule'!$F$32))),27,""))))</f>
        <v/>
      </c>
      <c r="AC250">
        <f>IF('Recurring Schedule'!$C$33="","",IF('Recurring Schedule'!$F$33="","",IF(OR($A250&lt;'Recurring Schedule'!$F$33,$A250&gt;'Recurring Schedule'!$P$33),"",IF(IF('Recurring Schedule'!$N$33&gt;0,MOD($A250-'Recurring Schedule'!$F$33,'Recurring Schedule'!$N$33)=0,IF('Recurring Schedule'!$O$33&gt;0,AND(DAY($A250)=MIN(DAY('Recurring Schedule'!$F$33),DAY(EOMONTH($A250,0))),MOD((YEAR($A250)-YEAR('Recurring Schedule'!$F$33))*12+MONTH($A250)-MONTH('Recurring Schedule'!$F$33),'Recurring Schedule'!$O$33)=0),IF('Recurring Schedule'!$E$33="Weekdays",WEEKDAY($A250,2)&lt;=5,$A250='Recurring Schedule'!$F$33))),28,""))))</f>
        <v/>
      </c>
      <c r="AD250">
        <f>IF('Recurring Schedule'!$C$34="","",IF('Recurring Schedule'!$F$34="","",IF(OR($A250&lt;'Recurring Schedule'!$F$34,$A250&gt;'Recurring Schedule'!$P$34),"",IF(IF('Recurring Schedule'!$N$34&gt;0,MOD($A250-'Recurring Schedule'!$F$34,'Recurring Schedule'!$N$34)=0,IF('Recurring Schedule'!$O$34&gt;0,AND(DAY($A250)=MIN(DAY('Recurring Schedule'!$F$34),DAY(EOMONTH($A250,0))),MOD((YEAR($A250)-YEAR('Recurring Schedule'!$F$34))*12+MONTH($A250)-MONTH('Recurring Schedule'!$F$34),'Recurring Schedule'!$O$34)=0),IF('Recurring Schedule'!$E$34="Weekdays",WEEKDAY($A250,2)&lt;=5,$A250='Recurring Schedule'!$F$34))),29,""))))</f>
        <v/>
      </c>
      <c r="AE250">
        <f>IF('Recurring Schedule'!$C$35="","",IF('Recurring Schedule'!$F$35="","",IF(OR($A250&lt;'Recurring Schedule'!$F$35,$A250&gt;'Recurring Schedule'!$P$35),"",IF(IF('Recurring Schedule'!$N$35&gt;0,MOD($A250-'Recurring Schedule'!$F$35,'Recurring Schedule'!$N$35)=0,IF('Recurring Schedule'!$O$35&gt;0,AND(DAY($A250)=MIN(DAY('Recurring Schedule'!$F$35),DAY(EOMONTH($A250,0))),MOD((YEAR($A250)-YEAR('Recurring Schedule'!$F$35))*12+MONTH($A250)-MONTH('Recurring Schedule'!$F$35),'Recurring Schedule'!$O$35)=0),IF('Recurring Schedule'!$E$35="Weekdays",WEEKDAY($A250,2)&lt;=5,$A250='Recurring Schedule'!$F$35))),30,""))))</f>
        <v/>
      </c>
      <c r="AF250">
        <f>IF('Recurring Schedule'!$C$36="","",IF('Recurring Schedule'!$F$36="","",IF(OR($A250&lt;'Recurring Schedule'!$F$36,$A250&gt;'Recurring Schedule'!$P$36),"",IF(IF('Recurring Schedule'!$N$36&gt;0,MOD($A250-'Recurring Schedule'!$F$36,'Recurring Schedule'!$N$36)=0,IF('Recurring Schedule'!$O$36&gt;0,AND(DAY($A250)=MIN(DAY('Recurring Schedule'!$F$36),DAY(EOMONTH($A250,0))),MOD((YEAR($A250)-YEAR('Recurring Schedule'!$F$36))*12+MONTH($A250)-MONTH('Recurring Schedule'!$F$36),'Recurring Schedule'!$O$36)=0),IF('Recurring Schedule'!$E$36="Weekdays",WEEKDAY($A250,2)&lt;=5,$A250='Recurring Schedule'!$F$36))),31,""))))</f>
        <v/>
      </c>
      <c r="AG250">
        <f>IF('Recurring Schedule'!$C$37="","",IF('Recurring Schedule'!$F$37="","",IF(OR($A250&lt;'Recurring Schedule'!$F$37,$A250&gt;'Recurring Schedule'!$P$37),"",IF(IF('Recurring Schedule'!$N$37&gt;0,MOD($A250-'Recurring Schedule'!$F$37,'Recurring Schedule'!$N$37)=0,IF('Recurring Schedule'!$O$37&gt;0,AND(DAY($A250)=MIN(DAY('Recurring Schedule'!$F$37),DAY(EOMONTH($A250,0))),MOD((YEAR($A250)-YEAR('Recurring Schedule'!$F$37))*12+MONTH($A250)-MONTH('Recurring Schedule'!$F$37),'Recurring Schedule'!$O$37)=0),IF('Recurring Schedule'!$E$37="Weekdays",WEEKDAY($A250,2)&lt;=5,$A250='Recurring Schedule'!$F$37))),32,""))))</f>
        <v/>
      </c>
      <c r="AH250">
        <f>IF('Recurring Schedule'!$C$38="","",IF('Recurring Schedule'!$F$38="","",IF(OR($A250&lt;'Recurring Schedule'!$F$38,$A250&gt;'Recurring Schedule'!$P$38),"",IF(IF('Recurring Schedule'!$N$38&gt;0,MOD($A250-'Recurring Schedule'!$F$38,'Recurring Schedule'!$N$38)=0,IF('Recurring Schedule'!$O$38&gt;0,AND(DAY($A250)=MIN(DAY('Recurring Schedule'!$F$38),DAY(EOMONTH($A250,0))),MOD((YEAR($A250)-YEAR('Recurring Schedule'!$F$38))*12+MONTH($A250)-MONTH('Recurring Schedule'!$F$38),'Recurring Schedule'!$O$38)=0),IF('Recurring Schedule'!$E$38="Weekdays",WEEKDAY($A250,2)&lt;=5,$A250='Recurring Schedule'!$F$38))),33,""))))</f>
        <v/>
      </c>
      <c r="AI250">
        <f>IF('Recurring Schedule'!$C$39="","",IF('Recurring Schedule'!$F$39="","",IF(OR($A250&lt;'Recurring Schedule'!$F$39,$A250&gt;'Recurring Schedule'!$P$39),"",IF(IF('Recurring Schedule'!$N$39&gt;0,MOD($A250-'Recurring Schedule'!$F$39,'Recurring Schedule'!$N$39)=0,IF('Recurring Schedule'!$O$39&gt;0,AND(DAY($A250)=MIN(DAY('Recurring Schedule'!$F$39),DAY(EOMONTH($A250,0))),MOD((YEAR($A250)-YEAR('Recurring Schedule'!$F$39))*12+MONTH($A250)-MONTH('Recurring Schedule'!$F$39),'Recurring Schedule'!$O$39)=0),IF('Recurring Schedule'!$E$39="Weekdays",WEEKDAY($A250,2)&lt;=5,$A250='Recurring Schedule'!$F$39))),34,""))))</f>
        <v/>
      </c>
      <c r="AJ250">
        <f>IF('Recurring Schedule'!$C$40="","",IF('Recurring Schedule'!$F$40="","",IF(OR($A250&lt;'Recurring Schedule'!$F$40,$A250&gt;'Recurring Schedule'!$P$40),"",IF(IF('Recurring Schedule'!$N$40&gt;0,MOD($A250-'Recurring Schedule'!$F$40,'Recurring Schedule'!$N$40)=0,IF('Recurring Schedule'!$O$40&gt;0,AND(DAY($A250)=MIN(DAY('Recurring Schedule'!$F$40),DAY(EOMONTH($A250,0))),MOD((YEAR($A250)-YEAR('Recurring Schedule'!$F$40))*12+MONTH($A250)-MONTH('Recurring Schedule'!$F$40),'Recurring Schedule'!$O$40)=0),IF('Recurring Schedule'!$E$40="Weekdays",WEEKDAY($A250,2)&lt;=5,$A250='Recurring Schedule'!$F$40))),35,""))))</f>
        <v/>
      </c>
      <c r="AK250">
        <f>IF('Recurring Schedule'!$C$41="","",IF('Recurring Schedule'!$F$41="","",IF(OR($A250&lt;'Recurring Schedule'!$F$41,$A250&gt;'Recurring Schedule'!$P$41),"",IF(IF('Recurring Schedule'!$N$41&gt;0,MOD($A250-'Recurring Schedule'!$F$41,'Recurring Schedule'!$N$41)=0,IF('Recurring Schedule'!$O$41&gt;0,AND(DAY($A250)=MIN(DAY('Recurring Schedule'!$F$41),DAY(EOMONTH($A250,0))),MOD((YEAR($A250)-YEAR('Recurring Schedule'!$F$41))*12+MONTH($A250)-MONTH('Recurring Schedule'!$F$41),'Recurring Schedule'!$O$41)=0),IF('Recurring Schedule'!$E$41="Weekdays",WEEKDAY($A250,2)&lt;=5,$A250='Recurring Schedule'!$F$41))),36,""))))</f>
        <v/>
      </c>
      <c r="AL250">
        <f>IF('Recurring Schedule'!$C$42="","",IF('Recurring Schedule'!$F$42="","",IF(OR($A250&lt;'Recurring Schedule'!$F$42,$A250&gt;'Recurring Schedule'!$P$42),"",IF(IF('Recurring Schedule'!$N$42&gt;0,MOD($A250-'Recurring Schedule'!$F$42,'Recurring Schedule'!$N$42)=0,IF('Recurring Schedule'!$O$42&gt;0,AND(DAY($A250)=MIN(DAY('Recurring Schedule'!$F$42),DAY(EOMONTH($A250,0))),MOD((YEAR($A250)-YEAR('Recurring Schedule'!$F$42))*12+MONTH($A250)-MONTH('Recurring Schedule'!$F$42),'Recurring Schedule'!$O$42)=0),IF('Recurring Schedule'!$E$42="Weekdays",WEEKDAY($A250,2)&lt;=5,$A250='Recurring Schedule'!$F$42))),37,""))))</f>
        <v/>
      </c>
      <c r="AM250">
        <f>IF('Recurring Schedule'!$C$43="","",IF('Recurring Schedule'!$F$43="","",IF(OR($A250&lt;'Recurring Schedule'!$F$43,$A250&gt;'Recurring Schedule'!$P$43),"",IF(IF('Recurring Schedule'!$N$43&gt;0,MOD($A250-'Recurring Schedule'!$F$43,'Recurring Schedule'!$N$43)=0,IF('Recurring Schedule'!$O$43&gt;0,AND(DAY($A250)=MIN(DAY('Recurring Schedule'!$F$43),DAY(EOMONTH($A250,0))),MOD((YEAR($A250)-YEAR('Recurring Schedule'!$F$43))*12+MONTH($A250)-MONTH('Recurring Schedule'!$F$43),'Recurring Schedule'!$O$43)=0),IF('Recurring Schedule'!$E$43="Weekdays",WEEKDAY($A250,2)&lt;=5,$A250='Recurring Schedule'!$F$43))),38,""))))</f>
        <v/>
      </c>
      <c r="AN250">
        <f>IF('Recurring Schedule'!$C$44="","",IF('Recurring Schedule'!$F$44="","",IF(OR($A250&lt;'Recurring Schedule'!$F$44,$A250&gt;'Recurring Schedule'!$P$44),"",IF(IF('Recurring Schedule'!$N$44&gt;0,MOD($A250-'Recurring Schedule'!$F$44,'Recurring Schedule'!$N$44)=0,IF('Recurring Schedule'!$O$44&gt;0,AND(DAY($A250)=MIN(DAY('Recurring Schedule'!$F$44),DAY(EOMONTH($A250,0))),MOD((YEAR($A250)-YEAR('Recurring Schedule'!$F$44))*12+MONTH($A250)-MONTH('Recurring Schedule'!$F$44),'Recurring Schedule'!$O$44)=0),IF('Recurring Schedule'!$E$44="Weekdays",WEEKDAY($A250,2)&lt;=5,$A250='Recurring Schedule'!$F$44))),39,""))))</f>
        <v/>
      </c>
      <c r="AO250">
        <f>IF('Recurring Schedule'!$C$45="","",IF('Recurring Schedule'!$F$45="","",IF(OR($A250&lt;'Recurring Schedule'!$F$45,$A250&gt;'Recurring Schedule'!$P$45),"",IF(IF('Recurring Schedule'!$N$45&gt;0,MOD($A250-'Recurring Schedule'!$F$45,'Recurring Schedule'!$N$45)=0,IF('Recurring Schedule'!$O$45&gt;0,AND(DAY($A250)=MIN(DAY('Recurring Schedule'!$F$45),DAY(EOMONTH($A250,0))),MOD((YEAR($A250)-YEAR('Recurring Schedule'!$F$45))*12+MONTH($A250)-MONTH('Recurring Schedule'!$F$45),'Recurring Schedule'!$O$45)=0),IF('Recurring Schedule'!$E$45="Weekdays",WEEKDAY($A250,2)&lt;=5,$A250='Recurring Schedule'!$F$45))),40,""))))</f>
        <v/>
      </c>
      <c r="AP250">
        <f>COUNT(B250:AO250)</f>
        <v/>
      </c>
      <c r="AQ250">
        <f>AQ249+AP249</f>
        <v/>
      </c>
      <c r="AS250" t="inlineStr">
        <is>
          <t>R</t>
        </is>
      </c>
      <c r="AT250" t="n">
        <v>254</v>
      </c>
      <c r="AU250">
        <f>'Recurring Log'!C254&amp;""</f>
        <v/>
      </c>
      <c r="AV250">
        <f>'Recurring Log'!D254&amp;""</f>
        <v/>
      </c>
      <c r="AW250">
        <f>IF('Recurring Log'!E254="","",'Recurring Log'!E254)</f>
        <v/>
      </c>
      <c r="AX250">
        <f>IF('Recurring Log'!G254="","",'Recurring Log'!G254)</f>
        <v/>
      </c>
      <c r="AY250">
        <f>IF('Recurring Log'!H254="","",'Recurring Log'!H254)</f>
        <v/>
      </c>
      <c r="AZ250">
        <f>IF(AU250="","",IF('Recurring Log'!J254="","Not Started",'Recurring Log'!J254))</f>
        <v/>
      </c>
      <c r="BA250">
        <f>'Recurring Log'!L254&amp;""</f>
        <v/>
      </c>
      <c r="BB250">
        <f>'Recurring Log'!M254&amp;""</f>
        <v/>
      </c>
      <c r="BC250">
        <f>'Recurring Log'!N254&amp;""</f>
        <v/>
      </c>
      <c r="BD250">
        <f>'Recurring Log'!O254&amp;""</f>
        <v/>
      </c>
      <c r="BE250">
        <f>IF('Recurring Log'!K254="","",'Recurring Log'!K254)</f>
        <v/>
      </c>
      <c r="BF250">
        <f>IFERROR(MATCH(BA250,Setup!$L$6:$L$9,0),5)</f>
        <v/>
      </c>
      <c r="BG250">
        <f>IF(OR(AZ250="Done",AZ250="Cancelled"),1,0)</f>
        <v/>
      </c>
      <c r="BH250">
        <f>IF(AND(AU250&lt;&gt;"",ISNUMBER(AW250)),1,0)</f>
        <v/>
      </c>
      <c r="BI250">
        <f>IF(BH250=0,0,IF(AND(AW250&gt;='Tasks Filter'!$F$3,AW250&lt;='Tasks Filter'!$F$4,OR('Tasks Filter'!$I$3="",ISNUMBER(SEARCH('Tasks Filter'!$I$3,AU250))),OR('Tasks Filter'!$I$4="",BF250=IFERROR(MATCH('Tasks Filter'!$I$4,Setup!$L$6:$L$9,0),0)),OR('Tasks Filter'!$I$5="Both",AND('Tasks Filter'!$I$5="Yes",BB250="✓"),AND('Tasks Filter'!$I$5="No",BB250&lt;&gt;"✓")),OR('Tasks Filter'!$L$3="",AV250='Tasks Filter'!$L$3),OR('Tasks Filter'!$L$4="",AZ250='Tasks Filter'!$L$4),OR('Tasks Filter'!$L$5="",BC250='Tasks Filter'!$L$5),OR('Tasks Filter'!$O$3="",BD250='Tasks Filter'!$O$3),OR('Tasks Filter'!$O$4="Yes",BG250=0)),1,0))</f>
        <v/>
      </c>
      <c r="BJ250">
        <f>IF(BH250=0,"",IF('Tasks Filter'!$F$6="Descending",-1,1)*CHOOSE(MATCH('Tasks Filter'!$F$5,Lists!$G$2:$G$6,0),AW250,BF250,IFERROR(MATCH(AV250,Setup!$F$6:$F$15,0),99),IFERROR(MATCH(BC250,Setup!$H$6:$H$15,0),99),IFERROR(MATCH(AZ250,Setup!$J$6:$J$11,0),99))*1E+9+(AW250-40000)*10000+249)</f>
        <v/>
      </c>
      <c r="BK250">
        <f>IF(BI250=1,BJ250,"")</f>
        <v/>
      </c>
      <c r="BL250">
        <f>IF(AND(BH250=1,BG250=0,N(AW250)&lt;Setup!$D$7),(AW250-40000)*10000+249,"")</f>
        <v/>
      </c>
      <c r="BM250">
        <f>IF(AND(BH250=1,AZ250&lt;&gt;"Cancelled",N(AW250)&gt;=Dashboard!$AB$3,N(AW250)&lt;=Dashboard!$AB$3+6),(AW250-40000)*100000+BF250*10000+249,"")</f>
        <v/>
      </c>
      <c r="BN250">
        <f>IF(AND(BH250=1,AZ250&lt;&gt;"Cancelled"),BF250*10000+249,"")</f>
        <v/>
      </c>
    </row>
    <row r="251">
      <c r="A251">
        <f>Setup!$D$5+249</f>
        <v/>
      </c>
      <c r="B251">
        <f>IF('Recurring Schedule'!$C$6="","",IF('Recurring Schedule'!$F$6="","",IF(OR($A251&lt;'Recurring Schedule'!$F$6,$A251&gt;'Recurring Schedule'!$P$6),"",IF(IF('Recurring Schedule'!$N$6&gt;0,MOD($A251-'Recurring Schedule'!$F$6,'Recurring Schedule'!$N$6)=0,IF('Recurring Schedule'!$O$6&gt;0,AND(DAY($A251)=MIN(DAY('Recurring Schedule'!$F$6),DAY(EOMONTH($A251,0))),MOD((YEAR($A251)-YEAR('Recurring Schedule'!$F$6))*12+MONTH($A251)-MONTH('Recurring Schedule'!$F$6),'Recurring Schedule'!$O$6)=0),IF('Recurring Schedule'!$E$6="Weekdays",WEEKDAY($A251,2)&lt;=5,$A251='Recurring Schedule'!$F$6))),1,""))))</f>
        <v/>
      </c>
      <c r="C251">
        <f>IF('Recurring Schedule'!$C$7="","",IF('Recurring Schedule'!$F$7="","",IF(OR($A251&lt;'Recurring Schedule'!$F$7,$A251&gt;'Recurring Schedule'!$P$7),"",IF(IF('Recurring Schedule'!$N$7&gt;0,MOD($A251-'Recurring Schedule'!$F$7,'Recurring Schedule'!$N$7)=0,IF('Recurring Schedule'!$O$7&gt;0,AND(DAY($A251)=MIN(DAY('Recurring Schedule'!$F$7),DAY(EOMONTH($A251,0))),MOD((YEAR($A251)-YEAR('Recurring Schedule'!$F$7))*12+MONTH($A251)-MONTH('Recurring Schedule'!$F$7),'Recurring Schedule'!$O$7)=0),IF('Recurring Schedule'!$E$7="Weekdays",WEEKDAY($A251,2)&lt;=5,$A251='Recurring Schedule'!$F$7))),2,""))))</f>
        <v/>
      </c>
      <c r="D251">
        <f>IF('Recurring Schedule'!$C$8="","",IF('Recurring Schedule'!$F$8="","",IF(OR($A251&lt;'Recurring Schedule'!$F$8,$A251&gt;'Recurring Schedule'!$P$8),"",IF(IF('Recurring Schedule'!$N$8&gt;0,MOD($A251-'Recurring Schedule'!$F$8,'Recurring Schedule'!$N$8)=0,IF('Recurring Schedule'!$O$8&gt;0,AND(DAY($A251)=MIN(DAY('Recurring Schedule'!$F$8),DAY(EOMONTH($A251,0))),MOD((YEAR($A251)-YEAR('Recurring Schedule'!$F$8))*12+MONTH($A251)-MONTH('Recurring Schedule'!$F$8),'Recurring Schedule'!$O$8)=0),IF('Recurring Schedule'!$E$8="Weekdays",WEEKDAY($A251,2)&lt;=5,$A251='Recurring Schedule'!$F$8))),3,""))))</f>
        <v/>
      </c>
      <c r="E251">
        <f>IF('Recurring Schedule'!$C$9="","",IF('Recurring Schedule'!$F$9="","",IF(OR($A251&lt;'Recurring Schedule'!$F$9,$A251&gt;'Recurring Schedule'!$P$9),"",IF(IF('Recurring Schedule'!$N$9&gt;0,MOD($A251-'Recurring Schedule'!$F$9,'Recurring Schedule'!$N$9)=0,IF('Recurring Schedule'!$O$9&gt;0,AND(DAY($A251)=MIN(DAY('Recurring Schedule'!$F$9),DAY(EOMONTH($A251,0))),MOD((YEAR($A251)-YEAR('Recurring Schedule'!$F$9))*12+MONTH($A251)-MONTH('Recurring Schedule'!$F$9),'Recurring Schedule'!$O$9)=0),IF('Recurring Schedule'!$E$9="Weekdays",WEEKDAY($A251,2)&lt;=5,$A251='Recurring Schedule'!$F$9))),4,""))))</f>
        <v/>
      </c>
      <c r="F251">
        <f>IF('Recurring Schedule'!$C$10="","",IF('Recurring Schedule'!$F$10="","",IF(OR($A251&lt;'Recurring Schedule'!$F$10,$A251&gt;'Recurring Schedule'!$P$10),"",IF(IF('Recurring Schedule'!$N$10&gt;0,MOD($A251-'Recurring Schedule'!$F$10,'Recurring Schedule'!$N$10)=0,IF('Recurring Schedule'!$O$10&gt;0,AND(DAY($A251)=MIN(DAY('Recurring Schedule'!$F$10),DAY(EOMONTH($A251,0))),MOD((YEAR($A251)-YEAR('Recurring Schedule'!$F$10))*12+MONTH($A251)-MONTH('Recurring Schedule'!$F$10),'Recurring Schedule'!$O$10)=0),IF('Recurring Schedule'!$E$10="Weekdays",WEEKDAY($A251,2)&lt;=5,$A251='Recurring Schedule'!$F$10))),5,""))))</f>
        <v/>
      </c>
      <c r="G251">
        <f>IF('Recurring Schedule'!$C$11="","",IF('Recurring Schedule'!$F$11="","",IF(OR($A251&lt;'Recurring Schedule'!$F$11,$A251&gt;'Recurring Schedule'!$P$11),"",IF(IF('Recurring Schedule'!$N$11&gt;0,MOD($A251-'Recurring Schedule'!$F$11,'Recurring Schedule'!$N$11)=0,IF('Recurring Schedule'!$O$11&gt;0,AND(DAY($A251)=MIN(DAY('Recurring Schedule'!$F$11),DAY(EOMONTH($A251,0))),MOD((YEAR($A251)-YEAR('Recurring Schedule'!$F$11))*12+MONTH($A251)-MONTH('Recurring Schedule'!$F$11),'Recurring Schedule'!$O$11)=0),IF('Recurring Schedule'!$E$11="Weekdays",WEEKDAY($A251,2)&lt;=5,$A251='Recurring Schedule'!$F$11))),6,""))))</f>
        <v/>
      </c>
      <c r="H251">
        <f>IF('Recurring Schedule'!$C$12="","",IF('Recurring Schedule'!$F$12="","",IF(OR($A251&lt;'Recurring Schedule'!$F$12,$A251&gt;'Recurring Schedule'!$P$12),"",IF(IF('Recurring Schedule'!$N$12&gt;0,MOD($A251-'Recurring Schedule'!$F$12,'Recurring Schedule'!$N$12)=0,IF('Recurring Schedule'!$O$12&gt;0,AND(DAY($A251)=MIN(DAY('Recurring Schedule'!$F$12),DAY(EOMONTH($A251,0))),MOD((YEAR($A251)-YEAR('Recurring Schedule'!$F$12))*12+MONTH($A251)-MONTH('Recurring Schedule'!$F$12),'Recurring Schedule'!$O$12)=0),IF('Recurring Schedule'!$E$12="Weekdays",WEEKDAY($A251,2)&lt;=5,$A251='Recurring Schedule'!$F$12))),7,""))))</f>
        <v/>
      </c>
      <c r="I251">
        <f>IF('Recurring Schedule'!$C$13="","",IF('Recurring Schedule'!$F$13="","",IF(OR($A251&lt;'Recurring Schedule'!$F$13,$A251&gt;'Recurring Schedule'!$P$13),"",IF(IF('Recurring Schedule'!$N$13&gt;0,MOD($A251-'Recurring Schedule'!$F$13,'Recurring Schedule'!$N$13)=0,IF('Recurring Schedule'!$O$13&gt;0,AND(DAY($A251)=MIN(DAY('Recurring Schedule'!$F$13),DAY(EOMONTH($A251,0))),MOD((YEAR($A251)-YEAR('Recurring Schedule'!$F$13))*12+MONTH($A251)-MONTH('Recurring Schedule'!$F$13),'Recurring Schedule'!$O$13)=0),IF('Recurring Schedule'!$E$13="Weekdays",WEEKDAY($A251,2)&lt;=5,$A251='Recurring Schedule'!$F$13))),8,""))))</f>
        <v/>
      </c>
      <c r="J251">
        <f>IF('Recurring Schedule'!$C$14="","",IF('Recurring Schedule'!$F$14="","",IF(OR($A251&lt;'Recurring Schedule'!$F$14,$A251&gt;'Recurring Schedule'!$P$14),"",IF(IF('Recurring Schedule'!$N$14&gt;0,MOD($A251-'Recurring Schedule'!$F$14,'Recurring Schedule'!$N$14)=0,IF('Recurring Schedule'!$O$14&gt;0,AND(DAY($A251)=MIN(DAY('Recurring Schedule'!$F$14),DAY(EOMONTH($A251,0))),MOD((YEAR($A251)-YEAR('Recurring Schedule'!$F$14))*12+MONTH($A251)-MONTH('Recurring Schedule'!$F$14),'Recurring Schedule'!$O$14)=0),IF('Recurring Schedule'!$E$14="Weekdays",WEEKDAY($A251,2)&lt;=5,$A251='Recurring Schedule'!$F$14))),9,""))))</f>
        <v/>
      </c>
      <c r="K251">
        <f>IF('Recurring Schedule'!$C$15="","",IF('Recurring Schedule'!$F$15="","",IF(OR($A251&lt;'Recurring Schedule'!$F$15,$A251&gt;'Recurring Schedule'!$P$15),"",IF(IF('Recurring Schedule'!$N$15&gt;0,MOD($A251-'Recurring Schedule'!$F$15,'Recurring Schedule'!$N$15)=0,IF('Recurring Schedule'!$O$15&gt;0,AND(DAY($A251)=MIN(DAY('Recurring Schedule'!$F$15),DAY(EOMONTH($A251,0))),MOD((YEAR($A251)-YEAR('Recurring Schedule'!$F$15))*12+MONTH($A251)-MONTH('Recurring Schedule'!$F$15),'Recurring Schedule'!$O$15)=0),IF('Recurring Schedule'!$E$15="Weekdays",WEEKDAY($A251,2)&lt;=5,$A251='Recurring Schedule'!$F$15))),10,""))))</f>
        <v/>
      </c>
      <c r="L251">
        <f>IF('Recurring Schedule'!$C$16="","",IF('Recurring Schedule'!$F$16="","",IF(OR($A251&lt;'Recurring Schedule'!$F$16,$A251&gt;'Recurring Schedule'!$P$16),"",IF(IF('Recurring Schedule'!$N$16&gt;0,MOD($A251-'Recurring Schedule'!$F$16,'Recurring Schedule'!$N$16)=0,IF('Recurring Schedule'!$O$16&gt;0,AND(DAY($A251)=MIN(DAY('Recurring Schedule'!$F$16),DAY(EOMONTH($A251,0))),MOD((YEAR($A251)-YEAR('Recurring Schedule'!$F$16))*12+MONTH($A251)-MONTH('Recurring Schedule'!$F$16),'Recurring Schedule'!$O$16)=0),IF('Recurring Schedule'!$E$16="Weekdays",WEEKDAY($A251,2)&lt;=5,$A251='Recurring Schedule'!$F$16))),11,""))))</f>
        <v/>
      </c>
      <c r="M251">
        <f>IF('Recurring Schedule'!$C$17="","",IF('Recurring Schedule'!$F$17="","",IF(OR($A251&lt;'Recurring Schedule'!$F$17,$A251&gt;'Recurring Schedule'!$P$17),"",IF(IF('Recurring Schedule'!$N$17&gt;0,MOD($A251-'Recurring Schedule'!$F$17,'Recurring Schedule'!$N$17)=0,IF('Recurring Schedule'!$O$17&gt;0,AND(DAY($A251)=MIN(DAY('Recurring Schedule'!$F$17),DAY(EOMONTH($A251,0))),MOD((YEAR($A251)-YEAR('Recurring Schedule'!$F$17))*12+MONTH($A251)-MONTH('Recurring Schedule'!$F$17),'Recurring Schedule'!$O$17)=0),IF('Recurring Schedule'!$E$17="Weekdays",WEEKDAY($A251,2)&lt;=5,$A251='Recurring Schedule'!$F$17))),12,""))))</f>
        <v/>
      </c>
      <c r="N251">
        <f>IF('Recurring Schedule'!$C$18="","",IF('Recurring Schedule'!$F$18="","",IF(OR($A251&lt;'Recurring Schedule'!$F$18,$A251&gt;'Recurring Schedule'!$P$18),"",IF(IF('Recurring Schedule'!$N$18&gt;0,MOD($A251-'Recurring Schedule'!$F$18,'Recurring Schedule'!$N$18)=0,IF('Recurring Schedule'!$O$18&gt;0,AND(DAY($A251)=MIN(DAY('Recurring Schedule'!$F$18),DAY(EOMONTH($A251,0))),MOD((YEAR($A251)-YEAR('Recurring Schedule'!$F$18))*12+MONTH($A251)-MONTH('Recurring Schedule'!$F$18),'Recurring Schedule'!$O$18)=0),IF('Recurring Schedule'!$E$18="Weekdays",WEEKDAY($A251,2)&lt;=5,$A251='Recurring Schedule'!$F$18))),13,""))))</f>
        <v/>
      </c>
      <c r="O251">
        <f>IF('Recurring Schedule'!$C$19="","",IF('Recurring Schedule'!$F$19="","",IF(OR($A251&lt;'Recurring Schedule'!$F$19,$A251&gt;'Recurring Schedule'!$P$19),"",IF(IF('Recurring Schedule'!$N$19&gt;0,MOD($A251-'Recurring Schedule'!$F$19,'Recurring Schedule'!$N$19)=0,IF('Recurring Schedule'!$O$19&gt;0,AND(DAY($A251)=MIN(DAY('Recurring Schedule'!$F$19),DAY(EOMONTH($A251,0))),MOD((YEAR($A251)-YEAR('Recurring Schedule'!$F$19))*12+MONTH($A251)-MONTH('Recurring Schedule'!$F$19),'Recurring Schedule'!$O$19)=0),IF('Recurring Schedule'!$E$19="Weekdays",WEEKDAY($A251,2)&lt;=5,$A251='Recurring Schedule'!$F$19))),14,""))))</f>
        <v/>
      </c>
      <c r="P251">
        <f>IF('Recurring Schedule'!$C$20="","",IF('Recurring Schedule'!$F$20="","",IF(OR($A251&lt;'Recurring Schedule'!$F$20,$A251&gt;'Recurring Schedule'!$P$20),"",IF(IF('Recurring Schedule'!$N$20&gt;0,MOD($A251-'Recurring Schedule'!$F$20,'Recurring Schedule'!$N$20)=0,IF('Recurring Schedule'!$O$20&gt;0,AND(DAY($A251)=MIN(DAY('Recurring Schedule'!$F$20),DAY(EOMONTH($A251,0))),MOD((YEAR($A251)-YEAR('Recurring Schedule'!$F$20))*12+MONTH($A251)-MONTH('Recurring Schedule'!$F$20),'Recurring Schedule'!$O$20)=0),IF('Recurring Schedule'!$E$20="Weekdays",WEEKDAY($A251,2)&lt;=5,$A251='Recurring Schedule'!$F$20))),15,""))))</f>
        <v/>
      </c>
      <c r="Q251">
        <f>IF('Recurring Schedule'!$C$21="","",IF('Recurring Schedule'!$F$21="","",IF(OR($A251&lt;'Recurring Schedule'!$F$21,$A251&gt;'Recurring Schedule'!$P$21),"",IF(IF('Recurring Schedule'!$N$21&gt;0,MOD($A251-'Recurring Schedule'!$F$21,'Recurring Schedule'!$N$21)=0,IF('Recurring Schedule'!$O$21&gt;0,AND(DAY($A251)=MIN(DAY('Recurring Schedule'!$F$21),DAY(EOMONTH($A251,0))),MOD((YEAR($A251)-YEAR('Recurring Schedule'!$F$21))*12+MONTH($A251)-MONTH('Recurring Schedule'!$F$21),'Recurring Schedule'!$O$21)=0),IF('Recurring Schedule'!$E$21="Weekdays",WEEKDAY($A251,2)&lt;=5,$A251='Recurring Schedule'!$F$21))),16,""))))</f>
        <v/>
      </c>
      <c r="R251">
        <f>IF('Recurring Schedule'!$C$22="","",IF('Recurring Schedule'!$F$22="","",IF(OR($A251&lt;'Recurring Schedule'!$F$22,$A251&gt;'Recurring Schedule'!$P$22),"",IF(IF('Recurring Schedule'!$N$22&gt;0,MOD($A251-'Recurring Schedule'!$F$22,'Recurring Schedule'!$N$22)=0,IF('Recurring Schedule'!$O$22&gt;0,AND(DAY($A251)=MIN(DAY('Recurring Schedule'!$F$22),DAY(EOMONTH($A251,0))),MOD((YEAR($A251)-YEAR('Recurring Schedule'!$F$22))*12+MONTH($A251)-MONTH('Recurring Schedule'!$F$22),'Recurring Schedule'!$O$22)=0),IF('Recurring Schedule'!$E$22="Weekdays",WEEKDAY($A251,2)&lt;=5,$A251='Recurring Schedule'!$F$22))),17,""))))</f>
        <v/>
      </c>
      <c r="S251">
        <f>IF('Recurring Schedule'!$C$23="","",IF('Recurring Schedule'!$F$23="","",IF(OR($A251&lt;'Recurring Schedule'!$F$23,$A251&gt;'Recurring Schedule'!$P$23),"",IF(IF('Recurring Schedule'!$N$23&gt;0,MOD($A251-'Recurring Schedule'!$F$23,'Recurring Schedule'!$N$23)=0,IF('Recurring Schedule'!$O$23&gt;0,AND(DAY($A251)=MIN(DAY('Recurring Schedule'!$F$23),DAY(EOMONTH($A251,0))),MOD((YEAR($A251)-YEAR('Recurring Schedule'!$F$23))*12+MONTH($A251)-MONTH('Recurring Schedule'!$F$23),'Recurring Schedule'!$O$23)=0),IF('Recurring Schedule'!$E$23="Weekdays",WEEKDAY($A251,2)&lt;=5,$A251='Recurring Schedule'!$F$23))),18,""))))</f>
        <v/>
      </c>
      <c r="T251">
        <f>IF('Recurring Schedule'!$C$24="","",IF('Recurring Schedule'!$F$24="","",IF(OR($A251&lt;'Recurring Schedule'!$F$24,$A251&gt;'Recurring Schedule'!$P$24),"",IF(IF('Recurring Schedule'!$N$24&gt;0,MOD($A251-'Recurring Schedule'!$F$24,'Recurring Schedule'!$N$24)=0,IF('Recurring Schedule'!$O$24&gt;0,AND(DAY($A251)=MIN(DAY('Recurring Schedule'!$F$24),DAY(EOMONTH($A251,0))),MOD((YEAR($A251)-YEAR('Recurring Schedule'!$F$24))*12+MONTH($A251)-MONTH('Recurring Schedule'!$F$24),'Recurring Schedule'!$O$24)=0),IF('Recurring Schedule'!$E$24="Weekdays",WEEKDAY($A251,2)&lt;=5,$A251='Recurring Schedule'!$F$24))),19,""))))</f>
        <v/>
      </c>
      <c r="U251">
        <f>IF('Recurring Schedule'!$C$25="","",IF('Recurring Schedule'!$F$25="","",IF(OR($A251&lt;'Recurring Schedule'!$F$25,$A251&gt;'Recurring Schedule'!$P$25),"",IF(IF('Recurring Schedule'!$N$25&gt;0,MOD($A251-'Recurring Schedule'!$F$25,'Recurring Schedule'!$N$25)=0,IF('Recurring Schedule'!$O$25&gt;0,AND(DAY($A251)=MIN(DAY('Recurring Schedule'!$F$25),DAY(EOMONTH($A251,0))),MOD((YEAR($A251)-YEAR('Recurring Schedule'!$F$25))*12+MONTH($A251)-MONTH('Recurring Schedule'!$F$25),'Recurring Schedule'!$O$25)=0),IF('Recurring Schedule'!$E$25="Weekdays",WEEKDAY($A251,2)&lt;=5,$A251='Recurring Schedule'!$F$25))),20,""))))</f>
        <v/>
      </c>
      <c r="V251">
        <f>IF('Recurring Schedule'!$C$26="","",IF('Recurring Schedule'!$F$26="","",IF(OR($A251&lt;'Recurring Schedule'!$F$26,$A251&gt;'Recurring Schedule'!$P$26),"",IF(IF('Recurring Schedule'!$N$26&gt;0,MOD($A251-'Recurring Schedule'!$F$26,'Recurring Schedule'!$N$26)=0,IF('Recurring Schedule'!$O$26&gt;0,AND(DAY($A251)=MIN(DAY('Recurring Schedule'!$F$26),DAY(EOMONTH($A251,0))),MOD((YEAR($A251)-YEAR('Recurring Schedule'!$F$26))*12+MONTH($A251)-MONTH('Recurring Schedule'!$F$26),'Recurring Schedule'!$O$26)=0),IF('Recurring Schedule'!$E$26="Weekdays",WEEKDAY($A251,2)&lt;=5,$A251='Recurring Schedule'!$F$26))),21,""))))</f>
        <v/>
      </c>
      <c r="W251">
        <f>IF('Recurring Schedule'!$C$27="","",IF('Recurring Schedule'!$F$27="","",IF(OR($A251&lt;'Recurring Schedule'!$F$27,$A251&gt;'Recurring Schedule'!$P$27),"",IF(IF('Recurring Schedule'!$N$27&gt;0,MOD($A251-'Recurring Schedule'!$F$27,'Recurring Schedule'!$N$27)=0,IF('Recurring Schedule'!$O$27&gt;0,AND(DAY($A251)=MIN(DAY('Recurring Schedule'!$F$27),DAY(EOMONTH($A251,0))),MOD((YEAR($A251)-YEAR('Recurring Schedule'!$F$27))*12+MONTH($A251)-MONTH('Recurring Schedule'!$F$27),'Recurring Schedule'!$O$27)=0),IF('Recurring Schedule'!$E$27="Weekdays",WEEKDAY($A251,2)&lt;=5,$A251='Recurring Schedule'!$F$27))),22,""))))</f>
        <v/>
      </c>
      <c r="X251">
        <f>IF('Recurring Schedule'!$C$28="","",IF('Recurring Schedule'!$F$28="","",IF(OR($A251&lt;'Recurring Schedule'!$F$28,$A251&gt;'Recurring Schedule'!$P$28),"",IF(IF('Recurring Schedule'!$N$28&gt;0,MOD($A251-'Recurring Schedule'!$F$28,'Recurring Schedule'!$N$28)=0,IF('Recurring Schedule'!$O$28&gt;0,AND(DAY($A251)=MIN(DAY('Recurring Schedule'!$F$28),DAY(EOMONTH($A251,0))),MOD((YEAR($A251)-YEAR('Recurring Schedule'!$F$28))*12+MONTH($A251)-MONTH('Recurring Schedule'!$F$28),'Recurring Schedule'!$O$28)=0),IF('Recurring Schedule'!$E$28="Weekdays",WEEKDAY($A251,2)&lt;=5,$A251='Recurring Schedule'!$F$28))),23,""))))</f>
        <v/>
      </c>
      <c r="Y251">
        <f>IF('Recurring Schedule'!$C$29="","",IF('Recurring Schedule'!$F$29="","",IF(OR($A251&lt;'Recurring Schedule'!$F$29,$A251&gt;'Recurring Schedule'!$P$29),"",IF(IF('Recurring Schedule'!$N$29&gt;0,MOD($A251-'Recurring Schedule'!$F$29,'Recurring Schedule'!$N$29)=0,IF('Recurring Schedule'!$O$29&gt;0,AND(DAY($A251)=MIN(DAY('Recurring Schedule'!$F$29),DAY(EOMONTH($A251,0))),MOD((YEAR($A251)-YEAR('Recurring Schedule'!$F$29))*12+MONTH($A251)-MONTH('Recurring Schedule'!$F$29),'Recurring Schedule'!$O$29)=0),IF('Recurring Schedule'!$E$29="Weekdays",WEEKDAY($A251,2)&lt;=5,$A251='Recurring Schedule'!$F$29))),24,""))))</f>
        <v/>
      </c>
      <c r="Z251">
        <f>IF('Recurring Schedule'!$C$30="","",IF('Recurring Schedule'!$F$30="","",IF(OR($A251&lt;'Recurring Schedule'!$F$30,$A251&gt;'Recurring Schedule'!$P$30),"",IF(IF('Recurring Schedule'!$N$30&gt;0,MOD($A251-'Recurring Schedule'!$F$30,'Recurring Schedule'!$N$30)=0,IF('Recurring Schedule'!$O$30&gt;0,AND(DAY($A251)=MIN(DAY('Recurring Schedule'!$F$30),DAY(EOMONTH($A251,0))),MOD((YEAR($A251)-YEAR('Recurring Schedule'!$F$30))*12+MONTH($A251)-MONTH('Recurring Schedule'!$F$30),'Recurring Schedule'!$O$30)=0),IF('Recurring Schedule'!$E$30="Weekdays",WEEKDAY($A251,2)&lt;=5,$A251='Recurring Schedule'!$F$30))),25,""))))</f>
        <v/>
      </c>
      <c r="AA251">
        <f>IF('Recurring Schedule'!$C$31="","",IF('Recurring Schedule'!$F$31="","",IF(OR($A251&lt;'Recurring Schedule'!$F$31,$A251&gt;'Recurring Schedule'!$P$31),"",IF(IF('Recurring Schedule'!$N$31&gt;0,MOD($A251-'Recurring Schedule'!$F$31,'Recurring Schedule'!$N$31)=0,IF('Recurring Schedule'!$O$31&gt;0,AND(DAY($A251)=MIN(DAY('Recurring Schedule'!$F$31),DAY(EOMONTH($A251,0))),MOD((YEAR($A251)-YEAR('Recurring Schedule'!$F$31))*12+MONTH($A251)-MONTH('Recurring Schedule'!$F$31),'Recurring Schedule'!$O$31)=0),IF('Recurring Schedule'!$E$31="Weekdays",WEEKDAY($A251,2)&lt;=5,$A251='Recurring Schedule'!$F$31))),26,""))))</f>
        <v/>
      </c>
      <c r="AB251">
        <f>IF('Recurring Schedule'!$C$32="","",IF('Recurring Schedule'!$F$32="","",IF(OR($A251&lt;'Recurring Schedule'!$F$32,$A251&gt;'Recurring Schedule'!$P$32),"",IF(IF('Recurring Schedule'!$N$32&gt;0,MOD($A251-'Recurring Schedule'!$F$32,'Recurring Schedule'!$N$32)=0,IF('Recurring Schedule'!$O$32&gt;0,AND(DAY($A251)=MIN(DAY('Recurring Schedule'!$F$32),DAY(EOMONTH($A251,0))),MOD((YEAR($A251)-YEAR('Recurring Schedule'!$F$32))*12+MONTH($A251)-MONTH('Recurring Schedule'!$F$32),'Recurring Schedule'!$O$32)=0),IF('Recurring Schedule'!$E$32="Weekdays",WEEKDAY($A251,2)&lt;=5,$A251='Recurring Schedule'!$F$32))),27,""))))</f>
        <v/>
      </c>
      <c r="AC251">
        <f>IF('Recurring Schedule'!$C$33="","",IF('Recurring Schedule'!$F$33="","",IF(OR($A251&lt;'Recurring Schedule'!$F$33,$A251&gt;'Recurring Schedule'!$P$33),"",IF(IF('Recurring Schedule'!$N$33&gt;0,MOD($A251-'Recurring Schedule'!$F$33,'Recurring Schedule'!$N$33)=0,IF('Recurring Schedule'!$O$33&gt;0,AND(DAY($A251)=MIN(DAY('Recurring Schedule'!$F$33),DAY(EOMONTH($A251,0))),MOD((YEAR($A251)-YEAR('Recurring Schedule'!$F$33))*12+MONTH($A251)-MONTH('Recurring Schedule'!$F$33),'Recurring Schedule'!$O$33)=0),IF('Recurring Schedule'!$E$33="Weekdays",WEEKDAY($A251,2)&lt;=5,$A251='Recurring Schedule'!$F$33))),28,""))))</f>
        <v/>
      </c>
      <c r="AD251">
        <f>IF('Recurring Schedule'!$C$34="","",IF('Recurring Schedule'!$F$34="","",IF(OR($A251&lt;'Recurring Schedule'!$F$34,$A251&gt;'Recurring Schedule'!$P$34),"",IF(IF('Recurring Schedule'!$N$34&gt;0,MOD($A251-'Recurring Schedule'!$F$34,'Recurring Schedule'!$N$34)=0,IF('Recurring Schedule'!$O$34&gt;0,AND(DAY($A251)=MIN(DAY('Recurring Schedule'!$F$34),DAY(EOMONTH($A251,0))),MOD((YEAR($A251)-YEAR('Recurring Schedule'!$F$34))*12+MONTH($A251)-MONTH('Recurring Schedule'!$F$34),'Recurring Schedule'!$O$34)=0),IF('Recurring Schedule'!$E$34="Weekdays",WEEKDAY($A251,2)&lt;=5,$A251='Recurring Schedule'!$F$34))),29,""))))</f>
        <v/>
      </c>
      <c r="AE251">
        <f>IF('Recurring Schedule'!$C$35="","",IF('Recurring Schedule'!$F$35="","",IF(OR($A251&lt;'Recurring Schedule'!$F$35,$A251&gt;'Recurring Schedule'!$P$35),"",IF(IF('Recurring Schedule'!$N$35&gt;0,MOD($A251-'Recurring Schedule'!$F$35,'Recurring Schedule'!$N$35)=0,IF('Recurring Schedule'!$O$35&gt;0,AND(DAY($A251)=MIN(DAY('Recurring Schedule'!$F$35),DAY(EOMONTH($A251,0))),MOD((YEAR($A251)-YEAR('Recurring Schedule'!$F$35))*12+MONTH($A251)-MONTH('Recurring Schedule'!$F$35),'Recurring Schedule'!$O$35)=0),IF('Recurring Schedule'!$E$35="Weekdays",WEEKDAY($A251,2)&lt;=5,$A251='Recurring Schedule'!$F$35))),30,""))))</f>
        <v/>
      </c>
      <c r="AF251">
        <f>IF('Recurring Schedule'!$C$36="","",IF('Recurring Schedule'!$F$36="","",IF(OR($A251&lt;'Recurring Schedule'!$F$36,$A251&gt;'Recurring Schedule'!$P$36),"",IF(IF('Recurring Schedule'!$N$36&gt;0,MOD($A251-'Recurring Schedule'!$F$36,'Recurring Schedule'!$N$36)=0,IF('Recurring Schedule'!$O$36&gt;0,AND(DAY($A251)=MIN(DAY('Recurring Schedule'!$F$36),DAY(EOMONTH($A251,0))),MOD((YEAR($A251)-YEAR('Recurring Schedule'!$F$36))*12+MONTH($A251)-MONTH('Recurring Schedule'!$F$36),'Recurring Schedule'!$O$36)=0),IF('Recurring Schedule'!$E$36="Weekdays",WEEKDAY($A251,2)&lt;=5,$A251='Recurring Schedule'!$F$36))),31,""))))</f>
        <v/>
      </c>
      <c r="AG251">
        <f>IF('Recurring Schedule'!$C$37="","",IF('Recurring Schedule'!$F$37="","",IF(OR($A251&lt;'Recurring Schedule'!$F$37,$A251&gt;'Recurring Schedule'!$P$37),"",IF(IF('Recurring Schedule'!$N$37&gt;0,MOD($A251-'Recurring Schedule'!$F$37,'Recurring Schedule'!$N$37)=0,IF('Recurring Schedule'!$O$37&gt;0,AND(DAY($A251)=MIN(DAY('Recurring Schedule'!$F$37),DAY(EOMONTH($A251,0))),MOD((YEAR($A251)-YEAR('Recurring Schedule'!$F$37))*12+MONTH($A251)-MONTH('Recurring Schedule'!$F$37),'Recurring Schedule'!$O$37)=0),IF('Recurring Schedule'!$E$37="Weekdays",WEEKDAY($A251,2)&lt;=5,$A251='Recurring Schedule'!$F$37))),32,""))))</f>
        <v/>
      </c>
      <c r="AH251">
        <f>IF('Recurring Schedule'!$C$38="","",IF('Recurring Schedule'!$F$38="","",IF(OR($A251&lt;'Recurring Schedule'!$F$38,$A251&gt;'Recurring Schedule'!$P$38),"",IF(IF('Recurring Schedule'!$N$38&gt;0,MOD($A251-'Recurring Schedule'!$F$38,'Recurring Schedule'!$N$38)=0,IF('Recurring Schedule'!$O$38&gt;0,AND(DAY($A251)=MIN(DAY('Recurring Schedule'!$F$38),DAY(EOMONTH($A251,0))),MOD((YEAR($A251)-YEAR('Recurring Schedule'!$F$38))*12+MONTH($A251)-MONTH('Recurring Schedule'!$F$38),'Recurring Schedule'!$O$38)=0),IF('Recurring Schedule'!$E$38="Weekdays",WEEKDAY($A251,2)&lt;=5,$A251='Recurring Schedule'!$F$38))),33,""))))</f>
        <v/>
      </c>
      <c r="AI251">
        <f>IF('Recurring Schedule'!$C$39="","",IF('Recurring Schedule'!$F$39="","",IF(OR($A251&lt;'Recurring Schedule'!$F$39,$A251&gt;'Recurring Schedule'!$P$39),"",IF(IF('Recurring Schedule'!$N$39&gt;0,MOD($A251-'Recurring Schedule'!$F$39,'Recurring Schedule'!$N$39)=0,IF('Recurring Schedule'!$O$39&gt;0,AND(DAY($A251)=MIN(DAY('Recurring Schedule'!$F$39),DAY(EOMONTH($A251,0))),MOD((YEAR($A251)-YEAR('Recurring Schedule'!$F$39))*12+MONTH($A251)-MONTH('Recurring Schedule'!$F$39),'Recurring Schedule'!$O$39)=0),IF('Recurring Schedule'!$E$39="Weekdays",WEEKDAY($A251,2)&lt;=5,$A251='Recurring Schedule'!$F$39))),34,""))))</f>
        <v/>
      </c>
      <c r="AJ251">
        <f>IF('Recurring Schedule'!$C$40="","",IF('Recurring Schedule'!$F$40="","",IF(OR($A251&lt;'Recurring Schedule'!$F$40,$A251&gt;'Recurring Schedule'!$P$40),"",IF(IF('Recurring Schedule'!$N$40&gt;0,MOD($A251-'Recurring Schedule'!$F$40,'Recurring Schedule'!$N$40)=0,IF('Recurring Schedule'!$O$40&gt;0,AND(DAY($A251)=MIN(DAY('Recurring Schedule'!$F$40),DAY(EOMONTH($A251,0))),MOD((YEAR($A251)-YEAR('Recurring Schedule'!$F$40))*12+MONTH($A251)-MONTH('Recurring Schedule'!$F$40),'Recurring Schedule'!$O$40)=0),IF('Recurring Schedule'!$E$40="Weekdays",WEEKDAY($A251,2)&lt;=5,$A251='Recurring Schedule'!$F$40))),35,""))))</f>
        <v/>
      </c>
      <c r="AK251">
        <f>IF('Recurring Schedule'!$C$41="","",IF('Recurring Schedule'!$F$41="","",IF(OR($A251&lt;'Recurring Schedule'!$F$41,$A251&gt;'Recurring Schedule'!$P$41),"",IF(IF('Recurring Schedule'!$N$41&gt;0,MOD($A251-'Recurring Schedule'!$F$41,'Recurring Schedule'!$N$41)=0,IF('Recurring Schedule'!$O$41&gt;0,AND(DAY($A251)=MIN(DAY('Recurring Schedule'!$F$41),DAY(EOMONTH($A251,0))),MOD((YEAR($A251)-YEAR('Recurring Schedule'!$F$41))*12+MONTH($A251)-MONTH('Recurring Schedule'!$F$41),'Recurring Schedule'!$O$41)=0),IF('Recurring Schedule'!$E$41="Weekdays",WEEKDAY($A251,2)&lt;=5,$A251='Recurring Schedule'!$F$41))),36,""))))</f>
        <v/>
      </c>
      <c r="AL251">
        <f>IF('Recurring Schedule'!$C$42="","",IF('Recurring Schedule'!$F$42="","",IF(OR($A251&lt;'Recurring Schedule'!$F$42,$A251&gt;'Recurring Schedule'!$P$42),"",IF(IF('Recurring Schedule'!$N$42&gt;0,MOD($A251-'Recurring Schedule'!$F$42,'Recurring Schedule'!$N$42)=0,IF('Recurring Schedule'!$O$42&gt;0,AND(DAY($A251)=MIN(DAY('Recurring Schedule'!$F$42),DAY(EOMONTH($A251,0))),MOD((YEAR($A251)-YEAR('Recurring Schedule'!$F$42))*12+MONTH($A251)-MONTH('Recurring Schedule'!$F$42),'Recurring Schedule'!$O$42)=0),IF('Recurring Schedule'!$E$42="Weekdays",WEEKDAY($A251,2)&lt;=5,$A251='Recurring Schedule'!$F$42))),37,""))))</f>
        <v/>
      </c>
      <c r="AM251">
        <f>IF('Recurring Schedule'!$C$43="","",IF('Recurring Schedule'!$F$43="","",IF(OR($A251&lt;'Recurring Schedule'!$F$43,$A251&gt;'Recurring Schedule'!$P$43),"",IF(IF('Recurring Schedule'!$N$43&gt;0,MOD($A251-'Recurring Schedule'!$F$43,'Recurring Schedule'!$N$43)=0,IF('Recurring Schedule'!$O$43&gt;0,AND(DAY($A251)=MIN(DAY('Recurring Schedule'!$F$43),DAY(EOMONTH($A251,0))),MOD((YEAR($A251)-YEAR('Recurring Schedule'!$F$43))*12+MONTH($A251)-MONTH('Recurring Schedule'!$F$43),'Recurring Schedule'!$O$43)=0),IF('Recurring Schedule'!$E$43="Weekdays",WEEKDAY($A251,2)&lt;=5,$A251='Recurring Schedule'!$F$43))),38,""))))</f>
        <v/>
      </c>
      <c r="AN251">
        <f>IF('Recurring Schedule'!$C$44="","",IF('Recurring Schedule'!$F$44="","",IF(OR($A251&lt;'Recurring Schedule'!$F$44,$A251&gt;'Recurring Schedule'!$P$44),"",IF(IF('Recurring Schedule'!$N$44&gt;0,MOD($A251-'Recurring Schedule'!$F$44,'Recurring Schedule'!$N$44)=0,IF('Recurring Schedule'!$O$44&gt;0,AND(DAY($A251)=MIN(DAY('Recurring Schedule'!$F$44),DAY(EOMONTH($A251,0))),MOD((YEAR($A251)-YEAR('Recurring Schedule'!$F$44))*12+MONTH($A251)-MONTH('Recurring Schedule'!$F$44),'Recurring Schedule'!$O$44)=0),IF('Recurring Schedule'!$E$44="Weekdays",WEEKDAY($A251,2)&lt;=5,$A251='Recurring Schedule'!$F$44))),39,""))))</f>
        <v/>
      </c>
      <c r="AO251">
        <f>IF('Recurring Schedule'!$C$45="","",IF('Recurring Schedule'!$F$45="","",IF(OR($A251&lt;'Recurring Schedule'!$F$45,$A251&gt;'Recurring Schedule'!$P$45),"",IF(IF('Recurring Schedule'!$N$45&gt;0,MOD($A251-'Recurring Schedule'!$F$45,'Recurring Schedule'!$N$45)=0,IF('Recurring Schedule'!$O$45&gt;0,AND(DAY($A251)=MIN(DAY('Recurring Schedule'!$F$45),DAY(EOMONTH($A251,0))),MOD((YEAR($A251)-YEAR('Recurring Schedule'!$F$45))*12+MONTH($A251)-MONTH('Recurring Schedule'!$F$45),'Recurring Schedule'!$O$45)=0),IF('Recurring Schedule'!$E$45="Weekdays",WEEKDAY($A251,2)&lt;=5,$A251='Recurring Schedule'!$F$45))),40,""))))</f>
        <v/>
      </c>
      <c r="AP251">
        <f>COUNT(B251:AO251)</f>
        <v/>
      </c>
      <c r="AQ251">
        <f>AQ250+AP250</f>
        <v/>
      </c>
      <c r="AS251" t="inlineStr">
        <is>
          <t>R</t>
        </is>
      </c>
      <c r="AT251" t="n">
        <v>255</v>
      </c>
      <c r="AU251">
        <f>'Recurring Log'!C255&amp;""</f>
        <v/>
      </c>
      <c r="AV251">
        <f>'Recurring Log'!D255&amp;""</f>
        <v/>
      </c>
      <c r="AW251">
        <f>IF('Recurring Log'!E255="","",'Recurring Log'!E255)</f>
        <v/>
      </c>
      <c r="AX251">
        <f>IF('Recurring Log'!G255="","",'Recurring Log'!G255)</f>
        <v/>
      </c>
      <c r="AY251">
        <f>IF('Recurring Log'!H255="","",'Recurring Log'!H255)</f>
        <v/>
      </c>
      <c r="AZ251">
        <f>IF(AU251="","",IF('Recurring Log'!J255="","Not Started",'Recurring Log'!J255))</f>
        <v/>
      </c>
      <c r="BA251">
        <f>'Recurring Log'!L255&amp;""</f>
        <v/>
      </c>
      <c r="BB251">
        <f>'Recurring Log'!M255&amp;""</f>
        <v/>
      </c>
      <c r="BC251">
        <f>'Recurring Log'!N255&amp;""</f>
        <v/>
      </c>
      <c r="BD251">
        <f>'Recurring Log'!O255&amp;""</f>
        <v/>
      </c>
      <c r="BE251">
        <f>IF('Recurring Log'!K255="","",'Recurring Log'!K255)</f>
        <v/>
      </c>
      <c r="BF251">
        <f>IFERROR(MATCH(BA251,Setup!$L$6:$L$9,0),5)</f>
        <v/>
      </c>
      <c r="BG251">
        <f>IF(OR(AZ251="Done",AZ251="Cancelled"),1,0)</f>
        <v/>
      </c>
      <c r="BH251">
        <f>IF(AND(AU251&lt;&gt;"",ISNUMBER(AW251)),1,0)</f>
        <v/>
      </c>
      <c r="BI251">
        <f>IF(BH251=0,0,IF(AND(AW251&gt;='Tasks Filter'!$F$3,AW251&lt;='Tasks Filter'!$F$4,OR('Tasks Filter'!$I$3="",ISNUMBER(SEARCH('Tasks Filter'!$I$3,AU251))),OR('Tasks Filter'!$I$4="",BF251=IFERROR(MATCH('Tasks Filter'!$I$4,Setup!$L$6:$L$9,0),0)),OR('Tasks Filter'!$I$5="Both",AND('Tasks Filter'!$I$5="Yes",BB251="✓"),AND('Tasks Filter'!$I$5="No",BB251&lt;&gt;"✓")),OR('Tasks Filter'!$L$3="",AV251='Tasks Filter'!$L$3),OR('Tasks Filter'!$L$4="",AZ251='Tasks Filter'!$L$4),OR('Tasks Filter'!$L$5="",BC251='Tasks Filter'!$L$5),OR('Tasks Filter'!$O$3="",BD251='Tasks Filter'!$O$3),OR('Tasks Filter'!$O$4="Yes",BG251=0)),1,0))</f>
        <v/>
      </c>
      <c r="BJ251">
        <f>IF(BH251=0,"",IF('Tasks Filter'!$F$6="Descending",-1,1)*CHOOSE(MATCH('Tasks Filter'!$F$5,Lists!$G$2:$G$6,0),AW251,BF251,IFERROR(MATCH(AV251,Setup!$F$6:$F$15,0),99),IFERROR(MATCH(BC251,Setup!$H$6:$H$15,0),99),IFERROR(MATCH(AZ251,Setup!$J$6:$J$11,0),99))*1E+9+(AW251-40000)*10000+250)</f>
        <v/>
      </c>
      <c r="BK251">
        <f>IF(BI251=1,BJ251,"")</f>
        <v/>
      </c>
      <c r="BL251">
        <f>IF(AND(BH251=1,BG251=0,N(AW251)&lt;Setup!$D$7),(AW251-40000)*10000+250,"")</f>
        <v/>
      </c>
      <c r="BM251">
        <f>IF(AND(BH251=1,AZ251&lt;&gt;"Cancelled",N(AW251)&gt;=Dashboard!$AB$3,N(AW251)&lt;=Dashboard!$AB$3+6),(AW251-40000)*100000+BF251*10000+250,"")</f>
        <v/>
      </c>
      <c r="BN251">
        <f>IF(AND(BH251=1,AZ251&lt;&gt;"Cancelled"),BF251*10000+250,"")</f>
        <v/>
      </c>
    </row>
    <row r="252">
      <c r="A252">
        <f>Setup!$D$5+250</f>
        <v/>
      </c>
      <c r="B252">
        <f>IF('Recurring Schedule'!$C$6="","",IF('Recurring Schedule'!$F$6="","",IF(OR($A252&lt;'Recurring Schedule'!$F$6,$A252&gt;'Recurring Schedule'!$P$6),"",IF(IF('Recurring Schedule'!$N$6&gt;0,MOD($A252-'Recurring Schedule'!$F$6,'Recurring Schedule'!$N$6)=0,IF('Recurring Schedule'!$O$6&gt;0,AND(DAY($A252)=MIN(DAY('Recurring Schedule'!$F$6),DAY(EOMONTH($A252,0))),MOD((YEAR($A252)-YEAR('Recurring Schedule'!$F$6))*12+MONTH($A252)-MONTH('Recurring Schedule'!$F$6),'Recurring Schedule'!$O$6)=0),IF('Recurring Schedule'!$E$6="Weekdays",WEEKDAY($A252,2)&lt;=5,$A252='Recurring Schedule'!$F$6))),1,""))))</f>
        <v/>
      </c>
      <c r="C252">
        <f>IF('Recurring Schedule'!$C$7="","",IF('Recurring Schedule'!$F$7="","",IF(OR($A252&lt;'Recurring Schedule'!$F$7,$A252&gt;'Recurring Schedule'!$P$7),"",IF(IF('Recurring Schedule'!$N$7&gt;0,MOD($A252-'Recurring Schedule'!$F$7,'Recurring Schedule'!$N$7)=0,IF('Recurring Schedule'!$O$7&gt;0,AND(DAY($A252)=MIN(DAY('Recurring Schedule'!$F$7),DAY(EOMONTH($A252,0))),MOD((YEAR($A252)-YEAR('Recurring Schedule'!$F$7))*12+MONTH($A252)-MONTH('Recurring Schedule'!$F$7),'Recurring Schedule'!$O$7)=0),IF('Recurring Schedule'!$E$7="Weekdays",WEEKDAY($A252,2)&lt;=5,$A252='Recurring Schedule'!$F$7))),2,""))))</f>
        <v/>
      </c>
      <c r="D252">
        <f>IF('Recurring Schedule'!$C$8="","",IF('Recurring Schedule'!$F$8="","",IF(OR($A252&lt;'Recurring Schedule'!$F$8,$A252&gt;'Recurring Schedule'!$P$8),"",IF(IF('Recurring Schedule'!$N$8&gt;0,MOD($A252-'Recurring Schedule'!$F$8,'Recurring Schedule'!$N$8)=0,IF('Recurring Schedule'!$O$8&gt;0,AND(DAY($A252)=MIN(DAY('Recurring Schedule'!$F$8),DAY(EOMONTH($A252,0))),MOD((YEAR($A252)-YEAR('Recurring Schedule'!$F$8))*12+MONTH($A252)-MONTH('Recurring Schedule'!$F$8),'Recurring Schedule'!$O$8)=0),IF('Recurring Schedule'!$E$8="Weekdays",WEEKDAY($A252,2)&lt;=5,$A252='Recurring Schedule'!$F$8))),3,""))))</f>
        <v/>
      </c>
      <c r="E252">
        <f>IF('Recurring Schedule'!$C$9="","",IF('Recurring Schedule'!$F$9="","",IF(OR($A252&lt;'Recurring Schedule'!$F$9,$A252&gt;'Recurring Schedule'!$P$9),"",IF(IF('Recurring Schedule'!$N$9&gt;0,MOD($A252-'Recurring Schedule'!$F$9,'Recurring Schedule'!$N$9)=0,IF('Recurring Schedule'!$O$9&gt;0,AND(DAY($A252)=MIN(DAY('Recurring Schedule'!$F$9),DAY(EOMONTH($A252,0))),MOD((YEAR($A252)-YEAR('Recurring Schedule'!$F$9))*12+MONTH($A252)-MONTH('Recurring Schedule'!$F$9),'Recurring Schedule'!$O$9)=0),IF('Recurring Schedule'!$E$9="Weekdays",WEEKDAY($A252,2)&lt;=5,$A252='Recurring Schedule'!$F$9))),4,""))))</f>
        <v/>
      </c>
      <c r="F252">
        <f>IF('Recurring Schedule'!$C$10="","",IF('Recurring Schedule'!$F$10="","",IF(OR($A252&lt;'Recurring Schedule'!$F$10,$A252&gt;'Recurring Schedule'!$P$10),"",IF(IF('Recurring Schedule'!$N$10&gt;0,MOD($A252-'Recurring Schedule'!$F$10,'Recurring Schedule'!$N$10)=0,IF('Recurring Schedule'!$O$10&gt;0,AND(DAY($A252)=MIN(DAY('Recurring Schedule'!$F$10),DAY(EOMONTH($A252,0))),MOD((YEAR($A252)-YEAR('Recurring Schedule'!$F$10))*12+MONTH($A252)-MONTH('Recurring Schedule'!$F$10),'Recurring Schedule'!$O$10)=0),IF('Recurring Schedule'!$E$10="Weekdays",WEEKDAY($A252,2)&lt;=5,$A252='Recurring Schedule'!$F$10))),5,""))))</f>
        <v/>
      </c>
      <c r="G252">
        <f>IF('Recurring Schedule'!$C$11="","",IF('Recurring Schedule'!$F$11="","",IF(OR($A252&lt;'Recurring Schedule'!$F$11,$A252&gt;'Recurring Schedule'!$P$11),"",IF(IF('Recurring Schedule'!$N$11&gt;0,MOD($A252-'Recurring Schedule'!$F$11,'Recurring Schedule'!$N$11)=0,IF('Recurring Schedule'!$O$11&gt;0,AND(DAY($A252)=MIN(DAY('Recurring Schedule'!$F$11),DAY(EOMONTH($A252,0))),MOD((YEAR($A252)-YEAR('Recurring Schedule'!$F$11))*12+MONTH($A252)-MONTH('Recurring Schedule'!$F$11),'Recurring Schedule'!$O$11)=0),IF('Recurring Schedule'!$E$11="Weekdays",WEEKDAY($A252,2)&lt;=5,$A252='Recurring Schedule'!$F$11))),6,""))))</f>
        <v/>
      </c>
      <c r="H252">
        <f>IF('Recurring Schedule'!$C$12="","",IF('Recurring Schedule'!$F$12="","",IF(OR($A252&lt;'Recurring Schedule'!$F$12,$A252&gt;'Recurring Schedule'!$P$12),"",IF(IF('Recurring Schedule'!$N$12&gt;0,MOD($A252-'Recurring Schedule'!$F$12,'Recurring Schedule'!$N$12)=0,IF('Recurring Schedule'!$O$12&gt;0,AND(DAY($A252)=MIN(DAY('Recurring Schedule'!$F$12),DAY(EOMONTH($A252,0))),MOD((YEAR($A252)-YEAR('Recurring Schedule'!$F$12))*12+MONTH($A252)-MONTH('Recurring Schedule'!$F$12),'Recurring Schedule'!$O$12)=0),IF('Recurring Schedule'!$E$12="Weekdays",WEEKDAY($A252,2)&lt;=5,$A252='Recurring Schedule'!$F$12))),7,""))))</f>
        <v/>
      </c>
      <c r="I252">
        <f>IF('Recurring Schedule'!$C$13="","",IF('Recurring Schedule'!$F$13="","",IF(OR($A252&lt;'Recurring Schedule'!$F$13,$A252&gt;'Recurring Schedule'!$P$13),"",IF(IF('Recurring Schedule'!$N$13&gt;0,MOD($A252-'Recurring Schedule'!$F$13,'Recurring Schedule'!$N$13)=0,IF('Recurring Schedule'!$O$13&gt;0,AND(DAY($A252)=MIN(DAY('Recurring Schedule'!$F$13),DAY(EOMONTH($A252,0))),MOD((YEAR($A252)-YEAR('Recurring Schedule'!$F$13))*12+MONTH($A252)-MONTH('Recurring Schedule'!$F$13),'Recurring Schedule'!$O$13)=0),IF('Recurring Schedule'!$E$13="Weekdays",WEEKDAY($A252,2)&lt;=5,$A252='Recurring Schedule'!$F$13))),8,""))))</f>
        <v/>
      </c>
      <c r="J252">
        <f>IF('Recurring Schedule'!$C$14="","",IF('Recurring Schedule'!$F$14="","",IF(OR($A252&lt;'Recurring Schedule'!$F$14,$A252&gt;'Recurring Schedule'!$P$14),"",IF(IF('Recurring Schedule'!$N$14&gt;0,MOD($A252-'Recurring Schedule'!$F$14,'Recurring Schedule'!$N$14)=0,IF('Recurring Schedule'!$O$14&gt;0,AND(DAY($A252)=MIN(DAY('Recurring Schedule'!$F$14),DAY(EOMONTH($A252,0))),MOD((YEAR($A252)-YEAR('Recurring Schedule'!$F$14))*12+MONTH($A252)-MONTH('Recurring Schedule'!$F$14),'Recurring Schedule'!$O$14)=0),IF('Recurring Schedule'!$E$14="Weekdays",WEEKDAY($A252,2)&lt;=5,$A252='Recurring Schedule'!$F$14))),9,""))))</f>
        <v/>
      </c>
      <c r="K252">
        <f>IF('Recurring Schedule'!$C$15="","",IF('Recurring Schedule'!$F$15="","",IF(OR($A252&lt;'Recurring Schedule'!$F$15,$A252&gt;'Recurring Schedule'!$P$15),"",IF(IF('Recurring Schedule'!$N$15&gt;0,MOD($A252-'Recurring Schedule'!$F$15,'Recurring Schedule'!$N$15)=0,IF('Recurring Schedule'!$O$15&gt;0,AND(DAY($A252)=MIN(DAY('Recurring Schedule'!$F$15),DAY(EOMONTH($A252,0))),MOD((YEAR($A252)-YEAR('Recurring Schedule'!$F$15))*12+MONTH($A252)-MONTH('Recurring Schedule'!$F$15),'Recurring Schedule'!$O$15)=0),IF('Recurring Schedule'!$E$15="Weekdays",WEEKDAY($A252,2)&lt;=5,$A252='Recurring Schedule'!$F$15))),10,""))))</f>
        <v/>
      </c>
      <c r="L252">
        <f>IF('Recurring Schedule'!$C$16="","",IF('Recurring Schedule'!$F$16="","",IF(OR($A252&lt;'Recurring Schedule'!$F$16,$A252&gt;'Recurring Schedule'!$P$16),"",IF(IF('Recurring Schedule'!$N$16&gt;0,MOD($A252-'Recurring Schedule'!$F$16,'Recurring Schedule'!$N$16)=0,IF('Recurring Schedule'!$O$16&gt;0,AND(DAY($A252)=MIN(DAY('Recurring Schedule'!$F$16),DAY(EOMONTH($A252,0))),MOD((YEAR($A252)-YEAR('Recurring Schedule'!$F$16))*12+MONTH($A252)-MONTH('Recurring Schedule'!$F$16),'Recurring Schedule'!$O$16)=0),IF('Recurring Schedule'!$E$16="Weekdays",WEEKDAY($A252,2)&lt;=5,$A252='Recurring Schedule'!$F$16))),11,""))))</f>
        <v/>
      </c>
      <c r="M252">
        <f>IF('Recurring Schedule'!$C$17="","",IF('Recurring Schedule'!$F$17="","",IF(OR($A252&lt;'Recurring Schedule'!$F$17,$A252&gt;'Recurring Schedule'!$P$17),"",IF(IF('Recurring Schedule'!$N$17&gt;0,MOD($A252-'Recurring Schedule'!$F$17,'Recurring Schedule'!$N$17)=0,IF('Recurring Schedule'!$O$17&gt;0,AND(DAY($A252)=MIN(DAY('Recurring Schedule'!$F$17),DAY(EOMONTH($A252,0))),MOD((YEAR($A252)-YEAR('Recurring Schedule'!$F$17))*12+MONTH($A252)-MONTH('Recurring Schedule'!$F$17),'Recurring Schedule'!$O$17)=0),IF('Recurring Schedule'!$E$17="Weekdays",WEEKDAY($A252,2)&lt;=5,$A252='Recurring Schedule'!$F$17))),12,""))))</f>
        <v/>
      </c>
      <c r="N252">
        <f>IF('Recurring Schedule'!$C$18="","",IF('Recurring Schedule'!$F$18="","",IF(OR($A252&lt;'Recurring Schedule'!$F$18,$A252&gt;'Recurring Schedule'!$P$18),"",IF(IF('Recurring Schedule'!$N$18&gt;0,MOD($A252-'Recurring Schedule'!$F$18,'Recurring Schedule'!$N$18)=0,IF('Recurring Schedule'!$O$18&gt;0,AND(DAY($A252)=MIN(DAY('Recurring Schedule'!$F$18),DAY(EOMONTH($A252,0))),MOD((YEAR($A252)-YEAR('Recurring Schedule'!$F$18))*12+MONTH($A252)-MONTH('Recurring Schedule'!$F$18),'Recurring Schedule'!$O$18)=0),IF('Recurring Schedule'!$E$18="Weekdays",WEEKDAY($A252,2)&lt;=5,$A252='Recurring Schedule'!$F$18))),13,""))))</f>
        <v/>
      </c>
      <c r="O252">
        <f>IF('Recurring Schedule'!$C$19="","",IF('Recurring Schedule'!$F$19="","",IF(OR($A252&lt;'Recurring Schedule'!$F$19,$A252&gt;'Recurring Schedule'!$P$19),"",IF(IF('Recurring Schedule'!$N$19&gt;0,MOD($A252-'Recurring Schedule'!$F$19,'Recurring Schedule'!$N$19)=0,IF('Recurring Schedule'!$O$19&gt;0,AND(DAY($A252)=MIN(DAY('Recurring Schedule'!$F$19),DAY(EOMONTH($A252,0))),MOD((YEAR($A252)-YEAR('Recurring Schedule'!$F$19))*12+MONTH($A252)-MONTH('Recurring Schedule'!$F$19),'Recurring Schedule'!$O$19)=0),IF('Recurring Schedule'!$E$19="Weekdays",WEEKDAY($A252,2)&lt;=5,$A252='Recurring Schedule'!$F$19))),14,""))))</f>
        <v/>
      </c>
      <c r="P252">
        <f>IF('Recurring Schedule'!$C$20="","",IF('Recurring Schedule'!$F$20="","",IF(OR($A252&lt;'Recurring Schedule'!$F$20,$A252&gt;'Recurring Schedule'!$P$20),"",IF(IF('Recurring Schedule'!$N$20&gt;0,MOD($A252-'Recurring Schedule'!$F$20,'Recurring Schedule'!$N$20)=0,IF('Recurring Schedule'!$O$20&gt;0,AND(DAY($A252)=MIN(DAY('Recurring Schedule'!$F$20),DAY(EOMONTH($A252,0))),MOD((YEAR($A252)-YEAR('Recurring Schedule'!$F$20))*12+MONTH($A252)-MONTH('Recurring Schedule'!$F$20),'Recurring Schedule'!$O$20)=0),IF('Recurring Schedule'!$E$20="Weekdays",WEEKDAY($A252,2)&lt;=5,$A252='Recurring Schedule'!$F$20))),15,""))))</f>
        <v/>
      </c>
      <c r="Q252">
        <f>IF('Recurring Schedule'!$C$21="","",IF('Recurring Schedule'!$F$21="","",IF(OR($A252&lt;'Recurring Schedule'!$F$21,$A252&gt;'Recurring Schedule'!$P$21),"",IF(IF('Recurring Schedule'!$N$21&gt;0,MOD($A252-'Recurring Schedule'!$F$21,'Recurring Schedule'!$N$21)=0,IF('Recurring Schedule'!$O$21&gt;0,AND(DAY($A252)=MIN(DAY('Recurring Schedule'!$F$21),DAY(EOMONTH($A252,0))),MOD((YEAR($A252)-YEAR('Recurring Schedule'!$F$21))*12+MONTH($A252)-MONTH('Recurring Schedule'!$F$21),'Recurring Schedule'!$O$21)=0),IF('Recurring Schedule'!$E$21="Weekdays",WEEKDAY($A252,2)&lt;=5,$A252='Recurring Schedule'!$F$21))),16,""))))</f>
        <v/>
      </c>
      <c r="R252">
        <f>IF('Recurring Schedule'!$C$22="","",IF('Recurring Schedule'!$F$22="","",IF(OR($A252&lt;'Recurring Schedule'!$F$22,$A252&gt;'Recurring Schedule'!$P$22),"",IF(IF('Recurring Schedule'!$N$22&gt;0,MOD($A252-'Recurring Schedule'!$F$22,'Recurring Schedule'!$N$22)=0,IF('Recurring Schedule'!$O$22&gt;0,AND(DAY($A252)=MIN(DAY('Recurring Schedule'!$F$22),DAY(EOMONTH($A252,0))),MOD((YEAR($A252)-YEAR('Recurring Schedule'!$F$22))*12+MONTH($A252)-MONTH('Recurring Schedule'!$F$22),'Recurring Schedule'!$O$22)=0),IF('Recurring Schedule'!$E$22="Weekdays",WEEKDAY($A252,2)&lt;=5,$A252='Recurring Schedule'!$F$22))),17,""))))</f>
        <v/>
      </c>
      <c r="S252">
        <f>IF('Recurring Schedule'!$C$23="","",IF('Recurring Schedule'!$F$23="","",IF(OR($A252&lt;'Recurring Schedule'!$F$23,$A252&gt;'Recurring Schedule'!$P$23),"",IF(IF('Recurring Schedule'!$N$23&gt;0,MOD($A252-'Recurring Schedule'!$F$23,'Recurring Schedule'!$N$23)=0,IF('Recurring Schedule'!$O$23&gt;0,AND(DAY($A252)=MIN(DAY('Recurring Schedule'!$F$23),DAY(EOMONTH($A252,0))),MOD((YEAR($A252)-YEAR('Recurring Schedule'!$F$23))*12+MONTH($A252)-MONTH('Recurring Schedule'!$F$23),'Recurring Schedule'!$O$23)=0),IF('Recurring Schedule'!$E$23="Weekdays",WEEKDAY($A252,2)&lt;=5,$A252='Recurring Schedule'!$F$23))),18,""))))</f>
        <v/>
      </c>
      <c r="T252">
        <f>IF('Recurring Schedule'!$C$24="","",IF('Recurring Schedule'!$F$24="","",IF(OR($A252&lt;'Recurring Schedule'!$F$24,$A252&gt;'Recurring Schedule'!$P$24),"",IF(IF('Recurring Schedule'!$N$24&gt;0,MOD($A252-'Recurring Schedule'!$F$24,'Recurring Schedule'!$N$24)=0,IF('Recurring Schedule'!$O$24&gt;0,AND(DAY($A252)=MIN(DAY('Recurring Schedule'!$F$24),DAY(EOMONTH($A252,0))),MOD((YEAR($A252)-YEAR('Recurring Schedule'!$F$24))*12+MONTH($A252)-MONTH('Recurring Schedule'!$F$24),'Recurring Schedule'!$O$24)=0),IF('Recurring Schedule'!$E$24="Weekdays",WEEKDAY($A252,2)&lt;=5,$A252='Recurring Schedule'!$F$24))),19,""))))</f>
        <v/>
      </c>
      <c r="U252">
        <f>IF('Recurring Schedule'!$C$25="","",IF('Recurring Schedule'!$F$25="","",IF(OR($A252&lt;'Recurring Schedule'!$F$25,$A252&gt;'Recurring Schedule'!$P$25),"",IF(IF('Recurring Schedule'!$N$25&gt;0,MOD($A252-'Recurring Schedule'!$F$25,'Recurring Schedule'!$N$25)=0,IF('Recurring Schedule'!$O$25&gt;0,AND(DAY($A252)=MIN(DAY('Recurring Schedule'!$F$25),DAY(EOMONTH($A252,0))),MOD((YEAR($A252)-YEAR('Recurring Schedule'!$F$25))*12+MONTH($A252)-MONTH('Recurring Schedule'!$F$25),'Recurring Schedule'!$O$25)=0),IF('Recurring Schedule'!$E$25="Weekdays",WEEKDAY($A252,2)&lt;=5,$A252='Recurring Schedule'!$F$25))),20,""))))</f>
        <v/>
      </c>
      <c r="V252">
        <f>IF('Recurring Schedule'!$C$26="","",IF('Recurring Schedule'!$F$26="","",IF(OR($A252&lt;'Recurring Schedule'!$F$26,$A252&gt;'Recurring Schedule'!$P$26),"",IF(IF('Recurring Schedule'!$N$26&gt;0,MOD($A252-'Recurring Schedule'!$F$26,'Recurring Schedule'!$N$26)=0,IF('Recurring Schedule'!$O$26&gt;0,AND(DAY($A252)=MIN(DAY('Recurring Schedule'!$F$26),DAY(EOMONTH($A252,0))),MOD((YEAR($A252)-YEAR('Recurring Schedule'!$F$26))*12+MONTH($A252)-MONTH('Recurring Schedule'!$F$26),'Recurring Schedule'!$O$26)=0),IF('Recurring Schedule'!$E$26="Weekdays",WEEKDAY($A252,2)&lt;=5,$A252='Recurring Schedule'!$F$26))),21,""))))</f>
        <v/>
      </c>
      <c r="W252">
        <f>IF('Recurring Schedule'!$C$27="","",IF('Recurring Schedule'!$F$27="","",IF(OR($A252&lt;'Recurring Schedule'!$F$27,$A252&gt;'Recurring Schedule'!$P$27),"",IF(IF('Recurring Schedule'!$N$27&gt;0,MOD($A252-'Recurring Schedule'!$F$27,'Recurring Schedule'!$N$27)=0,IF('Recurring Schedule'!$O$27&gt;0,AND(DAY($A252)=MIN(DAY('Recurring Schedule'!$F$27),DAY(EOMONTH($A252,0))),MOD((YEAR($A252)-YEAR('Recurring Schedule'!$F$27))*12+MONTH($A252)-MONTH('Recurring Schedule'!$F$27),'Recurring Schedule'!$O$27)=0),IF('Recurring Schedule'!$E$27="Weekdays",WEEKDAY($A252,2)&lt;=5,$A252='Recurring Schedule'!$F$27))),22,""))))</f>
        <v/>
      </c>
      <c r="X252">
        <f>IF('Recurring Schedule'!$C$28="","",IF('Recurring Schedule'!$F$28="","",IF(OR($A252&lt;'Recurring Schedule'!$F$28,$A252&gt;'Recurring Schedule'!$P$28),"",IF(IF('Recurring Schedule'!$N$28&gt;0,MOD($A252-'Recurring Schedule'!$F$28,'Recurring Schedule'!$N$28)=0,IF('Recurring Schedule'!$O$28&gt;0,AND(DAY($A252)=MIN(DAY('Recurring Schedule'!$F$28),DAY(EOMONTH($A252,0))),MOD((YEAR($A252)-YEAR('Recurring Schedule'!$F$28))*12+MONTH($A252)-MONTH('Recurring Schedule'!$F$28),'Recurring Schedule'!$O$28)=0),IF('Recurring Schedule'!$E$28="Weekdays",WEEKDAY($A252,2)&lt;=5,$A252='Recurring Schedule'!$F$28))),23,""))))</f>
        <v/>
      </c>
      <c r="Y252">
        <f>IF('Recurring Schedule'!$C$29="","",IF('Recurring Schedule'!$F$29="","",IF(OR($A252&lt;'Recurring Schedule'!$F$29,$A252&gt;'Recurring Schedule'!$P$29),"",IF(IF('Recurring Schedule'!$N$29&gt;0,MOD($A252-'Recurring Schedule'!$F$29,'Recurring Schedule'!$N$29)=0,IF('Recurring Schedule'!$O$29&gt;0,AND(DAY($A252)=MIN(DAY('Recurring Schedule'!$F$29),DAY(EOMONTH($A252,0))),MOD((YEAR($A252)-YEAR('Recurring Schedule'!$F$29))*12+MONTH($A252)-MONTH('Recurring Schedule'!$F$29),'Recurring Schedule'!$O$29)=0),IF('Recurring Schedule'!$E$29="Weekdays",WEEKDAY($A252,2)&lt;=5,$A252='Recurring Schedule'!$F$29))),24,""))))</f>
        <v/>
      </c>
      <c r="Z252">
        <f>IF('Recurring Schedule'!$C$30="","",IF('Recurring Schedule'!$F$30="","",IF(OR($A252&lt;'Recurring Schedule'!$F$30,$A252&gt;'Recurring Schedule'!$P$30),"",IF(IF('Recurring Schedule'!$N$30&gt;0,MOD($A252-'Recurring Schedule'!$F$30,'Recurring Schedule'!$N$30)=0,IF('Recurring Schedule'!$O$30&gt;0,AND(DAY($A252)=MIN(DAY('Recurring Schedule'!$F$30),DAY(EOMONTH($A252,0))),MOD((YEAR($A252)-YEAR('Recurring Schedule'!$F$30))*12+MONTH($A252)-MONTH('Recurring Schedule'!$F$30),'Recurring Schedule'!$O$30)=0),IF('Recurring Schedule'!$E$30="Weekdays",WEEKDAY($A252,2)&lt;=5,$A252='Recurring Schedule'!$F$30))),25,""))))</f>
        <v/>
      </c>
      <c r="AA252">
        <f>IF('Recurring Schedule'!$C$31="","",IF('Recurring Schedule'!$F$31="","",IF(OR($A252&lt;'Recurring Schedule'!$F$31,$A252&gt;'Recurring Schedule'!$P$31),"",IF(IF('Recurring Schedule'!$N$31&gt;0,MOD($A252-'Recurring Schedule'!$F$31,'Recurring Schedule'!$N$31)=0,IF('Recurring Schedule'!$O$31&gt;0,AND(DAY($A252)=MIN(DAY('Recurring Schedule'!$F$31),DAY(EOMONTH($A252,0))),MOD((YEAR($A252)-YEAR('Recurring Schedule'!$F$31))*12+MONTH($A252)-MONTH('Recurring Schedule'!$F$31),'Recurring Schedule'!$O$31)=0),IF('Recurring Schedule'!$E$31="Weekdays",WEEKDAY($A252,2)&lt;=5,$A252='Recurring Schedule'!$F$31))),26,""))))</f>
        <v/>
      </c>
      <c r="AB252">
        <f>IF('Recurring Schedule'!$C$32="","",IF('Recurring Schedule'!$F$32="","",IF(OR($A252&lt;'Recurring Schedule'!$F$32,$A252&gt;'Recurring Schedule'!$P$32),"",IF(IF('Recurring Schedule'!$N$32&gt;0,MOD($A252-'Recurring Schedule'!$F$32,'Recurring Schedule'!$N$32)=0,IF('Recurring Schedule'!$O$32&gt;0,AND(DAY($A252)=MIN(DAY('Recurring Schedule'!$F$32),DAY(EOMONTH($A252,0))),MOD((YEAR($A252)-YEAR('Recurring Schedule'!$F$32))*12+MONTH($A252)-MONTH('Recurring Schedule'!$F$32),'Recurring Schedule'!$O$32)=0),IF('Recurring Schedule'!$E$32="Weekdays",WEEKDAY($A252,2)&lt;=5,$A252='Recurring Schedule'!$F$32))),27,""))))</f>
        <v/>
      </c>
      <c r="AC252">
        <f>IF('Recurring Schedule'!$C$33="","",IF('Recurring Schedule'!$F$33="","",IF(OR($A252&lt;'Recurring Schedule'!$F$33,$A252&gt;'Recurring Schedule'!$P$33),"",IF(IF('Recurring Schedule'!$N$33&gt;0,MOD($A252-'Recurring Schedule'!$F$33,'Recurring Schedule'!$N$33)=0,IF('Recurring Schedule'!$O$33&gt;0,AND(DAY($A252)=MIN(DAY('Recurring Schedule'!$F$33),DAY(EOMONTH($A252,0))),MOD((YEAR($A252)-YEAR('Recurring Schedule'!$F$33))*12+MONTH($A252)-MONTH('Recurring Schedule'!$F$33),'Recurring Schedule'!$O$33)=0),IF('Recurring Schedule'!$E$33="Weekdays",WEEKDAY($A252,2)&lt;=5,$A252='Recurring Schedule'!$F$33))),28,""))))</f>
        <v/>
      </c>
      <c r="AD252">
        <f>IF('Recurring Schedule'!$C$34="","",IF('Recurring Schedule'!$F$34="","",IF(OR($A252&lt;'Recurring Schedule'!$F$34,$A252&gt;'Recurring Schedule'!$P$34),"",IF(IF('Recurring Schedule'!$N$34&gt;0,MOD($A252-'Recurring Schedule'!$F$34,'Recurring Schedule'!$N$34)=0,IF('Recurring Schedule'!$O$34&gt;0,AND(DAY($A252)=MIN(DAY('Recurring Schedule'!$F$34),DAY(EOMONTH($A252,0))),MOD((YEAR($A252)-YEAR('Recurring Schedule'!$F$34))*12+MONTH($A252)-MONTH('Recurring Schedule'!$F$34),'Recurring Schedule'!$O$34)=0),IF('Recurring Schedule'!$E$34="Weekdays",WEEKDAY($A252,2)&lt;=5,$A252='Recurring Schedule'!$F$34))),29,""))))</f>
        <v/>
      </c>
      <c r="AE252">
        <f>IF('Recurring Schedule'!$C$35="","",IF('Recurring Schedule'!$F$35="","",IF(OR($A252&lt;'Recurring Schedule'!$F$35,$A252&gt;'Recurring Schedule'!$P$35),"",IF(IF('Recurring Schedule'!$N$35&gt;0,MOD($A252-'Recurring Schedule'!$F$35,'Recurring Schedule'!$N$35)=0,IF('Recurring Schedule'!$O$35&gt;0,AND(DAY($A252)=MIN(DAY('Recurring Schedule'!$F$35),DAY(EOMONTH($A252,0))),MOD((YEAR($A252)-YEAR('Recurring Schedule'!$F$35))*12+MONTH($A252)-MONTH('Recurring Schedule'!$F$35),'Recurring Schedule'!$O$35)=0),IF('Recurring Schedule'!$E$35="Weekdays",WEEKDAY($A252,2)&lt;=5,$A252='Recurring Schedule'!$F$35))),30,""))))</f>
        <v/>
      </c>
      <c r="AF252">
        <f>IF('Recurring Schedule'!$C$36="","",IF('Recurring Schedule'!$F$36="","",IF(OR($A252&lt;'Recurring Schedule'!$F$36,$A252&gt;'Recurring Schedule'!$P$36),"",IF(IF('Recurring Schedule'!$N$36&gt;0,MOD($A252-'Recurring Schedule'!$F$36,'Recurring Schedule'!$N$36)=0,IF('Recurring Schedule'!$O$36&gt;0,AND(DAY($A252)=MIN(DAY('Recurring Schedule'!$F$36),DAY(EOMONTH($A252,0))),MOD((YEAR($A252)-YEAR('Recurring Schedule'!$F$36))*12+MONTH($A252)-MONTH('Recurring Schedule'!$F$36),'Recurring Schedule'!$O$36)=0),IF('Recurring Schedule'!$E$36="Weekdays",WEEKDAY($A252,2)&lt;=5,$A252='Recurring Schedule'!$F$36))),31,""))))</f>
        <v/>
      </c>
      <c r="AG252">
        <f>IF('Recurring Schedule'!$C$37="","",IF('Recurring Schedule'!$F$37="","",IF(OR($A252&lt;'Recurring Schedule'!$F$37,$A252&gt;'Recurring Schedule'!$P$37),"",IF(IF('Recurring Schedule'!$N$37&gt;0,MOD($A252-'Recurring Schedule'!$F$37,'Recurring Schedule'!$N$37)=0,IF('Recurring Schedule'!$O$37&gt;0,AND(DAY($A252)=MIN(DAY('Recurring Schedule'!$F$37),DAY(EOMONTH($A252,0))),MOD((YEAR($A252)-YEAR('Recurring Schedule'!$F$37))*12+MONTH($A252)-MONTH('Recurring Schedule'!$F$37),'Recurring Schedule'!$O$37)=0),IF('Recurring Schedule'!$E$37="Weekdays",WEEKDAY($A252,2)&lt;=5,$A252='Recurring Schedule'!$F$37))),32,""))))</f>
        <v/>
      </c>
      <c r="AH252">
        <f>IF('Recurring Schedule'!$C$38="","",IF('Recurring Schedule'!$F$38="","",IF(OR($A252&lt;'Recurring Schedule'!$F$38,$A252&gt;'Recurring Schedule'!$P$38),"",IF(IF('Recurring Schedule'!$N$38&gt;0,MOD($A252-'Recurring Schedule'!$F$38,'Recurring Schedule'!$N$38)=0,IF('Recurring Schedule'!$O$38&gt;0,AND(DAY($A252)=MIN(DAY('Recurring Schedule'!$F$38),DAY(EOMONTH($A252,0))),MOD((YEAR($A252)-YEAR('Recurring Schedule'!$F$38))*12+MONTH($A252)-MONTH('Recurring Schedule'!$F$38),'Recurring Schedule'!$O$38)=0),IF('Recurring Schedule'!$E$38="Weekdays",WEEKDAY($A252,2)&lt;=5,$A252='Recurring Schedule'!$F$38))),33,""))))</f>
        <v/>
      </c>
      <c r="AI252">
        <f>IF('Recurring Schedule'!$C$39="","",IF('Recurring Schedule'!$F$39="","",IF(OR($A252&lt;'Recurring Schedule'!$F$39,$A252&gt;'Recurring Schedule'!$P$39),"",IF(IF('Recurring Schedule'!$N$39&gt;0,MOD($A252-'Recurring Schedule'!$F$39,'Recurring Schedule'!$N$39)=0,IF('Recurring Schedule'!$O$39&gt;0,AND(DAY($A252)=MIN(DAY('Recurring Schedule'!$F$39),DAY(EOMONTH($A252,0))),MOD((YEAR($A252)-YEAR('Recurring Schedule'!$F$39))*12+MONTH($A252)-MONTH('Recurring Schedule'!$F$39),'Recurring Schedule'!$O$39)=0),IF('Recurring Schedule'!$E$39="Weekdays",WEEKDAY($A252,2)&lt;=5,$A252='Recurring Schedule'!$F$39))),34,""))))</f>
        <v/>
      </c>
      <c r="AJ252">
        <f>IF('Recurring Schedule'!$C$40="","",IF('Recurring Schedule'!$F$40="","",IF(OR($A252&lt;'Recurring Schedule'!$F$40,$A252&gt;'Recurring Schedule'!$P$40),"",IF(IF('Recurring Schedule'!$N$40&gt;0,MOD($A252-'Recurring Schedule'!$F$40,'Recurring Schedule'!$N$40)=0,IF('Recurring Schedule'!$O$40&gt;0,AND(DAY($A252)=MIN(DAY('Recurring Schedule'!$F$40),DAY(EOMONTH($A252,0))),MOD((YEAR($A252)-YEAR('Recurring Schedule'!$F$40))*12+MONTH($A252)-MONTH('Recurring Schedule'!$F$40),'Recurring Schedule'!$O$40)=0),IF('Recurring Schedule'!$E$40="Weekdays",WEEKDAY($A252,2)&lt;=5,$A252='Recurring Schedule'!$F$40))),35,""))))</f>
        <v/>
      </c>
      <c r="AK252">
        <f>IF('Recurring Schedule'!$C$41="","",IF('Recurring Schedule'!$F$41="","",IF(OR($A252&lt;'Recurring Schedule'!$F$41,$A252&gt;'Recurring Schedule'!$P$41),"",IF(IF('Recurring Schedule'!$N$41&gt;0,MOD($A252-'Recurring Schedule'!$F$41,'Recurring Schedule'!$N$41)=0,IF('Recurring Schedule'!$O$41&gt;0,AND(DAY($A252)=MIN(DAY('Recurring Schedule'!$F$41),DAY(EOMONTH($A252,0))),MOD((YEAR($A252)-YEAR('Recurring Schedule'!$F$41))*12+MONTH($A252)-MONTH('Recurring Schedule'!$F$41),'Recurring Schedule'!$O$41)=0),IF('Recurring Schedule'!$E$41="Weekdays",WEEKDAY($A252,2)&lt;=5,$A252='Recurring Schedule'!$F$41))),36,""))))</f>
        <v/>
      </c>
      <c r="AL252">
        <f>IF('Recurring Schedule'!$C$42="","",IF('Recurring Schedule'!$F$42="","",IF(OR($A252&lt;'Recurring Schedule'!$F$42,$A252&gt;'Recurring Schedule'!$P$42),"",IF(IF('Recurring Schedule'!$N$42&gt;0,MOD($A252-'Recurring Schedule'!$F$42,'Recurring Schedule'!$N$42)=0,IF('Recurring Schedule'!$O$42&gt;0,AND(DAY($A252)=MIN(DAY('Recurring Schedule'!$F$42),DAY(EOMONTH($A252,0))),MOD((YEAR($A252)-YEAR('Recurring Schedule'!$F$42))*12+MONTH($A252)-MONTH('Recurring Schedule'!$F$42),'Recurring Schedule'!$O$42)=0),IF('Recurring Schedule'!$E$42="Weekdays",WEEKDAY($A252,2)&lt;=5,$A252='Recurring Schedule'!$F$42))),37,""))))</f>
        <v/>
      </c>
      <c r="AM252">
        <f>IF('Recurring Schedule'!$C$43="","",IF('Recurring Schedule'!$F$43="","",IF(OR($A252&lt;'Recurring Schedule'!$F$43,$A252&gt;'Recurring Schedule'!$P$43),"",IF(IF('Recurring Schedule'!$N$43&gt;0,MOD($A252-'Recurring Schedule'!$F$43,'Recurring Schedule'!$N$43)=0,IF('Recurring Schedule'!$O$43&gt;0,AND(DAY($A252)=MIN(DAY('Recurring Schedule'!$F$43),DAY(EOMONTH($A252,0))),MOD((YEAR($A252)-YEAR('Recurring Schedule'!$F$43))*12+MONTH($A252)-MONTH('Recurring Schedule'!$F$43),'Recurring Schedule'!$O$43)=0),IF('Recurring Schedule'!$E$43="Weekdays",WEEKDAY($A252,2)&lt;=5,$A252='Recurring Schedule'!$F$43))),38,""))))</f>
        <v/>
      </c>
      <c r="AN252">
        <f>IF('Recurring Schedule'!$C$44="","",IF('Recurring Schedule'!$F$44="","",IF(OR($A252&lt;'Recurring Schedule'!$F$44,$A252&gt;'Recurring Schedule'!$P$44),"",IF(IF('Recurring Schedule'!$N$44&gt;0,MOD($A252-'Recurring Schedule'!$F$44,'Recurring Schedule'!$N$44)=0,IF('Recurring Schedule'!$O$44&gt;0,AND(DAY($A252)=MIN(DAY('Recurring Schedule'!$F$44),DAY(EOMONTH($A252,0))),MOD((YEAR($A252)-YEAR('Recurring Schedule'!$F$44))*12+MONTH($A252)-MONTH('Recurring Schedule'!$F$44),'Recurring Schedule'!$O$44)=0),IF('Recurring Schedule'!$E$44="Weekdays",WEEKDAY($A252,2)&lt;=5,$A252='Recurring Schedule'!$F$44))),39,""))))</f>
        <v/>
      </c>
      <c r="AO252">
        <f>IF('Recurring Schedule'!$C$45="","",IF('Recurring Schedule'!$F$45="","",IF(OR($A252&lt;'Recurring Schedule'!$F$45,$A252&gt;'Recurring Schedule'!$P$45),"",IF(IF('Recurring Schedule'!$N$45&gt;0,MOD($A252-'Recurring Schedule'!$F$45,'Recurring Schedule'!$N$45)=0,IF('Recurring Schedule'!$O$45&gt;0,AND(DAY($A252)=MIN(DAY('Recurring Schedule'!$F$45),DAY(EOMONTH($A252,0))),MOD((YEAR($A252)-YEAR('Recurring Schedule'!$F$45))*12+MONTH($A252)-MONTH('Recurring Schedule'!$F$45),'Recurring Schedule'!$O$45)=0),IF('Recurring Schedule'!$E$45="Weekdays",WEEKDAY($A252,2)&lt;=5,$A252='Recurring Schedule'!$F$45))),40,""))))</f>
        <v/>
      </c>
      <c r="AP252">
        <f>COUNT(B252:AO252)</f>
        <v/>
      </c>
      <c r="AQ252">
        <f>AQ251+AP251</f>
        <v/>
      </c>
      <c r="AS252" t="inlineStr">
        <is>
          <t>R</t>
        </is>
      </c>
      <c r="AT252" t="n">
        <v>256</v>
      </c>
      <c r="AU252">
        <f>'Recurring Log'!C256&amp;""</f>
        <v/>
      </c>
      <c r="AV252">
        <f>'Recurring Log'!D256&amp;""</f>
        <v/>
      </c>
      <c r="AW252">
        <f>IF('Recurring Log'!E256="","",'Recurring Log'!E256)</f>
        <v/>
      </c>
      <c r="AX252">
        <f>IF('Recurring Log'!G256="","",'Recurring Log'!G256)</f>
        <v/>
      </c>
      <c r="AY252">
        <f>IF('Recurring Log'!H256="","",'Recurring Log'!H256)</f>
        <v/>
      </c>
      <c r="AZ252">
        <f>IF(AU252="","",IF('Recurring Log'!J256="","Not Started",'Recurring Log'!J256))</f>
        <v/>
      </c>
      <c r="BA252">
        <f>'Recurring Log'!L256&amp;""</f>
        <v/>
      </c>
      <c r="BB252">
        <f>'Recurring Log'!M256&amp;""</f>
        <v/>
      </c>
      <c r="BC252">
        <f>'Recurring Log'!N256&amp;""</f>
        <v/>
      </c>
      <c r="BD252">
        <f>'Recurring Log'!O256&amp;""</f>
        <v/>
      </c>
      <c r="BE252">
        <f>IF('Recurring Log'!K256="","",'Recurring Log'!K256)</f>
        <v/>
      </c>
      <c r="BF252">
        <f>IFERROR(MATCH(BA252,Setup!$L$6:$L$9,0),5)</f>
        <v/>
      </c>
      <c r="BG252">
        <f>IF(OR(AZ252="Done",AZ252="Cancelled"),1,0)</f>
        <v/>
      </c>
      <c r="BH252">
        <f>IF(AND(AU252&lt;&gt;"",ISNUMBER(AW252)),1,0)</f>
        <v/>
      </c>
      <c r="BI252">
        <f>IF(BH252=0,0,IF(AND(AW252&gt;='Tasks Filter'!$F$3,AW252&lt;='Tasks Filter'!$F$4,OR('Tasks Filter'!$I$3="",ISNUMBER(SEARCH('Tasks Filter'!$I$3,AU252))),OR('Tasks Filter'!$I$4="",BF252=IFERROR(MATCH('Tasks Filter'!$I$4,Setup!$L$6:$L$9,0),0)),OR('Tasks Filter'!$I$5="Both",AND('Tasks Filter'!$I$5="Yes",BB252="✓"),AND('Tasks Filter'!$I$5="No",BB252&lt;&gt;"✓")),OR('Tasks Filter'!$L$3="",AV252='Tasks Filter'!$L$3),OR('Tasks Filter'!$L$4="",AZ252='Tasks Filter'!$L$4),OR('Tasks Filter'!$L$5="",BC252='Tasks Filter'!$L$5),OR('Tasks Filter'!$O$3="",BD252='Tasks Filter'!$O$3),OR('Tasks Filter'!$O$4="Yes",BG252=0)),1,0))</f>
        <v/>
      </c>
      <c r="BJ252">
        <f>IF(BH252=0,"",IF('Tasks Filter'!$F$6="Descending",-1,1)*CHOOSE(MATCH('Tasks Filter'!$F$5,Lists!$G$2:$G$6,0),AW252,BF252,IFERROR(MATCH(AV252,Setup!$F$6:$F$15,0),99),IFERROR(MATCH(BC252,Setup!$H$6:$H$15,0),99),IFERROR(MATCH(AZ252,Setup!$J$6:$J$11,0),99))*1E+9+(AW252-40000)*10000+251)</f>
        <v/>
      </c>
      <c r="BK252">
        <f>IF(BI252=1,BJ252,"")</f>
        <v/>
      </c>
      <c r="BL252">
        <f>IF(AND(BH252=1,BG252=0,N(AW252)&lt;Setup!$D$7),(AW252-40000)*10000+251,"")</f>
        <v/>
      </c>
      <c r="BM252">
        <f>IF(AND(BH252=1,AZ252&lt;&gt;"Cancelled",N(AW252)&gt;=Dashboard!$AB$3,N(AW252)&lt;=Dashboard!$AB$3+6),(AW252-40000)*100000+BF252*10000+251,"")</f>
        <v/>
      </c>
      <c r="BN252">
        <f>IF(AND(BH252=1,AZ252&lt;&gt;"Cancelled"),BF252*10000+251,"")</f>
        <v/>
      </c>
    </row>
    <row r="253">
      <c r="A253">
        <f>Setup!$D$5+251</f>
        <v/>
      </c>
      <c r="B253">
        <f>IF('Recurring Schedule'!$C$6="","",IF('Recurring Schedule'!$F$6="","",IF(OR($A253&lt;'Recurring Schedule'!$F$6,$A253&gt;'Recurring Schedule'!$P$6),"",IF(IF('Recurring Schedule'!$N$6&gt;0,MOD($A253-'Recurring Schedule'!$F$6,'Recurring Schedule'!$N$6)=0,IF('Recurring Schedule'!$O$6&gt;0,AND(DAY($A253)=MIN(DAY('Recurring Schedule'!$F$6),DAY(EOMONTH($A253,0))),MOD((YEAR($A253)-YEAR('Recurring Schedule'!$F$6))*12+MONTH($A253)-MONTH('Recurring Schedule'!$F$6),'Recurring Schedule'!$O$6)=0),IF('Recurring Schedule'!$E$6="Weekdays",WEEKDAY($A253,2)&lt;=5,$A253='Recurring Schedule'!$F$6))),1,""))))</f>
        <v/>
      </c>
      <c r="C253">
        <f>IF('Recurring Schedule'!$C$7="","",IF('Recurring Schedule'!$F$7="","",IF(OR($A253&lt;'Recurring Schedule'!$F$7,$A253&gt;'Recurring Schedule'!$P$7),"",IF(IF('Recurring Schedule'!$N$7&gt;0,MOD($A253-'Recurring Schedule'!$F$7,'Recurring Schedule'!$N$7)=0,IF('Recurring Schedule'!$O$7&gt;0,AND(DAY($A253)=MIN(DAY('Recurring Schedule'!$F$7),DAY(EOMONTH($A253,0))),MOD((YEAR($A253)-YEAR('Recurring Schedule'!$F$7))*12+MONTH($A253)-MONTH('Recurring Schedule'!$F$7),'Recurring Schedule'!$O$7)=0),IF('Recurring Schedule'!$E$7="Weekdays",WEEKDAY($A253,2)&lt;=5,$A253='Recurring Schedule'!$F$7))),2,""))))</f>
        <v/>
      </c>
      <c r="D253">
        <f>IF('Recurring Schedule'!$C$8="","",IF('Recurring Schedule'!$F$8="","",IF(OR($A253&lt;'Recurring Schedule'!$F$8,$A253&gt;'Recurring Schedule'!$P$8),"",IF(IF('Recurring Schedule'!$N$8&gt;0,MOD($A253-'Recurring Schedule'!$F$8,'Recurring Schedule'!$N$8)=0,IF('Recurring Schedule'!$O$8&gt;0,AND(DAY($A253)=MIN(DAY('Recurring Schedule'!$F$8),DAY(EOMONTH($A253,0))),MOD((YEAR($A253)-YEAR('Recurring Schedule'!$F$8))*12+MONTH($A253)-MONTH('Recurring Schedule'!$F$8),'Recurring Schedule'!$O$8)=0),IF('Recurring Schedule'!$E$8="Weekdays",WEEKDAY($A253,2)&lt;=5,$A253='Recurring Schedule'!$F$8))),3,""))))</f>
        <v/>
      </c>
      <c r="E253">
        <f>IF('Recurring Schedule'!$C$9="","",IF('Recurring Schedule'!$F$9="","",IF(OR($A253&lt;'Recurring Schedule'!$F$9,$A253&gt;'Recurring Schedule'!$P$9),"",IF(IF('Recurring Schedule'!$N$9&gt;0,MOD($A253-'Recurring Schedule'!$F$9,'Recurring Schedule'!$N$9)=0,IF('Recurring Schedule'!$O$9&gt;0,AND(DAY($A253)=MIN(DAY('Recurring Schedule'!$F$9),DAY(EOMONTH($A253,0))),MOD((YEAR($A253)-YEAR('Recurring Schedule'!$F$9))*12+MONTH($A253)-MONTH('Recurring Schedule'!$F$9),'Recurring Schedule'!$O$9)=0),IF('Recurring Schedule'!$E$9="Weekdays",WEEKDAY($A253,2)&lt;=5,$A253='Recurring Schedule'!$F$9))),4,""))))</f>
        <v/>
      </c>
      <c r="F253">
        <f>IF('Recurring Schedule'!$C$10="","",IF('Recurring Schedule'!$F$10="","",IF(OR($A253&lt;'Recurring Schedule'!$F$10,$A253&gt;'Recurring Schedule'!$P$10),"",IF(IF('Recurring Schedule'!$N$10&gt;0,MOD($A253-'Recurring Schedule'!$F$10,'Recurring Schedule'!$N$10)=0,IF('Recurring Schedule'!$O$10&gt;0,AND(DAY($A253)=MIN(DAY('Recurring Schedule'!$F$10),DAY(EOMONTH($A253,0))),MOD((YEAR($A253)-YEAR('Recurring Schedule'!$F$10))*12+MONTH($A253)-MONTH('Recurring Schedule'!$F$10),'Recurring Schedule'!$O$10)=0),IF('Recurring Schedule'!$E$10="Weekdays",WEEKDAY($A253,2)&lt;=5,$A253='Recurring Schedule'!$F$10))),5,""))))</f>
        <v/>
      </c>
      <c r="G253">
        <f>IF('Recurring Schedule'!$C$11="","",IF('Recurring Schedule'!$F$11="","",IF(OR($A253&lt;'Recurring Schedule'!$F$11,$A253&gt;'Recurring Schedule'!$P$11),"",IF(IF('Recurring Schedule'!$N$11&gt;0,MOD($A253-'Recurring Schedule'!$F$11,'Recurring Schedule'!$N$11)=0,IF('Recurring Schedule'!$O$11&gt;0,AND(DAY($A253)=MIN(DAY('Recurring Schedule'!$F$11),DAY(EOMONTH($A253,0))),MOD((YEAR($A253)-YEAR('Recurring Schedule'!$F$11))*12+MONTH($A253)-MONTH('Recurring Schedule'!$F$11),'Recurring Schedule'!$O$11)=0),IF('Recurring Schedule'!$E$11="Weekdays",WEEKDAY($A253,2)&lt;=5,$A253='Recurring Schedule'!$F$11))),6,""))))</f>
        <v/>
      </c>
      <c r="H253">
        <f>IF('Recurring Schedule'!$C$12="","",IF('Recurring Schedule'!$F$12="","",IF(OR($A253&lt;'Recurring Schedule'!$F$12,$A253&gt;'Recurring Schedule'!$P$12),"",IF(IF('Recurring Schedule'!$N$12&gt;0,MOD($A253-'Recurring Schedule'!$F$12,'Recurring Schedule'!$N$12)=0,IF('Recurring Schedule'!$O$12&gt;0,AND(DAY($A253)=MIN(DAY('Recurring Schedule'!$F$12),DAY(EOMONTH($A253,0))),MOD((YEAR($A253)-YEAR('Recurring Schedule'!$F$12))*12+MONTH($A253)-MONTH('Recurring Schedule'!$F$12),'Recurring Schedule'!$O$12)=0),IF('Recurring Schedule'!$E$12="Weekdays",WEEKDAY($A253,2)&lt;=5,$A253='Recurring Schedule'!$F$12))),7,""))))</f>
        <v/>
      </c>
      <c r="I253">
        <f>IF('Recurring Schedule'!$C$13="","",IF('Recurring Schedule'!$F$13="","",IF(OR($A253&lt;'Recurring Schedule'!$F$13,$A253&gt;'Recurring Schedule'!$P$13),"",IF(IF('Recurring Schedule'!$N$13&gt;0,MOD($A253-'Recurring Schedule'!$F$13,'Recurring Schedule'!$N$13)=0,IF('Recurring Schedule'!$O$13&gt;0,AND(DAY($A253)=MIN(DAY('Recurring Schedule'!$F$13),DAY(EOMONTH($A253,0))),MOD((YEAR($A253)-YEAR('Recurring Schedule'!$F$13))*12+MONTH($A253)-MONTH('Recurring Schedule'!$F$13),'Recurring Schedule'!$O$13)=0),IF('Recurring Schedule'!$E$13="Weekdays",WEEKDAY($A253,2)&lt;=5,$A253='Recurring Schedule'!$F$13))),8,""))))</f>
        <v/>
      </c>
      <c r="J253">
        <f>IF('Recurring Schedule'!$C$14="","",IF('Recurring Schedule'!$F$14="","",IF(OR($A253&lt;'Recurring Schedule'!$F$14,$A253&gt;'Recurring Schedule'!$P$14),"",IF(IF('Recurring Schedule'!$N$14&gt;0,MOD($A253-'Recurring Schedule'!$F$14,'Recurring Schedule'!$N$14)=0,IF('Recurring Schedule'!$O$14&gt;0,AND(DAY($A253)=MIN(DAY('Recurring Schedule'!$F$14),DAY(EOMONTH($A253,0))),MOD((YEAR($A253)-YEAR('Recurring Schedule'!$F$14))*12+MONTH($A253)-MONTH('Recurring Schedule'!$F$14),'Recurring Schedule'!$O$14)=0),IF('Recurring Schedule'!$E$14="Weekdays",WEEKDAY($A253,2)&lt;=5,$A253='Recurring Schedule'!$F$14))),9,""))))</f>
        <v/>
      </c>
      <c r="K253">
        <f>IF('Recurring Schedule'!$C$15="","",IF('Recurring Schedule'!$F$15="","",IF(OR($A253&lt;'Recurring Schedule'!$F$15,$A253&gt;'Recurring Schedule'!$P$15),"",IF(IF('Recurring Schedule'!$N$15&gt;0,MOD($A253-'Recurring Schedule'!$F$15,'Recurring Schedule'!$N$15)=0,IF('Recurring Schedule'!$O$15&gt;0,AND(DAY($A253)=MIN(DAY('Recurring Schedule'!$F$15),DAY(EOMONTH($A253,0))),MOD((YEAR($A253)-YEAR('Recurring Schedule'!$F$15))*12+MONTH($A253)-MONTH('Recurring Schedule'!$F$15),'Recurring Schedule'!$O$15)=0),IF('Recurring Schedule'!$E$15="Weekdays",WEEKDAY($A253,2)&lt;=5,$A253='Recurring Schedule'!$F$15))),10,""))))</f>
        <v/>
      </c>
      <c r="L253">
        <f>IF('Recurring Schedule'!$C$16="","",IF('Recurring Schedule'!$F$16="","",IF(OR($A253&lt;'Recurring Schedule'!$F$16,$A253&gt;'Recurring Schedule'!$P$16),"",IF(IF('Recurring Schedule'!$N$16&gt;0,MOD($A253-'Recurring Schedule'!$F$16,'Recurring Schedule'!$N$16)=0,IF('Recurring Schedule'!$O$16&gt;0,AND(DAY($A253)=MIN(DAY('Recurring Schedule'!$F$16),DAY(EOMONTH($A253,0))),MOD((YEAR($A253)-YEAR('Recurring Schedule'!$F$16))*12+MONTH($A253)-MONTH('Recurring Schedule'!$F$16),'Recurring Schedule'!$O$16)=0),IF('Recurring Schedule'!$E$16="Weekdays",WEEKDAY($A253,2)&lt;=5,$A253='Recurring Schedule'!$F$16))),11,""))))</f>
        <v/>
      </c>
      <c r="M253">
        <f>IF('Recurring Schedule'!$C$17="","",IF('Recurring Schedule'!$F$17="","",IF(OR($A253&lt;'Recurring Schedule'!$F$17,$A253&gt;'Recurring Schedule'!$P$17),"",IF(IF('Recurring Schedule'!$N$17&gt;0,MOD($A253-'Recurring Schedule'!$F$17,'Recurring Schedule'!$N$17)=0,IF('Recurring Schedule'!$O$17&gt;0,AND(DAY($A253)=MIN(DAY('Recurring Schedule'!$F$17),DAY(EOMONTH($A253,0))),MOD((YEAR($A253)-YEAR('Recurring Schedule'!$F$17))*12+MONTH($A253)-MONTH('Recurring Schedule'!$F$17),'Recurring Schedule'!$O$17)=0),IF('Recurring Schedule'!$E$17="Weekdays",WEEKDAY($A253,2)&lt;=5,$A253='Recurring Schedule'!$F$17))),12,""))))</f>
        <v/>
      </c>
      <c r="N253">
        <f>IF('Recurring Schedule'!$C$18="","",IF('Recurring Schedule'!$F$18="","",IF(OR($A253&lt;'Recurring Schedule'!$F$18,$A253&gt;'Recurring Schedule'!$P$18),"",IF(IF('Recurring Schedule'!$N$18&gt;0,MOD($A253-'Recurring Schedule'!$F$18,'Recurring Schedule'!$N$18)=0,IF('Recurring Schedule'!$O$18&gt;0,AND(DAY($A253)=MIN(DAY('Recurring Schedule'!$F$18),DAY(EOMONTH($A253,0))),MOD((YEAR($A253)-YEAR('Recurring Schedule'!$F$18))*12+MONTH($A253)-MONTH('Recurring Schedule'!$F$18),'Recurring Schedule'!$O$18)=0),IF('Recurring Schedule'!$E$18="Weekdays",WEEKDAY($A253,2)&lt;=5,$A253='Recurring Schedule'!$F$18))),13,""))))</f>
        <v/>
      </c>
      <c r="O253">
        <f>IF('Recurring Schedule'!$C$19="","",IF('Recurring Schedule'!$F$19="","",IF(OR($A253&lt;'Recurring Schedule'!$F$19,$A253&gt;'Recurring Schedule'!$P$19),"",IF(IF('Recurring Schedule'!$N$19&gt;0,MOD($A253-'Recurring Schedule'!$F$19,'Recurring Schedule'!$N$19)=0,IF('Recurring Schedule'!$O$19&gt;0,AND(DAY($A253)=MIN(DAY('Recurring Schedule'!$F$19),DAY(EOMONTH($A253,0))),MOD((YEAR($A253)-YEAR('Recurring Schedule'!$F$19))*12+MONTH($A253)-MONTH('Recurring Schedule'!$F$19),'Recurring Schedule'!$O$19)=0),IF('Recurring Schedule'!$E$19="Weekdays",WEEKDAY($A253,2)&lt;=5,$A253='Recurring Schedule'!$F$19))),14,""))))</f>
        <v/>
      </c>
      <c r="P253">
        <f>IF('Recurring Schedule'!$C$20="","",IF('Recurring Schedule'!$F$20="","",IF(OR($A253&lt;'Recurring Schedule'!$F$20,$A253&gt;'Recurring Schedule'!$P$20),"",IF(IF('Recurring Schedule'!$N$20&gt;0,MOD($A253-'Recurring Schedule'!$F$20,'Recurring Schedule'!$N$20)=0,IF('Recurring Schedule'!$O$20&gt;0,AND(DAY($A253)=MIN(DAY('Recurring Schedule'!$F$20),DAY(EOMONTH($A253,0))),MOD((YEAR($A253)-YEAR('Recurring Schedule'!$F$20))*12+MONTH($A253)-MONTH('Recurring Schedule'!$F$20),'Recurring Schedule'!$O$20)=0),IF('Recurring Schedule'!$E$20="Weekdays",WEEKDAY($A253,2)&lt;=5,$A253='Recurring Schedule'!$F$20))),15,""))))</f>
        <v/>
      </c>
      <c r="Q253">
        <f>IF('Recurring Schedule'!$C$21="","",IF('Recurring Schedule'!$F$21="","",IF(OR($A253&lt;'Recurring Schedule'!$F$21,$A253&gt;'Recurring Schedule'!$P$21),"",IF(IF('Recurring Schedule'!$N$21&gt;0,MOD($A253-'Recurring Schedule'!$F$21,'Recurring Schedule'!$N$21)=0,IF('Recurring Schedule'!$O$21&gt;0,AND(DAY($A253)=MIN(DAY('Recurring Schedule'!$F$21),DAY(EOMONTH($A253,0))),MOD((YEAR($A253)-YEAR('Recurring Schedule'!$F$21))*12+MONTH($A253)-MONTH('Recurring Schedule'!$F$21),'Recurring Schedule'!$O$21)=0),IF('Recurring Schedule'!$E$21="Weekdays",WEEKDAY($A253,2)&lt;=5,$A253='Recurring Schedule'!$F$21))),16,""))))</f>
        <v/>
      </c>
      <c r="R253">
        <f>IF('Recurring Schedule'!$C$22="","",IF('Recurring Schedule'!$F$22="","",IF(OR($A253&lt;'Recurring Schedule'!$F$22,$A253&gt;'Recurring Schedule'!$P$22),"",IF(IF('Recurring Schedule'!$N$22&gt;0,MOD($A253-'Recurring Schedule'!$F$22,'Recurring Schedule'!$N$22)=0,IF('Recurring Schedule'!$O$22&gt;0,AND(DAY($A253)=MIN(DAY('Recurring Schedule'!$F$22),DAY(EOMONTH($A253,0))),MOD((YEAR($A253)-YEAR('Recurring Schedule'!$F$22))*12+MONTH($A253)-MONTH('Recurring Schedule'!$F$22),'Recurring Schedule'!$O$22)=0),IF('Recurring Schedule'!$E$22="Weekdays",WEEKDAY($A253,2)&lt;=5,$A253='Recurring Schedule'!$F$22))),17,""))))</f>
        <v/>
      </c>
      <c r="S253">
        <f>IF('Recurring Schedule'!$C$23="","",IF('Recurring Schedule'!$F$23="","",IF(OR($A253&lt;'Recurring Schedule'!$F$23,$A253&gt;'Recurring Schedule'!$P$23),"",IF(IF('Recurring Schedule'!$N$23&gt;0,MOD($A253-'Recurring Schedule'!$F$23,'Recurring Schedule'!$N$23)=0,IF('Recurring Schedule'!$O$23&gt;0,AND(DAY($A253)=MIN(DAY('Recurring Schedule'!$F$23),DAY(EOMONTH($A253,0))),MOD((YEAR($A253)-YEAR('Recurring Schedule'!$F$23))*12+MONTH($A253)-MONTH('Recurring Schedule'!$F$23),'Recurring Schedule'!$O$23)=0),IF('Recurring Schedule'!$E$23="Weekdays",WEEKDAY($A253,2)&lt;=5,$A253='Recurring Schedule'!$F$23))),18,""))))</f>
        <v/>
      </c>
      <c r="T253">
        <f>IF('Recurring Schedule'!$C$24="","",IF('Recurring Schedule'!$F$24="","",IF(OR($A253&lt;'Recurring Schedule'!$F$24,$A253&gt;'Recurring Schedule'!$P$24),"",IF(IF('Recurring Schedule'!$N$24&gt;0,MOD($A253-'Recurring Schedule'!$F$24,'Recurring Schedule'!$N$24)=0,IF('Recurring Schedule'!$O$24&gt;0,AND(DAY($A253)=MIN(DAY('Recurring Schedule'!$F$24),DAY(EOMONTH($A253,0))),MOD((YEAR($A253)-YEAR('Recurring Schedule'!$F$24))*12+MONTH($A253)-MONTH('Recurring Schedule'!$F$24),'Recurring Schedule'!$O$24)=0),IF('Recurring Schedule'!$E$24="Weekdays",WEEKDAY($A253,2)&lt;=5,$A253='Recurring Schedule'!$F$24))),19,""))))</f>
        <v/>
      </c>
      <c r="U253">
        <f>IF('Recurring Schedule'!$C$25="","",IF('Recurring Schedule'!$F$25="","",IF(OR($A253&lt;'Recurring Schedule'!$F$25,$A253&gt;'Recurring Schedule'!$P$25),"",IF(IF('Recurring Schedule'!$N$25&gt;0,MOD($A253-'Recurring Schedule'!$F$25,'Recurring Schedule'!$N$25)=0,IF('Recurring Schedule'!$O$25&gt;0,AND(DAY($A253)=MIN(DAY('Recurring Schedule'!$F$25),DAY(EOMONTH($A253,0))),MOD((YEAR($A253)-YEAR('Recurring Schedule'!$F$25))*12+MONTH($A253)-MONTH('Recurring Schedule'!$F$25),'Recurring Schedule'!$O$25)=0),IF('Recurring Schedule'!$E$25="Weekdays",WEEKDAY($A253,2)&lt;=5,$A253='Recurring Schedule'!$F$25))),20,""))))</f>
        <v/>
      </c>
      <c r="V253">
        <f>IF('Recurring Schedule'!$C$26="","",IF('Recurring Schedule'!$F$26="","",IF(OR($A253&lt;'Recurring Schedule'!$F$26,$A253&gt;'Recurring Schedule'!$P$26),"",IF(IF('Recurring Schedule'!$N$26&gt;0,MOD($A253-'Recurring Schedule'!$F$26,'Recurring Schedule'!$N$26)=0,IF('Recurring Schedule'!$O$26&gt;0,AND(DAY($A253)=MIN(DAY('Recurring Schedule'!$F$26),DAY(EOMONTH($A253,0))),MOD((YEAR($A253)-YEAR('Recurring Schedule'!$F$26))*12+MONTH($A253)-MONTH('Recurring Schedule'!$F$26),'Recurring Schedule'!$O$26)=0),IF('Recurring Schedule'!$E$26="Weekdays",WEEKDAY($A253,2)&lt;=5,$A253='Recurring Schedule'!$F$26))),21,""))))</f>
        <v/>
      </c>
      <c r="W253">
        <f>IF('Recurring Schedule'!$C$27="","",IF('Recurring Schedule'!$F$27="","",IF(OR($A253&lt;'Recurring Schedule'!$F$27,$A253&gt;'Recurring Schedule'!$P$27),"",IF(IF('Recurring Schedule'!$N$27&gt;0,MOD($A253-'Recurring Schedule'!$F$27,'Recurring Schedule'!$N$27)=0,IF('Recurring Schedule'!$O$27&gt;0,AND(DAY($A253)=MIN(DAY('Recurring Schedule'!$F$27),DAY(EOMONTH($A253,0))),MOD((YEAR($A253)-YEAR('Recurring Schedule'!$F$27))*12+MONTH($A253)-MONTH('Recurring Schedule'!$F$27),'Recurring Schedule'!$O$27)=0),IF('Recurring Schedule'!$E$27="Weekdays",WEEKDAY($A253,2)&lt;=5,$A253='Recurring Schedule'!$F$27))),22,""))))</f>
        <v/>
      </c>
      <c r="X253">
        <f>IF('Recurring Schedule'!$C$28="","",IF('Recurring Schedule'!$F$28="","",IF(OR($A253&lt;'Recurring Schedule'!$F$28,$A253&gt;'Recurring Schedule'!$P$28),"",IF(IF('Recurring Schedule'!$N$28&gt;0,MOD($A253-'Recurring Schedule'!$F$28,'Recurring Schedule'!$N$28)=0,IF('Recurring Schedule'!$O$28&gt;0,AND(DAY($A253)=MIN(DAY('Recurring Schedule'!$F$28),DAY(EOMONTH($A253,0))),MOD((YEAR($A253)-YEAR('Recurring Schedule'!$F$28))*12+MONTH($A253)-MONTH('Recurring Schedule'!$F$28),'Recurring Schedule'!$O$28)=0),IF('Recurring Schedule'!$E$28="Weekdays",WEEKDAY($A253,2)&lt;=5,$A253='Recurring Schedule'!$F$28))),23,""))))</f>
        <v/>
      </c>
      <c r="Y253">
        <f>IF('Recurring Schedule'!$C$29="","",IF('Recurring Schedule'!$F$29="","",IF(OR($A253&lt;'Recurring Schedule'!$F$29,$A253&gt;'Recurring Schedule'!$P$29),"",IF(IF('Recurring Schedule'!$N$29&gt;0,MOD($A253-'Recurring Schedule'!$F$29,'Recurring Schedule'!$N$29)=0,IF('Recurring Schedule'!$O$29&gt;0,AND(DAY($A253)=MIN(DAY('Recurring Schedule'!$F$29),DAY(EOMONTH($A253,0))),MOD((YEAR($A253)-YEAR('Recurring Schedule'!$F$29))*12+MONTH($A253)-MONTH('Recurring Schedule'!$F$29),'Recurring Schedule'!$O$29)=0),IF('Recurring Schedule'!$E$29="Weekdays",WEEKDAY($A253,2)&lt;=5,$A253='Recurring Schedule'!$F$29))),24,""))))</f>
        <v/>
      </c>
      <c r="Z253">
        <f>IF('Recurring Schedule'!$C$30="","",IF('Recurring Schedule'!$F$30="","",IF(OR($A253&lt;'Recurring Schedule'!$F$30,$A253&gt;'Recurring Schedule'!$P$30),"",IF(IF('Recurring Schedule'!$N$30&gt;0,MOD($A253-'Recurring Schedule'!$F$30,'Recurring Schedule'!$N$30)=0,IF('Recurring Schedule'!$O$30&gt;0,AND(DAY($A253)=MIN(DAY('Recurring Schedule'!$F$30),DAY(EOMONTH($A253,0))),MOD((YEAR($A253)-YEAR('Recurring Schedule'!$F$30))*12+MONTH($A253)-MONTH('Recurring Schedule'!$F$30),'Recurring Schedule'!$O$30)=0),IF('Recurring Schedule'!$E$30="Weekdays",WEEKDAY($A253,2)&lt;=5,$A253='Recurring Schedule'!$F$30))),25,""))))</f>
        <v/>
      </c>
      <c r="AA253">
        <f>IF('Recurring Schedule'!$C$31="","",IF('Recurring Schedule'!$F$31="","",IF(OR($A253&lt;'Recurring Schedule'!$F$31,$A253&gt;'Recurring Schedule'!$P$31),"",IF(IF('Recurring Schedule'!$N$31&gt;0,MOD($A253-'Recurring Schedule'!$F$31,'Recurring Schedule'!$N$31)=0,IF('Recurring Schedule'!$O$31&gt;0,AND(DAY($A253)=MIN(DAY('Recurring Schedule'!$F$31),DAY(EOMONTH($A253,0))),MOD((YEAR($A253)-YEAR('Recurring Schedule'!$F$31))*12+MONTH($A253)-MONTH('Recurring Schedule'!$F$31),'Recurring Schedule'!$O$31)=0),IF('Recurring Schedule'!$E$31="Weekdays",WEEKDAY($A253,2)&lt;=5,$A253='Recurring Schedule'!$F$31))),26,""))))</f>
        <v/>
      </c>
      <c r="AB253">
        <f>IF('Recurring Schedule'!$C$32="","",IF('Recurring Schedule'!$F$32="","",IF(OR($A253&lt;'Recurring Schedule'!$F$32,$A253&gt;'Recurring Schedule'!$P$32),"",IF(IF('Recurring Schedule'!$N$32&gt;0,MOD($A253-'Recurring Schedule'!$F$32,'Recurring Schedule'!$N$32)=0,IF('Recurring Schedule'!$O$32&gt;0,AND(DAY($A253)=MIN(DAY('Recurring Schedule'!$F$32),DAY(EOMONTH($A253,0))),MOD((YEAR($A253)-YEAR('Recurring Schedule'!$F$32))*12+MONTH($A253)-MONTH('Recurring Schedule'!$F$32),'Recurring Schedule'!$O$32)=0),IF('Recurring Schedule'!$E$32="Weekdays",WEEKDAY($A253,2)&lt;=5,$A253='Recurring Schedule'!$F$32))),27,""))))</f>
        <v/>
      </c>
      <c r="AC253">
        <f>IF('Recurring Schedule'!$C$33="","",IF('Recurring Schedule'!$F$33="","",IF(OR($A253&lt;'Recurring Schedule'!$F$33,$A253&gt;'Recurring Schedule'!$P$33),"",IF(IF('Recurring Schedule'!$N$33&gt;0,MOD($A253-'Recurring Schedule'!$F$33,'Recurring Schedule'!$N$33)=0,IF('Recurring Schedule'!$O$33&gt;0,AND(DAY($A253)=MIN(DAY('Recurring Schedule'!$F$33),DAY(EOMONTH($A253,0))),MOD((YEAR($A253)-YEAR('Recurring Schedule'!$F$33))*12+MONTH($A253)-MONTH('Recurring Schedule'!$F$33),'Recurring Schedule'!$O$33)=0),IF('Recurring Schedule'!$E$33="Weekdays",WEEKDAY($A253,2)&lt;=5,$A253='Recurring Schedule'!$F$33))),28,""))))</f>
        <v/>
      </c>
      <c r="AD253">
        <f>IF('Recurring Schedule'!$C$34="","",IF('Recurring Schedule'!$F$34="","",IF(OR($A253&lt;'Recurring Schedule'!$F$34,$A253&gt;'Recurring Schedule'!$P$34),"",IF(IF('Recurring Schedule'!$N$34&gt;0,MOD($A253-'Recurring Schedule'!$F$34,'Recurring Schedule'!$N$34)=0,IF('Recurring Schedule'!$O$34&gt;0,AND(DAY($A253)=MIN(DAY('Recurring Schedule'!$F$34),DAY(EOMONTH($A253,0))),MOD((YEAR($A253)-YEAR('Recurring Schedule'!$F$34))*12+MONTH($A253)-MONTH('Recurring Schedule'!$F$34),'Recurring Schedule'!$O$34)=0),IF('Recurring Schedule'!$E$34="Weekdays",WEEKDAY($A253,2)&lt;=5,$A253='Recurring Schedule'!$F$34))),29,""))))</f>
        <v/>
      </c>
      <c r="AE253">
        <f>IF('Recurring Schedule'!$C$35="","",IF('Recurring Schedule'!$F$35="","",IF(OR($A253&lt;'Recurring Schedule'!$F$35,$A253&gt;'Recurring Schedule'!$P$35),"",IF(IF('Recurring Schedule'!$N$35&gt;0,MOD($A253-'Recurring Schedule'!$F$35,'Recurring Schedule'!$N$35)=0,IF('Recurring Schedule'!$O$35&gt;0,AND(DAY($A253)=MIN(DAY('Recurring Schedule'!$F$35),DAY(EOMONTH($A253,0))),MOD((YEAR($A253)-YEAR('Recurring Schedule'!$F$35))*12+MONTH($A253)-MONTH('Recurring Schedule'!$F$35),'Recurring Schedule'!$O$35)=0),IF('Recurring Schedule'!$E$35="Weekdays",WEEKDAY($A253,2)&lt;=5,$A253='Recurring Schedule'!$F$35))),30,""))))</f>
        <v/>
      </c>
      <c r="AF253">
        <f>IF('Recurring Schedule'!$C$36="","",IF('Recurring Schedule'!$F$36="","",IF(OR($A253&lt;'Recurring Schedule'!$F$36,$A253&gt;'Recurring Schedule'!$P$36),"",IF(IF('Recurring Schedule'!$N$36&gt;0,MOD($A253-'Recurring Schedule'!$F$36,'Recurring Schedule'!$N$36)=0,IF('Recurring Schedule'!$O$36&gt;0,AND(DAY($A253)=MIN(DAY('Recurring Schedule'!$F$36),DAY(EOMONTH($A253,0))),MOD((YEAR($A253)-YEAR('Recurring Schedule'!$F$36))*12+MONTH($A253)-MONTH('Recurring Schedule'!$F$36),'Recurring Schedule'!$O$36)=0),IF('Recurring Schedule'!$E$36="Weekdays",WEEKDAY($A253,2)&lt;=5,$A253='Recurring Schedule'!$F$36))),31,""))))</f>
        <v/>
      </c>
      <c r="AG253">
        <f>IF('Recurring Schedule'!$C$37="","",IF('Recurring Schedule'!$F$37="","",IF(OR($A253&lt;'Recurring Schedule'!$F$37,$A253&gt;'Recurring Schedule'!$P$37),"",IF(IF('Recurring Schedule'!$N$37&gt;0,MOD($A253-'Recurring Schedule'!$F$37,'Recurring Schedule'!$N$37)=0,IF('Recurring Schedule'!$O$37&gt;0,AND(DAY($A253)=MIN(DAY('Recurring Schedule'!$F$37),DAY(EOMONTH($A253,0))),MOD((YEAR($A253)-YEAR('Recurring Schedule'!$F$37))*12+MONTH($A253)-MONTH('Recurring Schedule'!$F$37),'Recurring Schedule'!$O$37)=0),IF('Recurring Schedule'!$E$37="Weekdays",WEEKDAY($A253,2)&lt;=5,$A253='Recurring Schedule'!$F$37))),32,""))))</f>
        <v/>
      </c>
      <c r="AH253">
        <f>IF('Recurring Schedule'!$C$38="","",IF('Recurring Schedule'!$F$38="","",IF(OR($A253&lt;'Recurring Schedule'!$F$38,$A253&gt;'Recurring Schedule'!$P$38),"",IF(IF('Recurring Schedule'!$N$38&gt;0,MOD($A253-'Recurring Schedule'!$F$38,'Recurring Schedule'!$N$38)=0,IF('Recurring Schedule'!$O$38&gt;0,AND(DAY($A253)=MIN(DAY('Recurring Schedule'!$F$38),DAY(EOMONTH($A253,0))),MOD((YEAR($A253)-YEAR('Recurring Schedule'!$F$38))*12+MONTH($A253)-MONTH('Recurring Schedule'!$F$38),'Recurring Schedule'!$O$38)=0),IF('Recurring Schedule'!$E$38="Weekdays",WEEKDAY($A253,2)&lt;=5,$A253='Recurring Schedule'!$F$38))),33,""))))</f>
        <v/>
      </c>
      <c r="AI253">
        <f>IF('Recurring Schedule'!$C$39="","",IF('Recurring Schedule'!$F$39="","",IF(OR($A253&lt;'Recurring Schedule'!$F$39,$A253&gt;'Recurring Schedule'!$P$39),"",IF(IF('Recurring Schedule'!$N$39&gt;0,MOD($A253-'Recurring Schedule'!$F$39,'Recurring Schedule'!$N$39)=0,IF('Recurring Schedule'!$O$39&gt;0,AND(DAY($A253)=MIN(DAY('Recurring Schedule'!$F$39),DAY(EOMONTH($A253,0))),MOD((YEAR($A253)-YEAR('Recurring Schedule'!$F$39))*12+MONTH($A253)-MONTH('Recurring Schedule'!$F$39),'Recurring Schedule'!$O$39)=0),IF('Recurring Schedule'!$E$39="Weekdays",WEEKDAY($A253,2)&lt;=5,$A253='Recurring Schedule'!$F$39))),34,""))))</f>
        <v/>
      </c>
      <c r="AJ253">
        <f>IF('Recurring Schedule'!$C$40="","",IF('Recurring Schedule'!$F$40="","",IF(OR($A253&lt;'Recurring Schedule'!$F$40,$A253&gt;'Recurring Schedule'!$P$40),"",IF(IF('Recurring Schedule'!$N$40&gt;0,MOD($A253-'Recurring Schedule'!$F$40,'Recurring Schedule'!$N$40)=0,IF('Recurring Schedule'!$O$40&gt;0,AND(DAY($A253)=MIN(DAY('Recurring Schedule'!$F$40),DAY(EOMONTH($A253,0))),MOD((YEAR($A253)-YEAR('Recurring Schedule'!$F$40))*12+MONTH($A253)-MONTH('Recurring Schedule'!$F$40),'Recurring Schedule'!$O$40)=0),IF('Recurring Schedule'!$E$40="Weekdays",WEEKDAY($A253,2)&lt;=5,$A253='Recurring Schedule'!$F$40))),35,""))))</f>
        <v/>
      </c>
      <c r="AK253">
        <f>IF('Recurring Schedule'!$C$41="","",IF('Recurring Schedule'!$F$41="","",IF(OR($A253&lt;'Recurring Schedule'!$F$41,$A253&gt;'Recurring Schedule'!$P$41),"",IF(IF('Recurring Schedule'!$N$41&gt;0,MOD($A253-'Recurring Schedule'!$F$41,'Recurring Schedule'!$N$41)=0,IF('Recurring Schedule'!$O$41&gt;0,AND(DAY($A253)=MIN(DAY('Recurring Schedule'!$F$41),DAY(EOMONTH($A253,0))),MOD((YEAR($A253)-YEAR('Recurring Schedule'!$F$41))*12+MONTH($A253)-MONTH('Recurring Schedule'!$F$41),'Recurring Schedule'!$O$41)=0),IF('Recurring Schedule'!$E$41="Weekdays",WEEKDAY($A253,2)&lt;=5,$A253='Recurring Schedule'!$F$41))),36,""))))</f>
        <v/>
      </c>
      <c r="AL253">
        <f>IF('Recurring Schedule'!$C$42="","",IF('Recurring Schedule'!$F$42="","",IF(OR($A253&lt;'Recurring Schedule'!$F$42,$A253&gt;'Recurring Schedule'!$P$42),"",IF(IF('Recurring Schedule'!$N$42&gt;0,MOD($A253-'Recurring Schedule'!$F$42,'Recurring Schedule'!$N$42)=0,IF('Recurring Schedule'!$O$42&gt;0,AND(DAY($A253)=MIN(DAY('Recurring Schedule'!$F$42),DAY(EOMONTH($A253,0))),MOD((YEAR($A253)-YEAR('Recurring Schedule'!$F$42))*12+MONTH($A253)-MONTH('Recurring Schedule'!$F$42),'Recurring Schedule'!$O$42)=0),IF('Recurring Schedule'!$E$42="Weekdays",WEEKDAY($A253,2)&lt;=5,$A253='Recurring Schedule'!$F$42))),37,""))))</f>
        <v/>
      </c>
      <c r="AM253">
        <f>IF('Recurring Schedule'!$C$43="","",IF('Recurring Schedule'!$F$43="","",IF(OR($A253&lt;'Recurring Schedule'!$F$43,$A253&gt;'Recurring Schedule'!$P$43),"",IF(IF('Recurring Schedule'!$N$43&gt;0,MOD($A253-'Recurring Schedule'!$F$43,'Recurring Schedule'!$N$43)=0,IF('Recurring Schedule'!$O$43&gt;0,AND(DAY($A253)=MIN(DAY('Recurring Schedule'!$F$43),DAY(EOMONTH($A253,0))),MOD((YEAR($A253)-YEAR('Recurring Schedule'!$F$43))*12+MONTH($A253)-MONTH('Recurring Schedule'!$F$43),'Recurring Schedule'!$O$43)=0),IF('Recurring Schedule'!$E$43="Weekdays",WEEKDAY($A253,2)&lt;=5,$A253='Recurring Schedule'!$F$43))),38,""))))</f>
        <v/>
      </c>
      <c r="AN253">
        <f>IF('Recurring Schedule'!$C$44="","",IF('Recurring Schedule'!$F$44="","",IF(OR($A253&lt;'Recurring Schedule'!$F$44,$A253&gt;'Recurring Schedule'!$P$44),"",IF(IF('Recurring Schedule'!$N$44&gt;0,MOD($A253-'Recurring Schedule'!$F$44,'Recurring Schedule'!$N$44)=0,IF('Recurring Schedule'!$O$44&gt;0,AND(DAY($A253)=MIN(DAY('Recurring Schedule'!$F$44),DAY(EOMONTH($A253,0))),MOD((YEAR($A253)-YEAR('Recurring Schedule'!$F$44))*12+MONTH($A253)-MONTH('Recurring Schedule'!$F$44),'Recurring Schedule'!$O$44)=0),IF('Recurring Schedule'!$E$44="Weekdays",WEEKDAY($A253,2)&lt;=5,$A253='Recurring Schedule'!$F$44))),39,""))))</f>
        <v/>
      </c>
      <c r="AO253">
        <f>IF('Recurring Schedule'!$C$45="","",IF('Recurring Schedule'!$F$45="","",IF(OR($A253&lt;'Recurring Schedule'!$F$45,$A253&gt;'Recurring Schedule'!$P$45),"",IF(IF('Recurring Schedule'!$N$45&gt;0,MOD($A253-'Recurring Schedule'!$F$45,'Recurring Schedule'!$N$45)=0,IF('Recurring Schedule'!$O$45&gt;0,AND(DAY($A253)=MIN(DAY('Recurring Schedule'!$F$45),DAY(EOMONTH($A253,0))),MOD((YEAR($A253)-YEAR('Recurring Schedule'!$F$45))*12+MONTH($A253)-MONTH('Recurring Schedule'!$F$45),'Recurring Schedule'!$O$45)=0),IF('Recurring Schedule'!$E$45="Weekdays",WEEKDAY($A253,2)&lt;=5,$A253='Recurring Schedule'!$F$45))),40,""))))</f>
        <v/>
      </c>
      <c r="AP253">
        <f>COUNT(B253:AO253)</f>
        <v/>
      </c>
      <c r="AQ253">
        <f>AQ252+AP252</f>
        <v/>
      </c>
      <c r="AS253" t="inlineStr">
        <is>
          <t>R</t>
        </is>
      </c>
      <c r="AT253" t="n">
        <v>257</v>
      </c>
      <c r="AU253">
        <f>'Recurring Log'!C257&amp;""</f>
        <v/>
      </c>
      <c r="AV253">
        <f>'Recurring Log'!D257&amp;""</f>
        <v/>
      </c>
      <c r="AW253">
        <f>IF('Recurring Log'!E257="","",'Recurring Log'!E257)</f>
        <v/>
      </c>
      <c r="AX253">
        <f>IF('Recurring Log'!G257="","",'Recurring Log'!G257)</f>
        <v/>
      </c>
      <c r="AY253">
        <f>IF('Recurring Log'!H257="","",'Recurring Log'!H257)</f>
        <v/>
      </c>
      <c r="AZ253">
        <f>IF(AU253="","",IF('Recurring Log'!J257="","Not Started",'Recurring Log'!J257))</f>
        <v/>
      </c>
      <c r="BA253">
        <f>'Recurring Log'!L257&amp;""</f>
        <v/>
      </c>
      <c r="BB253">
        <f>'Recurring Log'!M257&amp;""</f>
        <v/>
      </c>
      <c r="BC253">
        <f>'Recurring Log'!N257&amp;""</f>
        <v/>
      </c>
      <c r="BD253">
        <f>'Recurring Log'!O257&amp;""</f>
        <v/>
      </c>
      <c r="BE253">
        <f>IF('Recurring Log'!K257="","",'Recurring Log'!K257)</f>
        <v/>
      </c>
      <c r="BF253">
        <f>IFERROR(MATCH(BA253,Setup!$L$6:$L$9,0),5)</f>
        <v/>
      </c>
      <c r="BG253">
        <f>IF(OR(AZ253="Done",AZ253="Cancelled"),1,0)</f>
        <v/>
      </c>
      <c r="BH253">
        <f>IF(AND(AU253&lt;&gt;"",ISNUMBER(AW253)),1,0)</f>
        <v/>
      </c>
      <c r="BI253">
        <f>IF(BH253=0,0,IF(AND(AW253&gt;='Tasks Filter'!$F$3,AW253&lt;='Tasks Filter'!$F$4,OR('Tasks Filter'!$I$3="",ISNUMBER(SEARCH('Tasks Filter'!$I$3,AU253))),OR('Tasks Filter'!$I$4="",BF253=IFERROR(MATCH('Tasks Filter'!$I$4,Setup!$L$6:$L$9,0),0)),OR('Tasks Filter'!$I$5="Both",AND('Tasks Filter'!$I$5="Yes",BB253="✓"),AND('Tasks Filter'!$I$5="No",BB253&lt;&gt;"✓")),OR('Tasks Filter'!$L$3="",AV253='Tasks Filter'!$L$3),OR('Tasks Filter'!$L$4="",AZ253='Tasks Filter'!$L$4),OR('Tasks Filter'!$L$5="",BC253='Tasks Filter'!$L$5),OR('Tasks Filter'!$O$3="",BD253='Tasks Filter'!$O$3),OR('Tasks Filter'!$O$4="Yes",BG253=0)),1,0))</f>
        <v/>
      </c>
      <c r="BJ253">
        <f>IF(BH253=0,"",IF('Tasks Filter'!$F$6="Descending",-1,1)*CHOOSE(MATCH('Tasks Filter'!$F$5,Lists!$G$2:$G$6,0),AW253,BF253,IFERROR(MATCH(AV253,Setup!$F$6:$F$15,0),99),IFERROR(MATCH(BC253,Setup!$H$6:$H$15,0),99),IFERROR(MATCH(AZ253,Setup!$J$6:$J$11,0),99))*1E+9+(AW253-40000)*10000+252)</f>
        <v/>
      </c>
      <c r="BK253">
        <f>IF(BI253=1,BJ253,"")</f>
        <v/>
      </c>
      <c r="BL253">
        <f>IF(AND(BH253=1,BG253=0,N(AW253)&lt;Setup!$D$7),(AW253-40000)*10000+252,"")</f>
        <v/>
      </c>
      <c r="BM253">
        <f>IF(AND(BH253=1,AZ253&lt;&gt;"Cancelled",N(AW253)&gt;=Dashboard!$AB$3,N(AW253)&lt;=Dashboard!$AB$3+6),(AW253-40000)*100000+BF253*10000+252,"")</f>
        <v/>
      </c>
      <c r="BN253">
        <f>IF(AND(BH253=1,AZ253&lt;&gt;"Cancelled"),BF253*10000+252,"")</f>
        <v/>
      </c>
    </row>
    <row r="254">
      <c r="A254">
        <f>Setup!$D$5+252</f>
        <v/>
      </c>
      <c r="B254">
        <f>IF('Recurring Schedule'!$C$6="","",IF('Recurring Schedule'!$F$6="","",IF(OR($A254&lt;'Recurring Schedule'!$F$6,$A254&gt;'Recurring Schedule'!$P$6),"",IF(IF('Recurring Schedule'!$N$6&gt;0,MOD($A254-'Recurring Schedule'!$F$6,'Recurring Schedule'!$N$6)=0,IF('Recurring Schedule'!$O$6&gt;0,AND(DAY($A254)=MIN(DAY('Recurring Schedule'!$F$6),DAY(EOMONTH($A254,0))),MOD((YEAR($A254)-YEAR('Recurring Schedule'!$F$6))*12+MONTH($A254)-MONTH('Recurring Schedule'!$F$6),'Recurring Schedule'!$O$6)=0),IF('Recurring Schedule'!$E$6="Weekdays",WEEKDAY($A254,2)&lt;=5,$A254='Recurring Schedule'!$F$6))),1,""))))</f>
        <v/>
      </c>
      <c r="C254">
        <f>IF('Recurring Schedule'!$C$7="","",IF('Recurring Schedule'!$F$7="","",IF(OR($A254&lt;'Recurring Schedule'!$F$7,$A254&gt;'Recurring Schedule'!$P$7),"",IF(IF('Recurring Schedule'!$N$7&gt;0,MOD($A254-'Recurring Schedule'!$F$7,'Recurring Schedule'!$N$7)=0,IF('Recurring Schedule'!$O$7&gt;0,AND(DAY($A254)=MIN(DAY('Recurring Schedule'!$F$7),DAY(EOMONTH($A254,0))),MOD((YEAR($A254)-YEAR('Recurring Schedule'!$F$7))*12+MONTH($A254)-MONTH('Recurring Schedule'!$F$7),'Recurring Schedule'!$O$7)=0),IF('Recurring Schedule'!$E$7="Weekdays",WEEKDAY($A254,2)&lt;=5,$A254='Recurring Schedule'!$F$7))),2,""))))</f>
        <v/>
      </c>
      <c r="D254">
        <f>IF('Recurring Schedule'!$C$8="","",IF('Recurring Schedule'!$F$8="","",IF(OR($A254&lt;'Recurring Schedule'!$F$8,$A254&gt;'Recurring Schedule'!$P$8),"",IF(IF('Recurring Schedule'!$N$8&gt;0,MOD($A254-'Recurring Schedule'!$F$8,'Recurring Schedule'!$N$8)=0,IF('Recurring Schedule'!$O$8&gt;0,AND(DAY($A254)=MIN(DAY('Recurring Schedule'!$F$8),DAY(EOMONTH($A254,0))),MOD((YEAR($A254)-YEAR('Recurring Schedule'!$F$8))*12+MONTH($A254)-MONTH('Recurring Schedule'!$F$8),'Recurring Schedule'!$O$8)=0),IF('Recurring Schedule'!$E$8="Weekdays",WEEKDAY($A254,2)&lt;=5,$A254='Recurring Schedule'!$F$8))),3,""))))</f>
        <v/>
      </c>
      <c r="E254">
        <f>IF('Recurring Schedule'!$C$9="","",IF('Recurring Schedule'!$F$9="","",IF(OR($A254&lt;'Recurring Schedule'!$F$9,$A254&gt;'Recurring Schedule'!$P$9),"",IF(IF('Recurring Schedule'!$N$9&gt;0,MOD($A254-'Recurring Schedule'!$F$9,'Recurring Schedule'!$N$9)=0,IF('Recurring Schedule'!$O$9&gt;0,AND(DAY($A254)=MIN(DAY('Recurring Schedule'!$F$9),DAY(EOMONTH($A254,0))),MOD((YEAR($A254)-YEAR('Recurring Schedule'!$F$9))*12+MONTH($A254)-MONTH('Recurring Schedule'!$F$9),'Recurring Schedule'!$O$9)=0),IF('Recurring Schedule'!$E$9="Weekdays",WEEKDAY($A254,2)&lt;=5,$A254='Recurring Schedule'!$F$9))),4,""))))</f>
        <v/>
      </c>
      <c r="F254">
        <f>IF('Recurring Schedule'!$C$10="","",IF('Recurring Schedule'!$F$10="","",IF(OR($A254&lt;'Recurring Schedule'!$F$10,$A254&gt;'Recurring Schedule'!$P$10),"",IF(IF('Recurring Schedule'!$N$10&gt;0,MOD($A254-'Recurring Schedule'!$F$10,'Recurring Schedule'!$N$10)=0,IF('Recurring Schedule'!$O$10&gt;0,AND(DAY($A254)=MIN(DAY('Recurring Schedule'!$F$10),DAY(EOMONTH($A254,0))),MOD((YEAR($A254)-YEAR('Recurring Schedule'!$F$10))*12+MONTH($A254)-MONTH('Recurring Schedule'!$F$10),'Recurring Schedule'!$O$10)=0),IF('Recurring Schedule'!$E$10="Weekdays",WEEKDAY($A254,2)&lt;=5,$A254='Recurring Schedule'!$F$10))),5,""))))</f>
        <v/>
      </c>
      <c r="G254">
        <f>IF('Recurring Schedule'!$C$11="","",IF('Recurring Schedule'!$F$11="","",IF(OR($A254&lt;'Recurring Schedule'!$F$11,$A254&gt;'Recurring Schedule'!$P$11),"",IF(IF('Recurring Schedule'!$N$11&gt;0,MOD($A254-'Recurring Schedule'!$F$11,'Recurring Schedule'!$N$11)=0,IF('Recurring Schedule'!$O$11&gt;0,AND(DAY($A254)=MIN(DAY('Recurring Schedule'!$F$11),DAY(EOMONTH($A254,0))),MOD((YEAR($A254)-YEAR('Recurring Schedule'!$F$11))*12+MONTH($A254)-MONTH('Recurring Schedule'!$F$11),'Recurring Schedule'!$O$11)=0),IF('Recurring Schedule'!$E$11="Weekdays",WEEKDAY($A254,2)&lt;=5,$A254='Recurring Schedule'!$F$11))),6,""))))</f>
        <v/>
      </c>
      <c r="H254">
        <f>IF('Recurring Schedule'!$C$12="","",IF('Recurring Schedule'!$F$12="","",IF(OR($A254&lt;'Recurring Schedule'!$F$12,$A254&gt;'Recurring Schedule'!$P$12),"",IF(IF('Recurring Schedule'!$N$12&gt;0,MOD($A254-'Recurring Schedule'!$F$12,'Recurring Schedule'!$N$12)=0,IF('Recurring Schedule'!$O$12&gt;0,AND(DAY($A254)=MIN(DAY('Recurring Schedule'!$F$12),DAY(EOMONTH($A254,0))),MOD((YEAR($A254)-YEAR('Recurring Schedule'!$F$12))*12+MONTH($A254)-MONTH('Recurring Schedule'!$F$12),'Recurring Schedule'!$O$12)=0),IF('Recurring Schedule'!$E$12="Weekdays",WEEKDAY($A254,2)&lt;=5,$A254='Recurring Schedule'!$F$12))),7,""))))</f>
        <v/>
      </c>
      <c r="I254">
        <f>IF('Recurring Schedule'!$C$13="","",IF('Recurring Schedule'!$F$13="","",IF(OR($A254&lt;'Recurring Schedule'!$F$13,$A254&gt;'Recurring Schedule'!$P$13),"",IF(IF('Recurring Schedule'!$N$13&gt;0,MOD($A254-'Recurring Schedule'!$F$13,'Recurring Schedule'!$N$13)=0,IF('Recurring Schedule'!$O$13&gt;0,AND(DAY($A254)=MIN(DAY('Recurring Schedule'!$F$13),DAY(EOMONTH($A254,0))),MOD((YEAR($A254)-YEAR('Recurring Schedule'!$F$13))*12+MONTH($A254)-MONTH('Recurring Schedule'!$F$13),'Recurring Schedule'!$O$13)=0),IF('Recurring Schedule'!$E$13="Weekdays",WEEKDAY($A254,2)&lt;=5,$A254='Recurring Schedule'!$F$13))),8,""))))</f>
        <v/>
      </c>
      <c r="J254">
        <f>IF('Recurring Schedule'!$C$14="","",IF('Recurring Schedule'!$F$14="","",IF(OR($A254&lt;'Recurring Schedule'!$F$14,$A254&gt;'Recurring Schedule'!$P$14),"",IF(IF('Recurring Schedule'!$N$14&gt;0,MOD($A254-'Recurring Schedule'!$F$14,'Recurring Schedule'!$N$14)=0,IF('Recurring Schedule'!$O$14&gt;0,AND(DAY($A254)=MIN(DAY('Recurring Schedule'!$F$14),DAY(EOMONTH($A254,0))),MOD((YEAR($A254)-YEAR('Recurring Schedule'!$F$14))*12+MONTH($A254)-MONTH('Recurring Schedule'!$F$14),'Recurring Schedule'!$O$14)=0),IF('Recurring Schedule'!$E$14="Weekdays",WEEKDAY($A254,2)&lt;=5,$A254='Recurring Schedule'!$F$14))),9,""))))</f>
        <v/>
      </c>
      <c r="K254">
        <f>IF('Recurring Schedule'!$C$15="","",IF('Recurring Schedule'!$F$15="","",IF(OR($A254&lt;'Recurring Schedule'!$F$15,$A254&gt;'Recurring Schedule'!$P$15),"",IF(IF('Recurring Schedule'!$N$15&gt;0,MOD($A254-'Recurring Schedule'!$F$15,'Recurring Schedule'!$N$15)=0,IF('Recurring Schedule'!$O$15&gt;0,AND(DAY($A254)=MIN(DAY('Recurring Schedule'!$F$15),DAY(EOMONTH($A254,0))),MOD((YEAR($A254)-YEAR('Recurring Schedule'!$F$15))*12+MONTH($A254)-MONTH('Recurring Schedule'!$F$15),'Recurring Schedule'!$O$15)=0),IF('Recurring Schedule'!$E$15="Weekdays",WEEKDAY($A254,2)&lt;=5,$A254='Recurring Schedule'!$F$15))),10,""))))</f>
        <v/>
      </c>
      <c r="L254">
        <f>IF('Recurring Schedule'!$C$16="","",IF('Recurring Schedule'!$F$16="","",IF(OR($A254&lt;'Recurring Schedule'!$F$16,$A254&gt;'Recurring Schedule'!$P$16),"",IF(IF('Recurring Schedule'!$N$16&gt;0,MOD($A254-'Recurring Schedule'!$F$16,'Recurring Schedule'!$N$16)=0,IF('Recurring Schedule'!$O$16&gt;0,AND(DAY($A254)=MIN(DAY('Recurring Schedule'!$F$16),DAY(EOMONTH($A254,0))),MOD((YEAR($A254)-YEAR('Recurring Schedule'!$F$16))*12+MONTH($A254)-MONTH('Recurring Schedule'!$F$16),'Recurring Schedule'!$O$16)=0),IF('Recurring Schedule'!$E$16="Weekdays",WEEKDAY($A254,2)&lt;=5,$A254='Recurring Schedule'!$F$16))),11,""))))</f>
        <v/>
      </c>
      <c r="M254">
        <f>IF('Recurring Schedule'!$C$17="","",IF('Recurring Schedule'!$F$17="","",IF(OR($A254&lt;'Recurring Schedule'!$F$17,$A254&gt;'Recurring Schedule'!$P$17),"",IF(IF('Recurring Schedule'!$N$17&gt;0,MOD($A254-'Recurring Schedule'!$F$17,'Recurring Schedule'!$N$17)=0,IF('Recurring Schedule'!$O$17&gt;0,AND(DAY($A254)=MIN(DAY('Recurring Schedule'!$F$17),DAY(EOMONTH($A254,0))),MOD((YEAR($A254)-YEAR('Recurring Schedule'!$F$17))*12+MONTH($A254)-MONTH('Recurring Schedule'!$F$17),'Recurring Schedule'!$O$17)=0),IF('Recurring Schedule'!$E$17="Weekdays",WEEKDAY($A254,2)&lt;=5,$A254='Recurring Schedule'!$F$17))),12,""))))</f>
        <v/>
      </c>
      <c r="N254">
        <f>IF('Recurring Schedule'!$C$18="","",IF('Recurring Schedule'!$F$18="","",IF(OR($A254&lt;'Recurring Schedule'!$F$18,$A254&gt;'Recurring Schedule'!$P$18),"",IF(IF('Recurring Schedule'!$N$18&gt;0,MOD($A254-'Recurring Schedule'!$F$18,'Recurring Schedule'!$N$18)=0,IF('Recurring Schedule'!$O$18&gt;0,AND(DAY($A254)=MIN(DAY('Recurring Schedule'!$F$18),DAY(EOMONTH($A254,0))),MOD((YEAR($A254)-YEAR('Recurring Schedule'!$F$18))*12+MONTH($A254)-MONTH('Recurring Schedule'!$F$18),'Recurring Schedule'!$O$18)=0),IF('Recurring Schedule'!$E$18="Weekdays",WEEKDAY($A254,2)&lt;=5,$A254='Recurring Schedule'!$F$18))),13,""))))</f>
        <v/>
      </c>
      <c r="O254">
        <f>IF('Recurring Schedule'!$C$19="","",IF('Recurring Schedule'!$F$19="","",IF(OR($A254&lt;'Recurring Schedule'!$F$19,$A254&gt;'Recurring Schedule'!$P$19),"",IF(IF('Recurring Schedule'!$N$19&gt;0,MOD($A254-'Recurring Schedule'!$F$19,'Recurring Schedule'!$N$19)=0,IF('Recurring Schedule'!$O$19&gt;0,AND(DAY($A254)=MIN(DAY('Recurring Schedule'!$F$19),DAY(EOMONTH($A254,0))),MOD((YEAR($A254)-YEAR('Recurring Schedule'!$F$19))*12+MONTH($A254)-MONTH('Recurring Schedule'!$F$19),'Recurring Schedule'!$O$19)=0),IF('Recurring Schedule'!$E$19="Weekdays",WEEKDAY($A254,2)&lt;=5,$A254='Recurring Schedule'!$F$19))),14,""))))</f>
        <v/>
      </c>
      <c r="P254">
        <f>IF('Recurring Schedule'!$C$20="","",IF('Recurring Schedule'!$F$20="","",IF(OR($A254&lt;'Recurring Schedule'!$F$20,$A254&gt;'Recurring Schedule'!$P$20),"",IF(IF('Recurring Schedule'!$N$20&gt;0,MOD($A254-'Recurring Schedule'!$F$20,'Recurring Schedule'!$N$20)=0,IF('Recurring Schedule'!$O$20&gt;0,AND(DAY($A254)=MIN(DAY('Recurring Schedule'!$F$20),DAY(EOMONTH($A254,0))),MOD((YEAR($A254)-YEAR('Recurring Schedule'!$F$20))*12+MONTH($A254)-MONTH('Recurring Schedule'!$F$20),'Recurring Schedule'!$O$20)=0),IF('Recurring Schedule'!$E$20="Weekdays",WEEKDAY($A254,2)&lt;=5,$A254='Recurring Schedule'!$F$20))),15,""))))</f>
        <v/>
      </c>
      <c r="Q254">
        <f>IF('Recurring Schedule'!$C$21="","",IF('Recurring Schedule'!$F$21="","",IF(OR($A254&lt;'Recurring Schedule'!$F$21,$A254&gt;'Recurring Schedule'!$P$21),"",IF(IF('Recurring Schedule'!$N$21&gt;0,MOD($A254-'Recurring Schedule'!$F$21,'Recurring Schedule'!$N$21)=0,IF('Recurring Schedule'!$O$21&gt;0,AND(DAY($A254)=MIN(DAY('Recurring Schedule'!$F$21),DAY(EOMONTH($A254,0))),MOD((YEAR($A254)-YEAR('Recurring Schedule'!$F$21))*12+MONTH($A254)-MONTH('Recurring Schedule'!$F$21),'Recurring Schedule'!$O$21)=0),IF('Recurring Schedule'!$E$21="Weekdays",WEEKDAY($A254,2)&lt;=5,$A254='Recurring Schedule'!$F$21))),16,""))))</f>
        <v/>
      </c>
      <c r="R254">
        <f>IF('Recurring Schedule'!$C$22="","",IF('Recurring Schedule'!$F$22="","",IF(OR($A254&lt;'Recurring Schedule'!$F$22,$A254&gt;'Recurring Schedule'!$P$22),"",IF(IF('Recurring Schedule'!$N$22&gt;0,MOD($A254-'Recurring Schedule'!$F$22,'Recurring Schedule'!$N$22)=0,IF('Recurring Schedule'!$O$22&gt;0,AND(DAY($A254)=MIN(DAY('Recurring Schedule'!$F$22),DAY(EOMONTH($A254,0))),MOD((YEAR($A254)-YEAR('Recurring Schedule'!$F$22))*12+MONTH($A254)-MONTH('Recurring Schedule'!$F$22),'Recurring Schedule'!$O$22)=0),IF('Recurring Schedule'!$E$22="Weekdays",WEEKDAY($A254,2)&lt;=5,$A254='Recurring Schedule'!$F$22))),17,""))))</f>
        <v/>
      </c>
      <c r="S254">
        <f>IF('Recurring Schedule'!$C$23="","",IF('Recurring Schedule'!$F$23="","",IF(OR($A254&lt;'Recurring Schedule'!$F$23,$A254&gt;'Recurring Schedule'!$P$23),"",IF(IF('Recurring Schedule'!$N$23&gt;0,MOD($A254-'Recurring Schedule'!$F$23,'Recurring Schedule'!$N$23)=0,IF('Recurring Schedule'!$O$23&gt;0,AND(DAY($A254)=MIN(DAY('Recurring Schedule'!$F$23),DAY(EOMONTH($A254,0))),MOD((YEAR($A254)-YEAR('Recurring Schedule'!$F$23))*12+MONTH($A254)-MONTH('Recurring Schedule'!$F$23),'Recurring Schedule'!$O$23)=0),IF('Recurring Schedule'!$E$23="Weekdays",WEEKDAY($A254,2)&lt;=5,$A254='Recurring Schedule'!$F$23))),18,""))))</f>
        <v/>
      </c>
      <c r="T254">
        <f>IF('Recurring Schedule'!$C$24="","",IF('Recurring Schedule'!$F$24="","",IF(OR($A254&lt;'Recurring Schedule'!$F$24,$A254&gt;'Recurring Schedule'!$P$24),"",IF(IF('Recurring Schedule'!$N$24&gt;0,MOD($A254-'Recurring Schedule'!$F$24,'Recurring Schedule'!$N$24)=0,IF('Recurring Schedule'!$O$24&gt;0,AND(DAY($A254)=MIN(DAY('Recurring Schedule'!$F$24),DAY(EOMONTH($A254,0))),MOD((YEAR($A254)-YEAR('Recurring Schedule'!$F$24))*12+MONTH($A254)-MONTH('Recurring Schedule'!$F$24),'Recurring Schedule'!$O$24)=0),IF('Recurring Schedule'!$E$24="Weekdays",WEEKDAY($A254,2)&lt;=5,$A254='Recurring Schedule'!$F$24))),19,""))))</f>
        <v/>
      </c>
      <c r="U254">
        <f>IF('Recurring Schedule'!$C$25="","",IF('Recurring Schedule'!$F$25="","",IF(OR($A254&lt;'Recurring Schedule'!$F$25,$A254&gt;'Recurring Schedule'!$P$25),"",IF(IF('Recurring Schedule'!$N$25&gt;0,MOD($A254-'Recurring Schedule'!$F$25,'Recurring Schedule'!$N$25)=0,IF('Recurring Schedule'!$O$25&gt;0,AND(DAY($A254)=MIN(DAY('Recurring Schedule'!$F$25),DAY(EOMONTH($A254,0))),MOD((YEAR($A254)-YEAR('Recurring Schedule'!$F$25))*12+MONTH($A254)-MONTH('Recurring Schedule'!$F$25),'Recurring Schedule'!$O$25)=0),IF('Recurring Schedule'!$E$25="Weekdays",WEEKDAY($A254,2)&lt;=5,$A254='Recurring Schedule'!$F$25))),20,""))))</f>
        <v/>
      </c>
      <c r="V254">
        <f>IF('Recurring Schedule'!$C$26="","",IF('Recurring Schedule'!$F$26="","",IF(OR($A254&lt;'Recurring Schedule'!$F$26,$A254&gt;'Recurring Schedule'!$P$26),"",IF(IF('Recurring Schedule'!$N$26&gt;0,MOD($A254-'Recurring Schedule'!$F$26,'Recurring Schedule'!$N$26)=0,IF('Recurring Schedule'!$O$26&gt;0,AND(DAY($A254)=MIN(DAY('Recurring Schedule'!$F$26),DAY(EOMONTH($A254,0))),MOD((YEAR($A254)-YEAR('Recurring Schedule'!$F$26))*12+MONTH($A254)-MONTH('Recurring Schedule'!$F$26),'Recurring Schedule'!$O$26)=0),IF('Recurring Schedule'!$E$26="Weekdays",WEEKDAY($A254,2)&lt;=5,$A254='Recurring Schedule'!$F$26))),21,""))))</f>
        <v/>
      </c>
      <c r="W254">
        <f>IF('Recurring Schedule'!$C$27="","",IF('Recurring Schedule'!$F$27="","",IF(OR($A254&lt;'Recurring Schedule'!$F$27,$A254&gt;'Recurring Schedule'!$P$27),"",IF(IF('Recurring Schedule'!$N$27&gt;0,MOD($A254-'Recurring Schedule'!$F$27,'Recurring Schedule'!$N$27)=0,IF('Recurring Schedule'!$O$27&gt;0,AND(DAY($A254)=MIN(DAY('Recurring Schedule'!$F$27),DAY(EOMONTH($A254,0))),MOD((YEAR($A254)-YEAR('Recurring Schedule'!$F$27))*12+MONTH($A254)-MONTH('Recurring Schedule'!$F$27),'Recurring Schedule'!$O$27)=0),IF('Recurring Schedule'!$E$27="Weekdays",WEEKDAY($A254,2)&lt;=5,$A254='Recurring Schedule'!$F$27))),22,""))))</f>
        <v/>
      </c>
      <c r="X254">
        <f>IF('Recurring Schedule'!$C$28="","",IF('Recurring Schedule'!$F$28="","",IF(OR($A254&lt;'Recurring Schedule'!$F$28,$A254&gt;'Recurring Schedule'!$P$28),"",IF(IF('Recurring Schedule'!$N$28&gt;0,MOD($A254-'Recurring Schedule'!$F$28,'Recurring Schedule'!$N$28)=0,IF('Recurring Schedule'!$O$28&gt;0,AND(DAY($A254)=MIN(DAY('Recurring Schedule'!$F$28),DAY(EOMONTH($A254,0))),MOD((YEAR($A254)-YEAR('Recurring Schedule'!$F$28))*12+MONTH($A254)-MONTH('Recurring Schedule'!$F$28),'Recurring Schedule'!$O$28)=0),IF('Recurring Schedule'!$E$28="Weekdays",WEEKDAY($A254,2)&lt;=5,$A254='Recurring Schedule'!$F$28))),23,""))))</f>
        <v/>
      </c>
      <c r="Y254">
        <f>IF('Recurring Schedule'!$C$29="","",IF('Recurring Schedule'!$F$29="","",IF(OR($A254&lt;'Recurring Schedule'!$F$29,$A254&gt;'Recurring Schedule'!$P$29),"",IF(IF('Recurring Schedule'!$N$29&gt;0,MOD($A254-'Recurring Schedule'!$F$29,'Recurring Schedule'!$N$29)=0,IF('Recurring Schedule'!$O$29&gt;0,AND(DAY($A254)=MIN(DAY('Recurring Schedule'!$F$29),DAY(EOMONTH($A254,0))),MOD((YEAR($A254)-YEAR('Recurring Schedule'!$F$29))*12+MONTH($A254)-MONTH('Recurring Schedule'!$F$29),'Recurring Schedule'!$O$29)=0),IF('Recurring Schedule'!$E$29="Weekdays",WEEKDAY($A254,2)&lt;=5,$A254='Recurring Schedule'!$F$29))),24,""))))</f>
        <v/>
      </c>
      <c r="Z254">
        <f>IF('Recurring Schedule'!$C$30="","",IF('Recurring Schedule'!$F$30="","",IF(OR($A254&lt;'Recurring Schedule'!$F$30,$A254&gt;'Recurring Schedule'!$P$30),"",IF(IF('Recurring Schedule'!$N$30&gt;0,MOD($A254-'Recurring Schedule'!$F$30,'Recurring Schedule'!$N$30)=0,IF('Recurring Schedule'!$O$30&gt;0,AND(DAY($A254)=MIN(DAY('Recurring Schedule'!$F$30),DAY(EOMONTH($A254,0))),MOD((YEAR($A254)-YEAR('Recurring Schedule'!$F$30))*12+MONTH($A254)-MONTH('Recurring Schedule'!$F$30),'Recurring Schedule'!$O$30)=0),IF('Recurring Schedule'!$E$30="Weekdays",WEEKDAY($A254,2)&lt;=5,$A254='Recurring Schedule'!$F$30))),25,""))))</f>
        <v/>
      </c>
      <c r="AA254">
        <f>IF('Recurring Schedule'!$C$31="","",IF('Recurring Schedule'!$F$31="","",IF(OR($A254&lt;'Recurring Schedule'!$F$31,$A254&gt;'Recurring Schedule'!$P$31),"",IF(IF('Recurring Schedule'!$N$31&gt;0,MOD($A254-'Recurring Schedule'!$F$31,'Recurring Schedule'!$N$31)=0,IF('Recurring Schedule'!$O$31&gt;0,AND(DAY($A254)=MIN(DAY('Recurring Schedule'!$F$31),DAY(EOMONTH($A254,0))),MOD((YEAR($A254)-YEAR('Recurring Schedule'!$F$31))*12+MONTH($A254)-MONTH('Recurring Schedule'!$F$31),'Recurring Schedule'!$O$31)=0),IF('Recurring Schedule'!$E$31="Weekdays",WEEKDAY($A254,2)&lt;=5,$A254='Recurring Schedule'!$F$31))),26,""))))</f>
        <v/>
      </c>
      <c r="AB254">
        <f>IF('Recurring Schedule'!$C$32="","",IF('Recurring Schedule'!$F$32="","",IF(OR($A254&lt;'Recurring Schedule'!$F$32,$A254&gt;'Recurring Schedule'!$P$32),"",IF(IF('Recurring Schedule'!$N$32&gt;0,MOD($A254-'Recurring Schedule'!$F$32,'Recurring Schedule'!$N$32)=0,IF('Recurring Schedule'!$O$32&gt;0,AND(DAY($A254)=MIN(DAY('Recurring Schedule'!$F$32),DAY(EOMONTH($A254,0))),MOD((YEAR($A254)-YEAR('Recurring Schedule'!$F$32))*12+MONTH($A254)-MONTH('Recurring Schedule'!$F$32),'Recurring Schedule'!$O$32)=0),IF('Recurring Schedule'!$E$32="Weekdays",WEEKDAY($A254,2)&lt;=5,$A254='Recurring Schedule'!$F$32))),27,""))))</f>
        <v/>
      </c>
      <c r="AC254">
        <f>IF('Recurring Schedule'!$C$33="","",IF('Recurring Schedule'!$F$33="","",IF(OR($A254&lt;'Recurring Schedule'!$F$33,$A254&gt;'Recurring Schedule'!$P$33),"",IF(IF('Recurring Schedule'!$N$33&gt;0,MOD($A254-'Recurring Schedule'!$F$33,'Recurring Schedule'!$N$33)=0,IF('Recurring Schedule'!$O$33&gt;0,AND(DAY($A254)=MIN(DAY('Recurring Schedule'!$F$33),DAY(EOMONTH($A254,0))),MOD((YEAR($A254)-YEAR('Recurring Schedule'!$F$33))*12+MONTH($A254)-MONTH('Recurring Schedule'!$F$33),'Recurring Schedule'!$O$33)=0),IF('Recurring Schedule'!$E$33="Weekdays",WEEKDAY($A254,2)&lt;=5,$A254='Recurring Schedule'!$F$33))),28,""))))</f>
        <v/>
      </c>
      <c r="AD254">
        <f>IF('Recurring Schedule'!$C$34="","",IF('Recurring Schedule'!$F$34="","",IF(OR($A254&lt;'Recurring Schedule'!$F$34,$A254&gt;'Recurring Schedule'!$P$34),"",IF(IF('Recurring Schedule'!$N$34&gt;0,MOD($A254-'Recurring Schedule'!$F$34,'Recurring Schedule'!$N$34)=0,IF('Recurring Schedule'!$O$34&gt;0,AND(DAY($A254)=MIN(DAY('Recurring Schedule'!$F$34),DAY(EOMONTH($A254,0))),MOD((YEAR($A254)-YEAR('Recurring Schedule'!$F$34))*12+MONTH($A254)-MONTH('Recurring Schedule'!$F$34),'Recurring Schedule'!$O$34)=0),IF('Recurring Schedule'!$E$34="Weekdays",WEEKDAY($A254,2)&lt;=5,$A254='Recurring Schedule'!$F$34))),29,""))))</f>
        <v/>
      </c>
      <c r="AE254">
        <f>IF('Recurring Schedule'!$C$35="","",IF('Recurring Schedule'!$F$35="","",IF(OR($A254&lt;'Recurring Schedule'!$F$35,$A254&gt;'Recurring Schedule'!$P$35),"",IF(IF('Recurring Schedule'!$N$35&gt;0,MOD($A254-'Recurring Schedule'!$F$35,'Recurring Schedule'!$N$35)=0,IF('Recurring Schedule'!$O$35&gt;0,AND(DAY($A254)=MIN(DAY('Recurring Schedule'!$F$35),DAY(EOMONTH($A254,0))),MOD((YEAR($A254)-YEAR('Recurring Schedule'!$F$35))*12+MONTH($A254)-MONTH('Recurring Schedule'!$F$35),'Recurring Schedule'!$O$35)=0),IF('Recurring Schedule'!$E$35="Weekdays",WEEKDAY($A254,2)&lt;=5,$A254='Recurring Schedule'!$F$35))),30,""))))</f>
        <v/>
      </c>
      <c r="AF254">
        <f>IF('Recurring Schedule'!$C$36="","",IF('Recurring Schedule'!$F$36="","",IF(OR($A254&lt;'Recurring Schedule'!$F$36,$A254&gt;'Recurring Schedule'!$P$36),"",IF(IF('Recurring Schedule'!$N$36&gt;0,MOD($A254-'Recurring Schedule'!$F$36,'Recurring Schedule'!$N$36)=0,IF('Recurring Schedule'!$O$36&gt;0,AND(DAY($A254)=MIN(DAY('Recurring Schedule'!$F$36),DAY(EOMONTH($A254,0))),MOD((YEAR($A254)-YEAR('Recurring Schedule'!$F$36))*12+MONTH($A254)-MONTH('Recurring Schedule'!$F$36),'Recurring Schedule'!$O$36)=0),IF('Recurring Schedule'!$E$36="Weekdays",WEEKDAY($A254,2)&lt;=5,$A254='Recurring Schedule'!$F$36))),31,""))))</f>
        <v/>
      </c>
      <c r="AG254">
        <f>IF('Recurring Schedule'!$C$37="","",IF('Recurring Schedule'!$F$37="","",IF(OR($A254&lt;'Recurring Schedule'!$F$37,$A254&gt;'Recurring Schedule'!$P$37),"",IF(IF('Recurring Schedule'!$N$37&gt;0,MOD($A254-'Recurring Schedule'!$F$37,'Recurring Schedule'!$N$37)=0,IF('Recurring Schedule'!$O$37&gt;0,AND(DAY($A254)=MIN(DAY('Recurring Schedule'!$F$37),DAY(EOMONTH($A254,0))),MOD((YEAR($A254)-YEAR('Recurring Schedule'!$F$37))*12+MONTH($A254)-MONTH('Recurring Schedule'!$F$37),'Recurring Schedule'!$O$37)=0),IF('Recurring Schedule'!$E$37="Weekdays",WEEKDAY($A254,2)&lt;=5,$A254='Recurring Schedule'!$F$37))),32,""))))</f>
        <v/>
      </c>
      <c r="AH254">
        <f>IF('Recurring Schedule'!$C$38="","",IF('Recurring Schedule'!$F$38="","",IF(OR($A254&lt;'Recurring Schedule'!$F$38,$A254&gt;'Recurring Schedule'!$P$38),"",IF(IF('Recurring Schedule'!$N$38&gt;0,MOD($A254-'Recurring Schedule'!$F$38,'Recurring Schedule'!$N$38)=0,IF('Recurring Schedule'!$O$38&gt;0,AND(DAY($A254)=MIN(DAY('Recurring Schedule'!$F$38),DAY(EOMONTH($A254,0))),MOD((YEAR($A254)-YEAR('Recurring Schedule'!$F$38))*12+MONTH($A254)-MONTH('Recurring Schedule'!$F$38),'Recurring Schedule'!$O$38)=0),IF('Recurring Schedule'!$E$38="Weekdays",WEEKDAY($A254,2)&lt;=5,$A254='Recurring Schedule'!$F$38))),33,""))))</f>
        <v/>
      </c>
      <c r="AI254">
        <f>IF('Recurring Schedule'!$C$39="","",IF('Recurring Schedule'!$F$39="","",IF(OR($A254&lt;'Recurring Schedule'!$F$39,$A254&gt;'Recurring Schedule'!$P$39),"",IF(IF('Recurring Schedule'!$N$39&gt;0,MOD($A254-'Recurring Schedule'!$F$39,'Recurring Schedule'!$N$39)=0,IF('Recurring Schedule'!$O$39&gt;0,AND(DAY($A254)=MIN(DAY('Recurring Schedule'!$F$39),DAY(EOMONTH($A254,0))),MOD((YEAR($A254)-YEAR('Recurring Schedule'!$F$39))*12+MONTH($A254)-MONTH('Recurring Schedule'!$F$39),'Recurring Schedule'!$O$39)=0),IF('Recurring Schedule'!$E$39="Weekdays",WEEKDAY($A254,2)&lt;=5,$A254='Recurring Schedule'!$F$39))),34,""))))</f>
        <v/>
      </c>
      <c r="AJ254">
        <f>IF('Recurring Schedule'!$C$40="","",IF('Recurring Schedule'!$F$40="","",IF(OR($A254&lt;'Recurring Schedule'!$F$40,$A254&gt;'Recurring Schedule'!$P$40),"",IF(IF('Recurring Schedule'!$N$40&gt;0,MOD($A254-'Recurring Schedule'!$F$40,'Recurring Schedule'!$N$40)=0,IF('Recurring Schedule'!$O$40&gt;0,AND(DAY($A254)=MIN(DAY('Recurring Schedule'!$F$40),DAY(EOMONTH($A254,0))),MOD((YEAR($A254)-YEAR('Recurring Schedule'!$F$40))*12+MONTH($A254)-MONTH('Recurring Schedule'!$F$40),'Recurring Schedule'!$O$40)=0),IF('Recurring Schedule'!$E$40="Weekdays",WEEKDAY($A254,2)&lt;=5,$A254='Recurring Schedule'!$F$40))),35,""))))</f>
        <v/>
      </c>
      <c r="AK254">
        <f>IF('Recurring Schedule'!$C$41="","",IF('Recurring Schedule'!$F$41="","",IF(OR($A254&lt;'Recurring Schedule'!$F$41,$A254&gt;'Recurring Schedule'!$P$41),"",IF(IF('Recurring Schedule'!$N$41&gt;0,MOD($A254-'Recurring Schedule'!$F$41,'Recurring Schedule'!$N$41)=0,IF('Recurring Schedule'!$O$41&gt;0,AND(DAY($A254)=MIN(DAY('Recurring Schedule'!$F$41),DAY(EOMONTH($A254,0))),MOD((YEAR($A254)-YEAR('Recurring Schedule'!$F$41))*12+MONTH($A254)-MONTH('Recurring Schedule'!$F$41),'Recurring Schedule'!$O$41)=0),IF('Recurring Schedule'!$E$41="Weekdays",WEEKDAY($A254,2)&lt;=5,$A254='Recurring Schedule'!$F$41))),36,""))))</f>
        <v/>
      </c>
      <c r="AL254">
        <f>IF('Recurring Schedule'!$C$42="","",IF('Recurring Schedule'!$F$42="","",IF(OR($A254&lt;'Recurring Schedule'!$F$42,$A254&gt;'Recurring Schedule'!$P$42),"",IF(IF('Recurring Schedule'!$N$42&gt;0,MOD($A254-'Recurring Schedule'!$F$42,'Recurring Schedule'!$N$42)=0,IF('Recurring Schedule'!$O$42&gt;0,AND(DAY($A254)=MIN(DAY('Recurring Schedule'!$F$42),DAY(EOMONTH($A254,0))),MOD((YEAR($A254)-YEAR('Recurring Schedule'!$F$42))*12+MONTH($A254)-MONTH('Recurring Schedule'!$F$42),'Recurring Schedule'!$O$42)=0),IF('Recurring Schedule'!$E$42="Weekdays",WEEKDAY($A254,2)&lt;=5,$A254='Recurring Schedule'!$F$42))),37,""))))</f>
        <v/>
      </c>
      <c r="AM254">
        <f>IF('Recurring Schedule'!$C$43="","",IF('Recurring Schedule'!$F$43="","",IF(OR($A254&lt;'Recurring Schedule'!$F$43,$A254&gt;'Recurring Schedule'!$P$43),"",IF(IF('Recurring Schedule'!$N$43&gt;0,MOD($A254-'Recurring Schedule'!$F$43,'Recurring Schedule'!$N$43)=0,IF('Recurring Schedule'!$O$43&gt;0,AND(DAY($A254)=MIN(DAY('Recurring Schedule'!$F$43),DAY(EOMONTH($A254,0))),MOD((YEAR($A254)-YEAR('Recurring Schedule'!$F$43))*12+MONTH($A254)-MONTH('Recurring Schedule'!$F$43),'Recurring Schedule'!$O$43)=0),IF('Recurring Schedule'!$E$43="Weekdays",WEEKDAY($A254,2)&lt;=5,$A254='Recurring Schedule'!$F$43))),38,""))))</f>
        <v/>
      </c>
      <c r="AN254">
        <f>IF('Recurring Schedule'!$C$44="","",IF('Recurring Schedule'!$F$44="","",IF(OR($A254&lt;'Recurring Schedule'!$F$44,$A254&gt;'Recurring Schedule'!$P$44),"",IF(IF('Recurring Schedule'!$N$44&gt;0,MOD($A254-'Recurring Schedule'!$F$44,'Recurring Schedule'!$N$44)=0,IF('Recurring Schedule'!$O$44&gt;0,AND(DAY($A254)=MIN(DAY('Recurring Schedule'!$F$44),DAY(EOMONTH($A254,0))),MOD((YEAR($A254)-YEAR('Recurring Schedule'!$F$44))*12+MONTH($A254)-MONTH('Recurring Schedule'!$F$44),'Recurring Schedule'!$O$44)=0),IF('Recurring Schedule'!$E$44="Weekdays",WEEKDAY($A254,2)&lt;=5,$A254='Recurring Schedule'!$F$44))),39,""))))</f>
        <v/>
      </c>
      <c r="AO254">
        <f>IF('Recurring Schedule'!$C$45="","",IF('Recurring Schedule'!$F$45="","",IF(OR($A254&lt;'Recurring Schedule'!$F$45,$A254&gt;'Recurring Schedule'!$P$45),"",IF(IF('Recurring Schedule'!$N$45&gt;0,MOD($A254-'Recurring Schedule'!$F$45,'Recurring Schedule'!$N$45)=0,IF('Recurring Schedule'!$O$45&gt;0,AND(DAY($A254)=MIN(DAY('Recurring Schedule'!$F$45),DAY(EOMONTH($A254,0))),MOD((YEAR($A254)-YEAR('Recurring Schedule'!$F$45))*12+MONTH($A254)-MONTH('Recurring Schedule'!$F$45),'Recurring Schedule'!$O$45)=0),IF('Recurring Schedule'!$E$45="Weekdays",WEEKDAY($A254,2)&lt;=5,$A254='Recurring Schedule'!$F$45))),40,""))))</f>
        <v/>
      </c>
      <c r="AP254">
        <f>COUNT(B254:AO254)</f>
        <v/>
      </c>
      <c r="AQ254">
        <f>AQ253+AP253</f>
        <v/>
      </c>
      <c r="AS254" t="inlineStr">
        <is>
          <t>R</t>
        </is>
      </c>
      <c r="AT254" t="n">
        <v>258</v>
      </c>
      <c r="AU254">
        <f>'Recurring Log'!C258&amp;""</f>
        <v/>
      </c>
      <c r="AV254">
        <f>'Recurring Log'!D258&amp;""</f>
        <v/>
      </c>
      <c r="AW254">
        <f>IF('Recurring Log'!E258="","",'Recurring Log'!E258)</f>
        <v/>
      </c>
      <c r="AX254">
        <f>IF('Recurring Log'!G258="","",'Recurring Log'!G258)</f>
        <v/>
      </c>
      <c r="AY254">
        <f>IF('Recurring Log'!H258="","",'Recurring Log'!H258)</f>
        <v/>
      </c>
      <c r="AZ254">
        <f>IF(AU254="","",IF('Recurring Log'!J258="","Not Started",'Recurring Log'!J258))</f>
        <v/>
      </c>
      <c r="BA254">
        <f>'Recurring Log'!L258&amp;""</f>
        <v/>
      </c>
      <c r="BB254">
        <f>'Recurring Log'!M258&amp;""</f>
        <v/>
      </c>
      <c r="BC254">
        <f>'Recurring Log'!N258&amp;""</f>
        <v/>
      </c>
      <c r="BD254">
        <f>'Recurring Log'!O258&amp;""</f>
        <v/>
      </c>
      <c r="BE254">
        <f>IF('Recurring Log'!K258="","",'Recurring Log'!K258)</f>
        <v/>
      </c>
      <c r="BF254">
        <f>IFERROR(MATCH(BA254,Setup!$L$6:$L$9,0),5)</f>
        <v/>
      </c>
      <c r="BG254">
        <f>IF(OR(AZ254="Done",AZ254="Cancelled"),1,0)</f>
        <v/>
      </c>
      <c r="BH254">
        <f>IF(AND(AU254&lt;&gt;"",ISNUMBER(AW254)),1,0)</f>
        <v/>
      </c>
      <c r="BI254">
        <f>IF(BH254=0,0,IF(AND(AW254&gt;='Tasks Filter'!$F$3,AW254&lt;='Tasks Filter'!$F$4,OR('Tasks Filter'!$I$3="",ISNUMBER(SEARCH('Tasks Filter'!$I$3,AU254))),OR('Tasks Filter'!$I$4="",BF254=IFERROR(MATCH('Tasks Filter'!$I$4,Setup!$L$6:$L$9,0),0)),OR('Tasks Filter'!$I$5="Both",AND('Tasks Filter'!$I$5="Yes",BB254="✓"),AND('Tasks Filter'!$I$5="No",BB254&lt;&gt;"✓")),OR('Tasks Filter'!$L$3="",AV254='Tasks Filter'!$L$3),OR('Tasks Filter'!$L$4="",AZ254='Tasks Filter'!$L$4),OR('Tasks Filter'!$L$5="",BC254='Tasks Filter'!$L$5),OR('Tasks Filter'!$O$3="",BD254='Tasks Filter'!$O$3),OR('Tasks Filter'!$O$4="Yes",BG254=0)),1,0))</f>
        <v/>
      </c>
      <c r="BJ254">
        <f>IF(BH254=0,"",IF('Tasks Filter'!$F$6="Descending",-1,1)*CHOOSE(MATCH('Tasks Filter'!$F$5,Lists!$G$2:$G$6,0),AW254,BF254,IFERROR(MATCH(AV254,Setup!$F$6:$F$15,0),99),IFERROR(MATCH(BC254,Setup!$H$6:$H$15,0),99),IFERROR(MATCH(AZ254,Setup!$J$6:$J$11,0),99))*1E+9+(AW254-40000)*10000+253)</f>
        <v/>
      </c>
      <c r="BK254">
        <f>IF(BI254=1,BJ254,"")</f>
        <v/>
      </c>
      <c r="BL254">
        <f>IF(AND(BH254=1,BG254=0,N(AW254)&lt;Setup!$D$7),(AW254-40000)*10000+253,"")</f>
        <v/>
      </c>
      <c r="BM254">
        <f>IF(AND(BH254=1,AZ254&lt;&gt;"Cancelled",N(AW254)&gt;=Dashboard!$AB$3,N(AW254)&lt;=Dashboard!$AB$3+6),(AW254-40000)*100000+BF254*10000+253,"")</f>
        <v/>
      </c>
      <c r="BN254">
        <f>IF(AND(BH254=1,AZ254&lt;&gt;"Cancelled"),BF254*10000+253,"")</f>
        <v/>
      </c>
    </row>
    <row r="255">
      <c r="A255">
        <f>Setup!$D$5+253</f>
        <v/>
      </c>
      <c r="B255">
        <f>IF('Recurring Schedule'!$C$6="","",IF('Recurring Schedule'!$F$6="","",IF(OR($A255&lt;'Recurring Schedule'!$F$6,$A255&gt;'Recurring Schedule'!$P$6),"",IF(IF('Recurring Schedule'!$N$6&gt;0,MOD($A255-'Recurring Schedule'!$F$6,'Recurring Schedule'!$N$6)=0,IF('Recurring Schedule'!$O$6&gt;0,AND(DAY($A255)=MIN(DAY('Recurring Schedule'!$F$6),DAY(EOMONTH($A255,0))),MOD((YEAR($A255)-YEAR('Recurring Schedule'!$F$6))*12+MONTH($A255)-MONTH('Recurring Schedule'!$F$6),'Recurring Schedule'!$O$6)=0),IF('Recurring Schedule'!$E$6="Weekdays",WEEKDAY($A255,2)&lt;=5,$A255='Recurring Schedule'!$F$6))),1,""))))</f>
        <v/>
      </c>
      <c r="C255">
        <f>IF('Recurring Schedule'!$C$7="","",IF('Recurring Schedule'!$F$7="","",IF(OR($A255&lt;'Recurring Schedule'!$F$7,$A255&gt;'Recurring Schedule'!$P$7),"",IF(IF('Recurring Schedule'!$N$7&gt;0,MOD($A255-'Recurring Schedule'!$F$7,'Recurring Schedule'!$N$7)=0,IF('Recurring Schedule'!$O$7&gt;0,AND(DAY($A255)=MIN(DAY('Recurring Schedule'!$F$7),DAY(EOMONTH($A255,0))),MOD((YEAR($A255)-YEAR('Recurring Schedule'!$F$7))*12+MONTH($A255)-MONTH('Recurring Schedule'!$F$7),'Recurring Schedule'!$O$7)=0),IF('Recurring Schedule'!$E$7="Weekdays",WEEKDAY($A255,2)&lt;=5,$A255='Recurring Schedule'!$F$7))),2,""))))</f>
        <v/>
      </c>
      <c r="D255">
        <f>IF('Recurring Schedule'!$C$8="","",IF('Recurring Schedule'!$F$8="","",IF(OR($A255&lt;'Recurring Schedule'!$F$8,$A255&gt;'Recurring Schedule'!$P$8),"",IF(IF('Recurring Schedule'!$N$8&gt;0,MOD($A255-'Recurring Schedule'!$F$8,'Recurring Schedule'!$N$8)=0,IF('Recurring Schedule'!$O$8&gt;0,AND(DAY($A255)=MIN(DAY('Recurring Schedule'!$F$8),DAY(EOMONTH($A255,0))),MOD((YEAR($A255)-YEAR('Recurring Schedule'!$F$8))*12+MONTH($A255)-MONTH('Recurring Schedule'!$F$8),'Recurring Schedule'!$O$8)=0),IF('Recurring Schedule'!$E$8="Weekdays",WEEKDAY($A255,2)&lt;=5,$A255='Recurring Schedule'!$F$8))),3,""))))</f>
        <v/>
      </c>
      <c r="E255">
        <f>IF('Recurring Schedule'!$C$9="","",IF('Recurring Schedule'!$F$9="","",IF(OR($A255&lt;'Recurring Schedule'!$F$9,$A255&gt;'Recurring Schedule'!$P$9),"",IF(IF('Recurring Schedule'!$N$9&gt;0,MOD($A255-'Recurring Schedule'!$F$9,'Recurring Schedule'!$N$9)=0,IF('Recurring Schedule'!$O$9&gt;0,AND(DAY($A255)=MIN(DAY('Recurring Schedule'!$F$9),DAY(EOMONTH($A255,0))),MOD((YEAR($A255)-YEAR('Recurring Schedule'!$F$9))*12+MONTH($A255)-MONTH('Recurring Schedule'!$F$9),'Recurring Schedule'!$O$9)=0),IF('Recurring Schedule'!$E$9="Weekdays",WEEKDAY($A255,2)&lt;=5,$A255='Recurring Schedule'!$F$9))),4,""))))</f>
        <v/>
      </c>
      <c r="F255">
        <f>IF('Recurring Schedule'!$C$10="","",IF('Recurring Schedule'!$F$10="","",IF(OR($A255&lt;'Recurring Schedule'!$F$10,$A255&gt;'Recurring Schedule'!$P$10),"",IF(IF('Recurring Schedule'!$N$10&gt;0,MOD($A255-'Recurring Schedule'!$F$10,'Recurring Schedule'!$N$10)=0,IF('Recurring Schedule'!$O$10&gt;0,AND(DAY($A255)=MIN(DAY('Recurring Schedule'!$F$10),DAY(EOMONTH($A255,0))),MOD((YEAR($A255)-YEAR('Recurring Schedule'!$F$10))*12+MONTH($A255)-MONTH('Recurring Schedule'!$F$10),'Recurring Schedule'!$O$10)=0),IF('Recurring Schedule'!$E$10="Weekdays",WEEKDAY($A255,2)&lt;=5,$A255='Recurring Schedule'!$F$10))),5,""))))</f>
        <v/>
      </c>
      <c r="G255">
        <f>IF('Recurring Schedule'!$C$11="","",IF('Recurring Schedule'!$F$11="","",IF(OR($A255&lt;'Recurring Schedule'!$F$11,$A255&gt;'Recurring Schedule'!$P$11),"",IF(IF('Recurring Schedule'!$N$11&gt;0,MOD($A255-'Recurring Schedule'!$F$11,'Recurring Schedule'!$N$11)=0,IF('Recurring Schedule'!$O$11&gt;0,AND(DAY($A255)=MIN(DAY('Recurring Schedule'!$F$11),DAY(EOMONTH($A255,0))),MOD((YEAR($A255)-YEAR('Recurring Schedule'!$F$11))*12+MONTH($A255)-MONTH('Recurring Schedule'!$F$11),'Recurring Schedule'!$O$11)=0),IF('Recurring Schedule'!$E$11="Weekdays",WEEKDAY($A255,2)&lt;=5,$A255='Recurring Schedule'!$F$11))),6,""))))</f>
        <v/>
      </c>
      <c r="H255">
        <f>IF('Recurring Schedule'!$C$12="","",IF('Recurring Schedule'!$F$12="","",IF(OR($A255&lt;'Recurring Schedule'!$F$12,$A255&gt;'Recurring Schedule'!$P$12),"",IF(IF('Recurring Schedule'!$N$12&gt;0,MOD($A255-'Recurring Schedule'!$F$12,'Recurring Schedule'!$N$12)=0,IF('Recurring Schedule'!$O$12&gt;0,AND(DAY($A255)=MIN(DAY('Recurring Schedule'!$F$12),DAY(EOMONTH($A255,0))),MOD((YEAR($A255)-YEAR('Recurring Schedule'!$F$12))*12+MONTH($A255)-MONTH('Recurring Schedule'!$F$12),'Recurring Schedule'!$O$12)=0),IF('Recurring Schedule'!$E$12="Weekdays",WEEKDAY($A255,2)&lt;=5,$A255='Recurring Schedule'!$F$12))),7,""))))</f>
        <v/>
      </c>
      <c r="I255">
        <f>IF('Recurring Schedule'!$C$13="","",IF('Recurring Schedule'!$F$13="","",IF(OR($A255&lt;'Recurring Schedule'!$F$13,$A255&gt;'Recurring Schedule'!$P$13),"",IF(IF('Recurring Schedule'!$N$13&gt;0,MOD($A255-'Recurring Schedule'!$F$13,'Recurring Schedule'!$N$13)=0,IF('Recurring Schedule'!$O$13&gt;0,AND(DAY($A255)=MIN(DAY('Recurring Schedule'!$F$13),DAY(EOMONTH($A255,0))),MOD((YEAR($A255)-YEAR('Recurring Schedule'!$F$13))*12+MONTH($A255)-MONTH('Recurring Schedule'!$F$13),'Recurring Schedule'!$O$13)=0),IF('Recurring Schedule'!$E$13="Weekdays",WEEKDAY($A255,2)&lt;=5,$A255='Recurring Schedule'!$F$13))),8,""))))</f>
        <v/>
      </c>
      <c r="J255">
        <f>IF('Recurring Schedule'!$C$14="","",IF('Recurring Schedule'!$F$14="","",IF(OR($A255&lt;'Recurring Schedule'!$F$14,$A255&gt;'Recurring Schedule'!$P$14),"",IF(IF('Recurring Schedule'!$N$14&gt;0,MOD($A255-'Recurring Schedule'!$F$14,'Recurring Schedule'!$N$14)=0,IF('Recurring Schedule'!$O$14&gt;0,AND(DAY($A255)=MIN(DAY('Recurring Schedule'!$F$14),DAY(EOMONTH($A255,0))),MOD((YEAR($A255)-YEAR('Recurring Schedule'!$F$14))*12+MONTH($A255)-MONTH('Recurring Schedule'!$F$14),'Recurring Schedule'!$O$14)=0),IF('Recurring Schedule'!$E$14="Weekdays",WEEKDAY($A255,2)&lt;=5,$A255='Recurring Schedule'!$F$14))),9,""))))</f>
        <v/>
      </c>
      <c r="K255">
        <f>IF('Recurring Schedule'!$C$15="","",IF('Recurring Schedule'!$F$15="","",IF(OR($A255&lt;'Recurring Schedule'!$F$15,$A255&gt;'Recurring Schedule'!$P$15),"",IF(IF('Recurring Schedule'!$N$15&gt;0,MOD($A255-'Recurring Schedule'!$F$15,'Recurring Schedule'!$N$15)=0,IF('Recurring Schedule'!$O$15&gt;0,AND(DAY($A255)=MIN(DAY('Recurring Schedule'!$F$15),DAY(EOMONTH($A255,0))),MOD((YEAR($A255)-YEAR('Recurring Schedule'!$F$15))*12+MONTH($A255)-MONTH('Recurring Schedule'!$F$15),'Recurring Schedule'!$O$15)=0),IF('Recurring Schedule'!$E$15="Weekdays",WEEKDAY($A255,2)&lt;=5,$A255='Recurring Schedule'!$F$15))),10,""))))</f>
        <v/>
      </c>
      <c r="L255">
        <f>IF('Recurring Schedule'!$C$16="","",IF('Recurring Schedule'!$F$16="","",IF(OR($A255&lt;'Recurring Schedule'!$F$16,$A255&gt;'Recurring Schedule'!$P$16),"",IF(IF('Recurring Schedule'!$N$16&gt;0,MOD($A255-'Recurring Schedule'!$F$16,'Recurring Schedule'!$N$16)=0,IF('Recurring Schedule'!$O$16&gt;0,AND(DAY($A255)=MIN(DAY('Recurring Schedule'!$F$16),DAY(EOMONTH($A255,0))),MOD((YEAR($A255)-YEAR('Recurring Schedule'!$F$16))*12+MONTH($A255)-MONTH('Recurring Schedule'!$F$16),'Recurring Schedule'!$O$16)=0),IF('Recurring Schedule'!$E$16="Weekdays",WEEKDAY($A255,2)&lt;=5,$A255='Recurring Schedule'!$F$16))),11,""))))</f>
        <v/>
      </c>
      <c r="M255">
        <f>IF('Recurring Schedule'!$C$17="","",IF('Recurring Schedule'!$F$17="","",IF(OR($A255&lt;'Recurring Schedule'!$F$17,$A255&gt;'Recurring Schedule'!$P$17),"",IF(IF('Recurring Schedule'!$N$17&gt;0,MOD($A255-'Recurring Schedule'!$F$17,'Recurring Schedule'!$N$17)=0,IF('Recurring Schedule'!$O$17&gt;0,AND(DAY($A255)=MIN(DAY('Recurring Schedule'!$F$17),DAY(EOMONTH($A255,0))),MOD((YEAR($A255)-YEAR('Recurring Schedule'!$F$17))*12+MONTH($A255)-MONTH('Recurring Schedule'!$F$17),'Recurring Schedule'!$O$17)=0),IF('Recurring Schedule'!$E$17="Weekdays",WEEKDAY($A255,2)&lt;=5,$A255='Recurring Schedule'!$F$17))),12,""))))</f>
        <v/>
      </c>
      <c r="N255">
        <f>IF('Recurring Schedule'!$C$18="","",IF('Recurring Schedule'!$F$18="","",IF(OR($A255&lt;'Recurring Schedule'!$F$18,$A255&gt;'Recurring Schedule'!$P$18),"",IF(IF('Recurring Schedule'!$N$18&gt;0,MOD($A255-'Recurring Schedule'!$F$18,'Recurring Schedule'!$N$18)=0,IF('Recurring Schedule'!$O$18&gt;0,AND(DAY($A255)=MIN(DAY('Recurring Schedule'!$F$18),DAY(EOMONTH($A255,0))),MOD((YEAR($A255)-YEAR('Recurring Schedule'!$F$18))*12+MONTH($A255)-MONTH('Recurring Schedule'!$F$18),'Recurring Schedule'!$O$18)=0),IF('Recurring Schedule'!$E$18="Weekdays",WEEKDAY($A255,2)&lt;=5,$A255='Recurring Schedule'!$F$18))),13,""))))</f>
        <v/>
      </c>
      <c r="O255">
        <f>IF('Recurring Schedule'!$C$19="","",IF('Recurring Schedule'!$F$19="","",IF(OR($A255&lt;'Recurring Schedule'!$F$19,$A255&gt;'Recurring Schedule'!$P$19),"",IF(IF('Recurring Schedule'!$N$19&gt;0,MOD($A255-'Recurring Schedule'!$F$19,'Recurring Schedule'!$N$19)=0,IF('Recurring Schedule'!$O$19&gt;0,AND(DAY($A255)=MIN(DAY('Recurring Schedule'!$F$19),DAY(EOMONTH($A255,0))),MOD((YEAR($A255)-YEAR('Recurring Schedule'!$F$19))*12+MONTH($A255)-MONTH('Recurring Schedule'!$F$19),'Recurring Schedule'!$O$19)=0),IF('Recurring Schedule'!$E$19="Weekdays",WEEKDAY($A255,2)&lt;=5,$A255='Recurring Schedule'!$F$19))),14,""))))</f>
        <v/>
      </c>
      <c r="P255">
        <f>IF('Recurring Schedule'!$C$20="","",IF('Recurring Schedule'!$F$20="","",IF(OR($A255&lt;'Recurring Schedule'!$F$20,$A255&gt;'Recurring Schedule'!$P$20),"",IF(IF('Recurring Schedule'!$N$20&gt;0,MOD($A255-'Recurring Schedule'!$F$20,'Recurring Schedule'!$N$20)=0,IF('Recurring Schedule'!$O$20&gt;0,AND(DAY($A255)=MIN(DAY('Recurring Schedule'!$F$20),DAY(EOMONTH($A255,0))),MOD((YEAR($A255)-YEAR('Recurring Schedule'!$F$20))*12+MONTH($A255)-MONTH('Recurring Schedule'!$F$20),'Recurring Schedule'!$O$20)=0),IF('Recurring Schedule'!$E$20="Weekdays",WEEKDAY($A255,2)&lt;=5,$A255='Recurring Schedule'!$F$20))),15,""))))</f>
        <v/>
      </c>
      <c r="Q255">
        <f>IF('Recurring Schedule'!$C$21="","",IF('Recurring Schedule'!$F$21="","",IF(OR($A255&lt;'Recurring Schedule'!$F$21,$A255&gt;'Recurring Schedule'!$P$21),"",IF(IF('Recurring Schedule'!$N$21&gt;0,MOD($A255-'Recurring Schedule'!$F$21,'Recurring Schedule'!$N$21)=0,IF('Recurring Schedule'!$O$21&gt;0,AND(DAY($A255)=MIN(DAY('Recurring Schedule'!$F$21),DAY(EOMONTH($A255,0))),MOD((YEAR($A255)-YEAR('Recurring Schedule'!$F$21))*12+MONTH($A255)-MONTH('Recurring Schedule'!$F$21),'Recurring Schedule'!$O$21)=0),IF('Recurring Schedule'!$E$21="Weekdays",WEEKDAY($A255,2)&lt;=5,$A255='Recurring Schedule'!$F$21))),16,""))))</f>
        <v/>
      </c>
      <c r="R255">
        <f>IF('Recurring Schedule'!$C$22="","",IF('Recurring Schedule'!$F$22="","",IF(OR($A255&lt;'Recurring Schedule'!$F$22,$A255&gt;'Recurring Schedule'!$P$22),"",IF(IF('Recurring Schedule'!$N$22&gt;0,MOD($A255-'Recurring Schedule'!$F$22,'Recurring Schedule'!$N$22)=0,IF('Recurring Schedule'!$O$22&gt;0,AND(DAY($A255)=MIN(DAY('Recurring Schedule'!$F$22),DAY(EOMONTH($A255,0))),MOD((YEAR($A255)-YEAR('Recurring Schedule'!$F$22))*12+MONTH($A255)-MONTH('Recurring Schedule'!$F$22),'Recurring Schedule'!$O$22)=0),IF('Recurring Schedule'!$E$22="Weekdays",WEEKDAY($A255,2)&lt;=5,$A255='Recurring Schedule'!$F$22))),17,""))))</f>
        <v/>
      </c>
      <c r="S255">
        <f>IF('Recurring Schedule'!$C$23="","",IF('Recurring Schedule'!$F$23="","",IF(OR($A255&lt;'Recurring Schedule'!$F$23,$A255&gt;'Recurring Schedule'!$P$23),"",IF(IF('Recurring Schedule'!$N$23&gt;0,MOD($A255-'Recurring Schedule'!$F$23,'Recurring Schedule'!$N$23)=0,IF('Recurring Schedule'!$O$23&gt;0,AND(DAY($A255)=MIN(DAY('Recurring Schedule'!$F$23),DAY(EOMONTH($A255,0))),MOD((YEAR($A255)-YEAR('Recurring Schedule'!$F$23))*12+MONTH($A255)-MONTH('Recurring Schedule'!$F$23),'Recurring Schedule'!$O$23)=0),IF('Recurring Schedule'!$E$23="Weekdays",WEEKDAY($A255,2)&lt;=5,$A255='Recurring Schedule'!$F$23))),18,""))))</f>
        <v/>
      </c>
      <c r="T255">
        <f>IF('Recurring Schedule'!$C$24="","",IF('Recurring Schedule'!$F$24="","",IF(OR($A255&lt;'Recurring Schedule'!$F$24,$A255&gt;'Recurring Schedule'!$P$24),"",IF(IF('Recurring Schedule'!$N$24&gt;0,MOD($A255-'Recurring Schedule'!$F$24,'Recurring Schedule'!$N$24)=0,IF('Recurring Schedule'!$O$24&gt;0,AND(DAY($A255)=MIN(DAY('Recurring Schedule'!$F$24),DAY(EOMONTH($A255,0))),MOD((YEAR($A255)-YEAR('Recurring Schedule'!$F$24))*12+MONTH($A255)-MONTH('Recurring Schedule'!$F$24),'Recurring Schedule'!$O$24)=0),IF('Recurring Schedule'!$E$24="Weekdays",WEEKDAY($A255,2)&lt;=5,$A255='Recurring Schedule'!$F$24))),19,""))))</f>
        <v/>
      </c>
      <c r="U255">
        <f>IF('Recurring Schedule'!$C$25="","",IF('Recurring Schedule'!$F$25="","",IF(OR($A255&lt;'Recurring Schedule'!$F$25,$A255&gt;'Recurring Schedule'!$P$25),"",IF(IF('Recurring Schedule'!$N$25&gt;0,MOD($A255-'Recurring Schedule'!$F$25,'Recurring Schedule'!$N$25)=0,IF('Recurring Schedule'!$O$25&gt;0,AND(DAY($A255)=MIN(DAY('Recurring Schedule'!$F$25),DAY(EOMONTH($A255,0))),MOD((YEAR($A255)-YEAR('Recurring Schedule'!$F$25))*12+MONTH($A255)-MONTH('Recurring Schedule'!$F$25),'Recurring Schedule'!$O$25)=0),IF('Recurring Schedule'!$E$25="Weekdays",WEEKDAY($A255,2)&lt;=5,$A255='Recurring Schedule'!$F$25))),20,""))))</f>
        <v/>
      </c>
      <c r="V255">
        <f>IF('Recurring Schedule'!$C$26="","",IF('Recurring Schedule'!$F$26="","",IF(OR($A255&lt;'Recurring Schedule'!$F$26,$A255&gt;'Recurring Schedule'!$P$26),"",IF(IF('Recurring Schedule'!$N$26&gt;0,MOD($A255-'Recurring Schedule'!$F$26,'Recurring Schedule'!$N$26)=0,IF('Recurring Schedule'!$O$26&gt;0,AND(DAY($A255)=MIN(DAY('Recurring Schedule'!$F$26),DAY(EOMONTH($A255,0))),MOD((YEAR($A255)-YEAR('Recurring Schedule'!$F$26))*12+MONTH($A255)-MONTH('Recurring Schedule'!$F$26),'Recurring Schedule'!$O$26)=0),IF('Recurring Schedule'!$E$26="Weekdays",WEEKDAY($A255,2)&lt;=5,$A255='Recurring Schedule'!$F$26))),21,""))))</f>
        <v/>
      </c>
      <c r="W255">
        <f>IF('Recurring Schedule'!$C$27="","",IF('Recurring Schedule'!$F$27="","",IF(OR($A255&lt;'Recurring Schedule'!$F$27,$A255&gt;'Recurring Schedule'!$P$27),"",IF(IF('Recurring Schedule'!$N$27&gt;0,MOD($A255-'Recurring Schedule'!$F$27,'Recurring Schedule'!$N$27)=0,IF('Recurring Schedule'!$O$27&gt;0,AND(DAY($A255)=MIN(DAY('Recurring Schedule'!$F$27),DAY(EOMONTH($A255,0))),MOD((YEAR($A255)-YEAR('Recurring Schedule'!$F$27))*12+MONTH($A255)-MONTH('Recurring Schedule'!$F$27),'Recurring Schedule'!$O$27)=0),IF('Recurring Schedule'!$E$27="Weekdays",WEEKDAY($A255,2)&lt;=5,$A255='Recurring Schedule'!$F$27))),22,""))))</f>
        <v/>
      </c>
      <c r="X255">
        <f>IF('Recurring Schedule'!$C$28="","",IF('Recurring Schedule'!$F$28="","",IF(OR($A255&lt;'Recurring Schedule'!$F$28,$A255&gt;'Recurring Schedule'!$P$28),"",IF(IF('Recurring Schedule'!$N$28&gt;0,MOD($A255-'Recurring Schedule'!$F$28,'Recurring Schedule'!$N$28)=0,IF('Recurring Schedule'!$O$28&gt;0,AND(DAY($A255)=MIN(DAY('Recurring Schedule'!$F$28),DAY(EOMONTH($A255,0))),MOD((YEAR($A255)-YEAR('Recurring Schedule'!$F$28))*12+MONTH($A255)-MONTH('Recurring Schedule'!$F$28),'Recurring Schedule'!$O$28)=0),IF('Recurring Schedule'!$E$28="Weekdays",WEEKDAY($A255,2)&lt;=5,$A255='Recurring Schedule'!$F$28))),23,""))))</f>
        <v/>
      </c>
      <c r="Y255">
        <f>IF('Recurring Schedule'!$C$29="","",IF('Recurring Schedule'!$F$29="","",IF(OR($A255&lt;'Recurring Schedule'!$F$29,$A255&gt;'Recurring Schedule'!$P$29),"",IF(IF('Recurring Schedule'!$N$29&gt;0,MOD($A255-'Recurring Schedule'!$F$29,'Recurring Schedule'!$N$29)=0,IF('Recurring Schedule'!$O$29&gt;0,AND(DAY($A255)=MIN(DAY('Recurring Schedule'!$F$29),DAY(EOMONTH($A255,0))),MOD((YEAR($A255)-YEAR('Recurring Schedule'!$F$29))*12+MONTH($A255)-MONTH('Recurring Schedule'!$F$29),'Recurring Schedule'!$O$29)=0),IF('Recurring Schedule'!$E$29="Weekdays",WEEKDAY($A255,2)&lt;=5,$A255='Recurring Schedule'!$F$29))),24,""))))</f>
        <v/>
      </c>
      <c r="Z255">
        <f>IF('Recurring Schedule'!$C$30="","",IF('Recurring Schedule'!$F$30="","",IF(OR($A255&lt;'Recurring Schedule'!$F$30,$A255&gt;'Recurring Schedule'!$P$30),"",IF(IF('Recurring Schedule'!$N$30&gt;0,MOD($A255-'Recurring Schedule'!$F$30,'Recurring Schedule'!$N$30)=0,IF('Recurring Schedule'!$O$30&gt;0,AND(DAY($A255)=MIN(DAY('Recurring Schedule'!$F$30),DAY(EOMONTH($A255,0))),MOD((YEAR($A255)-YEAR('Recurring Schedule'!$F$30))*12+MONTH($A255)-MONTH('Recurring Schedule'!$F$30),'Recurring Schedule'!$O$30)=0),IF('Recurring Schedule'!$E$30="Weekdays",WEEKDAY($A255,2)&lt;=5,$A255='Recurring Schedule'!$F$30))),25,""))))</f>
        <v/>
      </c>
      <c r="AA255">
        <f>IF('Recurring Schedule'!$C$31="","",IF('Recurring Schedule'!$F$31="","",IF(OR($A255&lt;'Recurring Schedule'!$F$31,$A255&gt;'Recurring Schedule'!$P$31),"",IF(IF('Recurring Schedule'!$N$31&gt;0,MOD($A255-'Recurring Schedule'!$F$31,'Recurring Schedule'!$N$31)=0,IF('Recurring Schedule'!$O$31&gt;0,AND(DAY($A255)=MIN(DAY('Recurring Schedule'!$F$31),DAY(EOMONTH($A255,0))),MOD((YEAR($A255)-YEAR('Recurring Schedule'!$F$31))*12+MONTH($A255)-MONTH('Recurring Schedule'!$F$31),'Recurring Schedule'!$O$31)=0),IF('Recurring Schedule'!$E$31="Weekdays",WEEKDAY($A255,2)&lt;=5,$A255='Recurring Schedule'!$F$31))),26,""))))</f>
        <v/>
      </c>
      <c r="AB255">
        <f>IF('Recurring Schedule'!$C$32="","",IF('Recurring Schedule'!$F$32="","",IF(OR($A255&lt;'Recurring Schedule'!$F$32,$A255&gt;'Recurring Schedule'!$P$32),"",IF(IF('Recurring Schedule'!$N$32&gt;0,MOD($A255-'Recurring Schedule'!$F$32,'Recurring Schedule'!$N$32)=0,IF('Recurring Schedule'!$O$32&gt;0,AND(DAY($A255)=MIN(DAY('Recurring Schedule'!$F$32),DAY(EOMONTH($A255,0))),MOD((YEAR($A255)-YEAR('Recurring Schedule'!$F$32))*12+MONTH($A255)-MONTH('Recurring Schedule'!$F$32),'Recurring Schedule'!$O$32)=0),IF('Recurring Schedule'!$E$32="Weekdays",WEEKDAY($A255,2)&lt;=5,$A255='Recurring Schedule'!$F$32))),27,""))))</f>
        <v/>
      </c>
      <c r="AC255">
        <f>IF('Recurring Schedule'!$C$33="","",IF('Recurring Schedule'!$F$33="","",IF(OR($A255&lt;'Recurring Schedule'!$F$33,$A255&gt;'Recurring Schedule'!$P$33),"",IF(IF('Recurring Schedule'!$N$33&gt;0,MOD($A255-'Recurring Schedule'!$F$33,'Recurring Schedule'!$N$33)=0,IF('Recurring Schedule'!$O$33&gt;0,AND(DAY($A255)=MIN(DAY('Recurring Schedule'!$F$33),DAY(EOMONTH($A255,0))),MOD((YEAR($A255)-YEAR('Recurring Schedule'!$F$33))*12+MONTH($A255)-MONTH('Recurring Schedule'!$F$33),'Recurring Schedule'!$O$33)=0),IF('Recurring Schedule'!$E$33="Weekdays",WEEKDAY($A255,2)&lt;=5,$A255='Recurring Schedule'!$F$33))),28,""))))</f>
        <v/>
      </c>
      <c r="AD255">
        <f>IF('Recurring Schedule'!$C$34="","",IF('Recurring Schedule'!$F$34="","",IF(OR($A255&lt;'Recurring Schedule'!$F$34,$A255&gt;'Recurring Schedule'!$P$34),"",IF(IF('Recurring Schedule'!$N$34&gt;0,MOD($A255-'Recurring Schedule'!$F$34,'Recurring Schedule'!$N$34)=0,IF('Recurring Schedule'!$O$34&gt;0,AND(DAY($A255)=MIN(DAY('Recurring Schedule'!$F$34),DAY(EOMONTH($A255,0))),MOD((YEAR($A255)-YEAR('Recurring Schedule'!$F$34))*12+MONTH($A255)-MONTH('Recurring Schedule'!$F$34),'Recurring Schedule'!$O$34)=0),IF('Recurring Schedule'!$E$34="Weekdays",WEEKDAY($A255,2)&lt;=5,$A255='Recurring Schedule'!$F$34))),29,""))))</f>
        <v/>
      </c>
      <c r="AE255">
        <f>IF('Recurring Schedule'!$C$35="","",IF('Recurring Schedule'!$F$35="","",IF(OR($A255&lt;'Recurring Schedule'!$F$35,$A255&gt;'Recurring Schedule'!$P$35),"",IF(IF('Recurring Schedule'!$N$35&gt;0,MOD($A255-'Recurring Schedule'!$F$35,'Recurring Schedule'!$N$35)=0,IF('Recurring Schedule'!$O$35&gt;0,AND(DAY($A255)=MIN(DAY('Recurring Schedule'!$F$35),DAY(EOMONTH($A255,0))),MOD((YEAR($A255)-YEAR('Recurring Schedule'!$F$35))*12+MONTH($A255)-MONTH('Recurring Schedule'!$F$35),'Recurring Schedule'!$O$35)=0),IF('Recurring Schedule'!$E$35="Weekdays",WEEKDAY($A255,2)&lt;=5,$A255='Recurring Schedule'!$F$35))),30,""))))</f>
        <v/>
      </c>
      <c r="AF255">
        <f>IF('Recurring Schedule'!$C$36="","",IF('Recurring Schedule'!$F$36="","",IF(OR($A255&lt;'Recurring Schedule'!$F$36,$A255&gt;'Recurring Schedule'!$P$36),"",IF(IF('Recurring Schedule'!$N$36&gt;0,MOD($A255-'Recurring Schedule'!$F$36,'Recurring Schedule'!$N$36)=0,IF('Recurring Schedule'!$O$36&gt;0,AND(DAY($A255)=MIN(DAY('Recurring Schedule'!$F$36),DAY(EOMONTH($A255,0))),MOD((YEAR($A255)-YEAR('Recurring Schedule'!$F$36))*12+MONTH($A255)-MONTH('Recurring Schedule'!$F$36),'Recurring Schedule'!$O$36)=0),IF('Recurring Schedule'!$E$36="Weekdays",WEEKDAY($A255,2)&lt;=5,$A255='Recurring Schedule'!$F$36))),31,""))))</f>
        <v/>
      </c>
      <c r="AG255">
        <f>IF('Recurring Schedule'!$C$37="","",IF('Recurring Schedule'!$F$37="","",IF(OR($A255&lt;'Recurring Schedule'!$F$37,$A255&gt;'Recurring Schedule'!$P$37),"",IF(IF('Recurring Schedule'!$N$37&gt;0,MOD($A255-'Recurring Schedule'!$F$37,'Recurring Schedule'!$N$37)=0,IF('Recurring Schedule'!$O$37&gt;0,AND(DAY($A255)=MIN(DAY('Recurring Schedule'!$F$37),DAY(EOMONTH($A255,0))),MOD((YEAR($A255)-YEAR('Recurring Schedule'!$F$37))*12+MONTH($A255)-MONTH('Recurring Schedule'!$F$37),'Recurring Schedule'!$O$37)=0),IF('Recurring Schedule'!$E$37="Weekdays",WEEKDAY($A255,2)&lt;=5,$A255='Recurring Schedule'!$F$37))),32,""))))</f>
        <v/>
      </c>
      <c r="AH255">
        <f>IF('Recurring Schedule'!$C$38="","",IF('Recurring Schedule'!$F$38="","",IF(OR($A255&lt;'Recurring Schedule'!$F$38,$A255&gt;'Recurring Schedule'!$P$38),"",IF(IF('Recurring Schedule'!$N$38&gt;0,MOD($A255-'Recurring Schedule'!$F$38,'Recurring Schedule'!$N$38)=0,IF('Recurring Schedule'!$O$38&gt;0,AND(DAY($A255)=MIN(DAY('Recurring Schedule'!$F$38),DAY(EOMONTH($A255,0))),MOD((YEAR($A255)-YEAR('Recurring Schedule'!$F$38))*12+MONTH($A255)-MONTH('Recurring Schedule'!$F$38),'Recurring Schedule'!$O$38)=0),IF('Recurring Schedule'!$E$38="Weekdays",WEEKDAY($A255,2)&lt;=5,$A255='Recurring Schedule'!$F$38))),33,""))))</f>
        <v/>
      </c>
      <c r="AI255">
        <f>IF('Recurring Schedule'!$C$39="","",IF('Recurring Schedule'!$F$39="","",IF(OR($A255&lt;'Recurring Schedule'!$F$39,$A255&gt;'Recurring Schedule'!$P$39),"",IF(IF('Recurring Schedule'!$N$39&gt;0,MOD($A255-'Recurring Schedule'!$F$39,'Recurring Schedule'!$N$39)=0,IF('Recurring Schedule'!$O$39&gt;0,AND(DAY($A255)=MIN(DAY('Recurring Schedule'!$F$39),DAY(EOMONTH($A255,0))),MOD((YEAR($A255)-YEAR('Recurring Schedule'!$F$39))*12+MONTH($A255)-MONTH('Recurring Schedule'!$F$39),'Recurring Schedule'!$O$39)=0),IF('Recurring Schedule'!$E$39="Weekdays",WEEKDAY($A255,2)&lt;=5,$A255='Recurring Schedule'!$F$39))),34,""))))</f>
        <v/>
      </c>
      <c r="AJ255">
        <f>IF('Recurring Schedule'!$C$40="","",IF('Recurring Schedule'!$F$40="","",IF(OR($A255&lt;'Recurring Schedule'!$F$40,$A255&gt;'Recurring Schedule'!$P$40),"",IF(IF('Recurring Schedule'!$N$40&gt;0,MOD($A255-'Recurring Schedule'!$F$40,'Recurring Schedule'!$N$40)=0,IF('Recurring Schedule'!$O$40&gt;0,AND(DAY($A255)=MIN(DAY('Recurring Schedule'!$F$40),DAY(EOMONTH($A255,0))),MOD((YEAR($A255)-YEAR('Recurring Schedule'!$F$40))*12+MONTH($A255)-MONTH('Recurring Schedule'!$F$40),'Recurring Schedule'!$O$40)=0),IF('Recurring Schedule'!$E$40="Weekdays",WEEKDAY($A255,2)&lt;=5,$A255='Recurring Schedule'!$F$40))),35,""))))</f>
        <v/>
      </c>
      <c r="AK255">
        <f>IF('Recurring Schedule'!$C$41="","",IF('Recurring Schedule'!$F$41="","",IF(OR($A255&lt;'Recurring Schedule'!$F$41,$A255&gt;'Recurring Schedule'!$P$41),"",IF(IF('Recurring Schedule'!$N$41&gt;0,MOD($A255-'Recurring Schedule'!$F$41,'Recurring Schedule'!$N$41)=0,IF('Recurring Schedule'!$O$41&gt;0,AND(DAY($A255)=MIN(DAY('Recurring Schedule'!$F$41),DAY(EOMONTH($A255,0))),MOD((YEAR($A255)-YEAR('Recurring Schedule'!$F$41))*12+MONTH($A255)-MONTH('Recurring Schedule'!$F$41),'Recurring Schedule'!$O$41)=0),IF('Recurring Schedule'!$E$41="Weekdays",WEEKDAY($A255,2)&lt;=5,$A255='Recurring Schedule'!$F$41))),36,""))))</f>
        <v/>
      </c>
      <c r="AL255">
        <f>IF('Recurring Schedule'!$C$42="","",IF('Recurring Schedule'!$F$42="","",IF(OR($A255&lt;'Recurring Schedule'!$F$42,$A255&gt;'Recurring Schedule'!$P$42),"",IF(IF('Recurring Schedule'!$N$42&gt;0,MOD($A255-'Recurring Schedule'!$F$42,'Recurring Schedule'!$N$42)=0,IF('Recurring Schedule'!$O$42&gt;0,AND(DAY($A255)=MIN(DAY('Recurring Schedule'!$F$42),DAY(EOMONTH($A255,0))),MOD((YEAR($A255)-YEAR('Recurring Schedule'!$F$42))*12+MONTH($A255)-MONTH('Recurring Schedule'!$F$42),'Recurring Schedule'!$O$42)=0),IF('Recurring Schedule'!$E$42="Weekdays",WEEKDAY($A255,2)&lt;=5,$A255='Recurring Schedule'!$F$42))),37,""))))</f>
        <v/>
      </c>
      <c r="AM255">
        <f>IF('Recurring Schedule'!$C$43="","",IF('Recurring Schedule'!$F$43="","",IF(OR($A255&lt;'Recurring Schedule'!$F$43,$A255&gt;'Recurring Schedule'!$P$43),"",IF(IF('Recurring Schedule'!$N$43&gt;0,MOD($A255-'Recurring Schedule'!$F$43,'Recurring Schedule'!$N$43)=0,IF('Recurring Schedule'!$O$43&gt;0,AND(DAY($A255)=MIN(DAY('Recurring Schedule'!$F$43),DAY(EOMONTH($A255,0))),MOD((YEAR($A255)-YEAR('Recurring Schedule'!$F$43))*12+MONTH($A255)-MONTH('Recurring Schedule'!$F$43),'Recurring Schedule'!$O$43)=0),IF('Recurring Schedule'!$E$43="Weekdays",WEEKDAY($A255,2)&lt;=5,$A255='Recurring Schedule'!$F$43))),38,""))))</f>
        <v/>
      </c>
      <c r="AN255">
        <f>IF('Recurring Schedule'!$C$44="","",IF('Recurring Schedule'!$F$44="","",IF(OR($A255&lt;'Recurring Schedule'!$F$44,$A255&gt;'Recurring Schedule'!$P$44),"",IF(IF('Recurring Schedule'!$N$44&gt;0,MOD($A255-'Recurring Schedule'!$F$44,'Recurring Schedule'!$N$44)=0,IF('Recurring Schedule'!$O$44&gt;0,AND(DAY($A255)=MIN(DAY('Recurring Schedule'!$F$44),DAY(EOMONTH($A255,0))),MOD((YEAR($A255)-YEAR('Recurring Schedule'!$F$44))*12+MONTH($A255)-MONTH('Recurring Schedule'!$F$44),'Recurring Schedule'!$O$44)=0),IF('Recurring Schedule'!$E$44="Weekdays",WEEKDAY($A255,2)&lt;=5,$A255='Recurring Schedule'!$F$44))),39,""))))</f>
        <v/>
      </c>
      <c r="AO255">
        <f>IF('Recurring Schedule'!$C$45="","",IF('Recurring Schedule'!$F$45="","",IF(OR($A255&lt;'Recurring Schedule'!$F$45,$A255&gt;'Recurring Schedule'!$P$45),"",IF(IF('Recurring Schedule'!$N$45&gt;0,MOD($A255-'Recurring Schedule'!$F$45,'Recurring Schedule'!$N$45)=0,IF('Recurring Schedule'!$O$45&gt;0,AND(DAY($A255)=MIN(DAY('Recurring Schedule'!$F$45),DAY(EOMONTH($A255,0))),MOD((YEAR($A255)-YEAR('Recurring Schedule'!$F$45))*12+MONTH($A255)-MONTH('Recurring Schedule'!$F$45),'Recurring Schedule'!$O$45)=0),IF('Recurring Schedule'!$E$45="Weekdays",WEEKDAY($A255,2)&lt;=5,$A255='Recurring Schedule'!$F$45))),40,""))))</f>
        <v/>
      </c>
      <c r="AP255">
        <f>COUNT(B255:AO255)</f>
        <v/>
      </c>
      <c r="AQ255">
        <f>AQ254+AP254</f>
        <v/>
      </c>
      <c r="AS255" t="inlineStr">
        <is>
          <t>R</t>
        </is>
      </c>
      <c r="AT255" t="n">
        <v>259</v>
      </c>
      <c r="AU255">
        <f>'Recurring Log'!C259&amp;""</f>
        <v/>
      </c>
      <c r="AV255">
        <f>'Recurring Log'!D259&amp;""</f>
        <v/>
      </c>
      <c r="AW255">
        <f>IF('Recurring Log'!E259="","",'Recurring Log'!E259)</f>
        <v/>
      </c>
      <c r="AX255">
        <f>IF('Recurring Log'!G259="","",'Recurring Log'!G259)</f>
        <v/>
      </c>
      <c r="AY255">
        <f>IF('Recurring Log'!H259="","",'Recurring Log'!H259)</f>
        <v/>
      </c>
      <c r="AZ255">
        <f>IF(AU255="","",IF('Recurring Log'!J259="","Not Started",'Recurring Log'!J259))</f>
        <v/>
      </c>
      <c r="BA255">
        <f>'Recurring Log'!L259&amp;""</f>
        <v/>
      </c>
      <c r="BB255">
        <f>'Recurring Log'!M259&amp;""</f>
        <v/>
      </c>
      <c r="BC255">
        <f>'Recurring Log'!N259&amp;""</f>
        <v/>
      </c>
      <c r="BD255">
        <f>'Recurring Log'!O259&amp;""</f>
        <v/>
      </c>
      <c r="BE255">
        <f>IF('Recurring Log'!K259="","",'Recurring Log'!K259)</f>
        <v/>
      </c>
      <c r="BF255">
        <f>IFERROR(MATCH(BA255,Setup!$L$6:$L$9,0),5)</f>
        <v/>
      </c>
      <c r="BG255">
        <f>IF(OR(AZ255="Done",AZ255="Cancelled"),1,0)</f>
        <v/>
      </c>
      <c r="BH255">
        <f>IF(AND(AU255&lt;&gt;"",ISNUMBER(AW255)),1,0)</f>
        <v/>
      </c>
      <c r="BI255">
        <f>IF(BH255=0,0,IF(AND(AW255&gt;='Tasks Filter'!$F$3,AW255&lt;='Tasks Filter'!$F$4,OR('Tasks Filter'!$I$3="",ISNUMBER(SEARCH('Tasks Filter'!$I$3,AU255))),OR('Tasks Filter'!$I$4="",BF255=IFERROR(MATCH('Tasks Filter'!$I$4,Setup!$L$6:$L$9,0),0)),OR('Tasks Filter'!$I$5="Both",AND('Tasks Filter'!$I$5="Yes",BB255="✓"),AND('Tasks Filter'!$I$5="No",BB255&lt;&gt;"✓")),OR('Tasks Filter'!$L$3="",AV255='Tasks Filter'!$L$3),OR('Tasks Filter'!$L$4="",AZ255='Tasks Filter'!$L$4),OR('Tasks Filter'!$L$5="",BC255='Tasks Filter'!$L$5),OR('Tasks Filter'!$O$3="",BD255='Tasks Filter'!$O$3),OR('Tasks Filter'!$O$4="Yes",BG255=0)),1,0))</f>
        <v/>
      </c>
      <c r="BJ255">
        <f>IF(BH255=0,"",IF('Tasks Filter'!$F$6="Descending",-1,1)*CHOOSE(MATCH('Tasks Filter'!$F$5,Lists!$G$2:$G$6,0),AW255,BF255,IFERROR(MATCH(AV255,Setup!$F$6:$F$15,0),99),IFERROR(MATCH(BC255,Setup!$H$6:$H$15,0),99),IFERROR(MATCH(AZ255,Setup!$J$6:$J$11,0),99))*1E+9+(AW255-40000)*10000+254)</f>
        <v/>
      </c>
      <c r="BK255">
        <f>IF(BI255=1,BJ255,"")</f>
        <v/>
      </c>
      <c r="BL255">
        <f>IF(AND(BH255=1,BG255=0,N(AW255)&lt;Setup!$D$7),(AW255-40000)*10000+254,"")</f>
        <v/>
      </c>
      <c r="BM255">
        <f>IF(AND(BH255=1,AZ255&lt;&gt;"Cancelled",N(AW255)&gt;=Dashboard!$AB$3,N(AW255)&lt;=Dashboard!$AB$3+6),(AW255-40000)*100000+BF255*10000+254,"")</f>
        <v/>
      </c>
      <c r="BN255">
        <f>IF(AND(BH255=1,AZ255&lt;&gt;"Cancelled"),BF255*10000+254,"")</f>
        <v/>
      </c>
    </row>
    <row r="256">
      <c r="A256">
        <f>Setup!$D$5+254</f>
        <v/>
      </c>
      <c r="B256">
        <f>IF('Recurring Schedule'!$C$6="","",IF('Recurring Schedule'!$F$6="","",IF(OR($A256&lt;'Recurring Schedule'!$F$6,$A256&gt;'Recurring Schedule'!$P$6),"",IF(IF('Recurring Schedule'!$N$6&gt;0,MOD($A256-'Recurring Schedule'!$F$6,'Recurring Schedule'!$N$6)=0,IF('Recurring Schedule'!$O$6&gt;0,AND(DAY($A256)=MIN(DAY('Recurring Schedule'!$F$6),DAY(EOMONTH($A256,0))),MOD((YEAR($A256)-YEAR('Recurring Schedule'!$F$6))*12+MONTH($A256)-MONTH('Recurring Schedule'!$F$6),'Recurring Schedule'!$O$6)=0),IF('Recurring Schedule'!$E$6="Weekdays",WEEKDAY($A256,2)&lt;=5,$A256='Recurring Schedule'!$F$6))),1,""))))</f>
        <v/>
      </c>
      <c r="C256">
        <f>IF('Recurring Schedule'!$C$7="","",IF('Recurring Schedule'!$F$7="","",IF(OR($A256&lt;'Recurring Schedule'!$F$7,$A256&gt;'Recurring Schedule'!$P$7),"",IF(IF('Recurring Schedule'!$N$7&gt;0,MOD($A256-'Recurring Schedule'!$F$7,'Recurring Schedule'!$N$7)=0,IF('Recurring Schedule'!$O$7&gt;0,AND(DAY($A256)=MIN(DAY('Recurring Schedule'!$F$7),DAY(EOMONTH($A256,0))),MOD((YEAR($A256)-YEAR('Recurring Schedule'!$F$7))*12+MONTH($A256)-MONTH('Recurring Schedule'!$F$7),'Recurring Schedule'!$O$7)=0),IF('Recurring Schedule'!$E$7="Weekdays",WEEKDAY($A256,2)&lt;=5,$A256='Recurring Schedule'!$F$7))),2,""))))</f>
        <v/>
      </c>
      <c r="D256">
        <f>IF('Recurring Schedule'!$C$8="","",IF('Recurring Schedule'!$F$8="","",IF(OR($A256&lt;'Recurring Schedule'!$F$8,$A256&gt;'Recurring Schedule'!$P$8),"",IF(IF('Recurring Schedule'!$N$8&gt;0,MOD($A256-'Recurring Schedule'!$F$8,'Recurring Schedule'!$N$8)=0,IF('Recurring Schedule'!$O$8&gt;0,AND(DAY($A256)=MIN(DAY('Recurring Schedule'!$F$8),DAY(EOMONTH($A256,0))),MOD((YEAR($A256)-YEAR('Recurring Schedule'!$F$8))*12+MONTH($A256)-MONTH('Recurring Schedule'!$F$8),'Recurring Schedule'!$O$8)=0),IF('Recurring Schedule'!$E$8="Weekdays",WEEKDAY($A256,2)&lt;=5,$A256='Recurring Schedule'!$F$8))),3,""))))</f>
        <v/>
      </c>
      <c r="E256">
        <f>IF('Recurring Schedule'!$C$9="","",IF('Recurring Schedule'!$F$9="","",IF(OR($A256&lt;'Recurring Schedule'!$F$9,$A256&gt;'Recurring Schedule'!$P$9),"",IF(IF('Recurring Schedule'!$N$9&gt;0,MOD($A256-'Recurring Schedule'!$F$9,'Recurring Schedule'!$N$9)=0,IF('Recurring Schedule'!$O$9&gt;0,AND(DAY($A256)=MIN(DAY('Recurring Schedule'!$F$9),DAY(EOMONTH($A256,0))),MOD((YEAR($A256)-YEAR('Recurring Schedule'!$F$9))*12+MONTH($A256)-MONTH('Recurring Schedule'!$F$9),'Recurring Schedule'!$O$9)=0),IF('Recurring Schedule'!$E$9="Weekdays",WEEKDAY($A256,2)&lt;=5,$A256='Recurring Schedule'!$F$9))),4,""))))</f>
        <v/>
      </c>
      <c r="F256">
        <f>IF('Recurring Schedule'!$C$10="","",IF('Recurring Schedule'!$F$10="","",IF(OR($A256&lt;'Recurring Schedule'!$F$10,$A256&gt;'Recurring Schedule'!$P$10),"",IF(IF('Recurring Schedule'!$N$10&gt;0,MOD($A256-'Recurring Schedule'!$F$10,'Recurring Schedule'!$N$10)=0,IF('Recurring Schedule'!$O$10&gt;0,AND(DAY($A256)=MIN(DAY('Recurring Schedule'!$F$10),DAY(EOMONTH($A256,0))),MOD((YEAR($A256)-YEAR('Recurring Schedule'!$F$10))*12+MONTH($A256)-MONTH('Recurring Schedule'!$F$10),'Recurring Schedule'!$O$10)=0),IF('Recurring Schedule'!$E$10="Weekdays",WEEKDAY($A256,2)&lt;=5,$A256='Recurring Schedule'!$F$10))),5,""))))</f>
        <v/>
      </c>
      <c r="G256">
        <f>IF('Recurring Schedule'!$C$11="","",IF('Recurring Schedule'!$F$11="","",IF(OR($A256&lt;'Recurring Schedule'!$F$11,$A256&gt;'Recurring Schedule'!$P$11),"",IF(IF('Recurring Schedule'!$N$11&gt;0,MOD($A256-'Recurring Schedule'!$F$11,'Recurring Schedule'!$N$11)=0,IF('Recurring Schedule'!$O$11&gt;0,AND(DAY($A256)=MIN(DAY('Recurring Schedule'!$F$11),DAY(EOMONTH($A256,0))),MOD((YEAR($A256)-YEAR('Recurring Schedule'!$F$11))*12+MONTH($A256)-MONTH('Recurring Schedule'!$F$11),'Recurring Schedule'!$O$11)=0),IF('Recurring Schedule'!$E$11="Weekdays",WEEKDAY($A256,2)&lt;=5,$A256='Recurring Schedule'!$F$11))),6,""))))</f>
        <v/>
      </c>
      <c r="H256">
        <f>IF('Recurring Schedule'!$C$12="","",IF('Recurring Schedule'!$F$12="","",IF(OR($A256&lt;'Recurring Schedule'!$F$12,$A256&gt;'Recurring Schedule'!$P$12),"",IF(IF('Recurring Schedule'!$N$12&gt;0,MOD($A256-'Recurring Schedule'!$F$12,'Recurring Schedule'!$N$12)=0,IF('Recurring Schedule'!$O$12&gt;0,AND(DAY($A256)=MIN(DAY('Recurring Schedule'!$F$12),DAY(EOMONTH($A256,0))),MOD((YEAR($A256)-YEAR('Recurring Schedule'!$F$12))*12+MONTH($A256)-MONTH('Recurring Schedule'!$F$12),'Recurring Schedule'!$O$12)=0),IF('Recurring Schedule'!$E$12="Weekdays",WEEKDAY($A256,2)&lt;=5,$A256='Recurring Schedule'!$F$12))),7,""))))</f>
        <v/>
      </c>
      <c r="I256">
        <f>IF('Recurring Schedule'!$C$13="","",IF('Recurring Schedule'!$F$13="","",IF(OR($A256&lt;'Recurring Schedule'!$F$13,$A256&gt;'Recurring Schedule'!$P$13),"",IF(IF('Recurring Schedule'!$N$13&gt;0,MOD($A256-'Recurring Schedule'!$F$13,'Recurring Schedule'!$N$13)=0,IF('Recurring Schedule'!$O$13&gt;0,AND(DAY($A256)=MIN(DAY('Recurring Schedule'!$F$13),DAY(EOMONTH($A256,0))),MOD((YEAR($A256)-YEAR('Recurring Schedule'!$F$13))*12+MONTH($A256)-MONTH('Recurring Schedule'!$F$13),'Recurring Schedule'!$O$13)=0),IF('Recurring Schedule'!$E$13="Weekdays",WEEKDAY($A256,2)&lt;=5,$A256='Recurring Schedule'!$F$13))),8,""))))</f>
        <v/>
      </c>
      <c r="J256">
        <f>IF('Recurring Schedule'!$C$14="","",IF('Recurring Schedule'!$F$14="","",IF(OR($A256&lt;'Recurring Schedule'!$F$14,$A256&gt;'Recurring Schedule'!$P$14),"",IF(IF('Recurring Schedule'!$N$14&gt;0,MOD($A256-'Recurring Schedule'!$F$14,'Recurring Schedule'!$N$14)=0,IF('Recurring Schedule'!$O$14&gt;0,AND(DAY($A256)=MIN(DAY('Recurring Schedule'!$F$14),DAY(EOMONTH($A256,0))),MOD((YEAR($A256)-YEAR('Recurring Schedule'!$F$14))*12+MONTH($A256)-MONTH('Recurring Schedule'!$F$14),'Recurring Schedule'!$O$14)=0),IF('Recurring Schedule'!$E$14="Weekdays",WEEKDAY($A256,2)&lt;=5,$A256='Recurring Schedule'!$F$14))),9,""))))</f>
        <v/>
      </c>
      <c r="K256">
        <f>IF('Recurring Schedule'!$C$15="","",IF('Recurring Schedule'!$F$15="","",IF(OR($A256&lt;'Recurring Schedule'!$F$15,$A256&gt;'Recurring Schedule'!$P$15),"",IF(IF('Recurring Schedule'!$N$15&gt;0,MOD($A256-'Recurring Schedule'!$F$15,'Recurring Schedule'!$N$15)=0,IF('Recurring Schedule'!$O$15&gt;0,AND(DAY($A256)=MIN(DAY('Recurring Schedule'!$F$15),DAY(EOMONTH($A256,0))),MOD((YEAR($A256)-YEAR('Recurring Schedule'!$F$15))*12+MONTH($A256)-MONTH('Recurring Schedule'!$F$15),'Recurring Schedule'!$O$15)=0),IF('Recurring Schedule'!$E$15="Weekdays",WEEKDAY($A256,2)&lt;=5,$A256='Recurring Schedule'!$F$15))),10,""))))</f>
        <v/>
      </c>
      <c r="L256">
        <f>IF('Recurring Schedule'!$C$16="","",IF('Recurring Schedule'!$F$16="","",IF(OR($A256&lt;'Recurring Schedule'!$F$16,$A256&gt;'Recurring Schedule'!$P$16),"",IF(IF('Recurring Schedule'!$N$16&gt;0,MOD($A256-'Recurring Schedule'!$F$16,'Recurring Schedule'!$N$16)=0,IF('Recurring Schedule'!$O$16&gt;0,AND(DAY($A256)=MIN(DAY('Recurring Schedule'!$F$16),DAY(EOMONTH($A256,0))),MOD((YEAR($A256)-YEAR('Recurring Schedule'!$F$16))*12+MONTH($A256)-MONTH('Recurring Schedule'!$F$16),'Recurring Schedule'!$O$16)=0),IF('Recurring Schedule'!$E$16="Weekdays",WEEKDAY($A256,2)&lt;=5,$A256='Recurring Schedule'!$F$16))),11,""))))</f>
        <v/>
      </c>
      <c r="M256">
        <f>IF('Recurring Schedule'!$C$17="","",IF('Recurring Schedule'!$F$17="","",IF(OR($A256&lt;'Recurring Schedule'!$F$17,$A256&gt;'Recurring Schedule'!$P$17),"",IF(IF('Recurring Schedule'!$N$17&gt;0,MOD($A256-'Recurring Schedule'!$F$17,'Recurring Schedule'!$N$17)=0,IF('Recurring Schedule'!$O$17&gt;0,AND(DAY($A256)=MIN(DAY('Recurring Schedule'!$F$17),DAY(EOMONTH($A256,0))),MOD((YEAR($A256)-YEAR('Recurring Schedule'!$F$17))*12+MONTH($A256)-MONTH('Recurring Schedule'!$F$17),'Recurring Schedule'!$O$17)=0),IF('Recurring Schedule'!$E$17="Weekdays",WEEKDAY($A256,2)&lt;=5,$A256='Recurring Schedule'!$F$17))),12,""))))</f>
        <v/>
      </c>
      <c r="N256">
        <f>IF('Recurring Schedule'!$C$18="","",IF('Recurring Schedule'!$F$18="","",IF(OR($A256&lt;'Recurring Schedule'!$F$18,$A256&gt;'Recurring Schedule'!$P$18),"",IF(IF('Recurring Schedule'!$N$18&gt;0,MOD($A256-'Recurring Schedule'!$F$18,'Recurring Schedule'!$N$18)=0,IF('Recurring Schedule'!$O$18&gt;0,AND(DAY($A256)=MIN(DAY('Recurring Schedule'!$F$18),DAY(EOMONTH($A256,0))),MOD((YEAR($A256)-YEAR('Recurring Schedule'!$F$18))*12+MONTH($A256)-MONTH('Recurring Schedule'!$F$18),'Recurring Schedule'!$O$18)=0),IF('Recurring Schedule'!$E$18="Weekdays",WEEKDAY($A256,2)&lt;=5,$A256='Recurring Schedule'!$F$18))),13,""))))</f>
        <v/>
      </c>
      <c r="O256">
        <f>IF('Recurring Schedule'!$C$19="","",IF('Recurring Schedule'!$F$19="","",IF(OR($A256&lt;'Recurring Schedule'!$F$19,$A256&gt;'Recurring Schedule'!$P$19),"",IF(IF('Recurring Schedule'!$N$19&gt;0,MOD($A256-'Recurring Schedule'!$F$19,'Recurring Schedule'!$N$19)=0,IF('Recurring Schedule'!$O$19&gt;0,AND(DAY($A256)=MIN(DAY('Recurring Schedule'!$F$19),DAY(EOMONTH($A256,0))),MOD((YEAR($A256)-YEAR('Recurring Schedule'!$F$19))*12+MONTH($A256)-MONTH('Recurring Schedule'!$F$19),'Recurring Schedule'!$O$19)=0),IF('Recurring Schedule'!$E$19="Weekdays",WEEKDAY($A256,2)&lt;=5,$A256='Recurring Schedule'!$F$19))),14,""))))</f>
        <v/>
      </c>
      <c r="P256">
        <f>IF('Recurring Schedule'!$C$20="","",IF('Recurring Schedule'!$F$20="","",IF(OR($A256&lt;'Recurring Schedule'!$F$20,$A256&gt;'Recurring Schedule'!$P$20),"",IF(IF('Recurring Schedule'!$N$20&gt;0,MOD($A256-'Recurring Schedule'!$F$20,'Recurring Schedule'!$N$20)=0,IF('Recurring Schedule'!$O$20&gt;0,AND(DAY($A256)=MIN(DAY('Recurring Schedule'!$F$20),DAY(EOMONTH($A256,0))),MOD((YEAR($A256)-YEAR('Recurring Schedule'!$F$20))*12+MONTH($A256)-MONTH('Recurring Schedule'!$F$20),'Recurring Schedule'!$O$20)=0),IF('Recurring Schedule'!$E$20="Weekdays",WEEKDAY($A256,2)&lt;=5,$A256='Recurring Schedule'!$F$20))),15,""))))</f>
        <v/>
      </c>
      <c r="Q256">
        <f>IF('Recurring Schedule'!$C$21="","",IF('Recurring Schedule'!$F$21="","",IF(OR($A256&lt;'Recurring Schedule'!$F$21,$A256&gt;'Recurring Schedule'!$P$21),"",IF(IF('Recurring Schedule'!$N$21&gt;0,MOD($A256-'Recurring Schedule'!$F$21,'Recurring Schedule'!$N$21)=0,IF('Recurring Schedule'!$O$21&gt;0,AND(DAY($A256)=MIN(DAY('Recurring Schedule'!$F$21),DAY(EOMONTH($A256,0))),MOD((YEAR($A256)-YEAR('Recurring Schedule'!$F$21))*12+MONTH($A256)-MONTH('Recurring Schedule'!$F$21),'Recurring Schedule'!$O$21)=0),IF('Recurring Schedule'!$E$21="Weekdays",WEEKDAY($A256,2)&lt;=5,$A256='Recurring Schedule'!$F$21))),16,""))))</f>
        <v/>
      </c>
      <c r="R256">
        <f>IF('Recurring Schedule'!$C$22="","",IF('Recurring Schedule'!$F$22="","",IF(OR($A256&lt;'Recurring Schedule'!$F$22,$A256&gt;'Recurring Schedule'!$P$22),"",IF(IF('Recurring Schedule'!$N$22&gt;0,MOD($A256-'Recurring Schedule'!$F$22,'Recurring Schedule'!$N$22)=0,IF('Recurring Schedule'!$O$22&gt;0,AND(DAY($A256)=MIN(DAY('Recurring Schedule'!$F$22),DAY(EOMONTH($A256,0))),MOD((YEAR($A256)-YEAR('Recurring Schedule'!$F$22))*12+MONTH($A256)-MONTH('Recurring Schedule'!$F$22),'Recurring Schedule'!$O$22)=0),IF('Recurring Schedule'!$E$22="Weekdays",WEEKDAY($A256,2)&lt;=5,$A256='Recurring Schedule'!$F$22))),17,""))))</f>
        <v/>
      </c>
      <c r="S256">
        <f>IF('Recurring Schedule'!$C$23="","",IF('Recurring Schedule'!$F$23="","",IF(OR($A256&lt;'Recurring Schedule'!$F$23,$A256&gt;'Recurring Schedule'!$P$23),"",IF(IF('Recurring Schedule'!$N$23&gt;0,MOD($A256-'Recurring Schedule'!$F$23,'Recurring Schedule'!$N$23)=0,IF('Recurring Schedule'!$O$23&gt;0,AND(DAY($A256)=MIN(DAY('Recurring Schedule'!$F$23),DAY(EOMONTH($A256,0))),MOD((YEAR($A256)-YEAR('Recurring Schedule'!$F$23))*12+MONTH($A256)-MONTH('Recurring Schedule'!$F$23),'Recurring Schedule'!$O$23)=0),IF('Recurring Schedule'!$E$23="Weekdays",WEEKDAY($A256,2)&lt;=5,$A256='Recurring Schedule'!$F$23))),18,""))))</f>
        <v/>
      </c>
      <c r="T256">
        <f>IF('Recurring Schedule'!$C$24="","",IF('Recurring Schedule'!$F$24="","",IF(OR($A256&lt;'Recurring Schedule'!$F$24,$A256&gt;'Recurring Schedule'!$P$24),"",IF(IF('Recurring Schedule'!$N$24&gt;0,MOD($A256-'Recurring Schedule'!$F$24,'Recurring Schedule'!$N$24)=0,IF('Recurring Schedule'!$O$24&gt;0,AND(DAY($A256)=MIN(DAY('Recurring Schedule'!$F$24),DAY(EOMONTH($A256,0))),MOD((YEAR($A256)-YEAR('Recurring Schedule'!$F$24))*12+MONTH($A256)-MONTH('Recurring Schedule'!$F$24),'Recurring Schedule'!$O$24)=0),IF('Recurring Schedule'!$E$24="Weekdays",WEEKDAY($A256,2)&lt;=5,$A256='Recurring Schedule'!$F$24))),19,""))))</f>
        <v/>
      </c>
      <c r="U256">
        <f>IF('Recurring Schedule'!$C$25="","",IF('Recurring Schedule'!$F$25="","",IF(OR($A256&lt;'Recurring Schedule'!$F$25,$A256&gt;'Recurring Schedule'!$P$25),"",IF(IF('Recurring Schedule'!$N$25&gt;0,MOD($A256-'Recurring Schedule'!$F$25,'Recurring Schedule'!$N$25)=0,IF('Recurring Schedule'!$O$25&gt;0,AND(DAY($A256)=MIN(DAY('Recurring Schedule'!$F$25),DAY(EOMONTH($A256,0))),MOD((YEAR($A256)-YEAR('Recurring Schedule'!$F$25))*12+MONTH($A256)-MONTH('Recurring Schedule'!$F$25),'Recurring Schedule'!$O$25)=0),IF('Recurring Schedule'!$E$25="Weekdays",WEEKDAY($A256,2)&lt;=5,$A256='Recurring Schedule'!$F$25))),20,""))))</f>
        <v/>
      </c>
      <c r="V256">
        <f>IF('Recurring Schedule'!$C$26="","",IF('Recurring Schedule'!$F$26="","",IF(OR($A256&lt;'Recurring Schedule'!$F$26,$A256&gt;'Recurring Schedule'!$P$26),"",IF(IF('Recurring Schedule'!$N$26&gt;0,MOD($A256-'Recurring Schedule'!$F$26,'Recurring Schedule'!$N$26)=0,IF('Recurring Schedule'!$O$26&gt;0,AND(DAY($A256)=MIN(DAY('Recurring Schedule'!$F$26),DAY(EOMONTH($A256,0))),MOD((YEAR($A256)-YEAR('Recurring Schedule'!$F$26))*12+MONTH($A256)-MONTH('Recurring Schedule'!$F$26),'Recurring Schedule'!$O$26)=0),IF('Recurring Schedule'!$E$26="Weekdays",WEEKDAY($A256,2)&lt;=5,$A256='Recurring Schedule'!$F$26))),21,""))))</f>
        <v/>
      </c>
      <c r="W256">
        <f>IF('Recurring Schedule'!$C$27="","",IF('Recurring Schedule'!$F$27="","",IF(OR($A256&lt;'Recurring Schedule'!$F$27,$A256&gt;'Recurring Schedule'!$P$27),"",IF(IF('Recurring Schedule'!$N$27&gt;0,MOD($A256-'Recurring Schedule'!$F$27,'Recurring Schedule'!$N$27)=0,IF('Recurring Schedule'!$O$27&gt;0,AND(DAY($A256)=MIN(DAY('Recurring Schedule'!$F$27),DAY(EOMONTH($A256,0))),MOD((YEAR($A256)-YEAR('Recurring Schedule'!$F$27))*12+MONTH($A256)-MONTH('Recurring Schedule'!$F$27),'Recurring Schedule'!$O$27)=0),IF('Recurring Schedule'!$E$27="Weekdays",WEEKDAY($A256,2)&lt;=5,$A256='Recurring Schedule'!$F$27))),22,""))))</f>
        <v/>
      </c>
      <c r="X256">
        <f>IF('Recurring Schedule'!$C$28="","",IF('Recurring Schedule'!$F$28="","",IF(OR($A256&lt;'Recurring Schedule'!$F$28,$A256&gt;'Recurring Schedule'!$P$28),"",IF(IF('Recurring Schedule'!$N$28&gt;0,MOD($A256-'Recurring Schedule'!$F$28,'Recurring Schedule'!$N$28)=0,IF('Recurring Schedule'!$O$28&gt;0,AND(DAY($A256)=MIN(DAY('Recurring Schedule'!$F$28),DAY(EOMONTH($A256,0))),MOD((YEAR($A256)-YEAR('Recurring Schedule'!$F$28))*12+MONTH($A256)-MONTH('Recurring Schedule'!$F$28),'Recurring Schedule'!$O$28)=0),IF('Recurring Schedule'!$E$28="Weekdays",WEEKDAY($A256,2)&lt;=5,$A256='Recurring Schedule'!$F$28))),23,""))))</f>
        <v/>
      </c>
      <c r="Y256">
        <f>IF('Recurring Schedule'!$C$29="","",IF('Recurring Schedule'!$F$29="","",IF(OR($A256&lt;'Recurring Schedule'!$F$29,$A256&gt;'Recurring Schedule'!$P$29),"",IF(IF('Recurring Schedule'!$N$29&gt;0,MOD($A256-'Recurring Schedule'!$F$29,'Recurring Schedule'!$N$29)=0,IF('Recurring Schedule'!$O$29&gt;0,AND(DAY($A256)=MIN(DAY('Recurring Schedule'!$F$29),DAY(EOMONTH($A256,0))),MOD((YEAR($A256)-YEAR('Recurring Schedule'!$F$29))*12+MONTH($A256)-MONTH('Recurring Schedule'!$F$29),'Recurring Schedule'!$O$29)=0),IF('Recurring Schedule'!$E$29="Weekdays",WEEKDAY($A256,2)&lt;=5,$A256='Recurring Schedule'!$F$29))),24,""))))</f>
        <v/>
      </c>
      <c r="Z256">
        <f>IF('Recurring Schedule'!$C$30="","",IF('Recurring Schedule'!$F$30="","",IF(OR($A256&lt;'Recurring Schedule'!$F$30,$A256&gt;'Recurring Schedule'!$P$30),"",IF(IF('Recurring Schedule'!$N$30&gt;0,MOD($A256-'Recurring Schedule'!$F$30,'Recurring Schedule'!$N$30)=0,IF('Recurring Schedule'!$O$30&gt;0,AND(DAY($A256)=MIN(DAY('Recurring Schedule'!$F$30),DAY(EOMONTH($A256,0))),MOD((YEAR($A256)-YEAR('Recurring Schedule'!$F$30))*12+MONTH($A256)-MONTH('Recurring Schedule'!$F$30),'Recurring Schedule'!$O$30)=0),IF('Recurring Schedule'!$E$30="Weekdays",WEEKDAY($A256,2)&lt;=5,$A256='Recurring Schedule'!$F$30))),25,""))))</f>
        <v/>
      </c>
      <c r="AA256">
        <f>IF('Recurring Schedule'!$C$31="","",IF('Recurring Schedule'!$F$31="","",IF(OR($A256&lt;'Recurring Schedule'!$F$31,$A256&gt;'Recurring Schedule'!$P$31),"",IF(IF('Recurring Schedule'!$N$31&gt;0,MOD($A256-'Recurring Schedule'!$F$31,'Recurring Schedule'!$N$31)=0,IF('Recurring Schedule'!$O$31&gt;0,AND(DAY($A256)=MIN(DAY('Recurring Schedule'!$F$31),DAY(EOMONTH($A256,0))),MOD((YEAR($A256)-YEAR('Recurring Schedule'!$F$31))*12+MONTH($A256)-MONTH('Recurring Schedule'!$F$31),'Recurring Schedule'!$O$31)=0),IF('Recurring Schedule'!$E$31="Weekdays",WEEKDAY($A256,2)&lt;=5,$A256='Recurring Schedule'!$F$31))),26,""))))</f>
        <v/>
      </c>
      <c r="AB256">
        <f>IF('Recurring Schedule'!$C$32="","",IF('Recurring Schedule'!$F$32="","",IF(OR($A256&lt;'Recurring Schedule'!$F$32,$A256&gt;'Recurring Schedule'!$P$32),"",IF(IF('Recurring Schedule'!$N$32&gt;0,MOD($A256-'Recurring Schedule'!$F$32,'Recurring Schedule'!$N$32)=0,IF('Recurring Schedule'!$O$32&gt;0,AND(DAY($A256)=MIN(DAY('Recurring Schedule'!$F$32),DAY(EOMONTH($A256,0))),MOD((YEAR($A256)-YEAR('Recurring Schedule'!$F$32))*12+MONTH($A256)-MONTH('Recurring Schedule'!$F$32),'Recurring Schedule'!$O$32)=0),IF('Recurring Schedule'!$E$32="Weekdays",WEEKDAY($A256,2)&lt;=5,$A256='Recurring Schedule'!$F$32))),27,""))))</f>
        <v/>
      </c>
      <c r="AC256">
        <f>IF('Recurring Schedule'!$C$33="","",IF('Recurring Schedule'!$F$33="","",IF(OR($A256&lt;'Recurring Schedule'!$F$33,$A256&gt;'Recurring Schedule'!$P$33),"",IF(IF('Recurring Schedule'!$N$33&gt;0,MOD($A256-'Recurring Schedule'!$F$33,'Recurring Schedule'!$N$33)=0,IF('Recurring Schedule'!$O$33&gt;0,AND(DAY($A256)=MIN(DAY('Recurring Schedule'!$F$33),DAY(EOMONTH($A256,0))),MOD((YEAR($A256)-YEAR('Recurring Schedule'!$F$33))*12+MONTH($A256)-MONTH('Recurring Schedule'!$F$33),'Recurring Schedule'!$O$33)=0),IF('Recurring Schedule'!$E$33="Weekdays",WEEKDAY($A256,2)&lt;=5,$A256='Recurring Schedule'!$F$33))),28,""))))</f>
        <v/>
      </c>
      <c r="AD256">
        <f>IF('Recurring Schedule'!$C$34="","",IF('Recurring Schedule'!$F$34="","",IF(OR($A256&lt;'Recurring Schedule'!$F$34,$A256&gt;'Recurring Schedule'!$P$34),"",IF(IF('Recurring Schedule'!$N$34&gt;0,MOD($A256-'Recurring Schedule'!$F$34,'Recurring Schedule'!$N$34)=0,IF('Recurring Schedule'!$O$34&gt;0,AND(DAY($A256)=MIN(DAY('Recurring Schedule'!$F$34),DAY(EOMONTH($A256,0))),MOD((YEAR($A256)-YEAR('Recurring Schedule'!$F$34))*12+MONTH($A256)-MONTH('Recurring Schedule'!$F$34),'Recurring Schedule'!$O$34)=0),IF('Recurring Schedule'!$E$34="Weekdays",WEEKDAY($A256,2)&lt;=5,$A256='Recurring Schedule'!$F$34))),29,""))))</f>
        <v/>
      </c>
      <c r="AE256">
        <f>IF('Recurring Schedule'!$C$35="","",IF('Recurring Schedule'!$F$35="","",IF(OR($A256&lt;'Recurring Schedule'!$F$35,$A256&gt;'Recurring Schedule'!$P$35),"",IF(IF('Recurring Schedule'!$N$35&gt;0,MOD($A256-'Recurring Schedule'!$F$35,'Recurring Schedule'!$N$35)=0,IF('Recurring Schedule'!$O$35&gt;0,AND(DAY($A256)=MIN(DAY('Recurring Schedule'!$F$35),DAY(EOMONTH($A256,0))),MOD((YEAR($A256)-YEAR('Recurring Schedule'!$F$35))*12+MONTH($A256)-MONTH('Recurring Schedule'!$F$35),'Recurring Schedule'!$O$35)=0),IF('Recurring Schedule'!$E$35="Weekdays",WEEKDAY($A256,2)&lt;=5,$A256='Recurring Schedule'!$F$35))),30,""))))</f>
        <v/>
      </c>
      <c r="AF256">
        <f>IF('Recurring Schedule'!$C$36="","",IF('Recurring Schedule'!$F$36="","",IF(OR($A256&lt;'Recurring Schedule'!$F$36,$A256&gt;'Recurring Schedule'!$P$36),"",IF(IF('Recurring Schedule'!$N$36&gt;0,MOD($A256-'Recurring Schedule'!$F$36,'Recurring Schedule'!$N$36)=0,IF('Recurring Schedule'!$O$36&gt;0,AND(DAY($A256)=MIN(DAY('Recurring Schedule'!$F$36),DAY(EOMONTH($A256,0))),MOD((YEAR($A256)-YEAR('Recurring Schedule'!$F$36))*12+MONTH($A256)-MONTH('Recurring Schedule'!$F$36),'Recurring Schedule'!$O$36)=0),IF('Recurring Schedule'!$E$36="Weekdays",WEEKDAY($A256,2)&lt;=5,$A256='Recurring Schedule'!$F$36))),31,""))))</f>
        <v/>
      </c>
      <c r="AG256">
        <f>IF('Recurring Schedule'!$C$37="","",IF('Recurring Schedule'!$F$37="","",IF(OR($A256&lt;'Recurring Schedule'!$F$37,$A256&gt;'Recurring Schedule'!$P$37),"",IF(IF('Recurring Schedule'!$N$37&gt;0,MOD($A256-'Recurring Schedule'!$F$37,'Recurring Schedule'!$N$37)=0,IF('Recurring Schedule'!$O$37&gt;0,AND(DAY($A256)=MIN(DAY('Recurring Schedule'!$F$37),DAY(EOMONTH($A256,0))),MOD((YEAR($A256)-YEAR('Recurring Schedule'!$F$37))*12+MONTH($A256)-MONTH('Recurring Schedule'!$F$37),'Recurring Schedule'!$O$37)=0),IF('Recurring Schedule'!$E$37="Weekdays",WEEKDAY($A256,2)&lt;=5,$A256='Recurring Schedule'!$F$37))),32,""))))</f>
        <v/>
      </c>
      <c r="AH256">
        <f>IF('Recurring Schedule'!$C$38="","",IF('Recurring Schedule'!$F$38="","",IF(OR($A256&lt;'Recurring Schedule'!$F$38,$A256&gt;'Recurring Schedule'!$P$38),"",IF(IF('Recurring Schedule'!$N$38&gt;0,MOD($A256-'Recurring Schedule'!$F$38,'Recurring Schedule'!$N$38)=0,IF('Recurring Schedule'!$O$38&gt;0,AND(DAY($A256)=MIN(DAY('Recurring Schedule'!$F$38),DAY(EOMONTH($A256,0))),MOD((YEAR($A256)-YEAR('Recurring Schedule'!$F$38))*12+MONTH($A256)-MONTH('Recurring Schedule'!$F$38),'Recurring Schedule'!$O$38)=0),IF('Recurring Schedule'!$E$38="Weekdays",WEEKDAY($A256,2)&lt;=5,$A256='Recurring Schedule'!$F$38))),33,""))))</f>
        <v/>
      </c>
      <c r="AI256">
        <f>IF('Recurring Schedule'!$C$39="","",IF('Recurring Schedule'!$F$39="","",IF(OR($A256&lt;'Recurring Schedule'!$F$39,$A256&gt;'Recurring Schedule'!$P$39),"",IF(IF('Recurring Schedule'!$N$39&gt;0,MOD($A256-'Recurring Schedule'!$F$39,'Recurring Schedule'!$N$39)=0,IF('Recurring Schedule'!$O$39&gt;0,AND(DAY($A256)=MIN(DAY('Recurring Schedule'!$F$39),DAY(EOMONTH($A256,0))),MOD((YEAR($A256)-YEAR('Recurring Schedule'!$F$39))*12+MONTH($A256)-MONTH('Recurring Schedule'!$F$39),'Recurring Schedule'!$O$39)=0),IF('Recurring Schedule'!$E$39="Weekdays",WEEKDAY($A256,2)&lt;=5,$A256='Recurring Schedule'!$F$39))),34,""))))</f>
        <v/>
      </c>
      <c r="AJ256">
        <f>IF('Recurring Schedule'!$C$40="","",IF('Recurring Schedule'!$F$40="","",IF(OR($A256&lt;'Recurring Schedule'!$F$40,$A256&gt;'Recurring Schedule'!$P$40),"",IF(IF('Recurring Schedule'!$N$40&gt;0,MOD($A256-'Recurring Schedule'!$F$40,'Recurring Schedule'!$N$40)=0,IF('Recurring Schedule'!$O$40&gt;0,AND(DAY($A256)=MIN(DAY('Recurring Schedule'!$F$40),DAY(EOMONTH($A256,0))),MOD((YEAR($A256)-YEAR('Recurring Schedule'!$F$40))*12+MONTH($A256)-MONTH('Recurring Schedule'!$F$40),'Recurring Schedule'!$O$40)=0),IF('Recurring Schedule'!$E$40="Weekdays",WEEKDAY($A256,2)&lt;=5,$A256='Recurring Schedule'!$F$40))),35,""))))</f>
        <v/>
      </c>
      <c r="AK256">
        <f>IF('Recurring Schedule'!$C$41="","",IF('Recurring Schedule'!$F$41="","",IF(OR($A256&lt;'Recurring Schedule'!$F$41,$A256&gt;'Recurring Schedule'!$P$41),"",IF(IF('Recurring Schedule'!$N$41&gt;0,MOD($A256-'Recurring Schedule'!$F$41,'Recurring Schedule'!$N$41)=0,IF('Recurring Schedule'!$O$41&gt;0,AND(DAY($A256)=MIN(DAY('Recurring Schedule'!$F$41),DAY(EOMONTH($A256,0))),MOD((YEAR($A256)-YEAR('Recurring Schedule'!$F$41))*12+MONTH($A256)-MONTH('Recurring Schedule'!$F$41),'Recurring Schedule'!$O$41)=0),IF('Recurring Schedule'!$E$41="Weekdays",WEEKDAY($A256,2)&lt;=5,$A256='Recurring Schedule'!$F$41))),36,""))))</f>
        <v/>
      </c>
      <c r="AL256">
        <f>IF('Recurring Schedule'!$C$42="","",IF('Recurring Schedule'!$F$42="","",IF(OR($A256&lt;'Recurring Schedule'!$F$42,$A256&gt;'Recurring Schedule'!$P$42),"",IF(IF('Recurring Schedule'!$N$42&gt;0,MOD($A256-'Recurring Schedule'!$F$42,'Recurring Schedule'!$N$42)=0,IF('Recurring Schedule'!$O$42&gt;0,AND(DAY($A256)=MIN(DAY('Recurring Schedule'!$F$42),DAY(EOMONTH($A256,0))),MOD((YEAR($A256)-YEAR('Recurring Schedule'!$F$42))*12+MONTH($A256)-MONTH('Recurring Schedule'!$F$42),'Recurring Schedule'!$O$42)=0),IF('Recurring Schedule'!$E$42="Weekdays",WEEKDAY($A256,2)&lt;=5,$A256='Recurring Schedule'!$F$42))),37,""))))</f>
        <v/>
      </c>
      <c r="AM256">
        <f>IF('Recurring Schedule'!$C$43="","",IF('Recurring Schedule'!$F$43="","",IF(OR($A256&lt;'Recurring Schedule'!$F$43,$A256&gt;'Recurring Schedule'!$P$43),"",IF(IF('Recurring Schedule'!$N$43&gt;0,MOD($A256-'Recurring Schedule'!$F$43,'Recurring Schedule'!$N$43)=0,IF('Recurring Schedule'!$O$43&gt;0,AND(DAY($A256)=MIN(DAY('Recurring Schedule'!$F$43),DAY(EOMONTH($A256,0))),MOD((YEAR($A256)-YEAR('Recurring Schedule'!$F$43))*12+MONTH($A256)-MONTH('Recurring Schedule'!$F$43),'Recurring Schedule'!$O$43)=0),IF('Recurring Schedule'!$E$43="Weekdays",WEEKDAY($A256,2)&lt;=5,$A256='Recurring Schedule'!$F$43))),38,""))))</f>
        <v/>
      </c>
      <c r="AN256">
        <f>IF('Recurring Schedule'!$C$44="","",IF('Recurring Schedule'!$F$44="","",IF(OR($A256&lt;'Recurring Schedule'!$F$44,$A256&gt;'Recurring Schedule'!$P$44),"",IF(IF('Recurring Schedule'!$N$44&gt;0,MOD($A256-'Recurring Schedule'!$F$44,'Recurring Schedule'!$N$44)=0,IF('Recurring Schedule'!$O$44&gt;0,AND(DAY($A256)=MIN(DAY('Recurring Schedule'!$F$44),DAY(EOMONTH($A256,0))),MOD((YEAR($A256)-YEAR('Recurring Schedule'!$F$44))*12+MONTH($A256)-MONTH('Recurring Schedule'!$F$44),'Recurring Schedule'!$O$44)=0),IF('Recurring Schedule'!$E$44="Weekdays",WEEKDAY($A256,2)&lt;=5,$A256='Recurring Schedule'!$F$44))),39,""))))</f>
        <v/>
      </c>
      <c r="AO256">
        <f>IF('Recurring Schedule'!$C$45="","",IF('Recurring Schedule'!$F$45="","",IF(OR($A256&lt;'Recurring Schedule'!$F$45,$A256&gt;'Recurring Schedule'!$P$45),"",IF(IF('Recurring Schedule'!$N$45&gt;0,MOD($A256-'Recurring Schedule'!$F$45,'Recurring Schedule'!$N$45)=0,IF('Recurring Schedule'!$O$45&gt;0,AND(DAY($A256)=MIN(DAY('Recurring Schedule'!$F$45),DAY(EOMONTH($A256,0))),MOD((YEAR($A256)-YEAR('Recurring Schedule'!$F$45))*12+MONTH($A256)-MONTH('Recurring Schedule'!$F$45),'Recurring Schedule'!$O$45)=0),IF('Recurring Schedule'!$E$45="Weekdays",WEEKDAY($A256,2)&lt;=5,$A256='Recurring Schedule'!$F$45))),40,""))))</f>
        <v/>
      </c>
      <c r="AP256">
        <f>COUNT(B256:AO256)</f>
        <v/>
      </c>
      <c r="AQ256">
        <f>AQ255+AP255</f>
        <v/>
      </c>
      <c r="AS256" t="inlineStr">
        <is>
          <t>R</t>
        </is>
      </c>
      <c r="AT256" t="n">
        <v>260</v>
      </c>
      <c r="AU256">
        <f>'Recurring Log'!C260&amp;""</f>
        <v/>
      </c>
      <c r="AV256">
        <f>'Recurring Log'!D260&amp;""</f>
        <v/>
      </c>
      <c r="AW256">
        <f>IF('Recurring Log'!E260="","",'Recurring Log'!E260)</f>
        <v/>
      </c>
      <c r="AX256">
        <f>IF('Recurring Log'!G260="","",'Recurring Log'!G260)</f>
        <v/>
      </c>
      <c r="AY256">
        <f>IF('Recurring Log'!H260="","",'Recurring Log'!H260)</f>
        <v/>
      </c>
      <c r="AZ256">
        <f>IF(AU256="","",IF('Recurring Log'!J260="","Not Started",'Recurring Log'!J260))</f>
        <v/>
      </c>
      <c r="BA256">
        <f>'Recurring Log'!L260&amp;""</f>
        <v/>
      </c>
      <c r="BB256">
        <f>'Recurring Log'!M260&amp;""</f>
        <v/>
      </c>
      <c r="BC256">
        <f>'Recurring Log'!N260&amp;""</f>
        <v/>
      </c>
      <c r="BD256">
        <f>'Recurring Log'!O260&amp;""</f>
        <v/>
      </c>
      <c r="BE256">
        <f>IF('Recurring Log'!K260="","",'Recurring Log'!K260)</f>
        <v/>
      </c>
      <c r="BF256">
        <f>IFERROR(MATCH(BA256,Setup!$L$6:$L$9,0),5)</f>
        <v/>
      </c>
      <c r="BG256">
        <f>IF(OR(AZ256="Done",AZ256="Cancelled"),1,0)</f>
        <v/>
      </c>
      <c r="BH256">
        <f>IF(AND(AU256&lt;&gt;"",ISNUMBER(AW256)),1,0)</f>
        <v/>
      </c>
      <c r="BI256">
        <f>IF(BH256=0,0,IF(AND(AW256&gt;='Tasks Filter'!$F$3,AW256&lt;='Tasks Filter'!$F$4,OR('Tasks Filter'!$I$3="",ISNUMBER(SEARCH('Tasks Filter'!$I$3,AU256))),OR('Tasks Filter'!$I$4="",BF256=IFERROR(MATCH('Tasks Filter'!$I$4,Setup!$L$6:$L$9,0),0)),OR('Tasks Filter'!$I$5="Both",AND('Tasks Filter'!$I$5="Yes",BB256="✓"),AND('Tasks Filter'!$I$5="No",BB256&lt;&gt;"✓")),OR('Tasks Filter'!$L$3="",AV256='Tasks Filter'!$L$3),OR('Tasks Filter'!$L$4="",AZ256='Tasks Filter'!$L$4),OR('Tasks Filter'!$L$5="",BC256='Tasks Filter'!$L$5),OR('Tasks Filter'!$O$3="",BD256='Tasks Filter'!$O$3),OR('Tasks Filter'!$O$4="Yes",BG256=0)),1,0))</f>
        <v/>
      </c>
      <c r="BJ256">
        <f>IF(BH256=0,"",IF('Tasks Filter'!$F$6="Descending",-1,1)*CHOOSE(MATCH('Tasks Filter'!$F$5,Lists!$G$2:$G$6,0),AW256,BF256,IFERROR(MATCH(AV256,Setup!$F$6:$F$15,0),99),IFERROR(MATCH(BC256,Setup!$H$6:$H$15,0),99),IFERROR(MATCH(AZ256,Setup!$J$6:$J$11,0),99))*1E+9+(AW256-40000)*10000+255)</f>
        <v/>
      </c>
      <c r="BK256">
        <f>IF(BI256=1,BJ256,"")</f>
        <v/>
      </c>
      <c r="BL256">
        <f>IF(AND(BH256=1,BG256=0,N(AW256)&lt;Setup!$D$7),(AW256-40000)*10000+255,"")</f>
        <v/>
      </c>
      <c r="BM256">
        <f>IF(AND(BH256=1,AZ256&lt;&gt;"Cancelled",N(AW256)&gt;=Dashboard!$AB$3,N(AW256)&lt;=Dashboard!$AB$3+6),(AW256-40000)*100000+BF256*10000+255,"")</f>
        <v/>
      </c>
      <c r="BN256">
        <f>IF(AND(BH256=1,AZ256&lt;&gt;"Cancelled"),BF256*10000+255,"")</f>
        <v/>
      </c>
    </row>
    <row r="257">
      <c r="A257">
        <f>Setup!$D$5+255</f>
        <v/>
      </c>
      <c r="B257">
        <f>IF('Recurring Schedule'!$C$6="","",IF('Recurring Schedule'!$F$6="","",IF(OR($A257&lt;'Recurring Schedule'!$F$6,$A257&gt;'Recurring Schedule'!$P$6),"",IF(IF('Recurring Schedule'!$N$6&gt;0,MOD($A257-'Recurring Schedule'!$F$6,'Recurring Schedule'!$N$6)=0,IF('Recurring Schedule'!$O$6&gt;0,AND(DAY($A257)=MIN(DAY('Recurring Schedule'!$F$6),DAY(EOMONTH($A257,0))),MOD((YEAR($A257)-YEAR('Recurring Schedule'!$F$6))*12+MONTH($A257)-MONTH('Recurring Schedule'!$F$6),'Recurring Schedule'!$O$6)=0),IF('Recurring Schedule'!$E$6="Weekdays",WEEKDAY($A257,2)&lt;=5,$A257='Recurring Schedule'!$F$6))),1,""))))</f>
        <v/>
      </c>
      <c r="C257">
        <f>IF('Recurring Schedule'!$C$7="","",IF('Recurring Schedule'!$F$7="","",IF(OR($A257&lt;'Recurring Schedule'!$F$7,$A257&gt;'Recurring Schedule'!$P$7),"",IF(IF('Recurring Schedule'!$N$7&gt;0,MOD($A257-'Recurring Schedule'!$F$7,'Recurring Schedule'!$N$7)=0,IF('Recurring Schedule'!$O$7&gt;0,AND(DAY($A257)=MIN(DAY('Recurring Schedule'!$F$7),DAY(EOMONTH($A257,0))),MOD((YEAR($A257)-YEAR('Recurring Schedule'!$F$7))*12+MONTH($A257)-MONTH('Recurring Schedule'!$F$7),'Recurring Schedule'!$O$7)=0),IF('Recurring Schedule'!$E$7="Weekdays",WEEKDAY($A257,2)&lt;=5,$A257='Recurring Schedule'!$F$7))),2,""))))</f>
        <v/>
      </c>
      <c r="D257">
        <f>IF('Recurring Schedule'!$C$8="","",IF('Recurring Schedule'!$F$8="","",IF(OR($A257&lt;'Recurring Schedule'!$F$8,$A257&gt;'Recurring Schedule'!$P$8),"",IF(IF('Recurring Schedule'!$N$8&gt;0,MOD($A257-'Recurring Schedule'!$F$8,'Recurring Schedule'!$N$8)=0,IF('Recurring Schedule'!$O$8&gt;0,AND(DAY($A257)=MIN(DAY('Recurring Schedule'!$F$8),DAY(EOMONTH($A257,0))),MOD((YEAR($A257)-YEAR('Recurring Schedule'!$F$8))*12+MONTH($A257)-MONTH('Recurring Schedule'!$F$8),'Recurring Schedule'!$O$8)=0),IF('Recurring Schedule'!$E$8="Weekdays",WEEKDAY($A257,2)&lt;=5,$A257='Recurring Schedule'!$F$8))),3,""))))</f>
        <v/>
      </c>
      <c r="E257">
        <f>IF('Recurring Schedule'!$C$9="","",IF('Recurring Schedule'!$F$9="","",IF(OR($A257&lt;'Recurring Schedule'!$F$9,$A257&gt;'Recurring Schedule'!$P$9),"",IF(IF('Recurring Schedule'!$N$9&gt;0,MOD($A257-'Recurring Schedule'!$F$9,'Recurring Schedule'!$N$9)=0,IF('Recurring Schedule'!$O$9&gt;0,AND(DAY($A257)=MIN(DAY('Recurring Schedule'!$F$9),DAY(EOMONTH($A257,0))),MOD((YEAR($A257)-YEAR('Recurring Schedule'!$F$9))*12+MONTH($A257)-MONTH('Recurring Schedule'!$F$9),'Recurring Schedule'!$O$9)=0),IF('Recurring Schedule'!$E$9="Weekdays",WEEKDAY($A257,2)&lt;=5,$A257='Recurring Schedule'!$F$9))),4,""))))</f>
        <v/>
      </c>
      <c r="F257">
        <f>IF('Recurring Schedule'!$C$10="","",IF('Recurring Schedule'!$F$10="","",IF(OR($A257&lt;'Recurring Schedule'!$F$10,$A257&gt;'Recurring Schedule'!$P$10),"",IF(IF('Recurring Schedule'!$N$10&gt;0,MOD($A257-'Recurring Schedule'!$F$10,'Recurring Schedule'!$N$10)=0,IF('Recurring Schedule'!$O$10&gt;0,AND(DAY($A257)=MIN(DAY('Recurring Schedule'!$F$10),DAY(EOMONTH($A257,0))),MOD((YEAR($A257)-YEAR('Recurring Schedule'!$F$10))*12+MONTH($A257)-MONTH('Recurring Schedule'!$F$10),'Recurring Schedule'!$O$10)=0),IF('Recurring Schedule'!$E$10="Weekdays",WEEKDAY($A257,2)&lt;=5,$A257='Recurring Schedule'!$F$10))),5,""))))</f>
        <v/>
      </c>
      <c r="G257">
        <f>IF('Recurring Schedule'!$C$11="","",IF('Recurring Schedule'!$F$11="","",IF(OR($A257&lt;'Recurring Schedule'!$F$11,$A257&gt;'Recurring Schedule'!$P$11),"",IF(IF('Recurring Schedule'!$N$11&gt;0,MOD($A257-'Recurring Schedule'!$F$11,'Recurring Schedule'!$N$11)=0,IF('Recurring Schedule'!$O$11&gt;0,AND(DAY($A257)=MIN(DAY('Recurring Schedule'!$F$11),DAY(EOMONTH($A257,0))),MOD((YEAR($A257)-YEAR('Recurring Schedule'!$F$11))*12+MONTH($A257)-MONTH('Recurring Schedule'!$F$11),'Recurring Schedule'!$O$11)=0),IF('Recurring Schedule'!$E$11="Weekdays",WEEKDAY($A257,2)&lt;=5,$A257='Recurring Schedule'!$F$11))),6,""))))</f>
        <v/>
      </c>
      <c r="H257">
        <f>IF('Recurring Schedule'!$C$12="","",IF('Recurring Schedule'!$F$12="","",IF(OR($A257&lt;'Recurring Schedule'!$F$12,$A257&gt;'Recurring Schedule'!$P$12),"",IF(IF('Recurring Schedule'!$N$12&gt;0,MOD($A257-'Recurring Schedule'!$F$12,'Recurring Schedule'!$N$12)=0,IF('Recurring Schedule'!$O$12&gt;0,AND(DAY($A257)=MIN(DAY('Recurring Schedule'!$F$12),DAY(EOMONTH($A257,0))),MOD((YEAR($A257)-YEAR('Recurring Schedule'!$F$12))*12+MONTH($A257)-MONTH('Recurring Schedule'!$F$12),'Recurring Schedule'!$O$12)=0),IF('Recurring Schedule'!$E$12="Weekdays",WEEKDAY($A257,2)&lt;=5,$A257='Recurring Schedule'!$F$12))),7,""))))</f>
        <v/>
      </c>
      <c r="I257">
        <f>IF('Recurring Schedule'!$C$13="","",IF('Recurring Schedule'!$F$13="","",IF(OR($A257&lt;'Recurring Schedule'!$F$13,$A257&gt;'Recurring Schedule'!$P$13),"",IF(IF('Recurring Schedule'!$N$13&gt;0,MOD($A257-'Recurring Schedule'!$F$13,'Recurring Schedule'!$N$13)=0,IF('Recurring Schedule'!$O$13&gt;0,AND(DAY($A257)=MIN(DAY('Recurring Schedule'!$F$13),DAY(EOMONTH($A257,0))),MOD((YEAR($A257)-YEAR('Recurring Schedule'!$F$13))*12+MONTH($A257)-MONTH('Recurring Schedule'!$F$13),'Recurring Schedule'!$O$13)=0),IF('Recurring Schedule'!$E$13="Weekdays",WEEKDAY($A257,2)&lt;=5,$A257='Recurring Schedule'!$F$13))),8,""))))</f>
        <v/>
      </c>
      <c r="J257">
        <f>IF('Recurring Schedule'!$C$14="","",IF('Recurring Schedule'!$F$14="","",IF(OR($A257&lt;'Recurring Schedule'!$F$14,$A257&gt;'Recurring Schedule'!$P$14),"",IF(IF('Recurring Schedule'!$N$14&gt;0,MOD($A257-'Recurring Schedule'!$F$14,'Recurring Schedule'!$N$14)=0,IF('Recurring Schedule'!$O$14&gt;0,AND(DAY($A257)=MIN(DAY('Recurring Schedule'!$F$14),DAY(EOMONTH($A257,0))),MOD((YEAR($A257)-YEAR('Recurring Schedule'!$F$14))*12+MONTH($A257)-MONTH('Recurring Schedule'!$F$14),'Recurring Schedule'!$O$14)=0),IF('Recurring Schedule'!$E$14="Weekdays",WEEKDAY($A257,2)&lt;=5,$A257='Recurring Schedule'!$F$14))),9,""))))</f>
        <v/>
      </c>
      <c r="K257">
        <f>IF('Recurring Schedule'!$C$15="","",IF('Recurring Schedule'!$F$15="","",IF(OR($A257&lt;'Recurring Schedule'!$F$15,$A257&gt;'Recurring Schedule'!$P$15),"",IF(IF('Recurring Schedule'!$N$15&gt;0,MOD($A257-'Recurring Schedule'!$F$15,'Recurring Schedule'!$N$15)=0,IF('Recurring Schedule'!$O$15&gt;0,AND(DAY($A257)=MIN(DAY('Recurring Schedule'!$F$15),DAY(EOMONTH($A257,0))),MOD((YEAR($A257)-YEAR('Recurring Schedule'!$F$15))*12+MONTH($A257)-MONTH('Recurring Schedule'!$F$15),'Recurring Schedule'!$O$15)=0),IF('Recurring Schedule'!$E$15="Weekdays",WEEKDAY($A257,2)&lt;=5,$A257='Recurring Schedule'!$F$15))),10,""))))</f>
        <v/>
      </c>
      <c r="L257">
        <f>IF('Recurring Schedule'!$C$16="","",IF('Recurring Schedule'!$F$16="","",IF(OR($A257&lt;'Recurring Schedule'!$F$16,$A257&gt;'Recurring Schedule'!$P$16),"",IF(IF('Recurring Schedule'!$N$16&gt;0,MOD($A257-'Recurring Schedule'!$F$16,'Recurring Schedule'!$N$16)=0,IF('Recurring Schedule'!$O$16&gt;0,AND(DAY($A257)=MIN(DAY('Recurring Schedule'!$F$16),DAY(EOMONTH($A257,0))),MOD((YEAR($A257)-YEAR('Recurring Schedule'!$F$16))*12+MONTH($A257)-MONTH('Recurring Schedule'!$F$16),'Recurring Schedule'!$O$16)=0),IF('Recurring Schedule'!$E$16="Weekdays",WEEKDAY($A257,2)&lt;=5,$A257='Recurring Schedule'!$F$16))),11,""))))</f>
        <v/>
      </c>
      <c r="M257">
        <f>IF('Recurring Schedule'!$C$17="","",IF('Recurring Schedule'!$F$17="","",IF(OR($A257&lt;'Recurring Schedule'!$F$17,$A257&gt;'Recurring Schedule'!$P$17),"",IF(IF('Recurring Schedule'!$N$17&gt;0,MOD($A257-'Recurring Schedule'!$F$17,'Recurring Schedule'!$N$17)=0,IF('Recurring Schedule'!$O$17&gt;0,AND(DAY($A257)=MIN(DAY('Recurring Schedule'!$F$17),DAY(EOMONTH($A257,0))),MOD((YEAR($A257)-YEAR('Recurring Schedule'!$F$17))*12+MONTH($A257)-MONTH('Recurring Schedule'!$F$17),'Recurring Schedule'!$O$17)=0),IF('Recurring Schedule'!$E$17="Weekdays",WEEKDAY($A257,2)&lt;=5,$A257='Recurring Schedule'!$F$17))),12,""))))</f>
        <v/>
      </c>
      <c r="N257">
        <f>IF('Recurring Schedule'!$C$18="","",IF('Recurring Schedule'!$F$18="","",IF(OR($A257&lt;'Recurring Schedule'!$F$18,$A257&gt;'Recurring Schedule'!$P$18),"",IF(IF('Recurring Schedule'!$N$18&gt;0,MOD($A257-'Recurring Schedule'!$F$18,'Recurring Schedule'!$N$18)=0,IF('Recurring Schedule'!$O$18&gt;0,AND(DAY($A257)=MIN(DAY('Recurring Schedule'!$F$18),DAY(EOMONTH($A257,0))),MOD((YEAR($A257)-YEAR('Recurring Schedule'!$F$18))*12+MONTH($A257)-MONTH('Recurring Schedule'!$F$18),'Recurring Schedule'!$O$18)=0),IF('Recurring Schedule'!$E$18="Weekdays",WEEKDAY($A257,2)&lt;=5,$A257='Recurring Schedule'!$F$18))),13,""))))</f>
        <v/>
      </c>
      <c r="O257">
        <f>IF('Recurring Schedule'!$C$19="","",IF('Recurring Schedule'!$F$19="","",IF(OR($A257&lt;'Recurring Schedule'!$F$19,$A257&gt;'Recurring Schedule'!$P$19),"",IF(IF('Recurring Schedule'!$N$19&gt;0,MOD($A257-'Recurring Schedule'!$F$19,'Recurring Schedule'!$N$19)=0,IF('Recurring Schedule'!$O$19&gt;0,AND(DAY($A257)=MIN(DAY('Recurring Schedule'!$F$19),DAY(EOMONTH($A257,0))),MOD((YEAR($A257)-YEAR('Recurring Schedule'!$F$19))*12+MONTH($A257)-MONTH('Recurring Schedule'!$F$19),'Recurring Schedule'!$O$19)=0),IF('Recurring Schedule'!$E$19="Weekdays",WEEKDAY($A257,2)&lt;=5,$A257='Recurring Schedule'!$F$19))),14,""))))</f>
        <v/>
      </c>
      <c r="P257">
        <f>IF('Recurring Schedule'!$C$20="","",IF('Recurring Schedule'!$F$20="","",IF(OR($A257&lt;'Recurring Schedule'!$F$20,$A257&gt;'Recurring Schedule'!$P$20),"",IF(IF('Recurring Schedule'!$N$20&gt;0,MOD($A257-'Recurring Schedule'!$F$20,'Recurring Schedule'!$N$20)=0,IF('Recurring Schedule'!$O$20&gt;0,AND(DAY($A257)=MIN(DAY('Recurring Schedule'!$F$20),DAY(EOMONTH($A257,0))),MOD((YEAR($A257)-YEAR('Recurring Schedule'!$F$20))*12+MONTH($A257)-MONTH('Recurring Schedule'!$F$20),'Recurring Schedule'!$O$20)=0),IF('Recurring Schedule'!$E$20="Weekdays",WEEKDAY($A257,2)&lt;=5,$A257='Recurring Schedule'!$F$20))),15,""))))</f>
        <v/>
      </c>
      <c r="Q257">
        <f>IF('Recurring Schedule'!$C$21="","",IF('Recurring Schedule'!$F$21="","",IF(OR($A257&lt;'Recurring Schedule'!$F$21,$A257&gt;'Recurring Schedule'!$P$21),"",IF(IF('Recurring Schedule'!$N$21&gt;0,MOD($A257-'Recurring Schedule'!$F$21,'Recurring Schedule'!$N$21)=0,IF('Recurring Schedule'!$O$21&gt;0,AND(DAY($A257)=MIN(DAY('Recurring Schedule'!$F$21),DAY(EOMONTH($A257,0))),MOD((YEAR($A257)-YEAR('Recurring Schedule'!$F$21))*12+MONTH($A257)-MONTH('Recurring Schedule'!$F$21),'Recurring Schedule'!$O$21)=0),IF('Recurring Schedule'!$E$21="Weekdays",WEEKDAY($A257,2)&lt;=5,$A257='Recurring Schedule'!$F$21))),16,""))))</f>
        <v/>
      </c>
      <c r="R257">
        <f>IF('Recurring Schedule'!$C$22="","",IF('Recurring Schedule'!$F$22="","",IF(OR($A257&lt;'Recurring Schedule'!$F$22,$A257&gt;'Recurring Schedule'!$P$22),"",IF(IF('Recurring Schedule'!$N$22&gt;0,MOD($A257-'Recurring Schedule'!$F$22,'Recurring Schedule'!$N$22)=0,IF('Recurring Schedule'!$O$22&gt;0,AND(DAY($A257)=MIN(DAY('Recurring Schedule'!$F$22),DAY(EOMONTH($A257,0))),MOD((YEAR($A257)-YEAR('Recurring Schedule'!$F$22))*12+MONTH($A257)-MONTH('Recurring Schedule'!$F$22),'Recurring Schedule'!$O$22)=0),IF('Recurring Schedule'!$E$22="Weekdays",WEEKDAY($A257,2)&lt;=5,$A257='Recurring Schedule'!$F$22))),17,""))))</f>
        <v/>
      </c>
      <c r="S257">
        <f>IF('Recurring Schedule'!$C$23="","",IF('Recurring Schedule'!$F$23="","",IF(OR($A257&lt;'Recurring Schedule'!$F$23,$A257&gt;'Recurring Schedule'!$P$23),"",IF(IF('Recurring Schedule'!$N$23&gt;0,MOD($A257-'Recurring Schedule'!$F$23,'Recurring Schedule'!$N$23)=0,IF('Recurring Schedule'!$O$23&gt;0,AND(DAY($A257)=MIN(DAY('Recurring Schedule'!$F$23),DAY(EOMONTH($A257,0))),MOD((YEAR($A257)-YEAR('Recurring Schedule'!$F$23))*12+MONTH($A257)-MONTH('Recurring Schedule'!$F$23),'Recurring Schedule'!$O$23)=0),IF('Recurring Schedule'!$E$23="Weekdays",WEEKDAY($A257,2)&lt;=5,$A257='Recurring Schedule'!$F$23))),18,""))))</f>
        <v/>
      </c>
      <c r="T257">
        <f>IF('Recurring Schedule'!$C$24="","",IF('Recurring Schedule'!$F$24="","",IF(OR($A257&lt;'Recurring Schedule'!$F$24,$A257&gt;'Recurring Schedule'!$P$24),"",IF(IF('Recurring Schedule'!$N$24&gt;0,MOD($A257-'Recurring Schedule'!$F$24,'Recurring Schedule'!$N$24)=0,IF('Recurring Schedule'!$O$24&gt;0,AND(DAY($A257)=MIN(DAY('Recurring Schedule'!$F$24),DAY(EOMONTH($A257,0))),MOD((YEAR($A257)-YEAR('Recurring Schedule'!$F$24))*12+MONTH($A257)-MONTH('Recurring Schedule'!$F$24),'Recurring Schedule'!$O$24)=0),IF('Recurring Schedule'!$E$24="Weekdays",WEEKDAY($A257,2)&lt;=5,$A257='Recurring Schedule'!$F$24))),19,""))))</f>
        <v/>
      </c>
      <c r="U257">
        <f>IF('Recurring Schedule'!$C$25="","",IF('Recurring Schedule'!$F$25="","",IF(OR($A257&lt;'Recurring Schedule'!$F$25,$A257&gt;'Recurring Schedule'!$P$25),"",IF(IF('Recurring Schedule'!$N$25&gt;0,MOD($A257-'Recurring Schedule'!$F$25,'Recurring Schedule'!$N$25)=0,IF('Recurring Schedule'!$O$25&gt;0,AND(DAY($A257)=MIN(DAY('Recurring Schedule'!$F$25),DAY(EOMONTH($A257,0))),MOD((YEAR($A257)-YEAR('Recurring Schedule'!$F$25))*12+MONTH($A257)-MONTH('Recurring Schedule'!$F$25),'Recurring Schedule'!$O$25)=0),IF('Recurring Schedule'!$E$25="Weekdays",WEEKDAY($A257,2)&lt;=5,$A257='Recurring Schedule'!$F$25))),20,""))))</f>
        <v/>
      </c>
      <c r="V257">
        <f>IF('Recurring Schedule'!$C$26="","",IF('Recurring Schedule'!$F$26="","",IF(OR($A257&lt;'Recurring Schedule'!$F$26,$A257&gt;'Recurring Schedule'!$P$26),"",IF(IF('Recurring Schedule'!$N$26&gt;0,MOD($A257-'Recurring Schedule'!$F$26,'Recurring Schedule'!$N$26)=0,IF('Recurring Schedule'!$O$26&gt;0,AND(DAY($A257)=MIN(DAY('Recurring Schedule'!$F$26),DAY(EOMONTH($A257,0))),MOD((YEAR($A257)-YEAR('Recurring Schedule'!$F$26))*12+MONTH($A257)-MONTH('Recurring Schedule'!$F$26),'Recurring Schedule'!$O$26)=0),IF('Recurring Schedule'!$E$26="Weekdays",WEEKDAY($A257,2)&lt;=5,$A257='Recurring Schedule'!$F$26))),21,""))))</f>
        <v/>
      </c>
      <c r="W257">
        <f>IF('Recurring Schedule'!$C$27="","",IF('Recurring Schedule'!$F$27="","",IF(OR($A257&lt;'Recurring Schedule'!$F$27,$A257&gt;'Recurring Schedule'!$P$27),"",IF(IF('Recurring Schedule'!$N$27&gt;0,MOD($A257-'Recurring Schedule'!$F$27,'Recurring Schedule'!$N$27)=0,IF('Recurring Schedule'!$O$27&gt;0,AND(DAY($A257)=MIN(DAY('Recurring Schedule'!$F$27),DAY(EOMONTH($A257,0))),MOD((YEAR($A257)-YEAR('Recurring Schedule'!$F$27))*12+MONTH($A257)-MONTH('Recurring Schedule'!$F$27),'Recurring Schedule'!$O$27)=0),IF('Recurring Schedule'!$E$27="Weekdays",WEEKDAY($A257,2)&lt;=5,$A257='Recurring Schedule'!$F$27))),22,""))))</f>
        <v/>
      </c>
      <c r="X257">
        <f>IF('Recurring Schedule'!$C$28="","",IF('Recurring Schedule'!$F$28="","",IF(OR($A257&lt;'Recurring Schedule'!$F$28,$A257&gt;'Recurring Schedule'!$P$28),"",IF(IF('Recurring Schedule'!$N$28&gt;0,MOD($A257-'Recurring Schedule'!$F$28,'Recurring Schedule'!$N$28)=0,IF('Recurring Schedule'!$O$28&gt;0,AND(DAY($A257)=MIN(DAY('Recurring Schedule'!$F$28),DAY(EOMONTH($A257,0))),MOD((YEAR($A257)-YEAR('Recurring Schedule'!$F$28))*12+MONTH($A257)-MONTH('Recurring Schedule'!$F$28),'Recurring Schedule'!$O$28)=0),IF('Recurring Schedule'!$E$28="Weekdays",WEEKDAY($A257,2)&lt;=5,$A257='Recurring Schedule'!$F$28))),23,""))))</f>
        <v/>
      </c>
      <c r="Y257">
        <f>IF('Recurring Schedule'!$C$29="","",IF('Recurring Schedule'!$F$29="","",IF(OR($A257&lt;'Recurring Schedule'!$F$29,$A257&gt;'Recurring Schedule'!$P$29),"",IF(IF('Recurring Schedule'!$N$29&gt;0,MOD($A257-'Recurring Schedule'!$F$29,'Recurring Schedule'!$N$29)=0,IF('Recurring Schedule'!$O$29&gt;0,AND(DAY($A257)=MIN(DAY('Recurring Schedule'!$F$29),DAY(EOMONTH($A257,0))),MOD((YEAR($A257)-YEAR('Recurring Schedule'!$F$29))*12+MONTH($A257)-MONTH('Recurring Schedule'!$F$29),'Recurring Schedule'!$O$29)=0),IF('Recurring Schedule'!$E$29="Weekdays",WEEKDAY($A257,2)&lt;=5,$A257='Recurring Schedule'!$F$29))),24,""))))</f>
        <v/>
      </c>
      <c r="Z257">
        <f>IF('Recurring Schedule'!$C$30="","",IF('Recurring Schedule'!$F$30="","",IF(OR($A257&lt;'Recurring Schedule'!$F$30,$A257&gt;'Recurring Schedule'!$P$30),"",IF(IF('Recurring Schedule'!$N$30&gt;0,MOD($A257-'Recurring Schedule'!$F$30,'Recurring Schedule'!$N$30)=0,IF('Recurring Schedule'!$O$30&gt;0,AND(DAY($A257)=MIN(DAY('Recurring Schedule'!$F$30),DAY(EOMONTH($A257,0))),MOD((YEAR($A257)-YEAR('Recurring Schedule'!$F$30))*12+MONTH($A257)-MONTH('Recurring Schedule'!$F$30),'Recurring Schedule'!$O$30)=0),IF('Recurring Schedule'!$E$30="Weekdays",WEEKDAY($A257,2)&lt;=5,$A257='Recurring Schedule'!$F$30))),25,""))))</f>
        <v/>
      </c>
      <c r="AA257">
        <f>IF('Recurring Schedule'!$C$31="","",IF('Recurring Schedule'!$F$31="","",IF(OR($A257&lt;'Recurring Schedule'!$F$31,$A257&gt;'Recurring Schedule'!$P$31),"",IF(IF('Recurring Schedule'!$N$31&gt;0,MOD($A257-'Recurring Schedule'!$F$31,'Recurring Schedule'!$N$31)=0,IF('Recurring Schedule'!$O$31&gt;0,AND(DAY($A257)=MIN(DAY('Recurring Schedule'!$F$31),DAY(EOMONTH($A257,0))),MOD((YEAR($A257)-YEAR('Recurring Schedule'!$F$31))*12+MONTH($A257)-MONTH('Recurring Schedule'!$F$31),'Recurring Schedule'!$O$31)=0),IF('Recurring Schedule'!$E$31="Weekdays",WEEKDAY($A257,2)&lt;=5,$A257='Recurring Schedule'!$F$31))),26,""))))</f>
        <v/>
      </c>
      <c r="AB257">
        <f>IF('Recurring Schedule'!$C$32="","",IF('Recurring Schedule'!$F$32="","",IF(OR($A257&lt;'Recurring Schedule'!$F$32,$A257&gt;'Recurring Schedule'!$P$32),"",IF(IF('Recurring Schedule'!$N$32&gt;0,MOD($A257-'Recurring Schedule'!$F$32,'Recurring Schedule'!$N$32)=0,IF('Recurring Schedule'!$O$32&gt;0,AND(DAY($A257)=MIN(DAY('Recurring Schedule'!$F$32),DAY(EOMONTH($A257,0))),MOD((YEAR($A257)-YEAR('Recurring Schedule'!$F$32))*12+MONTH($A257)-MONTH('Recurring Schedule'!$F$32),'Recurring Schedule'!$O$32)=0),IF('Recurring Schedule'!$E$32="Weekdays",WEEKDAY($A257,2)&lt;=5,$A257='Recurring Schedule'!$F$32))),27,""))))</f>
        <v/>
      </c>
      <c r="AC257">
        <f>IF('Recurring Schedule'!$C$33="","",IF('Recurring Schedule'!$F$33="","",IF(OR($A257&lt;'Recurring Schedule'!$F$33,$A257&gt;'Recurring Schedule'!$P$33),"",IF(IF('Recurring Schedule'!$N$33&gt;0,MOD($A257-'Recurring Schedule'!$F$33,'Recurring Schedule'!$N$33)=0,IF('Recurring Schedule'!$O$33&gt;0,AND(DAY($A257)=MIN(DAY('Recurring Schedule'!$F$33),DAY(EOMONTH($A257,0))),MOD((YEAR($A257)-YEAR('Recurring Schedule'!$F$33))*12+MONTH($A257)-MONTH('Recurring Schedule'!$F$33),'Recurring Schedule'!$O$33)=0),IF('Recurring Schedule'!$E$33="Weekdays",WEEKDAY($A257,2)&lt;=5,$A257='Recurring Schedule'!$F$33))),28,""))))</f>
        <v/>
      </c>
      <c r="AD257">
        <f>IF('Recurring Schedule'!$C$34="","",IF('Recurring Schedule'!$F$34="","",IF(OR($A257&lt;'Recurring Schedule'!$F$34,$A257&gt;'Recurring Schedule'!$P$34),"",IF(IF('Recurring Schedule'!$N$34&gt;0,MOD($A257-'Recurring Schedule'!$F$34,'Recurring Schedule'!$N$34)=0,IF('Recurring Schedule'!$O$34&gt;0,AND(DAY($A257)=MIN(DAY('Recurring Schedule'!$F$34),DAY(EOMONTH($A257,0))),MOD((YEAR($A257)-YEAR('Recurring Schedule'!$F$34))*12+MONTH($A257)-MONTH('Recurring Schedule'!$F$34),'Recurring Schedule'!$O$34)=0),IF('Recurring Schedule'!$E$34="Weekdays",WEEKDAY($A257,2)&lt;=5,$A257='Recurring Schedule'!$F$34))),29,""))))</f>
        <v/>
      </c>
      <c r="AE257">
        <f>IF('Recurring Schedule'!$C$35="","",IF('Recurring Schedule'!$F$35="","",IF(OR($A257&lt;'Recurring Schedule'!$F$35,$A257&gt;'Recurring Schedule'!$P$35),"",IF(IF('Recurring Schedule'!$N$35&gt;0,MOD($A257-'Recurring Schedule'!$F$35,'Recurring Schedule'!$N$35)=0,IF('Recurring Schedule'!$O$35&gt;0,AND(DAY($A257)=MIN(DAY('Recurring Schedule'!$F$35),DAY(EOMONTH($A257,0))),MOD((YEAR($A257)-YEAR('Recurring Schedule'!$F$35))*12+MONTH($A257)-MONTH('Recurring Schedule'!$F$35),'Recurring Schedule'!$O$35)=0),IF('Recurring Schedule'!$E$35="Weekdays",WEEKDAY($A257,2)&lt;=5,$A257='Recurring Schedule'!$F$35))),30,""))))</f>
        <v/>
      </c>
      <c r="AF257">
        <f>IF('Recurring Schedule'!$C$36="","",IF('Recurring Schedule'!$F$36="","",IF(OR($A257&lt;'Recurring Schedule'!$F$36,$A257&gt;'Recurring Schedule'!$P$36),"",IF(IF('Recurring Schedule'!$N$36&gt;0,MOD($A257-'Recurring Schedule'!$F$36,'Recurring Schedule'!$N$36)=0,IF('Recurring Schedule'!$O$36&gt;0,AND(DAY($A257)=MIN(DAY('Recurring Schedule'!$F$36),DAY(EOMONTH($A257,0))),MOD((YEAR($A257)-YEAR('Recurring Schedule'!$F$36))*12+MONTH($A257)-MONTH('Recurring Schedule'!$F$36),'Recurring Schedule'!$O$36)=0),IF('Recurring Schedule'!$E$36="Weekdays",WEEKDAY($A257,2)&lt;=5,$A257='Recurring Schedule'!$F$36))),31,""))))</f>
        <v/>
      </c>
      <c r="AG257">
        <f>IF('Recurring Schedule'!$C$37="","",IF('Recurring Schedule'!$F$37="","",IF(OR($A257&lt;'Recurring Schedule'!$F$37,$A257&gt;'Recurring Schedule'!$P$37),"",IF(IF('Recurring Schedule'!$N$37&gt;0,MOD($A257-'Recurring Schedule'!$F$37,'Recurring Schedule'!$N$37)=0,IF('Recurring Schedule'!$O$37&gt;0,AND(DAY($A257)=MIN(DAY('Recurring Schedule'!$F$37),DAY(EOMONTH($A257,0))),MOD((YEAR($A257)-YEAR('Recurring Schedule'!$F$37))*12+MONTH($A257)-MONTH('Recurring Schedule'!$F$37),'Recurring Schedule'!$O$37)=0),IF('Recurring Schedule'!$E$37="Weekdays",WEEKDAY($A257,2)&lt;=5,$A257='Recurring Schedule'!$F$37))),32,""))))</f>
        <v/>
      </c>
      <c r="AH257">
        <f>IF('Recurring Schedule'!$C$38="","",IF('Recurring Schedule'!$F$38="","",IF(OR($A257&lt;'Recurring Schedule'!$F$38,$A257&gt;'Recurring Schedule'!$P$38),"",IF(IF('Recurring Schedule'!$N$38&gt;0,MOD($A257-'Recurring Schedule'!$F$38,'Recurring Schedule'!$N$38)=0,IF('Recurring Schedule'!$O$38&gt;0,AND(DAY($A257)=MIN(DAY('Recurring Schedule'!$F$38),DAY(EOMONTH($A257,0))),MOD((YEAR($A257)-YEAR('Recurring Schedule'!$F$38))*12+MONTH($A257)-MONTH('Recurring Schedule'!$F$38),'Recurring Schedule'!$O$38)=0),IF('Recurring Schedule'!$E$38="Weekdays",WEEKDAY($A257,2)&lt;=5,$A257='Recurring Schedule'!$F$38))),33,""))))</f>
        <v/>
      </c>
      <c r="AI257">
        <f>IF('Recurring Schedule'!$C$39="","",IF('Recurring Schedule'!$F$39="","",IF(OR($A257&lt;'Recurring Schedule'!$F$39,$A257&gt;'Recurring Schedule'!$P$39),"",IF(IF('Recurring Schedule'!$N$39&gt;0,MOD($A257-'Recurring Schedule'!$F$39,'Recurring Schedule'!$N$39)=0,IF('Recurring Schedule'!$O$39&gt;0,AND(DAY($A257)=MIN(DAY('Recurring Schedule'!$F$39),DAY(EOMONTH($A257,0))),MOD((YEAR($A257)-YEAR('Recurring Schedule'!$F$39))*12+MONTH($A257)-MONTH('Recurring Schedule'!$F$39),'Recurring Schedule'!$O$39)=0),IF('Recurring Schedule'!$E$39="Weekdays",WEEKDAY($A257,2)&lt;=5,$A257='Recurring Schedule'!$F$39))),34,""))))</f>
        <v/>
      </c>
      <c r="AJ257">
        <f>IF('Recurring Schedule'!$C$40="","",IF('Recurring Schedule'!$F$40="","",IF(OR($A257&lt;'Recurring Schedule'!$F$40,$A257&gt;'Recurring Schedule'!$P$40),"",IF(IF('Recurring Schedule'!$N$40&gt;0,MOD($A257-'Recurring Schedule'!$F$40,'Recurring Schedule'!$N$40)=0,IF('Recurring Schedule'!$O$40&gt;0,AND(DAY($A257)=MIN(DAY('Recurring Schedule'!$F$40),DAY(EOMONTH($A257,0))),MOD((YEAR($A257)-YEAR('Recurring Schedule'!$F$40))*12+MONTH($A257)-MONTH('Recurring Schedule'!$F$40),'Recurring Schedule'!$O$40)=0),IF('Recurring Schedule'!$E$40="Weekdays",WEEKDAY($A257,2)&lt;=5,$A257='Recurring Schedule'!$F$40))),35,""))))</f>
        <v/>
      </c>
      <c r="AK257">
        <f>IF('Recurring Schedule'!$C$41="","",IF('Recurring Schedule'!$F$41="","",IF(OR($A257&lt;'Recurring Schedule'!$F$41,$A257&gt;'Recurring Schedule'!$P$41),"",IF(IF('Recurring Schedule'!$N$41&gt;0,MOD($A257-'Recurring Schedule'!$F$41,'Recurring Schedule'!$N$41)=0,IF('Recurring Schedule'!$O$41&gt;0,AND(DAY($A257)=MIN(DAY('Recurring Schedule'!$F$41),DAY(EOMONTH($A257,0))),MOD((YEAR($A257)-YEAR('Recurring Schedule'!$F$41))*12+MONTH($A257)-MONTH('Recurring Schedule'!$F$41),'Recurring Schedule'!$O$41)=0),IF('Recurring Schedule'!$E$41="Weekdays",WEEKDAY($A257,2)&lt;=5,$A257='Recurring Schedule'!$F$41))),36,""))))</f>
        <v/>
      </c>
      <c r="AL257">
        <f>IF('Recurring Schedule'!$C$42="","",IF('Recurring Schedule'!$F$42="","",IF(OR($A257&lt;'Recurring Schedule'!$F$42,$A257&gt;'Recurring Schedule'!$P$42),"",IF(IF('Recurring Schedule'!$N$42&gt;0,MOD($A257-'Recurring Schedule'!$F$42,'Recurring Schedule'!$N$42)=0,IF('Recurring Schedule'!$O$42&gt;0,AND(DAY($A257)=MIN(DAY('Recurring Schedule'!$F$42),DAY(EOMONTH($A257,0))),MOD((YEAR($A257)-YEAR('Recurring Schedule'!$F$42))*12+MONTH($A257)-MONTH('Recurring Schedule'!$F$42),'Recurring Schedule'!$O$42)=0),IF('Recurring Schedule'!$E$42="Weekdays",WEEKDAY($A257,2)&lt;=5,$A257='Recurring Schedule'!$F$42))),37,""))))</f>
        <v/>
      </c>
      <c r="AM257">
        <f>IF('Recurring Schedule'!$C$43="","",IF('Recurring Schedule'!$F$43="","",IF(OR($A257&lt;'Recurring Schedule'!$F$43,$A257&gt;'Recurring Schedule'!$P$43),"",IF(IF('Recurring Schedule'!$N$43&gt;0,MOD($A257-'Recurring Schedule'!$F$43,'Recurring Schedule'!$N$43)=0,IF('Recurring Schedule'!$O$43&gt;0,AND(DAY($A257)=MIN(DAY('Recurring Schedule'!$F$43),DAY(EOMONTH($A257,0))),MOD((YEAR($A257)-YEAR('Recurring Schedule'!$F$43))*12+MONTH($A257)-MONTH('Recurring Schedule'!$F$43),'Recurring Schedule'!$O$43)=0),IF('Recurring Schedule'!$E$43="Weekdays",WEEKDAY($A257,2)&lt;=5,$A257='Recurring Schedule'!$F$43))),38,""))))</f>
        <v/>
      </c>
      <c r="AN257">
        <f>IF('Recurring Schedule'!$C$44="","",IF('Recurring Schedule'!$F$44="","",IF(OR($A257&lt;'Recurring Schedule'!$F$44,$A257&gt;'Recurring Schedule'!$P$44),"",IF(IF('Recurring Schedule'!$N$44&gt;0,MOD($A257-'Recurring Schedule'!$F$44,'Recurring Schedule'!$N$44)=0,IF('Recurring Schedule'!$O$44&gt;0,AND(DAY($A257)=MIN(DAY('Recurring Schedule'!$F$44),DAY(EOMONTH($A257,0))),MOD((YEAR($A257)-YEAR('Recurring Schedule'!$F$44))*12+MONTH($A257)-MONTH('Recurring Schedule'!$F$44),'Recurring Schedule'!$O$44)=0),IF('Recurring Schedule'!$E$44="Weekdays",WEEKDAY($A257,2)&lt;=5,$A257='Recurring Schedule'!$F$44))),39,""))))</f>
        <v/>
      </c>
      <c r="AO257">
        <f>IF('Recurring Schedule'!$C$45="","",IF('Recurring Schedule'!$F$45="","",IF(OR($A257&lt;'Recurring Schedule'!$F$45,$A257&gt;'Recurring Schedule'!$P$45),"",IF(IF('Recurring Schedule'!$N$45&gt;0,MOD($A257-'Recurring Schedule'!$F$45,'Recurring Schedule'!$N$45)=0,IF('Recurring Schedule'!$O$45&gt;0,AND(DAY($A257)=MIN(DAY('Recurring Schedule'!$F$45),DAY(EOMONTH($A257,0))),MOD((YEAR($A257)-YEAR('Recurring Schedule'!$F$45))*12+MONTH($A257)-MONTH('Recurring Schedule'!$F$45),'Recurring Schedule'!$O$45)=0),IF('Recurring Schedule'!$E$45="Weekdays",WEEKDAY($A257,2)&lt;=5,$A257='Recurring Schedule'!$F$45))),40,""))))</f>
        <v/>
      </c>
      <c r="AP257">
        <f>COUNT(B257:AO257)</f>
        <v/>
      </c>
      <c r="AQ257">
        <f>AQ256+AP256</f>
        <v/>
      </c>
      <c r="AS257" t="inlineStr">
        <is>
          <t>R</t>
        </is>
      </c>
      <c r="AT257" t="n">
        <v>261</v>
      </c>
      <c r="AU257">
        <f>'Recurring Log'!C261&amp;""</f>
        <v/>
      </c>
      <c r="AV257">
        <f>'Recurring Log'!D261&amp;""</f>
        <v/>
      </c>
      <c r="AW257">
        <f>IF('Recurring Log'!E261="","",'Recurring Log'!E261)</f>
        <v/>
      </c>
      <c r="AX257">
        <f>IF('Recurring Log'!G261="","",'Recurring Log'!G261)</f>
        <v/>
      </c>
      <c r="AY257">
        <f>IF('Recurring Log'!H261="","",'Recurring Log'!H261)</f>
        <v/>
      </c>
      <c r="AZ257">
        <f>IF(AU257="","",IF('Recurring Log'!J261="","Not Started",'Recurring Log'!J261))</f>
        <v/>
      </c>
      <c r="BA257">
        <f>'Recurring Log'!L261&amp;""</f>
        <v/>
      </c>
      <c r="BB257">
        <f>'Recurring Log'!M261&amp;""</f>
        <v/>
      </c>
      <c r="BC257">
        <f>'Recurring Log'!N261&amp;""</f>
        <v/>
      </c>
      <c r="BD257">
        <f>'Recurring Log'!O261&amp;""</f>
        <v/>
      </c>
      <c r="BE257">
        <f>IF('Recurring Log'!K261="","",'Recurring Log'!K261)</f>
        <v/>
      </c>
      <c r="BF257">
        <f>IFERROR(MATCH(BA257,Setup!$L$6:$L$9,0),5)</f>
        <v/>
      </c>
      <c r="BG257">
        <f>IF(OR(AZ257="Done",AZ257="Cancelled"),1,0)</f>
        <v/>
      </c>
      <c r="BH257">
        <f>IF(AND(AU257&lt;&gt;"",ISNUMBER(AW257)),1,0)</f>
        <v/>
      </c>
      <c r="BI257">
        <f>IF(BH257=0,0,IF(AND(AW257&gt;='Tasks Filter'!$F$3,AW257&lt;='Tasks Filter'!$F$4,OR('Tasks Filter'!$I$3="",ISNUMBER(SEARCH('Tasks Filter'!$I$3,AU257))),OR('Tasks Filter'!$I$4="",BF257=IFERROR(MATCH('Tasks Filter'!$I$4,Setup!$L$6:$L$9,0),0)),OR('Tasks Filter'!$I$5="Both",AND('Tasks Filter'!$I$5="Yes",BB257="✓"),AND('Tasks Filter'!$I$5="No",BB257&lt;&gt;"✓")),OR('Tasks Filter'!$L$3="",AV257='Tasks Filter'!$L$3),OR('Tasks Filter'!$L$4="",AZ257='Tasks Filter'!$L$4),OR('Tasks Filter'!$L$5="",BC257='Tasks Filter'!$L$5),OR('Tasks Filter'!$O$3="",BD257='Tasks Filter'!$O$3),OR('Tasks Filter'!$O$4="Yes",BG257=0)),1,0))</f>
        <v/>
      </c>
      <c r="BJ257">
        <f>IF(BH257=0,"",IF('Tasks Filter'!$F$6="Descending",-1,1)*CHOOSE(MATCH('Tasks Filter'!$F$5,Lists!$G$2:$G$6,0),AW257,BF257,IFERROR(MATCH(AV257,Setup!$F$6:$F$15,0),99),IFERROR(MATCH(BC257,Setup!$H$6:$H$15,0),99),IFERROR(MATCH(AZ257,Setup!$J$6:$J$11,0),99))*1E+9+(AW257-40000)*10000+256)</f>
        <v/>
      </c>
      <c r="BK257">
        <f>IF(BI257=1,BJ257,"")</f>
        <v/>
      </c>
      <c r="BL257">
        <f>IF(AND(BH257=1,BG257=0,N(AW257)&lt;Setup!$D$7),(AW257-40000)*10000+256,"")</f>
        <v/>
      </c>
      <c r="BM257">
        <f>IF(AND(BH257=1,AZ257&lt;&gt;"Cancelled",N(AW257)&gt;=Dashboard!$AB$3,N(AW257)&lt;=Dashboard!$AB$3+6),(AW257-40000)*100000+BF257*10000+256,"")</f>
        <v/>
      </c>
      <c r="BN257">
        <f>IF(AND(BH257=1,AZ257&lt;&gt;"Cancelled"),BF257*10000+256,"")</f>
        <v/>
      </c>
    </row>
    <row r="258">
      <c r="A258">
        <f>Setup!$D$5+256</f>
        <v/>
      </c>
      <c r="B258">
        <f>IF('Recurring Schedule'!$C$6="","",IF('Recurring Schedule'!$F$6="","",IF(OR($A258&lt;'Recurring Schedule'!$F$6,$A258&gt;'Recurring Schedule'!$P$6),"",IF(IF('Recurring Schedule'!$N$6&gt;0,MOD($A258-'Recurring Schedule'!$F$6,'Recurring Schedule'!$N$6)=0,IF('Recurring Schedule'!$O$6&gt;0,AND(DAY($A258)=MIN(DAY('Recurring Schedule'!$F$6),DAY(EOMONTH($A258,0))),MOD((YEAR($A258)-YEAR('Recurring Schedule'!$F$6))*12+MONTH($A258)-MONTH('Recurring Schedule'!$F$6),'Recurring Schedule'!$O$6)=0),IF('Recurring Schedule'!$E$6="Weekdays",WEEKDAY($A258,2)&lt;=5,$A258='Recurring Schedule'!$F$6))),1,""))))</f>
        <v/>
      </c>
      <c r="C258">
        <f>IF('Recurring Schedule'!$C$7="","",IF('Recurring Schedule'!$F$7="","",IF(OR($A258&lt;'Recurring Schedule'!$F$7,$A258&gt;'Recurring Schedule'!$P$7),"",IF(IF('Recurring Schedule'!$N$7&gt;0,MOD($A258-'Recurring Schedule'!$F$7,'Recurring Schedule'!$N$7)=0,IF('Recurring Schedule'!$O$7&gt;0,AND(DAY($A258)=MIN(DAY('Recurring Schedule'!$F$7),DAY(EOMONTH($A258,0))),MOD((YEAR($A258)-YEAR('Recurring Schedule'!$F$7))*12+MONTH($A258)-MONTH('Recurring Schedule'!$F$7),'Recurring Schedule'!$O$7)=0),IF('Recurring Schedule'!$E$7="Weekdays",WEEKDAY($A258,2)&lt;=5,$A258='Recurring Schedule'!$F$7))),2,""))))</f>
        <v/>
      </c>
      <c r="D258">
        <f>IF('Recurring Schedule'!$C$8="","",IF('Recurring Schedule'!$F$8="","",IF(OR($A258&lt;'Recurring Schedule'!$F$8,$A258&gt;'Recurring Schedule'!$P$8),"",IF(IF('Recurring Schedule'!$N$8&gt;0,MOD($A258-'Recurring Schedule'!$F$8,'Recurring Schedule'!$N$8)=0,IF('Recurring Schedule'!$O$8&gt;0,AND(DAY($A258)=MIN(DAY('Recurring Schedule'!$F$8),DAY(EOMONTH($A258,0))),MOD((YEAR($A258)-YEAR('Recurring Schedule'!$F$8))*12+MONTH($A258)-MONTH('Recurring Schedule'!$F$8),'Recurring Schedule'!$O$8)=0),IF('Recurring Schedule'!$E$8="Weekdays",WEEKDAY($A258,2)&lt;=5,$A258='Recurring Schedule'!$F$8))),3,""))))</f>
        <v/>
      </c>
      <c r="E258">
        <f>IF('Recurring Schedule'!$C$9="","",IF('Recurring Schedule'!$F$9="","",IF(OR($A258&lt;'Recurring Schedule'!$F$9,$A258&gt;'Recurring Schedule'!$P$9),"",IF(IF('Recurring Schedule'!$N$9&gt;0,MOD($A258-'Recurring Schedule'!$F$9,'Recurring Schedule'!$N$9)=0,IF('Recurring Schedule'!$O$9&gt;0,AND(DAY($A258)=MIN(DAY('Recurring Schedule'!$F$9),DAY(EOMONTH($A258,0))),MOD((YEAR($A258)-YEAR('Recurring Schedule'!$F$9))*12+MONTH($A258)-MONTH('Recurring Schedule'!$F$9),'Recurring Schedule'!$O$9)=0),IF('Recurring Schedule'!$E$9="Weekdays",WEEKDAY($A258,2)&lt;=5,$A258='Recurring Schedule'!$F$9))),4,""))))</f>
        <v/>
      </c>
      <c r="F258">
        <f>IF('Recurring Schedule'!$C$10="","",IF('Recurring Schedule'!$F$10="","",IF(OR($A258&lt;'Recurring Schedule'!$F$10,$A258&gt;'Recurring Schedule'!$P$10),"",IF(IF('Recurring Schedule'!$N$10&gt;0,MOD($A258-'Recurring Schedule'!$F$10,'Recurring Schedule'!$N$10)=0,IF('Recurring Schedule'!$O$10&gt;0,AND(DAY($A258)=MIN(DAY('Recurring Schedule'!$F$10),DAY(EOMONTH($A258,0))),MOD((YEAR($A258)-YEAR('Recurring Schedule'!$F$10))*12+MONTH($A258)-MONTH('Recurring Schedule'!$F$10),'Recurring Schedule'!$O$10)=0),IF('Recurring Schedule'!$E$10="Weekdays",WEEKDAY($A258,2)&lt;=5,$A258='Recurring Schedule'!$F$10))),5,""))))</f>
        <v/>
      </c>
      <c r="G258">
        <f>IF('Recurring Schedule'!$C$11="","",IF('Recurring Schedule'!$F$11="","",IF(OR($A258&lt;'Recurring Schedule'!$F$11,$A258&gt;'Recurring Schedule'!$P$11),"",IF(IF('Recurring Schedule'!$N$11&gt;0,MOD($A258-'Recurring Schedule'!$F$11,'Recurring Schedule'!$N$11)=0,IF('Recurring Schedule'!$O$11&gt;0,AND(DAY($A258)=MIN(DAY('Recurring Schedule'!$F$11),DAY(EOMONTH($A258,0))),MOD((YEAR($A258)-YEAR('Recurring Schedule'!$F$11))*12+MONTH($A258)-MONTH('Recurring Schedule'!$F$11),'Recurring Schedule'!$O$11)=0),IF('Recurring Schedule'!$E$11="Weekdays",WEEKDAY($A258,2)&lt;=5,$A258='Recurring Schedule'!$F$11))),6,""))))</f>
        <v/>
      </c>
      <c r="H258">
        <f>IF('Recurring Schedule'!$C$12="","",IF('Recurring Schedule'!$F$12="","",IF(OR($A258&lt;'Recurring Schedule'!$F$12,$A258&gt;'Recurring Schedule'!$P$12),"",IF(IF('Recurring Schedule'!$N$12&gt;0,MOD($A258-'Recurring Schedule'!$F$12,'Recurring Schedule'!$N$12)=0,IF('Recurring Schedule'!$O$12&gt;0,AND(DAY($A258)=MIN(DAY('Recurring Schedule'!$F$12),DAY(EOMONTH($A258,0))),MOD((YEAR($A258)-YEAR('Recurring Schedule'!$F$12))*12+MONTH($A258)-MONTH('Recurring Schedule'!$F$12),'Recurring Schedule'!$O$12)=0),IF('Recurring Schedule'!$E$12="Weekdays",WEEKDAY($A258,2)&lt;=5,$A258='Recurring Schedule'!$F$12))),7,""))))</f>
        <v/>
      </c>
      <c r="I258">
        <f>IF('Recurring Schedule'!$C$13="","",IF('Recurring Schedule'!$F$13="","",IF(OR($A258&lt;'Recurring Schedule'!$F$13,$A258&gt;'Recurring Schedule'!$P$13),"",IF(IF('Recurring Schedule'!$N$13&gt;0,MOD($A258-'Recurring Schedule'!$F$13,'Recurring Schedule'!$N$13)=0,IF('Recurring Schedule'!$O$13&gt;0,AND(DAY($A258)=MIN(DAY('Recurring Schedule'!$F$13),DAY(EOMONTH($A258,0))),MOD((YEAR($A258)-YEAR('Recurring Schedule'!$F$13))*12+MONTH($A258)-MONTH('Recurring Schedule'!$F$13),'Recurring Schedule'!$O$13)=0),IF('Recurring Schedule'!$E$13="Weekdays",WEEKDAY($A258,2)&lt;=5,$A258='Recurring Schedule'!$F$13))),8,""))))</f>
        <v/>
      </c>
      <c r="J258">
        <f>IF('Recurring Schedule'!$C$14="","",IF('Recurring Schedule'!$F$14="","",IF(OR($A258&lt;'Recurring Schedule'!$F$14,$A258&gt;'Recurring Schedule'!$P$14),"",IF(IF('Recurring Schedule'!$N$14&gt;0,MOD($A258-'Recurring Schedule'!$F$14,'Recurring Schedule'!$N$14)=0,IF('Recurring Schedule'!$O$14&gt;0,AND(DAY($A258)=MIN(DAY('Recurring Schedule'!$F$14),DAY(EOMONTH($A258,0))),MOD((YEAR($A258)-YEAR('Recurring Schedule'!$F$14))*12+MONTH($A258)-MONTH('Recurring Schedule'!$F$14),'Recurring Schedule'!$O$14)=0),IF('Recurring Schedule'!$E$14="Weekdays",WEEKDAY($A258,2)&lt;=5,$A258='Recurring Schedule'!$F$14))),9,""))))</f>
        <v/>
      </c>
      <c r="K258">
        <f>IF('Recurring Schedule'!$C$15="","",IF('Recurring Schedule'!$F$15="","",IF(OR($A258&lt;'Recurring Schedule'!$F$15,$A258&gt;'Recurring Schedule'!$P$15),"",IF(IF('Recurring Schedule'!$N$15&gt;0,MOD($A258-'Recurring Schedule'!$F$15,'Recurring Schedule'!$N$15)=0,IF('Recurring Schedule'!$O$15&gt;0,AND(DAY($A258)=MIN(DAY('Recurring Schedule'!$F$15),DAY(EOMONTH($A258,0))),MOD((YEAR($A258)-YEAR('Recurring Schedule'!$F$15))*12+MONTH($A258)-MONTH('Recurring Schedule'!$F$15),'Recurring Schedule'!$O$15)=0),IF('Recurring Schedule'!$E$15="Weekdays",WEEKDAY($A258,2)&lt;=5,$A258='Recurring Schedule'!$F$15))),10,""))))</f>
        <v/>
      </c>
      <c r="L258">
        <f>IF('Recurring Schedule'!$C$16="","",IF('Recurring Schedule'!$F$16="","",IF(OR($A258&lt;'Recurring Schedule'!$F$16,$A258&gt;'Recurring Schedule'!$P$16),"",IF(IF('Recurring Schedule'!$N$16&gt;0,MOD($A258-'Recurring Schedule'!$F$16,'Recurring Schedule'!$N$16)=0,IF('Recurring Schedule'!$O$16&gt;0,AND(DAY($A258)=MIN(DAY('Recurring Schedule'!$F$16),DAY(EOMONTH($A258,0))),MOD((YEAR($A258)-YEAR('Recurring Schedule'!$F$16))*12+MONTH($A258)-MONTH('Recurring Schedule'!$F$16),'Recurring Schedule'!$O$16)=0),IF('Recurring Schedule'!$E$16="Weekdays",WEEKDAY($A258,2)&lt;=5,$A258='Recurring Schedule'!$F$16))),11,""))))</f>
        <v/>
      </c>
      <c r="M258">
        <f>IF('Recurring Schedule'!$C$17="","",IF('Recurring Schedule'!$F$17="","",IF(OR($A258&lt;'Recurring Schedule'!$F$17,$A258&gt;'Recurring Schedule'!$P$17),"",IF(IF('Recurring Schedule'!$N$17&gt;0,MOD($A258-'Recurring Schedule'!$F$17,'Recurring Schedule'!$N$17)=0,IF('Recurring Schedule'!$O$17&gt;0,AND(DAY($A258)=MIN(DAY('Recurring Schedule'!$F$17),DAY(EOMONTH($A258,0))),MOD((YEAR($A258)-YEAR('Recurring Schedule'!$F$17))*12+MONTH($A258)-MONTH('Recurring Schedule'!$F$17),'Recurring Schedule'!$O$17)=0),IF('Recurring Schedule'!$E$17="Weekdays",WEEKDAY($A258,2)&lt;=5,$A258='Recurring Schedule'!$F$17))),12,""))))</f>
        <v/>
      </c>
      <c r="N258">
        <f>IF('Recurring Schedule'!$C$18="","",IF('Recurring Schedule'!$F$18="","",IF(OR($A258&lt;'Recurring Schedule'!$F$18,$A258&gt;'Recurring Schedule'!$P$18),"",IF(IF('Recurring Schedule'!$N$18&gt;0,MOD($A258-'Recurring Schedule'!$F$18,'Recurring Schedule'!$N$18)=0,IF('Recurring Schedule'!$O$18&gt;0,AND(DAY($A258)=MIN(DAY('Recurring Schedule'!$F$18),DAY(EOMONTH($A258,0))),MOD((YEAR($A258)-YEAR('Recurring Schedule'!$F$18))*12+MONTH($A258)-MONTH('Recurring Schedule'!$F$18),'Recurring Schedule'!$O$18)=0),IF('Recurring Schedule'!$E$18="Weekdays",WEEKDAY($A258,2)&lt;=5,$A258='Recurring Schedule'!$F$18))),13,""))))</f>
        <v/>
      </c>
      <c r="O258">
        <f>IF('Recurring Schedule'!$C$19="","",IF('Recurring Schedule'!$F$19="","",IF(OR($A258&lt;'Recurring Schedule'!$F$19,$A258&gt;'Recurring Schedule'!$P$19),"",IF(IF('Recurring Schedule'!$N$19&gt;0,MOD($A258-'Recurring Schedule'!$F$19,'Recurring Schedule'!$N$19)=0,IF('Recurring Schedule'!$O$19&gt;0,AND(DAY($A258)=MIN(DAY('Recurring Schedule'!$F$19),DAY(EOMONTH($A258,0))),MOD((YEAR($A258)-YEAR('Recurring Schedule'!$F$19))*12+MONTH($A258)-MONTH('Recurring Schedule'!$F$19),'Recurring Schedule'!$O$19)=0),IF('Recurring Schedule'!$E$19="Weekdays",WEEKDAY($A258,2)&lt;=5,$A258='Recurring Schedule'!$F$19))),14,""))))</f>
        <v/>
      </c>
      <c r="P258">
        <f>IF('Recurring Schedule'!$C$20="","",IF('Recurring Schedule'!$F$20="","",IF(OR($A258&lt;'Recurring Schedule'!$F$20,$A258&gt;'Recurring Schedule'!$P$20),"",IF(IF('Recurring Schedule'!$N$20&gt;0,MOD($A258-'Recurring Schedule'!$F$20,'Recurring Schedule'!$N$20)=0,IF('Recurring Schedule'!$O$20&gt;0,AND(DAY($A258)=MIN(DAY('Recurring Schedule'!$F$20),DAY(EOMONTH($A258,0))),MOD((YEAR($A258)-YEAR('Recurring Schedule'!$F$20))*12+MONTH($A258)-MONTH('Recurring Schedule'!$F$20),'Recurring Schedule'!$O$20)=0),IF('Recurring Schedule'!$E$20="Weekdays",WEEKDAY($A258,2)&lt;=5,$A258='Recurring Schedule'!$F$20))),15,""))))</f>
        <v/>
      </c>
      <c r="Q258">
        <f>IF('Recurring Schedule'!$C$21="","",IF('Recurring Schedule'!$F$21="","",IF(OR($A258&lt;'Recurring Schedule'!$F$21,$A258&gt;'Recurring Schedule'!$P$21),"",IF(IF('Recurring Schedule'!$N$21&gt;0,MOD($A258-'Recurring Schedule'!$F$21,'Recurring Schedule'!$N$21)=0,IF('Recurring Schedule'!$O$21&gt;0,AND(DAY($A258)=MIN(DAY('Recurring Schedule'!$F$21),DAY(EOMONTH($A258,0))),MOD((YEAR($A258)-YEAR('Recurring Schedule'!$F$21))*12+MONTH($A258)-MONTH('Recurring Schedule'!$F$21),'Recurring Schedule'!$O$21)=0),IF('Recurring Schedule'!$E$21="Weekdays",WEEKDAY($A258,2)&lt;=5,$A258='Recurring Schedule'!$F$21))),16,""))))</f>
        <v/>
      </c>
      <c r="R258">
        <f>IF('Recurring Schedule'!$C$22="","",IF('Recurring Schedule'!$F$22="","",IF(OR($A258&lt;'Recurring Schedule'!$F$22,$A258&gt;'Recurring Schedule'!$P$22),"",IF(IF('Recurring Schedule'!$N$22&gt;0,MOD($A258-'Recurring Schedule'!$F$22,'Recurring Schedule'!$N$22)=0,IF('Recurring Schedule'!$O$22&gt;0,AND(DAY($A258)=MIN(DAY('Recurring Schedule'!$F$22),DAY(EOMONTH($A258,0))),MOD((YEAR($A258)-YEAR('Recurring Schedule'!$F$22))*12+MONTH($A258)-MONTH('Recurring Schedule'!$F$22),'Recurring Schedule'!$O$22)=0),IF('Recurring Schedule'!$E$22="Weekdays",WEEKDAY($A258,2)&lt;=5,$A258='Recurring Schedule'!$F$22))),17,""))))</f>
        <v/>
      </c>
      <c r="S258">
        <f>IF('Recurring Schedule'!$C$23="","",IF('Recurring Schedule'!$F$23="","",IF(OR($A258&lt;'Recurring Schedule'!$F$23,$A258&gt;'Recurring Schedule'!$P$23),"",IF(IF('Recurring Schedule'!$N$23&gt;0,MOD($A258-'Recurring Schedule'!$F$23,'Recurring Schedule'!$N$23)=0,IF('Recurring Schedule'!$O$23&gt;0,AND(DAY($A258)=MIN(DAY('Recurring Schedule'!$F$23),DAY(EOMONTH($A258,0))),MOD((YEAR($A258)-YEAR('Recurring Schedule'!$F$23))*12+MONTH($A258)-MONTH('Recurring Schedule'!$F$23),'Recurring Schedule'!$O$23)=0),IF('Recurring Schedule'!$E$23="Weekdays",WEEKDAY($A258,2)&lt;=5,$A258='Recurring Schedule'!$F$23))),18,""))))</f>
        <v/>
      </c>
      <c r="T258">
        <f>IF('Recurring Schedule'!$C$24="","",IF('Recurring Schedule'!$F$24="","",IF(OR($A258&lt;'Recurring Schedule'!$F$24,$A258&gt;'Recurring Schedule'!$P$24),"",IF(IF('Recurring Schedule'!$N$24&gt;0,MOD($A258-'Recurring Schedule'!$F$24,'Recurring Schedule'!$N$24)=0,IF('Recurring Schedule'!$O$24&gt;0,AND(DAY($A258)=MIN(DAY('Recurring Schedule'!$F$24),DAY(EOMONTH($A258,0))),MOD((YEAR($A258)-YEAR('Recurring Schedule'!$F$24))*12+MONTH($A258)-MONTH('Recurring Schedule'!$F$24),'Recurring Schedule'!$O$24)=0),IF('Recurring Schedule'!$E$24="Weekdays",WEEKDAY($A258,2)&lt;=5,$A258='Recurring Schedule'!$F$24))),19,""))))</f>
        <v/>
      </c>
      <c r="U258">
        <f>IF('Recurring Schedule'!$C$25="","",IF('Recurring Schedule'!$F$25="","",IF(OR($A258&lt;'Recurring Schedule'!$F$25,$A258&gt;'Recurring Schedule'!$P$25),"",IF(IF('Recurring Schedule'!$N$25&gt;0,MOD($A258-'Recurring Schedule'!$F$25,'Recurring Schedule'!$N$25)=0,IF('Recurring Schedule'!$O$25&gt;0,AND(DAY($A258)=MIN(DAY('Recurring Schedule'!$F$25),DAY(EOMONTH($A258,0))),MOD((YEAR($A258)-YEAR('Recurring Schedule'!$F$25))*12+MONTH($A258)-MONTH('Recurring Schedule'!$F$25),'Recurring Schedule'!$O$25)=0),IF('Recurring Schedule'!$E$25="Weekdays",WEEKDAY($A258,2)&lt;=5,$A258='Recurring Schedule'!$F$25))),20,""))))</f>
        <v/>
      </c>
      <c r="V258">
        <f>IF('Recurring Schedule'!$C$26="","",IF('Recurring Schedule'!$F$26="","",IF(OR($A258&lt;'Recurring Schedule'!$F$26,$A258&gt;'Recurring Schedule'!$P$26),"",IF(IF('Recurring Schedule'!$N$26&gt;0,MOD($A258-'Recurring Schedule'!$F$26,'Recurring Schedule'!$N$26)=0,IF('Recurring Schedule'!$O$26&gt;0,AND(DAY($A258)=MIN(DAY('Recurring Schedule'!$F$26),DAY(EOMONTH($A258,0))),MOD((YEAR($A258)-YEAR('Recurring Schedule'!$F$26))*12+MONTH($A258)-MONTH('Recurring Schedule'!$F$26),'Recurring Schedule'!$O$26)=0),IF('Recurring Schedule'!$E$26="Weekdays",WEEKDAY($A258,2)&lt;=5,$A258='Recurring Schedule'!$F$26))),21,""))))</f>
        <v/>
      </c>
      <c r="W258">
        <f>IF('Recurring Schedule'!$C$27="","",IF('Recurring Schedule'!$F$27="","",IF(OR($A258&lt;'Recurring Schedule'!$F$27,$A258&gt;'Recurring Schedule'!$P$27),"",IF(IF('Recurring Schedule'!$N$27&gt;0,MOD($A258-'Recurring Schedule'!$F$27,'Recurring Schedule'!$N$27)=0,IF('Recurring Schedule'!$O$27&gt;0,AND(DAY($A258)=MIN(DAY('Recurring Schedule'!$F$27),DAY(EOMONTH($A258,0))),MOD((YEAR($A258)-YEAR('Recurring Schedule'!$F$27))*12+MONTH($A258)-MONTH('Recurring Schedule'!$F$27),'Recurring Schedule'!$O$27)=0),IF('Recurring Schedule'!$E$27="Weekdays",WEEKDAY($A258,2)&lt;=5,$A258='Recurring Schedule'!$F$27))),22,""))))</f>
        <v/>
      </c>
      <c r="X258">
        <f>IF('Recurring Schedule'!$C$28="","",IF('Recurring Schedule'!$F$28="","",IF(OR($A258&lt;'Recurring Schedule'!$F$28,$A258&gt;'Recurring Schedule'!$P$28),"",IF(IF('Recurring Schedule'!$N$28&gt;0,MOD($A258-'Recurring Schedule'!$F$28,'Recurring Schedule'!$N$28)=0,IF('Recurring Schedule'!$O$28&gt;0,AND(DAY($A258)=MIN(DAY('Recurring Schedule'!$F$28),DAY(EOMONTH($A258,0))),MOD((YEAR($A258)-YEAR('Recurring Schedule'!$F$28))*12+MONTH($A258)-MONTH('Recurring Schedule'!$F$28),'Recurring Schedule'!$O$28)=0),IF('Recurring Schedule'!$E$28="Weekdays",WEEKDAY($A258,2)&lt;=5,$A258='Recurring Schedule'!$F$28))),23,""))))</f>
        <v/>
      </c>
      <c r="Y258">
        <f>IF('Recurring Schedule'!$C$29="","",IF('Recurring Schedule'!$F$29="","",IF(OR($A258&lt;'Recurring Schedule'!$F$29,$A258&gt;'Recurring Schedule'!$P$29),"",IF(IF('Recurring Schedule'!$N$29&gt;0,MOD($A258-'Recurring Schedule'!$F$29,'Recurring Schedule'!$N$29)=0,IF('Recurring Schedule'!$O$29&gt;0,AND(DAY($A258)=MIN(DAY('Recurring Schedule'!$F$29),DAY(EOMONTH($A258,0))),MOD((YEAR($A258)-YEAR('Recurring Schedule'!$F$29))*12+MONTH($A258)-MONTH('Recurring Schedule'!$F$29),'Recurring Schedule'!$O$29)=0),IF('Recurring Schedule'!$E$29="Weekdays",WEEKDAY($A258,2)&lt;=5,$A258='Recurring Schedule'!$F$29))),24,""))))</f>
        <v/>
      </c>
      <c r="Z258">
        <f>IF('Recurring Schedule'!$C$30="","",IF('Recurring Schedule'!$F$30="","",IF(OR($A258&lt;'Recurring Schedule'!$F$30,$A258&gt;'Recurring Schedule'!$P$30),"",IF(IF('Recurring Schedule'!$N$30&gt;0,MOD($A258-'Recurring Schedule'!$F$30,'Recurring Schedule'!$N$30)=0,IF('Recurring Schedule'!$O$30&gt;0,AND(DAY($A258)=MIN(DAY('Recurring Schedule'!$F$30),DAY(EOMONTH($A258,0))),MOD((YEAR($A258)-YEAR('Recurring Schedule'!$F$30))*12+MONTH($A258)-MONTH('Recurring Schedule'!$F$30),'Recurring Schedule'!$O$30)=0),IF('Recurring Schedule'!$E$30="Weekdays",WEEKDAY($A258,2)&lt;=5,$A258='Recurring Schedule'!$F$30))),25,""))))</f>
        <v/>
      </c>
      <c r="AA258">
        <f>IF('Recurring Schedule'!$C$31="","",IF('Recurring Schedule'!$F$31="","",IF(OR($A258&lt;'Recurring Schedule'!$F$31,$A258&gt;'Recurring Schedule'!$P$31),"",IF(IF('Recurring Schedule'!$N$31&gt;0,MOD($A258-'Recurring Schedule'!$F$31,'Recurring Schedule'!$N$31)=0,IF('Recurring Schedule'!$O$31&gt;0,AND(DAY($A258)=MIN(DAY('Recurring Schedule'!$F$31),DAY(EOMONTH($A258,0))),MOD((YEAR($A258)-YEAR('Recurring Schedule'!$F$31))*12+MONTH($A258)-MONTH('Recurring Schedule'!$F$31),'Recurring Schedule'!$O$31)=0),IF('Recurring Schedule'!$E$31="Weekdays",WEEKDAY($A258,2)&lt;=5,$A258='Recurring Schedule'!$F$31))),26,""))))</f>
        <v/>
      </c>
      <c r="AB258">
        <f>IF('Recurring Schedule'!$C$32="","",IF('Recurring Schedule'!$F$32="","",IF(OR($A258&lt;'Recurring Schedule'!$F$32,$A258&gt;'Recurring Schedule'!$P$32),"",IF(IF('Recurring Schedule'!$N$32&gt;0,MOD($A258-'Recurring Schedule'!$F$32,'Recurring Schedule'!$N$32)=0,IF('Recurring Schedule'!$O$32&gt;0,AND(DAY($A258)=MIN(DAY('Recurring Schedule'!$F$32),DAY(EOMONTH($A258,0))),MOD((YEAR($A258)-YEAR('Recurring Schedule'!$F$32))*12+MONTH($A258)-MONTH('Recurring Schedule'!$F$32),'Recurring Schedule'!$O$32)=0),IF('Recurring Schedule'!$E$32="Weekdays",WEEKDAY($A258,2)&lt;=5,$A258='Recurring Schedule'!$F$32))),27,""))))</f>
        <v/>
      </c>
      <c r="AC258">
        <f>IF('Recurring Schedule'!$C$33="","",IF('Recurring Schedule'!$F$33="","",IF(OR($A258&lt;'Recurring Schedule'!$F$33,$A258&gt;'Recurring Schedule'!$P$33),"",IF(IF('Recurring Schedule'!$N$33&gt;0,MOD($A258-'Recurring Schedule'!$F$33,'Recurring Schedule'!$N$33)=0,IF('Recurring Schedule'!$O$33&gt;0,AND(DAY($A258)=MIN(DAY('Recurring Schedule'!$F$33),DAY(EOMONTH($A258,0))),MOD((YEAR($A258)-YEAR('Recurring Schedule'!$F$33))*12+MONTH($A258)-MONTH('Recurring Schedule'!$F$33),'Recurring Schedule'!$O$33)=0),IF('Recurring Schedule'!$E$33="Weekdays",WEEKDAY($A258,2)&lt;=5,$A258='Recurring Schedule'!$F$33))),28,""))))</f>
        <v/>
      </c>
      <c r="AD258">
        <f>IF('Recurring Schedule'!$C$34="","",IF('Recurring Schedule'!$F$34="","",IF(OR($A258&lt;'Recurring Schedule'!$F$34,$A258&gt;'Recurring Schedule'!$P$34),"",IF(IF('Recurring Schedule'!$N$34&gt;0,MOD($A258-'Recurring Schedule'!$F$34,'Recurring Schedule'!$N$34)=0,IF('Recurring Schedule'!$O$34&gt;0,AND(DAY($A258)=MIN(DAY('Recurring Schedule'!$F$34),DAY(EOMONTH($A258,0))),MOD((YEAR($A258)-YEAR('Recurring Schedule'!$F$34))*12+MONTH($A258)-MONTH('Recurring Schedule'!$F$34),'Recurring Schedule'!$O$34)=0),IF('Recurring Schedule'!$E$34="Weekdays",WEEKDAY($A258,2)&lt;=5,$A258='Recurring Schedule'!$F$34))),29,""))))</f>
        <v/>
      </c>
      <c r="AE258">
        <f>IF('Recurring Schedule'!$C$35="","",IF('Recurring Schedule'!$F$35="","",IF(OR($A258&lt;'Recurring Schedule'!$F$35,$A258&gt;'Recurring Schedule'!$P$35),"",IF(IF('Recurring Schedule'!$N$35&gt;0,MOD($A258-'Recurring Schedule'!$F$35,'Recurring Schedule'!$N$35)=0,IF('Recurring Schedule'!$O$35&gt;0,AND(DAY($A258)=MIN(DAY('Recurring Schedule'!$F$35),DAY(EOMONTH($A258,0))),MOD((YEAR($A258)-YEAR('Recurring Schedule'!$F$35))*12+MONTH($A258)-MONTH('Recurring Schedule'!$F$35),'Recurring Schedule'!$O$35)=0),IF('Recurring Schedule'!$E$35="Weekdays",WEEKDAY($A258,2)&lt;=5,$A258='Recurring Schedule'!$F$35))),30,""))))</f>
        <v/>
      </c>
      <c r="AF258">
        <f>IF('Recurring Schedule'!$C$36="","",IF('Recurring Schedule'!$F$36="","",IF(OR($A258&lt;'Recurring Schedule'!$F$36,$A258&gt;'Recurring Schedule'!$P$36),"",IF(IF('Recurring Schedule'!$N$36&gt;0,MOD($A258-'Recurring Schedule'!$F$36,'Recurring Schedule'!$N$36)=0,IF('Recurring Schedule'!$O$36&gt;0,AND(DAY($A258)=MIN(DAY('Recurring Schedule'!$F$36),DAY(EOMONTH($A258,0))),MOD((YEAR($A258)-YEAR('Recurring Schedule'!$F$36))*12+MONTH($A258)-MONTH('Recurring Schedule'!$F$36),'Recurring Schedule'!$O$36)=0),IF('Recurring Schedule'!$E$36="Weekdays",WEEKDAY($A258,2)&lt;=5,$A258='Recurring Schedule'!$F$36))),31,""))))</f>
        <v/>
      </c>
      <c r="AG258">
        <f>IF('Recurring Schedule'!$C$37="","",IF('Recurring Schedule'!$F$37="","",IF(OR($A258&lt;'Recurring Schedule'!$F$37,$A258&gt;'Recurring Schedule'!$P$37),"",IF(IF('Recurring Schedule'!$N$37&gt;0,MOD($A258-'Recurring Schedule'!$F$37,'Recurring Schedule'!$N$37)=0,IF('Recurring Schedule'!$O$37&gt;0,AND(DAY($A258)=MIN(DAY('Recurring Schedule'!$F$37),DAY(EOMONTH($A258,0))),MOD((YEAR($A258)-YEAR('Recurring Schedule'!$F$37))*12+MONTH($A258)-MONTH('Recurring Schedule'!$F$37),'Recurring Schedule'!$O$37)=0),IF('Recurring Schedule'!$E$37="Weekdays",WEEKDAY($A258,2)&lt;=5,$A258='Recurring Schedule'!$F$37))),32,""))))</f>
        <v/>
      </c>
      <c r="AH258">
        <f>IF('Recurring Schedule'!$C$38="","",IF('Recurring Schedule'!$F$38="","",IF(OR($A258&lt;'Recurring Schedule'!$F$38,$A258&gt;'Recurring Schedule'!$P$38),"",IF(IF('Recurring Schedule'!$N$38&gt;0,MOD($A258-'Recurring Schedule'!$F$38,'Recurring Schedule'!$N$38)=0,IF('Recurring Schedule'!$O$38&gt;0,AND(DAY($A258)=MIN(DAY('Recurring Schedule'!$F$38),DAY(EOMONTH($A258,0))),MOD((YEAR($A258)-YEAR('Recurring Schedule'!$F$38))*12+MONTH($A258)-MONTH('Recurring Schedule'!$F$38),'Recurring Schedule'!$O$38)=0),IF('Recurring Schedule'!$E$38="Weekdays",WEEKDAY($A258,2)&lt;=5,$A258='Recurring Schedule'!$F$38))),33,""))))</f>
        <v/>
      </c>
      <c r="AI258">
        <f>IF('Recurring Schedule'!$C$39="","",IF('Recurring Schedule'!$F$39="","",IF(OR($A258&lt;'Recurring Schedule'!$F$39,$A258&gt;'Recurring Schedule'!$P$39),"",IF(IF('Recurring Schedule'!$N$39&gt;0,MOD($A258-'Recurring Schedule'!$F$39,'Recurring Schedule'!$N$39)=0,IF('Recurring Schedule'!$O$39&gt;0,AND(DAY($A258)=MIN(DAY('Recurring Schedule'!$F$39),DAY(EOMONTH($A258,0))),MOD((YEAR($A258)-YEAR('Recurring Schedule'!$F$39))*12+MONTH($A258)-MONTH('Recurring Schedule'!$F$39),'Recurring Schedule'!$O$39)=0),IF('Recurring Schedule'!$E$39="Weekdays",WEEKDAY($A258,2)&lt;=5,$A258='Recurring Schedule'!$F$39))),34,""))))</f>
        <v/>
      </c>
      <c r="AJ258">
        <f>IF('Recurring Schedule'!$C$40="","",IF('Recurring Schedule'!$F$40="","",IF(OR($A258&lt;'Recurring Schedule'!$F$40,$A258&gt;'Recurring Schedule'!$P$40),"",IF(IF('Recurring Schedule'!$N$40&gt;0,MOD($A258-'Recurring Schedule'!$F$40,'Recurring Schedule'!$N$40)=0,IF('Recurring Schedule'!$O$40&gt;0,AND(DAY($A258)=MIN(DAY('Recurring Schedule'!$F$40),DAY(EOMONTH($A258,0))),MOD((YEAR($A258)-YEAR('Recurring Schedule'!$F$40))*12+MONTH($A258)-MONTH('Recurring Schedule'!$F$40),'Recurring Schedule'!$O$40)=0),IF('Recurring Schedule'!$E$40="Weekdays",WEEKDAY($A258,2)&lt;=5,$A258='Recurring Schedule'!$F$40))),35,""))))</f>
        <v/>
      </c>
      <c r="AK258">
        <f>IF('Recurring Schedule'!$C$41="","",IF('Recurring Schedule'!$F$41="","",IF(OR($A258&lt;'Recurring Schedule'!$F$41,$A258&gt;'Recurring Schedule'!$P$41),"",IF(IF('Recurring Schedule'!$N$41&gt;0,MOD($A258-'Recurring Schedule'!$F$41,'Recurring Schedule'!$N$41)=0,IF('Recurring Schedule'!$O$41&gt;0,AND(DAY($A258)=MIN(DAY('Recurring Schedule'!$F$41),DAY(EOMONTH($A258,0))),MOD((YEAR($A258)-YEAR('Recurring Schedule'!$F$41))*12+MONTH($A258)-MONTH('Recurring Schedule'!$F$41),'Recurring Schedule'!$O$41)=0),IF('Recurring Schedule'!$E$41="Weekdays",WEEKDAY($A258,2)&lt;=5,$A258='Recurring Schedule'!$F$41))),36,""))))</f>
        <v/>
      </c>
      <c r="AL258">
        <f>IF('Recurring Schedule'!$C$42="","",IF('Recurring Schedule'!$F$42="","",IF(OR($A258&lt;'Recurring Schedule'!$F$42,$A258&gt;'Recurring Schedule'!$P$42),"",IF(IF('Recurring Schedule'!$N$42&gt;0,MOD($A258-'Recurring Schedule'!$F$42,'Recurring Schedule'!$N$42)=0,IF('Recurring Schedule'!$O$42&gt;0,AND(DAY($A258)=MIN(DAY('Recurring Schedule'!$F$42),DAY(EOMONTH($A258,0))),MOD((YEAR($A258)-YEAR('Recurring Schedule'!$F$42))*12+MONTH($A258)-MONTH('Recurring Schedule'!$F$42),'Recurring Schedule'!$O$42)=0),IF('Recurring Schedule'!$E$42="Weekdays",WEEKDAY($A258,2)&lt;=5,$A258='Recurring Schedule'!$F$42))),37,""))))</f>
        <v/>
      </c>
      <c r="AM258">
        <f>IF('Recurring Schedule'!$C$43="","",IF('Recurring Schedule'!$F$43="","",IF(OR($A258&lt;'Recurring Schedule'!$F$43,$A258&gt;'Recurring Schedule'!$P$43),"",IF(IF('Recurring Schedule'!$N$43&gt;0,MOD($A258-'Recurring Schedule'!$F$43,'Recurring Schedule'!$N$43)=0,IF('Recurring Schedule'!$O$43&gt;0,AND(DAY($A258)=MIN(DAY('Recurring Schedule'!$F$43),DAY(EOMONTH($A258,0))),MOD((YEAR($A258)-YEAR('Recurring Schedule'!$F$43))*12+MONTH($A258)-MONTH('Recurring Schedule'!$F$43),'Recurring Schedule'!$O$43)=0),IF('Recurring Schedule'!$E$43="Weekdays",WEEKDAY($A258,2)&lt;=5,$A258='Recurring Schedule'!$F$43))),38,""))))</f>
        <v/>
      </c>
      <c r="AN258">
        <f>IF('Recurring Schedule'!$C$44="","",IF('Recurring Schedule'!$F$44="","",IF(OR($A258&lt;'Recurring Schedule'!$F$44,$A258&gt;'Recurring Schedule'!$P$44),"",IF(IF('Recurring Schedule'!$N$44&gt;0,MOD($A258-'Recurring Schedule'!$F$44,'Recurring Schedule'!$N$44)=0,IF('Recurring Schedule'!$O$44&gt;0,AND(DAY($A258)=MIN(DAY('Recurring Schedule'!$F$44),DAY(EOMONTH($A258,0))),MOD((YEAR($A258)-YEAR('Recurring Schedule'!$F$44))*12+MONTH($A258)-MONTH('Recurring Schedule'!$F$44),'Recurring Schedule'!$O$44)=0),IF('Recurring Schedule'!$E$44="Weekdays",WEEKDAY($A258,2)&lt;=5,$A258='Recurring Schedule'!$F$44))),39,""))))</f>
        <v/>
      </c>
      <c r="AO258">
        <f>IF('Recurring Schedule'!$C$45="","",IF('Recurring Schedule'!$F$45="","",IF(OR($A258&lt;'Recurring Schedule'!$F$45,$A258&gt;'Recurring Schedule'!$P$45),"",IF(IF('Recurring Schedule'!$N$45&gt;0,MOD($A258-'Recurring Schedule'!$F$45,'Recurring Schedule'!$N$45)=0,IF('Recurring Schedule'!$O$45&gt;0,AND(DAY($A258)=MIN(DAY('Recurring Schedule'!$F$45),DAY(EOMONTH($A258,0))),MOD((YEAR($A258)-YEAR('Recurring Schedule'!$F$45))*12+MONTH($A258)-MONTH('Recurring Schedule'!$F$45),'Recurring Schedule'!$O$45)=0),IF('Recurring Schedule'!$E$45="Weekdays",WEEKDAY($A258,2)&lt;=5,$A258='Recurring Schedule'!$F$45))),40,""))))</f>
        <v/>
      </c>
      <c r="AP258">
        <f>COUNT(B258:AO258)</f>
        <v/>
      </c>
      <c r="AQ258">
        <f>AQ257+AP257</f>
        <v/>
      </c>
      <c r="AS258" t="inlineStr">
        <is>
          <t>R</t>
        </is>
      </c>
      <c r="AT258" t="n">
        <v>262</v>
      </c>
      <c r="AU258">
        <f>'Recurring Log'!C262&amp;""</f>
        <v/>
      </c>
      <c r="AV258">
        <f>'Recurring Log'!D262&amp;""</f>
        <v/>
      </c>
      <c r="AW258">
        <f>IF('Recurring Log'!E262="","",'Recurring Log'!E262)</f>
        <v/>
      </c>
      <c r="AX258">
        <f>IF('Recurring Log'!G262="","",'Recurring Log'!G262)</f>
        <v/>
      </c>
      <c r="AY258">
        <f>IF('Recurring Log'!H262="","",'Recurring Log'!H262)</f>
        <v/>
      </c>
      <c r="AZ258">
        <f>IF(AU258="","",IF('Recurring Log'!J262="","Not Started",'Recurring Log'!J262))</f>
        <v/>
      </c>
      <c r="BA258">
        <f>'Recurring Log'!L262&amp;""</f>
        <v/>
      </c>
      <c r="BB258">
        <f>'Recurring Log'!M262&amp;""</f>
        <v/>
      </c>
      <c r="BC258">
        <f>'Recurring Log'!N262&amp;""</f>
        <v/>
      </c>
      <c r="BD258">
        <f>'Recurring Log'!O262&amp;""</f>
        <v/>
      </c>
      <c r="BE258">
        <f>IF('Recurring Log'!K262="","",'Recurring Log'!K262)</f>
        <v/>
      </c>
      <c r="BF258">
        <f>IFERROR(MATCH(BA258,Setup!$L$6:$L$9,0),5)</f>
        <v/>
      </c>
      <c r="BG258">
        <f>IF(OR(AZ258="Done",AZ258="Cancelled"),1,0)</f>
        <v/>
      </c>
      <c r="BH258">
        <f>IF(AND(AU258&lt;&gt;"",ISNUMBER(AW258)),1,0)</f>
        <v/>
      </c>
      <c r="BI258">
        <f>IF(BH258=0,0,IF(AND(AW258&gt;='Tasks Filter'!$F$3,AW258&lt;='Tasks Filter'!$F$4,OR('Tasks Filter'!$I$3="",ISNUMBER(SEARCH('Tasks Filter'!$I$3,AU258))),OR('Tasks Filter'!$I$4="",BF258=IFERROR(MATCH('Tasks Filter'!$I$4,Setup!$L$6:$L$9,0),0)),OR('Tasks Filter'!$I$5="Both",AND('Tasks Filter'!$I$5="Yes",BB258="✓"),AND('Tasks Filter'!$I$5="No",BB258&lt;&gt;"✓")),OR('Tasks Filter'!$L$3="",AV258='Tasks Filter'!$L$3),OR('Tasks Filter'!$L$4="",AZ258='Tasks Filter'!$L$4),OR('Tasks Filter'!$L$5="",BC258='Tasks Filter'!$L$5),OR('Tasks Filter'!$O$3="",BD258='Tasks Filter'!$O$3),OR('Tasks Filter'!$O$4="Yes",BG258=0)),1,0))</f>
        <v/>
      </c>
      <c r="BJ258">
        <f>IF(BH258=0,"",IF('Tasks Filter'!$F$6="Descending",-1,1)*CHOOSE(MATCH('Tasks Filter'!$F$5,Lists!$G$2:$G$6,0),AW258,BF258,IFERROR(MATCH(AV258,Setup!$F$6:$F$15,0),99),IFERROR(MATCH(BC258,Setup!$H$6:$H$15,0),99),IFERROR(MATCH(AZ258,Setup!$J$6:$J$11,0),99))*1E+9+(AW258-40000)*10000+257)</f>
        <v/>
      </c>
      <c r="BK258">
        <f>IF(BI258=1,BJ258,"")</f>
        <v/>
      </c>
      <c r="BL258">
        <f>IF(AND(BH258=1,BG258=0,N(AW258)&lt;Setup!$D$7),(AW258-40000)*10000+257,"")</f>
        <v/>
      </c>
      <c r="BM258">
        <f>IF(AND(BH258=1,AZ258&lt;&gt;"Cancelled",N(AW258)&gt;=Dashboard!$AB$3,N(AW258)&lt;=Dashboard!$AB$3+6),(AW258-40000)*100000+BF258*10000+257,"")</f>
        <v/>
      </c>
      <c r="BN258">
        <f>IF(AND(BH258=1,AZ258&lt;&gt;"Cancelled"),BF258*10000+257,"")</f>
        <v/>
      </c>
    </row>
    <row r="259">
      <c r="A259">
        <f>Setup!$D$5+257</f>
        <v/>
      </c>
      <c r="B259">
        <f>IF('Recurring Schedule'!$C$6="","",IF('Recurring Schedule'!$F$6="","",IF(OR($A259&lt;'Recurring Schedule'!$F$6,$A259&gt;'Recurring Schedule'!$P$6),"",IF(IF('Recurring Schedule'!$N$6&gt;0,MOD($A259-'Recurring Schedule'!$F$6,'Recurring Schedule'!$N$6)=0,IF('Recurring Schedule'!$O$6&gt;0,AND(DAY($A259)=MIN(DAY('Recurring Schedule'!$F$6),DAY(EOMONTH($A259,0))),MOD((YEAR($A259)-YEAR('Recurring Schedule'!$F$6))*12+MONTH($A259)-MONTH('Recurring Schedule'!$F$6),'Recurring Schedule'!$O$6)=0),IF('Recurring Schedule'!$E$6="Weekdays",WEEKDAY($A259,2)&lt;=5,$A259='Recurring Schedule'!$F$6))),1,""))))</f>
        <v/>
      </c>
      <c r="C259">
        <f>IF('Recurring Schedule'!$C$7="","",IF('Recurring Schedule'!$F$7="","",IF(OR($A259&lt;'Recurring Schedule'!$F$7,$A259&gt;'Recurring Schedule'!$P$7),"",IF(IF('Recurring Schedule'!$N$7&gt;0,MOD($A259-'Recurring Schedule'!$F$7,'Recurring Schedule'!$N$7)=0,IF('Recurring Schedule'!$O$7&gt;0,AND(DAY($A259)=MIN(DAY('Recurring Schedule'!$F$7),DAY(EOMONTH($A259,0))),MOD((YEAR($A259)-YEAR('Recurring Schedule'!$F$7))*12+MONTH($A259)-MONTH('Recurring Schedule'!$F$7),'Recurring Schedule'!$O$7)=0),IF('Recurring Schedule'!$E$7="Weekdays",WEEKDAY($A259,2)&lt;=5,$A259='Recurring Schedule'!$F$7))),2,""))))</f>
        <v/>
      </c>
      <c r="D259">
        <f>IF('Recurring Schedule'!$C$8="","",IF('Recurring Schedule'!$F$8="","",IF(OR($A259&lt;'Recurring Schedule'!$F$8,$A259&gt;'Recurring Schedule'!$P$8),"",IF(IF('Recurring Schedule'!$N$8&gt;0,MOD($A259-'Recurring Schedule'!$F$8,'Recurring Schedule'!$N$8)=0,IF('Recurring Schedule'!$O$8&gt;0,AND(DAY($A259)=MIN(DAY('Recurring Schedule'!$F$8),DAY(EOMONTH($A259,0))),MOD((YEAR($A259)-YEAR('Recurring Schedule'!$F$8))*12+MONTH($A259)-MONTH('Recurring Schedule'!$F$8),'Recurring Schedule'!$O$8)=0),IF('Recurring Schedule'!$E$8="Weekdays",WEEKDAY($A259,2)&lt;=5,$A259='Recurring Schedule'!$F$8))),3,""))))</f>
        <v/>
      </c>
      <c r="E259">
        <f>IF('Recurring Schedule'!$C$9="","",IF('Recurring Schedule'!$F$9="","",IF(OR($A259&lt;'Recurring Schedule'!$F$9,$A259&gt;'Recurring Schedule'!$P$9),"",IF(IF('Recurring Schedule'!$N$9&gt;0,MOD($A259-'Recurring Schedule'!$F$9,'Recurring Schedule'!$N$9)=0,IF('Recurring Schedule'!$O$9&gt;0,AND(DAY($A259)=MIN(DAY('Recurring Schedule'!$F$9),DAY(EOMONTH($A259,0))),MOD((YEAR($A259)-YEAR('Recurring Schedule'!$F$9))*12+MONTH($A259)-MONTH('Recurring Schedule'!$F$9),'Recurring Schedule'!$O$9)=0),IF('Recurring Schedule'!$E$9="Weekdays",WEEKDAY($A259,2)&lt;=5,$A259='Recurring Schedule'!$F$9))),4,""))))</f>
        <v/>
      </c>
      <c r="F259">
        <f>IF('Recurring Schedule'!$C$10="","",IF('Recurring Schedule'!$F$10="","",IF(OR($A259&lt;'Recurring Schedule'!$F$10,$A259&gt;'Recurring Schedule'!$P$10),"",IF(IF('Recurring Schedule'!$N$10&gt;0,MOD($A259-'Recurring Schedule'!$F$10,'Recurring Schedule'!$N$10)=0,IF('Recurring Schedule'!$O$10&gt;0,AND(DAY($A259)=MIN(DAY('Recurring Schedule'!$F$10),DAY(EOMONTH($A259,0))),MOD((YEAR($A259)-YEAR('Recurring Schedule'!$F$10))*12+MONTH($A259)-MONTH('Recurring Schedule'!$F$10),'Recurring Schedule'!$O$10)=0),IF('Recurring Schedule'!$E$10="Weekdays",WEEKDAY($A259,2)&lt;=5,$A259='Recurring Schedule'!$F$10))),5,""))))</f>
        <v/>
      </c>
      <c r="G259">
        <f>IF('Recurring Schedule'!$C$11="","",IF('Recurring Schedule'!$F$11="","",IF(OR($A259&lt;'Recurring Schedule'!$F$11,$A259&gt;'Recurring Schedule'!$P$11),"",IF(IF('Recurring Schedule'!$N$11&gt;0,MOD($A259-'Recurring Schedule'!$F$11,'Recurring Schedule'!$N$11)=0,IF('Recurring Schedule'!$O$11&gt;0,AND(DAY($A259)=MIN(DAY('Recurring Schedule'!$F$11),DAY(EOMONTH($A259,0))),MOD((YEAR($A259)-YEAR('Recurring Schedule'!$F$11))*12+MONTH($A259)-MONTH('Recurring Schedule'!$F$11),'Recurring Schedule'!$O$11)=0),IF('Recurring Schedule'!$E$11="Weekdays",WEEKDAY($A259,2)&lt;=5,$A259='Recurring Schedule'!$F$11))),6,""))))</f>
        <v/>
      </c>
      <c r="H259">
        <f>IF('Recurring Schedule'!$C$12="","",IF('Recurring Schedule'!$F$12="","",IF(OR($A259&lt;'Recurring Schedule'!$F$12,$A259&gt;'Recurring Schedule'!$P$12),"",IF(IF('Recurring Schedule'!$N$12&gt;0,MOD($A259-'Recurring Schedule'!$F$12,'Recurring Schedule'!$N$12)=0,IF('Recurring Schedule'!$O$12&gt;0,AND(DAY($A259)=MIN(DAY('Recurring Schedule'!$F$12),DAY(EOMONTH($A259,0))),MOD((YEAR($A259)-YEAR('Recurring Schedule'!$F$12))*12+MONTH($A259)-MONTH('Recurring Schedule'!$F$12),'Recurring Schedule'!$O$12)=0),IF('Recurring Schedule'!$E$12="Weekdays",WEEKDAY($A259,2)&lt;=5,$A259='Recurring Schedule'!$F$12))),7,""))))</f>
        <v/>
      </c>
      <c r="I259">
        <f>IF('Recurring Schedule'!$C$13="","",IF('Recurring Schedule'!$F$13="","",IF(OR($A259&lt;'Recurring Schedule'!$F$13,$A259&gt;'Recurring Schedule'!$P$13),"",IF(IF('Recurring Schedule'!$N$13&gt;0,MOD($A259-'Recurring Schedule'!$F$13,'Recurring Schedule'!$N$13)=0,IF('Recurring Schedule'!$O$13&gt;0,AND(DAY($A259)=MIN(DAY('Recurring Schedule'!$F$13),DAY(EOMONTH($A259,0))),MOD((YEAR($A259)-YEAR('Recurring Schedule'!$F$13))*12+MONTH($A259)-MONTH('Recurring Schedule'!$F$13),'Recurring Schedule'!$O$13)=0),IF('Recurring Schedule'!$E$13="Weekdays",WEEKDAY($A259,2)&lt;=5,$A259='Recurring Schedule'!$F$13))),8,""))))</f>
        <v/>
      </c>
      <c r="J259">
        <f>IF('Recurring Schedule'!$C$14="","",IF('Recurring Schedule'!$F$14="","",IF(OR($A259&lt;'Recurring Schedule'!$F$14,$A259&gt;'Recurring Schedule'!$P$14),"",IF(IF('Recurring Schedule'!$N$14&gt;0,MOD($A259-'Recurring Schedule'!$F$14,'Recurring Schedule'!$N$14)=0,IF('Recurring Schedule'!$O$14&gt;0,AND(DAY($A259)=MIN(DAY('Recurring Schedule'!$F$14),DAY(EOMONTH($A259,0))),MOD((YEAR($A259)-YEAR('Recurring Schedule'!$F$14))*12+MONTH($A259)-MONTH('Recurring Schedule'!$F$14),'Recurring Schedule'!$O$14)=0),IF('Recurring Schedule'!$E$14="Weekdays",WEEKDAY($A259,2)&lt;=5,$A259='Recurring Schedule'!$F$14))),9,""))))</f>
        <v/>
      </c>
      <c r="K259">
        <f>IF('Recurring Schedule'!$C$15="","",IF('Recurring Schedule'!$F$15="","",IF(OR($A259&lt;'Recurring Schedule'!$F$15,$A259&gt;'Recurring Schedule'!$P$15),"",IF(IF('Recurring Schedule'!$N$15&gt;0,MOD($A259-'Recurring Schedule'!$F$15,'Recurring Schedule'!$N$15)=0,IF('Recurring Schedule'!$O$15&gt;0,AND(DAY($A259)=MIN(DAY('Recurring Schedule'!$F$15),DAY(EOMONTH($A259,0))),MOD((YEAR($A259)-YEAR('Recurring Schedule'!$F$15))*12+MONTH($A259)-MONTH('Recurring Schedule'!$F$15),'Recurring Schedule'!$O$15)=0),IF('Recurring Schedule'!$E$15="Weekdays",WEEKDAY($A259,2)&lt;=5,$A259='Recurring Schedule'!$F$15))),10,""))))</f>
        <v/>
      </c>
      <c r="L259">
        <f>IF('Recurring Schedule'!$C$16="","",IF('Recurring Schedule'!$F$16="","",IF(OR($A259&lt;'Recurring Schedule'!$F$16,$A259&gt;'Recurring Schedule'!$P$16),"",IF(IF('Recurring Schedule'!$N$16&gt;0,MOD($A259-'Recurring Schedule'!$F$16,'Recurring Schedule'!$N$16)=0,IF('Recurring Schedule'!$O$16&gt;0,AND(DAY($A259)=MIN(DAY('Recurring Schedule'!$F$16),DAY(EOMONTH($A259,0))),MOD((YEAR($A259)-YEAR('Recurring Schedule'!$F$16))*12+MONTH($A259)-MONTH('Recurring Schedule'!$F$16),'Recurring Schedule'!$O$16)=0),IF('Recurring Schedule'!$E$16="Weekdays",WEEKDAY($A259,2)&lt;=5,$A259='Recurring Schedule'!$F$16))),11,""))))</f>
        <v/>
      </c>
      <c r="M259">
        <f>IF('Recurring Schedule'!$C$17="","",IF('Recurring Schedule'!$F$17="","",IF(OR($A259&lt;'Recurring Schedule'!$F$17,$A259&gt;'Recurring Schedule'!$P$17),"",IF(IF('Recurring Schedule'!$N$17&gt;0,MOD($A259-'Recurring Schedule'!$F$17,'Recurring Schedule'!$N$17)=0,IF('Recurring Schedule'!$O$17&gt;0,AND(DAY($A259)=MIN(DAY('Recurring Schedule'!$F$17),DAY(EOMONTH($A259,0))),MOD((YEAR($A259)-YEAR('Recurring Schedule'!$F$17))*12+MONTH($A259)-MONTH('Recurring Schedule'!$F$17),'Recurring Schedule'!$O$17)=0),IF('Recurring Schedule'!$E$17="Weekdays",WEEKDAY($A259,2)&lt;=5,$A259='Recurring Schedule'!$F$17))),12,""))))</f>
        <v/>
      </c>
      <c r="N259">
        <f>IF('Recurring Schedule'!$C$18="","",IF('Recurring Schedule'!$F$18="","",IF(OR($A259&lt;'Recurring Schedule'!$F$18,$A259&gt;'Recurring Schedule'!$P$18),"",IF(IF('Recurring Schedule'!$N$18&gt;0,MOD($A259-'Recurring Schedule'!$F$18,'Recurring Schedule'!$N$18)=0,IF('Recurring Schedule'!$O$18&gt;0,AND(DAY($A259)=MIN(DAY('Recurring Schedule'!$F$18),DAY(EOMONTH($A259,0))),MOD((YEAR($A259)-YEAR('Recurring Schedule'!$F$18))*12+MONTH($A259)-MONTH('Recurring Schedule'!$F$18),'Recurring Schedule'!$O$18)=0),IF('Recurring Schedule'!$E$18="Weekdays",WEEKDAY($A259,2)&lt;=5,$A259='Recurring Schedule'!$F$18))),13,""))))</f>
        <v/>
      </c>
      <c r="O259">
        <f>IF('Recurring Schedule'!$C$19="","",IF('Recurring Schedule'!$F$19="","",IF(OR($A259&lt;'Recurring Schedule'!$F$19,$A259&gt;'Recurring Schedule'!$P$19),"",IF(IF('Recurring Schedule'!$N$19&gt;0,MOD($A259-'Recurring Schedule'!$F$19,'Recurring Schedule'!$N$19)=0,IF('Recurring Schedule'!$O$19&gt;0,AND(DAY($A259)=MIN(DAY('Recurring Schedule'!$F$19),DAY(EOMONTH($A259,0))),MOD((YEAR($A259)-YEAR('Recurring Schedule'!$F$19))*12+MONTH($A259)-MONTH('Recurring Schedule'!$F$19),'Recurring Schedule'!$O$19)=0),IF('Recurring Schedule'!$E$19="Weekdays",WEEKDAY($A259,2)&lt;=5,$A259='Recurring Schedule'!$F$19))),14,""))))</f>
        <v/>
      </c>
      <c r="P259">
        <f>IF('Recurring Schedule'!$C$20="","",IF('Recurring Schedule'!$F$20="","",IF(OR($A259&lt;'Recurring Schedule'!$F$20,$A259&gt;'Recurring Schedule'!$P$20),"",IF(IF('Recurring Schedule'!$N$20&gt;0,MOD($A259-'Recurring Schedule'!$F$20,'Recurring Schedule'!$N$20)=0,IF('Recurring Schedule'!$O$20&gt;0,AND(DAY($A259)=MIN(DAY('Recurring Schedule'!$F$20),DAY(EOMONTH($A259,0))),MOD((YEAR($A259)-YEAR('Recurring Schedule'!$F$20))*12+MONTH($A259)-MONTH('Recurring Schedule'!$F$20),'Recurring Schedule'!$O$20)=0),IF('Recurring Schedule'!$E$20="Weekdays",WEEKDAY($A259,2)&lt;=5,$A259='Recurring Schedule'!$F$20))),15,""))))</f>
        <v/>
      </c>
      <c r="Q259">
        <f>IF('Recurring Schedule'!$C$21="","",IF('Recurring Schedule'!$F$21="","",IF(OR($A259&lt;'Recurring Schedule'!$F$21,$A259&gt;'Recurring Schedule'!$P$21),"",IF(IF('Recurring Schedule'!$N$21&gt;0,MOD($A259-'Recurring Schedule'!$F$21,'Recurring Schedule'!$N$21)=0,IF('Recurring Schedule'!$O$21&gt;0,AND(DAY($A259)=MIN(DAY('Recurring Schedule'!$F$21),DAY(EOMONTH($A259,0))),MOD((YEAR($A259)-YEAR('Recurring Schedule'!$F$21))*12+MONTH($A259)-MONTH('Recurring Schedule'!$F$21),'Recurring Schedule'!$O$21)=0),IF('Recurring Schedule'!$E$21="Weekdays",WEEKDAY($A259,2)&lt;=5,$A259='Recurring Schedule'!$F$21))),16,""))))</f>
        <v/>
      </c>
      <c r="R259">
        <f>IF('Recurring Schedule'!$C$22="","",IF('Recurring Schedule'!$F$22="","",IF(OR($A259&lt;'Recurring Schedule'!$F$22,$A259&gt;'Recurring Schedule'!$P$22),"",IF(IF('Recurring Schedule'!$N$22&gt;0,MOD($A259-'Recurring Schedule'!$F$22,'Recurring Schedule'!$N$22)=0,IF('Recurring Schedule'!$O$22&gt;0,AND(DAY($A259)=MIN(DAY('Recurring Schedule'!$F$22),DAY(EOMONTH($A259,0))),MOD((YEAR($A259)-YEAR('Recurring Schedule'!$F$22))*12+MONTH($A259)-MONTH('Recurring Schedule'!$F$22),'Recurring Schedule'!$O$22)=0),IF('Recurring Schedule'!$E$22="Weekdays",WEEKDAY($A259,2)&lt;=5,$A259='Recurring Schedule'!$F$22))),17,""))))</f>
        <v/>
      </c>
      <c r="S259">
        <f>IF('Recurring Schedule'!$C$23="","",IF('Recurring Schedule'!$F$23="","",IF(OR($A259&lt;'Recurring Schedule'!$F$23,$A259&gt;'Recurring Schedule'!$P$23),"",IF(IF('Recurring Schedule'!$N$23&gt;0,MOD($A259-'Recurring Schedule'!$F$23,'Recurring Schedule'!$N$23)=0,IF('Recurring Schedule'!$O$23&gt;0,AND(DAY($A259)=MIN(DAY('Recurring Schedule'!$F$23),DAY(EOMONTH($A259,0))),MOD((YEAR($A259)-YEAR('Recurring Schedule'!$F$23))*12+MONTH($A259)-MONTH('Recurring Schedule'!$F$23),'Recurring Schedule'!$O$23)=0),IF('Recurring Schedule'!$E$23="Weekdays",WEEKDAY($A259,2)&lt;=5,$A259='Recurring Schedule'!$F$23))),18,""))))</f>
        <v/>
      </c>
      <c r="T259">
        <f>IF('Recurring Schedule'!$C$24="","",IF('Recurring Schedule'!$F$24="","",IF(OR($A259&lt;'Recurring Schedule'!$F$24,$A259&gt;'Recurring Schedule'!$P$24),"",IF(IF('Recurring Schedule'!$N$24&gt;0,MOD($A259-'Recurring Schedule'!$F$24,'Recurring Schedule'!$N$24)=0,IF('Recurring Schedule'!$O$24&gt;0,AND(DAY($A259)=MIN(DAY('Recurring Schedule'!$F$24),DAY(EOMONTH($A259,0))),MOD((YEAR($A259)-YEAR('Recurring Schedule'!$F$24))*12+MONTH($A259)-MONTH('Recurring Schedule'!$F$24),'Recurring Schedule'!$O$24)=0),IF('Recurring Schedule'!$E$24="Weekdays",WEEKDAY($A259,2)&lt;=5,$A259='Recurring Schedule'!$F$24))),19,""))))</f>
        <v/>
      </c>
      <c r="U259">
        <f>IF('Recurring Schedule'!$C$25="","",IF('Recurring Schedule'!$F$25="","",IF(OR($A259&lt;'Recurring Schedule'!$F$25,$A259&gt;'Recurring Schedule'!$P$25),"",IF(IF('Recurring Schedule'!$N$25&gt;0,MOD($A259-'Recurring Schedule'!$F$25,'Recurring Schedule'!$N$25)=0,IF('Recurring Schedule'!$O$25&gt;0,AND(DAY($A259)=MIN(DAY('Recurring Schedule'!$F$25),DAY(EOMONTH($A259,0))),MOD((YEAR($A259)-YEAR('Recurring Schedule'!$F$25))*12+MONTH($A259)-MONTH('Recurring Schedule'!$F$25),'Recurring Schedule'!$O$25)=0),IF('Recurring Schedule'!$E$25="Weekdays",WEEKDAY($A259,2)&lt;=5,$A259='Recurring Schedule'!$F$25))),20,""))))</f>
        <v/>
      </c>
      <c r="V259">
        <f>IF('Recurring Schedule'!$C$26="","",IF('Recurring Schedule'!$F$26="","",IF(OR($A259&lt;'Recurring Schedule'!$F$26,$A259&gt;'Recurring Schedule'!$P$26),"",IF(IF('Recurring Schedule'!$N$26&gt;0,MOD($A259-'Recurring Schedule'!$F$26,'Recurring Schedule'!$N$26)=0,IF('Recurring Schedule'!$O$26&gt;0,AND(DAY($A259)=MIN(DAY('Recurring Schedule'!$F$26),DAY(EOMONTH($A259,0))),MOD((YEAR($A259)-YEAR('Recurring Schedule'!$F$26))*12+MONTH($A259)-MONTH('Recurring Schedule'!$F$26),'Recurring Schedule'!$O$26)=0),IF('Recurring Schedule'!$E$26="Weekdays",WEEKDAY($A259,2)&lt;=5,$A259='Recurring Schedule'!$F$26))),21,""))))</f>
        <v/>
      </c>
      <c r="W259">
        <f>IF('Recurring Schedule'!$C$27="","",IF('Recurring Schedule'!$F$27="","",IF(OR($A259&lt;'Recurring Schedule'!$F$27,$A259&gt;'Recurring Schedule'!$P$27),"",IF(IF('Recurring Schedule'!$N$27&gt;0,MOD($A259-'Recurring Schedule'!$F$27,'Recurring Schedule'!$N$27)=0,IF('Recurring Schedule'!$O$27&gt;0,AND(DAY($A259)=MIN(DAY('Recurring Schedule'!$F$27),DAY(EOMONTH($A259,0))),MOD((YEAR($A259)-YEAR('Recurring Schedule'!$F$27))*12+MONTH($A259)-MONTH('Recurring Schedule'!$F$27),'Recurring Schedule'!$O$27)=0),IF('Recurring Schedule'!$E$27="Weekdays",WEEKDAY($A259,2)&lt;=5,$A259='Recurring Schedule'!$F$27))),22,""))))</f>
        <v/>
      </c>
      <c r="X259">
        <f>IF('Recurring Schedule'!$C$28="","",IF('Recurring Schedule'!$F$28="","",IF(OR($A259&lt;'Recurring Schedule'!$F$28,$A259&gt;'Recurring Schedule'!$P$28),"",IF(IF('Recurring Schedule'!$N$28&gt;0,MOD($A259-'Recurring Schedule'!$F$28,'Recurring Schedule'!$N$28)=0,IF('Recurring Schedule'!$O$28&gt;0,AND(DAY($A259)=MIN(DAY('Recurring Schedule'!$F$28),DAY(EOMONTH($A259,0))),MOD((YEAR($A259)-YEAR('Recurring Schedule'!$F$28))*12+MONTH($A259)-MONTH('Recurring Schedule'!$F$28),'Recurring Schedule'!$O$28)=0),IF('Recurring Schedule'!$E$28="Weekdays",WEEKDAY($A259,2)&lt;=5,$A259='Recurring Schedule'!$F$28))),23,""))))</f>
        <v/>
      </c>
      <c r="Y259">
        <f>IF('Recurring Schedule'!$C$29="","",IF('Recurring Schedule'!$F$29="","",IF(OR($A259&lt;'Recurring Schedule'!$F$29,$A259&gt;'Recurring Schedule'!$P$29),"",IF(IF('Recurring Schedule'!$N$29&gt;0,MOD($A259-'Recurring Schedule'!$F$29,'Recurring Schedule'!$N$29)=0,IF('Recurring Schedule'!$O$29&gt;0,AND(DAY($A259)=MIN(DAY('Recurring Schedule'!$F$29),DAY(EOMONTH($A259,0))),MOD((YEAR($A259)-YEAR('Recurring Schedule'!$F$29))*12+MONTH($A259)-MONTH('Recurring Schedule'!$F$29),'Recurring Schedule'!$O$29)=0),IF('Recurring Schedule'!$E$29="Weekdays",WEEKDAY($A259,2)&lt;=5,$A259='Recurring Schedule'!$F$29))),24,""))))</f>
        <v/>
      </c>
      <c r="Z259">
        <f>IF('Recurring Schedule'!$C$30="","",IF('Recurring Schedule'!$F$30="","",IF(OR($A259&lt;'Recurring Schedule'!$F$30,$A259&gt;'Recurring Schedule'!$P$30),"",IF(IF('Recurring Schedule'!$N$30&gt;0,MOD($A259-'Recurring Schedule'!$F$30,'Recurring Schedule'!$N$30)=0,IF('Recurring Schedule'!$O$30&gt;0,AND(DAY($A259)=MIN(DAY('Recurring Schedule'!$F$30),DAY(EOMONTH($A259,0))),MOD((YEAR($A259)-YEAR('Recurring Schedule'!$F$30))*12+MONTH($A259)-MONTH('Recurring Schedule'!$F$30),'Recurring Schedule'!$O$30)=0),IF('Recurring Schedule'!$E$30="Weekdays",WEEKDAY($A259,2)&lt;=5,$A259='Recurring Schedule'!$F$30))),25,""))))</f>
        <v/>
      </c>
      <c r="AA259">
        <f>IF('Recurring Schedule'!$C$31="","",IF('Recurring Schedule'!$F$31="","",IF(OR($A259&lt;'Recurring Schedule'!$F$31,$A259&gt;'Recurring Schedule'!$P$31),"",IF(IF('Recurring Schedule'!$N$31&gt;0,MOD($A259-'Recurring Schedule'!$F$31,'Recurring Schedule'!$N$31)=0,IF('Recurring Schedule'!$O$31&gt;0,AND(DAY($A259)=MIN(DAY('Recurring Schedule'!$F$31),DAY(EOMONTH($A259,0))),MOD((YEAR($A259)-YEAR('Recurring Schedule'!$F$31))*12+MONTH($A259)-MONTH('Recurring Schedule'!$F$31),'Recurring Schedule'!$O$31)=0),IF('Recurring Schedule'!$E$31="Weekdays",WEEKDAY($A259,2)&lt;=5,$A259='Recurring Schedule'!$F$31))),26,""))))</f>
        <v/>
      </c>
      <c r="AB259">
        <f>IF('Recurring Schedule'!$C$32="","",IF('Recurring Schedule'!$F$32="","",IF(OR($A259&lt;'Recurring Schedule'!$F$32,$A259&gt;'Recurring Schedule'!$P$32),"",IF(IF('Recurring Schedule'!$N$32&gt;0,MOD($A259-'Recurring Schedule'!$F$32,'Recurring Schedule'!$N$32)=0,IF('Recurring Schedule'!$O$32&gt;0,AND(DAY($A259)=MIN(DAY('Recurring Schedule'!$F$32),DAY(EOMONTH($A259,0))),MOD((YEAR($A259)-YEAR('Recurring Schedule'!$F$32))*12+MONTH($A259)-MONTH('Recurring Schedule'!$F$32),'Recurring Schedule'!$O$32)=0),IF('Recurring Schedule'!$E$32="Weekdays",WEEKDAY($A259,2)&lt;=5,$A259='Recurring Schedule'!$F$32))),27,""))))</f>
        <v/>
      </c>
      <c r="AC259">
        <f>IF('Recurring Schedule'!$C$33="","",IF('Recurring Schedule'!$F$33="","",IF(OR($A259&lt;'Recurring Schedule'!$F$33,$A259&gt;'Recurring Schedule'!$P$33),"",IF(IF('Recurring Schedule'!$N$33&gt;0,MOD($A259-'Recurring Schedule'!$F$33,'Recurring Schedule'!$N$33)=0,IF('Recurring Schedule'!$O$33&gt;0,AND(DAY($A259)=MIN(DAY('Recurring Schedule'!$F$33),DAY(EOMONTH($A259,0))),MOD((YEAR($A259)-YEAR('Recurring Schedule'!$F$33))*12+MONTH($A259)-MONTH('Recurring Schedule'!$F$33),'Recurring Schedule'!$O$33)=0),IF('Recurring Schedule'!$E$33="Weekdays",WEEKDAY($A259,2)&lt;=5,$A259='Recurring Schedule'!$F$33))),28,""))))</f>
        <v/>
      </c>
      <c r="AD259">
        <f>IF('Recurring Schedule'!$C$34="","",IF('Recurring Schedule'!$F$34="","",IF(OR($A259&lt;'Recurring Schedule'!$F$34,$A259&gt;'Recurring Schedule'!$P$34),"",IF(IF('Recurring Schedule'!$N$34&gt;0,MOD($A259-'Recurring Schedule'!$F$34,'Recurring Schedule'!$N$34)=0,IF('Recurring Schedule'!$O$34&gt;0,AND(DAY($A259)=MIN(DAY('Recurring Schedule'!$F$34),DAY(EOMONTH($A259,0))),MOD((YEAR($A259)-YEAR('Recurring Schedule'!$F$34))*12+MONTH($A259)-MONTH('Recurring Schedule'!$F$34),'Recurring Schedule'!$O$34)=0),IF('Recurring Schedule'!$E$34="Weekdays",WEEKDAY($A259,2)&lt;=5,$A259='Recurring Schedule'!$F$34))),29,""))))</f>
        <v/>
      </c>
      <c r="AE259">
        <f>IF('Recurring Schedule'!$C$35="","",IF('Recurring Schedule'!$F$35="","",IF(OR($A259&lt;'Recurring Schedule'!$F$35,$A259&gt;'Recurring Schedule'!$P$35),"",IF(IF('Recurring Schedule'!$N$35&gt;0,MOD($A259-'Recurring Schedule'!$F$35,'Recurring Schedule'!$N$35)=0,IF('Recurring Schedule'!$O$35&gt;0,AND(DAY($A259)=MIN(DAY('Recurring Schedule'!$F$35),DAY(EOMONTH($A259,0))),MOD((YEAR($A259)-YEAR('Recurring Schedule'!$F$35))*12+MONTH($A259)-MONTH('Recurring Schedule'!$F$35),'Recurring Schedule'!$O$35)=0),IF('Recurring Schedule'!$E$35="Weekdays",WEEKDAY($A259,2)&lt;=5,$A259='Recurring Schedule'!$F$35))),30,""))))</f>
        <v/>
      </c>
      <c r="AF259">
        <f>IF('Recurring Schedule'!$C$36="","",IF('Recurring Schedule'!$F$36="","",IF(OR($A259&lt;'Recurring Schedule'!$F$36,$A259&gt;'Recurring Schedule'!$P$36),"",IF(IF('Recurring Schedule'!$N$36&gt;0,MOD($A259-'Recurring Schedule'!$F$36,'Recurring Schedule'!$N$36)=0,IF('Recurring Schedule'!$O$36&gt;0,AND(DAY($A259)=MIN(DAY('Recurring Schedule'!$F$36),DAY(EOMONTH($A259,0))),MOD((YEAR($A259)-YEAR('Recurring Schedule'!$F$36))*12+MONTH($A259)-MONTH('Recurring Schedule'!$F$36),'Recurring Schedule'!$O$36)=0),IF('Recurring Schedule'!$E$36="Weekdays",WEEKDAY($A259,2)&lt;=5,$A259='Recurring Schedule'!$F$36))),31,""))))</f>
        <v/>
      </c>
      <c r="AG259">
        <f>IF('Recurring Schedule'!$C$37="","",IF('Recurring Schedule'!$F$37="","",IF(OR($A259&lt;'Recurring Schedule'!$F$37,$A259&gt;'Recurring Schedule'!$P$37),"",IF(IF('Recurring Schedule'!$N$37&gt;0,MOD($A259-'Recurring Schedule'!$F$37,'Recurring Schedule'!$N$37)=0,IF('Recurring Schedule'!$O$37&gt;0,AND(DAY($A259)=MIN(DAY('Recurring Schedule'!$F$37),DAY(EOMONTH($A259,0))),MOD((YEAR($A259)-YEAR('Recurring Schedule'!$F$37))*12+MONTH($A259)-MONTH('Recurring Schedule'!$F$37),'Recurring Schedule'!$O$37)=0),IF('Recurring Schedule'!$E$37="Weekdays",WEEKDAY($A259,2)&lt;=5,$A259='Recurring Schedule'!$F$37))),32,""))))</f>
        <v/>
      </c>
      <c r="AH259">
        <f>IF('Recurring Schedule'!$C$38="","",IF('Recurring Schedule'!$F$38="","",IF(OR($A259&lt;'Recurring Schedule'!$F$38,$A259&gt;'Recurring Schedule'!$P$38),"",IF(IF('Recurring Schedule'!$N$38&gt;0,MOD($A259-'Recurring Schedule'!$F$38,'Recurring Schedule'!$N$38)=0,IF('Recurring Schedule'!$O$38&gt;0,AND(DAY($A259)=MIN(DAY('Recurring Schedule'!$F$38),DAY(EOMONTH($A259,0))),MOD((YEAR($A259)-YEAR('Recurring Schedule'!$F$38))*12+MONTH($A259)-MONTH('Recurring Schedule'!$F$38),'Recurring Schedule'!$O$38)=0),IF('Recurring Schedule'!$E$38="Weekdays",WEEKDAY($A259,2)&lt;=5,$A259='Recurring Schedule'!$F$38))),33,""))))</f>
        <v/>
      </c>
      <c r="AI259">
        <f>IF('Recurring Schedule'!$C$39="","",IF('Recurring Schedule'!$F$39="","",IF(OR($A259&lt;'Recurring Schedule'!$F$39,$A259&gt;'Recurring Schedule'!$P$39),"",IF(IF('Recurring Schedule'!$N$39&gt;0,MOD($A259-'Recurring Schedule'!$F$39,'Recurring Schedule'!$N$39)=0,IF('Recurring Schedule'!$O$39&gt;0,AND(DAY($A259)=MIN(DAY('Recurring Schedule'!$F$39),DAY(EOMONTH($A259,0))),MOD((YEAR($A259)-YEAR('Recurring Schedule'!$F$39))*12+MONTH($A259)-MONTH('Recurring Schedule'!$F$39),'Recurring Schedule'!$O$39)=0),IF('Recurring Schedule'!$E$39="Weekdays",WEEKDAY($A259,2)&lt;=5,$A259='Recurring Schedule'!$F$39))),34,""))))</f>
        <v/>
      </c>
      <c r="AJ259">
        <f>IF('Recurring Schedule'!$C$40="","",IF('Recurring Schedule'!$F$40="","",IF(OR($A259&lt;'Recurring Schedule'!$F$40,$A259&gt;'Recurring Schedule'!$P$40),"",IF(IF('Recurring Schedule'!$N$40&gt;0,MOD($A259-'Recurring Schedule'!$F$40,'Recurring Schedule'!$N$40)=0,IF('Recurring Schedule'!$O$40&gt;0,AND(DAY($A259)=MIN(DAY('Recurring Schedule'!$F$40),DAY(EOMONTH($A259,0))),MOD((YEAR($A259)-YEAR('Recurring Schedule'!$F$40))*12+MONTH($A259)-MONTH('Recurring Schedule'!$F$40),'Recurring Schedule'!$O$40)=0),IF('Recurring Schedule'!$E$40="Weekdays",WEEKDAY($A259,2)&lt;=5,$A259='Recurring Schedule'!$F$40))),35,""))))</f>
        <v/>
      </c>
      <c r="AK259">
        <f>IF('Recurring Schedule'!$C$41="","",IF('Recurring Schedule'!$F$41="","",IF(OR($A259&lt;'Recurring Schedule'!$F$41,$A259&gt;'Recurring Schedule'!$P$41),"",IF(IF('Recurring Schedule'!$N$41&gt;0,MOD($A259-'Recurring Schedule'!$F$41,'Recurring Schedule'!$N$41)=0,IF('Recurring Schedule'!$O$41&gt;0,AND(DAY($A259)=MIN(DAY('Recurring Schedule'!$F$41),DAY(EOMONTH($A259,0))),MOD((YEAR($A259)-YEAR('Recurring Schedule'!$F$41))*12+MONTH($A259)-MONTH('Recurring Schedule'!$F$41),'Recurring Schedule'!$O$41)=0),IF('Recurring Schedule'!$E$41="Weekdays",WEEKDAY($A259,2)&lt;=5,$A259='Recurring Schedule'!$F$41))),36,""))))</f>
        <v/>
      </c>
      <c r="AL259">
        <f>IF('Recurring Schedule'!$C$42="","",IF('Recurring Schedule'!$F$42="","",IF(OR($A259&lt;'Recurring Schedule'!$F$42,$A259&gt;'Recurring Schedule'!$P$42),"",IF(IF('Recurring Schedule'!$N$42&gt;0,MOD($A259-'Recurring Schedule'!$F$42,'Recurring Schedule'!$N$42)=0,IF('Recurring Schedule'!$O$42&gt;0,AND(DAY($A259)=MIN(DAY('Recurring Schedule'!$F$42),DAY(EOMONTH($A259,0))),MOD((YEAR($A259)-YEAR('Recurring Schedule'!$F$42))*12+MONTH($A259)-MONTH('Recurring Schedule'!$F$42),'Recurring Schedule'!$O$42)=0),IF('Recurring Schedule'!$E$42="Weekdays",WEEKDAY($A259,2)&lt;=5,$A259='Recurring Schedule'!$F$42))),37,""))))</f>
        <v/>
      </c>
      <c r="AM259">
        <f>IF('Recurring Schedule'!$C$43="","",IF('Recurring Schedule'!$F$43="","",IF(OR($A259&lt;'Recurring Schedule'!$F$43,$A259&gt;'Recurring Schedule'!$P$43),"",IF(IF('Recurring Schedule'!$N$43&gt;0,MOD($A259-'Recurring Schedule'!$F$43,'Recurring Schedule'!$N$43)=0,IF('Recurring Schedule'!$O$43&gt;0,AND(DAY($A259)=MIN(DAY('Recurring Schedule'!$F$43),DAY(EOMONTH($A259,0))),MOD((YEAR($A259)-YEAR('Recurring Schedule'!$F$43))*12+MONTH($A259)-MONTH('Recurring Schedule'!$F$43),'Recurring Schedule'!$O$43)=0),IF('Recurring Schedule'!$E$43="Weekdays",WEEKDAY($A259,2)&lt;=5,$A259='Recurring Schedule'!$F$43))),38,""))))</f>
        <v/>
      </c>
      <c r="AN259">
        <f>IF('Recurring Schedule'!$C$44="","",IF('Recurring Schedule'!$F$44="","",IF(OR($A259&lt;'Recurring Schedule'!$F$44,$A259&gt;'Recurring Schedule'!$P$44),"",IF(IF('Recurring Schedule'!$N$44&gt;0,MOD($A259-'Recurring Schedule'!$F$44,'Recurring Schedule'!$N$44)=0,IF('Recurring Schedule'!$O$44&gt;0,AND(DAY($A259)=MIN(DAY('Recurring Schedule'!$F$44),DAY(EOMONTH($A259,0))),MOD((YEAR($A259)-YEAR('Recurring Schedule'!$F$44))*12+MONTH($A259)-MONTH('Recurring Schedule'!$F$44),'Recurring Schedule'!$O$44)=0),IF('Recurring Schedule'!$E$44="Weekdays",WEEKDAY($A259,2)&lt;=5,$A259='Recurring Schedule'!$F$44))),39,""))))</f>
        <v/>
      </c>
      <c r="AO259">
        <f>IF('Recurring Schedule'!$C$45="","",IF('Recurring Schedule'!$F$45="","",IF(OR($A259&lt;'Recurring Schedule'!$F$45,$A259&gt;'Recurring Schedule'!$P$45),"",IF(IF('Recurring Schedule'!$N$45&gt;0,MOD($A259-'Recurring Schedule'!$F$45,'Recurring Schedule'!$N$45)=0,IF('Recurring Schedule'!$O$45&gt;0,AND(DAY($A259)=MIN(DAY('Recurring Schedule'!$F$45),DAY(EOMONTH($A259,0))),MOD((YEAR($A259)-YEAR('Recurring Schedule'!$F$45))*12+MONTH($A259)-MONTH('Recurring Schedule'!$F$45),'Recurring Schedule'!$O$45)=0),IF('Recurring Schedule'!$E$45="Weekdays",WEEKDAY($A259,2)&lt;=5,$A259='Recurring Schedule'!$F$45))),40,""))))</f>
        <v/>
      </c>
      <c r="AP259">
        <f>COUNT(B259:AO259)</f>
        <v/>
      </c>
      <c r="AQ259">
        <f>AQ258+AP258</f>
        <v/>
      </c>
      <c r="AS259" t="inlineStr">
        <is>
          <t>R</t>
        </is>
      </c>
      <c r="AT259" t="n">
        <v>263</v>
      </c>
      <c r="AU259">
        <f>'Recurring Log'!C263&amp;""</f>
        <v/>
      </c>
      <c r="AV259">
        <f>'Recurring Log'!D263&amp;""</f>
        <v/>
      </c>
      <c r="AW259">
        <f>IF('Recurring Log'!E263="","",'Recurring Log'!E263)</f>
        <v/>
      </c>
      <c r="AX259">
        <f>IF('Recurring Log'!G263="","",'Recurring Log'!G263)</f>
        <v/>
      </c>
      <c r="AY259">
        <f>IF('Recurring Log'!H263="","",'Recurring Log'!H263)</f>
        <v/>
      </c>
      <c r="AZ259">
        <f>IF(AU259="","",IF('Recurring Log'!J263="","Not Started",'Recurring Log'!J263))</f>
        <v/>
      </c>
      <c r="BA259">
        <f>'Recurring Log'!L263&amp;""</f>
        <v/>
      </c>
      <c r="BB259">
        <f>'Recurring Log'!M263&amp;""</f>
        <v/>
      </c>
      <c r="BC259">
        <f>'Recurring Log'!N263&amp;""</f>
        <v/>
      </c>
      <c r="BD259">
        <f>'Recurring Log'!O263&amp;""</f>
        <v/>
      </c>
      <c r="BE259">
        <f>IF('Recurring Log'!K263="","",'Recurring Log'!K263)</f>
        <v/>
      </c>
      <c r="BF259">
        <f>IFERROR(MATCH(BA259,Setup!$L$6:$L$9,0),5)</f>
        <v/>
      </c>
      <c r="BG259">
        <f>IF(OR(AZ259="Done",AZ259="Cancelled"),1,0)</f>
        <v/>
      </c>
      <c r="BH259">
        <f>IF(AND(AU259&lt;&gt;"",ISNUMBER(AW259)),1,0)</f>
        <v/>
      </c>
      <c r="BI259">
        <f>IF(BH259=0,0,IF(AND(AW259&gt;='Tasks Filter'!$F$3,AW259&lt;='Tasks Filter'!$F$4,OR('Tasks Filter'!$I$3="",ISNUMBER(SEARCH('Tasks Filter'!$I$3,AU259))),OR('Tasks Filter'!$I$4="",BF259=IFERROR(MATCH('Tasks Filter'!$I$4,Setup!$L$6:$L$9,0),0)),OR('Tasks Filter'!$I$5="Both",AND('Tasks Filter'!$I$5="Yes",BB259="✓"),AND('Tasks Filter'!$I$5="No",BB259&lt;&gt;"✓")),OR('Tasks Filter'!$L$3="",AV259='Tasks Filter'!$L$3),OR('Tasks Filter'!$L$4="",AZ259='Tasks Filter'!$L$4),OR('Tasks Filter'!$L$5="",BC259='Tasks Filter'!$L$5),OR('Tasks Filter'!$O$3="",BD259='Tasks Filter'!$O$3),OR('Tasks Filter'!$O$4="Yes",BG259=0)),1,0))</f>
        <v/>
      </c>
      <c r="BJ259">
        <f>IF(BH259=0,"",IF('Tasks Filter'!$F$6="Descending",-1,1)*CHOOSE(MATCH('Tasks Filter'!$F$5,Lists!$G$2:$G$6,0),AW259,BF259,IFERROR(MATCH(AV259,Setup!$F$6:$F$15,0),99),IFERROR(MATCH(BC259,Setup!$H$6:$H$15,0),99),IFERROR(MATCH(AZ259,Setup!$J$6:$J$11,0),99))*1E+9+(AW259-40000)*10000+258)</f>
        <v/>
      </c>
      <c r="BK259">
        <f>IF(BI259=1,BJ259,"")</f>
        <v/>
      </c>
      <c r="BL259">
        <f>IF(AND(BH259=1,BG259=0,N(AW259)&lt;Setup!$D$7),(AW259-40000)*10000+258,"")</f>
        <v/>
      </c>
      <c r="BM259">
        <f>IF(AND(BH259=1,AZ259&lt;&gt;"Cancelled",N(AW259)&gt;=Dashboard!$AB$3,N(AW259)&lt;=Dashboard!$AB$3+6),(AW259-40000)*100000+BF259*10000+258,"")</f>
        <v/>
      </c>
      <c r="BN259">
        <f>IF(AND(BH259=1,AZ259&lt;&gt;"Cancelled"),BF259*10000+258,"")</f>
        <v/>
      </c>
    </row>
    <row r="260">
      <c r="A260">
        <f>Setup!$D$5+258</f>
        <v/>
      </c>
      <c r="B260">
        <f>IF('Recurring Schedule'!$C$6="","",IF('Recurring Schedule'!$F$6="","",IF(OR($A260&lt;'Recurring Schedule'!$F$6,$A260&gt;'Recurring Schedule'!$P$6),"",IF(IF('Recurring Schedule'!$N$6&gt;0,MOD($A260-'Recurring Schedule'!$F$6,'Recurring Schedule'!$N$6)=0,IF('Recurring Schedule'!$O$6&gt;0,AND(DAY($A260)=MIN(DAY('Recurring Schedule'!$F$6),DAY(EOMONTH($A260,0))),MOD((YEAR($A260)-YEAR('Recurring Schedule'!$F$6))*12+MONTH($A260)-MONTH('Recurring Schedule'!$F$6),'Recurring Schedule'!$O$6)=0),IF('Recurring Schedule'!$E$6="Weekdays",WEEKDAY($A260,2)&lt;=5,$A260='Recurring Schedule'!$F$6))),1,""))))</f>
        <v/>
      </c>
      <c r="C260">
        <f>IF('Recurring Schedule'!$C$7="","",IF('Recurring Schedule'!$F$7="","",IF(OR($A260&lt;'Recurring Schedule'!$F$7,$A260&gt;'Recurring Schedule'!$P$7),"",IF(IF('Recurring Schedule'!$N$7&gt;0,MOD($A260-'Recurring Schedule'!$F$7,'Recurring Schedule'!$N$7)=0,IF('Recurring Schedule'!$O$7&gt;0,AND(DAY($A260)=MIN(DAY('Recurring Schedule'!$F$7),DAY(EOMONTH($A260,0))),MOD((YEAR($A260)-YEAR('Recurring Schedule'!$F$7))*12+MONTH($A260)-MONTH('Recurring Schedule'!$F$7),'Recurring Schedule'!$O$7)=0),IF('Recurring Schedule'!$E$7="Weekdays",WEEKDAY($A260,2)&lt;=5,$A260='Recurring Schedule'!$F$7))),2,""))))</f>
        <v/>
      </c>
      <c r="D260">
        <f>IF('Recurring Schedule'!$C$8="","",IF('Recurring Schedule'!$F$8="","",IF(OR($A260&lt;'Recurring Schedule'!$F$8,$A260&gt;'Recurring Schedule'!$P$8),"",IF(IF('Recurring Schedule'!$N$8&gt;0,MOD($A260-'Recurring Schedule'!$F$8,'Recurring Schedule'!$N$8)=0,IF('Recurring Schedule'!$O$8&gt;0,AND(DAY($A260)=MIN(DAY('Recurring Schedule'!$F$8),DAY(EOMONTH($A260,0))),MOD((YEAR($A260)-YEAR('Recurring Schedule'!$F$8))*12+MONTH($A260)-MONTH('Recurring Schedule'!$F$8),'Recurring Schedule'!$O$8)=0),IF('Recurring Schedule'!$E$8="Weekdays",WEEKDAY($A260,2)&lt;=5,$A260='Recurring Schedule'!$F$8))),3,""))))</f>
        <v/>
      </c>
      <c r="E260">
        <f>IF('Recurring Schedule'!$C$9="","",IF('Recurring Schedule'!$F$9="","",IF(OR($A260&lt;'Recurring Schedule'!$F$9,$A260&gt;'Recurring Schedule'!$P$9),"",IF(IF('Recurring Schedule'!$N$9&gt;0,MOD($A260-'Recurring Schedule'!$F$9,'Recurring Schedule'!$N$9)=0,IF('Recurring Schedule'!$O$9&gt;0,AND(DAY($A260)=MIN(DAY('Recurring Schedule'!$F$9),DAY(EOMONTH($A260,0))),MOD((YEAR($A260)-YEAR('Recurring Schedule'!$F$9))*12+MONTH($A260)-MONTH('Recurring Schedule'!$F$9),'Recurring Schedule'!$O$9)=0),IF('Recurring Schedule'!$E$9="Weekdays",WEEKDAY($A260,2)&lt;=5,$A260='Recurring Schedule'!$F$9))),4,""))))</f>
        <v/>
      </c>
      <c r="F260">
        <f>IF('Recurring Schedule'!$C$10="","",IF('Recurring Schedule'!$F$10="","",IF(OR($A260&lt;'Recurring Schedule'!$F$10,$A260&gt;'Recurring Schedule'!$P$10),"",IF(IF('Recurring Schedule'!$N$10&gt;0,MOD($A260-'Recurring Schedule'!$F$10,'Recurring Schedule'!$N$10)=0,IF('Recurring Schedule'!$O$10&gt;0,AND(DAY($A260)=MIN(DAY('Recurring Schedule'!$F$10),DAY(EOMONTH($A260,0))),MOD((YEAR($A260)-YEAR('Recurring Schedule'!$F$10))*12+MONTH($A260)-MONTH('Recurring Schedule'!$F$10),'Recurring Schedule'!$O$10)=0),IF('Recurring Schedule'!$E$10="Weekdays",WEEKDAY($A260,2)&lt;=5,$A260='Recurring Schedule'!$F$10))),5,""))))</f>
        <v/>
      </c>
      <c r="G260">
        <f>IF('Recurring Schedule'!$C$11="","",IF('Recurring Schedule'!$F$11="","",IF(OR($A260&lt;'Recurring Schedule'!$F$11,$A260&gt;'Recurring Schedule'!$P$11),"",IF(IF('Recurring Schedule'!$N$11&gt;0,MOD($A260-'Recurring Schedule'!$F$11,'Recurring Schedule'!$N$11)=0,IF('Recurring Schedule'!$O$11&gt;0,AND(DAY($A260)=MIN(DAY('Recurring Schedule'!$F$11),DAY(EOMONTH($A260,0))),MOD((YEAR($A260)-YEAR('Recurring Schedule'!$F$11))*12+MONTH($A260)-MONTH('Recurring Schedule'!$F$11),'Recurring Schedule'!$O$11)=0),IF('Recurring Schedule'!$E$11="Weekdays",WEEKDAY($A260,2)&lt;=5,$A260='Recurring Schedule'!$F$11))),6,""))))</f>
        <v/>
      </c>
      <c r="H260">
        <f>IF('Recurring Schedule'!$C$12="","",IF('Recurring Schedule'!$F$12="","",IF(OR($A260&lt;'Recurring Schedule'!$F$12,$A260&gt;'Recurring Schedule'!$P$12),"",IF(IF('Recurring Schedule'!$N$12&gt;0,MOD($A260-'Recurring Schedule'!$F$12,'Recurring Schedule'!$N$12)=0,IF('Recurring Schedule'!$O$12&gt;0,AND(DAY($A260)=MIN(DAY('Recurring Schedule'!$F$12),DAY(EOMONTH($A260,0))),MOD((YEAR($A260)-YEAR('Recurring Schedule'!$F$12))*12+MONTH($A260)-MONTH('Recurring Schedule'!$F$12),'Recurring Schedule'!$O$12)=0),IF('Recurring Schedule'!$E$12="Weekdays",WEEKDAY($A260,2)&lt;=5,$A260='Recurring Schedule'!$F$12))),7,""))))</f>
        <v/>
      </c>
      <c r="I260">
        <f>IF('Recurring Schedule'!$C$13="","",IF('Recurring Schedule'!$F$13="","",IF(OR($A260&lt;'Recurring Schedule'!$F$13,$A260&gt;'Recurring Schedule'!$P$13),"",IF(IF('Recurring Schedule'!$N$13&gt;0,MOD($A260-'Recurring Schedule'!$F$13,'Recurring Schedule'!$N$13)=0,IF('Recurring Schedule'!$O$13&gt;0,AND(DAY($A260)=MIN(DAY('Recurring Schedule'!$F$13),DAY(EOMONTH($A260,0))),MOD((YEAR($A260)-YEAR('Recurring Schedule'!$F$13))*12+MONTH($A260)-MONTH('Recurring Schedule'!$F$13),'Recurring Schedule'!$O$13)=0),IF('Recurring Schedule'!$E$13="Weekdays",WEEKDAY($A260,2)&lt;=5,$A260='Recurring Schedule'!$F$13))),8,""))))</f>
        <v/>
      </c>
      <c r="J260">
        <f>IF('Recurring Schedule'!$C$14="","",IF('Recurring Schedule'!$F$14="","",IF(OR($A260&lt;'Recurring Schedule'!$F$14,$A260&gt;'Recurring Schedule'!$P$14),"",IF(IF('Recurring Schedule'!$N$14&gt;0,MOD($A260-'Recurring Schedule'!$F$14,'Recurring Schedule'!$N$14)=0,IF('Recurring Schedule'!$O$14&gt;0,AND(DAY($A260)=MIN(DAY('Recurring Schedule'!$F$14),DAY(EOMONTH($A260,0))),MOD((YEAR($A260)-YEAR('Recurring Schedule'!$F$14))*12+MONTH($A260)-MONTH('Recurring Schedule'!$F$14),'Recurring Schedule'!$O$14)=0),IF('Recurring Schedule'!$E$14="Weekdays",WEEKDAY($A260,2)&lt;=5,$A260='Recurring Schedule'!$F$14))),9,""))))</f>
        <v/>
      </c>
      <c r="K260">
        <f>IF('Recurring Schedule'!$C$15="","",IF('Recurring Schedule'!$F$15="","",IF(OR($A260&lt;'Recurring Schedule'!$F$15,$A260&gt;'Recurring Schedule'!$P$15),"",IF(IF('Recurring Schedule'!$N$15&gt;0,MOD($A260-'Recurring Schedule'!$F$15,'Recurring Schedule'!$N$15)=0,IF('Recurring Schedule'!$O$15&gt;0,AND(DAY($A260)=MIN(DAY('Recurring Schedule'!$F$15),DAY(EOMONTH($A260,0))),MOD((YEAR($A260)-YEAR('Recurring Schedule'!$F$15))*12+MONTH($A260)-MONTH('Recurring Schedule'!$F$15),'Recurring Schedule'!$O$15)=0),IF('Recurring Schedule'!$E$15="Weekdays",WEEKDAY($A260,2)&lt;=5,$A260='Recurring Schedule'!$F$15))),10,""))))</f>
        <v/>
      </c>
      <c r="L260">
        <f>IF('Recurring Schedule'!$C$16="","",IF('Recurring Schedule'!$F$16="","",IF(OR($A260&lt;'Recurring Schedule'!$F$16,$A260&gt;'Recurring Schedule'!$P$16),"",IF(IF('Recurring Schedule'!$N$16&gt;0,MOD($A260-'Recurring Schedule'!$F$16,'Recurring Schedule'!$N$16)=0,IF('Recurring Schedule'!$O$16&gt;0,AND(DAY($A260)=MIN(DAY('Recurring Schedule'!$F$16),DAY(EOMONTH($A260,0))),MOD((YEAR($A260)-YEAR('Recurring Schedule'!$F$16))*12+MONTH($A260)-MONTH('Recurring Schedule'!$F$16),'Recurring Schedule'!$O$16)=0),IF('Recurring Schedule'!$E$16="Weekdays",WEEKDAY($A260,2)&lt;=5,$A260='Recurring Schedule'!$F$16))),11,""))))</f>
        <v/>
      </c>
      <c r="M260">
        <f>IF('Recurring Schedule'!$C$17="","",IF('Recurring Schedule'!$F$17="","",IF(OR($A260&lt;'Recurring Schedule'!$F$17,$A260&gt;'Recurring Schedule'!$P$17),"",IF(IF('Recurring Schedule'!$N$17&gt;0,MOD($A260-'Recurring Schedule'!$F$17,'Recurring Schedule'!$N$17)=0,IF('Recurring Schedule'!$O$17&gt;0,AND(DAY($A260)=MIN(DAY('Recurring Schedule'!$F$17),DAY(EOMONTH($A260,0))),MOD((YEAR($A260)-YEAR('Recurring Schedule'!$F$17))*12+MONTH($A260)-MONTH('Recurring Schedule'!$F$17),'Recurring Schedule'!$O$17)=0),IF('Recurring Schedule'!$E$17="Weekdays",WEEKDAY($A260,2)&lt;=5,$A260='Recurring Schedule'!$F$17))),12,""))))</f>
        <v/>
      </c>
      <c r="N260">
        <f>IF('Recurring Schedule'!$C$18="","",IF('Recurring Schedule'!$F$18="","",IF(OR($A260&lt;'Recurring Schedule'!$F$18,$A260&gt;'Recurring Schedule'!$P$18),"",IF(IF('Recurring Schedule'!$N$18&gt;0,MOD($A260-'Recurring Schedule'!$F$18,'Recurring Schedule'!$N$18)=0,IF('Recurring Schedule'!$O$18&gt;0,AND(DAY($A260)=MIN(DAY('Recurring Schedule'!$F$18),DAY(EOMONTH($A260,0))),MOD((YEAR($A260)-YEAR('Recurring Schedule'!$F$18))*12+MONTH($A260)-MONTH('Recurring Schedule'!$F$18),'Recurring Schedule'!$O$18)=0),IF('Recurring Schedule'!$E$18="Weekdays",WEEKDAY($A260,2)&lt;=5,$A260='Recurring Schedule'!$F$18))),13,""))))</f>
        <v/>
      </c>
      <c r="O260">
        <f>IF('Recurring Schedule'!$C$19="","",IF('Recurring Schedule'!$F$19="","",IF(OR($A260&lt;'Recurring Schedule'!$F$19,$A260&gt;'Recurring Schedule'!$P$19),"",IF(IF('Recurring Schedule'!$N$19&gt;0,MOD($A260-'Recurring Schedule'!$F$19,'Recurring Schedule'!$N$19)=0,IF('Recurring Schedule'!$O$19&gt;0,AND(DAY($A260)=MIN(DAY('Recurring Schedule'!$F$19),DAY(EOMONTH($A260,0))),MOD((YEAR($A260)-YEAR('Recurring Schedule'!$F$19))*12+MONTH($A260)-MONTH('Recurring Schedule'!$F$19),'Recurring Schedule'!$O$19)=0),IF('Recurring Schedule'!$E$19="Weekdays",WEEKDAY($A260,2)&lt;=5,$A260='Recurring Schedule'!$F$19))),14,""))))</f>
        <v/>
      </c>
      <c r="P260">
        <f>IF('Recurring Schedule'!$C$20="","",IF('Recurring Schedule'!$F$20="","",IF(OR($A260&lt;'Recurring Schedule'!$F$20,$A260&gt;'Recurring Schedule'!$P$20),"",IF(IF('Recurring Schedule'!$N$20&gt;0,MOD($A260-'Recurring Schedule'!$F$20,'Recurring Schedule'!$N$20)=0,IF('Recurring Schedule'!$O$20&gt;0,AND(DAY($A260)=MIN(DAY('Recurring Schedule'!$F$20),DAY(EOMONTH($A260,0))),MOD((YEAR($A260)-YEAR('Recurring Schedule'!$F$20))*12+MONTH($A260)-MONTH('Recurring Schedule'!$F$20),'Recurring Schedule'!$O$20)=0),IF('Recurring Schedule'!$E$20="Weekdays",WEEKDAY($A260,2)&lt;=5,$A260='Recurring Schedule'!$F$20))),15,""))))</f>
        <v/>
      </c>
      <c r="Q260">
        <f>IF('Recurring Schedule'!$C$21="","",IF('Recurring Schedule'!$F$21="","",IF(OR($A260&lt;'Recurring Schedule'!$F$21,$A260&gt;'Recurring Schedule'!$P$21),"",IF(IF('Recurring Schedule'!$N$21&gt;0,MOD($A260-'Recurring Schedule'!$F$21,'Recurring Schedule'!$N$21)=0,IF('Recurring Schedule'!$O$21&gt;0,AND(DAY($A260)=MIN(DAY('Recurring Schedule'!$F$21),DAY(EOMONTH($A260,0))),MOD((YEAR($A260)-YEAR('Recurring Schedule'!$F$21))*12+MONTH($A260)-MONTH('Recurring Schedule'!$F$21),'Recurring Schedule'!$O$21)=0),IF('Recurring Schedule'!$E$21="Weekdays",WEEKDAY($A260,2)&lt;=5,$A260='Recurring Schedule'!$F$21))),16,""))))</f>
        <v/>
      </c>
      <c r="R260">
        <f>IF('Recurring Schedule'!$C$22="","",IF('Recurring Schedule'!$F$22="","",IF(OR($A260&lt;'Recurring Schedule'!$F$22,$A260&gt;'Recurring Schedule'!$P$22),"",IF(IF('Recurring Schedule'!$N$22&gt;0,MOD($A260-'Recurring Schedule'!$F$22,'Recurring Schedule'!$N$22)=0,IF('Recurring Schedule'!$O$22&gt;0,AND(DAY($A260)=MIN(DAY('Recurring Schedule'!$F$22),DAY(EOMONTH($A260,0))),MOD((YEAR($A260)-YEAR('Recurring Schedule'!$F$22))*12+MONTH($A260)-MONTH('Recurring Schedule'!$F$22),'Recurring Schedule'!$O$22)=0),IF('Recurring Schedule'!$E$22="Weekdays",WEEKDAY($A260,2)&lt;=5,$A260='Recurring Schedule'!$F$22))),17,""))))</f>
        <v/>
      </c>
      <c r="S260">
        <f>IF('Recurring Schedule'!$C$23="","",IF('Recurring Schedule'!$F$23="","",IF(OR($A260&lt;'Recurring Schedule'!$F$23,$A260&gt;'Recurring Schedule'!$P$23),"",IF(IF('Recurring Schedule'!$N$23&gt;0,MOD($A260-'Recurring Schedule'!$F$23,'Recurring Schedule'!$N$23)=0,IF('Recurring Schedule'!$O$23&gt;0,AND(DAY($A260)=MIN(DAY('Recurring Schedule'!$F$23),DAY(EOMONTH($A260,0))),MOD((YEAR($A260)-YEAR('Recurring Schedule'!$F$23))*12+MONTH($A260)-MONTH('Recurring Schedule'!$F$23),'Recurring Schedule'!$O$23)=0),IF('Recurring Schedule'!$E$23="Weekdays",WEEKDAY($A260,2)&lt;=5,$A260='Recurring Schedule'!$F$23))),18,""))))</f>
        <v/>
      </c>
      <c r="T260">
        <f>IF('Recurring Schedule'!$C$24="","",IF('Recurring Schedule'!$F$24="","",IF(OR($A260&lt;'Recurring Schedule'!$F$24,$A260&gt;'Recurring Schedule'!$P$24),"",IF(IF('Recurring Schedule'!$N$24&gt;0,MOD($A260-'Recurring Schedule'!$F$24,'Recurring Schedule'!$N$24)=0,IF('Recurring Schedule'!$O$24&gt;0,AND(DAY($A260)=MIN(DAY('Recurring Schedule'!$F$24),DAY(EOMONTH($A260,0))),MOD((YEAR($A260)-YEAR('Recurring Schedule'!$F$24))*12+MONTH($A260)-MONTH('Recurring Schedule'!$F$24),'Recurring Schedule'!$O$24)=0),IF('Recurring Schedule'!$E$24="Weekdays",WEEKDAY($A260,2)&lt;=5,$A260='Recurring Schedule'!$F$24))),19,""))))</f>
        <v/>
      </c>
      <c r="U260">
        <f>IF('Recurring Schedule'!$C$25="","",IF('Recurring Schedule'!$F$25="","",IF(OR($A260&lt;'Recurring Schedule'!$F$25,$A260&gt;'Recurring Schedule'!$P$25),"",IF(IF('Recurring Schedule'!$N$25&gt;0,MOD($A260-'Recurring Schedule'!$F$25,'Recurring Schedule'!$N$25)=0,IF('Recurring Schedule'!$O$25&gt;0,AND(DAY($A260)=MIN(DAY('Recurring Schedule'!$F$25),DAY(EOMONTH($A260,0))),MOD((YEAR($A260)-YEAR('Recurring Schedule'!$F$25))*12+MONTH($A260)-MONTH('Recurring Schedule'!$F$25),'Recurring Schedule'!$O$25)=0),IF('Recurring Schedule'!$E$25="Weekdays",WEEKDAY($A260,2)&lt;=5,$A260='Recurring Schedule'!$F$25))),20,""))))</f>
        <v/>
      </c>
      <c r="V260">
        <f>IF('Recurring Schedule'!$C$26="","",IF('Recurring Schedule'!$F$26="","",IF(OR($A260&lt;'Recurring Schedule'!$F$26,$A260&gt;'Recurring Schedule'!$P$26),"",IF(IF('Recurring Schedule'!$N$26&gt;0,MOD($A260-'Recurring Schedule'!$F$26,'Recurring Schedule'!$N$26)=0,IF('Recurring Schedule'!$O$26&gt;0,AND(DAY($A260)=MIN(DAY('Recurring Schedule'!$F$26),DAY(EOMONTH($A260,0))),MOD((YEAR($A260)-YEAR('Recurring Schedule'!$F$26))*12+MONTH($A260)-MONTH('Recurring Schedule'!$F$26),'Recurring Schedule'!$O$26)=0),IF('Recurring Schedule'!$E$26="Weekdays",WEEKDAY($A260,2)&lt;=5,$A260='Recurring Schedule'!$F$26))),21,""))))</f>
        <v/>
      </c>
      <c r="W260">
        <f>IF('Recurring Schedule'!$C$27="","",IF('Recurring Schedule'!$F$27="","",IF(OR($A260&lt;'Recurring Schedule'!$F$27,$A260&gt;'Recurring Schedule'!$P$27),"",IF(IF('Recurring Schedule'!$N$27&gt;0,MOD($A260-'Recurring Schedule'!$F$27,'Recurring Schedule'!$N$27)=0,IF('Recurring Schedule'!$O$27&gt;0,AND(DAY($A260)=MIN(DAY('Recurring Schedule'!$F$27),DAY(EOMONTH($A260,0))),MOD((YEAR($A260)-YEAR('Recurring Schedule'!$F$27))*12+MONTH($A260)-MONTH('Recurring Schedule'!$F$27),'Recurring Schedule'!$O$27)=0),IF('Recurring Schedule'!$E$27="Weekdays",WEEKDAY($A260,2)&lt;=5,$A260='Recurring Schedule'!$F$27))),22,""))))</f>
        <v/>
      </c>
      <c r="X260">
        <f>IF('Recurring Schedule'!$C$28="","",IF('Recurring Schedule'!$F$28="","",IF(OR($A260&lt;'Recurring Schedule'!$F$28,$A260&gt;'Recurring Schedule'!$P$28),"",IF(IF('Recurring Schedule'!$N$28&gt;0,MOD($A260-'Recurring Schedule'!$F$28,'Recurring Schedule'!$N$28)=0,IF('Recurring Schedule'!$O$28&gt;0,AND(DAY($A260)=MIN(DAY('Recurring Schedule'!$F$28),DAY(EOMONTH($A260,0))),MOD((YEAR($A260)-YEAR('Recurring Schedule'!$F$28))*12+MONTH($A260)-MONTH('Recurring Schedule'!$F$28),'Recurring Schedule'!$O$28)=0),IF('Recurring Schedule'!$E$28="Weekdays",WEEKDAY($A260,2)&lt;=5,$A260='Recurring Schedule'!$F$28))),23,""))))</f>
        <v/>
      </c>
      <c r="Y260">
        <f>IF('Recurring Schedule'!$C$29="","",IF('Recurring Schedule'!$F$29="","",IF(OR($A260&lt;'Recurring Schedule'!$F$29,$A260&gt;'Recurring Schedule'!$P$29),"",IF(IF('Recurring Schedule'!$N$29&gt;0,MOD($A260-'Recurring Schedule'!$F$29,'Recurring Schedule'!$N$29)=0,IF('Recurring Schedule'!$O$29&gt;0,AND(DAY($A260)=MIN(DAY('Recurring Schedule'!$F$29),DAY(EOMONTH($A260,0))),MOD((YEAR($A260)-YEAR('Recurring Schedule'!$F$29))*12+MONTH($A260)-MONTH('Recurring Schedule'!$F$29),'Recurring Schedule'!$O$29)=0),IF('Recurring Schedule'!$E$29="Weekdays",WEEKDAY($A260,2)&lt;=5,$A260='Recurring Schedule'!$F$29))),24,""))))</f>
        <v/>
      </c>
      <c r="Z260">
        <f>IF('Recurring Schedule'!$C$30="","",IF('Recurring Schedule'!$F$30="","",IF(OR($A260&lt;'Recurring Schedule'!$F$30,$A260&gt;'Recurring Schedule'!$P$30),"",IF(IF('Recurring Schedule'!$N$30&gt;0,MOD($A260-'Recurring Schedule'!$F$30,'Recurring Schedule'!$N$30)=0,IF('Recurring Schedule'!$O$30&gt;0,AND(DAY($A260)=MIN(DAY('Recurring Schedule'!$F$30),DAY(EOMONTH($A260,0))),MOD((YEAR($A260)-YEAR('Recurring Schedule'!$F$30))*12+MONTH($A260)-MONTH('Recurring Schedule'!$F$30),'Recurring Schedule'!$O$30)=0),IF('Recurring Schedule'!$E$30="Weekdays",WEEKDAY($A260,2)&lt;=5,$A260='Recurring Schedule'!$F$30))),25,""))))</f>
        <v/>
      </c>
      <c r="AA260">
        <f>IF('Recurring Schedule'!$C$31="","",IF('Recurring Schedule'!$F$31="","",IF(OR($A260&lt;'Recurring Schedule'!$F$31,$A260&gt;'Recurring Schedule'!$P$31),"",IF(IF('Recurring Schedule'!$N$31&gt;0,MOD($A260-'Recurring Schedule'!$F$31,'Recurring Schedule'!$N$31)=0,IF('Recurring Schedule'!$O$31&gt;0,AND(DAY($A260)=MIN(DAY('Recurring Schedule'!$F$31),DAY(EOMONTH($A260,0))),MOD((YEAR($A260)-YEAR('Recurring Schedule'!$F$31))*12+MONTH($A260)-MONTH('Recurring Schedule'!$F$31),'Recurring Schedule'!$O$31)=0),IF('Recurring Schedule'!$E$31="Weekdays",WEEKDAY($A260,2)&lt;=5,$A260='Recurring Schedule'!$F$31))),26,""))))</f>
        <v/>
      </c>
      <c r="AB260">
        <f>IF('Recurring Schedule'!$C$32="","",IF('Recurring Schedule'!$F$32="","",IF(OR($A260&lt;'Recurring Schedule'!$F$32,$A260&gt;'Recurring Schedule'!$P$32),"",IF(IF('Recurring Schedule'!$N$32&gt;0,MOD($A260-'Recurring Schedule'!$F$32,'Recurring Schedule'!$N$32)=0,IF('Recurring Schedule'!$O$32&gt;0,AND(DAY($A260)=MIN(DAY('Recurring Schedule'!$F$32),DAY(EOMONTH($A260,0))),MOD((YEAR($A260)-YEAR('Recurring Schedule'!$F$32))*12+MONTH($A260)-MONTH('Recurring Schedule'!$F$32),'Recurring Schedule'!$O$32)=0),IF('Recurring Schedule'!$E$32="Weekdays",WEEKDAY($A260,2)&lt;=5,$A260='Recurring Schedule'!$F$32))),27,""))))</f>
        <v/>
      </c>
      <c r="AC260">
        <f>IF('Recurring Schedule'!$C$33="","",IF('Recurring Schedule'!$F$33="","",IF(OR($A260&lt;'Recurring Schedule'!$F$33,$A260&gt;'Recurring Schedule'!$P$33),"",IF(IF('Recurring Schedule'!$N$33&gt;0,MOD($A260-'Recurring Schedule'!$F$33,'Recurring Schedule'!$N$33)=0,IF('Recurring Schedule'!$O$33&gt;0,AND(DAY($A260)=MIN(DAY('Recurring Schedule'!$F$33),DAY(EOMONTH($A260,0))),MOD((YEAR($A260)-YEAR('Recurring Schedule'!$F$33))*12+MONTH($A260)-MONTH('Recurring Schedule'!$F$33),'Recurring Schedule'!$O$33)=0),IF('Recurring Schedule'!$E$33="Weekdays",WEEKDAY($A260,2)&lt;=5,$A260='Recurring Schedule'!$F$33))),28,""))))</f>
        <v/>
      </c>
      <c r="AD260">
        <f>IF('Recurring Schedule'!$C$34="","",IF('Recurring Schedule'!$F$34="","",IF(OR($A260&lt;'Recurring Schedule'!$F$34,$A260&gt;'Recurring Schedule'!$P$34),"",IF(IF('Recurring Schedule'!$N$34&gt;0,MOD($A260-'Recurring Schedule'!$F$34,'Recurring Schedule'!$N$34)=0,IF('Recurring Schedule'!$O$34&gt;0,AND(DAY($A260)=MIN(DAY('Recurring Schedule'!$F$34),DAY(EOMONTH($A260,0))),MOD((YEAR($A260)-YEAR('Recurring Schedule'!$F$34))*12+MONTH($A260)-MONTH('Recurring Schedule'!$F$34),'Recurring Schedule'!$O$34)=0),IF('Recurring Schedule'!$E$34="Weekdays",WEEKDAY($A260,2)&lt;=5,$A260='Recurring Schedule'!$F$34))),29,""))))</f>
        <v/>
      </c>
      <c r="AE260">
        <f>IF('Recurring Schedule'!$C$35="","",IF('Recurring Schedule'!$F$35="","",IF(OR($A260&lt;'Recurring Schedule'!$F$35,$A260&gt;'Recurring Schedule'!$P$35),"",IF(IF('Recurring Schedule'!$N$35&gt;0,MOD($A260-'Recurring Schedule'!$F$35,'Recurring Schedule'!$N$35)=0,IF('Recurring Schedule'!$O$35&gt;0,AND(DAY($A260)=MIN(DAY('Recurring Schedule'!$F$35),DAY(EOMONTH($A260,0))),MOD((YEAR($A260)-YEAR('Recurring Schedule'!$F$35))*12+MONTH($A260)-MONTH('Recurring Schedule'!$F$35),'Recurring Schedule'!$O$35)=0),IF('Recurring Schedule'!$E$35="Weekdays",WEEKDAY($A260,2)&lt;=5,$A260='Recurring Schedule'!$F$35))),30,""))))</f>
        <v/>
      </c>
      <c r="AF260">
        <f>IF('Recurring Schedule'!$C$36="","",IF('Recurring Schedule'!$F$36="","",IF(OR($A260&lt;'Recurring Schedule'!$F$36,$A260&gt;'Recurring Schedule'!$P$36),"",IF(IF('Recurring Schedule'!$N$36&gt;0,MOD($A260-'Recurring Schedule'!$F$36,'Recurring Schedule'!$N$36)=0,IF('Recurring Schedule'!$O$36&gt;0,AND(DAY($A260)=MIN(DAY('Recurring Schedule'!$F$36),DAY(EOMONTH($A260,0))),MOD((YEAR($A260)-YEAR('Recurring Schedule'!$F$36))*12+MONTH($A260)-MONTH('Recurring Schedule'!$F$36),'Recurring Schedule'!$O$36)=0),IF('Recurring Schedule'!$E$36="Weekdays",WEEKDAY($A260,2)&lt;=5,$A260='Recurring Schedule'!$F$36))),31,""))))</f>
        <v/>
      </c>
      <c r="AG260">
        <f>IF('Recurring Schedule'!$C$37="","",IF('Recurring Schedule'!$F$37="","",IF(OR($A260&lt;'Recurring Schedule'!$F$37,$A260&gt;'Recurring Schedule'!$P$37),"",IF(IF('Recurring Schedule'!$N$37&gt;0,MOD($A260-'Recurring Schedule'!$F$37,'Recurring Schedule'!$N$37)=0,IF('Recurring Schedule'!$O$37&gt;0,AND(DAY($A260)=MIN(DAY('Recurring Schedule'!$F$37),DAY(EOMONTH($A260,0))),MOD((YEAR($A260)-YEAR('Recurring Schedule'!$F$37))*12+MONTH($A260)-MONTH('Recurring Schedule'!$F$37),'Recurring Schedule'!$O$37)=0),IF('Recurring Schedule'!$E$37="Weekdays",WEEKDAY($A260,2)&lt;=5,$A260='Recurring Schedule'!$F$37))),32,""))))</f>
        <v/>
      </c>
      <c r="AH260">
        <f>IF('Recurring Schedule'!$C$38="","",IF('Recurring Schedule'!$F$38="","",IF(OR($A260&lt;'Recurring Schedule'!$F$38,$A260&gt;'Recurring Schedule'!$P$38),"",IF(IF('Recurring Schedule'!$N$38&gt;0,MOD($A260-'Recurring Schedule'!$F$38,'Recurring Schedule'!$N$38)=0,IF('Recurring Schedule'!$O$38&gt;0,AND(DAY($A260)=MIN(DAY('Recurring Schedule'!$F$38),DAY(EOMONTH($A260,0))),MOD((YEAR($A260)-YEAR('Recurring Schedule'!$F$38))*12+MONTH($A260)-MONTH('Recurring Schedule'!$F$38),'Recurring Schedule'!$O$38)=0),IF('Recurring Schedule'!$E$38="Weekdays",WEEKDAY($A260,2)&lt;=5,$A260='Recurring Schedule'!$F$38))),33,""))))</f>
        <v/>
      </c>
      <c r="AI260">
        <f>IF('Recurring Schedule'!$C$39="","",IF('Recurring Schedule'!$F$39="","",IF(OR($A260&lt;'Recurring Schedule'!$F$39,$A260&gt;'Recurring Schedule'!$P$39),"",IF(IF('Recurring Schedule'!$N$39&gt;0,MOD($A260-'Recurring Schedule'!$F$39,'Recurring Schedule'!$N$39)=0,IF('Recurring Schedule'!$O$39&gt;0,AND(DAY($A260)=MIN(DAY('Recurring Schedule'!$F$39),DAY(EOMONTH($A260,0))),MOD((YEAR($A260)-YEAR('Recurring Schedule'!$F$39))*12+MONTH($A260)-MONTH('Recurring Schedule'!$F$39),'Recurring Schedule'!$O$39)=0),IF('Recurring Schedule'!$E$39="Weekdays",WEEKDAY($A260,2)&lt;=5,$A260='Recurring Schedule'!$F$39))),34,""))))</f>
        <v/>
      </c>
      <c r="AJ260">
        <f>IF('Recurring Schedule'!$C$40="","",IF('Recurring Schedule'!$F$40="","",IF(OR($A260&lt;'Recurring Schedule'!$F$40,$A260&gt;'Recurring Schedule'!$P$40),"",IF(IF('Recurring Schedule'!$N$40&gt;0,MOD($A260-'Recurring Schedule'!$F$40,'Recurring Schedule'!$N$40)=0,IF('Recurring Schedule'!$O$40&gt;0,AND(DAY($A260)=MIN(DAY('Recurring Schedule'!$F$40),DAY(EOMONTH($A260,0))),MOD((YEAR($A260)-YEAR('Recurring Schedule'!$F$40))*12+MONTH($A260)-MONTH('Recurring Schedule'!$F$40),'Recurring Schedule'!$O$40)=0),IF('Recurring Schedule'!$E$40="Weekdays",WEEKDAY($A260,2)&lt;=5,$A260='Recurring Schedule'!$F$40))),35,""))))</f>
        <v/>
      </c>
      <c r="AK260">
        <f>IF('Recurring Schedule'!$C$41="","",IF('Recurring Schedule'!$F$41="","",IF(OR($A260&lt;'Recurring Schedule'!$F$41,$A260&gt;'Recurring Schedule'!$P$41),"",IF(IF('Recurring Schedule'!$N$41&gt;0,MOD($A260-'Recurring Schedule'!$F$41,'Recurring Schedule'!$N$41)=0,IF('Recurring Schedule'!$O$41&gt;0,AND(DAY($A260)=MIN(DAY('Recurring Schedule'!$F$41),DAY(EOMONTH($A260,0))),MOD((YEAR($A260)-YEAR('Recurring Schedule'!$F$41))*12+MONTH($A260)-MONTH('Recurring Schedule'!$F$41),'Recurring Schedule'!$O$41)=0),IF('Recurring Schedule'!$E$41="Weekdays",WEEKDAY($A260,2)&lt;=5,$A260='Recurring Schedule'!$F$41))),36,""))))</f>
        <v/>
      </c>
      <c r="AL260">
        <f>IF('Recurring Schedule'!$C$42="","",IF('Recurring Schedule'!$F$42="","",IF(OR($A260&lt;'Recurring Schedule'!$F$42,$A260&gt;'Recurring Schedule'!$P$42),"",IF(IF('Recurring Schedule'!$N$42&gt;0,MOD($A260-'Recurring Schedule'!$F$42,'Recurring Schedule'!$N$42)=0,IF('Recurring Schedule'!$O$42&gt;0,AND(DAY($A260)=MIN(DAY('Recurring Schedule'!$F$42),DAY(EOMONTH($A260,0))),MOD((YEAR($A260)-YEAR('Recurring Schedule'!$F$42))*12+MONTH($A260)-MONTH('Recurring Schedule'!$F$42),'Recurring Schedule'!$O$42)=0),IF('Recurring Schedule'!$E$42="Weekdays",WEEKDAY($A260,2)&lt;=5,$A260='Recurring Schedule'!$F$42))),37,""))))</f>
        <v/>
      </c>
      <c r="AM260">
        <f>IF('Recurring Schedule'!$C$43="","",IF('Recurring Schedule'!$F$43="","",IF(OR($A260&lt;'Recurring Schedule'!$F$43,$A260&gt;'Recurring Schedule'!$P$43),"",IF(IF('Recurring Schedule'!$N$43&gt;0,MOD($A260-'Recurring Schedule'!$F$43,'Recurring Schedule'!$N$43)=0,IF('Recurring Schedule'!$O$43&gt;0,AND(DAY($A260)=MIN(DAY('Recurring Schedule'!$F$43),DAY(EOMONTH($A260,0))),MOD((YEAR($A260)-YEAR('Recurring Schedule'!$F$43))*12+MONTH($A260)-MONTH('Recurring Schedule'!$F$43),'Recurring Schedule'!$O$43)=0),IF('Recurring Schedule'!$E$43="Weekdays",WEEKDAY($A260,2)&lt;=5,$A260='Recurring Schedule'!$F$43))),38,""))))</f>
        <v/>
      </c>
      <c r="AN260">
        <f>IF('Recurring Schedule'!$C$44="","",IF('Recurring Schedule'!$F$44="","",IF(OR($A260&lt;'Recurring Schedule'!$F$44,$A260&gt;'Recurring Schedule'!$P$44),"",IF(IF('Recurring Schedule'!$N$44&gt;0,MOD($A260-'Recurring Schedule'!$F$44,'Recurring Schedule'!$N$44)=0,IF('Recurring Schedule'!$O$44&gt;0,AND(DAY($A260)=MIN(DAY('Recurring Schedule'!$F$44),DAY(EOMONTH($A260,0))),MOD((YEAR($A260)-YEAR('Recurring Schedule'!$F$44))*12+MONTH($A260)-MONTH('Recurring Schedule'!$F$44),'Recurring Schedule'!$O$44)=0),IF('Recurring Schedule'!$E$44="Weekdays",WEEKDAY($A260,2)&lt;=5,$A260='Recurring Schedule'!$F$44))),39,""))))</f>
        <v/>
      </c>
      <c r="AO260">
        <f>IF('Recurring Schedule'!$C$45="","",IF('Recurring Schedule'!$F$45="","",IF(OR($A260&lt;'Recurring Schedule'!$F$45,$A260&gt;'Recurring Schedule'!$P$45),"",IF(IF('Recurring Schedule'!$N$45&gt;0,MOD($A260-'Recurring Schedule'!$F$45,'Recurring Schedule'!$N$45)=0,IF('Recurring Schedule'!$O$45&gt;0,AND(DAY($A260)=MIN(DAY('Recurring Schedule'!$F$45),DAY(EOMONTH($A260,0))),MOD((YEAR($A260)-YEAR('Recurring Schedule'!$F$45))*12+MONTH($A260)-MONTH('Recurring Schedule'!$F$45),'Recurring Schedule'!$O$45)=0),IF('Recurring Schedule'!$E$45="Weekdays",WEEKDAY($A260,2)&lt;=5,$A260='Recurring Schedule'!$F$45))),40,""))))</f>
        <v/>
      </c>
      <c r="AP260">
        <f>COUNT(B260:AO260)</f>
        <v/>
      </c>
      <c r="AQ260">
        <f>AQ259+AP259</f>
        <v/>
      </c>
      <c r="AS260" t="inlineStr">
        <is>
          <t>R</t>
        </is>
      </c>
      <c r="AT260" t="n">
        <v>264</v>
      </c>
      <c r="AU260">
        <f>'Recurring Log'!C264&amp;""</f>
        <v/>
      </c>
      <c r="AV260">
        <f>'Recurring Log'!D264&amp;""</f>
        <v/>
      </c>
      <c r="AW260">
        <f>IF('Recurring Log'!E264="","",'Recurring Log'!E264)</f>
        <v/>
      </c>
      <c r="AX260">
        <f>IF('Recurring Log'!G264="","",'Recurring Log'!G264)</f>
        <v/>
      </c>
      <c r="AY260">
        <f>IF('Recurring Log'!H264="","",'Recurring Log'!H264)</f>
        <v/>
      </c>
      <c r="AZ260">
        <f>IF(AU260="","",IF('Recurring Log'!J264="","Not Started",'Recurring Log'!J264))</f>
        <v/>
      </c>
      <c r="BA260">
        <f>'Recurring Log'!L264&amp;""</f>
        <v/>
      </c>
      <c r="BB260">
        <f>'Recurring Log'!M264&amp;""</f>
        <v/>
      </c>
      <c r="BC260">
        <f>'Recurring Log'!N264&amp;""</f>
        <v/>
      </c>
      <c r="BD260">
        <f>'Recurring Log'!O264&amp;""</f>
        <v/>
      </c>
      <c r="BE260">
        <f>IF('Recurring Log'!K264="","",'Recurring Log'!K264)</f>
        <v/>
      </c>
      <c r="BF260">
        <f>IFERROR(MATCH(BA260,Setup!$L$6:$L$9,0),5)</f>
        <v/>
      </c>
      <c r="BG260">
        <f>IF(OR(AZ260="Done",AZ260="Cancelled"),1,0)</f>
        <v/>
      </c>
      <c r="BH260">
        <f>IF(AND(AU260&lt;&gt;"",ISNUMBER(AW260)),1,0)</f>
        <v/>
      </c>
      <c r="BI260">
        <f>IF(BH260=0,0,IF(AND(AW260&gt;='Tasks Filter'!$F$3,AW260&lt;='Tasks Filter'!$F$4,OR('Tasks Filter'!$I$3="",ISNUMBER(SEARCH('Tasks Filter'!$I$3,AU260))),OR('Tasks Filter'!$I$4="",BF260=IFERROR(MATCH('Tasks Filter'!$I$4,Setup!$L$6:$L$9,0),0)),OR('Tasks Filter'!$I$5="Both",AND('Tasks Filter'!$I$5="Yes",BB260="✓"),AND('Tasks Filter'!$I$5="No",BB260&lt;&gt;"✓")),OR('Tasks Filter'!$L$3="",AV260='Tasks Filter'!$L$3),OR('Tasks Filter'!$L$4="",AZ260='Tasks Filter'!$L$4),OR('Tasks Filter'!$L$5="",BC260='Tasks Filter'!$L$5),OR('Tasks Filter'!$O$3="",BD260='Tasks Filter'!$O$3),OR('Tasks Filter'!$O$4="Yes",BG260=0)),1,0))</f>
        <v/>
      </c>
      <c r="BJ260">
        <f>IF(BH260=0,"",IF('Tasks Filter'!$F$6="Descending",-1,1)*CHOOSE(MATCH('Tasks Filter'!$F$5,Lists!$G$2:$G$6,0),AW260,BF260,IFERROR(MATCH(AV260,Setup!$F$6:$F$15,0),99),IFERROR(MATCH(BC260,Setup!$H$6:$H$15,0),99),IFERROR(MATCH(AZ260,Setup!$J$6:$J$11,0),99))*1E+9+(AW260-40000)*10000+259)</f>
        <v/>
      </c>
      <c r="BK260">
        <f>IF(BI260=1,BJ260,"")</f>
        <v/>
      </c>
      <c r="BL260">
        <f>IF(AND(BH260=1,BG260=0,N(AW260)&lt;Setup!$D$7),(AW260-40000)*10000+259,"")</f>
        <v/>
      </c>
      <c r="BM260">
        <f>IF(AND(BH260=1,AZ260&lt;&gt;"Cancelled",N(AW260)&gt;=Dashboard!$AB$3,N(AW260)&lt;=Dashboard!$AB$3+6),(AW260-40000)*100000+BF260*10000+259,"")</f>
        <v/>
      </c>
      <c r="BN260">
        <f>IF(AND(BH260=1,AZ260&lt;&gt;"Cancelled"),BF260*10000+259,"")</f>
        <v/>
      </c>
    </row>
    <row r="261">
      <c r="A261">
        <f>Setup!$D$5+259</f>
        <v/>
      </c>
      <c r="B261">
        <f>IF('Recurring Schedule'!$C$6="","",IF('Recurring Schedule'!$F$6="","",IF(OR($A261&lt;'Recurring Schedule'!$F$6,$A261&gt;'Recurring Schedule'!$P$6),"",IF(IF('Recurring Schedule'!$N$6&gt;0,MOD($A261-'Recurring Schedule'!$F$6,'Recurring Schedule'!$N$6)=0,IF('Recurring Schedule'!$O$6&gt;0,AND(DAY($A261)=MIN(DAY('Recurring Schedule'!$F$6),DAY(EOMONTH($A261,0))),MOD((YEAR($A261)-YEAR('Recurring Schedule'!$F$6))*12+MONTH($A261)-MONTH('Recurring Schedule'!$F$6),'Recurring Schedule'!$O$6)=0),IF('Recurring Schedule'!$E$6="Weekdays",WEEKDAY($A261,2)&lt;=5,$A261='Recurring Schedule'!$F$6))),1,""))))</f>
        <v/>
      </c>
      <c r="C261">
        <f>IF('Recurring Schedule'!$C$7="","",IF('Recurring Schedule'!$F$7="","",IF(OR($A261&lt;'Recurring Schedule'!$F$7,$A261&gt;'Recurring Schedule'!$P$7),"",IF(IF('Recurring Schedule'!$N$7&gt;0,MOD($A261-'Recurring Schedule'!$F$7,'Recurring Schedule'!$N$7)=0,IF('Recurring Schedule'!$O$7&gt;0,AND(DAY($A261)=MIN(DAY('Recurring Schedule'!$F$7),DAY(EOMONTH($A261,0))),MOD((YEAR($A261)-YEAR('Recurring Schedule'!$F$7))*12+MONTH($A261)-MONTH('Recurring Schedule'!$F$7),'Recurring Schedule'!$O$7)=0),IF('Recurring Schedule'!$E$7="Weekdays",WEEKDAY($A261,2)&lt;=5,$A261='Recurring Schedule'!$F$7))),2,""))))</f>
        <v/>
      </c>
      <c r="D261">
        <f>IF('Recurring Schedule'!$C$8="","",IF('Recurring Schedule'!$F$8="","",IF(OR($A261&lt;'Recurring Schedule'!$F$8,$A261&gt;'Recurring Schedule'!$P$8),"",IF(IF('Recurring Schedule'!$N$8&gt;0,MOD($A261-'Recurring Schedule'!$F$8,'Recurring Schedule'!$N$8)=0,IF('Recurring Schedule'!$O$8&gt;0,AND(DAY($A261)=MIN(DAY('Recurring Schedule'!$F$8),DAY(EOMONTH($A261,0))),MOD((YEAR($A261)-YEAR('Recurring Schedule'!$F$8))*12+MONTH($A261)-MONTH('Recurring Schedule'!$F$8),'Recurring Schedule'!$O$8)=0),IF('Recurring Schedule'!$E$8="Weekdays",WEEKDAY($A261,2)&lt;=5,$A261='Recurring Schedule'!$F$8))),3,""))))</f>
        <v/>
      </c>
      <c r="E261">
        <f>IF('Recurring Schedule'!$C$9="","",IF('Recurring Schedule'!$F$9="","",IF(OR($A261&lt;'Recurring Schedule'!$F$9,$A261&gt;'Recurring Schedule'!$P$9),"",IF(IF('Recurring Schedule'!$N$9&gt;0,MOD($A261-'Recurring Schedule'!$F$9,'Recurring Schedule'!$N$9)=0,IF('Recurring Schedule'!$O$9&gt;0,AND(DAY($A261)=MIN(DAY('Recurring Schedule'!$F$9),DAY(EOMONTH($A261,0))),MOD((YEAR($A261)-YEAR('Recurring Schedule'!$F$9))*12+MONTH($A261)-MONTH('Recurring Schedule'!$F$9),'Recurring Schedule'!$O$9)=0),IF('Recurring Schedule'!$E$9="Weekdays",WEEKDAY($A261,2)&lt;=5,$A261='Recurring Schedule'!$F$9))),4,""))))</f>
        <v/>
      </c>
      <c r="F261">
        <f>IF('Recurring Schedule'!$C$10="","",IF('Recurring Schedule'!$F$10="","",IF(OR($A261&lt;'Recurring Schedule'!$F$10,$A261&gt;'Recurring Schedule'!$P$10),"",IF(IF('Recurring Schedule'!$N$10&gt;0,MOD($A261-'Recurring Schedule'!$F$10,'Recurring Schedule'!$N$10)=0,IF('Recurring Schedule'!$O$10&gt;0,AND(DAY($A261)=MIN(DAY('Recurring Schedule'!$F$10),DAY(EOMONTH($A261,0))),MOD((YEAR($A261)-YEAR('Recurring Schedule'!$F$10))*12+MONTH($A261)-MONTH('Recurring Schedule'!$F$10),'Recurring Schedule'!$O$10)=0),IF('Recurring Schedule'!$E$10="Weekdays",WEEKDAY($A261,2)&lt;=5,$A261='Recurring Schedule'!$F$10))),5,""))))</f>
        <v/>
      </c>
      <c r="G261">
        <f>IF('Recurring Schedule'!$C$11="","",IF('Recurring Schedule'!$F$11="","",IF(OR($A261&lt;'Recurring Schedule'!$F$11,$A261&gt;'Recurring Schedule'!$P$11),"",IF(IF('Recurring Schedule'!$N$11&gt;0,MOD($A261-'Recurring Schedule'!$F$11,'Recurring Schedule'!$N$11)=0,IF('Recurring Schedule'!$O$11&gt;0,AND(DAY($A261)=MIN(DAY('Recurring Schedule'!$F$11),DAY(EOMONTH($A261,0))),MOD((YEAR($A261)-YEAR('Recurring Schedule'!$F$11))*12+MONTH($A261)-MONTH('Recurring Schedule'!$F$11),'Recurring Schedule'!$O$11)=0),IF('Recurring Schedule'!$E$11="Weekdays",WEEKDAY($A261,2)&lt;=5,$A261='Recurring Schedule'!$F$11))),6,""))))</f>
        <v/>
      </c>
      <c r="H261">
        <f>IF('Recurring Schedule'!$C$12="","",IF('Recurring Schedule'!$F$12="","",IF(OR($A261&lt;'Recurring Schedule'!$F$12,$A261&gt;'Recurring Schedule'!$P$12),"",IF(IF('Recurring Schedule'!$N$12&gt;0,MOD($A261-'Recurring Schedule'!$F$12,'Recurring Schedule'!$N$12)=0,IF('Recurring Schedule'!$O$12&gt;0,AND(DAY($A261)=MIN(DAY('Recurring Schedule'!$F$12),DAY(EOMONTH($A261,0))),MOD((YEAR($A261)-YEAR('Recurring Schedule'!$F$12))*12+MONTH($A261)-MONTH('Recurring Schedule'!$F$12),'Recurring Schedule'!$O$12)=0),IF('Recurring Schedule'!$E$12="Weekdays",WEEKDAY($A261,2)&lt;=5,$A261='Recurring Schedule'!$F$12))),7,""))))</f>
        <v/>
      </c>
      <c r="I261">
        <f>IF('Recurring Schedule'!$C$13="","",IF('Recurring Schedule'!$F$13="","",IF(OR($A261&lt;'Recurring Schedule'!$F$13,$A261&gt;'Recurring Schedule'!$P$13),"",IF(IF('Recurring Schedule'!$N$13&gt;0,MOD($A261-'Recurring Schedule'!$F$13,'Recurring Schedule'!$N$13)=0,IF('Recurring Schedule'!$O$13&gt;0,AND(DAY($A261)=MIN(DAY('Recurring Schedule'!$F$13),DAY(EOMONTH($A261,0))),MOD((YEAR($A261)-YEAR('Recurring Schedule'!$F$13))*12+MONTH($A261)-MONTH('Recurring Schedule'!$F$13),'Recurring Schedule'!$O$13)=0),IF('Recurring Schedule'!$E$13="Weekdays",WEEKDAY($A261,2)&lt;=5,$A261='Recurring Schedule'!$F$13))),8,""))))</f>
        <v/>
      </c>
      <c r="J261">
        <f>IF('Recurring Schedule'!$C$14="","",IF('Recurring Schedule'!$F$14="","",IF(OR($A261&lt;'Recurring Schedule'!$F$14,$A261&gt;'Recurring Schedule'!$P$14),"",IF(IF('Recurring Schedule'!$N$14&gt;0,MOD($A261-'Recurring Schedule'!$F$14,'Recurring Schedule'!$N$14)=0,IF('Recurring Schedule'!$O$14&gt;0,AND(DAY($A261)=MIN(DAY('Recurring Schedule'!$F$14),DAY(EOMONTH($A261,0))),MOD((YEAR($A261)-YEAR('Recurring Schedule'!$F$14))*12+MONTH($A261)-MONTH('Recurring Schedule'!$F$14),'Recurring Schedule'!$O$14)=0),IF('Recurring Schedule'!$E$14="Weekdays",WEEKDAY($A261,2)&lt;=5,$A261='Recurring Schedule'!$F$14))),9,""))))</f>
        <v/>
      </c>
      <c r="K261">
        <f>IF('Recurring Schedule'!$C$15="","",IF('Recurring Schedule'!$F$15="","",IF(OR($A261&lt;'Recurring Schedule'!$F$15,$A261&gt;'Recurring Schedule'!$P$15),"",IF(IF('Recurring Schedule'!$N$15&gt;0,MOD($A261-'Recurring Schedule'!$F$15,'Recurring Schedule'!$N$15)=0,IF('Recurring Schedule'!$O$15&gt;0,AND(DAY($A261)=MIN(DAY('Recurring Schedule'!$F$15),DAY(EOMONTH($A261,0))),MOD((YEAR($A261)-YEAR('Recurring Schedule'!$F$15))*12+MONTH($A261)-MONTH('Recurring Schedule'!$F$15),'Recurring Schedule'!$O$15)=0),IF('Recurring Schedule'!$E$15="Weekdays",WEEKDAY($A261,2)&lt;=5,$A261='Recurring Schedule'!$F$15))),10,""))))</f>
        <v/>
      </c>
      <c r="L261">
        <f>IF('Recurring Schedule'!$C$16="","",IF('Recurring Schedule'!$F$16="","",IF(OR($A261&lt;'Recurring Schedule'!$F$16,$A261&gt;'Recurring Schedule'!$P$16),"",IF(IF('Recurring Schedule'!$N$16&gt;0,MOD($A261-'Recurring Schedule'!$F$16,'Recurring Schedule'!$N$16)=0,IF('Recurring Schedule'!$O$16&gt;0,AND(DAY($A261)=MIN(DAY('Recurring Schedule'!$F$16),DAY(EOMONTH($A261,0))),MOD((YEAR($A261)-YEAR('Recurring Schedule'!$F$16))*12+MONTH($A261)-MONTH('Recurring Schedule'!$F$16),'Recurring Schedule'!$O$16)=0),IF('Recurring Schedule'!$E$16="Weekdays",WEEKDAY($A261,2)&lt;=5,$A261='Recurring Schedule'!$F$16))),11,""))))</f>
        <v/>
      </c>
      <c r="M261">
        <f>IF('Recurring Schedule'!$C$17="","",IF('Recurring Schedule'!$F$17="","",IF(OR($A261&lt;'Recurring Schedule'!$F$17,$A261&gt;'Recurring Schedule'!$P$17),"",IF(IF('Recurring Schedule'!$N$17&gt;0,MOD($A261-'Recurring Schedule'!$F$17,'Recurring Schedule'!$N$17)=0,IF('Recurring Schedule'!$O$17&gt;0,AND(DAY($A261)=MIN(DAY('Recurring Schedule'!$F$17),DAY(EOMONTH($A261,0))),MOD((YEAR($A261)-YEAR('Recurring Schedule'!$F$17))*12+MONTH($A261)-MONTH('Recurring Schedule'!$F$17),'Recurring Schedule'!$O$17)=0),IF('Recurring Schedule'!$E$17="Weekdays",WEEKDAY($A261,2)&lt;=5,$A261='Recurring Schedule'!$F$17))),12,""))))</f>
        <v/>
      </c>
      <c r="N261">
        <f>IF('Recurring Schedule'!$C$18="","",IF('Recurring Schedule'!$F$18="","",IF(OR($A261&lt;'Recurring Schedule'!$F$18,$A261&gt;'Recurring Schedule'!$P$18),"",IF(IF('Recurring Schedule'!$N$18&gt;0,MOD($A261-'Recurring Schedule'!$F$18,'Recurring Schedule'!$N$18)=0,IF('Recurring Schedule'!$O$18&gt;0,AND(DAY($A261)=MIN(DAY('Recurring Schedule'!$F$18),DAY(EOMONTH($A261,0))),MOD((YEAR($A261)-YEAR('Recurring Schedule'!$F$18))*12+MONTH($A261)-MONTH('Recurring Schedule'!$F$18),'Recurring Schedule'!$O$18)=0),IF('Recurring Schedule'!$E$18="Weekdays",WEEKDAY($A261,2)&lt;=5,$A261='Recurring Schedule'!$F$18))),13,""))))</f>
        <v/>
      </c>
      <c r="O261">
        <f>IF('Recurring Schedule'!$C$19="","",IF('Recurring Schedule'!$F$19="","",IF(OR($A261&lt;'Recurring Schedule'!$F$19,$A261&gt;'Recurring Schedule'!$P$19),"",IF(IF('Recurring Schedule'!$N$19&gt;0,MOD($A261-'Recurring Schedule'!$F$19,'Recurring Schedule'!$N$19)=0,IF('Recurring Schedule'!$O$19&gt;0,AND(DAY($A261)=MIN(DAY('Recurring Schedule'!$F$19),DAY(EOMONTH($A261,0))),MOD((YEAR($A261)-YEAR('Recurring Schedule'!$F$19))*12+MONTH($A261)-MONTH('Recurring Schedule'!$F$19),'Recurring Schedule'!$O$19)=0),IF('Recurring Schedule'!$E$19="Weekdays",WEEKDAY($A261,2)&lt;=5,$A261='Recurring Schedule'!$F$19))),14,""))))</f>
        <v/>
      </c>
      <c r="P261">
        <f>IF('Recurring Schedule'!$C$20="","",IF('Recurring Schedule'!$F$20="","",IF(OR($A261&lt;'Recurring Schedule'!$F$20,$A261&gt;'Recurring Schedule'!$P$20),"",IF(IF('Recurring Schedule'!$N$20&gt;0,MOD($A261-'Recurring Schedule'!$F$20,'Recurring Schedule'!$N$20)=0,IF('Recurring Schedule'!$O$20&gt;0,AND(DAY($A261)=MIN(DAY('Recurring Schedule'!$F$20),DAY(EOMONTH($A261,0))),MOD((YEAR($A261)-YEAR('Recurring Schedule'!$F$20))*12+MONTH($A261)-MONTH('Recurring Schedule'!$F$20),'Recurring Schedule'!$O$20)=0),IF('Recurring Schedule'!$E$20="Weekdays",WEEKDAY($A261,2)&lt;=5,$A261='Recurring Schedule'!$F$20))),15,""))))</f>
        <v/>
      </c>
      <c r="Q261">
        <f>IF('Recurring Schedule'!$C$21="","",IF('Recurring Schedule'!$F$21="","",IF(OR($A261&lt;'Recurring Schedule'!$F$21,$A261&gt;'Recurring Schedule'!$P$21),"",IF(IF('Recurring Schedule'!$N$21&gt;0,MOD($A261-'Recurring Schedule'!$F$21,'Recurring Schedule'!$N$21)=0,IF('Recurring Schedule'!$O$21&gt;0,AND(DAY($A261)=MIN(DAY('Recurring Schedule'!$F$21),DAY(EOMONTH($A261,0))),MOD((YEAR($A261)-YEAR('Recurring Schedule'!$F$21))*12+MONTH($A261)-MONTH('Recurring Schedule'!$F$21),'Recurring Schedule'!$O$21)=0),IF('Recurring Schedule'!$E$21="Weekdays",WEEKDAY($A261,2)&lt;=5,$A261='Recurring Schedule'!$F$21))),16,""))))</f>
        <v/>
      </c>
      <c r="R261">
        <f>IF('Recurring Schedule'!$C$22="","",IF('Recurring Schedule'!$F$22="","",IF(OR($A261&lt;'Recurring Schedule'!$F$22,$A261&gt;'Recurring Schedule'!$P$22),"",IF(IF('Recurring Schedule'!$N$22&gt;0,MOD($A261-'Recurring Schedule'!$F$22,'Recurring Schedule'!$N$22)=0,IF('Recurring Schedule'!$O$22&gt;0,AND(DAY($A261)=MIN(DAY('Recurring Schedule'!$F$22),DAY(EOMONTH($A261,0))),MOD((YEAR($A261)-YEAR('Recurring Schedule'!$F$22))*12+MONTH($A261)-MONTH('Recurring Schedule'!$F$22),'Recurring Schedule'!$O$22)=0),IF('Recurring Schedule'!$E$22="Weekdays",WEEKDAY($A261,2)&lt;=5,$A261='Recurring Schedule'!$F$22))),17,""))))</f>
        <v/>
      </c>
      <c r="S261">
        <f>IF('Recurring Schedule'!$C$23="","",IF('Recurring Schedule'!$F$23="","",IF(OR($A261&lt;'Recurring Schedule'!$F$23,$A261&gt;'Recurring Schedule'!$P$23),"",IF(IF('Recurring Schedule'!$N$23&gt;0,MOD($A261-'Recurring Schedule'!$F$23,'Recurring Schedule'!$N$23)=0,IF('Recurring Schedule'!$O$23&gt;0,AND(DAY($A261)=MIN(DAY('Recurring Schedule'!$F$23),DAY(EOMONTH($A261,0))),MOD((YEAR($A261)-YEAR('Recurring Schedule'!$F$23))*12+MONTH($A261)-MONTH('Recurring Schedule'!$F$23),'Recurring Schedule'!$O$23)=0),IF('Recurring Schedule'!$E$23="Weekdays",WEEKDAY($A261,2)&lt;=5,$A261='Recurring Schedule'!$F$23))),18,""))))</f>
        <v/>
      </c>
      <c r="T261">
        <f>IF('Recurring Schedule'!$C$24="","",IF('Recurring Schedule'!$F$24="","",IF(OR($A261&lt;'Recurring Schedule'!$F$24,$A261&gt;'Recurring Schedule'!$P$24),"",IF(IF('Recurring Schedule'!$N$24&gt;0,MOD($A261-'Recurring Schedule'!$F$24,'Recurring Schedule'!$N$24)=0,IF('Recurring Schedule'!$O$24&gt;0,AND(DAY($A261)=MIN(DAY('Recurring Schedule'!$F$24),DAY(EOMONTH($A261,0))),MOD((YEAR($A261)-YEAR('Recurring Schedule'!$F$24))*12+MONTH($A261)-MONTH('Recurring Schedule'!$F$24),'Recurring Schedule'!$O$24)=0),IF('Recurring Schedule'!$E$24="Weekdays",WEEKDAY($A261,2)&lt;=5,$A261='Recurring Schedule'!$F$24))),19,""))))</f>
        <v/>
      </c>
      <c r="U261">
        <f>IF('Recurring Schedule'!$C$25="","",IF('Recurring Schedule'!$F$25="","",IF(OR($A261&lt;'Recurring Schedule'!$F$25,$A261&gt;'Recurring Schedule'!$P$25),"",IF(IF('Recurring Schedule'!$N$25&gt;0,MOD($A261-'Recurring Schedule'!$F$25,'Recurring Schedule'!$N$25)=0,IF('Recurring Schedule'!$O$25&gt;0,AND(DAY($A261)=MIN(DAY('Recurring Schedule'!$F$25),DAY(EOMONTH($A261,0))),MOD((YEAR($A261)-YEAR('Recurring Schedule'!$F$25))*12+MONTH($A261)-MONTH('Recurring Schedule'!$F$25),'Recurring Schedule'!$O$25)=0),IF('Recurring Schedule'!$E$25="Weekdays",WEEKDAY($A261,2)&lt;=5,$A261='Recurring Schedule'!$F$25))),20,""))))</f>
        <v/>
      </c>
      <c r="V261">
        <f>IF('Recurring Schedule'!$C$26="","",IF('Recurring Schedule'!$F$26="","",IF(OR($A261&lt;'Recurring Schedule'!$F$26,$A261&gt;'Recurring Schedule'!$P$26),"",IF(IF('Recurring Schedule'!$N$26&gt;0,MOD($A261-'Recurring Schedule'!$F$26,'Recurring Schedule'!$N$26)=0,IF('Recurring Schedule'!$O$26&gt;0,AND(DAY($A261)=MIN(DAY('Recurring Schedule'!$F$26),DAY(EOMONTH($A261,0))),MOD((YEAR($A261)-YEAR('Recurring Schedule'!$F$26))*12+MONTH($A261)-MONTH('Recurring Schedule'!$F$26),'Recurring Schedule'!$O$26)=0),IF('Recurring Schedule'!$E$26="Weekdays",WEEKDAY($A261,2)&lt;=5,$A261='Recurring Schedule'!$F$26))),21,""))))</f>
        <v/>
      </c>
      <c r="W261">
        <f>IF('Recurring Schedule'!$C$27="","",IF('Recurring Schedule'!$F$27="","",IF(OR($A261&lt;'Recurring Schedule'!$F$27,$A261&gt;'Recurring Schedule'!$P$27),"",IF(IF('Recurring Schedule'!$N$27&gt;0,MOD($A261-'Recurring Schedule'!$F$27,'Recurring Schedule'!$N$27)=0,IF('Recurring Schedule'!$O$27&gt;0,AND(DAY($A261)=MIN(DAY('Recurring Schedule'!$F$27),DAY(EOMONTH($A261,0))),MOD((YEAR($A261)-YEAR('Recurring Schedule'!$F$27))*12+MONTH($A261)-MONTH('Recurring Schedule'!$F$27),'Recurring Schedule'!$O$27)=0),IF('Recurring Schedule'!$E$27="Weekdays",WEEKDAY($A261,2)&lt;=5,$A261='Recurring Schedule'!$F$27))),22,""))))</f>
        <v/>
      </c>
      <c r="X261">
        <f>IF('Recurring Schedule'!$C$28="","",IF('Recurring Schedule'!$F$28="","",IF(OR($A261&lt;'Recurring Schedule'!$F$28,$A261&gt;'Recurring Schedule'!$P$28),"",IF(IF('Recurring Schedule'!$N$28&gt;0,MOD($A261-'Recurring Schedule'!$F$28,'Recurring Schedule'!$N$28)=0,IF('Recurring Schedule'!$O$28&gt;0,AND(DAY($A261)=MIN(DAY('Recurring Schedule'!$F$28),DAY(EOMONTH($A261,0))),MOD((YEAR($A261)-YEAR('Recurring Schedule'!$F$28))*12+MONTH($A261)-MONTH('Recurring Schedule'!$F$28),'Recurring Schedule'!$O$28)=0),IF('Recurring Schedule'!$E$28="Weekdays",WEEKDAY($A261,2)&lt;=5,$A261='Recurring Schedule'!$F$28))),23,""))))</f>
        <v/>
      </c>
      <c r="Y261">
        <f>IF('Recurring Schedule'!$C$29="","",IF('Recurring Schedule'!$F$29="","",IF(OR($A261&lt;'Recurring Schedule'!$F$29,$A261&gt;'Recurring Schedule'!$P$29),"",IF(IF('Recurring Schedule'!$N$29&gt;0,MOD($A261-'Recurring Schedule'!$F$29,'Recurring Schedule'!$N$29)=0,IF('Recurring Schedule'!$O$29&gt;0,AND(DAY($A261)=MIN(DAY('Recurring Schedule'!$F$29),DAY(EOMONTH($A261,0))),MOD((YEAR($A261)-YEAR('Recurring Schedule'!$F$29))*12+MONTH($A261)-MONTH('Recurring Schedule'!$F$29),'Recurring Schedule'!$O$29)=0),IF('Recurring Schedule'!$E$29="Weekdays",WEEKDAY($A261,2)&lt;=5,$A261='Recurring Schedule'!$F$29))),24,""))))</f>
        <v/>
      </c>
      <c r="Z261">
        <f>IF('Recurring Schedule'!$C$30="","",IF('Recurring Schedule'!$F$30="","",IF(OR($A261&lt;'Recurring Schedule'!$F$30,$A261&gt;'Recurring Schedule'!$P$30),"",IF(IF('Recurring Schedule'!$N$30&gt;0,MOD($A261-'Recurring Schedule'!$F$30,'Recurring Schedule'!$N$30)=0,IF('Recurring Schedule'!$O$30&gt;0,AND(DAY($A261)=MIN(DAY('Recurring Schedule'!$F$30),DAY(EOMONTH($A261,0))),MOD((YEAR($A261)-YEAR('Recurring Schedule'!$F$30))*12+MONTH($A261)-MONTH('Recurring Schedule'!$F$30),'Recurring Schedule'!$O$30)=0),IF('Recurring Schedule'!$E$30="Weekdays",WEEKDAY($A261,2)&lt;=5,$A261='Recurring Schedule'!$F$30))),25,""))))</f>
        <v/>
      </c>
      <c r="AA261">
        <f>IF('Recurring Schedule'!$C$31="","",IF('Recurring Schedule'!$F$31="","",IF(OR($A261&lt;'Recurring Schedule'!$F$31,$A261&gt;'Recurring Schedule'!$P$31),"",IF(IF('Recurring Schedule'!$N$31&gt;0,MOD($A261-'Recurring Schedule'!$F$31,'Recurring Schedule'!$N$31)=0,IF('Recurring Schedule'!$O$31&gt;0,AND(DAY($A261)=MIN(DAY('Recurring Schedule'!$F$31),DAY(EOMONTH($A261,0))),MOD((YEAR($A261)-YEAR('Recurring Schedule'!$F$31))*12+MONTH($A261)-MONTH('Recurring Schedule'!$F$31),'Recurring Schedule'!$O$31)=0),IF('Recurring Schedule'!$E$31="Weekdays",WEEKDAY($A261,2)&lt;=5,$A261='Recurring Schedule'!$F$31))),26,""))))</f>
        <v/>
      </c>
      <c r="AB261">
        <f>IF('Recurring Schedule'!$C$32="","",IF('Recurring Schedule'!$F$32="","",IF(OR($A261&lt;'Recurring Schedule'!$F$32,$A261&gt;'Recurring Schedule'!$P$32),"",IF(IF('Recurring Schedule'!$N$32&gt;0,MOD($A261-'Recurring Schedule'!$F$32,'Recurring Schedule'!$N$32)=0,IF('Recurring Schedule'!$O$32&gt;0,AND(DAY($A261)=MIN(DAY('Recurring Schedule'!$F$32),DAY(EOMONTH($A261,0))),MOD((YEAR($A261)-YEAR('Recurring Schedule'!$F$32))*12+MONTH($A261)-MONTH('Recurring Schedule'!$F$32),'Recurring Schedule'!$O$32)=0),IF('Recurring Schedule'!$E$32="Weekdays",WEEKDAY($A261,2)&lt;=5,$A261='Recurring Schedule'!$F$32))),27,""))))</f>
        <v/>
      </c>
      <c r="AC261">
        <f>IF('Recurring Schedule'!$C$33="","",IF('Recurring Schedule'!$F$33="","",IF(OR($A261&lt;'Recurring Schedule'!$F$33,$A261&gt;'Recurring Schedule'!$P$33),"",IF(IF('Recurring Schedule'!$N$33&gt;0,MOD($A261-'Recurring Schedule'!$F$33,'Recurring Schedule'!$N$33)=0,IF('Recurring Schedule'!$O$33&gt;0,AND(DAY($A261)=MIN(DAY('Recurring Schedule'!$F$33),DAY(EOMONTH($A261,0))),MOD((YEAR($A261)-YEAR('Recurring Schedule'!$F$33))*12+MONTH($A261)-MONTH('Recurring Schedule'!$F$33),'Recurring Schedule'!$O$33)=0),IF('Recurring Schedule'!$E$33="Weekdays",WEEKDAY($A261,2)&lt;=5,$A261='Recurring Schedule'!$F$33))),28,""))))</f>
        <v/>
      </c>
      <c r="AD261">
        <f>IF('Recurring Schedule'!$C$34="","",IF('Recurring Schedule'!$F$34="","",IF(OR($A261&lt;'Recurring Schedule'!$F$34,$A261&gt;'Recurring Schedule'!$P$34),"",IF(IF('Recurring Schedule'!$N$34&gt;0,MOD($A261-'Recurring Schedule'!$F$34,'Recurring Schedule'!$N$34)=0,IF('Recurring Schedule'!$O$34&gt;0,AND(DAY($A261)=MIN(DAY('Recurring Schedule'!$F$34),DAY(EOMONTH($A261,0))),MOD((YEAR($A261)-YEAR('Recurring Schedule'!$F$34))*12+MONTH($A261)-MONTH('Recurring Schedule'!$F$34),'Recurring Schedule'!$O$34)=0),IF('Recurring Schedule'!$E$34="Weekdays",WEEKDAY($A261,2)&lt;=5,$A261='Recurring Schedule'!$F$34))),29,""))))</f>
        <v/>
      </c>
      <c r="AE261">
        <f>IF('Recurring Schedule'!$C$35="","",IF('Recurring Schedule'!$F$35="","",IF(OR($A261&lt;'Recurring Schedule'!$F$35,$A261&gt;'Recurring Schedule'!$P$35),"",IF(IF('Recurring Schedule'!$N$35&gt;0,MOD($A261-'Recurring Schedule'!$F$35,'Recurring Schedule'!$N$35)=0,IF('Recurring Schedule'!$O$35&gt;0,AND(DAY($A261)=MIN(DAY('Recurring Schedule'!$F$35),DAY(EOMONTH($A261,0))),MOD((YEAR($A261)-YEAR('Recurring Schedule'!$F$35))*12+MONTH($A261)-MONTH('Recurring Schedule'!$F$35),'Recurring Schedule'!$O$35)=0),IF('Recurring Schedule'!$E$35="Weekdays",WEEKDAY($A261,2)&lt;=5,$A261='Recurring Schedule'!$F$35))),30,""))))</f>
        <v/>
      </c>
      <c r="AF261">
        <f>IF('Recurring Schedule'!$C$36="","",IF('Recurring Schedule'!$F$36="","",IF(OR($A261&lt;'Recurring Schedule'!$F$36,$A261&gt;'Recurring Schedule'!$P$36),"",IF(IF('Recurring Schedule'!$N$36&gt;0,MOD($A261-'Recurring Schedule'!$F$36,'Recurring Schedule'!$N$36)=0,IF('Recurring Schedule'!$O$36&gt;0,AND(DAY($A261)=MIN(DAY('Recurring Schedule'!$F$36),DAY(EOMONTH($A261,0))),MOD((YEAR($A261)-YEAR('Recurring Schedule'!$F$36))*12+MONTH($A261)-MONTH('Recurring Schedule'!$F$36),'Recurring Schedule'!$O$36)=0),IF('Recurring Schedule'!$E$36="Weekdays",WEEKDAY($A261,2)&lt;=5,$A261='Recurring Schedule'!$F$36))),31,""))))</f>
        <v/>
      </c>
      <c r="AG261">
        <f>IF('Recurring Schedule'!$C$37="","",IF('Recurring Schedule'!$F$37="","",IF(OR($A261&lt;'Recurring Schedule'!$F$37,$A261&gt;'Recurring Schedule'!$P$37),"",IF(IF('Recurring Schedule'!$N$37&gt;0,MOD($A261-'Recurring Schedule'!$F$37,'Recurring Schedule'!$N$37)=0,IF('Recurring Schedule'!$O$37&gt;0,AND(DAY($A261)=MIN(DAY('Recurring Schedule'!$F$37),DAY(EOMONTH($A261,0))),MOD((YEAR($A261)-YEAR('Recurring Schedule'!$F$37))*12+MONTH($A261)-MONTH('Recurring Schedule'!$F$37),'Recurring Schedule'!$O$37)=0),IF('Recurring Schedule'!$E$37="Weekdays",WEEKDAY($A261,2)&lt;=5,$A261='Recurring Schedule'!$F$37))),32,""))))</f>
        <v/>
      </c>
      <c r="AH261">
        <f>IF('Recurring Schedule'!$C$38="","",IF('Recurring Schedule'!$F$38="","",IF(OR($A261&lt;'Recurring Schedule'!$F$38,$A261&gt;'Recurring Schedule'!$P$38),"",IF(IF('Recurring Schedule'!$N$38&gt;0,MOD($A261-'Recurring Schedule'!$F$38,'Recurring Schedule'!$N$38)=0,IF('Recurring Schedule'!$O$38&gt;0,AND(DAY($A261)=MIN(DAY('Recurring Schedule'!$F$38),DAY(EOMONTH($A261,0))),MOD((YEAR($A261)-YEAR('Recurring Schedule'!$F$38))*12+MONTH($A261)-MONTH('Recurring Schedule'!$F$38),'Recurring Schedule'!$O$38)=0),IF('Recurring Schedule'!$E$38="Weekdays",WEEKDAY($A261,2)&lt;=5,$A261='Recurring Schedule'!$F$38))),33,""))))</f>
        <v/>
      </c>
      <c r="AI261">
        <f>IF('Recurring Schedule'!$C$39="","",IF('Recurring Schedule'!$F$39="","",IF(OR($A261&lt;'Recurring Schedule'!$F$39,$A261&gt;'Recurring Schedule'!$P$39),"",IF(IF('Recurring Schedule'!$N$39&gt;0,MOD($A261-'Recurring Schedule'!$F$39,'Recurring Schedule'!$N$39)=0,IF('Recurring Schedule'!$O$39&gt;0,AND(DAY($A261)=MIN(DAY('Recurring Schedule'!$F$39),DAY(EOMONTH($A261,0))),MOD((YEAR($A261)-YEAR('Recurring Schedule'!$F$39))*12+MONTH($A261)-MONTH('Recurring Schedule'!$F$39),'Recurring Schedule'!$O$39)=0),IF('Recurring Schedule'!$E$39="Weekdays",WEEKDAY($A261,2)&lt;=5,$A261='Recurring Schedule'!$F$39))),34,""))))</f>
        <v/>
      </c>
      <c r="AJ261">
        <f>IF('Recurring Schedule'!$C$40="","",IF('Recurring Schedule'!$F$40="","",IF(OR($A261&lt;'Recurring Schedule'!$F$40,$A261&gt;'Recurring Schedule'!$P$40),"",IF(IF('Recurring Schedule'!$N$40&gt;0,MOD($A261-'Recurring Schedule'!$F$40,'Recurring Schedule'!$N$40)=0,IF('Recurring Schedule'!$O$40&gt;0,AND(DAY($A261)=MIN(DAY('Recurring Schedule'!$F$40),DAY(EOMONTH($A261,0))),MOD((YEAR($A261)-YEAR('Recurring Schedule'!$F$40))*12+MONTH($A261)-MONTH('Recurring Schedule'!$F$40),'Recurring Schedule'!$O$40)=0),IF('Recurring Schedule'!$E$40="Weekdays",WEEKDAY($A261,2)&lt;=5,$A261='Recurring Schedule'!$F$40))),35,""))))</f>
        <v/>
      </c>
      <c r="AK261">
        <f>IF('Recurring Schedule'!$C$41="","",IF('Recurring Schedule'!$F$41="","",IF(OR($A261&lt;'Recurring Schedule'!$F$41,$A261&gt;'Recurring Schedule'!$P$41),"",IF(IF('Recurring Schedule'!$N$41&gt;0,MOD($A261-'Recurring Schedule'!$F$41,'Recurring Schedule'!$N$41)=0,IF('Recurring Schedule'!$O$41&gt;0,AND(DAY($A261)=MIN(DAY('Recurring Schedule'!$F$41),DAY(EOMONTH($A261,0))),MOD((YEAR($A261)-YEAR('Recurring Schedule'!$F$41))*12+MONTH($A261)-MONTH('Recurring Schedule'!$F$41),'Recurring Schedule'!$O$41)=0),IF('Recurring Schedule'!$E$41="Weekdays",WEEKDAY($A261,2)&lt;=5,$A261='Recurring Schedule'!$F$41))),36,""))))</f>
        <v/>
      </c>
      <c r="AL261">
        <f>IF('Recurring Schedule'!$C$42="","",IF('Recurring Schedule'!$F$42="","",IF(OR($A261&lt;'Recurring Schedule'!$F$42,$A261&gt;'Recurring Schedule'!$P$42),"",IF(IF('Recurring Schedule'!$N$42&gt;0,MOD($A261-'Recurring Schedule'!$F$42,'Recurring Schedule'!$N$42)=0,IF('Recurring Schedule'!$O$42&gt;0,AND(DAY($A261)=MIN(DAY('Recurring Schedule'!$F$42),DAY(EOMONTH($A261,0))),MOD((YEAR($A261)-YEAR('Recurring Schedule'!$F$42))*12+MONTH($A261)-MONTH('Recurring Schedule'!$F$42),'Recurring Schedule'!$O$42)=0),IF('Recurring Schedule'!$E$42="Weekdays",WEEKDAY($A261,2)&lt;=5,$A261='Recurring Schedule'!$F$42))),37,""))))</f>
        <v/>
      </c>
      <c r="AM261">
        <f>IF('Recurring Schedule'!$C$43="","",IF('Recurring Schedule'!$F$43="","",IF(OR($A261&lt;'Recurring Schedule'!$F$43,$A261&gt;'Recurring Schedule'!$P$43),"",IF(IF('Recurring Schedule'!$N$43&gt;0,MOD($A261-'Recurring Schedule'!$F$43,'Recurring Schedule'!$N$43)=0,IF('Recurring Schedule'!$O$43&gt;0,AND(DAY($A261)=MIN(DAY('Recurring Schedule'!$F$43),DAY(EOMONTH($A261,0))),MOD((YEAR($A261)-YEAR('Recurring Schedule'!$F$43))*12+MONTH($A261)-MONTH('Recurring Schedule'!$F$43),'Recurring Schedule'!$O$43)=0),IF('Recurring Schedule'!$E$43="Weekdays",WEEKDAY($A261,2)&lt;=5,$A261='Recurring Schedule'!$F$43))),38,""))))</f>
        <v/>
      </c>
      <c r="AN261">
        <f>IF('Recurring Schedule'!$C$44="","",IF('Recurring Schedule'!$F$44="","",IF(OR($A261&lt;'Recurring Schedule'!$F$44,$A261&gt;'Recurring Schedule'!$P$44),"",IF(IF('Recurring Schedule'!$N$44&gt;0,MOD($A261-'Recurring Schedule'!$F$44,'Recurring Schedule'!$N$44)=0,IF('Recurring Schedule'!$O$44&gt;0,AND(DAY($A261)=MIN(DAY('Recurring Schedule'!$F$44),DAY(EOMONTH($A261,0))),MOD((YEAR($A261)-YEAR('Recurring Schedule'!$F$44))*12+MONTH($A261)-MONTH('Recurring Schedule'!$F$44),'Recurring Schedule'!$O$44)=0),IF('Recurring Schedule'!$E$44="Weekdays",WEEKDAY($A261,2)&lt;=5,$A261='Recurring Schedule'!$F$44))),39,""))))</f>
        <v/>
      </c>
      <c r="AO261">
        <f>IF('Recurring Schedule'!$C$45="","",IF('Recurring Schedule'!$F$45="","",IF(OR($A261&lt;'Recurring Schedule'!$F$45,$A261&gt;'Recurring Schedule'!$P$45),"",IF(IF('Recurring Schedule'!$N$45&gt;0,MOD($A261-'Recurring Schedule'!$F$45,'Recurring Schedule'!$N$45)=0,IF('Recurring Schedule'!$O$45&gt;0,AND(DAY($A261)=MIN(DAY('Recurring Schedule'!$F$45),DAY(EOMONTH($A261,0))),MOD((YEAR($A261)-YEAR('Recurring Schedule'!$F$45))*12+MONTH($A261)-MONTH('Recurring Schedule'!$F$45),'Recurring Schedule'!$O$45)=0),IF('Recurring Schedule'!$E$45="Weekdays",WEEKDAY($A261,2)&lt;=5,$A261='Recurring Schedule'!$F$45))),40,""))))</f>
        <v/>
      </c>
      <c r="AP261">
        <f>COUNT(B261:AO261)</f>
        <v/>
      </c>
      <c r="AQ261">
        <f>AQ260+AP260</f>
        <v/>
      </c>
      <c r="AS261" t="inlineStr">
        <is>
          <t>R</t>
        </is>
      </c>
      <c r="AT261" t="n">
        <v>265</v>
      </c>
      <c r="AU261">
        <f>'Recurring Log'!C265&amp;""</f>
        <v/>
      </c>
      <c r="AV261">
        <f>'Recurring Log'!D265&amp;""</f>
        <v/>
      </c>
      <c r="AW261">
        <f>IF('Recurring Log'!E265="","",'Recurring Log'!E265)</f>
        <v/>
      </c>
      <c r="AX261">
        <f>IF('Recurring Log'!G265="","",'Recurring Log'!G265)</f>
        <v/>
      </c>
      <c r="AY261">
        <f>IF('Recurring Log'!H265="","",'Recurring Log'!H265)</f>
        <v/>
      </c>
      <c r="AZ261">
        <f>IF(AU261="","",IF('Recurring Log'!J265="","Not Started",'Recurring Log'!J265))</f>
        <v/>
      </c>
      <c r="BA261">
        <f>'Recurring Log'!L265&amp;""</f>
        <v/>
      </c>
      <c r="BB261">
        <f>'Recurring Log'!M265&amp;""</f>
        <v/>
      </c>
      <c r="BC261">
        <f>'Recurring Log'!N265&amp;""</f>
        <v/>
      </c>
      <c r="BD261">
        <f>'Recurring Log'!O265&amp;""</f>
        <v/>
      </c>
      <c r="BE261">
        <f>IF('Recurring Log'!K265="","",'Recurring Log'!K265)</f>
        <v/>
      </c>
      <c r="BF261">
        <f>IFERROR(MATCH(BA261,Setup!$L$6:$L$9,0),5)</f>
        <v/>
      </c>
      <c r="BG261">
        <f>IF(OR(AZ261="Done",AZ261="Cancelled"),1,0)</f>
        <v/>
      </c>
      <c r="BH261">
        <f>IF(AND(AU261&lt;&gt;"",ISNUMBER(AW261)),1,0)</f>
        <v/>
      </c>
      <c r="BI261">
        <f>IF(BH261=0,0,IF(AND(AW261&gt;='Tasks Filter'!$F$3,AW261&lt;='Tasks Filter'!$F$4,OR('Tasks Filter'!$I$3="",ISNUMBER(SEARCH('Tasks Filter'!$I$3,AU261))),OR('Tasks Filter'!$I$4="",BF261=IFERROR(MATCH('Tasks Filter'!$I$4,Setup!$L$6:$L$9,0),0)),OR('Tasks Filter'!$I$5="Both",AND('Tasks Filter'!$I$5="Yes",BB261="✓"),AND('Tasks Filter'!$I$5="No",BB261&lt;&gt;"✓")),OR('Tasks Filter'!$L$3="",AV261='Tasks Filter'!$L$3),OR('Tasks Filter'!$L$4="",AZ261='Tasks Filter'!$L$4),OR('Tasks Filter'!$L$5="",BC261='Tasks Filter'!$L$5),OR('Tasks Filter'!$O$3="",BD261='Tasks Filter'!$O$3),OR('Tasks Filter'!$O$4="Yes",BG261=0)),1,0))</f>
        <v/>
      </c>
      <c r="BJ261">
        <f>IF(BH261=0,"",IF('Tasks Filter'!$F$6="Descending",-1,1)*CHOOSE(MATCH('Tasks Filter'!$F$5,Lists!$G$2:$G$6,0),AW261,BF261,IFERROR(MATCH(AV261,Setup!$F$6:$F$15,0),99),IFERROR(MATCH(BC261,Setup!$H$6:$H$15,0),99),IFERROR(MATCH(AZ261,Setup!$J$6:$J$11,0),99))*1E+9+(AW261-40000)*10000+260)</f>
        <v/>
      </c>
      <c r="BK261">
        <f>IF(BI261=1,BJ261,"")</f>
        <v/>
      </c>
      <c r="BL261">
        <f>IF(AND(BH261=1,BG261=0,N(AW261)&lt;Setup!$D$7),(AW261-40000)*10000+260,"")</f>
        <v/>
      </c>
      <c r="BM261">
        <f>IF(AND(BH261=1,AZ261&lt;&gt;"Cancelled",N(AW261)&gt;=Dashboard!$AB$3,N(AW261)&lt;=Dashboard!$AB$3+6),(AW261-40000)*100000+BF261*10000+260,"")</f>
        <v/>
      </c>
      <c r="BN261">
        <f>IF(AND(BH261=1,AZ261&lt;&gt;"Cancelled"),BF261*10000+260,"")</f>
        <v/>
      </c>
    </row>
    <row r="262">
      <c r="A262">
        <f>Setup!$D$5+260</f>
        <v/>
      </c>
      <c r="B262">
        <f>IF('Recurring Schedule'!$C$6="","",IF('Recurring Schedule'!$F$6="","",IF(OR($A262&lt;'Recurring Schedule'!$F$6,$A262&gt;'Recurring Schedule'!$P$6),"",IF(IF('Recurring Schedule'!$N$6&gt;0,MOD($A262-'Recurring Schedule'!$F$6,'Recurring Schedule'!$N$6)=0,IF('Recurring Schedule'!$O$6&gt;0,AND(DAY($A262)=MIN(DAY('Recurring Schedule'!$F$6),DAY(EOMONTH($A262,0))),MOD((YEAR($A262)-YEAR('Recurring Schedule'!$F$6))*12+MONTH($A262)-MONTH('Recurring Schedule'!$F$6),'Recurring Schedule'!$O$6)=0),IF('Recurring Schedule'!$E$6="Weekdays",WEEKDAY($A262,2)&lt;=5,$A262='Recurring Schedule'!$F$6))),1,""))))</f>
        <v/>
      </c>
      <c r="C262">
        <f>IF('Recurring Schedule'!$C$7="","",IF('Recurring Schedule'!$F$7="","",IF(OR($A262&lt;'Recurring Schedule'!$F$7,$A262&gt;'Recurring Schedule'!$P$7),"",IF(IF('Recurring Schedule'!$N$7&gt;0,MOD($A262-'Recurring Schedule'!$F$7,'Recurring Schedule'!$N$7)=0,IF('Recurring Schedule'!$O$7&gt;0,AND(DAY($A262)=MIN(DAY('Recurring Schedule'!$F$7),DAY(EOMONTH($A262,0))),MOD((YEAR($A262)-YEAR('Recurring Schedule'!$F$7))*12+MONTH($A262)-MONTH('Recurring Schedule'!$F$7),'Recurring Schedule'!$O$7)=0),IF('Recurring Schedule'!$E$7="Weekdays",WEEKDAY($A262,2)&lt;=5,$A262='Recurring Schedule'!$F$7))),2,""))))</f>
        <v/>
      </c>
      <c r="D262">
        <f>IF('Recurring Schedule'!$C$8="","",IF('Recurring Schedule'!$F$8="","",IF(OR($A262&lt;'Recurring Schedule'!$F$8,$A262&gt;'Recurring Schedule'!$P$8),"",IF(IF('Recurring Schedule'!$N$8&gt;0,MOD($A262-'Recurring Schedule'!$F$8,'Recurring Schedule'!$N$8)=0,IF('Recurring Schedule'!$O$8&gt;0,AND(DAY($A262)=MIN(DAY('Recurring Schedule'!$F$8),DAY(EOMONTH($A262,0))),MOD((YEAR($A262)-YEAR('Recurring Schedule'!$F$8))*12+MONTH($A262)-MONTH('Recurring Schedule'!$F$8),'Recurring Schedule'!$O$8)=0),IF('Recurring Schedule'!$E$8="Weekdays",WEEKDAY($A262,2)&lt;=5,$A262='Recurring Schedule'!$F$8))),3,""))))</f>
        <v/>
      </c>
      <c r="E262">
        <f>IF('Recurring Schedule'!$C$9="","",IF('Recurring Schedule'!$F$9="","",IF(OR($A262&lt;'Recurring Schedule'!$F$9,$A262&gt;'Recurring Schedule'!$P$9),"",IF(IF('Recurring Schedule'!$N$9&gt;0,MOD($A262-'Recurring Schedule'!$F$9,'Recurring Schedule'!$N$9)=0,IF('Recurring Schedule'!$O$9&gt;0,AND(DAY($A262)=MIN(DAY('Recurring Schedule'!$F$9),DAY(EOMONTH($A262,0))),MOD((YEAR($A262)-YEAR('Recurring Schedule'!$F$9))*12+MONTH($A262)-MONTH('Recurring Schedule'!$F$9),'Recurring Schedule'!$O$9)=0),IF('Recurring Schedule'!$E$9="Weekdays",WEEKDAY($A262,2)&lt;=5,$A262='Recurring Schedule'!$F$9))),4,""))))</f>
        <v/>
      </c>
      <c r="F262">
        <f>IF('Recurring Schedule'!$C$10="","",IF('Recurring Schedule'!$F$10="","",IF(OR($A262&lt;'Recurring Schedule'!$F$10,$A262&gt;'Recurring Schedule'!$P$10),"",IF(IF('Recurring Schedule'!$N$10&gt;0,MOD($A262-'Recurring Schedule'!$F$10,'Recurring Schedule'!$N$10)=0,IF('Recurring Schedule'!$O$10&gt;0,AND(DAY($A262)=MIN(DAY('Recurring Schedule'!$F$10),DAY(EOMONTH($A262,0))),MOD((YEAR($A262)-YEAR('Recurring Schedule'!$F$10))*12+MONTH($A262)-MONTH('Recurring Schedule'!$F$10),'Recurring Schedule'!$O$10)=0),IF('Recurring Schedule'!$E$10="Weekdays",WEEKDAY($A262,2)&lt;=5,$A262='Recurring Schedule'!$F$10))),5,""))))</f>
        <v/>
      </c>
      <c r="G262">
        <f>IF('Recurring Schedule'!$C$11="","",IF('Recurring Schedule'!$F$11="","",IF(OR($A262&lt;'Recurring Schedule'!$F$11,$A262&gt;'Recurring Schedule'!$P$11),"",IF(IF('Recurring Schedule'!$N$11&gt;0,MOD($A262-'Recurring Schedule'!$F$11,'Recurring Schedule'!$N$11)=0,IF('Recurring Schedule'!$O$11&gt;0,AND(DAY($A262)=MIN(DAY('Recurring Schedule'!$F$11),DAY(EOMONTH($A262,0))),MOD((YEAR($A262)-YEAR('Recurring Schedule'!$F$11))*12+MONTH($A262)-MONTH('Recurring Schedule'!$F$11),'Recurring Schedule'!$O$11)=0),IF('Recurring Schedule'!$E$11="Weekdays",WEEKDAY($A262,2)&lt;=5,$A262='Recurring Schedule'!$F$11))),6,""))))</f>
        <v/>
      </c>
      <c r="H262">
        <f>IF('Recurring Schedule'!$C$12="","",IF('Recurring Schedule'!$F$12="","",IF(OR($A262&lt;'Recurring Schedule'!$F$12,$A262&gt;'Recurring Schedule'!$P$12),"",IF(IF('Recurring Schedule'!$N$12&gt;0,MOD($A262-'Recurring Schedule'!$F$12,'Recurring Schedule'!$N$12)=0,IF('Recurring Schedule'!$O$12&gt;0,AND(DAY($A262)=MIN(DAY('Recurring Schedule'!$F$12),DAY(EOMONTH($A262,0))),MOD((YEAR($A262)-YEAR('Recurring Schedule'!$F$12))*12+MONTH($A262)-MONTH('Recurring Schedule'!$F$12),'Recurring Schedule'!$O$12)=0),IF('Recurring Schedule'!$E$12="Weekdays",WEEKDAY($A262,2)&lt;=5,$A262='Recurring Schedule'!$F$12))),7,""))))</f>
        <v/>
      </c>
      <c r="I262">
        <f>IF('Recurring Schedule'!$C$13="","",IF('Recurring Schedule'!$F$13="","",IF(OR($A262&lt;'Recurring Schedule'!$F$13,$A262&gt;'Recurring Schedule'!$P$13),"",IF(IF('Recurring Schedule'!$N$13&gt;0,MOD($A262-'Recurring Schedule'!$F$13,'Recurring Schedule'!$N$13)=0,IF('Recurring Schedule'!$O$13&gt;0,AND(DAY($A262)=MIN(DAY('Recurring Schedule'!$F$13),DAY(EOMONTH($A262,0))),MOD((YEAR($A262)-YEAR('Recurring Schedule'!$F$13))*12+MONTH($A262)-MONTH('Recurring Schedule'!$F$13),'Recurring Schedule'!$O$13)=0),IF('Recurring Schedule'!$E$13="Weekdays",WEEKDAY($A262,2)&lt;=5,$A262='Recurring Schedule'!$F$13))),8,""))))</f>
        <v/>
      </c>
      <c r="J262">
        <f>IF('Recurring Schedule'!$C$14="","",IF('Recurring Schedule'!$F$14="","",IF(OR($A262&lt;'Recurring Schedule'!$F$14,$A262&gt;'Recurring Schedule'!$P$14),"",IF(IF('Recurring Schedule'!$N$14&gt;0,MOD($A262-'Recurring Schedule'!$F$14,'Recurring Schedule'!$N$14)=0,IF('Recurring Schedule'!$O$14&gt;0,AND(DAY($A262)=MIN(DAY('Recurring Schedule'!$F$14),DAY(EOMONTH($A262,0))),MOD((YEAR($A262)-YEAR('Recurring Schedule'!$F$14))*12+MONTH($A262)-MONTH('Recurring Schedule'!$F$14),'Recurring Schedule'!$O$14)=0),IF('Recurring Schedule'!$E$14="Weekdays",WEEKDAY($A262,2)&lt;=5,$A262='Recurring Schedule'!$F$14))),9,""))))</f>
        <v/>
      </c>
      <c r="K262">
        <f>IF('Recurring Schedule'!$C$15="","",IF('Recurring Schedule'!$F$15="","",IF(OR($A262&lt;'Recurring Schedule'!$F$15,$A262&gt;'Recurring Schedule'!$P$15),"",IF(IF('Recurring Schedule'!$N$15&gt;0,MOD($A262-'Recurring Schedule'!$F$15,'Recurring Schedule'!$N$15)=0,IF('Recurring Schedule'!$O$15&gt;0,AND(DAY($A262)=MIN(DAY('Recurring Schedule'!$F$15),DAY(EOMONTH($A262,0))),MOD((YEAR($A262)-YEAR('Recurring Schedule'!$F$15))*12+MONTH($A262)-MONTH('Recurring Schedule'!$F$15),'Recurring Schedule'!$O$15)=0),IF('Recurring Schedule'!$E$15="Weekdays",WEEKDAY($A262,2)&lt;=5,$A262='Recurring Schedule'!$F$15))),10,""))))</f>
        <v/>
      </c>
      <c r="L262">
        <f>IF('Recurring Schedule'!$C$16="","",IF('Recurring Schedule'!$F$16="","",IF(OR($A262&lt;'Recurring Schedule'!$F$16,$A262&gt;'Recurring Schedule'!$P$16),"",IF(IF('Recurring Schedule'!$N$16&gt;0,MOD($A262-'Recurring Schedule'!$F$16,'Recurring Schedule'!$N$16)=0,IF('Recurring Schedule'!$O$16&gt;0,AND(DAY($A262)=MIN(DAY('Recurring Schedule'!$F$16),DAY(EOMONTH($A262,0))),MOD((YEAR($A262)-YEAR('Recurring Schedule'!$F$16))*12+MONTH($A262)-MONTH('Recurring Schedule'!$F$16),'Recurring Schedule'!$O$16)=0),IF('Recurring Schedule'!$E$16="Weekdays",WEEKDAY($A262,2)&lt;=5,$A262='Recurring Schedule'!$F$16))),11,""))))</f>
        <v/>
      </c>
      <c r="M262">
        <f>IF('Recurring Schedule'!$C$17="","",IF('Recurring Schedule'!$F$17="","",IF(OR($A262&lt;'Recurring Schedule'!$F$17,$A262&gt;'Recurring Schedule'!$P$17),"",IF(IF('Recurring Schedule'!$N$17&gt;0,MOD($A262-'Recurring Schedule'!$F$17,'Recurring Schedule'!$N$17)=0,IF('Recurring Schedule'!$O$17&gt;0,AND(DAY($A262)=MIN(DAY('Recurring Schedule'!$F$17),DAY(EOMONTH($A262,0))),MOD((YEAR($A262)-YEAR('Recurring Schedule'!$F$17))*12+MONTH($A262)-MONTH('Recurring Schedule'!$F$17),'Recurring Schedule'!$O$17)=0),IF('Recurring Schedule'!$E$17="Weekdays",WEEKDAY($A262,2)&lt;=5,$A262='Recurring Schedule'!$F$17))),12,""))))</f>
        <v/>
      </c>
      <c r="N262">
        <f>IF('Recurring Schedule'!$C$18="","",IF('Recurring Schedule'!$F$18="","",IF(OR($A262&lt;'Recurring Schedule'!$F$18,$A262&gt;'Recurring Schedule'!$P$18),"",IF(IF('Recurring Schedule'!$N$18&gt;0,MOD($A262-'Recurring Schedule'!$F$18,'Recurring Schedule'!$N$18)=0,IF('Recurring Schedule'!$O$18&gt;0,AND(DAY($A262)=MIN(DAY('Recurring Schedule'!$F$18),DAY(EOMONTH($A262,0))),MOD((YEAR($A262)-YEAR('Recurring Schedule'!$F$18))*12+MONTH($A262)-MONTH('Recurring Schedule'!$F$18),'Recurring Schedule'!$O$18)=0),IF('Recurring Schedule'!$E$18="Weekdays",WEEKDAY($A262,2)&lt;=5,$A262='Recurring Schedule'!$F$18))),13,""))))</f>
        <v/>
      </c>
      <c r="O262">
        <f>IF('Recurring Schedule'!$C$19="","",IF('Recurring Schedule'!$F$19="","",IF(OR($A262&lt;'Recurring Schedule'!$F$19,$A262&gt;'Recurring Schedule'!$P$19),"",IF(IF('Recurring Schedule'!$N$19&gt;0,MOD($A262-'Recurring Schedule'!$F$19,'Recurring Schedule'!$N$19)=0,IF('Recurring Schedule'!$O$19&gt;0,AND(DAY($A262)=MIN(DAY('Recurring Schedule'!$F$19),DAY(EOMONTH($A262,0))),MOD((YEAR($A262)-YEAR('Recurring Schedule'!$F$19))*12+MONTH($A262)-MONTH('Recurring Schedule'!$F$19),'Recurring Schedule'!$O$19)=0),IF('Recurring Schedule'!$E$19="Weekdays",WEEKDAY($A262,2)&lt;=5,$A262='Recurring Schedule'!$F$19))),14,""))))</f>
        <v/>
      </c>
      <c r="P262">
        <f>IF('Recurring Schedule'!$C$20="","",IF('Recurring Schedule'!$F$20="","",IF(OR($A262&lt;'Recurring Schedule'!$F$20,$A262&gt;'Recurring Schedule'!$P$20),"",IF(IF('Recurring Schedule'!$N$20&gt;0,MOD($A262-'Recurring Schedule'!$F$20,'Recurring Schedule'!$N$20)=0,IF('Recurring Schedule'!$O$20&gt;0,AND(DAY($A262)=MIN(DAY('Recurring Schedule'!$F$20),DAY(EOMONTH($A262,0))),MOD((YEAR($A262)-YEAR('Recurring Schedule'!$F$20))*12+MONTH($A262)-MONTH('Recurring Schedule'!$F$20),'Recurring Schedule'!$O$20)=0),IF('Recurring Schedule'!$E$20="Weekdays",WEEKDAY($A262,2)&lt;=5,$A262='Recurring Schedule'!$F$20))),15,""))))</f>
        <v/>
      </c>
      <c r="Q262">
        <f>IF('Recurring Schedule'!$C$21="","",IF('Recurring Schedule'!$F$21="","",IF(OR($A262&lt;'Recurring Schedule'!$F$21,$A262&gt;'Recurring Schedule'!$P$21),"",IF(IF('Recurring Schedule'!$N$21&gt;0,MOD($A262-'Recurring Schedule'!$F$21,'Recurring Schedule'!$N$21)=0,IF('Recurring Schedule'!$O$21&gt;0,AND(DAY($A262)=MIN(DAY('Recurring Schedule'!$F$21),DAY(EOMONTH($A262,0))),MOD((YEAR($A262)-YEAR('Recurring Schedule'!$F$21))*12+MONTH($A262)-MONTH('Recurring Schedule'!$F$21),'Recurring Schedule'!$O$21)=0),IF('Recurring Schedule'!$E$21="Weekdays",WEEKDAY($A262,2)&lt;=5,$A262='Recurring Schedule'!$F$21))),16,""))))</f>
        <v/>
      </c>
      <c r="R262">
        <f>IF('Recurring Schedule'!$C$22="","",IF('Recurring Schedule'!$F$22="","",IF(OR($A262&lt;'Recurring Schedule'!$F$22,$A262&gt;'Recurring Schedule'!$P$22),"",IF(IF('Recurring Schedule'!$N$22&gt;0,MOD($A262-'Recurring Schedule'!$F$22,'Recurring Schedule'!$N$22)=0,IF('Recurring Schedule'!$O$22&gt;0,AND(DAY($A262)=MIN(DAY('Recurring Schedule'!$F$22),DAY(EOMONTH($A262,0))),MOD((YEAR($A262)-YEAR('Recurring Schedule'!$F$22))*12+MONTH($A262)-MONTH('Recurring Schedule'!$F$22),'Recurring Schedule'!$O$22)=0),IF('Recurring Schedule'!$E$22="Weekdays",WEEKDAY($A262,2)&lt;=5,$A262='Recurring Schedule'!$F$22))),17,""))))</f>
        <v/>
      </c>
      <c r="S262">
        <f>IF('Recurring Schedule'!$C$23="","",IF('Recurring Schedule'!$F$23="","",IF(OR($A262&lt;'Recurring Schedule'!$F$23,$A262&gt;'Recurring Schedule'!$P$23),"",IF(IF('Recurring Schedule'!$N$23&gt;0,MOD($A262-'Recurring Schedule'!$F$23,'Recurring Schedule'!$N$23)=0,IF('Recurring Schedule'!$O$23&gt;0,AND(DAY($A262)=MIN(DAY('Recurring Schedule'!$F$23),DAY(EOMONTH($A262,0))),MOD((YEAR($A262)-YEAR('Recurring Schedule'!$F$23))*12+MONTH($A262)-MONTH('Recurring Schedule'!$F$23),'Recurring Schedule'!$O$23)=0),IF('Recurring Schedule'!$E$23="Weekdays",WEEKDAY($A262,2)&lt;=5,$A262='Recurring Schedule'!$F$23))),18,""))))</f>
        <v/>
      </c>
      <c r="T262">
        <f>IF('Recurring Schedule'!$C$24="","",IF('Recurring Schedule'!$F$24="","",IF(OR($A262&lt;'Recurring Schedule'!$F$24,$A262&gt;'Recurring Schedule'!$P$24),"",IF(IF('Recurring Schedule'!$N$24&gt;0,MOD($A262-'Recurring Schedule'!$F$24,'Recurring Schedule'!$N$24)=0,IF('Recurring Schedule'!$O$24&gt;0,AND(DAY($A262)=MIN(DAY('Recurring Schedule'!$F$24),DAY(EOMONTH($A262,0))),MOD((YEAR($A262)-YEAR('Recurring Schedule'!$F$24))*12+MONTH($A262)-MONTH('Recurring Schedule'!$F$24),'Recurring Schedule'!$O$24)=0),IF('Recurring Schedule'!$E$24="Weekdays",WEEKDAY($A262,2)&lt;=5,$A262='Recurring Schedule'!$F$24))),19,""))))</f>
        <v/>
      </c>
      <c r="U262">
        <f>IF('Recurring Schedule'!$C$25="","",IF('Recurring Schedule'!$F$25="","",IF(OR($A262&lt;'Recurring Schedule'!$F$25,$A262&gt;'Recurring Schedule'!$P$25),"",IF(IF('Recurring Schedule'!$N$25&gt;0,MOD($A262-'Recurring Schedule'!$F$25,'Recurring Schedule'!$N$25)=0,IF('Recurring Schedule'!$O$25&gt;0,AND(DAY($A262)=MIN(DAY('Recurring Schedule'!$F$25),DAY(EOMONTH($A262,0))),MOD((YEAR($A262)-YEAR('Recurring Schedule'!$F$25))*12+MONTH($A262)-MONTH('Recurring Schedule'!$F$25),'Recurring Schedule'!$O$25)=0),IF('Recurring Schedule'!$E$25="Weekdays",WEEKDAY($A262,2)&lt;=5,$A262='Recurring Schedule'!$F$25))),20,""))))</f>
        <v/>
      </c>
      <c r="V262">
        <f>IF('Recurring Schedule'!$C$26="","",IF('Recurring Schedule'!$F$26="","",IF(OR($A262&lt;'Recurring Schedule'!$F$26,$A262&gt;'Recurring Schedule'!$P$26),"",IF(IF('Recurring Schedule'!$N$26&gt;0,MOD($A262-'Recurring Schedule'!$F$26,'Recurring Schedule'!$N$26)=0,IF('Recurring Schedule'!$O$26&gt;0,AND(DAY($A262)=MIN(DAY('Recurring Schedule'!$F$26),DAY(EOMONTH($A262,0))),MOD((YEAR($A262)-YEAR('Recurring Schedule'!$F$26))*12+MONTH($A262)-MONTH('Recurring Schedule'!$F$26),'Recurring Schedule'!$O$26)=0),IF('Recurring Schedule'!$E$26="Weekdays",WEEKDAY($A262,2)&lt;=5,$A262='Recurring Schedule'!$F$26))),21,""))))</f>
        <v/>
      </c>
      <c r="W262">
        <f>IF('Recurring Schedule'!$C$27="","",IF('Recurring Schedule'!$F$27="","",IF(OR($A262&lt;'Recurring Schedule'!$F$27,$A262&gt;'Recurring Schedule'!$P$27),"",IF(IF('Recurring Schedule'!$N$27&gt;0,MOD($A262-'Recurring Schedule'!$F$27,'Recurring Schedule'!$N$27)=0,IF('Recurring Schedule'!$O$27&gt;0,AND(DAY($A262)=MIN(DAY('Recurring Schedule'!$F$27),DAY(EOMONTH($A262,0))),MOD((YEAR($A262)-YEAR('Recurring Schedule'!$F$27))*12+MONTH($A262)-MONTH('Recurring Schedule'!$F$27),'Recurring Schedule'!$O$27)=0),IF('Recurring Schedule'!$E$27="Weekdays",WEEKDAY($A262,2)&lt;=5,$A262='Recurring Schedule'!$F$27))),22,""))))</f>
        <v/>
      </c>
      <c r="X262">
        <f>IF('Recurring Schedule'!$C$28="","",IF('Recurring Schedule'!$F$28="","",IF(OR($A262&lt;'Recurring Schedule'!$F$28,$A262&gt;'Recurring Schedule'!$P$28),"",IF(IF('Recurring Schedule'!$N$28&gt;0,MOD($A262-'Recurring Schedule'!$F$28,'Recurring Schedule'!$N$28)=0,IF('Recurring Schedule'!$O$28&gt;0,AND(DAY($A262)=MIN(DAY('Recurring Schedule'!$F$28),DAY(EOMONTH($A262,0))),MOD((YEAR($A262)-YEAR('Recurring Schedule'!$F$28))*12+MONTH($A262)-MONTH('Recurring Schedule'!$F$28),'Recurring Schedule'!$O$28)=0),IF('Recurring Schedule'!$E$28="Weekdays",WEEKDAY($A262,2)&lt;=5,$A262='Recurring Schedule'!$F$28))),23,""))))</f>
        <v/>
      </c>
      <c r="Y262">
        <f>IF('Recurring Schedule'!$C$29="","",IF('Recurring Schedule'!$F$29="","",IF(OR($A262&lt;'Recurring Schedule'!$F$29,$A262&gt;'Recurring Schedule'!$P$29),"",IF(IF('Recurring Schedule'!$N$29&gt;0,MOD($A262-'Recurring Schedule'!$F$29,'Recurring Schedule'!$N$29)=0,IF('Recurring Schedule'!$O$29&gt;0,AND(DAY($A262)=MIN(DAY('Recurring Schedule'!$F$29),DAY(EOMONTH($A262,0))),MOD((YEAR($A262)-YEAR('Recurring Schedule'!$F$29))*12+MONTH($A262)-MONTH('Recurring Schedule'!$F$29),'Recurring Schedule'!$O$29)=0),IF('Recurring Schedule'!$E$29="Weekdays",WEEKDAY($A262,2)&lt;=5,$A262='Recurring Schedule'!$F$29))),24,""))))</f>
        <v/>
      </c>
      <c r="Z262">
        <f>IF('Recurring Schedule'!$C$30="","",IF('Recurring Schedule'!$F$30="","",IF(OR($A262&lt;'Recurring Schedule'!$F$30,$A262&gt;'Recurring Schedule'!$P$30),"",IF(IF('Recurring Schedule'!$N$30&gt;0,MOD($A262-'Recurring Schedule'!$F$30,'Recurring Schedule'!$N$30)=0,IF('Recurring Schedule'!$O$30&gt;0,AND(DAY($A262)=MIN(DAY('Recurring Schedule'!$F$30),DAY(EOMONTH($A262,0))),MOD((YEAR($A262)-YEAR('Recurring Schedule'!$F$30))*12+MONTH($A262)-MONTH('Recurring Schedule'!$F$30),'Recurring Schedule'!$O$30)=0),IF('Recurring Schedule'!$E$30="Weekdays",WEEKDAY($A262,2)&lt;=5,$A262='Recurring Schedule'!$F$30))),25,""))))</f>
        <v/>
      </c>
      <c r="AA262">
        <f>IF('Recurring Schedule'!$C$31="","",IF('Recurring Schedule'!$F$31="","",IF(OR($A262&lt;'Recurring Schedule'!$F$31,$A262&gt;'Recurring Schedule'!$P$31),"",IF(IF('Recurring Schedule'!$N$31&gt;0,MOD($A262-'Recurring Schedule'!$F$31,'Recurring Schedule'!$N$31)=0,IF('Recurring Schedule'!$O$31&gt;0,AND(DAY($A262)=MIN(DAY('Recurring Schedule'!$F$31),DAY(EOMONTH($A262,0))),MOD((YEAR($A262)-YEAR('Recurring Schedule'!$F$31))*12+MONTH($A262)-MONTH('Recurring Schedule'!$F$31),'Recurring Schedule'!$O$31)=0),IF('Recurring Schedule'!$E$31="Weekdays",WEEKDAY($A262,2)&lt;=5,$A262='Recurring Schedule'!$F$31))),26,""))))</f>
        <v/>
      </c>
      <c r="AB262">
        <f>IF('Recurring Schedule'!$C$32="","",IF('Recurring Schedule'!$F$32="","",IF(OR($A262&lt;'Recurring Schedule'!$F$32,$A262&gt;'Recurring Schedule'!$P$32),"",IF(IF('Recurring Schedule'!$N$32&gt;0,MOD($A262-'Recurring Schedule'!$F$32,'Recurring Schedule'!$N$32)=0,IF('Recurring Schedule'!$O$32&gt;0,AND(DAY($A262)=MIN(DAY('Recurring Schedule'!$F$32),DAY(EOMONTH($A262,0))),MOD((YEAR($A262)-YEAR('Recurring Schedule'!$F$32))*12+MONTH($A262)-MONTH('Recurring Schedule'!$F$32),'Recurring Schedule'!$O$32)=0),IF('Recurring Schedule'!$E$32="Weekdays",WEEKDAY($A262,2)&lt;=5,$A262='Recurring Schedule'!$F$32))),27,""))))</f>
        <v/>
      </c>
      <c r="AC262">
        <f>IF('Recurring Schedule'!$C$33="","",IF('Recurring Schedule'!$F$33="","",IF(OR($A262&lt;'Recurring Schedule'!$F$33,$A262&gt;'Recurring Schedule'!$P$33),"",IF(IF('Recurring Schedule'!$N$33&gt;0,MOD($A262-'Recurring Schedule'!$F$33,'Recurring Schedule'!$N$33)=0,IF('Recurring Schedule'!$O$33&gt;0,AND(DAY($A262)=MIN(DAY('Recurring Schedule'!$F$33),DAY(EOMONTH($A262,0))),MOD((YEAR($A262)-YEAR('Recurring Schedule'!$F$33))*12+MONTH($A262)-MONTH('Recurring Schedule'!$F$33),'Recurring Schedule'!$O$33)=0),IF('Recurring Schedule'!$E$33="Weekdays",WEEKDAY($A262,2)&lt;=5,$A262='Recurring Schedule'!$F$33))),28,""))))</f>
        <v/>
      </c>
      <c r="AD262">
        <f>IF('Recurring Schedule'!$C$34="","",IF('Recurring Schedule'!$F$34="","",IF(OR($A262&lt;'Recurring Schedule'!$F$34,$A262&gt;'Recurring Schedule'!$P$34),"",IF(IF('Recurring Schedule'!$N$34&gt;0,MOD($A262-'Recurring Schedule'!$F$34,'Recurring Schedule'!$N$34)=0,IF('Recurring Schedule'!$O$34&gt;0,AND(DAY($A262)=MIN(DAY('Recurring Schedule'!$F$34),DAY(EOMONTH($A262,0))),MOD((YEAR($A262)-YEAR('Recurring Schedule'!$F$34))*12+MONTH($A262)-MONTH('Recurring Schedule'!$F$34),'Recurring Schedule'!$O$34)=0),IF('Recurring Schedule'!$E$34="Weekdays",WEEKDAY($A262,2)&lt;=5,$A262='Recurring Schedule'!$F$34))),29,""))))</f>
        <v/>
      </c>
      <c r="AE262">
        <f>IF('Recurring Schedule'!$C$35="","",IF('Recurring Schedule'!$F$35="","",IF(OR($A262&lt;'Recurring Schedule'!$F$35,$A262&gt;'Recurring Schedule'!$P$35),"",IF(IF('Recurring Schedule'!$N$35&gt;0,MOD($A262-'Recurring Schedule'!$F$35,'Recurring Schedule'!$N$35)=0,IF('Recurring Schedule'!$O$35&gt;0,AND(DAY($A262)=MIN(DAY('Recurring Schedule'!$F$35),DAY(EOMONTH($A262,0))),MOD((YEAR($A262)-YEAR('Recurring Schedule'!$F$35))*12+MONTH($A262)-MONTH('Recurring Schedule'!$F$35),'Recurring Schedule'!$O$35)=0),IF('Recurring Schedule'!$E$35="Weekdays",WEEKDAY($A262,2)&lt;=5,$A262='Recurring Schedule'!$F$35))),30,""))))</f>
        <v/>
      </c>
      <c r="AF262">
        <f>IF('Recurring Schedule'!$C$36="","",IF('Recurring Schedule'!$F$36="","",IF(OR($A262&lt;'Recurring Schedule'!$F$36,$A262&gt;'Recurring Schedule'!$P$36),"",IF(IF('Recurring Schedule'!$N$36&gt;0,MOD($A262-'Recurring Schedule'!$F$36,'Recurring Schedule'!$N$36)=0,IF('Recurring Schedule'!$O$36&gt;0,AND(DAY($A262)=MIN(DAY('Recurring Schedule'!$F$36),DAY(EOMONTH($A262,0))),MOD((YEAR($A262)-YEAR('Recurring Schedule'!$F$36))*12+MONTH($A262)-MONTH('Recurring Schedule'!$F$36),'Recurring Schedule'!$O$36)=0),IF('Recurring Schedule'!$E$36="Weekdays",WEEKDAY($A262,2)&lt;=5,$A262='Recurring Schedule'!$F$36))),31,""))))</f>
        <v/>
      </c>
      <c r="AG262">
        <f>IF('Recurring Schedule'!$C$37="","",IF('Recurring Schedule'!$F$37="","",IF(OR($A262&lt;'Recurring Schedule'!$F$37,$A262&gt;'Recurring Schedule'!$P$37),"",IF(IF('Recurring Schedule'!$N$37&gt;0,MOD($A262-'Recurring Schedule'!$F$37,'Recurring Schedule'!$N$37)=0,IF('Recurring Schedule'!$O$37&gt;0,AND(DAY($A262)=MIN(DAY('Recurring Schedule'!$F$37),DAY(EOMONTH($A262,0))),MOD((YEAR($A262)-YEAR('Recurring Schedule'!$F$37))*12+MONTH($A262)-MONTH('Recurring Schedule'!$F$37),'Recurring Schedule'!$O$37)=0),IF('Recurring Schedule'!$E$37="Weekdays",WEEKDAY($A262,2)&lt;=5,$A262='Recurring Schedule'!$F$37))),32,""))))</f>
        <v/>
      </c>
      <c r="AH262">
        <f>IF('Recurring Schedule'!$C$38="","",IF('Recurring Schedule'!$F$38="","",IF(OR($A262&lt;'Recurring Schedule'!$F$38,$A262&gt;'Recurring Schedule'!$P$38),"",IF(IF('Recurring Schedule'!$N$38&gt;0,MOD($A262-'Recurring Schedule'!$F$38,'Recurring Schedule'!$N$38)=0,IF('Recurring Schedule'!$O$38&gt;0,AND(DAY($A262)=MIN(DAY('Recurring Schedule'!$F$38),DAY(EOMONTH($A262,0))),MOD((YEAR($A262)-YEAR('Recurring Schedule'!$F$38))*12+MONTH($A262)-MONTH('Recurring Schedule'!$F$38),'Recurring Schedule'!$O$38)=0),IF('Recurring Schedule'!$E$38="Weekdays",WEEKDAY($A262,2)&lt;=5,$A262='Recurring Schedule'!$F$38))),33,""))))</f>
        <v/>
      </c>
      <c r="AI262">
        <f>IF('Recurring Schedule'!$C$39="","",IF('Recurring Schedule'!$F$39="","",IF(OR($A262&lt;'Recurring Schedule'!$F$39,$A262&gt;'Recurring Schedule'!$P$39),"",IF(IF('Recurring Schedule'!$N$39&gt;0,MOD($A262-'Recurring Schedule'!$F$39,'Recurring Schedule'!$N$39)=0,IF('Recurring Schedule'!$O$39&gt;0,AND(DAY($A262)=MIN(DAY('Recurring Schedule'!$F$39),DAY(EOMONTH($A262,0))),MOD((YEAR($A262)-YEAR('Recurring Schedule'!$F$39))*12+MONTH($A262)-MONTH('Recurring Schedule'!$F$39),'Recurring Schedule'!$O$39)=0),IF('Recurring Schedule'!$E$39="Weekdays",WEEKDAY($A262,2)&lt;=5,$A262='Recurring Schedule'!$F$39))),34,""))))</f>
        <v/>
      </c>
      <c r="AJ262">
        <f>IF('Recurring Schedule'!$C$40="","",IF('Recurring Schedule'!$F$40="","",IF(OR($A262&lt;'Recurring Schedule'!$F$40,$A262&gt;'Recurring Schedule'!$P$40),"",IF(IF('Recurring Schedule'!$N$40&gt;0,MOD($A262-'Recurring Schedule'!$F$40,'Recurring Schedule'!$N$40)=0,IF('Recurring Schedule'!$O$40&gt;0,AND(DAY($A262)=MIN(DAY('Recurring Schedule'!$F$40),DAY(EOMONTH($A262,0))),MOD((YEAR($A262)-YEAR('Recurring Schedule'!$F$40))*12+MONTH($A262)-MONTH('Recurring Schedule'!$F$40),'Recurring Schedule'!$O$40)=0),IF('Recurring Schedule'!$E$40="Weekdays",WEEKDAY($A262,2)&lt;=5,$A262='Recurring Schedule'!$F$40))),35,""))))</f>
        <v/>
      </c>
      <c r="AK262">
        <f>IF('Recurring Schedule'!$C$41="","",IF('Recurring Schedule'!$F$41="","",IF(OR($A262&lt;'Recurring Schedule'!$F$41,$A262&gt;'Recurring Schedule'!$P$41),"",IF(IF('Recurring Schedule'!$N$41&gt;0,MOD($A262-'Recurring Schedule'!$F$41,'Recurring Schedule'!$N$41)=0,IF('Recurring Schedule'!$O$41&gt;0,AND(DAY($A262)=MIN(DAY('Recurring Schedule'!$F$41),DAY(EOMONTH($A262,0))),MOD((YEAR($A262)-YEAR('Recurring Schedule'!$F$41))*12+MONTH($A262)-MONTH('Recurring Schedule'!$F$41),'Recurring Schedule'!$O$41)=0),IF('Recurring Schedule'!$E$41="Weekdays",WEEKDAY($A262,2)&lt;=5,$A262='Recurring Schedule'!$F$41))),36,""))))</f>
        <v/>
      </c>
      <c r="AL262">
        <f>IF('Recurring Schedule'!$C$42="","",IF('Recurring Schedule'!$F$42="","",IF(OR($A262&lt;'Recurring Schedule'!$F$42,$A262&gt;'Recurring Schedule'!$P$42),"",IF(IF('Recurring Schedule'!$N$42&gt;0,MOD($A262-'Recurring Schedule'!$F$42,'Recurring Schedule'!$N$42)=0,IF('Recurring Schedule'!$O$42&gt;0,AND(DAY($A262)=MIN(DAY('Recurring Schedule'!$F$42),DAY(EOMONTH($A262,0))),MOD((YEAR($A262)-YEAR('Recurring Schedule'!$F$42))*12+MONTH($A262)-MONTH('Recurring Schedule'!$F$42),'Recurring Schedule'!$O$42)=0),IF('Recurring Schedule'!$E$42="Weekdays",WEEKDAY($A262,2)&lt;=5,$A262='Recurring Schedule'!$F$42))),37,""))))</f>
        <v/>
      </c>
      <c r="AM262">
        <f>IF('Recurring Schedule'!$C$43="","",IF('Recurring Schedule'!$F$43="","",IF(OR($A262&lt;'Recurring Schedule'!$F$43,$A262&gt;'Recurring Schedule'!$P$43),"",IF(IF('Recurring Schedule'!$N$43&gt;0,MOD($A262-'Recurring Schedule'!$F$43,'Recurring Schedule'!$N$43)=0,IF('Recurring Schedule'!$O$43&gt;0,AND(DAY($A262)=MIN(DAY('Recurring Schedule'!$F$43),DAY(EOMONTH($A262,0))),MOD((YEAR($A262)-YEAR('Recurring Schedule'!$F$43))*12+MONTH($A262)-MONTH('Recurring Schedule'!$F$43),'Recurring Schedule'!$O$43)=0),IF('Recurring Schedule'!$E$43="Weekdays",WEEKDAY($A262,2)&lt;=5,$A262='Recurring Schedule'!$F$43))),38,""))))</f>
        <v/>
      </c>
      <c r="AN262">
        <f>IF('Recurring Schedule'!$C$44="","",IF('Recurring Schedule'!$F$44="","",IF(OR($A262&lt;'Recurring Schedule'!$F$44,$A262&gt;'Recurring Schedule'!$P$44),"",IF(IF('Recurring Schedule'!$N$44&gt;0,MOD($A262-'Recurring Schedule'!$F$44,'Recurring Schedule'!$N$44)=0,IF('Recurring Schedule'!$O$44&gt;0,AND(DAY($A262)=MIN(DAY('Recurring Schedule'!$F$44),DAY(EOMONTH($A262,0))),MOD((YEAR($A262)-YEAR('Recurring Schedule'!$F$44))*12+MONTH($A262)-MONTH('Recurring Schedule'!$F$44),'Recurring Schedule'!$O$44)=0),IF('Recurring Schedule'!$E$44="Weekdays",WEEKDAY($A262,2)&lt;=5,$A262='Recurring Schedule'!$F$44))),39,""))))</f>
        <v/>
      </c>
      <c r="AO262">
        <f>IF('Recurring Schedule'!$C$45="","",IF('Recurring Schedule'!$F$45="","",IF(OR($A262&lt;'Recurring Schedule'!$F$45,$A262&gt;'Recurring Schedule'!$P$45),"",IF(IF('Recurring Schedule'!$N$45&gt;0,MOD($A262-'Recurring Schedule'!$F$45,'Recurring Schedule'!$N$45)=0,IF('Recurring Schedule'!$O$45&gt;0,AND(DAY($A262)=MIN(DAY('Recurring Schedule'!$F$45),DAY(EOMONTH($A262,0))),MOD((YEAR($A262)-YEAR('Recurring Schedule'!$F$45))*12+MONTH($A262)-MONTH('Recurring Schedule'!$F$45),'Recurring Schedule'!$O$45)=0),IF('Recurring Schedule'!$E$45="Weekdays",WEEKDAY($A262,2)&lt;=5,$A262='Recurring Schedule'!$F$45))),40,""))))</f>
        <v/>
      </c>
      <c r="AP262">
        <f>COUNT(B262:AO262)</f>
        <v/>
      </c>
      <c r="AQ262">
        <f>AQ261+AP261</f>
        <v/>
      </c>
      <c r="AS262" t="inlineStr">
        <is>
          <t>R</t>
        </is>
      </c>
      <c r="AT262" t="n">
        <v>266</v>
      </c>
      <c r="AU262">
        <f>'Recurring Log'!C266&amp;""</f>
        <v/>
      </c>
      <c r="AV262">
        <f>'Recurring Log'!D266&amp;""</f>
        <v/>
      </c>
      <c r="AW262">
        <f>IF('Recurring Log'!E266="","",'Recurring Log'!E266)</f>
        <v/>
      </c>
      <c r="AX262">
        <f>IF('Recurring Log'!G266="","",'Recurring Log'!G266)</f>
        <v/>
      </c>
      <c r="AY262">
        <f>IF('Recurring Log'!H266="","",'Recurring Log'!H266)</f>
        <v/>
      </c>
      <c r="AZ262">
        <f>IF(AU262="","",IF('Recurring Log'!J266="","Not Started",'Recurring Log'!J266))</f>
        <v/>
      </c>
      <c r="BA262">
        <f>'Recurring Log'!L266&amp;""</f>
        <v/>
      </c>
      <c r="BB262">
        <f>'Recurring Log'!M266&amp;""</f>
        <v/>
      </c>
      <c r="BC262">
        <f>'Recurring Log'!N266&amp;""</f>
        <v/>
      </c>
      <c r="BD262">
        <f>'Recurring Log'!O266&amp;""</f>
        <v/>
      </c>
      <c r="BE262">
        <f>IF('Recurring Log'!K266="","",'Recurring Log'!K266)</f>
        <v/>
      </c>
      <c r="BF262">
        <f>IFERROR(MATCH(BA262,Setup!$L$6:$L$9,0),5)</f>
        <v/>
      </c>
      <c r="BG262">
        <f>IF(OR(AZ262="Done",AZ262="Cancelled"),1,0)</f>
        <v/>
      </c>
      <c r="BH262">
        <f>IF(AND(AU262&lt;&gt;"",ISNUMBER(AW262)),1,0)</f>
        <v/>
      </c>
      <c r="BI262">
        <f>IF(BH262=0,0,IF(AND(AW262&gt;='Tasks Filter'!$F$3,AW262&lt;='Tasks Filter'!$F$4,OR('Tasks Filter'!$I$3="",ISNUMBER(SEARCH('Tasks Filter'!$I$3,AU262))),OR('Tasks Filter'!$I$4="",BF262=IFERROR(MATCH('Tasks Filter'!$I$4,Setup!$L$6:$L$9,0),0)),OR('Tasks Filter'!$I$5="Both",AND('Tasks Filter'!$I$5="Yes",BB262="✓"),AND('Tasks Filter'!$I$5="No",BB262&lt;&gt;"✓")),OR('Tasks Filter'!$L$3="",AV262='Tasks Filter'!$L$3),OR('Tasks Filter'!$L$4="",AZ262='Tasks Filter'!$L$4),OR('Tasks Filter'!$L$5="",BC262='Tasks Filter'!$L$5),OR('Tasks Filter'!$O$3="",BD262='Tasks Filter'!$O$3),OR('Tasks Filter'!$O$4="Yes",BG262=0)),1,0))</f>
        <v/>
      </c>
      <c r="BJ262">
        <f>IF(BH262=0,"",IF('Tasks Filter'!$F$6="Descending",-1,1)*CHOOSE(MATCH('Tasks Filter'!$F$5,Lists!$G$2:$G$6,0),AW262,BF262,IFERROR(MATCH(AV262,Setup!$F$6:$F$15,0),99),IFERROR(MATCH(BC262,Setup!$H$6:$H$15,0),99),IFERROR(MATCH(AZ262,Setup!$J$6:$J$11,0),99))*1E+9+(AW262-40000)*10000+261)</f>
        <v/>
      </c>
      <c r="BK262">
        <f>IF(BI262=1,BJ262,"")</f>
        <v/>
      </c>
      <c r="BL262">
        <f>IF(AND(BH262=1,BG262=0,N(AW262)&lt;Setup!$D$7),(AW262-40000)*10000+261,"")</f>
        <v/>
      </c>
      <c r="BM262">
        <f>IF(AND(BH262=1,AZ262&lt;&gt;"Cancelled",N(AW262)&gt;=Dashboard!$AB$3,N(AW262)&lt;=Dashboard!$AB$3+6),(AW262-40000)*100000+BF262*10000+261,"")</f>
        <v/>
      </c>
      <c r="BN262">
        <f>IF(AND(BH262=1,AZ262&lt;&gt;"Cancelled"),BF262*10000+261,"")</f>
        <v/>
      </c>
    </row>
    <row r="263">
      <c r="A263">
        <f>Setup!$D$5+261</f>
        <v/>
      </c>
      <c r="B263">
        <f>IF('Recurring Schedule'!$C$6="","",IF('Recurring Schedule'!$F$6="","",IF(OR($A263&lt;'Recurring Schedule'!$F$6,$A263&gt;'Recurring Schedule'!$P$6),"",IF(IF('Recurring Schedule'!$N$6&gt;0,MOD($A263-'Recurring Schedule'!$F$6,'Recurring Schedule'!$N$6)=0,IF('Recurring Schedule'!$O$6&gt;0,AND(DAY($A263)=MIN(DAY('Recurring Schedule'!$F$6),DAY(EOMONTH($A263,0))),MOD((YEAR($A263)-YEAR('Recurring Schedule'!$F$6))*12+MONTH($A263)-MONTH('Recurring Schedule'!$F$6),'Recurring Schedule'!$O$6)=0),IF('Recurring Schedule'!$E$6="Weekdays",WEEKDAY($A263,2)&lt;=5,$A263='Recurring Schedule'!$F$6))),1,""))))</f>
        <v/>
      </c>
      <c r="C263">
        <f>IF('Recurring Schedule'!$C$7="","",IF('Recurring Schedule'!$F$7="","",IF(OR($A263&lt;'Recurring Schedule'!$F$7,$A263&gt;'Recurring Schedule'!$P$7),"",IF(IF('Recurring Schedule'!$N$7&gt;0,MOD($A263-'Recurring Schedule'!$F$7,'Recurring Schedule'!$N$7)=0,IF('Recurring Schedule'!$O$7&gt;0,AND(DAY($A263)=MIN(DAY('Recurring Schedule'!$F$7),DAY(EOMONTH($A263,0))),MOD((YEAR($A263)-YEAR('Recurring Schedule'!$F$7))*12+MONTH($A263)-MONTH('Recurring Schedule'!$F$7),'Recurring Schedule'!$O$7)=0),IF('Recurring Schedule'!$E$7="Weekdays",WEEKDAY($A263,2)&lt;=5,$A263='Recurring Schedule'!$F$7))),2,""))))</f>
        <v/>
      </c>
      <c r="D263">
        <f>IF('Recurring Schedule'!$C$8="","",IF('Recurring Schedule'!$F$8="","",IF(OR($A263&lt;'Recurring Schedule'!$F$8,$A263&gt;'Recurring Schedule'!$P$8),"",IF(IF('Recurring Schedule'!$N$8&gt;0,MOD($A263-'Recurring Schedule'!$F$8,'Recurring Schedule'!$N$8)=0,IF('Recurring Schedule'!$O$8&gt;0,AND(DAY($A263)=MIN(DAY('Recurring Schedule'!$F$8),DAY(EOMONTH($A263,0))),MOD((YEAR($A263)-YEAR('Recurring Schedule'!$F$8))*12+MONTH($A263)-MONTH('Recurring Schedule'!$F$8),'Recurring Schedule'!$O$8)=0),IF('Recurring Schedule'!$E$8="Weekdays",WEEKDAY($A263,2)&lt;=5,$A263='Recurring Schedule'!$F$8))),3,""))))</f>
        <v/>
      </c>
      <c r="E263">
        <f>IF('Recurring Schedule'!$C$9="","",IF('Recurring Schedule'!$F$9="","",IF(OR($A263&lt;'Recurring Schedule'!$F$9,$A263&gt;'Recurring Schedule'!$P$9),"",IF(IF('Recurring Schedule'!$N$9&gt;0,MOD($A263-'Recurring Schedule'!$F$9,'Recurring Schedule'!$N$9)=0,IF('Recurring Schedule'!$O$9&gt;0,AND(DAY($A263)=MIN(DAY('Recurring Schedule'!$F$9),DAY(EOMONTH($A263,0))),MOD((YEAR($A263)-YEAR('Recurring Schedule'!$F$9))*12+MONTH($A263)-MONTH('Recurring Schedule'!$F$9),'Recurring Schedule'!$O$9)=0),IF('Recurring Schedule'!$E$9="Weekdays",WEEKDAY($A263,2)&lt;=5,$A263='Recurring Schedule'!$F$9))),4,""))))</f>
        <v/>
      </c>
      <c r="F263">
        <f>IF('Recurring Schedule'!$C$10="","",IF('Recurring Schedule'!$F$10="","",IF(OR($A263&lt;'Recurring Schedule'!$F$10,$A263&gt;'Recurring Schedule'!$P$10),"",IF(IF('Recurring Schedule'!$N$10&gt;0,MOD($A263-'Recurring Schedule'!$F$10,'Recurring Schedule'!$N$10)=0,IF('Recurring Schedule'!$O$10&gt;0,AND(DAY($A263)=MIN(DAY('Recurring Schedule'!$F$10),DAY(EOMONTH($A263,0))),MOD((YEAR($A263)-YEAR('Recurring Schedule'!$F$10))*12+MONTH($A263)-MONTH('Recurring Schedule'!$F$10),'Recurring Schedule'!$O$10)=0),IF('Recurring Schedule'!$E$10="Weekdays",WEEKDAY($A263,2)&lt;=5,$A263='Recurring Schedule'!$F$10))),5,""))))</f>
        <v/>
      </c>
      <c r="G263">
        <f>IF('Recurring Schedule'!$C$11="","",IF('Recurring Schedule'!$F$11="","",IF(OR($A263&lt;'Recurring Schedule'!$F$11,$A263&gt;'Recurring Schedule'!$P$11),"",IF(IF('Recurring Schedule'!$N$11&gt;0,MOD($A263-'Recurring Schedule'!$F$11,'Recurring Schedule'!$N$11)=0,IF('Recurring Schedule'!$O$11&gt;0,AND(DAY($A263)=MIN(DAY('Recurring Schedule'!$F$11),DAY(EOMONTH($A263,0))),MOD((YEAR($A263)-YEAR('Recurring Schedule'!$F$11))*12+MONTH($A263)-MONTH('Recurring Schedule'!$F$11),'Recurring Schedule'!$O$11)=0),IF('Recurring Schedule'!$E$11="Weekdays",WEEKDAY($A263,2)&lt;=5,$A263='Recurring Schedule'!$F$11))),6,""))))</f>
        <v/>
      </c>
      <c r="H263">
        <f>IF('Recurring Schedule'!$C$12="","",IF('Recurring Schedule'!$F$12="","",IF(OR($A263&lt;'Recurring Schedule'!$F$12,$A263&gt;'Recurring Schedule'!$P$12),"",IF(IF('Recurring Schedule'!$N$12&gt;0,MOD($A263-'Recurring Schedule'!$F$12,'Recurring Schedule'!$N$12)=0,IF('Recurring Schedule'!$O$12&gt;0,AND(DAY($A263)=MIN(DAY('Recurring Schedule'!$F$12),DAY(EOMONTH($A263,0))),MOD((YEAR($A263)-YEAR('Recurring Schedule'!$F$12))*12+MONTH($A263)-MONTH('Recurring Schedule'!$F$12),'Recurring Schedule'!$O$12)=0),IF('Recurring Schedule'!$E$12="Weekdays",WEEKDAY($A263,2)&lt;=5,$A263='Recurring Schedule'!$F$12))),7,""))))</f>
        <v/>
      </c>
      <c r="I263">
        <f>IF('Recurring Schedule'!$C$13="","",IF('Recurring Schedule'!$F$13="","",IF(OR($A263&lt;'Recurring Schedule'!$F$13,$A263&gt;'Recurring Schedule'!$P$13),"",IF(IF('Recurring Schedule'!$N$13&gt;0,MOD($A263-'Recurring Schedule'!$F$13,'Recurring Schedule'!$N$13)=0,IF('Recurring Schedule'!$O$13&gt;0,AND(DAY($A263)=MIN(DAY('Recurring Schedule'!$F$13),DAY(EOMONTH($A263,0))),MOD((YEAR($A263)-YEAR('Recurring Schedule'!$F$13))*12+MONTH($A263)-MONTH('Recurring Schedule'!$F$13),'Recurring Schedule'!$O$13)=0),IF('Recurring Schedule'!$E$13="Weekdays",WEEKDAY($A263,2)&lt;=5,$A263='Recurring Schedule'!$F$13))),8,""))))</f>
        <v/>
      </c>
      <c r="J263">
        <f>IF('Recurring Schedule'!$C$14="","",IF('Recurring Schedule'!$F$14="","",IF(OR($A263&lt;'Recurring Schedule'!$F$14,$A263&gt;'Recurring Schedule'!$P$14),"",IF(IF('Recurring Schedule'!$N$14&gt;0,MOD($A263-'Recurring Schedule'!$F$14,'Recurring Schedule'!$N$14)=0,IF('Recurring Schedule'!$O$14&gt;0,AND(DAY($A263)=MIN(DAY('Recurring Schedule'!$F$14),DAY(EOMONTH($A263,0))),MOD((YEAR($A263)-YEAR('Recurring Schedule'!$F$14))*12+MONTH($A263)-MONTH('Recurring Schedule'!$F$14),'Recurring Schedule'!$O$14)=0),IF('Recurring Schedule'!$E$14="Weekdays",WEEKDAY($A263,2)&lt;=5,$A263='Recurring Schedule'!$F$14))),9,""))))</f>
        <v/>
      </c>
      <c r="K263">
        <f>IF('Recurring Schedule'!$C$15="","",IF('Recurring Schedule'!$F$15="","",IF(OR($A263&lt;'Recurring Schedule'!$F$15,$A263&gt;'Recurring Schedule'!$P$15),"",IF(IF('Recurring Schedule'!$N$15&gt;0,MOD($A263-'Recurring Schedule'!$F$15,'Recurring Schedule'!$N$15)=0,IF('Recurring Schedule'!$O$15&gt;0,AND(DAY($A263)=MIN(DAY('Recurring Schedule'!$F$15),DAY(EOMONTH($A263,0))),MOD((YEAR($A263)-YEAR('Recurring Schedule'!$F$15))*12+MONTH($A263)-MONTH('Recurring Schedule'!$F$15),'Recurring Schedule'!$O$15)=0),IF('Recurring Schedule'!$E$15="Weekdays",WEEKDAY($A263,2)&lt;=5,$A263='Recurring Schedule'!$F$15))),10,""))))</f>
        <v/>
      </c>
      <c r="L263">
        <f>IF('Recurring Schedule'!$C$16="","",IF('Recurring Schedule'!$F$16="","",IF(OR($A263&lt;'Recurring Schedule'!$F$16,$A263&gt;'Recurring Schedule'!$P$16),"",IF(IF('Recurring Schedule'!$N$16&gt;0,MOD($A263-'Recurring Schedule'!$F$16,'Recurring Schedule'!$N$16)=0,IF('Recurring Schedule'!$O$16&gt;0,AND(DAY($A263)=MIN(DAY('Recurring Schedule'!$F$16),DAY(EOMONTH($A263,0))),MOD((YEAR($A263)-YEAR('Recurring Schedule'!$F$16))*12+MONTH($A263)-MONTH('Recurring Schedule'!$F$16),'Recurring Schedule'!$O$16)=0),IF('Recurring Schedule'!$E$16="Weekdays",WEEKDAY($A263,2)&lt;=5,$A263='Recurring Schedule'!$F$16))),11,""))))</f>
        <v/>
      </c>
      <c r="M263">
        <f>IF('Recurring Schedule'!$C$17="","",IF('Recurring Schedule'!$F$17="","",IF(OR($A263&lt;'Recurring Schedule'!$F$17,$A263&gt;'Recurring Schedule'!$P$17),"",IF(IF('Recurring Schedule'!$N$17&gt;0,MOD($A263-'Recurring Schedule'!$F$17,'Recurring Schedule'!$N$17)=0,IF('Recurring Schedule'!$O$17&gt;0,AND(DAY($A263)=MIN(DAY('Recurring Schedule'!$F$17),DAY(EOMONTH($A263,0))),MOD((YEAR($A263)-YEAR('Recurring Schedule'!$F$17))*12+MONTH($A263)-MONTH('Recurring Schedule'!$F$17),'Recurring Schedule'!$O$17)=0),IF('Recurring Schedule'!$E$17="Weekdays",WEEKDAY($A263,2)&lt;=5,$A263='Recurring Schedule'!$F$17))),12,""))))</f>
        <v/>
      </c>
      <c r="N263">
        <f>IF('Recurring Schedule'!$C$18="","",IF('Recurring Schedule'!$F$18="","",IF(OR($A263&lt;'Recurring Schedule'!$F$18,$A263&gt;'Recurring Schedule'!$P$18),"",IF(IF('Recurring Schedule'!$N$18&gt;0,MOD($A263-'Recurring Schedule'!$F$18,'Recurring Schedule'!$N$18)=0,IF('Recurring Schedule'!$O$18&gt;0,AND(DAY($A263)=MIN(DAY('Recurring Schedule'!$F$18),DAY(EOMONTH($A263,0))),MOD((YEAR($A263)-YEAR('Recurring Schedule'!$F$18))*12+MONTH($A263)-MONTH('Recurring Schedule'!$F$18),'Recurring Schedule'!$O$18)=0),IF('Recurring Schedule'!$E$18="Weekdays",WEEKDAY($A263,2)&lt;=5,$A263='Recurring Schedule'!$F$18))),13,""))))</f>
        <v/>
      </c>
      <c r="O263">
        <f>IF('Recurring Schedule'!$C$19="","",IF('Recurring Schedule'!$F$19="","",IF(OR($A263&lt;'Recurring Schedule'!$F$19,$A263&gt;'Recurring Schedule'!$P$19),"",IF(IF('Recurring Schedule'!$N$19&gt;0,MOD($A263-'Recurring Schedule'!$F$19,'Recurring Schedule'!$N$19)=0,IF('Recurring Schedule'!$O$19&gt;0,AND(DAY($A263)=MIN(DAY('Recurring Schedule'!$F$19),DAY(EOMONTH($A263,0))),MOD((YEAR($A263)-YEAR('Recurring Schedule'!$F$19))*12+MONTH($A263)-MONTH('Recurring Schedule'!$F$19),'Recurring Schedule'!$O$19)=0),IF('Recurring Schedule'!$E$19="Weekdays",WEEKDAY($A263,2)&lt;=5,$A263='Recurring Schedule'!$F$19))),14,""))))</f>
        <v/>
      </c>
      <c r="P263">
        <f>IF('Recurring Schedule'!$C$20="","",IF('Recurring Schedule'!$F$20="","",IF(OR($A263&lt;'Recurring Schedule'!$F$20,$A263&gt;'Recurring Schedule'!$P$20),"",IF(IF('Recurring Schedule'!$N$20&gt;0,MOD($A263-'Recurring Schedule'!$F$20,'Recurring Schedule'!$N$20)=0,IF('Recurring Schedule'!$O$20&gt;0,AND(DAY($A263)=MIN(DAY('Recurring Schedule'!$F$20),DAY(EOMONTH($A263,0))),MOD((YEAR($A263)-YEAR('Recurring Schedule'!$F$20))*12+MONTH($A263)-MONTH('Recurring Schedule'!$F$20),'Recurring Schedule'!$O$20)=0),IF('Recurring Schedule'!$E$20="Weekdays",WEEKDAY($A263,2)&lt;=5,$A263='Recurring Schedule'!$F$20))),15,""))))</f>
        <v/>
      </c>
      <c r="Q263">
        <f>IF('Recurring Schedule'!$C$21="","",IF('Recurring Schedule'!$F$21="","",IF(OR($A263&lt;'Recurring Schedule'!$F$21,$A263&gt;'Recurring Schedule'!$P$21),"",IF(IF('Recurring Schedule'!$N$21&gt;0,MOD($A263-'Recurring Schedule'!$F$21,'Recurring Schedule'!$N$21)=0,IF('Recurring Schedule'!$O$21&gt;0,AND(DAY($A263)=MIN(DAY('Recurring Schedule'!$F$21),DAY(EOMONTH($A263,0))),MOD((YEAR($A263)-YEAR('Recurring Schedule'!$F$21))*12+MONTH($A263)-MONTH('Recurring Schedule'!$F$21),'Recurring Schedule'!$O$21)=0),IF('Recurring Schedule'!$E$21="Weekdays",WEEKDAY($A263,2)&lt;=5,$A263='Recurring Schedule'!$F$21))),16,""))))</f>
        <v/>
      </c>
      <c r="R263">
        <f>IF('Recurring Schedule'!$C$22="","",IF('Recurring Schedule'!$F$22="","",IF(OR($A263&lt;'Recurring Schedule'!$F$22,$A263&gt;'Recurring Schedule'!$P$22),"",IF(IF('Recurring Schedule'!$N$22&gt;0,MOD($A263-'Recurring Schedule'!$F$22,'Recurring Schedule'!$N$22)=0,IF('Recurring Schedule'!$O$22&gt;0,AND(DAY($A263)=MIN(DAY('Recurring Schedule'!$F$22),DAY(EOMONTH($A263,0))),MOD((YEAR($A263)-YEAR('Recurring Schedule'!$F$22))*12+MONTH($A263)-MONTH('Recurring Schedule'!$F$22),'Recurring Schedule'!$O$22)=0),IF('Recurring Schedule'!$E$22="Weekdays",WEEKDAY($A263,2)&lt;=5,$A263='Recurring Schedule'!$F$22))),17,""))))</f>
        <v/>
      </c>
      <c r="S263">
        <f>IF('Recurring Schedule'!$C$23="","",IF('Recurring Schedule'!$F$23="","",IF(OR($A263&lt;'Recurring Schedule'!$F$23,$A263&gt;'Recurring Schedule'!$P$23),"",IF(IF('Recurring Schedule'!$N$23&gt;0,MOD($A263-'Recurring Schedule'!$F$23,'Recurring Schedule'!$N$23)=0,IF('Recurring Schedule'!$O$23&gt;0,AND(DAY($A263)=MIN(DAY('Recurring Schedule'!$F$23),DAY(EOMONTH($A263,0))),MOD((YEAR($A263)-YEAR('Recurring Schedule'!$F$23))*12+MONTH($A263)-MONTH('Recurring Schedule'!$F$23),'Recurring Schedule'!$O$23)=0),IF('Recurring Schedule'!$E$23="Weekdays",WEEKDAY($A263,2)&lt;=5,$A263='Recurring Schedule'!$F$23))),18,""))))</f>
        <v/>
      </c>
      <c r="T263">
        <f>IF('Recurring Schedule'!$C$24="","",IF('Recurring Schedule'!$F$24="","",IF(OR($A263&lt;'Recurring Schedule'!$F$24,$A263&gt;'Recurring Schedule'!$P$24),"",IF(IF('Recurring Schedule'!$N$24&gt;0,MOD($A263-'Recurring Schedule'!$F$24,'Recurring Schedule'!$N$24)=0,IF('Recurring Schedule'!$O$24&gt;0,AND(DAY($A263)=MIN(DAY('Recurring Schedule'!$F$24),DAY(EOMONTH($A263,0))),MOD((YEAR($A263)-YEAR('Recurring Schedule'!$F$24))*12+MONTH($A263)-MONTH('Recurring Schedule'!$F$24),'Recurring Schedule'!$O$24)=0),IF('Recurring Schedule'!$E$24="Weekdays",WEEKDAY($A263,2)&lt;=5,$A263='Recurring Schedule'!$F$24))),19,""))))</f>
        <v/>
      </c>
      <c r="U263">
        <f>IF('Recurring Schedule'!$C$25="","",IF('Recurring Schedule'!$F$25="","",IF(OR($A263&lt;'Recurring Schedule'!$F$25,$A263&gt;'Recurring Schedule'!$P$25),"",IF(IF('Recurring Schedule'!$N$25&gt;0,MOD($A263-'Recurring Schedule'!$F$25,'Recurring Schedule'!$N$25)=0,IF('Recurring Schedule'!$O$25&gt;0,AND(DAY($A263)=MIN(DAY('Recurring Schedule'!$F$25),DAY(EOMONTH($A263,0))),MOD((YEAR($A263)-YEAR('Recurring Schedule'!$F$25))*12+MONTH($A263)-MONTH('Recurring Schedule'!$F$25),'Recurring Schedule'!$O$25)=0),IF('Recurring Schedule'!$E$25="Weekdays",WEEKDAY($A263,2)&lt;=5,$A263='Recurring Schedule'!$F$25))),20,""))))</f>
        <v/>
      </c>
      <c r="V263">
        <f>IF('Recurring Schedule'!$C$26="","",IF('Recurring Schedule'!$F$26="","",IF(OR($A263&lt;'Recurring Schedule'!$F$26,$A263&gt;'Recurring Schedule'!$P$26),"",IF(IF('Recurring Schedule'!$N$26&gt;0,MOD($A263-'Recurring Schedule'!$F$26,'Recurring Schedule'!$N$26)=0,IF('Recurring Schedule'!$O$26&gt;0,AND(DAY($A263)=MIN(DAY('Recurring Schedule'!$F$26),DAY(EOMONTH($A263,0))),MOD((YEAR($A263)-YEAR('Recurring Schedule'!$F$26))*12+MONTH($A263)-MONTH('Recurring Schedule'!$F$26),'Recurring Schedule'!$O$26)=0),IF('Recurring Schedule'!$E$26="Weekdays",WEEKDAY($A263,2)&lt;=5,$A263='Recurring Schedule'!$F$26))),21,""))))</f>
        <v/>
      </c>
      <c r="W263">
        <f>IF('Recurring Schedule'!$C$27="","",IF('Recurring Schedule'!$F$27="","",IF(OR($A263&lt;'Recurring Schedule'!$F$27,$A263&gt;'Recurring Schedule'!$P$27),"",IF(IF('Recurring Schedule'!$N$27&gt;0,MOD($A263-'Recurring Schedule'!$F$27,'Recurring Schedule'!$N$27)=0,IF('Recurring Schedule'!$O$27&gt;0,AND(DAY($A263)=MIN(DAY('Recurring Schedule'!$F$27),DAY(EOMONTH($A263,0))),MOD((YEAR($A263)-YEAR('Recurring Schedule'!$F$27))*12+MONTH($A263)-MONTH('Recurring Schedule'!$F$27),'Recurring Schedule'!$O$27)=0),IF('Recurring Schedule'!$E$27="Weekdays",WEEKDAY($A263,2)&lt;=5,$A263='Recurring Schedule'!$F$27))),22,""))))</f>
        <v/>
      </c>
      <c r="X263">
        <f>IF('Recurring Schedule'!$C$28="","",IF('Recurring Schedule'!$F$28="","",IF(OR($A263&lt;'Recurring Schedule'!$F$28,$A263&gt;'Recurring Schedule'!$P$28),"",IF(IF('Recurring Schedule'!$N$28&gt;0,MOD($A263-'Recurring Schedule'!$F$28,'Recurring Schedule'!$N$28)=0,IF('Recurring Schedule'!$O$28&gt;0,AND(DAY($A263)=MIN(DAY('Recurring Schedule'!$F$28),DAY(EOMONTH($A263,0))),MOD((YEAR($A263)-YEAR('Recurring Schedule'!$F$28))*12+MONTH($A263)-MONTH('Recurring Schedule'!$F$28),'Recurring Schedule'!$O$28)=0),IF('Recurring Schedule'!$E$28="Weekdays",WEEKDAY($A263,2)&lt;=5,$A263='Recurring Schedule'!$F$28))),23,""))))</f>
        <v/>
      </c>
      <c r="Y263">
        <f>IF('Recurring Schedule'!$C$29="","",IF('Recurring Schedule'!$F$29="","",IF(OR($A263&lt;'Recurring Schedule'!$F$29,$A263&gt;'Recurring Schedule'!$P$29),"",IF(IF('Recurring Schedule'!$N$29&gt;0,MOD($A263-'Recurring Schedule'!$F$29,'Recurring Schedule'!$N$29)=0,IF('Recurring Schedule'!$O$29&gt;0,AND(DAY($A263)=MIN(DAY('Recurring Schedule'!$F$29),DAY(EOMONTH($A263,0))),MOD((YEAR($A263)-YEAR('Recurring Schedule'!$F$29))*12+MONTH($A263)-MONTH('Recurring Schedule'!$F$29),'Recurring Schedule'!$O$29)=0),IF('Recurring Schedule'!$E$29="Weekdays",WEEKDAY($A263,2)&lt;=5,$A263='Recurring Schedule'!$F$29))),24,""))))</f>
        <v/>
      </c>
      <c r="Z263">
        <f>IF('Recurring Schedule'!$C$30="","",IF('Recurring Schedule'!$F$30="","",IF(OR($A263&lt;'Recurring Schedule'!$F$30,$A263&gt;'Recurring Schedule'!$P$30),"",IF(IF('Recurring Schedule'!$N$30&gt;0,MOD($A263-'Recurring Schedule'!$F$30,'Recurring Schedule'!$N$30)=0,IF('Recurring Schedule'!$O$30&gt;0,AND(DAY($A263)=MIN(DAY('Recurring Schedule'!$F$30),DAY(EOMONTH($A263,0))),MOD((YEAR($A263)-YEAR('Recurring Schedule'!$F$30))*12+MONTH($A263)-MONTH('Recurring Schedule'!$F$30),'Recurring Schedule'!$O$30)=0),IF('Recurring Schedule'!$E$30="Weekdays",WEEKDAY($A263,2)&lt;=5,$A263='Recurring Schedule'!$F$30))),25,""))))</f>
        <v/>
      </c>
      <c r="AA263">
        <f>IF('Recurring Schedule'!$C$31="","",IF('Recurring Schedule'!$F$31="","",IF(OR($A263&lt;'Recurring Schedule'!$F$31,$A263&gt;'Recurring Schedule'!$P$31),"",IF(IF('Recurring Schedule'!$N$31&gt;0,MOD($A263-'Recurring Schedule'!$F$31,'Recurring Schedule'!$N$31)=0,IF('Recurring Schedule'!$O$31&gt;0,AND(DAY($A263)=MIN(DAY('Recurring Schedule'!$F$31),DAY(EOMONTH($A263,0))),MOD((YEAR($A263)-YEAR('Recurring Schedule'!$F$31))*12+MONTH($A263)-MONTH('Recurring Schedule'!$F$31),'Recurring Schedule'!$O$31)=0),IF('Recurring Schedule'!$E$31="Weekdays",WEEKDAY($A263,2)&lt;=5,$A263='Recurring Schedule'!$F$31))),26,""))))</f>
        <v/>
      </c>
      <c r="AB263">
        <f>IF('Recurring Schedule'!$C$32="","",IF('Recurring Schedule'!$F$32="","",IF(OR($A263&lt;'Recurring Schedule'!$F$32,$A263&gt;'Recurring Schedule'!$P$32),"",IF(IF('Recurring Schedule'!$N$32&gt;0,MOD($A263-'Recurring Schedule'!$F$32,'Recurring Schedule'!$N$32)=0,IF('Recurring Schedule'!$O$32&gt;0,AND(DAY($A263)=MIN(DAY('Recurring Schedule'!$F$32),DAY(EOMONTH($A263,0))),MOD((YEAR($A263)-YEAR('Recurring Schedule'!$F$32))*12+MONTH($A263)-MONTH('Recurring Schedule'!$F$32),'Recurring Schedule'!$O$32)=0),IF('Recurring Schedule'!$E$32="Weekdays",WEEKDAY($A263,2)&lt;=5,$A263='Recurring Schedule'!$F$32))),27,""))))</f>
        <v/>
      </c>
      <c r="AC263">
        <f>IF('Recurring Schedule'!$C$33="","",IF('Recurring Schedule'!$F$33="","",IF(OR($A263&lt;'Recurring Schedule'!$F$33,$A263&gt;'Recurring Schedule'!$P$33),"",IF(IF('Recurring Schedule'!$N$33&gt;0,MOD($A263-'Recurring Schedule'!$F$33,'Recurring Schedule'!$N$33)=0,IF('Recurring Schedule'!$O$33&gt;0,AND(DAY($A263)=MIN(DAY('Recurring Schedule'!$F$33),DAY(EOMONTH($A263,0))),MOD((YEAR($A263)-YEAR('Recurring Schedule'!$F$33))*12+MONTH($A263)-MONTH('Recurring Schedule'!$F$33),'Recurring Schedule'!$O$33)=0),IF('Recurring Schedule'!$E$33="Weekdays",WEEKDAY($A263,2)&lt;=5,$A263='Recurring Schedule'!$F$33))),28,""))))</f>
        <v/>
      </c>
      <c r="AD263">
        <f>IF('Recurring Schedule'!$C$34="","",IF('Recurring Schedule'!$F$34="","",IF(OR($A263&lt;'Recurring Schedule'!$F$34,$A263&gt;'Recurring Schedule'!$P$34),"",IF(IF('Recurring Schedule'!$N$34&gt;0,MOD($A263-'Recurring Schedule'!$F$34,'Recurring Schedule'!$N$34)=0,IF('Recurring Schedule'!$O$34&gt;0,AND(DAY($A263)=MIN(DAY('Recurring Schedule'!$F$34),DAY(EOMONTH($A263,0))),MOD((YEAR($A263)-YEAR('Recurring Schedule'!$F$34))*12+MONTH($A263)-MONTH('Recurring Schedule'!$F$34),'Recurring Schedule'!$O$34)=0),IF('Recurring Schedule'!$E$34="Weekdays",WEEKDAY($A263,2)&lt;=5,$A263='Recurring Schedule'!$F$34))),29,""))))</f>
        <v/>
      </c>
      <c r="AE263">
        <f>IF('Recurring Schedule'!$C$35="","",IF('Recurring Schedule'!$F$35="","",IF(OR($A263&lt;'Recurring Schedule'!$F$35,$A263&gt;'Recurring Schedule'!$P$35),"",IF(IF('Recurring Schedule'!$N$35&gt;0,MOD($A263-'Recurring Schedule'!$F$35,'Recurring Schedule'!$N$35)=0,IF('Recurring Schedule'!$O$35&gt;0,AND(DAY($A263)=MIN(DAY('Recurring Schedule'!$F$35),DAY(EOMONTH($A263,0))),MOD((YEAR($A263)-YEAR('Recurring Schedule'!$F$35))*12+MONTH($A263)-MONTH('Recurring Schedule'!$F$35),'Recurring Schedule'!$O$35)=0),IF('Recurring Schedule'!$E$35="Weekdays",WEEKDAY($A263,2)&lt;=5,$A263='Recurring Schedule'!$F$35))),30,""))))</f>
        <v/>
      </c>
      <c r="AF263">
        <f>IF('Recurring Schedule'!$C$36="","",IF('Recurring Schedule'!$F$36="","",IF(OR($A263&lt;'Recurring Schedule'!$F$36,$A263&gt;'Recurring Schedule'!$P$36),"",IF(IF('Recurring Schedule'!$N$36&gt;0,MOD($A263-'Recurring Schedule'!$F$36,'Recurring Schedule'!$N$36)=0,IF('Recurring Schedule'!$O$36&gt;0,AND(DAY($A263)=MIN(DAY('Recurring Schedule'!$F$36),DAY(EOMONTH($A263,0))),MOD((YEAR($A263)-YEAR('Recurring Schedule'!$F$36))*12+MONTH($A263)-MONTH('Recurring Schedule'!$F$36),'Recurring Schedule'!$O$36)=0),IF('Recurring Schedule'!$E$36="Weekdays",WEEKDAY($A263,2)&lt;=5,$A263='Recurring Schedule'!$F$36))),31,""))))</f>
        <v/>
      </c>
      <c r="AG263">
        <f>IF('Recurring Schedule'!$C$37="","",IF('Recurring Schedule'!$F$37="","",IF(OR($A263&lt;'Recurring Schedule'!$F$37,$A263&gt;'Recurring Schedule'!$P$37),"",IF(IF('Recurring Schedule'!$N$37&gt;0,MOD($A263-'Recurring Schedule'!$F$37,'Recurring Schedule'!$N$37)=0,IF('Recurring Schedule'!$O$37&gt;0,AND(DAY($A263)=MIN(DAY('Recurring Schedule'!$F$37),DAY(EOMONTH($A263,0))),MOD((YEAR($A263)-YEAR('Recurring Schedule'!$F$37))*12+MONTH($A263)-MONTH('Recurring Schedule'!$F$37),'Recurring Schedule'!$O$37)=0),IF('Recurring Schedule'!$E$37="Weekdays",WEEKDAY($A263,2)&lt;=5,$A263='Recurring Schedule'!$F$37))),32,""))))</f>
        <v/>
      </c>
      <c r="AH263">
        <f>IF('Recurring Schedule'!$C$38="","",IF('Recurring Schedule'!$F$38="","",IF(OR($A263&lt;'Recurring Schedule'!$F$38,$A263&gt;'Recurring Schedule'!$P$38),"",IF(IF('Recurring Schedule'!$N$38&gt;0,MOD($A263-'Recurring Schedule'!$F$38,'Recurring Schedule'!$N$38)=0,IF('Recurring Schedule'!$O$38&gt;0,AND(DAY($A263)=MIN(DAY('Recurring Schedule'!$F$38),DAY(EOMONTH($A263,0))),MOD((YEAR($A263)-YEAR('Recurring Schedule'!$F$38))*12+MONTH($A263)-MONTH('Recurring Schedule'!$F$38),'Recurring Schedule'!$O$38)=0),IF('Recurring Schedule'!$E$38="Weekdays",WEEKDAY($A263,2)&lt;=5,$A263='Recurring Schedule'!$F$38))),33,""))))</f>
        <v/>
      </c>
      <c r="AI263">
        <f>IF('Recurring Schedule'!$C$39="","",IF('Recurring Schedule'!$F$39="","",IF(OR($A263&lt;'Recurring Schedule'!$F$39,$A263&gt;'Recurring Schedule'!$P$39),"",IF(IF('Recurring Schedule'!$N$39&gt;0,MOD($A263-'Recurring Schedule'!$F$39,'Recurring Schedule'!$N$39)=0,IF('Recurring Schedule'!$O$39&gt;0,AND(DAY($A263)=MIN(DAY('Recurring Schedule'!$F$39),DAY(EOMONTH($A263,0))),MOD((YEAR($A263)-YEAR('Recurring Schedule'!$F$39))*12+MONTH($A263)-MONTH('Recurring Schedule'!$F$39),'Recurring Schedule'!$O$39)=0),IF('Recurring Schedule'!$E$39="Weekdays",WEEKDAY($A263,2)&lt;=5,$A263='Recurring Schedule'!$F$39))),34,""))))</f>
        <v/>
      </c>
      <c r="AJ263">
        <f>IF('Recurring Schedule'!$C$40="","",IF('Recurring Schedule'!$F$40="","",IF(OR($A263&lt;'Recurring Schedule'!$F$40,$A263&gt;'Recurring Schedule'!$P$40),"",IF(IF('Recurring Schedule'!$N$40&gt;0,MOD($A263-'Recurring Schedule'!$F$40,'Recurring Schedule'!$N$40)=0,IF('Recurring Schedule'!$O$40&gt;0,AND(DAY($A263)=MIN(DAY('Recurring Schedule'!$F$40),DAY(EOMONTH($A263,0))),MOD((YEAR($A263)-YEAR('Recurring Schedule'!$F$40))*12+MONTH($A263)-MONTH('Recurring Schedule'!$F$40),'Recurring Schedule'!$O$40)=0),IF('Recurring Schedule'!$E$40="Weekdays",WEEKDAY($A263,2)&lt;=5,$A263='Recurring Schedule'!$F$40))),35,""))))</f>
        <v/>
      </c>
      <c r="AK263">
        <f>IF('Recurring Schedule'!$C$41="","",IF('Recurring Schedule'!$F$41="","",IF(OR($A263&lt;'Recurring Schedule'!$F$41,$A263&gt;'Recurring Schedule'!$P$41),"",IF(IF('Recurring Schedule'!$N$41&gt;0,MOD($A263-'Recurring Schedule'!$F$41,'Recurring Schedule'!$N$41)=0,IF('Recurring Schedule'!$O$41&gt;0,AND(DAY($A263)=MIN(DAY('Recurring Schedule'!$F$41),DAY(EOMONTH($A263,0))),MOD((YEAR($A263)-YEAR('Recurring Schedule'!$F$41))*12+MONTH($A263)-MONTH('Recurring Schedule'!$F$41),'Recurring Schedule'!$O$41)=0),IF('Recurring Schedule'!$E$41="Weekdays",WEEKDAY($A263,2)&lt;=5,$A263='Recurring Schedule'!$F$41))),36,""))))</f>
        <v/>
      </c>
      <c r="AL263">
        <f>IF('Recurring Schedule'!$C$42="","",IF('Recurring Schedule'!$F$42="","",IF(OR($A263&lt;'Recurring Schedule'!$F$42,$A263&gt;'Recurring Schedule'!$P$42),"",IF(IF('Recurring Schedule'!$N$42&gt;0,MOD($A263-'Recurring Schedule'!$F$42,'Recurring Schedule'!$N$42)=0,IF('Recurring Schedule'!$O$42&gt;0,AND(DAY($A263)=MIN(DAY('Recurring Schedule'!$F$42),DAY(EOMONTH($A263,0))),MOD((YEAR($A263)-YEAR('Recurring Schedule'!$F$42))*12+MONTH($A263)-MONTH('Recurring Schedule'!$F$42),'Recurring Schedule'!$O$42)=0),IF('Recurring Schedule'!$E$42="Weekdays",WEEKDAY($A263,2)&lt;=5,$A263='Recurring Schedule'!$F$42))),37,""))))</f>
        <v/>
      </c>
      <c r="AM263">
        <f>IF('Recurring Schedule'!$C$43="","",IF('Recurring Schedule'!$F$43="","",IF(OR($A263&lt;'Recurring Schedule'!$F$43,$A263&gt;'Recurring Schedule'!$P$43),"",IF(IF('Recurring Schedule'!$N$43&gt;0,MOD($A263-'Recurring Schedule'!$F$43,'Recurring Schedule'!$N$43)=0,IF('Recurring Schedule'!$O$43&gt;0,AND(DAY($A263)=MIN(DAY('Recurring Schedule'!$F$43),DAY(EOMONTH($A263,0))),MOD((YEAR($A263)-YEAR('Recurring Schedule'!$F$43))*12+MONTH($A263)-MONTH('Recurring Schedule'!$F$43),'Recurring Schedule'!$O$43)=0),IF('Recurring Schedule'!$E$43="Weekdays",WEEKDAY($A263,2)&lt;=5,$A263='Recurring Schedule'!$F$43))),38,""))))</f>
        <v/>
      </c>
      <c r="AN263">
        <f>IF('Recurring Schedule'!$C$44="","",IF('Recurring Schedule'!$F$44="","",IF(OR($A263&lt;'Recurring Schedule'!$F$44,$A263&gt;'Recurring Schedule'!$P$44),"",IF(IF('Recurring Schedule'!$N$44&gt;0,MOD($A263-'Recurring Schedule'!$F$44,'Recurring Schedule'!$N$44)=0,IF('Recurring Schedule'!$O$44&gt;0,AND(DAY($A263)=MIN(DAY('Recurring Schedule'!$F$44),DAY(EOMONTH($A263,0))),MOD((YEAR($A263)-YEAR('Recurring Schedule'!$F$44))*12+MONTH($A263)-MONTH('Recurring Schedule'!$F$44),'Recurring Schedule'!$O$44)=0),IF('Recurring Schedule'!$E$44="Weekdays",WEEKDAY($A263,2)&lt;=5,$A263='Recurring Schedule'!$F$44))),39,""))))</f>
        <v/>
      </c>
      <c r="AO263">
        <f>IF('Recurring Schedule'!$C$45="","",IF('Recurring Schedule'!$F$45="","",IF(OR($A263&lt;'Recurring Schedule'!$F$45,$A263&gt;'Recurring Schedule'!$P$45),"",IF(IF('Recurring Schedule'!$N$45&gt;0,MOD($A263-'Recurring Schedule'!$F$45,'Recurring Schedule'!$N$45)=0,IF('Recurring Schedule'!$O$45&gt;0,AND(DAY($A263)=MIN(DAY('Recurring Schedule'!$F$45),DAY(EOMONTH($A263,0))),MOD((YEAR($A263)-YEAR('Recurring Schedule'!$F$45))*12+MONTH($A263)-MONTH('Recurring Schedule'!$F$45),'Recurring Schedule'!$O$45)=0),IF('Recurring Schedule'!$E$45="Weekdays",WEEKDAY($A263,2)&lt;=5,$A263='Recurring Schedule'!$F$45))),40,""))))</f>
        <v/>
      </c>
      <c r="AP263">
        <f>COUNT(B263:AO263)</f>
        <v/>
      </c>
      <c r="AQ263">
        <f>AQ262+AP262</f>
        <v/>
      </c>
      <c r="AS263" t="inlineStr">
        <is>
          <t>R</t>
        </is>
      </c>
      <c r="AT263" t="n">
        <v>267</v>
      </c>
      <c r="AU263">
        <f>'Recurring Log'!C267&amp;""</f>
        <v/>
      </c>
      <c r="AV263">
        <f>'Recurring Log'!D267&amp;""</f>
        <v/>
      </c>
      <c r="AW263">
        <f>IF('Recurring Log'!E267="","",'Recurring Log'!E267)</f>
        <v/>
      </c>
      <c r="AX263">
        <f>IF('Recurring Log'!G267="","",'Recurring Log'!G267)</f>
        <v/>
      </c>
      <c r="AY263">
        <f>IF('Recurring Log'!H267="","",'Recurring Log'!H267)</f>
        <v/>
      </c>
      <c r="AZ263">
        <f>IF(AU263="","",IF('Recurring Log'!J267="","Not Started",'Recurring Log'!J267))</f>
        <v/>
      </c>
      <c r="BA263">
        <f>'Recurring Log'!L267&amp;""</f>
        <v/>
      </c>
      <c r="BB263">
        <f>'Recurring Log'!M267&amp;""</f>
        <v/>
      </c>
      <c r="BC263">
        <f>'Recurring Log'!N267&amp;""</f>
        <v/>
      </c>
      <c r="BD263">
        <f>'Recurring Log'!O267&amp;""</f>
        <v/>
      </c>
      <c r="BE263">
        <f>IF('Recurring Log'!K267="","",'Recurring Log'!K267)</f>
        <v/>
      </c>
      <c r="BF263">
        <f>IFERROR(MATCH(BA263,Setup!$L$6:$L$9,0),5)</f>
        <v/>
      </c>
      <c r="BG263">
        <f>IF(OR(AZ263="Done",AZ263="Cancelled"),1,0)</f>
        <v/>
      </c>
      <c r="BH263">
        <f>IF(AND(AU263&lt;&gt;"",ISNUMBER(AW263)),1,0)</f>
        <v/>
      </c>
      <c r="BI263">
        <f>IF(BH263=0,0,IF(AND(AW263&gt;='Tasks Filter'!$F$3,AW263&lt;='Tasks Filter'!$F$4,OR('Tasks Filter'!$I$3="",ISNUMBER(SEARCH('Tasks Filter'!$I$3,AU263))),OR('Tasks Filter'!$I$4="",BF263=IFERROR(MATCH('Tasks Filter'!$I$4,Setup!$L$6:$L$9,0),0)),OR('Tasks Filter'!$I$5="Both",AND('Tasks Filter'!$I$5="Yes",BB263="✓"),AND('Tasks Filter'!$I$5="No",BB263&lt;&gt;"✓")),OR('Tasks Filter'!$L$3="",AV263='Tasks Filter'!$L$3),OR('Tasks Filter'!$L$4="",AZ263='Tasks Filter'!$L$4),OR('Tasks Filter'!$L$5="",BC263='Tasks Filter'!$L$5),OR('Tasks Filter'!$O$3="",BD263='Tasks Filter'!$O$3),OR('Tasks Filter'!$O$4="Yes",BG263=0)),1,0))</f>
        <v/>
      </c>
      <c r="BJ263">
        <f>IF(BH263=0,"",IF('Tasks Filter'!$F$6="Descending",-1,1)*CHOOSE(MATCH('Tasks Filter'!$F$5,Lists!$G$2:$G$6,0),AW263,BF263,IFERROR(MATCH(AV263,Setup!$F$6:$F$15,0),99),IFERROR(MATCH(BC263,Setup!$H$6:$H$15,0),99),IFERROR(MATCH(AZ263,Setup!$J$6:$J$11,0),99))*1E+9+(AW263-40000)*10000+262)</f>
        <v/>
      </c>
      <c r="BK263">
        <f>IF(BI263=1,BJ263,"")</f>
        <v/>
      </c>
      <c r="BL263">
        <f>IF(AND(BH263=1,BG263=0,N(AW263)&lt;Setup!$D$7),(AW263-40000)*10000+262,"")</f>
        <v/>
      </c>
      <c r="BM263">
        <f>IF(AND(BH263=1,AZ263&lt;&gt;"Cancelled",N(AW263)&gt;=Dashboard!$AB$3,N(AW263)&lt;=Dashboard!$AB$3+6),(AW263-40000)*100000+BF263*10000+262,"")</f>
        <v/>
      </c>
      <c r="BN263">
        <f>IF(AND(BH263=1,AZ263&lt;&gt;"Cancelled"),BF263*10000+262,"")</f>
        <v/>
      </c>
    </row>
    <row r="264">
      <c r="A264">
        <f>Setup!$D$5+262</f>
        <v/>
      </c>
      <c r="B264">
        <f>IF('Recurring Schedule'!$C$6="","",IF('Recurring Schedule'!$F$6="","",IF(OR($A264&lt;'Recurring Schedule'!$F$6,$A264&gt;'Recurring Schedule'!$P$6),"",IF(IF('Recurring Schedule'!$N$6&gt;0,MOD($A264-'Recurring Schedule'!$F$6,'Recurring Schedule'!$N$6)=0,IF('Recurring Schedule'!$O$6&gt;0,AND(DAY($A264)=MIN(DAY('Recurring Schedule'!$F$6),DAY(EOMONTH($A264,0))),MOD((YEAR($A264)-YEAR('Recurring Schedule'!$F$6))*12+MONTH($A264)-MONTH('Recurring Schedule'!$F$6),'Recurring Schedule'!$O$6)=0),IF('Recurring Schedule'!$E$6="Weekdays",WEEKDAY($A264,2)&lt;=5,$A264='Recurring Schedule'!$F$6))),1,""))))</f>
        <v/>
      </c>
      <c r="C264">
        <f>IF('Recurring Schedule'!$C$7="","",IF('Recurring Schedule'!$F$7="","",IF(OR($A264&lt;'Recurring Schedule'!$F$7,$A264&gt;'Recurring Schedule'!$P$7),"",IF(IF('Recurring Schedule'!$N$7&gt;0,MOD($A264-'Recurring Schedule'!$F$7,'Recurring Schedule'!$N$7)=0,IF('Recurring Schedule'!$O$7&gt;0,AND(DAY($A264)=MIN(DAY('Recurring Schedule'!$F$7),DAY(EOMONTH($A264,0))),MOD((YEAR($A264)-YEAR('Recurring Schedule'!$F$7))*12+MONTH($A264)-MONTH('Recurring Schedule'!$F$7),'Recurring Schedule'!$O$7)=0),IF('Recurring Schedule'!$E$7="Weekdays",WEEKDAY($A264,2)&lt;=5,$A264='Recurring Schedule'!$F$7))),2,""))))</f>
        <v/>
      </c>
      <c r="D264">
        <f>IF('Recurring Schedule'!$C$8="","",IF('Recurring Schedule'!$F$8="","",IF(OR($A264&lt;'Recurring Schedule'!$F$8,$A264&gt;'Recurring Schedule'!$P$8),"",IF(IF('Recurring Schedule'!$N$8&gt;0,MOD($A264-'Recurring Schedule'!$F$8,'Recurring Schedule'!$N$8)=0,IF('Recurring Schedule'!$O$8&gt;0,AND(DAY($A264)=MIN(DAY('Recurring Schedule'!$F$8),DAY(EOMONTH($A264,0))),MOD((YEAR($A264)-YEAR('Recurring Schedule'!$F$8))*12+MONTH($A264)-MONTH('Recurring Schedule'!$F$8),'Recurring Schedule'!$O$8)=0),IF('Recurring Schedule'!$E$8="Weekdays",WEEKDAY($A264,2)&lt;=5,$A264='Recurring Schedule'!$F$8))),3,""))))</f>
        <v/>
      </c>
      <c r="E264">
        <f>IF('Recurring Schedule'!$C$9="","",IF('Recurring Schedule'!$F$9="","",IF(OR($A264&lt;'Recurring Schedule'!$F$9,$A264&gt;'Recurring Schedule'!$P$9),"",IF(IF('Recurring Schedule'!$N$9&gt;0,MOD($A264-'Recurring Schedule'!$F$9,'Recurring Schedule'!$N$9)=0,IF('Recurring Schedule'!$O$9&gt;0,AND(DAY($A264)=MIN(DAY('Recurring Schedule'!$F$9),DAY(EOMONTH($A264,0))),MOD((YEAR($A264)-YEAR('Recurring Schedule'!$F$9))*12+MONTH($A264)-MONTH('Recurring Schedule'!$F$9),'Recurring Schedule'!$O$9)=0),IF('Recurring Schedule'!$E$9="Weekdays",WEEKDAY($A264,2)&lt;=5,$A264='Recurring Schedule'!$F$9))),4,""))))</f>
        <v/>
      </c>
      <c r="F264">
        <f>IF('Recurring Schedule'!$C$10="","",IF('Recurring Schedule'!$F$10="","",IF(OR($A264&lt;'Recurring Schedule'!$F$10,$A264&gt;'Recurring Schedule'!$P$10),"",IF(IF('Recurring Schedule'!$N$10&gt;0,MOD($A264-'Recurring Schedule'!$F$10,'Recurring Schedule'!$N$10)=0,IF('Recurring Schedule'!$O$10&gt;0,AND(DAY($A264)=MIN(DAY('Recurring Schedule'!$F$10),DAY(EOMONTH($A264,0))),MOD((YEAR($A264)-YEAR('Recurring Schedule'!$F$10))*12+MONTH($A264)-MONTH('Recurring Schedule'!$F$10),'Recurring Schedule'!$O$10)=0),IF('Recurring Schedule'!$E$10="Weekdays",WEEKDAY($A264,2)&lt;=5,$A264='Recurring Schedule'!$F$10))),5,""))))</f>
        <v/>
      </c>
      <c r="G264">
        <f>IF('Recurring Schedule'!$C$11="","",IF('Recurring Schedule'!$F$11="","",IF(OR($A264&lt;'Recurring Schedule'!$F$11,$A264&gt;'Recurring Schedule'!$P$11),"",IF(IF('Recurring Schedule'!$N$11&gt;0,MOD($A264-'Recurring Schedule'!$F$11,'Recurring Schedule'!$N$11)=0,IF('Recurring Schedule'!$O$11&gt;0,AND(DAY($A264)=MIN(DAY('Recurring Schedule'!$F$11),DAY(EOMONTH($A264,0))),MOD((YEAR($A264)-YEAR('Recurring Schedule'!$F$11))*12+MONTH($A264)-MONTH('Recurring Schedule'!$F$11),'Recurring Schedule'!$O$11)=0),IF('Recurring Schedule'!$E$11="Weekdays",WEEKDAY($A264,2)&lt;=5,$A264='Recurring Schedule'!$F$11))),6,""))))</f>
        <v/>
      </c>
      <c r="H264">
        <f>IF('Recurring Schedule'!$C$12="","",IF('Recurring Schedule'!$F$12="","",IF(OR($A264&lt;'Recurring Schedule'!$F$12,$A264&gt;'Recurring Schedule'!$P$12),"",IF(IF('Recurring Schedule'!$N$12&gt;0,MOD($A264-'Recurring Schedule'!$F$12,'Recurring Schedule'!$N$12)=0,IF('Recurring Schedule'!$O$12&gt;0,AND(DAY($A264)=MIN(DAY('Recurring Schedule'!$F$12),DAY(EOMONTH($A264,0))),MOD((YEAR($A264)-YEAR('Recurring Schedule'!$F$12))*12+MONTH($A264)-MONTH('Recurring Schedule'!$F$12),'Recurring Schedule'!$O$12)=0),IF('Recurring Schedule'!$E$12="Weekdays",WEEKDAY($A264,2)&lt;=5,$A264='Recurring Schedule'!$F$12))),7,""))))</f>
        <v/>
      </c>
      <c r="I264">
        <f>IF('Recurring Schedule'!$C$13="","",IF('Recurring Schedule'!$F$13="","",IF(OR($A264&lt;'Recurring Schedule'!$F$13,$A264&gt;'Recurring Schedule'!$P$13),"",IF(IF('Recurring Schedule'!$N$13&gt;0,MOD($A264-'Recurring Schedule'!$F$13,'Recurring Schedule'!$N$13)=0,IF('Recurring Schedule'!$O$13&gt;0,AND(DAY($A264)=MIN(DAY('Recurring Schedule'!$F$13),DAY(EOMONTH($A264,0))),MOD((YEAR($A264)-YEAR('Recurring Schedule'!$F$13))*12+MONTH($A264)-MONTH('Recurring Schedule'!$F$13),'Recurring Schedule'!$O$13)=0),IF('Recurring Schedule'!$E$13="Weekdays",WEEKDAY($A264,2)&lt;=5,$A264='Recurring Schedule'!$F$13))),8,""))))</f>
        <v/>
      </c>
      <c r="J264">
        <f>IF('Recurring Schedule'!$C$14="","",IF('Recurring Schedule'!$F$14="","",IF(OR($A264&lt;'Recurring Schedule'!$F$14,$A264&gt;'Recurring Schedule'!$P$14),"",IF(IF('Recurring Schedule'!$N$14&gt;0,MOD($A264-'Recurring Schedule'!$F$14,'Recurring Schedule'!$N$14)=0,IF('Recurring Schedule'!$O$14&gt;0,AND(DAY($A264)=MIN(DAY('Recurring Schedule'!$F$14),DAY(EOMONTH($A264,0))),MOD((YEAR($A264)-YEAR('Recurring Schedule'!$F$14))*12+MONTH($A264)-MONTH('Recurring Schedule'!$F$14),'Recurring Schedule'!$O$14)=0),IF('Recurring Schedule'!$E$14="Weekdays",WEEKDAY($A264,2)&lt;=5,$A264='Recurring Schedule'!$F$14))),9,""))))</f>
        <v/>
      </c>
      <c r="K264">
        <f>IF('Recurring Schedule'!$C$15="","",IF('Recurring Schedule'!$F$15="","",IF(OR($A264&lt;'Recurring Schedule'!$F$15,$A264&gt;'Recurring Schedule'!$P$15),"",IF(IF('Recurring Schedule'!$N$15&gt;0,MOD($A264-'Recurring Schedule'!$F$15,'Recurring Schedule'!$N$15)=0,IF('Recurring Schedule'!$O$15&gt;0,AND(DAY($A264)=MIN(DAY('Recurring Schedule'!$F$15),DAY(EOMONTH($A264,0))),MOD((YEAR($A264)-YEAR('Recurring Schedule'!$F$15))*12+MONTH($A264)-MONTH('Recurring Schedule'!$F$15),'Recurring Schedule'!$O$15)=0),IF('Recurring Schedule'!$E$15="Weekdays",WEEKDAY($A264,2)&lt;=5,$A264='Recurring Schedule'!$F$15))),10,""))))</f>
        <v/>
      </c>
      <c r="L264">
        <f>IF('Recurring Schedule'!$C$16="","",IF('Recurring Schedule'!$F$16="","",IF(OR($A264&lt;'Recurring Schedule'!$F$16,$A264&gt;'Recurring Schedule'!$P$16),"",IF(IF('Recurring Schedule'!$N$16&gt;0,MOD($A264-'Recurring Schedule'!$F$16,'Recurring Schedule'!$N$16)=0,IF('Recurring Schedule'!$O$16&gt;0,AND(DAY($A264)=MIN(DAY('Recurring Schedule'!$F$16),DAY(EOMONTH($A264,0))),MOD((YEAR($A264)-YEAR('Recurring Schedule'!$F$16))*12+MONTH($A264)-MONTH('Recurring Schedule'!$F$16),'Recurring Schedule'!$O$16)=0),IF('Recurring Schedule'!$E$16="Weekdays",WEEKDAY($A264,2)&lt;=5,$A264='Recurring Schedule'!$F$16))),11,""))))</f>
        <v/>
      </c>
      <c r="M264">
        <f>IF('Recurring Schedule'!$C$17="","",IF('Recurring Schedule'!$F$17="","",IF(OR($A264&lt;'Recurring Schedule'!$F$17,$A264&gt;'Recurring Schedule'!$P$17),"",IF(IF('Recurring Schedule'!$N$17&gt;0,MOD($A264-'Recurring Schedule'!$F$17,'Recurring Schedule'!$N$17)=0,IF('Recurring Schedule'!$O$17&gt;0,AND(DAY($A264)=MIN(DAY('Recurring Schedule'!$F$17),DAY(EOMONTH($A264,0))),MOD((YEAR($A264)-YEAR('Recurring Schedule'!$F$17))*12+MONTH($A264)-MONTH('Recurring Schedule'!$F$17),'Recurring Schedule'!$O$17)=0),IF('Recurring Schedule'!$E$17="Weekdays",WEEKDAY($A264,2)&lt;=5,$A264='Recurring Schedule'!$F$17))),12,""))))</f>
        <v/>
      </c>
      <c r="N264">
        <f>IF('Recurring Schedule'!$C$18="","",IF('Recurring Schedule'!$F$18="","",IF(OR($A264&lt;'Recurring Schedule'!$F$18,$A264&gt;'Recurring Schedule'!$P$18),"",IF(IF('Recurring Schedule'!$N$18&gt;0,MOD($A264-'Recurring Schedule'!$F$18,'Recurring Schedule'!$N$18)=0,IF('Recurring Schedule'!$O$18&gt;0,AND(DAY($A264)=MIN(DAY('Recurring Schedule'!$F$18),DAY(EOMONTH($A264,0))),MOD((YEAR($A264)-YEAR('Recurring Schedule'!$F$18))*12+MONTH($A264)-MONTH('Recurring Schedule'!$F$18),'Recurring Schedule'!$O$18)=0),IF('Recurring Schedule'!$E$18="Weekdays",WEEKDAY($A264,2)&lt;=5,$A264='Recurring Schedule'!$F$18))),13,""))))</f>
        <v/>
      </c>
      <c r="O264">
        <f>IF('Recurring Schedule'!$C$19="","",IF('Recurring Schedule'!$F$19="","",IF(OR($A264&lt;'Recurring Schedule'!$F$19,$A264&gt;'Recurring Schedule'!$P$19),"",IF(IF('Recurring Schedule'!$N$19&gt;0,MOD($A264-'Recurring Schedule'!$F$19,'Recurring Schedule'!$N$19)=0,IF('Recurring Schedule'!$O$19&gt;0,AND(DAY($A264)=MIN(DAY('Recurring Schedule'!$F$19),DAY(EOMONTH($A264,0))),MOD((YEAR($A264)-YEAR('Recurring Schedule'!$F$19))*12+MONTH($A264)-MONTH('Recurring Schedule'!$F$19),'Recurring Schedule'!$O$19)=0),IF('Recurring Schedule'!$E$19="Weekdays",WEEKDAY($A264,2)&lt;=5,$A264='Recurring Schedule'!$F$19))),14,""))))</f>
        <v/>
      </c>
      <c r="P264">
        <f>IF('Recurring Schedule'!$C$20="","",IF('Recurring Schedule'!$F$20="","",IF(OR($A264&lt;'Recurring Schedule'!$F$20,$A264&gt;'Recurring Schedule'!$P$20),"",IF(IF('Recurring Schedule'!$N$20&gt;0,MOD($A264-'Recurring Schedule'!$F$20,'Recurring Schedule'!$N$20)=0,IF('Recurring Schedule'!$O$20&gt;0,AND(DAY($A264)=MIN(DAY('Recurring Schedule'!$F$20),DAY(EOMONTH($A264,0))),MOD((YEAR($A264)-YEAR('Recurring Schedule'!$F$20))*12+MONTH($A264)-MONTH('Recurring Schedule'!$F$20),'Recurring Schedule'!$O$20)=0),IF('Recurring Schedule'!$E$20="Weekdays",WEEKDAY($A264,2)&lt;=5,$A264='Recurring Schedule'!$F$20))),15,""))))</f>
        <v/>
      </c>
      <c r="Q264">
        <f>IF('Recurring Schedule'!$C$21="","",IF('Recurring Schedule'!$F$21="","",IF(OR($A264&lt;'Recurring Schedule'!$F$21,$A264&gt;'Recurring Schedule'!$P$21),"",IF(IF('Recurring Schedule'!$N$21&gt;0,MOD($A264-'Recurring Schedule'!$F$21,'Recurring Schedule'!$N$21)=0,IF('Recurring Schedule'!$O$21&gt;0,AND(DAY($A264)=MIN(DAY('Recurring Schedule'!$F$21),DAY(EOMONTH($A264,0))),MOD((YEAR($A264)-YEAR('Recurring Schedule'!$F$21))*12+MONTH($A264)-MONTH('Recurring Schedule'!$F$21),'Recurring Schedule'!$O$21)=0),IF('Recurring Schedule'!$E$21="Weekdays",WEEKDAY($A264,2)&lt;=5,$A264='Recurring Schedule'!$F$21))),16,""))))</f>
        <v/>
      </c>
      <c r="R264">
        <f>IF('Recurring Schedule'!$C$22="","",IF('Recurring Schedule'!$F$22="","",IF(OR($A264&lt;'Recurring Schedule'!$F$22,$A264&gt;'Recurring Schedule'!$P$22),"",IF(IF('Recurring Schedule'!$N$22&gt;0,MOD($A264-'Recurring Schedule'!$F$22,'Recurring Schedule'!$N$22)=0,IF('Recurring Schedule'!$O$22&gt;0,AND(DAY($A264)=MIN(DAY('Recurring Schedule'!$F$22),DAY(EOMONTH($A264,0))),MOD((YEAR($A264)-YEAR('Recurring Schedule'!$F$22))*12+MONTH($A264)-MONTH('Recurring Schedule'!$F$22),'Recurring Schedule'!$O$22)=0),IF('Recurring Schedule'!$E$22="Weekdays",WEEKDAY($A264,2)&lt;=5,$A264='Recurring Schedule'!$F$22))),17,""))))</f>
        <v/>
      </c>
      <c r="S264">
        <f>IF('Recurring Schedule'!$C$23="","",IF('Recurring Schedule'!$F$23="","",IF(OR($A264&lt;'Recurring Schedule'!$F$23,$A264&gt;'Recurring Schedule'!$P$23),"",IF(IF('Recurring Schedule'!$N$23&gt;0,MOD($A264-'Recurring Schedule'!$F$23,'Recurring Schedule'!$N$23)=0,IF('Recurring Schedule'!$O$23&gt;0,AND(DAY($A264)=MIN(DAY('Recurring Schedule'!$F$23),DAY(EOMONTH($A264,0))),MOD((YEAR($A264)-YEAR('Recurring Schedule'!$F$23))*12+MONTH($A264)-MONTH('Recurring Schedule'!$F$23),'Recurring Schedule'!$O$23)=0),IF('Recurring Schedule'!$E$23="Weekdays",WEEKDAY($A264,2)&lt;=5,$A264='Recurring Schedule'!$F$23))),18,""))))</f>
        <v/>
      </c>
      <c r="T264">
        <f>IF('Recurring Schedule'!$C$24="","",IF('Recurring Schedule'!$F$24="","",IF(OR($A264&lt;'Recurring Schedule'!$F$24,$A264&gt;'Recurring Schedule'!$P$24),"",IF(IF('Recurring Schedule'!$N$24&gt;0,MOD($A264-'Recurring Schedule'!$F$24,'Recurring Schedule'!$N$24)=0,IF('Recurring Schedule'!$O$24&gt;0,AND(DAY($A264)=MIN(DAY('Recurring Schedule'!$F$24),DAY(EOMONTH($A264,0))),MOD((YEAR($A264)-YEAR('Recurring Schedule'!$F$24))*12+MONTH($A264)-MONTH('Recurring Schedule'!$F$24),'Recurring Schedule'!$O$24)=0),IF('Recurring Schedule'!$E$24="Weekdays",WEEKDAY($A264,2)&lt;=5,$A264='Recurring Schedule'!$F$24))),19,""))))</f>
        <v/>
      </c>
      <c r="U264">
        <f>IF('Recurring Schedule'!$C$25="","",IF('Recurring Schedule'!$F$25="","",IF(OR($A264&lt;'Recurring Schedule'!$F$25,$A264&gt;'Recurring Schedule'!$P$25),"",IF(IF('Recurring Schedule'!$N$25&gt;0,MOD($A264-'Recurring Schedule'!$F$25,'Recurring Schedule'!$N$25)=0,IF('Recurring Schedule'!$O$25&gt;0,AND(DAY($A264)=MIN(DAY('Recurring Schedule'!$F$25),DAY(EOMONTH($A264,0))),MOD((YEAR($A264)-YEAR('Recurring Schedule'!$F$25))*12+MONTH($A264)-MONTH('Recurring Schedule'!$F$25),'Recurring Schedule'!$O$25)=0),IF('Recurring Schedule'!$E$25="Weekdays",WEEKDAY($A264,2)&lt;=5,$A264='Recurring Schedule'!$F$25))),20,""))))</f>
        <v/>
      </c>
      <c r="V264">
        <f>IF('Recurring Schedule'!$C$26="","",IF('Recurring Schedule'!$F$26="","",IF(OR($A264&lt;'Recurring Schedule'!$F$26,$A264&gt;'Recurring Schedule'!$P$26),"",IF(IF('Recurring Schedule'!$N$26&gt;0,MOD($A264-'Recurring Schedule'!$F$26,'Recurring Schedule'!$N$26)=0,IF('Recurring Schedule'!$O$26&gt;0,AND(DAY($A264)=MIN(DAY('Recurring Schedule'!$F$26),DAY(EOMONTH($A264,0))),MOD((YEAR($A264)-YEAR('Recurring Schedule'!$F$26))*12+MONTH($A264)-MONTH('Recurring Schedule'!$F$26),'Recurring Schedule'!$O$26)=0),IF('Recurring Schedule'!$E$26="Weekdays",WEEKDAY($A264,2)&lt;=5,$A264='Recurring Schedule'!$F$26))),21,""))))</f>
        <v/>
      </c>
      <c r="W264">
        <f>IF('Recurring Schedule'!$C$27="","",IF('Recurring Schedule'!$F$27="","",IF(OR($A264&lt;'Recurring Schedule'!$F$27,$A264&gt;'Recurring Schedule'!$P$27),"",IF(IF('Recurring Schedule'!$N$27&gt;0,MOD($A264-'Recurring Schedule'!$F$27,'Recurring Schedule'!$N$27)=0,IF('Recurring Schedule'!$O$27&gt;0,AND(DAY($A264)=MIN(DAY('Recurring Schedule'!$F$27),DAY(EOMONTH($A264,0))),MOD((YEAR($A264)-YEAR('Recurring Schedule'!$F$27))*12+MONTH($A264)-MONTH('Recurring Schedule'!$F$27),'Recurring Schedule'!$O$27)=0),IF('Recurring Schedule'!$E$27="Weekdays",WEEKDAY($A264,2)&lt;=5,$A264='Recurring Schedule'!$F$27))),22,""))))</f>
        <v/>
      </c>
      <c r="X264">
        <f>IF('Recurring Schedule'!$C$28="","",IF('Recurring Schedule'!$F$28="","",IF(OR($A264&lt;'Recurring Schedule'!$F$28,$A264&gt;'Recurring Schedule'!$P$28),"",IF(IF('Recurring Schedule'!$N$28&gt;0,MOD($A264-'Recurring Schedule'!$F$28,'Recurring Schedule'!$N$28)=0,IF('Recurring Schedule'!$O$28&gt;0,AND(DAY($A264)=MIN(DAY('Recurring Schedule'!$F$28),DAY(EOMONTH($A264,0))),MOD((YEAR($A264)-YEAR('Recurring Schedule'!$F$28))*12+MONTH($A264)-MONTH('Recurring Schedule'!$F$28),'Recurring Schedule'!$O$28)=0),IF('Recurring Schedule'!$E$28="Weekdays",WEEKDAY($A264,2)&lt;=5,$A264='Recurring Schedule'!$F$28))),23,""))))</f>
        <v/>
      </c>
      <c r="Y264">
        <f>IF('Recurring Schedule'!$C$29="","",IF('Recurring Schedule'!$F$29="","",IF(OR($A264&lt;'Recurring Schedule'!$F$29,$A264&gt;'Recurring Schedule'!$P$29),"",IF(IF('Recurring Schedule'!$N$29&gt;0,MOD($A264-'Recurring Schedule'!$F$29,'Recurring Schedule'!$N$29)=0,IF('Recurring Schedule'!$O$29&gt;0,AND(DAY($A264)=MIN(DAY('Recurring Schedule'!$F$29),DAY(EOMONTH($A264,0))),MOD((YEAR($A264)-YEAR('Recurring Schedule'!$F$29))*12+MONTH($A264)-MONTH('Recurring Schedule'!$F$29),'Recurring Schedule'!$O$29)=0),IF('Recurring Schedule'!$E$29="Weekdays",WEEKDAY($A264,2)&lt;=5,$A264='Recurring Schedule'!$F$29))),24,""))))</f>
        <v/>
      </c>
      <c r="Z264">
        <f>IF('Recurring Schedule'!$C$30="","",IF('Recurring Schedule'!$F$30="","",IF(OR($A264&lt;'Recurring Schedule'!$F$30,$A264&gt;'Recurring Schedule'!$P$30),"",IF(IF('Recurring Schedule'!$N$30&gt;0,MOD($A264-'Recurring Schedule'!$F$30,'Recurring Schedule'!$N$30)=0,IF('Recurring Schedule'!$O$30&gt;0,AND(DAY($A264)=MIN(DAY('Recurring Schedule'!$F$30),DAY(EOMONTH($A264,0))),MOD((YEAR($A264)-YEAR('Recurring Schedule'!$F$30))*12+MONTH($A264)-MONTH('Recurring Schedule'!$F$30),'Recurring Schedule'!$O$30)=0),IF('Recurring Schedule'!$E$30="Weekdays",WEEKDAY($A264,2)&lt;=5,$A264='Recurring Schedule'!$F$30))),25,""))))</f>
        <v/>
      </c>
      <c r="AA264">
        <f>IF('Recurring Schedule'!$C$31="","",IF('Recurring Schedule'!$F$31="","",IF(OR($A264&lt;'Recurring Schedule'!$F$31,$A264&gt;'Recurring Schedule'!$P$31),"",IF(IF('Recurring Schedule'!$N$31&gt;0,MOD($A264-'Recurring Schedule'!$F$31,'Recurring Schedule'!$N$31)=0,IF('Recurring Schedule'!$O$31&gt;0,AND(DAY($A264)=MIN(DAY('Recurring Schedule'!$F$31),DAY(EOMONTH($A264,0))),MOD((YEAR($A264)-YEAR('Recurring Schedule'!$F$31))*12+MONTH($A264)-MONTH('Recurring Schedule'!$F$31),'Recurring Schedule'!$O$31)=0),IF('Recurring Schedule'!$E$31="Weekdays",WEEKDAY($A264,2)&lt;=5,$A264='Recurring Schedule'!$F$31))),26,""))))</f>
        <v/>
      </c>
      <c r="AB264">
        <f>IF('Recurring Schedule'!$C$32="","",IF('Recurring Schedule'!$F$32="","",IF(OR($A264&lt;'Recurring Schedule'!$F$32,$A264&gt;'Recurring Schedule'!$P$32),"",IF(IF('Recurring Schedule'!$N$32&gt;0,MOD($A264-'Recurring Schedule'!$F$32,'Recurring Schedule'!$N$32)=0,IF('Recurring Schedule'!$O$32&gt;0,AND(DAY($A264)=MIN(DAY('Recurring Schedule'!$F$32),DAY(EOMONTH($A264,0))),MOD((YEAR($A264)-YEAR('Recurring Schedule'!$F$32))*12+MONTH($A264)-MONTH('Recurring Schedule'!$F$32),'Recurring Schedule'!$O$32)=0),IF('Recurring Schedule'!$E$32="Weekdays",WEEKDAY($A264,2)&lt;=5,$A264='Recurring Schedule'!$F$32))),27,""))))</f>
        <v/>
      </c>
      <c r="AC264">
        <f>IF('Recurring Schedule'!$C$33="","",IF('Recurring Schedule'!$F$33="","",IF(OR($A264&lt;'Recurring Schedule'!$F$33,$A264&gt;'Recurring Schedule'!$P$33),"",IF(IF('Recurring Schedule'!$N$33&gt;0,MOD($A264-'Recurring Schedule'!$F$33,'Recurring Schedule'!$N$33)=0,IF('Recurring Schedule'!$O$33&gt;0,AND(DAY($A264)=MIN(DAY('Recurring Schedule'!$F$33),DAY(EOMONTH($A264,0))),MOD((YEAR($A264)-YEAR('Recurring Schedule'!$F$33))*12+MONTH($A264)-MONTH('Recurring Schedule'!$F$33),'Recurring Schedule'!$O$33)=0),IF('Recurring Schedule'!$E$33="Weekdays",WEEKDAY($A264,2)&lt;=5,$A264='Recurring Schedule'!$F$33))),28,""))))</f>
        <v/>
      </c>
      <c r="AD264">
        <f>IF('Recurring Schedule'!$C$34="","",IF('Recurring Schedule'!$F$34="","",IF(OR($A264&lt;'Recurring Schedule'!$F$34,$A264&gt;'Recurring Schedule'!$P$34),"",IF(IF('Recurring Schedule'!$N$34&gt;0,MOD($A264-'Recurring Schedule'!$F$34,'Recurring Schedule'!$N$34)=0,IF('Recurring Schedule'!$O$34&gt;0,AND(DAY($A264)=MIN(DAY('Recurring Schedule'!$F$34),DAY(EOMONTH($A264,0))),MOD((YEAR($A264)-YEAR('Recurring Schedule'!$F$34))*12+MONTH($A264)-MONTH('Recurring Schedule'!$F$34),'Recurring Schedule'!$O$34)=0),IF('Recurring Schedule'!$E$34="Weekdays",WEEKDAY($A264,2)&lt;=5,$A264='Recurring Schedule'!$F$34))),29,""))))</f>
        <v/>
      </c>
      <c r="AE264">
        <f>IF('Recurring Schedule'!$C$35="","",IF('Recurring Schedule'!$F$35="","",IF(OR($A264&lt;'Recurring Schedule'!$F$35,$A264&gt;'Recurring Schedule'!$P$35),"",IF(IF('Recurring Schedule'!$N$35&gt;0,MOD($A264-'Recurring Schedule'!$F$35,'Recurring Schedule'!$N$35)=0,IF('Recurring Schedule'!$O$35&gt;0,AND(DAY($A264)=MIN(DAY('Recurring Schedule'!$F$35),DAY(EOMONTH($A264,0))),MOD((YEAR($A264)-YEAR('Recurring Schedule'!$F$35))*12+MONTH($A264)-MONTH('Recurring Schedule'!$F$35),'Recurring Schedule'!$O$35)=0),IF('Recurring Schedule'!$E$35="Weekdays",WEEKDAY($A264,2)&lt;=5,$A264='Recurring Schedule'!$F$35))),30,""))))</f>
        <v/>
      </c>
      <c r="AF264">
        <f>IF('Recurring Schedule'!$C$36="","",IF('Recurring Schedule'!$F$36="","",IF(OR($A264&lt;'Recurring Schedule'!$F$36,$A264&gt;'Recurring Schedule'!$P$36),"",IF(IF('Recurring Schedule'!$N$36&gt;0,MOD($A264-'Recurring Schedule'!$F$36,'Recurring Schedule'!$N$36)=0,IF('Recurring Schedule'!$O$36&gt;0,AND(DAY($A264)=MIN(DAY('Recurring Schedule'!$F$36),DAY(EOMONTH($A264,0))),MOD((YEAR($A264)-YEAR('Recurring Schedule'!$F$36))*12+MONTH($A264)-MONTH('Recurring Schedule'!$F$36),'Recurring Schedule'!$O$36)=0),IF('Recurring Schedule'!$E$36="Weekdays",WEEKDAY($A264,2)&lt;=5,$A264='Recurring Schedule'!$F$36))),31,""))))</f>
        <v/>
      </c>
      <c r="AG264">
        <f>IF('Recurring Schedule'!$C$37="","",IF('Recurring Schedule'!$F$37="","",IF(OR($A264&lt;'Recurring Schedule'!$F$37,$A264&gt;'Recurring Schedule'!$P$37),"",IF(IF('Recurring Schedule'!$N$37&gt;0,MOD($A264-'Recurring Schedule'!$F$37,'Recurring Schedule'!$N$37)=0,IF('Recurring Schedule'!$O$37&gt;0,AND(DAY($A264)=MIN(DAY('Recurring Schedule'!$F$37),DAY(EOMONTH($A264,0))),MOD((YEAR($A264)-YEAR('Recurring Schedule'!$F$37))*12+MONTH($A264)-MONTH('Recurring Schedule'!$F$37),'Recurring Schedule'!$O$37)=0),IF('Recurring Schedule'!$E$37="Weekdays",WEEKDAY($A264,2)&lt;=5,$A264='Recurring Schedule'!$F$37))),32,""))))</f>
        <v/>
      </c>
      <c r="AH264">
        <f>IF('Recurring Schedule'!$C$38="","",IF('Recurring Schedule'!$F$38="","",IF(OR($A264&lt;'Recurring Schedule'!$F$38,$A264&gt;'Recurring Schedule'!$P$38),"",IF(IF('Recurring Schedule'!$N$38&gt;0,MOD($A264-'Recurring Schedule'!$F$38,'Recurring Schedule'!$N$38)=0,IF('Recurring Schedule'!$O$38&gt;0,AND(DAY($A264)=MIN(DAY('Recurring Schedule'!$F$38),DAY(EOMONTH($A264,0))),MOD((YEAR($A264)-YEAR('Recurring Schedule'!$F$38))*12+MONTH($A264)-MONTH('Recurring Schedule'!$F$38),'Recurring Schedule'!$O$38)=0),IF('Recurring Schedule'!$E$38="Weekdays",WEEKDAY($A264,2)&lt;=5,$A264='Recurring Schedule'!$F$38))),33,""))))</f>
        <v/>
      </c>
      <c r="AI264">
        <f>IF('Recurring Schedule'!$C$39="","",IF('Recurring Schedule'!$F$39="","",IF(OR($A264&lt;'Recurring Schedule'!$F$39,$A264&gt;'Recurring Schedule'!$P$39),"",IF(IF('Recurring Schedule'!$N$39&gt;0,MOD($A264-'Recurring Schedule'!$F$39,'Recurring Schedule'!$N$39)=0,IF('Recurring Schedule'!$O$39&gt;0,AND(DAY($A264)=MIN(DAY('Recurring Schedule'!$F$39),DAY(EOMONTH($A264,0))),MOD((YEAR($A264)-YEAR('Recurring Schedule'!$F$39))*12+MONTH($A264)-MONTH('Recurring Schedule'!$F$39),'Recurring Schedule'!$O$39)=0),IF('Recurring Schedule'!$E$39="Weekdays",WEEKDAY($A264,2)&lt;=5,$A264='Recurring Schedule'!$F$39))),34,""))))</f>
        <v/>
      </c>
      <c r="AJ264">
        <f>IF('Recurring Schedule'!$C$40="","",IF('Recurring Schedule'!$F$40="","",IF(OR($A264&lt;'Recurring Schedule'!$F$40,$A264&gt;'Recurring Schedule'!$P$40),"",IF(IF('Recurring Schedule'!$N$40&gt;0,MOD($A264-'Recurring Schedule'!$F$40,'Recurring Schedule'!$N$40)=0,IF('Recurring Schedule'!$O$40&gt;0,AND(DAY($A264)=MIN(DAY('Recurring Schedule'!$F$40),DAY(EOMONTH($A264,0))),MOD((YEAR($A264)-YEAR('Recurring Schedule'!$F$40))*12+MONTH($A264)-MONTH('Recurring Schedule'!$F$40),'Recurring Schedule'!$O$40)=0),IF('Recurring Schedule'!$E$40="Weekdays",WEEKDAY($A264,2)&lt;=5,$A264='Recurring Schedule'!$F$40))),35,""))))</f>
        <v/>
      </c>
      <c r="AK264">
        <f>IF('Recurring Schedule'!$C$41="","",IF('Recurring Schedule'!$F$41="","",IF(OR($A264&lt;'Recurring Schedule'!$F$41,$A264&gt;'Recurring Schedule'!$P$41),"",IF(IF('Recurring Schedule'!$N$41&gt;0,MOD($A264-'Recurring Schedule'!$F$41,'Recurring Schedule'!$N$41)=0,IF('Recurring Schedule'!$O$41&gt;0,AND(DAY($A264)=MIN(DAY('Recurring Schedule'!$F$41),DAY(EOMONTH($A264,0))),MOD((YEAR($A264)-YEAR('Recurring Schedule'!$F$41))*12+MONTH($A264)-MONTH('Recurring Schedule'!$F$41),'Recurring Schedule'!$O$41)=0),IF('Recurring Schedule'!$E$41="Weekdays",WEEKDAY($A264,2)&lt;=5,$A264='Recurring Schedule'!$F$41))),36,""))))</f>
        <v/>
      </c>
      <c r="AL264">
        <f>IF('Recurring Schedule'!$C$42="","",IF('Recurring Schedule'!$F$42="","",IF(OR($A264&lt;'Recurring Schedule'!$F$42,$A264&gt;'Recurring Schedule'!$P$42),"",IF(IF('Recurring Schedule'!$N$42&gt;0,MOD($A264-'Recurring Schedule'!$F$42,'Recurring Schedule'!$N$42)=0,IF('Recurring Schedule'!$O$42&gt;0,AND(DAY($A264)=MIN(DAY('Recurring Schedule'!$F$42),DAY(EOMONTH($A264,0))),MOD((YEAR($A264)-YEAR('Recurring Schedule'!$F$42))*12+MONTH($A264)-MONTH('Recurring Schedule'!$F$42),'Recurring Schedule'!$O$42)=0),IF('Recurring Schedule'!$E$42="Weekdays",WEEKDAY($A264,2)&lt;=5,$A264='Recurring Schedule'!$F$42))),37,""))))</f>
        <v/>
      </c>
      <c r="AM264">
        <f>IF('Recurring Schedule'!$C$43="","",IF('Recurring Schedule'!$F$43="","",IF(OR($A264&lt;'Recurring Schedule'!$F$43,$A264&gt;'Recurring Schedule'!$P$43),"",IF(IF('Recurring Schedule'!$N$43&gt;0,MOD($A264-'Recurring Schedule'!$F$43,'Recurring Schedule'!$N$43)=0,IF('Recurring Schedule'!$O$43&gt;0,AND(DAY($A264)=MIN(DAY('Recurring Schedule'!$F$43),DAY(EOMONTH($A264,0))),MOD((YEAR($A264)-YEAR('Recurring Schedule'!$F$43))*12+MONTH($A264)-MONTH('Recurring Schedule'!$F$43),'Recurring Schedule'!$O$43)=0),IF('Recurring Schedule'!$E$43="Weekdays",WEEKDAY($A264,2)&lt;=5,$A264='Recurring Schedule'!$F$43))),38,""))))</f>
        <v/>
      </c>
      <c r="AN264">
        <f>IF('Recurring Schedule'!$C$44="","",IF('Recurring Schedule'!$F$44="","",IF(OR($A264&lt;'Recurring Schedule'!$F$44,$A264&gt;'Recurring Schedule'!$P$44),"",IF(IF('Recurring Schedule'!$N$44&gt;0,MOD($A264-'Recurring Schedule'!$F$44,'Recurring Schedule'!$N$44)=0,IF('Recurring Schedule'!$O$44&gt;0,AND(DAY($A264)=MIN(DAY('Recurring Schedule'!$F$44),DAY(EOMONTH($A264,0))),MOD((YEAR($A264)-YEAR('Recurring Schedule'!$F$44))*12+MONTH($A264)-MONTH('Recurring Schedule'!$F$44),'Recurring Schedule'!$O$44)=0),IF('Recurring Schedule'!$E$44="Weekdays",WEEKDAY($A264,2)&lt;=5,$A264='Recurring Schedule'!$F$44))),39,""))))</f>
        <v/>
      </c>
      <c r="AO264">
        <f>IF('Recurring Schedule'!$C$45="","",IF('Recurring Schedule'!$F$45="","",IF(OR($A264&lt;'Recurring Schedule'!$F$45,$A264&gt;'Recurring Schedule'!$P$45),"",IF(IF('Recurring Schedule'!$N$45&gt;0,MOD($A264-'Recurring Schedule'!$F$45,'Recurring Schedule'!$N$45)=0,IF('Recurring Schedule'!$O$45&gt;0,AND(DAY($A264)=MIN(DAY('Recurring Schedule'!$F$45),DAY(EOMONTH($A264,0))),MOD((YEAR($A264)-YEAR('Recurring Schedule'!$F$45))*12+MONTH($A264)-MONTH('Recurring Schedule'!$F$45),'Recurring Schedule'!$O$45)=0),IF('Recurring Schedule'!$E$45="Weekdays",WEEKDAY($A264,2)&lt;=5,$A264='Recurring Schedule'!$F$45))),40,""))))</f>
        <v/>
      </c>
      <c r="AP264">
        <f>COUNT(B264:AO264)</f>
        <v/>
      </c>
      <c r="AQ264">
        <f>AQ263+AP263</f>
        <v/>
      </c>
      <c r="AS264" t="inlineStr">
        <is>
          <t>R</t>
        </is>
      </c>
      <c r="AT264" t="n">
        <v>268</v>
      </c>
      <c r="AU264">
        <f>'Recurring Log'!C268&amp;""</f>
        <v/>
      </c>
      <c r="AV264">
        <f>'Recurring Log'!D268&amp;""</f>
        <v/>
      </c>
      <c r="AW264">
        <f>IF('Recurring Log'!E268="","",'Recurring Log'!E268)</f>
        <v/>
      </c>
      <c r="AX264">
        <f>IF('Recurring Log'!G268="","",'Recurring Log'!G268)</f>
        <v/>
      </c>
      <c r="AY264">
        <f>IF('Recurring Log'!H268="","",'Recurring Log'!H268)</f>
        <v/>
      </c>
      <c r="AZ264">
        <f>IF(AU264="","",IF('Recurring Log'!J268="","Not Started",'Recurring Log'!J268))</f>
        <v/>
      </c>
      <c r="BA264">
        <f>'Recurring Log'!L268&amp;""</f>
        <v/>
      </c>
      <c r="BB264">
        <f>'Recurring Log'!M268&amp;""</f>
        <v/>
      </c>
      <c r="BC264">
        <f>'Recurring Log'!N268&amp;""</f>
        <v/>
      </c>
      <c r="BD264">
        <f>'Recurring Log'!O268&amp;""</f>
        <v/>
      </c>
      <c r="BE264">
        <f>IF('Recurring Log'!K268="","",'Recurring Log'!K268)</f>
        <v/>
      </c>
      <c r="BF264">
        <f>IFERROR(MATCH(BA264,Setup!$L$6:$L$9,0),5)</f>
        <v/>
      </c>
      <c r="BG264">
        <f>IF(OR(AZ264="Done",AZ264="Cancelled"),1,0)</f>
        <v/>
      </c>
      <c r="BH264">
        <f>IF(AND(AU264&lt;&gt;"",ISNUMBER(AW264)),1,0)</f>
        <v/>
      </c>
      <c r="BI264">
        <f>IF(BH264=0,0,IF(AND(AW264&gt;='Tasks Filter'!$F$3,AW264&lt;='Tasks Filter'!$F$4,OR('Tasks Filter'!$I$3="",ISNUMBER(SEARCH('Tasks Filter'!$I$3,AU264))),OR('Tasks Filter'!$I$4="",BF264=IFERROR(MATCH('Tasks Filter'!$I$4,Setup!$L$6:$L$9,0),0)),OR('Tasks Filter'!$I$5="Both",AND('Tasks Filter'!$I$5="Yes",BB264="✓"),AND('Tasks Filter'!$I$5="No",BB264&lt;&gt;"✓")),OR('Tasks Filter'!$L$3="",AV264='Tasks Filter'!$L$3),OR('Tasks Filter'!$L$4="",AZ264='Tasks Filter'!$L$4),OR('Tasks Filter'!$L$5="",BC264='Tasks Filter'!$L$5),OR('Tasks Filter'!$O$3="",BD264='Tasks Filter'!$O$3),OR('Tasks Filter'!$O$4="Yes",BG264=0)),1,0))</f>
        <v/>
      </c>
      <c r="BJ264">
        <f>IF(BH264=0,"",IF('Tasks Filter'!$F$6="Descending",-1,1)*CHOOSE(MATCH('Tasks Filter'!$F$5,Lists!$G$2:$G$6,0),AW264,BF264,IFERROR(MATCH(AV264,Setup!$F$6:$F$15,0),99),IFERROR(MATCH(BC264,Setup!$H$6:$H$15,0),99),IFERROR(MATCH(AZ264,Setup!$J$6:$J$11,0),99))*1E+9+(AW264-40000)*10000+263)</f>
        <v/>
      </c>
      <c r="BK264">
        <f>IF(BI264=1,BJ264,"")</f>
        <v/>
      </c>
      <c r="BL264">
        <f>IF(AND(BH264=1,BG264=0,N(AW264)&lt;Setup!$D$7),(AW264-40000)*10000+263,"")</f>
        <v/>
      </c>
      <c r="BM264">
        <f>IF(AND(BH264=1,AZ264&lt;&gt;"Cancelled",N(AW264)&gt;=Dashboard!$AB$3,N(AW264)&lt;=Dashboard!$AB$3+6),(AW264-40000)*100000+BF264*10000+263,"")</f>
        <v/>
      </c>
      <c r="BN264">
        <f>IF(AND(BH264=1,AZ264&lt;&gt;"Cancelled"),BF264*10000+263,"")</f>
        <v/>
      </c>
    </row>
    <row r="265">
      <c r="A265">
        <f>Setup!$D$5+263</f>
        <v/>
      </c>
      <c r="B265">
        <f>IF('Recurring Schedule'!$C$6="","",IF('Recurring Schedule'!$F$6="","",IF(OR($A265&lt;'Recurring Schedule'!$F$6,$A265&gt;'Recurring Schedule'!$P$6),"",IF(IF('Recurring Schedule'!$N$6&gt;0,MOD($A265-'Recurring Schedule'!$F$6,'Recurring Schedule'!$N$6)=0,IF('Recurring Schedule'!$O$6&gt;0,AND(DAY($A265)=MIN(DAY('Recurring Schedule'!$F$6),DAY(EOMONTH($A265,0))),MOD((YEAR($A265)-YEAR('Recurring Schedule'!$F$6))*12+MONTH($A265)-MONTH('Recurring Schedule'!$F$6),'Recurring Schedule'!$O$6)=0),IF('Recurring Schedule'!$E$6="Weekdays",WEEKDAY($A265,2)&lt;=5,$A265='Recurring Schedule'!$F$6))),1,""))))</f>
        <v/>
      </c>
      <c r="C265">
        <f>IF('Recurring Schedule'!$C$7="","",IF('Recurring Schedule'!$F$7="","",IF(OR($A265&lt;'Recurring Schedule'!$F$7,$A265&gt;'Recurring Schedule'!$P$7),"",IF(IF('Recurring Schedule'!$N$7&gt;0,MOD($A265-'Recurring Schedule'!$F$7,'Recurring Schedule'!$N$7)=0,IF('Recurring Schedule'!$O$7&gt;0,AND(DAY($A265)=MIN(DAY('Recurring Schedule'!$F$7),DAY(EOMONTH($A265,0))),MOD((YEAR($A265)-YEAR('Recurring Schedule'!$F$7))*12+MONTH($A265)-MONTH('Recurring Schedule'!$F$7),'Recurring Schedule'!$O$7)=0),IF('Recurring Schedule'!$E$7="Weekdays",WEEKDAY($A265,2)&lt;=5,$A265='Recurring Schedule'!$F$7))),2,""))))</f>
        <v/>
      </c>
      <c r="D265">
        <f>IF('Recurring Schedule'!$C$8="","",IF('Recurring Schedule'!$F$8="","",IF(OR($A265&lt;'Recurring Schedule'!$F$8,$A265&gt;'Recurring Schedule'!$P$8),"",IF(IF('Recurring Schedule'!$N$8&gt;0,MOD($A265-'Recurring Schedule'!$F$8,'Recurring Schedule'!$N$8)=0,IF('Recurring Schedule'!$O$8&gt;0,AND(DAY($A265)=MIN(DAY('Recurring Schedule'!$F$8),DAY(EOMONTH($A265,0))),MOD((YEAR($A265)-YEAR('Recurring Schedule'!$F$8))*12+MONTH($A265)-MONTH('Recurring Schedule'!$F$8),'Recurring Schedule'!$O$8)=0),IF('Recurring Schedule'!$E$8="Weekdays",WEEKDAY($A265,2)&lt;=5,$A265='Recurring Schedule'!$F$8))),3,""))))</f>
        <v/>
      </c>
      <c r="E265">
        <f>IF('Recurring Schedule'!$C$9="","",IF('Recurring Schedule'!$F$9="","",IF(OR($A265&lt;'Recurring Schedule'!$F$9,$A265&gt;'Recurring Schedule'!$P$9),"",IF(IF('Recurring Schedule'!$N$9&gt;0,MOD($A265-'Recurring Schedule'!$F$9,'Recurring Schedule'!$N$9)=0,IF('Recurring Schedule'!$O$9&gt;0,AND(DAY($A265)=MIN(DAY('Recurring Schedule'!$F$9),DAY(EOMONTH($A265,0))),MOD((YEAR($A265)-YEAR('Recurring Schedule'!$F$9))*12+MONTH($A265)-MONTH('Recurring Schedule'!$F$9),'Recurring Schedule'!$O$9)=0),IF('Recurring Schedule'!$E$9="Weekdays",WEEKDAY($A265,2)&lt;=5,$A265='Recurring Schedule'!$F$9))),4,""))))</f>
        <v/>
      </c>
      <c r="F265">
        <f>IF('Recurring Schedule'!$C$10="","",IF('Recurring Schedule'!$F$10="","",IF(OR($A265&lt;'Recurring Schedule'!$F$10,$A265&gt;'Recurring Schedule'!$P$10),"",IF(IF('Recurring Schedule'!$N$10&gt;0,MOD($A265-'Recurring Schedule'!$F$10,'Recurring Schedule'!$N$10)=0,IF('Recurring Schedule'!$O$10&gt;0,AND(DAY($A265)=MIN(DAY('Recurring Schedule'!$F$10),DAY(EOMONTH($A265,0))),MOD((YEAR($A265)-YEAR('Recurring Schedule'!$F$10))*12+MONTH($A265)-MONTH('Recurring Schedule'!$F$10),'Recurring Schedule'!$O$10)=0),IF('Recurring Schedule'!$E$10="Weekdays",WEEKDAY($A265,2)&lt;=5,$A265='Recurring Schedule'!$F$10))),5,""))))</f>
        <v/>
      </c>
      <c r="G265">
        <f>IF('Recurring Schedule'!$C$11="","",IF('Recurring Schedule'!$F$11="","",IF(OR($A265&lt;'Recurring Schedule'!$F$11,$A265&gt;'Recurring Schedule'!$P$11),"",IF(IF('Recurring Schedule'!$N$11&gt;0,MOD($A265-'Recurring Schedule'!$F$11,'Recurring Schedule'!$N$11)=0,IF('Recurring Schedule'!$O$11&gt;0,AND(DAY($A265)=MIN(DAY('Recurring Schedule'!$F$11),DAY(EOMONTH($A265,0))),MOD((YEAR($A265)-YEAR('Recurring Schedule'!$F$11))*12+MONTH($A265)-MONTH('Recurring Schedule'!$F$11),'Recurring Schedule'!$O$11)=0),IF('Recurring Schedule'!$E$11="Weekdays",WEEKDAY($A265,2)&lt;=5,$A265='Recurring Schedule'!$F$11))),6,""))))</f>
        <v/>
      </c>
      <c r="H265">
        <f>IF('Recurring Schedule'!$C$12="","",IF('Recurring Schedule'!$F$12="","",IF(OR($A265&lt;'Recurring Schedule'!$F$12,$A265&gt;'Recurring Schedule'!$P$12),"",IF(IF('Recurring Schedule'!$N$12&gt;0,MOD($A265-'Recurring Schedule'!$F$12,'Recurring Schedule'!$N$12)=0,IF('Recurring Schedule'!$O$12&gt;0,AND(DAY($A265)=MIN(DAY('Recurring Schedule'!$F$12),DAY(EOMONTH($A265,0))),MOD((YEAR($A265)-YEAR('Recurring Schedule'!$F$12))*12+MONTH($A265)-MONTH('Recurring Schedule'!$F$12),'Recurring Schedule'!$O$12)=0),IF('Recurring Schedule'!$E$12="Weekdays",WEEKDAY($A265,2)&lt;=5,$A265='Recurring Schedule'!$F$12))),7,""))))</f>
        <v/>
      </c>
      <c r="I265">
        <f>IF('Recurring Schedule'!$C$13="","",IF('Recurring Schedule'!$F$13="","",IF(OR($A265&lt;'Recurring Schedule'!$F$13,$A265&gt;'Recurring Schedule'!$P$13),"",IF(IF('Recurring Schedule'!$N$13&gt;0,MOD($A265-'Recurring Schedule'!$F$13,'Recurring Schedule'!$N$13)=0,IF('Recurring Schedule'!$O$13&gt;0,AND(DAY($A265)=MIN(DAY('Recurring Schedule'!$F$13),DAY(EOMONTH($A265,0))),MOD((YEAR($A265)-YEAR('Recurring Schedule'!$F$13))*12+MONTH($A265)-MONTH('Recurring Schedule'!$F$13),'Recurring Schedule'!$O$13)=0),IF('Recurring Schedule'!$E$13="Weekdays",WEEKDAY($A265,2)&lt;=5,$A265='Recurring Schedule'!$F$13))),8,""))))</f>
        <v/>
      </c>
      <c r="J265">
        <f>IF('Recurring Schedule'!$C$14="","",IF('Recurring Schedule'!$F$14="","",IF(OR($A265&lt;'Recurring Schedule'!$F$14,$A265&gt;'Recurring Schedule'!$P$14),"",IF(IF('Recurring Schedule'!$N$14&gt;0,MOD($A265-'Recurring Schedule'!$F$14,'Recurring Schedule'!$N$14)=0,IF('Recurring Schedule'!$O$14&gt;0,AND(DAY($A265)=MIN(DAY('Recurring Schedule'!$F$14),DAY(EOMONTH($A265,0))),MOD((YEAR($A265)-YEAR('Recurring Schedule'!$F$14))*12+MONTH($A265)-MONTH('Recurring Schedule'!$F$14),'Recurring Schedule'!$O$14)=0),IF('Recurring Schedule'!$E$14="Weekdays",WEEKDAY($A265,2)&lt;=5,$A265='Recurring Schedule'!$F$14))),9,""))))</f>
        <v/>
      </c>
      <c r="K265">
        <f>IF('Recurring Schedule'!$C$15="","",IF('Recurring Schedule'!$F$15="","",IF(OR($A265&lt;'Recurring Schedule'!$F$15,$A265&gt;'Recurring Schedule'!$P$15),"",IF(IF('Recurring Schedule'!$N$15&gt;0,MOD($A265-'Recurring Schedule'!$F$15,'Recurring Schedule'!$N$15)=0,IF('Recurring Schedule'!$O$15&gt;0,AND(DAY($A265)=MIN(DAY('Recurring Schedule'!$F$15),DAY(EOMONTH($A265,0))),MOD((YEAR($A265)-YEAR('Recurring Schedule'!$F$15))*12+MONTH($A265)-MONTH('Recurring Schedule'!$F$15),'Recurring Schedule'!$O$15)=0),IF('Recurring Schedule'!$E$15="Weekdays",WEEKDAY($A265,2)&lt;=5,$A265='Recurring Schedule'!$F$15))),10,""))))</f>
        <v/>
      </c>
      <c r="L265">
        <f>IF('Recurring Schedule'!$C$16="","",IF('Recurring Schedule'!$F$16="","",IF(OR($A265&lt;'Recurring Schedule'!$F$16,$A265&gt;'Recurring Schedule'!$P$16),"",IF(IF('Recurring Schedule'!$N$16&gt;0,MOD($A265-'Recurring Schedule'!$F$16,'Recurring Schedule'!$N$16)=0,IF('Recurring Schedule'!$O$16&gt;0,AND(DAY($A265)=MIN(DAY('Recurring Schedule'!$F$16),DAY(EOMONTH($A265,0))),MOD((YEAR($A265)-YEAR('Recurring Schedule'!$F$16))*12+MONTH($A265)-MONTH('Recurring Schedule'!$F$16),'Recurring Schedule'!$O$16)=0),IF('Recurring Schedule'!$E$16="Weekdays",WEEKDAY($A265,2)&lt;=5,$A265='Recurring Schedule'!$F$16))),11,""))))</f>
        <v/>
      </c>
      <c r="M265">
        <f>IF('Recurring Schedule'!$C$17="","",IF('Recurring Schedule'!$F$17="","",IF(OR($A265&lt;'Recurring Schedule'!$F$17,$A265&gt;'Recurring Schedule'!$P$17),"",IF(IF('Recurring Schedule'!$N$17&gt;0,MOD($A265-'Recurring Schedule'!$F$17,'Recurring Schedule'!$N$17)=0,IF('Recurring Schedule'!$O$17&gt;0,AND(DAY($A265)=MIN(DAY('Recurring Schedule'!$F$17),DAY(EOMONTH($A265,0))),MOD((YEAR($A265)-YEAR('Recurring Schedule'!$F$17))*12+MONTH($A265)-MONTH('Recurring Schedule'!$F$17),'Recurring Schedule'!$O$17)=0),IF('Recurring Schedule'!$E$17="Weekdays",WEEKDAY($A265,2)&lt;=5,$A265='Recurring Schedule'!$F$17))),12,""))))</f>
        <v/>
      </c>
      <c r="N265">
        <f>IF('Recurring Schedule'!$C$18="","",IF('Recurring Schedule'!$F$18="","",IF(OR($A265&lt;'Recurring Schedule'!$F$18,$A265&gt;'Recurring Schedule'!$P$18),"",IF(IF('Recurring Schedule'!$N$18&gt;0,MOD($A265-'Recurring Schedule'!$F$18,'Recurring Schedule'!$N$18)=0,IF('Recurring Schedule'!$O$18&gt;0,AND(DAY($A265)=MIN(DAY('Recurring Schedule'!$F$18),DAY(EOMONTH($A265,0))),MOD((YEAR($A265)-YEAR('Recurring Schedule'!$F$18))*12+MONTH($A265)-MONTH('Recurring Schedule'!$F$18),'Recurring Schedule'!$O$18)=0),IF('Recurring Schedule'!$E$18="Weekdays",WEEKDAY($A265,2)&lt;=5,$A265='Recurring Schedule'!$F$18))),13,""))))</f>
        <v/>
      </c>
      <c r="O265">
        <f>IF('Recurring Schedule'!$C$19="","",IF('Recurring Schedule'!$F$19="","",IF(OR($A265&lt;'Recurring Schedule'!$F$19,$A265&gt;'Recurring Schedule'!$P$19),"",IF(IF('Recurring Schedule'!$N$19&gt;0,MOD($A265-'Recurring Schedule'!$F$19,'Recurring Schedule'!$N$19)=0,IF('Recurring Schedule'!$O$19&gt;0,AND(DAY($A265)=MIN(DAY('Recurring Schedule'!$F$19),DAY(EOMONTH($A265,0))),MOD((YEAR($A265)-YEAR('Recurring Schedule'!$F$19))*12+MONTH($A265)-MONTH('Recurring Schedule'!$F$19),'Recurring Schedule'!$O$19)=0),IF('Recurring Schedule'!$E$19="Weekdays",WEEKDAY($A265,2)&lt;=5,$A265='Recurring Schedule'!$F$19))),14,""))))</f>
        <v/>
      </c>
      <c r="P265">
        <f>IF('Recurring Schedule'!$C$20="","",IF('Recurring Schedule'!$F$20="","",IF(OR($A265&lt;'Recurring Schedule'!$F$20,$A265&gt;'Recurring Schedule'!$P$20),"",IF(IF('Recurring Schedule'!$N$20&gt;0,MOD($A265-'Recurring Schedule'!$F$20,'Recurring Schedule'!$N$20)=0,IF('Recurring Schedule'!$O$20&gt;0,AND(DAY($A265)=MIN(DAY('Recurring Schedule'!$F$20),DAY(EOMONTH($A265,0))),MOD((YEAR($A265)-YEAR('Recurring Schedule'!$F$20))*12+MONTH($A265)-MONTH('Recurring Schedule'!$F$20),'Recurring Schedule'!$O$20)=0),IF('Recurring Schedule'!$E$20="Weekdays",WEEKDAY($A265,2)&lt;=5,$A265='Recurring Schedule'!$F$20))),15,""))))</f>
        <v/>
      </c>
      <c r="Q265">
        <f>IF('Recurring Schedule'!$C$21="","",IF('Recurring Schedule'!$F$21="","",IF(OR($A265&lt;'Recurring Schedule'!$F$21,$A265&gt;'Recurring Schedule'!$P$21),"",IF(IF('Recurring Schedule'!$N$21&gt;0,MOD($A265-'Recurring Schedule'!$F$21,'Recurring Schedule'!$N$21)=0,IF('Recurring Schedule'!$O$21&gt;0,AND(DAY($A265)=MIN(DAY('Recurring Schedule'!$F$21),DAY(EOMONTH($A265,0))),MOD((YEAR($A265)-YEAR('Recurring Schedule'!$F$21))*12+MONTH($A265)-MONTH('Recurring Schedule'!$F$21),'Recurring Schedule'!$O$21)=0),IF('Recurring Schedule'!$E$21="Weekdays",WEEKDAY($A265,2)&lt;=5,$A265='Recurring Schedule'!$F$21))),16,""))))</f>
        <v/>
      </c>
      <c r="R265">
        <f>IF('Recurring Schedule'!$C$22="","",IF('Recurring Schedule'!$F$22="","",IF(OR($A265&lt;'Recurring Schedule'!$F$22,$A265&gt;'Recurring Schedule'!$P$22),"",IF(IF('Recurring Schedule'!$N$22&gt;0,MOD($A265-'Recurring Schedule'!$F$22,'Recurring Schedule'!$N$22)=0,IF('Recurring Schedule'!$O$22&gt;0,AND(DAY($A265)=MIN(DAY('Recurring Schedule'!$F$22),DAY(EOMONTH($A265,0))),MOD((YEAR($A265)-YEAR('Recurring Schedule'!$F$22))*12+MONTH($A265)-MONTH('Recurring Schedule'!$F$22),'Recurring Schedule'!$O$22)=0),IF('Recurring Schedule'!$E$22="Weekdays",WEEKDAY($A265,2)&lt;=5,$A265='Recurring Schedule'!$F$22))),17,""))))</f>
        <v/>
      </c>
      <c r="S265">
        <f>IF('Recurring Schedule'!$C$23="","",IF('Recurring Schedule'!$F$23="","",IF(OR($A265&lt;'Recurring Schedule'!$F$23,$A265&gt;'Recurring Schedule'!$P$23),"",IF(IF('Recurring Schedule'!$N$23&gt;0,MOD($A265-'Recurring Schedule'!$F$23,'Recurring Schedule'!$N$23)=0,IF('Recurring Schedule'!$O$23&gt;0,AND(DAY($A265)=MIN(DAY('Recurring Schedule'!$F$23),DAY(EOMONTH($A265,0))),MOD((YEAR($A265)-YEAR('Recurring Schedule'!$F$23))*12+MONTH($A265)-MONTH('Recurring Schedule'!$F$23),'Recurring Schedule'!$O$23)=0),IF('Recurring Schedule'!$E$23="Weekdays",WEEKDAY($A265,2)&lt;=5,$A265='Recurring Schedule'!$F$23))),18,""))))</f>
        <v/>
      </c>
      <c r="T265">
        <f>IF('Recurring Schedule'!$C$24="","",IF('Recurring Schedule'!$F$24="","",IF(OR($A265&lt;'Recurring Schedule'!$F$24,$A265&gt;'Recurring Schedule'!$P$24),"",IF(IF('Recurring Schedule'!$N$24&gt;0,MOD($A265-'Recurring Schedule'!$F$24,'Recurring Schedule'!$N$24)=0,IF('Recurring Schedule'!$O$24&gt;0,AND(DAY($A265)=MIN(DAY('Recurring Schedule'!$F$24),DAY(EOMONTH($A265,0))),MOD((YEAR($A265)-YEAR('Recurring Schedule'!$F$24))*12+MONTH($A265)-MONTH('Recurring Schedule'!$F$24),'Recurring Schedule'!$O$24)=0),IF('Recurring Schedule'!$E$24="Weekdays",WEEKDAY($A265,2)&lt;=5,$A265='Recurring Schedule'!$F$24))),19,""))))</f>
        <v/>
      </c>
      <c r="U265">
        <f>IF('Recurring Schedule'!$C$25="","",IF('Recurring Schedule'!$F$25="","",IF(OR($A265&lt;'Recurring Schedule'!$F$25,$A265&gt;'Recurring Schedule'!$P$25),"",IF(IF('Recurring Schedule'!$N$25&gt;0,MOD($A265-'Recurring Schedule'!$F$25,'Recurring Schedule'!$N$25)=0,IF('Recurring Schedule'!$O$25&gt;0,AND(DAY($A265)=MIN(DAY('Recurring Schedule'!$F$25),DAY(EOMONTH($A265,0))),MOD((YEAR($A265)-YEAR('Recurring Schedule'!$F$25))*12+MONTH($A265)-MONTH('Recurring Schedule'!$F$25),'Recurring Schedule'!$O$25)=0),IF('Recurring Schedule'!$E$25="Weekdays",WEEKDAY($A265,2)&lt;=5,$A265='Recurring Schedule'!$F$25))),20,""))))</f>
        <v/>
      </c>
      <c r="V265">
        <f>IF('Recurring Schedule'!$C$26="","",IF('Recurring Schedule'!$F$26="","",IF(OR($A265&lt;'Recurring Schedule'!$F$26,$A265&gt;'Recurring Schedule'!$P$26),"",IF(IF('Recurring Schedule'!$N$26&gt;0,MOD($A265-'Recurring Schedule'!$F$26,'Recurring Schedule'!$N$26)=0,IF('Recurring Schedule'!$O$26&gt;0,AND(DAY($A265)=MIN(DAY('Recurring Schedule'!$F$26),DAY(EOMONTH($A265,0))),MOD((YEAR($A265)-YEAR('Recurring Schedule'!$F$26))*12+MONTH($A265)-MONTH('Recurring Schedule'!$F$26),'Recurring Schedule'!$O$26)=0),IF('Recurring Schedule'!$E$26="Weekdays",WEEKDAY($A265,2)&lt;=5,$A265='Recurring Schedule'!$F$26))),21,""))))</f>
        <v/>
      </c>
      <c r="W265">
        <f>IF('Recurring Schedule'!$C$27="","",IF('Recurring Schedule'!$F$27="","",IF(OR($A265&lt;'Recurring Schedule'!$F$27,$A265&gt;'Recurring Schedule'!$P$27),"",IF(IF('Recurring Schedule'!$N$27&gt;0,MOD($A265-'Recurring Schedule'!$F$27,'Recurring Schedule'!$N$27)=0,IF('Recurring Schedule'!$O$27&gt;0,AND(DAY($A265)=MIN(DAY('Recurring Schedule'!$F$27),DAY(EOMONTH($A265,0))),MOD((YEAR($A265)-YEAR('Recurring Schedule'!$F$27))*12+MONTH($A265)-MONTH('Recurring Schedule'!$F$27),'Recurring Schedule'!$O$27)=0),IF('Recurring Schedule'!$E$27="Weekdays",WEEKDAY($A265,2)&lt;=5,$A265='Recurring Schedule'!$F$27))),22,""))))</f>
        <v/>
      </c>
      <c r="X265">
        <f>IF('Recurring Schedule'!$C$28="","",IF('Recurring Schedule'!$F$28="","",IF(OR($A265&lt;'Recurring Schedule'!$F$28,$A265&gt;'Recurring Schedule'!$P$28),"",IF(IF('Recurring Schedule'!$N$28&gt;0,MOD($A265-'Recurring Schedule'!$F$28,'Recurring Schedule'!$N$28)=0,IF('Recurring Schedule'!$O$28&gt;0,AND(DAY($A265)=MIN(DAY('Recurring Schedule'!$F$28),DAY(EOMONTH($A265,0))),MOD((YEAR($A265)-YEAR('Recurring Schedule'!$F$28))*12+MONTH($A265)-MONTH('Recurring Schedule'!$F$28),'Recurring Schedule'!$O$28)=0),IF('Recurring Schedule'!$E$28="Weekdays",WEEKDAY($A265,2)&lt;=5,$A265='Recurring Schedule'!$F$28))),23,""))))</f>
        <v/>
      </c>
      <c r="Y265">
        <f>IF('Recurring Schedule'!$C$29="","",IF('Recurring Schedule'!$F$29="","",IF(OR($A265&lt;'Recurring Schedule'!$F$29,$A265&gt;'Recurring Schedule'!$P$29),"",IF(IF('Recurring Schedule'!$N$29&gt;0,MOD($A265-'Recurring Schedule'!$F$29,'Recurring Schedule'!$N$29)=0,IF('Recurring Schedule'!$O$29&gt;0,AND(DAY($A265)=MIN(DAY('Recurring Schedule'!$F$29),DAY(EOMONTH($A265,0))),MOD((YEAR($A265)-YEAR('Recurring Schedule'!$F$29))*12+MONTH($A265)-MONTH('Recurring Schedule'!$F$29),'Recurring Schedule'!$O$29)=0),IF('Recurring Schedule'!$E$29="Weekdays",WEEKDAY($A265,2)&lt;=5,$A265='Recurring Schedule'!$F$29))),24,""))))</f>
        <v/>
      </c>
      <c r="Z265">
        <f>IF('Recurring Schedule'!$C$30="","",IF('Recurring Schedule'!$F$30="","",IF(OR($A265&lt;'Recurring Schedule'!$F$30,$A265&gt;'Recurring Schedule'!$P$30),"",IF(IF('Recurring Schedule'!$N$30&gt;0,MOD($A265-'Recurring Schedule'!$F$30,'Recurring Schedule'!$N$30)=0,IF('Recurring Schedule'!$O$30&gt;0,AND(DAY($A265)=MIN(DAY('Recurring Schedule'!$F$30),DAY(EOMONTH($A265,0))),MOD((YEAR($A265)-YEAR('Recurring Schedule'!$F$30))*12+MONTH($A265)-MONTH('Recurring Schedule'!$F$30),'Recurring Schedule'!$O$30)=0),IF('Recurring Schedule'!$E$30="Weekdays",WEEKDAY($A265,2)&lt;=5,$A265='Recurring Schedule'!$F$30))),25,""))))</f>
        <v/>
      </c>
      <c r="AA265">
        <f>IF('Recurring Schedule'!$C$31="","",IF('Recurring Schedule'!$F$31="","",IF(OR($A265&lt;'Recurring Schedule'!$F$31,$A265&gt;'Recurring Schedule'!$P$31),"",IF(IF('Recurring Schedule'!$N$31&gt;0,MOD($A265-'Recurring Schedule'!$F$31,'Recurring Schedule'!$N$31)=0,IF('Recurring Schedule'!$O$31&gt;0,AND(DAY($A265)=MIN(DAY('Recurring Schedule'!$F$31),DAY(EOMONTH($A265,0))),MOD((YEAR($A265)-YEAR('Recurring Schedule'!$F$31))*12+MONTH($A265)-MONTH('Recurring Schedule'!$F$31),'Recurring Schedule'!$O$31)=0),IF('Recurring Schedule'!$E$31="Weekdays",WEEKDAY($A265,2)&lt;=5,$A265='Recurring Schedule'!$F$31))),26,""))))</f>
        <v/>
      </c>
      <c r="AB265">
        <f>IF('Recurring Schedule'!$C$32="","",IF('Recurring Schedule'!$F$32="","",IF(OR($A265&lt;'Recurring Schedule'!$F$32,$A265&gt;'Recurring Schedule'!$P$32),"",IF(IF('Recurring Schedule'!$N$32&gt;0,MOD($A265-'Recurring Schedule'!$F$32,'Recurring Schedule'!$N$32)=0,IF('Recurring Schedule'!$O$32&gt;0,AND(DAY($A265)=MIN(DAY('Recurring Schedule'!$F$32),DAY(EOMONTH($A265,0))),MOD((YEAR($A265)-YEAR('Recurring Schedule'!$F$32))*12+MONTH($A265)-MONTH('Recurring Schedule'!$F$32),'Recurring Schedule'!$O$32)=0),IF('Recurring Schedule'!$E$32="Weekdays",WEEKDAY($A265,2)&lt;=5,$A265='Recurring Schedule'!$F$32))),27,""))))</f>
        <v/>
      </c>
      <c r="AC265">
        <f>IF('Recurring Schedule'!$C$33="","",IF('Recurring Schedule'!$F$33="","",IF(OR($A265&lt;'Recurring Schedule'!$F$33,$A265&gt;'Recurring Schedule'!$P$33),"",IF(IF('Recurring Schedule'!$N$33&gt;0,MOD($A265-'Recurring Schedule'!$F$33,'Recurring Schedule'!$N$33)=0,IF('Recurring Schedule'!$O$33&gt;0,AND(DAY($A265)=MIN(DAY('Recurring Schedule'!$F$33),DAY(EOMONTH($A265,0))),MOD((YEAR($A265)-YEAR('Recurring Schedule'!$F$33))*12+MONTH($A265)-MONTH('Recurring Schedule'!$F$33),'Recurring Schedule'!$O$33)=0),IF('Recurring Schedule'!$E$33="Weekdays",WEEKDAY($A265,2)&lt;=5,$A265='Recurring Schedule'!$F$33))),28,""))))</f>
        <v/>
      </c>
      <c r="AD265">
        <f>IF('Recurring Schedule'!$C$34="","",IF('Recurring Schedule'!$F$34="","",IF(OR($A265&lt;'Recurring Schedule'!$F$34,$A265&gt;'Recurring Schedule'!$P$34),"",IF(IF('Recurring Schedule'!$N$34&gt;0,MOD($A265-'Recurring Schedule'!$F$34,'Recurring Schedule'!$N$34)=0,IF('Recurring Schedule'!$O$34&gt;0,AND(DAY($A265)=MIN(DAY('Recurring Schedule'!$F$34),DAY(EOMONTH($A265,0))),MOD((YEAR($A265)-YEAR('Recurring Schedule'!$F$34))*12+MONTH($A265)-MONTH('Recurring Schedule'!$F$34),'Recurring Schedule'!$O$34)=0),IF('Recurring Schedule'!$E$34="Weekdays",WEEKDAY($A265,2)&lt;=5,$A265='Recurring Schedule'!$F$34))),29,""))))</f>
        <v/>
      </c>
      <c r="AE265">
        <f>IF('Recurring Schedule'!$C$35="","",IF('Recurring Schedule'!$F$35="","",IF(OR($A265&lt;'Recurring Schedule'!$F$35,$A265&gt;'Recurring Schedule'!$P$35),"",IF(IF('Recurring Schedule'!$N$35&gt;0,MOD($A265-'Recurring Schedule'!$F$35,'Recurring Schedule'!$N$35)=0,IF('Recurring Schedule'!$O$35&gt;0,AND(DAY($A265)=MIN(DAY('Recurring Schedule'!$F$35),DAY(EOMONTH($A265,0))),MOD((YEAR($A265)-YEAR('Recurring Schedule'!$F$35))*12+MONTH($A265)-MONTH('Recurring Schedule'!$F$35),'Recurring Schedule'!$O$35)=0),IF('Recurring Schedule'!$E$35="Weekdays",WEEKDAY($A265,2)&lt;=5,$A265='Recurring Schedule'!$F$35))),30,""))))</f>
        <v/>
      </c>
      <c r="AF265">
        <f>IF('Recurring Schedule'!$C$36="","",IF('Recurring Schedule'!$F$36="","",IF(OR($A265&lt;'Recurring Schedule'!$F$36,$A265&gt;'Recurring Schedule'!$P$36),"",IF(IF('Recurring Schedule'!$N$36&gt;0,MOD($A265-'Recurring Schedule'!$F$36,'Recurring Schedule'!$N$36)=0,IF('Recurring Schedule'!$O$36&gt;0,AND(DAY($A265)=MIN(DAY('Recurring Schedule'!$F$36),DAY(EOMONTH($A265,0))),MOD((YEAR($A265)-YEAR('Recurring Schedule'!$F$36))*12+MONTH($A265)-MONTH('Recurring Schedule'!$F$36),'Recurring Schedule'!$O$36)=0),IF('Recurring Schedule'!$E$36="Weekdays",WEEKDAY($A265,2)&lt;=5,$A265='Recurring Schedule'!$F$36))),31,""))))</f>
        <v/>
      </c>
      <c r="AG265">
        <f>IF('Recurring Schedule'!$C$37="","",IF('Recurring Schedule'!$F$37="","",IF(OR($A265&lt;'Recurring Schedule'!$F$37,$A265&gt;'Recurring Schedule'!$P$37),"",IF(IF('Recurring Schedule'!$N$37&gt;0,MOD($A265-'Recurring Schedule'!$F$37,'Recurring Schedule'!$N$37)=0,IF('Recurring Schedule'!$O$37&gt;0,AND(DAY($A265)=MIN(DAY('Recurring Schedule'!$F$37),DAY(EOMONTH($A265,0))),MOD((YEAR($A265)-YEAR('Recurring Schedule'!$F$37))*12+MONTH($A265)-MONTH('Recurring Schedule'!$F$37),'Recurring Schedule'!$O$37)=0),IF('Recurring Schedule'!$E$37="Weekdays",WEEKDAY($A265,2)&lt;=5,$A265='Recurring Schedule'!$F$37))),32,""))))</f>
        <v/>
      </c>
      <c r="AH265">
        <f>IF('Recurring Schedule'!$C$38="","",IF('Recurring Schedule'!$F$38="","",IF(OR($A265&lt;'Recurring Schedule'!$F$38,$A265&gt;'Recurring Schedule'!$P$38),"",IF(IF('Recurring Schedule'!$N$38&gt;0,MOD($A265-'Recurring Schedule'!$F$38,'Recurring Schedule'!$N$38)=0,IF('Recurring Schedule'!$O$38&gt;0,AND(DAY($A265)=MIN(DAY('Recurring Schedule'!$F$38),DAY(EOMONTH($A265,0))),MOD((YEAR($A265)-YEAR('Recurring Schedule'!$F$38))*12+MONTH($A265)-MONTH('Recurring Schedule'!$F$38),'Recurring Schedule'!$O$38)=0),IF('Recurring Schedule'!$E$38="Weekdays",WEEKDAY($A265,2)&lt;=5,$A265='Recurring Schedule'!$F$38))),33,""))))</f>
        <v/>
      </c>
      <c r="AI265">
        <f>IF('Recurring Schedule'!$C$39="","",IF('Recurring Schedule'!$F$39="","",IF(OR($A265&lt;'Recurring Schedule'!$F$39,$A265&gt;'Recurring Schedule'!$P$39),"",IF(IF('Recurring Schedule'!$N$39&gt;0,MOD($A265-'Recurring Schedule'!$F$39,'Recurring Schedule'!$N$39)=0,IF('Recurring Schedule'!$O$39&gt;0,AND(DAY($A265)=MIN(DAY('Recurring Schedule'!$F$39),DAY(EOMONTH($A265,0))),MOD((YEAR($A265)-YEAR('Recurring Schedule'!$F$39))*12+MONTH($A265)-MONTH('Recurring Schedule'!$F$39),'Recurring Schedule'!$O$39)=0),IF('Recurring Schedule'!$E$39="Weekdays",WEEKDAY($A265,2)&lt;=5,$A265='Recurring Schedule'!$F$39))),34,""))))</f>
        <v/>
      </c>
      <c r="AJ265">
        <f>IF('Recurring Schedule'!$C$40="","",IF('Recurring Schedule'!$F$40="","",IF(OR($A265&lt;'Recurring Schedule'!$F$40,$A265&gt;'Recurring Schedule'!$P$40),"",IF(IF('Recurring Schedule'!$N$40&gt;0,MOD($A265-'Recurring Schedule'!$F$40,'Recurring Schedule'!$N$40)=0,IF('Recurring Schedule'!$O$40&gt;0,AND(DAY($A265)=MIN(DAY('Recurring Schedule'!$F$40),DAY(EOMONTH($A265,0))),MOD((YEAR($A265)-YEAR('Recurring Schedule'!$F$40))*12+MONTH($A265)-MONTH('Recurring Schedule'!$F$40),'Recurring Schedule'!$O$40)=0),IF('Recurring Schedule'!$E$40="Weekdays",WEEKDAY($A265,2)&lt;=5,$A265='Recurring Schedule'!$F$40))),35,""))))</f>
        <v/>
      </c>
      <c r="AK265">
        <f>IF('Recurring Schedule'!$C$41="","",IF('Recurring Schedule'!$F$41="","",IF(OR($A265&lt;'Recurring Schedule'!$F$41,$A265&gt;'Recurring Schedule'!$P$41),"",IF(IF('Recurring Schedule'!$N$41&gt;0,MOD($A265-'Recurring Schedule'!$F$41,'Recurring Schedule'!$N$41)=0,IF('Recurring Schedule'!$O$41&gt;0,AND(DAY($A265)=MIN(DAY('Recurring Schedule'!$F$41),DAY(EOMONTH($A265,0))),MOD((YEAR($A265)-YEAR('Recurring Schedule'!$F$41))*12+MONTH($A265)-MONTH('Recurring Schedule'!$F$41),'Recurring Schedule'!$O$41)=0),IF('Recurring Schedule'!$E$41="Weekdays",WEEKDAY($A265,2)&lt;=5,$A265='Recurring Schedule'!$F$41))),36,""))))</f>
        <v/>
      </c>
      <c r="AL265">
        <f>IF('Recurring Schedule'!$C$42="","",IF('Recurring Schedule'!$F$42="","",IF(OR($A265&lt;'Recurring Schedule'!$F$42,$A265&gt;'Recurring Schedule'!$P$42),"",IF(IF('Recurring Schedule'!$N$42&gt;0,MOD($A265-'Recurring Schedule'!$F$42,'Recurring Schedule'!$N$42)=0,IF('Recurring Schedule'!$O$42&gt;0,AND(DAY($A265)=MIN(DAY('Recurring Schedule'!$F$42),DAY(EOMONTH($A265,0))),MOD((YEAR($A265)-YEAR('Recurring Schedule'!$F$42))*12+MONTH($A265)-MONTH('Recurring Schedule'!$F$42),'Recurring Schedule'!$O$42)=0),IF('Recurring Schedule'!$E$42="Weekdays",WEEKDAY($A265,2)&lt;=5,$A265='Recurring Schedule'!$F$42))),37,""))))</f>
        <v/>
      </c>
      <c r="AM265">
        <f>IF('Recurring Schedule'!$C$43="","",IF('Recurring Schedule'!$F$43="","",IF(OR($A265&lt;'Recurring Schedule'!$F$43,$A265&gt;'Recurring Schedule'!$P$43),"",IF(IF('Recurring Schedule'!$N$43&gt;0,MOD($A265-'Recurring Schedule'!$F$43,'Recurring Schedule'!$N$43)=0,IF('Recurring Schedule'!$O$43&gt;0,AND(DAY($A265)=MIN(DAY('Recurring Schedule'!$F$43),DAY(EOMONTH($A265,0))),MOD((YEAR($A265)-YEAR('Recurring Schedule'!$F$43))*12+MONTH($A265)-MONTH('Recurring Schedule'!$F$43),'Recurring Schedule'!$O$43)=0),IF('Recurring Schedule'!$E$43="Weekdays",WEEKDAY($A265,2)&lt;=5,$A265='Recurring Schedule'!$F$43))),38,""))))</f>
        <v/>
      </c>
      <c r="AN265">
        <f>IF('Recurring Schedule'!$C$44="","",IF('Recurring Schedule'!$F$44="","",IF(OR($A265&lt;'Recurring Schedule'!$F$44,$A265&gt;'Recurring Schedule'!$P$44),"",IF(IF('Recurring Schedule'!$N$44&gt;0,MOD($A265-'Recurring Schedule'!$F$44,'Recurring Schedule'!$N$44)=0,IF('Recurring Schedule'!$O$44&gt;0,AND(DAY($A265)=MIN(DAY('Recurring Schedule'!$F$44),DAY(EOMONTH($A265,0))),MOD((YEAR($A265)-YEAR('Recurring Schedule'!$F$44))*12+MONTH($A265)-MONTH('Recurring Schedule'!$F$44),'Recurring Schedule'!$O$44)=0),IF('Recurring Schedule'!$E$44="Weekdays",WEEKDAY($A265,2)&lt;=5,$A265='Recurring Schedule'!$F$44))),39,""))))</f>
        <v/>
      </c>
      <c r="AO265">
        <f>IF('Recurring Schedule'!$C$45="","",IF('Recurring Schedule'!$F$45="","",IF(OR($A265&lt;'Recurring Schedule'!$F$45,$A265&gt;'Recurring Schedule'!$P$45),"",IF(IF('Recurring Schedule'!$N$45&gt;0,MOD($A265-'Recurring Schedule'!$F$45,'Recurring Schedule'!$N$45)=0,IF('Recurring Schedule'!$O$45&gt;0,AND(DAY($A265)=MIN(DAY('Recurring Schedule'!$F$45),DAY(EOMONTH($A265,0))),MOD((YEAR($A265)-YEAR('Recurring Schedule'!$F$45))*12+MONTH($A265)-MONTH('Recurring Schedule'!$F$45),'Recurring Schedule'!$O$45)=0),IF('Recurring Schedule'!$E$45="Weekdays",WEEKDAY($A265,2)&lt;=5,$A265='Recurring Schedule'!$F$45))),40,""))))</f>
        <v/>
      </c>
      <c r="AP265">
        <f>COUNT(B265:AO265)</f>
        <v/>
      </c>
      <c r="AQ265">
        <f>AQ264+AP264</f>
        <v/>
      </c>
      <c r="AS265" t="inlineStr">
        <is>
          <t>R</t>
        </is>
      </c>
      <c r="AT265" t="n">
        <v>269</v>
      </c>
      <c r="AU265">
        <f>'Recurring Log'!C269&amp;""</f>
        <v/>
      </c>
      <c r="AV265">
        <f>'Recurring Log'!D269&amp;""</f>
        <v/>
      </c>
      <c r="AW265">
        <f>IF('Recurring Log'!E269="","",'Recurring Log'!E269)</f>
        <v/>
      </c>
      <c r="AX265">
        <f>IF('Recurring Log'!G269="","",'Recurring Log'!G269)</f>
        <v/>
      </c>
      <c r="AY265">
        <f>IF('Recurring Log'!H269="","",'Recurring Log'!H269)</f>
        <v/>
      </c>
      <c r="AZ265">
        <f>IF(AU265="","",IF('Recurring Log'!J269="","Not Started",'Recurring Log'!J269))</f>
        <v/>
      </c>
      <c r="BA265">
        <f>'Recurring Log'!L269&amp;""</f>
        <v/>
      </c>
      <c r="BB265">
        <f>'Recurring Log'!M269&amp;""</f>
        <v/>
      </c>
      <c r="BC265">
        <f>'Recurring Log'!N269&amp;""</f>
        <v/>
      </c>
      <c r="BD265">
        <f>'Recurring Log'!O269&amp;""</f>
        <v/>
      </c>
      <c r="BE265">
        <f>IF('Recurring Log'!K269="","",'Recurring Log'!K269)</f>
        <v/>
      </c>
      <c r="BF265">
        <f>IFERROR(MATCH(BA265,Setup!$L$6:$L$9,0),5)</f>
        <v/>
      </c>
      <c r="BG265">
        <f>IF(OR(AZ265="Done",AZ265="Cancelled"),1,0)</f>
        <v/>
      </c>
      <c r="BH265">
        <f>IF(AND(AU265&lt;&gt;"",ISNUMBER(AW265)),1,0)</f>
        <v/>
      </c>
      <c r="BI265">
        <f>IF(BH265=0,0,IF(AND(AW265&gt;='Tasks Filter'!$F$3,AW265&lt;='Tasks Filter'!$F$4,OR('Tasks Filter'!$I$3="",ISNUMBER(SEARCH('Tasks Filter'!$I$3,AU265))),OR('Tasks Filter'!$I$4="",BF265=IFERROR(MATCH('Tasks Filter'!$I$4,Setup!$L$6:$L$9,0),0)),OR('Tasks Filter'!$I$5="Both",AND('Tasks Filter'!$I$5="Yes",BB265="✓"),AND('Tasks Filter'!$I$5="No",BB265&lt;&gt;"✓")),OR('Tasks Filter'!$L$3="",AV265='Tasks Filter'!$L$3),OR('Tasks Filter'!$L$4="",AZ265='Tasks Filter'!$L$4),OR('Tasks Filter'!$L$5="",BC265='Tasks Filter'!$L$5),OR('Tasks Filter'!$O$3="",BD265='Tasks Filter'!$O$3),OR('Tasks Filter'!$O$4="Yes",BG265=0)),1,0))</f>
        <v/>
      </c>
      <c r="BJ265">
        <f>IF(BH265=0,"",IF('Tasks Filter'!$F$6="Descending",-1,1)*CHOOSE(MATCH('Tasks Filter'!$F$5,Lists!$G$2:$G$6,0),AW265,BF265,IFERROR(MATCH(AV265,Setup!$F$6:$F$15,0),99),IFERROR(MATCH(BC265,Setup!$H$6:$H$15,0),99),IFERROR(MATCH(AZ265,Setup!$J$6:$J$11,0),99))*1E+9+(AW265-40000)*10000+264)</f>
        <v/>
      </c>
      <c r="BK265">
        <f>IF(BI265=1,BJ265,"")</f>
        <v/>
      </c>
      <c r="BL265">
        <f>IF(AND(BH265=1,BG265=0,N(AW265)&lt;Setup!$D$7),(AW265-40000)*10000+264,"")</f>
        <v/>
      </c>
      <c r="BM265">
        <f>IF(AND(BH265=1,AZ265&lt;&gt;"Cancelled",N(AW265)&gt;=Dashboard!$AB$3,N(AW265)&lt;=Dashboard!$AB$3+6),(AW265-40000)*100000+BF265*10000+264,"")</f>
        <v/>
      </c>
      <c r="BN265">
        <f>IF(AND(BH265=1,AZ265&lt;&gt;"Cancelled"),BF265*10000+264,"")</f>
        <v/>
      </c>
    </row>
    <row r="266">
      <c r="A266">
        <f>Setup!$D$5+264</f>
        <v/>
      </c>
      <c r="B266">
        <f>IF('Recurring Schedule'!$C$6="","",IF('Recurring Schedule'!$F$6="","",IF(OR($A266&lt;'Recurring Schedule'!$F$6,$A266&gt;'Recurring Schedule'!$P$6),"",IF(IF('Recurring Schedule'!$N$6&gt;0,MOD($A266-'Recurring Schedule'!$F$6,'Recurring Schedule'!$N$6)=0,IF('Recurring Schedule'!$O$6&gt;0,AND(DAY($A266)=MIN(DAY('Recurring Schedule'!$F$6),DAY(EOMONTH($A266,0))),MOD((YEAR($A266)-YEAR('Recurring Schedule'!$F$6))*12+MONTH($A266)-MONTH('Recurring Schedule'!$F$6),'Recurring Schedule'!$O$6)=0),IF('Recurring Schedule'!$E$6="Weekdays",WEEKDAY($A266,2)&lt;=5,$A266='Recurring Schedule'!$F$6))),1,""))))</f>
        <v/>
      </c>
      <c r="C266">
        <f>IF('Recurring Schedule'!$C$7="","",IF('Recurring Schedule'!$F$7="","",IF(OR($A266&lt;'Recurring Schedule'!$F$7,$A266&gt;'Recurring Schedule'!$P$7),"",IF(IF('Recurring Schedule'!$N$7&gt;0,MOD($A266-'Recurring Schedule'!$F$7,'Recurring Schedule'!$N$7)=0,IF('Recurring Schedule'!$O$7&gt;0,AND(DAY($A266)=MIN(DAY('Recurring Schedule'!$F$7),DAY(EOMONTH($A266,0))),MOD((YEAR($A266)-YEAR('Recurring Schedule'!$F$7))*12+MONTH($A266)-MONTH('Recurring Schedule'!$F$7),'Recurring Schedule'!$O$7)=0),IF('Recurring Schedule'!$E$7="Weekdays",WEEKDAY($A266,2)&lt;=5,$A266='Recurring Schedule'!$F$7))),2,""))))</f>
        <v/>
      </c>
      <c r="D266">
        <f>IF('Recurring Schedule'!$C$8="","",IF('Recurring Schedule'!$F$8="","",IF(OR($A266&lt;'Recurring Schedule'!$F$8,$A266&gt;'Recurring Schedule'!$P$8),"",IF(IF('Recurring Schedule'!$N$8&gt;0,MOD($A266-'Recurring Schedule'!$F$8,'Recurring Schedule'!$N$8)=0,IF('Recurring Schedule'!$O$8&gt;0,AND(DAY($A266)=MIN(DAY('Recurring Schedule'!$F$8),DAY(EOMONTH($A266,0))),MOD((YEAR($A266)-YEAR('Recurring Schedule'!$F$8))*12+MONTH($A266)-MONTH('Recurring Schedule'!$F$8),'Recurring Schedule'!$O$8)=0),IF('Recurring Schedule'!$E$8="Weekdays",WEEKDAY($A266,2)&lt;=5,$A266='Recurring Schedule'!$F$8))),3,""))))</f>
        <v/>
      </c>
      <c r="E266">
        <f>IF('Recurring Schedule'!$C$9="","",IF('Recurring Schedule'!$F$9="","",IF(OR($A266&lt;'Recurring Schedule'!$F$9,$A266&gt;'Recurring Schedule'!$P$9),"",IF(IF('Recurring Schedule'!$N$9&gt;0,MOD($A266-'Recurring Schedule'!$F$9,'Recurring Schedule'!$N$9)=0,IF('Recurring Schedule'!$O$9&gt;0,AND(DAY($A266)=MIN(DAY('Recurring Schedule'!$F$9),DAY(EOMONTH($A266,0))),MOD((YEAR($A266)-YEAR('Recurring Schedule'!$F$9))*12+MONTH($A266)-MONTH('Recurring Schedule'!$F$9),'Recurring Schedule'!$O$9)=0),IF('Recurring Schedule'!$E$9="Weekdays",WEEKDAY($A266,2)&lt;=5,$A266='Recurring Schedule'!$F$9))),4,""))))</f>
        <v/>
      </c>
      <c r="F266">
        <f>IF('Recurring Schedule'!$C$10="","",IF('Recurring Schedule'!$F$10="","",IF(OR($A266&lt;'Recurring Schedule'!$F$10,$A266&gt;'Recurring Schedule'!$P$10),"",IF(IF('Recurring Schedule'!$N$10&gt;0,MOD($A266-'Recurring Schedule'!$F$10,'Recurring Schedule'!$N$10)=0,IF('Recurring Schedule'!$O$10&gt;0,AND(DAY($A266)=MIN(DAY('Recurring Schedule'!$F$10),DAY(EOMONTH($A266,0))),MOD((YEAR($A266)-YEAR('Recurring Schedule'!$F$10))*12+MONTH($A266)-MONTH('Recurring Schedule'!$F$10),'Recurring Schedule'!$O$10)=0),IF('Recurring Schedule'!$E$10="Weekdays",WEEKDAY($A266,2)&lt;=5,$A266='Recurring Schedule'!$F$10))),5,""))))</f>
        <v/>
      </c>
      <c r="G266">
        <f>IF('Recurring Schedule'!$C$11="","",IF('Recurring Schedule'!$F$11="","",IF(OR($A266&lt;'Recurring Schedule'!$F$11,$A266&gt;'Recurring Schedule'!$P$11),"",IF(IF('Recurring Schedule'!$N$11&gt;0,MOD($A266-'Recurring Schedule'!$F$11,'Recurring Schedule'!$N$11)=0,IF('Recurring Schedule'!$O$11&gt;0,AND(DAY($A266)=MIN(DAY('Recurring Schedule'!$F$11),DAY(EOMONTH($A266,0))),MOD((YEAR($A266)-YEAR('Recurring Schedule'!$F$11))*12+MONTH($A266)-MONTH('Recurring Schedule'!$F$11),'Recurring Schedule'!$O$11)=0),IF('Recurring Schedule'!$E$11="Weekdays",WEEKDAY($A266,2)&lt;=5,$A266='Recurring Schedule'!$F$11))),6,""))))</f>
        <v/>
      </c>
      <c r="H266">
        <f>IF('Recurring Schedule'!$C$12="","",IF('Recurring Schedule'!$F$12="","",IF(OR($A266&lt;'Recurring Schedule'!$F$12,$A266&gt;'Recurring Schedule'!$P$12),"",IF(IF('Recurring Schedule'!$N$12&gt;0,MOD($A266-'Recurring Schedule'!$F$12,'Recurring Schedule'!$N$12)=0,IF('Recurring Schedule'!$O$12&gt;0,AND(DAY($A266)=MIN(DAY('Recurring Schedule'!$F$12),DAY(EOMONTH($A266,0))),MOD((YEAR($A266)-YEAR('Recurring Schedule'!$F$12))*12+MONTH($A266)-MONTH('Recurring Schedule'!$F$12),'Recurring Schedule'!$O$12)=0),IF('Recurring Schedule'!$E$12="Weekdays",WEEKDAY($A266,2)&lt;=5,$A266='Recurring Schedule'!$F$12))),7,""))))</f>
        <v/>
      </c>
      <c r="I266">
        <f>IF('Recurring Schedule'!$C$13="","",IF('Recurring Schedule'!$F$13="","",IF(OR($A266&lt;'Recurring Schedule'!$F$13,$A266&gt;'Recurring Schedule'!$P$13),"",IF(IF('Recurring Schedule'!$N$13&gt;0,MOD($A266-'Recurring Schedule'!$F$13,'Recurring Schedule'!$N$13)=0,IF('Recurring Schedule'!$O$13&gt;0,AND(DAY($A266)=MIN(DAY('Recurring Schedule'!$F$13),DAY(EOMONTH($A266,0))),MOD((YEAR($A266)-YEAR('Recurring Schedule'!$F$13))*12+MONTH($A266)-MONTH('Recurring Schedule'!$F$13),'Recurring Schedule'!$O$13)=0),IF('Recurring Schedule'!$E$13="Weekdays",WEEKDAY($A266,2)&lt;=5,$A266='Recurring Schedule'!$F$13))),8,""))))</f>
        <v/>
      </c>
      <c r="J266">
        <f>IF('Recurring Schedule'!$C$14="","",IF('Recurring Schedule'!$F$14="","",IF(OR($A266&lt;'Recurring Schedule'!$F$14,$A266&gt;'Recurring Schedule'!$P$14),"",IF(IF('Recurring Schedule'!$N$14&gt;0,MOD($A266-'Recurring Schedule'!$F$14,'Recurring Schedule'!$N$14)=0,IF('Recurring Schedule'!$O$14&gt;0,AND(DAY($A266)=MIN(DAY('Recurring Schedule'!$F$14),DAY(EOMONTH($A266,0))),MOD((YEAR($A266)-YEAR('Recurring Schedule'!$F$14))*12+MONTH($A266)-MONTH('Recurring Schedule'!$F$14),'Recurring Schedule'!$O$14)=0),IF('Recurring Schedule'!$E$14="Weekdays",WEEKDAY($A266,2)&lt;=5,$A266='Recurring Schedule'!$F$14))),9,""))))</f>
        <v/>
      </c>
      <c r="K266">
        <f>IF('Recurring Schedule'!$C$15="","",IF('Recurring Schedule'!$F$15="","",IF(OR($A266&lt;'Recurring Schedule'!$F$15,$A266&gt;'Recurring Schedule'!$P$15),"",IF(IF('Recurring Schedule'!$N$15&gt;0,MOD($A266-'Recurring Schedule'!$F$15,'Recurring Schedule'!$N$15)=0,IF('Recurring Schedule'!$O$15&gt;0,AND(DAY($A266)=MIN(DAY('Recurring Schedule'!$F$15),DAY(EOMONTH($A266,0))),MOD((YEAR($A266)-YEAR('Recurring Schedule'!$F$15))*12+MONTH($A266)-MONTH('Recurring Schedule'!$F$15),'Recurring Schedule'!$O$15)=0),IF('Recurring Schedule'!$E$15="Weekdays",WEEKDAY($A266,2)&lt;=5,$A266='Recurring Schedule'!$F$15))),10,""))))</f>
        <v/>
      </c>
      <c r="L266">
        <f>IF('Recurring Schedule'!$C$16="","",IF('Recurring Schedule'!$F$16="","",IF(OR($A266&lt;'Recurring Schedule'!$F$16,$A266&gt;'Recurring Schedule'!$P$16),"",IF(IF('Recurring Schedule'!$N$16&gt;0,MOD($A266-'Recurring Schedule'!$F$16,'Recurring Schedule'!$N$16)=0,IF('Recurring Schedule'!$O$16&gt;0,AND(DAY($A266)=MIN(DAY('Recurring Schedule'!$F$16),DAY(EOMONTH($A266,0))),MOD((YEAR($A266)-YEAR('Recurring Schedule'!$F$16))*12+MONTH($A266)-MONTH('Recurring Schedule'!$F$16),'Recurring Schedule'!$O$16)=0),IF('Recurring Schedule'!$E$16="Weekdays",WEEKDAY($A266,2)&lt;=5,$A266='Recurring Schedule'!$F$16))),11,""))))</f>
        <v/>
      </c>
      <c r="M266">
        <f>IF('Recurring Schedule'!$C$17="","",IF('Recurring Schedule'!$F$17="","",IF(OR($A266&lt;'Recurring Schedule'!$F$17,$A266&gt;'Recurring Schedule'!$P$17),"",IF(IF('Recurring Schedule'!$N$17&gt;0,MOD($A266-'Recurring Schedule'!$F$17,'Recurring Schedule'!$N$17)=0,IF('Recurring Schedule'!$O$17&gt;0,AND(DAY($A266)=MIN(DAY('Recurring Schedule'!$F$17),DAY(EOMONTH($A266,0))),MOD((YEAR($A266)-YEAR('Recurring Schedule'!$F$17))*12+MONTH($A266)-MONTH('Recurring Schedule'!$F$17),'Recurring Schedule'!$O$17)=0),IF('Recurring Schedule'!$E$17="Weekdays",WEEKDAY($A266,2)&lt;=5,$A266='Recurring Schedule'!$F$17))),12,""))))</f>
        <v/>
      </c>
      <c r="N266">
        <f>IF('Recurring Schedule'!$C$18="","",IF('Recurring Schedule'!$F$18="","",IF(OR($A266&lt;'Recurring Schedule'!$F$18,$A266&gt;'Recurring Schedule'!$P$18),"",IF(IF('Recurring Schedule'!$N$18&gt;0,MOD($A266-'Recurring Schedule'!$F$18,'Recurring Schedule'!$N$18)=0,IF('Recurring Schedule'!$O$18&gt;0,AND(DAY($A266)=MIN(DAY('Recurring Schedule'!$F$18),DAY(EOMONTH($A266,0))),MOD((YEAR($A266)-YEAR('Recurring Schedule'!$F$18))*12+MONTH($A266)-MONTH('Recurring Schedule'!$F$18),'Recurring Schedule'!$O$18)=0),IF('Recurring Schedule'!$E$18="Weekdays",WEEKDAY($A266,2)&lt;=5,$A266='Recurring Schedule'!$F$18))),13,""))))</f>
        <v/>
      </c>
      <c r="O266">
        <f>IF('Recurring Schedule'!$C$19="","",IF('Recurring Schedule'!$F$19="","",IF(OR($A266&lt;'Recurring Schedule'!$F$19,$A266&gt;'Recurring Schedule'!$P$19),"",IF(IF('Recurring Schedule'!$N$19&gt;0,MOD($A266-'Recurring Schedule'!$F$19,'Recurring Schedule'!$N$19)=0,IF('Recurring Schedule'!$O$19&gt;0,AND(DAY($A266)=MIN(DAY('Recurring Schedule'!$F$19),DAY(EOMONTH($A266,0))),MOD((YEAR($A266)-YEAR('Recurring Schedule'!$F$19))*12+MONTH($A266)-MONTH('Recurring Schedule'!$F$19),'Recurring Schedule'!$O$19)=0),IF('Recurring Schedule'!$E$19="Weekdays",WEEKDAY($A266,2)&lt;=5,$A266='Recurring Schedule'!$F$19))),14,""))))</f>
        <v/>
      </c>
      <c r="P266">
        <f>IF('Recurring Schedule'!$C$20="","",IF('Recurring Schedule'!$F$20="","",IF(OR($A266&lt;'Recurring Schedule'!$F$20,$A266&gt;'Recurring Schedule'!$P$20),"",IF(IF('Recurring Schedule'!$N$20&gt;0,MOD($A266-'Recurring Schedule'!$F$20,'Recurring Schedule'!$N$20)=0,IF('Recurring Schedule'!$O$20&gt;0,AND(DAY($A266)=MIN(DAY('Recurring Schedule'!$F$20),DAY(EOMONTH($A266,0))),MOD((YEAR($A266)-YEAR('Recurring Schedule'!$F$20))*12+MONTH($A266)-MONTH('Recurring Schedule'!$F$20),'Recurring Schedule'!$O$20)=0),IF('Recurring Schedule'!$E$20="Weekdays",WEEKDAY($A266,2)&lt;=5,$A266='Recurring Schedule'!$F$20))),15,""))))</f>
        <v/>
      </c>
      <c r="Q266">
        <f>IF('Recurring Schedule'!$C$21="","",IF('Recurring Schedule'!$F$21="","",IF(OR($A266&lt;'Recurring Schedule'!$F$21,$A266&gt;'Recurring Schedule'!$P$21),"",IF(IF('Recurring Schedule'!$N$21&gt;0,MOD($A266-'Recurring Schedule'!$F$21,'Recurring Schedule'!$N$21)=0,IF('Recurring Schedule'!$O$21&gt;0,AND(DAY($A266)=MIN(DAY('Recurring Schedule'!$F$21),DAY(EOMONTH($A266,0))),MOD((YEAR($A266)-YEAR('Recurring Schedule'!$F$21))*12+MONTH($A266)-MONTH('Recurring Schedule'!$F$21),'Recurring Schedule'!$O$21)=0),IF('Recurring Schedule'!$E$21="Weekdays",WEEKDAY($A266,2)&lt;=5,$A266='Recurring Schedule'!$F$21))),16,""))))</f>
        <v/>
      </c>
      <c r="R266">
        <f>IF('Recurring Schedule'!$C$22="","",IF('Recurring Schedule'!$F$22="","",IF(OR($A266&lt;'Recurring Schedule'!$F$22,$A266&gt;'Recurring Schedule'!$P$22),"",IF(IF('Recurring Schedule'!$N$22&gt;0,MOD($A266-'Recurring Schedule'!$F$22,'Recurring Schedule'!$N$22)=0,IF('Recurring Schedule'!$O$22&gt;0,AND(DAY($A266)=MIN(DAY('Recurring Schedule'!$F$22),DAY(EOMONTH($A266,0))),MOD((YEAR($A266)-YEAR('Recurring Schedule'!$F$22))*12+MONTH($A266)-MONTH('Recurring Schedule'!$F$22),'Recurring Schedule'!$O$22)=0),IF('Recurring Schedule'!$E$22="Weekdays",WEEKDAY($A266,2)&lt;=5,$A266='Recurring Schedule'!$F$22))),17,""))))</f>
        <v/>
      </c>
      <c r="S266">
        <f>IF('Recurring Schedule'!$C$23="","",IF('Recurring Schedule'!$F$23="","",IF(OR($A266&lt;'Recurring Schedule'!$F$23,$A266&gt;'Recurring Schedule'!$P$23),"",IF(IF('Recurring Schedule'!$N$23&gt;0,MOD($A266-'Recurring Schedule'!$F$23,'Recurring Schedule'!$N$23)=0,IF('Recurring Schedule'!$O$23&gt;0,AND(DAY($A266)=MIN(DAY('Recurring Schedule'!$F$23),DAY(EOMONTH($A266,0))),MOD((YEAR($A266)-YEAR('Recurring Schedule'!$F$23))*12+MONTH($A266)-MONTH('Recurring Schedule'!$F$23),'Recurring Schedule'!$O$23)=0),IF('Recurring Schedule'!$E$23="Weekdays",WEEKDAY($A266,2)&lt;=5,$A266='Recurring Schedule'!$F$23))),18,""))))</f>
        <v/>
      </c>
      <c r="T266">
        <f>IF('Recurring Schedule'!$C$24="","",IF('Recurring Schedule'!$F$24="","",IF(OR($A266&lt;'Recurring Schedule'!$F$24,$A266&gt;'Recurring Schedule'!$P$24),"",IF(IF('Recurring Schedule'!$N$24&gt;0,MOD($A266-'Recurring Schedule'!$F$24,'Recurring Schedule'!$N$24)=0,IF('Recurring Schedule'!$O$24&gt;0,AND(DAY($A266)=MIN(DAY('Recurring Schedule'!$F$24),DAY(EOMONTH($A266,0))),MOD((YEAR($A266)-YEAR('Recurring Schedule'!$F$24))*12+MONTH($A266)-MONTH('Recurring Schedule'!$F$24),'Recurring Schedule'!$O$24)=0),IF('Recurring Schedule'!$E$24="Weekdays",WEEKDAY($A266,2)&lt;=5,$A266='Recurring Schedule'!$F$24))),19,""))))</f>
        <v/>
      </c>
      <c r="U266">
        <f>IF('Recurring Schedule'!$C$25="","",IF('Recurring Schedule'!$F$25="","",IF(OR($A266&lt;'Recurring Schedule'!$F$25,$A266&gt;'Recurring Schedule'!$P$25),"",IF(IF('Recurring Schedule'!$N$25&gt;0,MOD($A266-'Recurring Schedule'!$F$25,'Recurring Schedule'!$N$25)=0,IF('Recurring Schedule'!$O$25&gt;0,AND(DAY($A266)=MIN(DAY('Recurring Schedule'!$F$25),DAY(EOMONTH($A266,0))),MOD((YEAR($A266)-YEAR('Recurring Schedule'!$F$25))*12+MONTH($A266)-MONTH('Recurring Schedule'!$F$25),'Recurring Schedule'!$O$25)=0),IF('Recurring Schedule'!$E$25="Weekdays",WEEKDAY($A266,2)&lt;=5,$A266='Recurring Schedule'!$F$25))),20,""))))</f>
        <v/>
      </c>
      <c r="V266">
        <f>IF('Recurring Schedule'!$C$26="","",IF('Recurring Schedule'!$F$26="","",IF(OR($A266&lt;'Recurring Schedule'!$F$26,$A266&gt;'Recurring Schedule'!$P$26),"",IF(IF('Recurring Schedule'!$N$26&gt;0,MOD($A266-'Recurring Schedule'!$F$26,'Recurring Schedule'!$N$26)=0,IF('Recurring Schedule'!$O$26&gt;0,AND(DAY($A266)=MIN(DAY('Recurring Schedule'!$F$26),DAY(EOMONTH($A266,0))),MOD((YEAR($A266)-YEAR('Recurring Schedule'!$F$26))*12+MONTH($A266)-MONTH('Recurring Schedule'!$F$26),'Recurring Schedule'!$O$26)=0),IF('Recurring Schedule'!$E$26="Weekdays",WEEKDAY($A266,2)&lt;=5,$A266='Recurring Schedule'!$F$26))),21,""))))</f>
        <v/>
      </c>
      <c r="W266">
        <f>IF('Recurring Schedule'!$C$27="","",IF('Recurring Schedule'!$F$27="","",IF(OR($A266&lt;'Recurring Schedule'!$F$27,$A266&gt;'Recurring Schedule'!$P$27),"",IF(IF('Recurring Schedule'!$N$27&gt;0,MOD($A266-'Recurring Schedule'!$F$27,'Recurring Schedule'!$N$27)=0,IF('Recurring Schedule'!$O$27&gt;0,AND(DAY($A266)=MIN(DAY('Recurring Schedule'!$F$27),DAY(EOMONTH($A266,0))),MOD((YEAR($A266)-YEAR('Recurring Schedule'!$F$27))*12+MONTH($A266)-MONTH('Recurring Schedule'!$F$27),'Recurring Schedule'!$O$27)=0),IF('Recurring Schedule'!$E$27="Weekdays",WEEKDAY($A266,2)&lt;=5,$A266='Recurring Schedule'!$F$27))),22,""))))</f>
        <v/>
      </c>
      <c r="X266">
        <f>IF('Recurring Schedule'!$C$28="","",IF('Recurring Schedule'!$F$28="","",IF(OR($A266&lt;'Recurring Schedule'!$F$28,$A266&gt;'Recurring Schedule'!$P$28),"",IF(IF('Recurring Schedule'!$N$28&gt;0,MOD($A266-'Recurring Schedule'!$F$28,'Recurring Schedule'!$N$28)=0,IF('Recurring Schedule'!$O$28&gt;0,AND(DAY($A266)=MIN(DAY('Recurring Schedule'!$F$28),DAY(EOMONTH($A266,0))),MOD((YEAR($A266)-YEAR('Recurring Schedule'!$F$28))*12+MONTH($A266)-MONTH('Recurring Schedule'!$F$28),'Recurring Schedule'!$O$28)=0),IF('Recurring Schedule'!$E$28="Weekdays",WEEKDAY($A266,2)&lt;=5,$A266='Recurring Schedule'!$F$28))),23,""))))</f>
        <v/>
      </c>
      <c r="Y266">
        <f>IF('Recurring Schedule'!$C$29="","",IF('Recurring Schedule'!$F$29="","",IF(OR($A266&lt;'Recurring Schedule'!$F$29,$A266&gt;'Recurring Schedule'!$P$29),"",IF(IF('Recurring Schedule'!$N$29&gt;0,MOD($A266-'Recurring Schedule'!$F$29,'Recurring Schedule'!$N$29)=0,IF('Recurring Schedule'!$O$29&gt;0,AND(DAY($A266)=MIN(DAY('Recurring Schedule'!$F$29),DAY(EOMONTH($A266,0))),MOD((YEAR($A266)-YEAR('Recurring Schedule'!$F$29))*12+MONTH($A266)-MONTH('Recurring Schedule'!$F$29),'Recurring Schedule'!$O$29)=0),IF('Recurring Schedule'!$E$29="Weekdays",WEEKDAY($A266,2)&lt;=5,$A266='Recurring Schedule'!$F$29))),24,""))))</f>
        <v/>
      </c>
      <c r="Z266">
        <f>IF('Recurring Schedule'!$C$30="","",IF('Recurring Schedule'!$F$30="","",IF(OR($A266&lt;'Recurring Schedule'!$F$30,$A266&gt;'Recurring Schedule'!$P$30),"",IF(IF('Recurring Schedule'!$N$30&gt;0,MOD($A266-'Recurring Schedule'!$F$30,'Recurring Schedule'!$N$30)=0,IF('Recurring Schedule'!$O$30&gt;0,AND(DAY($A266)=MIN(DAY('Recurring Schedule'!$F$30),DAY(EOMONTH($A266,0))),MOD((YEAR($A266)-YEAR('Recurring Schedule'!$F$30))*12+MONTH($A266)-MONTH('Recurring Schedule'!$F$30),'Recurring Schedule'!$O$30)=0),IF('Recurring Schedule'!$E$30="Weekdays",WEEKDAY($A266,2)&lt;=5,$A266='Recurring Schedule'!$F$30))),25,""))))</f>
        <v/>
      </c>
      <c r="AA266">
        <f>IF('Recurring Schedule'!$C$31="","",IF('Recurring Schedule'!$F$31="","",IF(OR($A266&lt;'Recurring Schedule'!$F$31,$A266&gt;'Recurring Schedule'!$P$31),"",IF(IF('Recurring Schedule'!$N$31&gt;0,MOD($A266-'Recurring Schedule'!$F$31,'Recurring Schedule'!$N$31)=0,IF('Recurring Schedule'!$O$31&gt;0,AND(DAY($A266)=MIN(DAY('Recurring Schedule'!$F$31),DAY(EOMONTH($A266,0))),MOD((YEAR($A266)-YEAR('Recurring Schedule'!$F$31))*12+MONTH($A266)-MONTH('Recurring Schedule'!$F$31),'Recurring Schedule'!$O$31)=0),IF('Recurring Schedule'!$E$31="Weekdays",WEEKDAY($A266,2)&lt;=5,$A266='Recurring Schedule'!$F$31))),26,""))))</f>
        <v/>
      </c>
      <c r="AB266">
        <f>IF('Recurring Schedule'!$C$32="","",IF('Recurring Schedule'!$F$32="","",IF(OR($A266&lt;'Recurring Schedule'!$F$32,$A266&gt;'Recurring Schedule'!$P$32),"",IF(IF('Recurring Schedule'!$N$32&gt;0,MOD($A266-'Recurring Schedule'!$F$32,'Recurring Schedule'!$N$32)=0,IF('Recurring Schedule'!$O$32&gt;0,AND(DAY($A266)=MIN(DAY('Recurring Schedule'!$F$32),DAY(EOMONTH($A266,0))),MOD((YEAR($A266)-YEAR('Recurring Schedule'!$F$32))*12+MONTH($A266)-MONTH('Recurring Schedule'!$F$32),'Recurring Schedule'!$O$32)=0),IF('Recurring Schedule'!$E$32="Weekdays",WEEKDAY($A266,2)&lt;=5,$A266='Recurring Schedule'!$F$32))),27,""))))</f>
        <v/>
      </c>
      <c r="AC266">
        <f>IF('Recurring Schedule'!$C$33="","",IF('Recurring Schedule'!$F$33="","",IF(OR($A266&lt;'Recurring Schedule'!$F$33,$A266&gt;'Recurring Schedule'!$P$33),"",IF(IF('Recurring Schedule'!$N$33&gt;0,MOD($A266-'Recurring Schedule'!$F$33,'Recurring Schedule'!$N$33)=0,IF('Recurring Schedule'!$O$33&gt;0,AND(DAY($A266)=MIN(DAY('Recurring Schedule'!$F$33),DAY(EOMONTH($A266,0))),MOD((YEAR($A266)-YEAR('Recurring Schedule'!$F$33))*12+MONTH($A266)-MONTH('Recurring Schedule'!$F$33),'Recurring Schedule'!$O$33)=0),IF('Recurring Schedule'!$E$33="Weekdays",WEEKDAY($A266,2)&lt;=5,$A266='Recurring Schedule'!$F$33))),28,""))))</f>
        <v/>
      </c>
      <c r="AD266">
        <f>IF('Recurring Schedule'!$C$34="","",IF('Recurring Schedule'!$F$34="","",IF(OR($A266&lt;'Recurring Schedule'!$F$34,$A266&gt;'Recurring Schedule'!$P$34),"",IF(IF('Recurring Schedule'!$N$34&gt;0,MOD($A266-'Recurring Schedule'!$F$34,'Recurring Schedule'!$N$34)=0,IF('Recurring Schedule'!$O$34&gt;0,AND(DAY($A266)=MIN(DAY('Recurring Schedule'!$F$34),DAY(EOMONTH($A266,0))),MOD((YEAR($A266)-YEAR('Recurring Schedule'!$F$34))*12+MONTH($A266)-MONTH('Recurring Schedule'!$F$34),'Recurring Schedule'!$O$34)=0),IF('Recurring Schedule'!$E$34="Weekdays",WEEKDAY($A266,2)&lt;=5,$A266='Recurring Schedule'!$F$34))),29,""))))</f>
        <v/>
      </c>
      <c r="AE266">
        <f>IF('Recurring Schedule'!$C$35="","",IF('Recurring Schedule'!$F$35="","",IF(OR($A266&lt;'Recurring Schedule'!$F$35,$A266&gt;'Recurring Schedule'!$P$35),"",IF(IF('Recurring Schedule'!$N$35&gt;0,MOD($A266-'Recurring Schedule'!$F$35,'Recurring Schedule'!$N$35)=0,IF('Recurring Schedule'!$O$35&gt;0,AND(DAY($A266)=MIN(DAY('Recurring Schedule'!$F$35),DAY(EOMONTH($A266,0))),MOD((YEAR($A266)-YEAR('Recurring Schedule'!$F$35))*12+MONTH($A266)-MONTH('Recurring Schedule'!$F$35),'Recurring Schedule'!$O$35)=0),IF('Recurring Schedule'!$E$35="Weekdays",WEEKDAY($A266,2)&lt;=5,$A266='Recurring Schedule'!$F$35))),30,""))))</f>
        <v/>
      </c>
      <c r="AF266">
        <f>IF('Recurring Schedule'!$C$36="","",IF('Recurring Schedule'!$F$36="","",IF(OR($A266&lt;'Recurring Schedule'!$F$36,$A266&gt;'Recurring Schedule'!$P$36),"",IF(IF('Recurring Schedule'!$N$36&gt;0,MOD($A266-'Recurring Schedule'!$F$36,'Recurring Schedule'!$N$36)=0,IF('Recurring Schedule'!$O$36&gt;0,AND(DAY($A266)=MIN(DAY('Recurring Schedule'!$F$36),DAY(EOMONTH($A266,0))),MOD((YEAR($A266)-YEAR('Recurring Schedule'!$F$36))*12+MONTH($A266)-MONTH('Recurring Schedule'!$F$36),'Recurring Schedule'!$O$36)=0),IF('Recurring Schedule'!$E$36="Weekdays",WEEKDAY($A266,2)&lt;=5,$A266='Recurring Schedule'!$F$36))),31,""))))</f>
        <v/>
      </c>
      <c r="AG266">
        <f>IF('Recurring Schedule'!$C$37="","",IF('Recurring Schedule'!$F$37="","",IF(OR($A266&lt;'Recurring Schedule'!$F$37,$A266&gt;'Recurring Schedule'!$P$37),"",IF(IF('Recurring Schedule'!$N$37&gt;0,MOD($A266-'Recurring Schedule'!$F$37,'Recurring Schedule'!$N$37)=0,IF('Recurring Schedule'!$O$37&gt;0,AND(DAY($A266)=MIN(DAY('Recurring Schedule'!$F$37),DAY(EOMONTH($A266,0))),MOD((YEAR($A266)-YEAR('Recurring Schedule'!$F$37))*12+MONTH($A266)-MONTH('Recurring Schedule'!$F$37),'Recurring Schedule'!$O$37)=0),IF('Recurring Schedule'!$E$37="Weekdays",WEEKDAY($A266,2)&lt;=5,$A266='Recurring Schedule'!$F$37))),32,""))))</f>
        <v/>
      </c>
      <c r="AH266">
        <f>IF('Recurring Schedule'!$C$38="","",IF('Recurring Schedule'!$F$38="","",IF(OR($A266&lt;'Recurring Schedule'!$F$38,$A266&gt;'Recurring Schedule'!$P$38),"",IF(IF('Recurring Schedule'!$N$38&gt;0,MOD($A266-'Recurring Schedule'!$F$38,'Recurring Schedule'!$N$38)=0,IF('Recurring Schedule'!$O$38&gt;0,AND(DAY($A266)=MIN(DAY('Recurring Schedule'!$F$38),DAY(EOMONTH($A266,0))),MOD((YEAR($A266)-YEAR('Recurring Schedule'!$F$38))*12+MONTH($A266)-MONTH('Recurring Schedule'!$F$38),'Recurring Schedule'!$O$38)=0),IF('Recurring Schedule'!$E$38="Weekdays",WEEKDAY($A266,2)&lt;=5,$A266='Recurring Schedule'!$F$38))),33,""))))</f>
        <v/>
      </c>
      <c r="AI266">
        <f>IF('Recurring Schedule'!$C$39="","",IF('Recurring Schedule'!$F$39="","",IF(OR($A266&lt;'Recurring Schedule'!$F$39,$A266&gt;'Recurring Schedule'!$P$39),"",IF(IF('Recurring Schedule'!$N$39&gt;0,MOD($A266-'Recurring Schedule'!$F$39,'Recurring Schedule'!$N$39)=0,IF('Recurring Schedule'!$O$39&gt;0,AND(DAY($A266)=MIN(DAY('Recurring Schedule'!$F$39),DAY(EOMONTH($A266,0))),MOD((YEAR($A266)-YEAR('Recurring Schedule'!$F$39))*12+MONTH($A266)-MONTH('Recurring Schedule'!$F$39),'Recurring Schedule'!$O$39)=0),IF('Recurring Schedule'!$E$39="Weekdays",WEEKDAY($A266,2)&lt;=5,$A266='Recurring Schedule'!$F$39))),34,""))))</f>
        <v/>
      </c>
      <c r="AJ266">
        <f>IF('Recurring Schedule'!$C$40="","",IF('Recurring Schedule'!$F$40="","",IF(OR($A266&lt;'Recurring Schedule'!$F$40,$A266&gt;'Recurring Schedule'!$P$40),"",IF(IF('Recurring Schedule'!$N$40&gt;0,MOD($A266-'Recurring Schedule'!$F$40,'Recurring Schedule'!$N$40)=0,IF('Recurring Schedule'!$O$40&gt;0,AND(DAY($A266)=MIN(DAY('Recurring Schedule'!$F$40),DAY(EOMONTH($A266,0))),MOD((YEAR($A266)-YEAR('Recurring Schedule'!$F$40))*12+MONTH($A266)-MONTH('Recurring Schedule'!$F$40),'Recurring Schedule'!$O$40)=0),IF('Recurring Schedule'!$E$40="Weekdays",WEEKDAY($A266,2)&lt;=5,$A266='Recurring Schedule'!$F$40))),35,""))))</f>
        <v/>
      </c>
      <c r="AK266">
        <f>IF('Recurring Schedule'!$C$41="","",IF('Recurring Schedule'!$F$41="","",IF(OR($A266&lt;'Recurring Schedule'!$F$41,$A266&gt;'Recurring Schedule'!$P$41),"",IF(IF('Recurring Schedule'!$N$41&gt;0,MOD($A266-'Recurring Schedule'!$F$41,'Recurring Schedule'!$N$41)=0,IF('Recurring Schedule'!$O$41&gt;0,AND(DAY($A266)=MIN(DAY('Recurring Schedule'!$F$41),DAY(EOMONTH($A266,0))),MOD((YEAR($A266)-YEAR('Recurring Schedule'!$F$41))*12+MONTH($A266)-MONTH('Recurring Schedule'!$F$41),'Recurring Schedule'!$O$41)=0),IF('Recurring Schedule'!$E$41="Weekdays",WEEKDAY($A266,2)&lt;=5,$A266='Recurring Schedule'!$F$41))),36,""))))</f>
        <v/>
      </c>
      <c r="AL266">
        <f>IF('Recurring Schedule'!$C$42="","",IF('Recurring Schedule'!$F$42="","",IF(OR($A266&lt;'Recurring Schedule'!$F$42,$A266&gt;'Recurring Schedule'!$P$42),"",IF(IF('Recurring Schedule'!$N$42&gt;0,MOD($A266-'Recurring Schedule'!$F$42,'Recurring Schedule'!$N$42)=0,IF('Recurring Schedule'!$O$42&gt;0,AND(DAY($A266)=MIN(DAY('Recurring Schedule'!$F$42),DAY(EOMONTH($A266,0))),MOD((YEAR($A266)-YEAR('Recurring Schedule'!$F$42))*12+MONTH($A266)-MONTH('Recurring Schedule'!$F$42),'Recurring Schedule'!$O$42)=0),IF('Recurring Schedule'!$E$42="Weekdays",WEEKDAY($A266,2)&lt;=5,$A266='Recurring Schedule'!$F$42))),37,""))))</f>
        <v/>
      </c>
      <c r="AM266">
        <f>IF('Recurring Schedule'!$C$43="","",IF('Recurring Schedule'!$F$43="","",IF(OR($A266&lt;'Recurring Schedule'!$F$43,$A266&gt;'Recurring Schedule'!$P$43),"",IF(IF('Recurring Schedule'!$N$43&gt;0,MOD($A266-'Recurring Schedule'!$F$43,'Recurring Schedule'!$N$43)=0,IF('Recurring Schedule'!$O$43&gt;0,AND(DAY($A266)=MIN(DAY('Recurring Schedule'!$F$43),DAY(EOMONTH($A266,0))),MOD((YEAR($A266)-YEAR('Recurring Schedule'!$F$43))*12+MONTH($A266)-MONTH('Recurring Schedule'!$F$43),'Recurring Schedule'!$O$43)=0),IF('Recurring Schedule'!$E$43="Weekdays",WEEKDAY($A266,2)&lt;=5,$A266='Recurring Schedule'!$F$43))),38,""))))</f>
        <v/>
      </c>
      <c r="AN266">
        <f>IF('Recurring Schedule'!$C$44="","",IF('Recurring Schedule'!$F$44="","",IF(OR($A266&lt;'Recurring Schedule'!$F$44,$A266&gt;'Recurring Schedule'!$P$44),"",IF(IF('Recurring Schedule'!$N$44&gt;0,MOD($A266-'Recurring Schedule'!$F$44,'Recurring Schedule'!$N$44)=0,IF('Recurring Schedule'!$O$44&gt;0,AND(DAY($A266)=MIN(DAY('Recurring Schedule'!$F$44),DAY(EOMONTH($A266,0))),MOD((YEAR($A266)-YEAR('Recurring Schedule'!$F$44))*12+MONTH($A266)-MONTH('Recurring Schedule'!$F$44),'Recurring Schedule'!$O$44)=0),IF('Recurring Schedule'!$E$44="Weekdays",WEEKDAY($A266,2)&lt;=5,$A266='Recurring Schedule'!$F$44))),39,""))))</f>
        <v/>
      </c>
      <c r="AO266">
        <f>IF('Recurring Schedule'!$C$45="","",IF('Recurring Schedule'!$F$45="","",IF(OR($A266&lt;'Recurring Schedule'!$F$45,$A266&gt;'Recurring Schedule'!$P$45),"",IF(IF('Recurring Schedule'!$N$45&gt;0,MOD($A266-'Recurring Schedule'!$F$45,'Recurring Schedule'!$N$45)=0,IF('Recurring Schedule'!$O$45&gt;0,AND(DAY($A266)=MIN(DAY('Recurring Schedule'!$F$45),DAY(EOMONTH($A266,0))),MOD((YEAR($A266)-YEAR('Recurring Schedule'!$F$45))*12+MONTH($A266)-MONTH('Recurring Schedule'!$F$45),'Recurring Schedule'!$O$45)=0),IF('Recurring Schedule'!$E$45="Weekdays",WEEKDAY($A266,2)&lt;=5,$A266='Recurring Schedule'!$F$45))),40,""))))</f>
        <v/>
      </c>
      <c r="AP266">
        <f>COUNT(B266:AO266)</f>
        <v/>
      </c>
      <c r="AQ266">
        <f>AQ265+AP265</f>
        <v/>
      </c>
      <c r="AS266" t="inlineStr">
        <is>
          <t>R</t>
        </is>
      </c>
      <c r="AT266" t="n">
        <v>270</v>
      </c>
      <c r="AU266">
        <f>'Recurring Log'!C270&amp;""</f>
        <v/>
      </c>
      <c r="AV266">
        <f>'Recurring Log'!D270&amp;""</f>
        <v/>
      </c>
      <c r="AW266">
        <f>IF('Recurring Log'!E270="","",'Recurring Log'!E270)</f>
        <v/>
      </c>
      <c r="AX266">
        <f>IF('Recurring Log'!G270="","",'Recurring Log'!G270)</f>
        <v/>
      </c>
      <c r="AY266">
        <f>IF('Recurring Log'!H270="","",'Recurring Log'!H270)</f>
        <v/>
      </c>
      <c r="AZ266">
        <f>IF(AU266="","",IF('Recurring Log'!J270="","Not Started",'Recurring Log'!J270))</f>
        <v/>
      </c>
      <c r="BA266">
        <f>'Recurring Log'!L270&amp;""</f>
        <v/>
      </c>
      <c r="BB266">
        <f>'Recurring Log'!M270&amp;""</f>
        <v/>
      </c>
      <c r="BC266">
        <f>'Recurring Log'!N270&amp;""</f>
        <v/>
      </c>
      <c r="BD266">
        <f>'Recurring Log'!O270&amp;""</f>
        <v/>
      </c>
      <c r="BE266">
        <f>IF('Recurring Log'!K270="","",'Recurring Log'!K270)</f>
        <v/>
      </c>
      <c r="BF266">
        <f>IFERROR(MATCH(BA266,Setup!$L$6:$L$9,0),5)</f>
        <v/>
      </c>
      <c r="BG266">
        <f>IF(OR(AZ266="Done",AZ266="Cancelled"),1,0)</f>
        <v/>
      </c>
      <c r="BH266">
        <f>IF(AND(AU266&lt;&gt;"",ISNUMBER(AW266)),1,0)</f>
        <v/>
      </c>
      <c r="BI266">
        <f>IF(BH266=0,0,IF(AND(AW266&gt;='Tasks Filter'!$F$3,AW266&lt;='Tasks Filter'!$F$4,OR('Tasks Filter'!$I$3="",ISNUMBER(SEARCH('Tasks Filter'!$I$3,AU266))),OR('Tasks Filter'!$I$4="",BF266=IFERROR(MATCH('Tasks Filter'!$I$4,Setup!$L$6:$L$9,0),0)),OR('Tasks Filter'!$I$5="Both",AND('Tasks Filter'!$I$5="Yes",BB266="✓"),AND('Tasks Filter'!$I$5="No",BB266&lt;&gt;"✓")),OR('Tasks Filter'!$L$3="",AV266='Tasks Filter'!$L$3),OR('Tasks Filter'!$L$4="",AZ266='Tasks Filter'!$L$4),OR('Tasks Filter'!$L$5="",BC266='Tasks Filter'!$L$5),OR('Tasks Filter'!$O$3="",BD266='Tasks Filter'!$O$3),OR('Tasks Filter'!$O$4="Yes",BG266=0)),1,0))</f>
        <v/>
      </c>
      <c r="BJ266">
        <f>IF(BH266=0,"",IF('Tasks Filter'!$F$6="Descending",-1,1)*CHOOSE(MATCH('Tasks Filter'!$F$5,Lists!$G$2:$G$6,0),AW266,BF266,IFERROR(MATCH(AV266,Setup!$F$6:$F$15,0),99),IFERROR(MATCH(BC266,Setup!$H$6:$H$15,0),99),IFERROR(MATCH(AZ266,Setup!$J$6:$J$11,0),99))*1E+9+(AW266-40000)*10000+265)</f>
        <v/>
      </c>
      <c r="BK266">
        <f>IF(BI266=1,BJ266,"")</f>
        <v/>
      </c>
      <c r="BL266">
        <f>IF(AND(BH266=1,BG266=0,N(AW266)&lt;Setup!$D$7),(AW266-40000)*10000+265,"")</f>
        <v/>
      </c>
      <c r="BM266">
        <f>IF(AND(BH266=1,AZ266&lt;&gt;"Cancelled",N(AW266)&gt;=Dashboard!$AB$3,N(AW266)&lt;=Dashboard!$AB$3+6),(AW266-40000)*100000+BF266*10000+265,"")</f>
        <v/>
      </c>
      <c r="BN266">
        <f>IF(AND(BH266=1,AZ266&lt;&gt;"Cancelled"),BF266*10000+265,"")</f>
        <v/>
      </c>
    </row>
    <row r="267">
      <c r="A267">
        <f>Setup!$D$5+265</f>
        <v/>
      </c>
      <c r="B267">
        <f>IF('Recurring Schedule'!$C$6="","",IF('Recurring Schedule'!$F$6="","",IF(OR($A267&lt;'Recurring Schedule'!$F$6,$A267&gt;'Recurring Schedule'!$P$6),"",IF(IF('Recurring Schedule'!$N$6&gt;0,MOD($A267-'Recurring Schedule'!$F$6,'Recurring Schedule'!$N$6)=0,IF('Recurring Schedule'!$O$6&gt;0,AND(DAY($A267)=MIN(DAY('Recurring Schedule'!$F$6),DAY(EOMONTH($A267,0))),MOD((YEAR($A267)-YEAR('Recurring Schedule'!$F$6))*12+MONTH($A267)-MONTH('Recurring Schedule'!$F$6),'Recurring Schedule'!$O$6)=0),IF('Recurring Schedule'!$E$6="Weekdays",WEEKDAY($A267,2)&lt;=5,$A267='Recurring Schedule'!$F$6))),1,""))))</f>
        <v/>
      </c>
      <c r="C267">
        <f>IF('Recurring Schedule'!$C$7="","",IF('Recurring Schedule'!$F$7="","",IF(OR($A267&lt;'Recurring Schedule'!$F$7,$A267&gt;'Recurring Schedule'!$P$7),"",IF(IF('Recurring Schedule'!$N$7&gt;0,MOD($A267-'Recurring Schedule'!$F$7,'Recurring Schedule'!$N$7)=0,IF('Recurring Schedule'!$O$7&gt;0,AND(DAY($A267)=MIN(DAY('Recurring Schedule'!$F$7),DAY(EOMONTH($A267,0))),MOD((YEAR($A267)-YEAR('Recurring Schedule'!$F$7))*12+MONTH($A267)-MONTH('Recurring Schedule'!$F$7),'Recurring Schedule'!$O$7)=0),IF('Recurring Schedule'!$E$7="Weekdays",WEEKDAY($A267,2)&lt;=5,$A267='Recurring Schedule'!$F$7))),2,""))))</f>
        <v/>
      </c>
      <c r="D267">
        <f>IF('Recurring Schedule'!$C$8="","",IF('Recurring Schedule'!$F$8="","",IF(OR($A267&lt;'Recurring Schedule'!$F$8,$A267&gt;'Recurring Schedule'!$P$8),"",IF(IF('Recurring Schedule'!$N$8&gt;0,MOD($A267-'Recurring Schedule'!$F$8,'Recurring Schedule'!$N$8)=0,IF('Recurring Schedule'!$O$8&gt;0,AND(DAY($A267)=MIN(DAY('Recurring Schedule'!$F$8),DAY(EOMONTH($A267,0))),MOD((YEAR($A267)-YEAR('Recurring Schedule'!$F$8))*12+MONTH($A267)-MONTH('Recurring Schedule'!$F$8),'Recurring Schedule'!$O$8)=0),IF('Recurring Schedule'!$E$8="Weekdays",WEEKDAY($A267,2)&lt;=5,$A267='Recurring Schedule'!$F$8))),3,""))))</f>
        <v/>
      </c>
      <c r="E267">
        <f>IF('Recurring Schedule'!$C$9="","",IF('Recurring Schedule'!$F$9="","",IF(OR($A267&lt;'Recurring Schedule'!$F$9,$A267&gt;'Recurring Schedule'!$P$9),"",IF(IF('Recurring Schedule'!$N$9&gt;0,MOD($A267-'Recurring Schedule'!$F$9,'Recurring Schedule'!$N$9)=0,IF('Recurring Schedule'!$O$9&gt;0,AND(DAY($A267)=MIN(DAY('Recurring Schedule'!$F$9),DAY(EOMONTH($A267,0))),MOD((YEAR($A267)-YEAR('Recurring Schedule'!$F$9))*12+MONTH($A267)-MONTH('Recurring Schedule'!$F$9),'Recurring Schedule'!$O$9)=0),IF('Recurring Schedule'!$E$9="Weekdays",WEEKDAY($A267,2)&lt;=5,$A267='Recurring Schedule'!$F$9))),4,""))))</f>
        <v/>
      </c>
      <c r="F267">
        <f>IF('Recurring Schedule'!$C$10="","",IF('Recurring Schedule'!$F$10="","",IF(OR($A267&lt;'Recurring Schedule'!$F$10,$A267&gt;'Recurring Schedule'!$P$10),"",IF(IF('Recurring Schedule'!$N$10&gt;0,MOD($A267-'Recurring Schedule'!$F$10,'Recurring Schedule'!$N$10)=0,IF('Recurring Schedule'!$O$10&gt;0,AND(DAY($A267)=MIN(DAY('Recurring Schedule'!$F$10),DAY(EOMONTH($A267,0))),MOD((YEAR($A267)-YEAR('Recurring Schedule'!$F$10))*12+MONTH($A267)-MONTH('Recurring Schedule'!$F$10),'Recurring Schedule'!$O$10)=0),IF('Recurring Schedule'!$E$10="Weekdays",WEEKDAY($A267,2)&lt;=5,$A267='Recurring Schedule'!$F$10))),5,""))))</f>
        <v/>
      </c>
      <c r="G267">
        <f>IF('Recurring Schedule'!$C$11="","",IF('Recurring Schedule'!$F$11="","",IF(OR($A267&lt;'Recurring Schedule'!$F$11,$A267&gt;'Recurring Schedule'!$P$11),"",IF(IF('Recurring Schedule'!$N$11&gt;0,MOD($A267-'Recurring Schedule'!$F$11,'Recurring Schedule'!$N$11)=0,IF('Recurring Schedule'!$O$11&gt;0,AND(DAY($A267)=MIN(DAY('Recurring Schedule'!$F$11),DAY(EOMONTH($A267,0))),MOD((YEAR($A267)-YEAR('Recurring Schedule'!$F$11))*12+MONTH($A267)-MONTH('Recurring Schedule'!$F$11),'Recurring Schedule'!$O$11)=0),IF('Recurring Schedule'!$E$11="Weekdays",WEEKDAY($A267,2)&lt;=5,$A267='Recurring Schedule'!$F$11))),6,""))))</f>
        <v/>
      </c>
      <c r="H267">
        <f>IF('Recurring Schedule'!$C$12="","",IF('Recurring Schedule'!$F$12="","",IF(OR($A267&lt;'Recurring Schedule'!$F$12,$A267&gt;'Recurring Schedule'!$P$12),"",IF(IF('Recurring Schedule'!$N$12&gt;0,MOD($A267-'Recurring Schedule'!$F$12,'Recurring Schedule'!$N$12)=0,IF('Recurring Schedule'!$O$12&gt;0,AND(DAY($A267)=MIN(DAY('Recurring Schedule'!$F$12),DAY(EOMONTH($A267,0))),MOD((YEAR($A267)-YEAR('Recurring Schedule'!$F$12))*12+MONTH($A267)-MONTH('Recurring Schedule'!$F$12),'Recurring Schedule'!$O$12)=0),IF('Recurring Schedule'!$E$12="Weekdays",WEEKDAY($A267,2)&lt;=5,$A267='Recurring Schedule'!$F$12))),7,""))))</f>
        <v/>
      </c>
      <c r="I267">
        <f>IF('Recurring Schedule'!$C$13="","",IF('Recurring Schedule'!$F$13="","",IF(OR($A267&lt;'Recurring Schedule'!$F$13,$A267&gt;'Recurring Schedule'!$P$13),"",IF(IF('Recurring Schedule'!$N$13&gt;0,MOD($A267-'Recurring Schedule'!$F$13,'Recurring Schedule'!$N$13)=0,IF('Recurring Schedule'!$O$13&gt;0,AND(DAY($A267)=MIN(DAY('Recurring Schedule'!$F$13),DAY(EOMONTH($A267,0))),MOD((YEAR($A267)-YEAR('Recurring Schedule'!$F$13))*12+MONTH($A267)-MONTH('Recurring Schedule'!$F$13),'Recurring Schedule'!$O$13)=0),IF('Recurring Schedule'!$E$13="Weekdays",WEEKDAY($A267,2)&lt;=5,$A267='Recurring Schedule'!$F$13))),8,""))))</f>
        <v/>
      </c>
      <c r="J267">
        <f>IF('Recurring Schedule'!$C$14="","",IF('Recurring Schedule'!$F$14="","",IF(OR($A267&lt;'Recurring Schedule'!$F$14,$A267&gt;'Recurring Schedule'!$P$14),"",IF(IF('Recurring Schedule'!$N$14&gt;0,MOD($A267-'Recurring Schedule'!$F$14,'Recurring Schedule'!$N$14)=0,IF('Recurring Schedule'!$O$14&gt;0,AND(DAY($A267)=MIN(DAY('Recurring Schedule'!$F$14),DAY(EOMONTH($A267,0))),MOD((YEAR($A267)-YEAR('Recurring Schedule'!$F$14))*12+MONTH($A267)-MONTH('Recurring Schedule'!$F$14),'Recurring Schedule'!$O$14)=0),IF('Recurring Schedule'!$E$14="Weekdays",WEEKDAY($A267,2)&lt;=5,$A267='Recurring Schedule'!$F$14))),9,""))))</f>
        <v/>
      </c>
      <c r="K267">
        <f>IF('Recurring Schedule'!$C$15="","",IF('Recurring Schedule'!$F$15="","",IF(OR($A267&lt;'Recurring Schedule'!$F$15,$A267&gt;'Recurring Schedule'!$P$15),"",IF(IF('Recurring Schedule'!$N$15&gt;0,MOD($A267-'Recurring Schedule'!$F$15,'Recurring Schedule'!$N$15)=0,IF('Recurring Schedule'!$O$15&gt;0,AND(DAY($A267)=MIN(DAY('Recurring Schedule'!$F$15),DAY(EOMONTH($A267,0))),MOD((YEAR($A267)-YEAR('Recurring Schedule'!$F$15))*12+MONTH($A267)-MONTH('Recurring Schedule'!$F$15),'Recurring Schedule'!$O$15)=0),IF('Recurring Schedule'!$E$15="Weekdays",WEEKDAY($A267,2)&lt;=5,$A267='Recurring Schedule'!$F$15))),10,""))))</f>
        <v/>
      </c>
      <c r="L267">
        <f>IF('Recurring Schedule'!$C$16="","",IF('Recurring Schedule'!$F$16="","",IF(OR($A267&lt;'Recurring Schedule'!$F$16,$A267&gt;'Recurring Schedule'!$P$16),"",IF(IF('Recurring Schedule'!$N$16&gt;0,MOD($A267-'Recurring Schedule'!$F$16,'Recurring Schedule'!$N$16)=0,IF('Recurring Schedule'!$O$16&gt;0,AND(DAY($A267)=MIN(DAY('Recurring Schedule'!$F$16),DAY(EOMONTH($A267,0))),MOD((YEAR($A267)-YEAR('Recurring Schedule'!$F$16))*12+MONTH($A267)-MONTH('Recurring Schedule'!$F$16),'Recurring Schedule'!$O$16)=0),IF('Recurring Schedule'!$E$16="Weekdays",WEEKDAY($A267,2)&lt;=5,$A267='Recurring Schedule'!$F$16))),11,""))))</f>
        <v/>
      </c>
      <c r="M267">
        <f>IF('Recurring Schedule'!$C$17="","",IF('Recurring Schedule'!$F$17="","",IF(OR($A267&lt;'Recurring Schedule'!$F$17,$A267&gt;'Recurring Schedule'!$P$17),"",IF(IF('Recurring Schedule'!$N$17&gt;0,MOD($A267-'Recurring Schedule'!$F$17,'Recurring Schedule'!$N$17)=0,IF('Recurring Schedule'!$O$17&gt;0,AND(DAY($A267)=MIN(DAY('Recurring Schedule'!$F$17),DAY(EOMONTH($A267,0))),MOD((YEAR($A267)-YEAR('Recurring Schedule'!$F$17))*12+MONTH($A267)-MONTH('Recurring Schedule'!$F$17),'Recurring Schedule'!$O$17)=0),IF('Recurring Schedule'!$E$17="Weekdays",WEEKDAY($A267,2)&lt;=5,$A267='Recurring Schedule'!$F$17))),12,""))))</f>
        <v/>
      </c>
      <c r="N267">
        <f>IF('Recurring Schedule'!$C$18="","",IF('Recurring Schedule'!$F$18="","",IF(OR($A267&lt;'Recurring Schedule'!$F$18,$A267&gt;'Recurring Schedule'!$P$18),"",IF(IF('Recurring Schedule'!$N$18&gt;0,MOD($A267-'Recurring Schedule'!$F$18,'Recurring Schedule'!$N$18)=0,IF('Recurring Schedule'!$O$18&gt;0,AND(DAY($A267)=MIN(DAY('Recurring Schedule'!$F$18),DAY(EOMONTH($A267,0))),MOD((YEAR($A267)-YEAR('Recurring Schedule'!$F$18))*12+MONTH($A267)-MONTH('Recurring Schedule'!$F$18),'Recurring Schedule'!$O$18)=0),IF('Recurring Schedule'!$E$18="Weekdays",WEEKDAY($A267,2)&lt;=5,$A267='Recurring Schedule'!$F$18))),13,""))))</f>
        <v/>
      </c>
      <c r="O267">
        <f>IF('Recurring Schedule'!$C$19="","",IF('Recurring Schedule'!$F$19="","",IF(OR($A267&lt;'Recurring Schedule'!$F$19,$A267&gt;'Recurring Schedule'!$P$19),"",IF(IF('Recurring Schedule'!$N$19&gt;0,MOD($A267-'Recurring Schedule'!$F$19,'Recurring Schedule'!$N$19)=0,IF('Recurring Schedule'!$O$19&gt;0,AND(DAY($A267)=MIN(DAY('Recurring Schedule'!$F$19),DAY(EOMONTH($A267,0))),MOD((YEAR($A267)-YEAR('Recurring Schedule'!$F$19))*12+MONTH($A267)-MONTH('Recurring Schedule'!$F$19),'Recurring Schedule'!$O$19)=0),IF('Recurring Schedule'!$E$19="Weekdays",WEEKDAY($A267,2)&lt;=5,$A267='Recurring Schedule'!$F$19))),14,""))))</f>
        <v/>
      </c>
      <c r="P267">
        <f>IF('Recurring Schedule'!$C$20="","",IF('Recurring Schedule'!$F$20="","",IF(OR($A267&lt;'Recurring Schedule'!$F$20,$A267&gt;'Recurring Schedule'!$P$20),"",IF(IF('Recurring Schedule'!$N$20&gt;0,MOD($A267-'Recurring Schedule'!$F$20,'Recurring Schedule'!$N$20)=0,IF('Recurring Schedule'!$O$20&gt;0,AND(DAY($A267)=MIN(DAY('Recurring Schedule'!$F$20),DAY(EOMONTH($A267,0))),MOD((YEAR($A267)-YEAR('Recurring Schedule'!$F$20))*12+MONTH($A267)-MONTH('Recurring Schedule'!$F$20),'Recurring Schedule'!$O$20)=0),IF('Recurring Schedule'!$E$20="Weekdays",WEEKDAY($A267,2)&lt;=5,$A267='Recurring Schedule'!$F$20))),15,""))))</f>
        <v/>
      </c>
      <c r="Q267">
        <f>IF('Recurring Schedule'!$C$21="","",IF('Recurring Schedule'!$F$21="","",IF(OR($A267&lt;'Recurring Schedule'!$F$21,$A267&gt;'Recurring Schedule'!$P$21),"",IF(IF('Recurring Schedule'!$N$21&gt;0,MOD($A267-'Recurring Schedule'!$F$21,'Recurring Schedule'!$N$21)=0,IF('Recurring Schedule'!$O$21&gt;0,AND(DAY($A267)=MIN(DAY('Recurring Schedule'!$F$21),DAY(EOMONTH($A267,0))),MOD((YEAR($A267)-YEAR('Recurring Schedule'!$F$21))*12+MONTH($A267)-MONTH('Recurring Schedule'!$F$21),'Recurring Schedule'!$O$21)=0),IF('Recurring Schedule'!$E$21="Weekdays",WEEKDAY($A267,2)&lt;=5,$A267='Recurring Schedule'!$F$21))),16,""))))</f>
        <v/>
      </c>
      <c r="R267">
        <f>IF('Recurring Schedule'!$C$22="","",IF('Recurring Schedule'!$F$22="","",IF(OR($A267&lt;'Recurring Schedule'!$F$22,$A267&gt;'Recurring Schedule'!$P$22),"",IF(IF('Recurring Schedule'!$N$22&gt;0,MOD($A267-'Recurring Schedule'!$F$22,'Recurring Schedule'!$N$22)=0,IF('Recurring Schedule'!$O$22&gt;0,AND(DAY($A267)=MIN(DAY('Recurring Schedule'!$F$22),DAY(EOMONTH($A267,0))),MOD((YEAR($A267)-YEAR('Recurring Schedule'!$F$22))*12+MONTH($A267)-MONTH('Recurring Schedule'!$F$22),'Recurring Schedule'!$O$22)=0),IF('Recurring Schedule'!$E$22="Weekdays",WEEKDAY($A267,2)&lt;=5,$A267='Recurring Schedule'!$F$22))),17,""))))</f>
        <v/>
      </c>
      <c r="S267">
        <f>IF('Recurring Schedule'!$C$23="","",IF('Recurring Schedule'!$F$23="","",IF(OR($A267&lt;'Recurring Schedule'!$F$23,$A267&gt;'Recurring Schedule'!$P$23),"",IF(IF('Recurring Schedule'!$N$23&gt;0,MOD($A267-'Recurring Schedule'!$F$23,'Recurring Schedule'!$N$23)=0,IF('Recurring Schedule'!$O$23&gt;0,AND(DAY($A267)=MIN(DAY('Recurring Schedule'!$F$23),DAY(EOMONTH($A267,0))),MOD((YEAR($A267)-YEAR('Recurring Schedule'!$F$23))*12+MONTH($A267)-MONTH('Recurring Schedule'!$F$23),'Recurring Schedule'!$O$23)=0),IF('Recurring Schedule'!$E$23="Weekdays",WEEKDAY($A267,2)&lt;=5,$A267='Recurring Schedule'!$F$23))),18,""))))</f>
        <v/>
      </c>
      <c r="T267">
        <f>IF('Recurring Schedule'!$C$24="","",IF('Recurring Schedule'!$F$24="","",IF(OR($A267&lt;'Recurring Schedule'!$F$24,$A267&gt;'Recurring Schedule'!$P$24),"",IF(IF('Recurring Schedule'!$N$24&gt;0,MOD($A267-'Recurring Schedule'!$F$24,'Recurring Schedule'!$N$24)=0,IF('Recurring Schedule'!$O$24&gt;0,AND(DAY($A267)=MIN(DAY('Recurring Schedule'!$F$24),DAY(EOMONTH($A267,0))),MOD((YEAR($A267)-YEAR('Recurring Schedule'!$F$24))*12+MONTH($A267)-MONTH('Recurring Schedule'!$F$24),'Recurring Schedule'!$O$24)=0),IF('Recurring Schedule'!$E$24="Weekdays",WEEKDAY($A267,2)&lt;=5,$A267='Recurring Schedule'!$F$24))),19,""))))</f>
        <v/>
      </c>
      <c r="U267">
        <f>IF('Recurring Schedule'!$C$25="","",IF('Recurring Schedule'!$F$25="","",IF(OR($A267&lt;'Recurring Schedule'!$F$25,$A267&gt;'Recurring Schedule'!$P$25),"",IF(IF('Recurring Schedule'!$N$25&gt;0,MOD($A267-'Recurring Schedule'!$F$25,'Recurring Schedule'!$N$25)=0,IF('Recurring Schedule'!$O$25&gt;0,AND(DAY($A267)=MIN(DAY('Recurring Schedule'!$F$25),DAY(EOMONTH($A267,0))),MOD((YEAR($A267)-YEAR('Recurring Schedule'!$F$25))*12+MONTH($A267)-MONTH('Recurring Schedule'!$F$25),'Recurring Schedule'!$O$25)=0),IF('Recurring Schedule'!$E$25="Weekdays",WEEKDAY($A267,2)&lt;=5,$A267='Recurring Schedule'!$F$25))),20,""))))</f>
        <v/>
      </c>
      <c r="V267">
        <f>IF('Recurring Schedule'!$C$26="","",IF('Recurring Schedule'!$F$26="","",IF(OR($A267&lt;'Recurring Schedule'!$F$26,$A267&gt;'Recurring Schedule'!$P$26),"",IF(IF('Recurring Schedule'!$N$26&gt;0,MOD($A267-'Recurring Schedule'!$F$26,'Recurring Schedule'!$N$26)=0,IF('Recurring Schedule'!$O$26&gt;0,AND(DAY($A267)=MIN(DAY('Recurring Schedule'!$F$26),DAY(EOMONTH($A267,0))),MOD((YEAR($A267)-YEAR('Recurring Schedule'!$F$26))*12+MONTH($A267)-MONTH('Recurring Schedule'!$F$26),'Recurring Schedule'!$O$26)=0),IF('Recurring Schedule'!$E$26="Weekdays",WEEKDAY($A267,2)&lt;=5,$A267='Recurring Schedule'!$F$26))),21,""))))</f>
        <v/>
      </c>
      <c r="W267">
        <f>IF('Recurring Schedule'!$C$27="","",IF('Recurring Schedule'!$F$27="","",IF(OR($A267&lt;'Recurring Schedule'!$F$27,$A267&gt;'Recurring Schedule'!$P$27),"",IF(IF('Recurring Schedule'!$N$27&gt;0,MOD($A267-'Recurring Schedule'!$F$27,'Recurring Schedule'!$N$27)=0,IF('Recurring Schedule'!$O$27&gt;0,AND(DAY($A267)=MIN(DAY('Recurring Schedule'!$F$27),DAY(EOMONTH($A267,0))),MOD((YEAR($A267)-YEAR('Recurring Schedule'!$F$27))*12+MONTH($A267)-MONTH('Recurring Schedule'!$F$27),'Recurring Schedule'!$O$27)=0),IF('Recurring Schedule'!$E$27="Weekdays",WEEKDAY($A267,2)&lt;=5,$A267='Recurring Schedule'!$F$27))),22,""))))</f>
        <v/>
      </c>
      <c r="X267">
        <f>IF('Recurring Schedule'!$C$28="","",IF('Recurring Schedule'!$F$28="","",IF(OR($A267&lt;'Recurring Schedule'!$F$28,$A267&gt;'Recurring Schedule'!$P$28),"",IF(IF('Recurring Schedule'!$N$28&gt;0,MOD($A267-'Recurring Schedule'!$F$28,'Recurring Schedule'!$N$28)=0,IF('Recurring Schedule'!$O$28&gt;0,AND(DAY($A267)=MIN(DAY('Recurring Schedule'!$F$28),DAY(EOMONTH($A267,0))),MOD((YEAR($A267)-YEAR('Recurring Schedule'!$F$28))*12+MONTH($A267)-MONTH('Recurring Schedule'!$F$28),'Recurring Schedule'!$O$28)=0),IF('Recurring Schedule'!$E$28="Weekdays",WEEKDAY($A267,2)&lt;=5,$A267='Recurring Schedule'!$F$28))),23,""))))</f>
        <v/>
      </c>
      <c r="Y267">
        <f>IF('Recurring Schedule'!$C$29="","",IF('Recurring Schedule'!$F$29="","",IF(OR($A267&lt;'Recurring Schedule'!$F$29,$A267&gt;'Recurring Schedule'!$P$29),"",IF(IF('Recurring Schedule'!$N$29&gt;0,MOD($A267-'Recurring Schedule'!$F$29,'Recurring Schedule'!$N$29)=0,IF('Recurring Schedule'!$O$29&gt;0,AND(DAY($A267)=MIN(DAY('Recurring Schedule'!$F$29),DAY(EOMONTH($A267,0))),MOD((YEAR($A267)-YEAR('Recurring Schedule'!$F$29))*12+MONTH($A267)-MONTH('Recurring Schedule'!$F$29),'Recurring Schedule'!$O$29)=0),IF('Recurring Schedule'!$E$29="Weekdays",WEEKDAY($A267,2)&lt;=5,$A267='Recurring Schedule'!$F$29))),24,""))))</f>
        <v/>
      </c>
      <c r="Z267">
        <f>IF('Recurring Schedule'!$C$30="","",IF('Recurring Schedule'!$F$30="","",IF(OR($A267&lt;'Recurring Schedule'!$F$30,$A267&gt;'Recurring Schedule'!$P$30),"",IF(IF('Recurring Schedule'!$N$30&gt;0,MOD($A267-'Recurring Schedule'!$F$30,'Recurring Schedule'!$N$30)=0,IF('Recurring Schedule'!$O$30&gt;0,AND(DAY($A267)=MIN(DAY('Recurring Schedule'!$F$30),DAY(EOMONTH($A267,0))),MOD((YEAR($A267)-YEAR('Recurring Schedule'!$F$30))*12+MONTH($A267)-MONTH('Recurring Schedule'!$F$30),'Recurring Schedule'!$O$30)=0),IF('Recurring Schedule'!$E$30="Weekdays",WEEKDAY($A267,2)&lt;=5,$A267='Recurring Schedule'!$F$30))),25,""))))</f>
        <v/>
      </c>
      <c r="AA267">
        <f>IF('Recurring Schedule'!$C$31="","",IF('Recurring Schedule'!$F$31="","",IF(OR($A267&lt;'Recurring Schedule'!$F$31,$A267&gt;'Recurring Schedule'!$P$31),"",IF(IF('Recurring Schedule'!$N$31&gt;0,MOD($A267-'Recurring Schedule'!$F$31,'Recurring Schedule'!$N$31)=0,IF('Recurring Schedule'!$O$31&gt;0,AND(DAY($A267)=MIN(DAY('Recurring Schedule'!$F$31),DAY(EOMONTH($A267,0))),MOD((YEAR($A267)-YEAR('Recurring Schedule'!$F$31))*12+MONTH($A267)-MONTH('Recurring Schedule'!$F$31),'Recurring Schedule'!$O$31)=0),IF('Recurring Schedule'!$E$31="Weekdays",WEEKDAY($A267,2)&lt;=5,$A267='Recurring Schedule'!$F$31))),26,""))))</f>
        <v/>
      </c>
      <c r="AB267">
        <f>IF('Recurring Schedule'!$C$32="","",IF('Recurring Schedule'!$F$32="","",IF(OR($A267&lt;'Recurring Schedule'!$F$32,$A267&gt;'Recurring Schedule'!$P$32),"",IF(IF('Recurring Schedule'!$N$32&gt;0,MOD($A267-'Recurring Schedule'!$F$32,'Recurring Schedule'!$N$32)=0,IF('Recurring Schedule'!$O$32&gt;0,AND(DAY($A267)=MIN(DAY('Recurring Schedule'!$F$32),DAY(EOMONTH($A267,0))),MOD((YEAR($A267)-YEAR('Recurring Schedule'!$F$32))*12+MONTH($A267)-MONTH('Recurring Schedule'!$F$32),'Recurring Schedule'!$O$32)=0),IF('Recurring Schedule'!$E$32="Weekdays",WEEKDAY($A267,2)&lt;=5,$A267='Recurring Schedule'!$F$32))),27,""))))</f>
        <v/>
      </c>
      <c r="AC267">
        <f>IF('Recurring Schedule'!$C$33="","",IF('Recurring Schedule'!$F$33="","",IF(OR($A267&lt;'Recurring Schedule'!$F$33,$A267&gt;'Recurring Schedule'!$P$33),"",IF(IF('Recurring Schedule'!$N$33&gt;0,MOD($A267-'Recurring Schedule'!$F$33,'Recurring Schedule'!$N$33)=0,IF('Recurring Schedule'!$O$33&gt;0,AND(DAY($A267)=MIN(DAY('Recurring Schedule'!$F$33),DAY(EOMONTH($A267,0))),MOD((YEAR($A267)-YEAR('Recurring Schedule'!$F$33))*12+MONTH($A267)-MONTH('Recurring Schedule'!$F$33),'Recurring Schedule'!$O$33)=0),IF('Recurring Schedule'!$E$33="Weekdays",WEEKDAY($A267,2)&lt;=5,$A267='Recurring Schedule'!$F$33))),28,""))))</f>
        <v/>
      </c>
      <c r="AD267">
        <f>IF('Recurring Schedule'!$C$34="","",IF('Recurring Schedule'!$F$34="","",IF(OR($A267&lt;'Recurring Schedule'!$F$34,$A267&gt;'Recurring Schedule'!$P$34),"",IF(IF('Recurring Schedule'!$N$34&gt;0,MOD($A267-'Recurring Schedule'!$F$34,'Recurring Schedule'!$N$34)=0,IF('Recurring Schedule'!$O$34&gt;0,AND(DAY($A267)=MIN(DAY('Recurring Schedule'!$F$34),DAY(EOMONTH($A267,0))),MOD((YEAR($A267)-YEAR('Recurring Schedule'!$F$34))*12+MONTH($A267)-MONTH('Recurring Schedule'!$F$34),'Recurring Schedule'!$O$34)=0),IF('Recurring Schedule'!$E$34="Weekdays",WEEKDAY($A267,2)&lt;=5,$A267='Recurring Schedule'!$F$34))),29,""))))</f>
        <v/>
      </c>
      <c r="AE267">
        <f>IF('Recurring Schedule'!$C$35="","",IF('Recurring Schedule'!$F$35="","",IF(OR($A267&lt;'Recurring Schedule'!$F$35,$A267&gt;'Recurring Schedule'!$P$35),"",IF(IF('Recurring Schedule'!$N$35&gt;0,MOD($A267-'Recurring Schedule'!$F$35,'Recurring Schedule'!$N$35)=0,IF('Recurring Schedule'!$O$35&gt;0,AND(DAY($A267)=MIN(DAY('Recurring Schedule'!$F$35),DAY(EOMONTH($A267,0))),MOD((YEAR($A267)-YEAR('Recurring Schedule'!$F$35))*12+MONTH($A267)-MONTH('Recurring Schedule'!$F$35),'Recurring Schedule'!$O$35)=0),IF('Recurring Schedule'!$E$35="Weekdays",WEEKDAY($A267,2)&lt;=5,$A267='Recurring Schedule'!$F$35))),30,""))))</f>
        <v/>
      </c>
      <c r="AF267">
        <f>IF('Recurring Schedule'!$C$36="","",IF('Recurring Schedule'!$F$36="","",IF(OR($A267&lt;'Recurring Schedule'!$F$36,$A267&gt;'Recurring Schedule'!$P$36),"",IF(IF('Recurring Schedule'!$N$36&gt;0,MOD($A267-'Recurring Schedule'!$F$36,'Recurring Schedule'!$N$36)=0,IF('Recurring Schedule'!$O$36&gt;0,AND(DAY($A267)=MIN(DAY('Recurring Schedule'!$F$36),DAY(EOMONTH($A267,0))),MOD((YEAR($A267)-YEAR('Recurring Schedule'!$F$36))*12+MONTH($A267)-MONTH('Recurring Schedule'!$F$36),'Recurring Schedule'!$O$36)=0),IF('Recurring Schedule'!$E$36="Weekdays",WEEKDAY($A267,2)&lt;=5,$A267='Recurring Schedule'!$F$36))),31,""))))</f>
        <v/>
      </c>
      <c r="AG267">
        <f>IF('Recurring Schedule'!$C$37="","",IF('Recurring Schedule'!$F$37="","",IF(OR($A267&lt;'Recurring Schedule'!$F$37,$A267&gt;'Recurring Schedule'!$P$37),"",IF(IF('Recurring Schedule'!$N$37&gt;0,MOD($A267-'Recurring Schedule'!$F$37,'Recurring Schedule'!$N$37)=0,IF('Recurring Schedule'!$O$37&gt;0,AND(DAY($A267)=MIN(DAY('Recurring Schedule'!$F$37),DAY(EOMONTH($A267,0))),MOD((YEAR($A267)-YEAR('Recurring Schedule'!$F$37))*12+MONTH($A267)-MONTH('Recurring Schedule'!$F$37),'Recurring Schedule'!$O$37)=0),IF('Recurring Schedule'!$E$37="Weekdays",WEEKDAY($A267,2)&lt;=5,$A267='Recurring Schedule'!$F$37))),32,""))))</f>
        <v/>
      </c>
      <c r="AH267">
        <f>IF('Recurring Schedule'!$C$38="","",IF('Recurring Schedule'!$F$38="","",IF(OR($A267&lt;'Recurring Schedule'!$F$38,$A267&gt;'Recurring Schedule'!$P$38),"",IF(IF('Recurring Schedule'!$N$38&gt;0,MOD($A267-'Recurring Schedule'!$F$38,'Recurring Schedule'!$N$38)=0,IF('Recurring Schedule'!$O$38&gt;0,AND(DAY($A267)=MIN(DAY('Recurring Schedule'!$F$38),DAY(EOMONTH($A267,0))),MOD((YEAR($A267)-YEAR('Recurring Schedule'!$F$38))*12+MONTH($A267)-MONTH('Recurring Schedule'!$F$38),'Recurring Schedule'!$O$38)=0),IF('Recurring Schedule'!$E$38="Weekdays",WEEKDAY($A267,2)&lt;=5,$A267='Recurring Schedule'!$F$38))),33,""))))</f>
        <v/>
      </c>
      <c r="AI267">
        <f>IF('Recurring Schedule'!$C$39="","",IF('Recurring Schedule'!$F$39="","",IF(OR($A267&lt;'Recurring Schedule'!$F$39,$A267&gt;'Recurring Schedule'!$P$39),"",IF(IF('Recurring Schedule'!$N$39&gt;0,MOD($A267-'Recurring Schedule'!$F$39,'Recurring Schedule'!$N$39)=0,IF('Recurring Schedule'!$O$39&gt;0,AND(DAY($A267)=MIN(DAY('Recurring Schedule'!$F$39),DAY(EOMONTH($A267,0))),MOD((YEAR($A267)-YEAR('Recurring Schedule'!$F$39))*12+MONTH($A267)-MONTH('Recurring Schedule'!$F$39),'Recurring Schedule'!$O$39)=0),IF('Recurring Schedule'!$E$39="Weekdays",WEEKDAY($A267,2)&lt;=5,$A267='Recurring Schedule'!$F$39))),34,""))))</f>
        <v/>
      </c>
      <c r="AJ267">
        <f>IF('Recurring Schedule'!$C$40="","",IF('Recurring Schedule'!$F$40="","",IF(OR($A267&lt;'Recurring Schedule'!$F$40,$A267&gt;'Recurring Schedule'!$P$40),"",IF(IF('Recurring Schedule'!$N$40&gt;0,MOD($A267-'Recurring Schedule'!$F$40,'Recurring Schedule'!$N$40)=0,IF('Recurring Schedule'!$O$40&gt;0,AND(DAY($A267)=MIN(DAY('Recurring Schedule'!$F$40),DAY(EOMONTH($A267,0))),MOD((YEAR($A267)-YEAR('Recurring Schedule'!$F$40))*12+MONTH($A267)-MONTH('Recurring Schedule'!$F$40),'Recurring Schedule'!$O$40)=0),IF('Recurring Schedule'!$E$40="Weekdays",WEEKDAY($A267,2)&lt;=5,$A267='Recurring Schedule'!$F$40))),35,""))))</f>
        <v/>
      </c>
      <c r="AK267">
        <f>IF('Recurring Schedule'!$C$41="","",IF('Recurring Schedule'!$F$41="","",IF(OR($A267&lt;'Recurring Schedule'!$F$41,$A267&gt;'Recurring Schedule'!$P$41),"",IF(IF('Recurring Schedule'!$N$41&gt;0,MOD($A267-'Recurring Schedule'!$F$41,'Recurring Schedule'!$N$41)=0,IF('Recurring Schedule'!$O$41&gt;0,AND(DAY($A267)=MIN(DAY('Recurring Schedule'!$F$41),DAY(EOMONTH($A267,0))),MOD((YEAR($A267)-YEAR('Recurring Schedule'!$F$41))*12+MONTH($A267)-MONTH('Recurring Schedule'!$F$41),'Recurring Schedule'!$O$41)=0),IF('Recurring Schedule'!$E$41="Weekdays",WEEKDAY($A267,2)&lt;=5,$A267='Recurring Schedule'!$F$41))),36,""))))</f>
        <v/>
      </c>
      <c r="AL267">
        <f>IF('Recurring Schedule'!$C$42="","",IF('Recurring Schedule'!$F$42="","",IF(OR($A267&lt;'Recurring Schedule'!$F$42,$A267&gt;'Recurring Schedule'!$P$42),"",IF(IF('Recurring Schedule'!$N$42&gt;0,MOD($A267-'Recurring Schedule'!$F$42,'Recurring Schedule'!$N$42)=0,IF('Recurring Schedule'!$O$42&gt;0,AND(DAY($A267)=MIN(DAY('Recurring Schedule'!$F$42),DAY(EOMONTH($A267,0))),MOD((YEAR($A267)-YEAR('Recurring Schedule'!$F$42))*12+MONTH($A267)-MONTH('Recurring Schedule'!$F$42),'Recurring Schedule'!$O$42)=0),IF('Recurring Schedule'!$E$42="Weekdays",WEEKDAY($A267,2)&lt;=5,$A267='Recurring Schedule'!$F$42))),37,""))))</f>
        <v/>
      </c>
      <c r="AM267">
        <f>IF('Recurring Schedule'!$C$43="","",IF('Recurring Schedule'!$F$43="","",IF(OR($A267&lt;'Recurring Schedule'!$F$43,$A267&gt;'Recurring Schedule'!$P$43),"",IF(IF('Recurring Schedule'!$N$43&gt;0,MOD($A267-'Recurring Schedule'!$F$43,'Recurring Schedule'!$N$43)=0,IF('Recurring Schedule'!$O$43&gt;0,AND(DAY($A267)=MIN(DAY('Recurring Schedule'!$F$43),DAY(EOMONTH($A267,0))),MOD((YEAR($A267)-YEAR('Recurring Schedule'!$F$43))*12+MONTH($A267)-MONTH('Recurring Schedule'!$F$43),'Recurring Schedule'!$O$43)=0),IF('Recurring Schedule'!$E$43="Weekdays",WEEKDAY($A267,2)&lt;=5,$A267='Recurring Schedule'!$F$43))),38,""))))</f>
        <v/>
      </c>
      <c r="AN267">
        <f>IF('Recurring Schedule'!$C$44="","",IF('Recurring Schedule'!$F$44="","",IF(OR($A267&lt;'Recurring Schedule'!$F$44,$A267&gt;'Recurring Schedule'!$P$44),"",IF(IF('Recurring Schedule'!$N$44&gt;0,MOD($A267-'Recurring Schedule'!$F$44,'Recurring Schedule'!$N$44)=0,IF('Recurring Schedule'!$O$44&gt;0,AND(DAY($A267)=MIN(DAY('Recurring Schedule'!$F$44),DAY(EOMONTH($A267,0))),MOD((YEAR($A267)-YEAR('Recurring Schedule'!$F$44))*12+MONTH($A267)-MONTH('Recurring Schedule'!$F$44),'Recurring Schedule'!$O$44)=0),IF('Recurring Schedule'!$E$44="Weekdays",WEEKDAY($A267,2)&lt;=5,$A267='Recurring Schedule'!$F$44))),39,""))))</f>
        <v/>
      </c>
      <c r="AO267">
        <f>IF('Recurring Schedule'!$C$45="","",IF('Recurring Schedule'!$F$45="","",IF(OR($A267&lt;'Recurring Schedule'!$F$45,$A267&gt;'Recurring Schedule'!$P$45),"",IF(IF('Recurring Schedule'!$N$45&gt;0,MOD($A267-'Recurring Schedule'!$F$45,'Recurring Schedule'!$N$45)=0,IF('Recurring Schedule'!$O$45&gt;0,AND(DAY($A267)=MIN(DAY('Recurring Schedule'!$F$45),DAY(EOMONTH($A267,0))),MOD((YEAR($A267)-YEAR('Recurring Schedule'!$F$45))*12+MONTH($A267)-MONTH('Recurring Schedule'!$F$45),'Recurring Schedule'!$O$45)=0),IF('Recurring Schedule'!$E$45="Weekdays",WEEKDAY($A267,2)&lt;=5,$A267='Recurring Schedule'!$F$45))),40,""))))</f>
        <v/>
      </c>
      <c r="AP267">
        <f>COUNT(B267:AO267)</f>
        <v/>
      </c>
      <c r="AQ267">
        <f>AQ266+AP266</f>
        <v/>
      </c>
      <c r="AS267" t="inlineStr">
        <is>
          <t>R</t>
        </is>
      </c>
      <c r="AT267" t="n">
        <v>271</v>
      </c>
      <c r="AU267">
        <f>'Recurring Log'!C271&amp;""</f>
        <v/>
      </c>
      <c r="AV267">
        <f>'Recurring Log'!D271&amp;""</f>
        <v/>
      </c>
      <c r="AW267">
        <f>IF('Recurring Log'!E271="","",'Recurring Log'!E271)</f>
        <v/>
      </c>
      <c r="AX267">
        <f>IF('Recurring Log'!G271="","",'Recurring Log'!G271)</f>
        <v/>
      </c>
      <c r="AY267">
        <f>IF('Recurring Log'!H271="","",'Recurring Log'!H271)</f>
        <v/>
      </c>
      <c r="AZ267">
        <f>IF(AU267="","",IF('Recurring Log'!J271="","Not Started",'Recurring Log'!J271))</f>
        <v/>
      </c>
      <c r="BA267">
        <f>'Recurring Log'!L271&amp;""</f>
        <v/>
      </c>
      <c r="BB267">
        <f>'Recurring Log'!M271&amp;""</f>
        <v/>
      </c>
      <c r="BC267">
        <f>'Recurring Log'!N271&amp;""</f>
        <v/>
      </c>
      <c r="BD267">
        <f>'Recurring Log'!O271&amp;""</f>
        <v/>
      </c>
      <c r="BE267">
        <f>IF('Recurring Log'!K271="","",'Recurring Log'!K271)</f>
        <v/>
      </c>
      <c r="BF267">
        <f>IFERROR(MATCH(BA267,Setup!$L$6:$L$9,0),5)</f>
        <v/>
      </c>
      <c r="BG267">
        <f>IF(OR(AZ267="Done",AZ267="Cancelled"),1,0)</f>
        <v/>
      </c>
      <c r="BH267">
        <f>IF(AND(AU267&lt;&gt;"",ISNUMBER(AW267)),1,0)</f>
        <v/>
      </c>
      <c r="BI267">
        <f>IF(BH267=0,0,IF(AND(AW267&gt;='Tasks Filter'!$F$3,AW267&lt;='Tasks Filter'!$F$4,OR('Tasks Filter'!$I$3="",ISNUMBER(SEARCH('Tasks Filter'!$I$3,AU267))),OR('Tasks Filter'!$I$4="",BF267=IFERROR(MATCH('Tasks Filter'!$I$4,Setup!$L$6:$L$9,0),0)),OR('Tasks Filter'!$I$5="Both",AND('Tasks Filter'!$I$5="Yes",BB267="✓"),AND('Tasks Filter'!$I$5="No",BB267&lt;&gt;"✓")),OR('Tasks Filter'!$L$3="",AV267='Tasks Filter'!$L$3),OR('Tasks Filter'!$L$4="",AZ267='Tasks Filter'!$L$4),OR('Tasks Filter'!$L$5="",BC267='Tasks Filter'!$L$5),OR('Tasks Filter'!$O$3="",BD267='Tasks Filter'!$O$3),OR('Tasks Filter'!$O$4="Yes",BG267=0)),1,0))</f>
        <v/>
      </c>
      <c r="BJ267">
        <f>IF(BH267=0,"",IF('Tasks Filter'!$F$6="Descending",-1,1)*CHOOSE(MATCH('Tasks Filter'!$F$5,Lists!$G$2:$G$6,0),AW267,BF267,IFERROR(MATCH(AV267,Setup!$F$6:$F$15,0),99),IFERROR(MATCH(BC267,Setup!$H$6:$H$15,0),99),IFERROR(MATCH(AZ267,Setup!$J$6:$J$11,0),99))*1E+9+(AW267-40000)*10000+266)</f>
        <v/>
      </c>
      <c r="BK267">
        <f>IF(BI267=1,BJ267,"")</f>
        <v/>
      </c>
      <c r="BL267">
        <f>IF(AND(BH267=1,BG267=0,N(AW267)&lt;Setup!$D$7),(AW267-40000)*10000+266,"")</f>
        <v/>
      </c>
      <c r="BM267">
        <f>IF(AND(BH267=1,AZ267&lt;&gt;"Cancelled",N(AW267)&gt;=Dashboard!$AB$3,N(AW267)&lt;=Dashboard!$AB$3+6),(AW267-40000)*100000+BF267*10000+266,"")</f>
        <v/>
      </c>
      <c r="BN267">
        <f>IF(AND(BH267=1,AZ267&lt;&gt;"Cancelled"),BF267*10000+266,"")</f>
        <v/>
      </c>
    </row>
    <row r="268">
      <c r="A268">
        <f>Setup!$D$5+266</f>
        <v/>
      </c>
      <c r="B268">
        <f>IF('Recurring Schedule'!$C$6="","",IF('Recurring Schedule'!$F$6="","",IF(OR($A268&lt;'Recurring Schedule'!$F$6,$A268&gt;'Recurring Schedule'!$P$6),"",IF(IF('Recurring Schedule'!$N$6&gt;0,MOD($A268-'Recurring Schedule'!$F$6,'Recurring Schedule'!$N$6)=0,IF('Recurring Schedule'!$O$6&gt;0,AND(DAY($A268)=MIN(DAY('Recurring Schedule'!$F$6),DAY(EOMONTH($A268,0))),MOD((YEAR($A268)-YEAR('Recurring Schedule'!$F$6))*12+MONTH($A268)-MONTH('Recurring Schedule'!$F$6),'Recurring Schedule'!$O$6)=0),IF('Recurring Schedule'!$E$6="Weekdays",WEEKDAY($A268,2)&lt;=5,$A268='Recurring Schedule'!$F$6))),1,""))))</f>
        <v/>
      </c>
      <c r="C268">
        <f>IF('Recurring Schedule'!$C$7="","",IF('Recurring Schedule'!$F$7="","",IF(OR($A268&lt;'Recurring Schedule'!$F$7,$A268&gt;'Recurring Schedule'!$P$7),"",IF(IF('Recurring Schedule'!$N$7&gt;0,MOD($A268-'Recurring Schedule'!$F$7,'Recurring Schedule'!$N$7)=0,IF('Recurring Schedule'!$O$7&gt;0,AND(DAY($A268)=MIN(DAY('Recurring Schedule'!$F$7),DAY(EOMONTH($A268,0))),MOD((YEAR($A268)-YEAR('Recurring Schedule'!$F$7))*12+MONTH($A268)-MONTH('Recurring Schedule'!$F$7),'Recurring Schedule'!$O$7)=0),IF('Recurring Schedule'!$E$7="Weekdays",WEEKDAY($A268,2)&lt;=5,$A268='Recurring Schedule'!$F$7))),2,""))))</f>
        <v/>
      </c>
      <c r="D268">
        <f>IF('Recurring Schedule'!$C$8="","",IF('Recurring Schedule'!$F$8="","",IF(OR($A268&lt;'Recurring Schedule'!$F$8,$A268&gt;'Recurring Schedule'!$P$8),"",IF(IF('Recurring Schedule'!$N$8&gt;0,MOD($A268-'Recurring Schedule'!$F$8,'Recurring Schedule'!$N$8)=0,IF('Recurring Schedule'!$O$8&gt;0,AND(DAY($A268)=MIN(DAY('Recurring Schedule'!$F$8),DAY(EOMONTH($A268,0))),MOD((YEAR($A268)-YEAR('Recurring Schedule'!$F$8))*12+MONTH($A268)-MONTH('Recurring Schedule'!$F$8),'Recurring Schedule'!$O$8)=0),IF('Recurring Schedule'!$E$8="Weekdays",WEEKDAY($A268,2)&lt;=5,$A268='Recurring Schedule'!$F$8))),3,""))))</f>
        <v/>
      </c>
      <c r="E268">
        <f>IF('Recurring Schedule'!$C$9="","",IF('Recurring Schedule'!$F$9="","",IF(OR($A268&lt;'Recurring Schedule'!$F$9,$A268&gt;'Recurring Schedule'!$P$9),"",IF(IF('Recurring Schedule'!$N$9&gt;0,MOD($A268-'Recurring Schedule'!$F$9,'Recurring Schedule'!$N$9)=0,IF('Recurring Schedule'!$O$9&gt;0,AND(DAY($A268)=MIN(DAY('Recurring Schedule'!$F$9),DAY(EOMONTH($A268,0))),MOD((YEAR($A268)-YEAR('Recurring Schedule'!$F$9))*12+MONTH($A268)-MONTH('Recurring Schedule'!$F$9),'Recurring Schedule'!$O$9)=0),IF('Recurring Schedule'!$E$9="Weekdays",WEEKDAY($A268,2)&lt;=5,$A268='Recurring Schedule'!$F$9))),4,""))))</f>
        <v/>
      </c>
      <c r="F268">
        <f>IF('Recurring Schedule'!$C$10="","",IF('Recurring Schedule'!$F$10="","",IF(OR($A268&lt;'Recurring Schedule'!$F$10,$A268&gt;'Recurring Schedule'!$P$10),"",IF(IF('Recurring Schedule'!$N$10&gt;0,MOD($A268-'Recurring Schedule'!$F$10,'Recurring Schedule'!$N$10)=0,IF('Recurring Schedule'!$O$10&gt;0,AND(DAY($A268)=MIN(DAY('Recurring Schedule'!$F$10),DAY(EOMONTH($A268,0))),MOD((YEAR($A268)-YEAR('Recurring Schedule'!$F$10))*12+MONTH($A268)-MONTH('Recurring Schedule'!$F$10),'Recurring Schedule'!$O$10)=0),IF('Recurring Schedule'!$E$10="Weekdays",WEEKDAY($A268,2)&lt;=5,$A268='Recurring Schedule'!$F$10))),5,""))))</f>
        <v/>
      </c>
      <c r="G268">
        <f>IF('Recurring Schedule'!$C$11="","",IF('Recurring Schedule'!$F$11="","",IF(OR($A268&lt;'Recurring Schedule'!$F$11,$A268&gt;'Recurring Schedule'!$P$11),"",IF(IF('Recurring Schedule'!$N$11&gt;0,MOD($A268-'Recurring Schedule'!$F$11,'Recurring Schedule'!$N$11)=0,IF('Recurring Schedule'!$O$11&gt;0,AND(DAY($A268)=MIN(DAY('Recurring Schedule'!$F$11),DAY(EOMONTH($A268,0))),MOD((YEAR($A268)-YEAR('Recurring Schedule'!$F$11))*12+MONTH($A268)-MONTH('Recurring Schedule'!$F$11),'Recurring Schedule'!$O$11)=0),IF('Recurring Schedule'!$E$11="Weekdays",WEEKDAY($A268,2)&lt;=5,$A268='Recurring Schedule'!$F$11))),6,""))))</f>
        <v/>
      </c>
      <c r="H268">
        <f>IF('Recurring Schedule'!$C$12="","",IF('Recurring Schedule'!$F$12="","",IF(OR($A268&lt;'Recurring Schedule'!$F$12,$A268&gt;'Recurring Schedule'!$P$12),"",IF(IF('Recurring Schedule'!$N$12&gt;0,MOD($A268-'Recurring Schedule'!$F$12,'Recurring Schedule'!$N$12)=0,IF('Recurring Schedule'!$O$12&gt;0,AND(DAY($A268)=MIN(DAY('Recurring Schedule'!$F$12),DAY(EOMONTH($A268,0))),MOD((YEAR($A268)-YEAR('Recurring Schedule'!$F$12))*12+MONTH($A268)-MONTH('Recurring Schedule'!$F$12),'Recurring Schedule'!$O$12)=0),IF('Recurring Schedule'!$E$12="Weekdays",WEEKDAY($A268,2)&lt;=5,$A268='Recurring Schedule'!$F$12))),7,""))))</f>
        <v/>
      </c>
      <c r="I268">
        <f>IF('Recurring Schedule'!$C$13="","",IF('Recurring Schedule'!$F$13="","",IF(OR($A268&lt;'Recurring Schedule'!$F$13,$A268&gt;'Recurring Schedule'!$P$13),"",IF(IF('Recurring Schedule'!$N$13&gt;0,MOD($A268-'Recurring Schedule'!$F$13,'Recurring Schedule'!$N$13)=0,IF('Recurring Schedule'!$O$13&gt;0,AND(DAY($A268)=MIN(DAY('Recurring Schedule'!$F$13),DAY(EOMONTH($A268,0))),MOD((YEAR($A268)-YEAR('Recurring Schedule'!$F$13))*12+MONTH($A268)-MONTH('Recurring Schedule'!$F$13),'Recurring Schedule'!$O$13)=0),IF('Recurring Schedule'!$E$13="Weekdays",WEEKDAY($A268,2)&lt;=5,$A268='Recurring Schedule'!$F$13))),8,""))))</f>
        <v/>
      </c>
      <c r="J268">
        <f>IF('Recurring Schedule'!$C$14="","",IF('Recurring Schedule'!$F$14="","",IF(OR($A268&lt;'Recurring Schedule'!$F$14,$A268&gt;'Recurring Schedule'!$P$14),"",IF(IF('Recurring Schedule'!$N$14&gt;0,MOD($A268-'Recurring Schedule'!$F$14,'Recurring Schedule'!$N$14)=0,IF('Recurring Schedule'!$O$14&gt;0,AND(DAY($A268)=MIN(DAY('Recurring Schedule'!$F$14),DAY(EOMONTH($A268,0))),MOD((YEAR($A268)-YEAR('Recurring Schedule'!$F$14))*12+MONTH($A268)-MONTH('Recurring Schedule'!$F$14),'Recurring Schedule'!$O$14)=0),IF('Recurring Schedule'!$E$14="Weekdays",WEEKDAY($A268,2)&lt;=5,$A268='Recurring Schedule'!$F$14))),9,""))))</f>
        <v/>
      </c>
      <c r="K268">
        <f>IF('Recurring Schedule'!$C$15="","",IF('Recurring Schedule'!$F$15="","",IF(OR($A268&lt;'Recurring Schedule'!$F$15,$A268&gt;'Recurring Schedule'!$P$15),"",IF(IF('Recurring Schedule'!$N$15&gt;0,MOD($A268-'Recurring Schedule'!$F$15,'Recurring Schedule'!$N$15)=0,IF('Recurring Schedule'!$O$15&gt;0,AND(DAY($A268)=MIN(DAY('Recurring Schedule'!$F$15),DAY(EOMONTH($A268,0))),MOD((YEAR($A268)-YEAR('Recurring Schedule'!$F$15))*12+MONTH($A268)-MONTH('Recurring Schedule'!$F$15),'Recurring Schedule'!$O$15)=0),IF('Recurring Schedule'!$E$15="Weekdays",WEEKDAY($A268,2)&lt;=5,$A268='Recurring Schedule'!$F$15))),10,""))))</f>
        <v/>
      </c>
      <c r="L268">
        <f>IF('Recurring Schedule'!$C$16="","",IF('Recurring Schedule'!$F$16="","",IF(OR($A268&lt;'Recurring Schedule'!$F$16,$A268&gt;'Recurring Schedule'!$P$16),"",IF(IF('Recurring Schedule'!$N$16&gt;0,MOD($A268-'Recurring Schedule'!$F$16,'Recurring Schedule'!$N$16)=0,IF('Recurring Schedule'!$O$16&gt;0,AND(DAY($A268)=MIN(DAY('Recurring Schedule'!$F$16),DAY(EOMONTH($A268,0))),MOD((YEAR($A268)-YEAR('Recurring Schedule'!$F$16))*12+MONTH($A268)-MONTH('Recurring Schedule'!$F$16),'Recurring Schedule'!$O$16)=0),IF('Recurring Schedule'!$E$16="Weekdays",WEEKDAY($A268,2)&lt;=5,$A268='Recurring Schedule'!$F$16))),11,""))))</f>
        <v/>
      </c>
      <c r="M268">
        <f>IF('Recurring Schedule'!$C$17="","",IF('Recurring Schedule'!$F$17="","",IF(OR($A268&lt;'Recurring Schedule'!$F$17,$A268&gt;'Recurring Schedule'!$P$17),"",IF(IF('Recurring Schedule'!$N$17&gt;0,MOD($A268-'Recurring Schedule'!$F$17,'Recurring Schedule'!$N$17)=0,IF('Recurring Schedule'!$O$17&gt;0,AND(DAY($A268)=MIN(DAY('Recurring Schedule'!$F$17),DAY(EOMONTH($A268,0))),MOD((YEAR($A268)-YEAR('Recurring Schedule'!$F$17))*12+MONTH($A268)-MONTH('Recurring Schedule'!$F$17),'Recurring Schedule'!$O$17)=0),IF('Recurring Schedule'!$E$17="Weekdays",WEEKDAY($A268,2)&lt;=5,$A268='Recurring Schedule'!$F$17))),12,""))))</f>
        <v/>
      </c>
      <c r="N268">
        <f>IF('Recurring Schedule'!$C$18="","",IF('Recurring Schedule'!$F$18="","",IF(OR($A268&lt;'Recurring Schedule'!$F$18,$A268&gt;'Recurring Schedule'!$P$18),"",IF(IF('Recurring Schedule'!$N$18&gt;0,MOD($A268-'Recurring Schedule'!$F$18,'Recurring Schedule'!$N$18)=0,IF('Recurring Schedule'!$O$18&gt;0,AND(DAY($A268)=MIN(DAY('Recurring Schedule'!$F$18),DAY(EOMONTH($A268,0))),MOD((YEAR($A268)-YEAR('Recurring Schedule'!$F$18))*12+MONTH($A268)-MONTH('Recurring Schedule'!$F$18),'Recurring Schedule'!$O$18)=0),IF('Recurring Schedule'!$E$18="Weekdays",WEEKDAY($A268,2)&lt;=5,$A268='Recurring Schedule'!$F$18))),13,""))))</f>
        <v/>
      </c>
      <c r="O268">
        <f>IF('Recurring Schedule'!$C$19="","",IF('Recurring Schedule'!$F$19="","",IF(OR($A268&lt;'Recurring Schedule'!$F$19,$A268&gt;'Recurring Schedule'!$P$19),"",IF(IF('Recurring Schedule'!$N$19&gt;0,MOD($A268-'Recurring Schedule'!$F$19,'Recurring Schedule'!$N$19)=0,IF('Recurring Schedule'!$O$19&gt;0,AND(DAY($A268)=MIN(DAY('Recurring Schedule'!$F$19),DAY(EOMONTH($A268,0))),MOD((YEAR($A268)-YEAR('Recurring Schedule'!$F$19))*12+MONTH($A268)-MONTH('Recurring Schedule'!$F$19),'Recurring Schedule'!$O$19)=0),IF('Recurring Schedule'!$E$19="Weekdays",WEEKDAY($A268,2)&lt;=5,$A268='Recurring Schedule'!$F$19))),14,""))))</f>
        <v/>
      </c>
      <c r="P268">
        <f>IF('Recurring Schedule'!$C$20="","",IF('Recurring Schedule'!$F$20="","",IF(OR($A268&lt;'Recurring Schedule'!$F$20,$A268&gt;'Recurring Schedule'!$P$20),"",IF(IF('Recurring Schedule'!$N$20&gt;0,MOD($A268-'Recurring Schedule'!$F$20,'Recurring Schedule'!$N$20)=0,IF('Recurring Schedule'!$O$20&gt;0,AND(DAY($A268)=MIN(DAY('Recurring Schedule'!$F$20),DAY(EOMONTH($A268,0))),MOD((YEAR($A268)-YEAR('Recurring Schedule'!$F$20))*12+MONTH($A268)-MONTH('Recurring Schedule'!$F$20),'Recurring Schedule'!$O$20)=0),IF('Recurring Schedule'!$E$20="Weekdays",WEEKDAY($A268,2)&lt;=5,$A268='Recurring Schedule'!$F$20))),15,""))))</f>
        <v/>
      </c>
      <c r="Q268">
        <f>IF('Recurring Schedule'!$C$21="","",IF('Recurring Schedule'!$F$21="","",IF(OR($A268&lt;'Recurring Schedule'!$F$21,$A268&gt;'Recurring Schedule'!$P$21),"",IF(IF('Recurring Schedule'!$N$21&gt;0,MOD($A268-'Recurring Schedule'!$F$21,'Recurring Schedule'!$N$21)=0,IF('Recurring Schedule'!$O$21&gt;0,AND(DAY($A268)=MIN(DAY('Recurring Schedule'!$F$21),DAY(EOMONTH($A268,0))),MOD((YEAR($A268)-YEAR('Recurring Schedule'!$F$21))*12+MONTH($A268)-MONTH('Recurring Schedule'!$F$21),'Recurring Schedule'!$O$21)=0),IF('Recurring Schedule'!$E$21="Weekdays",WEEKDAY($A268,2)&lt;=5,$A268='Recurring Schedule'!$F$21))),16,""))))</f>
        <v/>
      </c>
      <c r="R268">
        <f>IF('Recurring Schedule'!$C$22="","",IF('Recurring Schedule'!$F$22="","",IF(OR($A268&lt;'Recurring Schedule'!$F$22,$A268&gt;'Recurring Schedule'!$P$22),"",IF(IF('Recurring Schedule'!$N$22&gt;0,MOD($A268-'Recurring Schedule'!$F$22,'Recurring Schedule'!$N$22)=0,IF('Recurring Schedule'!$O$22&gt;0,AND(DAY($A268)=MIN(DAY('Recurring Schedule'!$F$22),DAY(EOMONTH($A268,0))),MOD((YEAR($A268)-YEAR('Recurring Schedule'!$F$22))*12+MONTH($A268)-MONTH('Recurring Schedule'!$F$22),'Recurring Schedule'!$O$22)=0),IF('Recurring Schedule'!$E$22="Weekdays",WEEKDAY($A268,2)&lt;=5,$A268='Recurring Schedule'!$F$22))),17,""))))</f>
        <v/>
      </c>
      <c r="S268">
        <f>IF('Recurring Schedule'!$C$23="","",IF('Recurring Schedule'!$F$23="","",IF(OR($A268&lt;'Recurring Schedule'!$F$23,$A268&gt;'Recurring Schedule'!$P$23),"",IF(IF('Recurring Schedule'!$N$23&gt;0,MOD($A268-'Recurring Schedule'!$F$23,'Recurring Schedule'!$N$23)=0,IF('Recurring Schedule'!$O$23&gt;0,AND(DAY($A268)=MIN(DAY('Recurring Schedule'!$F$23),DAY(EOMONTH($A268,0))),MOD((YEAR($A268)-YEAR('Recurring Schedule'!$F$23))*12+MONTH($A268)-MONTH('Recurring Schedule'!$F$23),'Recurring Schedule'!$O$23)=0),IF('Recurring Schedule'!$E$23="Weekdays",WEEKDAY($A268,2)&lt;=5,$A268='Recurring Schedule'!$F$23))),18,""))))</f>
        <v/>
      </c>
      <c r="T268">
        <f>IF('Recurring Schedule'!$C$24="","",IF('Recurring Schedule'!$F$24="","",IF(OR($A268&lt;'Recurring Schedule'!$F$24,$A268&gt;'Recurring Schedule'!$P$24),"",IF(IF('Recurring Schedule'!$N$24&gt;0,MOD($A268-'Recurring Schedule'!$F$24,'Recurring Schedule'!$N$24)=0,IF('Recurring Schedule'!$O$24&gt;0,AND(DAY($A268)=MIN(DAY('Recurring Schedule'!$F$24),DAY(EOMONTH($A268,0))),MOD((YEAR($A268)-YEAR('Recurring Schedule'!$F$24))*12+MONTH($A268)-MONTH('Recurring Schedule'!$F$24),'Recurring Schedule'!$O$24)=0),IF('Recurring Schedule'!$E$24="Weekdays",WEEKDAY($A268,2)&lt;=5,$A268='Recurring Schedule'!$F$24))),19,""))))</f>
        <v/>
      </c>
      <c r="U268">
        <f>IF('Recurring Schedule'!$C$25="","",IF('Recurring Schedule'!$F$25="","",IF(OR($A268&lt;'Recurring Schedule'!$F$25,$A268&gt;'Recurring Schedule'!$P$25),"",IF(IF('Recurring Schedule'!$N$25&gt;0,MOD($A268-'Recurring Schedule'!$F$25,'Recurring Schedule'!$N$25)=0,IF('Recurring Schedule'!$O$25&gt;0,AND(DAY($A268)=MIN(DAY('Recurring Schedule'!$F$25),DAY(EOMONTH($A268,0))),MOD((YEAR($A268)-YEAR('Recurring Schedule'!$F$25))*12+MONTH($A268)-MONTH('Recurring Schedule'!$F$25),'Recurring Schedule'!$O$25)=0),IF('Recurring Schedule'!$E$25="Weekdays",WEEKDAY($A268,2)&lt;=5,$A268='Recurring Schedule'!$F$25))),20,""))))</f>
        <v/>
      </c>
      <c r="V268">
        <f>IF('Recurring Schedule'!$C$26="","",IF('Recurring Schedule'!$F$26="","",IF(OR($A268&lt;'Recurring Schedule'!$F$26,$A268&gt;'Recurring Schedule'!$P$26),"",IF(IF('Recurring Schedule'!$N$26&gt;0,MOD($A268-'Recurring Schedule'!$F$26,'Recurring Schedule'!$N$26)=0,IF('Recurring Schedule'!$O$26&gt;0,AND(DAY($A268)=MIN(DAY('Recurring Schedule'!$F$26),DAY(EOMONTH($A268,0))),MOD((YEAR($A268)-YEAR('Recurring Schedule'!$F$26))*12+MONTH($A268)-MONTH('Recurring Schedule'!$F$26),'Recurring Schedule'!$O$26)=0),IF('Recurring Schedule'!$E$26="Weekdays",WEEKDAY($A268,2)&lt;=5,$A268='Recurring Schedule'!$F$26))),21,""))))</f>
        <v/>
      </c>
      <c r="W268">
        <f>IF('Recurring Schedule'!$C$27="","",IF('Recurring Schedule'!$F$27="","",IF(OR($A268&lt;'Recurring Schedule'!$F$27,$A268&gt;'Recurring Schedule'!$P$27),"",IF(IF('Recurring Schedule'!$N$27&gt;0,MOD($A268-'Recurring Schedule'!$F$27,'Recurring Schedule'!$N$27)=0,IF('Recurring Schedule'!$O$27&gt;0,AND(DAY($A268)=MIN(DAY('Recurring Schedule'!$F$27),DAY(EOMONTH($A268,0))),MOD((YEAR($A268)-YEAR('Recurring Schedule'!$F$27))*12+MONTH($A268)-MONTH('Recurring Schedule'!$F$27),'Recurring Schedule'!$O$27)=0),IF('Recurring Schedule'!$E$27="Weekdays",WEEKDAY($A268,2)&lt;=5,$A268='Recurring Schedule'!$F$27))),22,""))))</f>
        <v/>
      </c>
      <c r="X268">
        <f>IF('Recurring Schedule'!$C$28="","",IF('Recurring Schedule'!$F$28="","",IF(OR($A268&lt;'Recurring Schedule'!$F$28,$A268&gt;'Recurring Schedule'!$P$28),"",IF(IF('Recurring Schedule'!$N$28&gt;0,MOD($A268-'Recurring Schedule'!$F$28,'Recurring Schedule'!$N$28)=0,IF('Recurring Schedule'!$O$28&gt;0,AND(DAY($A268)=MIN(DAY('Recurring Schedule'!$F$28),DAY(EOMONTH($A268,0))),MOD((YEAR($A268)-YEAR('Recurring Schedule'!$F$28))*12+MONTH($A268)-MONTH('Recurring Schedule'!$F$28),'Recurring Schedule'!$O$28)=0),IF('Recurring Schedule'!$E$28="Weekdays",WEEKDAY($A268,2)&lt;=5,$A268='Recurring Schedule'!$F$28))),23,""))))</f>
        <v/>
      </c>
      <c r="Y268">
        <f>IF('Recurring Schedule'!$C$29="","",IF('Recurring Schedule'!$F$29="","",IF(OR($A268&lt;'Recurring Schedule'!$F$29,$A268&gt;'Recurring Schedule'!$P$29),"",IF(IF('Recurring Schedule'!$N$29&gt;0,MOD($A268-'Recurring Schedule'!$F$29,'Recurring Schedule'!$N$29)=0,IF('Recurring Schedule'!$O$29&gt;0,AND(DAY($A268)=MIN(DAY('Recurring Schedule'!$F$29),DAY(EOMONTH($A268,0))),MOD((YEAR($A268)-YEAR('Recurring Schedule'!$F$29))*12+MONTH($A268)-MONTH('Recurring Schedule'!$F$29),'Recurring Schedule'!$O$29)=0),IF('Recurring Schedule'!$E$29="Weekdays",WEEKDAY($A268,2)&lt;=5,$A268='Recurring Schedule'!$F$29))),24,""))))</f>
        <v/>
      </c>
      <c r="Z268">
        <f>IF('Recurring Schedule'!$C$30="","",IF('Recurring Schedule'!$F$30="","",IF(OR($A268&lt;'Recurring Schedule'!$F$30,$A268&gt;'Recurring Schedule'!$P$30),"",IF(IF('Recurring Schedule'!$N$30&gt;0,MOD($A268-'Recurring Schedule'!$F$30,'Recurring Schedule'!$N$30)=0,IF('Recurring Schedule'!$O$30&gt;0,AND(DAY($A268)=MIN(DAY('Recurring Schedule'!$F$30),DAY(EOMONTH($A268,0))),MOD((YEAR($A268)-YEAR('Recurring Schedule'!$F$30))*12+MONTH($A268)-MONTH('Recurring Schedule'!$F$30),'Recurring Schedule'!$O$30)=0),IF('Recurring Schedule'!$E$30="Weekdays",WEEKDAY($A268,2)&lt;=5,$A268='Recurring Schedule'!$F$30))),25,""))))</f>
        <v/>
      </c>
      <c r="AA268">
        <f>IF('Recurring Schedule'!$C$31="","",IF('Recurring Schedule'!$F$31="","",IF(OR($A268&lt;'Recurring Schedule'!$F$31,$A268&gt;'Recurring Schedule'!$P$31),"",IF(IF('Recurring Schedule'!$N$31&gt;0,MOD($A268-'Recurring Schedule'!$F$31,'Recurring Schedule'!$N$31)=0,IF('Recurring Schedule'!$O$31&gt;0,AND(DAY($A268)=MIN(DAY('Recurring Schedule'!$F$31),DAY(EOMONTH($A268,0))),MOD((YEAR($A268)-YEAR('Recurring Schedule'!$F$31))*12+MONTH($A268)-MONTH('Recurring Schedule'!$F$31),'Recurring Schedule'!$O$31)=0),IF('Recurring Schedule'!$E$31="Weekdays",WEEKDAY($A268,2)&lt;=5,$A268='Recurring Schedule'!$F$31))),26,""))))</f>
        <v/>
      </c>
      <c r="AB268">
        <f>IF('Recurring Schedule'!$C$32="","",IF('Recurring Schedule'!$F$32="","",IF(OR($A268&lt;'Recurring Schedule'!$F$32,$A268&gt;'Recurring Schedule'!$P$32),"",IF(IF('Recurring Schedule'!$N$32&gt;0,MOD($A268-'Recurring Schedule'!$F$32,'Recurring Schedule'!$N$32)=0,IF('Recurring Schedule'!$O$32&gt;0,AND(DAY($A268)=MIN(DAY('Recurring Schedule'!$F$32),DAY(EOMONTH($A268,0))),MOD((YEAR($A268)-YEAR('Recurring Schedule'!$F$32))*12+MONTH($A268)-MONTH('Recurring Schedule'!$F$32),'Recurring Schedule'!$O$32)=0),IF('Recurring Schedule'!$E$32="Weekdays",WEEKDAY($A268,2)&lt;=5,$A268='Recurring Schedule'!$F$32))),27,""))))</f>
        <v/>
      </c>
      <c r="AC268">
        <f>IF('Recurring Schedule'!$C$33="","",IF('Recurring Schedule'!$F$33="","",IF(OR($A268&lt;'Recurring Schedule'!$F$33,$A268&gt;'Recurring Schedule'!$P$33),"",IF(IF('Recurring Schedule'!$N$33&gt;0,MOD($A268-'Recurring Schedule'!$F$33,'Recurring Schedule'!$N$33)=0,IF('Recurring Schedule'!$O$33&gt;0,AND(DAY($A268)=MIN(DAY('Recurring Schedule'!$F$33),DAY(EOMONTH($A268,0))),MOD((YEAR($A268)-YEAR('Recurring Schedule'!$F$33))*12+MONTH($A268)-MONTH('Recurring Schedule'!$F$33),'Recurring Schedule'!$O$33)=0),IF('Recurring Schedule'!$E$33="Weekdays",WEEKDAY($A268,2)&lt;=5,$A268='Recurring Schedule'!$F$33))),28,""))))</f>
        <v/>
      </c>
      <c r="AD268">
        <f>IF('Recurring Schedule'!$C$34="","",IF('Recurring Schedule'!$F$34="","",IF(OR($A268&lt;'Recurring Schedule'!$F$34,$A268&gt;'Recurring Schedule'!$P$34),"",IF(IF('Recurring Schedule'!$N$34&gt;0,MOD($A268-'Recurring Schedule'!$F$34,'Recurring Schedule'!$N$34)=0,IF('Recurring Schedule'!$O$34&gt;0,AND(DAY($A268)=MIN(DAY('Recurring Schedule'!$F$34),DAY(EOMONTH($A268,0))),MOD((YEAR($A268)-YEAR('Recurring Schedule'!$F$34))*12+MONTH($A268)-MONTH('Recurring Schedule'!$F$34),'Recurring Schedule'!$O$34)=0),IF('Recurring Schedule'!$E$34="Weekdays",WEEKDAY($A268,2)&lt;=5,$A268='Recurring Schedule'!$F$34))),29,""))))</f>
        <v/>
      </c>
      <c r="AE268">
        <f>IF('Recurring Schedule'!$C$35="","",IF('Recurring Schedule'!$F$35="","",IF(OR($A268&lt;'Recurring Schedule'!$F$35,$A268&gt;'Recurring Schedule'!$P$35),"",IF(IF('Recurring Schedule'!$N$35&gt;0,MOD($A268-'Recurring Schedule'!$F$35,'Recurring Schedule'!$N$35)=0,IF('Recurring Schedule'!$O$35&gt;0,AND(DAY($A268)=MIN(DAY('Recurring Schedule'!$F$35),DAY(EOMONTH($A268,0))),MOD((YEAR($A268)-YEAR('Recurring Schedule'!$F$35))*12+MONTH($A268)-MONTH('Recurring Schedule'!$F$35),'Recurring Schedule'!$O$35)=0),IF('Recurring Schedule'!$E$35="Weekdays",WEEKDAY($A268,2)&lt;=5,$A268='Recurring Schedule'!$F$35))),30,""))))</f>
        <v/>
      </c>
      <c r="AF268">
        <f>IF('Recurring Schedule'!$C$36="","",IF('Recurring Schedule'!$F$36="","",IF(OR($A268&lt;'Recurring Schedule'!$F$36,$A268&gt;'Recurring Schedule'!$P$36),"",IF(IF('Recurring Schedule'!$N$36&gt;0,MOD($A268-'Recurring Schedule'!$F$36,'Recurring Schedule'!$N$36)=0,IF('Recurring Schedule'!$O$36&gt;0,AND(DAY($A268)=MIN(DAY('Recurring Schedule'!$F$36),DAY(EOMONTH($A268,0))),MOD((YEAR($A268)-YEAR('Recurring Schedule'!$F$36))*12+MONTH($A268)-MONTH('Recurring Schedule'!$F$36),'Recurring Schedule'!$O$36)=0),IF('Recurring Schedule'!$E$36="Weekdays",WEEKDAY($A268,2)&lt;=5,$A268='Recurring Schedule'!$F$36))),31,""))))</f>
        <v/>
      </c>
      <c r="AG268">
        <f>IF('Recurring Schedule'!$C$37="","",IF('Recurring Schedule'!$F$37="","",IF(OR($A268&lt;'Recurring Schedule'!$F$37,$A268&gt;'Recurring Schedule'!$P$37),"",IF(IF('Recurring Schedule'!$N$37&gt;0,MOD($A268-'Recurring Schedule'!$F$37,'Recurring Schedule'!$N$37)=0,IF('Recurring Schedule'!$O$37&gt;0,AND(DAY($A268)=MIN(DAY('Recurring Schedule'!$F$37),DAY(EOMONTH($A268,0))),MOD((YEAR($A268)-YEAR('Recurring Schedule'!$F$37))*12+MONTH($A268)-MONTH('Recurring Schedule'!$F$37),'Recurring Schedule'!$O$37)=0),IF('Recurring Schedule'!$E$37="Weekdays",WEEKDAY($A268,2)&lt;=5,$A268='Recurring Schedule'!$F$37))),32,""))))</f>
        <v/>
      </c>
      <c r="AH268">
        <f>IF('Recurring Schedule'!$C$38="","",IF('Recurring Schedule'!$F$38="","",IF(OR($A268&lt;'Recurring Schedule'!$F$38,$A268&gt;'Recurring Schedule'!$P$38),"",IF(IF('Recurring Schedule'!$N$38&gt;0,MOD($A268-'Recurring Schedule'!$F$38,'Recurring Schedule'!$N$38)=0,IF('Recurring Schedule'!$O$38&gt;0,AND(DAY($A268)=MIN(DAY('Recurring Schedule'!$F$38),DAY(EOMONTH($A268,0))),MOD((YEAR($A268)-YEAR('Recurring Schedule'!$F$38))*12+MONTH($A268)-MONTH('Recurring Schedule'!$F$38),'Recurring Schedule'!$O$38)=0),IF('Recurring Schedule'!$E$38="Weekdays",WEEKDAY($A268,2)&lt;=5,$A268='Recurring Schedule'!$F$38))),33,""))))</f>
        <v/>
      </c>
      <c r="AI268">
        <f>IF('Recurring Schedule'!$C$39="","",IF('Recurring Schedule'!$F$39="","",IF(OR($A268&lt;'Recurring Schedule'!$F$39,$A268&gt;'Recurring Schedule'!$P$39),"",IF(IF('Recurring Schedule'!$N$39&gt;0,MOD($A268-'Recurring Schedule'!$F$39,'Recurring Schedule'!$N$39)=0,IF('Recurring Schedule'!$O$39&gt;0,AND(DAY($A268)=MIN(DAY('Recurring Schedule'!$F$39),DAY(EOMONTH($A268,0))),MOD((YEAR($A268)-YEAR('Recurring Schedule'!$F$39))*12+MONTH($A268)-MONTH('Recurring Schedule'!$F$39),'Recurring Schedule'!$O$39)=0),IF('Recurring Schedule'!$E$39="Weekdays",WEEKDAY($A268,2)&lt;=5,$A268='Recurring Schedule'!$F$39))),34,""))))</f>
        <v/>
      </c>
      <c r="AJ268">
        <f>IF('Recurring Schedule'!$C$40="","",IF('Recurring Schedule'!$F$40="","",IF(OR($A268&lt;'Recurring Schedule'!$F$40,$A268&gt;'Recurring Schedule'!$P$40),"",IF(IF('Recurring Schedule'!$N$40&gt;0,MOD($A268-'Recurring Schedule'!$F$40,'Recurring Schedule'!$N$40)=0,IF('Recurring Schedule'!$O$40&gt;0,AND(DAY($A268)=MIN(DAY('Recurring Schedule'!$F$40),DAY(EOMONTH($A268,0))),MOD((YEAR($A268)-YEAR('Recurring Schedule'!$F$40))*12+MONTH($A268)-MONTH('Recurring Schedule'!$F$40),'Recurring Schedule'!$O$40)=0),IF('Recurring Schedule'!$E$40="Weekdays",WEEKDAY($A268,2)&lt;=5,$A268='Recurring Schedule'!$F$40))),35,""))))</f>
        <v/>
      </c>
      <c r="AK268">
        <f>IF('Recurring Schedule'!$C$41="","",IF('Recurring Schedule'!$F$41="","",IF(OR($A268&lt;'Recurring Schedule'!$F$41,$A268&gt;'Recurring Schedule'!$P$41),"",IF(IF('Recurring Schedule'!$N$41&gt;0,MOD($A268-'Recurring Schedule'!$F$41,'Recurring Schedule'!$N$41)=0,IF('Recurring Schedule'!$O$41&gt;0,AND(DAY($A268)=MIN(DAY('Recurring Schedule'!$F$41),DAY(EOMONTH($A268,0))),MOD((YEAR($A268)-YEAR('Recurring Schedule'!$F$41))*12+MONTH($A268)-MONTH('Recurring Schedule'!$F$41),'Recurring Schedule'!$O$41)=0),IF('Recurring Schedule'!$E$41="Weekdays",WEEKDAY($A268,2)&lt;=5,$A268='Recurring Schedule'!$F$41))),36,""))))</f>
        <v/>
      </c>
      <c r="AL268">
        <f>IF('Recurring Schedule'!$C$42="","",IF('Recurring Schedule'!$F$42="","",IF(OR($A268&lt;'Recurring Schedule'!$F$42,$A268&gt;'Recurring Schedule'!$P$42),"",IF(IF('Recurring Schedule'!$N$42&gt;0,MOD($A268-'Recurring Schedule'!$F$42,'Recurring Schedule'!$N$42)=0,IF('Recurring Schedule'!$O$42&gt;0,AND(DAY($A268)=MIN(DAY('Recurring Schedule'!$F$42),DAY(EOMONTH($A268,0))),MOD((YEAR($A268)-YEAR('Recurring Schedule'!$F$42))*12+MONTH($A268)-MONTH('Recurring Schedule'!$F$42),'Recurring Schedule'!$O$42)=0),IF('Recurring Schedule'!$E$42="Weekdays",WEEKDAY($A268,2)&lt;=5,$A268='Recurring Schedule'!$F$42))),37,""))))</f>
        <v/>
      </c>
      <c r="AM268">
        <f>IF('Recurring Schedule'!$C$43="","",IF('Recurring Schedule'!$F$43="","",IF(OR($A268&lt;'Recurring Schedule'!$F$43,$A268&gt;'Recurring Schedule'!$P$43),"",IF(IF('Recurring Schedule'!$N$43&gt;0,MOD($A268-'Recurring Schedule'!$F$43,'Recurring Schedule'!$N$43)=0,IF('Recurring Schedule'!$O$43&gt;0,AND(DAY($A268)=MIN(DAY('Recurring Schedule'!$F$43),DAY(EOMONTH($A268,0))),MOD((YEAR($A268)-YEAR('Recurring Schedule'!$F$43))*12+MONTH($A268)-MONTH('Recurring Schedule'!$F$43),'Recurring Schedule'!$O$43)=0),IF('Recurring Schedule'!$E$43="Weekdays",WEEKDAY($A268,2)&lt;=5,$A268='Recurring Schedule'!$F$43))),38,""))))</f>
        <v/>
      </c>
      <c r="AN268">
        <f>IF('Recurring Schedule'!$C$44="","",IF('Recurring Schedule'!$F$44="","",IF(OR($A268&lt;'Recurring Schedule'!$F$44,$A268&gt;'Recurring Schedule'!$P$44),"",IF(IF('Recurring Schedule'!$N$44&gt;0,MOD($A268-'Recurring Schedule'!$F$44,'Recurring Schedule'!$N$44)=0,IF('Recurring Schedule'!$O$44&gt;0,AND(DAY($A268)=MIN(DAY('Recurring Schedule'!$F$44),DAY(EOMONTH($A268,0))),MOD((YEAR($A268)-YEAR('Recurring Schedule'!$F$44))*12+MONTH($A268)-MONTH('Recurring Schedule'!$F$44),'Recurring Schedule'!$O$44)=0),IF('Recurring Schedule'!$E$44="Weekdays",WEEKDAY($A268,2)&lt;=5,$A268='Recurring Schedule'!$F$44))),39,""))))</f>
        <v/>
      </c>
      <c r="AO268">
        <f>IF('Recurring Schedule'!$C$45="","",IF('Recurring Schedule'!$F$45="","",IF(OR($A268&lt;'Recurring Schedule'!$F$45,$A268&gt;'Recurring Schedule'!$P$45),"",IF(IF('Recurring Schedule'!$N$45&gt;0,MOD($A268-'Recurring Schedule'!$F$45,'Recurring Schedule'!$N$45)=0,IF('Recurring Schedule'!$O$45&gt;0,AND(DAY($A268)=MIN(DAY('Recurring Schedule'!$F$45),DAY(EOMONTH($A268,0))),MOD((YEAR($A268)-YEAR('Recurring Schedule'!$F$45))*12+MONTH($A268)-MONTH('Recurring Schedule'!$F$45),'Recurring Schedule'!$O$45)=0),IF('Recurring Schedule'!$E$45="Weekdays",WEEKDAY($A268,2)&lt;=5,$A268='Recurring Schedule'!$F$45))),40,""))))</f>
        <v/>
      </c>
      <c r="AP268">
        <f>COUNT(B268:AO268)</f>
        <v/>
      </c>
      <c r="AQ268">
        <f>AQ267+AP267</f>
        <v/>
      </c>
      <c r="AS268" t="inlineStr">
        <is>
          <t>R</t>
        </is>
      </c>
      <c r="AT268" t="n">
        <v>272</v>
      </c>
      <c r="AU268">
        <f>'Recurring Log'!C272&amp;""</f>
        <v/>
      </c>
      <c r="AV268">
        <f>'Recurring Log'!D272&amp;""</f>
        <v/>
      </c>
      <c r="AW268">
        <f>IF('Recurring Log'!E272="","",'Recurring Log'!E272)</f>
        <v/>
      </c>
      <c r="AX268">
        <f>IF('Recurring Log'!G272="","",'Recurring Log'!G272)</f>
        <v/>
      </c>
      <c r="AY268">
        <f>IF('Recurring Log'!H272="","",'Recurring Log'!H272)</f>
        <v/>
      </c>
      <c r="AZ268">
        <f>IF(AU268="","",IF('Recurring Log'!J272="","Not Started",'Recurring Log'!J272))</f>
        <v/>
      </c>
      <c r="BA268">
        <f>'Recurring Log'!L272&amp;""</f>
        <v/>
      </c>
      <c r="BB268">
        <f>'Recurring Log'!M272&amp;""</f>
        <v/>
      </c>
      <c r="BC268">
        <f>'Recurring Log'!N272&amp;""</f>
        <v/>
      </c>
      <c r="BD268">
        <f>'Recurring Log'!O272&amp;""</f>
        <v/>
      </c>
      <c r="BE268">
        <f>IF('Recurring Log'!K272="","",'Recurring Log'!K272)</f>
        <v/>
      </c>
      <c r="BF268">
        <f>IFERROR(MATCH(BA268,Setup!$L$6:$L$9,0),5)</f>
        <v/>
      </c>
      <c r="BG268">
        <f>IF(OR(AZ268="Done",AZ268="Cancelled"),1,0)</f>
        <v/>
      </c>
      <c r="BH268">
        <f>IF(AND(AU268&lt;&gt;"",ISNUMBER(AW268)),1,0)</f>
        <v/>
      </c>
      <c r="BI268">
        <f>IF(BH268=0,0,IF(AND(AW268&gt;='Tasks Filter'!$F$3,AW268&lt;='Tasks Filter'!$F$4,OR('Tasks Filter'!$I$3="",ISNUMBER(SEARCH('Tasks Filter'!$I$3,AU268))),OR('Tasks Filter'!$I$4="",BF268=IFERROR(MATCH('Tasks Filter'!$I$4,Setup!$L$6:$L$9,0),0)),OR('Tasks Filter'!$I$5="Both",AND('Tasks Filter'!$I$5="Yes",BB268="✓"),AND('Tasks Filter'!$I$5="No",BB268&lt;&gt;"✓")),OR('Tasks Filter'!$L$3="",AV268='Tasks Filter'!$L$3),OR('Tasks Filter'!$L$4="",AZ268='Tasks Filter'!$L$4),OR('Tasks Filter'!$L$5="",BC268='Tasks Filter'!$L$5),OR('Tasks Filter'!$O$3="",BD268='Tasks Filter'!$O$3),OR('Tasks Filter'!$O$4="Yes",BG268=0)),1,0))</f>
        <v/>
      </c>
      <c r="BJ268">
        <f>IF(BH268=0,"",IF('Tasks Filter'!$F$6="Descending",-1,1)*CHOOSE(MATCH('Tasks Filter'!$F$5,Lists!$G$2:$G$6,0),AW268,BF268,IFERROR(MATCH(AV268,Setup!$F$6:$F$15,0),99),IFERROR(MATCH(BC268,Setup!$H$6:$H$15,0),99),IFERROR(MATCH(AZ268,Setup!$J$6:$J$11,0),99))*1E+9+(AW268-40000)*10000+267)</f>
        <v/>
      </c>
      <c r="BK268">
        <f>IF(BI268=1,BJ268,"")</f>
        <v/>
      </c>
      <c r="BL268">
        <f>IF(AND(BH268=1,BG268=0,N(AW268)&lt;Setup!$D$7),(AW268-40000)*10000+267,"")</f>
        <v/>
      </c>
      <c r="BM268">
        <f>IF(AND(BH268=1,AZ268&lt;&gt;"Cancelled",N(AW268)&gt;=Dashboard!$AB$3,N(AW268)&lt;=Dashboard!$AB$3+6),(AW268-40000)*100000+BF268*10000+267,"")</f>
        <v/>
      </c>
      <c r="BN268">
        <f>IF(AND(BH268=1,AZ268&lt;&gt;"Cancelled"),BF268*10000+267,"")</f>
        <v/>
      </c>
    </row>
    <row r="269">
      <c r="A269">
        <f>Setup!$D$5+267</f>
        <v/>
      </c>
      <c r="B269">
        <f>IF('Recurring Schedule'!$C$6="","",IF('Recurring Schedule'!$F$6="","",IF(OR($A269&lt;'Recurring Schedule'!$F$6,$A269&gt;'Recurring Schedule'!$P$6),"",IF(IF('Recurring Schedule'!$N$6&gt;0,MOD($A269-'Recurring Schedule'!$F$6,'Recurring Schedule'!$N$6)=0,IF('Recurring Schedule'!$O$6&gt;0,AND(DAY($A269)=MIN(DAY('Recurring Schedule'!$F$6),DAY(EOMONTH($A269,0))),MOD((YEAR($A269)-YEAR('Recurring Schedule'!$F$6))*12+MONTH($A269)-MONTH('Recurring Schedule'!$F$6),'Recurring Schedule'!$O$6)=0),IF('Recurring Schedule'!$E$6="Weekdays",WEEKDAY($A269,2)&lt;=5,$A269='Recurring Schedule'!$F$6))),1,""))))</f>
        <v/>
      </c>
      <c r="C269">
        <f>IF('Recurring Schedule'!$C$7="","",IF('Recurring Schedule'!$F$7="","",IF(OR($A269&lt;'Recurring Schedule'!$F$7,$A269&gt;'Recurring Schedule'!$P$7),"",IF(IF('Recurring Schedule'!$N$7&gt;0,MOD($A269-'Recurring Schedule'!$F$7,'Recurring Schedule'!$N$7)=0,IF('Recurring Schedule'!$O$7&gt;0,AND(DAY($A269)=MIN(DAY('Recurring Schedule'!$F$7),DAY(EOMONTH($A269,0))),MOD((YEAR($A269)-YEAR('Recurring Schedule'!$F$7))*12+MONTH($A269)-MONTH('Recurring Schedule'!$F$7),'Recurring Schedule'!$O$7)=0),IF('Recurring Schedule'!$E$7="Weekdays",WEEKDAY($A269,2)&lt;=5,$A269='Recurring Schedule'!$F$7))),2,""))))</f>
        <v/>
      </c>
      <c r="D269">
        <f>IF('Recurring Schedule'!$C$8="","",IF('Recurring Schedule'!$F$8="","",IF(OR($A269&lt;'Recurring Schedule'!$F$8,$A269&gt;'Recurring Schedule'!$P$8),"",IF(IF('Recurring Schedule'!$N$8&gt;0,MOD($A269-'Recurring Schedule'!$F$8,'Recurring Schedule'!$N$8)=0,IF('Recurring Schedule'!$O$8&gt;0,AND(DAY($A269)=MIN(DAY('Recurring Schedule'!$F$8),DAY(EOMONTH($A269,0))),MOD((YEAR($A269)-YEAR('Recurring Schedule'!$F$8))*12+MONTH($A269)-MONTH('Recurring Schedule'!$F$8),'Recurring Schedule'!$O$8)=0),IF('Recurring Schedule'!$E$8="Weekdays",WEEKDAY($A269,2)&lt;=5,$A269='Recurring Schedule'!$F$8))),3,""))))</f>
        <v/>
      </c>
      <c r="E269">
        <f>IF('Recurring Schedule'!$C$9="","",IF('Recurring Schedule'!$F$9="","",IF(OR($A269&lt;'Recurring Schedule'!$F$9,$A269&gt;'Recurring Schedule'!$P$9),"",IF(IF('Recurring Schedule'!$N$9&gt;0,MOD($A269-'Recurring Schedule'!$F$9,'Recurring Schedule'!$N$9)=0,IF('Recurring Schedule'!$O$9&gt;0,AND(DAY($A269)=MIN(DAY('Recurring Schedule'!$F$9),DAY(EOMONTH($A269,0))),MOD((YEAR($A269)-YEAR('Recurring Schedule'!$F$9))*12+MONTH($A269)-MONTH('Recurring Schedule'!$F$9),'Recurring Schedule'!$O$9)=0),IF('Recurring Schedule'!$E$9="Weekdays",WEEKDAY($A269,2)&lt;=5,$A269='Recurring Schedule'!$F$9))),4,""))))</f>
        <v/>
      </c>
      <c r="F269">
        <f>IF('Recurring Schedule'!$C$10="","",IF('Recurring Schedule'!$F$10="","",IF(OR($A269&lt;'Recurring Schedule'!$F$10,$A269&gt;'Recurring Schedule'!$P$10),"",IF(IF('Recurring Schedule'!$N$10&gt;0,MOD($A269-'Recurring Schedule'!$F$10,'Recurring Schedule'!$N$10)=0,IF('Recurring Schedule'!$O$10&gt;0,AND(DAY($A269)=MIN(DAY('Recurring Schedule'!$F$10),DAY(EOMONTH($A269,0))),MOD((YEAR($A269)-YEAR('Recurring Schedule'!$F$10))*12+MONTH($A269)-MONTH('Recurring Schedule'!$F$10),'Recurring Schedule'!$O$10)=0),IF('Recurring Schedule'!$E$10="Weekdays",WEEKDAY($A269,2)&lt;=5,$A269='Recurring Schedule'!$F$10))),5,""))))</f>
        <v/>
      </c>
      <c r="G269">
        <f>IF('Recurring Schedule'!$C$11="","",IF('Recurring Schedule'!$F$11="","",IF(OR($A269&lt;'Recurring Schedule'!$F$11,$A269&gt;'Recurring Schedule'!$P$11),"",IF(IF('Recurring Schedule'!$N$11&gt;0,MOD($A269-'Recurring Schedule'!$F$11,'Recurring Schedule'!$N$11)=0,IF('Recurring Schedule'!$O$11&gt;0,AND(DAY($A269)=MIN(DAY('Recurring Schedule'!$F$11),DAY(EOMONTH($A269,0))),MOD((YEAR($A269)-YEAR('Recurring Schedule'!$F$11))*12+MONTH($A269)-MONTH('Recurring Schedule'!$F$11),'Recurring Schedule'!$O$11)=0),IF('Recurring Schedule'!$E$11="Weekdays",WEEKDAY($A269,2)&lt;=5,$A269='Recurring Schedule'!$F$11))),6,""))))</f>
        <v/>
      </c>
      <c r="H269">
        <f>IF('Recurring Schedule'!$C$12="","",IF('Recurring Schedule'!$F$12="","",IF(OR($A269&lt;'Recurring Schedule'!$F$12,$A269&gt;'Recurring Schedule'!$P$12),"",IF(IF('Recurring Schedule'!$N$12&gt;0,MOD($A269-'Recurring Schedule'!$F$12,'Recurring Schedule'!$N$12)=0,IF('Recurring Schedule'!$O$12&gt;0,AND(DAY($A269)=MIN(DAY('Recurring Schedule'!$F$12),DAY(EOMONTH($A269,0))),MOD((YEAR($A269)-YEAR('Recurring Schedule'!$F$12))*12+MONTH($A269)-MONTH('Recurring Schedule'!$F$12),'Recurring Schedule'!$O$12)=0),IF('Recurring Schedule'!$E$12="Weekdays",WEEKDAY($A269,2)&lt;=5,$A269='Recurring Schedule'!$F$12))),7,""))))</f>
        <v/>
      </c>
      <c r="I269">
        <f>IF('Recurring Schedule'!$C$13="","",IF('Recurring Schedule'!$F$13="","",IF(OR($A269&lt;'Recurring Schedule'!$F$13,$A269&gt;'Recurring Schedule'!$P$13),"",IF(IF('Recurring Schedule'!$N$13&gt;0,MOD($A269-'Recurring Schedule'!$F$13,'Recurring Schedule'!$N$13)=0,IF('Recurring Schedule'!$O$13&gt;0,AND(DAY($A269)=MIN(DAY('Recurring Schedule'!$F$13),DAY(EOMONTH($A269,0))),MOD((YEAR($A269)-YEAR('Recurring Schedule'!$F$13))*12+MONTH($A269)-MONTH('Recurring Schedule'!$F$13),'Recurring Schedule'!$O$13)=0),IF('Recurring Schedule'!$E$13="Weekdays",WEEKDAY($A269,2)&lt;=5,$A269='Recurring Schedule'!$F$13))),8,""))))</f>
        <v/>
      </c>
      <c r="J269">
        <f>IF('Recurring Schedule'!$C$14="","",IF('Recurring Schedule'!$F$14="","",IF(OR($A269&lt;'Recurring Schedule'!$F$14,$A269&gt;'Recurring Schedule'!$P$14),"",IF(IF('Recurring Schedule'!$N$14&gt;0,MOD($A269-'Recurring Schedule'!$F$14,'Recurring Schedule'!$N$14)=0,IF('Recurring Schedule'!$O$14&gt;0,AND(DAY($A269)=MIN(DAY('Recurring Schedule'!$F$14),DAY(EOMONTH($A269,0))),MOD((YEAR($A269)-YEAR('Recurring Schedule'!$F$14))*12+MONTH($A269)-MONTH('Recurring Schedule'!$F$14),'Recurring Schedule'!$O$14)=0),IF('Recurring Schedule'!$E$14="Weekdays",WEEKDAY($A269,2)&lt;=5,$A269='Recurring Schedule'!$F$14))),9,""))))</f>
        <v/>
      </c>
      <c r="K269">
        <f>IF('Recurring Schedule'!$C$15="","",IF('Recurring Schedule'!$F$15="","",IF(OR($A269&lt;'Recurring Schedule'!$F$15,$A269&gt;'Recurring Schedule'!$P$15),"",IF(IF('Recurring Schedule'!$N$15&gt;0,MOD($A269-'Recurring Schedule'!$F$15,'Recurring Schedule'!$N$15)=0,IF('Recurring Schedule'!$O$15&gt;0,AND(DAY($A269)=MIN(DAY('Recurring Schedule'!$F$15),DAY(EOMONTH($A269,0))),MOD((YEAR($A269)-YEAR('Recurring Schedule'!$F$15))*12+MONTH($A269)-MONTH('Recurring Schedule'!$F$15),'Recurring Schedule'!$O$15)=0),IF('Recurring Schedule'!$E$15="Weekdays",WEEKDAY($A269,2)&lt;=5,$A269='Recurring Schedule'!$F$15))),10,""))))</f>
        <v/>
      </c>
      <c r="L269">
        <f>IF('Recurring Schedule'!$C$16="","",IF('Recurring Schedule'!$F$16="","",IF(OR($A269&lt;'Recurring Schedule'!$F$16,$A269&gt;'Recurring Schedule'!$P$16),"",IF(IF('Recurring Schedule'!$N$16&gt;0,MOD($A269-'Recurring Schedule'!$F$16,'Recurring Schedule'!$N$16)=0,IF('Recurring Schedule'!$O$16&gt;0,AND(DAY($A269)=MIN(DAY('Recurring Schedule'!$F$16),DAY(EOMONTH($A269,0))),MOD((YEAR($A269)-YEAR('Recurring Schedule'!$F$16))*12+MONTH($A269)-MONTH('Recurring Schedule'!$F$16),'Recurring Schedule'!$O$16)=0),IF('Recurring Schedule'!$E$16="Weekdays",WEEKDAY($A269,2)&lt;=5,$A269='Recurring Schedule'!$F$16))),11,""))))</f>
        <v/>
      </c>
      <c r="M269">
        <f>IF('Recurring Schedule'!$C$17="","",IF('Recurring Schedule'!$F$17="","",IF(OR($A269&lt;'Recurring Schedule'!$F$17,$A269&gt;'Recurring Schedule'!$P$17),"",IF(IF('Recurring Schedule'!$N$17&gt;0,MOD($A269-'Recurring Schedule'!$F$17,'Recurring Schedule'!$N$17)=0,IF('Recurring Schedule'!$O$17&gt;0,AND(DAY($A269)=MIN(DAY('Recurring Schedule'!$F$17),DAY(EOMONTH($A269,0))),MOD((YEAR($A269)-YEAR('Recurring Schedule'!$F$17))*12+MONTH($A269)-MONTH('Recurring Schedule'!$F$17),'Recurring Schedule'!$O$17)=0),IF('Recurring Schedule'!$E$17="Weekdays",WEEKDAY($A269,2)&lt;=5,$A269='Recurring Schedule'!$F$17))),12,""))))</f>
        <v/>
      </c>
      <c r="N269">
        <f>IF('Recurring Schedule'!$C$18="","",IF('Recurring Schedule'!$F$18="","",IF(OR($A269&lt;'Recurring Schedule'!$F$18,$A269&gt;'Recurring Schedule'!$P$18),"",IF(IF('Recurring Schedule'!$N$18&gt;0,MOD($A269-'Recurring Schedule'!$F$18,'Recurring Schedule'!$N$18)=0,IF('Recurring Schedule'!$O$18&gt;0,AND(DAY($A269)=MIN(DAY('Recurring Schedule'!$F$18),DAY(EOMONTH($A269,0))),MOD((YEAR($A269)-YEAR('Recurring Schedule'!$F$18))*12+MONTH($A269)-MONTH('Recurring Schedule'!$F$18),'Recurring Schedule'!$O$18)=0),IF('Recurring Schedule'!$E$18="Weekdays",WEEKDAY($A269,2)&lt;=5,$A269='Recurring Schedule'!$F$18))),13,""))))</f>
        <v/>
      </c>
      <c r="O269">
        <f>IF('Recurring Schedule'!$C$19="","",IF('Recurring Schedule'!$F$19="","",IF(OR($A269&lt;'Recurring Schedule'!$F$19,$A269&gt;'Recurring Schedule'!$P$19),"",IF(IF('Recurring Schedule'!$N$19&gt;0,MOD($A269-'Recurring Schedule'!$F$19,'Recurring Schedule'!$N$19)=0,IF('Recurring Schedule'!$O$19&gt;0,AND(DAY($A269)=MIN(DAY('Recurring Schedule'!$F$19),DAY(EOMONTH($A269,0))),MOD((YEAR($A269)-YEAR('Recurring Schedule'!$F$19))*12+MONTH($A269)-MONTH('Recurring Schedule'!$F$19),'Recurring Schedule'!$O$19)=0),IF('Recurring Schedule'!$E$19="Weekdays",WEEKDAY($A269,2)&lt;=5,$A269='Recurring Schedule'!$F$19))),14,""))))</f>
        <v/>
      </c>
      <c r="P269">
        <f>IF('Recurring Schedule'!$C$20="","",IF('Recurring Schedule'!$F$20="","",IF(OR($A269&lt;'Recurring Schedule'!$F$20,$A269&gt;'Recurring Schedule'!$P$20),"",IF(IF('Recurring Schedule'!$N$20&gt;0,MOD($A269-'Recurring Schedule'!$F$20,'Recurring Schedule'!$N$20)=0,IF('Recurring Schedule'!$O$20&gt;0,AND(DAY($A269)=MIN(DAY('Recurring Schedule'!$F$20),DAY(EOMONTH($A269,0))),MOD((YEAR($A269)-YEAR('Recurring Schedule'!$F$20))*12+MONTH($A269)-MONTH('Recurring Schedule'!$F$20),'Recurring Schedule'!$O$20)=0),IF('Recurring Schedule'!$E$20="Weekdays",WEEKDAY($A269,2)&lt;=5,$A269='Recurring Schedule'!$F$20))),15,""))))</f>
        <v/>
      </c>
      <c r="Q269">
        <f>IF('Recurring Schedule'!$C$21="","",IF('Recurring Schedule'!$F$21="","",IF(OR($A269&lt;'Recurring Schedule'!$F$21,$A269&gt;'Recurring Schedule'!$P$21),"",IF(IF('Recurring Schedule'!$N$21&gt;0,MOD($A269-'Recurring Schedule'!$F$21,'Recurring Schedule'!$N$21)=0,IF('Recurring Schedule'!$O$21&gt;0,AND(DAY($A269)=MIN(DAY('Recurring Schedule'!$F$21),DAY(EOMONTH($A269,0))),MOD((YEAR($A269)-YEAR('Recurring Schedule'!$F$21))*12+MONTH($A269)-MONTH('Recurring Schedule'!$F$21),'Recurring Schedule'!$O$21)=0),IF('Recurring Schedule'!$E$21="Weekdays",WEEKDAY($A269,2)&lt;=5,$A269='Recurring Schedule'!$F$21))),16,""))))</f>
        <v/>
      </c>
      <c r="R269">
        <f>IF('Recurring Schedule'!$C$22="","",IF('Recurring Schedule'!$F$22="","",IF(OR($A269&lt;'Recurring Schedule'!$F$22,$A269&gt;'Recurring Schedule'!$P$22),"",IF(IF('Recurring Schedule'!$N$22&gt;0,MOD($A269-'Recurring Schedule'!$F$22,'Recurring Schedule'!$N$22)=0,IF('Recurring Schedule'!$O$22&gt;0,AND(DAY($A269)=MIN(DAY('Recurring Schedule'!$F$22),DAY(EOMONTH($A269,0))),MOD((YEAR($A269)-YEAR('Recurring Schedule'!$F$22))*12+MONTH($A269)-MONTH('Recurring Schedule'!$F$22),'Recurring Schedule'!$O$22)=0),IF('Recurring Schedule'!$E$22="Weekdays",WEEKDAY($A269,2)&lt;=5,$A269='Recurring Schedule'!$F$22))),17,""))))</f>
        <v/>
      </c>
      <c r="S269">
        <f>IF('Recurring Schedule'!$C$23="","",IF('Recurring Schedule'!$F$23="","",IF(OR($A269&lt;'Recurring Schedule'!$F$23,$A269&gt;'Recurring Schedule'!$P$23),"",IF(IF('Recurring Schedule'!$N$23&gt;0,MOD($A269-'Recurring Schedule'!$F$23,'Recurring Schedule'!$N$23)=0,IF('Recurring Schedule'!$O$23&gt;0,AND(DAY($A269)=MIN(DAY('Recurring Schedule'!$F$23),DAY(EOMONTH($A269,0))),MOD((YEAR($A269)-YEAR('Recurring Schedule'!$F$23))*12+MONTH($A269)-MONTH('Recurring Schedule'!$F$23),'Recurring Schedule'!$O$23)=0),IF('Recurring Schedule'!$E$23="Weekdays",WEEKDAY($A269,2)&lt;=5,$A269='Recurring Schedule'!$F$23))),18,""))))</f>
        <v/>
      </c>
      <c r="T269">
        <f>IF('Recurring Schedule'!$C$24="","",IF('Recurring Schedule'!$F$24="","",IF(OR($A269&lt;'Recurring Schedule'!$F$24,$A269&gt;'Recurring Schedule'!$P$24),"",IF(IF('Recurring Schedule'!$N$24&gt;0,MOD($A269-'Recurring Schedule'!$F$24,'Recurring Schedule'!$N$24)=0,IF('Recurring Schedule'!$O$24&gt;0,AND(DAY($A269)=MIN(DAY('Recurring Schedule'!$F$24),DAY(EOMONTH($A269,0))),MOD((YEAR($A269)-YEAR('Recurring Schedule'!$F$24))*12+MONTH($A269)-MONTH('Recurring Schedule'!$F$24),'Recurring Schedule'!$O$24)=0),IF('Recurring Schedule'!$E$24="Weekdays",WEEKDAY($A269,2)&lt;=5,$A269='Recurring Schedule'!$F$24))),19,""))))</f>
        <v/>
      </c>
      <c r="U269">
        <f>IF('Recurring Schedule'!$C$25="","",IF('Recurring Schedule'!$F$25="","",IF(OR($A269&lt;'Recurring Schedule'!$F$25,$A269&gt;'Recurring Schedule'!$P$25),"",IF(IF('Recurring Schedule'!$N$25&gt;0,MOD($A269-'Recurring Schedule'!$F$25,'Recurring Schedule'!$N$25)=0,IF('Recurring Schedule'!$O$25&gt;0,AND(DAY($A269)=MIN(DAY('Recurring Schedule'!$F$25),DAY(EOMONTH($A269,0))),MOD((YEAR($A269)-YEAR('Recurring Schedule'!$F$25))*12+MONTH($A269)-MONTH('Recurring Schedule'!$F$25),'Recurring Schedule'!$O$25)=0),IF('Recurring Schedule'!$E$25="Weekdays",WEEKDAY($A269,2)&lt;=5,$A269='Recurring Schedule'!$F$25))),20,""))))</f>
        <v/>
      </c>
      <c r="V269">
        <f>IF('Recurring Schedule'!$C$26="","",IF('Recurring Schedule'!$F$26="","",IF(OR($A269&lt;'Recurring Schedule'!$F$26,$A269&gt;'Recurring Schedule'!$P$26),"",IF(IF('Recurring Schedule'!$N$26&gt;0,MOD($A269-'Recurring Schedule'!$F$26,'Recurring Schedule'!$N$26)=0,IF('Recurring Schedule'!$O$26&gt;0,AND(DAY($A269)=MIN(DAY('Recurring Schedule'!$F$26),DAY(EOMONTH($A269,0))),MOD((YEAR($A269)-YEAR('Recurring Schedule'!$F$26))*12+MONTH($A269)-MONTH('Recurring Schedule'!$F$26),'Recurring Schedule'!$O$26)=0),IF('Recurring Schedule'!$E$26="Weekdays",WEEKDAY($A269,2)&lt;=5,$A269='Recurring Schedule'!$F$26))),21,""))))</f>
        <v/>
      </c>
      <c r="W269">
        <f>IF('Recurring Schedule'!$C$27="","",IF('Recurring Schedule'!$F$27="","",IF(OR($A269&lt;'Recurring Schedule'!$F$27,$A269&gt;'Recurring Schedule'!$P$27),"",IF(IF('Recurring Schedule'!$N$27&gt;0,MOD($A269-'Recurring Schedule'!$F$27,'Recurring Schedule'!$N$27)=0,IF('Recurring Schedule'!$O$27&gt;0,AND(DAY($A269)=MIN(DAY('Recurring Schedule'!$F$27),DAY(EOMONTH($A269,0))),MOD((YEAR($A269)-YEAR('Recurring Schedule'!$F$27))*12+MONTH($A269)-MONTH('Recurring Schedule'!$F$27),'Recurring Schedule'!$O$27)=0),IF('Recurring Schedule'!$E$27="Weekdays",WEEKDAY($A269,2)&lt;=5,$A269='Recurring Schedule'!$F$27))),22,""))))</f>
        <v/>
      </c>
      <c r="X269">
        <f>IF('Recurring Schedule'!$C$28="","",IF('Recurring Schedule'!$F$28="","",IF(OR($A269&lt;'Recurring Schedule'!$F$28,$A269&gt;'Recurring Schedule'!$P$28),"",IF(IF('Recurring Schedule'!$N$28&gt;0,MOD($A269-'Recurring Schedule'!$F$28,'Recurring Schedule'!$N$28)=0,IF('Recurring Schedule'!$O$28&gt;0,AND(DAY($A269)=MIN(DAY('Recurring Schedule'!$F$28),DAY(EOMONTH($A269,0))),MOD((YEAR($A269)-YEAR('Recurring Schedule'!$F$28))*12+MONTH($A269)-MONTH('Recurring Schedule'!$F$28),'Recurring Schedule'!$O$28)=0),IF('Recurring Schedule'!$E$28="Weekdays",WEEKDAY($A269,2)&lt;=5,$A269='Recurring Schedule'!$F$28))),23,""))))</f>
        <v/>
      </c>
      <c r="Y269">
        <f>IF('Recurring Schedule'!$C$29="","",IF('Recurring Schedule'!$F$29="","",IF(OR($A269&lt;'Recurring Schedule'!$F$29,$A269&gt;'Recurring Schedule'!$P$29),"",IF(IF('Recurring Schedule'!$N$29&gt;0,MOD($A269-'Recurring Schedule'!$F$29,'Recurring Schedule'!$N$29)=0,IF('Recurring Schedule'!$O$29&gt;0,AND(DAY($A269)=MIN(DAY('Recurring Schedule'!$F$29),DAY(EOMONTH($A269,0))),MOD((YEAR($A269)-YEAR('Recurring Schedule'!$F$29))*12+MONTH($A269)-MONTH('Recurring Schedule'!$F$29),'Recurring Schedule'!$O$29)=0),IF('Recurring Schedule'!$E$29="Weekdays",WEEKDAY($A269,2)&lt;=5,$A269='Recurring Schedule'!$F$29))),24,""))))</f>
        <v/>
      </c>
      <c r="Z269">
        <f>IF('Recurring Schedule'!$C$30="","",IF('Recurring Schedule'!$F$30="","",IF(OR($A269&lt;'Recurring Schedule'!$F$30,$A269&gt;'Recurring Schedule'!$P$30),"",IF(IF('Recurring Schedule'!$N$30&gt;0,MOD($A269-'Recurring Schedule'!$F$30,'Recurring Schedule'!$N$30)=0,IF('Recurring Schedule'!$O$30&gt;0,AND(DAY($A269)=MIN(DAY('Recurring Schedule'!$F$30),DAY(EOMONTH($A269,0))),MOD((YEAR($A269)-YEAR('Recurring Schedule'!$F$30))*12+MONTH($A269)-MONTH('Recurring Schedule'!$F$30),'Recurring Schedule'!$O$30)=0),IF('Recurring Schedule'!$E$30="Weekdays",WEEKDAY($A269,2)&lt;=5,$A269='Recurring Schedule'!$F$30))),25,""))))</f>
        <v/>
      </c>
      <c r="AA269">
        <f>IF('Recurring Schedule'!$C$31="","",IF('Recurring Schedule'!$F$31="","",IF(OR($A269&lt;'Recurring Schedule'!$F$31,$A269&gt;'Recurring Schedule'!$P$31),"",IF(IF('Recurring Schedule'!$N$31&gt;0,MOD($A269-'Recurring Schedule'!$F$31,'Recurring Schedule'!$N$31)=0,IF('Recurring Schedule'!$O$31&gt;0,AND(DAY($A269)=MIN(DAY('Recurring Schedule'!$F$31),DAY(EOMONTH($A269,0))),MOD((YEAR($A269)-YEAR('Recurring Schedule'!$F$31))*12+MONTH($A269)-MONTH('Recurring Schedule'!$F$31),'Recurring Schedule'!$O$31)=0),IF('Recurring Schedule'!$E$31="Weekdays",WEEKDAY($A269,2)&lt;=5,$A269='Recurring Schedule'!$F$31))),26,""))))</f>
        <v/>
      </c>
      <c r="AB269">
        <f>IF('Recurring Schedule'!$C$32="","",IF('Recurring Schedule'!$F$32="","",IF(OR($A269&lt;'Recurring Schedule'!$F$32,$A269&gt;'Recurring Schedule'!$P$32),"",IF(IF('Recurring Schedule'!$N$32&gt;0,MOD($A269-'Recurring Schedule'!$F$32,'Recurring Schedule'!$N$32)=0,IF('Recurring Schedule'!$O$32&gt;0,AND(DAY($A269)=MIN(DAY('Recurring Schedule'!$F$32),DAY(EOMONTH($A269,0))),MOD((YEAR($A269)-YEAR('Recurring Schedule'!$F$32))*12+MONTH($A269)-MONTH('Recurring Schedule'!$F$32),'Recurring Schedule'!$O$32)=0),IF('Recurring Schedule'!$E$32="Weekdays",WEEKDAY($A269,2)&lt;=5,$A269='Recurring Schedule'!$F$32))),27,""))))</f>
        <v/>
      </c>
      <c r="AC269">
        <f>IF('Recurring Schedule'!$C$33="","",IF('Recurring Schedule'!$F$33="","",IF(OR($A269&lt;'Recurring Schedule'!$F$33,$A269&gt;'Recurring Schedule'!$P$33),"",IF(IF('Recurring Schedule'!$N$33&gt;0,MOD($A269-'Recurring Schedule'!$F$33,'Recurring Schedule'!$N$33)=0,IF('Recurring Schedule'!$O$33&gt;0,AND(DAY($A269)=MIN(DAY('Recurring Schedule'!$F$33),DAY(EOMONTH($A269,0))),MOD((YEAR($A269)-YEAR('Recurring Schedule'!$F$33))*12+MONTH($A269)-MONTH('Recurring Schedule'!$F$33),'Recurring Schedule'!$O$33)=0),IF('Recurring Schedule'!$E$33="Weekdays",WEEKDAY($A269,2)&lt;=5,$A269='Recurring Schedule'!$F$33))),28,""))))</f>
        <v/>
      </c>
      <c r="AD269">
        <f>IF('Recurring Schedule'!$C$34="","",IF('Recurring Schedule'!$F$34="","",IF(OR($A269&lt;'Recurring Schedule'!$F$34,$A269&gt;'Recurring Schedule'!$P$34),"",IF(IF('Recurring Schedule'!$N$34&gt;0,MOD($A269-'Recurring Schedule'!$F$34,'Recurring Schedule'!$N$34)=0,IF('Recurring Schedule'!$O$34&gt;0,AND(DAY($A269)=MIN(DAY('Recurring Schedule'!$F$34),DAY(EOMONTH($A269,0))),MOD((YEAR($A269)-YEAR('Recurring Schedule'!$F$34))*12+MONTH($A269)-MONTH('Recurring Schedule'!$F$34),'Recurring Schedule'!$O$34)=0),IF('Recurring Schedule'!$E$34="Weekdays",WEEKDAY($A269,2)&lt;=5,$A269='Recurring Schedule'!$F$34))),29,""))))</f>
        <v/>
      </c>
      <c r="AE269">
        <f>IF('Recurring Schedule'!$C$35="","",IF('Recurring Schedule'!$F$35="","",IF(OR($A269&lt;'Recurring Schedule'!$F$35,$A269&gt;'Recurring Schedule'!$P$35),"",IF(IF('Recurring Schedule'!$N$35&gt;0,MOD($A269-'Recurring Schedule'!$F$35,'Recurring Schedule'!$N$35)=0,IF('Recurring Schedule'!$O$35&gt;0,AND(DAY($A269)=MIN(DAY('Recurring Schedule'!$F$35),DAY(EOMONTH($A269,0))),MOD((YEAR($A269)-YEAR('Recurring Schedule'!$F$35))*12+MONTH($A269)-MONTH('Recurring Schedule'!$F$35),'Recurring Schedule'!$O$35)=0),IF('Recurring Schedule'!$E$35="Weekdays",WEEKDAY($A269,2)&lt;=5,$A269='Recurring Schedule'!$F$35))),30,""))))</f>
        <v/>
      </c>
      <c r="AF269">
        <f>IF('Recurring Schedule'!$C$36="","",IF('Recurring Schedule'!$F$36="","",IF(OR($A269&lt;'Recurring Schedule'!$F$36,$A269&gt;'Recurring Schedule'!$P$36),"",IF(IF('Recurring Schedule'!$N$36&gt;0,MOD($A269-'Recurring Schedule'!$F$36,'Recurring Schedule'!$N$36)=0,IF('Recurring Schedule'!$O$36&gt;0,AND(DAY($A269)=MIN(DAY('Recurring Schedule'!$F$36),DAY(EOMONTH($A269,0))),MOD((YEAR($A269)-YEAR('Recurring Schedule'!$F$36))*12+MONTH($A269)-MONTH('Recurring Schedule'!$F$36),'Recurring Schedule'!$O$36)=0),IF('Recurring Schedule'!$E$36="Weekdays",WEEKDAY($A269,2)&lt;=5,$A269='Recurring Schedule'!$F$36))),31,""))))</f>
        <v/>
      </c>
      <c r="AG269">
        <f>IF('Recurring Schedule'!$C$37="","",IF('Recurring Schedule'!$F$37="","",IF(OR($A269&lt;'Recurring Schedule'!$F$37,$A269&gt;'Recurring Schedule'!$P$37),"",IF(IF('Recurring Schedule'!$N$37&gt;0,MOD($A269-'Recurring Schedule'!$F$37,'Recurring Schedule'!$N$37)=0,IF('Recurring Schedule'!$O$37&gt;0,AND(DAY($A269)=MIN(DAY('Recurring Schedule'!$F$37),DAY(EOMONTH($A269,0))),MOD((YEAR($A269)-YEAR('Recurring Schedule'!$F$37))*12+MONTH($A269)-MONTH('Recurring Schedule'!$F$37),'Recurring Schedule'!$O$37)=0),IF('Recurring Schedule'!$E$37="Weekdays",WEEKDAY($A269,2)&lt;=5,$A269='Recurring Schedule'!$F$37))),32,""))))</f>
        <v/>
      </c>
      <c r="AH269">
        <f>IF('Recurring Schedule'!$C$38="","",IF('Recurring Schedule'!$F$38="","",IF(OR($A269&lt;'Recurring Schedule'!$F$38,$A269&gt;'Recurring Schedule'!$P$38),"",IF(IF('Recurring Schedule'!$N$38&gt;0,MOD($A269-'Recurring Schedule'!$F$38,'Recurring Schedule'!$N$38)=0,IF('Recurring Schedule'!$O$38&gt;0,AND(DAY($A269)=MIN(DAY('Recurring Schedule'!$F$38),DAY(EOMONTH($A269,0))),MOD((YEAR($A269)-YEAR('Recurring Schedule'!$F$38))*12+MONTH($A269)-MONTH('Recurring Schedule'!$F$38),'Recurring Schedule'!$O$38)=0),IF('Recurring Schedule'!$E$38="Weekdays",WEEKDAY($A269,2)&lt;=5,$A269='Recurring Schedule'!$F$38))),33,""))))</f>
        <v/>
      </c>
      <c r="AI269">
        <f>IF('Recurring Schedule'!$C$39="","",IF('Recurring Schedule'!$F$39="","",IF(OR($A269&lt;'Recurring Schedule'!$F$39,$A269&gt;'Recurring Schedule'!$P$39),"",IF(IF('Recurring Schedule'!$N$39&gt;0,MOD($A269-'Recurring Schedule'!$F$39,'Recurring Schedule'!$N$39)=0,IF('Recurring Schedule'!$O$39&gt;0,AND(DAY($A269)=MIN(DAY('Recurring Schedule'!$F$39),DAY(EOMONTH($A269,0))),MOD((YEAR($A269)-YEAR('Recurring Schedule'!$F$39))*12+MONTH($A269)-MONTH('Recurring Schedule'!$F$39),'Recurring Schedule'!$O$39)=0),IF('Recurring Schedule'!$E$39="Weekdays",WEEKDAY($A269,2)&lt;=5,$A269='Recurring Schedule'!$F$39))),34,""))))</f>
        <v/>
      </c>
      <c r="AJ269">
        <f>IF('Recurring Schedule'!$C$40="","",IF('Recurring Schedule'!$F$40="","",IF(OR($A269&lt;'Recurring Schedule'!$F$40,$A269&gt;'Recurring Schedule'!$P$40),"",IF(IF('Recurring Schedule'!$N$40&gt;0,MOD($A269-'Recurring Schedule'!$F$40,'Recurring Schedule'!$N$40)=0,IF('Recurring Schedule'!$O$40&gt;0,AND(DAY($A269)=MIN(DAY('Recurring Schedule'!$F$40),DAY(EOMONTH($A269,0))),MOD((YEAR($A269)-YEAR('Recurring Schedule'!$F$40))*12+MONTH($A269)-MONTH('Recurring Schedule'!$F$40),'Recurring Schedule'!$O$40)=0),IF('Recurring Schedule'!$E$40="Weekdays",WEEKDAY($A269,2)&lt;=5,$A269='Recurring Schedule'!$F$40))),35,""))))</f>
        <v/>
      </c>
      <c r="AK269">
        <f>IF('Recurring Schedule'!$C$41="","",IF('Recurring Schedule'!$F$41="","",IF(OR($A269&lt;'Recurring Schedule'!$F$41,$A269&gt;'Recurring Schedule'!$P$41),"",IF(IF('Recurring Schedule'!$N$41&gt;0,MOD($A269-'Recurring Schedule'!$F$41,'Recurring Schedule'!$N$41)=0,IF('Recurring Schedule'!$O$41&gt;0,AND(DAY($A269)=MIN(DAY('Recurring Schedule'!$F$41),DAY(EOMONTH($A269,0))),MOD((YEAR($A269)-YEAR('Recurring Schedule'!$F$41))*12+MONTH($A269)-MONTH('Recurring Schedule'!$F$41),'Recurring Schedule'!$O$41)=0),IF('Recurring Schedule'!$E$41="Weekdays",WEEKDAY($A269,2)&lt;=5,$A269='Recurring Schedule'!$F$41))),36,""))))</f>
        <v/>
      </c>
      <c r="AL269">
        <f>IF('Recurring Schedule'!$C$42="","",IF('Recurring Schedule'!$F$42="","",IF(OR($A269&lt;'Recurring Schedule'!$F$42,$A269&gt;'Recurring Schedule'!$P$42),"",IF(IF('Recurring Schedule'!$N$42&gt;0,MOD($A269-'Recurring Schedule'!$F$42,'Recurring Schedule'!$N$42)=0,IF('Recurring Schedule'!$O$42&gt;0,AND(DAY($A269)=MIN(DAY('Recurring Schedule'!$F$42),DAY(EOMONTH($A269,0))),MOD((YEAR($A269)-YEAR('Recurring Schedule'!$F$42))*12+MONTH($A269)-MONTH('Recurring Schedule'!$F$42),'Recurring Schedule'!$O$42)=0),IF('Recurring Schedule'!$E$42="Weekdays",WEEKDAY($A269,2)&lt;=5,$A269='Recurring Schedule'!$F$42))),37,""))))</f>
        <v/>
      </c>
      <c r="AM269">
        <f>IF('Recurring Schedule'!$C$43="","",IF('Recurring Schedule'!$F$43="","",IF(OR($A269&lt;'Recurring Schedule'!$F$43,$A269&gt;'Recurring Schedule'!$P$43),"",IF(IF('Recurring Schedule'!$N$43&gt;0,MOD($A269-'Recurring Schedule'!$F$43,'Recurring Schedule'!$N$43)=0,IF('Recurring Schedule'!$O$43&gt;0,AND(DAY($A269)=MIN(DAY('Recurring Schedule'!$F$43),DAY(EOMONTH($A269,0))),MOD((YEAR($A269)-YEAR('Recurring Schedule'!$F$43))*12+MONTH($A269)-MONTH('Recurring Schedule'!$F$43),'Recurring Schedule'!$O$43)=0),IF('Recurring Schedule'!$E$43="Weekdays",WEEKDAY($A269,2)&lt;=5,$A269='Recurring Schedule'!$F$43))),38,""))))</f>
        <v/>
      </c>
      <c r="AN269">
        <f>IF('Recurring Schedule'!$C$44="","",IF('Recurring Schedule'!$F$44="","",IF(OR($A269&lt;'Recurring Schedule'!$F$44,$A269&gt;'Recurring Schedule'!$P$44),"",IF(IF('Recurring Schedule'!$N$44&gt;0,MOD($A269-'Recurring Schedule'!$F$44,'Recurring Schedule'!$N$44)=0,IF('Recurring Schedule'!$O$44&gt;0,AND(DAY($A269)=MIN(DAY('Recurring Schedule'!$F$44),DAY(EOMONTH($A269,0))),MOD((YEAR($A269)-YEAR('Recurring Schedule'!$F$44))*12+MONTH($A269)-MONTH('Recurring Schedule'!$F$44),'Recurring Schedule'!$O$44)=0),IF('Recurring Schedule'!$E$44="Weekdays",WEEKDAY($A269,2)&lt;=5,$A269='Recurring Schedule'!$F$44))),39,""))))</f>
        <v/>
      </c>
      <c r="AO269">
        <f>IF('Recurring Schedule'!$C$45="","",IF('Recurring Schedule'!$F$45="","",IF(OR($A269&lt;'Recurring Schedule'!$F$45,$A269&gt;'Recurring Schedule'!$P$45),"",IF(IF('Recurring Schedule'!$N$45&gt;0,MOD($A269-'Recurring Schedule'!$F$45,'Recurring Schedule'!$N$45)=0,IF('Recurring Schedule'!$O$45&gt;0,AND(DAY($A269)=MIN(DAY('Recurring Schedule'!$F$45),DAY(EOMONTH($A269,0))),MOD((YEAR($A269)-YEAR('Recurring Schedule'!$F$45))*12+MONTH($A269)-MONTH('Recurring Schedule'!$F$45),'Recurring Schedule'!$O$45)=0),IF('Recurring Schedule'!$E$45="Weekdays",WEEKDAY($A269,2)&lt;=5,$A269='Recurring Schedule'!$F$45))),40,""))))</f>
        <v/>
      </c>
      <c r="AP269">
        <f>COUNT(B269:AO269)</f>
        <v/>
      </c>
      <c r="AQ269">
        <f>AQ268+AP268</f>
        <v/>
      </c>
      <c r="AS269" t="inlineStr">
        <is>
          <t>R</t>
        </is>
      </c>
      <c r="AT269" t="n">
        <v>273</v>
      </c>
      <c r="AU269">
        <f>'Recurring Log'!C273&amp;""</f>
        <v/>
      </c>
      <c r="AV269">
        <f>'Recurring Log'!D273&amp;""</f>
        <v/>
      </c>
      <c r="AW269">
        <f>IF('Recurring Log'!E273="","",'Recurring Log'!E273)</f>
        <v/>
      </c>
      <c r="AX269">
        <f>IF('Recurring Log'!G273="","",'Recurring Log'!G273)</f>
        <v/>
      </c>
      <c r="AY269">
        <f>IF('Recurring Log'!H273="","",'Recurring Log'!H273)</f>
        <v/>
      </c>
      <c r="AZ269">
        <f>IF(AU269="","",IF('Recurring Log'!J273="","Not Started",'Recurring Log'!J273))</f>
        <v/>
      </c>
      <c r="BA269">
        <f>'Recurring Log'!L273&amp;""</f>
        <v/>
      </c>
      <c r="BB269">
        <f>'Recurring Log'!M273&amp;""</f>
        <v/>
      </c>
      <c r="BC269">
        <f>'Recurring Log'!N273&amp;""</f>
        <v/>
      </c>
      <c r="BD269">
        <f>'Recurring Log'!O273&amp;""</f>
        <v/>
      </c>
      <c r="BE269">
        <f>IF('Recurring Log'!K273="","",'Recurring Log'!K273)</f>
        <v/>
      </c>
      <c r="BF269">
        <f>IFERROR(MATCH(BA269,Setup!$L$6:$L$9,0),5)</f>
        <v/>
      </c>
      <c r="BG269">
        <f>IF(OR(AZ269="Done",AZ269="Cancelled"),1,0)</f>
        <v/>
      </c>
      <c r="BH269">
        <f>IF(AND(AU269&lt;&gt;"",ISNUMBER(AW269)),1,0)</f>
        <v/>
      </c>
      <c r="BI269">
        <f>IF(BH269=0,0,IF(AND(AW269&gt;='Tasks Filter'!$F$3,AW269&lt;='Tasks Filter'!$F$4,OR('Tasks Filter'!$I$3="",ISNUMBER(SEARCH('Tasks Filter'!$I$3,AU269))),OR('Tasks Filter'!$I$4="",BF269=IFERROR(MATCH('Tasks Filter'!$I$4,Setup!$L$6:$L$9,0),0)),OR('Tasks Filter'!$I$5="Both",AND('Tasks Filter'!$I$5="Yes",BB269="✓"),AND('Tasks Filter'!$I$5="No",BB269&lt;&gt;"✓")),OR('Tasks Filter'!$L$3="",AV269='Tasks Filter'!$L$3),OR('Tasks Filter'!$L$4="",AZ269='Tasks Filter'!$L$4),OR('Tasks Filter'!$L$5="",BC269='Tasks Filter'!$L$5),OR('Tasks Filter'!$O$3="",BD269='Tasks Filter'!$O$3),OR('Tasks Filter'!$O$4="Yes",BG269=0)),1,0))</f>
        <v/>
      </c>
      <c r="BJ269">
        <f>IF(BH269=0,"",IF('Tasks Filter'!$F$6="Descending",-1,1)*CHOOSE(MATCH('Tasks Filter'!$F$5,Lists!$G$2:$G$6,0),AW269,BF269,IFERROR(MATCH(AV269,Setup!$F$6:$F$15,0),99),IFERROR(MATCH(BC269,Setup!$H$6:$H$15,0),99),IFERROR(MATCH(AZ269,Setup!$J$6:$J$11,0),99))*1E+9+(AW269-40000)*10000+268)</f>
        <v/>
      </c>
      <c r="BK269">
        <f>IF(BI269=1,BJ269,"")</f>
        <v/>
      </c>
      <c r="BL269">
        <f>IF(AND(BH269=1,BG269=0,N(AW269)&lt;Setup!$D$7),(AW269-40000)*10000+268,"")</f>
        <v/>
      </c>
      <c r="BM269">
        <f>IF(AND(BH269=1,AZ269&lt;&gt;"Cancelled",N(AW269)&gt;=Dashboard!$AB$3,N(AW269)&lt;=Dashboard!$AB$3+6),(AW269-40000)*100000+BF269*10000+268,"")</f>
        <v/>
      </c>
      <c r="BN269">
        <f>IF(AND(BH269=1,AZ269&lt;&gt;"Cancelled"),BF269*10000+268,"")</f>
        <v/>
      </c>
    </row>
    <row r="270">
      <c r="A270">
        <f>Setup!$D$5+268</f>
        <v/>
      </c>
      <c r="B270">
        <f>IF('Recurring Schedule'!$C$6="","",IF('Recurring Schedule'!$F$6="","",IF(OR($A270&lt;'Recurring Schedule'!$F$6,$A270&gt;'Recurring Schedule'!$P$6),"",IF(IF('Recurring Schedule'!$N$6&gt;0,MOD($A270-'Recurring Schedule'!$F$6,'Recurring Schedule'!$N$6)=0,IF('Recurring Schedule'!$O$6&gt;0,AND(DAY($A270)=MIN(DAY('Recurring Schedule'!$F$6),DAY(EOMONTH($A270,0))),MOD((YEAR($A270)-YEAR('Recurring Schedule'!$F$6))*12+MONTH($A270)-MONTH('Recurring Schedule'!$F$6),'Recurring Schedule'!$O$6)=0),IF('Recurring Schedule'!$E$6="Weekdays",WEEKDAY($A270,2)&lt;=5,$A270='Recurring Schedule'!$F$6))),1,""))))</f>
        <v/>
      </c>
      <c r="C270">
        <f>IF('Recurring Schedule'!$C$7="","",IF('Recurring Schedule'!$F$7="","",IF(OR($A270&lt;'Recurring Schedule'!$F$7,$A270&gt;'Recurring Schedule'!$P$7),"",IF(IF('Recurring Schedule'!$N$7&gt;0,MOD($A270-'Recurring Schedule'!$F$7,'Recurring Schedule'!$N$7)=0,IF('Recurring Schedule'!$O$7&gt;0,AND(DAY($A270)=MIN(DAY('Recurring Schedule'!$F$7),DAY(EOMONTH($A270,0))),MOD((YEAR($A270)-YEAR('Recurring Schedule'!$F$7))*12+MONTH($A270)-MONTH('Recurring Schedule'!$F$7),'Recurring Schedule'!$O$7)=0),IF('Recurring Schedule'!$E$7="Weekdays",WEEKDAY($A270,2)&lt;=5,$A270='Recurring Schedule'!$F$7))),2,""))))</f>
        <v/>
      </c>
      <c r="D270">
        <f>IF('Recurring Schedule'!$C$8="","",IF('Recurring Schedule'!$F$8="","",IF(OR($A270&lt;'Recurring Schedule'!$F$8,$A270&gt;'Recurring Schedule'!$P$8),"",IF(IF('Recurring Schedule'!$N$8&gt;0,MOD($A270-'Recurring Schedule'!$F$8,'Recurring Schedule'!$N$8)=0,IF('Recurring Schedule'!$O$8&gt;0,AND(DAY($A270)=MIN(DAY('Recurring Schedule'!$F$8),DAY(EOMONTH($A270,0))),MOD((YEAR($A270)-YEAR('Recurring Schedule'!$F$8))*12+MONTH($A270)-MONTH('Recurring Schedule'!$F$8),'Recurring Schedule'!$O$8)=0),IF('Recurring Schedule'!$E$8="Weekdays",WEEKDAY($A270,2)&lt;=5,$A270='Recurring Schedule'!$F$8))),3,""))))</f>
        <v/>
      </c>
      <c r="E270">
        <f>IF('Recurring Schedule'!$C$9="","",IF('Recurring Schedule'!$F$9="","",IF(OR($A270&lt;'Recurring Schedule'!$F$9,$A270&gt;'Recurring Schedule'!$P$9),"",IF(IF('Recurring Schedule'!$N$9&gt;0,MOD($A270-'Recurring Schedule'!$F$9,'Recurring Schedule'!$N$9)=0,IF('Recurring Schedule'!$O$9&gt;0,AND(DAY($A270)=MIN(DAY('Recurring Schedule'!$F$9),DAY(EOMONTH($A270,0))),MOD((YEAR($A270)-YEAR('Recurring Schedule'!$F$9))*12+MONTH($A270)-MONTH('Recurring Schedule'!$F$9),'Recurring Schedule'!$O$9)=0),IF('Recurring Schedule'!$E$9="Weekdays",WEEKDAY($A270,2)&lt;=5,$A270='Recurring Schedule'!$F$9))),4,""))))</f>
        <v/>
      </c>
      <c r="F270">
        <f>IF('Recurring Schedule'!$C$10="","",IF('Recurring Schedule'!$F$10="","",IF(OR($A270&lt;'Recurring Schedule'!$F$10,$A270&gt;'Recurring Schedule'!$P$10),"",IF(IF('Recurring Schedule'!$N$10&gt;0,MOD($A270-'Recurring Schedule'!$F$10,'Recurring Schedule'!$N$10)=0,IF('Recurring Schedule'!$O$10&gt;0,AND(DAY($A270)=MIN(DAY('Recurring Schedule'!$F$10),DAY(EOMONTH($A270,0))),MOD((YEAR($A270)-YEAR('Recurring Schedule'!$F$10))*12+MONTH($A270)-MONTH('Recurring Schedule'!$F$10),'Recurring Schedule'!$O$10)=0),IF('Recurring Schedule'!$E$10="Weekdays",WEEKDAY($A270,2)&lt;=5,$A270='Recurring Schedule'!$F$10))),5,""))))</f>
        <v/>
      </c>
      <c r="G270">
        <f>IF('Recurring Schedule'!$C$11="","",IF('Recurring Schedule'!$F$11="","",IF(OR($A270&lt;'Recurring Schedule'!$F$11,$A270&gt;'Recurring Schedule'!$P$11),"",IF(IF('Recurring Schedule'!$N$11&gt;0,MOD($A270-'Recurring Schedule'!$F$11,'Recurring Schedule'!$N$11)=0,IF('Recurring Schedule'!$O$11&gt;0,AND(DAY($A270)=MIN(DAY('Recurring Schedule'!$F$11),DAY(EOMONTH($A270,0))),MOD((YEAR($A270)-YEAR('Recurring Schedule'!$F$11))*12+MONTH($A270)-MONTH('Recurring Schedule'!$F$11),'Recurring Schedule'!$O$11)=0),IF('Recurring Schedule'!$E$11="Weekdays",WEEKDAY($A270,2)&lt;=5,$A270='Recurring Schedule'!$F$11))),6,""))))</f>
        <v/>
      </c>
      <c r="H270">
        <f>IF('Recurring Schedule'!$C$12="","",IF('Recurring Schedule'!$F$12="","",IF(OR($A270&lt;'Recurring Schedule'!$F$12,$A270&gt;'Recurring Schedule'!$P$12),"",IF(IF('Recurring Schedule'!$N$12&gt;0,MOD($A270-'Recurring Schedule'!$F$12,'Recurring Schedule'!$N$12)=0,IF('Recurring Schedule'!$O$12&gt;0,AND(DAY($A270)=MIN(DAY('Recurring Schedule'!$F$12),DAY(EOMONTH($A270,0))),MOD((YEAR($A270)-YEAR('Recurring Schedule'!$F$12))*12+MONTH($A270)-MONTH('Recurring Schedule'!$F$12),'Recurring Schedule'!$O$12)=0),IF('Recurring Schedule'!$E$12="Weekdays",WEEKDAY($A270,2)&lt;=5,$A270='Recurring Schedule'!$F$12))),7,""))))</f>
        <v/>
      </c>
      <c r="I270">
        <f>IF('Recurring Schedule'!$C$13="","",IF('Recurring Schedule'!$F$13="","",IF(OR($A270&lt;'Recurring Schedule'!$F$13,$A270&gt;'Recurring Schedule'!$P$13),"",IF(IF('Recurring Schedule'!$N$13&gt;0,MOD($A270-'Recurring Schedule'!$F$13,'Recurring Schedule'!$N$13)=0,IF('Recurring Schedule'!$O$13&gt;0,AND(DAY($A270)=MIN(DAY('Recurring Schedule'!$F$13),DAY(EOMONTH($A270,0))),MOD((YEAR($A270)-YEAR('Recurring Schedule'!$F$13))*12+MONTH($A270)-MONTH('Recurring Schedule'!$F$13),'Recurring Schedule'!$O$13)=0),IF('Recurring Schedule'!$E$13="Weekdays",WEEKDAY($A270,2)&lt;=5,$A270='Recurring Schedule'!$F$13))),8,""))))</f>
        <v/>
      </c>
      <c r="J270">
        <f>IF('Recurring Schedule'!$C$14="","",IF('Recurring Schedule'!$F$14="","",IF(OR($A270&lt;'Recurring Schedule'!$F$14,$A270&gt;'Recurring Schedule'!$P$14),"",IF(IF('Recurring Schedule'!$N$14&gt;0,MOD($A270-'Recurring Schedule'!$F$14,'Recurring Schedule'!$N$14)=0,IF('Recurring Schedule'!$O$14&gt;0,AND(DAY($A270)=MIN(DAY('Recurring Schedule'!$F$14),DAY(EOMONTH($A270,0))),MOD((YEAR($A270)-YEAR('Recurring Schedule'!$F$14))*12+MONTH($A270)-MONTH('Recurring Schedule'!$F$14),'Recurring Schedule'!$O$14)=0),IF('Recurring Schedule'!$E$14="Weekdays",WEEKDAY($A270,2)&lt;=5,$A270='Recurring Schedule'!$F$14))),9,""))))</f>
        <v/>
      </c>
      <c r="K270">
        <f>IF('Recurring Schedule'!$C$15="","",IF('Recurring Schedule'!$F$15="","",IF(OR($A270&lt;'Recurring Schedule'!$F$15,$A270&gt;'Recurring Schedule'!$P$15),"",IF(IF('Recurring Schedule'!$N$15&gt;0,MOD($A270-'Recurring Schedule'!$F$15,'Recurring Schedule'!$N$15)=0,IF('Recurring Schedule'!$O$15&gt;0,AND(DAY($A270)=MIN(DAY('Recurring Schedule'!$F$15),DAY(EOMONTH($A270,0))),MOD((YEAR($A270)-YEAR('Recurring Schedule'!$F$15))*12+MONTH($A270)-MONTH('Recurring Schedule'!$F$15),'Recurring Schedule'!$O$15)=0),IF('Recurring Schedule'!$E$15="Weekdays",WEEKDAY($A270,2)&lt;=5,$A270='Recurring Schedule'!$F$15))),10,""))))</f>
        <v/>
      </c>
      <c r="L270">
        <f>IF('Recurring Schedule'!$C$16="","",IF('Recurring Schedule'!$F$16="","",IF(OR($A270&lt;'Recurring Schedule'!$F$16,$A270&gt;'Recurring Schedule'!$P$16),"",IF(IF('Recurring Schedule'!$N$16&gt;0,MOD($A270-'Recurring Schedule'!$F$16,'Recurring Schedule'!$N$16)=0,IF('Recurring Schedule'!$O$16&gt;0,AND(DAY($A270)=MIN(DAY('Recurring Schedule'!$F$16),DAY(EOMONTH($A270,0))),MOD((YEAR($A270)-YEAR('Recurring Schedule'!$F$16))*12+MONTH($A270)-MONTH('Recurring Schedule'!$F$16),'Recurring Schedule'!$O$16)=0),IF('Recurring Schedule'!$E$16="Weekdays",WEEKDAY($A270,2)&lt;=5,$A270='Recurring Schedule'!$F$16))),11,""))))</f>
        <v/>
      </c>
      <c r="M270">
        <f>IF('Recurring Schedule'!$C$17="","",IF('Recurring Schedule'!$F$17="","",IF(OR($A270&lt;'Recurring Schedule'!$F$17,$A270&gt;'Recurring Schedule'!$P$17),"",IF(IF('Recurring Schedule'!$N$17&gt;0,MOD($A270-'Recurring Schedule'!$F$17,'Recurring Schedule'!$N$17)=0,IF('Recurring Schedule'!$O$17&gt;0,AND(DAY($A270)=MIN(DAY('Recurring Schedule'!$F$17),DAY(EOMONTH($A270,0))),MOD((YEAR($A270)-YEAR('Recurring Schedule'!$F$17))*12+MONTH($A270)-MONTH('Recurring Schedule'!$F$17),'Recurring Schedule'!$O$17)=0),IF('Recurring Schedule'!$E$17="Weekdays",WEEKDAY($A270,2)&lt;=5,$A270='Recurring Schedule'!$F$17))),12,""))))</f>
        <v/>
      </c>
      <c r="N270">
        <f>IF('Recurring Schedule'!$C$18="","",IF('Recurring Schedule'!$F$18="","",IF(OR($A270&lt;'Recurring Schedule'!$F$18,$A270&gt;'Recurring Schedule'!$P$18),"",IF(IF('Recurring Schedule'!$N$18&gt;0,MOD($A270-'Recurring Schedule'!$F$18,'Recurring Schedule'!$N$18)=0,IF('Recurring Schedule'!$O$18&gt;0,AND(DAY($A270)=MIN(DAY('Recurring Schedule'!$F$18),DAY(EOMONTH($A270,0))),MOD((YEAR($A270)-YEAR('Recurring Schedule'!$F$18))*12+MONTH($A270)-MONTH('Recurring Schedule'!$F$18),'Recurring Schedule'!$O$18)=0),IF('Recurring Schedule'!$E$18="Weekdays",WEEKDAY($A270,2)&lt;=5,$A270='Recurring Schedule'!$F$18))),13,""))))</f>
        <v/>
      </c>
      <c r="O270">
        <f>IF('Recurring Schedule'!$C$19="","",IF('Recurring Schedule'!$F$19="","",IF(OR($A270&lt;'Recurring Schedule'!$F$19,$A270&gt;'Recurring Schedule'!$P$19),"",IF(IF('Recurring Schedule'!$N$19&gt;0,MOD($A270-'Recurring Schedule'!$F$19,'Recurring Schedule'!$N$19)=0,IF('Recurring Schedule'!$O$19&gt;0,AND(DAY($A270)=MIN(DAY('Recurring Schedule'!$F$19),DAY(EOMONTH($A270,0))),MOD((YEAR($A270)-YEAR('Recurring Schedule'!$F$19))*12+MONTH($A270)-MONTH('Recurring Schedule'!$F$19),'Recurring Schedule'!$O$19)=0),IF('Recurring Schedule'!$E$19="Weekdays",WEEKDAY($A270,2)&lt;=5,$A270='Recurring Schedule'!$F$19))),14,""))))</f>
        <v/>
      </c>
      <c r="P270">
        <f>IF('Recurring Schedule'!$C$20="","",IF('Recurring Schedule'!$F$20="","",IF(OR($A270&lt;'Recurring Schedule'!$F$20,$A270&gt;'Recurring Schedule'!$P$20),"",IF(IF('Recurring Schedule'!$N$20&gt;0,MOD($A270-'Recurring Schedule'!$F$20,'Recurring Schedule'!$N$20)=0,IF('Recurring Schedule'!$O$20&gt;0,AND(DAY($A270)=MIN(DAY('Recurring Schedule'!$F$20),DAY(EOMONTH($A270,0))),MOD((YEAR($A270)-YEAR('Recurring Schedule'!$F$20))*12+MONTH($A270)-MONTH('Recurring Schedule'!$F$20),'Recurring Schedule'!$O$20)=0),IF('Recurring Schedule'!$E$20="Weekdays",WEEKDAY($A270,2)&lt;=5,$A270='Recurring Schedule'!$F$20))),15,""))))</f>
        <v/>
      </c>
      <c r="Q270">
        <f>IF('Recurring Schedule'!$C$21="","",IF('Recurring Schedule'!$F$21="","",IF(OR($A270&lt;'Recurring Schedule'!$F$21,$A270&gt;'Recurring Schedule'!$P$21),"",IF(IF('Recurring Schedule'!$N$21&gt;0,MOD($A270-'Recurring Schedule'!$F$21,'Recurring Schedule'!$N$21)=0,IF('Recurring Schedule'!$O$21&gt;0,AND(DAY($A270)=MIN(DAY('Recurring Schedule'!$F$21),DAY(EOMONTH($A270,0))),MOD((YEAR($A270)-YEAR('Recurring Schedule'!$F$21))*12+MONTH($A270)-MONTH('Recurring Schedule'!$F$21),'Recurring Schedule'!$O$21)=0),IF('Recurring Schedule'!$E$21="Weekdays",WEEKDAY($A270,2)&lt;=5,$A270='Recurring Schedule'!$F$21))),16,""))))</f>
        <v/>
      </c>
      <c r="R270">
        <f>IF('Recurring Schedule'!$C$22="","",IF('Recurring Schedule'!$F$22="","",IF(OR($A270&lt;'Recurring Schedule'!$F$22,$A270&gt;'Recurring Schedule'!$P$22),"",IF(IF('Recurring Schedule'!$N$22&gt;0,MOD($A270-'Recurring Schedule'!$F$22,'Recurring Schedule'!$N$22)=0,IF('Recurring Schedule'!$O$22&gt;0,AND(DAY($A270)=MIN(DAY('Recurring Schedule'!$F$22),DAY(EOMONTH($A270,0))),MOD((YEAR($A270)-YEAR('Recurring Schedule'!$F$22))*12+MONTH($A270)-MONTH('Recurring Schedule'!$F$22),'Recurring Schedule'!$O$22)=0),IF('Recurring Schedule'!$E$22="Weekdays",WEEKDAY($A270,2)&lt;=5,$A270='Recurring Schedule'!$F$22))),17,""))))</f>
        <v/>
      </c>
      <c r="S270">
        <f>IF('Recurring Schedule'!$C$23="","",IF('Recurring Schedule'!$F$23="","",IF(OR($A270&lt;'Recurring Schedule'!$F$23,$A270&gt;'Recurring Schedule'!$P$23),"",IF(IF('Recurring Schedule'!$N$23&gt;0,MOD($A270-'Recurring Schedule'!$F$23,'Recurring Schedule'!$N$23)=0,IF('Recurring Schedule'!$O$23&gt;0,AND(DAY($A270)=MIN(DAY('Recurring Schedule'!$F$23),DAY(EOMONTH($A270,0))),MOD((YEAR($A270)-YEAR('Recurring Schedule'!$F$23))*12+MONTH($A270)-MONTH('Recurring Schedule'!$F$23),'Recurring Schedule'!$O$23)=0),IF('Recurring Schedule'!$E$23="Weekdays",WEEKDAY($A270,2)&lt;=5,$A270='Recurring Schedule'!$F$23))),18,""))))</f>
        <v/>
      </c>
      <c r="T270">
        <f>IF('Recurring Schedule'!$C$24="","",IF('Recurring Schedule'!$F$24="","",IF(OR($A270&lt;'Recurring Schedule'!$F$24,$A270&gt;'Recurring Schedule'!$P$24),"",IF(IF('Recurring Schedule'!$N$24&gt;0,MOD($A270-'Recurring Schedule'!$F$24,'Recurring Schedule'!$N$24)=0,IF('Recurring Schedule'!$O$24&gt;0,AND(DAY($A270)=MIN(DAY('Recurring Schedule'!$F$24),DAY(EOMONTH($A270,0))),MOD((YEAR($A270)-YEAR('Recurring Schedule'!$F$24))*12+MONTH($A270)-MONTH('Recurring Schedule'!$F$24),'Recurring Schedule'!$O$24)=0),IF('Recurring Schedule'!$E$24="Weekdays",WEEKDAY($A270,2)&lt;=5,$A270='Recurring Schedule'!$F$24))),19,""))))</f>
        <v/>
      </c>
      <c r="U270">
        <f>IF('Recurring Schedule'!$C$25="","",IF('Recurring Schedule'!$F$25="","",IF(OR($A270&lt;'Recurring Schedule'!$F$25,$A270&gt;'Recurring Schedule'!$P$25),"",IF(IF('Recurring Schedule'!$N$25&gt;0,MOD($A270-'Recurring Schedule'!$F$25,'Recurring Schedule'!$N$25)=0,IF('Recurring Schedule'!$O$25&gt;0,AND(DAY($A270)=MIN(DAY('Recurring Schedule'!$F$25),DAY(EOMONTH($A270,0))),MOD((YEAR($A270)-YEAR('Recurring Schedule'!$F$25))*12+MONTH($A270)-MONTH('Recurring Schedule'!$F$25),'Recurring Schedule'!$O$25)=0),IF('Recurring Schedule'!$E$25="Weekdays",WEEKDAY($A270,2)&lt;=5,$A270='Recurring Schedule'!$F$25))),20,""))))</f>
        <v/>
      </c>
      <c r="V270">
        <f>IF('Recurring Schedule'!$C$26="","",IF('Recurring Schedule'!$F$26="","",IF(OR($A270&lt;'Recurring Schedule'!$F$26,$A270&gt;'Recurring Schedule'!$P$26),"",IF(IF('Recurring Schedule'!$N$26&gt;0,MOD($A270-'Recurring Schedule'!$F$26,'Recurring Schedule'!$N$26)=0,IF('Recurring Schedule'!$O$26&gt;0,AND(DAY($A270)=MIN(DAY('Recurring Schedule'!$F$26),DAY(EOMONTH($A270,0))),MOD((YEAR($A270)-YEAR('Recurring Schedule'!$F$26))*12+MONTH($A270)-MONTH('Recurring Schedule'!$F$26),'Recurring Schedule'!$O$26)=0),IF('Recurring Schedule'!$E$26="Weekdays",WEEKDAY($A270,2)&lt;=5,$A270='Recurring Schedule'!$F$26))),21,""))))</f>
        <v/>
      </c>
      <c r="W270">
        <f>IF('Recurring Schedule'!$C$27="","",IF('Recurring Schedule'!$F$27="","",IF(OR($A270&lt;'Recurring Schedule'!$F$27,$A270&gt;'Recurring Schedule'!$P$27),"",IF(IF('Recurring Schedule'!$N$27&gt;0,MOD($A270-'Recurring Schedule'!$F$27,'Recurring Schedule'!$N$27)=0,IF('Recurring Schedule'!$O$27&gt;0,AND(DAY($A270)=MIN(DAY('Recurring Schedule'!$F$27),DAY(EOMONTH($A270,0))),MOD((YEAR($A270)-YEAR('Recurring Schedule'!$F$27))*12+MONTH($A270)-MONTH('Recurring Schedule'!$F$27),'Recurring Schedule'!$O$27)=0),IF('Recurring Schedule'!$E$27="Weekdays",WEEKDAY($A270,2)&lt;=5,$A270='Recurring Schedule'!$F$27))),22,""))))</f>
        <v/>
      </c>
      <c r="X270">
        <f>IF('Recurring Schedule'!$C$28="","",IF('Recurring Schedule'!$F$28="","",IF(OR($A270&lt;'Recurring Schedule'!$F$28,$A270&gt;'Recurring Schedule'!$P$28),"",IF(IF('Recurring Schedule'!$N$28&gt;0,MOD($A270-'Recurring Schedule'!$F$28,'Recurring Schedule'!$N$28)=0,IF('Recurring Schedule'!$O$28&gt;0,AND(DAY($A270)=MIN(DAY('Recurring Schedule'!$F$28),DAY(EOMONTH($A270,0))),MOD((YEAR($A270)-YEAR('Recurring Schedule'!$F$28))*12+MONTH($A270)-MONTH('Recurring Schedule'!$F$28),'Recurring Schedule'!$O$28)=0),IF('Recurring Schedule'!$E$28="Weekdays",WEEKDAY($A270,2)&lt;=5,$A270='Recurring Schedule'!$F$28))),23,""))))</f>
        <v/>
      </c>
      <c r="Y270">
        <f>IF('Recurring Schedule'!$C$29="","",IF('Recurring Schedule'!$F$29="","",IF(OR($A270&lt;'Recurring Schedule'!$F$29,$A270&gt;'Recurring Schedule'!$P$29),"",IF(IF('Recurring Schedule'!$N$29&gt;0,MOD($A270-'Recurring Schedule'!$F$29,'Recurring Schedule'!$N$29)=0,IF('Recurring Schedule'!$O$29&gt;0,AND(DAY($A270)=MIN(DAY('Recurring Schedule'!$F$29),DAY(EOMONTH($A270,0))),MOD((YEAR($A270)-YEAR('Recurring Schedule'!$F$29))*12+MONTH($A270)-MONTH('Recurring Schedule'!$F$29),'Recurring Schedule'!$O$29)=0),IF('Recurring Schedule'!$E$29="Weekdays",WEEKDAY($A270,2)&lt;=5,$A270='Recurring Schedule'!$F$29))),24,""))))</f>
        <v/>
      </c>
      <c r="Z270">
        <f>IF('Recurring Schedule'!$C$30="","",IF('Recurring Schedule'!$F$30="","",IF(OR($A270&lt;'Recurring Schedule'!$F$30,$A270&gt;'Recurring Schedule'!$P$30),"",IF(IF('Recurring Schedule'!$N$30&gt;0,MOD($A270-'Recurring Schedule'!$F$30,'Recurring Schedule'!$N$30)=0,IF('Recurring Schedule'!$O$30&gt;0,AND(DAY($A270)=MIN(DAY('Recurring Schedule'!$F$30),DAY(EOMONTH($A270,0))),MOD((YEAR($A270)-YEAR('Recurring Schedule'!$F$30))*12+MONTH($A270)-MONTH('Recurring Schedule'!$F$30),'Recurring Schedule'!$O$30)=0),IF('Recurring Schedule'!$E$30="Weekdays",WEEKDAY($A270,2)&lt;=5,$A270='Recurring Schedule'!$F$30))),25,""))))</f>
        <v/>
      </c>
      <c r="AA270">
        <f>IF('Recurring Schedule'!$C$31="","",IF('Recurring Schedule'!$F$31="","",IF(OR($A270&lt;'Recurring Schedule'!$F$31,$A270&gt;'Recurring Schedule'!$P$31),"",IF(IF('Recurring Schedule'!$N$31&gt;0,MOD($A270-'Recurring Schedule'!$F$31,'Recurring Schedule'!$N$31)=0,IF('Recurring Schedule'!$O$31&gt;0,AND(DAY($A270)=MIN(DAY('Recurring Schedule'!$F$31),DAY(EOMONTH($A270,0))),MOD((YEAR($A270)-YEAR('Recurring Schedule'!$F$31))*12+MONTH($A270)-MONTH('Recurring Schedule'!$F$31),'Recurring Schedule'!$O$31)=0),IF('Recurring Schedule'!$E$31="Weekdays",WEEKDAY($A270,2)&lt;=5,$A270='Recurring Schedule'!$F$31))),26,""))))</f>
        <v/>
      </c>
      <c r="AB270">
        <f>IF('Recurring Schedule'!$C$32="","",IF('Recurring Schedule'!$F$32="","",IF(OR($A270&lt;'Recurring Schedule'!$F$32,$A270&gt;'Recurring Schedule'!$P$32),"",IF(IF('Recurring Schedule'!$N$32&gt;0,MOD($A270-'Recurring Schedule'!$F$32,'Recurring Schedule'!$N$32)=0,IF('Recurring Schedule'!$O$32&gt;0,AND(DAY($A270)=MIN(DAY('Recurring Schedule'!$F$32),DAY(EOMONTH($A270,0))),MOD((YEAR($A270)-YEAR('Recurring Schedule'!$F$32))*12+MONTH($A270)-MONTH('Recurring Schedule'!$F$32),'Recurring Schedule'!$O$32)=0),IF('Recurring Schedule'!$E$32="Weekdays",WEEKDAY($A270,2)&lt;=5,$A270='Recurring Schedule'!$F$32))),27,""))))</f>
        <v/>
      </c>
      <c r="AC270">
        <f>IF('Recurring Schedule'!$C$33="","",IF('Recurring Schedule'!$F$33="","",IF(OR($A270&lt;'Recurring Schedule'!$F$33,$A270&gt;'Recurring Schedule'!$P$33),"",IF(IF('Recurring Schedule'!$N$33&gt;0,MOD($A270-'Recurring Schedule'!$F$33,'Recurring Schedule'!$N$33)=0,IF('Recurring Schedule'!$O$33&gt;0,AND(DAY($A270)=MIN(DAY('Recurring Schedule'!$F$33),DAY(EOMONTH($A270,0))),MOD((YEAR($A270)-YEAR('Recurring Schedule'!$F$33))*12+MONTH($A270)-MONTH('Recurring Schedule'!$F$33),'Recurring Schedule'!$O$33)=0),IF('Recurring Schedule'!$E$33="Weekdays",WEEKDAY($A270,2)&lt;=5,$A270='Recurring Schedule'!$F$33))),28,""))))</f>
        <v/>
      </c>
      <c r="AD270">
        <f>IF('Recurring Schedule'!$C$34="","",IF('Recurring Schedule'!$F$34="","",IF(OR($A270&lt;'Recurring Schedule'!$F$34,$A270&gt;'Recurring Schedule'!$P$34),"",IF(IF('Recurring Schedule'!$N$34&gt;0,MOD($A270-'Recurring Schedule'!$F$34,'Recurring Schedule'!$N$34)=0,IF('Recurring Schedule'!$O$34&gt;0,AND(DAY($A270)=MIN(DAY('Recurring Schedule'!$F$34),DAY(EOMONTH($A270,0))),MOD((YEAR($A270)-YEAR('Recurring Schedule'!$F$34))*12+MONTH($A270)-MONTH('Recurring Schedule'!$F$34),'Recurring Schedule'!$O$34)=0),IF('Recurring Schedule'!$E$34="Weekdays",WEEKDAY($A270,2)&lt;=5,$A270='Recurring Schedule'!$F$34))),29,""))))</f>
        <v/>
      </c>
      <c r="AE270">
        <f>IF('Recurring Schedule'!$C$35="","",IF('Recurring Schedule'!$F$35="","",IF(OR($A270&lt;'Recurring Schedule'!$F$35,$A270&gt;'Recurring Schedule'!$P$35),"",IF(IF('Recurring Schedule'!$N$35&gt;0,MOD($A270-'Recurring Schedule'!$F$35,'Recurring Schedule'!$N$35)=0,IF('Recurring Schedule'!$O$35&gt;0,AND(DAY($A270)=MIN(DAY('Recurring Schedule'!$F$35),DAY(EOMONTH($A270,0))),MOD((YEAR($A270)-YEAR('Recurring Schedule'!$F$35))*12+MONTH($A270)-MONTH('Recurring Schedule'!$F$35),'Recurring Schedule'!$O$35)=0),IF('Recurring Schedule'!$E$35="Weekdays",WEEKDAY($A270,2)&lt;=5,$A270='Recurring Schedule'!$F$35))),30,""))))</f>
        <v/>
      </c>
      <c r="AF270">
        <f>IF('Recurring Schedule'!$C$36="","",IF('Recurring Schedule'!$F$36="","",IF(OR($A270&lt;'Recurring Schedule'!$F$36,$A270&gt;'Recurring Schedule'!$P$36),"",IF(IF('Recurring Schedule'!$N$36&gt;0,MOD($A270-'Recurring Schedule'!$F$36,'Recurring Schedule'!$N$36)=0,IF('Recurring Schedule'!$O$36&gt;0,AND(DAY($A270)=MIN(DAY('Recurring Schedule'!$F$36),DAY(EOMONTH($A270,0))),MOD((YEAR($A270)-YEAR('Recurring Schedule'!$F$36))*12+MONTH($A270)-MONTH('Recurring Schedule'!$F$36),'Recurring Schedule'!$O$36)=0),IF('Recurring Schedule'!$E$36="Weekdays",WEEKDAY($A270,2)&lt;=5,$A270='Recurring Schedule'!$F$36))),31,""))))</f>
        <v/>
      </c>
      <c r="AG270">
        <f>IF('Recurring Schedule'!$C$37="","",IF('Recurring Schedule'!$F$37="","",IF(OR($A270&lt;'Recurring Schedule'!$F$37,$A270&gt;'Recurring Schedule'!$P$37),"",IF(IF('Recurring Schedule'!$N$37&gt;0,MOD($A270-'Recurring Schedule'!$F$37,'Recurring Schedule'!$N$37)=0,IF('Recurring Schedule'!$O$37&gt;0,AND(DAY($A270)=MIN(DAY('Recurring Schedule'!$F$37),DAY(EOMONTH($A270,0))),MOD((YEAR($A270)-YEAR('Recurring Schedule'!$F$37))*12+MONTH($A270)-MONTH('Recurring Schedule'!$F$37),'Recurring Schedule'!$O$37)=0),IF('Recurring Schedule'!$E$37="Weekdays",WEEKDAY($A270,2)&lt;=5,$A270='Recurring Schedule'!$F$37))),32,""))))</f>
        <v/>
      </c>
      <c r="AH270">
        <f>IF('Recurring Schedule'!$C$38="","",IF('Recurring Schedule'!$F$38="","",IF(OR($A270&lt;'Recurring Schedule'!$F$38,$A270&gt;'Recurring Schedule'!$P$38),"",IF(IF('Recurring Schedule'!$N$38&gt;0,MOD($A270-'Recurring Schedule'!$F$38,'Recurring Schedule'!$N$38)=0,IF('Recurring Schedule'!$O$38&gt;0,AND(DAY($A270)=MIN(DAY('Recurring Schedule'!$F$38),DAY(EOMONTH($A270,0))),MOD((YEAR($A270)-YEAR('Recurring Schedule'!$F$38))*12+MONTH($A270)-MONTH('Recurring Schedule'!$F$38),'Recurring Schedule'!$O$38)=0),IF('Recurring Schedule'!$E$38="Weekdays",WEEKDAY($A270,2)&lt;=5,$A270='Recurring Schedule'!$F$38))),33,""))))</f>
        <v/>
      </c>
      <c r="AI270">
        <f>IF('Recurring Schedule'!$C$39="","",IF('Recurring Schedule'!$F$39="","",IF(OR($A270&lt;'Recurring Schedule'!$F$39,$A270&gt;'Recurring Schedule'!$P$39),"",IF(IF('Recurring Schedule'!$N$39&gt;0,MOD($A270-'Recurring Schedule'!$F$39,'Recurring Schedule'!$N$39)=0,IF('Recurring Schedule'!$O$39&gt;0,AND(DAY($A270)=MIN(DAY('Recurring Schedule'!$F$39),DAY(EOMONTH($A270,0))),MOD((YEAR($A270)-YEAR('Recurring Schedule'!$F$39))*12+MONTH($A270)-MONTH('Recurring Schedule'!$F$39),'Recurring Schedule'!$O$39)=0),IF('Recurring Schedule'!$E$39="Weekdays",WEEKDAY($A270,2)&lt;=5,$A270='Recurring Schedule'!$F$39))),34,""))))</f>
        <v/>
      </c>
      <c r="AJ270">
        <f>IF('Recurring Schedule'!$C$40="","",IF('Recurring Schedule'!$F$40="","",IF(OR($A270&lt;'Recurring Schedule'!$F$40,$A270&gt;'Recurring Schedule'!$P$40),"",IF(IF('Recurring Schedule'!$N$40&gt;0,MOD($A270-'Recurring Schedule'!$F$40,'Recurring Schedule'!$N$40)=0,IF('Recurring Schedule'!$O$40&gt;0,AND(DAY($A270)=MIN(DAY('Recurring Schedule'!$F$40),DAY(EOMONTH($A270,0))),MOD((YEAR($A270)-YEAR('Recurring Schedule'!$F$40))*12+MONTH($A270)-MONTH('Recurring Schedule'!$F$40),'Recurring Schedule'!$O$40)=0),IF('Recurring Schedule'!$E$40="Weekdays",WEEKDAY($A270,2)&lt;=5,$A270='Recurring Schedule'!$F$40))),35,""))))</f>
        <v/>
      </c>
      <c r="AK270">
        <f>IF('Recurring Schedule'!$C$41="","",IF('Recurring Schedule'!$F$41="","",IF(OR($A270&lt;'Recurring Schedule'!$F$41,$A270&gt;'Recurring Schedule'!$P$41),"",IF(IF('Recurring Schedule'!$N$41&gt;0,MOD($A270-'Recurring Schedule'!$F$41,'Recurring Schedule'!$N$41)=0,IF('Recurring Schedule'!$O$41&gt;0,AND(DAY($A270)=MIN(DAY('Recurring Schedule'!$F$41),DAY(EOMONTH($A270,0))),MOD((YEAR($A270)-YEAR('Recurring Schedule'!$F$41))*12+MONTH($A270)-MONTH('Recurring Schedule'!$F$41),'Recurring Schedule'!$O$41)=0),IF('Recurring Schedule'!$E$41="Weekdays",WEEKDAY($A270,2)&lt;=5,$A270='Recurring Schedule'!$F$41))),36,""))))</f>
        <v/>
      </c>
      <c r="AL270">
        <f>IF('Recurring Schedule'!$C$42="","",IF('Recurring Schedule'!$F$42="","",IF(OR($A270&lt;'Recurring Schedule'!$F$42,$A270&gt;'Recurring Schedule'!$P$42),"",IF(IF('Recurring Schedule'!$N$42&gt;0,MOD($A270-'Recurring Schedule'!$F$42,'Recurring Schedule'!$N$42)=0,IF('Recurring Schedule'!$O$42&gt;0,AND(DAY($A270)=MIN(DAY('Recurring Schedule'!$F$42),DAY(EOMONTH($A270,0))),MOD((YEAR($A270)-YEAR('Recurring Schedule'!$F$42))*12+MONTH($A270)-MONTH('Recurring Schedule'!$F$42),'Recurring Schedule'!$O$42)=0),IF('Recurring Schedule'!$E$42="Weekdays",WEEKDAY($A270,2)&lt;=5,$A270='Recurring Schedule'!$F$42))),37,""))))</f>
        <v/>
      </c>
      <c r="AM270">
        <f>IF('Recurring Schedule'!$C$43="","",IF('Recurring Schedule'!$F$43="","",IF(OR($A270&lt;'Recurring Schedule'!$F$43,$A270&gt;'Recurring Schedule'!$P$43),"",IF(IF('Recurring Schedule'!$N$43&gt;0,MOD($A270-'Recurring Schedule'!$F$43,'Recurring Schedule'!$N$43)=0,IF('Recurring Schedule'!$O$43&gt;0,AND(DAY($A270)=MIN(DAY('Recurring Schedule'!$F$43),DAY(EOMONTH($A270,0))),MOD((YEAR($A270)-YEAR('Recurring Schedule'!$F$43))*12+MONTH($A270)-MONTH('Recurring Schedule'!$F$43),'Recurring Schedule'!$O$43)=0),IF('Recurring Schedule'!$E$43="Weekdays",WEEKDAY($A270,2)&lt;=5,$A270='Recurring Schedule'!$F$43))),38,""))))</f>
        <v/>
      </c>
      <c r="AN270">
        <f>IF('Recurring Schedule'!$C$44="","",IF('Recurring Schedule'!$F$44="","",IF(OR($A270&lt;'Recurring Schedule'!$F$44,$A270&gt;'Recurring Schedule'!$P$44),"",IF(IF('Recurring Schedule'!$N$44&gt;0,MOD($A270-'Recurring Schedule'!$F$44,'Recurring Schedule'!$N$44)=0,IF('Recurring Schedule'!$O$44&gt;0,AND(DAY($A270)=MIN(DAY('Recurring Schedule'!$F$44),DAY(EOMONTH($A270,0))),MOD((YEAR($A270)-YEAR('Recurring Schedule'!$F$44))*12+MONTH($A270)-MONTH('Recurring Schedule'!$F$44),'Recurring Schedule'!$O$44)=0),IF('Recurring Schedule'!$E$44="Weekdays",WEEKDAY($A270,2)&lt;=5,$A270='Recurring Schedule'!$F$44))),39,""))))</f>
        <v/>
      </c>
      <c r="AO270">
        <f>IF('Recurring Schedule'!$C$45="","",IF('Recurring Schedule'!$F$45="","",IF(OR($A270&lt;'Recurring Schedule'!$F$45,$A270&gt;'Recurring Schedule'!$P$45),"",IF(IF('Recurring Schedule'!$N$45&gt;0,MOD($A270-'Recurring Schedule'!$F$45,'Recurring Schedule'!$N$45)=0,IF('Recurring Schedule'!$O$45&gt;0,AND(DAY($A270)=MIN(DAY('Recurring Schedule'!$F$45),DAY(EOMONTH($A270,0))),MOD((YEAR($A270)-YEAR('Recurring Schedule'!$F$45))*12+MONTH($A270)-MONTH('Recurring Schedule'!$F$45),'Recurring Schedule'!$O$45)=0),IF('Recurring Schedule'!$E$45="Weekdays",WEEKDAY($A270,2)&lt;=5,$A270='Recurring Schedule'!$F$45))),40,""))))</f>
        <v/>
      </c>
      <c r="AP270">
        <f>COUNT(B270:AO270)</f>
        <v/>
      </c>
      <c r="AQ270">
        <f>AQ269+AP269</f>
        <v/>
      </c>
      <c r="AS270" t="inlineStr">
        <is>
          <t>R</t>
        </is>
      </c>
      <c r="AT270" t="n">
        <v>274</v>
      </c>
      <c r="AU270">
        <f>'Recurring Log'!C274&amp;""</f>
        <v/>
      </c>
      <c r="AV270">
        <f>'Recurring Log'!D274&amp;""</f>
        <v/>
      </c>
      <c r="AW270">
        <f>IF('Recurring Log'!E274="","",'Recurring Log'!E274)</f>
        <v/>
      </c>
      <c r="AX270">
        <f>IF('Recurring Log'!G274="","",'Recurring Log'!G274)</f>
        <v/>
      </c>
      <c r="AY270">
        <f>IF('Recurring Log'!H274="","",'Recurring Log'!H274)</f>
        <v/>
      </c>
      <c r="AZ270">
        <f>IF(AU270="","",IF('Recurring Log'!J274="","Not Started",'Recurring Log'!J274))</f>
        <v/>
      </c>
      <c r="BA270">
        <f>'Recurring Log'!L274&amp;""</f>
        <v/>
      </c>
      <c r="BB270">
        <f>'Recurring Log'!M274&amp;""</f>
        <v/>
      </c>
      <c r="BC270">
        <f>'Recurring Log'!N274&amp;""</f>
        <v/>
      </c>
      <c r="BD270">
        <f>'Recurring Log'!O274&amp;""</f>
        <v/>
      </c>
      <c r="BE270">
        <f>IF('Recurring Log'!K274="","",'Recurring Log'!K274)</f>
        <v/>
      </c>
      <c r="BF270">
        <f>IFERROR(MATCH(BA270,Setup!$L$6:$L$9,0),5)</f>
        <v/>
      </c>
      <c r="BG270">
        <f>IF(OR(AZ270="Done",AZ270="Cancelled"),1,0)</f>
        <v/>
      </c>
      <c r="BH270">
        <f>IF(AND(AU270&lt;&gt;"",ISNUMBER(AW270)),1,0)</f>
        <v/>
      </c>
      <c r="BI270">
        <f>IF(BH270=0,0,IF(AND(AW270&gt;='Tasks Filter'!$F$3,AW270&lt;='Tasks Filter'!$F$4,OR('Tasks Filter'!$I$3="",ISNUMBER(SEARCH('Tasks Filter'!$I$3,AU270))),OR('Tasks Filter'!$I$4="",BF270=IFERROR(MATCH('Tasks Filter'!$I$4,Setup!$L$6:$L$9,0),0)),OR('Tasks Filter'!$I$5="Both",AND('Tasks Filter'!$I$5="Yes",BB270="✓"),AND('Tasks Filter'!$I$5="No",BB270&lt;&gt;"✓")),OR('Tasks Filter'!$L$3="",AV270='Tasks Filter'!$L$3),OR('Tasks Filter'!$L$4="",AZ270='Tasks Filter'!$L$4),OR('Tasks Filter'!$L$5="",BC270='Tasks Filter'!$L$5),OR('Tasks Filter'!$O$3="",BD270='Tasks Filter'!$O$3),OR('Tasks Filter'!$O$4="Yes",BG270=0)),1,0))</f>
        <v/>
      </c>
      <c r="BJ270">
        <f>IF(BH270=0,"",IF('Tasks Filter'!$F$6="Descending",-1,1)*CHOOSE(MATCH('Tasks Filter'!$F$5,Lists!$G$2:$G$6,0),AW270,BF270,IFERROR(MATCH(AV270,Setup!$F$6:$F$15,0),99),IFERROR(MATCH(BC270,Setup!$H$6:$H$15,0),99),IFERROR(MATCH(AZ270,Setup!$J$6:$J$11,0),99))*1E+9+(AW270-40000)*10000+269)</f>
        <v/>
      </c>
      <c r="BK270">
        <f>IF(BI270=1,BJ270,"")</f>
        <v/>
      </c>
      <c r="BL270">
        <f>IF(AND(BH270=1,BG270=0,N(AW270)&lt;Setup!$D$7),(AW270-40000)*10000+269,"")</f>
        <v/>
      </c>
      <c r="BM270">
        <f>IF(AND(BH270=1,AZ270&lt;&gt;"Cancelled",N(AW270)&gt;=Dashboard!$AB$3,N(AW270)&lt;=Dashboard!$AB$3+6),(AW270-40000)*100000+BF270*10000+269,"")</f>
        <v/>
      </c>
      <c r="BN270">
        <f>IF(AND(BH270=1,AZ270&lt;&gt;"Cancelled"),BF270*10000+269,"")</f>
        <v/>
      </c>
    </row>
    <row r="271">
      <c r="A271">
        <f>Setup!$D$5+269</f>
        <v/>
      </c>
      <c r="B271">
        <f>IF('Recurring Schedule'!$C$6="","",IF('Recurring Schedule'!$F$6="","",IF(OR($A271&lt;'Recurring Schedule'!$F$6,$A271&gt;'Recurring Schedule'!$P$6),"",IF(IF('Recurring Schedule'!$N$6&gt;0,MOD($A271-'Recurring Schedule'!$F$6,'Recurring Schedule'!$N$6)=0,IF('Recurring Schedule'!$O$6&gt;0,AND(DAY($A271)=MIN(DAY('Recurring Schedule'!$F$6),DAY(EOMONTH($A271,0))),MOD((YEAR($A271)-YEAR('Recurring Schedule'!$F$6))*12+MONTH($A271)-MONTH('Recurring Schedule'!$F$6),'Recurring Schedule'!$O$6)=0),IF('Recurring Schedule'!$E$6="Weekdays",WEEKDAY($A271,2)&lt;=5,$A271='Recurring Schedule'!$F$6))),1,""))))</f>
        <v/>
      </c>
      <c r="C271">
        <f>IF('Recurring Schedule'!$C$7="","",IF('Recurring Schedule'!$F$7="","",IF(OR($A271&lt;'Recurring Schedule'!$F$7,$A271&gt;'Recurring Schedule'!$P$7),"",IF(IF('Recurring Schedule'!$N$7&gt;0,MOD($A271-'Recurring Schedule'!$F$7,'Recurring Schedule'!$N$7)=0,IF('Recurring Schedule'!$O$7&gt;0,AND(DAY($A271)=MIN(DAY('Recurring Schedule'!$F$7),DAY(EOMONTH($A271,0))),MOD((YEAR($A271)-YEAR('Recurring Schedule'!$F$7))*12+MONTH($A271)-MONTH('Recurring Schedule'!$F$7),'Recurring Schedule'!$O$7)=0),IF('Recurring Schedule'!$E$7="Weekdays",WEEKDAY($A271,2)&lt;=5,$A271='Recurring Schedule'!$F$7))),2,""))))</f>
        <v/>
      </c>
      <c r="D271">
        <f>IF('Recurring Schedule'!$C$8="","",IF('Recurring Schedule'!$F$8="","",IF(OR($A271&lt;'Recurring Schedule'!$F$8,$A271&gt;'Recurring Schedule'!$P$8),"",IF(IF('Recurring Schedule'!$N$8&gt;0,MOD($A271-'Recurring Schedule'!$F$8,'Recurring Schedule'!$N$8)=0,IF('Recurring Schedule'!$O$8&gt;0,AND(DAY($A271)=MIN(DAY('Recurring Schedule'!$F$8),DAY(EOMONTH($A271,0))),MOD((YEAR($A271)-YEAR('Recurring Schedule'!$F$8))*12+MONTH($A271)-MONTH('Recurring Schedule'!$F$8),'Recurring Schedule'!$O$8)=0),IF('Recurring Schedule'!$E$8="Weekdays",WEEKDAY($A271,2)&lt;=5,$A271='Recurring Schedule'!$F$8))),3,""))))</f>
        <v/>
      </c>
      <c r="E271">
        <f>IF('Recurring Schedule'!$C$9="","",IF('Recurring Schedule'!$F$9="","",IF(OR($A271&lt;'Recurring Schedule'!$F$9,$A271&gt;'Recurring Schedule'!$P$9),"",IF(IF('Recurring Schedule'!$N$9&gt;0,MOD($A271-'Recurring Schedule'!$F$9,'Recurring Schedule'!$N$9)=0,IF('Recurring Schedule'!$O$9&gt;0,AND(DAY($A271)=MIN(DAY('Recurring Schedule'!$F$9),DAY(EOMONTH($A271,0))),MOD((YEAR($A271)-YEAR('Recurring Schedule'!$F$9))*12+MONTH($A271)-MONTH('Recurring Schedule'!$F$9),'Recurring Schedule'!$O$9)=0),IF('Recurring Schedule'!$E$9="Weekdays",WEEKDAY($A271,2)&lt;=5,$A271='Recurring Schedule'!$F$9))),4,""))))</f>
        <v/>
      </c>
      <c r="F271">
        <f>IF('Recurring Schedule'!$C$10="","",IF('Recurring Schedule'!$F$10="","",IF(OR($A271&lt;'Recurring Schedule'!$F$10,$A271&gt;'Recurring Schedule'!$P$10),"",IF(IF('Recurring Schedule'!$N$10&gt;0,MOD($A271-'Recurring Schedule'!$F$10,'Recurring Schedule'!$N$10)=0,IF('Recurring Schedule'!$O$10&gt;0,AND(DAY($A271)=MIN(DAY('Recurring Schedule'!$F$10),DAY(EOMONTH($A271,0))),MOD((YEAR($A271)-YEAR('Recurring Schedule'!$F$10))*12+MONTH($A271)-MONTH('Recurring Schedule'!$F$10),'Recurring Schedule'!$O$10)=0),IF('Recurring Schedule'!$E$10="Weekdays",WEEKDAY($A271,2)&lt;=5,$A271='Recurring Schedule'!$F$10))),5,""))))</f>
        <v/>
      </c>
      <c r="G271">
        <f>IF('Recurring Schedule'!$C$11="","",IF('Recurring Schedule'!$F$11="","",IF(OR($A271&lt;'Recurring Schedule'!$F$11,$A271&gt;'Recurring Schedule'!$P$11),"",IF(IF('Recurring Schedule'!$N$11&gt;0,MOD($A271-'Recurring Schedule'!$F$11,'Recurring Schedule'!$N$11)=0,IF('Recurring Schedule'!$O$11&gt;0,AND(DAY($A271)=MIN(DAY('Recurring Schedule'!$F$11),DAY(EOMONTH($A271,0))),MOD((YEAR($A271)-YEAR('Recurring Schedule'!$F$11))*12+MONTH($A271)-MONTH('Recurring Schedule'!$F$11),'Recurring Schedule'!$O$11)=0),IF('Recurring Schedule'!$E$11="Weekdays",WEEKDAY($A271,2)&lt;=5,$A271='Recurring Schedule'!$F$11))),6,""))))</f>
        <v/>
      </c>
      <c r="H271">
        <f>IF('Recurring Schedule'!$C$12="","",IF('Recurring Schedule'!$F$12="","",IF(OR($A271&lt;'Recurring Schedule'!$F$12,$A271&gt;'Recurring Schedule'!$P$12),"",IF(IF('Recurring Schedule'!$N$12&gt;0,MOD($A271-'Recurring Schedule'!$F$12,'Recurring Schedule'!$N$12)=0,IF('Recurring Schedule'!$O$12&gt;0,AND(DAY($A271)=MIN(DAY('Recurring Schedule'!$F$12),DAY(EOMONTH($A271,0))),MOD((YEAR($A271)-YEAR('Recurring Schedule'!$F$12))*12+MONTH($A271)-MONTH('Recurring Schedule'!$F$12),'Recurring Schedule'!$O$12)=0),IF('Recurring Schedule'!$E$12="Weekdays",WEEKDAY($A271,2)&lt;=5,$A271='Recurring Schedule'!$F$12))),7,""))))</f>
        <v/>
      </c>
      <c r="I271">
        <f>IF('Recurring Schedule'!$C$13="","",IF('Recurring Schedule'!$F$13="","",IF(OR($A271&lt;'Recurring Schedule'!$F$13,$A271&gt;'Recurring Schedule'!$P$13),"",IF(IF('Recurring Schedule'!$N$13&gt;0,MOD($A271-'Recurring Schedule'!$F$13,'Recurring Schedule'!$N$13)=0,IF('Recurring Schedule'!$O$13&gt;0,AND(DAY($A271)=MIN(DAY('Recurring Schedule'!$F$13),DAY(EOMONTH($A271,0))),MOD((YEAR($A271)-YEAR('Recurring Schedule'!$F$13))*12+MONTH($A271)-MONTH('Recurring Schedule'!$F$13),'Recurring Schedule'!$O$13)=0),IF('Recurring Schedule'!$E$13="Weekdays",WEEKDAY($A271,2)&lt;=5,$A271='Recurring Schedule'!$F$13))),8,""))))</f>
        <v/>
      </c>
      <c r="J271">
        <f>IF('Recurring Schedule'!$C$14="","",IF('Recurring Schedule'!$F$14="","",IF(OR($A271&lt;'Recurring Schedule'!$F$14,$A271&gt;'Recurring Schedule'!$P$14),"",IF(IF('Recurring Schedule'!$N$14&gt;0,MOD($A271-'Recurring Schedule'!$F$14,'Recurring Schedule'!$N$14)=0,IF('Recurring Schedule'!$O$14&gt;0,AND(DAY($A271)=MIN(DAY('Recurring Schedule'!$F$14),DAY(EOMONTH($A271,0))),MOD((YEAR($A271)-YEAR('Recurring Schedule'!$F$14))*12+MONTH($A271)-MONTH('Recurring Schedule'!$F$14),'Recurring Schedule'!$O$14)=0),IF('Recurring Schedule'!$E$14="Weekdays",WEEKDAY($A271,2)&lt;=5,$A271='Recurring Schedule'!$F$14))),9,""))))</f>
        <v/>
      </c>
      <c r="K271">
        <f>IF('Recurring Schedule'!$C$15="","",IF('Recurring Schedule'!$F$15="","",IF(OR($A271&lt;'Recurring Schedule'!$F$15,$A271&gt;'Recurring Schedule'!$P$15),"",IF(IF('Recurring Schedule'!$N$15&gt;0,MOD($A271-'Recurring Schedule'!$F$15,'Recurring Schedule'!$N$15)=0,IF('Recurring Schedule'!$O$15&gt;0,AND(DAY($A271)=MIN(DAY('Recurring Schedule'!$F$15),DAY(EOMONTH($A271,0))),MOD((YEAR($A271)-YEAR('Recurring Schedule'!$F$15))*12+MONTH($A271)-MONTH('Recurring Schedule'!$F$15),'Recurring Schedule'!$O$15)=0),IF('Recurring Schedule'!$E$15="Weekdays",WEEKDAY($A271,2)&lt;=5,$A271='Recurring Schedule'!$F$15))),10,""))))</f>
        <v/>
      </c>
      <c r="L271">
        <f>IF('Recurring Schedule'!$C$16="","",IF('Recurring Schedule'!$F$16="","",IF(OR($A271&lt;'Recurring Schedule'!$F$16,$A271&gt;'Recurring Schedule'!$P$16),"",IF(IF('Recurring Schedule'!$N$16&gt;0,MOD($A271-'Recurring Schedule'!$F$16,'Recurring Schedule'!$N$16)=0,IF('Recurring Schedule'!$O$16&gt;0,AND(DAY($A271)=MIN(DAY('Recurring Schedule'!$F$16),DAY(EOMONTH($A271,0))),MOD((YEAR($A271)-YEAR('Recurring Schedule'!$F$16))*12+MONTH($A271)-MONTH('Recurring Schedule'!$F$16),'Recurring Schedule'!$O$16)=0),IF('Recurring Schedule'!$E$16="Weekdays",WEEKDAY($A271,2)&lt;=5,$A271='Recurring Schedule'!$F$16))),11,""))))</f>
        <v/>
      </c>
      <c r="M271">
        <f>IF('Recurring Schedule'!$C$17="","",IF('Recurring Schedule'!$F$17="","",IF(OR($A271&lt;'Recurring Schedule'!$F$17,$A271&gt;'Recurring Schedule'!$P$17),"",IF(IF('Recurring Schedule'!$N$17&gt;0,MOD($A271-'Recurring Schedule'!$F$17,'Recurring Schedule'!$N$17)=0,IF('Recurring Schedule'!$O$17&gt;0,AND(DAY($A271)=MIN(DAY('Recurring Schedule'!$F$17),DAY(EOMONTH($A271,0))),MOD((YEAR($A271)-YEAR('Recurring Schedule'!$F$17))*12+MONTH($A271)-MONTH('Recurring Schedule'!$F$17),'Recurring Schedule'!$O$17)=0),IF('Recurring Schedule'!$E$17="Weekdays",WEEKDAY($A271,2)&lt;=5,$A271='Recurring Schedule'!$F$17))),12,""))))</f>
        <v/>
      </c>
      <c r="N271">
        <f>IF('Recurring Schedule'!$C$18="","",IF('Recurring Schedule'!$F$18="","",IF(OR($A271&lt;'Recurring Schedule'!$F$18,$A271&gt;'Recurring Schedule'!$P$18),"",IF(IF('Recurring Schedule'!$N$18&gt;0,MOD($A271-'Recurring Schedule'!$F$18,'Recurring Schedule'!$N$18)=0,IF('Recurring Schedule'!$O$18&gt;0,AND(DAY($A271)=MIN(DAY('Recurring Schedule'!$F$18),DAY(EOMONTH($A271,0))),MOD((YEAR($A271)-YEAR('Recurring Schedule'!$F$18))*12+MONTH($A271)-MONTH('Recurring Schedule'!$F$18),'Recurring Schedule'!$O$18)=0),IF('Recurring Schedule'!$E$18="Weekdays",WEEKDAY($A271,2)&lt;=5,$A271='Recurring Schedule'!$F$18))),13,""))))</f>
        <v/>
      </c>
      <c r="O271">
        <f>IF('Recurring Schedule'!$C$19="","",IF('Recurring Schedule'!$F$19="","",IF(OR($A271&lt;'Recurring Schedule'!$F$19,$A271&gt;'Recurring Schedule'!$P$19),"",IF(IF('Recurring Schedule'!$N$19&gt;0,MOD($A271-'Recurring Schedule'!$F$19,'Recurring Schedule'!$N$19)=0,IF('Recurring Schedule'!$O$19&gt;0,AND(DAY($A271)=MIN(DAY('Recurring Schedule'!$F$19),DAY(EOMONTH($A271,0))),MOD((YEAR($A271)-YEAR('Recurring Schedule'!$F$19))*12+MONTH($A271)-MONTH('Recurring Schedule'!$F$19),'Recurring Schedule'!$O$19)=0),IF('Recurring Schedule'!$E$19="Weekdays",WEEKDAY($A271,2)&lt;=5,$A271='Recurring Schedule'!$F$19))),14,""))))</f>
        <v/>
      </c>
      <c r="P271">
        <f>IF('Recurring Schedule'!$C$20="","",IF('Recurring Schedule'!$F$20="","",IF(OR($A271&lt;'Recurring Schedule'!$F$20,$A271&gt;'Recurring Schedule'!$P$20),"",IF(IF('Recurring Schedule'!$N$20&gt;0,MOD($A271-'Recurring Schedule'!$F$20,'Recurring Schedule'!$N$20)=0,IF('Recurring Schedule'!$O$20&gt;0,AND(DAY($A271)=MIN(DAY('Recurring Schedule'!$F$20),DAY(EOMONTH($A271,0))),MOD((YEAR($A271)-YEAR('Recurring Schedule'!$F$20))*12+MONTH($A271)-MONTH('Recurring Schedule'!$F$20),'Recurring Schedule'!$O$20)=0),IF('Recurring Schedule'!$E$20="Weekdays",WEEKDAY($A271,2)&lt;=5,$A271='Recurring Schedule'!$F$20))),15,""))))</f>
        <v/>
      </c>
      <c r="Q271">
        <f>IF('Recurring Schedule'!$C$21="","",IF('Recurring Schedule'!$F$21="","",IF(OR($A271&lt;'Recurring Schedule'!$F$21,$A271&gt;'Recurring Schedule'!$P$21),"",IF(IF('Recurring Schedule'!$N$21&gt;0,MOD($A271-'Recurring Schedule'!$F$21,'Recurring Schedule'!$N$21)=0,IF('Recurring Schedule'!$O$21&gt;0,AND(DAY($A271)=MIN(DAY('Recurring Schedule'!$F$21),DAY(EOMONTH($A271,0))),MOD((YEAR($A271)-YEAR('Recurring Schedule'!$F$21))*12+MONTH($A271)-MONTH('Recurring Schedule'!$F$21),'Recurring Schedule'!$O$21)=0),IF('Recurring Schedule'!$E$21="Weekdays",WEEKDAY($A271,2)&lt;=5,$A271='Recurring Schedule'!$F$21))),16,""))))</f>
        <v/>
      </c>
      <c r="R271">
        <f>IF('Recurring Schedule'!$C$22="","",IF('Recurring Schedule'!$F$22="","",IF(OR($A271&lt;'Recurring Schedule'!$F$22,$A271&gt;'Recurring Schedule'!$P$22),"",IF(IF('Recurring Schedule'!$N$22&gt;0,MOD($A271-'Recurring Schedule'!$F$22,'Recurring Schedule'!$N$22)=0,IF('Recurring Schedule'!$O$22&gt;0,AND(DAY($A271)=MIN(DAY('Recurring Schedule'!$F$22),DAY(EOMONTH($A271,0))),MOD((YEAR($A271)-YEAR('Recurring Schedule'!$F$22))*12+MONTH($A271)-MONTH('Recurring Schedule'!$F$22),'Recurring Schedule'!$O$22)=0),IF('Recurring Schedule'!$E$22="Weekdays",WEEKDAY($A271,2)&lt;=5,$A271='Recurring Schedule'!$F$22))),17,""))))</f>
        <v/>
      </c>
      <c r="S271">
        <f>IF('Recurring Schedule'!$C$23="","",IF('Recurring Schedule'!$F$23="","",IF(OR($A271&lt;'Recurring Schedule'!$F$23,$A271&gt;'Recurring Schedule'!$P$23),"",IF(IF('Recurring Schedule'!$N$23&gt;0,MOD($A271-'Recurring Schedule'!$F$23,'Recurring Schedule'!$N$23)=0,IF('Recurring Schedule'!$O$23&gt;0,AND(DAY($A271)=MIN(DAY('Recurring Schedule'!$F$23),DAY(EOMONTH($A271,0))),MOD((YEAR($A271)-YEAR('Recurring Schedule'!$F$23))*12+MONTH($A271)-MONTH('Recurring Schedule'!$F$23),'Recurring Schedule'!$O$23)=0),IF('Recurring Schedule'!$E$23="Weekdays",WEEKDAY($A271,2)&lt;=5,$A271='Recurring Schedule'!$F$23))),18,""))))</f>
        <v/>
      </c>
      <c r="T271">
        <f>IF('Recurring Schedule'!$C$24="","",IF('Recurring Schedule'!$F$24="","",IF(OR($A271&lt;'Recurring Schedule'!$F$24,$A271&gt;'Recurring Schedule'!$P$24),"",IF(IF('Recurring Schedule'!$N$24&gt;0,MOD($A271-'Recurring Schedule'!$F$24,'Recurring Schedule'!$N$24)=0,IF('Recurring Schedule'!$O$24&gt;0,AND(DAY($A271)=MIN(DAY('Recurring Schedule'!$F$24),DAY(EOMONTH($A271,0))),MOD((YEAR($A271)-YEAR('Recurring Schedule'!$F$24))*12+MONTH($A271)-MONTH('Recurring Schedule'!$F$24),'Recurring Schedule'!$O$24)=0),IF('Recurring Schedule'!$E$24="Weekdays",WEEKDAY($A271,2)&lt;=5,$A271='Recurring Schedule'!$F$24))),19,""))))</f>
        <v/>
      </c>
      <c r="U271">
        <f>IF('Recurring Schedule'!$C$25="","",IF('Recurring Schedule'!$F$25="","",IF(OR($A271&lt;'Recurring Schedule'!$F$25,$A271&gt;'Recurring Schedule'!$P$25),"",IF(IF('Recurring Schedule'!$N$25&gt;0,MOD($A271-'Recurring Schedule'!$F$25,'Recurring Schedule'!$N$25)=0,IF('Recurring Schedule'!$O$25&gt;0,AND(DAY($A271)=MIN(DAY('Recurring Schedule'!$F$25),DAY(EOMONTH($A271,0))),MOD((YEAR($A271)-YEAR('Recurring Schedule'!$F$25))*12+MONTH($A271)-MONTH('Recurring Schedule'!$F$25),'Recurring Schedule'!$O$25)=0),IF('Recurring Schedule'!$E$25="Weekdays",WEEKDAY($A271,2)&lt;=5,$A271='Recurring Schedule'!$F$25))),20,""))))</f>
        <v/>
      </c>
      <c r="V271">
        <f>IF('Recurring Schedule'!$C$26="","",IF('Recurring Schedule'!$F$26="","",IF(OR($A271&lt;'Recurring Schedule'!$F$26,$A271&gt;'Recurring Schedule'!$P$26),"",IF(IF('Recurring Schedule'!$N$26&gt;0,MOD($A271-'Recurring Schedule'!$F$26,'Recurring Schedule'!$N$26)=0,IF('Recurring Schedule'!$O$26&gt;0,AND(DAY($A271)=MIN(DAY('Recurring Schedule'!$F$26),DAY(EOMONTH($A271,0))),MOD((YEAR($A271)-YEAR('Recurring Schedule'!$F$26))*12+MONTH($A271)-MONTH('Recurring Schedule'!$F$26),'Recurring Schedule'!$O$26)=0),IF('Recurring Schedule'!$E$26="Weekdays",WEEKDAY($A271,2)&lt;=5,$A271='Recurring Schedule'!$F$26))),21,""))))</f>
        <v/>
      </c>
      <c r="W271">
        <f>IF('Recurring Schedule'!$C$27="","",IF('Recurring Schedule'!$F$27="","",IF(OR($A271&lt;'Recurring Schedule'!$F$27,$A271&gt;'Recurring Schedule'!$P$27),"",IF(IF('Recurring Schedule'!$N$27&gt;0,MOD($A271-'Recurring Schedule'!$F$27,'Recurring Schedule'!$N$27)=0,IF('Recurring Schedule'!$O$27&gt;0,AND(DAY($A271)=MIN(DAY('Recurring Schedule'!$F$27),DAY(EOMONTH($A271,0))),MOD((YEAR($A271)-YEAR('Recurring Schedule'!$F$27))*12+MONTH($A271)-MONTH('Recurring Schedule'!$F$27),'Recurring Schedule'!$O$27)=0),IF('Recurring Schedule'!$E$27="Weekdays",WEEKDAY($A271,2)&lt;=5,$A271='Recurring Schedule'!$F$27))),22,""))))</f>
        <v/>
      </c>
      <c r="X271">
        <f>IF('Recurring Schedule'!$C$28="","",IF('Recurring Schedule'!$F$28="","",IF(OR($A271&lt;'Recurring Schedule'!$F$28,$A271&gt;'Recurring Schedule'!$P$28),"",IF(IF('Recurring Schedule'!$N$28&gt;0,MOD($A271-'Recurring Schedule'!$F$28,'Recurring Schedule'!$N$28)=0,IF('Recurring Schedule'!$O$28&gt;0,AND(DAY($A271)=MIN(DAY('Recurring Schedule'!$F$28),DAY(EOMONTH($A271,0))),MOD((YEAR($A271)-YEAR('Recurring Schedule'!$F$28))*12+MONTH($A271)-MONTH('Recurring Schedule'!$F$28),'Recurring Schedule'!$O$28)=0),IF('Recurring Schedule'!$E$28="Weekdays",WEEKDAY($A271,2)&lt;=5,$A271='Recurring Schedule'!$F$28))),23,""))))</f>
        <v/>
      </c>
      <c r="Y271">
        <f>IF('Recurring Schedule'!$C$29="","",IF('Recurring Schedule'!$F$29="","",IF(OR($A271&lt;'Recurring Schedule'!$F$29,$A271&gt;'Recurring Schedule'!$P$29),"",IF(IF('Recurring Schedule'!$N$29&gt;0,MOD($A271-'Recurring Schedule'!$F$29,'Recurring Schedule'!$N$29)=0,IF('Recurring Schedule'!$O$29&gt;0,AND(DAY($A271)=MIN(DAY('Recurring Schedule'!$F$29),DAY(EOMONTH($A271,0))),MOD((YEAR($A271)-YEAR('Recurring Schedule'!$F$29))*12+MONTH($A271)-MONTH('Recurring Schedule'!$F$29),'Recurring Schedule'!$O$29)=0),IF('Recurring Schedule'!$E$29="Weekdays",WEEKDAY($A271,2)&lt;=5,$A271='Recurring Schedule'!$F$29))),24,""))))</f>
        <v/>
      </c>
      <c r="Z271">
        <f>IF('Recurring Schedule'!$C$30="","",IF('Recurring Schedule'!$F$30="","",IF(OR($A271&lt;'Recurring Schedule'!$F$30,$A271&gt;'Recurring Schedule'!$P$30),"",IF(IF('Recurring Schedule'!$N$30&gt;0,MOD($A271-'Recurring Schedule'!$F$30,'Recurring Schedule'!$N$30)=0,IF('Recurring Schedule'!$O$30&gt;0,AND(DAY($A271)=MIN(DAY('Recurring Schedule'!$F$30),DAY(EOMONTH($A271,0))),MOD((YEAR($A271)-YEAR('Recurring Schedule'!$F$30))*12+MONTH($A271)-MONTH('Recurring Schedule'!$F$30),'Recurring Schedule'!$O$30)=0),IF('Recurring Schedule'!$E$30="Weekdays",WEEKDAY($A271,2)&lt;=5,$A271='Recurring Schedule'!$F$30))),25,""))))</f>
        <v/>
      </c>
      <c r="AA271">
        <f>IF('Recurring Schedule'!$C$31="","",IF('Recurring Schedule'!$F$31="","",IF(OR($A271&lt;'Recurring Schedule'!$F$31,$A271&gt;'Recurring Schedule'!$P$31),"",IF(IF('Recurring Schedule'!$N$31&gt;0,MOD($A271-'Recurring Schedule'!$F$31,'Recurring Schedule'!$N$31)=0,IF('Recurring Schedule'!$O$31&gt;0,AND(DAY($A271)=MIN(DAY('Recurring Schedule'!$F$31),DAY(EOMONTH($A271,0))),MOD((YEAR($A271)-YEAR('Recurring Schedule'!$F$31))*12+MONTH($A271)-MONTH('Recurring Schedule'!$F$31),'Recurring Schedule'!$O$31)=0),IF('Recurring Schedule'!$E$31="Weekdays",WEEKDAY($A271,2)&lt;=5,$A271='Recurring Schedule'!$F$31))),26,""))))</f>
        <v/>
      </c>
      <c r="AB271">
        <f>IF('Recurring Schedule'!$C$32="","",IF('Recurring Schedule'!$F$32="","",IF(OR($A271&lt;'Recurring Schedule'!$F$32,$A271&gt;'Recurring Schedule'!$P$32),"",IF(IF('Recurring Schedule'!$N$32&gt;0,MOD($A271-'Recurring Schedule'!$F$32,'Recurring Schedule'!$N$32)=0,IF('Recurring Schedule'!$O$32&gt;0,AND(DAY($A271)=MIN(DAY('Recurring Schedule'!$F$32),DAY(EOMONTH($A271,0))),MOD((YEAR($A271)-YEAR('Recurring Schedule'!$F$32))*12+MONTH($A271)-MONTH('Recurring Schedule'!$F$32),'Recurring Schedule'!$O$32)=0),IF('Recurring Schedule'!$E$32="Weekdays",WEEKDAY($A271,2)&lt;=5,$A271='Recurring Schedule'!$F$32))),27,""))))</f>
        <v/>
      </c>
      <c r="AC271">
        <f>IF('Recurring Schedule'!$C$33="","",IF('Recurring Schedule'!$F$33="","",IF(OR($A271&lt;'Recurring Schedule'!$F$33,$A271&gt;'Recurring Schedule'!$P$33),"",IF(IF('Recurring Schedule'!$N$33&gt;0,MOD($A271-'Recurring Schedule'!$F$33,'Recurring Schedule'!$N$33)=0,IF('Recurring Schedule'!$O$33&gt;0,AND(DAY($A271)=MIN(DAY('Recurring Schedule'!$F$33),DAY(EOMONTH($A271,0))),MOD((YEAR($A271)-YEAR('Recurring Schedule'!$F$33))*12+MONTH($A271)-MONTH('Recurring Schedule'!$F$33),'Recurring Schedule'!$O$33)=0),IF('Recurring Schedule'!$E$33="Weekdays",WEEKDAY($A271,2)&lt;=5,$A271='Recurring Schedule'!$F$33))),28,""))))</f>
        <v/>
      </c>
      <c r="AD271">
        <f>IF('Recurring Schedule'!$C$34="","",IF('Recurring Schedule'!$F$34="","",IF(OR($A271&lt;'Recurring Schedule'!$F$34,$A271&gt;'Recurring Schedule'!$P$34),"",IF(IF('Recurring Schedule'!$N$34&gt;0,MOD($A271-'Recurring Schedule'!$F$34,'Recurring Schedule'!$N$34)=0,IF('Recurring Schedule'!$O$34&gt;0,AND(DAY($A271)=MIN(DAY('Recurring Schedule'!$F$34),DAY(EOMONTH($A271,0))),MOD((YEAR($A271)-YEAR('Recurring Schedule'!$F$34))*12+MONTH($A271)-MONTH('Recurring Schedule'!$F$34),'Recurring Schedule'!$O$34)=0),IF('Recurring Schedule'!$E$34="Weekdays",WEEKDAY($A271,2)&lt;=5,$A271='Recurring Schedule'!$F$34))),29,""))))</f>
        <v/>
      </c>
      <c r="AE271">
        <f>IF('Recurring Schedule'!$C$35="","",IF('Recurring Schedule'!$F$35="","",IF(OR($A271&lt;'Recurring Schedule'!$F$35,$A271&gt;'Recurring Schedule'!$P$35),"",IF(IF('Recurring Schedule'!$N$35&gt;0,MOD($A271-'Recurring Schedule'!$F$35,'Recurring Schedule'!$N$35)=0,IF('Recurring Schedule'!$O$35&gt;0,AND(DAY($A271)=MIN(DAY('Recurring Schedule'!$F$35),DAY(EOMONTH($A271,0))),MOD((YEAR($A271)-YEAR('Recurring Schedule'!$F$35))*12+MONTH($A271)-MONTH('Recurring Schedule'!$F$35),'Recurring Schedule'!$O$35)=0),IF('Recurring Schedule'!$E$35="Weekdays",WEEKDAY($A271,2)&lt;=5,$A271='Recurring Schedule'!$F$35))),30,""))))</f>
        <v/>
      </c>
      <c r="AF271">
        <f>IF('Recurring Schedule'!$C$36="","",IF('Recurring Schedule'!$F$36="","",IF(OR($A271&lt;'Recurring Schedule'!$F$36,$A271&gt;'Recurring Schedule'!$P$36),"",IF(IF('Recurring Schedule'!$N$36&gt;0,MOD($A271-'Recurring Schedule'!$F$36,'Recurring Schedule'!$N$36)=0,IF('Recurring Schedule'!$O$36&gt;0,AND(DAY($A271)=MIN(DAY('Recurring Schedule'!$F$36),DAY(EOMONTH($A271,0))),MOD((YEAR($A271)-YEAR('Recurring Schedule'!$F$36))*12+MONTH($A271)-MONTH('Recurring Schedule'!$F$36),'Recurring Schedule'!$O$36)=0),IF('Recurring Schedule'!$E$36="Weekdays",WEEKDAY($A271,2)&lt;=5,$A271='Recurring Schedule'!$F$36))),31,""))))</f>
        <v/>
      </c>
      <c r="AG271">
        <f>IF('Recurring Schedule'!$C$37="","",IF('Recurring Schedule'!$F$37="","",IF(OR($A271&lt;'Recurring Schedule'!$F$37,$A271&gt;'Recurring Schedule'!$P$37),"",IF(IF('Recurring Schedule'!$N$37&gt;0,MOD($A271-'Recurring Schedule'!$F$37,'Recurring Schedule'!$N$37)=0,IF('Recurring Schedule'!$O$37&gt;0,AND(DAY($A271)=MIN(DAY('Recurring Schedule'!$F$37),DAY(EOMONTH($A271,0))),MOD((YEAR($A271)-YEAR('Recurring Schedule'!$F$37))*12+MONTH($A271)-MONTH('Recurring Schedule'!$F$37),'Recurring Schedule'!$O$37)=0),IF('Recurring Schedule'!$E$37="Weekdays",WEEKDAY($A271,2)&lt;=5,$A271='Recurring Schedule'!$F$37))),32,""))))</f>
        <v/>
      </c>
      <c r="AH271">
        <f>IF('Recurring Schedule'!$C$38="","",IF('Recurring Schedule'!$F$38="","",IF(OR($A271&lt;'Recurring Schedule'!$F$38,$A271&gt;'Recurring Schedule'!$P$38),"",IF(IF('Recurring Schedule'!$N$38&gt;0,MOD($A271-'Recurring Schedule'!$F$38,'Recurring Schedule'!$N$38)=0,IF('Recurring Schedule'!$O$38&gt;0,AND(DAY($A271)=MIN(DAY('Recurring Schedule'!$F$38),DAY(EOMONTH($A271,0))),MOD((YEAR($A271)-YEAR('Recurring Schedule'!$F$38))*12+MONTH($A271)-MONTH('Recurring Schedule'!$F$38),'Recurring Schedule'!$O$38)=0),IF('Recurring Schedule'!$E$38="Weekdays",WEEKDAY($A271,2)&lt;=5,$A271='Recurring Schedule'!$F$38))),33,""))))</f>
        <v/>
      </c>
      <c r="AI271">
        <f>IF('Recurring Schedule'!$C$39="","",IF('Recurring Schedule'!$F$39="","",IF(OR($A271&lt;'Recurring Schedule'!$F$39,$A271&gt;'Recurring Schedule'!$P$39),"",IF(IF('Recurring Schedule'!$N$39&gt;0,MOD($A271-'Recurring Schedule'!$F$39,'Recurring Schedule'!$N$39)=0,IF('Recurring Schedule'!$O$39&gt;0,AND(DAY($A271)=MIN(DAY('Recurring Schedule'!$F$39),DAY(EOMONTH($A271,0))),MOD((YEAR($A271)-YEAR('Recurring Schedule'!$F$39))*12+MONTH($A271)-MONTH('Recurring Schedule'!$F$39),'Recurring Schedule'!$O$39)=0),IF('Recurring Schedule'!$E$39="Weekdays",WEEKDAY($A271,2)&lt;=5,$A271='Recurring Schedule'!$F$39))),34,""))))</f>
        <v/>
      </c>
      <c r="AJ271">
        <f>IF('Recurring Schedule'!$C$40="","",IF('Recurring Schedule'!$F$40="","",IF(OR($A271&lt;'Recurring Schedule'!$F$40,$A271&gt;'Recurring Schedule'!$P$40),"",IF(IF('Recurring Schedule'!$N$40&gt;0,MOD($A271-'Recurring Schedule'!$F$40,'Recurring Schedule'!$N$40)=0,IF('Recurring Schedule'!$O$40&gt;0,AND(DAY($A271)=MIN(DAY('Recurring Schedule'!$F$40),DAY(EOMONTH($A271,0))),MOD((YEAR($A271)-YEAR('Recurring Schedule'!$F$40))*12+MONTH($A271)-MONTH('Recurring Schedule'!$F$40),'Recurring Schedule'!$O$40)=0),IF('Recurring Schedule'!$E$40="Weekdays",WEEKDAY($A271,2)&lt;=5,$A271='Recurring Schedule'!$F$40))),35,""))))</f>
        <v/>
      </c>
      <c r="AK271">
        <f>IF('Recurring Schedule'!$C$41="","",IF('Recurring Schedule'!$F$41="","",IF(OR($A271&lt;'Recurring Schedule'!$F$41,$A271&gt;'Recurring Schedule'!$P$41),"",IF(IF('Recurring Schedule'!$N$41&gt;0,MOD($A271-'Recurring Schedule'!$F$41,'Recurring Schedule'!$N$41)=0,IF('Recurring Schedule'!$O$41&gt;0,AND(DAY($A271)=MIN(DAY('Recurring Schedule'!$F$41),DAY(EOMONTH($A271,0))),MOD((YEAR($A271)-YEAR('Recurring Schedule'!$F$41))*12+MONTH($A271)-MONTH('Recurring Schedule'!$F$41),'Recurring Schedule'!$O$41)=0),IF('Recurring Schedule'!$E$41="Weekdays",WEEKDAY($A271,2)&lt;=5,$A271='Recurring Schedule'!$F$41))),36,""))))</f>
        <v/>
      </c>
      <c r="AL271">
        <f>IF('Recurring Schedule'!$C$42="","",IF('Recurring Schedule'!$F$42="","",IF(OR($A271&lt;'Recurring Schedule'!$F$42,$A271&gt;'Recurring Schedule'!$P$42),"",IF(IF('Recurring Schedule'!$N$42&gt;0,MOD($A271-'Recurring Schedule'!$F$42,'Recurring Schedule'!$N$42)=0,IF('Recurring Schedule'!$O$42&gt;0,AND(DAY($A271)=MIN(DAY('Recurring Schedule'!$F$42),DAY(EOMONTH($A271,0))),MOD((YEAR($A271)-YEAR('Recurring Schedule'!$F$42))*12+MONTH($A271)-MONTH('Recurring Schedule'!$F$42),'Recurring Schedule'!$O$42)=0),IF('Recurring Schedule'!$E$42="Weekdays",WEEKDAY($A271,2)&lt;=5,$A271='Recurring Schedule'!$F$42))),37,""))))</f>
        <v/>
      </c>
      <c r="AM271">
        <f>IF('Recurring Schedule'!$C$43="","",IF('Recurring Schedule'!$F$43="","",IF(OR($A271&lt;'Recurring Schedule'!$F$43,$A271&gt;'Recurring Schedule'!$P$43),"",IF(IF('Recurring Schedule'!$N$43&gt;0,MOD($A271-'Recurring Schedule'!$F$43,'Recurring Schedule'!$N$43)=0,IF('Recurring Schedule'!$O$43&gt;0,AND(DAY($A271)=MIN(DAY('Recurring Schedule'!$F$43),DAY(EOMONTH($A271,0))),MOD((YEAR($A271)-YEAR('Recurring Schedule'!$F$43))*12+MONTH($A271)-MONTH('Recurring Schedule'!$F$43),'Recurring Schedule'!$O$43)=0),IF('Recurring Schedule'!$E$43="Weekdays",WEEKDAY($A271,2)&lt;=5,$A271='Recurring Schedule'!$F$43))),38,""))))</f>
        <v/>
      </c>
      <c r="AN271">
        <f>IF('Recurring Schedule'!$C$44="","",IF('Recurring Schedule'!$F$44="","",IF(OR($A271&lt;'Recurring Schedule'!$F$44,$A271&gt;'Recurring Schedule'!$P$44),"",IF(IF('Recurring Schedule'!$N$44&gt;0,MOD($A271-'Recurring Schedule'!$F$44,'Recurring Schedule'!$N$44)=0,IF('Recurring Schedule'!$O$44&gt;0,AND(DAY($A271)=MIN(DAY('Recurring Schedule'!$F$44),DAY(EOMONTH($A271,0))),MOD((YEAR($A271)-YEAR('Recurring Schedule'!$F$44))*12+MONTH($A271)-MONTH('Recurring Schedule'!$F$44),'Recurring Schedule'!$O$44)=0),IF('Recurring Schedule'!$E$44="Weekdays",WEEKDAY($A271,2)&lt;=5,$A271='Recurring Schedule'!$F$44))),39,""))))</f>
        <v/>
      </c>
      <c r="AO271">
        <f>IF('Recurring Schedule'!$C$45="","",IF('Recurring Schedule'!$F$45="","",IF(OR($A271&lt;'Recurring Schedule'!$F$45,$A271&gt;'Recurring Schedule'!$P$45),"",IF(IF('Recurring Schedule'!$N$45&gt;0,MOD($A271-'Recurring Schedule'!$F$45,'Recurring Schedule'!$N$45)=0,IF('Recurring Schedule'!$O$45&gt;0,AND(DAY($A271)=MIN(DAY('Recurring Schedule'!$F$45),DAY(EOMONTH($A271,0))),MOD((YEAR($A271)-YEAR('Recurring Schedule'!$F$45))*12+MONTH($A271)-MONTH('Recurring Schedule'!$F$45),'Recurring Schedule'!$O$45)=0),IF('Recurring Schedule'!$E$45="Weekdays",WEEKDAY($A271,2)&lt;=5,$A271='Recurring Schedule'!$F$45))),40,""))))</f>
        <v/>
      </c>
      <c r="AP271">
        <f>COUNT(B271:AO271)</f>
        <v/>
      </c>
      <c r="AQ271">
        <f>AQ270+AP270</f>
        <v/>
      </c>
      <c r="AS271" t="inlineStr">
        <is>
          <t>R</t>
        </is>
      </c>
      <c r="AT271" t="n">
        <v>275</v>
      </c>
      <c r="AU271">
        <f>'Recurring Log'!C275&amp;""</f>
        <v/>
      </c>
      <c r="AV271">
        <f>'Recurring Log'!D275&amp;""</f>
        <v/>
      </c>
      <c r="AW271">
        <f>IF('Recurring Log'!E275="","",'Recurring Log'!E275)</f>
        <v/>
      </c>
      <c r="AX271">
        <f>IF('Recurring Log'!G275="","",'Recurring Log'!G275)</f>
        <v/>
      </c>
      <c r="AY271">
        <f>IF('Recurring Log'!H275="","",'Recurring Log'!H275)</f>
        <v/>
      </c>
      <c r="AZ271">
        <f>IF(AU271="","",IF('Recurring Log'!J275="","Not Started",'Recurring Log'!J275))</f>
        <v/>
      </c>
      <c r="BA271">
        <f>'Recurring Log'!L275&amp;""</f>
        <v/>
      </c>
      <c r="BB271">
        <f>'Recurring Log'!M275&amp;""</f>
        <v/>
      </c>
      <c r="BC271">
        <f>'Recurring Log'!N275&amp;""</f>
        <v/>
      </c>
      <c r="BD271">
        <f>'Recurring Log'!O275&amp;""</f>
        <v/>
      </c>
      <c r="BE271">
        <f>IF('Recurring Log'!K275="","",'Recurring Log'!K275)</f>
        <v/>
      </c>
      <c r="BF271">
        <f>IFERROR(MATCH(BA271,Setup!$L$6:$L$9,0),5)</f>
        <v/>
      </c>
      <c r="BG271">
        <f>IF(OR(AZ271="Done",AZ271="Cancelled"),1,0)</f>
        <v/>
      </c>
      <c r="BH271">
        <f>IF(AND(AU271&lt;&gt;"",ISNUMBER(AW271)),1,0)</f>
        <v/>
      </c>
      <c r="BI271">
        <f>IF(BH271=0,0,IF(AND(AW271&gt;='Tasks Filter'!$F$3,AW271&lt;='Tasks Filter'!$F$4,OR('Tasks Filter'!$I$3="",ISNUMBER(SEARCH('Tasks Filter'!$I$3,AU271))),OR('Tasks Filter'!$I$4="",BF271=IFERROR(MATCH('Tasks Filter'!$I$4,Setup!$L$6:$L$9,0),0)),OR('Tasks Filter'!$I$5="Both",AND('Tasks Filter'!$I$5="Yes",BB271="✓"),AND('Tasks Filter'!$I$5="No",BB271&lt;&gt;"✓")),OR('Tasks Filter'!$L$3="",AV271='Tasks Filter'!$L$3),OR('Tasks Filter'!$L$4="",AZ271='Tasks Filter'!$L$4),OR('Tasks Filter'!$L$5="",BC271='Tasks Filter'!$L$5),OR('Tasks Filter'!$O$3="",BD271='Tasks Filter'!$O$3),OR('Tasks Filter'!$O$4="Yes",BG271=0)),1,0))</f>
        <v/>
      </c>
      <c r="BJ271">
        <f>IF(BH271=0,"",IF('Tasks Filter'!$F$6="Descending",-1,1)*CHOOSE(MATCH('Tasks Filter'!$F$5,Lists!$G$2:$G$6,0),AW271,BF271,IFERROR(MATCH(AV271,Setup!$F$6:$F$15,0),99),IFERROR(MATCH(BC271,Setup!$H$6:$H$15,0),99),IFERROR(MATCH(AZ271,Setup!$J$6:$J$11,0),99))*1E+9+(AW271-40000)*10000+270)</f>
        <v/>
      </c>
      <c r="BK271">
        <f>IF(BI271=1,BJ271,"")</f>
        <v/>
      </c>
      <c r="BL271">
        <f>IF(AND(BH271=1,BG271=0,N(AW271)&lt;Setup!$D$7),(AW271-40000)*10000+270,"")</f>
        <v/>
      </c>
      <c r="BM271">
        <f>IF(AND(BH271=1,AZ271&lt;&gt;"Cancelled",N(AW271)&gt;=Dashboard!$AB$3,N(AW271)&lt;=Dashboard!$AB$3+6),(AW271-40000)*100000+BF271*10000+270,"")</f>
        <v/>
      </c>
      <c r="BN271">
        <f>IF(AND(BH271=1,AZ271&lt;&gt;"Cancelled"),BF271*10000+270,"")</f>
        <v/>
      </c>
    </row>
    <row r="272">
      <c r="A272">
        <f>Setup!$D$5+270</f>
        <v/>
      </c>
      <c r="B272">
        <f>IF('Recurring Schedule'!$C$6="","",IF('Recurring Schedule'!$F$6="","",IF(OR($A272&lt;'Recurring Schedule'!$F$6,$A272&gt;'Recurring Schedule'!$P$6),"",IF(IF('Recurring Schedule'!$N$6&gt;0,MOD($A272-'Recurring Schedule'!$F$6,'Recurring Schedule'!$N$6)=0,IF('Recurring Schedule'!$O$6&gt;0,AND(DAY($A272)=MIN(DAY('Recurring Schedule'!$F$6),DAY(EOMONTH($A272,0))),MOD((YEAR($A272)-YEAR('Recurring Schedule'!$F$6))*12+MONTH($A272)-MONTH('Recurring Schedule'!$F$6),'Recurring Schedule'!$O$6)=0),IF('Recurring Schedule'!$E$6="Weekdays",WEEKDAY($A272,2)&lt;=5,$A272='Recurring Schedule'!$F$6))),1,""))))</f>
        <v/>
      </c>
      <c r="C272">
        <f>IF('Recurring Schedule'!$C$7="","",IF('Recurring Schedule'!$F$7="","",IF(OR($A272&lt;'Recurring Schedule'!$F$7,$A272&gt;'Recurring Schedule'!$P$7),"",IF(IF('Recurring Schedule'!$N$7&gt;0,MOD($A272-'Recurring Schedule'!$F$7,'Recurring Schedule'!$N$7)=0,IF('Recurring Schedule'!$O$7&gt;0,AND(DAY($A272)=MIN(DAY('Recurring Schedule'!$F$7),DAY(EOMONTH($A272,0))),MOD((YEAR($A272)-YEAR('Recurring Schedule'!$F$7))*12+MONTH($A272)-MONTH('Recurring Schedule'!$F$7),'Recurring Schedule'!$O$7)=0),IF('Recurring Schedule'!$E$7="Weekdays",WEEKDAY($A272,2)&lt;=5,$A272='Recurring Schedule'!$F$7))),2,""))))</f>
        <v/>
      </c>
      <c r="D272">
        <f>IF('Recurring Schedule'!$C$8="","",IF('Recurring Schedule'!$F$8="","",IF(OR($A272&lt;'Recurring Schedule'!$F$8,$A272&gt;'Recurring Schedule'!$P$8),"",IF(IF('Recurring Schedule'!$N$8&gt;0,MOD($A272-'Recurring Schedule'!$F$8,'Recurring Schedule'!$N$8)=0,IF('Recurring Schedule'!$O$8&gt;0,AND(DAY($A272)=MIN(DAY('Recurring Schedule'!$F$8),DAY(EOMONTH($A272,0))),MOD((YEAR($A272)-YEAR('Recurring Schedule'!$F$8))*12+MONTH($A272)-MONTH('Recurring Schedule'!$F$8),'Recurring Schedule'!$O$8)=0),IF('Recurring Schedule'!$E$8="Weekdays",WEEKDAY($A272,2)&lt;=5,$A272='Recurring Schedule'!$F$8))),3,""))))</f>
        <v/>
      </c>
      <c r="E272">
        <f>IF('Recurring Schedule'!$C$9="","",IF('Recurring Schedule'!$F$9="","",IF(OR($A272&lt;'Recurring Schedule'!$F$9,$A272&gt;'Recurring Schedule'!$P$9),"",IF(IF('Recurring Schedule'!$N$9&gt;0,MOD($A272-'Recurring Schedule'!$F$9,'Recurring Schedule'!$N$9)=0,IF('Recurring Schedule'!$O$9&gt;0,AND(DAY($A272)=MIN(DAY('Recurring Schedule'!$F$9),DAY(EOMONTH($A272,0))),MOD((YEAR($A272)-YEAR('Recurring Schedule'!$F$9))*12+MONTH($A272)-MONTH('Recurring Schedule'!$F$9),'Recurring Schedule'!$O$9)=0),IF('Recurring Schedule'!$E$9="Weekdays",WEEKDAY($A272,2)&lt;=5,$A272='Recurring Schedule'!$F$9))),4,""))))</f>
        <v/>
      </c>
      <c r="F272">
        <f>IF('Recurring Schedule'!$C$10="","",IF('Recurring Schedule'!$F$10="","",IF(OR($A272&lt;'Recurring Schedule'!$F$10,$A272&gt;'Recurring Schedule'!$P$10),"",IF(IF('Recurring Schedule'!$N$10&gt;0,MOD($A272-'Recurring Schedule'!$F$10,'Recurring Schedule'!$N$10)=0,IF('Recurring Schedule'!$O$10&gt;0,AND(DAY($A272)=MIN(DAY('Recurring Schedule'!$F$10),DAY(EOMONTH($A272,0))),MOD((YEAR($A272)-YEAR('Recurring Schedule'!$F$10))*12+MONTH($A272)-MONTH('Recurring Schedule'!$F$10),'Recurring Schedule'!$O$10)=0),IF('Recurring Schedule'!$E$10="Weekdays",WEEKDAY($A272,2)&lt;=5,$A272='Recurring Schedule'!$F$10))),5,""))))</f>
        <v/>
      </c>
      <c r="G272">
        <f>IF('Recurring Schedule'!$C$11="","",IF('Recurring Schedule'!$F$11="","",IF(OR($A272&lt;'Recurring Schedule'!$F$11,$A272&gt;'Recurring Schedule'!$P$11),"",IF(IF('Recurring Schedule'!$N$11&gt;0,MOD($A272-'Recurring Schedule'!$F$11,'Recurring Schedule'!$N$11)=0,IF('Recurring Schedule'!$O$11&gt;0,AND(DAY($A272)=MIN(DAY('Recurring Schedule'!$F$11),DAY(EOMONTH($A272,0))),MOD((YEAR($A272)-YEAR('Recurring Schedule'!$F$11))*12+MONTH($A272)-MONTH('Recurring Schedule'!$F$11),'Recurring Schedule'!$O$11)=0),IF('Recurring Schedule'!$E$11="Weekdays",WEEKDAY($A272,2)&lt;=5,$A272='Recurring Schedule'!$F$11))),6,""))))</f>
        <v/>
      </c>
      <c r="H272">
        <f>IF('Recurring Schedule'!$C$12="","",IF('Recurring Schedule'!$F$12="","",IF(OR($A272&lt;'Recurring Schedule'!$F$12,$A272&gt;'Recurring Schedule'!$P$12),"",IF(IF('Recurring Schedule'!$N$12&gt;0,MOD($A272-'Recurring Schedule'!$F$12,'Recurring Schedule'!$N$12)=0,IF('Recurring Schedule'!$O$12&gt;0,AND(DAY($A272)=MIN(DAY('Recurring Schedule'!$F$12),DAY(EOMONTH($A272,0))),MOD((YEAR($A272)-YEAR('Recurring Schedule'!$F$12))*12+MONTH($A272)-MONTH('Recurring Schedule'!$F$12),'Recurring Schedule'!$O$12)=0),IF('Recurring Schedule'!$E$12="Weekdays",WEEKDAY($A272,2)&lt;=5,$A272='Recurring Schedule'!$F$12))),7,""))))</f>
        <v/>
      </c>
      <c r="I272">
        <f>IF('Recurring Schedule'!$C$13="","",IF('Recurring Schedule'!$F$13="","",IF(OR($A272&lt;'Recurring Schedule'!$F$13,$A272&gt;'Recurring Schedule'!$P$13),"",IF(IF('Recurring Schedule'!$N$13&gt;0,MOD($A272-'Recurring Schedule'!$F$13,'Recurring Schedule'!$N$13)=0,IF('Recurring Schedule'!$O$13&gt;0,AND(DAY($A272)=MIN(DAY('Recurring Schedule'!$F$13),DAY(EOMONTH($A272,0))),MOD((YEAR($A272)-YEAR('Recurring Schedule'!$F$13))*12+MONTH($A272)-MONTH('Recurring Schedule'!$F$13),'Recurring Schedule'!$O$13)=0),IF('Recurring Schedule'!$E$13="Weekdays",WEEKDAY($A272,2)&lt;=5,$A272='Recurring Schedule'!$F$13))),8,""))))</f>
        <v/>
      </c>
      <c r="J272">
        <f>IF('Recurring Schedule'!$C$14="","",IF('Recurring Schedule'!$F$14="","",IF(OR($A272&lt;'Recurring Schedule'!$F$14,$A272&gt;'Recurring Schedule'!$P$14),"",IF(IF('Recurring Schedule'!$N$14&gt;0,MOD($A272-'Recurring Schedule'!$F$14,'Recurring Schedule'!$N$14)=0,IF('Recurring Schedule'!$O$14&gt;0,AND(DAY($A272)=MIN(DAY('Recurring Schedule'!$F$14),DAY(EOMONTH($A272,0))),MOD((YEAR($A272)-YEAR('Recurring Schedule'!$F$14))*12+MONTH($A272)-MONTH('Recurring Schedule'!$F$14),'Recurring Schedule'!$O$14)=0),IF('Recurring Schedule'!$E$14="Weekdays",WEEKDAY($A272,2)&lt;=5,$A272='Recurring Schedule'!$F$14))),9,""))))</f>
        <v/>
      </c>
      <c r="K272">
        <f>IF('Recurring Schedule'!$C$15="","",IF('Recurring Schedule'!$F$15="","",IF(OR($A272&lt;'Recurring Schedule'!$F$15,$A272&gt;'Recurring Schedule'!$P$15),"",IF(IF('Recurring Schedule'!$N$15&gt;0,MOD($A272-'Recurring Schedule'!$F$15,'Recurring Schedule'!$N$15)=0,IF('Recurring Schedule'!$O$15&gt;0,AND(DAY($A272)=MIN(DAY('Recurring Schedule'!$F$15),DAY(EOMONTH($A272,0))),MOD((YEAR($A272)-YEAR('Recurring Schedule'!$F$15))*12+MONTH($A272)-MONTH('Recurring Schedule'!$F$15),'Recurring Schedule'!$O$15)=0),IF('Recurring Schedule'!$E$15="Weekdays",WEEKDAY($A272,2)&lt;=5,$A272='Recurring Schedule'!$F$15))),10,""))))</f>
        <v/>
      </c>
      <c r="L272">
        <f>IF('Recurring Schedule'!$C$16="","",IF('Recurring Schedule'!$F$16="","",IF(OR($A272&lt;'Recurring Schedule'!$F$16,$A272&gt;'Recurring Schedule'!$P$16),"",IF(IF('Recurring Schedule'!$N$16&gt;0,MOD($A272-'Recurring Schedule'!$F$16,'Recurring Schedule'!$N$16)=0,IF('Recurring Schedule'!$O$16&gt;0,AND(DAY($A272)=MIN(DAY('Recurring Schedule'!$F$16),DAY(EOMONTH($A272,0))),MOD((YEAR($A272)-YEAR('Recurring Schedule'!$F$16))*12+MONTH($A272)-MONTH('Recurring Schedule'!$F$16),'Recurring Schedule'!$O$16)=0),IF('Recurring Schedule'!$E$16="Weekdays",WEEKDAY($A272,2)&lt;=5,$A272='Recurring Schedule'!$F$16))),11,""))))</f>
        <v/>
      </c>
      <c r="M272">
        <f>IF('Recurring Schedule'!$C$17="","",IF('Recurring Schedule'!$F$17="","",IF(OR($A272&lt;'Recurring Schedule'!$F$17,$A272&gt;'Recurring Schedule'!$P$17),"",IF(IF('Recurring Schedule'!$N$17&gt;0,MOD($A272-'Recurring Schedule'!$F$17,'Recurring Schedule'!$N$17)=0,IF('Recurring Schedule'!$O$17&gt;0,AND(DAY($A272)=MIN(DAY('Recurring Schedule'!$F$17),DAY(EOMONTH($A272,0))),MOD((YEAR($A272)-YEAR('Recurring Schedule'!$F$17))*12+MONTH($A272)-MONTH('Recurring Schedule'!$F$17),'Recurring Schedule'!$O$17)=0),IF('Recurring Schedule'!$E$17="Weekdays",WEEKDAY($A272,2)&lt;=5,$A272='Recurring Schedule'!$F$17))),12,""))))</f>
        <v/>
      </c>
      <c r="N272">
        <f>IF('Recurring Schedule'!$C$18="","",IF('Recurring Schedule'!$F$18="","",IF(OR($A272&lt;'Recurring Schedule'!$F$18,$A272&gt;'Recurring Schedule'!$P$18),"",IF(IF('Recurring Schedule'!$N$18&gt;0,MOD($A272-'Recurring Schedule'!$F$18,'Recurring Schedule'!$N$18)=0,IF('Recurring Schedule'!$O$18&gt;0,AND(DAY($A272)=MIN(DAY('Recurring Schedule'!$F$18),DAY(EOMONTH($A272,0))),MOD((YEAR($A272)-YEAR('Recurring Schedule'!$F$18))*12+MONTH($A272)-MONTH('Recurring Schedule'!$F$18),'Recurring Schedule'!$O$18)=0),IF('Recurring Schedule'!$E$18="Weekdays",WEEKDAY($A272,2)&lt;=5,$A272='Recurring Schedule'!$F$18))),13,""))))</f>
        <v/>
      </c>
      <c r="O272">
        <f>IF('Recurring Schedule'!$C$19="","",IF('Recurring Schedule'!$F$19="","",IF(OR($A272&lt;'Recurring Schedule'!$F$19,$A272&gt;'Recurring Schedule'!$P$19),"",IF(IF('Recurring Schedule'!$N$19&gt;0,MOD($A272-'Recurring Schedule'!$F$19,'Recurring Schedule'!$N$19)=0,IF('Recurring Schedule'!$O$19&gt;0,AND(DAY($A272)=MIN(DAY('Recurring Schedule'!$F$19),DAY(EOMONTH($A272,0))),MOD((YEAR($A272)-YEAR('Recurring Schedule'!$F$19))*12+MONTH($A272)-MONTH('Recurring Schedule'!$F$19),'Recurring Schedule'!$O$19)=0),IF('Recurring Schedule'!$E$19="Weekdays",WEEKDAY($A272,2)&lt;=5,$A272='Recurring Schedule'!$F$19))),14,""))))</f>
        <v/>
      </c>
      <c r="P272">
        <f>IF('Recurring Schedule'!$C$20="","",IF('Recurring Schedule'!$F$20="","",IF(OR($A272&lt;'Recurring Schedule'!$F$20,$A272&gt;'Recurring Schedule'!$P$20),"",IF(IF('Recurring Schedule'!$N$20&gt;0,MOD($A272-'Recurring Schedule'!$F$20,'Recurring Schedule'!$N$20)=0,IF('Recurring Schedule'!$O$20&gt;0,AND(DAY($A272)=MIN(DAY('Recurring Schedule'!$F$20),DAY(EOMONTH($A272,0))),MOD((YEAR($A272)-YEAR('Recurring Schedule'!$F$20))*12+MONTH($A272)-MONTH('Recurring Schedule'!$F$20),'Recurring Schedule'!$O$20)=0),IF('Recurring Schedule'!$E$20="Weekdays",WEEKDAY($A272,2)&lt;=5,$A272='Recurring Schedule'!$F$20))),15,""))))</f>
        <v/>
      </c>
      <c r="Q272">
        <f>IF('Recurring Schedule'!$C$21="","",IF('Recurring Schedule'!$F$21="","",IF(OR($A272&lt;'Recurring Schedule'!$F$21,$A272&gt;'Recurring Schedule'!$P$21),"",IF(IF('Recurring Schedule'!$N$21&gt;0,MOD($A272-'Recurring Schedule'!$F$21,'Recurring Schedule'!$N$21)=0,IF('Recurring Schedule'!$O$21&gt;0,AND(DAY($A272)=MIN(DAY('Recurring Schedule'!$F$21),DAY(EOMONTH($A272,0))),MOD((YEAR($A272)-YEAR('Recurring Schedule'!$F$21))*12+MONTH($A272)-MONTH('Recurring Schedule'!$F$21),'Recurring Schedule'!$O$21)=0),IF('Recurring Schedule'!$E$21="Weekdays",WEEKDAY($A272,2)&lt;=5,$A272='Recurring Schedule'!$F$21))),16,""))))</f>
        <v/>
      </c>
      <c r="R272">
        <f>IF('Recurring Schedule'!$C$22="","",IF('Recurring Schedule'!$F$22="","",IF(OR($A272&lt;'Recurring Schedule'!$F$22,$A272&gt;'Recurring Schedule'!$P$22),"",IF(IF('Recurring Schedule'!$N$22&gt;0,MOD($A272-'Recurring Schedule'!$F$22,'Recurring Schedule'!$N$22)=0,IF('Recurring Schedule'!$O$22&gt;0,AND(DAY($A272)=MIN(DAY('Recurring Schedule'!$F$22),DAY(EOMONTH($A272,0))),MOD((YEAR($A272)-YEAR('Recurring Schedule'!$F$22))*12+MONTH($A272)-MONTH('Recurring Schedule'!$F$22),'Recurring Schedule'!$O$22)=0),IF('Recurring Schedule'!$E$22="Weekdays",WEEKDAY($A272,2)&lt;=5,$A272='Recurring Schedule'!$F$22))),17,""))))</f>
        <v/>
      </c>
      <c r="S272">
        <f>IF('Recurring Schedule'!$C$23="","",IF('Recurring Schedule'!$F$23="","",IF(OR($A272&lt;'Recurring Schedule'!$F$23,$A272&gt;'Recurring Schedule'!$P$23),"",IF(IF('Recurring Schedule'!$N$23&gt;0,MOD($A272-'Recurring Schedule'!$F$23,'Recurring Schedule'!$N$23)=0,IF('Recurring Schedule'!$O$23&gt;0,AND(DAY($A272)=MIN(DAY('Recurring Schedule'!$F$23),DAY(EOMONTH($A272,0))),MOD((YEAR($A272)-YEAR('Recurring Schedule'!$F$23))*12+MONTH($A272)-MONTH('Recurring Schedule'!$F$23),'Recurring Schedule'!$O$23)=0),IF('Recurring Schedule'!$E$23="Weekdays",WEEKDAY($A272,2)&lt;=5,$A272='Recurring Schedule'!$F$23))),18,""))))</f>
        <v/>
      </c>
      <c r="T272">
        <f>IF('Recurring Schedule'!$C$24="","",IF('Recurring Schedule'!$F$24="","",IF(OR($A272&lt;'Recurring Schedule'!$F$24,$A272&gt;'Recurring Schedule'!$P$24),"",IF(IF('Recurring Schedule'!$N$24&gt;0,MOD($A272-'Recurring Schedule'!$F$24,'Recurring Schedule'!$N$24)=0,IF('Recurring Schedule'!$O$24&gt;0,AND(DAY($A272)=MIN(DAY('Recurring Schedule'!$F$24),DAY(EOMONTH($A272,0))),MOD((YEAR($A272)-YEAR('Recurring Schedule'!$F$24))*12+MONTH($A272)-MONTH('Recurring Schedule'!$F$24),'Recurring Schedule'!$O$24)=0),IF('Recurring Schedule'!$E$24="Weekdays",WEEKDAY($A272,2)&lt;=5,$A272='Recurring Schedule'!$F$24))),19,""))))</f>
        <v/>
      </c>
      <c r="U272">
        <f>IF('Recurring Schedule'!$C$25="","",IF('Recurring Schedule'!$F$25="","",IF(OR($A272&lt;'Recurring Schedule'!$F$25,$A272&gt;'Recurring Schedule'!$P$25),"",IF(IF('Recurring Schedule'!$N$25&gt;0,MOD($A272-'Recurring Schedule'!$F$25,'Recurring Schedule'!$N$25)=0,IF('Recurring Schedule'!$O$25&gt;0,AND(DAY($A272)=MIN(DAY('Recurring Schedule'!$F$25),DAY(EOMONTH($A272,0))),MOD((YEAR($A272)-YEAR('Recurring Schedule'!$F$25))*12+MONTH($A272)-MONTH('Recurring Schedule'!$F$25),'Recurring Schedule'!$O$25)=0),IF('Recurring Schedule'!$E$25="Weekdays",WEEKDAY($A272,2)&lt;=5,$A272='Recurring Schedule'!$F$25))),20,""))))</f>
        <v/>
      </c>
      <c r="V272">
        <f>IF('Recurring Schedule'!$C$26="","",IF('Recurring Schedule'!$F$26="","",IF(OR($A272&lt;'Recurring Schedule'!$F$26,$A272&gt;'Recurring Schedule'!$P$26),"",IF(IF('Recurring Schedule'!$N$26&gt;0,MOD($A272-'Recurring Schedule'!$F$26,'Recurring Schedule'!$N$26)=0,IF('Recurring Schedule'!$O$26&gt;0,AND(DAY($A272)=MIN(DAY('Recurring Schedule'!$F$26),DAY(EOMONTH($A272,0))),MOD((YEAR($A272)-YEAR('Recurring Schedule'!$F$26))*12+MONTH($A272)-MONTH('Recurring Schedule'!$F$26),'Recurring Schedule'!$O$26)=0),IF('Recurring Schedule'!$E$26="Weekdays",WEEKDAY($A272,2)&lt;=5,$A272='Recurring Schedule'!$F$26))),21,""))))</f>
        <v/>
      </c>
      <c r="W272">
        <f>IF('Recurring Schedule'!$C$27="","",IF('Recurring Schedule'!$F$27="","",IF(OR($A272&lt;'Recurring Schedule'!$F$27,$A272&gt;'Recurring Schedule'!$P$27),"",IF(IF('Recurring Schedule'!$N$27&gt;0,MOD($A272-'Recurring Schedule'!$F$27,'Recurring Schedule'!$N$27)=0,IF('Recurring Schedule'!$O$27&gt;0,AND(DAY($A272)=MIN(DAY('Recurring Schedule'!$F$27),DAY(EOMONTH($A272,0))),MOD((YEAR($A272)-YEAR('Recurring Schedule'!$F$27))*12+MONTH($A272)-MONTH('Recurring Schedule'!$F$27),'Recurring Schedule'!$O$27)=0),IF('Recurring Schedule'!$E$27="Weekdays",WEEKDAY($A272,2)&lt;=5,$A272='Recurring Schedule'!$F$27))),22,""))))</f>
        <v/>
      </c>
      <c r="X272">
        <f>IF('Recurring Schedule'!$C$28="","",IF('Recurring Schedule'!$F$28="","",IF(OR($A272&lt;'Recurring Schedule'!$F$28,$A272&gt;'Recurring Schedule'!$P$28),"",IF(IF('Recurring Schedule'!$N$28&gt;0,MOD($A272-'Recurring Schedule'!$F$28,'Recurring Schedule'!$N$28)=0,IF('Recurring Schedule'!$O$28&gt;0,AND(DAY($A272)=MIN(DAY('Recurring Schedule'!$F$28),DAY(EOMONTH($A272,0))),MOD((YEAR($A272)-YEAR('Recurring Schedule'!$F$28))*12+MONTH($A272)-MONTH('Recurring Schedule'!$F$28),'Recurring Schedule'!$O$28)=0),IF('Recurring Schedule'!$E$28="Weekdays",WEEKDAY($A272,2)&lt;=5,$A272='Recurring Schedule'!$F$28))),23,""))))</f>
        <v/>
      </c>
      <c r="Y272">
        <f>IF('Recurring Schedule'!$C$29="","",IF('Recurring Schedule'!$F$29="","",IF(OR($A272&lt;'Recurring Schedule'!$F$29,$A272&gt;'Recurring Schedule'!$P$29),"",IF(IF('Recurring Schedule'!$N$29&gt;0,MOD($A272-'Recurring Schedule'!$F$29,'Recurring Schedule'!$N$29)=0,IF('Recurring Schedule'!$O$29&gt;0,AND(DAY($A272)=MIN(DAY('Recurring Schedule'!$F$29),DAY(EOMONTH($A272,0))),MOD((YEAR($A272)-YEAR('Recurring Schedule'!$F$29))*12+MONTH($A272)-MONTH('Recurring Schedule'!$F$29),'Recurring Schedule'!$O$29)=0),IF('Recurring Schedule'!$E$29="Weekdays",WEEKDAY($A272,2)&lt;=5,$A272='Recurring Schedule'!$F$29))),24,""))))</f>
        <v/>
      </c>
      <c r="Z272">
        <f>IF('Recurring Schedule'!$C$30="","",IF('Recurring Schedule'!$F$30="","",IF(OR($A272&lt;'Recurring Schedule'!$F$30,$A272&gt;'Recurring Schedule'!$P$30),"",IF(IF('Recurring Schedule'!$N$30&gt;0,MOD($A272-'Recurring Schedule'!$F$30,'Recurring Schedule'!$N$30)=0,IF('Recurring Schedule'!$O$30&gt;0,AND(DAY($A272)=MIN(DAY('Recurring Schedule'!$F$30),DAY(EOMONTH($A272,0))),MOD((YEAR($A272)-YEAR('Recurring Schedule'!$F$30))*12+MONTH($A272)-MONTH('Recurring Schedule'!$F$30),'Recurring Schedule'!$O$30)=0),IF('Recurring Schedule'!$E$30="Weekdays",WEEKDAY($A272,2)&lt;=5,$A272='Recurring Schedule'!$F$30))),25,""))))</f>
        <v/>
      </c>
      <c r="AA272">
        <f>IF('Recurring Schedule'!$C$31="","",IF('Recurring Schedule'!$F$31="","",IF(OR($A272&lt;'Recurring Schedule'!$F$31,$A272&gt;'Recurring Schedule'!$P$31),"",IF(IF('Recurring Schedule'!$N$31&gt;0,MOD($A272-'Recurring Schedule'!$F$31,'Recurring Schedule'!$N$31)=0,IF('Recurring Schedule'!$O$31&gt;0,AND(DAY($A272)=MIN(DAY('Recurring Schedule'!$F$31),DAY(EOMONTH($A272,0))),MOD((YEAR($A272)-YEAR('Recurring Schedule'!$F$31))*12+MONTH($A272)-MONTH('Recurring Schedule'!$F$31),'Recurring Schedule'!$O$31)=0),IF('Recurring Schedule'!$E$31="Weekdays",WEEKDAY($A272,2)&lt;=5,$A272='Recurring Schedule'!$F$31))),26,""))))</f>
        <v/>
      </c>
      <c r="AB272">
        <f>IF('Recurring Schedule'!$C$32="","",IF('Recurring Schedule'!$F$32="","",IF(OR($A272&lt;'Recurring Schedule'!$F$32,$A272&gt;'Recurring Schedule'!$P$32),"",IF(IF('Recurring Schedule'!$N$32&gt;0,MOD($A272-'Recurring Schedule'!$F$32,'Recurring Schedule'!$N$32)=0,IF('Recurring Schedule'!$O$32&gt;0,AND(DAY($A272)=MIN(DAY('Recurring Schedule'!$F$32),DAY(EOMONTH($A272,0))),MOD((YEAR($A272)-YEAR('Recurring Schedule'!$F$32))*12+MONTH($A272)-MONTH('Recurring Schedule'!$F$32),'Recurring Schedule'!$O$32)=0),IF('Recurring Schedule'!$E$32="Weekdays",WEEKDAY($A272,2)&lt;=5,$A272='Recurring Schedule'!$F$32))),27,""))))</f>
        <v/>
      </c>
      <c r="AC272">
        <f>IF('Recurring Schedule'!$C$33="","",IF('Recurring Schedule'!$F$33="","",IF(OR($A272&lt;'Recurring Schedule'!$F$33,$A272&gt;'Recurring Schedule'!$P$33),"",IF(IF('Recurring Schedule'!$N$33&gt;0,MOD($A272-'Recurring Schedule'!$F$33,'Recurring Schedule'!$N$33)=0,IF('Recurring Schedule'!$O$33&gt;0,AND(DAY($A272)=MIN(DAY('Recurring Schedule'!$F$33),DAY(EOMONTH($A272,0))),MOD((YEAR($A272)-YEAR('Recurring Schedule'!$F$33))*12+MONTH($A272)-MONTH('Recurring Schedule'!$F$33),'Recurring Schedule'!$O$33)=0),IF('Recurring Schedule'!$E$33="Weekdays",WEEKDAY($A272,2)&lt;=5,$A272='Recurring Schedule'!$F$33))),28,""))))</f>
        <v/>
      </c>
      <c r="AD272">
        <f>IF('Recurring Schedule'!$C$34="","",IF('Recurring Schedule'!$F$34="","",IF(OR($A272&lt;'Recurring Schedule'!$F$34,$A272&gt;'Recurring Schedule'!$P$34),"",IF(IF('Recurring Schedule'!$N$34&gt;0,MOD($A272-'Recurring Schedule'!$F$34,'Recurring Schedule'!$N$34)=0,IF('Recurring Schedule'!$O$34&gt;0,AND(DAY($A272)=MIN(DAY('Recurring Schedule'!$F$34),DAY(EOMONTH($A272,0))),MOD((YEAR($A272)-YEAR('Recurring Schedule'!$F$34))*12+MONTH($A272)-MONTH('Recurring Schedule'!$F$34),'Recurring Schedule'!$O$34)=0),IF('Recurring Schedule'!$E$34="Weekdays",WEEKDAY($A272,2)&lt;=5,$A272='Recurring Schedule'!$F$34))),29,""))))</f>
        <v/>
      </c>
      <c r="AE272">
        <f>IF('Recurring Schedule'!$C$35="","",IF('Recurring Schedule'!$F$35="","",IF(OR($A272&lt;'Recurring Schedule'!$F$35,$A272&gt;'Recurring Schedule'!$P$35),"",IF(IF('Recurring Schedule'!$N$35&gt;0,MOD($A272-'Recurring Schedule'!$F$35,'Recurring Schedule'!$N$35)=0,IF('Recurring Schedule'!$O$35&gt;0,AND(DAY($A272)=MIN(DAY('Recurring Schedule'!$F$35),DAY(EOMONTH($A272,0))),MOD((YEAR($A272)-YEAR('Recurring Schedule'!$F$35))*12+MONTH($A272)-MONTH('Recurring Schedule'!$F$35),'Recurring Schedule'!$O$35)=0),IF('Recurring Schedule'!$E$35="Weekdays",WEEKDAY($A272,2)&lt;=5,$A272='Recurring Schedule'!$F$35))),30,""))))</f>
        <v/>
      </c>
      <c r="AF272">
        <f>IF('Recurring Schedule'!$C$36="","",IF('Recurring Schedule'!$F$36="","",IF(OR($A272&lt;'Recurring Schedule'!$F$36,$A272&gt;'Recurring Schedule'!$P$36),"",IF(IF('Recurring Schedule'!$N$36&gt;0,MOD($A272-'Recurring Schedule'!$F$36,'Recurring Schedule'!$N$36)=0,IF('Recurring Schedule'!$O$36&gt;0,AND(DAY($A272)=MIN(DAY('Recurring Schedule'!$F$36),DAY(EOMONTH($A272,0))),MOD((YEAR($A272)-YEAR('Recurring Schedule'!$F$36))*12+MONTH($A272)-MONTH('Recurring Schedule'!$F$36),'Recurring Schedule'!$O$36)=0),IF('Recurring Schedule'!$E$36="Weekdays",WEEKDAY($A272,2)&lt;=5,$A272='Recurring Schedule'!$F$36))),31,""))))</f>
        <v/>
      </c>
      <c r="AG272">
        <f>IF('Recurring Schedule'!$C$37="","",IF('Recurring Schedule'!$F$37="","",IF(OR($A272&lt;'Recurring Schedule'!$F$37,$A272&gt;'Recurring Schedule'!$P$37),"",IF(IF('Recurring Schedule'!$N$37&gt;0,MOD($A272-'Recurring Schedule'!$F$37,'Recurring Schedule'!$N$37)=0,IF('Recurring Schedule'!$O$37&gt;0,AND(DAY($A272)=MIN(DAY('Recurring Schedule'!$F$37),DAY(EOMONTH($A272,0))),MOD((YEAR($A272)-YEAR('Recurring Schedule'!$F$37))*12+MONTH($A272)-MONTH('Recurring Schedule'!$F$37),'Recurring Schedule'!$O$37)=0),IF('Recurring Schedule'!$E$37="Weekdays",WEEKDAY($A272,2)&lt;=5,$A272='Recurring Schedule'!$F$37))),32,""))))</f>
        <v/>
      </c>
      <c r="AH272">
        <f>IF('Recurring Schedule'!$C$38="","",IF('Recurring Schedule'!$F$38="","",IF(OR($A272&lt;'Recurring Schedule'!$F$38,$A272&gt;'Recurring Schedule'!$P$38),"",IF(IF('Recurring Schedule'!$N$38&gt;0,MOD($A272-'Recurring Schedule'!$F$38,'Recurring Schedule'!$N$38)=0,IF('Recurring Schedule'!$O$38&gt;0,AND(DAY($A272)=MIN(DAY('Recurring Schedule'!$F$38),DAY(EOMONTH($A272,0))),MOD((YEAR($A272)-YEAR('Recurring Schedule'!$F$38))*12+MONTH($A272)-MONTH('Recurring Schedule'!$F$38),'Recurring Schedule'!$O$38)=0),IF('Recurring Schedule'!$E$38="Weekdays",WEEKDAY($A272,2)&lt;=5,$A272='Recurring Schedule'!$F$38))),33,""))))</f>
        <v/>
      </c>
      <c r="AI272">
        <f>IF('Recurring Schedule'!$C$39="","",IF('Recurring Schedule'!$F$39="","",IF(OR($A272&lt;'Recurring Schedule'!$F$39,$A272&gt;'Recurring Schedule'!$P$39),"",IF(IF('Recurring Schedule'!$N$39&gt;0,MOD($A272-'Recurring Schedule'!$F$39,'Recurring Schedule'!$N$39)=0,IF('Recurring Schedule'!$O$39&gt;0,AND(DAY($A272)=MIN(DAY('Recurring Schedule'!$F$39),DAY(EOMONTH($A272,0))),MOD((YEAR($A272)-YEAR('Recurring Schedule'!$F$39))*12+MONTH($A272)-MONTH('Recurring Schedule'!$F$39),'Recurring Schedule'!$O$39)=0),IF('Recurring Schedule'!$E$39="Weekdays",WEEKDAY($A272,2)&lt;=5,$A272='Recurring Schedule'!$F$39))),34,""))))</f>
        <v/>
      </c>
      <c r="AJ272">
        <f>IF('Recurring Schedule'!$C$40="","",IF('Recurring Schedule'!$F$40="","",IF(OR($A272&lt;'Recurring Schedule'!$F$40,$A272&gt;'Recurring Schedule'!$P$40),"",IF(IF('Recurring Schedule'!$N$40&gt;0,MOD($A272-'Recurring Schedule'!$F$40,'Recurring Schedule'!$N$40)=0,IF('Recurring Schedule'!$O$40&gt;0,AND(DAY($A272)=MIN(DAY('Recurring Schedule'!$F$40),DAY(EOMONTH($A272,0))),MOD((YEAR($A272)-YEAR('Recurring Schedule'!$F$40))*12+MONTH($A272)-MONTH('Recurring Schedule'!$F$40),'Recurring Schedule'!$O$40)=0),IF('Recurring Schedule'!$E$40="Weekdays",WEEKDAY($A272,2)&lt;=5,$A272='Recurring Schedule'!$F$40))),35,""))))</f>
        <v/>
      </c>
      <c r="AK272">
        <f>IF('Recurring Schedule'!$C$41="","",IF('Recurring Schedule'!$F$41="","",IF(OR($A272&lt;'Recurring Schedule'!$F$41,$A272&gt;'Recurring Schedule'!$P$41),"",IF(IF('Recurring Schedule'!$N$41&gt;0,MOD($A272-'Recurring Schedule'!$F$41,'Recurring Schedule'!$N$41)=0,IF('Recurring Schedule'!$O$41&gt;0,AND(DAY($A272)=MIN(DAY('Recurring Schedule'!$F$41),DAY(EOMONTH($A272,0))),MOD((YEAR($A272)-YEAR('Recurring Schedule'!$F$41))*12+MONTH($A272)-MONTH('Recurring Schedule'!$F$41),'Recurring Schedule'!$O$41)=0),IF('Recurring Schedule'!$E$41="Weekdays",WEEKDAY($A272,2)&lt;=5,$A272='Recurring Schedule'!$F$41))),36,""))))</f>
        <v/>
      </c>
      <c r="AL272">
        <f>IF('Recurring Schedule'!$C$42="","",IF('Recurring Schedule'!$F$42="","",IF(OR($A272&lt;'Recurring Schedule'!$F$42,$A272&gt;'Recurring Schedule'!$P$42),"",IF(IF('Recurring Schedule'!$N$42&gt;0,MOD($A272-'Recurring Schedule'!$F$42,'Recurring Schedule'!$N$42)=0,IF('Recurring Schedule'!$O$42&gt;0,AND(DAY($A272)=MIN(DAY('Recurring Schedule'!$F$42),DAY(EOMONTH($A272,0))),MOD((YEAR($A272)-YEAR('Recurring Schedule'!$F$42))*12+MONTH($A272)-MONTH('Recurring Schedule'!$F$42),'Recurring Schedule'!$O$42)=0),IF('Recurring Schedule'!$E$42="Weekdays",WEEKDAY($A272,2)&lt;=5,$A272='Recurring Schedule'!$F$42))),37,""))))</f>
        <v/>
      </c>
      <c r="AM272">
        <f>IF('Recurring Schedule'!$C$43="","",IF('Recurring Schedule'!$F$43="","",IF(OR($A272&lt;'Recurring Schedule'!$F$43,$A272&gt;'Recurring Schedule'!$P$43),"",IF(IF('Recurring Schedule'!$N$43&gt;0,MOD($A272-'Recurring Schedule'!$F$43,'Recurring Schedule'!$N$43)=0,IF('Recurring Schedule'!$O$43&gt;0,AND(DAY($A272)=MIN(DAY('Recurring Schedule'!$F$43),DAY(EOMONTH($A272,0))),MOD((YEAR($A272)-YEAR('Recurring Schedule'!$F$43))*12+MONTH($A272)-MONTH('Recurring Schedule'!$F$43),'Recurring Schedule'!$O$43)=0),IF('Recurring Schedule'!$E$43="Weekdays",WEEKDAY($A272,2)&lt;=5,$A272='Recurring Schedule'!$F$43))),38,""))))</f>
        <v/>
      </c>
      <c r="AN272">
        <f>IF('Recurring Schedule'!$C$44="","",IF('Recurring Schedule'!$F$44="","",IF(OR($A272&lt;'Recurring Schedule'!$F$44,$A272&gt;'Recurring Schedule'!$P$44),"",IF(IF('Recurring Schedule'!$N$44&gt;0,MOD($A272-'Recurring Schedule'!$F$44,'Recurring Schedule'!$N$44)=0,IF('Recurring Schedule'!$O$44&gt;0,AND(DAY($A272)=MIN(DAY('Recurring Schedule'!$F$44),DAY(EOMONTH($A272,0))),MOD((YEAR($A272)-YEAR('Recurring Schedule'!$F$44))*12+MONTH($A272)-MONTH('Recurring Schedule'!$F$44),'Recurring Schedule'!$O$44)=0),IF('Recurring Schedule'!$E$44="Weekdays",WEEKDAY($A272,2)&lt;=5,$A272='Recurring Schedule'!$F$44))),39,""))))</f>
        <v/>
      </c>
      <c r="AO272">
        <f>IF('Recurring Schedule'!$C$45="","",IF('Recurring Schedule'!$F$45="","",IF(OR($A272&lt;'Recurring Schedule'!$F$45,$A272&gt;'Recurring Schedule'!$P$45),"",IF(IF('Recurring Schedule'!$N$45&gt;0,MOD($A272-'Recurring Schedule'!$F$45,'Recurring Schedule'!$N$45)=0,IF('Recurring Schedule'!$O$45&gt;0,AND(DAY($A272)=MIN(DAY('Recurring Schedule'!$F$45),DAY(EOMONTH($A272,0))),MOD((YEAR($A272)-YEAR('Recurring Schedule'!$F$45))*12+MONTH($A272)-MONTH('Recurring Schedule'!$F$45),'Recurring Schedule'!$O$45)=0),IF('Recurring Schedule'!$E$45="Weekdays",WEEKDAY($A272,2)&lt;=5,$A272='Recurring Schedule'!$F$45))),40,""))))</f>
        <v/>
      </c>
      <c r="AP272">
        <f>COUNT(B272:AO272)</f>
        <v/>
      </c>
      <c r="AQ272">
        <f>AQ271+AP271</f>
        <v/>
      </c>
      <c r="AS272" t="inlineStr">
        <is>
          <t>R</t>
        </is>
      </c>
      <c r="AT272" t="n">
        <v>276</v>
      </c>
      <c r="AU272">
        <f>'Recurring Log'!C276&amp;""</f>
        <v/>
      </c>
      <c r="AV272">
        <f>'Recurring Log'!D276&amp;""</f>
        <v/>
      </c>
      <c r="AW272">
        <f>IF('Recurring Log'!E276="","",'Recurring Log'!E276)</f>
        <v/>
      </c>
      <c r="AX272">
        <f>IF('Recurring Log'!G276="","",'Recurring Log'!G276)</f>
        <v/>
      </c>
      <c r="AY272">
        <f>IF('Recurring Log'!H276="","",'Recurring Log'!H276)</f>
        <v/>
      </c>
      <c r="AZ272">
        <f>IF(AU272="","",IF('Recurring Log'!J276="","Not Started",'Recurring Log'!J276))</f>
        <v/>
      </c>
      <c r="BA272">
        <f>'Recurring Log'!L276&amp;""</f>
        <v/>
      </c>
      <c r="BB272">
        <f>'Recurring Log'!M276&amp;""</f>
        <v/>
      </c>
      <c r="BC272">
        <f>'Recurring Log'!N276&amp;""</f>
        <v/>
      </c>
      <c r="BD272">
        <f>'Recurring Log'!O276&amp;""</f>
        <v/>
      </c>
      <c r="BE272">
        <f>IF('Recurring Log'!K276="","",'Recurring Log'!K276)</f>
        <v/>
      </c>
      <c r="BF272">
        <f>IFERROR(MATCH(BA272,Setup!$L$6:$L$9,0),5)</f>
        <v/>
      </c>
      <c r="BG272">
        <f>IF(OR(AZ272="Done",AZ272="Cancelled"),1,0)</f>
        <v/>
      </c>
      <c r="BH272">
        <f>IF(AND(AU272&lt;&gt;"",ISNUMBER(AW272)),1,0)</f>
        <v/>
      </c>
      <c r="BI272">
        <f>IF(BH272=0,0,IF(AND(AW272&gt;='Tasks Filter'!$F$3,AW272&lt;='Tasks Filter'!$F$4,OR('Tasks Filter'!$I$3="",ISNUMBER(SEARCH('Tasks Filter'!$I$3,AU272))),OR('Tasks Filter'!$I$4="",BF272=IFERROR(MATCH('Tasks Filter'!$I$4,Setup!$L$6:$L$9,0),0)),OR('Tasks Filter'!$I$5="Both",AND('Tasks Filter'!$I$5="Yes",BB272="✓"),AND('Tasks Filter'!$I$5="No",BB272&lt;&gt;"✓")),OR('Tasks Filter'!$L$3="",AV272='Tasks Filter'!$L$3),OR('Tasks Filter'!$L$4="",AZ272='Tasks Filter'!$L$4),OR('Tasks Filter'!$L$5="",BC272='Tasks Filter'!$L$5),OR('Tasks Filter'!$O$3="",BD272='Tasks Filter'!$O$3),OR('Tasks Filter'!$O$4="Yes",BG272=0)),1,0))</f>
        <v/>
      </c>
      <c r="BJ272">
        <f>IF(BH272=0,"",IF('Tasks Filter'!$F$6="Descending",-1,1)*CHOOSE(MATCH('Tasks Filter'!$F$5,Lists!$G$2:$G$6,0),AW272,BF272,IFERROR(MATCH(AV272,Setup!$F$6:$F$15,0),99),IFERROR(MATCH(BC272,Setup!$H$6:$H$15,0),99),IFERROR(MATCH(AZ272,Setup!$J$6:$J$11,0),99))*1E+9+(AW272-40000)*10000+271)</f>
        <v/>
      </c>
      <c r="BK272">
        <f>IF(BI272=1,BJ272,"")</f>
        <v/>
      </c>
      <c r="BL272">
        <f>IF(AND(BH272=1,BG272=0,N(AW272)&lt;Setup!$D$7),(AW272-40000)*10000+271,"")</f>
        <v/>
      </c>
      <c r="BM272">
        <f>IF(AND(BH272=1,AZ272&lt;&gt;"Cancelled",N(AW272)&gt;=Dashboard!$AB$3,N(AW272)&lt;=Dashboard!$AB$3+6),(AW272-40000)*100000+BF272*10000+271,"")</f>
        <v/>
      </c>
      <c r="BN272">
        <f>IF(AND(BH272=1,AZ272&lt;&gt;"Cancelled"),BF272*10000+271,"")</f>
        <v/>
      </c>
    </row>
    <row r="273">
      <c r="A273">
        <f>Setup!$D$5+271</f>
        <v/>
      </c>
      <c r="B273">
        <f>IF('Recurring Schedule'!$C$6="","",IF('Recurring Schedule'!$F$6="","",IF(OR($A273&lt;'Recurring Schedule'!$F$6,$A273&gt;'Recurring Schedule'!$P$6),"",IF(IF('Recurring Schedule'!$N$6&gt;0,MOD($A273-'Recurring Schedule'!$F$6,'Recurring Schedule'!$N$6)=0,IF('Recurring Schedule'!$O$6&gt;0,AND(DAY($A273)=MIN(DAY('Recurring Schedule'!$F$6),DAY(EOMONTH($A273,0))),MOD((YEAR($A273)-YEAR('Recurring Schedule'!$F$6))*12+MONTH($A273)-MONTH('Recurring Schedule'!$F$6),'Recurring Schedule'!$O$6)=0),IF('Recurring Schedule'!$E$6="Weekdays",WEEKDAY($A273,2)&lt;=5,$A273='Recurring Schedule'!$F$6))),1,""))))</f>
        <v/>
      </c>
      <c r="C273">
        <f>IF('Recurring Schedule'!$C$7="","",IF('Recurring Schedule'!$F$7="","",IF(OR($A273&lt;'Recurring Schedule'!$F$7,$A273&gt;'Recurring Schedule'!$P$7),"",IF(IF('Recurring Schedule'!$N$7&gt;0,MOD($A273-'Recurring Schedule'!$F$7,'Recurring Schedule'!$N$7)=0,IF('Recurring Schedule'!$O$7&gt;0,AND(DAY($A273)=MIN(DAY('Recurring Schedule'!$F$7),DAY(EOMONTH($A273,0))),MOD((YEAR($A273)-YEAR('Recurring Schedule'!$F$7))*12+MONTH($A273)-MONTH('Recurring Schedule'!$F$7),'Recurring Schedule'!$O$7)=0),IF('Recurring Schedule'!$E$7="Weekdays",WEEKDAY($A273,2)&lt;=5,$A273='Recurring Schedule'!$F$7))),2,""))))</f>
        <v/>
      </c>
      <c r="D273">
        <f>IF('Recurring Schedule'!$C$8="","",IF('Recurring Schedule'!$F$8="","",IF(OR($A273&lt;'Recurring Schedule'!$F$8,$A273&gt;'Recurring Schedule'!$P$8),"",IF(IF('Recurring Schedule'!$N$8&gt;0,MOD($A273-'Recurring Schedule'!$F$8,'Recurring Schedule'!$N$8)=0,IF('Recurring Schedule'!$O$8&gt;0,AND(DAY($A273)=MIN(DAY('Recurring Schedule'!$F$8),DAY(EOMONTH($A273,0))),MOD((YEAR($A273)-YEAR('Recurring Schedule'!$F$8))*12+MONTH($A273)-MONTH('Recurring Schedule'!$F$8),'Recurring Schedule'!$O$8)=0),IF('Recurring Schedule'!$E$8="Weekdays",WEEKDAY($A273,2)&lt;=5,$A273='Recurring Schedule'!$F$8))),3,""))))</f>
        <v/>
      </c>
      <c r="E273">
        <f>IF('Recurring Schedule'!$C$9="","",IF('Recurring Schedule'!$F$9="","",IF(OR($A273&lt;'Recurring Schedule'!$F$9,$A273&gt;'Recurring Schedule'!$P$9),"",IF(IF('Recurring Schedule'!$N$9&gt;0,MOD($A273-'Recurring Schedule'!$F$9,'Recurring Schedule'!$N$9)=0,IF('Recurring Schedule'!$O$9&gt;0,AND(DAY($A273)=MIN(DAY('Recurring Schedule'!$F$9),DAY(EOMONTH($A273,0))),MOD((YEAR($A273)-YEAR('Recurring Schedule'!$F$9))*12+MONTH($A273)-MONTH('Recurring Schedule'!$F$9),'Recurring Schedule'!$O$9)=0),IF('Recurring Schedule'!$E$9="Weekdays",WEEKDAY($A273,2)&lt;=5,$A273='Recurring Schedule'!$F$9))),4,""))))</f>
        <v/>
      </c>
      <c r="F273">
        <f>IF('Recurring Schedule'!$C$10="","",IF('Recurring Schedule'!$F$10="","",IF(OR($A273&lt;'Recurring Schedule'!$F$10,$A273&gt;'Recurring Schedule'!$P$10),"",IF(IF('Recurring Schedule'!$N$10&gt;0,MOD($A273-'Recurring Schedule'!$F$10,'Recurring Schedule'!$N$10)=0,IF('Recurring Schedule'!$O$10&gt;0,AND(DAY($A273)=MIN(DAY('Recurring Schedule'!$F$10),DAY(EOMONTH($A273,0))),MOD((YEAR($A273)-YEAR('Recurring Schedule'!$F$10))*12+MONTH($A273)-MONTH('Recurring Schedule'!$F$10),'Recurring Schedule'!$O$10)=0),IF('Recurring Schedule'!$E$10="Weekdays",WEEKDAY($A273,2)&lt;=5,$A273='Recurring Schedule'!$F$10))),5,""))))</f>
        <v/>
      </c>
      <c r="G273">
        <f>IF('Recurring Schedule'!$C$11="","",IF('Recurring Schedule'!$F$11="","",IF(OR($A273&lt;'Recurring Schedule'!$F$11,$A273&gt;'Recurring Schedule'!$P$11),"",IF(IF('Recurring Schedule'!$N$11&gt;0,MOD($A273-'Recurring Schedule'!$F$11,'Recurring Schedule'!$N$11)=0,IF('Recurring Schedule'!$O$11&gt;0,AND(DAY($A273)=MIN(DAY('Recurring Schedule'!$F$11),DAY(EOMONTH($A273,0))),MOD((YEAR($A273)-YEAR('Recurring Schedule'!$F$11))*12+MONTH($A273)-MONTH('Recurring Schedule'!$F$11),'Recurring Schedule'!$O$11)=0),IF('Recurring Schedule'!$E$11="Weekdays",WEEKDAY($A273,2)&lt;=5,$A273='Recurring Schedule'!$F$11))),6,""))))</f>
        <v/>
      </c>
      <c r="H273">
        <f>IF('Recurring Schedule'!$C$12="","",IF('Recurring Schedule'!$F$12="","",IF(OR($A273&lt;'Recurring Schedule'!$F$12,$A273&gt;'Recurring Schedule'!$P$12),"",IF(IF('Recurring Schedule'!$N$12&gt;0,MOD($A273-'Recurring Schedule'!$F$12,'Recurring Schedule'!$N$12)=0,IF('Recurring Schedule'!$O$12&gt;0,AND(DAY($A273)=MIN(DAY('Recurring Schedule'!$F$12),DAY(EOMONTH($A273,0))),MOD((YEAR($A273)-YEAR('Recurring Schedule'!$F$12))*12+MONTH($A273)-MONTH('Recurring Schedule'!$F$12),'Recurring Schedule'!$O$12)=0),IF('Recurring Schedule'!$E$12="Weekdays",WEEKDAY($A273,2)&lt;=5,$A273='Recurring Schedule'!$F$12))),7,""))))</f>
        <v/>
      </c>
      <c r="I273">
        <f>IF('Recurring Schedule'!$C$13="","",IF('Recurring Schedule'!$F$13="","",IF(OR($A273&lt;'Recurring Schedule'!$F$13,$A273&gt;'Recurring Schedule'!$P$13),"",IF(IF('Recurring Schedule'!$N$13&gt;0,MOD($A273-'Recurring Schedule'!$F$13,'Recurring Schedule'!$N$13)=0,IF('Recurring Schedule'!$O$13&gt;0,AND(DAY($A273)=MIN(DAY('Recurring Schedule'!$F$13),DAY(EOMONTH($A273,0))),MOD((YEAR($A273)-YEAR('Recurring Schedule'!$F$13))*12+MONTH($A273)-MONTH('Recurring Schedule'!$F$13),'Recurring Schedule'!$O$13)=0),IF('Recurring Schedule'!$E$13="Weekdays",WEEKDAY($A273,2)&lt;=5,$A273='Recurring Schedule'!$F$13))),8,""))))</f>
        <v/>
      </c>
      <c r="J273">
        <f>IF('Recurring Schedule'!$C$14="","",IF('Recurring Schedule'!$F$14="","",IF(OR($A273&lt;'Recurring Schedule'!$F$14,$A273&gt;'Recurring Schedule'!$P$14),"",IF(IF('Recurring Schedule'!$N$14&gt;0,MOD($A273-'Recurring Schedule'!$F$14,'Recurring Schedule'!$N$14)=0,IF('Recurring Schedule'!$O$14&gt;0,AND(DAY($A273)=MIN(DAY('Recurring Schedule'!$F$14),DAY(EOMONTH($A273,0))),MOD((YEAR($A273)-YEAR('Recurring Schedule'!$F$14))*12+MONTH($A273)-MONTH('Recurring Schedule'!$F$14),'Recurring Schedule'!$O$14)=0),IF('Recurring Schedule'!$E$14="Weekdays",WEEKDAY($A273,2)&lt;=5,$A273='Recurring Schedule'!$F$14))),9,""))))</f>
        <v/>
      </c>
      <c r="K273">
        <f>IF('Recurring Schedule'!$C$15="","",IF('Recurring Schedule'!$F$15="","",IF(OR($A273&lt;'Recurring Schedule'!$F$15,$A273&gt;'Recurring Schedule'!$P$15),"",IF(IF('Recurring Schedule'!$N$15&gt;0,MOD($A273-'Recurring Schedule'!$F$15,'Recurring Schedule'!$N$15)=0,IF('Recurring Schedule'!$O$15&gt;0,AND(DAY($A273)=MIN(DAY('Recurring Schedule'!$F$15),DAY(EOMONTH($A273,0))),MOD((YEAR($A273)-YEAR('Recurring Schedule'!$F$15))*12+MONTH($A273)-MONTH('Recurring Schedule'!$F$15),'Recurring Schedule'!$O$15)=0),IF('Recurring Schedule'!$E$15="Weekdays",WEEKDAY($A273,2)&lt;=5,$A273='Recurring Schedule'!$F$15))),10,""))))</f>
        <v/>
      </c>
      <c r="L273">
        <f>IF('Recurring Schedule'!$C$16="","",IF('Recurring Schedule'!$F$16="","",IF(OR($A273&lt;'Recurring Schedule'!$F$16,$A273&gt;'Recurring Schedule'!$P$16),"",IF(IF('Recurring Schedule'!$N$16&gt;0,MOD($A273-'Recurring Schedule'!$F$16,'Recurring Schedule'!$N$16)=0,IF('Recurring Schedule'!$O$16&gt;0,AND(DAY($A273)=MIN(DAY('Recurring Schedule'!$F$16),DAY(EOMONTH($A273,0))),MOD((YEAR($A273)-YEAR('Recurring Schedule'!$F$16))*12+MONTH($A273)-MONTH('Recurring Schedule'!$F$16),'Recurring Schedule'!$O$16)=0),IF('Recurring Schedule'!$E$16="Weekdays",WEEKDAY($A273,2)&lt;=5,$A273='Recurring Schedule'!$F$16))),11,""))))</f>
        <v/>
      </c>
      <c r="M273">
        <f>IF('Recurring Schedule'!$C$17="","",IF('Recurring Schedule'!$F$17="","",IF(OR($A273&lt;'Recurring Schedule'!$F$17,$A273&gt;'Recurring Schedule'!$P$17),"",IF(IF('Recurring Schedule'!$N$17&gt;0,MOD($A273-'Recurring Schedule'!$F$17,'Recurring Schedule'!$N$17)=0,IF('Recurring Schedule'!$O$17&gt;0,AND(DAY($A273)=MIN(DAY('Recurring Schedule'!$F$17),DAY(EOMONTH($A273,0))),MOD((YEAR($A273)-YEAR('Recurring Schedule'!$F$17))*12+MONTH($A273)-MONTH('Recurring Schedule'!$F$17),'Recurring Schedule'!$O$17)=0),IF('Recurring Schedule'!$E$17="Weekdays",WEEKDAY($A273,2)&lt;=5,$A273='Recurring Schedule'!$F$17))),12,""))))</f>
        <v/>
      </c>
      <c r="N273">
        <f>IF('Recurring Schedule'!$C$18="","",IF('Recurring Schedule'!$F$18="","",IF(OR($A273&lt;'Recurring Schedule'!$F$18,$A273&gt;'Recurring Schedule'!$P$18),"",IF(IF('Recurring Schedule'!$N$18&gt;0,MOD($A273-'Recurring Schedule'!$F$18,'Recurring Schedule'!$N$18)=0,IF('Recurring Schedule'!$O$18&gt;0,AND(DAY($A273)=MIN(DAY('Recurring Schedule'!$F$18),DAY(EOMONTH($A273,0))),MOD((YEAR($A273)-YEAR('Recurring Schedule'!$F$18))*12+MONTH($A273)-MONTH('Recurring Schedule'!$F$18),'Recurring Schedule'!$O$18)=0),IF('Recurring Schedule'!$E$18="Weekdays",WEEKDAY($A273,2)&lt;=5,$A273='Recurring Schedule'!$F$18))),13,""))))</f>
        <v/>
      </c>
      <c r="O273">
        <f>IF('Recurring Schedule'!$C$19="","",IF('Recurring Schedule'!$F$19="","",IF(OR($A273&lt;'Recurring Schedule'!$F$19,$A273&gt;'Recurring Schedule'!$P$19),"",IF(IF('Recurring Schedule'!$N$19&gt;0,MOD($A273-'Recurring Schedule'!$F$19,'Recurring Schedule'!$N$19)=0,IF('Recurring Schedule'!$O$19&gt;0,AND(DAY($A273)=MIN(DAY('Recurring Schedule'!$F$19),DAY(EOMONTH($A273,0))),MOD((YEAR($A273)-YEAR('Recurring Schedule'!$F$19))*12+MONTH($A273)-MONTH('Recurring Schedule'!$F$19),'Recurring Schedule'!$O$19)=0),IF('Recurring Schedule'!$E$19="Weekdays",WEEKDAY($A273,2)&lt;=5,$A273='Recurring Schedule'!$F$19))),14,""))))</f>
        <v/>
      </c>
      <c r="P273">
        <f>IF('Recurring Schedule'!$C$20="","",IF('Recurring Schedule'!$F$20="","",IF(OR($A273&lt;'Recurring Schedule'!$F$20,$A273&gt;'Recurring Schedule'!$P$20),"",IF(IF('Recurring Schedule'!$N$20&gt;0,MOD($A273-'Recurring Schedule'!$F$20,'Recurring Schedule'!$N$20)=0,IF('Recurring Schedule'!$O$20&gt;0,AND(DAY($A273)=MIN(DAY('Recurring Schedule'!$F$20),DAY(EOMONTH($A273,0))),MOD((YEAR($A273)-YEAR('Recurring Schedule'!$F$20))*12+MONTH($A273)-MONTH('Recurring Schedule'!$F$20),'Recurring Schedule'!$O$20)=0),IF('Recurring Schedule'!$E$20="Weekdays",WEEKDAY($A273,2)&lt;=5,$A273='Recurring Schedule'!$F$20))),15,""))))</f>
        <v/>
      </c>
      <c r="Q273">
        <f>IF('Recurring Schedule'!$C$21="","",IF('Recurring Schedule'!$F$21="","",IF(OR($A273&lt;'Recurring Schedule'!$F$21,$A273&gt;'Recurring Schedule'!$P$21),"",IF(IF('Recurring Schedule'!$N$21&gt;0,MOD($A273-'Recurring Schedule'!$F$21,'Recurring Schedule'!$N$21)=0,IF('Recurring Schedule'!$O$21&gt;0,AND(DAY($A273)=MIN(DAY('Recurring Schedule'!$F$21),DAY(EOMONTH($A273,0))),MOD((YEAR($A273)-YEAR('Recurring Schedule'!$F$21))*12+MONTH($A273)-MONTH('Recurring Schedule'!$F$21),'Recurring Schedule'!$O$21)=0),IF('Recurring Schedule'!$E$21="Weekdays",WEEKDAY($A273,2)&lt;=5,$A273='Recurring Schedule'!$F$21))),16,""))))</f>
        <v/>
      </c>
      <c r="R273">
        <f>IF('Recurring Schedule'!$C$22="","",IF('Recurring Schedule'!$F$22="","",IF(OR($A273&lt;'Recurring Schedule'!$F$22,$A273&gt;'Recurring Schedule'!$P$22),"",IF(IF('Recurring Schedule'!$N$22&gt;0,MOD($A273-'Recurring Schedule'!$F$22,'Recurring Schedule'!$N$22)=0,IF('Recurring Schedule'!$O$22&gt;0,AND(DAY($A273)=MIN(DAY('Recurring Schedule'!$F$22),DAY(EOMONTH($A273,0))),MOD((YEAR($A273)-YEAR('Recurring Schedule'!$F$22))*12+MONTH($A273)-MONTH('Recurring Schedule'!$F$22),'Recurring Schedule'!$O$22)=0),IF('Recurring Schedule'!$E$22="Weekdays",WEEKDAY($A273,2)&lt;=5,$A273='Recurring Schedule'!$F$22))),17,""))))</f>
        <v/>
      </c>
      <c r="S273">
        <f>IF('Recurring Schedule'!$C$23="","",IF('Recurring Schedule'!$F$23="","",IF(OR($A273&lt;'Recurring Schedule'!$F$23,$A273&gt;'Recurring Schedule'!$P$23),"",IF(IF('Recurring Schedule'!$N$23&gt;0,MOD($A273-'Recurring Schedule'!$F$23,'Recurring Schedule'!$N$23)=0,IF('Recurring Schedule'!$O$23&gt;0,AND(DAY($A273)=MIN(DAY('Recurring Schedule'!$F$23),DAY(EOMONTH($A273,0))),MOD((YEAR($A273)-YEAR('Recurring Schedule'!$F$23))*12+MONTH($A273)-MONTH('Recurring Schedule'!$F$23),'Recurring Schedule'!$O$23)=0),IF('Recurring Schedule'!$E$23="Weekdays",WEEKDAY($A273,2)&lt;=5,$A273='Recurring Schedule'!$F$23))),18,""))))</f>
        <v/>
      </c>
      <c r="T273">
        <f>IF('Recurring Schedule'!$C$24="","",IF('Recurring Schedule'!$F$24="","",IF(OR($A273&lt;'Recurring Schedule'!$F$24,$A273&gt;'Recurring Schedule'!$P$24),"",IF(IF('Recurring Schedule'!$N$24&gt;0,MOD($A273-'Recurring Schedule'!$F$24,'Recurring Schedule'!$N$24)=0,IF('Recurring Schedule'!$O$24&gt;0,AND(DAY($A273)=MIN(DAY('Recurring Schedule'!$F$24),DAY(EOMONTH($A273,0))),MOD((YEAR($A273)-YEAR('Recurring Schedule'!$F$24))*12+MONTH($A273)-MONTH('Recurring Schedule'!$F$24),'Recurring Schedule'!$O$24)=0),IF('Recurring Schedule'!$E$24="Weekdays",WEEKDAY($A273,2)&lt;=5,$A273='Recurring Schedule'!$F$24))),19,""))))</f>
        <v/>
      </c>
      <c r="U273">
        <f>IF('Recurring Schedule'!$C$25="","",IF('Recurring Schedule'!$F$25="","",IF(OR($A273&lt;'Recurring Schedule'!$F$25,$A273&gt;'Recurring Schedule'!$P$25),"",IF(IF('Recurring Schedule'!$N$25&gt;0,MOD($A273-'Recurring Schedule'!$F$25,'Recurring Schedule'!$N$25)=0,IF('Recurring Schedule'!$O$25&gt;0,AND(DAY($A273)=MIN(DAY('Recurring Schedule'!$F$25),DAY(EOMONTH($A273,0))),MOD((YEAR($A273)-YEAR('Recurring Schedule'!$F$25))*12+MONTH($A273)-MONTH('Recurring Schedule'!$F$25),'Recurring Schedule'!$O$25)=0),IF('Recurring Schedule'!$E$25="Weekdays",WEEKDAY($A273,2)&lt;=5,$A273='Recurring Schedule'!$F$25))),20,""))))</f>
        <v/>
      </c>
      <c r="V273">
        <f>IF('Recurring Schedule'!$C$26="","",IF('Recurring Schedule'!$F$26="","",IF(OR($A273&lt;'Recurring Schedule'!$F$26,$A273&gt;'Recurring Schedule'!$P$26),"",IF(IF('Recurring Schedule'!$N$26&gt;0,MOD($A273-'Recurring Schedule'!$F$26,'Recurring Schedule'!$N$26)=0,IF('Recurring Schedule'!$O$26&gt;0,AND(DAY($A273)=MIN(DAY('Recurring Schedule'!$F$26),DAY(EOMONTH($A273,0))),MOD((YEAR($A273)-YEAR('Recurring Schedule'!$F$26))*12+MONTH($A273)-MONTH('Recurring Schedule'!$F$26),'Recurring Schedule'!$O$26)=0),IF('Recurring Schedule'!$E$26="Weekdays",WEEKDAY($A273,2)&lt;=5,$A273='Recurring Schedule'!$F$26))),21,""))))</f>
        <v/>
      </c>
      <c r="W273">
        <f>IF('Recurring Schedule'!$C$27="","",IF('Recurring Schedule'!$F$27="","",IF(OR($A273&lt;'Recurring Schedule'!$F$27,$A273&gt;'Recurring Schedule'!$P$27),"",IF(IF('Recurring Schedule'!$N$27&gt;0,MOD($A273-'Recurring Schedule'!$F$27,'Recurring Schedule'!$N$27)=0,IF('Recurring Schedule'!$O$27&gt;0,AND(DAY($A273)=MIN(DAY('Recurring Schedule'!$F$27),DAY(EOMONTH($A273,0))),MOD((YEAR($A273)-YEAR('Recurring Schedule'!$F$27))*12+MONTH($A273)-MONTH('Recurring Schedule'!$F$27),'Recurring Schedule'!$O$27)=0),IF('Recurring Schedule'!$E$27="Weekdays",WEEKDAY($A273,2)&lt;=5,$A273='Recurring Schedule'!$F$27))),22,""))))</f>
        <v/>
      </c>
      <c r="X273">
        <f>IF('Recurring Schedule'!$C$28="","",IF('Recurring Schedule'!$F$28="","",IF(OR($A273&lt;'Recurring Schedule'!$F$28,$A273&gt;'Recurring Schedule'!$P$28),"",IF(IF('Recurring Schedule'!$N$28&gt;0,MOD($A273-'Recurring Schedule'!$F$28,'Recurring Schedule'!$N$28)=0,IF('Recurring Schedule'!$O$28&gt;0,AND(DAY($A273)=MIN(DAY('Recurring Schedule'!$F$28),DAY(EOMONTH($A273,0))),MOD((YEAR($A273)-YEAR('Recurring Schedule'!$F$28))*12+MONTH($A273)-MONTH('Recurring Schedule'!$F$28),'Recurring Schedule'!$O$28)=0),IF('Recurring Schedule'!$E$28="Weekdays",WEEKDAY($A273,2)&lt;=5,$A273='Recurring Schedule'!$F$28))),23,""))))</f>
        <v/>
      </c>
      <c r="Y273">
        <f>IF('Recurring Schedule'!$C$29="","",IF('Recurring Schedule'!$F$29="","",IF(OR($A273&lt;'Recurring Schedule'!$F$29,$A273&gt;'Recurring Schedule'!$P$29),"",IF(IF('Recurring Schedule'!$N$29&gt;0,MOD($A273-'Recurring Schedule'!$F$29,'Recurring Schedule'!$N$29)=0,IF('Recurring Schedule'!$O$29&gt;0,AND(DAY($A273)=MIN(DAY('Recurring Schedule'!$F$29),DAY(EOMONTH($A273,0))),MOD((YEAR($A273)-YEAR('Recurring Schedule'!$F$29))*12+MONTH($A273)-MONTH('Recurring Schedule'!$F$29),'Recurring Schedule'!$O$29)=0),IF('Recurring Schedule'!$E$29="Weekdays",WEEKDAY($A273,2)&lt;=5,$A273='Recurring Schedule'!$F$29))),24,""))))</f>
        <v/>
      </c>
      <c r="Z273">
        <f>IF('Recurring Schedule'!$C$30="","",IF('Recurring Schedule'!$F$30="","",IF(OR($A273&lt;'Recurring Schedule'!$F$30,$A273&gt;'Recurring Schedule'!$P$30),"",IF(IF('Recurring Schedule'!$N$30&gt;0,MOD($A273-'Recurring Schedule'!$F$30,'Recurring Schedule'!$N$30)=0,IF('Recurring Schedule'!$O$30&gt;0,AND(DAY($A273)=MIN(DAY('Recurring Schedule'!$F$30),DAY(EOMONTH($A273,0))),MOD((YEAR($A273)-YEAR('Recurring Schedule'!$F$30))*12+MONTH($A273)-MONTH('Recurring Schedule'!$F$30),'Recurring Schedule'!$O$30)=0),IF('Recurring Schedule'!$E$30="Weekdays",WEEKDAY($A273,2)&lt;=5,$A273='Recurring Schedule'!$F$30))),25,""))))</f>
        <v/>
      </c>
      <c r="AA273">
        <f>IF('Recurring Schedule'!$C$31="","",IF('Recurring Schedule'!$F$31="","",IF(OR($A273&lt;'Recurring Schedule'!$F$31,$A273&gt;'Recurring Schedule'!$P$31),"",IF(IF('Recurring Schedule'!$N$31&gt;0,MOD($A273-'Recurring Schedule'!$F$31,'Recurring Schedule'!$N$31)=0,IF('Recurring Schedule'!$O$31&gt;0,AND(DAY($A273)=MIN(DAY('Recurring Schedule'!$F$31),DAY(EOMONTH($A273,0))),MOD((YEAR($A273)-YEAR('Recurring Schedule'!$F$31))*12+MONTH($A273)-MONTH('Recurring Schedule'!$F$31),'Recurring Schedule'!$O$31)=0),IF('Recurring Schedule'!$E$31="Weekdays",WEEKDAY($A273,2)&lt;=5,$A273='Recurring Schedule'!$F$31))),26,""))))</f>
        <v/>
      </c>
      <c r="AB273">
        <f>IF('Recurring Schedule'!$C$32="","",IF('Recurring Schedule'!$F$32="","",IF(OR($A273&lt;'Recurring Schedule'!$F$32,$A273&gt;'Recurring Schedule'!$P$32),"",IF(IF('Recurring Schedule'!$N$32&gt;0,MOD($A273-'Recurring Schedule'!$F$32,'Recurring Schedule'!$N$32)=0,IF('Recurring Schedule'!$O$32&gt;0,AND(DAY($A273)=MIN(DAY('Recurring Schedule'!$F$32),DAY(EOMONTH($A273,0))),MOD((YEAR($A273)-YEAR('Recurring Schedule'!$F$32))*12+MONTH($A273)-MONTH('Recurring Schedule'!$F$32),'Recurring Schedule'!$O$32)=0),IF('Recurring Schedule'!$E$32="Weekdays",WEEKDAY($A273,2)&lt;=5,$A273='Recurring Schedule'!$F$32))),27,""))))</f>
        <v/>
      </c>
      <c r="AC273">
        <f>IF('Recurring Schedule'!$C$33="","",IF('Recurring Schedule'!$F$33="","",IF(OR($A273&lt;'Recurring Schedule'!$F$33,$A273&gt;'Recurring Schedule'!$P$33),"",IF(IF('Recurring Schedule'!$N$33&gt;0,MOD($A273-'Recurring Schedule'!$F$33,'Recurring Schedule'!$N$33)=0,IF('Recurring Schedule'!$O$33&gt;0,AND(DAY($A273)=MIN(DAY('Recurring Schedule'!$F$33),DAY(EOMONTH($A273,0))),MOD((YEAR($A273)-YEAR('Recurring Schedule'!$F$33))*12+MONTH($A273)-MONTH('Recurring Schedule'!$F$33),'Recurring Schedule'!$O$33)=0),IF('Recurring Schedule'!$E$33="Weekdays",WEEKDAY($A273,2)&lt;=5,$A273='Recurring Schedule'!$F$33))),28,""))))</f>
        <v/>
      </c>
      <c r="AD273">
        <f>IF('Recurring Schedule'!$C$34="","",IF('Recurring Schedule'!$F$34="","",IF(OR($A273&lt;'Recurring Schedule'!$F$34,$A273&gt;'Recurring Schedule'!$P$34),"",IF(IF('Recurring Schedule'!$N$34&gt;0,MOD($A273-'Recurring Schedule'!$F$34,'Recurring Schedule'!$N$34)=0,IF('Recurring Schedule'!$O$34&gt;0,AND(DAY($A273)=MIN(DAY('Recurring Schedule'!$F$34),DAY(EOMONTH($A273,0))),MOD((YEAR($A273)-YEAR('Recurring Schedule'!$F$34))*12+MONTH($A273)-MONTH('Recurring Schedule'!$F$34),'Recurring Schedule'!$O$34)=0),IF('Recurring Schedule'!$E$34="Weekdays",WEEKDAY($A273,2)&lt;=5,$A273='Recurring Schedule'!$F$34))),29,""))))</f>
        <v/>
      </c>
      <c r="AE273">
        <f>IF('Recurring Schedule'!$C$35="","",IF('Recurring Schedule'!$F$35="","",IF(OR($A273&lt;'Recurring Schedule'!$F$35,$A273&gt;'Recurring Schedule'!$P$35),"",IF(IF('Recurring Schedule'!$N$35&gt;0,MOD($A273-'Recurring Schedule'!$F$35,'Recurring Schedule'!$N$35)=0,IF('Recurring Schedule'!$O$35&gt;0,AND(DAY($A273)=MIN(DAY('Recurring Schedule'!$F$35),DAY(EOMONTH($A273,0))),MOD((YEAR($A273)-YEAR('Recurring Schedule'!$F$35))*12+MONTH($A273)-MONTH('Recurring Schedule'!$F$35),'Recurring Schedule'!$O$35)=0),IF('Recurring Schedule'!$E$35="Weekdays",WEEKDAY($A273,2)&lt;=5,$A273='Recurring Schedule'!$F$35))),30,""))))</f>
        <v/>
      </c>
      <c r="AF273">
        <f>IF('Recurring Schedule'!$C$36="","",IF('Recurring Schedule'!$F$36="","",IF(OR($A273&lt;'Recurring Schedule'!$F$36,$A273&gt;'Recurring Schedule'!$P$36),"",IF(IF('Recurring Schedule'!$N$36&gt;0,MOD($A273-'Recurring Schedule'!$F$36,'Recurring Schedule'!$N$36)=0,IF('Recurring Schedule'!$O$36&gt;0,AND(DAY($A273)=MIN(DAY('Recurring Schedule'!$F$36),DAY(EOMONTH($A273,0))),MOD((YEAR($A273)-YEAR('Recurring Schedule'!$F$36))*12+MONTH($A273)-MONTH('Recurring Schedule'!$F$36),'Recurring Schedule'!$O$36)=0),IF('Recurring Schedule'!$E$36="Weekdays",WEEKDAY($A273,2)&lt;=5,$A273='Recurring Schedule'!$F$36))),31,""))))</f>
        <v/>
      </c>
      <c r="AG273">
        <f>IF('Recurring Schedule'!$C$37="","",IF('Recurring Schedule'!$F$37="","",IF(OR($A273&lt;'Recurring Schedule'!$F$37,$A273&gt;'Recurring Schedule'!$P$37),"",IF(IF('Recurring Schedule'!$N$37&gt;0,MOD($A273-'Recurring Schedule'!$F$37,'Recurring Schedule'!$N$37)=0,IF('Recurring Schedule'!$O$37&gt;0,AND(DAY($A273)=MIN(DAY('Recurring Schedule'!$F$37),DAY(EOMONTH($A273,0))),MOD((YEAR($A273)-YEAR('Recurring Schedule'!$F$37))*12+MONTH($A273)-MONTH('Recurring Schedule'!$F$37),'Recurring Schedule'!$O$37)=0),IF('Recurring Schedule'!$E$37="Weekdays",WEEKDAY($A273,2)&lt;=5,$A273='Recurring Schedule'!$F$37))),32,""))))</f>
        <v/>
      </c>
      <c r="AH273">
        <f>IF('Recurring Schedule'!$C$38="","",IF('Recurring Schedule'!$F$38="","",IF(OR($A273&lt;'Recurring Schedule'!$F$38,$A273&gt;'Recurring Schedule'!$P$38),"",IF(IF('Recurring Schedule'!$N$38&gt;0,MOD($A273-'Recurring Schedule'!$F$38,'Recurring Schedule'!$N$38)=0,IF('Recurring Schedule'!$O$38&gt;0,AND(DAY($A273)=MIN(DAY('Recurring Schedule'!$F$38),DAY(EOMONTH($A273,0))),MOD((YEAR($A273)-YEAR('Recurring Schedule'!$F$38))*12+MONTH($A273)-MONTH('Recurring Schedule'!$F$38),'Recurring Schedule'!$O$38)=0),IF('Recurring Schedule'!$E$38="Weekdays",WEEKDAY($A273,2)&lt;=5,$A273='Recurring Schedule'!$F$38))),33,""))))</f>
        <v/>
      </c>
      <c r="AI273">
        <f>IF('Recurring Schedule'!$C$39="","",IF('Recurring Schedule'!$F$39="","",IF(OR($A273&lt;'Recurring Schedule'!$F$39,$A273&gt;'Recurring Schedule'!$P$39),"",IF(IF('Recurring Schedule'!$N$39&gt;0,MOD($A273-'Recurring Schedule'!$F$39,'Recurring Schedule'!$N$39)=0,IF('Recurring Schedule'!$O$39&gt;0,AND(DAY($A273)=MIN(DAY('Recurring Schedule'!$F$39),DAY(EOMONTH($A273,0))),MOD((YEAR($A273)-YEAR('Recurring Schedule'!$F$39))*12+MONTH($A273)-MONTH('Recurring Schedule'!$F$39),'Recurring Schedule'!$O$39)=0),IF('Recurring Schedule'!$E$39="Weekdays",WEEKDAY($A273,2)&lt;=5,$A273='Recurring Schedule'!$F$39))),34,""))))</f>
        <v/>
      </c>
      <c r="AJ273">
        <f>IF('Recurring Schedule'!$C$40="","",IF('Recurring Schedule'!$F$40="","",IF(OR($A273&lt;'Recurring Schedule'!$F$40,$A273&gt;'Recurring Schedule'!$P$40),"",IF(IF('Recurring Schedule'!$N$40&gt;0,MOD($A273-'Recurring Schedule'!$F$40,'Recurring Schedule'!$N$40)=0,IF('Recurring Schedule'!$O$40&gt;0,AND(DAY($A273)=MIN(DAY('Recurring Schedule'!$F$40),DAY(EOMONTH($A273,0))),MOD((YEAR($A273)-YEAR('Recurring Schedule'!$F$40))*12+MONTH($A273)-MONTH('Recurring Schedule'!$F$40),'Recurring Schedule'!$O$40)=0),IF('Recurring Schedule'!$E$40="Weekdays",WEEKDAY($A273,2)&lt;=5,$A273='Recurring Schedule'!$F$40))),35,""))))</f>
        <v/>
      </c>
      <c r="AK273">
        <f>IF('Recurring Schedule'!$C$41="","",IF('Recurring Schedule'!$F$41="","",IF(OR($A273&lt;'Recurring Schedule'!$F$41,$A273&gt;'Recurring Schedule'!$P$41),"",IF(IF('Recurring Schedule'!$N$41&gt;0,MOD($A273-'Recurring Schedule'!$F$41,'Recurring Schedule'!$N$41)=0,IF('Recurring Schedule'!$O$41&gt;0,AND(DAY($A273)=MIN(DAY('Recurring Schedule'!$F$41),DAY(EOMONTH($A273,0))),MOD((YEAR($A273)-YEAR('Recurring Schedule'!$F$41))*12+MONTH($A273)-MONTH('Recurring Schedule'!$F$41),'Recurring Schedule'!$O$41)=0),IF('Recurring Schedule'!$E$41="Weekdays",WEEKDAY($A273,2)&lt;=5,$A273='Recurring Schedule'!$F$41))),36,""))))</f>
        <v/>
      </c>
      <c r="AL273">
        <f>IF('Recurring Schedule'!$C$42="","",IF('Recurring Schedule'!$F$42="","",IF(OR($A273&lt;'Recurring Schedule'!$F$42,$A273&gt;'Recurring Schedule'!$P$42),"",IF(IF('Recurring Schedule'!$N$42&gt;0,MOD($A273-'Recurring Schedule'!$F$42,'Recurring Schedule'!$N$42)=0,IF('Recurring Schedule'!$O$42&gt;0,AND(DAY($A273)=MIN(DAY('Recurring Schedule'!$F$42),DAY(EOMONTH($A273,0))),MOD((YEAR($A273)-YEAR('Recurring Schedule'!$F$42))*12+MONTH($A273)-MONTH('Recurring Schedule'!$F$42),'Recurring Schedule'!$O$42)=0),IF('Recurring Schedule'!$E$42="Weekdays",WEEKDAY($A273,2)&lt;=5,$A273='Recurring Schedule'!$F$42))),37,""))))</f>
        <v/>
      </c>
      <c r="AM273">
        <f>IF('Recurring Schedule'!$C$43="","",IF('Recurring Schedule'!$F$43="","",IF(OR($A273&lt;'Recurring Schedule'!$F$43,$A273&gt;'Recurring Schedule'!$P$43),"",IF(IF('Recurring Schedule'!$N$43&gt;0,MOD($A273-'Recurring Schedule'!$F$43,'Recurring Schedule'!$N$43)=0,IF('Recurring Schedule'!$O$43&gt;0,AND(DAY($A273)=MIN(DAY('Recurring Schedule'!$F$43),DAY(EOMONTH($A273,0))),MOD((YEAR($A273)-YEAR('Recurring Schedule'!$F$43))*12+MONTH($A273)-MONTH('Recurring Schedule'!$F$43),'Recurring Schedule'!$O$43)=0),IF('Recurring Schedule'!$E$43="Weekdays",WEEKDAY($A273,2)&lt;=5,$A273='Recurring Schedule'!$F$43))),38,""))))</f>
        <v/>
      </c>
      <c r="AN273">
        <f>IF('Recurring Schedule'!$C$44="","",IF('Recurring Schedule'!$F$44="","",IF(OR($A273&lt;'Recurring Schedule'!$F$44,$A273&gt;'Recurring Schedule'!$P$44),"",IF(IF('Recurring Schedule'!$N$44&gt;0,MOD($A273-'Recurring Schedule'!$F$44,'Recurring Schedule'!$N$44)=0,IF('Recurring Schedule'!$O$44&gt;0,AND(DAY($A273)=MIN(DAY('Recurring Schedule'!$F$44),DAY(EOMONTH($A273,0))),MOD((YEAR($A273)-YEAR('Recurring Schedule'!$F$44))*12+MONTH($A273)-MONTH('Recurring Schedule'!$F$44),'Recurring Schedule'!$O$44)=0),IF('Recurring Schedule'!$E$44="Weekdays",WEEKDAY($A273,2)&lt;=5,$A273='Recurring Schedule'!$F$44))),39,""))))</f>
        <v/>
      </c>
      <c r="AO273">
        <f>IF('Recurring Schedule'!$C$45="","",IF('Recurring Schedule'!$F$45="","",IF(OR($A273&lt;'Recurring Schedule'!$F$45,$A273&gt;'Recurring Schedule'!$P$45),"",IF(IF('Recurring Schedule'!$N$45&gt;0,MOD($A273-'Recurring Schedule'!$F$45,'Recurring Schedule'!$N$45)=0,IF('Recurring Schedule'!$O$45&gt;0,AND(DAY($A273)=MIN(DAY('Recurring Schedule'!$F$45),DAY(EOMONTH($A273,0))),MOD((YEAR($A273)-YEAR('Recurring Schedule'!$F$45))*12+MONTH($A273)-MONTH('Recurring Schedule'!$F$45),'Recurring Schedule'!$O$45)=0),IF('Recurring Schedule'!$E$45="Weekdays",WEEKDAY($A273,2)&lt;=5,$A273='Recurring Schedule'!$F$45))),40,""))))</f>
        <v/>
      </c>
      <c r="AP273">
        <f>COUNT(B273:AO273)</f>
        <v/>
      </c>
      <c r="AQ273">
        <f>AQ272+AP272</f>
        <v/>
      </c>
      <c r="AS273" t="inlineStr">
        <is>
          <t>R</t>
        </is>
      </c>
      <c r="AT273" t="n">
        <v>277</v>
      </c>
      <c r="AU273">
        <f>'Recurring Log'!C277&amp;""</f>
        <v/>
      </c>
      <c r="AV273">
        <f>'Recurring Log'!D277&amp;""</f>
        <v/>
      </c>
      <c r="AW273">
        <f>IF('Recurring Log'!E277="","",'Recurring Log'!E277)</f>
        <v/>
      </c>
      <c r="AX273">
        <f>IF('Recurring Log'!G277="","",'Recurring Log'!G277)</f>
        <v/>
      </c>
      <c r="AY273">
        <f>IF('Recurring Log'!H277="","",'Recurring Log'!H277)</f>
        <v/>
      </c>
      <c r="AZ273">
        <f>IF(AU273="","",IF('Recurring Log'!J277="","Not Started",'Recurring Log'!J277))</f>
        <v/>
      </c>
      <c r="BA273">
        <f>'Recurring Log'!L277&amp;""</f>
        <v/>
      </c>
      <c r="BB273">
        <f>'Recurring Log'!M277&amp;""</f>
        <v/>
      </c>
      <c r="BC273">
        <f>'Recurring Log'!N277&amp;""</f>
        <v/>
      </c>
      <c r="BD273">
        <f>'Recurring Log'!O277&amp;""</f>
        <v/>
      </c>
      <c r="BE273">
        <f>IF('Recurring Log'!K277="","",'Recurring Log'!K277)</f>
        <v/>
      </c>
      <c r="BF273">
        <f>IFERROR(MATCH(BA273,Setup!$L$6:$L$9,0),5)</f>
        <v/>
      </c>
      <c r="BG273">
        <f>IF(OR(AZ273="Done",AZ273="Cancelled"),1,0)</f>
        <v/>
      </c>
      <c r="BH273">
        <f>IF(AND(AU273&lt;&gt;"",ISNUMBER(AW273)),1,0)</f>
        <v/>
      </c>
      <c r="BI273">
        <f>IF(BH273=0,0,IF(AND(AW273&gt;='Tasks Filter'!$F$3,AW273&lt;='Tasks Filter'!$F$4,OR('Tasks Filter'!$I$3="",ISNUMBER(SEARCH('Tasks Filter'!$I$3,AU273))),OR('Tasks Filter'!$I$4="",BF273=IFERROR(MATCH('Tasks Filter'!$I$4,Setup!$L$6:$L$9,0),0)),OR('Tasks Filter'!$I$5="Both",AND('Tasks Filter'!$I$5="Yes",BB273="✓"),AND('Tasks Filter'!$I$5="No",BB273&lt;&gt;"✓")),OR('Tasks Filter'!$L$3="",AV273='Tasks Filter'!$L$3),OR('Tasks Filter'!$L$4="",AZ273='Tasks Filter'!$L$4),OR('Tasks Filter'!$L$5="",BC273='Tasks Filter'!$L$5),OR('Tasks Filter'!$O$3="",BD273='Tasks Filter'!$O$3),OR('Tasks Filter'!$O$4="Yes",BG273=0)),1,0))</f>
        <v/>
      </c>
      <c r="BJ273">
        <f>IF(BH273=0,"",IF('Tasks Filter'!$F$6="Descending",-1,1)*CHOOSE(MATCH('Tasks Filter'!$F$5,Lists!$G$2:$G$6,0),AW273,BF273,IFERROR(MATCH(AV273,Setup!$F$6:$F$15,0),99),IFERROR(MATCH(BC273,Setup!$H$6:$H$15,0),99),IFERROR(MATCH(AZ273,Setup!$J$6:$J$11,0),99))*1E+9+(AW273-40000)*10000+272)</f>
        <v/>
      </c>
      <c r="BK273">
        <f>IF(BI273=1,BJ273,"")</f>
        <v/>
      </c>
      <c r="BL273">
        <f>IF(AND(BH273=1,BG273=0,N(AW273)&lt;Setup!$D$7),(AW273-40000)*10000+272,"")</f>
        <v/>
      </c>
      <c r="BM273">
        <f>IF(AND(BH273=1,AZ273&lt;&gt;"Cancelled",N(AW273)&gt;=Dashboard!$AB$3,N(AW273)&lt;=Dashboard!$AB$3+6),(AW273-40000)*100000+BF273*10000+272,"")</f>
        <v/>
      </c>
      <c r="BN273">
        <f>IF(AND(BH273=1,AZ273&lt;&gt;"Cancelled"),BF273*10000+272,"")</f>
        <v/>
      </c>
    </row>
    <row r="274">
      <c r="A274">
        <f>Setup!$D$5+272</f>
        <v/>
      </c>
      <c r="B274">
        <f>IF('Recurring Schedule'!$C$6="","",IF('Recurring Schedule'!$F$6="","",IF(OR($A274&lt;'Recurring Schedule'!$F$6,$A274&gt;'Recurring Schedule'!$P$6),"",IF(IF('Recurring Schedule'!$N$6&gt;0,MOD($A274-'Recurring Schedule'!$F$6,'Recurring Schedule'!$N$6)=0,IF('Recurring Schedule'!$O$6&gt;0,AND(DAY($A274)=MIN(DAY('Recurring Schedule'!$F$6),DAY(EOMONTH($A274,0))),MOD((YEAR($A274)-YEAR('Recurring Schedule'!$F$6))*12+MONTH($A274)-MONTH('Recurring Schedule'!$F$6),'Recurring Schedule'!$O$6)=0),IF('Recurring Schedule'!$E$6="Weekdays",WEEKDAY($A274,2)&lt;=5,$A274='Recurring Schedule'!$F$6))),1,""))))</f>
        <v/>
      </c>
      <c r="C274">
        <f>IF('Recurring Schedule'!$C$7="","",IF('Recurring Schedule'!$F$7="","",IF(OR($A274&lt;'Recurring Schedule'!$F$7,$A274&gt;'Recurring Schedule'!$P$7),"",IF(IF('Recurring Schedule'!$N$7&gt;0,MOD($A274-'Recurring Schedule'!$F$7,'Recurring Schedule'!$N$7)=0,IF('Recurring Schedule'!$O$7&gt;0,AND(DAY($A274)=MIN(DAY('Recurring Schedule'!$F$7),DAY(EOMONTH($A274,0))),MOD((YEAR($A274)-YEAR('Recurring Schedule'!$F$7))*12+MONTH($A274)-MONTH('Recurring Schedule'!$F$7),'Recurring Schedule'!$O$7)=0),IF('Recurring Schedule'!$E$7="Weekdays",WEEKDAY($A274,2)&lt;=5,$A274='Recurring Schedule'!$F$7))),2,""))))</f>
        <v/>
      </c>
      <c r="D274">
        <f>IF('Recurring Schedule'!$C$8="","",IF('Recurring Schedule'!$F$8="","",IF(OR($A274&lt;'Recurring Schedule'!$F$8,$A274&gt;'Recurring Schedule'!$P$8),"",IF(IF('Recurring Schedule'!$N$8&gt;0,MOD($A274-'Recurring Schedule'!$F$8,'Recurring Schedule'!$N$8)=0,IF('Recurring Schedule'!$O$8&gt;0,AND(DAY($A274)=MIN(DAY('Recurring Schedule'!$F$8),DAY(EOMONTH($A274,0))),MOD((YEAR($A274)-YEAR('Recurring Schedule'!$F$8))*12+MONTH($A274)-MONTH('Recurring Schedule'!$F$8),'Recurring Schedule'!$O$8)=0),IF('Recurring Schedule'!$E$8="Weekdays",WEEKDAY($A274,2)&lt;=5,$A274='Recurring Schedule'!$F$8))),3,""))))</f>
        <v/>
      </c>
      <c r="E274">
        <f>IF('Recurring Schedule'!$C$9="","",IF('Recurring Schedule'!$F$9="","",IF(OR($A274&lt;'Recurring Schedule'!$F$9,$A274&gt;'Recurring Schedule'!$P$9),"",IF(IF('Recurring Schedule'!$N$9&gt;0,MOD($A274-'Recurring Schedule'!$F$9,'Recurring Schedule'!$N$9)=0,IF('Recurring Schedule'!$O$9&gt;0,AND(DAY($A274)=MIN(DAY('Recurring Schedule'!$F$9),DAY(EOMONTH($A274,0))),MOD((YEAR($A274)-YEAR('Recurring Schedule'!$F$9))*12+MONTH($A274)-MONTH('Recurring Schedule'!$F$9),'Recurring Schedule'!$O$9)=0),IF('Recurring Schedule'!$E$9="Weekdays",WEEKDAY($A274,2)&lt;=5,$A274='Recurring Schedule'!$F$9))),4,""))))</f>
        <v/>
      </c>
      <c r="F274">
        <f>IF('Recurring Schedule'!$C$10="","",IF('Recurring Schedule'!$F$10="","",IF(OR($A274&lt;'Recurring Schedule'!$F$10,$A274&gt;'Recurring Schedule'!$P$10),"",IF(IF('Recurring Schedule'!$N$10&gt;0,MOD($A274-'Recurring Schedule'!$F$10,'Recurring Schedule'!$N$10)=0,IF('Recurring Schedule'!$O$10&gt;0,AND(DAY($A274)=MIN(DAY('Recurring Schedule'!$F$10),DAY(EOMONTH($A274,0))),MOD((YEAR($A274)-YEAR('Recurring Schedule'!$F$10))*12+MONTH($A274)-MONTH('Recurring Schedule'!$F$10),'Recurring Schedule'!$O$10)=0),IF('Recurring Schedule'!$E$10="Weekdays",WEEKDAY($A274,2)&lt;=5,$A274='Recurring Schedule'!$F$10))),5,""))))</f>
        <v/>
      </c>
      <c r="G274">
        <f>IF('Recurring Schedule'!$C$11="","",IF('Recurring Schedule'!$F$11="","",IF(OR($A274&lt;'Recurring Schedule'!$F$11,$A274&gt;'Recurring Schedule'!$P$11),"",IF(IF('Recurring Schedule'!$N$11&gt;0,MOD($A274-'Recurring Schedule'!$F$11,'Recurring Schedule'!$N$11)=0,IF('Recurring Schedule'!$O$11&gt;0,AND(DAY($A274)=MIN(DAY('Recurring Schedule'!$F$11),DAY(EOMONTH($A274,0))),MOD((YEAR($A274)-YEAR('Recurring Schedule'!$F$11))*12+MONTH($A274)-MONTH('Recurring Schedule'!$F$11),'Recurring Schedule'!$O$11)=0),IF('Recurring Schedule'!$E$11="Weekdays",WEEKDAY($A274,2)&lt;=5,$A274='Recurring Schedule'!$F$11))),6,""))))</f>
        <v/>
      </c>
      <c r="H274">
        <f>IF('Recurring Schedule'!$C$12="","",IF('Recurring Schedule'!$F$12="","",IF(OR($A274&lt;'Recurring Schedule'!$F$12,$A274&gt;'Recurring Schedule'!$P$12),"",IF(IF('Recurring Schedule'!$N$12&gt;0,MOD($A274-'Recurring Schedule'!$F$12,'Recurring Schedule'!$N$12)=0,IF('Recurring Schedule'!$O$12&gt;0,AND(DAY($A274)=MIN(DAY('Recurring Schedule'!$F$12),DAY(EOMONTH($A274,0))),MOD((YEAR($A274)-YEAR('Recurring Schedule'!$F$12))*12+MONTH($A274)-MONTH('Recurring Schedule'!$F$12),'Recurring Schedule'!$O$12)=0),IF('Recurring Schedule'!$E$12="Weekdays",WEEKDAY($A274,2)&lt;=5,$A274='Recurring Schedule'!$F$12))),7,""))))</f>
        <v/>
      </c>
      <c r="I274">
        <f>IF('Recurring Schedule'!$C$13="","",IF('Recurring Schedule'!$F$13="","",IF(OR($A274&lt;'Recurring Schedule'!$F$13,$A274&gt;'Recurring Schedule'!$P$13),"",IF(IF('Recurring Schedule'!$N$13&gt;0,MOD($A274-'Recurring Schedule'!$F$13,'Recurring Schedule'!$N$13)=0,IF('Recurring Schedule'!$O$13&gt;0,AND(DAY($A274)=MIN(DAY('Recurring Schedule'!$F$13),DAY(EOMONTH($A274,0))),MOD((YEAR($A274)-YEAR('Recurring Schedule'!$F$13))*12+MONTH($A274)-MONTH('Recurring Schedule'!$F$13),'Recurring Schedule'!$O$13)=0),IF('Recurring Schedule'!$E$13="Weekdays",WEEKDAY($A274,2)&lt;=5,$A274='Recurring Schedule'!$F$13))),8,""))))</f>
        <v/>
      </c>
      <c r="J274">
        <f>IF('Recurring Schedule'!$C$14="","",IF('Recurring Schedule'!$F$14="","",IF(OR($A274&lt;'Recurring Schedule'!$F$14,$A274&gt;'Recurring Schedule'!$P$14),"",IF(IF('Recurring Schedule'!$N$14&gt;0,MOD($A274-'Recurring Schedule'!$F$14,'Recurring Schedule'!$N$14)=0,IF('Recurring Schedule'!$O$14&gt;0,AND(DAY($A274)=MIN(DAY('Recurring Schedule'!$F$14),DAY(EOMONTH($A274,0))),MOD((YEAR($A274)-YEAR('Recurring Schedule'!$F$14))*12+MONTH($A274)-MONTH('Recurring Schedule'!$F$14),'Recurring Schedule'!$O$14)=0),IF('Recurring Schedule'!$E$14="Weekdays",WEEKDAY($A274,2)&lt;=5,$A274='Recurring Schedule'!$F$14))),9,""))))</f>
        <v/>
      </c>
      <c r="K274">
        <f>IF('Recurring Schedule'!$C$15="","",IF('Recurring Schedule'!$F$15="","",IF(OR($A274&lt;'Recurring Schedule'!$F$15,$A274&gt;'Recurring Schedule'!$P$15),"",IF(IF('Recurring Schedule'!$N$15&gt;0,MOD($A274-'Recurring Schedule'!$F$15,'Recurring Schedule'!$N$15)=0,IF('Recurring Schedule'!$O$15&gt;0,AND(DAY($A274)=MIN(DAY('Recurring Schedule'!$F$15),DAY(EOMONTH($A274,0))),MOD((YEAR($A274)-YEAR('Recurring Schedule'!$F$15))*12+MONTH($A274)-MONTH('Recurring Schedule'!$F$15),'Recurring Schedule'!$O$15)=0),IF('Recurring Schedule'!$E$15="Weekdays",WEEKDAY($A274,2)&lt;=5,$A274='Recurring Schedule'!$F$15))),10,""))))</f>
        <v/>
      </c>
      <c r="L274">
        <f>IF('Recurring Schedule'!$C$16="","",IF('Recurring Schedule'!$F$16="","",IF(OR($A274&lt;'Recurring Schedule'!$F$16,$A274&gt;'Recurring Schedule'!$P$16),"",IF(IF('Recurring Schedule'!$N$16&gt;0,MOD($A274-'Recurring Schedule'!$F$16,'Recurring Schedule'!$N$16)=0,IF('Recurring Schedule'!$O$16&gt;0,AND(DAY($A274)=MIN(DAY('Recurring Schedule'!$F$16),DAY(EOMONTH($A274,0))),MOD((YEAR($A274)-YEAR('Recurring Schedule'!$F$16))*12+MONTH($A274)-MONTH('Recurring Schedule'!$F$16),'Recurring Schedule'!$O$16)=0),IF('Recurring Schedule'!$E$16="Weekdays",WEEKDAY($A274,2)&lt;=5,$A274='Recurring Schedule'!$F$16))),11,""))))</f>
        <v/>
      </c>
      <c r="M274">
        <f>IF('Recurring Schedule'!$C$17="","",IF('Recurring Schedule'!$F$17="","",IF(OR($A274&lt;'Recurring Schedule'!$F$17,$A274&gt;'Recurring Schedule'!$P$17),"",IF(IF('Recurring Schedule'!$N$17&gt;0,MOD($A274-'Recurring Schedule'!$F$17,'Recurring Schedule'!$N$17)=0,IF('Recurring Schedule'!$O$17&gt;0,AND(DAY($A274)=MIN(DAY('Recurring Schedule'!$F$17),DAY(EOMONTH($A274,0))),MOD((YEAR($A274)-YEAR('Recurring Schedule'!$F$17))*12+MONTH($A274)-MONTH('Recurring Schedule'!$F$17),'Recurring Schedule'!$O$17)=0),IF('Recurring Schedule'!$E$17="Weekdays",WEEKDAY($A274,2)&lt;=5,$A274='Recurring Schedule'!$F$17))),12,""))))</f>
        <v/>
      </c>
      <c r="N274">
        <f>IF('Recurring Schedule'!$C$18="","",IF('Recurring Schedule'!$F$18="","",IF(OR($A274&lt;'Recurring Schedule'!$F$18,$A274&gt;'Recurring Schedule'!$P$18),"",IF(IF('Recurring Schedule'!$N$18&gt;0,MOD($A274-'Recurring Schedule'!$F$18,'Recurring Schedule'!$N$18)=0,IF('Recurring Schedule'!$O$18&gt;0,AND(DAY($A274)=MIN(DAY('Recurring Schedule'!$F$18),DAY(EOMONTH($A274,0))),MOD((YEAR($A274)-YEAR('Recurring Schedule'!$F$18))*12+MONTH($A274)-MONTH('Recurring Schedule'!$F$18),'Recurring Schedule'!$O$18)=0),IF('Recurring Schedule'!$E$18="Weekdays",WEEKDAY($A274,2)&lt;=5,$A274='Recurring Schedule'!$F$18))),13,""))))</f>
        <v/>
      </c>
      <c r="O274">
        <f>IF('Recurring Schedule'!$C$19="","",IF('Recurring Schedule'!$F$19="","",IF(OR($A274&lt;'Recurring Schedule'!$F$19,$A274&gt;'Recurring Schedule'!$P$19),"",IF(IF('Recurring Schedule'!$N$19&gt;0,MOD($A274-'Recurring Schedule'!$F$19,'Recurring Schedule'!$N$19)=0,IF('Recurring Schedule'!$O$19&gt;0,AND(DAY($A274)=MIN(DAY('Recurring Schedule'!$F$19),DAY(EOMONTH($A274,0))),MOD((YEAR($A274)-YEAR('Recurring Schedule'!$F$19))*12+MONTH($A274)-MONTH('Recurring Schedule'!$F$19),'Recurring Schedule'!$O$19)=0),IF('Recurring Schedule'!$E$19="Weekdays",WEEKDAY($A274,2)&lt;=5,$A274='Recurring Schedule'!$F$19))),14,""))))</f>
        <v/>
      </c>
      <c r="P274">
        <f>IF('Recurring Schedule'!$C$20="","",IF('Recurring Schedule'!$F$20="","",IF(OR($A274&lt;'Recurring Schedule'!$F$20,$A274&gt;'Recurring Schedule'!$P$20),"",IF(IF('Recurring Schedule'!$N$20&gt;0,MOD($A274-'Recurring Schedule'!$F$20,'Recurring Schedule'!$N$20)=0,IF('Recurring Schedule'!$O$20&gt;0,AND(DAY($A274)=MIN(DAY('Recurring Schedule'!$F$20),DAY(EOMONTH($A274,0))),MOD((YEAR($A274)-YEAR('Recurring Schedule'!$F$20))*12+MONTH($A274)-MONTH('Recurring Schedule'!$F$20),'Recurring Schedule'!$O$20)=0),IF('Recurring Schedule'!$E$20="Weekdays",WEEKDAY($A274,2)&lt;=5,$A274='Recurring Schedule'!$F$20))),15,""))))</f>
        <v/>
      </c>
      <c r="Q274">
        <f>IF('Recurring Schedule'!$C$21="","",IF('Recurring Schedule'!$F$21="","",IF(OR($A274&lt;'Recurring Schedule'!$F$21,$A274&gt;'Recurring Schedule'!$P$21),"",IF(IF('Recurring Schedule'!$N$21&gt;0,MOD($A274-'Recurring Schedule'!$F$21,'Recurring Schedule'!$N$21)=0,IF('Recurring Schedule'!$O$21&gt;0,AND(DAY($A274)=MIN(DAY('Recurring Schedule'!$F$21),DAY(EOMONTH($A274,0))),MOD((YEAR($A274)-YEAR('Recurring Schedule'!$F$21))*12+MONTH($A274)-MONTH('Recurring Schedule'!$F$21),'Recurring Schedule'!$O$21)=0),IF('Recurring Schedule'!$E$21="Weekdays",WEEKDAY($A274,2)&lt;=5,$A274='Recurring Schedule'!$F$21))),16,""))))</f>
        <v/>
      </c>
      <c r="R274">
        <f>IF('Recurring Schedule'!$C$22="","",IF('Recurring Schedule'!$F$22="","",IF(OR($A274&lt;'Recurring Schedule'!$F$22,$A274&gt;'Recurring Schedule'!$P$22),"",IF(IF('Recurring Schedule'!$N$22&gt;0,MOD($A274-'Recurring Schedule'!$F$22,'Recurring Schedule'!$N$22)=0,IF('Recurring Schedule'!$O$22&gt;0,AND(DAY($A274)=MIN(DAY('Recurring Schedule'!$F$22),DAY(EOMONTH($A274,0))),MOD((YEAR($A274)-YEAR('Recurring Schedule'!$F$22))*12+MONTH($A274)-MONTH('Recurring Schedule'!$F$22),'Recurring Schedule'!$O$22)=0),IF('Recurring Schedule'!$E$22="Weekdays",WEEKDAY($A274,2)&lt;=5,$A274='Recurring Schedule'!$F$22))),17,""))))</f>
        <v/>
      </c>
      <c r="S274">
        <f>IF('Recurring Schedule'!$C$23="","",IF('Recurring Schedule'!$F$23="","",IF(OR($A274&lt;'Recurring Schedule'!$F$23,$A274&gt;'Recurring Schedule'!$P$23),"",IF(IF('Recurring Schedule'!$N$23&gt;0,MOD($A274-'Recurring Schedule'!$F$23,'Recurring Schedule'!$N$23)=0,IF('Recurring Schedule'!$O$23&gt;0,AND(DAY($A274)=MIN(DAY('Recurring Schedule'!$F$23),DAY(EOMONTH($A274,0))),MOD((YEAR($A274)-YEAR('Recurring Schedule'!$F$23))*12+MONTH($A274)-MONTH('Recurring Schedule'!$F$23),'Recurring Schedule'!$O$23)=0),IF('Recurring Schedule'!$E$23="Weekdays",WEEKDAY($A274,2)&lt;=5,$A274='Recurring Schedule'!$F$23))),18,""))))</f>
        <v/>
      </c>
      <c r="T274">
        <f>IF('Recurring Schedule'!$C$24="","",IF('Recurring Schedule'!$F$24="","",IF(OR($A274&lt;'Recurring Schedule'!$F$24,$A274&gt;'Recurring Schedule'!$P$24),"",IF(IF('Recurring Schedule'!$N$24&gt;0,MOD($A274-'Recurring Schedule'!$F$24,'Recurring Schedule'!$N$24)=0,IF('Recurring Schedule'!$O$24&gt;0,AND(DAY($A274)=MIN(DAY('Recurring Schedule'!$F$24),DAY(EOMONTH($A274,0))),MOD((YEAR($A274)-YEAR('Recurring Schedule'!$F$24))*12+MONTH($A274)-MONTH('Recurring Schedule'!$F$24),'Recurring Schedule'!$O$24)=0),IF('Recurring Schedule'!$E$24="Weekdays",WEEKDAY($A274,2)&lt;=5,$A274='Recurring Schedule'!$F$24))),19,""))))</f>
        <v/>
      </c>
      <c r="U274">
        <f>IF('Recurring Schedule'!$C$25="","",IF('Recurring Schedule'!$F$25="","",IF(OR($A274&lt;'Recurring Schedule'!$F$25,$A274&gt;'Recurring Schedule'!$P$25),"",IF(IF('Recurring Schedule'!$N$25&gt;0,MOD($A274-'Recurring Schedule'!$F$25,'Recurring Schedule'!$N$25)=0,IF('Recurring Schedule'!$O$25&gt;0,AND(DAY($A274)=MIN(DAY('Recurring Schedule'!$F$25),DAY(EOMONTH($A274,0))),MOD((YEAR($A274)-YEAR('Recurring Schedule'!$F$25))*12+MONTH($A274)-MONTH('Recurring Schedule'!$F$25),'Recurring Schedule'!$O$25)=0),IF('Recurring Schedule'!$E$25="Weekdays",WEEKDAY($A274,2)&lt;=5,$A274='Recurring Schedule'!$F$25))),20,""))))</f>
        <v/>
      </c>
      <c r="V274">
        <f>IF('Recurring Schedule'!$C$26="","",IF('Recurring Schedule'!$F$26="","",IF(OR($A274&lt;'Recurring Schedule'!$F$26,$A274&gt;'Recurring Schedule'!$P$26),"",IF(IF('Recurring Schedule'!$N$26&gt;0,MOD($A274-'Recurring Schedule'!$F$26,'Recurring Schedule'!$N$26)=0,IF('Recurring Schedule'!$O$26&gt;0,AND(DAY($A274)=MIN(DAY('Recurring Schedule'!$F$26),DAY(EOMONTH($A274,0))),MOD((YEAR($A274)-YEAR('Recurring Schedule'!$F$26))*12+MONTH($A274)-MONTH('Recurring Schedule'!$F$26),'Recurring Schedule'!$O$26)=0),IF('Recurring Schedule'!$E$26="Weekdays",WEEKDAY($A274,2)&lt;=5,$A274='Recurring Schedule'!$F$26))),21,""))))</f>
        <v/>
      </c>
      <c r="W274">
        <f>IF('Recurring Schedule'!$C$27="","",IF('Recurring Schedule'!$F$27="","",IF(OR($A274&lt;'Recurring Schedule'!$F$27,$A274&gt;'Recurring Schedule'!$P$27),"",IF(IF('Recurring Schedule'!$N$27&gt;0,MOD($A274-'Recurring Schedule'!$F$27,'Recurring Schedule'!$N$27)=0,IF('Recurring Schedule'!$O$27&gt;0,AND(DAY($A274)=MIN(DAY('Recurring Schedule'!$F$27),DAY(EOMONTH($A274,0))),MOD((YEAR($A274)-YEAR('Recurring Schedule'!$F$27))*12+MONTH($A274)-MONTH('Recurring Schedule'!$F$27),'Recurring Schedule'!$O$27)=0),IF('Recurring Schedule'!$E$27="Weekdays",WEEKDAY($A274,2)&lt;=5,$A274='Recurring Schedule'!$F$27))),22,""))))</f>
        <v/>
      </c>
      <c r="X274">
        <f>IF('Recurring Schedule'!$C$28="","",IF('Recurring Schedule'!$F$28="","",IF(OR($A274&lt;'Recurring Schedule'!$F$28,$A274&gt;'Recurring Schedule'!$P$28),"",IF(IF('Recurring Schedule'!$N$28&gt;0,MOD($A274-'Recurring Schedule'!$F$28,'Recurring Schedule'!$N$28)=0,IF('Recurring Schedule'!$O$28&gt;0,AND(DAY($A274)=MIN(DAY('Recurring Schedule'!$F$28),DAY(EOMONTH($A274,0))),MOD((YEAR($A274)-YEAR('Recurring Schedule'!$F$28))*12+MONTH($A274)-MONTH('Recurring Schedule'!$F$28),'Recurring Schedule'!$O$28)=0),IF('Recurring Schedule'!$E$28="Weekdays",WEEKDAY($A274,2)&lt;=5,$A274='Recurring Schedule'!$F$28))),23,""))))</f>
        <v/>
      </c>
      <c r="Y274">
        <f>IF('Recurring Schedule'!$C$29="","",IF('Recurring Schedule'!$F$29="","",IF(OR($A274&lt;'Recurring Schedule'!$F$29,$A274&gt;'Recurring Schedule'!$P$29),"",IF(IF('Recurring Schedule'!$N$29&gt;0,MOD($A274-'Recurring Schedule'!$F$29,'Recurring Schedule'!$N$29)=0,IF('Recurring Schedule'!$O$29&gt;0,AND(DAY($A274)=MIN(DAY('Recurring Schedule'!$F$29),DAY(EOMONTH($A274,0))),MOD((YEAR($A274)-YEAR('Recurring Schedule'!$F$29))*12+MONTH($A274)-MONTH('Recurring Schedule'!$F$29),'Recurring Schedule'!$O$29)=0),IF('Recurring Schedule'!$E$29="Weekdays",WEEKDAY($A274,2)&lt;=5,$A274='Recurring Schedule'!$F$29))),24,""))))</f>
        <v/>
      </c>
      <c r="Z274">
        <f>IF('Recurring Schedule'!$C$30="","",IF('Recurring Schedule'!$F$30="","",IF(OR($A274&lt;'Recurring Schedule'!$F$30,$A274&gt;'Recurring Schedule'!$P$30),"",IF(IF('Recurring Schedule'!$N$30&gt;0,MOD($A274-'Recurring Schedule'!$F$30,'Recurring Schedule'!$N$30)=0,IF('Recurring Schedule'!$O$30&gt;0,AND(DAY($A274)=MIN(DAY('Recurring Schedule'!$F$30),DAY(EOMONTH($A274,0))),MOD((YEAR($A274)-YEAR('Recurring Schedule'!$F$30))*12+MONTH($A274)-MONTH('Recurring Schedule'!$F$30),'Recurring Schedule'!$O$30)=0),IF('Recurring Schedule'!$E$30="Weekdays",WEEKDAY($A274,2)&lt;=5,$A274='Recurring Schedule'!$F$30))),25,""))))</f>
        <v/>
      </c>
      <c r="AA274">
        <f>IF('Recurring Schedule'!$C$31="","",IF('Recurring Schedule'!$F$31="","",IF(OR($A274&lt;'Recurring Schedule'!$F$31,$A274&gt;'Recurring Schedule'!$P$31),"",IF(IF('Recurring Schedule'!$N$31&gt;0,MOD($A274-'Recurring Schedule'!$F$31,'Recurring Schedule'!$N$31)=0,IF('Recurring Schedule'!$O$31&gt;0,AND(DAY($A274)=MIN(DAY('Recurring Schedule'!$F$31),DAY(EOMONTH($A274,0))),MOD((YEAR($A274)-YEAR('Recurring Schedule'!$F$31))*12+MONTH($A274)-MONTH('Recurring Schedule'!$F$31),'Recurring Schedule'!$O$31)=0),IF('Recurring Schedule'!$E$31="Weekdays",WEEKDAY($A274,2)&lt;=5,$A274='Recurring Schedule'!$F$31))),26,""))))</f>
        <v/>
      </c>
      <c r="AB274">
        <f>IF('Recurring Schedule'!$C$32="","",IF('Recurring Schedule'!$F$32="","",IF(OR($A274&lt;'Recurring Schedule'!$F$32,$A274&gt;'Recurring Schedule'!$P$32),"",IF(IF('Recurring Schedule'!$N$32&gt;0,MOD($A274-'Recurring Schedule'!$F$32,'Recurring Schedule'!$N$32)=0,IF('Recurring Schedule'!$O$32&gt;0,AND(DAY($A274)=MIN(DAY('Recurring Schedule'!$F$32),DAY(EOMONTH($A274,0))),MOD((YEAR($A274)-YEAR('Recurring Schedule'!$F$32))*12+MONTH($A274)-MONTH('Recurring Schedule'!$F$32),'Recurring Schedule'!$O$32)=0),IF('Recurring Schedule'!$E$32="Weekdays",WEEKDAY($A274,2)&lt;=5,$A274='Recurring Schedule'!$F$32))),27,""))))</f>
        <v/>
      </c>
      <c r="AC274">
        <f>IF('Recurring Schedule'!$C$33="","",IF('Recurring Schedule'!$F$33="","",IF(OR($A274&lt;'Recurring Schedule'!$F$33,$A274&gt;'Recurring Schedule'!$P$33),"",IF(IF('Recurring Schedule'!$N$33&gt;0,MOD($A274-'Recurring Schedule'!$F$33,'Recurring Schedule'!$N$33)=0,IF('Recurring Schedule'!$O$33&gt;0,AND(DAY($A274)=MIN(DAY('Recurring Schedule'!$F$33),DAY(EOMONTH($A274,0))),MOD((YEAR($A274)-YEAR('Recurring Schedule'!$F$33))*12+MONTH($A274)-MONTH('Recurring Schedule'!$F$33),'Recurring Schedule'!$O$33)=0),IF('Recurring Schedule'!$E$33="Weekdays",WEEKDAY($A274,2)&lt;=5,$A274='Recurring Schedule'!$F$33))),28,""))))</f>
        <v/>
      </c>
      <c r="AD274">
        <f>IF('Recurring Schedule'!$C$34="","",IF('Recurring Schedule'!$F$34="","",IF(OR($A274&lt;'Recurring Schedule'!$F$34,$A274&gt;'Recurring Schedule'!$P$34),"",IF(IF('Recurring Schedule'!$N$34&gt;0,MOD($A274-'Recurring Schedule'!$F$34,'Recurring Schedule'!$N$34)=0,IF('Recurring Schedule'!$O$34&gt;0,AND(DAY($A274)=MIN(DAY('Recurring Schedule'!$F$34),DAY(EOMONTH($A274,0))),MOD((YEAR($A274)-YEAR('Recurring Schedule'!$F$34))*12+MONTH($A274)-MONTH('Recurring Schedule'!$F$34),'Recurring Schedule'!$O$34)=0),IF('Recurring Schedule'!$E$34="Weekdays",WEEKDAY($A274,2)&lt;=5,$A274='Recurring Schedule'!$F$34))),29,""))))</f>
        <v/>
      </c>
      <c r="AE274">
        <f>IF('Recurring Schedule'!$C$35="","",IF('Recurring Schedule'!$F$35="","",IF(OR($A274&lt;'Recurring Schedule'!$F$35,$A274&gt;'Recurring Schedule'!$P$35),"",IF(IF('Recurring Schedule'!$N$35&gt;0,MOD($A274-'Recurring Schedule'!$F$35,'Recurring Schedule'!$N$35)=0,IF('Recurring Schedule'!$O$35&gt;0,AND(DAY($A274)=MIN(DAY('Recurring Schedule'!$F$35),DAY(EOMONTH($A274,0))),MOD((YEAR($A274)-YEAR('Recurring Schedule'!$F$35))*12+MONTH($A274)-MONTH('Recurring Schedule'!$F$35),'Recurring Schedule'!$O$35)=0),IF('Recurring Schedule'!$E$35="Weekdays",WEEKDAY($A274,2)&lt;=5,$A274='Recurring Schedule'!$F$35))),30,""))))</f>
        <v/>
      </c>
      <c r="AF274">
        <f>IF('Recurring Schedule'!$C$36="","",IF('Recurring Schedule'!$F$36="","",IF(OR($A274&lt;'Recurring Schedule'!$F$36,$A274&gt;'Recurring Schedule'!$P$36),"",IF(IF('Recurring Schedule'!$N$36&gt;0,MOD($A274-'Recurring Schedule'!$F$36,'Recurring Schedule'!$N$36)=0,IF('Recurring Schedule'!$O$36&gt;0,AND(DAY($A274)=MIN(DAY('Recurring Schedule'!$F$36),DAY(EOMONTH($A274,0))),MOD((YEAR($A274)-YEAR('Recurring Schedule'!$F$36))*12+MONTH($A274)-MONTH('Recurring Schedule'!$F$36),'Recurring Schedule'!$O$36)=0),IF('Recurring Schedule'!$E$36="Weekdays",WEEKDAY($A274,2)&lt;=5,$A274='Recurring Schedule'!$F$36))),31,""))))</f>
        <v/>
      </c>
      <c r="AG274">
        <f>IF('Recurring Schedule'!$C$37="","",IF('Recurring Schedule'!$F$37="","",IF(OR($A274&lt;'Recurring Schedule'!$F$37,$A274&gt;'Recurring Schedule'!$P$37),"",IF(IF('Recurring Schedule'!$N$37&gt;0,MOD($A274-'Recurring Schedule'!$F$37,'Recurring Schedule'!$N$37)=0,IF('Recurring Schedule'!$O$37&gt;0,AND(DAY($A274)=MIN(DAY('Recurring Schedule'!$F$37),DAY(EOMONTH($A274,0))),MOD((YEAR($A274)-YEAR('Recurring Schedule'!$F$37))*12+MONTH($A274)-MONTH('Recurring Schedule'!$F$37),'Recurring Schedule'!$O$37)=0),IF('Recurring Schedule'!$E$37="Weekdays",WEEKDAY($A274,2)&lt;=5,$A274='Recurring Schedule'!$F$37))),32,""))))</f>
        <v/>
      </c>
      <c r="AH274">
        <f>IF('Recurring Schedule'!$C$38="","",IF('Recurring Schedule'!$F$38="","",IF(OR($A274&lt;'Recurring Schedule'!$F$38,$A274&gt;'Recurring Schedule'!$P$38),"",IF(IF('Recurring Schedule'!$N$38&gt;0,MOD($A274-'Recurring Schedule'!$F$38,'Recurring Schedule'!$N$38)=0,IF('Recurring Schedule'!$O$38&gt;0,AND(DAY($A274)=MIN(DAY('Recurring Schedule'!$F$38),DAY(EOMONTH($A274,0))),MOD((YEAR($A274)-YEAR('Recurring Schedule'!$F$38))*12+MONTH($A274)-MONTH('Recurring Schedule'!$F$38),'Recurring Schedule'!$O$38)=0),IF('Recurring Schedule'!$E$38="Weekdays",WEEKDAY($A274,2)&lt;=5,$A274='Recurring Schedule'!$F$38))),33,""))))</f>
        <v/>
      </c>
      <c r="AI274">
        <f>IF('Recurring Schedule'!$C$39="","",IF('Recurring Schedule'!$F$39="","",IF(OR($A274&lt;'Recurring Schedule'!$F$39,$A274&gt;'Recurring Schedule'!$P$39),"",IF(IF('Recurring Schedule'!$N$39&gt;0,MOD($A274-'Recurring Schedule'!$F$39,'Recurring Schedule'!$N$39)=0,IF('Recurring Schedule'!$O$39&gt;0,AND(DAY($A274)=MIN(DAY('Recurring Schedule'!$F$39),DAY(EOMONTH($A274,0))),MOD((YEAR($A274)-YEAR('Recurring Schedule'!$F$39))*12+MONTH($A274)-MONTH('Recurring Schedule'!$F$39),'Recurring Schedule'!$O$39)=0),IF('Recurring Schedule'!$E$39="Weekdays",WEEKDAY($A274,2)&lt;=5,$A274='Recurring Schedule'!$F$39))),34,""))))</f>
        <v/>
      </c>
      <c r="AJ274">
        <f>IF('Recurring Schedule'!$C$40="","",IF('Recurring Schedule'!$F$40="","",IF(OR($A274&lt;'Recurring Schedule'!$F$40,$A274&gt;'Recurring Schedule'!$P$40),"",IF(IF('Recurring Schedule'!$N$40&gt;0,MOD($A274-'Recurring Schedule'!$F$40,'Recurring Schedule'!$N$40)=0,IF('Recurring Schedule'!$O$40&gt;0,AND(DAY($A274)=MIN(DAY('Recurring Schedule'!$F$40),DAY(EOMONTH($A274,0))),MOD((YEAR($A274)-YEAR('Recurring Schedule'!$F$40))*12+MONTH($A274)-MONTH('Recurring Schedule'!$F$40),'Recurring Schedule'!$O$40)=0),IF('Recurring Schedule'!$E$40="Weekdays",WEEKDAY($A274,2)&lt;=5,$A274='Recurring Schedule'!$F$40))),35,""))))</f>
        <v/>
      </c>
      <c r="AK274">
        <f>IF('Recurring Schedule'!$C$41="","",IF('Recurring Schedule'!$F$41="","",IF(OR($A274&lt;'Recurring Schedule'!$F$41,$A274&gt;'Recurring Schedule'!$P$41),"",IF(IF('Recurring Schedule'!$N$41&gt;0,MOD($A274-'Recurring Schedule'!$F$41,'Recurring Schedule'!$N$41)=0,IF('Recurring Schedule'!$O$41&gt;0,AND(DAY($A274)=MIN(DAY('Recurring Schedule'!$F$41),DAY(EOMONTH($A274,0))),MOD((YEAR($A274)-YEAR('Recurring Schedule'!$F$41))*12+MONTH($A274)-MONTH('Recurring Schedule'!$F$41),'Recurring Schedule'!$O$41)=0),IF('Recurring Schedule'!$E$41="Weekdays",WEEKDAY($A274,2)&lt;=5,$A274='Recurring Schedule'!$F$41))),36,""))))</f>
        <v/>
      </c>
      <c r="AL274">
        <f>IF('Recurring Schedule'!$C$42="","",IF('Recurring Schedule'!$F$42="","",IF(OR($A274&lt;'Recurring Schedule'!$F$42,$A274&gt;'Recurring Schedule'!$P$42),"",IF(IF('Recurring Schedule'!$N$42&gt;0,MOD($A274-'Recurring Schedule'!$F$42,'Recurring Schedule'!$N$42)=0,IF('Recurring Schedule'!$O$42&gt;0,AND(DAY($A274)=MIN(DAY('Recurring Schedule'!$F$42),DAY(EOMONTH($A274,0))),MOD((YEAR($A274)-YEAR('Recurring Schedule'!$F$42))*12+MONTH($A274)-MONTH('Recurring Schedule'!$F$42),'Recurring Schedule'!$O$42)=0),IF('Recurring Schedule'!$E$42="Weekdays",WEEKDAY($A274,2)&lt;=5,$A274='Recurring Schedule'!$F$42))),37,""))))</f>
        <v/>
      </c>
      <c r="AM274">
        <f>IF('Recurring Schedule'!$C$43="","",IF('Recurring Schedule'!$F$43="","",IF(OR($A274&lt;'Recurring Schedule'!$F$43,$A274&gt;'Recurring Schedule'!$P$43),"",IF(IF('Recurring Schedule'!$N$43&gt;0,MOD($A274-'Recurring Schedule'!$F$43,'Recurring Schedule'!$N$43)=0,IF('Recurring Schedule'!$O$43&gt;0,AND(DAY($A274)=MIN(DAY('Recurring Schedule'!$F$43),DAY(EOMONTH($A274,0))),MOD((YEAR($A274)-YEAR('Recurring Schedule'!$F$43))*12+MONTH($A274)-MONTH('Recurring Schedule'!$F$43),'Recurring Schedule'!$O$43)=0),IF('Recurring Schedule'!$E$43="Weekdays",WEEKDAY($A274,2)&lt;=5,$A274='Recurring Schedule'!$F$43))),38,""))))</f>
        <v/>
      </c>
      <c r="AN274">
        <f>IF('Recurring Schedule'!$C$44="","",IF('Recurring Schedule'!$F$44="","",IF(OR($A274&lt;'Recurring Schedule'!$F$44,$A274&gt;'Recurring Schedule'!$P$44),"",IF(IF('Recurring Schedule'!$N$44&gt;0,MOD($A274-'Recurring Schedule'!$F$44,'Recurring Schedule'!$N$44)=0,IF('Recurring Schedule'!$O$44&gt;0,AND(DAY($A274)=MIN(DAY('Recurring Schedule'!$F$44),DAY(EOMONTH($A274,0))),MOD((YEAR($A274)-YEAR('Recurring Schedule'!$F$44))*12+MONTH($A274)-MONTH('Recurring Schedule'!$F$44),'Recurring Schedule'!$O$44)=0),IF('Recurring Schedule'!$E$44="Weekdays",WEEKDAY($A274,2)&lt;=5,$A274='Recurring Schedule'!$F$44))),39,""))))</f>
        <v/>
      </c>
      <c r="AO274">
        <f>IF('Recurring Schedule'!$C$45="","",IF('Recurring Schedule'!$F$45="","",IF(OR($A274&lt;'Recurring Schedule'!$F$45,$A274&gt;'Recurring Schedule'!$P$45),"",IF(IF('Recurring Schedule'!$N$45&gt;0,MOD($A274-'Recurring Schedule'!$F$45,'Recurring Schedule'!$N$45)=0,IF('Recurring Schedule'!$O$45&gt;0,AND(DAY($A274)=MIN(DAY('Recurring Schedule'!$F$45),DAY(EOMONTH($A274,0))),MOD((YEAR($A274)-YEAR('Recurring Schedule'!$F$45))*12+MONTH($A274)-MONTH('Recurring Schedule'!$F$45),'Recurring Schedule'!$O$45)=0),IF('Recurring Schedule'!$E$45="Weekdays",WEEKDAY($A274,2)&lt;=5,$A274='Recurring Schedule'!$F$45))),40,""))))</f>
        <v/>
      </c>
      <c r="AP274">
        <f>COUNT(B274:AO274)</f>
        <v/>
      </c>
      <c r="AQ274">
        <f>AQ273+AP273</f>
        <v/>
      </c>
      <c r="AS274" t="inlineStr">
        <is>
          <t>R</t>
        </is>
      </c>
      <c r="AT274" t="n">
        <v>278</v>
      </c>
      <c r="AU274">
        <f>'Recurring Log'!C278&amp;""</f>
        <v/>
      </c>
      <c r="AV274">
        <f>'Recurring Log'!D278&amp;""</f>
        <v/>
      </c>
      <c r="AW274">
        <f>IF('Recurring Log'!E278="","",'Recurring Log'!E278)</f>
        <v/>
      </c>
      <c r="AX274">
        <f>IF('Recurring Log'!G278="","",'Recurring Log'!G278)</f>
        <v/>
      </c>
      <c r="AY274">
        <f>IF('Recurring Log'!H278="","",'Recurring Log'!H278)</f>
        <v/>
      </c>
      <c r="AZ274">
        <f>IF(AU274="","",IF('Recurring Log'!J278="","Not Started",'Recurring Log'!J278))</f>
        <v/>
      </c>
      <c r="BA274">
        <f>'Recurring Log'!L278&amp;""</f>
        <v/>
      </c>
      <c r="BB274">
        <f>'Recurring Log'!M278&amp;""</f>
        <v/>
      </c>
      <c r="BC274">
        <f>'Recurring Log'!N278&amp;""</f>
        <v/>
      </c>
      <c r="BD274">
        <f>'Recurring Log'!O278&amp;""</f>
        <v/>
      </c>
      <c r="BE274">
        <f>IF('Recurring Log'!K278="","",'Recurring Log'!K278)</f>
        <v/>
      </c>
      <c r="BF274">
        <f>IFERROR(MATCH(BA274,Setup!$L$6:$L$9,0),5)</f>
        <v/>
      </c>
      <c r="BG274">
        <f>IF(OR(AZ274="Done",AZ274="Cancelled"),1,0)</f>
        <v/>
      </c>
      <c r="BH274">
        <f>IF(AND(AU274&lt;&gt;"",ISNUMBER(AW274)),1,0)</f>
        <v/>
      </c>
      <c r="BI274">
        <f>IF(BH274=0,0,IF(AND(AW274&gt;='Tasks Filter'!$F$3,AW274&lt;='Tasks Filter'!$F$4,OR('Tasks Filter'!$I$3="",ISNUMBER(SEARCH('Tasks Filter'!$I$3,AU274))),OR('Tasks Filter'!$I$4="",BF274=IFERROR(MATCH('Tasks Filter'!$I$4,Setup!$L$6:$L$9,0),0)),OR('Tasks Filter'!$I$5="Both",AND('Tasks Filter'!$I$5="Yes",BB274="✓"),AND('Tasks Filter'!$I$5="No",BB274&lt;&gt;"✓")),OR('Tasks Filter'!$L$3="",AV274='Tasks Filter'!$L$3),OR('Tasks Filter'!$L$4="",AZ274='Tasks Filter'!$L$4),OR('Tasks Filter'!$L$5="",BC274='Tasks Filter'!$L$5),OR('Tasks Filter'!$O$3="",BD274='Tasks Filter'!$O$3),OR('Tasks Filter'!$O$4="Yes",BG274=0)),1,0))</f>
        <v/>
      </c>
      <c r="BJ274">
        <f>IF(BH274=0,"",IF('Tasks Filter'!$F$6="Descending",-1,1)*CHOOSE(MATCH('Tasks Filter'!$F$5,Lists!$G$2:$G$6,0),AW274,BF274,IFERROR(MATCH(AV274,Setup!$F$6:$F$15,0),99),IFERROR(MATCH(BC274,Setup!$H$6:$H$15,0),99),IFERROR(MATCH(AZ274,Setup!$J$6:$J$11,0),99))*1E+9+(AW274-40000)*10000+273)</f>
        <v/>
      </c>
      <c r="BK274">
        <f>IF(BI274=1,BJ274,"")</f>
        <v/>
      </c>
      <c r="BL274">
        <f>IF(AND(BH274=1,BG274=0,N(AW274)&lt;Setup!$D$7),(AW274-40000)*10000+273,"")</f>
        <v/>
      </c>
      <c r="BM274">
        <f>IF(AND(BH274=1,AZ274&lt;&gt;"Cancelled",N(AW274)&gt;=Dashboard!$AB$3,N(AW274)&lt;=Dashboard!$AB$3+6),(AW274-40000)*100000+BF274*10000+273,"")</f>
        <v/>
      </c>
      <c r="BN274">
        <f>IF(AND(BH274=1,AZ274&lt;&gt;"Cancelled"),BF274*10000+273,"")</f>
        <v/>
      </c>
    </row>
    <row r="275">
      <c r="A275">
        <f>Setup!$D$5+273</f>
        <v/>
      </c>
      <c r="B275">
        <f>IF('Recurring Schedule'!$C$6="","",IF('Recurring Schedule'!$F$6="","",IF(OR($A275&lt;'Recurring Schedule'!$F$6,$A275&gt;'Recurring Schedule'!$P$6),"",IF(IF('Recurring Schedule'!$N$6&gt;0,MOD($A275-'Recurring Schedule'!$F$6,'Recurring Schedule'!$N$6)=0,IF('Recurring Schedule'!$O$6&gt;0,AND(DAY($A275)=MIN(DAY('Recurring Schedule'!$F$6),DAY(EOMONTH($A275,0))),MOD((YEAR($A275)-YEAR('Recurring Schedule'!$F$6))*12+MONTH($A275)-MONTH('Recurring Schedule'!$F$6),'Recurring Schedule'!$O$6)=0),IF('Recurring Schedule'!$E$6="Weekdays",WEEKDAY($A275,2)&lt;=5,$A275='Recurring Schedule'!$F$6))),1,""))))</f>
        <v/>
      </c>
      <c r="C275">
        <f>IF('Recurring Schedule'!$C$7="","",IF('Recurring Schedule'!$F$7="","",IF(OR($A275&lt;'Recurring Schedule'!$F$7,$A275&gt;'Recurring Schedule'!$P$7),"",IF(IF('Recurring Schedule'!$N$7&gt;0,MOD($A275-'Recurring Schedule'!$F$7,'Recurring Schedule'!$N$7)=0,IF('Recurring Schedule'!$O$7&gt;0,AND(DAY($A275)=MIN(DAY('Recurring Schedule'!$F$7),DAY(EOMONTH($A275,0))),MOD((YEAR($A275)-YEAR('Recurring Schedule'!$F$7))*12+MONTH($A275)-MONTH('Recurring Schedule'!$F$7),'Recurring Schedule'!$O$7)=0),IF('Recurring Schedule'!$E$7="Weekdays",WEEKDAY($A275,2)&lt;=5,$A275='Recurring Schedule'!$F$7))),2,""))))</f>
        <v/>
      </c>
      <c r="D275">
        <f>IF('Recurring Schedule'!$C$8="","",IF('Recurring Schedule'!$F$8="","",IF(OR($A275&lt;'Recurring Schedule'!$F$8,$A275&gt;'Recurring Schedule'!$P$8),"",IF(IF('Recurring Schedule'!$N$8&gt;0,MOD($A275-'Recurring Schedule'!$F$8,'Recurring Schedule'!$N$8)=0,IF('Recurring Schedule'!$O$8&gt;0,AND(DAY($A275)=MIN(DAY('Recurring Schedule'!$F$8),DAY(EOMONTH($A275,0))),MOD((YEAR($A275)-YEAR('Recurring Schedule'!$F$8))*12+MONTH($A275)-MONTH('Recurring Schedule'!$F$8),'Recurring Schedule'!$O$8)=0),IF('Recurring Schedule'!$E$8="Weekdays",WEEKDAY($A275,2)&lt;=5,$A275='Recurring Schedule'!$F$8))),3,""))))</f>
        <v/>
      </c>
      <c r="E275">
        <f>IF('Recurring Schedule'!$C$9="","",IF('Recurring Schedule'!$F$9="","",IF(OR($A275&lt;'Recurring Schedule'!$F$9,$A275&gt;'Recurring Schedule'!$P$9),"",IF(IF('Recurring Schedule'!$N$9&gt;0,MOD($A275-'Recurring Schedule'!$F$9,'Recurring Schedule'!$N$9)=0,IF('Recurring Schedule'!$O$9&gt;0,AND(DAY($A275)=MIN(DAY('Recurring Schedule'!$F$9),DAY(EOMONTH($A275,0))),MOD((YEAR($A275)-YEAR('Recurring Schedule'!$F$9))*12+MONTH($A275)-MONTH('Recurring Schedule'!$F$9),'Recurring Schedule'!$O$9)=0),IF('Recurring Schedule'!$E$9="Weekdays",WEEKDAY($A275,2)&lt;=5,$A275='Recurring Schedule'!$F$9))),4,""))))</f>
        <v/>
      </c>
      <c r="F275">
        <f>IF('Recurring Schedule'!$C$10="","",IF('Recurring Schedule'!$F$10="","",IF(OR($A275&lt;'Recurring Schedule'!$F$10,$A275&gt;'Recurring Schedule'!$P$10),"",IF(IF('Recurring Schedule'!$N$10&gt;0,MOD($A275-'Recurring Schedule'!$F$10,'Recurring Schedule'!$N$10)=0,IF('Recurring Schedule'!$O$10&gt;0,AND(DAY($A275)=MIN(DAY('Recurring Schedule'!$F$10),DAY(EOMONTH($A275,0))),MOD((YEAR($A275)-YEAR('Recurring Schedule'!$F$10))*12+MONTH($A275)-MONTH('Recurring Schedule'!$F$10),'Recurring Schedule'!$O$10)=0),IF('Recurring Schedule'!$E$10="Weekdays",WEEKDAY($A275,2)&lt;=5,$A275='Recurring Schedule'!$F$10))),5,""))))</f>
        <v/>
      </c>
      <c r="G275">
        <f>IF('Recurring Schedule'!$C$11="","",IF('Recurring Schedule'!$F$11="","",IF(OR($A275&lt;'Recurring Schedule'!$F$11,$A275&gt;'Recurring Schedule'!$P$11),"",IF(IF('Recurring Schedule'!$N$11&gt;0,MOD($A275-'Recurring Schedule'!$F$11,'Recurring Schedule'!$N$11)=0,IF('Recurring Schedule'!$O$11&gt;0,AND(DAY($A275)=MIN(DAY('Recurring Schedule'!$F$11),DAY(EOMONTH($A275,0))),MOD((YEAR($A275)-YEAR('Recurring Schedule'!$F$11))*12+MONTH($A275)-MONTH('Recurring Schedule'!$F$11),'Recurring Schedule'!$O$11)=0),IF('Recurring Schedule'!$E$11="Weekdays",WEEKDAY($A275,2)&lt;=5,$A275='Recurring Schedule'!$F$11))),6,""))))</f>
        <v/>
      </c>
      <c r="H275">
        <f>IF('Recurring Schedule'!$C$12="","",IF('Recurring Schedule'!$F$12="","",IF(OR($A275&lt;'Recurring Schedule'!$F$12,$A275&gt;'Recurring Schedule'!$P$12),"",IF(IF('Recurring Schedule'!$N$12&gt;0,MOD($A275-'Recurring Schedule'!$F$12,'Recurring Schedule'!$N$12)=0,IF('Recurring Schedule'!$O$12&gt;0,AND(DAY($A275)=MIN(DAY('Recurring Schedule'!$F$12),DAY(EOMONTH($A275,0))),MOD((YEAR($A275)-YEAR('Recurring Schedule'!$F$12))*12+MONTH($A275)-MONTH('Recurring Schedule'!$F$12),'Recurring Schedule'!$O$12)=0),IF('Recurring Schedule'!$E$12="Weekdays",WEEKDAY($A275,2)&lt;=5,$A275='Recurring Schedule'!$F$12))),7,""))))</f>
        <v/>
      </c>
      <c r="I275">
        <f>IF('Recurring Schedule'!$C$13="","",IF('Recurring Schedule'!$F$13="","",IF(OR($A275&lt;'Recurring Schedule'!$F$13,$A275&gt;'Recurring Schedule'!$P$13),"",IF(IF('Recurring Schedule'!$N$13&gt;0,MOD($A275-'Recurring Schedule'!$F$13,'Recurring Schedule'!$N$13)=0,IF('Recurring Schedule'!$O$13&gt;0,AND(DAY($A275)=MIN(DAY('Recurring Schedule'!$F$13),DAY(EOMONTH($A275,0))),MOD((YEAR($A275)-YEAR('Recurring Schedule'!$F$13))*12+MONTH($A275)-MONTH('Recurring Schedule'!$F$13),'Recurring Schedule'!$O$13)=0),IF('Recurring Schedule'!$E$13="Weekdays",WEEKDAY($A275,2)&lt;=5,$A275='Recurring Schedule'!$F$13))),8,""))))</f>
        <v/>
      </c>
      <c r="J275">
        <f>IF('Recurring Schedule'!$C$14="","",IF('Recurring Schedule'!$F$14="","",IF(OR($A275&lt;'Recurring Schedule'!$F$14,$A275&gt;'Recurring Schedule'!$P$14),"",IF(IF('Recurring Schedule'!$N$14&gt;0,MOD($A275-'Recurring Schedule'!$F$14,'Recurring Schedule'!$N$14)=0,IF('Recurring Schedule'!$O$14&gt;0,AND(DAY($A275)=MIN(DAY('Recurring Schedule'!$F$14),DAY(EOMONTH($A275,0))),MOD((YEAR($A275)-YEAR('Recurring Schedule'!$F$14))*12+MONTH($A275)-MONTH('Recurring Schedule'!$F$14),'Recurring Schedule'!$O$14)=0),IF('Recurring Schedule'!$E$14="Weekdays",WEEKDAY($A275,2)&lt;=5,$A275='Recurring Schedule'!$F$14))),9,""))))</f>
        <v/>
      </c>
      <c r="K275">
        <f>IF('Recurring Schedule'!$C$15="","",IF('Recurring Schedule'!$F$15="","",IF(OR($A275&lt;'Recurring Schedule'!$F$15,$A275&gt;'Recurring Schedule'!$P$15),"",IF(IF('Recurring Schedule'!$N$15&gt;0,MOD($A275-'Recurring Schedule'!$F$15,'Recurring Schedule'!$N$15)=0,IF('Recurring Schedule'!$O$15&gt;0,AND(DAY($A275)=MIN(DAY('Recurring Schedule'!$F$15),DAY(EOMONTH($A275,0))),MOD((YEAR($A275)-YEAR('Recurring Schedule'!$F$15))*12+MONTH($A275)-MONTH('Recurring Schedule'!$F$15),'Recurring Schedule'!$O$15)=0),IF('Recurring Schedule'!$E$15="Weekdays",WEEKDAY($A275,2)&lt;=5,$A275='Recurring Schedule'!$F$15))),10,""))))</f>
        <v/>
      </c>
      <c r="L275">
        <f>IF('Recurring Schedule'!$C$16="","",IF('Recurring Schedule'!$F$16="","",IF(OR($A275&lt;'Recurring Schedule'!$F$16,$A275&gt;'Recurring Schedule'!$P$16),"",IF(IF('Recurring Schedule'!$N$16&gt;0,MOD($A275-'Recurring Schedule'!$F$16,'Recurring Schedule'!$N$16)=0,IF('Recurring Schedule'!$O$16&gt;0,AND(DAY($A275)=MIN(DAY('Recurring Schedule'!$F$16),DAY(EOMONTH($A275,0))),MOD((YEAR($A275)-YEAR('Recurring Schedule'!$F$16))*12+MONTH($A275)-MONTH('Recurring Schedule'!$F$16),'Recurring Schedule'!$O$16)=0),IF('Recurring Schedule'!$E$16="Weekdays",WEEKDAY($A275,2)&lt;=5,$A275='Recurring Schedule'!$F$16))),11,""))))</f>
        <v/>
      </c>
      <c r="M275">
        <f>IF('Recurring Schedule'!$C$17="","",IF('Recurring Schedule'!$F$17="","",IF(OR($A275&lt;'Recurring Schedule'!$F$17,$A275&gt;'Recurring Schedule'!$P$17),"",IF(IF('Recurring Schedule'!$N$17&gt;0,MOD($A275-'Recurring Schedule'!$F$17,'Recurring Schedule'!$N$17)=0,IF('Recurring Schedule'!$O$17&gt;0,AND(DAY($A275)=MIN(DAY('Recurring Schedule'!$F$17),DAY(EOMONTH($A275,0))),MOD((YEAR($A275)-YEAR('Recurring Schedule'!$F$17))*12+MONTH($A275)-MONTH('Recurring Schedule'!$F$17),'Recurring Schedule'!$O$17)=0),IF('Recurring Schedule'!$E$17="Weekdays",WEEKDAY($A275,2)&lt;=5,$A275='Recurring Schedule'!$F$17))),12,""))))</f>
        <v/>
      </c>
      <c r="N275">
        <f>IF('Recurring Schedule'!$C$18="","",IF('Recurring Schedule'!$F$18="","",IF(OR($A275&lt;'Recurring Schedule'!$F$18,$A275&gt;'Recurring Schedule'!$P$18),"",IF(IF('Recurring Schedule'!$N$18&gt;0,MOD($A275-'Recurring Schedule'!$F$18,'Recurring Schedule'!$N$18)=0,IF('Recurring Schedule'!$O$18&gt;0,AND(DAY($A275)=MIN(DAY('Recurring Schedule'!$F$18),DAY(EOMONTH($A275,0))),MOD((YEAR($A275)-YEAR('Recurring Schedule'!$F$18))*12+MONTH($A275)-MONTH('Recurring Schedule'!$F$18),'Recurring Schedule'!$O$18)=0),IF('Recurring Schedule'!$E$18="Weekdays",WEEKDAY($A275,2)&lt;=5,$A275='Recurring Schedule'!$F$18))),13,""))))</f>
        <v/>
      </c>
      <c r="O275">
        <f>IF('Recurring Schedule'!$C$19="","",IF('Recurring Schedule'!$F$19="","",IF(OR($A275&lt;'Recurring Schedule'!$F$19,$A275&gt;'Recurring Schedule'!$P$19),"",IF(IF('Recurring Schedule'!$N$19&gt;0,MOD($A275-'Recurring Schedule'!$F$19,'Recurring Schedule'!$N$19)=0,IF('Recurring Schedule'!$O$19&gt;0,AND(DAY($A275)=MIN(DAY('Recurring Schedule'!$F$19),DAY(EOMONTH($A275,0))),MOD((YEAR($A275)-YEAR('Recurring Schedule'!$F$19))*12+MONTH($A275)-MONTH('Recurring Schedule'!$F$19),'Recurring Schedule'!$O$19)=0),IF('Recurring Schedule'!$E$19="Weekdays",WEEKDAY($A275,2)&lt;=5,$A275='Recurring Schedule'!$F$19))),14,""))))</f>
        <v/>
      </c>
      <c r="P275">
        <f>IF('Recurring Schedule'!$C$20="","",IF('Recurring Schedule'!$F$20="","",IF(OR($A275&lt;'Recurring Schedule'!$F$20,$A275&gt;'Recurring Schedule'!$P$20),"",IF(IF('Recurring Schedule'!$N$20&gt;0,MOD($A275-'Recurring Schedule'!$F$20,'Recurring Schedule'!$N$20)=0,IF('Recurring Schedule'!$O$20&gt;0,AND(DAY($A275)=MIN(DAY('Recurring Schedule'!$F$20),DAY(EOMONTH($A275,0))),MOD((YEAR($A275)-YEAR('Recurring Schedule'!$F$20))*12+MONTH($A275)-MONTH('Recurring Schedule'!$F$20),'Recurring Schedule'!$O$20)=0),IF('Recurring Schedule'!$E$20="Weekdays",WEEKDAY($A275,2)&lt;=5,$A275='Recurring Schedule'!$F$20))),15,""))))</f>
        <v/>
      </c>
      <c r="Q275">
        <f>IF('Recurring Schedule'!$C$21="","",IF('Recurring Schedule'!$F$21="","",IF(OR($A275&lt;'Recurring Schedule'!$F$21,$A275&gt;'Recurring Schedule'!$P$21),"",IF(IF('Recurring Schedule'!$N$21&gt;0,MOD($A275-'Recurring Schedule'!$F$21,'Recurring Schedule'!$N$21)=0,IF('Recurring Schedule'!$O$21&gt;0,AND(DAY($A275)=MIN(DAY('Recurring Schedule'!$F$21),DAY(EOMONTH($A275,0))),MOD((YEAR($A275)-YEAR('Recurring Schedule'!$F$21))*12+MONTH($A275)-MONTH('Recurring Schedule'!$F$21),'Recurring Schedule'!$O$21)=0),IF('Recurring Schedule'!$E$21="Weekdays",WEEKDAY($A275,2)&lt;=5,$A275='Recurring Schedule'!$F$21))),16,""))))</f>
        <v/>
      </c>
      <c r="R275">
        <f>IF('Recurring Schedule'!$C$22="","",IF('Recurring Schedule'!$F$22="","",IF(OR($A275&lt;'Recurring Schedule'!$F$22,$A275&gt;'Recurring Schedule'!$P$22),"",IF(IF('Recurring Schedule'!$N$22&gt;0,MOD($A275-'Recurring Schedule'!$F$22,'Recurring Schedule'!$N$22)=0,IF('Recurring Schedule'!$O$22&gt;0,AND(DAY($A275)=MIN(DAY('Recurring Schedule'!$F$22),DAY(EOMONTH($A275,0))),MOD((YEAR($A275)-YEAR('Recurring Schedule'!$F$22))*12+MONTH($A275)-MONTH('Recurring Schedule'!$F$22),'Recurring Schedule'!$O$22)=0),IF('Recurring Schedule'!$E$22="Weekdays",WEEKDAY($A275,2)&lt;=5,$A275='Recurring Schedule'!$F$22))),17,""))))</f>
        <v/>
      </c>
      <c r="S275">
        <f>IF('Recurring Schedule'!$C$23="","",IF('Recurring Schedule'!$F$23="","",IF(OR($A275&lt;'Recurring Schedule'!$F$23,$A275&gt;'Recurring Schedule'!$P$23),"",IF(IF('Recurring Schedule'!$N$23&gt;0,MOD($A275-'Recurring Schedule'!$F$23,'Recurring Schedule'!$N$23)=0,IF('Recurring Schedule'!$O$23&gt;0,AND(DAY($A275)=MIN(DAY('Recurring Schedule'!$F$23),DAY(EOMONTH($A275,0))),MOD((YEAR($A275)-YEAR('Recurring Schedule'!$F$23))*12+MONTH($A275)-MONTH('Recurring Schedule'!$F$23),'Recurring Schedule'!$O$23)=0),IF('Recurring Schedule'!$E$23="Weekdays",WEEKDAY($A275,2)&lt;=5,$A275='Recurring Schedule'!$F$23))),18,""))))</f>
        <v/>
      </c>
      <c r="T275">
        <f>IF('Recurring Schedule'!$C$24="","",IF('Recurring Schedule'!$F$24="","",IF(OR($A275&lt;'Recurring Schedule'!$F$24,$A275&gt;'Recurring Schedule'!$P$24),"",IF(IF('Recurring Schedule'!$N$24&gt;0,MOD($A275-'Recurring Schedule'!$F$24,'Recurring Schedule'!$N$24)=0,IF('Recurring Schedule'!$O$24&gt;0,AND(DAY($A275)=MIN(DAY('Recurring Schedule'!$F$24),DAY(EOMONTH($A275,0))),MOD((YEAR($A275)-YEAR('Recurring Schedule'!$F$24))*12+MONTH($A275)-MONTH('Recurring Schedule'!$F$24),'Recurring Schedule'!$O$24)=0),IF('Recurring Schedule'!$E$24="Weekdays",WEEKDAY($A275,2)&lt;=5,$A275='Recurring Schedule'!$F$24))),19,""))))</f>
        <v/>
      </c>
      <c r="U275">
        <f>IF('Recurring Schedule'!$C$25="","",IF('Recurring Schedule'!$F$25="","",IF(OR($A275&lt;'Recurring Schedule'!$F$25,$A275&gt;'Recurring Schedule'!$P$25),"",IF(IF('Recurring Schedule'!$N$25&gt;0,MOD($A275-'Recurring Schedule'!$F$25,'Recurring Schedule'!$N$25)=0,IF('Recurring Schedule'!$O$25&gt;0,AND(DAY($A275)=MIN(DAY('Recurring Schedule'!$F$25),DAY(EOMONTH($A275,0))),MOD((YEAR($A275)-YEAR('Recurring Schedule'!$F$25))*12+MONTH($A275)-MONTH('Recurring Schedule'!$F$25),'Recurring Schedule'!$O$25)=0),IF('Recurring Schedule'!$E$25="Weekdays",WEEKDAY($A275,2)&lt;=5,$A275='Recurring Schedule'!$F$25))),20,""))))</f>
        <v/>
      </c>
      <c r="V275">
        <f>IF('Recurring Schedule'!$C$26="","",IF('Recurring Schedule'!$F$26="","",IF(OR($A275&lt;'Recurring Schedule'!$F$26,$A275&gt;'Recurring Schedule'!$P$26),"",IF(IF('Recurring Schedule'!$N$26&gt;0,MOD($A275-'Recurring Schedule'!$F$26,'Recurring Schedule'!$N$26)=0,IF('Recurring Schedule'!$O$26&gt;0,AND(DAY($A275)=MIN(DAY('Recurring Schedule'!$F$26),DAY(EOMONTH($A275,0))),MOD((YEAR($A275)-YEAR('Recurring Schedule'!$F$26))*12+MONTH($A275)-MONTH('Recurring Schedule'!$F$26),'Recurring Schedule'!$O$26)=0),IF('Recurring Schedule'!$E$26="Weekdays",WEEKDAY($A275,2)&lt;=5,$A275='Recurring Schedule'!$F$26))),21,""))))</f>
        <v/>
      </c>
      <c r="W275">
        <f>IF('Recurring Schedule'!$C$27="","",IF('Recurring Schedule'!$F$27="","",IF(OR($A275&lt;'Recurring Schedule'!$F$27,$A275&gt;'Recurring Schedule'!$P$27),"",IF(IF('Recurring Schedule'!$N$27&gt;0,MOD($A275-'Recurring Schedule'!$F$27,'Recurring Schedule'!$N$27)=0,IF('Recurring Schedule'!$O$27&gt;0,AND(DAY($A275)=MIN(DAY('Recurring Schedule'!$F$27),DAY(EOMONTH($A275,0))),MOD((YEAR($A275)-YEAR('Recurring Schedule'!$F$27))*12+MONTH($A275)-MONTH('Recurring Schedule'!$F$27),'Recurring Schedule'!$O$27)=0),IF('Recurring Schedule'!$E$27="Weekdays",WEEKDAY($A275,2)&lt;=5,$A275='Recurring Schedule'!$F$27))),22,""))))</f>
        <v/>
      </c>
      <c r="X275">
        <f>IF('Recurring Schedule'!$C$28="","",IF('Recurring Schedule'!$F$28="","",IF(OR($A275&lt;'Recurring Schedule'!$F$28,$A275&gt;'Recurring Schedule'!$P$28),"",IF(IF('Recurring Schedule'!$N$28&gt;0,MOD($A275-'Recurring Schedule'!$F$28,'Recurring Schedule'!$N$28)=0,IF('Recurring Schedule'!$O$28&gt;0,AND(DAY($A275)=MIN(DAY('Recurring Schedule'!$F$28),DAY(EOMONTH($A275,0))),MOD((YEAR($A275)-YEAR('Recurring Schedule'!$F$28))*12+MONTH($A275)-MONTH('Recurring Schedule'!$F$28),'Recurring Schedule'!$O$28)=0),IF('Recurring Schedule'!$E$28="Weekdays",WEEKDAY($A275,2)&lt;=5,$A275='Recurring Schedule'!$F$28))),23,""))))</f>
        <v/>
      </c>
      <c r="Y275">
        <f>IF('Recurring Schedule'!$C$29="","",IF('Recurring Schedule'!$F$29="","",IF(OR($A275&lt;'Recurring Schedule'!$F$29,$A275&gt;'Recurring Schedule'!$P$29),"",IF(IF('Recurring Schedule'!$N$29&gt;0,MOD($A275-'Recurring Schedule'!$F$29,'Recurring Schedule'!$N$29)=0,IF('Recurring Schedule'!$O$29&gt;0,AND(DAY($A275)=MIN(DAY('Recurring Schedule'!$F$29),DAY(EOMONTH($A275,0))),MOD((YEAR($A275)-YEAR('Recurring Schedule'!$F$29))*12+MONTH($A275)-MONTH('Recurring Schedule'!$F$29),'Recurring Schedule'!$O$29)=0),IF('Recurring Schedule'!$E$29="Weekdays",WEEKDAY($A275,2)&lt;=5,$A275='Recurring Schedule'!$F$29))),24,""))))</f>
        <v/>
      </c>
      <c r="Z275">
        <f>IF('Recurring Schedule'!$C$30="","",IF('Recurring Schedule'!$F$30="","",IF(OR($A275&lt;'Recurring Schedule'!$F$30,$A275&gt;'Recurring Schedule'!$P$30),"",IF(IF('Recurring Schedule'!$N$30&gt;0,MOD($A275-'Recurring Schedule'!$F$30,'Recurring Schedule'!$N$30)=0,IF('Recurring Schedule'!$O$30&gt;0,AND(DAY($A275)=MIN(DAY('Recurring Schedule'!$F$30),DAY(EOMONTH($A275,0))),MOD((YEAR($A275)-YEAR('Recurring Schedule'!$F$30))*12+MONTH($A275)-MONTH('Recurring Schedule'!$F$30),'Recurring Schedule'!$O$30)=0),IF('Recurring Schedule'!$E$30="Weekdays",WEEKDAY($A275,2)&lt;=5,$A275='Recurring Schedule'!$F$30))),25,""))))</f>
        <v/>
      </c>
      <c r="AA275">
        <f>IF('Recurring Schedule'!$C$31="","",IF('Recurring Schedule'!$F$31="","",IF(OR($A275&lt;'Recurring Schedule'!$F$31,$A275&gt;'Recurring Schedule'!$P$31),"",IF(IF('Recurring Schedule'!$N$31&gt;0,MOD($A275-'Recurring Schedule'!$F$31,'Recurring Schedule'!$N$31)=0,IF('Recurring Schedule'!$O$31&gt;0,AND(DAY($A275)=MIN(DAY('Recurring Schedule'!$F$31),DAY(EOMONTH($A275,0))),MOD((YEAR($A275)-YEAR('Recurring Schedule'!$F$31))*12+MONTH($A275)-MONTH('Recurring Schedule'!$F$31),'Recurring Schedule'!$O$31)=0),IF('Recurring Schedule'!$E$31="Weekdays",WEEKDAY($A275,2)&lt;=5,$A275='Recurring Schedule'!$F$31))),26,""))))</f>
        <v/>
      </c>
      <c r="AB275">
        <f>IF('Recurring Schedule'!$C$32="","",IF('Recurring Schedule'!$F$32="","",IF(OR($A275&lt;'Recurring Schedule'!$F$32,$A275&gt;'Recurring Schedule'!$P$32),"",IF(IF('Recurring Schedule'!$N$32&gt;0,MOD($A275-'Recurring Schedule'!$F$32,'Recurring Schedule'!$N$32)=0,IF('Recurring Schedule'!$O$32&gt;0,AND(DAY($A275)=MIN(DAY('Recurring Schedule'!$F$32),DAY(EOMONTH($A275,0))),MOD((YEAR($A275)-YEAR('Recurring Schedule'!$F$32))*12+MONTH($A275)-MONTH('Recurring Schedule'!$F$32),'Recurring Schedule'!$O$32)=0),IF('Recurring Schedule'!$E$32="Weekdays",WEEKDAY($A275,2)&lt;=5,$A275='Recurring Schedule'!$F$32))),27,""))))</f>
        <v/>
      </c>
      <c r="AC275">
        <f>IF('Recurring Schedule'!$C$33="","",IF('Recurring Schedule'!$F$33="","",IF(OR($A275&lt;'Recurring Schedule'!$F$33,$A275&gt;'Recurring Schedule'!$P$33),"",IF(IF('Recurring Schedule'!$N$33&gt;0,MOD($A275-'Recurring Schedule'!$F$33,'Recurring Schedule'!$N$33)=0,IF('Recurring Schedule'!$O$33&gt;0,AND(DAY($A275)=MIN(DAY('Recurring Schedule'!$F$33),DAY(EOMONTH($A275,0))),MOD((YEAR($A275)-YEAR('Recurring Schedule'!$F$33))*12+MONTH($A275)-MONTH('Recurring Schedule'!$F$33),'Recurring Schedule'!$O$33)=0),IF('Recurring Schedule'!$E$33="Weekdays",WEEKDAY($A275,2)&lt;=5,$A275='Recurring Schedule'!$F$33))),28,""))))</f>
        <v/>
      </c>
      <c r="AD275">
        <f>IF('Recurring Schedule'!$C$34="","",IF('Recurring Schedule'!$F$34="","",IF(OR($A275&lt;'Recurring Schedule'!$F$34,$A275&gt;'Recurring Schedule'!$P$34),"",IF(IF('Recurring Schedule'!$N$34&gt;0,MOD($A275-'Recurring Schedule'!$F$34,'Recurring Schedule'!$N$34)=0,IF('Recurring Schedule'!$O$34&gt;0,AND(DAY($A275)=MIN(DAY('Recurring Schedule'!$F$34),DAY(EOMONTH($A275,0))),MOD((YEAR($A275)-YEAR('Recurring Schedule'!$F$34))*12+MONTH($A275)-MONTH('Recurring Schedule'!$F$34),'Recurring Schedule'!$O$34)=0),IF('Recurring Schedule'!$E$34="Weekdays",WEEKDAY($A275,2)&lt;=5,$A275='Recurring Schedule'!$F$34))),29,""))))</f>
        <v/>
      </c>
      <c r="AE275">
        <f>IF('Recurring Schedule'!$C$35="","",IF('Recurring Schedule'!$F$35="","",IF(OR($A275&lt;'Recurring Schedule'!$F$35,$A275&gt;'Recurring Schedule'!$P$35),"",IF(IF('Recurring Schedule'!$N$35&gt;0,MOD($A275-'Recurring Schedule'!$F$35,'Recurring Schedule'!$N$35)=0,IF('Recurring Schedule'!$O$35&gt;0,AND(DAY($A275)=MIN(DAY('Recurring Schedule'!$F$35),DAY(EOMONTH($A275,0))),MOD((YEAR($A275)-YEAR('Recurring Schedule'!$F$35))*12+MONTH($A275)-MONTH('Recurring Schedule'!$F$35),'Recurring Schedule'!$O$35)=0),IF('Recurring Schedule'!$E$35="Weekdays",WEEKDAY($A275,2)&lt;=5,$A275='Recurring Schedule'!$F$35))),30,""))))</f>
        <v/>
      </c>
      <c r="AF275">
        <f>IF('Recurring Schedule'!$C$36="","",IF('Recurring Schedule'!$F$36="","",IF(OR($A275&lt;'Recurring Schedule'!$F$36,$A275&gt;'Recurring Schedule'!$P$36),"",IF(IF('Recurring Schedule'!$N$36&gt;0,MOD($A275-'Recurring Schedule'!$F$36,'Recurring Schedule'!$N$36)=0,IF('Recurring Schedule'!$O$36&gt;0,AND(DAY($A275)=MIN(DAY('Recurring Schedule'!$F$36),DAY(EOMONTH($A275,0))),MOD((YEAR($A275)-YEAR('Recurring Schedule'!$F$36))*12+MONTH($A275)-MONTH('Recurring Schedule'!$F$36),'Recurring Schedule'!$O$36)=0),IF('Recurring Schedule'!$E$36="Weekdays",WEEKDAY($A275,2)&lt;=5,$A275='Recurring Schedule'!$F$36))),31,""))))</f>
        <v/>
      </c>
      <c r="AG275">
        <f>IF('Recurring Schedule'!$C$37="","",IF('Recurring Schedule'!$F$37="","",IF(OR($A275&lt;'Recurring Schedule'!$F$37,$A275&gt;'Recurring Schedule'!$P$37),"",IF(IF('Recurring Schedule'!$N$37&gt;0,MOD($A275-'Recurring Schedule'!$F$37,'Recurring Schedule'!$N$37)=0,IF('Recurring Schedule'!$O$37&gt;0,AND(DAY($A275)=MIN(DAY('Recurring Schedule'!$F$37),DAY(EOMONTH($A275,0))),MOD((YEAR($A275)-YEAR('Recurring Schedule'!$F$37))*12+MONTH($A275)-MONTH('Recurring Schedule'!$F$37),'Recurring Schedule'!$O$37)=0),IF('Recurring Schedule'!$E$37="Weekdays",WEEKDAY($A275,2)&lt;=5,$A275='Recurring Schedule'!$F$37))),32,""))))</f>
        <v/>
      </c>
      <c r="AH275">
        <f>IF('Recurring Schedule'!$C$38="","",IF('Recurring Schedule'!$F$38="","",IF(OR($A275&lt;'Recurring Schedule'!$F$38,$A275&gt;'Recurring Schedule'!$P$38),"",IF(IF('Recurring Schedule'!$N$38&gt;0,MOD($A275-'Recurring Schedule'!$F$38,'Recurring Schedule'!$N$38)=0,IF('Recurring Schedule'!$O$38&gt;0,AND(DAY($A275)=MIN(DAY('Recurring Schedule'!$F$38),DAY(EOMONTH($A275,0))),MOD((YEAR($A275)-YEAR('Recurring Schedule'!$F$38))*12+MONTH($A275)-MONTH('Recurring Schedule'!$F$38),'Recurring Schedule'!$O$38)=0),IF('Recurring Schedule'!$E$38="Weekdays",WEEKDAY($A275,2)&lt;=5,$A275='Recurring Schedule'!$F$38))),33,""))))</f>
        <v/>
      </c>
      <c r="AI275">
        <f>IF('Recurring Schedule'!$C$39="","",IF('Recurring Schedule'!$F$39="","",IF(OR($A275&lt;'Recurring Schedule'!$F$39,$A275&gt;'Recurring Schedule'!$P$39),"",IF(IF('Recurring Schedule'!$N$39&gt;0,MOD($A275-'Recurring Schedule'!$F$39,'Recurring Schedule'!$N$39)=0,IF('Recurring Schedule'!$O$39&gt;0,AND(DAY($A275)=MIN(DAY('Recurring Schedule'!$F$39),DAY(EOMONTH($A275,0))),MOD((YEAR($A275)-YEAR('Recurring Schedule'!$F$39))*12+MONTH($A275)-MONTH('Recurring Schedule'!$F$39),'Recurring Schedule'!$O$39)=0),IF('Recurring Schedule'!$E$39="Weekdays",WEEKDAY($A275,2)&lt;=5,$A275='Recurring Schedule'!$F$39))),34,""))))</f>
        <v/>
      </c>
      <c r="AJ275">
        <f>IF('Recurring Schedule'!$C$40="","",IF('Recurring Schedule'!$F$40="","",IF(OR($A275&lt;'Recurring Schedule'!$F$40,$A275&gt;'Recurring Schedule'!$P$40),"",IF(IF('Recurring Schedule'!$N$40&gt;0,MOD($A275-'Recurring Schedule'!$F$40,'Recurring Schedule'!$N$40)=0,IF('Recurring Schedule'!$O$40&gt;0,AND(DAY($A275)=MIN(DAY('Recurring Schedule'!$F$40),DAY(EOMONTH($A275,0))),MOD((YEAR($A275)-YEAR('Recurring Schedule'!$F$40))*12+MONTH($A275)-MONTH('Recurring Schedule'!$F$40),'Recurring Schedule'!$O$40)=0),IF('Recurring Schedule'!$E$40="Weekdays",WEEKDAY($A275,2)&lt;=5,$A275='Recurring Schedule'!$F$40))),35,""))))</f>
        <v/>
      </c>
      <c r="AK275">
        <f>IF('Recurring Schedule'!$C$41="","",IF('Recurring Schedule'!$F$41="","",IF(OR($A275&lt;'Recurring Schedule'!$F$41,$A275&gt;'Recurring Schedule'!$P$41),"",IF(IF('Recurring Schedule'!$N$41&gt;0,MOD($A275-'Recurring Schedule'!$F$41,'Recurring Schedule'!$N$41)=0,IF('Recurring Schedule'!$O$41&gt;0,AND(DAY($A275)=MIN(DAY('Recurring Schedule'!$F$41),DAY(EOMONTH($A275,0))),MOD((YEAR($A275)-YEAR('Recurring Schedule'!$F$41))*12+MONTH($A275)-MONTH('Recurring Schedule'!$F$41),'Recurring Schedule'!$O$41)=0),IF('Recurring Schedule'!$E$41="Weekdays",WEEKDAY($A275,2)&lt;=5,$A275='Recurring Schedule'!$F$41))),36,""))))</f>
        <v/>
      </c>
      <c r="AL275">
        <f>IF('Recurring Schedule'!$C$42="","",IF('Recurring Schedule'!$F$42="","",IF(OR($A275&lt;'Recurring Schedule'!$F$42,$A275&gt;'Recurring Schedule'!$P$42),"",IF(IF('Recurring Schedule'!$N$42&gt;0,MOD($A275-'Recurring Schedule'!$F$42,'Recurring Schedule'!$N$42)=0,IF('Recurring Schedule'!$O$42&gt;0,AND(DAY($A275)=MIN(DAY('Recurring Schedule'!$F$42),DAY(EOMONTH($A275,0))),MOD((YEAR($A275)-YEAR('Recurring Schedule'!$F$42))*12+MONTH($A275)-MONTH('Recurring Schedule'!$F$42),'Recurring Schedule'!$O$42)=0),IF('Recurring Schedule'!$E$42="Weekdays",WEEKDAY($A275,2)&lt;=5,$A275='Recurring Schedule'!$F$42))),37,""))))</f>
        <v/>
      </c>
      <c r="AM275">
        <f>IF('Recurring Schedule'!$C$43="","",IF('Recurring Schedule'!$F$43="","",IF(OR($A275&lt;'Recurring Schedule'!$F$43,$A275&gt;'Recurring Schedule'!$P$43),"",IF(IF('Recurring Schedule'!$N$43&gt;0,MOD($A275-'Recurring Schedule'!$F$43,'Recurring Schedule'!$N$43)=0,IF('Recurring Schedule'!$O$43&gt;0,AND(DAY($A275)=MIN(DAY('Recurring Schedule'!$F$43),DAY(EOMONTH($A275,0))),MOD((YEAR($A275)-YEAR('Recurring Schedule'!$F$43))*12+MONTH($A275)-MONTH('Recurring Schedule'!$F$43),'Recurring Schedule'!$O$43)=0),IF('Recurring Schedule'!$E$43="Weekdays",WEEKDAY($A275,2)&lt;=5,$A275='Recurring Schedule'!$F$43))),38,""))))</f>
        <v/>
      </c>
      <c r="AN275">
        <f>IF('Recurring Schedule'!$C$44="","",IF('Recurring Schedule'!$F$44="","",IF(OR($A275&lt;'Recurring Schedule'!$F$44,$A275&gt;'Recurring Schedule'!$P$44),"",IF(IF('Recurring Schedule'!$N$44&gt;0,MOD($A275-'Recurring Schedule'!$F$44,'Recurring Schedule'!$N$44)=0,IF('Recurring Schedule'!$O$44&gt;0,AND(DAY($A275)=MIN(DAY('Recurring Schedule'!$F$44),DAY(EOMONTH($A275,0))),MOD((YEAR($A275)-YEAR('Recurring Schedule'!$F$44))*12+MONTH($A275)-MONTH('Recurring Schedule'!$F$44),'Recurring Schedule'!$O$44)=0),IF('Recurring Schedule'!$E$44="Weekdays",WEEKDAY($A275,2)&lt;=5,$A275='Recurring Schedule'!$F$44))),39,""))))</f>
        <v/>
      </c>
      <c r="AO275">
        <f>IF('Recurring Schedule'!$C$45="","",IF('Recurring Schedule'!$F$45="","",IF(OR($A275&lt;'Recurring Schedule'!$F$45,$A275&gt;'Recurring Schedule'!$P$45),"",IF(IF('Recurring Schedule'!$N$45&gt;0,MOD($A275-'Recurring Schedule'!$F$45,'Recurring Schedule'!$N$45)=0,IF('Recurring Schedule'!$O$45&gt;0,AND(DAY($A275)=MIN(DAY('Recurring Schedule'!$F$45),DAY(EOMONTH($A275,0))),MOD((YEAR($A275)-YEAR('Recurring Schedule'!$F$45))*12+MONTH($A275)-MONTH('Recurring Schedule'!$F$45),'Recurring Schedule'!$O$45)=0),IF('Recurring Schedule'!$E$45="Weekdays",WEEKDAY($A275,2)&lt;=5,$A275='Recurring Schedule'!$F$45))),40,""))))</f>
        <v/>
      </c>
      <c r="AP275">
        <f>COUNT(B275:AO275)</f>
        <v/>
      </c>
      <c r="AQ275">
        <f>AQ274+AP274</f>
        <v/>
      </c>
      <c r="AS275" t="inlineStr">
        <is>
          <t>R</t>
        </is>
      </c>
      <c r="AT275" t="n">
        <v>279</v>
      </c>
      <c r="AU275">
        <f>'Recurring Log'!C279&amp;""</f>
        <v/>
      </c>
      <c r="AV275">
        <f>'Recurring Log'!D279&amp;""</f>
        <v/>
      </c>
      <c r="AW275">
        <f>IF('Recurring Log'!E279="","",'Recurring Log'!E279)</f>
        <v/>
      </c>
      <c r="AX275">
        <f>IF('Recurring Log'!G279="","",'Recurring Log'!G279)</f>
        <v/>
      </c>
      <c r="AY275">
        <f>IF('Recurring Log'!H279="","",'Recurring Log'!H279)</f>
        <v/>
      </c>
      <c r="AZ275">
        <f>IF(AU275="","",IF('Recurring Log'!J279="","Not Started",'Recurring Log'!J279))</f>
        <v/>
      </c>
      <c r="BA275">
        <f>'Recurring Log'!L279&amp;""</f>
        <v/>
      </c>
      <c r="BB275">
        <f>'Recurring Log'!M279&amp;""</f>
        <v/>
      </c>
      <c r="BC275">
        <f>'Recurring Log'!N279&amp;""</f>
        <v/>
      </c>
      <c r="BD275">
        <f>'Recurring Log'!O279&amp;""</f>
        <v/>
      </c>
      <c r="BE275">
        <f>IF('Recurring Log'!K279="","",'Recurring Log'!K279)</f>
        <v/>
      </c>
      <c r="BF275">
        <f>IFERROR(MATCH(BA275,Setup!$L$6:$L$9,0),5)</f>
        <v/>
      </c>
      <c r="BG275">
        <f>IF(OR(AZ275="Done",AZ275="Cancelled"),1,0)</f>
        <v/>
      </c>
      <c r="BH275">
        <f>IF(AND(AU275&lt;&gt;"",ISNUMBER(AW275)),1,0)</f>
        <v/>
      </c>
      <c r="BI275">
        <f>IF(BH275=0,0,IF(AND(AW275&gt;='Tasks Filter'!$F$3,AW275&lt;='Tasks Filter'!$F$4,OR('Tasks Filter'!$I$3="",ISNUMBER(SEARCH('Tasks Filter'!$I$3,AU275))),OR('Tasks Filter'!$I$4="",BF275=IFERROR(MATCH('Tasks Filter'!$I$4,Setup!$L$6:$L$9,0),0)),OR('Tasks Filter'!$I$5="Both",AND('Tasks Filter'!$I$5="Yes",BB275="✓"),AND('Tasks Filter'!$I$5="No",BB275&lt;&gt;"✓")),OR('Tasks Filter'!$L$3="",AV275='Tasks Filter'!$L$3),OR('Tasks Filter'!$L$4="",AZ275='Tasks Filter'!$L$4),OR('Tasks Filter'!$L$5="",BC275='Tasks Filter'!$L$5),OR('Tasks Filter'!$O$3="",BD275='Tasks Filter'!$O$3),OR('Tasks Filter'!$O$4="Yes",BG275=0)),1,0))</f>
        <v/>
      </c>
      <c r="BJ275">
        <f>IF(BH275=0,"",IF('Tasks Filter'!$F$6="Descending",-1,1)*CHOOSE(MATCH('Tasks Filter'!$F$5,Lists!$G$2:$G$6,0),AW275,BF275,IFERROR(MATCH(AV275,Setup!$F$6:$F$15,0),99),IFERROR(MATCH(BC275,Setup!$H$6:$H$15,0),99),IFERROR(MATCH(AZ275,Setup!$J$6:$J$11,0),99))*1E+9+(AW275-40000)*10000+274)</f>
        <v/>
      </c>
      <c r="BK275">
        <f>IF(BI275=1,BJ275,"")</f>
        <v/>
      </c>
      <c r="BL275">
        <f>IF(AND(BH275=1,BG275=0,N(AW275)&lt;Setup!$D$7),(AW275-40000)*10000+274,"")</f>
        <v/>
      </c>
      <c r="BM275">
        <f>IF(AND(BH275=1,AZ275&lt;&gt;"Cancelled",N(AW275)&gt;=Dashboard!$AB$3,N(AW275)&lt;=Dashboard!$AB$3+6),(AW275-40000)*100000+BF275*10000+274,"")</f>
        <v/>
      </c>
      <c r="BN275">
        <f>IF(AND(BH275=1,AZ275&lt;&gt;"Cancelled"),BF275*10000+274,"")</f>
        <v/>
      </c>
    </row>
    <row r="276">
      <c r="A276">
        <f>Setup!$D$5+274</f>
        <v/>
      </c>
      <c r="B276">
        <f>IF('Recurring Schedule'!$C$6="","",IF('Recurring Schedule'!$F$6="","",IF(OR($A276&lt;'Recurring Schedule'!$F$6,$A276&gt;'Recurring Schedule'!$P$6),"",IF(IF('Recurring Schedule'!$N$6&gt;0,MOD($A276-'Recurring Schedule'!$F$6,'Recurring Schedule'!$N$6)=0,IF('Recurring Schedule'!$O$6&gt;0,AND(DAY($A276)=MIN(DAY('Recurring Schedule'!$F$6),DAY(EOMONTH($A276,0))),MOD((YEAR($A276)-YEAR('Recurring Schedule'!$F$6))*12+MONTH($A276)-MONTH('Recurring Schedule'!$F$6),'Recurring Schedule'!$O$6)=0),IF('Recurring Schedule'!$E$6="Weekdays",WEEKDAY($A276,2)&lt;=5,$A276='Recurring Schedule'!$F$6))),1,""))))</f>
        <v/>
      </c>
      <c r="C276">
        <f>IF('Recurring Schedule'!$C$7="","",IF('Recurring Schedule'!$F$7="","",IF(OR($A276&lt;'Recurring Schedule'!$F$7,$A276&gt;'Recurring Schedule'!$P$7),"",IF(IF('Recurring Schedule'!$N$7&gt;0,MOD($A276-'Recurring Schedule'!$F$7,'Recurring Schedule'!$N$7)=0,IF('Recurring Schedule'!$O$7&gt;0,AND(DAY($A276)=MIN(DAY('Recurring Schedule'!$F$7),DAY(EOMONTH($A276,0))),MOD((YEAR($A276)-YEAR('Recurring Schedule'!$F$7))*12+MONTH($A276)-MONTH('Recurring Schedule'!$F$7),'Recurring Schedule'!$O$7)=0),IF('Recurring Schedule'!$E$7="Weekdays",WEEKDAY($A276,2)&lt;=5,$A276='Recurring Schedule'!$F$7))),2,""))))</f>
        <v/>
      </c>
      <c r="D276">
        <f>IF('Recurring Schedule'!$C$8="","",IF('Recurring Schedule'!$F$8="","",IF(OR($A276&lt;'Recurring Schedule'!$F$8,$A276&gt;'Recurring Schedule'!$P$8),"",IF(IF('Recurring Schedule'!$N$8&gt;0,MOD($A276-'Recurring Schedule'!$F$8,'Recurring Schedule'!$N$8)=0,IF('Recurring Schedule'!$O$8&gt;0,AND(DAY($A276)=MIN(DAY('Recurring Schedule'!$F$8),DAY(EOMONTH($A276,0))),MOD((YEAR($A276)-YEAR('Recurring Schedule'!$F$8))*12+MONTH($A276)-MONTH('Recurring Schedule'!$F$8),'Recurring Schedule'!$O$8)=0),IF('Recurring Schedule'!$E$8="Weekdays",WEEKDAY($A276,2)&lt;=5,$A276='Recurring Schedule'!$F$8))),3,""))))</f>
        <v/>
      </c>
      <c r="E276">
        <f>IF('Recurring Schedule'!$C$9="","",IF('Recurring Schedule'!$F$9="","",IF(OR($A276&lt;'Recurring Schedule'!$F$9,$A276&gt;'Recurring Schedule'!$P$9),"",IF(IF('Recurring Schedule'!$N$9&gt;0,MOD($A276-'Recurring Schedule'!$F$9,'Recurring Schedule'!$N$9)=0,IF('Recurring Schedule'!$O$9&gt;0,AND(DAY($A276)=MIN(DAY('Recurring Schedule'!$F$9),DAY(EOMONTH($A276,0))),MOD((YEAR($A276)-YEAR('Recurring Schedule'!$F$9))*12+MONTH($A276)-MONTH('Recurring Schedule'!$F$9),'Recurring Schedule'!$O$9)=0),IF('Recurring Schedule'!$E$9="Weekdays",WEEKDAY($A276,2)&lt;=5,$A276='Recurring Schedule'!$F$9))),4,""))))</f>
        <v/>
      </c>
      <c r="F276">
        <f>IF('Recurring Schedule'!$C$10="","",IF('Recurring Schedule'!$F$10="","",IF(OR($A276&lt;'Recurring Schedule'!$F$10,$A276&gt;'Recurring Schedule'!$P$10),"",IF(IF('Recurring Schedule'!$N$10&gt;0,MOD($A276-'Recurring Schedule'!$F$10,'Recurring Schedule'!$N$10)=0,IF('Recurring Schedule'!$O$10&gt;0,AND(DAY($A276)=MIN(DAY('Recurring Schedule'!$F$10),DAY(EOMONTH($A276,0))),MOD((YEAR($A276)-YEAR('Recurring Schedule'!$F$10))*12+MONTH($A276)-MONTH('Recurring Schedule'!$F$10),'Recurring Schedule'!$O$10)=0),IF('Recurring Schedule'!$E$10="Weekdays",WEEKDAY($A276,2)&lt;=5,$A276='Recurring Schedule'!$F$10))),5,""))))</f>
        <v/>
      </c>
      <c r="G276">
        <f>IF('Recurring Schedule'!$C$11="","",IF('Recurring Schedule'!$F$11="","",IF(OR($A276&lt;'Recurring Schedule'!$F$11,$A276&gt;'Recurring Schedule'!$P$11),"",IF(IF('Recurring Schedule'!$N$11&gt;0,MOD($A276-'Recurring Schedule'!$F$11,'Recurring Schedule'!$N$11)=0,IF('Recurring Schedule'!$O$11&gt;0,AND(DAY($A276)=MIN(DAY('Recurring Schedule'!$F$11),DAY(EOMONTH($A276,0))),MOD((YEAR($A276)-YEAR('Recurring Schedule'!$F$11))*12+MONTH($A276)-MONTH('Recurring Schedule'!$F$11),'Recurring Schedule'!$O$11)=0),IF('Recurring Schedule'!$E$11="Weekdays",WEEKDAY($A276,2)&lt;=5,$A276='Recurring Schedule'!$F$11))),6,""))))</f>
        <v/>
      </c>
      <c r="H276">
        <f>IF('Recurring Schedule'!$C$12="","",IF('Recurring Schedule'!$F$12="","",IF(OR($A276&lt;'Recurring Schedule'!$F$12,$A276&gt;'Recurring Schedule'!$P$12),"",IF(IF('Recurring Schedule'!$N$12&gt;0,MOD($A276-'Recurring Schedule'!$F$12,'Recurring Schedule'!$N$12)=0,IF('Recurring Schedule'!$O$12&gt;0,AND(DAY($A276)=MIN(DAY('Recurring Schedule'!$F$12),DAY(EOMONTH($A276,0))),MOD((YEAR($A276)-YEAR('Recurring Schedule'!$F$12))*12+MONTH($A276)-MONTH('Recurring Schedule'!$F$12),'Recurring Schedule'!$O$12)=0),IF('Recurring Schedule'!$E$12="Weekdays",WEEKDAY($A276,2)&lt;=5,$A276='Recurring Schedule'!$F$12))),7,""))))</f>
        <v/>
      </c>
      <c r="I276">
        <f>IF('Recurring Schedule'!$C$13="","",IF('Recurring Schedule'!$F$13="","",IF(OR($A276&lt;'Recurring Schedule'!$F$13,$A276&gt;'Recurring Schedule'!$P$13),"",IF(IF('Recurring Schedule'!$N$13&gt;0,MOD($A276-'Recurring Schedule'!$F$13,'Recurring Schedule'!$N$13)=0,IF('Recurring Schedule'!$O$13&gt;0,AND(DAY($A276)=MIN(DAY('Recurring Schedule'!$F$13),DAY(EOMONTH($A276,0))),MOD((YEAR($A276)-YEAR('Recurring Schedule'!$F$13))*12+MONTH($A276)-MONTH('Recurring Schedule'!$F$13),'Recurring Schedule'!$O$13)=0),IF('Recurring Schedule'!$E$13="Weekdays",WEEKDAY($A276,2)&lt;=5,$A276='Recurring Schedule'!$F$13))),8,""))))</f>
        <v/>
      </c>
      <c r="J276">
        <f>IF('Recurring Schedule'!$C$14="","",IF('Recurring Schedule'!$F$14="","",IF(OR($A276&lt;'Recurring Schedule'!$F$14,$A276&gt;'Recurring Schedule'!$P$14),"",IF(IF('Recurring Schedule'!$N$14&gt;0,MOD($A276-'Recurring Schedule'!$F$14,'Recurring Schedule'!$N$14)=0,IF('Recurring Schedule'!$O$14&gt;0,AND(DAY($A276)=MIN(DAY('Recurring Schedule'!$F$14),DAY(EOMONTH($A276,0))),MOD((YEAR($A276)-YEAR('Recurring Schedule'!$F$14))*12+MONTH($A276)-MONTH('Recurring Schedule'!$F$14),'Recurring Schedule'!$O$14)=0),IF('Recurring Schedule'!$E$14="Weekdays",WEEKDAY($A276,2)&lt;=5,$A276='Recurring Schedule'!$F$14))),9,""))))</f>
        <v/>
      </c>
      <c r="K276">
        <f>IF('Recurring Schedule'!$C$15="","",IF('Recurring Schedule'!$F$15="","",IF(OR($A276&lt;'Recurring Schedule'!$F$15,$A276&gt;'Recurring Schedule'!$P$15),"",IF(IF('Recurring Schedule'!$N$15&gt;0,MOD($A276-'Recurring Schedule'!$F$15,'Recurring Schedule'!$N$15)=0,IF('Recurring Schedule'!$O$15&gt;0,AND(DAY($A276)=MIN(DAY('Recurring Schedule'!$F$15),DAY(EOMONTH($A276,0))),MOD((YEAR($A276)-YEAR('Recurring Schedule'!$F$15))*12+MONTH($A276)-MONTH('Recurring Schedule'!$F$15),'Recurring Schedule'!$O$15)=0),IF('Recurring Schedule'!$E$15="Weekdays",WEEKDAY($A276,2)&lt;=5,$A276='Recurring Schedule'!$F$15))),10,""))))</f>
        <v/>
      </c>
      <c r="L276">
        <f>IF('Recurring Schedule'!$C$16="","",IF('Recurring Schedule'!$F$16="","",IF(OR($A276&lt;'Recurring Schedule'!$F$16,$A276&gt;'Recurring Schedule'!$P$16),"",IF(IF('Recurring Schedule'!$N$16&gt;0,MOD($A276-'Recurring Schedule'!$F$16,'Recurring Schedule'!$N$16)=0,IF('Recurring Schedule'!$O$16&gt;0,AND(DAY($A276)=MIN(DAY('Recurring Schedule'!$F$16),DAY(EOMONTH($A276,0))),MOD((YEAR($A276)-YEAR('Recurring Schedule'!$F$16))*12+MONTH($A276)-MONTH('Recurring Schedule'!$F$16),'Recurring Schedule'!$O$16)=0),IF('Recurring Schedule'!$E$16="Weekdays",WEEKDAY($A276,2)&lt;=5,$A276='Recurring Schedule'!$F$16))),11,""))))</f>
        <v/>
      </c>
      <c r="M276">
        <f>IF('Recurring Schedule'!$C$17="","",IF('Recurring Schedule'!$F$17="","",IF(OR($A276&lt;'Recurring Schedule'!$F$17,$A276&gt;'Recurring Schedule'!$P$17),"",IF(IF('Recurring Schedule'!$N$17&gt;0,MOD($A276-'Recurring Schedule'!$F$17,'Recurring Schedule'!$N$17)=0,IF('Recurring Schedule'!$O$17&gt;0,AND(DAY($A276)=MIN(DAY('Recurring Schedule'!$F$17),DAY(EOMONTH($A276,0))),MOD((YEAR($A276)-YEAR('Recurring Schedule'!$F$17))*12+MONTH($A276)-MONTH('Recurring Schedule'!$F$17),'Recurring Schedule'!$O$17)=0),IF('Recurring Schedule'!$E$17="Weekdays",WEEKDAY($A276,2)&lt;=5,$A276='Recurring Schedule'!$F$17))),12,""))))</f>
        <v/>
      </c>
      <c r="N276">
        <f>IF('Recurring Schedule'!$C$18="","",IF('Recurring Schedule'!$F$18="","",IF(OR($A276&lt;'Recurring Schedule'!$F$18,$A276&gt;'Recurring Schedule'!$P$18),"",IF(IF('Recurring Schedule'!$N$18&gt;0,MOD($A276-'Recurring Schedule'!$F$18,'Recurring Schedule'!$N$18)=0,IF('Recurring Schedule'!$O$18&gt;0,AND(DAY($A276)=MIN(DAY('Recurring Schedule'!$F$18),DAY(EOMONTH($A276,0))),MOD((YEAR($A276)-YEAR('Recurring Schedule'!$F$18))*12+MONTH($A276)-MONTH('Recurring Schedule'!$F$18),'Recurring Schedule'!$O$18)=0),IF('Recurring Schedule'!$E$18="Weekdays",WEEKDAY($A276,2)&lt;=5,$A276='Recurring Schedule'!$F$18))),13,""))))</f>
        <v/>
      </c>
      <c r="O276">
        <f>IF('Recurring Schedule'!$C$19="","",IF('Recurring Schedule'!$F$19="","",IF(OR($A276&lt;'Recurring Schedule'!$F$19,$A276&gt;'Recurring Schedule'!$P$19),"",IF(IF('Recurring Schedule'!$N$19&gt;0,MOD($A276-'Recurring Schedule'!$F$19,'Recurring Schedule'!$N$19)=0,IF('Recurring Schedule'!$O$19&gt;0,AND(DAY($A276)=MIN(DAY('Recurring Schedule'!$F$19),DAY(EOMONTH($A276,0))),MOD((YEAR($A276)-YEAR('Recurring Schedule'!$F$19))*12+MONTH($A276)-MONTH('Recurring Schedule'!$F$19),'Recurring Schedule'!$O$19)=0),IF('Recurring Schedule'!$E$19="Weekdays",WEEKDAY($A276,2)&lt;=5,$A276='Recurring Schedule'!$F$19))),14,""))))</f>
        <v/>
      </c>
      <c r="P276">
        <f>IF('Recurring Schedule'!$C$20="","",IF('Recurring Schedule'!$F$20="","",IF(OR($A276&lt;'Recurring Schedule'!$F$20,$A276&gt;'Recurring Schedule'!$P$20),"",IF(IF('Recurring Schedule'!$N$20&gt;0,MOD($A276-'Recurring Schedule'!$F$20,'Recurring Schedule'!$N$20)=0,IF('Recurring Schedule'!$O$20&gt;0,AND(DAY($A276)=MIN(DAY('Recurring Schedule'!$F$20),DAY(EOMONTH($A276,0))),MOD((YEAR($A276)-YEAR('Recurring Schedule'!$F$20))*12+MONTH($A276)-MONTH('Recurring Schedule'!$F$20),'Recurring Schedule'!$O$20)=0),IF('Recurring Schedule'!$E$20="Weekdays",WEEKDAY($A276,2)&lt;=5,$A276='Recurring Schedule'!$F$20))),15,""))))</f>
        <v/>
      </c>
      <c r="Q276">
        <f>IF('Recurring Schedule'!$C$21="","",IF('Recurring Schedule'!$F$21="","",IF(OR($A276&lt;'Recurring Schedule'!$F$21,$A276&gt;'Recurring Schedule'!$P$21),"",IF(IF('Recurring Schedule'!$N$21&gt;0,MOD($A276-'Recurring Schedule'!$F$21,'Recurring Schedule'!$N$21)=0,IF('Recurring Schedule'!$O$21&gt;0,AND(DAY($A276)=MIN(DAY('Recurring Schedule'!$F$21),DAY(EOMONTH($A276,0))),MOD((YEAR($A276)-YEAR('Recurring Schedule'!$F$21))*12+MONTH($A276)-MONTH('Recurring Schedule'!$F$21),'Recurring Schedule'!$O$21)=0),IF('Recurring Schedule'!$E$21="Weekdays",WEEKDAY($A276,2)&lt;=5,$A276='Recurring Schedule'!$F$21))),16,""))))</f>
        <v/>
      </c>
      <c r="R276">
        <f>IF('Recurring Schedule'!$C$22="","",IF('Recurring Schedule'!$F$22="","",IF(OR($A276&lt;'Recurring Schedule'!$F$22,$A276&gt;'Recurring Schedule'!$P$22),"",IF(IF('Recurring Schedule'!$N$22&gt;0,MOD($A276-'Recurring Schedule'!$F$22,'Recurring Schedule'!$N$22)=0,IF('Recurring Schedule'!$O$22&gt;0,AND(DAY($A276)=MIN(DAY('Recurring Schedule'!$F$22),DAY(EOMONTH($A276,0))),MOD((YEAR($A276)-YEAR('Recurring Schedule'!$F$22))*12+MONTH($A276)-MONTH('Recurring Schedule'!$F$22),'Recurring Schedule'!$O$22)=0),IF('Recurring Schedule'!$E$22="Weekdays",WEEKDAY($A276,2)&lt;=5,$A276='Recurring Schedule'!$F$22))),17,""))))</f>
        <v/>
      </c>
      <c r="S276">
        <f>IF('Recurring Schedule'!$C$23="","",IF('Recurring Schedule'!$F$23="","",IF(OR($A276&lt;'Recurring Schedule'!$F$23,$A276&gt;'Recurring Schedule'!$P$23),"",IF(IF('Recurring Schedule'!$N$23&gt;0,MOD($A276-'Recurring Schedule'!$F$23,'Recurring Schedule'!$N$23)=0,IF('Recurring Schedule'!$O$23&gt;0,AND(DAY($A276)=MIN(DAY('Recurring Schedule'!$F$23),DAY(EOMONTH($A276,0))),MOD((YEAR($A276)-YEAR('Recurring Schedule'!$F$23))*12+MONTH($A276)-MONTH('Recurring Schedule'!$F$23),'Recurring Schedule'!$O$23)=0),IF('Recurring Schedule'!$E$23="Weekdays",WEEKDAY($A276,2)&lt;=5,$A276='Recurring Schedule'!$F$23))),18,""))))</f>
        <v/>
      </c>
      <c r="T276">
        <f>IF('Recurring Schedule'!$C$24="","",IF('Recurring Schedule'!$F$24="","",IF(OR($A276&lt;'Recurring Schedule'!$F$24,$A276&gt;'Recurring Schedule'!$P$24),"",IF(IF('Recurring Schedule'!$N$24&gt;0,MOD($A276-'Recurring Schedule'!$F$24,'Recurring Schedule'!$N$24)=0,IF('Recurring Schedule'!$O$24&gt;0,AND(DAY($A276)=MIN(DAY('Recurring Schedule'!$F$24),DAY(EOMONTH($A276,0))),MOD((YEAR($A276)-YEAR('Recurring Schedule'!$F$24))*12+MONTH($A276)-MONTH('Recurring Schedule'!$F$24),'Recurring Schedule'!$O$24)=0),IF('Recurring Schedule'!$E$24="Weekdays",WEEKDAY($A276,2)&lt;=5,$A276='Recurring Schedule'!$F$24))),19,""))))</f>
        <v/>
      </c>
      <c r="U276">
        <f>IF('Recurring Schedule'!$C$25="","",IF('Recurring Schedule'!$F$25="","",IF(OR($A276&lt;'Recurring Schedule'!$F$25,$A276&gt;'Recurring Schedule'!$P$25),"",IF(IF('Recurring Schedule'!$N$25&gt;0,MOD($A276-'Recurring Schedule'!$F$25,'Recurring Schedule'!$N$25)=0,IF('Recurring Schedule'!$O$25&gt;0,AND(DAY($A276)=MIN(DAY('Recurring Schedule'!$F$25),DAY(EOMONTH($A276,0))),MOD((YEAR($A276)-YEAR('Recurring Schedule'!$F$25))*12+MONTH($A276)-MONTH('Recurring Schedule'!$F$25),'Recurring Schedule'!$O$25)=0),IF('Recurring Schedule'!$E$25="Weekdays",WEEKDAY($A276,2)&lt;=5,$A276='Recurring Schedule'!$F$25))),20,""))))</f>
        <v/>
      </c>
      <c r="V276">
        <f>IF('Recurring Schedule'!$C$26="","",IF('Recurring Schedule'!$F$26="","",IF(OR($A276&lt;'Recurring Schedule'!$F$26,$A276&gt;'Recurring Schedule'!$P$26),"",IF(IF('Recurring Schedule'!$N$26&gt;0,MOD($A276-'Recurring Schedule'!$F$26,'Recurring Schedule'!$N$26)=0,IF('Recurring Schedule'!$O$26&gt;0,AND(DAY($A276)=MIN(DAY('Recurring Schedule'!$F$26),DAY(EOMONTH($A276,0))),MOD((YEAR($A276)-YEAR('Recurring Schedule'!$F$26))*12+MONTH($A276)-MONTH('Recurring Schedule'!$F$26),'Recurring Schedule'!$O$26)=0),IF('Recurring Schedule'!$E$26="Weekdays",WEEKDAY($A276,2)&lt;=5,$A276='Recurring Schedule'!$F$26))),21,""))))</f>
        <v/>
      </c>
      <c r="W276">
        <f>IF('Recurring Schedule'!$C$27="","",IF('Recurring Schedule'!$F$27="","",IF(OR($A276&lt;'Recurring Schedule'!$F$27,$A276&gt;'Recurring Schedule'!$P$27),"",IF(IF('Recurring Schedule'!$N$27&gt;0,MOD($A276-'Recurring Schedule'!$F$27,'Recurring Schedule'!$N$27)=0,IF('Recurring Schedule'!$O$27&gt;0,AND(DAY($A276)=MIN(DAY('Recurring Schedule'!$F$27),DAY(EOMONTH($A276,0))),MOD((YEAR($A276)-YEAR('Recurring Schedule'!$F$27))*12+MONTH($A276)-MONTH('Recurring Schedule'!$F$27),'Recurring Schedule'!$O$27)=0),IF('Recurring Schedule'!$E$27="Weekdays",WEEKDAY($A276,2)&lt;=5,$A276='Recurring Schedule'!$F$27))),22,""))))</f>
        <v/>
      </c>
      <c r="X276">
        <f>IF('Recurring Schedule'!$C$28="","",IF('Recurring Schedule'!$F$28="","",IF(OR($A276&lt;'Recurring Schedule'!$F$28,$A276&gt;'Recurring Schedule'!$P$28),"",IF(IF('Recurring Schedule'!$N$28&gt;0,MOD($A276-'Recurring Schedule'!$F$28,'Recurring Schedule'!$N$28)=0,IF('Recurring Schedule'!$O$28&gt;0,AND(DAY($A276)=MIN(DAY('Recurring Schedule'!$F$28),DAY(EOMONTH($A276,0))),MOD((YEAR($A276)-YEAR('Recurring Schedule'!$F$28))*12+MONTH($A276)-MONTH('Recurring Schedule'!$F$28),'Recurring Schedule'!$O$28)=0),IF('Recurring Schedule'!$E$28="Weekdays",WEEKDAY($A276,2)&lt;=5,$A276='Recurring Schedule'!$F$28))),23,""))))</f>
        <v/>
      </c>
      <c r="Y276">
        <f>IF('Recurring Schedule'!$C$29="","",IF('Recurring Schedule'!$F$29="","",IF(OR($A276&lt;'Recurring Schedule'!$F$29,$A276&gt;'Recurring Schedule'!$P$29),"",IF(IF('Recurring Schedule'!$N$29&gt;0,MOD($A276-'Recurring Schedule'!$F$29,'Recurring Schedule'!$N$29)=0,IF('Recurring Schedule'!$O$29&gt;0,AND(DAY($A276)=MIN(DAY('Recurring Schedule'!$F$29),DAY(EOMONTH($A276,0))),MOD((YEAR($A276)-YEAR('Recurring Schedule'!$F$29))*12+MONTH($A276)-MONTH('Recurring Schedule'!$F$29),'Recurring Schedule'!$O$29)=0),IF('Recurring Schedule'!$E$29="Weekdays",WEEKDAY($A276,2)&lt;=5,$A276='Recurring Schedule'!$F$29))),24,""))))</f>
        <v/>
      </c>
      <c r="Z276">
        <f>IF('Recurring Schedule'!$C$30="","",IF('Recurring Schedule'!$F$30="","",IF(OR($A276&lt;'Recurring Schedule'!$F$30,$A276&gt;'Recurring Schedule'!$P$30),"",IF(IF('Recurring Schedule'!$N$30&gt;0,MOD($A276-'Recurring Schedule'!$F$30,'Recurring Schedule'!$N$30)=0,IF('Recurring Schedule'!$O$30&gt;0,AND(DAY($A276)=MIN(DAY('Recurring Schedule'!$F$30),DAY(EOMONTH($A276,0))),MOD((YEAR($A276)-YEAR('Recurring Schedule'!$F$30))*12+MONTH($A276)-MONTH('Recurring Schedule'!$F$30),'Recurring Schedule'!$O$30)=0),IF('Recurring Schedule'!$E$30="Weekdays",WEEKDAY($A276,2)&lt;=5,$A276='Recurring Schedule'!$F$30))),25,""))))</f>
        <v/>
      </c>
      <c r="AA276">
        <f>IF('Recurring Schedule'!$C$31="","",IF('Recurring Schedule'!$F$31="","",IF(OR($A276&lt;'Recurring Schedule'!$F$31,$A276&gt;'Recurring Schedule'!$P$31),"",IF(IF('Recurring Schedule'!$N$31&gt;0,MOD($A276-'Recurring Schedule'!$F$31,'Recurring Schedule'!$N$31)=0,IF('Recurring Schedule'!$O$31&gt;0,AND(DAY($A276)=MIN(DAY('Recurring Schedule'!$F$31),DAY(EOMONTH($A276,0))),MOD((YEAR($A276)-YEAR('Recurring Schedule'!$F$31))*12+MONTH($A276)-MONTH('Recurring Schedule'!$F$31),'Recurring Schedule'!$O$31)=0),IF('Recurring Schedule'!$E$31="Weekdays",WEEKDAY($A276,2)&lt;=5,$A276='Recurring Schedule'!$F$31))),26,""))))</f>
        <v/>
      </c>
      <c r="AB276">
        <f>IF('Recurring Schedule'!$C$32="","",IF('Recurring Schedule'!$F$32="","",IF(OR($A276&lt;'Recurring Schedule'!$F$32,$A276&gt;'Recurring Schedule'!$P$32),"",IF(IF('Recurring Schedule'!$N$32&gt;0,MOD($A276-'Recurring Schedule'!$F$32,'Recurring Schedule'!$N$32)=0,IF('Recurring Schedule'!$O$32&gt;0,AND(DAY($A276)=MIN(DAY('Recurring Schedule'!$F$32),DAY(EOMONTH($A276,0))),MOD((YEAR($A276)-YEAR('Recurring Schedule'!$F$32))*12+MONTH($A276)-MONTH('Recurring Schedule'!$F$32),'Recurring Schedule'!$O$32)=0),IF('Recurring Schedule'!$E$32="Weekdays",WEEKDAY($A276,2)&lt;=5,$A276='Recurring Schedule'!$F$32))),27,""))))</f>
        <v/>
      </c>
      <c r="AC276">
        <f>IF('Recurring Schedule'!$C$33="","",IF('Recurring Schedule'!$F$33="","",IF(OR($A276&lt;'Recurring Schedule'!$F$33,$A276&gt;'Recurring Schedule'!$P$33),"",IF(IF('Recurring Schedule'!$N$33&gt;0,MOD($A276-'Recurring Schedule'!$F$33,'Recurring Schedule'!$N$33)=0,IF('Recurring Schedule'!$O$33&gt;0,AND(DAY($A276)=MIN(DAY('Recurring Schedule'!$F$33),DAY(EOMONTH($A276,0))),MOD((YEAR($A276)-YEAR('Recurring Schedule'!$F$33))*12+MONTH($A276)-MONTH('Recurring Schedule'!$F$33),'Recurring Schedule'!$O$33)=0),IF('Recurring Schedule'!$E$33="Weekdays",WEEKDAY($A276,2)&lt;=5,$A276='Recurring Schedule'!$F$33))),28,""))))</f>
        <v/>
      </c>
      <c r="AD276">
        <f>IF('Recurring Schedule'!$C$34="","",IF('Recurring Schedule'!$F$34="","",IF(OR($A276&lt;'Recurring Schedule'!$F$34,$A276&gt;'Recurring Schedule'!$P$34),"",IF(IF('Recurring Schedule'!$N$34&gt;0,MOD($A276-'Recurring Schedule'!$F$34,'Recurring Schedule'!$N$34)=0,IF('Recurring Schedule'!$O$34&gt;0,AND(DAY($A276)=MIN(DAY('Recurring Schedule'!$F$34),DAY(EOMONTH($A276,0))),MOD((YEAR($A276)-YEAR('Recurring Schedule'!$F$34))*12+MONTH($A276)-MONTH('Recurring Schedule'!$F$34),'Recurring Schedule'!$O$34)=0),IF('Recurring Schedule'!$E$34="Weekdays",WEEKDAY($A276,2)&lt;=5,$A276='Recurring Schedule'!$F$34))),29,""))))</f>
        <v/>
      </c>
      <c r="AE276">
        <f>IF('Recurring Schedule'!$C$35="","",IF('Recurring Schedule'!$F$35="","",IF(OR($A276&lt;'Recurring Schedule'!$F$35,$A276&gt;'Recurring Schedule'!$P$35),"",IF(IF('Recurring Schedule'!$N$35&gt;0,MOD($A276-'Recurring Schedule'!$F$35,'Recurring Schedule'!$N$35)=0,IF('Recurring Schedule'!$O$35&gt;0,AND(DAY($A276)=MIN(DAY('Recurring Schedule'!$F$35),DAY(EOMONTH($A276,0))),MOD((YEAR($A276)-YEAR('Recurring Schedule'!$F$35))*12+MONTH($A276)-MONTH('Recurring Schedule'!$F$35),'Recurring Schedule'!$O$35)=0),IF('Recurring Schedule'!$E$35="Weekdays",WEEKDAY($A276,2)&lt;=5,$A276='Recurring Schedule'!$F$35))),30,""))))</f>
        <v/>
      </c>
      <c r="AF276">
        <f>IF('Recurring Schedule'!$C$36="","",IF('Recurring Schedule'!$F$36="","",IF(OR($A276&lt;'Recurring Schedule'!$F$36,$A276&gt;'Recurring Schedule'!$P$36),"",IF(IF('Recurring Schedule'!$N$36&gt;0,MOD($A276-'Recurring Schedule'!$F$36,'Recurring Schedule'!$N$36)=0,IF('Recurring Schedule'!$O$36&gt;0,AND(DAY($A276)=MIN(DAY('Recurring Schedule'!$F$36),DAY(EOMONTH($A276,0))),MOD((YEAR($A276)-YEAR('Recurring Schedule'!$F$36))*12+MONTH($A276)-MONTH('Recurring Schedule'!$F$36),'Recurring Schedule'!$O$36)=0),IF('Recurring Schedule'!$E$36="Weekdays",WEEKDAY($A276,2)&lt;=5,$A276='Recurring Schedule'!$F$36))),31,""))))</f>
        <v/>
      </c>
      <c r="AG276">
        <f>IF('Recurring Schedule'!$C$37="","",IF('Recurring Schedule'!$F$37="","",IF(OR($A276&lt;'Recurring Schedule'!$F$37,$A276&gt;'Recurring Schedule'!$P$37),"",IF(IF('Recurring Schedule'!$N$37&gt;0,MOD($A276-'Recurring Schedule'!$F$37,'Recurring Schedule'!$N$37)=0,IF('Recurring Schedule'!$O$37&gt;0,AND(DAY($A276)=MIN(DAY('Recurring Schedule'!$F$37),DAY(EOMONTH($A276,0))),MOD((YEAR($A276)-YEAR('Recurring Schedule'!$F$37))*12+MONTH($A276)-MONTH('Recurring Schedule'!$F$37),'Recurring Schedule'!$O$37)=0),IF('Recurring Schedule'!$E$37="Weekdays",WEEKDAY($A276,2)&lt;=5,$A276='Recurring Schedule'!$F$37))),32,""))))</f>
        <v/>
      </c>
      <c r="AH276">
        <f>IF('Recurring Schedule'!$C$38="","",IF('Recurring Schedule'!$F$38="","",IF(OR($A276&lt;'Recurring Schedule'!$F$38,$A276&gt;'Recurring Schedule'!$P$38),"",IF(IF('Recurring Schedule'!$N$38&gt;0,MOD($A276-'Recurring Schedule'!$F$38,'Recurring Schedule'!$N$38)=0,IF('Recurring Schedule'!$O$38&gt;0,AND(DAY($A276)=MIN(DAY('Recurring Schedule'!$F$38),DAY(EOMONTH($A276,0))),MOD((YEAR($A276)-YEAR('Recurring Schedule'!$F$38))*12+MONTH($A276)-MONTH('Recurring Schedule'!$F$38),'Recurring Schedule'!$O$38)=0),IF('Recurring Schedule'!$E$38="Weekdays",WEEKDAY($A276,2)&lt;=5,$A276='Recurring Schedule'!$F$38))),33,""))))</f>
        <v/>
      </c>
      <c r="AI276">
        <f>IF('Recurring Schedule'!$C$39="","",IF('Recurring Schedule'!$F$39="","",IF(OR($A276&lt;'Recurring Schedule'!$F$39,$A276&gt;'Recurring Schedule'!$P$39),"",IF(IF('Recurring Schedule'!$N$39&gt;0,MOD($A276-'Recurring Schedule'!$F$39,'Recurring Schedule'!$N$39)=0,IF('Recurring Schedule'!$O$39&gt;0,AND(DAY($A276)=MIN(DAY('Recurring Schedule'!$F$39),DAY(EOMONTH($A276,0))),MOD((YEAR($A276)-YEAR('Recurring Schedule'!$F$39))*12+MONTH($A276)-MONTH('Recurring Schedule'!$F$39),'Recurring Schedule'!$O$39)=0),IF('Recurring Schedule'!$E$39="Weekdays",WEEKDAY($A276,2)&lt;=5,$A276='Recurring Schedule'!$F$39))),34,""))))</f>
        <v/>
      </c>
      <c r="AJ276">
        <f>IF('Recurring Schedule'!$C$40="","",IF('Recurring Schedule'!$F$40="","",IF(OR($A276&lt;'Recurring Schedule'!$F$40,$A276&gt;'Recurring Schedule'!$P$40),"",IF(IF('Recurring Schedule'!$N$40&gt;0,MOD($A276-'Recurring Schedule'!$F$40,'Recurring Schedule'!$N$40)=0,IF('Recurring Schedule'!$O$40&gt;0,AND(DAY($A276)=MIN(DAY('Recurring Schedule'!$F$40),DAY(EOMONTH($A276,0))),MOD((YEAR($A276)-YEAR('Recurring Schedule'!$F$40))*12+MONTH($A276)-MONTH('Recurring Schedule'!$F$40),'Recurring Schedule'!$O$40)=0),IF('Recurring Schedule'!$E$40="Weekdays",WEEKDAY($A276,2)&lt;=5,$A276='Recurring Schedule'!$F$40))),35,""))))</f>
        <v/>
      </c>
      <c r="AK276">
        <f>IF('Recurring Schedule'!$C$41="","",IF('Recurring Schedule'!$F$41="","",IF(OR($A276&lt;'Recurring Schedule'!$F$41,$A276&gt;'Recurring Schedule'!$P$41),"",IF(IF('Recurring Schedule'!$N$41&gt;0,MOD($A276-'Recurring Schedule'!$F$41,'Recurring Schedule'!$N$41)=0,IF('Recurring Schedule'!$O$41&gt;0,AND(DAY($A276)=MIN(DAY('Recurring Schedule'!$F$41),DAY(EOMONTH($A276,0))),MOD((YEAR($A276)-YEAR('Recurring Schedule'!$F$41))*12+MONTH($A276)-MONTH('Recurring Schedule'!$F$41),'Recurring Schedule'!$O$41)=0),IF('Recurring Schedule'!$E$41="Weekdays",WEEKDAY($A276,2)&lt;=5,$A276='Recurring Schedule'!$F$41))),36,""))))</f>
        <v/>
      </c>
      <c r="AL276">
        <f>IF('Recurring Schedule'!$C$42="","",IF('Recurring Schedule'!$F$42="","",IF(OR($A276&lt;'Recurring Schedule'!$F$42,$A276&gt;'Recurring Schedule'!$P$42),"",IF(IF('Recurring Schedule'!$N$42&gt;0,MOD($A276-'Recurring Schedule'!$F$42,'Recurring Schedule'!$N$42)=0,IF('Recurring Schedule'!$O$42&gt;0,AND(DAY($A276)=MIN(DAY('Recurring Schedule'!$F$42),DAY(EOMONTH($A276,0))),MOD((YEAR($A276)-YEAR('Recurring Schedule'!$F$42))*12+MONTH($A276)-MONTH('Recurring Schedule'!$F$42),'Recurring Schedule'!$O$42)=0),IF('Recurring Schedule'!$E$42="Weekdays",WEEKDAY($A276,2)&lt;=5,$A276='Recurring Schedule'!$F$42))),37,""))))</f>
        <v/>
      </c>
      <c r="AM276">
        <f>IF('Recurring Schedule'!$C$43="","",IF('Recurring Schedule'!$F$43="","",IF(OR($A276&lt;'Recurring Schedule'!$F$43,$A276&gt;'Recurring Schedule'!$P$43),"",IF(IF('Recurring Schedule'!$N$43&gt;0,MOD($A276-'Recurring Schedule'!$F$43,'Recurring Schedule'!$N$43)=0,IF('Recurring Schedule'!$O$43&gt;0,AND(DAY($A276)=MIN(DAY('Recurring Schedule'!$F$43),DAY(EOMONTH($A276,0))),MOD((YEAR($A276)-YEAR('Recurring Schedule'!$F$43))*12+MONTH($A276)-MONTH('Recurring Schedule'!$F$43),'Recurring Schedule'!$O$43)=0),IF('Recurring Schedule'!$E$43="Weekdays",WEEKDAY($A276,2)&lt;=5,$A276='Recurring Schedule'!$F$43))),38,""))))</f>
        <v/>
      </c>
      <c r="AN276">
        <f>IF('Recurring Schedule'!$C$44="","",IF('Recurring Schedule'!$F$44="","",IF(OR($A276&lt;'Recurring Schedule'!$F$44,$A276&gt;'Recurring Schedule'!$P$44),"",IF(IF('Recurring Schedule'!$N$44&gt;0,MOD($A276-'Recurring Schedule'!$F$44,'Recurring Schedule'!$N$44)=0,IF('Recurring Schedule'!$O$44&gt;0,AND(DAY($A276)=MIN(DAY('Recurring Schedule'!$F$44),DAY(EOMONTH($A276,0))),MOD((YEAR($A276)-YEAR('Recurring Schedule'!$F$44))*12+MONTH($A276)-MONTH('Recurring Schedule'!$F$44),'Recurring Schedule'!$O$44)=0),IF('Recurring Schedule'!$E$44="Weekdays",WEEKDAY($A276,2)&lt;=5,$A276='Recurring Schedule'!$F$44))),39,""))))</f>
        <v/>
      </c>
      <c r="AO276">
        <f>IF('Recurring Schedule'!$C$45="","",IF('Recurring Schedule'!$F$45="","",IF(OR($A276&lt;'Recurring Schedule'!$F$45,$A276&gt;'Recurring Schedule'!$P$45),"",IF(IF('Recurring Schedule'!$N$45&gt;0,MOD($A276-'Recurring Schedule'!$F$45,'Recurring Schedule'!$N$45)=0,IF('Recurring Schedule'!$O$45&gt;0,AND(DAY($A276)=MIN(DAY('Recurring Schedule'!$F$45),DAY(EOMONTH($A276,0))),MOD((YEAR($A276)-YEAR('Recurring Schedule'!$F$45))*12+MONTH($A276)-MONTH('Recurring Schedule'!$F$45),'Recurring Schedule'!$O$45)=0),IF('Recurring Schedule'!$E$45="Weekdays",WEEKDAY($A276,2)&lt;=5,$A276='Recurring Schedule'!$F$45))),40,""))))</f>
        <v/>
      </c>
      <c r="AP276">
        <f>COUNT(B276:AO276)</f>
        <v/>
      </c>
      <c r="AQ276">
        <f>AQ275+AP275</f>
        <v/>
      </c>
      <c r="AS276" t="inlineStr">
        <is>
          <t>R</t>
        </is>
      </c>
      <c r="AT276" t="n">
        <v>280</v>
      </c>
      <c r="AU276">
        <f>'Recurring Log'!C280&amp;""</f>
        <v/>
      </c>
      <c r="AV276">
        <f>'Recurring Log'!D280&amp;""</f>
        <v/>
      </c>
      <c r="AW276">
        <f>IF('Recurring Log'!E280="","",'Recurring Log'!E280)</f>
        <v/>
      </c>
      <c r="AX276">
        <f>IF('Recurring Log'!G280="","",'Recurring Log'!G280)</f>
        <v/>
      </c>
      <c r="AY276">
        <f>IF('Recurring Log'!H280="","",'Recurring Log'!H280)</f>
        <v/>
      </c>
      <c r="AZ276">
        <f>IF(AU276="","",IF('Recurring Log'!J280="","Not Started",'Recurring Log'!J280))</f>
        <v/>
      </c>
      <c r="BA276">
        <f>'Recurring Log'!L280&amp;""</f>
        <v/>
      </c>
      <c r="BB276">
        <f>'Recurring Log'!M280&amp;""</f>
        <v/>
      </c>
      <c r="BC276">
        <f>'Recurring Log'!N280&amp;""</f>
        <v/>
      </c>
      <c r="BD276">
        <f>'Recurring Log'!O280&amp;""</f>
        <v/>
      </c>
      <c r="BE276">
        <f>IF('Recurring Log'!K280="","",'Recurring Log'!K280)</f>
        <v/>
      </c>
      <c r="BF276">
        <f>IFERROR(MATCH(BA276,Setup!$L$6:$L$9,0),5)</f>
        <v/>
      </c>
      <c r="BG276">
        <f>IF(OR(AZ276="Done",AZ276="Cancelled"),1,0)</f>
        <v/>
      </c>
      <c r="BH276">
        <f>IF(AND(AU276&lt;&gt;"",ISNUMBER(AW276)),1,0)</f>
        <v/>
      </c>
      <c r="BI276">
        <f>IF(BH276=0,0,IF(AND(AW276&gt;='Tasks Filter'!$F$3,AW276&lt;='Tasks Filter'!$F$4,OR('Tasks Filter'!$I$3="",ISNUMBER(SEARCH('Tasks Filter'!$I$3,AU276))),OR('Tasks Filter'!$I$4="",BF276=IFERROR(MATCH('Tasks Filter'!$I$4,Setup!$L$6:$L$9,0),0)),OR('Tasks Filter'!$I$5="Both",AND('Tasks Filter'!$I$5="Yes",BB276="✓"),AND('Tasks Filter'!$I$5="No",BB276&lt;&gt;"✓")),OR('Tasks Filter'!$L$3="",AV276='Tasks Filter'!$L$3),OR('Tasks Filter'!$L$4="",AZ276='Tasks Filter'!$L$4),OR('Tasks Filter'!$L$5="",BC276='Tasks Filter'!$L$5),OR('Tasks Filter'!$O$3="",BD276='Tasks Filter'!$O$3),OR('Tasks Filter'!$O$4="Yes",BG276=0)),1,0))</f>
        <v/>
      </c>
      <c r="BJ276">
        <f>IF(BH276=0,"",IF('Tasks Filter'!$F$6="Descending",-1,1)*CHOOSE(MATCH('Tasks Filter'!$F$5,Lists!$G$2:$G$6,0),AW276,BF276,IFERROR(MATCH(AV276,Setup!$F$6:$F$15,0),99),IFERROR(MATCH(BC276,Setup!$H$6:$H$15,0),99),IFERROR(MATCH(AZ276,Setup!$J$6:$J$11,0),99))*1E+9+(AW276-40000)*10000+275)</f>
        <v/>
      </c>
      <c r="BK276">
        <f>IF(BI276=1,BJ276,"")</f>
        <v/>
      </c>
      <c r="BL276">
        <f>IF(AND(BH276=1,BG276=0,N(AW276)&lt;Setup!$D$7),(AW276-40000)*10000+275,"")</f>
        <v/>
      </c>
      <c r="BM276">
        <f>IF(AND(BH276=1,AZ276&lt;&gt;"Cancelled",N(AW276)&gt;=Dashboard!$AB$3,N(AW276)&lt;=Dashboard!$AB$3+6),(AW276-40000)*100000+BF276*10000+275,"")</f>
        <v/>
      </c>
      <c r="BN276">
        <f>IF(AND(BH276=1,AZ276&lt;&gt;"Cancelled"),BF276*10000+275,"")</f>
        <v/>
      </c>
    </row>
    <row r="277">
      <c r="A277">
        <f>Setup!$D$5+275</f>
        <v/>
      </c>
      <c r="B277">
        <f>IF('Recurring Schedule'!$C$6="","",IF('Recurring Schedule'!$F$6="","",IF(OR($A277&lt;'Recurring Schedule'!$F$6,$A277&gt;'Recurring Schedule'!$P$6),"",IF(IF('Recurring Schedule'!$N$6&gt;0,MOD($A277-'Recurring Schedule'!$F$6,'Recurring Schedule'!$N$6)=0,IF('Recurring Schedule'!$O$6&gt;0,AND(DAY($A277)=MIN(DAY('Recurring Schedule'!$F$6),DAY(EOMONTH($A277,0))),MOD((YEAR($A277)-YEAR('Recurring Schedule'!$F$6))*12+MONTH($A277)-MONTH('Recurring Schedule'!$F$6),'Recurring Schedule'!$O$6)=0),IF('Recurring Schedule'!$E$6="Weekdays",WEEKDAY($A277,2)&lt;=5,$A277='Recurring Schedule'!$F$6))),1,""))))</f>
        <v/>
      </c>
      <c r="C277">
        <f>IF('Recurring Schedule'!$C$7="","",IF('Recurring Schedule'!$F$7="","",IF(OR($A277&lt;'Recurring Schedule'!$F$7,$A277&gt;'Recurring Schedule'!$P$7),"",IF(IF('Recurring Schedule'!$N$7&gt;0,MOD($A277-'Recurring Schedule'!$F$7,'Recurring Schedule'!$N$7)=0,IF('Recurring Schedule'!$O$7&gt;0,AND(DAY($A277)=MIN(DAY('Recurring Schedule'!$F$7),DAY(EOMONTH($A277,0))),MOD((YEAR($A277)-YEAR('Recurring Schedule'!$F$7))*12+MONTH($A277)-MONTH('Recurring Schedule'!$F$7),'Recurring Schedule'!$O$7)=0),IF('Recurring Schedule'!$E$7="Weekdays",WEEKDAY($A277,2)&lt;=5,$A277='Recurring Schedule'!$F$7))),2,""))))</f>
        <v/>
      </c>
      <c r="D277">
        <f>IF('Recurring Schedule'!$C$8="","",IF('Recurring Schedule'!$F$8="","",IF(OR($A277&lt;'Recurring Schedule'!$F$8,$A277&gt;'Recurring Schedule'!$P$8),"",IF(IF('Recurring Schedule'!$N$8&gt;0,MOD($A277-'Recurring Schedule'!$F$8,'Recurring Schedule'!$N$8)=0,IF('Recurring Schedule'!$O$8&gt;0,AND(DAY($A277)=MIN(DAY('Recurring Schedule'!$F$8),DAY(EOMONTH($A277,0))),MOD((YEAR($A277)-YEAR('Recurring Schedule'!$F$8))*12+MONTH($A277)-MONTH('Recurring Schedule'!$F$8),'Recurring Schedule'!$O$8)=0),IF('Recurring Schedule'!$E$8="Weekdays",WEEKDAY($A277,2)&lt;=5,$A277='Recurring Schedule'!$F$8))),3,""))))</f>
        <v/>
      </c>
      <c r="E277">
        <f>IF('Recurring Schedule'!$C$9="","",IF('Recurring Schedule'!$F$9="","",IF(OR($A277&lt;'Recurring Schedule'!$F$9,$A277&gt;'Recurring Schedule'!$P$9),"",IF(IF('Recurring Schedule'!$N$9&gt;0,MOD($A277-'Recurring Schedule'!$F$9,'Recurring Schedule'!$N$9)=0,IF('Recurring Schedule'!$O$9&gt;0,AND(DAY($A277)=MIN(DAY('Recurring Schedule'!$F$9),DAY(EOMONTH($A277,0))),MOD((YEAR($A277)-YEAR('Recurring Schedule'!$F$9))*12+MONTH($A277)-MONTH('Recurring Schedule'!$F$9),'Recurring Schedule'!$O$9)=0),IF('Recurring Schedule'!$E$9="Weekdays",WEEKDAY($A277,2)&lt;=5,$A277='Recurring Schedule'!$F$9))),4,""))))</f>
        <v/>
      </c>
      <c r="F277">
        <f>IF('Recurring Schedule'!$C$10="","",IF('Recurring Schedule'!$F$10="","",IF(OR($A277&lt;'Recurring Schedule'!$F$10,$A277&gt;'Recurring Schedule'!$P$10),"",IF(IF('Recurring Schedule'!$N$10&gt;0,MOD($A277-'Recurring Schedule'!$F$10,'Recurring Schedule'!$N$10)=0,IF('Recurring Schedule'!$O$10&gt;0,AND(DAY($A277)=MIN(DAY('Recurring Schedule'!$F$10),DAY(EOMONTH($A277,0))),MOD((YEAR($A277)-YEAR('Recurring Schedule'!$F$10))*12+MONTH($A277)-MONTH('Recurring Schedule'!$F$10),'Recurring Schedule'!$O$10)=0),IF('Recurring Schedule'!$E$10="Weekdays",WEEKDAY($A277,2)&lt;=5,$A277='Recurring Schedule'!$F$10))),5,""))))</f>
        <v/>
      </c>
      <c r="G277">
        <f>IF('Recurring Schedule'!$C$11="","",IF('Recurring Schedule'!$F$11="","",IF(OR($A277&lt;'Recurring Schedule'!$F$11,$A277&gt;'Recurring Schedule'!$P$11),"",IF(IF('Recurring Schedule'!$N$11&gt;0,MOD($A277-'Recurring Schedule'!$F$11,'Recurring Schedule'!$N$11)=0,IF('Recurring Schedule'!$O$11&gt;0,AND(DAY($A277)=MIN(DAY('Recurring Schedule'!$F$11),DAY(EOMONTH($A277,0))),MOD((YEAR($A277)-YEAR('Recurring Schedule'!$F$11))*12+MONTH($A277)-MONTH('Recurring Schedule'!$F$11),'Recurring Schedule'!$O$11)=0),IF('Recurring Schedule'!$E$11="Weekdays",WEEKDAY($A277,2)&lt;=5,$A277='Recurring Schedule'!$F$11))),6,""))))</f>
        <v/>
      </c>
      <c r="H277">
        <f>IF('Recurring Schedule'!$C$12="","",IF('Recurring Schedule'!$F$12="","",IF(OR($A277&lt;'Recurring Schedule'!$F$12,$A277&gt;'Recurring Schedule'!$P$12),"",IF(IF('Recurring Schedule'!$N$12&gt;0,MOD($A277-'Recurring Schedule'!$F$12,'Recurring Schedule'!$N$12)=0,IF('Recurring Schedule'!$O$12&gt;0,AND(DAY($A277)=MIN(DAY('Recurring Schedule'!$F$12),DAY(EOMONTH($A277,0))),MOD((YEAR($A277)-YEAR('Recurring Schedule'!$F$12))*12+MONTH($A277)-MONTH('Recurring Schedule'!$F$12),'Recurring Schedule'!$O$12)=0),IF('Recurring Schedule'!$E$12="Weekdays",WEEKDAY($A277,2)&lt;=5,$A277='Recurring Schedule'!$F$12))),7,""))))</f>
        <v/>
      </c>
      <c r="I277">
        <f>IF('Recurring Schedule'!$C$13="","",IF('Recurring Schedule'!$F$13="","",IF(OR($A277&lt;'Recurring Schedule'!$F$13,$A277&gt;'Recurring Schedule'!$P$13),"",IF(IF('Recurring Schedule'!$N$13&gt;0,MOD($A277-'Recurring Schedule'!$F$13,'Recurring Schedule'!$N$13)=0,IF('Recurring Schedule'!$O$13&gt;0,AND(DAY($A277)=MIN(DAY('Recurring Schedule'!$F$13),DAY(EOMONTH($A277,0))),MOD((YEAR($A277)-YEAR('Recurring Schedule'!$F$13))*12+MONTH($A277)-MONTH('Recurring Schedule'!$F$13),'Recurring Schedule'!$O$13)=0),IF('Recurring Schedule'!$E$13="Weekdays",WEEKDAY($A277,2)&lt;=5,$A277='Recurring Schedule'!$F$13))),8,""))))</f>
        <v/>
      </c>
      <c r="J277">
        <f>IF('Recurring Schedule'!$C$14="","",IF('Recurring Schedule'!$F$14="","",IF(OR($A277&lt;'Recurring Schedule'!$F$14,$A277&gt;'Recurring Schedule'!$P$14),"",IF(IF('Recurring Schedule'!$N$14&gt;0,MOD($A277-'Recurring Schedule'!$F$14,'Recurring Schedule'!$N$14)=0,IF('Recurring Schedule'!$O$14&gt;0,AND(DAY($A277)=MIN(DAY('Recurring Schedule'!$F$14),DAY(EOMONTH($A277,0))),MOD((YEAR($A277)-YEAR('Recurring Schedule'!$F$14))*12+MONTH($A277)-MONTH('Recurring Schedule'!$F$14),'Recurring Schedule'!$O$14)=0),IF('Recurring Schedule'!$E$14="Weekdays",WEEKDAY($A277,2)&lt;=5,$A277='Recurring Schedule'!$F$14))),9,""))))</f>
        <v/>
      </c>
      <c r="K277">
        <f>IF('Recurring Schedule'!$C$15="","",IF('Recurring Schedule'!$F$15="","",IF(OR($A277&lt;'Recurring Schedule'!$F$15,$A277&gt;'Recurring Schedule'!$P$15),"",IF(IF('Recurring Schedule'!$N$15&gt;0,MOD($A277-'Recurring Schedule'!$F$15,'Recurring Schedule'!$N$15)=0,IF('Recurring Schedule'!$O$15&gt;0,AND(DAY($A277)=MIN(DAY('Recurring Schedule'!$F$15),DAY(EOMONTH($A277,0))),MOD((YEAR($A277)-YEAR('Recurring Schedule'!$F$15))*12+MONTH($A277)-MONTH('Recurring Schedule'!$F$15),'Recurring Schedule'!$O$15)=0),IF('Recurring Schedule'!$E$15="Weekdays",WEEKDAY($A277,2)&lt;=5,$A277='Recurring Schedule'!$F$15))),10,""))))</f>
        <v/>
      </c>
      <c r="L277">
        <f>IF('Recurring Schedule'!$C$16="","",IF('Recurring Schedule'!$F$16="","",IF(OR($A277&lt;'Recurring Schedule'!$F$16,$A277&gt;'Recurring Schedule'!$P$16),"",IF(IF('Recurring Schedule'!$N$16&gt;0,MOD($A277-'Recurring Schedule'!$F$16,'Recurring Schedule'!$N$16)=0,IF('Recurring Schedule'!$O$16&gt;0,AND(DAY($A277)=MIN(DAY('Recurring Schedule'!$F$16),DAY(EOMONTH($A277,0))),MOD((YEAR($A277)-YEAR('Recurring Schedule'!$F$16))*12+MONTH($A277)-MONTH('Recurring Schedule'!$F$16),'Recurring Schedule'!$O$16)=0),IF('Recurring Schedule'!$E$16="Weekdays",WEEKDAY($A277,2)&lt;=5,$A277='Recurring Schedule'!$F$16))),11,""))))</f>
        <v/>
      </c>
      <c r="M277">
        <f>IF('Recurring Schedule'!$C$17="","",IF('Recurring Schedule'!$F$17="","",IF(OR($A277&lt;'Recurring Schedule'!$F$17,$A277&gt;'Recurring Schedule'!$P$17),"",IF(IF('Recurring Schedule'!$N$17&gt;0,MOD($A277-'Recurring Schedule'!$F$17,'Recurring Schedule'!$N$17)=0,IF('Recurring Schedule'!$O$17&gt;0,AND(DAY($A277)=MIN(DAY('Recurring Schedule'!$F$17),DAY(EOMONTH($A277,0))),MOD((YEAR($A277)-YEAR('Recurring Schedule'!$F$17))*12+MONTH($A277)-MONTH('Recurring Schedule'!$F$17),'Recurring Schedule'!$O$17)=0),IF('Recurring Schedule'!$E$17="Weekdays",WEEKDAY($A277,2)&lt;=5,$A277='Recurring Schedule'!$F$17))),12,""))))</f>
        <v/>
      </c>
      <c r="N277">
        <f>IF('Recurring Schedule'!$C$18="","",IF('Recurring Schedule'!$F$18="","",IF(OR($A277&lt;'Recurring Schedule'!$F$18,$A277&gt;'Recurring Schedule'!$P$18),"",IF(IF('Recurring Schedule'!$N$18&gt;0,MOD($A277-'Recurring Schedule'!$F$18,'Recurring Schedule'!$N$18)=0,IF('Recurring Schedule'!$O$18&gt;0,AND(DAY($A277)=MIN(DAY('Recurring Schedule'!$F$18),DAY(EOMONTH($A277,0))),MOD((YEAR($A277)-YEAR('Recurring Schedule'!$F$18))*12+MONTH($A277)-MONTH('Recurring Schedule'!$F$18),'Recurring Schedule'!$O$18)=0),IF('Recurring Schedule'!$E$18="Weekdays",WEEKDAY($A277,2)&lt;=5,$A277='Recurring Schedule'!$F$18))),13,""))))</f>
        <v/>
      </c>
      <c r="O277">
        <f>IF('Recurring Schedule'!$C$19="","",IF('Recurring Schedule'!$F$19="","",IF(OR($A277&lt;'Recurring Schedule'!$F$19,$A277&gt;'Recurring Schedule'!$P$19),"",IF(IF('Recurring Schedule'!$N$19&gt;0,MOD($A277-'Recurring Schedule'!$F$19,'Recurring Schedule'!$N$19)=0,IF('Recurring Schedule'!$O$19&gt;0,AND(DAY($A277)=MIN(DAY('Recurring Schedule'!$F$19),DAY(EOMONTH($A277,0))),MOD((YEAR($A277)-YEAR('Recurring Schedule'!$F$19))*12+MONTH($A277)-MONTH('Recurring Schedule'!$F$19),'Recurring Schedule'!$O$19)=0),IF('Recurring Schedule'!$E$19="Weekdays",WEEKDAY($A277,2)&lt;=5,$A277='Recurring Schedule'!$F$19))),14,""))))</f>
        <v/>
      </c>
      <c r="P277">
        <f>IF('Recurring Schedule'!$C$20="","",IF('Recurring Schedule'!$F$20="","",IF(OR($A277&lt;'Recurring Schedule'!$F$20,$A277&gt;'Recurring Schedule'!$P$20),"",IF(IF('Recurring Schedule'!$N$20&gt;0,MOD($A277-'Recurring Schedule'!$F$20,'Recurring Schedule'!$N$20)=0,IF('Recurring Schedule'!$O$20&gt;0,AND(DAY($A277)=MIN(DAY('Recurring Schedule'!$F$20),DAY(EOMONTH($A277,0))),MOD((YEAR($A277)-YEAR('Recurring Schedule'!$F$20))*12+MONTH($A277)-MONTH('Recurring Schedule'!$F$20),'Recurring Schedule'!$O$20)=0),IF('Recurring Schedule'!$E$20="Weekdays",WEEKDAY($A277,2)&lt;=5,$A277='Recurring Schedule'!$F$20))),15,""))))</f>
        <v/>
      </c>
      <c r="Q277">
        <f>IF('Recurring Schedule'!$C$21="","",IF('Recurring Schedule'!$F$21="","",IF(OR($A277&lt;'Recurring Schedule'!$F$21,$A277&gt;'Recurring Schedule'!$P$21),"",IF(IF('Recurring Schedule'!$N$21&gt;0,MOD($A277-'Recurring Schedule'!$F$21,'Recurring Schedule'!$N$21)=0,IF('Recurring Schedule'!$O$21&gt;0,AND(DAY($A277)=MIN(DAY('Recurring Schedule'!$F$21),DAY(EOMONTH($A277,0))),MOD((YEAR($A277)-YEAR('Recurring Schedule'!$F$21))*12+MONTH($A277)-MONTH('Recurring Schedule'!$F$21),'Recurring Schedule'!$O$21)=0),IF('Recurring Schedule'!$E$21="Weekdays",WEEKDAY($A277,2)&lt;=5,$A277='Recurring Schedule'!$F$21))),16,""))))</f>
        <v/>
      </c>
      <c r="R277">
        <f>IF('Recurring Schedule'!$C$22="","",IF('Recurring Schedule'!$F$22="","",IF(OR($A277&lt;'Recurring Schedule'!$F$22,$A277&gt;'Recurring Schedule'!$P$22),"",IF(IF('Recurring Schedule'!$N$22&gt;0,MOD($A277-'Recurring Schedule'!$F$22,'Recurring Schedule'!$N$22)=0,IF('Recurring Schedule'!$O$22&gt;0,AND(DAY($A277)=MIN(DAY('Recurring Schedule'!$F$22),DAY(EOMONTH($A277,0))),MOD((YEAR($A277)-YEAR('Recurring Schedule'!$F$22))*12+MONTH($A277)-MONTH('Recurring Schedule'!$F$22),'Recurring Schedule'!$O$22)=0),IF('Recurring Schedule'!$E$22="Weekdays",WEEKDAY($A277,2)&lt;=5,$A277='Recurring Schedule'!$F$22))),17,""))))</f>
        <v/>
      </c>
      <c r="S277">
        <f>IF('Recurring Schedule'!$C$23="","",IF('Recurring Schedule'!$F$23="","",IF(OR($A277&lt;'Recurring Schedule'!$F$23,$A277&gt;'Recurring Schedule'!$P$23),"",IF(IF('Recurring Schedule'!$N$23&gt;0,MOD($A277-'Recurring Schedule'!$F$23,'Recurring Schedule'!$N$23)=0,IF('Recurring Schedule'!$O$23&gt;0,AND(DAY($A277)=MIN(DAY('Recurring Schedule'!$F$23),DAY(EOMONTH($A277,0))),MOD((YEAR($A277)-YEAR('Recurring Schedule'!$F$23))*12+MONTH($A277)-MONTH('Recurring Schedule'!$F$23),'Recurring Schedule'!$O$23)=0),IF('Recurring Schedule'!$E$23="Weekdays",WEEKDAY($A277,2)&lt;=5,$A277='Recurring Schedule'!$F$23))),18,""))))</f>
        <v/>
      </c>
      <c r="T277">
        <f>IF('Recurring Schedule'!$C$24="","",IF('Recurring Schedule'!$F$24="","",IF(OR($A277&lt;'Recurring Schedule'!$F$24,$A277&gt;'Recurring Schedule'!$P$24),"",IF(IF('Recurring Schedule'!$N$24&gt;0,MOD($A277-'Recurring Schedule'!$F$24,'Recurring Schedule'!$N$24)=0,IF('Recurring Schedule'!$O$24&gt;0,AND(DAY($A277)=MIN(DAY('Recurring Schedule'!$F$24),DAY(EOMONTH($A277,0))),MOD((YEAR($A277)-YEAR('Recurring Schedule'!$F$24))*12+MONTH($A277)-MONTH('Recurring Schedule'!$F$24),'Recurring Schedule'!$O$24)=0),IF('Recurring Schedule'!$E$24="Weekdays",WEEKDAY($A277,2)&lt;=5,$A277='Recurring Schedule'!$F$24))),19,""))))</f>
        <v/>
      </c>
      <c r="U277">
        <f>IF('Recurring Schedule'!$C$25="","",IF('Recurring Schedule'!$F$25="","",IF(OR($A277&lt;'Recurring Schedule'!$F$25,$A277&gt;'Recurring Schedule'!$P$25),"",IF(IF('Recurring Schedule'!$N$25&gt;0,MOD($A277-'Recurring Schedule'!$F$25,'Recurring Schedule'!$N$25)=0,IF('Recurring Schedule'!$O$25&gt;0,AND(DAY($A277)=MIN(DAY('Recurring Schedule'!$F$25),DAY(EOMONTH($A277,0))),MOD((YEAR($A277)-YEAR('Recurring Schedule'!$F$25))*12+MONTH($A277)-MONTH('Recurring Schedule'!$F$25),'Recurring Schedule'!$O$25)=0),IF('Recurring Schedule'!$E$25="Weekdays",WEEKDAY($A277,2)&lt;=5,$A277='Recurring Schedule'!$F$25))),20,""))))</f>
        <v/>
      </c>
      <c r="V277">
        <f>IF('Recurring Schedule'!$C$26="","",IF('Recurring Schedule'!$F$26="","",IF(OR($A277&lt;'Recurring Schedule'!$F$26,$A277&gt;'Recurring Schedule'!$P$26),"",IF(IF('Recurring Schedule'!$N$26&gt;0,MOD($A277-'Recurring Schedule'!$F$26,'Recurring Schedule'!$N$26)=0,IF('Recurring Schedule'!$O$26&gt;0,AND(DAY($A277)=MIN(DAY('Recurring Schedule'!$F$26),DAY(EOMONTH($A277,0))),MOD((YEAR($A277)-YEAR('Recurring Schedule'!$F$26))*12+MONTH($A277)-MONTH('Recurring Schedule'!$F$26),'Recurring Schedule'!$O$26)=0),IF('Recurring Schedule'!$E$26="Weekdays",WEEKDAY($A277,2)&lt;=5,$A277='Recurring Schedule'!$F$26))),21,""))))</f>
        <v/>
      </c>
      <c r="W277">
        <f>IF('Recurring Schedule'!$C$27="","",IF('Recurring Schedule'!$F$27="","",IF(OR($A277&lt;'Recurring Schedule'!$F$27,$A277&gt;'Recurring Schedule'!$P$27),"",IF(IF('Recurring Schedule'!$N$27&gt;0,MOD($A277-'Recurring Schedule'!$F$27,'Recurring Schedule'!$N$27)=0,IF('Recurring Schedule'!$O$27&gt;0,AND(DAY($A277)=MIN(DAY('Recurring Schedule'!$F$27),DAY(EOMONTH($A277,0))),MOD((YEAR($A277)-YEAR('Recurring Schedule'!$F$27))*12+MONTH($A277)-MONTH('Recurring Schedule'!$F$27),'Recurring Schedule'!$O$27)=0),IF('Recurring Schedule'!$E$27="Weekdays",WEEKDAY($A277,2)&lt;=5,$A277='Recurring Schedule'!$F$27))),22,""))))</f>
        <v/>
      </c>
      <c r="X277">
        <f>IF('Recurring Schedule'!$C$28="","",IF('Recurring Schedule'!$F$28="","",IF(OR($A277&lt;'Recurring Schedule'!$F$28,$A277&gt;'Recurring Schedule'!$P$28),"",IF(IF('Recurring Schedule'!$N$28&gt;0,MOD($A277-'Recurring Schedule'!$F$28,'Recurring Schedule'!$N$28)=0,IF('Recurring Schedule'!$O$28&gt;0,AND(DAY($A277)=MIN(DAY('Recurring Schedule'!$F$28),DAY(EOMONTH($A277,0))),MOD((YEAR($A277)-YEAR('Recurring Schedule'!$F$28))*12+MONTH($A277)-MONTH('Recurring Schedule'!$F$28),'Recurring Schedule'!$O$28)=0),IF('Recurring Schedule'!$E$28="Weekdays",WEEKDAY($A277,2)&lt;=5,$A277='Recurring Schedule'!$F$28))),23,""))))</f>
        <v/>
      </c>
      <c r="Y277">
        <f>IF('Recurring Schedule'!$C$29="","",IF('Recurring Schedule'!$F$29="","",IF(OR($A277&lt;'Recurring Schedule'!$F$29,$A277&gt;'Recurring Schedule'!$P$29),"",IF(IF('Recurring Schedule'!$N$29&gt;0,MOD($A277-'Recurring Schedule'!$F$29,'Recurring Schedule'!$N$29)=0,IF('Recurring Schedule'!$O$29&gt;0,AND(DAY($A277)=MIN(DAY('Recurring Schedule'!$F$29),DAY(EOMONTH($A277,0))),MOD((YEAR($A277)-YEAR('Recurring Schedule'!$F$29))*12+MONTH($A277)-MONTH('Recurring Schedule'!$F$29),'Recurring Schedule'!$O$29)=0),IF('Recurring Schedule'!$E$29="Weekdays",WEEKDAY($A277,2)&lt;=5,$A277='Recurring Schedule'!$F$29))),24,""))))</f>
        <v/>
      </c>
      <c r="Z277">
        <f>IF('Recurring Schedule'!$C$30="","",IF('Recurring Schedule'!$F$30="","",IF(OR($A277&lt;'Recurring Schedule'!$F$30,$A277&gt;'Recurring Schedule'!$P$30),"",IF(IF('Recurring Schedule'!$N$30&gt;0,MOD($A277-'Recurring Schedule'!$F$30,'Recurring Schedule'!$N$30)=0,IF('Recurring Schedule'!$O$30&gt;0,AND(DAY($A277)=MIN(DAY('Recurring Schedule'!$F$30),DAY(EOMONTH($A277,0))),MOD((YEAR($A277)-YEAR('Recurring Schedule'!$F$30))*12+MONTH($A277)-MONTH('Recurring Schedule'!$F$30),'Recurring Schedule'!$O$30)=0),IF('Recurring Schedule'!$E$30="Weekdays",WEEKDAY($A277,2)&lt;=5,$A277='Recurring Schedule'!$F$30))),25,""))))</f>
        <v/>
      </c>
      <c r="AA277">
        <f>IF('Recurring Schedule'!$C$31="","",IF('Recurring Schedule'!$F$31="","",IF(OR($A277&lt;'Recurring Schedule'!$F$31,$A277&gt;'Recurring Schedule'!$P$31),"",IF(IF('Recurring Schedule'!$N$31&gt;0,MOD($A277-'Recurring Schedule'!$F$31,'Recurring Schedule'!$N$31)=0,IF('Recurring Schedule'!$O$31&gt;0,AND(DAY($A277)=MIN(DAY('Recurring Schedule'!$F$31),DAY(EOMONTH($A277,0))),MOD((YEAR($A277)-YEAR('Recurring Schedule'!$F$31))*12+MONTH($A277)-MONTH('Recurring Schedule'!$F$31),'Recurring Schedule'!$O$31)=0),IF('Recurring Schedule'!$E$31="Weekdays",WEEKDAY($A277,2)&lt;=5,$A277='Recurring Schedule'!$F$31))),26,""))))</f>
        <v/>
      </c>
      <c r="AB277">
        <f>IF('Recurring Schedule'!$C$32="","",IF('Recurring Schedule'!$F$32="","",IF(OR($A277&lt;'Recurring Schedule'!$F$32,$A277&gt;'Recurring Schedule'!$P$32),"",IF(IF('Recurring Schedule'!$N$32&gt;0,MOD($A277-'Recurring Schedule'!$F$32,'Recurring Schedule'!$N$32)=0,IF('Recurring Schedule'!$O$32&gt;0,AND(DAY($A277)=MIN(DAY('Recurring Schedule'!$F$32),DAY(EOMONTH($A277,0))),MOD((YEAR($A277)-YEAR('Recurring Schedule'!$F$32))*12+MONTH($A277)-MONTH('Recurring Schedule'!$F$32),'Recurring Schedule'!$O$32)=0),IF('Recurring Schedule'!$E$32="Weekdays",WEEKDAY($A277,2)&lt;=5,$A277='Recurring Schedule'!$F$32))),27,""))))</f>
        <v/>
      </c>
      <c r="AC277">
        <f>IF('Recurring Schedule'!$C$33="","",IF('Recurring Schedule'!$F$33="","",IF(OR($A277&lt;'Recurring Schedule'!$F$33,$A277&gt;'Recurring Schedule'!$P$33),"",IF(IF('Recurring Schedule'!$N$33&gt;0,MOD($A277-'Recurring Schedule'!$F$33,'Recurring Schedule'!$N$33)=0,IF('Recurring Schedule'!$O$33&gt;0,AND(DAY($A277)=MIN(DAY('Recurring Schedule'!$F$33),DAY(EOMONTH($A277,0))),MOD((YEAR($A277)-YEAR('Recurring Schedule'!$F$33))*12+MONTH($A277)-MONTH('Recurring Schedule'!$F$33),'Recurring Schedule'!$O$33)=0),IF('Recurring Schedule'!$E$33="Weekdays",WEEKDAY($A277,2)&lt;=5,$A277='Recurring Schedule'!$F$33))),28,""))))</f>
        <v/>
      </c>
      <c r="AD277">
        <f>IF('Recurring Schedule'!$C$34="","",IF('Recurring Schedule'!$F$34="","",IF(OR($A277&lt;'Recurring Schedule'!$F$34,$A277&gt;'Recurring Schedule'!$P$34),"",IF(IF('Recurring Schedule'!$N$34&gt;0,MOD($A277-'Recurring Schedule'!$F$34,'Recurring Schedule'!$N$34)=0,IF('Recurring Schedule'!$O$34&gt;0,AND(DAY($A277)=MIN(DAY('Recurring Schedule'!$F$34),DAY(EOMONTH($A277,0))),MOD((YEAR($A277)-YEAR('Recurring Schedule'!$F$34))*12+MONTH($A277)-MONTH('Recurring Schedule'!$F$34),'Recurring Schedule'!$O$34)=0),IF('Recurring Schedule'!$E$34="Weekdays",WEEKDAY($A277,2)&lt;=5,$A277='Recurring Schedule'!$F$34))),29,""))))</f>
        <v/>
      </c>
      <c r="AE277">
        <f>IF('Recurring Schedule'!$C$35="","",IF('Recurring Schedule'!$F$35="","",IF(OR($A277&lt;'Recurring Schedule'!$F$35,$A277&gt;'Recurring Schedule'!$P$35),"",IF(IF('Recurring Schedule'!$N$35&gt;0,MOD($A277-'Recurring Schedule'!$F$35,'Recurring Schedule'!$N$35)=0,IF('Recurring Schedule'!$O$35&gt;0,AND(DAY($A277)=MIN(DAY('Recurring Schedule'!$F$35),DAY(EOMONTH($A277,0))),MOD((YEAR($A277)-YEAR('Recurring Schedule'!$F$35))*12+MONTH($A277)-MONTH('Recurring Schedule'!$F$35),'Recurring Schedule'!$O$35)=0),IF('Recurring Schedule'!$E$35="Weekdays",WEEKDAY($A277,2)&lt;=5,$A277='Recurring Schedule'!$F$35))),30,""))))</f>
        <v/>
      </c>
      <c r="AF277">
        <f>IF('Recurring Schedule'!$C$36="","",IF('Recurring Schedule'!$F$36="","",IF(OR($A277&lt;'Recurring Schedule'!$F$36,$A277&gt;'Recurring Schedule'!$P$36),"",IF(IF('Recurring Schedule'!$N$36&gt;0,MOD($A277-'Recurring Schedule'!$F$36,'Recurring Schedule'!$N$36)=0,IF('Recurring Schedule'!$O$36&gt;0,AND(DAY($A277)=MIN(DAY('Recurring Schedule'!$F$36),DAY(EOMONTH($A277,0))),MOD((YEAR($A277)-YEAR('Recurring Schedule'!$F$36))*12+MONTH($A277)-MONTH('Recurring Schedule'!$F$36),'Recurring Schedule'!$O$36)=0),IF('Recurring Schedule'!$E$36="Weekdays",WEEKDAY($A277,2)&lt;=5,$A277='Recurring Schedule'!$F$36))),31,""))))</f>
        <v/>
      </c>
      <c r="AG277">
        <f>IF('Recurring Schedule'!$C$37="","",IF('Recurring Schedule'!$F$37="","",IF(OR($A277&lt;'Recurring Schedule'!$F$37,$A277&gt;'Recurring Schedule'!$P$37),"",IF(IF('Recurring Schedule'!$N$37&gt;0,MOD($A277-'Recurring Schedule'!$F$37,'Recurring Schedule'!$N$37)=0,IF('Recurring Schedule'!$O$37&gt;0,AND(DAY($A277)=MIN(DAY('Recurring Schedule'!$F$37),DAY(EOMONTH($A277,0))),MOD((YEAR($A277)-YEAR('Recurring Schedule'!$F$37))*12+MONTH($A277)-MONTH('Recurring Schedule'!$F$37),'Recurring Schedule'!$O$37)=0),IF('Recurring Schedule'!$E$37="Weekdays",WEEKDAY($A277,2)&lt;=5,$A277='Recurring Schedule'!$F$37))),32,""))))</f>
        <v/>
      </c>
      <c r="AH277">
        <f>IF('Recurring Schedule'!$C$38="","",IF('Recurring Schedule'!$F$38="","",IF(OR($A277&lt;'Recurring Schedule'!$F$38,$A277&gt;'Recurring Schedule'!$P$38),"",IF(IF('Recurring Schedule'!$N$38&gt;0,MOD($A277-'Recurring Schedule'!$F$38,'Recurring Schedule'!$N$38)=0,IF('Recurring Schedule'!$O$38&gt;0,AND(DAY($A277)=MIN(DAY('Recurring Schedule'!$F$38),DAY(EOMONTH($A277,0))),MOD((YEAR($A277)-YEAR('Recurring Schedule'!$F$38))*12+MONTH($A277)-MONTH('Recurring Schedule'!$F$38),'Recurring Schedule'!$O$38)=0),IF('Recurring Schedule'!$E$38="Weekdays",WEEKDAY($A277,2)&lt;=5,$A277='Recurring Schedule'!$F$38))),33,""))))</f>
        <v/>
      </c>
      <c r="AI277">
        <f>IF('Recurring Schedule'!$C$39="","",IF('Recurring Schedule'!$F$39="","",IF(OR($A277&lt;'Recurring Schedule'!$F$39,$A277&gt;'Recurring Schedule'!$P$39),"",IF(IF('Recurring Schedule'!$N$39&gt;0,MOD($A277-'Recurring Schedule'!$F$39,'Recurring Schedule'!$N$39)=0,IF('Recurring Schedule'!$O$39&gt;0,AND(DAY($A277)=MIN(DAY('Recurring Schedule'!$F$39),DAY(EOMONTH($A277,0))),MOD((YEAR($A277)-YEAR('Recurring Schedule'!$F$39))*12+MONTH($A277)-MONTH('Recurring Schedule'!$F$39),'Recurring Schedule'!$O$39)=0),IF('Recurring Schedule'!$E$39="Weekdays",WEEKDAY($A277,2)&lt;=5,$A277='Recurring Schedule'!$F$39))),34,""))))</f>
        <v/>
      </c>
      <c r="AJ277">
        <f>IF('Recurring Schedule'!$C$40="","",IF('Recurring Schedule'!$F$40="","",IF(OR($A277&lt;'Recurring Schedule'!$F$40,$A277&gt;'Recurring Schedule'!$P$40),"",IF(IF('Recurring Schedule'!$N$40&gt;0,MOD($A277-'Recurring Schedule'!$F$40,'Recurring Schedule'!$N$40)=0,IF('Recurring Schedule'!$O$40&gt;0,AND(DAY($A277)=MIN(DAY('Recurring Schedule'!$F$40),DAY(EOMONTH($A277,0))),MOD((YEAR($A277)-YEAR('Recurring Schedule'!$F$40))*12+MONTH($A277)-MONTH('Recurring Schedule'!$F$40),'Recurring Schedule'!$O$40)=0),IF('Recurring Schedule'!$E$40="Weekdays",WEEKDAY($A277,2)&lt;=5,$A277='Recurring Schedule'!$F$40))),35,""))))</f>
        <v/>
      </c>
      <c r="AK277">
        <f>IF('Recurring Schedule'!$C$41="","",IF('Recurring Schedule'!$F$41="","",IF(OR($A277&lt;'Recurring Schedule'!$F$41,$A277&gt;'Recurring Schedule'!$P$41),"",IF(IF('Recurring Schedule'!$N$41&gt;0,MOD($A277-'Recurring Schedule'!$F$41,'Recurring Schedule'!$N$41)=0,IF('Recurring Schedule'!$O$41&gt;0,AND(DAY($A277)=MIN(DAY('Recurring Schedule'!$F$41),DAY(EOMONTH($A277,0))),MOD((YEAR($A277)-YEAR('Recurring Schedule'!$F$41))*12+MONTH($A277)-MONTH('Recurring Schedule'!$F$41),'Recurring Schedule'!$O$41)=0),IF('Recurring Schedule'!$E$41="Weekdays",WEEKDAY($A277,2)&lt;=5,$A277='Recurring Schedule'!$F$41))),36,""))))</f>
        <v/>
      </c>
      <c r="AL277">
        <f>IF('Recurring Schedule'!$C$42="","",IF('Recurring Schedule'!$F$42="","",IF(OR($A277&lt;'Recurring Schedule'!$F$42,$A277&gt;'Recurring Schedule'!$P$42),"",IF(IF('Recurring Schedule'!$N$42&gt;0,MOD($A277-'Recurring Schedule'!$F$42,'Recurring Schedule'!$N$42)=0,IF('Recurring Schedule'!$O$42&gt;0,AND(DAY($A277)=MIN(DAY('Recurring Schedule'!$F$42),DAY(EOMONTH($A277,0))),MOD((YEAR($A277)-YEAR('Recurring Schedule'!$F$42))*12+MONTH($A277)-MONTH('Recurring Schedule'!$F$42),'Recurring Schedule'!$O$42)=0),IF('Recurring Schedule'!$E$42="Weekdays",WEEKDAY($A277,2)&lt;=5,$A277='Recurring Schedule'!$F$42))),37,""))))</f>
        <v/>
      </c>
      <c r="AM277">
        <f>IF('Recurring Schedule'!$C$43="","",IF('Recurring Schedule'!$F$43="","",IF(OR($A277&lt;'Recurring Schedule'!$F$43,$A277&gt;'Recurring Schedule'!$P$43),"",IF(IF('Recurring Schedule'!$N$43&gt;0,MOD($A277-'Recurring Schedule'!$F$43,'Recurring Schedule'!$N$43)=0,IF('Recurring Schedule'!$O$43&gt;0,AND(DAY($A277)=MIN(DAY('Recurring Schedule'!$F$43),DAY(EOMONTH($A277,0))),MOD((YEAR($A277)-YEAR('Recurring Schedule'!$F$43))*12+MONTH($A277)-MONTH('Recurring Schedule'!$F$43),'Recurring Schedule'!$O$43)=0),IF('Recurring Schedule'!$E$43="Weekdays",WEEKDAY($A277,2)&lt;=5,$A277='Recurring Schedule'!$F$43))),38,""))))</f>
        <v/>
      </c>
      <c r="AN277">
        <f>IF('Recurring Schedule'!$C$44="","",IF('Recurring Schedule'!$F$44="","",IF(OR($A277&lt;'Recurring Schedule'!$F$44,$A277&gt;'Recurring Schedule'!$P$44),"",IF(IF('Recurring Schedule'!$N$44&gt;0,MOD($A277-'Recurring Schedule'!$F$44,'Recurring Schedule'!$N$44)=0,IF('Recurring Schedule'!$O$44&gt;0,AND(DAY($A277)=MIN(DAY('Recurring Schedule'!$F$44),DAY(EOMONTH($A277,0))),MOD((YEAR($A277)-YEAR('Recurring Schedule'!$F$44))*12+MONTH($A277)-MONTH('Recurring Schedule'!$F$44),'Recurring Schedule'!$O$44)=0),IF('Recurring Schedule'!$E$44="Weekdays",WEEKDAY($A277,2)&lt;=5,$A277='Recurring Schedule'!$F$44))),39,""))))</f>
        <v/>
      </c>
      <c r="AO277">
        <f>IF('Recurring Schedule'!$C$45="","",IF('Recurring Schedule'!$F$45="","",IF(OR($A277&lt;'Recurring Schedule'!$F$45,$A277&gt;'Recurring Schedule'!$P$45),"",IF(IF('Recurring Schedule'!$N$45&gt;0,MOD($A277-'Recurring Schedule'!$F$45,'Recurring Schedule'!$N$45)=0,IF('Recurring Schedule'!$O$45&gt;0,AND(DAY($A277)=MIN(DAY('Recurring Schedule'!$F$45),DAY(EOMONTH($A277,0))),MOD((YEAR($A277)-YEAR('Recurring Schedule'!$F$45))*12+MONTH($A277)-MONTH('Recurring Schedule'!$F$45),'Recurring Schedule'!$O$45)=0),IF('Recurring Schedule'!$E$45="Weekdays",WEEKDAY($A277,2)&lt;=5,$A277='Recurring Schedule'!$F$45))),40,""))))</f>
        <v/>
      </c>
      <c r="AP277">
        <f>COUNT(B277:AO277)</f>
        <v/>
      </c>
      <c r="AQ277">
        <f>AQ276+AP276</f>
        <v/>
      </c>
      <c r="AS277" t="inlineStr">
        <is>
          <t>R</t>
        </is>
      </c>
      <c r="AT277" t="n">
        <v>281</v>
      </c>
      <c r="AU277">
        <f>'Recurring Log'!C281&amp;""</f>
        <v/>
      </c>
      <c r="AV277">
        <f>'Recurring Log'!D281&amp;""</f>
        <v/>
      </c>
      <c r="AW277">
        <f>IF('Recurring Log'!E281="","",'Recurring Log'!E281)</f>
        <v/>
      </c>
      <c r="AX277">
        <f>IF('Recurring Log'!G281="","",'Recurring Log'!G281)</f>
        <v/>
      </c>
      <c r="AY277">
        <f>IF('Recurring Log'!H281="","",'Recurring Log'!H281)</f>
        <v/>
      </c>
      <c r="AZ277">
        <f>IF(AU277="","",IF('Recurring Log'!J281="","Not Started",'Recurring Log'!J281))</f>
        <v/>
      </c>
      <c r="BA277">
        <f>'Recurring Log'!L281&amp;""</f>
        <v/>
      </c>
      <c r="BB277">
        <f>'Recurring Log'!M281&amp;""</f>
        <v/>
      </c>
      <c r="BC277">
        <f>'Recurring Log'!N281&amp;""</f>
        <v/>
      </c>
      <c r="BD277">
        <f>'Recurring Log'!O281&amp;""</f>
        <v/>
      </c>
      <c r="BE277">
        <f>IF('Recurring Log'!K281="","",'Recurring Log'!K281)</f>
        <v/>
      </c>
      <c r="BF277">
        <f>IFERROR(MATCH(BA277,Setup!$L$6:$L$9,0),5)</f>
        <v/>
      </c>
      <c r="BG277">
        <f>IF(OR(AZ277="Done",AZ277="Cancelled"),1,0)</f>
        <v/>
      </c>
      <c r="BH277">
        <f>IF(AND(AU277&lt;&gt;"",ISNUMBER(AW277)),1,0)</f>
        <v/>
      </c>
      <c r="BI277">
        <f>IF(BH277=0,0,IF(AND(AW277&gt;='Tasks Filter'!$F$3,AW277&lt;='Tasks Filter'!$F$4,OR('Tasks Filter'!$I$3="",ISNUMBER(SEARCH('Tasks Filter'!$I$3,AU277))),OR('Tasks Filter'!$I$4="",BF277=IFERROR(MATCH('Tasks Filter'!$I$4,Setup!$L$6:$L$9,0),0)),OR('Tasks Filter'!$I$5="Both",AND('Tasks Filter'!$I$5="Yes",BB277="✓"),AND('Tasks Filter'!$I$5="No",BB277&lt;&gt;"✓")),OR('Tasks Filter'!$L$3="",AV277='Tasks Filter'!$L$3),OR('Tasks Filter'!$L$4="",AZ277='Tasks Filter'!$L$4),OR('Tasks Filter'!$L$5="",BC277='Tasks Filter'!$L$5),OR('Tasks Filter'!$O$3="",BD277='Tasks Filter'!$O$3),OR('Tasks Filter'!$O$4="Yes",BG277=0)),1,0))</f>
        <v/>
      </c>
      <c r="BJ277">
        <f>IF(BH277=0,"",IF('Tasks Filter'!$F$6="Descending",-1,1)*CHOOSE(MATCH('Tasks Filter'!$F$5,Lists!$G$2:$G$6,0),AW277,BF277,IFERROR(MATCH(AV277,Setup!$F$6:$F$15,0),99),IFERROR(MATCH(BC277,Setup!$H$6:$H$15,0),99),IFERROR(MATCH(AZ277,Setup!$J$6:$J$11,0),99))*1E+9+(AW277-40000)*10000+276)</f>
        <v/>
      </c>
      <c r="BK277">
        <f>IF(BI277=1,BJ277,"")</f>
        <v/>
      </c>
      <c r="BL277">
        <f>IF(AND(BH277=1,BG277=0,N(AW277)&lt;Setup!$D$7),(AW277-40000)*10000+276,"")</f>
        <v/>
      </c>
      <c r="BM277">
        <f>IF(AND(BH277=1,AZ277&lt;&gt;"Cancelled",N(AW277)&gt;=Dashboard!$AB$3,N(AW277)&lt;=Dashboard!$AB$3+6),(AW277-40000)*100000+BF277*10000+276,"")</f>
        <v/>
      </c>
      <c r="BN277">
        <f>IF(AND(BH277=1,AZ277&lt;&gt;"Cancelled"),BF277*10000+276,"")</f>
        <v/>
      </c>
    </row>
    <row r="278">
      <c r="A278">
        <f>Setup!$D$5+276</f>
        <v/>
      </c>
      <c r="B278">
        <f>IF('Recurring Schedule'!$C$6="","",IF('Recurring Schedule'!$F$6="","",IF(OR($A278&lt;'Recurring Schedule'!$F$6,$A278&gt;'Recurring Schedule'!$P$6),"",IF(IF('Recurring Schedule'!$N$6&gt;0,MOD($A278-'Recurring Schedule'!$F$6,'Recurring Schedule'!$N$6)=0,IF('Recurring Schedule'!$O$6&gt;0,AND(DAY($A278)=MIN(DAY('Recurring Schedule'!$F$6),DAY(EOMONTH($A278,0))),MOD((YEAR($A278)-YEAR('Recurring Schedule'!$F$6))*12+MONTH($A278)-MONTH('Recurring Schedule'!$F$6),'Recurring Schedule'!$O$6)=0),IF('Recurring Schedule'!$E$6="Weekdays",WEEKDAY($A278,2)&lt;=5,$A278='Recurring Schedule'!$F$6))),1,""))))</f>
        <v/>
      </c>
      <c r="C278">
        <f>IF('Recurring Schedule'!$C$7="","",IF('Recurring Schedule'!$F$7="","",IF(OR($A278&lt;'Recurring Schedule'!$F$7,$A278&gt;'Recurring Schedule'!$P$7),"",IF(IF('Recurring Schedule'!$N$7&gt;0,MOD($A278-'Recurring Schedule'!$F$7,'Recurring Schedule'!$N$7)=0,IF('Recurring Schedule'!$O$7&gt;0,AND(DAY($A278)=MIN(DAY('Recurring Schedule'!$F$7),DAY(EOMONTH($A278,0))),MOD((YEAR($A278)-YEAR('Recurring Schedule'!$F$7))*12+MONTH($A278)-MONTH('Recurring Schedule'!$F$7),'Recurring Schedule'!$O$7)=0),IF('Recurring Schedule'!$E$7="Weekdays",WEEKDAY($A278,2)&lt;=5,$A278='Recurring Schedule'!$F$7))),2,""))))</f>
        <v/>
      </c>
      <c r="D278">
        <f>IF('Recurring Schedule'!$C$8="","",IF('Recurring Schedule'!$F$8="","",IF(OR($A278&lt;'Recurring Schedule'!$F$8,$A278&gt;'Recurring Schedule'!$P$8),"",IF(IF('Recurring Schedule'!$N$8&gt;0,MOD($A278-'Recurring Schedule'!$F$8,'Recurring Schedule'!$N$8)=0,IF('Recurring Schedule'!$O$8&gt;0,AND(DAY($A278)=MIN(DAY('Recurring Schedule'!$F$8),DAY(EOMONTH($A278,0))),MOD((YEAR($A278)-YEAR('Recurring Schedule'!$F$8))*12+MONTH($A278)-MONTH('Recurring Schedule'!$F$8),'Recurring Schedule'!$O$8)=0),IF('Recurring Schedule'!$E$8="Weekdays",WEEKDAY($A278,2)&lt;=5,$A278='Recurring Schedule'!$F$8))),3,""))))</f>
        <v/>
      </c>
      <c r="E278">
        <f>IF('Recurring Schedule'!$C$9="","",IF('Recurring Schedule'!$F$9="","",IF(OR($A278&lt;'Recurring Schedule'!$F$9,$A278&gt;'Recurring Schedule'!$P$9),"",IF(IF('Recurring Schedule'!$N$9&gt;0,MOD($A278-'Recurring Schedule'!$F$9,'Recurring Schedule'!$N$9)=0,IF('Recurring Schedule'!$O$9&gt;0,AND(DAY($A278)=MIN(DAY('Recurring Schedule'!$F$9),DAY(EOMONTH($A278,0))),MOD((YEAR($A278)-YEAR('Recurring Schedule'!$F$9))*12+MONTH($A278)-MONTH('Recurring Schedule'!$F$9),'Recurring Schedule'!$O$9)=0),IF('Recurring Schedule'!$E$9="Weekdays",WEEKDAY($A278,2)&lt;=5,$A278='Recurring Schedule'!$F$9))),4,""))))</f>
        <v/>
      </c>
      <c r="F278">
        <f>IF('Recurring Schedule'!$C$10="","",IF('Recurring Schedule'!$F$10="","",IF(OR($A278&lt;'Recurring Schedule'!$F$10,$A278&gt;'Recurring Schedule'!$P$10),"",IF(IF('Recurring Schedule'!$N$10&gt;0,MOD($A278-'Recurring Schedule'!$F$10,'Recurring Schedule'!$N$10)=0,IF('Recurring Schedule'!$O$10&gt;0,AND(DAY($A278)=MIN(DAY('Recurring Schedule'!$F$10),DAY(EOMONTH($A278,0))),MOD((YEAR($A278)-YEAR('Recurring Schedule'!$F$10))*12+MONTH($A278)-MONTH('Recurring Schedule'!$F$10),'Recurring Schedule'!$O$10)=0),IF('Recurring Schedule'!$E$10="Weekdays",WEEKDAY($A278,2)&lt;=5,$A278='Recurring Schedule'!$F$10))),5,""))))</f>
        <v/>
      </c>
      <c r="G278">
        <f>IF('Recurring Schedule'!$C$11="","",IF('Recurring Schedule'!$F$11="","",IF(OR($A278&lt;'Recurring Schedule'!$F$11,$A278&gt;'Recurring Schedule'!$P$11),"",IF(IF('Recurring Schedule'!$N$11&gt;0,MOD($A278-'Recurring Schedule'!$F$11,'Recurring Schedule'!$N$11)=0,IF('Recurring Schedule'!$O$11&gt;0,AND(DAY($A278)=MIN(DAY('Recurring Schedule'!$F$11),DAY(EOMONTH($A278,0))),MOD((YEAR($A278)-YEAR('Recurring Schedule'!$F$11))*12+MONTH($A278)-MONTH('Recurring Schedule'!$F$11),'Recurring Schedule'!$O$11)=0),IF('Recurring Schedule'!$E$11="Weekdays",WEEKDAY($A278,2)&lt;=5,$A278='Recurring Schedule'!$F$11))),6,""))))</f>
        <v/>
      </c>
      <c r="H278">
        <f>IF('Recurring Schedule'!$C$12="","",IF('Recurring Schedule'!$F$12="","",IF(OR($A278&lt;'Recurring Schedule'!$F$12,$A278&gt;'Recurring Schedule'!$P$12),"",IF(IF('Recurring Schedule'!$N$12&gt;0,MOD($A278-'Recurring Schedule'!$F$12,'Recurring Schedule'!$N$12)=0,IF('Recurring Schedule'!$O$12&gt;0,AND(DAY($A278)=MIN(DAY('Recurring Schedule'!$F$12),DAY(EOMONTH($A278,0))),MOD((YEAR($A278)-YEAR('Recurring Schedule'!$F$12))*12+MONTH($A278)-MONTH('Recurring Schedule'!$F$12),'Recurring Schedule'!$O$12)=0),IF('Recurring Schedule'!$E$12="Weekdays",WEEKDAY($A278,2)&lt;=5,$A278='Recurring Schedule'!$F$12))),7,""))))</f>
        <v/>
      </c>
      <c r="I278">
        <f>IF('Recurring Schedule'!$C$13="","",IF('Recurring Schedule'!$F$13="","",IF(OR($A278&lt;'Recurring Schedule'!$F$13,$A278&gt;'Recurring Schedule'!$P$13),"",IF(IF('Recurring Schedule'!$N$13&gt;0,MOD($A278-'Recurring Schedule'!$F$13,'Recurring Schedule'!$N$13)=0,IF('Recurring Schedule'!$O$13&gt;0,AND(DAY($A278)=MIN(DAY('Recurring Schedule'!$F$13),DAY(EOMONTH($A278,0))),MOD((YEAR($A278)-YEAR('Recurring Schedule'!$F$13))*12+MONTH($A278)-MONTH('Recurring Schedule'!$F$13),'Recurring Schedule'!$O$13)=0),IF('Recurring Schedule'!$E$13="Weekdays",WEEKDAY($A278,2)&lt;=5,$A278='Recurring Schedule'!$F$13))),8,""))))</f>
        <v/>
      </c>
      <c r="J278">
        <f>IF('Recurring Schedule'!$C$14="","",IF('Recurring Schedule'!$F$14="","",IF(OR($A278&lt;'Recurring Schedule'!$F$14,$A278&gt;'Recurring Schedule'!$P$14),"",IF(IF('Recurring Schedule'!$N$14&gt;0,MOD($A278-'Recurring Schedule'!$F$14,'Recurring Schedule'!$N$14)=0,IF('Recurring Schedule'!$O$14&gt;0,AND(DAY($A278)=MIN(DAY('Recurring Schedule'!$F$14),DAY(EOMONTH($A278,0))),MOD((YEAR($A278)-YEAR('Recurring Schedule'!$F$14))*12+MONTH($A278)-MONTH('Recurring Schedule'!$F$14),'Recurring Schedule'!$O$14)=0),IF('Recurring Schedule'!$E$14="Weekdays",WEEKDAY($A278,2)&lt;=5,$A278='Recurring Schedule'!$F$14))),9,""))))</f>
        <v/>
      </c>
      <c r="K278">
        <f>IF('Recurring Schedule'!$C$15="","",IF('Recurring Schedule'!$F$15="","",IF(OR($A278&lt;'Recurring Schedule'!$F$15,$A278&gt;'Recurring Schedule'!$P$15),"",IF(IF('Recurring Schedule'!$N$15&gt;0,MOD($A278-'Recurring Schedule'!$F$15,'Recurring Schedule'!$N$15)=0,IF('Recurring Schedule'!$O$15&gt;0,AND(DAY($A278)=MIN(DAY('Recurring Schedule'!$F$15),DAY(EOMONTH($A278,0))),MOD((YEAR($A278)-YEAR('Recurring Schedule'!$F$15))*12+MONTH($A278)-MONTH('Recurring Schedule'!$F$15),'Recurring Schedule'!$O$15)=0),IF('Recurring Schedule'!$E$15="Weekdays",WEEKDAY($A278,2)&lt;=5,$A278='Recurring Schedule'!$F$15))),10,""))))</f>
        <v/>
      </c>
      <c r="L278">
        <f>IF('Recurring Schedule'!$C$16="","",IF('Recurring Schedule'!$F$16="","",IF(OR($A278&lt;'Recurring Schedule'!$F$16,$A278&gt;'Recurring Schedule'!$P$16),"",IF(IF('Recurring Schedule'!$N$16&gt;0,MOD($A278-'Recurring Schedule'!$F$16,'Recurring Schedule'!$N$16)=0,IF('Recurring Schedule'!$O$16&gt;0,AND(DAY($A278)=MIN(DAY('Recurring Schedule'!$F$16),DAY(EOMONTH($A278,0))),MOD((YEAR($A278)-YEAR('Recurring Schedule'!$F$16))*12+MONTH($A278)-MONTH('Recurring Schedule'!$F$16),'Recurring Schedule'!$O$16)=0),IF('Recurring Schedule'!$E$16="Weekdays",WEEKDAY($A278,2)&lt;=5,$A278='Recurring Schedule'!$F$16))),11,""))))</f>
        <v/>
      </c>
      <c r="M278">
        <f>IF('Recurring Schedule'!$C$17="","",IF('Recurring Schedule'!$F$17="","",IF(OR($A278&lt;'Recurring Schedule'!$F$17,$A278&gt;'Recurring Schedule'!$P$17),"",IF(IF('Recurring Schedule'!$N$17&gt;0,MOD($A278-'Recurring Schedule'!$F$17,'Recurring Schedule'!$N$17)=0,IF('Recurring Schedule'!$O$17&gt;0,AND(DAY($A278)=MIN(DAY('Recurring Schedule'!$F$17),DAY(EOMONTH($A278,0))),MOD((YEAR($A278)-YEAR('Recurring Schedule'!$F$17))*12+MONTH($A278)-MONTH('Recurring Schedule'!$F$17),'Recurring Schedule'!$O$17)=0),IF('Recurring Schedule'!$E$17="Weekdays",WEEKDAY($A278,2)&lt;=5,$A278='Recurring Schedule'!$F$17))),12,""))))</f>
        <v/>
      </c>
      <c r="N278">
        <f>IF('Recurring Schedule'!$C$18="","",IF('Recurring Schedule'!$F$18="","",IF(OR($A278&lt;'Recurring Schedule'!$F$18,$A278&gt;'Recurring Schedule'!$P$18),"",IF(IF('Recurring Schedule'!$N$18&gt;0,MOD($A278-'Recurring Schedule'!$F$18,'Recurring Schedule'!$N$18)=0,IF('Recurring Schedule'!$O$18&gt;0,AND(DAY($A278)=MIN(DAY('Recurring Schedule'!$F$18),DAY(EOMONTH($A278,0))),MOD((YEAR($A278)-YEAR('Recurring Schedule'!$F$18))*12+MONTH($A278)-MONTH('Recurring Schedule'!$F$18),'Recurring Schedule'!$O$18)=0),IF('Recurring Schedule'!$E$18="Weekdays",WEEKDAY($A278,2)&lt;=5,$A278='Recurring Schedule'!$F$18))),13,""))))</f>
        <v/>
      </c>
      <c r="O278">
        <f>IF('Recurring Schedule'!$C$19="","",IF('Recurring Schedule'!$F$19="","",IF(OR($A278&lt;'Recurring Schedule'!$F$19,$A278&gt;'Recurring Schedule'!$P$19),"",IF(IF('Recurring Schedule'!$N$19&gt;0,MOD($A278-'Recurring Schedule'!$F$19,'Recurring Schedule'!$N$19)=0,IF('Recurring Schedule'!$O$19&gt;0,AND(DAY($A278)=MIN(DAY('Recurring Schedule'!$F$19),DAY(EOMONTH($A278,0))),MOD((YEAR($A278)-YEAR('Recurring Schedule'!$F$19))*12+MONTH($A278)-MONTH('Recurring Schedule'!$F$19),'Recurring Schedule'!$O$19)=0),IF('Recurring Schedule'!$E$19="Weekdays",WEEKDAY($A278,2)&lt;=5,$A278='Recurring Schedule'!$F$19))),14,""))))</f>
        <v/>
      </c>
      <c r="P278">
        <f>IF('Recurring Schedule'!$C$20="","",IF('Recurring Schedule'!$F$20="","",IF(OR($A278&lt;'Recurring Schedule'!$F$20,$A278&gt;'Recurring Schedule'!$P$20),"",IF(IF('Recurring Schedule'!$N$20&gt;0,MOD($A278-'Recurring Schedule'!$F$20,'Recurring Schedule'!$N$20)=0,IF('Recurring Schedule'!$O$20&gt;0,AND(DAY($A278)=MIN(DAY('Recurring Schedule'!$F$20),DAY(EOMONTH($A278,0))),MOD((YEAR($A278)-YEAR('Recurring Schedule'!$F$20))*12+MONTH($A278)-MONTH('Recurring Schedule'!$F$20),'Recurring Schedule'!$O$20)=0),IF('Recurring Schedule'!$E$20="Weekdays",WEEKDAY($A278,2)&lt;=5,$A278='Recurring Schedule'!$F$20))),15,""))))</f>
        <v/>
      </c>
      <c r="Q278">
        <f>IF('Recurring Schedule'!$C$21="","",IF('Recurring Schedule'!$F$21="","",IF(OR($A278&lt;'Recurring Schedule'!$F$21,$A278&gt;'Recurring Schedule'!$P$21),"",IF(IF('Recurring Schedule'!$N$21&gt;0,MOD($A278-'Recurring Schedule'!$F$21,'Recurring Schedule'!$N$21)=0,IF('Recurring Schedule'!$O$21&gt;0,AND(DAY($A278)=MIN(DAY('Recurring Schedule'!$F$21),DAY(EOMONTH($A278,0))),MOD((YEAR($A278)-YEAR('Recurring Schedule'!$F$21))*12+MONTH($A278)-MONTH('Recurring Schedule'!$F$21),'Recurring Schedule'!$O$21)=0),IF('Recurring Schedule'!$E$21="Weekdays",WEEKDAY($A278,2)&lt;=5,$A278='Recurring Schedule'!$F$21))),16,""))))</f>
        <v/>
      </c>
      <c r="R278">
        <f>IF('Recurring Schedule'!$C$22="","",IF('Recurring Schedule'!$F$22="","",IF(OR($A278&lt;'Recurring Schedule'!$F$22,$A278&gt;'Recurring Schedule'!$P$22),"",IF(IF('Recurring Schedule'!$N$22&gt;0,MOD($A278-'Recurring Schedule'!$F$22,'Recurring Schedule'!$N$22)=0,IF('Recurring Schedule'!$O$22&gt;0,AND(DAY($A278)=MIN(DAY('Recurring Schedule'!$F$22),DAY(EOMONTH($A278,0))),MOD((YEAR($A278)-YEAR('Recurring Schedule'!$F$22))*12+MONTH($A278)-MONTH('Recurring Schedule'!$F$22),'Recurring Schedule'!$O$22)=0),IF('Recurring Schedule'!$E$22="Weekdays",WEEKDAY($A278,2)&lt;=5,$A278='Recurring Schedule'!$F$22))),17,""))))</f>
        <v/>
      </c>
      <c r="S278">
        <f>IF('Recurring Schedule'!$C$23="","",IF('Recurring Schedule'!$F$23="","",IF(OR($A278&lt;'Recurring Schedule'!$F$23,$A278&gt;'Recurring Schedule'!$P$23),"",IF(IF('Recurring Schedule'!$N$23&gt;0,MOD($A278-'Recurring Schedule'!$F$23,'Recurring Schedule'!$N$23)=0,IF('Recurring Schedule'!$O$23&gt;0,AND(DAY($A278)=MIN(DAY('Recurring Schedule'!$F$23),DAY(EOMONTH($A278,0))),MOD((YEAR($A278)-YEAR('Recurring Schedule'!$F$23))*12+MONTH($A278)-MONTH('Recurring Schedule'!$F$23),'Recurring Schedule'!$O$23)=0),IF('Recurring Schedule'!$E$23="Weekdays",WEEKDAY($A278,2)&lt;=5,$A278='Recurring Schedule'!$F$23))),18,""))))</f>
        <v/>
      </c>
      <c r="T278">
        <f>IF('Recurring Schedule'!$C$24="","",IF('Recurring Schedule'!$F$24="","",IF(OR($A278&lt;'Recurring Schedule'!$F$24,$A278&gt;'Recurring Schedule'!$P$24),"",IF(IF('Recurring Schedule'!$N$24&gt;0,MOD($A278-'Recurring Schedule'!$F$24,'Recurring Schedule'!$N$24)=0,IF('Recurring Schedule'!$O$24&gt;0,AND(DAY($A278)=MIN(DAY('Recurring Schedule'!$F$24),DAY(EOMONTH($A278,0))),MOD((YEAR($A278)-YEAR('Recurring Schedule'!$F$24))*12+MONTH($A278)-MONTH('Recurring Schedule'!$F$24),'Recurring Schedule'!$O$24)=0),IF('Recurring Schedule'!$E$24="Weekdays",WEEKDAY($A278,2)&lt;=5,$A278='Recurring Schedule'!$F$24))),19,""))))</f>
        <v/>
      </c>
      <c r="U278">
        <f>IF('Recurring Schedule'!$C$25="","",IF('Recurring Schedule'!$F$25="","",IF(OR($A278&lt;'Recurring Schedule'!$F$25,$A278&gt;'Recurring Schedule'!$P$25),"",IF(IF('Recurring Schedule'!$N$25&gt;0,MOD($A278-'Recurring Schedule'!$F$25,'Recurring Schedule'!$N$25)=0,IF('Recurring Schedule'!$O$25&gt;0,AND(DAY($A278)=MIN(DAY('Recurring Schedule'!$F$25),DAY(EOMONTH($A278,0))),MOD((YEAR($A278)-YEAR('Recurring Schedule'!$F$25))*12+MONTH($A278)-MONTH('Recurring Schedule'!$F$25),'Recurring Schedule'!$O$25)=0),IF('Recurring Schedule'!$E$25="Weekdays",WEEKDAY($A278,2)&lt;=5,$A278='Recurring Schedule'!$F$25))),20,""))))</f>
        <v/>
      </c>
      <c r="V278">
        <f>IF('Recurring Schedule'!$C$26="","",IF('Recurring Schedule'!$F$26="","",IF(OR($A278&lt;'Recurring Schedule'!$F$26,$A278&gt;'Recurring Schedule'!$P$26),"",IF(IF('Recurring Schedule'!$N$26&gt;0,MOD($A278-'Recurring Schedule'!$F$26,'Recurring Schedule'!$N$26)=0,IF('Recurring Schedule'!$O$26&gt;0,AND(DAY($A278)=MIN(DAY('Recurring Schedule'!$F$26),DAY(EOMONTH($A278,0))),MOD((YEAR($A278)-YEAR('Recurring Schedule'!$F$26))*12+MONTH($A278)-MONTH('Recurring Schedule'!$F$26),'Recurring Schedule'!$O$26)=0),IF('Recurring Schedule'!$E$26="Weekdays",WEEKDAY($A278,2)&lt;=5,$A278='Recurring Schedule'!$F$26))),21,""))))</f>
        <v/>
      </c>
      <c r="W278">
        <f>IF('Recurring Schedule'!$C$27="","",IF('Recurring Schedule'!$F$27="","",IF(OR($A278&lt;'Recurring Schedule'!$F$27,$A278&gt;'Recurring Schedule'!$P$27),"",IF(IF('Recurring Schedule'!$N$27&gt;0,MOD($A278-'Recurring Schedule'!$F$27,'Recurring Schedule'!$N$27)=0,IF('Recurring Schedule'!$O$27&gt;0,AND(DAY($A278)=MIN(DAY('Recurring Schedule'!$F$27),DAY(EOMONTH($A278,0))),MOD((YEAR($A278)-YEAR('Recurring Schedule'!$F$27))*12+MONTH($A278)-MONTH('Recurring Schedule'!$F$27),'Recurring Schedule'!$O$27)=0),IF('Recurring Schedule'!$E$27="Weekdays",WEEKDAY($A278,2)&lt;=5,$A278='Recurring Schedule'!$F$27))),22,""))))</f>
        <v/>
      </c>
      <c r="X278">
        <f>IF('Recurring Schedule'!$C$28="","",IF('Recurring Schedule'!$F$28="","",IF(OR($A278&lt;'Recurring Schedule'!$F$28,$A278&gt;'Recurring Schedule'!$P$28),"",IF(IF('Recurring Schedule'!$N$28&gt;0,MOD($A278-'Recurring Schedule'!$F$28,'Recurring Schedule'!$N$28)=0,IF('Recurring Schedule'!$O$28&gt;0,AND(DAY($A278)=MIN(DAY('Recurring Schedule'!$F$28),DAY(EOMONTH($A278,0))),MOD((YEAR($A278)-YEAR('Recurring Schedule'!$F$28))*12+MONTH($A278)-MONTH('Recurring Schedule'!$F$28),'Recurring Schedule'!$O$28)=0),IF('Recurring Schedule'!$E$28="Weekdays",WEEKDAY($A278,2)&lt;=5,$A278='Recurring Schedule'!$F$28))),23,""))))</f>
        <v/>
      </c>
      <c r="Y278">
        <f>IF('Recurring Schedule'!$C$29="","",IF('Recurring Schedule'!$F$29="","",IF(OR($A278&lt;'Recurring Schedule'!$F$29,$A278&gt;'Recurring Schedule'!$P$29),"",IF(IF('Recurring Schedule'!$N$29&gt;0,MOD($A278-'Recurring Schedule'!$F$29,'Recurring Schedule'!$N$29)=0,IF('Recurring Schedule'!$O$29&gt;0,AND(DAY($A278)=MIN(DAY('Recurring Schedule'!$F$29),DAY(EOMONTH($A278,0))),MOD((YEAR($A278)-YEAR('Recurring Schedule'!$F$29))*12+MONTH($A278)-MONTH('Recurring Schedule'!$F$29),'Recurring Schedule'!$O$29)=0),IF('Recurring Schedule'!$E$29="Weekdays",WEEKDAY($A278,2)&lt;=5,$A278='Recurring Schedule'!$F$29))),24,""))))</f>
        <v/>
      </c>
      <c r="Z278">
        <f>IF('Recurring Schedule'!$C$30="","",IF('Recurring Schedule'!$F$30="","",IF(OR($A278&lt;'Recurring Schedule'!$F$30,$A278&gt;'Recurring Schedule'!$P$30),"",IF(IF('Recurring Schedule'!$N$30&gt;0,MOD($A278-'Recurring Schedule'!$F$30,'Recurring Schedule'!$N$30)=0,IF('Recurring Schedule'!$O$30&gt;0,AND(DAY($A278)=MIN(DAY('Recurring Schedule'!$F$30),DAY(EOMONTH($A278,0))),MOD((YEAR($A278)-YEAR('Recurring Schedule'!$F$30))*12+MONTH($A278)-MONTH('Recurring Schedule'!$F$30),'Recurring Schedule'!$O$30)=0),IF('Recurring Schedule'!$E$30="Weekdays",WEEKDAY($A278,2)&lt;=5,$A278='Recurring Schedule'!$F$30))),25,""))))</f>
        <v/>
      </c>
      <c r="AA278">
        <f>IF('Recurring Schedule'!$C$31="","",IF('Recurring Schedule'!$F$31="","",IF(OR($A278&lt;'Recurring Schedule'!$F$31,$A278&gt;'Recurring Schedule'!$P$31),"",IF(IF('Recurring Schedule'!$N$31&gt;0,MOD($A278-'Recurring Schedule'!$F$31,'Recurring Schedule'!$N$31)=0,IF('Recurring Schedule'!$O$31&gt;0,AND(DAY($A278)=MIN(DAY('Recurring Schedule'!$F$31),DAY(EOMONTH($A278,0))),MOD((YEAR($A278)-YEAR('Recurring Schedule'!$F$31))*12+MONTH($A278)-MONTH('Recurring Schedule'!$F$31),'Recurring Schedule'!$O$31)=0),IF('Recurring Schedule'!$E$31="Weekdays",WEEKDAY($A278,2)&lt;=5,$A278='Recurring Schedule'!$F$31))),26,""))))</f>
        <v/>
      </c>
      <c r="AB278">
        <f>IF('Recurring Schedule'!$C$32="","",IF('Recurring Schedule'!$F$32="","",IF(OR($A278&lt;'Recurring Schedule'!$F$32,$A278&gt;'Recurring Schedule'!$P$32),"",IF(IF('Recurring Schedule'!$N$32&gt;0,MOD($A278-'Recurring Schedule'!$F$32,'Recurring Schedule'!$N$32)=0,IF('Recurring Schedule'!$O$32&gt;0,AND(DAY($A278)=MIN(DAY('Recurring Schedule'!$F$32),DAY(EOMONTH($A278,0))),MOD((YEAR($A278)-YEAR('Recurring Schedule'!$F$32))*12+MONTH($A278)-MONTH('Recurring Schedule'!$F$32),'Recurring Schedule'!$O$32)=0),IF('Recurring Schedule'!$E$32="Weekdays",WEEKDAY($A278,2)&lt;=5,$A278='Recurring Schedule'!$F$32))),27,""))))</f>
        <v/>
      </c>
      <c r="AC278">
        <f>IF('Recurring Schedule'!$C$33="","",IF('Recurring Schedule'!$F$33="","",IF(OR($A278&lt;'Recurring Schedule'!$F$33,$A278&gt;'Recurring Schedule'!$P$33),"",IF(IF('Recurring Schedule'!$N$33&gt;0,MOD($A278-'Recurring Schedule'!$F$33,'Recurring Schedule'!$N$33)=0,IF('Recurring Schedule'!$O$33&gt;0,AND(DAY($A278)=MIN(DAY('Recurring Schedule'!$F$33),DAY(EOMONTH($A278,0))),MOD((YEAR($A278)-YEAR('Recurring Schedule'!$F$33))*12+MONTH($A278)-MONTH('Recurring Schedule'!$F$33),'Recurring Schedule'!$O$33)=0),IF('Recurring Schedule'!$E$33="Weekdays",WEEKDAY($A278,2)&lt;=5,$A278='Recurring Schedule'!$F$33))),28,""))))</f>
        <v/>
      </c>
      <c r="AD278">
        <f>IF('Recurring Schedule'!$C$34="","",IF('Recurring Schedule'!$F$34="","",IF(OR($A278&lt;'Recurring Schedule'!$F$34,$A278&gt;'Recurring Schedule'!$P$34),"",IF(IF('Recurring Schedule'!$N$34&gt;0,MOD($A278-'Recurring Schedule'!$F$34,'Recurring Schedule'!$N$34)=0,IF('Recurring Schedule'!$O$34&gt;0,AND(DAY($A278)=MIN(DAY('Recurring Schedule'!$F$34),DAY(EOMONTH($A278,0))),MOD((YEAR($A278)-YEAR('Recurring Schedule'!$F$34))*12+MONTH($A278)-MONTH('Recurring Schedule'!$F$34),'Recurring Schedule'!$O$34)=0),IF('Recurring Schedule'!$E$34="Weekdays",WEEKDAY($A278,2)&lt;=5,$A278='Recurring Schedule'!$F$34))),29,""))))</f>
        <v/>
      </c>
      <c r="AE278">
        <f>IF('Recurring Schedule'!$C$35="","",IF('Recurring Schedule'!$F$35="","",IF(OR($A278&lt;'Recurring Schedule'!$F$35,$A278&gt;'Recurring Schedule'!$P$35),"",IF(IF('Recurring Schedule'!$N$35&gt;0,MOD($A278-'Recurring Schedule'!$F$35,'Recurring Schedule'!$N$35)=0,IF('Recurring Schedule'!$O$35&gt;0,AND(DAY($A278)=MIN(DAY('Recurring Schedule'!$F$35),DAY(EOMONTH($A278,0))),MOD((YEAR($A278)-YEAR('Recurring Schedule'!$F$35))*12+MONTH($A278)-MONTH('Recurring Schedule'!$F$35),'Recurring Schedule'!$O$35)=0),IF('Recurring Schedule'!$E$35="Weekdays",WEEKDAY($A278,2)&lt;=5,$A278='Recurring Schedule'!$F$35))),30,""))))</f>
        <v/>
      </c>
      <c r="AF278">
        <f>IF('Recurring Schedule'!$C$36="","",IF('Recurring Schedule'!$F$36="","",IF(OR($A278&lt;'Recurring Schedule'!$F$36,$A278&gt;'Recurring Schedule'!$P$36),"",IF(IF('Recurring Schedule'!$N$36&gt;0,MOD($A278-'Recurring Schedule'!$F$36,'Recurring Schedule'!$N$36)=0,IF('Recurring Schedule'!$O$36&gt;0,AND(DAY($A278)=MIN(DAY('Recurring Schedule'!$F$36),DAY(EOMONTH($A278,0))),MOD((YEAR($A278)-YEAR('Recurring Schedule'!$F$36))*12+MONTH($A278)-MONTH('Recurring Schedule'!$F$36),'Recurring Schedule'!$O$36)=0),IF('Recurring Schedule'!$E$36="Weekdays",WEEKDAY($A278,2)&lt;=5,$A278='Recurring Schedule'!$F$36))),31,""))))</f>
        <v/>
      </c>
      <c r="AG278">
        <f>IF('Recurring Schedule'!$C$37="","",IF('Recurring Schedule'!$F$37="","",IF(OR($A278&lt;'Recurring Schedule'!$F$37,$A278&gt;'Recurring Schedule'!$P$37),"",IF(IF('Recurring Schedule'!$N$37&gt;0,MOD($A278-'Recurring Schedule'!$F$37,'Recurring Schedule'!$N$37)=0,IF('Recurring Schedule'!$O$37&gt;0,AND(DAY($A278)=MIN(DAY('Recurring Schedule'!$F$37),DAY(EOMONTH($A278,0))),MOD((YEAR($A278)-YEAR('Recurring Schedule'!$F$37))*12+MONTH($A278)-MONTH('Recurring Schedule'!$F$37),'Recurring Schedule'!$O$37)=0),IF('Recurring Schedule'!$E$37="Weekdays",WEEKDAY($A278,2)&lt;=5,$A278='Recurring Schedule'!$F$37))),32,""))))</f>
        <v/>
      </c>
      <c r="AH278">
        <f>IF('Recurring Schedule'!$C$38="","",IF('Recurring Schedule'!$F$38="","",IF(OR($A278&lt;'Recurring Schedule'!$F$38,$A278&gt;'Recurring Schedule'!$P$38),"",IF(IF('Recurring Schedule'!$N$38&gt;0,MOD($A278-'Recurring Schedule'!$F$38,'Recurring Schedule'!$N$38)=0,IF('Recurring Schedule'!$O$38&gt;0,AND(DAY($A278)=MIN(DAY('Recurring Schedule'!$F$38),DAY(EOMONTH($A278,0))),MOD((YEAR($A278)-YEAR('Recurring Schedule'!$F$38))*12+MONTH($A278)-MONTH('Recurring Schedule'!$F$38),'Recurring Schedule'!$O$38)=0),IF('Recurring Schedule'!$E$38="Weekdays",WEEKDAY($A278,2)&lt;=5,$A278='Recurring Schedule'!$F$38))),33,""))))</f>
        <v/>
      </c>
      <c r="AI278">
        <f>IF('Recurring Schedule'!$C$39="","",IF('Recurring Schedule'!$F$39="","",IF(OR($A278&lt;'Recurring Schedule'!$F$39,$A278&gt;'Recurring Schedule'!$P$39),"",IF(IF('Recurring Schedule'!$N$39&gt;0,MOD($A278-'Recurring Schedule'!$F$39,'Recurring Schedule'!$N$39)=0,IF('Recurring Schedule'!$O$39&gt;0,AND(DAY($A278)=MIN(DAY('Recurring Schedule'!$F$39),DAY(EOMONTH($A278,0))),MOD((YEAR($A278)-YEAR('Recurring Schedule'!$F$39))*12+MONTH($A278)-MONTH('Recurring Schedule'!$F$39),'Recurring Schedule'!$O$39)=0),IF('Recurring Schedule'!$E$39="Weekdays",WEEKDAY($A278,2)&lt;=5,$A278='Recurring Schedule'!$F$39))),34,""))))</f>
        <v/>
      </c>
      <c r="AJ278">
        <f>IF('Recurring Schedule'!$C$40="","",IF('Recurring Schedule'!$F$40="","",IF(OR($A278&lt;'Recurring Schedule'!$F$40,$A278&gt;'Recurring Schedule'!$P$40),"",IF(IF('Recurring Schedule'!$N$40&gt;0,MOD($A278-'Recurring Schedule'!$F$40,'Recurring Schedule'!$N$40)=0,IF('Recurring Schedule'!$O$40&gt;0,AND(DAY($A278)=MIN(DAY('Recurring Schedule'!$F$40),DAY(EOMONTH($A278,0))),MOD((YEAR($A278)-YEAR('Recurring Schedule'!$F$40))*12+MONTH($A278)-MONTH('Recurring Schedule'!$F$40),'Recurring Schedule'!$O$40)=0),IF('Recurring Schedule'!$E$40="Weekdays",WEEKDAY($A278,2)&lt;=5,$A278='Recurring Schedule'!$F$40))),35,""))))</f>
        <v/>
      </c>
      <c r="AK278">
        <f>IF('Recurring Schedule'!$C$41="","",IF('Recurring Schedule'!$F$41="","",IF(OR($A278&lt;'Recurring Schedule'!$F$41,$A278&gt;'Recurring Schedule'!$P$41),"",IF(IF('Recurring Schedule'!$N$41&gt;0,MOD($A278-'Recurring Schedule'!$F$41,'Recurring Schedule'!$N$41)=0,IF('Recurring Schedule'!$O$41&gt;0,AND(DAY($A278)=MIN(DAY('Recurring Schedule'!$F$41),DAY(EOMONTH($A278,0))),MOD((YEAR($A278)-YEAR('Recurring Schedule'!$F$41))*12+MONTH($A278)-MONTH('Recurring Schedule'!$F$41),'Recurring Schedule'!$O$41)=0),IF('Recurring Schedule'!$E$41="Weekdays",WEEKDAY($A278,2)&lt;=5,$A278='Recurring Schedule'!$F$41))),36,""))))</f>
        <v/>
      </c>
      <c r="AL278">
        <f>IF('Recurring Schedule'!$C$42="","",IF('Recurring Schedule'!$F$42="","",IF(OR($A278&lt;'Recurring Schedule'!$F$42,$A278&gt;'Recurring Schedule'!$P$42),"",IF(IF('Recurring Schedule'!$N$42&gt;0,MOD($A278-'Recurring Schedule'!$F$42,'Recurring Schedule'!$N$42)=0,IF('Recurring Schedule'!$O$42&gt;0,AND(DAY($A278)=MIN(DAY('Recurring Schedule'!$F$42),DAY(EOMONTH($A278,0))),MOD((YEAR($A278)-YEAR('Recurring Schedule'!$F$42))*12+MONTH($A278)-MONTH('Recurring Schedule'!$F$42),'Recurring Schedule'!$O$42)=0),IF('Recurring Schedule'!$E$42="Weekdays",WEEKDAY($A278,2)&lt;=5,$A278='Recurring Schedule'!$F$42))),37,""))))</f>
        <v/>
      </c>
      <c r="AM278">
        <f>IF('Recurring Schedule'!$C$43="","",IF('Recurring Schedule'!$F$43="","",IF(OR($A278&lt;'Recurring Schedule'!$F$43,$A278&gt;'Recurring Schedule'!$P$43),"",IF(IF('Recurring Schedule'!$N$43&gt;0,MOD($A278-'Recurring Schedule'!$F$43,'Recurring Schedule'!$N$43)=0,IF('Recurring Schedule'!$O$43&gt;0,AND(DAY($A278)=MIN(DAY('Recurring Schedule'!$F$43),DAY(EOMONTH($A278,0))),MOD((YEAR($A278)-YEAR('Recurring Schedule'!$F$43))*12+MONTH($A278)-MONTH('Recurring Schedule'!$F$43),'Recurring Schedule'!$O$43)=0),IF('Recurring Schedule'!$E$43="Weekdays",WEEKDAY($A278,2)&lt;=5,$A278='Recurring Schedule'!$F$43))),38,""))))</f>
        <v/>
      </c>
      <c r="AN278">
        <f>IF('Recurring Schedule'!$C$44="","",IF('Recurring Schedule'!$F$44="","",IF(OR($A278&lt;'Recurring Schedule'!$F$44,$A278&gt;'Recurring Schedule'!$P$44),"",IF(IF('Recurring Schedule'!$N$44&gt;0,MOD($A278-'Recurring Schedule'!$F$44,'Recurring Schedule'!$N$44)=0,IF('Recurring Schedule'!$O$44&gt;0,AND(DAY($A278)=MIN(DAY('Recurring Schedule'!$F$44),DAY(EOMONTH($A278,0))),MOD((YEAR($A278)-YEAR('Recurring Schedule'!$F$44))*12+MONTH($A278)-MONTH('Recurring Schedule'!$F$44),'Recurring Schedule'!$O$44)=0),IF('Recurring Schedule'!$E$44="Weekdays",WEEKDAY($A278,2)&lt;=5,$A278='Recurring Schedule'!$F$44))),39,""))))</f>
        <v/>
      </c>
      <c r="AO278">
        <f>IF('Recurring Schedule'!$C$45="","",IF('Recurring Schedule'!$F$45="","",IF(OR($A278&lt;'Recurring Schedule'!$F$45,$A278&gt;'Recurring Schedule'!$P$45),"",IF(IF('Recurring Schedule'!$N$45&gt;0,MOD($A278-'Recurring Schedule'!$F$45,'Recurring Schedule'!$N$45)=0,IF('Recurring Schedule'!$O$45&gt;0,AND(DAY($A278)=MIN(DAY('Recurring Schedule'!$F$45),DAY(EOMONTH($A278,0))),MOD((YEAR($A278)-YEAR('Recurring Schedule'!$F$45))*12+MONTH($A278)-MONTH('Recurring Schedule'!$F$45),'Recurring Schedule'!$O$45)=0),IF('Recurring Schedule'!$E$45="Weekdays",WEEKDAY($A278,2)&lt;=5,$A278='Recurring Schedule'!$F$45))),40,""))))</f>
        <v/>
      </c>
      <c r="AP278">
        <f>COUNT(B278:AO278)</f>
        <v/>
      </c>
      <c r="AQ278">
        <f>AQ277+AP277</f>
        <v/>
      </c>
      <c r="AS278" t="inlineStr">
        <is>
          <t>R</t>
        </is>
      </c>
      <c r="AT278" t="n">
        <v>282</v>
      </c>
      <c r="AU278">
        <f>'Recurring Log'!C282&amp;""</f>
        <v/>
      </c>
      <c r="AV278">
        <f>'Recurring Log'!D282&amp;""</f>
        <v/>
      </c>
      <c r="AW278">
        <f>IF('Recurring Log'!E282="","",'Recurring Log'!E282)</f>
        <v/>
      </c>
      <c r="AX278">
        <f>IF('Recurring Log'!G282="","",'Recurring Log'!G282)</f>
        <v/>
      </c>
      <c r="AY278">
        <f>IF('Recurring Log'!H282="","",'Recurring Log'!H282)</f>
        <v/>
      </c>
      <c r="AZ278">
        <f>IF(AU278="","",IF('Recurring Log'!J282="","Not Started",'Recurring Log'!J282))</f>
        <v/>
      </c>
      <c r="BA278">
        <f>'Recurring Log'!L282&amp;""</f>
        <v/>
      </c>
      <c r="BB278">
        <f>'Recurring Log'!M282&amp;""</f>
        <v/>
      </c>
      <c r="BC278">
        <f>'Recurring Log'!N282&amp;""</f>
        <v/>
      </c>
      <c r="BD278">
        <f>'Recurring Log'!O282&amp;""</f>
        <v/>
      </c>
      <c r="BE278">
        <f>IF('Recurring Log'!K282="","",'Recurring Log'!K282)</f>
        <v/>
      </c>
      <c r="BF278">
        <f>IFERROR(MATCH(BA278,Setup!$L$6:$L$9,0),5)</f>
        <v/>
      </c>
      <c r="BG278">
        <f>IF(OR(AZ278="Done",AZ278="Cancelled"),1,0)</f>
        <v/>
      </c>
      <c r="BH278">
        <f>IF(AND(AU278&lt;&gt;"",ISNUMBER(AW278)),1,0)</f>
        <v/>
      </c>
      <c r="BI278">
        <f>IF(BH278=0,0,IF(AND(AW278&gt;='Tasks Filter'!$F$3,AW278&lt;='Tasks Filter'!$F$4,OR('Tasks Filter'!$I$3="",ISNUMBER(SEARCH('Tasks Filter'!$I$3,AU278))),OR('Tasks Filter'!$I$4="",BF278=IFERROR(MATCH('Tasks Filter'!$I$4,Setup!$L$6:$L$9,0),0)),OR('Tasks Filter'!$I$5="Both",AND('Tasks Filter'!$I$5="Yes",BB278="✓"),AND('Tasks Filter'!$I$5="No",BB278&lt;&gt;"✓")),OR('Tasks Filter'!$L$3="",AV278='Tasks Filter'!$L$3),OR('Tasks Filter'!$L$4="",AZ278='Tasks Filter'!$L$4),OR('Tasks Filter'!$L$5="",BC278='Tasks Filter'!$L$5),OR('Tasks Filter'!$O$3="",BD278='Tasks Filter'!$O$3),OR('Tasks Filter'!$O$4="Yes",BG278=0)),1,0))</f>
        <v/>
      </c>
      <c r="BJ278">
        <f>IF(BH278=0,"",IF('Tasks Filter'!$F$6="Descending",-1,1)*CHOOSE(MATCH('Tasks Filter'!$F$5,Lists!$G$2:$G$6,0),AW278,BF278,IFERROR(MATCH(AV278,Setup!$F$6:$F$15,0),99),IFERROR(MATCH(BC278,Setup!$H$6:$H$15,0),99),IFERROR(MATCH(AZ278,Setup!$J$6:$J$11,0),99))*1E+9+(AW278-40000)*10000+277)</f>
        <v/>
      </c>
      <c r="BK278">
        <f>IF(BI278=1,BJ278,"")</f>
        <v/>
      </c>
      <c r="BL278">
        <f>IF(AND(BH278=1,BG278=0,N(AW278)&lt;Setup!$D$7),(AW278-40000)*10000+277,"")</f>
        <v/>
      </c>
      <c r="BM278">
        <f>IF(AND(BH278=1,AZ278&lt;&gt;"Cancelled",N(AW278)&gt;=Dashboard!$AB$3,N(AW278)&lt;=Dashboard!$AB$3+6),(AW278-40000)*100000+BF278*10000+277,"")</f>
        <v/>
      </c>
      <c r="BN278">
        <f>IF(AND(BH278=1,AZ278&lt;&gt;"Cancelled"),BF278*10000+277,"")</f>
        <v/>
      </c>
    </row>
    <row r="279">
      <c r="A279">
        <f>Setup!$D$5+277</f>
        <v/>
      </c>
      <c r="B279">
        <f>IF('Recurring Schedule'!$C$6="","",IF('Recurring Schedule'!$F$6="","",IF(OR($A279&lt;'Recurring Schedule'!$F$6,$A279&gt;'Recurring Schedule'!$P$6),"",IF(IF('Recurring Schedule'!$N$6&gt;0,MOD($A279-'Recurring Schedule'!$F$6,'Recurring Schedule'!$N$6)=0,IF('Recurring Schedule'!$O$6&gt;0,AND(DAY($A279)=MIN(DAY('Recurring Schedule'!$F$6),DAY(EOMONTH($A279,0))),MOD((YEAR($A279)-YEAR('Recurring Schedule'!$F$6))*12+MONTH($A279)-MONTH('Recurring Schedule'!$F$6),'Recurring Schedule'!$O$6)=0),IF('Recurring Schedule'!$E$6="Weekdays",WEEKDAY($A279,2)&lt;=5,$A279='Recurring Schedule'!$F$6))),1,""))))</f>
        <v/>
      </c>
      <c r="C279">
        <f>IF('Recurring Schedule'!$C$7="","",IF('Recurring Schedule'!$F$7="","",IF(OR($A279&lt;'Recurring Schedule'!$F$7,$A279&gt;'Recurring Schedule'!$P$7),"",IF(IF('Recurring Schedule'!$N$7&gt;0,MOD($A279-'Recurring Schedule'!$F$7,'Recurring Schedule'!$N$7)=0,IF('Recurring Schedule'!$O$7&gt;0,AND(DAY($A279)=MIN(DAY('Recurring Schedule'!$F$7),DAY(EOMONTH($A279,0))),MOD((YEAR($A279)-YEAR('Recurring Schedule'!$F$7))*12+MONTH($A279)-MONTH('Recurring Schedule'!$F$7),'Recurring Schedule'!$O$7)=0),IF('Recurring Schedule'!$E$7="Weekdays",WEEKDAY($A279,2)&lt;=5,$A279='Recurring Schedule'!$F$7))),2,""))))</f>
        <v/>
      </c>
      <c r="D279">
        <f>IF('Recurring Schedule'!$C$8="","",IF('Recurring Schedule'!$F$8="","",IF(OR($A279&lt;'Recurring Schedule'!$F$8,$A279&gt;'Recurring Schedule'!$P$8),"",IF(IF('Recurring Schedule'!$N$8&gt;0,MOD($A279-'Recurring Schedule'!$F$8,'Recurring Schedule'!$N$8)=0,IF('Recurring Schedule'!$O$8&gt;0,AND(DAY($A279)=MIN(DAY('Recurring Schedule'!$F$8),DAY(EOMONTH($A279,0))),MOD((YEAR($A279)-YEAR('Recurring Schedule'!$F$8))*12+MONTH($A279)-MONTH('Recurring Schedule'!$F$8),'Recurring Schedule'!$O$8)=0),IF('Recurring Schedule'!$E$8="Weekdays",WEEKDAY($A279,2)&lt;=5,$A279='Recurring Schedule'!$F$8))),3,""))))</f>
        <v/>
      </c>
      <c r="E279">
        <f>IF('Recurring Schedule'!$C$9="","",IF('Recurring Schedule'!$F$9="","",IF(OR($A279&lt;'Recurring Schedule'!$F$9,$A279&gt;'Recurring Schedule'!$P$9),"",IF(IF('Recurring Schedule'!$N$9&gt;0,MOD($A279-'Recurring Schedule'!$F$9,'Recurring Schedule'!$N$9)=0,IF('Recurring Schedule'!$O$9&gt;0,AND(DAY($A279)=MIN(DAY('Recurring Schedule'!$F$9),DAY(EOMONTH($A279,0))),MOD((YEAR($A279)-YEAR('Recurring Schedule'!$F$9))*12+MONTH($A279)-MONTH('Recurring Schedule'!$F$9),'Recurring Schedule'!$O$9)=0),IF('Recurring Schedule'!$E$9="Weekdays",WEEKDAY($A279,2)&lt;=5,$A279='Recurring Schedule'!$F$9))),4,""))))</f>
        <v/>
      </c>
      <c r="F279">
        <f>IF('Recurring Schedule'!$C$10="","",IF('Recurring Schedule'!$F$10="","",IF(OR($A279&lt;'Recurring Schedule'!$F$10,$A279&gt;'Recurring Schedule'!$P$10),"",IF(IF('Recurring Schedule'!$N$10&gt;0,MOD($A279-'Recurring Schedule'!$F$10,'Recurring Schedule'!$N$10)=0,IF('Recurring Schedule'!$O$10&gt;0,AND(DAY($A279)=MIN(DAY('Recurring Schedule'!$F$10),DAY(EOMONTH($A279,0))),MOD((YEAR($A279)-YEAR('Recurring Schedule'!$F$10))*12+MONTH($A279)-MONTH('Recurring Schedule'!$F$10),'Recurring Schedule'!$O$10)=0),IF('Recurring Schedule'!$E$10="Weekdays",WEEKDAY($A279,2)&lt;=5,$A279='Recurring Schedule'!$F$10))),5,""))))</f>
        <v/>
      </c>
      <c r="G279">
        <f>IF('Recurring Schedule'!$C$11="","",IF('Recurring Schedule'!$F$11="","",IF(OR($A279&lt;'Recurring Schedule'!$F$11,$A279&gt;'Recurring Schedule'!$P$11),"",IF(IF('Recurring Schedule'!$N$11&gt;0,MOD($A279-'Recurring Schedule'!$F$11,'Recurring Schedule'!$N$11)=0,IF('Recurring Schedule'!$O$11&gt;0,AND(DAY($A279)=MIN(DAY('Recurring Schedule'!$F$11),DAY(EOMONTH($A279,0))),MOD((YEAR($A279)-YEAR('Recurring Schedule'!$F$11))*12+MONTH($A279)-MONTH('Recurring Schedule'!$F$11),'Recurring Schedule'!$O$11)=0),IF('Recurring Schedule'!$E$11="Weekdays",WEEKDAY($A279,2)&lt;=5,$A279='Recurring Schedule'!$F$11))),6,""))))</f>
        <v/>
      </c>
      <c r="H279">
        <f>IF('Recurring Schedule'!$C$12="","",IF('Recurring Schedule'!$F$12="","",IF(OR($A279&lt;'Recurring Schedule'!$F$12,$A279&gt;'Recurring Schedule'!$P$12),"",IF(IF('Recurring Schedule'!$N$12&gt;0,MOD($A279-'Recurring Schedule'!$F$12,'Recurring Schedule'!$N$12)=0,IF('Recurring Schedule'!$O$12&gt;0,AND(DAY($A279)=MIN(DAY('Recurring Schedule'!$F$12),DAY(EOMONTH($A279,0))),MOD((YEAR($A279)-YEAR('Recurring Schedule'!$F$12))*12+MONTH($A279)-MONTH('Recurring Schedule'!$F$12),'Recurring Schedule'!$O$12)=0),IF('Recurring Schedule'!$E$12="Weekdays",WEEKDAY($A279,2)&lt;=5,$A279='Recurring Schedule'!$F$12))),7,""))))</f>
        <v/>
      </c>
      <c r="I279">
        <f>IF('Recurring Schedule'!$C$13="","",IF('Recurring Schedule'!$F$13="","",IF(OR($A279&lt;'Recurring Schedule'!$F$13,$A279&gt;'Recurring Schedule'!$P$13),"",IF(IF('Recurring Schedule'!$N$13&gt;0,MOD($A279-'Recurring Schedule'!$F$13,'Recurring Schedule'!$N$13)=0,IF('Recurring Schedule'!$O$13&gt;0,AND(DAY($A279)=MIN(DAY('Recurring Schedule'!$F$13),DAY(EOMONTH($A279,0))),MOD((YEAR($A279)-YEAR('Recurring Schedule'!$F$13))*12+MONTH($A279)-MONTH('Recurring Schedule'!$F$13),'Recurring Schedule'!$O$13)=0),IF('Recurring Schedule'!$E$13="Weekdays",WEEKDAY($A279,2)&lt;=5,$A279='Recurring Schedule'!$F$13))),8,""))))</f>
        <v/>
      </c>
      <c r="J279">
        <f>IF('Recurring Schedule'!$C$14="","",IF('Recurring Schedule'!$F$14="","",IF(OR($A279&lt;'Recurring Schedule'!$F$14,$A279&gt;'Recurring Schedule'!$P$14),"",IF(IF('Recurring Schedule'!$N$14&gt;0,MOD($A279-'Recurring Schedule'!$F$14,'Recurring Schedule'!$N$14)=0,IF('Recurring Schedule'!$O$14&gt;0,AND(DAY($A279)=MIN(DAY('Recurring Schedule'!$F$14),DAY(EOMONTH($A279,0))),MOD((YEAR($A279)-YEAR('Recurring Schedule'!$F$14))*12+MONTH($A279)-MONTH('Recurring Schedule'!$F$14),'Recurring Schedule'!$O$14)=0),IF('Recurring Schedule'!$E$14="Weekdays",WEEKDAY($A279,2)&lt;=5,$A279='Recurring Schedule'!$F$14))),9,""))))</f>
        <v/>
      </c>
      <c r="K279">
        <f>IF('Recurring Schedule'!$C$15="","",IF('Recurring Schedule'!$F$15="","",IF(OR($A279&lt;'Recurring Schedule'!$F$15,$A279&gt;'Recurring Schedule'!$P$15),"",IF(IF('Recurring Schedule'!$N$15&gt;0,MOD($A279-'Recurring Schedule'!$F$15,'Recurring Schedule'!$N$15)=0,IF('Recurring Schedule'!$O$15&gt;0,AND(DAY($A279)=MIN(DAY('Recurring Schedule'!$F$15),DAY(EOMONTH($A279,0))),MOD((YEAR($A279)-YEAR('Recurring Schedule'!$F$15))*12+MONTH($A279)-MONTH('Recurring Schedule'!$F$15),'Recurring Schedule'!$O$15)=0),IF('Recurring Schedule'!$E$15="Weekdays",WEEKDAY($A279,2)&lt;=5,$A279='Recurring Schedule'!$F$15))),10,""))))</f>
        <v/>
      </c>
      <c r="L279">
        <f>IF('Recurring Schedule'!$C$16="","",IF('Recurring Schedule'!$F$16="","",IF(OR($A279&lt;'Recurring Schedule'!$F$16,$A279&gt;'Recurring Schedule'!$P$16),"",IF(IF('Recurring Schedule'!$N$16&gt;0,MOD($A279-'Recurring Schedule'!$F$16,'Recurring Schedule'!$N$16)=0,IF('Recurring Schedule'!$O$16&gt;0,AND(DAY($A279)=MIN(DAY('Recurring Schedule'!$F$16),DAY(EOMONTH($A279,0))),MOD((YEAR($A279)-YEAR('Recurring Schedule'!$F$16))*12+MONTH($A279)-MONTH('Recurring Schedule'!$F$16),'Recurring Schedule'!$O$16)=0),IF('Recurring Schedule'!$E$16="Weekdays",WEEKDAY($A279,2)&lt;=5,$A279='Recurring Schedule'!$F$16))),11,""))))</f>
        <v/>
      </c>
      <c r="M279">
        <f>IF('Recurring Schedule'!$C$17="","",IF('Recurring Schedule'!$F$17="","",IF(OR($A279&lt;'Recurring Schedule'!$F$17,$A279&gt;'Recurring Schedule'!$P$17),"",IF(IF('Recurring Schedule'!$N$17&gt;0,MOD($A279-'Recurring Schedule'!$F$17,'Recurring Schedule'!$N$17)=0,IF('Recurring Schedule'!$O$17&gt;0,AND(DAY($A279)=MIN(DAY('Recurring Schedule'!$F$17),DAY(EOMONTH($A279,0))),MOD((YEAR($A279)-YEAR('Recurring Schedule'!$F$17))*12+MONTH($A279)-MONTH('Recurring Schedule'!$F$17),'Recurring Schedule'!$O$17)=0),IF('Recurring Schedule'!$E$17="Weekdays",WEEKDAY($A279,2)&lt;=5,$A279='Recurring Schedule'!$F$17))),12,""))))</f>
        <v/>
      </c>
      <c r="N279">
        <f>IF('Recurring Schedule'!$C$18="","",IF('Recurring Schedule'!$F$18="","",IF(OR($A279&lt;'Recurring Schedule'!$F$18,$A279&gt;'Recurring Schedule'!$P$18),"",IF(IF('Recurring Schedule'!$N$18&gt;0,MOD($A279-'Recurring Schedule'!$F$18,'Recurring Schedule'!$N$18)=0,IF('Recurring Schedule'!$O$18&gt;0,AND(DAY($A279)=MIN(DAY('Recurring Schedule'!$F$18),DAY(EOMONTH($A279,0))),MOD((YEAR($A279)-YEAR('Recurring Schedule'!$F$18))*12+MONTH($A279)-MONTH('Recurring Schedule'!$F$18),'Recurring Schedule'!$O$18)=0),IF('Recurring Schedule'!$E$18="Weekdays",WEEKDAY($A279,2)&lt;=5,$A279='Recurring Schedule'!$F$18))),13,""))))</f>
        <v/>
      </c>
      <c r="O279">
        <f>IF('Recurring Schedule'!$C$19="","",IF('Recurring Schedule'!$F$19="","",IF(OR($A279&lt;'Recurring Schedule'!$F$19,$A279&gt;'Recurring Schedule'!$P$19),"",IF(IF('Recurring Schedule'!$N$19&gt;0,MOD($A279-'Recurring Schedule'!$F$19,'Recurring Schedule'!$N$19)=0,IF('Recurring Schedule'!$O$19&gt;0,AND(DAY($A279)=MIN(DAY('Recurring Schedule'!$F$19),DAY(EOMONTH($A279,0))),MOD((YEAR($A279)-YEAR('Recurring Schedule'!$F$19))*12+MONTH($A279)-MONTH('Recurring Schedule'!$F$19),'Recurring Schedule'!$O$19)=0),IF('Recurring Schedule'!$E$19="Weekdays",WEEKDAY($A279,2)&lt;=5,$A279='Recurring Schedule'!$F$19))),14,""))))</f>
        <v/>
      </c>
      <c r="P279">
        <f>IF('Recurring Schedule'!$C$20="","",IF('Recurring Schedule'!$F$20="","",IF(OR($A279&lt;'Recurring Schedule'!$F$20,$A279&gt;'Recurring Schedule'!$P$20),"",IF(IF('Recurring Schedule'!$N$20&gt;0,MOD($A279-'Recurring Schedule'!$F$20,'Recurring Schedule'!$N$20)=0,IF('Recurring Schedule'!$O$20&gt;0,AND(DAY($A279)=MIN(DAY('Recurring Schedule'!$F$20),DAY(EOMONTH($A279,0))),MOD((YEAR($A279)-YEAR('Recurring Schedule'!$F$20))*12+MONTH($A279)-MONTH('Recurring Schedule'!$F$20),'Recurring Schedule'!$O$20)=0),IF('Recurring Schedule'!$E$20="Weekdays",WEEKDAY($A279,2)&lt;=5,$A279='Recurring Schedule'!$F$20))),15,""))))</f>
        <v/>
      </c>
      <c r="Q279">
        <f>IF('Recurring Schedule'!$C$21="","",IF('Recurring Schedule'!$F$21="","",IF(OR($A279&lt;'Recurring Schedule'!$F$21,$A279&gt;'Recurring Schedule'!$P$21),"",IF(IF('Recurring Schedule'!$N$21&gt;0,MOD($A279-'Recurring Schedule'!$F$21,'Recurring Schedule'!$N$21)=0,IF('Recurring Schedule'!$O$21&gt;0,AND(DAY($A279)=MIN(DAY('Recurring Schedule'!$F$21),DAY(EOMONTH($A279,0))),MOD((YEAR($A279)-YEAR('Recurring Schedule'!$F$21))*12+MONTH($A279)-MONTH('Recurring Schedule'!$F$21),'Recurring Schedule'!$O$21)=0),IF('Recurring Schedule'!$E$21="Weekdays",WEEKDAY($A279,2)&lt;=5,$A279='Recurring Schedule'!$F$21))),16,""))))</f>
        <v/>
      </c>
      <c r="R279">
        <f>IF('Recurring Schedule'!$C$22="","",IF('Recurring Schedule'!$F$22="","",IF(OR($A279&lt;'Recurring Schedule'!$F$22,$A279&gt;'Recurring Schedule'!$P$22),"",IF(IF('Recurring Schedule'!$N$22&gt;0,MOD($A279-'Recurring Schedule'!$F$22,'Recurring Schedule'!$N$22)=0,IF('Recurring Schedule'!$O$22&gt;0,AND(DAY($A279)=MIN(DAY('Recurring Schedule'!$F$22),DAY(EOMONTH($A279,0))),MOD((YEAR($A279)-YEAR('Recurring Schedule'!$F$22))*12+MONTH($A279)-MONTH('Recurring Schedule'!$F$22),'Recurring Schedule'!$O$22)=0),IF('Recurring Schedule'!$E$22="Weekdays",WEEKDAY($A279,2)&lt;=5,$A279='Recurring Schedule'!$F$22))),17,""))))</f>
        <v/>
      </c>
      <c r="S279">
        <f>IF('Recurring Schedule'!$C$23="","",IF('Recurring Schedule'!$F$23="","",IF(OR($A279&lt;'Recurring Schedule'!$F$23,$A279&gt;'Recurring Schedule'!$P$23),"",IF(IF('Recurring Schedule'!$N$23&gt;0,MOD($A279-'Recurring Schedule'!$F$23,'Recurring Schedule'!$N$23)=0,IF('Recurring Schedule'!$O$23&gt;0,AND(DAY($A279)=MIN(DAY('Recurring Schedule'!$F$23),DAY(EOMONTH($A279,0))),MOD((YEAR($A279)-YEAR('Recurring Schedule'!$F$23))*12+MONTH($A279)-MONTH('Recurring Schedule'!$F$23),'Recurring Schedule'!$O$23)=0),IF('Recurring Schedule'!$E$23="Weekdays",WEEKDAY($A279,2)&lt;=5,$A279='Recurring Schedule'!$F$23))),18,""))))</f>
        <v/>
      </c>
      <c r="T279">
        <f>IF('Recurring Schedule'!$C$24="","",IF('Recurring Schedule'!$F$24="","",IF(OR($A279&lt;'Recurring Schedule'!$F$24,$A279&gt;'Recurring Schedule'!$P$24),"",IF(IF('Recurring Schedule'!$N$24&gt;0,MOD($A279-'Recurring Schedule'!$F$24,'Recurring Schedule'!$N$24)=0,IF('Recurring Schedule'!$O$24&gt;0,AND(DAY($A279)=MIN(DAY('Recurring Schedule'!$F$24),DAY(EOMONTH($A279,0))),MOD((YEAR($A279)-YEAR('Recurring Schedule'!$F$24))*12+MONTH($A279)-MONTH('Recurring Schedule'!$F$24),'Recurring Schedule'!$O$24)=0),IF('Recurring Schedule'!$E$24="Weekdays",WEEKDAY($A279,2)&lt;=5,$A279='Recurring Schedule'!$F$24))),19,""))))</f>
        <v/>
      </c>
      <c r="U279">
        <f>IF('Recurring Schedule'!$C$25="","",IF('Recurring Schedule'!$F$25="","",IF(OR($A279&lt;'Recurring Schedule'!$F$25,$A279&gt;'Recurring Schedule'!$P$25),"",IF(IF('Recurring Schedule'!$N$25&gt;0,MOD($A279-'Recurring Schedule'!$F$25,'Recurring Schedule'!$N$25)=0,IF('Recurring Schedule'!$O$25&gt;0,AND(DAY($A279)=MIN(DAY('Recurring Schedule'!$F$25),DAY(EOMONTH($A279,0))),MOD((YEAR($A279)-YEAR('Recurring Schedule'!$F$25))*12+MONTH($A279)-MONTH('Recurring Schedule'!$F$25),'Recurring Schedule'!$O$25)=0),IF('Recurring Schedule'!$E$25="Weekdays",WEEKDAY($A279,2)&lt;=5,$A279='Recurring Schedule'!$F$25))),20,""))))</f>
        <v/>
      </c>
      <c r="V279">
        <f>IF('Recurring Schedule'!$C$26="","",IF('Recurring Schedule'!$F$26="","",IF(OR($A279&lt;'Recurring Schedule'!$F$26,$A279&gt;'Recurring Schedule'!$P$26),"",IF(IF('Recurring Schedule'!$N$26&gt;0,MOD($A279-'Recurring Schedule'!$F$26,'Recurring Schedule'!$N$26)=0,IF('Recurring Schedule'!$O$26&gt;0,AND(DAY($A279)=MIN(DAY('Recurring Schedule'!$F$26),DAY(EOMONTH($A279,0))),MOD((YEAR($A279)-YEAR('Recurring Schedule'!$F$26))*12+MONTH($A279)-MONTH('Recurring Schedule'!$F$26),'Recurring Schedule'!$O$26)=0),IF('Recurring Schedule'!$E$26="Weekdays",WEEKDAY($A279,2)&lt;=5,$A279='Recurring Schedule'!$F$26))),21,""))))</f>
        <v/>
      </c>
      <c r="W279">
        <f>IF('Recurring Schedule'!$C$27="","",IF('Recurring Schedule'!$F$27="","",IF(OR($A279&lt;'Recurring Schedule'!$F$27,$A279&gt;'Recurring Schedule'!$P$27),"",IF(IF('Recurring Schedule'!$N$27&gt;0,MOD($A279-'Recurring Schedule'!$F$27,'Recurring Schedule'!$N$27)=0,IF('Recurring Schedule'!$O$27&gt;0,AND(DAY($A279)=MIN(DAY('Recurring Schedule'!$F$27),DAY(EOMONTH($A279,0))),MOD((YEAR($A279)-YEAR('Recurring Schedule'!$F$27))*12+MONTH($A279)-MONTH('Recurring Schedule'!$F$27),'Recurring Schedule'!$O$27)=0),IF('Recurring Schedule'!$E$27="Weekdays",WEEKDAY($A279,2)&lt;=5,$A279='Recurring Schedule'!$F$27))),22,""))))</f>
        <v/>
      </c>
      <c r="X279">
        <f>IF('Recurring Schedule'!$C$28="","",IF('Recurring Schedule'!$F$28="","",IF(OR($A279&lt;'Recurring Schedule'!$F$28,$A279&gt;'Recurring Schedule'!$P$28),"",IF(IF('Recurring Schedule'!$N$28&gt;0,MOD($A279-'Recurring Schedule'!$F$28,'Recurring Schedule'!$N$28)=0,IF('Recurring Schedule'!$O$28&gt;0,AND(DAY($A279)=MIN(DAY('Recurring Schedule'!$F$28),DAY(EOMONTH($A279,0))),MOD((YEAR($A279)-YEAR('Recurring Schedule'!$F$28))*12+MONTH($A279)-MONTH('Recurring Schedule'!$F$28),'Recurring Schedule'!$O$28)=0),IF('Recurring Schedule'!$E$28="Weekdays",WEEKDAY($A279,2)&lt;=5,$A279='Recurring Schedule'!$F$28))),23,""))))</f>
        <v/>
      </c>
      <c r="Y279">
        <f>IF('Recurring Schedule'!$C$29="","",IF('Recurring Schedule'!$F$29="","",IF(OR($A279&lt;'Recurring Schedule'!$F$29,$A279&gt;'Recurring Schedule'!$P$29),"",IF(IF('Recurring Schedule'!$N$29&gt;0,MOD($A279-'Recurring Schedule'!$F$29,'Recurring Schedule'!$N$29)=0,IF('Recurring Schedule'!$O$29&gt;0,AND(DAY($A279)=MIN(DAY('Recurring Schedule'!$F$29),DAY(EOMONTH($A279,0))),MOD((YEAR($A279)-YEAR('Recurring Schedule'!$F$29))*12+MONTH($A279)-MONTH('Recurring Schedule'!$F$29),'Recurring Schedule'!$O$29)=0),IF('Recurring Schedule'!$E$29="Weekdays",WEEKDAY($A279,2)&lt;=5,$A279='Recurring Schedule'!$F$29))),24,""))))</f>
        <v/>
      </c>
      <c r="Z279">
        <f>IF('Recurring Schedule'!$C$30="","",IF('Recurring Schedule'!$F$30="","",IF(OR($A279&lt;'Recurring Schedule'!$F$30,$A279&gt;'Recurring Schedule'!$P$30),"",IF(IF('Recurring Schedule'!$N$30&gt;0,MOD($A279-'Recurring Schedule'!$F$30,'Recurring Schedule'!$N$30)=0,IF('Recurring Schedule'!$O$30&gt;0,AND(DAY($A279)=MIN(DAY('Recurring Schedule'!$F$30),DAY(EOMONTH($A279,0))),MOD((YEAR($A279)-YEAR('Recurring Schedule'!$F$30))*12+MONTH($A279)-MONTH('Recurring Schedule'!$F$30),'Recurring Schedule'!$O$30)=0),IF('Recurring Schedule'!$E$30="Weekdays",WEEKDAY($A279,2)&lt;=5,$A279='Recurring Schedule'!$F$30))),25,""))))</f>
        <v/>
      </c>
      <c r="AA279">
        <f>IF('Recurring Schedule'!$C$31="","",IF('Recurring Schedule'!$F$31="","",IF(OR($A279&lt;'Recurring Schedule'!$F$31,$A279&gt;'Recurring Schedule'!$P$31),"",IF(IF('Recurring Schedule'!$N$31&gt;0,MOD($A279-'Recurring Schedule'!$F$31,'Recurring Schedule'!$N$31)=0,IF('Recurring Schedule'!$O$31&gt;0,AND(DAY($A279)=MIN(DAY('Recurring Schedule'!$F$31),DAY(EOMONTH($A279,0))),MOD((YEAR($A279)-YEAR('Recurring Schedule'!$F$31))*12+MONTH($A279)-MONTH('Recurring Schedule'!$F$31),'Recurring Schedule'!$O$31)=0),IF('Recurring Schedule'!$E$31="Weekdays",WEEKDAY($A279,2)&lt;=5,$A279='Recurring Schedule'!$F$31))),26,""))))</f>
        <v/>
      </c>
      <c r="AB279">
        <f>IF('Recurring Schedule'!$C$32="","",IF('Recurring Schedule'!$F$32="","",IF(OR($A279&lt;'Recurring Schedule'!$F$32,$A279&gt;'Recurring Schedule'!$P$32),"",IF(IF('Recurring Schedule'!$N$32&gt;0,MOD($A279-'Recurring Schedule'!$F$32,'Recurring Schedule'!$N$32)=0,IF('Recurring Schedule'!$O$32&gt;0,AND(DAY($A279)=MIN(DAY('Recurring Schedule'!$F$32),DAY(EOMONTH($A279,0))),MOD((YEAR($A279)-YEAR('Recurring Schedule'!$F$32))*12+MONTH($A279)-MONTH('Recurring Schedule'!$F$32),'Recurring Schedule'!$O$32)=0),IF('Recurring Schedule'!$E$32="Weekdays",WEEKDAY($A279,2)&lt;=5,$A279='Recurring Schedule'!$F$32))),27,""))))</f>
        <v/>
      </c>
      <c r="AC279">
        <f>IF('Recurring Schedule'!$C$33="","",IF('Recurring Schedule'!$F$33="","",IF(OR($A279&lt;'Recurring Schedule'!$F$33,$A279&gt;'Recurring Schedule'!$P$33),"",IF(IF('Recurring Schedule'!$N$33&gt;0,MOD($A279-'Recurring Schedule'!$F$33,'Recurring Schedule'!$N$33)=0,IF('Recurring Schedule'!$O$33&gt;0,AND(DAY($A279)=MIN(DAY('Recurring Schedule'!$F$33),DAY(EOMONTH($A279,0))),MOD((YEAR($A279)-YEAR('Recurring Schedule'!$F$33))*12+MONTH($A279)-MONTH('Recurring Schedule'!$F$33),'Recurring Schedule'!$O$33)=0),IF('Recurring Schedule'!$E$33="Weekdays",WEEKDAY($A279,2)&lt;=5,$A279='Recurring Schedule'!$F$33))),28,""))))</f>
        <v/>
      </c>
      <c r="AD279">
        <f>IF('Recurring Schedule'!$C$34="","",IF('Recurring Schedule'!$F$34="","",IF(OR($A279&lt;'Recurring Schedule'!$F$34,$A279&gt;'Recurring Schedule'!$P$34),"",IF(IF('Recurring Schedule'!$N$34&gt;0,MOD($A279-'Recurring Schedule'!$F$34,'Recurring Schedule'!$N$34)=0,IF('Recurring Schedule'!$O$34&gt;0,AND(DAY($A279)=MIN(DAY('Recurring Schedule'!$F$34),DAY(EOMONTH($A279,0))),MOD((YEAR($A279)-YEAR('Recurring Schedule'!$F$34))*12+MONTH($A279)-MONTH('Recurring Schedule'!$F$34),'Recurring Schedule'!$O$34)=0),IF('Recurring Schedule'!$E$34="Weekdays",WEEKDAY($A279,2)&lt;=5,$A279='Recurring Schedule'!$F$34))),29,""))))</f>
        <v/>
      </c>
      <c r="AE279">
        <f>IF('Recurring Schedule'!$C$35="","",IF('Recurring Schedule'!$F$35="","",IF(OR($A279&lt;'Recurring Schedule'!$F$35,$A279&gt;'Recurring Schedule'!$P$35),"",IF(IF('Recurring Schedule'!$N$35&gt;0,MOD($A279-'Recurring Schedule'!$F$35,'Recurring Schedule'!$N$35)=0,IF('Recurring Schedule'!$O$35&gt;0,AND(DAY($A279)=MIN(DAY('Recurring Schedule'!$F$35),DAY(EOMONTH($A279,0))),MOD((YEAR($A279)-YEAR('Recurring Schedule'!$F$35))*12+MONTH($A279)-MONTH('Recurring Schedule'!$F$35),'Recurring Schedule'!$O$35)=0),IF('Recurring Schedule'!$E$35="Weekdays",WEEKDAY($A279,2)&lt;=5,$A279='Recurring Schedule'!$F$35))),30,""))))</f>
        <v/>
      </c>
      <c r="AF279">
        <f>IF('Recurring Schedule'!$C$36="","",IF('Recurring Schedule'!$F$36="","",IF(OR($A279&lt;'Recurring Schedule'!$F$36,$A279&gt;'Recurring Schedule'!$P$36),"",IF(IF('Recurring Schedule'!$N$36&gt;0,MOD($A279-'Recurring Schedule'!$F$36,'Recurring Schedule'!$N$36)=0,IF('Recurring Schedule'!$O$36&gt;0,AND(DAY($A279)=MIN(DAY('Recurring Schedule'!$F$36),DAY(EOMONTH($A279,0))),MOD((YEAR($A279)-YEAR('Recurring Schedule'!$F$36))*12+MONTH($A279)-MONTH('Recurring Schedule'!$F$36),'Recurring Schedule'!$O$36)=0),IF('Recurring Schedule'!$E$36="Weekdays",WEEKDAY($A279,2)&lt;=5,$A279='Recurring Schedule'!$F$36))),31,""))))</f>
        <v/>
      </c>
      <c r="AG279">
        <f>IF('Recurring Schedule'!$C$37="","",IF('Recurring Schedule'!$F$37="","",IF(OR($A279&lt;'Recurring Schedule'!$F$37,$A279&gt;'Recurring Schedule'!$P$37),"",IF(IF('Recurring Schedule'!$N$37&gt;0,MOD($A279-'Recurring Schedule'!$F$37,'Recurring Schedule'!$N$37)=0,IF('Recurring Schedule'!$O$37&gt;0,AND(DAY($A279)=MIN(DAY('Recurring Schedule'!$F$37),DAY(EOMONTH($A279,0))),MOD((YEAR($A279)-YEAR('Recurring Schedule'!$F$37))*12+MONTH($A279)-MONTH('Recurring Schedule'!$F$37),'Recurring Schedule'!$O$37)=0),IF('Recurring Schedule'!$E$37="Weekdays",WEEKDAY($A279,2)&lt;=5,$A279='Recurring Schedule'!$F$37))),32,""))))</f>
        <v/>
      </c>
      <c r="AH279">
        <f>IF('Recurring Schedule'!$C$38="","",IF('Recurring Schedule'!$F$38="","",IF(OR($A279&lt;'Recurring Schedule'!$F$38,$A279&gt;'Recurring Schedule'!$P$38),"",IF(IF('Recurring Schedule'!$N$38&gt;0,MOD($A279-'Recurring Schedule'!$F$38,'Recurring Schedule'!$N$38)=0,IF('Recurring Schedule'!$O$38&gt;0,AND(DAY($A279)=MIN(DAY('Recurring Schedule'!$F$38),DAY(EOMONTH($A279,0))),MOD((YEAR($A279)-YEAR('Recurring Schedule'!$F$38))*12+MONTH($A279)-MONTH('Recurring Schedule'!$F$38),'Recurring Schedule'!$O$38)=0),IF('Recurring Schedule'!$E$38="Weekdays",WEEKDAY($A279,2)&lt;=5,$A279='Recurring Schedule'!$F$38))),33,""))))</f>
        <v/>
      </c>
      <c r="AI279">
        <f>IF('Recurring Schedule'!$C$39="","",IF('Recurring Schedule'!$F$39="","",IF(OR($A279&lt;'Recurring Schedule'!$F$39,$A279&gt;'Recurring Schedule'!$P$39),"",IF(IF('Recurring Schedule'!$N$39&gt;0,MOD($A279-'Recurring Schedule'!$F$39,'Recurring Schedule'!$N$39)=0,IF('Recurring Schedule'!$O$39&gt;0,AND(DAY($A279)=MIN(DAY('Recurring Schedule'!$F$39),DAY(EOMONTH($A279,0))),MOD((YEAR($A279)-YEAR('Recurring Schedule'!$F$39))*12+MONTH($A279)-MONTH('Recurring Schedule'!$F$39),'Recurring Schedule'!$O$39)=0),IF('Recurring Schedule'!$E$39="Weekdays",WEEKDAY($A279,2)&lt;=5,$A279='Recurring Schedule'!$F$39))),34,""))))</f>
        <v/>
      </c>
      <c r="AJ279">
        <f>IF('Recurring Schedule'!$C$40="","",IF('Recurring Schedule'!$F$40="","",IF(OR($A279&lt;'Recurring Schedule'!$F$40,$A279&gt;'Recurring Schedule'!$P$40),"",IF(IF('Recurring Schedule'!$N$40&gt;0,MOD($A279-'Recurring Schedule'!$F$40,'Recurring Schedule'!$N$40)=0,IF('Recurring Schedule'!$O$40&gt;0,AND(DAY($A279)=MIN(DAY('Recurring Schedule'!$F$40),DAY(EOMONTH($A279,0))),MOD((YEAR($A279)-YEAR('Recurring Schedule'!$F$40))*12+MONTH($A279)-MONTH('Recurring Schedule'!$F$40),'Recurring Schedule'!$O$40)=0),IF('Recurring Schedule'!$E$40="Weekdays",WEEKDAY($A279,2)&lt;=5,$A279='Recurring Schedule'!$F$40))),35,""))))</f>
        <v/>
      </c>
      <c r="AK279">
        <f>IF('Recurring Schedule'!$C$41="","",IF('Recurring Schedule'!$F$41="","",IF(OR($A279&lt;'Recurring Schedule'!$F$41,$A279&gt;'Recurring Schedule'!$P$41),"",IF(IF('Recurring Schedule'!$N$41&gt;0,MOD($A279-'Recurring Schedule'!$F$41,'Recurring Schedule'!$N$41)=0,IF('Recurring Schedule'!$O$41&gt;0,AND(DAY($A279)=MIN(DAY('Recurring Schedule'!$F$41),DAY(EOMONTH($A279,0))),MOD((YEAR($A279)-YEAR('Recurring Schedule'!$F$41))*12+MONTH($A279)-MONTH('Recurring Schedule'!$F$41),'Recurring Schedule'!$O$41)=0),IF('Recurring Schedule'!$E$41="Weekdays",WEEKDAY($A279,2)&lt;=5,$A279='Recurring Schedule'!$F$41))),36,""))))</f>
        <v/>
      </c>
      <c r="AL279">
        <f>IF('Recurring Schedule'!$C$42="","",IF('Recurring Schedule'!$F$42="","",IF(OR($A279&lt;'Recurring Schedule'!$F$42,$A279&gt;'Recurring Schedule'!$P$42),"",IF(IF('Recurring Schedule'!$N$42&gt;0,MOD($A279-'Recurring Schedule'!$F$42,'Recurring Schedule'!$N$42)=0,IF('Recurring Schedule'!$O$42&gt;0,AND(DAY($A279)=MIN(DAY('Recurring Schedule'!$F$42),DAY(EOMONTH($A279,0))),MOD((YEAR($A279)-YEAR('Recurring Schedule'!$F$42))*12+MONTH($A279)-MONTH('Recurring Schedule'!$F$42),'Recurring Schedule'!$O$42)=0),IF('Recurring Schedule'!$E$42="Weekdays",WEEKDAY($A279,2)&lt;=5,$A279='Recurring Schedule'!$F$42))),37,""))))</f>
        <v/>
      </c>
      <c r="AM279">
        <f>IF('Recurring Schedule'!$C$43="","",IF('Recurring Schedule'!$F$43="","",IF(OR($A279&lt;'Recurring Schedule'!$F$43,$A279&gt;'Recurring Schedule'!$P$43),"",IF(IF('Recurring Schedule'!$N$43&gt;0,MOD($A279-'Recurring Schedule'!$F$43,'Recurring Schedule'!$N$43)=0,IF('Recurring Schedule'!$O$43&gt;0,AND(DAY($A279)=MIN(DAY('Recurring Schedule'!$F$43),DAY(EOMONTH($A279,0))),MOD((YEAR($A279)-YEAR('Recurring Schedule'!$F$43))*12+MONTH($A279)-MONTH('Recurring Schedule'!$F$43),'Recurring Schedule'!$O$43)=0),IF('Recurring Schedule'!$E$43="Weekdays",WEEKDAY($A279,2)&lt;=5,$A279='Recurring Schedule'!$F$43))),38,""))))</f>
        <v/>
      </c>
      <c r="AN279">
        <f>IF('Recurring Schedule'!$C$44="","",IF('Recurring Schedule'!$F$44="","",IF(OR($A279&lt;'Recurring Schedule'!$F$44,$A279&gt;'Recurring Schedule'!$P$44),"",IF(IF('Recurring Schedule'!$N$44&gt;0,MOD($A279-'Recurring Schedule'!$F$44,'Recurring Schedule'!$N$44)=0,IF('Recurring Schedule'!$O$44&gt;0,AND(DAY($A279)=MIN(DAY('Recurring Schedule'!$F$44),DAY(EOMONTH($A279,0))),MOD((YEAR($A279)-YEAR('Recurring Schedule'!$F$44))*12+MONTH($A279)-MONTH('Recurring Schedule'!$F$44),'Recurring Schedule'!$O$44)=0),IF('Recurring Schedule'!$E$44="Weekdays",WEEKDAY($A279,2)&lt;=5,$A279='Recurring Schedule'!$F$44))),39,""))))</f>
        <v/>
      </c>
      <c r="AO279">
        <f>IF('Recurring Schedule'!$C$45="","",IF('Recurring Schedule'!$F$45="","",IF(OR($A279&lt;'Recurring Schedule'!$F$45,$A279&gt;'Recurring Schedule'!$P$45),"",IF(IF('Recurring Schedule'!$N$45&gt;0,MOD($A279-'Recurring Schedule'!$F$45,'Recurring Schedule'!$N$45)=0,IF('Recurring Schedule'!$O$45&gt;0,AND(DAY($A279)=MIN(DAY('Recurring Schedule'!$F$45),DAY(EOMONTH($A279,0))),MOD((YEAR($A279)-YEAR('Recurring Schedule'!$F$45))*12+MONTH($A279)-MONTH('Recurring Schedule'!$F$45),'Recurring Schedule'!$O$45)=0),IF('Recurring Schedule'!$E$45="Weekdays",WEEKDAY($A279,2)&lt;=5,$A279='Recurring Schedule'!$F$45))),40,""))))</f>
        <v/>
      </c>
      <c r="AP279">
        <f>COUNT(B279:AO279)</f>
        <v/>
      </c>
      <c r="AQ279">
        <f>AQ278+AP278</f>
        <v/>
      </c>
      <c r="AS279" t="inlineStr">
        <is>
          <t>R</t>
        </is>
      </c>
      <c r="AT279" t="n">
        <v>283</v>
      </c>
      <c r="AU279">
        <f>'Recurring Log'!C283&amp;""</f>
        <v/>
      </c>
      <c r="AV279">
        <f>'Recurring Log'!D283&amp;""</f>
        <v/>
      </c>
      <c r="AW279">
        <f>IF('Recurring Log'!E283="","",'Recurring Log'!E283)</f>
        <v/>
      </c>
      <c r="AX279">
        <f>IF('Recurring Log'!G283="","",'Recurring Log'!G283)</f>
        <v/>
      </c>
      <c r="AY279">
        <f>IF('Recurring Log'!H283="","",'Recurring Log'!H283)</f>
        <v/>
      </c>
      <c r="AZ279">
        <f>IF(AU279="","",IF('Recurring Log'!J283="","Not Started",'Recurring Log'!J283))</f>
        <v/>
      </c>
      <c r="BA279">
        <f>'Recurring Log'!L283&amp;""</f>
        <v/>
      </c>
      <c r="BB279">
        <f>'Recurring Log'!M283&amp;""</f>
        <v/>
      </c>
      <c r="BC279">
        <f>'Recurring Log'!N283&amp;""</f>
        <v/>
      </c>
      <c r="BD279">
        <f>'Recurring Log'!O283&amp;""</f>
        <v/>
      </c>
      <c r="BE279">
        <f>IF('Recurring Log'!K283="","",'Recurring Log'!K283)</f>
        <v/>
      </c>
      <c r="BF279">
        <f>IFERROR(MATCH(BA279,Setup!$L$6:$L$9,0),5)</f>
        <v/>
      </c>
      <c r="BG279">
        <f>IF(OR(AZ279="Done",AZ279="Cancelled"),1,0)</f>
        <v/>
      </c>
      <c r="BH279">
        <f>IF(AND(AU279&lt;&gt;"",ISNUMBER(AW279)),1,0)</f>
        <v/>
      </c>
      <c r="BI279">
        <f>IF(BH279=0,0,IF(AND(AW279&gt;='Tasks Filter'!$F$3,AW279&lt;='Tasks Filter'!$F$4,OR('Tasks Filter'!$I$3="",ISNUMBER(SEARCH('Tasks Filter'!$I$3,AU279))),OR('Tasks Filter'!$I$4="",BF279=IFERROR(MATCH('Tasks Filter'!$I$4,Setup!$L$6:$L$9,0),0)),OR('Tasks Filter'!$I$5="Both",AND('Tasks Filter'!$I$5="Yes",BB279="✓"),AND('Tasks Filter'!$I$5="No",BB279&lt;&gt;"✓")),OR('Tasks Filter'!$L$3="",AV279='Tasks Filter'!$L$3),OR('Tasks Filter'!$L$4="",AZ279='Tasks Filter'!$L$4),OR('Tasks Filter'!$L$5="",BC279='Tasks Filter'!$L$5),OR('Tasks Filter'!$O$3="",BD279='Tasks Filter'!$O$3),OR('Tasks Filter'!$O$4="Yes",BG279=0)),1,0))</f>
        <v/>
      </c>
      <c r="BJ279">
        <f>IF(BH279=0,"",IF('Tasks Filter'!$F$6="Descending",-1,1)*CHOOSE(MATCH('Tasks Filter'!$F$5,Lists!$G$2:$G$6,0),AW279,BF279,IFERROR(MATCH(AV279,Setup!$F$6:$F$15,0),99),IFERROR(MATCH(BC279,Setup!$H$6:$H$15,0),99),IFERROR(MATCH(AZ279,Setup!$J$6:$J$11,0),99))*1E+9+(AW279-40000)*10000+278)</f>
        <v/>
      </c>
      <c r="BK279">
        <f>IF(BI279=1,BJ279,"")</f>
        <v/>
      </c>
      <c r="BL279">
        <f>IF(AND(BH279=1,BG279=0,N(AW279)&lt;Setup!$D$7),(AW279-40000)*10000+278,"")</f>
        <v/>
      </c>
      <c r="BM279">
        <f>IF(AND(BH279=1,AZ279&lt;&gt;"Cancelled",N(AW279)&gt;=Dashboard!$AB$3,N(AW279)&lt;=Dashboard!$AB$3+6),(AW279-40000)*100000+BF279*10000+278,"")</f>
        <v/>
      </c>
      <c r="BN279">
        <f>IF(AND(BH279=1,AZ279&lt;&gt;"Cancelled"),BF279*10000+278,"")</f>
        <v/>
      </c>
    </row>
    <row r="280">
      <c r="A280">
        <f>Setup!$D$5+278</f>
        <v/>
      </c>
      <c r="B280">
        <f>IF('Recurring Schedule'!$C$6="","",IF('Recurring Schedule'!$F$6="","",IF(OR($A280&lt;'Recurring Schedule'!$F$6,$A280&gt;'Recurring Schedule'!$P$6),"",IF(IF('Recurring Schedule'!$N$6&gt;0,MOD($A280-'Recurring Schedule'!$F$6,'Recurring Schedule'!$N$6)=0,IF('Recurring Schedule'!$O$6&gt;0,AND(DAY($A280)=MIN(DAY('Recurring Schedule'!$F$6),DAY(EOMONTH($A280,0))),MOD((YEAR($A280)-YEAR('Recurring Schedule'!$F$6))*12+MONTH($A280)-MONTH('Recurring Schedule'!$F$6),'Recurring Schedule'!$O$6)=0),IF('Recurring Schedule'!$E$6="Weekdays",WEEKDAY($A280,2)&lt;=5,$A280='Recurring Schedule'!$F$6))),1,""))))</f>
        <v/>
      </c>
      <c r="C280">
        <f>IF('Recurring Schedule'!$C$7="","",IF('Recurring Schedule'!$F$7="","",IF(OR($A280&lt;'Recurring Schedule'!$F$7,$A280&gt;'Recurring Schedule'!$P$7),"",IF(IF('Recurring Schedule'!$N$7&gt;0,MOD($A280-'Recurring Schedule'!$F$7,'Recurring Schedule'!$N$7)=0,IF('Recurring Schedule'!$O$7&gt;0,AND(DAY($A280)=MIN(DAY('Recurring Schedule'!$F$7),DAY(EOMONTH($A280,0))),MOD((YEAR($A280)-YEAR('Recurring Schedule'!$F$7))*12+MONTH($A280)-MONTH('Recurring Schedule'!$F$7),'Recurring Schedule'!$O$7)=0),IF('Recurring Schedule'!$E$7="Weekdays",WEEKDAY($A280,2)&lt;=5,$A280='Recurring Schedule'!$F$7))),2,""))))</f>
        <v/>
      </c>
      <c r="D280">
        <f>IF('Recurring Schedule'!$C$8="","",IF('Recurring Schedule'!$F$8="","",IF(OR($A280&lt;'Recurring Schedule'!$F$8,$A280&gt;'Recurring Schedule'!$P$8),"",IF(IF('Recurring Schedule'!$N$8&gt;0,MOD($A280-'Recurring Schedule'!$F$8,'Recurring Schedule'!$N$8)=0,IF('Recurring Schedule'!$O$8&gt;0,AND(DAY($A280)=MIN(DAY('Recurring Schedule'!$F$8),DAY(EOMONTH($A280,0))),MOD((YEAR($A280)-YEAR('Recurring Schedule'!$F$8))*12+MONTH($A280)-MONTH('Recurring Schedule'!$F$8),'Recurring Schedule'!$O$8)=0),IF('Recurring Schedule'!$E$8="Weekdays",WEEKDAY($A280,2)&lt;=5,$A280='Recurring Schedule'!$F$8))),3,""))))</f>
        <v/>
      </c>
      <c r="E280">
        <f>IF('Recurring Schedule'!$C$9="","",IF('Recurring Schedule'!$F$9="","",IF(OR($A280&lt;'Recurring Schedule'!$F$9,$A280&gt;'Recurring Schedule'!$P$9),"",IF(IF('Recurring Schedule'!$N$9&gt;0,MOD($A280-'Recurring Schedule'!$F$9,'Recurring Schedule'!$N$9)=0,IF('Recurring Schedule'!$O$9&gt;0,AND(DAY($A280)=MIN(DAY('Recurring Schedule'!$F$9),DAY(EOMONTH($A280,0))),MOD((YEAR($A280)-YEAR('Recurring Schedule'!$F$9))*12+MONTH($A280)-MONTH('Recurring Schedule'!$F$9),'Recurring Schedule'!$O$9)=0),IF('Recurring Schedule'!$E$9="Weekdays",WEEKDAY($A280,2)&lt;=5,$A280='Recurring Schedule'!$F$9))),4,""))))</f>
        <v/>
      </c>
      <c r="F280">
        <f>IF('Recurring Schedule'!$C$10="","",IF('Recurring Schedule'!$F$10="","",IF(OR($A280&lt;'Recurring Schedule'!$F$10,$A280&gt;'Recurring Schedule'!$P$10),"",IF(IF('Recurring Schedule'!$N$10&gt;0,MOD($A280-'Recurring Schedule'!$F$10,'Recurring Schedule'!$N$10)=0,IF('Recurring Schedule'!$O$10&gt;0,AND(DAY($A280)=MIN(DAY('Recurring Schedule'!$F$10),DAY(EOMONTH($A280,0))),MOD((YEAR($A280)-YEAR('Recurring Schedule'!$F$10))*12+MONTH($A280)-MONTH('Recurring Schedule'!$F$10),'Recurring Schedule'!$O$10)=0),IF('Recurring Schedule'!$E$10="Weekdays",WEEKDAY($A280,2)&lt;=5,$A280='Recurring Schedule'!$F$10))),5,""))))</f>
        <v/>
      </c>
      <c r="G280">
        <f>IF('Recurring Schedule'!$C$11="","",IF('Recurring Schedule'!$F$11="","",IF(OR($A280&lt;'Recurring Schedule'!$F$11,$A280&gt;'Recurring Schedule'!$P$11),"",IF(IF('Recurring Schedule'!$N$11&gt;0,MOD($A280-'Recurring Schedule'!$F$11,'Recurring Schedule'!$N$11)=0,IF('Recurring Schedule'!$O$11&gt;0,AND(DAY($A280)=MIN(DAY('Recurring Schedule'!$F$11),DAY(EOMONTH($A280,0))),MOD((YEAR($A280)-YEAR('Recurring Schedule'!$F$11))*12+MONTH($A280)-MONTH('Recurring Schedule'!$F$11),'Recurring Schedule'!$O$11)=0),IF('Recurring Schedule'!$E$11="Weekdays",WEEKDAY($A280,2)&lt;=5,$A280='Recurring Schedule'!$F$11))),6,""))))</f>
        <v/>
      </c>
      <c r="H280">
        <f>IF('Recurring Schedule'!$C$12="","",IF('Recurring Schedule'!$F$12="","",IF(OR($A280&lt;'Recurring Schedule'!$F$12,$A280&gt;'Recurring Schedule'!$P$12),"",IF(IF('Recurring Schedule'!$N$12&gt;0,MOD($A280-'Recurring Schedule'!$F$12,'Recurring Schedule'!$N$12)=0,IF('Recurring Schedule'!$O$12&gt;0,AND(DAY($A280)=MIN(DAY('Recurring Schedule'!$F$12),DAY(EOMONTH($A280,0))),MOD((YEAR($A280)-YEAR('Recurring Schedule'!$F$12))*12+MONTH($A280)-MONTH('Recurring Schedule'!$F$12),'Recurring Schedule'!$O$12)=0),IF('Recurring Schedule'!$E$12="Weekdays",WEEKDAY($A280,2)&lt;=5,$A280='Recurring Schedule'!$F$12))),7,""))))</f>
        <v/>
      </c>
      <c r="I280">
        <f>IF('Recurring Schedule'!$C$13="","",IF('Recurring Schedule'!$F$13="","",IF(OR($A280&lt;'Recurring Schedule'!$F$13,$A280&gt;'Recurring Schedule'!$P$13),"",IF(IF('Recurring Schedule'!$N$13&gt;0,MOD($A280-'Recurring Schedule'!$F$13,'Recurring Schedule'!$N$13)=0,IF('Recurring Schedule'!$O$13&gt;0,AND(DAY($A280)=MIN(DAY('Recurring Schedule'!$F$13),DAY(EOMONTH($A280,0))),MOD((YEAR($A280)-YEAR('Recurring Schedule'!$F$13))*12+MONTH($A280)-MONTH('Recurring Schedule'!$F$13),'Recurring Schedule'!$O$13)=0),IF('Recurring Schedule'!$E$13="Weekdays",WEEKDAY($A280,2)&lt;=5,$A280='Recurring Schedule'!$F$13))),8,""))))</f>
        <v/>
      </c>
      <c r="J280">
        <f>IF('Recurring Schedule'!$C$14="","",IF('Recurring Schedule'!$F$14="","",IF(OR($A280&lt;'Recurring Schedule'!$F$14,$A280&gt;'Recurring Schedule'!$P$14),"",IF(IF('Recurring Schedule'!$N$14&gt;0,MOD($A280-'Recurring Schedule'!$F$14,'Recurring Schedule'!$N$14)=0,IF('Recurring Schedule'!$O$14&gt;0,AND(DAY($A280)=MIN(DAY('Recurring Schedule'!$F$14),DAY(EOMONTH($A280,0))),MOD((YEAR($A280)-YEAR('Recurring Schedule'!$F$14))*12+MONTH($A280)-MONTH('Recurring Schedule'!$F$14),'Recurring Schedule'!$O$14)=0),IF('Recurring Schedule'!$E$14="Weekdays",WEEKDAY($A280,2)&lt;=5,$A280='Recurring Schedule'!$F$14))),9,""))))</f>
        <v/>
      </c>
      <c r="K280">
        <f>IF('Recurring Schedule'!$C$15="","",IF('Recurring Schedule'!$F$15="","",IF(OR($A280&lt;'Recurring Schedule'!$F$15,$A280&gt;'Recurring Schedule'!$P$15),"",IF(IF('Recurring Schedule'!$N$15&gt;0,MOD($A280-'Recurring Schedule'!$F$15,'Recurring Schedule'!$N$15)=0,IF('Recurring Schedule'!$O$15&gt;0,AND(DAY($A280)=MIN(DAY('Recurring Schedule'!$F$15),DAY(EOMONTH($A280,0))),MOD((YEAR($A280)-YEAR('Recurring Schedule'!$F$15))*12+MONTH($A280)-MONTH('Recurring Schedule'!$F$15),'Recurring Schedule'!$O$15)=0),IF('Recurring Schedule'!$E$15="Weekdays",WEEKDAY($A280,2)&lt;=5,$A280='Recurring Schedule'!$F$15))),10,""))))</f>
        <v/>
      </c>
      <c r="L280">
        <f>IF('Recurring Schedule'!$C$16="","",IF('Recurring Schedule'!$F$16="","",IF(OR($A280&lt;'Recurring Schedule'!$F$16,$A280&gt;'Recurring Schedule'!$P$16),"",IF(IF('Recurring Schedule'!$N$16&gt;0,MOD($A280-'Recurring Schedule'!$F$16,'Recurring Schedule'!$N$16)=0,IF('Recurring Schedule'!$O$16&gt;0,AND(DAY($A280)=MIN(DAY('Recurring Schedule'!$F$16),DAY(EOMONTH($A280,0))),MOD((YEAR($A280)-YEAR('Recurring Schedule'!$F$16))*12+MONTH($A280)-MONTH('Recurring Schedule'!$F$16),'Recurring Schedule'!$O$16)=0),IF('Recurring Schedule'!$E$16="Weekdays",WEEKDAY($A280,2)&lt;=5,$A280='Recurring Schedule'!$F$16))),11,""))))</f>
        <v/>
      </c>
      <c r="M280">
        <f>IF('Recurring Schedule'!$C$17="","",IF('Recurring Schedule'!$F$17="","",IF(OR($A280&lt;'Recurring Schedule'!$F$17,$A280&gt;'Recurring Schedule'!$P$17),"",IF(IF('Recurring Schedule'!$N$17&gt;0,MOD($A280-'Recurring Schedule'!$F$17,'Recurring Schedule'!$N$17)=0,IF('Recurring Schedule'!$O$17&gt;0,AND(DAY($A280)=MIN(DAY('Recurring Schedule'!$F$17),DAY(EOMONTH($A280,0))),MOD((YEAR($A280)-YEAR('Recurring Schedule'!$F$17))*12+MONTH($A280)-MONTH('Recurring Schedule'!$F$17),'Recurring Schedule'!$O$17)=0),IF('Recurring Schedule'!$E$17="Weekdays",WEEKDAY($A280,2)&lt;=5,$A280='Recurring Schedule'!$F$17))),12,""))))</f>
        <v/>
      </c>
      <c r="N280">
        <f>IF('Recurring Schedule'!$C$18="","",IF('Recurring Schedule'!$F$18="","",IF(OR($A280&lt;'Recurring Schedule'!$F$18,$A280&gt;'Recurring Schedule'!$P$18),"",IF(IF('Recurring Schedule'!$N$18&gt;0,MOD($A280-'Recurring Schedule'!$F$18,'Recurring Schedule'!$N$18)=0,IF('Recurring Schedule'!$O$18&gt;0,AND(DAY($A280)=MIN(DAY('Recurring Schedule'!$F$18),DAY(EOMONTH($A280,0))),MOD((YEAR($A280)-YEAR('Recurring Schedule'!$F$18))*12+MONTH($A280)-MONTH('Recurring Schedule'!$F$18),'Recurring Schedule'!$O$18)=0),IF('Recurring Schedule'!$E$18="Weekdays",WEEKDAY($A280,2)&lt;=5,$A280='Recurring Schedule'!$F$18))),13,""))))</f>
        <v/>
      </c>
      <c r="O280">
        <f>IF('Recurring Schedule'!$C$19="","",IF('Recurring Schedule'!$F$19="","",IF(OR($A280&lt;'Recurring Schedule'!$F$19,$A280&gt;'Recurring Schedule'!$P$19),"",IF(IF('Recurring Schedule'!$N$19&gt;0,MOD($A280-'Recurring Schedule'!$F$19,'Recurring Schedule'!$N$19)=0,IF('Recurring Schedule'!$O$19&gt;0,AND(DAY($A280)=MIN(DAY('Recurring Schedule'!$F$19),DAY(EOMONTH($A280,0))),MOD((YEAR($A280)-YEAR('Recurring Schedule'!$F$19))*12+MONTH($A280)-MONTH('Recurring Schedule'!$F$19),'Recurring Schedule'!$O$19)=0),IF('Recurring Schedule'!$E$19="Weekdays",WEEKDAY($A280,2)&lt;=5,$A280='Recurring Schedule'!$F$19))),14,""))))</f>
        <v/>
      </c>
      <c r="P280">
        <f>IF('Recurring Schedule'!$C$20="","",IF('Recurring Schedule'!$F$20="","",IF(OR($A280&lt;'Recurring Schedule'!$F$20,$A280&gt;'Recurring Schedule'!$P$20),"",IF(IF('Recurring Schedule'!$N$20&gt;0,MOD($A280-'Recurring Schedule'!$F$20,'Recurring Schedule'!$N$20)=0,IF('Recurring Schedule'!$O$20&gt;0,AND(DAY($A280)=MIN(DAY('Recurring Schedule'!$F$20),DAY(EOMONTH($A280,0))),MOD((YEAR($A280)-YEAR('Recurring Schedule'!$F$20))*12+MONTH($A280)-MONTH('Recurring Schedule'!$F$20),'Recurring Schedule'!$O$20)=0),IF('Recurring Schedule'!$E$20="Weekdays",WEEKDAY($A280,2)&lt;=5,$A280='Recurring Schedule'!$F$20))),15,""))))</f>
        <v/>
      </c>
      <c r="Q280">
        <f>IF('Recurring Schedule'!$C$21="","",IF('Recurring Schedule'!$F$21="","",IF(OR($A280&lt;'Recurring Schedule'!$F$21,$A280&gt;'Recurring Schedule'!$P$21),"",IF(IF('Recurring Schedule'!$N$21&gt;0,MOD($A280-'Recurring Schedule'!$F$21,'Recurring Schedule'!$N$21)=0,IF('Recurring Schedule'!$O$21&gt;0,AND(DAY($A280)=MIN(DAY('Recurring Schedule'!$F$21),DAY(EOMONTH($A280,0))),MOD((YEAR($A280)-YEAR('Recurring Schedule'!$F$21))*12+MONTH($A280)-MONTH('Recurring Schedule'!$F$21),'Recurring Schedule'!$O$21)=0),IF('Recurring Schedule'!$E$21="Weekdays",WEEKDAY($A280,2)&lt;=5,$A280='Recurring Schedule'!$F$21))),16,""))))</f>
        <v/>
      </c>
      <c r="R280">
        <f>IF('Recurring Schedule'!$C$22="","",IF('Recurring Schedule'!$F$22="","",IF(OR($A280&lt;'Recurring Schedule'!$F$22,$A280&gt;'Recurring Schedule'!$P$22),"",IF(IF('Recurring Schedule'!$N$22&gt;0,MOD($A280-'Recurring Schedule'!$F$22,'Recurring Schedule'!$N$22)=0,IF('Recurring Schedule'!$O$22&gt;0,AND(DAY($A280)=MIN(DAY('Recurring Schedule'!$F$22),DAY(EOMONTH($A280,0))),MOD((YEAR($A280)-YEAR('Recurring Schedule'!$F$22))*12+MONTH($A280)-MONTH('Recurring Schedule'!$F$22),'Recurring Schedule'!$O$22)=0),IF('Recurring Schedule'!$E$22="Weekdays",WEEKDAY($A280,2)&lt;=5,$A280='Recurring Schedule'!$F$22))),17,""))))</f>
        <v/>
      </c>
      <c r="S280">
        <f>IF('Recurring Schedule'!$C$23="","",IF('Recurring Schedule'!$F$23="","",IF(OR($A280&lt;'Recurring Schedule'!$F$23,$A280&gt;'Recurring Schedule'!$P$23),"",IF(IF('Recurring Schedule'!$N$23&gt;0,MOD($A280-'Recurring Schedule'!$F$23,'Recurring Schedule'!$N$23)=0,IF('Recurring Schedule'!$O$23&gt;0,AND(DAY($A280)=MIN(DAY('Recurring Schedule'!$F$23),DAY(EOMONTH($A280,0))),MOD((YEAR($A280)-YEAR('Recurring Schedule'!$F$23))*12+MONTH($A280)-MONTH('Recurring Schedule'!$F$23),'Recurring Schedule'!$O$23)=0),IF('Recurring Schedule'!$E$23="Weekdays",WEEKDAY($A280,2)&lt;=5,$A280='Recurring Schedule'!$F$23))),18,""))))</f>
        <v/>
      </c>
      <c r="T280">
        <f>IF('Recurring Schedule'!$C$24="","",IF('Recurring Schedule'!$F$24="","",IF(OR($A280&lt;'Recurring Schedule'!$F$24,$A280&gt;'Recurring Schedule'!$P$24),"",IF(IF('Recurring Schedule'!$N$24&gt;0,MOD($A280-'Recurring Schedule'!$F$24,'Recurring Schedule'!$N$24)=0,IF('Recurring Schedule'!$O$24&gt;0,AND(DAY($A280)=MIN(DAY('Recurring Schedule'!$F$24),DAY(EOMONTH($A280,0))),MOD((YEAR($A280)-YEAR('Recurring Schedule'!$F$24))*12+MONTH($A280)-MONTH('Recurring Schedule'!$F$24),'Recurring Schedule'!$O$24)=0),IF('Recurring Schedule'!$E$24="Weekdays",WEEKDAY($A280,2)&lt;=5,$A280='Recurring Schedule'!$F$24))),19,""))))</f>
        <v/>
      </c>
      <c r="U280">
        <f>IF('Recurring Schedule'!$C$25="","",IF('Recurring Schedule'!$F$25="","",IF(OR($A280&lt;'Recurring Schedule'!$F$25,$A280&gt;'Recurring Schedule'!$P$25),"",IF(IF('Recurring Schedule'!$N$25&gt;0,MOD($A280-'Recurring Schedule'!$F$25,'Recurring Schedule'!$N$25)=0,IF('Recurring Schedule'!$O$25&gt;0,AND(DAY($A280)=MIN(DAY('Recurring Schedule'!$F$25),DAY(EOMONTH($A280,0))),MOD((YEAR($A280)-YEAR('Recurring Schedule'!$F$25))*12+MONTH($A280)-MONTH('Recurring Schedule'!$F$25),'Recurring Schedule'!$O$25)=0),IF('Recurring Schedule'!$E$25="Weekdays",WEEKDAY($A280,2)&lt;=5,$A280='Recurring Schedule'!$F$25))),20,""))))</f>
        <v/>
      </c>
      <c r="V280">
        <f>IF('Recurring Schedule'!$C$26="","",IF('Recurring Schedule'!$F$26="","",IF(OR($A280&lt;'Recurring Schedule'!$F$26,$A280&gt;'Recurring Schedule'!$P$26),"",IF(IF('Recurring Schedule'!$N$26&gt;0,MOD($A280-'Recurring Schedule'!$F$26,'Recurring Schedule'!$N$26)=0,IF('Recurring Schedule'!$O$26&gt;0,AND(DAY($A280)=MIN(DAY('Recurring Schedule'!$F$26),DAY(EOMONTH($A280,0))),MOD((YEAR($A280)-YEAR('Recurring Schedule'!$F$26))*12+MONTH($A280)-MONTH('Recurring Schedule'!$F$26),'Recurring Schedule'!$O$26)=0),IF('Recurring Schedule'!$E$26="Weekdays",WEEKDAY($A280,2)&lt;=5,$A280='Recurring Schedule'!$F$26))),21,""))))</f>
        <v/>
      </c>
      <c r="W280">
        <f>IF('Recurring Schedule'!$C$27="","",IF('Recurring Schedule'!$F$27="","",IF(OR($A280&lt;'Recurring Schedule'!$F$27,$A280&gt;'Recurring Schedule'!$P$27),"",IF(IF('Recurring Schedule'!$N$27&gt;0,MOD($A280-'Recurring Schedule'!$F$27,'Recurring Schedule'!$N$27)=0,IF('Recurring Schedule'!$O$27&gt;0,AND(DAY($A280)=MIN(DAY('Recurring Schedule'!$F$27),DAY(EOMONTH($A280,0))),MOD((YEAR($A280)-YEAR('Recurring Schedule'!$F$27))*12+MONTH($A280)-MONTH('Recurring Schedule'!$F$27),'Recurring Schedule'!$O$27)=0),IF('Recurring Schedule'!$E$27="Weekdays",WEEKDAY($A280,2)&lt;=5,$A280='Recurring Schedule'!$F$27))),22,""))))</f>
        <v/>
      </c>
      <c r="X280">
        <f>IF('Recurring Schedule'!$C$28="","",IF('Recurring Schedule'!$F$28="","",IF(OR($A280&lt;'Recurring Schedule'!$F$28,$A280&gt;'Recurring Schedule'!$P$28),"",IF(IF('Recurring Schedule'!$N$28&gt;0,MOD($A280-'Recurring Schedule'!$F$28,'Recurring Schedule'!$N$28)=0,IF('Recurring Schedule'!$O$28&gt;0,AND(DAY($A280)=MIN(DAY('Recurring Schedule'!$F$28),DAY(EOMONTH($A280,0))),MOD((YEAR($A280)-YEAR('Recurring Schedule'!$F$28))*12+MONTH($A280)-MONTH('Recurring Schedule'!$F$28),'Recurring Schedule'!$O$28)=0),IF('Recurring Schedule'!$E$28="Weekdays",WEEKDAY($A280,2)&lt;=5,$A280='Recurring Schedule'!$F$28))),23,""))))</f>
        <v/>
      </c>
      <c r="Y280">
        <f>IF('Recurring Schedule'!$C$29="","",IF('Recurring Schedule'!$F$29="","",IF(OR($A280&lt;'Recurring Schedule'!$F$29,$A280&gt;'Recurring Schedule'!$P$29),"",IF(IF('Recurring Schedule'!$N$29&gt;0,MOD($A280-'Recurring Schedule'!$F$29,'Recurring Schedule'!$N$29)=0,IF('Recurring Schedule'!$O$29&gt;0,AND(DAY($A280)=MIN(DAY('Recurring Schedule'!$F$29),DAY(EOMONTH($A280,0))),MOD((YEAR($A280)-YEAR('Recurring Schedule'!$F$29))*12+MONTH($A280)-MONTH('Recurring Schedule'!$F$29),'Recurring Schedule'!$O$29)=0),IF('Recurring Schedule'!$E$29="Weekdays",WEEKDAY($A280,2)&lt;=5,$A280='Recurring Schedule'!$F$29))),24,""))))</f>
        <v/>
      </c>
      <c r="Z280">
        <f>IF('Recurring Schedule'!$C$30="","",IF('Recurring Schedule'!$F$30="","",IF(OR($A280&lt;'Recurring Schedule'!$F$30,$A280&gt;'Recurring Schedule'!$P$30),"",IF(IF('Recurring Schedule'!$N$30&gt;0,MOD($A280-'Recurring Schedule'!$F$30,'Recurring Schedule'!$N$30)=0,IF('Recurring Schedule'!$O$30&gt;0,AND(DAY($A280)=MIN(DAY('Recurring Schedule'!$F$30),DAY(EOMONTH($A280,0))),MOD((YEAR($A280)-YEAR('Recurring Schedule'!$F$30))*12+MONTH($A280)-MONTH('Recurring Schedule'!$F$30),'Recurring Schedule'!$O$30)=0),IF('Recurring Schedule'!$E$30="Weekdays",WEEKDAY($A280,2)&lt;=5,$A280='Recurring Schedule'!$F$30))),25,""))))</f>
        <v/>
      </c>
      <c r="AA280">
        <f>IF('Recurring Schedule'!$C$31="","",IF('Recurring Schedule'!$F$31="","",IF(OR($A280&lt;'Recurring Schedule'!$F$31,$A280&gt;'Recurring Schedule'!$P$31),"",IF(IF('Recurring Schedule'!$N$31&gt;0,MOD($A280-'Recurring Schedule'!$F$31,'Recurring Schedule'!$N$31)=0,IF('Recurring Schedule'!$O$31&gt;0,AND(DAY($A280)=MIN(DAY('Recurring Schedule'!$F$31),DAY(EOMONTH($A280,0))),MOD((YEAR($A280)-YEAR('Recurring Schedule'!$F$31))*12+MONTH($A280)-MONTH('Recurring Schedule'!$F$31),'Recurring Schedule'!$O$31)=0),IF('Recurring Schedule'!$E$31="Weekdays",WEEKDAY($A280,2)&lt;=5,$A280='Recurring Schedule'!$F$31))),26,""))))</f>
        <v/>
      </c>
      <c r="AB280">
        <f>IF('Recurring Schedule'!$C$32="","",IF('Recurring Schedule'!$F$32="","",IF(OR($A280&lt;'Recurring Schedule'!$F$32,$A280&gt;'Recurring Schedule'!$P$32),"",IF(IF('Recurring Schedule'!$N$32&gt;0,MOD($A280-'Recurring Schedule'!$F$32,'Recurring Schedule'!$N$32)=0,IF('Recurring Schedule'!$O$32&gt;0,AND(DAY($A280)=MIN(DAY('Recurring Schedule'!$F$32),DAY(EOMONTH($A280,0))),MOD((YEAR($A280)-YEAR('Recurring Schedule'!$F$32))*12+MONTH($A280)-MONTH('Recurring Schedule'!$F$32),'Recurring Schedule'!$O$32)=0),IF('Recurring Schedule'!$E$32="Weekdays",WEEKDAY($A280,2)&lt;=5,$A280='Recurring Schedule'!$F$32))),27,""))))</f>
        <v/>
      </c>
      <c r="AC280">
        <f>IF('Recurring Schedule'!$C$33="","",IF('Recurring Schedule'!$F$33="","",IF(OR($A280&lt;'Recurring Schedule'!$F$33,$A280&gt;'Recurring Schedule'!$P$33),"",IF(IF('Recurring Schedule'!$N$33&gt;0,MOD($A280-'Recurring Schedule'!$F$33,'Recurring Schedule'!$N$33)=0,IF('Recurring Schedule'!$O$33&gt;0,AND(DAY($A280)=MIN(DAY('Recurring Schedule'!$F$33),DAY(EOMONTH($A280,0))),MOD((YEAR($A280)-YEAR('Recurring Schedule'!$F$33))*12+MONTH($A280)-MONTH('Recurring Schedule'!$F$33),'Recurring Schedule'!$O$33)=0),IF('Recurring Schedule'!$E$33="Weekdays",WEEKDAY($A280,2)&lt;=5,$A280='Recurring Schedule'!$F$33))),28,""))))</f>
        <v/>
      </c>
      <c r="AD280">
        <f>IF('Recurring Schedule'!$C$34="","",IF('Recurring Schedule'!$F$34="","",IF(OR($A280&lt;'Recurring Schedule'!$F$34,$A280&gt;'Recurring Schedule'!$P$34),"",IF(IF('Recurring Schedule'!$N$34&gt;0,MOD($A280-'Recurring Schedule'!$F$34,'Recurring Schedule'!$N$34)=0,IF('Recurring Schedule'!$O$34&gt;0,AND(DAY($A280)=MIN(DAY('Recurring Schedule'!$F$34),DAY(EOMONTH($A280,0))),MOD((YEAR($A280)-YEAR('Recurring Schedule'!$F$34))*12+MONTH($A280)-MONTH('Recurring Schedule'!$F$34),'Recurring Schedule'!$O$34)=0),IF('Recurring Schedule'!$E$34="Weekdays",WEEKDAY($A280,2)&lt;=5,$A280='Recurring Schedule'!$F$34))),29,""))))</f>
        <v/>
      </c>
      <c r="AE280">
        <f>IF('Recurring Schedule'!$C$35="","",IF('Recurring Schedule'!$F$35="","",IF(OR($A280&lt;'Recurring Schedule'!$F$35,$A280&gt;'Recurring Schedule'!$P$35),"",IF(IF('Recurring Schedule'!$N$35&gt;0,MOD($A280-'Recurring Schedule'!$F$35,'Recurring Schedule'!$N$35)=0,IF('Recurring Schedule'!$O$35&gt;0,AND(DAY($A280)=MIN(DAY('Recurring Schedule'!$F$35),DAY(EOMONTH($A280,0))),MOD((YEAR($A280)-YEAR('Recurring Schedule'!$F$35))*12+MONTH($A280)-MONTH('Recurring Schedule'!$F$35),'Recurring Schedule'!$O$35)=0),IF('Recurring Schedule'!$E$35="Weekdays",WEEKDAY($A280,2)&lt;=5,$A280='Recurring Schedule'!$F$35))),30,""))))</f>
        <v/>
      </c>
      <c r="AF280">
        <f>IF('Recurring Schedule'!$C$36="","",IF('Recurring Schedule'!$F$36="","",IF(OR($A280&lt;'Recurring Schedule'!$F$36,$A280&gt;'Recurring Schedule'!$P$36),"",IF(IF('Recurring Schedule'!$N$36&gt;0,MOD($A280-'Recurring Schedule'!$F$36,'Recurring Schedule'!$N$36)=0,IF('Recurring Schedule'!$O$36&gt;0,AND(DAY($A280)=MIN(DAY('Recurring Schedule'!$F$36),DAY(EOMONTH($A280,0))),MOD((YEAR($A280)-YEAR('Recurring Schedule'!$F$36))*12+MONTH($A280)-MONTH('Recurring Schedule'!$F$36),'Recurring Schedule'!$O$36)=0),IF('Recurring Schedule'!$E$36="Weekdays",WEEKDAY($A280,2)&lt;=5,$A280='Recurring Schedule'!$F$36))),31,""))))</f>
        <v/>
      </c>
      <c r="AG280">
        <f>IF('Recurring Schedule'!$C$37="","",IF('Recurring Schedule'!$F$37="","",IF(OR($A280&lt;'Recurring Schedule'!$F$37,$A280&gt;'Recurring Schedule'!$P$37),"",IF(IF('Recurring Schedule'!$N$37&gt;0,MOD($A280-'Recurring Schedule'!$F$37,'Recurring Schedule'!$N$37)=0,IF('Recurring Schedule'!$O$37&gt;0,AND(DAY($A280)=MIN(DAY('Recurring Schedule'!$F$37),DAY(EOMONTH($A280,0))),MOD((YEAR($A280)-YEAR('Recurring Schedule'!$F$37))*12+MONTH($A280)-MONTH('Recurring Schedule'!$F$37),'Recurring Schedule'!$O$37)=0),IF('Recurring Schedule'!$E$37="Weekdays",WEEKDAY($A280,2)&lt;=5,$A280='Recurring Schedule'!$F$37))),32,""))))</f>
        <v/>
      </c>
      <c r="AH280">
        <f>IF('Recurring Schedule'!$C$38="","",IF('Recurring Schedule'!$F$38="","",IF(OR($A280&lt;'Recurring Schedule'!$F$38,$A280&gt;'Recurring Schedule'!$P$38),"",IF(IF('Recurring Schedule'!$N$38&gt;0,MOD($A280-'Recurring Schedule'!$F$38,'Recurring Schedule'!$N$38)=0,IF('Recurring Schedule'!$O$38&gt;0,AND(DAY($A280)=MIN(DAY('Recurring Schedule'!$F$38),DAY(EOMONTH($A280,0))),MOD((YEAR($A280)-YEAR('Recurring Schedule'!$F$38))*12+MONTH($A280)-MONTH('Recurring Schedule'!$F$38),'Recurring Schedule'!$O$38)=0),IF('Recurring Schedule'!$E$38="Weekdays",WEEKDAY($A280,2)&lt;=5,$A280='Recurring Schedule'!$F$38))),33,""))))</f>
        <v/>
      </c>
      <c r="AI280">
        <f>IF('Recurring Schedule'!$C$39="","",IF('Recurring Schedule'!$F$39="","",IF(OR($A280&lt;'Recurring Schedule'!$F$39,$A280&gt;'Recurring Schedule'!$P$39),"",IF(IF('Recurring Schedule'!$N$39&gt;0,MOD($A280-'Recurring Schedule'!$F$39,'Recurring Schedule'!$N$39)=0,IF('Recurring Schedule'!$O$39&gt;0,AND(DAY($A280)=MIN(DAY('Recurring Schedule'!$F$39),DAY(EOMONTH($A280,0))),MOD((YEAR($A280)-YEAR('Recurring Schedule'!$F$39))*12+MONTH($A280)-MONTH('Recurring Schedule'!$F$39),'Recurring Schedule'!$O$39)=0),IF('Recurring Schedule'!$E$39="Weekdays",WEEKDAY($A280,2)&lt;=5,$A280='Recurring Schedule'!$F$39))),34,""))))</f>
        <v/>
      </c>
      <c r="AJ280">
        <f>IF('Recurring Schedule'!$C$40="","",IF('Recurring Schedule'!$F$40="","",IF(OR($A280&lt;'Recurring Schedule'!$F$40,$A280&gt;'Recurring Schedule'!$P$40),"",IF(IF('Recurring Schedule'!$N$40&gt;0,MOD($A280-'Recurring Schedule'!$F$40,'Recurring Schedule'!$N$40)=0,IF('Recurring Schedule'!$O$40&gt;0,AND(DAY($A280)=MIN(DAY('Recurring Schedule'!$F$40),DAY(EOMONTH($A280,0))),MOD((YEAR($A280)-YEAR('Recurring Schedule'!$F$40))*12+MONTH($A280)-MONTH('Recurring Schedule'!$F$40),'Recurring Schedule'!$O$40)=0),IF('Recurring Schedule'!$E$40="Weekdays",WEEKDAY($A280,2)&lt;=5,$A280='Recurring Schedule'!$F$40))),35,""))))</f>
        <v/>
      </c>
      <c r="AK280">
        <f>IF('Recurring Schedule'!$C$41="","",IF('Recurring Schedule'!$F$41="","",IF(OR($A280&lt;'Recurring Schedule'!$F$41,$A280&gt;'Recurring Schedule'!$P$41),"",IF(IF('Recurring Schedule'!$N$41&gt;0,MOD($A280-'Recurring Schedule'!$F$41,'Recurring Schedule'!$N$41)=0,IF('Recurring Schedule'!$O$41&gt;0,AND(DAY($A280)=MIN(DAY('Recurring Schedule'!$F$41),DAY(EOMONTH($A280,0))),MOD((YEAR($A280)-YEAR('Recurring Schedule'!$F$41))*12+MONTH($A280)-MONTH('Recurring Schedule'!$F$41),'Recurring Schedule'!$O$41)=0),IF('Recurring Schedule'!$E$41="Weekdays",WEEKDAY($A280,2)&lt;=5,$A280='Recurring Schedule'!$F$41))),36,""))))</f>
        <v/>
      </c>
      <c r="AL280">
        <f>IF('Recurring Schedule'!$C$42="","",IF('Recurring Schedule'!$F$42="","",IF(OR($A280&lt;'Recurring Schedule'!$F$42,$A280&gt;'Recurring Schedule'!$P$42),"",IF(IF('Recurring Schedule'!$N$42&gt;0,MOD($A280-'Recurring Schedule'!$F$42,'Recurring Schedule'!$N$42)=0,IF('Recurring Schedule'!$O$42&gt;0,AND(DAY($A280)=MIN(DAY('Recurring Schedule'!$F$42),DAY(EOMONTH($A280,0))),MOD((YEAR($A280)-YEAR('Recurring Schedule'!$F$42))*12+MONTH($A280)-MONTH('Recurring Schedule'!$F$42),'Recurring Schedule'!$O$42)=0),IF('Recurring Schedule'!$E$42="Weekdays",WEEKDAY($A280,2)&lt;=5,$A280='Recurring Schedule'!$F$42))),37,""))))</f>
        <v/>
      </c>
      <c r="AM280">
        <f>IF('Recurring Schedule'!$C$43="","",IF('Recurring Schedule'!$F$43="","",IF(OR($A280&lt;'Recurring Schedule'!$F$43,$A280&gt;'Recurring Schedule'!$P$43),"",IF(IF('Recurring Schedule'!$N$43&gt;0,MOD($A280-'Recurring Schedule'!$F$43,'Recurring Schedule'!$N$43)=0,IF('Recurring Schedule'!$O$43&gt;0,AND(DAY($A280)=MIN(DAY('Recurring Schedule'!$F$43),DAY(EOMONTH($A280,0))),MOD((YEAR($A280)-YEAR('Recurring Schedule'!$F$43))*12+MONTH($A280)-MONTH('Recurring Schedule'!$F$43),'Recurring Schedule'!$O$43)=0),IF('Recurring Schedule'!$E$43="Weekdays",WEEKDAY($A280,2)&lt;=5,$A280='Recurring Schedule'!$F$43))),38,""))))</f>
        <v/>
      </c>
      <c r="AN280">
        <f>IF('Recurring Schedule'!$C$44="","",IF('Recurring Schedule'!$F$44="","",IF(OR($A280&lt;'Recurring Schedule'!$F$44,$A280&gt;'Recurring Schedule'!$P$44),"",IF(IF('Recurring Schedule'!$N$44&gt;0,MOD($A280-'Recurring Schedule'!$F$44,'Recurring Schedule'!$N$44)=0,IF('Recurring Schedule'!$O$44&gt;0,AND(DAY($A280)=MIN(DAY('Recurring Schedule'!$F$44),DAY(EOMONTH($A280,0))),MOD((YEAR($A280)-YEAR('Recurring Schedule'!$F$44))*12+MONTH($A280)-MONTH('Recurring Schedule'!$F$44),'Recurring Schedule'!$O$44)=0),IF('Recurring Schedule'!$E$44="Weekdays",WEEKDAY($A280,2)&lt;=5,$A280='Recurring Schedule'!$F$44))),39,""))))</f>
        <v/>
      </c>
      <c r="AO280">
        <f>IF('Recurring Schedule'!$C$45="","",IF('Recurring Schedule'!$F$45="","",IF(OR($A280&lt;'Recurring Schedule'!$F$45,$A280&gt;'Recurring Schedule'!$P$45),"",IF(IF('Recurring Schedule'!$N$45&gt;0,MOD($A280-'Recurring Schedule'!$F$45,'Recurring Schedule'!$N$45)=0,IF('Recurring Schedule'!$O$45&gt;0,AND(DAY($A280)=MIN(DAY('Recurring Schedule'!$F$45),DAY(EOMONTH($A280,0))),MOD((YEAR($A280)-YEAR('Recurring Schedule'!$F$45))*12+MONTH($A280)-MONTH('Recurring Schedule'!$F$45),'Recurring Schedule'!$O$45)=0),IF('Recurring Schedule'!$E$45="Weekdays",WEEKDAY($A280,2)&lt;=5,$A280='Recurring Schedule'!$F$45))),40,""))))</f>
        <v/>
      </c>
      <c r="AP280">
        <f>COUNT(B280:AO280)</f>
        <v/>
      </c>
      <c r="AQ280">
        <f>AQ279+AP279</f>
        <v/>
      </c>
      <c r="AS280" t="inlineStr">
        <is>
          <t>R</t>
        </is>
      </c>
      <c r="AT280" t="n">
        <v>284</v>
      </c>
      <c r="AU280">
        <f>'Recurring Log'!C284&amp;""</f>
        <v/>
      </c>
      <c r="AV280">
        <f>'Recurring Log'!D284&amp;""</f>
        <v/>
      </c>
      <c r="AW280">
        <f>IF('Recurring Log'!E284="","",'Recurring Log'!E284)</f>
        <v/>
      </c>
      <c r="AX280">
        <f>IF('Recurring Log'!G284="","",'Recurring Log'!G284)</f>
        <v/>
      </c>
      <c r="AY280">
        <f>IF('Recurring Log'!H284="","",'Recurring Log'!H284)</f>
        <v/>
      </c>
      <c r="AZ280">
        <f>IF(AU280="","",IF('Recurring Log'!J284="","Not Started",'Recurring Log'!J284))</f>
        <v/>
      </c>
      <c r="BA280">
        <f>'Recurring Log'!L284&amp;""</f>
        <v/>
      </c>
      <c r="BB280">
        <f>'Recurring Log'!M284&amp;""</f>
        <v/>
      </c>
      <c r="BC280">
        <f>'Recurring Log'!N284&amp;""</f>
        <v/>
      </c>
      <c r="BD280">
        <f>'Recurring Log'!O284&amp;""</f>
        <v/>
      </c>
      <c r="BE280">
        <f>IF('Recurring Log'!K284="","",'Recurring Log'!K284)</f>
        <v/>
      </c>
      <c r="BF280">
        <f>IFERROR(MATCH(BA280,Setup!$L$6:$L$9,0),5)</f>
        <v/>
      </c>
      <c r="BG280">
        <f>IF(OR(AZ280="Done",AZ280="Cancelled"),1,0)</f>
        <v/>
      </c>
      <c r="BH280">
        <f>IF(AND(AU280&lt;&gt;"",ISNUMBER(AW280)),1,0)</f>
        <v/>
      </c>
      <c r="BI280">
        <f>IF(BH280=0,0,IF(AND(AW280&gt;='Tasks Filter'!$F$3,AW280&lt;='Tasks Filter'!$F$4,OR('Tasks Filter'!$I$3="",ISNUMBER(SEARCH('Tasks Filter'!$I$3,AU280))),OR('Tasks Filter'!$I$4="",BF280=IFERROR(MATCH('Tasks Filter'!$I$4,Setup!$L$6:$L$9,0),0)),OR('Tasks Filter'!$I$5="Both",AND('Tasks Filter'!$I$5="Yes",BB280="✓"),AND('Tasks Filter'!$I$5="No",BB280&lt;&gt;"✓")),OR('Tasks Filter'!$L$3="",AV280='Tasks Filter'!$L$3),OR('Tasks Filter'!$L$4="",AZ280='Tasks Filter'!$L$4),OR('Tasks Filter'!$L$5="",BC280='Tasks Filter'!$L$5),OR('Tasks Filter'!$O$3="",BD280='Tasks Filter'!$O$3),OR('Tasks Filter'!$O$4="Yes",BG280=0)),1,0))</f>
        <v/>
      </c>
      <c r="BJ280">
        <f>IF(BH280=0,"",IF('Tasks Filter'!$F$6="Descending",-1,1)*CHOOSE(MATCH('Tasks Filter'!$F$5,Lists!$G$2:$G$6,0),AW280,BF280,IFERROR(MATCH(AV280,Setup!$F$6:$F$15,0),99),IFERROR(MATCH(BC280,Setup!$H$6:$H$15,0),99),IFERROR(MATCH(AZ280,Setup!$J$6:$J$11,0),99))*1E+9+(AW280-40000)*10000+279)</f>
        <v/>
      </c>
      <c r="BK280">
        <f>IF(BI280=1,BJ280,"")</f>
        <v/>
      </c>
      <c r="BL280">
        <f>IF(AND(BH280=1,BG280=0,N(AW280)&lt;Setup!$D$7),(AW280-40000)*10000+279,"")</f>
        <v/>
      </c>
      <c r="BM280">
        <f>IF(AND(BH280=1,AZ280&lt;&gt;"Cancelled",N(AW280)&gt;=Dashboard!$AB$3,N(AW280)&lt;=Dashboard!$AB$3+6),(AW280-40000)*100000+BF280*10000+279,"")</f>
        <v/>
      </c>
      <c r="BN280">
        <f>IF(AND(BH280=1,AZ280&lt;&gt;"Cancelled"),BF280*10000+279,"")</f>
        <v/>
      </c>
    </row>
    <row r="281">
      <c r="A281">
        <f>Setup!$D$5+279</f>
        <v/>
      </c>
      <c r="B281">
        <f>IF('Recurring Schedule'!$C$6="","",IF('Recurring Schedule'!$F$6="","",IF(OR($A281&lt;'Recurring Schedule'!$F$6,$A281&gt;'Recurring Schedule'!$P$6),"",IF(IF('Recurring Schedule'!$N$6&gt;0,MOD($A281-'Recurring Schedule'!$F$6,'Recurring Schedule'!$N$6)=0,IF('Recurring Schedule'!$O$6&gt;0,AND(DAY($A281)=MIN(DAY('Recurring Schedule'!$F$6),DAY(EOMONTH($A281,0))),MOD((YEAR($A281)-YEAR('Recurring Schedule'!$F$6))*12+MONTH($A281)-MONTH('Recurring Schedule'!$F$6),'Recurring Schedule'!$O$6)=0),IF('Recurring Schedule'!$E$6="Weekdays",WEEKDAY($A281,2)&lt;=5,$A281='Recurring Schedule'!$F$6))),1,""))))</f>
        <v/>
      </c>
      <c r="C281">
        <f>IF('Recurring Schedule'!$C$7="","",IF('Recurring Schedule'!$F$7="","",IF(OR($A281&lt;'Recurring Schedule'!$F$7,$A281&gt;'Recurring Schedule'!$P$7),"",IF(IF('Recurring Schedule'!$N$7&gt;0,MOD($A281-'Recurring Schedule'!$F$7,'Recurring Schedule'!$N$7)=0,IF('Recurring Schedule'!$O$7&gt;0,AND(DAY($A281)=MIN(DAY('Recurring Schedule'!$F$7),DAY(EOMONTH($A281,0))),MOD((YEAR($A281)-YEAR('Recurring Schedule'!$F$7))*12+MONTH($A281)-MONTH('Recurring Schedule'!$F$7),'Recurring Schedule'!$O$7)=0),IF('Recurring Schedule'!$E$7="Weekdays",WEEKDAY($A281,2)&lt;=5,$A281='Recurring Schedule'!$F$7))),2,""))))</f>
        <v/>
      </c>
      <c r="D281">
        <f>IF('Recurring Schedule'!$C$8="","",IF('Recurring Schedule'!$F$8="","",IF(OR($A281&lt;'Recurring Schedule'!$F$8,$A281&gt;'Recurring Schedule'!$P$8),"",IF(IF('Recurring Schedule'!$N$8&gt;0,MOD($A281-'Recurring Schedule'!$F$8,'Recurring Schedule'!$N$8)=0,IF('Recurring Schedule'!$O$8&gt;0,AND(DAY($A281)=MIN(DAY('Recurring Schedule'!$F$8),DAY(EOMONTH($A281,0))),MOD((YEAR($A281)-YEAR('Recurring Schedule'!$F$8))*12+MONTH($A281)-MONTH('Recurring Schedule'!$F$8),'Recurring Schedule'!$O$8)=0),IF('Recurring Schedule'!$E$8="Weekdays",WEEKDAY($A281,2)&lt;=5,$A281='Recurring Schedule'!$F$8))),3,""))))</f>
        <v/>
      </c>
      <c r="E281">
        <f>IF('Recurring Schedule'!$C$9="","",IF('Recurring Schedule'!$F$9="","",IF(OR($A281&lt;'Recurring Schedule'!$F$9,$A281&gt;'Recurring Schedule'!$P$9),"",IF(IF('Recurring Schedule'!$N$9&gt;0,MOD($A281-'Recurring Schedule'!$F$9,'Recurring Schedule'!$N$9)=0,IF('Recurring Schedule'!$O$9&gt;0,AND(DAY($A281)=MIN(DAY('Recurring Schedule'!$F$9),DAY(EOMONTH($A281,0))),MOD((YEAR($A281)-YEAR('Recurring Schedule'!$F$9))*12+MONTH($A281)-MONTH('Recurring Schedule'!$F$9),'Recurring Schedule'!$O$9)=0),IF('Recurring Schedule'!$E$9="Weekdays",WEEKDAY($A281,2)&lt;=5,$A281='Recurring Schedule'!$F$9))),4,""))))</f>
        <v/>
      </c>
      <c r="F281">
        <f>IF('Recurring Schedule'!$C$10="","",IF('Recurring Schedule'!$F$10="","",IF(OR($A281&lt;'Recurring Schedule'!$F$10,$A281&gt;'Recurring Schedule'!$P$10),"",IF(IF('Recurring Schedule'!$N$10&gt;0,MOD($A281-'Recurring Schedule'!$F$10,'Recurring Schedule'!$N$10)=0,IF('Recurring Schedule'!$O$10&gt;0,AND(DAY($A281)=MIN(DAY('Recurring Schedule'!$F$10),DAY(EOMONTH($A281,0))),MOD((YEAR($A281)-YEAR('Recurring Schedule'!$F$10))*12+MONTH($A281)-MONTH('Recurring Schedule'!$F$10),'Recurring Schedule'!$O$10)=0),IF('Recurring Schedule'!$E$10="Weekdays",WEEKDAY($A281,2)&lt;=5,$A281='Recurring Schedule'!$F$10))),5,""))))</f>
        <v/>
      </c>
      <c r="G281">
        <f>IF('Recurring Schedule'!$C$11="","",IF('Recurring Schedule'!$F$11="","",IF(OR($A281&lt;'Recurring Schedule'!$F$11,$A281&gt;'Recurring Schedule'!$P$11),"",IF(IF('Recurring Schedule'!$N$11&gt;0,MOD($A281-'Recurring Schedule'!$F$11,'Recurring Schedule'!$N$11)=0,IF('Recurring Schedule'!$O$11&gt;0,AND(DAY($A281)=MIN(DAY('Recurring Schedule'!$F$11),DAY(EOMONTH($A281,0))),MOD((YEAR($A281)-YEAR('Recurring Schedule'!$F$11))*12+MONTH($A281)-MONTH('Recurring Schedule'!$F$11),'Recurring Schedule'!$O$11)=0),IF('Recurring Schedule'!$E$11="Weekdays",WEEKDAY($A281,2)&lt;=5,$A281='Recurring Schedule'!$F$11))),6,""))))</f>
        <v/>
      </c>
      <c r="H281">
        <f>IF('Recurring Schedule'!$C$12="","",IF('Recurring Schedule'!$F$12="","",IF(OR($A281&lt;'Recurring Schedule'!$F$12,$A281&gt;'Recurring Schedule'!$P$12),"",IF(IF('Recurring Schedule'!$N$12&gt;0,MOD($A281-'Recurring Schedule'!$F$12,'Recurring Schedule'!$N$12)=0,IF('Recurring Schedule'!$O$12&gt;0,AND(DAY($A281)=MIN(DAY('Recurring Schedule'!$F$12),DAY(EOMONTH($A281,0))),MOD((YEAR($A281)-YEAR('Recurring Schedule'!$F$12))*12+MONTH($A281)-MONTH('Recurring Schedule'!$F$12),'Recurring Schedule'!$O$12)=0),IF('Recurring Schedule'!$E$12="Weekdays",WEEKDAY($A281,2)&lt;=5,$A281='Recurring Schedule'!$F$12))),7,""))))</f>
        <v/>
      </c>
      <c r="I281">
        <f>IF('Recurring Schedule'!$C$13="","",IF('Recurring Schedule'!$F$13="","",IF(OR($A281&lt;'Recurring Schedule'!$F$13,$A281&gt;'Recurring Schedule'!$P$13),"",IF(IF('Recurring Schedule'!$N$13&gt;0,MOD($A281-'Recurring Schedule'!$F$13,'Recurring Schedule'!$N$13)=0,IF('Recurring Schedule'!$O$13&gt;0,AND(DAY($A281)=MIN(DAY('Recurring Schedule'!$F$13),DAY(EOMONTH($A281,0))),MOD((YEAR($A281)-YEAR('Recurring Schedule'!$F$13))*12+MONTH($A281)-MONTH('Recurring Schedule'!$F$13),'Recurring Schedule'!$O$13)=0),IF('Recurring Schedule'!$E$13="Weekdays",WEEKDAY($A281,2)&lt;=5,$A281='Recurring Schedule'!$F$13))),8,""))))</f>
        <v/>
      </c>
      <c r="J281">
        <f>IF('Recurring Schedule'!$C$14="","",IF('Recurring Schedule'!$F$14="","",IF(OR($A281&lt;'Recurring Schedule'!$F$14,$A281&gt;'Recurring Schedule'!$P$14),"",IF(IF('Recurring Schedule'!$N$14&gt;0,MOD($A281-'Recurring Schedule'!$F$14,'Recurring Schedule'!$N$14)=0,IF('Recurring Schedule'!$O$14&gt;0,AND(DAY($A281)=MIN(DAY('Recurring Schedule'!$F$14),DAY(EOMONTH($A281,0))),MOD((YEAR($A281)-YEAR('Recurring Schedule'!$F$14))*12+MONTH($A281)-MONTH('Recurring Schedule'!$F$14),'Recurring Schedule'!$O$14)=0),IF('Recurring Schedule'!$E$14="Weekdays",WEEKDAY($A281,2)&lt;=5,$A281='Recurring Schedule'!$F$14))),9,""))))</f>
        <v/>
      </c>
      <c r="K281">
        <f>IF('Recurring Schedule'!$C$15="","",IF('Recurring Schedule'!$F$15="","",IF(OR($A281&lt;'Recurring Schedule'!$F$15,$A281&gt;'Recurring Schedule'!$P$15),"",IF(IF('Recurring Schedule'!$N$15&gt;0,MOD($A281-'Recurring Schedule'!$F$15,'Recurring Schedule'!$N$15)=0,IF('Recurring Schedule'!$O$15&gt;0,AND(DAY($A281)=MIN(DAY('Recurring Schedule'!$F$15),DAY(EOMONTH($A281,0))),MOD((YEAR($A281)-YEAR('Recurring Schedule'!$F$15))*12+MONTH($A281)-MONTH('Recurring Schedule'!$F$15),'Recurring Schedule'!$O$15)=0),IF('Recurring Schedule'!$E$15="Weekdays",WEEKDAY($A281,2)&lt;=5,$A281='Recurring Schedule'!$F$15))),10,""))))</f>
        <v/>
      </c>
      <c r="L281">
        <f>IF('Recurring Schedule'!$C$16="","",IF('Recurring Schedule'!$F$16="","",IF(OR($A281&lt;'Recurring Schedule'!$F$16,$A281&gt;'Recurring Schedule'!$P$16),"",IF(IF('Recurring Schedule'!$N$16&gt;0,MOD($A281-'Recurring Schedule'!$F$16,'Recurring Schedule'!$N$16)=0,IF('Recurring Schedule'!$O$16&gt;0,AND(DAY($A281)=MIN(DAY('Recurring Schedule'!$F$16),DAY(EOMONTH($A281,0))),MOD((YEAR($A281)-YEAR('Recurring Schedule'!$F$16))*12+MONTH($A281)-MONTH('Recurring Schedule'!$F$16),'Recurring Schedule'!$O$16)=0),IF('Recurring Schedule'!$E$16="Weekdays",WEEKDAY($A281,2)&lt;=5,$A281='Recurring Schedule'!$F$16))),11,""))))</f>
        <v/>
      </c>
      <c r="M281">
        <f>IF('Recurring Schedule'!$C$17="","",IF('Recurring Schedule'!$F$17="","",IF(OR($A281&lt;'Recurring Schedule'!$F$17,$A281&gt;'Recurring Schedule'!$P$17),"",IF(IF('Recurring Schedule'!$N$17&gt;0,MOD($A281-'Recurring Schedule'!$F$17,'Recurring Schedule'!$N$17)=0,IF('Recurring Schedule'!$O$17&gt;0,AND(DAY($A281)=MIN(DAY('Recurring Schedule'!$F$17),DAY(EOMONTH($A281,0))),MOD((YEAR($A281)-YEAR('Recurring Schedule'!$F$17))*12+MONTH($A281)-MONTH('Recurring Schedule'!$F$17),'Recurring Schedule'!$O$17)=0),IF('Recurring Schedule'!$E$17="Weekdays",WEEKDAY($A281,2)&lt;=5,$A281='Recurring Schedule'!$F$17))),12,""))))</f>
        <v/>
      </c>
      <c r="N281">
        <f>IF('Recurring Schedule'!$C$18="","",IF('Recurring Schedule'!$F$18="","",IF(OR($A281&lt;'Recurring Schedule'!$F$18,$A281&gt;'Recurring Schedule'!$P$18),"",IF(IF('Recurring Schedule'!$N$18&gt;0,MOD($A281-'Recurring Schedule'!$F$18,'Recurring Schedule'!$N$18)=0,IF('Recurring Schedule'!$O$18&gt;0,AND(DAY($A281)=MIN(DAY('Recurring Schedule'!$F$18),DAY(EOMONTH($A281,0))),MOD((YEAR($A281)-YEAR('Recurring Schedule'!$F$18))*12+MONTH($A281)-MONTH('Recurring Schedule'!$F$18),'Recurring Schedule'!$O$18)=0),IF('Recurring Schedule'!$E$18="Weekdays",WEEKDAY($A281,2)&lt;=5,$A281='Recurring Schedule'!$F$18))),13,""))))</f>
        <v/>
      </c>
      <c r="O281">
        <f>IF('Recurring Schedule'!$C$19="","",IF('Recurring Schedule'!$F$19="","",IF(OR($A281&lt;'Recurring Schedule'!$F$19,$A281&gt;'Recurring Schedule'!$P$19),"",IF(IF('Recurring Schedule'!$N$19&gt;0,MOD($A281-'Recurring Schedule'!$F$19,'Recurring Schedule'!$N$19)=0,IF('Recurring Schedule'!$O$19&gt;0,AND(DAY($A281)=MIN(DAY('Recurring Schedule'!$F$19),DAY(EOMONTH($A281,0))),MOD((YEAR($A281)-YEAR('Recurring Schedule'!$F$19))*12+MONTH($A281)-MONTH('Recurring Schedule'!$F$19),'Recurring Schedule'!$O$19)=0),IF('Recurring Schedule'!$E$19="Weekdays",WEEKDAY($A281,2)&lt;=5,$A281='Recurring Schedule'!$F$19))),14,""))))</f>
        <v/>
      </c>
      <c r="P281">
        <f>IF('Recurring Schedule'!$C$20="","",IF('Recurring Schedule'!$F$20="","",IF(OR($A281&lt;'Recurring Schedule'!$F$20,$A281&gt;'Recurring Schedule'!$P$20),"",IF(IF('Recurring Schedule'!$N$20&gt;0,MOD($A281-'Recurring Schedule'!$F$20,'Recurring Schedule'!$N$20)=0,IF('Recurring Schedule'!$O$20&gt;0,AND(DAY($A281)=MIN(DAY('Recurring Schedule'!$F$20),DAY(EOMONTH($A281,0))),MOD((YEAR($A281)-YEAR('Recurring Schedule'!$F$20))*12+MONTH($A281)-MONTH('Recurring Schedule'!$F$20),'Recurring Schedule'!$O$20)=0),IF('Recurring Schedule'!$E$20="Weekdays",WEEKDAY($A281,2)&lt;=5,$A281='Recurring Schedule'!$F$20))),15,""))))</f>
        <v/>
      </c>
      <c r="Q281">
        <f>IF('Recurring Schedule'!$C$21="","",IF('Recurring Schedule'!$F$21="","",IF(OR($A281&lt;'Recurring Schedule'!$F$21,$A281&gt;'Recurring Schedule'!$P$21),"",IF(IF('Recurring Schedule'!$N$21&gt;0,MOD($A281-'Recurring Schedule'!$F$21,'Recurring Schedule'!$N$21)=0,IF('Recurring Schedule'!$O$21&gt;0,AND(DAY($A281)=MIN(DAY('Recurring Schedule'!$F$21),DAY(EOMONTH($A281,0))),MOD((YEAR($A281)-YEAR('Recurring Schedule'!$F$21))*12+MONTH($A281)-MONTH('Recurring Schedule'!$F$21),'Recurring Schedule'!$O$21)=0),IF('Recurring Schedule'!$E$21="Weekdays",WEEKDAY($A281,2)&lt;=5,$A281='Recurring Schedule'!$F$21))),16,""))))</f>
        <v/>
      </c>
      <c r="R281">
        <f>IF('Recurring Schedule'!$C$22="","",IF('Recurring Schedule'!$F$22="","",IF(OR($A281&lt;'Recurring Schedule'!$F$22,$A281&gt;'Recurring Schedule'!$P$22),"",IF(IF('Recurring Schedule'!$N$22&gt;0,MOD($A281-'Recurring Schedule'!$F$22,'Recurring Schedule'!$N$22)=0,IF('Recurring Schedule'!$O$22&gt;0,AND(DAY($A281)=MIN(DAY('Recurring Schedule'!$F$22),DAY(EOMONTH($A281,0))),MOD((YEAR($A281)-YEAR('Recurring Schedule'!$F$22))*12+MONTH($A281)-MONTH('Recurring Schedule'!$F$22),'Recurring Schedule'!$O$22)=0),IF('Recurring Schedule'!$E$22="Weekdays",WEEKDAY($A281,2)&lt;=5,$A281='Recurring Schedule'!$F$22))),17,""))))</f>
        <v/>
      </c>
      <c r="S281">
        <f>IF('Recurring Schedule'!$C$23="","",IF('Recurring Schedule'!$F$23="","",IF(OR($A281&lt;'Recurring Schedule'!$F$23,$A281&gt;'Recurring Schedule'!$P$23),"",IF(IF('Recurring Schedule'!$N$23&gt;0,MOD($A281-'Recurring Schedule'!$F$23,'Recurring Schedule'!$N$23)=0,IF('Recurring Schedule'!$O$23&gt;0,AND(DAY($A281)=MIN(DAY('Recurring Schedule'!$F$23),DAY(EOMONTH($A281,0))),MOD((YEAR($A281)-YEAR('Recurring Schedule'!$F$23))*12+MONTH($A281)-MONTH('Recurring Schedule'!$F$23),'Recurring Schedule'!$O$23)=0),IF('Recurring Schedule'!$E$23="Weekdays",WEEKDAY($A281,2)&lt;=5,$A281='Recurring Schedule'!$F$23))),18,""))))</f>
        <v/>
      </c>
      <c r="T281">
        <f>IF('Recurring Schedule'!$C$24="","",IF('Recurring Schedule'!$F$24="","",IF(OR($A281&lt;'Recurring Schedule'!$F$24,$A281&gt;'Recurring Schedule'!$P$24),"",IF(IF('Recurring Schedule'!$N$24&gt;0,MOD($A281-'Recurring Schedule'!$F$24,'Recurring Schedule'!$N$24)=0,IF('Recurring Schedule'!$O$24&gt;0,AND(DAY($A281)=MIN(DAY('Recurring Schedule'!$F$24),DAY(EOMONTH($A281,0))),MOD((YEAR($A281)-YEAR('Recurring Schedule'!$F$24))*12+MONTH($A281)-MONTH('Recurring Schedule'!$F$24),'Recurring Schedule'!$O$24)=0),IF('Recurring Schedule'!$E$24="Weekdays",WEEKDAY($A281,2)&lt;=5,$A281='Recurring Schedule'!$F$24))),19,""))))</f>
        <v/>
      </c>
      <c r="U281">
        <f>IF('Recurring Schedule'!$C$25="","",IF('Recurring Schedule'!$F$25="","",IF(OR($A281&lt;'Recurring Schedule'!$F$25,$A281&gt;'Recurring Schedule'!$P$25),"",IF(IF('Recurring Schedule'!$N$25&gt;0,MOD($A281-'Recurring Schedule'!$F$25,'Recurring Schedule'!$N$25)=0,IF('Recurring Schedule'!$O$25&gt;0,AND(DAY($A281)=MIN(DAY('Recurring Schedule'!$F$25),DAY(EOMONTH($A281,0))),MOD((YEAR($A281)-YEAR('Recurring Schedule'!$F$25))*12+MONTH($A281)-MONTH('Recurring Schedule'!$F$25),'Recurring Schedule'!$O$25)=0),IF('Recurring Schedule'!$E$25="Weekdays",WEEKDAY($A281,2)&lt;=5,$A281='Recurring Schedule'!$F$25))),20,""))))</f>
        <v/>
      </c>
      <c r="V281">
        <f>IF('Recurring Schedule'!$C$26="","",IF('Recurring Schedule'!$F$26="","",IF(OR($A281&lt;'Recurring Schedule'!$F$26,$A281&gt;'Recurring Schedule'!$P$26),"",IF(IF('Recurring Schedule'!$N$26&gt;0,MOD($A281-'Recurring Schedule'!$F$26,'Recurring Schedule'!$N$26)=0,IF('Recurring Schedule'!$O$26&gt;0,AND(DAY($A281)=MIN(DAY('Recurring Schedule'!$F$26),DAY(EOMONTH($A281,0))),MOD((YEAR($A281)-YEAR('Recurring Schedule'!$F$26))*12+MONTH($A281)-MONTH('Recurring Schedule'!$F$26),'Recurring Schedule'!$O$26)=0),IF('Recurring Schedule'!$E$26="Weekdays",WEEKDAY($A281,2)&lt;=5,$A281='Recurring Schedule'!$F$26))),21,""))))</f>
        <v/>
      </c>
      <c r="W281">
        <f>IF('Recurring Schedule'!$C$27="","",IF('Recurring Schedule'!$F$27="","",IF(OR($A281&lt;'Recurring Schedule'!$F$27,$A281&gt;'Recurring Schedule'!$P$27),"",IF(IF('Recurring Schedule'!$N$27&gt;0,MOD($A281-'Recurring Schedule'!$F$27,'Recurring Schedule'!$N$27)=0,IF('Recurring Schedule'!$O$27&gt;0,AND(DAY($A281)=MIN(DAY('Recurring Schedule'!$F$27),DAY(EOMONTH($A281,0))),MOD((YEAR($A281)-YEAR('Recurring Schedule'!$F$27))*12+MONTH($A281)-MONTH('Recurring Schedule'!$F$27),'Recurring Schedule'!$O$27)=0),IF('Recurring Schedule'!$E$27="Weekdays",WEEKDAY($A281,2)&lt;=5,$A281='Recurring Schedule'!$F$27))),22,""))))</f>
        <v/>
      </c>
      <c r="X281">
        <f>IF('Recurring Schedule'!$C$28="","",IF('Recurring Schedule'!$F$28="","",IF(OR($A281&lt;'Recurring Schedule'!$F$28,$A281&gt;'Recurring Schedule'!$P$28),"",IF(IF('Recurring Schedule'!$N$28&gt;0,MOD($A281-'Recurring Schedule'!$F$28,'Recurring Schedule'!$N$28)=0,IF('Recurring Schedule'!$O$28&gt;0,AND(DAY($A281)=MIN(DAY('Recurring Schedule'!$F$28),DAY(EOMONTH($A281,0))),MOD((YEAR($A281)-YEAR('Recurring Schedule'!$F$28))*12+MONTH($A281)-MONTH('Recurring Schedule'!$F$28),'Recurring Schedule'!$O$28)=0),IF('Recurring Schedule'!$E$28="Weekdays",WEEKDAY($A281,2)&lt;=5,$A281='Recurring Schedule'!$F$28))),23,""))))</f>
        <v/>
      </c>
      <c r="Y281">
        <f>IF('Recurring Schedule'!$C$29="","",IF('Recurring Schedule'!$F$29="","",IF(OR($A281&lt;'Recurring Schedule'!$F$29,$A281&gt;'Recurring Schedule'!$P$29),"",IF(IF('Recurring Schedule'!$N$29&gt;0,MOD($A281-'Recurring Schedule'!$F$29,'Recurring Schedule'!$N$29)=0,IF('Recurring Schedule'!$O$29&gt;0,AND(DAY($A281)=MIN(DAY('Recurring Schedule'!$F$29),DAY(EOMONTH($A281,0))),MOD((YEAR($A281)-YEAR('Recurring Schedule'!$F$29))*12+MONTH($A281)-MONTH('Recurring Schedule'!$F$29),'Recurring Schedule'!$O$29)=0),IF('Recurring Schedule'!$E$29="Weekdays",WEEKDAY($A281,2)&lt;=5,$A281='Recurring Schedule'!$F$29))),24,""))))</f>
        <v/>
      </c>
      <c r="Z281">
        <f>IF('Recurring Schedule'!$C$30="","",IF('Recurring Schedule'!$F$30="","",IF(OR($A281&lt;'Recurring Schedule'!$F$30,$A281&gt;'Recurring Schedule'!$P$30),"",IF(IF('Recurring Schedule'!$N$30&gt;0,MOD($A281-'Recurring Schedule'!$F$30,'Recurring Schedule'!$N$30)=0,IF('Recurring Schedule'!$O$30&gt;0,AND(DAY($A281)=MIN(DAY('Recurring Schedule'!$F$30),DAY(EOMONTH($A281,0))),MOD((YEAR($A281)-YEAR('Recurring Schedule'!$F$30))*12+MONTH($A281)-MONTH('Recurring Schedule'!$F$30),'Recurring Schedule'!$O$30)=0),IF('Recurring Schedule'!$E$30="Weekdays",WEEKDAY($A281,2)&lt;=5,$A281='Recurring Schedule'!$F$30))),25,""))))</f>
        <v/>
      </c>
      <c r="AA281">
        <f>IF('Recurring Schedule'!$C$31="","",IF('Recurring Schedule'!$F$31="","",IF(OR($A281&lt;'Recurring Schedule'!$F$31,$A281&gt;'Recurring Schedule'!$P$31),"",IF(IF('Recurring Schedule'!$N$31&gt;0,MOD($A281-'Recurring Schedule'!$F$31,'Recurring Schedule'!$N$31)=0,IF('Recurring Schedule'!$O$31&gt;0,AND(DAY($A281)=MIN(DAY('Recurring Schedule'!$F$31),DAY(EOMONTH($A281,0))),MOD((YEAR($A281)-YEAR('Recurring Schedule'!$F$31))*12+MONTH($A281)-MONTH('Recurring Schedule'!$F$31),'Recurring Schedule'!$O$31)=0),IF('Recurring Schedule'!$E$31="Weekdays",WEEKDAY($A281,2)&lt;=5,$A281='Recurring Schedule'!$F$31))),26,""))))</f>
        <v/>
      </c>
      <c r="AB281">
        <f>IF('Recurring Schedule'!$C$32="","",IF('Recurring Schedule'!$F$32="","",IF(OR($A281&lt;'Recurring Schedule'!$F$32,$A281&gt;'Recurring Schedule'!$P$32),"",IF(IF('Recurring Schedule'!$N$32&gt;0,MOD($A281-'Recurring Schedule'!$F$32,'Recurring Schedule'!$N$32)=0,IF('Recurring Schedule'!$O$32&gt;0,AND(DAY($A281)=MIN(DAY('Recurring Schedule'!$F$32),DAY(EOMONTH($A281,0))),MOD((YEAR($A281)-YEAR('Recurring Schedule'!$F$32))*12+MONTH($A281)-MONTH('Recurring Schedule'!$F$32),'Recurring Schedule'!$O$32)=0),IF('Recurring Schedule'!$E$32="Weekdays",WEEKDAY($A281,2)&lt;=5,$A281='Recurring Schedule'!$F$32))),27,""))))</f>
        <v/>
      </c>
      <c r="AC281">
        <f>IF('Recurring Schedule'!$C$33="","",IF('Recurring Schedule'!$F$33="","",IF(OR($A281&lt;'Recurring Schedule'!$F$33,$A281&gt;'Recurring Schedule'!$P$33),"",IF(IF('Recurring Schedule'!$N$33&gt;0,MOD($A281-'Recurring Schedule'!$F$33,'Recurring Schedule'!$N$33)=0,IF('Recurring Schedule'!$O$33&gt;0,AND(DAY($A281)=MIN(DAY('Recurring Schedule'!$F$33),DAY(EOMONTH($A281,0))),MOD((YEAR($A281)-YEAR('Recurring Schedule'!$F$33))*12+MONTH($A281)-MONTH('Recurring Schedule'!$F$33),'Recurring Schedule'!$O$33)=0),IF('Recurring Schedule'!$E$33="Weekdays",WEEKDAY($A281,2)&lt;=5,$A281='Recurring Schedule'!$F$33))),28,""))))</f>
        <v/>
      </c>
      <c r="AD281">
        <f>IF('Recurring Schedule'!$C$34="","",IF('Recurring Schedule'!$F$34="","",IF(OR($A281&lt;'Recurring Schedule'!$F$34,$A281&gt;'Recurring Schedule'!$P$34),"",IF(IF('Recurring Schedule'!$N$34&gt;0,MOD($A281-'Recurring Schedule'!$F$34,'Recurring Schedule'!$N$34)=0,IF('Recurring Schedule'!$O$34&gt;0,AND(DAY($A281)=MIN(DAY('Recurring Schedule'!$F$34),DAY(EOMONTH($A281,0))),MOD((YEAR($A281)-YEAR('Recurring Schedule'!$F$34))*12+MONTH($A281)-MONTH('Recurring Schedule'!$F$34),'Recurring Schedule'!$O$34)=0),IF('Recurring Schedule'!$E$34="Weekdays",WEEKDAY($A281,2)&lt;=5,$A281='Recurring Schedule'!$F$34))),29,""))))</f>
        <v/>
      </c>
      <c r="AE281">
        <f>IF('Recurring Schedule'!$C$35="","",IF('Recurring Schedule'!$F$35="","",IF(OR($A281&lt;'Recurring Schedule'!$F$35,$A281&gt;'Recurring Schedule'!$P$35),"",IF(IF('Recurring Schedule'!$N$35&gt;0,MOD($A281-'Recurring Schedule'!$F$35,'Recurring Schedule'!$N$35)=0,IF('Recurring Schedule'!$O$35&gt;0,AND(DAY($A281)=MIN(DAY('Recurring Schedule'!$F$35),DAY(EOMONTH($A281,0))),MOD((YEAR($A281)-YEAR('Recurring Schedule'!$F$35))*12+MONTH($A281)-MONTH('Recurring Schedule'!$F$35),'Recurring Schedule'!$O$35)=0),IF('Recurring Schedule'!$E$35="Weekdays",WEEKDAY($A281,2)&lt;=5,$A281='Recurring Schedule'!$F$35))),30,""))))</f>
        <v/>
      </c>
      <c r="AF281">
        <f>IF('Recurring Schedule'!$C$36="","",IF('Recurring Schedule'!$F$36="","",IF(OR($A281&lt;'Recurring Schedule'!$F$36,$A281&gt;'Recurring Schedule'!$P$36),"",IF(IF('Recurring Schedule'!$N$36&gt;0,MOD($A281-'Recurring Schedule'!$F$36,'Recurring Schedule'!$N$36)=0,IF('Recurring Schedule'!$O$36&gt;0,AND(DAY($A281)=MIN(DAY('Recurring Schedule'!$F$36),DAY(EOMONTH($A281,0))),MOD((YEAR($A281)-YEAR('Recurring Schedule'!$F$36))*12+MONTH($A281)-MONTH('Recurring Schedule'!$F$36),'Recurring Schedule'!$O$36)=0),IF('Recurring Schedule'!$E$36="Weekdays",WEEKDAY($A281,2)&lt;=5,$A281='Recurring Schedule'!$F$36))),31,""))))</f>
        <v/>
      </c>
      <c r="AG281">
        <f>IF('Recurring Schedule'!$C$37="","",IF('Recurring Schedule'!$F$37="","",IF(OR($A281&lt;'Recurring Schedule'!$F$37,$A281&gt;'Recurring Schedule'!$P$37),"",IF(IF('Recurring Schedule'!$N$37&gt;0,MOD($A281-'Recurring Schedule'!$F$37,'Recurring Schedule'!$N$37)=0,IF('Recurring Schedule'!$O$37&gt;0,AND(DAY($A281)=MIN(DAY('Recurring Schedule'!$F$37),DAY(EOMONTH($A281,0))),MOD((YEAR($A281)-YEAR('Recurring Schedule'!$F$37))*12+MONTH($A281)-MONTH('Recurring Schedule'!$F$37),'Recurring Schedule'!$O$37)=0),IF('Recurring Schedule'!$E$37="Weekdays",WEEKDAY($A281,2)&lt;=5,$A281='Recurring Schedule'!$F$37))),32,""))))</f>
        <v/>
      </c>
      <c r="AH281">
        <f>IF('Recurring Schedule'!$C$38="","",IF('Recurring Schedule'!$F$38="","",IF(OR($A281&lt;'Recurring Schedule'!$F$38,$A281&gt;'Recurring Schedule'!$P$38),"",IF(IF('Recurring Schedule'!$N$38&gt;0,MOD($A281-'Recurring Schedule'!$F$38,'Recurring Schedule'!$N$38)=0,IF('Recurring Schedule'!$O$38&gt;0,AND(DAY($A281)=MIN(DAY('Recurring Schedule'!$F$38),DAY(EOMONTH($A281,0))),MOD((YEAR($A281)-YEAR('Recurring Schedule'!$F$38))*12+MONTH($A281)-MONTH('Recurring Schedule'!$F$38),'Recurring Schedule'!$O$38)=0),IF('Recurring Schedule'!$E$38="Weekdays",WEEKDAY($A281,2)&lt;=5,$A281='Recurring Schedule'!$F$38))),33,""))))</f>
        <v/>
      </c>
      <c r="AI281">
        <f>IF('Recurring Schedule'!$C$39="","",IF('Recurring Schedule'!$F$39="","",IF(OR($A281&lt;'Recurring Schedule'!$F$39,$A281&gt;'Recurring Schedule'!$P$39),"",IF(IF('Recurring Schedule'!$N$39&gt;0,MOD($A281-'Recurring Schedule'!$F$39,'Recurring Schedule'!$N$39)=0,IF('Recurring Schedule'!$O$39&gt;0,AND(DAY($A281)=MIN(DAY('Recurring Schedule'!$F$39),DAY(EOMONTH($A281,0))),MOD((YEAR($A281)-YEAR('Recurring Schedule'!$F$39))*12+MONTH($A281)-MONTH('Recurring Schedule'!$F$39),'Recurring Schedule'!$O$39)=0),IF('Recurring Schedule'!$E$39="Weekdays",WEEKDAY($A281,2)&lt;=5,$A281='Recurring Schedule'!$F$39))),34,""))))</f>
        <v/>
      </c>
      <c r="AJ281">
        <f>IF('Recurring Schedule'!$C$40="","",IF('Recurring Schedule'!$F$40="","",IF(OR($A281&lt;'Recurring Schedule'!$F$40,$A281&gt;'Recurring Schedule'!$P$40),"",IF(IF('Recurring Schedule'!$N$40&gt;0,MOD($A281-'Recurring Schedule'!$F$40,'Recurring Schedule'!$N$40)=0,IF('Recurring Schedule'!$O$40&gt;0,AND(DAY($A281)=MIN(DAY('Recurring Schedule'!$F$40),DAY(EOMONTH($A281,0))),MOD((YEAR($A281)-YEAR('Recurring Schedule'!$F$40))*12+MONTH($A281)-MONTH('Recurring Schedule'!$F$40),'Recurring Schedule'!$O$40)=0),IF('Recurring Schedule'!$E$40="Weekdays",WEEKDAY($A281,2)&lt;=5,$A281='Recurring Schedule'!$F$40))),35,""))))</f>
        <v/>
      </c>
      <c r="AK281">
        <f>IF('Recurring Schedule'!$C$41="","",IF('Recurring Schedule'!$F$41="","",IF(OR($A281&lt;'Recurring Schedule'!$F$41,$A281&gt;'Recurring Schedule'!$P$41),"",IF(IF('Recurring Schedule'!$N$41&gt;0,MOD($A281-'Recurring Schedule'!$F$41,'Recurring Schedule'!$N$41)=0,IF('Recurring Schedule'!$O$41&gt;0,AND(DAY($A281)=MIN(DAY('Recurring Schedule'!$F$41),DAY(EOMONTH($A281,0))),MOD((YEAR($A281)-YEAR('Recurring Schedule'!$F$41))*12+MONTH($A281)-MONTH('Recurring Schedule'!$F$41),'Recurring Schedule'!$O$41)=0),IF('Recurring Schedule'!$E$41="Weekdays",WEEKDAY($A281,2)&lt;=5,$A281='Recurring Schedule'!$F$41))),36,""))))</f>
        <v/>
      </c>
      <c r="AL281">
        <f>IF('Recurring Schedule'!$C$42="","",IF('Recurring Schedule'!$F$42="","",IF(OR($A281&lt;'Recurring Schedule'!$F$42,$A281&gt;'Recurring Schedule'!$P$42),"",IF(IF('Recurring Schedule'!$N$42&gt;0,MOD($A281-'Recurring Schedule'!$F$42,'Recurring Schedule'!$N$42)=0,IF('Recurring Schedule'!$O$42&gt;0,AND(DAY($A281)=MIN(DAY('Recurring Schedule'!$F$42),DAY(EOMONTH($A281,0))),MOD((YEAR($A281)-YEAR('Recurring Schedule'!$F$42))*12+MONTH($A281)-MONTH('Recurring Schedule'!$F$42),'Recurring Schedule'!$O$42)=0),IF('Recurring Schedule'!$E$42="Weekdays",WEEKDAY($A281,2)&lt;=5,$A281='Recurring Schedule'!$F$42))),37,""))))</f>
        <v/>
      </c>
      <c r="AM281">
        <f>IF('Recurring Schedule'!$C$43="","",IF('Recurring Schedule'!$F$43="","",IF(OR($A281&lt;'Recurring Schedule'!$F$43,$A281&gt;'Recurring Schedule'!$P$43),"",IF(IF('Recurring Schedule'!$N$43&gt;0,MOD($A281-'Recurring Schedule'!$F$43,'Recurring Schedule'!$N$43)=0,IF('Recurring Schedule'!$O$43&gt;0,AND(DAY($A281)=MIN(DAY('Recurring Schedule'!$F$43),DAY(EOMONTH($A281,0))),MOD((YEAR($A281)-YEAR('Recurring Schedule'!$F$43))*12+MONTH($A281)-MONTH('Recurring Schedule'!$F$43),'Recurring Schedule'!$O$43)=0),IF('Recurring Schedule'!$E$43="Weekdays",WEEKDAY($A281,2)&lt;=5,$A281='Recurring Schedule'!$F$43))),38,""))))</f>
        <v/>
      </c>
      <c r="AN281">
        <f>IF('Recurring Schedule'!$C$44="","",IF('Recurring Schedule'!$F$44="","",IF(OR($A281&lt;'Recurring Schedule'!$F$44,$A281&gt;'Recurring Schedule'!$P$44),"",IF(IF('Recurring Schedule'!$N$44&gt;0,MOD($A281-'Recurring Schedule'!$F$44,'Recurring Schedule'!$N$44)=0,IF('Recurring Schedule'!$O$44&gt;0,AND(DAY($A281)=MIN(DAY('Recurring Schedule'!$F$44),DAY(EOMONTH($A281,0))),MOD((YEAR($A281)-YEAR('Recurring Schedule'!$F$44))*12+MONTH($A281)-MONTH('Recurring Schedule'!$F$44),'Recurring Schedule'!$O$44)=0),IF('Recurring Schedule'!$E$44="Weekdays",WEEKDAY($A281,2)&lt;=5,$A281='Recurring Schedule'!$F$44))),39,""))))</f>
        <v/>
      </c>
      <c r="AO281">
        <f>IF('Recurring Schedule'!$C$45="","",IF('Recurring Schedule'!$F$45="","",IF(OR($A281&lt;'Recurring Schedule'!$F$45,$A281&gt;'Recurring Schedule'!$P$45),"",IF(IF('Recurring Schedule'!$N$45&gt;0,MOD($A281-'Recurring Schedule'!$F$45,'Recurring Schedule'!$N$45)=0,IF('Recurring Schedule'!$O$45&gt;0,AND(DAY($A281)=MIN(DAY('Recurring Schedule'!$F$45),DAY(EOMONTH($A281,0))),MOD((YEAR($A281)-YEAR('Recurring Schedule'!$F$45))*12+MONTH($A281)-MONTH('Recurring Schedule'!$F$45),'Recurring Schedule'!$O$45)=0),IF('Recurring Schedule'!$E$45="Weekdays",WEEKDAY($A281,2)&lt;=5,$A281='Recurring Schedule'!$F$45))),40,""))))</f>
        <v/>
      </c>
      <c r="AP281">
        <f>COUNT(B281:AO281)</f>
        <v/>
      </c>
      <c r="AQ281">
        <f>AQ280+AP280</f>
        <v/>
      </c>
      <c r="AS281" t="inlineStr">
        <is>
          <t>R</t>
        </is>
      </c>
      <c r="AT281" t="n">
        <v>285</v>
      </c>
      <c r="AU281">
        <f>'Recurring Log'!C285&amp;""</f>
        <v/>
      </c>
      <c r="AV281">
        <f>'Recurring Log'!D285&amp;""</f>
        <v/>
      </c>
      <c r="AW281">
        <f>IF('Recurring Log'!E285="","",'Recurring Log'!E285)</f>
        <v/>
      </c>
      <c r="AX281">
        <f>IF('Recurring Log'!G285="","",'Recurring Log'!G285)</f>
        <v/>
      </c>
      <c r="AY281">
        <f>IF('Recurring Log'!H285="","",'Recurring Log'!H285)</f>
        <v/>
      </c>
      <c r="AZ281">
        <f>IF(AU281="","",IF('Recurring Log'!J285="","Not Started",'Recurring Log'!J285))</f>
        <v/>
      </c>
      <c r="BA281">
        <f>'Recurring Log'!L285&amp;""</f>
        <v/>
      </c>
      <c r="BB281">
        <f>'Recurring Log'!M285&amp;""</f>
        <v/>
      </c>
      <c r="BC281">
        <f>'Recurring Log'!N285&amp;""</f>
        <v/>
      </c>
      <c r="BD281">
        <f>'Recurring Log'!O285&amp;""</f>
        <v/>
      </c>
      <c r="BE281">
        <f>IF('Recurring Log'!K285="","",'Recurring Log'!K285)</f>
        <v/>
      </c>
      <c r="BF281">
        <f>IFERROR(MATCH(BA281,Setup!$L$6:$L$9,0),5)</f>
        <v/>
      </c>
      <c r="BG281">
        <f>IF(OR(AZ281="Done",AZ281="Cancelled"),1,0)</f>
        <v/>
      </c>
      <c r="BH281">
        <f>IF(AND(AU281&lt;&gt;"",ISNUMBER(AW281)),1,0)</f>
        <v/>
      </c>
      <c r="BI281">
        <f>IF(BH281=0,0,IF(AND(AW281&gt;='Tasks Filter'!$F$3,AW281&lt;='Tasks Filter'!$F$4,OR('Tasks Filter'!$I$3="",ISNUMBER(SEARCH('Tasks Filter'!$I$3,AU281))),OR('Tasks Filter'!$I$4="",BF281=IFERROR(MATCH('Tasks Filter'!$I$4,Setup!$L$6:$L$9,0),0)),OR('Tasks Filter'!$I$5="Both",AND('Tasks Filter'!$I$5="Yes",BB281="✓"),AND('Tasks Filter'!$I$5="No",BB281&lt;&gt;"✓")),OR('Tasks Filter'!$L$3="",AV281='Tasks Filter'!$L$3),OR('Tasks Filter'!$L$4="",AZ281='Tasks Filter'!$L$4),OR('Tasks Filter'!$L$5="",BC281='Tasks Filter'!$L$5),OR('Tasks Filter'!$O$3="",BD281='Tasks Filter'!$O$3),OR('Tasks Filter'!$O$4="Yes",BG281=0)),1,0))</f>
        <v/>
      </c>
      <c r="BJ281">
        <f>IF(BH281=0,"",IF('Tasks Filter'!$F$6="Descending",-1,1)*CHOOSE(MATCH('Tasks Filter'!$F$5,Lists!$G$2:$G$6,0),AW281,BF281,IFERROR(MATCH(AV281,Setup!$F$6:$F$15,0),99),IFERROR(MATCH(BC281,Setup!$H$6:$H$15,0),99),IFERROR(MATCH(AZ281,Setup!$J$6:$J$11,0),99))*1E+9+(AW281-40000)*10000+280)</f>
        <v/>
      </c>
      <c r="BK281">
        <f>IF(BI281=1,BJ281,"")</f>
        <v/>
      </c>
      <c r="BL281">
        <f>IF(AND(BH281=1,BG281=0,N(AW281)&lt;Setup!$D$7),(AW281-40000)*10000+280,"")</f>
        <v/>
      </c>
      <c r="BM281">
        <f>IF(AND(BH281=1,AZ281&lt;&gt;"Cancelled",N(AW281)&gt;=Dashboard!$AB$3,N(AW281)&lt;=Dashboard!$AB$3+6),(AW281-40000)*100000+BF281*10000+280,"")</f>
        <v/>
      </c>
      <c r="BN281">
        <f>IF(AND(BH281=1,AZ281&lt;&gt;"Cancelled"),BF281*10000+280,"")</f>
        <v/>
      </c>
    </row>
    <row r="282">
      <c r="A282">
        <f>Setup!$D$5+280</f>
        <v/>
      </c>
      <c r="B282">
        <f>IF('Recurring Schedule'!$C$6="","",IF('Recurring Schedule'!$F$6="","",IF(OR($A282&lt;'Recurring Schedule'!$F$6,$A282&gt;'Recurring Schedule'!$P$6),"",IF(IF('Recurring Schedule'!$N$6&gt;0,MOD($A282-'Recurring Schedule'!$F$6,'Recurring Schedule'!$N$6)=0,IF('Recurring Schedule'!$O$6&gt;0,AND(DAY($A282)=MIN(DAY('Recurring Schedule'!$F$6),DAY(EOMONTH($A282,0))),MOD((YEAR($A282)-YEAR('Recurring Schedule'!$F$6))*12+MONTH($A282)-MONTH('Recurring Schedule'!$F$6),'Recurring Schedule'!$O$6)=0),IF('Recurring Schedule'!$E$6="Weekdays",WEEKDAY($A282,2)&lt;=5,$A282='Recurring Schedule'!$F$6))),1,""))))</f>
        <v/>
      </c>
      <c r="C282">
        <f>IF('Recurring Schedule'!$C$7="","",IF('Recurring Schedule'!$F$7="","",IF(OR($A282&lt;'Recurring Schedule'!$F$7,$A282&gt;'Recurring Schedule'!$P$7),"",IF(IF('Recurring Schedule'!$N$7&gt;0,MOD($A282-'Recurring Schedule'!$F$7,'Recurring Schedule'!$N$7)=0,IF('Recurring Schedule'!$O$7&gt;0,AND(DAY($A282)=MIN(DAY('Recurring Schedule'!$F$7),DAY(EOMONTH($A282,0))),MOD((YEAR($A282)-YEAR('Recurring Schedule'!$F$7))*12+MONTH($A282)-MONTH('Recurring Schedule'!$F$7),'Recurring Schedule'!$O$7)=0),IF('Recurring Schedule'!$E$7="Weekdays",WEEKDAY($A282,2)&lt;=5,$A282='Recurring Schedule'!$F$7))),2,""))))</f>
        <v/>
      </c>
      <c r="D282">
        <f>IF('Recurring Schedule'!$C$8="","",IF('Recurring Schedule'!$F$8="","",IF(OR($A282&lt;'Recurring Schedule'!$F$8,$A282&gt;'Recurring Schedule'!$P$8),"",IF(IF('Recurring Schedule'!$N$8&gt;0,MOD($A282-'Recurring Schedule'!$F$8,'Recurring Schedule'!$N$8)=0,IF('Recurring Schedule'!$O$8&gt;0,AND(DAY($A282)=MIN(DAY('Recurring Schedule'!$F$8),DAY(EOMONTH($A282,0))),MOD((YEAR($A282)-YEAR('Recurring Schedule'!$F$8))*12+MONTH($A282)-MONTH('Recurring Schedule'!$F$8),'Recurring Schedule'!$O$8)=0),IF('Recurring Schedule'!$E$8="Weekdays",WEEKDAY($A282,2)&lt;=5,$A282='Recurring Schedule'!$F$8))),3,""))))</f>
        <v/>
      </c>
      <c r="E282">
        <f>IF('Recurring Schedule'!$C$9="","",IF('Recurring Schedule'!$F$9="","",IF(OR($A282&lt;'Recurring Schedule'!$F$9,$A282&gt;'Recurring Schedule'!$P$9),"",IF(IF('Recurring Schedule'!$N$9&gt;0,MOD($A282-'Recurring Schedule'!$F$9,'Recurring Schedule'!$N$9)=0,IF('Recurring Schedule'!$O$9&gt;0,AND(DAY($A282)=MIN(DAY('Recurring Schedule'!$F$9),DAY(EOMONTH($A282,0))),MOD((YEAR($A282)-YEAR('Recurring Schedule'!$F$9))*12+MONTH($A282)-MONTH('Recurring Schedule'!$F$9),'Recurring Schedule'!$O$9)=0),IF('Recurring Schedule'!$E$9="Weekdays",WEEKDAY($A282,2)&lt;=5,$A282='Recurring Schedule'!$F$9))),4,""))))</f>
        <v/>
      </c>
      <c r="F282">
        <f>IF('Recurring Schedule'!$C$10="","",IF('Recurring Schedule'!$F$10="","",IF(OR($A282&lt;'Recurring Schedule'!$F$10,$A282&gt;'Recurring Schedule'!$P$10),"",IF(IF('Recurring Schedule'!$N$10&gt;0,MOD($A282-'Recurring Schedule'!$F$10,'Recurring Schedule'!$N$10)=0,IF('Recurring Schedule'!$O$10&gt;0,AND(DAY($A282)=MIN(DAY('Recurring Schedule'!$F$10),DAY(EOMONTH($A282,0))),MOD((YEAR($A282)-YEAR('Recurring Schedule'!$F$10))*12+MONTH($A282)-MONTH('Recurring Schedule'!$F$10),'Recurring Schedule'!$O$10)=0),IF('Recurring Schedule'!$E$10="Weekdays",WEEKDAY($A282,2)&lt;=5,$A282='Recurring Schedule'!$F$10))),5,""))))</f>
        <v/>
      </c>
      <c r="G282">
        <f>IF('Recurring Schedule'!$C$11="","",IF('Recurring Schedule'!$F$11="","",IF(OR($A282&lt;'Recurring Schedule'!$F$11,$A282&gt;'Recurring Schedule'!$P$11),"",IF(IF('Recurring Schedule'!$N$11&gt;0,MOD($A282-'Recurring Schedule'!$F$11,'Recurring Schedule'!$N$11)=0,IF('Recurring Schedule'!$O$11&gt;0,AND(DAY($A282)=MIN(DAY('Recurring Schedule'!$F$11),DAY(EOMONTH($A282,0))),MOD((YEAR($A282)-YEAR('Recurring Schedule'!$F$11))*12+MONTH($A282)-MONTH('Recurring Schedule'!$F$11),'Recurring Schedule'!$O$11)=0),IF('Recurring Schedule'!$E$11="Weekdays",WEEKDAY($A282,2)&lt;=5,$A282='Recurring Schedule'!$F$11))),6,""))))</f>
        <v/>
      </c>
      <c r="H282">
        <f>IF('Recurring Schedule'!$C$12="","",IF('Recurring Schedule'!$F$12="","",IF(OR($A282&lt;'Recurring Schedule'!$F$12,$A282&gt;'Recurring Schedule'!$P$12),"",IF(IF('Recurring Schedule'!$N$12&gt;0,MOD($A282-'Recurring Schedule'!$F$12,'Recurring Schedule'!$N$12)=0,IF('Recurring Schedule'!$O$12&gt;0,AND(DAY($A282)=MIN(DAY('Recurring Schedule'!$F$12),DAY(EOMONTH($A282,0))),MOD((YEAR($A282)-YEAR('Recurring Schedule'!$F$12))*12+MONTH($A282)-MONTH('Recurring Schedule'!$F$12),'Recurring Schedule'!$O$12)=0),IF('Recurring Schedule'!$E$12="Weekdays",WEEKDAY($A282,2)&lt;=5,$A282='Recurring Schedule'!$F$12))),7,""))))</f>
        <v/>
      </c>
      <c r="I282">
        <f>IF('Recurring Schedule'!$C$13="","",IF('Recurring Schedule'!$F$13="","",IF(OR($A282&lt;'Recurring Schedule'!$F$13,$A282&gt;'Recurring Schedule'!$P$13),"",IF(IF('Recurring Schedule'!$N$13&gt;0,MOD($A282-'Recurring Schedule'!$F$13,'Recurring Schedule'!$N$13)=0,IF('Recurring Schedule'!$O$13&gt;0,AND(DAY($A282)=MIN(DAY('Recurring Schedule'!$F$13),DAY(EOMONTH($A282,0))),MOD((YEAR($A282)-YEAR('Recurring Schedule'!$F$13))*12+MONTH($A282)-MONTH('Recurring Schedule'!$F$13),'Recurring Schedule'!$O$13)=0),IF('Recurring Schedule'!$E$13="Weekdays",WEEKDAY($A282,2)&lt;=5,$A282='Recurring Schedule'!$F$13))),8,""))))</f>
        <v/>
      </c>
      <c r="J282">
        <f>IF('Recurring Schedule'!$C$14="","",IF('Recurring Schedule'!$F$14="","",IF(OR($A282&lt;'Recurring Schedule'!$F$14,$A282&gt;'Recurring Schedule'!$P$14),"",IF(IF('Recurring Schedule'!$N$14&gt;0,MOD($A282-'Recurring Schedule'!$F$14,'Recurring Schedule'!$N$14)=0,IF('Recurring Schedule'!$O$14&gt;0,AND(DAY($A282)=MIN(DAY('Recurring Schedule'!$F$14),DAY(EOMONTH($A282,0))),MOD((YEAR($A282)-YEAR('Recurring Schedule'!$F$14))*12+MONTH($A282)-MONTH('Recurring Schedule'!$F$14),'Recurring Schedule'!$O$14)=0),IF('Recurring Schedule'!$E$14="Weekdays",WEEKDAY($A282,2)&lt;=5,$A282='Recurring Schedule'!$F$14))),9,""))))</f>
        <v/>
      </c>
      <c r="K282">
        <f>IF('Recurring Schedule'!$C$15="","",IF('Recurring Schedule'!$F$15="","",IF(OR($A282&lt;'Recurring Schedule'!$F$15,$A282&gt;'Recurring Schedule'!$P$15),"",IF(IF('Recurring Schedule'!$N$15&gt;0,MOD($A282-'Recurring Schedule'!$F$15,'Recurring Schedule'!$N$15)=0,IF('Recurring Schedule'!$O$15&gt;0,AND(DAY($A282)=MIN(DAY('Recurring Schedule'!$F$15),DAY(EOMONTH($A282,0))),MOD((YEAR($A282)-YEAR('Recurring Schedule'!$F$15))*12+MONTH($A282)-MONTH('Recurring Schedule'!$F$15),'Recurring Schedule'!$O$15)=0),IF('Recurring Schedule'!$E$15="Weekdays",WEEKDAY($A282,2)&lt;=5,$A282='Recurring Schedule'!$F$15))),10,""))))</f>
        <v/>
      </c>
      <c r="L282">
        <f>IF('Recurring Schedule'!$C$16="","",IF('Recurring Schedule'!$F$16="","",IF(OR($A282&lt;'Recurring Schedule'!$F$16,$A282&gt;'Recurring Schedule'!$P$16),"",IF(IF('Recurring Schedule'!$N$16&gt;0,MOD($A282-'Recurring Schedule'!$F$16,'Recurring Schedule'!$N$16)=0,IF('Recurring Schedule'!$O$16&gt;0,AND(DAY($A282)=MIN(DAY('Recurring Schedule'!$F$16),DAY(EOMONTH($A282,0))),MOD((YEAR($A282)-YEAR('Recurring Schedule'!$F$16))*12+MONTH($A282)-MONTH('Recurring Schedule'!$F$16),'Recurring Schedule'!$O$16)=0),IF('Recurring Schedule'!$E$16="Weekdays",WEEKDAY($A282,2)&lt;=5,$A282='Recurring Schedule'!$F$16))),11,""))))</f>
        <v/>
      </c>
      <c r="M282">
        <f>IF('Recurring Schedule'!$C$17="","",IF('Recurring Schedule'!$F$17="","",IF(OR($A282&lt;'Recurring Schedule'!$F$17,$A282&gt;'Recurring Schedule'!$P$17),"",IF(IF('Recurring Schedule'!$N$17&gt;0,MOD($A282-'Recurring Schedule'!$F$17,'Recurring Schedule'!$N$17)=0,IF('Recurring Schedule'!$O$17&gt;0,AND(DAY($A282)=MIN(DAY('Recurring Schedule'!$F$17),DAY(EOMONTH($A282,0))),MOD((YEAR($A282)-YEAR('Recurring Schedule'!$F$17))*12+MONTH($A282)-MONTH('Recurring Schedule'!$F$17),'Recurring Schedule'!$O$17)=0),IF('Recurring Schedule'!$E$17="Weekdays",WEEKDAY($A282,2)&lt;=5,$A282='Recurring Schedule'!$F$17))),12,""))))</f>
        <v/>
      </c>
      <c r="N282">
        <f>IF('Recurring Schedule'!$C$18="","",IF('Recurring Schedule'!$F$18="","",IF(OR($A282&lt;'Recurring Schedule'!$F$18,$A282&gt;'Recurring Schedule'!$P$18),"",IF(IF('Recurring Schedule'!$N$18&gt;0,MOD($A282-'Recurring Schedule'!$F$18,'Recurring Schedule'!$N$18)=0,IF('Recurring Schedule'!$O$18&gt;0,AND(DAY($A282)=MIN(DAY('Recurring Schedule'!$F$18),DAY(EOMONTH($A282,0))),MOD((YEAR($A282)-YEAR('Recurring Schedule'!$F$18))*12+MONTH($A282)-MONTH('Recurring Schedule'!$F$18),'Recurring Schedule'!$O$18)=0),IF('Recurring Schedule'!$E$18="Weekdays",WEEKDAY($A282,2)&lt;=5,$A282='Recurring Schedule'!$F$18))),13,""))))</f>
        <v/>
      </c>
      <c r="O282">
        <f>IF('Recurring Schedule'!$C$19="","",IF('Recurring Schedule'!$F$19="","",IF(OR($A282&lt;'Recurring Schedule'!$F$19,$A282&gt;'Recurring Schedule'!$P$19),"",IF(IF('Recurring Schedule'!$N$19&gt;0,MOD($A282-'Recurring Schedule'!$F$19,'Recurring Schedule'!$N$19)=0,IF('Recurring Schedule'!$O$19&gt;0,AND(DAY($A282)=MIN(DAY('Recurring Schedule'!$F$19),DAY(EOMONTH($A282,0))),MOD((YEAR($A282)-YEAR('Recurring Schedule'!$F$19))*12+MONTH($A282)-MONTH('Recurring Schedule'!$F$19),'Recurring Schedule'!$O$19)=0),IF('Recurring Schedule'!$E$19="Weekdays",WEEKDAY($A282,2)&lt;=5,$A282='Recurring Schedule'!$F$19))),14,""))))</f>
        <v/>
      </c>
      <c r="P282">
        <f>IF('Recurring Schedule'!$C$20="","",IF('Recurring Schedule'!$F$20="","",IF(OR($A282&lt;'Recurring Schedule'!$F$20,$A282&gt;'Recurring Schedule'!$P$20),"",IF(IF('Recurring Schedule'!$N$20&gt;0,MOD($A282-'Recurring Schedule'!$F$20,'Recurring Schedule'!$N$20)=0,IF('Recurring Schedule'!$O$20&gt;0,AND(DAY($A282)=MIN(DAY('Recurring Schedule'!$F$20),DAY(EOMONTH($A282,0))),MOD((YEAR($A282)-YEAR('Recurring Schedule'!$F$20))*12+MONTH($A282)-MONTH('Recurring Schedule'!$F$20),'Recurring Schedule'!$O$20)=0),IF('Recurring Schedule'!$E$20="Weekdays",WEEKDAY($A282,2)&lt;=5,$A282='Recurring Schedule'!$F$20))),15,""))))</f>
        <v/>
      </c>
      <c r="Q282">
        <f>IF('Recurring Schedule'!$C$21="","",IF('Recurring Schedule'!$F$21="","",IF(OR($A282&lt;'Recurring Schedule'!$F$21,$A282&gt;'Recurring Schedule'!$P$21),"",IF(IF('Recurring Schedule'!$N$21&gt;0,MOD($A282-'Recurring Schedule'!$F$21,'Recurring Schedule'!$N$21)=0,IF('Recurring Schedule'!$O$21&gt;0,AND(DAY($A282)=MIN(DAY('Recurring Schedule'!$F$21),DAY(EOMONTH($A282,0))),MOD((YEAR($A282)-YEAR('Recurring Schedule'!$F$21))*12+MONTH($A282)-MONTH('Recurring Schedule'!$F$21),'Recurring Schedule'!$O$21)=0),IF('Recurring Schedule'!$E$21="Weekdays",WEEKDAY($A282,2)&lt;=5,$A282='Recurring Schedule'!$F$21))),16,""))))</f>
        <v/>
      </c>
      <c r="R282">
        <f>IF('Recurring Schedule'!$C$22="","",IF('Recurring Schedule'!$F$22="","",IF(OR($A282&lt;'Recurring Schedule'!$F$22,$A282&gt;'Recurring Schedule'!$P$22),"",IF(IF('Recurring Schedule'!$N$22&gt;0,MOD($A282-'Recurring Schedule'!$F$22,'Recurring Schedule'!$N$22)=0,IF('Recurring Schedule'!$O$22&gt;0,AND(DAY($A282)=MIN(DAY('Recurring Schedule'!$F$22),DAY(EOMONTH($A282,0))),MOD((YEAR($A282)-YEAR('Recurring Schedule'!$F$22))*12+MONTH($A282)-MONTH('Recurring Schedule'!$F$22),'Recurring Schedule'!$O$22)=0),IF('Recurring Schedule'!$E$22="Weekdays",WEEKDAY($A282,2)&lt;=5,$A282='Recurring Schedule'!$F$22))),17,""))))</f>
        <v/>
      </c>
      <c r="S282">
        <f>IF('Recurring Schedule'!$C$23="","",IF('Recurring Schedule'!$F$23="","",IF(OR($A282&lt;'Recurring Schedule'!$F$23,$A282&gt;'Recurring Schedule'!$P$23),"",IF(IF('Recurring Schedule'!$N$23&gt;0,MOD($A282-'Recurring Schedule'!$F$23,'Recurring Schedule'!$N$23)=0,IF('Recurring Schedule'!$O$23&gt;0,AND(DAY($A282)=MIN(DAY('Recurring Schedule'!$F$23),DAY(EOMONTH($A282,0))),MOD((YEAR($A282)-YEAR('Recurring Schedule'!$F$23))*12+MONTH($A282)-MONTH('Recurring Schedule'!$F$23),'Recurring Schedule'!$O$23)=0),IF('Recurring Schedule'!$E$23="Weekdays",WEEKDAY($A282,2)&lt;=5,$A282='Recurring Schedule'!$F$23))),18,""))))</f>
        <v/>
      </c>
      <c r="T282">
        <f>IF('Recurring Schedule'!$C$24="","",IF('Recurring Schedule'!$F$24="","",IF(OR($A282&lt;'Recurring Schedule'!$F$24,$A282&gt;'Recurring Schedule'!$P$24),"",IF(IF('Recurring Schedule'!$N$24&gt;0,MOD($A282-'Recurring Schedule'!$F$24,'Recurring Schedule'!$N$24)=0,IF('Recurring Schedule'!$O$24&gt;0,AND(DAY($A282)=MIN(DAY('Recurring Schedule'!$F$24),DAY(EOMONTH($A282,0))),MOD((YEAR($A282)-YEAR('Recurring Schedule'!$F$24))*12+MONTH($A282)-MONTH('Recurring Schedule'!$F$24),'Recurring Schedule'!$O$24)=0),IF('Recurring Schedule'!$E$24="Weekdays",WEEKDAY($A282,2)&lt;=5,$A282='Recurring Schedule'!$F$24))),19,""))))</f>
        <v/>
      </c>
      <c r="U282">
        <f>IF('Recurring Schedule'!$C$25="","",IF('Recurring Schedule'!$F$25="","",IF(OR($A282&lt;'Recurring Schedule'!$F$25,$A282&gt;'Recurring Schedule'!$P$25),"",IF(IF('Recurring Schedule'!$N$25&gt;0,MOD($A282-'Recurring Schedule'!$F$25,'Recurring Schedule'!$N$25)=0,IF('Recurring Schedule'!$O$25&gt;0,AND(DAY($A282)=MIN(DAY('Recurring Schedule'!$F$25),DAY(EOMONTH($A282,0))),MOD((YEAR($A282)-YEAR('Recurring Schedule'!$F$25))*12+MONTH($A282)-MONTH('Recurring Schedule'!$F$25),'Recurring Schedule'!$O$25)=0),IF('Recurring Schedule'!$E$25="Weekdays",WEEKDAY($A282,2)&lt;=5,$A282='Recurring Schedule'!$F$25))),20,""))))</f>
        <v/>
      </c>
      <c r="V282">
        <f>IF('Recurring Schedule'!$C$26="","",IF('Recurring Schedule'!$F$26="","",IF(OR($A282&lt;'Recurring Schedule'!$F$26,$A282&gt;'Recurring Schedule'!$P$26),"",IF(IF('Recurring Schedule'!$N$26&gt;0,MOD($A282-'Recurring Schedule'!$F$26,'Recurring Schedule'!$N$26)=0,IF('Recurring Schedule'!$O$26&gt;0,AND(DAY($A282)=MIN(DAY('Recurring Schedule'!$F$26),DAY(EOMONTH($A282,0))),MOD((YEAR($A282)-YEAR('Recurring Schedule'!$F$26))*12+MONTH($A282)-MONTH('Recurring Schedule'!$F$26),'Recurring Schedule'!$O$26)=0),IF('Recurring Schedule'!$E$26="Weekdays",WEEKDAY($A282,2)&lt;=5,$A282='Recurring Schedule'!$F$26))),21,""))))</f>
        <v/>
      </c>
      <c r="W282">
        <f>IF('Recurring Schedule'!$C$27="","",IF('Recurring Schedule'!$F$27="","",IF(OR($A282&lt;'Recurring Schedule'!$F$27,$A282&gt;'Recurring Schedule'!$P$27),"",IF(IF('Recurring Schedule'!$N$27&gt;0,MOD($A282-'Recurring Schedule'!$F$27,'Recurring Schedule'!$N$27)=0,IF('Recurring Schedule'!$O$27&gt;0,AND(DAY($A282)=MIN(DAY('Recurring Schedule'!$F$27),DAY(EOMONTH($A282,0))),MOD((YEAR($A282)-YEAR('Recurring Schedule'!$F$27))*12+MONTH($A282)-MONTH('Recurring Schedule'!$F$27),'Recurring Schedule'!$O$27)=0),IF('Recurring Schedule'!$E$27="Weekdays",WEEKDAY($A282,2)&lt;=5,$A282='Recurring Schedule'!$F$27))),22,""))))</f>
        <v/>
      </c>
      <c r="X282">
        <f>IF('Recurring Schedule'!$C$28="","",IF('Recurring Schedule'!$F$28="","",IF(OR($A282&lt;'Recurring Schedule'!$F$28,$A282&gt;'Recurring Schedule'!$P$28),"",IF(IF('Recurring Schedule'!$N$28&gt;0,MOD($A282-'Recurring Schedule'!$F$28,'Recurring Schedule'!$N$28)=0,IF('Recurring Schedule'!$O$28&gt;0,AND(DAY($A282)=MIN(DAY('Recurring Schedule'!$F$28),DAY(EOMONTH($A282,0))),MOD((YEAR($A282)-YEAR('Recurring Schedule'!$F$28))*12+MONTH($A282)-MONTH('Recurring Schedule'!$F$28),'Recurring Schedule'!$O$28)=0),IF('Recurring Schedule'!$E$28="Weekdays",WEEKDAY($A282,2)&lt;=5,$A282='Recurring Schedule'!$F$28))),23,""))))</f>
        <v/>
      </c>
      <c r="Y282">
        <f>IF('Recurring Schedule'!$C$29="","",IF('Recurring Schedule'!$F$29="","",IF(OR($A282&lt;'Recurring Schedule'!$F$29,$A282&gt;'Recurring Schedule'!$P$29),"",IF(IF('Recurring Schedule'!$N$29&gt;0,MOD($A282-'Recurring Schedule'!$F$29,'Recurring Schedule'!$N$29)=0,IF('Recurring Schedule'!$O$29&gt;0,AND(DAY($A282)=MIN(DAY('Recurring Schedule'!$F$29),DAY(EOMONTH($A282,0))),MOD((YEAR($A282)-YEAR('Recurring Schedule'!$F$29))*12+MONTH($A282)-MONTH('Recurring Schedule'!$F$29),'Recurring Schedule'!$O$29)=0),IF('Recurring Schedule'!$E$29="Weekdays",WEEKDAY($A282,2)&lt;=5,$A282='Recurring Schedule'!$F$29))),24,""))))</f>
        <v/>
      </c>
      <c r="Z282">
        <f>IF('Recurring Schedule'!$C$30="","",IF('Recurring Schedule'!$F$30="","",IF(OR($A282&lt;'Recurring Schedule'!$F$30,$A282&gt;'Recurring Schedule'!$P$30),"",IF(IF('Recurring Schedule'!$N$30&gt;0,MOD($A282-'Recurring Schedule'!$F$30,'Recurring Schedule'!$N$30)=0,IF('Recurring Schedule'!$O$30&gt;0,AND(DAY($A282)=MIN(DAY('Recurring Schedule'!$F$30),DAY(EOMONTH($A282,0))),MOD((YEAR($A282)-YEAR('Recurring Schedule'!$F$30))*12+MONTH($A282)-MONTH('Recurring Schedule'!$F$30),'Recurring Schedule'!$O$30)=0),IF('Recurring Schedule'!$E$30="Weekdays",WEEKDAY($A282,2)&lt;=5,$A282='Recurring Schedule'!$F$30))),25,""))))</f>
        <v/>
      </c>
      <c r="AA282">
        <f>IF('Recurring Schedule'!$C$31="","",IF('Recurring Schedule'!$F$31="","",IF(OR($A282&lt;'Recurring Schedule'!$F$31,$A282&gt;'Recurring Schedule'!$P$31),"",IF(IF('Recurring Schedule'!$N$31&gt;0,MOD($A282-'Recurring Schedule'!$F$31,'Recurring Schedule'!$N$31)=0,IF('Recurring Schedule'!$O$31&gt;0,AND(DAY($A282)=MIN(DAY('Recurring Schedule'!$F$31),DAY(EOMONTH($A282,0))),MOD((YEAR($A282)-YEAR('Recurring Schedule'!$F$31))*12+MONTH($A282)-MONTH('Recurring Schedule'!$F$31),'Recurring Schedule'!$O$31)=0),IF('Recurring Schedule'!$E$31="Weekdays",WEEKDAY($A282,2)&lt;=5,$A282='Recurring Schedule'!$F$31))),26,""))))</f>
        <v/>
      </c>
      <c r="AB282">
        <f>IF('Recurring Schedule'!$C$32="","",IF('Recurring Schedule'!$F$32="","",IF(OR($A282&lt;'Recurring Schedule'!$F$32,$A282&gt;'Recurring Schedule'!$P$32),"",IF(IF('Recurring Schedule'!$N$32&gt;0,MOD($A282-'Recurring Schedule'!$F$32,'Recurring Schedule'!$N$32)=0,IF('Recurring Schedule'!$O$32&gt;0,AND(DAY($A282)=MIN(DAY('Recurring Schedule'!$F$32),DAY(EOMONTH($A282,0))),MOD((YEAR($A282)-YEAR('Recurring Schedule'!$F$32))*12+MONTH($A282)-MONTH('Recurring Schedule'!$F$32),'Recurring Schedule'!$O$32)=0),IF('Recurring Schedule'!$E$32="Weekdays",WEEKDAY($A282,2)&lt;=5,$A282='Recurring Schedule'!$F$32))),27,""))))</f>
        <v/>
      </c>
      <c r="AC282">
        <f>IF('Recurring Schedule'!$C$33="","",IF('Recurring Schedule'!$F$33="","",IF(OR($A282&lt;'Recurring Schedule'!$F$33,$A282&gt;'Recurring Schedule'!$P$33),"",IF(IF('Recurring Schedule'!$N$33&gt;0,MOD($A282-'Recurring Schedule'!$F$33,'Recurring Schedule'!$N$33)=0,IF('Recurring Schedule'!$O$33&gt;0,AND(DAY($A282)=MIN(DAY('Recurring Schedule'!$F$33),DAY(EOMONTH($A282,0))),MOD((YEAR($A282)-YEAR('Recurring Schedule'!$F$33))*12+MONTH($A282)-MONTH('Recurring Schedule'!$F$33),'Recurring Schedule'!$O$33)=0),IF('Recurring Schedule'!$E$33="Weekdays",WEEKDAY($A282,2)&lt;=5,$A282='Recurring Schedule'!$F$33))),28,""))))</f>
        <v/>
      </c>
      <c r="AD282">
        <f>IF('Recurring Schedule'!$C$34="","",IF('Recurring Schedule'!$F$34="","",IF(OR($A282&lt;'Recurring Schedule'!$F$34,$A282&gt;'Recurring Schedule'!$P$34),"",IF(IF('Recurring Schedule'!$N$34&gt;0,MOD($A282-'Recurring Schedule'!$F$34,'Recurring Schedule'!$N$34)=0,IF('Recurring Schedule'!$O$34&gt;0,AND(DAY($A282)=MIN(DAY('Recurring Schedule'!$F$34),DAY(EOMONTH($A282,0))),MOD((YEAR($A282)-YEAR('Recurring Schedule'!$F$34))*12+MONTH($A282)-MONTH('Recurring Schedule'!$F$34),'Recurring Schedule'!$O$34)=0),IF('Recurring Schedule'!$E$34="Weekdays",WEEKDAY($A282,2)&lt;=5,$A282='Recurring Schedule'!$F$34))),29,""))))</f>
        <v/>
      </c>
      <c r="AE282">
        <f>IF('Recurring Schedule'!$C$35="","",IF('Recurring Schedule'!$F$35="","",IF(OR($A282&lt;'Recurring Schedule'!$F$35,$A282&gt;'Recurring Schedule'!$P$35),"",IF(IF('Recurring Schedule'!$N$35&gt;0,MOD($A282-'Recurring Schedule'!$F$35,'Recurring Schedule'!$N$35)=0,IF('Recurring Schedule'!$O$35&gt;0,AND(DAY($A282)=MIN(DAY('Recurring Schedule'!$F$35),DAY(EOMONTH($A282,0))),MOD((YEAR($A282)-YEAR('Recurring Schedule'!$F$35))*12+MONTH($A282)-MONTH('Recurring Schedule'!$F$35),'Recurring Schedule'!$O$35)=0),IF('Recurring Schedule'!$E$35="Weekdays",WEEKDAY($A282,2)&lt;=5,$A282='Recurring Schedule'!$F$35))),30,""))))</f>
        <v/>
      </c>
      <c r="AF282">
        <f>IF('Recurring Schedule'!$C$36="","",IF('Recurring Schedule'!$F$36="","",IF(OR($A282&lt;'Recurring Schedule'!$F$36,$A282&gt;'Recurring Schedule'!$P$36),"",IF(IF('Recurring Schedule'!$N$36&gt;0,MOD($A282-'Recurring Schedule'!$F$36,'Recurring Schedule'!$N$36)=0,IF('Recurring Schedule'!$O$36&gt;0,AND(DAY($A282)=MIN(DAY('Recurring Schedule'!$F$36),DAY(EOMONTH($A282,0))),MOD((YEAR($A282)-YEAR('Recurring Schedule'!$F$36))*12+MONTH($A282)-MONTH('Recurring Schedule'!$F$36),'Recurring Schedule'!$O$36)=0),IF('Recurring Schedule'!$E$36="Weekdays",WEEKDAY($A282,2)&lt;=5,$A282='Recurring Schedule'!$F$36))),31,""))))</f>
        <v/>
      </c>
      <c r="AG282">
        <f>IF('Recurring Schedule'!$C$37="","",IF('Recurring Schedule'!$F$37="","",IF(OR($A282&lt;'Recurring Schedule'!$F$37,$A282&gt;'Recurring Schedule'!$P$37),"",IF(IF('Recurring Schedule'!$N$37&gt;0,MOD($A282-'Recurring Schedule'!$F$37,'Recurring Schedule'!$N$37)=0,IF('Recurring Schedule'!$O$37&gt;0,AND(DAY($A282)=MIN(DAY('Recurring Schedule'!$F$37),DAY(EOMONTH($A282,0))),MOD((YEAR($A282)-YEAR('Recurring Schedule'!$F$37))*12+MONTH($A282)-MONTH('Recurring Schedule'!$F$37),'Recurring Schedule'!$O$37)=0),IF('Recurring Schedule'!$E$37="Weekdays",WEEKDAY($A282,2)&lt;=5,$A282='Recurring Schedule'!$F$37))),32,""))))</f>
        <v/>
      </c>
      <c r="AH282">
        <f>IF('Recurring Schedule'!$C$38="","",IF('Recurring Schedule'!$F$38="","",IF(OR($A282&lt;'Recurring Schedule'!$F$38,$A282&gt;'Recurring Schedule'!$P$38),"",IF(IF('Recurring Schedule'!$N$38&gt;0,MOD($A282-'Recurring Schedule'!$F$38,'Recurring Schedule'!$N$38)=0,IF('Recurring Schedule'!$O$38&gt;0,AND(DAY($A282)=MIN(DAY('Recurring Schedule'!$F$38),DAY(EOMONTH($A282,0))),MOD((YEAR($A282)-YEAR('Recurring Schedule'!$F$38))*12+MONTH($A282)-MONTH('Recurring Schedule'!$F$38),'Recurring Schedule'!$O$38)=0),IF('Recurring Schedule'!$E$38="Weekdays",WEEKDAY($A282,2)&lt;=5,$A282='Recurring Schedule'!$F$38))),33,""))))</f>
        <v/>
      </c>
      <c r="AI282">
        <f>IF('Recurring Schedule'!$C$39="","",IF('Recurring Schedule'!$F$39="","",IF(OR($A282&lt;'Recurring Schedule'!$F$39,$A282&gt;'Recurring Schedule'!$P$39),"",IF(IF('Recurring Schedule'!$N$39&gt;0,MOD($A282-'Recurring Schedule'!$F$39,'Recurring Schedule'!$N$39)=0,IF('Recurring Schedule'!$O$39&gt;0,AND(DAY($A282)=MIN(DAY('Recurring Schedule'!$F$39),DAY(EOMONTH($A282,0))),MOD((YEAR($A282)-YEAR('Recurring Schedule'!$F$39))*12+MONTH($A282)-MONTH('Recurring Schedule'!$F$39),'Recurring Schedule'!$O$39)=0),IF('Recurring Schedule'!$E$39="Weekdays",WEEKDAY($A282,2)&lt;=5,$A282='Recurring Schedule'!$F$39))),34,""))))</f>
        <v/>
      </c>
      <c r="AJ282">
        <f>IF('Recurring Schedule'!$C$40="","",IF('Recurring Schedule'!$F$40="","",IF(OR($A282&lt;'Recurring Schedule'!$F$40,$A282&gt;'Recurring Schedule'!$P$40),"",IF(IF('Recurring Schedule'!$N$40&gt;0,MOD($A282-'Recurring Schedule'!$F$40,'Recurring Schedule'!$N$40)=0,IF('Recurring Schedule'!$O$40&gt;0,AND(DAY($A282)=MIN(DAY('Recurring Schedule'!$F$40),DAY(EOMONTH($A282,0))),MOD((YEAR($A282)-YEAR('Recurring Schedule'!$F$40))*12+MONTH($A282)-MONTH('Recurring Schedule'!$F$40),'Recurring Schedule'!$O$40)=0),IF('Recurring Schedule'!$E$40="Weekdays",WEEKDAY($A282,2)&lt;=5,$A282='Recurring Schedule'!$F$40))),35,""))))</f>
        <v/>
      </c>
      <c r="AK282">
        <f>IF('Recurring Schedule'!$C$41="","",IF('Recurring Schedule'!$F$41="","",IF(OR($A282&lt;'Recurring Schedule'!$F$41,$A282&gt;'Recurring Schedule'!$P$41),"",IF(IF('Recurring Schedule'!$N$41&gt;0,MOD($A282-'Recurring Schedule'!$F$41,'Recurring Schedule'!$N$41)=0,IF('Recurring Schedule'!$O$41&gt;0,AND(DAY($A282)=MIN(DAY('Recurring Schedule'!$F$41),DAY(EOMONTH($A282,0))),MOD((YEAR($A282)-YEAR('Recurring Schedule'!$F$41))*12+MONTH($A282)-MONTH('Recurring Schedule'!$F$41),'Recurring Schedule'!$O$41)=0),IF('Recurring Schedule'!$E$41="Weekdays",WEEKDAY($A282,2)&lt;=5,$A282='Recurring Schedule'!$F$41))),36,""))))</f>
        <v/>
      </c>
      <c r="AL282">
        <f>IF('Recurring Schedule'!$C$42="","",IF('Recurring Schedule'!$F$42="","",IF(OR($A282&lt;'Recurring Schedule'!$F$42,$A282&gt;'Recurring Schedule'!$P$42),"",IF(IF('Recurring Schedule'!$N$42&gt;0,MOD($A282-'Recurring Schedule'!$F$42,'Recurring Schedule'!$N$42)=0,IF('Recurring Schedule'!$O$42&gt;0,AND(DAY($A282)=MIN(DAY('Recurring Schedule'!$F$42),DAY(EOMONTH($A282,0))),MOD((YEAR($A282)-YEAR('Recurring Schedule'!$F$42))*12+MONTH($A282)-MONTH('Recurring Schedule'!$F$42),'Recurring Schedule'!$O$42)=0),IF('Recurring Schedule'!$E$42="Weekdays",WEEKDAY($A282,2)&lt;=5,$A282='Recurring Schedule'!$F$42))),37,""))))</f>
        <v/>
      </c>
      <c r="AM282">
        <f>IF('Recurring Schedule'!$C$43="","",IF('Recurring Schedule'!$F$43="","",IF(OR($A282&lt;'Recurring Schedule'!$F$43,$A282&gt;'Recurring Schedule'!$P$43),"",IF(IF('Recurring Schedule'!$N$43&gt;0,MOD($A282-'Recurring Schedule'!$F$43,'Recurring Schedule'!$N$43)=0,IF('Recurring Schedule'!$O$43&gt;0,AND(DAY($A282)=MIN(DAY('Recurring Schedule'!$F$43),DAY(EOMONTH($A282,0))),MOD((YEAR($A282)-YEAR('Recurring Schedule'!$F$43))*12+MONTH($A282)-MONTH('Recurring Schedule'!$F$43),'Recurring Schedule'!$O$43)=0),IF('Recurring Schedule'!$E$43="Weekdays",WEEKDAY($A282,2)&lt;=5,$A282='Recurring Schedule'!$F$43))),38,""))))</f>
        <v/>
      </c>
      <c r="AN282">
        <f>IF('Recurring Schedule'!$C$44="","",IF('Recurring Schedule'!$F$44="","",IF(OR($A282&lt;'Recurring Schedule'!$F$44,$A282&gt;'Recurring Schedule'!$P$44),"",IF(IF('Recurring Schedule'!$N$44&gt;0,MOD($A282-'Recurring Schedule'!$F$44,'Recurring Schedule'!$N$44)=0,IF('Recurring Schedule'!$O$44&gt;0,AND(DAY($A282)=MIN(DAY('Recurring Schedule'!$F$44),DAY(EOMONTH($A282,0))),MOD((YEAR($A282)-YEAR('Recurring Schedule'!$F$44))*12+MONTH($A282)-MONTH('Recurring Schedule'!$F$44),'Recurring Schedule'!$O$44)=0),IF('Recurring Schedule'!$E$44="Weekdays",WEEKDAY($A282,2)&lt;=5,$A282='Recurring Schedule'!$F$44))),39,""))))</f>
        <v/>
      </c>
      <c r="AO282">
        <f>IF('Recurring Schedule'!$C$45="","",IF('Recurring Schedule'!$F$45="","",IF(OR($A282&lt;'Recurring Schedule'!$F$45,$A282&gt;'Recurring Schedule'!$P$45),"",IF(IF('Recurring Schedule'!$N$45&gt;0,MOD($A282-'Recurring Schedule'!$F$45,'Recurring Schedule'!$N$45)=0,IF('Recurring Schedule'!$O$45&gt;0,AND(DAY($A282)=MIN(DAY('Recurring Schedule'!$F$45),DAY(EOMONTH($A282,0))),MOD((YEAR($A282)-YEAR('Recurring Schedule'!$F$45))*12+MONTH($A282)-MONTH('Recurring Schedule'!$F$45),'Recurring Schedule'!$O$45)=0),IF('Recurring Schedule'!$E$45="Weekdays",WEEKDAY($A282,2)&lt;=5,$A282='Recurring Schedule'!$F$45))),40,""))))</f>
        <v/>
      </c>
      <c r="AP282">
        <f>COUNT(B282:AO282)</f>
        <v/>
      </c>
      <c r="AQ282">
        <f>AQ281+AP281</f>
        <v/>
      </c>
      <c r="AS282" t="inlineStr">
        <is>
          <t>R</t>
        </is>
      </c>
      <c r="AT282" t="n">
        <v>286</v>
      </c>
      <c r="AU282">
        <f>'Recurring Log'!C286&amp;""</f>
        <v/>
      </c>
      <c r="AV282">
        <f>'Recurring Log'!D286&amp;""</f>
        <v/>
      </c>
      <c r="AW282">
        <f>IF('Recurring Log'!E286="","",'Recurring Log'!E286)</f>
        <v/>
      </c>
      <c r="AX282">
        <f>IF('Recurring Log'!G286="","",'Recurring Log'!G286)</f>
        <v/>
      </c>
      <c r="AY282">
        <f>IF('Recurring Log'!H286="","",'Recurring Log'!H286)</f>
        <v/>
      </c>
      <c r="AZ282">
        <f>IF(AU282="","",IF('Recurring Log'!J286="","Not Started",'Recurring Log'!J286))</f>
        <v/>
      </c>
      <c r="BA282">
        <f>'Recurring Log'!L286&amp;""</f>
        <v/>
      </c>
      <c r="BB282">
        <f>'Recurring Log'!M286&amp;""</f>
        <v/>
      </c>
      <c r="BC282">
        <f>'Recurring Log'!N286&amp;""</f>
        <v/>
      </c>
      <c r="BD282">
        <f>'Recurring Log'!O286&amp;""</f>
        <v/>
      </c>
      <c r="BE282">
        <f>IF('Recurring Log'!K286="","",'Recurring Log'!K286)</f>
        <v/>
      </c>
      <c r="BF282">
        <f>IFERROR(MATCH(BA282,Setup!$L$6:$L$9,0),5)</f>
        <v/>
      </c>
      <c r="BG282">
        <f>IF(OR(AZ282="Done",AZ282="Cancelled"),1,0)</f>
        <v/>
      </c>
      <c r="BH282">
        <f>IF(AND(AU282&lt;&gt;"",ISNUMBER(AW282)),1,0)</f>
        <v/>
      </c>
      <c r="BI282">
        <f>IF(BH282=0,0,IF(AND(AW282&gt;='Tasks Filter'!$F$3,AW282&lt;='Tasks Filter'!$F$4,OR('Tasks Filter'!$I$3="",ISNUMBER(SEARCH('Tasks Filter'!$I$3,AU282))),OR('Tasks Filter'!$I$4="",BF282=IFERROR(MATCH('Tasks Filter'!$I$4,Setup!$L$6:$L$9,0),0)),OR('Tasks Filter'!$I$5="Both",AND('Tasks Filter'!$I$5="Yes",BB282="✓"),AND('Tasks Filter'!$I$5="No",BB282&lt;&gt;"✓")),OR('Tasks Filter'!$L$3="",AV282='Tasks Filter'!$L$3),OR('Tasks Filter'!$L$4="",AZ282='Tasks Filter'!$L$4),OR('Tasks Filter'!$L$5="",BC282='Tasks Filter'!$L$5),OR('Tasks Filter'!$O$3="",BD282='Tasks Filter'!$O$3),OR('Tasks Filter'!$O$4="Yes",BG282=0)),1,0))</f>
        <v/>
      </c>
      <c r="BJ282">
        <f>IF(BH282=0,"",IF('Tasks Filter'!$F$6="Descending",-1,1)*CHOOSE(MATCH('Tasks Filter'!$F$5,Lists!$G$2:$G$6,0),AW282,BF282,IFERROR(MATCH(AV282,Setup!$F$6:$F$15,0),99),IFERROR(MATCH(BC282,Setup!$H$6:$H$15,0),99),IFERROR(MATCH(AZ282,Setup!$J$6:$J$11,0),99))*1E+9+(AW282-40000)*10000+281)</f>
        <v/>
      </c>
      <c r="BK282">
        <f>IF(BI282=1,BJ282,"")</f>
        <v/>
      </c>
      <c r="BL282">
        <f>IF(AND(BH282=1,BG282=0,N(AW282)&lt;Setup!$D$7),(AW282-40000)*10000+281,"")</f>
        <v/>
      </c>
      <c r="BM282">
        <f>IF(AND(BH282=1,AZ282&lt;&gt;"Cancelled",N(AW282)&gt;=Dashboard!$AB$3,N(AW282)&lt;=Dashboard!$AB$3+6),(AW282-40000)*100000+BF282*10000+281,"")</f>
        <v/>
      </c>
      <c r="BN282">
        <f>IF(AND(BH282=1,AZ282&lt;&gt;"Cancelled"),BF282*10000+281,"")</f>
        <v/>
      </c>
    </row>
    <row r="283">
      <c r="A283">
        <f>Setup!$D$5+281</f>
        <v/>
      </c>
      <c r="B283">
        <f>IF('Recurring Schedule'!$C$6="","",IF('Recurring Schedule'!$F$6="","",IF(OR($A283&lt;'Recurring Schedule'!$F$6,$A283&gt;'Recurring Schedule'!$P$6),"",IF(IF('Recurring Schedule'!$N$6&gt;0,MOD($A283-'Recurring Schedule'!$F$6,'Recurring Schedule'!$N$6)=0,IF('Recurring Schedule'!$O$6&gt;0,AND(DAY($A283)=MIN(DAY('Recurring Schedule'!$F$6),DAY(EOMONTH($A283,0))),MOD((YEAR($A283)-YEAR('Recurring Schedule'!$F$6))*12+MONTH($A283)-MONTH('Recurring Schedule'!$F$6),'Recurring Schedule'!$O$6)=0),IF('Recurring Schedule'!$E$6="Weekdays",WEEKDAY($A283,2)&lt;=5,$A283='Recurring Schedule'!$F$6))),1,""))))</f>
        <v/>
      </c>
      <c r="C283">
        <f>IF('Recurring Schedule'!$C$7="","",IF('Recurring Schedule'!$F$7="","",IF(OR($A283&lt;'Recurring Schedule'!$F$7,$A283&gt;'Recurring Schedule'!$P$7),"",IF(IF('Recurring Schedule'!$N$7&gt;0,MOD($A283-'Recurring Schedule'!$F$7,'Recurring Schedule'!$N$7)=0,IF('Recurring Schedule'!$O$7&gt;0,AND(DAY($A283)=MIN(DAY('Recurring Schedule'!$F$7),DAY(EOMONTH($A283,0))),MOD((YEAR($A283)-YEAR('Recurring Schedule'!$F$7))*12+MONTH($A283)-MONTH('Recurring Schedule'!$F$7),'Recurring Schedule'!$O$7)=0),IF('Recurring Schedule'!$E$7="Weekdays",WEEKDAY($A283,2)&lt;=5,$A283='Recurring Schedule'!$F$7))),2,""))))</f>
        <v/>
      </c>
      <c r="D283">
        <f>IF('Recurring Schedule'!$C$8="","",IF('Recurring Schedule'!$F$8="","",IF(OR($A283&lt;'Recurring Schedule'!$F$8,$A283&gt;'Recurring Schedule'!$P$8),"",IF(IF('Recurring Schedule'!$N$8&gt;0,MOD($A283-'Recurring Schedule'!$F$8,'Recurring Schedule'!$N$8)=0,IF('Recurring Schedule'!$O$8&gt;0,AND(DAY($A283)=MIN(DAY('Recurring Schedule'!$F$8),DAY(EOMONTH($A283,0))),MOD((YEAR($A283)-YEAR('Recurring Schedule'!$F$8))*12+MONTH($A283)-MONTH('Recurring Schedule'!$F$8),'Recurring Schedule'!$O$8)=0),IF('Recurring Schedule'!$E$8="Weekdays",WEEKDAY($A283,2)&lt;=5,$A283='Recurring Schedule'!$F$8))),3,""))))</f>
        <v/>
      </c>
      <c r="E283">
        <f>IF('Recurring Schedule'!$C$9="","",IF('Recurring Schedule'!$F$9="","",IF(OR($A283&lt;'Recurring Schedule'!$F$9,$A283&gt;'Recurring Schedule'!$P$9),"",IF(IF('Recurring Schedule'!$N$9&gt;0,MOD($A283-'Recurring Schedule'!$F$9,'Recurring Schedule'!$N$9)=0,IF('Recurring Schedule'!$O$9&gt;0,AND(DAY($A283)=MIN(DAY('Recurring Schedule'!$F$9),DAY(EOMONTH($A283,0))),MOD((YEAR($A283)-YEAR('Recurring Schedule'!$F$9))*12+MONTH($A283)-MONTH('Recurring Schedule'!$F$9),'Recurring Schedule'!$O$9)=0),IF('Recurring Schedule'!$E$9="Weekdays",WEEKDAY($A283,2)&lt;=5,$A283='Recurring Schedule'!$F$9))),4,""))))</f>
        <v/>
      </c>
      <c r="F283">
        <f>IF('Recurring Schedule'!$C$10="","",IF('Recurring Schedule'!$F$10="","",IF(OR($A283&lt;'Recurring Schedule'!$F$10,$A283&gt;'Recurring Schedule'!$P$10),"",IF(IF('Recurring Schedule'!$N$10&gt;0,MOD($A283-'Recurring Schedule'!$F$10,'Recurring Schedule'!$N$10)=0,IF('Recurring Schedule'!$O$10&gt;0,AND(DAY($A283)=MIN(DAY('Recurring Schedule'!$F$10),DAY(EOMONTH($A283,0))),MOD((YEAR($A283)-YEAR('Recurring Schedule'!$F$10))*12+MONTH($A283)-MONTH('Recurring Schedule'!$F$10),'Recurring Schedule'!$O$10)=0),IF('Recurring Schedule'!$E$10="Weekdays",WEEKDAY($A283,2)&lt;=5,$A283='Recurring Schedule'!$F$10))),5,""))))</f>
        <v/>
      </c>
      <c r="G283">
        <f>IF('Recurring Schedule'!$C$11="","",IF('Recurring Schedule'!$F$11="","",IF(OR($A283&lt;'Recurring Schedule'!$F$11,$A283&gt;'Recurring Schedule'!$P$11),"",IF(IF('Recurring Schedule'!$N$11&gt;0,MOD($A283-'Recurring Schedule'!$F$11,'Recurring Schedule'!$N$11)=0,IF('Recurring Schedule'!$O$11&gt;0,AND(DAY($A283)=MIN(DAY('Recurring Schedule'!$F$11),DAY(EOMONTH($A283,0))),MOD((YEAR($A283)-YEAR('Recurring Schedule'!$F$11))*12+MONTH($A283)-MONTH('Recurring Schedule'!$F$11),'Recurring Schedule'!$O$11)=0),IF('Recurring Schedule'!$E$11="Weekdays",WEEKDAY($A283,2)&lt;=5,$A283='Recurring Schedule'!$F$11))),6,""))))</f>
        <v/>
      </c>
      <c r="H283">
        <f>IF('Recurring Schedule'!$C$12="","",IF('Recurring Schedule'!$F$12="","",IF(OR($A283&lt;'Recurring Schedule'!$F$12,$A283&gt;'Recurring Schedule'!$P$12),"",IF(IF('Recurring Schedule'!$N$12&gt;0,MOD($A283-'Recurring Schedule'!$F$12,'Recurring Schedule'!$N$12)=0,IF('Recurring Schedule'!$O$12&gt;0,AND(DAY($A283)=MIN(DAY('Recurring Schedule'!$F$12),DAY(EOMONTH($A283,0))),MOD((YEAR($A283)-YEAR('Recurring Schedule'!$F$12))*12+MONTH($A283)-MONTH('Recurring Schedule'!$F$12),'Recurring Schedule'!$O$12)=0),IF('Recurring Schedule'!$E$12="Weekdays",WEEKDAY($A283,2)&lt;=5,$A283='Recurring Schedule'!$F$12))),7,""))))</f>
        <v/>
      </c>
      <c r="I283">
        <f>IF('Recurring Schedule'!$C$13="","",IF('Recurring Schedule'!$F$13="","",IF(OR($A283&lt;'Recurring Schedule'!$F$13,$A283&gt;'Recurring Schedule'!$P$13),"",IF(IF('Recurring Schedule'!$N$13&gt;0,MOD($A283-'Recurring Schedule'!$F$13,'Recurring Schedule'!$N$13)=0,IF('Recurring Schedule'!$O$13&gt;0,AND(DAY($A283)=MIN(DAY('Recurring Schedule'!$F$13),DAY(EOMONTH($A283,0))),MOD((YEAR($A283)-YEAR('Recurring Schedule'!$F$13))*12+MONTH($A283)-MONTH('Recurring Schedule'!$F$13),'Recurring Schedule'!$O$13)=0),IF('Recurring Schedule'!$E$13="Weekdays",WEEKDAY($A283,2)&lt;=5,$A283='Recurring Schedule'!$F$13))),8,""))))</f>
        <v/>
      </c>
      <c r="J283">
        <f>IF('Recurring Schedule'!$C$14="","",IF('Recurring Schedule'!$F$14="","",IF(OR($A283&lt;'Recurring Schedule'!$F$14,$A283&gt;'Recurring Schedule'!$P$14),"",IF(IF('Recurring Schedule'!$N$14&gt;0,MOD($A283-'Recurring Schedule'!$F$14,'Recurring Schedule'!$N$14)=0,IF('Recurring Schedule'!$O$14&gt;0,AND(DAY($A283)=MIN(DAY('Recurring Schedule'!$F$14),DAY(EOMONTH($A283,0))),MOD((YEAR($A283)-YEAR('Recurring Schedule'!$F$14))*12+MONTH($A283)-MONTH('Recurring Schedule'!$F$14),'Recurring Schedule'!$O$14)=0),IF('Recurring Schedule'!$E$14="Weekdays",WEEKDAY($A283,2)&lt;=5,$A283='Recurring Schedule'!$F$14))),9,""))))</f>
        <v/>
      </c>
      <c r="K283">
        <f>IF('Recurring Schedule'!$C$15="","",IF('Recurring Schedule'!$F$15="","",IF(OR($A283&lt;'Recurring Schedule'!$F$15,$A283&gt;'Recurring Schedule'!$P$15),"",IF(IF('Recurring Schedule'!$N$15&gt;0,MOD($A283-'Recurring Schedule'!$F$15,'Recurring Schedule'!$N$15)=0,IF('Recurring Schedule'!$O$15&gt;0,AND(DAY($A283)=MIN(DAY('Recurring Schedule'!$F$15),DAY(EOMONTH($A283,0))),MOD((YEAR($A283)-YEAR('Recurring Schedule'!$F$15))*12+MONTH($A283)-MONTH('Recurring Schedule'!$F$15),'Recurring Schedule'!$O$15)=0),IF('Recurring Schedule'!$E$15="Weekdays",WEEKDAY($A283,2)&lt;=5,$A283='Recurring Schedule'!$F$15))),10,""))))</f>
        <v/>
      </c>
      <c r="L283">
        <f>IF('Recurring Schedule'!$C$16="","",IF('Recurring Schedule'!$F$16="","",IF(OR($A283&lt;'Recurring Schedule'!$F$16,$A283&gt;'Recurring Schedule'!$P$16),"",IF(IF('Recurring Schedule'!$N$16&gt;0,MOD($A283-'Recurring Schedule'!$F$16,'Recurring Schedule'!$N$16)=0,IF('Recurring Schedule'!$O$16&gt;0,AND(DAY($A283)=MIN(DAY('Recurring Schedule'!$F$16),DAY(EOMONTH($A283,0))),MOD((YEAR($A283)-YEAR('Recurring Schedule'!$F$16))*12+MONTH($A283)-MONTH('Recurring Schedule'!$F$16),'Recurring Schedule'!$O$16)=0),IF('Recurring Schedule'!$E$16="Weekdays",WEEKDAY($A283,2)&lt;=5,$A283='Recurring Schedule'!$F$16))),11,""))))</f>
        <v/>
      </c>
      <c r="M283">
        <f>IF('Recurring Schedule'!$C$17="","",IF('Recurring Schedule'!$F$17="","",IF(OR($A283&lt;'Recurring Schedule'!$F$17,$A283&gt;'Recurring Schedule'!$P$17),"",IF(IF('Recurring Schedule'!$N$17&gt;0,MOD($A283-'Recurring Schedule'!$F$17,'Recurring Schedule'!$N$17)=0,IF('Recurring Schedule'!$O$17&gt;0,AND(DAY($A283)=MIN(DAY('Recurring Schedule'!$F$17),DAY(EOMONTH($A283,0))),MOD((YEAR($A283)-YEAR('Recurring Schedule'!$F$17))*12+MONTH($A283)-MONTH('Recurring Schedule'!$F$17),'Recurring Schedule'!$O$17)=0),IF('Recurring Schedule'!$E$17="Weekdays",WEEKDAY($A283,2)&lt;=5,$A283='Recurring Schedule'!$F$17))),12,""))))</f>
        <v/>
      </c>
      <c r="N283">
        <f>IF('Recurring Schedule'!$C$18="","",IF('Recurring Schedule'!$F$18="","",IF(OR($A283&lt;'Recurring Schedule'!$F$18,$A283&gt;'Recurring Schedule'!$P$18),"",IF(IF('Recurring Schedule'!$N$18&gt;0,MOD($A283-'Recurring Schedule'!$F$18,'Recurring Schedule'!$N$18)=0,IF('Recurring Schedule'!$O$18&gt;0,AND(DAY($A283)=MIN(DAY('Recurring Schedule'!$F$18),DAY(EOMONTH($A283,0))),MOD((YEAR($A283)-YEAR('Recurring Schedule'!$F$18))*12+MONTH($A283)-MONTH('Recurring Schedule'!$F$18),'Recurring Schedule'!$O$18)=0),IF('Recurring Schedule'!$E$18="Weekdays",WEEKDAY($A283,2)&lt;=5,$A283='Recurring Schedule'!$F$18))),13,""))))</f>
        <v/>
      </c>
      <c r="O283">
        <f>IF('Recurring Schedule'!$C$19="","",IF('Recurring Schedule'!$F$19="","",IF(OR($A283&lt;'Recurring Schedule'!$F$19,$A283&gt;'Recurring Schedule'!$P$19),"",IF(IF('Recurring Schedule'!$N$19&gt;0,MOD($A283-'Recurring Schedule'!$F$19,'Recurring Schedule'!$N$19)=0,IF('Recurring Schedule'!$O$19&gt;0,AND(DAY($A283)=MIN(DAY('Recurring Schedule'!$F$19),DAY(EOMONTH($A283,0))),MOD((YEAR($A283)-YEAR('Recurring Schedule'!$F$19))*12+MONTH($A283)-MONTH('Recurring Schedule'!$F$19),'Recurring Schedule'!$O$19)=0),IF('Recurring Schedule'!$E$19="Weekdays",WEEKDAY($A283,2)&lt;=5,$A283='Recurring Schedule'!$F$19))),14,""))))</f>
        <v/>
      </c>
      <c r="P283">
        <f>IF('Recurring Schedule'!$C$20="","",IF('Recurring Schedule'!$F$20="","",IF(OR($A283&lt;'Recurring Schedule'!$F$20,$A283&gt;'Recurring Schedule'!$P$20),"",IF(IF('Recurring Schedule'!$N$20&gt;0,MOD($A283-'Recurring Schedule'!$F$20,'Recurring Schedule'!$N$20)=0,IF('Recurring Schedule'!$O$20&gt;0,AND(DAY($A283)=MIN(DAY('Recurring Schedule'!$F$20),DAY(EOMONTH($A283,0))),MOD((YEAR($A283)-YEAR('Recurring Schedule'!$F$20))*12+MONTH($A283)-MONTH('Recurring Schedule'!$F$20),'Recurring Schedule'!$O$20)=0),IF('Recurring Schedule'!$E$20="Weekdays",WEEKDAY($A283,2)&lt;=5,$A283='Recurring Schedule'!$F$20))),15,""))))</f>
        <v/>
      </c>
      <c r="Q283">
        <f>IF('Recurring Schedule'!$C$21="","",IF('Recurring Schedule'!$F$21="","",IF(OR($A283&lt;'Recurring Schedule'!$F$21,$A283&gt;'Recurring Schedule'!$P$21),"",IF(IF('Recurring Schedule'!$N$21&gt;0,MOD($A283-'Recurring Schedule'!$F$21,'Recurring Schedule'!$N$21)=0,IF('Recurring Schedule'!$O$21&gt;0,AND(DAY($A283)=MIN(DAY('Recurring Schedule'!$F$21),DAY(EOMONTH($A283,0))),MOD((YEAR($A283)-YEAR('Recurring Schedule'!$F$21))*12+MONTH($A283)-MONTH('Recurring Schedule'!$F$21),'Recurring Schedule'!$O$21)=0),IF('Recurring Schedule'!$E$21="Weekdays",WEEKDAY($A283,2)&lt;=5,$A283='Recurring Schedule'!$F$21))),16,""))))</f>
        <v/>
      </c>
      <c r="R283">
        <f>IF('Recurring Schedule'!$C$22="","",IF('Recurring Schedule'!$F$22="","",IF(OR($A283&lt;'Recurring Schedule'!$F$22,$A283&gt;'Recurring Schedule'!$P$22),"",IF(IF('Recurring Schedule'!$N$22&gt;0,MOD($A283-'Recurring Schedule'!$F$22,'Recurring Schedule'!$N$22)=0,IF('Recurring Schedule'!$O$22&gt;0,AND(DAY($A283)=MIN(DAY('Recurring Schedule'!$F$22),DAY(EOMONTH($A283,0))),MOD((YEAR($A283)-YEAR('Recurring Schedule'!$F$22))*12+MONTH($A283)-MONTH('Recurring Schedule'!$F$22),'Recurring Schedule'!$O$22)=0),IF('Recurring Schedule'!$E$22="Weekdays",WEEKDAY($A283,2)&lt;=5,$A283='Recurring Schedule'!$F$22))),17,""))))</f>
        <v/>
      </c>
      <c r="S283">
        <f>IF('Recurring Schedule'!$C$23="","",IF('Recurring Schedule'!$F$23="","",IF(OR($A283&lt;'Recurring Schedule'!$F$23,$A283&gt;'Recurring Schedule'!$P$23),"",IF(IF('Recurring Schedule'!$N$23&gt;0,MOD($A283-'Recurring Schedule'!$F$23,'Recurring Schedule'!$N$23)=0,IF('Recurring Schedule'!$O$23&gt;0,AND(DAY($A283)=MIN(DAY('Recurring Schedule'!$F$23),DAY(EOMONTH($A283,0))),MOD((YEAR($A283)-YEAR('Recurring Schedule'!$F$23))*12+MONTH($A283)-MONTH('Recurring Schedule'!$F$23),'Recurring Schedule'!$O$23)=0),IF('Recurring Schedule'!$E$23="Weekdays",WEEKDAY($A283,2)&lt;=5,$A283='Recurring Schedule'!$F$23))),18,""))))</f>
        <v/>
      </c>
      <c r="T283">
        <f>IF('Recurring Schedule'!$C$24="","",IF('Recurring Schedule'!$F$24="","",IF(OR($A283&lt;'Recurring Schedule'!$F$24,$A283&gt;'Recurring Schedule'!$P$24),"",IF(IF('Recurring Schedule'!$N$24&gt;0,MOD($A283-'Recurring Schedule'!$F$24,'Recurring Schedule'!$N$24)=0,IF('Recurring Schedule'!$O$24&gt;0,AND(DAY($A283)=MIN(DAY('Recurring Schedule'!$F$24),DAY(EOMONTH($A283,0))),MOD((YEAR($A283)-YEAR('Recurring Schedule'!$F$24))*12+MONTH($A283)-MONTH('Recurring Schedule'!$F$24),'Recurring Schedule'!$O$24)=0),IF('Recurring Schedule'!$E$24="Weekdays",WEEKDAY($A283,2)&lt;=5,$A283='Recurring Schedule'!$F$24))),19,""))))</f>
        <v/>
      </c>
      <c r="U283">
        <f>IF('Recurring Schedule'!$C$25="","",IF('Recurring Schedule'!$F$25="","",IF(OR($A283&lt;'Recurring Schedule'!$F$25,$A283&gt;'Recurring Schedule'!$P$25),"",IF(IF('Recurring Schedule'!$N$25&gt;0,MOD($A283-'Recurring Schedule'!$F$25,'Recurring Schedule'!$N$25)=0,IF('Recurring Schedule'!$O$25&gt;0,AND(DAY($A283)=MIN(DAY('Recurring Schedule'!$F$25),DAY(EOMONTH($A283,0))),MOD((YEAR($A283)-YEAR('Recurring Schedule'!$F$25))*12+MONTH($A283)-MONTH('Recurring Schedule'!$F$25),'Recurring Schedule'!$O$25)=0),IF('Recurring Schedule'!$E$25="Weekdays",WEEKDAY($A283,2)&lt;=5,$A283='Recurring Schedule'!$F$25))),20,""))))</f>
        <v/>
      </c>
      <c r="V283">
        <f>IF('Recurring Schedule'!$C$26="","",IF('Recurring Schedule'!$F$26="","",IF(OR($A283&lt;'Recurring Schedule'!$F$26,$A283&gt;'Recurring Schedule'!$P$26),"",IF(IF('Recurring Schedule'!$N$26&gt;0,MOD($A283-'Recurring Schedule'!$F$26,'Recurring Schedule'!$N$26)=0,IF('Recurring Schedule'!$O$26&gt;0,AND(DAY($A283)=MIN(DAY('Recurring Schedule'!$F$26),DAY(EOMONTH($A283,0))),MOD((YEAR($A283)-YEAR('Recurring Schedule'!$F$26))*12+MONTH($A283)-MONTH('Recurring Schedule'!$F$26),'Recurring Schedule'!$O$26)=0),IF('Recurring Schedule'!$E$26="Weekdays",WEEKDAY($A283,2)&lt;=5,$A283='Recurring Schedule'!$F$26))),21,""))))</f>
        <v/>
      </c>
      <c r="W283">
        <f>IF('Recurring Schedule'!$C$27="","",IF('Recurring Schedule'!$F$27="","",IF(OR($A283&lt;'Recurring Schedule'!$F$27,$A283&gt;'Recurring Schedule'!$P$27),"",IF(IF('Recurring Schedule'!$N$27&gt;0,MOD($A283-'Recurring Schedule'!$F$27,'Recurring Schedule'!$N$27)=0,IF('Recurring Schedule'!$O$27&gt;0,AND(DAY($A283)=MIN(DAY('Recurring Schedule'!$F$27),DAY(EOMONTH($A283,0))),MOD((YEAR($A283)-YEAR('Recurring Schedule'!$F$27))*12+MONTH($A283)-MONTH('Recurring Schedule'!$F$27),'Recurring Schedule'!$O$27)=0),IF('Recurring Schedule'!$E$27="Weekdays",WEEKDAY($A283,2)&lt;=5,$A283='Recurring Schedule'!$F$27))),22,""))))</f>
        <v/>
      </c>
      <c r="X283">
        <f>IF('Recurring Schedule'!$C$28="","",IF('Recurring Schedule'!$F$28="","",IF(OR($A283&lt;'Recurring Schedule'!$F$28,$A283&gt;'Recurring Schedule'!$P$28),"",IF(IF('Recurring Schedule'!$N$28&gt;0,MOD($A283-'Recurring Schedule'!$F$28,'Recurring Schedule'!$N$28)=0,IF('Recurring Schedule'!$O$28&gt;0,AND(DAY($A283)=MIN(DAY('Recurring Schedule'!$F$28),DAY(EOMONTH($A283,0))),MOD((YEAR($A283)-YEAR('Recurring Schedule'!$F$28))*12+MONTH($A283)-MONTH('Recurring Schedule'!$F$28),'Recurring Schedule'!$O$28)=0),IF('Recurring Schedule'!$E$28="Weekdays",WEEKDAY($A283,2)&lt;=5,$A283='Recurring Schedule'!$F$28))),23,""))))</f>
        <v/>
      </c>
      <c r="Y283">
        <f>IF('Recurring Schedule'!$C$29="","",IF('Recurring Schedule'!$F$29="","",IF(OR($A283&lt;'Recurring Schedule'!$F$29,$A283&gt;'Recurring Schedule'!$P$29),"",IF(IF('Recurring Schedule'!$N$29&gt;0,MOD($A283-'Recurring Schedule'!$F$29,'Recurring Schedule'!$N$29)=0,IF('Recurring Schedule'!$O$29&gt;0,AND(DAY($A283)=MIN(DAY('Recurring Schedule'!$F$29),DAY(EOMONTH($A283,0))),MOD((YEAR($A283)-YEAR('Recurring Schedule'!$F$29))*12+MONTH($A283)-MONTH('Recurring Schedule'!$F$29),'Recurring Schedule'!$O$29)=0),IF('Recurring Schedule'!$E$29="Weekdays",WEEKDAY($A283,2)&lt;=5,$A283='Recurring Schedule'!$F$29))),24,""))))</f>
        <v/>
      </c>
      <c r="Z283">
        <f>IF('Recurring Schedule'!$C$30="","",IF('Recurring Schedule'!$F$30="","",IF(OR($A283&lt;'Recurring Schedule'!$F$30,$A283&gt;'Recurring Schedule'!$P$30),"",IF(IF('Recurring Schedule'!$N$30&gt;0,MOD($A283-'Recurring Schedule'!$F$30,'Recurring Schedule'!$N$30)=0,IF('Recurring Schedule'!$O$30&gt;0,AND(DAY($A283)=MIN(DAY('Recurring Schedule'!$F$30),DAY(EOMONTH($A283,0))),MOD((YEAR($A283)-YEAR('Recurring Schedule'!$F$30))*12+MONTH($A283)-MONTH('Recurring Schedule'!$F$30),'Recurring Schedule'!$O$30)=0),IF('Recurring Schedule'!$E$30="Weekdays",WEEKDAY($A283,2)&lt;=5,$A283='Recurring Schedule'!$F$30))),25,""))))</f>
        <v/>
      </c>
      <c r="AA283">
        <f>IF('Recurring Schedule'!$C$31="","",IF('Recurring Schedule'!$F$31="","",IF(OR($A283&lt;'Recurring Schedule'!$F$31,$A283&gt;'Recurring Schedule'!$P$31),"",IF(IF('Recurring Schedule'!$N$31&gt;0,MOD($A283-'Recurring Schedule'!$F$31,'Recurring Schedule'!$N$31)=0,IF('Recurring Schedule'!$O$31&gt;0,AND(DAY($A283)=MIN(DAY('Recurring Schedule'!$F$31),DAY(EOMONTH($A283,0))),MOD((YEAR($A283)-YEAR('Recurring Schedule'!$F$31))*12+MONTH($A283)-MONTH('Recurring Schedule'!$F$31),'Recurring Schedule'!$O$31)=0),IF('Recurring Schedule'!$E$31="Weekdays",WEEKDAY($A283,2)&lt;=5,$A283='Recurring Schedule'!$F$31))),26,""))))</f>
        <v/>
      </c>
      <c r="AB283">
        <f>IF('Recurring Schedule'!$C$32="","",IF('Recurring Schedule'!$F$32="","",IF(OR($A283&lt;'Recurring Schedule'!$F$32,$A283&gt;'Recurring Schedule'!$P$32),"",IF(IF('Recurring Schedule'!$N$32&gt;0,MOD($A283-'Recurring Schedule'!$F$32,'Recurring Schedule'!$N$32)=0,IF('Recurring Schedule'!$O$32&gt;0,AND(DAY($A283)=MIN(DAY('Recurring Schedule'!$F$32),DAY(EOMONTH($A283,0))),MOD((YEAR($A283)-YEAR('Recurring Schedule'!$F$32))*12+MONTH($A283)-MONTH('Recurring Schedule'!$F$32),'Recurring Schedule'!$O$32)=0),IF('Recurring Schedule'!$E$32="Weekdays",WEEKDAY($A283,2)&lt;=5,$A283='Recurring Schedule'!$F$32))),27,""))))</f>
        <v/>
      </c>
      <c r="AC283">
        <f>IF('Recurring Schedule'!$C$33="","",IF('Recurring Schedule'!$F$33="","",IF(OR($A283&lt;'Recurring Schedule'!$F$33,$A283&gt;'Recurring Schedule'!$P$33),"",IF(IF('Recurring Schedule'!$N$33&gt;0,MOD($A283-'Recurring Schedule'!$F$33,'Recurring Schedule'!$N$33)=0,IF('Recurring Schedule'!$O$33&gt;0,AND(DAY($A283)=MIN(DAY('Recurring Schedule'!$F$33),DAY(EOMONTH($A283,0))),MOD((YEAR($A283)-YEAR('Recurring Schedule'!$F$33))*12+MONTH($A283)-MONTH('Recurring Schedule'!$F$33),'Recurring Schedule'!$O$33)=0),IF('Recurring Schedule'!$E$33="Weekdays",WEEKDAY($A283,2)&lt;=5,$A283='Recurring Schedule'!$F$33))),28,""))))</f>
        <v/>
      </c>
      <c r="AD283">
        <f>IF('Recurring Schedule'!$C$34="","",IF('Recurring Schedule'!$F$34="","",IF(OR($A283&lt;'Recurring Schedule'!$F$34,$A283&gt;'Recurring Schedule'!$P$34),"",IF(IF('Recurring Schedule'!$N$34&gt;0,MOD($A283-'Recurring Schedule'!$F$34,'Recurring Schedule'!$N$34)=0,IF('Recurring Schedule'!$O$34&gt;0,AND(DAY($A283)=MIN(DAY('Recurring Schedule'!$F$34),DAY(EOMONTH($A283,0))),MOD((YEAR($A283)-YEAR('Recurring Schedule'!$F$34))*12+MONTH($A283)-MONTH('Recurring Schedule'!$F$34),'Recurring Schedule'!$O$34)=0),IF('Recurring Schedule'!$E$34="Weekdays",WEEKDAY($A283,2)&lt;=5,$A283='Recurring Schedule'!$F$34))),29,""))))</f>
        <v/>
      </c>
      <c r="AE283">
        <f>IF('Recurring Schedule'!$C$35="","",IF('Recurring Schedule'!$F$35="","",IF(OR($A283&lt;'Recurring Schedule'!$F$35,$A283&gt;'Recurring Schedule'!$P$35),"",IF(IF('Recurring Schedule'!$N$35&gt;0,MOD($A283-'Recurring Schedule'!$F$35,'Recurring Schedule'!$N$35)=0,IF('Recurring Schedule'!$O$35&gt;0,AND(DAY($A283)=MIN(DAY('Recurring Schedule'!$F$35),DAY(EOMONTH($A283,0))),MOD((YEAR($A283)-YEAR('Recurring Schedule'!$F$35))*12+MONTH($A283)-MONTH('Recurring Schedule'!$F$35),'Recurring Schedule'!$O$35)=0),IF('Recurring Schedule'!$E$35="Weekdays",WEEKDAY($A283,2)&lt;=5,$A283='Recurring Schedule'!$F$35))),30,""))))</f>
        <v/>
      </c>
      <c r="AF283">
        <f>IF('Recurring Schedule'!$C$36="","",IF('Recurring Schedule'!$F$36="","",IF(OR($A283&lt;'Recurring Schedule'!$F$36,$A283&gt;'Recurring Schedule'!$P$36),"",IF(IF('Recurring Schedule'!$N$36&gt;0,MOD($A283-'Recurring Schedule'!$F$36,'Recurring Schedule'!$N$36)=0,IF('Recurring Schedule'!$O$36&gt;0,AND(DAY($A283)=MIN(DAY('Recurring Schedule'!$F$36),DAY(EOMONTH($A283,0))),MOD((YEAR($A283)-YEAR('Recurring Schedule'!$F$36))*12+MONTH($A283)-MONTH('Recurring Schedule'!$F$36),'Recurring Schedule'!$O$36)=0),IF('Recurring Schedule'!$E$36="Weekdays",WEEKDAY($A283,2)&lt;=5,$A283='Recurring Schedule'!$F$36))),31,""))))</f>
        <v/>
      </c>
      <c r="AG283">
        <f>IF('Recurring Schedule'!$C$37="","",IF('Recurring Schedule'!$F$37="","",IF(OR($A283&lt;'Recurring Schedule'!$F$37,$A283&gt;'Recurring Schedule'!$P$37),"",IF(IF('Recurring Schedule'!$N$37&gt;0,MOD($A283-'Recurring Schedule'!$F$37,'Recurring Schedule'!$N$37)=0,IF('Recurring Schedule'!$O$37&gt;0,AND(DAY($A283)=MIN(DAY('Recurring Schedule'!$F$37),DAY(EOMONTH($A283,0))),MOD((YEAR($A283)-YEAR('Recurring Schedule'!$F$37))*12+MONTH($A283)-MONTH('Recurring Schedule'!$F$37),'Recurring Schedule'!$O$37)=0),IF('Recurring Schedule'!$E$37="Weekdays",WEEKDAY($A283,2)&lt;=5,$A283='Recurring Schedule'!$F$37))),32,""))))</f>
        <v/>
      </c>
      <c r="AH283">
        <f>IF('Recurring Schedule'!$C$38="","",IF('Recurring Schedule'!$F$38="","",IF(OR($A283&lt;'Recurring Schedule'!$F$38,$A283&gt;'Recurring Schedule'!$P$38),"",IF(IF('Recurring Schedule'!$N$38&gt;0,MOD($A283-'Recurring Schedule'!$F$38,'Recurring Schedule'!$N$38)=0,IF('Recurring Schedule'!$O$38&gt;0,AND(DAY($A283)=MIN(DAY('Recurring Schedule'!$F$38),DAY(EOMONTH($A283,0))),MOD((YEAR($A283)-YEAR('Recurring Schedule'!$F$38))*12+MONTH($A283)-MONTH('Recurring Schedule'!$F$38),'Recurring Schedule'!$O$38)=0),IF('Recurring Schedule'!$E$38="Weekdays",WEEKDAY($A283,2)&lt;=5,$A283='Recurring Schedule'!$F$38))),33,""))))</f>
        <v/>
      </c>
      <c r="AI283">
        <f>IF('Recurring Schedule'!$C$39="","",IF('Recurring Schedule'!$F$39="","",IF(OR($A283&lt;'Recurring Schedule'!$F$39,$A283&gt;'Recurring Schedule'!$P$39),"",IF(IF('Recurring Schedule'!$N$39&gt;0,MOD($A283-'Recurring Schedule'!$F$39,'Recurring Schedule'!$N$39)=0,IF('Recurring Schedule'!$O$39&gt;0,AND(DAY($A283)=MIN(DAY('Recurring Schedule'!$F$39),DAY(EOMONTH($A283,0))),MOD((YEAR($A283)-YEAR('Recurring Schedule'!$F$39))*12+MONTH($A283)-MONTH('Recurring Schedule'!$F$39),'Recurring Schedule'!$O$39)=0),IF('Recurring Schedule'!$E$39="Weekdays",WEEKDAY($A283,2)&lt;=5,$A283='Recurring Schedule'!$F$39))),34,""))))</f>
        <v/>
      </c>
      <c r="AJ283">
        <f>IF('Recurring Schedule'!$C$40="","",IF('Recurring Schedule'!$F$40="","",IF(OR($A283&lt;'Recurring Schedule'!$F$40,$A283&gt;'Recurring Schedule'!$P$40),"",IF(IF('Recurring Schedule'!$N$40&gt;0,MOD($A283-'Recurring Schedule'!$F$40,'Recurring Schedule'!$N$40)=0,IF('Recurring Schedule'!$O$40&gt;0,AND(DAY($A283)=MIN(DAY('Recurring Schedule'!$F$40),DAY(EOMONTH($A283,0))),MOD((YEAR($A283)-YEAR('Recurring Schedule'!$F$40))*12+MONTH($A283)-MONTH('Recurring Schedule'!$F$40),'Recurring Schedule'!$O$40)=0),IF('Recurring Schedule'!$E$40="Weekdays",WEEKDAY($A283,2)&lt;=5,$A283='Recurring Schedule'!$F$40))),35,""))))</f>
        <v/>
      </c>
      <c r="AK283">
        <f>IF('Recurring Schedule'!$C$41="","",IF('Recurring Schedule'!$F$41="","",IF(OR($A283&lt;'Recurring Schedule'!$F$41,$A283&gt;'Recurring Schedule'!$P$41),"",IF(IF('Recurring Schedule'!$N$41&gt;0,MOD($A283-'Recurring Schedule'!$F$41,'Recurring Schedule'!$N$41)=0,IF('Recurring Schedule'!$O$41&gt;0,AND(DAY($A283)=MIN(DAY('Recurring Schedule'!$F$41),DAY(EOMONTH($A283,0))),MOD((YEAR($A283)-YEAR('Recurring Schedule'!$F$41))*12+MONTH($A283)-MONTH('Recurring Schedule'!$F$41),'Recurring Schedule'!$O$41)=0),IF('Recurring Schedule'!$E$41="Weekdays",WEEKDAY($A283,2)&lt;=5,$A283='Recurring Schedule'!$F$41))),36,""))))</f>
        <v/>
      </c>
      <c r="AL283">
        <f>IF('Recurring Schedule'!$C$42="","",IF('Recurring Schedule'!$F$42="","",IF(OR($A283&lt;'Recurring Schedule'!$F$42,$A283&gt;'Recurring Schedule'!$P$42),"",IF(IF('Recurring Schedule'!$N$42&gt;0,MOD($A283-'Recurring Schedule'!$F$42,'Recurring Schedule'!$N$42)=0,IF('Recurring Schedule'!$O$42&gt;0,AND(DAY($A283)=MIN(DAY('Recurring Schedule'!$F$42),DAY(EOMONTH($A283,0))),MOD((YEAR($A283)-YEAR('Recurring Schedule'!$F$42))*12+MONTH($A283)-MONTH('Recurring Schedule'!$F$42),'Recurring Schedule'!$O$42)=0),IF('Recurring Schedule'!$E$42="Weekdays",WEEKDAY($A283,2)&lt;=5,$A283='Recurring Schedule'!$F$42))),37,""))))</f>
        <v/>
      </c>
      <c r="AM283">
        <f>IF('Recurring Schedule'!$C$43="","",IF('Recurring Schedule'!$F$43="","",IF(OR($A283&lt;'Recurring Schedule'!$F$43,$A283&gt;'Recurring Schedule'!$P$43),"",IF(IF('Recurring Schedule'!$N$43&gt;0,MOD($A283-'Recurring Schedule'!$F$43,'Recurring Schedule'!$N$43)=0,IF('Recurring Schedule'!$O$43&gt;0,AND(DAY($A283)=MIN(DAY('Recurring Schedule'!$F$43),DAY(EOMONTH($A283,0))),MOD((YEAR($A283)-YEAR('Recurring Schedule'!$F$43))*12+MONTH($A283)-MONTH('Recurring Schedule'!$F$43),'Recurring Schedule'!$O$43)=0),IF('Recurring Schedule'!$E$43="Weekdays",WEEKDAY($A283,2)&lt;=5,$A283='Recurring Schedule'!$F$43))),38,""))))</f>
        <v/>
      </c>
      <c r="AN283">
        <f>IF('Recurring Schedule'!$C$44="","",IF('Recurring Schedule'!$F$44="","",IF(OR($A283&lt;'Recurring Schedule'!$F$44,$A283&gt;'Recurring Schedule'!$P$44),"",IF(IF('Recurring Schedule'!$N$44&gt;0,MOD($A283-'Recurring Schedule'!$F$44,'Recurring Schedule'!$N$44)=0,IF('Recurring Schedule'!$O$44&gt;0,AND(DAY($A283)=MIN(DAY('Recurring Schedule'!$F$44),DAY(EOMONTH($A283,0))),MOD((YEAR($A283)-YEAR('Recurring Schedule'!$F$44))*12+MONTH($A283)-MONTH('Recurring Schedule'!$F$44),'Recurring Schedule'!$O$44)=0),IF('Recurring Schedule'!$E$44="Weekdays",WEEKDAY($A283,2)&lt;=5,$A283='Recurring Schedule'!$F$44))),39,""))))</f>
        <v/>
      </c>
      <c r="AO283">
        <f>IF('Recurring Schedule'!$C$45="","",IF('Recurring Schedule'!$F$45="","",IF(OR($A283&lt;'Recurring Schedule'!$F$45,$A283&gt;'Recurring Schedule'!$P$45),"",IF(IF('Recurring Schedule'!$N$45&gt;0,MOD($A283-'Recurring Schedule'!$F$45,'Recurring Schedule'!$N$45)=0,IF('Recurring Schedule'!$O$45&gt;0,AND(DAY($A283)=MIN(DAY('Recurring Schedule'!$F$45),DAY(EOMONTH($A283,0))),MOD((YEAR($A283)-YEAR('Recurring Schedule'!$F$45))*12+MONTH($A283)-MONTH('Recurring Schedule'!$F$45),'Recurring Schedule'!$O$45)=0),IF('Recurring Schedule'!$E$45="Weekdays",WEEKDAY($A283,2)&lt;=5,$A283='Recurring Schedule'!$F$45))),40,""))))</f>
        <v/>
      </c>
      <c r="AP283">
        <f>COUNT(B283:AO283)</f>
        <v/>
      </c>
      <c r="AQ283">
        <f>AQ282+AP282</f>
        <v/>
      </c>
      <c r="AS283" t="inlineStr">
        <is>
          <t>R</t>
        </is>
      </c>
      <c r="AT283" t="n">
        <v>287</v>
      </c>
      <c r="AU283">
        <f>'Recurring Log'!C287&amp;""</f>
        <v/>
      </c>
      <c r="AV283">
        <f>'Recurring Log'!D287&amp;""</f>
        <v/>
      </c>
      <c r="AW283">
        <f>IF('Recurring Log'!E287="","",'Recurring Log'!E287)</f>
        <v/>
      </c>
      <c r="AX283">
        <f>IF('Recurring Log'!G287="","",'Recurring Log'!G287)</f>
        <v/>
      </c>
      <c r="AY283">
        <f>IF('Recurring Log'!H287="","",'Recurring Log'!H287)</f>
        <v/>
      </c>
      <c r="AZ283">
        <f>IF(AU283="","",IF('Recurring Log'!J287="","Not Started",'Recurring Log'!J287))</f>
        <v/>
      </c>
      <c r="BA283">
        <f>'Recurring Log'!L287&amp;""</f>
        <v/>
      </c>
      <c r="BB283">
        <f>'Recurring Log'!M287&amp;""</f>
        <v/>
      </c>
      <c r="BC283">
        <f>'Recurring Log'!N287&amp;""</f>
        <v/>
      </c>
      <c r="BD283">
        <f>'Recurring Log'!O287&amp;""</f>
        <v/>
      </c>
      <c r="BE283">
        <f>IF('Recurring Log'!K287="","",'Recurring Log'!K287)</f>
        <v/>
      </c>
      <c r="BF283">
        <f>IFERROR(MATCH(BA283,Setup!$L$6:$L$9,0),5)</f>
        <v/>
      </c>
      <c r="BG283">
        <f>IF(OR(AZ283="Done",AZ283="Cancelled"),1,0)</f>
        <v/>
      </c>
      <c r="BH283">
        <f>IF(AND(AU283&lt;&gt;"",ISNUMBER(AW283)),1,0)</f>
        <v/>
      </c>
      <c r="BI283">
        <f>IF(BH283=0,0,IF(AND(AW283&gt;='Tasks Filter'!$F$3,AW283&lt;='Tasks Filter'!$F$4,OR('Tasks Filter'!$I$3="",ISNUMBER(SEARCH('Tasks Filter'!$I$3,AU283))),OR('Tasks Filter'!$I$4="",BF283=IFERROR(MATCH('Tasks Filter'!$I$4,Setup!$L$6:$L$9,0),0)),OR('Tasks Filter'!$I$5="Both",AND('Tasks Filter'!$I$5="Yes",BB283="✓"),AND('Tasks Filter'!$I$5="No",BB283&lt;&gt;"✓")),OR('Tasks Filter'!$L$3="",AV283='Tasks Filter'!$L$3),OR('Tasks Filter'!$L$4="",AZ283='Tasks Filter'!$L$4),OR('Tasks Filter'!$L$5="",BC283='Tasks Filter'!$L$5),OR('Tasks Filter'!$O$3="",BD283='Tasks Filter'!$O$3),OR('Tasks Filter'!$O$4="Yes",BG283=0)),1,0))</f>
        <v/>
      </c>
      <c r="BJ283">
        <f>IF(BH283=0,"",IF('Tasks Filter'!$F$6="Descending",-1,1)*CHOOSE(MATCH('Tasks Filter'!$F$5,Lists!$G$2:$G$6,0),AW283,BF283,IFERROR(MATCH(AV283,Setup!$F$6:$F$15,0),99),IFERROR(MATCH(BC283,Setup!$H$6:$H$15,0),99),IFERROR(MATCH(AZ283,Setup!$J$6:$J$11,0),99))*1E+9+(AW283-40000)*10000+282)</f>
        <v/>
      </c>
      <c r="BK283">
        <f>IF(BI283=1,BJ283,"")</f>
        <v/>
      </c>
      <c r="BL283">
        <f>IF(AND(BH283=1,BG283=0,N(AW283)&lt;Setup!$D$7),(AW283-40000)*10000+282,"")</f>
        <v/>
      </c>
      <c r="BM283">
        <f>IF(AND(BH283=1,AZ283&lt;&gt;"Cancelled",N(AW283)&gt;=Dashboard!$AB$3,N(AW283)&lt;=Dashboard!$AB$3+6),(AW283-40000)*100000+BF283*10000+282,"")</f>
        <v/>
      </c>
      <c r="BN283">
        <f>IF(AND(BH283=1,AZ283&lt;&gt;"Cancelled"),BF283*10000+282,"")</f>
        <v/>
      </c>
    </row>
    <row r="284">
      <c r="A284">
        <f>Setup!$D$5+282</f>
        <v/>
      </c>
      <c r="B284">
        <f>IF('Recurring Schedule'!$C$6="","",IF('Recurring Schedule'!$F$6="","",IF(OR($A284&lt;'Recurring Schedule'!$F$6,$A284&gt;'Recurring Schedule'!$P$6),"",IF(IF('Recurring Schedule'!$N$6&gt;0,MOD($A284-'Recurring Schedule'!$F$6,'Recurring Schedule'!$N$6)=0,IF('Recurring Schedule'!$O$6&gt;0,AND(DAY($A284)=MIN(DAY('Recurring Schedule'!$F$6),DAY(EOMONTH($A284,0))),MOD((YEAR($A284)-YEAR('Recurring Schedule'!$F$6))*12+MONTH($A284)-MONTH('Recurring Schedule'!$F$6),'Recurring Schedule'!$O$6)=0),IF('Recurring Schedule'!$E$6="Weekdays",WEEKDAY($A284,2)&lt;=5,$A284='Recurring Schedule'!$F$6))),1,""))))</f>
        <v/>
      </c>
      <c r="C284">
        <f>IF('Recurring Schedule'!$C$7="","",IF('Recurring Schedule'!$F$7="","",IF(OR($A284&lt;'Recurring Schedule'!$F$7,$A284&gt;'Recurring Schedule'!$P$7),"",IF(IF('Recurring Schedule'!$N$7&gt;0,MOD($A284-'Recurring Schedule'!$F$7,'Recurring Schedule'!$N$7)=0,IF('Recurring Schedule'!$O$7&gt;0,AND(DAY($A284)=MIN(DAY('Recurring Schedule'!$F$7),DAY(EOMONTH($A284,0))),MOD((YEAR($A284)-YEAR('Recurring Schedule'!$F$7))*12+MONTH($A284)-MONTH('Recurring Schedule'!$F$7),'Recurring Schedule'!$O$7)=0),IF('Recurring Schedule'!$E$7="Weekdays",WEEKDAY($A284,2)&lt;=5,$A284='Recurring Schedule'!$F$7))),2,""))))</f>
        <v/>
      </c>
      <c r="D284">
        <f>IF('Recurring Schedule'!$C$8="","",IF('Recurring Schedule'!$F$8="","",IF(OR($A284&lt;'Recurring Schedule'!$F$8,$A284&gt;'Recurring Schedule'!$P$8),"",IF(IF('Recurring Schedule'!$N$8&gt;0,MOD($A284-'Recurring Schedule'!$F$8,'Recurring Schedule'!$N$8)=0,IF('Recurring Schedule'!$O$8&gt;0,AND(DAY($A284)=MIN(DAY('Recurring Schedule'!$F$8),DAY(EOMONTH($A284,0))),MOD((YEAR($A284)-YEAR('Recurring Schedule'!$F$8))*12+MONTH($A284)-MONTH('Recurring Schedule'!$F$8),'Recurring Schedule'!$O$8)=0),IF('Recurring Schedule'!$E$8="Weekdays",WEEKDAY($A284,2)&lt;=5,$A284='Recurring Schedule'!$F$8))),3,""))))</f>
        <v/>
      </c>
      <c r="E284">
        <f>IF('Recurring Schedule'!$C$9="","",IF('Recurring Schedule'!$F$9="","",IF(OR($A284&lt;'Recurring Schedule'!$F$9,$A284&gt;'Recurring Schedule'!$P$9),"",IF(IF('Recurring Schedule'!$N$9&gt;0,MOD($A284-'Recurring Schedule'!$F$9,'Recurring Schedule'!$N$9)=0,IF('Recurring Schedule'!$O$9&gt;0,AND(DAY($A284)=MIN(DAY('Recurring Schedule'!$F$9),DAY(EOMONTH($A284,0))),MOD((YEAR($A284)-YEAR('Recurring Schedule'!$F$9))*12+MONTH($A284)-MONTH('Recurring Schedule'!$F$9),'Recurring Schedule'!$O$9)=0),IF('Recurring Schedule'!$E$9="Weekdays",WEEKDAY($A284,2)&lt;=5,$A284='Recurring Schedule'!$F$9))),4,""))))</f>
        <v/>
      </c>
      <c r="F284">
        <f>IF('Recurring Schedule'!$C$10="","",IF('Recurring Schedule'!$F$10="","",IF(OR($A284&lt;'Recurring Schedule'!$F$10,$A284&gt;'Recurring Schedule'!$P$10),"",IF(IF('Recurring Schedule'!$N$10&gt;0,MOD($A284-'Recurring Schedule'!$F$10,'Recurring Schedule'!$N$10)=0,IF('Recurring Schedule'!$O$10&gt;0,AND(DAY($A284)=MIN(DAY('Recurring Schedule'!$F$10),DAY(EOMONTH($A284,0))),MOD((YEAR($A284)-YEAR('Recurring Schedule'!$F$10))*12+MONTH($A284)-MONTH('Recurring Schedule'!$F$10),'Recurring Schedule'!$O$10)=0),IF('Recurring Schedule'!$E$10="Weekdays",WEEKDAY($A284,2)&lt;=5,$A284='Recurring Schedule'!$F$10))),5,""))))</f>
        <v/>
      </c>
      <c r="G284">
        <f>IF('Recurring Schedule'!$C$11="","",IF('Recurring Schedule'!$F$11="","",IF(OR($A284&lt;'Recurring Schedule'!$F$11,$A284&gt;'Recurring Schedule'!$P$11),"",IF(IF('Recurring Schedule'!$N$11&gt;0,MOD($A284-'Recurring Schedule'!$F$11,'Recurring Schedule'!$N$11)=0,IF('Recurring Schedule'!$O$11&gt;0,AND(DAY($A284)=MIN(DAY('Recurring Schedule'!$F$11),DAY(EOMONTH($A284,0))),MOD((YEAR($A284)-YEAR('Recurring Schedule'!$F$11))*12+MONTH($A284)-MONTH('Recurring Schedule'!$F$11),'Recurring Schedule'!$O$11)=0),IF('Recurring Schedule'!$E$11="Weekdays",WEEKDAY($A284,2)&lt;=5,$A284='Recurring Schedule'!$F$11))),6,""))))</f>
        <v/>
      </c>
      <c r="H284">
        <f>IF('Recurring Schedule'!$C$12="","",IF('Recurring Schedule'!$F$12="","",IF(OR($A284&lt;'Recurring Schedule'!$F$12,$A284&gt;'Recurring Schedule'!$P$12),"",IF(IF('Recurring Schedule'!$N$12&gt;0,MOD($A284-'Recurring Schedule'!$F$12,'Recurring Schedule'!$N$12)=0,IF('Recurring Schedule'!$O$12&gt;0,AND(DAY($A284)=MIN(DAY('Recurring Schedule'!$F$12),DAY(EOMONTH($A284,0))),MOD((YEAR($A284)-YEAR('Recurring Schedule'!$F$12))*12+MONTH($A284)-MONTH('Recurring Schedule'!$F$12),'Recurring Schedule'!$O$12)=0),IF('Recurring Schedule'!$E$12="Weekdays",WEEKDAY($A284,2)&lt;=5,$A284='Recurring Schedule'!$F$12))),7,""))))</f>
        <v/>
      </c>
      <c r="I284">
        <f>IF('Recurring Schedule'!$C$13="","",IF('Recurring Schedule'!$F$13="","",IF(OR($A284&lt;'Recurring Schedule'!$F$13,$A284&gt;'Recurring Schedule'!$P$13),"",IF(IF('Recurring Schedule'!$N$13&gt;0,MOD($A284-'Recurring Schedule'!$F$13,'Recurring Schedule'!$N$13)=0,IF('Recurring Schedule'!$O$13&gt;0,AND(DAY($A284)=MIN(DAY('Recurring Schedule'!$F$13),DAY(EOMONTH($A284,0))),MOD((YEAR($A284)-YEAR('Recurring Schedule'!$F$13))*12+MONTH($A284)-MONTH('Recurring Schedule'!$F$13),'Recurring Schedule'!$O$13)=0),IF('Recurring Schedule'!$E$13="Weekdays",WEEKDAY($A284,2)&lt;=5,$A284='Recurring Schedule'!$F$13))),8,""))))</f>
        <v/>
      </c>
      <c r="J284">
        <f>IF('Recurring Schedule'!$C$14="","",IF('Recurring Schedule'!$F$14="","",IF(OR($A284&lt;'Recurring Schedule'!$F$14,$A284&gt;'Recurring Schedule'!$P$14),"",IF(IF('Recurring Schedule'!$N$14&gt;0,MOD($A284-'Recurring Schedule'!$F$14,'Recurring Schedule'!$N$14)=0,IF('Recurring Schedule'!$O$14&gt;0,AND(DAY($A284)=MIN(DAY('Recurring Schedule'!$F$14),DAY(EOMONTH($A284,0))),MOD((YEAR($A284)-YEAR('Recurring Schedule'!$F$14))*12+MONTH($A284)-MONTH('Recurring Schedule'!$F$14),'Recurring Schedule'!$O$14)=0),IF('Recurring Schedule'!$E$14="Weekdays",WEEKDAY($A284,2)&lt;=5,$A284='Recurring Schedule'!$F$14))),9,""))))</f>
        <v/>
      </c>
      <c r="K284">
        <f>IF('Recurring Schedule'!$C$15="","",IF('Recurring Schedule'!$F$15="","",IF(OR($A284&lt;'Recurring Schedule'!$F$15,$A284&gt;'Recurring Schedule'!$P$15),"",IF(IF('Recurring Schedule'!$N$15&gt;0,MOD($A284-'Recurring Schedule'!$F$15,'Recurring Schedule'!$N$15)=0,IF('Recurring Schedule'!$O$15&gt;0,AND(DAY($A284)=MIN(DAY('Recurring Schedule'!$F$15),DAY(EOMONTH($A284,0))),MOD((YEAR($A284)-YEAR('Recurring Schedule'!$F$15))*12+MONTH($A284)-MONTH('Recurring Schedule'!$F$15),'Recurring Schedule'!$O$15)=0),IF('Recurring Schedule'!$E$15="Weekdays",WEEKDAY($A284,2)&lt;=5,$A284='Recurring Schedule'!$F$15))),10,""))))</f>
        <v/>
      </c>
      <c r="L284">
        <f>IF('Recurring Schedule'!$C$16="","",IF('Recurring Schedule'!$F$16="","",IF(OR($A284&lt;'Recurring Schedule'!$F$16,$A284&gt;'Recurring Schedule'!$P$16),"",IF(IF('Recurring Schedule'!$N$16&gt;0,MOD($A284-'Recurring Schedule'!$F$16,'Recurring Schedule'!$N$16)=0,IF('Recurring Schedule'!$O$16&gt;0,AND(DAY($A284)=MIN(DAY('Recurring Schedule'!$F$16),DAY(EOMONTH($A284,0))),MOD((YEAR($A284)-YEAR('Recurring Schedule'!$F$16))*12+MONTH($A284)-MONTH('Recurring Schedule'!$F$16),'Recurring Schedule'!$O$16)=0),IF('Recurring Schedule'!$E$16="Weekdays",WEEKDAY($A284,2)&lt;=5,$A284='Recurring Schedule'!$F$16))),11,""))))</f>
        <v/>
      </c>
      <c r="M284">
        <f>IF('Recurring Schedule'!$C$17="","",IF('Recurring Schedule'!$F$17="","",IF(OR($A284&lt;'Recurring Schedule'!$F$17,$A284&gt;'Recurring Schedule'!$P$17),"",IF(IF('Recurring Schedule'!$N$17&gt;0,MOD($A284-'Recurring Schedule'!$F$17,'Recurring Schedule'!$N$17)=0,IF('Recurring Schedule'!$O$17&gt;0,AND(DAY($A284)=MIN(DAY('Recurring Schedule'!$F$17),DAY(EOMONTH($A284,0))),MOD((YEAR($A284)-YEAR('Recurring Schedule'!$F$17))*12+MONTH($A284)-MONTH('Recurring Schedule'!$F$17),'Recurring Schedule'!$O$17)=0),IF('Recurring Schedule'!$E$17="Weekdays",WEEKDAY($A284,2)&lt;=5,$A284='Recurring Schedule'!$F$17))),12,""))))</f>
        <v/>
      </c>
      <c r="N284">
        <f>IF('Recurring Schedule'!$C$18="","",IF('Recurring Schedule'!$F$18="","",IF(OR($A284&lt;'Recurring Schedule'!$F$18,$A284&gt;'Recurring Schedule'!$P$18),"",IF(IF('Recurring Schedule'!$N$18&gt;0,MOD($A284-'Recurring Schedule'!$F$18,'Recurring Schedule'!$N$18)=0,IF('Recurring Schedule'!$O$18&gt;0,AND(DAY($A284)=MIN(DAY('Recurring Schedule'!$F$18),DAY(EOMONTH($A284,0))),MOD((YEAR($A284)-YEAR('Recurring Schedule'!$F$18))*12+MONTH($A284)-MONTH('Recurring Schedule'!$F$18),'Recurring Schedule'!$O$18)=0),IF('Recurring Schedule'!$E$18="Weekdays",WEEKDAY($A284,2)&lt;=5,$A284='Recurring Schedule'!$F$18))),13,""))))</f>
        <v/>
      </c>
      <c r="O284">
        <f>IF('Recurring Schedule'!$C$19="","",IF('Recurring Schedule'!$F$19="","",IF(OR($A284&lt;'Recurring Schedule'!$F$19,$A284&gt;'Recurring Schedule'!$P$19),"",IF(IF('Recurring Schedule'!$N$19&gt;0,MOD($A284-'Recurring Schedule'!$F$19,'Recurring Schedule'!$N$19)=0,IF('Recurring Schedule'!$O$19&gt;0,AND(DAY($A284)=MIN(DAY('Recurring Schedule'!$F$19),DAY(EOMONTH($A284,0))),MOD((YEAR($A284)-YEAR('Recurring Schedule'!$F$19))*12+MONTH($A284)-MONTH('Recurring Schedule'!$F$19),'Recurring Schedule'!$O$19)=0),IF('Recurring Schedule'!$E$19="Weekdays",WEEKDAY($A284,2)&lt;=5,$A284='Recurring Schedule'!$F$19))),14,""))))</f>
        <v/>
      </c>
      <c r="P284">
        <f>IF('Recurring Schedule'!$C$20="","",IF('Recurring Schedule'!$F$20="","",IF(OR($A284&lt;'Recurring Schedule'!$F$20,$A284&gt;'Recurring Schedule'!$P$20),"",IF(IF('Recurring Schedule'!$N$20&gt;0,MOD($A284-'Recurring Schedule'!$F$20,'Recurring Schedule'!$N$20)=0,IF('Recurring Schedule'!$O$20&gt;0,AND(DAY($A284)=MIN(DAY('Recurring Schedule'!$F$20),DAY(EOMONTH($A284,0))),MOD((YEAR($A284)-YEAR('Recurring Schedule'!$F$20))*12+MONTH($A284)-MONTH('Recurring Schedule'!$F$20),'Recurring Schedule'!$O$20)=0),IF('Recurring Schedule'!$E$20="Weekdays",WEEKDAY($A284,2)&lt;=5,$A284='Recurring Schedule'!$F$20))),15,""))))</f>
        <v/>
      </c>
      <c r="Q284">
        <f>IF('Recurring Schedule'!$C$21="","",IF('Recurring Schedule'!$F$21="","",IF(OR($A284&lt;'Recurring Schedule'!$F$21,$A284&gt;'Recurring Schedule'!$P$21),"",IF(IF('Recurring Schedule'!$N$21&gt;0,MOD($A284-'Recurring Schedule'!$F$21,'Recurring Schedule'!$N$21)=0,IF('Recurring Schedule'!$O$21&gt;0,AND(DAY($A284)=MIN(DAY('Recurring Schedule'!$F$21),DAY(EOMONTH($A284,0))),MOD((YEAR($A284)-YEAR('Recurring Schedule'!$F$21))*12+MONTH($A284)-MONTH('Recurring Schedule'!$F$21),'Recurring Schedule'!$O$21)=0),IF('Recurring Schedule'!$E$21="Weekdays",WEEKDAY($A284,2)&lt;=5,$A284='Recurring Schedule'!$F$21))),16,""))))</f>
        <v/>
      </c>
      <c r="R284">
        <f>IF('Recurring Schedule'!$C$22="","",IF('Recurring Schedule'!$F$22="","",IF(OR($A284&lt;'Recurring Schedule'!$F$22,$A284&gt;'Recurring Schedule'!$P$22),"",IF(IF('Recurring Schedule'!$N$22&gt;0,MOD($A284-'Recurring Schedule'!$F$22,'Recurring Schedule'!$N$22)=0,IF('Recurring Schedule'!$O$22&gt;0,AND(DAY($A284)=MIN(DAY('Recurring Schedule'!$F$22),DAY(EOMONTH($A284,0))),MOD((YEAR($A284)-YEAR('Recurring Schedule'!$F$22))*12+MONTH($A284)-MONTH('Recurring Schedule'!$F$22),'Recurring Schedule'!$O$22)=0),IF('Recurring Schedule'!$E$22="Weekdays",WEEKDAY($A284,2)&lt;=5,$A284='Recurring Schedule'!$F$22))),17,""))))</f>
        <v/>
      </c>
      <c r="S284">
        <f>IF('Recurring Schedule'!$C$23="","",IF('Recurring Schedule'!$F$23="","",IF(OR($A284&lt;'Recurring Schedule'!$F$23,$A284&gt;'Recurring Schedule'!$P$23),"",IF(IF('Recurring Schedule'!$N$23&gt;0,MOD($A284-'Recurring Schedule'!$F$23,'Recurring Schedule'!$N$23)=0,IF('Recurring Schedule'!$O$23&gt;0,AND(DAY($A284)=MIN(DAY('Recurring Schedule'!$F$23),DAY(EOMONTH($A284,0))),MOD((YEAR($A284)-YEAR('Recurring Schedule'!$F$23))*12+MONTH($A284)-MONTH('Recurring Schedule'!$F$23),'Recurring Schedule'!$O$23)=0),IF('Recurring Schedule'!$E$23="Weekdays",WEEKDAY($A284,2)&lt;=5,$A284='Recurring Schedule'!$F$23))),18,""))))</f>
        <v/>
      </c>
      <c r="T284">
        <f>IF('Recurring Schedule'!$C$24="","",IF('Recurring Schedule'!$F$24="","",IF(OR($A284&lt;'Recurring Schedule'!$F$24,$A284&gt;'Recurring Schedule'!$P$24),"",IF(IF('Recurring Schedule'!$N$24&gt;0,MOD($A284-'Recurring Schedule'!$F$24,'Recurring Schedule'!$N$24)=0,IF('Recurring Schedule'!$O$24&gt;0,AND(DAY($A284)=MIN(DAY('Recurring Schedule'!$F$24),DAY(EOMONTH($A284,0))),MOD((YEAR($A284)-YEAR('Recurring Schedule'!$F$24))*12+MONTH($A284)-MONTH('Recurring Schedule'!$F$24),'Recurring Schedule'!$O$24)=0),IF('Recurring Schedule'!$E$24="Weekdays",WEEKDAY($A284,2)&lt;=5,$A284='Recurring Schedule'!$F$24))),19,""))))</f>
        <v/>
      </c>
      <c r="U284">
        <f>IF('Recurring Schedule'!$C$25="","",IF('Recurring Schedule'!$F$25="","",IF(OR($A284&lt;'Recurring Schedule'!$F$25,$A284&gt;'Recurring Schedule'!$P$25),"",IF(IF('Recurring Schedule'!$N$25&gt;0,MOD($A284-'Recurring Schedule'!$F$25,'Recurring Schedule'!$N$25)=0,IF('Recurring Schedule'!$O$25&gt;0,AND(DAY($A284)=MIN(DAY('Recurring Schedule'!$F$25),DAY(EOMONTH($A284,0))),MOD((YEAR($A284)-YEAR('Recurring Schedule'!$F$25))*12+MONTH($A284)-MONTH('Recurring Schedule'!$F$25),'Recurring Schedule'!$O$25)=0),IF('Recurring Schedule'!$E$25="Weekdays",WEEKDAY($A284,2)&lt;=5,$A284='Recurring Schedule'!$F$25))),20,""))))</f>
        <v/>
      </c>
      <c r="V284">
        <f>IF('Recurring Schedule'!$C$26="","",IF('Recurring Schedule'!$F$26="","",IF(OR($A284&lt;'Recurring Schedule'!$F$26,$A284&gt;'Recurring Schedule'!$P$26),"",IF(IF('Recurring Schedule'!$N$26&gt;0,MOD($A284-'Recurring Schedule'!$F$26,'Recurring Schedule'!$N$26)=0,IF('Recurring Schedule'!$O$26&gt;0,AND(DAY($A284)=MIN(DAY('Recurring Schedule'!$F$26),DAY(EOMONTH($A284,0))),MOD((YEAR($A284)-YEAR('Recurring Schedule'!$F$26))*12+MONTH($A284)-MONTH('Recurring Schedule'!$F$26),'Recurring Schedule'!$O$26)=0),IF('Recurring Schedule'!$E$26="Weekdays",WEEKDAY($A284,2)&lt;=5,$A284='Recurring Schedule'!$F$26))),21,""))))</f>
        <v/>
      </c>
      <c r="W284">
        <f>IF('Recurring Schedule'!$C$27="","",IF('Recurring Schedule'!$F$27="","",IF(OR($A284&lt;'Recurring Schedule'!$F$27,$A284&gt;'Recurring Schedule'!$P$27),"",IF(IF('Recurring Schedule'!$N$27&gt;0,MOD($A284-'Recurring Schedule'!$F$27,'Recurring Schedule'!$N$27)=0,IF('Recurring Schedule'!$O$27&gt;0,AND(DAY($A284)=MIN(DAY('Recurring Schedule'!$F$27),DAY(EOMONTH($A284,0))),MOD((YEAR($A284)-YEAR('Recurring Schedule'!$F$27))*12+MONTH($A284)-MONTH('Recurring Schedule'!$F$27),'Recurring Schedule'!$O$27)=0),IF('Recurring Schedule'!$E$27="Weekdays",WEEKDAY($A284,2)&lt;=5,$A284='Recurring Schedule'!$F$27))),22,""))))</f>
        <v/>
      </c>
      <c r="X284">
        <f>IF('Recurring Schedule'!$C$28="","",IF('Recurring Schedule'!$F$28="","",IF(OR($A284&lt;'Recurring Schedule'!$F$28,$A284&gt;'Recurring Schedule'!$P$28),"",IF(IF('Recurring Schedule'!$N$28&gt;0,MOD($A284-'Recurring Schedule'!$F$28,'Recurring Schedule'!$N$28)=0,IF('Recurring Schedule'!$O$28&gt;0,AND(DAY($A284)=MIN(DAY('Recurring Schedule'!$F$28),DAY(EOMONTH($A284,0))),MOD((YEAR($A284)-YEAR('Recurring Schedule'!$F$28))*12+MONTH($A284)-MONTH('Recurring Schedule'!$F$28),'Recurring Schedule'!$O$28)=0),IF('Recurring Schedule'!$E$28="Weekdays",WEEKDAY($A284,2)&lt;=5,$A284='Recurring Schedule'!$F$28))),23,""))))</f>
        <v/>
      </c>
      <c r="Y284">
        <f>IF('Recurring Schedule'!$C$29="","",IF('Recurring Schedule'!$F$29="","",IF(OR($A284&lt;'Recurring Schedule'!$F$29,$A284&gt;'Recurring Schedule'!$P$29),"",IF(IF('Recurring Schedule'!$N$29&gt;0,MOD($A284-'Recurring Schedule'!$F$29,'Recurring Schedule'!$N$29)=0,IF('Recurring Schedule'!$O$29&gt;0,AND(DAY($A284)=MIN(DAY('Recurring Schedule'!$F$29),DAY(EOMONTH($A284,0))),MOD((YEAR($A284)-YEAR('Recurring Schedule'!$F$29))*12+MONTH($A284)-MONTH('Recurring Schedule'!$F$29),'Recurring Schedule'!$O$29)=0),IF('Recurring Schedule'!$E$29="Weekdays",WEEKDAY($A284,2)&lt;=5,$A284='Recurring Schedule'!$F$29))),24,""))))</f>
        <v/>
      </c>
      <c r="Z284">
        <f>IF('Recurring Schedule'!$C$30="","",IF('Recurring Schedule'!$F$30="","",IF(OR($A284&lt;'Recurring Schedule'!$F$30,$A284&gt;'Recurring Schedule'!$P$30),"",IF(IF('Recurring Schedule'!$N$30&gt;0,MOD($A284-'Recurring Schedule'!$F$30,'Recurring Schedule'!$N$30)=0,IF('Recurring Schedule'!$O$30&gt;0,AND(DAY($A284)=MIN(DAY('Recurring Schedule'!$F$30),DAY(EOMONTH($A284,0))),MOD((YEAR($A284)-YEAR('Recurring Schedule'!$F$30))*12+MONTH($A284)-MONTH('Recurring Schedule'!$F$30),'Recurring Schedule'!$O$30)=0),IF('Recurring Schedule'!$E$30="Weekdays",WEEKDAY($A284,2)&lt;=5,$A284='Recurring Schedule'!$F$30))),25,""))))</f>
        <v/>
      </c>
      <c r="AA284">
        <f>IF('Recurring Schedule'!$C$31="","",IF('Recurring Schedule'!$F$31="","",IF(OR($A284&lt;'Recurring Schedule'!$F$31,$A284&gt;'Recurring Schedule'!$P$31),"",IF(IF('Recurring Schedule'!$N$31&gt;0,MOD($A284-'Recurring Schedule'!$F$31,'Recurring Schedule'!$N$31)=0,IF('Recurring Schedule'!$O$31&gt;0,AND(DAY($A284)=MIN(DAY('Recurring Schedule'!$F$31),DAY(EOMONTH($A284,0))),MOD((YEAR($A284)-YEAR('Recurring Schedule'!$F$31))*12+MONTH($A284)-MONTH('Recurring Schedule'!$F$31),'Recurring Schedule'!$O$31)=0),IF('Recurring Schedule'!$E$31="Weekdays",WEEKDAY($A284,2)&lt;=5,$A284='Recurring Schedule'!$F$31))),26,""))))</f>
        <v/>
      </c>
      <c r="AB284">
        <f>IF('Recurring Schedule'!$C$32="","",IF('Recurring Schedule'!$F$32="","",IF(OR($A284&lt;'Recurring Schedule'!$F$32,$A284&gt;'Recurring Schedule'!$P$32),"",IF(IF('Recurring Schedule'!$N$32&gt;0,MOD($A284-'Recurring Schedule'!$F$32,'Recurring Schedule'!$N$32)=0,IF('Recurring Schedule'!$O$32&gt;0,AND(DAY($A284)=MIN(DAY('Recurring Schedule'!$F$32),DAY(EOMONTH($A284,0))),MOD((YEAR($A284)-YEAR('Recurring Schedule'!$F$32))*12+MONTH($A284)-MONTH('Recurring Schedule'!$F$32),'Recurring Schedule'!$O$32)=0),IF('Recurring Schedule'!$E$32="Weekdays",WEEKDAY($A284,2)&lt;=5,$A284='Recurring Schedule'!$F$32))),27,""))))</f>
        <v/>
      </c>
      <c r="AC284">
        <f>IF('Recurring Schedule'!$C$33="","",IF('Recurring Schedule'!$F$33="","",IF(OR($A284&lt;'Recurring Schedule'!$F$33,$A284&gt;'Recurring Schedule'!$P$33),"",IF(IF('Recurring Schedule'!$N$33&gt;0,MOD($A284-'Recurring Schedule'!$F$33,'Recurring Schedule'!$N$33)=0,IF('Recurring Schedule'!$O$33&gt;0,AND(DAY($A284)=MIN(DAY('Recurring Schedule'!$F$33),DAY(EOMONTH($A284,0))),MOD((YEAR($A284)-YEAR('Recurring Schedule'!$F$33))*12+MONTH($A284)-MONTH('Recurring Schedule'!$F$33),'Recurring Schedule'!$O$33)=0),IF('Recurring Schedule'!$E$33="Weekdays",WEEKDAY($A284,2)&lt;=5,$A284='Recurring Schedule'!$F$33))),28,""))))</f>
        <v/>
      </c>
      <c r="AD284">
        <f>IF('Recurring Schedule'!$C$34="","",IF('Recurring Schedule'!$F$34="","",IF(OR($A284&lt;'Recurring Schedule'!$F$34,$A284&gt;'Recurring Schedule'!$P$34),"",IF(IF('Recurring Schedule'!$N$34&gt;0,MOD($A284-'Recurring Schedule'!$F$34,'Recurring Schedule'!$N$34)=0,IF('Recurring Schedule'!$O$34&gt;0,AND(DAY($A284)=MIN(DAY('Recurring Schedule'!$F$34),DAY(EOMONTH($A284,0))),MOD((YEAR($A284)-YEAR('Recurring Schedule'!$F$34))*12+MONTH($A284)-MONTH('Recurring Schedule'!$F$34),'Recurring Schedule'!$O$34)=0),IF('Recurring Schedule'!$E$34="Weekdays",WEEKDAY($A284,2)&lt;=5,$A284='Recurring Schedule'!$F$34))),29,""))))</f>
        <v/>
      </c>
      <c r="AE284">
        <f>IF('Recurring Schedule'!$C$35="","",IF('Recurring Schedule'!$F$35="","",IF(OR($A284&lt;'Recurring Schedule'!$F$35,$A284&gt;'Recurring Schedule'!$P$35),"",IF(IF('Recurring Schedule'!$N$35&gt;0,MOD($A284-'Recurring Schedule'!$F$35,'Recurring Schedule'!$N$35)=0,IF('Recurring Schedule'!$O$35&gt;0,AND(DAY($A284)=MIN(DAY('Recurring Schedule'!$F$35),DAY(EOMONTH($A284,0))),MOD((YEAR($A284)-YEAR('Recurring Schedule'!$F$35))*12+MONTH($A284)-MONTH('Recurring Schedule'!$F$35),'Recurring Schedule'!$O$35)=0),IF('Recurring Schedule'!$E$35="Weekdays",WEEKDAY($A284,2)&lt;=5,$A284='Recurring Schedule'!$F$35))),30,""))))</f>
        <v/>
      </c>
      <c r="AF284">
        <f>IF('Recurring Schedule'!$C$36="","",IF('Recurring Schedule'!$F$36="","",IF(OR($A284&lt;'Recurring Schedule'!$F$36,$A284&gt;'Recurring Schedule'!$P$36),"",IF(IF('Recurring Schedule'!$N$36&gt;0,MOD($A284-'Recurring Schedule'!$F$36,'Recurring Schedule'!$N$36)=0,IF('Recurring Schedule'!$O$36&gt;0,AND(DAY($A284)=MIN(DAY('Recurring Schedule'!$F$36),DAY(EOMONTH($A284,0))),MOD((YEAR($A284)-YEAR('Recurring Schedule'!$F$36))*12+MONTH($A284)-MONTH('Recurring Schedule'!$F$36),'Recurring Schedule'!$O$36)=0),IF('Recurring Schedule'!$E$36="Weekdays",WEEKDAY($A284,2)&lt;=5,$A284='Recurring Schedule'!$F$36))),31,""))))</f>
        <v/>
      </c>
      <c r="AG284">
        <f>IF('Recurring Schedule'!$C$37="","",IF('Recurring Schedule'!$F$37="","",IF(OR($A284&lt;'Recurring Schedule'!$F$37,$A284&gt;'Recurring Schedule'!$P$37),"",IF(IF('Recurring Schedule'!$N$37&gt;0,MOD($A284-'Recurring Schedule'!$F$37,'Recurring Schedule'!$N$37)=0,IF('Recurring Schedule'!$O$37&gt;0,AND(DAY($A284)=MIN(DAY('Recurring Schedule'!$F$37),DAY(EOMONTH($A284,0))),MOD((YEAR($A284)-YEAR('Recurring Schedule'!$F$37))*12+MONTH($A284)-MONTH('Recurring Schedule'!$F$37),'Recurring Schedule'!$O$37)=0),IF('Recurring Schedule'!$E$37="Weekdays",WEEKDAY($A284,2)&lt;=5,$A284='Recurring Schedule'!$F$37))),32,""))))</f>
        <v/>
      </c>
      <c r="AH284">
        <f>IF('Recurring Schedule'!$C$38="","",IF('Recurring Schedule'!$F$38="","",IF(OR($A284&lt;'Recurring Schedule'!$F$38,$A284&gt;'Recurring Schedule'!$P$38),"",IF(IF('Recurring Schedule'!$N$38&gt;0,MOD($A284-'Recurring Schedule'!$F$38,'Recurring Schedule'!$N$38)=0,IF('Recurring Schedule'!$O$38&gt;0,AND(DAY($A284)=MIN(DAY('Recurring Schedule'!$F$38),DAY(EOMONTH($A284,0))),MOD((YEAR($A284)-YEAR('Recurring Schedule'!$F$38))*12+MONTH($A284)-MONTH('Recurring Schedule'!$F$38),'Recurring Schedule'!$O$38)=0),IF('Recurring Schedule'!$E$38="Weekdays",WEEKDAY($A284,2)&lt;=5,$A284='Recurring Schedule'!$F$38))),33,""))))</f>
        <v/>
      </c>
      <c r="AI284">
        <f>IF('Recurring Schedule'!$C$39="","",IF('Recurring Schedule'!$F$39="","",IF(OR($A284&lt;'Recurring Schedule'!$F$39,$A284&gt;'Recurring Schedule'!$P$39),"",IF(IF('Recurring Schedule'!$N$39&gt;0,MOD($A284-'Recurring Schedule'!$F$39,'Recurring Schedule'!$N$39)=0,IF('Recurring Schedule'!$O$39&gt;0,AND(DAY($A284)=MIN(DAY('Recurring Schedule'!$F$39),DAY(EOMONTH($A284,0))),MOD((YEAR($A284)-YEAR('Recurring Schedule'!$F$39))*12+MONTH($A284)-MONTH('Recurring Schedule'!$F$39),'Recurring Schedule'!$O$39)=0),IF('Recurring Schedule'!$E$39="Weekdays",WEEKDAY($A284,2)&lt;=5,$A284='Recurring Schedule'!$F$39))),34,""))))</f>
        <v/>
      </c>
      <c r="AJ284">
        <f>IF('Recurring Schedule'!$C$40="","",IF('Recurring Schedule'!$F$40="","",IF(OR($A284&lt;'Recurring Schedule'!$F$40,$A284&gt;'Recurring Schedule'!$P$40),"",IF(IF('Recurring Schedule'!$N$40&gt;0,MOD($A284-'Recurring Schedule'!$F$40,'Recurring Schedule'!$N$40)=0,IF('Recurring Schedule'!$O$40&gt;0,AND(DAY($A284)=MIN(DAY('Recurring Schedule'!$F$40),DAY(EOMONTH($A284,0))),MOD((YEAR($A284)-YEAR('Recurring Schedule'!$F$40))*12+MONTH($A284)-MONTH('Recurring Schedule'!$F$40),'Recurring Schedule'!$O$40)=0),IF('Recurring Schedule'!$E$40="Weekdays",WEEKDAY($A284,2)&lt;=5,$A284='Recurring Schedule'!$F$40))),35,""))))</f>
        <v/>
      </c>
      <c r="AK284">
        <f>IF('Recurring Schedule'!$C$41="","",IF('Recurring Schedule'!$F$41="","",IF(OR($A284&lt;'Recurring Schedule'!$F$41,$A284&gt;'Recurring Schedule'!$P$41),"",IF(IF('Recurring Schedule'!$N$41&gt;0,MOD($A284-'Recurring Schedule'!$F$41,'Recurring Schedule'!$N$41)=0,IF('Recurring Schedule'!$O$41&gt;0,AND(DAY($A284)=MIN(DAY('Recurring Schedule'!$F$41),DAY(EOMONTH($A284,0))),MOD((YEAR($A284)-YEAR('Recurring Schedule'!$F$41))*12+MONTH($A284)-MONTH('Recurring Schedule'!$F$41),'Recurring Schedule'!$O$41)=0),IF('Recurring Schedule'!$E$41="Weekdays",WEEKDAY($A284,2)&lt;=5,$A284='Recurring Schedule'!$F$41))),36,""))))</f>
        <v/>
      </c>
      <c r="AL284">
        <f>IF('Recurring Schedule'!$C$42="","",IF('Recurring Schedule'!$F$42="","",IF(OR($A284&lt;'Recurring Schedule'!$F$42,$A284&gt;'Recurring Schedule'!$P$42),"",IF(IF('Recurring Schedule'!$N$42&gt;0,MOD($A284-'Recurring Schedule'!$F$42,'Recurring Schedule'!$N$42)=0,IF('Recurring Schedule'!$O$42&gt;0,AND(DAY($A284)=MIN(DAY('Recurring Schedule'!$F$42),DAY(EOMONTH($A284,0))),MOD((YEAR($A284)-YEAR('Recurring Schedule'!$F$42))*12+MONTH($A284)-MONTH('Recurring Schedule'!$F$42),'Recurring Schedule'!$O$42)=0),IF('Recurring Schedule'!$E$42="Weekdays",WEEKDAY($A284,2)&lt;=5,$A284='Recurring Schedule'!$F$42))),37,""))))</f>
        <v/>
      </c>
      <c r="AM284">
        <f>IF('Recurring Schedule'!$C$43="","",IF('Recurring Schedule'!$F$43="","",IF(OR($A284&lt;'Recurring Schedule'!$F$43,$A284&gt;'Recurring Schedule'!$P$43),"",IF(IF('Recurring Schedule'!$N$43&gt;0,MOD($A284-'Recurring Schedule'!$F$43,'Recurring Schedule'!$N$43)=0,IF('Recurring Schedule'!$O$43&gt;0,AND(DAY($A284)=MIN(DAY('Recurring Schedule'!$F$43),DAY(EOMONTH($A284,0))),MOD((YEAR($A284)-YEAR('Recurring Schedule'!$F$43))*12+MONTH($A284)-MONTH('Recurring Schedule'!$F$43),'Recurring Schedule'!$O$43)=0),IF('Recurring Schedule'!$E$43="Weekdays",WEEKDAY($A284,2)&lt;=5,$A284='Recurring Schedule'!$F$43))),38,""))))</f>
        <v/>
      </c>
      <c r="AN284">
        <f>IF('Recurring Schedule'!$C$44="","",IF('Recurring Schedule'!$F$44="","",IF(OR($A284&lt;'Recurring Schedule'!$F$44,$A284&gt;'Recurring Schedule'!$P$44),"",IF(IF('Recurring Schedule'!$N$44&gt;0,MOD($A284-'Recurring Schedule'!$F$44,'Recurring Schedule'!$N$44)=0,IF('Recurring Schedule'!$O$44&gt;0,AND(DAY($A284)=MIN(DAY('Recurring Schedule'!$F$44),DAY(EOMONTH($A284,0))),MOD((YEAR($A284)-YEAR('Recurring Schedule'!$F$44))*12+MONTH($A284)-MONTH('Recurring Schedule'!$F$44),'Recurring Schedule'!$O$44)=0),IF('Recurring Schedule'!$E$44="Weekdays",WEEKDAY($A284,2)&lt;=5,$A284='Recurring Schedule'!$F$44))),39,""))))</f>
        <v/>
      </c>
      <c r="AO284">
        <f>IF('Recurring Schedule'!$C$45="","",IF('Recurring Schedule'!$F$45="","",IF(OR($A284&lt;'Recurring Schedule'!$F$45,$A284&gt;'Recurring Schedule'!$P$45),"",IF(IF('Recurring Schedule'!$N$45&gt;0,MOD($A284-'Recurring Schedule'!$F$45,'Recurring Schedule'!$N$45)=0,IF('Recurring Schedule'!$O$45&gt;0,AND(DAY($A284)=MIN(DAY('Recurring Schedule'!$F$45),DAY(EOMONTH($A284,0))),MOD((YEAR($A284)-YEAR('Recurring Schedule'!$F$45))*12+MONTH($A284)-MONTH('Recurring Schedule'!$F$45),'Recurring Schedule'!$O$45)=0),IF('Recurring Schedule'!$E$45="Weekdays",WEEKDAY($A284,2)&lt;=5,$A284='Recurring Schedule'!$F$45))),40,""))))</f>
        <v/>
      </c>
      <c r="AP284">
        <f>COUNT(B284:AO284)</f>
        <v/>
      </c>
      <c r="AQ284">
        <f>AQ283+AP283</f>
        <v/>
      </c>
      <c r="AS284" t="inlineStr">
        <is>
          <t>R</t>
        </is>
      </c>
      <c r="AT284" t="n">
        <v>288</v>
      </c>
      <c r="AU284">
        <f>'Recurring Log'!C288&amp;""</f>
        <v/>
      </c>
      <c r="AV284">
        <f>'Recurring Log'!D288&amp;""</f>
        <v/>
      </c>
      <c r="AW284">
        <f>IF('Recurring Log'!E288="","",'Recurring Log'!E288)</f>
        <v/>
      </c>
      <c r="AX284">
        <f>IF('Recurring Log'!G288="","",'Recurring Log'!G288)</f>
        <v/>
      </c>
      <c r="AY284">
        <f>IF('Recurring Log'!H288="","",'Recurring Log'!H288)</f>
        <v/>
      </c>
      <c r="AZ284">
        <f>IF(AU284="","",IF('Recurring Log'!J288="","Not Started",'Recurring Log'!J288))</f>
        <v/>
      </c>
      <c r="BA284">
        <f>'Recurring Log'!L288&amp;""</f>
        <v/>
      </c>
      <c r="BB284">
        <f>'Recurring Log'!M288&amp;""</f>
        <v/>
      </c>
      <c r="BC284">
        <f>'Recurring Log'!N288&amp;""</f>
        <v/>
      </c>
      <c r="BD284">
        <f>'Recurring Log'!O288&amp;""</f>
        <v/>
      </c>
      <c r="BE284">
        <f>IF('Recurring Log'!K288="","",'Recurring Log'!K288)</f>
        <v/>
      </c>
      <c r="BF284">
        <f>IFERROR(MATCH(BA284,Setup!$L$6:$L$9,0),5)</f>
        <v/>
      </c>
      <c r="BG284">
        <f>IF(OR(AZ284="Done",AZ284="Cancelled"),1,0)</f>
        <v/>
      </c>
      <c r="BH284">
        <f>IF(AND(AU284&lt;&gt;"",ISNUMBER(AW284)),1,0)</f>
        <v/>
      </c>
      <c r="BI284">
        <f>IF(BH284=0,0,IF(AND(AW284&gt;='Tasks Filter'!$F$3,AW284&lt;='Tasks Filter'!$F$4,OR('Tasks Filter'!$I$3="",ISNUMBER(SEARCH('Tasks Filter'!$I$3,AU284))),OR('Tasks Filter'!$I$4="",BF284=IFERROR(MATCH('Tasks Filter'!$I$4,Setup!$L$6:$L$9,0),0)),OR('Tasks Filter'!$I$5="Both",AND('Tasks Filter'!$I$5="Yes",BB284="✓"),AND('Tasks Filter'!$I$5="No",BB284&lt;&gt;"✓")),OR('Tasks Filter'!$L$3="",AV284='Tasks Filter'!$L$3),OR('Tasks Filter'!$L$4="",AZ284='Tasks Filter'!$L$4),OR('Tasks Filter'!$L$5="",BC284='Tasks Filter'!$L$5),OR('Tasks Filter'!$O$3="",BD284='Tasks Filter'!$O$3),OR('Tasks Filter'!$O$4="Yes",BG284=0)),1,0))</f>
        <v/>
      </c>
      <c r="BJ284">
        <f>IF(BH284=0,"",IF('Tasks Filter'!$F$6="Descending",-1,1)*CHOOSE(MATCH('Tasks Filter'!$F$5,Lists!$G$2:$G$6,0),AW284,BF284,IFERROR(MATCH(AV284,Setup!$F$6:$F$15,0),99),IFERROR(MATCH(BC284,Setup!$H$6:$H$15,0),99),IFERROR(MATCH(AZ284,Setup!$J$6:$J$11,0),99))*1E+9+(AW284-40000)*10000+283)</f>
        <v/>
      </c>
      <c r="BK284">
        <f>IF(BI284=1,BJ284,"")</f>
        <v/>
      </c>
      <c r="BL284">
        <f>IF(AND(BH284=1,BG284=0,N(AW284)&lt;Setup!$D$7),(AW284-40000)*10000+283,"")</f>
        <v/>
      </c>
      <c r="BM284">
        <f>IF(AND(BH284=1,AZ284&lt;&gt;"Cancelled",N(AW284)&gt;=Dashboard!$AB$3,N(AW284)&lt;=Dashboard!$AB$3+6),(AW284-40000)*100000+BF284*10000+283,"")</f>
        <v/>
      </c>
      <c r="BN284">
        <f>IF(AND(BH284=1,AZ284&lt;&gt;"Cancelled"),BF284*10000+283,"")</f>
        <v/>
      </c>
    </row>
    <row r="285">
      <c r="A285">
        <f>Setup!$D$5+283</f>
        <v/>
      </c>
      <c r="B285">
        <f>IF('Recurring Schedule'!$C$6="","",IF('Recurring Schedule'!$F$6="","",IF(OR($A285&lt;'Recurring Schedule'!$F$6,$A285&gt;'Recurring Schedule'!$P$6),"",IF(IF('Recurring Schedule'!$N$6&gt;0,MOD($A285-'Recurring Schedule'!$F$6,'Recurring Schedule'!$N$6)=0,IF('Recurring Schedule'!$O$6&gt;0,AND(DAY($A285)=MIN(DAY('Recurring Schedule'!$F$6),DAY(EOMONTH($A285,0))),MOD((YEAR($A285)-YEAR('Recurring Schedule'!$F$6))*12+MONTH($A285)-MONTH('Recurring Schedule'!$F$6),'Recurring Schedule'!$O$6)=0),IF('Recurring Schedule'!$E$6="Weekdays",WEEKDAY($A285,2)&lt;=5,$A285='Recurring Schedule'!$F$6))),1,""))))</f>
        <v/>
      </c>
      <c r="C285">
        <f>IF('Recurring Schedule'!$C$7="","",IF('Recurring Schedule'!$F$7="","",IF(OR($A285&lt;'Recurring Schedule'!$F$7,$A285&gt;'Recurring Schedule'!$P$7),"",IF(IF('Recurring Schedule'!$N$7&gt;0,MOD($A285-'Recurring Schedule'!$F$7,'Recurring Schedule'!$N$7)=0,IF('Recurring Schedule'!$O$7&gt;0,AND(DAY($A285)=MIN(DAY('Recurring Schedule'!$F$7),DAY(EOMONTH($A285,0))),MOD((YEAR($A285)-YEAR('Recurring Schedule'!$F$7))*12+MONTH($A285)-MONTH('Recurring Schedule'!$F$7),'Recurring Schedule'!$O$7)=0),IF('Recurring Schedule'!$E$7="Weekdays",WEEKDAY($A285,2)&lt;=5,$A285='Recurring Schedule'!$F$7))),2,""))))</f>
        <v/>
      </c>
      <c r="D285">
        <f>IF('Recurring Schedule'!$C$8="","",IF('Recurring Schedule'!$F$8="","",IF(OR($A285&lt;'Recurring Schedule'!$F$8,$A285&gt;'Recurring Schedule'!$P$8),"",IF(IF('Recurring Schedule'!$N$8&gt;0,MOD($A285-'Recurring Schedule'!$F$8,'Recurring Schedule'!$N$8)=0,IF('Recurring Schedule'!$O$8&gt;0,AND(DAY($A285)=MIN(DAY('Recurring Schedule'!$F$8),DAY(EOMONTH($A285,0))),MOD((YEAR($A285)-YEAR('Recurring Schedule'!$F$8))*12+MONTH($A285)-MONTH('Recurring Schedule'!$F$8),'Recurring Schedule'!$O$8)=0),IF('Recurring Schedule'!$E$8="Weekdays",WEEKDAY($A285,2)&lt;=5,$A285='Recurring Schedule'!$F$8))),3,""))))</f>
        <v/>
      </c>
      <c r="E285">
        <f>IF('Recurring Schedule'!$C$9="","",IF('Recurring Schedule'!$F$9="","",IF(OR($A285&lt;'Recurring Schedule'!$F$9,$A285&gt;'Recurring Schedule'!$P$9),"",IF(IF('Recurring Schedule'!$N$9&gt;0,MOD($A285-'Recurring Schedule'!$F$9,'Recurring Schedule'!$N$9)=0,IF('Recurring Schedule'!$O$9&gt;0,AND(DAY($A285)=MIN(DAY('Recurring Schedule'!$F$9),DAY(EOMONTH($A285,0))),MOD((YEAR($A285)-YEAR('Recurring Schedule'!$F$9))*12+MONTH($A285)-MONTH('Recurring Schedule'!$F$9),'Recurring Schedule'!$O$9)=0),IF('Recurring Schedule'!$E$9="Weekdays",WEEKDAY($A285,2)&lt;=5,$A285='Recurring Schedule'!$F$9))),4,""))))</f>
        <v/>
      </c>
      <c r="F285">
        <f>IF('Recurring Schedule'!$C$10="","",IF('Recurring Schedule'!$F$10="","",IF(OR($A285&lt;'Recurring Schedule'!$F$10,$A285&gt;'Recurring Schedule'!$P$10),"",IF(IF('Recurring Schedule'!$N$10&gt;0,MOD($A285-'Recurring Schedule'!$F$10,'Recurring Schedule'!$N$10)=0,IF('Recurring Schedule'!$O$10&gt;0,AND(DAY($A285)=MIN(DAY('Recurring Schedule'!$F$10),DAY(EOMONTH($A285,0))),MOD((YEAR($A285)-YEAR('Recurring Schedule'!$F$10))*12+MONTH($A285)-MONTH('Recurring Schedule'!$F$10),'Recurring Schedule'!$O$10)=0),IF('Recurring Schedule'!$E$10="Weekdays",WEEKDAY($A285,2)&lt;=5,$A285='Recurring Schedule'!$F$10))),5,""))))</f>
        <v/>
      </c>
      <c r="G285">
        <f>IF('Recurring Schedule'!$C$11="","",IF('Recurring Schedule'!$F$11="","",IF(OR($A285&lt;'Recurring Schedule'!$F$11,$A285&gt;'Recurring Schedule'!$P$11),"",IF(IF('Recurring Schedule'!$N$11&gt;0,MOD($A285-'Recurring Schedule'!$F$11,'Recurring Schedule'!$N$11)=0,IF('Recurring Schedule'!$O$11&gt;0,AND(DAY($A285)=MIN(DAY('Recurring Schedule'!$F$11),DAY(EOMONTH($A285,0))),MOD((YEAR($A285)-YEAR('Recurring Schedule'!$F$11))*12+MONTH($A285)-MONTH('Recurring Schedule'!$F$11),'Recurring Schedule'!$O$11)=0),IF('Recurring Schedule'!$E$11="Weekdays",WEEKDAY($A285,2)&lt;=5,$A285='Recurring Schedule'!$F$11))),6,""))))</f>
        <v/>
      </c>
      <c r="H285">
        <f>IF('Recurring Schedule'!$C$12="","",IF('Recurring Schedule'!$F$12="","",IF(OR($A285&lt;'Recurring Schedule'!$F$12,$A285&gt;'Recurring Schedule'!$P$12),"",IF(IF('Recurring Schedule'!$N$12&gt;0,MOD($A285-'Recurring Schedule'!$F$12,'Recurring Schedule'!$N$12)=0,IF('Recurring Schedule'!$O$12&gt;0,AND(DAY($A285)=MIN(DAY('Recurring Schedule'!$F$12),DAY(EOMONTH($A285,0))),MOD((YEAR($A285)-YEAR('Recurring Schedule'!$F$12))*12+MONTH($A285)-MONTH('Recurring Schedule'!$F$12),'Recurring Schedule'!$O$12)=0),IF('Recurring Schedule'!$E$12="Weekdays",WEEKDAY($A285,2)&lt;=5,$A285='Recurring Schedule'!$F$12))),7,""))))</f>
        <v/>
      </c>
      <c r="I285">
        <f>IF('Recurring Schedule'!$C$13="","",IF('Recurring Schedule'!$F$13="","",IF(OR($A285&lt;'Recurring Schedule'!$F$13,$A285&gt;'Recurring Schedule'!$P$13),"",IF(IF('Recurring Schedule'!$N$13&gt;0,MOD($A285-'Recurring Schedule'!$F$13,'Recurring Schedule'!$N$13)=0,IF('Recurring Schedule'!$O$13&gt;0,AND(DAY($A285)=MIN(DAY('Recurring Schedule'!$F$13),DAY(EOMONTH($A285,0))),MOD((YEAR($A285)-YEAR('Recurring Schedule'!$F$13))*12+MONTH($A285)-MONTH('Recurring Schedule'!$F$13),'Recurring Schedule'!$O$13)=0),IF('Recurring Schedule'!$E$13="Weekdays",WEEKDAY($A285,2)&lt;=5,$A285='Recurring Schedule'!$F$13))),8,""))))</f>
        <v/>
      </c>
      <c r="J285">
        <f>IF('Recurring Schedule'!$C$14="","",IF('Recurring Schedule'!$F$14="","",IF(OR($A285&lt;'Recurring Schedule'!$F$14,$A285&gt;'Recurring Schedule'!$P$14),"",IF(IF('Recurring Schedule'!$N$14&gt;0,MOD($A285-'Recurring Schedule'!$F$14,'Recurring Schedule'!$N$14)=0,IF('Recurring Schedule'!$O$14&gt;0,AND(DAY($A285)=MIN(DAY('Recurring Schedule'!$F$14),DAY(EOMONTH($A285,0))),MOD((YEAR($A285)-YEAR('Recurring Schedule'!$F$14))*12+MONTH($A285)-MONTH('Recurring Schedule'!$F$14),'Recurring Schedule'!$O$14)=0),IF('Recurring Schedule'!$E$14="Weekdays",WEEKDAY($A285,2)&lt;=5,$A285='Recurring Schedule'!$F$14))),9,""))))</f>
        <v/>
      </c>
      <c r="K285">
        <f>IF('Recurring Schedule'!$C$15="","",IF('Recurring Schedule'!$F$15="","",IF(OR($A285&lt;'Recurring Schedule'!$F$15,$A285&gt;'Recurring Schedule'!$P$15),"",IF(IF('Recurring Schedule'!$N$15&gt;0,MOD($A285-'Recurring Schedule'!$F$15,'Recurring Schedule'!$N$15)=0,IF('Recurring Schedule'!$O$15&gt;0,AND(DAY($A285)=MIN(DAY('Recurring Schedule'!$F$15),DAY(EOMONTH($A285,0))),MOD((YEAR($A285)-YEAR('Recurring Schedule'!$F$15))*12+MONTH($A285)-MONTH('Recurring Schedule'!$F$15),'Recurring Schedule'!$O$15)=0),IF('Recurring Schedule'!$E$15="Weekdays",WEEKDAY($A285,2)&lt;=5,$A285='Recurring Schedule'!$F$15))),10,""))))</f>
        <v/>
      </c>
      <c r="L285">
        <f>IF('Recurring Schedule'!$C$16="","",IF('Recurring Schedule'!$F$16="","",IF(OR($A285&lt;'Recurring Schedule'!$F$16,$A285&gt;'Recurring Schedule'!$P$16),"",IF(IF('Recurring Schedule'!$N$16&gt;0,MOD($A285-'Recurring Schedule'!$F$16,'Recurring Schedule'!$N$16)=0,IF('Recurring Schedule'!$O$16&gt;0,AND(DAY($A285)=MIN(DAY('Recurring Schedule'!$F$16),DAY(EOMONTH($A285,0))),MOD((YEAR($A285)-YEAR('Recurring Schedule'!$F$16))*12+MONTH($A285)-MONTH('Recurring Schedule'!$F$16),'Recurring Schedule'!$O$16)=0),IF('Recurring Schedule'!$E$16="Weekdays",WEEKDAY($A285,2)&lt;=5,$A285='Recurring Schedule'!$F$16))),11,""))))</f>
        <v/>
      </c>
      <c r="M285">
        <f>IF('Recurring Schedule'!$C$17="","",IF('Recurring Schedule'!$F$17="","",IF(OR($A285&lt;'Recurring Schedule'!$F$17,$A285&gt;'Recurring Schedule'!$P$17),"",IF(IF('Recurring Schedule'!$N$17&gt;0,MOD($A285-'Recurring Schedule'!$F$17,'Recurring Schedule'!$N$17)=0,IF('Recurring Schedule'!$O$17&gt;0,AND(DAY($A285)=MIN(DAY('Recurring Schedule'!$F$17),DAY(EOMONTH($A285,0))),MOD((YEAR($A285)-YEAR('Recurring Schedule'!$F$17))*12+MONTH($A285)-MONTH('Recurring Schedule'!$F$17),'Recurring Schedule'!$O$17)=0),IF('Recurring Schedule'!$E$17="Weekdays",WEEKDAY($A285,2)&lt;=5,$A285='Recurring Schedule'!$F$17))),12,""))))</f>
        <v/>
      </c>
      <c r="N285">
        <f>IF('Recurring Schedule'!$C$18="","",IF('Recurring Schedule'!$F$18="","",IF(OR($A285&lt;'Recurring Schedule'!$F$18,$A285&gt;'Recurring Schedule'!$P$18),"",IF(IF('Recurring Schedule'!$N$18&gt;0,MOD($A285-'Recurring Schedule'!$F$18,'Recurring Schedule'!$N$18)=0,IF('Recurring Schedule'!$O$18&gt;0,AND(DAY($A285)=MIN(DAY('Recurring Schedule'!$F$18),DAY(EOMONTH($A285,0))),MOD((YEAR($A285)-YEAR('Recurring Schedule'!$F$18))*12+MONTH($A285)-MONTH('Recurring Schedule'!$F$18),'Recurring Schedule'!$O$18)=0),IF('Recurring Schedule'!$E$18="Weekdays",WEEKDAY($A285,2)&lt;=5,$A285='Recurring Schedule'!$F$18))),13,""))))</f>
        <v/>
      </c>
      <c r="O285">
        <f>IF('Recurring Schedule'!$C$19="","",IF('Recurring Schedule'!$F$19="","",IF(OR($A285&lt;'Recurring Schedule'!$F$19,$A285&gt;'Recurring Schedule'!$P$19),"",IF(IF('Recurring Schedule'!$N$19&gt;0,MOD($A285-'Recurring Schedule'!$F$19,'Recurring Schedule'!$N$19)=0,IF('Recurring Schedule'!$O$19&gt;0,AND(DAY($A285)=MIN(DAY('Recurring Schedule'!$F$19),DAY(EOMONTH($A285,0))),MOD((YEAR($A285)-YEAR('Recurring Schedule'!$F$19))*12+MONTH($A285)-MONTH('Recurring Schedule'!$F$19),'Recurring Schedule'!$O$19)=0),IF('Recurring Schedule'!$E$19="Weekdays",WEEKDAY($A285,2)&lt;=5,$A285='Recurring Schedule'!$F$19))),14,""))))</f>
        <v/>
      </c>
      <c r="P285">
        <f>IF('Recurring Schedule'!$C$20="","",IF('Recurring Schedule'!$F$20="","",IF(OR($A285&lt;'Recurring Schedule'!$F$20,$A285&gt;'Recurring Schedule'!$P$20),"",IF(IF('Recurring Schedule'!$N$20&gt;0,MOD($A285-'Recurring Schedule'!$F$20,'Recurring Schedule'!$N$20)=0,IF('Recurring Schedule'!$O$20&gt;0,AND(DAY($A285)=MIN(DAY('Recurring Schedule'!$F$20),DAY(EOMONTH($A285,0))),MOD((YEAR($A285)-YEAR('Recurring Schedule'!$F$20))*12+MONTH($A285)-MONTH('Recurring Schedule'!$F$20),'Recurring Schedule'!$O$20)=0),IF('Recurring Schedule'!$E$20="Weekdays",WEEKDAY($A285,2)&lt;=5,$A285='Recurring Schedule'!$F$20))),15,""))))</f>
        <v/>
      </c>
      <c r="Q285">
        <f>IF('Recurring Schedule'!$C$21="","",IF('Recurring Schedule'!$F$21="","",IF(OR($A285&lt;'Recurring Schedule'!$F$21,$A285&gt;'Recurring Schedule'!$P$21),"",IF(IF('Recurring Schedule'!$N$21&gt;0,MOD($A285-'Recurring Schedule'!$F$21,'Recurring Schedule'!$N$21)=0,IF('Recurring Schedule'!$O$21&gt;0,AND(DAY($A285)=MIN(DAY('Recurring Schedule'!$F$21),DAY(EOMONTH($A285,0))),MOD((YEAR($A285)-YEAR('Recurring Schedule'!$F$21))*12+MONTH($A285)-MONTH('Recurring Schedule'!$F$21),'Recurring Schedule'!$O$21)=0),IF('Recurring Schedule'!$E$21="Weekdays",WEEKDAY($A285,2)&lt;=5,$A285='Recurring Schedule'!$F$21))),16,""))))</f>
        <v/>
      </c>
      <c r="R285">
        <f>IF('Recurring Schedule'!$C$22="","",IF('Recurring Schedule'!$F$22="","",IF(OR($A285&lt;'Recurring Schedule'!$F$22,$A285&gt;'Recurring Schedule'!$P$22),"",IF(IF('Recurring Schedule'!$N$22&gt;0,MOD($A285-'Recurring Schedule'!$F$22,'Recurring Schedule'!$N$22)=0,IF('Recurring Schedule'!$O$22&gt;0,AND(DAY($A285)=MIN(DAY('Recurring Schedule'!$F$22),DAY(EOMONTH($A285,0))),MOD((YEAR($A285)-YEAR('Recurring Schedule'!$F$22))*12+MONTH($A285)-MONTH('Recurring Schedule'!$F$22),'Recurring Schedule'!$O$22)=0),IF('Recurring Schedule'!$E$22="Weekdays",WEEKDAY($A285,2)&lt;=5,$A285='Recurring Schedule'!$F$22))),17,""))))</f>
        <v/>
      </c>
      <c r="S285">
        <f>IF('Recurring Schedule'!$C$23="","",IF('Recurring Schedule'!$F$23="","",IF(OR($A285&lt;'Recurring Schedule'!$F$23,$A285&gt;'Recurring Schedule'!$P$23),"",IF(IF('Recurring Schedule'!$N$23&gt;0,MOD($A285-'Recurring Schedule'!$F$23,'Recurring Schedule'!$N$23)=0,IF('Recurring Schedule'!$O$23&gt;0,AND(DAY($A285)=MIN(DAY('Recurring Schedule'!$F$23),DAY(EOMONTH($A285,0))),MOD((YEAR($A285)-YEAR('Recurring Schedule'!$F$23))*12+MONTH($A285)-MONTH('Recurring Schedule'!$F$23),'Recurring Schedule'!$O$23)=0),IF('Recurring Schedule'!$E$23="Weekdays",WEEKDAY($A285,2)&lt;=5,$A285='Recurring Schedule'!$F$23))),18,""))))</f>
        <v/>
      </c>
      <c r="T285">
        <f>IF('Recurring Schedule'!$C$24="","",IF('Recurring Schedule'!$F$24="","",IF(OR($A285&lt;'Recurring Schedule'!$F$24,$A285&gt;'Recurring Schedule'!$P$24),"",IF(IF('Recurring Schedule'!$N$24&gt;0,MOD($A285-'Recurring Schedule'!$F$24,'Recurring Schedule'!$N$24)=0,IF('Recurring Schedule'!$O$24&gt;0,AND(DAY($A285)=MIN(DAY('Recurring Schedule'!$F$24),DAY(EOMONTH($A285,0))),MOD((YEAR($A285)-YEAR('Recurring Schedule'!$F$24))*12+MONTH($A285)-MONTH('Recurring Schedule'!$F$24),'Recurring Schedule'!$O$24)=0),IF('Recurring Schedule'!$E$24="Weekdays",WEEKDAY($A285,2)&lt;=5,$A285='Recurring Schedule'!$F$24))),19,""))))</f>
        <v/>
      </c>
      <c r="U285">
        <f>IF('Recurring Schedule'!$C$25="","",IF('Recurring Schedule'!$F$25="","",IF(OR($A285&lt;'Recurring Schedule'!$F$25,$A285&gt;'Recurring Schedule'!$P$25),"",IF(IF('Recurring Schedule'!$N$25&gt;0,MOD($A285-'Recurring Schedule'!$F$25,'Recurring Schedule'!$N$25)=0,IF('Recurring Schedule'!$O$25&gt;0,AND(DAY($A285)=MIN(DAY('Recurring Schedule'!$F$25),DAY(EOMONTH($A285,0))),MOD((YEAR($A285)-YEAR('Recurring Schedule'!$F$25))*12+MONTH($A285)-MONTH('Recurring Schedule'!$F$25),'Recurring Schedule'!$O$25)=0),IF('Recurring Schedule'!$E$25="Weekdays",WEEKDAY($A285,2)&lt;=5,$A285='Recurring Schedule'!$F$25))),20,""))))</f>
        <v/>
      </c>
      <c r="V285">
        <f>IF('Recurring Schedule'!$C$26="","",IF('Recurring Schedule'!$F$26="","",IF(OR($A285&lt;'Recurring Schedule'!$F$26,$A285&gt;'Recurring Schedule'!$P$26),"",IF(IF('Recurring Schedule'!$N$26&gt;0,MOD($A285-'Recurring Schedule'!$F$26,'Recurring Schedule'!$N$26)=0,IF('Recurring Schedule'!$O$26&gt;0,AND(DAY($A285)=MIN(DAY('Recurring Schedule'!$F$26),DAY(EOMONTH($A285,0))),MOD((YEAR($A285)-YEAR('Recurring Schedule'!$F$26))*12+MONTH($A285)-MONTH('Recurring Schedule'!$F$26),'Recurring Schedule'!$O$26)=0),IF('Recurring Schedule'!$E$26="Weekdays",WEEKDAY($A285,2)&lt;=5,$A285='Recurring Schedule'!$F$26))),21,""))))</f>
        <v/>
      </c>
      <c r="W285">
        <f>IF('Recurring Schedule'!$C$27="","",IF('Recurring Schedule'!$F$27="","",IF(OR($A285&lt;'Recurring Schedule'!$F$27,$A285&gt;'Recurring Schedule'!$P$27),"",IF(IF('Recurring Schedule'!$N$27&gt;0,MOD($A285-'Recurring Schedule'!$F$27,'Recurring Schedule'!$N$27)=0,IF('Recurring Schedule'!$O$27&gt;0,AND(DAY($A285)=MIN(DAY('Recurring Schedule'!$F$27),DAY(EOMONTH($A285,0))),MOD((YEAR($A285)-YEAR('Recurring Schedule'!$F$27))*12+MONTH($A285)-MONTH('Recurring Schedule'!$F$27),'Recurring Schedule'!$O$27)=0),IF('Recurring Schedule'!$E$27="Weekdays",WEEKDAY($A285,2)&lt;=5,$A285='Recurring Schedule'!$F$27))),22,""))))</f>
        <v/>
      </c>
      <c r="X285">
        <f>IF('Recurring Schedule'!$C$28="","",IF('Recurring Schedule'!$F$28="","",IF(OR($A285&lt;'Recurring Schedule'!$F$28,$A285&gt;'Recurring Schedule'!$P$28),"",IF(IF('Recurring Schedule'!$N$28&gt;0,MOD($A285-'Recurring Schedule'!$F$28,'Recurring Schedule'!$N$28)=0,IF('Recurring Schedule'!$O$28&gt;0,AND(DAY($A285)=MIN(DAY('Recurring Schedule'!$F$28),DAY(EOMONTH($A285,0))),MOD((YEAR($A285)-YEAR('Recurring Schedule'!$F$28))*12+MONTH($A285)-MONTH('Recurring Schedule'!$F$28),'Recurring Schedule'!$O$28)=0),IF('Recurring Schedule'!$E$28="Weekdays",WEEKDAY($A285,2)&lt;=5,$A285='Recurring Schedule'!$F$28))),23,""))))</f>
        <v/>
      </c>
      <c r="Y285">
        <f>IF('Recurring Schedule'!$C$29="","",IF('Recurring Schedule'!$F$29="","",IF(OR($A285&lt;'Recurring Schedule'!$F$29,$A285&gt;'Recurring Schedule'!$P$29),"",IF(IF('Recurring Schedule'!$N$29&gt;0,MOD($A285-'Recurring Schedule'!$F$29,'Recurring Schedule'!$N$29)=0,IF('Recurring Schedule'!$O$29&gt;0,AND(DAY($A285)=MIN(DAY('Recurring Schedule'!$F$29),DAY(EOMONTH($A285,0))),MOD((YEAR($A285)-YEAR('Recurring Schedule'!$F$29))*12+MONTH($A285)-MONTH('Recurring Schedule'!$F$29),'Recurring Schedule'!$O$29)=0),IF('Recurring Schedule'!$E$29="Weekdays",WEEKDAY($A285,2)&lt;=5,$A285='Recurring Schedule'!$F$29))),24,""))))</f>
        <v/>
      </c>
      <c r="Z285">
        <f>IF('Recurring Schedule'!$C$30="","",IF('Recurring Schedule'!$F$30="","",IF(OR($A285&lt;'Recurring Schedule'!$F$30,$A285&gt;'Recurring Schedule'!$P$30),"",IF(IF('Recurring Schedule'!$N$30&gt;0,MOD($A285-'Recurring Schedule'!$F$30,'Recurring Schedule'!$N$30)=0,IF('Recurring Schedule'!$O$30&gt;0,AND(DAY($A285)=MIN(DAY('Recurring Schedule'!$F$30),DAY(EOMONTH($A285,0))),MOD((YEAR($A285)-YEAR('Recurring Schedule'!$F$30))*12+MONTH($A285)-MONTH('Recurring Schedule'!$F$30),'Recurring Schedule'!$O$30)=0),IF('Recurring Schedule'!$E$30="Weekdays",WEEKDAY($A285,2)&lt;=5,$A285='Recurring Schedule'!$F$30))),25,""))))</f>
        <v/>
      </c>
      <c r="AA285">
        <f>IF('Recurring Schedule'!$C$31="","",IF('Recurring Schedule'!$F$31="","",IF(OR($A285&lt;'Recurring Schedule'!$F$31,$A285&gt;'Recurring Schedule'!$P$31),"",IF(IF('Recurring Schedule'!$N$31&gt;0,MOD($A285-'Recurring Schedule'!$F$31,'Recurring Schedule'!$N$31)=0,IF('Recurring Schedule'!$O$31&gt;0,AND(DAY($A285)=MIN(DAY('Recurring Schedule'!$F$31),DAY(EOMONTH($A285,0))),MOD((YEAR($A285)-YEAR('Recurring Schedule'!$F$31))*12+MONTH($A285)-MONTH('Recurring Schedule'!$F$31),'Recurring Schedule'!$O$31)=0),IF('Recurring Schedule'!$E$31="Weekdays",WEEKDAY($A285,2)&lt;=5,$A285='Recurring Schedule'!$F$31))),26,""))))</f>
        <v/>
      </c>
      <c r="AB285">
        <f>IF('Recurring Schedule'!$C$32="","",IF('Recurring Schedule'!$F$32="","",IF(OR($A285&lt;'Recurring Schedule'!$F$32,$A285&gt;'Recurring Schedule'!$P$32),"",IF(IF('Recurring Schedule'!$N$32&gt;0,MOD($A285-'Recurring Schedule'!$F$32,'Recurring Schedule'!$N$32)=0,IF('Recurring Schedule'!$O$32&gt;0,AND(DAY($A285)=MIN(DAY('Recurring Schedule'!$F$32),DAY(EOMONTH($A285,0))),MOD((YEAR($A285)-YEAR('Recurring Schedule'!$F$32))*12+MONTH($A285)-MONTH('Recurring Schedule'!$F$32),'Recurring Schedule'!$O$32)=0),IF('Recurring Schedule'!$E$32="Weekdays",WEEKDAY($A285,2)&lt;=5,$A285='Recurring Schedule'!$F$32))),27,""))))</f>
        <v/>
      </c>
      <c r="AC285">
        <f>IF('Recurring Schedule'!$C$33="","",IF('Recurring Schedule'!$F$33="","",IF(OR($A285&lt;'Recurring Schedule'!$F$33,$A285&gt;'Recurring Schedule'!$P$33),"",IF(IF('Recurring Schedule'!$N$33&gt;0,MOD($A285-'Recurring Schedule'!$F$33,'Recurring Schedule'!$N$33)=0,IF('Recurring Schedule'!$O$33&gt;0,AND(DAY($A285)=MIN(DAY('Recurring Schedule'!$F$33),DAY(EOMONTH($A285,0))),MOD((YEAR($A285)-YEAR('Recurring Schedule'!$F$33))*12+MONTH($A285)-MONTH('Recurring Schedule'!$F$33),'Recurring Schedule'!$O$33)=0),IF('Recurring Schedule'!$E$33="Weekdays",WEEKDAY($A285,2)&lt;=5,$A285='Recurring Schedule'!$F$33))),28,""))))</f>
        <v/>
      </c>
      <c r="AD285">
        <f>IF('Recurring Schedule'!$C$34="","",IF('Recurring Schedule'!$F$34="","",IF(OR($A285&lt;'Recurring Schedule'!$F$34,$A285&gt;'Recurring Schedule'!$P$34),"",IF(IF('Recurring Schedule'!$N$34&gt;0,MOD($A285-'Recurring Schedule'!$F$34,'Recurring Schedule'!$N$34)=0,IF('Recurring Schedule'!$O$34&gt;0,AND(DAY($A285)=MIN(DAY('Recurring Schedule'!$F$34),DAY(EOMONTH($A285,0))),MOD((YEAR($A285)-YEAR('Recurring Schedule'!$F$34))*12+MONTH($A285)-MONTH('Recurring Schedule'!$F$34),'Recurring Schedule'!$O$34)=0),IF('Recurring Schedule'!$E$34="Weekdays",WEEKDAY($A285,2)&lt;=5,$A285='Recurring Schedule'!$F$34))),29,""))))</f>
        <v/>
      </c>
      <c r="AE285">
        <f>IF('Recurring Schedule'!$C$35="","",IF('Recurring Schedule'!$F$35="","",IF(OR($A285&lt;'Recurring Schedule'!$F$35,$A285&gt;'Recurring Schedule'!$P$35),"",IF(IF('Recurring Schedule'!$N$35&gt;0,MOD($A285-'Recurring Schedule'!$F$35,'Recurring Schedule'!$N$35)=0,IF('Recurring Schedule'!$O$35&gt;0,AND(DAY($A285)=MIN(DAY('Recurring Schedule'!$F$35),DAY(EOMONTH($A285,0))),MOD((YEAR($A285)-YEAR('Recurring Schedule'!$F$35))*12+MONTH($A285)-MONTH('Recurring Schedule'!$F$35),'Recurring Schedule'!$O$35)=0),IF('Recurring Schedule'!$E$35="Weekdays",WEEKDAY($A285,2)&lt;=5,$A285='Recurring Schedule'!$F$35))),30,""))))</f>
        <v/>
      </c>
      <c r="AF285">
        <f>IF('Recurring Schedule'!$C$36="","",IF('Recurring Schedule'!$F$36="","",IF(OR($A285&lt;'Recurring Schedule'!$F$36,$A285&gt;'Recurring Schedule'!$P$36),"",IF(IF('Recurring Schedule'!$N$36&gt;0,MOD($A285-'Recurring Schedule'!$F$36,'Recurring Schedule'!$N$36)=0,IF('Recurring Schedule'!$O$36&gt;0,AND(DAY($A285)=MIN(DAY('Recurring Schedule'!$F$36),DAY(EOMONTH($A285,0))),MOD((YEAR($A285)-YEAR('Recurring Schedule'!$F$36))*12+MONTH($A285)-MONTH('Recurring Schedule'!$F$36),'Recurring Schedule'!$O$36)=0),IF('Recurring Schedule'!$E$36="Weekdays",WEEKDAY($A285,2)&lt;=5,$A285='Recurring Schedule'!$F$36))),31,""))))</f>
        <v/>
      </c>
      <c r="AG285">
        <f>IF('Recurring Schedule'!$C$37="","",IF('Recurring Schedule'!$F$37="","",IF(OR($A285&lt;'Recurring Schedule'!$F$37,$A285&gt;'Recurring Schedule'!$P$37),"",IF(IF('Recurring Schedule'!$N$37&gt;0,MOD($A285-'Recurring Schedule'!$F$37,'Recurring Schedule'!$N$37)=0,IF('Recurring Schedule'!$O$37&gt;0,AND(DAY($A285)=MIN(DAY('Recurring Schedule'!$F$37),DAY(EOMONTH($A285,0))),MOD((YEAR($A285)-YEAR('Recurring Schedule'!$F$37))*12+MONTH($A285)-MONTH('Recurring Schedule'!$F$37),'Recurring Schedule'!$O$37)=0),IF('Recurring Schedule'!$E$37="Weekdays",WEEKDAY($A285,2)&lt;=5,$A285='Recurring Schedule'!$F$37))),32,""))))</f>
        <v/>
      </c>
      <c r="AH285">
        <f>IF('Recurring Schedule'!$C$38="","",IF('Recurring Schedule'!$F$38="","",IF(OR($A285&lt;'Recurring Schedule'!$F$38,$A285&gt;'Recurring Schedule'!$P$38),"",IF(IF('Recurring Schedule'!$N$38&gt;0,MOD($A285-'Recurring Schedule'!$F$38,'Recurring Schedule'!$N$38)=0,IF('Recurring Schedule'!$O$38&gt;0,AND(DAY($A285)=MIN(DAY('Recurring Schedule'!$F$38),DAY(EOMONTH($A285,0))),MOD((YEAR($A285)-YEAR('Recurring Schedule'!$F$38))*12+MONTH($A285)-MONTH('Recurring Schedule'!$F$38),'Recurring Schedule'!$O$38)=0),IF('Recurring Schedule'!$E$38="Weekdays",WEEKDAY($A285,2)&lt;=5,$A285='Recurring Schedule'!$F$38))),33,""))))</f>
        <v/>
      </c>
      <c r="AI285">
        <f>IF('Recurring Schedule'!$C$39="","",IF('Recurring Schedule'!$F$39="","",IF(OR($A285&lt;'Recurring Schedule'!$F$39,$A285&gt;'Recurring Schedule'!$P$39),"",IF(IF('Recurring Schedule'!$N$39&gt;0,MOD($A285-'Recurring Schedule'!$F$39,'Recurring Schedule'!$N$39)=0,IF('Recurring Schedule'!$O$39&gt;0,AND(DAY($A285)=MIN(DAY('Recurring Schedule'!$F$39),DAY(EOMONTH($A285,0))),MOD((YEAR($A285)-YEAR('Recurring Schedule'!$F$39))*12+MONTH($A285)-MONTH('Recurring Schedule'!$F$39),'Recurring Schedule'!$O$39)=0),IF('Recurring Schedule'!$E$39="Weekdays",WEEKDAY($A285,2)&lt;=5,$A285='Recurring Schedule'!$F$39))),34,""))))</f>
        <v/>
      </c>
      <c r="AJ285">
        <f>IF('Recurring Schedule'!$C$40="","",IF('Recurring Schedule'!$F$40="","",IF(OR($A285&lt;'Recurring Schedule'!$F$40,$A285&gt;'Recurring Schedule'!$P$40),"",IF(IF('Recurring Schedule'!$N$40&gt;0,MOD($A285-'Recurring Schedule'!$F$40,'Recurring Schedule'!$N$40)=0,IF('Recurring Schedule'!$O$40&gt;0,AND(DAY($A285)=MIN(DAY('Recurring Schedule'!$F$40),DAY(EOMONTH($A285,0))),MOD((YEAR($A285)-YEAR('Recurring Schedule'!$F$40))*12+MONTH($A285)-MONTH('Recurring Schedule'!$F$40),'Recurring Schedule'!$O$40)=0),IF('Recurring Schedule'!$E$40="Weekdays",WEEKDAY($A285,2)&lt;=5,$A285='Recurring Schedule'!$F$40))),35,""))))</f>
        <v/>
      </c>
      <c r="AK285">
        <f>IF('Recurring Schedule'!$C$41="","",IF('Recurring Schedule'!$F$41="","",IF(OR($A285&lt;'Recurring Schedule'!$F$41,$A285&gt;'Recurring Schedule'!$P$41),"",IF(IF('Recurring Schedule'!$N$41&gt;0,MOD($A285-'Recurring Schedule'!$F$41,'Recurring Schedule'!$N$41)=0,IF('Recurring Schedule'!$O$41&gt;0,AND(DAY($A285)=MIN(DAY('Recurring Schedule'!$F$41),DAY(EOMONTH($A285,0))),MOD((YEAR($A285)-YEAR('Recurring Schedule'!$F$41))*12+MONTH($A285)-MONTH('Recurring Schedule'!$F$41),'Recurring Schedule'!$O$41)=0),IF('Recurring Schedule'!$E$41="Weekdays",WEEKDAY($A285,2)&lt;=5,$A285='Recurring Schedule'!$F$41))),36,""))))</f>
        <v/>
      </c>
      <c r="AL285">
        <f>IF('Recurring Schedule'!$C$42="","",IF('Recurring Schedule'!$F$42="","",IF(OR($A285&lt;'Recurring Schedule'!$F$42,$A285&gt;'Recurring Schedule'!$P$42),"",IF(IF('Recurring Schedule'!$N$42&gt;0,MOD($A285-'Recurring Schedule'!$F$42,'Recurring Schedule'!$N$42)=0,IF('Recurring Schedule'!$O$42&gt;0,AND(DAY($A285)=MIN(DAY('Recurring Schedule'!$F$42),DAY(EOMONTH($A285,0))),MOD((YEAR($A285)-YEAR('Recurring Schedule'!$F$42))*12+MONTH($A285)-MONTH('Recurring Schedule'!$F$42),'Recurring Schedule'!$O$42)=0),IF('Recurring Schedule'!$E$42="Weekdays",WEEKDAY($A285,2)&lt;=5,$A285='Recurring Schedule'!$F$42))),37,""))))</f>
        <v/>
      </c>
      <c r="AM285">
        <f>IF('Recurring Schedule'!$C$43="","",IF('Recurring Schedule'!$F$43="","",IF(OR($A285&lt;'Recurring Schedule'!$F$43,$A285&gt;'Recurring Schedule'!$P$43),"",IF(IF('Recurring Schedule'!$N$43&gt;0,MOD($A285-'Recurring Schedule'!$F$43,'Recurring Schedule'!$N$43)=0,IF('Recurring Schedule'!$O$43&gt;0,AND(DAY($A285)=MIN(DAY('Recurring Schedule'!$F$43),DAY(EOMONTH($A285,0))),MOD((YEAR($A285)-YEAR('Recurring Schedule'!$F$43))*12+MONTH($A285)-MONTH('Recurring Schedule'!$F$43),'Recurring Schedule'!$O$43)=0),IF('Recurring Schedule'!$E$43="Weekdays",WEEKDAY($A285,2)&lt;=5,$A285='Recurring Schedule'!$F$43))),38,""))))</f>
        <v/>
      </c>
      <c r="AN285">
        <f>IF('Recurring Schedule'!$C$44="","",IF('Recurring Schedule'!$F$44="","",IF(OR($A285&lt;'Recurring Schedule'!$F$44,$A285&gt;'Recurring Schedule'!$P$44),"",IF(IF('Recurring Schedule'!$N$44&gt;0,MOD($A285-'Recurring Schedule'!$F$44,'Recurring Schedule'!$N$44)=0,IF('Recurring Schedule'!$O$44&gt;0,AND(DAY($A285)=MIN(DAY('Recurring Schedule'!$F$44),DAY(EOMONTH($A285,0))),MOD((YEAR($A285)-YEAR('Recurring Schedule'!$F$44))*12+MONTH($A285)-MONTH('Recurring Schedule'!$F$44),'Recurring Schedule'!$O$44)=0),IF('Recurring Schedule'!$E$44="Weekdays",WEEKDAY($A285,2)&lt;=5,$A285='Recurring Schedule'!$F$44))),39,""))))</f>
        <v/>
      </c>
      <c r="AO285">
        <f>IF('Recurring Schedule'!$C$45="","",IF('Recurring Schedule'!$F$45="","",IF(OR($A285&lt;'Recurring Schedule'!$F$45,$A285&gt;'Recurring Schedule'!$P$45),"",IF(IF('Recurring Schedule'!$N$45&gt;0,MOD($A285-'Recurring Schedule'!$F$45,'Recurring Schedule'!$N$45)=0,IF('Recurring Schedule'!$O$45&gt;0,AND(DAY($A285)=MIN(DAY('Recurring Schedule'!$F$45),DAY(EOMONTH($A285,0))),MOD((YEAR($A285)-YEAR('Recurring Schedule'!$F$45))*12+MONTH($A285)-MONTH('Recurring Schedule'!$F$45),'Recurring Schedule'!$O$45)=0),IF('Recurring Schedule'!$E$45="Weekdays",WEEKDAY($A285,2)&lt;=5,$A285='Recurring Schedule'!$F$45))),40,""))))</f>
        <v/>
      </c>
      <c r="AP285">
        <f>COUNT(B285:AO285)</f>
        <v/>
      </c>
      <c r="AQ285">
        <f>AQ284+AP284</f>
        <v/>
      </c>
      <c r="AS285" t="inlineStr">
        <is>
          <t>R</t>
        </is>
      </c>
      <c r="AT285" t="n">
        <v>289</v>
      </c>
      <c r="AU285">
        <f>'Recurring Log'!C289&amp;""</f>
        <v/>
      </c>
      <c r="AV285">
        <f>'Recurring Log'!D289&amp;""</f>
        <v/>
      </c>
      <c r="AW285">
        <f>IF('Recurring Log'!E289="","",'Recurring Log'!E289)</f>
        <v/>
      </c>
      <c r="AX285">
        <f>IF('Recurring Log'!G289="","",'Recurring Log'!G289)</f>
        <v/>
      </c>
      <c r="AY285">
        <f>IF('Recurring Log'!H289="","",'Recurring Log'!H289)</f>
        <v/>
      </c>
      <c r="AZ285">
        <f>IF(AU285="","",IF('Recurring Log'!J289="","Not Started",'Recurring Log'!J289))</f>
        <v/>
      </c>
      <c r="BA285">
        <f>'Recurring Log'!L289&amp;""</f>
        <v/>
      </c>
      <c r="BB285">
        <f>'Recurring Log'!M289&amp;""</f>
        <v/>
      </c>
      <c r="BC285">
        <f>'Recurring Log'!N289&amp;""</f>
        <v/>
      </c>
      <c r="BD285">
        <f>'Recurring Log'!O289&amp;""</f>
        <v/>
      </c>
      <c r="BE285">
        <f>IF('Recurring Log'!K289="","",'Recurring Log'!K289)</f>
        <v/>
      </c>
      <c r="BF285">
        <f>IFERROR(MATCH(BA285,Setup!$L$6:$L$9,0),5)</f>
        <v/>
      </c>
      <c r="BG285">
        <f>IF(OR(AZ285="Done",AZ285="Cancelled"),1,0)</f>
        <v/>
      </c>
      <c r="BH285">
        <f>IF(AND(AU285&lt;&gt;"",ISNUMBER(AW285)),1,0)</f>
        <v/>
      </c>
      <c r="BI285">
        <f>IF(BH285=0,0,IF(AND(AW285&gt;='Tasks Filter'!$F$3,AW285&lt;='Tasks Filter'!$F$4,OR('Tasks Filter'!$I$3="",ISNUMBER(SEARCH('Tasks Filter'!$I$3,AU285))),OR('Tasks Filter'!$I$4="",BF285=IFERROR(MATCH('Tasks Filter'!$I$4,Setup!$L$6:$L$9,0),0)),OR('Tasks Filter'!$I$5="Both",AND('Tasks Filter'!$I$5="Yes",BB285="✓"),AND('Tasks Filter'!$I$5="No",BB285&lt;&gt;"✓")),OR('Tasks Filter'!$L$3="",AV285='Tasks Filter'!$L$3),OR('Tasks Filter'!$L$4="",AZ285='Tasks Filter'!$L$4),OR('Tasks Filter'!$L$5="",BC285='Tasks Filter'!$L$5),OR('Tasks Filter'!$O$3="",BD285='Tasks Filter'!$O$3),OR('Tasks Filter'!$O$4="Yes",BG285=0)),1,0))</f>
        <v/>
      </c>
      <c r="BJ285">
        <f>IF(BH285=0,"",IF('Tasks Filter'!$F$6="Descending",-1,1)*CHOOSE(MATCH('Tasks Filter'!$F$5,Lists!$G$2:$G$6,0),AW285,BF285,IFERROR(MATCH(AV285,Setup!$F$6:$F$15,0),99),IFERROR(MATCH(BC285,Setup!$H$6:$H$15,0),99),IFERROR(MATCH(AZ285,Setup!$J$6:$J$11,0),99))*1E+9+(AW285-40000)*10000+284)</f>
        <v/>
      </c>
      <c r="BK285">
        <f>IF(BI285=1,BJ285,"")</f>
        <v/>
      </c>
      <c r="BL285">
        <f>IF(AND(BH285=1,BG285=0,N(AW285)&lt;Setup!$D$7),(AW285-40000)*10000+284,"")</f>
        <v/>
      </c>
      <c r="BM285">
        <f>IF(AND(BH285=1,AZ285&lt;&gt;"Cancelled",N(AW285)&gt;=Dashboard!$AB$3,N(AW285)&lt;=Dashboard!$AB$3+6),(AW285-40000)*100000+BF285*10000+284,"")</f>
        <v/>
      </c>
      <c r="BN285">
        <f>IF(AND(BH285=1,AZ285&lt;&gt;"Cancelled"),BF285*10000+284,"")</f>
        <v/>
      </c>
    </row>
    <row r="286">
      <c r="A286">
        <f>Setup!$D$5+284</f>
        <v/>
      </c>
      <c r="B286">
        <f>IF('Recurring Schedule'!$C$6="","",IF('Recurring Schedule'!$F$6="","",IF(OR($A286&lt;'Recurring Schedule'!$F$6,$A286&gt;'Recurring Schedule'!$P$6),"",IF(IF('Recurring Schedule'!$N$6&gt;0,MOD($A286-'Recurring Schedule'!$F$6,'Recurring Schedule'!$N$6)=0,IF('Recurring Schedule'!$O$6&gt;0,AND(DAY($A286)=MIN(DAY('Recurring Schedule'!$F$6),DAY(EOMONTH($A286,0))),MOD((YEAR($A286)-YEAR('Recurring Schedule'!$F$6))*12+MONTH($A286)-MONTH('Recurring Schedule'!$F$6),'Recurring Schedule'!$O$6)=0),IF('Recurring Schedule'!$E$6="Weekdays",WEEKDAY($A286,2)&lt;=5,$A286='Recurring Schedule'!$F$6))),1,""))))</f>
        <v/>
      </c>
      <c r="C286">
        <f>IF('Recurring Schedule'!$C$7="","",IF('Recurring Schedule'!$F$7="","",IF(OR($A286&lt;'Recurring Schedule'!$F$7,$A286&gt;'Recurring Schedule'!$P$7),"",IF(IF('Recurring Schedule'!$N$7&gt;0,MOD($A286-'Recurring Schedule'!$F$7,'Recurring Schedule'!$N$7)=0,IF('Recurring Schedule'!$O$7&gt;0,AND(DAY($A286)=MIN(DAY('Recurring Schedule'!$F$7),DAY(EOMONTH($A286,0))),MOD((YEAR($A286)-YEAR('Recurring Schedule'!$F$7))*12+MONTH($A286)-MONTH('Recurring Schedule'!$F$7),'Recurring Schedule'!$O$7)=0),IF('Recurring Schedule'!$E$7="Weekdays",WEEKDAY($A286,2)&lt;=5,$A286='Recurring Schedule'!$F$7))),2,""))))</f>
        <v/>
      </c>
      <c r="D286">
        <f>IF('Recurring Schedule'!$C$8="","",IF('Recurring Schedule'!$F$8="","",IF(OR($A286&lt;'Recurring Schedule'!$F$8,$A286&gt;'Recurring Schedule'!$P$8),"",IF(IF('Recurring Schedule'!$N$8&gt;0,MOD($A286-'Recurring Schedule'!$F$8,'Recurring Schedule'!$N$8)=0,IF('Recurring Schedule'!$O$8&gt;0,AND(DAY($A286)=MIN(DAY('Recurring Schedule'!$F$8),DAY(EOMONTH($A286,0))),MOD((YEAR($A286)-YEAR('Recurring Schedule'!$F$8))*12+MONTH($A286)-MONTH('Recurring Schedule'!$F$8),'Recurring Schedule'!$O$8)=0),IF('Recurring Schedule'!$E$8="Weekdays",WEEKDAY($A286,2)&lt;=5,$A286='Recurring Schedule'!$F$8))),3,""))))</f>
        <v/>
      </c>
      <c r="E286">
        <f>IF('Recurring Schedule'!$C$9="","",IF('Recurring Schedule'!$F$9="","",IF(OR($A286&lt;'Recurring Schedule'!$F$9,$A286&gt;'Recurring Schedule'!$P$9),"",IF(IF('Recurring Schedule'!$N$9&gt;0,MOD($A286-'Recurring Schedule'!$F$9,'Recurring Schedule'!$N$9)=0,IF('Recurring Schedule'!$O$9&gt;0,AND(DAY($A286)=MIN(DAY('Recurring Schedule'!$F$9),DAY(EOMONTH($A286,0))),MOD((YEAR($A286)-YEAR('Recurring Schedule'!$F$9))*12+MONTH($A286)-MONTH('Recurring Schedule'!$F$9),'Recurring Schedule'!$O$9)=0),IF('Recurring Schedule'!$E$9="Weekdays",WEEKDAY($A286,2)&lt;=5,$A286='Recurring Schedule'!$F$9))),4,""))))</f>
        <v/>
      </c>
      <c r="F286">
        <f>IF('Recurring Schedule'!$C$10="","",IF('Recurring Schedule'!$F$10="","",IF(OR($A286&lt;'Recurring Schedule'!$F$10,$A286&gt;'Recurring Schedule'!$P$10),"",IF(IF('Recurring Schedule'!$N$10&gt;0,MOD($A286-'Recurring Schedule'!$F$10,'Recurring Schedule'!$N$10)=0,IF('Recurring Schedule'!$O$10&gt;0,AND(DAY($A286)=MIN(DAY('Recurring Schedule'!$F$10),DAY(EOMONTH($A286,0))),MOD((YEAR($A286)-YEAR('Recurring Schedule'!$F$10))*12+MONTH($A286)-MONTH('Recurring Schedule'!$F$10),'Recurring Schedule'!$O$10)=0),IF('Recurring Schedule'!$E$10="Weekdays",WEEKDAY($A286,2)&lt;=5,$A286='Recurring Schedule'!$F$10))),5,""))))</f>
        <v/>
      </c>
      <c r="G286">
        <f>IF('Recurring Schedule'!$C$11="","",IF('Recurring Schedule'!$F$11="","",IF(OR($A286&lt;'Recurring Schedule'!$F$11,$A286&gt;'Recurring Schedule'!$P$11),"",IF(IF('Recurring Schedule'!$N$11&gt;0,MOD($A286-'Recurring Schedule'!$F$11,'Recurring Schedule'!$N$11)=0,IF('Recurring Schedule'!$O$11&gt;0,AND(DAY($A286)=MIN(DAY('Recurring Schedule'!$F$11),DAY(EOMONTH($A286,0))),MOD((YEAR($A286)-YEAR('Recurring Schedule'!$F$11))*12+MONTH($A286)-MONTH('Recurring Schedule'!$F$11),'Recurring Schedule'!$O$11)=0),IF('Recurring Schedule'!$E$11="Weekdays",WEEKDAY($A286,2)&lt;=5,$A286='Recurring Schedule'!$F$11))),6,""))))</f>
        <v/>
      </c>
      <c r="H286">
        <f>IF('Recurring Schedule'!$C$12="","",IF('Recurring Schedule'!$F$12="","",IF(OR($A286&lt;'Recurring Schedule'!$F$12,$A286&gt;'Recurring Schedule'!$P$12),"",IF(IF('Recurring Schedule'!$N$12&gt;0,MOD($A286-'Recurring Schedule'!$F$12,'Recurring Schedule'!$N$12)=0,IF('Recurring Schedule'!$O$12&gt;0,AND(DAY($A286)=MIN(DAY('Recurring Schedule'!$F$12),DAY(EOMONTH($A286,0))),MOD((YEAR($A286)-YEAR('Recurring Schedule'!$F$12))*12+MONTH($A286)-MONTH('Recurring Schedule'!$F$12),'Recurring Schedule'!$O$12)=0),IF('Recurring Schedule'!$E$12="Weekdays",WEEKDAY($A286,2)&lt;=5,$A286='Recurring Schedule'!$F$12))),7,""))))</f>
        <v/>
      </c>
      <c r="I286">
        <f>IF('Recurring Schedule'!$C$13="","",IF('Recurring Schedule'!$F$13="","",IF(OR($A286&lt;'Recurring Schedule'!$F$13,$A286&gt;'Recurring Schedule'!$P$13),"",IF(IF('Recurring Schedule'!$N$13&gt;0,MOD($A286-'Recurring Schedule'!$F$13,'Recurring Schedule'!$N$13)=0,IF('Recurring Schedule'!$O$13&gt;0,AND(DAY($A286)=MIN(DAY('Recurring Schedule'!$F$13),DAY(EOMONTH($A286,0))),MOD((YEAR($A286)-YEAR('Recurring Schedule'!$F$13))*12+MONTH($A286)-MONTH('Recurring Schedule'!$F$13),'Recurring Schedule'!$O$13)=0),IF('Recurring Schedule'!$E$13="Weekdays",WEEKDAY($A286,2)&lt;=5,$A286='Recurring Schedule'!$F$13))),8,""))))</f>
        <v/>
      </c>
      <c r="J286">
        <f>IF('Recurring Schedule'!$C$14="","",IF('Recurring Schedule'!$F$14="","",IF(OR($A286&lt;'Recurring Schedule'!$F$14,$A286&gt;'Recurring Schedule'!$P$14),"",IF(IF('Recurring Schedule'!$N$14&gt;0,MOD($A286-'Recurring Schedule'!$F$14,'Recurring Schedule'!$N$14)=0,IF('Recurring Schedule'!$O$14&gt;0,AND(DAY($A286)=MIN(DAY('Recurring Schedule'!$F$14),DAY(EOMONTH($A286,0))),MOD((YEAR($A286)-YEAR('Recurring Schedule'!$F$14))*12+MONTH($A286)-MONTH('Recurring Schedule'!$F$14),'Recurring Schedule'!$O$14)=0),IF('Recurring Schedule'!$E$14="Weekdays",WEEKDAY($A286,2)&lt;=5,$A286='Recurring Schedule'!$F$14))),9,""))))</f>
        <v/>
      </c>
      <c r="K286">
        <f>IF('Recurring Schedule'!$C$15="","",IF('Recurring Schedule'!$F$15="","",IF(OR($A286&lt;'Recurring Schedule'!$F$15,$A286&gt;'Recurring Schedule'!$P$15),"",IF(IF('Recurring Schedule'!$N$15&gt;0,MOD($A286-'Recurring Schedule'!$F$15,'Recurring Schedule'!$N$15)=0,IF('Recurring Schedule'!$O$15&gt;0,AND(DAY($A286)=MIN(DAY('Recurring Schedule'!$F$15),DAY(EOMONTH($A286,0))),MOD((YEAR($A286)-YEAR('Recurring Schedule'!$F$15))*12+MONTH($A286)-MONTH('Recurring Schedule'!$F$15),'Recurring Schedule'!$O$15)=0),IF('Recurring Schedule'!$E$15="Weekdays",WEEKDAY($A286,2)&lt;=5,$A286='Recurring Schedule'!$F$15))),10,""))))</f>
        <v/>
      </c>
      <c r="L286">
        <f>IF('Recurring Schedule'!$C$16="","",IF('Recurring Schedule'!$F$16="","",IF(OR($A286&lt;'Recurring Schedule'!$F$16,$A286&gt;'Recurring Schedule'!$P$16),"",IF(IF('Recurring Schedule'!$N$16&gt;0,MOD($A286-'Recurring Schedule'!$F$16,'Recurring Schedule'!$N$16)=0,IF('Recurring Schedule'!$O$16&gt;0,AND(DAY($A286)=MIN(DAY('Recurring Schedule'!$F$16),DAY(EOMONTH($A286,0))),MOD((YEAR($A286)-YEAR('Recurring Schedule'!$F$16))*12+MONTH($A286)-MONTH('Recurring Schedule'!$F$16),'Recurring Schedule'!$O$16)=0),IF('Recurring Schedule'!$E$16="Weekdays",WEEKDAY($A286,2)&lt;=5,$A286='Recurring Schedule'!$F$16))),11,""))))</f>
        <v/>
      </c>
      <c r="M286">
        <f>IF('Recurring Schedule'!$C$17="","",IF('Recurring Schedule'!$F$17="","",IF(OR($A286&lt;'Recurring Schedule'!$F$17,$A286&gt;'Recurring Schedule'!$P$17),"",IF(IF('Recurring Schedule'!$N$17&gt;0,MOD($A286-'Recurring Schedule'!$F$17,'Recurring Schedule'!$N$17)=0,IF('Recurring Schedule'!$O$17&gt;0,AND(DAY($A286)=MIN(DAY('Recurring Schedule'!$F$17),DAY(EOMONTH($A286,0))),MOD((YEAR($A286)-YEAR('Recurring Schedule'!$F$17))*12+MONTH($A286)-MONTH('Recurring Schedule'!$F$17),'Recurring Schedule'!$O$17)=0),IF('Recurring Schedule'!$E$17="Weekdays",WEEKDAY($A286,2)&lt;=5,$A286='Recurring Schedule'!$F$17))),12,""))))</f>
        <v/>
      </c>
      <c r="N286">
        <f>IF('Recurring Schedule'!$C$18="","",IF('Recurring Schedule'!$F$18="","",IF(OR($A286&lt;'Recurring Schedule'!$F$18,$A286&gt;'Recurring Schedule'!$P$18),"",IF(IF('Recurring Schedule'!$N$18&gt;0,MOD($A286-'Recurring Schedule'!$F$18,'Recurring Schedule'!$N$18)=0,IF('Recurring Schedule'!$O$18&gt;0,AND(DAY($A286)=MIN(DAY('Recurring Schedule'!$F$18),DAY(EOMONTH($A286,0))),MOD((YEAR($A286)-YEAR('Recurring Schedule'!$F$18))*12+MONTH($A286)-MONTH('Recurring Schedule'!$F$18),'Recurring Schedule'!$O$18)=0),IF('Recurring Schedule'!$E$18="Weekdays",WEEKDAY($A286,2)&lt;=5,$A286='Recurring Schedule'!$F$18))),13,""))))</f>
        <v/>
      </c>
      <c r="O286">
        <f>IF('Recurring Schedule'!$C$19="","",IF('Recurring Schedule'!$F$19="","",IF(OR($A286&lt;'Recurring Schedule'!$F$19,$A286&gt;'Recurring Schedule'!$P$19),"",IF(IF('Recurring Schedule'!$N$19&gt;0,MOD($A286-'Recurring Schedule'!$F$19,'Recurring Schedule'!$N$19)=0,IF('Recurring Schedule'!$O$19&gt;0,AND(DAY($A286)=MIN(DAY('Recurring Schedule'!$F$19),DAY(EOMONTH($A286,0))),MOD((YEAR($A286)-YEAR('Recurring Schedule'!$F$19))*12+MONTH($A286)-MONTH('Recurring Schedule'!$F$19),'Recurring Schedule'!$O$19)=0),IF('Recurring Schedule'!$E$19="Weekdays",WEEKDAY($A286,2)&lt;=5,$A286='Recurring Schedule'!$F$19))),14,""))))</f>
        <v/>
      </c>
      <c r="P286">
        <f>IF('Recurring Schedule'!$C$20="","",IF('Recurring Schedule'!$F$20="","",IF(OR($A286&lt;'Recurring Schedule'!$F$20,$A286&gt;'Recurring Schedule'!$P$20),"",IF(IF('Recurring Schedule'!$N$20&gt;0,MOD($A286-'Recurring Schedule'!$F$20,'Recurring Schedule'!$N$20)=0,IF('Recurring Schedule'!$O$20&gt;0,AND(DAY($A286)=MIN(DAY('Recurring Schedule'!$F$20),DAY(EOMONTH($A286,0))),MOD((YEAR($A286)-YEAR('Recurring Schedule'!$F$20))*12+MONTH($A286)-MONTH('Recurring Schedule'!$F$20),'Recurring Schedule'!$O$20)=0),IF('Recurring Schedule'!$E$20="Weekdays",WEEKDAY($A286,2)&lt;=5,$A286='Recurring Schedule'!$F$20))),15,""))))</f>
        <v/>
      </c>
      <c r="Q286">
        <f>IF('Recurring Schedule'!$C$21="","",IF('Recurring Schedule'!$F$21="","",IF(OR($A286&lt;'Recurring Schedule'!$F$21,$A286&gt;'Recurring Schedule'!$P$21),"",IF(IF('Recurring Schedule'!$N$21&gt;0,MOD($A286-'Recurring Schedule'!$F$21,'Recurring Schedule'!$N$21)=0,IF('Recurring Schedule'!$O$21&gt;0,AND(DAY($A286)=MIN(DAY('Recurring Schedule'!$F$21),DAY(EOMONTH($A286,0))),MOD((YEAR($A286)-YEAR('Recurring Schedule'!$F$21))*12+MONTH($A286)-MONTH('Recurring Schedule'!$F$21),'Recurring Schedule'!$O$21)=0),IF('Recurring Schedule'!$E$21="Weekdays",WEEKDAY($A286,2)&lt;=5,$A286='Recurring Schedule'!$F$21))),16,""))))</f>
        <v/>
      </c>
      <c r="R286">
        <f>IF('Recurring Schedule'!$C$22="","",IF('Recurring Schedule'!$F$22="","",IF(OR($A286&lt;'Recurring Schedule'!$F$22,$A286&gt;'Recurring Schedule'!$P$22),"",IF(IF('Recurring Schedule'!$N$22&gt;0,MOD($A286-'Recurring Schedule'!$F$22,'Recurring Schedule'!$N$22)=0,IF('Recurring Schedule'!$O$22&gt;0,AND(DAY($A286)=MIN(DAY('Recurring Schedule'!$F$22),DAY(EOMONTH($A286,0))),MOD((YEAR($A286)-YEAR('Recurring Schedule'!$F$22))*12+MONTH($A286)-MONTH('Recurring Schedule'!$F$22),'Recurring Schedule'!$O$22)=0),IF('Recurring Schedule'!$E$22="Weekdays",WEEKDAY($A286,2)&lt;=5,$A286='Recurring Schedule'!$F$22))),17,""))))</f>
        <v/>
      </c>
      <c r="S286">
        <f>IF('Recurring Schedule'!$C$23="","",IF('Recurring Schedule'!$F$23="","",IF(OR($A286&lt;'Recurring Schedule'!$F$23,$A286&gt;'Recurring Schedule'!$P$23),"",IF(IF('Recurring Schedule'!$N$23&gt;0,MOD($A286-'Recurring Schedule'!$F$23,'Recurring Schedule'!$N$23)=0,IF('Recurring Schedule'!$O$23&gt;0,AND(DAY($A286)=MIN(DAY('Recurring Schedule'!$F$23),DAY(EOMONTH($A286,0))),MOD((YEAR($A286)-YEAR('Recurring Schedule'!$F$23))*12+MONTH($A286)-MONTH('Recurring Schedule'!$F$23),'Recurring Schedule'!$O$23)=0),IF('Recurring Schedule'!$E$23="Weekdays",WEEKDAY($A286,2)&lt;=5,$A286='Recurring Schedule'!$F$23))),18,""))))</f>
        <v/>
      </c>
      <c r="T286">
        <f>IF('Recurring Schedule'!$C$24="","",IF('Recurring Schedule'!$F$24="","",IF(OR($A286&lt;'Recurring Schedule'!$F$24,$A286&gt;'Recurring Schedule'!$P$24),"",IF(IF('Recurring Schedule'!$N$24&gt;0,MOD($A286-'Recurring Schedule'!$F$24,'Recurring Schedule'!$N$24)=0,IF('Recurring Schedule'!$O$24&gt;0,AND(DAY($A286)=MIN(DAY('Recurring Schedule'!$F$24),DAY(EOMONTH($A286,0))),MOD((YEAR($A286)-YEAR('Recurring Schedule'!$F$24))*12+MONTH($A286)-MONTH('Recurring Schedule'!$F$24),'Recurring Schedule'!$O$24)=0),IF('Recurring Schedule'!$E$24="Weekdays",WEEKDAY($A286,2)&lt;=5,$A286='Recurring Schedule'!$F$24))),19,""))))</f>
        <v/>
      </c>
      <c r="U286">
        <f>IF('Recurring Schedule'!$C$25="","",IF('Recurring Schedule'!$F$25="","",IF(OR($A286&lt;'Recurring Schedule'!$F$25,$A286&gt;'Recurring Schedule'!$P$25),"",IF(IF('Recurring Schedule'!$N$25&gt;0,MOD($A286-'Recurring Schedule'!$F$25,'Recurring Schedule'!$N$25)=0,IF('Recurring Schedule'!$O$25&gt;0,AND(DAY($A286)=MIN(DAY('Recurring Schedule'!$F$25),DAY(EOMONTH($A286,0))),MOD((YEAR($A286)-YEAR('Recurring Schedule'!$F$25))*12+MONTH($A286)-MONTH('Recurring Schedule'!$F$25),'Recurring Schedule'!$O$25)=0),IF('Recurring Schedule'!$E$25="Weekdays",WEEKDAY($A286,2)&lt;=5,$A286='Recurring Schedule'!$F$25))),20,""))))</f>
        <v/>
      </c>
      <c r="V286">
        <f>IF('Recurring Schedule'!$C$26="","",IF('Recurring Schedule'!$F$26="","",IF(OR($A286&lt;'Recurring Schedule'!$F$26,$A286&gt;'Recurring Schedule'!$P$26),"",IF(IF('Recurring Schedule'!$N$26&gt;0,MOD($A286-'Recurring Schedule'!$F$26,'Recurring Schedule'!$N$26)=0,IF('Recurring Schedule'!$O$26&gt;0,AND(DAY($A286)=MIN(DAY('Recurring Schedule'!$F$26),DAY(EOMONTH($A286,0))),MOD((YEAR($A286)-YEAR('Recurring Schedule'!$F$26))*12+MONTH($A286)-MONTH('Recurring Schedule'!$F$26),'Recurring Schedule'!$O$26)=0),IF('Recurring Schedule'!$E$26="Weekdays",WEEKDAY($A286,2)&lt;=5,$A286='Recurring Schedule'!$F$26))),21,""))))</f>
        <v/>
      </c>
      <c r="W286">
        <f>IF('Recurring Schedule'!$C$27="","",IF('Recurring Schedule'!$F$27="","",IF(OR($A286&lt;'Recurring Schedule'!$F$27,$A286&gt;'Recurring Schedule'!$P$27),"",IF(IF('Recurring Schedule'!$N$27&gt;0,MOD($A286-'Recurring Schedule'!$F$27,'Recurring Schedule'!$N$27)=0,IF('Recurring Schedule'!$O$27&gt;0,AND(DAY($A286)=MIN(DAY('Recurring Schedule'!$F$27),DAY(EOMONTH($A286,0))),MOD((YEAR($A286)-YEAR('Recurring Schedule'!$F$27))*12+MONTH($A286)-MONTH('Recurring Schedule'!$F$27),'Recurring Schedule'!$O$27)=0),IF('Recurring Schedule'!$E$27="Weekdays",WEEKDAY($A286,2)&lt;=5,$A286='Recurring Schedule'!$F$27))),22,""))))</f>
        <v/>
      </c>
      <c r="X286">
        <f>IF('Recurring Schedule'!$C$28="","",IF('Recurring Schedule'!$F$28="","",IF(OR($A286&lt;'Recurring Schedule'!$F$28,$A286&gt;'Recurring Schedule'!$P$28),"",IF(IF('Recurring Schedule'!$N$28&gt;0,MOD($A286-'Recurring Schedule'!$F$28,'Recurring Schedule'!$N$28)=0,IF('Recurring Schedule'!$O$28&gt;0,AND(DAY($A286)=MIN(DAY('Recurring Schedule'!$F$28),DAY(EOMONTH($A286,0))),MOD((YEAR($A286)-YEAR('Recurring Schedule'!$F$28))*12+MONTH($A286)-MONTH('Recurring Schedule'!$F$28),'Recurring Schedule'!$O$28)=0),IF('Recurring Schedule'!$E$28="Weekdays",WEEKDAY($A286,2)&lt;=5,$A286='Recurring Schedule'!$F$28))),23,""))))</f>
        <v/>
      </c>
      <c r="Y286">
        <f>IF('Recurring Schedule'!$C$29="","",IF('Recurring Schedule'!$F$29="","",IF(OR($A286&lt;'Recurring Schedule'!$F$29,$A286&gt;'Recurring Schedule'!$P$29),"",IF(IF('Recurring Schedule'!$N$29&gt;0,MOD($A286-'Recurring Schedule'!$F$29,'Recurring Schedule'!$N$29)=0,IF('Recurring Schedule'!$O$29&gt;0,AND(DAY($A286)=MIN(DAY('Recurring Schedule'!$F$29),DAY(EOMONTH($A286,0))),MOD((YEAR($A286)-YEAR('Recurring Schedule'!$F$29))*12+MONTH($A286)-MONTH('Recurring Schedule'!$F$29),'Recurring Schedule'!$O$29)=0),IF('Recurring Schedule'!$E$29="Weekdays",WEEKDAY($A286,2)&lt;=5,$A286='Recurring Schedule'!$F$29))),24,""))))</f>
        <v/>
      </c>
      <c r="Z286">
        <f>IF('Recurring Schedule'!$C$30="","",IF('Recurring Schedule'!$F$30="","",IF(OR($A286&lt;'Recurring Schedule'!$F$30,$A286&gt;'Recurring Schedule'!$P$30),"",IF(IF('Recurring Schedule'!$N$30&gt;0,MOD($A286-'Recurring Schedule'!$F$30,'Recurring Schedule'!$N$30)=0,IF('Recurring Schedule'!$O$30&gt;0,AND(DAY($A286)=MIN(DAY('Recurring Schedule'!$F$30),DAY(EOMONTH($A286,0))),MOD((YEAR($A286)-YEAR('Recurring Schedule'!$F$30))*12+MONTH($A286)-MONTH('Recurring Schedule'!$F$30),'Recurring Schedule'!$O$30)=0),IF('Recurring Schedule'!$E$30="Weekdays",WEEKDAY($A286,2)&lt;=5,$A286='Recurring Schedule'!$F$30))),25,""))))</f>
        <v/>
      </c>
      <c r="AA286">
        <f>IF('Recurring Schedule'!$C$31="","",IF('Recurring Schedule'!$F$31="","",IF(OR($A286&lt;'Recurring Schedule'!$F$31,$A286&gt;'Recurring Schedule'!$P$31),"",IF(IF('Recurring Schedule'!$N$31&gt;0,MOD($A286-'Recurring Schedule'!$F$31,'Recurring Schedule'!$N$31)=0,IF('Recurring Schedule'!$O$31&gt;0,AND(DAY($A286)=MIN(DAY('Recurring Schedule'!$F$31),DAY(EOMONTH($A286,0))),MOD((YEAR($A286)-YEAR('Recurring Schedule'!$F$31))*12+MONTH($A286)-MONTH('Recurring Schedule'!$F$31),'Recurring Schedule'!$O$31)=0),IF('Recurring Schedule'!$E$31="Weekdays",WEEKDAY($A286,2)&lt;=5,$A286='Recurring Schedule'!$F$31))),26,""))))</f>
        <v/>
      </c>
      <c r="AB286">
        <f>IF('Recurring Schedule'!$C$32="","",IF('Recurring Schedule'!$F$32="","",IF(OR($A286&lt;'Recurring Schedule'!$F$32,$A286&gt;'Recurring Schedule'!$P$32),"",IF(IF('Recurring Schedule'!$N$32&gt;0,MOD($A286-'Recurring Schedule'!$F$32,'Recurring Schedule'!$N$32)=0,IF('Recurring Schedule'!$O$32&gt;0,AND(DAY($A286)=MIN(DAY('Recurring Schedule'!$F$32),DAY(EOMONTH($A286,0))),MOD((YEAR($A286)-YEAR('Recurring Schedule'!$F$32))*12+MONTH($A286)-MONTH('Recurring Schedule'!$F$32),'Recurring Schedule'!$O$32)=0),IF('Recurring Schedule'!$E$32="Weekdays",WEEKDAY($A286,2)&lt;=5,$A286='Recurring Schedule'!$F$32))),27,""))))</f>
        <v/>
      </c>
      <c r="AC286">
        <f>IF('Recurring Schedule'!$C$33="","",IF('Recurring Schedule'!$F$33="","",IF(OR($A286&lt;'Recurring Schedule'!$F$33,$A286&gt;'Recurring Schedule'!$P$33),"",IF(IF('Recurring Schedule'!$N$33&gt;0,MOD($A286-'Recurring Schedule'!$F$33,'Recurring Schedule'!$N$33)=0,IF('Recurring Schedule'!$O$33&gt;0,AND(DAY($A286)=MIN(DAY('Recurring Schedule'!$F$33),DAY(EOMONTH($A286,0))),MOD((YEAR($A286)-YEAR('Recurring Schedule'!$F$33))*12+MONTH($A286)-MONTH('Recurring Schedule'!$F$33),'Recurring Schedule'!$O$33)=0),IF('Recurring Schedule'!$E$33="Weekdays",WEEKDAY($A286,2)&lt;=5,$A286='Recurring Schedule'!$F$33))),28,""))))</f>
        <v/>
      </c>
      <c r="AD286">
        <f>IF('Recurring Schedule'!$C$34="","",IF('Recurring Schedule'!$F$34="","",IF(OR($A286&lt;'Recurring Schedule'!$F$34,$A286&gt;'Recurring Schedule'!$P$34),"",IF(IF('Recurring Schedule'!$N$34&gt;0,MOD($A286-'Recurring Schedule'!$F$34,'Recurring Schedule'!$N$34)=0,IF('Recurring Schedule'!$O$34&gt;0,AND(DAY($A286)=MIN(DAY('Recurring Schedule'!$F$34),DAY(EOMONTH($A286,0))),MOD((YEAR($A286)-YEAR('Recurring Schedule'!$F$34))*12+MONTH($A286)-MONTH('Recurring Schedule'!$F$34),'Recurring Schedule'!$O$34)=0),IF('Recurring Schedule'!$E$34="Weekdays",WEEKDAY($A286,2)&lt;=5,$A286='Recurring Schedule'!$F$34))),29,""))))</f>
        <v/>
      </c>
      <c r="AE286">
        <f>IF('Recurring Schedule'!$C$35="","",IF('Recurring Schedule'!$F$35="","",IF(OR($A286&lt;'Recurring Schedule'!$F$35,$A286&gt;'Recurring Schedule'!$P$35),"",IF(IF('Recurring Schedule'!$N$35&gt;0,MOD($A286-'Recurring Schedule'!$F$35,'Recurring Schedule'!$N$35)=0,IF('Recurring Schedule'!$O$35&gt;0,AND(DAY($A286)=MIN(DAY('Recurring Schedule'!$F$35),DAY(EOMONTH($A286,0))),MOD((YEAR($A286)-YEAR('Recurring Schedule'!$F$35))*12+MONTH($A286)-MONTH('Recurring Schedule'!$F$35),'Recurring Schedule'!$O$35)=0),IF('Recurring Schedule'!$E$35="Weekdays",WEEKDAY($A286,2)&lt;=5,$A286='Recurring Schedule'!$F$35))),30,""))))</f>
        <v/>
      </c>
      <c r="AF286">
        <f>IF('Recurring Schedule'!$C$36="","",IF('Recurring Schedule'!$F$36="","",IF(OR($A286&lt;'Recurring Schedule'!$F$36,$A286&gt;'Recurring Schedule'!$P$36),"",IF(IF('Recurring Schedule'!$N$36&gt;0,MOD($A286-'Recurring Schedule'!$F$36,'Recurring Schedule'!$N$36)=0,IF('Recurring Schedule'!$O$36&gt;0,AND(DAY($A286)=MIN(DAY('Recurring Schedule'!$F$36),DAY(EOMONTH($A286,0))),MOD((YEAR($A286)-YEAR('Recurring Schedule'!$F$36))*12+MONTH($A286)-MONTH('Recurring Schedule'!$F$36),'Recurring Schedule'!$O$36)=0),IF('Recurring Schedule'!$E$36="Weekdays",WEEKDAY($A286,2)&lt;=5,$A286='Recurring Schedule'!$F$36))),31,""))))</f>
        <v/>
      </c>
      <c r="AG286">
        <f>IF('Recurring Schedule'!$C$37="","",IF('Recurring Schedule'!$F$37="","",IF(OR($A286&lt;'Recurring Schedule'!$F$37,$A286&gt;'Recurring Schedule'!$P$37),"",IF(IF('Recurring Schedule'!$N$37&gt;0,MOD($A286-'Recurring Schedule'!$F$37,'Recurring Schedule'!$N$37)=0,IF('Recurring Schedule'!$O$37&gt;0,AND(DAY($A286)=MIN(DAY('Recurring Schedule'!$F$37),DAY(EOMONTH($A286,0))),MOD((YEAR($A286)-YEAR('Recurring Schedule'!$F$37))*12+MONTH($A286)-MONTH('Recurring Schedule'!$F$37),'Recurring Schedule'!$O$37)=0),IF('Recurring Schedule'!$E$37="Weekdays",WEEKDAY($A286,2)&lt;=5,$A286='Recurring Schedule'!$F$37))),32,""))))</f>
        <v/>
      </c>
      <c r="AH286">
        <f>IF('Recurring Schedule'!$C$38="","",IF('Recurring Schedule'!$F$38="","",IF(OR($A286&lt;'Recurring Schedule'!$F$38,$A286&gt;'Recurring Schedule'!$P$38),"",IF(IF('Recurring Schedule'!$N$38&gt;0,MOD($A286-'Recurring Schedule'!$F$38,'Recurring Schedule'!$N$38)=0,IF('Recurring Schedule'!$O$38&gt;0,AND(DAY($A286)=MIN(DAY('Recurring Schedule'!$F$38),DAY(EOMONTH($A286,0))),MOD((YEAR($A286)-YEAR('Recurring Schedule'!$F$38))*12+MONTH($A286)-MONTH('Recurring Schedule'!$F$38),'Recurring Schedule'!$O$38)=0),IF('Recurring Schedule'!$E$38="Weekdays",WEEKDAY($A286,2)&lt;=5,$A286='Recurring Schedule'!$F$38))),33,""))))</f>
        <v/>
      </c>
      <c r="AI286">
        <f>IF('Recurring Schedule'!$C$39="","",IF('Recurring Schedule'!$F$39="","",IF(OR($A286&lt;'Recurring Schedule'!$F$39,$A286&gt;'Recurring Schedule'!$P$39),"",IF(IF('Recurring Schedule'!$N$39&gt;0,MOD($A286-'Recurring Schedule'!$F$39,'Recurring Schedule'!$N$39)=0,IF('Recurring Schedule'!$O$39&gt;0,AND(DAY($A286)=MIN(DAY('Recurring Schedule'!$F$39),DAY(EOMONTH($A286,0))),MOD((YEAR($A286)-YEAR('Recurring Schedule'!$F$39))*12+MONTH($A286)-MONTH('Recurring Schedule'!$F$39),'Recurring Schedule'!$O$39)=0),IF('Recurring Schedule'!$E$39="Weekdays",WEEKDAY($A286,2)&lt;=5,$A286='Recurring Schedule'!$F$39))),34,""))))</f>
        <v/>
      </c>
      <c r="AJ286">
        <f>IF('Recurring Schedule'!$C$40="","",IF('Recurring Schedule'!$F$40="","",IF(OR($A286&lt;'Recurring Schedule'!$F$40,$A286&gt;'Recurring Schedule'!$P$40),"",IF(IF('Recurring Schedule'!$N$40&gt;0,MOD($A286-'Recurring Schedule'!$F$40,'Recurring Schedule'!$N$40)=0,IF('Recurring Schedule'!$O$40&gt;0,AND(DAY($A286)=MIN(DAY('Recurring Schedule'!$F$40),DAY(EOMONTH($A286,0))),MOD((YEAR($A286)-YEAR('Recurring Schedule'!$F$40))*12+MONTH($A286)-MONTH('Recurring Schedule'!$F$40),'Recurring Schedule'!$O$40)=0),IF('Recurring Schedule'!$E$40="Weekdays",WEEKDAY($A286,2)&lt;=5,$A286='Recurring Schedule'!$F$40))),35,""))))</f>
        <v/>
      </c>
      <c r="AK286">
        <f>IF('Recurring Schedule'!$C$41="","",IF('Recurring Schedule'!$F$41="","",IF(OR($A286&lt;'Recurring Schedule'!$F$41,$A286&gt;'Recurring Schedule'!$P$41),"",IF(IF('Recurring Schedule'!$N$41&gt;0,MOD($A286-'Recurring Schedule'!$F$41,'Recurring Schedule'!$N$41)=0,IF('Recurring Schedule'!$O$41&gt;0,AND(DAY($A286)=MIN(DAY('Recurring Schedule'!$F$41),DAY(EOMONTH($A286,0))),MOD((YEAR($A286)-YEAR('Recurring Schedule'!$F$41))*12+MONTH($A286)-MONTH('Recurring Schedule'!$F$41),'Recurring Schedule'!$O$41)=0),IF('Recurring Schedule'!$E$41="Weekdays",WEEKDAY($A286,2)&lt;=5,$A286='Recurring Schedule'!$F$41))),36,""))))</f>
        <v/>
      </c>
      <c r="AL286">
        <f>IF('Recurring Schedule'!$C$42="","",IF('Recurring Schedule'!$F$42="","",IF(OR($A286&lt;'Recurring Schedule'!$F$42,$A286&gt;'Recurring Schedule'!$P$42),"",IF(IF('Recurring Schedule'!$N$42&gt;0,MOD($A286-'Recurring Schedule'!$F$42,'Recurring Schedule'!$N$42)=0,IF('Recurring Schedule'!$O$42&gt;0,AND(DAY($A286)=MIN(DAY('Recurring Schedule'!$F$42),DAY(EOMONTH($A286,0))),MOD((YEAR($A286)-YEAR('Recurring Schedule'!$F$42))*12+MONTH($A286)-MONTH('Recurring Schedule'!$F$42),'Recurring Schedule'!$O$42)=0),IF('Recurring Schedule'!$E$42="Weekdays",WEEKDAY($A286,2)&lt;=5,$A286='Recurring Schedule'!$F$42))),37,""))))</f>
        <v/>
      </c>
      <c r="AM286">
        <f>IF('Recurring Schedule'!$C$43="","",IF('Recurring Schedule'!$F$43="","",IF(OR($A286&lt;'Recurring Schedule'!$F$43,$A286&gt;'Recurring Schedule'!$P$43),"",IF(IF('Recurring Schedule'!$N$43&gt;0,MOD($A286-'Recurring Schedule'!$F$43,'Recurring Schedule'!$N$43)=0,IF('Recurring Schedule'!$O$43&gt;0,AND(DAY($A286)=MIN(DAY('Recurring Schedule'!$F$43),DAY(EOMONTH($A286,0))),MOD((YEAR($A286)-YEAR('Recurring Schedule'!$F$43))*12+MONTH($A286)-MONTH('Recurring Schedule'!$F$43),'Recurring Schedule'!$O$43)=0),IF('Recurring Schedule'!$E$43="Weekdays",WEEKDAY($A286,2)&lt;=5,$A286='Recurring Schedule'!$F$43))),38,""))))</f>
        <v/>
      </c>
      <c r="AN286">
        <f>IF('Recurring Schedule'!$C$44="","",IF('Recurring Schedule'!$F$44="","",IF(OR($A286&lt;'Recurring Schedule'!$F$44,$A286&gt;'Recurring Schedule'!$P$44),"",IF(IF('Recurring Schedule'!$N$44&gt;0,MOD($A286-'Recurring Schedule'!$F$44,'Recurring Schedule'!$N$44)=0,IF('Recurring Schedule'!$O$44&gt;0,AND(DAY($A286)=MIN(DAY('Recurring Schedule'!$F$44),DAY(EOMONTH($A286,0))),MOD((YEAR($A286)-YEAR('Recurring Schedule'!$F$44))*12+MONTH($A286)-MONTH('Recurring Schedule'!$F$44),'Recurring Schedule'!$O$44)=0),IF('Recurring Schedule'!$E$44="Weekdays",WEEKDAY($A286,2)&lt;=5,$A286='Recurring Schedule'!$F$44))),39,""))))</f>
        <v/>
      </c>
      <c r="AO286">
        <f>IF('Recurring Schedule'!$C$45="","",IF('Recurring Schedule'!$F$45="","",IF(OR($A286&lt;'Recurring Schedule'!$F$45,$A286&gt;'Recurring Schedule'!$P$45),"",IF(IF('Recurring Schedule'!$N$45&gt;0,MOD($A286-'Recurring Schedule'!$F$45,'Recurring Schedule'!$N$45)=0,IF('Recurring Schedule'!$O$45&gt;0,AND(DAY($A286)=MIN(DAY('Recurring Schedule'!$F$45),DAY(EOMONTH($A286,0))),MOD((YEAR($A286)-YEAR('Recurring Schedule'!$F$45))*12+MONTH($A286)-MONTH('Recurring Schedule'!$F$45),'Recurring Schedule'!$O$45)=0),IF('Recurring Schedule'!$E$45="Weekdays",WEEKDAY($A286,2)&lt;=5,$A286='Recurring Schedule'!$F$45))),40,""))))</f>
        <v/>
      </c>
      <c r="AP286">
        <f>COUNT(B286:AO286)</f>
        <v/>
      </c>
      <c r="AQ286">
        <f>AQ285+AP285</f>
        <v/>
      </c>
      <c r="AS286" t="inlineStr">
        <is>
          <t>R</t>
        </is>
      </c>
      <c r="AT286" t="n">
        <v>290</v>
      </c>
      <c r="AU286">
        <f>'Recurring Log'!C290&amp;""</f>
        <v/>
      </c>
      <c r="AV286">
        <f>'Recurring Log'!D290&amp;""</f>
        <v/>
      </c>
      <c r="AW286">
        <f>IF('Recurring Log'!E290="","",'Recurring Log'!E290)</f>
        <v/>
      </c>
      <c r="AX286">
        <f>IF('Recurring Log'!G290="","",'Recurring Log'!G290)</f>
        <v/>
      </c>
      <c r="AY286">
        <f>IF('Recurring Log'!H290="","",'Recurring Log'!H290)</f>
        <v/>
      </c>
      <c r="AZ286">
        <f>IF(AU286="","",IF('Recurring Log'!J290="","Not Started",'Recurring Log'!J290))</f>
        <v/>
      </c>
      <c r="BA286">
        <f>'Recurring Log'!L290&amp;""</f>
        <v/>
      </c>
      <c r="BB286">
        <f>'Recurring Log'!M290&amp;""</f>
        <v/>
      </c>
      <c r="BC286">
        <f>'Recurring Log'!N290&amp;""</f>
        <v/>
      </c>
      <c r="BD286">
        <f>'Recurring Log'!O290&amp;""</f>
        <v/>
      </c>
      <c r="BE286">
        <f>IF('Recurring Log'!K290="","",'Recurring Log'!K290)</f>
        <v/>
      </c>
      <c r="BF286">
        <f>IFERROR(MATCH(BA286,Setup!$L$6:$L$9,0),5)</f>
        <v/>
      </c>
      <c r="BG286">
        <f>IF(OR(AZ286="Done",AZ286="Cancelled"),1,0)</f>
        <v/>
      </c>
      <c r="BH286">
        <f>IF(AND(AU286&lt;&gt;"",ISNUMBER(AW286)),1,0)</f>
        <v/>
      </c>
      <c r="BI286">
        <f>IF(BH286=0,0,IF(AND(AW286&gt;='Tasks Filter'!$F$3,AW286&lt;='Tasks Filter'!$F$4,OR('Tasks Filter'!$I$3="",ISNUMBER(SEARCH('Tasks Filter'!$I$3,AU286))),OR('Tasks Filter'!$I$4="",BF286=IFERROR(MATCH('Tasks Filter'!$I$4,Setup!$L$6:$L$9,0),0)),OR('Tasks Filter'!$I$5="Both",AND('Tasks Filter'!$I$5="Yes",BB286="✓"),AND('Tasks Filter'!$I$5="No",BB286&lt;&gt;"✓")),OR('Tasks Filter'!$L$3="",AV286='Tasks Filter'!$L$3),OR('Tasks Filter'!$L$4="",AZ286='Tasks Filter'!$L$4),OR('Tasks Filter'!$L$5="",BC286='Tasks Filter'!$L$5),OR('Tasks Filter'!$O$3="",BD286='Tasks Filter'!$O$3),OR('Tasks Filter'!$O$4="Yes",BG286=0)),1,0))</f>
        <v/>
      </c>
      <c r="BJ286">
        <f>IF(BH286=0,"",IF('Tasks Filter'!$F$6="Descending",-1,1)*CHOOSE(MATCH('Tasks Filter'!$F$5,Lists!$G$2:$G$6,0),AW286,BF286,IFERROR(MATCH(AV286,Setup!$F$6:$F$15,0),99),IFERROR(MATCH(BC286,Setup!$H$6:$H$15,0),99),IFERROR(MATCH(AZ286,Setup!$J$6:$J$11,0),99))*1E+9+(AW286-40000)*10000+285)</f>
        <v/>
      </c>
      <c r="BK286">
        <f>IF(BI286=1,BJ286,"")</f>
        <v/>
      </c>
      <c r="BL286">
        <f>IF(AND(BH286=1,BG286=0,N(AW286)&lt;Setup!$D$7),(AW286-40000)*10000+285,"")</f>
        <v/>
      </c>
      <c r="BM286">
        <f>IF(AND(BH286=1,AZ286&lt;&gt;"Cancelled",N(AW286)&gt;=Dashboard!$AB$3,N(AW286)&lt;=Dashboard!$AB$3+6),(AW286-40000)*100000+BF286*10000+285,"")</f>
        <v/>
      </c>
      <c r="BN286">
        <f>IF(AND(BH286=1,AZ286&lt;&gt;"Cancelled"),BF286*10000+285,"")</f>
        <v/>
      </c>
    </row>
    <row r="287">
      <c r="A287">
        <f>Setup!$D$5+285</f>
        <v/>
      </c>
      <c r="B287">
        <f>IF('Recurring Schedule'!$C$6="","",IF('Recurring Schedule'!$F$6="","",IF(OR($A287&lt;'Recurring Schedule'!$F$6,$A287&gt;'Recurring Schedule'!$P$6),"",IF(IF('Recurring Schedule'!$N$6&gt;0,MOD($A287-'Recurring Schedule'!$F$6,'Recurring Schedule'!$N$6)=0,IF('Recurring Schedule'!$O$6&gt;0,AND(DAY($A287)=MIN(DAY('Recurring Schedule'!$F$6),DAY(EOMONTH($A287,0))),MOD((YEAR($A287)-YEAR('Recurring Schedule'!$F$6))*12+MONTH($A287)-MONTH('Recurring Schedule'!$F$6),'Recurring Schedule'!$O$6)=0),IF('Recurring Schedule'!$E$6="Weekdays",WEEKDAY($A287,2)&lt;=5,$A287='Recurring Schedule'!$F$6))),1,""))))</f>
        <v/>
      </c>
      <c r="C287">
        <f>IF('Recurring Schedule'!$C$7="","",IF('Recurring Schedule'!$F$7="","",IF(OR($A287&lt;'Recurring Schedule'!$F$7,$A287&gt;'Recurring Schedule'!$P$7),"",IF(IF('Recurring Schedule'!$N$7&gt;0,MOD($A287-'Recurring Schedule'!$F$7,'Recurring Schedule'!$N$7)=0,IF('Recurring Schedule'!$O$7&gt;0,AND(DAY($A287)=MIN(DAY('Recurring Schedule'!$F$7),DAY(EOMONTH($A287,0))),MOD((YEAR($A287)-YEAR('Recurring Schedule'!$F$7))*12+MONTH($A287)-MONTH('Recurring Schedule'!$F$7),'Recurring Schedule'!$O$7)=0),IF('Recurring Schedule'!$E$7="Weekdays",WEEKDAY($A287,2)&lt;=5,$A287='Recurring Schedule'!$F$7))),2,""))))</f>
        <v/>
      </c>
      <c r="D287">
        <f>IF('Recurring Schedule'!$C$8="","",IF('Recurring Schedule'!$F$8="","",IF(OR($A287&lt;'Recurring Schedule'!$F$8,$A287&gt;'Recurring Schedule'!$P$8),"",IF(IF('Recurring Schedule'!$N$8&gt;0,MOD($A287-'Recurring Schedule'!$F$8,'Recurring Schedule'!$N$8)=0,IF('Recurring Schedule'!$O$8&gt;0,AND(DAY($A287)=MIN(DAY('Recurring Schedule'!$F$8),DAY(EOMONTH($A287,0))),MOD((YEAR($A287)-YEAR('Recurring Schedule'!$F$8))*12+MONTH($A287)-MONTH('Recurring Schedule'!$F$8),'Recurring Schedule'!$O$8)=0),IF('Recurring Schedule'!$E$8="Weekdays",WEEKDAY($A287,2)&lt;=5,$A287='Recurring Schedule'!$F$8))),3,""))))</f>
        <v/>
      </c>
      <c r="E287">
        <f>IF('Recurring Schedule'!$C$9="","",IF('Recurring Schedule'!$F$9="","",IF(OR($A287&lt;'Recurring Schedule'!$F$9,$A287&gt;'Recurring Schedule'!$P$9),"",IF(IF('Recurring Schedule'!$N$9&gt;0,MOD($A287-'Recurring Schedule'!$F$9,'Recurring Schedule'!$N$9)=0,IF('Recurring Schedule'!$O$9&gt;0,AND(DAY($A287)=MIN(DAY('Recurring Schedule'!$F$9),DAY(EOMONTH($A287,0))),MOD((YEAR($A287)-YEAR('Recurring Schedule'!$F$9))*12+MONTH($A287)-MONTH('Recurring Schedule'!$F$9),'Recurring Schedule'!$O$9)=0),IF('Recurring Schedule'!$E$9="Weekdays",WEEKDAY($A287,2)&lt;=5,$A287='Recurring Schedule'!$F$9))),4,""))))</f>
        <v/>
      </c>
      <c r="F287">
        <f>IF('Recurring Schedule'!$C$10="","",IF('Recurring Schedule'!$F$10="","",IF(OR($A287&lt;'Recurring Schedule'!$F$10,$A287&gt;'Recurring Schedule'!$P$10),"",IF(IF('Recurring Schedule'!$N$10&gt;0,MOD($A287-'Recurring Schedule'!$F$10,'Recurring Schedule'!$N$10)=0,IF('Recurring Schedule'!$O$10&gt;0,AND(DAY($A287)=MIN(DAY('Recurring Schedule'!$F$10),DAY(EOMONTH($A287,0))),MOD((YEAR($A287)-YEAR('Recurring Schedule'!$F$10))*12+MONTH($A287)-MONTH('Recurring Schedule'!$F$10),'Recurring Schedule'!$O$10)=0),IF('Recurring Schedule'!$E$10="Weekdays",WEEKDAY($A287,2)&lt;=5,$A287='Recurring Schedule'!$F$10))),5,""))))</f>
        <v/>
      </c>
      <c r="G287">
        <f>IF('Recurring Schedule'!$C$11="","",IF('Recurring Schedule'!$F$11="","",IF(OR($A287&lt;'Recurring Schedule'!$F$11,$A287&gt;'Recurring Schedule'!$P$11),"",IF(IF('Recurring Schedule'!$N$11&gt;0,MOD($A287-'Recurring Schedule'!$F$11,'Recurring Schedule'!$N$11)=0,IF('Recurring Schedule'!$O$11&gt;0,AND(DAY($A287)=MIN(DAY('Recurring Schedule'!$F$11),DAY(EOMONTH($A287,0))),MOD((YEAR($A287)-YEAR('Recurring Schedule'!$F$11))*12+MONTH($A287)-MONTH('Recurring Schedule'!$F$11),'Recurring Schedule'!$O$11)=0),IF('Recurring Schedule'!$E$11="Weekdays",WEEKDAY($A287,2)&lt;=5,$A287='Recurring Schedule'!$F$11))),6,""))))</f>
        <v/>
      </c>
      <c r="H287">
        <f>IF('Recurring Schedule'!$C$12="","",IF('Recurring Schedule'!$F$12="","",IF(OR($A287&lt;'Recurring Schedule'!$F$12,$A287&gt;'Recurring Schedule'!$P$12),"",IF(IF('Recurring Schedule'!$N$12&gt;0,MOD($A287-'Recurring Schedule'!$F$12,'Recurring Schedule'!$N$12)=0,IF('Recurring Schedule'!$O$12&gt;0,AND(DAY($A287)=MIN(DAY('Recurring Schedule'!$F$12),DAY(EOMONTH($A287,0))),MOD((YEAR($A287)-YEAR('Recurring Schedule'!$F$12))*12+MONTH($A287)-MONTH('Recurring Schedule'!$F$12),'Recurring Schedule'!$O$12)=0),IF('Recurring Schedule'!$E$12="Weekdays",WEEKDAY($A287,2)&lt;=5,$A287='Recurring Schedule'!$F$12))),7,""))))</f>
        <v/>
      </c>
      <c r="I287">
        <f>IF('Recurring Schedule'!$C$13="","",IF('Recurring Schedule'!$F$13="","",IF(OR($A287&lt;'Recurring Schedule'!$F$13,$A287&gt;'Recurring Schedule'!$P$13),"",IF(IF('Recurring Schedule'!$N$13&gt;0,MOD($A287-'Recurring Schedule'!$F$13,'Recurring Schedule'!$N$13)=0,IF('Recurring Schedule'!$O$13&gt;0,AND(DAY($A287)=MIN(DAY('Recurring Schedule'!$F$13),DAY(EOMONTH($A287,0))),MOD((YEAR($A287)-YEAR('Recurring Schedule'!$F$13))*12+MONTH($A287)-MONTH('Recurring Schedule'!$F$13),'Recurring Schedule'!$O$13)=0),IF('Recurring Schedule'!$E$13="Weekdays",WEEKDAY($A287,2)&lt;=5,$A287='Recurring Schedule'!$F$13))),8,""))))</f>
        <v/>
      </c>
      <c r="J287">
        <f>IF('Recurring Schedule'!$C$14="","",IF('Recurring Schedule'!$F$14="","",IF(OR($A287&lt;'Recurring Schedule'!$F$14,$A287&gt;'Recurring Schedule'!$P$14),"",IF(IF('Recurring Schedule'!$N$14&gt;0,MOD($A287-'Recurring Schedule'!$F$14,'Recurring Schedule'!$N$14)=0,IF('Recurring Schedule'!$O$14&gt;0,AND(DAY($A287)=MIN(DAY('Recurring Schedule'!$F$14),DAY(EOMONTH($A287,0))),MOD((YEAR($A287)-YEAR('Recurring Schedule'!$F$14))*12+MONTH($A287)-MONTH('Recurring Schedule'!$F$14),'Recurring Schedule'!$O$14)=0),IF('Recurring Schedule'!$E$14="Weekdays",WEEKDAY($A287,2)&lt;=5,$A287='Recurring Schedule'!$F$14))),9,""))))</f>
        <v/>
      </c>
      <c r="K287">
        <f>IF('Recurring Schedule'!$C$15="","",IF('Recurring Schedule'!$F$15="","",IF(OR($A287&lt;'Recurring Schedule'!$F$15,$A287&gt;'Recurring Schedule'!$P$15),"",IF(IF('Recurring Schedule'!$N$15&gt;0,MOD($A287-'Recurring Schedule'!$F$15,'Recurring Schedule'!$N$15)=0,IF('Recurring Schedule'!$O$15&gt;0,AND(DAY($A287)=MIN(DAY('Recurring Schedule'!$F$15),DAY(EOMONTH($A287,0))),MOD((YEAR($A287)-YEAR('Recurring Schedule'!$F$15))*12+MONTH($A287)-MONTH('Recurring Schedule'!$F$15),'Recurring Schedule'!$O$15)=0),IF('Recurring Schedule'!$E$15="Weekdays",WEEKDAY($A287,2)&lt;=5,$A287='Recurring Schedule'!$F$15))),10,""))))</f>
        <v/>
      </c>
      <c r="L287">
        <f>IF('Recurring Schedule'!$C$16="","",IF('Recurring Schedule'!$F$16="","",IF(OR($A287&lt;'Recurring Schedule'!$F$16,$A287&gt;'Recurring Schedule'!$P$16),"",IF(IF('Recurring Schedule'!$N$16&gt;0,MOD($A287-'Recurring Schedule'!$F$16,'Recurring Schedule'!$N$16)=0,IF('Recurring Schedule'!$O$16&gt;0,AND(DAY($A287)=MIN(DAY('Recurring Schedule'!$F$16),DAY(EOMONTH($A287,0))),MOD((YEAR($A287)-YEAR('Recurring Schedule'!$F$16))*12+MONTH($A287)-MONTH('Recurring Schedule'!$F$16),'Recurring Schedule'!$O$16)=0),IF('Recurring Schedule'!$E$16="Weekdays",WEEKDAY($A287,2)&lt;=5,$A287='Recurring Schedule'!$F$16))),11,""))))</f>
        <v/>
      </c>
      <c r="M287">
        <f>IF('Recurring Schedule'!$C$17="","",IF('Recurring Schedule'!$F$17="","",IF(OR($A287&lt;'Recurring Schedule'!$F$17,$A287&gt;'Recurring Schedule'!$P$17),"",IF(IF('Recurring Schedule'!$N$17&gt;0,MOD($A287-'Recurring Schedule'!$F$17,'Recurring Schedule'!$N$17)=0,IF('Recurring Schedule'!$O$17&gt;0,AND(DAY($A287)=MIN(DAY('Recurring Schedule'!$F$17),DAY(EOMONTH($A287,0))),MOD((YEAR($A287)-YEAR('Recurring Schedule'!$F$17))*12+MONTH($A287)-MONTH('Recurring Schedule'!$F$17),'Recurring Schedule'!$O$17)=0),IF('Recurring Schedule'!$E$17="Weekdays",WEEKDAY($A287,2)&lt;=5,$A287='Recurring Schedule'!$F$17))),12,""))))</f>
        <v/>
      </c>
      <c r="N287">
        <f>IF('Recurring Schedule'!$C$18="","",IF('Recurring Schedule'!$F$18="","",IF(OR($A287&lt;'Recurring Schedule'!$F$18,$A287&gt;'Recurring Schedule'!$P$18),"",IF(IF('Recurring Schedule'!$N$18&gt;0,MOD($A287-'Recurring Schedule'!$F$18,'Recurring Schedule'!$N$18)=0,IF('Recurring Schedule'!$O$18&gt;0,AND(DAY($A287)=MIN(DAY('Recurring Schedule'!$F$18),DAY(EOMONTH($A287,0))),MOD((YEAR($A287)-YEAR('Recurring Schedule'!$F$18))*12+MONTH($A287)-MONTH('Recurring Schedule'!$F$18),'Recurring Schedule'!$O$18)=0),IF('Recurring Schedule'!$E$18="Weekdays",WEEKDAY($A287,2)&lt;=5,$A287='Recurring Schedule'!$F$18))),13,""))))</f>
        <v/>
      </c>
      <c r="O287">
        <f>IF('Recurring Schedule'!$C$19="","",IF('Recurring Schedule'!$F$19="","",IF(OR($A287&lt;'Recurring Schedule'!$F$19,$A287&gt;'Recurring Schedule'!$P$19),"",IF(IF('Recurring Schedule'!$N$19&gt;0,MOD($A287-'Recurring Schedule'!$F$19,'Recurring Schedule'!$N$19)=0,IF('Recurring Schedule'!$O$19&gt;0,AND(DAY($A287)=MIN(DAY('Recurring Schedule'!$F$19),DAY(EOMONTH($A287,0))),MOD((YEAR($A287)-YEAR('Recurring Schedule'!$F$19))*12+MONTH($A287)-MONTH('Recurring Schedule'!$F$19),'Recurring Schedule'!$O$19)=0),IF('Recurring Schedule'!$E$19="Weekdays",WEEKDAY($A287,2)&lt;=5,$A287='Recurring Schedule'!$F$19))),14,""))))</f>
        <v/>
      </c>
      <c r="P287">
        <f>IF('Recurring Schedule'!$C$20="","",IF('Recurring Schedule'!$F$20="","",IF(OR($A287&lt;'Recurring Schedule'!$F$20,$A287&gt;'Recurring Schedule'!$P$20),"",IF(IF('Recurring Schedule'!$N$20&gt;0,MOD($A287-'Recurring Schedule'!$F$20,'Recurring Schedule'!$N$20)=0,IF('Recurring Schedule'!$O$20&gt;0,AND(DAY($A287)=MIN(DAY('Recurring Schedule'!$F$20),DAY(EOMONTH($A287,0))),MOD((YEAR($A287)-YEAR('Recurring Schedule'!$F$20))*12+MONTH($A287)-MONTH('Recurring Schedule'!$F$20),'Recurring Schedule'!$O$20)=0),IF('Recurring Schedule'!$E$20="Weekdays",WEEKDAY($A287,2)&lt;=5,$A287='Recurring Schedule'!$F$20))),15,""))))</f>
        <v/>
      </c>
      <c r="Q287">
        <f>IF('Recurring Schedule'!$C$21="","",IF('Recurring Schedule'!$F$21="","",IF(OR($A287&lt;'Recurring Schedule'!$F$21,$A287&gt;'Recurring Schedule'!$P$21),"",IF(IF('Recurring Schedule'!$N$21&gt;0,MOD($A287-'Recurring Schedule'!$F$21,'Recurring Schedule'!$N$21)=0,IF('Recurring Schedule'!$O$21&gt;0,AND(DAY($A287)=MIN(DAY('Recurring Schedule'!$F$21),DAY(EOMONTH($A287,0))),MOD((YEAR($A287)-YEAR('Recurring Schedule'!$F$21))*12+MONTH($A287)-MONTH('Recurring Schedule'!$F$21),'Recurring Schedule'!$O$21)=0),IF('Recurring Schedule'!$E$21="Weekdays",WEEKDAY($A287,2)&lt;=5,$A287='Recurring Schedule'!$F$21))),16,""))))</f>
        <v/>
      </c>
      <c r="R287">
        <f>IF('Recurring Schedule'!$C$22="","",IF('Recurring Schedule'!$F$22="","",IF(OR($A287&lt;'Recurring Schedule'!$F$22,$A287&gt;'Recurring Schedule'!$P$22),"",IF(IF('Recurring Schedule'!$N$22&gt;0,MOD($A287-'Recurring Schedule'!$F$22,'Recurring Schedule'!$N$22)=0,IF('Recurring Schedule'!$O$22&gt;0,AND(DAY($A287)=MIN(DAY('Recurring Schedule'!$F$22),DAY(EOMONTH($A287,0))),MOD((YEAR($A287)-YEAR('Recurring Schedule'!$F$22))*12+MONTH($A287)-MONTH('Recurring Schedule'!$F$22),'Recurring Schedule'!$O$22)=0),IF('Recurring Schedule'!$E$22="Weekdays",WEEKDAY($A287,2)&lt;=5,$A287='Recurring Schedule'!$F$22))),17,""))))</f>
        <v/>
      </c>
      <c r="S287">
        <f>IF('Recurring Schedule'!$C$23="","",IF('Recurring Schedule'!$F$23="","",IF(OR($A287&lt;'Recurring Schedule'!$F$23,$A287&gt;'Recurring Schedule'!$P$23),"",IF(IF('Recurring Schedule'!$N$23&gt;0,MOD($A287-'Recurring Schedule'!$F$23,'Recurring Schedule'!$N$23)=0,IF('Recurring Schedule'!$O$23&gt;0,AND(DAY($A287)=MIN(DAY('Recurring Schedule'!$F$23),DAY(EOMONTH($A287,0))),MOD((YEAR($A287)-YEAR('Recurring Schedule'!$F$23))*12+MONTH($A287)-MONTH('Recurring Schedule'!$F$23),'Recurring Schedule'!$O$23)=0),IF('Recurring Schedule'!$E$23="Weekdays",WEEKDAY($A287,2)&lt;=5,$A287='Recurring Schedule'!$F$23))),18,""))))</f>
        <v/>
      </c>
      <c r="T287">
        <f>IF('Recurring Schedule'!$C$24="","",IF('Recurring Schedule'!$F$24="","",IF(OR($A287&lt;'Recurring Schedule'!$F$24,$A287&gt;'Recurring Schedule'!$P$24),"",IF(IF('Recurring Schedule'!$N$24&gt;0,MOD($A287-'Recurring Schedule'!$F$24,'Recurring Schedule'!$N$24)=0,IF('Recurring Schedule'!$O$24&gt;0,AND(DAY($A287)=MIN(DAY('Recurring Schedule'!$F$24),DAY(EOMONTH($A287,0))),MOD((YEAR($A287)-YEAR('Recurring Schedule'!$F$24))*12+MONTH($A287)-MONTH('Recurring Schedule'!$F$24),'Recurring Schedule'!$O$24)=0),IF('Recurring Schedule'!$E$24="Weekdays",WEEKDAY($A287,2)&lt;=5,$A287='Recurring Schedule'!$F$24))),19,""))))</f>
        <v/>
      </c>
      <c r="U287">
        <f>IF('Recurring Schedule'!$C$25="","",IF('Recurring Schedule'!$F$25="","",IF(OR($A287&lt;'Recurring Schedule'!$F$25,$A287&gt;'Recurring Schedule'!$P$25),"",IF(IF('Recurring Schedule'!$N$25&gt;0,MOD($A287-'Recurring Schedule'!$F$25,'Recurring Schedule'!$N$25)=0,IF('Recurring Schedule'!$O$25&gt;0,AND(DAY($A287)=MIN(DAY('Recurring Schedule'!$F$25),DAY(EOMONTH($A287,0))),MOD((YEAR($A287)-YEAR('Recurring Schedule'!$F$25))*12+MONTH($A287)-MONTH('Recurring Schedule'!$F$25),'Recurring Schedule'!$O$25)=0),IF('Recurring Schedule'!$E$25="Weekdays",WEEKDAY($A287,2)&lt;=5,$A287='Recurring Schedule'!$F$25))),20,""))))</f>
        <v/>
      </c>
      <c r="V287">
        <f>IF('Recurring Schedule'!$C$26="","",IF('Recurring Schedule'!$F$26="","",IF(OR($A287&lt;'Recurring Schedule'!$F$26,$A287&gt;'Recurring Schedule'!$P$26),"",IF(IF('Recurring Schedule'!$N$26&gt;0,MOD($A287-'Recurring Schedule'!$F$26,'Recurring Schedule'!$N$26)=0,IF('Recurring Schedule'!$O$26&gt;0,AND(DAY($A287)=MIN(DAY('Recurring Schedule'!$F$26),DAY(EOMONTH($A287,0))),MOD((YEAR($A287)-YEAR('Recurring Schedule'!$F$26))*12+MONTH($A287)-MONTH('Recurring Schedule'!$F$26),'Recurring Schedule'!$O$26)=0),IF('Recurring Schedule'!$E$26="Weekdays",WEEKDAY($A287,2)&lt;=5,$A287='Recurring Schedule'!$F$26))),21,""))))</f>
        <v/>
      </c>
      <c r="W287">
        <f>IF('Recurring Schedule'!$C$27="","",IF('Recurring Schedule'!$F$27="","",IF(OR($A287&lt;'Recurring Schedule'!$F$27,$A287&gt;'Recurring Schedule'!$P$27),"",IF(IF('Recurring Schedule'!$N$27&gt;0,MOD($A287-'Recurring Schedule'!$F$27,'Recurring Schedule'!$N$27)=0,IF('Recurring Schedule'!$O$27&gt;0,AND(DAY($A287)=MIN(DAY('Recurring Schedule'!$F$27),DAY(EOMONTH($A287,0))),MOD((YEAR($A287)-YEAR('Recurring Schedule'!$F$27))*12+MONTH($A287)-MONTH('Recurring Schedule'!$F$27),'Recurring Schedule'!$O$27)=0),IF('Recurring Schedule'!$E$27="Weekdays",WEEKDAY($A287,2)&lt;=5,$A287='Recurring Schedule'!$F$27))),22,""))))</f>
        <v/>
      </c>
      <c r="X287">
        <f>IF('Recurring Schedule'!$C$28="","",IF('Recurring Schedule'!$F$28="","",IF(OR($A287&lt;'Recurring Schedule'!$F$28,$A287&gt;'Recurring Schedule'!$P$28),"",IF(IF('Recurring Schedule'!$N$28&gt;0,MOD($A287-'Recurring Schedule'!$F$28,'Recurring Schedule'!$N$28)=0,IF('Recurring Schedule'!$O$28&gt;0,AND(DAY($A287)=MIN(DAY('Recurring Schedule'!$F$28),DAY(EOMONTH($A287,0))),MOD((YEAR($A287)-YEAR('Recurring Schedule'!$F$28))*12+MONTH($A287)-MONTH('Recurring Schedule'!$F$28),'Recurring Schedule'!$O$28)=0),IF('Recurring Schedule'!$E$28="Weekdays",WEEKDAY($A287,2)&lt;=5,$A287='Recurring Schedule'!$F$28))),23,""))))</f>
        <v/>
      </c>
      <c r="Y287">
        <f>IF('Recurring Schedule'!$C$29="","",IF('Recurring Schedule'!$F$29="","",IF(OR($A287&lt;'Recurring Schedule'!$F$29,$A287&gt;'Recurring Schedule'!$P$29),"",IF(IF('Recurring Schedule'!$N$29&gt;0,MOD($A287-'Recurring Schedule'!$F$29,'Recurring Schedule'!$N$29)=0,IF('Recurring Schedule'!$O$29&gt;0,AND(DAY($A287)=MIN(DAY('Recurring Schedule'!$F$29),DAY(EOMONTH($A287,0))),MOD((YEAR($A287)-YEAR('Recurring Schedule'!$F$29))*12+MONTH($A287)-MONTH('Recurring Schedule'!$F$29),'Recurring Schedule'!$O$29)=0),IF('Recurring Schedule'!$E$29="Weekdays",WEEKDAY($A287,2)&lt;=5,$A287='Recurring Schedule'!$F$29))),24,""))))</f>
        <v/>
      </c>
      <c r="Z287">
        <f>IF('Recurring Schedule'!$C$30="","",IF('Recurring Schedule'!$F$30="","",IF(OR($A287&lt;'Recurring Schedule'!$F$30,$A287&gt;'Recurring Schedule'!$P$30),"",IF(IF('Recurring Schedule'!$N$30&gt;0,MOD($A287-'Recurring Schedule'!$F$30,'Recurring Schedule'!$N$30)=0,IF('Recurring Schedule'!$O$30&gt;0,AND(DAY($A287)=MIN(DAY('Recurring Schedule'!$F$30),DAY(EOMONTH($A287,0))),MOD((YEAR($A287)-YEAR('Recurring Schedule'!$F$30))*12+MONTH($A287)-MONTH('Recurring Schedule'!$F$30),'Recurring Schedule'!$O$30)=0),IF('Recurring Schedule'!$E$30="Weekdays",WEEKDAY($A287,2)&lt;=5,$A287='Recurring Schedule'!$F$30))),25,""))))</f>
        <v/>
      </c>
      <c r="AA287">
        <f>IF('Recurring Schedule'!$C$31="","",IF('Recurring Schedule'!$F$31="","",IF(OR($A287&lt;'Recurring Schedule'!$F$31,$A287&gt;'Recurring Schedule'!$P$31),"",IF(IF('Recurring Schedule'!$N$31&gt;0,MOD($A287-'Recurring Schedule'!$F$31,'Recurring Schedule'!$N$31)=0,IF('Recurring Schedule'!$O$31&gt;0,AND(DAY($A287)=MIN(DAY('Recurring Schedule'!$F$31),DAY(EOMONTH($A287,0))),MOD((YEAR($A287)-YEAR('Recurring Schedule'!$F$31))*12+MONTH($A287)-MONTH('Recurring Schedule'!$F$31),'Recurring Schedule'!$O$31)=0),IF('Recurring Schedule'!$E$31="Weekdays",WEEKDAY($A287,2)&lt;=5,$A287='Recurring Schedule'!$F$31))),26,""))))</f>
        <v/>
      </c>
      <c r="AB287">
        <f>IF('Recurring Schedule'!$C$32="","",IF('Recurring Schedule'!$F$32="","",IF(OR($A287&lt;'Recurring Schedule'!$F$32,$A287&gt;'Recurring Schedule'!$P$32),"",IF(IF('Recurring Schedule'!$N$32&gt;0,MOD($A287-'Recurring Schedule'!$F$32,'Recurring Schedule'!$N$32)=0,IF('Recurring Schedule'!$O$32&gt;0,AND(DAY($A287)=MIN(DAY('Recurring Schedule'!$F$32),DAY(EOMONTH($A287,0))),MOD((YEAR($A287)-YEAR('Recurring Schedule'!$F$32))*12+MONTH($A287)-MONTH('Recurring Schedule'!$F$32),'Recurring Schedule'!$O$32)=0),IF('Recurring Schedule'!$E$32="Weekdays",WEEKDAY($A287,2)&lt;=5,$A287='Recurring Schedule'!$F$32))),27,""))))</f>
        <v/>
      </c>
      <c r="AC287">
        <f>IF('Recurring Schedule'!$C$33="","",IF('Recurring Schedule'!$F$33="","",IF(OR($A287&lt;'Recurring Schedule'!$F$33,$A287&gt;'Recurring Schedule'!$P$33),"",IF(IF('Recurring Schedule'!$N$33&gt;0,MOD($A287-'Recurring Schedule'!$F$33,'Recurring Schedule'!$N$33)=0,IF('Recurring Schedule'!$O$33&gt;0,AND(DAY($A287)=MIN(DAY('Recurring Schedule'!$F$33),DAY(EOMONTH($A287,0))),MOD((YEAR($A287)-YEAR('Recurring Schedule'!$F$33))*12+MONTH($A287)-MONTH('Recurring Schedule'!$F$33),'Recurring Schedule'!$O$33)=0),IF('Recurring Schedule'!$E$33="Weekdays",WEEKDAY($A287,2)&lt;=5,$A287='Recurring Schedule'!$F$33))),28,""))))</f>
        <v/>
      </c>
      <c r="AD287">
        <f>IF('Recurring Schedule'!$C$34="","",IF('Recurring Schedule'!$F$34="","",IF(OR($A287&lt;'Recurring Schedule'!$F$34,$A287&gt;'Recurring Schedule'!$P$34),"",IF(IF('Recurring Schedule'!$N$34&gt;0,MOD($A287-'Recurring Schedule'!$F$34,'Recurring Schedule'!$N$34)=0,IF('Recurring Schedule'!$O$34&gt;0,AND(DAY($A287)=MIN(DAY('Recurring Schedule'!$F$34),DAY(EOMONTH($A287,0))),MOD((YEAR($A287)-YEAR('Recurring Schedule'!$F$34))*12+MONTH($A287)-MONTH('Recurring Schedule'!$F$34),'Recurring Schedule'!$O$34)=0),IF('Recurring Schedule'!$E$34="Weekdays",WEEKDAY($A287,2)&lt;=5,$A287='Recurring Schedule'!$F$34))),29,""))))</f>
        <v/>
      </c>
      <c r="AE287">
        <f>IF('Recurring Schedule'!$C$35="","",IF('Recurring Schedule'!$F$35="","",IF(OR($A287&lt;'Recurring Schedule'!$F$35,$A287&gt;'Recurring Schedule'!$P$35),"",IF(IF('Recurring Schedule'!$N$35&gt;0,MOD($A287-'Recurring Schedule'!$F$35,'Recurring Schedule'!$N$35)=0,IF('Recurring Schedule'!$O$35&gt;0,AND(DAY($A287)=MIN(DAY('Recurring Schedule'!$F$35),DAY(EOMONTH($A287,0))),MOD((YEAR($A287)-YEAR('Recurring Schedule'!$F$35))*12+MONTH($A287)-MONTH('Recurring Schedule'!$F$35),'Recurring Schedule'!$O$35)=0),IF('Recurring Schedule'!$E$35="Weekdays",WEEKDAY($A287,2)&lt;=5,$A287='Recurring Schedule'!$F$35))),30,""))))</f>
        <v/>
      </c>
      <c r="AF287">
        <f>IF('Recurring Schedule'!$C$36="","",IF('Recurring Schedule'!$F$36="","",IF(OR($A287&lt;'Recurring Schedule'!$F$36,$A287&gt;'Recurring Schedule'!$P$36),"",IF(IF('Recurring Schedule'!$N$36&gt;0,MOD($A287-'Recurring Schedule'!$F$36,'Recurring Schedule'!$N$36)=0,IF('Recurring Schedule'!$O$36&gt;0,AND(DAY($A287)=MIN(DAY('Recurring Schedule'!$F$36),DAY(EOMONTH($A287,0))),MOD((YEAR($A287)-YEAR('Recurring Schedule'!$F$36))*12+MONTH($A287)-MONTH('Recurring Schedule'!$F$36),'Recurring Schedule'!$O$36)=0),IF('Recurring Schedule'!$E$36="Weekdays",WEEKDAY($A287,2)&lt;=5,$A287='Recurring Schedule'!$F$36))),31,""))))</f>
        <v/>
      </c>
      <c r="AG287">
        <f>IF('Recurring Schedule'!$C$37="","",IF('Recurring Schedule'!$F$37="","",IF(OR($A287&lt;'Recurring Schedule'!$F$37,$A287&gt;'Recurring Schedule'!$P$37),"",IF(IF('Recurring Schedule'!$N$37&gt;0,MOD($A287-'Recurring Schedule'!$F$37,'Recurring Schedule'!$N$37)=0,IF('Recurring Schedule'!$O$37&gt;0,AND(DAY($A287)=MIN(DAY('Recurring Schedule'!$F$37),DAY(EOMONTH($A287,0))),MOD((YEAR($A287)-YEAR('Recurring Schedule'!$F$37))*12+MONTH($A287)-MONTH('Recurring Schedule'!$F$37),'Recurring Schedule'!$O$37)=0),IF('Recurring Schedule'!$E$37="Weekdays",WEEKDAY($A287,2)&lt;=5,$A287='Recurring Schedule'!$F$37))),32,""))))</f>
        <v/>
      </c>
      <c r="AH287">
        <f>IF('Recurring Schedule'!$C$38="","",IF('Recurring Schedule'!$F$38="","",IF(OR($A287&lt;'Recurring Schedule'!$F$38,$A287&gt;'Recurring Schedule'!$P$38),"",IF(IF('Recurring Schedule'!$N$38&gt;0,MOD($A287-'Recurring Schedule'!$F$38,'Recurring Schedule'!$N$38)=0,IF('Recurring Schedule'!$O$38&gt;0,AND(DAY($A287)=MIN(DAY('Recurring Schedule'!$F$38),DAY(EOMONTH($A287,0))),MOD((YEAR($A287)-YEAR('Recurring Schedule'!$F$38))*12+MONTH($A287)-MONTH('Recurring Schedule'!$F$38),'Recurring Schedule'!$O$38)=0),IF('Recurring Schedule'!$E$38="Weekdays",WEEKDAY($A287,2)&lt;=5,$A287='Recurring Schedule'!$F$38))),33,""))))</f>
        <v/>
      </c>
      <c r="AI287">
        <f>IF('Recurring Schedule'!$C$39="","",IF('Recurring Schedule'!$F$39="","",IF(OR($A287&lt;'Recurring Schedule'!$F$39,$A287&gt;'Recurring Schedule'!$P$39),"",IF(IF('Recurring Schedule'!$N$39&gt;0,MOD($A287-'Recurring Schedule'!$F$39,'Recurring Schedule'!$N$39)=0,IF('Recurring Schedule'!$O$39&gt;0,AND(DAY($A287)=MIN(DAY('Recurring Schedule'!$F$39),DAY(EOMONTH($A287,0))),MOD((YEAR($A287)-YEAR('Recurring Schedule'!$F$39))*12+MONTH($A287)-MONTH('Recurring Schedule'!$F$39),'Recurring Schedule'!$O$39)=0),IF('Recurring Schedule'!$E$39="Weekdays",WEEKDAY($A287,2)&lt;=5,$A287='Recurring Schedule'!$F$39))),34,""))))</f>
        <v/>
      </c>
      <c r="AJ287">
        <f>IF('Recurring Schedule'!$C$40="","",IF('Recurring Schedule'!$F$40="","",IF(OR($A287&lt;'Recurring Schedule'!$F$40,$A287&gt;'Recurring Schedule'!$P$40),"",IF(IF('Recurring Schedule'!$N$40&gt;0,MOD($A287-'Recurring Schedule'!$F$40,'Recurring Schedule'!$N$40)=0,IF('Recurring Schedule'!$O$40&gt;0,AND(DAY($A287)=MIN(DAY('Recurring Schedule'!$F$40),DAY(EOMONTH($A287,0))),MOD((YEAR($A287)-YEAR('Recurring Schedule'!$F$40))*12+MONTH($A287)-MONTH('Recurring Schedule'!$F$40),'Recurring Schedule'!$O$40)=0),IF('Recurring Schedule'!$E$40="Weekdays",WEEKDAY($A287,2)&lt;=5,$A287='Recurring Schedule'!$F$40))),35,""))))</f>
        <v/>
      </c>
      <c r="AK287">
        <f>IF('Recurring Schedule'!$C$41="","",IF('Recurring Schedule'!$F$41="","",IF(OR($A287&lt;'Recurring Schedule'!$F$41,$A287&gt;'Recurring Schedule'!$P$41),"",IF(IF('Recurring Schedule'!$N$41&gt;0,MOD($A287-'Recurring Schedule'!$F$41,'Recurring Schedule'!$N$41)=0,IF('Recurring Schedule'!$O$41&gt;0,AND(DAY($A287)=MIN(DAY('Recurring Schedule'!$F$41),DAY(EOMONTH($A287,0))),MOD((YEAR($A287)-YEAR('Recurring Schedule'!$F$41))*12+MONTH($A287)-MONTH('Recurring Schedule'!$F$41),'Recurring Schedule'!$O$41)=0),IF('Recurring Schedule'!$E$41="Weekdays",WEEKDAY($A287,2)&lt;=5,$A287='Recurring Schedule'!$F$41))),36,""))))</f>
        <v/>
      </c>
      <c r="AL287">
        <f>IF('Recurring Schedule'!$C$42="","",IF('Recurring Schedule'!$F$42="","",IF(OR($A287&lt;'Recurring Schedule'!$F$42,$A287&gt;'Recurring Schedule'!$P$42),"",IF(IF('Recurring Schedule'!$N$42&gt;0,MOD($A287-'Recurring Schedule'!$F$42,'Recurring Schedule'!$N$42)=0,IF('Recurring Schedule'!$O$42&gt;0,AND(DAY($A287)=MIN(DAY('Recurring Schedule'!$F$42),DAY(EOMONTH($A287,0))),MOD((YEAR($A287)-YEAR('Recurring Schedule'!$F$42))*12+MONTH($A287)-MONTH('Recurring Schedule'!$F$42),'Recurring Schedule'!$O$42)=0),IF('Recurring Schedule'!$E$42="Weekdays",WEEKDAY($A287,2)&lt;=5,$A287='Recurring Schedule'!$F$42))),37,""))))</f>
        <v/>
      </c>
      <c r="AM287">
        <f>IF('Recurring Schedule'!$C$43="","",IF('Recurring Schedule'!$F$43="","",IF(OR($A287&lt;'Recurring Schedule'!$F$43,$A287&gt;'Recurring Schedule'!$P$43),"",IF(IF('Recurring Schedule'!$N$43&gt;0,MOD($A287-'Recurring Schedule'!$F$43,'Recurring Schedule'!$N$43)=0,IF('Recurring Schedule'!$O$43&gt;0,AND(DAY($A287)=MIN(DAY('Recurring Schedule'!$F$43),DAY(EOMONTH($A287,0))),MOD((YEAR($A287)-YEAR('Recurring Schedule'!$F$43))*12+MONTH($A287)-MONTH('Recurring Schedule'!$F$43),'Recurring Schedule'!$O$43)=0),IF('Recurring Schedule'!$E$43="Weekdays",WEEKDAY($A287,2)&lt;=5,$A287='Recurring Schedule'!$F$43))),38,""))))</f>
        <v/>
      </c>
      <c r="AN287">
        <f>IF('Recurring Schedule'!$C$44="","",IF('Recurring Schedule'!$F$44="","",IF(OR($A287&lt;'Recurring Schedule'!$F$44,$A287&gt;'Recurring Schedule'!$P$44),"",IF(IF('Recurring Schedule'!$N$44&gt;0,MOD($A287-'Recurring Schedule'!$F$44,'Recurring Schedule'!$N$44)=0,IF('Recurring Schedule'!$O$44&gt;0,AND(DAY($A287)=MIN(DAY('Recurring Schedule'!$F$44),DAY(EOMONTH($A287,0))),MOD((YEAR($A287)-YEAR('Recurring Schedule'!$F$44))*12+MONTH($A287)-MONTH('Recurring Schedule'!$F$44),'Recurring Schedule'!$O$44)=0),IF('Recurring Schedule'!$E$44="Weekdays",WEEKDAY($A287,2)&lt;=5,$A287='Recurring Schedule'!$F$44))),39,""))))</f>
        <v/>
      </c>
      <c r="AO287">
        <f>IF('Recurring Schedule'!$C$45="","",IF('Recurring Schedule'!$F$45="","",IF(OR($A287&lt;'Recurring Schedule'!$F$45,$A287&gt;'Recurring Schedule'!$P$45),"",IF(IF('Recurring Schedule'!$N$45&gt;0,MOD($A287-'Recurring Schedule'!$F$45,'Recurring Schedule'!$N$45)=0,IF('Recurring Schedule'!$O$45&gt;0,AND(DAY($A287)=MIN(DAY('Recurring Schedule'!$F$45),DAY(EOMONTH($A287,0))),MOD((YEAR($A287)-YEAR('Recurring Schedule'!$F$45))*12+MONTH($A287)-MONTH('Recurring Schedule'!$F$45),'Recurring Schedule'!$O$45)=0),IF('Recurring Schedule'!$E$45="Weekdays",WEEKDAY($A287,2)&lt;=5,$A287='Recurring Schedule'!$F$45))),40,""))))</f>
        <v/>
      </c>
      <c r="AP287">
        <f>COUNT(B287:AO287)</f>
        <v/>
      </c>
      <c r="AQ287">
        <f>AQ286+AP286</f>
        <v/>
      </c>
      <c r="AS287" t="inlineStr">
        <is>
          <t>R</t>
        </is>
      </c>
      <c r="AT287" t="n">
        <v>291</v>
      </c>
      <c r="AU287">
        <f>'Recurring Log'!C291&amp;""</f>
        <v/>
      </c>
      <c r="AV287">
        <f>'Recurring Log'!D291&amp;""</f>
        <v/>
      </c>
      <c r="AW287">
        <f>IF('Recurring Log'!E291="","",'Recurring Log'!E291)</f>
        <v/>
      </c>
      <c r="AX287">
        <f>IF('Recurring Log'!G291="","",'Recurring Log'!G291)</f>
        <v/>
      </c>
      <c r="AY287">
        <f>IF('Recurring Log'!H291="","",'Recurring Log'!H291)</f>
        <v/>
      </c>
      <c r="AZ287">
        <f>IF(AU287="","",IF('Recurring Log'!J291="","Not Started",'Recurring Log'!J291))</f>
        <v/>
      </c>
      <c r="BA287">
        <f>'Recurring Log'!L291&amp;""</f>
        <v/>
      </c>
      <c r="BB287">
        <f>'Recurring Log'!M291&amp;""</f>
        <v/>
      </c>
      <c r="BC287">
        <f>'Recurring Log'!N291&amp;""</f>
        <v/>
      </c>
      <c r="BD287">
        <f>'Recurring Log'!O291&amp;""</f>
        <v/>
      </c>
      <c r="BE287">
        <f>IF('Recurring Log'!K291="","",'Recurring Log'!K291)</f>
        <v/>
      </c>
      <c r="BF287">
        <f>IFERROR(MATCH(BA287,Setup!$L$6:$L$9,0),5)</f>
        <v/>
      </c>
      <c r="BG287">
        <f>IF(OR(AZ287="Done",AZ287="Cancelled"),1,0)</f>
        <v/>
      </c>
      <c r="BH287">
        <f>IF(AND(AU287&lt;&gt;"",ISNUMBER(AW287)),1,0)</f>
        <v/>
      </c>
      <c r="BI287">
        <f>IF(BH287=0,0,IF(AND(AW287&gt;='Tasks Filter'!$F$3,AW287&lt;='Tasks Filter'!$F$4,OR('Tasks Filter'!$I$3="",ISNUMBER(SEARCH('Tasks Filter'!$I$3,AU287))),OR('Tasks Filter'!$I$4="",BF287=IFERROR(MATCH('Tasks Filter'!$I$4,Setup!$L$6:$L$9,0),0)),OR('Tasks Filter'!$I$5="Both",AND('Tasks Filter'!$I$5="Yes",BB287="✓"),AND('Tasks Filter'!$I$5="No",BB287&lt;&gt;"✓")),OR('Tasks Filter'!$L$3="",AV287='Tasks Filter'!$L$3),OR('Tasks Filter'!$L$4="",AZ287='Tasks Filter'!$L$4),OR('Tasks Filter'!$L$5="",BC287='Tasks Filter'!$L$5),OR('Tasks Filter'!$O$3="",BD287='Tasks Filter'!$O$3),OR('Tasks Filter'!$O$4="Yes",BG287=0)),1,0))</f>
        <v/>
      </c>
      <c r="BJ287">
        <f>IF(BH287=0,"",IF('Tasks Filter'!$F$6="Descending",-1,1)*CHOOSE(MATCH('Tasks Filter'!$F$5,Lists!$G$2:$G$6,0),AW287,BF287,IFERROR(MATCH(AV287,Setup!$F$6:$F$15,0),99),IFERROR(MATCH(BC287,Setup!$H$6:$H$15,0),99),IFERROR(MATCH(AZ287,Setup!$J$6:$J$11,0),99))*1E+9+(AW287-40000)*10000+286)</f>
        <v/>
      </c>
      <c r="BK287">
        <f>IF(BI287=1,BJ287,"")</f>
        <v/>
      </c>
      <c r="BL287">
        <f>IF(AND(BH287=1,BG287=0,N(AW287)&lt;Setup!$D$7),(AW287-40000)*10000+286,"")</f>
        <v/>
      </c>
      <c r="BM287">
        <f>IF(AND(BH287=1,AZ287&lt;&gt;"Cancelled",N(AW287)&gt;=Dashboard!$AB$3,N(AW287)&lt;=Dashboard!$AB$3+6),(AW287-40000)*100000+BF287*10000+286,"")</f>
        <v/>
      </c>
      <c r="BN287">
        <f>IF(AND(BH287=1,AZ287&lt;&gt;"Cancelled"),BF287*10000+286,"")</f>
        <v/>
      </c>
    </row>
    <row r="288">
      <c r="A288">
        <f>Setup!$D$5+286</f>
        <v/>
      </c>
      <c r="B288">
        <f>IF('Recurring Schedule'!$C$6="","",IF('Recurring Schedule'!$F$6="","",IF(OR($A288&lt;'Recurring Schedule'!$F$6,$A288&gt;'Recurring Schedule'!$P$6),"",IF(IF('Recurring Schedule'!$N$6&gt;0,MOD($A288-'Recurring Schedule'!$F$6,'Recurring Schedule'!$N$6)=0,IF('Recurring Schedule'!$O$6&gt;0,AND(DAY($A288)=MIN(DAY('Recurring Schedule'!$F$6),DAY(EOMONTH($A288,0))),MOD((YEAR($A288)-YEAR('Recurring Schedule'!$F$6))*12+MONTH($A288)-MONTH('Recurring Schedule'!$F$6),'Recurring Schedule'!$O$6)=0),IF('Recurring Schedule'!$E$6="Weekdays",WEEKDAY($A288,2)&lt;=5,$A288='Recurring Schedule'!$F$6))),1,""))))</f>
        <v/>
      </c>
      <c r="C288">
        <f>IF('Recurring Schedule'!$C$7="","",IF('Recurring Schedule'!$F$7="","",IF(OR($A288&lt;'Recurring Schedule'!$F$7,$A288&gt;'Recurring Schedule'!$P$7),"",IF(IF('Recurring Schedule'!$N$7&gt;0,MOD($A288-'Recurring Schedule'!$F$7,'Recurring Schedule'!$N$7)=0,IF('Recurring Schedule'!$O$7&gt;0,AND(DAY($A288)=MIN(DAY('Recurring Schedule'!$F$7),DAY(EOMONTH($A288,0))),MOD((YEAR($A288)-YEAR('Recurring Schedule'!$F$7))*12+MONTH($A288)-MONTH('Recurring Schedule'!$F$7),'Recurring Schedule'!$O$7)=0),IF('Recurring Schedule'!$E$7="Weekdays",WEEKDAY($A288,2)&lt;=5,$A288='Recurring Schedule'!$F$7))),2,""))))</f>
        <v/>
      </c>
      <c r="D288">
        <f>IF('Recurring Schedule'!$C$8="","",IF('Recurring Schedule'!$F$8="","",IF(OR($A288&lt;'Recurring Schedule'!$F$8,$A288&gt;'Recurring Schedule'!$P$8),"",IF(IF('Recurring Schedule'!$N$8&gt;0,MOD($A288-'Recurring Schedule'!$F$8,'Recurring Schedule'!$N$8)=0,IF('Recurring Schedule'!$O$8&gt;0,AND(DAY($A288)=MIN(DAY('Recurring Schedule'!$F$8),DAY(EOMONTH($A288,0))),MOD((YEAR($A288)-YEAR('Recurring Schedule'!$F$8))*12+MONTH($A288)-MONTH('Recurring Schedule'!$F$8),'Recurring Schedule'!$O$8)=0),IF('Recurring Schedule'!$E$8="Weekdays",WEEKDAY($A288,2)&lt;=5,$A288='Recurring Schedule'!$F$8))),3,""))))</f>
        <v/>
      </c>
      <c r="E288">
        <f>IF('Recurring Schedule'!$C$9="","",IF('Recurring Schedule'!$F$9="","",IF(OR($A288&lt;'Recurring Schedule'!$F$9,$A288&gt;'Recurring Schedule'!$P$9),"",IF(IF('Recurring Schedule'!$N$9&gt;0,MOD($A288-'Recurring Schedule'!$F$9,'Recurring Schedule'!$N$9)=0,IF('Recurring Schedule'!$O$9&gt;0,AND(DAY($A288)=MIN(DAY('Recurring Schedule'!$F$9),DAY(EOMONTH($A288,0))),MOD((YEAR($A288)-YEAR('Recurring Schedule'!$F$9))*12+MONTH($A288)-MONTH('Recurring Schedule'!$F$9),'Recurring Schedule'!$O$9)=0),IF('Recurring Schedule'!$E$9="Weekdays",WEEKDAY($A288,2)&lt;=5,$A288='Recurring Schedule'!$F$9))),4,""))))</f>
        <v/>
      </c>
      <c r="F288">
        <f>IF('Recurring Schedule'!$C$10="","",IF('Recurring Schedule'!$F$10="","",IF(OR($A288&lt;'Recurring Schedule'!$F$10,$A288&gt;'Recurring Schedule'!$P$10),"",IF(IF('Recurring Schedule'!$N$10&gt;0,MOD($A288-'Recurring Schedule'!$F$10,'Recurring Schedule'!$N$10)=0,IF('Recurring Schedule'!$O$10&gt;0,AND(DAY($A288)=MIN(DAY('Recurring Schedule'!$F$10),DAY(EOMONTH($A288,0))),MOD((YEAR($A288)-YEAR('Recurring Schedule'!$F$10))*12+MONTH($A288)-MONTH('Recurring Schedule'!$F$10),'Recurring Schedule'!$O$10)=0),IF('Recurring Schedule'!$E$10="Weekdays",WEEKDAY($A288,2)&lt;=5,$A288='Recurring Schedule'!$F$10))),5,""))))</f>
        <v/>
      </c>
      <c r="G288">
        <f>IF('Recurring Schedule'!$C$11="","",IF('Recurring Schedule'!$F$11="","",IF(OR($A288&lt;'Recurring Schedule'!$F$11,$A288&gt;'Recurring Schedule'!$P$11),"",IF(IF('Recurring Schedule'!$N$11&gt;0,MOD($A288-'Recurring Schedule'!$F$11,'Recurring Schedule'!$N$11)=0,IF('Recurring Schedule'!$O$11&gt;0,AND(DAY($A288)=MIN(DAY('Recurring Schedule'!$F$11),DAY(EOMONTH($A288,0))),MOD((YEAR($A288)-YEAR('Recurring Schedule'!$F$11))*12+MONTH($A288)-MONTH('Recurring Schedule'!$F$11),'Recurring Schedule'!$O$11)=0),IF('Recurring Schedule'!$E$11="Weekdays",WEEKDAY($A288,2)&lt;=5,$A288='Recurring Schedule'!$F$11))),6,""))))</f>
        <v/>
      </c>
      <c r="H288">
        <f>IF('Recurring Schedule'!$C$12="","",IF('Recurring Schedule'!$F$12="","",IF(OR($A288&lt;'Recurring Schedule'!$F$12,$A288&gt;'Recurring Schedule'!$P$12),"",IF(IF('Recurring Schedule'!$N$12&gt;0,MOD($A288-'Recurring Schedule'!$F$12,'Recurring Schedule'!$N$12)=0,IF('Recurring Schedule'!$O$12&gt;0,AND(DAY($A288)=MIN(DAY('Recurring Schedule'!$F$12),DAY(EOMONTH($A288,0))),MOD((YEAR($A288)-YEAR('Recurring Schedule'!$F$12))*12+MONTH($A288)-MONTH('Recurring Schedule'!$F$12),'Recurring Schedule'!$O$12)=0),IF('Recurring Schedule'!$E$12="Weekdays",WEEKDAY($A288,2)&lt;=5,$A288='Recurring Schedule'!$F$12))),7,""))))</f>
        <v/>
      </c>
      <c r="I288">
        <f>IF('Recurring Schedule'!$C$13="","",IF('Recurring Schedule'!$F$13="","",IF(OR($A288&lt;'Recurring Schedule'!$F$13,$A288&gt;'Recurring Schedule'!$P$13),"",IF(IF('Recurring Schedule'!$N$13&gt;0,MOD($A288-'Recurring Schedule'!$F$13,'Recurring Schedule'!$N$13)=0,IF('Recurring Schedule'!$O$13&gt;0,AND(DAY($A288)=MIN(DAY('Recurring Schedule'!$F$13),DAY(EOMONTH($A288,0))),MOD((YEAR($A288)-YEAR('Recurring Schedule'!$F$13))*12+MONTH($A288)-MONTH('Recurring Schedule'!$F$13),'Recurring Schedule'!$O$13)=0),IF('Recurring Schedule'!$E$13="Weekdays",WEEKDAY($A288,2)&lt;=5,$A288='Recurring Schedule'!$F$13))),8,""))))</f>
        <v/>
      </c>
      <c r="J288">
        <f>IF('Recurring Schedule'!$C$14="","",IF('Recurring Schedule'!$F$14="","",IF(OR($A288&lt;'Recurring Schedule'!$F$14,$A288&gt;'Recurring Schedule'!$P$14),"",IF(IF('Recurring Schedule'!$N$14&gt;0,MOD($A288-'Recurring Schedule'!$F$14,'Recurring Schedule'!$N$14)=0,IF('Recurring Schedule'!$O$14&gt;0,AND(DAY($A288)=MIN(DAY('Recurring Schedule'!$F$14),DAY(EOMONTH($A288,0))),MOD((YEAR($A288)-YEAR('Recurring Schedule'!$F$14))*12+MONTH($A288)-MONTH('Recurring Schedule'!$F$14),'Recurring Schedule'!$O$14)=0),IF('Recurring Schedule'!$E$14="Weekdays",WEEKDAY($A288,2)&lt;=5,$A288='Recurring Schedule'!$F$14))),9,""))))</f>
        <v/>
      </c>
      <c r="K288">
        <f>IF('Recurring Schedule'!$C$15="","",IF('Recurring Schedule'!$F$15="","",IF(OR($A288&lt;'Recurring Schedule'!$F$15,$A288&gt;'Recurring Schedule'!$P$15),"",IF(IF('Recurring Schedule'!$N$15&gt;0,MOD($A288-'Recurring Schedule'!$F$15,'Recurring Schedule'!$N$15)=0,IF('Recurring Schedule'!$O$15&gt;0,AND(DAY($A288)=MIN(DAY('Recurring Schedule'!$F$15),DAY(EOMONTH($A288,0))),MOD((YEAR($A288)-YEAR('Recurring Schedule'!$F$15))*12+MONTH($A288)-MONTH('Recurring Schedule'!$F$15),'Recurring Schedule'!$O$15)=0),IF('Recurring Schedule'!$E$15="Weekdays",WEEKDAY($A288,2)&lt;=5,$A288='Recurring Schedule'!$F$15))),10,""))))</f>
        <v/>
      </c>
      <c r="L288">
        <f>IF('Recurring Schedule'!$C$16="","",IF('Recurring Schedule'!$F$16="","",IF(OR($A288&lt;'Recurring Schedule'!$F$16,$A288&gt;'Recurring Schedule'!$P$16),"",IF(IF('Recurring Schedule'!$N$16&gt;0,MOD($A288-'Recurring Schedule'!$F$16,'Recurring Schedule'!$N$16)=0,IF('Recurring Schedule'!$O$16&gt;0,AND(DAY($A288)=MIN(DAY('Recurring Schedule'!$F$16),DAY(EOMONTH($A288,0))),MOD((YEAR($A288)-YEAR('Recurring Schedule'!$F$16))*12+MONTH($A288)-MONTH('Recurring Schedule'!$F$16),'Recurring Schedule'!$O$16)=0),IF('Recurring Schedule'!$E$16="Weekdays",WEEKDAY($A288,2)&lt;=5,$A288='Recurring Schedule'!$F$16))),11,""))))</f>
        <v/>
      </c>
      <c r="M288">
        <f>IF('Recurring Schedule'!$C$17="","",IF('Recurring Schedule'!$F$17="","",IF(OR($A288&lt;'Recurring Schedule'!$F$17,$A288&gt;'Recurring Schedule'!$P$17),"",IF(IF('Recurring Schedule'!$N$17&gt;0,MOD($A288-'Recurring Schedule'!$F$17,'Recurring Schedule'!$N$17)=0,IF('Recurring Schedule'!$O$17&gt;0,AND(DAY($A288)=MIN(DAY('Recurring Schedule'!$F$17),DAY(EOMONTH($A288,0))),MOD((YEAR($A288)-YEAR('Recurring Schedule'!$F$17))*12+MONTH($A288)-MONTH('Recurring Schedule'!$F$17),'Recurring Schedule'!$O$17)=0),IF('Recurring Schedule'!$E$17="Weekdays",WEEKDAY($A288,2)&lt;=5,$A288='Recurring Schedule'!$F$17))),12,""))))</f>
        <v/>
      </c>
      <c r="N288">
        <f>IF('Recurring Schedule'!$C$18="","",IF('Recurring Schedule'!$F$18="","",IF(OR($A288&lt;'Recurring Schedule'!$F$18,$A288&gt;'Recurring Schedule'!$P$18),"",IF(IF('Recurring Schedule'!$N$18&gt;0,MOD($A288-'Recurring Schedule'!$F$18,'Recurring Schedule'!$N$18)=0,IF('Recurring Schedule'!$O$18&gt;0,AND(DAY($A288)=MIN(DAY('Recurring Schedule'!$F$18),DAY(EOMONTH($A288,0))),MOD((YEAR($A288)-YEAR('Recurring Schedule'!$F$18))*12+MONTH($A288)-MONTH('Recurring Schedule'!$F$18),'Recurring Schedule'!$O$18)=0),IF('Recurring Schedule'!$E$18="Weekdays",WEEKDAY($A288,2)&lt;=5,$A288='Recurring Schedule'!$F$18))),13,""))))</f>
        <v/>
      </c>
      <c r="O288">
        <f>IF('Recurring Schedule'!$C$19="","",IF('Recurring Schedule'!$F$19="","",IF(OR($A288&lt;'Recurring Schedule'!$F$19,$A288&gt;'Recurring Schedule'!$P$19),"",IF(IF('Recurring Schedule'!$N$19&gt;0,MOD($A288-'Recurring Schedule'!$F$19,'Recurring Schedule'!$N$19)=0,IF('Recurring Schedule'!$O$19&gt;0,AND(DAY($A288)=MIN(DAY('Recurring Schedule'!$F$19),DAY(EOMONTH($A288,0))),MOD((YEAR($A288)-YEAR('Recurring Schedule'!$F$19))*12+MONTH($A288)-MONTH('Recurring Schedule'!$F$19),'Recurring Schedule'!$O$19)=0),IF('Recurring Schedule'!$E$19="Weekdays",WEEKDAY($A288,2)&lt;=5,$A288='Recurring Schedule'!$F$19))),14,""))))</f>
        <v/>
      </c>
      <c r="P288">
        <f>IF('Recurring Schedule'!$C$20="","",IF('Recurring Schedule'!$F$20="","",IF(OR($A288&lt;'Recurring Schedule'!$F$20,$A288&gt;'Recurring Schedule'!$P$20),"",IF(IF('Recurring Schedule'!$N$20&gt;0,MOD($A288-'Recurring Schedule'!$F$20,'Recurring Schedule'!$N$20)=0,IF('Recurring Schedule'!$O$20&gt;0,AND(DAY($A288)=MIN(DAY('Recurring Schedule'!$F$20),DAY(EOMONTH($A288,0))),MOD((YEAR($A288)-YEAR('Recurring Schedule'!$F$20))*12+MONTH($A288)-MONTH('Recurring Schedule'!$F$20),'Recurring Schedule'!$O$20)=0),IF('Recurring Schedule'!$E$20="Weekdays",WEEKDAY($A288,2)&lt;=5,$A288='Recurring Schedule'!$F$20))),15,""))))</f>
        <v/>
      </c>
      <c r="Q288">
        <f>IF('Recurring Schedule'!$C$21="","",IF('Recurring Schedule'!$F$21="","",IF(OR($A288&lt;'Recurring Schedule'!$F$21,$A288&gt;'Recurring Schedule'!$P$21),"",IF(IF('Recurring Schedule'!$N$21&gt;0,MOD($A288-'Recurring Schedule'!$F$21,'Recurring Schedule'!$N$21)=0,IF('Recurring Schedule'!$O$21&gt;0,AND(DAY($A288)=MIN(DAY('Recurring Schedule'!$F$21),DAY(EOMONTH($A288,0))),MOD((YEAR($A288)-YEAR('Recurring Schedule'!$F$21))*12+MONTH($A288)-MONTH('Recurring Schedule'!$F$21),'Recurring Schedule'!$O$21)=0),IF('Recurring Schedule'!$E$21="Weekdays",WEEKDAY($A288,2)&lt;=5,$A288='Recurring Schedule'!$F$21))),16,""))))</f>
        <v/>
      </c>
      <c r="R288">
        <f>IF('Recurring Schedule'!$C$22="","",IF('Recurring Schedule'!$F$22="","",IF(OR($A288&lt;'Recurring Schedule'!$F$22,$A288&gt;'Recurring Schedule'!$P$22),"",IF(IF('Recurring Schedule'!$N$22&gt;0,MOD($A288-'Recurring Schedule'!$F$22,'Recurring Schedule'!$N$22)=0,IF('Recurring Schedule'!$O$22&gt;0,AND(DAY($A288)=MIN(DAY('Recurring Schedule'!$F$22),DAY(EOMONTH($A288,0))),MOD((YEAR($A288)-YEAR('Recurring Schedule'!$F$22))*12+MONTH($A288)-MONTH('Recurring Schedule'!$F$22),'Recurring Schedule'!$O$22)=0),IF('Recurring Schedule'!$E$22="Weekdays",WEEKDAY($A288,2)&lt;=5,$A288='Recurring Schedule'!$F$22))),17,""))))</f>
        <v/>
      </c>
      <c r="S288">
        <f>IF('Recurring Schedule'!$C$23="","",IF('Recurring Schedule'!$F$23="","",IF(OR($A288&lt;'Recurring Schedule'!$F$23,$A288&gt;'Recurring Schedule'!$P$23),"",IF(IF('Recurring Schedule'!$N$23&gt;0,MOD($A288-'Recurring Schedule'!$F$23,'Recurring Schedule'!$N$23)=0,IF('Recurring Schedule'!$O$23&gt;0,AND(DAY($A288)=MIN(DAY('Recurring Schedule'!$F$23),DAY(EOMONTH($A288,0))),MOD((YEAR($A288)-YEAR('Recurring Schedule'!$F$23))*12+MONTH($A288)-MONTH('Recurring Schedule'!$F$23),'Recurring Schedule'!$O$23)=0),IF('Recurring Schedule'!$E$23="Weekdays",WEEKDAY($A288,2)&lt;=5,$A288='Recurring Schedule'!$F$23))),18,""))))</f>
        <v/>
      </c>
      <c r="T288">
        <f>IF('Recurring Schedule'!$C$24="","",IF('Recurring Schedule'!$F$24="","",IF(OR($A288&lt;'Recurring Schedule'!$F$24,$A288&gt;'Recurring Schedule'!$P$24),"",IF(IF('Recurring Schedule'!$N$24&gt;0,MOD($A288-'Recurring Schedule'!$F$24,'Recurring Schedule'!$N$24)=0,IF('Recurring Schedule'!$O$24&gt;0,AND(DAY($A288)=MIN(DAY('Recurring Schedule'!$F$24),DAY(EOMONTH($A288,0))),MOD((YEAR($A288)-YEAR('Recurring Schedule'!$F$24))*12+MONTH($A288)-MONTH('Recurring Schedule'!$F$24),'Recurring Schedule'!$O$24)=0),IF('Recurring Schedule'!$E$24="Weekdays",WEEKDAY($A288,2)&lt;=5,$A288='Recurring Schedule'!$F$24))),19,""))))</f>
        <v/>
      </c>
      <c r="U288">
        <f>IF('Recurring Schedule'!$C$25="","",IF('Recurring Schedule'!$F$25="","",IF(OR($A288&lt;'Recurring Schedule'!$F$25,$A288&gt;'Recurring Schedule'!$P$25),"",IF(IF('Recurring Schedule'!$N$25&gt;0,MOD($A288-'Recurring Schedule'!$F$25,'Recurring Schedule'!$N$25)=0,IF('Recurring Schedule'!$O$25&gt;0,AND(DAY($A288)=MIN(DAY('Recurring Schedule'!$F$25),DAY(EOMONTH($A288,0))),MOD((YEAR($A288)-YEAR('Recurring Schedule'!$F$25))*12+MONTH($A288)-MONTH('Recurring Schedule'!$F$25),'Recurring Schedule'!$O$25)=0),IF('Recurring Schedule'!$E$25="Weekdays",WEEKDAY($A288,2)&lt;=5,$A288='Recurring Schedule'!$F$25))),20,""))))</f>
        <v/>
      </c>
      <c r="V288">
        <f>IF('Recurring Schedule'!$C$26="","",IF('Recurring Schedule'!$F$26="","",IF(OR($A288&lt;'Recurring Schedule'!$F$26,$A288&gt;'Recurring Schedule'!$P$26),"",IF(IF('Recurring Schedule'!$N$26&gt;0,MOD($A288-'Recurring Schedule'!$F$26,'Recurring Schedule'!$N$26)=0,IF('Recurring Schedule'!$O$26&gt;0,AND(DAY($A288)=MIN(DAY('Recurring Schedule'!$F$26),DAY(EOMONTH($A288,0))),MOD((YEAR($A288)-YEAR('Recurring Schedule'!$F$26))*12+MONTH($A288)-MONTH('Recurring Schedule'!$F$26),'Recurring Schedule'!$O$26)=0),IF('Recurring Schedule'!$E$26="Weekdays",WEEKDAY($A288,2)&lt;=5,$A288='Recurring Schedule'!$F$26))),21,""))))</f>
        <v/>
      </c>
      <c r="W288">
        <f>IF('Recurring Schedule'!$C$27="","",IF('Recurring Schedule'!$F$27="","",IF(OR($A288&lt;'Recurring Schedule'!$F$27,$A288&gt;'Recurring Schedule'!$P$27),"",IF(IF('Recurring Schedule'!$N$27&gt;0,MOD($A288-'Recurring Schedule'!$F$27,'Recurring Schedule'!$N$27)=0,IF('Recurring Schedule'!$O$27&gt;0,AND(DAY($A288)=MIN(DAY('Recurring Schedule'!$F$27),DAY(EOMONTH($A288,0))),MOD((YEAR($A288)-YEAR('Recurring Schedule'!$F$27))*12+MONTH($A288)-MONTH('Recurring Schedule'!$F$27),'Recurring Schedule'!$O$27)=0),IF('Recurring Schedule'!$E$27="Weekdays",WEEKDAY($A288,2)&lt;=5,$A288='Recurring Schedule'!$F$27))),22,""))))</f>
        <v/>
      </c>
      <c r="X288">
        <f>IF('Recurring Schedule'!$C$28="","",IF('Recurring Schedule'!$F$28="","",IF(OR($A288&lt;'Recurring Schedule'!$F$28,$A288&gt;'Recurring Schedule'!$P$28),"",IF(IF('Recurring Schedule'!$N$28&gt;0,MOD($A288-'Recurring Schedule'!$F$28,'Recurring Schedule'!$N$28)=0,IF('Recurring Schedule'!$O$28&gt;0,AND(DAY($A288)=MIN(DAY('Recurring Schedule'!$F$28),DAY(EOMONTH($A288,0))),MOD((YEAR($A288)-YEAR('Recurring Schedule'!$F$28))*12+MONTH($A288)-MONTH('Recurring Schedule'!$F$28),'Recurring Schedule'!$O$28)=0),IF('Recurring Schedule'!$E$28="Weekdays",WEEKDAY($A288,2)&lt;=5,$A288='Recurring Schedule'!$F$28))),23,""))))</f>
        <v/>
      </c>
      <c r="Y288">
        <f>IF('Recurring Schedule'!$C$29="","",IF('Recurring Schedule'!$F$29="","",IF(OR($A288&lt;'Recurring Schedule'!$F$29,$A288&gt;'Recurring Schedule'!$P$29),"",IF(IF('Recurring Schedule'!$N$29&gt;0,MOD($A288-'Recurring Schedule'!$F$29,'Recurring Schedule'!$N$29)=0,IF('Recurring Schedule'!$O$29&gt;0,AND(DAY($A288)=MIN(DAY('Recurring Schedule'!$F$29),DAY(EOMONTH($A288,0))),MOD((YEAR($A288)-YEAR('Recurring Schedule'!$F$29))*12+MONTH($A288)-MONTH('Recurring Schedule'!$F$29),'Recurring Schedule'!$O$29)=0),IF('Recurring Schedule'!$E$29="Weekdays",WEEKDAY($A288,2)&lt;=5,$A288='Recurring Schedule'!$F$29))),24,""))))</f>
        <v/>
      </c>
      <c r="Z288">
        <f>IF('Recurring Schedule'!$C$30="","",IF('Recurring Schedule'!$F$30="","",IF(OR($A288&lt;'Recurring Schedule'!$F$30,$A288&gt;'Recurring Schedule'!$P$30),"",IF(IF('Recurring Schedule'!$N$30&gt;0,MOD($A288-'Recurring Schedule'!$F$30,'Recurring Schedule'!$N$30)=0,IF('Recurring Schedule'!$O$30&gt;0,AND(DAY($A288)=MIN(DAY('Recurring Schedule'!$F$30),DAY(EOMONTH($A288,0))),MOD((YEAR($A288)-YEAR('Recurring Schedule'!$F$30))*12+MONTH($A288)-MONTH('Recurring Schedule'!$F$30),'Recurring Schedule'!$O$30)=0),IF('Recurring Schedule'!$E$30="Weekdays",WEEKDAY($A288,2)&lt;=5,$A288='Recurring Schedule'!$F$30))),25,""))))</f>
        <v/>
      </c>
      <c r="AA288">
        <f>IF('Recurring Schedule'!$C$31="","",IF('Recurring Schedule'!$F$31="","",IF(OR($A288&lt;'Recurring Schedule'!$F$31,$A288&gt;'Recurring Schedule'!$P$31),"",IF(IF('Recurring Schedule'!$N$31&gt;0,MOD($A288-'Recurring Schedule'!$F$31,'Recurring Schedule'!$N$31)=0,IF('Recurring Schedule'!$O$31&gt;0,AND(DAY($A288)=MIN(DAY('Recurring Schedule'!$F$31),DAY(EOMONTH($A288,0))),MOD((YEAR($A288)-YEAR('Recurring Schedule'!$F$31))*12+MONTH($A288)-MONTH('Recurring Schedule'!$F$31),'Recurring Schedule'!$O$31)=0),IF('Recurring Schedule'!$E$31="Weekdays",WEEKDAY($A288,2)&lt;=5,$A288='Recurring Schedule'!$F$31))),26,""))))</f>
        <v/>
      </c>
      <c r="AB288">
        <f>IF('Recurring Schedule'!$C$32="","",IF('Recurring Schedule'!$F$32="","",IF(OR($A288&lt;'Recurring Schedule'!$F$32,$A288&gt;'Recurring Schedule'!$P$32),"",IF(IF('Recurring Schedule'!$N$32&gt;0,MOD($A288-'Recurring Schedule'!$F$32,'Recurring Schedule'!$N$32)=0,IF('Recurring Schedule'!$O$32&gt;0,AND(DAY($A288)=MIN(DAY('Recurring Schedule'!$F$32),DAY(EOMONTH($A288,0))),MOD((YEAR($A288)-YEAR('Recurring Schedule'!$F$32))*12+MONTH($A288)-MONTH('Recurring Schedule'!$F$32),'Recurring Schedule'!$O$32)=0),IF('Recurring Schedule'!$E$32="Weekdays",WEEKDAY($A288,2)&lt;=5,$A288='Recurring Schedule'!$F$32))),27,""))))</f>
        <v/>
      </c>
      <c r="AC288">
        <f>IF('Recurring Schedule'!$C$33="","",IF('Recurring Schedule'!$F$33="","",IF(OR($A288&lt;'Recurring Schedule'!$F$33,$A288&gt;'Recurring Schedule'!$P$33),"",IF(IF('Recurring Schedule'!$N$33&gt;0,MOD($A288-'Recurring Schedule'!$F$33,'Recurring Schedule'!$N$33)=0,IF('Recurring Schedule'!$O$33&gt;0,AND(DAY($A288)=MIN(DAY('Recurring Schedule'!$F$33),DAY(EOMONTH($A288,0))),MOD((YEAR($A288)-YEAR('Recurring Schedule'!$F$33))*12+MONTH($A288)-MONTH('Recurring Schedule'!$F$33),'Recurring Schedule'!$O$33)=0),IF('Recurring Schedule'!$E$33="Weekdays",WEEKDAY($A288,2)&lt;=5,$A288='Recurring Schedule'!$F$33))),28,""))))</f>
        <v/>
      </c>
      <c r="AD288">
        <f>IF('Recurring Schedule'!$C$34="","",IF('Recurring Schedule'!$F$34="","",IF(OR($A288&lt;'Recurring Schedule'!$F$34,$A288&gt;'Recurring Schedule'!$P$34),"",IF(IF('Recurring Schedule'!$N$34&gt;0,MOD($A288-'Recurring Schedule'!$F$34,'Recurring Schedule'!$N$34)=0,IF('Recurring Schedule'!$O$34&gt;0,AND(DAY($A288)=MIN(DAY('Recurring Schedule'!$F$34),DAY(EOMONTH($A288,0))),MOD((YEAR($A288)-YEAR('Recurring Schedule'!$F$34))*12+MONTH($A288)-MONTH('Recurring Schedule'!$F$34),'Recurring Schedule'!$O$34)=0),IF('Recurring Schedule'!$E$34="Weekdays",WEEKDAY($A288,2)&lt;=5,$A288='Recurring Schedule'!$F$34))),29,""))))</f>
        <v/>
      </c>
      <c r="AE288">
        <f>IF('Recurring Schedule'!$C$35="","",IF('Recurring Schedule'!$F$35="","",IF(OR($A288&lt;'Recurring Schedule'!$F$35,$A288&gt;'Recurring Schedule'!$P$35),"",IF(IF('Recurring Schedule'!$N$35&gt;0,MOD($A288-'Recurring Schedule'!$F$35,'Recurring Schedule'!$N$35)=0,IF('Recurring Schedule'!$O$35&gt;0,AND(DAY($A288)=MIN(DAY('Recurring Schedule'!$F$35),DAY(EOMONTH($A288,0))),MOD((YEAR($A288)-YEAR('Recurring Schedule'!$F$35))*12+MONTH($A288)-MONTH('Recurring Schedule'!$F$35),'Recurring Schedule'!$O$35)=0),IF('Recurring Schedule'!$E$35="Weekdays",WEEKDAY($A288,2)&lt;=5,$A288='Recurring Schedule'!$F$35))),30,""))))</f>
        <v/>
      </c>
      <c r="AF288">
        <f>IF('Recurring Schedule'!$C$36="","",IF('Recurring Schedule'!$F$36="","",IF(OR($A288&lt;'Recurring Schedule'!$F$36,$A288&gt;'Recurring Schedule'!$P$36),"",IF(IF('Recurring Schedule'!$N$36&gt;0,MOD($A288-'Recurring Schedule'!$F$36,'Recurring Schedule'!$N$36)=0,IF('Recurring Schedule'!$O$36&gt;0,AND(DAY($A288)=MIN(DAY('Recurring Schedule'!$F$36),DAY(EOMONTH($A288,0))),MOD((YEAR($A288)-YEAR('Recurring Schedule'!$F$36))*12+MONTH($A288)-MONTH('Recurring Schedule'!$F$36),'Recurring Schedule'!$O$36)=0),IF('Recurring Schedule'!$E$36="Weekdays",WEEKDAY($A288,2)&lt;=5,$A288='Recurring Schedule'!$F$36))),31,""))))</f>
        <v/>
      </c>
      <c r="AG288">
        <f>IF('Recurring Schedule'!$C$37="","",IF('Recurring Schedule'!$F$37="","",IF(OR($A288&lt;'Recurring Schedule'!$F$37,$A288&gt;'Recurring Schedule'!$P$37),"",IF(IF('Recurring Schedule'!$N$37&gt;0,MOD($A288-'Recurring Schedule'!$F$37,'Recurring Schedule'!$N$37)=0,IF('Recurring Schedule'!$O$37&gt;0,AND(DAY($A288)=MIN(DAY('Recurring Schedule'!$F$37),DAY(EOMONTH($A288,0))),MOD((YEAR($A288)-YEAR('Recurring Schedule'!$F$37))*12+MONTH($A288)-MONTH('Recurring Schedule'!$F$37),'Recurring Schedule'!$O$37)=0),IF('Recurring Schedule'!$E$37="Weekdays",WEEKDAY($A288,2)&lt;=5,$A288='Recurring Schedule'!$F$37))),32,""))))</f>
        <v/>
      </c>
      <c r="AH288">
        <f>IF('Recurring Schedule'!$C$38="","",IF('Recurring Schedule'!$F$38="","",IF(OR($A288&lt;'Recurring Schedule'!$F$38,$A288&gt;'Recurring Schedule'!$P$38),"",IF(IF('Recurring Schedule'!$N$38&gt;0,MOD($A288-'Recurring Schedule'!$F$38,'Recurring Schedule'!$N$38)=0,IF('Recurring Schedule'!$O$38&gt;0,AND(DAY($A288)=MIN(DAY('Recurring Schedule'!$F$38),DAY(EOMONTH($A288,0))),MOD((YEAR($A288)-YEAR('Recurring Schedule'!$F$38))*12+MONTH($A288)-MONTH('Recurring Schedule'!$F$38),'Recurring Schedule'!$O$38)=0),IF('Recurring Schedule'!$E$38="Weekdays",WEEKDAY($A288,2)&lt;=5,$A288='Recurring Schedule'!$F$38))),33,""))))</f>
        <v/>
      </c>
      <c r="AI288">
        <f>IF('Recurring Schedule'!$C$39="","",IF('Recurring Schedule'!$F$39="","",IF(OR($A288&lt;'Recurring Schedule'!$F$39,$A288&gt;'Recurring Schedule'!$P$39),"",IF(IF('Recurring Schedule'!$N$39&gt;0,MOD($A288-'Recurring Schedule'!$F$39,'Recurring Schedule'!$N$39)=0,IF('Recurring Schedule'!$O$39&gt;0,AND(DAY($A288)=MIN(DAY('Recurring Schedule'!$F$39),DAY(EOMONTH($A288,0))),MOD((YEAR($A288)-YEAR('Recurring Schedule'!$F$39))*12+MONTH($A288)-MONTH('Recurring Schedule'!$F$39),'Recurring Schedule'!$O$39)=0),IF('Recurring Schedule'!$E$39="Weekdays",WEEKDAY($A288,2)&lt;=5,$A288='Recurring Schedule'!$F$39))),34,""))))</f>
        <v/>
      </c>
      <c r="AJ288">
        <f>IF('Recurring Schedule'!$C$40="","",IF('Recurring Schedule'!$F$40="","",IF(OR($A288&lt;'Recurring Schedule'!$F$40,$A288&gt;'Recurring Schedule'!$P$40),"",IF(IF('Recurring Schedule'!$N$40&gt;0,MOD($A288-'Recurring Schedule'!$F$40,'Recurring Schedule'!$N$40)=0,IF('Recurring Schedule'!$O$40&gt;0,AND(DAY($A288)=MIN(DAY('Recurring Schedule'!$F$40),DAY(EOMONTH($A288,0))),MOD((YEAR($A288)-YEAR('Recurring Schedule'!$F$40))*12+MONTH($A288)-MONTH('Recurring Schedule'!$F$40),'Recurring Schedule'!$O$40)=0),IF('Recurring Schedule'!$E$40="Weekdays",WEEKDAY($A288,2)&lt;=5,$A288='Recurring Schedule'!$F$40))),35,""))))</f>
        <v/>
      </c>
      <c r="AK288">
        <f>IF('Recurring Schedule'!$C$41="","",IF('Recurring Schedule'!$F$41="","",IF(OR($A288&lt;'Recurring Schedule'!$F$41,$A288&gt;'Recurring Schedule'!$P$41),"",IF(IF('Recurring Schedule'!$N$41&gt;0,MOD($A288-'Recurring Schedule'!$F$41,'Recurring Schedule'!$N$41)=0,IF('Recurring Schedule'!$O$41&gt;0,AND(DAY($A288)=MIN(DAY('Recurring Schedule'!$F$41),DAY(EOMONTH($A288,0))),MOD((YEAR($A288)-YEAR('Recurring Schedule'!$F$41))*12+MONTH($A288)-MONTH('Recurring Schedule'!$F$41),'Recurring Schedule'!$O$41)=0),IF('Recurring Schedule'!$E$41="Weekdays",WEEKDAY($A288,2)&lt;=5,$A288='Recurring Schedule'!$F$41))),36,""))))</f>
        <v/>
      </c>
      <c r="AL288">
        <f>IF('Recurring Schedule'!$C$42="","",IF('Recurring Schedule'!$F$42="","",IF(OR($A288&lt;'Recurring Schedule'!$F$42,$A288&gt;'Recurring Schedule'!$P$42),"",IF(IF('Recurring Schedule'!$N$42&gt;0,MOD($A288-'Recurring Schedule'!$F$42,'Recurring Schedule'!$N$42)=0,IF('Recurring Schedule'!$O$42&gt;0,AND(DAY($A288)=MIN(DAY('Recurring Schedule'!$F$42),DAY(EOMONTH($A288,0))),MOD((YEAR($A288)-YEAR('Recurring Schedule'!$F$42))*12+MONTH($A288)-MONTH('Recurring Schedule'!$F$42),'Recurring Schedule'!$O$42)=0),IF('Recurring Schedule'!$E$42="Weekdays",WEEKDAY($A288,2)&lt;=5,$A288='Recurring Schedule'!$F$42))),37,""))))</f>
        <v/>
      </c>
      <c r="AM288">
        <f>IF('Recurring Schedule'!$C$43="","",IF('Recurring Schedule'!$F$43="","",IF(OR($A288&lt;'Recurring Schedule'!$F$43,$A288&gt;'Recurring Schedule'!$P$43),"",IF(IF('Recurring Schedule'!$N$43&gt;0,MOD($A288-'Recurring Schedule'!$F$43,'Recurring Schedule'!$N$43)=0,IF('Recurring Schedule'!$O$43&gt;0,AND(DAY($A288)=MIN(DAY('Recurring Schedule'!$F$43),DAY(EOMONTH($A288,0))),MOD((YEAR($A288)-YEAR('Recurring Schedule'!$F$43))*12+MONTH($A288)-MONTH('Recurring Schedule'!$F$43),'Recurring Schedule'!$O$43)=0),IF('Recurring Schedule'!$E$43="Weekdays",WEEKDAY($A288,2)&lt;=5,$A288='Recurring Schedule'!$F$43))),38,""))))</f>
        <v/>
      </c>
      <c r="AN288">
        <f>IF('Recurring Schedule'!$C$44="","",IF('Recurring Schedule'!$F$44="","",IF(OR($A288&lt;'Recurring Schedule'!$F$44,$A288&gt;'Recurring Schedule'!$P$44),"",IF(IF('Recurring Schedule'!$N$44&gt;0,MOD($A288-'Recurring Schedule'!$F$44,'Recurring Schedule'!$N$44)=0,IF('Recurring Schedule'!$O$44&gt;0,AND(DAY($A288)=MIN(DAY('Recurring Schedule'!$F$44),DAY(EOMONTH($A288,0))),MOD((YEAR($A288)-YEAR('Recurring Schedule'!$F$44))*12+MONTH($A288)-MONTH('Recurring Schedule'!$F$44),'Recurring Schedule'!$O$44)=0),IF('Recurring Schedule'!$E$44="Weekdays",WEEKDAY($A288,2)&lt;=5,$A288='Recurring Schedule'!$F$44))),39,""))))</f>
        <v/>
      </c>
      <c r="AO288">
        <f>IF('Recurring Schedule'!$C$45="","",IF('Recurring Schedule'!$F$45="","",IF(OR($A288&lt;'Recurring Schedule'!$F$45,$A288&gt;'Recurring Schedule'!$P$45),"",IF(IF('Recurring Schedule'!$N$45&gt;0,MOD($A288-'Recurring Schedule'!$F$45,'Recurring Schedule'!$N$45)=0,IF('Recurring Schedule'!$O$45&gt;0,AND(DAY($A288)=MIN(DAY('Recurring Schedule'!$F$45),DAY(EOMONTH($A288,0))),MOD((YEAR($A288)-YEAR('Recurring Schedule'!$F$45))*12+MONTH($A288)-MONTH('Recurring Schedule'!$F$45),'Recurring Schedule'!$O$45)=0),IF('Recurring Schedule'!$E$45="Weekdays",WEEKDAY($A288,2)&lt;=5,$A288='Recurring Schedule'!$F$45))),40,""))))</f>
        <v/>
      </c>
      <c r="AP288">
        <f>COUNT(B288:AO288)</f>
        <v/>
      </c>
      <c r="AQ288">
        <f>AQ287+AP287</f>
        <v/>
      </c>
      <c r="AS288" t="inlineStr">
        <is>
          <t>R</t>
        </is>
      </c>
      <c r="AT288" t="n">
        <v>292</v>
      </c>
      <c r="AU288">
        <f>'Recurring Log'!C292&amp;""</f>
        <v/>
      </c>
      <c r="AV288">
        <f>'Recurring Log'!D292&amp;""</f>
        <v/>
      </c>
      <c r="AW288">
        <f>IF('Recurring Log'!E292="","",'Recurring Log'!E292)</f>
        <v/>
      </c>
      <c r="AX288">
        <f>IF('Recurring Log'!G292="","",'Recurring Log'!G292)</f>
        <v/>
      </c>
      <c r="AY288">
        <f>IF('Recurring Log'!H292="","",'Recurring Log'!H292)</f>
        <v/>
      </c>
      <c r="AZ288">
        <f>IF(AU288="","",IF('Recurring Log'!J292="","Not Started",'Recurring Log'!J292))</f>
        <v/>
      </c>
      <c r="BA288">
        <f>'Recurring Log'!L292&amp;""</f>
        <v/>
      </c>
      <c r="BB288">
        <f>'Recurring Log'!M292&amp;""</f>
        <v/>
      </c>
      <c r="BC288">
        <f>'Recurring Log'!N292&amp;""</f>
        <v/>
      </c>
      <c r="BD288">
        <f>'Recurring Log'!O292&amp;""</f>
        <v/>
      </c>
      <c r="BE288">
        <f>IF('Recurring Log'!K292="","",'Recurring Log'!K292)</f>
        <v/>
      </c>
      <c r="BF288">
        <f>IFERROR(MATCH(BA288,Setup!$L$6:$L$9,0),5)</f>
        <v/>
      </c>
      <c r="BG288">
        <f>IF(OR(AZ288="Done",AZ288="Cancelled"),1,0)</f>
        <v/>
      </c>
      <c r="BH288">
        <f>IF(AND(AU288&lt;&gt;"",ISNUMBER(AW288)),1,0)</f>
        <v/>
      </c>
      <c r="BI288">
        <f>IF(BH288=0,0,IF(AND(AW288&gt;='Tasks Filter'!$F$3,AW288&lt;='Tasks Filter'!$F$4,OR('Tasks Filter'!$I$3="",ISNUMBER(SEARCH('Tasks Filter'!$I$3,AU288))),OR('Tasks Filter'!$I$4="",BF288=IFERROR(MATCH('Tasks Filter'!$I$4,Setup!$L$6:$L$9,0),0)),OR('Tasks Filter'!$I$5="Both",AND('Tasks Filter'!$I$5="Yes",BB288="✓"),AND('Tasks Filter'!$I$5="No",BB288&lt;&gt;"✓")),OR('Tasks Filter'!$L$3="",AV288='Tasks Filter'!$L$3),OR('Tasks Filter'!$L$4="",AZ288='Tasks Filter'!$L$4),OR('Tasks Filter'!$L$5="",BC288='Tasks Filter'!$L$5),OR('Tasks Filter'!$O$3="",BD288='Tasks Filter'!$O$3),OR('Tasks Filter'!$O$4="Yes",BG288=0)),1,0))</f>
        <v/>
      </c>
      <c r="BJ288">
        <f>IF(BH288=0,"",IF('Tasks Filter'!$F$6="Descending",-1,1)*CHOOSE(MATCH('Tasks Filter'!$F$5,Lists!$G$2:$G$6,0),AW288,BF288,IFERROR(MATCH(AV288,Setup!$F$6:$F$15,0),99),IFERROR(MATCH(BC288,Setup!$H$6:$H$15,0),99),IFERROR(MATCH(AZ288,Setup!$J$6:$J$11,0),99))*1E+9+(AW288-40000)*10000+287)</f>
        <v/>
      </c>
      <c r="BK288">
        <f>IF(BI288=1,BJ288,"")</f>
        <v/>
      </c>
      <c r="BL288">
        <f>IF(AND(BH288=1,BG288=0,N(AW288)&lt;Setup!$D$7),(AW288-40000)*10000+287,"")</f>
        <v/>
      </c>
      <c r="BM288">
        <f>IF(AND(BH288=1,AZ288&lt;&gt;"Cancelled",N(AW288)&gt;=Dashboard!$AB$3,N(AW288)&lt;=Dashboard!$AB$3+6),(AW288-40000)*100000+BF288*10000+287,"")</f>
        <v/>
      </c>
      <c r="BN288">
        <f>IF(AND(BH288=1,AZ288&lt;&gt;"Cancelled"),BF288*10000+287,"")</f>
        <v/>
      </c>
    </row>
    <row r="289">
      <c r="A289">
        <f>Setup!$D$5+287</f>
        <v/>
      </c>
      <c r="B289">
        <f>IF('Recurring Schedule'!$C$6="","",IF('Recurring Schedule'!$F$6="","",IF(OR($A289&lt;'Recurring Schedule'!$F$6,$A289&gt;'Recurring Schedule'!$P$6),"",IF(IF('Recurring Schedule'!$N$6&gt;0,MOD($A289-'Recurring Schedule'!$F$6,'Recurring Schedule'!$N$6)=0,IF('Recurring Schedule'!$O$6&gt;0,AND(DAY($A289)=MIN(DAY('Recurring Schedule'!$F$6),DAY(EOMONTH($A289,0))),MOD((YEAR($A289)-YEAR('Recurring Schedule'!$F$6))*12+MONTH($A289)-MONTH('Recurring Schedule'!$F$6),'Recurring Schedule'!$O$6)=0),IF('Recurring Schedule'!$E$6="Weekdays",WEEKDAY($A289,2)&lt;=5,$A289='Recurring Schedule'!$F$6))),1,""))))</f>
        <v/>
      </c>
      <c r="C289">
        <f>IF('Recurring Schedule'!$C$7="","",IF('Recurring Schedule'!$F$7="","",IF(OR($A289&lt;'Recurring Schedule'!$F$7,$A289&gt;'Recurring Schedule'!$P$7),"",IF(IF('Recurring Schedule'!$N$7&gt;0,MOD($A289-'Recurring Schedule'!$F$7,'Recurring Schedule'!$N$7)=0,IF('Recurring Schedule'!$O$7&gt;0,AND(DAY($A289)=MIN(DAY('Recurring Schedule'!$F$7),DAY(EOMONTH($A289,0))),MOD((YEAR($A289)-YEAR('Recurring Schedule'!$F$7))*12+MONTH($A289)-MONTH('Recurring Schedule'!$F$7),'Recurring Schedule'!$O$7)=0),IF('Recurring Schedule'!$E$7="Weekdays",WEEKDAY($A289,2)&lt;=5,$A289='Recurring Schedule'!$F$7))),2,""))))</f>
        <v/>
      </c>
      <c r="D289">
        <f>IF('Recurring Schedule'!$C$8="","",IF('Recurring Schedule'!$F$8="","",IF(OR($A289&lt;'Recurring Schedule'!$F$8,$A289&gt;'Recurring Schedule'!$P$8),"",IF(IF('Recurring Schedule'!$N$8&gt;0,MOD($A289-'Recurring Schedule'!$F$8,'Recurring Schedule'!$N$8)=0,IF('Recurring Schedule'!$O$8&gt;0,AND(DAY($A289)=MIN(DAY('Recurring Schedule'!$F$8),DAY(EOMONTH($A289,0))),MOD((YEAR($A289)-YEAR('Recurring Schedule'!$F$8))*12+MONTH($A289)-MONTH('Recurring Schedule'!$F$8),'Recurring Schedule'!$O$8)=0),IF('Recurring Schedule'!$E$8="Weekdays",WEEKDAY($A289,2)&lt;=5,$A289='Recurring Schedule'!$F$8))),3,""))))</f>
        <v/>
      </c>
      <c r="E289">
        <f>IF('Recurring Schedule'!$C$9="","",IF('Recurring Schedule'!$F$9="","",IF(OR($A289&lt;'Recurring Schedule'!$F$9,$A289&gt;'Recurring Schedule'!$P$9),"",IF(IF('Recurring Schedule'!$N$9&gt;0,MOD($A289-'Recurring Schedule'!$F$9,'Recurring Schedule'!$N$9)=0,IF('Recurring Schedule'!$O$9&gt;0,AND(DAY($A289)=MIN(DAY('Recurring Schedule'!$F$9),DAY(EOMONTH($A289,0))),MOD((YEAR($A289)-YEAR('Recurring Schedule'!$F$9))*12+MONTH($A289)-MONTH('Recurring Schedule'!$F$9),'Recurring Schedule'!$O$9)=0),IF('Recurring Schedule'!$E$9="Weekdays",WEEKDAY($A289,2)&lt;=5,$A289='Recurring Schedule'!$F$9))),4,""))))</f>
        <v/>
      </c>
      <c r="F289">
        <f>IF('Recurring Schedule'!$C$10="","",IF('Recurring Schedule'!$F$10="","",IF(OR($A289&lt;'Recurring Schedule'!$F$10,$A289&gt;'Recurring Schedule'!$P$10),"",IF(IF('Recurring Schedule'!$N$10&gt;0,MOD($A289-'Recurring Schedule'!$F$10,'Recurring Schedule'!$N$10)=0,IF('Recurring Schedule'!$O$10&gt;0,AND(DAY($A289)=MIN(DAY('Recurring Schedule'!$F$10),DAY(EOMONTH($A289,0))),MOD((YEAR($A289)-YEAR('Recurring Schedule'!$F$10))*12+MONTH($A289)-MONTH('Recurring Schedule'!$F$10),'Recurring Schedule'!$O$10)=0),IF('Recurring Schedule'!$E$10="Weekdays",WEEKDAY($A289,2)&lt;=5,$A289='Recurring Schedule'!$F$10))),5,""))))</f>
        <v/>
      </c>
      <c r="G289">
        <f>IF('Recurring Schedule'!$C$11="","",IF('Recurring Schedule'!$F$11="","",IF(OR($A289&lt;'Recurring Schedule'!$F$11,$A289&gt;'Recurring Schedule'!$P$11),"",IF(IF('Recurring Schedule'!$N$11&gt;0,MOD($A289-'Recurring Schedule'!$F$11,'Recurring Schedule'!$N$11)=0,IF('Recurring Schedule'!$O$11&gt;0,AND(DAY($A289)=MIN(DAY('Recurring Schedule'!$F$11),DAY(EOMONTH($A289,0))),MOD((YEAR($A289)-YEAR('Recurring Schedule'!$F$11))*12+MONTH($A289)-MONTH('Recurring Schedule'!$F$11),'Recurring Schedule'!$O$11)=0),IF('Recurring Schedule'!$E$11="Weekdays",WEEKDAY($A289,2)&lt;=5,$A289='Recurring Schedule'!$F$11))),6,""))))</f>
        <v/>
      </c>
      <c r="H289">
        <f>IF('Recurring Schedule'!$C$12="","",IF('Recurring Schedule'!$F$12="","",IF(OR($A289&lt;'Recurring Schedule'!$F$12,$A289&gt;'Recurring Schedule'!$P$12),"",IF(IF('Recurring Schedule'!$N$12&gt;0,MOD($A289-'Recurring Schedule'!$F$12,'Recurring Schedule'!$N$12)=0,IF('Recurring Schedule'!$O$12&gt;0,AND(DAY($A289)=MIN(DAY('Recurring Schedule'!$F$12),DAY(EOMONTH($A289,0))),MOD((YEAR($A289)-YEAR('Recurring Schedule'!$F$12))*12+MONTH($A289)-MONTH('Recurring Schedule'!$F$12),'Recurring Schedule'!$O$12)=0),IF('Recurring Schedule'!$E$12="Weekdays",WEEKDAY($A289,2)&lt;=5,$A289='Recurring Schedule'!$F$12))),7,""))))</f>
        <v/>
      </c>
      <c r="I289">
        <f>IF('Recurring Schedule'!$C$13="","",IF('Recurring Schedule'!$F$13="","",IF(OR($A289&lt;'Recurring Schedule'!$F$13,$A289&gt;'Recurring Schedule'!$P$13),"",IF(IF('Recurring Schedule'!$N$13&gt;0,MOD($A289-'Recurring Schedule'!$F$13,'Recurring Schedule'!$N$13)=0,IF('Recurring Schedule'!$O$13&gt;0,AND(DAY($A289)=MIN(DAY('Recurring Schedule'!$F$13),DAY(EOMONTH($A289,0))),MOD((YEAR($A289)-YEAR('Recurring Schedule'!$F$13))*12+MONTH($A289)-MONTH('Recurring Schedule'!$F$13),'Recurring Schedule'!$O$13)=0),IF('Recurring Schedule'!$E$13="Weekdays",WEEKDAY($A289,2)&lt;=5,$A289='Recurring Schedule'!$F$13))),8,""))))</f>
        <v/>
      </c>
      <c r="J289">
        <f>IF('Recurring Schedule'!$C$14="","",IF('Recurring Schedule'!$F$14="","",IF(OR($A289&lt;'Recurring Schedule'!$F$14,$A289&gt;'Recurring Schedule'!$P$14),"",IF(IF('Recurring Schedule'!$N$14&gt;0,MOD($A289-'Recurring Schedule'!$F$14,'Recurring Schedule'!$N$14)=0,IF('Recurring Schedule'!$O$14&gt;0,AND(DAY($A289)=MIN(DAY('Recurring Schedule'!$F$14),DAY(EOMONTH($A289,0))),MOD((YEAR($A289)-YEAR('Recurring Schedule'!$F$14))*12+MONTH($A289)-MONTH('Recurring Schedule'!$F$14),'Recurring Schedule'!$O$14)=0),IF('Recurring Schedule'!$E$14="Weekdays",WEEKDAY($A289,2)&lt;=5,$A289='Recurring Schedule'!$F$14))),9,""))))</f>
        <v/>
      </c>
      <c r="K289">
        <f>IF('Recurring Schedule'!$C$15="","",IF('Recurring Schedule'!$F$15="","",IF(OR($A289&lt;'Recurring Schedule'!$F$15,$A289&gt;'Recurring Schedule'!$P$15),"",IF(IF('Recurring Schedule'!$N$15&gt;0,MOD($A289-'Recurring Schedule'!$F$15,'Recurring Schedule'!$N$15)=0,IF('Recurring Schedule'!$O$15&gt;0,AND(DAY($A289)=MIN(DAY('Recurring Schedule'!$F$15),DAY(EOMONTH($A289,0))),MOD((YEAR($A289)-YEAR('Recurring Schedule'!$F$15))*12+MONTH($A289)-MONTH('Recurring Schedule'!$F$15),'Recurring Schedule'!$O$15)=0),IF('Recurring Schedule'!$E$15="Weekdays",WEEKDAY($A289,2)&lt;=5,$A289='Recurring Schedule'!$F$15))),10,""))))</f>
        <v/>
      </c>
      <c r="L289">
        <f>IF('Recurring Schedule'!$C$16="","",IF('Recurring Schedule'!$F$16="","",IF(OR($A289&lt;'Recurring Schedule'!$F$16,$A289&gt;'Recurring Schedule'!$P$16),"",IF(IF('Recurring Schedule'!$N$16&gt;0,MOD($A289-'Recurring Schedule'!$F$16,'Recurring Schedule'!$N$16)=0,IF('Recurring Schedule'!$O$16&gt;0,AND(DAY($A289)=MIN(DAY('Recurring Schedule'!$F$16),DAY(EOMONTH($A289,0))),MOD((YEAR($A289)-YEAR('Recurring Schedule'!$F$16))*12+MONTH($A289)-MONTH('Recurring Schedule'!$F$16),'Recurring Schedule'!$O$16)=0),IF('Recurring Schedule'!$E$16="Weekdays",WEEKDAY($A289,2)&lt;=5,$A289='Recurring Schedule'!$F$16))),11,""))))</f>
        <v/>
      </c>
      <c r="M289">
        <f>IF('Recurring Schedule'!$C$17="","",IF('Recurring Schedule'!$F$17="","",IF(OR($A289&lt;'Recurring Schedule'!$F$17,$A289&gt;'Recurring Schedule'!$P$17),"",IF(IF('Recurring Schedule'!$N$17&gt;0,MOD($A289-'Recurring Schedule'!$F$17,'Recurring Schedule'!$N$17)=0,IF('Recurring Schedule'!$O$17&gt;0,AND(DAY($A289)=MIN(DAY('Recurring Schedule'!$F$17),DAY(EOMONTH($A289,0))),MOD((YEAR($A289)-YEAR('Recurring Schedule'!$F$17))*12+MONTH($A289)-MONTH('Recurring Schedule'!$F$17),'Recurring Schedule'!$O$17)=0),IF('Recurring Schedule'!$E$17="Weekdays",WEEKDAY($A289,2)&lt;=5,$A289='Recurring Schedule'!$F$17))),12,""))))</f>
        <v/>
      </c>
      <c r="N289">
        <f>IF('Recurring Schedule'!$C$18="","",IF('Recurring Schedule'!$F$18="","",IF(OR($A289&lt;'Recurring Schedule'!$F$18,$A289&gt;'Recurring Schedule'!$P$18),"",IF(IF('Recurring Schedule'!$N$18&gt;0,MOD($A289-'Recurring Schedule'!$F$18,'Recurring Schedule'!$N$18)=0,IF('Recurring Schedule'!$O$18&gt;0,AND(DAY($A289)=MIN(DAY('Recurring Schedule'!$F$18),DAY(EOMONTH($A289,0))),MOD((YEAR($A289)-YEAR('Recurring Schedule'!$F$18))*12+MONTH($A289)-MONTH('Recurring Schedule'!$F$18),'Recurring Schedule'!$O$18)=0),IF('Recurring Schedule'!$E$18="Weekdays",WEEKDAY($A289,2)&lt;=5,$A289='Recurring Schedule'!$F$18))),13,""))))</f>
        <v/>
      </c>
      <c r="O289">
        <f>IF('Recurring Schedule'!$C$19="","",IF('Recurring Schedule'!$F$19="","",IF(OR($A289&lt;'Recurring Schedule'!$F$19,$A289&gt;'Recurring Schedule'!$P$19),"",IF(IF('Recurring Schedule'!$N$19&gt;0,MOD($A289-'Recurring Schedule'!$F$19,'Recurring Schedule'!$N$19)=0,IF('Recurring Schedule'!$O$19&gt;0,AND(DAY($A289)=MIN(DAY('Recurring Schedule'!$F$19),DAY(EOMONTH($A289,0))),MOD((YEAR($A289)-YEAR('Recurring Schedule'!$F$19))*12+MONTH($A289)-MONTH('Recurring Schedule'!$F$19),'Recurring Schedule'!$O$19)=0),IF('Recurring Schedule'!$E$19="Weekdays",WEEKDAY($A289,2)&lt;=5,$A289='Recurring Schedule'!$F$19))),14,""))))</f>
        <v/>
      </c>
      <c r="P289">
        <f>IF('Recurring Schedule'!$C$20="","",IF('Recurring Schedule'!$F$20="","",IF(OR($A289&lt;'Recurring Schedule'!$F$20,$A289&gt;'Recurring Schedule'!$P$20),"",IF(IF('Recurring Schedule'!$N$20&gt;0,MOD($A289-'Recurring Schedule'!$F$20,'Recurring Schedule'!$N$20)=0,IF('Recurring Schedule'!$O$20&gt;0,AND(DAY($A289)=MIN(DAY('Recurring Schedule'!$F$20),DAY(EOMONTH($A289,0))),MOD((YEAR($A289)-YEAR('Recurring Schedule'!$F$20))*12+MONTH($A289)-MONTH('Recurring Schedule'!$F$20),'Recurring Schedule'!$O$20)=0),IF('Recurring Schedule'!$E$20="Weekdays",WEEKDAY($A289,2)&lt;=5,$A289='Recurring Schedule'!$F$20))),15,""))))</f>
        <v/>
      </c>
      <c r="Q289">
        <f>IF('Recurring Schedule'!$C$21="","",IF('Recurring Schedule'!$F$21="","",IF(OR($A289&lt;'Recurring Schedule'!$F$21,$A289&gt;'Recurring Schedule'!$P$21),"",IF(IF('Recurring Schedule'!$N$21&gt;0,MOD($A289-'Recurring Schedule'!$F$21,'Recurring Schedule'!$N$21)=0,IF('Recurring Schedule'!$O$21&gt;0,AND(DAY($A289)=MIN(DAY('Recurring Schedule'!$F$21),DAY(EOMONTH($A289,0))),MOD((YEAR($A289)-YEAR('Recurring Schedule'!$F$21))*12+MONTH($A289)-MONTH('Recurring Schedule'!$F$21),'Recurring Schedule'!$O$21)=0),IF('Recurring Schedule'!$E$21="Weekdays",WEEKDAY($A289,2)&lt;=5,$A289='Recurring Schedule'!$F$21))),16,""))))</f>
        <v/>
      </c>
      <c r="R289">
        <f>IF('Recurring Schedule'!$C$22="","",IF('Recurring Schedule'!$F$22="","",IF(OR($A289&lt;'Recurring Schedule'!$F$22,$A289&gt;'Recurring Schedule'!$P$22),"",IF(IF('Recurring Schedule'!$N$22&gt;0,MOD($A289-'Recurring Schedule'!$F$22,'Recurring Schedule'!$N$22)=0,IF('Recurring Schedule'!$O$22&gt;0,AND(DAY($A289)=MIN(DAY('Recurring Schedule'!$F$22),DAY(EOMONTH($A289,0))),MOD((YEAR($A289)-YEAR('Recurring Schedule'!$F$22))*12+MONTH($A289)-MONTH('Recurring Schedule'!$F$22),'Recurring Schedule'!$O$22)=0),IF('Recurring Schedule'!$E$22="Weekdays",WEEKDAY($A289,2)&lt;=5,$A289='Recurring Schedule'!$F$22))),17,""))))</f>
        <v/>
      </c>
      <c r="S289">
        <f>IF('Recurring Schedule'!$C$23="","",IF('Recurring Schedule'!$F$23="","",IF(OR($A289&lt;'Recurring Schedule'!$F$23,$A289&gt;'Recurring Schedule'!$P$23),"",IF(IF('Recurring Schedule'!$N$23&gt;0,MOD($A289-'Recurring Schedule'!$F$23,'Recurring Schedule'!$N$23)=0,IF('Recurring Schedule'!$O$23&gt;0,AND(DAY($A289)=MIN(DAY('Recurring Schedule'!$F$23),DAY(EOMONTH($A289,0))),MOD((YEAR($A289)-YEAR('Recurring Schedule'!$F$23))*12+MONTH($A289)-MONTH('Recurring Schedule'!$F$23),'Recurring Schedule'!$O$23)=0),IF('Recurring Schedule'!$E$23="Weekdays",WEEKDAY($A289,2)&lt;=5,$A289='Recurring Schedule'!$F$23))),18,""))))</f>
        <v/>
      </c>
      <c r="T289">
        <f>IF('Recurring Schedule'!$C$24="","",IF('Recurring Schedule'!$F$24="","",IF(OR($A289&lt;'Recurring Schedule'!$F$24,$A289&gt;'Recurring Schedule'!$P$24),"",IF(IF('Recurring Schedule'!$N$24&gt;0,MOD($A289-'Recurring Schedule'!$F$24,'Recurring Schedule'!$N$24)=0,IF('Recurring Schedule'!$O$24&gt;0,AND(DAY($A289)=MIN(DAY('Recurring Schedule'!$F$24),DAY(EOMONTH($A289,0))),MOD((YEAR($A289)-YEAR('Recurring Schedule'!$F$24))*12+MONTH($A289)-MONTH('Recurring Schedule'!$F$24),'Recurring Schedule'!$O$24)=0),IF('Recurring Schedule'!$E$24="Weekdays",WEEKDAY($A289,2)&lt;=5,$A289='Recurring Schedule'!$F$24))),19,""))))</f>
        <v/>
      </c>
      <c r="U289">
        <f>IF('Recurring Schedule'!$C$25="","",IF('Recurring Schedule'!$F$25="","",IF(OR($A289&lt;'Recurring Schedule'!$F$25,$A289&gt;'Recurring Schedule'!$P$25),"",IF(IF('Recurring Schedule'!$N$25&gt;0,MOD($A289-'Recurring Schedule'!$F$25,'Recurring Schedule'!$N$25)=0,IF('Recurring Schedule'!$O$25&gt;0,AND(DAY($A289)=MIN(DAY('Recurring Schedule'!$F$25),DAY(EOMONTH($A289,0))),MOD((YEAR($A289)-YEAR('Recurring Schedule'!$F$25))*12+MONTH($A289)-MONTH('Recurring Schedule'!$F$25),'Recurring Schedule'!$O$25)=0),IF('Recurring Schedule'!$E$25="Weekdays",WEEKDAY($A289,2)&lt;=5,$A289='Recurring Schedule'!$F$25))),20,""))))</f>
        <v/>
      </c>
      <c r="V289">
        <f>IF('Recurring Schedule'!$C$26="","",IF('Recurring Schedule'!$F$26="","",IF(OR($A289&lt;'Recurring Schedule'!$F$26,$A289&gt;'Recurring Schedule'!$P$26),"",IF(IF('Recurring Schedule'!$N$26&gt;0,MOD($A289-'Recurring Schedule'!$F$26,'Recurring Schedule'!$N$26)=0,IF('Recurring Schedule'!$O$26&gt;0,AND(DAY($A289)=MIN(DAY('Recurring Schedule'!$F$26),DAY(EOMONTH($A289,0))),MOD((YEAR($A289)-YEAR('Recurring Schedule'!$F$26))*12+MONTH($A289)-MONTH('Recurring Schedule'!$F$26),'Recurring Schedule'!$O$26)=0),IF('Recurring Schedule'!$E$26="Weekdays",WEEKDAY($A289,2)&lt;=5,$A289='Recurring Schedule'!$F$26))),21,""))))</f>
        <v/>
      </c>
      <c r="W289">
        <f>IF('Recurring Schedule'!$C$27="","",IF('Recurring Schedule'!$F$27="","",IF(OR($A289&lt;'Recurring Schedule'!$F$27,$A289&gt;'Recurring Schedule'!$P$27),"",IF(IF('Recurring Schedule'!$N$27&gt;0,MOD($A289-'Recurring Schedule'!$F$27,'Recurring Schedule'!$N$27)=0,IF('Recurring Schedule'!$O$27&gt;0,AND(DAY($A289)=MIN(DAY('Recurring Schedule'!$F$27),DAY(EOMONTH($A289,0))),MOD((YEAR($A289)-YEAR('Recurring Schedule'!$F$27))*12+MONTH($A289)-MONTH('Recurring Schedule'!$F$27),'Recurring Schedule'!$O$27)=0),IF('Recurring Schedule'!$E$27="Weekdays",WEEKDAY($A289,2)&lt;=5,$A289='Recurring Schedule'!$F$27))),22,""))))</f>
        <v/>
      </c>
      <c r="X289">
        <f>IF('Recurring Schedule'!$C$28="","",IF('Recurring Schedule'!$F$28="","",IF(OR($A289&lt;'Recurring Schedule'!$F$28,$A289&gt;'Recurring Schedule'!$P$28),"",IF(IF('Recurring Schedule'!$N$28&gt;0,MOD($A289-'Recurring Schedule'!$F$28,'Recurring Schedule'!$N$28)=0,IF('Recurring Schedule'!$O$28&gt;0,AND(DAY($A289)=MIN(DAY('Recurring Schedule'!$F$28),DAY(EOMONTH($A289,0))),MOD((YEAR($A289)-YEAR('Recurring Schedule'!$F$28))*12+MONTH($A289)-MONTH('Recurring Schedule'!$F$28),'Recurring Schedule'!$O$28)=0),IF('Recurring Schedule'!$E$28="Weekdays",WEEKDAY($A289,2)&lt;=5,$A289='Recurring Schedule'!$F$28))),23,""))))</f>
        <v/>
      </c>
      <c r="Y289">
        <f>IF('Recurring Schedule'!$C$29="","",IF('Recurring Schedule'!$F$29="","",IF(OR($A289&lt;'Recurring Schedule'!$F$29,$A289&gt;'Recurring Schedule'!$P$29),"",IF(IF('Recurring Schedule'!$N$29&gt;0,MOD($A289-'Recurring Schedule'!$F$29,'Recurring Schedule'!$N$29)=0,IF('Recurring Schedule'!$O$29&gt;0,AND(DAY($A289)=MIN(DAY('Recurring Schedule'!$F$29),DAY(EOMONTH($A289,0))),MOD((YEAR($A289)-YEAR('Recurring Schedule'!$F$29))*12+MONTH($A289)-MONTH('Recurring Schedule'!$F$29),'Recurring Schedule'!$O$29)=0),IF('Recurring Schedule'!$E$29="Weekdays",WEEKDAY($A289,2)&lt;=5,$A289='Recurring Schedule'!$F$29))),24,""))))</f>
        <v/>
      </c>
      <c r="Z289">
        <f>IF('Recurring Schedule'!$C$30="","",IF('Recurring Schedule'!$F$30="","",IF(OR($A289&lt;'Recurring Schedule'!$F$30,$A289&gt;'Recurring Schedule'!$P$30),"",IF(IF('Recurring Schedule'!$N$30&gt;0,MOD($A289-'Recurring Schedule'!$F$30,'Recurring Schedule'!$N$30)=0,IF('Recurring Schedule'!$O$30&gt;0,AND(DAY($A289)=MIN(DAY('Recurring Schedule'!$F$30),DAY(EOMONTH($A289,0))),MOD((YEAR($A289)-YEAR('Recurring Schedule'!$F$30))*12+MONTH($A289)-MONTH('Recurring Schedule'!$F$30),'Recurring Schedule'!$O$30)=0),IF('Recurring Schedule'!$E$30="Weekdays",WEEKDAY($A289,2)&lt;=5,$A289='Recurring Schedule'!$F$30))),25,""))))</f>
        <v/>
      </c>
      <c r="AA289">
        <f>IF('Recurring Schedule'!$C$31="","",IF('Recurring Schedule'!$F$31="","",IF(OR($A289&lt;'Recurring Schedule'!$F$31,$A289&gt;'Recurring Schedule'!$P$31),"",IF(IF('Recurring Schedule'!$N$31&gt;0,MOD($A289-'Recurring Schedule'!$F$31,'Recurring Schedule'!$N$31)=0,IF('Recurring Schedule'!$O$31&gt;0,AND(DAY($A289)=MIN(DAY('Recurring Schedule'!$F$31),DAY(EOMONTH($A289,0))),MOD((YEAR($A289)-YEAR('Recurring Schedule'!$F$31))*12+MONTH($A289)-MONTH('Recurring Schedule'!$F$31),'Recurring Schedule'!$O$31)=0),IF('Recurring Schedule'!$E$31="Weekdays",WEEKDAY($A289,2)&lt;=5,$A289='Recurring Schedule'!$F$31))),26,""))))</f>
        <v/>
      </c>
      <c r="AB289">
        <f>IF('Recurring Schedule'!$C$32="","",IF('Recurring Schedule'!$F$32="","",IF(OR($A289&lt;'Recurring Schedule'!$F$32,$A289&gt;'Recurring Schedule'!$P$32),"",IF(IF('Recurring Schedule'!$N$32&gt;0,MOD($A289-'Recurring Schedule'!$F$32,'Recurring Schedule'!$N$32)=0,IF('Recurring Schedule'!$O$32&gt;0,AND(DAY($A289)=MIN(DAY('Recurring Schedule'!$F$32),DAY(EOMONTH($A289,0))),MOD((YEAR($A289)-YEAR('Recurring Schedule'!$F$32))*12+MONTH($A289)-MONTH('Recurring Schedule'!$F$32),'Recurring Schedule'!$O$32)=0),IF('Recurring Schedule'!$E$32="Weekdays",WEEKDAY($A289,2)&lt;=5,$A289='Recurring Schedule'!$F$32))),27,""))))</f>
        <v/>
      </c>
      <c r="AC289">
        <f>IF('Recurring Schedule'!$C$33="","",IF('Recurring Schedule'!$F$33="","",IF(OR($A289&lt;'Recurring Schedule'!$F$33,$A289&gt;'Recurring Schedule'!$P$33),"",IF(IF('Recurring Schedule'!$N$33&gt;0,MOD($A289-'Recurring Schedule'!$F$33,'Recurring Schedule'!$N$33)=0,IF('Recurring Schedule'!$O$33&gt;0,AND(DAY($A289)=MIN(DAY('Recurring Schedule'!$F$33),DAY(EOMONTH($A289,0))),MOD((YEAR($A289)-YEAR('Recurring Schedule'!$F$33))*12+MONTH($A289)-MONTH('Recurring Schedule'!$F$33),'Recurring Schedule'!$O$33)=0),IF('Recurring Schedule'!$E$33="Weekdays",WEEKDAY($A289,2)&lt;=5,$A289='Recurring Schedule'!$F$33))),28,""))))</f>
        <v/>
      </c>
      <c r="AD289">
        <f>IF('Recurring Schedule'!$C$34="","",IF('Recurring Schedule'!$F$34="","",IF(OR($A289&lt;'Recurring Schedule'!$F$34,$A289&gt;'Recurring Schedule'!$P$34),"",IF(IF('Recurring Schedule'!$N$34&gt;0,MOD($A289-'Recurring Schedule'!$F$34,'Recurring Schedule'!$N$34)=0,IF('Recurring Schedule'!$O$34&gt;0,AND(DAY($A289)=MIN(DAY('Recurring Schedule'!$F$34),DAY(EOMONTH($A289,0))),MOD((YEAR($A289)-YEAR('Recurring Schedule'!$F$34))*12+MONTH($A289)-MONTH('Recurring Schedule'!$F$34),'Recurring Schedule'!$O$34)=0),IF('Recurring Schedule'!$E$34="Weekdays",WEEKDAY($A289,2)&lt;=5,$A289='Recurring Schedule'!$F$34))),29,""))))</f>
        <v/>
      </c>
      <c r="AE289">
        <f>IF('Recurring Schedule'!$C$35="","",IF('Recurring Schedule'!$F$35="","",IF(OR($A289&lt;'Recurring Schedule'!$F$35,$A289&gt;'Recurring Schedule'!$P$35),"",IF(IF('Recurring Schedule'!$N$35&gt;0,MOD($A289-'Recurring Schedule'!$F$35,'Recurring Schedule'!$N$35)=0,IF('Recurring Schedule'!$O$35&gt;0,AND(DAY($A289)=MIN(DAY('Recurring Schedule'!$F$35),DAY(EOMONTH($A289,0))),MOD((YEAR($A289)-YEAR('Recurring Schedule'!$F$35))*12+MONTH($A289)-MONTH('Recurring Schedule'!$F$35),'Recurring Schedule'!$O$35)=0),IF('Recurring Schedule'!$E$35="Weekdays",WEEKDAY($A289,2)&lt;=5,$A289='Recurring Schedule'!$F$35))),30,""))))</f>
        <v/>
      </c>
      <c r="AF289">
        <f>IF('Recurring Schedule'!$C$36="","",IF('Recurring Schedule'!$F$36="","",IF(OR($A289&lt;'Recurring Schedule'!$F$36,$A289&gt;'Recurring Schedule'!$P$36),"",IF(IF('Recurring Schedule'!$N$36&gt;0,MOD($A289-'Recurring Schedule'!$F$36,'Recurring Schedule'!$N$36)=0,IF('Recurring Schedule'!$O$36&gt;0,AND(DAY($A289)=MIN(DAY('Recurring Schedule'!$F$36),DAY(EOMONTH($A289,0))),MOD((YEAR($A289)-YEAR('Recurring Schedule'!$F$36))*12+MONTH($A289)-MONTH('Recurring Schedule'!$F$36),'Recurring Schedule'!$O$36)=0),IF('Recurring Schedule'!$E$36="Weekdays",WEEKDAY($A289,2)&lt;=5,$A289='Recurring Schedule'!$F$36))),31,""))))</f>
        <v/>
      </c>
      <c r="AG289">
        <f>IF('Recurring Schedule'!$C$37="","",IF('Recurring Schedule'!$F$37="","",IF(OR($A289&lt;'Recurring Schedule'!$F$37,$A289&gt;'Recurring Schedule'!$P$37),"",IF(IF('Recurring Schedule'!$N$37&gt;0,MOD($A289-'Recurring Schedule'!$F$37,'Recurring Schedule'!$N$37)=0,IF('Recurring Schedule'!$O$37&gt;0,AND(DAY($A289)=MIN(DAY('Recurring Schedule'!$F$37),DAY(EOMONTH($A289,0))),MOD((YEAR($A289)-YEAR('Recurring Schedule'!$F$37))*12+MONTH($A289)-MONTH('Recurring Schedule'!$F$37),'Recurring Schedule'!$O$37)=0),IF('Recurring Schedule'!$E$37="Weekdays",WEEKDAY($A289,2)&lt;=5,$A289='Recurring Schedule'!$F$37))),32,""))))</f>
        <v/>
      </c>
      <c r="AH289">
        <f>IF('Recurring Schedule'!$C$38="","",IF('Recurring Schedule'!$F$38="","",IF(OR($A289&lt;'Recurring Schedule'!$F$38,$A289&gt;'Recurring Schedule'!$P$38),"",IF(IF('Recurring Schedule'!$N$38&gt;0,MOD($A289-'Recurring Schedule'!$F$38,'Recurring Schedule'!$N$38)=0,IF('Recurring Schedule'!$O$38&gt;0,AND(DAY($A289)=MIN(DAY('Recurring Schedule'!$F$38),DAY(EOMONTH($A289,0))),MOD((YEAR($A289)-YEAR('Recurring Schedule'!$F$38))*12+MONTH($A289)-MONTH('Recurring Schedule'!$F$38),'Recurring Schedule'!$O$38)=0),IF('Recurring Schedule'!$E$38="Weekdays",WEEKDAY($A289,2)&lt;=5,$A289='Recurring Schedule'!$F$38))),33,""))))</f>
        <v/>
      </c>
      <c r="AI289">
        <f>IF('Recurring Schedule'!$C$39="","",IF('Recurring Schedule'!$F$39="","",IF(OR($A289&lt;'Recurring Schedule'!$F$39,$A289&gt;'Recurring Schedule'!$P$39),"",IF(IF('Recurring Schedule'!$N$39&gt;0,MOD($A289-'Recurring Schedule'!$F$39,'Recurring Schedule'!$N$39)=0,IF('Recurring Schedule'!$O$39&gt;0,AND(DAY($A289)=MIN(DAY('Recurring Schedule'!$F$39),DAY(EOMONTH($A289,0))),MOD((YEAR($A289)-YEAR('Recurring Schedule'!$F$39))*12+MONTH($A289)-MONTH('Recurring Schedule'!$F$39),'Recurring Schedule'!$O$39)=0),IF('Recurring Schedule'!$E$39="Weekdays",WEEKDAY($A289,2)&lt;=5,$A289='Recurring Schedule'!$F$39))),34,""))))</f>
        <v/>
      </c>
      <c r="AJ289">
        <f>IF('Recurring Schedule'!$C$40="","",IF('Recurring Schedule'!$F$40="","",IF(OR($A289&lt;'Recurring Schedule'!$F$40,$A289&gt;'Recurring Schedule'!$P$40),"",IF(IF('Recurring Schedule'!$N$40&gt;0,MOD($A289-'Recurring Schedule'!$F$40,'Recurring Schedule'!$N$40)=0,IF('Recurring Schedule'!$O$40&gt;0,AND(DAY($A289)=MIN(DAY('Recurring Schedule'!$F$40),DAY(EOMONTH($A289,0))),MOD((YEAR($A289)-YEAR('Recurring Schedule'!$F$40))*12+MONTH($A289)-MONTH('Recurring Schedule'!$F$40),'Recurring Schedule'!$O$40)=0),IF('Recurring Schedule'!$E$40="Weekdays",WEEKDAY($A289,2)&lt;=5,$A289='Recurring Schedule'!$F$40))),35,""))))</f>
        <v/>
      </c>
      <c r="AK289">
        <f>IF('Recurring Schedule'!$C$41="","",IF('Recurring Schedule'!$F$41="","",IF(OR($A289&lt;'Recurring Schedule'!$F$41,$A289&gt;'Recurring Schedule'!$P$41),"",IF(IF('Recurring Schedule'!$N$41&gt;0,MOD($A289-'Recurring Schedule'!$F$41,'Recurring Schedule'!$N$41)=0,IF('Recurring Schedule'!$O$41&gt;0,AND(DAY($A289)=MIN(DAY('Recurring Schedule'!$F$41),DAY(EOMONTH($A289,0))),MOD((YEAR($A289)-YEAR('Recurring Schedule'!$F$41))*12+MONTH($A289)-MONTH('Recurring Schedule'!$F$41),'Recurring Schedule'!$O$41)=0),IF('Recurring Schedule'!$E$41="Weekdays",WEEKDAY($A289,2)&lt;=5,$A289='Recurring Schedule'!$F$41))),36,""))))</f>
        <v/>
      </c>
      <c r="AL289">
        <f>IF('Recurring Schedule'!$C$42="","",IF('Recurring Schedule'!$F$42="","",IF(OR($A289&lt;'Recurring Schedule'!$F$42,$A289&gt;'Recurring Schedule'!$P$42),"",IF(IF('Recurring Schedule'!$N$42&gt;0,MOD($A289-'Recurring Schedule'!$F$42,'Recurring Schedule'!$N$42)=0,IF('Recurring Schedule'!$O$42&gt;0,AND(DAY($A289)=MIN(DAY('Recurring Schedule'!$F$42),DAY(EOMONTH($A289,0))),MOD((YEAR($A289)-YEAR('Recurring Schedule'!$F$42))*12+MONTH($A289)-MONTH('Recurring Schedule'!$F$42),'Recurring Schedule'!$O$42)=0),IF('Recurring Schedule'!$E$42="Weekdays",WEEKDAY($A289,2)&lt;=5,$A289='Recurring Schedule'!$F$42))),37,""))))</f>
        <v/>
      </c>
      <c r="AM289">
        <f>IF('Recurring Schedule'!$C$43="","",IF('Recurring Schedule'!$F$43="","",IF(OR($A289&lt;'Recurring Schedule'!$F$43,$A289&gt;'Recurring Schedule'!$P$43),"",IF(IF('Recurring Schedule'!$N$43&gt;0,MOD($A289-'Recurring Schedule'!$F$43,'Recurring Schedule'!$N$43)=0,IF('Recurring Schedule'!$O$43&gt;0,AND(DAY($A289)=MIN(DAY('Recurring Schedule'!$F$43),DAY(EOMONTH($A289,0))),MOD((YEAR($A289)-YEAR('Recurring Schedule'!$F$43))*12+MONTH($A289)-MONTH('Recurring Schedule'!$F$43),'Recurring Schedule'!$O$43)=0),IF('Recurring Schedule'!$E$43="Weekdays",WEEKDAY($A289,2)&lt;=5,$A289='Recurring Schedule'!$F$43))),38,""))))</f>
        <v/>
      </c>
      <c r="AN289">
        <f>IF('Recurring Schedule'!$C$44="","",IF('Recurring Schedule'!$F$44="","",IF(OR($A289&lt;'Recurring Schedule'!$F$44,$A289&gt;'Recurring Schedule'!$P$44),"",IF(IF('Recurring Schedule'!$N$44&gt;0,MOD($A289-'Recurring Schedule'!$F$44,'Recurring Schedule'!$N$44)=0,IF('Recurring Schedule'!$O$44&gt;0,AND(DAY($A289)=MIN(DAY('Recurring Schedule'!$F$44),DAY(EOMONTH($A289,0))),MOD((YEAR($A289)-YEAR('Recurring Schedule'!$F$44))*12+MONTH($A289)-MONTH('Recurring Schedule'!$F$44),'Recurring Schedule'!$O$44)=0),IF('Recurring Schedule'!$E$44="Weekdays",WEEKDAY($A289,2)&lt;=5,$A289='Recurring Schedule'!$F$44))),39,""))))</f>
        <v/>
      </c>
      <c r="AO289">
        <f>IF('Recurring Schedule'!$C$45="","",IF('Recurring Schedule'!$F$45="","",IF(OR($A289&lt;'Recurring Schedule'!$F$45,$A289&gt;'Recurring Schedule'!$P$45),"",IF(IF('Recurring Schedule'!$N$45&gt;0,MOD($A289-'Recurring Schedule'!$F$45,'Recurring Schedule'!$N$45)=0,IF('Recurring Schedule'!$O$45&gt;0,AND(DAY($A289)=MIN(DAY('Recurring Schedule'!$F$45),DAY(EOMONTH($A289,0))),MOD((YEAR($A289)-YEAR('Recurring Schedule'!$F$45))*12+MONTH($A289)-MONTH('Recurring Schedule'!$F$45),'Recurring Schedule'!$O$45)=0),IF('Recurring Schedule'!$E$45="Weekdays",WEEKDAY($A289,2)&lt;=5,$A289='Recurring Schedule'!$F$45))),40,""))))</f>
        <v/>
      </c>
      <c r="AP289">
        <f>COUNT(B289:AO289)</f>
        <v/>
      </c>
      <c r="AQ289">
        <f>AQ288+AP288</f>
        <v/>
      </c>
      <c r="AS289" t="inlineStr">
        <is>
          <t>R</t>
        </is>
      </c>
      <c r="AT289" t="n">
        <v>293</v>
      </c>
      <c r="AU289">
        <f>'Recurring Log'!C293&amp;""</f>
        <v/>
      </c>
      <c r="AV289">
        <f>'Recurring Log'!D293&amp;""</f>
        <v/>
      </c>
      <c r="AW289">
        <f>IF('Recurring Log'!E293="","",'Recurring Log'!E293)</f>
        <v/>
      </c>
      <c r="AX289">
        <f>IF('Recurring Log'!G293="","",'Recurring Log'!G293)</f>
        <v/>
      </c>
      <c r="AY289">
        <f>IF('Recurring Log'!H293="","",'Recurring Log'!H293)</f>
        <v/>
      </c>
      <c r="AZ289">
        <f>IF(AU289="","",IF('Recurring Log'!J293="","Not Started",'Recurring Log'!J293))</f>
        <v/>
      </c>
      <c r="BA289">
        <f>'Recurring Log'!L293&amp;""</f>
        <v/>
      </c>
      <c r="BB289">
        <f>'Recurring Log'!M293&amp;""</f>
        <v/>
      </c>
      <c r="BC289">
        <f>'Recurring Log'!N293&amp;""</f>
        <v/>
      </c>
      <c r="BD289">
        <f>'Recurring Log'!O293&amp;""</f>
        <v/>
      </c>
      <c r="BE289">
        <f>IF('Recurring Log'!K293="","",'Recurring Log'!K293)</f>
        <v/>
      </c>
      <c r="BF289">
        <f>IFERROR(MATCH(BA289,Setup!$L$6:$L$9,0),5)</f>
        <v/>
      </c>
      <c r="BG289">
        <f>IF(OR(AZ289="Done",AZ289="Cancelled"),1,0)</f>
        <v/>
      </c>
      <c r="BH289">
        <f>IF(AND(AU289&lt;&gt;"",ISNUMBER(AW289)),1,0)</f>
        <v/>
      </c>
      <c r="BI289">
        <f>IF(BH289=0,0,IF(AND(AW289&gt;='Tasks Filter'!$F$3,AW289&lt;='Tasks Filter'!$F$4,OR('Tasks Filter'!$I$3="",ISNUMBER(SEARCH('Tasks Filter'!$I$3,AU289))),OR('Tasks Filter'!$I$4="",BF289=IFERROR(MATCH('Tasks Filter'!$I$4,Setup!$L$6:$L$9,0),0)),OR('Tasks Filter'!$I$5="Both",AND('Tasks Filter'!$I$5="Yes",BB289="✓"),AND('Tasks Filter'!$I$5="No",BB289&lt;&gt;"✓")),OR('Tasks Filter'!$L$3="",AV289='Tasks Filter'!$L$3),OR('Tasks Filter'!$L$4="",AZ289='Tasks Filter'!$L$4),OR('Tasks Filter'!$L$5="",BC289='Tasks Filter'!$L$5),OR('Tasks Filter'!$O$3="",BD289='Tasks Filter'!$O$3),OR('Tasks Filter'!$O$4="Yes",BG289=0)),1,0))</f>
        <v/>
      </c>
      <c r="BJ289">
        <f>IF(BH289=0,"",IF('Tasks Filter'!$F$6="Descending",-1,1)*CHOOSE(MATCH('Tasks Filter'!$F$5,Lists!$G$2:$G$6,0),AW289,BF289,IFERROR(MATCH(AV289,Setup!$F$6:$F$15,0),99),IFERROR(MATCH(BC289,Setup!$H$6:$H$15,0),99),IFERROR(MATCH(AZ289,Setup!$J$6:$J$11,0),99))*1E+9+(AW289-40000)*10000+288)</f>
        <v/>
      </c>
      <c r="BK289">
        <f>IF(BI289=1,BJ289,"")</f>
        <v/>
      </c>
      <c r="BL289">
        <f>IF(AND(BH289=1,BG289=0,N(AW289)&lt;Setup!$D$7),(AW289-40000)*10000+288,"")</f>
        <v/>
      </c>
      <c r="BM289">
        <f>IF(AND(BH289=1,AZ289&lt;&gt;"Cancelled",N(AW289)&gt;=Dashboard!$AB$3,N(AW289)&lt;=Dashboard!$AB$3+6),(AW289-40000)*100000+BF289*10000+288,"")</f>
        <v/>
      </c>
      <c r="BN289">
        <f>IF(AND(BH289=1,AZ289&lt;&gt;"Cancelled"),BF289*10000+288,"")</f>
        <v/>
      </c>
    </row>
    <row r="290">
      <c r="A290">
        <f>Setup!$D$5+288</f>
        <v/>
      </c>
      <c r="B290">
        <f>IF('Recurring Schedule'!$C$6="","",IF('Recurring Schedule'!$F$6="","",IF(OR($A290&lt;'Recurring Schedule'!$F$6,$A290&gt;'Recurring Schedule'!$P$6),"",IF(IF('Recurring Schedule'!$N$6&gt;0,MOD($A290-'Recurring Schedule'!$F$6,'Recurring Schedule'!$N$6)=0,IF('Recurring Schedule'!$O$6&gt;0,AND(DAY($A290)=MIN(DAY('Recurring Schedule'!$F$6),DAY(EOMONTH($A290,0))),MOD((YEAR($A290)-YEAR('Recurring Schedule'!$F$6))*12+MONTH($A290)-MONTH('Recurring Schedule'!$F$6),'Recurring Schedule'!$O$6)=0),IF('Recurring Schedule'!$E$6="Weekdays",WEEKDAY($A290,2)&lt;=5,$A290='Recurring Schedule'!$F$6))),1,""))))</f>
        <v/>
      </c>
      <c r="C290">
        <f>IF('Recurring Schedule'!$C$7="","",IF('Recurring Schedule'!$F$7="","",IF(OR($A290&lt;'Recurring Schedule'!$F$7,$A290&gt;'Recurring Schedule'!$P$7),"",IF(IF('Recurring Schedule'!$N$7&gt;0,MOD($A290-'Recurring Schedule'!$F$7,'Recurring Schedule'!$N$7)=0,IF('Recurring Schedule'!$O$7&gt;0,AND(DAY($A290)=MIN(DAY('Recurring Schedule'!$F$7),DAY(EOMONTH($A290,0))),MOD((YEAR($A290)-YEAR('Recurring Schedule'!$F$7))*12+MONTH($A290)-MONTH('Recurring Schedule'!$F$7),'Recurring Schedule'!$O$7)=0),IF('Recurring Schedule'!$E$7="Weekdays",WEEKDAY($A290,2)&lt;=5,$A290='Recurring Schedule'!$F$7))),2,""))))</f>
        <v/>
      </c>
      <c r="D290">
        <f>IF('Recurring Schedule'!$C$8="","",IF('Recurring Schedule'!$F$8="","",IF(OR($A290&lt;'Recurring Schedule'!$F$8,$A290&gt;'Recurring Schedule'!$P$8),"",IF(IF('Recurring Schedule'!$N$8&gt;0,MOD($A290-'Recurring Schedule'!$F$8,'Recurring Schedule'!$N$8)=0,IF('Recurring Schedule'!$O$8&gt;0,AND(DAY($A290)=MIN(DAY('Recurring Schedule'!$F$8),DAY(EOMONTH($A290,0))),MOD((YEAR($A290)-YEAR('Recurring Schedule'!$F$8))*12+MONTH($A290)-MONTH('Recurring Schedule'!$F$8),'Recurring Schedule'!$O$8)=0),IF('Recurring Schedule'!$E$8="Weekdays",WEEKDAY($A290,2)&lt;=5,$A290='Recurring Schedule'!$F$8))),3,""))))</f>
        <v/>
      </c>
      <c r="E290">
        <f>IF('Recurring Schedule'!$C$9="","",IF('Recurring Schedule'!$F$9="","",IF(OR($A290&lt;'Recurring Schedule'!$F$9,$A290&gt;'Recurring Schedule'!$P$9),"",IF(IF('Recurring Schedule'!$N$9&gt;0,MOD($A290-'Recurring Schedule'!$F$9,'Recurring Schedule'!$N$9)=0,IF('Recurring Schedule'!$O$9&gt;0,AND(DAY($A290)=MIN(DAY('Recurring Schedule'!$F$9),DAY(EOMONTH($A290,0))),MOD((YEAR($A290)-YEAR('Recurring Schedule'!$F$9))*12+MONTH($A290)-MONTH('Recurring Schedule'!$F$9),'Recurring Schedule'!$O$9)=0),IF('Recurring Schedule'!$E$9="Weekdays",WEEKDAY($A290,2)&lt;=5,$A290='Recurring Schedule'!$F$9))),4,""))))</f>
        <v/>
      </c>
      <c r="F290">
        <f>IF('Recurring Schedule'!$C$10="","",IF('Recurring Schedule'!$F$10="","",IF(OR($A290&lt;'Recurring Schedule'!$F$10,$A290&gt;'Recurring Schedule'!$P$10),"",IF(IF('Recurring Schedule'!$N$10&gt;0,MOD($A290-'Recurring Schedule'!$F$10,'Recurring Schedule'!$N$10)=0,IF('Recurring Schedule'!$O$10&gt;0,AND(DAY($A290)=MIN(DAY('Recurring Schedule'!$F$10),DAY(EOMONTH($A290,0))),MOD((YEAR($A290)-YEAR('Recurring Schedule'!$F$10))*12+MONTH($A290)-MONTH('Recurring Schedule'!$F$10),'Recurring Schedule'!$O$10)=0),IF('Recurring Schedule'!$E$10="Weekdays",WEEKDAY($A290,2)&lt;=5,$A290='Recurring Schedule'!$F$10))),5,""))))</f>
        <v/>
      </c>
      <c r="G290">
        <f>IF('Recurring Schedule'!$C$11="","",IF('Recurring Schedule'!$F$11="","",IF(OR($A290&lt;'Recurring Schedule'!$F$11,$A290&gt;'Recurring Schedule'!$P$11),"",IF(IF('Recurring Schedule'!$N$11&gt;0,MOD($A290-'Recurring Schedule'!$F$11,'Recurring Schedule'!$N$11)=0,IF('Recurring Schedule'!$O$11&gt;0,AND(DAY($A290)=MIN(DAY('Recurring Schedule'!$F$11),DAY(EOMONTH($A290,0))),MOD((YEAR($A290)-YEAR('Recurring Schedule'!$F$11))*12+MONTH($A290)-MONTH('Recurring Schedule'!$F$11),'Recurring Schedule'!$O$11)=0),IF('Recurring Schedule'!$E$11="Weekdays",WEEKDAY($A290,2)&lt;=5,$A290='Recurring Schedule'!$F$11))),6,""))))</f>
        <v/>
      </c>
      <c r="H290">
        <f>IF('Recurring Schedule'!$C$12="","",IF('Recurring Schedule'!$F$12="","",IF(OR($A290&lt;'Recurring Schedule'!$F$12,$A290&gt;'Recurring Schedule'!$P$12),"",IF(IF('Recurring Schedule'!$N$12&gt;0,MOD($A290-'Recurring Schedule'!$F$12,'Recurring Schedule'!$N$12)=0,IF('Recurring Schedule'!$O$12&gt;0,AND(DAY($A290)=MIN(DAY('Recurring Schedule'!$F$12),DAY(EOMONTH($A290,0))),MOD((YEAR($A290)-YEAR('Recurring Schedule'!$F$12))*12+MONTH($A290)-MONTH('Recurring Schedule'!$F$12),'Recurring Schedule'!$O$12)=0),IF('Recurring Schedule'!$E$12="Weekdays",WEEKDAY($A290,2)&lt;=5,$A290='Recurring Schedule'!$F$12))),7,""))))</f>
        <v/>
      </c>
      <c r="I290">
        <f>IF('Recurring Schedule'!$C$13="","",IF('Recurring Schedule'!$F$13="","",IF(OR($A290&lt;'Recurring Schedule'!$F$13,$A290&gt;'Recurring Schedule'!$P$13),"",IF(IF('Recurring Schedule'!$N$13&gt;0,MOD($A290-'Recurring Schedule'!$F$13,'Recurring Schedule'!$N$13)=0,IF('Recurring Schedule'!$O$13&gt;0,AND(DAY($A290)=MIN(DAY('Recurring Schedule'!$F$13),DAY(EOMONTH($A290,0))),MOD((YEAR($A290)-YEAR('Recurring Schedule'!$F$13))*12+MONTH($A290)-MONTH('Recurring Schedule'!$F$13),'Recurring Schedule'!$O$13)=0),IF('Recurring Schedule'!$E$13="Weekdays",WEEKDAY($A290,2)&lt;=5,$A290='Recurring Schedule'!$F$13))),8,""))))</f>
        <v/>
      </c>
      <c r="J290">
        <f>IF('Recurring Schedule'!$C$14="","",IF('Recurring Schedule'!$F$14="","",IF(OR($A290&lt;'Recurring Schedule'!$F$14,$A290&gt;'Recurring Schedule'!$P$14),"",IF(IF('Recurring Schedule'!$N$14&gt;0,MOD($A290-'Recurring Schedule'!$F$14,'Recurring Schedule'!$N$14)=0,IF('Recurring Schedule'!$O$14&gt;0,AND(DAY($A290)=MIN(DAY('Recurring Schedule'!$F$14),DAY(EOMONTH($A290,0))),MOD((YEAR($A290)-YEAR('Recurring Schedule'!$F$14))*12+MONTH($A290)-MONTH('Recurring Schedule'!$F$14),'Recurring Schedule'!$O$14)=0),IF('Recurring Schedule'!$E$14="Weekdays",WEEKDAY($A290,2)&lt;=5,$A290='Recurring Schedule'!$F$14))),9,""))))</f>
        <v/>
      </c>
      <c r="K290">
        <f>IF('Recurring Schedule'!$C$15="","",IF('Recurring Schedule'!$F$15="","",IF(OR($A290&lt;'Recurring Schedule'!$F$15,$A290&gt;'Recurring Schedule'!$P$15),"",IF(IF('Recurring Schedule'!$N$15&gt;0,MOD($A290-'Recurring Schedule'!$F$15,'Recurring Schedule'!$N$15)=0,IF('Recurring Schedule'!$O$15&gt;0,AND(DAY($A290)=MIN(DAY('Recurring Schedule'!$F$15),DAY(EOMONTH($A290,0))),MOD((YEAR($A290)-YEAR('Recurring Schedule'!$F$15))*12+MONTH($A290)-MONTH('Recurring Schedule'!$F$15),'Recurring Schedule'!$O$15)=0),IF('Recurring Schedule'!$E$15="Weekdays",WEEKDAY($A290,2)&lt;=5,$A290='Recurring Schedule'!$F$15))),10,""))))</f>
        <v/>
      </c>
      <c r="L290">
        <f>IF('Recurring Schedule'!$C$16="","",IF('Recurring Schedule'!$F$16="","",IF(OR($A290&lt;'Recurring Schedule'!$F$16,$A290&gt;'Recurring Schedule'!$P$16),"",IF(IF('Recurring Schedule'!$N$16&gt;0,MOD($A290-'Recurring Schedule'!$F$16,'Recurring Schedule'!$N$16)=0,IF('Recurring Schedule'!$O$16&gt;0,AND(DAY($A290)=MIN(DAY('Recurring Schedule'!$F$16),DAY(EOMONTH($A290,0))),MOD((YEAR($A290)-YEAR('Recurring Schedule'!$F$16))*12+MONTH($A290)-MONTH('Recurring Schedule'!$F$16),'Recurring Schedule'!$O$16)=0),IF('Recurring Schedule'!$E$16="Weekdays",WEEKDAY($A290,2)&lt;=5,$A290='Recurring Schedule'!$F$16))),11,""))))</f>
        <v/>
      </c>
      <c r="M290">
        <f>IF('Recurring Schedule'!$C$17="","",IF('Recurring Schedule'!$F$17="","",IF(OR($A290&lt;'Recurring Schedule'!$F$17,$A290&gt;'Recurring Schedule'!$P$17),"",IF(IF('Recurring Schedule'!$N$17&gt;0,MOD($A290-'Recurring Schedule'!$F$17,'Recurring Schedule'!$N$17)=0,IF('Recurring Schedule'!$O$17&gt;0,AND(DAY($A290)=MIN(DAY('Recurring Schedule'!$F$17),DAY(EOMONTH($A290,0))),MOD((YEAR($A290)-YEAR('Recurring Schedule'!$F$17))*12+MONTH($A290)-MONTH('Recurring Schedule'!$F$17),'Recurring Schedule'!$O$17)=0),IF('Recurring Schedule'!$E$17="Weekdays",WEEKDAY($A290,2)&lt;=5,$A290='Recurring Schedule'!$F$17))),12,""))))</f>
        <v/>
      </c>
      <c r="N290">
        <f>IF('Recurring Schedule'!$C$18="","",IF('Recurring Schedule'!$F$18="","",IF(OR($A290&lt;'Recurring Schedule'!$F$18,$A290&gt;'Recurring Schedule'!$P$18),"",IF(IF('Recurring Schedule'!$N$18&gt;0,MOD($A290-'Recurring Schedule'!$F$18,'Recurring Schedule'!$N$18)=0,IF('Recurring Schedule'!$O$18&gt;0,AND(DAY($A290)=MIN(DAY('Recurring Schedule'!$F$18),DAY(EOMONTH($A290,0))),MOD((YEAR($A290)-YEAR('Recurring Schedule'!$F$18))*12+MONTH($A290)-MONTH('Recurring Schedule'!$F$18),'Recurring Schedule'!$O$18)=0),IF('Recurring Schedule'!$E$18="Weekdays",WEEKDAY($A290,2)&lt;=5,$A290='Recurring Schedule'!$F$18))),13,""))))</f>
        <v/>
      </c>
      <c r="O290">
        <f>IF('Recurring Schedule'!$C$19="","",IF('Recurring Schedule'!$F$19="","",IF(OR($A290&lt;'Recurring Schedule'!$F$19,$A290&gt;'Recurring Schedule'!$P$19),"",IF(IF('Recurring Schedule'!$N$19&gt;0,MOD($A290-'Recurring Schedule'!$F$19,'Recurring Schedule'!$N$19)=0,IF('Recurring Schedule'!$O$19&gt;0,AND(DAY($A290)=MIN(DAY('Recurring Schedule'!$F$19),DAY(EOMONTH($A290,0))),MOD((YEAR($A290)-YEAR('Recurring Schedule'!$F$19))*12+MONTH($A290)-MONTH('Recurring Schedule'!$F$19),'Recurring Schedule'!$O$19)=0),IF('Recurring Schedule'!$E$19="Weekdays",WEEKDAY($A290,2)&lt;=5,$A290='Recurring Schedule'!$F$19))),14,""))))</f>
        <v/>
      </c>
      <c r="P290">
        <f>IF('Recurring Schedule'!$C$20="","",IF('Recurring Schedule'!$F$20="","",IF(OR($A290&lt;'Recurring Schedule'!$F$20,$A290&gt;'Recurring Schedule'!$P$20),"",IF(IF('Recurring Schedule'!$N$20&gt;0,MOD($A290-'Recurring Schedule'!$F$20,'Recurring Schedule'!$N$20)=0,IF('Recurring Schedule'!$O$20&gt;0,AND(DAY($A290)=MIN(DAY('Recurring Schedule'!$F$20),DAY(EOMONTH($A290,0))),MOD((YEAR($A290)-YEAR('Recurring Schedule'!$F$20))*12+MONTH($A290)-MONTH('Recurring Schedule'!$F$20),'Recurring Schedule'!$O$20)=0),IF('Recurring Schedule'!$E$20="Weekdays",WEEKDAY($A290,2)&lt;=5,$A290='Recurring Schedule'!$F$20))),15,""))))</f>
        <v/>
      </c>
      <c r="Q290">
        <f>IF('Recurring Schedule'!$C$21="","",IF('Recurring Schedule'!$F$21="","",IF(OR($A290&lt;'Recurring Schedule'!$F$21,$A290&gt;'Recurring Schedule'!$P$21),"",IF(IF('Recurring Schedule'!$N$21&gt;0,MOD($A290-'Recurring Schedule'!$F$21,'Recurring Schedule'!$N$21)=0,IF('Recurring Schedule'!$O$21&gt;0,AND(DAY($A290)=MIN(DAY('Recurring Schedule'!$F$21),DAY(EOMONTH($A290,0))),MOD((YEAR($A290)-YEAR('Recurring Schedule'!$F$21))*12+MONTH($A290)-MONTH('Recurring Schedule'!$F$21),'Recurring Schedule'!$O$21)=0),IF('Recurring Schedule'!$E$21="Weekdays",WEEKDAY($A290,2)&lt;=5,$A290='Recurring Schedule'!$F$21))),16,""))))</f>
        <v/>
      </c>
      <c r="R290">
        <f>IF('Recurring Schedule'!$C$22="","",IF('Recurring Schedule'!$F$22="","",IF(OR($A290&lt;'Recurring Schedule'!$F$22,$A290&gt;'Recurring Schedule'!$P$22),"",IF(IF('Recurring Schedule'!$N$22&gt;0,MOD($A290-'Recurring Schedule'!$F$22,'Recurring Schedule'!$N$22)=0,IF('Recurring Schedule'!$O$22&gt;0,AND(DAY($A290)=MIN(DAY('Recurring Schedule'!$F$22),DAY(EOMONTH($A290,0))),MOD((YEAR($A290)-YEAR('Recurring Schedule'!$F$22))*12+MONTH($A290)-MONTH('Recurring Schedule'!$F$22),'Recurring Schedule'!$O$22)=0),IF('Recurring Schedule'!$E$22="Weekdays",WEEKDAY($A290,2)&lt;=5,$A290='Recurring Schedule'!$F$22))),17,""))))</f>
        <v/>
      </c>
      <c r="S290">
        <f>IF('Recurring Schedule'!$C$23="","",IF('Recurring Schedule'!$F$23="","",IF(OR($A290&lt;'Recurring Schedule'!$F$23,$A290&gt;'Recurring Schedule'!$P$23),"",IF(IF('Recurring Schedule'!$N$23&gt;0,MOD($A290-'Recurring Schedule'!$F$23,'Recurring Schedule'!$N$23)=0,IF('Recurring Schedule'!$O$23&gt;0,AND(DAY($A290)=MIN(DAY('Recurring Schedule'!$F$23),DAY(EOMONTH($A290,0))),MOD((YEAR($A290)-YEAR('Recurring Schedule'!$F$23))*12+MONTH($A290)-MONTH('Recurring Schedule'!$F$23),'Recurring Schedule'!$O$23)=0),IF('Recurring Schedule'!$E$23="Weekdays",WEEKDAY($A290,2)&lt;=5,$A290='Recurring Schedule'!$F$23))),18,""))))</f>
        <v/>
      </c>
      <c r="T290">
        <f>IF('Recurring Schedule'!$C$24="","",IF('Recurring Schedule'!$F$24="","",IF(OR($A290&lt;'Recurring Schedule'!$F$24,$A290&gt;'Recurring Schedule'!$P$24),"",IF(IF('Recurring Schedule'!$N$24&gt;0,MOD($A290-'Recurring Schedule'!$F$24,'Recurring Schedule'!$N$24)=0,IF('Recurring Schedule'!$O$24&gt;0,AND(DAY($A290)=MIN(DAY('Recurring Schedule'!$F$24),DAY(EOMONTH($A290,0))),MOD((YEAR($A290)-YEAR('Recurring Schedule'!$F$24))*12+MONTH($A290)-MONTH('Recurring Schedule'!$F$24),'Recurring Schedule'!$O$24)=0),IF('Recurring Schedule'!$E$24="Weekdays",WEEKDAY($A290,2)&lt;=5,$A290='Recurring Schedule'!$F$24))),19,""))))</f>
        <v/>
      </c>
      <c r="U290">
        <f>IF('Recurring Schedule'!$C$25="","",IF('Recurring Schedule'!$F$25="","",IF(OR($A290&lt;'Recurring Schedule'!$F$25,$A290&gt;'Recurring Schedule'!$P$25),"",IF(IF('Recurring Schedule'!$N$25&gt;0,MOD($A290-'Recurring Schedule'!$F$25,'Recurring Schedule'!$N$25)=0,IF('Recurring Schedule'!$O$25&gt;0,AND(DAY($A290)=MIN(DAY('Recurring Schedule'!$F$25),DAY(EOMONTH($A290,0))),MOD((YEAR($A290)-YEAR('Recurring Schedule'!$F$25))*12+MONTH($A290)-MONTH('Recurring Schedule'!$F$25),'Recurring Schedule'!$O$25)=0),IF('Recurring Schedule'!$E$25="Weekdays",WEEKDAY($A290,2)&lt;=5,$A290='Recurring Schedule'!$F$25))),20,""))))</f>
        <v/>
      </c>
      <c r="V290">
        <f>IF('Recurring Schedule'!$C$26="","",IF('Recurring Schedule'!$F$26="","",IF(OR($A290&lt;'Recurring Schedule'!$F$26,$A290&gt;'Recurring Schedule'!$P$26),"",IF(IF('Recurring Schedule'!$N$26&gt;0,MOD($A290-'Recurring Schedule'!$F$26,'Recurring Schedule'!$N$26)=0,IF('Recurring Schedule'!$O$26&gt;0,AND(DAY($A290)=MIN(DAY('Recurring Schedule'!$F$26),DAY(EOMONTH($A290,0))),MOD((YEAR($A290)-YEAR('Recurring Schedule'!$F$26))*12+MONTH($A290)-MONTH('Recurring Schedule'!$F$26),'Recurring Schedule'!$O$26)=0),IF('Recurring Schedule'!$E$26="Weekdays",WEEKDAY($A290,2)&lt;=5,$A290='Recurring Schedule'!$F$26))),21,""))))</f>
        <v/>
      </c>
      <c r="W290">
        <f>IF('Recurring Schedule'!$C$27="","",IF('Recurring Schedule'!$F$27="","",IF(OR($A290&lt;'Recurring Schedule'!$F$27,$A290&gt;'Recurring Schedule'!$P$27),"",IF(IF('Recurring Schedule'!$N$27&gt;0,MOD($A290-'Recurring Schedule'!$F$27,'Recurring Schedule'!$N$27)=0,IF('Recurring Schedule'!$O$27&gt;0,AND(DAY($A290)=MIN(DAY('Recurring Schedule'!$F$27),DAY(EOMONTH($A290,0))),MOD((YEAR($A290)-YEAR('Recurring Schedule'!$F$27))*12+MONTH($A290)-MONTH('Recurring Schedule'!$F$27),'Recurring Schedule'!$O$27)=0),IF('Recurring Schedule'!$E$27="Weekdays",WEEKDAY($A290,2)&lt;=5,$A290='Recurring Schedule'!$F$27))),22,""))))</f>
        <v/>
      </c>
      <c r="X290">
        <f>IF('Recurring Schedule'!$C$28="","",IF('Recurring Schedule'!$F$28="","",IF(OR($A290&lt;'Recurring Schedule'!$F$28,$A290&gt;'Recurring Schedule'!$P$28),"",IF(IF('Recurring Schedule'!$N$28&gt;0,MOD($A290-'Recurring Schedule'!$F$28,'Recurring Schedule'!$N$28)=0,IF('Recurring Schedule'!$O$28&gt;0,AND(DAY($A290)=MIN(DAY('Recurring Schedule'!$F$28),DAY(EOMONTH($A290,0))),MOD((YEAR($A290)-YEAR('Recurring Schedule'!$F$28))*12+MONTH($A290)-MONTH('Recurring Schedule'!$F$28),'Recurring Schedule'!$O$28)=0),IF('Recurring Schedule'!$E$28="Weekdays",WEEKDAY($A290,2)&lt;=5,$A290='Recurring Schedule'!$F$28))),23,""))))</f>
        <v/>
      </c>
      <c r="Y290">
        <f>IF('Recurring Schedule'!$C$29="","",IF('Recurring Schedule'!$F$29="","",IF(OR($A290&lt;'Recurring Schedule'!$F$29,$A290&gt;'Recurring Schedule'!$P$29),"",IF(IF('Recurring Schedule'!$N$29&gt;0,MOD($A290-'Recurring Schedule'!$F$29,'Recurring Schedule'!$N$29)=0,IF('Recurring Schedule'!$O$29&gt;0,AND(DAY($A290)=MIN(DAY('Recurring Schedule'!$F$29),DAY(EOMONTH($A290,0))),MOD((YEAR($A290)-YEAR('Recurring Schedule'!$F$29))*12+MONTH($A290)-MONTH('Recurring Schedule'!$F$29),'Recurring Schedule'!$O$29)=0),IF('Recurring Schedule'!$E$29="Weekdays",WEEKDAY($A290,2)&lt;=5,$A290='Recurring Schedule'!$F$29))),24,""))))</f>
        <v/>
      </c>
      <c r="Z290">
        <f>IF('Recurring Schedule'!$C$30="","",IF('Recurring Schedule'!$F$30="","",IF(OR($A290&lt;'Recurring Schedule'!$F$30,$A290&gt;'Recurring Schedule'!$P$30),"",IF(IF('Recurring Schedule'!$N$30&gt;0,MOD($A290-'Recurring Schedule'!$F$30,'Recurring Schedule'!$N$30)=0,IF('Recurring Schedule'!$O$30&gt;0,AND(DAY($A290)=MIN(DAY('Recurring Schedule'!$F$30),DAY(EOMONTH($A290,0))),MOD((YEAR($A290)-YEAR('Recurring Schedule'!$F$30))*12+MONTH($A290)-MONTH('Recurring Schedule'!$F$30),'Recurring Schedule'!$O$30)=0),IF('Recurring Schedule'!$E$30="Weekdays",WEEKDAY($A290,2)&lt;=5,$A290='Recurring Schedule'!$F$30))),25,""))))</f>
        <v/>
      </c>
      <c r="AA290">
        <f>IF('Recurring Schedule'!$C$31="","",IF('Recurring Schedule'!$F$31="","",IF(OR($A290&lt;'Recurring Schedule'!$F$31,$A290&gt;'Recurring Schedule'!$P$31),"",IF(IF('Recurring Schedule'!$N$31&gt;0,MOD($A290-'Recurring Schedule'!$F$31,'Recurring Schedule'!$N$31)=0,IF('Recurring Schedule'!$O$31&gt;0,AND(DAY($A290)=MIN(DAY('Recurring Schedule'!$F$31),DAY(EOMONTH($A290,0))),MOD((YEAR($A290)-YEAR('Recurring Schedule'!$F$31))*12+MONTH($A290)-MONTH('Recurring Schedule'!$F$31),'Recurring Schedule'!$O$31)=0),IF('Recurring Schedule'!$E$31="Weekdays",WEEKDAY($A290,2)&lt;=5,$A290='Recurring Schedule'!$F$31))),26,""))))</f>
        <v/>
      </c>
      <c r="AB290">
        <f>IF('Recurring Schedule'!$C$32="","",IF('Recurring Schedule'!$F$32="","",IF(OR($A290&lt;'Recurring Schedule'!$F$32,$A290&gt;'Recurring Schedule'!$P$32),"",IF(IF('Recurring Schedule'!$N$32&gt;0,MOD($A290-'Recurring Schedule'!$F$32,'Recurring Schedule'!$N$32)=0,IF('Recurring Schedule'!$O$32&gt;0,AND(DAY($A290)=MIN(DAY('Recurring Schedule'!$F$32),DAY(EOMONTH($A290,0))),MOD((YEAR($A290)-YEAR('Recurring Schedule'!$F$32))*12+MONTH($A290)-MONTH('Recurring Schedule'!$F$32),'Recurring Schedule'!$O$32)=0),IF('Recurring Schedule'!$E$32="Weekdays",WEEKDAY($A290,2)&lt;=5,$A290='Recurring Schedule'!$F$32))),27,""))))</f>
        <v/>
      </c>
      <c r="AC290">
        <f>IF('Recurring Schedule'!$C$33="","",IF('Recurring Schedule'!$F$33="","",IF(OR($A290&lt;'Recurring Schedule'!$F$33,$A290&gt;'Recurring Schedule'!$P$33),"",IF(IF('Recurring Schedule'!$N$33&gt;0,MOD($A290-'Recurring Schedule'!$F$33,'Recurring Schedule'!$N$33)=0,IF('Recurring Schedule'!$O$33&gt;0,AND(DAY($A290)=MIN(DAY('Recurring Schedule'!$F$33),DAY(EOMONTH($A290,0))),MOD((YEAR($A290)-YEAR('Recurring Schedule'!$F$33))*12+MONTH($A290)-MONTH('Recurring Schedule'!$F$33),'Recurring Schedule'!$O$33)=0),IF('Recurring Schedule'!$E$33="Weekdays",WEEKDAY($A290,2)&lt;=5,$A290='Recurring Schedule'!$F$33))),28,""))))</f>
        <v/>
      </c>
      <c r="AD290">
        <f>IF('Recurring Schedule'!$C$34="","",IF('Recurring Schedule'!$F$34="","",IF(OR($A290&lt;'Recurring Schedule'!$F$34,$A290&gt;'Recurring Schedule'!$P$34),"",IF(IF('Recurring Schedule'!$N$34&gt;0,MOD($A290-'Recurring Schedule'!$F$34,'Recurring Schedule'!$N$34)=0,IF('Recurring Schedule'!$O$34&gt;0,AND(DAY($A290)=MIN(DAY('Recurring Schedule'!$F$34),DAY(EOMONTH($A290,0))),MOD((YEAR($A290)-YEAR('Recurring Schedule'!$F$34))*12+MONTH($A290)-MONTH('Recurring Schedule'!$F$34),'Recurring Schedule'!$O$34)=0),IF('Recurring Schedule'!$E$34="Weekdays",WEEKDAY($A290,2)&lt;=5,$A290='Recurring Schedule'!$F$34))),29,""))))</f>
        <v/>
      </c>
      <c r="AE290">
        <f>IF('Recurring Schedule'!$C$35="","",IF('Recurring Schedule'!$F$35="","",IF(OR($A290&lt;'Recurring Schedule'!$F$35,$A290&gt;'Recurring Schedule'!$P$35),"",IF(IF('Recurring Schedule'!$N$35&gt;0,MOD($A290-'Recurring Schedule'!$F$35,'Recurring Schedule'!$N$35)=0,IF('Recurring Schedule'!$O$35&gt;0,AND(DAY($A290)=MIN(DAY('Recurring Schedule'!$F$35),DAY(EOMONTH($A290,0))),MOD((YEAR($A290)-YEAR('Recurring Schedule'!$F$35))*12+MONTH($A290)-MONTH('Recurring Schedule'!$F$35),'Recurring Schedule'!$O$35)=0),IF('Recurring Schedule'!$E$35="Weekdays",WEEKDAY($A290,2)&lt;=5,$A290='Recurring Schedule'!$F$35))),30,""))))</f>
        <v/>
      </c>
      <c r="AF290">
        <f>IF('Recurring Schedule'!$C$36="","",IF('Recurring Schedule'!$F$36="","",IF(OR($A290&lt;'Recurring Schedule'!$F$36,$A290&gt;'Recurring Schedule'!$P$36),"",IF(IF('Recurring Schedule'!$N$36&gt;0,MOD($A290-'Recurring Schedule'!$F$36,'Recurring Schedule'!$N$36)=0,IF('Recurring Schedule'!$O$36&gt;0,AND(DAY($A290)=MIN(DAY('Recurring Schedule'!$F$36),DAY(EOMONTH($A290,0))),MOD((YEAR($A290)-YEAR('Recurring Schedule'!$F$36))*12+MONTH($A290)-MONTH('Recurring Schedule'!$F$36),'Recurring Schedule'!$O$36)=0),IF('Recurring Schedule'!$E$36="Weekdays",WEEKDAY($A290,2)&lt;=5,$A290='Recurring Schedule'!$F$36))),31,""))))</f>
        <v/>
      </c>
      <c r="AG290">
        <f>IF('Recurring Schedule'!$C$37="","",IF('Recurring Schedule'!$F$37="","",IF(OR($A290&lt;'Recurring Schedule'!$F$37,$A290&gt;'Recurring Schedule'!$P$37),"",IF(IF('Recurring Schedule'!$N$37&gt;0,MOD($A290-'Recurring Schedule'!$F$37,'Recurring Schedule'!$N$37)=0,IF('Recurring Schedule'!$O$37&gt;0,AND(DAY($A290)=MIN(DAY('Recurring Schedule'!$F$37),DAY(EOMONTH($A290,0))),MOD((YEAR($A290)-YEAR('Recurring Schedule'!$F$37))*12+MONTH($A290)-MONTH('Recurring Schedule'!$F$37),'Recurring Schedule'!$O$37)=0),IF('Recurring Schedule'!$E$37="Weekdays",WEEKDAY($A290,2)&lt;=5,$A290='Recurring Schedule'!$F$37))),32,""))))</f>
        <v/>
      </c>
      <c r="AH290">
        <f>IF('Recurring Schedule'!$C$38="","",IF('Recurring Schedule'!$F$38="","",IF(OR($A290&lt;'Recurring Schedule'!$F$38,$A290&gt;'Recurring Schedule'!$P$38),"",IF(IF('Recurring Schedule'!$N$38&gt;0,MOD($A290-'Recurring Schedule'!$F$38,'Recurring Schedule'!$N$38)=0,IF('Recurring Schedule'!$O$38&gt;0,AND(DAY($A290)=MIN(DAY('Recurring Schedule'!$F$38),DAY(EOMONTH($A290,0))),MOD((YEAR($A290)-YEAR('Recurring Schedule'!$F$38))*12+MONTH($A290)-MONTH('Recurring Schedule'!$F$38),'Recurring Schedule'!$O$38)=0),IF('Recurring Schedule'!$E$38="Weekdays",WEEKDAY($A290,2)&lt;=5,$A290='Recurring Schedule'!$F$38))),33,""))))</f>
        <v/>
      </c>
      <c r="AI290">
        <f>IF('Recurring Schedule'!$C$39="","",IF('Recurring Schedule'!$F$39="","",IF(OR($A290&lt;'Recurring Schedule'!$F$39,$A290&gt;'Recurring Schedule'!$P$39),"",IF(IF('Recurring Schedule'!$N$39&gt;0,MOD($A290-'Recurring Schedule'!$F$39,'Recurring Schedule'!$N$39)=0,IF('Recurring Schedule'!$O$39&gt;0,AND(DAY($A290)=MIN(DAY('Recurring Schedule'!$F$39),DAY(EOMONTH($A290,0))),MOD((YEAR($A290)-YEAR('Recurring Schedule'!$F$39))*12+MONTH($A290)-MONTH('Recurring Schedule'!$F$39),'Recurring Schedule'!$O$39)=0),IF('Recurring Schedule'!$E$39="Weekdays",WEEKDAY($A290,2)&lt;=5,$A290='Recurring Schedule'!$F$39))),34,""))))</f>
        <v/>
      </c>
      <c r="AJ290">
        <f>IF('Recurring Schedule'!$C$40="","",IF('Recurring Schedule'!$F$40="","",IF(OR($A290&lt;'Recurring Schedule'!$F$40,$A290&gt;'Recurring Schedule'!$P$40),"",IF(IF('Recurring Schedule'!$N$40&gt;0,MOD($A290-'Recurring Schedule'!$F$40,'Recurring Schedule'!$N$40)=0,IF('Recurring Schedule'!$O$40&gt;0,AND(DAY($A290)=MIN(DAY('Recurring Schedule'!$F$40),DAY(EOMONTH($A290,0))),MOD((YEAR($A290)-YEAR('Recurring Schedule'!$F$40))*12+MONTH($A290)-MONTH('Recurring Schedule'!$F$40),'Recurring Schedule'!$O$40)=0),IF('Recurring Schedule'!$E$40="Weekdays",WEEKDAY($A290,2)&lt;=5,$A290='Recurring Schedule'!$F$40))),35,""))))</f>
        <v/>
      </c>
      <c r="AK290">
        <f>IF('Recurring Schedule'!$C$41="","",IF('Recurring Schedule'!$F$41="","",IF(OR($A290&lt;'Recurring Schedule'!$F$41,$A290&gt;'Recurring Schedule'!$P$41),"",IF(IF('Recurring Schedule'!$N$41&gt;0,MOD($A290-'Recurring Schedule'!$F$41,'Recurring Schedule'!$N$41)=0,IF('Recurring Schedule'!$O$41&gt;0,AND(DAY($A290)=MIN(DAY('Recurring Schedule'!$F$41),DAY(EOMONTH($A290,0))),MOD((YEAR($A290)-YEAR('Recurring Schedule'!$F$41))*12+MONTH($A290)-MONTH('Recurring Schedule'!$F$41),'Recurring Schedule'!$O$41)=0),IF('Recurring Schedule'!$E$41="Weekdays",WEEKDAY($A290,2)&lt;=5,$A290='Recurring Schedule'!$F$41))),36,""))))</f>
        <v/>
      </c>
      <c r="AL290">
        <f>IF('Recurring Schedule'!$C$42="","",IF('Recurring Schedule'!$F$42="","",IF(OR($A290&lt;'Recurring Schedule'!$F$42,$A290&gt;'Recurring Schedule'!$P$42),"",IF(IF('Recurring Schedule'!$N$42&gt;0,MOD($A290-'Recurring Schedule'!$F$42,'Recurring Schedule'!$N$42)=0,IF('Recurring Schedule'!$O$42&gt;0,AND(DAY($A290)=MIN(DAY('Recurring Schedule'!$F$42),DAY(EOMONTH($A290,0))),MOD((YEAR($A290)-YEAR('Recurring Schedule'!$F$42))*12+MONTH($A290)-MONTH('Recurring Schedule'!$F$42),'Recurring Schedule'!$O$42)=0),IF('Recurring Schedule'!$E$42="Weekdays",WEEKDAY($A290,2)&lt;=5,$A290='Recurring Schedule'!$F$42))),37,""))))</f>
        <v/>
      </c>
      <c r="AM290">
        <f>IF('Recurring Schedule'!$C$43="","",IF('Recurring Schedule'!$F$43="","",IF(OR($A290&lt;'Recurring Schedule'!$F$43,$A290&gt;'Recurring Schedule'!$P$43),"",IF(IF('Recurring Schedule'!$N$43&gt;0,MOD($A290-'Recurring Schedule'!$F$43,'Recurring Schedule'!$N$43)=0,IF('Recurring Schedule'!$O$43&gt;0,AND(DAY($A290)=MIN(DAY('Recurring Schedule'!$F$43),DAY(EOMONTH($A290,0))),MOD((YEAR($A290)-YEAR('Recurring Schedule'!$F$43))*12+MONTH($A290)-MONTH('Recurring Schedule'!$F$43),'Recurring Schedule'!$O$43)=0),IF('Recurring Schedule'!$E$43="Weekdays",WEEKDAY($A290,2)&lt;=5,$A290='Recurring Schedule'!$F$43))),38,""))))</f>
        <v/>
      </c>
      <c r="AN290">
        <f>IF('Recurring Schedule'!$C$44="","",IF('Recurring Schedule'!$F$44="","",IF(OR($A290&lt;'Recurring Schedule'!$F$44,$A290&gt;'Recurring Schedule'!$P$44),"",IF(IF('Recurring Schedule'!$N$44&gt;0,MOD($A290-'Recurring Schedule'!$F$44,'Recurring Schedule'!$N$44)=0,IF('Recurring Schedule'!$O$44&gt;0,AND(DAY($A290)=MIN(DAY('Recurring Schedule'!$F$44),DAY(EOMONTH($A290,0))),MOD((YEAR($A290)-YEAR('Recurring Schedule'!$F$44))*12+MONTH($A290)-MONTH('Recurring Schedule'!$F$44),'Recurring Schedule'!$O$44)=0),IF('Recurring Schedule'!$E$44="Weekdays",WEEKDAY($A290,2)&lt;=5,$A290='Recurring Schedule'!$F$44))),39,""))))</f>
        <v/>
      </c>
      <c r="AO290">
        <f>IF('Recurring Schedule'!$C$45="","",IF('Recurring Schedule'!$F$45="","",IF(OR($A290&lt;'Recurring Schedule'!$F$45,$A290&gt;'Recurring Schedule'!$P$45),"",IF(IF('Recurring Schedule'!$N$45&gt;0,MOD($A290-'Recurring Schedule'!$F$45,'Recurring Schedule'!$N$45)=0,IF('Recurring Schedule'!$O$45&gt;0,AND(DAY($A290)=MIN(DAY('Recurring Schedule'!$F$45),DAY(EOMONTH($A290,0))),MOD((YEAR($A290)-YEAR('Recurring Schedule'!$F$45))*12+MONTH($A290)-MONTH('Recurring Schedule'!$F$45),'Recurring Schedule'!$O$45)=0),IF('Recurring Schedule'!$E$45="Weekdays",WEEKDAY($A290,2)&lt;=5,$A290='Recurring Schedule'!$F$45))),40,""))))</f>
        <v/>
      </c>
      <c r="AP290">
        <f>COUNT(B290:AO290)</f>
        <v/>
      </c>
      <c r="AQ290">
        <f>AQ289+AP289</f>
        <v/>
      </c>
      <c r="AS290" t="inlineStr">
        <is>
          <t>R</t>
        </is>
      </c>
      <c r="AT290" t="n">
        <v>294</v>
      </c>
      <c r="AU290">
        <f>'Recurring Log'!C294&amp;""</f>
        <v/>
      </c>
      <c r="AV290">
        <f>'Recurring Log'!D294&amp;""</f>
        <v/>
      </c>
      <c r="AW290">
        <f>IF('Recurring Log'!E294="","",'Recurring Log'!E294)</f>
        <v/>
      </c>
      <c r="AX290">
        <f>IF('Recurring Log'!G294="","",'Recurring Log'!G294)</f>
        <v/>
      </c>
      <c r="AY290">
        <f>IF('Recurring Log'!H294="","",'Recurring Log'!H294)</f>
        <v/>
      </c>
      <c r="AZ290">
        <f>IF(AU290="","",IF('Recurring Log'!J294="","Not Started",'Recurring Log'!J294))</f>
        <v/>
      </c>
      <c r="BA290">
        <f>'Recurring Log'!L294&amp;""</f>
        <v/>
      </c>
      <c r="BB290">
        <f>'Recurring Log'!M294&amp;""</f>
        <v/>
      </c>
      <c r="BC290">
        <f>'Recurring Log'!N294&amp;""</f>
        <v/>
      </c>
      <c r="BD290">
        <f>'Recurring Log'!O294&amp;""</f>
        <v/>
      </c>
      <c r="BE290">
        <f>IF('Recurring Log'!K294="","",'Recurring Log'!K294)</f>
        <v/>
      </c>
      <c r="BF290">
        <f>IFERROR(MATCH(BA290,Setup!$L$6:$L$9,0),5)</f>
        <v/>
      </c>
      <c r="BG290">
        <f>IF(OR(AZ290="Done",AZ290="Cancelled"),1,0)</f>
        <v/>
      </c>
      <c r="BH290">
        <f>IF(AND(AU290&lt;&gt;"",ISNUMBER(AW290)),1,0)</f>
        <v/>
      </c>
      <c r="BI290">
        <f>IF(BH290=0,0,IF(AND(AW290&gt;='Tasks Filter'!$F$3,AW290&lt;='Tasks Filter'!$F$4,OR('Tasks Filter'!$I$3="",ISNUMBER(SEARCH('Tasks Filter'!$I$3,AU290))),OR('Tasks Filter'!$I$4="",BF290=IFERROR(MATCH('Tasks Filter'!$I$4,Setup!$L$6:$L$9,0),0)),OR('Tasks Filter'!$I$5="Both",AND('Tasks Filter'!$I$5="Yes",BB290="✓"),AND('Tasks Filter'!$I$5="No",BB290&lt;&gt;"✓")),OR('Tasks Filter'!$L$3="",AV290='Tasks Filter'!$L$3),OR('Tasks Filter'!$L$4="",AZ290='Tasks Filter'!$L$4),OR('Tasks Filter'!$L$5="",BC290='Tasks Filter'!$L$5),OR('Tasks Filter'!$O$3="",BD290='Tasks Filter'!$O$3),OR('Tasks Filter'!$O$4="Yes",BG290=0)),1,0))</f>
        <v/>
      </c>
      <c r="BJ290">
        <f>IF(BH290=0,"",IF('Tasks Filter'!$F$6="Descending",-1,1)*CHOOSE(MATCH('Tasks Filter'!$F$5,Lists!$G$2:$G$6,0),AW290,BF290,IFERROR(MATCH(AV290,Setup!$F$6:$F$15,0),99),IFERROR(MATCH(BC290,Setup!$H$6:$H$15,0),99),IFERROR(MATCH(AZ290,Setup!$J$6:$J$11,0),99))*1E+9+(AW290-40000)*10000+289)</f>
        <v/>
      </c>
      <c r="BK290">
        <f>IF(BI290=1,BJ290,"")</f>
        <v/>
      </c>
      <c r="BL290">
        <f>IF(AND(BH290=1,BG290=0,N(AW290)&lt;Setup!$D$7),(AW290-40000)*10000+289,"")</f>
        <v/>
      </c>
      <c r="BM290">
        <f>IF(AND(BH290=1,AZ290&lt;&gt;"Cancelled",N(AW290)&gt;=Dashboard!$AB$3,N(AW290)&lt;=Dashboard!$AB$3+6),(AW290-40000)*100000+BF290*10000+289,"")</f>
        <v/>
      </c>
      <c r="BN290">
        <f>IF(AND(BH290=1,AZ290&lt;&gt;"Cancelled"),BF290*10000+289,"")</f>
        <v/>
      </c>
    </row>
    <row r="291">
      <c r="A291">
        <f>Setup!$D$5+289</f>
        <v/>
      </c>
      <c r="B291">
        <f>IF('Recurring Schedule'!$C$6="","",IF('Recurring Schedule'!$F$6="","",IF(OR($A291&lt;'Recurring Schedule'!$F$6,$A291&gt;'Recurring Schedule'!$P$6),"",IF(IF('Recurring Schedule'!$N$6&gt;0,MOD($A291-'Recurring Schedule'!$F$6,'Recurring Schedule'!$N$6)=0,IF('Recurring Schedule'!$O$6&gt;0,AND(DAY($A291)=MIN(DAY('Recurring Schedule'!$F$6),DAY(EOMONTH($A291,0))),MOD((YEAR($A291)-YEAR('Recurring Schedule'!$F$6))*12+MONTH($A291)-MONTH('Recurring Schedule'!$F$6),'Recurring Schedule'!$O$6)=0),IF('Recurring Schedule'!$E$6="Weekdays",WEEKDAY($A291,2)&lt;=5,$A291='Recurring Schedule'!$F$6))),1,""))))</f>
        <v/>
      </c>
      <c r="C291">
        <f>IF('Recurring Schedule'!$C$7="","",IF('Recurring Schedule'!$F$7="","",IF(OR($A291&lt;'Recurring Schedule'!$F$7,$A291&gt;'Recurring Schedule'!$P$7),"",IF(IF('Recurring Schedule'!$N$7&gt;0,MOD($A291-'Recurring Schedule'!$F$7,'Recurring Schedule'!$N$7)=0,IF('Recurring Schedule'!$O$7&gt;0,AND(DAY($A291)=MIN(DAY('Recurring Schedule'!$F$7),DAY(EOMONTH($A291,0))),MOD((YEAR($A291)-YEAR('Recurring Schedule'!$F$7))*12+MONTH($A291)-MONTH('Recurring Schedule'!$F$7),'Recurring Schedule'!$O$7)=0),IF('Recurring Schedule'!$E$7="Weekdays",WEEKDAY($A291,2)&lt;=5,$A291='Recurring Schedule'!$F$7))),2,""))))</f>
        <v/>
      </c>
      <c r="D291">
        <f>IF('Recurring Schedule'!$C$8="","",IF('Recurring Schedule'!$F$8="","",IF(OR($A291&lt;'Recurring Schedule'!$F$8,$A291&gt;'Recurring Schedule'!$P$8),"",IF(IF('Recurring Schedule'!$N$8&gt;0,MOD($A291-'Recurring Schedule'!$F$8,'Recurring Schedule'!$N$8)=0,IF('Recurring Schedule'!$O$8&gt;0,AND(DAY($A291)=MIN(DAY('Recurring Schedule'!$F$8),DAY(EOMONTH($A291,0))),MOD((YEAR($A291)-YEAR('Recurring Schedule'!$F$8))*12+MONTH($A291)-MONTH('Recurring Schedule'!$F$8),'Recurring Schedule'!$O$8)=0),IF('Recurring Schedule'!$E$8="Weekdays",WEEKDAY($A291,2)&lt;=5,$A291='Recurring Schedule'!$F$8))),3,""))))</f>
        <v/>
      </c>
      <c r="E291">
        <f>IF('Recurring Schedule'!$C$9="","",IF('Recurring Schedule'!$F$9="","",IF(OR($A291&lt;'Recurring Schedule'!$F$9,$A291&gt;'Recurring Schedule'!$P$9),"",IF(IF('Recurring Schedule'!$N$9&gt;0,MOD($A291-'Recurring Schedule'!$F$9,'Recurring Schedule'!$N$9)=0,IF('Recurring Schedule'!$O$9&gt;0,AND(DAY($A291)=MIN(DAY('Recurring Schedule'!$F$9),DAY(EOMONTH($A291,0))),MOD((YEAR($A291)-YEAR('Recurring Schedule'!$F$9))*12+MONTH($A291)-MONTH('Recurring Schedule'!$F$9),'Recurring Schedule'!$O$9)=0),IF('Recurring Schedule'!$E$9="Weekdays",WEEKDAY($A291,2)&lt;=5,$A291='Recurring Schedule'!$F$9))),4,""))))</f>
        <v/>
      </c>
      <c r="F291">
        <f>IF('Recurring Schedule'!$C$10="","",IF('Recurring Schedule'!$F$10="","",IF(OR($A291&lt;'Recurring Schedule'!$F$10,$A291&gt;'Recurring Schedule'!$P$10),"",IF(IF('Recurring Schedule'!$N$10&gt;0,MOD($A291-'Recurring Schedule'!$F$10,'Recurring Schedule'!$N$10)=0,IF('Recurring Schedule'!$O$10&gt;0,AND(DAY($A291)=MIN(DAY('Recurring Schedule'!$F$10),DAY(EOMONTH($A291,0))),MOD((YEAR($A291)-YEAR('Recurring Schedule'!$F$10))*12+MONTH($A291)-MONTH('Recurring Schedule'!$F$10),'Recurring Schedule'!$O$10)=0),IF('Recurring Schedule'!$E$10="Weekdays",WEEKDAY($A291,2)&lt;=5,$A291='Recurring Schedule'!$F$10))),5,""))))</f>
        <v/>
      </c>
      <c r="G291">
        <f>IF('Recurring Schedule'!$C$11="","",IF('Recurring Schedule'!$F$11="","",IF(OR($A291&lt;'Recurring Schedule'!$F$11,$A291&gt;'Recurring Schedule'!$P$11),"",IF(IF('Recurring Schedule'!$N$11&gt;0,MOD($A291-'Recurring Schedule'!$F$11,'Recurring Schedule'!$N$11)=0,IF('Recurring Schedule'!$O$11&gt;0,AND(DAY($A291)=MIN(DAY('Recurring Schedule'!$F$11),DAY(EOMONTH($A291,0))),MOD((YEAR($A291)-YEAR('Recurring Schedule'!$F$11))*12+MONTH($A291)-MONTH('Recurring Schedule'!$F$11),'Recurring Schedule'!$O$11)=0),IF('Recurring Schedule'!$E$11="Weekdays",WEEKDAY($A291,2)&lt;=5,$A291='Recurring Schedule'!$F$11))),6,""))))</f>
        <v/>
      </c>
      <c r="H291">
        <f>IF('Recurring Schedule'!$C$12="","",IF('Recurring Schedule'!$F$12="","",IF(OR($A291&lt;'Recurring Schedule'!$F$12,$A291&gt;'Recurring Schedule'!$P$12),"",IF(IF('Recurring Schedule'!$N$12&gt;0,MOD($A291-'Recurring Schedule'!$F$12,'Recurring Schedule'!$N$12)=0,IF('Recurring Schedule'!$O$12&gt;0,AND(DAY($A291)=MIN(DAY('Recurring Schedule'!$F$12),DAY(EOMONTH($A291,0))),MOD((YEAR($A291)-YEAR('Recurring Schedule'!$F$12))*12+MONTH($A291)-MONTH('Recurring Schedule'!$F$12),'Recurring Schedule'!$O$12)=0),IF('Recurring Schedule'!$E$12="Weekdays",WEEKDAY($A291,2)&lt;=5,$A291='Recurring Schedule'!$F$12))),7,""))))</f>
        <v/>
      </c>
      <c r="I291">
        <f>IF('Recurring Schedule'!$C$13="","",IF('Recurring Schedule'!$F$13="","",IF(OR($A291&lt;'Recurring Schedule'!$F$13,$A291&gt;'Recurring Schedule'!$P$13),"",IF(IF('Recurring Schedule'!$N$13&gt;0,MOD($A291-'Recurring Schedule'!$F$13,'Recurring Schedule'!$N$13)=0,IF('Recurring Schedule'!$O$13&gt;0,AND(DAY($A291)=MIN(DAY('Recurring Schedule'!$F$13),DAY(EOMONTH($A291,0))),MOD((YEAR($A291)-YEAR('Recurring Schedule'!$F$13))*12+MONTH($A291)-MONTH('Recurring Schedule'!$F$13),'Recurring Schedule'!$O$13)=0),IF('Recurring Schedule'!$E$13="Weekdays",WEEKDAY($A291,2)&lt;=5,$A291='Recurring Schedule'!$F$13))),8,""))))</f>
        <v/>
      </c>
      <c r="J291">
        <f>IF('Recurring Schedule'!$C$14="","",IF('Recurring Schedule'!$F$14="","",IF(OR($A291&lt;'Recurring Schedule'!$F$14,$A291&gt;'Recurring Schedule'!$P$14),"",IF(IF('Recurring Schedule'!$N$14&gt;0,MOD($A291-'Recurring Schedule'!$F$14,'Recurring Schedule'!$N$14)=0,IF('Recurring Schedule'!$O$14&gt;0,AND(DAY($A291)=MIN(DAY('Recurring Schedule'!$F$14),DAY(EOMONTH($A291,0))),MOD((YEAR($A291)-YEAR('Recurring Schedule'!$F$14))*12+MONTH($A291)-MONTH('Recurring Schedule'!$F$14),'Recurring Schedule'!$O$14)=0),IF('Recurring Schedule'!$E$14="Weekdays",WEEKDAY($A291,2)&lt;=5,$A291='Recurring Schedule'!$F$14))),9,""))))</f>
        <v/>
      </c>
      <c r="K291">
        <f>IF('Recurring Schedule'!$C$15="","",IF('Recurring Schedule'!$F$15="","",IF(OR($A291&lt;'Recurring Schedule'!$F$15,$A291&gt;'Recurring Schedule'!$P$15),"",IF(IF('Recurring Schedule'!$N$15&gt;0,MOD($A291-'Recurring Schedule'!$F$15,'Recurring Schedule'!$N$15)=0,IF('Recurring Schedule'!$O$15&gt;0,AND(DAY($A291)=MIN(DAY('Recurring Schedule'!$F$15),DAY(EOMONTH($A291,0))),MOD((YEAR($A291)-YEAR('Recurring Schedule'!$F$15))*12+MONTH($A291)-MONTH('Recurring Schedule'!$F$15),'Recurring Schedule'!$O$15)=0),IF('Recurring Schedule'!$E$15="Weekdays",WEEKDAY($A291,2)&lt;=5,$A291='Recurring Schedule'!$F$15))),10,""))))</f>
        <v/>
      </c>
      <c r="L291">
        <f>IF('Recurring Schedule'!$C$16="","",IF('Recurring Schedule'!$F$16="","",IF(OR($A291&lt;'Recurring Schedule'!$F$16,$A291&gt;'Recurring Schedule'!$P$16),"",IF(IF('Recurring Schedule'!$N$16&gt;0,MOD($A291-'Recurring Schedule'!$F$16,'Recurring Schedule'!$N$16)=0,IF('Recurring Schedule'!$O$16&gt;0,AND(DAY($A291)=MIN(DAY('Recurring Schedule'!$F$16),DAY(EOMONTH($A291,0))),MOD((YEAR($A291)-YEAR('Recurring Schedule'!$F$16))*12+MONTH($A291)-MONTH('Recurring Schedule'!$F$16),'Recurring Schedule'!$O$16)=0),IF('Recurring Schedule'!$E$16="Weekdays",WEEKDAY($A291,2)&lt;=5,$A291='Recurring Schedule'!$F$16))),11,""))))</f>
        <v/>
      </c>
      <c r="M291">
        <f>IF('Recurring Schedule'!$C$17="","",IF('Recurring Schedule'!$F$17="","",IF(OR($A291&lt;'Recurring Schedule'!$F$17,$A291&gt;'Recurring Schedule'!$P$17),"",IF(IF('Recurring Schedule'!$N$17&gt;0,MOD($A291-'Recurring Schedule'!$F$17,'Recurring Schedule'!$N$17)=0,IF('Recurring Schedule'!$O$17&gt;0,AND(DAY($A291)=MIN(DAY('Recurring Schedule'!$F$17),DAY(EOMONTH($A291,0))),MOD((YEAR($A291)-YEAR('Recurring Schedule'!$F$17))*12+MONTH($A291)-MONTH('Recurring Schedule'!$F$17),'Recurring Schedule'!$O$17)=0),IF('Recurring Schedule'!$E$17="Weekdays",WEEKDAY($A291,2)&lt;=5,$A291='Recurring Schedule'!$F$17))),12,""))))</f>
        <v/>
      </c>
      <c r="N291">
        <f>IF('Recurring Schedule'!$C$18="","",IF('Recurring Schedule'!$F$18="","",IF(OR($A291&lt;'Recurring Schedule'!$F$18,$A291&gt;'Recurring Schedule'!$P$18),"",IF(IF('Recurring Schedule'!$N$18&gt;0,MOD($A291-'Recurring Schedule'!$F$18,'Recurring Schedule'!$N$18)=0,IF('Recurring Schedule'!$O$18&gt;0,AND(DAY($A291)=MIN(DAY('Recurring Schedule'!$F$18),DAY(EOMONTH($A291,0))),MOD((YEAR($A291)-YEAR('Recurring Schedule'!$F$18))*12+MONTH($A291)-MONTH('Recurring Schedule'!$F$18),'Recurring Schedule'!$O$18)=0),IF('Recurring Schedule'!$E$18="Weekdays",WEEKDAY($A291,2)&lt;=5,$A291='Recurring Schedule'!$F$18))),13,""))))</f>
        <v/>
      </c>
      <c r="O291">
        <f>IF('Recurring Schedule'!$C$19="","",IF('Recurring Schedule'!$F$19="","",IF(OR($A291&lt;'Recurring Schedule'!$F$19,$A291&gt;'Recurring Schedule'!$P$19),"",IF(IF('Recurring Schedule'!$N$19&gt;0,MOD($A291-'Recurring Schedule'!$F$19,'Recurring Schedule'!$N$19)=0,IF('Recurring Schedule'!$O$19&gt;0,AND(DAY($A291)=MIN(DAY('Recurring Schedule'!$F$19),DAY(EOMONTH($A291,0))),MOD((YEAR($A291)-YEAR('Recurring Schedule'!$F$19))*12+MONTH($A291)-MONTH('Recurring Schedule'!$F$19),'Recurring Schedule'!$O$19)=0),IF('Recurring Schedule'!$E$19="Weekdays",WEEKDAY($A291,2)&lt;=5,$A291='Recurring Schedule'!$F$19))),14,""))))</f>
        <v/>
      </c>
      <c r="P291">
        <f>IF('Recurring Schedule'!$C$20="","",IF('Recurring Schedule'!$F$20="","",IF(OR($A291&lt;'Recurring Schedule'!$F$20,$A291&gt;'Recurring Schedule'!$P$20),"",IF(IF('Recurring Schedule'!$N$20&gt;0,MOD($A291-'Recurring Schedule'!$F$20,'Recurring Schedule'!$N$20)=0,IF('Recurring Schedule'!$O$20&gt;0,AND(DAY($A291)=MIN(DAY('Recurring Schedule'!$F$20),DAY(EOMONTH($A291,0))),MOD((YEAR($A291)-YEAR('Recurring Schedule'!$F$20))*12+MONTH($A291)-MONTH('Recurring Schedule'!$F$20),'Recurring Schedule'!$O$20)=0),IF('Recurring Schedule'!$E$20="Weekdays",WEEKDAY($A291,2)&lt;=5,$A291='Recurring Schedule'!$F$20))),15,""))))</f>
        <v/>
      </c>
      <c r="Q291">
        <f>IF('Recurring Schedule'!$C$21="","",IF('Recurring Schedule'!$F$21="","",IF(OR($A291&lt;'Recurring Schedule'!$F$21,$A291&gt;'Recurring Schedule'!$P$21),"",IF(IF('Recurring Schedule'!$N$21&gt;0,MOD($A291-'Recurring Schedule'!$F$21,'Recurring Schedule'!$N$21)=0,IF('Recurring Schedule'!$O$21&gt;0,AND(DAY($A291)=MIN(DAY('Recurring Schedule'!$F$21),DAY(EOMONTH($A291,0))),MOD((YEAR($A291)-YEAR('Recurring Schedule'!$F$21))*12+MONTH($A291)-MONTH('Recurring Schedule'!$F$21),'Recurring Schedule'!$O$21)=0),IF('Recurring Schedule'!$E$21="Weekdays",WEEKDAY($A291,2)&lt;=5,$A291='Recurring Schedule'!$F$21))),16,""))))</f>
        <v/>
      </c>
      <c r="R291">
        <f>IF('Recurring Schedule'!$C$22="","",IF('Recurring Schedule'!$F$22="","",IF(OR($A291&lt;'Recurring Schedule'!$F$22,$A291&gt;'Recurring Schedule'!$P$22),"",IF(IF('Recurring Schedule'!$N$22&gt;0,MOD($A291-'Recurring Schedule'!$F$22,'Recurring Schedule'!$N$22)=0,IF('Recurring Schedule'!$O$22&gt;0,AND(DAY($A291)=MIN(DAY('Recurring Schedule'!$F$22),DAY(EOMONTH($A291,0))),MOD((YEAR($A291)-YEAR('Recurring Schedule'!$F$22))*12+MONTH($A291)-MONTH('Recurring Schedule'!$F$22),'Recurring Schedule'!$O$22)=0),IF('Recurring Schedule'!$E$22="Weekdays",WEEKDAY($A291,2)&lt;=5,$A291='Recurring Schedule'!$F$22))),17,""))))</f>
        <v/>
      </c>
      <c r="S291">
        <f>IF('Recurring Schedule'!$C$23="","",IF('Recurring Schedule'!$F$23="","",IF(OR($A291&lt;'Recurring Schedule'!$F$23,$A291&gt;'Recurring Schedule'!$P$23),"",IF(IF('Recurring Schedule'!$N$23&gt;0,MOD($A291-'Recurring Schedule'!$F$23,'Recurring Schedule'!$N$23)=0,IF('Recurring Schedule'!$O$23&gt;0,AND(DAY($A291)=MIN(DAY('Recurring Schedule'!$F$23),DAY(EOMONTH($A291,0))),MOD((YEAR($A291)-YEAR('Recurring Schedule'!$F$23))*12+MONTH($A291)-MONTH('Recurring Schedule'!$F$23),'Recurring Schedule'!$O$23)=0),IF('Recurring Schedule'!$E$23="Weekdays",WEEKDAY($A291,2)&lt;=5,$A291='Recurring Schedule'!$F$23))),18,""))))</f>
        <v/>
      </c>
      <c r="T291">
        <f>IF('Recurring Schedule'!$C$24="","",IF('Recurring Schedule'!$F$24="","",IF(OR($A291&lt;'Recurring Schedule'!$F$24,$A291&gt;'Recurring Schedule'!$P$24),"",IF(IF('Recurring Schedule'!$N$24&gt;0,MOD($A291-'Recurring Schedule'!$F$24,'Recurring Schedule'!$N$24)=0,IF('Recurring Schedule'!$O$24&gt;0,AND(DAY($A291)=MIN(DAY('Recurring Schedule'!$F$24),DAY(EOMONTH($A291,0))),MOD((YEAR($A291)-YEAR('Recurring Schedule'!$F$24))*12+MONTH($A291)-MONTH('Recurring Schedule'!$F$24),'Recurring Schedule'!$O$24)=0),IF('Recurring Schedule'!$E$24="Weekdays",WEEKDAY($A291,2)&lt;=5,$A291='Recurring Schedule'!$F$24))),19,""))))</f>
        <v/>
      </c>
      <c r="U291">
        <f>IF('Recurring Schedule'!$C$25="","",IF('Recurring Schedule'!$F$25="","",IF(OR($A291&lt;'Recurring Schedule'!$F$25,$A291&gt;'Recurring Schedule'!$P$25),"",IF(IF('Recurring Schedule'!$N$25&gt;0,MOD($A291-'Recurring Schedule'!$F$25,'Recurring Schedule'!$N$25)=0,IF('Recurring Schedule'!$O$25&gt;0,AND(DAY($A291)=MIN(DAY('Recurring Schedule'!$F$25),DAY(EOMONTH($A291,0))),MOD((YEAR($A291)-YEAR('Recurring Schedule'!$F$25))*12+MONTH($A291)-MONTH('Recurring Schedule'!$F$25),'Recurring Schedule'!$O$25)=0),IF('Recurring Schedule'!$E$25="Weekdays",WEEKDAY($A291,2)&lt;=5,$A291='Recurring Schedule'!$F$25))),20,""))))</f>
        <v/>
      </c>
      <c r="V291">
        <f>IF('Recurring Schedule'!$C$26="","",IF('Recurring Schedule'!$F$26="","",IF(OR($A291&lt;'Recurring Schedule'!$F$26,$A291&gt;'Recurring Schedule'!$P$26),"",IF(IF('Recurring Schedule'!$N$26&gt;0,MOD($A291-'Recurring Schedule'!$F$26,'Recurring Schedule'!$N$26)=0,IF('Recurring Schedule'!$O$26&gt;0,AND(DAY($A291)=MIN(DAY('Recurring Schedule'!$F$26),DAY(EOMONTH($A291,0))),MOD((YEAR($A291)-YEAR('Recurring Schedule'!$F$26))*12+MONTH($A291)-MONTH('Recurring Schedule'!$F$26),'Recurring Schedule'!$O$26)=0),IF('Recurring Schedule'!$E$26="Weekdays",WEEKDAY($A291,2)&lt;=5,$A291='Recurring Schedule'!$F$26))),21,""))))</f>
        <v/>
      </c>
      <c r="W291">
        <f>IF('Recurring Schedule'!$C$27="","",IF('Recurring Schedule'!$F$27="","",IF(OR($A291&lt;'Recurring Schedule'!$F$27,$A291&gt;'Recurring Schedule'!$P$27),"",IF(IF('Recurring Schedule'!$N$27&gt;0,MOD($A291-'Recurring Schedule'!$F$27,'Recurring Schedule'!$N$27)=0,IF('Recurring Schedule'!$O$27&gt;0,AND(DAY($A291)=MIN(DAY('Recurring Schedule'!$F$27),DAY(EOMONTH($A291,0))),MOD((YEAR($A291)-YEAR('Recurring Schedule'!$F$27))*12+MONTH($A291)-MONTH('Recurring Schedule'!$F$27),'Recurring Schedule'!$O$27)=0),IF('Recurring Schedule'!$E$27="Weekdays",WEEKDAY($A291,2)&lt;=5,$A291='Recurring Schedule'!$F$27))),22,""))))</f>
        <v/>
      </c>
      <c r="X291">
        <f>IF('Recurring Schedule'!$C$28="","",IF('Recurring Schedule'!$F$28="","",IF(OR($A291&lt;'Recurring Schedule'!$F$28,$A291&gt;'Recurring Schedule'!$P$28),"",IF(IF('Recurring Schedule'!$N$28&gt;0,MOD($A291-'Recurring Schedule'!$F$28,'Recurring Schedule'!$N$28)=0,IF('Recurring Schedule'!$O$28&gt;0,AND(DAY($A291)=MIN(DAY('Recurring Schedule'!$F$28),DAY(EOMONTH($A291,0))),MOD((YEAR($A291)-YEAR('Recurring Schedule'!$F$28))*12+MONTH($A291)-MONTH('Recurring Schedule'!$F$28),'Recurring Schedule'!$O$28)=0),IF('Recurring Schedule'!$E$28="Weekdays",WEEKDAY($A291,2)&lt;=5,$A291='Recurring Schedule'!$F$28))),23,""))))</f>
        <v/>
      </c>
      <c r="Y291">
        <f>IF('Recurring Schedule'!$C$29="","",IF('Recurring Schedule'!$F$29="","",IF(OR($A291&lt;'Recurring Schedule'!$F$29,$A291&gt;'Recurring Schedule'!$P$29),"",IF(IF('Recurring Schedule'!$N$29&gt;0,MOD($A291-'Recurring Schedule'!$F$29,'Recurring Schedule'!$N$29)=0,IF('Recurring Schedule'!$O$29&gt;0,AND(DAY($A291)=MIN(DAY('Recurring Schedule'!$F$29),DAY(EOMONTH($A291,0))),MOD((YEAR($A291)-YEAR('Recurring Schedule'!$F$29))*12+MONTH($A291)-MONTH('Recurring Schedule'!$F$29),'Recurring Schedule'!$O$29)=0),IF('Recurring Schedule'!$E$29="Weekdays",WEEKDAY($A291,2)&lt;=5,$A291='Recurring Schedule'!$F$29))),24,""))))</f>
        <v/>
      </c>
      <c r="Z291">
        <f>IF('Recurring Schedule'!$C$30="","",IF('Recurring Schedule'!$F$30="","",IF(OR($A291&lt;'Recurring Schedule'!$F$30,$A291&gt;'Recurring Schedule'!$P$30),"",IF(IF('Recurring Schedule'!$N$30&gt;0,MOD($A291-'Recurring Schedule'!$F$30,'Recurring Schedule'!$N$30)=0,IF('Recurring Schedule'!$O$30&gt;0,AND(DAY($A291)=MIN(DAY('Recurring Schedule'!$F$30),DAY(EOMONTH($A291,0))),MOD((YEAR($A291)-YEAR('Recurring Schedule'!$F$30))*12+MONTH($A291)-MONTH('Recurring Schedule'!$F$30),'Recurring Schedule'!$O$30)=0),IF('Recurring Schedule'!$E$30="Weekdays",WEEKDAY($A291,2)&lt;=5,$A291='Recurring Schedule'!$F$30))),25,""))))</f>
        <v/>
      </c>
      <c r="AA291">
        <f>IF('Recurring Schedule'!$C$31="","",IF('Recurring Schedule'!$F$31="","",IF(OR($A291&lt;'Recurring Schedule'!$F$31,$A291&gt;'Recurring Schedule'!$P$31),"",IF(IF('Recurring Schedule'!$N$31&gt;0,MOD($A291-'Recurring Schedule'!$F$31,'Recurring Schedule'!$N$31)=0,IF('Recurring Schedule'!$O$31&gt;0,AND(DAY($A291)=MIN(DAY('Recurring Schedule'!$F$31),DAY(EOMONTH($A291,0))),MOD((YEAR($A291)-YEAR('Recurring Schedule'!$F$31))*12+MONTH($A291)-MONTH('Recurring Schedule'!$F$31),'Recurring Schedule'!$O$31)=0),IF('Recurring Schedule'!$E$31="Weekdays",WEEKDAY($A291,2)&lt;=5,$A291='Recurring Schedule'!$F$31))),26,""))))</f>
        <v/>
      </c>
      <c r="AB291">
        <f>IF('Recurring Schedule'!$C$32="","",IF('Recurring Schedule'!$F$32="","",IF(OR($A291&lt;'Recurring Schedule'!$F$32,$A291&gt;'Recurring Schedule'!$P$32),"",IF(IF('Recurring Schedule'!$N$32&gt;0,MOD($A291-'Recurring Schedule'!$F$32,'Recurring Schedule'!$N$32)=0,IF('Recurring Schedule'!$O$32&gt;0,AND(DAY($A291)=MIN(DAY('Recurring Schedule'!$F$32),DAY(EOMONTH($A291,0))),MOD((YEAR($A291)-YEAR('Recurring Schedule'!$F$32))*12+MONTH($A291)-MONTH('Recurring Schedule'!$F$32),'Recurring Schedule'!$O$32)=0),IF('Recurring Schedule'!$E$32="Weekdays",WEEKDAY($A291,2)&lt;=5,$A291='Recurring Schedule'!$F$32))),27,""))))</f>
        <v/>
      </c>
      <c r="AC291">
        <f>IF('Recurring Schedule'!$C$33="","",IF('Recurring Schedule'!$F$33="","",IF(OR($A291&lt;'Recurring Schedule'!$F$33,$A291&gt;'Recurring Schedule'!$P$33),"",IF(IF('Recurring Schedule'!$N$33&gt;0,MOD($A291-'Recurring Schedule'!$F$33,'Recurring Schedule'!$N$33)=0,IF('Recurring Schedule'!$O$33&gt;0,AND(DAY($A291)=MIN(DAY('Recurring Schedule'!$F$33),DAY(EOMONTH($A291,0))),MOD((YEAR($A291)-YEAR('Recurring Schedule'!$F$33))*12+MONTH($A291)-MONTH('Recurring Schedule'!$F$33),'Recurring Schedule'!$O$33)=0),IF('Recurring Schedule'!$E$33="Weekdays",WEEKDAY($A291,2)&lt;=5,$A291='Recurring Schedule'!$F$33))),28,""))))</f>
        <v/>
      </c>
      <c r="AD291">
        <f>IF('Recurring Schedule'!$C$34="","",IF('Recurring Schedule'!$F$34="","",IF(OR($A291&lt;'Recurring Schedule'!$F$34,$A291&gt;'Recurring Schedule'!$P$34),"",IF(IF('Recurring Schedule'!$N$34&gt;0,MOD($A291-'Recurring Schedule'!$F$34,'Recurring Schedule'!$N$34)=0,IF('Recurring Schedule'!$O$34&gt;0,AND(DAY($A291)=MIN(DAY('Recurring Schedule'!$F$34),DAY(EOMONTH($A291,0))),MOD((YEAR($A291)-YEAR('Recurring Schedule'!$F$34))*12+MONTH($A291)-MONTH('Recurring Schedule'!$F$34),'Recurring Schedule'!$O$34)=0),IF('Recurring Schedule'!$E$34="Weekdays",WEEKDAY($A291,2)&lt;=5,$A291='Recurring Schedule'!$F$34))),29,""))))</f>
        <v/>
      </c>
      <c r="AE291">
        <f>IF('Recurring Schedule'!$C$35="","",IF('Recurring Schedule'!$F$35="","",IF(OR($A291&lt;'Recurring Schedule'!$F$35,$A291&gt;'Recurring Schedule'!$P$35),"",IF(IF('Recurring Schedule'!$N$35&gt;0,MOD($A291-'Recurring Schedule'!$F$35,'Recurring Schedule'!$N$35)=0,IF('Recurring Schedule'!$O$35&gt;0,AND(DAY($A291)=MIN(DAY('Recurring Schedule'!$F$35),DAY(EOMONTH($A291,0))),MOD((YEAR($A291)-YEAR('Recurring Schedule'!$F$35))*12+MONTH($A291)-MONTH('Recurring Schedule'!$F$35),'Recurring Schedule'!$O$35)=0),IF('Recurring Schedule'!$E$35="Weekdays",WEEKDAY($A291,2)&lt;=5,$A291='Recurring Schedule'!$F$35))),30,""))))</f>
        <v/>
      </c>
      <c r="AF291">
        <f>IF('Recurring Schedule'!$C$36="","",IF('Recurring Schedule'!$F$36="","",IF(OR($A291&lt;'Recurring Schedule'!$F$36,$A291&gt;'Recurring Schedule'!$P$36),"",IF(IF('Recurring Schedule'!$N$36&gt;0,MOD($A291-'Recurring Schedule'!$F$36,'Recurring Schedule'!$N$36)=0,IF('Recurring Schedule'!$O$36&gt;0,AND(DAY($A291)=MIN(DAY('Recurring Schedule'!$F$36),DAY(EOMONTH($A291,0))),MOD((YEAR($A291)-YEAR('Recurring Schedule'!$F$36))*12+MONTH($A291)-MONTH('Recurring Schedule'!$F$36),'Recurring Schedule'!$O$36)=0),IF('Recurring Schedule'!$E$36="Weekdays",WEEKDAY($A291,2)&lt;=5,$A291='Recurring Schedule'!$F$36))),31,""))))</f>
        <v/>
      </c>
      <c r="AG291">
        <f>IF('Recurring Schedule'!$C$37="","",IF('Recurring Schedule'!$F$37="","",IF(OR($A291&lt;'Recurring Schedule'!$F$37,$A291&gt;'Recurring Schedule'!$P$37),"",IF(IF('Recurring Schedule'!$N$37&gt;0,MOD($A291-'Recurring Schedule'!$F$37,'Recurring Schedule'!$N$37)=0,IF('Recurring Schedule'!$O$37&gt;0,AND(DAY($A291)=MIN(DAY('Recurring Schedule'!$F$37),DAY(EOMONTH($A291,0))),MOD((YEAR($A291)-YEAR('Recurring Schedule'!$F$37))*12+MONTH($A291)-MONTH('Recurring Schedule'!$F$37),'Recurring Schedule'!$O$37)=0),IF('Recurring Schedule'!$E$37="Weekdays",WEEKDAY($A291,2)&lt;=5,$A291='Recurring Schedule'!$F$37))),32,""))))</f>
        <v/>
      </c>
      <c r="AH291">
        <f>IF('Recurring Schedule'!$C$38="","",IF('Recurring Schedule'!$F$38="","",IF(OR($A291&lt;'Recurring Schedule'!$F$38,$A291&gt;'Recurring Schedule'!$P$38),"",IF(IF('Recurring Schedule'!$N$38&gt;0,MOD($A291-'Recurring Schedule'!$F$38,'Recurring Schedule'!$N$38)=0,IF('Recurring Schedule'!$O$38&gt;0,AND(DAY($A291)=MIN(DAY('Recurring Schedule'!$F$38),DAY(EOMONTH($A291,0))),MOD((YEAR($A291)-YEAR('Recurring Schedule'!$F$38))*12+MONTH($A291)-MONTH('Recurring Schedule'!$F$38),'Recurring Schedule'!$O$38)=0),IF('Recurring Schedule'!$E$38="Weekdays",WEEKDAY($A291,2)&lt;=5,$A291='Recurring Schedule'!$F$38))),33,""))))</f>
        <v/>
      </c>
      <c r="AI291">
        <f>IF('Recurring Schedule'!$C$39="","",IF('Recurring Schedule'!$F$39="","",IF(OR($A291&lt;'Recurring Schedule'!$F$39,$A291&gt;'Recurring Schedule'!$P$39),"",IF(IF('Recurring Schedule'!$N$39&gt;0,MOD($A291-'Recurring Schedule'!$F$39,'Recurring Schedule'!$N$39)=0,IF('Recurring Schedule'!$O$39&gt;0,AND(DAY($A291)=MIN(DAY('Recurring Schedule'!$F$39),DAY(EOMONTH($A291,0))),MOD((YEAR($A291)-YEAR('Recurring Schedule'!$F$39))*12+MONTH($A291)-MONTH('Recurring Schedule'!$F$39),'Recurring Schedule'!$O$39)=0),IF('Recurring Schedule'!$E$39="Weekdays",WEEKDAY($A291,2)&lt;=5,$A291='Recurring Schedule'!$F$39))),34,""))))</f>
        <v/>
      </c>
      <c r="AJ291">
        <f>IF('Recurring Schedule'!$C$40="","",IF('Recurring Schedule'!$F$40="","",IF(OR($A291&lt;'Recurring Schedule'!$F$40,$A291&gt;'Recurring Schedule'!$P$40),"",IF(IF('Recurring Schedule'!$N$40&gt;0,MOD($A291-'Recurring Schedule'!$F$40,'Recurring Schedule'!$N$40)=0,IF('Recurring Schedule'!$O$40&gt;0,AND(DAY($A291)=MIN(DAY('Recurring Schedule'!$F$40),DAY(EOMONTH($A291,0))),MOD((YEAR($A291)-YEAR('Recurring Schedule'!$F$40))*12+MONTH($A291)-MONTH('Recurring Schedule'!$F$40),'Recurring Schedule'!$O$40)=0),IF('Recurring Schedule'!$E$40="Weekdays",WEEKDAY($A291,2)&lt;=5,$A291='Recurring Schedule'!$F$40))),35,""))))</f>
        <v/>
      </c>
      <c r="AK291">
        <f>IF('Recurring Schedule'!$C$41="","",IF('Recurring Schedule'!$F$41="","",IF(OR($A291&lt;'Recurring Schedule'!$F$41,$A291&gt;'Recurring Schedule'!$P$41),"",IF(IF('Recurring Schedule'!$N$41&gt;0,MOD($A291-'Recurring Schedule'!$F$41,'Recurring Schedule'!$N$41)=0,IF('Recurring Schedule'!$O$41&gt;0,AND(DAY($A291)=MIN(DAY('Recurring Schedule'!$F$41),DAY(EOMONTH($A291,0))),MOD((YEAR($A291)-YEAR('Recurring Schedule'!$F$41))*12+MONTH($A291)-MONTH('Recurring Schedule'!$F$41),'Recurring Schedule'!$O$41)=0),IF('Recurring Schedule'!$E$41="Weekdays",WEEKDAY($A291,2)&lt;=5,$A291='Recurring Schedule'!$F$41))),36,""))))</f>
        <v/>
      </c>
      <c r="AL291">
        <f>IF('Recurring Schedule'!$C$42="","",IF('Recurring Schedule'!$F$42="","",IF(OR($A291&lt;'Recurring Schedule'!$F$42,$A291&gt;'Recurring Schedule'!$P$42),"",IF(IF('Recurring Schedule'!$N$42&gt;0,MOD($A291-'Recurring Schedule'!$F$42,'Recurring Schedule'!$N$42)=0,IF('Recurring Schedule'!$O$42&gt;0,AND(DAY($A291)=MIN(DAY('Recurring Schedule'!$F$42),DAY(EOMONTH($A291,0))),MOD((YEAR($A291)-YEAR('Recurring Schedule'!$F$42))*12+MONTH($A291)-MONTH('Recurring Schedule'!$F$42),'Recurring Schedule'!$O$42)=0),IF('Recurring Schedule'!$E$42="Weekdays",WEEKDAY($A291,2)&lt;=5,$A291='Recurring Schedule'!$F$42))),37,""))))</f>
        <v/>
      </c>
      <c r="AM291">
        <f>IF('Recurring Schedule'!$C$43="","",IF('Recurring Schedule'!$F$43="","",IF(OR($A291&lt;'Recurring Schedule'!$F$43,$A291&gt;'Recurring Schedule'!$P$43),"",IF(IF('Recurring Schedule'!$N$43&gt;0,MOD($A291-'Recurring Schedule'!$F$43,'Recurring Schedule'!$N$43)=0,IF('Recurring Schedule'!$O$43&gt;0,AND(DAY($A291)=MIN(DAY('Recurring Schedule'!$F$43),DAY(EOMONTH($A291,0))),MOD((YEAR($A291)-YEAR('Recurring Schedule'!$F$43))*12+MONTH($A291)-MONTH('Recurring Schedule'!$F$43),'Recurring Schedule'!$O$43)=0),IF('Recurring Schedule'!$E$43="Weekdays",WEEKDAY($A291,2)&lt;=5,$A291='Recurring Schedule'!$F$43))),38,""))))</f>
        <v/>
      </c>
      <c r="AN291">
        <f>IF('Recurring Schedule'!$C$44="","",IF('Recurring Schedule'!$F$44="","",IF(OR($A291&lt;'Recurring Schedule'!$F$44,$A291&gt;'Recurring Schedule'!$P$44),"",IF(IF('Recurring Schedule'!$N$44&gt;0,MOD($A291-'Recurring Schedule'!$F$44,'Recurring Schedule'!$N$44)=0,IF('Recurring Schedule'!$O$44&gt;0,AND(DAY($A291)=MIN(DAY('Recurring Schedule'!$F$44),DAY(EOMONTH($A291,0))),MOD((YEAR($A291)-YEAR('Recurring Schedule'!$F$44))*12+MONTH($A291)-MONTH('Recurring Schedule'!$F$44),'Recurring Schedule'!$O$44)=0),IF('Recurring Schedule'!$E$44="Weekdays",WEEKDAY($A291,2)&lt;=5,$A291='Recurring Schedule'!$F$44))),39,""))))</f>
        <v/>
      </c>
      <c r="AO291">
        <f>IF('Recurring Schedule'!$C$45="","",IF('Recurring Schedule'!$F$45="","",IF(OR($A291&lt;'Recurring Schedule'!$F$45,$A291&gt;'Recurring Schedule'!$P$45),"",IF(IF('Recurring Schedule'!$N$45&gt;0,MOD($A291-'Recurring Schedule'!$F$45,'Recurring Schedule'!$N$45)=0,IF('Recurring Schedule'!$O$45&gt;0,AND(DAY($A291)=MIN(DAY('Recurring Schedule'!$F$45),DAY(EOMONTH($A291,0))),MOD((YEAR($A291)-YEAR('Recurring Schedule'!$F$45))*12+MONTH($A291)-MONTH('Recurring Schedule'!$F$45),'Recurring Schedule'!$O$45)=0),IF('Recurring Schedule'!$E$45="Weekdays",WEEKDAY($A291,2)&lt;=5,$A291='Recurring Schedule'!$F$45))),40,""))))</f>
        <v/>
      </c>
      <c r="AP291">
        <f>COUNT(B291:AO291)</f>
        <v/>
      </c>
      <c r="AQ291">
        <f>AQ290+AP290</f>
        <v/>
      </c>
      <c r="AS291" t="inlineStr">
        <is>
          <t>R</t>
        </is>
      </c>
      <c r="AT291" t="n">
        <v>295</v>
      </c>
      <c r="AU291">
        <f>'Recurring Log'!C295&amp;""</f>
        <v/>
      </c>
      <c r="AV291">
        <f>'Recurring Log'!D295&amp;""</f>
        <v/>
      </c>
      <c r="AW291">
        <f>IF('Recurring Log'!E295="","",'Recurring Log'!E295)</f>
        <v/>
      </c>
      <c r="AX291">
        <f>IF('Recurring Log'!G295="","",'Recurring Log'!G295)</f>
        <v/>
      </c>
      <c r="AY291">
        <f>IF('Recurring Log'!H295="","",'Recurring Log'!H295)</f>
        <v/>
      </c>
      <c r="AZ291">
        <f>IF(AU291="","",IF('Recurring Log'!J295="","Not Started",'Recurring Log'!J295))</f>
        <v/>
      </c>
      <c r="BA291">
        <f>'Recurring Log'!L295&amp;""</f>
        <v/>
      </c>
      <c r="BB291">
        <f>'Recurring Log'!M295&amp;""</f>
        <v/>
      </c>
      <c r="BC291">
        <f>'Recurring Log'!N295&amp;""</f>
        <v/>
      </c>
      <c r="BD291">
        <f>'Recurring Log'!O295&amp;""</f>
        <v/>
      </c>
      <c r="BE291">
        <f>IF('Recurring Log'!K295="","",'Recurring Log'!K295)</f>
        <v/>
      </c>
      <c r="BF291">
        <f>IFERROR(MATCH(BA291,Setup!$L$6:$L$9,0),5)</f>
        <v/>
      </c>
      <c r="BG291">
        <f>IF(OR(AZ291="Done",AZ291="Cancelled"),1,0)</f>
        <v/>
      </c>
      <c r="BH291">
        <f>IF(AND(AU291&lt;&gt;"",ISNUMBER(AW291)),1,0)</f>
        <v/>
      </c>
      <c r="BI291">
        <f>IF(BH291=0,0,IF(AND(AW291&gt;='Tasks Filter'!$F$3,AW291&lt;='Tasks Filter'!$F$4,OR('Tasks Filter'!$I$3="",ISNUMBER(SEARCH('Tasks Filter'!$I$3,AU291))),OR('Tasks Filter'!$I$4="",BF291=IFERROR(MATCH('Tasks Filter'!$I$4,Setup!$L$6:$L$9,0),0)),OR('Tasks Filter'!$I$5="Both",AND('Tasks Filter'!$I$5="Yes",BB291="✓"),AND('Tasks Filter'!$I$5="No",BB291&lt;&gt;"✓")),OR('Tasks Filter'!$L$3="",AV291='Tasks Filter'!$L$3),OR('Tasks Filter'!$L$4="",AZ291='Tasks Filter'!$L$4),OR('Tasks Filter'!$L$5="",BC291='Tasks Filter'!$L$5),OR('Tasks Filter'!$O$3="",BD291='Tasks Filter'!$O$3),OR('Tasks Filter'!$O$4="Yes",BG291=0)),1,0))</f>
        <v/>
      </c>
      <c r="BJ291">
        <f>IF(BH291=0,"",IF('Tasks Filter'!$F$6="Descending",-1,1)*CHOOSE(MATCH('Tasks Filter'!$F$5,Lists!$G$2:$G$6,0),AW291,BF291,IFERROR(MATCH(AV291,Setup!$F$6:$F$15,0),99),IFERROR(MATCH(BC291,Setup!$H$6:$H$15,0),99),IFERROR(MATCH(AZ291,Setup!$J$6:$J$11,0),99))*1E+9+(AW291-40000)*10000+290)</f>
        <v/>
      </c>
      <c r="BK291">
        <f>IF(BI291=1,BJ291,"")</f>
        <v/>
      </c>
      <c r="BL291">
        <f>IF(AND(BH291=1,BG291=0,N(AW291)&lt;Setup!$D$7),(AW291-40000)*10000+290,"")</f>
        <v/>
      </c>
      <c r="BM291">
        <f>IF(AND(BH291=1,AZ291&lt;&gt;"Cancelled",N(AW291)&gt;=Dashboard!$AB$3,N(AW291)&lt;=Dashboard!$AB$3+6),(AW291-40000)*100000+BF291*10000+290,"")</f>
        <v/>
      </c>
      <c r="BN291">
        <f>IF(AND(BH291=1,AZ291&lt;&gt;"Cancelled"),BF291*10000+290,"")</f>
        <v/>
      </c>
    </row>
    <row r="292">
      <c r="A292">
        <f>Setup!$D$5+290</f>
        <v/>
      </c>
      <c r="B292">
        <f>IF('Recurring Schedule'!$C$6="","",IF('Recurring Schedule'!$F$6="","",IF(OR($A292&lt;'Recurring Schedule'!$F$6,$A292&gt;'Recurring Schedule'!$P$6),"",IF(IF('Recurring Schedule'!$N$6&gt;0,MOD($A292-'Recurring Schedule'!$F$6,'Recurring Schedule'!$N$6)=0,IF('Recurring Schedule'!$O$6&gt;0,AND(DAY($A292)=MIN(DAY('Recurring Schedule'!$F$6),DAY(EOMONTH($A292,0))),MOD((YEAR($A292)-YEAR('Recurring Schedule'!$F$6))*12+MONTH($A292)-MONTH('Recurring Schedule'!$F$6),'Recurring Schedule'!$O$6)=0),IF('Recurring Schedule'!$E$6="Weekdays",WEEKDAY($A292,2)&lt;=5,$A292='Recurring Schedule'!$F$6))),1,""))))</f>
        <v/>
      </c>
      <c r="C292">
        <f>IF('Recurring Schedule'!$C$7="","",IF('Recurring Schedule'!$F$7="","",IF(OR($A292&lt;'Recurring Schedule'!$F$7,$A292&gt;'Recurring Schedule'!$P$7),"",IF(IF('Recurring Schedule'!$N$7&gt;0,MOD($A292-'Recurring Schedule'!$F$7,'Recurring Schedule'!$N$7)=0,IF('Recurring Schedule'!$O$7&gt;0,AND(DAY($A292)=MIN(DAY('Recurring Schedule'!$F$7),DAY(EOMONTH($A292,0))),MOD((YEAR($A292)-YEAR('Recurring Schedule'!$F$7))*12+MONTH($A292)-MONTH('Recurring Schedule'!$F$7),'Recurring Schedule'!$O$7)=0),IF('Recurring Schedule'!$E$7="Weekdays",WEEKDAY($A292,2)&lt;=5,$A292='Recurring Schedule'!$F$7))),2,""))))</f>
        <v/>
      </c>
      <c r="D292">
        <f>IF('Recurring Schedule'!$C$8="","",IF('Recurring Schedule'!$F$8="","",IF(OR($A292&lt;'Recurring Schedule'!$F$8,$A292&gt;'Recurring Schedule'!$P$8),"",IF(IF('Recurring Schedule'!$N$8&gt;0,MOD($A292-'Recurring Schedule'!$F$8,'Recurring Schedule'!$N$8)=0,IF('Recurring Schedule'!$O$8&gt;0,AND(DAY($A292)=MIN(DAY('Recurring Schedule'!$F$8),DAY(EOMONTH($A292,0))),MOD((YEAR($A292)-YEAR('Recurring Schedule'!$F$8))*12+MONTH($A292)-MONTH('Recurring Schedule'!$F$8),'Recurring Schedule'!$O$8)=0),IF('Recurring Schedule'!$E$8="Weekdays",WEEKDAY($A292,2)&lt;=5,$A292='Recurring Schedule'!$F$8))),3,""))))</f>
        <v/>
      </c>
      <c r="E292">
        <f>IF('Recurring Schedule'!$C$9="","",IF('Recurring Schedule'!$F$9="","",IF(OR($A292&lt;'Recurring Schedule'!$F$9,$A292&gt;'Recurring Schedule'!$P$9),"",IF(IF('Recurring Schedule'!$N$9&gt;0,MOD($A292-'Recurring Schedule'!$F$9,'Recurring Schedule'!$N$9)=0,IF('Recurring Schedule'!$O$9&gt;0,AND(DAY($A292)=MIN(DAY('Recurring Schedule'!$F$9),DAY(EOMONTH($A292,0))),MOD((YEAR($A292)-YEAR('Recurring Schedule'!$F$9))*12+MONTH($A292)-MONTH('Recurring Schedule'!$F$9),'Recurring Schedule'!$O$9)=0),IF('Recurring Schedule'!$E$9="Weekdays",WEEKDAY($A292,2)&lt;=5,$A292='Recurring Schedule'!$F$9))),4,""))))</f>
        <v/>
      </c>
      <c r="F292">
        <f>IF('Recurring Schedule'!$C$10="","",IF('Recurring Schedule'!$F$10="","",IF(OR($A292&lt;'Recurring Schedule'!$F$10,$A292&gt;'Recurring Schedule'!$P$10),"",IF(IF('Recurring Schedule'!$N$10&gt;0,MOD($A292-'Recurring Schedule'!$F$10,'Recurring Schedule'!$N$10)=0,IF('Recurring Schedule'!$O$10&gt;0,AND(DAY($A292)=MIN(DAY('Recurring Schedule'!$F$10),DAY(EOMONTH($A292,0))),MOD((YEAR($A292)-YEAR('Recurring Schedule'!$F$10))*12+MONTH($A292)-MONTH('Recurring Schedule'!$F$10),'Recurring Schedule'!$O$10)=0),IF('Recurring Schedule'!$E$10="Weekdays",WEEKDAY($A292,2)&lt;=5,$A292='Recurring Schedule'!$F$10))),5,""))))</f>
        <v/>
      </c>
      <c r="G292">
        <f>IF('Recurring Schedule'!$C$11="","",IF('Recurring Schedule'!$F$11="","",IF(OR($A292&lt;'Recurring Schedule'!$F$11,$A292&gt;'Recurring Schedule'!$P$11),"",IF(IF('Recurring Schedule'!$N$11&gt;0,MOD($A292-'Recurring Schedule'!$F$11,'Recurring Schedule'!$N$11)=0,IF('Recurring Schedule'!$O$11&gt;0,AND(DAY($A292)=MIN(DAY('Recurring Schedule'!$F$11),DAY(EOMONTH($A292,0))),MOD((YEAR($A292)-YEAR('Recurring Schedule'!$F$11))*12+MONTH($A292)-MONTH('Recurring Schedule'!$F$11),'Recurring Schedule'!$O$11)=0),IF('Recurring Schedule'!$E$11="Weekdays",WEEKDAY($A292,2)&lt;=5,$A292='Recurring Schedule'!$F$11))),6,""))))</f>
        <v/>
      </c>
      <c r="H292">
        <f>IF('Recurring Schedule'!$C$12="","",IF('Recurring Schedule'!$F$12="","",IF(OR($A292&lt;'Recurring Schedule'!$F$12,$A292&gt;'Recurring Schedule'!$P$12),"",IF(IF('Recurring Schedule'!$N$12&gt;0,MOD($A292-'Recurring Schedule'!$F$12,'Recurring Schedule'!$N$12)=0,IF('Recurring Schedule'!$O$12&gt;0,AND(DAY($A292)=MIN(DAY('Recurring Schedule'!$F$12),DAY(EOMONTH($A292,0))),MOD((YEAR($A292)-YEAR('Recurring Schedule'!$F$12))*12+MONTH($A292)-MONTH('Recurring Schedule'!$F$12),'Recurring Schedule'!$O$12)=0),IF('Recurring Schedule'!$E$12="Weekdays",WEEKDAY($A292,2)&lt;=5,$A292='Recurring Schedule'!$F$12))),7,""))))</f>
        <v/>
      </c>
      <c r="I292">
        <f>IF('Recurring Schedule'!$C$13="","",IF('Recurring Schedule'!$F$13="","",IF(OR($A292&lt;'Recurring Schedule'!$F$13,$A292&gt;'Recurring Schedule'!$P$13),"",IF(IF('Recurring Schedule'!$N$13&gt;0,MOD($A292-'Recurring Schedule'!$F$13,'Recurring Schedule'!$N$13)=0,IF('Recurring Schedule'!$O$13&gt;0,AND(DAY($A292)=MIN(DAY('Recurring Schedule'!$F$13),DAY(EOMONTH($A292,0))),MOD((YEAR($A292)-YEAR('Recurring Schedule'!$F$13))*12+MONTH($A292)-MONTH('Recurring Schedule'!$F$13),'Recurring Schedule'!$O$13)=0),IF('Recurring Schedule'!$E$13="Weekdays",WEEKDAY($A292,2)&lt;=5,$A292='Recurring Schedule'!$F$13))),8,""))))</f>
        <v/>
      </c>
      <c r="J292">
        <f>IF('Recurring Schedule'!$C$14="","",IF('Recurring Schedule'!$F$14="","",IF(OR($A292&lt;'Recurring Schedule'!$F$14,$A292&gt;'Recurring Schedule'!$P$14),"",IF(IF('Recurring Schedule'!$N$14&gt;0,MOD($A292-'Recurring Schedule'!$F$14,'Recurring Schedule'!$N$14)=0,IF('Recurring Schedule'!$O$14&gt;0,AND(DAY($A292)=MIN(DAY('Recurring Schedule'!$F$14),DAY(EOMONTH($A292,0))),MOD((YEAR($A292)-YEAR('Recurring Schedule'!$F$14))*12+MONTH($A292)-MONTH('Recurring Schedule'!$F$14),'Recurring Schedule'!$O$14)=0),IF('Recurring Schedule'!$E$14="Weekdays",WEEKDAY($A292,2)&lt;=5,$A292='Recurring Schedule'!$F$14))),9,""))))</f>
        <v/>
      </c>
      <c r="K292">
        <f>IF('Recurring Schedule'!$C$15="","",IF('Recurring Schedule'!$F$15="","",IF(OR($A292&lt;'Recurring Schedule'!$F$15,$A292&gt;'Recurring Schedule'!$P$15),"",IF(IF('Recurring Schedule'!$N$15&gt;0,MOD($A292-'Recurring Schedule'!$F$15,'Recurring Schedule'!$N$15)=0,IF('Recurring Schedule'!$O$15&gt;0,AND(DAY($A292)=MIN(DAY('Recurring Schedule'!$F$15),DAY(EOMONTH($A292,0))),MOD((YEAR($A292)-YEAR('Recurring Schedule'!$F$15))*12+MONTH($A292)-MONTH('Recurring Schedule'!$F$15),'Recurring Schedule'!$O$15)=0),IF('Recurring Schedule'!$E$15="Weekdays",WEEKDAY($A292,2)&lt;=5,$A292='Recurring Schedule'!$F$15))),10,""))))</f>
        <v/>
      </c>
      <c r="L292">
        <f>IF('Recurring Schedule'!$C$16="","",IF('Recurring Schedule'!$F$16="","",IF(OR($A292&lt;'Recurring Schedule'!$F$16,$A292&gt;'Recurring Schedule'!$P$16),"",IF(IF('Recurring Schedule'!$N$16&gt;0,MOD($A292-'Recurring Schedule'!$F$16,'Recurring Schedule'!$N$16)=0,IF('Recurring Schedule'!$O$16&gt;0,AND(DAY($A292)=MIN(DAY('Recurring Schedule'!$F$16),DAY(EOMONTH($A292,0))),MOD((YEAR($A292)-YEAR('Recurring Schedule'!$F$16))*12+MONTH($A292)-MONTH('Recurring Schedule'!$F$16),'Recurring Schedule'!$O$16)=0),IF('Recurring Schedule'!$E$16="Weekdays",WEEKDAY($A292,2)&lt;=5,$A292='Recurring Schedule'!$F$16))),11,""))))</f>
        <v/>
      </c>
      <c r="M292">
        <f>IF('Recurring Schedule'!$C$17="","",IF('Recurring Schedule'!$F$17="","",IF(OR($A292&lt;'Recurring Schedule'!$F$17,$A292&gt;'Recurring Schedule'!$P$17),"",IF(IF('Recurring Schedule'!$N$17&gt;0,MOD($A292-'Recurring Schedule'!$F$17,'Recurring Schedule'!$N$17)=0,IF('Recurring Schedule'!$O$17&gt;0,AND(DAY($A292)=MIN(DAY('Recurring Schedule'!$F$17),DAY(EOMONTH($A292,0))),MOD((YEAR($A292)-YEAR('Recurring Schedule'!$F$17))*12+MONTH($A292)-MONTH('Recurring Schedule'!$F$17),'Recurring Schedule'!$O$17)=0),IF('Recurring Schedule'!$E$17="Weekdays",WEEKDAY($A292,2)&lt;=5,$A292='Recurring Schedule'!$F$17))),12,""))))</f>
        <v/>
      </c>
      <c r="N292">
        <f>IF('Recurring Schedule'!$C$18="","",IF('Recurring Schedule'!$F$18="","",IF(OR($A292&lt;'Recurring Schedule'!$F$18,$A292&gt;'Recurring Schedule'!$P$18),"",IF(IF('Recurring Schedule'!$N$18&gt;0,MOD($A292-'Recurring Schedule'!$F$18,'Recurring Schedule'!$N$18)=0,IF('Recurring Schedule'!$O$18&gt;0,AND(DAY($A292)=MIN(DAY('Recurring Schedule'!$F$18),DAY(EOMONTH($A292,0))),MOD((YEAR($A292)-YEAR('Recurring Schedule'!$F$18))*12+MONTH($A292)-MONTH('Recurring Schedule'!$F$18),'Recurring Schedule'!$O$18)=0),IF('Recurring Schedule'!$E$18="Weekdays",WEEKDAY($A292,2)&lt;=5,$A292='Recurring Schedule'!$F$18))),13,""))))</f>
        <v/>
      </c>
      <c r="O292">
        <f>IF('Recurring Schedule'!$C$19="","",IF('Recurring Schedule'!$F$19="","",IF(OR($A292&lt;'Recurring Schedule'!$F$19,$A292&gt;'Recurring Schedule'!$P$19),"",IF(IF('Recurring Schedule'!$N$19&gt;0,MOD($A292-'Recurring Schedule'!$F$19,'Recurring Schedule'!$N$19)=0,IF('Recurring Schedule'!$O$19&gt;0,AND(DAY($A292)=MIN(DAY('Recurring Schedule'!$F$19),DAY(EOMONTH($A292,0))),MOD((YEAR($A292)-YEAR('Recurring Schedule'!$F$19))*12+MONTH($A292)-MONTH('Recurring Schedule'!$F$19),'Recurring Schedule'!$O$19)=0),IF('Recurring Schedule'!$E$19="Weekdays",WEEKDAY($A292,2)&lt;=5,$A292='Recurring Schedule'!$F$19))),14,""))))</f>
        <v/>
      </c>
      <c r="P292">
        <f>IF('Recurring Schedule'!$C$20="","",IF('Recurring Schedule'!$F$20="","",IF(OR($A292&lt;'Recurring Schedule'!$F$20,$A292&gt;'Recurring Schedule'!$P$20),"",IF(IF('Recurring Schedule'!$N$20&gt;0,MOD($A292-'Recurring Schedule'!$F$20,'Recurring Schedule'!$N$20)=0,IF('Recurring Schedule'!$O$20&gt;0,AND(DAY($A292)=MIN(DAY('Recurring Schedule'!$F$20),DAY(EOMONTH($A292,0))),MOD((YEAR($A292)-YEAR('Recurring Schedule'!$F$20))*12+MONTH($A292)-MONTH('Recurring Schedule'!$F$20),'Recurring Schedule'!$O$20)=0),IF('Recurring Schedule'!$E$20="Weekdays",WEEKDAY($A292,2)&lt;=5,$A292='Recurring Schedule'!$F$20))),15,""))))</f>
        <v/>
      </c>
      <c r="Q292">
        <f>IF('Recurring Schedule'!$C$21="","",IF('Recurring Schedule'!$F$21="","",IF(OR($A292&lt;'Recurring Schedule'!$F$21,$A292&gt;'Recurring Schedule'!$P$21),"",IF(IF('Recurring Schedule'!$N$21&gt;0,MOD($A292-'Recurring Schedule'!$F$21,'Recurring Schedule'!$N$21)=0,IF('Recurring Schedule'!$O$21&gt;0,AND(DAY($A292)=MIN(DAY('Recurring Schedule'!$F$21),DAY(EOMONTH($A292,0))),MOD((YEAR($A292)-YEAR('Recurring Schedule'!$F$21))*12+MONTH($A292)-MONTH('Recurring Schedule'!$F$21),'Recurring Schedule'!$O$21)=0),IF('Recurring Schedule'!$E$21="Weekdays",WEEKDAY($A292,2)&lt;=5,$A292='Recurring Schedule'!$F$21))),16,""))))</f>
        <v/>
      </c>
      <c r="R292">
        <f>IF('Recurring Schedule'!$C$22="","",IF('Recurring Schedule'!$F$22="","",IF(OR($A292&lt;'Recurring Schedule'!$F$22,$A292&gt;'Recurring Schedule'!$P$22),"",IF(IF('Recurring Schedule'!$N$22&gt;0,MOD($A292-'Recurring Schedule'!$F$22,'Recurring Schedule'!$N$22)=0,IF('Recurring Schedule'!$O$22&gt;0,AND(DAY($A292)=MIN(DAY('Recurring Schedule'!$F$22),DAY(EOMONTH($A292,0))),MOD((YEAR($A292)-YEAR('Recurring Schedule'!$F$22))*12+MONTH($A292)-MONTH('Recurring Schedule'!$F$22),'Recurring Schedule'!$O$22)=0),IF('Recurring Schedule'!$E$22="Weekdays",WEEKDAY($A292,2)&lt;=5,$A292='Recurring Schedule'!$F$22))),17,""))))</f>
        <v/>
      </c>
      <c r="S292">
        <f>IF('Recurring Schedule'!$C$23="","",IF('Recurring Schedule'!$F$23="","",IF(OR($A292&lt;'Recurring Schedule'!$F$23,$A292&gt;'Recurring Schedule'!$P$23),"",IF(IF('Recurring Schedule'!$N$23&gt;0,MOD($A292-'Recurring Schedule'!$F$23,'Recurring Schedule'!$N$23)=0,IF('Recurring Schedule'!$O$23&gt;0,AND(DAY($A292)=MIN(DAY('Recurring Schedule'!$F$23),DAY(EOMONTH($A292,0))),MOD((YEAR($A292)-YEAR('Recurring Schedule'!$F$23))*12+MONTH($A292)-MONTH('Recurring Schedule'!$F$23),'Recurring Schedule'!$O$23)=0),IF('Recurring Schedule'!$E$23="Weekdays",WEEKDAY($A292,2)&lt;=5,$A292='Recurring Schedule'!$F$23))),18,""))))</f>
        <v/>
      </c>
      <c r="T292">
        <f>IF('Recurring Schedule'!$C$24="","",IF('Recurring Schedule'!$F$24="","",IF(OR($A292&lt;'Recurring Schedule'!$F$24,$A292&gt;'Recurring Schedule'!$P$24),"",IF(IF('Recurring Schedule'!$N$24&gt;0,MOD($A292-'Recurring Schedule'!$F$24,'Recurring Schedule'!$N$24)=0,IF('Recurring Schedule'!$O$24&gt;0,AND(DAY($A292)=MIN(DAY('Recurring Schedule'!$F$24),DAY(EOMONTH($A292,0))),MOD((YEAR($A292)-YEAR('Recurring Schedule'!$F$24))*12+MONTH($A292)-MONTH('Recurring Schedule'!$F$24),'Recurring Schedule'!$O$24)=0),IF('Recurring Schedule'!$E$24="Weekdays",WEEKDAY($A292,2)&lt;=5,$A292='Recurring Schedule'!$F$24))),19,""))))</f>
        <v/>
      </c>
      <c r="U292">
        <f>IF('Recurring Schedule'!$C$25="","",IF('Recurring Schedule'!$F$25="","",IF(OR($A292&lt;'Recurring Schedule'!$F$25,$A292&gt;'Recurring Schedule'!$P$25),"",IF(IF('Recurring Schedule'!$N$25&gt;0,MOD($A292-'Recurring Schedule'!$F$25,'Recurring Schedule'!$N$25)=0,IF('Recurring Schedule'!$O$25&gt;0,AND(DAY($A292)=MIN(DAY('Recurring Schedule'!$F$25),DAY(EOMONTH($A292,0))),MOD((YEAR($A292)-YEAR('Recurring Schedule'!$F$25))*12+MONTH($A292)-MONTH('Recurring Schedule'!$F$25),'Recurring Schedule'!$O$25)=0),IF('Recurring Schedule'!$E$25="Weekdays",WEEKDAY($A292,2)&lt;=5,$A292='Recurring Schedule'!$F$25))),20,""))))</f>
        <v/>
      </c>
      <c r="V292">
        <f>IF('Recurring Schedule'!$C$26="","",IF('Recurring Schedule'!$F$26="","",IF(OR($A292&lt;'Recurring Schedule'!$F$26,$A292&gt;'Recurring Schedule'!$P$26),"",IF(IF('Recurring Schedule'!$N$26&gt;0,MOD($A292-'Recurring Schedule'!$F$26,'Recurring Schedule'!$N$26)=0,IF('Recurring Schedule'!$O$26&gt;0,AND(DAY($A292)=MIN(DAY('Recurring Schedule'!$F$26),DAY(EOMONTH($A292,0))),MOD((YEAR($A292)-YEAR('Recurring Schedule'!$F$26))*12+MONTH($A292)-MONTH('Recurring Schedule'!$F$26),'Recurring Schedule'!$O$26)=0),IF('Recurring Schedule'!$E$26="Weekdays",WEEKDAY($A292,2)&lt;=5,$A292='Recurring Schedule'!$F$26))),21,""))))</f>
        <v/>
      </c>
      <c r="W292">
        <f>IF('Recurring Schedule'!$C$27="","",IF('Recurring Schedule'!$F$27="","",IF(OR($A292&lt;'Recurring Schedule'!$F$27,$A292&gt;'Recurring Schedule'!$P$27),"",IF(IF('Recurring Schedule'!$N$27&gt;0,MOD($A292-'Recurring Schedule'!$F$27,'Recurring Schedule'!$N$27)=0,IF('Recurring Schedule'!$O$27&gt;0,AND(DAY($A292)=MIN(DAY('Recurring Schedule'!$F$27),DAY(EOMONTH($A292,0))),MOD((YEAR($A292)-YEAR('Recurring Schedule'!$F$27))*12+MONTH($A292)-MONTH('Recurring Schedule'!$F$27),'Recurring Schedule'!$O$27)=0),IF('Recurring Schedule'!$E$27="Weekdays",WEEKDAY($A292,2)&lt;=5,$A292='Recurring Schedule'!$F$27))),22,""))))</f>
        <v/>
      </c>
      <c r="X292">
        <f>IF('Recurring Schedule'!$C$28="","",IF('Recurring Schedule'!$F$28="","",IF(OR($A292&lt;'Recurring Schedule'!$F$28,$A292&gt;'Recurring Schedule'!$P$28),"",IF(IF('Recurring Schedule'!$N$28&gt;0,MOD($A292-'Recurring Schedule'!$F$28,'Recurring Schedule'!$N$28)=0,IF('Recurring Schedule'!$O$28&gt;0,AND(DAY($A292)=MIN(DAY('Recurring Schedule'!$F$28),DAY(EOMONTH($A292,0))),MOD((YEAR($A292)-YEAR('Recurring Schedule'!$F$28))*12+MONTH($A292)-MONTH('Recurring Schedule'!$F$28),'Recurring Schedule'!$O$28)=0),IF('Recurring Schedule'!$E$28="Weekdays",WEEKDAY($A292,2)&lt;=5,$A292='Recurring Schedule'!$F$28))),23,""))))</f>
        <v/>
      </c>
      <c r="Y292">
        <f>IF('Recurring Schedule'!$C$29="","",IF('Recurring Schedule'!$F$29="","",IF(OR($A292&lt;'Recurring Schedule'!$F$29,$A292&gt;'Recurring Schedule'!$P$29),"",IF(IF('Recurring Schedule'!$N$29&gt;0,MOD($A292-'Recurring Schedule'!$F$29,'Recurring Schedule'!$N$29)=0,IF('Recurring Schedule'!$O$29&gt;0,AND(DAY($A292)=MIN(DAY('Recurring Schedule'!$F$29),DAY(EOMONTH($A292,0))),MOD((YEAR($A292)-YEAR('Recurring Schedule'!$F$29))*12+MONTH($A292)-MONTH('Recurring Schedule'!$F$29),'Recurring Schedule'!$O$29)=0),IF('Recurring Schedule'!$E$29="Weekdays",WEEKDAY($A292,2)&lt;=5,$A292='Recurring Schedule'!$F$29))),24,""))))</f>
        <v/>
      </c>
      <c r="Z292">
        <f>IF('Recurring Schedule'!$C$30="","",IF('Recurring Schedule'!$F$30="","",IF(OR($A292&lt;'Recurring Schedule'!$F$30,$A292&gt;'Recurring Schedule'!$P$30),"",IF(IF('Recurring Schedule'!$N$30&gt;0,MOD($A292-'Recurring Schedule'!$F$30,'Recurring Schedule'!$N$30)=0,IF('Recurring Schedule'!$O$30&gt;0,AND(DAY($A292)=MIN(DAY('Recurring Schedule'!$F$30),DAY(EOMONTH($A292,0))),MOD((YEAR($A292)-YEAR('Recurring Schedule'!$F$30))*12+MONTH($A292)-MONTH('Recurring Schedule'!$F$30),'Recurring Schedule'!$O$30)=0),IF('Recurring Schedule'!$E$30="Weekdays",WEEKDAY($A292,2)&lt;=5,$A292='Recurring Schedule'!$F$30))),25,""))))</f>
        <v/>
      </c>
      <c r="AA292">
        <f>IF('Recurring Schedule'!$C$31="","",IF('Recurring Schedule'!$F$31="","",IF(OR($A292&lt;'Recurring Schedule'!$F$31,$A292&gt;'Recurring Schedule'!$P$31),"",IF(IF('Recurring Schedule'!$N$31&gt;0,MOD($A292-'Recurring Schedule'!$F$31,'Recurring Schedule'!$N$31)=0,IF('Recurring Schedule'!$O$31&gt;0,AND(DAY($A292)=MIN(DAY('Recurring Schedule'!$F$31),DAY(EOMONTH($A292,0))),MOD((YEAR($A292)-YEAR('Recurring Schedule'!$F$31))*12+MONTH($A292)-MONTH('Recurring Schedule'!$F$31),'Recurring Schedule'!$O$31)=0),IF('Recurring Schedule'!$E$31="Weekdays",WEEKDAY($A292,2)&lt;=5,$A292='Recurring Schedule'!$F$31))),26,""))))</f>
        <v/>
      </c>
      <c r="AB292">
        <f>IF('Recurring Schedule'!$C$32="","",IF('Recurring Schedule'!$F$32="","",IF(OR($A292&lt;'Recurring Schedule'!$F$32,$A292&gt;'Recurring Schedule'!$P$32),"",IF(IF('Recurring Schedule'!$N$32&gt;0,MOD($A292-'Recurring Schedule'!$F$32,'Recurring Schedule'!$N$32)=0,IF('Recurring Schedule'!$O$32&gt;0,AND(DAY($A292)=MIN(DAY('Recurring Schedule'!$F$32),DAY(EOMONTH($A292,0))),MOD((YEAR($A292)-YEAR('Recurring Schedule'!$F$32))*12+MONTH($A292)-MONTH('Recurring Schedule'!$F$32),'Recurring Schedule'!$O$32)=0),IF('Recurring Schedule'!$E$32="Weekdays",WEEKDAY($A292,2)&lt;=5,$A292='Recurring Schedule'!$F$32))),27,""))))</f>
        <v/>
      </c>
      <c r="AC292">
        <f>IF('Recurring Schedule'!$C$33="","",IF('Recurring Schedule'!$F$33="","",IF(OR($A292&lt;'Recurring Schedule'!$F$33,$A292&gt;'Recurring Schedule'!$P$33),"",IF(IF('Recurring Schedule'!$N$33&gt;0,MOD($A292-'Recurring Schedule'!$F$33,'Recurring Schedule'!$N$33)=0,IF('Recurring Schedule'!$O$33&gt;0,AND(DAY($A292)=MIN(DAY('Recurring Schedule'!$F$33),DAY(EOMONTH($A292,0))),MOD((YEAR($A292)-YEAR('Recurring Schedule'!$F$33))*12+MONTH($A292)-MONTH('Recurring Schedule'!$F$33),'Recurring Schedule'!$O$33)=0),IF('Recurring Schedule'!$E$33="Weekdays",WEEKDAY($A292,2)&lt;=5,$A292='Recurring Schedule'!$F$33))),28,""))))</f>
        <v/>
      </c>
      <c r="AD292">
        <f>IF('Recurring Schedule'!$C$34="","",IF('Recurring Schedule'!$F$34="","",IF(OR($A292&lt;'Recurring Schedule'!$F$34,$A292&gt;'Recurring Schedule'!$P$34),"",IF(IF('Recurring Schedule'!$N$34&gt;0,MOD($A292-'Recurring Schedule'!$F$34,'Recurring Schedule'!$N$34)=0,IF('Recurring Schedule'!$O$34&gt;0,AND(DAY($A292)=MIN(DAY('Recurring Schedule'!$F$34),DAY(EOMONTH($A292,0))),MOD((YEAR($A292)-YEAR('Recurring Schedule'!$F$34))*12+MONTH($A292)-MONTH('Recurring Schedule'!$F$34),'Recurring Schedule'!$O$34)=0),IF('Recurring Schedule'!$E$34="Weekdays",WEEKDAY($A292,2)&lt;=5,$A292='Recurring Schedule'!$F$34))),29,""))))</f>
        <v/>
      </c>
      <c r="AE292">
        <f>IF('Recurring Schedule'!$C$35="","",IF('Recurring Schedule'!$F$35="","",IF(OR($A292&lt;'Recurring Schedule'!$F$35,$A292&gt;'Recurring Schedule'!$P$35),"",IF(IF('Recurring Schedule'!$N$35&gt;0,MOD($A292-'Recurring Schedule'!$F$35,'Recurring Schedule'!$N$35)=0,IF('Recurring Schedule'!$O$35&gt;0,AND(DAY($A292)=MIN(DAY('Recurring Schedule'!$F$35),DAY(EOMONTH($A292,0))),MOD((YEAR($A292)-YEAR('Recurring Schedule'!$F$35))*12+MONTH($A292)-MONTH('Recurring Schedule'!$F$35),'Recurring Schedule'!$O$35)=0),IF('Recurring Schedule'!$E$35="Weekdays",WEEKDAY($A292,2)&lt;=5,$A292='Recurring Schedule'!$F$35))),30,""))))</f>
        <v/>
      </c>
      <c r="AF292">
        <f>IF('Recurring Schedule'!$C$36="","",IF('Recurring Schedule'!$F$36="","",IF(OR($A292&lt;'Recurring Schedule'!$F$36,$A292&gt;'Recurring Schedule'!$P$36),"",IF(IF('Recurring Schedule'!$N$36&gt;0,MOD($A292-'Recurring Schedule'!$F$36,'Recurring Schedule'!$N$36)=0,IF('Recurring Schedule'!$O$36&gt;0,AND(DAY($A292)=MIN(DAY('Recurring Schedule'!$F$36),DAY(EOMONTH($A292,0))),MOD((YEAR($A292)-YEAR('Recurring Schedule'!$F$36))*12+MONTH($A292)-MONTH('Recurring Schedule'!$F$36),'Recurring Schedule'!$O$36)=0),IF('Recurring Schedule'!$E$36="Weekdays",WEEKDAY($A292,2)&lt;=5,$A292='Recurring Schedule'!$F$36))),31,""))))</f>
        <v/>
      </c>
      <c r="AG292">
        <f>IF('Recurring Schedule'!$C$37="","",IF('Recurring Schedule'!$F$37="","",IF(OR($A292&lt;'Recurring Schedule'!$F$37,$A292&gt;'Recurring Schedule'!$P$37),"",IF(IF('Recurring Schedule'!$N$37&gt;0,MOD($A292-'Recurring Schedule'!$F$37,'Recurring Schedule'!$N$37)=0,IF('Recurring Schedule'!$O$37&gt;0,AND(DAY($A292)=MIN(DAY('Recurring Schedule'!$F$37),DAY(EOMONTH($A292,0))),MOD((YEAR($A292)-YEAR('Recurring Schedule'!$F$37))*12+MONTH($A292)-MONTH('Recurring Schedule'!$F$37),'Recurring Schedule'!$O$37)=0),IF('Recurring Schedule'!$E$37="Weekdays",WEEKDAY($A292,2)&lt;=5,$A292='Recurring Schedule'!$F$37))),32,""))))</f>
        <v/>
      </c>
      <c r="AH292">
        <f>IF('Recurring Schedule'!$C$38="","",IF('Recurring Schedule'!$F$38="","",IF(OR($A292&lt;'Recurring Schedule'!$F$38,$A292&gt;'Recurring Schedule'!$P$38),"",IF(IF('Recurring Schedule'!$N$38&gt;0,MOD($A292-'Recurring Schedule'!$F$38,'Recurring Schedule'!$N$38)=0,IF('Recurring Schedule'!$O$38&gt;0,AND(DAY($A292)=MIN(DAY('Recurring Schedule'!$F$38),DAY(EOMONTH($A292,0))),MOD((YEAR($A292)-YEAR('Recurring Schedule'!$F$38))*12+MONTH($A292)-MONTH('Recurring Schedule'!$F$38),'Recurring Schedule'!$O$38)=0),IF('Recurring Schedule'!$E$38="Weekdays",WEEKDAY($A292,2)&lt;=5,$A292='Recurring Schedule'!$F$38))),33,""))))</f>
        <v/>
      </c>
      <c r="AI292">
        <f>IF('Recurring Schedule'!$C$39="","",IF('Recurring Schedule'!$F$39="","",IF(OR($A292&lt;'Recurring Schedule'!$F$39,$A292&gt;'Recurring Schedule'!$P$39),"",IF(IF('Recurring Schedule'!$N$39&gt;0,MOD($A292-'Recurring Schedule'!$F$39,'Recurring Schedule'!$N$39)=0,IF('Recurring Schedule'!$O$39&gt;0,AND(DAY($A292)=MIN(DAY('Recurring Schedule'!$F$39),DAY(EOMONTH($A292,0))),MOD((YEAR($A292)-YEAR('Recurring Schedule'!$F$39))*12+MONTH($A292)-MONTH('Recurring Schedule'!$F$39),'Recurring Schedule'!$O$39)=0),IF('Recurring Schedule'!$E$39="Weekdays",WEEKDAY($A292,2)&lt;=5,$A292='Recurring Schedule'!$F$39))),34,""))))</f>
        <v/>
      </c>
      <c r="AJ292">
        <f>IF('Recurring Schedule'!$C$40="","",IF('Recurring Schedule'!$F$40="","",IF(OR($A292&lt;'Recurring Schedule'!$F$40,$A292&gt;'Recurring Schedule'!$P$40),"",IF(IF('Recurring Schedule'!$N$40&gt;0,MOD($A292-'Recurring Schedule'!$F$40,'Recurring Schedule'!$N$40)=0,IF('Recurring Schedule'!$O$40&gt;0,AND(DAY($A292)=MIN(DAY('Recurring Schedule'!$F$40),DAY(EOMONTH($A292,0))),MOD((YEAR($A292)-YEAR('Recurring Schedule'!$F$40))*12+MONTH($A292)-MONTH('Recurring Schedule'!$F$40),'Recurring Schedule'!$O$40)=0),IF('Recurring Schedule'!$E$40="Weekdays",WEEKDAY($A292,2)&lt;=5,$A292='Recurring Schedule'!$F$40))),35,""))))</f>
        <v/>
      </c>
      <c r="AK292">
        <f>IF('Recurring Schedule'!$C$41="","",IF('Recurring Schedule'!$F$41="","",IF(OR($A292&lt;'Recurring Schedule'!$F$41,$A292&gt;'Recurring Schedule'!$P$41),"",IF(IF('Recurring Schedule'!$N$41&gt;0,MOD($A292-'Recurring Schedule'!$F$41,'Recurring Schedule'!$N$41)=0,IF('Recurring Schedule'!$O$41&gt;0,AND(DAY($A292)=MIN(DAY('Recurring Schedule'!$F$41),DAY(EOMONTH($A292,0))),MOD((YEAR($A292)-YEAR('Recurring Schedule'!$F$41))*12+MONTH($A292)-MONTH('Recurring Schedule'!$F$41),'Recurring Schedule'!$O$41)=0),IF('Recurring Schedule'!$E$41="Weekdays",WEEKDAY($A292,2)&lt;=5,$A292='Recurring Schedule'!$F$41))),36,""))))</f>
        <v/>
      </c>
      <c r="AL292">
        <f>IF('Recurring Schedule'!$C$42="","",IF('Recurring Schedule'!$F$42="","",IF(OR($A292&lt;'Recurring Schedule'!$F$42,$A292&gt;'Recurring Schedule'!$P$42),"",IF(IF('Recurring Schedule'!$N$42&gt;0,MOD($A292-'Recurring Schedule'!$F$42,'Recurring Schedule'!$N$42)=0,IF('Recurring Schedule'!$O$42&gt;0,AND(DAY($A292)=MIN(DAY('Recurring Schedule'!$F$42),DAY(EOMONTH($A292,0))),MOD((YEAR($A292)-YEAR('Recurring Schedule'!$F$42))*12+MONTH($A292)-MONTH('Recurring Schedule'!$F$42),'Recurring Schedule'!$O$42)=0),IF('Recurring Schedule'!$E$42="Weekdays",WEEKDAY($A292,2)&lt;=5,$A292='Recurring Schedule'!$F$42))),37,""))))</f>
        <v/>
      </c>
      <c r="AM292">
        <f>IF('Recurring Schedule'!$C$43="","",IF('Recurring Schedule'!$F$43="","",IF(OR($A292&lt;'Recurring Schedule'!$F$43,$A292&gt;'Recurring Schedule'!$P$43),"",IF(IF('Recurring Schedule'!$N$43&gt;0,MOD($A292-'Recurring Schedule'!$F$43,'Recurring Schedule'!$N$43)=0,IF('Recurring Schedule'!$O$43&gt;0,AND(DAY($A292)=MIN(DAY('Recurring Schedule'!$F$43),DAY(EOMONTH($A292,0))),MOD((YEAR($A292)-YEAR('Recurring Schedule'!$F$43))*12+MONTH($A292)-MONTH('Recurring Schedule'!$F$43),'Recurring Schedule'!$O$43)=0),IF('Recurring Schedule'!$E$43="Weekdays",WEEKDAY($A292,2)&lt;=5,$A292='Recurring Schedule'!$F$43))),38,""))))</f>
        <v/>
      </c>
      <c r="AN292">
        <f>IF('Recurring Schedule'!$C$44="","",IF('Recurring Schedule'!$F$44="","",IF(OR($A292&lt;'Recurring Schedule'!$F$44,$A292&gt;'Recurring Schedule'!$P$44),"",IF(IF('Recurring Schedule'!$N$44&gt;0,MOD($A292-'Recurring Schedule'!$F$44,'Recurring Schedule'!$N$44)=0,IF('Recurring Schedule'!$O$44&gt;0,AND(DAY($A292)=MIN(DAY('Recurring Schedule'!$F$44),DAY(EOMONTH($A292,0))),MOD((YEAR($A292)-YEAR('Recurring Schedule'!$F$44))*12+MONTH($A292)-MONTH('Recurring Schedule'!$F$44),'Recurring Schedule'!$O$44)=0),IF('Recurring Schedule'!$E$44="Weekdays",WEEKDAY($A292,2)&lt;=5,$A292='Recurring Schedule'!$F$44))),39,""))))</f>
        <v/>
      </c>
      <c r="AO292">
        <f>IF('Recurring Schedule'!$C$45="","",IF('Recurring Schedule'!$F$45="","",IF(OR($A292&lt;'Recurring Schedule'!$F$45,$A292&gt;'Recurring Schedule'!$P$45),"",IF(IF('Recurring Schedule'!$N$45&gt;0,MOD($A292-'Recurring Schedule'!$F$45,'Recurring Schedule'!$N$45)=0,IF('Recurring Schedule'!$O$45&gt;0,AND(DAY($A292)=MIN(DAY('Recurring Schedule'!$F$45),DAY(EOMONTH($A292,0))),MOD((YEAR($A292)-YEAR('Recurring Schedule'!$F$45))*12+MONTH($A292)-MONTH('Recurring Schedule'!$F$45),'Recurring Schedule'!$O$45)=0),IF('Recurring Schedule'!$E$45="Weekdays",WEEKDAY($A292,2)&lt;=5,$A292='Recurring Schedule'!$F$45))),40,""))))</f>
        <v/>
      </c>
      <c r="AP292">
        <f>COUNT(B292:AO292)</f>
        <v/>
      </c>
      <c r="AQ292">
        <f>AQ291+AP291</f>
        <v/>
      </c>
      <c r="AS292" t="inlineStr">
        <is>
          <t>R</t>
        </is>
      </c>
      <c r="AT292" t="n">
        <v>296</v>
      </c>
      <c r="AU292">
        <f>'Recurring Log'!C296&amp;""</f>
        <v/>
      </c>
      <c r="AV292">
        <f>'Recurring Log'!D296&amp;""</f>
        <v/>
      </c>
      <c r="AW292">
        <f>IF('Recurring Log'!E296="","",'Recurring Log'!E296)</f>
        <v/>
      </c>
      <c r="AX292">
        <f>IF('Recurring Log'!G296="","",'Recurring Log'!G296)</f>
        <v/>
      </c>
      <c r="AY292">
        <f>IF('Recurring Log'!H296="","",'Recurring Log'!H296)</f>
        <v/>
      </c>
      <c r="AZ292">
        <f>IF(AU292="","",IF('Recurring Log'!J296="","Not Started",'Recurring Log'!J296))</f>
        <v/>
      </c>
      <c r="BA292">
        <f>'Recurring Log'!L296&amp;""</f>
        <v/>
      </c>
      <c r="BB292">
        <f>'Recurring Log'!M296&amp;""</f>
        <v/>
      </c>
      <c r="BC292">
        <f>'Recurring Log'!N296&amp;""</f>
        <v/>
      </c>
      <c r="BD292">
        <f>'Recurring Log'!O296&amp;""</f>
        <v/>
      </c>
      <c r="BE292">
        <f>IF('Recurring Log'!K296="","",'Recurring Log'!K296)</f>
        <v/>
      </c>
      <c r="BF292">
        <f>IFERROR(MATCH(BA292,Setup!$L$6:$L$9,0),5)</f>
        <v/>
      </c>
      <c r="BG292">
        <f>IF(OR(AZ292="Done",AZ292="Cancelled"),1,0)</f>
        <v/>
      </c>
      <c r="BH292">
        <f>IF(AND(AU292&lt;&gt;"",ISNUMBER(AW292)),1,0)</f>
        <v/>
      </c>
      <c r="BI292">
        <f>IF(BH292=0,0,IF(AND(AW292&gt;='Tasks Filter'!$F$3,AW292&lt;='Tasks Filter'!$F$4,OR('Tasks Filter'!$I$3="",ISNUMBER(SEARCH('Tasks Filter'!$I$3,AU292))),OR('Tasks Filter'!$I$4="",BF292=IFERROR(MATCH('Tasks Filter'!$I$4,Setup!$L$6:$L$9,0),0)),OR('Tasks Filter'!$I$5="Both",AND('Tasks Filter'!$I$5="Yes",BB292="✓"),AND('Tasks Filter'!$I$5="No",BB292&lt;&gt;"✓")),OR('Tasks Filter'!$L$3="",AV292='Tasks Filter'!$L$3),OR('Tasks Filter'!$L$4="",AZ292='Tasks Filter'!$L$4),OR('Tasks Filter'!$L$5="",BC292='Tasks Filter'!$L$5),OR('Tasks Filter'!$O$3="",BD292='Tasks Filter'!$O$3),OR('Tasks Filter'!$O$4="Yes",BG292=0)),1,0))</f>
        <v/>
      </c>
      <c r="BJ292">
        <f>IF(BH292=0,"",IF('Tasks Filter'!$F$6="Descending",-1,1)*CHOOSE(MATCH('Tasks Filter'!$F$5,Lists!$G$2:$G$6,0),AW292,BF292,IFERROR(MATCH(AV292,Setup!$F$6:$F$15,0),99),IFERROR(MATCH(BC292,Setup!$H$6:$H$15,0),99),IFERROR(MATCH(AZ292,Setup!$J$6:$J$11,0),99))*1E+9+(AW292-40000)*10000+291)</f>
        <v/>
      </c>
      <c r="BK292">
        <f>IF(BI292=1,BJ292,"")</f>
        <v/>
      </c>
      <c r="BL292">
        <f>IF(AND(BH292=1,BG292=0,N(AW292)&lt;Setup!$D$7),(AW292-40000)*10000+291,"")</f>
        <v/>
      </c>
      <c r="BM292">
        <f>IF(AND(BH292=1,AZ292&lt;&gt;"Cancelled",N(AW292)&gt;=Dashboard!$AB$3,N(AW292)&lt;=Dashboard!$AB$3+6),(AW292-40000)*100000+BF292*10000+291,"")</f>
        <v/>
      </c>
      <c r="BN292">
        <f>IF(AND(BH292=1,AZ292&lt;&gt;"Cancelled"),BF292*10000+291,"")</f>
        <v/>
      </c>
    </row>
    <row r="293">
      <c r="A293">
        <f>Setup!$D$5+291</f>
        <v/>
      </c>
      <c r="B293">
        <f>IF('Recurring Schedule'!$C$6="","",IF('Recurring Schedule'!$F$6="","",IF(OR($A293&lt;'Recurring Schedule'!$F$6,$A293&gt;'Recurring Schedule'!$P$6),"",IF(IF('Recurring Schedule'!$N$6&gt;0,MOD($A293-'Recurring Schedule'!$F$6,'Recurring Schedule'!$N$6)=0,IF('Recurring Schedule'!$O$6&gt;0,AND(DAY($A293)=MIN(DAY('Recurring Schedule'!$F$6),DAY(EOMONTH($A293,0))),MOD((YEAR($A293)-YEAR('Recurring Schedule'!$F$6))*12+MONTH($A293)-MONTH('Recurring Schedule'!$F$6),'Recurring Schedule'!$O$6)=0),IF('Recurring Schedule'!$E$6="Weekdays",WEEKDAY($A293,2)&lt;=5,$A293='Recurring Schedule'!$F$6))),1,""))))</f>
        <v/>
      </c>
      <c r="C293">
        <f>IF('Recurring Schedule'!$C$7="","",IF('Recurring Schedule'!$F$7="","",IF(OR($A293&lt;'Recurring Schedule'!$F$7,$A293&gt;'Recurring Schedule'!$P$7),"",IF(IF('Recurring Schedule'!$N$7&gt;0,MOD($A293-'Recurring Schedule'!$F$7,'Recurring Schedule'!$N$7)=0,IF('Recurring Schedule'!$O$7&gt;0,AND(DAY($A293)=MIN(DAY('Recurring Schedule'!$F$7),DAY(EOMONTH($A293,0))),MOD((YEAR($A293)-YEAR('Recurring Schedule'!$F$7))*12+MONTH($A293)-MONTH('Recurring Schedule'!$F$7),'Recurring Schedule'!$O$7)=0),IF('Recurring Schedule'!$E$7="Weekdays",WEEKDAY($A293,2)&lt;=5,$A293='Recurring Schedule'!$F$7))),2,""))))</f>
        <v/>
      </c>
      <c r="D293">
        <f>IF('Recurring Schedule'!$C$8="","",IF('Recurring Schedule'!$F$8="","",IF(OR($A293&lt;'Recurring Schedule'!$F$8,$A293&gt;'Recurring Schedule'!$P$8),"",IF(IF('Recurring Schedule'!$N$8&gt;0,MOD($A293-'Recurring Schedule'!$F$8,'Recurring Schedule'!$N$8)=0,IF('Recurring Schedule'!$O$8&gt;0,AND(DAY($A293)=MIN(DAY('Recurring Schedule'!$F$8),DAY(EOMONTH($A293,0))),MOD((YEAR($A293)-YEAR('Recurring Schedule'!$F$8))*12+MONTH($A293)-MONTH('Recurring Schedule'!$F$8),'Recurring Schedule'!$O$8)=0),IF('Recurring Schedule'!$E$8="Weekdays",WEEKDAY($A293,2)&lt;=5,$A293='Recurring Schedule'!$F$8))),3,""))))</f>
        <v/>
      </c>
      <c r="E293">
        <f>IF('Recurring Schedule'!$C$9="","",IF('Recurring Schedule'!$F$9="","",IF(OR($A293&lt;'Recurring Schedule'!$F$9,$A293&gt;'Recurring Schedule'!$P$9),"",IF(IF('Recurring Schedule'!$N$9&gt;0,MOD($A293-'Recurring Schedule'!$F$9,'Recurring Schedule'!$N$9)=0,IF('Recurring Schedule'!$O$9&gt;0,AND(DAY($A293)=MIN(DAY('Recurring Schedule'!$F$9),DAY(EOMONTH($A293,0))),MOD((YEAR($A293)-YEAR('Recurring Schedule'!$F$9))*12+MONTH($A293)-MONTH('Recurring Schedule'!$F$9),'Recurring Schedule'!$O$9)=0),IF('Recurring Schedule'!$E$9="Weekdays",WEEKDAY($A293,2)&lt;=5,$A293='Recurring Schedule'!$F$9))),4,""))))</f>
        <v/>
      </c>
      <c r="F293">
        <f>IF('Recurring Schedule'!$C$10="","",IF('Recurring Schedule'!$F$10="","",IF(OR($A293&lt;'Recurring Schedule'!$F$10,$A293&gt;'Recurring Schedule'!$P$10),"",IF(IF('Recurring Schedule'!$N$10&gt;0,MOD($A293-'Recurring Schedule'!$F$10,'Recurring Schedule'!$N$10)=0,IF('Recurring Schedule'!$O$10&gt;0,AND(DAY($A293)=MIN(DAY('Recurring Schedule'!$F$10),DAY(EOMONTH($A293,0))),MOD((YEAR($A293)-YEAR('Recurring Schedule'!$F$10))*12+MONTH($A293)-MONTH('Recurring Schedule'!$F$10),'Recurring Schedule'!$O$10)=0),IF('Recurring Schedule'!$E$10="Weekdays",WEEKDAY($A293,2)&lt;=5,$A293='Recurring Schedule'!$F$10))),5,""))))</f>
        <v/>
      </c>
      <c r="G293">
        <f>IF('Recurring Schedule'!$C$11="","",IF('Recurring Schedule'!$F$11="","",IF(OR($A293&lt;'Recurring Schedule'!$F$11,$A293&gt;'Recurring Schedule'!$P$11),"",IF(IF('Recurring Schedule'!$N$11&gt;0,MOD($A293-'Recurring Schedule'!$F$11,'Recurring Schedule'!$N$11)=0,IF('Recurring Schedule'!$O$11&gt;0,AND(DAY($A293)=MIN(DAY('Recurring Schedule'!$F$11),DAY(EOMONTH($A293,0))),MOD((YEAR($A293)-YEAR('Recurring Schedule'!$F$11))*12+MONTH($A293)-MONTH('Recurring Schedule'!$F$11),'Recurring Schedule'!$O$11)=0),IF('Recurring Schedule'!$E$11="Weekdays",WEEKDAY($A293,2)&lt;=5,$A293='Recurring Schedule'!$F$11))),6,""))))</f>
        <v/>
      </c>
      <c r="H293">
        <f>IF('Recurring Schedule'!$C$12="","",IF('Recurring Schedule'!$F$12="","",IF(OR($A293&lt;'Recurring Schedule'!$F$12,$A293&gt;'Recurring Schedule'!$P$12),"",IF(IF('Recurring Schedule'!$N$12&gt;0,MOD($A293-'Recurring Schedule'!$F$12,'Recurring Schedule'!$N$12)=0,IF('Recurring Schedule'!$O$12&gt;0,AND(DAY($A293)=MIN(DAY('Recurring Schedule'!$F$12),DAY(EOMONTH($A293,0))),MOD((YEAR($A293)-YEAR('Recurring Schedule'!$F$12))*12+MONTH($A293)-MONTH('Recurring Schedule'!$F$12),'Recurring Schedule'!$O$12)=0),IF('Recurring Schedule'!$E$12="Weekdays",WEEKDAY($A293,2)&lt;=5,$A293='Recurring Schedule'!$F$12))),7,""))))</f>
        <v/>
      </c>
      <c r="I293">
        <f>IF('Recurring Schedule'!$C$13="","",IF('Recurring Schedule'!$F$13="","",IF(OR($A293&lt;'Recurring Schedule'!$F$13,$A293&gt;'Recurring Schedule'!$P$13),"",IF(IF('Recurring Schedule'!$N$13&gt;0,MOD($A293-'Recurring Schedule'!$F$13,'Recurring Schedule'!$N$13)=0,IF('Recurring Schedule'!$O$13&gt;0,AND(DAY($A293)=MIN(DAY('Recurring Schedule'!$F$13),DAY(EOMONTH($A293,0))),MOD((YEAR($A293)-YEAR('Recurring Schedule'!$F$13))*12+MONTH($A293)-MONTH('Recurring Schedule'!$F$13),'Recurring Schedule'!$O$13)=0),IF('Recurring Schedule'!$E$13="Weekdays",WEEKDAY($A293,2)&lt;=5,$A293='Recurring Schedule'!$F$13))),8,""))))</f>
        <v/>
      </c>
      <c r="J293">
        <f>IF('Recurring Schedule'!$C$14="","",IF('Recurring Schedule'!$F$14="","",IF(OR($A293&lt;'Recurring Schedule'!$F$14,$A293&gt;'Recurring Schedule'!$P$14),"",IF(IF('Recurring Schedule'!$N$14&gt;0,MOD($A293-'Recurring Schedule'!$F$14,'Recurring Schedule'!$N$14)=0,IF('Recurring Schedule'!$O$14&gt;0,AND(DAY($A293)=MIN(DAY('Recurring Schedule'!$F$14),DAY(EOMONTH($A293,0))),MOD((YEAR($A293)-YEAR('Recurring Schedule'!$F$14))*12+MONTH($A293)-MONTH('Recurring Schedule'!$F$14),'Recurring Schedule'!$O$14)=0),IF('Recurring Schedule'!$E$14="Weekdays",WEEKDAY($A293,2)&lt;=5,$A293='Recurring Schedule'!$F$14))),9,""))))</f>
        <v/>
      </c>
      <c r="K293">
        <f>IF('Recurring Schedule'!$C$15="","",IF('Recurring Schedule'!$F$15="","",IF(OR($A293&lt;'Recurring Schedule'!$F$15,$A293&gt;'Recurring Schedule'!$P$15),"",IF(IF('Recurring Schedule'!$N$15&gt;0,MOD($A293-'Recurring Schedule'!$F$15,'Recurring Schedule'!$N$15)=0,IF('Recurring Schedule'!$O$15&gt;0,AND(DAY($A293)=MIN(DAY('Recurring Schedule'!$F$15),DAY(EOMONTH($A293,0))),MOD((YEAR($A293)-YEAR('Recurring Schedule'!$F$15))*12+MONTH($A293)-MONTH('Recurring Schedule'!$F$15),'Recurring Schedule'!$O$15)=0),IF('Recurring Schedule'!$E$15="Weekdays",WEEKDAY($A293,2)&lt;=5,$A293='Recurring Schedule'!$F$15))),10,""))))</f>
        <v/>
      </c>
      <c r="L293">
        <f>IF('Recurring Schedule'!$C$16="","",IF('Recurring Schedule'!$F$16="","",IF(OR($A293&lt;'Recurring Schedule'!$F$16,$A293&gt;'Recurring Schedule'!$P$16),"",IF(IF('Recurring Schedule'!$N$16&gt;0,MOD($A293-'Recurring Schedule'!$F$16,'Recurring Schedule'!$N$16)=0,IF('Recurring Schedule'!$O$16&gt;0,AND(DAY($A293)=MIN(DAY('Recurring Schedule'!$F$16),DAY(EOMONTH($A293,0))),MOD((YEAR($A293)-YEAR('Recurring Schedule'!$F$16))*12+MONTH($A293)-MONTH('Recurring Schedule'!$F$16),'Recurring Schedule'!$O$16)=0),IF('Recurring Schedule'!$E$16="Weekdays",WEEKDAY($A293,2)&lt;=5,$A293='Recurring Schedule'!$F$16))),11,""))))</f>
        <v/>
      </c>
      <c r="M293">
        <f>IF('Recurring Schedule'!$C$17="","",IF('Recurring Schedule'!$F$17="","",IF(OR($A293&lt;'Recurring Schedule'!$F$17,$A293&gt;'Recurring Schedule'!$P$17),"",IF(IF('Recurring Schedule'!$N$17&gt;0,MOD($A293-'Recurring Schedule'!$F$17,'Recurring Schedule'!$N$17)=0,IF('Recurring Schedule'!$O$17&gt;0,AND(DAY($A293)=MIN(DAY('Recurring Schedule'!$F$17),DAY(EOMONTH($A293,0))),MOD((YEAR($A293)-YEAR('Recurring Schedule'!$F$17))*12+MONTH($A293)-MONTH('Recurring Schedule'!$F$17),'Recurring Schedule'!$O$17)=0),IF('Recurring Schedule'!$E$17="Weekdays",WEEKDAY($A293,2)&lt;=5,$A293='Recurring Schedule'!$F$17))),12,""))))</f>
        <v/>
      </c>
      <c r="N293">
        <f>IF('Recurring Schedule'!$C$18="","",IF('Recurring Schedule'!$F$18="","",IF(OR($A293&lt;'Recurring Schedule'!$F$18,$A293&gt;'Recurring Schedule'!$P$18),"",IF(IF('Recurring Schedule'!$N$18&gt;0,MOD($A293-'Recurring Schedule'!$F$18,'Recurring Schedule'!$N$18)=0,IF('Recurring Schedule'!$O$18&gt;0,AND(DAY($A293)=MIN(DAY('Recurring Schedule'!$F$18),DAY(EOMONTH($A293,0))),MOD((YEAR($A293)-YEAR('Recurring Schedule'!$F$18))*12+MONTH($A293)-MONTH('Recurring Schedule'!$F$18),'Recurring Schedule'!$O$18)=0),IF('Recurring Schedule'!$E$18="Weekdays",WEEKDAY($A293,2)&lt;=5,$A293='Recurring Schedule'!$F$18))),13,""))))</f>
        <v/>
      </c>
      <c r="O293">
        <f>IF('Recurring Schedule'!$C$19="","",IF('Recurring Schedule'!$F$19="","",IF(OR($A293&lt;'Recurring Schedule'!$F$19,$A293&gt;'Recurring Schedule'!$P$19),"",IF(IF('Recurring Schedule'!$N$19&gt;0,MOD($A293-'Recurring Schedule'!$F$19,'Recurring Schedule'!$N$19)=0,IF('Recurring Schedule'!$O$19&gt;0,AND(DAY($A293)=MIN(DAY('Recurring Schedule'!$F$19),DAY(EOMONTH($A293,0))),MOD((YEAR($A293)-YEAR('Recurring Schedule'!$F$19))*12+MONTH($A293)-MONTH('Recurring Schedule'!$F$19),'Recurring Schedule'!$O$19)=0),IF('Recurring Schedule'!$E$19="Weekdays",WEEKDAY($A293,2)&lt;=5,$A293='Recurring Schedule'!$F$19))),14,""))))</f>
        <v/>
      </c>
      <c r="P293">
        <f>IF('Recurring Schedule'!$C$20="","",IF('Recurring Schedule'!$F$20="","",IF(OR($A293&lt;'Recurring Schedule'!$F$20,$A293&gt;'Recurring Schedule'!$P$20),"",IF(IF('Recurring Schedule'!$N$20&gt;0,MOD($A293-'Recurring Schedule'!$F$20,'Recurring Schedule'!$N$20)=0,IF('Recurring Schedule'!$O$20&gt;0,AND(DAY($A293)=MIN(DAY('Recurring Schedule'!$F$20),DAY(EOMONTH($A293,0))),MOD((YEAR($A293)-YEAR('Recurring Schedule'!$F$20))*12+MONTH($A293)-MONTH('Recurring Schedule'!$F$20),'Recurring Schedule'!$O$20)=0),IF('Recurring Schedule'!$E$20="Weekdays",WEEKDAY($A293,2)&lt;=5,$A293='Recurring Schedule'!$F$20))),15,""))))</f>
        <v/>
      </c>
      <c r="Q293">
        <f>IF('Recurring Schedule'!$C$21="","",IF('Recurring Schedule'!$F$21="","",IF(OR($A293&lt;'Recurring Schedule'!$F$21,$A293&gt;'Recurring Schedule'!$P$21),"",IF(IF('Recurring Schedule'!$N$21&gt;0,MOD($A293-'Recurring Schedule'!$F$21,'Recurring Schedule'!$N$21)=0,IF('Recurring Schedule'!$O$21&gt;0,AND(DAY($A293)=MIN(DAY('Recurring Schedule'!$F$21),DAY(EOMONTH($A293,0))),MOD((YEAR($A293)-YEAR('Recurring Schedule'!$F$21))*12+MONTH($A293)-MONTH('Recurring Schedule'!$F$21),'Recurring Schedule'!$O$21)=0),IF('Recurring Schedule'!$E$21="Weekdays",WEEKDAY($A293,2)&lt;=5,$A293='Recurring Schedule'!$F$21))),16,""))))</f>
        <v/>
      </c>
      <c r="R293">
        <f>IF('Recurring Schedule'!$C$22="","",IF('Recurring Schedule'!$F$22="","",IF(OR($A293&lt;'Recurring Schedule'!$F$22,$A293&gt;'Recurring Schedule'!$P$22),"",IF(IF('Recurring Schedule'!$N$22&gt;0,MOD($A293-'Recurring Schedule'!$F$22,'Recurring Schedule'!$N$22)=0,IF('Recurring Schedule'!$O$22&gt;0,AND(DAY($A293)=MIN(DAY('Recurring Schedule'!$F$22),DAY(EOMONTH($A293,0))),MOD((YEAR($A293)-YEAR('Recurring Schedule'!$F$22))*12+MONTH($A293)-MONTH('Recurring Schedule'!$F$22),'Recurring Schedule'!$O$22)=0),IF('Recurring Schedule'!$E$22="Weekdays",WEEKDAY($A293,2)&lt;=5,$A293='Recurring Schedule'!$F$22))),17,""))))</f>
        <v/>
      </c>
      <c r="S293">
        <f>IF('Recurring Schedule'!$C$23="","",IF('Recurring Schedule'!$F$23="","",IF(OR($A293&lt;'Recurring Schedule'!$F$23,$A293&gt;'Recurring Schedule'!$P$23),"",IF(IF('Recurring Schedule'!$N$23&gt;0,MOD($A293-'Recurring Schedule'!$F$23,'Recurring Schedule'!$N$23)=0,IF('Recurring Schedule'!$O$23&gt;0,AND(DAY($A293)=MIN(DAY('Recurring Schedule'!$F$23),DAY(EOMONTH($A293,0))),MOD((YEAR($A293)-YEAR('Recurring Schedule'!$F$23))*12+MONTH($A293)-MONTH('Recurring Schedule'!$F$23),'Recurring Schedule'!$O$23)=0),IF('Recurring Schedule'!$E$23="Weekdays",WEEKDAY($A293,2)&lt;=5,$A293='Recurring Schedule'!$F$23))),18,""))))</f>
        <v/>
      </c>
      <c r="T293">
        <f>IF('Recurring Schedule'!$C$24="","",IF('Recurring Schedule'!$F$24="","",IF(OR($A293&lt;'Recurring Schedule'!$F$24,$A293&gt;'Recurring Schedule'!$P$24),"",IF(IF('Recurring Schedule'!$N$24&gt;0,MOD($A293-'Recurring Schedule'!$F$24,'Recurring Schedule'!$N$24)=0,IF('Recurring Schedule'!$O$24&gt;0,AND(DAY($A293)=MIN(DAY('Recurring Schedule'!$F$24),DAY(EOMONTH($A293,0))),MOD((YEAR($A293)-YEAR('Recurring Schedule'!$F$24))*12+MONTH($A293)-MONTH('Recurring Schedule'!$F$24),'Recurring Schedule'!$O$24)=0),IF('Recurring Schedule'!$E$24="Weekdays",WEEKDAY($A293,2)&lt;=5,$A293='Recurring Schedule'!$F$24))),19,""))))</f>
        <v/>
      </c>
      <c r="U293">
        <f>IF('Recurring Schedule'!$C$25="","",IF('Recurring Schedule'!$F$25="","",IF(OR($A293&lt;'Recurring Schedule'!$F$25,$A293&gt;'Recurring Schedule'!$P$25),"",IF(IF('Recurring Schedule'!$N$25&gt;0,MOD($A293-'Recurring Schedule'!$F$25,'Recurring Schedule'!$N$25)=0,IF('Recurring Schedule'!$O$25&gt;0,AND(DAY($A293)=MIN(DAY('Recurring Schedule'!$F$25),DAY(EOMONTH($A293,0))),MOD((YEAR($A293)-YEAR('Recurring Schedule'!$F$25))*12+MONTH($A293)-MONTH('Recurring Schedule'!$F$25),'Recurring Schedule'!$O$25)=0),IF('Recurring Schedule'!$E$25="Weekdays",WEEKDAY($A293,2)&lt;=5,$A293='Recurring Schedule'!$F$25))),20,""))))</f>
        <v/>
      </c>
      <c r="V293">
        <f>IF('Recurring Schedule'!$C$26="","",IF('Recurring Schedule'!$F$26="","",IF(OR($A293&lt;'Recurring Schedule'!$F$26,$A293&gt;'Recurring Schedule'!$P$26),"",IF(IF('Recurring Schedule'!$N$26&gt;0,MOD($A293-'Recurring Schedule'!$F$26,'Recurring Schedule'!$N$26)=0,IF('Recurring Schedule'!$O$26&gt;0,AND(DAY($A293)=MIN(DAY('Recurring Schedule'!$F$26),DAY(EOMONTH($A293,0))),MOD((YEAR($A293)-YEAR('Recurring Schedule'!$F$26))*12+MONTH($A293)-MONTH('Recurring Schedule'!$F$26),'Recurring Schedule'!$O$26)=0),IF('Recurring Schedule'!$E$26="Weekdays",WEEKDAY($A293,2)&lt;=5,$A293='Recurring Schedule'!$F$26))),21,""))))</f>
        <v/>
      </c>
      <c r="W293">
        <f>IF('Recurring Schedule'!$C$27="","",IF('Recurring Schedule'!$F$27="","",IF(OR($A293&lt;'Recurring Schedule'!$F$27,$A293&gt;'Recurring Schedule'!$P$27),"",IF(IF('Recurring Schedule'!$N$27&gt;0,MOD($A293-'Recurring Schedule'!$F$27,'Recurring Schedule'!$N$27)=0,IF('Recurring Schedule'!$O$27&gt;0,AND(DAY($A293)=MIN(DAY('Recurring Schedule'!$F$27),DAY(EOMONTH($A293,0))),MOD((YEAR($A293)-YEAR('Recurring Schedule'!$F$27))*12+MONTH($A293)-MONTH('Recurring Schedule'!$F$27),'Recurring Schedule'!$O$27)=0),IF('Recurring Schedule'!$E$27="Weekdays",WEEKDAY($A293,2)&lt;=5,$A293='Recurring Schedule'!$F$27))),22,""))))</f>
        <v/>
      </c>
      <c r="X293">
        <f>IF('Recurring Schedule'!$C$28="","",IF('Recurring Schedule'!$F$28="","",IF(OR($A293&lt;'Recurring Schedule'!$F$28,$A293&gt;'Recurring Schedule'!$P$28),"",IF(IF('Recurring Schedule'!$N$28&gt;0,MOD($A293-'Recurring Schedule'!$F$28,'Recurring Schedule'!$N$28)=0,IF('Recurring Schedule'!$O$28&gt;0,AND(DAY($A293)=MIN(DAY('Recurring Schedule'!$F$28),DAY(EOMONTH($A293,0))),MOD((YEAR($A293)-YEAR('Recurring Schedule'!$F$28))*12+MONTH($A293)-MONTH('Recurring Schedule'!$F$28),'Recurring Schedule'!$O$28)=0),IF('Recurring Schedule'!$E$28="Weekdays",WEEKDAY($A293,2)&lt;=5,$A293='Recurring Schedule'!$F$28))),23,""))))</f>
        <v/>
      </c>
      <c r="Y293">
        <f>IF('Recurring Schedule'!$C$29="","",IF('Recurring Schedule'!$F$29="","",IF(OR($A293&lt;'Recurring Schedule'!$F$29,$A293&gt;'Recurring Schedule'!$P$29),"",IF(IF('Recurring Schedule'!$N$29&gt;0,MOD($A293-'Recurring Schedule'!$F$29,'Recurring Schedule'!$N$29)=0,IF('Recurring Schedule'!$O$29&gt;0,AND(DAY($A293)=MIN(DAY('Recurring Schedule'!$F$29),DAY(EOMONTH($A293,0))),MOD((YEAR($A293)-YEAR('Recurring Schedule'!$F$29))*12+MONTH($A293)-MONTH('Recurring Schedule'!$F$29),'Recurring Schedule'!$O$29)=0),IF('Recurring Schedule'!$E$29="Weekdays",WEEKDAY($A293,2)&lt;=5,$A293='Recurring Schedule'!$F$29))),24,""))))</f>
        <v/>
      </c>
      <c r="Z293">
        <f>IF('Recurring Schedule'!$C$30="","",IF('Recurring Schedule'!$F$30="","",IF(OR($A293&lt;'Recurring Schedule'!$F$30,$A293&gt;'Recurring Schedule'!$P$30),"",IF(IF('Recurring Schedule'!$N$30&gt;0,MOD($A293-'Recurring Schedule'!$F$30,'Recurring Schedule'!$N$30)=0,IF('Recurring Schedule'!$O$30&gt;0,AND(DAY($A293)=MIN(DAY('Recurring Schedule'!$F$30),DAY(EOMONTH($A293,0))),MOD((YEAR($A293)-YEAR('Recurring Schedule'!$F$30))*12+MONTH($A293)-MONTH('Recurring Schedule'!$F$30),'Recurring Schedule'!$O$30)=0),IF('Recurring Schedule'!$E$30="Weekdays",WEEKDAY($A293,2)&lt;=5,$A293='Recurring Schedule'!$F$30))),25,""))))</f>
        <v/>
      </c>
      <c r="AA293">
        <f>IF('Recurring Schedule'!$C$31="","",IF('Recurring Schedule'!$F$31="","",IF(OR($A293&lt;'Recurring Schedule'!$F$31,$A293&gt;'Recurring Schedule'!$P$31),"",IF(IF('Recurring Schedule'!$N$31&gt;0,MOD($A293-'Recurring Schedule'!$F$31,'Recurring Schedule'!$N$31)=0,IF('Recurring Schedule'!$O$31&gt;0,AND(DAY($A293)=MIN(DAY('Recurring Schedule'!$F$31),DAY(EOMONTH($A293,0))),MOD((YEAR($A293)-YEAR('Recurring Schedule'!$F$31))*12+MONTH($A293)-MONTH('Recurring Schedule'!$F$31),'Recurring Schedule'!$O$31)=0),IF('Recurring Schedule'!$E$31="Weekdays",WEEKDAY($A293,2)&lt;=5,$A293='Recurring Schedule'!$F$31))),26,""))))</f>
        <v/>
      </c>
      <c r="AB293">
        <f>IF('Recurring Schedule'!$C$32="","",IF('Recurring Schedule'!$F$32="","",IF(OR($A293&lt;'Recurring Schedule'!$F$32,$A293&gt;'Recurring Schedule'!$P$32),"",IF(IF('Recurring Schedule'!$N$32&gt;0,MOD($A293-'Recurring Schedule'!$F$32,'Recurring Schedule'!$N$32)=0,IF('Recurring Schedule'!$O$32&gt;0,AND(DAY($A293)=MIN(DAY('Recurring Schedule'!$F$32),DAY(EOMONTH($A293,0))),MOD((YEAR($A293)-YEAR('Recurring Schedule'!$F$32))*12+MONTH($A293)-MONTH('Recurring Schedule'!$F$32),'Recurring Schedule'!$O$32)=0),IF('Recurring Schedule'!$E$32="Weekdays",WEEKDAY($A293,2)&lt;=5,$A293='Recurring Schedule'!$F$32))),27,""))))</f>
        <v/>
      </c>
      <c r="AC293">
        <f>IF('Recurring Schedule'!$C$33="","",IF('Recurring Schedule'!$F$33="","",IF(OR($A293&lt;'Recurring Schedule'!$F$33,$A293&gt;'Recurring Schedule'!$P$33),"",IF(IF('Recurring Schedule'!$N$33&gt;0,MOD($A293-'Recurring Schedule'!$F$33,'Recurring Schedule'!$N$33)=0,IF('Recurring Schedule'!$O$33&gt;0,AND(DAY($A293)=MIN(DAY('Recurring Schedule'!$F$33),DAY(EOMONTH($A293,0))),MOD((YEAR($A293)-YEAR('Recurring Schedule'!$F$33))*12+MONTH($A293)-MONTH('Recurring Schedule'!$F$33),'Recurring Schedule'!$O$33)=0),IF('Recurring Schedule'!$E$33="Weekdays",WEEKDAY($A293,2)&lt;=5,$A293='Recurring Schedule'!$F$33))),28,""))))</f>
        <v/>
      </c>
      <c r="AD293">
        <f>IF('Recurring Schedule'!$C$34="","",IF('Recurring Schedule'!$F$34="","",IF(OR($A293&lt;'Recurring Schedule'!$F$34,$A293&gt;'Recurring Schedule'!$P$34),"",IF(IF('Recurring Schedule'!$N$34&gt;0,MOD($A293-'Recurring Schedule'!$F$34,'Recurring Schedule'!$N$34)=0,IF('Recurring Schedule'!$O$34&gt;0,AND(DAY($A293)=MIN(DAY('Recurring Schedule'!$F$34),DAY(EOMONTH($A293,0))),MOD((YEAR($A293)-YEAR('Recurring Schedule'!$F$34))*12+MONTH($A293)-MONTH('Recurring Schedule'!$F$34),'Recurring Schedule'!$O$34)=0),IF('Recurring Schedule'!$E$34="Weekdays",WEEKDAY($A293,2)&lt;=5,$A293='Recurring Schedule'!$F$34))),29,""))))</f>
        <v/>
      </c>
      <c r="AE293">
        <f>IF('Recurring Schedule'!$C$35="","",IF('Recurring Schedule'!$F$35="","",IF(OR($A293&lt;'Recurring Schedule'!$F$35,$A293&gt;'Recurring Schedule'!$P$35),"",IF(IF('Recurring Schedule'!$N$35&gt;0,MOD($A293-'Recurring Schedule'!$F$35,'Recurring Schedule'!$N$35)=0,IF('Recurring Schedule'!$O$35&gt;0,AND(DAY($A293)=MIN(DAY('Recurring Schedule'!$F$35),DAY(EOMONTH($A293,0))),MOD((YEAR($A293)-YEAR('Recurring Schedule'!$F$35))*12+MONTH($A293)-MONTH('Recurring Schedule'!$F$35),'Recurring Schedule'!$O$35)=0),IF('Recurring Schedule'!$E$35="Weekdays",WEEKDAY($A293,2)&lt;=5,$A293='Recurring Schedule'!$F$35))),30,""))))</f>
        <v/>
      </c>
      <c r="AF293">
        <f>IF('Recurring Schedule'!$C$36="","",IF('Recurring Schedule'!$F$36="","",IF(OR($A293&lt;'Recurring Schedule'!$F$36,$A293&gt;'Recurring Schedule'!$P$36),"",IF(IF('Recurring Schedule'!$N$36&gt;0,MOD($A293-'Recurring Schedule'!$F$36,'Recurring Schedule'!$N$36)=0,IF('Recurring Schedule'!$O$36&gt;0,AND(DAY($A293)=MIN(DAY('Recurring Schedule'!$F$36),DAY(EOMONTH($A293,0))),MOD((YEAR($A293)-YEAR('Recurring Schedule'!$F$36))*12+MONTH($A293)-MONTH('Recurring Schedule'!$F$36),'Recurring Schedule'!$O$36)=0),IF('Recurring Schedule'!$E$36="Weekdays",WEEKDAY($A293,2)&lt;=5,$A293='Recurring Schedule'!$F$36))),31,""))))</f>
        <v/>
      </c>
      <c r="AG293">
        <f>IF('Recurring Schedule'!$C$37="","",IF('Recurring Schedule'!$F$37="","",IF(OR($A293&lt;'Recurring Schedule'!$F$37,$A293&gt;'Recurring Schedule'!$P$37),"",IF(IF('Recurring Schedule'!$N$37&gt;0,MOD($A293-'Recurring Schedule'!$F$37,'Recurring Schedule'!$N$37)=0,IF('Recurring Schedule'!$O$37&gt;0,AND(DAY($A293)=MIN(DAY('Recurring Schedule'!$F$37),DAY(EOMONTH($A293,0))),MOD((YEAR($A293)-YEAR('Recurring Schedule'!$F$37))*12+MONTH($A293)-MONTH('Recurring Schedule'!$F$37),'Recurring Schedule'!$O$37)=0),IF('Recurring Schedule'!$E$37="Weekdays",WEEKDAY($A293,2)&lt;=5,$A293='Recurring Schedule'!$F$37))),32,""))))</f>
        <v/>
      </c>
      <c r="AH293">
        <f>IF('Recurring Schedule'!$C$38="","",IF('Recurring Schedule'!$F$38="","",IF(OR($A293&lt;'Recurring Schedule'!$F$38,$A293&gt;'Recurring Schedule'!$P$38),"",IF(IF('Recurring Schedule'!$N$38&gt;0,MOD($A293-'Recurring Schedule'!$F$38,'Recurring Schedule'!$N$38)=0,IF('Recurring Schedule'!$O$38&gt;0,AND(DAY($A293)=MIN(DAY('Recurring Schedule'!$F$38),DAY(EOMONTH($A293,0))),MOD((YEAR($A293)-YEAR('Recurring Schedule'!$F$38))*12+MONTH($A293)-MONTH('Recurring Schedule'!$F$38),'Recurring Schedule'!$O$38)=0),IF('Recurring Schedule'!$E$38="Weekdays",WEEKDAY($A293,2)&lt;=5,$A293='Recurring Schedule'!$F$38))),33,""))))</f>
        <v/>
      </c>
      <c r="AI293">
        <f>IF('Recurring Schedule'!$C$39="","",IF('Recurring Schedule'!$F$39="","",IF(OR($A293&lt;'Recurring Schedule'!$F$39,$A293&gt;'Recurring Schedule'!$P$39),"",IF(IF('Recurring Schedule'!$N$39&gt;0,MOD($A293-'Recurring Schedule'!$F$39,'Recurring Schedule'!$N$39)=0,IF('Recurring Schedule'!$O$39&gt;0,AND(DAY($A293)=MIN(DAY('Recurring Schedule'!$F$39),DAY(EOMONTH($A293,0))),MOD((YEAR($A293)-YEAR('Recurring Schedule'!$F$39))*12+MONTH($A293)-MONTH('Recurring Schedule'!$F$39),'Recurring Schedule'!$O$39)=0),IF('Recurring Schedule'!$E$39="Weekdays",WEEKDAY($A293,2)&lt;=5,$A293='Recurring Schedule'!$F$39))),34,""))))</f>
        <v/>
      </c>
      <c r="AJ293">
        <f>IF('Recurring Schedule'!$C$40="","",IF('Recurring Schedule'!$F$40="","",IF(OR($A293&lt;'Recurring Schedule'!$F$40,$A293&gt;'Recurring Schedule'!$P$40),"",IF(IF('Recurring Schedule'!$N$40&gt;0,MOD($A293-'Recurring Schedule'!$F$40,'Recurring Schedule'!$N$40)=0,IF('Recurring Schedule'!$O$40&gt;0,AND(DAY($A293)=MIN(DAY('Recurring Schedule'!$F$40),DAY(EOMONTH($A293,0))),MOD((YEAR($A293)-YEAR('Recurring Schedule'!$F$40))*12+MONTH($A293)-MONTH('Recurring Schedule'!$F$40),'Recurring Schedule'!$O$40)=0),IF('Recurring Schedule'!$E$40="Weekdays",WEEKDAY($A293,2)&lt;=5,$A293='Recurring Schedule'!$F$40))),35,""))))</f>
        <v/>
      </c>
      <c r="AK293">
        <f>IF('Recurring Schedule'!$C$41="","",IF('Recurring Schedule'!$F$41="","",IF(OR($A293&lt;'Recurring Schedule'!$F$41,$A293&gt;'Recurring Schedule'!$P$41),"",IF(IF('Recurring Schedule'!$N$41&gt;0,MOD($A293-'Recurring Schedule'!$F$41,'Recurring Schedule'!$N$41)=0,IF('Recurring Schedule'!$O$41&gt;0,AND(DAY($A293)=MIN(DAY('Recurring Schedule'!$F$41),DAY(EOMONTH($A293,0))),MOD((YEAR($A293)-YEAR('Recurring Schedule'!$F$41))*12+MONTH($A293)-MONTH('Recurring Schedule'!$F$41),'Recurring Schedule'!$O$41)=0),IF('Recurring Schedule'!$E$41="Weekdays",WEEKDAY($A293,2)&lt;=5,$A293='Recurring Schedule'!$F$41))),36,""))))</f>
        <v/>
      </c>
      <c r="AL293">
        <f>IF('Recurring Schedule'!$C$42="","",IF('Recurring Schedule'!$F$42="","",IF(OR($A293&lt;'Recurring Schedule'!$F$42,$A293&gt;'Recurring Schedule'!$P$42),"",IF(IF('Recurring Schedule'!$N$42&gt;0,MOD($A293-'Recurring Schedule'!$F$42,'Recurring Schedule'!$N$42)=0,IF('Recurring Schedule'!$O$42&gt;0,AND(DAY($A293)=MIN(DAY('Recurring Schedule'!$F$42),DAY(EOMONTH($A293,0))),MOD((YEAR($A293)-YEAR('Recurring Schedule'!$F$42))*12+MONTH($A293)-MONTH('Recurring Schedule'!$F$42),'Recurring Schedule'!$O$42)=0),IF('Recurring Schedule'!$E$42="Weekdays",WEEKDAY($A293,2)&lt;=5,$A293='Recurring Schedule'!$F$42))),37,""))))</f>
        <v/>
      </c>
      <c r="AM293">
        <f>IF('Recurring Schedule'!$C$43="","",IF('Recurring Schedule'!$F$43="","",IF(OR($A293&lt;'Recurring Schedule'!$F$43,$A293&gt;'Recurring Schedule'!$P$43),"",IF(IF('Recurring Schedule'!$N$43&gt;0,MOD($A293-'Recurring Schedule'!$F$43,'Recurring Schedule'!$N$43)=0,IF('Recurring Schedule'!$O$43&gt;0,AND(DAY($A293)=MIN(DAY('Recurring Schedule'!$F$43),DAY(EOMONTH($A293,0))),MOD((YEAR($A293)-YEAR('Recurring Schedule'!$F$43))*12+MONTH($A293)-MONTH('Recurring Schedule'!$F$43),'Recurring Schedule'!$O$43)=0),IF('Recurring Schedule'!$E$43="Weekdays",WEEKDAY($A293,2)&lt;=5,$A293='Recurring Schedule'!$F$43))),38,""))))</f>
        <v/>
      </c>
      <c r="AN293">
        <f>IF('Recurring Schedule'!$C$44="","",IF('Recurring Schedule'!$F$44="","",IF(OR($A293&lt;'Recurring Schedule'!$F$44,$A293&gt;'Recurring Schedule'!$P$44),"",IF(IF('Recurring Schedule'!$N$44&gt;0,MOD($A293-'Recurring Schedule'!$F$44,'Recurring Schedule'!$N$44)=0,IF('Recurring Schedule'!$O$44&gt;0,AND(DAY($A293)=MIN(DAY('Recurring Schedule'!$F$44),DAY(EOMONTH($A293,0))),MOD((YEAR($A293)-YEAR('Recurring Schedule'!$F$44))*12+MONTH($A293)-MONTH('Recurring Schedule'!$F$44),'Recurring Schedule'!$O$44)=0),IF('Recurring Schedule'!$E$44="Weekdays",WEEKDAY($A293,2)&lt;=5,$A293='Recurring Schedule'!$F$44))),39,""))))</f>
        <v/>
      </c>
      <c r="AO293">
        <f>IF('Recurring Schedule'!$C$45="","",IF('Recurring Schedule'!$F$45="","",IF(OR($A293&lt;'Recurring Schedule'!$F$45,$A293&gt;'Recurring Schedule'!$P$45),"",IF(IF('Recurring Schedule'!$N$45&gt;0,MOD($A293-'Recurring Schedule'!$F$45,'Recurring Schedule'!$N$45)=0,IF('Recurring Schedule'!$O$45&gt;0,AND(DAY($A293)=MIN(DAY('Recurring Schedule'!$F$45),DAY(EOMONTH($A293,0))),MOD((YEAR($A293)-YEAR('Recurring Schedule'!$F$45))*12+MONTH($A293)-MONTH('Recurring Schedule'!$F$45),'Recurring Schedule'!$O$45)=0),IF('Recurring Schedule'!$E$45="Weekdays",WEEKDAY($A293,2)&lt;=5,$A293='Recurring Schedule'!$F$45))),40,""))))</f>
        <v/>
      </c>
      <c r="AP293">
        <f>COUNT(B293:AO293)</f>
        <v/>
      </c>
      <c r="AQ293">
        <f>AQ292+AP292</f>
        <v/>
      </c>
      <c r="AS293" t="inlineStr">
        <is>
          <t>R</t>
        </is>
      </c>
      <c r="AT293" t="n">
        <v>297</v>
      </c>
      <c r="AU293">
        <f>'Recurring Log'!C297&amp;""</f>
        <v/>
      </c>
      <c r="AV293">
        <f>'Recurring Log'!D297&amp;""</f>
        <v/>
      </c>
      <c r="AW293">
        <f>IF('Recurring Log'!E297="","",'Recurring Log'!E297)</f>
        <v/>
      </c>
      <c r="AX293">
        <f>IF('Recurring Log'!G297="","",'Recurring Log'!G297)</f>
        <v/>
      </c>
      <c r="AY293">
        <f>IF('Recurring Log'!H297="","",'Recurring Log'!H297)</f>
        <v/>
      </c>
      <c r="AZ293">
        <f>IF(AU293="","",IF('Recurring Log'!J297="","Not Started",'Recurring Log'!J297))</f>
        <v/>
      </c>
      <c r="BA293">
        <f>'Recurring Log'!L297&amp;""</f>
        <v/>
      </c>
      <c r="BB293">
        <f>'Recurring Log'!M297&amp;""</f>
        <v/>
      </c>
      <c r="BC293">
        <f>'Recurring Log'!N297&amp;""</f>
        <v/>
      </c>
      <c r="BD293">
        <f>'Recurring Log'!O297&amp;""</f>
        <v/>
      </c>
      <c r="BE293">
        <f>IF('Recurring Log'!K297="","",'Recurring Log'!K297)</f>
        <v/>
      </c>
      <c r="BF293">
        <f>IFERROR(MATCH(BA293,Setup!$L$6:$L$9,0),5)</f>
        <v/>
      </c>
      <c r="BG293">
        <f>IF(OR(AZ293="Done",AZ293="Cancelled"),1,0)</f>
        <v/>
      </c>
      <c r="BH293">
        <f>IF(AND(AU293&lt;&gt;"",ISNUMBER(AW293)),1,0)</f>
        <v/>
      </c>
      <c r="BI293">
        <f>IF(BH293=0,0,IF(AND(AW293&gt;='Tasks Filter'!$F$3,AW293&lt;='Tasks Filter'!$F$4,OR('Tasks Filter'!$I$3="",ISNUMBER(SEARCH('Tasks Filter'!$I$3,AU293))),OR('Tasks Filter'!$I$4="",BF293=IFERROR(MATCH('Tasks Filter'!$I$4,Setup!$L$6:$L$9,0),0)),OR('Tasks Filter'!$I$5="Both",AND('Tasks Filter'!$I$5="Yes",BB293="✓"),AND('Tasks Filter'!$I$5="No",BB293&lt;&gt;"✓")),OR('Tasks Filter'!$L$3="",AV293='Tasks Filter'!$L$3),OR('Tasks Filter'!$L$4="",AZ293='Tasks Filter'!$L$4),OR('Tasks Filter'!$L$5="",BC293='Tasks Filter'!$L$5),OR('Tasks Filter'!$O$3="",BD293='Tasks Filter'!$O$3),OR('Tasks Filter'!$O$4="Yes",BG293=0)),1,0))</f>
        <v/>
      </c>
      <c r="BJ293">
        <f>IF(BH293=0,"",IF('Tasks Filter'!$F$6="Descending",-1,1)*CHOOSE(MATCH('Tasks Filter'!$F$5,Lists!$G$2:$G$6,0),AW293,BF293,IFERROR(MATCH(AV293,Setup!$F$6:$F$15,0),99),IFERROR(MATCH(BC293,Setup!$H$6:$H$15,0),99),IFERROR(MATCH(AZ293,Setup!$J$6:$J$11,0),99))*1E+9+(AW293-40000)*10000+292)</f>
        <v/>
      </c>
      <c r="BK293">
        <f>IF(BI293=1,BJ293,"")</f>
        <v/>
      </c>
      <c r="BL293">
        <f>IF(AND(BH293=1,BG293=0,N(AW293)&lt;Setup!$D$7),(AW293-40000)*10000+292,"")</f>
        <v/>
      </c>
      <c r="BM293">
        <f>IF(AND(BH293=1,AZ293&lt;&gt;"Cancelled",N(AW293)&gt;=Dashboard!$AB$3,N(AW293)&lt;=Dashboard!$AB$3+6),(AW293-40000)*100000+BF293*10000+292,"")</f>
        <v/>
      </c>
      <c r="BN293">
        <f>IF(AND(BH293=1,AZ293&lt;&gt;"Cancelled"),BF293*10000+292,"")</f>
        <v/>
      </c>
    </row>
    <row r="294">
      <c r="A294">
        <f>Setup!$D$5+292</f>
        <v/>
      </c>
      <c r="B294">
        <f>IF('Recurring Schedule'!$C$6="","",IF('Recurring Schedule'!$F$6="","",IF(OR($A294&lt;'Recurring Schedule'!$F$6,$A294&gt;'Recurring Schedule'!$P$6),"",IF(IF('Recurring Schedule'!$N$6&gt;0,MOD($A294-'Recurring Schedule'!$F$6,'Recurring Schedule'!$N$6)=0,IF('Recurring Schedule'!$O$6&gt;0,AND(DAY($A294)=MIN(DAY('Recurring Schedule'!$F$6),DAY(EOMONTH($A294,0))),MOD((YEAR($A294)-YEAR('Recurring Schedule'!$F$6))*12+MONTH($A294)-MONTH('Recurring Schedule'!$F$6),'Recurring Schedule'!$O$6)=0),IF('Recurring Schedule'!$E$6="Weekdays",WEEKDAY($A294,2)&lt;=5,$A294='Recurring Schedule'!$F$6))),1,""))))</f>
        <v/>
      </c>
      <c r="C294">
        <f>IF('Recurring Schedule'!$C$7="","",IF('Recurring Schedule'!$F$7="","",IF(OR($A294&lt;'Recurring Schedule'!$F$7,$A294&gt;'Recurring Schedule'!$P$7),"",IF(IF('Recurring Schedule'!$N$7&gt;0,MOD($A294-'Recurring Schedule'!$F$7,'Recurring Schedule'!$N$7)=0,IF('Recurring Schedule'!$O$7&gt;0,AND(DAY($A294)=MIN(DAY('Recurring Schedule'!$F$7),DAY(EOMONTH($A294,0))),MOD((YEAR($A294)-YEAR('Recurring Schedule'!$F$7))*12+MONTH($A294)-MONTH('Recurring Schedule'!$F$7),'Recurring Schedule'!$O$7)=0),IF('Recurring Schedule'!$E$7="Weekdays",WEEKDAY($A294,2)&lt;=5,$A294='Recurring Schedule'!$F$7))),2,""))))</f>
        <v/>
      </c>
      <c r="D294">
        <f>IF('Recurring Schedule'!$C$8="","",IF('Recurring Schedule'!$F$8="","",IF(OR($A294&lt;'Recurring Schedule'!$F$8,$A294&gt;'Recurring Schedule'!$P$8),"",IF(IF('Recurring Schedule'!$N$8&gt;0,MOD($A294-'Recurring Schedule'!$F$8,'Recurring Schedule'!$N$8)=0,IF('Recurring Schedule'!$O$8&gt;0,AND(DAY($A294)=MIN(DAY('Recurring Schedule'!$F$8),DAY(EOMONTH($A294,0))),MOD((YEAR($A294)-YEAR('Recurring Schedule'!$F$8))*12+MONTH($A294)-MONTH('Recurring Schedule'!$F$8),'Recurring Schedule'!$O$8)=0),IF('Recurring Schedule'!$E$8="Weekdays",WEEKDAY($A294,2)&lt;=5,$A294='Recurring Schedule'!$F$8))),3,""))))</f>
        <v/>
      </c>
      <c r="E294">
        <f>IF('Recurring Schedule'!$C$9="","",IF('Recurring Schedule'!$F$9="","",IF(OR($A294&lt;'Recurring Schedule'!$F$9,$A294&gt;'Recurring Schedule'!$P$9),"",IF(IF('Recurring Schedule'!$N$9&gt;0,MOD($A294-'Recurring Schedule'!$F$9,'Recurring Schedule'!$N$9)=0,IF('Recurring Schedule'!$O$9&gt;0,AND(DAY($A294)=MIN(DAY('Recurring Schedule'!$F$9),DAY(EOMONTH($A294,0))),MOD((YEAR($A294)-YEAR('Recurring Schedule'!$F$9))*12+MONTH($A294)-MONTH('Recurring Schedule'!$F$9),'Recurring Schedule'!$O$9)=0),IF('Recurring Schedule'!$E$9="Weekdays",WEEKDAY($A294,2)&lt;=5,$A294='Recurring Schedule'!$F$9))),4,""))))</f>
        <v/>
      </c>
      <c r="F294">
        <f>IF('Recurring Schedule'!$C$10="","",IF('Recurring Schedule'!$F$10="","",IF(OR($A294&lt;'Recurring Schedule'!$F$10,$A294&gt;'Recurring Schedule'!$P$10),"",IF(IF('Recurring Schedule'!$N$10&gt;0,MOD($A294-'Recurring Schedule'!$F$10,'Recurring Schedule'!$N$10)=0,IF('Recurring Schedule'!$O$10&gt;0,AND(DAY($A294)=MIN(DAY('Recurring Schedule'!$F$10),DAY(EOMONTH($A294,0))),MOD((YEAR($A294)-YEAR('Recurring Schedule'!$F$10))*12+MONTH($A294)-MONTH('Recurring Schedule'!$F$10),'Recurring Schedule'!$O$10)=0),IF('Recurring Schedule'!$E$10="Weekdays",WEEKDAY($A294,2)&lt;=5,$A294='Recurring Schedule'!$F$10))),5,""))))</f>
        <v/>
      </c>
      <c r="G294">
        <f>IF('Recurring Schedule'!$C$11="","",IF('Recurring Schedule'!$F$11="","",IF(OR($A294&lt;'Recurring Schedule'!$F$11,$A294&gt;'Recurring Schedule'!$P$11),"",IF(IF('Recurring Schedule'!$N$11&gt;0,MOD($A294-'Recurring Schedule'!$F$11,'Recurring Schedule'!$N$11)=0,IF('Recurring Schedule'!$O$11&gt;0,AND(DAY($A294)=MIN(DAY('Recurring Schedule'!$F$11),DAY(EOMONTH($A294,0))),MOD((YEAR($A294)-YEAR('Recurring Schedule'!$F$11))*12+MONTH($A294)-MONTH('Recurring Schedule'!$F$11),'Recurring Schedule'!$O$11)=0),IF('Recurring Schedule'!$E$11="Weekdays",WEEKDAY($A294,2)&lt;=5,$A294='Recurring Schedule'!$F$11))),6,""))))</f>
        <v/>
      </c>
      <c r="H294">
        <f>IF('Recurring Schedule'!$C$12="","",IF('Recurring Schedule'!$F$12="","",IF(OR($A294&lt;'Recurring Schedule'!$F$12,$A294&gt;'Recurring Schedule'!$P$12),"",IF(IF('Recurring Schedule'!$N$12&gt;0,MOD($A294-'Recurring Schedule'!$F$12,'Recurring Schedule'!$N$12)=0,IF('Recurring Schedule'!$O$12&gt;0,AND(DAY($A294)=MIN(DAY('Recurring Schedule'!$F$12),DAY(EOMONTH($A294,0))),MOD((YEAR($A294)-YEAR('Recurring Schedule'!$F$12))*12+MONTH($A294)-MONTH('Recurring Schedule'!$F$12),'Recurring Schedule'!$O$12)=0),IF('Recurring Schedule'!$E$12="Weekdays",WEEKDAY($A294,2)&lt;=5,$A294='Recurring Schedule'!$F$12))),7,""))))</f>
        <v/>
      </c>
      <c r="I294">
        <f>IF('Recurring Schedule'!$C$13="","",IF('Recurring Schedule'!$F$13="","",IF(OR($A294&lt;'Recurring Schedule'!$F$13,$A294&gt;'Recurring Schedule'!$P$13),"",IF(IF('Recurring Schedule'!$N$13&gt;0,MOD($A294-'Recurring Schedule'!$F$13,'Recurring Schedule'!$N$13)=0,IF('Recurring Schedule'!$O$13&gt;0,AND(DAY($A294)=MIN(DAY('Recurring Schedule'!$F$13),DAY(EOMONTH($A294,0))),MOD((YEAR($A294)-YEAR('Recurring Schedule'!$F$13))*12+MONTH($A294)-MONTH('Recurring Schedule'!$F$13),'Recurring Schedule'!$O$13)=0),IF('Recurring Schedule'!$E$13="Weekdays",WEEKDAY($A294,2)&lt;=5,$A294='Recurring Schedule'!$F$13))),8,""))))</f>
        <v/>
      </c>
      <c r="J294">
        <f>IF('Recurring Schedule'!$C$14="","",IF('Recurring Schedule'!$F$14="","",IF(OR($A294&lt;'Recurring Schedule'!$F$14,$A294&gt;'Recurring Schedule'!$P$14),"",IF(IF('Recurring Schedule'!$N$14&gt;0,MOD($A294-'Recurring Schedule'!$F$14,'Recurring Schedule'!$N$14)=0,IF('Recurring Schedule'!$O$14&gt;0,AND(DAY($A294)=MIN(DAY('Recurring Schedule'!$F$14),DAY(EOMONTH($A294,0))),MOD((YEAR($A294)-YEAR('Recurring Schedule'!$F$14))*12+MONTH($A294)-MONTH('Recurring Schedule'!$F$14),'Recurring Schedule'!$O$14)=0),IF('Recurring Schedule'!$E$14="Weekdays",WEEKDAY($A294,2)&lt;=5,$A294='Recurring Schedule'!$F$14))),9,""))))</f>
        <v/>
      </c>
      <c r="K294">
        <f>IF('Recurring Schedule'!$C$15="","",IF('Recurring Schedule'!$F$15="","",IF(OR($A294&lt;'Recurring Schedule'!$F$15,$A294&gt;'Recurring Schedule'!$P$15),"",IF(IF('Recurring Schedule'!$N$15&gt;0,MOD($A294-'Recurring Schedule'!$F$15,'Recurring Schedule'!$N$15)=0,IF('Recurring Schedule'!$O$15&gt;0,AND(DAY($A294)=MIN(DAY('Recurring Schedule'!$F$15),DAY(EOMONTH($A294,0))),MOD((YEAR($A294)-YEAR('Recurring Schedule'!$F$15))*12+MONTH($A294)-MONTH('Recurring Schedule'!$F$15),'Recurring Schedule'!$O$15)=0),IF('Recurring Schedule'!$E$15="Weekdays",WEEKDAY($A294,2)&lt;=5,$A294='Recurring Schedule'!$F$15))),10,""))))</f>
        <v/>
      </c>
      <c r="L294">
        <f>IF('Recurring Schedule'!$C$16="","",IF('Recurring Schedule'!$F$16="","",IF(OR($A294&lt;'Recurring Schedule'!$F$16,$A294&gt;'Recurring Schedule'!$P$16),"",IF(IF('Recurring Schedule'!$N$16&gt;0,MOD($A294-'Recurring Schedule'!$F$16,'Recurring Schedule'!$N$16)=0,IF('Recurring Schedule'!$O$16&gt;0,AND(DAY($A294)=MIN(DAY('Recurring Schedule'!$F$16),DAY(EOMONTH($A294,0))),MOD((YEAR($A294)-YEAR('Recurring Schedule'!$F$16))*12+MONTH($A294)-MONTH('Recurring Schedule'!$F$16),'Recurring Schedule'!$O$16)=0),IF('Recurring Schedule'!$E$16="Weekdays",WEEKDAY($A294,2)&lt;=5,$A294='Recurring Schedule'!$F$16))),11,""))))</f>
        <v/>
      </c>
      <c r="M294">
        <f>IF('Recurring Schedule'!$C$17="","",IF('Recurring Schedule'!$F$17="","",IF(OR($A294&lt;'Recurring Schedule'!$F$17,$A294&gt;'Recurring Schedule'!$P$17),"",IF(IF('Recurring Schedule'!$N$17&gt;0,MOD($A294-'Recurring Schedule'!$F$17,'Recurring Schedule'!$N$17)=0,IF('Recurring Schedule'!$O$17&gt;0,AND(DAY($A294)=MIN(DAY('Recurring Schedule'!$F$17),DAY(EOMONTH($A294,0))),MOD((YEAR($A294)-YEAR('Recurring Schedule'!$F$17))*12+MONTH($A294)-MONTH('Recurring Schedule'!$F$17),'Recurring Schedule'!$O$17)=0),IF('Recurring Schedule'!$E$17="Weekdays",WEEKDAY($A294,2)&lt;=5,$A294='Recurring Schedule'!$F$17))),12,""))))</f>
        <v/>
      </c>
      <c r="N294">
        <f>IF('Recurring Schedule'!$C$18="","",IF('Recurring Schedule'!$F$18="","",IF(OR($A294&lt;'Recurring Schedule'!$F$18,$A294&gt;'Recurring Schedule'!$P$18),"",IF(IF('Recurring Schedule'!$N$18&gt;0,MOD($A294-'Recurring Schedule'!$F$18,'Recurring Schedule'!$N$18)=0,IF('Recurring Schedule'!$O$18&gt;0,AND(DAY($A294)=MIN(DAY('Recurring Schedule'!$F$18),DAY(EOMONTH($A294,0))),MOD((YEAR($A294)-YEAR('Recurring Schedule'!$F$18))*12+MONTH($A294)-MONTH('Recurring Schedule'!$F$18),'Recurring Schedule'!$O$18)=0),IF('Recurring Schedule'!$E$18="Weekdays",WEEKDAY($A294,2)&lt;=5,$A294='Recurring Schedule'!$F$18))),13,""))))</f>
        <v/>
      </c>
      <c r="O294">
        <f>IF('Recurring Schedule'!$C$19="","",IF('Recurring Schedule'!$F$19="","",IF(OR($A294&lt;'Recurring Schedule'!$F$19,$A294&gt;'Recurring Schedule'!$P$19),"",IF(IF('Recurring Schedule'!$N$19&gt;0,MOD($A294-'Recurring Schedule'!$F$19,'Recurring Schedule'!$N$19)=0,IF('Recurring Schedule'!$O$19&gt;0,AND(DAY($A294)=MIN(DAY('Recurring Schedule'!$F$19),DAY(EOMONTH($A294,0))),MOD((YEAR($A294)-YEAR('Recurring Schedule'!$F$19))*12+MONTH($A294)-MONTH('Recurring Schedule'!$F$19),'Recurring Schedule'!$O$19)=0),IF('Recurring Schedule'!$E$19="Weekdays",WEEKDAY($A294,2)&lt;=5,$A294='Recurring Schedule'!$F$19))),14,""))))</f>
        <v/>
      </c>
      <c r="P294">
        <f>IF('Recurring Schedule'!$C$20="","",IF('Recurring Schedule'!$F$20="","",IF(OR($A294&lt;'Recurring Schedule'!$F$20,$A294&gt;'Recurring Schedule'!$P$20),"",IF(IF('Recurring Schedule'!$N$20&gt;0,MOD($A294-'Recurring Schedule'!$F$20,'Recurring Schedule'!$N$20)=0,IF('Recurring Schedule'!$O$20&gt;0,AND(DAY($A294)=MIN(DAY('Recurring Schedule'!$F$20),DAY(EOMONTH($A294,0))),MOD((YEAR($A294)-YEAR('Recurring Schedule'!$F$20))*12+MONTH($A294)-MONTH('Recurring Schedule'!$F$20),'Recurring Schedule'!$O$20)=0),IF('Recurring Schedule'!$E$20="Weekdays",WEEKDAY($A294,2)&lt;=5,$A294='Recurring Schedule'!$F$20))),15,""))))</f>
        <v/>
      </c>
      <c r="Q294">
        <f>IF('Recurring Schedule'!$C$21="","",IF('Recurring Schedule'!$F$21="","",IF(OR($A294&lt;'Recurring Schedule'!$F$21,$A294&gt;'Recurring Schedule'!$P$21),"",IF(IF('Recurring Schedule'!$N$21&gt;0,MOD($A294-'Recurring Schedule'!$F$21,'Recurring Schedule'!$N$21)=0,IF('Recurring Schedule'!$O$21&gt;0,AND(DAY($A294)=MIN(DAY('Recurring Schedule'!$F$21),DAY(EOMONTH($A294,0))),MOD((YEAR($A294)-YEAR('Recurring Schedule'!$F$21))*12+MONTH($A294)-MONTH('Recurring Schedule'!$F$21),'Recurring Schedule'!$O$21)=0),IF('Recurring Schedule'!$E$21="Weekdays",WEEKDAY($A294,2)&lt;=5,$A294='Recurring Schedule'!$F$21))),16,""))))</f>
        <v/>
      </c>
      <c r="R294">
        <f>IF('Recurring Schedule'!$C$22="","",IF('Recurring Schedule'!$F$22="","",IF(OR($A294&lt;'Recurring Schedule'!$F$22,$A294&gt;'Recurring Schedule'!$P$22),"",IF(IF('Recurring Schedule'!$N$22&gt;0,MOD($A294-'Recurring Schedule'!$F$22,'Recurring Schedule'!$N$22)=0,IF('Recurring Schedule'!$O$22&gt;0,AND(DAY($A294)=MIN(DAY('Recurring Schedule'!$F$22),DAY(EOMONTH($A294,0))),MOD((YEAR($A294)-YEAR('Recurring Schedule'!$F$22))*12+MONTH($A294)-MONTH('Recurring Schedule'!$F$22),'Recurring Schedule'!$O$22)=0),IF('Recurring Schedule'!$E$22="Weekdays",WEEKDAY($A294,2)&lt;=5,$A294='Recurring Schedule'!$F$22))),17,""))))</f>
        <v/>
      </c>
      <c r="S294">
        <f>IF('Recurring Schedule'!$C$23="","",IF('Recurring Schedule'!$F$23="","",IF(OR($A294&lt;'Recurring Schedule'!$F$23,$A294&gt;'Recurring Schedule'!$P$23),"",IF(IF('Recurring Schedule'!$N$23&gt;0,MOD($A294-'Recurring Schedule'!$F$23,'Recurring Schedule'!$N$23)=0,IF('Recurring Schedule'!$O$23&gt;0,AND(DAY($A294)=MIN(DAY('Recurring Schedule'!$F$23),DAY(EOMONTH($A294,0))),MOD((YEAR($A294)-YEAR('Recurring Schedule'!$F$23))*12+MONTH($A294)-MONTH('Recurring Schedule'!$F$23),'Recurring Schedule'!$O$23)=0),IF('Recurring Schedule'!$E$23="Weekdays",WEEKDAY($A294,2)&lt;=5,$A294='Recurring Schedule'!$F$23))),18,""))))</f>
        <v/>
      </c>
      <c r="T294">
        <f>IF('Recurring Schedule'!$C$24="","",IF('Recurring Schedule'!$F$24="","",IF(OR($A294&lt;'Recurring Schedule'!$F$24,$A294&gt;'Recurring Schedule'!$P$24),"",IF(IF('Recurring Schedule'!$N$24&gt;0,MOD($A294-'Recurring Schedule'!$F$24,'Recurring Schedule'!$N$24)=0,IF('Recurring Schedule'!$O$24&gt;0,AND(DAY($A294)=MIN(DAY('Recurring Schedule'!$F$24),DAY(EOMONTH($A294,0))),MOD((YEAR($A294)-YEAR('Recurring Schedule'!$F$24))*12+MONTH($A294)-MONTH('Recurring Schedule'!$F$24),'Recurring Schedule'!$O$24)=0),IF('Recurring Schedule'!$E$24="Weekdays",WEEKDAY($A294,2)&lt;=5,$A294='Recurring Schedule'!$F$24))),19,""))))</f>
        <v/>
      </c>
      <c r="U294">
        <f>IF('Recurring Schedule'!$C$25="","",IF('Recurring Schedule'!$F$25="","",IF(OR($A294&lt;'Recurring Schedule'!$F$25,$A294&gt;'Recurring Schedule'!$P$25),"",IF(IF('Recurring Schedule'!$N$25&gt;0,MOD($A294-'Recurring Schedule'!$F$25,'Recurring Schedule'!$N$25)=0,IF('Recurring Schedule'!$O$25&gt;0,AND(DAY($A294)=MIN(DAY('Recurring Schedule'!$F$25),DAY(EOMONTH($A294,0))),MOD((YEAR($A294)-YEAR('Recurring Schedule'!$F$25))*12+MONTH($A294)-MONTH('Recurring Schedule'!$F$25),'Recurring Schedule'!$O$25)=0),IF('Recurring Schedule'!$E$25="Weekdays",WEEKDAY($A294,2)&lt;=5,$A294='Recurring Schedule'!$F$25))),20,""))))</f>
        <v/>
      </c>
      <c r="V294">
        <f>IF('Recurring Schedule'!$C$26="","",IF('Recurring Schedule'!$F$26="","",IF(OR($A294&lt;'Recurring Schedule'!$F$26,$A294&gt;'Recurring Schedule'!$P$26),"",IF(IF('Recurring Schedule'!$N$26&gt;0,MOD($A294-'Recurring Schedule'!$F$26,'Recurring Schedule'!$N$26)=0,IF('Recurring Schedule'!$O$26&gt;0,AND(DAY($A294)=MIN(DAY('Recurring Schedule'!$F$26),DAY(EOMONTH($A294,0))),MOD((YEAR($A294)-YEAR('Recurring Schedule'!$F$26))*12+MONTH($A294)-MONTH('Recurring Schedule'!$F$26),'Recurring Schedule'!$O$26)=0),IF('Recurring Schedule'!$E$26="Weekdays",WEEKDAY($A294,2)&lt;=5,$A294='Recurring Schedule'!$F$26))),21,""))))</f>
        <v/>
      </c>
      <c r="W294">
        <f>IF('Recurring Schedule'!$C$27="","",IF('Recurring Schedule'!$F$27="","",IF(OR($A294&lt;'Recurring Schedule'!$F$27,$A294&gt;'Recurring Schedule'!$P$27),"",IF(IF('Recurring Schedule'!$N$27&gt;0,MOD($A294-'Recurring Schedule'!$F$27,'Recurring Schedule'!$N$27)=0,IF('Recurring Schedule'!$O$27&gt;0,AND(DAY($A294)=MIN(DAY('Recurring Schedule'!$F$27),DAY(EOMONTH($A294,0))),MOD((YEAR($A294)-YEAR('Recurring Schedule'!$F$27))*12+MONTH($A294)-MONTH('Recurring Schedule'!$F$27),'Recurring Schedule'!$O$27)=0),IF('Recurring Schedule'!$E$27="Weekdays",WEEKDAY($A294,2)&lt;=5,$A294='Recurring Schedule'!$F$27))),22,""))))</f>
        <v/>
      </c>
      <c r="X294">
        <f>IF('Recurring Schedule'!$C$28="","",IF('Recurring Schedule'!$F$28="","",IF(OR($A294&lt;'Recurring Schedule'!$F$28,$A294&gt;'Recurring Schedule'!$P$28),"",IF(IF('Recurring Schedule'!$N$28&gt;0,MOD($A294-'Recurring Schedule'!$F$28,'Recurring Schedule'!$N$28)=0,IF('Recurring Schedule'!$O$28&gt;0,AND(DAY($A294)=MIN(DAY('Recurring Schedule'!$F$28),DAY(EOMONTH($A294,0))),MOD((YEAR($A294)-YEAR('Recurring Schedule'!$F$28))*12+MONTH($A294)-MONTH('Recurring Schedule'!$F$28),'Recurring Schedule'!$O$28)=0),IF('Recurring Schedule'!$E$28="Weekdays",WEEKDAY($A294,2)&lt;=5,$A294='Recurring Schedule'!$F$28))),23,""))))</f>
        <v/>
      </c>
      <c r="Y294">
        <f>IF('Recurring Schedule'!$C$29="","",IF('Recurring Schedule'!$F$29="","",IF(OR($A294&lt;'Recurring Schedule'!$F$29,$A294&gt;'Recurring Schedule'!$P$29),"",IF(IF('Recurring Schedule'!$N$29&gt;0,MOD($A294-'Recurring Schedule'!$F$29,'Recurring Schedule'!$N$29)=0,IF('Recurring Schedule'!$O$29&gt;0,AND(DAY($A294)=MIN(DAY('Recurring Schedule'!$F$29),DAY(EOMONTH($A294,0))),MOD((YEAR($A294)-YEAR('Recurring Schedule'!$F$29))*12+MONTH($A294)-MONTH('Recurring Schedule'!$F$29),'Recurring Schedule'!$O$29)=0),IF('Recurring Schedule'!$E$29="Weekdays",WEEKDAY($A294,2)&lt;=5,$A294='Recurring Schedule'!$F$29))),24,""))))</f>
        <v/>
      </c>
      <c r="Z294">
        <f>IF('Recurring Schedule'!$C$30="","",IF('Recurring Schedule'!$F$30="","",IF(OR($A294&lt;'Recurring Schedule'!$F$30,$A294&gt;'Recurring Schedule'!$P$30),"",IF(IF('Recurring Schedule'!$N$30&gt;0,MOD($A294-'Recurring Schedule'!$F$30,'Recurring Schedule'!$N$30)=0,IF('Recurring Schedule'!$O$30&gt;0,AND(DAY($A294)=MIN(DAY('Recurring Schedule'!$F$30),DAY(EOMONTH($A294,0))),MOD((YEAR($A294)-YEAR('Recurring Schedule'!$F$30))*12+MONTH($A294)-MONTH('Recurring Schedule'!$F$30),'Recurring Schedule'!$O$30)=0),IF('Recurring Schedule'!$E$30="Weekdays",WEEKDAY($A294,2)&lt;=5,$A294='Recurring Schedule'!$F$30))),25,""))))</f>
        <v/>
      </c>
      <c r="AA294">
        <f>IF('Recurring Schedule'!$C$31="","",IF('Recurring Schedule'!$F$31="","",IF(OR($A294&lt;'Recurring Schedule'!$F$31,$A294&gt;'Recurring Schedule'!$P$31),"",IF(IF('Recurring Schedule'!$N$31&gt;0,MOD($A294-'Recurring Schedule'!$F$31,'Recurring Schedule'!$N$31)=0,IF('Recurring Schedule'!$O$31&gt;0,AND(DAY($A294)=MIN(DAY('Recurring Schedule'!$F$31),DAY(EOMONTH($A294,0))),MOD((YEAR($A294)-YEAR('Recurring Schedule'!$F$31))*12+MONTH($A294)-MONTH('Recurring Schedule'!$F$31),'Recurring Schedule'!$O$31)=0),IF('Recurring Schedule'!$E$31="Weekdays",WEEKDAY($A294,2)&lt;=5,$A294='Recurring Schedule'!$F$31))),26,""))))</f>
        <v/>
      </c>
      <c r="AB294">
        <f>IF('Recurring Schedule'!$C$32="","",IF('Recurring Schedule'!$F$32="","",IF(OR($A294&lt;'Recurring Schedule'!$F$32,$A294&gt;'Recurring Schedule'!$P$32),"",IF(IF('Recurring Schedule'!$N$32&gt;0,MOD($A294-'Recurring Schedule'!$F$32,'Recurring Schedule'!$N$32)=0,IF('Recurring Schedule'!$O$32&gt;0,AND(DAY($A294)=MIN(DAY('Recurring Schedule'!$F$32),DAY(EOMONTH($A294,0))),MOD((YEAR($A294)-YEAR('Recurring Schedule'!$F$32))*12+MONTH($A294)-MONTH('Recurring Schedule'!$F$32),'Recurring Schedule'!$O$32)=0),IF('Recurring Schedule'!$E$32="Weekdays",WEEKDAY($A294,2)&lt;=5,$A294='Recurring Schedule'!$F$32))),27,""))))</f>
        <v/>
      </c>
      <c r="AC294">
        <f>IF('Recurring Schedule'!$C$33="","",IF('Recurring Schedule'!$F$33="","",IF(OR($A294&lt;'Recurring Schedule'!$F$33,$A294&gt;'Recurring Schedule'!$P$33),"",IF(IF('Recurring Schedule'!$N$33&gt;0,MOD($A294-'Recurring Schedule'!$F$33,'Recurring Schedule'!$N$33)=0,IF('Recurring Schedule'!$O$33&gt;0,AND(DAY($A294)=MIN(DAY('Recurring Schedule'!$F$33),DAY(EOMONTH($A294,0))),MOD((YEAR($A294)-YEAR('Recurring Schedule'!$F$33))*12+MONTH($A294)-MONTH('Recurring Schedule'!$F$33),'Recurring Schedule'!$O$33)=0),IF('Recurring Schedule'!$E$33="Weekdays",WEEKDAY($A294,2)&lt;=5,$A294='Recurring Schedule'!$F$33))),28,""))))</f>
        <v/>
      </c>
      <c r="AD294">
        <f>IF('Recurring Schedule'!$C$34="","",IF('Recurring Schedule'!$F$34="","",IF(OR($A294&lt;'Recurring Schedule'!$F$34,$A294&gt;'Recurring Schedule'!$P$34),"",IF(IF('Recurring Schedule'!$N$34&gt;0,MOD($A294-'Recurring Schedule'!$F$34,'Recurring Schedule'!$N$34)=0,IF('Recurring Schedule'!$O$34&gt;0,AND(DAY($A294)=MIN(DAY('Recurring Schedule'!$F$34),DAY(EOMONTH($A294,0))),MOD((YEAR($A294)-YEAR('Recurring Schedule'!$F$34))*12+MONTH($A294)-MONTH('Recurring Schedule'!$F$34),'Recurring Schedule'!$O$34)=0),IF('Recurring Schedule'!$E$34="Weekdays",WEEKDAY($A294,2)&lt;=5,$A294='Recurring Schedule'!$F$34))),29,""))))</f>
        <v/>
      </c>
      <c r="AE294">
        <f>IF('Recurring Schedule'!$C$35="","",IF('Recurring Schedule'!$F$35="","",IF(OR($A294&lt;'Recurring Schedule'!$F$35,$A294&gt;'Recurring Schedule'!$P$35),"",IF(IF('Recurring Schedule'!$N$35&gt;0,MOD($A294-'Recurring Schedule'!$F$35,'Recurring Schedule'!$N$35)=0,IF('Recurring Schedule'!$O$35&gt;0,AND(DAY($A294)=MIN(DAY('Recurring Schedule'!$F$35),DAY(EOMONTH($A294,0))),MOD((YEAR($A294)-YEAR('Recurring Schedule'!$F$35))*12+MONTH($A294)-MONTH('Recurring Schedule'!$F$35),'Recurring Schedule'!$O$35)=0),IF('Recurring Schedule'!$E$35="Weekdays",WEEKDAY($A294,2)&lt;=5,$A294='Recurring Schedule'!$F$35))),30,""))))</f>
        <v/>
      </c>
      <c r="AF294">
        <f>IF('Recurring Schedule'!$C$36="","",IF('Recurring Schedule'!$F$36="","",IF(OR($A294&lt;'Recurring Schedule'!$F$36,$A294&gt;'Recurring Schedule'!$P$36),"",IF(IF('Recurring Schedule'!$N$36&gt;0,MOD($A294-'Recurring Schedule'!$F$36,'Recurring Schedule'!$N$36)=0,IF('Recurring Schedule'!$O$36&gt;0,AND(DAY($A294)=MIN(DAY('Recurring Schedule'!$F$36),DAY(EOMONTH($A294,0))),MOD((YEAR($A294)-YEAR('Recurring Schedule'!$F$36))*12+MONTH($A294)-MONTH('Recurring Schedule'!$F$36),'Recurring Schedule'!$O$36)=0),IF('Recurring Schedule'!$E$36="Weekdays",WEEKDAY($A294,2)&lt;=5,$A294='Recurring Schedule'!$F$36))),31,""))))</f>
        <v/>
      </c>
      <c r="AG294">
        <f>IF('Recurring Schedule'!$C$37="","",IF('Recurring Schedule'!$F$37="","",IF(OR($A294&lt;'Recurring Schedule'!$F$37,$A294&gt;'Recurring Schedule'!$P$37),"",IF(IF('Recurring Schedule'!$N$37&gt;0,MOD($A294-'Recurring Schedule'!$F$37,'Recurring Schedule'!$N$37)=0,IF('Recurring Schedule'!$O$37&gt;0,AND(DAY($A294)=MIN(DAY('Recurring Schedule'!$F$37),DAY(EOMONTH($A294,0))),MOD((YEAR($A294)-YEAR('Recurring Schedule'!$F$37))*12+MONTH($A294)-MONTH('Recurring Schedule'!$F$37),'Recurring Schedule'!$O$37)=0),IF('Recurring Schedule'!$E$37="Weekdays",WEEKDAY($A294,2)&lt;=5,$A294='Recurring Schedule'!$F$37))),32,""))))</f>
        <v/>
      </c>
      <c r="AH294">
        <f>IF('Recurring Schedule'!$C$38="","",IF('Recurring Schedule'!$F$38="","",IF(OR($A294&lt;'Recurring Schedule'!$F$38,$A294&gt;'Recurring Schedule'!$P$38),"",IF(IF('Recurring Schedule'!$N$38&gt;0,MOD($A294-'Recurring Schedule'!$F$38,'Recurring Schedule'!$N$38)=0,IF('Recurring Schedule'!$O$38&gt;0,AND(DAY($A294)=MIN(DAY('Recurring Schedule'!$F$38),DAY(EOMONTH($A294,0))),MOD((YEAR($A294)-YEAR('Recurring Schedule'!$F$38))*12+MONTH($A294)-MONTH('Recurring Schedule'!$F$38),'Recurring Schedule'!$O$38)=0),IF('Recurring Schedule'!$E$38="Weekdays",WEEKDAY($A294,2)&lt;=5,$A294='Recurring Schedule'!$F$38))),33,""))))</f>
        <v/>
      </c>
      <c r="AI294">
        <f>IF('Recurring Schedule'!$C$39="","",IF('Recurring Schedule'!$F$39="","",IF(OR($A294&lt;'Recurring Schedule'!$F$39,$A294&gt;'Recurring Schedule'!$P$39),"",IF(IF('Recurring Schedule'!$N$39&gt;0,MOD($A294-'Recurring Schedule'!$F$39,'Recurring Schedule'!$N$39)=0,IF('Recurring Schedule'!$O$39&gt;0,AND(DAY($A294)=MIN(DAY('Recurring Schedule'!$F$39),DAY(EOMONTH($A294,0))),MOD((YEAR($A294)-YEAR('Recurring Schedule'!$F$39))*12+MONTH($A294)-MONTH('Recurring Schedule'!$F$39),'Recurring Schedule'!$O$39)=0),IF('Recurring Schedule'!$E$39="Weekdays",WEEKDAY($A294,2)&lt;=5,$A294='Recurring Schedule'!$F$39))),34,""))))</f>
        <v/>
      </c>
      <c r="AJ294">
        <f>IF('Recurring Schedule'!$C$40="","",IF('Recurring Schedule'!$F$40="","",IF(OR($A294&lt;'Recurring Schedule'!$F$40,$A294&gt;'Recurring Schedule'!$P$40),"",IF(IF('Recurring Schedule'!$N$40&gt;0,MOD($A294-'Recurring Schedule'!$F$40,'Recurring Schedule'!$N$40)=0,IF('Recurring Schedule'!$O$40&gt;0,AND(DAY($A294)=MIN(DAY('Recurring Schedule'!$F$40),DAY(EOMONTH($A294,0))),MOD((YEAR($A294)-YEAR('Recurring Schedule'!$F$40))*12+MONTH($A294)-MONTH('Recurring Schedule'!$F$40),'Recurring Schedule'!$O$40)=0),IF('Recurring Schedule'!$E$40="Weekdays",WEEKDAY($A294,2)&lt;=5,$A294='Recurring Schedule'!$F$40))),35,""))))</f>
        <v/>
      </c>
      <c r="AK294">
        <f>IF('Recurring Schedule'!$C$41="","",IF('Recurring Schedule'!$F$41="","",IF(OR($A294&lt;'Recurring Schedule'!$F$41,$A294&gt;'Recurring Schedule'!$P$41),"",IF(IF('Recurring Schedule'!$N$41&gt;0,MOD($A294-'Recurring Schedule'!$F$41,'Recurring Schedule'!$N$41)=0,IF('Recurring Schedule'!$O$41&gt;0,AND(DAY($A294)=MIN(DAY('Recurring Schedule'!$F$41),DAY(EOMONTH($A294,0))),MOD((YEAR($A294)-YEAR('Recurring Schedule'!$F$41))*12+MONTH($A294)-MONTH('Recurring Schedule'!$F$41),'Recurring Schedule'!$O$41)=0),IF('Recurring Schedule'!$E$41="Weekdays",WEEKDAY($A294,2)&lt;=5,$A294='Recurring Schedule'!$F$41))),36,""))))</f>
        <v/>
      </c>
      <c r="AL294">
        <f>IF('Recurring Schedule'!$C$42="","",IF('Recurring Schedule'!$F$42="","",IF(OR($A294&lt;'Recurring Schedule'!$F$42,$A294&gt;'Recurring Schedule'!$P$42),"",IF(IF('Recurring Schedule'!$N$42&gt;0,MOD($A294-'Recurring Schedule'!$F$42,'Recurring Schedule'!$N$42)=0,IF('Recurring Schedule'!$O$42&gt;0,AND(DAY($A294)=MIN(DAY('Recurring Schedule'!$F$42),DAY(EOMONTH($A294,0))),MOD((YEAR($A294)-YEAR('Recurring Schedule'!$F$42))*12+MONTH($A294)-MONTH('Recurring Schedule'!$F$42),'Recurring Schedule'!$O$42)=0),IF('Recurring Schedule'!$E$42="Weekdays",WEEKDAY($A294,2)&lt;=5,$A294='Recurring Schedule'!$F$42))),37,""))))</f>
        <v/>
      </c>
      <c r="AM294">
        <f>IF('Recurring Schedule'!$C$43="","",IF('Recurring Schedule'!$F$43="","",IF(OR($A294&lt;'Recurring Schedule'!$F$43,$A294&gt;'Recurring Schedule'!$P$43),"",IF(IF('Recurring Schedule'!$N$43&gt;0,MOD($A294-'Recurring Schedule'!$F$43,'Recurring Schedule'!$N$43)=0,IF('Recurring Schedule'!$O$43&gt;0,AND(DAY($A294)=MIN(DAY('Recurring Schedule'!$F$43),DAY(EOMONTH($A294,0))),MOD((YEAR($A294)-YEAR('Recurring Schedule'!$F$43))*12+MONTH($A294)-MONTH('Recurring Schedule'!$F$43),'Recurring Schedule'!$O$43)=0),IF('Recurring Schedule'!$E$43="Weekdays",WEEKDAY($A294,2)&lt;=5,$A294='Recurring Schedule'!$F$43))),38,""))))</f>
        <v/>
      </c>
      <c r="AN294">
        <f>IF('Recurring Schedule'!$C$44="","",IF('Recurring Schedule'!$F$44="","",IF(OR($A294&lt;'Recurring Schedule'!$F$44,$A294&gt;'Recurring Schedule'!$P$44),"",IF(IF('Recurring Schedule'!$N$44&gt;0,MOD($A294-'Recurring Schedule'!$F$44,'Recurring Schedule'!$N$44)=0,IF('Recurring Schedule'!$O$44&gt;0,AND(DAY($A294)=MIN(DAY('Recurring Schedule'!$F$44),DAY(EOMONTH($A294,0))),MOD((YEAR($A294)-YEAR('Recurring Schedule'!$F$44))*12+MONTH($A294)-MONTH('Recurring Schedule'!$F$44),'Recurring Schedule'!$O$44)=0),IF('Recurring Schedule'!$E$44="Weekdays",WEEKDAY($A294,2)&lt;=5,$A294='Recurring Schedule'!$F$44))),39,""))))</f>
        <v/>
      </c>
      <c r="AO294">
        <f>IF('Recurring Schedule'!$C$45="","",IF('Recurring Schedule'!$F$45="","",IF(OR($A294&lt;'Recurring Schedule'!$F$45,$A294&gt;'Recurring Schedule'!$P$45),"",IF(IF('Recurring Schedule'!$N$45&gt;0,MOD($A294-'Recurring Schedule'!$F$45,'Recurring Schedule'!$N$45)=0,IF('Recurring Schedule'!$O$45&gt;0,AND(DAY($A294)=MIN(DAY('Recurring Schedule'!$F$45),DAY(EOMONTH($A294,0))),MOD((YEAR($A294)-YEAR('Recurring Schedule'!$F$45))*12+MONTH($A294)-MONTH('Recurring Schedule'!$F$45),'Recurring Schedule'!$O$45)=0),IF('Recurring Schedule'!$E$45="Weekdays",WEEKDAY($A294,2)&lt;=5,$A294='Recurring Schedule'!$F$45))),40,""))))</f>
        <v/>
      </c>
      <c r="AP294">
        <f>COUNT(B294:AO294)</f>
        <v/>
      </c>
      <c r="AQ294">
        <f>AQ293+AP293</f>
        <v/>
      </c>
      <c r="AS294" t="inlineStr">
        <is>
          <t>R</t>
        </is>
      </c>
      <c r="AT294" t="n">
        <v>298</v>
      </c>
      <c r="AU294">
        <f>'Recurring Log'!C298&amp;""</f>
        <v/>
      </c>
      <c r="AV294">
        <f>'Recurring Log'!D298&amp;""</f>
        <v/>
      </c>
      <c r="AW294">
        <f>IF('Recurring Log'!E298="","",'Recurring Log'!E298)</f>
        <v/>
      </c>
      <c r="AX294">
        <f>IF('Recurring Log'!G298="","",'Recurring Log'!G298)</f>
        <v/>
      </c>
      <c r="AY294">
        <f>IF('Recurring Log'!H298="","",'Recurring Log'!H298)</f>
        <v/>
      </c>
      <c r="AZ294">
        <f>IF(AU294="","",IF('Recurring Log'!J298="","Not Started",'Recurring Log'!J298))</f>
        <v/>
      </c>
      <c r="BA294">
        <f>'Recurring Log'!L298&amp;""</f>
        <v/>
      </c>
      <c r="BB294">
        <f>'Recurring Log'!M298&amp;""</f>
        <v/>
      </c>
      <c r="BC294">
        <f>'Recurring Log'!N298&amp;""</f>
        <v/>
      </c>
      <c r="BD294">
        <f>'Recurring Log'!O298&amp;""</f>
        <v/>
      </c>
      <c r="BE294">
        <f>IF('Recurring Log'!K298="","",'Recurring Log'!K298)</f>
        <v/>
      </c>
      <c r="BF294">
        <f>IFERROR(MATCH(BA294,Setup!$L$6:$L$9,0),5)</f>
        <v/>
      </c>
      <c r="BG294">
        <f>IF(OR(AZ294="Done",AZ294="Cancelled"),1,0)</f>
        <v/>
      </c>
      <c r="BH294">
        <f>IF(AND(AU294&lt;&gt;"",ISNUMBER(AW294)),1,0)</f>
        <v/>
      </c>
      <c r="BI294">
        <f>IF(BH294=0,0,IF(AND(AW294&gt;='Tasks Filter'!$F$3,AW294&lt;='Tasks Filter'!$F$4,OR('Tasks Filter'!$I$3="",ISNUMBER(SEARCH('Tasks Filter'!$I$3,AU294))),OR('Tasks Filter'!$I$4="",BF294=IFERROR(MATCH('Tasks Filter'!$I$4,Setup!$L$6:$L$9,0),0)),OR('Tasks Filter'!$I$5="Both",AND('Tasks Filter'!$I$5="Yes",BB294="✓"),AND('Tasks Filter'!$I$5="No",BB294&lt;&gt;"✓")),OR('Tasks Filter'!$L$3="",AV294='Tasks Filter'!$L$3),OR('Tasks Filter'!$L$4="",AZ294='Tasks Filter'!$L$4),OR('Tasks Filter'!$L$5="",BC294='Tasks Filter'!$L$5),OR('Tasks Filter'!$O$3="",BD294='Tasks Filter'!$O$3),OR('Tasks Filter'!$O$4="Yes",BG294=0)),1,0))</f>
        <v/>
      </c>
      <c r="BJ294">
        <f>IF(BH294=0,"",IF('Tasks Filter'!$F$6="Descending",-1,1)*CHOOSE(MATCH('Tasks Filter'!$F$5,Lists!$G$2:$G$6,0),AW294,BF294,IFERROR(MATCH(AV294,Setup!$F$6:$F$15,0),99),IFERROR(MATCH(BC294,Setup!$H$6:$H$15,0),99),IFERROR(MATCH(AZ294,Setup!$J$6:$J$11,0),99))*1E+9+(AW294-40000)*10000+293)</f>
        <v/>
      </c>
      <c r="BK294">
        <f>IF(BI294=1,BJ294,"")</f>
        <v/>
      </c>
      <c r="BL294">
        <f>IF(AND(BH294=1,BG294=0,N(AW294)&lt;Setup!$D$7),(AW294-40000)*10000+293,"")</f>
        <v/>
      </c>
      <c r="BM294">
        <f>IF(AND(BH294=1,AZ294&lt;&gt;"Cancelled",N(AW294)&gt;=Dashboard!$AB$3,N(AW294)&lt;=Dashboard!$AB$3+6),(AW294-40000)*100000+BF294*10000+293,"")</f>
        <v/>
      </c>
      <c r="BN294">
        <f>IF(AND(BH294=1,AZ294&lt;&gt;"Cancelled"),BF294*10000+293,"")</f>
        <v/>
      </c>
    </row>
    <row r="295">
      <c r="A295">
        <f>Setup!$D$5+293</f>
        <v/>
      </c>
      <c r="B295">
        <f>IF('Recurring Schedule'!$C$6="","",IF('Recurring Schedule'!$F$6="","",IF(OR($A295&lt;'Recurring Schedule'!$F$6,$A295&gt;'Recurring Schedule'!$P$6),"",IF(IF('Recurring Schedule'!$N$6&gt;0,MOD($A295-'Recurring Schedule'!$F$6,'Recurring Schedule'!$N$6)=0,IF('Recurring Schedule'!$O$6&gt;0,AND(DAY($A295)=MIN(DAY('Recurring Schedule'!$F$6),DAY(EOMONTH($A295,0))),MOD((YEAR($A295)-YEAR('Recurring Schedule'!$F$6))*12+MONTH($A295)-MONTH('Recurring Schedule'!$F$6),'Recurring Schedule'!$O$6)=0),IF('Recurring Schedule'!$E$6="Weekdays",WEEKDAY($A295,2)&lt;=5,$A295='Recurring Schedule'!$F$6))),1,""))))</f>
        <v/>
      </c>
      <c r="C295">
        <f>IF('Recurring Schedule'!$C$7="","",IF('Recurring Schedule'!$F$7="","",IF(OR($A295&lt;'Recurring Schedule'!$F$7,$A295&gt;'Recurring Schedule'!$P$7),"",IF(IF('Recurring Schedule'!$N$7&gt;0,MOD($A295-'Recurring Schedule'!$F$7,'Recurring Schedule'!$N$7)=0,IF('Recurring Schedule'!$O$7&gt;0,AND(DAY($A295)=MIN(DAY('Recurring Schedule'!$F$7),DAY(EOMONTH($A295,0))),MOD((YEAR($A295)-YEAR('Recurring Schedule'!$F$7))*12+MONTH($A295)-MONTH('Recurring Schedule'!$F$7),'Recurring Schedule'!$O$7)=0),IF('Recurring Schedule'!$E$7="Weekdays",WEEKDAY($A295,2)&lt;=5,$A295='Recurring Schedule'!$F$7))),2,""))))</f>
        <v/>
      </c>
      <c r="D295">
        <f>IF('Recurring Schedule'!$C$8="","",IF('Recurring Schedule'!$F$8="","",IF(OR($A295&lt;'Recurring Schedule'!$F$8,$A295&gt;'Recurring Schedule'!$P$8),"",IF(IF('Recurring Schedule'!$N$8&gt;0,MOD($A295-'Recurring Schedule'!$F$8,'Recurring Schedule'!$N$8)=0,IF('Recurring Schedule'!$O$8&gt;0,AND(DAY($A295)=MIN(DAY('Recurring Schedule'!$F$8),DAY(EOMONTH($A295,0))),MOD((YEAR($A295)-YEAR('Recurring Schedule'!$F$8))*12+MONTH($A295)-MONTH('Recurring Schedule'!$F$8),'Recurring Schedule'!$O$8)=0),IF('Recurring Schedule'!$E$8="Weekdays",WEEKDAY($A295,2)&lt;=5,$A295='Recurring Schedule'!$F$8))),3,""))))</f>
        <v/>
      </c>
      <c r="E295">
        <f>IF('Recurring Schedule'!$C$9="","",IF('Recurring Schedule'!$F$9="","",IF(OR($A295&lt;'Recurring Schedule'!$F$9,$A295&gt;'Recurring Schedule'!$P$9),"",IF(IF('Recurring Schedule'!$N$9&gt;0,MOD($A295-'Recurring Schedule'!$F$9,'Recurring Schedule'!$N$9)=0,IF('Recurring Schedule'!$O$9&gt;0,AND(DAY($A295)=MIN(DAY('Recurring Schedule'!$F$9),DAY(EOMONTH($A295,0))),MOD((YEAR($A295)-YEAR('Recurring Schedule'!$F$9))*12+MONTH($A295)-MONTH('Recurring Schedule'!$F$9),'Recurring Schedule'!$O$9)=0),IF('Recurring Schedule'!$E$9="Weekdays",WEEKDAY($A295,2)&lt;=5,$A295='Recurring Schedule'!$F$9))),4,""))))</f>
        <v/>
      </c>
      <c r="F295">
        <f>IF('Recurring Schedule'!$C$10="","",IF('Recurring Schedule'!$F$10="","",IF(OR($A295&lt;'Recurring Schedule'!$F$10,$A295&gt;'Recurring Schedule'!$P$10),"",IF(IF('Recurring Schedule'!$N$10&gt;0,MOD($A295-'Recurring Schedule'!$F$10,'Recurring Schedule'!$N$10)=0,IF('Recurring Schedule'!$O$10&gt;0,AND(DAY($A295)=MIN(DAY('Recurring Schedule'!$F$10),DAY(EOMONTH($A295,0))),MOD((YEAR($A295)-YEAR('Recurring Schedule'!$F$10))*12+MONTH($A295)-MONTH('Recurring Schedule'!$F$10),'Recurring Schedule'!$O$10)=0),IF('Recurring Schedule'!$E$10="Weekdays",WEEKDAY($A295,2)&lt;=5,$A295='Recurring Schedule'!$F$10))),5,""))))</f>
        <v/>
      </c>
      <c r="G295">
        <f>IF('Recurring Schedule'!$C$11="","",IF('Recurring Schedule'!$F$11="","",IF(OR($A295&lt;'Recurring Schedule'!$F$11,$A295&gt;'Recurring Schedule'!$P$11),"",IF(IF('Recurring Schedule'!$N$11&gt;0,MOD($A295-'Recurring Schedule'!$F$11,'Recurring Schedule'!$N$11)=0,IF('Recurring Schedule'!$O$11&gt;0,AND(DAY($A295)=MIN(DAY('Recurring Schedule'!$F$11),DAY(EOMONTH($A295,0))),MOD((YEAR($A295)-YEAR('Recurring Schedule'!$F$11))*12+MONTH($A295)-MONTH('Recurring Schedule'!$F$11),'Recurring Schedule'!$O$11)=0),IF('Recurring Schedule'!$E$11="Weekdays",WEEKDAY($A295,2)&lt;=5,$A295='Recurring Schedule'!$F$11))),6,""))))</f>
        <v/>
      </c>
      <c r="H295">
        <f>IF('Recurring Schedule'!$C$12="","",IF('Recurring Schedule'!$F$12="","",IF(OR($A295&lt;'Recurring Schedule'!$F$12,$A295&gt;'Recurring Schedule'!$P$12),"",IF(IF('Recurring Schedule'!$N$12&gt;0,MOD($A295-'Recurring Schedule'!$F$12,'Recurring Schedule'!$N$12)=0,IF('Recurring Schedule'!$O$12&gt;0,AND(DAY($A295)=MIN(DAY('Recurring Schedule'!$F$12),DAY(EOMONTH($A295,0))),MOD((YEAR($A295)-YEAR('Recurring Schedule'!$F$12))*12+MONTH($A295)-MONTH('Recurring Schedule'!$F$12),'Recurring Schedule'!$O$12)=0),IF('Recurring Schedule'!$E$12="Weekdays",WEEKDAY($A295,2)&lt;=5,$A295='Recurring Schedule'!$F$12))),7,""))))</f>
        <v/>
      </c>
      <c r="I295">
        <f>IF('Recurring Schedule'!$C$13="","",IF('Recurring Schedule'!$F$13="","",IF(OR($A295&lt;'Recurring Schedule'!$F$13,$A295&gt;'Recurring Schedule'!$P$13),"",IF(IF('Recurring Schedule'!$N$13&gt;0,MOD($A295-'Recurring Schedule'!$F$13,'Recurring Schedule'!$N$13)=0,IF('Recurring Schedule'!$O$13&gt;0,AND(DAY($A295)=MIN(DAY('Recurring Schedule'!$F$13),DAY(EOMONTH($A295,0))),MOD((YEAR($A295)-YEAR('Recurring Schedule'!$F$13))*12+MONTH($A295)-MONTH('Recurring Schedule'!$F$13),'Recurring Schedule'!$O$13)=0),IF('Recurring Schedule'!$E$13="Weekdays",WEEKDAY($A295,2)&lt;=5,$A295='Recurring Schedule'!$F$13))),8,""))))</f>
        <v/>
      </c>
      <c r="J295">
        <f>IF('Recurring Schedule'!$C$14="","",IF('Recurring Schedule'!$F$14="","",IF(OR($A295&lt;'Recurring Schedule'!$F$14,$A295&gt;'Recurring Schedule'!$P$14),"",IF(IF('Recurring Schedule'!$N$14&gt;0,MOD($A295-'Recurring Schedule'!$F$14,'Recurring Schedule'!$N$14)=0,IF('Recurring Schedule'!$O$14&gt;0,AND(DAY($A295)=MIN(DAY('Recurring Schedule'!$F$14),DAY(EOMONTH($A295,0))),MOD((YEAR($A295)-YEAR('Recurring Schedule'!$F$14))*12+MONTH($A295)-MONTH('Recurring Schedule'!$F$14),'Recurring Schedule'!$O$14)=0),IF('Recurring Schedule'!$E$14="Weekdays",WEEKDAY($A295,2)&lt;=5,$A295='Recurring Schedule'!$F$14))),9,""))))</f>
        <v/>
      </c>
      <c r="K295">
        <f>IF('Recurring Schedule'!$C$15="","",IF('Recurring Schedule'!$F$15="","",IF(OR($A295&lt;'Recurring Schedule'!$F$15,$A295&gt;'Recurring Schedule'!$P$15),"",IF(IF('Recurring Schedule'!$N$15&gt;0,MOD($A295-'Recurring Schedule'!$F$15,'Recurring Schedule'!$N$15)=0,IF('Recurring Schedule'!$O$15&gt;0,AND(DAY($A295)=MIN(DAY('Recurring Schedule'!$F$15),DAY(EOMONTH($A295,0))),MOD((YEAR($A295)-YEAR('Recurring Schedule'!$F$15))*12+MONTH($A295)-MONTH('Recurring Schedule'!$F$15),'Recurring Schedule'!$O$15)=0),IF('Recurring Schedule'!$E$15="Weekdays",WEEKDAY($A295,2)&lt;=5,$A295='Recurring Schedule'!$F$15))),10,""))))</f>
        <v/>
      </c>
      <c r="L295">
        <f>IF('Recurring Schedule'!$C$16="","",IF('Recurring Schedule'!$F$16="","",IF(OR($A295&lt;'Recurring Schedule'!$F$16,$A295&gt;'Recurring Schedule'!$P$16),"",IF(IF('Recurring Schedule'!$N$16&gt;0,MOD($A295-'Recurring Schedule'!$F$16,'Recurring Schedule'!$N$16)=0,IF('Recurring Schedule'!$O$16&gt;0,AND(DAY($A295)=MIN(DAY('Recurring Schedule'!$F$16),DAY(EOMONTH($A295,0))),MOD((YEAR($A295)-YEAR('Recurring Schedule'!$F$16))*12+MONTH($A295)-MONTH('Recurring Schedule'!$F$16),'Recurring Schedule'!$O$16)=0),IF('Recurring Schedule'!$E$16="Weekdays",WEEKDAY($A295,2)&lt;=5,$A295='Recurring Schedule'!$F$16))),11,""))))</f>
        <v/>
      </c>
      <c r="M295">
        <f>IF('Recurring Schedule'!$C$17="","",IF('Recurring Schedule'!$F$17="","",IF(OR($A295&lt;'Recurring Schedule'!$F$17,$A295&gt;'Recurring Schedule'!$P$17),"",IF(IF('Recurring Schedule'!$N$17&gt;0,MOD($A295-'Recurring Schedule'!$F$17,'Recurring Schedule'!$N$17)=0,IF('Recurring Schedule'!$O$17&gt;0,AND(DAY($A295)=MIN(DAY('Recurring Schedule'!$F$17),DAY(EOMONTH($A295,0))),MOD((YEAR($A295)-YEAR('Recurring Schedule'!$F$17))*12+MONTH($A295)-MONTH('Recurring Schedule'!$F$17),'Recurring Schedule'!$O$17)=0),IF('Recurring Schedule'!$E$17="Weekdays",WEEKDAY($A295,2)&lt;=5,$A295='Recurring Schedule'!$F$17))),12,""))))</f>
        <v/>
      </c>
      <c r="N295">
        <f>IF('Recurring Schedule'!$C$18="","",IF('Recurring Schedule'!$F$18="","",IF(OR($A295&lt;'Recurring Schedule'!$F$18,$A295&gt;'Recurring Schedule'!$P$18),"",IF(IF('Recurring Schedule'!$N$18&gt;0,MOD($A295-'Recurring Schedule'!$F$18,'Recurring Schedule'!$N$18)=0,IF('Recurring Schedule'!$O$18&gt;0,AND(DAY($A295)=MIN(DAY('Recurring Schedule'!$F$18),DAY(EOMONTH($A295,0))),MOD((YEAR($A295)-YEAR('Recurring Schedule'!$F$18))*12+MONTH($A295)-MONTH('Recurring Schedule'!$F$18),'Recurring Schedule'!$O$18)=0),IF('Recurring Schedule'!$E$18="Weekdays",WEEKDAY($A295,2)&lt;=5,$A295='Recurring Schedule'!$F$18))),13,""))))</f>
        <v/>
      </c>
      <c r="O295">
        <f>IF('Recurring Schedule'!$C$19="","",IF('Recurring Schedule'!$F$19="","",IF(OR($A295&lt;'Recurring Schedule'!$F$19,$A295&gt;'Recurring Schedule'!$P$19),"",IF(IF('Recurring Schedule'!$N$19&gt;0,MOD($A295-'Recurring Schedule'!$F$19,'Recurring Schedule'!$N$19)=0,IF('Recurring Schedule'!$O$19&gt;0,AND(DAY($A295)=MIN(DAY('Recurring Schedule'!$F$19),DAY(EOMONTH($A295,0))),MOD((YEAR($A295)-YEAR('Recurring Schedule'!$F$19))*12+MONTH($A295)-MONTH('Recurring Schedule'!$F$19),'Recurring Schedule'!$O$19)=0),IF('Recurring Schedule'!$E$19="Weekdays",WEEKDAY($A295,2)&lt;=5,$A295='Recurring Schedule'!$F$19))),14,""))))</f>
        <v/>
      </c>
      <c r="P295">
        <f>IF('Recurring Schedule'!$C$20="","",IF('Recurring Schedule'!$F$20="","",IF(OR($A295&lt;'Recurring Schedule'!$F$20,$A295&gt;'Recurring Schedule'!$P$20),"",IF(IF('Recurring Schedule'!$N$20&gt;0,MOD($A295-'Recurring Schedule'!$F$20,'Recurring Schedule'!$N$20)=0,IF('Recurring Schedule'!$O$20&gt;0,AND(DAY($A295)=MIN(DAY('Recurring Schedule'!$F$20),DAY(EOMONTH($A295,0))),MOD((YEAR($A295)-YEAR('Recurring Schedule'!$F$20))*12+MONTH($A295)-MONTH('Recurring Schedule'!$F$20),'Recurring Schedule'!$O$20)=0),IF('Recurring Schedule'!$E$20="Weekdays",WEEKDAY($A295,2)&lt;=5,$A295='Recurring Schedule'!$F$20))),15,""))))</f>
        <v/>
      </c>
      <c r="Q295">
        <f>IF('Recurring Schedule'!$C$21="","",IF('Recurring Schedule'!$F$21="","",IF(OR($A295&lt;'Recurring Schedule'!$F$21,$A295&gt;'Recurring Schedule'!$P$21),"",IF(IF('Recurring Schedule'!$N$21&gt;0,MOD($A295-'Recurring Schedule'!$F$21,'Recurring Schedule'!$N$21)=0,IF('Recurring Schedule'!$O$21&gt;0,AND(DAY($A295)=MIN(DAY('Recurring Schedule'!$F$21),DAY(EOMONTH($A295,0))),MOD((YEAR($A295)-YEAR('Recurring Schedule'!$F$21))*12+MONTH($A295)-MONTH('Recurring Schedule'!$F$21),'Recurring Schedule'!$O$21)=0),IF('Recurring Schedule'!$E$21="Weekdays",WEEKDAY($A295,2)&lt;=5,$A295='Recurring Schedule'!$F$21))),16,""))))</f>
        <v/>
      </c>
      <c r="R295">
        <f>IF('Recurring Schedule'!$C$22="","",IF('Recurring Schedule'!$F$22="","",IF(OR($A295&lt;'Recurring Schedule'!$F$22,$A295&gt;'Recurring Schedule'!$P$22),"",IF(IF('Recurring Schedule'!$N$22&gt;0,MOD($A295-'Recurring Schedule'!$F$22,'Recurring Schedule'!$N$22)=0,IF('Recurring Schedule'!$O$22&gt;0,AND(DAY($A295)=MIN(DAY('Recurring Schedule'!$F$22),DAY(EOMONTH($A295,0))),MOD((YEAR($A295)-YEAR('Recurring Schedule'!$F$22))*12+MONTH($A295)-MONTH('Recurring Schedule'!$F$22),'Recurring Schedule'!$O$22)=0),IF('Recurring Schedule'!$E$22="Weekdays",WEEKDAY($A295,2)&lt;=5,$A295='Recurring Schedule'!$F$22))),17,""))))</f>
        <v/>
      </c>
      <c r="S295">
        <f>IF('Recurring Schedule'!$C$23="","",IF('Recurring Schedule'!$F$23="","",IF(OR($A295&lt;'Recurring Schedule'!$F$23,$A295&gt;'Recurring Schedule'!$P$23),"",IF(IF('Recurring Schedule'!$N$23&gt;0,MOD($A295-'Recurring Schedule'!$F$23,'Recurring Schedule'!$N$23)=0,IF('Recurring Schedule'!$O$23&gt;0,AND(DAY($A295)=MIN(DAY('Recurring Schedule'!$F$23),DAY(EOMONTH($A295,0))),MOD((YEAR($A295)-YEAR('Recurring Schedule'!$F$23))*12+MONTH($A295)-MONTH('Recurring Schedule'!$F$23),'Recurring Schedule'!$O$23)=0),IF('Recurring Schedule'!$E$23="Weekdays",WEEKDAY($A295,2)&lt;=5,$A295='Recurring Schedule'!$F$23))),18,""))))</f>
        <v/>
      </c>
      <c r="T295">
        <f>IF('Recurring Schedule'!$C$24="","",IF('Recurring Schedule'!$F$24="","",IF(OR($A295&lt;'Recurring Schedule'!$F$24,$A295&gt;'Recurring Schedule'!$P$24),"",IF(IF('Recurring Schedule'!$N$24&gt;0,MOD($A295-'Recurring Schedule'!$F$24,'Recurring Schedule'!$N$24)=0,IF('Recurring Schedule'!$O$24&gt;0,AND(DAY($A295)=MIN(DAY('Recurring Schedule'!$F$24),DAY(EOMONTH($A295,0))),MOD((YEAR($A295)-YEAR('Recurring Schedule'!$F$24))*12+MONTH($A295)-MONTH('Recurring Schedule'!$F$24),'Recurring Schedule'!$O$24)=0),IF('Recurring Schedule'!$E$24="Weekdays",WEEKDAY($A295,2)&lt;=5,$A295='Recurring Schedule'!$F$24))),19,""))))</f>
        <v/>
      </c>
      <c r="U295">
        <f>IF('Recurring Schedule'!$C$25="","",IF('Recurring Schedule'!$F$25="","",IF(OR($A295&lt;'Recurring Schedule'!$F$25,$A295&gt;'Recurring Schedule'!$P$25),"",IF(IF('Recurring Schedule'!$N$25&gt;0,MOD($A295-'Recurring Schedule'!$F$25,'Recurring Schedule'!$N$25)=0,IF('Recurring Schedule'!$O$25&gt;0,AND(DAY($A295)=MIN(DAY('Recurring Schedule'!$F$25),DAY(EOMONTH($A295,0))),MOD((YEAR($A295)-YEAR('Recurring Schedule'!$F$25))*12+MONTH($A295)-MONTH('Recurring Schedule'!$F$25),'Recurring Schedule'!$O$25)=0),IF('Recurring Schedule'!$E$25="Weekdays",WEEKDAY($A295,2)&lt;=5,$A295='Recurring Schedule'!$F$25))),20,""))))</f>
        <v/>
      </c>
      <c r="V295">
        <f>IF('Recurring Schedule'!$C$26="","",IF('Recurring Schedule'!$F$26="","",IF(OR($A295&lt;'Recurring Schedule'!$F$26,$A295&gt;'Recurring Schedule'!$P$26),"",IF(IF('Recurring Schedule'!$N$26&gt;0,MOD($A295-'Recurring Schedule'!$F$26,'Recurring Schedule'!$N$26)=0,IF('Recurring Schedule'!$O$26&gt;0,AND(DAY($A295)=MIN(DAY('Recurring Schedule'!$F$26),DAY(EOMONTH($A295,0))),MOD((YEAR($A295)-YEAR('Recurring Schedule'!$F$26))*12+MONTH($A295)-MONTH('Recurring Schedule'!$F$26),'Recurring Schedule'!$O$26)=0),IF('Recurring Schedule'!$E$26="Weekdays",WEEKDAY($A295,2)&lt;=5,$A295='Recurring Schedule'!$F$26))),21,""))))</f>
        <v/>
      </c>
      <c r="W295">
        <f>IF('Recurring Schedule'!$C$27="","",IF('Recurring Schedule'!$F$27="","",IF(OR($A295&lt;'Recurring Schedule'!$F$27,$A295&gt;'Recurring Schedule'!$P$27),"",IF(IF('Recurring Schedule'!$N$27&gt;0,MOD($A295-'Recurring Schedule'!$F$27,'Recurring Schedule'!$N$27)=0,IF('Recurring Schedule'!$O$27&gt;0,AND(DAY($A295)=MIN(DAY('Recurring Schedule'!$F$27),DAY(EOMONTH($A295,0))),MOD((YEAR($A295)-YEAR('Recurring Schedule'!$F$27))*12+MONTH($A295)-MONTH('Recurring Schedule'!$F$27),'Recurring Schedule'!$O$27)=0),IF('Recurring Schedule'!$E$27="Weekdays",WEEKDAY($A295,2)&lt;=5,$A295='Recurring Schedule'!$F$27))),22,""))))</f>
        <v/>
      </c>
      <c r="X295">
        <f>IF('Recurring Schedule'!$C$28="","",IF('Recurring Schedule'!$F$28="","",IF(OR($A295&lt;'Recurring Schedule'!$F$28,$A295&gt;'Recurring Schedule'!$P$28),"",IF(IF('Recurring Schedule'!$N$28&gt;0,MOD($A295-'Recurring Schedule'!$F$28,'Recurring Schedule'!$N$28)=0,IF('Recurring Schedule'!$O$28&gt;0,AND(DAY($A295)=MIN(DAY('Recurring Schedule'!$F$28),DAY(EOMONTH($A295,0))),MOD((YEAR($A295)-YEAR('Recurring Schedule'!$F$28))*12+MONTH($A295)-MONTH('Recurring Schedule'!$F$28),'Recurring Schedule'!$O$28)=0),IF('Recurring Schedule'!$E$28="Weekdays",WEEKDAY($A295,2)&lt;=5,$A295='Recurring Schedule'!$F$28))),23,""))))</f>
        <v/>
      </c>
      <c r="Y295">
        <f>IF('Recurring Schedule'!$C$29="","",IF('Recurring Schedule'!$F$29="","",IF(OR($A295&lt;'Recurring Schedule'!$F$29,$A295&gt;'Recurring Schedule'!$P$29),"",IF(IF('Recurring Schedule'!$N$29&gt;0,MOD($A295-'Recurring Schedule'!$F$29,'Recurring Schedule'!$N$29)=0,IF('Recurring Schedule'!$O$29&gt;0,AND(DAY($A295)=MIN(DAY('Recurring Schedule'!$F$29),DAY(EOMONTH($A295,0))),MOD((YEAR($A295)-YEAR('Recurring Schedule'!$F$29))*12+MONTH($A295)-MONTH('Recurring Schedule'!$F$29),'Recurring Schedule'!$O$29)=0),IF('Recurring Schedule'!$E$29="Weekdays",WEEKDAY($A295,2)&lt;=5,$A295='Recurring Schedule'!$F$29))),24,""))))</f>
        <v/>
      </c>
      <c r="Z295">
        <f>IF('Recurring Schedule'!$C$30="","",IF('Recurring Schedule'!$F$30="","",IF(OR($A295&lt;'Recurring Schedule'!$F$30,$A295&gt;'Recurring Schedule'!$P$30),"",IF(IF('Recurring Schedule'!$N$30&gt;0,MOD($A295-'Recurring Schedule'!$F$30,'Recurring Schedule'!$N$30)=0,IF('Recurring Schedule'!$O$30&gt;0,AND(DAY($A295)=MIN(DAY('Recurring Schedule'!$F$30),DAY(EOMONTH($A295,0))),MOD((YEAR($A295)-YEAR('Recurring Schedule'!$F$30))*12+MONTH($A295)-MONTH('Recurring Schedule'!$F$30),'Recurring Schedule'!$O$30)=0),IF('Recurring Schedule'!$E$30="Weekdays",WEEKDAY($A295,2)&lt;=5,$A295='Recurring Schedule'!$F$30))),25,""))))</f>
        <v/>
      </c>
      <c r="AA295">
        <f>IF('Recurring Schedule'!$C$31="","",IF('Recurring Schedule'!$F$31="","",IF(OR($A295&lt;'Recurring Schedule'!$F$31,$A295&gt;'Recurring Schedule'!$P$31),"",IF(IF('Recurring Schedule'!$N$31&gt;0,MOD($A295-'Recurring Schedule'!$F$31,'Recurring Schedule'!$N$31)=0,IF('Recurring Schedule'!$O$31&gt;0,AND(DAY($A295)=MIN(DAY('Recurring Schedule'!$F$31),DAY(EOMONTH($A295,0))),MOD((YEAR($A295)-YEAR('Recurring Schedule'!$F$31))*12+MONTH($A295)-MONTH('Recurring Schedule'!$F$31),'Recurring Schedule'!$O$31)=0),IF('Recurring Schedule'!$E$31="Weekdays",WEEKDAY($A295,2)&lt;=5,$A295='Recurring Schedule'!$F$31))),26,""))))</f>
        <v/>
      </c>
      <c r="AB295">
        <f>IF('Recurring Schedule'!$C$32="","",IF('Recurring Schedule'!$F$32="","",IF(OR($A295&lt;'Recurring Schedule'!$F$32,$A295&gt;'Recurring Schedule'!$P$32),"",IF(IF('Recurring Schedule'!$N$32&gt;0,MOD($A295-'Recurring Schedule'!$F$32,'Recurring Schedule'!$N$32)=0,IF('Recurring Schedule'!$O$32&gt;0,AND(DAY($A295)=MIN(DAY('Recurring Schedule'!$F$32),DAY(EOMONTH($A295,0))),MOD((YEAR($A295)-YEAR('Recurring Schedule'!$F$32))*12+MONTH($A295)-MONTH('Recurring Schedule'!$F$32),'Recurring Schedule'!$O$32)=0),IF('Recurring Schedule'!$E$32="Weekdays",WEEKDAY($A295,2)&lt;=5,$A295='Recurring Schedule'!$F$32))),27,""))))</f>
        <v/>
      </c>
      <c r="AC295">
        <f>IF('Recurring Schedule'!$C$33="","",IF('Recurring Schedule'!$F$33="","",IF(OR($A295&lt;'Recurring Schedule'!$F$33,$A295&gt;'Recurring Schedule'!$P$33),"",IF(IF('Recurring Schedule'!$N$33&gt;0,MOD($A295-'Recurring Schedule'!$F$33,'Recurring Schedule'!$N$33)=0,IF('Recurring Schedule'!$O$33&gt;0,AND(DAY($A295)=MIN(DAY('Recurring Schedule'!$F$33),DAY(EOMONTH($A295,0))),MOD((YEAR($A295)-YEAR('Recurring Schedule'!$F$33))*12+MONTH($A295)-MONTH('Recurring Schedule'!$F$33),'Recurring Schedule'!$O$33)=0),IF('Recurring Schedule'!$E$33="Weekdays",WEEKDAY($A295,2)&lt;=5,$A295='Recurring Schedule'!$F$33))),28,""))))</f>
        <v/>
      </c>
      <c r="AD295">
        <f>IF('Recurring Schedule'!$C$34="","",IF('Recurring Schedule'!$F$34="","",IF(OR($A295&lt;'Recurring Schedule'!$F$34,$A295&gt;'Recurring Schedule'!$P$34),"",IF(IF('Recurring Schedule'!$N$34&gt;0,MOD($A295-'Recurring Schedule'!$F$34,'Recurring Schedule'!$N$34)=0,IF('Recurring Schedule'!$O$34&gt;0,AND(DAY($A295)=MIN(DAY('Recurring Schedule'!$F$34),DAY(EOMONTH($A295,0))),MOD((YEAR($A295)-YEAR('Recurring Schedule'!$F$34))*12+MONTH($A295)-MONTH('Recurring Schedule'!$F$34),'Recurring Schedule'!$O$34)=0),IF('Recurring Schedule'!$E$34="Weekdays",WEEKDAY($A295,2)&lt;=5,$A295='Recurring Schedule'!$F$34))),29,""))))</f>
        <v/>
      </c>
      <c r="AE295">
        <f>IF('Recurring Schedule'!$C$35="","",IF('Recurring Schedule'!$F$35="","",IF(OR($A295&lt;'Recurring Schedule'!$F$35,$A295&gt;'Recurring Schedule'!$P$35),"",IF(IF('Recurring Schedule'!$N$35&gt;0,MOD($A295-'Recurring Schedule'!$F$35,'Recurring Schedule'!$N$35)=0,IF('Recurring Schedule'!$O$35&gt;0,AND(DAY($A295)=MIN(DAY('Recurring Schedule'!$F$35),DAY(EOMONTH($A295,0))),MOD((YEAR($A295)-YEAR('Recurring Schedule'!$F$35))*12+MONTH($A295)-MONTH('Recurring Schedule'!$F$35),'Recurring Schedule'!$O$35)=0),IF('Recurring Schedule'!$E$35="Weekdays",WEEKDAY($A295,2)&lt;=5,$A295='Recurring Schedule'!$F$35))),30,""))))</f>
        <v/>
      </c>
      <c r="AF295">
        <f>IF('Recurring Schedule'!$C$36="","",IF('Recurring Schedule'!$F$36="","",IF(OR($A295&lt;'Recurring Schedule'!$F$36,$A295&gt;'Recurring Schedule'!$P$36),"",IF(IF('Recurring Schedule'!$N$36&gt;0,MOD($A295-'Recurring Schedule'!$F$36,'Recurring Schedule'!$N$36)=0,IF('Recurring Schedule'!$O$36&gt;0,AND(DAY($A295)=MIN(DAY('Recurring Schedule'!$F$36),DAY(EOMONTH($A295,0))),MOD((YEAR($A295)-YEAR('Recurring Schedule'!$F$36))*12+MONTH($A295)-MONTH('Recurring Schedule'!$F$36),'Recurring Schedule'!$O$36)=0),IF('Recurring Schedule'!$E$36="Weekdays",WEEKDAY($A295,2)&lt;=5,$A295='Recurring Schedule'!$F$36))),31,""))))</f>
        <v/>
      </c>
      <c r="AG295">
        <f>IF('Recurring Schedule'!$C$37="","",IF('Recurring Schedule'!$F$37="","",IF(OR($A295&lt;'Recurring Schedule'!$F$37,$A295&gt;'Recurring Schedule'!$P$37),"",IF(IF('Recurring Schedule'!$N$37&gt;0,MOD($A295-'Recurring Schedule'!$F$37,'Recurring Schedule'!$N$37)=0,IF('Recurring Schedule'!$O$37&gt;0,AND(DAY($A295)=MIN(DAY('Recurring Schedule'!$F$37),DAY(EOMONTH($A295,0))),MOD((YEAR($A295)-YEAR('Recurring Schedule'!$F$37))*12+MONTH($A295)-MONTH('Recurring Schedule'!$F$37),'Recurring Schedule'!$O$37)=0),IF('Recurring Schedule'!$E$37="Weekdays",WEEKDAY($A295,2)&lt;=5,$A295='Recurring Schedule'!$F$37))),32,""))))</f>
        <v/>
      </c>
      <c r="AH295">
        <f>IF('Recurring Schedule'!$C$38="","",IF('Recurring Schedule'!$F$38="","",IF(OR($A295&lt;'Recurring Schedule'!$F$38,$A295&gt;'Recurring Schedule'!$P$38),"",IF(IF('Recurring Schedule'!$N$38&gt;0,MOD($A295-'Recurring Schedule'!$F$38,'Recurring Schedule'!$N$38)=0,IF('Recurring Schedule'!$O$38&gt;0,AND(DAY($A295)=MIN(DAY('Recurring Schedule'!$F$38),DAY(EOMONTH($A295,0))),MOD((YEAR($A295)-YEAR('Recurring Schedule'!$F$38))*12+MONTH($A295)-MONTH('Recurring Schedule'!$F$38),'Recurring Schedule'!$O$38)=0),IF('Recurring Schedule'!$E$38="Weekdays",WEEKDAY($A295,2)&lt;=5,$A295='Recurring Schedule'!$F$38))),33,""))))</f>
        <v/>
      </c>
      <c r="AI295">
        <f>IF('Recurring Schedule'!$C$39="","",IF('Recurring Schedule'!$F$39="","",IF(OR($A295&lt;'Recurring Schedule'!$F$39,$A295&gt;'Recurring Schedule'!$P$39),"",IF(IF('Recurring Schedule'!$N$39&gt;0,MOD($A295-'Recurring Schedule'!$F$39,'Recurring Schedule'!$N$39)=0,IF('Recurring Schedule'!$O$39&gt;0,AND(DAY($A295)=MIN(DAY('Recurring Schedule'!$F$39),DAY(EOMONTH($A295,0))),MOD((YEAR($A295)-YEAR('Recurring Schedule'!$F$39))*12+MONTH($A295)-MONTH('Recurring Schedule'!$F$39),'Recurring Schedule'!$O$39)=0),IF('Recurring Schedule'!$E$39="Weekdays",WEEKDAY($A295,2)&lt;=5,$A295='Recurring Schedule'!$F$39))),34,""))))</f>
        <v/>
      </c>
      <c r="AJ295">
        <f>IF('Recurring Schedule'!$C$40="","",IF('Recurring Schedule'!$F$40="","",IF(OR($A295&lt;'Recurring Schedule'!$F$40,$A295&gt;'Recurring Schedule'!$P$40),"",IF(IF('Recurring Schedule'!$N$40&gt;0,MOD($A295-'Recurring Schedule'!$F$40,'Recurring Schedule'!$N$40)=0,IF('Recurring Schedule'!$O$40&gt;0,AND(DAY($A295)=MIN(DAY('Recurring Schedule'!$F$40),DAY(EOMONTH($A295,0))),MOD((YEAR($A295)-YEAR('Recurring Schedule'!$F$40))*12+MONTH($A295)-MONTH('Recurring Schedule'!$F$40),'Recurring Schedule'!$O$40)=0),IF('Recurring Schedule'!$E$40="Weekdays",WEEKDAY($A295,2)&lt;=5,$A295='Recurring Schedule'!$F$40))),35,""))))</f>
        <v/>
      </c>
      <c r="AK295">
        <f>IF('Recurring Schedule'!$C$41="","",IF('Recurring Schedule'!$F$41="","",IF(OR($A295&lt;'Recurring Schedule'!$F$41,$A295&gt;'Recurring Schedule'!$P$41),"",IF(IF('Recurring Schedule'!$N$41&gt;0,MOD($A295-'Recurring Schedule'!$F$41,'Recurring Schedule'!$N$41)=0,IF('Recurring Schedule'!$O$41&gt;0,AND(DAY($A295)=MIN(DAY('Recurring Schedule'!$F$41),DAY(EOMONTH($A295,0))),MOD((YEAR($A295)-YEAR('Recurring Schedule'!$F$41))*12+MONTH($A295)-MONTH('Recurring Schedule'!$F$41),'Recurring Schedule'!$O$41)=0),IF('Recurring Schedule'!$E$41="Weekdays",WEEKDAY($A295,2)&lt;=5,$A295='Recurring Schedule'!$F$41))),36,""))))</f>
        <v/>
      </c>
      <c r="AL295">
        <f>IF('Recurring Schedule'!$C$42="","",IF('Recurring Schedule'!$F$42="","",IF(OR($A295&lt;'Recurring Schedule'!$F$42,$A295&gt;'Recurring Schedule'!$P$42),"",IF(IF('Recurring Schedule'!$N$42&gt;0,MOD($A295-'Recurring Schedule'!$F$42,'Recurring Schedule'!$N$42)=0,IF('Recurring Schedule'!$O$42&gt;0,AND(DAY($A295)=MIN(DAY('Recurring Schedule'!$F$42),DAY(EOMONTH($A295,0))),MOD((YEAR($A295)-YEAR('Recurring Schedule'!$F$42))*12+MONTH($A295)-MONTH('Recurring Schedule'!$F$42),'Recurring Schedule'!$O$42)=0),IF('Recurring Schedule'!$E$42="Weekdays",WEEKDAY($A295,2)&lt;=5,$A295='Recurring Schedule'!$F$42))),37,""))))</f>
        <v/>
      </c>
      <c r="AM295">
        <f>IF('Recurring Schedule'!$C$43="","",IF('Recurring Schedule'!$F$43="","",IF(OR($A295&lt;'Recurring Schedule'!$F$43,$A295&gt;'Recurring Schedule'!$P$43),"",IF(IF('Recurring Schedule'!$N$43&gt;0,MOD($A295-'Recurring Schedule'!$F$43,'Recurring Schedule'!$N$43)=0,IF('Recurring Schedule'!$O$43&gt;0,AND(DAY($A295)=MIN(DAY('Recurring Schedule'!$F$43),DAY(EOMONTH($A295,0))),MOD((YEAR($A295)-YEAR('Recurring Schedule'!$F$43))*12+MONTH($A295)-MONTH('Recurring Schedule'!$F$43),'Recurring Schedule'!$O$43)=0),IF('Recurring Schedule'!$E$43="Weekdays",WEEKDAY($A295,2)&lt;=5,$A295='Recurring Schedule'!$F$43))),38,""))))</f>
        <v/>
      </c>
      <c r="AN295">
        <f>IF('Recurring Schedule'!$C$44="","",IF('Recurring Schedule'!$F$44="","",IF(OR($A295&lt;'Recurring Schedule'!$F$44,$A295&gt;'Recurring Schedule'!$P$44),"",IF(IF('Recurring Schedule'!$N$44&gt;0,MOD($A295-'Recurring Schedule'!$F$44,'Recurring Schedule'!$N$44)=0,IF('Recurring Schedule'!$O$44&gt;0,AND(DAY($A295)=MIN(DAY('Recurring Schedule'!$F$44),DAY(EOMONTH($A295,0))),MOD((YEAR($A295)-YEAR('Recurring Schedule'!$F$44))*12+MONTH($A295)-MONTH('Recurring Schedule'!$F$44),'Recurring Schedule'!$O$44)=0),IF('Recurring Schedule'!$E$44="Weekdays",WEEKDAY($A295,2)&lt;=5,$A295='Recurring Schedule'!$F$44))),39,""))))</f>
        <v/>
      </c>
      <c r="AO295">
        <f>IF('Recurring Schedule'!$C$45="","",IF('Recurring Schedule'!$F$45="","",IF(OR($A295&lt;'Recurring Schedule'!$F$45,$A295&gt;'Recurring Schedule'!$P$45),"",IF(IF('Recurring Schedule'!$N$45&gt;0,MOD($A295-'Recurring Schedule'!$F$45,'Recurring Schedule'!$N$45)=0,IF('Recurring Schedule'!$O$45&gt;0,AND(DAY($A295)=MIN(DAY('Recurring Schedule'!$F$45),DAY(EOMONTH($A295,0))),MOD((YEAR($A295)-YEAR('Recurring Schedule'!$F$45))*12+MONTH($A295)-MONTH('Recurring Schedule'!$F$45),'Recurring Schedule'!$O$45)=0),IF('Recurring Schedule'!$E$45="Weekdays",WEEKDAY($A295,2)&lt;=5,$A295='Recurring Schedule'!$F$45))),40,""))))</f>
        <v/>
      </c>
      <c r="AP295">
        <f>COUNT(B295:AO295)</f>
        <v/>
      </c>
      <c r="AQ295">
        <f>AQ294+AP294</f>
        <v/>
      </c>
      <c r="AS295" t="inlineStr">
        <is>
          <t>R</t>
        </is>
      </c>
      <c r="AT295" t="n">
        <v>299</v>
      </c>
      <c r="AU295">
        <f>'Recurring Log'!C299&amp;""</f>
        <v/>
      </c>
      <c r="AV295">
        <f>'Recurring Log'!D299&amp;""</f>
        <v/>
      </c>
      <c r="AW295">
        <f>IF('Recurring Log'!E299="","",'Recurring Log'!E299)</f>
        <v/>
      </c>
      <c r="AX295">
        <f>IF('Recurring Log'!G299="","",'Recurring Log'!G299)</f>
        <v/>
      </c>
      <c r="AY295">
        <f>IF('Recurring Log'!H299="","",'Recurring Log'!H299)</f>
        <v/>
      </c>
      <c r="AZ295">
        <f>IF(AU295="","",IF('Recurring Log'!J299="","Not Started",'Recurring Log'!J299))</f>
        <v/>
      </c>
      <c r="BA295">
        <f>'Recurring Log'!L299&amp;""</f>
        <v/>
      </c>
      <c r="BB295">
        <f>'Recurring Log'!M299&amp;""</f>
        <v/>
      </c>
      <c r="BC295">
        <f>'Recurring Log'!N299&amp;""</f>
        <v/>
      </c>
      <c r="BD295">
        <f>'Recurring Log'!O299&amp;""</f>
        <v/>
      </c>
      <c r="BE295">
        <f>IF('Recurring Log'!K299="","",'Recurring Log'!K299)</f>
        <v/>
      </c>
      <c r="BF295">
        <f>IFERROR(MATCH(BA295,Setup!$L$6:$L$9,0),5)</f>
        <v/>
      </c>
      <c r="BG295">
        <f>IF(OR(AZ295="Done",AZ295="Cancelled"),1,0)</f>
        <v/>
      </c>
      <c r="BH295">
        <f>IF(AND(AU295&lt;&gt;"",ISNUMBER(AW295)),1,0)</f>
        <v/>
      </c>
      <c r="BI295">
        <f>IF(BH295=0,0,IF(AND(AW295&gt;='Tasks Filter'!$F$3,AW295&lt;='Tasks Filter'!$F$4,OR('Tasks Filter'!$I$3="",ISNUMBER(SEARCH('Tasks Filter'!$I$3,AU295))),OR('Tasks Filter'!$I$4="",BF295=IFERROR(MATCH('Tasks Filter'!$I$4,Setup!$L$6:$L$9,0),0)),OR('Tasks Filter'!$I$5="Both",AND('Tasks Filter'!$I$5="Yes",BB295="✓"),AND('Tasks Filter'!$I$5="No",BB295&lt;&gt;"✓")),OR('Tasks Filter'!$L$3="",AV295='Tasks Filter'!$L$3),OR('Tasks Filter'!$L$4="",AZ295='Tasks Filter'!$L$4),OR('Tasks Filter'!$L$5="",BC295='Tasks Filter'!$L$5),OR('Tasks Filter'!$O$3="",BD295='Tasks Filter'!$O$3),OR('Tasks Filter'!$O$4="Yes",BG295=0)),1,0))</f>
        <v/>
      </c>
      <c r="BJ295">
        <f>IF(BH295=0,"",IF('Tasks Filter'!$F$6="Descending",-1,1)*CHOOSE(MATCH('Tasks Filter'!$F$5,Lists!$G$2:$G$6,0),AW295,BF295,IFERROR(MATCH(AV295,Setup!$F$6:$F$15,0),99),IFERROR(MATCH(BC295,Setup!$H$6:$H$15,0),99),IFERROR(MATCH(AZ295,Setup!$J$6:$J$11,0),99))*1E+9+(AW295-40000)*10000+294)</f>
        <v/>
      </c>
      <c r="BK295">
        <f>IF(BI295=1,BJ295,"")</f>
        <v/>
      </c>
      <c r="BL295">
        <f>IF(AND(BH295=1,BG295=0,N(AW295)&lt;Setup!$D$7),(AW295-40000)*10000+294,"")</f>
        <v/>
      </c>
      <c r="BM295">
        <f>IF(AND(BH295=1,AZ295&lt;&gt;"Cancelled",N(AW295)&gt;=Dashboard!$AB$3,N(AW295)&lt;=Dashboard!$AB$3+6),(AW295-40000)*100000+BF295*10000+294,"")</f>
        <v/>
      </c>
      <c r="BN295">
        <f>IF(AND(BH295=1,AZ295&lt;&gt;"Cancelled"),BF295*10000+294,"")</f>
        <v/>
      </c>
    </row>
    <row r="296">
      <c r="A296">
        <f>Setup!$D$5+294</f>
        <v/>
      </c>
      <c r="B296">
        <f>IF('Recurring Schedule'!$C$6="","",IF('Recurring Schedule'!$F$6="","",IF(OR($A296&lt;'Recurring Schedule'!$F$6,$A296&gt;'Recurring Schedule'!$P$6),"",IF(IF('Recurring Schedule'!$N$6&gt;0,MOD($A296-'Recurring Schedule'!$F$6,'Recurring Schedule'!$N$6)=0,IF('Recurring Schedule'!$O$6&gt;0,AND(DAY($A296)=MIN(DAY('Recurring Schedule'!$F$6),DAY(EOMONTH($A296,0))),MOD((YEAR($A296)-YEAR('Recurring Schedule'!$F$6))*12+MONTH($A296)-MONTH('Recurring Schedule'!$F$6),'Recurring Schedule'!$O$6)=0),IF('Recurring Schedule'!$E$6="Weekdays",WEEKDAY($A296,2)&lt;=5,$A296='Recurring Schedule'!$F$6))),1,""))))</f>
        <v/>
      </c>
      <c r="C296">
        <f>IF('Recurring Schedule'!$C$7="","",IF('Recurring Schedule'!$F$7="","",IF(OR($A296&lt;'Recurring Schedule'!$F$7,$A296&gt;'Recurring Schedule'!$P$7),"",IF(IF('Recurring Schedule'!$N$7&gt;0,MOD($A296-'Recurring Schedule'!$F$7,'Recurring Schedule'!$N$7)=0,IF('Recurring Schedule'!$O$7&gt;0,AND(DAY($A296)=MIN(DAY('Recurring Schedule'!$F$7),DAY(EOMONTH($A296,0))),MOD((YEAR($A296)-YEAR('Recurring Schedule'!$F$7))*12+MONTH($A296)-MONTH('Recurring Schedule'!$F$7),'Recurring Schedule'!$O$7)=0),IF('Recurring Schedule'!$E$7="Weekdays",WEEKDAY($A296,2)&lt;=5,$A296='Recurring Schedule'!$F$7))),2,""))))</f>
        <v/>
      </c>
      <c r="D296">
        <f>IF('Recurring Schedule'!$C$8="","",IF('Recurring Schedule'!$F$8="","",IF(OR($A296&lt;'Recurring Schedule'!$F$8,$A296&gt;'Recurring Schedule'!$P$8),"",IF(IF('Recurring Schedule'!$N$8&gt;0,MOD($A296-'Recurring Schedule'!$F$8,'Recurring Schedule'!$N$8)=0,IF('Recurring Schedule'!$O$8&gt;0,AND(DAY($A296)=MIN(DAY('Recurring Schedule'!$F$8),DAY(EOMONTH($A296,0))),MOD((YEAR($A296)-YEAR('Recurring Schedule'!$F$8))*12+MONTH($A296)-MONTH('Recurring Schedule'!$F$8),'Recurring Schedule'!$O$8)=0),IF('Recurring Schedule'!$E$8="Weekdays",WEEKDAY($A296,2)&lt;=5,$A296='Recurring Schedule'!$F$8))),3,""))))</f>
        <v/>
      </c>
      <c r="E296">
        <f>IF('Recurring Schedule'!$C$9="","",IF('Recurring Schedule'!$F$9="","",IF(OR($A296&lt;'Recurring Schedule'!$F$9,$A296&gt;'Recurring Schedule'!$P$9),"",IF(IF('Recurring Schedule'!$N$9&gt;0,MOD($A296-'Recurring Schedule'!$F$9,'Recurring Schedule'!$N$9)=0,IF('Recurring Schedule'!$O$9&gt;0,AND(DAY($A296)=MIN(DAY('Recurring Schedule'!$F$9),DAY(EOMONTH($A296,0))),MOD((YEAR($A296)-YEAR('Recurring Schedule'!$F$9))*12+MONTH($A296)-MONTH('Recurring Schedule'!$F$9),'Recurring Schedule'!$O$9)=0),IF('Recurring Schedule'!$E$9="Weekdays",WEEKDAY($A296,2)&lt;=5,$A296='Recurring Schedule'!$F$9))),4,""))))</f>
        <v/>
      </c>
      <c r="F296">
        <f>IF('Recurring Schedule'!$C$10="","",IF('Recurring Schedule'!$F$10="","",IF(OR($A296&lt;'Recurring Schedule'!$F$10,$A296&gt;'Recurring Schedule'!$P$10),"",IF(IF('Recurring Schedule'!$N$10&gt;0,MOD($A296-'Recurring Schedule'!$F$10,'Recurring Schedule'!$N$10)=0,IF('Recurring Schedule'!$O$10&gt;0,AND(DAY($A296)=MIN(DAY('Recurring Schedule'!$F$10),DAY(EOMONTH($A296,0))),MOD((YEAR($A296)-YEAR('Recurring Schedule'!$F$10))*12+MONTH($A296)-MONTH('Recurring Schedule'!$F$10),'Recurring Schedule'!$O$10)=0),IF('Recurring Schedule'!$E$10="Weekdays",WEEKDAY($A296,2)&lt;=5,$A296='Recurring Schedule'!$F$10))),5,""))))</f>
        <v/>
      </c>
      <c r="G296">
        <f>IF('Recurring Schedule'!$C$11="","",IF('Recurring Schedule'!$F$11="","",IF(OR($A296&lt;'Recurring Schedule'!$F$11,$A296&gt;'Recurring Schedule'!$P$11),"",IF(IF('Recurring Schedule'!$N$11&gt;0,MOD($A296-'Recurring Schedule'!$F$11,'Recurring Schedule'!$N$11)=0,IF('Recurring Schedule'!$O$11&gt;0,AND(DAY($A296)=MIN(DAY('Recurring Schedule'!$F$11),DAY(EOMONTH($A296,0))),MOD((YEAR($A296)-YEAR('Recurring Schedule'!$F$11))*12+MONTH($A296)-MONTH('Recurring Schedule'!$F$11),'Recurring Schedule'!$O$11)=0),IF('Recurring Schedule'!$E$11="Weekdays",WEEKDAY($A296,2)&lt;=5,$A296='Recurring Schedule'!$F$11))),6,""))))</f>
        <v/>
      </c>
      <c r="H296">
        <f>IF('Recurring Schedule'!$C$12="","",IF('Recurring Schedule'!$F$12="","",IF(OR($A296&lt;'Recurring Schedule'!$F$12,$A296&gt;'Recurring Schedule'!$P$12),"",IF(IF('Recurring Schedule'!$N$12&gt;0,MOD($A296-'Recurring Schedule'!$F$12,'Recurring Schedule'!$N$12)=0,IF('Recurring Schedule'!$O$12&gt;0,AND(DAY($A296)=MIN(DAY('Recurring Schedule'!$F$12),DAY(EOMONTH($A296,0))),MOD((YEAR($A296)-YEAR('Recurring Schedule'!$F$12))*12+MONTH($A296)-MONTH('Recurring Schedule'!$F$12),'Recurring Schedule'!$O$12)=0),IF('Recurring Schedule'!$E$12="Weekdays",WEEKDAY($A296,2)&lt;=5,$A296='Recurring Schedule'!$F$12))),7,""))))</f>
        <v/>
      </c>
      <c r="I296">
        <f>IF('Recurring Schedule'!$C$13="","",IF('Recurring Schedule'!$F$13="","",IF(OR($A296&lt;'Recurring Schedule'!$F$13,$A296&gt;'Recurring Schedule'!$P$13),"",IF(IF('Recurring Schedule'!$N$13&gt;0,MOD($A296-'Recurring Schedule'!$F$13,'Recurring Schedule'!$N$13)=0,IF('Recurring Schedule'!$O$13&gt;0,AND(DAY($A296)=MIN(DAY('Recurring Schedule'!$F$13),DAY(EOMONTH($A296,0))),MOD((YEAR($A296)-YEAR('Recurring Schedule'!$F$13))*12+MONTH($A296)-MONTH('Recurring Schedule'!$F$13),'Recurring Schedule'!$O$13)=0),IF('Recurring Schedule'!$E$13="Weekdays",WEEKDAY($A296,2)&lt;=5,$A296='Recurring Schedule'!$F$13))),8,""))))</f>
        <v/>
      </c>
      <c r="J296">
        <f>IF('Recurring Schedule'!$C$14="","",IF('Recurring Schedule'!$F$14="","",IF(OR($A296&lt;'Recurring Schedule'!$F$14,$A296&gt;'Recurring Schedule'!$P$14),"",IF(IF('Recurring Schedule'!$N$14&gt;0,MOD($A296-'Recurring Schedule'!$F$14,'Recurring Schedule'!$N$14)=0,IF('Recurring Schedule'!$O$14&gt;0,AND(DAY($A296)=MIN(DAY('Recurring Schedule'!$F$14),DAY(EOMONTH($A296,0))),MOD((YEAR($A296)-YEAR('Recurring Schedule'!$F$14))*12+MONTH($A296)-MONTH('Recurring Schedule'!$F$14),'Recurring Schedule'!$O$14)=0),IF('Recurring Schedule'!$E$14="Weekdays",WEEKDAY($A296,2)&lt;=5,$A296='Recurring Schedule'!$F$14))),9,""))))</f>
        <v/>
      </c>
      <c r="K296">
        <f>IF('Recurring Schedule'!$C$15="","",IF('Recurring Schedule'!$F$15="","",IF(OR($A296&lt;'Recurring Schedule'!$F$15,$A296&gt;'Recurring Schedule'!$P$15),"",IF(IF('Recurring Schedule'!$N$15&gt;0,MOD($A296-'Recurring Schedule'!$F$15,'Recurring Schedule'!$N$15)=0,IF('Recurring Schedule'!$O$15&gt;0,AND(DAY($A296)=MIN(DAY('Recurring Schedule'!$F$15),DAY(EOMONTH($A296,0))),MOD((YEAR($A296)-YEAR('Recurring Schedule'!$F$15))*12+MONTH($A296)-MONTH('Recurring Schedule'!$F$15),'Recurring Schedule'!$O$15)=0),IF('Recurring Schedule'!$E$15="Weekdays",WEEKDAY($A296,2)&lt;=5,$A296='Recurring Schedule'!$F$15))),10,""))))</f>
        <v/>
      </c>
      <c r="L296">
        <f>IF('Recurring Schedule'!$C$16="","",IF('Recurring Schedule'!$F$16="","",IF(OR($A296&lt;'Recurring Schedule'!$F$16,$A296&gt;'Recurring Schedule'!$P$16),"",IF(IF('Recurring Schedule'!$N$16&gt;0,MOD($A296-'Recurring Schedule'!$F$16,'Recurring Schedule'!$N$16)=0,IF('Recurring Schedule'!$O$16&gt;0,AND(DAY($A296)=MIN(DAY('Recurring Schedule'!$F$16),DAY(EOMONTH($A296,0))),MOD((YEAR($A296)-YEAR('Recurring Schedule'!$F$16))*12+MONTH($A296)-MONTH('Recurring Schedule'!$F$16),'Recurring Schedule'!$O$16)=0),IF('Recurring Schedule'!$E$16="Weekdays",WEEKDAY($A296,2)&lt;=5,$A296='Recurring Schedule'!$F$16))),11,""))))</f>
        <v/>
      </c>
      <c r="M296">
        <f>IF('Recurring Schedule'!$C$17="","",IF('Recurring Schedule'!$F$17="","",IF(OR($A296&lt;'Recurring Schedule'!$F$17,$A296&gt;'Recurring Schedule'!$P$17),"",IF(IF('Recurring Schedule'!$N$17&gt;0,MOD($A296-'Recurring Schedule'!$F$17,'Recurring Schedule'!$N$17)=0,IF('Recurring Schedule'!$O$17&gt;0,AND(DAY($A296)=MIN(DAY('Recurring Schedule'!$F$17),DAY(EOMONTH($A296,0))),MOD((YEAR($A296)-YEAR('Recurring Schedule'!$F$17))*12+MONTH($A296)-MONTH('Recurring Schedule'!$F$17),'Recurring Schedule'!$O$17)=0),IF('Recurring Schedule'!$E$17="Weekdays",WEEKDAY($A296,2)&lt;=5,$A296='Recurring Schedule'!$F$17))),12,""))))</f>
        <v/>
      </c>
      <c r="N296">
        <f>IF('Recurring Schedule'!$C$18="","",IF('Recurring Schedule'!$F$18="","",IF(OR($A296&lt;'Recurring Schedule'!$F$18,$A296&gt;'Recurring Schedule'!$P$18),"",IF(IF('Recurring Schedule'!$N$18&gt;0,MOD($A296-'Recurring Schedule'!$F$18,'Recurring Schedule'!$N$18)=0,IF('Recurring Schedule'!$O$18&gt;0,AND(DAY($A296)=MIN(DAY('Recurring Schedule'!$F$18),DAY(EOMONTH($A296,0))),MOD((YEAR($A296)-YEAR('Recurring Schedule'!$F$18))*12+MONTH($A296)-MONTH('Recurring Schedule'!$F$18),'Recurring Schedule'!$O$18)=0),IF('Recurring Schedule'!$E$18="Weekdays",WEEKDAY($A296,2)&lt;=5,$A296='Recurring Schedule'!$F$18))),13,""))))</f>
        <v/>
      </c>
      <c r="O296">
        <f>IF('Recurring Schedule'!$C$19="","",IF('Recurring Schedule'!$F$19="","",IF(OR($A296&lt;'Recurring Schedule'!$F$19,$A296&gt;'Recurring Schedule'!$P$19),"",IF(IF('Recurring Schedule'!$N$19&gt;0,MOD($A296-'Recurring Schedule'!$F$19,'Recurring Schedule'!$N$19)=0,IF('Recurring Schedule'!$O$19&gt;0,AND(DAY($A296)=MIN(DAY('Recurring Schedule'!$F$19),DAY(EOMONTH($A296,0))),MOD((YEAR($A296)-YEAR('Recurring Schedule'!$F$19))*12+MONTH($A296)-MONTH('Recurring Schedule'!$F$19),'Recurring Schedule'!$O$19)=0),IF('Recurring Schedule'!$E$19="Weekdays",WEEKDAY($A296,2)&lt;=5,$A296='Recurring Schedule'!$F$19))),14,""))))</f>
        <v/>
      </c>
      <c r="P296">
        <f>IF('Recurring Schedule'!$C$20="","",IF('Recurring Schedule'!$F$20="","",IF(OR($A296&lt;'Recurring Schedule'!$F$20,$A296&gt;'Recurring Schedule'!$P$20),"",IF(IF('Recurring Schedule'!$N$20&gt;0,MOD($A296-'Recurring Schedule'!$F$20,'Recurring Schedule'!$N$20)=0,IF('Recurring Schedule'!$O$20&gt;0,AND(DAY($A296)=MIN(DAY('Recurring Schedule'!$F$20),DAY(EOMONTH($A296,0))),MOD((YEAR($A296)-YEAR('Recurring Schedule'!$F$20))*12+MONTH($A296)-MONTH('Recurring Schedule'!$F$20),'Recurring Schedule'!$O$20)=0),IF('Recurring Schedule'!$E$20="Weekdays",WEEKDAY($A296,2)&lt;=5,$A296='Recurring Schedule'!$F$20))),15,""))))</f>
        <v/>
      </c>
      <c r="Q296">
        <f>IF('Recurring Schedule'!$C$21="","",IF('Recurring Schedule'!$F$21="","",IF(OR($A296&lt;'Recurring Schedule'!$F$21,$A296&gt;'Recurring Schedule'!$P$21),"",IF(IF('Recurring Schedule'!$N$21&gt;0,MOD($A296-'Recurring Schedule'!$F$21,'Recurring Schedule'!$N$21)=0,IF('Recurring Schedule'!$O$21&gt;0,AND(DAY($A296)=MIN(DAY('Recurring Schedule'!$F$21),DAY(EOMONTH($A296,0))),MOD((YEAR($A296)-YEAR('Recurring Schedule'!$F$21))*12+MONTH($A296)-MONTH('Recurring Schedule'!$F$21),'Recurring Schedule'!$O$21)=0),IF('Recurring Schedule'!$E$21="Weekdays",WEEKDAY($A296,2)&lt;=5,$A296='Recurring Schedule'!$F$21))),16,""))))</f>
        <v/>
      </c>
      <c r="R296">
        <f>IF('Recurring Schedule'!$C$22="","",IF('Recurring Schedule'!$F$22="","",IF(OR($A296&lt;'Recurring Schedule'!$F$22,$A296&gt;'Recurring Schedule'!$P$22),"",IF(IF('Recurring Schedule'!$N$22&gt;0,MOD($A296-'Recurring Schedule'!$F$22,'Recurring Schedule'!$N$22)=0,IF('Recurring Schedule'!$O$22&gt;0,AND(DAY($A296)=MIN(DAY('Recurring Schedule'!$F$22),DAY(EOMONTH($A296,0))),MOD((YEAR($A296)-YEAR('Recurring Schedule'!$F$22))*12+MONTH($A296)-MONTH('Recurring Schedule'!$F$22),'Recurring Schedule'!$O$22)=0),IF('Recurring Schedule'!$E$22="Weekdays",WEEKDAY($A296,2)&lt;=5,$A296='Recurring Schedule'!$F$22))),17,""))))</f>
        <v/>
      </c>
      <c r="S296">
        <f>IF('Recurring Schedule'!$C$23="","",IF('Recurring Schedule'!$F$23="","",IF(OR($A296&lt;'Recurring Schedule'!$F$23,$A296&gt;'Recurring Schedule'!$P$23),"",IF(IF('Recurring Schedule'!$N$23&gt;0,MOD($A296-'Recurring Schedule'!$F$23,'Recurring Schedule'!$N$23)=0,IF('Recurring Schedule'!$O$23&gt;0,AND(DAY($A296)=MIN(DAY('Recurring Schedule'!$F$23),DAY(EOMONTH($A296,0))),MOD((YEAR($A296)-YEAR('Recurring Schedule'!$F$23))*12+MONTH($A296)-MONTH('Recurring Schedule'!$F$23),'Recurring Schedule'!$O$23)=0),IF('Recurring Schedule'!$E$23="Weekdays",WEEKDAY($A296,2)&lt;=5,$A296='Recurring Schedule'!$F$23))),18,""))))</f>
        <v/>
      </c>
      <c r="T296">
        <f>IF('Recurring Schedule'!$C$24="","",IF('Recurring Schedule'!$F$24="","",IF(OR($A296&lt;'Recurring Schedule'!$F$24,$A296&gt;'Recurring Schedule'!$P$24),"",IF(IF('Recurring Schedule'!$N$24&gt;0,MOD($A296-'Recurring Schedule'!$F$24,'Recurring Schedule'!$N$24)=0,IF('Recurring Schedule'!$O$24&gt;0,AND(DAY($A296)=MIN(DAY('Recurring Schedule'!$F$24),DAY(EOMONTH($A296,0))),MOD((YEAR($A296)-YEAR('Recurring Schedule'!$F$24))*12+MONTH($A296)-MONTH('Recurring Schedule'!$F$24),'Recurring Schedule'!$O$24)=0),IF('Recurring Schedule'!$E$24="Weekdays",WEEKDAY($A296,2)&lt;=5,$A296='Recurring Schedule'!$F$24))),19,""))))</f>
        <v/>
      </c>
      <c r="U296">
        <f>IF('Recurring Schedule'!$C$25="","",IF('Recurring Schedule'!$F$25="","",IF(OR($A296&lt;'Recurring Schedule'!$F$25,$A296&gt;'Recurring Schedule'!$P$25),"",IF(IF('Recurring Schedule'!$N$25&gt;0,MOD($A296-'Recurring Schedule'!$F$25,'Recurring Schedule'!$N$25)=0,IF('Recurring Schedule'!$O$25&gt;0,AND(DAY($A296)=MIN(DAY('Recurring Schedule'!$F$25),DAY(EOMONTH($A296,0))),MOD((YEAR($A296)-YEAR('Recurring Schedule'!$F$25))*12+MONTH($A296)-MONTH('Recurring Schedule'!$F$25),'Recurring Schedule'!$O$25)=0),IF('Recurring Schedule'!$E$25="Weekdays",WEEKDAY($A296,2)&lt;=5,$A296='Recurring Schedule'!$F$25))),20,""))))</f>
        <v/>
      </c>
      <c r="V296">
        <f>IF('Recurring Schedule'!$C$26="","",IF('Recurring Schedule'!$F$26="","",IF(OR($A296&lt;'Recurring Schedule'!$F$26,$A296&gt;'Recurring Schedule'!$P$26),"",IF(IF('Recurring Schedule'!$N$26&gt;0,MOD($A296-'Recurring Schedule'!$F$26,'Recurring Schedule'!$N$26)=0,IF('Recurring Schedule'!$O$26&gt;0,AND(DAY($A296)=MIN(DAY('Recurring Schedule'!$F$26),DAY(EOMONTH($A296,0))),MOD((YEAR($A296)-YEAR('Recurring Schedule'!$F$26))*12+MONTH($A296)-MONTH('Recurring Schedule'!$F$26),'Recurring Schedule'!$O$26)=0),IF('Recurring Schedule'!$E$26="Weekdays",WEEKDAY($A296,2)&lt;=5,$A296='Recurring Schedule'!$F$26))),21,""))))</f>
        <v/>
      </c>
      <c r="W296">
        <f>IF('Recurring Schedule'!$C$27="","",IF('Recurring Schedule'!$F$27="","",IF(OR($A296&lt;'Recurring Schedule'!$F$27,$A296&gt;'Recurring Schedule'!$P$27),"",IF(IF('Recurring Schedule'!$N$27&gt;0,MOD($A296-'Recurring Schedule'!$F$27,'Recurring Schedule'!$N$27)=0,IF('Recurring Schedule'!$O$27&gt;0,AND(DAY($A296)=MIN(DAY('Recurring Schedule'!$F$27),DAY(EOMONTH($A296,0))),MOD((YEAR($A296)-YEAR('Recurring Schedule'!$F$27))*12+MONTH($A296)-MONTH('Recurring Schedule'!$F$27),'Recurring Schedule'!$O$27)=0),IF('Recurring Schedule'!$E$27="Weekdays",WEEKDAY($A296,2)&lt;=5,$A296='Recurring Schedule'!$F$27))),22,""))))</f>
        <v/>
      </c>
      <c r="X296">
        <f>IF('Recurring Schedule'!$C$28="","",IF('Recurring Schedule'!$F$28="","",IF(OR($A296&lt;'Recurring Schedule'!$F$28,$A296&gt;'Recurring Schedule'!$P$28),"",IF(IF('Recurring Schedule'!$N$28&gt;0,MOD($A296-'Recurring Schedule'!$F$28,'Recurring Schedule'!$N$28)=0,IF('Recurring Schedule'!$O$28&gt;0,AND(DAY($A296)=MIN(DAY('Recurring Schedule'!$F$28),DAY(EOMONTH($A296,0))),MOD((YEAR($A296)-YEAR('Recurring Schedule'!$F$28))*12+MONTH($A296)-MONTH('Recurring Schedule'!$F$28),'Recurring Schedule'!$O$28)=0),IF('Recurring Schedule'!$E$28="Weekdays",WEEKDAY($A296,2)&lt;=5,$A296='Recurring Schedule'!$F$28))),23,""))))</f>
        <v/>
      </c>
      <c r="Y296">
        <f>IF('Recurring Schedule'!$C$29="","",IF('Recurring Schedule'!$F$29="","",IF(OR($A296&lt;'Recurring Schedule'!$F$29,$A296&gt;'Recurring Schedule'!$P$29),"",IF(IF('Recurring Schedule'!$N$29&gt;0,MOD($A296-'Recurring Schedule'!$F$29,'Recurring Schedule'!$N$29)=0,IF('Recurring Schedule'!$O$29&gt;0,AND(DAY($A296)=MIN(DAY('Recurring Schedule'!$F$29),DAY(EOMONTH($A296,0))),MOD((YEAR($A296)-YEAR('Recurring Schedule'!$F$29))*12+MONTH($A296)-MONTH('Recurring Schedule'!$F$29),'Recurring Schedule'!$O$29)=0),IF('Recurring Schedule'!$E$29="Weekdays",WEEKDAY($A296,2)&lt;=5,$A296='Recurring Schedule'!$F$29))),24,""))))</f>
        <v/>
      </c>
      <c r="Z296">
        <f>IF('Recurring Schedule'!$C$30="","",IF('Recurring Schedule'!$F$30="","",IF(OR($A296&lt;'Recurring Schedule'!$F$30,$A296&gt;'Recurring Schedule'!$P$30),"",IF(IF('Recurring Schedule'!$N$30&gt;0,MOD($A296-'Recurring Schedule'!$F$30,'Recurring Schedule'!$N$30)=0,IF('Recurring Schedule'!$O$30&gt;0,AND(DAY($A296)=MIN(DAY('Recurring Schedule'!$F$30),DAY(EOMONTH($A296,0))),MOD((YEAR($A296)-YEAR('Recurring Schedule'!$F$30))*12+MONTH($A296)-MONTH('Recurring Schedule'!$F$30),'Recurring Schedule'!$O$30)=0),IF('Recurring Schedule'!$E$30="Weekdays",WEEKDAY($A296,2)&lt;=5,$A296='Recurring Schedule'!$F$30))),25,""))))</f>
        <v/>
      </c>
      <c r="AA296">
        <f>IF('Recurring Schedule'!$C$31="","",IF('Recurring Schedule'!$F$31="","",IF(OR($A296&lt;'Recurring Schedule'!$F$31,$A296&gt;'Recurring Schedule'!$P$31),"",IF(IF('Recurring Schedule'!$N$31&gt;0,MOD($A296-'Recurring Schedule'!$F$31,'Recurring Schedule'!$N$31)=0,IF('Recurring Schedule'!$O$31&gt;0,AND(DAY($A296)=MIN(DAY('Recurring Schedule'!$F$31),DAY(EOMONTH($A296,0))),MOD((YEAR($A296)-YEAR('Recurring Schedule'!$F$31))*12+MONTH($A296)-MONTH('Recurring Schedule'!$F$31),'Recurring Schedule'!$O$31)=0),IF('Recurring Schedule'!$E$31="Weekdays",WEEKDAY($A296,2)&lt;=5,$A296='Recurring Schedule'!$F$31))),26,""))))</f>
        <v/>
      </c>
      <c r="AB296">
        <f>IF('Recurring Schedule'!$C$32="","",IF('Recurring Schedule'!$F$32="","",IF(OR($A296&lt;'Recurring Schedule'!$F$32,$A296&gt;'Recurring Schedule'!$P$32),"",IF(IF('Recurring Schedule'!$N$32&gt;0,MOD($A296-'Recurring Schedule'!$F$32,'Recurring Schedule'!$N$32)=0,IF('Recurring Schedule'!$O$32&gt;0,AND(DAY($A296)=MIN(DAY('Recurring Schedule'!$F$32),DAY(EOMONTH($A296,0))),MOD((YEAR($A296)-YEAR('Recurring Schedule'!$F$32))*12+MONTH($A296)-MONTH('Recurring Schedule'!$F$32),'Recurring Schedule'!$O$32)=0),IF('Recurring Schedule'!$E$32="Weekdays",WEEKDAY($A296,2)&lt;=5,$A296='Recurring Schedule'!$F$32))),27,""))))</f>
        <v/>
      </c>
      <c r="AC296">
        <f>IF('Recurring Schedule'!$C$33="","",IF('Recurring Schedule'!$F$33="","",IF(OR($A296&lt;'Recurring Schedule'!$F$33,$A296&gt;'Recurring Schedule'!$P$33),"",IF(IF('Recurring Schedule'!$N$33&gt;0,MOD($A296-'Recurring Schedule'!$F$33,'Recurring Schedule'!$N$33)=0,IF('Recurring Schedule'!$O$33&gt;0,AND(DAY($A296)=MIN(DAY('Recurring Schedule'!$F$33),DAY(EOMONTH($A296,0))),MOD((YEAR($A296)-YEAR('Recurring Schedule'!$F$33))*12+MONTH($A296)-MONTH('Recurring Schedule'!$F$33),'Recurring Schedule'!$O$33)=0),IF('Recurring Schedule'!$E$33="Weekdays",WEEKDAY($A296,2)&lt;=5,$A296='Recurring Schedule'!$F$33))),28,""))))</f>
        <v/>
      </c>
      <c r="AD296">
        <f>IF('Recurring Schedule'!$C$34="","",IF('Recurring Schedule'!$F$34="","",IF(OR($A296&lt;'Recurring Schedule'!$F$34,$A296&gt;'Recurring Schedule'!$P$34),"",IF(IF('Recurring Schedule'!$N$34&gt;0,MOD($A296-'Recurring Schedule'!$F$34,'Recurring Schedule'!$N$34)=0,IF('Recurring Schedule'!$O$34&gt;0,AND(DAY($A296)=MIN(DAY('Recurring Schedule'!$F$34),DAY(EOMONTH($A296,0))),MOD((YEAR($A296)-YEAR('Recurring Schedule'!$F$34))*12+MONTH($A296)-MONTH('Recurring Schedule'!$F$34),'Recurring Schedule'!$O$34)=0),IF('Recurring Schedule'!$E$34="Weekdays",WEEKDAY($A296,2)&lt;=5,$A296='Recurring Schedule'!$F$34))),29,""))))</f>
        <v/>
      </c>
      <c r="AE296">
        <f>IF('Recurring Schedule'!$C$35="","",IF('Recurring Schedule'!$F$35="","",IF(OR($A296&lt;'Recurring Schedule'!$F$35,$A296&gt;'Recurring Schedule'!$P$35),"",IF(IF('Recurring Schedule'!$N$35&gt;0,MOD($A296-'Recurring Schedule'!$F$35,'Recurring Schedule'!$N$35)=0,IF('Recurring Schedule'!$O$35&gt;0,AND(DAY($A296)=MIN(DAY('Recurring Schedule'!$F$35),DAY(EOMONTH($A296,0))),MOD((YEAR($A296)-YEAR('Recurring Schedule'!$F$35))*12+MONTH($A296)-MONTH('Recurring Schedule'!$F$35),'Recurring Schedule'!$O$35)=0),IF('Recurring Schedule'!$E$35="Weekdays",WEEKDAY($A296,2)&lt;=5,$A296='Recurring Schedule'!$F$35))),30,""))))</f>
        <v/>
      </c>
      <c r="AF296">
        <f>IF('Recurring Schedule'!$C$36="","",IF('Recurring Schedule'!$F$36="","",IF(OR($A296&lt;'Recurring Schedule'!$F$36,$A296&gt;'Recurring Schedule'!$P$36),"",IF(IF('Recurring Schedule'!$N$36&gt;0,MOD($A296-'Recurring Schedule'!$F$36,'Recurring Schedule'!$N$36)=0,IF('Recurring Schedule'!$O$36&gt;0,AND(DAY($A296)=MIN(DAY('Recurring Schedule'!$F$36),DAY(EOMONTH($A296,0))),MOD((YEAR($A296)-YEAR('Recurring Schedule'!$F$36))*12+MONTH($A296)-MONTH('Recurring Schedule'!$F$36),'Recurring Schedule'!$O$36)=0),IF('Recurring Schedule'!$E$36="Weekdays",WEEKDAY($A296,2)&lt;=5,$A296='Recurring Schedule'!$F$36))),31,""))))</f>
        <v/>
      </c>
      <c r="AG296">
        <f>IF('Recurring Schedule'!$C$37="","",IF('Recurring Schedule'!$F$37="","",IF(OR($A296&lt;'Recurring Schedule'!$F$37,$A296&gt;'Recurring Schedule'!$P$37),"",IF(IF('Recurring Schedule'!$N$37&gt;0,MOD($A296-'Recurring Schedule'!$F$37,'Recurring Schedule'!$N$37)=0,IF('Recurring Schedule'!$O$37&gt;0,AND(DAY($A296)=MIN(DAY('Recurring Schedule'!$F$37),DAY(EOMONTH($A296,0))),MOD((YEAR($A296)-YEAR('Recurring Schedule'!$F$37))*12+MONTH($A296)-MONTH('Recurring Schedule'!$F$37),'Recurring Schedule'!$O$37)=0),IF('Recurring Schedule'!$E$37="Weekdays",WEEKDAY($A296,2)&lt;=5,$A296='Recurring Schedule'!$F$37))),32,""))))</f>
        <v/>
      </c>
      <c r="AH296">
        <f>IF('Recurring Schedule'!$C$38="","",IF('Recurring Schedule'!$F$38="","",IF(OR($A296&lt;'Recurring Schedule'!$F$38,$A296&gt;'Recurring Schedule'!$P$38),"",IF(IF('Recurring Schedule'!$N$38&gt;0,MOD($A296-'Recurring Schedule'!$F$38,'Recurring Schedule'!$N$38)=0,IF('Recurring Schedule'!$O$38&gt;0,AND(DAY($A296)=MIN(DAY('Recurring Schedule'!$F$38),DAY(EOMONTH($A296,0))),MOD((YEAR($A296)-YEAR('Recurring Schedule'!$F$38))*12+MONTH($A296)-MONTH('Recurring Schedule'!$F$38),'Recurring Schedule'!$O$38)=0),IF('Recurring Schedule'!$E$38="Weekdays",WEEKDAY($A296,2)&lt;=5,$A296='Recurring Schedule'!$F$38))),33,""))))</f>
        <v/>
      </c>
      <c r="AI296">
        <f>IF('Recurring Schedule'!$C$39="","",IF('Recurring Schedule'!$F$39="","",IF(OR($A296&lt;'Recurring Schedule'!$F$39,$A296&gt;'Recurring Schedule'!$P$39),"",IF(IF('Recurring Schedule'!$N$39&gt;0,MOD($A296-'Recurring Schedule'!$F$39,'Recurring Schedule'!$N$39)=0,IF('Recurring Schedule'!$O$39&gt;0,AND(DAY($A296)=MIN(DAY('Recurring Schedule'!$F$39),DAY(EOMONTH($A296,0))),MOD((YEAR($A296)-YEAR('Recurring Schedule'!$F$39))*12+MONTH($A296)-MONTH('Recurring Schedule'!$F$39),'Recurring Schedule'!$O$39)=0),IF('Recurring Schedule'!$E$39="Weekdays",WEEKDAY($A296,2)&lt;=5,$A296='Recurring Schedule'!$F$39))),34,""))))</f>
        <v/>
      </c>
      <c r="AJ296">
        <f>IF('Recurring Schedule'!$C$40="","",IF('Recurring Schedule'!$F$40="","",IF(OR($A296&lt;'Recurring Schedule'!$F$40,$A296&gt;'Recurring Schedule'!$P$40),"",IF(IF('Recurring Schedule'!$N$40&gt;0,MOD($A296-'Recurring Schedule'!$F$40,'Recurring Schedule'!$N$40)=0,IF('Recurring Schedule'!$O$40&gt;0,AND(DAY($A296)=MIN(DAY('Recurring Schedule'!$F$40),DAY(EOMONTH($A296,0))),MOD((YEAR($A296)-YEAR('Recurring Schedule'!$F$40))*12+MONTH($A296)-MONTH('Recurring Schedule'!$F$40),'Recurring Schedule'!$O$40)=0),IF('Recurring Schedule'!$E$40="Weekdays",WEEKDAY($A296,2)&lt;=5,$A296='Recurring Schedule'!$F$40))),35,""))))</f>
        <v/>
      </c>
      <c r="AK296">
        <f>IF('Recurring Schedule'!$C$41="","",IF('Recurring Schedule'!$F$41="","",IF(OR($A296&lt;'Recurring Schedule'!$F$41,$A296&gt;'Recurring Schedule'!$P$41),"",IF(IF('Recurring Schedule'!$N$41&gt;0,MOD($A296-'Recurring Schedule'!$F$41,'Recurring Schedule'!$N$41)=0,IF('Recurring Schedule'!$O$41&gt;0,AND(DAY($A296)=MIN(DAY('Recurring Schedule'!$F$41),DAY(EOMONTH($A296,0))),MOD((YEAR($A296)-YEAR('Recurring Schedule'!$F$41))*12+MONTH($A296)-MONTH('Recurring Schedule'!$F$41),'Recurring Schedule'!$O$41)=0),IF('Recurring Schedule'!$E$41="Weekdays",WEEKDAY($A296,2)&lt;=5,$A296='Recurring Schedule'!$F$41))),36,""))))</f>
        <v/>
      </c>
      <c r="AL296">
        <f>IF('Recurring Schedule'!$C$42="","",IF('Recurring Schedule'!$F$42="","",IF(OR($A296&lt;'Recurring Schedule'!$F$42,$A296&gt;'Recurring Schedule'!$P$42),"",IF(IF('Recurring Schedule'!$N$42&gt;0,MOD($A296-'Recurring Schedule'!$F$42,'Recurring Schedule'!$N$42)=0,IF('Recurring Schedule'!$O$42&gt;0,AND(DAY($A296)=MIN(DAY('Recurring Schedule'!$F$42),DAY(EOMONTH($A296,0))),MOD((YEAR($A296)-YEAR('Recurring Schedule'!$F$42))*12+MONTH($A296)-MONTH('Recurring Schedule'!$F$42),'Recurring Schedule'!$O$42)=0),IF('Recurring Schedule'!$E$42="Weekdays",WEEKDAY($A296,2)&lt;=5,$A296='Recurring Schedule'!$F$42))),37,""))))</f>
        <v/>
      </c>
      <c r="AM296">
        <f>IF('Recurring Schedule'!$C$43="","",IF('Recurring Schedule'!$F$43="","",IF(OR($A296&lt;'Recurring Schedule'!$F$43,$A296&gt;'Recurring Schedule'!$P$43),"",IF(IF('Recurring Schedule'!$N$43&gt;0,MOD($A296-'Recurring Schedule'!$F$43,'Recurring Schedule'!$N$43)=0,IF('Recurring Schedule'!$O$43&gt;0,AND(DAY($A296)=MIN(DAY('Recurring Schedule'!$F$43),DAY(EOMONTH($A296,0))),MOD((YEAR($A296)-YEAR('Recurring Schedule'!$F$43))*12+MONTH($A296)-MONTH('Recurring Schedule'!$F$43),'Recurring Schedule'!$O$43)=0),IF('Recurring Schedule'!$E$43="Weekdays",WEEKDAY($A296,2)&lt;=5,$A296='Recurring Schedule'!$F$43))),38,""))))</f>
        <v/>
      </c>
      <c r="AN296">
        <f>IF('Recurring Schedule'!$C$44="","",IF('Recurring Schedule'!$F$44="","",IF(OR($A296&lt;'Recurring Schedule'!$F$44,$A296&gt;'Recurring Schedule'!$P$44),"",IF(IF('Recurring Schedule'!$N$44&gt;0,MOD($A296-'Recurring Schedule'!$F$44,'Recurring Schedule'!$N$44)=0,IF('Recurring Schedule'!$O$44&gt;0,AND(DAY($A296)=MIN(DAY('Recurring Schedule'!$F$44),DAY(EOMONTH($A296,0))),MOD((YEAR($A296)-YEAR('Recurring Schedule'!$F$44))*12+MONTH($A296)-MONTH('Recurring Schedule'!$F$44),'Recurring Schedule'!$O$44)=0),IF('Recurring Schedule'!$E$44="Weekdays",WEEKDAY($A296,2)&lt;=5,$A296='Recurring Schedule'!$F$44))),39,""))))</f>
        <v/>
      </c>
      <c r="AO296">
        <f>IF('Recurring Schedule'!$C$45="","",IF('Recurring Schedule'!$F$45="","",IF(OR($A296&lt;'Recurring Schedule'!$F$45,$A296&gt;'Recurring Schedule'!$P$45),"",IF(IF('Recurring Schedule'!$N$45&gt;0,MOD($A296-'Recurring Schedule'!$F$45,'Recurring Schedule'!$N$45)=0,IF('Recurring Schedule'!$O$45&gt;0,AND(DAY($A296)=MIN(DAY('Recurring Schedule'!$F$45),DAY(EOMONTH($A296,0))),MOD((YEAR($A296)-YEAR('Recurring Schedule'!$F$45))*12+MONTH($A296)-MONTH('Recurring Schedule'!$F$45),'Recurring Schedule'!$O$45)=0),IF('Recurring Schedule'!$E$45="Weekdays",WEEKDAY($A296,2)&lt;=5,$A296='Recurring Schedule'!$F$45))),40,""))))</f>
        <v/>
      </c>
      <c r="AP296">
        <f>COUNT(B296:AO296)</f>
        <v/>
      </c>
      <c r="AQ296">
        <f>AQ295+AP295</f>
        <v/>
      </c>
      <c r="AS296" t="inlineStr">
        <is>
          <t>R</t>
        </is>
      </c>
      <c r="AT296" t="n">
        <v>300</v>
      </c>
      <c r="AU296">
        <f>'Recurring Log'!C300&amp;""</f>
        <v/>
      </c>
      <c r="AV296">
        <f>'Recurring Log'!D300&amp;""</f>
        <v/>
      </c>
      <c r="AW296">
        <f>IF('Recurring Log'!E300="","",'Recurring Log'!E300)</f>
        <v/>
      </c>
      <c r="AX296">
        <f>IF('Recurring Log'!G300="","",'Recurring Log'!G300)</f>
        <v/>
      </c>
      <c r="AY296">
        <f>IF('Recurring Log'!H300="","",'Recurring Log'!H300)</f>
        <v/>
      </c>
      <c r="AZ296">
        <f>IF(AU296="","",IF('Recurring Log'!J300="","Not Started",'Recurring Log'!J300))</f>
        <v/>
      </c>
      <c r="BA296">
        <f>'Recurring Log'!L300&amp;""</f>
        <v/>
      </c>
      <c r="BB296">
        <f>'Recurring Log'!M300&amp;""</f>
        <v/>
      </c>
      <c r="BC296">
        <f>'Recurring Log'!N300&amp;""</f>
        <v/>
      </c>
      <c r="BD296">
        <f>'Recurring Log'!O300&amp;""</f>
        <v/>
      </c>
      <c r="BE296">
        <f>IF('Recurring Log'!K300="","",'Recurring Log'!K300)</f>
        <v/>
      </c>
      <c r="BF296">
        <f>IFERROR(MATCH(BA296,Setup!$L$6:$L$9,0),5)</f>
        <v/>
      </c>
      <c r="BG296">
        <f>IF(OR(AZ296="Done",AZ296="Cancelled"),1,0)</f>
        <v/>
      </c>
      <c r="BH296">
        <f>IF(AND(AU296&lt;&gt;"",ISNUMBER(AW296)),1,0)</f>
        <v/>
      </c>
      <c r="BI296">
        <f>IF(BH296=0,0,IF(AND(AW296&gt;='Tasks Filter'!$F$3,AW296&lt;='Tasks Filter'!$F$4,OR('Tasks Filter'!$I$3="",ISNUMBER(SEARCH('Tasks Filter'!$I$3,AU296))),OR('Tasks Filter'!$I$4="",BF296=IFERROR(MATCH('Tasks Filter'!$I$4,Setup!$L$6:$L$9,0),0)),OR('Tasks Filter'!$I$5="Both",AND('Tasks Filter'!$I$5="Yes",BB296="✓"),AND('Tasks Filter'!$I$5="No",BB296&lt;&gt;"✓")),OR('Tasks Filter'!$L$3="",AV296='Tasks Filter'!$L$3),OR('Tasks Filter'!$L$4="",AZ296='Tasks Filter'!$L$4),OR('Tasks Filter'!$L$5="",BC296='Tasks Filter'!$L$5),OR('Tasks Filter'!$O$3="",BD296='Tasks Filter'!$O$3),OR('Tasks Filter'!$O$4="Yes",BG296=0)),1,0))</f>
        <v/>
      </c>
      <c r="BJ296">
        <f>IF(BH296=0,"",IF('Tasks Filter'!$F$6="Descending",-1,1)*CHOOSE(MATCH('Tasks Filter'!$F$5,Lists!$G$2:$G$6,0),AW296,BF296,IFERROR(MATCH(AV296,Setup!$F$6:$F$15,0),99),IFERROR(MATCH(BC296,Setup!$H$6:$H$15,0),99),IFERROR(MATCH(AZ296,Setup!$J$6:$J$11,0),99))*1E+9+(AW296-40000)*10000+295)</f>
        <v/>
      </c>
      <c r="BK296">
        <f>IF(BI296=1,BJ296,"")</f>
        <v/>
      </c>
      <c r="BL296">
        <f>IF(AND(BH296=1,BG296=0,N(AW296)&lt;Setup!$D$7),(AW296-40000)*10000+295,"")</f>
        <v/>
      </c>
      <c r="BM296">
        <f>IF(AND(BH296=1,AZ296&lt;&gt;"Cancelled",N(AW296)&gt;=Dashboard!$AB$3,N(AW296)&lt;=Dashboard!$AB$3+6),(AW296-40000)*100000+BF296*10000+295,"")</f>
        <v/>
      </c>
      <c r="BN296">
        <f>IF(AND(BH296=1,AZ296&lt;&gt;"Cancelled"),BF296*10000+295,"")</f>
        <v/>
      </c>
    </row>
    <row r="297">
      <c r="A297">
        <f>Setup!$D$5+295</f>
        <v/>
      </c>
      <c r="B297">
        <f>IF('Recurring Schedule'!$C$6="","",IF('Recurring Schedule'!$F$6="","",IF(OR($A297&lt;'Recurring Schedule'!$F$6,$A297&gt;'Recurring Schedule'!$P$6),"",IF(IF('Recurring Schedule'!$N$6&gt;0,MOD($A297-'Recurring Schedule'!$F$6,'Recurring Schedule'!$N$6)=0,IF('Recurring Schedule'!$O$6&gt;0,AND(DAY($A297)=MIN(DAY('Recurring Schedule'!$F$6),DAY(EOMONTH($A297,0))),MOD((YEAR($A297)-YEAR('Recurring Schedule'!$F$6))*12+MONTH($A297)-MONTH('Recurring Schedule'!$F$6),'Recurring Schedule'!$O$6)=0),IF('Recurring Schedule'!$E$6="Weekdays",WEEKDAY($A297,2)&lt;=5,$A297='Recurring Schedule'!$F$6))),1,""))))</f>
        <v/>
      </c>
      <c r="C297">
        <f>IF('Recurring Schedule'!$C$7="","",IF('Recurring Schedule'!$F$7="","",IF(OR($A297&lt;'Recurring Schedule'!$F$7,$A297&gt;'Recurring Schedule'!$P$7),"",IF(IF('Recurring Schedule'!$N$7&gt;0,MOD($A297-'Recurring Schedule'!$F$7,'Recurring Schedule'!$N$7)=0,IF('Recurring Schedule'!$O$7&gt;0,AND(DAY($A297)=MIN(DAY('Recurring Schedule'!$F$7),DAY(EOMONTH($A297,0))),MOD((YEAR($A297)-YEAR('Recurring Schedule'!$F$7))*12+MONTH($A297)-MONTH('Recurring Schedule'!$F$7),'Recurring Schedule'!$O$7)=0),IF('Recurring Schedule'!$E$7="Weekdays",WEEKDAY($A297,2)&lt;=5,$A297='Recurring Schedule'!$F$7))),2,""))))</f>
        <v/>
      </c>
      <c r="D297">
        <f>IF('Recurring Schedule'!$C$8="","",IF('Recurring Schedule'!$F$8="","",IF(OR($A297&lt;'Recurring Schedule'!$F$8,$A297&gt;'Recurring Schedule'!$P$8),"",IF(IF('Recurring Schedule'!$N$8&gt;0,MOD($A297-'Recurring Schedule'!$F$8,'Recurring Schedule'!$N$8)=0,IF('Recurring Schedule'!$O$8&gt;0,AND(DAY($A297)=MIN(DAY('Recurring Schedule'!$F$8),DAY(EOMONTH($A297,0))),MOD((YEAR($A297)-YEAR('Recurring Schedule'!$F$8))*12+MONTH($A297)-MONTH('Recurring Schedule'!$F$8),'Recurring Schedule'!$O$8)=0),IF('Recurring Schedule'!$E$8="Weekdays",WEEKDAY($A297,2)&lt;=5,$A297='Recurring Schedule'!$F$8))),3,""))))</f>
        <v/>
      </c>
      <c r="E297">
        <f>IF('Recurring Schedule'!$C$9="","",IF('Recurring Schedule'!$F$9="","",IF(OR($A297&lt;'Recurring Schedule'!$F$9,$A297&gt;'Recurring Schedule'!$P$9),"",IF(IF('Recurring Schedule'!$N$9&gt;0,MOD($A297-'Recurring Schedule'!$F$9,'Recurring Schedule'!$N$9)=0,IF('Recurring Schedule'!$O$9&gt;0,AND(DAY($A297)=MIN(DAY('Recurring Schedule'!$F$9),DAY(EOMONTH($A297,0))),MOD((YEAR($A297)-YEAR('Recurring Schedule'!$F$9))*12+MONTH($A297)-MONTH('Recurring Schedule'!$F$9),'Recurring Schedule'!$O$9)=0),IF('Recurring Schedule'!$E$9="Weekdays",WEEKDAY($A297,2)&lt;=5,$A297='Recurring Schedule'!$F$9))),4,""))))</f>
        <v/>
      </c>
      <c r="F297">
        <f>IF('Recurring Schedule'!$C$10="","",IF('Recurring Schedule'!$F$10="","",IF(OR($A297&lt;'Recurring Schedule'!$F$10,$A297&gt;'Recurring Schedule'!$P$10),"",IF(IF('Recurring Schedule'!$N$10&gt;0,MOD($A297-'Recurring Schedule'!$F$10,'Recurring Schedule'!$N$10)=0,IF('Recurring Schedule'!$O$10&gt;0,AND(DAY($A297)=MIN(DAY('Recurring Schedule'!$F$10),DAY(EOMONTH($A297,0))),MOD((YEAR($A297)-YEAR('Recurring Schedule'!$F$10))*12+MONTH($A297)-MONTH('Recurring Schedule'!$F$10),'Recurring Schedule'!$O$10)=0),IF('Recurring Schedule'!$E$10="Weekdays",WEEKDAY($A297,2)&lt;=5,$A297='Recurring Schedule'!$F$10))),5,""))))</f>
        <v/>
      </c>
      <c r="G297">
        <f>IF('Recurring Schedule'!$C$11="","",IF('Recurring Schedule'!$F$11="","",IF(OR($A297&lt;'Recurring Schedule'!$F$11,$A297&gt;'Recurring Schedule'!$P$11),"",IF(IF('Recurring Schedule'!$N$11&gt;0,MOD($A297-'Recurring Schedule'!$F$11,'Recurring Schedule'!$N$11)=0,IF('Recurring Schedule'!$O$11&gt;0,AND(DAY($A297)=MIN(DAY('Recurring Schedule'!$F$11),DAY(EOMONTH($A297,0))),MOD((YEAR($A297)-YEAR('Recurring Schedule'!$F$11))*12+MONTH($A297)-MONTH('Recurring Schedule'!$F$11),'Recurring Schedule'!$O$11)=0),IF('Recurring Schedule'!$E$11="Weekdays",WEEKDAY($A297,2)&lt;=5,$A297='Recurring Schedule'!$F$11))),6,""))))</f>
        <v/>
      </c>
      <c r="H297">
        <f>IF('Recurring Schedule'!$C$12="","",IF('Recurring Schedule'!$F$12="","",IF(OR($A297&lt;'Recurring Schedule'!$F$12,$A297&gt;'Recurring Schedule'!$P$12),"",IF(IF('Recurring Schedule'!$N$12&gt;0,MOD($A297-'Recurring Schedule'!$F$12,'Recurring Schedule'!$N$12)=0,IF('Recurring Schedule'!$O$12&gt;0,AND(DAY($A297)=MIN(DAY('Recurring Schedule'!$F$12),DAY(EOMONTH($A297,0))),MOD((YEAR($A297)-YEAR('Recurring Schedule'!$F$12))*12+MONTH($A297)-MONTH('Recurring Schedule'!$F$12),'Recurring Schedule'!$O$12)=0),IF('Recurring Schedule'!$E$12="Weekdays",WEEKDAY($A297,2)&lt;=5,$A297='Recurring Schedule'!$F$12))),7,""))))</f>
        <v/>
      </c>
      <c r="I297">
        <f>IF('Recurring Schedule'!$C$13="","",IF('Recurring Schedule'!$F$13="","",IF(OR($A297&lt;'Recurring Schedule'!$F$13,$A297&gt;'Recurring Schedule'!$P$13),"",IF(IF('Recurring Schedule'!$N$13&gt;0,MOD($A297-'Recurring Schedule'!$F$13,'Recurring Schedule'!$N$13)=0,IF('Recurring Schedule'!$O$13&gt;0,AND(DAY($A297)=MIN(DAY('Recurring Schedule'!$F$13),DAY(EOMONTH($A297,0))),MOD((YEAR($A297)-YEAR('Recurring Schedule'!$F$13))*12+MONTH($A297)-MONTH('Recurring Schedule'!$F$13),'Recurring Schedule'!$O$13)=0),IF('Recurring Schedule'!$E$13="Weekdays",WEEKDAY($A297,2)&lt;=5,$A297='Recurring Schedule'!$F$13))),8,""))))</f>
        <v/>
      </c>
      <c r="J297">
        <f>IF('Recurring Schedule'!$C$14="","",IF('Recurring Schedule'!$F$14="","",IF(OR($A297&lt;'Recurring Schedule'!$F$14,$A297&gt;'Recurring Schedule'!$P$14),"",IF(IF('Recurring Schedule'!$N$14&gt;0,MOD($A297-'Recurring Schedule'!$F$14,'Recurring Schedule'!$N$14)=0,IF('Recurring Schedule'!$O$14&gt;0,AND(DAY($A297)=MIN(DAY('Recurring Schedule'!$F$14),DAY(EOMONTH($A297,0))),MOD((YEAR($A297)-YEAR('Recurring Schedule'!$F$14))*12+MONTH($A297)-MONTH('Recurring Schedule'!$F$14),'Recurring Schedule'!$O$14)=0),IF('Recurring Schedule'!$E$14="Weekdays",WEEKDAY($A297,2)&lt;=5,$A297='Recurring Schedule'!$F$14))),9,""))))</f>
        <v/>
      </c>
      <c r="K297">
        <f>IF('Recurring Schedule'!$C$15="","",IF('Recurring Schedule'!$F$15="","",IF(OR($A297&lt;'Recurring Schedule'!$F$15,$A297&gt;'Recurring Schedule'!$P$15),"",IF(IF('Recurring Schedule'!$N$15&gt;0,MOD($A297-'Recurring Schedule'!$F$15,'Recurring Schedule'!$N$15)=0,IF('Recurring Schedule'!$O$15&gt;0,AND(DAY($A297)=MIN(DAY('Recurring Schedule'!$F$15),DAY(EOMONTH($A297,0))),MOD((YEAR($A297)-YEAR('Recurring Schedule'!$F$15))*12+MONTH($A297)-MONTH('Recurring Schedule'!$F$15),'Recurring Schedule'!$O$15)=0),IF('Recurring Schedule'!$E$15="Weekdays",WEEKDAY($A297,2)&lt;=5,$A297='Recurring Schedule'!$F$15))),10,""))))</f>
        <v/>
      </c>
      <c r="L297">
        <f>IF('Recurring Schedule'!$C$16="","",IF('Recurring Schedule'!$F$16="","",IF(OR($A297&lt;'Recurring Schedule'!$F$16,$A297&gt;'Recurring Schedule'!$P$16),"",IF(IF('Recurring Schedule'!$N$16&gt;0,MOD($A297-'Recurring Schedule'!$F$16,'Recurring Schedule'!$N$16)=0,IF('Recurring Schedule'!$O$16&gt;0,AND(DAY($A297)=MIN(DAY('Recurring Schedule'!$F$16),DAY(EOMONTH($A297,0))),MOD((YEAR($A297)-YEAR('Recurring Schedule'!$F$16))*12+MONTH($A297)-MONTH('Recurring Schedule'!$F$16),'Recurring Schedule'!$O$16)=0),IF('Recurring Schedule'!$E$16="Weekdays",WEEKDAY($A297,2)&lt;=5,$A297='Recurring Schedule'!$F$16))),11,""))))</f>
        <v/>
      </c>
      <c r="M297">
        <f>IF('Recurring Schedule'!$C$17="","",IF('Recurring Schedule'!$F$17="","",IF(OR($A297&lt;'Recurring Schedule'!$F$17,$A297&gt;'Recurring Schedule'!$P$17),"",IF(IF('Recurring Schedule'!$N$17&gt;0,MOD($A297-'Recurring Schedule'!$F$17,'Recurring Schedule'!$N$17)=0,IF('Recurring Schedule'!$O$17&gt;0,AND(DAY($A297)=MIN(DAY('Recurring Schedule'!$F$17),DAY(EOMONTH($A297,0))),MOD((YEAR($A297)-YEAR('Recurring Schedule'!$F$17))*12+MONTH($A297)-MONTH('Recurring Schedule'!$F$17),'Recurring Schedule'!$O$17)=0),IF('Recurring Schedule'!$E$17="Weekdays",WEEKDAY($A297,2)&lt;=5,$A297='Recurring Schedule'!$F$17))),12,""))))</f>
        <v/>
      </c>
      <c r="N297">
        <f>IF('Recurring Schedule'!$C$18="","",IF('Recurring Schedule'!$F$18="","",IF(OR($A297&lt;'Recurring Schedule'!$F$18,$A297&gt;'Recurring Schedule'!$P$18),"",IF(IF('Recurring Schedule'!$N$18&gt;0,MOD($A297-'Recurring Schedule'!$F$18,'Recurring Schedule'!$N$18)=0,IF('Recurring Schedule'!$O$18&gt;0,AND(DAY($A297)=MIN(DAY('Recurring Schedule'!$F$18),DAY(EOMONTH($A297,0))),MOD((YEAR($A297)-YEAR('Recurring Schedule'!$F$18))*12+MONTH($A297)-MONTH('Recurring Schedule'!$F$18),'Recurring Schedule'!$O$18)=0),IF('Recurring Schedule'!$E$18="Weekdays",WEEKDAY($A297,2)&lt;=5,$A297='Recurring Schedule'!$F$18))),13,""))))</f>
        <v/>
      </c>
      <c r="O297">
        <f>IF('Recurring Schedule'!$C$19="","",IF('Recurring Schedule'!$F$19="","",IF(OR($A297&lt;'Recurring Schedule'!$F$19,$A297&gt;'Recurring Schedule'!$P$19),"",IF(IF('Recurring Schedule'!$N$19&gt;0,MOD($A297-'Recurring Schedule'!$F$19,'Recurring Schedule'!$N$19)=0,IF('Recurring Schedule'!$O$19&gt;0,AND(DAY($A297)=MIN(DAY('Recurring Schedule'!$F$19),DAY(EOMONTH($A297,0))),MOD((YEAR($A297)-YEAR('Recurring Schedule'!$F$19))*12+MONTH($A297)-MONTH('Recurring Schedule'!$F$19),'Recurring Schedule'!$O$19)=0),IF('Recurring Schedule'!$E$19="Weekdays",WEEKDAY($A297,2)&lt;=5,$A297='Recurring Schedule'!$F$19))),14,""))))</f>
        <v/>
      </c>
      <c r="P297">
        <f>IF('Recurring Schedule'!$C$20="","",IF('Recurring Schedule'!$F$20="","",IF(OR($A297&lt;'Recurring Schedule'!$F$20,$A297&gt;'Recurring Schedule'!$P$20),"",IF(IF('Recurring Schedule'!$N$20&gt;0,MOD($A297-'Recurring Schedule'!$F$20,'Recurring Schedule'!$N$20)=0,IF('Recurring Schedule'!$O$20&gt;0,AND(DAY($A297)=MIN(DAY('Recurring Schedule'!$F$20),DAY(EOMONTH($A297,0))),MOD((YEAR($A297)-YEAR('Recurring Schedule'!$F$20))*12+MONTH($A297)-MONTH('Recurring Schedule'!$F$20),'Recurring Schedule'!$O$20)=0),IF('Recurring Schedule'!$E$20="Weekdays",WEEKDAY($A297,2)&lt;=5,$A297='Recurring Schedule'!$F$20))),15,""))))</f>
        <v/>
      </c>
      <c r="Q297">
        <f>IF('Recurring Schedule'!$C$21="","",IF('Recurring Schedule'!$F$21="","",IF(OR($A297&lt;'Recurring Schedule'!$F$21,$A297&gt;'Recurring Schedule'!$P$21),"",IF(IF('Recurring Schedule'!$N$21&gt;0,MOD($A297-'Recurring Schedule'!$F$21,'Recurring Schedule'!$N$21)=0,IF('Recurring Schedule'!$O$21&gt;0,AND(DAY($A297)=MIN(DAY('Recurring Schedule'!$F$21),DAY(EOMONTH($A297,0))),MOD((YEAR($A297)-YEAR('Recurring Schedule'!$F$21))*12+MONTH($A297)-MONTH('Recurring Schedule'!$F$21),'Recurring Schedule'!$O$21)=0),IF('Recurring Schedule'!$E$21="Weekdays",WEEKDAY($A297,2)&lt;=5,$A297='Recurring Schedule'!$F$21))),16,""))))</f>
        <v/>
      </c>
      <c r="R297">
        <f>IF('Recurring Schedule'!$C$22="","",IF('Recurring Schedule'!$F$22="","",IF(OR($A297&lt;'Recurring Schedule'!$F$22,$A297&gt;'Recurring Schedule'!$P$22),"",IF(IF('Recurring Schedule'!$N$22&gt;0,MOD($A297-'Recurring Schedule'!$F$22,'Recurring Schedule'!$N$22)=0,IF('Recurring Schedule'!$O$22&gt;0,AND(DAY($A297)=MIN(DAY('Recurring Schedule'!$F$22),DAY(EOMONTH($A297,0))),MOD((YEAR($A297)-YEAR('Recurring Schedule'!$F$22))*12+MONTH($A297)-MONTH('Recurring Schedule'!$F$22),'Recurring Schedule'!$O$22)=0),IF('Recurring Schedule'!$E$22="Weekdays",WEEKDAY($A297,2)&lt;=5,$A297='Recurring Schedule'!$F$22))),17,""))))</f>
        <v/>
      </c>
      <c r="S297">
        <f>IF('Recurring Schedule'!$C$23="","",IF('Recurring Schedule'!$F$23="","",IF(OR($A297&lt;'Recurring Schedule'!$F$23,$A297&gt;'Recurring Schedule'!$P$23),"",IF(IF('Recurring Schedule'!$N$23&gt;0,MOD($A297-'Recurring Schedule'!$F$23,'Recurring Schedule'!$N$23)=0,IF('Recurring Schedule'!$O$23&gt;0,AND(DAY($A297)=MIN(DAY('Recurring Schedule'!$F$23),DAY(EOMONTH($A297,0))),MOD((YEAR($A297)-YEAR('Recurring Schedule'!$F$23))*12+MONTH($A297)-MONTH('Recurring Schedule'!$F$23),'Recurring Schedule'!$O$23)=0),IF('Recurring Schedule'!$E$23="Weekdays",WEEKDAY($A297,2)&lt;=5,$A297='Recurring Schedule'!$F$23))),18,""))))</f>
        <v/>
      </c>
      <c r="T297">
        <f>IF('Recurring Schedule'!$C$24="","",IF('Recurring Schedule'!$F$24="","",IF(OR($A297&lt;'Recurring Schedule'!$F$24,$A297&gt;'Recurring Schedule'!$P$24),"",IF(IF('Recurring Schedule'!$N$24&gt;0,MOD($A297-'Recurring Schedule'!$F$24,'Recurring Schedule'!$N$24)=0,IF('Recurring Schedule'!$O$24&gt;0,AND(DAY($A297)=MIN(DAY('Recurring Schedule'!$F$24),DAY(EOMONTH($A297,0))),MOD((YEAR($A297)-YEAR('Recurring Schedule'!$F$24))*12+MONTH($A297)-MONTH('Recurring Schedule'!$F$24),'Recurring Schedule'!$O$24)=0),IF('Recurring Schedule'!$E$24="Weekdays",WEEKDAY($A297,2)&lt;=5,$A297='Recurring Schedule'!$F$24))),19,""))))</f>
        <v/>
      </c>
      <c r="U297">
        <f>IF('Recurring Schedule'!$C$25="","",IF('Recurring Schedule'!$F$25="","",IF(OR($A297&lt;'Recurring Schedule'!$F$25,$A297&gt;'Recurring Schedule'!$P$25),"",IF(IF('Recurring Schedule'!$N$25&gt;0,MOD($A297-'Recurring Schedule'!$F$25,'Recurring Schedule'!$N$25)=0,IF('Recurring Schedule'!$O$25&gt;0,AND(DAY($A297)=MIN(DAY('Recurring Schedule'!$F$25),DAY(EOMONTH($A297,0))),MOD((YEAR($A297)-YEAR('Recurring Schedule'!$F$25))*12+MONTH($A297)-MONTH('Recurring Schedule'!$F$25),'Recurring Schedule'!$O$25)=0),IF('Recurring Schedule'!$E$25="Weekdays",WEEKDAY($A297,2)&lt;=5,$A297='Recurring Schedule'!$F$25))),20,""))))</f>
        <v/>
      </c>
      <c r="V297">
        <f>IF('Recurring Schedule'!$C$26="","",IF('Recurring Schedule'!$F$26="","",IF(OR($A297&lt;'Recurring Schedule'!$F$26,$A297&gt;'Recurring Schedule'!$P$26),"",IF(IF('Recurring Schedule'!$N$26&gt;0,MOD($A297-'Recurring Schedule'!$F$26,'Recurring Schedule'!$N$26)=0,IF('Recurring Schedule'!$O$26&gt;0,AND(DAY($A297)=MIN(DAY('Recurring Schedule'!$F$26),DAY(EOMONTH($A297,0))),MOD((YEAR($A297)-YEAR('Recurring Schedule'!$F$26))*12+MONTH($A297)-MONTH('Recurring Schedule'!$F$26),'Recurring Schedule'!$O$26)=0),IF('Recurring Schedule'!$E$26="Weekdays",WEEKDAY($A297,2)&lt;=5,$A297='Recurring Schedule'!$F$26))),21,""))))</f>
        <v/>
      </c>
      <c r="W297">
        <f>IF('Recurring Schedule'!$C$27="","",IF('Recurring Schedule'!$F$27="","",IF(OR($A297&lt;'Recurring Schedule'!$F$27,$A297&gt;'Recurring Schedule'!$P$27),"",IF(IF('Recurring Schedule'!$N$27&gt;0,MOD($A297-'Recurring Schedule'!$F$27,'Recurring Schedule'!$N$27)=0,IF('Recurring Schedule'!$O$27&gt;0,AND(DAY($A297)=MIN(DAY('Recurring Schedule'!$F$27),DAY(EOMONTH($A297,0))),MOD((YEAR($A297)-YEAR('Recurring Schedule'!$F$27))*12+MONTH($A297)-MONTH('Recurring Schedule'!$F$27),'Recurring Schedule'!$O$27)=0),IF('Recurring Schedule'!$E$27="Weekdays",WEEKDAY($A297,2)&lt;=5,$A297='Recurring Schedule'!$F$27))),22,""))))</f>
        <v/>
      </c>
      <c r="X297">
        <f>IF('Recurring Schedule'!$C$28="","",IF('Recurring Schedule'!$F$28="","",IF(OR($A297&lt;'Recurring Schedule'!$F$28,$A297&gt;'Recurring Schedule'!$P$28),"",IF(IF('Recurring Schedule'!$N$28&gt;0,MOD($A297-'Recurring Schedule'!$F$28,'Recurring Schedule'!$N$28)=0,IF('Recurring Schedule'!$O$28&gt;0,AND(DAY($A297)=MIN(DAY('Recurring Schedule'!$F$28),DAY(EOMONTH($A297,0))),MOD((YEAR($A297)-YEAR('Recurring Schedule'!$F$28))*12+MONTH($A297)-MONTH('Recurring Schedule'!$F$28),'Recurring Schedule'!$O$28)=0),IF('Recurring Schedule'!$E$28="Weekdays",WEEKDAY($A297,2)&lt;=5,$A297='Recurring Schedule'!$F$28))),23,""))))</f>
        <v/>
      </c>
      <c r="Y297">
        <f>IF('Recurring Schedule'!$C$29="","",IF('Recurring Schedule'!$F$29="","",IF(OR($A297&lt;'Recurring Schedule'!$F$29,$A297&gt;'Recurring Schedule'!$P$29),"",IF(IF('Recurring Schedule'!$N$29&gt;0,MOD($A297-'Recurring Schedule'!$F$29,'Recurring Schedule'!$N$29)=0,IF('Recurring Schedule'!$O$29&gt;0,AND(DAY($A297)=MIN(DAY('Recurring Schedule'!$F$29),DAY(EOMONTH($A297,0))),MOD((YEAR($A297)-YEAR('Recurring Schedule'!$F$29))*12+MONTH($A297)-MONTH('Recurring Schedule'!$F$29),'Recurring Schedule'!$O$29)=0),IF('Recurring Schedule'!$E$29="Weekdays",WEEKDAY($A297,2)&lt;=5,$A297='Recurring Schedule'!$F$29))),24,""))))</f>
        <v/>
      </c>
      <c r="Z297">
        <f>IF('Recurring Schedule'!$C$30="","",IF('Recurring Schedule'!$F$30="","",IF(OR($A297&lt;'Recurring Schedule'!$F$30,$A297&gt;'Recurring Schedule'!$P$30),"",IF(IF('Recurring Schedule'!$N$30&gt;0,MOD($A297-'Recurring Schedule'!$F$30,'Recurring Schedule'!$N$30)=0,IF('Recurring Schedule'!$O$30&gt;0,AND(DAY($A297)=MIN(DAY('Recurring Schedule'!$F$30),DAY(EOMONTH($A297,0))),MOD((YEAR($A297)-YEAR('Recurring Schedule'!$F$30))*12+MONTH($A297)-MONTH('Recurring Schedule'!$F$30),'Recurring Schedule'!$O$30)=0),IF('Recurring Schedule'!$E$30="Weekdays",WEEKDAY($A297,2)&lt;=5,$A297='Recurring Schedule'!$F$30))),25,""))))</f>
        <v/>
      </c>
      <c r="AA297">
        <f>IF('Recurring Schedule'!$C$31="","",IF('Recurring Schedule'!$F$31="","",IF(OR($A297&lt;'Recurring Schedule'!$F$31,$A297&gt;'Recurring Schedule'!$P$31),"",IF(IF('Recurring Schedule'!$N$31&gt;0,MOD($A297-'Recurring Schedule'!$F$31,'Recurring Schedule'!$N$31)=0,IF('Recurring Schedule'!$O$31&gt;0,AND(DAY($A297)=MIN(DAY('Recurring Schedule'!$F$31),DAY(EOMONTH($A297,0))),MOD((YEAR($A297)-YEAR('Recurring Schedule'!$F$31))*12+MONTH($A297)-MONTH('Recurring Schedule'!$F$31),'Recurring Schedule'!$O$31)=0),IF('Recurring Schedule'!$E$31="Weekdays",WEEKDAY($A297,2)&lt;=5,$A297='Recurring Schedule'!$F$31))),26,""))))</f>
        <v/>
      </c>
      <c r="AB297">
        <f>IF('Recurring Schedule'!$C$32="","",IF('Recurring Schedule'!$F$32="","",IF(OR($A297&lt;'Recurring Schedule'!$F$32,$A297&gt;'Recurring Schedule'!$P$32),"",IF(IF('Recurring Schedule'!$N$32&gt;0,MOD($A297-'Recurring Schedule'!$F$32,'Recurring Schedule'!$N$32)=0,IF('Recurring Schedule'!$O$32&gt;0,AND(DAY($A297)=MIN(DAY('Recurring Schedule'!$F$32),DAY(EOMONTH($A297,0))),MOD((YEAR($A297)-YEAR('Recurring Schedule'!$F$32))*12+MONTH($A297)-MONTH('Recurring Schedule'!$F$32),'Recurring Schedule'!$O$32)=0),IF('Recurring Schedule'!$E$32="Weekdays",WEEKDAY($A297,2)&lt;=5,$A297='Recurring Schedule'!$F$32))),27,""))))</f>
        <v/>
      </c>
      <c r="AC297">
        <f>IF('Recurring Schedule'!$C$33="","",IF('Recurring Schedule'!$F$33="","",IF(OR($A297&lt;'Recurring Schedule'!$F$33,$A297&gt;'Recurring Schedule'!$P$33),"",IF(IF('Recurring Schedule'!$N$33&gt;0,MOD($A297-'Recurring Schedule'!$F$33,'Recurring Schedule'!$N$33)=0,IF('Recurring Schedule'!$O$33&gt;0,AND(DAY($A297)=MIN(DAY('Recurring Schedule'!$F$33),DAY(EOMONTH($A297,0))),MOD((YEAR($A297)-YEAR('Recurring Schedule'!$F$33))*12+MONTH($A297)-MONTH('Recurring Schedule'!$F$33),'Recurring Schedule'!$O$33)=0),IF('Recurring Schedule'!$E$33="Weekdays",WEEKDAY($A297,2)&lt;=5,$A297='Recurring Schedule'!$F$33))),28,""))))</f>
        <v/>
      </c>
      <c r="AD297">
        <f>IF('Recurring Schedule'!$C$34="","",IF('Recurring Schedule'!$F$34="","",IF(OR($A297&lt;'Recurring Schedule'!$F$34,$A297&gt;'Recurring Schedule'!$P$34),"",IF(IF('Recurring Schedule'!$N$34&gt;0,MOD($A297-'Recurring Schedule'!$F$34,'Recurring Schedule'!$N$34)=0,IF('Recurring Schedule'!$O$34&gt;0,AND(DAY($A297)=MIN(DAY('Recurring Schedule'!$F$34),DAY(EOMONTH($A297,0))),MOD((YEAR($A297)-YEAR('Recurring Schedule'!$F$34))*12+MONTH($A297)-MONTH('Recurring Schedule'!$F$34),'Recurring Schedule'!$O$34)=0),IF('Recurring Schedule'!$E$34="Weekdays",WEEKDAY($A297,2)&lt;=5,$A297='Recurring Schedule'!$F$34))),29,""))))</f>
        <v/>
      </c>
      <c r="AE297">
        <f>IF('Recurring Schedule'!$C$35="","",IF('Recurring Schedule'!$F$35="","",IF(OR($A297&lt;'Recurring Schedule'!$F$35,$A297&gt;'Recurring Schedule'!$P$35),"",IF(IF('Recurring Schedule'!$N$35&gt;0,MOD($A297-'Recurring Schedule'!$F$35,'Recurring Schedule'!$N$35)=0,IF('Recurring Schedule'!$O$35&gt;0,AND(DAY($A297)=MIN(DAY('Recurring Schedule'!$F$35),DAY(EOMONTH($A297,0))),MOD((YEAR($A297)-YEAR('Recurring Schedule'!$F$35))*12+MONTH($A297)-MONTH('Recurring Schedule'!$F$35),'Recurring Schedule'!$O$35)=0),IF('Recurring Schedule'!$E$35="Weekdays",WEEKDAY($A297,2)&lt;=5,$A297='Recurring Schedule'!$F$35))),30,""))))</f>
        <v/>
      </c>
      <c r="AF297">
        <f>IF('Recurring Schedule'!$C$36="","",IF('Recurring Schedule'!$F$36="","",IF(OR($A297&lt;'Recurring Schedule'!$F$36,$A297&gt;'Recurring Schedule'!$P$36),"",IF(IF('Recurring Schedule'!$N$36&gt;0,MOD($A297-'Recurring Schedule'!$F$36,'Recurring Schedule'!$N$36)=0,IF('Recurring Schedule'!$O$36&gt;0,AND(DAY($A297)=MIN(DAY('Recurring Schedule'!$F$36),DAY(EOMONTH($A297,0))),MOD((YEAR($A297)-YEAR('Recurring Schedule'!$F$36))*12+MONTH($A297)-MONTH('Recurring Schedule'!$F$36),'Recurring Schedule'!$O$36)=0),IF('Recurring Schedule'!$E$36="Weekdays",WEEKDAY($A297,2)&lt;=5,$A297='Recurring Schedule'!$F$36))),31,""))))</f>
        <v/>
      </c>
      <c r="AG297">
        <f>IF('Recurring Schedule'!$C$37="","",IF('Recurring Schedule'!$F$37="","",IF(OR($A297&lt;'Recurring Schedule'!$F$37,$A297&gt;'Recurring Schedule'!$P$37),"",IF(IF('Recurring Schedule'!$N$37&gt;0,MOD($A297-'Recurring Schedule'!$F$37,'Recurring Schedule'!$N$37)=0,IF('Recurring Schedule'!$O$37&gt;0,AND(DAY($A297)=MIN(DAY('Recurring Schedule'!$F$37),DAY(EOMONTH($A297,0))),MOD((YEAR($A297)-YEAR('Recurring Schedule'!$F$37))*12+MONTH($A297)-MONTH('Recurring Schedule'!$F$37),'Recurring Schedule'!$O$37)=0),IF('Recurring Schedule'!$E$37="Weekdays",WEEKDAY($A297,2)&lt;=5,$A297='Recurring Schedule'!$F$37))),32,""))))</f>
        <v/>
      </c>
      <c r="AH297">
        <f>IF('Recurring Schedule'!$C$38="","",IF('Recurring Schedule'!$F$38="","",IF(OR($A297&lt;'Recurring Schedule'!$F$38,$A297&gt;'Recurring Schedule'!$P$38),"",IF(IF('Recurring Schedule'!$N$38&gt;0,MOD($A297-'Recurring Schedule'!$F$38,'Recurring Schedule'!$N$38)=0,IF('Recurring Schedule'!$O$38&gt;0,AND(DAY($A297)=MIN(DAY('Recurring Schedule'!$F$38),DAY(EOMONTH($A297,0))),MOD((YEAR($A297)-YEAR('Recurring Schedule'!$F$38))*12+MONTH($A297)-MONTH('Recurring Schedule'!$F$38),'Recurring Schedule'!$O$38)=0),IF('Recurring Schedule'!$E$38="Weekdays",WEEKDAY($A297,2)&lt;=5,$A297='Recurring Schedule'!$F$38))),33,""))))</f>
        <v/>
      </c>
      <c r="AI297">
        <f>IF('Recurring Schedule'!$C$39="","",IF('Recurring Schedule'!$F$39="","",IF(OR($A297&lt;'Recurring Schedule'!$F$39,$A297&gt;'Recurring Schedule'!$P$39),"",IF(IF('Recurring Schedule'!$N$39&gt;0,MOD($A297-'Recurring Schedule'!$F$39,'Recurring Schedule'!$N$39)=0,IF('Recurring Schedule'!$O$39&gt;0,AND(DAY($A297)=MIN(DAY('Recurring Schedule'!$F$39),DAY(EOMONTH($A297,0))),MOD((YEAR($A297)-YEAR('Recurring Schedule'!$F$39))*12+MONTH($A297)-MONTH('Recurring Schedule'!$F$39),'Recurring Schedule'!$O$39)=0),IF('Recurring Schedule'!$E$39="Weekdays",WEEKDAY($A297,2)&lt;=5,$A297='Recurring Schedule'!$F$39))),34,""))))</f>
        <v/>
      </c>
      <c r="AJ297">
        <f>IF('Recurring Schedule'!$C$40="","",IF('Recurring Schedule'!$F$40="","",IF(OR($A297&lt;'Recurring Schedule'!$F$40,$A297&gt;'Recurring Schedule'!$P$40),"",IF(IF('Recurring Schedule'!$N$40&gt;0,MOD($A297-'Recurring Schedule'!$F$40,'Recurring Schedule'!$N$40)=0,IF('Recurring Schedule'!$O$40&gt;0,AND(DAY($A297)=MIN(DAY('Recurring Schedule'!$F$40),DAY(EOMONTH($A297,0))),MOD((YEAR($A297)-YEAR('Recurring Schedule'!$F$40))*12+MONTH($A297)-MONTH('Recurring Schedule'!$F$40),'Recurring Schedule'!$O$40)=0),IF('Recurring Schedule'!$E$40="Weekdays",WEEKDAY($A297,2)&lt;=5,$A297='Recurring Schedule'!$F$40))),35,""))))</f>
        <v/>
      </c>
      <c r="AK297">
        <f>IF('Recurring Schedule'!$C$41="","",IF('Recurring Schedule'!$F$41="","",IF(OR($A297&lt;'Recurring Schedule'!$F$41,$A297&gt;'Recurring Schedule'!$P$41),"",IF(IF('Recurring Schedule'!$N$41&gt;0,MOD($A297-'Recurring Schedule'!$F$41,'Recurring Schedule'!$N$41)=0,IF('Recurring Schedule'!$O$41&gt;0,AND(DAY($A297)=MIN(DAY('Recurring Schedule'!$F$41),DAY(EOMONTH($A297,0))),MOD((YEAR($A297)-YEAR('Recurring Schedule'!$F$41))*12+MONTH($A297)-MONTH('Recurring Schedule'!$F$41),'Recurring Schedule'!$O$41)=0),IF('Recurring Schedule'!$E$41="Weekdays",WEEKDAY($A297,2)&lt;=5,$A297='Recurring Schedule'!$F$41))),36,""))))</f>
        <v/>
      </c>
      <c r="AL297">
        <f>IF('Recurring Schedule'!$C$42="","",IF('Recurring Schedule'!$F$42="","",IF(OR($A297&lt;'Recurring Schedule'!$F$42,$A297&gt;'Recurring Schedule'!$P$42),"",IF(IF('Recurring Schedule'!$N$42&gt;0,MOD($A297-'Recurring Schedule'!$F$42,'Recurring Schedule'!$N$42)=0,IF('Recurring Schedule'!$O$42&gt;0,AND(DAY($A297)=MIN(DAY('Recurring Schedule'!$F$42),DAY(EOMONTH($A297,0))),MOD((YEAR($A297)-YEAR('Recurring Schedule'!$F$42))*12+MONTH($A297)-MONTH('Recurring Schedule'!$F$42),'Recurring Schedule'!$O$42)=0),IF('Recurring Schedule'!$E$42="Weekdays",WEEKDAY($A297,2)&lt;=5,$A297='Recurring Schedule'!$F$42))),37,""))))</f>
        <v/>
      </c>
      <c r="AM297">
        <f>IF('Recurring Schedule'!$C$43="","",IF('Recurring Schedule'!$F$43="","",IF(OR($A297&lt;'Recurring Schedule'!$F$43,$A297&gt;'Recurring Schedule'!$P$43),"",IF(IF('Recurring Schedule'!$N$43&gt;0,MOD($A297-'Recurring Schedule'!$F$43,'Recurring Schedule'!$N$43)=0,IF('Recurring Schedule'!$O$43&gt;0,AND(DAY($A297)=MIN(DAY('Recurring Schedule'!$F$43),DAY(EOMONTH($A297,0))),MOD((YEAR($A297)-YEAR('Recurring Schedule'!$F$43))*12+MONTH($A297)-MONTH('Recurring Schedule'!$F$43),'Recurring Schedule'!$O$43)=0),IF('Recurring Schedule'!$E$43="Weekdays",WEEKDAY($A297,2)&lt;=5,$A297='Recurring Schedule'!$F$43))),38,""))))</f>
        <v/>
      </c>
      <c r="AN297">
        <f>IF('Recurring Schedule'!$C$44="","",IF('Recurring Schedule'!$F$44="","",IF(OR($A297&lt;'Recurring Schedule'!$F$44,$A297&gt;'Recurring Schedule'!$P$44),"",IF(IF('Recurring Schedule'!$N$44&gt;0,MOD($A297-'Recurring Schedule'!$F$44,'Recurring Schedule'!$N$44)=0,IF('Recurring Schedule'!$O$44&gt;0,AND(DAY($A297)=MIN(DAY('Recurring Schedule'!$F$44),DAY(EOMONTH($A297,0))),MOD((YEAR($A297)-YEAR('Recurring Schedule'!$F$44))*12+MONTH($A297)-MONTH('Recurring Schedule'!$F$44),'Recurring Schedule'!$O$44)=0),IF('Recurring Schedule'!$E$44="Weekdays",WEEKDAY($A297,2)&lt;=5,$A297='Recurring Schedule'!$F$44))),39,""))))</f>
        <v/>
      </c>
      <c r="AO297">
        <f>IF('Recurring Schedule'!$C$45="","",IF('Recurring Schedule'!$F$45="","",IF(OR($A297&lt;'Recurring Schedule'!$F$45,$A297&gt;'Recurring Schedule'!$P$45),"",IF(IF('Recurring Schedule'!$N$45&gt;0,MOD($A297-'Recurring Schedule'!$F$45,'Recurring Schedule'!$N$45)=0,IF('Recurring Schedule'!$O$45&gt;0,AND(DAY($A297)=MIN(DAY('Recurring Schedule'!$F$45),DAY(EOMONTH($A297,0))),MOD((YEAR($A297)-YEAR('Recurring Schedule'!$F$45))*12+MONTH($A297)-MONTH('Recurring Schedule'!$F$45),'Recurring Schedule'!$O$45)=0),IF('Recurring Schedule'!$E$45="Weekdays",WEEKDAY($A297,2)&lt;=5,$A297='Recurring Schedule'!$F$45))),40,""))))</f>
        <v/>
      </c>
      <c r="AP297">
        <f>COUNT(B297:AO297)</f>
        <v/>
      </c>
      <c r="AQ297">
        <f>AQ296+AP296</f>
        <v/>
      </c>
      <c r="AS297" t="inlineStr">
        <is>
          <t>R</t>
        </is>
      </c>
      <c r="AT297" t="n">
        <v>301</v>
      </c>
      <c r="AU297">
        <f>'Recurring Log'!C301&amp;""</f>
        <v/>
      </c>
      <c r="AV297">
        <f>'Recurring Log'!D301&amp;""</f>
        <v/>
      </c>
      <c r="AW297">
        <f>IF('Recurring Log'!E301="","",'Recurring Log'!E301)</f>
        <v/>
      </c>
      <c r="AX297">
        <f>IF('Recurring Log'!G301="","",'Recurring Log'!G301)</f>
        <v/>
      </c>
      <c r="AY297">
        <f>IF('Recurring Log'!H301="","",'Recurring Log'!H301)</f>
        <v/>
      </c>
      <c r="AZ297">
        <f>IF(AU297="","",IF('Recurring Log'!J301="","Not Started",'Recurring Log'!J301))</f>
        <v/>
      </c>
      <c r="BA297">
        <f>'Recurring Log'!L301&amp;""</f>
        <v/>
      </c>
      <c r="BB297">
        <f>'Recurring Log'!M301&amp;""</f>
        <v/>
      </c>
      <c r="BC297">
        <f>'Recurring Log'!N301&amp;""</f>
        <v/>
      </c>
      <c r="BD297">
        <f>'Recurring Log'!O301&amp;""</f>
        <v/>
      </c>
      <c r="BE297">
        <f>IF('Recurring Log'!K301="","",'Recurring Log'!K301)</f>
        <v/>
      </c>
      <c r="BF297">
        <f>IFERROR(MATCH(BA297,Setup!$L$6:$L$9,0),5)</f>
        <v/>
      </c>
      <c r="BG297">
        <f>IF(OR(AZ297="Done",AZ297="Cancelled"),1,0)</f>
        <v/>
      </c>
      <c r="BH297">
        <f>IF(AND(AU297&lt;&gt;"",ISNUMBER(AW297)),1,0)</f>
        <v/>
      </c>
      <c r="BI297">
        <f>IF(BH297=0,0,IF(AND(AW297&gt;='Tasks Filter'!$F$3,AW297&lt;='Tasks Filter'!$F$4,OR('Tasks Filter'!$I$3="",ISNUMBER(SEARCH('Tasks Filter'!$I$3,AU297))),OR('Tasks Filter'!$I$4="",BF297=IFERROR(MATCH('Tasks Filter'!$I$4,Setup!$L$6:$L$9,0),0)),OR('Tasks Filter'!$I$5="Both",AND('Tasks Filter'!$I$5="Yes",BB297="✓"),AND('Tasks Filter'!$I$5="No",BB297&lt;&gt;"✓")),OR('Tasks Filter'!$L$3="",AV297='Tasks Filter'!$L$3),OR('Tasks Filter'!$L$4="",AZ297='Tasks Filter'!$L$4),OR('Tasks Filter'!$L$5="",BC297='Tasks Filter'!$L$5),OR('Tasks Filter'!$O$3="",BD297='Tasks Filter'!$O$3),OR('Tasks Filter'!$O$4="Yes",BG297=0)),1,0))</f>
        <v/>
      </c>
      <c r="BJ297">
        <f>IF(BH297=0,"",IF('Tasks Filter'!$F$6="Descending",-1,1)*CHOOSE(MATCH('Tasks Filter'!$F$5,Lists!$G$2:$G$6,0),AW297,BF297,IFERROR(MATCH(AV297,Setup!$F$6:$F$15,0),99),IFERROR(MATCH(BC297,Setup!$H$6:$H$15,0),99),IFERROR(MATCH(AZ297,Setup!$J$6:$J$11,0),99))*1E+9+(AW297-40000)*10000+296)</f>
        <v/>
      </c>
      <c r="BK297">
        <f>IF(BI297=1,BJ297,"")</f>
        <v/>
      </c>
      <c r="BL297">
        <f>IF(AND(BH297=1,BG297=0,N(AW297)&lt;Setup!$D$7),(AW297-40000)*10000+296,"")</f>
        <v/>
      </c>
      <c r="BM297">
        <f>IF(AND(BH297=1,AZ297&lt;&gt;"Cancelled",N(AW297)&gt;=Dashboard!$AB$3,N(AW297)&lt;=Dashboard!$AB$3+6),(AW297-40000)*100000+BF297*10000+296,"")</f>
        <v/>
      </c>
      <c r="BN297">
        <f>IF(AND(BH297=1,AZ297&lt;&gt;"Cancelled"),BF297*10000+296,"")</f>
        <v/>
      </c>
    </row>
    <row r="298">
      <c r="A298">
        <f>Setup!$D$5+296</f>
        <v/>
      </c>
      <c r="B298">
        <f>IF('Recurring Schedule'!$C$6="","",IF('Recurring Schedule'!$F$6="","",IF(OR($A298&lt;'Recurring Schedule'!$F$6,$A298&gt;'Recurring Schedule'!$P$6),"",IF(IF('Recurring Schedule'!$N$6&gt;0,MOD($A298-'Recurring Schedule'!$F$6,'Recurring Schedule'!$N$6)=0,IF('Recurring Schedule'!$O$6&gt;0,AND(DAY($A298)=MIN(DAY('Recurring Schedule'!$F$6),DAY(EOMONTH($A298,0))),MOD((YEAR($A298)-YEAR('Recurring Schedule'!$F$6))*12+MONTH($A298)-MONTH('Recurring Schedule'!$F$6),'Recurring Schedule'!$O$6)=0),IF('Recurring Schedule'!$E$6="Weekdays",WEEKDAY($A298,2)&lt;=5,$A298='Recurring Schedule'!$F$6))),1,""))))</f>
        <v/>
      </c>
      <c r="C298">
        <f>IF('Recurring Schedule'!$C$7="","",IF('Recurring Schedule'!$F$7="","",IF(OR($A298&lt;'Recurring Schedule'!$F$7,$A298&gt;'Recurring Schedule'!$P$7),"",IF(IF('Recurring Schedule'!$N$7&gt;0,MOD($A298-'Recurring Schedule'!$F$7,'Recurring Schedule'!$N$7)=0,IF('Recurring Schedule'!$O$7&gt;0,AND(DAY($A298)=MIN(DAY('Recurring Schedule'!$F$7),DAY(EOMONTH($A298,0))),MOD((YEAR($A298)-YEAR('Recurring Schedule'!$F$7))*12+MONTH($A298)-MONTH('Recurring Schedule'!$F$7),'Recurring Schedule'!$O$7)=0),IF('Recurring Schedule'!$E$7="Weekdays",WEEKDAY($A298,2)&lt;=5,$A298='Recurring Schedule'!$F$7))),2,""))))</f>
        <v/>
      </c>
      <c r="D298">
        <f>IF('Recurring Schedule'!$C$8="","",IF('Recurring Schedule'!$F$8="","",IF(OR($A298&lt;'Recurring Schedule'!$F$8,$A298&gt;'Recurring Schedule'!$P$8),"",IF(IF('Recurring Schedule'!$N$8&gt;0,MOD($A298-'Recurring Schedule'!$F$8,'Recurring Schedule'!$N$8)=0,IF('Recurring Schedule'!$O$8&gt;0,AND(DAY($A298)=MIN(DAY('Recurring Schedule'!$F$8),DAY(EOMONTH($A298,0))),MOD((YEAR($A298)-YEAR('Recurring Schedule'!$F$8))*12+MONTH($A298)-MONTH('Recurring Schedule'!$F$8),'Recurring Schedule'!$O$8)=0),IF('Recurring Schedule'!$E$8="Weekdays",WEEKDAY($A298,2)&lt;=5,$A298='Recurring Schedule'!$F$8))),3,""))))</f>
        <v/>
      </c>
      <c r="E298">
        <f>IF('Recurring Schedule'!$C$9="","",IF('Recurring Schedule'!$F$9="","",IF(OR($A298&lt;'Recurring Schedule'!$F$9,$A298&gt;'Recurring Schedule'!$P$9),"",IF(IF('Recurring Schedule'!$N$9&gt;0,MOD($A298-'Recurring Schedule'!$F$9,'Recurring Schedule'!$N$9)=0,IF('Recurring Schedule'!$O$9&gt;0,AND(DAY($A298)=MIN(DAY('Recurring Schedule'!$F$9),DAY(EOMONTH($A298,0))),MOD((YEAR($A298)-YEAR('Recurring Schedule'!$F$9))*12+MONTH($A298)-MONTH('Recurring Schedule'!$F$9),'Recurring Schedule'!$O$9)=0),IF('Recurring Schedule'!$E$9="Weekdays",WEEKDAY($A298,2)&lt;=5,$A298='Recurring Schedule'!$F$9))),4,""))))</f>
        <v/>
      </c>
      <c r="F298">
        <f>IF('Recurring Schedule'!$C$10="","",IF('Recurring Schedule'!$F$10="","",IF(OR($A298&lt;'Recurring Schedule'!$F$10,$A298&gt;'Recurring Schedule'!$P$10),"",IF(IF('Recurring Schedule'!$N$10&gt;0,MOD($A298-'Recurring Schedule'!$F$10,'Recurring Schedule'!$N$10)=0,IF('Recurring Schedule'!$O$10&gt;0,AND(DAY($A298)=MIN(DAY('Recurring Schedule'!$F$10),DAY(EOMONTH($A298,0))),MOD((YEAR($A298)-YEAR('Recurring Schedule'!$F$10))*12+MONTH($A298)-MONTH('Recurring Schedule'!$F$10),'Recurring Schedule'!$O$10)=0),IF('Recurring Schedule'!$E$10="Weekdays",WEEKDAY($A298,2)&lt;=5,$A298='Recurring Schedule'!$F$10))),5,""))))</f>
        <v/>
      </c>
      <c r="G298">
        <f>IF('Recurring Schedule'!$C$11="","",IF('Recurring Schedule'!$F$11="","",IF(OR($A298&lt;'Recurring Schedule'!$F$11,$A298&gt;'Recurring Schedule'!$P$11),"",IF(IF('Recurring Schedule'!$N$11&gt;0,MOD($A298-'Recurring Schedule'!$F$11,'Recurring Schedule'!$N$11)=0,IF('Recurring Schedule'!$O$11&gt;0,AND(DAY($A298)=MIN(DAY('Recurring Schedule'!$F$11),DAY(EOMONTH($A298,0))),MOD((YEAR($A298)-YEAR('Recurring Schedule'!$F$11))*12+MONTH($A298)-MONTH('Recurring Schedule'!$F$11),'Recurring Schedule'!$O$11)=0),IF('Recurring Schedule'!$E$11="Weekdays",WEEKDAY($A298,2)&lt;=5,$A298='Recurring Schedule'!$F$11))),6,""))))</f>
        <v/>
      </c>
      <c r="H298">
        <f>IF('Recurring Schedule'!$C$12="","",IF('Recurring Schedule'!$F$12="","",IF(OR($A298&lt;'Recurring Schedule'!$F$12,$A298&gt;'Recurring Schedule'!$P$12),"",IF(IF('Recurring Schedule'!$N$12&gt;0,MOD($A298-'Recurring Schedule'!$F$12,'Recurring Schedule'!$N$12)=0,IF('Recurring Schedule'!$O$12&gt;0,AND(DAY($A298)=MIN(DAY('Recurring Schedule'!$F$12),DAY(EOMONTH($A298,0))),MOD((YEAR($A298)-YEAR('Recurring Schedule'!$F$12))*12+MONTH($A298)-MONTH('Recurring Schedule'!$F$12),'Recurring Schedule'!$O$12)=0),IF('Recurring Schedule'!$E$12="Weekdays",WEEKDAY($A298,2)&lt;=5,$A298='Recurring Schedule'!$F$12))),7,""))))</f>
        <v/>
      </c>
      <c r="I298">
        <f>IF('Recurring Schedule'!$C$13="","",IF('Recurring Schedule'!$F$13="","",IF(OR($A298&lt;'Recurring Schedule'!$F$13,$A298&gt;'Recurring Schedule'!$P$13),"",IF(IF('Recurring Schedule'!$N$13&gt;0,MOD($A298-'Recurring Schedule'!$F$13,'Recurring Schedule'!$N$13)=0,IF('Recurring Schedule'!$O$13&gt;0,AND(DAY($A298)=MIN(DAY('Recurring Schedule'!$F$13),DAY(EOMONTH($A298,0))),MOD((YEAR($A298)-YEAR('Recurring Schedule'!$F$13))*12+MONTH($A298)-MONTH('Recurring Schedule'!$F$13),'Recurring Schedule'!$O$13)=0),IF('Recurring Schedule'!$E$13="Weekdays",WEEKDAY($A298,2)&lt;=5,$A298='Recurring Schedule'!$F$13))),8,""))))</f>
        <v/>
      </c>
      <c r="J298">
        <f>IF('Recurring Schedule'!$C$14="","",IF('Recurring Schedule'!$F$14="","",IF(OR($A298&lt;'Recurring Schedule'!$F$14,$A298&gt;'Recurring Schedule'!$P$14),"",IF(IF('Recurring Schedule'!$N$14&gt;0,MOD($A298-'Recurring Schedule'!$F$14,'Recurring Schedule'!$N$14)=0,IF('Recurring Schedule'!$O$14&gt;0,AND(DAY($A298)=MIN(DAY('Recurring Schedule'!$F$14),DAY(EOMONTH($A298,0))),MOD((YEAR($A298)-YEAR('Recurring Schedule'!$F$14))*12+MONTH($A298)-MONTH('Recurring Schedule'!$F$14),'Recurring Schedule'!$O$14)=0),IF('Recurring Schedule'!$E$14="Weekdays",WEEKDAY($A298,2)&lt;=5,$A298='Recurring Schedule'!$F$14))),9,""))))</f>
        <v/>
      </c>
      <c r="K298">
        <f>IF('Recurring Schedule'!$C$15="","",IF('Recurring Schedule'!$F$15="","",IF(OR($A298&lt;'Recurring Schedule'!$F$15,$A298&gt;'Recurring Schedule'!$P$15),"",IF(IF('Recurring Schedule'!$N$15&gt;0,MOD($A298-'Recurring Schedule'!$F$15,'Recurring Schedule'!$N$15)=0,IF('Recurring Schedule'!$O$15&gt;0,AND(DAY($A298)=MIN(DAY('Recurring Schedule'!$F$15),DAY(EOMONTH($A298,0))),MOD((YEAR($A298)-YEAR('Recurring Schedule'!$F$15))*12+MONTH($A298)-MONTH('Recurring Schedule'!$F$15),'Recurring Schedule'!$O$15)=0),IF('Recurring Schedule'!$E$15="Weekdays",WEEKDAY($A298,2)&lt;=5,$A298='Recurring Schedule'!$F$15))),10,""))))</f>
        <v/>
      </c>
      <c r="L298">
        <f>IF('Recurring Schedule'!$C$16="","",IF('Recurring Schedule'!$F$16="","",IF(OR($A298&lt;'Recurring Schedule'!$F$16,$A298&gt;'Recurring Schedule'!$P$16),"",IF(IF('Recurring Schedule'!$N$16&gt;0,MOD($A298-'Recurring Schedule'!$F$16,'Recurring Schedule'!$N$16)=0,IF('Recurring Schedule'!$O$16&gt;0,AND(DAY($A298)=MIN(DAY('Recurring Schedule'!$F$16),DAY(EOMONTH($A298,0))),MOD((YEAR($A298)-YEAR('Recurring Schedule'!$F$16))*12+MONTH($A298)-MONTH('Recurring Schedule'!$F$16),'Recurring Schedule'!$O$16)=0),IF('Recurring Schedule'!$E$16="Weekdays",WEEKDAY($A298,2)&lt;=5,$A298='Recurring Schedule'!$F$16))),11,""))))</f>
        <v/>
      </c>
      <c r="M298">
        <f>IF('Recurring Schedule'!$C$17="","",IF('Recurring Schedule'!$F$17="","",IF(OR($A298&lt;'Recurring Schedule'!$F$17,$A298&gt;'Recurring Schedule'!$P$17),"",IF(IF('Recurring Schedule'!$N$17&gt;0,MOD($A298-'Recurring Schedule'!$F$17,'Recurring Schedule'!$N$17)=0,IF('Recurring Schedule'!$O$17&gt;0,AND(DAY($A298)=MIN(DAY('Recurring Schedule'!$F$17),DAY(EOMONTH($A298,0))),MOD((YEAR($A298)-YEAR('Recurring Schedule'!$F$17))*12+MONTH($A298)-MONTH('Recurring Schedule'!$F$17),'Recurring Schedule'!$O$17)=0),IF('Recurring Schedule'!$E$17="Weekdays",WEEKDAY($A298,2)&lt;=5,$A298='Recurring Schedule'!$F$17))),12,""))))</f>
        <v/>
      </c>
      <c r="N298">
        <f>IF('Recurring Schedule'!$C$18="","",IF('Recurring Schedule'!$F$18="","",IF(OR($A298&lt;'Recurring Schedule'!$F$18,$A298&gt;'Recurring Schedule'!$P$18),"",IF(IF('Recurring Schedule'!$N$18&gt;0,MOD($A298-'Recurring Schedule'!$F$18,'Recurring Schedule'!$N$18)=0,IF('Recurring Schedule'!$O$18&gt;0,AND(DAY($A298)=MIN(DAY('Recurring Schedule'!$F$18),DAY(EOMONTH($A298,0))),MOD((YEAR($A298)-YEAR('Recurring Schedule'!$F$18))*12+MONTH($A298)-MONTH('Recurring Schedule'!$F$18),'Recurring Schedule'!$O$18)=0),IF('Recurring Schedule'!$E$18="Weekdays",WEEKDAY($A298,2)&lt;=5,$A298='Recurring Schedule'!$F$18))),13,""))))</f>
        <v/>
      </c>
      <c r="O298">
        <f>IF('Recurring Schedule'!$C$19="","",IF('Recurring Schedule'!$F$19="","",IF(OR($A298&lt;'Recurring Schedule'!$F$19,$A298&gt;'Recurring Schedule'!$P$19),"",IF(IF('Recurring Schedule'!$N$19&gt;0,MOD($A298-'Recurring Schedule'!$F$19,'Recurring Schedule'!$N$19)=0,IF('Recurring Schedule'!$O$19&gt;0,AND(DAY($A298)=MIN(DAY('Recurring Schedule'!$F$19),DAY(EOMONTH($A298,0))),MOD((YEAR($A298)-YEAR('Recurring Schedule'!$F$19))*12+MONTH($A298)-MONTH('Recurring Schedule'!$F$19),'Recurring Schedule'!$O$19)=0),IF('Recurring Schedule'!$E$19="Weekdays",WEEKDAY($A298,2)&lt;=5,$A298='Recurring Schedule'!$F$19))),14,""))))</f>
        <v/>
      </c>
      <c r="P298">
        <f>IF('Recurring Schedule'!$C$20="","",IF('Recurring Schedule'!$F$20="","",IF(OR($A298&lt;'Recurring Schedule'!$F$20,$A298&gt;'Recurring Schedule'!$P$20),"",IF(IF('Recurring Schedule'!$N$20&gt;0,MOD($A298-'Recurring Schedule'!$F$20,'Recurring Schedule'!$N$20)=0,IF('Recurring Schedule'!$O$20&gt;0,AND(DAY($A298)=MIN(DAY('Recurring Schedule'!$F$20),DAY(EOMONTH($A298,0))),MOD((YEAR($A298)-YEAR('Recurring Schedule'!$F$20))*12+MONTH($A298)-MONTH('Recurring Schedule'!$F$20),'Recurring Schedule'!$O$20)=0),IF('Recurring Schedule'!$E$20="Weekdays",WEEKDAY($A298,2)&lt;=5,$A298='Recurring Schedule'!$F$20))),15,""))))</f>
        <v/>
      </c>
      <c r="Q298">
        <f>IF('Recurring Schedule'!$C$21="","",IF('Recurring Schedule'!$F$21="","",IF(OR($A298&lt;'Recurring Schedule'!$F$21,$A298&gt;'Recurring Schedule'!$P$21),"",IF(IF('Recurring Schedule'!$N$21&gt;0,MOD($A298-'Recurring Schedule'!$F$21,'Recurring Schedule'!$N$21)=0,IF('Recurring Schedule'!$O$21&gt;0,AND(DAY($A298)=MIN(DAY('Recurring Schedule'!$F$21),DAY(EOMONTH($A298,0))),MOD((YEAR($A298)-YEAR('Recurring Schedule'!$F$21))*12+MONTH($A298)-MONTH('Recurring Schedule'!$F$21),'Recurring Schedule'!$O$21)=0),IF('Recurring Schedule'!$E$21="Weekdays",WEEKDAY($A298,2)&lt;=5,$A298='Recurring Schedule'!$F$21))),16,""))))</f>
        <v/>
      </c>
      <c r="R298">
        <f>IF('Recurring Schedule'!$C$22="","",IF('Recurring Schedule'!$F$22="","",IF(OR($A298&lt;'Recurring Schedule'!$F$22,$A298&gt;'Recurring Schedule'!$P$22),"",IF(IF('Recurring Schedule'!$N$22&gt;0,MOD($A298-'Recurring Schedule'!$F$22,'Recurring Schedule'!$N$22)=0,IF('Recurring Schedule'!$O$22&gt;0,AND(DAY($A298)=MIN(DAY('Recurring Schedule'!$F$22),DAY(EOMONTH($A298,0))),MOD((YEAR($A298)-YEAR('Recurring Schedule'!$F$22))*12+MONTH($A298)-MONTH('Recurring Schedule'!$F$22),'Recurring Schedule'!$O$22)=0),IF('Recurring Schedule'!$E$22="Weekdays",WEEKDAY($A298,2)&lt;=5,$A298='Recurring Schedule'!$F$22))),17,""))))</f>
        <v/>
      </c>
      <c r="S298">
        <f>IF('Recurring Schedule'!$C$23="","",IF('Recurring Schedule'!$F$23="","",IF(OR($A298&lt;'Recurring Schedule'!$F$23,$A298&gt;'Recurring Schedule'!$P$23),"",IF(IF('Recurring Schedule'!$N$23&gt;0,MOD($A298-'Recurring Schedule'!$F$23,'Recurring Schedule'!$N$23)=0,IF('Recurring Schedule'!$O$23&gt;0,AND(DAY($A298)=MIN(DAY('Recurring Schedule'!$F$23),DAY(EOMONTH($A298,0))),MOD((YEAR($A298)-YEAR('Recurring Schedule'!$F$23))*12+MONTH($A298)-MONTH('Recurring Schedule'!$F$23),'Recurring Schedule'!$O$23)=0),IF('Recurring Schedule'!$E$23="Weekdays",WEEKDAY($A298,2)&lt;=5,$A298='Recurring Schedule'!$F$23))),18,""))))</f>
        <v/>
      </c>
      <c r="T298">
        <f>IF('Recurring Schedule'!$C$24="","",IF('Recurring Schedule'!$F$24="","",IF(OR($A298&lt;'Recurring Schedule'!$F$24,$A298&gt;'Recurring Schedule'!$P$24),"",IF(IF('Recurring Schedule'!$N$24&gt;0,MOD($A298-'Recurring Schedule'!$F$24,'Recurring Schedule'!$N$24)=0,IF('Recurring Schedule'!$O$24&gt;0,AND(DAY($A298)=MIN(DAY('Recurring Schedule'!$F$24),DAY(EOMONTH($A298,0))),MOD((YEAR($A298)-YEAR('Recurring Schedule'!$F$24))*12+MONTH($A298)-MONTH('Recurring Schedule'!$F$24),'Recurring Schedule'!$O$24)=0),IF('Recurring Schedule'!$E$24="Weekdays",WEEKDAY($A298,2)&lt;=5,$A298='Recurring Schedule'!$F$24))),19,""))))</f>
        <v/>
      </c>
      <c r="U298">
        <f>IF('Recurring Schedule'!$C$25="","",IF('Recurring Schedule'!$F$25="","",IF(OR($A298&lt;'Recurring Schedule'!$F$25,$A298&gt;'Recurring Schedule'!$P$25),"",IF(IF('Recurring Schedule'!$N$25&gt;0,MOD($A298-'Recurring Schedule'!$F$25,'Recurring Schedule'!$N$25)=0,IF('Recurring Schedule'!$O$25&gt;0,AND(DAY($A298)=MIN(DAY('Recurring Schedule'!$F$25),DAY(EOMONTH($A298,0))),MOD((YEAR($A298)-YEAR('Recurring Schedule'!$F$25))*12+MONTH($A298)-MONTH('Recurring Schedule'!$F$25),'Recurring Schedule'!$O$25)=0),IF('Recurring Schedule'!$E$25="Weekdays",WEEKDAY($A298,2)&lt;=5,$A298='Recurring Schedule'!$F$25))),20,""))))</f>
        <v/>
      </c>
      <c r="V298">
        <f>IF('Recurring Schedule'!$C$26="","",IF('Recurring Schedule'!$F$26="","",IF(OR($A298&lt;'Recurring Schedule'!$F$26,$A298&gt;'Recurring Schedule'!$P$26),"",IF(IF('Recurring Schedule'!$N$26&gt;0,MOD($A298-'Recurring Schedule'!$F$26,'Recurring Schedule'!$N$26)=0,IF('Recurring Schedule'!$O$26&gt;0,AND(DAY($A298)=MIN(DAY('Recurring Schedule'!$F$26),DAY(EOMONTH($A298,0))),MOD((YEAR($A298)-YEAR('Recurring Schedule'!$F$26))*12+MONTH($A298)-MONTH('Recurring Schedule'!$F$26),'Recurring Schedule'!$O$26)=0),IF('Recurring Schedule'!$E$26="Weekdays",WEEKDAY($A298,2)&lt;=5,$A298='Recurring Schedule'!$F$26))),21,""))))</f>
        <v/>
      </c>
      <c r="W298">
        <f>IF('Recurring Schedule'!$C$27="","",IF('Recurring Schedule'!$F$27="","",IF(OR($A298&lt;'Recurring Schedule'!$F$27,$A298&gt;'Recurring Schedule'!$P$27),"",IF(IF('Recurring Schedule'!$N$27&gt;0,MOD($A298-'Recurring Schedule'!$F$27,'Recurring Schedule'!$N$27)=0,IF('Recurring Schedule'!$O$27&gt;0,AND(DAY($A298)=MIN(DAY('Recurring Schedule'!$F$27),DAY(EOMONTH($A298,0))),MOD((YEAR($A298)-YEAR('Recurring Schedule'!$F$27))*12+MONTH($A298)-MONTH('Recurring Schedule'!$F$27),'Recurring Schedule'!$O$27)=0),IF('Recurring Schedule'!$E$27="Weekdays",WEEKDAY($A298,2)&lt;=5,$A298='Recurring Schedule'!$F$27))),22,""))))</f>
        <v/>
      </c>
      <c r="X298">
        <f>IF('Recurring Schedule'!$C$28="","",IF('Recurring Schedule'!$F$28="","",IF(OR($A298&lt;'Recurring Schedule'!$F$28,$A298&gt;'Recurring Schedule'!$P$28),"",IF(IF('Recurring Schedule'!$N$28&gt;0,MOD($A298-'Recurring Schedule'!$F$28,'Recurring Schedule'!$N$28)=0,IF('Recurring Schedule'!$O$28&gt;0,AND(DAY($A298)=MIN(DAY('Recurring Schedule'!$F$28),DAY(EOMONTH($A298,0))),MOD((YEAR($A298)-YEAR('Recurring Schedule'!$F$28))*12+MONTH($A298)-MONTH('Recurring Schedule'!$F$28),'Recurring Schedule'!$O$28)=0),IF('Recurring Schedule'!$E$28="Weekdays",WEEKDAY($A298,2)&lt;=5,$A298='Recurring Schedule'!$F$28))),23,""))))</f>
        <v/>
      </c>
      <c r="Y298">
        <f>IF('Recurring Schedule'!$C$29="","",IF('Recurring Schedule'!$F$29="","",IF(OR($A298&lt;'Recurring Schedule'!$F$29,$A298&gt;'Recurring Schedule'!$P$29),"",IF(IF('Recurring Schedule'!$N$29&gt;0,MOD($A298-'Recurring Schedule'!$F$29,'Recurring Schedule'!$N$29)=0,IF('Recurring Schedule'!$O$29&gt;0,AND(DAY($A298)=MIN(DAY('Recurring Schedule'!$F$29),DAY(EOMONTH($A298,0))),MOD((YEAR($A298)-YEAR('Recurring Schedule'!$F$29))*12+MONTH($A298)-MONTH('Recurring Schedule'!$F$29),'Recurring Schedule'!$O$29)=0),IF('Recurring Schedule'!$E$29="Weekdays",WEEKDAY($A298,2)&lt;=5,$A298='Recurring Schedule'!$F$29))),24,""))))</f>
        <v/>
      </c>
      <c r="Z298">
        <f>IF('Recurring Schedule'!$C$30="","",IF('Recurring Schedule'!$F$30="","",IF(OR($A298&lt;'Recurring Schedule'!$F$30,$A298&gt;'Recurring Schedule'!$P$30),"",IF(IF('Recurring Schedule'!$N$30&gt;0,MOD($A298-'Recurring Schedule'!$F$30,'Recurring Schedule'!$N$30)=0,IF('Recurring Schedule'!$O$30&gt;0,AND(DAY($A298)=MIN(DAY('Recurring Schedule'!$F$30),DAY(EOMONTH($A298,0))),MOD((YEAR($A298)-YEAR('Recurring Schedule'!$F$30))*12+MONTH($A298)-MONTH('Recurring Schedule'!$F$30),'Recurring Schedule'!$O$30)=0),IF('Recurring Schedule'!$E$30="Weekdays",WEEKDAY($A298,2)&lt;=5,$A298='Recurring Schedule'!$F$30))),25,""))))</f>
        <v/>
      </c>
      <c r="AA298">
        <f>IF('Recurring Schedule'!$C$31="","",IF('Recurring Schedule'!$F$31="","",IF(OR($A298&lt;'Recurring Schedule'!$F$31,$A298&gt;'Recurring Schedule'!$P$31),"",IF(IF('Recurring Schedule'!$N$31&gt;0,MOD($A298-'Recurring Schedule'!$F$31,'Recurring Schedule'!$N$31)=0,IF('Recurring Schedule'!$O$31&gt;0,AND(DAY($A298)=MIN(DAY('Recurring Schedule'!$F$31),DAY(EOMONTH($A298,0))),MOD((YEAR($A298)-YEAR('Recurring Schedule'!$F$31))*12+MONTH($A298)-MONTH('Recurring Schedule'!$F$31),'Recurring Schedule'!$O$31)=0),IF('Recurring Schedule'!$E$31="Weekdays",WEEKDAY($A298,2)&lt;=5,$A298='Recurring Schedule'!$F$31))),26,""))))</f>
        <v/>
      </c>
      <c r="AB298">
        <f>IF('Recurring Schedule'!$C$32="","",IF('Recurring Schedule'!$F$32="","",IF(OR($A298&lt;'Recurring Schedule'!$F$32,$A298&gt;'Recurring Schedule'!$P$32),"",IF(IF('Recurring Schedule'!$N$32&gt;0,MOD($A298-'Recurring Schedule'!$F$32,'Recurring Schedule'!$N$32)=0,IF('Recurring Schedule'!$O$32&gt;0,AND(DAY($A298)=MIN(DAY('Recurring Schedule'!$F$32),DAY(EOMONTH($A298,0))),MOD((YEAR($A298)-YEAR('Recurring Schedule'!$F$32))*12+MONTH($A298)-MONTH('Recurring Schedule'!$F$32),'Recurring Schedule'!$O$32)=0),IF('Recurring Schedule'!$E$32="Weekdays",WEEKDAY($A298,2)&lt;=5,$A298='Recurring Schedule'!$F$32))),27,""))))</f>
        <v/>
      </c>
      <c r="AC298">
        <f>IF('Recurring Schedule'!$C$33="","",IF('Recurring Schedule'!$F$33="","",IF(OR($A298&lt;'Recurring Schedule'!$F$33,$A298&gt;'Recurring Schedule'!$P$33),"",IF(IF('Recurring Schedule'!$N$33&gt;0,MOD($A298-'Recurring Schedule'!$F$33,'Recurring Schedule'!$N$33)=0,IF('Recurring Schedule'!$O$33&gt;0,AND(DAY($A298)=MIN(DAY('Recurring Schedule'!$F$33),DAY(EOMONTH($A298,0))),MOD((YEAR($A298)-YEAR('Recurring Schedule'!$F$33))*12+MONTH($A298)-MONTH('Recurring Schedule'!$F$33),'Recurring Schedule'!$O$33)=0),IF('Recurring Schedule'!$E$33="Weekdays",WEEKDAY($A298,2)&lt;=5,$A298='Recurring Schedule'!$F$33))),28,""))))</f>
        <v/>
      </c>
      <c r="AD298">
        <f>IF('Recurring Schedule'!$C$34="","",IF('Recurring Schedule'!$F$34="","",IF(OR($A298&lt;'Recurring Schedule'!$F$34,$A298&gt;'Recurring Schedule'!$P$34),"",IF(IF('Recurring Schedule'!$N$34&gt;0,MOD($A298-'Recurring Schedule'!$F$34,'Recurring Schedule'!$N$34)=0,IF('Recurring Schedule'!$O$34&gt;0,AND(DAY($A298)=MIN(DAY('Recurring Schedule'!$F$34),DAY(EOMONTH($A298,0))),MOD((YEAR($A298)-YEAR('Recurring Schedule'!$F$34))*12+MONTH($A298)-MONTH('Recurring Schedule'!$F$34),'Recurring Schedule'!$O$34)=0),IF('Recurring Schedule'!$E$34="Weekdays",WEEKDAY($A298,2)&lt;=5,$A298='Recurring Schedule'!$F$34))),29,""))))</f>
        <v/>
      </c>
      <c r="AE298">
        <f>IF('Recurring Schedule'!$C$35="","",IF('Recurring Schedule'!$F$35="","",IF(OR($A298&lt;'Recurring Schedule'!$F$35,$A298&gt;'Recurring Schedule'!$P$35),"",IF(IF('Recurring Schedule'!$N$35&gt;0,MOD($A298-'Recurring Schedule'!$F$35,'Recurring Schedule'!$N$35)=0,IF('Recurring Schedule'!$O$35&gt;0,AND(DAY($A298)=MIN(DAY('Recurring Schedule'!$F$35),DAY(EOMONTH($A298,0))),MOD((YEAR($A298)-YEAR('Recurring Schedule'!$F$35))*12+MONTH($A298)-MONTH('Recurring Schedule'!$F$35),'Recurring Schedule'!$O$35)=0),IF('Recurring Schedule'!$E$35="Weekdays",WEEKDAY($A298,2)&lt;=5,$A298='Recurring Schedule'!$F$35))),30,""))))</f>
        <v/>
      </c>
      <c r="AF298">
        <f>IF('Recurring Schedule'!$C$36="","",IF('Recurring Schedule'!$F$36="","",IF(OR($A298&lt;'Recurring Schedule'!$F$36,$A298&gt;'Recurring Schedule'!$P$36),"",IF(IF('Recurring Schedule'!$N$36&gt;0,MOD($A298-'Recurring Schedule'!$F$36,'Recurring Schedule'!$N$36)=0,IF('Recurring Schedule'!$O$36&gt;0,AND(DAY($A298)=MIN(DAY('Recurring Schedule'!$F$36),DAY(EOMONTH($A298,0))),MOD((YEAR($A298)-YEAR('Recurring Schedule'!$F$36))*12+MONTH($A298)-MONTH('Recurring Schedule'!$F$36),'Recurring Schedule'!$O$36)=0),IF('Recurring Schedule'!$E$36="Weekdays",WEEKDAY($A298,2)&lt;=5,$A298='Recurring Schedule'!$F$36))),31,""))))</f>
        <v/>
      </c>
      <c r="AG298">
        <f>IF('Recurring Schedule'!$C$37="","",IF('Recurring Schedule'!$F$37="","",IF(OR($A298&lt;'Recurring Schedule'!$F$37,$A298&gt;'Recurring Schedule'!$P$37),"",IF(IF('Recurring Schedule'!$N$37&gt;0,MOD($A298-'Recurring Schedule'!$F$37,'Recurring Schedule'!$N$37)=0,IF('Recurring Schedule'!$O$37&gt;0,AND(DAY($A298)=MIN(DAY('Recurring Schedule'!$F$37),DAY(EOMONTH($A298,0))),MOD((YEAR($A298)-YEAR('Recurring Schedule'!$F$37))*12+MONTH($A298)-MONTH('Recurring Schedule'!$F$37),'Recurring Schedule'!$O$37)=0),IF('Recurring Schedule'!$E$37="Weekdays",WEEKDAY($A298,2)&lt;=5,$A298='Recurring Schedule'!$F$37))),32,""))))</f>
        <v/>
      </c>
      <c r="AH298">
        <f>IF('Recurring Schedule'!$C$38="","",IF('Recurring Schedule'!$F$38="","",IF(OR($A298&lt;'Recurring Schedule'!$F$38,$A298&gt;'Recurring Schedule'!$P$38),"",IF(IF('Recurring Schedule'!$N$38&gt;0,MOD($A298-'Recurring Schedule'!$F$38,'Recurring Schedule'!$N$38)=0,IF('Recurring Schedule'!$O$38&gt;0,AND(DAY($A298)=MIN(DAY('Recurring Schedule'!$F$38),DAY(EOMONTH($A298,0))),MOD((YEAR($A298)-YEAR('Recurring Schedule'!$F$38))*12+MONTH($A298)-MONTH('Recurring Schedule'!$F$38),'Recurring Schedule'!$O$38)=0),IF('Recurring Schedule'!$E$38="Weekdays",WEEKDAY($A298,2)&lt;=5,$A298='Recurring Schedule'!$F$38))),33,""))))</f>
        <v/>
      </c>
      <c r="AI298">
        <f>IF('Recurring Schedule'!$C$39="","",IF('Recurring Schedule'!$F$39="","",IF(OR($A298&lt;'Recurring Schedule'!$F$39,$A298&gt;'Recurring Schedule'!$P$39),"",IF(IF('Recurring Schedule'!$N$39&gt;0,MOD($A298-'Recurring Schedule'!$F$39,'Recurring Schedule'!$N$39)=0,IF('Recurring Schedule'!$O$39&gt;0,AND(DAY($A298)=MIN(DAY('Recurring Schedule'!$F$39),DAY(EOMONTH($A298,0))),MOD((YEAR($A298)-YEAR('Recurring Schedule'!$F$39))*12+MONTH($A298)-MONTH('Recurring Schedule'!$F$39),'Recurring Schedule'!$O$39)=0),IF('Recurring Schedule'!$E$39="Weekdays",WEEKDAY($A298,2)&lt;=5,$A298='Recurring Schedule'!$F$39))),34,""))))</f>
        <v/>
      </c>
      <c r="AJ298">
        <f>IF('Recurring Schedule'!$C$40="","",IF('Recurring Schedule'!$F$40="","",IF(OR($A298&lt;'Recurring Schedule'!$F$40,$A298&gt;'Recurring Schedule'!$P$40),"",IF(IF('Recurring Schedule'!$N$40&gt;0,MOD($A298-'Recurring Schedule'!$F$40,'Recurring Schedule'!$N$40)=0,IF('Recurring Schedule'!$O$40&gt;0,AND(DAY($A298)=MIN(DAY('Recurring Schedule'!$F$40),DAY(EOMONTH($A298,0))),MOD((YEAR($A298)-YEAR('Recurring Schedule'!$F$40))*12+MONTH($A298)-MONTH('Recurring Schedule'!$F$40),'Recurring Schedule'!$O$40)=0),IF('Recurring Schedule'!$E$40="Weekdays",WEEKDAY($A298,2)&lt;=5,$A298='Recurring Schedule'!$F$40))),35,""))))</f>
        <v/>
      </c>
      <c r="AK298">
        <f>IF('Recurring Schedule'!$C$41="","",IF('Recurring Schedule'!$F$41="","",IF(OR($A298&lt;'Recurring Schedule'!$F$41,$A298&gt;'Recurring Schedule'!$P$41),"",IF(IF('Recurring Schedule'!$N$41&gt;0,MOD($A298-'Recurring Schedule'!$F$41,'Recurring Schedule'!$N$41)=0,IF('Recurring Schedule'!$O$41&gt;0,AND(DAY($A298)=MIN(DAY('Recurring Schedule'!$F$41),DAY(EOMONTH($A298,0))),MOD((YEAR($A298)-YEAR('Recurring Schedule'!$F$41))*12+MONTH($A298)-MONTH('Recurring Schedule'!$F$41),'Recurring Schedule'!$O$41)=0),IF('Recurring Schedule'!$E$41="Weekdays",WEEKDAY($A298,2)&lt;=5,$A298='Recurring Schedule'!$F$41))),36,""))))</f>
        <v/>
      </c>
      <c r="AL298">
        <f>IF('Recurring Schedule'!$C$42="","",IF('Recurring Schedule'!$F$42="","",IF(OR($A298&lt;'Recurring Schedule'!$F$42,$A298&gt;'Recurring Schedule'!$P$42),"",IF(IF('Recurring Schedule'!$N$42&gt;0,MOD($A298-'Recurring Schedule'!$F$42,'Recurring Schedule'!$N$42)=0,IF('Recurring Schedule'!$O$42&gt;0,AND(DAY($A298)=MIN(DAY('Recurring Schedule'!$F$42),DAY(EOMONTH($A298,0))),MOD((YEAR($A298)-YEAR('Recurring Schedule'!$F$42))*12+MONTH($A298)-MONTH('Recurring Schedule'!$F$42),'Recurring Schedule'!$O$42)=0),IF('Recurring Schedule'!$E$42="Weekdays",WEEKDAY($A298,2)&lt;=5,$A298='Recurring Schedule'!$F$42))),37,""))))</f>
        <v/>
      </c>
      <c r="AM298">
        <f>IF('Recurring Schedule'!$C$43="","",IF('Recurring Schedule'!$F$43="","",IF(OR($A298&lt;'Recurring Schedule'!$F$43,$A298&gt;'Recurring Schedule'!$P$43),"",IF(IF('Recurring Schedule'!$N$43&gt;0,MOD($A298-'Recurring Schedule'!$F$43,'Recurring Schedule'!$N$43)=0,IF('Recurring Schedule'!$O$43&gt;0,AND(DAY($A298)=MIN(DAY('Recurring Schedule'!$F$43),DAY(EOMONTH($A298,0))),MOD((YEAR($A298)-YEAR('Recurring Schedule'!$F$43))*12+MONTH($A298)-MONTH('Recurring Schedule'!$F$43),'Recurring Schedule'!$O$43)=0),IF('Recurring Schedule'!$E$43="Weekdays",WEEKDAY($A298,2)&lt;=5,$A298='Recurring Schedule'!$F$43))),38,""))))</f>
        <v/>
      </c>
      <c r="AN298">
        <f>IF('Recurring Schedule'!$C$44="","",IF('Recurring Schedule'!$F$44="","",IF(OR($A298&lt;'Recurring Schedule'!$F$44,$A298&gt;'Recurring Schedule'!$P$44),"",IF(IF('Recurring Schedule'!$N$44&gt;0,MOD($A298-'Recurring Schedule'!$F$44,'Recurring Schedule'!$N$44)=0,IF('Recurring Schedule'!$O$44&gt;0,AND(DAY($A298)=MIN(DAY('Recurring Schedule'!$F$44),DAY(EOMONTH($A298,0))),MOD((YEAR($A298)-YEAR('Recurring Schedule'!$F$44))*12+MONTH($A298)-MONTH('Recurring Schedule'!$F$44),'Recurring Schedule'!$O$44)=0),IF('Recurring Schedule'!$E$44="Weekdays",WEEKDAY($A298,2)&lt;=5,$A298='Recurring Schedule'!$F$44))),39,""))))</f>
        <v/>
      </c>
      <c r="AO298">
        <f>IF('Recurring Schedule'!$C$45="","",IF('Recurring Schedule'!$F$45="","",IF(OR($A298&lt;'Recurring Schedule'!$F$45,$A298&gt;'Recurring Schedule'!$P$45),"",IF(IF('Recurring Schedule'!$N$45&gt;0,MOD($A298-'Recurring Schedule'!$F$45,'Recurring Schedule'!$N$45)=0,IF('Recurring Schedule'!$O$45&gt;0,AND(DAY($A298)=MIN(DAY('Recurring Schedule'!$F$45),DAY(EOMONTH($A298,0))),MOD((YEAR($A298)-YEAR('Recurring Schedule'!$F$45))*12+MONTH($A298)-MONTH('Recurring Schedule'!$F$45),'Recurring Schedule'!$O$45)=0),IF('Recurring Schedule'!$E$45="Weekdays",WEEKDAY($A298,2)&lt;=5,$A298='Recurring Schedule'!$F$45))),40,""))))</f>
        <v/>
      </c>
      <c r="AP298">
        <f>COUNT(B298:AO298)</f>
        <v/>
      </c>
      <c r="AQ298">
        <f>AQ297+AP297</f>
        <v/>
      </c>
      <c r="AS298" t="inlineStr">
        <is>
          <t>R</t>
        </is>
      </c>
      <c r="AT298" t="n">
        <v>302</v>
      </c>
      <c r="AU298">
        <f>'Recurring Log'!C302&amp;""</f>
        <v/>
      </c>
      <c r="AV298">
        <f>'Recurring Log'!D302&amp;""</f>
        <v/>
      </c>
      <c r="AW298">
        <f>IF('Recurring Log'!E302="","",'Recurring Log'!E302)</f>
        <v/>
      </c>
      <c r="AX298">
        <f>IF('Recurring Log'!G302="","",'Recurring Log'!G302)</f>
        <v/>
      </c>
      <c r="AY298">
        <f>IF('Recurring Log'!H302="","",'Recurring Log'!H302)</f>
        <v/>
      </c>
      <c r="AZ298">
        <f>IF(AU298="","",IF('Recurring Log'!J302="","Not Started",'Recurring Log'!J302))</f>
        <v/>
      </c>
      <c r="BA298">
        <f>'Recurring Log'!L302&amp;""</f>
        <v/>
      </c>
      <c r="BB298">
        <f>'Recurring Log'!M302&amp;""</f>
        <v/>
      </c>
      <c r="BC298">
        <f>'Recurring Log'!N302&amp;""</f>
        <v/>
      </c>
      <c r="BD298">
        <f>'Recurring Log'!O302&amp;""</f>
        <v/>
      </c>
      <c r="BE298">
        <f>IF('Recurring Log'!K302="","",'Recurring Log'!K302)</f>
        <v/>
      </c>
      <c r="BF298">
        <f>IFERROR(MATCH(BA298,Setup!$L$6:$L$9,0),5)</f>
        <v/>
      </c>
      <c r="BG298">
        <f>IF(OR(AZ298="Done",AZ298="Cancelled"),1,0)</f>
        <v/>
      </c>
      <c r="BH298">
        <f>IF(AND(AU298&lt;&gt;"",ISNUMBER(AW298)),1,0)</f>
        <v/>
      </c>
      <c r="BI298">
        <f>IF(BH298=0,0,IF(AND(AW298&gt;='Tasks Filter'!$F$3,AW298&lt;='Tasks Filter'!$F$4,OR('Tasks Filter'!$I$3="",ISNUMBER(SEARCH('Tasks Filter'!$I$3,AU298))),OR('Tasks Filter'!$I$4="",BF298=IFERROR(MATCH('Tasks Filter'!$I$4,Setup!$L$6:$L$9,0),0)),OR('Tasks Filter'!$I$5="Both",AND('Tasks Filter'!$I$5="Yes",BB298="✓"),AND('Tasks Filter'!$I$5="No",BB298&lt;&gt;"✓")),OR('Tasks Filter'!$L$3="",AV298='Tasks Filter'!$L$3),OR('Tasks Filter'!$L$4="",AZ298='Tasks Filter'!$L$4),OR('Tasks Filter'!$L$5="",BC298='Tasks Filter'!$L$5),OR('Tasks Filter'!$O$3="",BD298='Tasks Filter'!$O$3),OR('Tasks Filter'!$O$4="Yes",BG298=0)),1,0))</f>
        <v/>
      </c>
      <c r="BJ298">
        <f>IF(BH298=0,"",IF('Tasks Filter'!$F$6="Descending",-1,1)*CHOOSE(MATCH('Tasks Filter'!$F$5,Lists!$G$2:$G$6,0),AW298,BF298,IFERROR(MATCH(AV298,Setup!$F$6:$F$15,0),99),IFERROR(MATCH(BC298,Setup!$H$6:$H$15,0),99),IFERROR(MATCH(AZ298,Setup!$J$6:$J$11,0),99))*1E+9+(AW298-40000)*10000+297)</f>
        <v/>
      </c>
      <c r="BK298">
        <f>IF(BI298=1,BJ298,"")</f>
        <v/>
      </c>
      <c r="BL298">
        <f>IF(AND(BH298=1,BG298=0,N(AW298)&lt;Setup!$D$7),(AW298-40000)*10000+297,"")</f>
        <v/>
      </c>
      <c r="BM298">
        <f>IF(AND(BH298=1,AZ298&lt;&gt;"Cancelled",N(AW298)&gt;=Dashboard!$AB$3,N(AW298)&lt;=Dashboard!$AB$3+6),(AW298-40000)*100000+BF298*10000+297,"")</f>
        <v/>
      </c>
      <c r="BN298">
        <f>IF(AND(BH298=1,AZ298&lt;&gt;"Cancelled"),BF298*10000+297,"")</f>
        <v/>
      </c>
    </row>
    <row r="299">
      <c r="A299">
        <f>Setup!$D$5+297</f>
        <v/>
      </c>
      <c r="B299">
        <f>IF('Recurring Schedule'!$C$6="","",IF('Recurring Schedule'!$F$6="","",IF(OR($A299&lt;'Recurring Schedule'!$F$6,$A299&gt;'Recurring Schedule'!$P$6),"",IF(IF('Recurring Schedule'!$N$6&gt;0,MOD($A299-'Recurring Schedule'!$F$6,'Recurring Schedule'!$N$6)=0,IF('Recurring Schedule'!$O$6&gt;0,AND(DAY($A299)=MIN(DAY('Recurring Schedule'!$F$6),DAY(EOMONTH($A299,0))),MOD((YEAR($A299)-YEAR('Recurring Schedule'!$F$6))*12+MONTH($A299)-MONTH('Recurring Schedule'!$F$6),'Recurring Schedule'!$O$6)=0),IF('Recurring Schedule'!$E$6="Weekdays",WEEKDAY($A299,2)&lt;=5,$A299='Recurring Schedule'!$F$6))),1,""))))</f>
        <v/>
      </c>
      <c r="C299">
        <f>IF('Recurring Schedule'!$C$7="","",IF('Recurring Schedule'!$F$7="","",IF(OR($A299&lt;'Recurring Schedule'!$F$7,$A299&gt;'Recurring Schedule'!$P$7),"",IF(IF('Recurring Schedule'!$N$7&gt;0,MOD($A299-'Recurring Schedule'!$F$7,'Recurring Schedule'!$N$7)=0,IF('Recurring Schedule'!$O$7&gt;0,AND(DAY($A299)=MIN(DAY('Recurring Schedule'!$F$7),DAY(EOMONTH($A299,0))),MOD((YEAR($A299)-YEAR('Recurring Schedule'!$F$7))*12+MONTH($A299)-MONTH('Recurring Schedule'!$F$7),'Recurring Schedule'!$O$7)=0),IF('Recurring Schedule'!$E$7="Weekdays",WEEKDAY($A299,2)&lt;=5,$A299='Recurring Schedule'!$F$7))),2,""))))</f>
        <v/>
      </c>
      <c r="D299">
        <f>IF('Recurring Schedule'!$C$8="","",IF('Recurring Schedule'!$F$8="","",IF(OR($A299&lt;'Recurring Schedule'!$F$8,$A299&gt;'Recurring Schedule'!$P$8),"",IF(IF('Recurring Schedule'!$N$8&gt;0,MOD($A299-'Recurring Schedule'!$F$8,'Recurring Schedule'!$N$8)=0,IF('Recurring Schedule'!$O$8&gt;0,AND(DAY($A299)=MIN(DAY('Recurring Schedule'!$F$8),DAY(EOMONTH($A299,0))),MOD((YEAR($A299)-YEAR('Recurring Schedule'!$F$8))*12+MONTH($A299)-MONTH('Recurring Schedule'!$F$8),'Recurring Schedule'!$O$8)=0),IF('Recurring Schedule'!$E$8="Weekdays",WEEKDAY($A299,2)&lt;=5,$A299='Recurring Schedule'!$F$8))),3,""))))</f>
        <v/>
      </c>
      <c r="E299">
        <f>IF('Recurring Schedule'!$C$9="","",IF('Recurring Schedule'!$F$9="","",IF(OR($A299&lt;'Recurring Schedule'!$F$9,$A299&gt;'Recurring Schedule'!$P$9),"",IF(IF('Recurring Schedule'!$N$9&gt;0,MOD($A299-'Recurring Schedule'!$F$9,'Recurring Schedule'!$N$9)=0,IF('Recurring Schedule'!$O$9&gt;0,AND(DAY($A299)=MIN(DAY('Recurring Schedule'!$F$9),DAY(EOMONTH($A299,0))),MOD((YEAR($A299)-YEAR('Recurring Schedule'!$F$9))*12+MONTH($A299)-MONTH('Recurring Schedule'!$F$9),'Recurring Schedule'!$O$9)=0),IF('Recurring Schedule'!$E$9="Weekdays",WEEKDAY($A299,2)&lt;=5,$A299='Recurring Schedule'!$F$9))),4,""))))</f>
        <v/>
      </c>
      <c r="F299">
        <f>IF('Recurring Schedule'!$C$10="","",IF('Recurring Schedule'!$F$10="","",IF(OR($A299&lt;'Recurring Schedule'!$F$10,$A299&gt;'Recurring Schedule'!$P$10),"",IF(IF('Recurring Schedule'!$N$10&gt;0,MOD($A299-'Recurring Schedule'!$F$10,'Recurring Schedule'!$N$10)=0,IF('Recurring Schedule'!$O$10&gt;0,AND(DAY($A299)=MIN(DAY('Recurring Schedule'!$F$10),DAY(EOMONTH($A299,0))),MOD((YEAR($A299)-YEAR('Recurring Schedule'!$F$10))*12+MONTH($A299)-MONTH('Recurring Schedule'!$F$10),'Recurring Schedule'!$O$10)=0),IF('Recurring Schedule'!$E$10="Weekdays",WEEKDAY($A299,2)&lt;=5,$A299='Recurring Schedule'!$F$10))),5,""))))</f>
        <v/>
      </c>
      <c r="G299">
        <f>IF('Recurring Schedule'!$C$11="","",IF('Recurring Schedule'!$F$11="","",IF(OR($A299&lt;'Recurring Schedule'!$F$11,$A299&gt;'Recurring Schedule'!$P$11),"",IF(IF('Recurring Schedule'!$N$11&gt;0,MOD($A299-'Recurring Schedule'!$F$11,'Recurring Schedule'!$N$11)=0,IF('Recurring Schedule'!$O$11&gt;0,AND(DAY($A299)=MIN(DAY('Recurring Schedule'!$F$11),DAY(EOMONTH($A299,0))),MOD((YEAR($A299)-YEAR('Recurring Schedule'!$F$11))*12+MONTH($A299)-MONTH('Recurring Schedule'!$F$11),'Recurring Schedule'!$O$11)=0),IF('Recurring Schedule'!$E$11="Weekdays",WEEKDAY($A299,2)&lt;=5,$A299='Recurring Schedule'!$F$11))),6,""))))</f>
        <v/>
      </c>
      <c r="H299">
        <f>IF('Recurring Schedule'!$C$12="","",IF('Recurring Schedule'!$F$12="","",IF(OR($A299&lt;'Recurring Schedule'!$F$12,$A299&gt;'Recurring Schedule'!$P$12),"",IF(IF('Recurring Schedule'!$N$12&gt;0,MOD($A299-'Recurring Schedule'!$F$12,'Recurring Schedule'!$N$12)=0,IF('Recurring Schedule'!$O$12&gt;0,AND(DAY($A299)=MIN(DAY('Recurring Schedule'!$F$12),DAY(EOMONTH($A299,0))),MOD((YEAR($A299)-YEAR('Recurring Schedule'!$F$12))*12+MONTH($A299)-MONTH('Recurring Schedule'!$F$12),'Recurring Schedule'!$O$12)=0),IF('Recurring Schedule'!$E$12="Weekdays",WEEKDAY($A299,2)&lt;=5,$A299='Recurring Schedule'!$F$12))),7,""))))</f>
        <v/>
      </c>
      <c r="I299">
        <f>IF('Recurring Schedule'!$C$13="","",IF('Recurring Schedule'!$F$13="","",IF(OR($A299&lt;'Recurring Schedule'!$F$13,$A299&gt;'Recurring Schedule'!$P$13),"",IF(IF('Recurring Schedule'!$N$13&gt;0,MOD($A299-'Recurring Schedule'!$F$13,'Recurring Schedule'!$N$13)=0,IF('Recurring Schedule'!$O$13&gt;0,AND(DAY($A299)=MIN(DAY('Recurring Schedule'!$F$13),DAY(EOMONTH($A299,0))),MOD((YEAR($A299)-YEAR('Recurring Schedule'!$F$13))*12+MONTH($A299)-MONTH('Recurring Schedule'!$F$13),'Recurring Schedule'!$O$13)=0),IF('Recurring Schedule'!$E$13="Weekdays",WEEKDAY($A299,2)&lt;=5,$A299='Recurring Schedule'!$F$13))),8,""))))</f>
        <v/>
      </c>
      <c r="J299">
        <f>IF('Recurring Schedule'!$C$14="","",IF('Recurring Schedule'!$F$14="","",IF(OR($A299&lt;'Recurring Schedule'!$F$14,$A299&gt;'Recurring Schedule'!$P$14),"",IF(IF('Recurring Schedule'!$N$14&gt;0,MOD($A299-'Recurring Schedule'!$F$14,'Recurring Schedule'!$N$14)=0,IF('Recurring Schedule'!$O$14&gt;0,AND(DAY($A299)=MIN(DAY('Recurring Schedule'!$F$14),DAY(EOMONTH($A299,0))),MOD((YEAR($A299)-YEAR('Recurring Schedule'!$F$14))*12+MONTH($A299)-MONTH('Recurring Schedule'!$F$14),'Recurring Schedule'!$O$14)=0),IF('Recurring Schedule'!$E$14="Weekdays",WEEKDAY($A299,2)&lt;=5,$A299='Recurring Schedule'!$F$14))),9,""))))</f>
        <v/>
      </c>
      <c r="K299">
        <f>IF('Recurring Schedule'!$C$15="","",IF('Recurring Schedule'!$F$15="","",IF(OR($A299&lt;'Recurring Schedule'!$F$15,$A299&gt;'Recurring Schedule'!$P$15),"",IF(IF('Recurring Schedule'!$N$15&gt;0,MOD($A299-'Recurring Schedule'!$F$15,'Recurring Schedule'!$N$15)=0,IF('Recurring Schedule'!$O$15&gt;0,AND(DAY($A299)=MIN(DAY('Recurring Schedule'!$F$15),DAY(EOMONTH($A299,0))),MOD((YEAR($A299)-YEAR('Recurring Schedule'!$F$15))*12+MONTH($A299)-MONTH('Recurring Schedule'!$F$15),'Recurring Schedule'!$O$15)=0),IF('Recurring Schedule'!$E$15="Weekdays",WEEKDAY($A299,2)&lt;=5,$A299='Recurring Schedule'!$F$15))),10,""))))</f>
        <v/>
      </c>
      <c r="L299">
        <f>IF('Recurring Schedule'!$C$16="","",IF('Recurring Schedule'!$F$16="","",IF(OR($A299&lt;'Recurring Schedule'!$F$16,$A299&gt;'Recurring Schedule'!$P$16),"",IF(IF('Recurring Schedule'!$N$16&gt;0,MOD($A299-'Recurring Schedule'!$F$16,'Recurring Schedule'!$N$16)=0,IF('Recurring Schedule'!$O$16&gt;0,AND(DAY($A299)=MIN(DAY('Recurring Schedule'!$F$16),DAY(EOMONTH($A299,0))),MOD((YEAR($A299)-YEAR('Recurring Schedule'!$F$16))*12+MONTH($A299)-MONTH('Recurring Schedule'!$F$16),'Recurring Schedule'!$O$16)=0),IF('Recurring Schedule'!$E$16="Weekdays",WEEKDAY($A299,2)&lt;=5,$A299='Recurring Schedule'!$F$16))),11,""))))</f>
        <v/>
      </c>
      <c r="M299">
        <f>IF('Recurring Schedule'!$C$17="","",IF('Recurring Schedule'!$F$17="","",IF(OR($A299&lt;'Recurring Schedule'!$F$17,$A299&gt;'Recurring Schedule'!$P$17),"",IF(IF('Recurring Schedule'!$N$17&gt;0,MOD($A299-'Recurring Schedule'!$F$17,'Recurring Schedule'!$N$17)=0,IF('Recurring Schedule'!$O$17&gt;0,AND(DAY($A299)=MIN(DAY('Recurring Schedule'!$F$17),DAY(EOMONTH($A299,0))),MOD((YEAR($A299)-YEAR('Recurring Schedule'!$F$17))*12+MONTH($A299)-MONTH('Recurring Schedule'!$F$17),'Recurring Schedule'!$O$17)=0),IF('Recurring Schedule'!$E$17="Weekdays",WEEKDAY($A299,2)&lt;=5,$A299='Recurring Schedule'!$F$17))),12,""))))</f>
        <v/>
      </c>
      <c r="N299">
        <f>IF('Recurring Schedule'!$C$18="","",IF('Recurring Schedule'!$F$18="","",IF(OR($A299&lt;'Recurring Schedule'!$F$18,$A299&gt;'Recurring Schedule'!$P$18),"",IF(IF('Recurring Schedule'!$N$18&gt;0,MOD($A299-'Recurring Schedule'!$F$18,'Recurring Schedule'!$N$18)=0,IF('Recurring Schedule'!$O$18&gt;0,AND(DAY($A299)=MIN(DAY('Recurring Schedule'!$F$18),DAY(EOMONTH($A299,0))),MOD((YEAR($A299)-YEAR('Recurring Schedule'!$F$18))*12+MONTH($A299)-MONTH('Recurring Schedule'!$F$18),'Recurring Schedule'!$O$18)=0),IF('Recurring Schedule'!$E$18="Weekdays",WEEKDAY($A299,2)&lt;=5,$A299='Recurring Schedule'!$F$18))),13,""))))</f>
        <v/>
      </c>
      <c r="O299">
        <f>IF('Recurring Schedule'!$C$19="","",IF('Recurring Schedule'!$F$19="","",IF(OR($A299&lt;'Recurring Schedule'!$F$19,$A299&gt;'Recurring Schedule'!$P$19),"",IF(IF('Recurring Schedule'!$N$19&gt;0,MOD($A299-'Recurring Schedule'!$F$19,'Recurring Schedule'!$N$19)=0,IF('Recurring Schedule'!$O$19&gt;0,AND(DAY($A299)=MIN(DAY('Recurring Schedule'!$F$19),DAY(EOMONTH($A299,0))),MOD((YEAR($A299)-YEAR('Recurring Schedule'!$F$19))*12+MONTH($A299)-MONTH('Recurring Schedule'!$F$19),'Recurring Schedule'!$O$19)=0),IF('Recurring Schedule'!$E$19="Weekdays",WEEKDAY($A299,2)&lt;=5,$A299='Recurring Schedule'!$F$19))),14,""))))</f>
        <v/>
      </c>
      <c r="P299">
        <f>IF('Recurring Schedule'!$C$20="","",IF('Recurring Schedule'!$F$20="","",IF(OR($A299&lt;'Recurring Schedule'!$F$20,$A299&gt;'Recurring Schedule'!$P$20),"",IF(IF('Recurring Schedule'!$N$20&gt;0,MOD($A299-'Recurring Schedule'!$F$20,'Recurring Schedule'!$N$20)=0,IF('Recurring Schedule'!$O$20&gt;0,AND(DAY($A299)=MIN(DAY('Recurring Schedule'!$F$20),DAY(EOMONTH($A299,0))),MOD((YEAR($A299)-YEAR('Recurring Schedule'!$F$20))*12+MONTH($A299)-MONTH('Recurring Schedule'!$F$20),'Recurring Schedule'!$O$20)=0),IF('Recurring Schedule'!$E$20="Weekdays",WEEKDAY($A299,2)&lt;=5,$A299='Recurring Schedule'!$F$20))),15,""))))</f>
        <v/>
      </c>
      <c r="Q299">
        <f>IF('Recurring Schedule'!$C$21="","",IF('Recurring Schedule'!$F$21="","",IF(OR($A299&lt;'Recurring Schedule'!$F$21,$A299&gt;'Recurring Schedule'!$P$21),"",IF(IF('Recurring Schedule'!$N$21&gt;0,MOD($A299-'Recurring Schedule'!$F$21,'Recurring Schedule'!$N$21)=0,IF('Recurring Schedule'!$O$21&gt;0,AND(DAY($A299)=MIN(DAY('Recurring Schedule'!$F$21),DAY(EOMONTH($A299,0))),MOD((YEAR($A299)-YEAR('Recurring Schedule'!$F$21))*12+MONTH($A299)-MONTH('Recurring Schedule'!$F$21),'Recurring Schedule'!$O$21)=0),IF('Recurring Schedule'!$E$21="Weekdays",WEEKDAY($A299,2)&lt;=5,$A299='Recurring Schedule'!$F$21))),16,""))))</f>
        <v/>
      </c>
      <c r="R299">
        <f>IF('Recurring Schedule'!$C$22="","",IF('Recurring Schedule'!$F$22="","",IF(OR($A299&lt;'Recurring Schedule'!$F$22,$A299&gt;'Recurring Schedule'!$P$22),"",IF(IF('Recurring Schedule'!$N$22&gt;0,MOD($A299-'Recurring Schedule'!$F$22,'Recurring Schedule'!$N$22)=0,IF('Recurring Schedule'!$O$22&gt;0,AND(DAY($A299)=MIN(DAY('Recurring Schedule'!$F$22),DAY(EOMONTH($A299,0))),MOD((YEAR($A299)-YEAR('Recurring Schedule'!$F$22))*12+MONTH($A299)-MONTH('Recurring Schedule'!$F$22),'Recurring Schedule'!$O$22)=0),IF('Recurring Schedule'!$E$22="Weekdays",WEEKDAY($A299,2)&lt;=5,$A299='Recurring Schedule'!$F$22))),17,""))))</f>
        <v/>
      </c>
      <c r="S299">
        <f>IF('Recurring Schedule'!$C$23="","",IF('Recurring Schedule'!$F$23="","",IF(OR($A299&lt;'Recurring Schedule'!$F$23,$A299&gt;'Recurring Schedule'!$P$23),"",IF(IF('Recurring Schedule'!$N$23&gt;0,MOD($A299-'Recurring Schedule'!$F$23,'Recurring Schedule'!$N$23)=0,IF('Recurring Schedule'!$O$23&gt;0,AND(DAY($A299)=MIN(DAY('Recurring Schedule'!$F$23),DAY(EOMONTH($A299,0))),MOD((YEAR($A299)-YEAR('Recurring Schedule'!$F$23))*12+MONTH($A299)-MONTH('Recurring Schedule'!$F$23),'Recurring Schedule'!$O$23)=0),IF('Recurring Schedule'!$E$23="Weekdays",WEEKDAY($A299,2)&lt;=5,$A299='Recurring Schedule'!$F$23))),18,""))))</f>
        <v/>
      </c>
      <c r="T299">
        <f>IF('Recurring Schedule'!$C$24="","",IF('Recurring Schedule'!$F$24="","",IF(OR($A299&lt;'Recurring Schedule'!$F$24,$A299&gt;'Recurring Schedule'!$P$24),"",IF(IF('Recurring Schedule'!$N$24&gt;0,MOD($A299-'Recurring Schedule'!$F$24,'Recurring Schedule'!$N$24)=0,IF('Recurring Schedule'!$O$24&gt;0,AND(DAY($A299)=MIN(DAY('Recurring Schedule'!$F$24),DAY(EOMONTH($A299,0))),MOD((YEAR($A299)-YEAR('Recurring Schedule'!$F$24))*12+MONTH($A299)-MONTH('Recurring Schedule'!$F$24),'Recurring Schedule'!$O$24)=0),IF('Recurring Schedule'!$E$24="Weekdays",WEEKDAY($A299,2)&lt;=5,$A299='Recurring Schedule'!$F$24))),19,""))))</f>
        <v/>
      </c>
      <c r="U299">
        <f>IF('Recurring Schedule'!$C$25="","",IF('Recurring Schedule'!$F$25="","",IF(OR($A299&lt;'Recurring Schedule'!$F$25,$A299&gt;'Recurring Schedule'!$P$25),"",IF(IF('Recurring Schedule'!$N$25&gt;0,MOD($A299-'Recurring Schedule'!$F$25,'Recurring Schedule'!$N$25)=0,IF('Recurring Schedule'!$O$25&gt;0,AND(DAY($A299)=MIN(DAY('Recurring Schedule'!$F$25),DAY(EOMONTH($A299,0))),MOD((YEAR($A299)-YEAR('Recurring Schedule'!$F$25))*12+MONTH($A299)-MONTH('Recurring Schedule'!$F$25),'Recurring Schedule'!$O$25)=0),IF('Recurring Schedule'!$E$25="Weekdays",WEEKDAY($A299,2)&lt;=5,$A299='Recurring Schedule'!$F$25))),20,""))))</f>
        <v/>
      </c>
      <c r="V299">
        <f>IF('Recurring Schedule'!$C$26="","",IF('Recurring Schedule'!$F$26="","",IF(OR($A299&lt;'Recurring Schedule'!$F$26,$A299&gt;'Recurring Schedule'!$P$26),"",IF(IF('Recurring Schedule'!$N$26&gt;0,MOD($A299-'Recurring Schedule'!$F$26,'Recurring Schedule'!$N$26)=0,IF('Recurring Schedule'!$O$26&gt;0,AND(DAY($A299)=MIN(DAY('Recurring Schedule'!$F$26),DAY(EOMONTH($A299,0))),MOD((YEAR($A299)-YEAR('Recurring Schedule'!$F$26))*12+MONTH($A299)-MONTH('Recurring Schedule'!$F$26),'Recurring Schedule'!$O$26)=0),IF('Recurring Schedule'!$E$26="Weekdays",WEEKDAY($A299,2)&lt;=5,$A299='Recurring Schedule'!$F$26))),21,""))))</f>
        <v/>
      </c>
      <c r="W299">
        <f>IF('Recurring Schedule'!$C$27="","",IF('Recurring Schedule'!$F$27="","",IF(OR($A299&lt;'Recurring Schedule'!$F$27,$A299&gt;'Recurring Schedule'!$P$27),"",IF(IF('Recurring Schedule'!$N$27&gt;0,MOD($A299-'Recurring Schedule'!$F$27,'Recurring Schedule'!$N$27)=0,IF('Recurring Schedule'!$O$27&gt;0,AND(DAY($A299)=MIN(DAY('Recurring Schedule'!$F$27),DAY(EOMONTH($A299,0))),MOD((YEAR($A299)-YEAR('Recurring Schedule'!$F$27))*12+MONTH($A299)-MONTH('Recurring Schedule'!$F$27),'Recurring Schedule'!$O$27)=0),IF('Recurring Schedule'!$E$27="Weekdays",WEEKDAY($A299,2)&lt;=5,$A299='Recurring Schedule'!$F$27))),22,""))))</f>
        <v/>
      </c>
      <c r="X299">
        <f>IF('Recurring Schedule'!$C$28="","",IF('Recurring Schedule'!$F$28="","",IF(OR($A299&lt;'Recurring Schedule'!$F$28,$A299&gt;'Recurring Schedule'!$P$28),"",IF(IF('Recurring Schedule'!$N$28&gt;0,MOD($A299-'Recurring Schedule'!$F$28,'Recurring Schedule'!$N$28)=0,IF('Recurring Schedule'!$O$28&gt;0,AND(DAY($A299)=MIN(DAY('Recurring Schedule'!$F$28),DAY(EOMONTH($A299,0))),MOD((YEAR($A299)-YEAR('Recurring Schedule'!$F$28))*12+MONTH($A299)-MONTH('Recurring Schedule'!$F$28),'Recurring Schedule'!$O$28)=0),IF('Recurring Schedule'!$E$28="Weekdays",WEEKDAY($A299,2)&lt;=5,$A299='Recurring Schedule'!$F$28))),23,""))))</f>
        <v/>
      </c>
      <c r="Y299">
        <f>IF('Recurring Schedule'!$C$29="","",IF('Recurring Schedule'!$F$29="","",IF(OR($A299&lt;'Recurring Schedule'!$F$29,$A299&gt;'Recurring Schedule'!$P$29),"",IF(IF('Recurring Schedule'!$N$29&gt;0,MOD($A299-'Recurring Schedule'!$F$29,'Recurring Schedule'!$N$29)=0,IF('Recurring Schedule'!$O$29&gt;0,AND(DAY($A299)=MIN(DAY('Recurring Schedule'!$F$29),DAY(EOMONTH($A299,0))),MOD((YEAR($A299)-YEAR('Recurring Schedule'!$F$29))*12+MONTH($A299)-MONTH('Recurring Schedule'!$F$29),'Recurring Schedule'!$O$29)=0),IF('Recurring Schedule'!$E$29="Weekdays",WEEKDAY($A299,2)&lt;=5,$A299='Recurring Schedule'!$F$29))),24,""))))</f>
        <v/>
      </c>
      <c r="Z299">
        <f>IF('Recurring Schedule'!$C$30="","",IF('Recurring Schedule'!$F$30="","",IF(OR($A299&lt;'Recurring Schedule'!$F$30,$A299&gt;'Recurring Schedule'!$P$30),"",IF(IF('Recurring Schedule'!$N$30&gt;0,MOD($A299-'Recurring Schedule'!$F$30,'Recurring Schedule'!$N$30)=0,IF('Recurring Schedule'!$O$30&gt;0,AND(DAY($A299)=MIN(DAY('Recurring Schedule'!$F$30),DAY(EOMONTH($A299,0))),MOD((YEAR($A299)-YEAR('Recurring Schedule'!$F$30))*12+MONTH($A299)-MONTH('Recurring Schedule'!$F$30),'Recurring Schedule'!$O$30)=0),IF('Recurring Schedule'!$E$30="Weekdays",WEEKDAY($A299,2)&lt;=5,$A299='Recurring Schedule'!$F$30))),25,""))))</f>
        <v/>
      </c>
      <c r="AA299">
        <f>IF('Recurring Schedule'!$C$31="","",IF('Recurring Schedule'!$F$31="","",IF(OR($A299&lt;'Recurring Schedule'!$F$31,$A299&gt;'Recurring Schedule'!$P$31),"",IF(IF('Recurring Schedule'!$N$31&gt;0,MOD($A299-'Recurring Schedule'!$F$31,'Recurring Schedule'!$N$31)=0,IF('Recurring Schedule'!$O$31&gt;0,AND(DAY($A299)=MIN(DAY('Recurring Schedule'!$F$31),DAY(EOMONTH($A299,0))),MOD((YEAR($A299)-YEAR('Recurring Schedule'!$F$31))*12+MONTH($A299)-MONTH('Recurring Schedule'!$F$31),'Recurring Schedule'!$O$31)=0),IF('Recurring Schedule'!$E$31="Weekdays",WEEKDAY($A299,2)&lt;=5,$A299='Recurring Schedule'!$F$31))),26,""))))</f>
        <v/>
      </c>
      <c r="AB299">
        <f>IF('Recurring Schedule'!$C$32="","",IF('Recurring Schedule'!$F$32="","",IF(OR($A299&lt;'Recurring Schedule'!$F$32,$A299&gt;'Recurring Schedule'!$P$32),"",IF(IF('Recurring Schedule'!$N$32&gt;0,MOD($A299-'Recurring Schedule'!$F$32,'Recurring Schedule'!$N$32)=0,IF('Recurring Schedule'!$O$32&gt;0,AND(DAY($A299)=MIN(DAY('Recurring Schedule'!$F$32),DAY(EOMONTH($A299,0))),MOD((YEAR($A299)-YEAR('Recurring Schedule'!$F$32))*12+MONTH($A299)-MONTH('Recurring Schedule'!$F$32),'Recurring Schedule'!$O$32)=0),IF('Recurring Schedule'!$E$32="Weekdays",WEEKDAY($A299,2)&lt;=5,$A299='Recurring Schedule'!$F$32))),27,""))))</f>
        <v/>
      </c>
      <c r="AC299">
        <f>IF('Recurring Schedule'!$C$33="","",IF('Recurring Schedule'!$F$33="","",IF(OR($A299&lt;'Recurring Schedule'!$F$33,$A299&gt;'Recurring Schedule'!$P$33),"",IF(IF('Recurring Schedule'!$N$33&gt;0,MOD($A299-'Recurring Schedule'!$F$33,'Recurring Schedule'!$N$33)=0,IF('Recurring Schedule'!$O$33&gt;0,AND(DAY($A299)=MIN(DAY('Recurring Schedule'!$F$33),DAY(EOMONTH($A299,0))),MOD((YEAR($A299)-YEAR('Recurring Schedule'!$F$33))*12+MONTH($A299)-MONTH('Recurring Schedule'!$F$33),'Recurring Schedule'!$O$33)=0),IF('Recurring Schedule'!$E$33="Weekdays",WEEKDAY($A299,2)&lt;=5,$A299='Recurring Schedule'!$F$33))),28,""))))</f>
        <v/>
      </c>
      <c r="AD299">
        <f>IF('Recurring Schedule'!$C$34="","",IF('Recurring Schedule'!$F$34="","",IF(OR($A299&lt;'Recurring Schedule'!$F$34,$A299&gt;'Recurring Schedule'!$P$34),"",IF(IF('Recurring Schedule'!$N$34&gt;0,MOD($A299-'Recurring Schedule'!$F$34,'Recurring Schedule'!$N$34)=0,IF('Recurring Schedule'!$O$34&gt;0,AND(DAY($A299)=MIN(DAY('Recurring Schedule'!$F$34),DAY(EOMONTH($A299,0))),MOD((YEAR($A299)-YEAR('Recurring Schedule'!$F$34))*12+MONTH($A299)-MONTH('Recurring Schedule'!$F$34),'Recurring Schedule'!$O$34)=0),IF('Recurring Schedule'!$E$34="Weekdays",WEEKDAY($A299,2)&lt;=5,$A299='Recurring Schedule'!$F$34))),29,""))))</f>
        <v/>
      </c>
      <c r="AE299">
        <f>IF('Recurring Schedule'!$C$35="","",IF('Recurring Schedule'!$F$35="","",IF(OR($A299&lt;'Recurring Schedule'!$F$35,$A299&gt;'Recurring Schedule'!$P$35),"",IF(IF('Recurring Schedule'!$N$35&gt;0,MOD($A299-'Recurring Schedule'!$F$35,'Recurring Schedule'!$N$35)=0,IF('Recurring Schedule'!$O$35&gt;0,AND(DAY($A299)=MIN(DAY('Recurring Schedule'!$F$35),DAY(EOMONTH($A299,0))),MOD((YEAR($A299)-YEAR('Recurring Schedule'!$F$35))*12+MONTH($A299)-MONTH('Recurring Schedule'!$F$35),'Recurring Schedule'!$O$35)=0),IF('Recurring Schedule'!$E$35="Weekdays",WEEKDAY($A299,2)&lt;=5,$A299='Recurring Schedule'!$F$35))),30,""))))</f>
        <v/>
      </c>
      <c r="AF299">
        <f>IF('Recurring Schedule'!$C$36="","",IF('Recurring Schedule'!$F$36="","",IF(OR($A299&lt;'Recurring Schedule'!$F$36,$A299&gt;'Recurring Schedule'!$P$36),"",IF(IF('Recurring Schedule'!$N$36&gt;0,MOD($A299-'Recurring Schedule'!$F$36,'Recurring Schedule'!$N$36)=0,IF('Recurring Schedule'!$O$36&gt;0,AND(DAY($A299)=MIN(DAY('Recurring Schedule'!$F$36),DAY(EOMONTH($A299,0))),MOD((YEAR($A299)-YEAR('Recurring Schedule'!$F$36))*12+MONTH($A299)-MONTH('Recurring Schedule'!$F$36),'Recurring Schedule'!$O$36)=0),IF('Recurring Schedule'!$E$36="Weekdays",WEEKDAY($A299,2)&lt;=5,$A299='Recurring Schedule'!$F$36))),31,""))))</f>
        <v/>
      </c>
      <c r="AG299">
        <f>IF('Recurring Schedule'!$C$37="","",IF('Recurring Schedule'!$F$37="","",IF(OR($A299&lt;'Recurring Schedule'!$F$37,$A299&gt;'Recurring Schedule'!$P$37),"",IF(IF('Recurring Schedule'!$N$37&gt;0,MOD($A299-'Recurring Schedule'!$F$37,'Recurring Schedule'!$N$37)=0,IF('Recurring Schedule'!$O$37&gt;0,AND(DAY($A299)=MIN(DAY('Recurring Schedule'!$F$37),DAY(EOMONTH($A299,0))),MOD((YEAR($A299)-YEAR('Recurring Schedule'!$F$37))*12+MONTH($A299)-MONTH('Recurring Schedule'!$F$37),'Recurring Schedule'!$O$37)=0),IF('Recurring Schedule'!$E$37="Weekdays",WEEKDAY($A299,2)&lt;=5,$A299='Recurring Schedule'!$F$37))),32,""))))</f>
        <v/>
      </c>
      <c r="AH299">
        <f>IF('Recurring Schedule'!$C$38="","",IF('Recurring Schedule'!$F$38="","",IF(OR($A299&lt;'Recurring Schedule'!$F$38,$A299&gt;'Recurring Schedule'!$P$38),"",IF(IF('Recurring Schedule'!$N$38&gt;0,MOD($A299-'Recurring Schedule'!$F$38,'Recurring Schedule'!$N$38)=0,IF('Recurring Schedule'!$O$38&gt;0,AND(DAY($A299)=MIN(DAY('Recurring Schedule'!$F$38),DAY(EOMONTH($A299,0))),MOD((YEAR($A299)-YEAR('Recurring Schedule'!$F$38))*12+MONTH($A299)-MONTH('Recurring Schedule'!$F$38),'Recurring Schedule'!$O$38)=0),IF('Recurring Schedule'!$E$38="Weekdays",WEEKDAY($A299,2)&lt;=5,$A299='Recurring Schedule'!$F$38))),33,""))))</f>
        <v/>
      </c>
      <c r="AI299">
        <f>IF('Recurring Schedule'!$C$39="","",IF('Recurring Schedule'!$F$39="","",IF(OR($A299&lt;'Recurring Schedule'!$F$39,$A299&gt;'Recurring Schedule'!$P$39),"",IF(IF('Recurring Schedule'!$N$39&gt;0,MOD($A299-'Recurring Schedule'!$F$39,'Recurring Schedule'!$N$39)=0,IF('Recurring Schedule'!$O$39&gt;0,AND(DAY($A299)=MIN(DAY('Recurring Schedule'!$F$39),DAY(EOMONTH($A299,0))),MOD((YEAR($A299)-YEAR('Recurring Schedule'!$F$39))*12+MONTH($A299)-MONTH('Recurring Schedule'!$F$39),'Recurring Schedule'!$O$39)=0),IF('Recurring Schedule'!$E$39="Weekdays",WEEKDAY($A299,2)&lt;=5,$A299='Recurring Schedule'!$F$39))),34,""))))</f>
        <v/>
      </c>
      <c r="AJ299">
        <f>IF('Recurring Schedule'!$C$40="","",IF('Recurring Schedule'!$F$40="","",IF(OR($A299&lt;'Recurring Schedule'!$F$40,$A299&gt;'Recurring Schedule'!$P$40),"",IF(IF('Recurring Schedule'!$N$40&gt;0,MOD($A299-'Recurring Schedule'!$F$40,'Recurring Schedule'!$N$40)=0,IF('Recurring Schedule'!$O$40&gt;0,AND(DAY($A299)=MIN(DAY('Recurring Schedule'!$F$40),DAY(EOMONTH($A299,0))),MOD((YEAR($A299)-YEAR('Recurring Schedule'!$F$40))*12+MONTH($A299)-MONTH('Recurring Schedule'!$F$40),'Recurring Schedule'!$O$40)=0),IF('Recurring Schedule'!$E$40="Weekdays",WEEKDAY($A299,2)&lt;=5,$A299='Recurring Schedule'!$F$40))),35,""))))</f>
        <v/>
      </c>
      <c r="AK299">
        <f>IF('Recurring Schedule'!$C$41="","",IF('Recurring Schedule'!$F$41="","",IF(OR($A299&lt;'Recurring Schedule'!$F$41,$A299&gt;'Recurring Schedule'!$P$41),"",IF(IF('Recurring Schedule'!$N$41&gt;0,MOD($A299-'Recurring Schedule'!$F$41,'Recurring Schedule'!$N$41)=0,IF('Recurring Schedule'!$O$41&gt;0,AND(DAY($A299)=MIN(DAY('Recurring Schedule'!$F$41),DAY(EOMONTH($A299,0))),MOD((YEAR($A299)-YEAR('Recurring Schedule'!$F$41))*12+MONTH($A299)-MONTH('Recurring Schedule'!$F$41),'Recurring Schedule'!$O$41)=0),IF('Recurring Schedule'!$E$41="Weekdays",WEEKDAY($A299,2)&lt;=5,$A299='Recurring Schedule'!$F$41))),36,""))))</f>
        <v/>
      </c>
      <c r="AL299">
        <f>IF('Recurring Schedule'!$C$42="","",IF('Recurring Schedule'!$F$42="","",IF(OR($A299&lt;'Recurring Schedule'!$F$42,$A299&gt;'Recurring Schedule'!$P$42),"",IF(IF('Recurring Schedule'!$N$42&gt;0,MOD($A299-'Recurring Schedule'!$F$42,'Recurring Schedule'!$N$42)=0,IF('Recurring Schedule'!$O$42&gt;0,AND(DAY($A299)=MIN(DAY('Recurring Schedule'!$F$42),DAY(EOMONTH($A299,0))),MOD((YEAR($A299)-YEAR('Recurring Schedule'!$F$42))*12+MONTH($A299)-MONTH('Recurring Schedule'!$F$42),'Recurring Schedule'!$O$42)=0),IF('Recurring Schedule'!$E$42="Weekdays",WEEKDAY($A299,2)&lt;=5,$A299='Recurring Schedule'!$F$42))),37,""))))</f>
        <v/>
      </c>
      <c r="AM299">
        <f>IF('Recurring Schedule'!$C$43="","",IF('Recurring Schedule'!$F$43="","",IF(OR($A299&lt;'Recurring Schedule'!$F$43,$A299&gt;'Recurring Schedule'!$P$43),"",IF(IF('Recurring Schedule'!$N$43&gt;0,MOD($A299-'Recurring Schedule'!$F$43,'Recurring Schedule'!$N$43)=0,IF('Recurring Schedule'!$O$43&gt;0,AND(DAY($A299)=MIN(DAY('Recurring Schedule'!$F$43),DAY(EOMONTH($A299,0))),MOD((YEAR($A299)-YEAR('Recurring Schedule'!$F$43))*12+MONTH($A299)-MONTH('Recurring Schedule'!$F$43),'Recurring Schedule'!$O$43)=0),IF('Recurring Schedule'!$E$43="Weekdays",WEEKDAY($A299,2)&lt;=5,$A299='Recurring Schedule'!$F$43))),38,""))))</f>
        <v/>
      </c>
      <c r="AN299">
        <f>IF('Recurring Schedule'!$C$44="","",IF('Recurring Schedule'!$F$44="","",IF(OR($A299&lt;'Recurring Schedule'!$F$44,$A299&gt;'Recurring Schedule'!$P$44),"",IF(IF('Recurring Schedule'!$N$44&gt;0,MOD($A299-'Recurring Schedule'!$F$44,'Recurring Schedule'!$N$44)=0,IF('Recurring Schedule'!$O$44&gt;0,AND(DAY($A299)=MIN(DAY('Recurring Schedule'!$F$44),DAY(EOMONTH($A299,0))),MOD((YEAR($A299)-YEAR('Recurring Schedule'!$F$44))*12+MONTH($A299)-MONTH('Recurring Schedule'!$F$44),'Recurring Schedule'!$O$44)=0),IF('Recurring Schedule'!$E$44="Weekdays",WEEKDAY($A299,2)&lt;=5,$A299='Recurring Schedule'!$F$44))),39,""))))</f>
        <v/>
      </c>
      <c r="AO299">
        <f>IF('Recurring Schedule'!$C$45="","",IF('Recurring Schedule'!$F$45="","",IF(OR($A299&lt;'Recurring Schedule'!$F$45,$A299&gt;'Recurring Schedule'!$P$45),"",IF(IF('Recurring Schedule'!$N$45&gt;0,MOD($A299-'Recurring Schedule'!$F$45,'Recurring Schedule'!$N$45)=0,IF('Recurring Schedule'!$O$45&gt;0,AND(DAY($A299)=MIN(DAY('Recurring Schedule'!$F$45),DAY(EOMONTH($A299,0))),MOD((YEAR($A299)-YEAR('Recurring Schedule'!$F$45))*12+MONTH($A299)-MONTH('Recurring Schedule'!$F$45),'Recurring Schedule'!$O$45)=0),IF('Recurring Schedule'!$E$45="Weekdays",WEEKDAY($A299,2)&lt;=5,$A299='Recurring Schedule'!$F$45))),40,""))))</f>
        <v/>
      </c>
      <c r="AP299">
        <f>COUNT(B299:AO299)</f>
        <v/>
      </c>
      <c r="AQ299">
        <f>AQ298+AP298</f>
        <v/>
      </c>
      <c r="AS299" t="inlineStr">
        <is>
          <t>R</t>
        </is>
      </c>
      <c r="AT299" t="n">
        <v>303</v>
      </c>
      <c r="AU299">
        <f>'Recurring Log'!C303&amp;""</f>
        <v/>
      </c>
      <c r="AV299">
        <f>'Recurring Log'!D303&amp;""</f>
        <v/>
      </c>
      <c r="AW299">
        <f>IF('Recurring Log'!E303="","",'Recurring Log'!E303)</f>
        <v/>
      </c>
      <c r="AX299">
        <f>IF('Recurring Log'!G303="","",'Recurring Log'!G303)</f>
        <v/>
      </c>
      <c r="AY299">
        <f>IF('Recurring Log'!H303="","",'Recurring Log'!H303)</f>
        <v/>
      </c>
      <c r="AZ299">
        <f>IF(AU299="","",IF('Recurring Log'!J303="","Not Started",'Recurring Log'!J303))</f>
        <v/>
      </c>
      <c r="BA299">
        <f>'Recurring Log'!L303&amp;""</f>
        <v/>
      </c>
      <c r="BB299">
        <f>'Recurring Log'!M303&amp;""</f>
        <v/>
      </c>
      <c r="BC299">
        <f>'Recurring Log'!N303&amp;""</f>
        <v/>
      </c>
      <c r="BD299">
        <f>'Recurring Log'!O303&amp;""</f>
        <v/>
      </c>
      <c r="BE299">
        <f>IF('Recurring Log'!K303="","",'Recurring Log'!K303)</f>
        <v/>
      </c>
      <c r="BF299">
        <f>IFERROR(MATCH(BA299,Setup!$L$6:$L$9,0),5)</f>
        <v/>
      </c>
      <c r="BG299">
        <f>IF(OR(AZ299="Done",AZ299="Cancelled"),1,0)</f>
        <v/>
      </c>
      <c r="BH299">
        <f>IF(AND(AU299&lt;&gt;"",ISNUMBER(AW299)),1,0)</f>
        <v/>
      </c>
      <c r="BI299">
        <f>IF(BH299=0,0,IF(AND(AW299&gt;='Tasks Filter'!$F$3,AW299&lt;='Tasks Filter'!$F$4,OR('Tasks Filter'!$I$3="",ISNUMBER(SEARCH('Tasks Filter'!$I$3,AU299))),OR('Tasks Filter'!$I$4="",BF299=IFERROR(MATCH('Tasks Filter'!$I$4,Setup!$L$6:$L$9,0),0)),OR('Tasks Filter'!$I$5="Both",AND('Tasks Filter'!$I$5="Yes",BB299="✓"),AND('Tasks Filter'!$I$5="No",BB299&lt;&gt;"✓")),OR('Tasks Filter'!$L$3="",AV299='Tasks Filter'!$L$3),OR('Tasks Filter'!$L$4="",AZ299='Tasks Filter'!$L$4),OR('Tasks Filter'!$L$5="",BC299='Tasks Filter'!$L$5),OR('Tasks Filter'!$O$3="",BD299='Tasks Filter'!$O$3),OR('Tasks Filter'!$O$4="Yes",BG299=0)),1,0))</f>
        <v/>
      </c>
      <c r="BJ299">
        <f>IF(BH299=0,"",IF('Tasks Filter'!$F$6="Descending",-1,1)*CHOOSE(MATCH('Tasks Filter'!$F$5,Lists!$G$2:$G$6,0),AW299,BF299,IFERROR(MATCH(AV299,Setup!$F$6:$F$15,0),99),IFERROR(MATCH(BC299,Setup!$H$6:$H$15,0),99),IFERROR(MATCH(AZ299,Setup!$J$6:$J$11,0),99))*1E+9+(AW299-40000)*10000+298)</f>
        <v/>
      </c>
      <c r="BK299">
        <f>IF(BI299=1,BJ299,"")</f>
        <v/>
      </c>
      <c r="BL299">
        <f>IF(AND(BH299=1,BG299=0,N(AW299)&lt;Setup!$D$7),(AW299-40000)*10000+298,"")</f>
        <v/>
      </c>
      <c r="BM299">
        <f>IF(AND(BH299=1,AZ299&lt;&gt;"Cancelled",N(AW299)&gt;=Dashboard!$AB$3,N(AW299)&lt;=Dashboard!$AB$3+6),(AW299-40000)*100000+BF299*10000+298,"")</f>
        <v/>
      </c>
      <c r="BN299">
        <f>IF(AND(BH299=1,AZ299&lt;&gt;"Cancelled"),BF299*10000+298,"")</f>
        <v/>
      </c>
    </row>
    <row r="300">
      <c r="A300">
        <f>Setup!$D$5+298</f>
        <v/>
      </c>
      <c r="B300">
        <f>IF('Recurring Schedule'!$C$6="","",IF('Recurring Schedule'!$F$6="","",IF(OR($A300&lt;'Recurring Schedule'!$F$6,$A300&gt;'Recurring Schedule'!$P$6),"",IF(IF('Recurring Schedule'!$N$6&gt;0,MOD($A300-'Recurring Schedule'!$F$6,'Recurring Schedule'!$N$6)=0,IF('Recurring Schedule'!$O$6&gt;0,AND(DAY($A300)=MIN(DAY('Recurring Schedule'!$F$6),DAY(EOMONTH($A300,0))),MOD((YEAR($A300)-YEAR('Recurring Schedule'!$F$6))*12+MONTH($A300)-MONTH('Recurring Schedule'!$F$6),'Recurring Schedule'!$O$6)=0),IF('Recurring Schedule'!$E$6="Weekdays",WEEKDAY($A300,2)&lt;=5,$A300='Recurring Schedule'!$F$6))),1,""))))</f>
        <v/>
      </c>
      <c r="C300">
        <f>IF('Recurring Schedule'!$C$7="","",IF('Recurring Schedule'!$F$7="","",IF(OR($A300&lt;'Recurring Schedule'!$F$7,$A300&gt;'Recurring Schedule'!$P$7),"",IF(IF('Recurring Schedule'!$N$7&gt;0,MOD($A300-'Recurring Schedule'!$F$7,'Recurring Schedule'!$N$7)=0,IF('Recurring Schedule'!$O$7&gt;0,AND(DAY($A300)=MIN(DAY('Recurring Schedule'!$F$7),DAY(EOMONTH($A300,0))),MOD((YEAR($A300)-YEAR('Recurring Schedule'!$F$7))*12+MONTH($A300)-MONTH('Recurring Schedule'!$F$7),'Recurring Schedule'!$O$7)=0),IF('Recurring Schedule'!$E$7="Weekdays",WEEKDAY($A300,2)&lt;=5,$A300='Recurring Schedule'!$F$7))),2,""))))</f>
        <v/>
      </c>
      <c r="D300">
        <f>IF('Recurring Schedule'!$C$8="","",IF('Recurring Schedule'!$F$8="","",IF(OR($A300&lt;'Recurring Schedule'!$F$8,$A300&gt;'Recurring Schedule'!$P$8),"",IF(IF('Recurring Schedule'!$N$8&gt;0,MOD($A300-'Recurring Schedule'!$F$8,'Recurring Schedule'!$N$8)=0,IF('Recurring Schedule'!$O$8&gt;0,AND(DAY($A300)=MIN(DAY('Recurring Schedule'!$F$8),DAY(EOMONTH($A300,0))),MOD((YEAR($A300)-YEAR('Recurring Schedule'!$F$8))*12+MONTH($A300)-MONTH('Recurring Schedule'!$F$8),'Recurring Schedule'!$O$8)=0),IF('Recurring Schedule'!$E$8="Weekdays",WEEKDAY($A300,2)&lt;=5,$A300='Recurring Schedule'!$F$8))),3,""))))</f>
        <v/>
      </c>
      <c r="E300">
        <f>IF('Recurring Schedule'!$C$9="","",IF('Recurring Schedule'!$F$9="","",IF(OR($A300&lt;'Recurring Schedule'!$F$9,$A300&gt;'Recurring Schedule'!$P$9),"",IF(IF('Recurring Schedule'!$N$9&gt;0,MOD($A300-'Recurring Schedule'!$F$9,'Recurring Schedule'!$N$9)=0,IF('Recurring Schedule'!$O$9&gt;0,AND(DAY($A300)=MIN(DAY('Recurring Schedule'!$F$9),DAY(EOMONTH($A300,0))),MOD((YEAR($A300)-YEAR('Recurring Schedule'!$F$9))*12+MONTH($A300)-MONTH('Recurring Schedule'!$F$9),'Recurring Schedule'!$O$9)=0),IF('Recurring Schedule'!$E$9="Weekdays",WEEKDAY($A300,2)&lt;=5,$A300='Recurring Schedule'!$F$9))),4,""))))</f>
        <v/>
      </c>
      <c r="F300">
        <f>IF('Recurring Schedule'!$C$10="","",IF('Recurring Schedule'!$F$10="","",IF(OR($A300&lt;'Recurring Schedule'!$F$10,$A300&gt;'Recurring Schedule'!$P$10),"",IF(IF('Recurring Schedule'!$N$10&gt;0,MOD($A300-'Recurring Schedule'!$F$10,'Recurring Schedule'!$N$10)=0,IF('Recurring Schedule'!$O$10&gt;0,AND(DAY($A300)=MIN(DAY('Recurring Schedule'!$F$10),DAY(EOMONTH($A300,0))),MOD((YEAR($A300)-YEAR('Recurring Schedule'!$F$10))*12+MONTH($A300)-MONTH('Recurring Schedule'!$F$10),'Recurring Schedule'!$O$10)=0),IF('Recurring Schedule'!$E$10="Weekdays",WEEKDAY($A300,2)&lt;=5,$A300='Recurring Schedule'!$F$10))),5,""))))</f>
        <v/>
      </c>
      <c r="G300">
        <f>IF('Recurring Schedule'!$C$11="","",IF('Recurring Schedule'!$F$11="","",IF(OR($A300&lt;'Recurring Schedule'!$F$11,$A300&gt;'Recurring Schedule'!$P$11),"",IF(IF('Recurring Schedule'!$N$11&gt;0,MOD($A300-'Recurring Schedule'!$F$11,'Recurring Schedule'!$N$11)=0,IF('Recurring Schedule'!$O$11&gt;0,AND(DAY($A300)=MIN(DAY('Recurring Schedule'!$F$11),DAY(EOMONTH($A300,0))),MOD((YEAR($A300)-YEAR('Recurring Schedule'!$F$11))*12+MONTH($A300)-MONTH('Recurring Schedule'!$F$11),'Recurring Schedule'!$O$11)=0),IF('Recurring Schedule'!$E$11="Weekdays",WEEKDAY($A300,2)&lt;=5,$A300='Recurring Schedule'!$F$11))),6,""))))</f>
        <v/>
      </c>
      <c r="H300">
        <f>IF('Recurring Schedule'!$C$12="","",IF('Recurring Schedule'!$F$12="","",IF(OR($A300&lt;'Recurring Schedule'!$F$12,$A300&gt;'Recurring Schedule'!$P$12),"",IF(IF('Recurring Schedule'!$N$12&gt;0,MOD($A300-'Recurring Schedule'!$F$12,'Recurring Schedule'!$N$12)=0,IF('Recurring Schedule'!$O$12&gt;0,AND(DAY($A300)=MIN(DAY('Recurring Schedule'!$F$12),DAY(EOMONTH($A300,0))),MOD((YEAR($A300)-YEAR('Recurring Schedule'!$F$12))*12+MONTH($A300)-MONTH('Recurring Schedule'!$F$12),'Recurring Schedule'!$O$12)=0),IF('Recurring Schedule'!$E$12="Weekdays",WEEKDAY($A300,2)&lt;=5,$A300='Recurring Schedule'!$F$12))),7,""))))</f>
        <v/>
      </c>
      <c r="I300">
        <f>IF('Recurring Schedule'!$C$13="","",IF('Recurring Schedule'!$F$13="","",IF(OR($A300&lt;'Recurring Schedule'!$F$13,$A300&gt;'Recurring Schedule'!$P$13),"",IF(IF('Recurring Schedule'!$N$13&gt;0,MOD($A300-'Recurring Schedule'!$F$13,'Recurring Schedule'!$N$13)=0,IF('Recurring Schedule'!$O$13&gt;0,AND(DAY($A300)=MIN(DAY('Recurring Schedule'!$F$13),DAY(EOMONTH($A300,0))),MOD((YEAR($A300)-YEAR('Recurring Schedule'!$F$13))*12+MONTH($A300)-MONTH('Recurring Schedule'!$F$13),'Recurring Schedule'!$O$13)=0),IF('Recurring Schedule'!$E$13="Weekdays",WEEKDAY($A300,2)&lt;=5,$A300='Recurring Schedule'!$F$13))),8,""))))</f>
        <v/>
      </c>
      <c r="J300">
        <f>IF('Recurring Schedule'!$C$14="","",IF('Recurring Schedule'!$F$14="","",IF(OR($A300&lt;'Recurring Schedule'!$F$14,$A300&gt;'Recurring Schedule'!$P$14),"",IF(IF('Recurring Schedule'!$N$14&gt;0,MOD($A300-'Recurring Schedule'!$F$14,'Recurring Schedule'!$N$14)=0,IF('Recurring Schedule'!$O$14&gt;0,AND(DAY($A300)=MIN(DAY('Recurring Schedule'!$F$14),DAY(EOMONTH($A300,0))),MOD((YEAR($A300)-YEAR('Recurring Schedule'!$F$14))*12+MONTH($A300)-MONTH('Recurring Schedule'!$F$14),'Recurring Schedule'!$O$14)=0),IF('Recurring Schedule'!$E$14="Weekdays",WEEKDAY($A300,2)&lt;=5,$A300='Recurring Schedule'!$F$14))),9,""))))</f>
        <v/>
      </c>
      <c r="K300">
        <f>IF('Recurring Schedule'!$C$15="","",IF('Recurring Schedule'!$F$15="","",IF(OR($A300&lt;'Recurring Schedule'!$F$15,$A300&gt;'Recurring Schedule'!$P$15),"",IF(IF('Recurring Schedule'!$N$15&gt;0,MOD($A300-'Recurring Schedule'!$F$15,'Recurring Schedule'!$N$15)=0,IF('Recurring Schedule'!$O$15&gt;0,AND(DAY($A300)=MIN(DAY('Recurring Schedule'!$F$15),DAY(EOMONTH($A300,0))),MOD((YEAR($A300)-YEAR('Recurring Schedule'!$F$15))*12+MONTH($A300)-MONTH('Recurring Schedule'!$F$15),'Recurring Schedule'!$O$15)=0),IF('Recurring Schedule'!$E$15="Weekdays",WEEKDAY($A300,2)&lt;=5,$A300='Recurring Schedule'!$F$15))),10,""))))</f>
        <v/>
      </c>
      <c r="L300">
        <f>IF('Recurring Schedule'!$C$16="","",IF('Recurring Schedule'!$F$16="","",IF(OR($A300&lt;'Recurring Schedule'!$F$16,$A300&gt;'Recurring Schedule'!$P$16),"",IF(IF('Recurring Schedule'!$N$16&gt;0,MOD($A300-'Recurring Schedule'!$F$16,'Recurring Schedule'!$N$16)=0,IF('Recurring Schedule'!$O$16&gt;0,AND(DAY($A300)=MIN(DAY('Recurring Schedule'!$F$16),DAY(EOMONTH($A300,0))),MOD((YEAR($A300)-YEAR('Recurring Schedule'!$F$16))*12+MONTH($A300)-MONTH('Recurring Schedule'!$F$16),'Recurring Schedule'!$O$16)=0),IF('Recurring Schedule'!$E$16="Weekdays",WEEKDAY($A300,2)&lt;=5,$A300='Recurring Schedule'!$F$16))),11,""))))</f>
        <v/>
      </c>
      <c r="M300">
        <f>IF('Recurring Schedule'!$C$17="","",IF('Recurring Schedule'!$F$17="","",IF(OR($A300&lt;'Recurring Schedule'!$F$17,$A300&gt;'Recurring Schedule'!$P$17),"",IF(IF('Recurring Schedule'!$N$17&gt;0,MOD($A300-'Recurring Schedule'!$F$17,'Recurring Schedule'!$N$17)=0,IF('Recurring Schedule'!$O$17&gt;0,AND(DAY($A300)=MIN(DAY('Recurring Schedule'!$F$17),DAY(EOMONTH($A300,0))),MOD((YEAR($A300)-YEAR('Recurring Schedule'!$F$17))*12+MONTH($A300)-MONTH('Recurring Schedule'!$F$17),'Recurring Schedule'!$O$17)=0),IF('Recurring Schedule'!$E$17="Weekdays",WEEKDAY($A300,2)&lt;=5,$A300='Recurring Schedule'!$F$17))),12,""))))</f>
        <v/>
      </c>
      <c r="N300">
        <f>IF('Recurring Schedule'!$C$18="","",IF('Recurring Schedule'!$F$18="","",IF(OR($A300&lt;'Recurring Schedule'!$F$18,$A300&gt;'Recurring Schedule'!$P$18),"",IF(IF('Recurring Schedule'!$N$18&gt;0,MOD($A300-'Recurring Schedule'!$F$18,'Recurring Schedule'!$N$18)=0,IF('Recurring Schedule'!$O$18&gt;0,AND(DAY($A300)=MIN(DAY('Recurring Schedule'!$F$18),DAY(EOMONTH($A300,0))),MOD((YEAR($A300)-YEAR('Recurring Schedule'!$F$18))*12+MONTH($A300)-MONTH('Recurring Schedule'!$F$18),'Recurring Schedule'!$O$18)=0),IF('Recurring Schedule'!$E$18="Weekdays",WEEKDAY($A300,2)&lt;=5,$A300='Recurring Schedule'!$F$18))),13,""))))</f>
        <v/>
      </c>
      <c r="O300">
        <f>IF('Recurring Schedule'!$C$19="","",IF('Recurring Schedule'!$F$19="","",IF(OR($A300&lt;'Recurring Schedule'!$F$19,$A300&gt;'Recurring Schedule'!$P$19),"",IF(IF('Recurring Schedule'!$N$19&gt;0,MOD($A300-'Recurring Schedule'!$F$19,'Recurring Schedule'!$N$19)=0,IF('Recurring Schedule'!$O$19&gt;0,AND(DAY($A300)=MIN(DAY('Recurring Schedule'!$F$19),DAY(EOMONTH($A300,0))),MOD((YEAR($A300)-YEAR('Recurring Schedule'!$F$19))*12+MONTH($A300)-MONTH('Recurring Schedule'!$F$19),'Recurring Schedule'!$O$19)=0),IF('Recurring Schedule'!$E$19="Weekdays",WEEKDAY($A300,2)&lt;=5,$A300='Recurring Schedule'!$F$19))),14,""))))</f>
        <v/>
      </c>
      <c r="P300">
        <f>IF('Recurring Schedule'!$C$20="","",IF('Recurring Schedule'!$F$20="","",IF(OR($A300&lt;'Recurring Schedule'!$F$20,$A300&gt;'Recurring Schedule'!$P$20),"",IF(IF('Recurring Schedule'!$N$20&gt;0,MOD($A300-'Recurring Schedule'!$F$20,'Recurring Schedule'!$N$20)=0,IF('Recurring Schedule'!$O$20&gt;0,AND(DAY($A300)=MIN(DAY('Recurring Schedule'!$F$20),DAY(EOMONTH($A300,0))),MOD((YEAR($A300)-YEAR('Recurring Schedule'!$F$20))*12+MONTH($A300)-MONTH('Recurring Schedule'!$F$20),'Recurring Schedule'!$O$20)=0),IF('Recurring Schedule'!$E$20="Weekdays",WEEKDAY($A300,2)&lt;=5,$A300='Recurring Schedule'!$F$20))),15,""))))</f>
        <v/>
      </c>
      <c r="Q300">
        <f>IF('Recurring Schedule'!$C$21="","",IF('Recurring Schedule'!$F$21="","",IF(OR($A300&lt;'Recurring Schedule'!$F$21,$A300&gt;'Recurring Schedule'!$P$21),"",IF(IF('Recurring Schedule'!$N$21&gt;0,MOD($A300-'Recurring Schedule'!$F$21,'Recurring Schedule'!$N$21)=0,IF('Recurring Schedule'!$O$21&gt;0,AND(DAY($A300)=MIN(DAY('Recurring Schedule'!$F$21),DAY(EOMONTH($A300,0))),MOD((YEAR($A300)-YEAR('Recurring Schedule'!$F$21))*12+MONTH($A300)-MONTH('Recurring Schedule'!$F$21),'Recurring Schedule'!$O$21)=0),IF('Recurring Schedule'!$E$21="Weekdays",WEEKDAY($A300,2)&lt;=5,$A300='Recurring Schedule'!$F$21))),16,""))))</f>
        <v/>
      </c>
      <c r="R300">
        <f>IF('Recurring Schedule'!$C$22="","",IF('Recurring Schedule'!$F$22="","",IF(OR($A300&lt;'Recurring Schedule'!$F$22,$A300&gt;'Recurring Schedule'!$P$22),"",IF(IF('Recurring Schedule'!$N$22&gt;0,MOD($A300-'Recurring Schedule'!$F$22,'Recurring Schedule'!$N$22)=0,IF('Recurring Schedule'!$O$22&gt;0,AND(DAY($A300)=MIN(DAY('Recurring Schedule'!$F$22),DAY(EOMONTH($A300,0))),MOD((YEAR($A300)-YEAR('Recurring Schedule'!$F$22))*12+MONTH($A300)-MONTH('Recurring Schedule'!$F$22),'Recurring Schedule'!$O$22)=0),IF('Recurring Schedule'!$E$22="Weekdays",WEEKDAY($A300,2)&lt;=5,$A300='Recurring Schedule'!$F$22))),17,""))))</f>
        <v/>
      </c>
      <c r="S300">
        <f>IF('Recurring Schedule'!$C$23="","",IF('Recurring Schedule'!$F$23="","",IF(OR($A300&lt;'Recurring Schedule'!$F$23,$A300&gt;'Recurring Schedule'!$P$23),"",IF(IF('Recurring Schedule'!$N$23&gt;0,MOD($A300-'Recurring Schedule'!$F$23,'Recurring Schedule'!$N$23)=0,IF('Recurring Schedule'!$O$23&gt;0,AND(DAY($A300)=MIN(DAY('Recurring Schedule'!$F$23),DAY(EOMONTH($A300,0))),MOD((YEAR($A300)-YEAR('Recurring Schedule'!$F$23))*12+MONTH($A300)-MONTH('Recurring Schedule'!$F$23),'Recurring Schedule'!$O$23)=0),IF('Recurring Schedule'!$E$23="Weekdays",WEEKDAY($A300,2)&lt;=5,$A300='Recurring Schedule'!$F$23))),18,""))))</f>
        <v/>
      </c>
      <c r="T300">
        <f>IF('Recurring Schedule'!$C$24="","",IF('Recurring Schedule'!$F$24="","",IF(OR($A300&lt;'Recurring Schedule'!$F$24,$A300&gt;'Recurring Schedule'!$P$24),"",IF(IF('Recurring Schedule'!$N$24&gt;0,MOD($A300-'Recurring Schedule'!$F$24,'Recurring Schedule'!$N$24)=0,IF('Recurring Schedule'!$O$24&gt;0,AND(DAY($A300)=MIN(DAY('Recurring Schedule'!$F$24),DAY(EOMONTH($A300,0))),MOD((YEAR($A300)-YEAR('Recurring Schedule'!$F$24))*12+MONTH($A300)-MONTH('Recurring Schedule'!$F$24),'Recurring Schedule'!$O$24)=0),IF('Recurring Schedule'!$E$24="Weekdays",WEEKDAY($A300,2)&lt;=5,$A300='Recurring Schedule'!$F$24))),19,""))))</f>
        <v/>
      </c>
      <c r="U300">
        <f>IF('Recurring Schedule'!$C$25="","",IF('Recurring Schedule'!$F$25="","",IF(OR($A300&lt;'Recurring Schedule'!$F$25,$A300&gt;'Recurring Schedule'!$P$25),"",IF(IF('Recurring Schedule'!$N$25&gt;0,MOD($A300-'Recurring Schedule'!$F$25,'Recurring Schedule'!$N$25)=0,IF('Recurring Schedule'!$O$25&gt;0,AND(DAY($A300)=MIN(DAY('Recurring Schedule'!$F$25),DAY(EOMONTH($A300,0))),MOD((YEAR($A300)-YEAR('Recurring Schedule'!$F$25))*12+MONTH($A300)-MONTH('Recurring Schedule'!$F$25),'Recurring Schedule'!$O$25)=0),IF('Recurring Schedule'!$E$25="Weekdays",WEEKDAY($A300,2)&lt;=5,$A300='Recurring Schedule'!$F$25))),20,""))))</f>
        <v/>
      </c>
      <c r="V300">
        <f>IF('Recurring Schedule'!$C$26="","",IF('Recurring Schedule'!$F$26="","",IF(OR($A300&lt;'Recurring Schedule'!$F$26,$A300&gt;'Recurring Schedule'!$P$26),"",IF(IF('Recurring Schedule'!$N$26&gt;0,MOD($A300-'Recurring Schedule'!$F$26,'Recurring Schedule'!$N$26)=0,IF('Recurring Schedule'!$O$26&gt;0,AND(DAY($A300)=MIN(DAY('Recurring Schedule'!$F$26),DAY(EOMONTH($A300,0))),MOD((YEAR($A300)-YEAR('Recurring Schedule'!$F$26))*12+MONTH($A300)-MONTH('Recurring Schedule'!$F$26),'Recurring Schedule'!$O$26)=0),IF('Recurring Schedule'!$E$26="Weekdays",WEEKDAY($A300,2)&lt;=5,$A300='Recurring Schedule'!$F$26))),21,""))))</f>
        <v/>
      </c>
      <c r="W300">
        <f>IF('Recurring Schedule'!$C$27="","",IF('Recurring Schedule'!$F$27="","",IF(OR($A300&lt;'Recurring Schedule'!$F$27,$A300&gt;'Recurring Schedule'!$P$27),"",IF(IF('Recurring Schedule'!$N$27&gt;0,MOD($A300-'Recurring Schedule'!$F$27,'Recurring Schedule'!$N$27)=0,IF('Recurring Schedule'!$O$27&gt;0,AND(DAY($A300)=MIN(DAY('Recurring Schedule'!$F$27),DAY(EOMONTH($A300,0))),MOD((YEAR($A300)-YEAR('Recurring Schedule'!$F$27))*12+MONTH($A300)-MONTH('Recurring Schedule'!$F$27),'Recurring Schedule'!$O$27)=0),IF('Recurring Schedule'!$E$27="Weekdays",WEEKDAY($A300,2)&lt;=5,$A300='Recurring Schedule'!$F$27))),22,""))))</f>
        <v/>
      </c>
      <c r="X300">
        <f>IF('Recurring Schedule'!$C$28="","",IF('Recurring Schedule'!$F$28="","",IF(OR($A300&lt;'Recurring Schedule'!$F$28,$A300&gt;'Recurring Schedule'!$P$28),"",IF(IF('Recurring Schedule'!$N$28&gt;0,MOD($A300-'Recurring Schedule'!$F$28,'Recurring Schedule'!$N$28)=0,IF('Recurring Schedule'!$O$28&gt;0,AND(DAY($A300)=MIN(DAY('Recurring Schedule'!$F$28),DAY(EOMONTH($A300,0))),MOD((YEAR($A300)-YEAR('Recurring Schedule'!$F$28))*12+MONTH($A300)-MONTH('Recurring Schedule'!$F$28),'Recurring Schedule'!$O$28)=0),IF('Recurring Schedule'!$E$28="Weekdays",WEEKDAY($A300,2)&lt;=5,$A300='Recurring Schedule'!$F$28))),23,""))))</f>
        <v/>
      </c>
      <c r="Y300">
        <f>IF('Recurring Schedule'!$C$29="","",IF('Recurring Schedule'!$F$29="","",IF(OR($A300&lt;'Recurring Schedule'!$F$29,$A300&gt;'Recurring Schedule'!$P$29),"",IF(IF('Recurring Schedule'!$N$29&gt;0,MOD($A300-'Recurring Schedule'!$F$29,'Recurring Schedule'!$N$29)=0,IF('Recurring Schedule'!$O$29&gt;0,AND(DAY($A300)=MIN(DAY('Recurring Schedule'!$F$29),DAY(EOMONTH($A300,0))),MOD((YEAR($A300)-YEAR('Recurring Schedule'!$F$29))*12+MONTH($A300)-MONTH('Recurring Schedule'!$F$29),'Recurring Schedule'!$O$29)=0),IF('Recurring Schedule'!$E$29="Weekdays",WEEKDAY($A300,2)&lt;=5,$A300='Recurring Schedule'!$F$29))),24,""))))</f>
        <v/>
      </c>
      <c r="Z300">
        <f>IF('Recurring Schedule'!$C$30="","",IF('Recurring Schedule'!$F$30="","",IF(OR($A300&lt;'Recurring Schedule'!$F$30,$A300&gt;'Recurring Schedule'!$P$30),"",IF(IF('Recurring Schedule'!$N$30&gt;0,MOD($A300-'Recurring Schedule'!$F$30,'Recurring Schedule'!$N$30)=0,IF('Recurring Schedule'!$O$30&gt;0,AND(DAY($A300)=MIN(DAY('Recurring Schedule'!$F$30),DAY(EOMONTH($A300,0))),MOD((YEAR($A300)-YEAR('Recurring Schedule'!$F$30))*12+MONTH($A300)-MONTH('Recurring Schedule'!$F$30),'Recurring Schedule'!$O$30)=0),IF('Recurring Schedule'!$E$30="Weekdays",WEEKDAY($A300,2)&lt;=5,$A300='Recurring Schedule'!$F$30))),25,""))))</f>
        <v/>
      </c>
      <c r="AA300">
        <f>IF('Recurring Schedule'!$C$31="","",IF('Recurring Schedule'!$F$31="","",IF(OR($A300&lt;'Recurring Schedule'!$F$31,$A300&gt;'Recurring Schedule'!$P$31),"",IF(IF('Recurring Schedule'!$N$31&gt;0,MOD($A300-'Recurring Schedule'!$F$31,'Recurring Schedule'!$N$31)=0,IF('Recurring Schedule'!$O$31&gt;0,AND(DAY($A300)=MIN(DAY('Recurring Schedule'!$F$31),DAY(EOMONTH($A300,0))),MOD((YEAR($A300)-YEAR('Recurring Schedule'!$F$31))*12+MONTH($A300)-MONTH('Recurring Schedule'!$F$31),'Recurring Schedule'!$O$31)=0),IF('Recurring Schedule'!$E$31="Weekdays",WEEKDAY($A300,2)&lt;=5,$A300='Recurring Schedule'!$F$31))),26,""))))</f>
        <v/>
      </c>
      <c r="AB300">
        <f>IF('Recurring Schedule'!$C$32="","",IF('Recurring Schedule'!$F$32="","",IF(OR($A300&lt;'Recurring Schedule'!$F$32,$A300&gt;'Recurring Schedule'!$P$32),"",IF(IF('Recurring Schedule'!$N$32&gt;0,MOD($A300-'Recurring Schedule'!$F$32,'Recurring Schedule'!$N$32)=0,IF('Recurring Schedule'!$O$32&gt;0,AND(DAY($A300)=MIN(DAY('Recurring Schedule'!$F$32),DAY(EOMONTH($A300,0))),MOD((YEAR($A300)-YEAR('Recurring Schedule'!$F$32))*12+MONTH($A300)-MONTH('Recurring Schedule'!$F$32),'Recurring Schedule'!$O$32)=0),IF('Recurring Schedule'!$E$32="Weekdays",WEEKDAY($A300,2)&lt;=5,$A300='Recurring Schedule'!$F$32))),27,""))))</f>
        <v/>
      </c>
      <c r="AC300">
        <f>IF('Recurring Schedule'!$C$33="","",IF('Recurring Schedule'!$F$33="","",IF(OR($A300&lt;'Recurring Schedule'!$F$33,$A300&gt;'Recurring Schedule'!$P$33),"",IF(IF('Recurring Schedule'!$N$33&gt;0,MOD($A300-'Recurring Schedule'!$F$33,'Recurring Schedule'!$N$33)=0,IF('Recurring Schedule'!$O$33&gt;0,AND(DAY($A300)=MIN(DAY('Recurring Schedule'!$F$33),DAY(EOMONTH($A300,0))),MOD((YEAR($A300)-YEAR('Recurring Schedule'!$F$33))*12+MONTH($A300)-MONTH('Recurring Schedule'!$F$33),'Recurring Schedule'!$O$33)=0),IF('Recurring Schedule'!$E$33="Weekdays",WEEKDAY($A300,2)&lt;=5,$A300='Recurring Schedule'!$F$33))),28,""))))</f>
        <v/>
      </c>
      <c r="AD300">
        <f>IF('Recurring Schedule'!$C$34="","",IF('Recurring Schedule'!$F$34="","",IF(OR($A300&lt;'Recurring Schedule'!$F$34,$A300&gt;'Recurring Schedule'!$P$34),"",IF(IF('Recurring Schedule'!$N$34&gt;0,MOD($A300-'Recurring Schedule'!$F$34,'Recurring Schedule'!$N$34)=0,IF('Recurring Schedule'!$O$34&gt;0,AND(DAY($A300)=MIN(DAY('Recurring Schedule'!$F$34),DAY(EOMONTH($A300,0))),MOD((YEAR($A300)-YEAR('Recurring Schedule'!$F$34))*12+MONTH($A300)-MONTH('Recurring Schedule'!$F$34),'Recurring Schedule'!$O$34)=0),IF('Recurring Schedule'!$E$34="Weekdays",WEEKDAY($A300,2)&lt;=5,$A300='Recurring Schedule'!$F$34))),29,""))))</f>
        <v/>
      </c>
      <c r="AE300">
        <f>IF('Recurring Schedule'!$C$35="","",IF('Recurring Schedule'!$F$35="","",IF(OR($A300&lt;'Recurring Schedule'!$F$35,$A300&gt;'Recurring Schedule'!$P$35),"",IF(IF('Recurring Schedule'!$N$35&gt;0,MOD($A300-'Recurring Schedule'!$F$35,'Recurring Schedule'!$N$35)=0,IF('Recurring Schedule'!$O$35&gt;0,AND(DAY($A300)=MIN(DAY('Recurring Schedule'!$F$35),DAY(EOMONTH($A300,0))),MOD((YEAR($A300)-YEAR('Recurring Schedule'!$F$35))*12+MONTH($A300)-MONTH('Recurring Schedule'!$F$35),'Recurring Schedule'!$O$35)=0),IF('Recurring Schedule'!$E$35="Weekdays",WEEKDAY($A300,2)&lt;=5,$A300='Recurring Schedule'!$F$35))),30,""))))</f>
        <v/>
      </c>
      <c r="AF300">
        <f>IF('Recurring Schedule'!$C$36="","",IF('Recurring Schedule'!$F$36="","",IF(OR($A300&lt;'Recurring Schedule'!$F$36,$A300&gt;'Recurring Schedule'!$P$36),"",IF(IF('Recurring Schedule'!$N$36&gt;0,MOD($A300-'Recurring Schedule'!$F$36,'Recurring Schedule'!$N$36)=0,IF('Recurring Schedule'!$O$36&gt;0,AND(DAY($A300)=MIN(DAY('Recurring Schedule'!$F$36),DAY(EOMONTH($A300,0))),MOD((YEAR($A300)-YEAR('Recurring Schedule'!$F$36))*12+MONTH($A300)-MONTH('Recurring Schedule'!$F$36),'Recurring Schedule'!$O$36)=0),IF('Recurring Schedule'!$E$36="Weekdays",WEEKDAY($A300,2)&lt;=5,$A300='Recurring Schedule'!$F$36))),31,""))))</f>
        <v/>
      </c>
      <c r="AG300">
        <f>IF('Recurring Schedule'!$C$37="","",IF('Recurring Schedule'!$F$37="","",IF(OR($A300&lt;'Recurring Schedule'!$F$37,$A300&gt;'Recurring Schedule'!$P$37),"",IF(IF('Recurring Schedule'!$N$37&gt;0,MOD($A300-'Recurring Schedule'!$F$37,'Recurring Schedule'!$N$37)=0,IF('Recurring Schedule'!$O$37&gt;0,AND(DAY($A300)=MIN(DAY('Recurring Schedule'!$F$37),DAY(EOMONTH($A300,0))),MOD((YEAR($A300)-YEAR('Recurring Schedule'!$F$37))*12+MONTH($A300)-MONTH('Recurring Schedule'!$F$37),'Recurring Schedule'!$O$37)=0),IF('Recurring Schedule'!$E$37="Weekdays",WEEKDAY($A300,2)&lt;=5,$A300='Recurring Schedule'!$F$37))),32,""))))</f>
        <v/>
      </c>
      <c r="AH300">
        <f>IF('Recurring Schedule'!$C$38="","",IF('Recurring Schedule'!$F$38="","",IF(OR($A300&lt;'Recurring Schedule'!$F$38,$A300&gt;'Recurring Schedule'!$P$38),"",IF(IF('Recurring Schedule'!$N$38&gt;0,MOD($A300-'Recurring Schedule'!$F$38,'Recurring Schedule'!$N$38)=0,IF('Recurring Schedule'!$O$38&gt;0,AND(DAY($A300)=MIN(DAY('Recurring Schedule'!$F$38),DAY(EOMONTH($A300,0))),MOD((YEAR($A300)-YEAR('Recurring Schedule'!$F$38))*12+MONTH($A300)-MONTH('Recurring Schedule'!$F$38),'Recurring Schedule'!$O$38)=0),IF('Recurring Schedule'!$E$38="Weekdays",WEEKDAY($A300,2)&lt;=5,$A300='Recurring Schedule'!$F$38))),33,""))))</f>
        <v/>
      </c>
      <c r="AI300">
        <f>IF('Recurring Schedule'!$C$39="","",IF('Recurring Schedule'!$F$39="","",IF(OR($A300&lt;'Recurring Schedule'!$F$39,$A300&gt;'Recurring Schedule'!$P$39),"",IF(IF('Recurring Schedule'!$N$39&gt;0,MOD($A300-'Recurring Schedule'!$F$39,'Recurring Schedule'!$N$39)=0,IF('Recurring Schedule'!$O$39&gt;0,AND(DAY($A300)=MIN(DAY('Recurring Schedule'!$F$39),DAY(EOMONTH($A300,0))),MOD((YEAR($A300)-YEAR('Recurring Schedule'!$F$39))*12+MONTH($A300)-MONTH('Recurring Schedule'!$F$39),'Recurring Schedule'!$O$39)=0),IF('Recurring Schedule'!$E$39="Weekdays",WEEKDAY($A300,2)&lt;=5,$A300='Recurring Schedule'!$F$39))),34,""))))</f>
        <v/>
      </c>
      <c r="AJ300">
        <f>IF('Recurring Schedule'!$C$40="","",IF('Recurring Schedule'!$F$40="","",IF(OR($A300&lt;'Recurring Schedule'!$F$40,$A300&gt;'Recurring Schedule'!$P$40),"",IF(IF('Recurring Schedule'!$N$40&gt;0,MOD($A300-'Recurring Schedule'!$F$40,'Recurring Schedule'!$N$40)=0,IF('Recurring Schedule'!$O$40&gt;0,AND(DAY($A300)=MIN(DAY('Recurring Schedule'!$F$40),DAY(EOMONTH($A300,0))),MOD((YEAR($A300)-YEAR('Recurring Schedule'!$F$40))*12+MONTH($A300)-MONTH('Recurring Schedule'!$F$40),'Recurring Schedule'!$O$40)=0),IF('Recurring Schedule'!$E$40="Weekdays",WEEKDAY($A300,2)&lt;=5,$A300='Recurring Schedule'!$F$40))),35,""))))</f>
        <v/>
      </c>
      <c r="AK300">
        <f>IF('Recurring Schedule'!$C$41="","",IF('Recurring Schedule'!$F$41="","",IF(OR($A300&lt;'Recurring Schedule'!$F$41,$A300&gt;'Recurring Schedule'!$P$41),"",IF(IF('Recurring Schedule'!$N$41&gt;0,MOD($A300-'Recurring Schedule'!$F$41,'Recurring Schedule'!$N$41)=0,IF('Recurring Schedule'!$O$41&gt;0,AND(DAY($A300)=MIN(DAY('Recurring Schedule'!$F$41),DAY(EOMONTH($A300,0))),MOD((YEAR($A300)-YEAR('Recurring Schedule'!$F$41))*12+MONTH($A300)-MONTH('Recurring Schedule'!$F$41),'Recurring Schedule'!$O$41)=0),IF('Recurring Schedule'!$E$41="Weekdays",WEEKDAY($A300,2)&lt;=5,$A300='Recurring Schedule'!$F$41))),36,""))))</f>
        <v/>
      </c>
      <c r="AL300">
        <f>IF('Recurring Schedule'!$C$42="","",IF('Recurring Schedule'!$F$42="","",IF(OR($A300&lt;'Recurring Schedule'!$F$42,$A300&gt;'Recurring Schedule'!$P$42),"",IF(IF('Recurring Schedule'!$N$42&gt;0,MOD($A300-'Recurring Schedule'!$F$42,'Recurring Schedule'!$N$42)=0,IF('Recurring Schedule'!$O$42&gt;0,AND(DAY($A300)=MIN(DAY('Recurring Schedule'!$F$42),DAY(EOMONTH($A300,0))),MOD((YEAR($A300)-YEAR('Recurring Schedule'!$F$42))*12+MONTH($A300)-MONTH('Recurring Schedule'!$F$42),'Recurring Schedule'!$O$42)=0),IF('Recurring Schedule'!$E$42="Weekdays",WEEKDAY($A300,2)&lt;=5,$A300='Recurring Schedule'!$F$42))),37,""))))</f>
        <v/>
      </c>
      <c r="AM300">
        <f>IF('Recurring Schedule'!$C$43="","",IF('Recurring Schedule'!$F$43="","",IF(OR($A300&lt;'Recurring Schedule'!$F$43,$A300&gt;'Recurring Schedule'!$P$43),"",IF(IF('Recurring Schedule'!$N$43&gt;0,MOD($A300-'Recurring Schedule'!$F$43,'Recurring Schedule'!$N$43)=0,IF('Recurring Schedule'!$O$43&gt;0,AND(DAY($A300)=MIN(DAY('Recurring Schedule'!$F$43),DAY(EOMONTH($A300,0))),MOD((YEAR($A300)-YEAR('Recurring Schedule'!$F$43))*12+MONTH($A300)-MONTH('Recurring Schedule'!$F$43),'Recurring Schedule'!$O$43)=0),IF('Recurring Schedule'!$E$43="Weekdays",WEEKDAY($A300,2)&lt;=5,$A300='Recurring Schedule'!$F$43))),38,""))))</f>
        <v/>
      </c>
      <c r="AN300">
        <f>IF('Recurring Schedule'!$C$44="","",IF('Recurring Schedule'!$F$44="","",IF(OR($A300&lt;'Recurring Schedule'!$F$44,$A300&gt;'Recurring Schedule'!$P$44),"",IF(IF('Recurring Schedule'!$N$44&gt;0,MOD($A300-'Recurring Schedule'!$F$44,'Recurring Schedule'!$N$44)=0,IF('Recurring Schedule'!$O$44&gt;0,AND(DAY($A300)=MIN(DAY('Recurring Schedule'!$F$44),DAY(EOMONTH($A300,0))),MOD((YEAR($A300)-YEAR('Recurring Schedule'!$F$44))*12+MONTH($A300)-MONTH('Recurring Schedule'!$F$44),'Recurring Schedule'!$O$44)=0),IF('Recurring Schedule'!$E$44="Weekdays",WEEKDAY($A300,2)&lt;=5,$A300='Recurring Schedule'!$F$44))),39,""))))</f>
        <v/>
      </c>
      <c r="AO300">
        <f>IF('Recurring Schedule'!$C$45="","",IF('Recurring Schedule'!$F$45="","",IF(OR($A300&lt;'Recurring Schedule'!$F$45,$A300&gt;'Recurring Schedule'!$P$45),"",IF(IF('Recurring Schedule'!$N$45&gt;0,MOD($A300-'Recurring Schedule'!$F$45,'Recurring Schedule'!$N$45)=0,IF('Recurring Schedule'!$O$45&gt;0,AND(DAY($A300)=MIN(DAY('Recurring Schedule'!$F$45),DAY(EOMONTH($A300,0))),MOD((YEAR($A300)-YEAR('Recurring Schedule'!$F$45))*12+MONTH($A300)-MONTH('Recurring Schedule'!$F$45),'Recurring Schedule'!$O$45)=0),IF('Recurring Schedule'!$E$45="Weekdays",WEEKDAY($A300,2)&lt;=5,$A300='Recurring Schedule'!$F$45))),40,""))))</f>
        <v/>
      </c>
      <c r="AP300">
        <f>COUNT(B300:AO300)</f>
        <v/>
      </c>
      <c r="AQ300">
        <f>AQ299+AP299</f>
        <v/>
      </c>
      <c r="AS300" t="inlineStr">
        <is>
          <t>R</t>
        </is>
      </c>
      <c r="AT300" t="n">
        <v>304</v>
      </c>
      <c r="AU300">
        <f>'Recurring Log'!C304&amp;""</f>
        <v/>
      </c>
      <c r="AV300">
        <f>'Recurring Log'!D304&amp;""</f>
        <v/>
      </c>
      <c r="AW300">
        <f>IF('Recurring Log'!E304="","",'Recurring Log'!E304)</f>
        <v/>
      </c>
      <c r="AX300">
        <f>IF('Recurring Log'!G304="","",'Recurring Log'!G304)</f>
        <v/>
      </c>
      <c r="AY300">
        <f>IF('Recurring Log'!H304="","",'Recurring Log'!H304)</f>
        <v/>
      </c>
      <c r="AZ300">
        <f>IF(AU300="","",IF('Recurring Log'!J304="","Not Started",'Recurring Log'!J304))</f>
        <v/>
      </c>
      <c r="BA300">
        <f>'Recurring Log'!L304&amp;""</f>
        <v/>
      </c>
      <c r="BB300">
        <f>'Recurring Log'!M304&amp;""</f>
        <v/>
      </c>
      <c r="BC300">
        <f>'Recurring Log'!N304&amp;""</f>
        <v/>
      </c>
      <c r="BD300">
        <f>'Recurring Log'!O304&amp;""</f>
        <v/>
      </c>
      <c r="BE300">
        <f>IF('Recurring Log'!K304="","",'Recurring Log'!K304)</f>
        <v/>
      </c>
      <c r="BF300">
        <f>IFERROR(MATCH(BA300,Setup!$L$6:$L$9,0),5)</f>
        <v/>
      </c>
      <c r="BG300">
        <f>IF(OR(AZ300="Done",AZ300="Cancelled"),1,0)</f>
        <v/>
      </c>
      <c r="BH300">
        <f>IF(AND(AU300&lt;&gt;"",ISNUMBER(AW300)),1,0)</f>
        <v/>
      </c>
      <c r="BI300">
        <f>IF(BH300=0,0,IF(AND(AW300&gt;='Tasks Filter'!$F$3,AW300&lt;='Tasks Filter'!$F$4,OR('Tasks Filter'!$I$3="",ISNUMBER(SEARCH('Tasks Filter'!$I$3,AU300))),OR('Tasks Filter'!$I$4="",BF300=IFERROR(MATCH('Tasks Filter'!$I$4,Setup!$L$6:$L$9,0),0)),OR('Tasks Filter'!$I$5="Both",AND('Tasks Filter'!$I$5="Yes",BB300="✓"),AND('Tasks Filter'!$I$5="No",BB300&lt;&gt;"✓")),OR('Tasks Filter'!$L$3="",AV300='Tasks Filter'!$L$3),OR('Tasks Filter'!$L$4="",AZ300='Tasks Filter'!$L$4),OR('Tasks Filter'!$L$5="",BC300='Tasks Filter'!$L$5),OR('Tasks Filter'!$O$3="",BD300='Tasks Filter'!$O$3),OR('Tasks Filter'!$O$4="Yes",BG300=0)),1,0))</f>
        <v/>
      </c>
      <c r="BJ300">
        <f>IF(BH300=0,"",IF('Tasks Filter'!$F$6="Descending",-1,1)*CHOOSE(MATCH('Tasks Filter'!$F$5,Lists!$G$2:$G$6,0),AW300,BF300,IFERROR(MATCH(AV300,Setup!$F$6:$F$15,0),99),IFERROR(MATCH(BC300,Setup!$H$6:$H$15,0),99),IFERROR(MATCH(AZ300,Setup!$J$6:$J$11,0),99))*1E+9+(AW300-40000)*10000+299)</f>
        <v/>
      </c>
      <c r="BK300">
        <f>IF(BI300=1,BJ300,"")</f>
        <v/>
      </c>
      <c r="BL300">
        <f>IF(AND(BH300=1,BG300=0,N(AW300)&lt;Setup!$D$7),(AW300-40000)*10000+299,"")</f>
        <v/>
      </c>
      <c r="BM300">
        <f>IF(AND(BH300=1,AZ300&lt;&gt;"Cancelled",N(AW300)&gt;=Dashboard!$AB$3,N(AW300)&lt;=Dashboard!$AB$3+6),(AW300-40000)*100000+BF300*10000+299,"")</f>
        <v/>
      </c>
      <c r="BN300">
        <f>IF(AND(BH300=1,AZ300&lt;&gt;"Cancelled"),BF300*10000+299,"")</f>
        <v/>
      </c>
    </row>
    <row r="301">
      <c r="A301">
        <f>Setup!$D$5+299</f>
        <v/>
      </c>
      <c r="B301">
        <f>IF('Recurring Schedule'!$C$6="","",IF('Recurring Schedule'!$F$6="","",IF(OR($A301&lt;'Recurring Schedule'!$F$6,$A301&gt;'Recurring Schedule'!$P$6),"",IF(IF('Recurring Schedule'!$N$6&gt;0,MOD($A301-'Recurring Schedule'!$F$6,'Recurring Schedule'!$N$6)=0,IF('Recurring Schedule'!$O$6&gt;0,AND(DAY($A301)=MIN(DAY('Recurring Schedule'!$F$6),DAY(EOMONTH($A301,0))),MOD((YEAR($A301)-YEAR('Recurring Schedule'!$F$6))*12+MONTH($A301)-MONTH('Recurring Schedule'!$F$6),'Recurring Schedule'!$O$6)=0),IF('Recurring Schedule'!$E$6="Weekdays",WEEKDAY($A301,2)&lt;=5,$A301='Recurring Schedule'!$F$6))),1,""))))</f>
        <v/>
      </c>
      <c r="C301">
        <f>IF('Recurring Schedule'!$C$7="","",IF('Recurring Schedule'!$F$7="","",IF(OR($A301&lt;'Recurring Schedule'!$F$7,$A301&gt;'Recurring Schedule'!$P$7),"",IF(IF('Recurring Schedule'!$N$7&gt;0,MOD($A301-'Recurring Schedule'!$F$7,'Recurring Schedule'!$N$7)=0,IF('Recurring Schedule'!$O$7&gt;0,AND(DAY($A301)=MIN(DAY('Recurring Schedule'!$F$7),DAY(EOMONTH($A301,0))),MOD((YEAR($A301)-YEAR('Recurring Schedule'!$F$7))*12+MONTH($A301)-MONTH('Recurring Schedule'!$F$7),'Recurring Schedule'!$O$7)=0),IF('Recurring Schedule'!$E$7="Weekdays",WEEKDAY($A301,2)&lt;=5,$A301='Recurring Schedule'!$F$7))),2,""))))</f>
        <v/>
      </c>
      <c r="D301">
        <f>IF('Recurring Schedule'!$C$8="","",IF('Recurring Schedule'!$F$8="","",IF(OR($A301&lt;'Recurring Schedule'!$F$8,$A301&gt;'Recurring Schedule'!$P$8),"",IF(IF('Recurring Schedule'!$N$8&gt;0,MOD($A301-'Recurring Schedule'!$F$8,'Recurring Schedule'!$N$8)=0,IF('Recurring Schedule'!$O$8&gt;0,AND(DAY($A301)=MIN(DAY('Recurring Schedule'!$F$8),DAY(EOMONTH($A301,0))),MOD((YEAR($A301)-YEAR('Recurring Schedule'!$F$8))*12+MONTH($A301)-MONTH('Recurring Schedule'!$F$8),'Recurring Schedule'!$O$8)=0),IF('Recurring Schedule'!$E$8="Weekdays",WEEKDAY($A301,2)&lt;=5,$A301='Recurring Schedule'!$F$8))),3,""))))</f>
        <v/>
      </c>
      <c r="E301">
        <f>IF('Recurring Schedule'!$C$9="","",IF('Recurring Schedule'!$F$9="","",IF(OR($A301&lt;'Recurring Schedule'!$F$9,$A301&gt;'Recurring Schedule'!$P$9),"",IF(IF('Recurring Schedule'!$N$9&gt;0,MOD($A301-'Recurring Schedule'!$F$9,'Recurring Schedule'!$N$9)=0,IF('Recurring Schedule'!$O$9&gt;0,AND(DAY($A301)=MIN(DAY('Recurring Schedule'!$F$9),DAY(EOMONTH($A301,0))),MOD((YEAR($A301)-YEAR('Recurring Schedule'!$F$9))*12+MONTH($A301)-MONTH('Recurring Schedule'!$F$9),'Recurring Schedule'!$O$9)=0),IF('Recurring Schedule'!$E$9="Weekdays",WEEKDAY($A301,2)&lt;=5,$A301='Recurring Schedule'!$F$9))),4,""))))</f>
        <v/>
      </c>
      <c r="F301">
        <f>IF('Recurring Schedule'!$C$10="","",IF('Recurring Schedule'!$F$10="","",IF(OR($A301&lt;'Recurring Schedule'!$F$10,$A301&gt;'Recurring Schedule'!$P$10),"",IF(IF('Recurring Schedule'!$N$10&gt;0,MOD($A301-'Recurring Schedule'!$F$10,'Recurring Schedule'!$N$10)=0,IF('Recurring Schedule'!$O$10&gt;0,AND(DAY($A301)=MIN(DAY('Recurring Schedule'!$F$10),DAY(EOMONTH($A301,0))),MOD((YEAR($A301)-YEAR('Recurring Schedule'!$F$10))*12+MONTH($A301)-MONTH('Recurring Schedule'!$F$10),'Recurring Schedule'!$O$10)=0),IF('Recurring Schedule'!$E$10="Weekdays",WEEKDAY($A301,2)&lt;=5,$A301='Recurring Schedule'!$F$10))),5,""))))</f>
        <v/>
      </c>
      <c r="G301">
        <f>IF('Recurring Schedule'!$C$11="","",IF('Recurring Schedule'!$F$11="","",IF(OR($A301&lt;'Recurring Schedule'!$F$11,$A301&gt;'Recurring Schedule'!$P$11),"",IF(IF('Recurring Schedule'!$N$11&gt;0,MOD($A301-'Recurring Schedule'!$F$11,'Recurring Schedule'!$N$11)=0,IF('Recurring Schedule'!$O$11&gt;0,AND(DAY($A301)=MIN(DAY('Recurring Schedule'!$F$11),DAY(EOMONTH($A301,0))),MOD((YEAR($A301)-YEAR('Recurring Schedule'!$F$11))*12+MONTH($A301)-MONTH('Recurring Schedule'!$F$11),'Recurring Schedule'!$O$11)=0),IF('Recurring Schedule'!$E$11="Weekdays",WEEKDAY($A301,2)&lt;=5,$A301='Recurring Schedule'!$F$11))),6,""))))</f>
        <v/>
      </c>
      <c r="H301">
        <f>IF('Recurring Schedule'!$C$12="","",IF('Recurring Schedule'!$F$12="","",IF(OR($A301&lt;'Recurring Schedule'!$F$12,$A301&gt;'Recurring Schedule'!$P$12),"",IF(IF('Recurring Schedule'!$N$12&gt;0,MOD($A301-'Recurring Schedule'!$F$12,'Recurring Schedule'!$N$12)=0,IF('Recurring Schedule'!$O$12&gt;0,AND(DAY($A301)=MIN(DAY('Recurring Schedule'!$F$12),DAY(EOMONTH($A301,0))),MOD((YEAR($A301)-YEAR('Recurring Schedule'!$F$12))*12+MONTH($A301)-MONTH('Recurring Schedule'!$F$12),'Recurring Schedule'!$O$12)=0),IF('Recurring Schedule'!$E$12="Weekdays",WEEKDAY($A301,2)&lt;=5,$A301='Recurring Schedule'!$F$12))),7,""))))</f>
        <v/>
      </c>
      <c r="I301">
        <f>IF('Recurring Schedule'!$C$13="","",IF('Recurring Schedule'!$F$13="","",IF(OR($A301&lt;'Recurring Schedule'!$F$13,$A301&gt;'Recurring Schedule'!$P$13),"",IF(IF('Recurring Schedule'!$N$13&gt;0,MOD($A301-'Recurring Schedule'!$F$13,'Recurring Schedule'!$N$13)=0,IF('Recurring Schedule'!$O$13&gt;0,AND(DAY($A301)=MIN(DAY('Recurring Schedule'!$F$13),DAY(EOMONTH($A301,0))),MOD((YEAR($A301)-YEAR('Recurring Schedule'!$F$13))*12+MONTH($A301)-MONTH('Recurring Schedule'!$F$13),'Recurring Schedule'!$O$13)=0),IF('Recurring Schedule'!$E$13="Weekdays",WEEKDAY($A301,2)&lt;=5,$A301='Recurring Schedule'!$F$13))),8,""))))</f>
        <v/>
      </c>
      <c r="J301">
        <f>IF('Recurring Schedule'!$C$14="","",IF('Recurring Schedule'!$F$14="","",IF(OR($A301&lt;'Recurring Schedule'!$F$14,$A301&gt;'Recurring Schedule'!$P$14),"",IF(IF('Recurring Schedule'!$N$14&gt;0,MOD($A301-'Recurring Schedule'!$F$14,'Recurring Schedule'!$N$14)=0,IF('Recurring Schedule'!$O$14&gt;0,AND(DAY($A301)=MIN(DAY('Recurring Schedule'!$F$14),DAY(EOMONTH($A301,0))),MOD((YEAR($A301)-YEAR('Recurring Schedule'!$F$14))*12+MONTH($A301)-MONTH('Recurring Schedule'!$F$14),'Recurring Schedule'!$O$14)=0),IF('Recurring Schedule'!$E$14="Weekdays",WEEKDAY($A301,2)&lt;=5,$A301='Recurring Schedule'!$F$14))),9,""))))</f>
        <v/>
      </c>
      <c r="K301">
        <f>IF('Recurring Schedule'!$C$15="","",IF('Recurring Schedule'!$F$15="","",IF(OR($A301&lt;'Recurring Schedule'!$F$15,$A301&gt;'Recurring Schedule'!$P$15),"",IF(IF('Recurring Schedule'!$N$15&gt;0,MOD($A301-'Recurring Schedule'!$F$15,'Recurring Schedule'!$N$15)=0,IF('Recurring Schedule'!$O$15&gt;0,AND(DAY($A301)=MIN(DAY('Recurring Schedule'!$F$15),DAY(EOMONTH($A301,0))),MOD((YEAR($A301)-YEAR('Recurring Schedule'!$F$15))*12+MONTH($A301)-MONTH('Recurring Schedule'!$F$15),'Recurring Schedule'!$O$15)=0),IF('Recurring Schedule'!$E$15="Weekdays",WEEKDAY($A301,2)&lt;=5,$A301='Recurring Schedule'!$F$15))),10,""))))</f>
        <v/>
      </c>
      <c r="L301">
        <f>IF('Recurring Schedule'!$C$16="","",IF('Recurring Schedule'!$F$16="","",IF(OR($A301&lt;'Recurring Schedule'!$F$16,$A301&gt;'Recurring Schedule'!$P$16),"",IF(IF('Recurring Schedule'!$N$16&gt;0,MOD($A301-'Recurring Schedule'!$F$16,'Recurring Schedule'!$N$16)=0,IF('Recurring Schedule'!$O$16&gt;0,AND(DAY($A301)=MIN(DAY('Recurring Schedule'!$F$16),DAY(EOMONTH($A301,0))),MOD((YEAR($A301)-YEAR('Recurring Schedule'!$F$16))*12+MONTH($A301)-MONTH('Recurring Schedule'!$F$16),'Recurring Schedule'!$O$16)=0),IF('Recurring Schedule'!$E$16="Weekdays",WEEKDAY($A301,2)&lt;=5,$A301='Recurring Schedule'!$F$16))),11,""))))</f>
        <v/>
      </c>
      <c r="M301">
        <f>IF('Recurring Schedule'!$C$17="","",IF('Recurring Schedule'!$F$17="","",IF(OR($A301&lt;'Recurring Schedule'!$F$17,$A301&gt;'Recurring Schedule'!$P$17),"",IF(IF('Recurring Schedule'!$N$17&gt;0,MOD($A301-'Recurring Schedule'!$F$17,'Recurring Schedule'!$N$17)=0,IF('Recurring Schedule'!$O$17&gt;0,AND(DAY($A301)=MIN(DAY('Recurring Schedule'!$F$17),DAY(EOMONTH($A301,0))),MOD((YEAR($A301)-YEAR('Recurring Schedule'!$F$17))*12+MONTH($A301)-MONTH('Recurring Schedule'!$F$17),'Recurring Schedule'!$O$17)=0),IF('Recurring Schedule'!$E$17="Weekdays",WEEKDAY($A301,2)&lt;=5,$A301='Recurring Schedule'!$F$17))),12,""))))</f>
        <v/>
      </c>
      <c r="N301">
        <f>IF('Recurring Schedule'!$C$18="","",IF('Recurring Schedule'!$F$18="","",IF(OR($A301&lt;'Recurring Schedule'!$F$18,$A301&gt;'Recurring Schedule'!$P$18),"",IF(IF('Recurring Schedule'!$N$18&gt;0,MOD($A301-'Recurring Schedule'!$F$18,'Recurring Schedule'!$N$18)=0,IF('Recurring Schedule'!$O$18&gt;0,AND(DAY($A301)=MIN(DAY('Recurring Schedule'!$F$18),DAY(EOMONTH($A301,0))),MOD((YEAR($A301)-YEAR('Recurring Schedule'!$F$18))*12+MONTH($A301)-MONTH('Recurring Schedule'!$F$18),'Recurring Schedule'!$O$18)=0),IF('Recurring Schedule'!$E$18="Weekdays",WEEKDAY($A301,2)&lt;=5,$A301='Recurring Schedule'!$F$18))),13,""))))</f>
        <v/>
      </c>
      <c r="O301">
        <f>IF('Recurring Schedule'!$C$19="","",IF('Recurring Schedule'!$F$19="","",IF(OR($A301&lt;'Recurring Schedule'!$F$19,$A301&gt;'Recurring Schedule'!$P$19),"",IF(IF('Recurring Schedule'!$N$19&gt;0,MOD($A301-'Recurring Schedule'!$F$19,'Recurring Schedule'!$N$19)=0,IF('Recurring Schedule'!$O$19&gt;0,AND(DAY($A301)=MIN(DAY('Recurring Schedule'!$F$19),DAY(EOMONTH($A301,0))),MOD((YEAR($A301)-YEAR('Recurring Schedule'!$F$19))*12+MONTH($A301)-MONTH('Recurring Schedule'!$F$19),'Recurring Schedule'!$O$19)=0),IF('Recurring Schedule'!$E$19="Weekdays",WEEKDAY($A301,2)&lt;=5,$A301='Recurring Schedule'!$F$19))),14,""))))</f>
        <v/>
      </c>
      <c r="P301">
        <f>IF('Recurring Schedule'!$C$20="","",IF('Recurring Schedule'!$F$20="","",IF(OR($A301&lt;'Recurring Schedule'!$F$20,$A301&gt;'Recurring Schedule'!$P$20),"",IF(IF('Recurring Schedule'!$N$20&gt;0,MOD($A301-'Recurring Schedule'!$F$20,'Recurring Schedule'!$N$20)=0,IF('Recurring Schedule'!$O$20&gt;0,AND(DAY($A301)=MIN(DAY('Recurring Schedule'!$F$20),DAY(EOMONTH($A301,0))),MOD((YEAR($A301)-YEAR('Recurring Schedule'!$F$20))*12+MONTH($A301)-MONTH('Recurring Schedule'!$F$20),'Recurring Schedule'!$O$20)=0),IF('Recurring Schedule'!$E$20="Weekdays",WEEKDAY($A301,2)&lt;=5,$A301='Recurring Schedule'!$F$20))),15,""))))</f>
        <v/>
      </c>
      <c r="Q301">
        <f>IF('Recurring Schedule'!$C$21="","",IF('Recurring Schedule'!$F$21="","",IF(OR($A301&lt;'Recurring Schedule'!$F$21,$A301&gt;'Recurring Schedule'!$P$21),"",IF(IF('Recurring Schedule'!$N$21&gt;0,MOD($A301-'Recurring Schedule'!$F$21,'Recurring Schedule'!$N$21)=0,IF('Recurring Schedule'!$O$21&gt;0,AND(DAY($A301)=MIN(DAY('Recurring Schedule'!$F$21),DAY(EOMONTH($A301,0))),MOD((YEAR($A301)-YEAR('Recurring Schedule'!$F$21))*12+MONTH($A301)-MONTH('Recurring Schedule'!$F$21),'Recurring Schedule'!$O$21)=0),IF('Recurring Schedule'!$E$21="Weekdays",WEEKDAY($A301,2)&lt;=5,$A301='Recurring Schedule'!$F$21))),16,""))))</f>
        <v/>
      </c>
      <c r="R301">
        <f>IF('Recurring Schedule'!$C$22="","",IF('Recurring Schedule'!$F$22="","",IF(OR($A301&lt;'Recurring Schedule'!$F$22,$A301&gt;'Recurring Schedule'!$P$22),"",IF(IF('Recurring Schedule'!$N$22&gt;0,MOD($A301-'Recurring Schedule'!$F$22,'Recurring Schedule'!$N$22)=0,IF('Recurring Schedule'!$O$22&gt;0,AND(DAY($A301)=MIN(DAY('Recurring Schedule'!$F$22),DAY(EOMONTH($A301,0))),MOD((YEAR($A301)-YEAR('Recurring Schedule'!$F$22))*12+MONTH($A301)-MONTH('Recurring Schedule'!$F$22),'Recurring Schedule'!$O$22)=0),IF('Recurring Schedule'!$E$22="Weekdays",WEEKDAY($A301,2)&lt;=5,$A301='Recurring Schedule'!$F$22))),17,""))))</f>
        <v/>
      </c>
      <c r="S301">
        <f>IF('Recurring Schedule'!$C$23="","",IF('Recurring Schedule'!$F$23="","",IF(OR($A301&lt;'Recurring Schedule'!$F$23,$A301&gt;'Recurring Schedule'!$P$23),"",IF(IF('Recurring Schedule'!$N$23&gt;0,MOD($A301-'Recurring Schedule'!$F$23,'Recurring Schedule'!$N$23)=0,IF('Recurring Schedule'!$O$23&gt;0,AND(DAY($A301)=MIN(DAY('Recurring Schedule'!$F$23),DAY(EOMONTH($A301,0))),MOD((YEAR($A301)-YEAR('Recurring Schedule'!$F$23))*12+MONTH($A301)-MONTH('Recurring Schedule'!$F$23),'Recurring Schedule'!$O$23)=0),IF('Recurring Schedule'!$E$23="Weekdays",WEEKDAY($A301,2)&lt;=5,$A301='Recurring Schedule'!$F$23))),18,""))))</f>
        <v/>
      </c>
      <c r="T301">
        <f>IF('Recurring Schedule'!$C$24="","",IF('Recurring Schedule'!$F$24="","",IF(OR($A301&lt;'Recurring Schedule'!$F$24,$A301&gt;'Recurring Schedule'!$P$24),"",IF(IF('Recurring Schedule'!$N$24&gt;0,MOD($A301-'Recurring Schedule'!$F$24,'Recurring Schedule'!$N$24)=0,IF('Recurring Schedule'!$O$24&gt;0,AND(DAY($A301)=MIN(DAY('Recurring Schedule'!$F$24),DAY(EOMONTH($A301,0))),MOD((YEAR($A301)-YEAR('Recurring Schedule'!$F$24))*12+MONTH($A301)-MONTH('Recurring Schedule'!$F$24),'Recurring Schedule'!$O$24)=0),IF('Recurring Schedule'!$E$24="Weekdays",WEEKDAY($A301,2)&lt;=5,$A301='Recurring Schedule'!$F$24))),19,""))))</f>
        <v/>
      </c>
      <c r="U301">
        <f>IF('Recurring Schedule'!$C$25="","",IF('Recurring Schedule'!$F$25="","",IF(OR($A301&lt;'Recurring Schedule'!$F$25,$A301&gt;'Recurring Schedule'!$P$25),"",IF(IF('Recurring Schedule'!$N$25&gt;0,MOD($A301-'Recurring Schedule'!$F$25,'Recurring Schedule'!$N$25)=0,IF('Recurring Schedule'!$O$25&gt;0,AND(DAY($A301)=MIN(DAY('Recurring Schedule'!$F$25),DAY(EOMONTH($A301,0))),MOD((YEAR($A301)-YEAR('Recurring Schedule'!$F$25))*12+MONTH($A301)-MONTH('Recurring Schedule'!$F$25),'Recurring Schedule'!$O$25)=0),IF('Recurring Schedule'!$E$25="Weekdays",WEEKDAY($A301,2)&lt;=5,$A301='Recurring Schedule'!$F$25))),20,""))))</f>
        <v/>
      </c>
      <c r="V301">
        <f>IF('Recurring Schedule'!$C$26="","",IF('Recurring Schedule'!$F$26="","",IF(OR($A301&lt;'Recurring Schedule'!$F$26,$A301&gt;'Recurring Schedule'!$P$26),"",IF(IF('Recurring Schedule'!$N$26&gt;0,MOD($A301-'Recurring Schedule'!$F$26,'Recurring Schedule'!$N$26)=0,IF('Recurring Schedule'!$O$26&gt;0,AND(DAY($A301)=MIN(DAY('Recurring Schedule'!$F$26),DAY(EOMONTH($A301,0))),MOD((YEAR($A301)-YEAR('Recurring Schedule'!$F$26))*12+MONTH($A301)-MONTH('Recurring Schedule'!$F$26),'Recurring Schedule'!$O$26)=0),IF('Recurring Schedule'!$E$26="Weekdays",WEEKDAY($A301,2)&lt;=5,$A301='Recurring Schedule'!$F$26))),21,""))))</f>
        <v/>
      </c>
      <c r="W301">
        <f>IF('Recurring Schedule'!$C$27="","",IF('Recurring Schedule'!$F$27="","",IF(OR($A301&lt;'Recurring Schedule'!$F$27,$A301&gt;'Recurring Schedule'!$P$27),"",IF(IF('Recurring Schedule'!$N$27&gt;0,MOD($A301-'Recurring Schedule'!$F$27,'Recurring Schedule'!$N$27)=0,IF('Recurring Schedule'!$O$27&gt;0,AND(DAY($A301)=MIN(DAY('Recurring Schedule'!$F$27),DAY(EOMONTH($A301,0))),MOD((YEAR($A301)-YEAR('Recurring Schedule'!$F$27))*12+MONTH($A301)-MONTH('Recurring Schedule'!$F$27),'Recurring Schedule'!$O$27)=0),IF('Recurring Schedule'!$E$27="Weekdays",WEEKDAY($A301,2)&lt;=5,$A301='Recurring Schedule'!$F$27))),22,""))))</f>
        <v/>
      </c>
      <c r="X301">
        <f>IF('Recurring Schedule'!$C$28="","",IF('Recurring Schedule'!$F$28="","",IF(OR($A301&lt;'Recurring Schedule'!$F$28,$A301&gt;'Recurring Schedule'!$P$28),"",IF(IF('Recurring Schedule'!$N$28&gt;0,MOD($A301-'Recurring Schedule'!$F$28,'Recurring Schedule'!$N$28)=0,IF('Recurring Schedule'!$O$28&gt;0,AND(DAY($A301)=MIN(DAY('Recurring Schedule'!$F$28),DAY(EOMONTH($A301,0))),MOD((YEAR($A301)-YEAR('Recurring Schedule'!$F$28))*12+MONTH($A301)-MONTH('Recurring Schedule'!$F$28),'Recurring Schedule'!$O$28)=0),IF('Recurring Schedule'!$E$28="Weekdays",WEEKDAY($A301,2)&lt;=5,$A301='Recurring Schedule'!$F$28))),23,""))))</f>
        <v/>
      </c>
      <c r="Y301">
        <f>IF('Recurring Schedule'!$C$29="","",IF('Recurring Schedule'!$F$29="","",IF(OR($A301&lt;'Recurring Schedule'!$F$29,$A301&gt;'Recurring Schedule'!$P$29),"",IF(IF('Recurring Schedule'!$N$29&gt;0,MOD($A301-'Recurring Schedule'!$F$29,'Recurring Schedule'!$N$29)=0,IF('Recurring Schedule'!$O$29&gt;0,AND(DAY($A301)=MIN(DAY('Recurring Schedule'!$F$29),DAY(EOMONTH($A301,0))),MOD((YEAR($A301)-YEAR('Recurring Schedule'!$F$29))*12+MONTH($A301)-MONTH('Recurring Schedule'!$F$29),'Recurring Schedule'!$O$29)=0),IF('Recurring Schedule'!$E$29="Weekdays",WEEKDAY($A301,2)&lt;=5,$A301='Recurring Schedule'!$F$29))),24,""))))</f>
        <v/>
      </c>
      <c r="Z301">
        <f>IF('Recurring Schedule'!$C$30="","",IF('Recurring Schedule'!$F$30="","",IF(OR($A301&lt;'Recurring Schedule'!$F$30,$A301&gt;'Recurring Schedule'!$P$30),"",IF(IF('Recurring Schedule'!$N$30&gt;0,MOD($A301-'Recurring Schedule'!$F$30,'Recurring Schedule'!$N$30)=0,IF('Recurring Schedule'!$O$30&gt;0,AND(DAY($A301)=MIN(DAY('Recurring Schedule'!$F$30),DAY(EOMONTH($A301,0))),MOD((YEAR($A301)-YEAR('Recurring Schedule'!$F$30))*12+MONTH($A301)-MONTH('Recurring Schedule'!$F$30),'Recurring Schedule'!$O$30)=0),IF('Recurring Schedule'!$E$30="Weekdays",WEEKDAY($A301,2)&lt;=5,$A301='Recurring Schedule'!$F$30))),25,""))))</f>
        <v/>
      </c>
      <c r="AA301">
        <f>IF('Recurring Schedule'!$C$31="","",IF('Recurring Schedule'!$F$31="","",IF(OR($A301&lt;'Recurring Schedule'!$F$31,$A301&gt;'Recurring Schedule'!$P$31),"",IF(IF('Recurring Schedule'!$N$31&gt;0,MOD($A301-'Recurring Schedule'!$F$31,'Recurring Schedule'!$N$31)=0,IF('Recurring Schedule'!$O$31&gt;0,AND(DAY($A301)=MIN(DAY('Recurring Schedule'!$F$31),DAY(EOMONTH($A301,0))),MOD((YEAR($A301)-YEAR('Recurring Schedule'!$F$31))*12+MONTH($A301)-MONTH('Recurring Schedule'!$F$31),'Recurring Schedule'!$O$31)=0),IF('Recurring Schedule'!$E$31="Weekdays",WEEKDAY($A301,2)&lt;=5,$A301='Recurring Schedule'!$F$31))),26,""))))</f>
        <v/>
      </c>
      <c r="AB301">
        <f>IF('Recurring Schedule'!$C$32="","",IF('Recurring Schedule'!$F$32="","",IF(OR($A301&lt;'Recurring Schedule'!$F$32,$A301&gt;'Recurring Schedule'!$P$32),"",IF(IF('Recurring Schedule'!$N$32&gt;0,MOD($A301-'Recurring Schedule'!$F$32,'Recurring Schedule'!$N$32)=0,IF('Recurring Schedule'!$O$32&gt;0,AND(DAY($A301)=MIN(DAY('Recurring Schedule'!$F$32),DAY(EOMONTH($A301,0))),MOD((YEAR($A301)-YEAR('Recurring Schedule'!$F$32))*12+MONTH($A301)-MONTH('Recurring Schedule'!$F$32),'Recurring Schedule'!$O$32)=0),IF('Recurring Schedule'!$E$32="Weekdays",WEEKDAY($A301,2)&lt;=5,$A301='Recurring Schedule'!$F$32))),27,""))))</f>
        <v/>
      </c>
      <c r="AC301">
        <f>IF('Recurring Schedule'!$C$33="","",IF('Recurring Schedule'!$F$33="","",IF(OR($A301&lt;'Recurring Schedule'!$F$33,$A301&gt;'Recurring Schedule'!$P$33),"",IF(IF('Recurring Schedule'!$N$33&gt;0,MOD($A301-'Recurring Schedule'!$F$33,'Recurring Schedule'!$N$33)=0,IF('Recurring Schedule'!$O$33&gt;0,AND(DAY($A301)=MIN(DAY('Recurring Schedule'!$F$33),DAY(EOMONTH($A301,0))),MOD((YEAR($A301)-YEAR('Recurring Schedule'!$F$33))*12+MONTH($A301)-MONTH('Recurring Schedule'!$F$33),'Recurring Schedule'!$O$33)=0),IF('Recurring Schedule'!$E$33="Weekdays",WEEKDAY($A301,2)&lt;=5,$A301='Recurring Schedule'!$F$33))),28,""))))</f>
        <v/>
      </c>
      <c r="AD301">
        <f>IF('Recurring Schedule'!$C$34="","",IF('Recurring Schedule'!$F$34="","",IF(OR($A301&lt;'Recurring Schedule'!$F$34,$A301&gt;'Recurring Schedule'!$P$34),"",IF(IF('Recurring Schedule'!$N$34&gt;0,MOD($A301-'Recurring Schedule'!$F$34,'Recurring Schedule'!$N$34)=0,IF('Recurring Schedule'!$O$34&gt;0,AND(DAY($A301)=MIN(DAY('Recurring Schedule'!$F$34),DAY(EOMONTH($A301,0))),MOD((YEAR($A301)-YEAR('Recurring Schedule'!$F$34))*12+MONTH($A301)-MONTH('Recurring Schedule'!$F$34),'Recurring Schedule'!$O$34)=0),IF('Recurring Schedule'!$E$34="Weekdays",WEEKDAY($A301,2)&lt;=5,$A301='Recurring Schedule'!$F$34))),29,""))))</f>
        <v/>
      </c>
      <c r="AE301">
        <f>IF('Recurring Schedule'!$C$35="","",IF('Recurring Schedule'!$F$35="","",IF(OR($A301&lt;'Recurring Schedule'!$F$35,$A301&gt;'Recurring Schedule'!$P$35),"",IF(IF('Recurring Schedule'!$N$35&gt;0,MOD($A301-'Recurring Schedule'!$F$35,'Recurring Schedule'!$N$35)=0,IF('Recurring Schedule'!$O$35&gt;0,AND(DAY($A301)=MIN(DAY('Recurring Schedule'!$F$35),DAY(EOMONTH($A301,0))),MOD((YEAR($A301)-YEAR('Recurring Schedule'!$F$35))*12+MONTH($A301)-MONTH('Recurring Schedule'!$F$35),'Recurring Schedule'!$O$35)=0),IF('Recurring Schedule'!$E$35="Weekdays",WEEKDAY($A301,2)&lt;=5,$A301='Recurring Schedule'!$F$35))),30,""))))</f>
        <v/>
      </c>
      <c r="AF301">
        <f>IF('Recurring Schedule'!$C$36="","",IF('Recurring Schedule'!$F$36="","",IF(OR($A301&lt;'Recurring Schedule'!$F$36,$A301&gt;'Recurring Schedule'!$P$36),"",IF(IF('Recurring Schedule'!$N$36&gt;0,MOD($A301-'Recurring Schedule'!$F$36,'Recurring Schedule'!$N$36)=0,IF('Recurring Schedule'!$O$36&gt;0,AND(DAY($A301)=MIN(DAY('Recurring Schedule'!$F$36),DAY(EOMONTH($A301,0))),MOD((YEAR($A301)-YEAR('Recurring Schedule'!$F$36))*12+MONTH($A301)-MONTH('Recurring Schedule'!$F$36),'Recurring Schedule'!$O$36)=0),IF('Recurring Schedule'!$E$36="Weekdays",WEEKDAY($A301,2)&lt;=5,$A301='Recurring Schedule'!$F$36))),31,""))))</f>
        <v/>
      </c>
      <c r="AG301">
        <f>IF('Recurring Schedule'!$C$37="","",IF('Recurring Schedule'!$F$37="","",IF(OR($A301&lt;'Recurring Schedule'!$F$37,$A301&gt;'Recurring Schedule'!$P$37),"",IF(IF('Recurring Schedule'!$N$37&gt;0,MOD($A301-'Recurring Schedule'!$F$37,'Recurring Schedule'!$N$37)=0,IF('Recurring Schedule'!$O$37&gt;0,AND(DAY($A301)=MIN(DAY('Recurring Schedule'!$F$37),DAY(EOMONTH($A301,0))),MOD((YEAR($A301)-YEAR('Recurring Schedule'!$F$37))*12+MONTH($A301)-MONTH('Recurring Schedule'!$F$37),'Recurring Schedule'!$O$37)=0),IF('Recurring Schedule'!$E$37="Weekdays",WEEKDAY($A301,2)&lt;=5,$A301='Recurring Schedule'!$F$37))),32,""))))</f>
        <v/>
      </c>
      <c r="AH301">
        <f>IF('Recurring Schedule'!$C$38="","",IF('Recurring Schedule'!$F$38="","",IF(OR($A301&lt;'Recurring Schedule'!$F$38,$A301&gt;'Recurring Schedule'!$P$38),"",IF(IF('Recurring Schedule'!$N$38&gt;0,MOD($A301-'Recurring Schedule'!$F$38,'Recurring Schedule'!$N$38)=0,IF('Recurring Schedule'!$O$38&gt;0,AND(DAY($A301)=MIN(DAY('Recurring Schedule'!$F$38),DAY(EOMONTH($A301,0))),MOD((YEAR($A301)-YEAR('Recurring Schedule'!$F$38))*12+MONTH($A301)-MONTH('Recurring Schedule'!$F$38),'Recurring Schedule'!$O$38)=0),IF('Recurring Schedule'!$E$38="Weekdays",WEEKDAY($A301,2)&lt;=5,$A301='Recurring Schedule'!$F$38))),33,""))))</f>
        <v/>
      </c>
      <c r="AI301">
        <f>IF('Recurring Schedule'!$C$39="","",IF('Recurring Schedule'!$F$39="","",IF(OR($A301&lt;'Recurring Schedule'!$F$39,$A301&gt;'Recurring Schedule'!$P$39),"",IF(IF('Recurring Schedule'!$N$39&gt;0,MOD($A301-'Recurring Schedule'!$F$39,'Recurring Schedule'!$N$39)=0,IF('Recurring Schedule'!$O$39&gt;0,AND(DAY($A301)=MIN(DAY('Recurring Schedule'!$F$39),DAY(EOMONTH($A301,0))),MOD((YEAR($A301)-YEAR('Recurring Schedule'!$F$39))*12+MONTH($A301)-MONTH('Recurring Schedule'!$F$39),'Recurring Schedule'!$O$39)=0),IF('Recurring Schedule'!$E$39="Weekdays",WEEKDAY($A301,2)&lt;=5,$A301='Recurring Schedule'!$F$39))),34,""))))</f>
        <v/>
      </c>
      <c r="AJ301">
        <f>IF('Recurring Schedule'!$C$40="","",IF('Recurring Schedule'!$F$40="","",IF(OR($A301&lt;'Recurring Schedule'!$F$40,$A301&gt;'Recurring Schedule'!$P$40),"",IF(IF('Recurring Schedule'!$N$40&gt;0,MOD($A301-'Recurring Schedule'!$F$40,'Recurring Schedule'!$N$40)=0,IF('Recurring Schedule'!$O$40&gt;0,AND(DAY($A301)=MIN(DAY('Recurring Schedule'!$F$40),DAY(EOMONTH($A301,0))),MOD((YEAR($A301)-YEAR('Recurring Schedule'!$F$40))*12+MONTH($A301)-MONTH('Recurring Schedule'!$F$40),'Recurring Schedule'!$O$40)=0),IF('Recurring Schedule'!$E$40="Weekdays",WEEKDAY($A301,2)&lt;=5,$A301='Recurring Schedule'!$F$40))),35,""))))</f>
        <v/>
      </c>
      <c r="AK301">
        <f>IF('Recurring Schedule'!$C$41="","",IF('Recurring Schedule'!$F$41="","",IF(OR($A301&lt;'Recurring Schedule'!$F$41,$A301&gt;'Recurring Schedule'!$P$41),"",IF(IF('Recurring Schedule'!$N$41&gt;0,MOD($A301-'Recurring Schedule'!$F$41,'Recurring Schedule'!$N$41)=0,IF('Recurring Schedule'!$O$41&gt;0,AND(DAY($A301)=MIN(DAY('Recurring Schedule'!$F$41),DAY(EOMONTH($A301,0))),MOD((YEAR($A301)-YEAR('Recurring Schedule'!$F$41))*12+MONTH($A301)-MONTH('Recurring Schedule'!$F$41),'Recurring Schedule'!$O$41)=0),IF('Recurring Schedule'!$E$41="Weekdays",WEEKDAY($A301,2)&lt;=5,$A301='Recurring Schedule'!$F$41))),36,""))))</f>
        <v/>
      </c>
      <c r="AL301">
        <f>IF('Recurring Schedule'!$C$42="","",IF('Recurring Schedule'!$F$42="","",IF(OR($A301&lt;'Recurring Schedule'!$F$42,$A301&gt;'Recurring Schedule'!$P$42),"",IF(IF('Recurring Schedule'!$N$42&gt;0,MOD($A301-'Recurring Schedule'!$F$42,'Recurring Schedule'!$N$42)=0,IF('Recurring Schedule'!$O$42&gt;0,AND(DAY($A301)=MIN(DAY('Recurring Schedule'!$F$42),DAY(EOMONTH($A301,0))),MOD((YEAR($A301)-YEAR('Recurring Schedule'!$F$42))*12+MONTH($A301)-MONTH('Recurring Schedule'!$F$42),'Recurring Schedule'!$O$42)=0),IF('Recurring Schedule'!$E$42="Weekdays",WEEKDAY($A301,2)&lt;=5,$A301='Recurring Schedule'!$F$42))),37,""))))</f>
        <v/>
      </c>
      <c r="AM301">
        <f>IF('Recurring Schedule'!$C$43="","",IF('Recurring Schedule'!$F$43="","",IF(OR($A301&lt;'Recurring Schedule'!$F$43,$A301&gt;'Recurring Schedule'!$P$43),"",IF(IF('Recurring Schedule'!$N$43&gt;0,MOD($A301-'Recurring Schedule'!$F$43,'Recurring Schedule'!$N$43)=0,IF('Recurring Schedule'!$O$43&gt;0,AND(DAY($A301)=MIN(DAY('Recurring Schedule'!$F$43),DAY(EOMONTH($A301,0))),MOD((YEAR($A301)-YEAR('Recurring Schedule'!$F$43))*12+MONTH($A301)-MONTH('Recurring Schedule'!$F$43),'Recurring Schedule'!$O$43)=0),IF('Recurring Schedule'!$E$43="Weekdays",WEEKDAY($A301,2)&lt;=5,$A301='Recurring Schedule'!$F$43))),38,""))))</f>
        <v/>
      </c>
      <c r="AN301">
        <f>IF('Recurring Schedule'!$C$44="","",IF('Recurring Schedule'!$F$44="","",IF(OR($A301&lt;'Recurring Schedule'!$F$44,$A301&gt;'Recurring Schedule'!$P$44),"",IF(IF('Recurring Schedule'!$N$44&gt;0,MOD($A301-'Recurring Schedule'!$F$44,'Recurring Schedule'!$N$44)=0,IF('Recurring Schedule'!$O$44&gt;0,AND(DAY($A301)=MIN(DAY('Recurring Schedule'!$F$44),DAY(EOMONTH($A301,0))),MOD((YEAR($A301)-YEAR('Recurring Schedule'!$F$44))*12+MONTH($A301)-MONTH('Recurring Schedule'!$F$44),'Recurring Schedule'!$O$44)=0),IF('Recurring Schedule'!$E$44="Weekdays",WEEKDAY($A301,2)&lt;=5,$A301='Recurring Schedule'!$F$44))),39,""))))</f>
        <v/>
      </c>
      <c r="AO301">
        <f>IF('Recurring Schedule'!$C$45="","",IF('Recurring Schedule'!$F$45="","",IF(OR($A301&lt;'Recurring Schedule'!$F$45,$A301&gt;'Recurring Schedule'!$P$45),"",IF(IF('Recurring Schedule'!$N$45&gt;0,MOD($A301-'Recurring Schedule'!$F$45,'Recurring Schedule'!$N$45)=0,IF('Recurring Schedule'!$O$45&gt;0,AND(DAY($A301)=MIN(DAY('Recurring Schedule'!$F$45),DAY(EOMONTH($A301,0))),MOD((YEAR($A301)-YEAR('Recurring Schedule'!$F$45))*12+MONTH($A301)-MONTH('Recurring Schedule'!$F$45),'Recurring Schedule'!$O$45)=0),IF('Recurring Schedule'!$E$45="Weekdays",WEEKDAY($A301,2)&lt;=5,$A301='Recurring Schedule'!$F$45))),40,""))))</f>
        <v/>
      </c>
      <c r="AP301">
        <f>COUNT(B301:AO301)</f>
        <v/>
      </c>
      <c r="AQ301">
        <f>AQ300+AP300</f>
        <v/>
      </c>
      <c r="AS301" t="inlineStr">
        <is>
          <t>R</t>
        </is>
      </c>
      <c r="AT301" t="n">
        <v>305</v>
      </c>
      <c r="AU301">
        <f>'Recurring Log'!C305&amp;""</f>
        <v/>
      </c>
      <c r="AV301">
        <f>'Recurring Log'!D305&amp;""</f>
        <v/>
      </c>
      <c r="AW301">
        <f>IF('Recurring Log'!E305="","",'Recurring Log'!E305)</f>
        <v/>
      </c>
      <c r="AX301">
        <f>IF('Recurring Log'!G305="","",'Recurring Log'!G305)</f>
        <v/>
      </c>
      <c r="AY301">
        <f>IF('Recurring Log'!H305="","",'Recurring Log'!H305)</f>
        <v/>
      </c>
      <c r="AZ301">
        <f>IF(AU301="","",IF('Recurring Log'!J305="","Not Started",'Recurring Log'!J305))</f>
        <v/>
      </c>
      <c r="BA301">
        <f>'Recurring Log'!L305&amp;""</f>
        <v/>
      </c>
      <c r="BB301">
        <f>'Recurring Log'!M305&amp;""</f>
        <v/>
      </c>
      <c r="BC301">
        <f>'Recurring Log'!N305&amp;""</f>
        <v/>
      </c>
      <c r="BD301">
        <f>'Recurring Log'!O305&amp;""</f>
        <v/>
      </c>
      <c r="BE301">
        <f>IF('Recurring Log'!K305="","",'Recurring Log'!K305)</f>
        <v/>
      </c>
      <c r="BF301">
        <f>IFERROR(MATCH(BA301,Setup!$L$6:$L$9,0),5)</f>
        <v/>
      </c>
      <c r="BG301">
        <f>IF(OR(AZ301="Done",AZ301="Cancelled"),1,0)</f>
        <v/>
      </c>
      <c r="BH301">
        <f>IF(AND(AU301&lt;&gt;"",ISNUMBER(AW301)),1,0)</f>
        <v/>
      </c>
      <c r="BI301">
        <f>IF(BH301=0,0,IF(AND(AW301&gt;='Tasks Filter'!$F$3,AW301&lt;='Tasks Filter'!$F$4,OR('Tasks Filter'!$I$3="",ISNUMBER(SEARCH('Tasks Filter'!$I$3,AU301))),OR('Tasks Filter'!$I$4="",BF301=IFERROR(MATCH('Tasks Filter'!$I$4,Setup!$L$6:$L$9,0),0)),OR('Tasks Filter'!$I$5="Both",AND('Tasks Filter'!$I$5="Yes",BB301="✓"),AND('Tasks Filter'!$I$5="No",BB301&lt;&gt;"✓")),OR('Tasks Filter'!$L$3="",AV301='Tasks Filter'!$L$3),OR('Tasks Filter'!$L$4="",AZ301='Tasks Filter'!$L$4),OR('Tasks Filter'!$L$5="",BC301='Tasks Filter'!$L$5),OR('Tasks Filter'!$O$3="",BD301='Tasks Filter'!$O$3),OR('Tasks Filter'!$O$4="Yes",BG301=0)),1,0))</f>
        <v/>
      </c>
      <c r="BJ301">
        <f>IF(BH301=0,"",IF('Tasks Filter'!$F$6="Descending",-1,1)*CHOOSE(MATCH('Tasks Filter'!$F$5,Lists!$G$2:$G$6,0),AW301,BF301,IFERROR(MATCH(AV301,Setup!$F$6:$F$15,0),99),IFERROR(MATCH(BC301,Setup!$H$6:$H$15,0),99),IFERROR(MATCH(AZ301,Setup!$J$6:$J$11,0),99))*1E+9+(AW301-40000)*10000+300)</f>
        <v/>
      </c>
      <c r="BK301">
        <f>IF(BI301=1,BJ301,"")</f>
        <v/>
      </c>
      <c r="BL301">
        <f>IF(AND(BH301=1,BG301=0,N(AW301)&lt;Setup!$D$7),(AW301-40000)*10000+300,"")</f>
        <v/>
      </c>
      <c r="BM301">
        <f>IF(AND(BH301=1,AZ301&lt;&gt;"Cancelled",N(AW301)&gt;=Dashboard!$AB$3,N(AW301)&lt;=Dashboard!$AB$3+6),(AW301-40000)*100000+BF301*10000+300,"")</f>
        <v/>
      </c>
      <c r="BN301">
        <f>IF(AND(BH301=1,AZ301&lt;&gt;"Cancelled"),BF301*10000+300,"")</f>
        <v/>
      </c>
    </row>
    <row r="302">
      <c r="A302">
        <f>Setup!$D$5+300</f>
        <v/>
      </c>
      <c r="B302">
        <f>IF('Recurring Schedule'!$C$6="","",IF('Recurring Schedule'!$F$6="","",IF(OR($A302&lt;'Recurring Schedule'!$F$6,$A302&gt;'Recurring Schedule'!$P$6),"",IF(IF('Recurring Schedule'!$N$6&gt;0,MOD($A302-'Recurring Schedule'!$F$6,'Recurring Schedule'!$N$6)=0,IF('Recurring Schedule'!$O$6&gt;0,AND(DAY($A302)=MIN(DAY('Recurring Schedule'!$F$6),DAY(EOMONTH($A302,0))),MOD((YEAR($A302)-YEAR('Recurring Schedule'!$F$6))*12+MONTH($A302)-MONTH('Recurring Schedule'!$F$6),'Recurring Schedule'!$O$6)=0),IF('Recurring Schedule'!$E$6="Weekdays",WEEKDAY($A302,2)&lt;=5,$A302='Recurring Schedule'!$F$6))),1,""))))</f>
        <v/>
      </c>
      <c r="C302">
        <f>IF('Recurring Schedule'!$C$7="","",IF('Recurring Schedule'!$F$7="","",IF(OR($A302&lt;'Recurring Schedule'!$F$7,$A302&gt;'Recurring Schedule'!$P$7),"",IF(IF('Recurring Schedule'!$N$7&gt;0,MOD($A302-'Recurring Schedule'!$F$7,'Recurring Schedule'!$N$7)=0,IF('Recurring Schedule'!$O$7&gt;0,AND(DAY($A302)=MIN(DAY('Recurring Schedule'!$F$7),DAY(EOMONTH($A302,0))),MOD((YEAR($A302)-YEAR('Recurring Schedule'!$F$7))*12+MONTH($A302)-MONTH('Recurring Schedule'!$F$7),'Recurring Schedule'!$O$7)=0),IF('Recurring Schedule'!$E$7="Weekdays",WEEKDAY($A302,2)&lt;=5,$A302='Recurring Schedule'!$F$7))),2,""))))</f>
        <v/>
      </c>
      <c r="D302">
        <f>IF('Recurring Schedule'!$C$8="","",IF('Recurring Schedule'!$F$8="","",IF(OR($A302&lt;'Recurring Schedule'!$F$8,$A302&gt;'Recurring Schedule'!$P$8),"",IF(IF('Recurring Schedule'!$N$8&gt;0,MOD($A302-'Recurring Schedule'!$F$8,'Recurring Schedule'!$N$8)=0,IF('Recurring Schedule'!$O$8&gt;0,AND(DAY($A302)=MIN(DAY('Recurring Schedule'!$F$8),DAY(EOMONTH($A302,0))),MOD((YEAR($A302)-YEAR('Recurring Schedule'!$F$8))*12+MONTH($A302)-MONTH('Recurring Schedule'!$F$8),'Recurring Schedule'!$O$8)=0),IF('Recurring Schedule'!$E$8="Weekdays",WEEKDAY($A302,2)&lt;=5,$A302='Recurring Schedule'!$F$8))),3,""))))</f>
        <v/>
      </c>
      <c r="E302">
        <f>IF('Recurring Schedule'!$C$9="","",IF('Recurring Schedule'!$F$9="","",IF(OR($A302&lt;'Recurring Schedule'!$F$9,$A302&gt;'Recurring Schedule'!$P$9),"",IF(IF('Recurring Schedule'!$N$9&gt;0,MOD($A302-'Recurring Schedule'!$F$9,'Recurring Schedule'!$N$9)=0,IF('Recurring Schedule'!$O$9&gt;0,AND(DAY($A302)=MIN(DAY('Recurring Schedule'!$F$9),DAY(EOMONTH($A302,0))),MOD((YEAR($A302)-YEAR('Recurring Schedule'!$F$9))*12+MONTH($A302)-MONTH('Recurring Schedule'!$F$9),'Recurring Schedule'!$O$9)=0),IF('Recurring Schedule'!$E$9="Weekdays",WEEKDAY($A302,2)&lt;=5,$A302='Recurring Schedule'!$F$9))),4,""))))</f>
        <v/>
      </c>
      <c r="F302">
        <f>IF('Recurring Schedule'!$C$10="","",IF('Recurring Schedule'!$F$10="","",IF(OR($A302&lt;'Recurring Schedule'!$F$10,$A302&gt;'Recurring Schedule'!$P$10),"",IF(IF('Recurring Schedule'!$N$10&gt;0,MOD($A302-'Recurring Schedule'!$F$10,'Recurring Schedule'!$N$10)=0,IF('Recurring Schedule'!$O$10&gt;0,AND(DAY($A302)=MIN(DAY('Recurring Schedule'!$F$10),DAY(EOMONTH($A302,0))),MOD((YEAR($A302)-YEAR('Recurring Schedule'!$F$10))*12+MONTH($A302)-MONTH('Recurring Schedule'!$F$10),'Recurring Schedule'!$O$10)=0),IF('Recurring Schedule'!$E$10="Weekdays",WEEKDAY($A302,2)&lt;=5,$A302='Recurring Schedule'!$F$10))),5,""))))</f>
        <v/>
      </c>
      <c r="G302">
        <f>IF('Recurring Schedule'!$C$11="","",IF('Recurring Schedule'!$F$11="","",IF(OR($A302&lt;'Recurring Schedule'!$F$11,$A302&gt;'Recurring Schedule'!$P$11),"",IF(IF('Recurring Schedule'!$N$11&gt;0,MOD($A302-'Recurring Schedule'!$F$11,'Recurring Schedule'!$N$11)=0,IF('Recurring Schedule'!$O$11&gt;0,AND(DAY($A302)=MIN(DAY('Recurring Schedule'!$F$11),DAY(EOMONTH($A302,0))),MOD((YEAR($A302)-YEAR('Recurring Schedule'!$F$11))*12+MONTH($A302)-MONTH('Recurring Schedule'!$F$11),'Recurring Schedule'!$O$11)=0),IF('Recurring Schedule'!$E$11="Weekdays",WEEKDAY($A302,2)&lt;=5,$A302='Recurring Schedule'!$F$11))),6,""))))</f>
        <v/>
      </c>
      <c r="H302">
        <f>IF('Recurring Schedule'!$C$12="","",IF('Recurring Schedule'!$F$12="","",IF(OR($A302&lt;'Recurring Schedule'!$F$12,$A302&gt;'Recurring Schedule'!$P$12),"",IF(IF('Recurring Schedule'!$N$12&gt;0,MOD($A302-'Recurring Schedule'!$F$12,'Recurring Schedule'!$N$12)=0,IF('Recurring Schedule'!$O$12&gt;0,AND(DAY($A302)=MIN(DAY('Recurring Schedule'!$F$12),DAY(EOMONTH($A302,0))),MOD((YEAR($A302)-YEAR('Recurring Schedule'!$F$12))*12+MONTH($A302)-MONTH('Recurring Schedule'!$F$12),'Recurring Schedule'!$O$12)=0),IF('Recurring Schedule'!$E$12="Weekdays",WEEKDAY($A302,2)&lt;=5,$A302='Recurring Schedule'!$F$12))),7,""))))</f>
        <v/>
      </c>
      <c r="I302">
        <f>IF('Recurring Schedule'!$C$13="","",IF('Recurring Schedule'!$F$13="","",IF(OR($A302&lt;'Recurring Schedule'!$F$13,$A302&gt;'Recurring Schedule'!$P$13),"",IF(IF('Recurring Schedule'!$N$13&gt;0,MOD($A302-'Recurring Schedule'!$F$13,'Recurring Schedule'!$N$13)=0,IF('Recurring Schedule'!$O$13&gt;0,AND(DAY($A302)=MIN(DAY('Recurring Schedule'!$F$13),DAY(EOMONTH($A302,0))),MOD((YEAR($A302)-YEAR('Recurring Schedule'!$F$13))*12+MONTH($A302)-MONTH('Recurring Schedule'!$F$13),'Recurring Schedule'!$O$13)=0),IF('Recurring Schedule'!$E$13="Weekdays",WEEKDAY($A302,2)&lt;=5,$A302='Recurring Schedule'!$F$13))),8,""))))</f>
        <v/>
      </c>
      <c r="J302">
        <f>IF('Recurring Schedule'!$C$14="","",IF('Recurring Schedule'!$F$14="","",IF(OR($A302&lt;'Recurring Schedule'!$F$14,$A302&gt;'Recurring Schedule'!$P$14),"",IF(IF('Recurring Schedule'!$N$14&gt;0,MOD($A302-'Recurring Schedule'!$F$14,'Recurring Schedule'!$N$14)=0,IF('Recurring Schedule'!$O$14&gt;0,AND(DAY($A302)=MIN(DAY('Recurring Schedule'!$F$14),DAY(EOMONTH($A302,0))),MOD((YEAR($A302)-YEAR('Recurring Schedule'!$F$14))*12+MONTH($A302)-MONTH('Recurring Schedule'!$F$14),'Recurring Schedule'!$O$14)=0),IF('Recurring Schedule'!$E$14="Weekdays",WEEKDAY($A302,2)&lt;=5,$A302='Recurring Schedule'!$F$14))),9,""))))</f>
        <v/>
      </c>
      <c r="K302">
        <f>IF('Recurring Schedule'!$C$15="","",IF('Recurring Schedule'!$F$15="","",IF(OR($A302&lt;'Recurring Schedule'!$F$15,$A302&gt;'Recurring Schedule'!$P$15),"",IF(IF('Recurring Schedule'!$N$15&gt;0,MOD($A302-'Recurring Schedule'!$F$15,'Recurring Schedule'!$N$15)=0,IF('Recurring Schedule'!$O$15&gt;0,AND(DAY($A302)=MIN(DAY('Recurring Schedule'!$F$15),DAY(EOMONTH($A302,0))),MOD((YEAR($A302)-YEAR('Recurring Schedule'!$F$15))*12+MONTH($A302)-MONTH('Recurring Schedule'!$F$15),'Recurring Schedule'!$O$15)=0),IF('Recurring Schedule'!$E$15="Weekdays",WEEKDAY($A302,2)&lt;=5,$A302='Recurring Schedule'!$F$15))),10,""))))</f>
        <v/>
      </c>
      <c r="L302">
        <f>IF('Recurring Schedule'!$C$16="","",IF('Recurring Schedule'!$F$16="","",IF(OR($A302&lt;'Recurring Schedule'!$F$16,$A302&gt;'Recurring Schedule'!$P$16),"",IF(IF('Recurring Schedule'!$N$16&gt;0,MOD($A302-'Recurring Schedule'!$F$16,'Recurring Schedule'!$N$16)=0,IF('Recurring Schedule'!$O$16&gt;0,AND(DAY($A302)=MIN(DAY('Recurring Schedule'!$F$16),DAY(EOMONTH($A302,0))),MOD((YEAR($A302)-YEAR('Recurring Schedule'!$F$16))*12+MONTH($A302)-MONTH('Recurring Schedule'!$F$16),'Recurring Schedule'!$O$16)=0),IF('Recurring Schedule'!$E$16="Weekdays",WEEKDAY($A302,2)&lt;=5,$A302='Recurring Schedule'!$F$16))),11,""))))</f>
        <v/>
      </c>
      <c r="M302">
        <f>IF('Recurring Schedule'!$C$17="","",IF('Recurring Schedule'!$F$17="","",IF(OR($A302&lt;'Recurring Schedule'!$F$17,$A302&gt;'Recurring Schedule'!$P$17),"",IF(IF('Recurring Schedule'!$N$17&gt;0,MOD($A302-'Recurring Schedule'!$F$17,'Recurring Schedule'!$N$17)=0,IF('Recurring Schedule'!$O$17&gt;0,AND(DAY($A302)=MIN(DAY('Recurring Schedule'!$F$17),DAY(EOMONTH($A302,0))),MOD((YEAR($A302)-YEAR('Recurring Schedule'!$F$17))*12+MONTH($A302)-MONTH('Recurring Schedule'!$F$17),'Recurring Schedule'!$O$17)=0),IF('Recurring Schedule'!$E$17="Weekdays",WEEKDAY($A302,2)&lt;=5,$A302='Recurring Schedule'!$F$17))),12,""))))</f>
        <v/>
      </c>
      <c r="N302">
        <f>IF('Recurring Schedule'!$C$18="","",IF('Recurring Schedule'!$F$18="","",IF(OR($A302&lt;'Recurring Schedule'!$F$18,$A302&gt;'Recurring Schedule'!$P$18),"",IF(IF('Recurring Schedule'!$N$18&gt;0,MOD($A302-'Recurring Schedule'!$F$18,'Recurring Schedule'!$N$18)=0,IF('Recurring Schedule'!$O$18&gt;0,AND(DAY($A302)=MIN(DAY('Recurring Schedule'!$F$18),DAY(EOMONTH($A302,0))),MOD((YEAR($A302)-YEAR('Recurring Schedule'!$F$18))*12+MONTH($A302)-MONTH('Recurring Schedule'!$F$18),'Recurring Schedule'!$O$18)=0),IF('Recurring Schedule'!$E$18="Weekdays",WEEKDAY($A302,2)&lt;=5,$A302='Recurring Schedule'!$F$18))),13,""))))</f>
        <v/>
      </c>
      <c r="O302">
        <f>IF('Recurring Schedule'!$C$19="","",IF('Recurring Schedule'!$F$19="","",IF(OR($A302&lt;'Recurring Schedule'!$F$19,$A302&gt;'Recurring Schedule'!$P$19),"",IF(IF('Recurring Schedule'!$N$19&gt;0,MOD($A302-'Recurring Schedule'!$F$19,'Recurring Schedule'!$N$19)=0,IF('Recurring Schedule'!$O$19&gt;0,AND(DAY($A302)=MIN(DAY('Recurring Schedule'!$F$19),DAY(EOMONTH($A302,0))),MOD((YEAR($A302)-YEAR('Recurring Schedule'!$F$19))*12+MONTH($A302)-MONTH('Recurring Schedule'!$F$19),'Recurring Schedule'!$O$19)=0),IF('Recurring Schedule'!$E$19="Weekdays",WEEKDAY($A302,2)&lt;=5,$A302='Recurring Schedule'!$F$19))),14,""))))</f>
        <v/>
      </c>
      <c r="P302">
        <f>IF('Recurring Schedule'!$C$20="","",IF('Recurring Schedule'!$F$20="","",IF(OR($A302&lt;'Recurring Schedule'!$F$20,$A302&gt;'Recurring Schedule'!$P$20),"",IF(IF('Recurring Schedule'!$N$20&gt;0,MOD($A302-'Recurring Schedule'!$F$20,'Recurring Schedule'!$N$20)=0,IF('Recurring Schedule'!$O$20&gt;0,AND(DAY($A302)=MIN(DAY('Recurring Schedule'!$F$20),DAY(EOMONTH($A302,0))),MOD((YEAR($A302)-YEAR('Recurring Schedule'!$F$20))*12+MONTH($A302)-MONTH('Recurring Schedule'!$F$20),'Recurring Schedule'!$O$20)=0),IF('Recurring Schedule'!$E$20="Weekdays",WEEKDAY($A302,2)&lt;=5,$A302='Recurring Schedule'!$F$20))),15,""))))</f>
        <v/>
      </c>
      <c r="Q302">
        <f>IF('Recurring Schedule'!$C$21="","",IF('Recurring Schedule'!$F$21="","",IF(OR($A302&lt;'Recurring Schedule'!$F$21,$A302&gt;'Recurring Schedule'!$P$21),"",IF(IF('Recurring Schedule'!$N$21&gt;0,MOD($A302-'Recurring Schedule'!$F$21,'Recurring Schedule'!$N$21)=0,IF('Recurring Schedule'!$O$21&gt;0,AND(DAY($A302)=MIN(DAY('Recurring Schedule'!$F$21),DAY(EOMONTH($A302,0))),MOD((YEAR($A302)-YEAR('Recurring Schedule'!$F$21))*12+MONTH($A302)-MONTH('Recurring Schedule'!$F$21),'Recurring Schedule'!$O$21)=0),IF('Recurring Schedule'!$E$21="Weekdays",WEEKDAY($A302,2)&lt;=5,$A302='Recurring Schedule'!$F$21))),16,""))))</f>
        <v/>
      </c>
      <c r="R302">
        <f>IF('Recurring Schedule'!$C$22="","",IF('Recurring Schedule'!$F$22="","",IF(OR($A302&lt;'Recurring Schedule'!$F$22,$A302&gt;'Recurring Schedule'!$P$22),"",IF(IF('Recurring Schedule'!$N$22&gt;0,MOD($A302-'Recurring Schedule'!$F$22,'Recurring Schedule'!$N$22)=0,IF('Recurring Schedule'!$O$22&gt;0,AND(DAY($A302)=MIN(DAY('Recurring Schedule'!$F$22),DAY(EOMONTH($A302,0))),MOD((YEAR($A302)-YEAR('Recurring Schedule'!$F$22))*12+MONTH($A302)-MONTH('Recurring Schedule'!$F$22),'Recurring Schedule'!$O$22)=0),IF('Recurring Schedule'!$E$22="Weekdays",WEEKDAY($A302,2)&lt;=5,$A302='Recurring Schedule'!$F$22))),17,""))))</f>
        <v/>
      </c>
      <c r="S302">
        <f>IF('Recurring Schedule'!$C$23="","",IF('Recurring Schedule'!$F$23="","",IF(OR($A302&lt;'Recurring Schedule'!$F$23,$A302&gt;'Recurring Schedule'!$P$23),"",IF(IF('Recurring Schedule'!$N$23&gt;0,MOD($A302-'Recurring Schedule'!$F$23,'Recurring Schedule'!$N$23)=0,IF('Recurring Schedule'!$O$23&gt;0,AND(DAY($A302)=MIN(DAY('Recurring Schedule'!$F$23),DAY(EOMONTH($A302,0))),MOD((YEAR($A302)-YEAR('Recurring Schedule'!$F$23))*12+MONTH($A302)-MONTH('Recurring Schedule'!$F$23),'Recurring Schedule'!$O$23)=0),IF('Recurring Schedule'!$E$23="Weekdays",WEEKDAY($A302,2)&lt;=5,$A302='Recurring Schedule'!$F$23))),18,""))))</f>
        <v/>
      </c>
      <c r="T302">
        <f>IF('Recurring Schedule'!$C$24="","",IF('Recurring Schedule'!$F$24="","",IF(OR($A302&lt;'Recurring Schedule'!$F$24,$A302&gt;'Recurring Schedule'!$P$24),"",IF(IF('Recurring Schedule'!$N$24&gt;0,MOD($A302-'Recurring Schedule'!$F$24,'Recurring Schedule'!$N$24)=0,IF('Recurring Schedule'!$O$24&gt;0,AND(DAY($A302)=MIN(DAY('Recurring Schedule'!$F$24),DAY(EOMONTH($A302,0))),MOD((YEAR($A302)-YEAR('Recurring Schedule'!$F$24))*12+MONTH($A302)-MONTH('Recurring Schedule'!$F$24),'Recurring Schedule'!$O$24)=0),IF('Recurring Schedule'!$E$24="Weekdays",WEEKDAY($A302,2)&lt;=5,$A302='Recurring Schedule'!$F$24))),19,""))))</f>
        <v/>
      </c>
      <c r="U302">
        <f>IF('Recurring Schedule'!$C$25="","",IF('Recurring Schedule'!$F$25="","",IF(OR($A302&lt;'Recurring Schedule'!$F$25,$A302&gt;'Recurring Schedule'!$P$25),"",IF(IF('Recurring Schedule'!$N$25&gt;0,MOD($A302-'Recurring Schedule'!$F$25,'Recurring Schedule'!$N$25)=0,IF('Recurring Schedule'!$O$25&gt;0,AND(DAY($A302)=MIN(DAY('Recurring Schedule'!$F$25),DAY(EOMONTH($A302,0))),MOD((YEAR($A302)-YEAR('Recurring Schedule'!$F$25))*12+MONTH($A302)-MONTH('Recurring Schedule'!$F$25),'Recurring Schedule'!$O$25)=0),IF('Recurring Schedule'!$E$25="Weekdays",WEEKDAY($A302,2)&lt;=5,$A302='Recurring Schedule'!$F$25))),20,""))))</f>
        <v/>
      </c>
      <c r="V302">
        <f>IF('Recurring Schedule'!$C$26="","",IF('Recurring Schedule'!$F$26="","",IF(OR($A302&lt;'Recurring Schedule'!$F$26,$A302&gt;'Recurring Schedule'!$P$26),"",IF(IF('Recurring Schedule'!$N$26&gt;0,MOD($A302-'Recurring Schedule'!$F$26,'Recurring Schedule'!$N$26)=0,IF('Recurring Schedule'!$O$26&gt;0,AND(DAY($A302)=MIN(DAY('Recurring Schedule'!$F$26),DAY(EOMONTH($A302,0))),MOD((YEAR($A302)-YEAR('Recurring Schedule'!$F$26))*12+MONTH($A302)-MONTH('Recurring Schedule'!$F$26),'Recurring Schedule'!$O$26)=0),IF('Recurring Schedule'!$E$26="Weekdays",WEEKDAY($A302,2)&lt;=5,$A302='Recurring Schedule'!$F$26))),21,""))))</f>
        <v/>
      </c>
      <c r="W302">
        <f>IF('Recurring Schedule'!$C$27="","",IF('Recurring Schedule'!$F$27="","",IF(OR($A302&lt;'Recurring Schedule'!$F$27,$A302&gt;'Recurring Schedule'!$P$27),"",IF(IF('Recurring Schedule'!$N$27&gt;0,MOD($A302-'Recurring Schedule'!$F$27,'Recurring Schedule'!$N$27)=0,IF('Recurring Schedule'!$O$27&gt;0,AND(DAY($A302)=MIN(DAY('Recurring Schedule'!$F$27),DAY(EOMONTH($A302,0))),MOD((YEAR($A302)-YEAR('Recurring Schedule'!$F$27))*12+MONTH($A302)-MONTH('Recurring Schedule'!$F$27),'Recurring Schedule'!$O$27)=0),IF('Recurring Schedule'!$E$27="Weekdays",WEEKDAY($A302,2)&lt;=5,$A302='Recurring Schedule'!$F$27))),22,""))))</f>
        <v/>
      </c>
      <c r="X302">
        <f>IF('Recurring Schedule'!$C$28="","",IF('Recurring Schedule'!$F$28="","",IF(OR($A302&lt;'Recurring Schedule'!$F$28,$A302&gt;'Recurring Schedule'!$P$28),"",IF(IF('Recurring Schedule'!$N$28&gt;0,MOD($A302-'Recurring Schedule'!$F$28,'Recurring Schedule'!$N$28)=0,IF('Recurring Schedule'!$O$28&gt;0,AND(DAY($A302)=MIN(DAY('Recurring Schedule'!$F$28),DAY(EOMONTH($A302,0))),MOD((YEAR($A302)-YEAR('Recurring Schedule'!$F$28))*12+MONTH($A302)-MONTH('Recurring Schedule'!$F$28),'Recurring Schedule'!$O$28)=0),IF('Recurring Schedule'!$E$28="Weekdays",WEEKDAY($A302,2)&lt;=5,$A302='Recurring Schedule'!$F$28))),23,""))))</f>
        <v/>
      </c>
      <c r="Y302">
        <f>IF('Recurring Schedule'!$C$29="","",IF('Recurring Schedule'!$F$29="","",IF(OR($A302&lt;'Recurring Schedule'!$F$29,$A302&gt;'Recurring Schedule'!$P$29),"",IF(IF('Recurring Schedule'!$N$29&gt;0,MOD($A302-'Recurring Schedule'!$F$29,'Recurring Schedule'!$N$29)=0,IF('Recurring Schedule'!$O$29&gt;0,AND(DAY($A302)=MIN(DAY('Recurring Schedule'!$F$29),DAY(EOMONTH($A302,0))),MOD((YEAR($A302)-YEAR('Recurring Schedule'!$F$29))*12+MONTH($A302)-MONTH('Recurring Schedule'!$F$29),'Recurring Schedule'!$O$29)=0),IF('Recurring Schedule'!$E$29="Weekdays",WEEKDAY($A302,2)&lt;=5,$A302='Recurring Schedule'!$F$29))),24,""))))</f>
        <v/>
      </c>
      <c r="Z302">
        <f>IF('Recurring Schedule'!$C$30="","",IF('Recurring Schedule'!$F$30="","",IF(OR($A302&lt;'Recurring Schedule'!$F$30,$A302&gt;'Recurring Schedule'!$P$30),"",IF(IF('Recurring Schedule'!$N$30&gt;0,MOD($A302-'Recurring Schedule'!$F$30,'Recurring Schedule'!$N$30)=0,IF('Recurring Schedule'!$O$30&gt;0,AND(DAY($A302)=MIN(DAY('Recurring Schedule'!$F$30),DAY(EOMONTH($A302,0))),MOD((YEAR($A302)-YEAR('Recurring Schedule'!$F$30))*12+MONTH($A302)-MONTH('Recurring Schedule'!$F$30),'Recurring Schedule'!$O$30)=0),IF('Recurring Schedule'!$E$30="Weekdays",WEEKDAY($A302,2)&lt;=5,$A302='Recurring Schedule'!$F$30))),25,""))))</f>
        <v/>
      </c>
      <c r="AA302">
        <f>IF('Recurring Schedule'!$C$31="","",IF('Recurring Schedule'!$F$31="","",IF(OR($A302&lt;'Recurring Schedule'!$F$31,$A302&gt;'Recurring Schedule'!$P$31),"",IF(IF('Recurring Schedule'!$N$31&gt;0,MOD($A302-'Recurring Schedule'!$F$31,'Recurring Schedule'!$N$31)=0,IF('Recurring Schedule'!$O$31&gt;0,AND(DAY($A302)=MIN(DAY('Recurring Schedule'!$F$31),DAY(EOMONTH($A302,0))),MOD((YEAR($A302)-YEAR('Recurring Schedule'!$F$31))*12+MONTH($A302)-MONTH('Recurring Schedule'!$F$31),'Recurring Schedule'!$O$31)=0),IF('Recurring Schedule'!$E$31="Weekdays",WEEKDAY($A302,2)&lt;=5,$A302='Recurring Schedule'!$F$31))),26,""))))</f>
        <v/>
      </c>
      <c r="AB302">
        <f>IF('Recurring Schedule'!$C$32="","",IF('Recurring Schedule'!$F$32="","",IF(OR($A302&lt;'Recurring Schedule'!$F$32,$A302&gt;'Recurring Schedule'!$P$32),"",IF(IF('Recurring Schedule'!$N$32&gt;0,MOD($A302-'Recurring Schedule'!$F$32,'Recurring Schedule'!$N$32)=0,IF('Recurring Schedule'!$O$32&gt;0,AND(DAY($A302)=MIN(DAY('Recurring Schedule'!$F$32),DAY(EOMONTH($A302,0))),MOD((YEAR($A302)-YEAR('Recurring Schedule'!$F$32))*12+MONTH($A302)-MONTH('Recurring Schedule'!$F$32),'Recurring Schedule'!$O$32)=0),IF('Recurring Schedule'!$E$32="Weekdays",WEEKDAY($A302,2)&lt;=5,$A302='Recurring Schedule'!$F$32))),27,""))))</f>
        <v/>
      </c>
      <c r="AC302">
        <f>IF('Recurring Schedule'!$C$33="","",IF('Recurring Schedule'!$F$33="","",IF(OR($A302&lt;'Recurring Schedule'!$F$33,$A302&gt;'Recurring Schedule'!$P$33),"",IF(IF('Recurring Schedule'!$N$33&gt;0,MOD($A302-'Recurring Schedule'!$F$33,'Recurring Schedule'!$N$33)=0,IF('Recurring Schedule'!$O$33&gt;0,AND(DAY($A302)=MIN(DAY('Recurring Schedule'!$F$33),DAY(EOMONTH($A302,0))),MOD((YEAR($A302)-YEAR('Recurring Schedule'!$F$33))*12+MONTH($A302)-MONTH('Recurring Schedule'!$F$33),'Recurring Schedule'!$O$33)=0),IF('Recurring Schedule'!$E$33="Weekdays",WEEKDAY($A302,2)&lt;=5,$A302='Recurring Schedule'!$F$33))),28,""))))</f>
        <v/>
      </c>
      <c r="AD302">
        <f>IF('Recurring Schedule'!$C$34="","",IF('Recurring Schedule'!$F$34="","",IF(OR($A302&lt;'Recurring Schedule'!$F$34,$A302&gt;'Recurring Schedule'!$P$34),"",IF(IF('Recurring Schedule'!$N$34&gt;0,MOD($A302-'Recurring Schedule'!$F$34,'Recurring Schedule'!$N$34)=0,IF('Recurring Schedule'!$O$34&gt;0,AND(DAY($A302)=MIN(DAY('Recurring Schedule'!$F$34),DAY(EOMONTH($A302,0))),MOD((YEAR($A302)-YEAR('Recurring Schedule'!$F$34))*12+MONTH($A302)-MONTH('Recurring Schedule'!$F$34),'Recurring Schedule'!$O$34)=0),IF('Recurring Schedule'!$E$34="Weekdays",WEEKDAY($A302,2)&lt;=5,$A302='Recurring Schedule'!$F$34))),29,""))))</f>
        <v/>
      </c>
      <c r="AE302">
        <f>IF('Recurring Schedule'!$C$35="","",IF('Recurring Schedule'!$F$35="","",IF(OR($A302&lt;'Recurring Schedule'!$F$35,$A302&gt;'Recurring Schedule'!$P$35),"",IF(IF('Recurring Schedule'!$N$35&gt;0,MOD($A302-'Recurring Schedule'!$F$35,'Recurring Schedule'!$N$35)=0,IF('Recurring Schedule'!$O$35&gt;0,AND(DAY($A302)=MIN(DAY('Recurring Schedule'!$F$35),DAY(EOMONTH($A302,0))),MOD((YEAR($A302)-YEAR('Recurring Schedule'!$F$35))*12+MONTH($A302)-MONTH('Recurring Schedule'!$F$35),'Recurring Schedule'!$O$35)=0),IF('Recurring Schedule'!$E$35="Weekdays",WEEKDAY($A302,2)&lt;=5,$A302='Recurring Schedule'!$F$35))),30,""))))</f>
        <v/>
      </c>
      <c r="AF302">
        <f>IF('Recurring Schedule'!$C$36="","",IF('Recurring Schedule'!$F$36="","",IF(OR($A302&lt;'Recurring Schedule'!$F$36,$A302&gt;'Recurring Schedule'!$P$36),"",IF(IF('Recurring Schedule'!$N$36&gt;0,MOD($A302-'Recurring Schedule'!$F$36,'Recurring Schedule'!$N$36)=0,IF('Recurring Schedule'!$O$36&gt;0,AND(DAY($A302)=MIN(DAY('Recurring Schedule'!$F$36),DAY(EOMONTH($A302,0))),MOD((YEAR($A302)-YEAR('Recurring Schedule'!$F$36))*12+MONTH($A302)-MONTH('Recurring Schedule'!$F$36),'Recurring Schedule'!$O$36)=0),IF('Recurring Schedule'!$E$36="Weekdays",WEEKDAY($A302,2)&lt;=5,$A302='Recurring Schedule'!$F$36))),31,""))))</f>
        <v/>
      </c>
      <c r="AG302">
        <f>IF('Recurring Schedule'!$C$37="","",IF('Recurring Schedule'!$F$37="","",IF(OR($A302&lt;'Recurring Schedule'!$F$37,$A302&gt;'Recurring Schedule'!$P$37),"",IF(IF('Recurring Schedule'!$N$37&gt;0,MOD($A302-'Recurring Schedule'!$F$37,'Recurring Schedule'!$N$37)=0,IF('Recurring Schedule'!$O$37&gt;0,AND(DAY($A302)=MIN(DAY('Recurring Schedule'!$F$37),DAY(EOMONTH($A302,0))),MOD((YEAR($A302)-YEAR('Recurring Schedule'!$F$37))*12+MONTH($A302)-MONTH('Recurring Schedule'!$F$37),'Recurring Schedule'!$O$37)=0),IF('Recurring Schedule'!$E$37="Weekdays",WEEKDAY($A302,2)&lt;=5,$A302='Recurring Schedule'!$F$37))),32,""))))</f>
        <v/>
      </c>
      <c r="AH302">
        <f>IF('Recurring Schedule'!$C$38="","",IF('Recurring Schedule'!$F$38="","",IF(OR($A302&lt;'Recurring Schedule'!$F$38,$A302&gt;'Recurring Schedule'!$P$38),"",IF(IF('Recurring Schedule'!$N$38&gt;0,MOD($A302-'Recurring Schedule'!$F$38,'Recurring Schedule'!$N$38)=0,IF('Recurring Schedule'!$O$38&gt;0,AND(DAY($A302)=MIN(DAY('Recurring Schedule'!$F$38),DAY(EOMONTH($A302,0))),MOD((YEAR($A302)-YEAR('Recurring Schedule'!$F$38))*12+MONTH($A302)-MONTH('Recurring Schedule'!$F$38),'Recurring Schedule'!$O$38)=0),IF('Recurring Schedule'!$E$38="Weekdays",WEEKDAY($A302,2)&lt;=5,$A302='Recurring Schedule'!$F$38))),33,""))))</f>
        <v/>
      </c>
      <c r="AI302">
        <f>IF('Recurring Schedule'!$C$39="","",IF('Recurring Schedule'!$F$39="","",IF(OR($A302&lt;'Recurring Schedule'!$F$39,$A302&gt;'Recurring Schedule'!$P$39),"",IF(IF('Recurring Schedule'!$N$39&gt;0,MOD($A302-'Recurring Schedule'!$F$39,'Recurring Schedule'!$N$39)=0,IF('Recurring Schedule'!$O$39&gt;0,AND(DAY($A302)=MIN(DAY('Recurring Schedule'!$F$39),DAY(EOMONTH($A302,0))),MOD((YEAR($A302)-YEAR('Recurring Schedule'!$F$39))*12+MONTH($A302)-MONTH('Recurring Schedule'!$F$39),'Recurring Schedule'!$O$39)=0),IF('Recurring Schedule'!$E$39="Weekdays",WEEKDAY($A302,2)&lt;=5,$A302='Recurring Schedule'!$F$39))),34,""))))</f>
        <v/>
      </c>
      <c r="AJ302">
        <f>IF('Recurring Schedule'!$C$40="","",IF('Recurring Schedule'!$F$40="","",IF(OR($A302&lt;'Recurring Schedule'!$F$40,$A302&gt;'Recurring Schedule'!$P$40),"",IF(IF('Recurring Schedule'!$N$40&gt;0,MOD($A302-'Recurring Schedule'!$F$40,'Recurring Schedule'!$N$40)=0,IF('Recurring Schedule'!$O$40&gt;0,AND(DAY($A302)=MIN(DAY('Recurring Schedule'!$F$40),DAY(EOMONTH($A302,0))),MOD((YEAR($A302)-YEAR('Recurring Schedule'!$F$40))*12+MONTH($A302)-MONTH('Recurring Schedule'!$F$40),'Recurring Schedule'!$O$40)=0),IF('Recurring Schedule'!$E$40="Weekdays",WEEKDAY($A302,2)&lt;=5,$A302='Recurring Schedule'!$F$40))),35,""))))</f>
        <v/>
      </c>
      <c r="AK302">
        <f>IF('Recurring Schedule'!$C$41="","",IF('Recurring Schedule'!$F$41="","",IF(OR($A302&lt;'Recurring Schedule'!$F$41,$A302&gt;'Recurring Schedule'!$P$41),"",IF(IF('Recurring Schedule'!$N$41&gt;0,MOD($A302-'Recurring Schedule'!$F$41,'Recurring Schedule'!$N$41)=0,IF('Recurring Schedule'!$O$41&gt;0,AND(DAY($A302)=MIN(DAY('Recurring Schedule'!$F$41),DAY(EOMONTH($A302,0))),MOD((YEAR($A302)-YEAR('Recurring Schedule'!$F$41))*12+MONTH($A302)-MONTH('Recurring Schedule'!$F$41),'Recurring Schedule'!$O$41)=0),IF('Recurring Schedule'!$E$41="Weekdays",WEEKDAY($A302,2)&lt;=5,$A302='Recurring Schedule'!$F$41))),36,""))))</f>
        <v/>
      </c>
      <c r="AL302">
        <f>IF('Recurring Schedule'!$C$42="","",IF('Recurring Schedule'!$F$42="","",IF(OR($A302&lt;'Recurring Schedule'!$F$42,$A302&gt;'Recurring Schedule'!$P$42),"",IF(IF('Recurring Schedule'!$N$42&gt;0,MOD($A302-'Recurring Schedule'!$F$42,'Recurring Schedule'!$N$42)=0,IF('Recurring Schedule'!$O$42&gt;0,AND(DAY($A302)=MIN(DAY('Recurring Schedule'!$F$42),DAY(EOMONTH($A302,0))),MOD((YEAR($A302)-YEAR('Recurring Schedule'!$F$42))*12+MONTH($A302)-MONTH('Recurring Schedule'!$F$42),'Recurring Schedule'!$O$42)=0),IF('Recurring Schedule'!$E$42="Weekdays",WEEKDAY($A302,2)&lt;=5,$A302='Recurring Schedule'!$F$42))),37,""))))</f>
        <v/>
      </c>
      <c r="AM302">
        <f>IF('Recurring Schedule'!$C$43="","",IF('Recurring Schedule'!$F$43="","",IF(OR($A302&lt;'Recurring Schedule'!$F$43,$A302&gt;'Recurring Schedule'!$P$43),"",IF(IF('Recurring Schedule'!$N$43&gt;0,MOD($A302-'Recurring Schedule'!$F$43,'Recurring Schedule'!$N$43)=0,IF('Recurring Schedule'!$O$43&gt;0,AND(DAY($A302)=MIN(DAY('Recurring Schedule'!$F$43),DAY(EOMONTH($A302,0))),MOD((YEAR($A302)-YEAR('Recurring Schedule'!$F$43))*12+MONTH($A302)-MONTH('Recurring Schedule'!$F$43),'Recurring Schedule'!$O$43)=0),IF('Recurring Schedule'!$E$43="Weekdays",WEEKDAY($A302,2)&lt;=5,$A302='Recurring Schedule'!$F$43))),38,""))))</f>
        <v/>
      </c>
      <c r="AN302">
        <f>IF('Recurring Schedule'!$C$44="","",IF('Recurring Schedule'!$F$44="","",IF(OR($A302&lt;'Recurring Schedule'!$F$44,$A302&gt;'Recurring Schedule'!$P$44),"",IF(IF('Recurring Schedule'!$N$44&gt;0,MOD($A302-'Recurring Schedule'!$F$44,'Recurring Schedule'!$N$44)=0,IF('Recurring Schedule'!$O$44&gt;0,AND(DAY($A302)=MIN(DAY('Recurring Schedule'!$F$44),DAY(EOMONTH($A302,0))),MOD((YEAR($A302)-YEAR('Recurring Schedule'!$F$44))*12+MONTH($A302)-MONTH('Recurring Schedule'!$F$44),'Recurring Schedule'!$O$44)=0),IF('Recurring Schedule'!$E$44="Weekdays",WEEKDAY($A302,2)&lt;=5,$A302='Recurring Schedule'!$F$44))),39,""))))</f>
        <v/>
      </c>
      <c r="AO302">
        <f>IF('Recurring Schedule'!$C$45="","",IF('Recurring Schedule'!$F$45="","",IF(OR($A302&lt;'Recurring Schedule'!$F$45,$A302&gt;'Recurring Schedule'!$P$45),"",IF(IF('Recurring Schedule'!$N$45&gt;0,MOD($A302-'Recurring Schedule'!$F$45,'Recurring Schedule'!$N$45)=0,IF('Recurring Schedule'!$O$45&gt;0,AND(DAY($A302)=MIN(DAY('Recurring Schedule'!$F$45),DAY(EOMONTH($A302,0))),MOD((YEAR($A302)-YEAR('Recurring Schedule'!$F$45))*12+MONTH($A302)-MONTH('Recurring Schedule'!$F$45),'Recurring Schedule'!$O$45)=0),IF('Recurring Schedule'!$E$45="Weekdays",WEEKDAY($A302,2)&lt;=5,$A302='Recurring Schedule'!$F$45))),40,""))))</f>
        <v/>
      </c>
      <c r="AP302">
        <f>COUNT(B302:AO302)</f>
        <v/>
      </c>
      <c r="AQ302">
        <f>AQ301+AP301</f>
        <v/>
      </c>
      <c r="AS302" t="inlineStr">
        <is>
          <t>R</t>
        </is>
      </c>
      <c r="AT302" t="n">
        <v>306</v>
      </c>
      <c r="AU302">
        <f>'Recurring Log'!C306&amp;""</f>
        <v/>
      </c>
      <c r="AV302">
        <f>'Recurring Log'!D306&amp;""</f>
        <v/>
      </c>
      <c r="AW302">
        <f>IF('Recurring Log'!E306="","",'Recurring Log'!E306)</f>
        <v/>
      </c>
      <c r="AX302">
        <f>IF('Recurring Log'!G306="","",'Recurring Log'!G306)</f>
        <v/>
      </c>
      <c r="AY302">
        <f>IF('Recurring Log'!H306="","",'Recurring Log'!H306)</f>
        <v/>
      </c>
      <c r="AZ302">
        <f>IF(AU302="","",IF('Recurring Log'!J306="","Not Started",'Recurring Log'!J306))</f>
        <v/>
      </c>
      <c r="BA302">
        <f>'Recurring Log'!L306&amp;""</f>
        <v/>
      </c>
      <c r="BB302">
        <f>'Recurring Log'!M306&amp;""</f>
        <v/>
      </c>
      <c r="BC302">
        <f>'Recurring Log'!N306&amp;""</f>
        <v/>
      </c>
      <c r="BD302">
        <f>'Recurring Log'!O306&amp;""</f>
        <v/>
      </c>
      <c r="BE302">
        <f>IF('Recurring Log'!K306="","",'Recurring Log'!K306)</f>
        <v/>
      </c>
      <c r="BF302">
        <f>IFERROR(MATCH(BA302,Setup!$L$6:$L$9,0),5)</f>
        <v/>
      </c>
      <c r="BG302">
        <f>IF(OR(AZ302="Done",AZ302="Cancelled"),1,0)</f>
        <v/>
      </c>
      <c r="BH302">
        <f>IF(AND(AU302&lt;&gt;"",ISNUMBER(AW302)),1,0)</f>
        <v/>
      </c>
      <c r="BI302">
        <f>IF(BH302=0,0,IF(AND(AW302&gt;='Tasks Filter'!$F$3,AW302&lt;='Tasks Filter'!$F$4,OR('Tasks Filter'!$I$3="",ISNUMBER(SEARCH('Tasks Filter'!$I$3,AU302))),OR('Tasks Filter'!$I$4="",BF302=IFERROR(MATCH('Tasks Filter'!$I$4,Setup!$L$6:$L$9,0),0)),OR('Tasks Filter'!$I$5="Both",AND('Tasks Filter'!$I$5="Yes",BB302="✓"),AND('Tasks Filter'!$I$5="No",BB302&lt;&gt;"✓")),OR('Tasks Filter'!$L$3="",AV302='Tasks Filter'!$L$3),OR('Tasks Filter'!$L$4="",AZ302='Tasks Filter'!$L$4),OR('Tasks Filter'!$L$5="",BC302='Tasks Filter'!$L$5),OR('Tasks Filter'!$O$3="",BD302='Tasks Filter'!$O$3),OR('Tasks Filter'!$O$4="Yes",BG302=0)),1,0))</f>
        <v/>
      </c>
      <c r="BJ302">
        <f>IF(BH302=0,"",IF('Tasks Filter'!$F$6="Descending",-1,1)*CHOOSE(MATCH('Tasks Filter'!$F$5,Lists!$G$2:$G$6,0),AW302,BF302,IFERROR(MATCH(AV302,Setup!$F$6:$F$15,0),99),IFERROR(MATCH(BC302,Setup!$H$6:$H$15,0),99),IFERROR(MATCH(AZ302,Setup!$J$6:$J$11,0),99))*1E+9+(AW302-40000)*10000+301)</f>
        <v/>
      </c>
      <c r="BK302">
        <f>IF(BI302=1,BJ302,"")</f>
        <v/>
      </c>
      <c r="BL302">
        <f>IF(AND(BH302=1,BG302=0,N(AW302)&lt;Setup!$D$7),(AW302-40000)*10000+301,"")</f>
        <v/>
      </c>
      <c r="BM302">
        <f>IF(AND(BH302=1,AZ302&lt;&gt;"Cancelled",N(AW302)&gt;=Dashboard!$AB$3,N(AW302)&lt;=Dashboard!$AB$3+6),(AW302-40000)*100000+BF302*10000+301,"")</f>
        <v/>
      </c>
      <c r="BN302">
        <f>IF(AND(BH302=1,AZ302&lt;&gt;"Cancelled"),BF302*10000+301,"")</f>
        <v/>
      </c>
    </row>
    <row r="303">
      <c r="A303">
        <f>Setup!$D$5+301</f>
        <v/>
      </c>
      <c r="B303">
        <f>IF('Recurring Schedule'!$C$6="","",IF('Recurring Schedule'!$F$6="","",IF(OR($A303&lt;'Recurring Schedule'!$F$6,$A303&gt;'Recurring Schedule'!$P$6),"",IF(IF('Recurring Schedule'!$N$6&gt;0,MOD($A303-'Recurring Schedule'!$F$6,'Recurring Schedule'!$N$6)=0,IF('Recurring Schedule'!$O$6&gt;0,AND(DAY($A303)=MIN(DAY('Recurring Schedule'!$F$6),DAY(EOMONTH($A303,0))),MOD((YEAR($A303)-YEAR('Recurring Schedule'!$F$6))*12+MONTH($A303)-MONTH('Recurring Schedule'!$F$6),'Recurring Schedule'!$O$6)=0),IF('Recurring Schedule'!$E$6="Weekdays",WEEKDAY($A303,2)&lt;=5,$A303='Recurring Schedule'!$F$6))),1,""))))</f>
        <v/>
      </c>
      <c r="C303">
        <f>IF('Recurring Schedule'!$C$7="","",IF('Recurring Schedule'!$F$7="","",IF(OR($A303&lt;'Recurring Schedule'!$F$7,$A303&gt;'Recurring Schedule'!$P$7),"",IF(IF('Recurring Schedule'!$N$7&gt;0,MOD($A303-'Recurring Schedule'!$F$7,'Recurring Schedule'!$N$7)=0,IF('Recurring Schedule'!$O$7&gt;0,AND(DAY($A303)=MIN(DAY('Recurring Schedule'!$F$7),DAY(EOMONTH($A303,0))),MOD((YEAR($A303)-YEAR('Recurring Schedule'!$F$7))*12+MONTH($A303)-MONTH('Recurring Schedule'!$F$7),'Recurring Schedule'!$O$7)=0),IF('Recurring Schedule'!$E$7="Weekdays",WEEKDAY($A303,2)&lt;=5,$A303='Recurring Schedule'!$F$7))),2,""))))</f>
        <v/>
      </c>
      <c r="D303">
        <f>IF('Recurring Schedule'!$C$8="","",IF('Recurring Schedule'!$F$8="","",IF(OR($A303&lt;'Recurring Schedule'!$F$8,$A303&gt;'Recurring Schedule'!$P$8),"",IF(IF('Recurring Schedule'!$N$8&gt;0,MOD($A303-'Recurring Schedule'!$F$8,'Recurring Schedule'!$N$8)=0,IF('Recurring Schedule'!$O$8&gt;0,AND(DAY($A303)=MIN(DAY('Recurring Schedule'!$F$8),DAY(EOMONTH($A303,0))),MOD((YEAR($A303)-YEAR('Recurring Schedule'!$F$8))*12+MONTH($A303)-MONTH('Recurring Schedule'!$F$8),'Recurring Schedule'!$O$8)=0),IF('Recurring Schedule'!$E$8="Weekdays",WEEKDAY($A303,2)&lt;=5,$A303='Recurring Schedule'!$F$8))),3,""))))</f>
        <v/>
      </c>
      <c r="E303">
        <f>IF('Recurring Schedule'!$C$9="","",IF('Recurring Schedule'!$F$9="","",IF(OR($A303&lt;'Recurring Schedule'!$F$9,$A303&gt;'Recurring Schedule'!$P$9),"",IF(IF('Recurring Schedule'!$N$9&gt;0,MOD($A303-'Recurring Schedule'!$F$9,'Recurring Schedule'!$N$9)=0,IF('Recurring Schedule'!$O$9&gt;0,AND(DAY($A303)=MIN(DAY('Recurring Schedule'!$F$9),DAY(EOMONTH($A303,0))),MOD((YEAR($A303)-YEAR('Recurring Schedule'!$F$9))*12+MONTH($A303)-MONTH('Recurring Schedule'!$F$9),'Recurring Schedule'!$O$9)=0),IF('Recurring Schedule'!$E$9="Weekdays",WEEKDAY($A303,2)&lt;=5,$A303='Recurring Schedule'!$F$9))),4,""))))</f>
        <v/>
      </c>
      <c r="F303">
        <f>IF('Recurring Schedule'!$C$10="","",IF('Recurring Schedule'!$F$10="","",IF(OR($A303&lt;'Recurring Schedule'!$F$10,$A303&gt;'Recurring Schedule'!$P$10),"",IF(IF('Recurring Schedule'!$N$10&gt;0,MOD($A303-'Recurring Schedule'!$F$10,'Recurring Schedule'!$N$10)=0,IF('Recurring Schedule'!$O$10&gt;0,AND(DAY($A303)=MIN(DAY('Recurring Schedule'!$F$10),DAY(EOMONTH($A303,0))),MOD((YEAR($A303)-YEAR('Recurring Schedule'!$F$10))*12+MONTH($A303)-MONTH('Recurring Schedule'!$F$10),'Recurring Schedule'!$O$10)=0),IF('Recurring Schedule'!$E$10="Weekdays",WEEKDAY($A303,2)&lt;=5,$A303='Recurring Schedule'!$F$10))),5,""))))</f>
        <v/>
      </c>
      <c r="G303">
        <f>IF('Recurring Schedule'!$C$11="","",IF('Recurring Schedule'!$F$11="","",IF(OR($A303&lt;'Recurring Schedule'!$F$11,$A303&gt;'Recurring Schedule'!$P$11),"",IF(IF('Recurring Schedule'!$N$11&gt;0,MOD($A303-'Recurring Schedule'!$F$11,'Recurring Schedule'!$N$11)=0,IF('Recurring Schedule'!$O$11&gt;0,AND(DAY($A303)=MIN(DAY('Recurring Schedule'!$F$11),DAY(EOMONTH($A303,0))),MOD((YEAR($A303)-YEAR('Recurring Schedule'!$F$11))*12+MONTH($A303)-MONTH('Recurring Schedule'!$F$11),'Recurring Schedule'!$O$11)=0),IF('Recurring Schedule'!$E$11="Weekdays",WEEKDAY($A303,2)&lt;=5,$A303='Recurring Schedule'!$F$11))),6,""))))</f>
        <v/>
      </c>
      <c r="H303">
        <f>IF('Recurring Schedule'!$C$12="","",IF('Recurring Schedule'!$F$12="","",IF(OR($A303&lt;'Recurring Schedule'!$F$12,$A303&gt;'Recurring Schedule'!$P$12),"",IF(IF('Recurring Schedule'!$N$12&gt;0,MOD($A303-'Recurring Schedule'!$F$12,'Recurring Schedule'!$N$12)=0,IF('Recurring Schedule'!$O$12&gt;0,AND(DAY($A303)=MIN(DAY('Recurring Schedule'!$F$12),DAY(EOMONTH($A303,0))),MOD((YEAR($A303)-YEAR('Recurring Schedule'!$F$12))*12+MONTH($A303)-MONTH('Recurring Schedule'!$F$12),'Recurring Schedule'!$O$12)=0),IF('Recurring Schedule'!$E$12="Weekdays",WEEKDAY($A303,2)&lt;=5,$A303='Recurring Schedule'!$F$12))),7,""))))</f>
        <v/>
      </c>
      <c r="I303">
        <f>IF('Recurring Schedule'!$C$13="","",IF('Recurring Schedule'!$F$13="","",IF(OR($A303&lt;'Recurring Schedule'!$F$13,$A303&gt;'Recurring Schedule'!$P$13),"",IF(IF('Recurring Schedule'!$N$13&gt;0,MOD($A303-'Recurring Schedule'!$F$13,'Recurring Schedule'!$N$13)=0,IF('Recurring Schedule'!$O$13&gt;0,AND(DAY($A303)=MIN(DAY('Recurring Schedule'!$F$13),DAY(EOMONTH($A303,0))),MOD((YEAR($A303)-YEAR('Recurring Schedule'!$F$13))*12+MONTH($A303)-MONTH('Recurring Schedule'!$F$13),'Recurring Schedule'!$O$13)=0),IF('Recurring Schedule'!$E$13="Weekdays",WEEKDAY($A303,2)&lt;=5,$A303='Recurring Schedule'!$F$13))),8,""))))</f>
        <v/>
      </c>
      <c r="J303">
        <f>IF('Recurring Schedule'!$C$14="","",IF('Recurring Schedule'!$F$14="","",IF(OR($A303&lt;'Recurring Schedule'!$F$14,$A303&gt;'Recurring Schedule'!$P$14),"",IF(IF('Recurring Schedule'!$N$14&gt;0,MOD($A303-'Recurring Schedule'!$F$14,'Recurring Schedule'!$N$14)=0,IF('Recurring Schedule'!$O$14&gt;0,AND(DAY($A303)=MIN(DAY('Recurring Schedule'!$F$14),DAY(EOMONTH($A303,0))),MOD((YEAR($A303)-YEAR('Recurring Schedule'!$F$14))*12+MONTH($A303)-MONTH('Recurring Schedule'!$F$14),'Recurring Schedule'!$O$14)=0),IF('Recurring Schedule'!$E$14="Weekdays",WEEKDAY($A303,2)&lt;=5,$A303='Recurring Schedule'!$F$14))),9,""))))</f>
        <v/>
      </c>
      <c r="K303">
        <f>IF('Recurring Schedule'!$C$15="","",IF('Recurring Schedule'!$F$15="","",IF(OR($A303&lt;'Recurring Schedule'!$F$15,$A303&gt;'Recurring Schedule'!$P$15),"",IF(IF('Recurring Schedule'!$N$15&gt;0,MOD($A303-'Recurring Schedule'!$F$15,'Recurring Schedule'!$N$15)=0,IF('Recurring Schedule'!$O$15&gt;0,AND(DAY($A303)=MIN(DAY('Recurring Schedule'!$F$15),DAY(EOMONTH($A303,0))),MOD((YEAR($A303)-YEAR('Recurring Schedule'!$F$15))*12+MONTH($A303)-MONTH('Recurring Schedule'!$F$15),'Recurring Schedule'!$O$15)=0),IF('Recurring Schedule'!$E$15="Weekdays",WEEKDAY($A303,2)&lt;=5,$A303='Recurring Schedule'!$F$15))),10,""))))</f>
        <v/>
      </c>
      <c r="L303">
        <f>IF('Recurring Schedule'!$C$16="","",IF('Recurring Schedule'!$F$16="","",IF(OR($A303&lt;'Recurring Schedule'!$F$16,$A303&gt;'Recurring Schedule'!$P$16),"",IF(IF('Recurring Schedule'!$N$16&gt;0,MOD($A303-'Recurring Schedule'!$F$16,'Recurring Schedule'!$N$16)=0,IF('Recurring Schedule'!$O$16&gt;0,AND(DAY($A303)=MIN(DAY('Recurring Schedule'!$F$16),DAY(EOMONTH($A303,0))),MOD((YEAR($A303)-YEAR('Recurring Schedule'!$F$16))*12+MONTH($A303)-MONTH('Recurring Schedule'!$F$16),'Recurring Schedule'!$O$16)=0),IF('Recurring Schedule'!$E$16="Weekdays",WEEKDAY($A303,2)&lt;=5,$A303='Recurring Schedule'!$F$16))),11,""))))</f>
        <v/>
      </c>
      <c r="M303">
        <f>IF('Recurring Schedule'!$C$17="","",IF('Recurring Schedule'!$F$17="","",IF(OR($A303&lt;'Recurring Schedule'!$F$17,$A303&gt;'Recurring Schedule'!$P$17),"",IF(IF('Recurring Schedule'!$N$17&gt;0,MOD($A303-'Recurring Schedule'!$F$17,'Recurring Schedule'!$N$17)=0,IF('Recurring Schedule'!$O$17&gt;0,AND(DAY($A303)=MIN(DAY('Recurring Schedule'!$F$17),DAY(EOMONTH($A303,0))),MOD((YEAR($A303)-YEAR('Recurring Schedule'!$F$17))*12+MONTH($A303)-MONTH('Recurring Schedule'!$F$17),'Recurring Schedule'!$O$17)=0),IF('Recurring Schedule'!$E$17="Weekdays",WEEKDAY($A303,2)&lt;=5,$A303='Recurring Schedule'!$F$17))),12,""))))</f>
        <v/>
      </c>
      <c r="N303">
        <f>IF('Recurring Schedule'!$C$18="","",IF('Recurring Schedule'!$F$18="","",IF(OR($A303&lt;'Recurring Schedule'!$F$18,$A303&gt;'Recurring Schedule'!$P$18),"",IF(IF('Recurring Schedule'!$N$18&gt;0,MOD($A303-'Recurring Schedule'!$F$18,'Recurring Schedule'!$N$18)=0,IF('Recurring Schedule'!$O$18&gt;0,AND(DAY($A303)=MIN(DAY('Recurring Schedule'!$F$18),DAY(EOMONTH($A303,0))),MOD((YEAR($A303)-YEAR('Recurring Schedule'!$F$18))*12+MONTH($A303)-MONTH('Recurring Schedule'!$F$18),'Recurring Schedule'!$O$18)=0),IF('Recurring Schedule'!$E$18="Weekdays",WEEKDAY($A303,2)&lt;=5,$A303='Recurring Schedule'!$F$18))),13,""))))</f>
        <v/>
      </c>
      <c r="O303">
        <f>IF('Recurring Schedule'!$C$19="","",IF('Recurring Schedule'!$F$19="","",IF(OR($A303&lt;'Recurring Schedule'!$F$19,$A303&gt;'Recurring Schedule'!$P$19),"",IF(IF('Recurring Schedule'!$N$19&gt;0,MOD($A303-'Recurring Schedule'!$F$19,'Recurring Schedule'!$N$19)=0,IF('Recurring Schedule'!$O$19&gt;0,AND(DAY($A303)=MIN(DAY('Recurring Schedule'!$F$19),DAY(EOMONTH($A303,0))),MOD((YEAR($A303)-YEAR('Recurring Schedule'!$F$19))*12+MONTH($A303)-MONTH('Recurring Schedule'!$F$19),'Recurring Schedule'!$O$19)=0),IF('Recurring Schedule'!$E$19="Weekdays",WEEKDAY($A303,2)&lt;=5,$A303='Recurring Schedule'!$F$19))),14,""))))</f>
        <v/>
      </c>
      <c r="P303">
        <f>IF('Recurring Schedule'!$C$20="","",IF('Recurring Schedule'!$F$20="","",IF(OR($A303&lt;'Recurring Schedule'!$F$20,$A303&gt;'Recurring Schedule'!$P$20),"",IF(IF('Recurring Schedule'!$N$20&gt;0,MOD($A303-'Recurring Schedule'!$F$20,'Recurring Schedule'!$N$20)=0,IF('Recurring Schedule'!$O$20&gt;0,AND(DAY($A303)=MIN(DAY('Recurring Schedule'!$F$20),DAY(EOMONTH($A303,0))),MOD((YEAR($A303)-YEAR('Recurring Schedule'!$F$20))*12+MONTH($A303)-MONTH('Recurring Schedule'!$F$20),'Recurring Schedule'!$O$20)=0),IF('Recurring Schedule'!$E$20="Weekdays",WEEKDAY($A303,2)&lt;=5,$A303='Recurring Schedule'!$F$20))),15,""))))</f>
        <v/>
      </c>
      <c r="Q303">
        <f>IF('Recurring Schedule'!$C$21="","",IF('Recurring Schedule'!$F$21="","",IF(OR($A303&lt;'Recurring Schedule'!$F$21,$A303&gt;'Recurring Schedule'!$P$21),"",IF(IF('Recurring Schedule'!$N$21&gt;0,MOD($A303-'Recurring Schedule'!$F$21,'Recurring Schedule'!$N$21)=0,IF('Recurring Schedule'!$O$21&gt;0,AND(DAY($A303)=MIN(DAY('Recurring Schedule'!$F$21),DAY(EOMONTH($A303,0))),MOD((YEAR($A303)-YEAR('Recurring Schedule'!$F$21))*12+MONTH($A303)-MONTH('Recurring Schedule'!$F$21),'Recurring Schedule'!$O$21)=0),IF('Recurring Schedule'!$E$21="Weekdays",WEEKDAY($A303,2)&lt;=5,$A303='Recurring Schedule'!$F$21))),16,""))))</f>
        <v/>
      </c>
      <c r="R303">
        <f>IF('Recurring Schedule'!$C$22="","",IF('Recurring Schedule'!$F$22="","",IF(OR($A303&lt;'Recurring Schedule'!$F$22,$A303&gt;'Recurring Schedule'!$P$22),"",IF(IF('Recurring Schedule'!$N$22&gt;0,MOD($A303-'Recurring Schedule'!$F$22,'Recurring Schedule'!$N$22)=0,IF('Recurring Schedule'!$O$22&gt;0,AND(DAY($A303)=MIN(DAY('Recurring Schedule'!$F$22),DAY(EOMONTH($A303,0))),MOD((YEAR($A303)-YEAR('Recurring Schedule'!$F$22))*12+MONTH($A303)-MONTH('Recurring Schedule'!$F$22),'Recurring Schedule'!$O$22)=0),IF('Recurring Schedule'!$E$22="Weekdays",WEEKDAY($A303,2)&lt;=5,$A303='Recurring Schedule'!$F$22))),17,""))))</f>
        <v/>
      </c>
      <c r="S303">
        <f>IF('Recurring Schedule'!$C$23="","",IF('Recurring Schedule'!$F$23="","",IF(OR($A303&lt;'Recurring Schedule'!$F$23,$A303&gt;'Recurring Schedule'!$P$23),"",IF(IF('Recurring Schedule'!$N$23&gt;0,MOD($A303-'Recurring Schedule'!$F$23,'Recurring Schedule'!$N$23)=0,IF('Recurring Schedule'!$O$23&gt;0,AND(DAY($A303)=MIN(DAY('Recurring Schedule'!$F$23),DAY(EOMONTH($A303,0))),MOD((YEAR($A303)-YEAR('Recurring Schedule'!$F$23))*12+MONTH($A303)-MONTH('Recurring Schedule'!$F$23),'Recurring Schedule'!$O$23)=0),IF('Recurring Schedule'!$E$23="Weekdays",WEEKDAY($A303,2)&lt;=5,$A303='Recurring Schedule'!$F$23))),18,""))))</f>
        <v/>
      </c>
      <c r="T303">
        <f>IF('Recurring Schedule'!$C$24="","",IF('Recurring Schedule'!$F$24="","",IF(OR($A303&lt;'Recurring Schedule'!$F$24,$A303&gt;'Recurring Schedule'!$P$24),"",IF(IF('Recurring Schedule'!$N$24&gt;0,MOD($A303-'Recurring Schedule'!$F$24,'Recurring Schedule'!$N$24)=0,IF('Recurring Schedule'!$O$24&gt;0,AND(DAY($A303)=MIN(DAY('Recurring Schedule'!$F$24),DAY(EOMONTH($A303,0))),MOD((YEAR($A303)-YEAR('Recurring Schedule'!$F$24))*12+MONTH($A303)-MONTH('Recurring Schedule'!$F$24),'Recurring Schedule'!$O$24)=0),IF('Recurring Schedule'!$E$24="Weekdays",WEEKDAY($A303,2)&lt;=5,$A303='Recurring Schedule'!$F$24))),19,""))))</f>
        <v/>
      </c>
      <c r="U303">
        <f>IF('Recurring Schedule'!$C$25="","",IF('Recurring Schedule'!$F$25="","",IF(OR($A303&lt;'Recurring Schedule'!$F$25,$A303&gt;'Recurring Schedule'!$P$25),"",IF(IF('Recurring Schedule'!$N$25&gt;0,MOD($A303-'Recurring Schedule'!$F$25,'Recurring Schedule'!$N$25)=0,IF('Recurring Schedule'!$O$25&gt;0,AND(DAY($A303)=MIN(DAY('Recurring Schedule'!$F$25),DAY(EOMONTH($A303,0))),MOD((YEAR($A303)-YEAR('Recurring Schedule'!$F$25))*12+MONTH($A303)-MONTH('Recurring Schedule'!$F$25),'Recurring Schedule'!$O$25)=0),IF('Recurring Schedule'!$E$25="Weekdays",WEEKDAY($A303,2)&lt;=5,$A303='Recurring Schedule'!$F$25))),20,""))))</f>
        <v/>
      </c>
      <c r="V303">
        <f>IF('Recurring Schedule'!$C$26="","",IF('Recurring Schedule'!$F$26="","",IF(OR($A303&lt;'Recurring Schedule'!$F$26,$A303&gt;'Recurring Schedule'!$P$26),"",IF(IF('Recurring Schedule'!$N$26&gt;0,MOD($A303-'Recurring Schedule'!$F$26,'Recurring Schedule'!$N$26)=0,IF('Recurring Schedule'!$O$26&gt;0,AND(DAY($A303)=MIN(DAY('Recurring Schedule'!$F$26),DAY(EOMONTH($A303,0))),MOD((YEAR($A303)-YEAR('Recurring Schedule'!$F$26))*12+MONTH($A303)-MONTH('Recurring Schedule'!$F$26),'Recurring Schedule'!$O$26)=0),IF('Recurring Schedule'!$E$26="Weekdays",WEEKDAY($A303,2)&lt;=5,$A303='Recurring Schedule'!$F$26))),21,""))))</f>
        <v/>
      </c>
      <c r="W303">
        <f>IF('Recurring Schedule'!$C$27="","",IF('Recurring Schedule'!$F$27="","",IF(OR($A303&lt;'Recurring Schedule'!$F$27,$A303&gt;'Recurring Schedule'!$P$27),"",IF(IF('Recurring Schedule'!$N$27&gt;0,MOD($A303-'Recurring Schedule'!$F$27,'Recurring Schedule'!$N$27)=0,IF('Recurring Schedule'!$O$27&gt;0,AND(DAY($A303)=MIN(DAY('Recurring Schedule'!$F$27),DAY(EOMONTH($A303,0))),MOD((YEAR($A303)-YEAR('Recurring Schedule'!$F$27))*12+MONTH($A303)-MONTH('Recurring Schedule'!$F$27),'Recurring Schedule'!$O$27)=0),IF('Recurring Schedule'!$E$27="Weekdays",WEEKDAY($A303,2)&lt;=5,$A303='Recurring Schedule'!$F$27))),22,""))))</f>
        <v/>
      </c>
      <c r="X303">
        <f>IF('Recurring Schedule'!$C$28="","",IF('Recurring Schedule'!$F$28="","",IF(OR($A303&lt;'Recurring Schedule'!$F$28,$A303&gt;'Recurring Schedule'!$P$28),"",IF(IF('Recurring Schedule'!$N$28&gt;0,MOD($A303-'Recurring Schedule'!$F$28,'Recurring Schedule'!$N$28)=0,IF('Recurring Schedule'!$O$28&gt;0,AND(DAY($A303)=MIN(DAY('Recurring Schedule'!$F$28),DAY(EOMONTH($A303,0))),MOD((YEAR($A303)-YEAR('Recurring Schedule'!$F$28))*12+MONTH($A303)-MONTH('Recurring Schedule'!$F$28),'Recurring Schedule'!$O$28)=0),IF('Recurring Schedule'!$E$28="Weekdays",WEEKDAY($A303,2)&lt;=5,$A303='Recurring Schedule'!$F$28))),23,""))))</f>
        <v/>
      </c>
      <c r="Y303">
        <f>IF('Recurring Schedule'!$C$29="","",IF('Recurring Schedule'!$F$29="","",IF(OR($A303&lt;'Recurring Schedule'!$F$29,$A303&gt;'Recurring Schedule'!$P$29),"",IF(IF('Recurring Schedule'!$N$29&gt;0,MOD($A303-'Recurring Schedule'!$F$29,'Recurring Schedule'!$N$29)=0,IF('Recurring Schedule'!$O$29&gt;0,AND(DAY($A303)=MIN(DAY('Recurring Schedule'!$F$29),DAY(EOMONTH($A303,0))),MOD((YEAR($A303)-YEAR('Recurring Schedule'!$F$29))*12+MONTH($A303)-MONTH('Recurring Schedule'!$F$29),'Recurring Schedule'!$O$29)=0),IF('Recurring Schedule'!$E$29="Weekdays",WEEKDAY($A303,2)&lt;=5,$A303='Recurring Schedule'!$F$29))),24,""))))</f>
        <v/>
      </c>
      <c r="Z303">
        <f>IF('Recurring Schedule'!$C$30="","",IF('Recurring Schedule'!$F$30="","",IF(OR($A303&lt;'Recurring Schedule'!$F$30,$A303&gt;'Recurring Schedule'!$P$30),"",IF(IF('Recurring Schedule'!$N$30&gt;0,MOD($A303-'Recurring Schedule'!$F$30,'Recurring Schedule'!$N$30)=0,IF('Recurring Schedule'!$O$30&gt;0,AND(DAY($A303)=MIN(DAY('Recurring Schedule'!$F$30),DAY(EOMONTH($A303,0))),MOD((YEAR($A303)-YEAR('Recurring Schedule'!$F$30))*12+MONTH($A303)-MONTH('Recurring Schedule'!$F$30),'Recurring Schedule'!$O$30)=0),IF('Recurring Schedule'!$E$30="Weekdays",WEEKDAY($A303,2)&lt;=5,$A303='Recurring Schedule'!$F$30))),25,""))))</f>
        <v/>
      </c>
      <c r="AA303">
        <f>IF('Recurring Schedule'!$C$31="","",IF('Recurring Schedule'!$F$31="","",IF(OR($A303&lt;'Recurring Schedule'!$F$31,$A303&gt;'Recurring Schedule'!$P$31),"",IF(IF('Recurring Schedule'!$N$31&gt;0,MOD($A303-'Recurring Schedule'!$F$31,'Recurring Schedule'!$N$31)=0,IF('Recurring Schedule'!$O$31&gt;0,AND(DAY($A303)=MIN(DAY('Recurring Schedule'!$F$31),DAY(EOMONTH($A303,0))),MOD((YEAR($A303)-YEAR('Recurring Schedule'!$F$31))*12+MONTH($A303)-MONTH('Recurring Schedule'!$F$31),'Recurring Schedule'!$O$31)=0),IF('Recurring Schedule'!$E$31="Weekdays",WEEKDAY($A303,2)&lt;=5,$A303='Recurring Schedule'!$F$31))),26,""))))</f>
        <v/>
      </c>
      <c r="AB303">
        <f>IF('Recurring Schedule'!$C$32="","",IF('Recurring Schedule'!$F$32="","",IF(OR($A303&lt;'Recurring Schedule'!$F$32,$A303&gt;'Recurring Schedule'!$P$32),"",IF(IF('Recurring Schedule'!$N$32&gt;0,MOD($A303-'Recurring Schedule'!$F$32,'Recurring Schedule'!$N$32)=0,IF('Recurring Schedule'!$O$32&gt;0,AND(DAY($A303)=MIN(DAY('Recurring Schedule'!$F$32),DAY(EOMONTH($A303,0))),MOD((YEAR($A303)-YEAR('Recurring Schedule'!$F$32))*12+MONTH($A303)-MONTH('Recurring Schedule'!$F$32),'Recurring Schedule'!$O$32)=0),IF('Recurring Schedule'!$E$32="Weekdays",WEEKDAY($A303,2)&lt;=5,$A303='Recurring Schedule'!$F$32))),27,""))))</f>
        <v/>
      </c>
      <c r="AC303">
        <f>IF('Recurring Schedule'!$C$33="","",IF('Recurring Schedule'!$F$33="","",IF(OR($A303&lt;'Recurring Schedule'!$F$33,$A303&gt;'Recurring Schedule'!$P$33),"",IF(IF('Recurring Schedule'!$N$33&gt;0,MOD($A303-'Recurring Schedule'!$F$33,'Recurring Schedule'!$N$33)=0,IF('Recurring Schedule'!$O$33&gt;0,AND(DAY($A303)=MIN(DAY('Recurring Schedule'!$F$33),DAY(EOMONTH($A303,0))),MOD((YEAR($A303)-YEAR('Recurring Schedule'!$F$33))*12+MONTH($A303)-MONTH('Recurring Schedule'!$F$33),'Recurring Schedule'!$O$33)=0),IF('Recurring Schedule'!$E$33="Weekdays",WEEKDAY($A303,2)&lt;=5,$A303='Recurring Schedule'!$F$33))),28,""))))</f>
        <v/>
      </c>
      <c r="AD303">
        <f>IF('Recurring Schedule'!$C$34="","",IF('Recurring Schedule'!$F$34="","",IF(OR($A303&lt;'Recurring Schedule'!$F$34,$A303&gt;'Recurring Schedule'!$P$34),"",IF(IF('Recurring Schedule'!$N$34&gt;0,MOD($A303-'Recurring Schedule'!$F$34,'Recurring Schedule'!$N$34)=0,IF('Recurring Schedule'!$O$34&gt;0,AND(DAY($A303)=MIN(DAY('Recurring Schedule'!$F$34),DAY(EOMONTH($A303,0))),MOD((YEAR($A303)-YEAR('Recurring Schedule'!$F$34))*12+MONTH($A303)-MONTH('Recurring Schedule'!$F$34),'Recurring Schedule'!$O$34)=0),IF('Recurring Schedule'!$E$34="Weekdays",WEEKDAY($A303,2)&lt;=5,$A303='Recurring Schedule'!$F$34))),29,""))))</f>
        <v/>
      </c>
      <c r="AE303">
        <f>IF('Recurring Schedule'!$C$35="","",IF('Recurring Schedule'!$F$35="","",IF(OR($A303&lt;'Recurring Schedule'!$F$35,$A303&gt;'Recurring Schedule'!$P$35),"",IF(IF('Recurring Schedule'!$N$35&gt;0,MOD($A303-'Recurring Schedule'!$F$35,'Recurring Schedule'!$N$35)=0,IF('Recurring Schedule'!$O$35&gt;0,AND(DAY($A303)=MIN(DAY('Recurring Schedule'!$F$35),DAY(EOMONTH($A303,0))),MOD((YEAR($A303)-YEAR('Recurring Schedule'!$F$35))*12+MONTH($A303)-MONTH('Recurring Schedule'!$F$35),'Recurring Schedule'!$O$35)=0),IF('Recurring Schedule'!$E$35="Weekdays",WEEKDAY($A303,2)&lt;=5,$A303='Recurring Schedule'!$F$35))),30,""))))</f>
        <v/>
      </c>
      <c r="AF303">
        <f>IF('Recurring Schedule'!$C$36="","",IF('Recurring Schedule'!$F$36="","",IF(OR($A303&lt;'Recurring Schedule'!$F$36,$A303&gt;'Recurring Schedule'!$P$36),"",IF(IF('Recurring Schedule'!$N$36&gt;0,MOD($A303-'Recurring Schedule'!$F$36,'Recurring Schedule'!$N$36)=0,IF('Recurring Schedule'!$O$36&gt;0,AND(DAY($A303)=MIN(DAY('Recurring Schedule'!$F$36),DAY(EOMONTH($A303,0))),MOD((YEAR($A303)-YEAR('Recurring Schedule'!$F$36))*12+MONTH($A303)-MONTH('Recurring Schedule'!$F$36),'Recurring Schedule'!$O$36)=0),IF('Recurring Schedule'!$E$36="Weekdays",WEEKDAY($A303,2)&lt;=5,$A303='Recurring Schedule'!$F$36))),31,""))))</f>
        <v/>
      </c>
      <c r="AG303">
        <f>IF('Recurring Schedule'!$C$37="","",IF('Recurring Schedule'!$F$37="","",IF(OR($A303&lt;'Recurring Schedule'!$F$37,$A303&gt;'Recurring Schedule'!$P$37),"",IF(IF('Recurring Schedule'!$N$37&gt;0,MOD($A303-'Recurring Schedule'!$F$37,'Recurring Schedule'!$N$37)=0,IF('Recurring Schedule'!$O$37&gt;0,AND(DAY($A303)=MIN(DAY('Recurring Schedule'!$F$37),DAY(EOMONTH($A303,0))),MOD((YEAR($A303)-YEAR('Recurring Schedule'!$F$37))*12+MONTH($A303)-MONTH('Recurring Schedule'!$F$37),'Recurring Schedule'!$O$37)=0),IF('Recurring Schedule'!$E$37="Weekdays",WEEKDAY($A303,2)&lt;=5,$A303='Recurring Schedule'!$F$37))),32,""))))</f>
        <v/>
      </c>
      <c r="AH303">
        <f>IF('Recurring Schedule'!$C$38="","",IF('Recurring Schedule'!$F$38="","",IF(OR($A303&lt;'Recurring Schedule'!$F$38,$A303&gt;'Recurring Schedule'!$P$38),"",IF(IF('Recurring Schedule'!$N$38&gt;0,MOD($A303-'Recurring Schedule'!$F$38,'Recurring Schedule'!$N$38)=0,IF('Recurring Schedule'!$O$38&gt;0,AND(DAY($A303)=MIN(DAY('Recurring Schedule'!$F$38),DAY(EOMONTH($A303,0))),MOD((YEAR($A303)-YEAR('Recurring Schedule'!$F$38))*12+MONTH($A303)-MONTH('Recurring Schedule'!$F$38),'Recurring Schedule'!$O$38)=0),IF('Recurring Schedule'!$E$38="Weekdays",WEEKDAY($A303,2)&lt;=5,$A303='Recurring Schedule'!$F$38))),33,""))))</f>
        <v/>
      </c>
      <c r="AI303">
        <f>IF('Recurring Schedule'!$C$39="","",IF('Recurring Schedule'!$F$39="","",IF(OR($A303&lt;'Recurring Schedule'!$F$39,$A303&gt;'Recurring Schedule'!$P$39),"",IF(IF('Recurring Schedule'!$N$39&gt;0,MOD($A303-'Recurring Schedule'!$F$39,'Recurring Schedule'!$N$39)=0,IF('Recurring Schedule'!$O$39&gt;0,AND(DAY($A303)=MIN(DAY('Recurring Schedule'!$F$39),DAY(EOMONTH($A303,0))),MOD((YEAR($A303)-YEAR('Recurring Schedule'!$F$39))*12+MONTH($A303)-MONTH('Recurring Schedule'!$F$39),'Recurring Schedule'!$O$39)=0),IF('Recurring Schedule'!$E$39="Weekdays",WEEKDAY($A303,2)&lt;=5,$A303='Recurring Schedule'!$F$39))),34,""))))</f>
        <v/>
      </c>
      <c r="AJ303">
        <f>IF('Recurring Schedule'!$C$40="","",IF('Recurring Schedule'!$F$40="","",IF(OR($A303&lt;'Recurring Schedule'!$F$40,$A303&gt;'Recurring Schedule'!$P$40),"",IF(IF('Recurring Schedule'!$N$40&gt;0,MOD($A303-'Recurring Schedule'!$F$40,'Recurring Schedule'!$N$40)=0,IF('Recurring Schedule'!$O$40&gt;0,AND(DAY($A303)=MIN(DAY('Recurring Schedule'!$F$40),DAY(EOMONTH($A303,0))),MOD((YEAR($A303)-YEAR('Recurring Schedule'!$F$40))*12+MONTH($A303)-MONTH('Recurring Schedule'!$F$40),'Recurring Schedule'!$O$40)=0),IF('Recurring Schedule'!$E$40="Weekdays",WEEKDAY($A303,2)&lt;=5,$A303='Recurring Schedule'!$F$40))),35,""))))</f>
        <v/>
      </c>
      <c r="AK303">
        <f>IF('Recurring Schedule'!$C$41="","",IF('Recurring Schedule'!$F$41="","",IF(OR($A303&lt;'Recurring Schedule'!$F$41,$A303&gt;'Recurring Schedule'!$P$41),"",IF(IF('Recurring Schedule'!$N$41&gt;0,MOD($A303-'Recurring Schedule'!$F$41,'Recurring Schedule'!$N$41)=0,IF('Recurring Schedule'!$O$41&gt;0,AND(DAY($A303)=MIN(DAY('Recurring Schedule'!$F$41),DAY(EOMONTH($A303,0))),MOD((YEAR($A303)-YEAR('Recurring Schedule'!$F$41))*12+MONTH($A303)-MONTH('Recurring Schedule'!$F$41),'Recurring Schedule'!$O$41)=0),IF('Recurring Schedule'!$E$41="Weekdays",WEEKDAY($A303,2)&lt;=5,$A303='Recurring Schedule'!$F$41))),36,""))))</f>
        <v/>
      </c>
      <c r="AL303">
        <f>IF('Recurring Schedule'!$C$42="","",IF('Recurring Schedule'!$F$42="","",IF(OR($A303&lt;'Recurring Schedule'!$F$42,$A303&gt;'Recurring Schedule'!$P$42),"",IF(IF('Recurring Schedule'!$N$42&gt;0,MOD($A303-'Recurring Schedule'!$F$42,'Recurring Schedule'!$N$42)=0,IF('Recurring Schedule'!$O$42&gt;0,AND(DAY($A303)=MIN(DAY('Recurring Schedule'!$F$42),DAY(EOMONTH($A303,0))),MOD((YEAR($A303)-YEAR('Recurring Schedule'!$F$42))*12+MONTH($A303)-MONTH('Recurring Schedule'!$F$42),'Recurring Schedule'!$O$42)=0),IF('Recurring Schedule'!$E$42="Weekdays",WEEKDAY($A303,2)&lt;=5,$A303='Recurring Schedule'!$F$42))),37,""))))</f>
        <v/>
      </c>
      <c r="AM303">
        <f>IF('Recurring Schedule'!$C$43="","",IF('Recurring Schedule'!$F$43="","",IF(OR($A303&lt;'Recurring Schedule'!$F$43,$A303&gt;'Recurring Schedule'!$P$43),"",IF(IF('Recurring Schedule'!$N$43&gt;0,MOD($A303-'Recurring Schedule'!$F$43,'Recurring Schedule'!$N$43)=0,IF('Recurring Schedule'!$O$43&gt;0,AND(DAY($A303)=MIN(DAY('Recurring Schedule'!$F$43),DAY(EOMONTH($A303,0))),MOD((YEAR($A303)-YEAR('Recurring Schedule'!$F$43))*12+MONTH($A303)-MONTH('Recurring Schedule'!$F$43),'Recurring Schedule'!$O$43)=0),IF('Recurring Schedule'!$E$43="Weekdays",WEEKDAY($A303,2)&lt;=5,$A303='Recurring Schedule'!$F$43))),38,""))))</f>
        <v/>
      </c>
      <c r="AN303">
        <f>IF('Recurring Schedule'!$C$44="","",IF('Recurring Schedule'!$F$44="","",IF(OR($A303&lt;'Recurring Schedule'!$F$44,$A303&gt;'Recurring Schedule'!$P$44),"",IF(IF('Recurring Schedule'!$N$44&gt;0,MOD($A303-'Recurring Schedule'!$F$44,'Recurring Schedule'!$N$44)=0,IF('Recurring Schedule'!$O$44&gt;0,AND(DAY($A303)=MIN(DAY('Recurring Schedule'!$F$44),DAY(EOMONTH($A303,0))),MOD((YEAR($A303)-YEAR('Recurring Schedule'!$F$44))*12+MONTH($A303)-MONTH('Recurring Schedule'!$F$44),'Recurring Schedule'!$O$44)=0),IF('Recurring Schedule'!$E$44="Weekdays",WEEKDAY($A303,2)&lt;=5,$A303='Recurring Schedule'!$F$44))),39,""))))</f>
        <v/>
      </c>
      <c r="AO303">
        <f>IF('Recurring Schedule'!$C$45="","",IF('Recurring Schedule'!$F$45="","",IF(OR($A303&lt;'Recurring Schedule'!$F$45,$A303&gt;'Recurring Schedule'!$P$45),"",IF(IF('Recurring Schedule'!$N$45&gt;0,MOD($A303-'Recurring Schedule'!$F$45,'Recurring Schedule'!$N$45)=0,IF('Recurring Schedule'!$O$45&gt;0,AND(DAY($A303)=MIN(DAY('Recurring Schedule'!$F$45),DAY(EOMONTH($A303,0))),MOD((YEAR($A303)-YEAR('Recurring Schedule'!$F$45))*12+MONTH($A303)-MONTH('Recurring Schedule'!$F$45),'Recurring Schedule'!$O$45)=0),IF('Recurring Schedule'!$E$45="Weekdays",WEEKDAY($A303,2)&lt;=5,$A303='Recurring Schedule'!$F$45))),40,""))))</f>
        <v/>
      </c>
      <c r="AP303">
        <f>COUNT(B303:AO303)</f>
        <v/>
      </c>
      <c r="AQ303">
        <f>AQ302+AP302</f>
        <v/>
      </c>
      <c r="AS303" t="inlineStr">
        <is>
          <t>R</t>
        </is>
      </c>
      <c r="AT303" t="n">
        <v>307</v>
      </c>
      <c r="AU303">
        <f>'Recurring Log'!C307&amp;""</f>
        <v/>
      </c>
      <c r="AV303">
        <f>'Recurring Log'!D307&amp;""</f>
        <v/>
      </c>
      <c r="AW303">
        <f>IF('Recurring Log'!E307="","",'Recurring Log'!E307)</f>
        <v/>
      </c>
      <c r="AX303">
        <f>IF('Recurring Log'!G307="","",'Recurring Log'!G307)</f>
        <v/>
      </c>
      <c r="AY303">
        <f>IF('Recurring Log'!H307="","",'Recurring Log'!H307)</f>
        <v/>
      </c>
      <c r="AZ303">
        <f>IF(AU303="","",IF('Recurring Log'!J307="","Not Started",'Recurring Log'!J307))</f>
        <v/>
      </c>
      <c r="BA303">
        <f>'Recurring Log'!L307&amp;""</f>
        <v/>
      </c>
      <c r="BB303">
        <f>'Recurring Log'!M307&amp;""</f>
        <v/>
      </c>
      <c r="BC303">
        <f>'Recurring Log'!N307&amp;""</f>
        <v/>
      </c>
      <c r="BD303">
        <f>'Recurring Log'!O307&amp;""</f>
        <v/>
      </c>
      <c r="BE303">
        <f>IF('Recurring Log'!K307="","",'Recurring Log'!K307)</f>
        <v/>
      </c>
      <c r="BF303">
        <f>IFERROR(MATCH(BA303,Setup!$L$6:$L$9,0),5)</f>
        <v/>
      </c>
      <c r="BG303">
        <f>IF(OR(AZ303="Done",AZ303="Cancelled"),1,0)</f>
        <v/>
      </c>
      <c r="BH303">
        <f>IF(AND(AU303&lt;&gt;"",ISNUMBER(AW303)),1,0)</f>
        <v/>
      </c>
      <c r="BI303">
        <f>IF(BH303=0,0,IF(AND(AW303&gt;='Tasks Filter'!$F$3,AW303&lt;='Tasks Filter'!$F$4,OR('Tasks Filter'!$I$3="",ISNUMBER(SEARCH('Tasks Filter'!$I$3,AU303))),OR('Tasks Filter'!$I$4="",BF303=IFERROR(MATCH('Tasks Filter'!$I$4,Setup!$L$6:$L$9,0),0)),OR('Tasks Filter'!$I$5="Both",AND('Tasks Filter'!$I$5="Yes",BB303="✓"),AND('Tasks Filter'!$I$5="No",BB303&lt;&gt;"✓")),OR('Tasks Filter'!$L$3="",AV303='Tasks Filter'!$L$3),OR('Tasks Filter'!$L$4="",AZ303='Tasks Filter'!$L$4),OR('Tasks Filter'!$L$5="",BC303='Tasks Filter'!$L$5),OR('Tasks Filter'!$O$3="",BD303='Tasks Filter'!$O$3),OR('Tasks Filter'!$O$4="Yes",BG303=0)),1,0))</f>
        <v/>
      </c>
      <c r="BJ303">
        <f>IF(BH303=0,"",IF('Tasks Filter'!$F$6="Descending",-1,1)*CHOOSE(MATCH('Tasks Filter'!$F$5,Lists!$G$2:$G$6,0),AW303,BF303,IFERROR(MATCH(AV303,Setup!$F$6:$F$15,0),99),IFERROR(MATCH(BC303,Setup!$H$6:$H$15,0),99),IFERROR(MATCH(AZ303,Setup!$J$6:$J$11,0),99))*1E+9+(AW303-40000)*10000+302)</f>
        <v/>
      </c>
      <c r="BK303">
        <f>IF(BI303=1,BJ303,"")</f>
        <v/>
      </c>
      <c r="BL303">
        <f>IF(AND(BH303=1,BG303=0,N(AW303)&lt;Setup!$D$7),(AW303-40000)*10000+302,"")</f>
        <v/>
      </c>
      <c r="BM303">
        <f>IF(AND(BH303=1,AZ303&lt;&gt;"Cancelled",N(AW303)&gt;=Dashboard!$AB$3,N(AW303)&lt;=Dashboard!$AB$3+6),(AW303-40000)*100000+BF303*10000+302,"")</f>
        <v/>
      </c>
      <c r="BN303">
        <f>IF(AND(BH303=1,AZ303&lt;&gt;"Cancelled"),BF303*10000+302,"")</f>
        <v/>
      </c>
    </row>
    <row r="304">
      <c r="A304">
        <f>Setup!$D$5+302</f>
        <v/>
      </c>
      <c r="B304">
        <f>IF('Recurring Schedule'!$C$6="","",IF('Recurring Schedule'!$F$6="","",IF(OR($A304&lt;'Recurring Schedule'!$F$6,$A304&gt;'Recurring Schedule'!$P$6),"",IF(IF('Recurring Schedule'!$N$6&gt;0,MOD($A304-'Recurring Schedule'!$F$6,'Recurring Schedule'!$N$6)=0,IF('Recurring Schedule'!$O$6&gt;0,AND(DAY($A304)=MIN(DAY('Recurring Schedule'!$F$6),DAY(EOMONTH($A304,0))),MOD((YEAR($A304)-YEAR('Recurring Schedule'!$F$6))*12+MONTH($A304)-MONTH('Recurring Schedule'!$F$6),'Recurring Schedule'!$O$6)=0),IF('Recurring Schedule'!$E$6="Weekdays",WEEKDAY($A304,2)&lt;=5,$A304='Recurring Schedule'!$F$6))),1,""))))</f>
        <v/>
      </c>
      <c r="C304">
        <f>IF('Recurring Schedule'!$C$7="","",IF('Recurring Schedule'!$F$7="","",IF(OR($A304&lt;'Recurring Schedule'!$F$7,$A304&gt;'Recurring Schedule'!$P$7),"",IF(IF('Recurring Schedule'!$N$7&gt;0,MOD($A304-'Recurring Schedule'!$F$7,'Recurring Schedule'!$N$7)=0,IF('Recurring Schedule'!$O$7&gt;0,AND(DAY($A304)=MIN(DAY('Recurring Schedule'!$F$7),DAY(EOMONTH($A304,0))),MOD((YEAR($A304)-YEAR('Recurring Schedule'!$F$7))*12+MONTH($A304)-MONTH('Recurring Schedule'!$F$7),'Recurring Schedule'!$O$7)=0),IF('Recurring Schedule'!$E$7="Weekdays",WEEKDAY($A304,2)&lt;=5,$A304='Recurring Schedule'!$F$7))),2,""))))</f>
        <v/>
      </c>
      <c r="D304">
        <f>IF('Recurring Schedule'!$C$8="","",IF('Recurring Schedule'!$F$8="","",IF(OR($A304&lt;'Recurring Schedule'!$F$8,$A304&gt;'Recurring Schedule'!$P$8),"",IF(IF('Recurring Schedule'!$N$8&gt;0,MOD($A304-'Recurring Schedule'!$F$8,'Recurring Schedule'!$N$8)=0,IF('Recurring Schedule'!$O$8&gt;0,AND(DAY($A304)=MIN(DAY('Recurring Schedule'!$F$8),DAY(EOMONTH($A304,0))),MOD((YEAR($A304)-YEAR('Recurring Schedule'!$F$8))*12+MONTH($A304)-MONTH('Recurring Schedule'!$F$8),'Recurring Schedule'!$O$8)=0),IF('Recurring Schedule'!$E$8="Weekdays",WEEKDAY($A304,2)&lt;=5,$A304='Recurring Schedule'!$F$8))),3,""))))</f>
        <v/>
      </c>
      <c r="E304">
        <f>IF('Recurring Schedule'!$C$9="","",IF('Recurring Schedule'!$F$9="","",IF(OR($A304&lt;'Recurring Schedule'!$F$9,$A304&gt;'Recurring Schedule'!$P$9),"",IF(IF('Recurring Schedule'!$N$9&gt;0,MOD($A304-'Recurring Schedule'!$F$9,'Recurring Schedule'!$N$9)=0,IF('Recurring Schedule'!$O$9&gt;0,AND(DAY($A304)=MIN(DAY('Recurring Schedule'!$F$9),DAY(EOMONTH($A304,0))),MOD((YEAR($A304)-YEAR('Recurring Schedule'!$F$9))*12+MONTH($A304)-MONTH('Recurring Schedule'!$F$9),'Recurring Schedule'!$O$9)=0),IF('Recurring Schedule'!$E$9="Weekdays",WEEKDAY($A304,2)&lt;=5,$A304='Recurring Schedule'!$F$9))),4,""))))</f>
        <v/>
      </c>
      <c r="F304">
        <f>IF('Recurring Schedule'!$C$10="","",IF('Recurring Schedule'!$F$10="","",IF(OR($A304&lt;'Recurring Schedule'!$F$10,$A304&gt;'Recurring Schedule'!$P$10),"",IF(IF('Recurring Schedule'!$N$10&gt;0,MOD($A304-'Recurring Schedule'!$F$10,'Recurring Schedule'!$N$10)=0,IF('Recurring Schedule'!$O$10&gt;0,AND(DAY($A304)=MIN(DAY('Recurring Schedule'!$F$10),DAY(EOMONTH($A304,0))),MOD((YEAR($A304)-YEAR('Recurring Schedule'!$F$10))*12+MONTH($A304)-MONTH('Recurring Schedule'!$F$10),'Recurring Schedule'!$O$10)=0),IF('Recurring Schedule'!$E$10="Weekdays",WEEKDAY($A304,2)&lt;=5,$A304='Recurring Schedule'!$F$10))),5,""))))</f>
        <v/>
      </c>
      <c r="G304">
        <f>IF('Recurring Schedule'!$C$11="","",IF('Recurring Schedule'!$F$11="","",IF(OR($A304&lt;'Recurring Schedule'!$F$11,$A304&gt;'Recurring Schedule'!$P$11),"",IF(IF('Recurring Schedule'!$N$11&gt;0,MOD($A304-'Recurring Schedule'!$F$11,'Recurring Schedule'!$N$11)=0,IF('Recurring Schedule'!$O$11&gt;0,AND(DAY($A304)=MIN(DAY('Recurring Schedule'!$F$11),DAY(EOMONTH($A304,0))),MOD((YEAR($A304)-YEAR('Recurring Schedule'!$F$11))*12+MONTH($A304)-MONTH('Recurring Schedule'!$F$11),'Recurring Schedule'!$O$11)=0),IF('Recurring Schedule'!$E$11="Weekdays",WEEKDAY($A304,2)&lt;=5,$A304='Recurring Schedule'!$F$11))),6,""))))</f>
        <v/>
      </c>
      <c r="H304">
        <f>IF('Recurring Schedule'!$C$12="","",IF('Recurring Schedule'!$F$12="","",IF(OR($A304&lt;'Recurring Schedule'!$F$12,$A304&gt;'Recurring Schedule'!$P$12),"",IF(IF('Recurring Schedule'!$N$12&gt;0,MOD($A304-'Recurring Schedule'!$F$12,'Recurring Schedule'!$N$12)=0,IF('Recurring Schedule'!$O$12&gt;0,AND(DAY($A304)=MIN(DAY('Recurring Schedule'!$F$12),DAY(EOMONTH($A304,0))),MOD((YEAR($A304)-YEAR('Recurring Schedule'!$F$12))*12+MONTH($A304)-MONTH('Recurring Schedule'!$F$12),'Recurring Schedule'!$O$12)=0),IF('Recurring Schedule'!$E$12="Weekdays",WEEKDAY($A304,2)&lt;=5,$A304='Recurring Schedule'!$F$12))),7,""))))</f>
        <v/>
      </c>
      <c r="I304">
        <f>IF('Recurring Schedule'!$C$13="","",IF('Recurring Schedule'!$F$13="","",IF(OR($A304&lt;'Recurring Schedule'!$F$13,$A304&gt;'Recurring Schedule'!$P$13),"",IF(IF('Recurring Schedule'!$N$13&gt;0,MOD($A304-'Recurring Schedule'!$F$13,'Recurring Schedule'!$N$13)=0,IF('Recurring Schedule'!$O$13&gt;0,AND(DAY($A304)=MIN(DAY('Recurring Schedule'!$F$13),DAY(EOMONTH($A304,0))),MOD((YEAR($A304)-YEAR('Recurring Schedule'!$F$13))*12+MONTH($A304)-MONTH('Recurring Schedule'!$F$13),'Recurring Schedule'!$O$13)=0),IF('Recurring Schedule'!$E$13="Weekdays",WEEKDAY($A304,2)&lt;=5,$A304='Recurring Schedule'!$F$13))),8,""))))</f>
        <v/>
      </c>
      <c r="J304">
        <f>IF('Recurring Schedule'!$C$14="","",IF('Recurring Schedule'!$F$14="","",IF(OR($A304&lt;'Recurring Schedule'!$F$14,$A304&gt;'Recurring Schedule'!$P$14),"",IF(IF('Recurring Schedule'!$N$14&gt;0,MOD($A304-'Recurring Schedule'!$F$14,'Recurring Schedule'!$N$14)=0,IF('Recurring Schedule'!$O$14&gt;0,AND(DAY($A304)=MIN(DAY('Recurring Schedule'!$F$14),DAY(EOMONTH($A304,0))),MOD((YEAR($A304)-YEAR('Recurring Schedule'!$F$14))*12+MONTH($A304)-MONTH('Recurring Schedule'!$F$14),'Recurring Schedule'!$O$14)=0),IF('Recurring Schedule'!$E$14="Weekdays",WEEKDAY($A304,2)&lt;=5,$A304='Recurring Schedule'!$F$14))),9,""))))</f>
        <v/>
      </c>
      <c r="K304">
        <f>IF('Recurring Schedule'!$C$15="","",IF('Recurring Schedule'!$F$15="","",IF(OR($A304&lt;'Recurring Schedule'!$F$15,$A304&gt;'Recurring Schedule'!$P$15),"",IF(IF('Recurring Schedule'!$N$15&gt;0,MOD($A304-'Recurring Schedule'!$F$15,'Recurring Schedule'!$N$15)=0,IF('Recurring Schedule'!$O$15&gt;0,AND(DAY($A304)=MIN(DAY('Recurring Schedule'!$F$15),DAY(EOMONTH($A304,0))),MOD((YEAR($A304)-YEAR('Recurring Schedule'!$F$15))*12+MONTH($A304)-MONTH('Recurring Schedule'!$F$15),'Recurring Schedule'!$O$15)=0),IF('Recurring Schedule'!$E$15="Weekdays",WEEKDAY($A304,2)&lt;=5,$A304='Recurring Schedule'!$F$15))),10,""))))</f>
        <v/>
      </c>
      <c r="L304">
        <f>IF('Recurring Schedule'!$C$16="","",IF('Recurring Schedule'!$F$16="","",IF(OR($A304&lt;'Recurring Schedule'!$F$16,$A304&gt;'Recurring Schedule'!$P$16),"",IF(IF('Recurring Schedule'!$N$16&gt;0,MOD($A304-'Recurring Schedule'!$F$16,'Recurring Schedule'!$N$16)=0,IF('Recurring Schedule'!$O$16&gt;0,AND(DAY($A304)=MIN(DAY('Recurring Schedule'!$F$16),DAY(EOMONTH($A304,0))),MOD((YEAR($A304)-YEAR('Recurring Schedule'!$F$16))*12+MONTH($A304)-MONTH('Recurring Schedule'!$F$16),'Recurring Schedule'!$O$16)=0),IF('Recurring Schedule'!$E$16="Weekdays",WEEKDAY($A304,2)&lt;=5,$A304='Recurring Schedule'!$F$16))),11,""))))</f>
        <v/>
      </c>
      <c r="M304">
        <f>IF('Recurring Schedule'!$C$17="","",IF('Recurring Schedule'!$F$17="","",IF(OR($A304&lt;'Recurring Schedule'!$F$17,$A304&gt;'Recurring Schedule'!$P$17),"",IF(IF('Recurring Schedule'!$N$17&gt;0,MOD($A304-'Recurring Schedule'!$F$17,'Recurring Schedule'!$N$17)=0,IF('Recurring Schedule'!$O$17&gt;0,AND(DAY($A304)=MIN(DAY('Recurring Schedule'!$F$17),DAY(EOMONTH($A304,0))),MOD((YEAR($A304)-YEAR('Recurring Schedule'!$F$17))*12+MONTH($A304)-MONTH('Recurring Schedule'!$F$17),'Recurring Schedule'!$O$17)=0),IF('Recurring Schedule'!$E$17="Weekdays",WEEKDAY($A304,2)&lt;=5,$A304='Recurring Schedule'!$F$17))),12,""))))</f>
        <v/>
      </c>
      <c r="N304">
        <f>IF('Recurring Schedule'!$C$18="","",IF('Recurring Schedule'!$F$18="","",IF(OR($A304&lt;'Recurring Schedule'!$F$18,$A304&gt;'Recurring Schedule'!$P$18),"",IF(IF('Recurring Schedule'!$N$18&gt;0,MOD($A304-'Recurring Schedule'!$F$18,'Recurring Schedule'!$N$18)=0,IF('Recurring Schedule'!$O$18&gt;0,AND(DAY($A304)=MIN(DAY('Recurring Schedule'!$F$18),DAY(EOMONTH($A304,0))),MOD((YEAR($A304)-YEAR('Recurring Schedule'!$F$18))*12+MONTH($A304)-MONTH('Recurring Schedule'!$F$18),'Recurring Schedule'!$O$18)=0),IF('Recurring Schedule'!$E$18="Weekdays",WEEKDAY($A304,2)&lt;=5,$A304='Recurring Schedule'!$F$18))),13,""))))</f>
        <v/>
      </c>
      <c r="O304">
        <f>IF('Recurring Schedule'!$C$19="","",IF('Recurring Schedule'!$F$19="","",IF(OR($A304&lt;'Recurring Schedule'!$F$19,$A304&gt;'Recurring Schedule'!$P$19),"",IF(IF('Recurring Schedule'!$N$19&gt;0,MOD($A304-'Recurring Schedule'!$F$19,'Recurring Schedule'!$N$19)=0,IF('Recurring Schedule'!$O$19&gt;0,AND(DAY($A304)=MIN(DAY('Recurring Schedule'!$F$19),DAY(EOMONTH($A304,0))),MOD((YEAR($A304)-YEAR('Recurring Schedule'!$F$19))*12+MONTH($A304)-MONTH('Recurring Schedule'!$F$19),'Recurring Schedule'!$O$19)=0),IF('Recurring Schedule'!$E$19="Weekdays",WEEKDAY($A304,2)&lt;=5,$A304='Recurring Schedule'!$F$19))),14,""))))</f>
        <v/>
      </c>
      <c r="P304">
        <f>IF('Recurring Schedule'!$C$20="","",IF('Recurring Schedule'!$F$20="","",IF(OR($A304&lt;'Recurring Schedule'!$F$20,$A304&gt;'Recurring Schedule'!$P$20),"",IF(IF('Recurring Schedule'!$N$20&gt;0,MOD($A304-'Recurring Schedule'!$F$20,'Recurring Schedule'!$N$20)=0,IF('Recurring Schedule'!$O$20&gt;0,AND(DAY($A304)=MIN(DAY('Recurring Schedule'!$F$20),DAY(EOMONTH($A304,0))),MOD((YEAR($A304)-YEAR('Recurring Schedule'!$F$20))*12+MONTH($A304)-MONTH('Recurring Schedule'!$F$20),'Recurring Schedule'!$O$20)=0),IF('Recurring Schedule'!$E$20="Weekdays",WEEKDAY($A304,2)&lt;=5,$A304='Recurring Schedule'!$F$20))),15,""))))</f>
        <v/>
      </c>
      <c r="Q304">
        <f>IF('Recurring Schedule'!$C$21="","",IF('Recurring Schedule'!$F$21="","",IF(OR($A304&lt;'Recurring Schedule'!$F$21,$A304&gt;'Recurring Schedule'!$P$21),"",IF(IF('Recurring Schedule'!$N$21&gt;0,MOD($A304-'Recurring Schedule'!$F$21,'Recurring Schedule'!$N$21)=0,IF('Recurring Schedule'!$O$21&gt;0,AND(DAY($A304)=MIN(DAY('Recurring Schedule'!$F$21),DAY(EOMONTH($A304,0))),MOD((YEAR($A304)-YEAR('Recurring Schedule'!$F$21))*12+MONTH($A304)-MONTH('Recurring Schedule'!$F$21),'Recurring Schedule'!$O$21)=0),IF('Recurring Schedule'!$E$21="Weekdays",WEEKDAY($A304,2)&lt;=5,$A304='Recurring Schedule'!$F$21))),16,""))))</f>
        <v/>
      </c>
      <c r="R304">
        <f>IF('Recurring Schedule'!$C$22="","",IF('Recurring Schedule'!$F$22="","",IF(OR($A304&lt;'Recurring Schedule'!$F$22,$A304&gt;'Recurring Schedule'!$P$22),"",IF(IF('Recurring Schedule'!$N$22&gt;0,MOD($A304-'Recurring Schedule'!$F$22,'Recurring Schedule'!$N$22)=0,IF('Recurring Schedule'!$O$22&gt;0,AND(DAY($A304)=MIN(DAY('Recurring Schedule'!$F$22),DAY(EOMONTH($A304,0))),MOD((YEAR($A304)-YEAR('Recurring Schedule'!$F$22))*12+MONTH($A304)-MONTH('Recurring Schedule'!$F$22),'Recurring Schedule'!$O$22)=0),IF('Recurring Schedule'!$E$22="Weekdays",WEEKDAY($A304,2)&lt;=5,$A304='Recurring Schedule'!$F$22))),17,""))))</f>
        <v/>
      </c>
      <c r="S304">
        <f>IF('Recurring Schedule'!$C$23="","",IF('Recurring Schedule'!$F$23="","",IF(OR($A304&lt;'Recurring Schedule'!$F$23,$A304&gt;'Recurring Schedule'!$P$23),"",IF(IF('Recurring Schedule'!$N$23&gt;0,MOD($A304-'Recurring Schedule'!$F$23,'Recurring Schedule'!$N$23)=0,IF('Recurring Schedule'!$O$23&gt;0,AND(DAY($A304)=MIN(DAY('Recurring Schedule'!$F$23),DAY(EOMONTH($A304,0))),MOD((YEAR($A304)-YEAR('Recurring Schedule'!$F$23))*12+MONTH($A304)-MONTH('Recurring Schedule'!$F$23),'Recurring Schedule'!$O$23)=0),IF('Recurring Schedule'!$E$23="Weekdays",WEEKDAY($A304,2)&lt;=5,$A304='Recurring Schedule'!$F$23))),18,""))))</f>
        <v/>
      </c>
      <c r="T304">
        <f>IF('Recurring Schedule'!$C$24="","",IF('Recurring Schedule'!$F$24="","",IF(OR($A304&lt;'Recurring Schedule'!$F$24,$A304&gt;'Recurring Schedule'!$P$24),"",IF(IF('Recurring Schedule'!$N$24&gt;0,MOD($A304-'Recurring Schedule'!$F$24,'Recurring Schedule'!$N$24)=0,IF('Recurring Schedule'!$O$24&gt;0,AND(DAY($A304)=MIN(DAY('Recurring Schedule'!$F$24),DAY(EOMONTH($A304,0))),MOD((YEAR($A304)-YEAR('Recurring Schedule'!$F$24))*12+MONTH($A304)-MONTH('Recurring Schedule'!$F$24),'Recurring Schedule'!$O$24)=0),IF('Recurring Schedule'!$E$24="Weekdays",WEEKDAY($A304,2)&lt;=5,$A304='Recurring Schedule'!$F$24))),19,""))))</f>
        <v/>
      </c>
      <c r="U304">
        <f>IF('Recurring Schedule'!$C$25="","",IF('Recurring Schedule'!$F$25="","",IF(OR($A304&lt;'Recurring Schedule'!$F$25,$A304&gt;'Recurring Schedule'!$P$25),"",IF(IF('Recurring Schedule'!$N$25&gt;0,MOD($A304-'Recurring Schedule'!$F$25,'Recurring Schedule'!$N$25)=0,IF('Recurring Schedule'!$O$25&gt;0,AND(DAY($A304)=MIN(DAY('Recurring Schedule'!$F$25),DAY(EOMONTH($A304,0))),MOD((YEAR($A304)-YEAR('Recurring Schedule'!$F$25))*12+MONTH($A304)-MONTH('Recurring Schedule'!$F$25),'Recurring Schedule'!$O$25)=0),IF('Recurring Schedule'!$E$25="Weekdays",WEEKDAY($A304,2)&lt;=5,$A304='Recurring Schedule'!$F$25))),20,""))))</f>
        <v/>
      </c>
      <c r="V304">
        <f>IF('Recurring Schedule'!$C$26="","",IF('Recurring Schedule'!$F$26="","",IF(OR($A304&lt;'Recurring Schedule'!$F$26,$A304&gt;'Recurring Schedule'!$P$26),"",IF(IF('Recurring Schedule'!$N$26&gt;0,MOD($A304-'Recurring Schedule'!$F$26,'Recurring Schedule'!$N$26)=0,IF('Recurring Schedule'!$O$26&gt;0,AND(DAY($A304)=MIN(DAY('Recurring Schedule'!$F$26),DAY(EOMONTH($A304,0))),MOD((YEAR($A304)-YEAR('Recurring Schedule'!$F$26))*12+MONTH($A304)-MONTH('Recurring Schedule'!$F$26),'Recurring Schedule'!$O$26)=0),IF('Recurring Schedule'!$E$26="Weekdays",WEEKDAY($A304,2)&lt;=5,$A304='Recurring Schedule'!$F$26))),21,""))))</f>
        <v/>
      </c>
      <c r="W304">
        <f>IF('Recurring Schedule'!$C$27="","",IF('Recurring Schedule'!$F$27="","",IF(OR($A304&lt;'Recurring Schedule'!$F$27,$A304&gt;'Recurring Schedule'!$P$27),"",IF(IF('Recurring Schedule'!$N$27&gt;0,MOD($A304-'Recurring Schedule'!$F$27,'Recurring Schedule'!$N$27)=0,IF('Recurring Schedule'!$O$27&gt;0,AND(DAY($A304)=MIN(DAY('Recurring Schedule'!$F$27),DAY(EOMONTH($A304,0))),MOD((YEAR($A304)-YEAR('Recurring Schedule'!$F$27))*12+MONTH($A304)-MONTH('Recurring Schedule'!$F$27),'Recurring Schedule'!$O$27)=0),IF('Recurring Schedule'!$E$27="Weekdays",WEEKDAY($A304,2)&lt;=5,$A304='Recurring Schedule'!$F$27))),22,""))))</f>
        <v/>
      </c>
      <c r="X304">
        <f>IF('Recurring Schedule'!$C$28="","",IF('Recurring Schedule'!$F$28="","",IF(OR($A304&lt;'Recurring Schedule'!$F$28,$A304&gt;'Recurring Schedule'!$P$28),"",IF(IF('Recurring Schedule'!$N$28&gt;0,MOD($A304-'Recurring Schedule'!$F$28,'Recurring Schedule'!$N$28)=0,IF('Recurring Schedule'!$O$28&gt;0,AND(DAY($A304)=MIN(DAY('Recurring Schedule'!$F$28),DAY(EOMONTH($A304,0))),MOD((YEAR($A304)-YEAR('Recurring Schedule'!$F$28))*12+MONTH($A304)-MONTH('Recurring Schedule'!$F$28),'Recurring Schedule'!$O$28)=0),IF('Recurring Schedule'!$E$28="Weekdays",WEEKDAY($A304,2)&lt;=5,$A304='Recurring Schedule'!$F$28))),23,""))))</f>
        <v/>
      </c>
      <c r="Y304">
        <f>IF('Recurring Schedule'!$C$29="","",IF('Recurring Schedule'!$F$29="","",IF(OR($A304&lt;'Recurring Schedule'!$F$29,$A304&gt;'Recurring Schedule'!$P$29),"",IF(IF('Recurring Schedule'!$N$29&gt;0,MOD($A304-'Recurring Schedule'!$F$29,'Recurring Schedule'!$N$29)=0,IF('Recurring Schedule'!$O$29&gt;0,AND(DAY($A304)=MIN(DAY('Recurring Schedule'!$F$29),DAY(EOMONTH($A304,0))),MOD((YEAR($A304)-YEAR('Recurring Schedule'!$F$29))*12+MONTH($A304)-MONTH('Recurring Schedule'!$F$29),'Recurring Schedule'!$O$29)=0),IF('Recurring Schedule'!$E$29="Weekdays",WEEKDAY($A304,2)&lt;=5,$A304='Recurring Schedule'!$F$29))),24,""))))</f>
        <v/>
      </c>
      <c r="Z304">
        <f>IF('Recurring Schedule'!$C$30="","",IF('Recurring Schedule'!$F$30="","",IF(OR($A304&lt;'Recurring Schedule'!$F$30,$A304&gt;'Recurring Schedule'!$P$30),"",IF(IF('Recurring Schedule'!$N$30&gt;0,MOD($A304-'Recurring Schedule'!$F$30,'Recurring Schedule'!$N$30)=0,IF('Recurring Schedule'!$O$30&gt;0,AND(DAY($A304)=MIN(DAY('Recurring Schedule'!$F$30),DAY(EOMONTH($A304,0))),MOD((YEAR($A304)-YEAR('Recurring Schedule'!$F$30))*12+MONTH($A304)-MONTH('Recurring Schedule'!$F$30),'Recurring Schedule'!$O$30)=0),IF('Recurring Schedule'!$E$30="Weekdays",WEEKDAY($A304,2)&lt;=5,$A304='Recurring Schedule'!$F$30))),25,""))))</f>
        <v/>
      </c>
      <c r="AA304">
        <f>IF('Recurring Schedule'!$C$31="","",IF('Recurring Schedule'!$F$31="","",IF(OR($A304&lt;'Recurring Schedule'!$F$31,$A304&gt;'Recurring Schedule'!$P$31),"",IF(IF('Recurring Schedule'!$N$31&gt;0,MOD($A304-'Recurring Schedule'!$F$31,'Recurring Schedule'!$N$31)=0,IF('Recurring Schedule'!$O$31&gt;0,AND(DAY($A304)=MIN(DAY('Recurring Schedule'!$F$31),DAY(EOMONTH($A304,0))),MOD((YEAR($A304)-YEAR('Recurring Schedule'!$F$31))*12+MONTH($A304)-MONTH('Recurring Schedule'!$F$31),'Recurring Schedule'!$O$31)=0),IF('Recurring Schedule'!$E$31="Weekdays",WEEKDAY($A304,2)&lt;=5,$A304='Recurring Schedule'!$F$31))),26,""))))</f>
        <v/>
      </c>
      <c r="AB304">
        <f>IF('Recurring Schedule'!$C$32="","",IF('Recurring Schedule'!$F$32="","",IF(OR($A304&lt;'Recurring Schedule'!$F$32,$A304&gt;'Recurring Schedule'!$P$32),"",IF(IF('Recurring Schedule'!$N$32&gt;0,MOD($A304-'Recurring Schedule'!$F$32,'Recurring Schedule'!$N$32)=0,IF('Recurring Schedule'!$O$32&gt;0,AND(DAY($A304)=MIN(DAY('Recurring Schedule'!$F$32),DAY(EOMONTH($A304,0))),MOD((YEAR($A304)-YEAR('Recurring Schedule'!$F$32))*12+MONTH($A304)-MONTH('Recurring Schedule'!$F$32),'Recurring Schedule'!$O$32)=0),IF('Recurring Schedule'!$E$32="Weekdays",WEEKDAY($A304,2)&lt;=5,$A304='Recurring Schedule'!$F$32))),27,""))))</f>
        <v/>
      </c>
      <c r="AC304">
        <f>IF('Recurring Schedule'!$C$33="","",IF('Recurring Schedule'!$F$33="","",IF(OR($A304&lt;'Recurring Schedule'!$F$33,$A304&gt;'Recurring Schedule'!$P$33),"",IF(IF('Recurring Schedule'!$N$33&gt;0,MOD($A304-'Recurring Schedule'!$F$33,'Recurring Schedule'!$N$33)=0,IF('Recurring Schedule'!$O$33&gt;0,AND(DAY($A304)=MIN(DAY('Recurring Schedule'!$F$33),DAY(EOMONTH($A304,0))),MOD((YEAR($A304)-YEAR('Recurring Schedule'!$F$33))*12+MONTH($A304)-MONTH('Recurring Schedule'!$F$33),'Recurring Schedule'!$O$33)=0),IF('Recurring Schedule'!$E$33="Weekdays",WEEKDAY($A304,2)&lt;=5,$A304='Recurring Schedule'!$F$33))),28,""))))</f>
        <v/>
      </c>
      <c r="AD304">
        <f>IF('Recurring Schedule'!$C$34="","",IF('Recurring Schedule'!$F$34="","",IF(OR($A304&lt;'Recurring Schedule'!$F$34,$A304&gt;'Recurring Schedule'!$P$34),"",IF(IF('Recurring Schedule'!$N$34&gt;0,MOD($A304-'Recurring Schedule'!$F$34,'Recurring Schedule'!$N$34)=0,IF('Recurring Schedule'!$O$34&gt;0,AND(DAY($A304)=MIN(DAY('Recurring Schedule'!$F$34),DAY(EOMONTH($A304,0))),MOD((YEAR($A304)-YEAR('Recurring Schedule'!$F$34))*12+MONTH($A304)-MONTH('Recurring Schedule'!$F$34),'Recurring Schedule'!$O$34)=0),IF('Recurring Schedule'!$E$34="Weekdays",WEEKDAY($A304,2)&lt;=5,$A304='Recurring Schedule'!$F$34))),29,""))))</f>
        <v/>
      </c>
      <c r="AE304">
        <f>IF('Recurring Schedule'!$C$35="","",IF('Recurring Schedule'!$F$35="","",IF(OR($A304&lt;'Recurring Schedule'!$F$35,$A304&gt;'Recurring Schedule'!$P$35),"",IF(IF('Recurring Schedule'!$N$35&gt;0,MOD($A304-'Recurring Schedule'!$F$35,'Recurring Schedule'!$N$35)=0,IF('Recurring Schedule'!$O$35&gt;0,AND(DAY($A304)=MIN(DAY('Recurring Schedule'!$F$35),DAY(EOMONTH($A304,0))),MOD((YEAR($A304)-YEAR('Recurring Schedule'!$F$35))*12+MONTH($A304)-MONTH('Recurring Schedule'!$F$35),'Recurring Schedule'!$O$35)=0),IF('Recurring Schedule'!$E$35="Weekdays",WEEKDAY($A304,2)&lt;=5,$A304='Recurring Schedule'!$F$35))),30,""))))</f>
        <v/>
      </c>
      <c r="AF304">
        <f>IF('Recurring Schedule'!$C$36="","",IF('Recurring Schedule'!$F$36="","",IF(OR($A304&lt;'Recurring Schedule'!$F$36,$A304&gt;'Recurring Schedule'!$P$36),"",IF(IF('Recurring Schedule'!$N$36&gt;0,MOD($A304-'Recurring Schedule'!$F$36,'Recurring Schedule'!$N$36)=0,IF('Recurring Schedule'!$O$36&gt;0,AND(DAY($A304)=MIN(DAY('Recurring Schedule'!$F$36),DAY(EOMONTH($A304,0))),MOD((YEAR($A304)-YEAR('Recurring Schedule'!$F$36))*12+MONTH($A304)-MONTH('Recurring Schedule'!$F$36),'Recurring Schedule'!$O$36)=0),IF('Recurring Schedule'!$E$36="Weekdays",WEEKDAY($A304,2)&lt;=5,$A304='Recurring Schedule'!$F$36))),31,""))))</f>
        <v/>
      </c>
      <c r="AG304">
        <f>IF('Recurring Schedule'!$C$37="","",IF('Recurring Schedule'!$F$37="","",IF(OR($A304&lt;'Recurring Schedule'!$F$37,$A304&gt;'Recurring Schedule'!$P$37),"",IF(IF('Recurring Schedule'!$N$37&gt;0,MOD($A304-'Recurring Schedule'!$F$37,'Recurring Schedule'!$N$37)=0,IF('Recurring Schedule'!$O$37&gt;0,AND(DAY($A304)=MIN(DAY('Recurring Schedule'!$F$37),DAY(EOMONTH($A304,0))),MOD((YEAR($A304)-YEAR('Recurring Schedule'!$F$37))*12+MONTH($A304)-MONTH('Recurring Schedule'!$F$37),'Recurring Schedule'!$O$37)=0),IF('Recurring Schedule'!$E$37="Weekdays",WEEKDAY($A304,2)&lt;=5,$A304='Recurring Schedule'!$F$37))),32,""))))</f>
        <v/>
      </c>
      <c r="AH304">
        <f>IF('Recurring Schedule'!$C$38="","",IF('Recurring Schedule'!$F$38="","",IF(OR($A304&lt;'Recurring Schedule'!$F$38,$A304&gt;'Recurring Schedule'!$P$38),"",IF(IF('Recurring Schedule'!$N$38&gt;0,MOD($A304-'Recurring Schedule'!$F$38,'Recurring Schedule'!$N$38)=0,IF('Recurring Schedule'!$O$38&gt;0,AND(DAY($A304)=MIN(DAY('Recurring Schedule'!$F$38),DAY(EOMONTH($A304,0))),MOD((YEAR($A304)-YEAR('Recurring Schedule'!$F$38))*12+MONTH($A304)-MONTH('Recurring Schedule'!$F$38),'Recurring Schedule'!$O$38)=0),IF('Recurring Schedule'!$E$38="Weekdays",WEEKDAY($A304,2)&lt;=5,$A304='Recurring Schedule'!$F$38))),33,""))))</f>
        <v/>
      </c>
      <c r="AI304">
        <f>IF('Recurring Schedule'!$C$39="","",IF('Recurring Schedule'!$F$39="","",IF(OR($A304&lt;'Recurring Schedule'!$F$39,$A304&gt;'Recurring Schedule'!$P$39),"",IF(IF('Recurring Schedule'!$N$39&gt;0,MOD($A304-'Recurring Schedule'!$F$39,'Recurring Schedule'!$N$39)=0,IF('Recurring Schedule'!$O$39&gt;0,AND(DAY($A304)=MIN(DAY('Recurring Schedule'!$F$39),DAY(EOMONTH($A304,0))),MOD((YEAR($A304)-YEAR('Recurring Schedule'!$F$39))*12+MONTH($A304)-MONTH('Recurring Schedule'!$F$39),'Recurring Schedule'!$O$39)=0),IF('Recurring Schedule'!$E$39="Weekdays",WEEKDAY($A304,2)&lt;=5,$A304='Recurring Schedule'!$F$39))),34,""))))</f>
        <v/>
      </c>
      <c r="AJ304">
        <f>IF('Recurring Schedule'!$C$40="","",IF('Recurring Schedule'!$F$40="","",IF(OR($A304&lt;'Recurring Schedule'!$F$40,$A304&gt;'Recurring Schedule'!$P$40),"",IF(IF('Recurring Schedule'!$N$40&gt;0,MOD($A304-'Recurring Schedule'!$F$40,'Recurring Schedule'!$N$40)=0,IF('Recurring Schedule'!$O$40&gt;0,AND(DAY($A304)=MIN(DAY('Recurring Schedule'!$F$40),DAY(EOMONTH($A304,0))),MOD((YEAR($A304)-YEAR('Recurring Schedule'!$F$40))*12+MONTH($A304)-MONTH('Recurring Schedule'!$F$40),'Recurring Schedule'!$O$40)=0),IF('Recurring Schedule'!$E$40="Weekdays",WEEKDAY($A304,2)&lt;=5,$A304='Recurring Schedule'!$F$40))),35,""))))</f>
        <v/>
      </c>
      <c r="AK304">
        <f>IF('Recurring Schedule'!$C$41="","",IF('Recurring Schedule'!$F$41="","",IF(OR($A304&lt;'Recurring Schedule'!$F$41,$A304&gt;'Recurring Schedule'!$P$41),"",IF(IF('Recurring Schedule'!$N$41&gt;0,MOD($A304-'Recurring Schedule'!$F$41,'Recurring Schedule'!$N$41)=0,IF('Recurring Schedule'!$O$41&gt;0,AND(DAY($A304)=MIN(DAY('Recurring Schedule'!$F$41),DAY(EOMONTH($A304,0))),MOD((YEAR($A304)-YEAR('Recurring Schedule'!$F$41))*12+MONTH($A304)-MONTH('Recurring Schedule'!$F$41),'Recurring Schedule'!$O$41)=0),IF('Recurring Schedule'!$E$41="Weekdays",WEEKDAY($A304,2)&lt;=5,$A304='Recurring Schedule'!$F$41))),36,""))))</f>
        <v/>
      </c>
      <c r="AL304">
        <f>IF('Recurring Schedule'!$C$42="","",IF('Recurring Schedule'!$F$42="","",IF(OR($A304&lt;'Recurring Schedule'!$F$42,$A304&gt;'Recurring Schedule'!$P$42),"",IF(IF('Recurring Schedule'!$N$42&gt;0,MOD($A304-'Recurring Schedule'!$F$42,'Recurring Schedule'!$N$42)=0,IF('Recurring Schedule'!$O$42&gt;0,AND(DAY($A304)=MIN(DAY('Recurring Schedule'!$F$42),DAY(EOMONTH($A304,0))),MOD((YEAR($A304)-YEAR('Recurring Schedule'!$F$42))*12+MONTH($A304)-MONTH('Recurring Schedule'!$F$42),'Recurring Schedule'!$O$42)=0),IF('Recurring Schedule'!$E$42="Weekdays",WEEKDAY($A304,2)&lt;=5,$A304='Recurring Schedule'!$F$42))),37,""))))</f>
        <v/>
      </c>
      <c r="AM304">
        <f>IF('Recurring Schedule'!$C$43="","",IF('Recurring Schedule'!$F$43="","",IF(OR($A304&lt;'Recurring Schedule'!$F$43,$A304&gt;'Recurring Schedule'!$P$43),"",IF(IF('Recurring Schedule'!$N$43&gt;0,MOD($A304-'Recurring Schedule'!$F$43,'Recurring Schedule'!$N$43)=0,IF('Recurring Schedule'!$O$43&gt;0,AND(DAY($A304)=MIN(DAY('Recurring Schedule'!$F$43),DAY(EOMONTH($A304,0))),MOD((YEAR($A304)-YEAR('Recurring Schedule'!$F$43))*12+MONTH($A304)-MONTH('Recurring Schedule'!$F$43),'Recurring Schedule'!$O$43)=0),IF('Recurring Schedule'!$E$43="Weekdays",WEEKDAY($A304,2)&lt;=5,$A304='Recurring Schedule'!$F$43))),38,""))))</f>
        <v/>
      </c>
      <c r="AN304">
        <f>IF('Recurring Schedule'!$C$44="","",IF('Recurring Schedule'!$F$44="","",IF(OR($A304&lt;'Recurring Schedule'!$F$44,$A304&gt;'Recurring Schedule'!$P$44),"",IF(IF('Recurring Schedule'!$N$44&gt;0,MOD($A304-'Recurring Schedule'!$F$44,'Recurring Schedule'!$N$44)=0,IF('Recurring Schedule'!$O$44&gt;0,AND(DAY($A304)=MIN(DAY('Recurring Schedule'!$F$44),DAY(EOMONTH($A304,0))),MOD((YEAR($A304)-YEAR('Recurring Schedule'!$F$44))*12+MONTH($A304)-MONTH('Recurring Schedule'!$F$44),'Recurring Schedule'!$O$44)=0),IF('Recurring Schedule'!$E$44="Weekdays",WEEKDAY($A304,2)&lt;=5,$A304='Recurring Schedule'!$F$44))),39,""))))</f>
        <v/>
      </c>
      <c r="AO304">
        <f>IF('Recurring Schedule'!$C$45="","",IF('Recurring Schedule'!$F$45="","",IF(OR($A304&lt;'Recurring Schedule'!$F$45,$A304&gt;'Recurring Schedule'!$P$45),"",IF(IF('Recurring Schedule'!$N$45&gt;0,MOD($A304-'Recurring Schedule'!$F$45,'Recurring Schedule'!$N$45)=0,IF('Recurring Schedule'!$O$45&gt;0,AND(DAY($A304)=MIN(DAY('Recurring Schedule'!$F$45),DAY(EOMONTH($A304,0))),MOD((YEAR($A304)-YEAR('Recurring Schedule'!$F$45))*12+MONTH($A304)-MONTH('Recurring Schedule'!$F$45),'Recurring Schedule'!$O$45)=0),IF('Recurring Schedule'!$E$45="Weekdays",WEEKDAY($A304,2)&lt;=5,$A304='Recurring Schedule'!$F$45))),40,""))))</f>
        <v/>
      </c>
      <c r="AP304">
        <f>COUNT(B304:AO304)</f>
        <v/>
      </c>
      <c r="AQ304">
        <f>AQ303+AP303</f>
        <v/>
      </c>
      <c r="AS304" t="inlineStr">
        <is>
          <t>R</t>
        </is>
      </c>
      <c r="AT304" t="n">
        <v>308</v>
      </c>
      <c r="AU304">
        <f>'Recurring Log'!C308&amp;""</f>
        <v/>
      </c>
      <c r="AV304">
        <f>'Recurring Log'!D308&amp;""</f>
        <v/>
      </c>
      <c r="AW304">
        <f>IF('Recurring Log'!E308="","",'Recurring Log'!E308)</f>
        <v/>
      </c>
      <c r="AX304">
        <f>IF('Recurring Log'!G308="","",'Recurring Log'!G308)</f>
        <v/>
      </c>
      <c r="AY304">
        <f>IF('Recurring Log'!H308="","",'Recurring Log'!H308)</f>
        <v/>
      </c>
      <c r="AZ304">
        <f>IF(AU304="","",IF('Recurring Log'!J308="","Not Started",'Recurring Log'!J308))</f>
        <v/>
      </c>
      <c r="BA304">
        <f>'Recurring Log'!L308&amp;""</f>
        <v/>
      </c>
      <c r="BB304">
        <f>'Recurring Log'!M308&amp;""</f>
        <v/>
      </c>
      <c r="BC304">
        <f>'Recurring Log'!N308&amp;""</f>
        <v/>
      </c>
      <c r="BD304">
        <f>'Recurring Log'!O308&amp;""</f>
        <v/>
      </c>
      <c r="BE304">
        <f>IF('Recurring Log'!K308="","",'Recurring Log'!K308)</f>
        <v/>
      </c>
      <c r="BF304">
        <f>IFERROR(MATCH(BA304,Setup!$L$6:$L$9,0),5)</f>
        <v/>
      </c>
      <c r="BG304">
        <f>IF(OR(AZ304="Done",AZ304="Cancelled"),1,0)</f>
        <v/>
      </c>
      <c r="BH304">
        <f>IF(AND(AU304&lt;&gt;"",ISNUMBER(AW304)),1,0)</f>
        <v/>
      </c>
      <c r="BI304">
        <f>IF(BH304=0,0,IF(AND(AW304&gt;='Tasks Filter'!$F$3,AW304&lt;='Tasks Filter'!$F$4,OR('Tasks Filter'!$I$3="",ISNUMBER(SEARCH('Tasks Filter'!$I$3,AU304))),OR('Tasks Filter'!$I$4="",BF304=IFERROR(MATCH('Tasks Filter'!$I$4,Setup!$L$6:$L$9,0),0)),OR('Tasks Filter'!$I$5="Both",AND('Tasks Filter'!$I$5="Yes",BB304="✓"),AND('Tasks Filter'!$I$5="No",BB304&lt;&gt;"✓")),OR('Tasks Filter'!$L$3="",AV304='Tasks Filter'!$L$3),OR('Tasks Filter'!$L$4="",AZ304='Tasks Filter'!$L$4),OR('Tasks Filter'!$L$5="",BC304='Tasks Filter'!$L$5),OR('Tasks Filter'!$O$3="",BD304='Tasks Filter'!$O$3),OR('Tasks Filter'!$O$4="Yes",BG304=0)),1,0))</f>
        <v/>
      </c>
      <c r="BJ304">
        <f>IF(BH304=0,"",IF('Tasks Filter'!$F$6="Descending",-1,1)*CHOOSE(MATCH('Tasks Filter'!$F$5,Lists!$G$2:$G$6,0),AW304,BF304,IFERROR(MATCH(AV304,Setup!$F$6:$F$15,0),99),IFERROR(MATCH(BC304,Setup!$H$6:$H$15,0),99),IFERROR(MATCH(AZ304,Setup!$J$6:$J$11,0),99))*1E+9+(AW304-40000)*10000+303)</f>
        <v/>
      </c>
      <c r="BK304">
        <f>IF(BI304=1,BJ304,"")</f>
        <v/>
      </c>
      <c r="BL304">
        <f>IF(AND(BH304=1,BG304=0,N(AW304)&lt;Setup!$D$7),(AW304-40000)*10000+303,"")</f>
        <v/>
      </c>
      <c r="BM304">
        <f>IF(AND(BH304=1,AZ304&lt;&gt;"Cancelled",N(AW304)&gt;=Dashboard!$AB$3,N(AW304)&lt;=Dashboard!$AB$3+6),(AW304-40000)*100000+BF304*10000+303,"")</f>
        <v/>
      </c>
      <c r="BN304">
        <f>IF(AND(BH304=1,AZ304&lt;&gt;"Cancelled"),BF304*10000+303,"")</f>
        <v/>
      </c>
    </row>
    <row r="305">
      <c r="A305">
        <f>Setup!$D$5+303</f>
        <v/>
      </c>
      <c r="B305">
        <f>IF('Recurring Schedule'!$C$6="","",IF('Recurring Schedule'!$F$6="","",IF(OR($A305&lt;'Recurring Schedule'!$F$6,$A305&gt;'Recurring Schedule'!$P$6),"",IF(IF('Recurring Schedule'!$N$6&gt;0,MOD($A305-'Recurring Schedule'!$F$6,'Recurring Schedule'!$N$6)=0,IF('Recurring Schedule'!$O$6&gt;0,AND(DAY($A305)=MIN(DAY('Recurring Schedule'!$F$6),DAY(EOMONTH($A305,0))),MOD((YEAR($A305)-YEAR('Recurring Schedule'!$F$6))*12+MONTH($A305)-MONTH('Recurring Schedule'!$F$6),'Recurring Schedule'!$O$6)=0),IF('Recurring Schedule'!$E$6="Weekdays",WEEKDAY($A305,2)&lt;=5,$A305='Recurring Schedule'!$F$6))),1,""))))</f>
        <v/>
      </c>
      <c r="C305">
        <f>IF('Recurring Schedule'!$C$7="","",IF('Recurring Schedule'!$F$7="","",IF(OR($A305&lt;'Recurring Schedule'!$F$7,$A305&gt;'Recurring Schedule'!$P$7),"",IF(IF('Recurring Schedule'!$N$7&gt;0,MOD($A305-'Recurring Schedule'!$F$7,'Recurring Schedule'!$N$7)=0,IF('Recurring Schedule'!$O$7&gt;0,AND(DAY($A305)=MIN(DAY('Recurring Schedule'!$F$7),DAY(EOMONTH($A305,0))),MOD((YEAR($A305)-YEAR('Recurring Schedule'!$F$7))*12+MONTH($A305)-MONTH('Recurring Schedule'!$F$7),'Recurring Schedule'!$O$7)=0),IF('Recurring Schedule'!$E$7="Weekdays",WEEKDAY($A305,2)&lt;=5,$A305='Recurring Schedule'!$F$7))),2,""))))</f>
        <v/>
      </c>
      <c r="D305">
        <f>IF('Recurring Schedule'!$C$8="","",IF('Recurring Schedule'!$F$8="","",IF(OR($A305&lt;'Recurring Schedule'!$F$8,$A305&gt;'Recurring Schedule'!$P$8),"",IF(IF('Recurring Schedule'!$N$8&gt;0,MOD($A305-'Recurring Schedule'!$F$8,'Recurring Schedule'!$N$8)=0,IF('Recurring Schedule'!$O$8&gt;0,AND(DAY($A305)=MIN(DAY('Recurring Schedule'!$F$8),DAY(EOMONTH($A305,0))),MOD((YEAR($A305)-YEAR('Recurring Schedule'!$F$8))*12+MONTH($A305)-MONTH('Recurring Schedule'!$F$8),'Recurring Schedule'!$O$8)=0),IF('Recurring Schedule'!$E$8="Weekdays",WEEKDAY($A305,2)&lt;=5,$A305='Recurring Schedule'!$F$8))),3,""))))</f>
        <v/>
      </c>
      <c r="E305">
        <f>IF('Recurring Schedule'!$C$9="","",IF('Recurring Schedule'!$F$9="","",IF(OR($A305&lt;'Recurring Schedule'!$F$9,$A305&gt;'Recurring Schedule'!$P$9),"",IF(IF('Recurring Schedule'!$N$9&gt;0,MOD($A305-'Recurring Schedule'!$F$9,'Recurring Schedule'!$N$9)=0,IF('Recurring Schedule'!$O$9&gt;0,AND(DAY($A305)=MIN(DAY('Recurring Schedule'!$F$9),DAY(EOMONTH($A305,0))),MOD((YEAR($A305)-YEAR('Recurring Schedule'!$F$9))*12+MONTH($A305)-MONTH('Recurring Schedule'!$F$9),'Recurring Schedule'!$O$9)=0),IF('Recurring Schedule'!$E$9="Weekdays",WEEKDAY($A305,2)&lt;=5,$A305='Recurring Schedule'!$F$9))),4,""))))</f>
        <v/>
      </c>
      <c r="F305">
        <f>IF('Recurring Schedule'!$C$10="","",IF('Recurring Schedule'!$F$10="","",IF(OR($A305&lt;'Recurring Schedule'!$F$10,$A305&gt;'Recurring Schedule'!$P$10),"",IF(IF('Recurring Schedule'!$N$10&gt;0,MOD($A305-'Recurring Schedule'!$F$10,'Recurring Schedule'!$N$10)=0,IF('Recurring Schedule'!$O$10&gt;0,AND(DAY($A305)=MIN(DAY('Recurring Schedule'!$F$10),DAY(EOMONTH($A305,0))),MOD((YEAR($A305)-YEAR('Recurring Schedule'!$F$10))*12+MONTH($A305)-MONTH('Recurring Schedule'!$F$10),'Recurring Schedule'!$O$10)=0),IF('Recurring Schedule'!$E$10="Weekdays",WEEKDAY($A305,2)&lt;=5,$A305='Recurring Schedule'!$F$10))),5,""))))</f>
        <v/>
      </c>
      <c r="G305">
        <f>IF('Recurring Schedule'!$C$11="","",IF('Recurring Schedule'!$F$11="","",IF(OR($A305&lt;'Recurring Schedule'!$F$11,$A305&gt;'Recurring Schedule'!$P$11),"",IF(IF('Recurring Schedule'!$N$11&gt;0,MOD($A305-'Recurring Schedule'!$F$11,'Recurring Schedule'!$N$11)=0,IF('Recurring Schedule'!$O$11&gt;0,AND(DAY($A305)=MIN(DAY('Recurring Schedule'!$F$11),DAY(EOMONTH($A305,0))),MOD((YEAR($A305)-YEAR('Recurring Schedule'!$F$11))*12+MONTH($A305)-MONTH('Recurring Schedule'!$F$11),'Recurring Schedule'!$O$11)=0),IF('Recurring Schedule'!$E$11="Weekdays",WEEKDAY($A305,2)&lt;=5,$A305='Recurring Schedule'!$F$11))),6,""))))</f>
        <v/>
      </c>
      <c r="H305">
        <f>IF('Recurring Schedule'!$C$12="","",IF('Recurring Schedule'!$F$12="","",IF(OR($A305&lt;'Recurring Schedule'!$F$12,$A305&gt;'Recurring Schedule'!$P$12),"",IF(IF('Recurring Schedule'!$N$12&gt;0,MOD($A305-'Recurring Schedule'!$F$12,'Recurring Schedule'!$N$12)=0,IF('Recurring Schedule'!$O$12&gt;0,AND(DAY($A305)=MIN(DAY('Recurring Schedule'!$F$12),DAY(EOMONTH($A305,0))),MOD((YEAR($A305)-YEAR('Recurring Schedule'!$F$12))*12+MONTH($A305)-MONTH('Recurring Schedule'!$F$12),'Recurring Schedule'!$O$12)=0),IF('Recurring Schedule'!$E$12="Weekdays",WEEKDAY($A305,2)&lt;=5,$A305='Recurring Schedule'!$F$12))),7,""))))</f>
        <v/>
      </c>
      <c r="I305">
        <f>IF('Recurring Schedule'!$C$13="","",IF('Recurring Schedule'!$F$13="","",IF(OR($A305&lt;'Recurring Schedule'!$F$13,$A305&gt;'Recurring Schedule'!$P$13),"",IF(IF('Recurring Schedule'!$N$13&gt;0,MOD($A305-'Recurring Schedule'!$F$13,'Recurring Schedule'!$N$13)=0,IF('Recurring Schedule'!$O$13&gt;0,AND(DAY($A305)=MIN(DAY('Recurring Schedule'!$F$13),DAY(EOMONTH($A305,0))),MOD((YEAR($A305)-YEAR('Recurring Schedule'!$F$13))*12+MONTH($A305)-MONTH('Recurring Schedule'!$F$13),'Recurring Schedule'!$O$13)=0),IF('Recurring Schedule'!$E$13="Weekdays",WEEKDAY($A305,2)&lt;=5,$A305='Recurring Schedule'!$F$13))),8,""))))</f>
        <v/>
      </c>
      <c r="J305">
        <f>IF('Recurring Schedule'!$C$14="","",IF('Recurring Schedule'!$F$14="","",IF(OR($A305&lt;'Recurring Schedule'!$F$14,$A305&gt;'Recurring Schedule'!$P$14),"",IF(IF('Recurring Schedule'!$N$14&gt;0,MOD($A305-'Recurring Schedule'!$F$14,'Recurring Schedule'!$N$14)=0,IF('Recurring Schedule'!$O$14&gt;0,AND(DAY($A305)=MIN(DAY('Recurring Schedule'!$F$14),DAY(EOMONTH($A305,0))),MOD((YEAR($A305)-YEAR('Recurring Schedule'!$F$14))*12+MONTH($A305)-MONTH('Recurring Schedule'!$F$14),'Recurring Schedule'!$O$14)=0),IF('Recurring Schedule'!$E$14="Weekdays",WEEKDAY($A305,2)&lt;=5,$A305='Recurring Schedule'!$F$14))),9,""))))</f>
        <v/>
      </c>
      <c r="K305">
        <f>IF('Recurring Schedule'!$C$15="","",IF('Recurring Schedule'!$F$15="","",IF(OR($A305&lt;'Recurring Schedule'!$F$15,$A305&gt;'Recurring Schedule'!$P$15),"",IF(IF('Recurring Schedule'!$N$15&gt;0,MOD($A305-'Recurring Schedule'!$F$15,'Recurring Schedule'!$N$15)=0,IF('Recurring Schedule'!$O$15&gt;0,AND(DAY($A305)=MIN(DAY('Recurring Schedule'!$F$15),DAY(EOMONTH($A305,0))),MOD((YEAR($A305)-YEAR('Recurring Schedule'!$F$15))*12+MONTH($A305)-MONTH('Recurring Schedule'!$F$15),'Recurring Schedule'!$O$15)=0),IF('Recurring Schedule'!$E$15="Weekdays",WEEKDAY($A305,2)&lt;=5,$A305='Recurring Schedule'!$F$15))),10,""))))</f>
        <v/>
      </c>
      <c r="L305">
        <f>IF('Recurring Schedule'!$C$16="","",IF('Recurring Schedule'!$F$16="","",IF(OR($A305&lt;'Recurring Schedule'!$F$16,$A305&gt;'Recurring Schedule'!$P$16),"",IF(IF('Recurring Schedule'!$N$16&gt;0,MOD($A305-'Recurring Schedule'!$F$16,'Recurring Schedule'!$N$16)=0,IF('Recurring Schedule'!$O$16&gt;0,AND(DAY($A305)=MIN(DAY('Recurring Schedule'!$F$16),DAY(EOMONTH($A305,0))),MOD((YEAR($A305)-YEAR('Recurring Schedule'!$F$16))*12+MONTH($A305)-MONTH('Recurring Schedule'!$F$16),'Recurring Schedule'!$O$16)=0),IF('Recurring Schedule'!$E$16="Weekdays",WEEKDAY($A305,2)&lt;=5,$A305='Recurring Schedule'!$F$16))),11,""))))</f>
        <v/>
      </c>
      <c r="M305">
        <f>IF('Recurring Schedule'!$C$17="","",IF('Recurring Schedule'!$F$17="","",IF(OR($A305&lt;'Recurring Schedule'!$F$17,$A305&gt;'Recurring Schedule'!$P$17),"",IF(IF('Recurring Schedule'!$N$17&gt;0,MOD($A305-'Recurring Schedule'!$F$17,'Recurring Schedule'!$N$17)=0,IF('Recurring Schedule'!$O$17&gt;0,AND(DAY($A305)=MIN(DAY('Recurring Schedule'!$F$17),DAY(EOMONTH($A305,0))),MOD((YEAR($A305)-YEAR('Recurring Schedule'!$F$17))*12+MONTH($A305)-MONTH('Recurring Schedule'!$F$17),'Recurring Schedule'!$O$17)=0),IF('Recurring Schedule'!$E$17="Weekdays",WEEKDAY($A305,2)&lt;=5,$A305='Recurring Schedule'!$F$17))),12,""))))</f>
        <v/>
      </c>
      <c r="N305">
        <f>IF('Recurring Schedule'!$C$18="","",IF('Recurring Schedule'!$F$18="","",IF(OR($A305&lt;'Recurring Schedule'!$F$18,$A305&gt;'Recurring Schedule'!$P$18),"",IF(IF('Recurring Schedule'!$N$18&gt;0,MOD($A305-'Recurring Schedule'!$F$18,'Recurring Schedule'!$N$18)=0,IF('Recurring Schedule'!$O$18&gt;0,AND(DAY($A305)=MIN(DAY('Recurring Schedule'!$F$18),DAY(EOMONTH($A305,0))),MOD((YEAR($A305)-YEAR('Recurring Schedule'!$F$18))*12+MONTH($A305)-MONTH('Recurring Schedule'!$F$18),'Recurring Schedule'!$O$18)=0),IF('Recurring Schedule'!$E$18="Weekdays",WEEKDAY($A305,2)&lt;=5,$A305='Recurring Schedule'!$F$18))),13,""))))</f>
        <v/>
      </c>
      <c r="O305">
        <f>IF('Recurring Schedule'!$C$19="","",IF('Recurring Schedule'!$F$19="","",IF(OR($A305&lt;'Recurring Schedule'!$F$19,$A305&gt;'Recurring Schedule'!$P$19),"",IF(IF('Recurring Schedule'!$N$19&gt;0,MOD($A305-'Recurring Schedule'!$F$19,'Recurring Schedule'!$N$19)=0,IF('Recurring Schedule'!$O$19&gt;0,AND(DAY($A305)=MIN(DAY('Recurring Schedule'!$F$19),DAY(EOMONTH($A305,0))),MOD((YEAR($A305)-YEAR('Recurring Schedule'!$F$19))*12+MONTH($A305)-MONTH('Recurring Schedule'!$F$19),'Recurring Schedule'!$O$19)=0),IF('Recurring Schedule'!$E$19="Weekdays",WEEKDAY($A305,2)&lt;=5,$A305='Recurring Schedule'!$F$19))),14,""))))</f>
        <v/>
      </c>
      <c r="P305">
        <f>IF('Recurring Schedule'!$C$20="","",IF('Recurring Schedule'!$F$20="","",IF(OR($A305&lt;'Recurring Schedule'!$F$20,$A305&gt;'Recurring Schedule'!$P$20),"",IF(IF('Recurring Schedule'!$N$20&gt;0,MOD($A305-'Recurring Schedule'!$F$20,'Recurring Schedule'!$N$20)=0,IF('Recurring Schedule'!$O$20&gt;0,AND(DAY($A305)=MIN(DAY('Recurring Schedule'!$F$20),DAY(EOMONTH($A305,0))),MOD((YEAR($A305)-YEAR('Recurring Schedule'!$F$20))*12+MONTH($A305)-MONTH('Recurring Schedule'!$F$20),'Recurring Schedule'!$O$20)=0),IF('Recurring Schedule'!$E$20="Weekdays",WEEKDAY($A305,2)&lt;=5,$A305='Recurring Schedule'!$F$20))),15,""))))</f>
        <v/>
      </c>
      <c r="Q305">
        <f>IF('Recurring Schedule'!$C$21="","",IF('Recurring Schedule'!$F$21="","",IF(OR($A305&lt;'Recurring Schedule'!$F$21,$A305&gt;'Recurring Schedule'!$P$21),"",IF(IF('Recurring Schedule'!$N$21&gt;0,MOD($A305-'Recurring Schedule'!$F$21,'Recurring Schedule'!$N$21)=0,IF('Recurring Schedule'!$O$21&gt;0,AND(DAY($A305)=MIN(DAY('Recurring Schedule'!$F$21),DAY(EOMONTH($A305,0))),MOD((YEAR($A305)-YEAR('Recurring Schedule'!$F$21))*12+MONTH($A305)-MONTH('Recurring Schedule'!$F$21),'Recurring Schedule'!$O$21)=0),IF('Recurring Schedule'!$E$21="Weekdays",WEEKDAY($A305,2)&lt;=5,$A305='Recurring Schedule'!$F$21))),16,""))))</f>
        <v/>
      </c>
      <c r="R305">
        <f>IF('Recurring Schedule'!$C$22="","",IF('Recurring Schedule'!$F$22="","",IF(OR($A305&lt;'Recurring Schedule'!$F$22,$A305&gt;'Recurring Schedule'!$P$22),"",IF(IF('Recurring Schedule'!$N$22&gt;0,MOD($A305-'Recurring Schedule'!$F$22,'Recurring Schedule'!$N$22)=0,IF('Recurring Schedule'!$O$22&gt;0,AND(DAY($A305)=MIN(DAY('Recurring Schedule'!$F$22),DAY(EOMONTH($A305,0))),MOD((YEAR($A305)-YEAR('Recurring Schedule'!$F$22))*12+MONTH($A305)-MONTH('Recurring Schedule'!$F$22),'Recurring Schedule'!$O$22)=0),IF('Recurring Schedule'!$E$22="Weekdays",WEEKDAY($A305,2)&lt;=5,$A305='Recurring Schedule'!$F$22))),17,""))))</f>
        <v/>
      </c>
      <c r="S305">
        <f>IF('Recurring Schedule'!$C$23="","",IF('Recurring Schedule'!$F$23="","",IF(OR($A305&lt;'Recurring Schedule'!$F$23,$A305&gt;'Recurring Schedule'!$P$23),"",IF(IF('Recurring Schedule'!$N$23&gt;0,MOD($A305-'Recurring Schedule'!$F$23,'Recurring Schedule'!$N$23)=0,IF('Recurring Schedule'!$O$23&gt;0,AND(DAY($A305)=MIN(DAY('Recurring Schedule'!$F$23),DAY(EOMONTH($A305,0))),MOD((YEAR($A305)-YEAR('Recurring Schedule'!$F$23))*12+MONTH($A305)-MONTH('Recurring Schedule'!$F$23),'Recurring Schedule'!$O$23)=0),IF('Recurring Schedule'!$E$23="Weekdays",WEEKDAY($A305,2)&lt;=5,$A305='Recurring Schedule'!$F$23))),18,""))))</f>
        <v/>
      </c>
      <c r="T305">
        <f>IF('Recurring Schedule'!$C$24="","",IF('Recurring Schedule'!$F$24="","",IF(OR($A305&lt;'Recurring Schedule'!$F$24,$A305&gt;'Recurring Schedule'!$P$24),"",IF(IF('Recurring Schedule'!$N$24&gt;0,MOD($A305-'Recurring Schedule'!$F$24,'Recurring Schedule'!$N$24)=0,IF('Recurring Schedule'!$O$24&gt;0,AND(DAY($A305)=MIN(DAY('Recurring Schedule'!$F$24),DAY(EOMONTH($A305,0))),MOD((YEAR($A305)-YEAR('Recurring Schedule'!$F$24))*12+MONTH($A305)-MONTH('Recurring Schedule'!$F$24),'Recurring Schedule'!$O$24)=0),IF('Recurring Schedule'!$E$24="Weekdays",WEEKDAY($A305,2)&lt;=5,$A305='Recurring Schedule'!$F$24))),19,""))))</f>
        <v/>
      </c>
      <c r="U305">
        <f>IF('Recurring Schedule'!$C$25="","",IF('Recurring Schedule'!$F$25="","",IF(OR($A305&lt;'Recurring Schedule'!$F$25,$A305&gt;'Recurring Schedule'!$P$25),"",IF(IF('Recurring Schedule'!$N$25&gt;0,MOD($A305-'Recurring Schedule'!$F$25,'Recurring Schedule'!$N$25)=0,IF('Recurring Schedule'!$O$25&gt;0,AND(DAY($A305)=MIN(DAY('Recurring Schedule'!$F$25),DAY(EOMONTH($A305,0))),MOD((YEAR($A305)-YEAR('Recurring Schedule'!$F$25))*12+MONTH($A305)-MONTH('Recurring Schedule'!$F$25),'Recurring Schedule'!$O$25)=0),IF('Recurring Schedule'!$E$25="Weekdays",WEEKDAY($A305,2)&lt;=5,$A305='Recurring Schedule'!$F$25))),20,""))))</f>
        <v/>
      </c>
      <c r="V305">
        <f>IF('Recurring Schedule'!$C$26="","",IF('Recurring Schedule'!$F$26="","",IF(OR($A305&lt;'Recurring Schedule'!$F$26,$A305&gt;'Recurring Schedule'!$P$26),"",IF(IF('Recurring Schedule'!$N$26&gt;0,MOD($A305-'Recurring Schedule'!$F$26,'Recurring Schedule'!$N$26)=0,IF('Recurring Schedule'!$O$26&gt;0,AND(DAY($A305)=MIN(DAY('Recurring Schedule'!$F$26),DAY(EOMONTH($A305,0))),MOD((YEAR($A305)-YEAR('Recurring Schedule'!$F$26))*12+MONTH($A305)-MONTH('Recurring Schedule'!$F$26),'Recurring Schedule'!$O$26)=0),IF('Recurring Schedule'!$E$26="Weekdays",WEEKDAY($A305,2)&lt;=5,$A305='Recurring Schedule'!$F$26))),21,""))))</f>
        <v/>
      </c>
      <c r="W305">
        <f>IF('Recurring Schedule'!$C$27="","",IF('Recurring Schedule'!$F$27="","",IF(OR($A305&lt;'Recurring Schedule'!$F$27,$A305&gt;'Recurring Schedule'!$P$27),"",IF(IF('Recurring Schedule'!$N$27&gt;0,MOD($A305-'Recurring Schedule'!$F$27,'Recurring Schedule'!$N$27)=0,IF('Recurring Schedule'!$O$27&gt;0,AND(DAY($A305)=MIN(DAY('Recurring Schedule'!$F$27),DAY(EOMONTH($A305,0))),MOD((YEAR($A305)-YEAR('Recurring Schedule'!$F$27))*12+MONTH($A305)-MONTH('Recurring Schedule'!$F$27),'Recurring Schedule'!$O$27)=0),IF('Recurring Schedule'!$E$27="Weekdays",WEEKDAY($A305,2)&lt;=5,$A305='Recurring Schedule'!$F$27))),22,""))))</f>
        <v/>
      </c>
      <c r="X305">
        <f>IF('Recurring Schedule'!$C$28="","",IF('Recurring Schedule'!$F$28="","",IF(OR($A305&lt;'Recurring Schedule'!$F$28,$A305&gt;'Recurring Schedule'!$P$28),"",IF(IF('Recurring Schedule'!$N$28&gt;0,MOD($A305-'Recurring Schedule'!$F$28,'Recurring Schedule'!$N$28)=0,IF('Recurring Schedule'!$O$28&gt;0,AND(DAY($A305)=MIN(DAY('Recurring Schedule'!$F$28),DAY(EOMONTH($A305,0))),MOD((YEAR($A305)-YEAR('Recurring Schedule'!$F$28))*12+MONTH($A305)-MONTH('Recurring Schedule'!$F$28),'Recurring Schedule'!$O$28)=0),IF('Recurring Schedule'!$E$28="Weekdays",WEEKDAY($A305,2)&lt;=5,$A305='Recurring Schedule'!$F$28))),23,""))))</f>
        <v/>
      </c>
      <c r="Y305">
        <f>IF('Recurring Schedule'!$C$29="","",IF('Recurring Schedule'!$F$29="","",IF(OR($A305&lt;'Recurring Schedule'!$F$29,$A305&gt;'Recurring Schedule'!$P$29),"",IF(IF('Recurring Schedule'!$N$29&gt;0,MOD($A305-'Recurring Schedule'!$F$29,'Recurring Schedule'!$N$29)=0,IF('Recurring Schedule'!$O$29&gt;0,AND(DAY($A305)=MIN(DAY('Recurring Schedule'!$F$29),DAY(EOMONTH($A305,0))),MOD((YEAR($A305)-YEAR('Recurring Schedule'!$F$29))*12+MONTH($A305)-MONTH('Recurring Schedule'!$F$29),'Recurring Schedule'!$O$29)=0),IF('Recurring Schedule'!$E$29="Weekdays",WEEKDAY($A305,2)&lt;=5,$A305='Recurring Schedule'!$F$29))),24,""))))</f>
        <v/>
      </c>
      <c r="Z305">
        <f>IF('Recurring Schedule'!$C$30="","",IF('Recurring Schedule'!$F$30="","",IF(OR($A305&lt;'Recurring Schedule'!$F$30,$A305&gt;'Recurring Schedule'!$P$30),"",IF(IF('Recurring Schedule'!$N$30&gt;0,MOD($A305-'Recurring Schedule'!$F$30,'Recurring Schedule'!$N$30)=0,IF('Recurring Schedule'!$O$30&gt;0,AND(DAY($A305)=MIN(DAY('Recurring Schedule'!$F$30),DAY(EOMONTH($A305,0))),MOD((YEAR($A305)-YEAR('Recurring Schedule'!$F$30))*12+MONTH($A305)-MONTH('Recurring Schedule'!$F$30),'Recurring Schedule'!$O$30)=0),IF('Recurring Schedule'!$E$30="Weekdays",WEEKDAY($A305,2)&lt;=5,$A305='Recurring Schedule'!$F$30))),25,""))))</f>
        <v/>
      </c>
      <c r="AA305">
        <f>IF('Recurring Schedule'!$C$31="","",IF('Recurring Schedule'!$F$31="","",IF(OR($A305&lt;'Recurring Schedule'!$F$31,$A305&gt;'Recurring Schedule'!$P$31),"",IF(IF('Recurring Schedule'!$N$31&gt;0,MOD($A305-'Recurring Schedule'!$F$31,'Recurring Schedule'!$N$31)=0,IF('Recurring Schedule'!$O$31&gt;0,AND(DAY($A305)=MIN(DAY('Recurring Schedule'!$F$31),DAY(EOMONTH($A305,0))),MOD((YEAR($A305)-YEAR('Recurring Schedule'!$F$31))*12+MONTH($A305)-MONTH('Recurring Schedule'!$F$31),'Recurring Schedule'!$O$31)=0),IF('Recurring Schedule'!$E$31="Weekdays",WEEKDAY($A305,2)&lt;=5,$A305='Recurring Schedule'!$F$31))),26,""))))</f>
        <v/>
      </c>
      <c r="AB305">
        <f>IF('Recurring Schedule'!$C$32="","",IF('Recurring Schedule'!$F$32="","",IF(OR($A305&lt;'Recurring Schedule'!$F$32,$A305&gt;'Recurring Schedule'!$P$32),"",IF(IF('Recurring Schedule'!$N$32&gt;0,MOD($A305-'Recurring Schedule'!$F$32,'Recurring Schedule'!$N$32)=0,IF('Recurring Schedule'!$O$32&gt;0,AND(DAY($A305)=MIN(DAY('Recurring Schedule'!$F$32),DAY(EOMONTH($A305,0))),MOD((YEAR($A305)-YEAR('Recurring Schedule'!$F$32))*12+MONTH($A305)-MONTH('Recurring Schedule'!$F$32),'Recurring Schedule'!$O$32)=0),IF('Recurring Schedule'!$E$32="Weekdays",WEEKDAY($A305,2)&lt;=5,$A305='Recurring Schedule'!$F$32))),27,""))))</f>
        <v/>
      </c>
      <c r="AC305">
        <f>IF('Recurring Schedule'!$C$33="","",IF('Recurring Schedule'!$F$33="","",IF(OR($A305&lt;'Recurring Schedule'!$F$33,$A305&gt;'Recurring Schedule'!$P$33),"",IF(IF('Recurring Schedule'!$N$33&gt;0,MOD($A305-'Recurring Schedule'!$F$33,'Recurring Schedule'!$N$33)=0,IF('Recurring Schedule'!$O$33&gt;0,AND(DAY($A305)=MIN(DAY('Recurring Schedule'!$F$33),DAY(EOMONTH($A305,0))),MOD((YEAR($A305)-YEAR('Recurring Schedule'!$F$33))*12+MONTH($A305)-MONTH('Recurring Schedule'!$F$33),'Recurring Schedule'!$O$33)=0),IF('Recurring Schedule'!$E$33="Weekdays",WEEKDAY($A305,2)&lt;=5,$A305='Recurring Schedule'!$F$33))),28,""))))</f>
        <v/>
      </c>
      <c r="AD305">
        <f>IF('Recurring Schedule'!$C$34="","",IF('Recurring Schedule'!$F$34="","",IF(OR($A305&lt;'Recurring Schedule'!$F$34,$A305&gt;'Recurring Schedule'!$P$34),"",IF(IF('Recurring Schedule'!$N$34&gt;0,MOD($A305-'Recurring Schedule'!$F$34,'Recurring Schedule'!$N$34)=0,IF('Recurring Schedule'!$O$34&gt;0,AND(DAY($A305)=MIN(DAY('Recurring Schedule'!$F$34),DAY(EOMONTH($A305,0))),MOD((YEAR($A305)-YEAR('Recurring Schedule'!$F$34))*12+MONTH($A305)-MONTH('Recurring Schedule'!$F$34),'Recurring Schedule'!$O$34)=0),IF('Recurring Schedule'!$E$34="Weekdays",WEEKDAY($A305,2)&lt;=5,$A305='Recurring Schedule'!$F$34))),29,""))))</f>
        <v/>
      </c>
      <c r="AE305">
        <f>IF('Recurring Schedule'!$C$35="","",IF('Recurring Schedule'!$F$35="","",IF(OR($A305&lt;'Recurring Schedule'!$F$35,$A305&gt;'Recurring Schedule'!$P$35),"",IF(IF('Recurring Schedule'!$N$35&gt;0,MOD($A305-'Recurring Schedule'!$F$35,'Recurring Schedule'!$N$35)=0,IF('Recurring Schedule'!$O$35&gt;0,AND(DAY($A305)=MIN(DAY('Recurring Schedule'!$F$35),DAY(EOMONTH($A305,0))),MOD((YEAR($A305)-YEAR('Recurring Schedule'!$F$35))*12+MONTH($A305)-MONTH('Recurring Schedule'!$F$35),'Recurring Schedule'!$O$35)=0),IF('Recurring Schedule'!$E$35="Weekdays",WEEKDAY($A305,2)&lt;=5,$A305='Recurring Schedule'!$F$35))),30,""))))</f>
        <v/>
      </c>
      <c r="AF305">
        <f>IF('Recurring Schedule'!$C$36="","",IF('Recurring Schedule'!$F$36="","",IF(OR($A305&lt;'Recurring Schedule'!$F$36,$A305&gt;'Recurring Schedule'!$P$36),"",IF(IF('Recurring Schedule'!$N$36&gt;0,MOD($A305-'Recurring Schedule'!$F$36,'Recurring Schedule'!$N$36)=0,IF('Recurring Schedule'!$O$36&gt;0,AND(DAY($A305)=MIN(DAY('Recurring Schedule'!$F$36),DAY(EOMONTH($A305,0))),MOD((YEAR($A305)-YEAR('Recurring Schedule'!$F$36))*12+MONTH($A305)-MONTH('Recurring Schedule'!$F$36),'Recurring Schedule'!$O$36)=0),IF('Recurring Schedule'!$E$36="Weekdays",WEEKDAY($A305,2)&lt;=5,$A305='Recurring Schedule'!$F$36))),31,""))))</f>
        <v/>
      </c>
      <c r="AG305">
        <f>IF('Recurring Schedule'!$C$37="","",IF('Recurring Schedule'!$F$37="","",IF(OR($A305&lt;'Recurring Schedule'!$F$37,$A305&gt;'Recurring Schedule'!$P$37),"",IF(IF('Recurring Schedule'!$N$37&gt;0,MOD($A305-'Recurring Schedule'!$F$37,'Recurring Schedule'!$N$37)=0,IF('Recurring Schedule'!$O$37&gt;0,AND(DAY($A305)=MIN(DAY('Recurring Schedule'!$F$37),DAY(EOMONTH($A305,0))),MOD((YEAR($A305)-YEAR('Recurring Schedule'!$F$37))*12+MONTH($A305)-MONTH('Recurring Schedule'!$F$37),'Recurring Schedule'!$O$37)=0),IF('Recurring Schedule'!$E$37="Weekdays",WEEKDAY($A305,2)&lt;=5,$A305='Recurring Schedule'!$F$37))),32,""))))</f>
        <v/>
      </c>
      <c r="AH305">
        <f>IF('Recurring Schedule'!$C$38="","",IF('Recurring Schedule'!$F$38="","",IF(OR($A305&lt;'Recurring Schedule'!$F$38,$A305&gt;'Recurring Schedule'!$P$38),"",IF(IF('Recurring Schedule'!$N$38&gt;0,MOD($A305-'Recurring Schedule'!$F$38,'Recurring Schedule'!$N$38)=0,IF('Recurring Schedule'!$O$38&gt;0,AND(DAY($A305)=MIN(DAY('Recurring Schedule'!$F$38),DAY(EOMONTH($A305,0))),MOD((YEAR($A305)-YEAR('Recurring Schedule'!$F$38))*12+MONTH($A305)-MONTH('Recurring Schedule'!$F$38),'Recurring Schedule'!$O$38)=0),IF('Recurring Schedule'!$E$38="Weekdays",WEEKDAY($A305,2)&lt;=5,$A305='Recurring Schedule'!$F$38))),33,""))))</f>
        <v/>
      </c>
      <c r="AI305">
        <f>IF('Recurring Schedule'!$C$39="","",IF('Recurring Schedule'!$F$39="","",IF(OR($A305&lt;'Recurring Schedule'!$F$39,$A305&gt;'Recurring Schedule'!$P$39),"",IF(IF('Recurring Schedule'!$N$39&gt;0,MOD($A305-'Recurring Schedule'!$F$39,'Recurring Schedule'!$N$39)=0,IF('Recurring Schedule'!$O$39&gt;0,AND(DAY($A305)=MIN(DAY('Recurring Schedule'!$F$39),DAY(EOMONTH($A305,0))),MOD((YEAR($A305)-YEAR('Recurring Schedule'!$F$39))*12+MONTH($A305)-MONTH('Recurring Schedule'!$F$39),'Recurring Schedule'!$O$39)=0),IF('Recurring Schedule'!$E$39="Weekdays",WEEKDAY($A305,2)&lt;=5,$A305='Recurring Schedule'!$F$39))),34,""))))</f>
        <v/>
      </c>
      <c r="AJ305">
        <f>IF('Recurring Schedule'!$C$40="","",IF('Recurring Schedule'!$F$40="","",IF(OR($A305&lt;'Recurring Schedule'!$F$40,$A305&gt;'Recurring Schedule'!$P$40),"",IF(IF('Recurring Schedule'!$N$40&gt;0,MOD($A305-'Recurring Schedule'!$F$40,'Recurring Schedule'!$N$40)=0,IF('Recurring Schedule'!$O$40&gt;0,AND(DAY($A305)=MIN(DAY('Recurring Schedule'!$F$40),DAY(EOMONTH($A305,0))),MOD((YEAR($A305)-YEAR('Recurring Schedule'!$F$40))*12+MONTH($A305)-MONTH('Recurring Schedule'!$F$40),'Recurring Schedule'!$O$40)=0),IF('Recurring Schedule'!$E$40="Weekdays",WEEKDAY($A305,2)&lt;=5,$A305='Recurring Schedule'!$F$40))),35,""))))</f>
        <v/>
      </c>
      <c r="AK305">
        <f>IF('Recurring Schedule'!$C$41="","",IF('Recurring Schedule'!$F$41="","",IF(OR($A305&lt;'Recurring Schedule'!$F$41,$A305&gt;'Recurring Schedule'!$P$41),"",IF(IF('Recurring Schedule'!$N$41&gt;0,MOD($A305-'Recurring Schedule'!$F$41,'Recurring Schedule'!$N$41)=0,IF('Recurring Schedule'!$O$41&gt;0,AND(DAY($A305)=MIN(DAY('Recurring Schedule'!$F$41),DAY(EOMONTH($A305,0))),MOD((YEAR($A305)-YEAR('Recurring Schedule'!$F$41))*12+MONTH($A305)-MONTH('Recurring Schedule'!$F$41),'Recurring Schedule'!$O$41)=0),IF('Recurring Schedule'!$E$41="Weekdays",WEEKDAY($A305,2)&lt;=5,$A305='Recurring Schedule'!$F$41))),36,""))))</f>
        <v/>
      </c>
      <c r="AL305">
        <f>IF('Recurring Schedule'!$C$42="","",IF('Recurring Schedule'!$F$42="","",IF(OR($A305&lt;'Recurring Schedule'!$F$42,$A305&gt;'Recurring Schedule'!$P$42),"",IF(IF('Recurring Schedule'!$N$42&gt;0,MOD($A305-'Recurring Schedule'!$F$42,'Recurring Schedule'!$N$42)=0,IF('Recurring Schedule'!$O$42&gt;0,AND(DAY($A305)=MIN(DAY('Recurring Schedule'!$F$42),DAY(EOMONTH($A305,0))),MOD((YEAR($A305)-YEAR('Recurring Schedule'!$F$42))*12+MONTH($A305)-MONTH('Recurring Schedule'!$F$42),'Recurring Schedule'!$O$42)=0),IF('Recurring Schedule'!$E$42="Weekdays",WEEKDAY($A305,2)&lt;=5,$A305='Recurring Schedule'!$F$42))),37,""))))</f>
        <v/>
      </c>
      <c r="AM305">
        <f>IF('Recurring Schedule'!$C$43="","",IF('Recurring Schedule'!$F$43="","",IF(OR($A305&lt;'Recurring Schedule'!$F$43,$A305&gt;'Recurring Schedule'!$P$43),"",IF(IF('Recurring Schedule'!$N$43&gt;0,MOD($A305-'Recurring Schedule'!$F$43,'Recurring Schedule'!$N$43)=0,IF('Recurring Schedule'!$O$43&gt;0,AND(DAY($A305)=MIN(DAY('Recurring Schedule'!$F$43),DAY(EOMONTH($A305,0))),MOD((YEAR($A305)-YEAR('Recurring Schedule'!$F$43))*12+MONTH($A305)-MONTH('Recurring Schedule'!$F$43),'Recurring Schedule'!$O$43)=0),IF('Recurring Schedule'!$E$43="Weekdays",WEEKDAY($A305,2)&lt;=5,$A305='Recurring Schedule'!$F$43))),38,""))))</f>
        <v/>
      </c>
      <c r="AN305">
        <f>IF('Recurring Schedule'!$C$44="","",IF('Recurring Schedule'!$F$44="","",IF(OR($A305&lt;'Recurring Schedule'!$F$44,$A305&gt;'Recurring Schedule'!$P$44),"",IF(IF('Recurring Schedule'!$N$44&gt;0,MOD($A305-'Recurring Schedule'!$F$44,'Recurring Schedule'!$N$44)=0,IF('Recurring Schedule'!$O$44&gt;0,AND(DAY($A305)=MIN(DAY('Recurring Schedule'!$F$44),DAY(EOMONTH($A305,0))),MOD((YEAR($A305)-YEAR('Recurring Schedule'!$F$44))*12+MONTH($A305)-MONTH('Recurring Schedule'!$F$44),'Recurring Schedule'!$O$44)=0),IF('Recurring Schedule'!$E$44="Weekdays",WEEKDAY($A305,2)&lt;=5,$A305='Recurring Schedule'!$F$44))),39,""))))</f>
        <v/>
      </c>
      <c r="AO305">
        <f>IF('Recurring Schedule'!$C$45="","",IF('Recurring Schedule'!$F$45="","",IF(OR($A305&lt;'Recurring Schedule'!$F$45,$A305&gt;'Recurring Schedule'!$P$45),"",IF(IF('Recurring Schedule'!$N$45&gt;0,MOD($A305-'Recurring Schedule'!$F$45,'Recurring Schedule'!$N$45)=0,IF('Recurring Schedule'!$O$45&gt;0,AND(DAY($A305)=MIN(DAY('Recurring Schedule'!$F$45),DAY(EOMONTH($A305,0))),MOD((YEAR($A305)-YEAR('Recurring Schedule'!$F$45))*12+MONTH($A305)-MONTH('Recurring Schedule'!$F$45),'Recurring Schedule'!$O$45)=0),IF('Recurring Schedule'!$E$45="Weekdays",WEEKDAY($A305,2)&lt;=5,$A305='Recurring Schedule'!$F$45))),40,""))))</f>
        <v/>
      </c>
      <c r="AP305">
        <f>COUNT(B305:AO305)</f>
        <v/>
      </c>
      <c r="AQ305">
        <f>AQ304+AP304</f>
        <v/>
      </c>
      <c r="AS305" t="inlineStr">
        <is>
          <t>R</t>
        </is>
      </c>
      <c r="AT305" t="n">
        <v>309</v>
      </c>
      <c r="AU305">
        <f>'Recurring Log'!C309&amp;""</f>
        <v/>
      </c>
      <c r="AV305">
        <f>'Recurring Log'!D309&amp;""</f>
        <v/>
      </c>
      <c r="AW305">
        <f>IF('Recurring Log'!E309="","",'Recurring Log'!E309)</f>
        <v/>
      </c>
      <c r="AX305">
        <f>IF('Recurring Log'!G309="","",'Recurring Log'!G309)</f>
        <v/>
      </c>
      <c r="AY305">
        <f>IF('Recurring Log'!H309="","",'Recurring Log'!H309)</f>
        <v/>
      </c>
      <c r="AZ305">
        <f>IF(AU305="","",IF('Recurring Log'!J309="","Not Started",'Recurring Log'!J309))</f>
        <v/>
      </c>
      <c r="BA305">
        <f>'Recurring Log'!L309&amp;""</f>
        <v/>
      </c>
      <c r="BB305">
        <f>'Recurring Log'!M309&amp;""</f>
        <v/>
      </c>
      <c r="BC305">
        <f>'Recurring Log'!N309&amp;""</f>
        <v/>
      </c>
      <c r="BD305">
        <f>'Recurring Log'!O309&amp;""</f>
        <v/>
      </c>
      <c r="BE305">
        <f>IF('Recurring Log'!K309="","",'Recurring Log'!K309)</f>
        <v/>
      </c>
      <c r="BF305">
        <f>IFERROR(MATCH(BA305,Setup!$L$6:$L$9,0),5)</f>
        <v/>
      </c>
      <c r="BG305">
        <f>IF(OR(AZ305="Done",AZ305="Cancelled"),1,0)</f>
        <v/>
      </c>
      <c r="BH305">
        <f>IF(AND(AU305&lt;&gt;"",ISNUMBER(AW305)),1,0)</f>
        <v/>
      </c>
      <c r="BI305">
        <f>IF(BH305=0,0,IF(AND(AW305&gt;='Tasks Filter'!$F$3,AW305&lt;='Tasks Filter'!$F$4,OR('Tasks Filter'!$I$3="",ISNUMBER(SEARCH('Tasks Filter'!$I$3,AU305))),OR('Tasks Filter'!$I$4="",BF305=IFERROR(MATCH('Tasks Filter'!$I$4,Setup!$L$6:$L$9,0),0)),OR('Tasks Filter'!$I$5="Both",AND('Tasks Filter'!$I$5="Yes",BB305="✓"),AND('Tasks Filter'!$I$5="No",BB305&lt;&gt;"✓")),OR('Tasks Filter'!$L$3="",AV305='Tasks Filter'!$L$3),OR('Tasks Filter'!$L$4="",AZ305='Tasks Filter'!$L$4),OR('Tasks Filter'!$L$5="",BC305='Tasks Filter'!$L$5),OR('Tasks Filter'!$O$3="",BD305='Tasks Filter'!$O$3),OR('Tasks Filter'!$O$4="Yes",BG305=0)),1,0))</f>
        <v/>
      </c>
      <c r="BJ305">
        <f>IF(BH305=0,"",IF('Tasks Filter'!$F$6="Descending",-1,1)*CHOOSE(MATCH('Tasks Filter'!$F$5,Lists!$G$2:$G$6,0),AW305,BF305,IFERROR(MATCH(AV305,Setup!$F$6:$F$15,0),99),IFERROR(MATCH(BC305,Setup!$H$6:$H$15,0),99),IFERROR(MATCH(AZ305,Setup!$J$6:$J$11,0),99))*1E+9+(AW305-40000)*10000+304)</f>
        <v/>
      </c>
      <c r="BK305">
        <f>IF(BI305=1,BJ305,"")</f>
        <v/>
      </c>
      <c r="BL305">
        <f>IF(AND(BH305=1,BG305=0,N(AW305)&lt;Setup!$D$7),(AW305-40000)*10000+304,"")</f>
        <v/>
      </c>
      <c r="BM305">
        <f>IF(AND(BH305=1,AZ305&lt;&gt;"Cancelled",N(AW305)&gt;=Dashboard!$AB$3,N(AW305)&lt;=Dashboard!$AB$3+6),(AW305-40000)*100000+BF305*10000+304,"")</f>
        <v/>
      </c>
      <c r="BN305">
        <f>IF(AND(BH305=1,AZ305&lt;&gt;"Cancelled"),BF305*10000+304,"")</f>
        <v/>
      </c>
    </row>
    <row r="306">
      <c r="A306">
        <f>Setup!$D$5+304</f>
        <v/>
      </c>
      <c r="B306">
        <f>IF('Recurring Schedule'!$C$6="","",IF('Recurring Schedule'!$F$6="","",IF(OR($A306&lt;'Recurring Schedule'!$F$6,$A306&gt;'Recurring Schedule'!$P$6),"",IF(IF('Recurring Schedule'!$N$6&gt;0,MOD($A306-'Recurring Schedule'!$F$6,'Recurring Schedule'!$N$6)=0,IF('Recurring Schedule'!$O$6&gt;0,AND(DAY($A306)=MIN(DAY('Recurring Schedule'!$F$6),DAY(EOMONTH($A306,0))),MOD((YEAR($A306)-YEAR('Recurring Schedule'!$F$6))*12+MONTH($A306)-MONTH('Recurring Schedule'!$F$6),'Recurring Schedule'!$O$6)=0),IF('Recurring Schedule'!$E$6="Weekdays",WEEKDAY($A306,2)&lt;=5,$A306='Recurring Schedule'!$F$6))),1,""))))</f>
        <v/>
      </c>
      <c r="C306">
        <f>IF('Recurring Schedule'!$C$7="","",IF('Recurring Schedule'!$F$7="","",IF(OR($A306&lt;'Recurring Schedule'!$F$7,$A306&gt;'Recurring Schedule'!$P$7),"",IF(IF('Recurring Schedule'!$N$7&gt;0,MOD($A306-'Recurring Schedule'!$F$7,'Recurring Schedule'!$N$7)=0,IF('Recurring Schedule'!$O$7&gt;0,AND(DAY($A306)=MIN(DAY('Recurring Schedule'!$F$7),DAY(EOMONTH($A306,0))),MOD((YEAR($A306)-YEAR('Recurring Schedule'!$F$7))*12+MONTH($A306)-MONTH('Recurring Schedule'!$F$7),'Recurring Schedule'!$O$7)=0),IF('Recurring Schedule'!$E$7="Weekdays",WEEKDAY($A306,2)&lt;=5,$A306='Recurring Schedule'!$F$7))),2,""))))</f>
        <v/>
      </c>
      <c r="D306">
        <f>IF('Recurring Schedule'!$C$8="","",IF('Recurring Schedule'!$F$8="","",IF(OR($A306&lt;'Recurring Schedule'!$F$8,$A306&gt;'Recurring Schedule'!$P$8),"",IF(IF('Recurring Schedule'!$N$8&gt;0,MOD($A306-'Recurring Schedule'!$F$8,'Recurring Schedule'!$N$8)=0,IF('Recurring Schedule'!$O$8&gt;0,AND(DAY($A306)=MIN(DAY('Recurring Schedule'!$F$8),DAY(EOMONTH($A306,0))),MOD((YEAR($A306)-YEAR('Recurring Schedule'!$F$8))*12+MONTH($A306)-MONTH('Recurring Schedule'!$F$8),'Recurring Schedule'!$O$8)=0),IF('Recurring Schedule'!$E$8="Weekdays",WEEKDAY($A306,2)&lt;=5,$A306='Recurring Schedule'!$F$8))),3,""))))</f>
        <v/>
      </c>
      <c r="E306">
        <f>IF('Recurring Schedule'!$C$9="","",IF('Recurring Schedule'!$F$9="","",IF(OR($A306&lt;'Recurring Schedule'!$F$9,$A306&gt;'Recurring Schedule'!$P$9),"",IF(IF('Recurring Schedule'!$N$9&gt;0,MOD($A306-'Recurring Schedule'!$F$9,'Recurring Schedule'!$N$9)=0,IF('Recurring Schedule'!$O$9&gt;0,AND(DAY($A306)=MIN(DAY('Recurring Schedule'!$F$9),DAY(EOMONTH($A306,0))),MOD((YEAR($A306)-YEAR('Recurring Schedule'!$F$9))*12+MONTH($A306)-MONTH('Recurring Schedule'!$F$9),'Recurring Schedule'!$O$9)=0),IF('Recurring Schedule'!$E$9="Weekdays",WEEKDAY($A306,2)&lt;=5,$A306='Recurring Schedule'!$F$9))),4,""))))</f>
        <v/>
      </c>
      <c r="F306">
        <f>IF('Recurring Schedule'!$C$10="","",IF('Recurring Schedule'!$F$10="","",IF(OR($A306&lt;'Recurring Schedule'!$F$10,$A306&gt;'Recurring Schedule'!$P$10),"",IF(IF('Recurring Schedule'!$N$10&gt;0,MOD($A306-'Recurring Schedule'!$F$10,'Recurring Schedule'!$N$10)=0,IF('Recurring Schedule'!$O$10&gt;0,AND(DAY($A306)=MIN(DAY('Recurring Schedule'!$F$10),DAY(EOMONTH($A306,0))),MOD((YEAR($A306)-YEAR('Recurring Schedule'!$F$10))*12+MONTH($A306)-MONTH('Recurring Schedule'!$F$10),'Recurring Schedule'!$O$10)=0),IF('Recurring Schedule'!$E$10="Weekdays",WEEKDAY($A306,2)&lt;=5,$A306='Recurring Schedule'!$F$10))),5,""))))</f>
        <v/>
      </c>
      <c r="G306">
        <f>IF('Recurring Schedule'!$C$11="","",IF('Recurring Schedule'!$F$11="","",IF(OR($A306&lt;'Recurring Schedule'!$F$11,$A306&gt;'Recurring Schedule'!$P$11),"",IF(IF('Recurring Schedule'!$N$11&gt;0,MOD($A306-'Recurring Schedule'!$F$11,'Recurring Schedule'!$N$11)=0,IF('Recurring Schedule'!$O$11&gt;0,AND(DAY($A306)=MIN(DAY('Recurring Schedule'!$F$11),DAY(EOMONTH($A306,0))),MOD((YEAR($A306)-YEAR('Recurring Schedule'!$F$11))*12+MONTH($A306)-MONTH('Recurring Schedule'!$F$11),'Recurring Schedule'!$O$11)=0),IF('Recurring Schedule'!$E$11="Weekdays",WEEKDAY($A306,2)&lt;=5,$A306='Recurring Schedule'!$F$11))),6,""))))</f>
        <v/>
      </c>
      <c r="H306">
        <f>IF('Recurring Schedule'!$C$12="","",IF('Recurring Schedule'!$F$12="","",IF(OR($A306&lt;'Recurring Schedule'!$F$12,$A306&gt;'Recurring Schedule'!$P$12),"",IF(IF('Recurring Schedule'!$N$12&gt;0,MOD($A306-'Recurring Schedule'!$F$12,'Recurring Schedule'!$N$12)=0,IF('Recurring Schedule'!$O$12&gt;0,AND(DAY($A306)=MIN(DAY('Recurring Schedule'!$F$12),DAY(EOMONTH($A306,0))),MOD((YEAR($A306)-YEAR('Recurring Schedule'!$F$12))*12+MONTH($A306)-MONTH('Recurring Schedule'!$F$12),'Recurring Schedule'!$O$12)=0),IF('Recurring Schedule'!$E$12="Weekdays",WEEKDAY($A306,2)&lt;=5,$A306='Recurring Schedule'!$F$12))),7,""))))</f>
        <v/>
      </c>
      <c r="I306">
        <f>IF('Recurring Schedule'!$C$13="","",IF('Recurring Schedule'!$F$13="","",IF(OR($A306&lt;'Recurring Schedule'!$F$13,$A306&gt;'Recurring Schedule'!$P$13),"",IF(IF('Recurring Schedule'!$N$13&gt;0,MOD($A306-'Recurring Schedule'!$F$13,'Recurring Schedule'!$N$13)=0,IF('Recurring Schedule'!$O$13&gt;0,AND(DAY($A306)=MIN(DAY('Recurring Schedule'!$F$13),DAY(EOMONTH($A306,0))),MOD((YEAR($A306)-YEAR('Recurring Schedule'!$F$13))*12+MONTH($A306)-MONTH('Recurring Schedule'!$F$13),'Recurring Schedule'!$O$13)=0),IF('Recurring Schedule'!$E$13="Weekdays",WEEKDAY($A306,2)&lt;=5,$A306='Recurring Schedule'!$F$13))),8,""))))</f>
        <v/>
      </c>
      <c r="J306">
        <f>IF('Recurring Schedule'!$C$14="","",IF('Recurring Schedule'!$F$14="","",IF(OR($A306&lt;'Recurring Schedule'!$F$14,$A306&gt;'Recurring Schedule'!$P$14),"",IF(IF('Recurring Schedule'!$N$14&gt;0,MOD($A306-'Recurring Schedule'!$F$14,'Recurring Schedule'!$N$14)=0,IF('Recurring Schedule'!$O$14&gt;0,AND(DAY($A306)=MIN(DAY('Recurring Schedule'!$F$14),DAY(EOMONTH($A306,0))),MOD((YEAR($A306)-YEAR('Recurring Schedule'!$F$14))*12+MONTH($A306)-MONTH('Recurring Schedule'!$F$14),'Recurring Schedule'!$O$14)=0),IF('Recurring Schedule'!$E$14="Weekdays",WEEKDAY($A306,2)&lt;=5,$A306='Recurring Schedule'!$F$14))),9,""))))</f>
        <v/>
      </c>
      <c r="K306">
        <f>IF('Recurring Schedule'!$C$15="","",IF('Recurring Schedule'!$F$15="","",IF(OR($A306&lt;'Recurring Schedule'!$F$15,$A306&gt;'Recurring Schedule'!$P$15),"",IF(IF('Recurring Schedule'!$N$15&gt;0,MOD($A306-'Recurring Schedule'!$F$15,'Recurring Schedule'!$N$15)=0,IF('Recurring Schedule'!$O$15&gt;0,AND(DAY($A306)=MIN(DAY('Recurring Schedule'!$F$15),DAY(EOMONTH($A306,0))),MOD((YEAR($A306)-YEAR('Recurring Schedule'!$F$15))*12+MONTH($A306)-MONTH('Recurring Schedule'!$F$15),'Recurring Schedule'!$O$15)=0),IF('Recurring Schedule'!$E$15="Weekdays",WEEKDAY($A306,2)&lt;=5,$A306='Recurring Schedule'!$F$15))),10,""))))</f>
        <v/>
      </c>
      <c r="L306">
        <f>IF('Recurring Schedule'!$C$16="","",IF('Recurring Schedule'!$F$16="","",IF(OR($A306&lt;'Recurring Schedule'!$F$16,$A306&gt;'Recurring Schedule'!$P$16),"",IF(IF('Recurring Schedule'!$N$16&gt;0,MOD($A306-'Recurring Schedule'!$F$16,'Recurring Schedule'!$N$16)=0,IF('Recurring Schedule'!$O$16&gt;0,AND(DAY($A306)=MIN(DAY('Recurring Schedule'!$F$16),DAY(EOMONTH($A306,0))),MOD((YEAR($A306)-YEAR('Recurring Schedule'!$F$16))*12+MONTH($A306)-MONTH('Recurring Schedule'!$F$16),'Recurring Schedule'!$O$16)=0),IF('Recurring Schedule'!$E$16="Weekdays",WEEKDAY($A306,2)&lt;=5,$A306='Recurring Schedule'!$F$16))),11,""))))</f>
        <v/>
      </c>
      <c r="M306">
        <f>IF('Recurring Schedule'!$C$17="","",IF('Recurring Schedule'!$F$17="","",IF(OR($A306&lt;'Recurring Schedule'!$F$17,$A306&gt;'Recurring Schedule'!$P$17),"",IF(IF('Recurring Schedule'!$N$17&gt;0,MOD($A306-'Recurring Schedule'!$F$17,'Recurring Schedule'!$N$17)=0,IF('Recurring Schedule'!$O$17&gt;0,AND(DAY($A306)=MIN(DAY('Recurring Schedule'!$F$17),DAY(EOMONTH($A306,0))),MOD((YEAR($A306)-YEAR('Recurring Schedule'!$F$17))*12+MONTH($A306)-MONTH('Recurring Schedule'!$F$17),'Recurring Schedule'!$O$17)=0),IF('Recurring Schedule'!$E$17="Weekdays",WEEKDAY($A306,2)&lt;=5,$A306='Recurring Schedule'!$F$17))),12,""))))</f>
        <v/>
      </c>
      <c r="N306">
        <f>IF('Recurring Schedule'!$C$18="","",IF('Recurring Schedule'!$F$18="","",IF(OR($A306&lt;'Recurring Schedule'!$F$18,$A306&gt;'Recurring Schedule'!$P$18),"",IF(IF('Recurring Schedule'!$N$18&gt;0,MOD($A306-'Recurring Schedule'!$F$18,'Recurring Schedule'!$N$18)=0,IF('Recurring Schedule'!$O$18&gt;0,AND(DAY($A306)=MIN(DAY('Recurring Schedule'!$F$18),DAY(EOMONTH($A306,0))),MOD((YEAR($A306)-YEAR('Recurring Schedule'!$F$18))*12+MONTH($A306)-MONTH('Recurring Schedule'!$F$18),'Recurring Schedule'!$O$18)=0),IF('Recurring Schedule'!$E$18="Weekdays",WEEKDAY($A306,2)&lt;=5,$A306='Recurring Schedule'!$F$18))),13,""))))</f>
        <v/>
      </c>
      <c r="O306">
        <f>IF('Recurring Schedule'!$C$19="","",IF('Recurring Schedule'!$F$19="","",IF(OR($A306&lt;'Recurring Schedule'!$F$19,$A306&gt;'Recurring Schedule'!$P$19),"",IF(IF('Recurring Schedule'!$N$19&gt;0,MOD($A306-'Recurring Schedule'!$F$19,'Recurring Schedule'!$N$19)=0,IF('Recurring Schedule'!$O$19&gt;0,AND(DAY($A306)=MIN(DAY('Recurring Schedule'!$F$19),DAY(EOMONTH($A306,0))),MOD((YEAR($A306)-YEAR('Recurring Schedule'!$F$19))*12+MONTH($A306)-MONTH('Recurring Schedule'!$F$19),'Recurring Schedule'!$O$19)=0),IF('Recurring Schedule'!$E$19="Weekdays",WEEKDAY($A306,2)&lt;=5,$A306='Recurring Schedule'!$F$19))),14,""))))</f>
        <v/>
      </c>
      <c r="P306">
        <f>IF('Recurring Schedule'!$C$20="","",IF('Recurring Schedule'!$F$20="","",IF(OR($A306&lt;'Recurring Schedule'!$F$20,$A306&gt;'Recurring Schedule'!$P$20),"",IF(IF('Recurring Schedule'!$N$20&gt;0,MOD($A306-'Recurring Schedule'!$F$20,'Recurring Schedule'!$N$20)=0,IF('Recurring Schedule'!$O$20&gt;0,AND(DAY($A306)=MIN(DAY('Recurring Schedule'!$F$20),DAY(EOMONTH($A306,0))),MOD((YEAR($A306)-YEAR('Recurring Schedule'!$F$20))*12+MONTH($A306)-MONTH('Recurring Schedule'!$F$20),'Recurring Schedule'!$O$20)=0),IF('Recurring Schedule'!$E$20="Weekdays",WEEKDAY($A306,2)&lt;=5,$A306='Recurring Schedule'!$F$20))),15,""))))</f>
        <v/>
      </c>
      <c r="Q306">
        <f>IF('Recurring Schedule'!$C$21="","",IF('Recurring Schedule'!$F$21="","",IF(OR($A306&lt;'Recurring Schedule'!$F$21,$A306&gt;'Recurring Schedule'!$P$21),"",IF(IF('Recurring Schedule'!$N$21&gt;0,MOD($A306-'Recurring Schedule'!$F$21,'Recurring Schedule'!$N$21)=0,IF('Recurring Schedule'!$O$21&gt;0,AND(DAY($A306)=MIN(DAY('Recurring Schedule'!$F$21),DAY(EOMONTH($A306,0))),MOD((YEAR($A306)-YEAR('Recurring Schedule'!$F$21))*12+MONTH($A306)-MONTH('Recurring Schedule'!$F$21),'Recurring Schedule'!$O$21)=0),IF('Recurring Schedule'!$E$21="Weekdays",WEEKDAY($A306,2)&lt;=5,$A306='Recurring Schedule'!$F$21))),16,""))))</f>
        <v/>
      </c>
      <c r="R306">
        <f>IF('Recurring Schedule'!$C$22="","",IF('Recurring Schedule'!$F$22="","",IF(OR($A306&lt;'Recurring Schedule'!$F$22,$A306&gt;'Recurring Schedule'!$P$22),"",IF(IF('Recurring Schedule'!$N$22&gt;0,MOD($A306-'Recurring Schedule'!$F$22,'Recurring Schedule'!$N$22)=0,IF('Recurring Schedule'!$O$22&gt;0,AND(DAY($A306)=MIN(DAY('Recurring Schedule'!$F$22),DAY(EOMONTH($A306,0))),MOD((YEAR($A306)-YEAR('Recurring Schedule'!$F$22))*12+MONTH($A306)-MONTH('Recurring Schedule'!$F$22),'Recurring Schedule'!$O$22)=0),IF('Recurring Schedule'!$E$22="Weekdays",WEEKDAY($A306,2)&lt;=5,$A306='Recurring Schedule'!$F$22))),17,""))))</f>
        <v/>
      </c>
      <c r="S306">
        <f>IF('Recurring Schedule'!$C$23="","",IF('Recurring Schedule'!$F$23="","",IF(OR($A306&lt;'Recurring Schedule'!$F$23,$A306&gt;'Recurring Schedule'!$P$23),"",IF(IF('Recurring Schedule'!$N$23&gt;0,MOD($A306-'Recurring Schedule'!$F$23,'Recurring Schedule'!$N$23)=0,IF('Recurring Schedule'!$O$23&gt;0,AND(DAY($A306)=MIN(DAY('Recurring Schedule'!$F$23),DAY(EOMONTH($A306,0))),MOD((YEAR($A306)-YEAR('Recurring Schedule'!$F$23))*12+MONTH($A306)-MONTH('Recurring Schedule'!$F$23),'Recurring Schedule'!$O$23)=0),IF('Recurring Schedule'!$E$23="Weekdays",WEEKDAY($A306,2)&lt;=5,$A306='Recurring Schedule'!$F$23))),18,""))))</f>
        <v/>
      </c>
      <c r="T306">
        <f>IF('Recurring Schedule'!$C$24="","",IF('Recurring Schedule'!$F$24="","",IF(OR($A306&lt;'Recurring Schedule'!$F$24,$A306&gt;'Recurring Schedule'!$P$24),"",IF(IF('Recurring Schedule'!$N$24&gt;0,MOD($A306-'Recurring Schedule'!$F$24,'Recurring Schedule'!$N$24)=0,IF('Recurring Schedule'!$O$24&gt;0,AND(DAY($A306)=MIN(DAY('Recurring Schedule'!$F$24),DAY(EOMONTH($A306,0))),MOD((YEAR($A306)-YEAR('Recurring Schedule'!$F$24))*12+MONTH($A306)-MONTH('Recurring Schedule'!$F$24),'Recurring Schedule'!$O$24)=0),IF('Recurring Schedule'!$E$24="Weekdays",WEEKDAY($A306,2)&lt;=5,$A306='Recurring Schedule'!$F$24))),19,""))))</f>
        <v/>
      </c>
      <c r="U306">
        <f>IF('Recurring Schedule'!$C$25="","",IF('Recurring Schedule'!$F$25="","",IF(OR($A306&lt;'Recurring Schedule'!$F$25,$A306&gt;'Recurring Schedule'!$P$25),"",IF(IF('Recurring Schedule'!$N$25&gt;0,MOD($A306-'Recurring Schedule'!$F$25,'Recurring Schedule'!$N$25)=0,IF('Recurring Schedule'!$O$25&gt;0,AND(DAY($A306)=MIN(DAY('Recurring Schedule'!$F$25),DAY(EOMONTH($A306,0))),MOD((YEAR($A306)-YEAR('Recurring Schedule'!$F$25))*12+MONTH($A306)-MONTH('Recurring Schedule'!$F$25),'Recurring Schedule'!$O$25)=0),IF('Recurring Schedule'!$E$25="Weekdays",WEEKDAY($A306,2)&lt;=5,$A306='Recurring Schedule'!$F$25))),20,""))))</f>
        <v/>
      </c>
      <c r="V306">
        <f>IF('Recurring Schedule'!$C$26="","",IF('Recurring Schedule'!$F$26="","",IF(OR($A306&lt;'Recurring Schedule'!$F$26,$A306&gt;'Recurring Schedule'!$P$26),"",IF(IF('Recurring Schedule'!$N$26&gt;0,MOD($A306-'Recurring Schedule'!$F$26,'Recurring Schedule'!$N$26)=0,IF('Recurring Schedule'!$O$26&gt;0,AND(DAY($A306)=MIN(DAY('Recurring Schedule'!$F$26),DAY(EOMONTH($A306,0))),MOD((YEAR($A306)-YEAR('Recurring Schedule'!$F$26))*12+MONTH($A306)-MONTH('Recurring Schedule'!$F$26),'Recurring Schedule'!$O$26)=0),IF('Recurring Schedule'!$E$26="Weekdays",WEEKDAY($A306,2)&lt;=5,$A306='Recurring Schedule'!$F$26))),21,""))))</f>
        <v/>
      </c>
      <c r="W306">
        <f>IF('Recurring Schedule'!$C$27="","",IF('Recurring Schedule'!$F$27="","",IF(OR($A306&lt;'Recurring Schedule'!$F$27,$A306&gt;'Recurring Schedule'!$P$27),"",IF(IF('Recurring Schedule'!$N$27&gt;0,MOD($A306-'Recurring Schedule'!$F$27,'Recurring Schedule'!$N$27)=0,IF('Recurring Schedule'!$O$27&gt;0,AND(DAY($A306)=MIN(DAY('Recurring Schedule'!$F$27),DAY(EOMONTH($A306,0))),MOD((YEAR($A306)-YEAR('Recurring Schedule'!$F$27))*12+MONTH($A306)-MONTH('Recurring Schedule'!$F$27),'Recurring Schedule'!$O$27)=0),IF('Recurring Schedule'!$E$27="Weekdays",WEEKDAY($A306,2)&lt;=5,$A306='Recurring Schedule'!$F$27))),22,""))))</f>
        <v/>
      </c>
      <c r="X306">
        <f>IF('Recurring Schedule'!$C$28="","",IF('Recurring Schedule'!$F$28="","",IF(OR($A306&lt;'Recurring Schedule'!$F$28,$A306&gt;'Recurring Schedule'!$P$28),"",IF(IF('Recurring Schedule'!$N$28&gt;0,MOD($A306-'Recurring Schedule'!$F$28,'Recurring Schedule'!$N$28)=0,IF('Recurring Schedule'!$O$28&gt;0,AND(DAY($A306)=MIN(DAY('Recurring Schedule'!$F$28),DAY(EOMONTH($A306,0))),MOD((YEAR($A306)-YEAR('Recurring Schedule'!$F$28))*12+MONTH($A306)-MONTH('Recurring Schedule'!$F$28),'Recurring Schedule'!$O$28)=0),IF('Recurring Schedule'!$E$28="Weekdays",WEEKDAY($A306,2)&lt;=5,$A306='Recurring Schedule'!$F$28))),23,""))))</f>
        <v/>
      </c>
      <c r="Y306">
        <f>IF('Recurring Schedule'!$C$29="","",IF('Recurring Schedule'!$F$29="","",IF(OR($A306&lt;'Recurring Schedule'!$F$29,$A306&gt;'Recurring Schedule'!$P$29),"",IF(IF('Recurring Schedule'!$N$29&gt;0,MOD($A306-'Recurring Schedule'!$F$29,'Recurring Schedule'!$N$29)=0,IF('Recurring Schedule'!$O$29&gt;0,AND(DAY($A306)=MIN(DAY('Recurring Schedule'!$F$29),DAY(EOMONTH($A306,0))),MOD((YEAR($A306)-YEAR('Recurring Schedule'!$F$29))*12+MONTH($A306)-MONTH('Recurring Schedule'!$F$29),'Recurring Schedule'!$O$29)=0),IF('Recurring Schedule'!$E$29="Weekdays",WEEKDAY($A306,2)&lt;=5,$A306='Recurring Schedule'!$F$29))),24,""))))</f>
        <v/>
      </c>
      <c r="Z306">
        <f>IF('Recurring Schedule'!$C$30="","",IF('Recurring Schedule'!$F$30="","",IF(OR($A306&lt;'Recurring Schedule'!$F$30,$A306&gt;'Recurring Schedule'!$P$30),"",IF(IF('Recurring Schedule'!$N$30&gt;0,MOD($A306-'Recurring Schedule'!$F$30,'Recurring Schedule'!$N$30)=0,IF('Recurring Schedule'!$O$30&gt;0,AND(DAY($A306)=MIN(DAY('Recurring Schedule'!$F$30),DAY(EOMONTH($A306,0))),MOD((YEAR($A306)-YEAR('Recurring Schedule'!$F$30))*12+MONTH($A306)-MONTH('Recurring Schedule'!$F$30),'Recurring Schedule'!$O$30)=0),IF('Recurring Schedule'!$E$30="Weekdays",WEEKDAY($A306,2)&lt;=5,$A306='Recurring Schedule'!$F$30))),25,""))))</f>
        <v/>
      </c>
      <c r="AA306">
        <f>IF('Recurring Schedule'!$C$31="","",IF('Recurring Schedule'!$F$31="","",IF(OR($A306&lt;'Recurring Schedule'!$F$31,$A306&gt;'Recurring Schedule'!$P$31),"",IF(IF('Recurring Schedule'!$N$31&gt;0,MOD($A306-'Recurring Schedule'!$F$31,'Recurring Schedule'!$N$31)=0,IF('Recurring Schedule'!$O$31&gt;0,AND(DAY($A306)=MIN(DAY('Recurring Schedule'!$F$31),DAY(EOMONTH($A306,0))),MOD((YEAR($A306)-YEAR('Recurring Schedule'!$F$31))*12+MONTH($A306)-MONTH('Recurring Schedule'!$F$31),'Recurring Schedule'!$O$31)=0),IF('Recurring Schedule'!$E$31="Weekdays",WEEKDAY($A306,2)&lt;=5,$A306='Recurring Schedule'!$F$31))),26,""))))</f>
        <v/>
      </c>
      <c r="AB306">
        <f>IF('Recurring Schedule'!$C$32="","",IF('Recurring Schedule'!$F$32="","",IF(OR($A306&lt;'Recurring Schedule'!$F$32,$A306&gt;'Recurring Schedule'!$P$32),"",IF(IF('Recurring Schedule'!$N$32&gt;0,MOD($A306-'Recurring Schedule'!$F$32,'Recurring Schedule'!$N$32)=0,IF('Recurring Schedule'!$O$32&gt;0,AND(DAY($A306)=MIN(DAY('Recurring Schedule'!$F$32),DAY(EOMONTH($A306,0))),MOD((YEAR($A306)-YEAR('Recurring Schedule'!$F$32))*12+MONTH($A306)-MONTH('Recurring Schedule'!$F$32),'Recurring Schedule'!$O$32)=0),IF('Recurring Schedule'!$E$32="Weekdays",WEEKDAY($A306,2)&lt;=5,$A306='Recurring Schedule'!$F$32))),27,""))))</f>
        <v/>
      </c>
      <c r="AC306">
        <f>IF('Recurring Schedule'!$C$33="","",IF('Recurring Schedule'!$F$33="","",IF(OR($A306&lt;'Recurring Schedule'!$F$33,$A306&gt;'Recurring Schedule'!$P$33),"",IF(IF('Recurring Schedule'!$N$33&gt;0,MOD($A306-'Recurring Schedule'!$F$33,'Recurring Schedule'!$N$33)=0,IF('Recurring Schedule'!$O$33&gt;0,AND(DAY($A306)=MIN(DAY('Recurring Schedule'!$F$33),DAY(EOMONTH($A306,0))),MOD((YEAR($A306)-YEAR('Recurring Schedule'!$F$33))*12+MONTH($A306)-MONTH('Recurring Schedule'!$F$33),'Recurring Schedule'!$O$33)=0),IF('Recurring Schedule'!$E$33="Weekdays",WEEKDAY($A306,2)&lt;=5,$A306='Recurring Schedule'!$F$33))),28,""))))</f>
        <v/>
      </c>
      <c r="AD306">
        <f>IF('Recurring Schedule'!$C$34="","",IF('Recurring Schedule'!$F$34="","",IF(OR($A306&lt;'Recurring Schedule'!$F$34,$A306&gt;'Recurring Schedule'!$P$34),"",IF(IF('Recurring Schedule'!$N$34&gt;0,MOD($A306-'Recurring Schedule'!$F$34,'Recurring Schedule'!$N$34)=0,IF('Recurring Schedule'!$O$34&gt;0,AND(DAY($A306)=MIN(DAY('Recurring Schedule'!$F$34),DAY(EOMONTH($A306,0))),MOD((YEAR($A306)-YEAR('Recurring Schedule'!$F$34))*12+MONTH($A306)-MONTH('Recurring Schedule'!$F$34),'Recurring Schedule'!$O$34)=0),IF('Recurring Schedule'!$E$34="Weekdays",WEEKDAY($A306,2)&lt;=5,$A306='Recurring Schedule'!$F$34))),29,""))))</f>
        <v/>
      </c>
      <c r="AE306">
        <f>IF('Recurring Schedule'!$C$35="","",IF('Recurring Schedule'!$F$35="","",IF(OR($A306&lt;'Recurring Schedule'!$F$35,$A306&gt;'Recurring Schedule'!$P$35),"",IF(IF('Recurring Schedule'!$N$35&gt;0,MOD($A306-'Recurring Schedule'!$F$35,'Recurring Schedule'!$N$35)=0,IF('Recurring Schedule'!$O$35&gt;0,AND(DAY($A306)=MIN(DAY('Recurring Schedule'!$F$35),DAY(EOMONTH($A306,0))),MOD((YEAR($A306)-YEAR('Recurring Schedule'!$F$35))*12+MONTH($A306)-MONTH('Recurring Schedule'!$F$35),'Recurring Schedule'!$O$35)=0),IF('Recurring Schedule'!$E$35="Weekdays",WEEKDAY($A306,2)&lt;=5,$A306='Recurring Schedule'!$F$35))),30,""))))</f>
        <v/>
      </c>
      <c r="AF306">
        <f>IF('Recurring Schedule'!$C$36="","",IF('Recurring Schedule'!$F$36="","",IF(OR($A306&lt;'Recurring Schedule'!$F$36,$A306&gt;'Recurring Schedule'!$P$36),"",IF(IF('Recurring Schedule'!$N$36&gt;0,MOD($A306-'Recurring Schedule'!$F$36,'Recurring Schedule'!$N$36)=0,IF('Recurring Schedule'!$O$36&gt;0,AND(DAY($A306)=MIN(DAY('Recurring Schedule'!$F$36),DAY(EOMONTH($A306,0))),MOD((YEAR($A306)-YEAR('Recurring Schedule'!$F$36))*12+MONTH($A306)-MONTH('Recurring Schedule'!$F$36),'Recurring Schedule'!$O$36)=0),IF('Recurring Schedule'!$E$36="Weekdays",WEEKDAY($A306,2)&lt;=5,$A306='Recurring Schedule'!$F$36))),31,""))))</f>
        <v/>
      </c>
      <c r="AG306">
        <f>IF('Recurring Schedule'!$C$37="","",IF('Recurring Schedule'!$F$37="","",IF(OR($A306&lt;'Recurring Schedule'!$F$37,$A306&gt;'Recurring Schedule'!$P$37),"",IF(IF('Recurring Schedule'!$N$37&gt;0,MOD($A306-'Recurring Schedule'!$F$37,'Recurring Schedule'!$N$37)=0,IF('Recurring Schedule'!$O$37&gt;0,AND(DAY($A306)=MIN(DAY('Recurring Schedule'!$F$37),DAY(EOMONTH($A306,0))),MOD((YEAR($A306)-YEAR('Recurring Schedule'!$F$37))*12+MONTH($A306)-MONTH('Recurring Schedule'!$F$37),'Recurring Schedule'!$O$37)=0),IF('Recurring Schedule'!$E$37="Weekdays",WEEKDAY($A306,2)&lt;=5,$A306='Recurring Schedule'!$F$37))),32,""))))</f>
        <v/>
      </c>
      <c r="AH306">
        <f>IF('Recurring Schedule'!$C$38="","",IF('Recurring Schedule'!$F$38="","",IF(OR($A306&lt;'Recurring Schedule'!$F$38,$A306&gt;'Recurring Schedule'!$P$38),"",IF(IF('Recurring Schedule'!$N$38&gt;0,MOD($A306-'Recurring Schedule'!$F$38,'Recurring Schedule'!$N$38)=0,IF('Recurring Schedule'!$O$38&gt;0,AND(DAY($A306)=MIN(DAY('Recurring Schedule'!$F$38),DAY(EOMONTH($A306,0))),MOD((YEAR($A306)-YEAR('Recurring Schedule'!$F$38))*12+MONTH($A306)-MONTH('Recurring Schedule'!$F$38),'Recurring Schedule'!$O$38)=0),IF('Recurring Schedule'!$E$38="Weekdays",WEEKDAY($A306,2)&lt;=5,$A306='Recurring Schedule'!$F$38))),33,""))))</f>
        <v/>
      </c>
      <c r="AI306">
        <f>IF('Recurring Schedule'!$C$39="","",IF('Recurring Schedule'!$F$39="","",IF(OR($A306&lt;'Recurring Schedule'!$F$39,$A306&gt;'Recurring Schedule'!$P$39),"",IF(IF('Recurring Schedule'!$N$39&gt;0,MOD($A306-'Recurring Schedule'!$F$39,'Recurring Schedule'!$N$39)=0,IF('Recurring Schedule'!$O$39&gt;0,AND(DAY($A306)=MIN(DAY('Recurring Schedule'!$F$39),DAY(EOMONTH($A306,0))),MOD((YEAR($A306)-YEAR('Recurring Schedule'!$F$39))*12+MONTH($A306)-MONTH('Recurring Schedule'!$F$39),'Recurring Schedule'!$O$39)=0),IF('Recurring Schedule'!$E$39="Weekdays",WEEKDAY($A306,2)&lt;=5,$A306='Recurring Schedule'!$F$39))),34,""))))</f>
        <v/>
      </c>
      <c r="AJ306">
        <f>IF('Recurring Schedule'!$C$40="","",IF('Recurring Schedule'!$F$40="","",IF(OR($A306&lt;'Recurring Schedule'!$F$40,$A306&gt;'Recurring Schedule'!$P$40),"",IF(IF('Recurring Schedule'!$N$40&gt;0,MOD($A306-'Recurring Schedule'!$F$40,'Recurring Schedule'!$N$40)=0,IF('Recurring Schedule'!$O$40&gt;0,AND(DAY($A306)=MIN(DAY('Recurring Schedule'!$F$40),DAY(EOMONTH($A306,0))),MOD((YEAR($A306)-YEAR('Recurring Schedule'!$F$40))*12+MONTH($A306)-MONTH('Recurring Schedule'!$F$40),'Recurring Schedule'!$O$40)=0),IF('Recurring Schedule'!$E$40="Weekdays",WEEKDAY($A306,2)&lt;=5,$A306='Recurring Schedule'!$F$40))),35,""))))</f>
        <v/>
      </c>
      <c r="AK306">
        <f>IF('Recurring Schedule'!$C$41="","",IF('Recurring Schedule'!$F$41="","",IF(OR($A306&lt;'Recurring Schedule'!$F$41,$A306&gt;'Recurring Schedule'!$P$41),"",IF(IF('Recurring Schedule'!$N$41&gt;0,MOD($A306-'Recurring Schedule'!$F$41,'Recurring Schedule'!$N$41)=0,IF('Recurring Schedule'!$O$41&gt;0,AND(DAY($A306)=MIN(DAY('Recurring Schedule'!$F$41),DAY(EOMONTH($A306,0))),MOD((YEAR($A306)-YEAR('Recurring Schedule'!$F$41))*12+MONTH($A306)-MONTH('Recurring Schedule'!$F$41),'Recurring Schedule'!$O$41)=0),IF('Recurring Schedule'!$E$41="Weekdays",WEEKDAY($A306,2)&lt;=5,$A306='Recurring Schedule'!$F$41))),36,""))))</f>
        <v/>
      </c>
      <c r="AL306">
        <f>IF('Recurring Schedule'!$C$42="","",IF('Recurring Schedule'!$F$42="","",IF(OR($A306&lt;'Recurring Schedule'!$F$42,$A306&gt;'Recurring Schedule'!$P$42),"",IF(IF('Recurring Schedule'!$N$42&gt;0,MOD($A306-'Recurring Schedule'!$F$42,'Recurring Schedule'!$N$42)=0,IF('Recurring Schedule'!$O$42&gt;0,AND(DAY($A306)=MIN(DAY('Recurring Schedule'!$F$42),DAY(EOMONTH($A306,0))),MOD((YEAR($A306)-YEAR('Recurring Schedule'!$F$42))*12+MONTH($A306)-MONTH('Recurring Schedule'!$F$42),'Recurring Schedule'!$O$42)=0),IF('Recurring Schedule'!$E$42="Weekdays",WEEKDAY($A306,2)&lt;=5,$A306='Recurring Schedule'!$F$42))),37,""))))</f>
        <v/>
      </c>
      <c r="AM306">
        <f>IF('Recurring Schedule'!$C$43="","",IF('Recurring Schedule'!$F$43="","",IF(OR($A306&lt;'Recurring Schedule'!$F$43,$A306&gt;'Recurring Schedule'!$P$43),"",IF(IF('Recurring Schedule'!$N$43&gt;0,MOD($A306-'Recurring Schedule'!$F$43,'Recurring Schedule'!$N$43)=0,IF('Recurring Schedule'!$O$43&gt;0,AND(DAY($A306)=MIN(DAY('Recurring Schedule'!$F$43),DAY(EOMONTH($A306,0))),MOD((YEAR($A306)-YEAR('Recurring Schedule'!$F$43))*12+MONTH($A306)-MONTH('Recurring Schedule'!$F$43),'Recurring Schedule'!$O$43)=0),IF('Recurring Schedule'!$E$43="Weekdays",WEEKDAY($A306,2)&lt;=5,$A306='Recurring Schedule'!$F$43))),38,""))))</f>
        <v/>
      </c>
      <c r="AN306">
        <f>IF('Recurring Schedule'!$C$44="","",IF('Recurring Schedule'!$F$44="","",IF(OR($A306&lt;'Recurring Schedule'!$F$44,$A306&gt;'Recurring Schedule'!$P$44),"",IF(IF('Recurring Schedule'!$N$44&gt;0,MOD($A306-'Recurring Schedule'!$F$44,'Recurring Schedule'!$N$44)=0,IF('Recurring Schedule'!$O$44&gt;0,AND(DAY($A306)=MIN(DAY('Recurring Schedule'!$F$44),DAY(EOMONTH($A306,0))),MOD((YEAR($A306)-YEAR('Recurring Schedule'!$F$44))*12+MONTH($A306)-MONTH('Recurring Schedule'!$F$44),'Recurring Schedule'!$O$44)=0),IF('Recurring Schedule'!$E$44="Weekdays",WEEKDAY($A306,2)&lt;=5,$A306='Recurring Schedule'!$F$44))),39,""))))</f>
        <v/>
      </c>
      <c r="AO306">
        <f>IF('Recurring Schedule'!$C$45="","",IF('Recurring Schedule'!$F$45="","",IF(OR($A306&lt;'Recurring Schedule'!$F$45,$A306&gt;'Recurring Schedule'!$P$45),"",IF(IF('Recurring Schedule'!$N$45&gt;0,MOD($A306-'Recurring Schedule'!$F$45,'Recurring Schedule'!$N$45)=0,IF('Recurring Schedule'!$O$45&gt;0,AND(DAY($A306)=MIN(DAY('Recurring Schedule'!$F$45),DAY(EOMONTH($A306,0))),MOD((YEAR($A306)-YEAR('Recurring Schedule'!$F$45))*12+MONTH($A306)-MONTH('Recurring Schedule'!$F$45),'Recurring Schedule'!$O$45)=0),IF('Recurring Schedule'!$E$45="Weekdays",WEEKDAY($A306,2)&lt;=5,$A306='Recurring Schedule'!$F$45))),40,""))))</f>
        <v/>
      </c>
      <c r="AP306">
        <f>COUNT(B306:AO306)</f>
        <v/>
      </c>
      <c r="AQ306">
        <f>AQ305+AP305</f>
        <v/>
      </c>
      <c r="AS306" t="inlineStr">
        <is>
          <t>R</t>
        </is>
      </c>
      <c r="AT306" t="n">
        <v>310</v>
      </c>
      <c r="AU306">
        <f>'Recurring Log'!C310&amp;""</f>
        <v/>
      </c>
      <c r="AV306">
        <f>'Recurring Log'!D310&amp;""</f>
        <v/>
      </c>
      <c r="AW306">
        <f>IF('Recurring Log'!E310="","",'Recurring Log'!E310)</f>
        <v/>
      </c>
      <c r="AX306">
        <f>IF('Recurring Log'!G310="","",'Recurring Log'!G310)</f>
        <v/>
      </c>
      <c r="AY306">
        <f>IF('Recurring Log'!H310="","",'Recurring Log'!H310)</f>
        <v/>
      </c>
      <c r="AZ306">
        <f>IF(AU306="","",IF('Recurring Log'!J310="","Not Started",'Recurring Log'!J310))</f>
        <v/>
      </c>
      <c r="BA306">
        <f>'Recurring Log'!L310&amp;""</f>
        <v/>
      </c>
      <c r="BB306">
        <f>'Recurring Log'!M310&amp;""</f>
        <v/>
      </c>
      <c r="BC306">
        <f>'Recurring Log'!N310&amp;""</f>
        <v/>
      </c>
      <c r="BD306">
        <f>'Recurring Log'!O310&amp;""</f>
        <v/>
      </c>
      <c r="BE306">
        <f>IF('Recurring Log'!K310="","",'Recurring Log'!K310)</f>
        <v/>
      </c>
      <c r="BF306">
        <f>IFERROR(MATCH(BA306,Setup!$L$6:$L$9,0),5)</f>
        <v/>
      </c>
      <c r="BG306">
        <f>IF(OR(AZ306="Done",AZ306="Cancelled"),1,0)</f>
        <v/>
      </c>
      <c r="BH306">
        <f>IF(AND(AU306&lt;&gt;"",ISNUMBER(AW306)),1,0)</f>
        <v/>
      </c>
      <c r="BI306">
        <f>IF(BH306=0,0,IF(AND(AW306&gt;='Tasks Filter'!$F$3,AW306&lt;='Tasks Filter'!$F$4,OR('Tasks Filter'!$I$3="",ISNUMBER(SEARCH('Tasks Filter'!$I$3,AU306))),OR('Tasks Filter'!$I$4="",BF306=IFERROR(MATCH('Tasks Filter'!$I$4,Setup!$L$6:$L$9,0),0)),OR('Tasks Filter'!$I$5="Both",AND('Tasks Filter'!$I$5="Yes",BB306="✓"),AND('Tasks Filter'!$I$5="No",BB306&lt;&gt;"✓")),OR('Tasks Filter'!$L$3="",AV306='Tasks Filter'!$L$3),OR('Tasks Filter'!$L$4="",AZ306='Tasks Filter'!$L$4),OR('Tasks Filter'!$L$5="",BC306='Tasks Filter'!$L$5),OR('Tasks Filter'!$O$3="",BD306='Tasks Filter'!$O$3),OR('Tasks Filter'!$O$4="Yes",BG306=0)),1,0))</f>
        <v/>
      </c>
      <c r="BJ306">
        <f>IF(BH306=0,"",IF('Tasks Filter'!$F$6="Descending",-1,1)*CHOOSE(MATCH('Tasks Filter'!$F$5,Lists!$G$2:$G$6,0),AW306,BF306,IFERROR(MATCH(AV306,Setup!$F$6:$F$15,0),99),IFERROR(MATCH(BC306,Setup!$H$6:$H$15,0),99),IFERROR(MATCH(AZ306,Setup!$J$6:$J$11,0),99))*1E+9+(AW306-40000)*10000+305)</f>
        <v/>
      </c>
      <c r="BK306">
        <f>IF(BI306=1,BJ306,"")</f>
        <v/>
      </c>
      <c r="BL306">
        <f>IF(AND(BH306=1,BG306=0,N(AW306)&lt;Setup!$D$7),(AW306-40000)*10000+305,"")</f>
        <v/>
      </c>
      <c r="BM306">
        <f>IF(AND(BH306=1,AZ306&lt;&gt;"Cancelled",N(AW306)&gt;=Dashboard!$AB$3,N(AW306)&lt;=Dashboard!$AB$3+6),(AW306-40000)*100000+BF306*10000+305,"")</f>
        <v/>
      </c>
      <c r="BN306">
        <f>IF(AND(BH306=1,AZ306&lt;&gt;"Cancelled"),BF306*10000+305,"")</f>
        <v/>
      </c>
    </row>
    <row r="307">
      <c r="A307">
        <f>Setup!$D$5+305</f>
        <v/>
      </c>
      <c r="B307">
        <f>IF('Recurring Schedule'!$C$6="","",IF('Recurring Schedule'!$F$6="","",IF(OR($A307&lt;'Recurring Schedule'!$F$6,$A307&gt;'Recurring Schedule'!$P$6),"",IF(IF('Recurring Schedule'!$N$6&gt;0,MOD($A307-'Recurring Schedule'!$F$6,'Recurring Schedule'!$N$6)=0,IF('Recurring Schedule'!$O$6&gt;0,AND(DAY($A307)=MIN(DAY('Recurring Schedule'!$F$6),DAY(EOMONTH($A307,0))),MOD((YEAR($A307)-YEAR('Recurring Schedule'!$F$6))*12+MONTH($A307)-MONTH('Recurring Schedule'!$F$6),'Recurring Schedule'!$O$6)=0),IF('Recurring Schedule'!$E$6="Weekdays",WEEKDAY($A307,2)&lt;=5,$A307='Recurring Schedule'!$F$6))),1,""))))</f>
        <v/>
      </c>
      <c r="C307">
        <f>IF('Recurring Schedule'!$C$7="","",IF('Recurring Schedule'!$F$7="","",IF(OR($A307&lt;'Recurring Schedule'!$F$7,$A307&gt;'Recurring Schedule'!$P$7),"",IF(IF('Recurring Schedule'!$N$7&gt;0,MOD($A307-'Recurring Schedule'!$F$7,'Recurring Schedule'!$N$7)=0,IF('Recurring Schedule'!$O$7&gt;0,AND(DAY($A307)=MIN(DAY('Recurring Schedule'!$F$7),DAY(EOMONTH($A307,0))),MOD((YEAR($A307)-YEAR('Recurring Schedule'!$F$7))*12+MONTH($A307)-MONTH('Recurring Schedule'!$F$7),'Recurring Schedule'!$O$7)=0),IF('Recurring Schedule'!$E$7="Weekdays",WEEKDAY($A307,2)&lt;=5,$A307='Recurring Schedule'!$F$7))),2,""))))</f>
        <v/>
      </c>
      <c r="D307">
        <f>IF('Recurring Schedule'!$C$8="","",IF('Recurring Schedule'!$F$8="","",IF(OR($A307&lt;'Recurring Schedule'!$F$8,$A307&gt;'Recurring Schedule'!$P$8),"",IF(IF('Recurring Schedule'!$N$8&gt;0,MOD($A307-'Recurring Schedule'!$F$8,'Recurring Schedule'!$N$8)=0,IF('Recurring Schedule'!$O$8&gt;0,AND(DAY($A307)=MIN(DAY('Recurring Schedule'!$F$8),DAY(EOMONTH($A307,0))),MOD((YEAR($A307)-YEAR('Recurring Schedule'!$F$8))*12+MONTH($A307)-MONTH('Recurring Schedule'!$F$8),'Recurring Schedule'!$O$8)=0),IF('Recurring Schedule'!$E$8="Weekdays",WEEKDAY($A307,2)&lt;=5,$A307='Recurring Schedule'!$F$8))),3,""))))</f>
        <v/>
      </c>
      <c r="E307">
        <f>IF('Recurring Schedule'!$C$9="","",IF('Recurring Schedule'!$F$9="","",IF(OR($A307&lt;'Recurring Schedule'!$F$9,$A307&gt;'Recurring Schedule'!$P$9),"",IF(IF('Recurring Schedule'!$N$9&gt;0,MOD($A307-'Recurring Schedule'!$F$9,'Recurring Schedule'!$N$9)=0,IF('Recurring Schedule'!$O$9&gt;0,AND(DAY($A307)=MIN(DAY('Recurring Schedule'!$F$9),DAY(EOMONTH($A307,0))),MOD((YEAR($A307)-YEAR('Recurring Schedule'!$F$9))*12+MONTH($A307)-MONTH('Recurring Schedule'!$F$9),'Recurring Schedule'!$O$9)=0),IF('Recurring Schedule'!$E$9="Weekdays",WEEKDAY($A307,2)&lt;=5,$A307='Recurring Schedule'!$F$9))),4,""))))</f>
        <v/>
      </c>
      <c r="F307">
        <f>IF('Recurring Schedule'!$C$10="","",IF('Recurring Schedule'!$F$10="","",IF(OR($A307&lt;'Recurring Schedule'!$F$10,$A307&gt;'Recurring Schedule'!$P$10),"",IF(IF('Recurring Schedule'!$N$10&gt;0,MOD($A307-'Recurring Schedule'!$F$10,'Recurring Schedule'!$N$10)=0,IF('Recurring Schedule'!$O$10&gt;0,AND(DAY($A307)=MIN(DAY('Recurring Schedule'!$F$10),DAY(EOMONTH($A307,0))),MOD((YEAR($A307)-YEAR('Recurring Schedule'!$F$10))*12+MONTH($A307)-MONTH('Recurring Schedule'!$F$10),'Recurring Schedule'!$O$10)=0),IF('Recurring Schedule'!$E$10="Weekdays",WEEKDAY($A307,2)&lt;=5,$A307='Recurring Schedule'!$F$10))),5,""))))</f>
        <v/>
      </c>
      <c r="G307">
        <f>IF('Recurring Schedule'!$C$11="","",IF('Recurring Schedule'!$F$11="","",IF(OR($A307&lt;'Recurring Schedule'!$F$11,$A307&gt;'Recurring Schedule'!$P$11),"",IF(IF('Recurring Schedule'!$N$11&gt;0,MOD($A307-'Recurring Schedule'!$F$11,'Recurring Schedule'!$N$11)=0,IF('Recurring Schedule'!$O$11&gt;0,AND(DAY($A307)=MIN(DAY('Recurring Schedule'!$F$11),DAY(EOMONTH($A307,0))),MOD((YEAR($A307)-YEAR('Recurring Schedule'!$F$11))*12+MONTH($A307)-MONTH('Recurring Schedule'!$F$11),'Recurring Schedule'!$O$11)=0),IF('Recurring Schedule'!$E$11="Weekdays",WEEKDAY($A307,2)&lt;=5,$A307='Recurring Schedule'!$F$11))),6,""))))</f>
        <v/>
      </c>
      <c r="H307">
        <f>IF('Recurring Schedule'!$C$12="","",IF('Recurring Schedule'!$F$12="","",IF(OR($A307&lt;'Recurring Schedule'!$F$12,$A307&gt;'Recurring Schedule'!$P$12),"",IF(IF('Recurring Schedule'!$N$12&gt;0,MOD($A307-'Recurring Schedule'!$F$12,'Recurring Schedule'!$N$12)=0,IF('Recurring Schedule'!$O$12&gt;0,AND(DAY($A307)=MIN(DAY('Recurring Schedule'!$F$12),DAY(EOMONTH($A307,0))),MOD((YEAR($A307)-YEAR('Recurring Schedule'!$F$12))*12+MONTH($A307)-MONTH('Recurring Schedule'!$F$12),'Recurring Schedule'!$O$12)=0),IF('Recurring Schedule'!$E$12="Weekdays",WEEKDAY($A307,2)&lt;=5,$A307='Recurring Schedule'!$F$12))),7,""))))</f>
        <v/>
      </c>
      <c r="I307">
        <f>IF('Recurring Schedule'!$C$13="","",IF('Recurring Schedule'!$F$13="","",IF(OR($A307&lt;'Recurring Schedule'!$F$13,$A307&gt;'Recurring Schedule'!$P$13),"",IF(IF('Recurring Schedule'!$N$13&gt;0,MOD($A307-'Recurring Schedule'!$F$13,'Recurring Schedule'!$N$13)=0,IF('Recurring Schedule'!$O$13&gt;0,AND(DAY($A307)=MIN(DAY('Recurring Schedule'!$F$13),DAY(EOMONTH($A307,0))),MOD((YEAR($A307)-YEAR('Recurring Schedule'!$F$13))*12+MONTH($A307)-MONTH('Recurring Schedule'!$F$13),'Recurring Schedule'!$O$13)=0),IF('Recurring Schedule'!$E$13="Weekdays",WEEKDAY($A307,2)&lt;=5,$A307='Recurring Schedule'!$F$13))),8,""))))</f>
        <v/>
      </c>
      <c r="J307">
        <f>IF('Recurring Schedule'!$C$14="","",IF('Recurring Schedule'!$F$14="","",IF(OR($A307&lt;'Recurring Schedule'!$F$14,$A307&gt;'Recurring Schedule'!$P$14),"",IF(IF('Recurring Schedule'!$N$14&gt;0,MOD($A307-'Recurring Schedule'!$F$14,'Recurring Schedule'!$N$14)=0,IF('Recurring Schedule'!$O$14&gt;0,AND(DAY($A307)=MIN(DAY('Recurring Schedule'!$F$14),DAY(EOMONTH($A307,0))),MOD((YEAR($A307)-YEAR('Recurring Schedule'!$F$14))*12+MONTH($A307)-MONTH('Recurring Schedule'!$F$14),'Recurring Schedule'!$O$14)=0),IF('Recurring Schedule'!$E$14="Weekdays",WEEKDAY($A307,2)&lt;=5,$A307='Recurring Schedule'!$F$14))),9,""))))</f>
        <v/>
      </c>
      <c r="K307">
        <f>IF('Recurring Schedule'!$C$15="","",IF('Recurring Schedule'!$F$15="","",IF(OR($A307&lt;'Recurring Schedule'!$F$15,$A307&gt;'Recurring Schedule'!$P$15),"",IF(IF('Recurring Schedule'!$N$15&gt;0,MOD($A307-'Recurring Schedule'!$F$15,'Recurring Schedule'!$N$15)=0,IF('Recurring Schedule'!$O$15&gt;0,AND(DAY($A307)=MIN(DAY('Recurring Schedule'!$F$15),DAY(EOMONTH($A307,0))),MOD((YEAR($A307)-YEAR('Recurring Schedule'!$F$15))*12+MONTH($A307)-MONTH('Recurring Schedule'!$F$15),'Recurring Schedule'!$O$15)=0),IF('Recurring Schedule'!$E$15="Weekdays",WEEKDAY($A307,2)&lt;=5,$A307='Recurring Schedule'!$F$15))),10,""))))</f>
        <v/>
      </c>
      <c r="L307">
        <f>IF('Recurring Schedule'!$C$16="","",IF('Recurring Schedule'!$F$16="","",IF(OR($A307&lt;'Recurring Schedule'!$F$16,$A307&gt;'Recurring Schedule'!$P$16),"",IF(IF('Recurring Schedule'!$N$16&gt;0,MOD($A307-'Recurring Schedule'!$F$16,'Recurring Schedule'!$N$16)=0,IF('Recurring Schedule'!$O$16&gt;0,AND(DAY($A307)=MIN(DAY('Recurring Schedule'!$F$16),DAY(EOMONTH($A307,0))),MOD((YEAR($A307)-YEAR('Recurring Schedule'!$F$16))*12+MONTH($A307)-MONTH('Recurring Schedule'!$F$16),'Recurring Schedule'!$O$16)=0),IF('Recurring Schedule'!$E$16="Weekdays",WEEKDAY($A307,2)&lt;=5,$A307='Recurring Schedule'!$F$16))),11,""))))</f>
        <v/>
      </c>
      <c r="M307">
        <f>IF('Recurring Schedule'!$C$17="","",IF('Recurring Schedule'!$F$17="","",IF(OR($A307&lt;'Recurring Schedule'!$F$17,$A307&gt;'Recurring Schedule'!$P$17),"",IF(IF('Recurring Schedule'!$N$17&gt;0,MOD($A307-'Recurring Schedule'!$F$17,'Recurring Schedule'!$N$17)=0,IF('Recurring Schedule'!$O$17&gt;0,AND(DAY($A307)=MIN(DAY('Recurring Schedule'!$F$17),DAY(EOMONTH($A307,0))),MOD((YEAR($A307)-YEAR('Recurring Schedule'!$F$17))*12+MONTH($A307)-MONTH('Recurring Schedule'!$F$17),'Recurring Schedule'!$O$17)=0),IF('Recurring Schedule'!$E$17="Weekdays",WEEKDAY($A307,2)&lt;=5,$A307='Recurring Schedule'!$F$17))),12,""))))</f>
        <v/>
      </c>
      <c r="N307">
        <f>IF('Recurring Schedule'!$C$18="","",IF('Recurring Schedule'!$F$18="","",IF(OR($A307&lt;'Recurring Schedule'!$F$18,$A307&gt;'Recurring Schedule'!$P$18),"",IF(IF('Recurring Schedule'!$N$18&gt;0,MOD($A307-'Recurring Schedule'!$F$18,'Recurring Schedule'!$N$18)=0,IF('Recurring Schedule'!$O$18&gt;0,AND(DAY($A307)=MIN(DAY('Recurring Schedule'!$F$18),DAY(EOMONTH($A307,0))),MOD((YEAR($A307)-YEAR('Recurring Schedule'!$F$18))*12+MONTH($A307)-MONTH('Recurring Schedule'!$F$18),'Recurring Schedule'!$O$18)=0),IF('Recurring Schedule'!$E$18="Weekdays",WEEKDAY($A307,2)&lt;=5,$A307='Recurring Schedule'!$F$18))),13,""))))</f>
        <v/>
      </c>
      <c r="O307">
        <f>IF('Recurring Schedule'!$C$19="","",IF('Recurring Schedule'!$F$19="","",IF(OR($A307&lt;'Recurring Schedule'!$F$19,$A307&gt;'Recurring Schedule'!$P$19),"",IF(IF('Recurring Schedule'!$N$19&gt;0,MOD($A307-'Recurring Schedule'!$F$19,'Recurring Schedule'!$N$19)=0,IF('Recurring Schedule'!$O$19&gt;0,AND(DAY($A307)=MIN(DAY('Recurring Schedule'!$F$19),DAY(EOMONTH($A307,0))),MOD((YEAR($A307)-YEAR('Recurring Schedule'!$F$19))*12+MONTH($A307)-MONTH('Recurring Schedule'!$F$19),'Recurring Schedule'!$O$19)=0),IF('Recurring Schedule'!$E$19="Weekdays",WEEKDAY($A307,2)&lt;=5,$A307='Recurring Schedule'!$F$19))),14,""))))</f>
        <v/>
      </c>
      <c r="P307">
        <f>IF('Recurring Schedule'!$C$20="","",IF('Recurring Schedule'!$F$20="","",IF(OR($A307&lt;'Recurring Schedule'!$F$20,$A307&gt;'Recurring Schedule'!$P$20),"",IF(IF('Recurring Schedule'!$N$20&gt;0,MOD($A307-'Recurring Schedule'!$F$20,'Recurring Schedule'!$N$20)=0,IF('Recurring Schedule'!$O$20&gt;0,AND(DAY($A307)=MIN(DAY('Recurring Schedule'!$F$20),DAY(EOMONTH($A307,0))),MOD((YEAR($A307)-YEAR('Recurring Schedule'!$F$20))*12+MONTH($A307)-MONTH('Recurring Schedule'!$F$20),'Recurring Schedule'!$O$20)=0),IF('Recurring Schedule'!$E$20="Weekdays",WEEKDAY($A307,2)&lt;=5,$A307='Recurring Schedule'!$F$20))),15,""))))</f>
        <v/>
      </c>
      <c r="Q307">
        <f>IF('Recurring Schedule'!$C$21="","",IF('Recurring Schedule'!$F$21="","",IF(OR($A307&lt;'Recurring Schedule'!$F$21,$A307&gt;'Recurring Schedule'!$P$21),"",IF(IF('Recurring Schedule'!$N$21&gt;0,MOD($A307-'Recurring Schedule'!$F$21,'Recurring Schedule'!$N$21)=0,IF('Recurring Schedule'!$O$21&gt;0,AND(DAY($A307)=MIN(DAY('Recurring Schedule'!$F$21),DAY(EOMONTH($A307,0))),MOD((YEAR($A307)-YEAR('Recurring Schedule'!$F$21))*12+MONTH($A307)-MONTH('Recurring Schedule'!$F$21),'Recurring Schedule'!$O$21)=0),IF('Recurring Schedule'!$E$21="Weekdays",WEEKDAY($A307,2)&lt;=5,$A307='Recurring Schedule'!$F$21))),16,""))))</f>
        <v/>
      </c>
      <c r="R307">
        <f>IF('Recurring Schedule'!$C$22="","",IF('Recurring Schedule'!$F$22="","",IF(OR($A307&lt;'Recurring Schedule'!$F$22,$A307&gt;'Recurring Schedule'!$P$22),"",IF(IF('Recurring Schedule'!$N$22&gt;0,MOD($A307-'Recurring Schedule'!$F$22,'Recurring Schedule'!$N$22)=0,IF('Recurring Schedule'!$O$22&gt;0,AND(DAY($A307)=MIN(DAY('Recurring Schedule'!$F$22),DAY(EOMONTH($A307,0))),MOD((YEAR($A307)-YEAR('Recurring Schedule'!$F$22))*12+MONTH($A307)-MONTH('Recurring Schedule'!$F$22),'Recurring Schedule'!$O$22)=0),IF('Recurring Schedule'!$E$22="Weekdays",WEEKDAY($A307,2)&lt;=5,$A307='Recurring Schedule'!$F$22))),17,""))))</f>
        <v/>
      </c>
      <c r="S307">
        <f>IF('Recurring Schedule'!$C$23="","",IF('Recurring Schedule'!$F$23="","",IF(OR($A307&lt;'Recurring Schedule'!$F$23,$A307&gt;'Recurring Schedule'!$P$23),"",IF(IF('Recurring Schedule'!$N$23&gt;0,MOD($A307-'Recurring Schedule'!$F$23,'Recurring Schedule'!$N$23)=0,IF('Recurring Schedule'!$O$23&gt;0,AND(DAY($A307)=MIN(DAY('Recurring Schedule'!$F$23),DAY(EOMONTH($A307,0))),MOD((YEAR($A307)-YEAR('Recurring Schedule'!$F$23))*12+MONTH($A307)-MONTH('Recurring Schedule'!$F$23),'Recurring Schedule'!$O$23)=0),IF('Recurring Schedule'!$E$23="Weekdays",WEEKDAY($A307,2)&lt;=5,$A307='Recurring Schedule'!$F$23))),18,""))))</f>
        <v/>
      </c>
      <c r="T307">
        <f>IF('Recurring Schedule'!$C$24="","",IF('Recurring Schedule'!$F$24="","",IF(OR($A307&lt;'Recurring Schedule'!$F$24,$A307&gt;'Recurring Schedule'!$P$24),"",IF(IF('Recurring Schedule'!$N$24&gt;0,MOD($A307-'Recurring Schedule'!$F$24,'Recurring Schedule'!$N$24)=0,IF('Recurring Schedule'!$O$24&gt;0,AND(DAY($A307)=MIN(DAY('Recurring Schedule'!$F$24),DAY(EOMONTH($A307,0))),MOD((YEAR($A307)-YEAR('Recurring Schedule'!$F$24))*12+MONTH($A307)-MONTH('Recurring Schedule'!$F$24),'Recurring Schedule'!$O$24)=0),IF('Recurring Schedule'!$E$24="Weekdays",WEEKDAY($A307,2)&lt;=5,$A307='Recurring Schedule'!$F$24))),19,""))))</f>
        <v/>
      </c>
      <c r="U307">
        <f>IF('Recurring Schedule'!$C$25="","",IF('Recurring Schedule'!$F$25="","",IF(OR($A307&lt;'Recurring Schedule'!$F$25,$A307&gt;'Recurring Schedule'!$P$25),"",IF(IF('Recurring Schedule'!$N$25&gt;0,MOD($A307-'Recurring Schedule'!$F$25,'Recurring Schedule'!$N$25)=0,IF('Recurring Schedule'!$O$25&gt;0,AND(DAY($A307)=MIN(DAY('Recurring Schedule'!$F$25),DAY(EOMONTH($A307,0))),MOD((YEAR($A307)-YEAR('Recurring Schedule'!$F$25))*12+MONTH($A307)-MONTH('Recurring Schedule'!$F$25),'Recurring Schedule'!$O$25)=0),IF('Recurring Schedule'!$E$25="Weekdays",WEEKDAY($A307,2)&lt;=5,$A307='Recurring Schedule'!$F$25))),20,""))))</f>
        <v/>
      </c>
      <c r="V307">
        <f>IF('Recurring Schedule'!$C$26="","",IF('Recurring Schedule'!$F$26="","",IF(OR($A307&lt;'Recurring Schedule'!$F$26,$A307&gt;'Recurring Schedule'!$P$26),"",IF(IF('Recurring Schedule'!$N$26&gt;0,MOD($A307-'Recurring Schedule'!$F$26,'Recurring Schedule'!$N$26)=0,IF('Recurring Schedule'!$O$26&gt;0,AND(DAY($A307)=MIN(DAY('Recurring Schedule'!$F$26),DAY(EOMONTH($A307,0))),MOD((YEAR($A307)-YEAR('Recurring Schedule'!$F$26))*12+MONTH($A307)-MONTH('Recurring Schedule'!$F$26),'Recurring Schedule'!$O$26)=0),IF('Recurring Schedule'!$E$26="Weekdays",WEEKDAY($A307,2)&lt;=5,$A307='Recurring Schedule'!$F$26))),21,""))))</f>
        <v/>
      </c>
      <c r="W307">
        <f>IF('Recurring Schedule'!$C$27="","",IF('Recurring Schedule'!$F$27="","",IF(OR($A307&lt;'Recurring Schedule'!$F$27,$A307&gt;'Recurring Schedule'!$P$27),"",IF(IF('Recurring Schedule'!$N$27&gt;0,MOD($A307-'Recurring Schedule'!$F$27,'Recurring Schedule'!$N$27)=0,IF('Recurring Schedule'!$O$27&gt;0,AND(DAY($A307)=MIN(DAY('Recurring Schedule'!$F$27),DAY(EOMONTH($A307,0))),MOD((YEAR($A307)-YEAR('Recurring Schedule'!$F$27))*12+MONTH($A307)-MONTH('Recurring Schedule'!$F$27),'Recurring Schedule'!$O$27)=0),IF('Recurring Schedule'!$E$27="Weekdays",WEEKDAY($A307,2)&lt;=5,$A307='Recurring Schedule'!$F$27))),22,""))))</f>
        <v/>
      </c>
      <c r="X307">
        <f>IF('Recurring Schedule'!$C$28="","",IF('Recurring Schedule'!$F$28="","",IF(OR($A307&lt;'Recurring Schedule'!$F$28,$A307&gt;'Recurring Schedule'!$P$28),"",IF(IF('Recurring Schedule'!$N$28&gt;0,MOD($A307-'Recurring Schedule'!$F$28,'Recurring Schedule'!$N$28)=0,IF('Recurring Schedule'!$O$28&gt;0,AND(DAY($A307)=MIN(DAY('Recurring Schedule'!$F$28),DAY(EOMONTH($A307,0))),MOD((YEAR($A307)-YEAR('Recurring Schedule'!$F$28))*12+MONTH($A307)-MONTH('Recurring Schedule'!$F$28),'Recurring Schedule'!$O$28)=0),IF('Recurring Schedule'!$E$28="Weekdays",WEEKDAY($A307,2)&lt;=5,$A307='Recurring Schedule'!$F$28))),23,""))))</f>
        <v/>
      </c>
      <c r="Y307">
        <f>IF('Recurring Schedule'!$C$29="","",IF('Recurring Schedule'!$F$29="","",IF(OR($A307&lt;'Recurring Schedule'!$F$29,$A307&gt;'Recurring Schedule'!$P$29),"",IF(IF('Recurring Schedule'!$N$29&gt;0,MOD($A307-'Recurring Schedule'!$F$29,'Recurring Schedule'!$N$29)=0,IF('Recurring Schedule'!$O$29&gt;0,AND(DAY($A307)=MIN(DAY('Recurring Schedule'!$F$29),DAY(EOMONTH($A307,0))),MOD((YEAR($A307)-YEAR('Recurring Schedule'!$F$29))*12+MONTH($A307)-MONTH('Recurring Schedule'!$F$29),'Recurring Schedule'!$O$29)=0),IF('Recurring Schedule'!$E$29="Weekdays",WEEKDAY($A307,2)&lt;=5,$A307='Recurring Schedule'!$F$29))),24,""))))</f>
        <v/>
      </c>
      <c r="Z307">
        <f>IF('Recurring Schedule'!$C$30="","",IF('Recurring Schedule'!$F$30="","",IF(OR($A307&lt;'Recurring Schedule'!$F$30,$A307&gt;'Recurring Schedule'!$P$30),"",IF(IF('Recurring Schedule'!$N$30&gt;0,MOD($A307-'Recurring Schedule'!$F$30,'Recurring Schedule'!$N$30)=0,IF('Recurring Schedule'!$O$30&gt;0,AND(DAY($A307)=MIN(DAY('Recurring Schedule'!$F$30),DAY(EOMONTH($A307,0))),MOD((YEAR($A307)-YEAR('Recurring Schedule'!$F$30))*12+MONTH($A307)-MONTH('Recurring Schedule'!$F$30),'Recurring Schedule'!$O$30)=0),IF('Recurring Schedule'!$E$30="Weekdays",WEEKDAY($A307,2)&lt;=5,$A307='Recurring Schedule'!$F$30))),25,""))))</f>
        <v/>
      </c>
      <c r="AA307">
        <f>IF('Recurring Schedule'!$C$31="","",IF('Recurring Schedule'!$F$31="","",IF(OR($A307&lt;'Recurring Schedule'!$F$31,$A307&gt;'Recurring Schedule'!$P$31),"",IF(IF('Recurring Schedule'!$N$31&gt;0,MOD($A307-'Recurring Schedule'!$F$31,'Recurring Schedule'!$N$31)=0,IF('Recurring Schedule'!$O$31&gt;0,AND(DAY($A307)=MIN(DAY('Recurring Schedule'!$F$31),DAY(EOMONTH($A307,0))),MOD((YEAR($A307)-YEAR('Recurring Schedule'!$F$31))*12+MONTH($A307)-MONTH('Recurring Schedule'!$F$31),'Recurring Schedule'!$O$31)=0),IF('Recurring Schedule'!$E$31="Weekdays",WEEKDAY($A307,2)&lt;=5,$A307='Recurring Schedule'!$F$31))),26,""))))</f>
        <v/>
      </c>
      <c r="AB307">
        <f>IF('Recurring Schedule'!$C$32="","",IF('Recurring Schedule'!$F$32="","",IF(OR($A307&lt;'Recurring Schedule'!$F$32,$A307&gt;'Recurring Schedule'!$P$32),"",IF(IF('Recurring Schedule'!$N$32&gt;0,MOD($A307-'Recurring Schedule'!$F$32,'Recurring Schedule'!$N$32)=0,IF('Recurring Schedule'!$O$32&gt;0,AND(DAY($A307)=MIN(DAY('Recurring Schedule'!$F$32),DAY(EOMONTH($A307,0))),MOD((YEAR($A307)-YEAR('Recurring Schedule'!$F$32))*12+MONTH($A307)-MONTH('Recurring Schedule'!$F$32),'Recurring Schedule'!$O$32)=0),IF('Recurring Schedule'!$E$32="Weekdays",WEEKDAY($A307,2)&lt;=5,$A307='Recurring Schedule'!$F$32))),27,""))))</f>
        <v/>
      </c>
      <c r="AC307">
        <f>IF('Recurring Schedule'!$C$33="","",IF('Recurring Schedule'!$F$33="","",IF(OR($A307&lt;'Recurring Schedule'!$F$33,$A307&gt;'Recurring Schedule'!$P$33),"",IF(IF('Recurring Schedule'!$N$33&gt;0,MOD($A307-'Recurring Schedule'!$F$33,'Recurring Schedule'!$N$33)=0,IF('Recurring Schedule'!$O$33&gt;0,AND(DAY($A307)=MIN(DAY('Recurring Schedule'!$F$33),DAY(EOMONTH($A307,0))),MOD((YEAR($A307)-YEAR('Recurring Schedule'!$F$33))*12+MONTH($A307)-MONTH('Recurring Schedule'!$F$33),'Recurring Schedule'!$O$33)=0),IF('Recurring Schedule'!$E$33="Weekdays",WEEKDAY($A307,2)&lt;=5,$A307='Recurring Schedule'!$F$33))),28,""))))</f>
        <v/>
      </c>
      <c r="AD307">
        <f>IF('Recurring Schedule'!$C$34="","",IF('Recurring Schedule'!$F$34="","",IF(OR($A307&lt;'Recurring Schedule'!$F$34,$A307&gt;'Recurring Schedule'!$P$34),"",IF(IF('Recurring Schedule'!$N$34&gt;0,MOD($A307-'Recurring Schedule'!$F$34,'Recurring Schedule'!$N$34)=0,IF('Recurring Schedule'!$O$34&gt;0,AND(DAY($A307)=MIN(DAY('Recurring Schedule'!$F$34),DAY(EOMONTH($A307,0))),MOD((YEAR($A307)-YEAR('Recurring Schedule'!$F$34))*12+MONTH($A307)-MONTH('Recurring Schedule'!$F$34),'Recurring Schedule'!$O$34)=0),IF('Recurring Schedule'!$E$34="Weekdays",WEEKDAY($A307,2)&lt;=5,$A307='Recurring Schedule'!$F$34))),29,""))))</f>
        <v/>
      </c>
      <c r="AE307">
        <f>IF('Recurring Schedule'!$C$35="","",IF('Recurring Schedule'!$F$35="","",IF(OR($A307&lt;'Recurring Schedule'!$F$35,$A307&gt;'Recurring Schedule'!$P$35),"",IF(IF('Recurring Schedule'!$N$35&gt;0,MOD($A307-'Recurring Schedule'!$F$35,'Recurring Schedule'!$N$35)=0,IF('Recurring Schedule'!$O$35&gt;0,AND(DAY($A307)=MIN(DAY('Recurring Schedule'!$F$35),DAY(EOMONTH($A307,0))),MOD((YEAR($A307)-YEAR('Recurring Schedule'!$F$35))*12+MONTH($A307)-MONTH('Recurring Schedule'!$F$35),'Recurring Schedule'!$O$35)=0),IF('Recurring Schedule'!$E$35="Weekdays",WEEKDAY($A307,2)&lt;=5,$A307='Recurring Schedule'!$F$35))),30,""))))</f>
        <v/>
      </c>
      <c r="AF307">
        <f>IF('Recurring Schedule'!$C$36="","",IF('Recurring Schedule'!$F$36="","",IF(OR($A307&lt;'Recurring Schedule'!$F$36,$A307&gt;'Recurring Schedule'!$P$36),"",IF(IF('Recurring Schedule'!$N$36&gt;0,MOD($A307-'Recurring Schedule'!$F$36,'Recurring Schedule'!$N$36)=0,IF('Recurring Schedule'!$O$36&gt;0,AND(DAY($A307)=MIN(DAY('Recurring Schedule'!$F$36),DAY(EOMONTH($A307,0))),MOD((YEAR($A307)-YEAR('Recurring Schedule'!$F$36))*12+MONTH($A307)-MONTH('Recurring Schedule'!$F$36),'Recurring Schedule'!$O$36)=0),IF('Recurring Schedule'!$E$36="Weekdays",WEEKDAY($A307,2)&lt;=5,$A307='Recurring Schedule'!$F$36))),31,""))))</f>
        <v/>
      </c>
      <c r="AG307">
        <f>IF('Recurring Schedule'!$C$37="","",IF('Recurring Schedule'!$F$37="","",IF(OR($A307&lt;'Recurring Schedule'!$F$37,$A307&gt;'Recurring Schedule'!$P$37),"",IF(IF('Recurring Schedule'!$N$37&gt;0,MOD($A307-'Recurring Schedule'!$F$37,'Recurring Schedule'!$N$37)=0,IF('Recurring Schedule'!$O$37&gt;0,AND(DAY($A307)=MIN(DAY('Recurring Schedule'!$F$37),DAY(EOMONTH($A307,0))),MOD((YEAR($A307)-YEAR('Recurring Schedule'!$F$37))*12+MONTH($A307)-MONTH('Recurring Schedule'!$F$37),'Recurring Schedule'!$O$37)=0),IF('Recurring Schedule'!$E$37="Weekdays",WEEKDAY($A307,2)&lt;=5,$A307='Recurring Schedule'!$F$37))),32,""))))</f>
        <v/>
      </c>
      <c r="AH307">
        <f>IF('Recurring Schedule'!$C$38="","",IF('Recurring Schedule'!$F$38="","",IF(OR($A307&lt;'Recurring Schedule'!$F$38,$A307&gt;'Recurring Schedule'!$P$38),"",IF(IF('Recurring Schedule'!$N$38&gt;0,MOD($A307-'Recurring Schedule'!$F$38,'Recurring Schedule'!$N$38)=0,IF('Recurring Schedule'!$O$38&gt;0,AND(DAY($A307)=MIN(DAY('Recurring Schedule'!$F$38),DAY(EOMONTH($A307,0))),MOD((YEAR($A307)-YEAR('Recurring Schedule'!$F$38))*12+MONTH($A307)-MONTH('Recurring Schedule'!$F$38),'Recurring Schedule'!$O$38)=0),IF('Recurring Schedule'!$E$38="Weekdays",WEEKDAY($A307,2)&lt;=5,$A307='Recurring Schedule'!$F$38))),33,""))))</f>
        <v/>
      </c>
      <c r="AI307">
        <f>IF('Recurring Schedule'!$C$39="","",IF('Recurring Schedule'!$F$39="","",IF(OR($A307&lt;'Recurring Schedule'!$F$39,$A307&gt;'Recurring Schedule'!$P$39),"",IF(IF('Recurring Schedule'!$N$39&gt;0,MOD($A307-'Recurring Schedule'!$F$39,'Recurring Schedule'!$N$39)=0,IF('Recurring Schedule'!$O$39&gt;0,AND(DAY($A307)=MIN(DAY('Recurring Schedule'!$F$39),DAY(EOMONTH($A307,0))),MOD((YEAR($A307)-YEAR('Recurring Schedule'!$F$39))*12+MONTH($A307)-MONTH('Recurring Schedule'!$F$39),'Recurring Schedule'!$O$39)=0),IF('Recurring Schedule'!$E$39="Weekdays",WEEKDAY($A307,2)&lt;=5,$A307='Recurring Schedule'!$F$39))),34,""))))</f>
        <v/>
      </c>
      <c r="AJ307">
        <f>IF('Recurring Schedule'!$C$40="","",IF('Recurring Schedule'!$F$40="","",IF(OR($A307&lt;'Recurring Schedule'!$F$40,$A307&gt;'Recurring Schedule'!$P$40),"",IF(IF('Recurring Schedule'!$N$40&gt;0,MOD($A307-'Recurring Schedule'!$F$40,'Recurring Schedule'!$N$40)=0,IF('Recurring Schedule'!$O$40&gt;0,AND(DAY($A307)=MIN(DAY('Recurring Schedule'!$F$40),DAY(EOMONTH($A307,0))),MOD((YEAR($A307)-YEAR('Recurring Schedule'!$F$40))*12+MONTH($A307)-MONTH('Recurring Schedule'!$F$40),'Recurring Schedule'!$O$40)=0),IF('Recurring Schedule'!$E$40="Weekdays",WEEKDAY($A307,2)&lt;=5,$A307='Recurring Schedule'!$F$40))),35,""))))</f>
        <v/>
      </c>
      <c r="AK307">
        <f>IF('Recurring Schedule'!$C$41="","",IF('Recurring Schedule'!$F$41="","",IF(OR($A307&lt;'Recurring Schedule'!$F$41,$A307&gt;'Recurring Schedule'!$P$41),"",IF(IF('Recurring Schedule'!$N$41&gt;0,MOD($A307-'Recurring Schedule'!$F$41,'Recurring Schedule'!$N$41)=0,IF('Recurring Schedule'!$O$41&gt;0,AND(DAY($A307)=MIN(DAY('Recurring Schedule'!$F$41),DAY(EOMONTH($A307,0))),MOD((YEAR($A307)-YEAR('Recurring Schedule'!$F$41))*12+MONTH($A307)-MONTH('Recurring Schedule'!$F$41),'Recurring Schedule'!$O$41)=0),IF('Recurring Schedule'!$E$41="Weekdays",WEEKDAY($A307,2)&lt;=5,$A307='Recurring Schedule'!$F$41))),36,""))))</f>
        <v/>
      </c>
      <c r="AL307">
        <f>IF('Recurring Schedule'!$C$42="","",IF('Recurring Schedule'!$F$42="","",IF(OR($A307&lt;'Recurring Schedule'!$F$42,$A307&gt;'Recurring Schedule'!$P$42),"",IF(IF('Recurring Schedule'!$N$42&gt;0,MOD($A307-'Recurring Schedule'!$F$42,'Recurring Schedule'!$N$42)=0,IF('Recurring Schedule'!$O$42&gt;0,AND(DAY($A307)=MIN(DAY('Recurring Schedule'!$F$42),DAY(EOMONTH($A307,0))),MOD((YEAR($A307)-YEAR('Recurring Schedule'!$F$42))*12+MONTH($A307)-MONTH('Recurring Schedule'!$F$42),'Recurring Schedule'!$O$42)=0),IF('Recurring Schedule'!$E$42="Weekdays",WEEKDAY($A307,2)&lt;=5,$A307='Recurring Schedule'!$F$42))),37,""))))</f>
        <v/>
      </c>
      <c r="AM307">
        <f>IF('Recurring Schedule'!$C$43="","",IF('Recurring Schedule'!$F$43="","",IF(OR($A307&lt;'Recurring Schedule'!$F$43,$A307&gt;'Recurring Schedule'!$P$43),"",IF(IF('Recurring Schedule'!$N$43&gt;0,MOD($A307-'Recurring Schedule'!$F$43,'Recurring Schedule'!$N$43)=0,IF('Recurring Schedule'!$O$43&gt;0,AND(DAY($A307)=MIN(DAY('Recurring Schedule'!$F$43),DAY(EOMONTH($A307,0))),MOD((YEAR($A307)-YEAR('Recurring Schedule'!$F$43))*12+MONTH($A307)-MONTH('Recurring Schedule'!$F$43),'Recurring Schedule'!$O$43)=0),IF('Recurring Schedule'!$E$43="Weekdays",WEEKDAY($A307,2)&lt;=5,$A307='Recurring Schedule'!$F$43))),38,""))))</f>
        <v/>
      </c>
      <c r="AN307">
        <f>IF('Recurring Schedule'!$C$44="","",IF('Recurring Schedule'!$F$44="","",IF(OR($A307&lt;'Recurring Schedule'!$F$44,$A307&gt;'Recurring Schedule'!$P$44),"",IF(IF('Recurring Schedule'!$N$44&gt;0,MOD($A307-'Recurring Schedule'!$F$44,'Recurring Schedule'!$N$44)=0,IF('Recurring Schedule'!$O$44&gt;0,AND(DAY($A307)=MIN(DAY('Recurring Schedule'!$F$44),DAY(EOMONTH($A307,0))),MOD((YEAR($A307)-YEAR('Recurring Schedule'!$F$44))*12+MONTH($A307)-MONTH('Recurring Schedule'!$F$44),'Recurring Schedule'!$O$44)=0),IF('Recurring Schedule'!$E$44="Weekdays",WEEKDAY($A307,2)&lt;=5,$A307='Recurring Schedule'!$F$44))),39,""))))</f>
        <v/>
      </c>
      <c r="AO307">
        <f>IF('Recurring Schedule'!$C$45="","",IF('Recurring Schedule'!$F$45="","",IF(OR($A307&lt;'Recurring Schedule'!$F$45,$A307&gt;'Recurring Schedule'!$P$45),"",IF(IF('Recurring Schedule'!$N$45&gt;0,MOD($A307-'Recurring Schedule'!$F$45,'Recurring Schedule'!$N$45)=0,IF('Recurring Schedule'!$O$45&gt;0,AND(DAY($A307)=MIN(DAY('Recurring Schedule'!$F$45),DAY(EOMONTH($A307,0))),MOD((YEAR($A307)-YEAR('Recurring Schedule'!$F$45))*12+MONTH($A307)-MONTH('Recurring Schedule'!$F$45),'Recurring Schedule'!$O$45)=0),IF('Recurring Schedule'!$E$45="Weekdays",WEEKDAY($A307,2)&lt;=5,$A307='Recurring Schedule'!$F$45))),40,""))))</f>
        <v/>
      </c>
      <c r="AP307">
        <f>COUNT(B307:AO307)</f>
        <v/>
      </c>
      <c r="AQ307">
        <f>AQ306+AP306</f>
        <v/>
      </c>
      <c r="AS307" t="inlineStr">
        <is>
          <t>R</t>
        </is>
      </c>
      <c r="AT307" t="n">
        <v>311</v>
      </c>
      <c r="AU307">
        <f>'Recurring Log'!C311&amp;""</f>
        <v/>
      </c>
      <c r="AV307">
        <f>'Recurring Log'!D311&amp;""</f>
        <v/>
      </c>
      <c r="AW307">
        <f>IF('Recurring Log'!E311="","",'Recurring Log'!E311)</f>
        <v/>
      </c>
      <c r="AX307">
        <f>IF('Recurring Log'!G311="","",'Recurring Log'!G311)</f>
        <v/>
      </c>
      <c r="AY307">
        <f>IF('Recurring Log'!H311="","",'Recurring Log'!H311)</f>
        <v/>
      </c>
      <c r="AZ307">
        <f>IF(AU307="","",IF('Recurring Log'!J311="","Not Started",'Recurring Log'!J311))</f>
        <v/>
      </c>
      <c r="BA307">
        <f>'Recurring Log'!L311&amp;""</f>
        <v/>
      </c>
      <c r="BB307">
        <f>'Recurring Log'!M311&amp;""</f>
        <v/>
      </c>
      <c r="BC307">
        <f>'Recurring Log'!N311&amp;""</f>
        <v/>
      </c>
      <c r="BD307">
        <f>'Recurring Log'!O311&amp;""</f>
        <v/>
      </c>
      <c r="BE307">
        <f>IF('Recurring Log'!K311="","",'Recurring Log'!K311)</f>
        <v/>
      </c>
      <c r="BF307">
        <f>IFERROR(MATCH(BA307,Setup!$L$6:$L$9,0),5)</f>
        <v/>
      </c>
      <c r="BG307">
        <f>IF(OR(AZ307="Done",AZ307="Cancelled"),1,0)</f>
        <v/>
      </c>
      <c r="BH307">
        <f>IF(AND(AU307&lt;&gt;"",ISNUMBER(AW307)),1,0)</f>
        <v/>
      </c>
      <c r="BI307">
        <f>IF(BH307=0,0,IF(AND(AW307&gt;='Tasks Filter'!$F$3,AW307&lt;='Tasks Filter'!$F$4,OR('Tasks Filter'!$I$3="",ISNUMBER(SEARCH('Tasks Filter'!$I$3,AU307))),OR('Tasks Filter'!$I$4="",BF307=IFERROR(MATCH('Tasks Filter'!$I$4,Setup!$L$6:$L$9,0),0)),OR('Tasks Filter'!$I$5="Both",AND('Tasks Filter'!$I$5="Yes",BB307="✓"),AND('Tasks Filter'!$I$5="No",BB307&lt;&gt;"✓")),OR('Tasks Filter'!$L$3="",AV307='Tasks Filter'!$L$3),OR('Tasks Filter'!$L$4="",AZ307='Tasks Filter'!$L$4),OR('Tasks Filter'!$L$5="",BC307='Tasks Filter'!$L$5),OR('Tasks Filter'!$O$3="",BD307='Tasks Filter'!$O$3),OR('Tasks Filter'!$O$4="Yes",BG307=0)),1,0))</f>
        <v/>
      </c>
      <c r="BJ307">
        <f>IF(BH307=0,"",IF('Tasks Filter'!$F$6="Descending",-1,1)*CHOOSE(MATCH('Tasks Filter'!$F$5,Lists!$G$2:$G$6,0),AW307,BF307,IFERROR(MATCH(AV307,Setup!$F$6:$F$15,0),99),IFERROR(MATCH(BC307,Setup!$H$6:$H$15,0),99),IFERROR(MATCH(AZ307,Setup!$J$6:$J$11,0),99))*1E+9+(AW307-40000)*10000+306)</f>
        <v/>
      </c>
      <c r="BK307">
        <f>IF(BI307=1,BJ307,"")</f>
        <v/>
      </c>
      <c r="BL307">
        <f>IF(AND(BH307=1,BG307=0,N(AW307)&lt;Setup!$D$7),(AW307-40000)*10000+306,"")</f>
        <v/>
      </c>
      <c r="BM307">
        <f>IF(AND(BH307=1,AZ307&lt;&gt;"Cancelled",N(AW307)&gt;=Dashboard!$AB$3,N(AW307)&lt;=Dashboard!$AB$3+6),(AW307-40000)*100000+BF307*10000+306,"")</f>
        <v/>
      </c>
      <c r="BN307">
        <f>IF(AND(BH307=1,AZ307&lt;&gt;"Cancelled"),BF307*10000+306,"")</f>
        <v/>
      </c>
    </row>
    <row r="308">
      <c r="A308">
        <f>Setup!$D$5+306</f>
        <v/>
      </c>
      <c r="B308">
        <f>IF('Recurring Schedule'!$C$6="","",IF('Recurring Schedule'!$F$6="","",IF(OR($A308&lt;'Recurring Schedule'!$F$6,$A308&gt;'Recurring Schedule'!$P$6),"",IF(IF('Recurring Schedule'!$N$6&gt;0,MOD($A308-'Recurring Schedule'!$F$6,'Recurring Schedule'!$N$6)=0,IF('Recurring Schedule'!$O$6&gt;0,AND(DAY($A308)=MIN(DAY('Recurring Schedule'!$F$6),DAY(EOMONTH($A308,0))),MOD((YEAR($A308)-YEAR('Recurring Schedule'!$F$6))*12+MONTH($A308)-MONTH('Recurring Schedule'!$F$6),'Recurring Schedule'!$O$6)=0),IF('Recurring Schedule'!$E$6="Weekdays",WEEKDAY($A308,2)&lt;=5,$A308='Recurring Schedule'!$F$6))),1,""))))</f>
        <v/>
      </c>
      <c r="C308">
        <f>IF('Recurring Schedule'!$C$7="","",IF('Recurring Schedule'!$F$7="","",IF(OR($A308&lt;'Recurring Schedule'!$F$7,$A308&gt;'Recurring Schedule'!$P$7),"",IF(IF('Recurring Schedule'!$N$7&gt;0,MOD($A308-'Recurring Schedule'!$F$7,'Recurring Schedule'!$N$7)=0,IF('Recurring Schedule'!$O$7&gt;0,AND(DAY($A308)=MIN(DAY('Recurring Schedule'!$F$7),DAY(EOMONTH($A308,0))),MOD((YEAR($A308)-YEAR('Recurring Schedule'!$F$7))*12+MONTH($A308)-MONTH('Recurring Schedule'!$F$7),'Recurring Schedule'!$O$7)=0),IF('Recurring Schedule'!$E$7="Weekdays",WEEKDAY($A308,2)&lt;=5,$A308='Recurring Schedule'!$F$7))),2,""))))</f>
        <v/>
      </c>
      <c r="D308">
        <f>IF('Recurring Schedule'!$C$8="","",IF('Recurring Schedule'!$F$8="","",IF(OR($A308&lt;'Recurring Schedule'!$F$8,$A308&gt;'Recurring Schedule'!$P$8),"",IF(IF('Recurring Schedule'!$N$8&gt;0,MOD($A308-'Recurring Schedule'!$F$8,'Recurring Schedule'!$N$8)=0,IF('Recurring Schedule'!$O$8&gt;0,AND(DAY($A308)=MIN(DAY('Recurring Schedule'!$F$8),DAY(EOMONTH($A308,0))),MOD((YEAR($A308)-YEAR('Recurring Schedule'!$F$8))*12+MONTH($A308)-MONTH('Recurring Schedule'!$F$8),'Recurring Schedule'!$O$8)=0),IF('Recurring Schedule'!$E$8="Weekdays",WEEKDAY($A308,2)&lt;=5,$A308='Recurring Schedule'!$F$8))),3,""))))</f>
        <v/>
      </c>
      <c r="E308">
        <f>IF('Recurring Schedule'!$C$9="","",IF('Recurring Schedule'!$F$9="","",IF(OR($A308&lt;'Recurring Schedule'!$F$9,$A308&gt;'Recurring Schedule'!$P$9),"",IF(IF('Recurring Schedule'!$N$9&gt;0,MOD($A308-'Recurring Schedule'!$F$9,'Recurring Schedule'!$N$9)=0,IF('Recurring Schedule'!$O$9&gt;0,AND(DAY($A308)=MIN(DAY('Recurring Schedule'!$F$9),DAY(EOMONTH($A308,0))),MOD((YEAR($A308)-YEAR('Recurring Schedule'!$F$9))*12+MONTH($A308)-MONTH('Recurring Schedule'!$F$9),'Recurring Schedule'!$O$9)=0),IF('Recurring Schedule'!$E$9="Weekdays",WEEKDAY($A308,2)&lt;=5,$A308='Recurring Schedule'!$F$9))),4,""))))</f>
        <v/>
      </c>
      <c r="F308">
        <f>IF('Recurring Schedule'!$C$10="","",IF('Recurring Schedule'!$F$10="","",IF(OR($A308&lt;'Recurring Schedule'!$F$10,$A308&gt;'Recurring Schedule'!$P$10),"",IF(IF('Recurring Schedule'!$N$10&gt;0,MOD($A308-'Recurring Schedule'!$F$10,'Recurring Schedule'!$N$10)=0,IF('Recurring Schedule'!$O$10&gt;0,AND(DAY($A308)=MIN(DAY('Recurring Schedule'!$F$10),DAY(EOMONTH($A308,0))),MOD((YEAR($A308)-YEAR('Recurring Schedule'!$F$10))*12+MONTH($A308)-MONTH('Recurring Schedule'!$F$10),'Recurring Schedule'!$O$10)=0),IF('Recurring Schedule'!$E$10="Weekdays",WEEKDAY($A308,2)&lt;=5,$A308='Recurring Schedule'!$F$10))),5,""))))</f>
        <v/>
      </c>
      <c r="G308">
        <f>IF('Recurring Schedule'!$C$11="","",IF('Recurring Schedule'!$F$11="","",IF(OR($A308&lt;'Recurring Schedule'!$F$11,$A308&gt;'Recurring Schedule'!$P$11),"",IF(IF('Recurring Schedule'!$N$11&gt;0,MOD($A308-'Recurring Schedule'!$F$11,'Recurring Schedule'!$N$11)=0,IF('Recurring Schedule'!$O$11&gt;0,AND(DAY($A308)=MIN(DAY('Recurring Schedule'!$F$11),DAY(EOMONTH($A308,0))),MOD((YEAR($A308)-YEAR('Recurring Schedule'!$F$11))*12+MONTH($A308)-MONTH('Recurring Schedule'!$F$11),'Recurring Schedule'!$O$11)=0),IF('Recurring Schedule'!$E$11="Weekdays",WEEKDAY($A308,2)&lt;=5,$A308='Recurring Schedule'!$F$11))),6,""))))</f>
        <v/>
      </c>
      <c r="H308">
        <f>IF('Recurring Schedule'!$C$12="","",IF('Recurring Schedule'!$F$12="","",IF(OR($A308&lt;'Recurring Schedule'!$F$12,$A308&gt;'Recurring Schedule'!$P$12),"",IF(IF('Recurring Schedule'!$N$12&gt;0,MOD($A308-'Recurring Schedule'!$F$12,'Recurring Schedule'!$N$12)=0,IF('Recurring Schedule'!$O$12&gt;0,AND(DAY($A308)=MIN(DAY('Recurring Schedule'!$F$12),DAY(EOMONTH($A308,0))),MOD((YEAR($A308)-YEAR('Recurring Schedule'!$F$12))*12+MONTH($A308)-MONTH('Recurring Schedule'!$F$12),'Recurring Schedule'!$O$12)=0),IF('Recurring Schedule'!$E$12="Weekdays",WEEKDAY($A308,2)&lt;=5,$A308='Recurring Schedule'!$F$12))),7,""))))</f>
        <v/>
      </c>
      <c r="I308">
        <f>IF('Recurring Schedule'!$C$13="","",IF('Recurring Schedule'!$F$13="","",IF(OR($A308&lt;'Recurring Schedule'!$F$13,$A308&gt;'Recurring Schedule'!$P$13),"",IF(IF('Recurring Schedule'!$N$13&gt;0,MOD($A308-'Recurring Schedule'!$F$13,'Recurring Schedule'!$N$13)=0,IF('Recurring Schedule'!$O$13&gt;0,AND(DAY($A308)=MIN(DAY('Recurring Schedule'!$F$13),DAY(EOMONTH($A308,0))),MOD((YEAR($A308)-YEAR('Recurring Schedule'!$F$13))*12+MONTH($A308)-MONTH('Recurring Schedule'!$F$13),'Recurring Schedule'!$O$13)=0),IF('Recurring Schedule'!$E$13="Weekdays",WEEKDAY($A308,2)&lt;=5,$A308='Recurring Schedule'!$F$13))),8,""))))</f>
        <v/>
      </c>
      <c r="J308">
        <f>IF('Recurring Schedule'!$C$14="","",IF('Recurring Schedule'!$F$14="","",IF(OR($A308&lt;'Recurring Schedule'!$F$14,$A308&gt;'Recurring Schedule'!$P$14),"",IF(IF('Recurring Schedule'!$N$14&gt;0,MOD($A308-'Recurring Schedule'!$F$14,'Recurring Schedule'!$N$14)=0,IF('Recurring Schedule'!$O$14&gt;0,AND(DAY($A308)=MIN(DAY('Recurring Schedule'!$F$14),DAY(EOMONTH($A308,0))),MOD((YEAR($A308)-YEAR('Recurring Schedule'!$F$14))*12+MONTH($A308)-MONTH('Recurring Schedule'!$F$14),'Recurring Schedule'!$O$14)=0),IF('Recurring Schedule'!$E$14="Weekdays",WEEKDAY($A308,2)&lt;=5,$A308='Recurring Schedule'!$F$14))),9,""))))</f>
        <v/>
      </c>
      <c r="K308">
        <f>IF('Recurring Schedule'!$C$15="","",IF('Recurring Schedule'!$F$15="","",IF(OR($A308&lt;'Recurring Schedule'!$F$15,$A308&gt;'Recurring Schedule'!$P$15),"",IF(IF('Recurring Schedule'!$N$15&gt;0,MOD($A308-'Recurring Schedule'!$F$15,'Recurring Schedule'!$N$15)=0,IF('Recurring Schedule'!$O$15&gt;0,AND(DAY($A308)=MIN(DAY('Recurring Schedule'!$F$15),DAY(EOMONTH($A308,0))),MOD((YEAR($A308)-YEAR('Recurring Schedule'!$F$15))*12+MONTH($A308)-MONTH('Recurring Schedule'!$F$15),'Recurring Schedule'!$O$15)=0),IF('Recurring Schedule'!$E$15="Weekdays",WEEKDAY($A308,2)&lt;=5,$A308='Recurring Schedule'!$F$15))),10,""))))</f>
        <v/>
      </c>
      <c r="L308">
        <f>IF('Recurring Schedule'!$C$16="","",IF('Recurring Schedule'!$F$16="","",IF(OR($A308&lt;'Recurring Schedule'!$F$16,$A308&gt;'Recurring Schedule'!$P$16),"",IF(IF('Recurring Schedule'!$N$16&gt;0,MOD($A308-'Recurring Schedule'!$F$16,'Recurring Schedule'!$N$16)=0,IF('Recurring Schedule'!$O$16&gt;0,AND(DAY($A308)=MIN(DAY('Recurring Schedule'!$F$16),DAY(EOMONTH($A308,0))),MOD((YEAR($A308)-YEAR('Recurring Schedule'!$F$16))*12+MONTH($A308)-MONTH('Recurring Schedule'!$F$16),'Recurring Schedule'!$O$16)=0),IF('Recurring Schedule'!$E$16="Weekdays",WEEKDAY($A308,2)&lt;=5,$A308='Recurring Schedule'!$F$16))),11,""))))</f>
        <v/>
      </c>
      <c r="M308">
        <f>IF('Recurring Schedule'!$C$17="","",IF('Recurring Schedule'!$F$17="","",IF(OR($A308&lt;'Recurring Schedule'!$F$17,$A308&gt;'Recurring Schedule'!$P$17),"",IF(IF('Recurring Schedule'!$N$17&gt;0,MOD($A308-'Recurring Schedule'!$F$17,'Recurring Schedule'!$N$17)=0,IF('Recurring Schedule'!$O$17&gt;0,AND(DAY($A308)=MIN(DAY('Recurring Schedule'!$F$17),DAY(EOMONTH($A308,0))),MOD((YEAR($A308)-YEAR('Recurring Schedule'!$F$17))*12+MONTH($A308)-MONTH('Recurring Schedule'!$F$17),'Recurring Schedule'!$O$17)=0),IF('Recurring Schedule'!$E$17="Weekdays",WEEKDAY($A308,2)&lt;=5,$A308='Recurring Schedule'!$F$17))),12,""))))</f>
        <v/>
      </c>
      <c r="N308">
        <f>IF('Recurring Schedule'!$C$18="","",IF('Recurring Schedule'!$F$18="","",IF(OR($A308&lt;'Recurring Schedule'!$F$18,$A308&gt;'Recurring Schedule'!$P$18),"",IF(IF('Recurring Schedule'!$N$18&gt;0,MOD($A308-'Recurring Schedule'!$F$18,'Recurring Schedule'!$N$18)=0,IF('Recurring Schedule'!$O$18&gt;0,AND(DAY($A308)=MIN(DAY('Recurring Schedule'!$F$18),DAY(EOMONTH($A308,0))),MOD((YEAR($A308)-YEAR('Recurring Schedule'!$F$18))*12+MONTH($A308)-MONTH('Recurring Schedule'!$F$18),'Recurring Schedule'!$O$18)=0),IF('Recurring Schedule'!$E$18="Weekdays",WEEKDAY($A308,2)&lt;=5,$A308='Recurring Schedule'!$F$18))),13,""))))</f>
        <v/>
      </c>
      <c r="O308">
        <f>IF('Recurring Schedule'!$C$19="","",IF('Recurring Schedule'!$F$19="","",IF(OR($A308&lt;'Recurring Schedule'!$F$19,$A308&gt;'Recurring Schedule'!$P$19),"",IF(IF('Recurring Schedule'!$N$19&gt;0,MOD($A308-'Recurring Schedule'!$F$19,'Recurring Schedule'!$N$19)=0,IF('Recurring Schedule'!$O$19&gt;0,AND(DAY($A308)=MIN(DAY('Recurring Schedule'!$F$19),DAY(EOMONTH($A308,0))),MOD((YEAR($A308)-YEAR('Recurring Schedule'!$F$19))*12+MONTH($A308)-MONTH('Recurring Schedule'!$F$19),'Recurring Schedule'!$O$19)=0),IF('Recurring Schedule'!$E$19="Weekdays",WEEKDAY($A308,2)&lt;=5,$A308='Recurring Schedule'!$F$19))),14,""))))</f>
        <v/>
      </c>
      <c r="P308">
        <f>IF('Recurring Schedule'!$C$20="","",IF('Recurring Schedule'!$F$20="","",IF(OR($A308&lt;'Recurring Schedule'!$F$20,$A308&gt;'Recurring Schedule'!$P$20),"",IF(IF('Recurring Schedule'!$N$20&gt;0,MOD($A308-'Recurring Schedule'!$F$20,'Recurring Schedule'!$N$20)=0,IF('Recurring Schedule'!$O$20&gt;0,AND(DAY($A308)=MIN(DAY('Recurring Schedule'!$F$20),DAY(EOMONTH($A308,0))),MOD((YEAR($A308)-YEAR('Recurring Schedule'!$F$20))*12+MONTH($A308)-MONTH('Recurring Schedule'!$F$20),'Recurring Schedule'!$O$20)=0),IF('Recurring Schedule'!$E$20="Weekdays",WEEKDAY($A308,2)&lt;=5,$A308='Recurring Schedule'!$F$20))),15,""))))</f>
        <v/>
      </c>
      <c r="Q308">
        <f>IF('Recurring Schedule'!$C$21="","",IF('Recurring Schedule'!$F$21="","",IF(OR($A308&lt;'Recurring Schedule'!$F$21,$A308&gt;'Recurring Schedule'!$P$21),"",IF(IF('Recurring Schedule'!$N$21&gt;0,MOD($A308-'Recurring Schedule'!$F$21,'Recurring Schedule'!$N$21)=0,IF('Recurring Schedule'!$O$21&gt;0,AND(DAY($A308)=MIN(DAY('Recurring Schedule'!$F$21),DAY(EOMONTH($A308,0))),MOD((YEAR($A308)-YEAR('Recurring Schedule'!$F$21))*12+MONTH($A308)-MONTH('Recurring Schedule'!$F$21),'Recurring Schedule'!$O$21)=0),IF('Recurring Schedule'!$E$21="Weekdays",WEEKDAY($A308,2)&lt;=5,$A308='Recurring Schedule'!$F$21))),16,""))))</f>
        <v/>
      </c>
      <c r="R308">
        <f>IF('Recurring Schedule'!$C$22="","",IF('Recurring Schedule'!$F$22="","",IF(OR($A308&lt;'Recurring Schedule'!$F$22,$A308&gt;'Recurring Schedule'!$P$22),"",IF(IF('Recurring Schedule'!$N$22&gt;0,MOD($A308-'Recurring Schedule'!$F$22,'Recurring Schedule'!$N$22)=0,IF('Recurring Schedule'!$O$22&gt;0,AND(DAY($A308)=MIN(DAY('Recurring Schedule'!$F$22),DAY(EOMONTH($A308,0))),MOD((YEAR($A308)-YEAR('Recurring Schedule'!$F$22))*12+MONTH($A308)-MONTH('Recurring Schedule'!$F$22),'Recurring Schedule'!$O$22)=0),IF('Recurring Schedule'!$E$22="Weekdays",WEEKDAY($A308,2)&lt;=5,$A308='Recurring Schedule'!$F$22))),17,""))))</f>
        <v/>
      </c>
      <c r="S308">
        <f>IF('Recurring Schedule'!$C$23="","",IF('Recurring Schedule'!$F$23="","",IF(OR($A308&lt;'Recurring Schedule'!$F$23,$A308&gt;'Recurring Schedule'!$P$23),"",IF(IF('Recurring Schedule'!$N$23&gt;0,MOD($A308-'Recurring Schedule'!$F$23,'Recurring Schedule'!$N$23)=0,IF('Recurring Schedule'!$O$23&gt;0,AND(DAY($A308)=MIN(DAY('Recurring Schedule'!$F$23),DAY(EOMONTH($A308,0))),MOD((YEAR($A308)-YEAR('Recurring Schedule'!$F$23))*12+MONTH($A308)-MONTH('Recurring Schedule'!$F$23),'Recurring Schedule'!$O$23)=0),IF('Recurring Schedule'!$E$23="Weekdays",WEEKDAY($A308,2)&lt;=5,$A308='Recurring Schedule'!$F$23))),18,""))))</f>
        <v/>
      </c>
      <c r="T308">
        <f>IF('Recurring Schedule'!$C$24="","",IF('Recurring Schedule'!$F$24="","",IF(OR($A308&lt;'Recurring Schedule'!$F$24,$A308&gt;'Recurring Schedule'!$P$24),"",IF(IF('Recurring Schedule'!$N$24&gt;0,MOD($A308-'Recurring Schedule'!$F$24,'Recurring Schedule'!$N$24)=0,IF('Recurring Schedule'!$O$24&gt;0,AND(DAY($A308)=MIN(DAY('Recurring Schedule'!$F$24),DAY(EOMONTH($A308,0))),MOD((YEAR($A308)-YEAR('Recurring Schedule'!$F$24))*12+MONTH($A308)-MONTH('Recurring Schedule'!$F$24),'Recurring Schedule'!$O$24)=0),IF('Recurring Schedule'!$E$24="Weekdays",WEEKDAY($A308,2)&lt;=5,$A308='Recurring Schedule'!$F$24))),19,""))))</f>
        <v/>
      </c>
      <c r="U308">
        <f>IF('Recurring Schedule'!$C$25="","",IF('Recurring Schedule'!$F$25="","",IF(OR($A308&lt;'Recurring Schedule'!$F$25,$A308&gt;'Recurring Schedule'!$P$25),"",IF(IF('Recurring Schedule'!$N$25&gt;0,MOD($A308-'Recurring Schedule'!$F$25,'Recurring Schedule'!$N$25)=0,IF('Recurring Schedule'!$O$25&gt;0,AND(DAY($A308)=MIN(DAY('Recurring Schedule'!$F$25),DAY(EOMONTH($A308,0))),MOD((YEAR($A308)-YEAR('Recurring Schedule'!$F$25))*12+MONTH($A308)-MONTH('Recurring Schedule'!$F$25),'Recurring Schedule'!$O$25)=0),IF('Recurring Schedule'!$E$25="Weekdays",WEEKDAY($A308,2)&lt;=5,$A308='Recurring Schedule'!$F$25))),20,""))))</f>
        <v/>
      </c>
      <c r="V308">
        <f>IF('Recurring Schedule'!$C$26="","",IF('Recurring Schedule'!$F$26="","",IF(OR($A308&lt;'Recurring Schedule'!$F$26,$A308&gt;'Recurring Schedule'!$P$26),"",IF(IF('Recurring Schedule'!$N$26&gt;0,MOD($A308-'Recurring Schedule'!$F$26,'Recurring Schedule'!$N$26)=0,IF('Recurring Schedule'!$O$26&gt;0,AND(DAY($A308)=MIN(DAY('Recurring Schedule'!$F$26),DAY(EOMONTH($A308,0))),MOD((YEAR($A308)-YEAR('Recurring Schedule'!$F$26))*12+MONTH($A308)-MONTH('Recurring Schedule'!$F$26),'Recurring Schedule'!$O$26)=0),IF('Recurring Schedule'!$E$26="Weekdays",WEEKDAY($A308,2)&lt;=5,$A308='Recurring Schedule'!$F$26))),21,""))))</f>
        <v/>
      </c>
      <c r="W308">
        <f>IF('Recurring Schedule'!$C$27="","",IF('Recurring Schedule'!$F$27="","",IF(OR($A308&lt;'Recurring Schedule'!$F$27,$A308&gt;'Recurring Schedule'!$P$27),"",IF(IF('Recurring Schedule'!$N$27&gt;0,MOD($A308-'Recurring Schedule'!$F$27,'Recurring Schedule'!$N$27)=0,IF('Recurring Schedule'!$O$27&gt;0,AND(DAY($A308)=MIN(DAY('Recurring Schedule'!$F$27),DAY(EOMONTH($A308,0))),MOD((YEAR($A308)-YEAR('Recurring Schedule'!$F$27))*12+MONTH($A308)-MONTH('Recurring Schedule'!$F$27),'Recurring Schedule'!$O$27)=0),IF('Recurring Schedule'!$E$27="Weekdays",WEEKDAY($A308,2)&lt;=5,$A308='Recurring Schedule'!$F$27))),22,""))))</f>
        <v/>
      </c>
      <c r="X308">
        <f>IF('Recurring Schedule'!$C$28="","",IF('Recurring Schedule'!$F$28="","",IF(OR($A308&lt;'Recurring Schedule'!$F$28,$A308&gt;'Recurring Schedule'!$P$28),"",IF(IF('Recurring Schedule'!$N$28&gt;0,MOD($A308-'Recurring Schedule'!$F$28,'Recurring Schedule'!$N$28)=0,IF('Recurring Schedule'!$O$28&gt;0,AND(DAY($A308)=MIN(DAY('Recurring Schedule'!$F$28),DAY(EOMONTH($A308,0))),MOD((YEAR($A308)-YEAR('Recurring Schedule'!$F$28))*12+MONTH($A308)-MONTH('Recurring Schedule'!$F$28),'Recurring Schedule'!$O$28)=0),IF('Recurring Schedule'!$E$28="Weekdays",WEEKDAY($A308,2)&lt;=5,$A308='Recurring Schedule'!$F$28))),23,""))))</f>
        <v/>
      </c>
      <c r="Y308">
        <f>IF('Recurring Schedule'!$C$29="","",IF('Recurring Schedule'!$F$29="","",IF(OR($A308&lt;'Recurring Schedule'!$F$29,$A308&gt;'Recurring Schedule'!$P$29),"",IF(IF('Recurring Schedule'!$N$29&gt;0,MOD($A308-'Recurring Schedule'!$F$29,'Recurring Schedule'!$N$29)=0,IF('Recurring Schedule'!$O$29&gt;0,AND(DAY($A308)=MIN(DAY('Recurring Schedule'!$F$29),DAY(EOMONTH($A308,0))),MOD((YEAR($A308)-YEAR('Recurring Schedule'!$F$29))*12+MONTH($A308)-MONTH('Recurring Schedule'!$F$29),'Recurring Schedule'!$O$29)=0),IF('Recurring Schedule'!$E$29="Weekdays",WEEKDAY($A308,2)&lt;=5,$A308='Recurring Schedule'!$F$29))),24,""))))</f>
        <v/>
      </c>
      <c r="Z308">
        <f>IF('Recurring Schedule'!$C$30="","",IF('Recurring Schedule'!$F$30="","",IF(OR($A308&lt;'Recurring Schedule'!$F$30,$A308&gt;'Recurring Schedule'!$P$30),"",IF(IF('Recurring Schedule'!$N$30&gt;0,MOD($A308-'Recurring Schedule'!$F$30,'Recurring Schedule'!$N$30)=0,IF('Recurring Schedule'!$O$30&gt;0,AND(DAY($A308)=MIN(DAY('Recurring Schedule'!$F$30),DAY(EOMONTH($A308,0))),MOD((YEAR($A308)-YEAR('Recurring Schedule'!$F$30))*12+MONTH($A308)-MONTH('Recurring Schedule'!$F$30),'Recurring Schedule'!$O$30)=0),IF('Recurring Schedule'!$E$30="Weekdays",WEEKDAY($A308,2)&lt;=5,$A308='Recurring Schedule'!$F$30))),25,""))))</f>
        <v/>
      </c>
      <c r="AA308">
        <f>IF('Recurring Schedule'!$C$31="","",IF('Recurring Schedule'!$F$31="","",IF(OR($A308&lt;'Recurring Schedule'!$F$31,$A308&gt;'Recurring Schedule'!$P$31),"",IF(IF('Recurring Schedule'!$N$31&gt;0,MOD($A308-'Recurring Schedule'!$F$31,'Recurring Schedule'!$N$31)=0,IF('Recurring Schedule'!$O$31&gt;0,AND(DAY($A308)=MIN(DAY('Recurring Schedule'!$F$31),DAY(EOMONTH($A308,0))),MOD((YEAR($A308)-YEAR('Recurring Schedule'!$F$31))*12+MONTH($A308)-MONTH('Recurring Schedule'!$F$31),'Recurring Schedule'!$O$31)=0),IF('Recurring Schedule'!$E$31="Weekdays",WEEKDAY($A308,2)&lt;=5,$A308='Recurring Schedule'!$F$31))),26,""))))</f>
        <v/>
      </c>
      <c r="AB308">
        <f>IF('Recurring Schedule'!$C$32="","",IF('Recurring Schedule'!$F$32="","",IF(OR($A308&lt;'Recurring Schedule'!$F$32,$A308&gt;'Recurring Schedule'!$P$32),"",IF(IF('Recurring Schedule'!$N$32&gt;0,MOD($A308-'Recurring Schedule'!$F$32,'Recurring Schedule'!$N$32)=0,IF('Recurring Schedule'!$O$32&gt;0,AND(DAY($A308)=MIN(DAY('Recurring Schedule'!$F$32),DAY(EOMONTH($A308,0))),MOD((YEAR($A308)-YEAR('Recurring Schedule'!$F$32))*12+MONTH($A308)-MONTH('Recurring Schedule'!$F$32),'Recurring Schedule'!$O$32)=0),IF('Recurring Schedule'!$E$32="Weekdays",WEEKDAY($A308,2)&lt;=5,$A308='Recurring Schedule'!$F$32))),27,""))))</f>
        <v/>
      </c>
      <c r="AC308">
        <f>IF('Recurring Schedule'!$C$33="","",IF('Recurring Schedule'!$F$33="","",IF(OR($A308&lt;'Recurring Schedule'!$F$33,$A308&gt;'Recurring Schedule'!$P$33),"",IF(IF('Recurring Schedule'!$N$33&gt;0,MOD($A308-'Recurring Schedule'!$F$33,'Recurring Schedule'!$N$33)=0,IF('Recurring Schedule'!$O$33&gt;0,AND(DAY($A308)=MIN(DAY('Recurring Schedule'!$F$33),DAY(EOMONTH($A308,0))),MOD((YEAR($A308)-YEAR('Recurring Schedule'!$F$33))*12+MONTH($A308)-MONTH('Recurring Schedule'!$F$33),'Recurring Schedule'!$O$33)=0),IF('Recurring Schedule'!$E$33="Weekdays",WEEKDAY($A308,2)&lt;=5,$A308='Recurring Schedule'!$F$33))),28,""))))</f>
        <v/>
      </c>
      <c r="AD308">
        <f>IF('Recurring Schedule'!$C$34="","",IF('Recurring Schedule'!$F$34="","",IF(OR($A308&lt;'Recurring Schedule'!$F$34,$A308&gt;'Recurring Schedule'!$P$34),"",IF(IF('Recurring Schedule'!$N$34&gt;0,MOD($A308-'Recurring Schedule'!$F$34,'Recurring Schedule'!$N$34)=0,IF('Recurring Schedule'!$O$34&gt;0,AND(DAY($A308)=MIN(DAY('Recurring Schedule'!$F$34),DAY(EOMONTH($A308,0))),MOD((YEAR($A308)-YEAR('Recurring Schedule'!$F$34))*12+MONTH($A308)-MONTH('Recurring Schedule'!$F$34),'Recurring Schedule'!$O$34)=0),IF('Recurring Schedule'!$E$34="Weekdays",WEEKDAY($A308,2)&lt;=5,$A308='Recurring Schedule'!$F$34))),29,""))))</f>
        <v/>
      </c>
      <c r="AE308">
        <f>IF('Recurring Schedule'!$C$35="","",IF('Recurring Schedule'!$F$35="","",IF(OR($A308&lt;'Recurring Schedule'!$F$35,$A308&gt;'Recurring Schedule'!$P$35),"",IF(IF('Recurring Schedule'!$N$35&gt;0,MOD($A308-'Recurring Schedule'!$F$35,'Recurring Schedule'!$N$35)=0,IF('Recurring Schedule'!$O$35&gt;0,AND(DAY($A308)=MIN(DAY('Recurring Schedule'!$F$35),DAY(EOMONTH($A308,0))),MOD((YEAR($A308)-YEAR('Recurring Schedule'!$F$35))*12+MONTH($A308)-MONTH('Recurring Schedule'!$F$35),'Recurring Schedule'!$O$35)=0),IF('Recurring Schedule'!$E$35="Weekdays",WEEKDAY($A308,2)&lt;=5,$A308='Recurring Schedule'!$F$35))),30,""))))</f>
        <v/>
      </c>
      <c r="AF308">
        <f>IF('Recurring Schedule'!$C$36="","",IF('Recurring Schedule'!$F$36="","",IF(OR($A308&lt;'Recurring Schedule'!$F$36,$A308&gt;'Recurring Schedule'!$P$36),"",IF(IF('Recurring Schedule'!$N$36&gt;0,MOD($A308-'Recurring Schedule'!$F$36,'Recurring Schedule'!$N$36)=0,IF('Recurring Schedule'!$O$36&gt;0,AND(DAY($A308)=MIN(DAY('Recurring Schedule'!$F$36),DAY(EOMONTH($A308,0))),MOD((YEAR($A308)-YEAR('Recurring Schedule'!$F$36))*12+MONTH($A308)-MONTH('Recurring Schedule'!$F$36),'Recurring Schedule'!$O$36)=0),IF('Recurring Schedule'!$E$36="Weekdays",WEEKDAY($A308,2)&lt;=5,$A308='Recurring Schedule'!$F$36))),31,""))))</f>
        <v/>
      </c>
      <c r="AG308">
        <f>IF('Recurring Schedule'!$C$37="","",IF('Recurring Schedule'!$F$37="","",IF(OR($A308&lt;'Recurring Schedule'!$F$37,$A308&gt;'Recurring Schedule'!$P$37),"",IF(IF('Recurring Schedule'!$N$37&gt;0,MOD($A308-'Recurring Schedule'!$F$37,'Recurring Schedule'!$N$37)=0,IF('Recurring Schedule'!$O$37&gt;0,AND(DAY($A308)=MIN(DAY('Recurring Schedule'!$F$37),DAY(EOMONTH($A308,0))),MOD((YEAR($A308)-YEAR('Recurring Schedule'!$F$37))*12+MONTH($A308)-MONTH('Recurring Schedule'!$F$37),'Recurring Schedule'!$O$37)=0),IF('Recurring Schedule'!$E$37="Weekdays",WEEKDAY($A308,2)&lt;=5,$A308='Recurring Schedule'!$F$37))),32,""))))</f>
        <v/>
      </c>
      <c r="AH308">
        <f>IF('Recurring Schedule'!$C$38="","",IF('Recurring Schedule'!$F$38="","",IF(OR($A308&lt;'Recurring Schedule'!$F$38,$A308&gt;'Recurring Schedule'!$P$38),"",IF(IF('Recurring Schedule'!$N$38&gt;0,MOD($A308-'Recurring Schedule'!$F$38,'Recurring Schedule'!$N$38)=0,IF('Recurring Schedule'!$O$38&gt;0,AND(DAY($A308)=MIN(DAY('Recurring Schedule'!$F$38),DAY(EOMONTH($A308,0))),MOD((YEAR($A308)-YEAR('Recurring Schedule'!$F$38))*12+MONTH($A308)-MONTH('Recurring Schedule'!$F$38),'Recurring Schedule'!$O$38)=0),IF('Recurring Schedule'!$E$38="Weekdays",WEEKDAY($A308,2)&lt;=5,$A308='Recurring Schedule'!$F$38))),33,""))))</f>
        <v/>
      </c>
      <c r="AI308">
        <f>IF('Recurring Schedule'!$C$39="","",IF('Recurring Schedule'!$F$39="","",IF(OR($A308&lt;'Recurring Schedule'!$F$39,$A308&gt;'Recurring Schedule'!$P$39),"",IF(IF('Recurring Schedule'!$N$39&gt;0,MOD($A308-'Recurring Schedule'!$F$39,'Recurring Schedule'!$N$39)=0,IF('Recurring Schedule'!$O$39&gt;0,AND(DAY($A308)=MIN(DAY('Recurring Schedule'!$F$39),DAY(EOMONTH($A308,0))),MOD((YEAR($A308)-YEAR('Recurring Schedule'!$F$39))*12+MONTH($A308)-MONTH('Recurring Schedule'!$F$39),'Recurring Schedule'!$O$39)=0),IF('Recurring Schedule'!$E$39="Weekdays",WEEKDAY($A308,2)&lt;=5,$A308='Recurring Schedule'!$F$39))),34,""))))</f>
        <v/>
      </c>
      <c r="AJ308">
        <f>IF('Recurring Schedule'!$C$40="","",IF('Recurring Schedule'!$F$40="","",IF(OR($A308&lt;'Recurring Schedule'!$F$40,$A308&gt;'Recurring Schedule'!$P$40),"",IF(IF('Recurring Schedule'!$N$40&gt;0,MOD($A308-'Recurring Schedule'!$F$40,'Recurring Schedule'!$N$40)=0,IF('Recurring Schedule'!$O$40&gt;0,AND(DAY($A308)=MIN(DAY('Recurring Schedule'!$F$40),DAY(EOMONTH($A308,0))),MOD((YEAR($A308)-YEAR('Recurring Schedule'!$F$40))*12+MONTH($A308)-MONTH('Recurring Schedule'!$F$40),'Recurring Schedule'!$O$40)=0),IF('Recurring Schedule'!$E$40="Weekdays",WEEKDAY($A308,2)&lt;=5,$A308='Recurring Schedule'!$F$40))),35,""))))</f>
        <v/>
      </c>
      <c r="AK308">
        <f>IF('Recurring Schedule'!$C$41="","",IF('Recurring Schedule'!$F$41="","",IF(OR($A308&lt;'Recurring Schedule'!$F$41,$A308&gt;'Recurring Schedule'!$P$41),"",IF(IF('Recurring Schedule'!$N$41&gt;0,MOD($A308-'Recurring Schedule'!$F$41,'Recurring Schedule'!$N$41)=0,IF('Recurring Schedule'!$O$41&gt;0,AND(DAY($A308)=MIN(DAY('Recurring Schedule'!$F$41),DAY(EOMONTH($A308,0))),MOD((YEAR($A308)-YEAR('Recurring Schedule'!$F$41))*12+MONTH($A308)-MONTH('Recurring Schedule'!$F$41),'Recurring Schedule'!$O$41)=0),IF('Recurring Schedule'!$E$41="Weekdays",WEEKDAY($A308,2)&lt;=5,$A308='Recurring Schedule'!$F$41))),36,""))))</f>
        <v/>
      </c>
      <c r="AL308">
        <f>IF('Recurring Schedule'!$C$42="","",IF('Recurring Schedule'!$F$42="","",IF(OR($A308&lt;'Recurring Schedule'!$F$42,$A308&gt;'Recurring Schedule'!$P$42),"",IF(IF('Recurring Schedule'!$N$42&gt;0,MOD($A308-'Recurring Schedule'!$F$42,'Recurring Schedule'!$N$42)=0,IF('Recurring Schedule'!$O$42&gt;0,AND(DAY($A308)=MIN(DAY('Recurring Schedule'!$F$42),DAY(EOMONTH($A308,0))),MOD((YEAR($A308)-YEAR('Recurring Schedule'!$F$42))*12+MONTH($A308)-MONTH('Recurring Schedule'!$F$42),'Recurring Schedule'!$O$42)=0),IF('Recurring Schedule'!$E$42="Weekdays",WEEKDAY($A308,2)&lt;=5,$A308='Recurring Schedule'!$F$42))),37,""))))</f>
        <v/>
      </c>
      <c r="AM308">
        <f>IF('Recurring Schedule'!$C$43="","",IF('Recurring Schedule'!$F$43="","",IF(OR($A308&lt;'Recurring Schedule'!$F$43,$A308&gt;'Recurring Schedule'!$P$43),"",IF(IF('Recurring Schedule'!$N$43&gt;0,MOD($A308-'Recurring Schedule'!$F$43,'Recurring Schedule'!$N$43)=0,IF('Recurring Schedule'!$O$43&gt;0,AND(DAY($A308)=MIN(DAY('Recurring Schedule'!$F$43),DAY(EOMONTH($A308,0))),MOD((YEAR($A308)-YEAR('Recurring Schedule'!$F$43))*12+MONTH($A308)-MONTH('Recurring Schedule'!$F$43),'Recurring Schedule'!$O$43)=0),IF('Recurring Schedule'!$E$43="Weekdays",WEEKDAY($A308,2)&lt;=5,$A308='Recurring Schedule'!$F$43))),38,""))))</f>
        <v/>
      </c>
      <c r="AN308">
        <f>IF('Recurring Schedule'!$C$44="","",IF('Recurring Schedule'!$F$44="","",IF(OR($A308&lt;'Recurring Schedule'!$F$44,$A308&gt;'Recurring Schedule'!$P$44),"",IF(IF('Recurring Schedule'!$N$44&gt;0,MOD($A308-'Recurring Schedule'!$F$44,'Recurring Schedule'!$N$44)=0,IF('Recurring Schedule'!$O$44&gt;0,AND(DAY($A308)=MIN(DAY('Recurring Schedule'!$F$44),DAY(EOMONTH($A308,0))),MOD((YEAR($A308)-YEAR('Recurring Schedule'!$F$44))*12+MONTH($A308)-MONTH('Recurring Schedule'!$F$44),'Recurring Schedule'!$O$44)=0),IF('Recurring Schedule'!$E$44="Weekdays",WEEKDAY($A308,2)&lt;=5,$A308='Recurring Schedule'!$F$44))),39,""))))</f>
        <v/>
      </c>
      <c r="AO308">
        <f>IF('Recurring Schedule'!$C$45="","",IF('Recurring Schedule'!$F$45="","",IF(OR($A308&lt;'Recurring Schedule'!$F$45,$A308&gt;'Recurring Schedule'!$P$45),"",IF(IF('Recurring Schedule'!$N$45&gt;0,MOD($A308-'Recurring Schedule'!$F$45,'Recurring Schedule'!$N$45)=0,IF('Recurring Schedule'!$O$45&gt;0,AND(DAY($A308)=MIN(DAY('Recurring Schedule'!$F$45),DAY(EOMONTH($A308,0))),MOD((YEAR($A308)-YEAR('Recurring Schedule'!$F$45))*12+MONTH($A308)-MONTH('Recurring Schedule'!$F$45),'Recurring Schedule'!$O$45)=0),IF('Recurring Schedule'!$E$45="Weekdays",WEEKDAY($A308,2)&lt;=5,$A308='Recurring Schedule'!$F$45))),40,""))))</f>
        <v/>
      </c>
      <c r="AP308">
        <f>COUNT(B308:AO308)</f>
        <v/>
      </c>
      <c r="AQ308">
        <f>AQ307+AP307</f>
        <v/>
      </c>
      <c r="AS308" t="inlineStr">
        <is>
          <t>R</t>
        </is>
      </c>
      <c r="AT308" t="n">
        <v>312</v>
      </c>
      <c r="AU308">
        <f>'Recurring Log'!C312&amp;""</f>
        <v/>
      </c>
      <c r="AV308">
        <f>'Recurring Log'!D312&amp;""</f>
        <v/>
      </c>
      <c r="AW308">
        <f>IF('Recurring Log'!E312="","",'Recurring Log'!E312)</f>
        <v/>
      </c>
      <c r="AX308">
        <f>IF('Recurring Log'!G312="","",'Recurring Log'!G312)</f>
        <v/>
      </c>
      <c r="AY308">
        <f>IF('Recurring Log'!H312="","",'Recurring Log'!H312)</f>
        <v/>
      </c>
      <c r="AZ308">
        <f>IF(AU308="","",IF('Recurring Log'!J312="","Not Started",'Recurring Log'!J312))</f>
        <v/>
      </c>
      <c r="BA308">
        <f>'Recurring Log'!L312&amp;""</f>
        <v/>
      </c>
      <c r="BB308">
        <f>'Recurring Log'!M312&amp;""</f>
        <v/>
      </c>
      <c r="BC308">
        <f>'Recurring Log'!N312&amp;""</f>
        <v/>
      </c>
      <c r="BD308">
        <f>'Recurring Log'!O312&amp;""</f>
        <v/>
      </c>
      <c r="BE308">
        <f>IF('Recurring Log'!K312="","",'Recurring Log'!K312)</f>
        <v/>
      </c>
      <c r="BF308">
        <f>IFERROR(MATCH(BA308,Setup!$L$6:$L$9,0),5)</f>
        <v/>
      </c>
      <c r="BG308">
        <f>IF(OR(AZ308="Done",AZ308="Cancelled"),1,0)</f>
        <v/>
      </c>
      <c r="BH308">
        <f>IF(AND(AU308&lt;&gt;"",ISNUMBER(AW308)),1,0)</f>
        <v/>
      </c>
      <c r="BI308">
        <f>IF(BH308=0,0,IF(AND(AW308&gt;='Tasks Filter'!$F$3,AW308&lt;='Tasks Filter'!$F$4,OR('Tasks Filter'!$I$3="",ISNUMBER(SEARCH('Tasks Filter'!$I$3,AU308))),OR('Tasks Filter'!$I$4="",BF308=IFERROR(MATCH('Tasks Filter'!$I$4,Setup!$L$6:$L$9,0),0)),OR('Tasks Filter'!$I$5="Both",AND('Tasks Filter'!$I$5="Yes",BB308="✓"),AND('Tasks Filter'!$I$5="No",BB308&lt;&gt;"✓")),OR('Tasks Filter'!$L$3="",AV308='Tasks Filter'!$L$3),OR('Tasks Filter'!$L$4="",AZ308='Tasks Filter'!$L$4),OR('Tasks Filter'!$L$5="",BC308='Tasks Filter'!$L$5),OR('Tasks Filter'!$O$3="",BD308='Tasks Filter'!$O$3),OR('Tasks Filter'!$O$4="Yes",BG308=0)),1,0))</f>
        <v/>
      </c>
      <c r="BJ308">
        <f>IF(BH308=0,"",IF('Tasks Filter'!$F$6="Descending",-1,1)*CHOOSE(MATCH('Tasks Filter'!$F$5,Lists!$G$2:$G$6,0),AW308,BF308,IFERROR(MATCH(AV308,Setup!$F$6:$F$15,0),99),IFERROR(MATCH(BC308,Setup!$H$6:$H$15,0),99),IFERROR(MATCH(AZ308,Setup!$J$6:$J$11,0),99))*1E+9+(AW308-40000)*10000+307)</f>
        <v/>
      </c>
      <c r="BK308">
        <f>IF(BI308=1,BJ308,"")</f>
        <v/>
      </c>
      <c r="BL308">
        <f>IF(AND(BH308=1,BG308=0,N(AW308)&lt;Setup!$D$7),(AW308-40000)*10000+307,"")</f>
        <v/>
      </c>
      <c r="BM308">
        <f>IF(AND(BH308=1,AZ308&lt;&gt;"Cancelled",N(AW308)&gt;=Dashboard!$AB$3,N(AW308)&lt;=Dashboard!$AB$3+6),(AW308-40000)*100000+BF308*10000+307,"")</f>
        <v/>
      </c>
      <c r="BN308">
        <f>IF(AND(BH308=1,AZ308&lt;&gt;"Cancelled"),BF308*10000+307,"")</f>
        <v/>
      </c>
    </row>
    <row r="309">
      <c r="A309">
        <f>Setup!$D$5+307</f>
        <v/>
      </c>
      <c r="B309">
        <f>IF('Recurring Schedule'!$C$6="","",IF('Recurring Schedule'!$F$6="","",IF(OR($A309&lt;'Recurring Schedule'!$F$6,$A309&gt;'Recurring Schedule'!$P$6),"",IF(IF('Recurring Schedule'!$N$6&gt;0,MOD($A309-'Recurring Schedule'!$F$6,'Recurring Schedule'!$N$6)=0,IF('Recurring Schedule'!$O$6&gt;0,AND(DAY($A309)=MIN(DAY('Recurring Schedule'!$F$6),DAY(EOMONTH($A309,0))),MOD((YEAR($A309)-YEAR('Recurring Schedule'!$F$6))*12+MONTH($A309)-MONTH('Recurring Schedule'!$F$6),'Recurring Schedule'!$O$6)=0),IF('Recurring Schedule'!$E$6="Weekdays",WEEKDAY($A309,2)&lt;=5,$A309='Recurring Schedule'!$F$6))),1,""))))</f>
        <v/>
      </c>
      <c r="C309">
        <f>IF('Recurring Schedule'!$C$7="","",IF('Recurring Schedule'!$F$7="","",IF(OR($A309&lt;'Recurring Schedule'!$F$7,$A309&gt;'Recurring Schedule'!$P$7),"",IF(IF('Recurring Schedule'!$N$7&gt;0,MOD($A309-'Recurring Schedule'!$F$7,'Recurring Schedule'!$N$7)=0,IF('Recurring Schedule'!$O$7&gt;0,AND(DAY($A309)=MIN(DAY('Recurring Schedule'!$F$7),DAY(EOMONTH($A309,0))),MOD((YEAR($A309)-YEAR('Recurring Schedule'!$F$7))*12+MONTH($A309)-MONTH('Recurring Schedule'!$F$7),'Recurring Schedule'!$O$7)=0),IF('Recurring Schedule'!$E$7="Weekdays",WEEKDAY($A309,2)&lt;=5,$A309='Recurring Schedule'!$F$7))),2,""))))</f>
        <v/>
      </c>
      <c r="D309">
        <f>IF('Recurring Schedule'!$C$8="","",IF('Recurring Schedule'!$F$8="","",IF(OR($A309&lt;'Recurring Schedule'!$F$8,$A309&gt;'Recurring Schedule'!$P$8),"",IF(IF('Recurring Schedule'!$N$8&gt;0,MOD($A309-'Recurring Schedule'!$F$8,'Recurring Schedule'!$N$8)=0,IF('Recurring Schedule'!$O$8&gt;0,AND(DAY($A309)=MIN(DAY('Recurring Schedule'!$F$8),DAY(EOMONTH($A309,0))),MOD((YEAR($A309)-YEAR('Recurring Schedule'!$F$8))*12+MONTH($A309)-MONTH('Recurring Schedule'!$F$8),'Recurring Schedule'!$O$8)=0),IF('Recurring Schedule'!$E$8="Weekdays",WEEKDAY($A309,2)&lt;=5,$A309='Recurring Schedule'!$F$8))),3,""))))</f>
        <v/>
      </c>
      <c r="E309">
        <f>IF('Recurring Schedule'!$C$9="","",IF('Recurring Schedule'!$F$9="","",IF(OR($A309&lt;'Recurring Schedule'!$F$9,$A309&gt;'Recurring Schedule'!$P$9),"",IF(IF('Recurring Schedule'!$N$9&gt;0,MOD($A309-'Recurring Schedule'!$F$9,'Recurring Schedule'!$N$9)=0,IF('Recurring Schedule'!$O$9&gt;0,AND(DAY($A309)=MIN(DAY('Recurring Schedule'!$F$9),DAY(EOMONTH($A309,0))),MOD((YEAR($A309)-YEAR('Recurring Schedule'!$F$9))*12+MONTH($A309)-MONTH('Recurring Schedule'!$F$9),'Recurring Schedule'!$O$9)=0),IF('Recurring Schedule'!$E$9="Weekdays",WEEKDAY($A309,2)&lt;=5,$A309='Recurring Schedule'!$F$9))),4,""))))</f>
        <v/>
      </c>
      <c r="F309">
        <f>IF('Recurring Schedule'!$C$10="","",IF('Recurring Schedule'!$F$10="","",IF(OR($A309&lt;'Recurring Schedule'!$F$10,$A309&gt;'Recurring Schedule'!$P$10),"",IF(IF('Recurring Schedule'!$N$10&gt;0,MOD($A309-'Recurring Schedule'!$F$10,'Recurring Schedule'!$N$10)=0,IF('Recurring Schedule'!$O$10&gt;0,AND(DAY($A309)=MIN(DAY('Recurring Schedule'!$F$10),DAY(EOMONTH($A309,0))),MOD((YEAR($A309)-YEAR('Recurring Schedule'!$F$10))*12+MONTH($A309)-MONTH('Recurring Schedule'!$F$10),'Recurring Schedule'!$O$10)=0),IF('Recurring Schedule'!$E$10="Weekdays",WEEKDAY($A309,2)&lt;=5,$A309='Recurring Schedule'!$F$10))),5,""))))</f>
        <v/>
      </c>
      <c r="G309">
        <f>IF('Recurring Schedule'!$C$11="","",IF('Recurring Schedule'!$F$11="","",IF(OR($A309&lt;'Recurring Schedule'!$F$11,$A309&gt;'Recurring Schedule'!$P$11),"",IF(IF('Recurring Schedule'!$N$11&gt;0,MOD($A309-'Recurring Schedule'!$F$11,'Recurring Schedule'!$N$11)=0,IF('Recurring Schedule'!$O$11&gt;0,AND(DAY($A309)=MIN(DAY('Recurring Schedule'!$F$11),DAY(EOMONTH($A309,0))),MOD((YEAR($A309)-YEAR('Recurring Schedule'!$F$11))*12+MONTH($A309)-MONTH('Recurring Schedule'!$F$11),'Recurring Schedule'!$O$11)=0),IF('Recurring Schedule'!$E$11="Weekdays",WEEKDAY($A309,2)&lt;=5,$A309='Recurring Schedule'!$F$11))),6,""))))</f>
        <v/>
      </c>
      <c r="H309">
        <f>IF('Recurring Schedule'!$C$12="","",IF('Recurring Schedule'!$F$12="","",IF(OR($A309&lt;'Recurring Schedule'!$F$12,$A309&gt;'Recurring Schedule'!$P$12),"",IF(IF('Recurring Schedule'!$N$12&gt;0,MOD($A309-'Recurring Schedule'!$F$12,'Recurring Schedule'!$N$12)=0,IF('Recurring Schedule'!$O$12&gt;0,AND(DAY($A309)=MIN(DAY('Recurring Schedule'!$F$12),DAY(EOMONTH($A309,0))),MOD((YEAR($A309)-YEAR('Recurring Schedule'!$F$12))*12+MONTH($A309)-MONTH('Recurring Schedule'!$F$12),'Recurring Schedule'!$O$12)=0),IF('Recurring Schedule'!$E$12="Weekdays",WEEKDAY($A309,2)&lt;=5,$A309='Recurring Schedule'!$F$12))),7,""))))</f>
        <v/>
      </c>
      <c r="I309">
        <f>IF('Recurring Schedule'!$C$13="","",IF('Recurring Schedule'!$F$13="","",IF(OR($A309&lt;'Recurring Schedule'!$F$13,$A309&gt;'Recurring Schedule'!$P$13),"",IF(IF('Recurring Schedule'!$N$13&gt;0,MOD($A309-'Recurring Schedule'!$F$13,'Recurring Schedule'!$N$13)=0,IF('Recurring Schedule'!$O$13&gt;0,AND(DAY($A309)=MIN(DAY('Recurring Schedule'!$F$13),DAY(EOMONTH($A309,0))),MOD((YEAR($A309)-YEAR('Recurring Schedule'!$F$13))*12+MONTH($A309)-MONTH('Recurring Schedule'!$F$13),'Recurring Schedule'!$O$13)=0),IF('Recurring Schedule'!$E$13="Weekdays",WEEKDAY($A309,2)&lt;=5,$A309='Recurring Schedule'!$F$13))),8,""))))</f>
        <v/>
      </c>
      <c r="J309">
        <f>IF('Recurring Schedule'!$C$14="","",IF('Recurring Schedule'!$F$14="","",IF(OR($A309&lt;'Recurring Schedule'!$F$14,$A309&gt;'Recurring Schedule'!$P$14),"",IF(IF('Recurring Schedule'!$N$14&gt;0,MOD($A309-'Recurring Schedule'!$F$14,'Recurring Schedule'!$N$14)=0,IF('Recurring Schedule'!$O$14&gt;0,AND(DAY($A309)=MIN(DAY('Recurring Schedule'!$F$14),DAY(EOMONTH($A309,0))),MOD((YEAR($A309)-YEAR('Recurring Schedule'!$F$14))*12+MONTH($A309)-MONTH('Recurring Schedule'!$F$14),'Recurring Schedule'!$O$14)=0),IF('Recurring Schedule'!$E$14="Weekdays",WEEKDAY($A309,2)&lt;=5,$A309='Recurring Schedule'!$F$14))),9,""))))</f>
        <v/>
      </c>
      <c r="K309">
        <f>IF('Recurring Schedule'!$C$15="","",IF('Recurring Schedule'!$F$15="","",IF(OR($A309&lt;'Recurring Schedule'!$F$15,$A309&gt;'Recurring Schedule'!$P$15),"",IF(IF('Recurring Schedule'!$N$15&gt;0,MOD($A309-'Recurring Schedule'!$F$15,'Recurring Schedule'!$N$15)=0,IF('Recurring Schedule'!$O$15&gt;0,AND(DAY($A309)=MIN(DAY('Recurring Schedule'!$F$15),DAY(EOMONTH($A309,0))),MOD((YEAR($A309)-YEAR('Recurring Schedule'!$F$15))*12+MONTH($A309)-MONTH('Recurring Schedule'!$F$15),'Recurring Schedule'!$O$15)=0),IF('Recurring Schedule'!$E$15="Weekdays",WEEKDAY($A309,2)&lt;=5,$A309='Recurring Schedule'!$F$15))),10,""))))</f>
        <v/>
      </c>
      <c r="L309">
        <f>IF('Recurring Schedule'!$C$16="","",IF('Recurring Schedule'!$F$16="","",IF(OR($A309&lt;'Recurring Schedule'!$F$16,$A309&gt;'Recurring Schedule'!$P$16),"",IF(IF('Recurring Schedule'!$N$16&gt;0,MOD($A309-'Recurring Schedule'!$F$16,'Recurring Schedule'!$N$16)=0,IF('Recurring Schedule'!$O$16&gt;0,AND(DAY($A309)=MIN(DAY('Recurring Schedule'!$F$16),DAY(EOMONTH($A309,0))),MOD((YEAR($A309)-YEAR('Recurring Schedule'!$F$16))*12+MONTH($A309)-MONTH('Recurring Schedule'!$F$16),'Recurring Schedule'!$O$16)=0),IF('Recurring Schedule'!$E$16="Weekdays",WEEKDAY($A309,2)&lt;=5,$A309='Recurring Schedule'!$F$16))),11,""))))</f>
        <v/>
      </c>
      <c r="M309">
        <f>IF('Recurring Schedule'!$C$17="","",IF('Recurring Schedule'!$F$17="","",IF(OR($A309&lt;'Recurring Schedule'!$F$17,$A309&gt;'Recurring Schedule'!$P$17),"",IF(IF('Recurring Schedule'!$N$17&gt;0,MOD($A309-'Recurring Schedule'!$F$17,'Recurring Schedule'!$N$17)=0,IF('Recurring Schedule'!$O$17&gt;0,AND(DAY($A309)=MIN(DAY('Recurring Schedule'!$F$17),DAY(EOMONTH($A309,0))),MOD((YEAR($A309)-YEAR('Recurring Schedule'!$F$17))*12+MONTH($A309)-MONTH('Recurring Schedule'!$F$17),'Recurring Schedule'!$O$17)=0),IF('Recurring Schedule'!$E$17="Weekdays",WEEKDAY($A309,2)&lt;=5,$A309='Recurring Schedule'!$F$17))),12,""))))</f>
        <v/>
      </c>
      <c r="N309">
        <f>IF('Recurring Schedule'!$C$18="","",IF('Recurring Schedule'!$F$18="","",IF(OR($A309&lt;'Recurring Schedule'!$F$18,$A309&gt;'Recurring Schedule'!$P$18),"",IF(IF('Recurring Schedule'!$N$18&gt;0,MOD($A309-'Recurring Schedule'!$F$18,'Recurring Schedule'!$N$18)=0,IF('Recurring Schedule'!$O$18&gt;0,AND(DAY($A309)=MIN(DAY('Recurring Schedule'!$F$18),DAY(EOMONTH($A309,0))),MOD((YEAR($A309)-YEAR('Recurring Schedule'!$F$18))*12+MONTH($A309)-MONTH('Recurring Schedule'!$F$18),'Recurring Schedule'!$O$18)=0),IF('Recurring Schedule'!$E$18="Weekdays",WEEKDAY($A309,2)&lt;=5,$A309='Recurring Schedule'!$F$18))),13,""))))</f>
        <v/>
      </c>
      <c r="O309">
        <f>IF('Recurring Schedule'!$C$19="","",IF('Recurring Schedule'!$F$19="","",IF(OR($A309&lt;'Recurring Schedule'!$F$19,$A309&gt;'Recurring Schedule'!$P$19),"",IF(IF('Recurring Schedule'!$N$19&gt;0,MOD($A309-'Recurring Schedule'!$F$19,'Recurring Schedule'!$N$19)=0,IF('Recurring Schedule'!$O$19&gt;0,AND(DAY($A309)=MIN(DAY('Recurring Schedule'!$F$19),DAY(EOMONTH($A309,0))),MOD((YEAR($A309)-YEAR('Recurring Schedule'!$F$19))*12+MONTH($A309)-MONTH('Recurring Schedule'!$F$19),'Recurring Schedule'!$O$19)=0),IF('Recurring Schedule'!$E$19="Weekdays",WEEKDAY($A309,2)&lt;=5,$A309='Recurring Schedule'!$F$19))),14,""))))</f>
        <v/>
      </c>
      <c r="P309">
        <f>IF('Recurring Schedule'!$C$20="","",IF('Recurring Schedule'!$F$20="","",IF(OR($A309&lt;'Recurring Schedule'!$F$20,$A309&gt;'Recurring Schedule'!$P$20),"",IF(IF('Recurring Schedule'!$N$20&gt;0,MOD($A309-'Recurring Schedule'!$F$20,'Recurring Schedule'!$N$20)=0,IF('Recurring Schedule'!$O$20&gt;0,AND(DAY($A309)=MIN(DAY('Recurring Schedule'!$F$20),DAY(EOMONTH($A309,0))),MOD((YEAR($A309)-YEAR('Recurring Schedule'!$F$20))*12+MONTH($A309)-MONTH('Recurring Schedule'!$F$20),'Recurring Schedule'!$O$20)=0),IF('Recurring Schedule'!$E$20="Weekdays",WEEKDAY($A309,2)&lt;=5,$A309='Recurring Schedule'!$F$20))),15,""))))</f>
        <v/>
      </c>
      <c r="Q309">
        <f>IF('Recurring Schedule'!$C$21="","",IF('Recurring Schedule'!$F$21="","",IF(OR($A309&lt;'Recurring Schedule'!$F$21,$A309&gt;'Recurring Schedule'!$P$21),"",IF(IF('Recurring Schedule'!$N$21&gt;0,MOD($A309-'Recurring Schedule'!$F$21,'Recurring Schedule'!$N$21)=0,IF('Recurring Schedule'!$O$21&gt;0,AND(DAY($A309)=MIN(DAY('Recurring Schedule'!$F$21),DAY(EOMONTH($A309,0))),MOD((YEAR($A309)-YEAR('Recurring Schedule'!$F$21))*12+MONTH($A309)-MONTH('Recurring Schedule'!$F$21),'Recurring Schedule'!$O$21)=0),IF('Recurring Schedule'!$E$21="Weekdays",WEEKDAY($A309,2)&lt;=5,$A309='Recurring Schedule'!$F$21))),16,""))))</f>
        <v/>
      </c>
      <c r="R309">
        <f>IF('Recurring Schedule'!$C$22="","",IF('Recurring Schedule'!$F$22="","",IF(OR($A309&lt;'Recurring Schedule'!$F$22,$A309&gt;'Recurring Schedule'!$P$22),"",IF(IF('Recurring Schedule'!$N$22&gt;0,MOD($A309-'Recurring Schedule'!$F$22,'Recurring Schedule'!$N$22)=0,IF('Recurring Schedule'!$O$22&gt;0,AND(DAY($A309)=MIN(DAY('Recurring Schedule'!$F$22),DAY(EOMONTH($A309,0))),MOD((YEAR($A309)-YEAR('Recurring Schedule'!$F$22))*12+MONTH($A309)-MONTH('Recurring Schedule'!$F$22),'Recurring Schedule'!$O$22)=0),IF('Recurring Schedule'!$E$22="Weekdays",WEEKDAY($A309,2)&lt;=5,$A309='Recurring Schedule'!$F$22))),17,""))))</f>
        <v/>
      </c>
      <c r="S309">
        <f>IF('Recurring Schedule'!$C$23="","",IF('Recurring Schedule'!$F$23="","",IF(OR($A309&lt;'Recurring Schedule'!$F$23,$A309&gt;'Recurring Schedule'!$P$23),"",IF(IF('Recurring Schedule'!$N$23&gt;0,MOD($A309-'Recurring Schedule'!$F$23,'Recurring Schedule'!$N$23)=0,IF('Recurring Schedule'!$O$23&gt;0,AND(DAY($A309)=MIN(DAY('Recurring Schedule'!$F$23),DAY(EOMONTH($A309,0))),MOD((YEAR($A309)-YEAR('Recurring Schedule'!$F$23))*12+MONTH($A309)-MONTH('Recurring Schedule'!$F$23),'Recurring Schedule'!$O$23)=0),IF('Recurring Schedule'!$E$23="Weekdays",WEEKDAY($A309,2)&lt;=5,$A309='Recurring Schedule'!$F$23))),18,""))))</f>
        <v/>
      </c>
      <c r="T309">
        <f>IF('Recurring Schedule'!$C$24="","",IF('Recurring Schedule'!$F$24="","",IF(OR($A309&lt;'Recurring Schedule'!$F$24,$A309&gt;'Recurring Schedule'!$P$24),"",IF(IF('Recurring Schedule'!$N$24&gt;0,MOD($A309-'Recurring Schedule'!$F$24,'Recurring Schedule'!$N$24)=0,IF('Recurring Schedule'!$O$24&gt;0,AND(DAY($A309)=MIN(DAY('Recurring Schedule'!$F$24),DAY(EOMONTH($A309,0))),MOD((YEAR($A309)-YEAR('Recurring Schedule'!$F$24))*12+MONTH($A309)-MONTH('Recurring Schedule'!$F$24),'Recurring Schedule'!$O$24)=0),IF('Recurring Schedule'!$E$24="Weekdays",WEEKDAY($A309,2)&lt;=5,$A309='Recurring Schedule'!$F$24))),19,""))))</f>
        <v/>
      </c>
      <c r="U309">
        <f>IF('Recurring Schedule'!$C$25="","",IF('Recurring Schedule'!$F$25="","",IF(OR($A309&lt;'Recurring Schedule'!$F$25,$A309&gt;'Recurring Schedule'!$P$25),"",IF(IF('Recurring Schedule'!$N$25&gt;0,MOD($A309-'Recurring Schedule'!$F$25,'Recurring Schedule'!$N$25)=0,IF('Recurring Schedule'!$O$25&gt;0,AND(DAY($A309)=MIN(DAY('Recurring Schedule'!$F$25),DAY(EOMONTH($A309,0))),MOD((YEAR($A309)-YEAR('Recurring Schedule'!$F$25))*12+MONTH($A309)-MONTH('Recurring Schedule'!$F$25),'Recurring Schedule'!$O$25)=0),IF('Recurring Schedule'!$E$25="Weekdays",WEEKDAY($A309,2)&lt;=5,$A309='Recurring Schedule'!$F$25))),20,""))))</f>
        <v/>
      </c>
      <c r="V309">
        <f>IF('Recurring Schedule'!$C$26="","",IF('Recurring Schedule'!$F$26="","",IF(OR($A309&lt;'Recurring Schedule'!$F$26,$A309&gt;'Recurring Schedule'!$P$26),"",IF(IF('Recurring Schedule'!$N$26&gt;0,MOD($A309-'Recurring Schedule'!$F$26,'Recurring Schedule'!$N$26)=0,IF('Recurring Schedule'!$O$26&gt;0,AND(DAY($A309)=MIN(DAY('Recurring Schedule'!$F$26),DAY(EOMONTH($A309,0))),MOD((YEAR($A309)-YEAR('Recurring Schedule'!$F$26))*12+MONTH($A309)-MONTH('Recurring Schedule'!$F$26),'Recurring Schedule'!$O$26)=0),IF('Recurring Schedule'!$E$26="Weekdays",WEEKDAY($A309,2)&lt;=5,$A309='Recurring Schedule'!$F$26))),21,""))))</f>
        <v/>
      </c>
      <c r="W309">
        <f>IF('Recurring Schedule'!$C$27="","",IF('Recurring Schedule'!$F$27="","",IF(OR($A309&lt;'Recurring Schedule'!$F$27,$A309&gt;'Recurring Schedule'!$P$27),"",IF(IF('Recurring Schedule'!$N$27&gt;0,MOD($A309-'Recurring Schedule'!$F$27,'Recurring Schedule'!$N$27)=0,IF('Recurring Schedule'!$O$27&gt;0,AND(DAY($A309)=MIN(DAY('Recurring Schedule'!$F$27),DAY(EOMONTH($A309,0))),MOD((YEAR($A309)-YEAR('Recurring Schedule'!$F$27))*12+MONTH($A309)-MONTH('Recurring Schedule'!$F$27),'Recurring Schedule'!$O$27)=0),IF('Recurring Schedule'!$E$27="Weekdays",WEEKDAY($A309,2)&lt;=5,$A309='Recurring Schedule'!$F$27))),22,""))))</f>
        <v/>
      </c>
      <c r="X309">
        <f>IF('Recurring Schedule'!$C$28="","",IF('Recurring Schedule'!$F$28="","",IF(OR($A309&lt;'Recurring Schedule'!$F$28,$A309&gt;'Recurring Schedule'!$P$28),"",IF(IF('Recurring Schedule'!$N$28&gt;0,MOD($A309-'Recurring Schedule'!$F$28,'Recurring Schedule'!$N$28)=0,IF('Recurring Schedule'!$O$28&gt;0,AND(DAY($A309)=MIN(DAY('Recurring Schedule'!$F$28),DAY(EOMONTH($A309,0))),MOD((YEAR($A309)-YEAR('Recurring Schedule'!$F$28))*12+MONTH($A309)-MONTH('Recurring Schedule'!$F$28),'Recurring Schedule'!$O$28)=0),IF('Recurring Schedule'!$E$28="Weekdays",WEEKDAY($A309,2)&lt;=5,$A309='Recurring Schedule'!$F$28))),23,""))))</f>
        <v/>
      </c>
      <c r="Y309">
        <f>IF('Recurring Schedule'!$C$29="","",IF('Recurring Schedule'!$F$29="","",IF(OR($A309&lt;'Recurring Schedule'!$F$29,$A309&gt;'Recurring Schedule'!$P$29),"",IF(IF('Recurring Schedule'!$N$29&gt;0,MOD($A309-'Recurring Schedule'!$F$29,'Recurring Schedule'!$N$29)=0,IF('Recurring Schedule'!$O$29&gt;0,AND(DAY($A309)=MIN(DAY('Recurring Schedule'!$F$29),DAY(EOMONTH($A309,0))),MOD((YEAR($A309)-YEAR('Recurring Schedule'!$F$29))*12+MONTH($A309)-MONTH('Recurring Schedule'!$F$29),'Recurring Schedule'!$O$29)=0),IF('Recurring Schedule'!$E$29="Weekdays",WEEKDAY($A309,2)&lt;=5,$A309='Recurring Schedule'!$F$29))),24,""))))</f>
        <v/>
      </c>
      <c r="Z309">
        <f>IF('Recurring Schedule'!$C$30="","",IF('Recurring Schedule'!$F$30="","",IF(OR($A309&lt;'Recurring Schedule'!$F$30,$A309&gt;'Recurring Schedule'!$P$30),"",IF(IF('Recurring Schedule'!$N$30&gt;0,MOD($A309-'Recurring Schedule'!$F$30,'Recurring Schedule'!$N$30)=0,IF('Recurring Schedule'!$O$30&gt;0,AND(DAY($A309)=MIN(DAY('Recurring Schedule'!$F$30),DAY(EOMONTH($A309,0))),MOD((YEAR($A309)-YEAR('Recurring Schedule'!$F$30))*12+MONTH($A309)-MONTH('Recurring Schedule'!$F$30),'Recurring Schedule'!$O$30)=0),IF('Recurring Schedule'!$E$30="Weekdays",WEEKDAY($A309,2)&lt;=5,$A309='Recurring Schedule'!$F$30))),25,""))))</f>
        <v/>
      </c>
      <c r="AA309">
        <f>IF('Recurring Schedule'!$C$31="","",IF('Recurring Schedule'!$F$31="","",IF(OR($A309&lt;'Recurring Schedule'!$F$31,$A309&gt;'Recurring Schedule'!$P$31),"",IF(IF('Recurring Schedule'!$N$31&gt;0,MOD($A309-'Recurring Schedule'!$F$31,'Recurring Schedule'!$N$31)=0,IF('Recurring Schedule'!$O$31&gt;0,AND(DAY($A309)=MIN(DAY('Recurring Schedule'!$F$31),DAY(EOMONTH($A309,0))),MOD((YEAR($A309)-YEAR('Recurring Schedule'!$F$31))*12+MONTH($A309)-MONTH('Recurring Schedule'!$F$31),'Recurring Schedule'!$O$31)=0),IF('Recurring Schedule'!$E$31="Weekdays",WEEKDAY($A309,2)&lt;=5,$A309='Recurring Schedule'!$F$31))),26,""))))</f>
        <v/>
      </c>
      <c r="AB309">
        <f>IF('Recurring Schedule'!$C$32="","",IF('Recurring Schedule'!$F$32="","",IF(OR($A309&lt;'Recurring Schedule'!$F$32,$A309&gt;'Recurring Schedule'!$P$32),"",IF(IF('Recurring Schedule'!$N$32&gt;0,MOD($A309-'Recurring Schedule'!$F$32,'Recurring Schedule'!$N$32)=0,IF('Recurring Schedule'!$O$32&gt;0,AND(DAY($A309)=MIN(DAY('Recurring Schedule'!$F$32),DAY(EOMONTH($A309,0))),MOD((YEAR($A309)-YEAR('Recurring Schedule'!$F$32))*12+MONTH($A309)-MONTH('Recurring Schedule'!$F$32),'Recurring Schedule'!$O$32)=0),IF('Recurring Schedule'!$E$32="Weekdays",WEEKDAY($A309,2)&lt;=5,$A309='Recurring Schedule'!$F$32))),27,""))))</f>
        <v/>
      </c>
      <c r="AC309">
        <f>IF('Recurring Schedule'!$C$33="","",IF('Recurring Schedule'!$F$33="","",IF(OR($A309&lt;'Recurring Schedule'!$F$33,$A309&gt;'Recurring Schedule'!$P$33),"",IF(IF('Recurring Schedule'!$N$33&gt;0,MOD($A309-'Recurring Schedule'!$F$33,'Recurring Schedule'!$N$33)=0,IF('Recurring Schedule'!$O$33&gt;0,AND(DAY($A309)=MIN(DAY('Recurring Schedule'!$F$33),DAY(EOMONTH($A309,0))),MOD((YEAR($A309)-YEAR('Recurring Schedule'!$F$33))*12+MONTH($A309)-MONTH('Recurring Schedule'!$F$33),'Recurring Schedule'!$O$33)=0),IF('Recurring Schedule'!$E$33="Weekdays",WEEKDAY($A309,2)&lt;=5,$A309='Recurring Schedule'!$F$33))),28,""))))</f>
        <v/>
      </c>
      <c r="AD309">
        <f>IF('Recurring Schedule'!$C$34="","",IF('Recurring Schedule'!$F$34="","",IF(OR($A309&lt;'Recurring Schedule'!$F$34,$A309&gt;'Recurring Schedule'!$P$34),"",IF(IF('Recurring Schedule'!$N$34&gt;0,MOD($A309-'Recurring Schedule'!$F$34,'Recurring Schedule'!$N$34)=0,IF('Recurring Schedule'!$O$34&gt;0,AND(DAY($A309)=MIN(DAY('Recurring Schedule'!$F$34),DAY(EOMONTH($A309,0))),MOD((YEAR($A309)-YEAR('Recurring Schedule'!$F$34))*12+MONTH($A309)-MONTH('Recurring Schedule'!$F$34),'Recurring Schedule'!$O$34)=0),IF('Recurring Schedule'!$E$34="Weekdays",WEEKDAY($A309,2)&lt;=5,$A309='Recurring Schedule'!$F$34))),29,""))))</f>
        <v/>
      </c>
      <c r="AE309">
        <f>IF('Recurring Schedule'!$C$35="","",IF('Recurring Schedule'!$F$35="","",IF(OR($A309&lt;'Recurring Schedule'!$F$35,$A309&gt;'Recurring Schedule'!$P$35),"",IF(IF('Recurring Schedule'!$N$35&gt;0,MOD($A309-'Recurring Schedule'!$F$35,'Recurring Schedule'!$N$35)=0,IF('Recurring Schedule'!$O$35&gt;0,AND(DAY($A309)=MIN(DAY('Recurring Schedule'!$F$35),DAY(EOMONTH($A309,0))),MOD((YEAR($A309)-YEAR('Recurring Schedule'!$F$35))*12+MONTH($A309)-MONTH('Recurring Schedule'!$F$35),'Recurring Schedule'!$O$35)=0),IF('Recurring Schedule'!$E$35="Weekdays",WEEKDAY($A309,2)&lt;=5,$A309='Recurring Schedule'!$F$35))),30,""))))</f>
        <v/>
      </c>
      <c r="AF309">
        <f>IF('Recurring Schedule'!$C$36="","",IF('Recurring Schedule'!$F$36="","",IF(OR($A309&lt;'Recurring Schedule'!$F$36,$A309&gt;'Recurring Schedule'!$P$36),"",IF(IF('Recurring Schedule'!$N$36&gt;0,MOD($A309-'Recurring Schedule'!$F$36,'Recurring Schedule'!$N$36)=0,IF('Recurring Schedule'!$O$36&gt;0,AND(DAY($A309)=MIN(DAY('Recurring Schedule'!$F$36),DAY(EOMONTH($A309,0))),MOD((YEAR($A309)-YEAR('Recurring Schedule'!$F$36))*12+MONTH($A309)-MONTH('Recurring Schedule'!$F$36),'Recurring Schedule'!$O$36)=0),IF('Recurring Schedule'!$E$36="Weekdays",WEEKDAY($A309,2)&lt;=5,$A309='Recurring Schedule'!$F$36))),31,""))))</f>
        <v/>
      </c>
      <c r="AG309">
        <f>IF('Recurring Schedule'!$C$37="","",IF('Recurring Schedule'!$F$37="","",IF(OR($A309&lt;'Recurring Schedule'!$F$37,$A309&gt;'Recurring Schedule'!$P$37),"",IF(IF('Recurring Schedule'!$N$37&gt;0,MOD($A309-'Recurring Schedule'!$F$37,'Recurring Schedule'!$N$37)=0,IF('Recurring Schedule'!$O$37&gt;0,AND(DAY($A309)=MIN(DAY('Recurring Schedule'!$F$37),DAY(EOMONTH($A309,0))),MOD((YEAR($A309)-YEAR('Recurring Schedule'!$F$37))*12+MONTH($A309)-MONTH('Recurring Schedule'!$F$37),'Recurring Schedule'!$O$37)=0),IF('Recurring Schedule'!$E$37="Weekdays",WEEKDAY($A309,2)&lt;=5,$A309='Recurring Schedule'!$F$37))),32,""))))</f>
        <v/>
      </c>
      <c r="AH309">
        <f>IF('Recurring Schedule'!$C$38="","",IF('Recurring Schedule'!$F$38="","",IF(OR($A309&lt;'Recurring Schedule'!$F$38,$A309&gt;'Recurring Schedule'!$P$38),"",IF(IF('Recurring Schedule'!$N$38&gt;0,MOD($A309-'Recurring Schedule'!$F$38,'Recurring Schedule'!$N$38)=0,IF('Recurring Schedule'!$O$38&gt;0,AND(DAY($A309)=MIN(DAY('Recurring Schedule'!$F$38),DAY(EOMONTH($A309,0))),MOD((YEAR($A309)-YEAR('Recurring Schedule'!$F$38))*12+MONTH($A309)-MONTH('Recurring Schedule'!$F$38),'Recurring Schedule'!$O$38)=0),IF('Recurring Schedule'!$E$38="Weekdays",WEEKDAY($A309,2)&lt;=5,$A309='Recurring Schedule'!$F$38))),33,""))))</f>
        <v/>
      </c>
      <c r="AI309">
        <f>IF('Recurring Schedule'!$C$39="","",IF('Recurring Schedule'!$F$39="","",IF(OR($A309&lt;'Recurring Schedule'!$F$39,$A309&gt;'Recurring Schedule'!$P$39),"",IF(IF('Recurring Schedule'!$N$39&gt;0,MOD($A309-'Recurring Schedule'!$F$39,'Recurring Schedule'!$N$39)=0,IF('Recurring Schedule'!$O$39&gt;0,AND(DAY($A309)=MIN(DAY('Recurring Schedule'!$F$39),DAY(EOMONTH($A309,0))),MOD((YEAR($A309)-YEAR('Recurring Schedule'!$F$39))*12+MONTH($A309)-MONTH('Recurring Schedule'!$F$39),'Recurring Schedule'!$O$39)=0),IF('Recurring Schedule'!$E$39="Weekdays",WEEKDAY($A309,2)&lt;=5,$A309='Recurring Schedule'!$F$39))),34,""))))</f>
        <v/>
      </c>
      <c r="AJ309">
        <f>IF('Recurring Schedule'!$C$40="","",IF('Recurring Schedule'!$F$40="","",IF(OR($A309&lt;'Recurring Schedule'!$F$40,$A309&gt;'Recurring Schedule'!$P$40),"",IF(IF('Recurring Schedule'!$N$40&gt;0,MOD($A309-'Recurring Schedule'!$F$40,'Recurring Schedule'!$N$40)=0,IF('Recurring Schedule'!$O$40&gt;0,AND(DAY($A309)=MIN(DAY('Recurring Schedule'!$F$40),DAY(EOMONTH($A309,0))),MOD((YEAR($A309)-YEAR('Recurring Schedule'!$F$40))*12+MONTH($A309)-MONTH('Recurring Schedule'!$F$40),'Recurring Schedule'!$O$40)=0),IF('Recurring Schedule'!$E$40="Weekdays",WEEKDAY($A309,2)&lt;=5,$A309='Recurring Schedule'!$F$40))),35,""))))</f>
        <v/>
      </c>
      <c r="AK309">
        <f>IF('Recurring Schedule'!$C$41="","",IF('Recurring Schedule'!$F$41="","",IF(OR($A309&lt;'Recurring Schedule'!$F$41,$A309&gt;'Recurring Schedule'!$P$41),"",IF(IF('Recurring Schedule'!$N$41&gt;0,MOD($A309-'Recurring Schedule'!$F$41,'Recurring Schedule'!$N$41)=0,IF('Recurring Schedule'!$O$41&gt;0,AND(DAY($A309)=MIN(DAY('Recurring Schedule'!$F$41),DAY(EOMONTH($A309,0))),MOD((YEAR($A309)-YEAR('Recurring Schedule'!$F$41))*12+MONTH($A309)-MONTH('Recurring Schedule'!$F$41),'Recurring Schedule'!$O$41)=0),IF('Recurring Schedule'!$E$41="Weekdays",WEEKDAY($A309,2)&lt;=5,$A309='Recurring Schedule'!$F$41))),36,""))))</f>
        <v/>
      </c>
      <c r="AL309">
        <f>IF('Recurring Schedule'!$C$42="","",IF('Recurring Schedule'!$F$42="","",IF(OR($A309&lt;'Recurring Schedule'!$F$42,$A309&gt;'Recurring Schedule'!$P$42),"",IF(IF('Recurring Schedule'!$N$42&gt;0,MOD($A309-'Recurring Schedule'!$F$42,'Recurring Schedule'!$N$42)=0,IF('Recurring Schedule'!$O$42&gt;0,AND(DAY($A309)=MIN(DAY('Recurring Schedule'!$F$42),DAY(EOMONTH($A309,0))),MOD((YEAR($A309)-YEAR('Recurring Schedule'!$F$42))*12+MONTH($A309)-MONTH('Recurring Schedule'!$F$42),'Recurring Schedule'!$O$42)=0),IF('Recurring Schedule'!$E$42="Weekdays",WEEKDAY($A309,2)&lt;=5,$A309='Recurring Schedule'!$F$42))),37,""))))</f>
        <v/>
      </c>
      <c r="AM309">
        <f>IF('Recurring Schedule'!$C$43="","",IF('Recurring Schedule'!$F$43="","",IF(OR($A309&lt;'Recurring Schedule'!$F$43,$A309&gt;'Recurring Schedule'!$P$43),"",IF(IF('Recurring Schedule'!$N$43&gt;0,MOD($A309-'Recurring Schedule'!$F$43,'Recurring Schedule'!$N$43)=0,IF('Recurring Schedule'!$O$43&gt;0,AND(DAY($A309)=MIN(DAY('Recurring Schedule'!$F$43),DAY(EOMONTH($A309,0))),MOD((YEAR($A309)-YEAR('Recurring Schedule'!$F$43))*12+MONTH($A309)-MONTH('Recurring Schedule'!$F$43),'Recurring Schedule'!$O$43)=0),IF('Recurring Schedule'!$E$43="Weekdays",WEEKDAY($A309,2)&lt;=5,$A309='Recurring Schedule'!$F$43))),38,""))))</f>
        <v/>
      </c>
      <c r="AN309">
        <f>IF('Recurring Schedule'!$C$44="","",IF('Recurring Schedule'!$F$44="","",IF(OR($A309&lt;'Recurring Schedule'!$F$44,$A309&gt;'Recurring Schedule'!$P$44),"",IF(IF('Recurring Schedule'!$N$44&gt;0,MOD($A309-'Recurring Schedule'!$F$44,'Recurring Schedule'!$N$44)=0,IF('Recurring Schedule'!$O$44&gt;0,AND(DAY($A309)=MIN(DAY('Recurring Schedule'!$F$44),DAY(EOMONTH($A309,0))),MOD((YEAR($A309)-YEAR('Recurring Schedule'!$F$44))*12+MONTH($A309)-MONTH('Recurring Schedule'!$F$44),'Recurring Schedule'!$O$44)=0),IF('Recurring Schedule'!$E$44="Weekdays",WEEKDAY($A309,2)&lt;=5,$A309='Recurring Schedule'!$F$44))),39,""))))</f>
        <v/>
      </c>
      <c r="AO309">
        <f>IF('Recurring Schedule'!$C$45="","",IF('Recurring Schedule'!$F$45="","",IF(OR($A309&lt;'Recurring Schedule'!$F$45,$A309&gt;'Recurring Schedule'!$P$45),"",IF(IF('Recurring Schedule'!$N$45&gt;0,MOD($A309-'Recurring Schedule'!$F$45,'Recurring Schedule'!$N$45)=0,IF('Recurring Schedule'!$O$45&gt;0,AND(DAY($A309)=MIN(DAY('Recurring Schedule'!$F$45),DAY(EOMONTH($A309,0))),MOD((YEAR($A309)-YEAR('Recurring Schedule'!$F$45))*12+MONTH($A309)-MONTH('Recurring Schedule'!$F$45),'Recurring Schedule'!$O$45)=0),IF('Recurring Schedule'!$E$45="Weekdays",WEEKDAY($A309,2)&lt;=5,$A309='Recurring Schedule'!$F$45))),40,""))))</f>
        <v/>
      </c>
      <c r="AP309">
        <f>COUNT(B309:AO309)</f>
        <v/>
      </c>
      <c r="AQ309">
        <f>AQ308+AP308</f>
        <v/>
      </c>
      <c r="AS309" t="inlineStr">
        <is>
          <t>R</t>
        </is>
      </c>
      <c r="AT309" t="n">
        <v>313</v>
      </c>
      <c r="AU309">
        <f>'Recurring Log'!C313&amp;""</f>
        <v/>
      </c>
      <c r="AV309">
        <f>'Recurring Log'!D313&amp;""</f>
        <v/>
      </c>
      <c r="AW309">
        <f>IF('Recurring Log'!E313="","",'Recurring Log'!E313)</f>
        <v/>
      </c>
      <c r="AX309">
        <f>IF('Recurring Log'!G313="","",'Recurring Log'!G313)</f>
        <v/>
      </c>
      <c r="AY309">
        <f>IF('Recurring Log'!H313="","",'Recurring Log'!H313)</f>
        <v/>
      </c>
      <c r="AZ309">
        <f>IF(AU309="","",IF('Recurring Log'!J313="","Not Started",'Recurring Log'!J313))</f>
        <v/>
      </c>
      <c r="BA309">
        <f>'Recurring Log'!L313&amp;""</f>
        <v/>
      </c>
      <c r="BB309">
        <f>'Recurring Log'!M313&amp;""</f>
        <v/>
      </c>
      <c r="BC309">
        <f>'Recurring Log'!N313&amp;""</f>
        <v/>
      </c>
      <c r="BD309">
        <f>'Recurring Log'!O313&amp;""</f>
        <v/>
      </c>
      <c r="BE309">
        <f>IF('Recurring Log'!K313="","",'Recurring Log'!K313)</f>
        <v/>
      </c>
      <c r="BF309">
        <f>IFERROR(MATCH(BA309,Setup!$L$6:$L$9,0),5)</f>
        <v/>
      </c>
      <c r="BG309">
        <f>IF(OR(AZ309="Done",AZ309="Cancelled"),1,0)</f>
        <v/>
      </c>
      <c r="BH309">
        <f>IF(AND(AU309&lt;&gt;"",ISNUMBER(AW309)),1,0)</f>
        <v/>
      </c>
      <c r="BI309">
        <f>IF(BH309=0,0,IF(AND(AW309&gt;='Tasks Filter'!$F$3,AW309&lt;='Tasks Filter'!$F$4,OR('Tasks Filter'!$I$3="",ISNUMBER(SEARCH('Tasks Filter'!$I$3,AU309))),OR('Tasks Filter'!$I$4="",BF309=IFERROR(MATCH('Tasks Filter'!$I$4,Setup!$L$6:$L$9,0),0)),OR('Tasks Filter'!$I$5="Both",AND('Tasks Filter'!$I$5="Yes",BB309="✓"),AND('Tasks Filter'!$I$5="No",BB309&lt;&gt;"✓")),OR('Tasks Filter'!$L$3="",AV309='Tasks Filter'!$L$3),OR('Tasks Filter'!$L$4="",AZ309='Tasks Filter'!$L$4),OR('Tasks Filter'!$L$5="",BC309='Tasks Filter'!$L$5),OR('Tasks Filter'!$O$3="",BD309='Tasks Filter'!$O$3),OR('Tasks Filter'!$O$4="Yes",BG309=0)),1,0))</f>
        <v/>
      </c>
      <c r="BJ309">
        <f>IF(BH309=0,"",IF('Tasks Filter'!$F$6="Descending",-1,1)*CHOOSE(MATCH('Tasks Filter'!$F$5,Lists!$G$2:$G$6,0),AW309,BF309,IFERROR(MATCH(AV309,Setup!$F$6:$F$15,0),99),IFERROR(MATCH(BC309,Setup!$H$6:$H$15,0),99),IFERROR(MATCH(AZ309,Setup!$J$6:$J$11,0),99))*1E+9+(AW309-40000)*10000+308)</f>
        <v/>
      </c>
      <c r="BK309">
        <f>IF(BI309=1,BJ309,"")</f>
        <v/>
      </c>
      <c r="BL309">
        <f>IF(AND(BH309=1,BG309=0,N(AW309)&lt;Setup!$D$7),(AW309-40000)*10000+308,"")</f>
        <v/>
      </c>
      <c r="BM309">
        <f>IF(AND(BH309=1,AZ309&lt;&gt;"Cancelled",N(AW309)&gt;=Dashboard!$AB$3,N(AW309)&lt;=Dashboard!$AB$3+6),(AW309-40000)*100000+BF309*10000+308,"")</f>
        <v/>
      </c>
      <c r="BN309">
        <f>IF(AND(BH309=1,AZ309&lt;&gt;"Cancelled"),BF309*10000+308,"")</f>
        <v/>
      </c>
    </row>
    <row r="310">
      <c r="A310">
        <f>Setup!$D$5+308</f>
        <v/>
      </c>
      <c r="B310">
        <f>IF('Recurring Schedule'!$C$6="","",IF('Recurring Schedule'!$F$6="","",IF(OR($A310&lt;'Recurring Schedule'!$F$6,$A310&gt;'Recurring Schedule'!$P$6),"",IF(IF('Recurring Schedule'!$N$6&gt;0,MOD($A310-'Recurring Schedule'!$F$6,'Recurring Schedule'!$N$6)=0,IF('Recurring Schedule'!$O$6&gt;0,AND(DAY($A310)=MIN(DAY('Recurring Schedule'!$F$6),DAY(EOMONTH($A310,0))),MOD((YEAR($A310)-YEAR('Recurring Schedule'!$F$6))*12+MONTH($A310)-MONTH('Recurring Schedule'!$F$6),'Recurring Schedule'!$O$6)=0),IF('Recurring Schedule'!$E$6="Weekdays",WEEKDAY($A310,2)&lt;=5,$A310='Recurring Schedule'!$F$6))),1,""))))</f>
        <v/>
      </c>
      <c r="C310">
        <f>IF('Recurring Schedule'!$C$7="","",IF('Recurring Schedule'!$F$7="","",IF(OR($A310&lt;'Recurring Schedule'!$F$7,$A310&gt;'Recurring Schedule'!$P$7),"",IF(IF('Recurring Schedule'!$N$7&gt;0,MOD($A310-'Recurring Schedule'!$F$7,'Recurring Schedule'!$N$7)=0,IF('Recurring Schedule'!$O$7&gt;0,AND(DAY($A310)=MIN(DAY('Recurring Schedule'!$F$7),DAY(EOMONTH($A310,0))),MOD((YEAR($A310)-YEAR('Recurring Schedule'!$F$7))*12+MONTH($A310)-MONTH('Recurring Schedule'!$F$7),'Recurring Schedule'!$O$7)=0),IF('Recurring Schedule'!$E$7="Weekdays",WEEKDAY($A310,2)&lt;=5,$A310='Recurring Schedule'!$F$7))),2,""))))</f>
        <v/>
      </c>
      <c r="D310">
        <f>IF('Recurring Schedule'!$C$8="","",IF('Recurring Schedule'!$F$8="","",IF(OR($A310&lt;'Recurring Schedule'!$F$8,$A310&gt;'Recurring Schedule'!$P$8),"",IF(IF('Recurring Schedule'!$N$8&gt;0,MOD($A310-'Recurring Schedule'!$F$8,'Recurring Schedule'!$N$8)=0,IF('Recurring Schedule'!$O$8&gt;0,AND(DAY($A310)=MIN(DAY('Recurring Schedule'!$F$8),DAY(EOMONTH($A310,0))),MOD((YEAR($A310)-YEAR('Recurring Schedule'!$F$8))*12+MONTH($A310)-MONTH('Recurring Schedule'!$F$8),'Recurring Schedule'!$O$8)=0),IF('Recurring Schedule'!$E$8="Weekdays",WEEKDAY($A310,2)&lt;=5,$A310='Recurring Schedule'!$F$8))),3,""))))</f>
        <v/>
      </c>
      <c r="E310">
        <f>IF('Recurring Schedule'!$C$9="","",IF('Recurring Schedule'!$F$9="","",IF(OR($A310&lt;'Recurring Schedule'!$F$9,$A310&gt;'Recurring Schedule'!$P$9),"",IF(IF('Recurring Schedule'!$N$9&gt;0,MOD($A310-'Recurring Schedule'!$F$9,'Recurring Schedule'!$N$9)=0,IF('Recurring Schedule'!$O$9&gt;0,AND(DAY($A310)=MIN(DAY('Recurring Schedule'!$F$9),DAY(EOMONTH($A310,0))),MOD((YEAR($A310)-YEAR('Recurring Schedule'!$F$9))*12+MONTH($A310)-MONTH('Recurring Schedule'!$F$9),'Recurring Schedule'!$O$9)=0),IF('Recurring Schedule'!$E$9="Weekdays",WEEKDAY($A310,2)&lt;=5,$A310='Recurring Schedule'!$F$9))),4,""))))</f>
        <v/>
      </c>
      <c r="F310">
        <f>IF('Recurring Schedule'!$C$10="","",IF('Recurring Schedule'!$F$10="","",IF(OR($A310&lt;'Recurring Schedule'!$F$10,$A310&gt;'Recurring Schedule'!$P$10),"",IF(IF('Recurring Schedule'!$N$10&gt;0,MOD($A310-'Recurring Schedule'!$F$10,'Recurring Schedule'!$N$10)=0,IF('Recurring Schedule'!$O$10&gt;0,AND(DAY($A310)=MIN(DAY('Recurring Schedule'!$F$10),DAY(EOMONTH($A310,0))),MOD((YEAR($A310)-YEAR('Recurring Schedule'!$F$10))*12+MONTH($A310)-MONTH('Recurring Schedule'!$F$10),'Recurring Schedule'!$O$10)=0),IF('Recurring Schedule'!$E$10="Weekdays",WEEKDAY($A310,2)&lt;=5,$A310='Recurring Schedule'!$F$10))),5,""))))</f>
        <v/>
      </c>
      <c r="G310">
        <f>IF('Recurring Schedule'!$C$11="","",IF('Recurring Schedule'!$F$11="","",IF(OR($A310&lt;'Recurring Schedule'!$F$11,$A310&gt;'Recurring Schedule'!$P$11),"",IF(IF('Recurring Schedule'!$N$11&gt;0,MOD($A310-'Recurring Schedule'!$F$11,'Recurring Schedule'!$N$11)=0,IF('Recurring Schedule'!$O$11&gt;0,AND(DAY($A310)=MIN(DAY('Recurring Schedule'!$F$11),DAY(EOMONTH($A310,0))),MOD((YEAR($A310)-YEAR('Recurring Schedule'!$F$11))*12+MONTH($A310)-MONTH('Recurring Schedule'!$F$11),'Recurring Schedule'!$O$11)=0),IF('Recurring Schedule'!$E$11="Weekdays",WEEKDAY($A310,2)&lt;=5,$A310='Recurring Schedule'!$F$11))),6,""))))</f>
        <v/>
      </c>
      <c r="H310">
        <f>IF('Recurring Schedule'!$C$12="","",IF('Recurring Schedule'!$F$12="","",IF(OR($A310&lt;'Recurring Schedule'!$F$12,$A310&gt;'Recurring Schedule'!$P$12),"",IF(IF('Recurring Schedule'!$N$12&gt;0,MOD($A310-'Recurring Schedule'!$F$12,'Recurring Schedule'!$N$12)=0,IF('Recurring Schedule'!$O$12&gt;0,AND(DAY($A310)=MIN(DAY('Recurring Schedule'!$F$12),DAY(EOMONTH($A310,0))),MOD((YEAR($A310)-YEAR('Recurring Schedule'!$F$12))*12+MONTH($A310)-MONTH('Recurring Schedule'!$F$12),'Recurring Schedule'!$O$12)=0),IF('Recurring Schedule'!$E$12="Weekdays",WEEKDAY($A310,2)&lt;=5,$A310='Recurring Schedule'!$F$12))),7,""))))</f>
        <v/>
      </c>
      <c r="I310">
        <f>IF('Recurring Schedule'!$C$13="","",IF('Recurring Schedule'!$F$13="","",IF(OR($A310&lt;'Recurring Schedule'!$F$13,$A310&gt;'Recurring Schedule'!$P$13),"",IF(IF('Recurring Schedule'!$N$13&gt;0,MOD($A310-'Recurring Schedule'!$F$13,'Recurring Schedule'!$N$13)=0,IF('Recurring Schedule'!$O$13&gt;0,AND(DAY($A310)=MIN(DAY('Recurring Schedule'!$F$13),DAY(EOMONTH($A310,0))),MOD((YEAR($A310)-YEAR('Recurring Schedule'!$F$13))*12+MONTH($A310)-MONTH('Recurring Schedule'!$F$13),'Recurring Schedule'!$O$13)=0),IF('Recurring Schedule'!$E$13="Weekdays",WEEKDAY($A310,2)&lt;=5,$A310='Recurring Schedule'!$F$13))),8,""))))</f>
        <v/>
      </c>
      <c r="J310">
        <f>IF('Recurring Schedule'!$C$14="","",IF('Recurring Schedule'!$F$14="","",IF(OR($A310&lt;'Recurring Schedule'!$F$14,$A310&gt;'Recurring Schedule'!$P$14),"",IF(IF('Recurring Schedule'!$N$14&gt;0,MOD($A310-'Recurring Schedule'!$F$14,'Recurring Schedule'!$N$14)=0,IF('Recurring Schedule'!$O$14&gt;0,AND(DAY($A310)=MIN(DAY('Recurring Schedule'!$F$14),DAY(EOMONTH($A310,0))),MOD((YEAR($A310)-YEAR('Recurring Schedule'!$F$14))*12+MONTH($A310)-MONTH('Recurring Schedule'!$F$14),'Recurring Schedule'!$O$14)=0),IF('Recurring Schedule'!$E$14="Weekdays",WEEKDAY($A310,2)&lt;=5,$A310='Recurring Schedule'!$F$14))),9,""))))</f>
        <v/>
      </c>
      <c r="K310">
        <f>IF('Recurring Schedule'!$C$15="","",IF('Recurring Schedule'!$F$15="","",IF(OR($A310&lt;'Recurring Schedule'!$F$15,$A310&gt;'Recurring Schedule'!$P$15),"",IF(IF('Recurring Schedule'!$N$15&gt;0,MOD($A310-'Recurring Schedule'!$F$15,'Recurring Schedule'!$N$15)=0,IF('Recurring Schedule'!$O$15&gt;0,AND(DAY($A310)=MIN(DAY('Recurring Schedule'!$F$15),DAY(EOMONTH($A310,0))),MOD((YEAR($A310)-YEAR('Recurring Schedule'!$F$15))*12+MONTH($A310)-MONTH('Recurring Schedule'!$F$15),'Recurring Schedule'!$O$15)=0),IF('Recurring Schedule'!$E$15="Weekdays",WEEKDAY($A310,2)&lt;=5,$A310='Recurring Schedule'!$F$15))),10,""))))</f>
        <v/>
      </c>
      <c r="L310">
        <f>IF('Recurring Schedule'!$C$16="","",IF('Recurring Schedule'!$F$16="","",IF(OR($A310&lt;'Recurring Schedule'!$F$16,$A310&gt;'Recurring Schedule'!$P$16),"",IF(IF('Recurring Schedule'!$N$16&gt;0,MOD($A310-'Recurring Schedule'!$F$16,'Recurring Schedule'!$N$16)=0,IF('Recurring Schedule'!$O$16&gt;0,AND(DAY($A310)=MIN(DAY('Recurring Schedule'!$F$16),DAY(EOMONTH($A310,0))),MOD((YEAR($A310)-YEAR('Recurring Schedule'!$F$16))*12+MONTH($A310)-MONTH('Recurring Schedule'!$F$16),'Recurring Schedule'!$O$16)=0),IF('Recurring Schedule'!$E$16="Weekdays",WEEKDAY($A310,2)&lt;=5,$A310='Recurring Schedule'!$F$16))),11,""))))</f>
        <v/>
      </c>
      <c r="M310">
        <f>IF('Recurring Schedule'!$C$17="","",IF('Recurring Schedule'!$F$17="","",IF(OR($A310&lt;'Recurring Schedule'!$F$17,$A310&gt;'Recurring Schedule'!$P$17),"",IF(IF('Recurring Schedule'!$N$17&gt;0,MOD($A310-'Recurring Schedule'!$F$17,'Recurring Schedule'!$N$17)=0,IF('Recurring Schedule'!$O$17&gt;0,AND(DAY($A310)=MIN(DAY('Recurring Schedule'!$F$17),DAY(EOMONTH($A310,0))),MOD((YEAR($A310)-YEAR('Recurring Schedule'!$F$17))*12+MONTH($A310)-MONTH('Recurring Schedule'!$F$17),'Recurring Schedule'!$O$17)=0),IF('Recurring Schedule'!$E$17="Weekdays",WEEKDAY($A310,2)&lt;=5,$A310='Recurring Schedule'!$F$17))),12,""))))</f>
        <v/>
      </c>
      <c r="N310">
        <f>IF('Recurring Schedule'!$C$18="","",IF('Recurring Schedule'!$F$18="","",IF(OR($A310&lt;'Recurring Schedule'!$F$18,$A310&gt;'Recurring Schedule'!$P$18),"",IF(IF('Recurring Schedule'!$N$18&gt;0,MOD($A310-'Recurring Schedule'!$F$18,'Recurring Schedule'!$N$18)=0,IF('Recurring Schedule'!$O$18&gt;0,AND(DAY($A310)=MIN(DAY('Recurring Schedule'!$F$18),DAY(EOMONTH($A310,0))),MOD((YEAR($A310)-YEAR('Recurring Schedule'!$F$18))*12+MONTH($A310)-MONTH('Recurring Schedule'!$F$18),'Recurring Schedule'!$O$18)=0),IF('Recurring Schedule'!$E$18="Weekdays",WEEKDAY($A310,2)&lt;=5,$A310='Recurring Schedule'!$F$18))),13,""))))</f>
        <v/>
      </c>
      <c r="O310">
        <f>IF('Recurring Schedule'!$C$19="","",IF('Recurring Schedule'!$F$19="","",IF(OR($A310&lt;'Recurring Schedule'!$F$19,$A310&gt;'Recurring Schedule'!$P$19),"",IF(IF('Recurring Schedule'!$N$19&gt;0,MOD($A310-'Recurring Schedule'!$F$19,'Recurring Schedule'!$N$19)=0,IF('Recurring Schedule'!$O$19&gt;0,AND(DAY($A310)=MIN(DAY('Recurring Schedule'!$F$19),DAY(EOMONTH($A310,0))),MOD((YEAR($A310)-YEAR('Recurring Schedule'!$F$19))*12+MONTH($A310)-MONTH('Recurring Schedule'!$F$19),'Recurring Schedule'!$O$19)=0),IF('Recurring Schedule'!$E$19="Weekdays",WEEKDAY($A310,2)&lt;=5,$A310='Recurring Schedule'!$F$19))),14,""))))</f>
        <v/>
      </c>
      <c r="P310">
        <f>IF('Recurring Schedule'!$C$20="","",IF('Recurring Schedule'!$F$20="","",IF(OR($A310&lt;'Recurring Schedule'!$F$20,$A310&gt;'Recurring Schedule'!$P$20),"",IF(IF('Recurring Schedule'!$N$20&gt;0,MOD($A310-'Recurring Schedule'!$F$20,'Recurring Schedule'!$N$20)=0,IF('Recurring Schedule'!$O$20&gt;0,AND(DAY($A310)=MIN(DAY('Recurring Schedule'!$F$20),DAY(EOMONTH($A310,0))),MOD((YEAR($A310)-YEAR('Recurring Schedule'!$F$20))*12+MONTH($A310)-MONTH('Recurring Schedule'!$F$20),'Recurring Schedule'!$O$20)=0),IF('Recurring Schedule'!$E$20="Weekdays",WEEKDAY($A310,2)&lt;=5,$A310='Recurring Schedule'!$F$20))),15,""))))</f>
        <v/>
      </c>
      <c r="Q310">
        <f>IF('Recurring Schedule'!$C$21="","",IF('Recurring Schedule'!$F$21="","",IF(OR($A310&lt;'Recurring Schedule'!$F$21,$A310&gt;'Recurring Schedule'!$P$21),"",IF(IF('Recurring Schedule'!$N$21&gt;0,MOD($A310-'Recurring Schedule'!$F$21,'Recurring Schedule'!$N$21)=0,IF('Recurring Schedule'!$O$21&gt;0,AND(DAY($A310)=MIN(DAY('Recurring Schedule'!$F$21),DAY(EOMONTH($A310,0))),MOD((YEAR($A310)-YEAR('Recurring Schedule'!$F$21))*12+MONTH($A310)-MONTH('Recurring Schedule'!$F$21),'Recurring Schedule'!$O$21)=0),IF('Recurring Schedule'!$E$21="Weekdays",WEEKDAY($A310,2)&lt;=5,$A310='Recurring Schedule'!$F$21))),16,""))))</f>
        <v/>
      </c>
      <c r="R310">
        <f>IF('Recurring Schedule'!$C$22="","",IF('Recurring Schedule'!$F$22="","",IF(OR($A310&lt;'Recurring Schedule'!$F$22,$A310&gt;'Recurring Schedule'!$P$22),"",IF(IF('Recurring Schedule'!$N$22&gt;0,MOD($A310-'Recurring Schedule'!$F$22,'Recurring Schedule'!$N$22)=0,IF('Recurring Schedule'!$O$22&gt;0,AND(DAY($A310)=MIN(DAY('Recurring Schedule'!$F$22),DAY(EOMONTH($A310,0))),MOD((YEAR($A310)-YEAR('Recurring Schedule'!$F$22))*12+MONTH($A310)-MONTH('Recurring Schedule'!$F$22),'Recurring Schedule'!$O$22)=0),IF('Recurring Schedule'!$E$22="Weekdays",WEEKDAY($A310,2)&lt;=5,$A310='Recurring Schedule'!$F$22))),17,""))))</f>
        <v/>
      </c>
      <c r="S310">
        <f>IF('Recurring Schedule'!$C$23="","",IF('Recurring Schedule'!$F$23="","",IF(OR($A310&lt;'Recurring Schedule'!$F$23,$A310&gt;'Recurring Schedule'!$P$23),"",IF(IF('Recurring Schedule'!$N$23&gt;0,MOD($A310-'Recurring Schedule'!$F$23,'Recurring Schedule'!$N$23)=0,IF('Recurring Schedule'!$O$23&gt;0,AND(DAY($A310)=MIN(DAY('Recurring Schedule'!$F$23),DAY(EOMONTH($A310,0))),MOD((YEAR($A310)-YEAR('Recurring Schedule'!$F$23))*12+MONTH($A310)-MONTH('Recurring Schedule'!$F$23),'Recurring Schedule'!$O$23)=0),IF('Recurring Schedule'!$E$23="Weekdays",WEEKDAY($A310,2)&lt;=5,$A310='Recurring Schedule'!$F$23))),18,""))))</f>
        <v/>
      </c>
      <c r="T310">
        <f>IF('Recurring Schedule'!$C$24="","",IF('Recurring Schedule'!$F$24="","",IF(OR($A310&lt;'Recurring Schedule'!$F$24,$A310&gt;'Recurring Schedule'!$P$24),"",IF(IF('Recurring Schedule'!$N$24&gt;0,MOD($A310-'Recurring Schedule'!$F$24,'Recurring Schedule'!$N$24)=0,IF('Recurring Schedule'!$O$24&gt;0,AND(DAY($A310)=MIN(DAY('Recurring Schedule'!$F$24),DAY(EOMONTH($A310,0))),MOD((YEAR($A310)-YEAR('Recurring Schedule'!$F$24))*12+MONTH($A310)-MONTH('Recurring Schedule'!$F$24),'Recurring Schedule'!$O$24)=0),IF('Recurring Schedule'!$E$24="Weekdays",WEEKDAY($A310,2)&lt;=5,$A310='Recurring Schedule'!$F$24))),19,""))))</f>
        <v/>
      </c>
      <c r="U310">
        <f>IF('Recurring Schedule'!$C$25="","",IF('Recurring Schedule'!$F$25="","",IF(OR($A310&lt;'Recurring Schedule'!$F$25,$A310&gt;'Recurring Schedule'!$P$25),"",IF(IF('Recurring Schedule'!$N$25&gt;0,MOD($A310-'Recurring Schedule'!$F$25,'Recurring Schedule'!$N$25)=0,IF('Recurring Schedule'!$O$25&gt;0,AND(DAY($A310)=MIN(DAY('Recurring Schedule'!$F$25),DAY(EOMONTH($A310,0))),MOD((YEAR($A310)-YEAR('Recurring Schedule'!$F$25))*12+MONTH($A310)-MONTH('Recurring Schedule'!$F$25),'Recurring Schedule'!$O$25)=0),IF('Recurring Schedule'!$E$25="Weekdays",WEEKDAY($A310,2)&lt;=5,$A310='Recurring Schedule'!$F$25))),20,""))))</f>
        <v/>
      </c>
      <c r="V310">
        <f>IF('Recurring Schedule'!$C$26="","",IF('Recurring Schedule'!$F$26="","",IF(OR($A310&lt;'Recurring Schedule'!$F$26,$A310&gt;'Recurring Schedule'!$P$26),"",IF(IF('Recurring Schedule'!$N$26&gt;0,MOD($A310-'Recurring Schedule'!$F$26,'Recurring Schedule'!$N$26)=0,IF('Recurring Schedule'!$O$26&gt;0,AND(DAY($A310)=MIN(DAY('Recurring Schedule'!$F$26),DAY(EOMONTH($A310,0))),MOD((YEAR($A310)-YEAR('Recurring Schedule'!$F$26))*12+MONTH($A310)-MONTH('Recurring Schedule'!$F$26),'Recurring Schedule'!$O$26)=0),IF('Recurring Schedule'!$E$26="Weekdays",WEEKDAY($A310,2)&lt;=5,$A310='Recurring Schedule'!$F$26))),21,""))))</f>
        <v/>
      </c>
      <c r="W310">
        <f>IF('Recurring Schedule'!$C$27="","",IF('Recurring Schedule'!$F$27="","",IF(OR($A310&lt;'Recurring Schedule'!$F$27,$A310&gt;'Recurring Schedule'!$P$27),"",IF(IF('Recurring Schedule'!$N$27&gt;0,MOD($A310-'Recurring Schedule'!$F$27,'Recurring Schedule'!$N$27)=0,IF('Recurring Schedule'!$O$27&gt;0,AND(DAY($A310)=MIN(DAY('Recurring Schedule'!$F$27),DAY(EOMONTH($A310,0))),MOD((YEAR($A310)-YEAR('Recurring Schedule'!$F$27))*12+MONTH($A310)-MONTH('Recurring Schedule'!$F$27),'Recurring Schedule'!$O$27)=0),IF('Recurring Schedule'!$E$27="Weekdays",WEEKDAY($A310,2)&lt;=5,$A310='Recurring Schedule'!$F$27))),22,""))))</f>
        <v/>
      </c>
      <c r="X310">
        <f>IF('Recurring Schedule'!$C$28="","",IF('Recurring Schedule'!$F$28="","",IF(OR($A310&lt;'Recurring Schedule'!$F$28,$A310&gt;'Recurring Schedule'!$P$28),"",IF(IF('Recurring Schedule'!$N$28&gt;0,MOD($A310-'Recurring Schedule'!$F$28,'Recurring Schedule'!$N$28)=0,IF('Recurring Schedule'!$O$28&gt;0,AND(DAY($A310)=MIN(DAY('Recurring Schedule'!$F$28),DAY(EOMONTH($A310,0))),MOD((YEAR($A310)-YEAR('Recurring Schedule'!$F$28))*12+MONTH($A310)-MONTH('Recurring Schedule'!$F$28),'Recurring Schedule'!$O$28)=0),IF('Recurring Schedule'!$E$28="Weekdays",WEEKDAY($A310,2)&lt;=5,$A310='Recurring Schedule'!$F$28))),23,""))))</f>
        <v/>
      </c>
      <c r="Y310">
        <f>IF('Recurring Schedule'!$C$29="","",IF('Recurring Schedule'!$F$29="","",IF(OR($A310&lt;'Recurring Schedule'!$F$29,$A310&gt;'Recurring Schedule'!$P$29),"",IF(IF('Recurring Schedule'!$N$29&gt;0,MOD($A310-'Recurring Schedule'!$F$29,'Recurring Schedule'!$N$29)=0,IF('Recurring Schedule'!$O$29&gt;0,AND(DAY($A310)=MIN(DAY('Recurring Schedule'!$F$29),DAY(EOMONTH($A310,0))),MOD((YEAR($A310)-YEAR('Recurring Schedule'!$F$29))*12+MONTH($A310)-MONTH('Recurring Schedule'!$F$29),'Recurring Schedule'!$O$29)=0),IF('Recurring Schedule'!$E$29="Weekdays",WEEKDAY($A310,2)&lt;=5,$A310='Recurring Schedule'!$F$29))),24,""))))</f>
        <v/>
      </c>
      <c r="Z310">
        <f>IF('Recurring Schedule'!$C$30="","",IF('Recurring Schedule'!$F$30="","",IF(OR($A310&lt;'Recurring Schedule'!$F$30,$A310&gt;'Recurring Schedule'!$P$30),"",IF(IF('Recurring Schedule'!$N$30&gt;0,MOD($A310-'Recurring Schedule'!$F$30,'Recurring Schedule'!$N$30)=0,IF('Recurring Schedule'!$O$30&gt;0,AND(DAY($A310)=MIN(DAY('Recurring Schedule'!$F$30),DAY(EOMONTH($A310,0))),MOD((YEAR($A310)-YEAR('Recurring Schedule'!$F$30))*12+MONTH($A310)-MONTH('Recurring Schedule'!$F$30),'Recurring Schedule'!$O$30)=0),IF('Recurring Schedule'!$E$30="Weekdays",WEEKDAY($A310,2)&lt;=5,$A310='Recurring Schedule'!$F$30))),25,""))))</f>
        <v/>
      </c>
      <c r="AA310">
        <f>IF('Recurring Schedule'!$C$31="","",IF('Recurring Schedule'!$F$31="","",IF(OR($A310&lt;'Recurring Schedule'!$F$31,$A310&gt;'Recurring Schedule'!$P$31),"",IF(IF('Recurring Schedule'!$N$31&gt;0,MOD($A310-'Recurring Schedule'!$F$31,'Recurring Schedule'!$N$31)=0,IF('Recurring Schedule'!$O$31&gt;0,AND(DAY($A310)=MIN(DAY('Recurring Schedule'!$F$31),DAY(EOMONTH($A310,0))),MOD((YEAR($A310)-YEAR('Recurring Schedule'!$F$31))*12+MONTH($A310)-MONTH('Recurring Schedule'!$F$31),'Recurring Schedule'!$O$31)=0),IF('Recurring Schedule'!$E$31="Weekdays",WEEKDAY($A310,2)&lt;=5,$A310='Recurring Schedule'!$F$31))),26,""))))</f>
        <v/>
      </c>
      <c r="AB310">
        <f>IF('Recurring Schedule'!$C$32="","",IF('Recurring Schedule'!$F$32="","",IF(OR($A310&lt;'Recurring Schedule'!$F$32,$A310&gt;'Recurring Schedule'!$P$32),"",IF(IF('Recurring Schedule'!$N$32&gt;0,MOD($A310-'Recurring Schedule'!$F$32,'Recurring Schedule'!$N$32)=0,IF('Recurring Schedule'!$O$32&gt;0,AND(DAY($A310)=MIN(DAY('Recurring Schedule'!$F$32),DAY(EOMONTH($A310,0))),MOD((YEAR($A310)-YEAR('Recurring Schedule'!$F$32))*12+MONTH($A310)-MONTH('Recurring Schedule'!$F$32),'Recurring Schedule'!$O$32)=0),IF('Recurring Schedule'!$E$32="Weekdays",WEEKDAY($A310,2)&lt;=5,$A310='Recurring Schedule'!$F$32))),27,""))))</f>
        <v/>
      </c>
      <c r="AC310">
        <f>IF('Recurring Schedule'!$C$33="","",IF('Recurring Schedule'!$F$33="","",IF(OR($A310&lt;'Recurring Schedule'!$F$33,$A310&gt;'Recurring Schedule'!$P$33),"",IF(IF('Recurring Schedule'!$N$33&gt;0,MOD($A310-'Recurring Schedule'!$F$33,'Recurring Schedule'!$N$33)=0,IF('Recurring Schedule'!$O$33&gt;0,AND(DAY($A310)=MIN(DAY('Recurring Schedule'!$F$33),DAY(EOMONTH($A310,0))),MOD((YEAR($A310)-YEAR('Recurring Schedule'!$F$33))*12+MONTH($A310)-MONTH('Recurring Schedule'!$F$33),'Recurring Schedule'!$O$33)=0),IF('Recurring Schedule'!$E$33="Weekdays",WEEKDAY($A310,2)&lt;=5,$A310='Recurring Schedule'!$F$33))),28,""))))</f>
        <v/>
      </c>
      <c r="AD310">
        <f>IF('Recurring Schedule'!$C$34="","",IF('Recurring Schedule'!$F$34="","",IF(OR($A310&lt;'Recurring Schedule'!$F$34,$A310&gt;'Recurring Schedule'!$P$34),"",IF(IF('Recurring Schedule'!$N$34&gt;0,MOD($A310-'Recurring Schedule'!$F$34,'Recurring Schedule'!$N$34)=0,IF('Recurring Schedule'!$O$34&gt;0,AND(DAY($A310)=MIN(DAY('Recurring Schedule'!$F$34),DAY(EOMONTH($A310,0))),MOD((YEAR($A310)-YEAR('Recurring Schedule'!$F$34))*12+MONTH($A310)-MONTH('Recurring Schedule'!$F$34),'Recurring Schedule'!$O$34)=0),IF('Recurring Schedule'!$E$34="Weekdays",WEEKDAY($A310,2)&lt;=5,$A310='Recurring Schedule'!$F$34))),29,""))))</f>
        <v/>
      </c>
      <c r="AE310">
        <f>IF('Recurring Schedule'!$C$35="","",IF('Recurring Schedule'!$F$35="","",IF(OR($A310&lt;'Recurring Schedule'!$F$35,$A310&gt;'Recurring Schedule'!$P$35),"",IF(IF('Recurring Schedule'!$N$35&gt;0,MOD($A310-'Recurring Schedule'!$F$35,'Recurring Schedule'!$N$35)=0,IF('Recurring Schedule'!$O$35&gt;0,AND(DAY($A310)=MIN(DAY('Recurring Schedule'!$F$35),DAY(EOMONTH($A310,0))),MOD((YEAR($A310)-YEAR('Recurring Schedule'!$F$35))*12+MONTH($A310)-MONTH('Recurring Schedule'!$F$35),'Recurring Schedule'!$O$35)=0),IF('Recurring Schedule'!$E$35="Weekdays",WEEKDAY($A310,2)&lt;=5,$A310='Recurring Schedule'!$F$35))),30,""))))</f>
        <v/>
      </c>
      <c r="AF310">
        <f>IF('Recurring Schedule'!$C$36="","",IF('Recurring Schedule'!$F$36="","",IF(OR($A310&lt;'Recurring Schedule'!$F$36,$A310&gt;'Recurring Schedule'!$P$36),"",IF(IF('Recurring Schedule'!$N$36&gt;0,MOD($A310-'Recurring Schedule'!$F$36,'Recurring Schedule'!$N$36)=0,IF('Recurring Schedule'!$O$36&gt;0,AND(DAY($A310)=MIN(DAY('Recurring Schedule'!$F$36),DAY(EOMONTH($A310,0))),MOD((YEAR($A310)-YEAR('Recurring Schedule'!$F$36))*12+MONTH($A310)-MONTH('Recurring Schedule'!$F$36),'Recurring Schedule'!$O$36)=0),IF('Recurring Schedule'!$E$36="Weekdays",WEEKDAY($A310,2)&lt;=5,$A310='Recurring Schedule'!$F$36))),31,""))))</f>
        <v/>
      </c>
      <c r="AG310">
        <f>IF('Recurring Schedule'!$C$37="","",IF('Recurring Schedule'!$F$37="","",IF(OR($A310&lt;'Recurring Schedule'!$F$37,$A310&gt;'Recurring Schedule'!$P$37),"",IF(IF('Recurring Schedule'!$N$37&gt;0,MOD($A310-'Recurring Schedule'!$F$37,'Recurring Schedule'!$N$37)=0,IF('Recurring Schedule'!$O$37&gt;0,AND(DAY($A310)=MIN(DAY('Recurring Schedule'!$F$37),DAY(EOMONTH($A310,0))),MOD((YEAR($A310)-YEAR('Recurring Schedule'!$F$37))*12+MONTH($A310)-MONTH('Recurring Schedule'!$F$37),'Recurring Schedule'!$O$37)=0),IF('Recurring Schedule'!$E$37="Weekdays",WEEKDAY($A310,2)&lt;=5,$A310='Recurring Schedule'!$F$37))),32,""))))</f>
        <v/>
      </c>
      <c r="AH310">
        <f>IF('Recurring Schedule'!$C$38="","",IF('Recurring Schedule'!$F$38="","",IF(OR($A310&lt;'Recurring Schedule'!$F$38,$A310&gt;'Recurring Schedule'!$P$38),"",IF(IF('Recurring Schedule'!$N$38&gt;0,MOD($A310-'Recurring Schedule'!$F$38,'Recurring Schedule'!$N$38)=0,IF('Recurring Schedule'!$O$38&gt;0,AND(DAY($A310)=MIN(DAY('Recurring Schedule'!$F$38),DAY(EOMONTH($A310,0))),MOD((YEAR($A310)-YEAR('Recurring Schedule'!$F$38))*12+MONTH($A310)-MONTH('Recurring Schedule'!$F$38),'Recurring Schedule'!$O$38)=0),IF('Recurring Schedule'!$E$38="Weekdays",WEEKDAY($A310,2)&lt;=5,$A310='Recurring Schedule'!$F$38))),33,""))))</f>
        <v/>
      </c>
      <c r="AI310">
        <f>IF('Recurring Schedule'!$C$39="","",IF('Recurring Schedule'!$F$39="","",IF(OR($A310&lt;'Recurring Schedule'!$F$39,$A310&gt;'Recurring Schedule'!$P$39),"",IF(IF('Recurring Schedule'!$N$39&gt;0,MOD($A310-'Recurring Schedule'!$F$39,'Recurring Schedule'!$N$39)=0,IF('Recurring Schedule'!$O$39&gt;0,AND(DAY($A310)=MIN(DAY('Recurring Schedule'!$F$39),DAY(EOMONTH($A310,0))),MOD((YEAR($A310)-YEAR('Recurring Schedule'!$F$39))*12+MONTH($A310)-MONTH('Recurring Schedule'!$F$39),'Recurring Schedule'!$O$39)=0),IF('Recurring Schedule'!$E$39="Weekdays",WEEKDAY($A310,2)&lt;=5,$A310='Recurring Schedule'!$F$39))),34,""))))</f>
        <v/>
      </c>
      <c r="AJ310">
        <f>IF('Recurring Schedule'!$C$40="","",IF('Recurring Schedule'!$F$40="","",IF(OR($A310&lt;'Recurring Schedule'!$F$40,$A310&gt;'Recurring Schedule'!$P$40),"",IF(IF('Recurring Schedule'!$N$40&gt;0,MOD($A310-'Recurring Schedule'!$F$40,'Recurring Schedule'!$N$40)=0,IF('Recurring Schedule'!$O$40&gt;0,AND(DAY($A310)=MIN(DAY('Recurring Schedule'!$F$40),DAY(EOMONTH($A310,0))),MOD((YEAR($A310)-YEAR('Recurring Schedule'!$F$40))*12+MONTH($A310)-MONTH('Recurring Schedule'!$F$40),'Recurring Schedule'!$O$40)=0),IF('Recurring Schedule'!$E$40="Weekdays",WEEKDAY($A310,2)&lt;=5,$A310='Recurring Schedule'!$F$40))),35,""))))</f>
        <v/>
      </c>
      <c r="AK310">
        <f>IF('Recurring Schedule'!$C$41="","",IF('Recurring Schedule'!$F$41="","",IF(OR($A310&lt;'Recurring Schedule'!$F$41,$A310&gt;'Recurring Schedule'!$P$41),"",IF(IF('Recurring Schedule'!$N$41&gt;0,MOD($A310-'Recurring Schedule'!$F$41,'Recurring Schedule'!$N$41)=0,IF('Recurring Schedule'!$O$41&gt;0,AND(DAY($A310)=MIN(DAY('Recurring Schedule'!$F$41),DAY(EOMONTH($A310,0))),MOD((YEAR($A310)-YEAR('Recurring Schedule'!$F$41))*12+MONTH($A310)-MONTH('Recurring Schedule'!$F$41),'Recurring Schedule'!$O$41)=0),IF('Recurring Schedule'!$E$41="Weekdays",WEEKDAY($A310,2)&lt;=5,$A310='Recurring Schedule'!$F$41))),36,""))))</f>
        <v/>
      </c>
      <c r="AL310">
        <f>IF('Recurring Schedule'!$C$42="","",IF('Recurring Schedule'!$F$42="","",IF(OR($A310&lt;'Recurring Schedule'!$F$42,$A310&gt;'Recurring Schedule'!$P$42),"",IF(IF('Recurring Schedule'!$N$42&gt;0,MOD($A310-'Recurring Schedule'!$F$42,'Recurring Schedule'!$N$42)=0,IF('Recurring Schedule'!$O$42&gt;0,AND(DAY($A310)=MIN(DAY('Recurring Schedule'!$F$42),DAY(EOMONTH($A310,0))),MOD((YEAR($A310)-YEAR('Recurring Schedule'!$F$42))*12+MONTH($A310)-MONTH('Recurring Schedule'!$F$42),'Recurring Schedule'!$O$42)=0),IF('Recurring Schedule'!$E$42="Weekdays",WEEKDAY($A310,2)&lt;=5,$A310='Recurring Schedule'!$F$42))),37,""))))</f>
        <v/>
      </c>
      <c r="AM310">
        <f>IF('Recurring Schedule'!$C$43="","",IF('Recurring Schedule'!$F$43="","",IF(OR($A310&lt;'Recurring Schedule'!$F$43,$A310&gt;'Recurring Schedule'!$P$43),"",IF(IF('Recurring Schedule'!$N$43&gt;0,MOD($A310-'Recurring Schedule'!$F$43,'Recurring Schedule'!$N$43)=0,IF('Recurring Schedule'!$O$43&gt;0,AND(DAY($A310)=MIN(DAY('Recurring Schedule'!$F$43),DAY(EOMONTH($A310,0))),MOD((YEAR($A310)-YEAR('Recurring Schedule'!$F$43))*12+MONTH($A310)-MONTH('Recurring Schedule'!$F$43),'Recurring Schedule'!$O$43)=0),IF('Recurring Schedule'!$E$43="Weekdays",WEEKDAY($A310,2)&lt;=5,$A310='Recurring Schedule'!$F$43))),38,""))))</f>
        <v/>
      </c>
      <c r="AN310">
        <f>IF('Recurring Schedule'!$C$44="","",IF('Recurring Schedule'!$F$44="","",IF(OR($A310&lt;'Recurring Schedule'!$F$44,$A310&gt;'Recurring Schedule'!$P$44),"",IF(IF('Recurring Schedule'!$N$44&gt;0,MOD($A310-'Recurring Schedule'!$F$44,'Recurring Schedule'!$N$44)=0,IF('Recurring Schedule'!$O$44&gt;0,AND(DAY($A310)=MIN(DAY('Recurring Schedule'!$F$44),DAY(EOMONTH($A310,0))),MOD((YEAR($A310)-YEAR('Recurring Schedule'!$F$44))*12+MONTH($A310)-MONTH('Recurring Schedule'!$F$44),'Recurring Schedule'!$O$44)=0),IF('Recurring Schedule'!$E$44="Weekdays",WEEKDAY($A310,2)&lt;=5,$A310='Recurring Schedule'!$F$44))),39,""))))</f>
        <v/>
      </c>
      <c r="AO310">
        <f>IF('Recurring Schedule'!$C$45="","",IF('Recurring Schedule'!$F$45="","",IF(OR($A310&lt;'Recurring Schedule'!$F$45,$A310&gt;'Recurring Schedule'!$P$45),"",IF(IF('Recurring Schedule'!$N$45&gt;0,MOD($A310-'Recurring Schedule'!$F$45,'Recurring Schedule'!$N$45)=0,IF('Recurring Schedule'!$O$45&gt;0,AND(DAY($A310)=MIN(DAY('Recurring Schedule'!$F$45),DAY(EOMONTH($A310,0))),MOD((YEAR($A310)-YEAR('Recurring Schedule'!$F$45))*12+MONTH($A310)-MONTH('Recurring Schedule'!$F$45),'Recurring Schedule'!$O$45)=0),IF('Recurring Schedule'!$E$45="Weekdays",WEEKDAY($A310,2)&lt;=5,$A310='Recurring Schedule'!$F$45))),40,""))))</f>
        <v/>
      </c>
      <c r="AP310">
        <f>COUNT(B310:AO310)</f>
        <v/>
      </c>
      <c r="AQ310">
        <f>AQ309+AP309</f>
        <v/>
      </c>
      <c r="AS310" t="inlineStr">
        <is>
          <t>R</t>
        </is>
      </c>
      <c r="AT310" t="n">
        <v>314</v>
      </c>
      <c r="AU310">
        <f>'Recurring Log'!C314&amp;""</f>
        <v/>
      </c>
      <c r="AV310">
        <f>'Recurring Log'!D314&amp;""</f>
        <v/>
      </c>
      <c r="AW310">
        <f>IF('Recurring Log'!E314="","",'Recurring Log'!E314)</f>
        <v/>
      </c>
      <c r="AX310">
        <f>IF('Recurring Log'!G314="","",'Recurring Log'!G314)</f>
        <v/>
      </c>
      <c r="AY310">
        <f>IF('Recurring Log'!H314="","",'Recurring Log'!H314)</f>
        <v/>
      </c>
      <c r="AZ310">
        <f>IF(AU310="","",IF('Recurring Log'!J314="","Not Started",'Recurring Log'!J314))</f>
        <v/>
      </c>
      <c r="BA310">
        <f>'Recurring Log'!L314&amp;""</f>
        <v/>
      </c>
      <c r="BB310">
        <f>'Recurring Log'!M314&amp;""</f>
        <v/>
      </c>
      <c r="BC310">
        <f>'Recurring Log'!N314&amp;""</f>
        <v/>
      </c>
      <c r="BD310">
        <f>'Recurring Log'!O314&amp;""</f>
        <v/>
      </c>
      <c r="BE310">
        <f>IF('Recurring Log'!K314="","",'Recurring Log'!K314)</f>
        <v/>
      </c>
      <c r="BF310">
        <f>IFERROR(MATCH(BA310,Setup!$L$6:$L$9,0),5)</f>
        <v/>
      </c>
      <c r="BG310">
        <f>IF(OR(AZ310="Done",AZ310="Cancelled"),1,0)</f>
        <v/>
      </c>
      <c r="BH310">
        <f>IF(AND(AU310&lt;&gt;"",ISNUMBER(AW310)),1,0)</f>
        <v/>
      </c>
      <c r="BI310">
        <f>IF(BH310=0,0,IF(AND(AW310&gt;='Tasks Filter'!$F$3,AW310&lt;='Tasks Filter'!$F$4,OR('Tasks Filter'!$I$3="",ISNUMBER(SEARCH('Tasks Filter'!$I$3,AU310))),OR('Tasks Filter'!$I$4="",BF310=IFERROR(MATCH('Tasks Filter'!$I$4,Setup!$L$6:$L$9,0),0)),OR('Tasks Filter'!$I$5="Both",AND('Tasks Filter'!$I$5="Yes",BB310="✓"),AND('Tasks Filter'!$I$5="No",BB310&lt;&gt;"✓")),OR('Tasks Filter'!$L$3="",AV310='Tasks Filter'!$L$3),OR('Tasks Filter'!$L$4="",AZ310='Tasks Filter'!$L$4),OR('Tasks Filter'!$L$5="",BC310='Tasks Filter'!$L$5),OR('Tasks Filter'!$O$3="",BD310='Tasks Filter'!$O$3),OR('Tasks Filter'!$O$4="Yes",BG310=0)),1,0))</f>
        <v/>
      </c>
      <c r="BJ310">
        <f>IF(BH310=0,"",IF('Tasks Filter'!$F$6="Descending",-1,1)*CHOOSE(MATCH('Tasks Filter'!$F$5,Lists!$G$2:$G$6,0),AW310,BF310,IFERROR(MATCH(AV310,Setup!$F$6:$F$15,0),99),IFERROR(MATCH(BC310,Setup!$H$6:$H$15,0),99),IFERROR(MATCH(AZ310,Setup!$J$6:$J$11,0),99))*1E+9+(AW310-40000)*10000+309)</f>
        <v/>
      </c>
      <c r="BK310">
        <f>IF(BI310=1,BJ310,"")</f>
        <v/>
      </c>
      <c r="BL310">
        <f>IF(AND(BH310=1,BG310=0,N(AW310)&lt;Setup!$D$7),(AW310-40000)*10000+309,"")</f>
        <v/>
      </c>
      <c r="BM310">
        <f>IF(AND(BH310=1,AZ310&lt;&gt;"Cancelled",N(AW310)&gt;=Dashboard!$AB$3,N(AW310)&lt;=Dashboard!$AB$3+6),(AW310-40000)*100000+BF310*10000+309,"")</f>
        <v/>
      </c>
      <c r="BN310">
        <f>IF(AND(BH310=1,AZ310&lt;&gt;"Cancelled"),BF310*10000+309,"")</f>
        <v/>
      </c>
    </row>
    <row r="311">
      <c r="A311">
        <f>Setup!$D$5+309</f>
        <v/>
      </c>
      <c r="B311">
        <f>IF('Recurring Schedule'!$C$6="","",IF('Recurring Schedule'!$F$6="","",IF(OR($A311&lt;'Recurring Schedule'!$F$6,$A311&gt;'Recurring Schedule'!$P$6),"",IF(IF('Recurring Schedule'!$N$6&gt;0,MOD($A311-'Recurring Schedule'!$F$6,'Recurring Schedule'!$N$6)=0,IF('Recurring Schedule'!$O$6&gt;0,AND(DAY($A311)=MIN(DAY('Recurring Schedule'!$F$6),DAY(EOMONTH($A311,0))),MOD((YEAR($A311)-YEAR('Recurring Schedule'!$F$6))*12+MONTH($A311)-MONTH('Recurring Schedule'!$F$6),'Recurring Schedule'!$O$6)=0),IF('Recurring Schedule'!$E$6="Weekdays",WEEKDAY($A311,2)&lt;=5,$A311='Recurring Schedule'!$F$6))),1,""))))</f>
        <v/>
      </c>
      <c r="C311">
        <f>IF('Recurring Schedule'!$C$7="","",IF('Recurring Schedule'!$F$7="","",IF(OR($A311&lt;'Recurring Schedule'!$F$7,$A311&gt;'Recurring Schedule'!$P$7),"",IF(IF('Recurring Schedule'!$N$7&gt;0,MOD($A311-'Recurring Schedule'!$F$7,'Recurring Schedule'!$N$7)=0,IF('Recurring Schedule'!$O$7&gt;0,AND(DAY($A311)=MIN(DAY('Recurring Schedule'!$F$7),DAY(EOMONTH($A311,0))),MOD((YEAR($A311)-YEAR('Recurring Schedule'!$F$7))*12+MONTH($A311)-MONTH('Recurring Schedule'!$F$7),'Recurring Schedule'!$O$7)=0),IF('Recurring Schedule'!$E$7="Weekdays",WEEKDAY($A311,2)&lt;=5,$A311='Recurring Schedule'!$F$7))),2,""))))</f>
        <v/>
      </c>
      <c r="D311">
        <f>IF('Recurring Schedule'!$C$8="","",IF('Recurring Schedule'!$F$8="","",IF(OR($A311&lt;'Recurring Schedule'!$F$8,$A311&gt;'Recurring Schedule'!$P$8),"",IF(IF('Recurring Schedule'!$N$8&gt;0,MOD($A311-'Recurring Schedule'!$F$8,'Recurring Schedule'!$N$8)=0,IF('Recurring Schedule'!$O$8&gt;0,AND(DAY($A311)=MIN(DAY('Recurring Schedule'!$F$8),DAY(EOMONTH($A311,0))),MOD((YEAR($A311)-YEAR('Recurring Schedule'!$F$8))*12+MONTH($A311)-MONTH('Recurring Schedule'!$F$8),'Recurring Schedule'!$O$8)=0),IF('Recurring Schedule'!$E$8="Weekdays",WEEKDAY($A311,2)&lt;=5,$A311='Recurring Schedule'!$F$8))),3,""))))</f>
        <v/>
      </c>
      <c r="E311">
        <f>IF('Recurring Schedule'!$C$9="","",IF('Recurring Schedule'!$F$9="","",IF(OR($A311&lt;'Recurring Schedule'!$F$9,$A311&gt;'Recurring Schedule'!$P$9),"",IF(IF('Recurring Schedule'!$N$9&gt;0,MOD($A311-'Recurring Schedule'!$F$9,'Recurring Schedule'!$N$9)=0,IF('Recurring Schedule'!$O$9&gt;0,AND(DAY($A311)=MIN(DAY('Recurring Schedule'!$F$9),DAY(EOMONTH($A311,0))),MOD((YEAR($A311)-YEAR('Recurring Schedule'!$F$9))*12+MONTH($A311)-MONTH('Recurring Schedule'!$F$9),'Recurring Schedule'!$O$9)=0),IF('Recurring Schedule'!$E$9="Weekdays",WEEKDAY($A311,2)&lt;=5,$A311='Recurring Schedule'!$F$9))),4,""))))</f>
        <v/>
      </c>
      <c r="F311">
        <f>IF('Recurring Schedule'!$C$10="","",IF('Recurring Schedule'!$F$10="","",IF(OR($A311&lt;'Recurring Schedule'!$F$10,$A311&gt;'Recurring Schedule'!$P$10),"",IF(IF('Recurring Schedule'!$N$10&gt;0,MOD($A311-'Recurring Schedule'!$F$10,'Recurring Schedule'!$N$10)=0,IF('Recurring Schedule'!$O$10&gt;0,AND(DAY($A311)=MIN(DAY('Recurring Schedule'!$F$10),DAY(EOMONTH($A311,0))),MOD((YEAR($A311)-YEAR('Recurring Schedule'!$F$10))*12+MONTH($A311)-MONTH('Recurring Schedule'!$F$10),'Recurring Schedule'!$O$10)=0),IF('Recurring Schedule'!$E$10="Weekdays",WEEKDAY($A311,2)&lt;=5,$A311='Recurring Schedule'!$F$10))),5,""))))</f>
        <v/>
      </c>
      <c r="G311">
        <f>IF('Recurring Schedule'!$C$11="","",IF('Recurring Schedule'!$F$11="","",IF(OR($A311&lt;'Recurring Schedule'!$F$11,$A311&gt;'Recurring Schedule'!$P$11),"",IF(IF('Recurring Schedule'!$N$11&gt;0,MOD($A311-'Recurring Schedule'!$F$11,'Recurring Schedule'!$N$11)=0,IF('Recurring Schedule'!$O$11&gt;0,AND(DAY($A311)=MIN(DAY('Recurring Schedule'!$F$11),DAY(EOMONTH($A311,0))),MOD((YEAR($A311)-YEAR('Recurring Schedule'!$F$11))*12+MONTH($A311)-MONTH('Recurring Schedule'!$F$11),'Recurring Schedule'!$O$11)=0),IF('Recurring Schedule'!$E$11="Weekdays",WEEKDAY($A311,2)&lt;=5,$A311='Recurring Schedule'!$F$11))),6,""))))</f>
        <v/>
      </c>
      <c r="H311">
        <f>IF('Recurring Schedule'!$C$12="","",IF('Recurring Schedule'!$F$12="","",IF(OR($A311&lt;'Recurring Schedule'!$F$12,$A311&gt;'Recurring Schedule'!$P$12),"",IF(IF('Recurring Schedule'!$N$12&gt;0,MOD($A311-'Recurring Schedule'!$F$12,'Recurring Schedule'!$N$12)=0,IF('Recurring Schedule'!$O$12&gt;0,AND(DAY($A311)=MIN(DAY('Recurring Schedule'!$F$12),DAY(EOMONTH($A311,0))),MOD((YEAR($A311)-YEAR('Recurring Schedule'!$F$12))*12+MONTH($A311)-MONTH('Recurring Schedule'!$F$12),'Recurring Schedule'!$O$12)=0),IF('Recurring Schedule'!$E$12="Weekdays",WEEKDAY($A311,2)&lt;=5,$A311='Recurring Schedule'!$F$12))),7,""))))</f>
        <v/>
      </c>
      <c r="I311">
        <f>IF('Recurring Schedule'!$C$13="","",IF('Recurring Schedule'!$F$13="","",IF(OR($A311&lt;'Recurring Schedule'!$F$13,$A311&gt;'Recurring Schedule'!$P$13),"",IF(IF('Recurring Schedule'!$N$13&gt;0,MOD($A311-'Recurring Schedule'!$F$13,'Recurring Schedule'!$N$13)=0,IF('Recurring Schedule'!$O$13&gt;0,AND(DAY($A311)=MIN(DAY('Recurring Schedule'!$F$13),DAY(EOMONTH($A311,0))),MOD((YEAR($A311)-YEAR('Recurring Schedule'!$F$13))*12+MONTH($A311)-MONTH('Recurring Schedule'!$F$13),'Recurring Schedule'!$O$13)=0),IF('Recurring Schedule'!$E$13="Weekdays",WEEKDAY($A311,2)&lt;=5,$A311='Recurring Schedule'!$F$13))),8,""))))</f>
        <v/>
      </c>
      <c r="J311">
        <f>IF('Recurring Schedule'!$C$14="","",IF('Recurring Schedule'!$F$14="","",IF(OR($A311&lt;'Recurring Schedule'!$F$14,$A311&gt;'Recurring Schedule'!$P$14),"",IF(IF('Recurring Schedule'!$N$14&gt;0,MOD($A311-'Recurring Schedule'!$F$14,'Recurring Schedule'!$N$14)=0,IF('Recurring Schedule'!$O$14&gt;0,AND(DAY($A311)=MIN(DAY('Recurring Schedule'!$F$14),DAY(EOMONTH($A311,0))),MOD((YEAR($A311)-YEAR('Recurring Schedule'!$F$14))*12+MONTH($A311)-MONTH('Recurring Schedule'!$F$14),'Recurring Schedule'!$O$14)=0),IF('Recurring Schedule'!$E$14="Weekdays",WEEKDAY($A311,2)&lt;=5,$A311='Recurring Schedule'!$F$14))),9,""))))</f>
        <v/>
      </c>
      <c r="K311">
        <f>IF('Recurring Schedule'!$C$15="","",IF('Recurring Schedule'!$F$15="","",IF(OR($A311&lt;'Recurring Schedule'!$F$15,$A311&gt;'Recurring Schedule'!$P$15),"",IF(IF('Recurring Schedule'!$N$15&gt;0,MOD($A311-'Recurring Schedule'!$F$15,'Recurring Schedule'!$N$15)=0,IF('Recurring Schedule'!$O$15&gt;0,AND(DAY($A311)=MIN(DAY('Recurring Schedule'!$F$15),DAY(EOMONTH($A311,0))),MOD((YEAR($A311)-YEAR('Recurring Schedule'!$F$15))*12+MONTH($A311)-MONTH('Recurring Schedule'!$F$15),'Recurring Schedule'!$O$15)=0),IF('Recurring Schedule'!$E$15="Weekdays",WEEKDAY($A311,2)&lt;=5,$A311='Recurring Schedule'!$F$15))),10,""))))</f>
        <v/>
      </c>
      <c r="L311">
        <f>IF('Recurring Schedule'!$C$16="","",IF('Recurring Schedule'!$F$16="","",IF(OR($A311&lt;'Recurring Schedule'!$F$16,$A311&gt;'Recurring Schedule'!$P$16),"",IF(IF('Recurring Schedule'!$N$16&gt;0,MOD($A311-'Recurring Schedule'!$F$16,'Recurring Schedule'!$N$16)=0,IF('Recurring Schedule'!$O$16&gt;0,AND(DAY($A311)=MIN(DAY('Recurring Schedule'!$F$16),DAY(EOMONTH($A311,0))),MOD((YEAR($A311)-YEAR('Recurring Schedule'!$F$16))*12+MONTH($A311)-MONTH('Recurring Schedule'!$F$16),'Recurring Schedule'!$O$16)=0),IF('Recurring Schedule'!$E$16="Weekdays",WEEKDAY($A311,2)&lt;=5,$A311='Recurring Schedule'!$F$16))),11,""))))</f>
        <v/>
      </c>
      <c r="M311">
        <f>IF('Recurring Schedule'!$C$17="","",IF('Recurring Schedule'!$F$17="","",IF(OR($A311&lt;'Recurring Schedule'!$F$17,$A311&gt;'Recurring Schedule'!$P$17),"",IF(IF('Recurring Schedule'!$N$17&gt;0,MOD($A311-'Recurring Schedule'!$F$17,'Recurring Schedule'!$N$17)=0,IF('Recurring Schedule'!$O$17&gt;0,AND(DAY($A311)=MIN(DAY('Recurring Schedule'!$F$17),DAY(EOMONTH($A311,0))),MOD((YEAR($A311)-YEAR('Recurring Schedule'!$F$17))*12+MONTH($A311)-MONTH('Recurring Schedule'!$F$17),'Recurring Schedule'!$O$17)=0),IF('Recurring Schedule'!$E$17="Weekdays",WEEKDAY($A311,2)&lt;=5,$A311='Recurring Schedule'!$F$17))),12,""))))</f>
        <v/>
      </c>
      <c r="N311">
        <f>IF('Recurring Schedule'!$C$18="","",IF('Recurring Schedule'!$F$18="","",IF(OR($A311&lt;'Recurring Schedule'!$F$18,$A311&gt;'Recurring Schedule'!$P$18),"",IF(IF('Recurring Schedule'!$N$18&gt;0,MOD($A311-'Recurring Schedule'!$F$18,'Recurring Schedule'!$N$18)=0,IF('Recurring Schedule'!$O$18&gt;0,AND(DAY($A311)=MIN(DAY('Recurring Schedule'!$F$18),DAY(EOMONTH($A311,0))),MOD((YEAR($A311)-YEAR('Recurring Schedule'!$F$18))*12+MONTH($A311)-MONTH('Recurring Schedule'!$F$18),'Recurring Schedule'!$O$18)=0),IF('Recurring Schedule'!$E$18="Weekdays",WEEKDAY($A311,2)&lt;=5,$A311='Recurring Schedule'!$F$18))),13,""))))</f>
        <v/>
      </c>
      <c r="O311">
        <f>IF('Recurring Schedule'!$C$19="","",IF('Recurring Schedule'!$F$19="","",IF(OR($A311&lt;'Recurring Schedule'!$F$19,$A311&gt;'Recurring Schedule'!$P$19),"",IF(IF('Recurring Schedule'!$N$19&gt;0,MOD($A311-'Recurring Schedule'!$F$19,'Recurring Schedule'!$N$19)=0,IF('Recurring Schedule'!$O$19&gt;0,AND(DAY($A311)=MIN(DAY('Recurring Schedule'!$F$19),DAY(EOMONTH($A311,0))),MOD((YEAR($A311)-YEAR('Recurring Schedule'!$F$19))*12+MONTH($A311)-MONTH('Recurring Schedule'!$F$19),'Recurring Schedule'!$O$19)=0),IF('Recurring Schedule'!$E$19="Weekdays",WEEKDAY($A311,2)&lt;=5,$A311='Recurring Schedule'!$F$19))),14,""))))</f>
        <v/>
      </c>
      <c r="P311">
        <f>IF('Recurring Schedule'!$C$20="","",IF('Recurring Schedule'!$F$20="","",IF(OR($A311&lt;'Recurring Schedule'!$F$20,$A311&gt;'Recurring Schedule'!$P$20),"",IF(IF('Recurring Schedule'!$N$20&gt;0,MOD($A311-'Recurring Schedule'!$F$20,'Recurring Schedule'!$N$20)=0,IF('Recurring Schedule'!$O$20&gt;0,AND(DAY($A311)=MIN(DAY('Recurring Schedule'!$F$20),DAY(EOMONTH($A311,0))),MOD((YEAR($A311)-YEAR('Recurring Schedule'!$F$20))*12+MONTH($A311)-MONTH('Recurring Schedule'!$F$20),'Recurring Schedule'!$O$20)=0),IF('Recurring Schedule'!$E$20="Weekdays",WEEKDAY($A311,2)&lt;=5,$A311='Recurring Schedule'!$F$20))),15,""))))</f>
        <v/>
      </c>
      <c r="Q311">
        <f>IF('Recurring Schedule'!$C$21="","",IF('Recurring Schedule'!$F$21="","",IF(OR($A311&lt;'Recurring Schedule'!$F$21,$A311&gt;'Recurring Schedule'!$P$21),"",IF(IF('Recurring Schedule'!$N$21&gt;0,MOD($A311-'Recurring Schedule'!$F$21,'Recurring Schedule'!$N$21)=0,IF('Recurring Schedule'!$O$21&gt;0,AND(DAY($A311)=MIN(DAY('Recurring Schedule'!$F$21),DAY(EOMONTH($A311,0))),MOD((YEAR($A311)-YEAR('Recurring Schedule'!$F$21))*12+MONTH($A311)-MONTH('Recurring Schedule'!$F$21),'Recurring Schedule'!$O$21)=0),IF('Recurring Schedule'!$E$21="Weekdays",WEEKDAY($A311,2)&lt;=5,$A311='Recurring Schedule'!$F$21))),16,""))))</f>
        <v/>
      </c>
      <c r="R311">
        <f>IF('Recurring Schedule'!$C$22="","",IF('Recurring Schedule'!$F$22="","",IF(OR($A311&lt;'Recurring Schedule'!$F$22,$A311&gt;'Recurring Schedule'!$P$22),"",IF(IF('Recurring Schedule'!$N$22&gt;0,MOD($A311-'Recurring Schedule'!$F$22,'Recurring Schedule'!$N$22)=0,IF('Recurring Schedule'!$O$22&gt;0,AND(DAY($A311)=MIN(DAY('Recurring Schedule'!$F$22),DAY(EOMONTH($A311,0))),MOD((YEAR($A311)-YEAR('Recurring Schedule'!$F$22))*12+MONTH($A311)-MONTH('Recurring Schedule'!$F$22),'Recurring Schedule'!$O$22)=0),IF('Recurring Schedule'!$E$22="Weekdays",WEEKDAY($A311,2)&lt;=5,$A311='Recurring Schedule'!$F$22))),17,""))))</f>
        <v/>
      </c>
      <c r="S311">
        <f>IF('Recurring Schedule'!$C$23="","",IF('Recurring Schedule'!$F$23="","",IF(OR($A311&lt;'Recurring Schedule'!$F$23,$A311&gt;'Recurring Schedule'!$P$23),"",IF(IF('Recurring Schedule'!$N$23&gt;0,MOD($A311-'Recurring Schedule'!$F$23,'Recurring Schedule'!$N$23)=0,IF('Recurring Schedule'!$O$23&gt;0,AND(DAY($A311)=MIN(DAY('Recurring Schedule'!$F$23),DAY(EOMONTH($A311,0))),MOD((YEAR($A311)-YEAR('Recurring Schedule'!$F$23))*12+MONTH($A311)-MONTH('Recurring Schedule'!$F$23),'Recurring Schedule'!$O$23)=0),IF('Recurring Schedule'!$E$23="Weekdays",WEEKDAY($A311,2)&lt;=5,$A311='Recurring Schedule'!$F$23))),18,""))))</f>
        <v/>
      </c>
      <c r="T311">
        <f>IF('Recurring Schedule'!$C$24="","",IF('Recurring Schedule'!$F$24="","",IF(OR($A311&lt;'Recurring Schedule'!$F$24,$A311&gt;'Recurring Schedule'!$P$24),"",IF(IF('Recurring Schedule'!$N$24&gt;0,MOD($A311-'Recurring Schedule'!$F$24,'Recurring Schedule'!$N$24)=0,IF('Recurring Schedule'!$O$24&gt;0,AND(DAY($A311)=MIN(DAY('Recurring Schedule'!$F$24),DAY(EOMONTH($A311,0))),MOD((YEAR($A311)-YEAR('Recurring Schedule'!$F$24))*12+MONTH($A311)-MONTH('Recurring Schedule'!$F$24),'Recurring Schedule'!$O$24)=0),IF('Recurring Schedule'!$E$24="Weekdays",WEEKDAY($A311,2)&lt;=5,$A311='Recurring Schedule'!$F$24))),19,""))))</f>
        <v/>
      </c>
      <c r="U311">
        <f>IF('Recurring Schedule'!$C$25="","",IF('Recurring Schedule'!$F$25="","",IF(OR($A311&lt;'Recurring Schedule'!$F$25,$A311&gt;'Recurring Schedule'!$P$25),"",IF(IF('Recurring Schedule'!$N$25&gt;0,MOD($A311-'Recurring Schedule'!$F$25,'Recurring Schedule'!$N$25)=0,IF('Recurring Schedule'!$O$25&gt;0,AND(DAY($A311)=MIN(DAY('Recurring Schedule'!$F$25),DAY(EOMONTH($A311,0))),MOD((YEAR($A311)-YEAR('Recurring Schedule'!$F$25))*12+MONTH($A311)-MONTH('Recurring Schedule'!$F$25),'Recurring Schedule'!$O$25)=0),IF('Recurring Schedule'!$E$25="Weekdays",WEEKDAY($A311,2)&lt;=5,$A311='Recurring Schedule'!$F$25))),20,""))))</f>
        <v/>
      </c>
      <c r="V311">
        <f>IF('Recurring Schedule'!$C$26="","",IF('Recurring Schedule'!$F$26="","",IF(OR($A311&lt;'Recurring Schedule'!$F$26,$A311&gt;'Recurring Schedule'!$P$26),"",IF(IF('Recurring Schedule'!$N$26&gt;0,MOD($A311-'Recurring Schedule'!$F$26,'Recurring Schedule'!$N$26)=0,IF('Recurring Schedule'!$O$26&gt;0,AND(DAY($A311)=MIN(DAY('Recurring Schedule'!$F$26),DAY(EOMONTH($A311,0))),MOD((YEAR($A311)-YEAR('Recurring Schedule'!$F$26))*12+MONTH($A311)-MONTH('Recurring Schedule'!$F$26),'Recurring Schedule'!$O$26)=0),IF('Recurring Schedule'!$E$26="Weekdays",WEEKDAY($A311,2)&lt;=5,$A311='Recurring Schedule'!$F$26))),21,""))))</f>
        <v/>
      </c>
      <c r="W311">
        <f>IF('Recurring Schedule'!$C$27="","",IF('Recurring Schedule'!$F$27="","",IF(OR($A311&lt;'Recurring Schedule'!$F$27,$A311&gt;'Recurring Schedule'!$P$27),"",IF(IF('Recurring Schedule'!$N$27&gt;0,MOD($A311-'Recurring Schedule'!$F$27,'Recurring Schedule'!$N$27)=0,IF('Recurring Schedule'!$O$27&gt;0,AND(DAY($A311)=MIN(DAY('Recurring Schedule'!$F$27),DAY(EOMONTH($A311,0))),MOD((YEAR($A311)-YEAR('Recurring Schedule'!$F$27))*12+MONTH($A311)-MONTH('Recurring Schedule'!$F$27),'Recurring Schedule'!$O$27)=0),IF('Recurring Schedule'!$E$27="Weekdays",WEEKDAY($A311,2)&lt;=5,$A311='Recurring Schedule'!$F$27))),22,""))))</f>
        <v/>
      </c>
      <c r="X311">
        <f>IF('Recurring Schedule'!$C$28="","",IF('Recurring Schedule'!$F$28="","",IF(OR($A311&lt;'Recurring Schedule'!$F$28,$A311&gt;'Recurring Schedule'!$P$28),"",IF(IF('Recurring Schedule'!$N$28&gt;0,MOD($A311-'Recurring Schedule'!$F$28,'Recurring Schedule'!$N$28)=0,IF('Recurring Schedule'!$O$28&gt;0,AND(DAY($A311)=MIN(DAY('Recurring Schedule'!$F$28),DAY(EOMONTH($A311,0))),MOD((YEAR($A311)-YEAR('Recurring Schedule'!$F$28))*12+MONTH($A311)-MONTH('Recurring Schedule'!$F$28),'Recurring Schedule'!$O$28)=0),IF('Recurring Schedule'!$E$28="Weekdays",WEEKDAY($A311,2)&lt;=5,$A311='Recurring Schedule'!$F$28))),23,""))))</f>
        <v/>
      </c>
      <c r="Y311">
        <f>IF('Recurring Schedule'!$C$29="","",IF('Recurring Schedule'!$F$29="","",IF(OR($A311&lt;'Recurring Schedule'!$F$29,$A311&gt;'Recurring Schedule'!$P$29),"",IF(IF('Recurring Schedule'!$N$29&gt;0,MOD($A311-'Recurring Schedule'!$F$29,'Recurring Schedule'!$N$29)=0,IF('Recurring Schedule'!$O$29&gt;0,AND(DAY($A311)=MIN(DAY('Recurring Schedule'!$F$29),DAY(EOMONTH($A311,0))),MOD((YEAR($A311)-YEAR('Recurring Schedule'!$F$29))*12+MONTH($A311)-MONTH('Recurring Schedule'!$F$29),'Recurring Schedule'!$O$29)=0),IF('Recurring Schedule'!$E$29="Weekdays",WEEKDAY($A311,2)&lt;=5,$A311='Recurring Schedule'!$F$29))),24,""))))</f>
        <v/>
      </c>
      <c r="Z311">
        <f>IF('Recurring Schedule'!$C$30="","",IF('Recurring Schedule'!$F$30="","",IF(OR($A311&lt;'Recurring Schedule'!$F$30,$A311&gt;'Recurring Schedule'!$P$30),"",IF(IF('Recurring Schedule'!$N$30&gt;0,MOD($A311-'Recurring Schedule'!$F$30,'Recurring Schedule'!$N$30)=0,IF('Recurring Schedule'!$O$30&gt;0,AND(DAY($A311)=MIN(DAY('Recurring Schedule'!$F$30),DAY(EOMONTH($A311,0))),MOD((YEAR($A311)-YEAR('Recurring Schedule'!$F$30))*12+MONTH($A311)-MONTH('Recurring Schedule'!$F$30),'Recurring Schedule'!$O$30)=0),IF('Recurring Schedule'!$E$30="Weekdays",WEEKDAY($A311,2)&lt;=5,$A311='Recurring Schedule'!$F$30))),25,""))))</f>
        <v/>
      </c>
      <c r="AA311">
        <f>IF('Recurring Schedule'!$C$31="","",IF('Recurring Schedule'!$F$31="","",IF(OR($A311&lt;'Recurring Schedule'!$F$31,$A311&gt;'Recurring Schedule'!$P$31),"",IF(IF('Recurring Schedule'!$N$31&gt;0,MOD($A311-'Recurring Schedule'!$F$31,'Recurring Schedule'!$N$31)=0,IF('Recurring Schedule'!$O$31&gt;0,AND(DAY($A311)=MIN(DAY('Recurring Schedule'!$F$31),DAY(EOMONTH($A311,0))),MOD((YEAR($A311)-YEAR('Recurring Schedule'!$F$31))*12+MONTH($A311)-MONTH('Recurring Schedule'!$F$31),'Recurring Schedule'!$O$31)=0),IF('Recurring Schedule'!$E$31="Weekdays",WEEKDAY($A311,2)&lt;=5,$A311='Recurring Schedule'!$F$31))),26,""))))</f>
        <v/>
      </c>
      <c r="AB311">
        <f>IF('Recurring Schedule'!$C$32="","",IF('Recurring Schedule'!$F$32="","",IF(OR($A311&lt;'Recurring Schedule'!$F$32,$A311&gt;'Recurring Schedule'!$P$32),"",IF(IF('Recurring Schedule'!$N$32&gt;0,MOD($A311-'Recurring Schedule'!$F$32,'Recurring Schedule'!$N$32)=0,IF('Recurring Schedule'!$O$32&gt;0,AND(DAY($A311)=MIN(DAY('Recurring Schedule'!$F$32),DAY(EOMONTH($A311,0))),MOD((YEAR($A311)-YEAR('Recurring Schedule'!$F$32))*12+MONTH($A311)-MONTH('Recurring Schedule'!$F$32),'Recurring Schedule'!$O$32)=0),IF('Recurring Schedule'!$E$32="Weekdays",WEEKDAY($A311,2)&lt;=5,$A311='Recurring Schedule'!$F$32))),27,""))))</f>
        <v/>
      </c>
      <c r="AC311">
        <f>IF('Recurring Schedule'!$C$33="","",IF('Recurring Schedule'!$F$33="","",IF(OR($A311&lt;'Recurring Schedule'!$F$33,$A311&gt;'Recurring Schedule'!$P$33),"",IF(IF('Recurring Schedule'!$N$33&gt;0,MOD($A311-'Recurring Schedule'!$F$33,'Recurring Schedule'!$N$33)=0,IF('Recurring Schedule'!$O$33&gt;0,AND(DAY($A311)=MIN(DAY('Recurring Schedule'!$F$33),DAY(EOMONTH($A311,0))),MOD((YEAR($A311)-YEAR('Recurring Schedule'!$F$33))*12+MONTH($A311)-MONTH('Recurring Schedule'!$F$33),'Recurring Schedule'!$O$33)=0),IF('Recurring Schedule'!$E$33="Weekdays",WEEKDAY($A311,2)&lt;=5,$A311='Recurring Schedule'!$F$33))),28,""))))</f>
        <v/>
      </c>
      <c r="AD311">
        <f>IF('Recurring Schedule'!$C$34="","",IF('Recurring Schedule'!$F$34="","",IF(OR($A311&lt;'Recurring Schedule'!$F$34,$A311&gt;'Recurring Schedule'!$P$34),"",IF(IF('Recurring Schedule'!$N$34&gt;0,MOD($A311-'Recurring Schedule'!$F$34,'Recurring Schedule'!$N$34)=0,IF('Recurring Schedule'!$O$34&gt;0,AND(DAY($A311)=MIN(DAY('Recurring Schedule'!$F$34),DAY(EOMONTH($A311,0))),MOD((YEAR($A311)-YEAR('Recurring Schedule'!$F$34))*12+MONTH($A311)-MONTH('Recurring Schedule'!$F$34),'Recurring Schedule'!$O$34)=0),IF('Recurring Schedule'!$E$34="Weekdays",WEEKDAY($A311,2)&lt;=5,$A311='Recurring Schedule'!$F$34))),29,""))))</f>
        <v/>
      </c>
      <c r="AE311">
        <f>IF('Recurring Schedule'!$C$35="","",IF('Recurring Schedule'!$F$35="","",IF(OR($A311&lt;'Recurring Schedule'!$F$35,$A311&gt;'Recurring Schedule'!$P$35),"",IF(IF('Recurring Schedule'!$N$35&gt;0,MOD($A311-'Recurring Schedule'!$F$35,'Recurring Schedule'!$N$35)=0,IF('Recurring Schedule'!$O$35&gt;0,AND(DAY($A311)=MIN(DAY('Recurring Schedule'!$F$35),DAY(EOMONTH($A311,0))),MOD((YEAR($A311)-YEAR('Recurring Schedule'!$F$35))*12+MONTH($A311)-MONTH('Recurring Schedule'!$F$35),'Recurring Schedule'!$O$35)=0),IF('Recurring Schedule'!$E$35="Weekdays",WEEKDAY($A311,2)&lt;=5,$A311='Recurring Schedule'!$F$35))),30,""))))</f>
        <v/>
      </c>
      <c r="AF311">
        <f>IF('Recurring Schedule'!$C$36="","",IF('Recurring Schedule'!$F$36="","",IF(OR($A311&lt;'Recurring Schedule'!$F$36,$A311&gt;'Recurring Schedule'!$P$36),"",IF(IF('Recurring Schedule'!$N$36&gt;0,MOD($A311-'Recurring Schedule'!$F$36,'Recurring Schedule'!$N$36)=0,IF('Recurring Schedule'!$O$36&gt;0,AND(DAY($A311)=MIN(DAY('Recurring Schedule'!$F$36),DAY(EOMONTH($A311,0))),MOD((YEAR($A311)-YEAR('Recurring Schedule'!$F$36))*12+MONTH($A311)-MONTH('Recurring Schedule'!$F$36),'Recurring Schedule'!$O$36)=0),IF('Recurring Schedule'!$E$36="Weekdays",WEEKDAY($A311,2)&lt;=5,$A311='Recurring Schedule'!$F$36))),31,""))))</f>
        <v/>
      </c>
      <c r="AG311">
        <f>IF('Recurring Schedule'!$C$37="","",IF('Recurring Schedule'!$F$37="","",IF(OR($A311&lt;'Recurring Schedule'!$F$37,$A311&gt;'Recurring Schedule'!$P$37),"",IF(IF('Recurring Schedule'!$N$37&gt;0,MOD($A311-'Recurring Schedule'!$F$37,'Recurring Schedule'!$N$37)=0,IF('Recurring Schedule'!$O$37&gt;0,AND(DAY($A311)=MIN(DAY('Recurring Schedule'!$F$37),DAY(EOMONTH($A311,0))),MOD((YEAR($A311)-YEAR('Recurring Schedule'!$F$37))*12+MONTH($A311)-MONTH('Recurring Schedule'!$F$37),'Recurring Schedule'!$O$37)=0),IF('Recurring Schedule'!$E$37="Weekdays",WEEKDAY($A311,2)&lt;=5,$A311='Recurring Schedule'!$F$37))),32,""))))</f>
        <v/>
      </c>
      <c r="AH311">
        <f>IF('Recurring Schedule'!$C$38="","",IF('Recurring Schedule'!$F$38="","",IF(OR($A311&lt;'Recurring Schedule'!$F$38,$A311&gt;'Recurring Schedule'!$P$38),"",IF(IF('Recurring Schedule'!$N$38&gt;0,MOD($A311-'Recurring Schedule'!$F$38,'Recurring Schedule'!$N$38)=0,IF('Recurring Schedule'!$O$38&gt;0,AND(DAY($A311)=MIN(DAY('Recurring Schedule'!$F$38),DAY(EOMONTH($A311,0))),MOD((YEAR($A311)-YEAR('Recurring Schedule'!$F$38))*12+MONTH($A311)-MONTH('Recurring Schedule'!$F$38),'Recurring Schedule'!$O$38)=0),IF('Recurring Schedule'!$E$38="Weekdays",WEEKDAY($A311,2)&lt;=5,$A311='Recurring Schedule'!$F$38))),33,""))))</f>
        <v/>
      </c>
      <c r="AI311">
        <f>IF('Recurring Schedule'!$C$39="","",IF('Recurring Schedule'!$F$39="","",IF(OR($A311&lt;'Recurring Schedule'!$F$39,$A311&gt;'Recurring Schedule'!$P$39),"",IF(IF('Recurring Schedule'!$N$39&gt;0,MOD($A311-'Recurring Schedule'!$F$39,'Recurring Schedule'!$N$39)=0,IF('Recurring Schedule'!$O$39&gt;0,AND(DAY($A311)=MIN(DAY('Recurring Schedule'!$F$39),DAY(EOMONTH($A311,0))),MOD((YEAR($A311)-YEAR('Recurring Schedule'!$F$39))*12+MONTH($A311)-MONTH('Recurring Schedule'!$F$39),'Recurring Schedule'!$O$39)=0),IF('Recurring Schedule'!$E$39="Weekdays",WEEKDAY($A311,2)&lt;=5,$A311='Recurring Schedule'!$F$39))),34,""))))</f>
        <v/>
      </c>
      <c r="AJ311">
        <f>IF('Recurring Schedule'!$C$40="","",IF('Recurring Schedule'!$F$40="","",IF(OR($A311&lt;'Recurring Schedule'!$F$40,$A311&gt;'Recurring Schedule'!$P$40),"",IF(IF('Recurring Schedule'!$N$40&gt;0,MOD($A311-'Recurring Schedule'!$F$40,'Recurring Schedule'!$N$40)=0,IF('Recurring Schedule'!$O$40&gt;0,AND(DAY($A311)=MIN(DAY('Recurring Schedule'!$F$40),DAY(EOMONTH($A311,0))),MOD((YEAR($A311)-YEAR('Recurring Schedule'!$F$40))*12+MONTH($A311)-MONTH('Recurring Schedule'!$F$40),'Recurring Schedule'!$O$40)=0),IF('Recurring Schedule'!$E$40="Weekdays",WEEKDAY($A311,2)&lt;=5,$A311='Recurring Schedule'!$F$40))),35,""))))</f>
        <v/>
      </c>
      <c r="AK311">
        <f>IF('Recurring Schedule'!$C$41="","",IF('Recurring Schedule'!$F$41="","",IF(OR($A311&lt;'Recurring Schedule'!$F$41,$A311&gt;'Recurring Schedule'!$P$41),"",IF(IF('Recurring Schedule'!$N$41&gt;0,MOD($A311-'Recurring Schedule'!$F$41,'Recurring Schedule'!$N$41)=0,IF('Recurring Schedule'!$O$41&gt;0,AND(DAY($A311)=MIN(DAY('Recurring Schedule'!$F$41),DAY(EOMONTH($A311,0))),MOD((YEAR($A311)-YEAR('Recurring Schedule'!$F$41))*12+MONTH($A311)-MONTH('Recurring Schedule'!$F$41),'Recurring Schedule'!$O$41)=0),IF('Recurring Schedule'!$E$41="Weekdays",WEEKDAY($A311,2)&lt;=5,$A311='Recurring Schedule'!$F$41))),36,""))))</f>
        <v/>
      </c>
      <c r="AL311">
        <f>IF('Recurring Schedule'!$C$42="","",IF('Recurring Schedule'!$F$42="","",IF(OR($A311&lt;'Recurring Schedule'!$F$42,$A311&gt;'Recurring Schedule'!$P$42),"",IF(IF('Recurring Schedule'!$N$42&gt;0,MOD($A311-'Recurring Schedule'!$F$42,'Recurring Schedule'!$N$42)=0,IF('Recurring Schedule'!$O$42&gt;0,AND(DAY($A311)=MIN(DAY('Recurring Schedule'!$F$42),DAY(EOMONTH($A311,0))),MOD((YEAR($A311)-YEAR('Recurring Schedule'!$F$42))*12+MONTH($A311)-MONTH('Recurring Schedule'!$F$42),'Recurring Schedule'!$O$42)=0),IF('Recurring Schedule'!$E$42="Weekdays",WEEKDAY($A311,2)&lt;=5,$A311='Recurring Schedule'!$F$42))),37,""))))</f>
        <v/>
      </c>
      <c r="AM311">
        <f>IF('Recurring Schedule'!$C$43="","",IF('Recurring Schedule'!$F$43="","",IF(OR($A311&lt;'Recurring Schedule'!$F$43,$A311&gt;'Recurring Schedule'!$P$43),"",IF(IF('Recurring Schedule'!$N$43&gt;0,MOD($A311-'Recurring Schedule'!$F$43,'Recurring Schedule'!$N$43)=0,IF('Recurring Schedule'!$O$43&gt;0,AND(DAY($A311)=MIN(DAY('Recurring Schedule'!$F$43),DAY(EOMONTH($A311,0))),MOD((YEAR($A311)-YEAR('Recurring Schedule'!$F$43))*12+MONTH($A311)-MONTH('Recurring Schedule'!$F$43),'Recurring Schedule'!$O$43)=0),IF('Recurring Schedule'!$E$43="Weekdays",WEEKDAY($A311,2)&lt;=5,$A311='Recurring Schedule'!$F$43))),38,""))))</f>
        <v/>
      </c>
      <c r="AN311">
        <f>IF('Recurring Schedule'!$C$44="","",IF('Recurring Schedule'!$F$44="","",IF(OR($A311&lt;'Recurring Schedule'!$F$44,$A311&gt;'Recurring Schedule'!$P$44),"",IF(IF('Recurring Schedule'!$N$44&gt;0,MOD($A311-'Recurring Schedule'!$F$44,'Recurring Schedule'!$N$44)=0,IF('Recurring Schedule'!$O$44&gt;0,AND(DAY($A311)=MIN(DAY('Recurring Schedule'!$F$44),DAY(EOMONTH($A311,0))),MOD((YEAR($A311)-YEAR('Recurring Schedule'!$F$44))*12+MONTH($A311)-MONTH('Recurring Schedule'!$F$44),'Recurring Schedule'!$O$44)=0),IF('Recurring Schedule'!$E$44="Weekdays",WEEKDAY($A311,2)&lt;=5,$A311='Recurring Schedule'!$F$44))),39,""))))</f>
        <v/>
      </c>
      <c r="AO311">
        <f>IF('Recurring Schedule'!$C$45="","",IF('Recurring Schedule'!$F$45="","",IF(OR($A311&lt;'Recurring Schedule'!$F$45,$A311&gt;'Recurring Schedule'!$P$45),"",IF(IF('Recurring Schedule'!$N$45&gt;0,MOD($A311-'Recurring Schedule'!$F$45,'Recurring Schedule'!$N$45)=0,IF('Recurring Schedule'!$O$45&gt;0,AND(DAY($A311)=MIN(DAY('Recurring Schedule'!$F$45),DAY(EOMONTH($A311,0))),MOD((YEAR($A311)-YEAR('Recurring Schedule'!$F$45))*12+MONTH($A311)-MONTH('Recurring Schedule'!$F$45),'Recurring Schedule'!$O$45)=0),IF('Recurring Schedule'!$E$45="Weekdays",WEEKDAY($A311,2)&lt;=5,$A311='Recurring Schedule'!$F$45))),40,""))))</f>
        <v/>
      </c>
      <c r="AP311">
        <f>COUNT(B311:AO311)</f>
        <v/>
      </c>
      <c r="AQ311">
        <f>AQ310+AP310</f>
        <v/>
      </c>
      <c r="AS311" t="inlineStr">
        <is>
          <t>R</t>
        </is>
      </c>
      <c r="AT311" t="n">
        <v>315</v>
      </c>
      <c r="AU311">
        <f>'Recurring Log'!C315&amp;""</f>
        <v/>
      </c>
      <c r="AV311">
        <f>'Recurring Log'!D315&amp;""</f>
        <v/>
      </c>
      <c r="AW311">
        <f>IF('Recurring Log'!E315="","",'Recurring Log'!E315)</f>
        <v/>
      </c>
      <c r="AX311">
        <f>IF('Recurring Log'!G315="","",'Recurring Log'!G315)</f>
        <v/>
      </c>
      <c r="AY311">
        <f>IF('Recurring Log'!H315="","",'Recurring Log'!H315)</f>
        <v/>
      </c>
      <c r="AZ311">
        <f>IF(AU311="","",IF('Recurring Log'!J315="","Not Started",'Recurring Log'!J315))</f>
        <v/>
      </c>
      <c r="BA311">
        <f>'Recurring Log'!L315&amp;""</f>
        <v/>
      </c>
      <c r="BB311">
        <f>'Recurring Log'!M315&amp;""</f>
        <v/>
      </c>
      <c r="BC311">
        <f>'Recurring Log'!N315&amp;""</f>
        <v/>
      </c>
      <c r="BD311">
        <f>'Recurring Log'!O315&amp;""</f>
        <v/>
      </c>
      <c r="BE311">
        <f>IF('Recurring Log'!K315="","",'Recurring Log'!K315)</f>
        <v/>
      </c>
      <c r="BF311">
        <f>IFERROR(MATCH(BA311,Setup!$L$6:$L$9,0),5)</f>
        <v/>
      </c>
      <c r="BG311">
        <f>IF(OR(AZ311="Done",AZ311="Cancelled"),1,0)</f>
        <v/>
      </c>
      <c r="BH311">
        <f>IF(AND(AU311&lt;&gt;"",ISNUMBER(AW311)),1,0)</f>
        <v/>
      </c>
      <c r="BI311">
        <f>IF(BH311=0,0,IF(AND(AW311&gt;='Tasks Filter'!$F$3,AW311&lt;='Tasks Filter'!$F$4,OR('Tasks Filter'!$I$3="",ISNUMBER(SEARCH('Tasks Filter'!$I$3,AU311))),OR('Tasks Filter'!$I$4="",BF311=IFERROR(MATCH('Tasks Filter'!$I$4,Setup!$L$6:$L$9,0),0)),OR('Tasks Filter'!$I$5="Both",AND('Tasks Filter'!$I$5="Yes",BB311="✓"),AND('Tasks Filter'!$I$5="No",BB311&lt;&gt;"✓")),OR('Tasks Filter'!$L$3="",AV311='Tasks Filter'!$L$3),OR('Tasks Filter'!$L$4="",AZ311='Tasks Filter'!$L$4),OR('Tasks Filter'!$L$5="",BC311='Tasks Filter'!$L$5),OR('Tasks Filter'!$O$3="",BD311='Tasks Filter'!$O$3),OR('Tasks Filter'!$O$4="Yes",BG311=0)),1,0))</f>
        <v/>
      </c>
      <c r="BJ311">
        <f>IF(BH311=0,"",IF('Tasks Filter'!$F$6="Descending",-1,1)*CHOOSE(MATCH('Tasks Filter'!$F$5,Lists!$G$2:$G$6,0),AW311,BF311,IFERROR(MATCH(AV311,Setup!$F$6:$F$15,0),99),IFERROR(MATCH(BC311,Setup!$H$6:$H$15,0),99),IFERROR(MATCH(AZ311,Setup!$J$6:$J$11,0),99))*1E+9+(AW311-40000)*10000+310)</f>
        <v/>
      </c>
      <c r="BK311">
        <f>IF(BI311=1,BJ311,"")</f>
        <v/>
      </c>
      <c r="BL311">
        <f>IF(AND(BH311=1,BG311=0,N(AW311)&lt;Setup!$D$7),(AW311-40000)*10000+310,"")</f>
        <v/>
      </c>
      <c r="BM311">
        <f>IF(AND(BH311=1,AZ311&lt;&gt;"Cancelled",N(AW311)&gt;=Dashboard!$AB$3,N(AW311)&lt;=Dashboard!$AB$3+6),(AW311-40000)*100000+BF311*10000+310,"")</f>
        <v/>
      </c>
      <c r="BN311">
        <f>IF(AND(BH311=1,AZ311&lt;&gt;"Cancelled"),BF311*10000+310,"")</f>
        <v/>
      </c>
    </row>
    <row r="312">
      <c r="A312">
        <f>Setup!$D$5+310</f>
        <v/>
      </c>
      <c r="B312">
        <f>IF('Recurring Schedule'!$C$6="","",IF('Recurring Schedule'!$F$6="","",IF(OR($A312&lt;'Recurring Schedule'!$F$6,$A312&gt;'Recurring Schedule'!$P$6),"",IF(IF('Recurring Schedule'!$N$6&gt;0,MOD($A312-'Recurring Schedule'!$F$6,'Recurring Schedule'!$N$6)=0,IF('Recurring Schedule'!$O$6&gt;0,AND(DAY($A312)=MIN(DAY('Recurring Schedule'!$F$6),DAY(EOMONTH($A312,0))),MOD((YEAR($A312)-YEAR('Recurring Schedule'!$F$6))*12+MONTH($A312)-MONTH('Recurring Schedule'!$F$6),'Recurring Schedule'!$O$6)=0),IF('Recurring Schedule'!$E$6="Weekdays",WEEKDAY($A312,2)&lt;=5,$A312='Recurring Schedule'!$F$6))),1,""))))</f>
        <v/>
      </c>
      <c r="C312">
        <f>IF('Recurring Schedule'!$C$7="","",IF('Recurring Schedule'!$F$7="","",IF(OR($A312&lt;'Recurring Schedule'!$F$7,$A312&gt;'Recurring Schedule'!$P$7),"",IF(IF('Recurring Schedule'!$N$7&gt;0,MOD($A312-'Recurring Schedule'!$F$7,'Recurring Schedule'!$N$7)=0,IF('Recurring Schedule'!$O$7&gt;0,AND(DAY($A312)=MIN(DAY('Recurring Schedule'!$F$7),DAY(EOMONTH($A312,0))),MOD((YEAR($A312)-YEAR('Recurring Schedule'!$F$7))*12+MONTH($A312)-MONTH('Recurring Schedule'!$F$7),'Recurring Schedule'!$O$7)=0),IF('Recurring Schedule'!$E$7="Weekdays",WEEKDAY($A312,2)&lt;=5,$A312='Recurring Schedule'!$F$7))),2,""))))</f>
        <v/>
      </c>
      <c r="D312">
        <f>IF('Recurring Schedule'!$C$8="","",IF('Recurring Schedule'!$F$8="","",IF(OR($A312&lt;'Recurring Schedule'!$F$8,$A312&gt;'Recurring Schedule'!$P$8),"",IF(IF('Recurring Schedule'!$N$8&gt;0,MOD($A312-'Recurring Schedule'!$F$8,'Recurring Schedule'!$N$8)=0,IF('Recurring Schedule'!$O$8&gt;0,AND(DAY($A312)=MIN(DAY('Recurring Schedule'!$F$8),DAY(EOMONTH($A312,0))),MOD((YEAR($A312)-YEAR('Recurring Schedule'!$F$8))*12+MONTH($A312)-MONTH('Recurring Schedule'!$F$8),'Recurring Schedule'!$O$8)=0),IF('Recurring Schedule'!$E$8="Weekdays",WEEKDAY($A312,2)&lt;=5,$A312='Recurring Schedule'!$F$8))),3,""))))</f>
        <v/>
      </c>
      <c r="E312">
        <f>IF('Recurring Schedule'!$C$9="","",IF('Recurring Schedule'!$F$9="","",IF(OR($A312&lt;'Recurring Schedule'!$F$9,$A312&gt;'Recurring Schedule'!$P$9),"",IF(IF('Recurring Schedule'!$N$9&gt;0,MOD($A312-'Recurring Schedule'!$F$9,'Recurring Schedule'!$N$9)=0,IF('Recurring Schedule'!$O$9&gt;0,AND(DAY($A312)=MIN(DAY('Recurring Schedule'!$F$9),DAY(EOMONTH($A312,0))),MOD((YEAR($A312)-YEAR('Recurring Schedule'!$F$9))*12+MONTH($A312)-MONTH('Recurring Schedule'!$F$9),'Recurring Schedule'!$O$9)=0),IF('Recurring Schedule'!$E$9="Weekdays",WEEKDAY($A312,2)&lt;=5,$A312='Recurring Schedule'!$F$9))),4,""))))</f>
        <v/>
      </c>
      <c r="F312">
        <f>IF('Recurring Schedule'!$C$10="","",IF('Recurring Schedule'!$F$10="","",IF(OR($A312&lt;'Recurring Schedule'!$F$10,$A312&gt;'Recurring Schedule'!$P$10),"",IF(IF('Recurring Schedule'!$N$10&gt;0,MOD($A312-'Recurring Schedule'!$F$10,'Recurring Schedule'!$N$10)=0,IF('Recurring Schedule'!$O$10&gt;0,AND(DAY($A312)=MIN(DAY('Recurring Schedule'!$F$10),DAY(EOMONTH($A312,0))),MOD((YEAR($A312)-YEAR('Recurring Schedule'!$F$10))*12+MONTH($A312)-MONTH('Recurring Schedule'!$F$10),'Recurring Schedule'!$O$10)=0),IF('Recurring Schedule'!$E$10="Weekdays",WEEKDAY($A312,2)&lt;=5,$A312='Recurring Schedule'!$F$10))),5,""))))</f>
        <v/>
      </c>
      <c r="G312">
        <f>IF('Recurring Schedule'!$C$11="","",IF('Recurring Schedule'!$F$11="","",IF(OR($A312&lt;'Recurring Schedule'!$F$11,$A312&gt;'Recurring Schedule'!$P$11),"",IF(IF('Recurring Schedule'!$N$11&gt;0,MOD($A312-'Recurring Schedule'!$F$11,'Recurring Schedule'!$N$11)=0,IF('Recurring Schedule'!$O$11&gt;0,AND(DAY($A312)=MIN(DAY('Recurring Schedule'!$F$11),DAY(EOMONTH($A312,0))),MOD((YEAR($A312)-YEAR('Recurring Schedule'!$F$11))*12+MONTH($A312)-MONTH('Recurring Schedule'!$F$11),'Recurring Schedule'!$O$11)=0),IF('Recurring Schedule'!$E$11="Weekdays",WEEKDAY($A312,2)&lt;=5,$A312='Recurring Schedule'!$F$11))),6,""))))</f>
        <v/>
      </c>
      <c r="H312">
        <f>IF('Recurring Schedule'!$C$12="","",IF('Recurring Schedule'!$F$12="","",IF(OR($A312&lt;'Recurring Schedule'!$F$12,$A312&gt;'Recurring Schedule'!$P$12),"",IF(IF('Recurring Schedule'!$N$12&gt;0,MOD($A312-'Recurring Schedule'!$F$12,'Recurring Schedule'!$N$12)=0,IF('Recurring Schedule'!$O$12&gt;0,AND(DAY($A312)=MIN(DAY('Recurring Schedule'!$F$12),DAY(EOMONTH($A312,0))),MOD((YEAR($A312)-YEAR('Recurring Schedule'!$F$12))*12+MONTH($A312)-MONTH('Recurring Schedule'!$F$12),'Recurring Schedule'!$O$12)=0),IF('Recurring Schedule'!$E$12="Weekdays",WEEKDAY($A312,2)&lt;=5,$A312='Recurring Schedule'!$F$12))),7,""))))</f>
        <v/>
      </c>
      <c r="I312">
        <f>IF('Recurring Schedule'!$C$13="","",IF('Recurring Schedule'!$F$13="","",IF(OR($A312&lt;'Recurring Schedule'!$F$13,$A312&gt;'Recurring Schedule'!$P$13),"",IF(IF('Recurring Schedule'!$N$13&gt;0,MOD($A312-'Recurring Schedule'!$F$13,'Recurring Schedule'!$N$13)=0,IF('Recurring Schedule'!$O$13&gt;0,AND(DAY($A312)=MIN(DAY('Recurring Schedule'!$F$13),DAY(EOMONTH($A312,0))),MOD((YEAR($A312)-YEAR('Recurring Schedule'!$F$13))*12+MONTH($A312)-MONTH('Recurring Schedule'!$F$13),'Recurring Schedule'!$O$13)=0),IF('Recurring Schedule'!$E$13="Weekdays",WEEKDAY($A312,2)&lt;=5,$A312='Recurring Schedule'!$F$13))),8,""))))</f>
        <v/>
      </c>
      <c r="J312">
        <f>IF('Recurring Schedule'!$C$14="","",IF('Recurring Schedule'!$F$14="","",IF(OR($A312&lt;'Recurring Schedule'!$F$14,$A312&gt;'Recurring Schedule'!$P$14),"",IF(IF('Recurring Schedule'!$N$14&gt;0,MOD($A312-'Recurring Schedule'!$F$14,'Recurring Schedule'!$N$14)=0,IF('Recurring Schedule'!$O$14&gt;0,AND(DAY($A312)=MIN(DAY('Recurring Schedule'!$F$14),DAY(EOMONTH($A312,0))),MOD((YEAR($A312)-YEAR('Recurring Schedule'!$F$14))*12+MONTH($A312)-MONTH('Recurring Schedule'!$F$14),'Recurring Schedule'!$O$14)=0),IF('Recurring Schedule'!$E$14="Weekdays",WEEKDAY($A312,2)&lt;=5,$A312='Recurring Schedule'!$F$14))),9,""))))</f>
        <v/>
      </c>
      <c r="K312">
        <f>IF('Recurring Schedule'!$C$15="","",IF('Recurring Schedule'!$F$15="","",IF(OR($A312&lt;'Recurring Schedule'!$F$15,$A312&gt;'Recurring Schedule'!$P$15),"",IF(IF('Recurring Schedule'!$N$15&gt;0,MOD($A312-'Recurring Schedule'!$F$15,'Recurring Schedule'!$N$15)=0,IF('Recurring Schedule'!$O$15&gt;0,AND(DAY($A312)=MIN(DAY('Recurring Schedule'!$F$15),DAY(EOMONTH($A312,0))),MOD((YEAR($A312)-YEAR('Recurring Schedule'!$F$15))*12+MONTH($A312)-MONTH('Recurring Schedule'!$F$15),'Recurring Schedule'!$O$15)=0),IF('Recurring Schedule'!$E$15="Weekdays",WEEKDAY($A312,2)&lt;=5,$A312='Recurring Schedule'!$F$15))),10,""))))</f>
        <v/>
      </c>
      <c r="L312">
        <f>IF('Recurring Schedule'!$C$16="","",IF('Recurring Schedule'!$F$16="","",IF(OR($A312&lt;'Recurring Schedule'!$F$16,$A312&gt;'Recurring Schedule'!$P$16),"",IF(IF('Recurring Schedule'!$N$16&gt;0,MOD($A312-'Recurring Schedule'!$F$16,'Recurring Schedule'!$N$16)=0,IF('Recurring Schedule'!$O$16&gt;0,AND(DAY($A312)=MIN(DAY('Recurring Schedule'!$F$16),DAY(EOMONTH($A312,0))),MOD((YEAR($A312)-YEAR('Recurring Schedule'!$F$16))*12+MONTH($A312)-MONTH('Recurring Schedule'!$F$16),'Recurring Schedule'!$O$16)=0),IF('Recurring Schedule'!$E$16="Weekdays",WEEKDAY($A312,2)&lt;=5,$A312='Recurring Schedule'!$F$16))),11,""))))</f>
        <v/>
      </c>
      <c r="M312">
        <f>IF('Recurring Schedule'!$C$17="","",IF('Recurring Schedule'!$F$17="","",IF(OR($A312&lt;'Recurring Schedule'!$F$17,$A312&gt;'Recurring Schedule'!$P$17),"",IF(IF('Recurring Schedule'!$N$17&gt;0,MOD($A312-'Recurring Schedule'!$F$17,'Recurring Schedule'!$N$17)=0,IF('Recurring Schedule'!$O$17&gt;0,AND(DAY($A312)=MIN(DAY('Recurring Schedule'!$F$17),DAY(EOMONTH($A312,0))),MOD((YEAR($A312)-YEAR('Recurring Schedule'!$F$17))*12+MONTH($A312)-MONTH('Recurring Schedule'!$F$17),'Recurring Schedule'!$O$17)=0),IF('Recurring Schedule'!$E$17="Weekdays",WEEKDAY($A312,2)&lt;=5,$A312='Recurring Schedule'!$F$17))),12,""))))</f>
        <v/>
      </c>
      <c r="N312">
        <f>IF('Recurring Schedule'!$C$18="","",IF('Recurring Schedule'!$F$18="","",IF(OR($A312&lt;'Recurring Schedule'!$F$18,$A312&gt;'Recurring Schedule'!$P$18),"",IF(IF('Recurring Schedule'!$N$18&gt;0,MOD($A312-'Recurring Schedule'!$F$18,'Recurring Schedule'!$N$18)=0,IF('Recurring Schedule'!$O$18&gt;0,AND(DAY($A312)=MIN(DAY('Recurring Schedule'!$F$18),DAY(EOMONTH($A312,0))),MOD((YEAR($A312)-YEAR('Recurring Schedule'!$F$18))*12+MONTH($A312)-MONTH('Recurring Schedule'!$F$18),'Recurring Schedule'!$O$18)=0),IF('Recurring Schedule'!$E$18="Weekdays",WEEKDAY($A312,2)&lt;=5,$A312='Recurring Schedule'!$F$18))),13,""))))</f>
        <v/>
      </c>
      <c r="O312">
        <f>IF('Recurring Schedule'!$C$19="","",IF('Recurring Schedule'!$F$19="","",IF(OR($A312&lt;'Recurring Schedule'!$F$19,$A312&gt;'Recurring Schedule'!$P$19),"",IF(IF('Recurring Schedule'!$N$19&gt;0,MOD($A312-'Recurring Schedule'!$F$19,'Recurring Schedule'!$N$19)=0,IF('Recurring Schedule'!$O$19&gt;0,AND(DAY($A312)=MIN(DAY('Recurring Schedule'!$F$19),DAY(EOMONTH($A312,0))),MOD((YEAR($A312)-YEAR('Recurring Schedule'!$F$19))*12+MONTH($A312)-MONTH('Recurring Schedule'!$F$19),'Recurring Schedule'!$O$19)=0),IF('Recurring Schedule'!$E$19="Weekdays",WEEKDAY($A312,2)&lt;=5,$A312='Recurring Schedule'!$F$19))),14,""))))</f>
        <v/>
      </c>
      <c r="P312">
        <f>IF('Recurring Schedule'!$C$20="","",IF('Recurring Schedule'!$F$20="","",IF(OR($A312&lt;'Recurring Schedule'!$F$20,$A312&gt;'Recurring Schedule'!$P$20),"",IF(IF('Recurring Schedule'!$N$20&gt;0,MOD($A312-'Recurring Schedule'!$F$20,'Recurring Schedule'!$N$20)=0,IF('Recurring Schedule'!$O$20&gt;0,AND(DAY($A312)=MIN(DAY('Recurring Schedule'!$F$20),DAY(EOMONTH($A312,0))),MOD((YEAR($A312)-YEAR('Recurring Schedule'!$F$20))*12+MONTH($A312)-MONTH('Recurring Schedule'!$F$20),'Recurring Schedule'!$O$20)=0),IF('Recurring Schedule'!$E$20="Weekdays",WEEKDAY($A312,2)&lt;=5,$A312='Recurring Schedule'!$F$20))),15,""))))</f>
        <v/>
      </c>
      <c r="Q312">
        <f>IF('Recurring Schedule'!$C$21="","",IF('Recurring Schedule'!$F$21="","",IF(OR($A312&lt;'Recurring Schedule'!$F$21,$A312&gt;'Recurring Schedule'!$P$21),"",IF(IF('Recurring Schedule'!$N$21&gt;0,MOD($A312-'Recurring Schedule'!$F$21,'Recurring Schedule'!$N$21)=0,IF('Recurring Schedule'!$O$21&gt;0,AND(DAY($A312)=MIN(DAY('Recurring Schedule'!$F$21),DAY(EOMONTH($A312,0))),MOD((YEAR($A312)-YEAR('Recurring Schedule'!$F$21))*12+MONTH($A312)-MONTH('Recurring Schedule'!$F$21),'Recurring Schedule'!$O$21)=0),IF('Recurring Schedule'!$E$21="Weekdays",WEEKDAY($A312,2)&lt;=5,$A312='Recurring Schedule'!$F$21))),16,""))))</f>
        <v/>
      </c>
      <c r="R312">
        <f>IF('Recurring Schedule'!$C$22="","",IF('Recurring Schedule'!$F$22="","",IF(OR($A312&lt;'Recurring Schedule'!$F$22,$A312&gt;'Recurring Schedule'!$P$22),"",IF(IF('Recurring Schedule'!$N$22&gt;0,MOD($A312-'Recurring Schedule'!$F$22,'Recurring Schedule'!$N$22)=0,IF('Recurring Schedule'!$O$22&gt;0,AND(DAY($A312)=MIN(DAY('Recurring Schedule'!$F$22),DAY(EOMONTH($A312,0))),MOD((YEAR($A312)-YEAR('Recurring Schedule'!$F$22))*12+MONTH($A312)-MONTH('Recurring Schedule'!$F$22),'Recurring Schedule'!$O$22)=0),IF('Recurring Schedule'!$E$22="Weekdays",WEEKDAY($A312,2)&lt;=5,$A312='Recurring Schedule'!$F$22))),17,""))))</f>
        <v/>
      </c>
      <c r="S312">
        <f>IF('Recurring Schedule'!$C$23="","",IF('Recurring Schedule'!$F$23="","",IF(OR($A312&lt;'Recurring Schedule'!$F$23,$A312&gt;'Recurring Schedule'!$P$23),"",IF(IF('Recurring Schedule'!$N$23&gt;0,MOD($A312-'Recurring Schedule'!$F$23,'Recurring Schedule'!$N$23)=0,IF('Recurring Schedule'!$O$23&gt;0,AND(DAY($A312)=MIN(DAY('Recurring Schedule'!$F$23),DAY(EOMONTH($A312,0))),MOD((YEAR($A312)-YEAR('Recurring Schedule'!$F$23))*12+MONTH($A312)-MONTH('Recurring Schedule'!$F$23),'Recurring Schedule'!$O$23)=0),IF('Recurring Schedule'!$E$23="Weekdays",WEEKDAY($A312,2)&lt;=5,$A312='Recurring Schedule'!$F$23))),18,""))))</f>
        <v/>
      </c>
      <c r="T312">
        <f>IF('Recurring Schedule'!$C$24="","",IF('Recurring Schedule'!$F$24="","",IF(OR($A312&lt;'Recurring Schedule'!$F$24,$A312&gt;'Recurring Schedule'!$P$24),"",IF(IF('Recurring Schedule'!$N$24&gt;0,MOD($A312-'Recurring Schedule'!$F$24,'Recurring Schedule'!$N$24)=0,IF('Recurring Schedule'!$O$24&gt;0,AND(DAY($A312)=MIN(DAY('Recurring Schedule'!$F$24),DAY(EOMONTH($A312,0))),MOD((YEAR($A312)-YEAR('Recurring Schedule'!$F$24))*12+MONTH($A312)-MONTH('Recurring Schedule'!$F$24),'Recurring Schedule'!$O$24)=0),IF('Recurring Schedule'!$E$24="Weekdays",WEEKDAY($A312,2)&lt;=5,$A312='Recurring Schedule'!$F$24))),19,""))))</f>
        <v/>
      </c>
      <c r="U312">
        <f>IF('Recurring Schedule'!$C$25="","",IF('Recurring Schedule'!$F$25="","",IF(OR($A312&lt;'Recurring Schedule'!$F$25,$A312&gt;'Recurring Schedule'!$P$25),"",IF(IF('Recurring Schedule'!$N$25&gt;0,MOD($A312-'Recurring Schedule'!$F$25,'Recurring Schedule'!$N$25)=0,IF('Recurring Schedule'!$O$25&gt;0,AND(DAY($A312)=MIN(DAY('Recurring Schedule'!$F$25),DAY(EOMONTH($A312,0))),MOD((YEAR($A312)-YEAR('Recurring Schedule'!$F$25))*12+MONTH($A312)-MONTH('Recurring Schedule'!$F$25),'Recurring Schedule'!$O$25)=0),IF('Recurring Schedule'!$E$25="Weekdays",WEEKDAY($A312,2)&lt;=5,$A312='Recurring Schedule'!$F$25))),20,""))))</f>
        <v/>
      </c>
      <c r="V312">
        <f>IF('Recurring Schedule'!$C$26="","",IF('Recurring Schedule'!$F$26="","",IF(OR($A312&lt;'Recurring Schedule'!$F$26,$A312&gt;'Recurring Schedule'!$P$26),"",IF(IF('Recurring Schedule'!$N$26&gt;0,MOD($A312-'Recurring Schedule'!$F$26,'Recurring Schedule'!$N$26)=0,IF('Recurring Schedule'!$O$26&gt;0,AND(DAY($A312)=MIN(DAY('Recurring Schedule'!$F$26),DAY(EOMONTH($A312,0))),MOD((YEAR($A312)-YEAR('Recurring Schedule'!$F$26))*12+MONTH($A312)-MONTH('Recurring Schedule'!$F$26),'Recurring Schedule'!$O$26)=0),IF('Recurring Schedule'!$E$26="Weekdays",WEEKDAY($A312,2)&lt;=5,$A312='Recurring Schedule'!$F$26))),21,""))))</f>
        <v/>
      </c>
      <c r="W312">
        <f>IF('Recurring Schedule'!$C$27="","",IF('Recurring Schedule'!$F$27="","",IF(OR($A312&lt;'Recurring Schedule'!$F$27,$A312&gt;'Recurring Schedule'!$P$27),"",IF(IF('Recurring Schedule'!$N$27&gt;0,MOD($A312-'Recurring Schedule'!$F$27,'Recurring Schedule'!$N$27)=0,IF('Recurring Schedule'!$O$27&gt;0,AND(DAY($A312)=MIN(DAY('Recurring Schedule'!$F$27),DAY(EOMONTH($A312,0))),MOD((YEAR($A312)-YEAR('Recurring Schedule'!$F$27))*12+MONTH($A312)-MONTH('Recurring Schedule'!$F$27),'Recurring Schedule'!$O$27)=0),IF('Recurring Schedule'!$E$27="Weekdays",WEEKDAY($A312,2)&lt;=5,$A312='Recurring Schedule'!$F$27))),22,""))))</f>
        <v/>
      </c>
      <c r="X312">
        <f>IF('Recurring Schedule'!$C$28="","",IF('Recurring Schedule'!$F$28="","",IF(OR($A312&lt;'Recurring Schedule'!$F$28,$A312&gt;'Recurring Schedule'!$P$28),"",IF(IF('Recurring Schedule'!$N$28&gt;0,MOD($A312-'Recurring Schedule'!$F$28,'Recurring Schedule'!$N$28)=0,IF('Recurring Schedule'!$O$28&gt;0,AND(DAY($A312)=MIN(DAY('Recurring Schedule'!$F$28),DAY(EOMONTH($A312,0))),MOD((YEAR($A312)-YEAR('Recurring Schedule'!$F$28))*12+MONTH($A312)-MONTH('Recurring Schedule'!$F$28),'Recurring Schedule'!$O$28)=0),IF('Recurring Schedule'!$E$28="Weekdays",WEEKDAY($A312,2)&lt;=5,$A312='Recurring Schedule'!$F$28))),23,""))))</f>
        <v/>
      </c>
      <c r="Y312">
        <f>IF('Recurring Schedule'!$C$29="","",IF('Recurring Schedule'!$F$29="","",IF(OR($A312&lt;'Recurring Schedule'!$F$29,$A312&gt;'Recurring Schedule'!$P$29),"",IF(IF('Recurring Schedule'!$N$29&gt;0,MOD($A312-'Recurring Schedule'!$F$29,'Recurring Schedule'!$N$29)=0,IF('Recurring Schedule'!$O$29&gt;0,AND(DAY($A312)=MIN(DAY('Recurring Schedule'!$F$29),DAY(EOMONTH($A312,0))),MOD((YEAR($A312)-YEAR('Recurring Schedule'!$F$29))*12+MONTH($A312)-MONTH('Recurring Schedule'!$F$29),'Recurring Schedule'!$O$29)=0),IF('Recurring Schedule'!$E$29="Weekdays",WEEKDAY($A312,2)&lt;=5,$A312='Recurring Schedule'!$F$29))),24,""))))</f>
        <v/>
      </c>
      <c r="Z312">
        <f>IF('Recurring Schedule'!$C$30="","",IF('Recurring Schedule'!$F$30="","",IF(OR($A312&lt;'Recurring Schedule'!$F$30,$A312&gt;'Recurring Schedule'!$P$30),"",IF(IF('Recurring Schedule'!$N$30&gt;0,MOD($A312-'Recurring Schedule'!$F$30,'Recurring Schedule'!$N$30)=0,IF('Recurring Schedule'!$O$30&gt;0,AND(DAY($A312)=MIN(DAY('Recurring Schedule'!$F$30),DAY(EOMONTH($A312,0))),MOD((YEAR($A312)-YEAR('Recurring Schedule'!$F$30))*12+MONTH($A312)-MONTH('Recurring Schedule'!$F$30),'Recurring Schedule'!$O$30)=0),IF('Recurring Schedule'!$E$30="Weekdays",WEEKDAY($A312,2)&lt;=5,$A312='Recurring Schedule'!$F$30))),25,""))))</f>
        <v/>
      </c>
      <c r="AA312">
        <f>IF('Recurring Schedule'!$C$31="","",IF('Recurring Schedule'!$F$31="","",IF(OR($A312&lt;'Recurring Schedule'!$F$31,$A312&gt;'Recurring Schedule'!$P$31),"",IF(IF('Recurring Schedule'!$N$31&gt;0,MOD($A312-'Recurring Schedule'!$F$31,'Recurring Schedule'!$N$31)=0,IF('Recurring Schedule'!$O$31&gt;0,AND(DAY($A312)=MIN(DAY('Recurring Schedule'!$F$31),DAY(EOMONTH($A312,0))),MOD((YEAR($A312)-YEAR('Recurring Schedule'!$F$31))*12+MONTH($A312)-MONTH('Recurring Schedule'!$F$31),'Recurring Schedule'!$O$31)=0),IF('Recurring Schedule'!$E$31="Weekdays",WEEKDAY($A312,2)&lt;=5,$A312='Recurring Schedule'!$F$31))),26,""))))</f>
        <v/>
      </c>
      <c r="AB312">
        <f>IF('Recurring Schedule'!$C$32="","",IF('Recurring Schedule'!$F$32="","",IF(OR($A312&lt;'Recurring Schedule'!$F$32,$A312&gt;'Recurring Schedule'!$P$32),"",IF(IF('Recurring Schedule'!$N$32&gt;0,MOD($A312-'Recurring Schedule'!$F$32,'Recurring Schedule'!$N$32)=0,IF('Recurring Schedule'!$O$32&gt;0,AND(DAY($A312)=MIN(DAY('Recurring Schedule'!$F$32),DAY(EOMONTH($A312,0))),MOD((YEAR($A312)-YEAR('Recurring Schedule'!$F$32))*12+MONTH($A312)-MONTH('Recurring Schedule'!$F$32),'Recurring Schedule'!$O$32)=0),IF('Recurring Schedule'!$E$32="Weekdays",WEEKDAY($A312,2)&lt;=5,$A312='Recurring Schedule'!$F$32))),27,""))))</f>
        <v/>
      </c>
      <c r="AC312">
        <f>IF('Recurring Schedule'!$C$33="","",IF('Recurring Schedule'!$F$33="","",IF(OR($A312&lt;'Recurring Schedule'!$F$33,$A312&gt;'Recurring Schedule'!$P$33),"",IF(IF('Recurring Schedule'!$N$33&gt;0,MOD($A312-'Recurring Schedule'!$F$33,'Recurring Schedule'!$N$33)=0,IF('Recurring Schedule'!$O$33&gt;0,AND(DAY($A312)=MIN(DAY('Recurring Schedule'!$F$33),DAY(EOMONTH($A312,0))),MOD((YEAR($A312)-YEAR('Recurring Schedule'!$F$33))*12+MONTH($A312)-MONTH('Recurring Schedule'!$F$33),'Recurring Schedule'!$O$33)=0),IF('Recurring Schedule'!$E$33="Weekdays",WEEKDAY($A312,2)&lt;=5,$A312='Recurring Schedule'!$F$33))),28,""))))</f>
        <v/>
      </c>
      <c r="AD312">
        <f>IF('Recurring Schedule'!$C$34="","",IF('Recurring Schedule'!$F$34="","",IF(OR($A312&lt;'Recurring Schedule'!$F$34,$A312&gt;'Recurring Schedule'!$P$34),"",IF(IF('Recurring Schedule'!$N$34&gt;0,MOD($A312-'Recurring Schedule'!$F$34,'Recurring Schedule'!$N$34)=0,IF('Recurring Schedule'!$O$34&gt;0,AND(DAY($A312)=MIN(DAY('Recurring Schedule'!$F$34),DAY(EOMONTH($A312,0))),MOD((YEAR($A312)-YEAR('Recurring Schedule'!$F$34))*12+MONTH($A312)-MONTH('Recurring Schedule'!$F$34),'Recurring Schedule'!$O$34)=0),IF('Recurring Schedule'!$E$34="Weekdays",WEEKDAY($A312,2)&lt;=5,$A312='Recurring Schedule'!$F$34))),29,""))))</f>
        <v/>
      </c>
      <c r="AE312">
        <f>IF('Recurring Schedule'!$C$35="","",IF('Recurring Schedule'!$F$35="","",IF(OR($A312&lt;'Recurring Schedule'!$F$35,$A312&gt;'Recurring Schedule'!$P$35),"",IF(IF('Recurring Schedule'!$N$35&gt;0,MOD($A312-'Recurring Schedule'!$F$35,'Recurring Schedule'!$N$35)=0,IF('Recurring Schedule'!$O$35&gt;0,AND(DAY($A312)=MIN(DAY('Recurring Schedule'!$F$35),DAY(EOMONTH($A312,0))),MOD((YEAR($A312)-YEAR('Recurring Schedule'!$F$35))*12+MONTH($A312)-MONTH('Recurring Schedule'!$F$35),'Recurring Schedule'!$O$35)=0),IF('Recurring Schedule'!$E$35="Weekdays",WEEKDAY($A312,2)&lt;=5,$A312='Recurring Schedule'!$F$35))),30,""))))</f>
        <v/>
      </c>
      <c r="AF312">
        <f>IF('Recurring Schedule'!$C$36="","",IF('Recurring Schedule'!$F$36="","",IF(OR($A312&lt;'Recurring Schedule'!$F$36,$A312&gt;'Recurring Schedule'!$P$36),"",IF(IF('Recurring Schedule'!$N$36&gt;0,MOD($A312-'Recurring Schedule'!$F$36,'Recurring Schedule'!$N$36)=0,IF('Recurring Schedule'!$O$36&gt;0,AND(DAY($A312)=MIN(DAY('Recurring Schedule'!$F$36),DAY(EOMONTH($A312,0))),MOD((YEAR($A312)-YEAR('Recurring Schedule'!$F$36))*12+MONTH($A312)-MONTH('Recurring Schedule'!$F$36),'Recurring Schedule'!$O$36)=0),IF('Recurring Schedule'!$E$36="Weekdays",WEEKDAY($A312,2)&lt;=5,$A312='Recurring Schedule'!$F$36))),31,""))))</f>
        <v/>
      </c>
      <c r="AG312">
        <f>IF('Recurring Schedule'!$C$37="","",IF('Recurring Schedule'!$F$37="","",IF(OR($A312&lt;'Recurring Schedule'!$F$37,$A312&gt;'Recurring Schedule'!$P$37),"",IF(IF('Recurring Schedule'!$N$37&gt;0,MOD($A312-'Recurring Schedule'!$F$37,'Recurring Schedule'!$N$37)=0,IF('Recurring Schedule'!$O$37&gt;0,AND(DAY($A312)=MIN(DAY('Recurring Schedule'!$F$37),DAY(EOMONTH($A312,0))),MOD((YEAR($A312)-YEAR('Recurring Schedule'!$F$37))*12+MONTH($A312)-MONTH('Recurring Schedule'!$F$37),'Recurring Schedule'!$O$37)=0),IF('Recurring Schedule'!$E$37="Weekdays",WEEKDAY($A312,2)&lt;=5,$A312='Recurring Schedule'!$F$37))),32,""))))</f>
        <v/>
      </c>
      <c r="AH312">
        <f>IF('Recurring Schedule'!$C$38="","",IF('Recurring Schedule'!$F$38="","",IF(OR($A312&lt;'Recurring Schedule'!$F$38,$A312&gt;'Recurring Schedule'!$P$38),"",IF(IF('Recurring Schedule'!$N$38&gt;0,MOD($A312-'Recurring Schedule'!$F$38,'Recurring Schedule'!$N$38)=0,IF('Recurring Schedule'!$O$38&gt;0,AND(DAY($A312)=MIN(DAY('Recurring Schedule'!$F$38),DAY(EOMONTH($A312,0))),MOD((YEAR($A312)-YEAR('Recurring Schedule'!$F$38))*12+MONTH($A312)-MONTH('Recurring Schedule'!$F$38),'Recurring Schedule'!$O$38)=0),IF('Recurring Schedule'!$E$38="Weekdays",WEEKDAY($A312,2)&lt;=5,$A312='Recurring Schedule'!$F$38))),33,""))))</f>
        <v/>
      </c>
      <c r="AI312">
        <f>IF('Recurring Schedule'!$C$39="","",IF('Recurring Schedule'!$F$39="","",IF(OR($A312&lt;'Recurring Schedule'!$F$39,$A312&gt;'Recurring Schedule'!$P$39),"",IF(IF('Recurring Schedule'!$N$39&gt;0,MOD($A312-'Recurring Schedule'!$F$39,'Recurring Schedule'!$N$39)=0,IF('Recurring Schedule'!$O$39&gt;0,AND(DAY($A312)=MIN(DAY('Recurring Schedule'!$F$39),DAY(EOMONTH($A312,0))),MOD((YEAR($A312)-YEAR('Recurring Schedule'!$F$39))*12+MONTH($A312)-MONTH('Recurring Schedule'!$F$39),'Recurring Schedule'!$O$39)=0),IF('Recurring Schedule'!$E$39="Weekdays",WEEKDAY($A312,2)&lt;=5,$A312='Recurring Schedule'!$F$39))),34,""))))</f>
        <v/>
      </c>
      <c r="AJ312">
        <f>IF('Recurring Schedule'!$C$40="","",IF('Recurring Schedule'!$F$40="","",IF(OR($A312&lt;'Recurring Schedule'!$F$40,$A312&gt;'Recurring Schedule'!$P$40),"",IF(IF('Recurring Schedule'!$N$40&gt;0,MOD($A312-'Recurring Schedule'!$F$40,'Recurring Schedule'!$N$40)=0,IF('Recurring Schedule'!$O$40&gt;0,AND(DAY($A312)=MIN(DAY('Recurring Schedule'!$F$40),DAY(EOMONTH($A312,0))),MOD((YEAR($A312)-YEAR('Recurring Schedule'!$F$40))*12+MONTH($A312)-MONTH('Recurring Schedule'!$F$40),'Recurring Schedule'!$O$40)=0),IF('Recurring Schedule'!$E$40="Weekdays",WEEKDAY($A312,2)&lt;=5,$A312='Recurring Schedule'!$F$40))),35,""))))</f>
        <v/>
      </c>
      <c r="AK312">
        <f>IF('Recurring Schedule'!$C$41="","",IF('Recurring Schedule'!$F$41="","",IF(OR($A312&lt;'Recurring Schedule'!$F$41,$A312&gt;'Recurring Schedule'!$P$41),"",IF(IF('Recurring Schedule'!$N$41&gt;0,MOD($A312-'Recurring Schedule'!$F$41,'Recurring Schedule'!$N$41)=0,IF('Recurring Schedule'!$O$41&gt;0,AND(DAY($A312)=MIN(DAY('Recurring Schedule'!$F$41),DAY(EOMONTH($A312,0))),MOD((YEAR($A312)-YEAR('Recurring Schedule'!$F$41))*12+MONTH($A312)-MONTH('Recurring Schedule'!$F$41),'Recurring Schedule'!$O$41)=0),IF('Recurring Schedule'!$E$41="Weekdays",WEEKDAY($A312,2)&lt;=5,$A312='Recurring Schedule'!$F$41))),36,""))))</f>
        <v/>
      </c>
      <c r="AL312">
        <f>IF('Recurring Schedule'!$C$42="","",IF('Recurring Schedule'!$F$42="","",IF(OR($A312&lt;'Recurring Schedule'!$F$42,$A312&gt;'Recurring Schedule'!$P$42),"",IF(IF('Recurring Schedule'!$N$42&gt;0,MOD($A312-'Recurring Schedule'!$F$42,'Recurring Schedule'!$N$42)=0,IF('Recurring Schedule'!$O$42&gt;0,AND(DAY($A312)=MIN(DAY('Recurring Schedule'!$F$42),DAY(EOMONTH($A312,0))),MOD((YEAR($A312)-YEAR('Recurring Schedule'!$F$42))*12+MONTH($A312)-MONTH('Recurring Schedule'!$F$42),'Recurring Schedule'!$O$42)=0),IF('Recurring Schedule'!$E$42="Weekdays",WEEKDAY($A312,2)&lt;=5,$A312='Recurring Schedule'!$F$42))),37,""))))</f>
        <v/>
      </c>
      <c r="AM312">
        <f>IF('Recurring Schedule'!$C$43="","",IF('Recurring Schedule'!$F$43="","",IF(OR($A312&lt;'Recurring Schedule'!$F$43,$A312&gt;'Recurring Schedule'!$P$43),"",IF(IF('Recurring Schedule'!$N$43&gt;0,MOD($A312-'Recurring Schedule'!$F$43,'Recurring Schedule'!$N$43)=0,IF('Recurring Schedule'!$O$43&gt;0,AND(DAY($A312)=MIN(DAY('Recurring Schedule'!$F$43),DAY(EOMONTH($A312,0))),MOD((YEAR($A312)-YEAR('Recurring Schedule'!$F$43))*12+MONTH($A312)-MONTH('Recurring Schedule'!$F$43),'Recurring Schedule'!$O$43)=0),IF('Recurring Schedule'!$E$43="Weekdays",WEEKDAY($A312,2)&lt;=5,$A312='Recurring Schedule'!$F$43))),38,""))))</f>
        <v/>
      </c>
      <c r="AN312">
        <f>IF('Recurring Schedule'!$C$44="","",IF('Recurring Schedule'!$F$44="","",IF(OR($A312&lt;'Recurring Schedule'!$F$44,$A312&gt;'Recurring Schedule'!$P$44),"",IF(IF('Recurring Schedule'!$N$44&gt;0,MOD($A312-'Recurring Schedule'!$F$44,'Recurring Schedule'!$N$44)=0,IF('Recurring Schedule'!$O$44&gt;0,AND(DAY($A312)=MIN(DAY('Recurring Schedule'!$F$44),DAY(EOMONTH($A312,0))),MOD((YEAR($A312)-YEAR('Recurring Schedule'!$F$44))*12+MONTH($A312)-MONTH('Recurring Schedule'!$F$44),'Recurring Schedule'!$O$44)=0),IF('Recurring Schedule'!$E$44="Weekdays",WEEKDAY($A312,2)&lt;=5,$A312='Recurring Schedule'!$F$44))),39,""))))</f>
        <v/>
      </c>
      <c r="AO312">
        <f>IF('Recurring Schedule'!$C$45="","",IF('Recurring Schedule'!$F$45="","",IF(OR($A312&lt;'Recurring Schedule'!$F$45,$A312&gt;'Recurring Schedule'!$P$45),"",IF(IF('Recurring Schedule'!$N$45&gt;0,MOD($A312-'Recurring Schedule'!$F$45,'Recurring Schedule'!$N$45)=0,IF('Recurring Schedule'!$O$45&gt;0,AND(DAY($A312)=MIN(DAY('Recurring Schedule'!$F$45),DAY(EOMONTH($A312,0))),MOD((YEAR($A312)-YEAR('Recurring Schedule'!$F$45))*12+MONTH($A312)-MONTH('Recurring Schedule'!$F$45),'Recurring Schedule'!$O$45)=0),IF('Recurring Schedule'!$E$45="Weekdays",WEEKDAY($A312,2)&lt;=5,$A312='Recurring Schedule'!$F$45))),40,""))))</f>
        <v/>
      </c>
      <c r="AP312">
        <f>COUNT(B312:AO312)</f>
        <v/>
      </c>
      <c r="AQ312">
        <f>AQ311+AP311</f>
        <v/>
      </c>
      <c r="AS312" t="inlineStr">
        <is>
          <t>R</t>
        </is>
      </c>
      <c r="AT312" t="n">
        <v>316</v>
      </c>
      <c r="AU312">
        <f>'Recurring Log'!C316&amp;""</f>
        <v/>
      </c>
      <c r="AV312">
        <f>'Recurring Log'!D316&amp;""</f>
        <v/>
      </c>
      <c r="AW312">
        <f>IF('Recurring Log'!E316="","",'Recurring Log'!E316)</f>
        <v/>
      </c>
      <c r="AX312">
        <f>IF('Recurring Log'!G316="","",'Recurring Log'!G316)</f>
        <v/>
      </c>
      <c r="AY312">
        <f>IF('Recurring Log'!H316="","",'Recurring Log'!H316)</f>
        <v/>
      </c>
      <c r="AZ312">
        <f>IF(AU312="","",IF('Recurring Log'!J316="","Not Started",'Recurring Log'!J316))</f>
        <v/>
      </c>
      <c r="BA312">
        <f>'Recurring Log'!L316&amp;""</f>
        <v/>
      </c>
      <c r="BB312">
        <f>'Recurring Log'!M316&amp;""</f>
        <v/>
      </c>
      <c r="BC312">
        <f>'Recurring Log'!N316&amp;""</f>
        <v/>
      </c>
      <c r="BD312">
        <f>'Recurring Log'!O316&amp;""</f>
        <v/>
      </c>
      <c r="BE312">
        <f>IF('Recurring Log'!K316="","",'Recurring Log'!K316)</f>
        <v/>
      </c>
      <c r="BF312">
        <f>IFERROR(MATCH(BA312,Setup!$L$6:$L$9,0),5)</f>
        <v/>
      </c>
      <c r="BG312">
        <f>IF(OR(AZ312="Done",AZ312="Cancelled"),1,0)</f>
        <v/>
      </c>
      <c r="BH312">
        <f>IF(AND(AU312&lt;&gt;"",ISNUMBER(AW312)),1,0)</f>
        <v/>
      </c>
      <c r="BI312">
        <f>IF(BH312=0,0,IF(AND(AW312&gt;='Tasks Filter'!$F$3,AW312&lt;='Tasks Filter'!$F$4,OR('Tasks Filter'!$I$3="",ISNUMBER(SEARCH('Tasks Filter'!$I$3,AU312))),OR('Tasks Filter'!$I$4="",BF312=IFERROR(MATCH('Tasks Filter'!$I$4,Setup!$L$6:$L$9,0),0)),OR('Tasks Filter'!$I$5="Both",AND('Tasks Filter'!$I$5="Yes",BB312="✓"),AND('Tasks Filter'!$I$5="No",BB312&lt;&gt;"✓")),OR('Tasks Filter'!$L$3="",AV312='Tasks Filter'!$L$3),OR('Tasks Filter'!$L$4="",AZ312='Tasks Filter'!$L$4),OR('Tasks Filter'!$L$5="",BC312='Tasks Filter'!$L$5),OR('Tasks Filter'!$O$3="",BD312='Tasks Filter'!$O$3),OR('Tasks Filter'!$O$4="Yes",BG312=0)),1,0))</f>
        <v/>
      </c>
      <c r="BJ312">
        <f>IF(BH312=0,"",IF('Tasks Filter'!$F$6="Descending",-1,1)*CHOOSE(MATCH('Tasks Filter'!$F$5,Lists!$G$2:$G$6,0),AW312,BF312,IFERROR(MATCH(AV312,Setup!$F$6:$F$15,0),99),IFERROR(MATCH(BC312,Setup!$H$6:$H$15,0),99),IFERROR(MATCH(AZ312,Setup!$J$6:$J$11,0),99))*1E+9+(AW312-40000)*10000+311)</f>
        <v/>
      </c>
      <c r="BK312">
        <f>IF(BI312=1,BJ312,"")</f>
        <v/>
      </c>
      <c r="BL312">
        <f>IF(AND(BH312=1,BG312=0,N(AW312)&lt;Setup!$D$7),(AW312-40000)*10000+311,"")</f>
        <v/>
      </c>
      <c r="BM312">
        <f>IF(AND(BH312=1,AZ312&lt;&gt;"Cancelled",N(AW312)&gt;=Dashboard!$AB$3,N(AW312)&lt;=Dashboard!$AB$3+6),(AW312-40000)*100000+BF312*10000+311,"")</f>
        <v/>
      </c>
      <c r="BN312">
        <f>IF(AND(BH312=1,AZ312&lt;&gt;"Cancelled"),BF312*10000+311,"")</f>
        <v/>
      </c>
    </row>
    <row r="313">
      <c r="A313">
        <f>Setup!$D$5+311</f>
        <v/>
      </c>
      <c r="B313">
        <f>IF('Recurring Schedule'!$C$6="","",IF('Recurring Schedule'!$F$6="","",IF(OR($A313&lt;'Recurring Schedule'!$F$6,$A313&gt;'Recurring Schedule'!$P$6),"",IF(IF('Recurring Schedule'!$N$6&gt;0,MOD($A313-'Recurring Schedule'!$F$6,'Recurring Schedule'!$N$6)=0,IF('Recurring Schedule'!$O$6&gt;0,AND(DAY($A313)=MIN(DAY('Recurring Schedule'!$F$6),DAY(EOMONTH($A313,0))),MOD((YEAR($A313)-YEAR('Recurring Schedule'!$F$6))*12+MONTH($A313)-MONTH('Recurring Schedule'!$F$6),'Recurring Schedule'!$O$6)=0),IF('Recurring Schedule'!$E$6="Weekdays",WEEKDAY($A313,2)&lt;=5,$A313='Recurring Schedule'!$F$6))),1,""))))</f>
        <v/>
      </c>
      <c r="C313">
        <f>IF('Recurring Schedule'!$C$7="","",IF('Recurring Schedule'!$F$7="","",IF(OR($A313&lt;'Recurring Schedule'!$F$7,$A313&gt;'Recurring Schedule'!$P$7),"",IF(IF('Recurring Schedule'!$N$7&gt;0,MOD($A313-'Recurring Schedule'!$F$7,'Recurring Schedule'!$N$7)=0,IF('Recurring Schedule'!$O$7&gt;0,AND(DAY($A313)=MIN(DAY('Recurring Schedule'!$F$7),DAY(EOMONTH($A313,0))),MOD((YEAR($A313)-YEAR('Recurring Schedule'!$F$7))*12+MONTH($A313)-MONTH('Recurring Schedule'!$F$7),'Recurring Schedule'!$O$7)=0),IF('Recurring Schedule'!$E$7="Weekdays",WEEKDAY($A313,2)&lt;=5,$A313='Recurring Schedule'!$F$7))),2,""))))</f>
        <v/>
      </c>
      <c r="D313">
        <f>IF('Recurring Schedule'!$C$8="","",IF('Recurring Schedule'!$F$8="","",IF(OR($A313&lt;'Recurring Schedule'!$F$8,$A313&gt;'Recurring Schedule'!$P$8),"",IF(IF('Recurring Schedule'!$N$8&gt;0,MOD($A313-'Recurring Schedule'!$F$8,'Recurring Schedule'!$N$8)=0,IF('Recurring Schedule'!$O$8&gt;0,AND(DAY($A313)=MIN(DAY('Recurring Schedule'!$F$8),DAY(EOMONTH($A313,0))),MOD((YEAR($A313)-YEAR('Recurring Schedule'!$F$8))*12+MONTH($A313)-MONTH('Recurring Schedule'!$F$8),'Recurring Schedule'!$O$8)=0),IF('Recurring Schedule'!$E$8="Weekdays",WEEKDAY($A313,2)&lt;=5,$A313='Recurring Schedule'!$F$8))),3,""))))</f>
        <v/>
      </c>
      <c r="E313">
        <f>IF('Recurring Schedule'!$C$9="","",IF('Recurring Schedule'!$F$9="","",IF(OR($A313&lt;'Recurring Schedule'!$F$9,$A313&gt;'Recurring Schedule'!$P$9),"",IF(IF('Recurring Schedule'!$N$9&gt;0,MOD($A313-'Recurring Schedule'!$F$9,'Recurring Schedule'!$N$9)=0,IF('Recurring Schedule'!$O$9&gt;0,AND(DAY($A313)=MIN(DAY('Recurring Schedule'!$F$9),DAY(EOMONTH($A313,0))),MOD((YEAR($A313)-YEAR('Recurring Schedule'!$F$9))*12+MONTH($A313)-MONTH('Recurring Schedule'!$F$9),'Recurring Schedule'!$O$9)=0),IF('Recurring Schedule'!$E$9="Weekdays",WEEKDAY($A313,2)&lt;=5,$A313='Recurring Schedule'!$F$9))),4,""))))</f>
        <v/>
      </c>
      <c r="F313">
        <f>IF('Recurring Schedule'!$C$10="","",IF('Recurring Schedule'!$F$10="","",IF(OR($A313&lt;'Recurring Schedule'!$F$10,$A313&gt;'Recurring Schedule'!$P$10),"",IF(IF('Recurring Schedule'!$N$10&gt;0,MOD($A313-'Recurring Schedule'!$F$10,'Recurring Schedule'!$N$10)=0,IF('Recurring Schedule'!$O$10&gt;0,AND(DAY($A313)=MIN(DAY('Recurring Schedule'!$F$10),DAY(EOMONTH($A313,0))),MOD((YEAR($A313)-YEAR('Recurring Schedule'!$F$10))*12+MONTH($A313)-MONTH('Recurring Schedule'!$F$10),'Recurring Schedule'!$O$10)=0),IF('Recurring Schedule'!$E$10="Weekdays",WEEKDAY($A313,2)&lt;=5,$A313='Recurring Schedule'!$F$10))),5,""))))</f>
        <v/>
      </c>
      <c r="G313">
        <f>IF('Recurring Schedule'!$C$11="","",IF('Recurring Schedule'!$F$11="","",IF(OR($A313&lt;'Recurring Schedule'!$F$11,$A313&gt;'Recurring Schedule'!$P$11),"",IF(IF('Recurring Schedule'!$N$11&gt;0,MOD($A313-'Recurring Schedule'!$F$11,'Recurring Schedule'!$N$11)=0,IF('Recurring Schedule'!$O$11&gt;0,AND(DAY($A313)=MIN(DAY('Recurring Schedule'!$F$11),DAY(EOMONTH($A313,0))),MOD((YEAR($A313)-YEAR('Recurring Schedule'!$F$11))*12+MONTH($A313)-MONTH('Recurring Schedule'!$F$11),'Recurring Schedule'!$O$11)=0),IF('Recurring Schedule'!$E$11="Weekdays",WEEKDAY($A313,2)&lt;=5,$A313='Recurring Schedule'!$F$11))),6,""))))</f>
        <v/>
      </c>
      <c r="H313">
        <f>IF('Recurring Schedule'!$C$12="","",IF('Recurring Schedule'!$F$12="","",IF(OR($A313&lt;'Recurring Schedule'!$F$12,$A313&gt;'Recurring Schedule'!$P$12),"",IF(IF('Recurring Schedule'!$N$12&gt;0,MOD($A313-'Recurring Schedule'!$F$12,'Recurring Schedule'!$N$12)=0,IF('Recurring Schedule'!$O$12&gt;0,AND(DAY($A313)=MIN(DAY('Recurring Schedule'!$F$12),DAY(EOMONTH($A313,0))),MOD((YEAR($A313)-YEAR('Recurring Schedule'!$F$12))*12+MONTH($A313)-MONTH('Recurring Schedule'!$F$12),'Recurring Schedule'!$O$12)=0),IF('Recurring Schedule'!$E$12="Weekdays",WEEKDAY($A313,2)&lt;=5,$A313='Recurring Schedule'!$F$12))),7,""))))</f>
        <v/>
      </c>
      <c r="I313">
        <f>IF('Recurring Schedule'!$C$13="","",IF('Recurring Schedule'!$F$13="","",IF(OR($A313&lt;'Recurring Schedule'!$F$13,$A313&gt;'Recurring Schedule'!$P$13),"",IF(IF('Recurring Schedule'!$N$13&gt;0,MOD($A313-'Recurring Schedule'!$F$13,'Recurring Schedule'!$N$13)=0,IF('Recurring Schedule'!$O$13&gt;0,AND(DAY($A313)=MIN(DAY('Recurring Schedule'!$F$13),DAY(EOMONTH($A313,0))),MOD((YEAR($A313)-YEAR('Recurring Schedule'!$F$13))*12+MONTH($A313)-MONTH('Recurring Schedule'!$F$13),'Recurring Schedule'!$O$13)=0),IF('Recurring Schedule'!$E$13="Weekdays",WEEKDAY($A313,2)&lt;=5,$A313='Recurring Schedule'!$F$13))),8,""))))</f>
        <v/>
      </c>
      <c r="J313">
        <f>IF('Recurring Schedule'!$C$14="","",IF('Recurring Schedule'!$F$14="","",IF(OR($A313&lt;'Recurring Schedule'!$F$14,$A313&gt;'Recurring Schedule'!$P$14),"",IF(IF('Recurring Schedule'!$N$14&gt;0,MOD($A313-'Recurring Schedule'!$F$14,'Recurring Schedule'!$N$14)=0,IF('Recurring Schedule'!$O$14&gt;0,AND(DAY($A313)=MIN(DAY('Recurring Schedule'!$F$14),DAY(EOMONTH($A313,0))),MOD((YEAR($A313)-YEAR('Recurring Schedule'!$F$14))*12+MONTH($A313)-MONTH('Recurring Schedule'!$F$14),'Recurring Schedule'!$O$14)=0),IF('Recurring Schedule'!$E$14="Weekdays",WEEKDAY($A313,2)&lt;=5,$A313='Recurring Schedule'!$F$14))),9,""))))</f>
        <v/>
      </c>
      <c r="K313">
        <f>IF('Recurring Schedule'!$C$15="","",IF('Recurring Schedule'!$F$15="","",IF(OR($A313&lt;'Recurring Schedule'!$F$15,$A313&gt;'Recurring Schedule'!$P$15),"",IF(IF('Recurring Schedule'!$N$15&gt;0,MOD($A313-'Recurring Schedule'!$F$15,'Recurring Schedule'!$N$15)=0,IF('Recurring Schedule'!$O$15&gt;0,AND(DAY($A313)=MIN(DAY('Recurring Schedule'!$F$15),DAY(EOMONTH($A313,0))),MOD((YEAR($A313)-YEAR('Recurring Schedule'!$F$15))*12+MONTH($A313)-MONTH('Recurring Schedule'!$F$15),'Recurring Schedule'!$O$15)=0),IF('Recurring Schedule'!$E$15="Weekdays",WEEKDAY($A313,2)&lt;=5,$A313='Recurring Schedule'!$F$15))),10,""))))</f>
        <v/>
      </c>
      <c r="L313">
        <f>IF('Recurring Schedule'!$C$16="","",IF('Recurring Schedule'!$F$16="","",IF(OR($A313&lt;'Recurring Schedule'!$F$16,$A313&gt;'Recurring Schedule'!$P$16),"",IF(IF('Recurring Schedule'!$N$16&gt;0,MOD($A313-'Recurring Schedule'!$F$16,'Recurring Schedule'!$N$16)=0,IF('Recurring Schedule'!$O$16&gt;0,AND(DAY($A313)=MIN(DAY('Recurring Schedule'!$F$16),DAY(EOMONTH($A313,0))),MOD((YEAR($A313)-YEAR('Recurring Schedule'!$F$16))*12+MONTH($A313)-MONTH('Recurring Schedule'!$F$16),'Recurring Schedule'!$O$16)=0),IF('Recurring Schedule'!$E$16="Weekdays",WEEKDAY($A313,2)&lt;=5,$A313='Recurring Schedule'!$F$16))),11,""))))</f>
        <v/>
      </c>
      <c r="M313">
        <f>IF('Recurring Schedule'!$C$17="","",IF('Recurring Schedule'!$F$17="","",IF(OR($A313&lt;'Recurring Schedule'!$F$17,$A313&gt;'Recurring Schedule'!$P$17),"",IF(IF('Recurring Schedule'!$N$17&gt;0,MOD($A313-'Recurring Schedule'!$F$17,'Recurring Schedule'!$N$17)=0,IF('Recurring Schedule'!$O$17&gt;0,AND(DAY($A313)=MIN(DAY('Recurring Schedule'!$F$17),DAY(EOMONTH($A313,0))),MOD((YEAR($A313)-YEAR('Recurring Schedule'!$F$17))*12+MONTH($A313)-MONTH('Recurring Schedule'!$F$17),'Recurring Schedule'!$O$17)=0),IF('Recurring Schedule'!$E$17="Weekdays",WEEKDAY($A313,2)&lt;=5,$A313='Recurring Schedule'!$F$17))),12,""))))</f>
        <v/>
      </c>
      <c r="N313">
        <f>IF('Recurring Schedule'!$C$18="","",IF('Recurring Schedule'!$F$18="","",IF(OR($A313&lt;'Recurring Schedule'!$F$18,$A313&gt;'Recurring Schedule'!$P$18),"",IF(IF('Recurring Schedule'!$N$18&gt;0,MOD($A313-'Recurring Schedule'!$F$18,'Recurring Schedule'!$N$18)=0,IF('Recurring Schedule'!$O$18&gt;0,AND(DAY($A313)=MIN(DAY('Recurring Schedule'!$F$18),DAY(EOMONTH($A313,0))),MOD((YEAR($A313)-YEAR('Recurring Schedule'!$F$18))*12+MONTH($A313)-MONTH('Recurring Schedule'!$F$18),'Recurring Schedule'!$O$18)=0),IF('Recurring Schedule'!$E$18="Weekdays",WEEKDAY($A313,2)&lt;=5,$A313='Recurring Schedule'!$F$18))),13,""))))</f>
        <v/>
      </c>
      <c r="O313">
        <f>IF('Recurring Schedule'!$C$19="","",IF('Recurring Schedule'!$F$19="","",IF(OR($A313&lt;'Recurring Schedule'!$F$19,$A313&gt;'Recurring Schedule'!$P$19),"",IF(IF('Recurring Schedule'!$N$19&gt;0,MOD($A313-'Recurring Schedule'!$F$19,'Recurring Schedule'!$N$19)=0,IF('Recurring Schedule'!$O$19&gt;0,AND(DAY($A313)=MIN(DAY('Recurring Schedule'!$F$19),DAY(EOMONTH($A313,0))),MOD((YEAR($A313)-YEAR('Recurring Schedule'!$F$19))*12+MONTH($A313)-MONTH('Recurring Schedule'!$F$19),'Recurring Schedule'!$O$19)=0),IF('Recurring Schedule'!$E$19="Weekdays",WEEKDAY($A313,2)&lt;=5,$A313='Recurring Schedule'!$F$19))),14,""))))</f>
        <v/>
      </c>
      <c r="P313">
        <f>IF('Recurring Schedule'!$C$20="","",IF('Recurring Schedule'!$F$20="","",IF(OR($A313&lt;'Recurring Schedule'!$F$20,$A313&gt;'Recurring Schedule'!$P$20),"",IF(IF('Recurring Schedule'!$N$20&gt;0,MOD($A313-'Recurring Schedule'!$F$20,'Recurring Schedule'!$N$20)=0,IF('Recurring Schedule'!$O$20&gt;0,AND(DAY($A313)=MIN(DAY('Recurring Schedule'!$F$20),DAY(EOMONTH($A313,0))),MOD((YEAR($A313)-YEAR('Recurring Schedule'!$F$20))*12+MONTH($A313)-MONTH('Recurring Schedule'!$F$20),'Recurring Schedule'!$O$20)=0),IF('Recurring Schedule'!$E$20="Weekdays",WEEKDAY($A313,2)&lt;=5,$A313='Recurring Schedule'!$F$20))),15,""))))</f>
        <v/>
      </c>
      <c r="Q313">
        <f>IF('Recurring Schedule'!$C$21="","",IF('Recurring Schedule'!$F$21="","",IF(OR($A313&lt;'Recurring Schedule'!$F$21,$A313&gt;'Recurring Schedule'!$P$21),"",IF(IF('Recurring Schedule'!$N$21&gt;0,MOD($A313-'Recurring Schedule'!$F$21,'Recurring Schedule'!$N$21)=0,IF('Recurring Schedule'!$O$21&gt;0,AND(DAY($A313)=MIN(DAY('Recurring Schedule'!$F$21),DAY(EOMONTH($A313,0))),MOD((YEAR($A313)-YEAR('Recurring Schedule'!$F$21))*12+MONTH($A313)-MONTH('Recurring Schedule'!$F$21),'Recurring Schedule'!$O$21)=0),IF('Recurring Schedule'!$E$21="Weekdays",WEEKDAY($A313,2)&lt;=5,$A313='Recurring Schedule'!$F$21))),16,""))))</f>
        <v/>
      </c>
      <c r="R313">
        <f>IF('Recurring Schedule'!$C$22="","",IF('Recurring Schedule'!$F$22="","",IF(OR($A313&lt;'Recurring Schedule'!$F$22,$A313&gt;'Recurring Schedule'!$P$22),"",IF(IF('Recurring Schedule'!$N$22&gt;0,MOD($A313-'Recurring Schedule'!$F$22,'Recurring Schedule'!$N$22)=0,IF('Recurring Schedule'!$O$22&gt;0,AND(DAY($A313)=MIN(DAY('Recurring Schedule'!$F$22),DAY(EOMONTH($A313,0))),MOD((YEAR($A313)-YEAR('Recurring Schedule'!$F$22))*12+MONTH($A313)-MONTH('Recurring Schedule'!$F$22),'Recurring Schedule'!$O$22)=0),IF('Recurring Schedule'!$E$22="Weekdays",WEEKDAY($A313,2)&lt;=5,$A313='Recurring Schedule'!$F$22))),17,""))))</f>
        <v/>
      </c>
      <c r="S313">
        <f>IF('Recurring Schedule'!$C$23="","",IF('Recurring Schedule'!$F$23="","",IF(OR($A313&lt;'Recurring Schedule'!$F$23,$A313&gt;'Recurring Schedule'!$P$23),"",IF(IF('Recurring Schedule'!$N$23&gt;0,MOD($A313-'Recurring Schedule'!$F$23,'Recurring Schedule'!$N$23)=0,IF('Recurring Schedule'!$O$23&gt;0,AND(DAY($A313)=MIN(DAY('Recurring Schedule'!$F$23),DAY(EOMONTH($A313,0))),MOD((YEAR($A313)-YEAR('Recurring Schedule'!$F$23))*12+MONTH($A313)-MONTH('Recurring Schedule'!$F$23),'Recurring Schedule'!$O$23)=0),IF('Recurring Schedule'!$E$23="Weekdays",WEEKDAY($A313,2)&lt;=5,$A313='Recurring Schedule'!$F$23))),18,""))))</f>
        <v/>
      </c>
      <c r="T313">
        <f>IF('Recurring Schedule'!$C$24="","",IF('Recurring Schedule'!$F$24="","",IF(OR($A313&lt;'Recurring Schedule'!$F$24,$A313&gt;'Recurring Schedule'!$P$24),"",IF(IF('Recurring Schedule'!$N$24&gt;0,MOD($A313-'Recurring Schedule'!$F$24,'Recurring Schedule'!$N$24)=0,IF('Recurring Schedule'!$O$24&gt;0,AND(DAY($A313)=MIN(DAY('Recurring Schedule'!$F$24),DAY(EOMONTH($A313,0))),MOD((YEAR($A313)-YEAR('Recurring Schedule'!$F$24))*12+MONTH($A313)-MONTH('Recurring Schedule'!$F$24),'Recurring Schedule'!$O$24)=0),IF('Recurring Schedule'!$E$24="Weekdays",WEEKDAY($A313,2)&lt;=5,$A313='Recurring Schedule'!$F$24))),19,""))))</f>
        <v/>
      </c>
      <c r="U313">
        <f>IF('Recurring Schedule'!$C$25="","",IF('Recurring Schedule'!$F$25="","",IF(OR($A313&lt;'Recurring Schedule'!$F$25,$A313&gt;'Recurring Schedule'!$P$25),"",IF(IF('Recurring Schedule'!$N$25&gt;0,MOD($A313-'Recurring Schedule'!$F$25,'Recurring Schedule'!$N$25)=0,IF('Recurring Schedule'!$O$25&gt;0,AND(DAY($A313)=MIN(DAY('Recurring Schedule'!$F$25),DAY(EOMONTH($A313,0))),MOD((YEAR($A313)-YEAR('Recurring Schedule'!$F$25))*12+MONTH($A313)-MONTH('Recurring Schedule'!$F$25),'Recurring Schedule'!$O$25)=0),IF('Recurring Schedule'!$E$25="Weekdays",WEEKDAY($A313,2)&lt;=5,$A313='Recurring Schedule'!$F$25))),20,""))))</f>
        <v/>
      </c>
      <c r="V313">
        <f>IF('Recurring Schedule'!$C$26="","",IF('Recurring Schedule'!$F$26="","",IF(OR($A313&lt;'Recurring Schedule'!$F$26,$A313&gt;'Recurring Schedule'!$P$26),"",IF(IF('Recurring Schedule'!$N$26&gt;0,MOD($A313-'Recurring Schedule'!$F$26,'Recurring Schedule'!$N$26)=0,IF('Recurring Schedule'!$O$26&gt;0,AND(DAY($A313)=MIN(DAY('Recurring Schedule'!$F$26),DAY(EOMONTH($A313,0))),MOD((YEAR($A313)-YEAR('Recurring Schedule'!$F$26))*12+MONTH($A313)-MONTH('Recurring Schedule'!$F$26),'Recurring Schedule'!$O$26)=0),IF('Recurring Schedule'!$E$26="Weekdays",WEEKDAY($A313,2)&lt;=5,$A313='Recurring Schedule'!$F$26))),21,""))))</f>
        <v/>
      </c>
      <c r="W313">
        <f>IF('Recurring Schedule'!$C$27="","",IF('Recurring Schedule'!$F$27="","",IF(OR($A313&lt;'Recurring Schedule'!$F$27,$A313&gt;'Recurring Schedule'!$P$27),"",IF(IF('Recurring Schedule'!$N$27&gt;0,MOD($A313-'Recurring Schedule'!$F$27,'Recurring Schedule'!$N$27)=0,IF('Recurring Schedule'!$O$27&gt;0,AND(DAY($A313)=MIN(DAY('Recurring Schedule'!$F$27),DAY(EOMONTH($A313,0))),MOD((YEAR($A313)-YEAR('Recurring Schedule'!$F$27))*12+MONTH($A313)-MONTH('Recurring Schedule'!$F$27),'Recurring Schedule'!$O$27)=0),IF('Recurring Schedule'!$E$27="Weekdays",WEEKDAY($A313,2)&lt;=5,$A313='Recurring Schedule'!$F$27))),22,""))))</f>
        <v/>
      </c>
      <c r="X313">
        <f>IF('Recurring Schedule'!$C$28="","",IF('Recurring Schedule'!$F$28="","",IF(OR($A313&lt;'Recurring Schedule'!$F$28,$A313&gt;'Recurring Schedule'!$P$28),"",IF(IF('Recurring Schedule'!$N$28&gt;0,MOD($A313-'Recurring Schedule'!$F$28,'Recurring Schedule'!$N$28)=0,IF('Recurring Schedule'!$O$28&gt;0,AND(DAY($A313)=MIN(DAY('Recurring Schedule'!$F$28),DAY(EOMONTH($A313,0))),MOD((YEAR($A313)-YEAR('Recurring Schedule'!$F$28))*12+MONTH($A313)-MONTH('Recurring Schedule'!$F$28),'Recurring Schedule'!$O$28)=0),IF('Recurring Schedule'!$E$28="Weekdays",WEEKDAY($A313,2)&lt;=5,$A313='Recurring Schedule'!$F$28))),23,""))))</f>
        <v/>
      </c>
      <c r="Y313">
        <f>IF('Recurring Schedule'!$C$29="","",IF('Recurring Schedule'!$F$29="","",IF(OR($A313&lt;'Recurring Schedule'!$F$29,$A313&gt;'Recurring Schedule'!$P$29),"",IF(IF('Recurring Schedule'!$N$29&gt;0,MOD($A313-'Recurring Schedule'!$F$29,'Recurring Schedule'!$N$29)=0,IF('Recurring Schedule'!$O$29&gt;0,AND(DAY($A313)=MIN(DAY('Recurring Schedule'!$F$29),DAY(EOMONTH($A313,0))),MOD((YEAR($A313)-YEAR('Recurring Schedule'!$F$29))*12+MONTH($A313)-MONTH('Recurring Schedule'!$F$29),'Recurring Schedule'!$O$29)=0),IF('Recurring Schedule'!$E$29="Weekdays",WEEKDAY($A313,2)&lt;=5,$A313='Recurring Schedule'!$F$29))),24,""))))</f>
        <v/>
      </c>
      <c r="Z313">
        <f>IF('Recurring Schedule'!$C$30="","",IF('Recurring Schedule'!$F$30="","",IF(OR($A313&lt;'Recurring Schedule'!$F$30,$A313&gt;'Recurring Schedule'!$P$30),"",IF(IF('Recurring Schedule'!$N$30&gt;0,MOD($A313-'Recurring Schedule'!$F$30,'Recurring Schedule'!$N$30)=0,IF('Recurring Schedule'!$O$30&gt;0,AND(DAY($A313)=MIN(DAY('Recurring Schedule'!$F$30),DAY(EOMONTH($A313,0))),MOD((YEAR($A313)-YEAR('Recurring Schedule'!$F$30))*12+MONTH($A313)-MONTH('Recurring Schedule'!$F$30),'Recurring Schedule'!$O$30)=0),IF('Recurring Schedule'!$E$30="Weekdays",WEEKDAY($A313,2)&lt;=5,$A313='Recurring Schedule'!$F$30))),25,""))))</f>
        <v/>
      </c>
      <c r="AA313">
        <f>IF('Recurring Schedule'!$C$31="","",IF('Recurring Schedule'!$F$31="","",IF(OR($A313&lt;'Recurring Schedule'!$F$31,$A313&gt;'Recurring Schedule'!$P$31),"",IF(IF('Recurring Schedule'!$N$31&gt;0,MOD($A313-'Recurring Schedule'!$F$31,'Recurring Schedule'!$N$31)=0,IF('Recurring Schedule'!$O$31&gt;0,AND(DAY($A313)=MIN(DAY('Recurring Schedule'!$F$31),DAY(EOMONTH($A313,0))),MOD((YEAR($A313)-YEAR('Recurring Schedule'!$F$31))*12+MONTH($A313)-MONTH('Recurring Schedule'!$F$31),'Recurring Schedule'!$O$31)=0),IF('Recurring Schedule'!$E$31="Weekdays",WEEKDAY($A313,2)&lt;=5,$A313='Recurring Schedule'!$F$31))),26,""))))</f>
        <v/>
      </c>
      <c r="AB313">
        <f>IF('Recurring Schedule'!$C$32="","",IF('Recurring Schedule'!$F$32="","",IF(OR($A313&lt;'Recurring Schedule'!$F$32,$A313&gt;'Recurring Schedule'!$P$32),"",IF(IF('Recurring Schedule'!$N$32&gt;0,MOD($A313-'Recurring Schedule'!$F$32,'Recurring Schedule'!$N$32)=0,IF('Recurring Schedule'!$O$32&gt;0,AND(DAY($A313)=MIN(DAY('Recurring Schedule'!$F$32),DAY(EOMONTH($A313,0))),MOD((YEAR($A313)-YEAR('Recurring Schedule'!$F$32))*12+MONTH($A313)-MONTH('Recurring Schedule'!$F$32),'Recurring Schedule'!$O$32)=0),IF('Recurring Schedule'!$E$32="Weekdays",WEEKDAY($A313,2)&lt;=5,$A313='Recurring Schedule'!$F$32))),27,""))))</f>
        <v/>
      </c>
      <c r="AC313">
        <f>IF('Recurring Schedule'!$C$33="","",IF('Recurring Schedule'!$F$33="","",IF(OR($A313&lt;'Recurring Schedule'!$F$33,$A313&gt;'Recurring Schedule'!$P$33),"",IF(IF('Recurring Schedule'!$N$33&gt;0,MOD($A313-'Recurring Schedule'!$F$33,'Recurring Schedule'!$N$33)=0,IF('Recurring Schedule'!$O$33&gt;0,AND(DAY($A313)=MIN(DAY('Recurring Schedule'!$F$33),DAY(EOMONTH($A313,0))),MOD((YEAR($A313)-YEAR('Recurring Schedule'!$F$33))*12+MONTH($A313)-MONTH('Recurring Schedule'!$F$33),'Recurring Schedule'!$O$33)=0),IF('Recurring Schedule'!$E$33="Weekdays",WEEKDAY($A313,2)&lt;=5,$A313='Recurring Schedule'!$F$33))),28,""))))</f>
        <v/>
      </c>
      <c r="AD313">
        <f>IF('Recurring Schedule'!$C$34="","",IF('Recurring Schedule'!$F$34="","",IF(OR($A313&lt;'Recurring Schedule'!$F$34,$A313&gt;'Recurring Schedule'!$P$34),"",IF(IF('Recurring Schedule'!$N$34&gt;0,MOD($A313-'Recurring Schedule'!$F$34,'Recurring Schedule'!$N$34)=0,IF('Recurring Schedule'!$O$34&gt;0,AND(DAY($A313)=MIN(DAY('Recurring Schedule'!$F$34),DAY(EOMONTH($A313,0))),MOD((YEAR($A313)-YEAR('Recurring Schedule'!$F$34))*12+MONTH($A313)-MONTH('Recurring Schedule'!$F$34),'Recurring Schedule'!$O$34)=0),IF('Recurring Schedule'!$E$34="Weekdays",WEEKDAY($A313,2)&lt;=5,$A313='Recurring Schedule'!$F$34))),29,""))))</f>
        <v/>
      </c>
      <c r="AE313">
        <f>IF('Recurring Schedule'!$C$35="","",IF('Recurring Schedule'!$F$35="","",IF(OR($A313&lt;'Recurring Schedule'!$F$35,$A313&gt;'Recurring Schedule'!$P$35),"",IF(IF('Recurring Schedule'!$N$35&gt;0,MOD($A313-'Recurring Schedule'!$F$35,'Recurring Schedule'!$N$35)=0,IF('Recurring Schedule'!$O$35&gt;0,AND(DAY($A313)=MIN(DAY('Recurring Schedule'!$F$35),DAY(EOMONTH($A313,0))),MOD((YEAR($A313)-YEAR('Recurring Schedule'!$F$35))*12+MONTH($A313)-MONTH('Recurring Schedule'!$F$35),'Recurring Schedule'!$O$35)=0),IF('Recurring Schedule'!$E$35="Weekdays",WEEKDAY($A313,2)&lt;=5,$A313='Recurring Schedule'!$F$35))),30,""))))</f>
        <v/>
      </c>
      <c r="AF313">
        <f>IF('Recurring Schedule'!$C$36="","",IF('Recurring Schedule'!$F$36="","",IF(OR($A313&lt;'Recurring Schedule'!$F$36,$A313&gt;'Recurring Schedule'!$P$36),"",IF(IF('Recurring Schedule'!$N$36&gt;0,MOD($A313-'Recurring Schedule'!$F$36,'Recurring Schedule'!$N$36)=0,IF('Recurring Schedule'!$O$36&gt;0,AND(DAY($A313)=MIN(DAY('Recurring Schedule'!$F$36),DAY(EOMONTH($A313,0))),MOD((YEAR($A313)-YEAR('Recurring Schedule'!$F$36))*12+MONTH($A313)-MONTH('Recurring Schedule'!$F$36),'Recurring Schedule'!$O$36)=0),IF('Recurring Schedule'!$E$36="Weekdays",WEEKDAY($A313,2)&lt;=5,$A313='Recurring Schedule'!$F$36))),31,""))))</f>
        <v/>
      </c>
      <c r="AG313">
        <f>IF('Recurring Schedule'!$C$37="","",IF('Recurring Schedule'!$F$37="","",IF(OR($A313&lt;'Recurring Schedule'!$F$37,$A313&gt;'Recurring Schedule'!$P$37),"",IF(IF('Recurring Schedule'!$N$37&gt;0,MOD($A313-'Recurring Schedule'!$F$37,'Recurring Schedule'!$N$37)=0,IF('Recurring Schedule'!$O$37&gt;0,AND(DAY($A313)=MIN(DAY('Recurring Schedule'!$F$37),DAY(EOMONTH($A313,0))),MOD((YEAR($A313)-YEAR('Recurring Schedule'!$F$37))*12+MONTH($A313)-MONTH('Recurring Schedule'!$F$37),'Recurring Schedule'!$O$37)=0),IF('Recurring Schedule'!$E$37="Weekdays",WEEKDAY($A313,2)&lt;=5,$A313='Recurring Schedule'!$F$37))),32,""))))</f>
        <v/>
      </c>
      <c r="AH313">
        <f>IF('Recurring Schedule'!$C$38="","",IF('Recurring Schedule'!$F$38="","",IF(OR($A313&lt;'Recurring Schedule'!$F$38,$A313&gt;'Recurring Schedule'!$P$38),"",IF(IF('Recurring Schedule'!$N$38&gt;0,MOD($A313-'Recurring Schedule'!$F$38,'Recurring Schedule'!$N$38)=0,IF('Recurring Schedule'!$O$38&gt;0,AND(DAY($A313)=MIN(DAY('Recurring Schedule'!$F$38),DAY(EOMONTH($A313,0))),MOD((YEAR($A313)-YEAR('Recurring Schedule'!$F$38))*12+MONTH($A313)-MONTH('Recurring Schedule'!$F$38),'Recurring Schedule'!$O$38)=0),IF('Recurring Schedule'!$E$38="Weekdays",WEEKDAY($A313,2)&lt;=5,$A313='Recurring Schedule'!$F$38))),33,""))))</f>
        <v/>
      </c>
      <c r="AI313">
        <f>IF('Recurring Schedule'!$C$39="","",IF('Recurring Schedule'!$F$39="","",IF(OR($A313&lt;'Recurring Schedule'!$F$39,$A313&gt;'Recurring Schedule'!$P$39),"",IF(IF('Recurring Schedule'!$N$39&gt;0,MOD($A313-'Recurring Schedule'!$F$39,'Recurring Schedule'!$N$39)=0,IF('Recurring Schedule'!$O$39&gt;0,AND(DAY($A313)=MIN(DAY('Recurring Schedule'!$F$39),DAY(EOMONTH($A313,0))),MOD((YEAR($A313)-YEAR('Recurring Schedule'!$F$39))*12+MONTH($A313)-MONTH('Recurring Schedule'!$F$39),'Recurring Schedule'!$O$39)=0),IF('Recurring Schedule'!$E$39="Weekdays",WEEKDAY($A313,2)&lt;=5,$A313='Recurring Schedule'!$F$39))),34,""))))</f>
        <v/>
      </c>
      <c r="AJ313">
        <f>IF('Recurring Schedule'!$C$40="","",IF('Recurring Schedule'!$F$40="","",IF(OR($A313&lt;'Recurring Schedule'!$F$40,$A313&gt;'Recurring Schedule'!$P$40),"",IF(IF('Recurring Schedule'!$N$40&gt;0,MOD($A313-'Recurring Schedule'!$F$40,'Recurring Schedule'!$N$40)=0,IF('Recurring Schedule'!$O$40&gt;0,AND(DAY($A313)=MIN(DAY('Recurring Schedule'!$F$40),DAY(EOMONTH($A313,0))),MOD((YEAR($A313)-YEAR('Recurring Schedule'!$F$40))*12+MONTH($A313)-MONTH('Recurring Schedule'!$F$40),'Recurring Schedule'!$O$40)=0),IF('Recurring Schedule'!$E$40="Weekdays",WEEKDAY($A313,2)&lt;=5,$A313='Recurring Schedule'!$F$40))),35,""))))</f>
        <v/>
      </c>
      <c r="AK313">
        <f>IF('Recurring Schedule'!$C$41="","",IF('Recurring Schedule'!$F$41="","",IF(OR($A313&lt;'Recurring Schedule'!$F$41,$A313&gt;'Recurring Schedule'!$P$41),"",IF(IF('Recurring Schedule'!$N$41&gt;0,MOD($A313-'Recurring Schedule'!$F$41,'Recurring Schedule'!$N$41)=0,IF('Recurring Schedule'!$O$41&gt;0,AND(DAY($A313)=MIN(DAY('Recurring Schedule'!$F$41),DAY(EOMONTH($A313,0))),MOD((YEAR($A313)-YEAR('Recurring Schedule'!$F$41))*12+MONTH($A313)-MONTH('Recurring Schedule'!$F$41),'Recurring Schedule'!$O$41)=0),IF('Recurring Schedule'!$E$41="Weekdays",WEEKDAY($A313,2)&lt;=5,$A313='Recurring Schedule'!$F$41))),36,""))))</f>
        <v/>
      </c>
      <c r="AL313">
        <f>IF('Recurring Schedule'!$C$42="","",IF('Recurring Schedule'!$F$42="","",IF(OR($A313&lt;'Recurring Schedule'!$F$42,$A313&gt;'Recurring Schedule'!$P$42),"",IF(IF('Recurring Schedule'!$N$42&gt;0,MOD($A313-'Recurring Schedule'!$F$42,'Recurring Schedule'!$N$42)=0,IF('Recurring Schedule'!$O$42&gt;0,AND(DAY($A313)=MIN(DAY('Recurring Schedule'!$F$42),DAY(EOMONTH($A313,0))),MOD((YEAR($A313)-YEAR('Recurring Schedule'!$F$42))*12+MONTH($A313)-MONTH('Recurring Schedule'!$F$42),'Recurring Schedule'!$O$42)=0),IF('Recurring Schedule'!$E$42="Weekdays",WEEKDAY($A313,2)&lt;=5,$A313='Recurring Schedule'!$F$42))),37,""))))</f>
        <v/>
      </c>
      <c r="AM313">
        <f>IF('Recurring Schedule'!$C$43="","",IF('Recurring Schedule'!$F$43="","",IF(OR($A313&lt;'Recurring Schedule'!$F$43,$A313&gt;'Recurring Schedule'!$P$43),"",IF(IF('Recurring Schedule'!$N$43&gt;0,MOD($A313-'Recurring Schedule'!$F$43,'Recurring Schedule'!$N$43)=0,IF('Recurring Schedule'!$O$43&gt;0,AND(DAY($A313)=MIN(DAY('Recurring Schedule'!$F$43),DAY(EOMONTH($A313,0))),MOD((YEAR($A313)-YEAR('Recurring Schedule'!$F$43))*12+MONTH($A313)-MONTH('Recurring Schedule'!$F$43),'Recurring Schedule'!$O$43)=0),IF('Recurring Schedule'!$E$43="Weekdays",WEEKDAY($A313,2)&lt;=5,$A313='Recurring Schedule'!$F$43))),38,""))))</f>
        <v/>
      </c>
      <c r="AN313">
        <f>IF('Recurring Schedule'!$C$44="","",IF('Recurring Schedule'!$F$44="","",IF(OR($A313&lt;'Recurring Schedule'!$F$44,$A313&gt;'Recurring Schedule'!$P$44),"",IF(IF('Recurring Schedule'!$N$44&gt;0,MOD($A313-'Recurring Schedule'!$F$44,'Recurring Schedule'!$N$44)=0,IF('Recurring Schedule'!$O$44&gt;0,AND(DAY($A313)=MIN(DAY('Recurring Schedule'!$F$44),DAY(EOMONTH($A313,0))),MOD((YEAR($A313)-YEAR('Recurring Schedule'!$F$44))*12+MONTH($A313)-MONTH('Recurring Schedule'!$F$44),'Recurring Schedule'!$O$44)=0),IF('Recurring Schedule'!$E$44="Weekdays",WEEKDAY($A313,2)&lt;=5,$A313='Recurring Schedule'!$F$44))),39,""))))</f>
        <v/>
      </c>
      <c r="AO313">
        <f>IF('Recurring Schedule'!$C$45="","",IF('Recurring Schedule'!$F$45="","",IF(OR($A313&lt;'Recurring Schedule'!$F$45,$A313&gt;'Recurring Schedule'!$P$45),"",IF(IF('Recurring Schedule'!$N$45&gt;0,MOD($A313-'Recurring Schedule'!$F$45,'Recurring Schedule'!$N$45)=0,IF('Recurring Schedule'!$O$45&gt;0,AND(DAY($A313)=MIN(DAY('Recurring Schedule'!$F$45),DAY(EOMONTH($A313,0))),MOD((YEAR($A313)-YEAR('Recurring Schedule'!$F$45))*12+MONTH($A313)-MONTH('Recurring Schedule'!$F$45),'Recurring Schedule'!$O$45)=0),IF('Recurring Schedule'!$E$45="Weekdays",WEEKDAY($A313,2)&lt;=5,$A313='Recurring Schedule'!$F$45))),40,""))))</f>
        <v/>
      </c>
      <c r="AP313">
        <f>COUNT(B313:AO313)</f>
        <v/>
      </c>
      <c r="AQ313">
        <f>AQ312+AP312</f>
        <v/>
      </c>
      <c r="AS313" t="inlineStr">
        <is>
          <t>R</t>
        </is>
      </c>
      <c r="AT313" t="n">
        <v>317</v>
      </c>
      <c r="AU313">
        <f>'Recurring Log'!C317&amp;""</f>
        <v/>
      </c>
      <c r="AV313">
        <f>'Recurring Log'!D317&amp;""</f>
        <v/>
      </c>
      <c r="AW313">
        <f>IF('Recurring Log'!E317="","",'Recurring Log'!E317)</f>
        <v/>
      </c>
      <c r="AX313">
        <f>IF('Recurring Log'!G317="","",'Recurring Log'!G317)</f>
        <v/>
      </c>
      <c r="AY313">
        <f>IF('Recurring Log'!H317="","",'Recurring Log'!H317)</f>
        <v/>
      </c>
      <c r="AZ313">
        <f>IF(AU313="","",IF('Recurring Log'!J317="","Not Started",'Recurring Log'!J317))</f>
        <v/>
      </c>
      <c r="BA313">
        <f>'Recurring Log'!L317&amp;""</f>
        <v/>
      </c>
      <c r="BB313">
        <f>'Recurring Log'!M317&amp;""</f>
        <v/>
      </c>
      <c r="BC313">
        <f>'Recurring Log'!N317&amp;""</f>
        <v/>
      </c>
      <c r="BD313">
        <f>'Recurring Log'!O317&amp;""</f>
        <v/>
      </c>
      <c r="BE313">
        <f>IF('Recurring Log'!K317="","",'Recurring Log'!K317)</f>
        <v/>
      </c>
      <c r="BF313">
        <f>IFERROR(MATCH(BA313,Setup!$L$6:$L$9,0),5)</f>
        <v/>
      </c>
      <c r="BG313">
        <f>IF(OR(AZ313="Done",AZ313="Cancelled"),1,0)</f>
        <v/>
      </c>
      <c r="BH313">
        <f>IF(AND(AU313&lt;&gt;"",ISNUMBER(AW313)),1,0)</f>
        <v/>
      </c>
      <c r="BI313">
        <f>IF(BH313=0,0,IF(AND(AW313&gt;='Tasks Filter'!$F$3,AW313&lt;='Tasks Filter'!$F$4,OR('Tasks Filter'!$I$3="",ISNUMBER(SEARCH('Tasks Filter'!$I$3,AU313))),OR('Tasks Filter'!$I$4="",BF313=IFERROR(MATCH('Tasks Filter'!$I$4,Setup!$L$6:$L$9,0),0)),OR('Tasks Filter'!$I$5="Both",AND('Tasks Filter'!$I$5="Yes",BB313="✓"),AND('Tasks Filter'!$I$5="No",BB313&lt;&gt;"✓")),OR('Tasks Filter'!$L$3="",AV313='Tasks Filter'!$L$3),OR('Tasks Filter'!$L$4="",AZ313='Tasks Filter'!$L$4),OR('Tasks Filter'!$L$5="",BC313='Tasks Filter'!$L$5),OR('Tasks Filter'!$O$3="",BD313='Tasks Filter'!$O$3),OR('Tasks Filter'!$O$4="Yes",BG313=0)),1,0))</f>
        <v/>
      </c>
      <c r="BJ313">
        <f>IF(BH313=0,"",IF('Tasks Filter'!$F$6="Descending",-1,1)*CHOOSE(MATCH('Tasks Filter'!$F$5,Lists!$G$2:$G$6,0),AW313,BF313,IFERROR(MATCH(AV313,Setup!$F$6:$F$15,0),99),IFERROR(MATCH(BC313,Setup!$H$6:$H$15,0),99),IFERROR(MATCH(AZ313,Setup!$J$6:$J$11,0),99))*1E+9+(AW313-40000)*10000+312)</f>
        <v/>
      </c>
      <c r="BK313">
        <f>IF(BI313=1,BJ313,"")</f>
        <v/>
      </c>
      <c r="BL313">
        <f>IF(AND(BH313=1,BG313=0,N(AW313)&lt;Setup!$D$7),(AW313-40000)*10000+312,"")</f>
        <v/>
      </c>
      <c r="BM313">
        <f>IF(AND(BH313=1,AZ313&lt;&gt;"Cancelled",N(AW313)&gt;=Dashboard!$AB$3,N(AW313)&lt;=Dashboard!$AB$3+6),(AW313-40000)*100000+BF313*10000+312,"")</f>
        <v/>
      </c>
      <c r="BN313">
        <f>IF(AND(BH313=1,AZ313&lt;&gt;"Cancelled"),BF313*10000+312,"")</f>
        <v/>
      </c>
    </row>
    <row r="314">
      <c r="A314">
        <f>Setup!$D$5+312</f>
        <v/>
      </c>
      <c r="B314">
        <f>IF('Recurring Schedule'!$C$6="","",IF('Recurring Schedule'!$F$6="","",IF(OR($A314&lt;'Recurring Schedule'!$F$6,$A314&gt;'Recurring Schedule'!$P$6),"",IF(IF('Recurring Schedule'!$N$6&gt;0,MOD($A314-'Recurring Schedule'!$F$6,'Recurring Schedule'!$N$6)=0,IF('Recurring Schedule'!$O$6&gt;0,AND(DAY($A314)=MIN(DAY('Recurring Schedule'!$F$6),DAY(EOMONTH($A314,0))),MOD((YEAR($A314)-YEAR('Recurring Schedule'!$F$6))*12+MONTH($A314)-MONTH('Recurring Schedule'!$F$6),'Recurring Schedule'!$O$6)=0),IF('Recurring Schedule'!$E$6="Weekdays",WEEKDAY($A314,2)&lt;=5,$A314='Recurring Schedule'!$F$6))),1,""))))</f>
        <v/>
      </c>
      <c r="C314">
        <f>IF('Recurring Schedule'!$C$7="","",IF('Recurring Schedule'!$F$7="","",IF(OR($A314&lt;'Recurring Schedule'!$F$7,$A314&gt;'Recurring Schedule'!$P$7),"",IF(IF('Recurring Schedule'!$N$7&gt;0,MOD($A314-'Recurring Schedule'!$F$7,'Recurring Schedule'!$N$7)=0,IF('Recurring Schedule'!$O$7&gt;0,AND(DAY($A314)=MIN(DAY('Recurring Schedule'!$F$7),DAY(EOMONTH($A314,0))),MOD((YEAR($A314)-YEAR('Recurring Schedule'!$F$7))*12+MONTH($A314)-MONTH('Recurring Schedule'!$F$7),'Recurring Schedule'!$O$7)=0),IF('Recurring Schedule'!$E$7="Weekdays",WEEKDAY($A314,2)&lt;=5,$A314='Recurring Schedule'!$F$7))),2,""))))</f>
        <v/>
      </c>
      <c r="D314">
        <f>IF('Recurring Schedule'!$C$8="","",IF('Recurring Schedule'!$F$8="","",IF(OR($A314&lt;'Recurring Schedule'!$F$8,$A314&gt;'Recurring Schedule'!$P$8),"",IF(IF('Recurring Schedule'!$N$8&gt;0,MOD($A314-'Recurring Schedule'!$F$8,'Recurring Schedule'!$N$8)=0,IF('Recurring Schedule'!$O$8&gt;0,AND(DAY($A314)=MIN(DAY('Recurring Schedule'!$F$8),DAY(EOMONTH($A314,0))),MOD((YEAR($A314)-YEAR('Recurring Schedule'!$F$8))*12+MONTH($A314)-MONTH('Recurring Schedule'!$F$8),'Recurring Schedule'!$O$8)=0),IF('Recurring Schedule'!$E$8="Weekdays",WEEKDAY($A314,2)&lt;=5,$A314='Recurring Schedule'!$F$8))),3,""))))</f>
        <v/>
      </c>
      <c r="E314">
        <f>IF('Recurring Schedule'!$C$9="","",IF('Recurring Schedule'!$F$9="","",IF(OR($A314&lt;'Recurring Schedule'!$F$9,$A314&gt;'Recurring Schedule'!$P$9),"",IF(IF('Recurring Schedule'!$N$9&gt;0,MOD($A314-'Recurring Schedule'!$F$9,'Recurring Schedule'!$N$9)=0,IF('Recurring Schedule'!$O$9&gt;0,AND(DAY($A314)=MIN(DAY('Recurring Schedule'!$F$9),DAY(EOMONTH($A314,0))),MOD((YEAR($A314)-YEAR('Recurring Schedule'!$F$9))*12+MONTH($A314)-MONTH('Recurring Schedule'!$F$9),'Recurring Schedule'!$O$9)=0),IF('Recurring Schedule'!$E$9="Weekdays",WEEKDAY($A314,2)&lt;=5,$A314='Recurring Schedule'!$F$9))),4,""))))</f>
        <v/>
      </c>
      <c r="F314">
        <f>IF('Recurring Schedule'!$C$10="","",IF('Recurring Schedule'!$F$10="","",IF(OR($A314&lt;'Recurring Schedule'!$F$10,$A314&gt;'Recurring Schedule'!$P$10),"",IF(IF('Recurring Schedule'!$N$10&gt;0,MOD($A314-'Recurring Schedule'!$F$10,'Recurring Schedule'!$N$10)=0,IF('Recurring Schedule'!$O$10&gt;0,AND(DAY($A314)=MIN(DAY('Recurring Schedule'!$F$10),DAY(EOMONTH($A314,0))),MOD((YEAR($A314)-YEAR('Recurring Schedule'!$F$10))*12+MONTH($A314)-MONTH('Recurring Schedule'!$F$10),'Recurring Schedule'!$O$10)=0),IF('Recurring Schedule'!$E$10="Weekdays",WEEKDAY($A314,2)&lt;=5,$A314='Recurring Schedule'!$F$10))),5,""))))</f>
        <v/>
      </c>
      <c r="G314">
        <f>IF('Recurring Schedule'!$C$11="","",IF('Recurring Schedule'!$F$11="","",IF(OR($A314&lt;'Recurring Schedule'!$F$11,$A314&gt;'Recurring Schedule'!$P$11),"",IF(IF('Recurring Schedule'!$N$11&gt;0,MOD($A314-'Recurring Schedule'!$F$11,'Recurring Schedule'!$N$11)=0,IF('Recurring Schedule'!$O$11&gt;0,AND(DAY($A314)=MIN(DAY('Recurring Schedule'!$F$11),DAY(EOMONTH($A314,0))),MOD((YEAR($A314)-YEAR('Recurring Schedule'!$F$11))*12+MONTH($A314)-MONTH('Recurring Schedule'!$F$11),'Recurring Schedule'!$O$11)=0),IF('Recurring Schedule'!$E$11="Weekdays",WEEKDAY($A314,2)&lt;=5,$A314='Recurring Schedule'!$F$11))),6,""))))</f>
        <v/>
      </c>
      <c r="H314">
        <f>IF('Recurring Schedule'!$C$12="","",IF('Recurring Schedule'!$F$12="","",IF(OR($A314&lt;'Recurring Schedule'!$F$12,$A314&gt;'Recurring Schedule'!$P$12),"",IF(IF('Recurring Schedule'!$N$12&gt;0,MOD($A314-'Recurring Schedule'!$F$12,'Recurring Schedule'!$N$12)=0,IF('Recurring Schedule'!$O$12&gt;0,AND(DAY($A314)=MIN(DAY('Recurring Schedule'!$F$12),DAY(EOMONTH($A314,0))),MOD((YEAR($A314)-YEAR('Recurring Schedule'!$F$12))*12+MONTH($A314)-MONTH('Recurring Schedule'!$F$12),'Recurring Schedule'!$O$12)=0),IF('Recurring Schedule'!$E$12="Weekdays",WEEKDAY($A314,2)&lt;=5,$A314='Recurring Schedule'!$F$12))),7,""))))</f>
        <v/>
      </c>
      <c r="I314">
        <f>IF('Recurring Schedule'!$C$13="","",IF('Recurring Schedule'!$F$13="","",IF(OR($A314&lt;'Recurring Schedule'!$F$13,$A314&gt;'Recurring Schedule'!$P$13),"",IF(IF('Recurring Schedule'!$N$13&gt;0,MOD($A314-'Recurring Schedule'!$F$13,'Recurring Schedule'!$N$13)=0,IF('Recurring Schedule'!$O$13&gt;0,AND(DAY($A314)=MIN(DAY('Recurring Schedule'!$F$13),DAY(EOMONTH($A314,0))),MOD((YEAR($A314)-YEAR('Recurring Schedule'!$F$13))*12+MONTH($A314)-MONTH('Recurring Schedule'!$F$13),'Recurring Schedule'!$O$13)=0),IF('Recurring Schedule'!$E$13="Weekdays",WEEKDAY($A314,2)&lt;=5,$A314='Recurring Schedule'!$F$13))),8,""))))</f>
        <v/>
      </c>
      <c r="J314">
        <f>IF('Recurring Schedule'!$C$14="","",IF('Recurring Schedule'!$F$14="","",IF(OR($A314&lt;'Recurring Schedule'!$F$14,$A314&gt;'Recurring Schedule'!$P$14),"",IF(IF('Recurring Schedule'!$N$14&gt;0,MOD($A314-'Recurring Schedule'!$F$14,'Recurring Schedule'!$N$14)=0,IF('Recurring Schedule'!$O$14&gt;0,AND(DAY($A314)=MIN(DAY('Recurring Schedule'!$F$14),DAY(EOMONTH($A314,0))),MOD((YEAR($A314)-YEAR('Recurring Schedule'!$F$14))*12+MONTH($A314)-MONTH('Recurring Schedule'!$F$14),'Recurring Schedule'!$O$14)=0),IF('Recurring Schedule'!$E$14="Weekdays",WEEKDAY($A314,2)&lt;=5,$A314='Recurring Schedule'!$F$14))),9,""))))</f>
        <v/>
      </c>
      <c r="K314">
        <f>IF('Recurring Schedule'!$C$15="","",IF('Recurring Schedule'!$F$15="","",IF(OR($A314&lt;'Recurring Schedule'!$F$15,$A314&gt;'Recurring Schedule'!$P$15),"",IF(IF('Recurring Schedule'!$N$15&gt;0,MOD($A314-'Recurring Schedule'!$F$15,'Recurring Schedule'!$N$15)=0,IF('Recurring Schedule'!$O$15&gt;0,AND(DAY($A314)=MIN(DAY('Recurring Schedule'!$F$15),DAY(EOMONTH($A314,0))),MOD((YEAR($A314)-YEAR('Recurring Schedule'!$F$15))*12+MONTH($A314)-MONTH('Recurring Schedule'!$F$15),'Recurring Schedule'!$O$15)=0),IF('Recurring Schedule'!$E$15="Weekdays",WEEKDAY($A314,2)&lt;=5,$A314='Recurring Schedule'!$F$15))),10,""))))</f>
        <v/>
      </c>
      <c r="L314">
        <f>IF('Recurring Schedule'!$C$16="","",IF('Recurring Schedule'!$F$16="","",IF(OR($A314&lt;'Recurring Schedule'!$F$16,$A314&gt;'Recurring Schedule'!$P$16),"",IF(IF('Recurring Schedule'!$N$16&gt;0,MOD($A314-'Recurring Schedule'!$F$16,'Recurring Schedule'!$N$16)=0,IF('Recurring Schedule'!$O$16&gt;0,AND(DAY($A314)=MIN(DAY('Recurring Schedule'!$F$16),DAY(EOMONTH($A314,0))),MOD((YEAR($A314)-YEAR('Recurring Schedule'!$F$16))*12+MONTH($A314)-MONTH('Recurring Schedule'!$F$16),'Recurring Schedule'!$O$16)=0),IF('Recurring Schedule'!$E$16="Weekdays",WEEKDAY($A314,2)&lt;=5,$A314='Recurring Schedule'!$F$16))),11,""))))</f>
        <v/>
      </c>
      <c r="M314">
        <f>IF('Recurring Schedule'!$C$17="","",IF('Recurring Schedule'!$F$17="","",IF(OR($A314&lt;'Recurring Schedule'!$F$17,$A314&gt;'Recurring Schedule'!$P$17),"",IF(IF('Recurring Schedule'!$N$17&gt;0,MOD($A314-'Recurring Schedule'!$F$17,'Recurring Schedule'!$N$17)=0,IF('Recurring Schedule'!$O$17&gt;0,AND(DAY($A314)=MIN(DAY('Recurring Schedule'!$F$17),DAY(EOMONTH($A314,0))),MOD((YEAR($A314)-YEAR('Recurring Schedule'!$F$17))*12+MONTH($A314)-MONTH('Recurring Schedule'!$F$17),'Recurring Schedule'!$O$17)=0),IF('Recurring Schedule'!$E$17="Weekdays",WEEKDAY($A314,2)&lt;=5,$A314='Recurring Schedule'!$F$17))),12,""))))</f>
        <v/>
      </c>
      <c r="N314">
        <f>IF('Recurring Schedule'!$C$18="","",IF('Recurring Schedule'!$F$18="","",IF(OR($A314&lt;'Recurring Schedule'!$F$18,$A314&gt;'Recurring Schedule'!$P$18),"",IF(IF('Recurring Schedule'!$N$18&gt;0,MOD($A314-'Recurring Schedule'!$F$18,'Recurring Schedule'!$N$18)=0,IF('Recurring Schedule'!$O$18&gt;0,AND(DAY($A314)=MIN(DAY('Recurring Schedule'!$F$18),DAY(EOMONTH($A314,0))),MOD((YEAR($A314)-YEAR('Recurring Schedule'!$F$18))*12+MONTH($A314)-MONTH('Recurring Schedule'!$F$18),'Recurring Schedule'!$O$18)=0),IF('Recurring Schedule'!$E$18="Weekdays",WEEKDAY($A314,2)&lt;=5,$A314='Recurring Schedule'!$F$18))),13,""))))</f>
        <v/>
      </c>
      <c r="O314">
        <f>IF('Recurring Schedule'!$C$19="","",IF('Recurring Schedule'!$F$19="","",IF(OR($A314&lt;'Recurring Schedule'!$F$19,$A314&gt;'Recurring Schedule'!$P$19),"",IF(IF('Recurring Schedule'!$N$19&gt;0,MOD($A314-'Recurring Schedule'!$F$19,'Recurring Schedule'!$N$19)=0,IF('Recurring Schedule'!$O$19&gt;0,AND(DAY($A314)=MIN(DAY('Recurring Schedule'!$F$19),DAY(EOMONTH($A314,0))),MOD((YEAR($A314)-YEAR('Recurring Schedule'!$F$19))*12+MONTH($A314)-MONTH('Recurring Schedule'!$F$19),'Recurring Schedule'!$O$19)=0),IF('Recurring Schedule'!$E$19="Weekdays",WEEKDAY($A314,2)&lt;=5,$A314='Recurring Schedule'!$F$19))),14,""))))</f>
        <v/>
      </c>
      <c r="P314">
        <f>IF('Recurring Schedule'!$C$20="","",IF('Recurring Schedule'!$F$20="","",IF(OR($A314&lt;'Recurring Schedule'!$F$20,$A314&gt;'Recurring Schedule'!$P$20),"",IF(IF('Recurring Schedule'!$N$20&gt;0,MOD($A314-'Recurring Schedule'!$F$20,'Recurring Schedule'!$N$20)=0,IF('Recurring Schedule'!$O$20&gt;0,AND(DAY($A314)=MIN(DAY('Recurring Schedule'!$F$20),DAY(EOMONTH($A314,0))),MOD((YEAR($A314)-YEAR('Recurring Schedule'!$F$20))*12+MONTH($A314)-MONTH('Recurring Schedule'!$F$20),'Recurring Schedule'!$O$20)=0),IF('Recurring Schedule'!$E$20="Weekdays",WEEKDAY($A314,2)&lt;=5,$A314='Recurring Schedule'!$F$20))),15,""))))</f>
        <v/>
      </c>
      <c r="Q314">
        <f>IF('Recurring Schedule'!$C$21="","",IF('Recurring Schedule'!$F$21="","",IF(OR($A314&lt;'Recurring Schedule'!$F$21,$A314&gt;'Recurring Schedule'!$P$21),"",IF(IF('Recurring Schedule'!$N$21&gt;0,MOD($A314-'Recurring Schedule'!$F$21,'Recurring Schedule'!$N$21)=0,IF('Recurring Schedule'!$O$21&gt;0,AND(DAY($A314)=MIN(DAY('Recurring Schedule'!$F$21),DAY(EOMONTH($A314,0))),MOD((YEAR($A314)-YEAR('Recurring Schedule'!$F$21))*12+MONTH($A314)-MONTH('Recurring Schedule'!$F$21),'Recurring Schedule'!$O$21)=0),IF('Recurring Schedule'!$E$21="Weekdays",WEEKDAY($A314,2)&lt;=5,$A314='Recurring Schedule'!$F$21))),16,""))))</f>
        <v/>
      </c>
      <c r="R314">
        <f>IF('Recurring Schedule'!$C$22="","",IF('Recurring Schedule'!$F$22="","",IF(OR($A314&lt;'Recurring Schedule'!$F$22,$A314&gt;'Recurring Schedule'!$P$22),"",IF(IF('Recurring Schedule'!$N$22&gt;0,MOD($A314-'Recurring Schedule'!$F$22,'Recurring Schedule'!$N$22)=0,IF('Recurring Schedule'!$O$22&gt;0,AND(DAY($A314)=MIN(DAY('Recurring Schedule'!$F$22),DAY(EOMONTH($A314,0))),MOD((YEAR($A314)-YEAR('Recurring Schedule'!$F$22))*12+MONTH($A314)-MONTH('Recurring Schedule'!$F$22),'Recurring Schedule'!$O$22)=0),IF('Recurring Schedule'!$E$22="Weekdays",WEEKDAY($A314,2)&lt;=5,$A314='Recurring Schedule'!$F$22))),17,""))))</f>
        <v/>
      </c>
      <c r="S314">
        <f>IF('Recurring Schedule'!$C$23="","",IF('Recurring Schedule'!$F$23="","",IF(OR($A314&lt;'Recurring Schedule'!$F$23,$A314&gt;'Recurring Schedule'!$P$23),"",IF(IF('Recurring Schedule'!$N$23&gt;0,MOD($A314-'Recurring Schedule'!$F$23,'Recurring Schedule'!$N$23)=0,IF('Recurring Schedule'!$O$23&gt;0,AND(DAY($A314)=MIN(DAY('Recurring Schedule'!$F$23),DAY(EOMONTH($A314,0))),MOD((YEAR($A314)-YEAR('Recurring Schedule'!$F$23))*12+MONTH($A314)-MONTH('Recurring Schedule'!$F$23),'Recurring Schedule'!$O$23)=0),IF('Recurring Schedule'!$E$23="Weekdays",WEEKDAY($A314,2)&lt;=5,$A314='Recurring Schedule'!$F$23))),18,""))))</f>
        <v/>
      </c>
      <c r="T314">
        <f>IF('Recurring Schedule'!$C$24="","",IF('Recurring Schedule'!$F$24="","",IF(OR($A314&lt;'Recurring Schedule'!$F$24,$A314&gt;'Recurring Schedule'!$P$24),"",IF(IF('Recurring Schedule'!$N$24&gt;0,MOD($A314-'Recurring Schedule'!$F$24,'Recurring Schedule'!$N$24)=0,IF('Recurring Schedule'!$O$24&gt;0,AND(DAY($A314)=MIN(DAY('Recurring Schedule'!$F$24),DAY(EOMONTH($A314,0))),MOD((YEAR($A314)-YEAR('Recurring Schedule'!$F$24))*12+MONTH($A314)-MONTH('Recurring Schedule'!$F$24),'Recurring Schedule'!$O$24)=0),IF('Recurring Schedule'!$E$24="Weekdays",WEEKDAY($A314,2)&lt;=5,$A314='Recurring Schedule'!$F$24))),19,""))))</f>
        <v/>
      </c>
      <c r="U314">
        <f>IF('Recurring Schedule'!$C$25="","",IF('Recurring Schedule'!$F$25="","",IF(OR($A314&lt;'Recurring Schedule'!$F$25,$A314&gt;'Recurring Schedule'!$P$25),"",IF(IF('Recurring Schedule'!$N$25&gt;0,MOD($A314-'Recurring Schedule'!$F$25,'Recurring Schedule'!$N$25)=0,IF('Recurring Schedule'!$O$25&gt;0,AND(DAY($A314)=MIN(DAY('Recurring Schedule'!$F$25),DAY(EOMONTH($A314,0))),MOD((YEAR($A314)-YEAR('Recurring Schedule'!$F$25))*12+MONTH($A314)-MONTH('Recurring Schedule'!$F$25),'Recurring Schedule'!$O$25)=0),IF('Recurring Schedule'!$E$25="Weekdays",WEEKDAY($A314,2)&lt;=5,$A314='Recurring Schedule'!$F$25))),20,""))))</f>
        <v/>
      </c>
      <c r="V314">
        <f>IF('Recurring Schedule'!$C$26="","",IF('Recurring Schedule'!$F$26="","",IF(OR($A314&lt;'Recurring Schedule'!$F$26,$A314&gt;'Recurring Schedule'!$P$26),"",IF(IF('Recurring Schedule'!$N$26&gt;0,MOD($A314-'Recurring Schedule'!$F$26,'Recurring Schedule'!$N$26)=0,IF('Recurring Schedule'!$O$26&gt;0,AND(DAY($A314)=MIN(DAY('Recurring Schedule'!$F$26),DAY(EOMONTH($A314,0))),MOD((YEAR($A314)-YEAR('Recurring Schedule'!$F$26))*12+MONTH($A314)-MONTH('Recurring Schedule'!$F$26),'Recurring Schedule'!$O$26)=0),IF('Recurring Schedule'!$E$26="Weekdays",WEEKDAY($A314,2)&lt;=5,$A314='Recurring Schedule'!$F$26))),21,""))))</f>
        <v/>
      </c>
      <c r="W314">
        <f>IF('Recurring Schedule'!$C$27="","",IF('Recurring Schedule'!$F$27="","",IF(OR($A314&lt;'Recurring Schedule'!$F$27,$A314&gt;'Recurring Schedule'!$P$27),"",IF(IF('Recurring Schedule'!$N$27&gt;0,MOD($A314-'Recurring Schedule'!$F$27,'Recurring Schedule'!$N$27)=0,IF('Recurring Schedule'!$O$27&gt;0,AND(DAY($A314)=MIN(DAY('Recurring Schedule'!$F$27),DAY(EOMONTH($A314,0))),MOD((YEAR($A314)-YEAR('Recurring Schedule'!$F$27))*12+MONTH($A314)-MONTH('Recurring Schedule'!$F$27),'Recurring Schedule'!$O$27)=0),IF('Recurring Schedule'!$E$27="Weekdays",WEEKDAY($A314,2)&lt;=5,$A314='Recurring Schedule'!$F$27))),22,""))))</f>
        <v/>
      </c>
      <c r="X314">
        <f>IF('Recurring Schedule'!$C$28="","",IF('Recurring Schedule'!$F$28="","",IF(OR($A314&lt;'Recurring Schedule'!$F$28,$A314&gt;'Recurring Schedule'!$P$28),"",IF(IF('Recurring Schedule'!$N$28&gt;0,MOD($A314-'Recurring Schedule'!$F$28,'Recurring Schedule'!$N$28)=0,IF('Recurring Schedule'!$O$28&gt;0,AND(DAY($A314)=MIN(DAY('Recurring Schedule'!$F$28),DAY(EOMONTH($A314,0))),MOD((YEAR($A314)-YEAR('Recurring Schedule'!$F$28))*12+MONTH($A314)-MONTH('Recurring Schedule'!$F$28),'Recurring Schedule'!$O$28)=0),IF('Recurring Schedule'!$E$28="Weekdays",WEEKDAY($A314,2)&lt;=5,$A314='Recurring Schedule'!$F$28))),23,""))))</f>
        <v/>
      </c>
      <c r="Y314">
        <f>IF('Recurring Schedule'!$C$29="","",IF('Recurring Schedule'!$F$29="","",IF(OR($A314&lt;'Recurring Schedule'!$F$29,$A314&gt;'Recurring Schedule'!$P$29),"",IF(IF('Recurring Schedule'!$N$29&gt;0,MOD($A314-'Recurring Schedule'!$F$29,'Recurring Schedule'!$N$29)=0,IF('Recurring Schedule'!$O$29&gt;0,AND(DAY($A314)=MIN(DAY('Recurring Schedule'!$F$29),DAY(EOMONTH($A314,0))),MOD((YEAR($A314)-YEAR('Recurring Schedule'!$F$29))*12+MONTH($A314)-MONTH('Recurring Schedule'!$F$29),'Recurring Schedule'!$O$29)=0),IF('Recurring Schedule'!$E$29="Weekdays",WEEKDAY($A314,2)&lt;=5,$A314='Recurring Schedule'!$F$29))),24,""))))</f>
        <v/>
      </c>
      <c r="Z314">
        <f>IF('Recurring Schedule'!$C$30="","",IF('Recurring Schedule'!$F$30="","",IF(OR($A314&lt;'Recurring Schedule'!$F$30,$A314&gt;'Recurring Schedule'!$P$30),"",IF(IF('Recurring Schedule'!$N$30&gt;0,MOD($A314-'Recurring Schedule'!$F$30,'Recurring Schedule'!$N$30)=0,IF('Recurring Schedule'!$O$30&gt;0,AND(DAY($A314)=MIN(DAY('Recurring Schedule'!$F$30),DAY(EOMONTH($A314,0))),MOD((YEAR($A314)-YEAR('Recurring Schedule'!$F$30))*12+MONTH($A314)-MONTH('Recurring Schedule'!$F$30),'Recurring Schedule'!$O$30)=0),IF('Recurring Schedule'!$E$30="Weekdays",WEEKDAY($A314,2)&lt;=5,$A314='Recurring Schedule'!$F$30))),25,""))))</f>
        <v/>
      </c>
      <c r="AA314">
        <f>IF('Recurring Schedule'!$C$31="","",IF('Recurring Schedule'!$F$31="","",IF(OR($A314&lt;'Recurring Schedule'!$F$31,$A314&gt;'Recurring Schedule'!$P$31),"",IF(IF('Recurring Schedule'!$N$31&gt;0,MOD($A314-'Recurring Schedule'!$F$31,'Recurring Schedule'!$N$31)=0,IF('Recurring Schedule'!$O$31&gt;0,AND(DAY($A314)=MIN(DAY('Recurring Schedule'!$F$31),DAY(EOMONTH($A314,0))),MOD((YEAR($A314)-YEAR('Recurring Schedule'!$F$31))*12+MONTH($A314)-MONTH('Recurring Schedule'!$F$31),'Recurring Schedule'!$O$31)=0),IF('Recurring Schedule'!$E$31="Weekdays",WEEKDAY($A314,2)&lt;=5,$A314='Recurring Schedule'!$F$31))),26,""))))</f>
        <v/>
      </c>
      <c r="AB314">
        <f>IF('Recurring Schedule'!$C$32="","",IF('Recurring Schedule'!$F$32="","",IF(OR($A314&lt;'Recurring Schedule'!$F$32,$A314&gt;'Recurring Schedule'!$P$32),"",IF(IF('Recurring Schedule'!$N$32&gt;0,MOD($A314-'Recurring Schedule'!$F$32,'Recurring Schedule'!$N$32)=0,IF('Recurring Schedule'!$O$32&gt;0,AND(DAY($A314)=MIN(DAY('Recurring Schedule'!$F$32),DAY(EOMONTH($A314,0))),MOD((YEAR($A314)-YEAR('Recurring Schedule'!$F$32))*12+MONTH($A314)-MONTH('Recurring Schedule'!$F$32),'Recurring Schedule'!$O$32)=0),IF('Recurring Schedule'!$E$32="Weekdays",WEEKDAY($A314,2)&lt;=5,$A314='Recurring Schedule'!$F$32))),27,""))))</f>
        <v/>
      </c>
      <c r="AC314">
        <f>IF('Recurring Schedule'!$C$33="","",IF('Recurring Schedule'!$F$33="","",IF(OR($A314&lt;'Recurring Schedule'!$F$33,$A314&gt;'Recurring Schedule'!$P$33),"",IF(IF('Recurring Schedule'!$N$33&gt;0,MOD($A314-'Recurring Schedule'!$F$33,'Recurring Schedule'!$N$33)=0,IF('Recurring Schedule'!$O$33&gt;0,AND(DAY($A314)=MIN(DAY('Recurring Schedule'!$F$33),DAY(EOMONTH($A314,0))),MOD((YEAR($A314)-YEAR('Recurring Schedule'!$F$33))*12+MONTH($A314)-MONTH('Recurring Schedule'!$F$33),'Recurring Schedule'!$O$33)=0),IF('Recurring Schedule'!$E$33="Weekdays",WEEKDAY($A314,2)&lt;=5,$A314='Recurring Schedule'!$F$33))),28,""))))</f>
        <v/>
      </c>
      <c r="AD314">
        <f>IF('Recurring Schedule'!$C$34="","",IF('Recurring Schedule'!$F$34="","",IF(OR($A314&lt;'Recurring Schedule'!$F$34,$A314&gt;'Recurring Schedule'!$P$34),"",IF(IF('Recurring Schedule'!$N$34&gt;0,MOD($A314-'Recurring Schedule'!$F$34,'Recurring Schedule'!$N$34)=0,IF('Recurring Schedule'!$O$34&gt;0,AND(DAY($A314)=MIN(DAY('Recurring Schedule'!$F$34),DAY(EOMONTH($A314,0))),MOD((YEAR($A314)-YEAR('Recurring Schedule'!$F$34))*12+MONTH($A314)-MONTH('Recurring Schedule'!$F$34),'Recurring Schedule'!$O$34)=0),IF('Recurring Schedule'!$E$34="Weekdays",WEEKDAY($A314,2)&lt;=5,$A314='Recurring Schedule'!$F$34))),29,""))))</f>
        <v/>
      </c>
      <c r="AE314">
        <f>IF('Recurring Schedule'!$C$35="","",IF('Recurring Schedule'!$F$35="","",IF(OR($A314&lt;'Recurring Schedule'!$F$35,$A314&gt;'Recurring Schedule'!$P$35),"",IF(IF('Recurring Schedule'!$N$35&gt;0,MOD($A314-'Recurring Schedule'!$F$35,'Recurring Schedule'!$N$35)=0,IF('Recurring Schedule'!$O$35&gt;0,AND(DAY($A314)=MIN(DAY('Recurring Schedule'!$F$35),DAY(EOMONTH($A314,0))),MOD((YEAR($A314)-YEAR('Recurring Schedule'!$F$35))*12+MONTH($A314)-MONTH('Recurring Schedule'!$F$35),'Recurring Schedule'!$O$35)=0),IF('Recurring Schedule'!$E$35="Weekdays",WEEKDAY($A314,2)&lt;=5,$A314='Recurring Schedule'!$F$35))),30,""))))</f>
        <v/>
      </c>
      <c r="AF314">
        <f>IF('Recurring Schedule'!$C$36="","",IF('Recurring Schedule'!$F$36="","",IF(OR($A314&lt;'Recurring Schedule'!$F$36,$A314&gt;'Recurring Schedule'!$P$36),"",IF(IF('Recurring Schedule'!$N$36&gt;0,MOD($A314-'Recurring Schedule'!$F$36,'Recurring Schedule'!$N$36)=0,IF('Recurring Schedule'!$O$36&gt;0,AND(DAY($A314)=MIN(DAY('Recurring Schedule'!$F$36),DAY(EOMONTH($A314,0))),MOD((YEAR($A314)-YEAR('Recurring Schedule'!$F$36))*12+MONTH($A314)-MONTH('Recurring Schedule'!$F$36),'Recurring Schedule'!$O$36)=0),IF('Recurring Schedule'!$E$36="Weekdays",WEEKDAY($A314,2)&lt;=5,$A314='Recurring Schedule'!$F$36))),31,""))))</f>
        <v/>
      </c>
      <c r="AG314">
        <f>IF('Recurring Schedule'!$C$37="","",IF('Recurring Schedule'!$F$37="","",IF(OR($A314&lt;'Recurring Schedule'!$F$37,$A314&gt;'Recurring Schedule'!$P$37),"",IF(IF('Recurring Schedule'!$N$37&gt;0,MOD($A314-'Recurring Schedule'!$F$37,'Recurring Schedule'!$N$37)=0,IF('Recurring Schedule'!$O$37&gt;0,AND(DAY($A314)=MIN(DAY('Recurring Schedule'!$F$37),DAY(EOMONTH($A314,0))),MOD((YEAR($A314)-YEAR('Recurring Schedule'!$F$37))*12+MONTH($A314)-MONTH('Recurring Schedule'!$F$37),'Recurring Schedule'!$O$37)=0),IF('Recurring Schedule'!$E$37="Weekdays",WEEKDAY($A314,2)&lt;=5,$A314='Recurring Schedule'!$F$37))),32,""))))</f>
        <v/>
      </c>
      <c r="AH314">
        <f>IF('Recurring Schedule'!$C$38="","",IF('Recurring Schedule'!$F$38="","",IF(OR($A314&lt;'Recurring Schedule'!$F$38,$A314&gt;'Recurring Schedule'!$P$38),"",IF(IF('Recurring Schedule'!$N$38&gt;0,MOD($A314-'Recurring Schedule'!$F$38,'Recurring Schedule'!$N$38)=0,IF('Recurring Schedule'!$O$38&gt;0,AND(DAY($A314)=MIN(DAY('Recurring Schedule'!$F$38),DAY(EOMONTH($A314,0))),MOD((YEAR($A314)-YEAR('Recurring Schedule'!$F$38))*12+MONTH($A314)-MONTH('Recurring Schedule'!$F$38),'Recurring Schedule'!$O$38)=0),IF('Recurring Schedule'!$E$38="Weekdays",WEEKDAY($A314,2)&lt;=5,$A314='Recurring Schedule'!$F$38))),33,""))))</f>
        <v/>
      </c>
      <c r="AI314">
        <f>IF('Recurring Schedule'!$C$39="","",IF('Recurring Schedule'!$F$39="","",IF(OR($A314&lt;'Recurring Schedule'!$F$39,$A314&gt;'Recurring Schedule'!$P$39),"",IF(IF('Recurring Schedule'!$N$39&gt;0,MOD($A314-'Recurring Schedule'!$F$39,'Recurring Schedule'!$N$39)=0,IF('Recurring Schedule'!$O$39&gt;0,AND(DAY($A314)=MIN(DAY('Recurring Schedule'!$F$39),DAY(EOMONTH($A314,0))),MOD((YEAR($A314)-YEAR('Recurring Schedule'!$F$39))*12+MONTH($A314)-MONTH('Recurring Schedule'!$F$39),'Recurring Schedule'!$O$39)=0),IF('Recurring Schedule'!$E$39="Weekdays",WEEKDAY($A314,2)&lt;=5,$A314='Recurring Schedule'!$F$39))),34,""))))</f>
        <v/>
      </c>
      <c r="AJ314">
        <f>IF('Recurring Schedule'!$C$40="","",IF('Recurring Schedule'!$F$40="","",IF(OR($A314&lt;'Recurring Schedule'!$F$40,$A314&gt;'Recurring Schedule'!$P$40),"",IF(IF('Recurring Schedule'!$N$40&gt;0,MOD($A314-'Recurring Schedule'!$F$40,'Recurring Schedule'!$N$40)=0,IF('Recurring Schedule'!$O$40&gt;0,AND(DAY($A314)=MIN(DAY('Recurring Schedule'!$F$40),DAY(EOMONTH($A314,0))),MOD((YEAR($A314)-YEAR('Recurring Schedule'!$F$40))*12+MONTH($A314)-MONTH('Recurring Schedule'!$F$40),'Recurring Schedule'!$O$40)=0),IF('Recurring Schedule'!$E$40="Weekdays",WEEKDAY($A314,2)&lt;=5,$A314='Recurring Schedule'!$F$40))),35,""))))</f>
        <v/>
      </c>
      <c r="AK314">
        <f>IF('Recurring Schedule'!$C$41="","",IF('Recurring Schedule'!$F$41="","",IF(OR($A314&lt;'Recurring Schedule'!$F$41,$A314&gt;'Recurring Schedule'!$P$41),"",IF(IF('Recurring Schedule'!$N$41&gt;0,MOD($A314-'Recurring Schedule'!$F$41,'Recurring Schedule'!$N$41)=0,IF('Recurring Schedule'!$O$41&gt;0,AND(DAY($A314)=MIN(DAY('Recurring Schedule'!$F$41),DAY(EOMONTH($A314,0))),MOD((YEAR($A314)-YEAR('Recurring Schedule'!$F$41))*12+MONTH($A314)-MONTH('Recurring Schedule'!$F$41),'Recurring Schedule'!$O$41)=0),IF('Recurring Schedule'!$E$41="Weekdays",WEEKDAY($A314,2)&lt;=5,$A314='Recurring Schedule'!$F$41))),36,""))))</f>
        <v/>
      </c>
      <c r="AL314">
        <f>IF('Recurring Schedule'!$C$42="","",IF('Recurring Schedule'!$F$42="","",IF(OR($A314&lt;'Recurring Schedule'!$F$42,$A314&gt;'Recurring Schedule'!$P$42),"",IF(IF('Recurring Schedule'!$N$42&gt;0,MOD($A314-'Recurring Schedule'!$F$42,'Recurring Schedule'!$N$42)=0,IF('Recurring Schedule'!$O$42&gt;0,AND(DAY($A314)=MIN(DAY('Recurring Schedule'!$F$42),DAY(EOMONTH($A314,0))),MOD((YEAR($A314)-YEAR('Recurring Schedule'!$F$42))*12+MONTH($A314)-MONTH('Recurring Schedule'!$F$42),'Recurring Schedule'!$O$42)=0),IF('Recurring Schedule'!$E$42="Weekdays",WEEKDAY($A314,2)&lt;=5,$A314='Recurring Schedule'!$F$42))),37,""))))</f>
        <v/>
      </c>
      <c r="AM314">
        <f>IF('Recurring Schedule'!$C$43="","",IF('Recurring Schedule'!$F$43="","",IF(OR($A314&lt;'Recurring Schedule'!$F$43,$A314&gt;'Recurring Schedule'!$P$43),"",IF(IF('Recurring Schedule'!$N$43&gt;0,MOD($A314-'Recurring Schedule'!$F$43,'Recurring Schedule'!$N$43)=0,IF('Recurring Schedule'!$O$43&gt;0,AND(DAY($A314)=MIN(DAY('Recurring Schedule'!$F$43),DAY(EOMONTH($A314,0))),MOD((YEAR($A314)-YEAR('Recurring Schedule'!$F$43))*12+MONTH($A314)-MONTH('Recurring Schedule'!$F$43),'Recurring Schedule'!$O$43)=0),IF('Recurring Schedule'!$E$43="Weekdays",WEEKDAY($A314,2)&lt;=5,$A314='Recurring Schedule'!$F$43))),38,""))))</f>
        <v/>
      </c>
      <c r="AN314">
        <f>IF('Recurring Schedule'!$C$44="","",IF('Recurring Schedule'!$F$44="","",IF(OR($A314&lt;'Recurring Schedule'!$F$44,$A314&gt;'Recurring Schedule'!$P$44),"",IF(IF('Recurring Schedule'!$N$44&gt;0,MOD($A314-'Recurring Schedule'!$F$44,'Recurring Schedule'!$N$44)=0,IF('Recurring Schedule'!$O$44&gt;0,AND(DAY($A314)=MIN(DAY('Recurring Schedule'!$F$44),DAY(EOMONTH($A314,0))),MOD((YEAR($A314)-YEAR('Recurring Schedule'!$F$44))*12+MONTH($A314)-MONTH('Recurring Schedule'!$F$44),'Recurring Schedule'!$O$44)=0),IF('Recurring Schedule'!$E$44="Weekdays",WEEKDAY($A314,2)&lt;=5,$A314='Recurring Schedule'!$F$44))),39,""))))</f>
        <v/>
      </c>
      <c r="AO314">
        <f>IF('Recurring Schedule'!$C$45="","",IF('Recurring Schedule'!$F$45="","",IF(OR($A314&lt;'Recurring Schedule'!$F$45,$A314&gt;'Recurring Schedule'!$P$45),"",IF(IF('Recurring Schedule'!$N$45&gt;0,MOD($A314-'Recurring Schedule'!$F$45,'Recurring Schedule'!$N$45)=0,IF('Recurring Schedule'!$O$45&gt;0,AND(DAY($A314)=MIN(DAY('Recurring Schedule'!$F$45),DAY(EOMONTH($A314,0))),MOD((YEAR($A314)-YEAR('Recurring Schedule'!$F$45))*12+MONTH($A314)-MONTH('Recurring Schedule'!$F$45),'Recurring Schedule'!$O$45)=0),IF('Recurring Schedule'!$E$45="Weekdays",WEEKDAY($A314,2)&lt;=5,$A314='Recurring Schedule'!$F$45))),40,""))))</f>
        <v/>
      </c>
      <c r="AP314">
        <f>COUNT(B314:AO314)</f>
        <v/>
      </c>
      <c r="AQ314">
        <f>AQ313+AP313</f>
        <v/>
      </c>
      <c r="AS314" t="inlineStr">
        <is>
          <t>R</t>
        </is>
      </c>
      <c r="AT314" t="n">
        <v>318</v>
      </c>
      <c r="AU314">
        <f>'Recurring Log'!C318&amp;""</f>
        <v/>
      </c>
      <c r="AV314">
        <f>'Recurring Log'!D318&amp;""</f>
        <v/>
      </c>
      <c r="AW314">
        <f>IF('Recurring Log'!E318="","",'Recurring Log'!E318)</f>
        <v/>
      </c>
      <c r="AX314">
        <f>IF('Recurring Log'!G318="","",'Recurring Log'!G318)</f>
        <v/>
      </c>
      <c r="AY314">
        <f>IF('Recurring Log'!H318="","",'Recurring Log'!H318)</f>
        <v/>
      </c>
      <c r="AZ314">
        <f>IF(AU314="","",IF('Recurring Log'!J318="","Not Started",'Recurring Log'!J318))</f>
        <v/>
      </c>
      <c r="BA314">
        <f>'Recurring Log'!L318&amp;""</f>
        <v/>
      </c>
      <c r="BB314">
        <f>'Recurring Log'!M318&amp;""</f>
        <v/>
      </c>
      <c r="BC314">
        <f>'Recurring Log'!N318&amp;""</f>
        <v/>
      </c>
      <c r="BD314">
        <f>'Recurring Log'!O318&amp;""</f>
        <v/>
      </c>
      <c r="BE314">
        <f>IF('Recurring Log'!K318="","",'Recurring Log'!K318)</f>
        <v/>
      </c>
      <c r="BF314">
        <f>IFERROR(MATCH(BA314,Setup!$L$6:$L$9,0),5)</f>
        <v/>
      </c>
      <c r="BG314">
        <f>IF(OR(AZ314="Done",AZ314="Cancelled"),1,0)</f>
        <v/>
      </c>
      <c r="BH314">
        <f>IF(AND(AU314&lt;&gt;"",ISNUMBER(AW314)),1,0)</f>
        <v/>
      </c>
      <c r="BI314">
        <f>IF(BH314=0,0,IF(AND(AW314&gt;='Tasks Filter'!$F$3,AW314&lt;='Tasks Filter'!$F$4,OR('Tasks Filter'!$I$3="",ISNUMBER(SEARCH('Tasks Filter'!$I$3,AU314))),OR('Tasks Filter'!$I$4="",BF314=IFERROR(MATCH('Tasks Filter'!$I$4,Setup!$L$6:$L$9,0),0)),OR('Tasks Filter'!$I$5="Both",AND('Tasks Filter'!$I$5="Yes",BB314="✓"),AND('Tasks Filter'!$I$5="No",BB314&lt;&gt;"✓")),OR('Tasks Filter'!$L$3="",AV314='Tasks Filter'!$L$3),OR('Tasks Filter'!$L$4="",AZ314='Tasks Filter'!$L$4),OR('Tasks Filter'!$L$5="",BC314='Tasks Filter'!$L$5),OR('Tasks Filter'!$O$3="",BD314='Tasks Filter'!$O$3),OR('Tasks Filter'!$O$4="Yes",BG314=0)),1,0))</f>
        <v/>
      </c>
      <c r="BJ314">
        <f>IF(BH314=0,"",IF('Tasks Filter'!$F$6="Descending",-1,1)*CHOOSE(MATCH('Tasks Filter'!$F$5,Lists!$G$2:$G$6,0),AW314,BF314,IFERROR(MATCH(AV314,Setup!$F$6:$F$15,0),99),IFERROR(MATCH(BC314,Setup!$H$6:$H$15,0),99),IFERROR(MATCH(AZ314,Setup!$J$6:$J$11,0),99))*1E+9+(AW314-40000)*10000+313)</f>
        <v/>
      </c>
      <c r="BK314">
        <f>IF(BI314=1,BJ314,"")</f>
        <v/>
      </c>
      <c r="BL314">
        <f>IF(AND(BH314=1,BG314=0,N(AW314)&lt;Setup!$D$7),(AW314-40000)*10000+313,"")</f>
        <v/>
      </c>
      <c r="BM314">
        <f>IF(AND(BH314=1,AZ314&lt;&gt;"Cancelled",N(AW314)&gt;=Dashboard!$AB$3,N(AW314)&lt;=Dashboard!$AB$3+6),(AW314-40000)*100000+BF314*10000+313,"")</f>
        <v/>
      </c>
      <c r="BN314">
        <f>IF(AND(BH314=1,AZ314&lt;&gt;"Cancelled"),BF314*10000+313,"")</f>
        <v/>
      </c>
    </row>
    <row r="315">
      <c r="A315">
        <f>Setup!$D$5+313</f>
        <v/>
      </c>
      <c r="B315">
        <f>IF('Recurring Schedule'!$C$6="","",IF('Recurring Schedule'!$F$6="","",IF(OR($A315&lt;'Recurring Schedule'!$F$6,$A315&gt;'Recurring Schedule'!$P$6),"",IF(IF('Recurring Schedule'!$N$6&gt;0,MOD($A315-'Recurring Schedule'!$F$6,'Recurring Schedule'!$N$6)=0,IF('Recurring Schedule'!$O$6&gt;0,AND(DAY($A315)=MIN(DAY('Recurring Schedule'!$F$6),DAY(EOMONTH($A315,0))),MOD((YEAR($A315)-YEAR('Recurring Schedule'!$F$6))*12+MONTH($A315)-MONTH('Recurring Schedule'!$F$6),'Recurring Schedule'!$O$6)=0),IF('Recurring Schedule'!$E$6="Weekdays",WEEKDAY($A315,2)&lt;=5,$A315='Recurring Schedule'!$F$6))),1,""))))</f>
        <v/>
      </c>
      <c r="C315">
        <f>IF('Recurring Schedule'!$C$7="","",IF('Recurring Schedule'!$F$7="","",IF(OR($A315&lt;'Recurring Schedule'!$F$7,$A315&gt;'Recurring Schedule'!$P$7),"",IF(IF('Recurring Schedule'!$N$7&gt;0,MOD($A315-'Recurring Schedule'!$F$7,'Recurring Schedule'!$N$7)=0,IF('Recurring Schedule'!$O$7&gt;0,AND(DAY($A315)=MIN(DAY('Recurring Schedule'!$F$7),DAY(EOMONTH($A315,0))),MOD((YEAR($A315)-YEAR('Recurring Schedule'!$F$7))*12+MONTH($A315)-MONTH('Recurring Schedule'!$F$7),'Recurring Schedule'!$O$7)=0),IF('Recurring Schedule'!$E$7="Weekdays",WEEKDAY($A315,2)&lt;=5,$A315='Recurring Schedule'!$F$7))),2,""))))</f>
        <v/>
      </c>
      <c r="D315">
        <f>IF('Recurring Schedule'!$C$8="","",IF('Recurring Schedule'!$F$8="","",IF(OR($A315&lt;'Recurring Schedule'!$F$8,$A315&gt;'Recurring Schedule'!$P$8),"",IF(IF('Recurring Schedule'!$N$8&gt;0,MOD($A315-'Recurring Schedule'!$F$8,'Recurring Schedule'!$N$8)=0,IF('Recurring Schedule'!$O$8&gt;0,AND(DAY($A315)=MIN(DAY('Recurring Schedule'!$F$8),DAY(EOMONTH($A315,0))),MOD((YEAR($A315)-YEAR('Recurring Schedule'!$F$8))*12+MONTH($A315)-MONTH('Recurring Schedule'!$F$8),'Recurring Schedule'!$O$8)=0),IF('Recurring Schedule'!$E$8="Weekdays",WEEKDAY($A315,2)&lt;=5,$A315='Recurring Schedule'!$F$8))),3,""))))</f>
        <v/>
      </c>
      <c r="E315">
        <f>IF('Recurring Schedule'!$C$9="","",IF('Recurring Schedule'!$F$9="","",IF(OR($A315&lt;'Recurring Schedule'!$F$9,$A315&gt;'Recurring Schedule'!$P$9),"",IF(IF('Recurring Schedule'!$N$9&gt;0,MOD($A315-'Recurring Schedule'!$F$9,'Recurring Schedule'!$N$9)=0,IF('Recurring Schedule'!$O$9&gt;0,AND(DAY($A315)=MIN(DAY('Recurring Schedule'!$F$9),DAY(EOMONTH($A315,0))),MOD((YEAR($A315)-YEAR('Recurring Schedule'!$F$9))*12+MONTH($A315)-MONTH('Recurring Schedule'!$F$9),'Recurring Schedule'!$O$9)=0),IF('Recurring Schedule'!$E$9="Weekdays",WEEKDAY($A315,2)&lt;=5,$A315='Recurring Schedule'!$F$9))),4,""))))</f>
        <v/>
      </c>
      <c r="F315">
        <f>IF('Recurring Schedule'!$C$10="","",IF('Recurring Schedule'!$F$10="","",IF(OR($A315&lt;'Recurring Schedule'!$F$10,$A315&gt;'Recurring Schedule'!$P$10),"",IF(IF('Recurring Schedule'!$N$10&gt;0,MOD($A315-'Recurring Schedule'!$F$10,'Recurring Schedule'!$N$10)=0,IF('Recurring Schedule'!$O$10&gt;0,AND(DAY($A315)=MIN(DAY('Recurring Schedule'!$F$10),DAY(EOMONTH($A315,0))),MOD((YEAR($A315)-YEAR('Recurring Schedule'!$F$10))*12+MONTH($A315)-MONTH('Recurring Schedule'!$F$10),'Recurring Schedule'!$O$10)=0),IF('Recurring Schedule'!$E$10="Weekdays",WEEKDAY($A315,2)&lt;=5,$A315='Recurring Schedule'!$F$10))),5,""))))</f>
        <v/>
      </c>
      <c r="G315">
        <f>IF('Recurring Schedule'!$C$11="","",IF('Recurring Schedule'!$F$11="","",IF(OR($A315&lt;'Recurring Schedule'!$F$11,$A315&gt;'Recurring Schedule'!$P$11),"",IF(IF('Recurring Schedule'!$N$11&gt;0,MOD($A315-'Recurring Schedule'!$F$11,'Recurring Schedule'!$N$11)=0,IF('Recurring Schedule'!$O$11&gt;0,AND(DAY($A315)=MIN(DAY('Recurring Schedule'!$F$11),DAY(EOMONTH($A315,0))),MOD((YEAR($A315)-YEAR('Recurring Schedule'!$F$11))*12+MONTH($A315)-MONTH('Recurring Schedule'!$F$11),'Recurring Schedule'!$O$11)=0),IF('Recurring Schedule'!$E$11="Weekdays",WEEKDAY($A315,2)&lt;=5,$A315='Recurring Schedule'!$F$11))),6,""))))</f>
        <v/>
      </c>
      <c r="H315">
        <f>IF('Recurring Schedule'!$C$12="","",IF('Recurring Schedule'!$F$12="","",IF(OR($A315&lt;'Recurring Schedule'!$F$12,$A315&gt;'Recurring Schedule'!$P$12),"",IF(IF('Recurring Schedule'!$N$12&gt;0,MOD($A315-'Recurring Schedule'!$F$12,'Recurring Schedule'!$N$12)=0,IF('Recurring Schedule'!$O$12&gt;0,AND(DAY($A315)=MIN(DAY('Recurring Schedule'!$F$12),DAY(EOMONTH($A315,0))),MOD((YEAR($A315)-YEAR('Recurring Schedule'!$F$12))*12+MONTH($A315)-MONTH('Recurring Schedule'!$F$12),'Recurring Schedule'!$O$12)=0),IF('Recurring Schedule'!$E$12="Weekdays",WEEKDAY($A315,2)&lt;=5,$A315='Recurring Schedule'!$F$12))),7,""))))</f>
        <v/>
      </c>
      <c r="I315">
        <f>IF('Recurring Schedule'!$C$13="","",IF('Recurring Schedule'!$F$13="","",IF(OR($A315&lt;'Recurring Schedule'!$F$13,$A315&gt;'Recurring Schedule'!$P$13),"",IF(IF('Recurring Schedule'!$N$13&gt;0,MOD($A315-'Recurring Schedule'!$F$13,'Recurring Schedule'!$N$13)=0,IF('Recurring Schedule'!$O$13&gt;0,AND(DAY($A315)=MIN(DAY('Recurring Schedule'!$F$13),DAY(EOMONTH($A315,0))),MOD((YEAR($A315)-YEAR('Recurring Schedule'!$F$13))*12+MONTH($A315)-MONTH('Recurring Schedule'!$F$13),'Recurring Schedule'!$O$13)=0),IF('Recurring Schedule'!$E$13="Weekdays",WEEKDAY($A315,2)&lt;=5,$A315='Recurring Schedule'!$F$13))),8,""))))</f>
        <v/>
      </c>
      <c r="J315">
        <f>IF('Recurring Schedule'!$C$14="","",IF('Recurring Schedule'!$F$14="","",IF(OR($A315&lt;'Recurring Schedule'!$F$14,$A315&gt;'Recurring Schedule'!$P$14),"",IF(IF('Recurring Schedule'!$N$14&gt;0,MOD($A315-'Recurring Schedule'!$F$14,'Recurring Schedule'!$N$14)=0,IF('Recurring Schedule'!$O$14&gt;0,AND(DAY($A315)=MIN(DAY('Recurring Schedule'!$F$14),DAY(EOMONTH($A315,0))),MOD((YEAR($A315)-YEAR('Recurring Schedule'!$F$14))*12+MONTH($A315)-MONTH('Recurring Schedule'!$F$14),'Recurring Schedule'!$O$14)=0),IF('Recurring Schedule'!$E$14="Weekdays",WEEKDAY($A315,2)&lt;=5,$A315='Recurring Schedule'!$F$14))),9,""))))</f>
        <v/>
      </c>
      <c r="K315">
        <f>IF('Recurring Schedule'!$C$15="","",IF('Recurring Schedule'!$F$15="","",IF(OR($A315&lt;'Recurring Schedule'!$F$15,$A315&gt;'Recurring Schedule'!$P$15),"",IF(IF('Recurring Schedule'!$N$15&gt;0,MOD($A315-'Recurring Schedule'!$F$15,'Recurring Schedule'!$N$15)=0,IF('Recurring Schedule'!$O$15&gt;0,AND(DAY($A315)=MIN(DAY('Recurring Schedule'!$F$15),DAY(EOMONTH($A315,0))),MOD((YEAR($A315)-YEAR('Recurring Schedule'!$F$15))*12+MONTH($A315)-MONTH('Recurring Schedule'!$F$15),'Recurring Schedule'!$O$15)=0),IF('Recurring Schedule'!$E$15="Weekdays",WEEKDAY($A315,2)&lt;=5,$A315='Recurring Schedule'!$F$15))),10,""))))</f>
        <v/>
      </c>
      <c r="L315">
        <f>IF('Recurring Schedule'!$C$16="","",IF('Recurring Schedule'!$F$16="","",IF(OR($A315&lt;'Recurring Schedule'!$F$16,$A315&gt;'Recurring Schedule'!$P$16),"",IF(IF('Recurring Schedule'!$N$16&gt;0,MOD($A315-'Recurring Schedule'!$F$16,'Recurring Schedule'!$N$16)=0,IF('Recurring Schedule'!$O$16&gt;0,AND(DAY($A315)=MIN(DAY('Recurring Schedule'!$F$16),DAY(EOMONTH($A315,0))),MOD((YEAR($A315)-YEAR('Recurring Schedule'!$F$16))*12+MONTH($A315)-MONTH('Recurring Schedule'!$F$16),'Recurring Schedule'!$O$16)=0),IF('Recurring Schedule'!$E$16="Weekdays",WEEKDAY($A315,2)&lt;=5,$A315='Recurring Schedule'!$F$16))),11,""))))</f>
        <v/>
      </c>
      <c r="M315">
        <f>IF('Recurring Schedule'!$C$17="","",IF('Recurring Schedule'!$F$17="","",IF(OR($A315&lt;'Recurring Schedule'!$F$17,$A315&gt;'Recurring Schedule'!$P$17),"",IF(IF('Recurring Schedule'!$N$17&gt;0,MOD($A315-'Recurring Schedule'!$F$17,'Recurring Schedule'!$N$17)=0,IF('Recurring Schedule'!$O$17&gt;0,AND(DAY($A315)=MIN(DAY('Recurring Schedule'!$F$17),DAY(EOMONTH($A315,0))),MOD((YEAR($A315)-YEAR('Recurring Schedule'!$F$17))*12+MONTH($A315)-MONTH('Recurring Schedule'!$F$17),'Recurring Schedule'!$O$17)=0),IF('Recurring Schedule'!$E$17="Weekdays",WEEKDAY($A315,2)&lt;=5,$A315='Recurring Schedule'!$F$17))),12,""))))</f>
        <v/>
      </c>
      <c r="N315">
        <f>IF('Recurring Schedule'!$C$18="","",IF('Recurring Schedule'!$F$18="","",IF(OR($A315&lt;'Recurring Schedule'!$F$18,$A315&gt;'Recurring Schedule'!$P$18),"",IF(IF('Recurring Schedule'!$N$18&gt;0,MOD($A315-'Recurring Schedule'!$F$18,'Recurring Schedule'!$N$18)=0,IF('Recurring Schedule'!$O$18&gt;0,AND(DAY($A315)=MIN(DAY('Recurring Schedule'!$F$18),DAY(EOMONTH($A315,0))),MOD((YEAR($A315)-YEAR('Recurring Schedule'!$F$18))*12+MONTH($A315)-MONTH('Recurring Schedule'!$F$18),'Recurring Schedule'!$O$18)=0),IF('Recurring Schedule'!$E$18="Weekdays",WEEKDAY($A315,2)&lt;=5,$A315='Recurring Schedule'!$F$18))),13,""))))</f>
        <v/>
      </c>
      <c r="O315">
        <f>IF('Recurring Schedule'!$C$19="","",IF('Recurring Schedule'!$F$19="","",IF(OR($A315&lt;'Recurring Schedule'!$F$19,$A315&gt;'Recurring Schedule'!$P$19),"",IF(IF('Recurring Schedule'!$N$19&gt;0,MOD($A315-'Recurring Schedule'!$F$19,'Recurring Schedule'!$N$19)=0,IF('Recurring Schedule'!$O$19&gt;0,AND(DAY($A315)=MIN(DAY('Recurring Schedule'!$F$19),DAY(EOMONTH($A315,0))),MOD((YEAR($A315)-YEAR('Recurring Schedule'!$F$19))*12+MONTH($A315)-MONTH('Recurring Schedule'!$F$19),'Recurring Schedule'!$O$19)=0),IF('Recurring Schedule'!$E$19="Weekdays",WEEKDAY($A315,2)&lt;=5,$A315='Recurring Schedule'!$F$19))),14,""))))</f>
        <v/>
      </c>
      <c r="P315">
        <f>IF('Recurring Schedule'!$C$20="","",IF('Recurring Schedule'!$F$20="","",IF(OR($A315&lt;'Recurring Schedule'!$F$20,$A315&gt;'Recurring Schedule'!$P$20),"",IF(IF('Recurring Schedule'!$N$20&gt;0,MOD($A315-'Recurring Schedule'!$F$20,'Recurring Schedule'!$N$20)=0,IF('Recurring Schedule'!$O$20&gt;0,AND(DAY($A315)=MIN(DAY('Recurring Schedule'!$F$20),DAY(EOMONTH($A315,0))),MOD((YEAR($A315)-YEAR('Recurring Schedule'!$F$20))*12+MONTH($A315)-MONTH('Recurring Schedule'!$F$20),'Recurring Schedule'!$O$20)=0),IF('Recurring Schedule'!$E$20="Weekdays",WEEKDAY($A315,2)&lt;=5,$A315='Recurring Schedule'!$F$20))),15,""))))</f>
        <v/>
      </c>
      <c r="Q315">
        <f>IF('Recurring Schedule'!$C$21="","",IF('Recurring Schedule'!$F$21="","",IF(OR($A315&lt;'Recurring Schedule'!$F$21,$A315&gt;'Recurring Schedule'!$P$21),"",IF(IF('Recurring Schedule'!$N$21&gt;0,MOD($A315-'Recurring Schedule'!$F$21,'Recurring Schedule'!$N$21)=0,IF('Recurring Schedule'!$O$21&gt;0,AND(DAY($A315)=MIN(DAY('Recurring Schedule'!$F$21),DAY(EOMONTH($A315,0))),MOD((YEAR($A315)-YEAR('Recurring Schedule'!$F$21))*12+MONTH($A315)-MONTH('Recurring Schedule'!$F$21),'Recurring Schedule'!$O$21)=0),IF('Recurring Schedule'!$E$21="Weekdays",WEEKDAY($A315,2)&lt;=5,$A315='Recurring Schedule'!$F$21))),16,""))))</f>
        <v/>
      </c>
      <c r="R315">
        <f>IF('Recurring Schedule'!$C$22="","",IF('Recurring Schedule'!$F$22="","",IF(OR($A315&lt;'Recurring Schedule'!$F$22,$A315&gt;'Recurring Schedule'!$P$22),"",IF(IF('Recurring Schedule'!$N$22&gt;0,MOD($A315-'Recurring Schedule'!$F$22,'Recurring Schedule'!$N$22)=0,IF('Recurring Schedule'!$O$22&gt;0,AND(DAY($A315)=MIN(DAY('Recurring Schedule'!$F$22),DAY(EOMONTH($A315,0))),MOD((YEAR($A315)-YEAR('Recurring Schedule'!$F$22))*12+MONTH($A315)-MONTH('Recurring Schedule'!$F$22),'Recurring Schedule'!$O$22)=0),IF('Recurring Schedule'!$E$22="Weekdays",WEEKDAY($A315,2)&lt;=5,$A315='Recurring Schedule'!$F$22))),17,""))))</f>
        <v/>
      </c>
      <c r="S315">
        <f>IF('Recurring Schedule'!$C$23="","",IF('Recurring Schedule'!$F$23="","",IF(OR($A315&lt;'Recurring Schedule'!$F$23,$A315&gt;'Recurring Schedule'!$P$23),"",IF(IF('Recurring Schedule'!$N$23&gt;0,MOD($A315-'Recurring Schedule'!$F$23,'Recurring Schedule'!$N$23)=0,IF('Recurring Schedule'!$O$23&gt;0,AND(DAY($A315)=MIN(DAY('Recurring Schedule'!$F$23),DAY(EOMONTH($A315,0))),MOD((YEAR($A315)-YEAR('Recurring Schedule'!$F$23))*12+MONTH($A315)-MONTH('Recurring Schedule'!$F$23),'Recurring Schedule'!$O$23)=0),IF('Recurring Schedule'!$E$23="Weekdays",WEEKDAY($A315,2)&lt;=5,$A315='Recurring Schedule'!$F$23))),18,""))))</f>
        <v/>
      </c>
      <c r="T315">
        <f>IF('Recurring Schedule'!$C$24="","",IF('Recurring Schedule'!$F$24="","",IF(OR($A315&lt;'Recurring Schedule'!$F$24,$A315&gt;'Recurring Schedule'!$P$24),"",IF(IF('Recurring Schedule'!$N$24&gt;0,MOD($A315-'Recurring Schedule'!$F$24,'Recurring Schedule'!$N$24)=0,IF('Recurring Schedule'!$O$24&gt;0,AND(DAY($A315)=MIN(DAY('Recurring Schedule'!$F$24),DAY(EOMONTH($A315,0))),MOD((YEAR($A315)-YEAR('Recurring Schedule'!$F$24))*12+MONTH($A315)-MONTH('Recurring Schedule'!$F$24),'Recurring Schedule'!$O$24)=0),IF('Recurring Schedule'!$E$24="Weekdays",WEEKDAY($A315,2)&lt;=5,$A315='Recurring Schedule'!$F$24))),19,""))))</f>
        <v/>
      </c>
      <c r="U315">
        <f>IF('Recurring Schedule'!$C$25="","",IF('Recurring Schedule'!$F$25="","",IF(OR($A315&lt;'Recurring Schedule'!$F$25,$A315&gt;'Recurring Schedule'!$P$25),"",IF(IF('Recurring Schedule'!$N$25&gt;0,MOD($A315-'Recurring Schedule'!$F$25,'Recurring Schedule'!$N$25)=0,IF('Recurring Schedule'!$O$25&gt;0,AND(DAY($A315)=MIN(DAY('Recurring Schedule'!$F$25),DAY(EOMONTH($A315,0))),MOD((YEAR($A315)-YEAR('Recurring Schedule'!$F$25))*12+MONTH($A315)-MONTH('Recurring Schedule'!$F$25),'Recurring Schedule'!$O$25)=0),IF('Recurring Schedule'!$E$25="Weekdays",WEEKDAY($A315,2)&lt;=5,$A315='Recurring Schedule'!$F$25))),20,""))))</f>
        <v/>
      </c>
      <c r="V315">
        <f>IF('Recurring Schedule'!$C$26="","",IF('Recurring Schedule'!$F$26="","",IF(OR($A315&lt;'Recurring Schedule'!$F$26,$A315&gt;'Recurring Schedule'!$P$26),"",IF(IF('Recurring Schedule'!$N$26&gt;0,MOD($A315-'Recurring Schedule'!$F$26,'Recurring Schedule'!$N$26)=0,IF('Recurring Schedule'!$O$26&gt;0,AND(DAY($A315)=MIN(DAY('Recurring Schedule'!$F$26),DAY(EOMONTH($A315,0))),MOD((YEAR($A315)-YEAR('Recurring Schedule'!$F$26))*12+MONTH($A315)-MONTH('Recurring Schedule'!$F$26),'Recurring Schedule'!$O$26)=0),IF('Recurring Schedule'!$E$26="Weekdays",WEEKDAY($A315,2)&lt;=5,$A315='Recurring Schedule'!$F$26))),21,""))))</f>
        <v/>
      </c>
      <c r="W315">
        <f>IF('Recurring Schedule'!$C$27="","",IF('Recurring Schedule'!$F$27="","",IF(OR($A315&lt;'Recurring Schedule'!$F$27,$A315&gt;'Recurring Schedule'!$P$27),"",IF(IF('Recurring Schedule'!$N$27&gt;0,MOD($A315-'Recurring Schedule'!$F$27,'Recurring Schedule'!$N$27)=0,IF('Recurring Schedule'!$O$27&gt;0,AND(DAY($A315)=MIN(DAY('Recurring Schedule'!$F$27),DAY(EOMONTH($A315,0))),MOD((YEAR($A315)-YEAR('Recurring Schedule'!$F$27))*12+MONTH($A315)-MONTH('Recurring Schedule'!$F$27),'Recurring Schedule'!$O$27)=0),IF('Recurring Schedule'!$E$27="Weekdays",WEEKDAY($A315,2)&lt;=5,$A315='Recurring Schedule'!$F$27))),22,""))))</f>
        <v/>
      </c>
      <c r="X315">
        <f>IF('Recurring Schedule'!$C$28="","",IF('Recurring Schedule'!$F$28="","",IF(OR($A315&lt;'Recurring Schedule'!$F$28,$A315&gt;'Recurring Schedule'!$P$28),"",IF(IF('Recurring Schedule'!$N$28&gt;0,MOD($A315-'Recurring Schedule'!$F$28,'Recurring Schedule'!$N$28)=0,IF('Recurring Schedule'!$O$28&gt;0,AND(DAY($A315)=MIN(DAY('Recurring Schedule'!$F$28),DAY(EOMONTH($A315,0))),MOD((YEAR($A315)-YEAR('Recurring Schedule'!$F$28))*12+MONTH($A315)-MONTH('Recurring Schedule'!$F$28),'Recurring Schedule'!$O$28)=0),IF('Recurring Schedule'!$E$28="Weekdays",WEEKDAY($A315,2)&lt;=5,$A315='Recurring Schedule'!$F$28))),23,""))))</f>
        <v/>
      </c>
      <c r="Y315">
        <f>IF('Recurring Schedule'!$C$29="","",IF('Recurring Schedule'!$F$29="","",IF(OR($A315&lt;'Recurring Schedule'!$F$29,$A315&gt;'Recurring Schedule'!$P$29),"",IF(IF('Recurring Schedule'!$N$29&gt;0,MOD($A315-'Recurring Schedule'!$F$29,'Recurring Schedule'!$N$29)=0,IF('Recurring Schedule'!$O$29&gt;0,AND(DAY($A315)=MIN(DAY('Recurring Schedule'!$F$29),DAY(EOMONTH($A315,0))),MOD((YEAR($A315)-YEAR('Recurring Schedule'!$F$29))*12+MONTH($A315)-MONTH('Recurring Schedule'!$F$29),'Recurring Schedule'!$O$29)=0),IF('Recurring Schedule'!$E$29="Weekdays",WEEKDAY($A315,2)&lt;=5,$A315='Recurring Schedule'!$F$29))),24,""))))</f>
        <v/>
      </c>
      <c r="Z315">
        <f>IF('Recurring Schedule'!$C$30="","",IF('Recurring Schedule'!$F$30="","",IF(OR($A315&lt;'Recurring Schedule'!$F$30,$A315&gt;'Recurring Schedule'!$P$30),"",IF(IF('Recurring Schedule'!$N$30&gt;0,MOD($A315-'Recurring Schedule'!$F$30,'Recurring Schedule'!$N$30)=0,IF('Recurring Schedule'!$O$30&gt;0,AND(DAY($A315)=MIN(DAY('Recurring Schedule'!$F$30),DAY(EOMONTH($A315,0))),MOD((YEAR($A315)-YEAR('Recurring Schedule'!$F$30))*12+MONTH($A315)-MONTH('Recurring Schedule'!$F$30),'Recurring Schedule'!$O$30)=0),IF('Recurring Schedule'!$E$30="Weekdays",WEEKDAY($A315,2)&lt;=5,$A315='Recurring Schedule'!$F$30))),25,""))))</f>
        <v/>
      </c>
      <c r="AA315">
        <f>IF('Recurring Schedule'!$C$31="","",IF('Recurring Schedule'!$F$31="","",IF(OR($A315&lt;'Recurring Schedule'!$F$31,$A315&gt;'Recurring Schedule'!$P$31),"",IF(IF('Recurring Schedule'!$N$31&gt;0,MOD($A315-'Recurring Schedule'!$F$31,'Recurring Schedule'!$N$31)=0,IF('Recurring Schedule'!$O$31&gt;0,AND(DAY($A315)=MIN(DAY('Recurring Schedule'!$F$31),DAY(EOMONTH($A315,0))),MOD((YEAR($A315)-YEAR('Recurring Schedule'!$F$31))*12+MONTH($A315)-MONTH('Recurring Schedule'!$F$31),'Recurring Schedule'!$O$31)=0),IF('Recurring Schedule'!$E$31="Weekdays",WEEKDAY($A315,2)&lt;=5,$A315='Recurring Schedule'!$F$31))),26,""))))</f>
        <v/>
      </c>
      <c r="AB315">
        <f>IF('Recurring Schedule'!$C$32="","",IF('Recurring Schedule'!$F$32="","",IF(OR($A315&lt;'Recurring Schedule'!$F$32,$A315&gt;'Recurring Schedule'!$P$32),"",IF(IF('Recurring Schedule'!$N$32&gt;0,MOD($A315-'Recurring Schedule'!$F$32,'Recurring Schedule'!$N$32)=0,IF('Recurring Schedule'!$O$32&gt;0,AND(DAY($A315)=MIN(DAY('Recurring Schedule'!$F$32),DAY(EOMONTH($A315,0))),MOD((YEAR($A315)-YEAR('Recurring Schedule'!$F$32))*12+MONTH($A315)-MONTH('Recurring Schedule'!$F$32),'Recurring Schedule'!$O$32)=0),IF('Recurring Schedule'!$E$32="Weekdays",WEEKDAY($A315,2)&lt;=5,$A315='Recurring Schedule'!$F$32))),27,""))))</f>
        <v/>
      </c>
      <c r="AC315">
        <f>IF('Recurring Schedule'!$C$33="","",IF('Recurring Schedule'!$F$33="","",IF(OR($A315&lt;'Recurring Schedule'!$F$33,$A315&gt;'Recurring Schedule'!$P$33),"",IF(IF('Recurring Schedule'!$N$33&gt;0,MOD($A315-'Recurring Schedule'!$F$33,'Recurring Schedule'!$N$33)=0,IF('Recurring Schedule'!$O$33&gt;0,AND(DAY($A315)=MIN(DAY('Recurring Schedule'!$F$33),DAY(EOMONTH($A315,0))),MOD((YEAR($A315)-YEAR('Recurring Schedule'!$F$33))*12+MONTH($A315)-MONTH('Recurring Schedule'!$F$33),'Recurring Schedule'!$O$33)=0),IF('Recurring Schedule'!$E$33="Weekdays",WEEKDAY($A315,2)&lt;=5,$A315='Recurring Schedule'!$F$33))),28,""))))</f>
        <v/>
      </c>
      <c r="AD315">
        <f>IF('Recurring Schedule'!$C$34="","",IF('Recurring Schedule'!$F$34="","",IF(OR($A315&lt;'Recurring Schedule'!$F$34,$A315&gt;'Recurring Schedule'!$P$34),"",IF(IF('Recurring Schedule'!$N$34&gt;0,MOD($A315-'Recurring Schedule'!$F$34,'Recurring Schedule'!$N$34)=0,IF('Recurring Schedule'!$O$34&gt;0,AND(DAY($A315)=MIN(DAY('Recurring Schedule'!$F$34),DAY(EOMONTH($A315,0))),MOD((YEAR($A315)-YEAR('Recurring Schedule'!$F$34))*12+MONTH($A315)-MONTH('Recurring Schedule'!$F$34),'Recurring Schedule'!$O$34)=0),IF('Recurring Schedule'!$E$34="Weekdays",WEEKDAY($A315,2)&lt;=5,$A315='Recurring Schedule'!$F$34))),29,""))))</f>
        <v/>
      </c>
      <c r="AE315">
        <f>IF('Recurring Schedule'!$C$35="","",IF('Recurring Schedule'!$F$35="","",IF(OR($A315&lt;'Recurring Schedule'!$F$35,$A315&gt;'Recurring Schedule'!$P$35),"",IF(IF('Recurring Schedule'!$N$35&gt;0,MOD($A315-'Recurring Schedule'!$F$35,'Recurring Schedule'!$N$35)=0,IF('Recurring Schedule'!$O$35&gt;0,AND(DAY($A315)=MIN(DAY('Recurring Schedule'!$F$35),DAY(EOMONTH($A315,0))),MOD((YEAR($A315)-YEAR('Recurring Schedule'!$F$35))*12+MONTH($A315)-MONTH('Recurring Schedule'!$F$35),'Recurring Schedule'!$O$35)=0),IF('Recurring Schedule'!$E$35="Weekdays",WEEKDAY($A315,2)&lt;=5,$A315='Recurring Schedule'!$F$35))),30,""))))</f>
        <v/>
      </c>
      <c r="AF315">
        <f>IF('Recurring Schedule'!$C$36="","",IF('Recurring Schedule'!$F$36="","",IF(OR($A315&lt;'Recurring Schedule'!$F$36,$A315&gt;'Recurring Schedule'!$P$36),"",IF(IF('Recurring Schedule'!$N$36&gt;0,MOD($A315-'Recurring Schedule'!$F$36,'Recurring Schedule'!$N$36)=0,IF('Recurring Schedule'!$O$36&gt;0,AND(DAY($A315)=MIN(DAY('Recurring Schedule'!$F$36),DAY(EOMONTH($A315,0))),MOD((YEAR($A315)-YEAR('Recurring Schedule'!$F$36))*12+MONTH($A315)-MONTH('Recurring Schedule'!$F$36),'Recurring Schedule'!$O$36)=0),IF('Recurring Schedule'!$E$36="Weekdays",WEEKDAY($A315,2)&lt;=5,$A315='Recurring Schedule'!$F$36))),31,""))))</f>
        <v/>
      </c>
      <c r="AG315">
        <f>IF('Recurring Schedule'!$C$37="","",IF('Recurring Schedule'!$F$37="","",IF(OR($A315&lt;'Recurring Schedule'!$F$37,$A315&gt;'Recurring Schedule'!$P$37),"",IF(IF('Recurring Schedule'!$N$37&gt;0,MOD($A315-'Recurring Schedule'!$F$37,'Recurring Schedule'!$N$37)=0,IF('Recurring Schedule'!$O$37&gt;0,AND(DAY($A315)=MIN(DAY('Recurring Schedule'!$F$37),DAY(EOMONTH($A315,0))),MOD((YEAR($A315)-YEAR('Recurring Schedule'!$F$37))*12+MONTH($A315)-MONTH('Recurring Schedule'!$F$37),'Recurring Schedule'!$O$37)=0),IF('Recurring Schedule'!$E$37="Weekdays",WEEKDAY($A315,2)&lt;=5,$A315='Recurring Schedule'!$F$37))),32,""))))</f>
        <v/>
      </c>
      <c r="AH315">
        <f>IF('Recurring Schedule'!$C$38="","",IF('Recurring Schedule'!$F$38="","",IF(OR($A315&lt;'Recurring Schedule'!$F$38,$A315&gt;'Recurring Schedule'!$P$38),"",IF(IF('Recurring Schedule'!$N$38&gt;0,MOD($A315-'Recurring Schedule'!$F$38,'Recurring Schedule'!$N$38)=0,IF('Recurring Schedule'!$O$38&gt;0,AND(DAY($A315)=MIN(DAY('Recurring Schedule'!$F$38),DAY(EOMONTH($A315,0))),MOD((YEAR($A315)-YEAR('Recurring Schedule'!$F$38))*12+MONTH($A315)-MONTH('Recurring Schedule'!$F$38),'Recurring Schedule'!$O$38)=0),IF('Recurring Schedule'!$E$38="Weekdays",WEEKDAY($A315,2)&lt;=5,$A315='Recurring Schedule'!$F$38))),33,""))))</f>
        <v/>
      </c>
      <c r="AI315">
        <f>IF('Recurring Schedule'!$C$39="","",IF('Recurring Schedule'!$F$39="","",IF(OR($A315&lt;'Recurring Schedule'!$F$39,$A315&gt;'Recurring Schedule'!$P$39),"",IF(IF('Recurring Schedule'!$N$39&gt;0,MOD($A315-'Recurring Schedule'!$F$39,'Recurring Schedule'!$N$39)=0,IF('Recurring Schedule'!$O$39&gt;0,AND(DAY($A315)=MIN(DAY('Recurring Schedule'!$F$39),DAY(EOMONTH($A315,0))),MOD((YEAR($A315)-YEAR('Recurring Schedule'!$F$39))*12+MONTH($A315)-MONTH('Recurring Schedule'!$F$39),'Recurring Schedule'!$O$39)=0),IF('Recurring Schedule'!$E$39="Weekdays",WEEKDAY($A315,2)&lt;=5,$A315='Recurring Schedule'!$F$39))),34,""))))</f>
        <v/>
      </c>
      <c r="AJ315">
        <f>IF('Recurring Schedule'!$C$40="","",IF('Recurring Schedule'!$F$40="","",IF(OR($A315&lt;'Recurring Schedule'!$F$40,$A315&gt;'Recurring Schedule'!$P$40),"",IF(IF('Recurring Schedule'!$N$40&gt;0,MOD($A315-'Recurring Schedule'!$F$40,'Recurring Schedule'!$N$40)=0,IF('Recurring Schedule'!$O$40&gt;0,AND(DAY($A315)=MIN(DAY('Recurring Schedule'!$F$40),DAY(EOMONTH($A315,0))),MOD((YEAR($A315)-YEAR('Recurring Schedule'!$F$40))*12+MONTH($A315)-MONTH('Recurring Schedule'!$F$40),'Recurring Schedule'!$O$40)=0),IF('Recurring Schedule'!$E$40="Weekdays",WEEKDAY($A315,2)&lt;=5,$A315='Recurring Schedule'!$F$40))),35,""))))</f>
        <v/>
      </c>
      <c r="AK315">
        <f>IF('Recurring Schedule'!$C$41="","",IF('Recurring Schedule'!$F$41="","",IF(OR($A315&lt;'Recurring Schedule'!$F$41,$A315&gt;'Recurring Schedule'!$P$41),"",IF(IF('Recurring Schedule'!$N$41&gt;0,MOD($A315-'Recurring Schedule'!$F$41,'Recurring Schedule'!$N$41)=0,IF('Recurring Schedule'!$O$41&gt;0,AND(DAY($A315)=MIN(DAY('Recurring Schedule'!$F$41),DAY(EOMONTH($A315,0))),MOD((YEAR($A315)-YEAR('Recurring Schedule'!$F$41))*12+MONTH($A315)-MONTH('Recurring Schedule'!$F$41),'Recurring Schedule'!$O$41)=0),IF('Recurring Schedule'!$E$41="Weekdays",WEEKDAY($A315,2)&lt;=5,$A315='Recurring Schedule'!$F$41))),36,""))))</f>
        <v/>
      </c>
      <c r="AL315">
        <f>IF('Recurring Schedule'!$C$42="","",IF('Recurring Schedule'!$F$42="","",IF(OR($A315&lt;'Recurring Schedule'!$F$42,$A315&gt;'Recurring Schedule'!$P$42),"",IF(IF('Recurring Schedule'!$N$42&gt;0,MOD($A315-'Recurring Schedule'!$F$42,'Recurring Schedule'!$N$42)=0,IF('Recurring Schedule'!$O$42&gt;0,AND(DAY($A315)=MIN(DAY('Recurring Schedule'!$F$42),DAY(EOMONTH($A315,0))),MOD((YEAR($A315)-YEAR('Recurring Schedule'!$F$42))*12+MONTH($A315)-MONTH('Recurring Schedule'!$F$42),'Recurring Schedule'!$O$42)=0),IF('Recurring Schedule'!$E$42="Weekdays",WEEKDAY($A315,2)&lt;=5,$A315='Recurring Schedule'!$F$42))),37,""))))</f>
        <v/>
      </c>
      <c r="AM315">
        <f>IF('Recurring Schedule'!$C$43="","",IF('Recurring Schedule'!$F$43="","",IF(OR($A315&lt;'Recurring Schedule'!$F$43,$A315&gt;'Recurring Schedule'!$P$43),"",IF(IF('Recurring Schedule'!$N$43&gt;0,MOD($A315-'Recurring Schedule'!$F$43,'Recurring Schedule'!$N$43)=0,IF('Recurring Schedule'!$O$43&gt;0,AND(DAY($A315)=MIN(DAY('Recurring Schedule'!$F$43),DAY(EOMONTH($A315,0))),MOD((YEAR($A315)-YEAR('Recurring Schedule'!$F$43))*12+MONTH($A315)-MONTH('Recurring Schedule'!$F$43),'Recurring Schedule'!$O$43)=0),IF('Recurring Schedule'!$E$43="Weekdays",WEEKDAY($A315,2)&lt;=5,$A315='Recurring Schedule'!$F$43))),38,""))))</f>
        <v/>
      </c>
      <c r="AN315">
        <f>IF('Recurring Schedule'!$C$44="","",IF('Recurring Schedule'!$F$44="","",IF(OR($A315&lt;'Recurring Schedule'!$F$44,$A315&gt;'Recurring Schedule'!$P$44),"",IF(IF('Recurring Schedule'!$N$44&gt;0,MOD($A315-'Recurring Schedule'!$F$44,'Recurring Schedule'!$N$44)=0,IF('Recurring Schedule'!$O$44&gt;0,AND(DAY($A315)=MIN(DAY('Recurring Schedule'!$F$44),DAY(EOMONTH($A315,0))),MOD((YEAR($A315)-YEAR('Recurring Schedule'!$F$44))*12+MONTH($A315)-MONTH('Recurring Schedule'!$F$44),'Recurring Schedule'!$O$44)=0),IF('Recurring Schedule'!$E$44="Weekdays",WEEKDAY($A315,2)&lt;=5,$A315='Recurring Schedule'!$F$44))),39,""))))</f>
        <v/>
      </c>
      <c r="AO315">
        <f>IF('Recurring Schedule'!$C$45="","",IF('Recurring Schedule'!$F$45="","",IF(OR($A315&lt;'Recurring Schedule'!$F$45,$A315&gt;'Recurring Schedule'!$P$45),"",IF(IF('Recurring Schedule'!$N$45&gt;0,MOD($A315-'Recurring Schedule'!$F$45,'Recurring Schedule'!$N$45)=0,IF('Recurring Schedule'!$O$45&gt;0,AND(DAY($A315)=MIN(DAY('Recurring Schedule'!$F$45),DAY(EOMONTH($A315,0))),MOD((YEAR($A315)-YEAR('Recurring Schedule'!$F$45))*12+MONTH($A315)-MONTH('Recurring Schedule'!$F$45),'Recurring Schedule'!$O$45)=0),IF('Recurring Schedule'!$E$45="Weekdays",WEEKDAY($A315,2)&lt;=5,$A315='Recurring Schedule'!$F$45))),40,""))))</f>
        <v/>
      </c>
      <c r="AP315">
        <f>COUNT(B315:AO315)</f>
        <v/>
      </c>
      <c r="AQ315">
        <f>AQ314+AP314</f>
        <v/>
      </c>
      <c r="AS315" t="inlineStr">
        <is>
          <t>R</t>
        </is>
      </c>
      <c r="AT315" t="n">
        <v>319</v>
      </c>
      <c r="AU315">
        <f>'Recurring Log'!C319&amp;""</f>
        <v/>
      </c>
      <c r="AV315">
        <f>'Recurring Log'!D319&amp;""</f>
        <v/>
      </c>
      <c r="AW315">
        <f>IF('Recurring Log'!E319="","",'Recurring Log'!E319)</f>
        <v/>
      </c>
      <c r="AX315">
        <f>IF('Recurring Log'!G319="","",'Recurring Log'!G319)</f>
        <v/>
      </c>
      <c r="AY315">
        <f>IF('Recurring Log'!H319="","",'Recurring Log'!H319)</f>
        <v/>
      </c>
      <c r="AZ315">
        <f>IF(AU315="","",IF('Recurring Log'!J319="","Not Started",'Recurring Log'!J319))</f>
        <v/>
      </c>
      <c r="BA315">
        <f>'Recurring Log'!L319&amp;""</f>
        <v/>
      </c>
      <c r="BB315">
        <f>'Recurring Log'!M319&amp;""</f>
        <v/>
      </c>
      <c r="BC315">
        <f>'Recurring Log'!N319&amp;""</f>
        <v/>
      </c>
      <c r="BD315">
        <f>'Recurring Log'!O319&amp;""</f>
        <v/>
      </c>
      <c r="BE315">
        <f>IF('Recurring Log'!K319="","",'Recurring Log'!K319)</f>
        <v/>
      </c>
      <c r="BF315">
        <f>IFERROR(MATCH(BA315,Setup!$L$6:$L$9,0),5)</f>
        <v/>
      </c>
      <c r="BG315">
        <f>IF(OR(AZ315="Done",AZ315="Cancelled"),1,0)</f>
        <v/>
      </c>
      <c r="BH315">
        <f>IF(AND(AU315&lt;&gt;"",ISNUMBER(AW315)),1,0)</f>
        <v/>
      </c>
      <c r="BI315">
        <f>IF(BH315=0,0,IF(AND(AW315&gt;='Tasks Filter'!$F$3,AW315&lt;='Tasks Filter'!$F$4,OR('Tasks Filter'!$I$3="",ISNUMBER(SEARCH('Tasks Filter'!$I$3,AU315))),OR('Tasks Filter'!$I$4="",BF315=IFERROR(MATCH('Tasks Filter'!$I$4,Setup!$L$6:$L$9,0),0)),OR('Tasks Filter'!$I$5="Both",AND('Tasks Filter'!$I$5="Yes",BB315="✓"),AND('Tasks Filter'!$I$5="No",BB315&lt;&gt;"✓")),OR('Tasks Filter'!$L$3="",AV315='Tasks Filter'!$L$3),OR('Tasks Filter'!$L$4="",AZ315='Tasks Filter'!$L$4),OR('Tasks Filter'!$L$5="",BC315='Tasks Filter'!$L$5),OR('Tasks Filter'!$O$3="",BD315='Tasks Filter'!$O$3),OR('Tasks Filter'!$O$4="Yes",BG315=0)),1,0))</f>
        <v/>
      </c>
      <c r="BJ315">
        <f>IF(BH315=0,"",IF('Tasks Filter'!$F$6="Descending",-1,1)*CHOOSE(MATCH('Tasks Filter'!$F$5,Lists!$G$2:$G$6,0),AW315,BF315,IFERROR(MATCH(AV315,Setup!$F$6:$F$15,0),99),IFERROR(MATCH(BC315,Setup!$H$6:$H$15,0),99),IFERROR(MATCH(AZ315,Setup!$J$6:$J$11,0),99))*1E+9+(AW315-40000)*10000+314)</f>
        <v/>
      </c>
      <c r="BK315">
        <f>IF(BI315=1,BJ315,"")</f>
        <v/>
      </c>
      <c r="BL315">
        <f>IF(AND(BH315=1,BG315=0,N(AW315)&lt;Setup!$D$7),(AW315-40000)*10000+314,"")</f>
        <v/>
      </c>
      <c r="BM315">
        <f>IF(AND(BH315=1,AZ315&lt;&gt;"Cancelled",N(AW315)&gt;=Dashboard!$AB$3,N(AW315)&lt;=Dashboard!$AB$3+6),(AW315-40000)*100000+BF315*10000+314,"")</f>
        <v/>
      </c>
      <c r="BN315">
        <f>IF(AND(BH315=1,AZ315&lt;&gt;"Cancelled"),BF315*10000+314,"")</f>
        <v/>
      </c>
    </row>
    <row r="316">
      <c r="A316">
        <f>Setup!$D$5+314</f>
        <v/>
      </c>
      <c r="B316">
        <f>IF('Recurring Schedule'!$C$6="","",IF('Recurring Schedule'!$F$6="","",IF(OR($A316&lt;'Recurring Schedule'!$F$6,$A316&gt;'Recurring Schedule'!$P$6),"",IF(IF('Recurring Schedule'!$N$6&gt;0,MOD($A316-'Recurring Schedule'!$F$6,'Recurring Schedule'!$N$6)=0,IF('Recurring Schedule'!$O$6&gt;0,AND(DAY($A316)=MIN(DAY('Recurring Schedule'!$F$6),DAY(EOMONTH($A316,0))),MOD((YEAR($A316)-YEAR('Recurring Schedule'!$F$6))*12+MONTH($A316)-MONTH('Recurring Schedule'!$F$6),'Recurring Schedule'!$O$6)=0),IF('Recurring Schedule'!$E$6="Weekdays",WEEKDAY($A316,2)&lt;=5,$A316='Recurring Schedule'!$F$6))),1,""))))</f>
        <v/>
      </c>
      <c r="C316">
        <f>IF('Recurring Schedule'!$C$7="","",IF('Recurring Schedule'!$F$7="","",IF(OR($A316&lt;'Recurring Schedule'!$F$7,$A316&gt;'Recurring Schedule'!$P$7),"",IF(IF('Recurring Schedule'!$N$7&gt;0,MOD($A316-'Recurring Schedule'!$F$7,'Recurring Schedule'!$N$7)=0,IF('Recurring Schedule'!$O$7&gt;0,AND(DAY($A316)=MIN(DAY('Recurring Schedule'!$F$7),DAY(EOMONTH($A316,0))),MOD((YEAR($A316)-YEAR('Recurring Schedule'!$F$7))*12+MONTH($A316)-MONTH('Recurring Schedule'!$F$7),'Recurring Schedule'!$O$7)=0),IF('Recurring Schedule'!$E$7="Weekdays",WEEKDAY($A316,2)&lt;=5,$A316='Recurring Schedule'!$F$7))),2,""))))</f>
        <v/>
      </c>
      <c r="D316">
        <f>IF('Recurring Schedule'!$C$8="","",IF('Recurring Schedule'!$F$8="","",IF(OR($A316&lt;'Recurring Schedule'!$F$8,$A316&gt;'Recurring Schedule'!$P$8),"",IF(IF('Recurring Schedule'!$N$8&gt;0,MOD($A316-'Recurring Schedule'!$F$8,'Recurring Schedule'!$N$8)=0,IF('Recurring Schedule'!$O$8&gt;0,AND(DAY($A316)=MIN(DAY('Recurring Schedule'!$F$8),DAY(EOMONTH($A316,0))),MOD((YEAR($A316)-YEAR('Recurring Schedule'!$F$8))*12+MONTH($A316)-MONTH('Recurring Schedule'!$F$8),'Recurring Schedule'!$O$8)=0),IF('Recurring Schedule'!$E$8="Weekdays",WEEKDAY($A316,2)&lt;=5,$A316='Recurring Schedule'!$F$8))),3,""))))</f>
        <v/>
      </c>
      <c r="E316">
        <f>IF('Recurring Schedule'!$C$9="","",IF('Recurring Schedule'!$F$9="","",IF(OR($A316&lt;'Recurring Schedule'!$F$9,$A316&gt;'Recurring Schedule'!$P$9),"",IF(IF('Recurring Schedule'!$N$9&gt;0,MOD($A316-'Recurring Schedule'!$F$9,'Recurring Schedule'!$N$9)=0,IF('Recurring Schedule'!$O$9&gt;0,AND(DAY($A316)=MIN(DAY('Recurring Schedule'!$F$9),DAY(EOMONTH($A316,0))),MOD((YEAR($A316)-YEAR('Recurring Schedule'!$F$9))*12+MONTH($A316)-MONTH('Recurring Schedule'!$F$9),'Recurring Schedule'!$O$9)=0),IF('Recurring Schedule'!$E$9="Weekdays",WEEKDAY($A316,2)&lt;=5,$A316='Recurring Schedule'!$F$9))),4,""))))</f>
        <v/>
      </c>
      <c r="F316">
        <f>IF('Recurring Schedule'!$C$10="","",IF('Recurring Schedule'!$F$10="","",IF(OR($A316&lt;'Recurring Schedule'!$F$10,$A316&gt;'Recurring Schedule'!$P$10),"",IF(IF('Recurring Schedule'!$N$10&gt;0,MOD($A316-'Recurring Schedule'!$F$10,'Recurring Schedule'!$N$10)=0,IF('Recurring Schedule'!$O$10&gt;0,AND(DAY($A316)=MIN(DAY('Recurring Schedule'!$F$10),DAY(EOMONTH($A316,0))),MOD((YEAR($A316)-YEAR('Recurring Schedule'!$F$10))*12+MONTH($A316)-MONTH('Recurring Schedule'!$F$10),'Recurring Schedule'!$O$10)=0),IF('Recurring Schedule'!$E$10="Weekdays",WEEKDAY($A316,2)&lt;=5,$A316='Recurring Schedule'!$F$10))),5,""))))</f>
        <v/>
      </c>
      <c r="G316">
        <f>IF('Recurring Schedule'!$C$11="","",IF('Recurring Schedule'!$F$11="","",IF(OR($A316&lt;'Recurring Schedule'!$F$11,$A316&gt;'Recurring Schedule'!$P$11),"",IF(IF('Recurring Schedule'!$N$11&gt;0,MOD($A316-'Recurring Schedule'!$F$11,'Recurring Schedule'!$N$11)=0,IF('Recurring Schedule'!$O$11&gt;0,AND(DAY($A316)=MIN(DAY('Recurring Schedule'!$F$11),DAY(EOMONTH($A316,0))),MOD((YEAR($A316)-YEAR('Recurring Schedule'!$F$11))*12+MONTH($A316)-MONTH('Recurring Schedule'!$F$11),'Recurring Schedule'!$O$11)=0),IF('Recurring Schedule'!$E$11="Weekdays",WEEKDAY($A316,2)&lt;=5,$A316='Recurring Schedule'!$F$11))),6,""))))</f>
        <v/>
      </c>
      <c r="H316">
        <f>IF('Recurring Schedule'!$C$12="","",IF('Recurring Schedule'!$F$12="","",IF(OR($A316&lt;'Recurring Schedule'!$F$12,$A316&gt;'Recurring Schedule'!$P$12),"",IF(IF('Recurring Schedule'!$N$12&gt;0,MOD($A316-'Recurring Schedule'!$F$12,'Recurring Schedule'!$N$12)=0,IF('Recurring Schedule'!$O$12&gt;0,AND(DAY($A316)=MIN(DAY('Recurring Schedule'!$F$12),DAY(EOMONTH($A316,0))),MOD((YEAR($A316)-YEAR('Recurring Schedule'!$F$12))*12+MONTH($A316)-MONTH('Recurring Schedule'!$F$12),'Recurring Schedule'!$O$12)=0),IF('Recurring Schedule'!$E$12="Weekdays",WEEKDAY($A316,2)&lt;=5,$A316='Recurring Schedule'!$F$12))),7,""))))</f>
        <v/>
      </c>
      <c r="I316">
        <f>IF('Recurring Schedule'!$C$13="","",IF('Recurring Schedule'!$F$13="","",IF(OR($A316&lt;'Recurring Schedule'!$F$13,$A316&gt;'Recurring Schedule'!$P$13),"",IF(IF('Recurring Schedule'!$N$13&gt;0,MOD($A316-'Recurring Schedule'!$F$13,'Recurring Schedule'!$N$13)=0,IF('Recurring Schedule'!$O$13&gt;0,AND(DAY($A316)=MIN(DAY('Recurring Schedule'!$F$13),DAY(EOMONTH($A316,0))),MOD((YEAR($A316)-YEAR('Recurring Schedule'!$F$13))*12+MONTH($A316)-MONTH('Recurring Schedule'!$F$13),'Recurring Schedule'!$O$13)=0),IF('Recurring Schedule'!$E$13="Weekdays",WEEKDAY($A316,2)&lt;=5,$A316='Recurring Schedule'!$F$13))),8,""))))</f>
        <v/>
      </c>
      <c r="J316">
        <f>IF('Recurring Schedule'!$C$14="","",IF('Recurring Schedule'!$F$14="","",IF(OR($A316&lt;'Recurring Schedule'!$F$14,$A316&gt;'Recurring Schedule'!$P$14),"",IF(IF('Recurring Schedule'!$N$14&gt;0,MOD($A316-'Recurring Schedule'!$F$14,'Recurring Schedule'!$N$14)=0,IF('Recurring Schedule'!$O$14&gt;0,AND(DAY($A316)=MIN(DAY('Recurring Schedule'!$F$14),DAY(EOMONTH($A316,0))),MOD((YEAR($A316)-YEAR('Recurring Schedule'!$F$14))*12+MONTH($A316)-MONTH('Recurring Schedule'!$F$14),'Recurring Schedule'!$O$14)=0),IF('Recurring Schedule'!$E$14="Weekdays",WEEKDAY($A316,2)&lt;=5,$A316='Recurring Schedule'!$F$14))),9,""))))</f>
        <v/>
      </c>
      <c r="K316">
        <f>IF('Recurring Schedule'!$C$15="","",IF('Recurring Schedule'!$F$15="","",IF(OR($A316&lt;'Recurring Schedule'!$F$15,$A316&gt;'Recurring Schedule'!$P$15),"",IF(IF('Recurring Schedule'!$N$15&gt;0,MOD($A316-'Recurring Schedule'!$F$15,'Recurring Schedule'!$N$15)=0,IF('Recurring Schedule'!$O$15&gt;0,AND(DAY($A316)=MIN(DAY('Recurring Schedule'!$F$15),DAY(EOMONTH($A316,0))),MOD((YEAR($A316)-YEAR('Recurring Schedule'!$F$15))*12+MONTH($A316)-MONTH('Recurring Schedule'!$F$15),'Recurring Schedule'!$O$15)=0),IF('Recurring Schedule'!$E$15="Weekdays",WEEKDAY($A316,2)&lt;=5,$A316='Recurring Schedule'!$F$15))),10,""))))</f>
        <v/>
      </c>
      <c r="L316">
        <f>IF('Recurring Schedule'!$C$16="","",IF('Recurring Schedule'!$F$16="","",IF(OR($A316&lt;'Recurring Schedule'!$F$16,$A316&gt;'Recurring Schedule'!$P$16),"",IF(IF('Recurring Schedule'!$N$16&gt;0,MOD($A316-'Recurring Schedule'!$F$16,'Recurring Schedule'!$N$16)=0,IF('Recurring Schedule'!$O$16&gt;0,AND(DAY($A316)=MIN(DAY('Recurring Schedule'!$F$16),DAY(EOMONTH($A316,0))),MOD((YEAR($A316)-YEAR('Recurring Schedule'!$F$16))*12+MONTH($A316)-MONTH('Recurring Schedule'!$F$16),'Recurring Schedule'!$O$16)=0),IF('Recurring Schedule'!$E$16="Weekdays",WEEKDAY($A316,2)&lt;=5,$A316='Recurring Schedule'!$F$16))),11,""))))</f>
        <v/>
      </c>
      <c r="M316">
        <f>IF('Recurring Schedule'!$C$17="","",IF('Recurring Schedule'!$F$17="","",IF(OR($A316&lt;'Recurring Schedule'!$F$17,$A316&gt;'Recurring Schedule'!$P$17),"",IF(IF('Recurring Schedule'!$N$17&gt;0,MOD($A316-'Recurring Schedule'!$F$17,'Recurring Schedule'!$N$17)=0,IF('Recurring Schedule'!$O$17&gt;0,AND(DAY($A316)=MIN(DAY('Recurring Schedule'!$F$17),DAY(EOMONTH($A316,0))),MOD((YEAR($A316)-YEAR('Recurring Schedule'!$F$17))*12+MONTH($A316)-MONTH('Recurring Schedule'!$F$17),'Recurring Schedule'!$O$17)=0),IF('Recurring Schedule'!$E$17="Weekdays",WEEKDAY($A316,2)&lt;=5,$A316='Recurring Schedule'!$F$17))),12,""))))</f>
        <v/>
      </c>
      <c r="N316">
        <f>IF('Recurring Schedule'!$C$18="","",IF('Recurring Schedule'!$F$18="","",IF(OR($A316&lt;'Recurring Schedule'!$F$18,$A316&gt;'Recurring Schedule'!$P$18),"",IF(IF('Recurring Schedule'!$N$18&gt;0,MOD($A316-'Recurring Schedule'!$F$18,'Recurring Schedule'!$N$18)=0,IF('Recurring Schedule'!$O$18&gt;0,AND(DAY($A316)=MIN(DAY('Recurring Schedule'!$F$18),DAY(EOMONTH($A316,0))),MOD((YEAR($A316)-YEAR('Recurring Schedule'!$F$18))*12+MONTH($A316)-MONTH('Recurring Schedule'!$F$18),'Recurring Schedule'!$O$18)=0),IF('Recurring Schedule'!$E$18="Weekdays",WEEKDAY($A316,2)&lt;=5,$A316='Recurring Schedule'!$F$18))),13,""))))</f>
        <v/>
      </c>
      <c r="O316">
        <f>IF('Recurring Schedule'!$C$19="","",IF('Recurring Schedule'!$F$19="","",IF(OR($A316&lt;'Recurring Schedule'!$F$19,$A316&gt;'Recurring Schedule'!$P$19),"",IF(IF('Recurring Schedule'!$N$19&gt;0,MOD($A316-'Recurring Schedule'!$F$19,'Recurring Schedule'!$N$19)=0,IF('Recurring Schedule'!$O$19&gt;0,AND(DAY($A316)=MIN(DAY('Recurring Schedule'!$F$19),DAY(EOMONTH($A316,0))),MOD((YEAR($A316)-YEAR('Recurring Schedule'!$F$19))*12+MONTH($A316)-MONTH('Recurring Schedule'!$F$19),'Recurring Schedule'!$O$19)=0),IF('Recurring Schedule'!$E$19="Weekdays",WEEKDAY($A316,2)&lt;=5,$A316='Recurring Schedule'!$F$19))),14,""))))</f>
        <v/>
      </c>
      <c r="P316">
        <f>IF('Recurring Schedule'!$C$20="","",IF('Recurring Schedule'!$F$20="","",IF(OR($A316&lt;'Recurring Schedule'!$F$20,$A316&gt;'Recurring Schedule'!$P$20),"",IF(IF('Recurring Schedule'!$N$20&gt;0,MOD($A316-'Recurring Schedule'!$F$20,'Recurring Schedule'!$N$20)=0,IF('Recurring Schedule'!$O$20&gt;0,AND(DAY($A316)=MIN(DAY('Recurring Schedule'!$F$20),DAY(EOMONTH($A316,0))),MOD((YEAR($A316)-YEAR('Recurring Schedule'!$F$20))*12+MONTH($A316)-MONTH('Recurring Schedule'!$F$20),'Recurring Schedule'!$O$20)=0),IF('Recurring Schedule'!$E$20="Weekdays",WEEKDAY($A316,2)&lt;=5,$A316='Recurring Schedule'!$F$20))),15,""))))</f>
        <v/>
      </c>
      <c r="Q316">
        <f>IF('Recurring Schedule'!$C$21="","",IF('Recurring Schedule'!$F$21="","",IF(OR($A316&lt;'Recurring Schedule'!$F$21,$A316&gt;'Recurring Schedule'!$P$21),"",IF(IF('Recurring Schedule'!$N$21&gt;0,MOD($A316-'Recurring Schedule'!$F$21,'Recurring Schedule'!$N$21)=0,IF('Recurring Schedule'!$O$21&gt;0,AND(DAY($A316)=MIN(DAY('Recurring Schedule'!$F$21),DAY(EOMONTH($A316,0))),MOD((YEAR($A316)-YEAR('Recurring Schedule'!$F$21))*12+MONTH($A316)-MONTH('Recurring Schedule'!$F$21),'Recurring Schedule'!$O$21)=0),IF('Recurring Schedule'!$E$21="Weekdays",WEEKDAY($A316,2)&lt;=5,$A316='Recurring Schedule'!$F$21))),16,""))))</f>
        <v/>
      </c>
      <c r="R316">
        <f>IF('Recurring Schedule'!$C$22="","",IF('Recurring Schedule'!$F$22="","",IF(OR($A316&lt;'Recurring Schedule'!$F$22,$A316&gt;'Recurring Schedule'!$P$22),"",IF(IF('Recurring Schedule'!$N$22&gt;0,MOD($A316-'Recurring Schedule'!$F$22,'Recurring Schedule'!$N$22)=0,IF('Recurring Schedule'!$O$22&gt;0,AND(DAY($A316)=MIN(DAY('Recurring Schedule'!$F$22),DAY(EOMONTH($A316,0))),MOD((YEAR($A316)-YEAR('Recurring Schedule'!$F$22))*12+MONTH($A316)-MONTH('Recurring Schedule'!$F$22),'Recurring Schedule'!$O$22)=0),IF('Recurring Schedule'!$E$22="Weekdays",WEEKDAY($A316,2)&lt;=5,$A316='Recurring Schedule'!$F$22))),17,""))))</f>
        <v/>
      </c>
      <c r="S316">
        <f>IF('Recurring Schedule'!$C$23="","",IF('Recurring Schedule'!$F$23="","",IF(OR($A316&lt;'Recurring Schedule'!$F$23,$A316&gt;'Recurring Schedule'!$P$23),"",IF(IF('Recurring Schedule'!$N$23&gt;0,MOD($A316-'Recurring Schedule'!$F$23,'Recurring Schedule'!$N$23)=0,IF('Recurring Schedule'!$O$23&gt;0,AND(DAY($A316)=MIN(DAY('Recurring Schedule'!$F$23),DAY(EOMONTH($A316,0))),MOD((YEAR($A316)-YEAR('Recurring Schedule'!$F$23))*12+MONTH($A316)-MONTH('Recurring Schedule'!$F$23),'Recurring Schedule'!$O$23)=0),IF('Recurring Schedule'!$E$23="Weekdays",WEEKDAY($A316,2)&lt;=5,$A316='Recurring Schedule'!$F$23))),18,""))))</f>
        <v/>
      </c>
      <c r="T316">
        <f>IF('Recurring Schedule'!$C$24="","",IF('Recurring Schedule'!$F$24="","",IF(OR($A316&lt;'Recurring Schedule'!$F$24,$A316&gt;'Recurring Schedule'!$P$24),"",IF(IF('Recurring Schedule'!$N$24&gt;0,MOD($A316-'Recurring Schedule'!$F$24,'Recurring Schedule'!$N$24)=0,IF('Recurring Schedule'!$O$24&gt;0,AND(DAY($A316)=MIN(DAY('Recurring Schedule'!$F$24),DAY(EOMONTH($A316,0))),MOD((YEAR($A316)-YEAR('Recurring Schedule'!$F$24))*12+MONTH($A316)-MONTH('Recurring Schedule'!$F$24),'Recurring Schedule'!$O$24)=0),IF('Recurring Schedule'!$E$24="Weekdays",WEEKDAY($A316,2)&lt;=5,$A316='Recurring Schedule'!$F$24))),19,""))))</f>
        <v/>
      </c>
      <c r="U316">
        <f>IF('Recurring Schedule'!$C$25="","",IF('Recurring Schedule'!$F$25="","",IF(OR($A316&lt;'Recurring Schedule'!$F$25,$A316&gt;'Recurring Schedule'!$P$25),"",IF(IF('Recurring Schedule'!$N$25&gt;0,MOD($A316-'Recurring Schedule'!$F$25,'Recurring Schedule'!$N$25)=0,IF('Recurring Schedule'!$O$25&gt;0,AND(DAY($A316)=MIN(DAY('Recurring Schedule'!$F$25),DAY(EOMONTH($A316,0))),MOD((YEAR($A316)-YEAR('Recurring Schedule'!$F$25))*12+MONTH($A316)-MONTH('Recurring Schedule'!$F$25),'Recurring Schedule'!$O$25)=0),IF('Recurring Schedule'!$E$25="Weekdays",WEEKDAY($A316,2)&lt;=5,$A316='Recurring Schedule'!$F$25))),20,""))))</f>
        <v/>
      </c>
      <c r="V316">
        <f>IF('Recurring Schedule'!$C$26="","",IF('Recurring Schedule'!$F$26="","",IF(OR($A316&lt;'Recurring Schedule'!$F$26,$A316&gt;'Recurring Schedule'!$P$26),"",IF(IF('Recurring Schedule'!$N$26&gt;0,MOD($A316-'Recurring Schedule'!$F$26,'Recurring Schedule'!$N$26)=0,IF('Recurring Schedule'!$O$26&gt;0,AND(DAY($A316)=MIN(DAY('Recurring Schedule'!$F$26),DAY(EOMONTH($A316,0))),MOD((YEAR($A316)-YEAR('Recurring Schedule'!$F$26))*12+MONTH($A316)-MONTH('Recurring Schedule'!$F$26),'Recurring Schedule'!$O$26)=0),IF('Recurring Schedule'!$E$26="Weekdays",WEEKDAY($A316,2)&lt;=5,$A316='Recurring Schedule'!$F$26))),21,""))))</f>
        <v/>
      </c>
      <c r="W316">
        <f>IF('Recurring Schedule'!$C$27="","",IF('Recurring Schedule'!$F$27="","",IF(OR($A316&lt;'Recurring Schedule'!$F$27,$A316&gt;'Recurring Schedule'!$P$27),"",IF(IF('Recurring Schedule'!$N$27&gt;0,MOD($A316-'Recurring Schedule'!$F$27,'Recurring Schedule'!$N$27)=0,IF('Recurring Schedule'!$O$27&gt;0,AND(DAY($A316)=MIN(DAY('Recurring Schedule'!$F$27),DAY(EOMONTH($A316,0))),MOD((YEAR($A316)-YEAR('Recurring Schedule'!$F$27))*12+MONTH($A316)-MONTH('Recurring Schedule'!$F$27),'Recurring Schedule'!$O$27)=0),IF('Recurring Schedule'!$E$27="Weekdays",WEEKDAY($A316,2)&lt;=5,$A316='Recurring Schedule'!$F$27))),22,""))))</f>
        <v/>
      </c>
      <c r="X316">
        <f>IF('Recurring Schedule'!$C$28="","",IF('Recurring Schedule'!$F$28="","",IF(OR($A316&lt;'Recurring Schedule'!$F$28,$A316&gt;'Recurring Schedule'!$P$28),"",IF(IF('Recurring Schedule'!$N$28&gt;0,MOD($A316-'Recurring Schedule'!$F$28,'Recurring Schedule'!$N$28)=0,IF('Recurring Schedule'!$O$28&gt;0,AND(DAY($A316)=MIN(DAY('Recurring Schedule'!$F$28),DAY(EOMONTH($A316,0))),MOD((YEAR($A316)-YEAR('Recurring Schedule'!$F$28))*12+MONTH($A316)-MONTH('Recurring Schedule'!$F$28),'Recurring Schedule'!$O$28)=0),IF('Recurring Schedule'!$E$28="Weekdays",WEEKDAY($A316,2)&lt;=5,$A316='Recurring Schedule'!$F$28))),23,""))))</f>
        <v/>
      </c>
      <c r="Y316">
        <f>IF('Recurring Schedule'!$C$29="","",IF('Recurring Schedule'!$F$29="","",IF(OR($A316&lt;'Recurring Schedule'!$F$29,$A316&gt;'Recurring Schedule'!$P$29),"",IF(IF('Recurring Schedule'!$N$29&gt;0,MOD($A316-'Recurring Schedule'!$F$29,'Recurring Schedule'!$N$29)=0,IF('Recurring Schedule'!$O$29&gt;0,AND(DAY($A316)=MIN(DAY('Recurring Schedule'!$F$29),DAY(EOMONTH($A316,0))),MOD((YEAR($A316)-YEAR('Recurring Schedule'!$F$29))*12+MONTH($A316)-MONTH('Recurring Schedule'!$F$29),'Recurring Schedule'!$O$29)=0),IF('Recurring Schedule'!$E$29="Weekdays",WEEKDAY($A316,2)&lt;=5,$A316='Recurring Schedule'!$F$29))),24,""))))</f>
        <v/>
      </c>
      <c r="Z316">
        <f>IF('Recurring Schedule'!$C$30="","",IF('Recurring Schedule'!$F$30="","",IF(OR($A316&lt;'Recurring Schedule'!$F$30,$A316&gt;'Recurring Schedule'!$P$30),"",IF(IF('Recurring Schedule'!$N$30&gt;0,MOD($A316-'Recurring Schedule'!$F$30,'Recurring Schedule'!$N$30)=0,IF('Recurring Schedule'!$O$30&gt;0,AND(DAY($A316)=MIN(DAY('Recurring Schedule'!$F$30),DAY(EOMONTH($A316,0))),MOD((YEAR($A316)-YEAR('Recurring Schedule'!$F$30))*12+MONTH($A316)-MONTH('Recurring Schedule'!$F$30),'Recurring Schedule'!$O$30)=0),IF('Recurring Schedule'!$E$30="Weekdays",WEEKDAY($A316,2)&lt;=5,$A316='Recurring Schedule'!$F$30))),25,""))))</f>
        <v/>
      </c>
      <c r="AA316">
        <f>IF('Recurring Schedule'!$C$31="","",IF('Recurring Schedule'!$F$31="","",IF(OR($A316&lt;'Recurring Schedule'!$F$31,$A316&gt;'Recurring Schedule'!$P$31),"",IF(IF('Recurring Schedule'!$N$31&gt;0,MOD($A316-'Recurring Schedule'!$F$31,'Recurring Schedule'!$N$31)=0,IF('Recurring Schedule'!$O$31&gt;0,AND(DAY($A316)=MIN(DAY('Recurring Schedule'!$F$31),DAY(EOMONTH($A316,0))),MOD((YEAR($A316)-YEAR('Recurring Schedule'!$F$31))*12+MONTH($A316)-MONTH('Recurring Schedule'!$F$31),'Recurring Schedule'!$O$31)=0),IF('Recurring Schedule'!$E$31="Weekdays",WEEKDAY($A316,2)&lt;=5,$A316='Recurring Schedule'!$F$31))),26,""))))</f>
        <v/>
      </c>
      <c r="AB316">
        <f>IF('Recurring Schedule'!$C$32="","",IF('Recurring Schedule'!$F$32="","",IF(OR($A316&lt;'Recurring Schedule'!$F$32,$A316&gt;'Recurring Schedule'!$P$32),"",IF(IF('Recurring Schedule'!$N$32&gt;0,MOD($A316-'Recurring Schedule'!$F$32,'Recurring Schedule'!$N$32)=0,IF('Recurring Schedule'!$O$32&gt;0,AND(DAY($A316)=MIN(DAY('Recurring Schedule'!$F$32),DAY(EOMONTH($A316,0))),MOD((YEAR($A316)-YEAR('Recurring Schedule'!$F$32))*12+MONTH($A316)-MONTH('Recurring Schedule'!$F$32),'Recurring Schedule'!$O$32)=0),IF('Recurring Schedule'!$E$32="Weekdays",WEEKDAY($A316,2)&lt;=5,$A316='Recurring Schedule'!$F$32))),27,""))))</f>
        <v/>
      </c>
      <c r="AC316">
        <f>IF('Recurring Schedule'!$C$33="","",IF('Recurring Schedule'!$F$33="","",IF(OR($A316&lt;'Recurring Schedule'!$F$33,$A316&gt;'Recurring Schedule'!$P$33),"",IF(IF('Recurring Schedule'!$N$33&gt;0,MOD($A316-'Recurring Schedule'!$F$33,'Recurring Schedule'!$N$33)=0,IF('Recurring Schedule'!$O$33&gt;0,AND(DAY($A316)=MIN(DAY('Recurring Schedule'!$F$33),DAY(EOMONTH($A316,0))),MOD((YEAR($A316)-YEAR('Recurring Schedule'!$F$33))*12+MONTH($A316)-MONTH('Recurring Schedule'!$F$33),'Recurring Schedule'!$O$33)=0),IF('Recurring Schedule'!$E$33="Weekdays",WEEKDAY($A316,2)&lt;=5,$A316='Recurring Schedule'!$F$33))),28,""))))</f>
        <v/>
      </c>
      <c r="AD316">
        <f>IF('Recurring Schedule'!$C$34="","",IF('Recurring Schedule'!$F$34="","",IF(OR($A316&lt;'Recurring Schedule'!$F$34,$A316&gt;'Recurring Schedule'!$P$34),"",IF(IF('Recurring Schedule'!$N$34&gt;0,MOD($A316-'Recurring Schedule'!$F$34,'Recurring Schedule'!$N$34)=0,IF('Recurring Schedule'!$O$34&gt;0,AND(DAY($A316)=MIN(DAY('Recurring Schedule'!$F$34),DAY(EOMONTH($A316,0))),MOD((YEAR($A316)-YEAR('Recurring Schedule'!$F$34))*12+MONTH($A316)-MONTH('Recurring Schedule'!$F$34),'Recurring Schedule'!$O$34)=0),IF('Recurring Schedule'!$E$34="Weekdays",WEEKDAY($A316,2)&lt;=5,$A316='Recurring Schedule'!$F$34))),29,""))))</f>
        <v/>
      </c>
      <c r="AE316">
        <f>IF('Recurring Schedule'!$C$35="","",IF('Recurring Schedule'!$F$35="","",IF(OR($A316&lt;'Recurring Schedule'!$F$35,$A316&gt;'Recurring Schedule'!$P$35),"",IF(IF('Recurring Schedule'!$N$35&gt;0,MOD($A316-'Recurring Schedule'!$F$35,'Recurring Schedule'!$N$35)=0,IF('Recurring Schedule'!$O$35&gt;0,AND(DAY($A316)=MIN(DAY('Recurring Schedule'!$F$35),DAY(EOMONTH($A316,0))),MOD((YEAR($A316)-YEAR('Recurring Schedule'!$F$35))*12+MONTH($A316)-MONTH('Recurring Schedule'!$F$35),'Recurring Schedule'!$O$35)=0),IF('Recurring Schedule'!$E$35="Weekdays",WEEKDAY($A316,2)&lt;=5,$A316='Recurring Schedule'!$F$35))),30,""))))</f>
        <v/>
      </c>
      <c r="AF316">
        <f>IF('Recurring Schedule'!$C$36="","",IF('Recurring Schedule'!$F$36="","",IF(OR($A316&lt;'Recurring Schedule'!$F$36,$A316&gt;'Recurring Schedule'!$P$36),"",IF(IF('Recurring Schedule'!$N$36&gt;0,MOD($A316-'Recurring Schedule'!$F$36,'Recurring Schedule'!$N$36)=0,IF('Recurring Schedule'!$O$36&gt;0,AND(DAY($A316)=MIN(DAY('Recurring Schedule'!$F$36),DAY(EOMONTH($A316,0))),MOD((YEAR($A316)-YEAR('Recurring Schedule'!$F$36))*12+MONTH($A316)-MONTH('Recurring Schedule'!$F$36),'Recurring Schedule'!$O$36)=0),IF('Recurring Schedule'!$E$36="Weekdays",WEEKDAY($A316,2)&lt;=5,$A316='Recurring Schedule'!$F$36))),31,""))))</f>
        <v/>
      </c>
      <c r="AG316">
        <f>IF('Recurring Schedule'!$C$37="","",IF('Recurring Schedule'!$F$37="","",IF(OR($A316&lt;'Recurring Schedule'!$F$37,$A316&gt;'Recurring Schedule'!$P$37),"",IF(IF('Recurring Schedule'!$N$37&gt;0,MOD($A316-'Recurring Schedule'!$F$37,'Recurring Schedule'!$N$37)=0,IF('Recurring Schedule'!$O$37&gt;0,AND(DAY($A316)=MIN(DAY('Recurring Schedule'!$F$37),DAY(EOMONTH($A316,0))),MOD((YEAR($A316)-YEAR('Recurring Schedule'!$F$37))*12+MONTH($A316)-MONTH('Recurring Schedule'!$F$37),'Recurring Schedule'!$O$37)=0),IF('Recurring Schedule'!$E$37="Weekdays",WEEKDAY($A316,2)&lt;=5,$A316='Recurring Schedule'!$F$37))),32,""))))</f>
        <v/>
      </c>
      <c r="AH316">
        <f>IF('Recurring Schedule'!$C$38="","",IF('Recurring Schedule'!$F$38="","",IF(OR($A316&lt;'Recurring Schedule'!$F$38,$A316&gt;'Recurring Schedule'!$P$38),"",IF(IF('Recurring Schedule'!$N$38&gt;0,MOD($A316-'Recurring Schedule'!$F$38,'Recurring Schedule'!$N$38)=0,IF('Recurring Schedule'!$O$38&gt;0,AND(DAY($A316)=MIN(DAY('Recurring Schedule'!$F$38),DAY(EOMONTH($A316,0))),MOD((YEAR($A316)-YEAR('Recurring Schedule'!$F$38))*12+MONTH($A316)-MONTH('Recurring Schedule'!$F$38),'Recurring Schedule'!$O$38)=0),IF('Recurring Schedule'!$E$38="Weekdays",WEEKDAY($A316,2)&lt;=5,$A316='Recurring Schedule'!$F$38))),33,""))))</f>
        <v/>
      </c>
      <c r="AI316">
        <f>IF('Recurring Schedule'!$C$39="","",IF('Recurring Schedule'!$F$39="","",IF(OR($A316&lt;'Recurring Schedule'!$F$39,$A316&gt;'Recurring Schedule'!$P$39),"",IF(IF('Recurring Schedule'!$N$39&gt;0,MOD($A316-'Recurring Schedule'!$F$39,'Recurring Schedule'!$N$39)=0,IF('Recurring Schedule'!$O$39&gt;0,AND(DAY($A316)=MIN(DAY('Recurring Schedule'!$F$39),DAY(EOMONTH($A316,0))),MOD((YEAR($A316)-YEAR('Recurring Schedule'!$F$39))*12+MONTH($A316)-MONTH('Recurring Schedule'!$F$39),'Recurring Schedule'!$O$39)=0),IF('Recurring Schedule'!$E$39="Weekdays",WEEKDAY($A316,2)&lt;=5,$A316='Recurring Schedule'!$F$39))),34,""))))</f>
        <v/>
      </c>
      <c r="AJ316">
        <f>IF('Recurring Schedule'!$C$40="","",IF('Recurring Schedule'!$F$40="","",IF(OR($A316&lt;'Recurring Schedule'!$F$40,$A316&gt;'Recurring Schedule'!$P$40),"",IF(IF('Recurring Schedule'!$N$40&gt;0,MOD($A316-'Recurring Schedule'!$F$40,'Recurring Schedule'!$N$40)=0,IF('Recurring Schedule'!$O$40&gt;0,AND(DAY($A316)=MIN(DAY('Recurring Schedule'!$F$40),DAY(EOMONTH($A316,0))),MOD((YEAR($A316)-YEAR('Recurring Schedule'!$F$40))*12+MONTH($A316)-MONTH('Recurring Schedule'!$F$40),'Recurring Schedule'!$O$40)=0),IF('Recurring Schedule'!$E$40="Weekdays",WEEKDAY($A316,2)&lt;=5,$A316='Recurring Schedule'!$F$40))),35,""))))</f>
        <v/>
      </c>
      <c r="AK316">
        <f>IF('Recurring Schedule'!$C$41="","",IF('Recurring Schedule'!$F$41="","",IF(OR($A316&lt;'Recurring Schedule'!$F$41,$A316&gt;'Recurring Schedule'!$P$41),"",IF(IF('Recurring Schedule'!$N$41&gt;0,MOD($A316-'Recurring Schedule'!$F$41,'Recurring Schedule'!$N$41)=0,IF('Recurring Schedule'!$O$41&gt;0,AND(DAY($A316)=MIN(DAY('Recurring Schedule'!$F$41),DAY(EOMONTH($A316,0))),MOD((YEAR($A316)-YEAR('Recurring Schedule'!$F$41))*12+MONTH($A316)-MONTH('Recurring Schedule'!$F$41),'Recurring Schedule'!$O$41)=0),IF('Recurring Schedule'!$E$41="Weekdays",WEEKDAY($A316,2)&lt;=5,$A316='Recurring Schedule'!$F$41))),36,""))))</f>
        <v/>
      </c>
      <c r="AL316">
        <f>IF('Recurring Schedule'!$C$42="","",IF('Recurring Schedule'!$F$42="","",IF(OR($A316&lt;'Recurring Schedule'!$F$42,$A316&gt;'Recurring Schedule'!$P$42),"",IF(IF('Recurring Schedule'!$N$42&gt;0,MOD($A316-'Recurring Schedule'!$F$42,'Recurring Schedule'!$N$42)=0,IF('Recurring Schedule'!$O$42&gt;0,AND(DAY($A316)=MIN(DAY('Recurring Schedule'!$F$42),DAY(EOMONTH($A316,0))),MOD((YEAR($A316)-YEAR('Recurring Schedule'!$F$42))*12+MONTH($A316)-MONTH('Recurring Schedule'!$F$42),'Recurring Schedule'!$O$42)=0),IF('Recurring Schedule'!$E$42="Weekdays",WEEKDAY($A316,2)&lt;=5,$A316='Recurring Schedule'!$F$42))),37,""))))</f>
        <v/>
      </c>
      <c r="AM316">
        <f>IF('Recurring Schedule'!$C$43="","",IF('Recurring Schedule'!$F$43="","",IF(OR($A316&lt;'Recurring Schedule'!$F$43,$A316&gt;'Recurring Schedule'!$P$43),"",IF(IF('Recurring Schedule'!$N$43&gt;0,MOD($A316-'Recurring Schedule'!$F$43,'Recurring Schedule'!$N$43)=0,IF('Recurring Schedule'!$O$43&gt;0,AND(DAY($A316)=MIN(DAY('Recurring Schedule'!$F$43),DAY(EOMONTH($A316,0))),MOD((YEAR($A316)-YEAR('Recurring Schedule'!$F$43))*12+MONTH($A316)-MONTH('Recurring Schedule'!$F$43),'Recurring Schedule'!$O$43)=0),IF('Recurring Schedule'!$E$43="Weekdays",WEEKDAY($A316,2)&lt;=5,$A316='Recurring Schedule'!$F$43))),38,""))))</f>
        <v/>
      </c>
      <c r="AN316">
        <f>IF('Recurring Schedule'!$C$44="","",IF('Recurring Schedule'!$F$44="","",IF(OR($A316&lt;'Recurring Schedule'!$F$44,$A316&gt;'Recurring Schedule'!$P$44),"",IF(IF('Recurring Schedule'!$N$44&gt;0,MOD($A316-'Recurring Schedule'!$F$44,'Recurring Schedule'!$N$44)=0,IF('Recurring Schedule'!$O$44&gt;0,AND(DAY($A316)=MIN(DAY('Recurring Schedule'!$F$44),DAY(EOMONTH($A316,0))),MOD((YEAR($A316)-YEAR('Recurring Schedule'!$F$44))*12+MONTH($A316)-MONTH('Recurring Schedule'!$F$44),'Recurring Schedule'!$O$44)=0),IF('Recurring Schedule'!$E$44="Weekdays",WEEKDAY($A316,2)&lt;=5,$A316='Recurring Schedule'!$F$44))),39,""))))</f>
        <v/>
      </c>
      <c r="AO316">
        <f>IF('Recurring Schedule'!$C$45="","",IF('Recurring Schedule'!$F$45="","",IF(OR($A316&lt;'Recurring Schedule'!$F$45,$A316&gt;'Recurring Schedule'!$P$45),"",IF(IF('Recurring Schedule'!$N$45&gt;0,MOD($A316-'Recurring Schedule'!$F$45,'Recurring Schedule'!$N$45)=0,IF('Recurring Schedule'!$O$45&gt;0,AND(DAY($A316)=MIN(DAY('Recurring Schedule'!$F$45),DAY(EOMONTH($A316,0))),MOD((YEAR($A316)-YEAR('Recurring Schedule'!$F$45))*12+MONTH($A316)-MONTH('Recurring Schedule'!$F$45),'Recurring Schedule'!$O$45)=0),IF('Recurring Schedule'!$E$45="Weekdays",WEEKDAY($A316,2)&lt;=5,$A316='Recurring Schedule'!$F$45))),40,""))))</f>
        <v/>
      </c>
      <c r="AP316">
        <f>COUNT(B316:AO316)</f>
        <v/>
      </c>
      <c r="AQ316">
        <f>AQ315+AP315</f>
        <v/>
      </c>
      <c r="AS316" t="inlineStr">
        <is>
          <t>R</t>
        </is>
      </c>
      <c r="AT316" t="n">
        <v>320</v>
      </c>
      <c r="AU316">
        <f>'Recurring Log'!C320&amp;""</f>
        <v/>
      </c>
      <c r="AV316">
        <f>'Recurring Log'!D320&amp;""</f>
        <v/>
      </c>
      <c r="AW316">
        <f>IF('Recurring Log'!E320="","",'Recurring Log'!E320)</f>
        <v/>
      </c>
      <c r="AX316">
        <f>IF('Recurring Log'!G320="","",'Recurring Log'!G320)</f>
        <v/>
      </c>
      <c r="AY316">
        <f>IF('Recurring Log'!H320="","",'Recurring Log'!H320)</f>
        <v/>
      </c>
      <c r="AZ316">
        <f>IF(AU316="","",IF('Recurring Log'!J320="","Not Started",'Recurring Log'!J320))</f>
        <v/>
      </c>
      <c r="BA316">
        <f>'Recurring Log'!L320&amp;""</f>
        <v/>
      </c>
      <c r="BB316">
        <f>'Recurring Log'!M320&amp;""</f>
        <v/>
      </c>
      <c r="BC316">
        <f>'Recurring Log'!N320&amp;""</f>
        <v/>
      </c>
      <c r="BD316">
        <f>'Recurring Log'!O320&amp;""</f>
        <v/>
      </c>
      <c r="BE316">
        <f>IF('Recurring Log'!K320="","",'Recurring Log'!K320)</f>
        <v/>
      </c>
      <c r="BF316">
        <f>IFERROR(MATCH(BA316,Setup!$L$6:$L$9,0),5)</f>
        <v/>
      </c>
      <c r="BG316">
        <f>IF(OR(AZ316="Done",AZ316="Cancelled"),1,0)</f>
        <v/>
      </c>
      <c r="BH316">
        <f>IF(AND(AU316&lt;&gt;"",ISNUMBER(AW316)),1,0)</f>
        <v/>
      </c>
      <c r="BI316">
        <f>IF(BH316=0,0,IF(AND(AW316&gt;='Tasks Filter'!$F$3,AW316&lt;='Tasks Filter'!$F$4,OR('Tasks Filter'!$I$3="",ISNUMBER(SEARCH('Tasks Filter'!$I$3,AU316))),OR('Tasks Filter'!$I$4="",BF316=IFERROR(MATCH('Tasks Filter'!$I$4,Setup!$L$6:$L$9,0),0)),OR('Tasks Filter'!$I$5="Both",AND('Tasks Filter'!$I$5="Yes",BB316="✓"),AND('Tasks Filter'!$I$5="No",BB316&lt;&gt;"✓")),OR('Tasks Filter'!$L$3="",AV316='Tasks Filter'!$L$3),OR('Tasks Filter'!$L$4="",AZ316='Tasks Filter'!$L$4),OR('Tasks Filter'!$L$5="",BC316='Tasks Filter'!$L$5),OR('Tasks Filter'!$O$3="",BD316='Tasks Filter'!$O$3),OR('Tasks Filter'!$O$4="Yes",BG316=0)),1,0))</f>
        <v/>
      </c>
      <c r="BJ316">
        <f>IF(BH316=0,"",IF('Tasks Filter'!$F$6="Descending",-1,1)*CHOOSE(MATCH('Tasks Filter'!$F$5,Lists!$G$2:$G$6,0),AW316,BF316,IFERROR(MATCH(AV316,Setup!$F$6:$F$15,0),99),IFERROR(MATCH(BC316,Setup!$H$6:$H$15,0),99),IFERROR(MATCH(AZ316,Setup!$J$6:$J$11,0),99))*1E+9+(AW316-40000)*10000+315)</f>
        <v/>
      </c>
      <c r="BK316">
        <f>IF(BI316=1,BJ316,"")</f>
        <v/>
      </c>
      <c r="BL316">
        <f>IF(AND(BH316=1,BG316=0,N(AW316)&lt;Setup!$D$7),(AW316-40000)*10000+315,"")</f>
        <v/>
      </c>
      <c r="BM316">
        <f>IF(AND(BH316=1,AZ316&lt;&gt;"Cancelled",N(AW316)&gt;=Dashboard!$AB$3,N(AW316)&lt;=Dashboard!$AB$3+6),(AW316-40000)*100000+BF316*10000+315,"")</f>
        <v/>
      </c>
      <c r="BN316">
        <f>IF(AND(BH316=1,AZ316&lt;&gt;"Cancelled"),BF316*10000+315,"")</f>
        <v/>
      </c>
    </row>
    <row r="317">
      <c r="A317">
        <f>Setup!$D$5+315</f>
        <v/>
      </c>
      <c r="B317">
        <f>IF('Recurring Schedule'!$C$6="","",IF('Recurring Schedule'!$F$6="","",IF(OR($A317&lt;'Recurring Schedule'!$F$6,$A317&gt;'Recurring Schedule'!$P$6),"",IF(IF('Recurring Schedule'!$N$6&gt;0,MOD($A317-'Recurring Schedule'!$F$6,'Recurring Schedule'!$N$6)=0,IF('Recurring Schedule'!$O$6&gt;0,AND(DAY($A317)=MIN(DAY('Recurring Schedule'!$F$6),DAY(EOMONTH($A317,0))),MOD((YEAR($A317)-YEAR('Recurring Schedule'!$F$6))*12+MONTH($A317)-MONTH('Recurring Schedule'!$F$6),'Recurring Schedule'!$O$6)=0),IF('Recurring Schedule'!$E$6="Weekdays",WEEKDAY($A317,2)&lt;=5,$A317='Recurring Schedule'!$F$6))),1,""))))</f>
        <v/>
      </c>
      <c r="C317">
        <f>IF('Recurring Schedule'!$C$7="","",IF('Recurring Schedule'!$F$7="","",IF(OR($A317&lt;'Recurring Schedule'!$F$7,$A317&gt;'Recurring Schedule'!$P$7),"",IF(IF('Recurring Schedule'!$N$7&gt;0,MOD($A317-'Recurring Schedule'!$F$7,'Recurring Schedule'!$N$7)=0,IF('Recurring Schedule'!$O$7&gt;0,AND(DAY($A317)=MIN(DAY('Recurring Schedule'!$F$7),DAY(EOMONTH($A317,0))),MOD((YEAR($A317)-YEAR('Recurring Schedule'!$F$7))*12+MONTH($A317)-MONTH('Recurring Schedule'!$F$7),'Recurring Schedule'!$O$7)=0),IF('Recurring Schedule'!$E$7="Weekdays",WEEKDAY($A317,2)&lt;=5,$A317='Recurring Schedule'!$F$7))),2,""))))</f>
        <v/>
      </c>
      <c r="D317">
        <f>IF('Recurring Schedule'!$C$8="","",IF('Recurring Schedule'!$F$8="","",IF(OR($A317&lt;'Recurring Schedule'!$F$8,$A317&gt;'Recurring Schedule'!$P$8),"",IF(IF('Recurring Schedule'!$N$8&gt;0,MOD($A317-'Recurring Schedule'!$F$8,'Recurring Schedule'!$N$8)=0,IF('Recurring Schedule'!$O$8&gt;0,AND(DAY($A317)=MIN(DAY('Recurring Schedule'!$F$8),DAY(EOMONTH($A317,0))),MOD((YEAR($A317)-YEAR('Recurring Schedule'!$F$8))*12+MONTH($A317)-MONTH('Recurring Schedule'!$F$8),'Recurring Schedule'!$O$8)=0),IF('Recurring Schedule'!$E$8="Weekdays",WEEKDAY($A317,2)&lt;=5,$A317='Recurring Schedule'!$F$8))),3,""))))</f>
        <v/>
      </c>
      <c r="E317">
        <f>IF('Recurring Schedule'!$C$9="","",IF('Recurring Schedule'!$F$9="","",IF(OR($A317&lt;'Recurring Schedule'!$F$9,$A317&gt;'Recurring Schedule'!$P$9),"",IF(IF('Recurring Schedule'!$N$9&gt;0,MOD($A317-'Recurring Schedule'!$F$9,'Recurring Schedule'!$N$9)=0,IF('Recurring Schedule'!$O$9&gt;0,AND(DAY($A317)=MIN(DAY('Recurring Schedule'!$F$9),DAY(EOMONTH($A317,0))),MOD((YEAR($A317)-YEAR('Recurring Schedule'!$F$9))*12+MONTH($A317)-MONTH('Recurring Schedule'!$F$9),'Recurring Schedule'!$O$9)=0),IF('Recurring Schedule'!$E$9="Weekdays",WEEKDAY($A317,2)&lt;=5,$A317='Recurring Schedule'!$F$9))),4,""))))</f>
        <v/>
      </c>
      <c r="F317">
        <f>IF('Recurring Schedule'!$C$10="","",IF('Recurring Schedule'!$F$10="","",IF(OR($A317&lt;'Recurring Schedule'!$F$10,$A317&gt;'Recurring Schedule'!$P$10),"",IF(IF('Recurring Schedule'!$N$10&gt;0,MOD($A317-'Recurring Schedule'!$F$10,'Recurring Schedule'!$N$10)=0,IF('Recurring Schedule'!$O$10&gt;0,AND(DAY($A317)=MIN(DAY('Recurring Schedule'!$F$10),DAY(EOMONTH($A317,0))),MOD((YEAR($A317)-YEAR('Recurring Schedule'!$F$10))*12+MONTH($A317)-MONTH('Recurring Schedule'!$F$10),'Recurring Schedule'!$O$10)=0),IF('Recurring Schedule'!$E$10="Weekdays",WEEKDAY($A317,2)&lt;=5,$A317='Recurring Schedule'!$F$10))),5,""))))</f>
        <v/>
      </c>
      <c r="G317">
        <f>IF('Recurring Schedule'!$C$11="","",IF('Recurring Schedule'!$F$11="","",IF(OR($A317&lt;'Recurring Schedule'!$F$11,$A317&gt;'Recurring Schedule'!$P$11),"",IF(IF('Recurring Schedule'!$N$11&gt;0,MOD($A317-'Recurring Schedule'!$F$11,'Recurring Schedule'!$N$11)=0,IF('Recurring Schedule'!$O$11&gt;0,AND(DAY($A317)=MIN(DAY('Recurring Schedule'!$F$11),DAY(EOMONTH($A317,0))),MOD((YEAR($A317)-YEAR('Recurring Schedule'!$F$11))*12+MONTH($A317)-MONTH('Recurring Schedule'!$F$11),'Recurring Schedule'!$O$11)=0),IF('Recurring Schedule'!$E$11="Weekdays",WEEKDAY($A317,2)&lt;=5,$A317='Recurring Schedule'!$F$11))),6,""))))</f>
        <v/>
      </c>
      <c r="H317">
        <f>IF('Recurring Schedule'!$C$12="","",IF('Recurring Schedule'!$F$12="","",IF(OR($A317&lt;'Recurring Schedule'!$F$12,$A317&gt;'Recurring Schedule'!$P$12),"",IF(IF('Recurring Schedule'!$N$12&gt;0,MOD($A317-'Recurring Schedule'!$F$12,'Recurring Schedule'!$N$12)=0,IF('Recurring Schedule'!$O$12&gt;0,AND(DAY($A317)=MIN(DAY('Recurring Schedule'!$F$12),DAY(EOMONTH($A317,0))),MOD((YEAR($A317)-YEAR('Recurring Schedule'!$F$12))*12+MONTH($A317)-MONTH('Recurring Schedule'!$F$12),'Recurring Schedule'!$O$12)=0),IF('Recurring Schedule'!$E$12="Weekdays",WEEKDAY($A317,2)&lt;=5,$A317='Recurring Schedule'!$F$12))),7,""))))</f>
        <v/>
      </c>
      <c r="I317">
        <f>IF('Recurring Schedule'!$C$13="","",IF('Recurring Schedule'!$F$13="","",IF(OR($A317&lt;'Recurring Schedule'!$F$13,$A317&gt;'Recurring Schedule'!$P$13),"",IF(IF('Recurring Schedule'!$N$13&gt;0,MOD($A317-'Recurring Schedule'!$F$13,'Recurring Schedule'!$N$13)=0,IF('Recurring Schedule'!$O$13&gt;0,AND(DAY($A317)=MIN(DAY('Recurring Schedule'!$F$13),DAY(EOMONTH($A317,0))),MOD((YEAR($A317)-YEAR('Recurring Schedule'!$F$13))*12+MONTH($A317)-MONTH('Recurring Schedule'!$F$13),'Recurring Schedule'!$O$13)=0),IF('Recurring Schedule'!$E$13="Weekdays",WEEKDAY($A317,2)&lt;=5,$A317='Recurring Schedule'!$F$13))),8,""))))</f>
        <v/>
      </c>
      <c r="J317">
        <f>IF('Recurring Schedule'!$C$14="","",IF('Recurring Schedule'!$F$14="","",IF(OR($A317&lt;'Recurring Schedule'!$F$14,$A317&gt;'Recurring Schedule'!$P$14),"",IF(IF('Recurring Schedule'!$N$14&gt;0,MOD($A317-'Recurring Schedule'!$F$14,'Recurring Schedule'!$N$14)=0,IF('Recurring Schedule'!$O$14&gt;0,AND(DAY($A317)=MIN(DAY('Recurring Schedule'!$F$14),DAY(EOMONTH($A317,0))),MOD((YEAR($A317)-YEAR('Recurring Schedule'!$F$14))*12+MONTH($A317)-MONTH('Recurring Schedule'!$F$14),'Recurring Schedule'!$O$14)=0),IF('Recurring Schedule'!$E$14="Weekdays",WEEKDAY($A317,2)&lt;=5,$A317='Recurring Schedule'!$F$14))),9,""))))</f>
        <v/>
      </c>
      <c r="K317">
        <f>IF('Recurring Schedule'!$C$15="","",IF('Recurring Schedule'!$F$15="","",IF(OR($A317&lt;'Recurring Schedule'!$F$15,$A317&gt;'Recurring Schedule'!$P$15),"",IF(IF('Recurring Schedule'!$N$15&gt;0,MOD($A317-'Recurring Schedule'!$F$15,'Recurring Schedule'!$N$15)=0,IF('Recurring Schedule'!$O$15&gt;0,AND(DAY($A317)=MIN(DAY('Recurring Schedule'!$F$15),DAY(EOMONTH($A317,0))),MOD((YEAR($A317)-YEAR('Recurring Schedule'!$F$15))*12+MONTH($A317)-MONTH('Recurring Schedule'!$F$15),'Recurring Schedule'!$O$15)=0),IF('Recurring Schedule'!$E$15="Weekdays",WEEKDAY($A317,2)&lt;=5,$A317='Recurring Schedule'!$F$15))),10,""))))</f>
        <v/>
      </c>
      <c r="L317">
        <f>IF('Recurring Schedule'!$C$16="","",IF('Recurring Schedule'!$F$16="","",IF(OR($A317&lt;'Recurring Schedule'!$F$16,$A317&gt;'Recurring Schedule'!$P$16),"",IF(IF('Recurring Schedule'!$N$16&gt;0,MOD($A317-'Recurring Schedule'!$F$16,'Recurring Schedule'!$N$16)=0,IF('Recurring Schedule'!$O$16&gt;0,AND(DAY($A317)=MIN(DAY('Recurring Schedule'!$F$16),DAY(EOMONTH($A317,0))),MOD((YEAR($A317)-YEAR('Recurring Schedule'!$F$16))*12+MONTH($A317)-MONTH('Recurring Schedule'!$F$16),'Recurring Schedule'!$O$16)=0),IF('Recurring Schedule'!$E$16="Weekdays",WEEKDAY($A317,2)&lt;=5,$A317='Recurring Schedule'!$F$16))),11,""))))</f>
        <v/>
      </c>
      <c r="M317">
        <f>IF('Recurring Schedule'!$C$17="","",IF('Recurring Schedule'!$F$17="","",IF(OR($A317&lt;'Recurring Schedule'!$F$17,$A317&gt;'Recurring Schedule'!$P$17),"",IF(IF('Recurring Schedule'!$N$17&gt;0,MOD($A317-'Recurring Schedule'!$F$17,'Recurring Schedule'!$N$17)=0,IF('Recurring Schedule'!$O$17&gt;0,AND(DAY($A317)=MIN(DAY('Recurring Schedule'!$F$17),DAY(EOMONTH($A317,0))),MOD((YEAR($A317)-YEAR('Recurring Schedule'!$F$17))*12+MONTH($A317)-MONTH('Recurring Schedule'!$F$17),'Recurring Schedule'!$O$17)=0),IF('Recurring Schedule'!$E$17="Weekdays",WEEKDAY($A317,2)&lt;=5,$A317='Recurring Schedule'!$F$17))),12,""))))</f>
        <v/>
      </c>
      <c r="N317">
        <f>IF('Recurring Schedule'!$C$18="","",IF('Recurring Schedule'!$F$18="","",IF(OR($A317&lt;'Recurring Schedule'!$F$18,$A317&gt;'Recurring Schedule'!$P$18),"",IF(IF('Recurring Schedule'!$N$18&gt;0,MOD($A317-'Recurring Schedule'!$F$18,'Recurring Schedule'!$N$18)=0,IF('Recurring Schedule'!$O$18&gt;0,AND(DAY($A317)=MIN(DAY('Recurring Schedule'!$F$18),DAY(EOMONTH($A317,0))),MOD((YEAR($A317)-YEAR('Recurring Schedule'!$F$18))*12+MONTH($A317)-MONTH('Recurring Schedule'!$F$18),'Recurring Schedule'!$O$18)=0),IF('Recurring Schedule'!$E$18="Weekdays",WEEKDAY($A317,2)&lt;=5,$A317='Recurring Schedule'!$F$18))),13,""))))</f>
        <v/>
      </c>
      <c r="O317">
        <f>IF('Recurring Schedule'!$C$19="","",IF('Recurring Schedule'!$F$19="","",IF(OR($A317&lt;'Recurring Schedule'!$F$19,$A317&gt;'Recurring Schedule'!$P$19),"",IF(IF('Recurring Schedule'!$N$19&gt;0,MOD($A317-'Recurring Schedule'!$F$19,'Recurring Schedule'!$N$19)=0,IF('Recurring Schedule'!$O$19&gt;0,AND(DAY($A317)=MIN(DAY('Recurring Schedule'!$F$19),DAY(EOMONTH($A317,0))),MOD((YEAR($A317)-YEAR('Recurring Schedule'!$F$19))*12+MONTH($A317)-MONTH('Recurring Schedule'!$F$19),'Recurring Schedule'!$O$19)=0),IF('Recurring Schedule'!$E$19="Weekdays",WEEKDAY($A317,2)&lt;=5,$A317='Recurring Schedule'!$F$19))),14,""))))</f>
        <v/>
      </c>
      <c r="P317">
        <f>IF('Recurring Schedule'!$C$20="","",IF('Recurring Schedule'!$F$20="","",IF(OR($A317&lt;'Recurring Schedule'!$F$20,$A317&gt;'Recurring Schedule'!$P$20),"",IF(IF('Recurring Schedule'!$N$20&gt;0,MOD($A317-'Recurring Schedule'!$F$20,'Recurring Schedule'!$N$20)=0,IF('Recurring Schedule'!$O$20&gt;0,AND(DAY($A317)=MIN(DAY('Recurring Schedule'!$F$20),DAY(EOMONTH($A317,0))),MOD((YEAR($A317)-YEAR('Recurring Schedule'!$F$20))*12+MONTH($A317)-MONTH('Recurring Schedule'!$F$20),'Recurring Schedule'!$O$20)=0),IF('Recurring Schedule'!$E$20="Weekdays",WEEKDAY($A317,2)&lt;=5,$A317='Recurring Schedule'!$F$20))),15,""))))</f>
        <v/>
      </c>
      <c r="Q317">
        <f>IF('Recurring Schedule'!$C$21="","",IF('Recurring Schedule'!$F$21="","",IF(OR($A317&lt;'Recurring Schedule'!$F$21,$A317&gt;'Recurring Schedule'!$P$21),"",IF(IF('Recurring Schedule'!$N$21&gt;0,MOD($A317-'Recurring Schedule'!$F$21,'Recurring Schedule'!$N$21)=0,IF('Recurring Schedule'!$O$21&gt;0,AND(DAY($A317)=MIN(DAY('Recurring Schedule'!$F$21),DAY(EOMONTH($A317,0))),MOD((YEAR($A317)-YEAR('Recurring Schedule'!$F$21))*12+MONTH($A317)-MONTH('Recurring Schedule'!$F$21),'Recurring Schedule'!$O$21)=0),IF('Recurring Schedule'!$E$21="Weekdays",WEEKDAY($A317,2)&lt;=5,$A317='Recurring Schedule'!$F$21))),16,""))))</f>
        <v/>
      </c>
      <c r="R317">
        <f>IF('Recurring Schedule'!$C$22="","",IF('Recurring Schedule'!$F$22="","",IF(OR($A317&lt;'Recurring Schedule'!$F$22,$A317&gt;'Recurring Schedule'!$P$22),"",IF(IF('Recurring Schedule'!$N$22&gt;0,MOD($A317-'Recurring Schedule'!$F$22,'Recurring Schedule'!$N$22)=0,IF('Recurring Schedule'!$O$22&gt;0,AND(DAY($A317)=MIN(DAY('Recurring Schedule'!$F$22),DAY(EOMONTH($A317,0))),MOD((YEAR($A317)-YEAR('Recurring Schedule'!$F$22))*12+MONTH($A317)-MONTH('Recurring Schedule'!$F$22),'Recurring Schedule'!$O$22)=0),IF('Recurring Schedule'!$E$22="Weekdays",WEEKDAY($A317,2)&lt;=5,$A317='Recurring Schedule'!$F$22))),17,""))))</f>
        <v/>
      </c>
      <c r="S317">
        <f>IF('Recurring Schedule'!$C$23="","",IF('Recurring Schedule'!$F$23="","",IF(OR($A317&lt;'Recurring Schedule'!$F$23,$A317&gt;'Recurring Schedule'!$P$23),"",IF(IF('Recurring Schedule'!$N$23&gt;0,MOD($A317-'Recurring Schedule'!$F$23,'Recurring Schedule'!$N$23)=0,IF('Recurring Schedule'!$O$23&gt;0,AND(DAY($A317)=MIN(DAY('Recurring Schedule'!$F$23),DAY(EOMONTH($A317,0))),MOD((YEAR($A317)-YEAR('Recurring Schedule'!$F$23))*12+MONTH($A317)-MONTH('Recurring Schedule'!$F$23),'Recurring Schedule'!$O$23)=0),IF('Recurring Schedule'!$E$23="Weekdays",WEEKDAY($A317,2)&lt;=5,$A317='Recurring Schedule'!$F$23))),18,""))))</f>
        <v/>
      </c>
      <c r="T317">
        <f>IF('Recurring Schedule'!$C$24="","",IF('Recurring Schedule'!$F$24="","",IF(OR($A317&lt;'Recurring Schedule'!$F$24,$A317&gt;'Recurring Schedule'!$P$24),"",IF(IF('Recurring Schedule'!$N$24&gt;0,MOD($A317-'Recurring Schedule'!$F$24,'Recurring Schedule'!$N$24)=0,IF('Recurring Schedule'!$O$24&gt;0,AND(DAY($A317)=MIN(DAY('Recurring Schedule'!$F$24),DAY(EOMONTH($A317,0))),MOD((YEAR($A317)-YEAR('Recurring Schedule'!$F$24))*12+MONTH($A317)-MONTH('Recurring Schedule'!$F$24),'Recurring Schedule'!$O$24)=0),IF('Recurring Schedule'!$E$24="Weekdays",WEEKDAY($A317,2)&lt;=5,$A317='Recurring Schedule'!$F$24))),19,""))))</f>
        <v/>
      </c>
      <c r="U317">
        <f>IF('Recurring Schedule'!$C$25="","",IF('Recurring Schedule'!$F$25="","",IF(OR($A317&lt;'Recurring Schedule'!$F$25,$A317&gt;'Recurring Schedule'!$P$25),"",IF(IF('Recurring Schedule'!$N$25&gt;0,MOD($A317-'Recurring Schedule'!$F$25,'Recurring Schedule'!$N$25)=0,IF('Recurring Schedule'!$O$25&gt;0,AND(DAY($A317)=MIN(DAY('Recurring Schedule'!$F$25),DAY(EOMONTH($A317,0))),MOD((YEAR($A317)-YEAR('Recurring Schedule'!$F$25))*12+MONTH($A317)-MONTH('Recurring Schedule'!$F$25),'Recurring Schedule'!$O$25)=0),IF('Recurring Schedule'!$E$25="Weekdays",WEEKDAY($A317,2)&lt;=5,$A317='Recurring Schedule'!$F$25))),20,""))))</f>
        <v/>
      </c>
      <c r="V317">
        <f>IF('Recurring Schedule'!$C$26="","",IF('Recurring Schedule'!$F$26="","",IF(OR($A317&lt;'Recurring Schedule'!$F$26,$A317&gt;'Recurring Schedule'!$P$26),"",IF(IF('Recurring Schedule'!$N$26&gt;0,MOD($A317-'Recurring Schedule'!$F$26,'Recurring Schedule'!$N$26)=0,IF('Recurring Schedule'!$O$26&gt;0,AND(DAY($A317)=MIN(DAY('Recurring Schedule'!$F$26),DAY(EOMONTH($A317,0))),MOD((YEAR($A317)-YEAR('Recurring Schedule'!$F$26))*12+MONTH($A317)-MONTH('Recurring Schedule'!$F$26),'Recurring Schedule'!$O$26)=0),IF('Recurring Schedule'!$E$26="Weekdays",WEEKDAY($A317,2)&lt;=5,$A317='Recurring Schedule'!$F$26))),21,""))))</f>
        <v/>
      </c>
      <c r="W317">
        <f>IF('Recurring Schedule'!$C$27="","",IF('Recurring Schedule'!$F$27="","",IF(OR($A317&lt;'Recurring Schedule'!$F$27,$A317&gt;'Recurring Schedule'!$P$27),"",IF(IF('Recurring Schedule'!$N$27&gt;0,MOD($A317-'Recurring Schedule'!$F$27,'Recurring Schedule'!$N$27)=0,IF('Recurring Schedule'!$O$27&gt;0,AND(DAY($A317)=MIN(DAY('Recurring Schedule'!$F$27),DAY(EOMONTH($A317,0))),MOD((YEAR($A317)-YEAR('Recurring Schedule'!$F$27))*12+MONTH($A317)-MONTH('Recurring Schedule'!$F$27),'Recurring Schedule'!$O$27)=0),IF('Recurring Schedule'!$E$27="Weekdays",WEEKDAY($A317,2)&lt;=5,$A317='Recurring Schedule'!$F$27))),22,""))))</f>
        <v/>
      </c>
      <c r="X317">
        <f>IF('Recurring Schedule'!$C$28="","",IF('Recurring Schedule'!$F$28="","",IF(OR($A317&lt;'Recurring Schedule'!$F$28,$A317&gt;'Recurring Schedule'!$P$28),"",IF(IF('Recurring Schedule'!$N$28&gt;0,MOD($A317-'Recurring Schedule'!$F$28,'Recurring Schedule'!$N$28)=0,IF('Recurring Schedule'!$O$28&gt;0,AND(DAY($A317)=MIN(DAY('Recurring Schedule'!$F$28),DAY(EOMONTH($A317,0))),MOD((YEAR($A317)-YEAR('Recurring Schedule'!$F$28))*12+MONTH($A317)-MONTH('Recurring Schedule'!$F$28),'Recurring Schedule'!$O$28)=0),IF('Recurring Schedule'!$E$28="Weekdays",WEEKDAY($A317,2)&lt;=5,$A317='Recurring Schedule'!$F$28))),23,""))))</f>
        <v/>
      </c>
      <c r="Y317">
        <f>IF('Recurring Schedule'!$C$29="","",IF('Recurring Schedule'!$F$29="","",IF(OR($A317&lt;'Recurring Schedule'!$F$29,$A317&gt;'Recurring Schedule'!$P$29),"",IF(IF('Recurring Schedule'!$N$29&gt;0,MOD($A317-'Recurring Schedule'!$F$29,'Recurring Schedule'!$N$29)=0,IF('Recurring Schedule'!$O$29&gt;0,AND(DAY($A317)=MIN(DAY('Recurring Schedule'!$F$29),DAY(EOMONTH($A317,0))),MOD((YEAR($A317)-YEAR('Recurring Schedule'!$F$29))*12+MONTH($A317)-MONTH('Recurring Schedule'!$F$29),'Recurring Schedule'!$O$29)=0),IF('Recurring Schedule'!$E$29="Weekdays",WEEKDAY($A317,2)&lt;=5,$A317='Recurring Schedule'!$F$29))),24,""))))</f>
        <v/>
      </c>
      <c r="Z317">
        <f>IF('Recurring Schedule'!$C$30="","",IF('Recurring Schedule'!$F$30="","",IF(OR($A317&lt;'Recurring Schedule'!$F$30,$A317&gt;'Recurring Schedule'!$P$30),"",IF(IF('Recurring Schedule'!$N$30&gt;0,MOD($A317-'Recurring Schedule'!$F$30,'Recurring Schedule'!$N$30)=0,IF('Recurring Schedule'!$O$30&gt;0,AND(DAY($A317)=MIN(DAY('Recurring Schedule'!$F$30),DAY(EOMONTH($A317,0))),MOD((YEAR($A317)-YEAR('Recurring Schedule'!$F$30))*12+MONTH($A317)-MONTH('Recurring Schedule'!$F$30),'Recurring Schedule'!$O$30)=0),IF('Recurring Schedule'!$E$30="Weekdays",WEEKDAY($A317,2)&lt;=5,$A317='Recurring Schedule'!$F$30))),25,""))))</f>
        <v/>
      </c>
      <c r="AA317">
        <f>IF('Recurring Schedule'!$C$31="","",IF('Recurring Schedule'!$F$31="","",IF(OR($A317&lt;'Recurring Schedule'!$F$31,$A317&gt;'Recurring Schedule'!$P$31),"",IF(IF('Recurring Schedule'!$N$31&gt;0,MOD($A317-'Recurring Schedule'!$F$31,'Recurring Schedule'!$N$31)=0,IF('Recurring Schedule'!$O$31&gt;0,AND(DAY($A317)=MIN(DAY('Recurring Schedule'!$F$31),DAY(EOMONTH($A317,0))),MOD((YEAR($A317)-YEAR('Recurring Schedule'!$F$31))*12+MONTH($A317)-MONTH('Recurring Schedule'!$F$31),'Recurring Schedule'!$O$31)=0),IF('Recurring Schedule'!$E$31="Weekdays",WEEKDAY($A317,2)&lt;=5,$A317='Recurring Schedule'!$F$31))),26,""))))</f>
        <v/>
      </c>
      <c r="AB317">
        <f>IF('Recurring Schedule'!$C$32="","",IF('Recurring Schedule'!$F$32="","",IF(OR($A317&lt;'Recurring Schedule'!$F$32,$A317&gt;'Recurring Schedule'!$P$32),"",IF(IF('Recurring Schedule'!$N$32&gt;0,MOD($A317-'Recurring Schedule'!$F$32,'Recurring Schedule'!$N$32)=0,IF('Recurring Schedule'!$O$32&gt;0,AND(DAY($A317)=MIN(DAY('Recurring Schedule'!$F$32),DAY(EOMONTH($A317,0))),MOD((YEAR($A317)-YEAR('Recurring Schedule'!$F$32))*12+MONTH($A317)-MONTH('Recurring Schedule'!$F$32),'Recurring Schedule'!$O$32)=0),IF('Recurring Schedule'!$E$32="Weekdays",WEEKDAY($A317,2)&lt;=5,$A317='Recurring Schedule'!$F$32))),27,""))))</f>
        <v/>
      </c>
      <c r="AC317">
        <f>IF('Recurring Schedule'!$C$33="","",IF('Recurring Schedule'!$F$33="","",IF(OR($A317&lt;'Recurring Schedule'!$F$33,$A317&gt;'Recurring Schedule'!$P$33),"",IF(IF('Recurring Schedule'!$N$33&gt;0,MOD($A317-'Recurring Schedule'!$F$33,'Recurring Schedule'!$N$33)=0,IF('Recurring Schedule'!$O$33&gt;0,AND(DAY($A317)=MIN(DAY('Recurring Schedule'!$F$33),DAY(EOMONTH($A317,0))),MOD((YEAR($A317)-YEAR('Recurring Schedule'!$F$33))*12+MONTH($A317)-MONTH('Recurring Schedule'!$F$33),'Recurring Schedule'!$O$33)=0),IF('Recurring Schedule'!$E$33="Weekdays",WEEKDAY($A317,2)&lt;=5,$A317='Recurring Schedule'!$F$33))),28,""))))</f>
        <v/>
      </c>
      <c r="AD317">
        <f>IF('Recurring Schedule'!$C$34="","",IF('Recurring Schedule'!$F$34="","",IF(OR($A317&lt;'Recurring Schedule'!$F$34,$A317&gt;'Recurring Schedule'!$P$34),"",IF(IF('Recurring Schedule'!$N$34&gt;0,MOD($A317-'Recurring Schedule'!$F$34,'Recurring Schedule'!$N$34)=0,IF('Recurring Schedule'!$O$34&gt;0,AND(DAY($A317)=MIN(DAY('Recurring Schedule'!$F$34),DAY(EOMONTH($A317,0))),MOD((YEAR($A317)-YEAR('Recurring Schedule'!$F$34))*12+MONTH($A317)-MONTH('Recurring Schedule'!$F$34),'Recurring Schedule'!$O$34)=0),IF('Recurring Schedule'!$E$34="Weekdays",WEEKDAY($A317,2)&lt;=5,$A317='Recurring Schedule'!$F$34))),29,""))))</f>
        <v/>
      </c>
      <c r="AE317">
        <f>IF('Recurring Schedule'!$C$35="","",IF('Recurring Schedule'!$F$35="","",IF(OR($A317&lt;'Recurring Schedule'!$F$35,$A317&gt;'Recurring Schedule'!$P$35),"",IF(IF('Recurring Schedule'!$N$35&gt;0,MOD($A317-'Recurring Schedule'!$F$35,'Recurring Schedule'!$N$35)=0,IF('Recurring Schedule'!$O$35&gt;0,AND(DAY($A317)=MIN(DAY('Recurring Schedule'!$F$35),DAY(EOMONTH($A317,0))),MOD((YEAR($A317)-YEAR('Recurring Schedule'!$F$35))*12+MONTH($A317)-MONTH('Recurring Schedule'!$F$35),'Recurring Schedule'!$O$35)=0),IF('Recurring Schedule'!$E$35="Weekdays",WEEKDAY($A317,2)&lt;=5,$A317='Recurring Schedule'!$F$35))),30,""))))</f>
        <v/>
      </c>
      <c r="AF317">
        <f>IF('Recurring Schedule'!$C$36="","",IF('Recurring Schedule'!$F$36="","",IF(OR($A317&lt;'Recurring Schedule'!$F$36,$A317&gt;'Recurring Schedule'!$P$36),"",IF(IF('Recurring Schedule'!$N$36&gt;0,MOD($A317-'Recurring Schedule'!$F$36,'Recurring Schedule'!$N$36)=0,IF('Recurring Schedule'!$O$36&gt;0,AND(DAY($A317)=MIN(DAY('Recurring Schedule'!$F$36),DAY(EOMONTH($A317,0))),MOD((YEAR($A317)-YEAR('Recurring Schedule'!$F$36))*12+MONTH($A317)-MONTH('Recurring Schedule'!$F$36),'Recurring Schedule'!$O$36)=0),IF('Recurring Schedule'!$E$36="Weekdays",WEEKDAY($A317,2)&lt;=5,$A317='Recurring Schedule'!$F$36))),31,""))))</f>
        <v/>
      </c>
      <c r="AG317">
        <f>IF('Recurring Schedule'!$C$37="","",IF('Recurring Schedule'!$F$37="","",IF(OR($A317&lt;'Recurring Schedule'!$F$37,$A317&gt;'Recurring Schedule'!$P$37),"",IF(IF('Recurring Schedule'!$N$37&gt;0,MOD($A317-'Recurring Schedule'!$F$37,'Recurring Schedule'!$N$37)=0,IF('Recurring Schedule'!$O$37&gt;0,AND(DAY($A317)=MIN(DAY('Recurring Schedule'!$F$37),DAY(EOMONTH($A317,0))),MOD((YEAR($A317)-YEAR('Recurring Schedule'!$F$37))*12+MONTH($A317)-MONTH('Recurring Schedule'!$F$37),'Recurring Schedule'!$O$37)=0),IF('Recurring Schedule'!$E$37="Weekdays",WEEKDAY($A317,2)&lt;=5,$A317='Recurring Schedule'!$F$37))),32,""))))</f>
        <v/>
      </c>
      <c r="AH317">
        <f>IF('Recurring Schedule'!$C$38="","",IF('Recurring Schedule'!$F$38="","",IF(OR($A317&lt;'Recurring Schedule'!$F$38,$A317&gt;'Recurring Schedule'!$P$38),"",IF(IF('Recurring Schedule'!$N$38&gt;0,MOD($A317-'Recurring Schedule'!$F$38,'Recurring Schedule'!$N$38)=0,IF('Recurring Schedule'!$O$38&gt;0,AND(DAY($A317)=MIN(DAY('Recurring Schedule'!$F$38),DAY(EOMONTH($A317,0))),MOD((YEAR($A317)-YEAR('Recurring Schedule'!$F$38))*12+MONTH($A317)-MONTH('Recurring Schedule'!$F$38),'Recurring Schedule'!$O$38)=0),IF('Recurring Schedule'!$E$38="Weekdays",WEEKDAY($A317,2)&lt;=5,$A317='Recurring Schedule'!$F$38))),33,""))))</f>
        <v/>
      </c>
      <c r="AI317">
        <f>IF('Recurring Schedule'!$C$39="","",IF('Recurring Schedule'!$F$39="","",IF(OR($A317&lt;'Recurring Schedule'!$F$39,$A317&gt;'Recurring Schedule'!$P$39),"",IF(IF('Recurring Schedule'!$N$39&gt;0,MOD($A317-'Recurring Schedule'!$F$39,'Recurring Schedule'!$N$39)=0,IF('Recurring Schedule'!$O$39&gt;0,AND(DAY($A317)=MIN(DAY('Recurring Schedule'!$F$39),DAY(EOMONTH($A317,0))),MOD((YEAR($A317)-YEAR('Recurring Schedule'!$F$39))*12+MONTH($A317)-MONTH('Recurring Schedule'!$F$39),'Recurring Schedule'!$O$39)=0),IF('Recurring Schedule'!$E$39="Weekdays",WEEKDAY($A317,2)&lt;=5,$A317='Recurring Schedule'!$F$39))),34,""))))</f>
        <v/>
      </c>
      <c r="AJ317">
        <f>IF('Recurring Schedule'!$C$40="","",IF('Recurring Schedule'!$F$40="","",IF(OR($A317&lt;'Recurring Schedule'!$F$40,$A317&gt;'Recurring Schedule'!$P$40),"",IF(IF('Recurring Schedule'!$N$40&gt;0,MOD($A317-'Recurring Schedule'!$F$40,'Recurring Schedule'!$N$40)=0,IF('Recurring Schedule'!$O$40&gt;0,AND(DAY($A317)=MIN(DAY('Recurring Schedule'!$F$40),DAY(EOMONTH($A317,0))),MOD((YEAR($A317)-YEAR('Recurring Schedule'!$F$40))*12+MONTH($A317)-MONTH('Recurring Schedule'!$F$40),'Recurring Schedule'!$O$40)=0),IF('Recurring Schedule'!$E$40="Weekdays",WEEKDAY($A317,2)&lt;=5,$A317='Recurring Schedule'!$F$40))),35,""))))</f>
        <v/>
      </c>
      <c r="AK317">
        <f>IF('Recurring Schedule'!$C$41="","",IF('Recurring Schedule'!$F$41="","",IF(OR($A317&lt;'Recurring Schedule'!$F$41,$A317&gt;'Recurring Schedule'!$P$41),"",IF(IF('Recurring Schedule'!$N$41&gt;0,MOD($A317-'Recurring Schedule'!$F$41,'Recurring Schedule'!$N$41)=0,IF('Recurring Schedule'!$O$41&gt;0,AND(DAY($A317)=MIN(DAY('Recurring Schedule'!$F$41),DAY(EOMONTH($A317,0))),MOD((YEAR($A317)-YEAR('Recurring Schedule'!$F$41))*12+MONTH($A317)-MONTH('Recurring Schedule'!$F$41),'Recurring Schedule'!$O$41)=0),IF('Recurring Schedule'!$E$41="Weekdays",WEEKDAY($A317,2)&lt;=5,$A317='Recurring Schedule'!$F$41))),36,""))))</f>
        <v/>
      </c>
      <c r="AL317">
        <f>IF('Recurring Schedule'!$C$42="","",IF('Recurring Schedule'!$F$42="","",IF(OR($A317&lt;'Recurring Schedule'!$F$42,$A317&gt;'Recurring Schedule'!$P$42),"",IF(IF('Recurring Schedule'!$N$42&gt;0,MOD($A317-'Recurring Schedule'!$F$42,'Recurring Schedule'!$N$42)=0,IF('Recurring Schedule'!$O$42&gt;0,AND(DAY($A317)=MIN(DAY('Recurring Schedule'!$F$42),DAY(EOMONTH($A317,0))),MOD((YEAR($A317)-YEAR('Recurring Schedule'!$F$42))*12+MONTH($A317)-MONTH('Recurring Schedule'!$F$42),'Recurring Schedule'!$O$42)=0),IF('Recurring Schedule'!$E$42="Weekdays",WEEKDAY($A317,2)&lt;=5,$A317='Recurring Schedule'!$F$42))),37,""))))</f>
        <v/>
      </c>
      <c r="AM317">
        <f>IF('Recurring Schedule'!$C$43="","",IF('Recurring Schedule'!$F$43="","",IF(OR($A317&lt;'Recurring Schedule'!$F$43,$A317&gt;'Recurring Schedule'!$P$43),"",IF(IF('Recurring Schedule'!$N$43&gt;0,MOD($A317-'Recurring Schedule'!$F$43,'Recurring Schedule'!$N$43)=0,IF('Recurring Schedule'!$O$43&gt;0,AND(DAY($A317)=MIN(DAY('Recurring Schedule'!$F$43),DAY(EOMONTH($A317,0))),MOD((YEAR($A317)-YEAR('Recurring Schedule'!$F$43))*12+MONTH($A317)-MONTH('Recurring Schedule'!$F$43),'Recurring Schedule'!$O$43)=0),IF('Recurring Schedule'!$E$43="Weekdays",WEEKDAY($A317,2)&lt;=5,$A317='Recurring Schedule'!$F$43))),38,""))))</f>
        <v/>
      </c>
      <c r="AN317">
        <f>IF('Recurring Schedule'!$C$44="","",IF('Recurring Schedule'!$F$44="","",IF(OR($A317&lt;'Recurring Schedule'!$F$44,$A317&gt;'Recurring Schedule'!$P$44),"",IF(IF('Recurring Schedule'!$N$44&gt;0,MOD($A317-'Recurring Schedule'!$F$44,'Recurring Schedule'!$N$44)=0,IF('Recurring Schedule'!$O$44&gt;0,AND(DAY($A317)=MIN(DAY('Recurring Schedule'!$F$44),DAY(EOMONTH($A317,0))),MOD((YEAR($A317)-YEAR('Recurring Schedule'!$F$44))*12+MONTH($A317)-MONTH('Recurring Schedule'!$F$44),'Recurring Schedule'!$O$44)=0),IF('Recurring Schedule'!$E$44="Weekdays",WEEKDAY($A317,2)&lt;=5,$A317='Recurring Schedule'!$F$44))),39,""))))</f>
        <v/>
      </c>
      <c r="AO317">
        <f>IF('Recurring Schedule'!$C$45="","",IF('Recurring Schedule'!$F$45="","",IF(OR($A317&lt;'Recurring Schedule'!$F$45,$A317&gt;'Recurring Schedule'!$P$45),"",IF(IF('Recurring Schedule'!$N$45&gt;0,MOD($A317-'Recurring Schedule'!$F$45,'Recurring Schedule'!$N$45)=0,IF('Recurring Schedule'!$O$45&gt;0,AND(DAY($A317)=MIN(DAY('Recurring Schedule'!$F$45),DAY(EOMONTH($A317,0))),MOD((YEAR($A317)-YEAR('Recurring Schedule'!$F$45))*12+MONTH($A317)-MONTH('Recurring Schedule'!$F$45),'Recurring Schedule'!$O$45)=0),IF('Recurring Schedule'!$E$45="Weekdays",WEEKDAY($A317,2)&lt;=5,$A317='Recurring Schedule'!$F$45))),40,""))))</f>
        <v/>
      </c>
      <c r="AP317">
        <f>COUNT(B317:AO317)</f>
        <v/>
      </c>
      <c r="AQ317">
        <f>AQ316+AP316</f>
        <v/>
      </c>
      <c r="AS317" t="inlineStr">
        <is>
          <t>R</t>
        </is>
      </c>
      <c r="AT317" t="n">
        <v>321</v>
      </c>
      <c r="AU317">
        <f>'Recurring Log'!C321&amp;""</f>
        <v/>
      </c>
      <c r="AV317">
        <f>'Recurring Log'!D321&amp;""</f>
        <v/>
      </c>
      <c r="AW317">
        <f>IF('Recurring Log'!E321="","",'Recurring Log'!E321)</f>
        <v/>
      </c>
      <c r="AX317">
        <f>IF('Recurring Log'!G321="","",'Recurring Log'!G321)</f>
        <v/>
      </c>
      <c r="AY317">
        <f>IF('Recurring Log'!H321="","",'Recurring Log'!H321)</f>
        <v/>
      </c>
      <c r="AZ317">
        <f>IF(AU317="","",IF('Recurring Log'!J321="","Not Started",'Recurring Log'!J321))</f>
        <v/>
      </c>
      <c r="BA317">
        <f>'Recurring Log'!L321&amp;""</f>
        <v/>
      </c>
      <c r="BB317">
        <f>'Recurring Log'!M321&amp;""</f>
        <v/>
      </c>
      <c r="BC317">
        <f>'Recurring Log'!N321&amp;""</f>
        <v/>
      </c>
      <c r="BD317">
        <f>'Recurring Log'!O321&amp;""</f>
        <v/>
      </c>
      <c r="BE317">
        <f>IF('Recurring Log'!K321="","",'Recurring Log'!K321)</f>
        <v/>
      </c>
      <c r="BF317">
        <f>IFERROR(MATCH(BA317,Setup!$L$6:$L$9,0),5)</f>
        <v/>
      </c>
      <c r="BG317">
        <f>IF(OR(AZ317="Done",AZ317="Cancelled"),1,0)</f>
        <v/>
      </c>
      <c r="BH317">
        <f>IF(AND(AU317&lt;&gt;"",ISNUMBER(AW317)),1,0)</f>
        <v/>
      </c>
      <c r="BI317">
        <f>IF(BH317=0,0,IF(AND(AW317&gt;='Tasks Filter'!$F$3,AW317&lt;='Tasks Filter'!$F$4,OR('Tasks Filter'!$I$3="",ISNUMBER(SEARCH('Tasks Filter'!$I$3,AU317))),OR('Tasks Filter'!$I$4="",BF317=IFERROR(MATCH('Tasks Filter'!$I$4,Setup!$L$6:$L$9,0),0)),OR('Tasks Filter'!$I$5="Both",AND('Tasks Filter'!$I$5="Yes",BB317="✓"),AND('Tasks Filter'!$I$5="No",BB317&lt;&gt;"✓")),OR('Tasks Filter'!$L$3="",AV317='Tasks Filter'!$L$3),OR('Tasks Filter'!$L$4="",AZ317='Tasks Filter'!$L$4),OR('Tasks Filter'!$L$5="",BC317='Tasks Filter'!$L$5),OR('Tasks Filter'!$O$3="",BD317='Tasks Filter'!$O$3),OR('Tasks Filter'!$O$4="Yes",BG317=0)),1,0))</f>
        <v/>
      </c>
      <c r="BJ317">
        <f>IF(BH317=0,"",IF('Tasks Filter'!$F$6="Descending",-1,1)*CHOOSE(MATCH('Tasks Filter'!$F$5,Lists!$G$2:$G$6,0),AW317,BF317,IFERROR(MATCH(AV317,Setup!$F$6:$F$15,0),99),IFERROR(MATCH(BC317,Setup!$H$6:$H$15,0),99),IFERROR(MATCH(AZ317,Setup!$J$6:$J$11,0),99))*1E+9+(AW317-40000)*10000+316)</f>
        <v/>
      </c>
      <c r="BK317">
        <f>IF(BI317=1,BJ317,"")</f>
        <v/>
      </c>
      <c r="BL317">
        <f>IF(AND(BH317=1,BG317=0,N(AW317)&lt;Setup!$D$7),(AW317-40000)*10000+316,"")</f>
        <v/>
      </c>
      <c r="BM317">
        <f>IF(AND(BH317=1,AZ317&lt;&gt;"Cancelled",N(AW317)&gt;=Dashboard!$AB$3,N(AW317)&lt;=Dashboard!$AB$3+6),(AW317-40000)*100000+BF317*10000+316,"")</f>
        <v/>
      </c>
      <c r="BN317">
        <f>IF(AND(BH317=1,AZ317&lt;&gt;"Cancelled"),BF317*10000+316,"")</f>
        <v/>
      </c>
    </row>
    <row r="318">
      <c r="A318">
        <f>Setup!$D$5+316</f>
        <v/>
      </c>
      <c r="B318">
        <f>IF('Recurring Schedule'!$C$6="","",IF('Recurring Schedule'!$F$6="","",IF(OR($A318&lt;'Recurring Schedule'!$F$6,$A318&gt;'Recurring Schedule'!$P$6),"",IF(IF('Recurring Schedule'!$N$6&gt;0,MOD($A318-'Recurring Schedule'!$F$6,'Recurring Schedule'!$N$6)=0,IF('Recurring Schedule'!$O$6&gt;0,AND(DAY($A318)=MIN(DAY('Recurring Schedule'!$F$6),DAY(EOMONTH($A318,0))),MOD((YEAR($A318)-YEAR('Recurring Schedule'!$F$6))*12+MONTH($A318)-MONTH('Recurring Schedule'!$F$6),'Recurring Schedule'!$O$6)=0),IF('Recurring Schedule'!$E$6="Weekdays",WEEKDAY($A318,2)&lt;=5,$A318='Recurring Schedule'!$F$6))),1,""))))</f>
        <v/>
      </c>
      <c r="C318">
        <f>IF('Recurring Schedule'!$C$7="","",IF('Recurring Schedule'!$F$7="","",IF(OR($A318&lt;'Recurring Schedule'!$F$7,$A318&gt;'Recurring Schedule'!$P$7),"",IF(IF('Recurring Schedule'!$N$7&gt;0,MOD($A318-'Recurring Schedule'!$F$7,'Recurring Schedule'!$N$7)=0,IF('Recurring Schedule'!$O$7&gt;0,AND(DAY($A318)=MIN(DAY('Recurring Schedule'!$F$7),DAY(EOMONTH($A318,0))),MOD((YEAR($A318)-YEAR('Recurring Schedule'!$F$7))*12+MONTH($A318)-MONTH('Recurring Schedule'!$F$7),'Recurring Schedule'!$O$7)=0),IF('Recurring Schedule'!$E$7="Weekdays",WEEKDAY($A318,2)&lt;=5,$A318='Recurring Schedule'!$F$7))),2,""))))</f>
        <v/>
      </c>
      <c r="D318">
        <f>IF('Recurring Schedule'!$C$8="","",IF('Recurring Schedule'!$F$8="","",IF(OR($A318&lt;'Recurring Schedule'!$F$8,$A318&gt;'Recurring Schedule'!$P$8),"",IF(IF('Recurring Schedule'!$N$8&gt;0,MOD($A318-'Recurring Schedule'!$F$8,'Recurring Schedule'!$N$8)=0,IF('Recurring Schedule'!$O$8&gt;0,AND(DAY($A318)=MIN(DAY('Recurring Schedule'!$F$8),DAY(EOMONTH($A318,0))),MOD((YEAR($A318)-YEAR('Recurring Schedule'!$F$8))*12+MONTH($A318)-MONTH('Recurring Schedule'!$F$8),'Recurring Schedule'!$O$8)=0),IF('Recurring Schedule'!$E$8="Weekdays",WEEKDAY($A318,2)&lt;=5,$A318='Recurring Schedule'!$F$8))),3,""))))</f>
        <v/>
      </c>
      <c r="E318">
        <f>IF('Recurring Schedule'!$C$9="","",IF('Recurring Schedule'!$F$9="","",IF(OR($A318&lt;'Recurring Schedule'!$F$9,$A318&gt;'Recurring Schedule'!$P$9),"",IF(IF('Recurring Schedule'!$N$9&gt;0,MOD($A318-'Recurring Schedule'!$F$9,'Recurring Schedule'!$N$9)=0,IF('Recurring Schedule'!$O$9&gt;0,AND(DAY($A318)=MIN(DAY('Recurring Schedule'!$F$9),DAY(EOMONTH($A318,0))),MOD((YEAR($A318)-YEAR('Recurring Schedule'!$F$9))*12+MONTH($A318)-MONTH('Recurring Schedule'!$F$9),'Recurring Schedule'!$O$9)=0),IF('Recurring Schedule'!$E$9="Weekdays",WEEKDAY($A318,2)&lt;=5,$A318='Recurring Schedule'!$F$9))),4,""))))</f>
        <v/>
      </c>
      <c r="F318">
        <f>IF('Recurring Schedule'!$C$10="","",IF('Recurring Schedule'!$F$10="","",IF(OR($A318&lt;'Recurring Schedule'!$F$10,$A318&gt;'Recurring Schedule'!$P$10),"",IF(IF('Recurring Schedule'!$N$10&gt;0,MOD($A318-'Recurring Schedule'!$F$10,'Recurring Schedule'!$N$10)=0,IF('Recurring Schedule'!$O$10&gt;0,AND(DAY($A318)=MIN(DAY('Recurring Schedule'!$F$10),DAY(EOMONTH($A318,0))),MOD((YEAR($A318)-YEAR('Recurring Schedule'!$F$10))*12+MONTH($A318)-MONTH('Recurring Schedule'!$F$10),'Recurring Schedule'!$O$10)=0),IF('Recurring Schedule'!$E$10="Weekdays",WEEKDAY($A318,2)&lt;=5,$A318='Recurring Schedule'!$F$10))),5,""))))</f>
        <v/>
      </c>
      <c r="G318">
        <f>IF('Recurring Schedule'!$C$11="","",IF('Recurring Schedule'!$F$11="","",IF(OR($A318&lt;'Recurring Schedule'!$F$11,$A318&gt;'Recurring Schedule'!$P$11),"",IF(IF('Recurring Schedule'!$N$11&gt;0,MOD($A318-'Recurring Schedule'!$F$11,'Recurring Schedule'!$N$11)=0,IF('Recurring Schedule'!$O$11&gt;0,AND(DAY($A318)=MIN(DAY('Recurring Schedule'!$F$11),DAY(EOMONTH($A318,0))),MOD((YEAR($A318)-YEAR('Recurring Schedule'!$F$11))*12+MONTH($A318)-MONTH('Recurring Schedule'!$F$11),'Recurring Schedule'!$O$11)=0),IF('Recurring Schedule'!$E$11="Weekdays",WEEKDAY($A318,2)&lt;=5,$A318='Recurring Schedule'!$F$11))),6,""))))</f>
        <v/>
      </c>
      <c r="H318">
        <f>IF('Recurring Schedule'!$C$12="","",IF('Recurring Schedule'!$F$12="","",IF(OR($A318&lt;'Recurring Schedule'!$F$12,$A318&gt;'Recurring Schedule'!$P$12),"",IF(IF('Recurring Schedule'!$N$12&gt;0,MOD($A318-'Recurring Schedule'!$F$12,'Recurring Schedule'!$N$12)=0,IF('Recurring Schedule'!$O$12&gt;0,AND(DAY($A318)=MIN(DAY('Recurring Schedule'!$F$12),DAY(EOMONTH($A318,0))),MOD((YEAR($A318)-YEAR('Recurring Schedule'!$F$12))*12+MONTH($A318)-MONTH('Recurring Schedule'!$F$12),'Recurring Schedule'!$O$12)=0),IF('Recurring Schedule'!$E$12="Weekdays",WEEKDAY($A318,2)&lt;=5,$A318='Recurring Schedule'!$F$12))),7,""))))</f>
        <v/>
      </c>
      <c r="I318">
        <f>IF('Recurring Schedule'!$C$13="","",IF('Recurring Schedule'!$F$13="","",IF(OR($A318&lt;'Recurring Schedule'!$F$13,$A318&gt;'Recurring Schedule'!$P$13),"",IF(IF('Recurring Schedule'!$N$13&gt;0,MOD($A318-'Recurring Schedule'!$F$13,'Recurring Schedule'!$N$13)=0,IF('Recurring Schedule'!$O$13&gt;0,AND(DAY($A318)=MIN(DAY('Recurring Schedule'!$F$13),DAY(EOMONTH($A318,0))),MOD((YEAR($A318)-YEAR('Recurring Schedule'!$F$13))*12+MONTH($A318)-MONTH('Recurring Schedule'!$F$13),'Recurring Schedule'!$O$13)=0),IF('Recurring Schedule'!$E$13="Weekdays",WEEKDAY($A318,2)&lt;=5,$A318='Recurring Schedule'!$F$13))),8,""))))</f>
        <v/>
      </c>
      <c r="J318">
        <f>IF('Recurring Schedule'!$C$14="","",IF('Recurring Schedule'!$F$14="","",IF(OR($A318&lt;'Recurring Schedule'!$F$14,$A318&gt;'Recurring Schedule'!$P$14),"",IF(IF('Recurring Schedule'!$N$14&gt;0,MOD($A318-'Recurring Schedule'!$F$14,'Recurring Schedule'!$N$14)=0,IF('Recurring Schedule'!$O$14&gt;0,AND(DAY($A318)=MIN(DAY('Recurring Schedule'!$F$14),DAY(EOMONTH($A318,0))),MOD((YEAR($A318)-YEAR('Recurring Schedule'!$F$14))*12+MONTH($A318)-MONTH('Recurring Schedule'!$F$14),'Recurring Schedule'!$O$14)=0),IF('Recurring Schedule'!$E$14="Weekdays",WEEKDAY($A318,2)&lt;=5,$A318='Recurring Schedule'!$F$14))),9,""))))</f>
        <v/>
      </c>
      <c r="K318">
        <f>IF('Recurring Schedule'!$C$15="","",IF('Recurring Schedule'!$F$15="","",IF(OR($A318&lt;'Recurring Schedule'!$F$15,$A318&gt;'Recurring Schedule'!$P$15),"",IF(IF('Recurring Schedule'!$N$15&gt;0,MOD($A318-'Recurring Schedule'!$F$15,'Recurring Schedule'!$N$15)=0,IF('Recurring Schedule'!$O$15&gt;0,AND(DAY($A318)=MIN(DAY('Recurring Schedule'!$F$15),DAY(EOMONTH($A318,0))),MOD((YEAR($A318)-YEAR('Recurring Schedule'!$F$15))*12+MONTH($A318)-MONTH('Recurring Schedule'!$F$15),'Recurring Schedule'!$O$15)=0),IF('Recurring Schedule'!$E$15="Weekdays",WEEKDAY($A318,2)&lt;=5,$A318='Recurring Schedule'!$F$15))),10,""))))</f>
        <v/>
      </c>
      <c r="L318">
        <f>IF('Recurring Schedule'!$C$16="","",IF('Recurring Schedule'!$F$16="","",IF(OR($A318&lt;'Recurring Schedule'!$F$16,$A318&gt;'Recurring Schedule'!$P$16),"",IF(IF('Recurring Schedule'!$N$16&gt;0,MOD($A318-'Recurring Schedule'!$F$16,'Recurring Schedule'!$N$16)=0,IF('Recurring Schedule'!$O$16&gt;0,AND(DAY($A318)=MIN(DAY('Recurring Schedule'!$F$16),DAY(EOMONTH($A318,0))),MOD((YEAR($A318)-YEAR('Recurring Schedule'!$F$16))*12+MONTH($A318)-MONTH('Recurring Schedule'!$F$16),'Recurring Schedule'!$O$16)=0),IF('Recurring Schedule'!$E$16="Weekdays",WEEKDAY($A318,2)&lt;=5,$A318='Recurring Schedule'!$F$16))),11,""))))</f>
        <v/>
      </c>
      <c r="M318">
        <f>IF('Recurring Schedule'!$C$17="","",IF('Recurring Schedule'!$F$17="","",IF(OR($A318&lt;'Recurring Schedule'!$F$17,$A318&gt;'Recurring Schedule'!$P$17),"",IF(IF('Recurring Schedule'!$N$17&gt;0,MOD($A318-'Recurring Schedule'!$F$17,'Recurring Schedule'!$N$17)=0,IF('Recurring Schedule'!$O$17&gt;0,AND(DAY($A318)=MIN(DAY('Recurring Schedule'!$F$17),DAY(EOMONTH($A318,0))),MOD((YEAR($A318)-YEAR('Recurring Schedule'!$F$17))*12+MONTH($A318)-MONTH('Recurring Schedule'!$F$17),'Recurring Schedule'!$O$17)=0),IF('Recurring Schedule'!$E$17="Weekdays",WEEKDAY($A318,2)&lt;=5,$A318='Recurring Schedule'!$F$17))),12,""))))</f>
        <v/>
      </c>
      <c r="N318">
        <f>IF('Recurring Schedule'!$C$18="","",IF('Recurring Schedule'!$F$18="","",IF(OR($A318&lt;'Recurring Schedule'!$F$18,$A318&gt;'Recurring Schedule'!$P$18),"",IF(IF('Recurring Schedule'!$N$18&gt;0,MOD($A318-'Recurring Schedule'!$F$18,'Recurring Schedule'!$N$18)=0,IF('Recurring Schedule'!$O$18&gt;0,AND(DAY($A318)=MIN(DAY('Recurring Schedule'!$F$18),DAY(EOMONTH($A318,0))),MOD((YEAR($A318)-YEAR('Recurring Schedule'!$F$18))*12+MONTH($A318)-MONTH('Recurring Schedule'!$F$18),'Recurring Schedule'!$O$18)=0),IF('Recurring Schedule'!$E$18="Weekdays",WEEKDAY($A318,2)&lt;=5,$A318='Recurring Schedule'!$F$18))),13,""))))</f>
        <v/>
      </c>
      <c r="O318">
        <f>IF('Recurring Schedule'!$C$19="","",IF('Recurring Schedule'!$F$19="","",IF(OR($A318&lt;'Recurring Schedule'!$F$19,$A318&gt;'Recurring Schedule'!$P$19),"",IF(IF('Recurring Schedule'!$N$19&gt;0,MOD($A318-'Recurring Schedule'!$F$19,'Recurring Schedule'!$N$19)=0,IF('Recurring Schedule'!$O$19&gt;0,AND(DAY($A318)=MIN(DAY('Recurring Schedule'!$F$19),DAY(EOMONTH($A318,0))),MOD((YEAR($A318)-YEAR('Recurring Schedule'!$F$19))*12+MONTH($A318)-MONTH('Recurring Schedule'!$F$19),'Recurring Schedule'!$O$19)=0),IF('Recurring Schedule'!$E$19="Weekdays",WEEKDAY($A318,2)&lt;=5,$A318='Recurring Schedule'!$F$19))),14,""))))</f>
        <v/>
      </c>
      <c r="P318">
        <f>IF('Recurring Schedule'!$C$20="","",IF('Recurring Schedule'!$F$20="","",IF(OR($A318&lt;'Recurring Schedule'!$F$20,$A318&gt;'Recurring Schedule'!$P$20),"",IF(IF('Recurring Schedule'!$N$20&gt;0,MOD($A318-'Recurring Schedule'!$F$20,'Recurring Schedule'!$N$20)=0,IF('Recurring Schedule'!$O$20&gt;0,AND(DAY($A318)=MIN(DAY('Recurring Schedule'!$F$20),DAY(EOMONTH($A318,0))),MOD((YEAR($A318)-YEAR('Recurring Schedule'!$F$20))*12+MONTH($A318)-MONTH('Recurring Schedule'!$F$20),'Recurring Schedule'!$O$20)=0),IF('Recurring Schedule'!$E$20="Weekdays",WEEKDAY($A318,2)&lt;=5,$A318='Recurring Schedule'!$F$20))),15,""))))</f>
        <v/>
      </c>
      <c r="Q318">
        <f>IF('Recurring Schedule'!$C$21="","",IF('Recurring Schedule'!$F$21="","",IF(OR($A318&lt;'Recurring Schedule'!$F$21,$A318&gt;'Recurring Schedule'!$P$21),"",IF(IF('Recurring Schedule'!$N$21&gt;0,MOD($A318-'Recurring Schedule'!$F$21,'Recurring Schedule'!$N$21)=0,IF('Recurring Schedule'!$O$21&gt;0,AND(DAY($A318)=MIN(DAY('Recurring Schedule'!$F$21),DAY(EOMONTH($A318,0))),MOD((YEAR($A318)-YEAR('Recurring Schedule'!$F$21))*12+MONTH($A318)-MONTH('Recurring Schedule'!$F$21),'Recurring Schedule'!$O$21)=0),IF('Recurring Schedule'!$E$21="Weekdays",WEEKDAY($A318,2)&lt;=5,$A318='Recurring Schedule'!$F$21))),16,""))))</f>
        <v/>
      </c>
      <c r="R318">
        <f>IF('Recurring Schedule'!$C$22="","",IF('Recurring Schedule'!$F$22="","",IF(OR($A318&lt;'Recurring Schedule'!$F$22,$A318&gt;'Recurring Schedule'!$P$22),"",IF(IF('Recurring Schedule'!$N$22&gt;0,MOD($A318-'Recurring Schedule'!$F$22,'Recurring Schedule'!$N$22)=0,IF('Recurring Schedule'!$O$22&gt;0,AND(DAY($A318)=MIN(DAY('Recurring Schedule'!$F$22),DAY(EOMONTH($A318,0))),MOD((YEAR($A318)-YEAR('Recurring Schedule'!$F$22))*12+MONTH($A318)-MONTH('Recurring Schedule'!$F$22),'Recurring Schedule'!$O$22)=0),IF('Recurring Schedule'!$E$22="Weekdays",WEEKDAY($A318,2)&lt;=5,$A318='Recurring Schedule'!$F$22))),17,""))))</f>
        <v/>
      </c>
      <c r="S318">
        <f>IF('Recurring Schedule'!$C$23="","",IF('Recurring Schedule'!$F$23="","",IF(OR($A318&lt;'Recurring Schedule'!$F$23,$A318&gt;'Recurring Schedule'!$P$23),"",IF(IF('Recurring Schedule'!$N$23&gt;0,MOD($A318-'Recurring Schedule'!$F$23,'Recurring Schedule'!$N$23)=0,IF('Recurring Schedule'!$O$23&gt;0,AND(DAY($A318)=MIN(DAY('Recurring Schedule'!$F$23),DAY(EOMONTH($A318,0))),MOD((YEAR($A318)-YEAR('Recurring Schedule'!$F$23))*12+MONTH($A318)-MONTH('Recurring Schedule'!$F$23),'Recurring Schedule'!$O$23)=0),IF('Recurring Schedule'!$E$23="Weekdays",WEEKDAY($A318,2)&lt;=5,$A318='Recurring Schedule'!$F$23))),18,""))))</f>
        <v/>
      </c>
      <c r="T318">
        <f>IF('Recurring Schedule'!$C$24="","",IF('Recurring Schedule'!$F$24="","",IF(OR($A318&lt;'Recurring Schedule'!$F$24,$A318&gt;'Recurring Schedule'!$P$24),"",IF(IF('Recurring Schedule'!$N$24&gt;0,MOD($A318-'Recurring Schedule'!$F$24,'Recurring Schedule'!$N$24)=0,IF('Recurring Schedule'!$O$24&gt;0,AND(DAY($A318)=MIN(DAY('Recurring Schedule'!$F$24),DAY(EOMONTH($A318,0))),MOD((YEAR($A318)-YEAR('Recurring Schedule'!$F$24))*12+MONTH($A318)-MONTH('Recurring Schedule'!$F$24),'Recurring Schedule'!$O$24)=0),IF('Recurring Schedule'!$E$24="Weekdays",WEEKDAY($A318,2)&lt;=5,$A318='Recurring Schedule'!$F$24))),19,""))))</f>
        <v/>
      </c>
      <c r="U318">
        <f>IF('Recurring Schedule'!$C$25="","",IF('Recurring Schedule'!$F$25="","",IF(OR($A318&lt;'Recurring Schedule'!$F$25,$A318&gt;'Recurring Schedule'!$P$25),"",IF(IF('Recurring Schedule'!$N$25&gt;0,MOD($A318-'Recurring Schedule'!$F$25,'Recurring Schedule'!$N$25)=0,IF('Recurring Schedule'!$O$25&gt;0,AND(DAY($A318)=MIN(DAY('Recurring Schedule'!$F$25),DAY(EOMONTH($A318,0))),MOD((YEAR($A318)-YEAR('Recurring Schedule'!$F$25))*12+MONTH($A318)-MONTH('Recurring Schedule'!$F$25),'Recurring Schedule'!$O$25)=0),IF('Recurring Schedule'!$E$25="Weekdays",WEEKDAY($A318,2)&lt;=5,$A318='Recurring Schedule'!$F$25))),20,""))))</f>
        <v/>
      </c>
      <c r="V318">
        <f>IF('Recurring Schedule'!$C$26="","",IF('Recurring Schedule'!$F$26="","",IF(OR($A318&lt;'Recurring Schedule'!$F$26,$A318&gt;'Recurring Schedule'!$P$26),"",IF(IF('Recurring Schedule'!$N$26&gt;0,MOD($A318-'Recurring Schedule'!$F$26,'Recurring Schedule'!$N$26)=0,IF('Recurring Schedule'!$O$26&gt;0,AND(DAY($A318)=MIN(DAY('Recurring Schedule'!$F$26),DAY(EOMONTH($A318,0))),MOD((YEAR($A318)-YEAR('Recurring Schedule'!$F$26))*12+MONTH($A318)-MONTH('Recurring Schedule'!$F$26),'Recurring Schedule'!$O$26)=0),IF('Recurring Schedule'!$E$26="Weekdays",WEEKDAY($A318,2)&lt;=5,$A318='Recurring Schedule'!$F$26))),21,""))))</f>
        <v/>
      </c>
      <c r="W318">
        <f>IF('Recurring Schedule'!$C$27="","",IF('Recurring Schedule'!$F$27="","",IF(OR($A318&lt;'Recurring Schedule'!$F$27,$A318&gt;'Recurring Schedule'!$P$27),"",IF(IF('Recurring Schedule'!$N$27&gt;0,MOD($A318-'Recurring Schedule'!$F$27,'Recurring Schedule'!$N$27)=0,IF('Recurring Schedule'!$O$27&gt;0,AND(DAY($A318)=MIN(DAY('Recurring Schedule'!$F$27),DAY(EOMONTH($A318,0))),MOD((YEAR($A318)-YEAR('Recurring Schedule'!$F$27))*12+MONTH($A318)-MONTH('Recurring Schedule'!$F$27),'Recurring Schedule'!$O$27)=0),IF('Recurring Schedule'!$E$27="Weekdays",WEEKDAY($A318,2)&lt;=5,$A318='Recurring Schedule'!$F$27))),22,""))))</f>
        <v/>
      </c>
      <c r="X318">
        <f>IF('Recurring Schedule'!$C$28="","",IF('Recurring Schedule'!$F$28="","",IF(OR($A318&lt;'Recurring Schedule'!$F$28,$A318&gt;'Recurring Schedule'!$P$28),"",IF(IF('Recurring Schedule'!$N$28&gt;0,MOD($A318-'Recurring Schedule'!$F$28,'Recurring Schedule'!$N$28)=0,IF('Recurring Schedule'!$O$28&gt;0,AND(DAY($A318)=MIN(DAY('Recurring Schedule'!$F$28),DAY(EOMONTH($A318,0))),MOD((YEAR($A318)-YEAR('Recurring Schedule'!$F$28))*12+MONTH($A318)-MONTH('Recurring Schedule'!$F$28),'Recurring Schedule'!$O$28)=0),IF('Recurring Schedule'!$E$28="Weekdays",WEEKDAY($A318,2)&lt;=5,$A318='Recurring Schedule'!$F$28))),23,""))))</f>
        <v/>
      </c>
      <c r="Y318">
        <f>IF('Recurring Schedule'!$C$29="","",IF('Recurring Schedule'!$F$29="","",IF(OR($A318&lt;'Recurring Schedule'!$F$29,$A318&gt;'Recurring Schedule'!$P$29),"",IF(IF('Recurring Schedule'!$N$29&gt;0,MOD($A318-'Recurring Schedule'!$F$29,'Recurring Schedule'!$N$29)=0,IF('Recurring Schedule'!$O$29&gt;0,AND(DAY($A318)=MIN(DAY('Recurring Schedule'!$F$29),DAY(EOMONTH($A318,0))),MOD((YEAR($A318)-YEAR('Recurring Schedule'!$F$29))*12+MONTH($A318)-MONTH('Recurring Schedule'!$F$29),'Recurring Schedule'!$O$29)=0),IF('Recurring Schedule'!$E$29="Weekdays",WEEKDAY($A318,2)&lt;=5,$A318='Recurring Schedule'!$F$29))),24,""))))</f>
        <v/>
      </c>
      <c r="Z318">
        <f>IF('Recurring Schedule'!$C$30="","",IF('Recurring Schedule'!$F$30="","",IF(OR($A318&lt;'Recurring Schedule'!$F$30,$A318&gt;'Recurring Schedule'!$P$30),"",IF(IF('Recurring Schedule'!$N$30&gt;0,MOD($A318-'Recurring Schedule'!$F$30,'Recurring Schedule'!$N$30)=0,IF('Recurring Schedule'!$O$30&gt;0,AND(DAY($A318)=MIN(DAY('Recurring Schedule'!$F$30),DAY(EOMONTH($A318,0))),MOD((YEAR($A318)-YEAR('Recurring Schedule'!$F$30))*12+MONTH($A318)-MONTH('Recurring Schedule'!$F$30),'Recurring Schedule'!$O$30)=0),IF('Recurring Schedule'!$E$30="Weekdays",WEEKDAY($A318,2)&lt;=5,$A318='Recurring Schedule'!$F$30))),25,""))))</f>
        <v/>
      </c>
      <c r="AA318">
        <f>IF('Recurring Schedule'!$C$31="","",IF('Recurring Schedule'!$F$31="","",IF(OR($A318&lt;'Recurring Schedule'!$F$31,$A318&gt;'Recurring Schedule'!$P$31),"",IF(IF('Recurring Schedule'!$N$31&gt;0,MOD($A318-'Recurring Schedule'!$F$31,'Recurring Schedule'!$N$31)=0,IF('Recurring Schedule'!$O$31&gt;0,AND(DAY($A318)=MIN(DAY('Recurring Schedule'!$F$31),DAY(EOMONTH($A318,0))),MOD((YEAR($A318)-YEAR('Recurring Schedule'!$F$31))*12+MONTH($A318)-MONTH('Recurring Schedule'!$F$31),'Recurring Schedule'!$O$31)=0),IF('Recurring Schedule'!$E$31="Weekdays",WEEKDAY($A318,2)&lt;=5,$A318='Recurring Schedule'!$F$31))),26,""))))</f>
        <v/>
      </c>
      <c r="AB318">
        <f>IF('Recurring Schedule'!$C$32="","",IF('Recurring Schedule'!$F$32="","",IF(OR($A318&lt;'Recurring Schedule'!$F$32,$A318&gt;'Recurring Schedule'!$P$32),"",IF(IF('Recurring Schedule'!$N$32&gt;0,MOD($A318-'Recurring Schedule'!$F$32,'Recurring Schedule'!$N$32)=0,IF('Recurring Schedule'!$O$32&gt;0,AND(DAY($A318)=MIN(DAY('Recurring Schedule'!$F$32),DAY(EOMONTH($A318,0))),MOD((YEAR($A318)-YEAR('Recurring Schedule'!$F$32))*12+MONTH($A318)-MONTH('Recurring Schedule'!$F$32),'Recurring Schedule'!$O$32)=0),IF('Recurring Schedule'!$E$32="Weekdays",WEEKDAY($A318,2)&lt;=5,$A318='Recurring Schedule'!$F$32))),27,""))))</f>
        <v/>
      </c>
      <c r="AC318">
        <f>IF('Recurring Schedule'!$C$33="","",IF('Recurring Schedule'!$F$33="","",IF(OR($A318&lt;'Recurring Schedule'!$F$33,$A318&gt;'Recurring Schedule'!$P$33),"",IF(IF('Recurring Schedule'!$N$33&gt;0,MOD($A318-'Recurring Schedule'!$F$33,'Recurring Schedule'!$N$33)=0,IF('Recurring Schedule'!$O$33&gt;0,AND(DAY($A318)=MIN(DAY('Recurring Schedule'!$F$33),DAY(EOMONTH($A318,0))),MOD((YEAR($A318)-YEAR('Recurring Schedule'!$F$33))*12+MONTH($A318)-MONTH('Recurring Schedule'!$F$33),'Recurring Schedule'!$O$33)=0),IF('Recurring Schedule'!$E$33="Weekdays",WEEKDAY($A318,2)&lt;=5,$A318='Recurring Schedule'!$F$33))),28,""))))</f>
        <v/>
      </c>
      <c r="AD318">
        <f>IF('Recurring Schedule'!$C$34="","",IF('Recurring Schedule'!$F$34="","",IF(OR($A318&lt;'Recurring Schedule'!$F$34,$A318&gt;'Recurring Schedule'!$P$34),"",IF(IF('Recurring Schedule'!$N$34&gt;0,MOD($A318-'Recurring Schedule'!$F$34,'Recurring Schedule'!$N$34)=0,IF('Recurring Schedule'!$O$34&gt;0,AND(DAY($A318)=MIN(DAY('Recurring Schedule'!$F$34),DAY(EOMONTH($A318,0))),MOD((YEAR($A318)-YEAR('Recurring Schedule'!$F$34))*12+MONTH($A318)-MONTH('Recurring Schedule'!$F$34),'Recurring Schedule'!$O$34)=0),IF('Recurring Schedule'!$E$34="Weekdays",WEEKDAY($A318,2)&lt;=5,$A318='Recurring Schedule'!$F$34))),29,""))))</f>
        <v/>
      </c>
      <c r="AE318">
        <f>IF('Recurring Schedule'!$C$35="","",IF('Recurring Schedule'!$F$35="","",IF(OR($A318&lt;'Recurring Schedule'!$F$35,$A318&gt;'Recurring Schedule'!$P$35),"",IF(IF('Recurring Schedule'!$N$35&gt;0,MOD($A318-'Recurring Schedule'!$F$35,'Recurring Schedule'!$N$35)=0,IF('Recurring Schedule'!$O$35&gt;0,AND(DAY($A318)=MIN(DAY('Recurring Schedule'!$F$35),DAY(EOMONTH($A318,0))),MOD((YEAR($A318)-YEAR('Recurring Schedule'!$F$35))*12+MONTH($A318)-MONTH('Recurring Schedule'!$F$35),'Recurring Schedule'!$O$35)=0),IF('Recurring Schedule'!$E$35="Weekdays",WEEKDAY($A318,2)&lt;=5,$A318='Recurring Schedule'!$F$35))),30,""))))</f>
        <v/>
      </c>
      <c r="AF318">
        <f>IF('Recurring Schedule'!$C$36="","",IF('Recurring Schedule'!$F$36="","",IF(OR($A318&lt;'Recurring Schedule'!$F$36,$A318&gt;'Recurring Schedule'!$P$36),"",IF(IF('Recurring Schedule'!$N$36&gt;0,MOD($A318-'Recurring Schedule'!$F$36,'Recurring Schedule'!$N$36)=0,IF('Recurring Schedule'!$O$36&gt;0,AND(DAY($A318)=MIN(DAY('Recurring Schedule'!$F$36),DAY(EOMONTH($A318,0))),MOD((YEAR($A318)-YEAR('Recurring Schedule'!$F$36))*12+MONTH($A318)-MONTH('Recurring Schedule'!$F$36),'Recurring Schedule'!$O$36)=0),IF('Recurring Schedule'!$E$36="Weekdays",WEEKDAY($A318,2)&lt;=5,$A318='Recurring Schedule'!$F$36))),31,""))))</f>
        <v/>
      </c>
      <c r="AG318">
        <f>IF('Recurring Schedule'!$C$37="","",IF('Recurring Schedule'!$F$37="","",IF(OR($A318&lt;'Recurring Schedule'!$F$37,$A318&gt;'Recurring Schedule'!$P$37),"",IF(IF('Recurring Schedule'!$N$37&gt;0,MOD($A318-'Recurring Schedule'!$F$37,'Recurring Schedule'!$N$37)=0,IF('Recurring Schedule'!$O$37&gt;0,AND(DAY($A318)=MIN(DAY('Recurring Schedule'!$F$37),DAY(EOMONTH($A318,0))),MOD((YEAR($A318)-YEAR('Recurring Schedule'!$F$37))*12+MONTH($A318)-MONTH('Recurring Schedule'!$F$37),'Recurring Schedule'!$O$37)=0),IF('Recurring Schedule'!$E$37="Weekdays",WEEKDAY($A318,2)&lt;=5,$A318='Recurring Schedule'!$F$37))),32,""))))</f>
        <v/>
      </c>
      <c r="AH318">
        <f>IF('Recurring Schedule'!$C$38="","",IF('Recurring Schedule'!$F$38="","",IF(OR($A318&lt;'Recurring Schedule'!$F$38,$A318&gt;'Recurring Schedule'!$P$38),"",IF(IF('Recurring Schedule'!$N$38&gt;0,MOD($A318-'Recurring Schedule'!$F$38,'Recurring Schedule'!$N$38)=0,IF('Recurring Schedule'!$O$38&gt;0,AND(DAY($A318)=MIN(DAY('Recurring Schedule'!$F$38),DAY(EOMONTH($A318,0))),MOD((YEAR($A318)-YEAR('Recurring Schedule'!$F$38))*12+MONTH($A318)-MONTH('Recurring Schedule'!$F$38),'Recurring Schedule'!$O$38)=0),IF('Recurring Schedule'!$E$38="Weekdays",WEEKDAY($A318,2)&lt;=5,$A318='Recurring Schedule'!$F$38))),33,""))))</f>
        <v/>
      </c>
      <c r="AI318">
        <f>IF('Recurring Schedule'!$C$39="","",IF('Recurring Schedule'!$F$39="","",IF(OR($A318&lt;'Recurring Schedule'!$F$39,$A318&gt;'Recurring Schedule'!$P$39),"",IF(IF('Recurring Schedule'!$N$39&gt;0,MOD($A318-'Recurring Schedule'!$F$39,'Recurring Schedule'!$N$39)=0,IF('Recurring Schedule'!$O$39&gt;0,AND(DAY($A318)=MIN(DAY('Recurring Schedule'!$F$39),DAY(EOMONTH($A318,0))),MOD((YEAR($A318)-YEAR('Recurring Schedule'!$F$39))*12+MONTH($A318)-MONTH('Recurring Schedule'!$F$39),'Recurring Schedule'!$O$39)=0),IF('Recurring Schedule'!$E$39="Weekdays",WEEKDAY($A318,2)&lt;=5,$A318='Recurring Schedule'!$F$39))),34,""))))</f>
        <v/>
      </c>
      <c r="AJ318">
        <f>IF('Recurring Schedule'!$C$40="","",IF('Recurring Schedule'!$F$40="","",IF(OR($A318&lt;'Recurring Schedule'!$F$40,$A318&gt;'Recurring Schedule'!$P$40),"",IF(IF('Recurring Schedule'!$N$40&gt;0,MOD($A318-'Recurring Schedule'!$F$40,'Recurring Schedule'!$N$40)=0,IF('Recurring Schedule'!$O$40&gt;0,AND(DAY($A318)=MIN(DAY('Recurring Schedule'!$F$40),DAY(EOMONTH($A318,0))),MOD((YEAR($A318)-YEAR('Recurring Schedule'!$F$40))*12+MONTH($A318)-MONTH('Recurring Schedule'!$F$40),'Recurring Schedule'!$O$40)=0),IF('Recurring Schedule'!$E$40="Weekdays",WEEKDAY($A318,2)&lt;=5,$A318='Recurring Schedule'!$F$40))),35,""))))</f>
        <v/>
      </c>
      <c r="AK318">
        <f>IF('Recurring Schedule'!$C$41="","",IF('Recurring Schedule'!$F$41="","",IF(OR($A318&lt;'Recurring Schedule'!$F$41,$A318&gt;'Recurring Schedule'!$P$41),"",IF(IF('Recurring Schedule'!$N$41&gt;0,MOD($A318-'Recurring Schedule'!$F$41,'Recurring Schedule'!$N$41)=0,IF('Recurring Schedule'!$O$41&gt;0,AND(DAY($A318)=MIN(DAY('Recurring Schedule'!$F$41),DAY(EOMONTH($A318,0))),MOD((YEAR($A318)-YEAR('Recurring Schedule'!$F$41))*12+MONTH($A318)-MONTH('Recurring Schedule'!$F$41),'Recurring Schedule'!$O$41)=0),IF('Recurring Schedule'!$E$41="Weekdays",WEEKDAY($A318,2)&lt;=5,$A318='Recurring Schedule'!$F$41))),36,""))))</f>
        <v/>
      </c>
      <c r="AL318">
        <f>IF('Recurring Schedule'!$C$42="","",IF('Recurring Schedule'!$F$42="","",IF(OR($A318&lt;'Recurring Schedule'!$F$42,$A318&gt;'Recurring Schedule'!$P$42),"",IF(IF('Recurring Schedule'!$N$42&gt;0,MOD($A318-'Recurring Schedule'!$F$42,'Recurring Schedule'!$N$42)=0,IF('Recurring Schedule'!$O$42&gt;0,AND(DAY($A318)=MIN(DAY('Recurring Schedule'!$F$42),DAY(EOMONTH($A318,0))),MOD((YEAR($A318)-YEAR('Recurring Schedule'!$F$42))*12+MONTH($A318)-MONTH('Recurring Schedule'!$F$42),'Recurring Schedule'!$O$42)=0),IF('Recurring Schedule'!$E$42="Weekdays",WEEKDAY($A318,2)&lt;=5,$A318='Recurring Schedule'!$F$42))),37,""))))</f>
        <v/>
      </c>
      <c r="AM318">
        <f>IF('Recurring Schedule'!$C$43="","",IF('Recurring Schedule'!$F$43="","",IF(OR($A318&lt;'Recurring Schedule'!$F$43,$A318&gt;'Recurring Schedule'!$P$43),"",IF(IF('Recurring Schedule'!$N$43&gt;0,MOD($A318-'Recurring Schedule'!$F$43,'Recurring Schedule'!$N$43)=0,IF('Recurring Schedule'!$O$43&gt;0,AND(DAY($A318)=MIN(DAY('Recurring Schedule'!$F$43),DAY(EOMONTH($A318,0))),MOD((YEAR($A318)-YEAR('Recurring Schedule'!$F$43))*12+MONTH($A318)-MONTH('Recurring Schedule'!$F$43),'Recurring Schedule'!$O$43)=0),IF('Recurring Schedule'!$E$43="Weekdays",WEEKDAY($A318,2)&lt;=5,$A318='Recurring Schedule'!$F$43))),38,""))))</f>
        <v/>
      </c>
      <c r="AN318">
        <f>IF('Recurring Schedule'!$C$44="","",IF('Recurring Schedule'!$F$44="","",IF(OR($A318&lt;'Recurring Schedule'!$F$44,$A318&gt;'Recurring Schedule'!$P$44),"",IF(IF('Recurring Schedule'!$N$44&gt;0,MOD($A318-'Recurring Schedule'!$F$44,'Recurring Schedule'!$N$44)=0,IF('Recurring Schedule'!$O$44&gt;0,AND(DAY($A318)=MIN(DAY('Recurring Schedule'!$F$44),DAY(EOMONTH($A318,0))),MOD((YEAR($A318)-YEAR('Recurring Schedule'!$F$44))*12+MONTH($A318)-MONTH('Recurring Schedule'!$F$44),'Recurring Schedule'!$O$44)=0),IF('Recurring Schedule'!$E$44="Weekdays",WEEKDAY($A318,2)&lt;=5,$A318='Recurring Schedule'!$F$44))),39,""))))</f>
        <v/>
      </c>
      <c r="AO318">
        <f>IF('Recurring Schedule'!$C$45="","",IF('Recurring Schedule'!$F$45="","",IF(OR($A318&lt;'Recurring Schedule'!$F$45,$A318&gt;'Recurring Schedule'!$P$45),"",IF(IF('Recurring Schedule'!$N$45&gt;0,MOD($A318-'Recurring Schedule'!$F$45,'Recurring Schedule'!$N$45)=0,IF('Recurring Schedule'!$O$45&gt;0,AND(DAY($A318)=MIN(DAY('Recurring Schedule'!$F$45),DAY(EOMONTH($A318,0))),MOD((YEAR($A318)-YEAR('Recurring Schedule'!$F$45))*12+MONTH($A318)-MONTH('Recurring Schedule'!$F$45),'Recurring Schedule'!$O$45)=0),IF('Recurring Schedule'!$E$45="Weekdays",WEEKDAY($A318,2)&lt;=5,$A318='Recurring Schedule'!$F$45))),40,""))))</f>
        <v/>
      </c>
      <c r="AP318">
        <f>COUNT(B318:AO318)</f>
        <v/>
      </c>
      <c r="AQ318">
        <f>AQ317+AP317</f>
        <v/>
      </c>
      <c r="AS318" t="inlineStr">
        <is>
          <t>R</t>
        </is>
      </c>
      <c r="AT318" t="n">
        <v>322</v>
      </c>
      <c r="AU318">
        <f>'Recurring Log'!C322&amp;""</f>
        <v/>
      </c>
      <c r="AV318">
        <f>'Recurring Log'!D322&amp;""</f>
        <v/>
      </c>
      <c r="AW318">
        <f>IF('Recurring Log'!E322="","",'Recurring Log'!E322)</f>
        <v/>
      </c>
      <c r="AX318">
        <f>IF('Recurring Log'!G322="","",'Recurring Log'!G322)</f>
        <v/>
      </c>
      <c r="AY318">
        <f>IF('Recurring Log'!H322="","",'Recurring Log'!H322)</f>
        <v/>
      </c>
      <c r="AZ318">
        <f>IF(AU318="","",IF('Recurring Log'!J322="","Not Started",'Recurring Log'!J322))</f>
        <v/>
      </c>
      <c r="BA318">
        <f>'Recurring Log'!L322&amp;""</f>
        <v/>
      </c>
      <c r="BB318">
        <f>'Recurring Log'!M322&amp;""</f>
        <v/>
      </c>
      <c r="BC318">
        <f>'Recurring Log'!N322&amp;""</f>
        <v/>
      </c>
      <c r="BD318">
        <f>'Recurring Log'!O322&amp;""</f>
        <v/>
      </c>
      <c r="BE318">
        <f>IF('Recurring Log'!K322="","",'Recurring Log'!K322)</f>
        <v/>
      </c>
      <c r="BF318">
        <f>IFERROR(MATCH(BA318,Setup!$L$6:$L$9,0),5)</f>
        <v/>
      </c>
      <c r="BG318">
        <f>IF(OR(AZ318="Done",AZ318="Cancelled"),1,0)</f>
        <v/>
      </c>
      <c r="BH318">
        <f>IF(AND(AU318&lt;&gt;"",ISNUMBER(AW318)),1,0)</f>
        <v/>
      </c>
      <c r="BI318">
        <f>IF(BH318=0,0,IF(AND(AW318&gt;='Tasks Filter'!$F$3,AW318&lt;='Tasks Filter'!$F$4,OR('Tasks Filter'!$I$3="",ISNUMBER(SEARCH('Tasks Filter'!$I$3,AU318))),OR('Tasks Filter'!$I$4="",BF318=IFERROR(MATCH('Tasks Filter'!$I$4,Setup!$L$6:$L$9,0),0)),OR('Tasks Filter'!$I$5="Both",AND('Tasks Filter'!$I$5="Yes",BB318="✓"),AND('Tasks Filter'!$I$5="No",BB318&lt;&gt;"✓")),OR('Tasks Filter'!$L$3="",AV318='Tasks Filter'!$L$3),OR('Tasks Filter'!$L$4="",AZ318='Tasks Filter'!$L$4),OR('Tasks Filter'!$L$5="",BC318='Tasks Filter'!$L$5),OR('Tasks Filter'!$O$3="",BD318='Tasks Filter'!$O$3),OR('Tasks Filter'!$O$4="Yes",BG318=0)),1,0))</f>
        <v/>
      </c>
      <c r="BJ318">
        <f>IF(BH318=0,"",IF('Tasks Filter'!$F$6="Descending",-1,1)*CHOOSE(MATCH('Tasks Filter'!$F$5,Lists!$G$2:$G$6,0),AW318,BF318,IFERROR(MATCH(AV318,Setup!$F$6:$F$15,0),99),IFERROR(MATCH(BC318,Setup!$H$6:$H$15,0),99),IFERROR(MATCH(AZ318,Setup!$J$6:$J$11,0),99))*1E+9+(AW318-40000)*10000+317)</f>
        <v/>
      </c>
      <c r="BK318">
        <f>IF(BI318=1,BJ318,"")</f>
        <v/>
      </c>
      <c r="BL318">
        <f>IF(AND(BH318=1,BG318=0,N(AW318)&lt;Setup!$D$7),(AW318-40000)*10000+317,"")</f>
        <v/>
      </c>
      <c r="BM318">
        <f>IF(AND(BH318=1,AZ318&lt;&gt;"Cancelled",N(AW318)&gt;=Dashboard!$AB$3,N(AW318)&lt;=Dashboard!$AB$3+6),(AW318-40000)*100000+BF318*10000+317,"")</f>
        <v/>
      </c>
      <c r="BN318">
        <f>IF(AND(BH318=1,AZ318&lt;&gt;"Cancelled"),BF318*10000+317,"")</f>
        <v/>
      </c>
    </row>
    <row r="319">
      <c r="A319">
        <f>Setup!$D$5+317</f>
        <v/>
      </c>
      <c r="B319">
        <f>IF('Recurring Schedule'!$C$6="","",IF('Recurring Schedule'!$F$6="","",IF(OR($A319&lt;'Recurring Schedule'!$F$6,$A319&gt;'Recurring Schedule'!$P$6),"",IF(IF('Recurring Schedule'!$N$6&gt;0,MOD($A319-'Recurring Schedule'!$F$6,'Recurring Schedule'!$N$6)=0,IF('Recurring Schedule'!$O$6&gt;0,AND(DAY($A319)=MIN(DAY('Recurring Schedule'!$F$6),DAY(EOMONTH($A319,0))),MOD((YEAR($A319)-YEAR('Recurring Schedule'!$F$6))*12+MONTH($A319)-MONTH('Recurring Schedule'!$F$6),'Recurring Schedule'!$O$6)=0),IF('Recurring Schedule'!$E$6="Weekdays",WEEKDAY($A319,2)&lt;=5,$A319='Recurring Schedule'!$F$6))),1,""))))</f>
        <v/>
      </c>
      <c r="C319">
        <f>IF('Recurring Schedule'!$C$7="","",IF('Recurring Schedule'!$F$7="","",IF(OR($A319&lt;'Recurring Schedule'!$F$7,$A319&gt;'Recurring Schedule'!$P$7),"",IF(IF('Recurring Schedule'!$N$7&gt;0,MOD($A319-'Recurring Schedule'!$F$7,'Recurring Schedule'!$N$7)=0,IF('Recurring Schedule'!$O$7&gt;0,AND(DAY($A319)=MIN(DAY('Recurring Schedule'!$F$7),DAY(EOMONTH($A319,0))),MOD((YEAR($A319)-YEAR('Recurring Schedule'!$F$7))*12+MONTH($A319)-MONTH('Recurring Schedule'!$F$7),'Recurring Schedule'!$O$7)=0),IF('Recurring Schedule'!$E$7="Weekdays",WEEKDAY($A319,2)&lt;=5,$A319='Recurring Schedule'!$F$7))),2,""))))</f>
        <v/>
      </c>
      <c r="D319">
        <f>IF('Recurring Schedule'!$C$8="","",IF('Recurring Schedule'!$F$8="","",IF(OR($A319&lt;'Recurring Schedule'!$F$8,$A319&gt;'Recurring Schedule'!$P$8),"",IF(IF('Recurring Schedule'!$N$8&gt;0,MOD($A319-'Recurring Schedule'!$F$8,'Recurring Schedule'!$N$8)=0,IF('Recurring Schedule'!$O$8&gt;0,AND(DAY($A319)=MIN(DAY('Recurring Schedule'!$F$8),DAY(EOMONTH($A319,0))),MOD((YEAR($A319)-YEAR('Recurring Schedule'!$F$8))*12+MONTH($A319)-MONTH('Recurring Schedule'!$F$8),'Recurring Schedule'!$O$8)=0),IF('Recurring Schedule'!$E$8="Weekdays",WEEKDAY($A319,2)&lt;=5,$A319='Recurring Schedule'!$F$8))),3,""))))</f>
        <v/>
      </c>
      <c r="E319">
        <f>IF('Recurring Schedule'!$C$9="","",IF('Recurring Schedule'!$F$9="","",IF(OR($A319&lt;'Recurring Schedule'!$F$9,$A319&gt;'Recurring Schedule'!$P$9),"",IF(IF('Recurring Schedule'!$N$9&gt;0,MOD($A319-'Recurring Schedule'!$F$9,'Recurring Schedule'!$N$9)=0,IF('Recurring Schedule'!$O$9&gt;0,AND(DAY($A319)=MIN(DAY('Recurring Schedule'!$F$9),DAY(EOMONTH($A319,0))),MOD((YEAR($A319)-YEAR('Recurring Schedule'!$F$9))*12+MONTH($A319)-MONTH('Recurring Schedule'!$F$9),'Recurring Schedule'!$O$9)=0),IF('Recurring Schedule'!$E$9="Weekdays",WEEKDAY($A319,2)&lt;=5,$A319='Recurring Schedule'!$F$9))),4,""))))</f>
        <v/>
      </c>
      <c r="F319">
        <f>IF('Recurring Schedule'!$C$10="","",IF('Recurring Schedule'!$F$10="","",IF(OR($A319&lt;'Recurring Schedule'!$F$10,$A319&gt;'Recurring Schedule'!$P$10),"",IF(IF('Recurring Schedule'!$N$10&gt;0,MOD($A319-'Recurring Schedule'!$F$10,'Recurring Schedule'!$N$10)=0,IF('Recurring Schedule'!$O$10&gt;0,AND(DAY($A319)=MIN(DAY('Recurring Schedule'!$F$10),DAY(EOMONTH($A319,0))),MOD((YEAR($A319)-YEAR('Recurring Schedule'!$F$10))*12+MONTH($A319)-MONTH('Recurring Schedule'!$F$10),'Recurring Schedule'!$O$10)=0),IF('Recurring Schedule'!$E$10="Weekdays",WEEKDAY($A319,2)&lt;=5,$A319='Recurring Schedule'!$F$10))),5,""))))</f>
        <v/>
      </c>
      <c r="G319">
        <f>IF('Recurring Schedule'!$C$11="","",IF('Recurring Schedule'!$F$11="","",IF(OR($A319&lt;'Recurring Schedule'!$F$11,$A319&gt;'Recurring Schedule'!$P$11),"",IF(IF('Recurring Schedule'!$N$11&gt;0,MOD($A319-'Recurring Schedule'!$F$11,'Recurring Schedule'!$N$11)=0,IF('Recurring Schedule'!$O$11&gt;0,AND(DAY($A319)=MIN(DAY('Recurring Schedule'!$F$11),DAY(EOMONTH($A319,0))),MOD((YEAR($A319)-YEAR('Recurring Schedule'!$F$11))*12+MONTH($A319)-MONTH('Recurring Schedule'!$F$11),'Recurring Schedule'!$O$11)=0),IF('Recurring Schedule'!$E$11="Weekdays",WEEKDAY($A319,2)&lt;=5,$A319='Recurring Schedule'!$F$11))),6,""))))</f>
        <v/>
      </c>
      <c r="H319">
        <f>IF('Recurring Schedule'!$C$12="","",IF('Recurring Schedule'!$F$12="","",IF(OR($A319&lt;'Recurring Schedule'!$F$12,$A319&gt;'Recurring Schedule'!$P$12),"",IF(IF('Recurring Schedule'!$N$12&gt;0,MOD($A319-'Recurring Schedule'!$F$12,'Recurring Schedule'!$N$12)=0,IF('Recurring Schedule'!$O$12&gt;0,AND(DAY($A319)=MIN(DAY('Recurring Schedule'!$F$12),DAY(EOMONTH($A319,0))),MOD((YEAR($A319)-YEAR('Recurring Schedule'!$F$12))*12+MONTH($A319)-MONTH('Recurring Schedule'!$F$12),'Recurring Schedule'!$O$12)=0),IF('Recurring Schedule'!$E$12="Weekdays",WEEKDAY($A319,2)&lt;=5,$A319='Recurring Schedule'!$F$12))),7,""))))</f>
        <v/>
      </c>
      <c r="I319">
        <f>IF('Recurring Schedule'!$C$13="","",IF('Recurring Schedule'!$F$13="","",IF(OR($A319&lt;'Recurring Schedule'!$F$13,$A319&gt;'Recurring Schedule'!$P$13),"",IF(IF('Recurring Schedule'!$N$13&gt;0,MOD($A319-'Recurring Schedule'!$F$13,'Recurring Schedule'!$N$13)=0,IF('Recurring Schedule'!$O$13&gt;0,AND(DAY($A319)=MIN(DAY('Recurring Schedule'!$F$13),DAY(EOMONTH($A319,0))),MOD((YEAR($A319)-YEAR('Recurring Schedule'!$F$13))*12+MONTH($A319)-MONTH('Recurring Schedule'!$F$13),'Recurring Schedule'!$O$13)=0),IF('Recurring Schedule'!$E$13="Weekdays",WEEKDAY($A319,2)&lt;=5,$A319='Recurring Schedule'!$F$13))),8,""))))</f>
        <v/>
      </c>
      <c r="J319">
        <f>IF('Recurring Schedule'!$C$14="","",IF('Recurring Schedule'!$F$14="","",IF(OR($A319&lt;'Recurring Schedule'!$F$14,$A319&gt;'Recurring Schedule'!$P$14),"",IF(IF('Recurring Schedule'!$N$14&gt;0,MOD($A319-'Recurring Schedule'!$F$14,'Recurring Schedule'!$N$14)=0,IF('Recurring Schedule'!$O$14&gt;0,AND(DAY($A319)=MIN(DAY('Recurring Schedule'!$F$14),DAY(EOMONTH($A319,0))),MOD((YEAR($A319)-YEAR('Recurring Schedule'!$F$14))*12+MONTH($A319)-MONTH('Recurring Schedule'!$F$14),'Recurring Schedule'!$O$14)=0),IF('Recurring Schedule'!$E$14="Weekdays",WEEKDAY($A319,2)&lt;=5,$A319='Recurring Schedule'!$F$14))),9,""))))</f>
        <v/>
      </c>
      <c r="K319">
        <f>IF('Recurring Schedule'!$C$15="","",IF('Recurring Schedule'!$F$15="","",IF(OR($A319&lt;'Recurring Schedule'!$F$15,$A319&gt;'Recurring Schedule'!$P$15),"",IF(IF('Recurring Schedule'!$N$15&gt;0,MOD($A319-'Recurring Schedule'!$F$15,'Recurring Schedule'!$N$15)=0,IF('Recurring Schedule'!$O$15&gt;0,AND(DAY($A319)=MIN(DAY('Recurring Schedule'!$F$15),DAY(EOMONTH($A319,0))),MOD((YEAR($A319)-YEAR('Recurring Schedule'!$F$15))*12+MONTH($A319)-MONTH('Recurring Schedule'!$F$15),'Recurring Schedule'!$O$15)=0),IF('Recurring Schedule'!$E$15="Weekdays",WEEKDAY($A319,2)&lt;=5,$A319='Recurring Schedule'!$F$15))),10,""))))</f>
        <v/>
      </c>
      <c r="L319">
        <f>IF('Recurring Schedule'!$C$16="","",IF('Recurring Schedule'!$F$16="","",IF(OR($A319&lt;'Recurring Schedule'!$F$16,$A319&gt;'Recurring Schedule'!$P$16),"",IF(IF('Recurring Schedule'!$N$16&gt;0,MOD($A319-'Recurring Schedule'!$F$16,'Recurring Schedule'!$N$16)=0,IF('Recurring Schedule'!$O$16&gt;0,AND(DAY($A319)=MIN(DAY('Recurring Schedule'!$F$16),DAY(EOMONTH($A319,0))),MOD((YEAR($A319)-YEAR('Recurring Schedule'!$F$16))*12+MONTH($A319)-MONTH('Recurring Schedule'!$F$16),'Recurring Schedule'!$O$16)=0),IF('Recurring Schedule'!$E$16="Weekdays",WEEKDAY($A319,2)&lt;=5,$A319='Recurring Schedule'!$F$16))),11,""))))</f>
        <v/>
      </c>
      <c r="M319">
        <f>IF('Recurring Schedule'!$C$17="","",IF('Recurring Schedule'!$F$17="","",IF(OR($A319&lt;'Recurring Schedule'!$F$17,$A319&gt;'Recurring Schedule'!$P$17),"",IF(IF('Recurring Schedule'!$N$17&gt;0,MOD($A319-'Recurring Schedule'!$F$17,'Recurring Schedule'!$N$17)=0,IF('Recurring Schedule'!$O$17&gt;0,AND(DAY($A319)=MIN(DAY('Recurring Schedule'!$F$17),DAY(EOMONTH($A319,0))),MOD((YEAR($A319)-YEAR('Recurring Schedule'!$F$17))*12+MONTH($A319)-MONTH('Recurring Schedule'!$F$17),'Recurring Schedule'!$O$17)=0),IF('Recurring Schedule'!$E$17="Weekdays",WEEKDAY($A319,2)&lt;=5,$A319='Recurring Schedule'!$F$17))),12,""))))</f>
        <v/>
      </c>
      <c r="N319">
        <f>IF('Recurring Schedule'!$C$18="","",IF('Recurring Schedule'!$F$18="","",IF(OR($A319&lt;'Recurring Schedule'!$F$18,$A319&gt;'Recurring Schedule'!$P$18),"",IF(IF('Recurring Schedule'!$N$18&gt;0,MOD($A319-'Recurring Schedule'!$F$18,'Recurring Schedule'!$N$18)=0,IF('Recurring Schedule'!$O$18&gt;0,AND(DAY($A319)=MIN(DAY('Recurring Schedule'!$F$18),DAY(EOMONTH($A319,0))),MOD((YEAR($A319)-YEAR('Recurring Schedule'!$F$18))*12+MONTH($A319)-MONTH('Recurring Schedule'!$F$18),'Recurring Schedule'!$O$18)=0),IF('Recurring Schedule'!$E$18="Weekdays",WEEKDAY($A319,2)&lt;=5,$A319='Recurring Schedule'!$F$18))),13,""))))</f>
        <v/>
      </c>
      <c r="O319">
        <f>IF('Recurring Schedule'!$C$19="","",IF('Recurring Schedule'!$F$19="","",IF(OR($A319&lt;'Recurring Schedule'!$F$19,$A319&gt;'Recurring Schedule'!$P$19),"",IF(IF('Recurring Schedule'!$N$19&gt;0,MOD($A319-'Recurring Schedule'!$F$19,'Recurring Schedule'!$N$19)=0,IF('Recurring Schedule'!$O$19&gt;0,AND(DAY($A319)=MIN(DAY('Recurring Schedule'!$F$19),DAY(EOMONTH($A319,0))),MOD((YEAR($A319)-YEAR('Recurring Schedule'!$F$19))*12+MONTH($A319)-MONTH('Recurring Schedule'!$F$19),'Recurring Schedule'!$O$19)=0),IF('Recurring Schedule'!$E$19="Weekdays",WEEKDAY($A319,2)&lt;=5,$A319='Recurring Schedule'!$F$19))),14,""))))</f>
        <v/>
      </c>
      <c r="P319">
        <f>IF('Recurring Schedule'!$C$20="","",IF('Recurring Schedule'!$F$20="","",IF(OR($A319&lt;'Recurring Schedule'!$F$20,$A319&gt;'Recurring Schedule'!$P$20),"",IF(IF('Recurring Schedule'!$N$20&gt;0,MOD($A319-'Recurring Schedule'!$F$20,'Recurring Schedule'!$N$20)=0,IF('Recurring Schedule'!$O$20&gt;0,AND(DAY($A319)=MIN(DAY('Recurring Schedule'!$F$20),DAY(EOMONTH($A319,0))),MOD((YEAR($A319)-YEAR('Recurring Schedule'!$F$20))*12+MONTH($A319)-MONTH('Recurring Schedule'!$F$20),'Recurring Schedule'!$O$20)=0),IF('Recurring Schedule'!$E$20="Weekdays",WEEKDAY($A319,2)&lt;=5,$A319='Recurring Schedule'!$F$20))),15,""))))</f>
        <v/>
      </c>
      <c r="Q319">
        <f>IF('Recurring Schedule'!$C$21="","",IF('Recurring Schedule'!$F$21="","",IF(OR($A319&lt;'Recurring Schedule'!$F$21,$A319&gt;'Recurring Schedule'!$P$21),"",IF(IF('Recurring Schedule'!$N$21&gt;0,MOD($A319-'Recurring Schedule'!$F$21,'Recurring Schedule'!$N$21)=0,IF('Recurring Schedule'!$O$21&gt;0,AND(DAY($A319)=MIN(DAY('Recurring Schedule'!$F$21),DAY(EOMONTH($A319,0))),MOD((YEAR($A319)-YEAR('Recurring Schedule'!$F$21))*12+MONTH($A319)-MONTH('Recurring Schedule'!$F$21),'Recurring Schedule'!$O$21)=0),IF('Recurring Schedule'!$E$21="Weekdays",WEEKDAY($A319,2)&lt;=5,$A319='Recurring Schedule'!$F$21))),16,""))))</f>
        <v/>
      </c>
      <c r="R319">
        <f>IF('Recurring Schedule'!$C$22="","",IF('Recurring Schedule'!$F$22="","",IF(OR($A319&lt;'Recurring Schedule'!$F$22,$A319&gt;'Recurring Schedule'!$P$22),"",IF(IF('Recurring Schedule'!$N$22&gt;0,MOD($A319-'Recurring Schedule'!$F$22,'Recurring Schedule'!$N$22)=0,IF('Recurring Schedule'!$O$22&gt;0,AND(DAY($A319)=MIN(DAY('Recurring Schedule'!$F$22),DAY(EOMONTH($A319,0))),MOD((YEAR($A319)-YEAR('Recurring Schedule'!$F$22))*12+MONTH($A319)-MONTH('Recurring Schedule'!$F$22),'Recurring Schedule'!$O$22)=0),IF('Recurring Schedule'!$E$22="Weekdays",WEEKDAY($A319,2)&lt;=5,$A319='Recurring Schedule'!$F$22))),17,""))))</f>
        <v/>
      </c>
      <c r="S319">
        <f>IF('Recurring Schedule'!$C$23="","",IF('Recurring Schedule'!$F$23="","",IF(OR($A319&lt;'Recurring Schedule'!$F$23,$A319&gt;'Recurring Schedule'!$P$23),"",IF(IF('Recurring Schedule'!$N$23&gt;0,MOD($A319-'Recurring Schedule'!$F$23,'Recurring Schedule'!$N$23)=0,IF('Recurring Schedule'!$O$23&gt;0,AND(DAY($A319)=MIN(DAY('Recurring Schedule'!$F$23),DAY(EOMONTH($A319,0))),MOD((YEAR($A319)-YEAR('Recurring Schedule'!$F$23))*12+MONTH($A319)-MONTH('Recurring Schedule'!$F$23),'Recurring Schedule'!$O$23)=0),IF('Recurring Schedule'!$E$23="Weekdays",WEEKDAY($A319,2)&lt;=5,$A319='Recurring Schedule'!$F$23))),18,""))))</f>
        <v/>
      </c>
      <c r="T319">
        <f>IF('Recurring Schedule'!$C$24="","",IF('Recurring Schedule'!$F$24="","",IF(OR($A319&lt;'Recurring Schedule'!$F$24,$A319&gt;'Recurring Schedule'!$P$24),"",IF(IF('Recurring Schedule'!$N$24&gt;0,MOD($A319-'Recurring Schedule'!$F$24,'Recurring Schedule'!$N$24)=0,IF('Recurring Schedule'!$O$24&gt;0,AND(DAY($A319)=MIN(DAY('Recurring Schedule'!$F$24),DAY(EOMONTH($A319,0))),MOD((YEAR($A319)-YEAR('Recurring Schedule'!$F$24))*12+MONTH($A319)-MONTH('Recurring Schedule'!$F$24),'Recurring Schedule'!$O$24)=0),IF('Recurring Schedule'!$E$24="Weekdays",WEEKDAY($A319,2)&lt;=5,$A319='Recurring Schedule'!$F$24))),19,""))))</f>
        <v/>
      </c>
      <c r="U319">
        <f>IF('Recurring Schedule'!$C$25="","",IF('Recurring Schedule'!$F$25="","",IF(OR($A319&lt;'Recurring Schedule'!$F$25,$A319&gt;'Recurring Schedule'!$P$25),"",IF(IF('Recurring Schedule'!$N$25&gt;0,MOD($A319-'Recurring Schedule'!$F$25,'Recurring Schedule'!$N$25)=0,IF('Recurring Schedule'!$O$25&gt;0,AND(DAY($A319)=MIN(DAY('Recurring Schedule'!$F$25),DAY(EOMONTH($A319,0))),MOD((YEAR($A319)-YEAR('Recurring Schedule'!$F$25))*12+MONTH($A319)-MONTH('Recurring Schedule'!$F$25),'Recurring Schedule'!$O$25)=0),IF('Recurring Schedule'!$E$25="Weekdays",WEEKDAY($A319,2)&lt;=5,$A319='Recurring Schedule'!$F$25))),20,""))))</f>
        <v/>
      </c>
      <c r="V319">
        <f>IF('Recurring Schedule'!$C$26="","",IF('Recurring Schedule'!$F$26="","",IF(OR($A319&lt;'Recurring Schedule'!$F$26,$A319&gt;'Recurring Schedule'!$P$26),"",IF(IF('Recurring Schedule'!$N$26&gt;0,MOD($A319-'Recurring Schedule'!$F$26,'Recurring Schedule'!$N$26)=0,IF('Recurring Schedule'!$O$26&gt;0,AND(DAY($A319)=MIN(DAY('Recurring Schedule'!$F$26),DAY(EOMONTH($A319,0))),MOD((YEAR($A319)-YEAR('Recurring Schedule'!$F$26))*12+MONTH($A319)-MONTH('Recurring Schedule'!$F$26),'Recurring Schedule'!$O$26)=0),IF('Recurring Schedule'!$E$26="Weekdays",WEEKDAY($A319,2)&lt;=5,$A319='Recurring Schedule'!$F$26))),21,""))))</f>
        <v/>
      </c>
      <c r="W319">
        <f>IF('Recurring Schedule'!$C$27="","",IF('Recurring Schedule'!$F$27="","",IF(OR($A319&lt;'Recurring Schedule'!$F$27,$A319&gt;'Recurring Schedule'!$P$27),"",IF(IF('Recurring Schedule'!$N$27&gt;0,MOD($A319-'Recurring Schedule'!$F$27,'Recurring Schedule'!$N$27)=0,IF('Recurring Schedule'!$O$27&gt;0,AND(DAY($A319)=MIN(DAY('Recurring Schedule'!$F$27),DAY(EOMONTH($A319,0))),MOD((YEAR($A319)-YEAR('Recurring Schedule'!$F$27))*12+MONTH($A319)-MONTH('Recurring Schedule'!$F$27),'Recurring Schedule'!$O$27)=0),IF('Recurring Schedule'!$E$27="Weekdays",WEEKDAY($A319,2)&lt;=5,$A319='Recurring Schedule'!$F$27))),22,""))))</f>
        <v/>
      </c>
      <c r="X319">
        <f>IF('Recurring Schedule'!$C$28="","",IF('Recurring Schedule'!$F$28="","",IF(OR($A319&lt;'Recurring Schedule'!$F$28,$A319&gt;'Recurring Schedule'!$P$28),"",IF(IF('Recurring Schedule'!$N$28&gt;0,MOD($A319-'Recurring Schedule'!$F$28,'Recurring Schedule'!$N$28)=0,IF('Recurring Schedule'!$O$28&gt;0,AND(DAY($A319)=MIN(DAY('Recurring Schedule'!$F$28),DAY(EOMONTH($A319,0))),MOD((YEAR($A319)-YEAR('Recurring Schedule'!$F$28))*12+MONTH($A319)-MONTH('Recurring Schedule'!$F$28),'Recurring Schedule'!$O$28)=0),IF('Recurring Schedule'!$E$28="Weekdays",WEEKDAY($A319,2)&lt;=5,$A319='Recurring Schedule'!$F$28))),23,""))))</f>
        <v/>
      </c>
      <c r="Y319">
        <f>IF('Recurring Schedule'!$C$29="","",IF('Recurring Schedule'!$F$29="","",IF(OR($A319&lt;'Recurring Schedule'!$F$29,$A319&gt;'Recurring Schedule'!$P$29),"",IF(IF('Recurring Schedule'!$N$29&gt;0,MOD($A319-'Recurring Schedule'!$F$29,'Recurring Schedule'!$N$29)=0,IF('Recurring Schedule'!$O$29&gt;0,AND(DAY($A319)=MIN(DAY('Recurring Schedule'!$F$29),DAY(EOMONTH($A319,0))),MOD((YEAR($A319)-YEAR('Recurring Schedule'!$F$29))*12+MONTH($A319)-MONTH('Recurring Schedule'!$F$29),'Recurring Schedule'!$O$29)=0),IF('Recurring Schedule'!$E$29="Weekdays",WEEKDAY($A319,2)&lt;=5,$A319='Recurring Schedule'!$F$29))),24,""))))</f>
        <v/>
      </c>
      <c r="Z319">
        <f>IF('Recurring Schedule'!$C$30="","",IF('Recurring Schedule'!$F$30="","",IF(OR($A319&lt;'Recurring Schedule'!$F$30,$A319&gt;'Recurring Schedule'!$P$30),"",IF(IF('Recurring Schedule'!$N$30&gt;0,MOD($A319-'Recurring Schedule'!$F$30,'Recurring Schedule'!$N$30)=0,IF('Recurring Schedule'!$O$30&gt;0,AND(DAY($A319)=MIN(DAY('Recurring Schedule'!$F$30),DAY(EOMONTH($A319,0))),MOD((YEAR($A319)-YEAR('Recurring Schedule'!$F$30))*12+MONTH($A319)-MONTH('Recurring Schedule'!$F$30),'Recurring Schedule'!$O$30)=0),IF('Recurring Schedule'!$E$30="Weekdays",WEEKDAY($A319,2)&lt;=5,$A319='Recurring Schedule'!$F$30))),25,""))))</f>
        <v/>
      </c>
      <c r="AA319">
        <f>IF('Recurring Schedule'!$C$31="","",IF('Recurring Schedule'!$F$31="","",IF(OR($A319&lt;'Recurring Schedule'!$F$31,$A319&gt;'Recurring Schedule'!$P$31),"",IF(IF('Recurring Schedule'!$N$31&gt;0,MOD($A319-'Recurring Schedule'!$F$31,'Recurring Schedule'!$N$31)=0,IF('Recurring Schedule'!$O$31&gt;0,AND(DAY($A319)=MIN(DAY('Recurring Schedule'!$F$31),DAY(EOMONTH($A319,0))),MOD((YEAR($A319)-YEAR('Recurring Schedule'!$F$31))*12+MONTH($A319)-MONTH('Recurring Schedule'!$F$31),'Recurring Schedule'!$O$31)=0),IF('Recurring Schedule'!$E$31="Weekdays",WEEKDAY($A319,2)&lt;=5,$A319='Recurring Schedule'!$F$31))),26,""))))</f>
        <v/>
      </c>
      <c r="AB319">
        <f>IF('Recurring Schedule'!$C$32="","",IF('Recurring Schedule'!$F$32="","",IF(OR($A319&lt;'Recurring Schedule'!$F$32,$A319&gt;'Recurring Schedule'!$P$32),"",IF(IF('Recurring Schedule'!$N$32&gt;0,MOD($A319-'Recurring Schedule'!$F$32,'Recurring Schedule'!$N$32)=0,IF('Recurring Schedule'!$O$32&gt;0,AND(DAY($A319)=MIN(DAY('Recurring Schedule'!$F$32),DAY(EOMONTH($A319,0))),MOD((YEAR($A319)-YEAR('Recurring Schedule'!$F$32))*12+MONTH($A319)-MONTH('Recurring Schedule'!$F$32),'Recurring Schedule'!$O$32)=0),IF('Recurring Schedule'!$E$32="Weekdays",WEEKDAY($A319,2)&lt;=5,$A319='Recurring Schedule'!$F$32))),27,""))))</f>
        <v/>
      </c>
      <c r="AC319">
        <f>IF('Recurring Schedule'!$C$33="","",IF('Recurring Schedule'!$F$33="","",IF(OR($A319&lt;'Recurring Schedule'!$F$33,$A319&gt;'Recurring Schedule'!$P$33),"",IF(IF('Recurring Schedule'!$N$33&gt;0,MOD($A319-'Recurring Schedule'!$F$33,'Recurring Schedule'!$N$33)=0,IF('Recurring Schedule'!$O$33&gt;0,AND(DAY($A319)=MIN(DAY('Recurring Schedule'!$F$33),DAY(EOMONTH($A319,0))),MOD((YEAR($A319)-YEAR('Recurring Schedule'!$F$33))*12+MONTH($A319)-MONTH('Recurring Schedule'!$F$33),'Recurring Schedule'!$O$33)=0),IF('Recurring Schedule'!$E$33="Weekdays",WEEKDAY($A319,2)&lt;=5,$A319='Recurring Schedule'!$F$33))),28,""))))</f>
        <v/>
      </c>
      <c r="AD319">
        <f>IF('Recurring Schedule'!$C$34="","",IF('Recurring Schedule'!$F$34="","",IF(OR($A319&lt;'Recurring Schedule'!$F$34,$A319&gt;'Recurring Schedule'!$P$34),"",IF(IF('Recurring Schedule'!$N$34&gt;0,MOD($A319-'Recurring Schedule'!$F$34,'Recurring Schedule'!$N$34)=0,IF('Recurring Schedule'!$O$34&gt;0,AND(DAY($A319)=MIN(DAY('Recurring Schedule'!$F$34),DAY(EOMONTH($A319,0))),MOD((YEAR($A319)-YEAR('Recurring Schedule'!$F$34))*12+MONTH($A319)-MONTH('Recurring Schedule'!$F$34),'Recurring Schedule'!$O$34)=0),IF('Recurring Schedule'!$E$34="Weekdays",WEEKDAY($A319,2)&lt;=5,$A319='Recurring Schedule'!$F$34))),29,""))))</f>
        <v/>
      </c>
      <c r="AE319">
        <f>IF('Recurring Schedule'!$C$35="","",IF('Recurring Schedule'!$F$35="","",IF(OR($A319&lt;'Recurring Schedule'!$F$35,$A319&gt;'Recurring Schedule'!$P$35),"",IF(IF('Recurring Schedule'!$N$35&gt;0,MOD($A319-'Recurring Schedule'!$F$35,'Recurring Schedule'!$N$35)=0,IF('Recurring Schedule'!$O$35&gt;0,AND(DAY($A319)=MIN(DAY('Recurring Schedule'!$F$35),DAY(EOMONTH($A319,0))),MOD((YEAR($A319)-YEAR('Recurring Schedule'!$F$35))*12+MONTH($A319)-MONTH('Recurring Schedule'!$F$35),'Recurring Schedule'!$O$35)=0),IF('Recurring Schedule'!$E$35="Weekdays",WEEKDAY($A319,2)&lt;=5,$A319='Recurring Schedule'!$F$35))),30,""))))</f>
        <v/>
      </c>
      <c r="AF319">
        <f>IF('Recurring Schedule'!$C$36="","",IF('Recurring Schedule'!$F$36="","",IF(OR($A319&lt;'Recurring Schedule'!$F$36,$A319&gt;'Recurring Schedule'!$P$36),"",IF(IF('Recurring Schedule'!$N$36&gt;0,MOD($A319-'Recurring Schedule'!$F$36,'Recurring Schedule'!$N$36)=0,IF('Recurring Schedule'!$O$36&gt;0,AND(DAY($A319)=MIN(DAY('Recurring Schedule'!$F$36),DAY(EOMONTH($A319,0))),MOD((YEAR($A319)-YEAR('Recurring Schedule'!$F$36))*12+MONTH($A319)-MONTH('Recurring Schedule'!$F$36),'Recurring Schedule'!$O$36)=0),IF('Recurring Schedule'!$E$36="Weekdays",WEEKDAY($A319,2)&lt;=5,$A319='Recurring Schedule'!$F$36))),31,""))))</f>
        <v/>
      </c>
      <c r="AG319">
        <f>IF('Recurring Schedule'!$C$37="","",IF('Recurring Schedule'!$F$37="","",IF(OR($A319&lt;'Recurring Schedule'!$F$37,$A319&gt;'Recurring Schedule'!$P$37),"",IF(IF('Recurring Schedule'!$N$37&gt;0,MOD($A319-'Recurring Schedule'!$F$37,'Recurring Schedule'!$N$37)=0,IF('Recurring Schedule'!$O$37&gt;0,AND(DAY($A319)=MIN(DAY('Recurring Schedule'!$F$37),DAY(EOMONTH($A319,0))),MOD((YEAR($A319)-YEAR('Recurring Schedule'!$F$37))*12+MONTH($A319)-MONTH('Recurring Schedule'!$F$37),'Recurring Schedule'!$O$37)=0),IF('Recurring Schedule'!$E$37="Weekdays",WEEKDAY($A319,2)&lt;=5,$A319='Recurring Schedule'!$F$37))),32,""))))</f>
        <v/>
      </c>
      <c r="AH319">
        <f>IF('Recurring Schedule'!$C$38="","",IF('Recurring Schedule'!$F$38="","",IF(OR($A319&lt;'Recurring Schedule'!$F$38,$A319&gt;'Recurring Schedule'!$P$38),"",IF(IF('Recurring Schedule'!$N$38&gt;0,MOD($A319-'Recurring Schedule'!$F$38,'Recurring Schedule'!$N$38)=0,IF('Recurring Schedule'!$O$38&gt;0,AND(DAY($A319)=MIN(DAY('Recurring Schedule'!$F$38),DAY(EOMONTH($A319,0))),MOD((YEAR($A319)-YEAR('Recurring Schedule'!$F$38))*12+MONTH($A319)-MONTH('Recurring Schedule'!$F$38),'Recurring Schedule'!$O$38)=0),IF('Recurring Schedule'!$E$38="Weekdays",WEEKDAY($A319,2)&lt;=5,$A319='Recurring Schedule'!$F$38))),33,""))))</f>
        <v/>
      </c>
      <c r="AI319">
        <f>IF('Recurring Schedule'!$C$39="","",IF('Recurring Schedule'!$F$39="","",IF(OR($A319&lt;'Recurring Schedule'!$F$39,$A319&gt;'Recurring Schedule'!$P$39),"",IF(IF('Recurring Schedule'!$N$39&gt;0,MOD($A319-'Recurring Schedule'!$F$39,'Recurring Schedule'!$N$39)=0,IF('Recurring Schedule'!$O$39&gt;0,AND(DAY($A319)=MIN(DAY('Recurring Schedule'!$F$39),DAY(EOMONTH($A319,0))),MOD((YEAR($A319)-YEAR('Recurring Schedule'!$F$39))*12+MONTH($A319)-MONTH('Recurring Schedule'!$F$39),'Recurring Schedule'!$O$39)=0),IF('Recurring Schedule'!$E$39="Weekdays",WEEKDAY($A319,2)&lt;=5,$A319='Recurring Schedule'!$F$39))),34,""))))</f>
        <v/>
      </c>
      <c r="AJ319">
        <f>IF('Recurring Schedule'!$C$40="","",IF('Recurring Schedule'!$F$40="","",IF(OR($A319&lt;'Recurring Schedule'!$F$40,$A319&gt;'Recurring Schedule'!$P$40),"",IF(IF('Recurring Schedule'!$N$40&gt;0,MOD($A319-'Recurring Schedule'!$F$40,'Recurring Schedule'!$N$40)=0,IF('Recurring Schedule'!$O$40&gt;0,AND(DAY($A319)=MIN(DAY('Recurring Schedule'!$F$40),DAY(EOMONTH($A319,0))),MOD((YEAR($A319)-YEAR('Recurring Schedule'!$F$40))*12+MONTH($A319)-MONTH('Recurring Schedule'!$F$40),'Recurring Schedule'!$O$40)=0),IF('Recurring Schedule'!$E$40="Weekdays",WEEKDAY($A319,2)&lt;=5,$A319='Recurring Schedule'!$F$40))),35,""))))</f>
        <v/>
      </c>
      <c r="AK319">
        <f>IF('Recurring Schedule'!$C$41="","",IF('Recurring Schedule'!$F$41="","",IF(OR($A319&lt;'Recurring Schedule'!$F$41,$A319&gt;'Recurring Schedule'!$P$41),"",IF(IF('Recurring Schedule'!$N$41&gt;0,MOD($A319-'Recurring Schedule'!$F$41,'Recurring Schedule'!$N$41)=0,IF('Recurring Schedule'!$O$41&gt;0,AND(DAY($A319)=MIN(DAY('Recurring Schedule'!$F$41),DAY(EOMONTH($A319,0))),MOD((YEAR($A319)-YEAR('Recurring Schedule'!$F$41))*12+MONTH($A319)-MONTH('Recurring Schedule'!$F$41),'Recurring Schedule'!$O$41)=0),IF('Recurring Schedule'!$E$41="Weekdays",WEEKDAY($A319,2)&lt;=5,$A319='Recurring Schedule'!$F$41))),36,""))))</f>
        <v/>
      </c>
      <c r="AL319">
        <f>IF('Recurring Schedule'!$C$42="","",IF('Recurring Schedule'!$F$42="","",IF(OR($A319&lt;'Recurring Schedule'!$F$42,$A319&gt;'Recurring Schedule'!$P$42),"",IF(IF('Recurring Schedule'!$N$42&gt;0,MOD($A319-'Recurring Schedule'!$F$42,'Recurring Schedule'!$N$42)=0,IF('Recurring Schedule'!$O$42&gt;0,AND(DAY($A319)=MIN(DAY('Recurring Schedule'!$F$42),DAY(EOMONTH($A319,0))),MOD((YEAR($A319)-YEAR('Recurring Schedule'!$F$42))*12+MONTH($A319)-MONTH('Recurring Schedule'!$F$42),'Recurring Schedule'!$O$42)=0),IF('Recurring Schedule'!$E$42="Weekdays",WEEKDAY($A319,2)&lt;=5,$A319='Recurring Schedule'!$F$42))),37,""))))</f>
        <v/>
      </c>
      <c r="AM319">
        <f>IF('Recurring Schedule'!$C$43="","",IF('Recurring Schedule'!$F$43="","",IF(OR($A319&lt;'Recurring Schedule'!$F$43,$A319&gt;'Recurring Schedule'!$P$43),"",IF(IF('Recurring Schedule'!$N$43&gt;0,MOD($A319-'Recurring Schedule'!$F$43,'Recurring Schedule'!$N$43)=0,IF('Recurring Schedule'!$O$43&gt;0,AND(DAY($A319)=MIN(DAY('Recurring Schedule'!$F$43),DAY(EOMONTH($A319,0))),MOD((YEAR($A319)-YEAR('Recurring Schedule'!$F$43))*12+MONTH($A319)-MONTH('Recurring Schedule'!$F$43),'Recurring Schedule'!$O$43)=0),IF('Recurring Schedule'!$E$43="Weekdays",WEEKDAY($A319,2)&lt;=5,$A319='Recurring Schedule'!$F$43))),38,""))))</f>
        <v/>
      </c>
      <c r="AN319">
        <f>IF('Recurring Schedule'!$C$44="","",IF('Recurring Schedule'!$F$44="","",IF(OR($A319&lt;'Recurring Schedule'!$F$44,$A319&gt;'Recurring Schedule'!$P$44),"",IF(IF('Recurring Schedule'!$N$44&gt;0,MOD($A319-'Recurring Schedule'!$F$44,'Recurring Schedule'!$N$44)=0,IF('Recurring Schedule'!$O$44&gt;0,AND(DAY($A319)=MIN(DAY('Recurring Schedule'!$F$44),DAY(EOMONTH($A319,0))),MOD((YEAR($A319)-YEAR('Recurring Schedule'!$F$44))*12+MONTH($A319)-MONTH('Recurring Schedule'!$F$44),'Recurring Schedule'!$O$44)=0),IF('Recurring Schedule'!$E$44="Weekdays",WEEKDAY($A319,2)&lt;=5,$A319='Recurring Schedule'!$F$44))),39,""))))</f>
        <v/>
      </c>
      <c r="AO319">
        <f>IF('Recurring Schedule'!$C$45="","",IF('Recurring Schedule'!$F$45="","",IF(OR($A319&lt;'Recurring Schedule'!$F$45,$A319&gt;'Recurring Schedule'!$P$45),"",IF(IF('Recurring Schedule'!$N$45&gt;0,MOD($A319-'Recurring Schedule'!$F$45,'Recurring Schedule'!$N$45)=0,IF('Recurring Schedule'!$O$45&gt;0,AND(DAY($A319)=MIN(DAY('Recurring Schedule'!$F$45),DAY(EOMONTH($A319,0))),MOD((YEAR($A319)-YEAR('Recurring Schedule'!$F$45))*12+MONTH($A319)-MONTH('Recurring Schedule'!$F$45),'Recurring Schedule'!$O$45)=0),IF('Recurring Schedule'!$E$45="Weekdays",WEEKDAY($A319,2)&lt;=5,$A319='Recurring Schedule'!$F$45))),40,""))))</f>
        <v/>
      </c>
      <c r="AP319">
        <f>COUNT(B319:AO319)</f>
        <v/>
      </c>
      <c r="AQ319">
        <f>AQ318+AP318</f>
        <v/>
      </c>
      <c r="AS319" t="inlineStr">
        <is>
          <t>R</t>
        </is>
      </c>
      <c r="AT319" t="n">
        <v>323</v>
      </c>
      <c r="AU319">
        <f>'Recurring Log'!C323&amp;""</f>
        <v/>
      </c>
      <c r="AV319">
        <f>'Recurring Log'!D323&amp;""</f>
        <v/>
      </c>
      <c r="AW319">
        <f>IF('Recurring Log'!E323="","",'Recurring Log'!E323)</f>
        <v/>
      </c>
      <c r="AX319">
        <f>IF('Recurring Log'!G323="","",'Recurring Log'!G323)</f>
        <v/>
      </c>
      <c r="AY319">
        <f>IF('Recurring Log'!H323="","",'Recurring Log'!H323)</f>
        <v/>
      </c>
      <c r="AZ319">
        <f>IF(AU319="","",IF('Recurring Log'!J323="","Not Started",'Recurring Log'!J323))</f>
        <v/>
      </c>
      <c r="BA319">
        <f>'Recurring Log'!L323&amp;""</f>
        <v/>
      </c>
      <c r="BB319">
        <f>'Recurring Log'!M323&amp;""</f>
        <v/>
      </c>
      <c r="BC319">
        <f>'Recurring Log'!N323&amp;""</f>
        <v/>
      </c>
      <c r="BD319">
        <f>'Recurring Log'!O323&amp;""</f>
        <v/>
      </c>
      <c r="BE319">
        <f>IF('Recurring Log'!K323="","",'Recurring Log'!K323)</f>
        <v/>
      </c>
      <c r="BF319">
        <f>IFERROR(MATCH(BA319,Setup!$L$6:$L$9,0),5)</f>
        <v/>
      </c>
      <c r="BG319">
        <f>IF(OR(AZ319="Done",AZ319="Cancelled"),1,0)</f>
        <v/>
      </c>
      <c r="BH319">
        <f>IF(AND(AU319&lt;&gt;"",ISNUMBER(AW319)),1,0)</f>
        <v/>
      </c>
      <c r="BI319">
        <f>IF(BH319=0,0,IF(AND(AW319&gt;='Tasks Filter'!$F$3,AW319&lt;='Tasks Filter'!$F$4,OR('Tasks Filter'!$I$3="",ISNUMBER(SEARCH('Tasks Filter'!$I$3,AU319))),OR('Tasks Filter'!$I$4="",BF319=IFERROR(MATCH('Tasks Filter'!$I$4,Setup!$L$6:$L$9,0),0)),OR('Tasks Filter'!$I$5="Both",AND('Tasks Filter'!$I$5="Yes",BB319="✓"),AND('Tasks Filter'!$I$5="No",BB319&lt;&gt;"✓")),OR('Tasks Filter'!$L$3="",AV319='Tasks Filter'!$L$3),OR('Tasks Filter'!$L$4="",AZ319='Tasks Filter'!$L$4),OR('Tasks Filter'!$L$5="",BC319='Tasks Filter'!$L$5),OR('Tasks Filter'!$O$3="",BD319='Tasks Filter'!$O$3),OR('Tasks Filter'!$O$4="Yes",BG319=0)),1,0))</f>
        <v/>
      </c>
      <c r="BJ319">
        <f>IF(BH319=0,"",IF('Tasks Filter'!$F$6="Descending",-1,1)*CHOOSE(MATCH('Tasks Filter'!$F$5,Lists!$G$2:$G$6,0),AW319,BF319,IFERROR(MATCH(AV319,Setup!$F$6:$F$15,0),99),IFERROR(MATCH(BC319,Setup!$H$6:$H$15,0),99),IFERROR(MATCH(AZ319,Setup!$J$6:$J$11,0),99))*1E+9+(AW319-40000)*10000+318)</f>
        <v/>
      </c>
      <c r="BK319">
        <f>IF(BI319=1,BJ319,"")</f>
        <v/>
      </c>
      <c r="BL319">
        <f>IF(AND(BH319=1,BG319=0,N(AW319)&lt;Setup!$D$7),(AW319-40000)*10000+318,"")</f>
        <v/>
      </c>
      <c r="BM319">
        <f>IF(AND(BH319=1,AZ319&lt;&gt;"Cancelled",N(AW319)&gt;=Dashboard!$AB$3,N(AW319)&lt;=Dashboard!$AB$3+6),(AW319-40000)*100000+BF319*10000+318,"")</f>
        <v/>
      </c>
      <c r="BN319">
        <f>IF(AND(BH319=1,AZ319&lt;&gt;"Cancelled"),BF319*10000+318,"")</f>
        <v/>
      </c>
    </row>
    <row r="320">
      <c r="A320">
        <f>Setup!$D$5+318</f>
        <v/>
      </c>
      <c r="B320">
        <f>IF('Recurring Schedule'!$C$6="","",IF('Recurring Schedule'!$F$6="","",IF(OR($A320&lt;'Recurring Schedule'!$F$6,$A320&gt;'Recurring Schedule'!$P$6),"",IF(IF('Recurring Schedule'!$N$6&gt;0,MOD($A320-'Recurring Schedule'!$F$6,'Recurring Schedule'!$N$6)=0,IF('Recurring Schedule'!$O$6&gt;0,AND(DAY($A320)=MIN(DAY('Recurring Schedule'!$F$6),DAY(EOMONTH($A320,0))),MOD((YEAR($A320)-YEAR('Recurring Schedule'!$F$6))*12+MONTH($A320)-MONTH('Recurring Schedule'!$F$6),'Recurring Schedule'!$O$6)=0),IF('Recurring Schedule'!$E$6="Weekdays",WEEKDAY($A320,2)&lt;=5,$A320='Recurring Schedule'!$F$6))),1,""))))</f>
        <v/>
      </c>
      <c r="C320">
        <f>IF('Recurring Schedule'!$C$7="","",IF('Recurring Schedule'!$F$7="","",IF(OR($A320&lt;'Recurring Schedule'!$F$7,$A320&gt;'Recurring Schedule'!$P$7),"",IF(IF('Recurring Schedule'!$N$7&gt;0,MOD($A320-'Recurring Schedule'!$F$7,'Recurring Schedule'!$N$7)=0,IF('Recurring Schedule'!$O$7&gt;0,AND(DAY($A320)=MIN(DAY('Recurring Schedule'!$F$7),DAY(EOMONTH($A320,0))),MOD((YEAR($A320)-YEAR('Recurring Schedule'!$F$7))*12+MONTH($A320)-MONTH('Recurring Schedule'!$F$7),'Recurring Schedule'!$O$7)=0),IF('Recurring Schedule'!$E$7="Weekdays",WEEKDAY($A320,2)&lt;=5,$A320='Recurring Schedule'!$F$7))),2,""))))</f>
        <v/>
      </c>
      <c r="D320">
        <f>IF('Recurring Schedule'!$C$8="","",IF('Recurring Schedule'!$F$8="","",IF(OR($A320&lt;'Recurring Schedule'!$F$8,$A320&gt;'Recurring Schedule'!$P$8),"",IF(IF('Recurring Schedule'!$N$8&gt;0,MOD($A320-'Recurring Schedule'!$F$8,'Recurring Schedule'!$N$8)=0,IF('Recurring Schedule'!$O$8&gt;0,AND(DAY($A320)=MIN(DAY('Recurring Schedule'!$F$8),DAY(EOMONTH($A320,0))),MOD((YEAR($A320)-YEAR('Recurring Schedule'!$F$8))*12+MONTH($A320)-MONTH('Recurring Schedule'!$F$8),'Recurring Schedule'!$O$8)=0),IF('Recurring Schedule'!$E$8="Weekdays",WEEKDAY($A320,2)&lt;=5,$A320='Recurring Schedule'!$F$8))),3,""))))</f>
        <v/>
      </c>
      <c r="E320">
        <f>IF('Recurring Schedule'!$C$9="","",IF('Recurring Schedule'!$F$9="","",IF(OR($A320&lt;'Recurring Schedule'!$F$9,$A320&gt;'Recurring Schedule'!$P$9),"",IF(IF('Recurring Schedule'!$N$9&gt;0,MOD($A320-'Recurring Schedule'!$F$9,'Recurring Schedule'!$N$9)=0,IF('Recurring Schedule'!$O$9&gt;0,AND(DAY($A320)=MIN(DAY('Recurring Schedule'!$F$9),DAY(EOMONTH($A320,0))),MOD((YEAR($A320)-YEAR('Recurring Schedule'!$F$9))*12+MONTH($A320)-MONTH('Recurring Schedule'!$F$9),'Recurring Schedule'!$O$9)=0),IF('Recurring Schedule'!$E$9="Weekdays",WEEKDAY($A320,2)&lt;=5,$A320='Recurring Schedule'!$F$9))),4,""))))</f>
        <v/>
      </c>
      <c r="F320">
        <f>IF('Recurring Schedule'!$C$10="","",IF('Recurring Schedule'!$F$10="","",IF(OR($A320&lt;'Recurring Schedule'!$F$10,$A320&gt;'Recurring Schedule'!$P$10),"",IF(IF('Recurring Schedule'!$N$10&gt;0,MOD($A320-'Recurring Schedule'!$F$10,'Recurring Schedule'!$N$10)=0,IF('Recurring Schedule'!$O$10&gt;0,AND(DAY($A320)=MIN(DAY('Recurring Schedule'!$F$10),DAY(EOMONTH($A320,0))),MOD((YEAR($A320)-YEAR('Recurring Schedule'!$F$10))*12+MONTH($A320)-MONTH('Recurring Schedule'!$F$10),'Recurring Schedule'!$O$10)=0),IF('Recurring Schedule'!$E$10="Weekdays",WEEKDAY($A320,2)&lt;=5,$A320='Recurring Schedule'!$F$10))),5,""))))</f>
        <v/>
      </c>
      <c r="G320">
        <f>IF('Recurring Schedule'!$C$11="","",IF('Recurring Schedule'!$F$11="","",IF(OR($A320&lt;'Recurring Schedule'!$F$11,$A320&gt;'Recurring Schedule'!$P$11),"",IF(IF('Recurring Schedule'!$N$11&gt;0,MOD($A320-'Recurring Schedule'!$F$11,'Recurring Schedule'!$N$11)=0,IF('Recurring Schedule'!$O$11&gt;0,AND(DAY($A320)=MIN(DAY('Recurring Schedule'!$F$11),DAY(EOMONTH($A320,0))),MOD((YEAR($A320)-YEAR('Recurring Schedule'!$F$11))*12+MONTH($A320)-MONTH('Recurring Schedule'!$F$11),'Recurring Schedule'!$O$11)=0),IF('Recurring Schedule'!$E$11="Weekdays",WEEKDAY($A320,2)&lt;=5,$A320='Recurring Schedule'!$F$11))),6,""))))</f>
        <v/>
      </c>
      <c r="H320">
        <f>IF('Recurring Schedule'!$C$12="","",IF('Recurring Schedule'!$F$12="","",IF(OR($A320&lt;'Recurring Schedule'!$F$12,$A320&gt;'Recurring Schedule'!$P$12),"",IF(IF('Recurring Schedule'!$N$12&gt;0,MOD($A320-'Recurring Schedule'!$F$12,'Recurring Schedule'!$N$12)=0,IF('Recurring Schedule'!$O$12&gt;0,AND(DAY($A320)=MIN(DAY('Recurring Schedule'!$F$12),DAY(EOMONTH($A320,0))),MOD((YEAR($A320)-YEAR('Recurring Schedule'!$F$12))*12+MONTH($A320)-MONTH('Recurring Schedule'!$F$12),'Recurring Schedule'!$O$12)=0),IF('Recurring Schedule'!$E$12="Weekdays",WEEKDAY($A320,2)&lt;=5,$A320='Recurring Schedule'!$F$12))),7,""))))</f>
        <v/>
      </c>
      <c r="I320">
        <f>IF('Recurring Schedule'!$C$13="","",IF('Recurring Schedule'!$F$13="","",IF(OR($A320&lt;'Recurring Schedule'!$F$13,$A320&gt;'Recurring Schedule'!$P$13),"",IF(IF('Recurring Schedule'!$N$13&gt;0,MOD($A320-'Recurring Schedule'!$F$13,'Recurring Schedule'!$N$13)=0,IF('Recurring Schedule'!$O$13&gt;0,AND(DAY($A320)=MIN(DAY('Recurring Schedule'!$F$13),DAY(EOMONTH($A320,0))),MOD((YEAR($A320)-YEAR('Recurring Schedule'!$F$13))*12+MONTH($A320)-MONTH('Recurring Schedule'!$F$13),'Recurring Schedule'!$O$13)=0),IF('Recurring Schedule'!$E$13="Weekdays",WEEKDAY($A320,2)&lt;=5,$A320='Recurring Schedule'!$F$13))),8,""))))</f>
        <v/>
      </c>
      <c r="J320">
        <f>IF('Recurring Schedule'!$C$14="","",IF('Recurring Schedule'!$F$14="","",IF(OR($A320&lt;'Recurring Schedule'!$F$14,$A320&gt;'Recurring Schedule'!$P$14),"",IF(IF('Recurring Schedule'!$N$14&gt;0,MOD($A320-'Recurring Schedule'!$F$14,'Recurring Schedule'!$N$14)=0,IF('Recurring Schedule'!$O$14&gt;0,AND(DAY($A320)=MIN(DAY('Recurring Schedule'!$F$14),DAY(EOMONTH($A320,0))),MOD((YEAR($A320)-YEAR('Recurring Schedule'!$F$14))*12+MONTH($A320)-MONTH('Recurring Schedule'!$F$14),'Recurring Schedule'!$O$14)=0),IF('Recurring Schedule'!$E$14="Weekdays",WEEKDAY($A320,2)&lt;=5,$A320='Recurring Schedule'!$F$14))),9,""))))</f>
        <v/>
      </c>
      <c r="K320">
        <f>IF('Recurring Schedule'!$C$15="","",IF('Recurring Schedule'!$F$15="","",IF(OR($A320&lt;'Recurring Schedule'!$F$15,$A320&gt;'Recurring Schedule'!$P$15),"",IF(IF('Recurring Schedule'!$N$15&gt;0,MOD($A320-'Recurring Schedule'!$F$15,'Recurring Schedule'!$N$15)=0,IF('Recurring Schedule'!$O$15&gt;0,AND(DAY($A320)=MIN(DAY('Recurring Schedule'!$F$15),DAY(EOMONTH($A320,0))),MOD((YEAR($A320)-YEAR('Recurring Schedule'!$F$15))*12+MONTH($A320)-MONTH('Recurring Schedule'!$F$15),'Recurring Schedule'!$O$15)=0),IF('Recurring Schedule'!$E$15="Weekdays",WEEKDAY($A320,2)&lt;=5,$A320='Recurring Schedule'!$F$15))),10,""))))</f>
        <v/>
      </c>
      <c r="L320">
        <f>IF('Recurring Schedule'!$C$16="","",IF('Recurring Schedule'!$F$16="","",IF(OR($A320&lt;'Recurring Schedule'!$F$16,$A320&gt;'Recurring Schedule'!$P$16),"",IF(IF('Recurring Schedule'!$N$16&gt;0,MOD($A320-'Recurring Schedule'!$F$16,'Recurring Schedule'!$N$16)=0,IF('Recurring Schedule'!$O$16&gt;0,AND(DAY($A320)=MIN(DAY('Recurring Schedule'!$F$16),DAY(EOMONTH($A320,0))),MOD((YEAR($A320)-YEAR('Recurring Schedule'!$F$16))*12+MONTH($A320)-MONTH('Recurring Schedule'!$F$16),'Recurring Schedule'!$O$16)=0),IF('Recurring Schedule'!$E$16="Weekdays",WEEKDAY($A320,2)&lt;=5,$A320='Recurring Schedule'!$F$16))),11,""))))</f>
        <v/>
      </c>
      <c r="M320">
        <f>IF('Recurring Schedule'!$C$17="","",IF('Recurring Schedule'!$F$17="","",IF(OR($A320&lt;'Recurring Schedule'!$F$17,$A320&gt;'Recurring Schedule'!$P$17),"",IF(IF('Recurring Schedule'!$N$17&gt;0,MOD($A320-'Recurring Schedule'!$F$17,'Recurring Schedule'!$N$17)=0,IF('Recurring Schedule'!$O$17&gt;0,AND(DAY($A320)=MIN(DAY('Recurring Schedule'!$F$17),DAY(EOMONTH($A320,0))),MOD((YEAR($A320)-YEAR('Recurring Schedule'!$F$17))*12+MONTH($A320)-MONTH('Recurring Schedule'!$F$17),'Recurring Schedule'!$O$17)=0),IF('Recurring Schedule'!$E$17="Weekdays",WEEKDAY($A320,2)&lt;=5,$A320='Recurring Schedule'!$F$17))),12,""))))</f>
        <v/>
      </c>
      <c r="N320">
        <f>IF('Recurring Schedule'!$C$18="","",IF('Recurring Schedule'!$F$18="","",IF(OR($A320&lt;'Recurring Schedule'!$F$18,$A320&gt;'Recurring Schedule'!$P$18),"",IF(IF('Recurring Schedule'!$N$18&gt;0,MOD($A320-'Recurring Schedule'!$F$18,'Recurring Schedule'!$N$18)=0,IF('Recurring Schedule'!$O$18&gt;0,AND(DAY($A320)=MIN(DAY('Recurring Schedule'!$F$18),DAY(EOMONTH($A320,0))),MOD((YEAR($A320)-YEAR('Recurring Schedule'!$F$18))*12+MONTH($A320)-MONTH('Recurring Schedule'!$F$18),'Recurring Schedule'!$O$18)=0),IF('Recurring Schedule'!$E$18="Weekdays",WEEKDAY($A320,2)&lt;=5,$A320='Recurring Schedule'!$F$18))),13,""))))</f>
        <v/>
      </c>
      <c r="O320">
        <f>IF('Recurring Schedule'!$C$19="","",IF('Recurring Schedule'!$F$19="","",IF(OR($A320&lt;'Recurring Schedule'!$F$19,$A320&gt;'Recurring Schedule'!$P$19),"",IF(IF('Recurring Schedule'!$N$19&gt;0,MOD($A320-'Recurring Schedule'!$F$19,'Recurring Schedule'!$N$19)=0,IF('Recurring Schedule'!$O$19&gt;0,AND(DAY($A320)=MIN(DAY('Recurring Schedule'!$F$19),DAY(EOMONTH($A320,0))),MOD((YEAR($A320)-YEAR('Recurring Schedule'!$F$19))*12+MONTH($A320)-MONTH('Recurring Schedule'!$F$19),'Recurring Schedule'!$O$19)=0),IF('Recurring Schedule'!$E$19="Weekdays",WEEKDAY($A320,2)&lt;=5,$A320='Recurring Schedule'!$F$19))),14,""))))</f>
        <v/>
      </c>
      <c r="P320">
        <f>IF('Recurring Schedule'!$C$20="","",IF('Recurring Schedule'!$F$20="","",IF(OR($A320&lt;'Recurring Schedule'!$F$20,$A320&gt;'Recurring Schedule'!$P$20),"",IF(IF('Recurring Schedule'!$N$20&gt;0,MOD($A320-'Recurring Schedule'!$F$20,'Recurring Schedule'!$N$20)=0,IF('Recurring Schedule'!$O$20&gt;0,AND(DAY($A320)=MIN(DAY('Recurring Schedule'!$F$20),DAY(EOMONTH($A320,0))),MOD((YEAR($A320)-YEAR('Recurring Schedule'!$F$20))*12+MONTH($A320)-MONTH('Recurring Schedule'!$F$20),'Recurring Schedule'!$O$20)=0),IF('Recurring Schedule'!$E$20="Weekdays",WEEKDAY($A320,2)&lt;=5,$A320='Recurring Schedule'!$F$20))),15,""))))</f>
        <v/>
      </c>
      <c r="Q320">
        <f>IF('Recurring Schedule'!$C$21="","",IF('Recurring Schedule'!$F$21="","",IF(OR($A320&lt;'Recurring Schedule'!$F$21,$A320&gt;'Recurring Schedule'!$P$21),"",IF(IF('Recurring Schedule'!$N$21&gt;0,MOD($A320-'Recurring Schedule'!$F$21,'Recurring Schedule'!$N$21)=0,IF('Recurring Schedule'!$O$21&gt;0,AND(DAY($A320)=MIN(DAY('Recurring Schedule'!$F$21),DAY(EOMONTH($A320,0))),MOD((YEAR($A320)-YEAR('Recurring Schedule'!$F$21))*12+MONTH($A320)-MONTH('Recurring Schedule'!$F$21),'Recurring Schedule'!$O$21)=0),IF('Recurring Schedule'!$E$21="Weekdays",WEEKDAY($A320,2)&lt;=5,$A320='Recurring Schedule'!$F$21))),16,""))))</f>
        <v/>
      </c>
      <c r="R320">
        <f>IF('Recurring Schedule'!$C$22="","",IF('Recurring Schedule'!$F$22="","",IF(OR($A320&lt;'Recurring Schedule'!$F$22,$A320&gt;'Recurring Schedule'!$P$22),"",IF(IF('Recurring Schedule'!$N$22&gt;0,MOD($A320-'Recurring Schedule'!$F$22,'Recurring Schedule'!$N$22)=0,IF('Recurring Schedule'!$O$22&gt;0,AND(DAY($A320)=MIN(DAY('Recurring Schedule'!$F$22),DAY(EOMONTH($A320,0))),MOD((YEAR($A320)-YEAR('Recurring Schedule'!$F$22))*12+MONTH($A320)-MONTH('Recurring Schedule'!$F$22),'Recurring Schedule'!$O$22)=0),IF('Recurring Schedule'!$E$22="Weekdays",WEEKDAY($A320,2)&lt;=5,$A320='Recurring Schedule'!$F$22))),17,""))))</f>
        <v/>
      </c>
      <c r="S320">
        <f>IF('Recurring Schedule'!$C$23="","",IF('Recurring Schedule'!$F$23="","",IF(OR($A320&lt;'Recurring Schedule'!$F$23,$A320&gt;'Recurring Schedule'!$P$23),"",IF(IF('Recurring Schedule'!$N$23&gt;0,MOD($A320-'Recurring Schedule'!$F$23,'Recurring Schedule'!$N$23)=0,IF('Recurring Schedule'!$O$23&gt;0,AND(DAY($A320)=MIN(DAY('Recurring Schedule'!$F$23),DAY(EOMONTH($A320,0))),MOD((YEAR($A320)-YEAR('Recurring Schedule'!$F$23))*12+MONTH($A320)-MONTH('Recurring Schedule'!$F$23),'Recurring Schedule'!$O$23)=0),IF('Recurring Schedule'!$E$23="Weekdays",WEEKDAY($A320,2)&lt;=5,$A320='Recurring Schedule'!$F$23))),18,""))))</f>
        <v/>
      </c>
      <c r="T320">
        <f>IF('Recurring Schedule'!$C$24="","",IF('Recurring Schedule'!$F$24="","",IF(OR($A320&lt;'Recurring Schedule'!$F$24,$A320&gt;'Recurring Schedule'!$P$24),"",IF(IF('Recurring Schedule'!$N$24&gt;0,MOD($A320-'Recurring Schedule'!$F$24,'Recurring Schedule'!$N$24)=0,IF('Recurring Schedule'!$O$24&gt;0,AND(DAY($A320)=MIN(DAY('Recurring Schedule'!$F$24),DAY(EOMONTH($A320,0))),MOD((YEAR($A320)-YEAR('Recurring Schedule'!$F$24))*12+MONTH($A320)-MONTH('Recurring Schedule'!$F$24),'Recurring Schedule'!$O$24)=0),IF('Recurring Schedule'!$E$24="Weekdays",WEEKDAY($A320,2)&lt;=5,$A320='Recurring Schedule'!$F$24))),19,""))))</f>
        <v/>
      </c>
      <c r="U320">
        <f>IF('Recurring Schedule'!$C$25="","",IF('Recurring Schedule'!$F$25="","",IF(OR($A320&lt;'Recurring Schedule'!$F$25,$A320&gt;'Recurring Schedule'!$P$25),"",IF(IF('Recurring Schedule'!$N$25&gt;0,MOD($A320-'Recurring Schedule'!$F$25,'Recurring Schedule'!$N$25)=0,IF('Recurring Schedule'!$O$25&gt;0,AND(DAY($A320)=MIN(DAY('Recurring Schedule'!$F$25),DAY(EOMONTH($A320,0))),MOD((YEAR($A320)-YEAR('Recurring Schedule'!$F$25))*12+MONTH($A320)-MONTH('Recurring Schedule'!$F$25),'Recurring Schedule'!$O$25)=0),IF('Recurring Schedule'!$E$25="Weekdays",WEEKDAY($A320,2)&lt;=5,$A320='Recurring Schedule'!$F$25))),20,""))))</f>
        <v/>
      </c>
      <c r="V320">
        <f>IF('Recurring Schedule'!$C$26="","",IF('Recurring Schedule'!$F$26="","",IF(OR($A320&lt;'Recurring Schedule'!$F$26,$A320&gt;'Recurring Schedule'!$P$26),"",IF(IF('Recurring Schedule'!$N$26&gt;0,MOD($A320-'Recurring Schedule'!$F$26,'Recurring Schedule'!$N$26)=0,IF('Recurring Schedule'!$O$26&gt;0,AND(DAY($A320)=MIN(DAY('Recurring Schedule'!$F$26),DAY(EOMONTH($A320,0))),MOD((YEAR($A320)-YEAR('Recurring Schedule'!$F$26))*12+MONTH($A320)-MONTH('Recurring Schedule'!$F$26),'Recurring Schedule'!$O$26)=0),IF('Recurring Schedule'!$E$26="Weekdays",WEEKDAY($A320,2)&lt;=5,$A320='Recurring Schedule'!$F$26))),21,""))))</f>
        <v/>
      </c>
      <c r="W320">
        <f>IF('Recurring Schedule'!$C$27="","",IF('Recurring Schedule'!$F$27="","",IF(OR($A320&lt;'Recurring Schedule'!$F$27,$A320&gt;'Recurring Schedule'!$P$27),"",IF(IF('Recurring Schedule'!$N$27&gt;0,MOD($A320-'Recurring Schedule'!$F$27,'Recurring Schedule'!$N$27)=0,IF('Recurring Schedule'!$O$27&gt;0,AND(DAY($A320)=MIN(DAY('Recurring Schedule'!$F$27),DAY(EOMONTH($A320,0))),MOD((YEAR($A320)-YEAR('Recurring Schedule'!$F$27))*12+MONTH($A320)-MONTH('Recurring Schedule'!$F$27),'Recurring Schedule'!$O$27)=0),IF('Recurring Schedule'!$E$27="Weekdays",WEEKDAY($A320,2)&lt;=5,$A320='Recurring Schedule'!$F$27))),22,""))))</f>
        <v/>
      </c>
      <c r="X320">
        <f>IF('Recurring Schedule'!$C$28="","",IF('Recurring Schedule'!$F$28="","",IF(OR($A320&lt;'Recurring Schedule'!$F$28,$A320&gt;'Recurring Schedule'!$P$28),"",IF(IF('Recurring Schedule'!$N$28&gt;0,MOD($A320-'Recurring Schedule'!$F$28,'Recurring Schedule'!$N$28)=0,IF('Recurring Schedule'!$O$28&gt;0,AND(DAY($A320)=MIN(DAY('Recurring Schedule'!$F$28),DAY(EOMONTH($A320,0))),MOD((YEAR($A320)-YEAR('Recurring Schedule'!$F$28))*12+MONTH($A320)-MONTH('Recurring Schedule'!$F$28),'Recurring Schedule'!$O$28)=0),IF('Recurring Schedule'!$E$28="Weekdays",WEEKDAY($A320,2)&lt;=5,$A320='Recurring Schedule'!$F$28))),23,""))))</f>
        <v/>
      </c>
      <c r="Y320">
        <f>IF('Recurring Schedule'!$C$29="","",IF('Recurring Schedule'!$F$29="","",IF(OR($A320&lt;'Recurring Schedule'!$F$29,$A320&gt;'Recurring Schedule'!$P$29),"",IF(IF('Recurring Schedule'!$N$29&gt;0,MOD($A320-'Recurring Schedule'!$F$29,'Recurring Schedule'!$N$29)=0,IF('Recurring Schedule'!$O$29&gt;0,AND(DAY($A320)=MIN(DAY('Recurring Schedule'!$F$29),DAY(EOMONTH($A320,0))),MOD((YEAR($A320)-YEAR('Recurring Schedule'!$F$29))*12+MONTH($A320)-MONTH('Recurring Schedule'!$F$29),'Recurring Schedule'!$O$29)=0),IF('Recurring Schedule'!$E$29="Weekdays",WEEKDAY($A320,2)&lt;=5,$A320='Recurring Schedule'!$F$29))),24,""))))</f>
        <v/>
      </c>
      <c r="Z320">
        <f>IF('Recurring Schedule'!$C$30="","",IF('Recurring Schedule'!$F$30="","",IF(OR($A320&lt;'Recurring Schedule'!$F$30,$A320&gt;'Recurring Schedule'!$P$30),"",IF(IF('Recurring Schedule'!$N$30&gt;0,MOD($A320-'Recurring Schedule'!$F$30,'Recurring Schedule'!$N$30)=0,IF('Recurring Schedule'!$O$30&gt;0,AND(DAY($A320)=MIN(DAY('Recurring Schedule'!$F$30),DAY(EOMONTH($A320,0))),MOD((YEAR($A320)-YEAR('Recurring Schedule'!$F$30))*12+MONTH($A320)-MONTH('Recurring Schedule'!$F$30),'Recurring Schedule'!$O$30)=0),IF('Recurring Schedule'!$E$30="Weekdays",WEEKDAY($A320,2)&lt;=5,$A320='Recurring Schedule'!$F$30))),25,""))))</f>
        <v/>
      </c>
      <c r="AA320">
        <f>IF('Recurring Schedule'!$C$31="","",IF('Recurring Schedule'!$F$31="","",IF(OR($A320&lt;'Recurring Schedule'!$F$31,$A320&gt;'Recurring Schedule'!$P$31),"",IF(IF('Recurring Schedule'!$N$31&gt;0,MOD($A320-'Recurring Schedule'!$F$31,'Recurring Schedule'!$N$31)=0,IF('Recurring Schedule'!$O$31&gt;0,AND(DAY($A320)=MIN(DAY('Recurring Schedule'!$F$31),DAY(EOMONTH($A320,0))),MOD((YEAR($A320)-YEAR('Recurring Schedule'!$F$31))*12+MONTH($A320)-MONTH('Recurring Schedule'!$F$31),'Recurring Schedule'!$O$31)=0),IF('Recurring Schedule'!$E$31="Weekdays",WEEKDAY($A320,2)&lt;=5,$A320='Recurring Schedule'!$F$31))),26,""))))</f>
        <v/>
      </c>
      <c r="AB320">
        <f>IF('Recurring Schedule'!$C$32="","",IF('Recurring Schedule'!$F$32="","",IF(OR($A320&lt;'Recurring Schedule'!$F$32,$A320&gt;'Recurring Schedule'!$P$32),"",IF(IF('Recurring Schedule'!$N$32&gt;0,MOD($A320-'Recurring Schedule'!$F$32,'Recurring Schedule'!$N$32)=0,IF('Recurring Schedule'!$O$32&gt;0,AND(DAY($A320)=MIN(DAY('Recurring Schedule'!$F$32),DAY(EOMONTH($A320,0))),MOD((YEAR($A320)-YEAR('Recurring Schedule'!$F$32))*12+MONTH($A320)-MONTH('Recurring Schedule'!$F$32),'Recurring Schedule'!$O$32)=0),IF('Recurring Schedule'!$E$32="Weekdays",WEEKDAY($A320,2)&lt;=5,$A320='Recurring Schedule'!$F$32))),27,""))))</f>
        <v/>
      </c>
      <c r="AC320">
        <f>IF('Recurring Schedule'!$C$33="","",IF('Recurring Schedule'!$F$33="","",IF(OR($A320&lt;'Recurring Schedule'!$F$33,$A320&gt;'Recurring Schedule'!$P$33),"",IF(IF('Recurring Schedule'!$N$33&gt;0,MOD($A320-'Recurring Schedule'!$F$33,'Recurring Schedule'!$N$33)=0,IF('Recurring Schedule'!$O$33&gt;0,AND(DAY($A320)=MIN(DAY('Recurring Schedule'!$F$33),DAY(EOMONTH($A320,0))),MOD((YEAR($A320)-YEAR('Recurring Schedule'!$F$33))*12+MONTH($A320)-MONTH('Recurring Schedule'!$F$33),'Recurring Schedule'!$O$33)=0),IF('Recurring Schedule'!$E$33="Weekdays",WEEKDAY($A320,2)&lt;=5,$A320='Recurring Schedule'!$F$33))),28,""))))</f>
        <v/>
      </c>
      <c r="AD320">
        <f>IF('Recurring Schedule'!$C$34="","",IF('Recurring Schedule'!$F$34="","",IF(OR($A320&lt;'Recurring Schedule'!$F$34,$A320&gt;'Recurring Schedule'!$P$34),"",IF(IF('Recurring Schedule'!$N$34&gt;0,MOD($A320-'Recurring Schedule'!$F$34,'Recurring Schedule'!$N$34)=0,IF('Recurring Schedule'!$O$34&gt;0,AND(DAY($A320)=MIN(DAY('Recurring Schedule'!$F$34),DAY(EOMONTH($A320,0))),MOD((YEAR($A320)-YEAR('Recurring Schedule'!$F$34))*12+MONTH($A320)-MONTH('Recurring Schedule'!$F$34),'Recurring Schedule'!$O$34)=0),IF('Recurring Schedule'!$E$34="Weekdays",WEEKDAY($A320,2)&lt;=5,$A320='Recurring Schedule'!$F$34))),29,""))))</f>
        <v/>
      </c>
      <c r="AE320">
        <f>IF('Recurring Schedule'!$C$35="","",IF('Recurring Schedule'!$F$35="","",IF(OR($A320&lt;'Recurring Schedule'!$F$35,$A320&gt;'Recurring Schedule'!$P$35),"",IF(IF('Recurring Schedule'!$N$35&gt;0,MOD($A320-'Recurring Schedule'!$F$35,'Recurring Schedule'!$N$35)=0,IF('Recurring Schedule'!$O$35&gt;0,AND(DAY($A320)=MIN(DAY('Recurring Schedule'!$F$35),DAY(EOMONTH($A320,0))),MOD((YEAR($A320)-YEAR('Recurring Schedule'!$F$35))*12+MONTH($A320)-MONTH('Recurring Schedule'!$F$35),'Recurring Schedule'!$O$35)=0),IF('Recurring Schedule'!$E$35="Weekdays",WEEKDAY($A320,2)&lt;=5,$A320='Recurring Schedule'!$F$35))),30,""))))</f>
        <v/>
      </c>
      <c r="AF320">
        <f>IF('Recurring Schedule'!$C$36="","",IF('Recurring Schedule'!$F$36="","",IF(OR($A320&lt;'Recurring Schedule'!$F$36,$A320&gt;'Recurring Schedule'!$P$36),"",IF(IF('Recurring Schedule'!$N$36&gt;0,MOD($A320-'Recurring Schedule'!$F$36,'Recurring Schedule'!$N$36)=0,IF('Recurring Schedule'!$O$36&gt;0,AND(DAY($A320)=MIN(DAY('Recurring Schedule'!$F$36),DAY(EOMONTH($A320,0))),MOD((YEAR($A320)-YEAR('Recurring Schedule'!$F$36))*12+MONTH($A320)-MONTH('Recurring Schedule'!$F$36),'Recurring Schedule'!$O$36)=0),IF('Recurring Schedule'!$E$36="Weekdays",WEEKDAY($A320,2)&lt;=5,$A320='Recurring Schedule'!$F$36))),31,""))))</f>
        <v/>
      </c>
      <c r="AG320">
        <f>IF('Recurring Schedule'!$C$37="","",IF('Recurring Schedule'!$F$37="","",IF(OR($A320&lt;'Recurring Schedule'!$F$37,$A320&gt;'Recurring Schedule'!$P$37),"",IF(IF('Recurring Schedule'!$N$37&gt;0,MOD($A320-'Recurring Schedule'!$F$37,'Recurring Schedule'!$N$37)=0,IF('Recurring Schedule'!$O$37&gt;0,AND(DAY($A320)=MIN(DAY('Recurring Schedule'!$F$37),DAY(EOMONTH($A320,0))),MOD((YEAR($A320)-YEAR('Recurring Schedule'!$F$37))*12+MONTH($A320)-MONTH('Recurring Schedule'!$F$37),'Recurring Schedule'!$O$37)=0),IF('Recurring Schedule'!$E$37="Weekdays",WEEKDAY($A320,2)&lt;=5,$A320='Recurring Schedule'!$F$37))),32,""))))</f>
        <v/>
      </c>
      <c r="AH320">
        <f>IF('Recurring Schedule'!$C$38="","",IF('Recurring Schedule'!$F$38="","",IF(OR($A320&lt;'Recurring Schedule'!$F$38,$A320&gt;'Recurring Schedule'!$P$38),"",IF(IF('Recurring Schedule'!$N$38&gt;0,MOD($A320-'Recurring Schedule'!$F$38,'Recurring Schedule'!$N$38)=0,IF('Recurring Schedule'!$O$38&gt;0,AND(DAY($A320)=MIN(DAY('Recurring Schedule'!$F$38),DAY(EOMONTH($A320,0))),MOD((YEAR($A320)-YEAR('Recurring Schedule'!$F$38))*12+MONTH($A320)-MONTH('Recurring Schedule'!$F$38),'Recurring Schedule'!$O$38)=0),IF('Recurring Schedule'!$E$38="Weekdays",WEEKDAY($A320,2)&lt;=5,$A320='Recurring Schedule'!$F$38))),33,""))))</f>
        <v/>
      </c>
      <c r="AI320">
        <f>IF('Recurring Schedule'!$C$39="","",IF('Recurring Schedule'!$F$39="","",IF(OR($A320&lt;'Recurring Schedule'!$F$39,$A320&gt;'Recurring Schedule'!$P$39),"",IF(IF('Recurring Schedule'!$N$39&gt;0,MOD($A320-'Recurring Schedule'!$F$39,'Recurring Schedule'!$N$39)=0,IF('Recurring Schedule'!$O$39&gt;0,AND(DAY($A320)=MIN(DAY('Recurring Schedule'!$F$39),DAY(EOMONTH($A320,0))),MOD((YEAR($A320)-YEAR('Recurring Schedule'!$F$39))*12+MONTH($A320)-MONTH('Recurring Schedule'!$F$39),'Recurring Schedule'!$O$39)=0),IF('Recurring Schedule'!$E$39="Weekdays",WEEKDAY($A320,2)&lt;=5,$A320='Recurring Schedule'!$F$39))),34,""))))</f>
        <v/>
      </c>
      <c r="AJ320">
        <f>IF('Recurring Schedule'!$C$40="","",IF('Recurring Schedule'!$F$40="","",IF(OR($A320&lt;'Recurring Schedule'!$F$40,$A320&gt;'Recurring Schedule'!$P$40),"",IF(IF('Recurring Schedule'!$N$40&gt;0,MOD($A320-'Recurring Schedule'!$F$40,'Recurring Schedule'!$N$40)=0,IF('Recurring Schedule'!$O$40&gt;0,AND(DAY($A320)=MIN(DAY('Recurring Schedule'!$F$40),DAY(EOMONTH($A320,0))),MOD((YEAR($A320)-YEAR('Recurring Schedule'!$F$40))*12+MONTH($A320)-MONTH('Recurring Schedule'!$F$40),'Recurring Schedule'!$O$40)=0),IF('Recurring Schedule'!$E$40="Weekdays",WEEKDAY($A320,2)&lt;=5,$A320='Recurring Schedule'!$F$40))),35,""))))</f>
        <v/>
      </c>
      <c r="AK320">
        <f>IF('Recurring Schedule'!$C$41="","",IF('Recurring Schedule'!$F$41="","",IF(OR($A320&lt;'Recurring Schedule'!$F$41,$A320&gt;'Recurring Schedule'!$P$41),"",IF(IF('Recurring Schedule'!$N$41&gt;0,MOD($A320-'Recurring Schedule'!$F$41,'Recurring Schedule'!$N$41)=0,IF('Recurring Schedule'!$O$41&gt;0,AND(DAY($A320)=MIN(DAY('Recurring Schedule'!$F$41),DAY(EOMONTH($A320,0))),MOD((YEAR($A320)-YEAR('Recurring Schedule'!$F$41))*12+MONTH($A320)-MONTH('Recurring Schedule'!$F$41),'Recurring Schedule'!$O$41)=0),IF('Recurring Schedule'!$E$41="Weekdays",WEEKDAY($A320,2)&lt;=5,$A320='Recurring Schedule'!$F$41))),36,""))))</f>
        <v/>
      </c>
      <c r="AL320">
        <f>IF('Recurring Schedule'!$C$42="","",IF('Recurring Schedule'!$F$42="","",IF(OR($A320&lt;'Recurring Schedule'!$F$42,$A320&gt;'Recurring Schedule'!$P$42),"",IF(IF('Recurring Schedule'!$N$42&gt;0,MOD($A320-'Recurring Schedule'!$F$42,'Recurring Schedule'!$N$42)=0,IF('Recurring Schedule'!$O$42&gt;0,AND(DAY($A320)=MIN(DAY('Recurring Schedule'!$F$42),DAY(EOMONTH($A320,0))),MOD((YEAR($A320)-YEAR('Recurring Schedule'!$F$42))*12+MONTH($A320)-MONTH('Recurring Schedule'!$F$42),'Recurring Schedule'!$O$42)=0),IF('Recurring Schedule'!$E$42="Weekdays",WEEKDAY($A320,2)&lt;=5,$A320='Recurring Schedule'!$F$42))),37,""))))</f>
        <v/>
      </c>
      <c r="AM320">
        <f>IF('Recurring Schedule'!$C$43="","",IF('Recurring Schedule'!$F$43="","",IF(OR($A320&lt;'Recurring Schedule'!$F$43,$A320&gt;'Recurring Schedule'!$P$43),"",IF(IF('Recurring Schedule'!$N$43&gt;0,MOD($A320-'Recurring Schedule'!$F$43,'Recurring Schedule'!$N$43)=0,IF('Recurring Schedule'!$O$43&gt;0,AND(DAY($A320)=MIN(DAY('Recurring Schedule'!$F$43),DAY(EOMONTH($A320,0))),MOD((YEAR($A320)-YEAR('Recurring Schedule'!$F$43))*12+MONTH($A320)-MONTH('Recurring Schedule'!$F$43),'Recurring Schedule'!$O$43)=0),IF('Recurring Schedule'!$E$43="Weekdays",WEEKDAY($A320,2)&lt;=5,$A320='Recurring Schedule'!$F$43))),38,""))))</f>
        <v/>
      </c>
      <c r="AN320">
        <f>IF('Recurring Schedule'!$C$44="","",IF('Recurring Schedule'!$F$44="","",IF(OR($A320&lt;'Recurring Schedule'!$F$44,$A320&gt;'Recurring Schedule'!$P$44),"",IF(IF('Recurring Schedule'!$N$44&gt;0,MOD($A320-'Recurring Schedule'!$F$44,'Recurring Schedule'!$N$44)=0,IF('Recurring Schedule'!$O$44&gt;0,AND(DAY($A320)=MIN(DAY('Recurring Schedule'!$F$44),DAY(EOMONTH($A320,0))),MOD((YEAR($A320)-YEAR('Recurring Schedule'!$F$44))*12+MONTH($A320)-MONTH('Recurring Schedule'!$F$44),'Recurring Schedule'!$O$44)=0),IF('Recurring Schedule'!$E$44="Weekdays",WEEKDAY($A320,2)&lt;=5,$A320='Recurring Schedule'!$F$44))),39,""))))</f>
        <v/>
      </c>
      <c r="AO320">
        <f>IF('Recurring Schedule'!$C$45="","",IF('Recurring Schedule'!$F$45="","",IF(OR($A320&lt;'Recurring Schedule'!$F$45,$A320&gt;'Recurring Schedule'!$P$45),"",IF(IF('Recurring Schedule'!$N$45&gt;0,MOD($A320-'Recurring Schedule'!$F$45,'Recurring Schedule'!$N$45)=0,IF('Recurring Schedule'!$O$45&gt;0,AND(DAY($A320)=MIN(DAY('Recurring Schedule'!$F$45),DAY(EOMONTH($A320,0))),MOD((YEAR($A320)-YEAR('Recurring Schedule'!$F$45))*12+MONTH($A320)-MONTH('Recurring Schedule'!$F$45),'Recurring Schedule'!$O$45)=0),IF('Recurring Schedule'!$E$45="Weekdays",WEEKDAY($A320,2)&lt;=5,$A320='Recurring Schedule'!$F$45))),40,""))))</f>
        <v/>
      </c>
      <c r="AP320">
        <f>COUNT(B320:AO320)</f>
        <v/>
      </c>
      <c r="AQ320">
        <f>AQ319+AP319</f>
        <v/>
      </c>
      <c r="AS320" t="inlineStr">
        <is>
          <t>R</t>
        </is>
      </c>
      <c r="AT320" t="n">
        <v>324</v>
      </c>
      <c r="AU320">
        <f>'Recurring Log'!C324&amp;""</f>
        <v/>
      </c>
      <c r="AV320">
        <f>'Recurring Log'!D324&amp;""</f>
        <v/>
      </c>
      <c r="AW320">
        <f>IF('Recurring Log'!E324="","",'Recurring Log'!E324)</f>
        <v/>
      </c>
      <c r="AX320">
        <f>IF('Recurring Log'!G324="","",'Recurring Log'!G324)</f>
        <v/>
      </c>
      <c r="AY320">
        <f>IF('Recurring Log'!H324="","",'Recurring Log'!H324)</f>
        <v/>
      </c>
      <c r="AZ320">
        <f>IF(AU320="","",IF('Recurring Log'!J324="","Not Started",'Recurring Log'!J324))</f>
        <v/>
      </c>
      <c r="BA320">
        <f>'Recurring Log'!L324&amp;""</f>
        <v/>
      </c>
      <c r="BB320">
        <f>'Recurring Log'!M324&amp;""</f>
        <v/>
      </c>
      <c r="BC320">
        <f>'Recurring Log'!N324&amp;""</f>
        <v/>
      </c>
      <c r="BD320">
        <f>'Recurring Log'!O324&amp;""</f>
        <v/>
      </c>
      <c r="BE320">
        <f>IF('Recurring Log'!K324="","",'Recurring Log'!K324)</f>
        <v/>
      </c>
      <c r="BF320">
        <f>IFERROR(MATCH(BA320,Setup!$L$6:$L$9,0),5)</f>
        <v/>
      </c>
      <c r="BG320">
        <f>IF(OR(AZ320="Done",AZ320="Cancelled"),1,0)</f>
        <v/>
      </c>
      <c r="BH320">
        <f>IF(AND(AU320&lt;&gt;"",ISNUMBER(AW320)),1,0)</f>
        <v/>
      </c>
      <c r="BI320">
        <f>IF(BH320=0,0,IF(AND(AW320&gt;='Tasks Filter'!$F$3,AW320&lt;='Tasks Filter'!$F$4,OR('Tasks Filter'!$I$3="",ISNUMBER(SEARCH('Tasks Filter'!$I$3,AU320))),OR('Tasks Filter'!$I$4="",BF320=IFERROR(MATCH('Tasks Filter'!$I$4,Setup!$L$6:$L$9,0),0)),OR('Tasks Filter'!$I$5="Both",AND('Tasks Filter'!$I$5="Yes",BB320="✓"),AND('Tasks Filter'!$I$5="No",BB320&lt;&gt;"✓")),OR('Tasks Filter'!$L$3="",AV320='Tasks Filter'!$L$3),OR('Tasks Filter'!$L$4="",AZ320='Tasks Filter'!$L$4),OR('Tasks Filter'!$L$5="",BC320='Tasks Filter'!$L$5),OR('Tasks Filter'!$O$3="",BD320='Tasks Filter'!$O$3),OR('Tasks Filter'!$O$4="Yes",BG320=0)),1,0))</f>
        <v/>
      </c>
      <c r="BJ320">
        <f>IF(BH320=0,"",IF('Tasks Filter'!$F$6="Descending",-1,1)*CHOOSE(MATCH('Tasks Filter'!$F$5,Lists!$G$2:$G$6,0),AW320,BF320,IFERROR(MATCH(AV320,Setup!$F$6:$F$15,0),99),IFERROR(MATCH(BC320,Setup!$H$6:$H$15,0),99),IFERROR(MATCH(AZ320,Setup!$J$6:$J$11,0),99))*1E+9+(AW320-40000)*10000+319)</f>
        <v/>
      </c>
      <c r="BK320">
        <f>IF(BI320=1,BJ320,"")</f>
        <v/>
      </c>
      <c r="BL320">
        <f>IF(AND(BH320=1,BG320=0,N(AW320)&lt;Setup!$D$7),(AW320-40000)*10000+319,"")</f>
        <v/>
      </c>
      <c r="BM320">
        <f>IF(AND(BH320=1,AZ320&lt;&gt;"Cancelled",N(AW320)&gt;=Dashboard!$AB$3,N(AW320)&lt;=Dashboard!$AB$3+6),(AW320-40000)*100000+BF320*10000+319,"")</f>
        <v/>
      </c>
      <c r="BN320">
        <f>IF(AND(BH320=1,AZ320&lt;&gt;"Cancelled"),BF320*10000+319,"")</f>
        <v/>
      </c>
    </row>
    <row r="321">
      <c r="A321">
        <f>Setup!$D$5+319</f>
        <v/>
      </c>
      <c r="B321">
        <f>IF('Recurring Schedule'!$C$6="","",IF('Recurring Schedule'!$F$6="","",IF(OR($A321&lt;'Recurring Schedule'!$F$6,$A321&gt;'Recurring Schedule'!$P$6),"",IF(IF('Recurring Schedule'!$N$6&gt;0,MOD($A321-'Recurring Schedule'!$F$6,'Recurring Schedule'!$N$6)=0,IF('Recurring Schedule'!$O$6&gt;0,AND(DAY($A321)=MIN(DAY('Recurring Schedule'!$F$6),DAY(EOMONTH($A321,0))),MOD((YEAR($A321)-YEAR('Recurring Schedule'!$F$6))*12+MONTH($A321)-MONTH('Recurring Schedule'!$F$6),'Recurring Schedule'!$O$6)=0),IF('Recurring Schedule'!$E$6="Weekdays",WEEKDAY($A321,2)&lt;=5,$A321='Recurring Schedule'!$F$6))),1,""))))</f>
        <v/>
      </c>
      <c r="C321">
        <f>IF('Recurring Schedule'!$C$7="","",IF('Recurring Schedule'!$F$7="","",IF(OR($A321&lt;'Recurring Schedule'!$F$7,$A321&gt;'Recurring Schedule'!$P$7),"",IF(IF('Recurring Schedule'!$N$7&gt;0,MOD($A321-'Recurring Schedule'!$F$7,'Recurring Schedule'!$N$7)=0,IF('Recurring Schedule'!$O$7&gt;0,AND(DAY($A321)=MIN(DAY('Recurring Schedule'!$F$7),DAY(EOMONTH($A321,0))),MOD((YEAR($A321)-YEAR('Recurring Schedule'!$F$7))*12+MONTH($A321)-MONTH('Recurring Schedule'!$F$7),'Recurring Schedule'!$O$7)=0),IF('Recurring Schedule'!$E$7="Weekdays",WEEKDAY($A321,2)&lt;=5,$A321='Recurring Schedule'!$F$7))),2,""))))</f>
        <v/>
      </c>
      <c r="D321">
        <f>IF('Recurring Schedule'!$C$8="","",IF('Recurring Schedule'!$F$8="","",IF(OR($A321&lt;'Recurring Schedule'!$F$8,$A321&gt;'Recurring Schedule'!$P$8),"",IF(IF('Recurring Schedule'!$N$8&gt;0,MOD($A321-'Recurring Schedule'!$F$8,'Recurring Schedule'!$N$8)=0,IF('Recurring Schedule'!$O$8&gt;0,AND(DAY($A321)=MIN(DAY('Recurring Schedule'!$F$8),DAY(EOMONTH($A321,0))),MOD((YEAR($A321)-YEAR('Recurring Schedule'!$F$8))*12+MONTH($A321)-MONTH('Recurring Schedule'!$F$8),'Recurring Schedule'!$O$8)=0),IF('Recurring Schedule'!$E$8="Weekdays",WEEKDAY($A321,2)&lt;=5,$A321='Recurring Schedule'!$F$8))),3,""))))</f>
        <v/>
      </c>
      <c r="E321">
        <f>IF('Recurring Schedule'!$C$9="","",IF('Recurring Schedule'!$F$9="","",IF(OR($A321&lt;'Recurring Schedule'!$F$9,$A321&gt;'Recurring Schedule'!$P$9),"",IF(IF('Recurring Schedule'!$N$9&gt;0,MOD($A321-'Recurring Schedule'!$F$9,'Recurring Schedule'!$N$9)=0,IF('Recurring Schedule'!$O$9&gt;0,AND(DAY($A321)=MIN(DAY('Recurring Schedule'!$F$9),DAY(EOMONTH($A321,0))),MOD((YEAR($A321)-YEAR('Recurring Schedule'!$F$9))*12+MONTH($A321)-MONTH('Recurring Schedule'!$F$9),'Recurring Schedule'!$O$9)=0),IF('Recurring Schedule'!$E$9="Weekdays",WEEKDAY($A321,2)&lt;=5,$A321='Recurring Schedule'!$F$9))),4,""))))</f>
        <v/>
      </c>
      <c r="F321">
        <f>IF('Recurring Schedule'!$C$10="","",IF('Recurring Schedule'!$F$10="","",IF(OR($A321&lt;'Recurring Schedule'!$F$10,$A321&gt;'Recurring Schedule'!$P$10),"",IF(IF('Recurring Schedule'!$N$10&gt;0,MOD($A321-'Recurring Schedule'!$F$10,'Recurring Schedule'!$N$10)=0,IF('Recurring Schedule'!$O$10&gt;0,AND(DAY($A321)=MIN(DAY('Recurring Schedule'!$F$10),DAY(EOMONTH($A321,0))),MOD((YEAR($A321)-YEAR('Recurring Schedule'!$F$10))*12+MONTH($A321)-MONTH('Recurring Schedule'!$F$10),'Recurring Schedule'!$O$10)=0),IF('Recurring Schedule'!$E$10="Weekdays",WEEKDAY($A321,2)&lt;=5,$A321='Recurring Schedule'!$F$10))),5,""))))</f>
        <v/>
      </c>
      <c r="G321">
        <f>IF('Recurring Schedule'!$C$11="","",IF('Recurring Schedule'!$F$11="","",IF(OR($A321&lt;'Recurring Schedule'!$F$11,$A321&gt;'Recurring Schedule'!$P$11),"",IF(IF('Recurring Schedule'!$N$11&gt;0,MOD($A321-'Recurring Schedule'!$F$11,'Recurring Schedule'!$N$11)=0,IF('Recurring Schedule'!$O$11&gt;0,AND(DAY($A321)=MIN(DAY('Recurring Schedule'!$F$11),DAY(EOMONTH($A321,0))),MOD((YEAR($A321)-YEAR('Recurring Schedule'!$F$11))*12+MONTH($A321)-MONTH('Recurring Schedule'!$F$11),'Recurring Schedule'!$O$11)=0),IF('Recurring Schedule'!$E$11="Weekdays",WEEKDAY($A321,2)&lt;=5,$A321='Recurring Schedule'!$F$11))),6,""))))</f>
        <v/>
      </c>
      <c r="H321">
        <f>IF('Recurring Schedule'!$C$12="","",IF('Recurring Schedule'!$F$12="","",IF(OR($A321&lt;'Recurring Schedule'!$F$12,$A321&gt;'Recurring Schedule'!$P$12),"",IF(IF('Recurring Schedule'!$N$12&gt;0,MOD($A321-'Recurring Schedule'!$F$12,'Recurring Schedule'!$N$12)=0,IF('Recurring Schedule'!$O$12&gt;0,AND(DAY($A321)=MIN(DAY('Recurring Schedule'!$F$12),DAY(EOMONTH($A321,0))),MOD((YEAR($A321)-YEAR('Recurring Schedule'!$F$12))*12+MONTH($A321)-MONTH('Recurring Schedule'!$F$12),'Recurring Schedule'!$O$12)=0),IF('Recurring Schedule'!$E$12="Weekdays",WEEKDAY($A321,2)&lt;=5,$A321='Recurring Schedule'!$F$12))),7,""))))</f>
        <v/>
      </c>
      <c r="I321">
        <f>IF('Recurring Schedule'!$C$13="","",IF('Recurring Schedule'!$F$13="","",IF(OR($A321&lt;'Recurring Schedule'!$F$13,$A321&gt;'Recurring Schedule'!$P$13),"",IF(IF('Recurring Schedule'!$N$13&gt;0,MOD($A321-'Recurring Schedule'!$F$13,'Recurring Schedule'!$N$13)=0,IF('Recurring Schedule'!$O$13&gt;0,AND(DAY($A321)=MIN(DAY('Recurring Schedule'!$F$13),DAY(EOMONTH($A321,0))),MOD((YEAR($A321)-YEAR('Recurring Schedule'!$F$13))*12+MONTH($A321)-MONTH('Recurring Schedule'!$F$13),'Recurring Schedule'!$O$13)=0),IF('Recurring Schedule'!$E$13="Weekdays",WEEKDAY($A321,2)&lt;=5,$A321='Recurring Schedule'!$F$13))),8,""))))</f>
        <v/>
      </c>
      <c r="J321">
        <f>IF('Recurring Schedule'!$C$14="","",IF('Recurring Schedule'!$F$14="","",IF(OR($A321&lt;'Recurring Schedule'!$F$14,$A321&gt;'Recurring Schedule'!$P$14),"",IF(IF('Recurring Schedule'!$N$14&gt;0,MOD($A321-'Recurring Schedule'!$F$14,'Recurring Schedule'!$N$14)=0,IF('Recurring Schedule'!$O$14&gt;0,AND(DAY($A321)=MIN(DAY('Recurring Schedule'!$F$14),DAY(EOMONTH($A321,0))),MOD((YEAR($A321)-YEAR('Recurring Schedule'!$F$14))*12+MONTH($A321)-MONTH('Recurring Schedule'!$F$14),'Recurring Schedule'!$O$14)=0),IF('Recurring Schedule'!$E$14="Weekdays",WEEKDAY($A321,2)&lt;=5,$A321='Recurring Schedule'!$F$14))),9,""))))</f>
        <v/>
      </c>
      <c r="K321">
        <f>IF('Recurring Schedule'!$C$15="","",IF('Recurring Schedule'!$F$15="","",IF(OR($A321&lt;'Recurring Schedule'!$F$15,$A321&gt;'Recurring Schedule'!$P$15),"",IF(IF('Recurring Schedule'!$N$15&gt;0,MOD($A321-'Recurring Schedule'!$F$15,'Recurring Schedule'!$N$15)=0,IF('Recurring Schedule'!$O$15&gt;0,AND(DAY($A321)=MIN(DAY('Recurring Schedule'!$F$15),DAY(EOMONTH($A321,0))),MOD((YEAR($A321)-YEAR('Recurring Schedule'!$F$15))*12+MONTH($A321)-MONTH('Recurring Schedule'!$F$15),'Recurring Schedule'!$O$15)=0),IF('Recurring Schedule'!$E$15="Weekdays",WEEKDAY($A321,2)&lt;=5,$A321='Recurring Schedule'!$F$15))),10,""))))</f>
        <v/>
      </c>
      <c r="L321">
        <f>IF('Recurring Schedule'!$C$16="","",IF('Recurring Schedule'!$F$16="","",IF(OR($A321&lt;'Recurring Schedule'!$F$16,$A321&gt;'Recurring Schedule'!$P$16),"",IF(IF('Recurring Schedule'!$N$16&gt;0,MOD($A321-'Recurring Schedule'!$F$16,'Recurring Schedule'!$N$16)=0,IF('Recurring Schedule'!$O$16&gt;0,AND(DAY($A321)=MIN(DAY('Recurring Schedule'!$F$16),DAY(EOMONTH($A321,0))),MOD((YEAR($A321)-YEAR('Recurring Schedule'!$F$16))*12+MONTH($A321)-MONTH('Recurring Schedule'!$F$16),'Recurring Schedule'!$O$16)=0),IF('Recurring Schedule'!$E$16="Weekdays",WEEKDAY($A321,2)&lt;=5,$A321='Recurring Schedule'!$F$16))),11,""))))</f>
        <v/>
      </c>
      <c r="M321">
        <f>IF('Recurring Schedule'!$C$17="","",IF('Recurring Schedule'!$F$17="","",IF(OR($A321&lt;'Recurring Schedule'!$F$17,$A321&gt;'Recurring Schedule'!$P$17),"",IF(IF('Recurring Schedule'!$N$17&gt;0,MOD($A321-'Recurring Schedule'!$F$17,'Recurring Schedule'!$N$17)=0,IF('Recurring Schedule'!$O$17&gt;0,AND(DAY($A321)=MIN(DAY('Recurring Schedule'!$F$17),DAY(EOMONTH($A321,0))),MOD((YEAR($A321)-YEAR('Recurring Schedule'!$F$17))*12+MONTH($A321)-MONTH('Recurring Schedule'!$F$17),'Recurring Schedule'!$O$17)=0),IF('Recurring Schedule'!$E$17="Weekdays",WEEKDAY($A321,2)&lt;=5,$A321='Recurring Schedule'!$F$17))),12,""))))</f>
        <v/>
      </c>
      <c r="N321">
        <f>IF('Recurring Schedule'!$C$18="","",IF('Recurring Schedule'!$F$18="","",IF(OR($A321&lt;'Recurring Schedule'!$F$18,$A321&gt;'Recurring Schedule'!$P$18),"",IF(IF('Recurring Schedule'!$N$18&gt;0,MOD($A321-'Recurring Schedule'!$F$18,'Recurring Schedule'!$N$18)=0,IF('Recurring Schedule'!$O$18&gt;0,AND(DAY($A321)=MIN(DAY('Recurring Schedule'!$F$18),DAY(EOMONTH($A321,0))),MOD((YEAR($A321)-YEAR('Recurring Schedule'!$F$18))*12+MONTH($A321)-MONTH('Recurring Schedule'!$F$18),'Recurring Schedule'!$O$18)=0),IF('Recurring Schedule'!$E$18="Weekdays",WEEKDAY($A321,2)&lt;=5,$A321='Recurring Schedule'!$F$18))),13,""))))</f>
        <v/>
      </c>
      <c r="O321">
        <f>IF('Recurring Schedule'!$C$19="","",IF('Recurring Schedule'!$F$19="","",IF(OR($A321&lt;'Recurring Schedule'!$F$19,$A321&gt;'Recurring Schedule'!$P$19),"",IF(IF('Recurring Schedule'!$N$19&gt;0,MOD($A321-'Recurring Schedule'!$F$19,'Recurring Schedule'!$N$19)=0,IF('Recurring Schedule'!$O$19&gt;0,AND(DAY($A321)=MIN(DAY('Recurring Schedule'!$F$19),DAY(EOMONTH($A321,0))),MOD((YEAR($A321)-YEAR('Recurring Schedule'!$F$19))*12+MONTH($A321)-MONTH('Recurring Schedule'!$F$19),'Recurring Schedule'!$O$19)=0),IF('Recurring Schedule'!$E$19="Weekdays",WEEKDAY($A321,2)&lt;=5,$A321='Recurring Schedule'!$F$19))),14,""))))</f>
        <v/>
      </c>
      <c r="P321">
        <f>IF('Recurring Schedule'!$C$20="","",IF('Recurring Schedule'!$F$20="","",IF(OR($A321&lt;'Recurring Schedule'!$F$20,$A321&gt;'Recurring Schedule'!$P$20),"",IF(IF('Recurring Schedule'!$N$20&gt;0,MOD($A321-'Recurring Schedule'!$F$20,'Recurring Schedule'!$N$20)=0,IF('Recurring Schedule'!$O$20&gt;0,AND(DAY($A321)=MIN(DAY('Recurring Schedule'!$F$20),DAY(EOMONTH($A321,0))),MOD((YEAR($A321)-YEAR('Recurring Schedule'!$F$20))*12+MONTH($A321)-MONTH('Recurring Schedule'!$F$20),'Recurring Schedule'!$O$20)=0),IF('Recurring Schedule'!$E$20="Weekdays",WEEKDAY($A321,2)&lt;=5,$A321='Recurring Schedule'!$F$20))),15,""))))</f>
        <v/>
      </c>
      <c r="Q321">
        <f>IF('Recurring Schedule'!$C$21="","",IF('Recurring Schedule'!$F$21="","",IF(OR($A321&lt;'Recurring Schedule'!$F$21,$A321&gt;'Recurring Schedule'!$P$21),"",IF(IF('Recurring Schedule'!$N$21&gt;0,MOD($A321-'Recurring Schedule'!$F$21,'Recurring Schedule'!$N$21)=0,IF('Recurring Schedule'!$O$21&gt;0,AND(DAY($A321)=MIN(DAY('Recurring Schedule'!$F$21),DAY(EOMONTH($A321,0))),MOD((YEAR($A321)-YEAR('Recurring Schedule'!$F$21))*12+MONTH($A321)-MONTH('Recurring Schedule'!$F$21),'Recurring Schedule'!$O$21)=0),IF('Recurring Schedule'!$E$21="Weekdays",WEEKDAY($A321,2)&lt;=5,$A321='Recurring Schedule'!$F$21))),16,""))))</f>
        <v/>
      </c>
      <c r="R321">
        <f>IF('Recurring Schedule'!$C$22="","",IF('Recurring Schedule'!$F$22="","",IF(OR($A321&lt;'Recurring Schedule'!$F$22,$A321&gt;'Recurring Schedule'!$P$22),"",IF(IF('Recurring Schedule'!$N$22&gt;0,MOD($A321-'Recurring Schedule'!$F$22,'Recurring Schedule'!$N$22)=0,IF('Recurring Schedule'!$O$22&gt;0,AND(DAY($A321)=MIN(DAY('Recurring Schedule'!$F$22),DAY(EOMONTH($A321,0))),MOD((YEAR($A321)-YEAR('Recurring Schedule'!$F$22))*12+MONTH($A321)-MONTH('Recurring Schedule'!$F$22),'Recurring Schedule'!$O$22)=0),IF('Recurring Schedule'!$E$22="Weekdays",WEEKDAY($A321,2)&lt;=5,$A321='Recurring Schedule'!$F$22))),17,""))))</f>
        <v/>
      </c>
      <c r="S321">
        <f>IF('Recurring Schedule'!$C$23="","",IF('Recurring Schedule'!$F$23="","",IF(OR($A321&lt;'Recurring Schedule'!$F$23,$A321&gt;'Recurring Schedule'!$P$23),"",IF(IF('Recurring Schedule'!$N$23&gt;0,MOD($A321-'Recurring Schedule'!$F$23,'Recurring Schedule'!$N$23)=0,IF('Recurring Schedule'!$O$23&gt;0,AND(DAY($A321)=MIN(DAY('Recurring Schedule'!$F$23),DAY(EOMONTH($A321,0))),MOD((YEAR($A321)-YEAR('Recurring Schedule'!$F$23))*12+MONTH($A321)-MONTH('Recurring Schedule'!$F$23),'Recurring Schedule'!$O$23)=0),IF('Recurring Schedule'!$E$23="Weekdays",WEEKDAY($A321,2)&lt;=5,$A321='Recurring Schedule'!$F$23))),18,""))))</f>
        <v/>
      </c>
      <c r="T321">
        <f>IF('Recurring Schedule'!$C$24="","",IF('Recurring Schedule'!$F$24="","",IF(OR($A321&lt;'Recurring Schedule'!$F$24,$A321&gt;'Recurring Schedule'!$P$24),"",IF(IF('Recurring Schedule'!$N$24&gt;0,MOD($A321-'Recurring Schedule'!$F$24,'Recurring Schedule'!$N$24)=0,IF('Recurring Schedule'!$O$24&gt;0,AND(DAY($A321)=MIN(DAY('Recurring Schedule'!$F$24),DAY(EOMONTH($A321,0))),MOD((YEAR($A321)-YEAR('Recurring Schedule'!$F$24))*12+MONTH($A321)-MONTH('Recurring Schedule'!$F$24),'Recurring Schedule'!$O$24)=0),IF('Recurring Schedule'!$E$24="Weekdays",WEEKDAY($A321,2)&lt;=5,$A321='Recurring Schedule'!$F$24))),19,""))))</f>
        <v/>
      </c>
      <c r="U321">
        <f>IF('Recurring Schedule'!$C$25="","",IF('Recurring Schedule'!$F$25="","",IF(OR($A321&lt;'Recurring Schedule'!$F$25,$A321&gt;'Recurring Schedule'!$P$25),"",IF(IF('Recurring Schedule'!$N$25&gt;0,MOD($A321-'Recurring Schedule'!$F$25,'Recurring Schedule'!$N$25)=0,IF('Recurring Schedule'!$O$25&gt;0,AND(DAY($A321)=MIN(DAY('Recurring Schedule'!$F$25),DAY(EOMONTH($A321,0))),MOD((YEAR($A321)-YEAR('Recurring Schedule'!$F$25))*12+MONTH($A321)-MONTH('Recurring Schedule'!$F$25),'Recurring Schedule'!$O$25)=0),IF('Recurring Schedule'!$E$25="Weekdays",WEEKDAY($A321,2)&lt;=5,$A321='Recurring Schedule'!$F$25))),20,""))))</f>
        <v/>
      </c>
      <c r="V321">
        <f>IF('Recurring Schedule'!$C$26="","",IF('Recurring Schedule'!$F$26="","",IF(OR($A321&lt;'Recurring Schedule'!$F$26,$A321&gt;'Recurring Schedule'!$P$26),"",IF(IF('Recurring Schedule'!$N$26&gt;0,MOD($A321-'Recurring Schedule'!$F$26,'Recurring Schedule'!$N$26)=0,IF('Recurring Schedule'!$O$26&gt;0,AND(DAY($A321)=MIN(DAY('Recurring Schedule'!$F$26),DAY(EOMONTH($A321,0))),MOD((YEAR($A321)-YEAR('Recurring Schedule'!$F$26))*12+MONTH($A321)-MONTH('Recurring Schedule'!$F$26),'Recurring Schedule'!$O$26)=0),IF('Recurring Schedule'!$E$26="Weekdays",WEEKDAY($A321,2)&lt;=5,$A321='Recurring Schedule'!$F$26))),21,""))))</f>
        <v/>
      </c>
      <c r="W321">
        <f>IF('Recurring Schedule'!$C$27="","",IF('Recurring Schedule'!$F$27="","",IF(OR($A321&lt;'Recurring Schedule'!$F$27,$A321&gt;'Recurring Schedule'!$P$27),"",IF(IF('Recurring Schedule'!$N$27&gt;0,MOD($A321-'Recurring Schedule'!$F$27,'Recurring Schedule'!$N$27)=0,IF('Recurring Schedule'!$O$27&gt;0,AND(DAY($A321)=MIN(DAY('Recurring Schedule'!$F$27),DAY(EOMONTH($A321,0))),MOD((YEAR($A321)-YEAR('Recurring Schedule'!$F$27))*12+MONTH($A321)-MONTH('Recurring Schedule'!$F$27),'Recurring Schedule'!$O$27)=0),IF('Recurring Schedule'!$E$27="Weekdays",WEEKDAY($A321,2)&lt;=5,$A321='Recurring Schedule'!$F$27))),22,""))))</f>
        <v/>
      </c>
      <c r="X321">
        <f>IF('Recurring Schedule'!$C$28="","",IF('Recurring Schedule'!$F$28="","",IF(OR($A321&lt;'Recurring Schedule'!$F$28,$A321&gt;'Recurring Schedule'!$P$28),"",IF(IF('Recurring Schedule'!$N$28&gt;0,MOD($A321-'Recurring Schedule'!$F$28,'Recurring Schedule'!$N$28)=0,IF('Recurring Schedule'!$O$28&gt;0,AND(DAY($A321)=MIN(DAY('Recurring Schedule'!$F$28),DAY(EOMONTH($A321,0))),MOD((YEAR($A321)-YEAR('Recurring Schedule'!$F$28))*12+MONTH($A321)-MONTH('Recurring Schedule'!$F$28),'Recurring Schedule'!$O$28)=0),IF('Recurring Schedule'!$E$28="Weekdays",WEEKDAY($A321,2)&lt;=5,$A321='Recurring Schedule'!$F$28))),23,""))))</f>
        <v/>
      </c>
      <c r="Y321">
        <f>IF('Recurring Schedule'!$C$29="","",IF('Recurring Schedule'!$F$29="","",IF(OR($A321&lt;'Recurring Schedule'!$F$29,$A321&gt;'Recurring Schedule'!$P$29),"",IF(IF('Recurring Schedule'!$N$29&gt;0,MOD($A321-'Recurring Schedule'!$F$29,'Recurring Schedule'!$N$29)=0,IF('Recurring Schedule'!$O$29&gt;0,AND(DAY($A321)=MIN(DAY('Recurring Schedule'!$F$29),DAY(EOMONTH($A321,0))),MOD((YEAR($A321)-YEAR('Recurring Schedule'!$F$29))*12+MONTH($A321)-MONTH('Recurring Schedule'!$F$29),'Recurring Schedule'!$O$29)=0),IF('Recurring Schedule'!$E$29="Weekdays",WEEKDAY($A321,2)&lt;=5,$A321='Recurring Schedule'!$F$29))),24,""))))</f>
        <v/>
      </c>
      <c r="Z321">
        <f>IF('Recurring Schedule'!$C$30="","",IF('Recurring Schedule'!$F$30="","",IF(OR($A321&lt;'Recurring Schedule'!$F$30,$A321&gt;'Recurring Schedule'!$P$30),"",IF(IF('Recurring Schedule'!$N$30&gt;0,MOD($A321-'Recurring Schedule'!$F$30,'Recurring Schedule'!$N$30)=0,IF('Recurring Schedule'!$O$30&gt;0,AND(DAY($A321)=MIN(DAY('Recurring Schedule'!$F$30),DAY(EOMONTH($A321,0))),MOD((YEAR($A321)-YEAR('Recurring Schedule'!$F$30))*12+MONTH($A321)-MONTH('Recurring Schedule'!$F$30),'Recurring Schedule'!$O$30)=0),IF('Recurring Schedule'!$E$30="Weekdays",WEEKDAY($A321,2)&lt;=5,$A321='Recurring Schedule'!$F$30))),25,""))))</f>
        <v/>
      </c>
      <c r="AA321">
        <f>IF('Recurring Schedule'!$C$31="","",IF('Recurring Schedule'!$F$31="","",IF(OR($A321&lt;'Recurring Schedule'!$F$31,$A321&gt;'Recurring Schedule'!$P$31),"",IF(IF('Recurring Schedule'!$N$31&gt;0,MOD($A321-'Recurring Schedule'!$F$31,'Recurring Schedule'!$N$31)=0,IF('Recurring Schedule'!$O$31&gt;0,AND(DAY($A321)=MIN(DAY('Recurring Schedule'!$F$31),DAY(EOMONTH($A321,0))),MOD((YEAR($A321)-YEAR('Recurring Schedule'!$F$31))*12+MONTH($A321)-MONTH('Recurring Schedule'!$F$31),'Recurring Schedule'!$O$31)=0),IF('Recurring Schedule'!$E$31="Weekdays",WEEKDAY($A321,2)&lt;=5,$A321='Recurring Schedule'!$F$31))),26,""))))</f>
        <v/>
      </c>
      <c r="AB321">
        <f>IF('Recurring Schedule'!$C$32="","",IF('Recurring Schedule'!$F$32="","",IF(OR($A321&lt;'Recurring Schedule'!$F$32,$A321&gt;'Recurring Schedule'!$P$32),"",IF(IF('Recurring Schedule'!$N$32&gt;0,MOD($A321-'Recurring Schedule'!$F$32,'Recurring Schedule'!$N$32)=0,IF('Recurring Schedule'!$O$32&gt;0,AND(DAY($A321)=MIN(DAY('Recurring Schedule'!$F$32),DAY(EOMONTH($A321,0))),MOD((YEAR($A321)-YEAR('Recurring Schedule'!$F$32))*12+MONTH($A321)-MONTH('Recurring Schedule'!$F$32),'Recurring Schedule'!$O$32)=0),IF('Recurring Schedule'!$E$32="Weekdays",WEEKDAY($A321,2)&lt;=5,$A321='Recurring Schedule'!$F$32))),27,""))))</f>
        <v/>
      </c>
      <c r="AC321">
        <f>IF('Recurring Schedule'!$C$33="","",IF('Recurring Schedule'!$F$33="","",IF(OR($A321&lt;'Recurring Schedule'!$F$33,$A321&gt;'Recurring Schedule'!$P$33),"",IF(IF('Recurring Schedule'!$N$33&gt;0,MOD($A321-'Recurring Schedule'!$F$33,'Recurring Schedule'!$N$33)=0,IF('Recurring Schedule'!$O$33&gt;0,AND(DAY($A321)=MIN(DAY('Recurring Schedule'!$F$33),DAY(EOMONTH($A321,0))),MOD((YEAR($A321)-YEAR('Recurring Schedule'!$F$33))*12+MONTH($A321)-MONTH('Recurring Schedule'!$F$33),'Recurring Schedule'!$O$33)=0),IF('Recurring Schedule'!$E$33="Weekdays",WEEKDAY($A321,2)&lt;=5,$A321='Recurring Schedule'!$F$33))),28,""))))</f>
        <v/>
      </c>
      <c r="AD321">
        <f>IF('Recurring Schedule'!$C$34="","",IF('Recurring Schedule'!$F$34="","",IF(OR($A321&lt;'Recurring Schedule'!$F$34,$A321&gt;'Recurring Schedule'!$P$34),"",IF(IF('Recurring Schedule'!$N$34&gt;0,MOD($A321-'Recurring Schedule'!$F$34,'Recurring Schedule'!$N$34)=0,IF('Recurring Schedule'!$O$34&gt;0,AND(DAY($A321)=MIN(DAY('Recurring Schedule'!$F$34),DAY(EOMONTH($A321,0))),MOD((YEAR($A321)-YEAR('Recurring Schedule'!$F$34))*12+MONTH($A321)-MONTH('Recurring Schedule'!$F$34),'Recurring Schedule'!$O$34)=0),IF('Recurring Schedule'!$E$34="Weekdays",WEEKDAY($A321,2)&lt;=5,$A321='Recurring Schedule'!$F$34))),29,""))))</f>
        <v/>
      </c>
      <c r="AE321">
        <f>IF('Recurring Schedule'!$C$35="","",IF('Recurring Schedule'!$F$35="","",IF(OR($A321&lt;'Recurring Schedule'!$F$35,$A321&gt;'Recurring Schedule'!$P$35),"",IF(IF('Recurring Schedule'!$N$35&gt;0,MOD($A321-'Recurring Schedule'!$F$35,'Recurring Schedule'!$N$35)=0,IF('Recurring Schedule'!$O$35&gt;0,AND(DAY($A321)=MIN(DAY('Recurring Schedule'!$F$35),DAY(EOMONTH($A321,0))),MOD((YEAR($A321)-YEAR('Recurring Schedule'!$F$35))*12+MONTH($A321)-MONTH('Recurring Schedule'!$F$35),'Recurring Schedule'!$O$35)=0),IF('Recurring Schedule'!$E$35="Weekdays",WEEKDAY($A321,2)&lt;=5,$A321='Recurring Schedule'!$F$35))),30,""))))</f>
        <v/>
      </c>
      <c r="AF321">
        <f>IF('Recurring Schedule'!$C$36="","",IF('Recurring Schedule'!$F$36="","",IF(OR($A321&lt;'Recurring Schedule'!$F$36,$A321&gt;'Recurring Schedule'!$P$36),"",IF(IF('Recurring Schedule'!$N$36&gt;0,MOD($A321-'Recurring Schedule'!$F$36,'Recurring Schedule'!$N$36)=0,IF('Recurring Schedule'!$O$36&gt;0,AND(DAY($A321)=MIN(DAY('Recurring Schedule'!$F$36),DAY(EOMONTH($A321,0))),MOD((YEAR($A321)-YEAR('Recurring Schedule'!$F$36))*12+MONTH($A321)-MONTH('Recurring Schedule'!$F$36),'Recurring Schedule'!$O$36)=0),IF('Recurring Schedule'!$E$36="Weekdays",WEEKDAY($A321,2)&lt;=5,$A321='Recurring Schedule'!$F$36))),31,""))))</f>
        <v/>
      </c>
      <c r="AG321">
        <f>IF('Recurring Schedule'!$C$37="","",IF('Recurring Schedule'!$F$37="","",IF(OR($A321&lt;'Recurring Schedule'!$F$37,$A321&gt;'Recurring Schedule'!$P$37),"",IF(IF('Recurring Schedule'!$N$37&gt;0,MOD($A321-'Recurring Schedule'!$F$37,'Recurring Schedule'!$N$37)=0,IF('Recurring Schedule'!$O$37&gt;0,AND(DAY($A321)=MIN(DAY('Recurring Schedule'!$F$37),DAY(EOMONTH($A321,0))),MOD((YEAR($A321)-YEAR('Recurring Schedule'!$F$37))*12+MONTH($A321)-MONTH('Recurring Schedule'!$F$37),'Recurring Schedule'!$O$37)=0),IF('Recurring Schedule'!$E$37="Weekdays",WEEKDAY($A321,2)&lt;=5,$A321='Recurring Schedule'!$F$37))),32,""))))</f>
        <v/>
      </c>
      <c r="AH321">
        <f>IF('Recurring Schedule'!$C$38="","",IF('Recurring Schedule'!$F$38="","",IF(OR($A321&lt;'Recurring Schedule'!$F$38,$A321&gt;'Recurring Schedule'!$P$38),"",IF(IF('Recurring Schedule'!$N$38&gt;0,MOD($A321-'Recurring Schedule'!$F$38,'Recurring Schedule'!$N$38)=0,IF('Recurring Schedule'!$O$38&gt;0,AND(DAY($A321)=MIN(DAY('Recurring Schedule'!$F$38),DAY(EOMONTH($A321,0))),MOD((YEAR($A321)-YEAR('Recurring Schedule'!$F$38))*12+MONTH($A321)-MONTH('Recurring Schedule'!$F$38),'Recurring Schedule'!$O$38)=0),IF('Recurring Schedule'!$E$38="Weekdays",WEEKDAY($A321,2)&lt;=5,$A321='Recurring Schedule'!$F$38))),33,""))))</f>
        <v/>
      </c>
      <c r="AI321">
        <f>IF('Recurring Schedule'!$C$39="","",IF('Recurring Schedule'!$F$39="","",IF(OR($A321&lt;'Recurring Schedule'!$F$39,$A321&gt;'Recurring Schedule'!$P$39),"",IF(IF('Recurring Schedule'!$N$39&gt;0,MOD($A321-'Recurring Schedule'!$F$39,'Recurring Schedule'!$N$39)=0,IF('Recurring Schedule'!$O$39&gt;0,AND(DAY($A321)=MIN(DAY('Recurring Schedule'!$F$39),DAY(EOMONTH($A321,0))),MOD((YEAR($A321)-YEAR('Recurring Schedule'!$F$39))*12+MONTH($A321)-MONTH('Recurring Schedule'!$F$39),'Recurring Schedule'!$O$39)=0),IF('Recurring Schedule'!$E$39="Weekdays",WEEKDAY($A321,2)&lt;=5,$A321='Recurring Schedule'!$F$39))),34,""))))</f>
        <v/>
      </c>
      <c r="AJ321">
        <f>IF('Recurring Schedule'!$C$40="","",IF('Recurring Schedule'!$F$40="","",IF(OR($A321&lt;'Recurring Schedule'!$F$40,$A321&gt;'Recurring Schedule'!$P$40),"",IF(IF('Recurring Schedule'!$N$40&gt;0,MOD($A321-'Recurring Schedule'!$F$40,'Recurring Schedule'!$N$40)=0,IF('Recurring Schedule'!$O$40&gt;0,AND(DAY($A321)=MIN(DAY('Recurring Schedule'!$F$40),DAY(EOMONTH($A321,0))),MOD((YEAR($A321)-YEAR('Recurring Schedule'!$F$40))*12+MONTH($A321)-MONTH('Recurring Schedule'!$F$40),'Recurring Schedule'!$O$40)=0),IF('Recurring Schedule'!$E$40="Weekdays",WEEKDAY($A321,2)&lt;=5,$A321='Recurring Schedule'!$F$40))),35,""))))</f>
        <v/>
      </c>
      <c r="AK321">
        <f>IF('Recurring Schedule'!$C$41="","",IF('Recurring Schedule'!$F$41="","",IF(OR($A321&lt;'Recurring Schedule'!$F$41,$A321&gt;'Recurring Schedule'!$P$41),"",IF(IF('Recurring Schedule'!$N$41&gt;0,MOD($A321-'Recurring Schedule'!$F$41,'Recurring Schedule'!$N$41)=0,IF('Recurring Schedule'!$O$41&gt;0,AND(DAY($A321)=MIN(DAY('Recurring Schedule'!$F$41),DAY(EOMONTH($A321,0))),MOD((YEAR($A321)-YEAR('Recurring Schedule'!$F$41))*12+MONTH($A321)-MONTH('Recurring Schedule'!$F$41),'Recurring Schedule'!$O$41)=0),IF('Recurring Schedule'!$E$41="Weekdays",WEEKDAY($A321,2)&lt;=5,$A321='Recurring Schedule'!$F$41))),36,""))))</f>
        <v/>
      </c>
      <c r="AL321">
        <f>IF('Recurring Schedule'!$C$42="","",IF('Recurring Schedule'!$F$42="","",IF(OR($A321&lt;'Recurring Schedule'!$F$42,$A321&gt;'Recurring Schedule'!$P$42),"",IF(IF('Recurring Schedule'!$N$42&gt;0,MOD($A321-'Recurring Schedule'!$F$42,'Recurring Schedule'!$N$42)=0,IF('Recurring Schedule'!$O$42&gt;0,AND(DAY($A321)=MIN(DAY('Recurring Schedule'!$F$42),DAY(EOMONTH($A321,0))),MOD((YEAR($A321)-YEAR('Recurring Schedule'!$F$42))*12+MONTH($A321)-MONTH('Recurring Schedule'!$F$42),'Recurring Schedule'!$O$42)=0),IF('Recurring Schedule'!$E$42="Weekdays",WEEKDAY($A321,2)&lt;=5,$A321='Recurring Schedule'!$F$42))),37,""))))</f>
        <v/>
      </c>
      <c r="AM321">
        <f>IF('Recurring Schedule'!$C$43="","",IF('Recurring Schedule'!$F$43="","",IF(OR($A321&lt;'Recurring Schedule'!$F$43,$A321&gt;'Recurring Schedule'!$P$43),"",IF(IF('Recurring Schedule'!$N$43&gt;0,MOD($A321-'Recurring Schedule'!$F$43,'Recurring Schedule'!$N$43)=0,IF('Recurring Schedule'!$O$43&gt;0,AND(DAY($A321)=MIN(DAY('Recurring Schedule'!$F$43),DAY(EOMONTH($A321,0))),MOD((YEAR($A321)-YEAR('Recurring Schedule'!$F$43))*12+MONTH($A321)-MONTH('Recurring Schedule'!$F$43),'Recurring Schedule'!$O$43)=0),IF('Recurring Schedule'!$E$43="Weekdays",WEEKDAY($A321,2)&lt;=5,$A321='Recurring Schedule'!$F$43))),38,""))))</f>
        <v/>
      </c>
      <c r="AN321">
        <f>IF('Recurring Schedule'!$C$44="","",IF('Recurring Schedule'!$F$44="","",IF(OR($A321&lt;'Recurring Schedule'!$F$44,$A321&gt;'Recurring Schedule'!$P$44),"",IF(IF('Recurring Schedule'!$N$44&gt;0,MOD($A321-'Recurring Schedule'!$F$44,'Recurring Schedule'!$N$44)=0,IF('Recurring Schedule'!$O$44&gt;0,AND(DAY($A321)=MIN(DAY('Recurring Schedule'!$F$44),DAY(EOMONTH($A321,0))),MOD((YEAR($A321)-YEAR('Recurring Schedule'!$F$44))*12+MONTH($A321)-MONTH('Recurring Schedule'!$F$44),'Recurring Schedule'!$O$44)=0),IF('Recurring Schedule'!$E$44="Weekdays",WEEKDAY($A321,2)&lt;=5,$A321='Recurring Schedule'!$F$44))),39,""))))</f>
        <v/>
      </c>
      <c r="AO321">
        <f>IF('Recurring Schedule'!$C$45="","",IF('Recurring Schedule'!$F$45="","",IF(OR($A321&lt;'Recurring Schedule'!$F$45,$A321&gt;'Recurring Schedule'!$P$45),"",IF(IF('Recurring Schedule'!$N$45&gt;0,MOD($A321-'Recurring Schedule'!$F$45,'Recurring Schedule'!$N$45)=0,IF('Recurring Schedule'!$O$45&gt;0,AND(DAY($A321)=MIN(DAY('Recurring Schedule'!$F$45),DAY(EOMONTH($A321,0))),MOD((YEAR($A321)-YEAR('Recurring Schedule'!$F$45))*12+MONTH($A321)-MONTH('Recurring Schedule'!$F$45),'Recurring Schedule'!$O$45)=0),IF('Recurring Schedule'!$E$45="Weekdays",WEEKDAY($A321,2)&lt;=5,$A321='Recurring Schedule'!$F$45))),40,""))))</f>
        <v/>
      </c>
      <c r="AP321">
        <f>COUNT(B321:AO321)</f>
        <v/>
      </c>
      <c r="AQ321">
        <f>AQ320+AP320</f>
        <v/>
      </c>
      <c r="AS321" t="inlineStr">
        <is>
          <t>R</t>
        </is>
      </c>
      <c r="AT321" t="n">
        <v>325</v>
      </c>
      <c r="AU321">
        <f>'Recurring Log'!C325&amp;""</f>
        <v/>
      </c>
      <c r="AV321">
        <f>'Recurring Log'!D325&amp;""</f>
        <v/>
      </c>
      <c r="AW321">
        <f>IF('Recurring Log'!E325="","",'Recurring Log'!E325)</f>
        <v/>
      </c>
      <c r="AX321">
        <f>IF('Recurring Log'!G325="","",'Recurring Log'!G325)</f>
        <v/>
      </c>
      <c r="AY321">
        <f>IF('Recurring Log'!H325="","",'Recurring Log'!H325)</f>
        <v/>
      </c>
      <c r="AZ321">
        <f>IF(AU321="","",IF('Recurring Log'!J325="","Not Started",'Recurring Log'!J325))</f>
        <v/>
      </c>
      <c r="BA321">
        <f>'Recurring Log'!L325&amp;""</f>
        <v/>
      </c>
      <c r="BB321">
        <f>'Recurring Log'!M325&amp;""</f>
        <v/>
      </c>
      <c r="BC321">
        <f>'Recurring Log'!N325&amp;""</f>
        <v/>
      </c>
      <c r="BD321">
        <f>'Recurring Log'!O325&amp;""</f>
        <v/>
      </c>
      <c r="BE321">
        <f>IF('Recurring Log'!K325="","",'Recurring Log'!K325)</f>
        <v/>
      </c>
      <c r="BF321">
        <f>IFERROR(MATCH(BA321,Setup!$L$6:$L$9,0),5)</f>
        <v/>
      </c>
      <c r="BG321">
        <f>IF(OR(AZ321="Done",AZ321="Cancelled"),1,0)</f>
        <v/>
      </c>
      <c r="BH321">
        <f>IF(AND(AU321&lt;&gt;"",ISNUMBER(AW321)),1,0)</f>
        <v/>
      </c>
      <c r="BI321">
        <f>IF(BH321=0,0,IF(AND(AW321&gt;='Tasks Filter'!$F$3,AW321&lt;='Tasks Filter'!$F$4,OR('Tasks Filter'!$I$3="",ISNUMBER(SEARCH('Tasks Filter'!$I$3,AU321))),OR('Tasks Filter'!$I$4="",BF321=IFERROR(MATCH('Tasks Filter'!$I$4,Setup!$L$6:$L$9,0),0)),OR('Tasks Filter'!$I$5="Both",AND('Tasks Filter'!$I$5="Yes",BB321="✓"),AND('Tasks Filter'!$I$5="No",BB321&lt;&gt;"✓")),OR('Tasks Filter'!$L$3="",AV321='Tasks Filter'!$L$3),OR('Tasks Filter'!$L$4="",AZ321='Tasks Filter'!$L$4),OR('Tasks Filter'!$L$5="",BC321='Tasks Filter'!$L$5),OR('Tasks Filter'!$O$3="",BD321='Tasks Filter'!$O$3),OR('Tasks Filter'!$O$4="Yes",BG321=0)),1,0))</f>
        <v/>
      </c>
      <c r="BJ321">
        <f>IF(BH321=0,"",IF('Tasks Filter'!$F$6="Descending",-1,1)*CHOOSE(MATCH('Tasks Filter'!$F$5,Lists!$G$2:$G$6,0),AW321,BF321,IFERROR(MATCH(AV321,Setup!$F$6:$F$15,0),99),IFERROR(MATCH(BC321,Setup!$H$6:$H$15,0),99),IFERROR(MATCH(AZ321,Setup!$J$6:$J$11,0),99))*1E+9+(AW321-40000)*10000+320)</f>
        <v/>
      </c>
      <c r="BK321">
        <f>IF(BI321=1,BJ321,"")</f>
        <v/>
      </c>
      <c r="BL321">
        <f>IF(AND(BH321=1,BG321=0,N(AW321)&lt;Setup!$D$7),(AW321-40000)*10000+320,"")</f>
        <v/>
      </c>
      <c r="BM321">
        <f>IF(AND(BH321=1,AZ321&lt;&gt;"Cancelled",N(AW321)&gt;=Dashboard!$AB$3,N(AW321)&lt;=Dashboard!$AB$3+6),(AW321-40000)*100000+BF321*10000+320,"")</f>
        <v/>
      </c>
      <c r="BN321">
        <f>IF(AND(BH321=1,AZ321&lt;&gt;"Cancelled"),BF321*10000+320,"")</f>
        <v/>
      </c>
    </row>
    <row r="322">
      <c r="A322">
        <f>Setup!$D$5+320</f>
        <v/>
      </c>
      <c r="B322">
        <f>IF('Recurring Schedule'!$C$6="","",IF('Recurring Schedule'!$F$6="","",IF(OR($A322&lt;'Recurring Schedule'!$F$6,$A322&gt;'Recurring Schedule'!$P$6),"",IF(IF('Recurring Schedule'!$N$6&gt;0,MOD($A322-'Recurring Schedule'!$F$6,'Recurring Schedule'!$N$6)=0,IF('Recurring Schedule'!$O$6&gt;0,AND(DAY($A322)=MIN(DAY('Recurring Schedule'!$F$6),DAY(EOMONTH($A322,0))),MOD((YEAR($A322)-YEAR('Recurring Schedule'!$F$6))*12+MONTH($A322)-MONTH('Recurring Schedule'!$F$6),'Recurring Schedule'!$O$6)=0),IF('Recurring Schedule'!$E$6="Weekdays",WEEKDAY($A322,2)&lt;=5,$A322='Recurring Schedule'!$F$6))),1,""))))</f>
        <v/>
      </c>
      <c r="C322">
        <f>IF('Recurring Schedule'!$C$7="","",IF('Recurring Schedule'!$F$7="","",IF(OR($A322&lt;'Recurring Schedule'!$F$7,$A322&gt;'Recurring Schedule'!$P$7),"",IF(IF('Recurring Schedule'!$N$7&gt;0,MOD($A322-'Recurring Schedule'!$F$7,'Recurring Schedule'!$N$7)=0,IF('Recurring Schedule'!$O$7&gt;0,AND(DAY($A322)=MIN(DAY('Recurring Schedule'!$F$7),DAY(EOMONTH($A322,0))),MOD((YEAR($A322)-YEAR('Recurring Schedule'!$F$7))*12+MONTH($A322)-MONTH('Recurring Schedule'!$F$7),'Recurring Schedule'!$O$7)=0),IF('Recurring Schedule'!$E$7="Weekdays",WEEKDAY($A322,2)&lt;=5,$A322='Recurring Schedule'!$F$7))),2,""))))</f>
        <v/>
      </c>
      <c r="D322">
        <f>IF('Recurring Schedule'!$C$8="","",IF('Recurring Schedule'!$F$8="","",IF(OR($A322&lt;'Recurring Schedule'!$F$8,$A322&gt;'Recurring Schedule'!$P$8),"",IF(IF('Recurring Schedule'!$N$8&gt;0,MOD($A322-'Recurring Schedule'!$F$8,'Recurring Schedule'!$N$8)=0,IF('Recurring Schedule'!$O$8&gt;0,AND(DAY($A322)=MIN(DAY('Recurring Schedule'!$F$8),DAY(EOMONTH($A322,0))),MOD((YEAR($A322)-YEAR('Recurring Schedule'!$F$8))*12+MONTH($A322)-MONTH('Recurring Schedule'!$F$8),'Recurring Schedule'!$O$8)=0),IF('Recurring Schedule'!$E$8="Weekdays",WEEKDAY($A322,2)&lt;=5,$A322='Recurring Schedule'!$F$8))),3,""))))</f>
        <v/>
      </c>
      <c r="E322">
        <f>IF('Recurring Schedule'!$C$9="","",IF('Recurring Schedule'!$F$9="","",IF(OR($A322&lt;'Recurring Schedule'!$F$9,$A322&gt;'Recurring Schedule'!$P$9),"",IF(IF('Recurring Schedule'!$N$9&gt;0,MOD($A322-'Recurring Schedule'!$F$9,'Recurring Schedule'!$N$9)=0,IF('Recurring Schedule'!$O$9&gt;0,AND(DAY($A322)=MIN(DAY('Recurring Schedule'!$F$9),DAY(EOMONTH($A322,0))),MOD((YEAR($A322)-YEAR('Recurring Schedule'!$F$9))*12+MONTH($A322)-MONTH('Recurring Schedule'!$F$9),'Recurring Schedule'!$O$9)=0),IF('Recurring Schedule'!$E$9="Weekdays",WEEKDAY($A322,2)&lt;=5,$A322='Recurring Schedule'!$F$9))),4,""))))</f>
        <v/>
      </c>
      <c r="F322">
        <f>IF('Recurring Schedule'!$C$10="","",IF('Recurring Schedule'!$F$10="","",IF(OR($A322&lt;'Recurring Schedule'!$F$10,$A322&gt;'Recurring Schedule'!$P$10),"",IF(IF('Recurring Schedule'!$N$10&gt;0,MOD($A322-'Recurring Schedule'!$F$10,'Recurring Schedule'!$N$10)=0,IF('Recurring Schedule'!$O$10&gt;0,AND(DAY($A322)=MIN(DAY('Recurring Schedule'!$F$10),DAY(EOMONTH($A322,0))),MOD((YEAR($A322)-YEAR('Recurring Schedule'!$F$10))*12+MONTH($A322)-MONTH('Recurring Schedule'!$F$10),'Recurring Schedule'!$O$10)=0),IF('Recurring Schedule'!$E$10="Weekdays",WEEKDAY($A322,2)&lt;=5,$A322='Recurring Schedule'!$F$10))),5,""))))</f>
        <v/>
      </c>
      <c r="G322">
        <f>IF('Recurring Schedule'!$C$11="","",IF('Recurring Schedule'!$F$11="","",IF(OR($A322&lt;'Recurring Schedule'!$F$11,$A322&gt;'Recurring Schedule'!$P$11),"",IF(IF('Recurring Schedule'!$N$11&gt;0,MOD($A322-'Recurring Schedule'!$F$11,'Recurring Schedule'!$N$11)=0,IF('Recurring Schedule'!$O$11&gt;0,AND(DAY($A322)=MIN(DAY('Recurring Schedule'!$F$11),DAY(EOMONTH($A322,0))),MOD((YEAR($A322)-YEAR('Recurring Schedule'!$F$11))*12+MONTH($A322)-MONTH('Recurring Schedule'!$F$11),'Recurring Schedule'!$O$11)=0),IF('Recurring Schedule'!$E$11="Weekdays",WEEKDAY($A322,2)&lt;=5,$A322='Recurring Schedule'!$F$11))),6,""))))</f>
        <v/>
      </c>
      <c r="H322">
        <f>IF('Recurring Schedule'!$C$12="","",IF('Recurring Schedule'!$F$12="","",IF(OR($A322&lt;'Recurring Schedule'!$F$12,$A322&gt;'Recurring Schedule'!$P$12),"",IF(IF('Recurring Schedule'!$N$12&gt;0,MOD($A322-'Recurring Schedule'!$F$12,'Recurring Schedule'!$N$12)=0,IF('Recurring Schedule'!$O$12&gt;0,AND(DAY($A322)=MIN(DAY('Recurring Schedule'!$F$12),DAY(EOMONTH($A322,0))),MOD((YEAR($A322)-YEAR('Recurring Schedule'!$F$12))*12+MONTH($A322)-MONTH('Recurring Schedule'!$F$12),'Recurring Schedule'!$O$12)=0),IF('Recurring Schedule'!$E$12="Weekdays",WEEKDAY($A322,2)&lt;=5,$A322='Recurring Schedule'!$F$12))),7,""))))</f>
        <v/>
      </c>
      <c r="I322">
        <f>IF('Recurring Schedule'!$C$13="","",IF('Recurring Schedule'!$F$13="","",IF(OR($A322&lt;'Recurring Schedule'!$F$13,$A322&gt;'Recurring Schedule'!$P$13),"",IF(IF('Recurring Schedule'!$N$13&gt;0,MOD($A322-'Recurring Schedule'!$F$13,'Recurring Schedule'!$N$13)=0,IF('Recurring Schedule'!$O$13&gt;0,AND(DAY($A322)=MIN(DAY('Recurring Schedule'!$F$13),DAY(EOMONTH($A322,0))),MOD((YEAR($A322)-YEAR('Recurring Schedule'!$F$13))*12+MONTH($A322)-MONTH('Recurring Schedule'!$F$13),'Recurring Schedule'!$O$13)=0),IF('Recurring Schedule'!$E$13="Weekdays",WEEKDAY($A322,2)&lt;=5,$A322='Recurring Schedule'!$F$13))),8,""))))</f>
        <v/>
      </c>
      <c r="J322">
        <f>IF('Recurring Schedule'!$C$14="","",IF('Recurring Schedule'!$F$14="","",IF(OR($A322&lt;'Recurring Schedule'!$F$14,$A322&gt;'Recurring Schedule'!$P$14),"",IF(IF('Recurring Schedule'!$N$14&gt;0,MOD($A322-'Recurring Schedule'!$F$14,'Recurring Schedule'!$N$14)=0,IF('Recurring Schedule'!$O$14&gt;0,AND(DAY($A322)=MIN(DAY('Recurring Schedule'!$F$14),DAY(EOMONTH($A322,0))),MOD((YEAR($A322)-YEAR('Recurring Schedule'!$F$14))*12+MONTH($A322)-MONTH('Recurring Schedule'!$F$14),'Recurring Schedule'!$O$14)=0),IF('Recurring Schedule'!$E$14="Weekdays",WEEKDAY($A322,2)&lt;=5,$A322='Recurring Schedule'!$F$14))),9,""))))</f>
        <v/>
      </c>
      <c r="K322">
        <f>IF('Recurring Schedule'!$C$15="","",IF('Recurring Schedule'!$F$15="","",IF(OR($A322&lt;'Recurring Schedule'!$F$15,$A322&gt;'Recurring Schedule'!$P$15),"",IF(IF('Recurring Schedule'!$N$15&gt;0,MOD($A322-'Recurring Schedule'!$F$15,'Recurring Schedule'!$N$15)=0,IF('Recurring Schedule'!$O$15&gt;0,AND(DAY($A322)=MIN(DAY('Recurring Schedule'!$F$15),DAY(EOMONTH($A322,0))),MOD((YEAR($A322)-YEAR('Recurring Schedule'!$F$15))*12+MONTH($A322)-MONTH('Recurring Schedule'!$F$15),'Recurring Schedule'!$O$15)=0),IF('Recurring Schedule'!$E$15="Weekdays",WEEKDAY($A322,2)&lt;=5,$A322='Recurring Schedule'!$F$15))),10,""))))</f>
        <v/>
      </c>
      <c r="L322">
        <f>IF('Recurring Schedule'!$C$16="","",IF('Recurring Schedule'!$F$16="","",IF(OR($A322&lt;'Recurring Schedule'!$F$16,$A322&gt;'Recurring Schedule'!$P$16),"",IF(IF('Recurring Schedule'!$N$16&gt;0,MOD($A322-'Recurring Schedule'!$F$16,'Recurring Schedule'!$N$16)=0,IF('Recurring Schedule'!$O$16&gt;0,AND(DAY($A322)=MIN(DAY('Recurring Schedule'!$F$16),DAY(EOMONTH($A322,0))),MOD((YEAR($A322)-YEAR('Recurring Schedule'!$F$16))*12+MONTH($A322)-MONTH('Recurring Schedule'!$F$16),'Recurring Schedule'!$O$16)=0),IF('Recurring Schedule'!$E$16="Weekdays",WEEKDAY($A322,2)&lt;=5,$A322='Recurring Schedule'!$F$16))),11,""))))</f>
        <v/>
      </c>
      <c r="M322">
        <f>IF('Recurring Schedule'!$C$17="","",IF('Recurring Schedule'!$F$17="","",IF(OR($A322&lt;'Recurring Schedule'!$F$17,$A322&gt;'Recurring Schedule'!$P$17),"",IF(IF('Recurring Schedule'!$N$17&gt;0,MOD($A322-'Recurring Schedule'!$F$17,'Recurring Schedule'!$N$17)=0,IF('Recurring Schedule'!$O$17&gt;0,AND(DAY($A322)=MIN(DAY('Recurring Schedule'!$F$17),DAY(EOMONTH($A322,0))),MOD((YEAR($A322)-YEAR('Recurring Schedule'!$F$17))*12+MONTH($A322)-MONTH('Recurring Schedule'!$F$17),'Recurring Schedule'!$O$17)=0),IF('Recurring Schedule'!$E$17="Weekdays",WEEKDAY($A322,2)&lt;=5,$A322='Recurring Schedule'!$F$17))),12,""))))</f>
        <v/>
      </c>
      <c r="N322">
        <f>IF('Recurring Schedule'!$C$18="","",IF('Recurring Schedule'!$F$18="","",IF(OR($A322&lt;'Recurring Schedule'!$F$18,$A322&gt;'Recurring Schedule'!$P$18),"",IF(IF('Recurring Schedule'!$N$18&gt;0,MOD($A322-'Recurring Schedule'!$F$18,'Recurring Schedule'!$N$18)=0,IF('Recurring Schedule'!$O$18&gt;0,AND(DAY($A322)=MIN(DAY('Recurring Schedule'!$F$18),DAY(EOMONTH($A322,0))),MOD((YEAR($A322)-YEAR('Recurring Schedule'!$F$18))*12+MONTH($A322)-MONTH('Recurring Schedule'!$F$18),'Recurring Schedule'!$O$18)=0),IF('Recurring Schedule'!$E$18="Weekdays",WEEKDAY($A322,2)&lt;=5,$A322='Recurring Schedule'!$F$18))),13,""))))</f>
        <v/>
      </c>
      <c r="O322">
        <f>IF('Recurring Schedule'!$C$19="","",IF('Recurring Schedule'!$F$19="","",IF(OR($A322&lt;'Recurring Schedule'!$F$19,$A322&gt;'Recurring Schedule'!$P$19),"",IF(IF('Recurring Schedule'!$N$19&gt;0,MOD($A322-'Recurring Schedule'!$F$19,'Recurring Schedule'!$N$19)=0,IF('Recurring Schedule'!$O$19&gt;0,AND(DAY($A322)=MIN(DAY('Recurring Schedule'!$F$19),DAY(EOMONTH($A322,0))),MOD((YEAR($A322)-YEAR('Recurring Schedule'!$F$19))*12+MONTH($A322)-MONTH('Recurring Schedule'!$F$19),'Recurring Schedule'!$O$19)=0),IF('Recurring Schedule'!$E$19="Weekdays",WEEKDAY($A322,2)&lt;=5,$A322='Recurring Schedule'!$F$19))),14,""))))</f>
        <v/>
      </c>
      <c r="P322">
        <f>IF('Recurring Schedule'!$C$20="","",IF('Recurring Schedule'!$F$20="","",IF(OR($A322&lt;'Recurring Schedule'!$F$20,$A322&gt;'Recurring Schedule'!$P$20),"",IF(IF('Recurring Schedule'!$N$20&gt;0,MOD($A322-'Recurring Schedule'!$F$20,'Recurring Schedule'!$N$20)=0,IF('Recurring Schedule'!$O$20&gt;0,AND(DAY($A322)=MIN(DAY('Recurring Schedule'!$F$20),DAY(EOMONTH($A322,0))),MOD((YEAR($A322)-YEAR('Recurring Schedule'!$F$20))*12+MONTH($A322)-MONTH('Recurring Schedule'!$F$20),'Recurring Schedule'!$O$20)=0),IF('Recurring Schedule'!$E$20="Weekdays",WEEKDAY($A322,2)&lt;=5,$A322='Recurring Schedule'!$F$20))),15,""))))</f>
        <v/>
      </c>
      <c r="Q322">
        <f>IF('Recurring Schedule'!$C$21="","",IF('Recurring Schedule'!$F$21="","",IF(OR($A322&lt;'Recurring Schedule'!$F$21,$A322&gt;'Recurring Schedule'!$P$21),"",IF(IF('Recurring Schedule'!$N$21&gt;0,MOD($A322-'Recurring Schedule'!$F$21,'Recurring Schedule'!$N$21)=0,IF('Recurring Schedule'!$O$21&gt;0,AND(DAY($A322)=MIN(DAY('Recurring Schedule'!$F$21),DAY(EOMONTH($A322,0))),MOD((YEAR($A322)-YEAR('Recurring Schedule'!$F$21))*12+MONTH($A322)-MONTH('Recurring Schedule'!$F$21),'Recurring Schedule'!$O$21)=0),IF('Recurring Schedule'!$E$21="Weekdays",WEEKDAY($A322,2)&lt;=5,$A322='Recurring Schedule'!$F$21))),16,""))))</f>
        <v/>
      </c>
      <c r="R322">
        <f>IF('Recurring Schedule'!$C$22="","",IF('Recurring Schedule'!$F$22="","",IF(OR($A322&lt;'Recurring Schedule'!$F$22,$A322&gt;'Recurring Schedule'!$P$22),"",IF(IF('Recurring Schedule'!$N$22&gt;0,MOD($A322-'Recurring Schedule'!$F$22,'Recurring Schedule'!$N$22)=0,IF('Recurring Schedule'!$O$22&gt;0,AND(DAY($A322)=MIN(DAY('Recurring Schedule'!$F$22),DAY(EOMONTH($A322,0))),MOD((YEAR($A322)-YEAR('Recurring Schedule'!$F$22))*12+MONTH($A322)-MONTH('Recurring Schedule'!$F$22),'Recurring Schedule'!$O$22)=0),IF('Recurring Schedule'!$E$22="Weekdays",WEEKDAY($A322,2)&lt;=5,$A322='Recurring Schedule'!$F$22))),17,""))))</f>
        <v/>
      </c>
      <c r="S322">
        <f>IF('Recurring Schedule'!$C$23="","",IF('Recurring Schedule'!$F$23="","",IF(OR($A322&lt;'Recurring Schedule'!$F$23,$A322&gt;'Recurring Schedule'!$P$23),"",IF(IF('Recurring Schedule'!$N$23&gt;0,MOD($A322-'Recurring Schedule'!$F$23,'Recurring Schedule'!$N$23)=0,IF('Recurring Schedule'!$O$23&gt;0,AND(DAY($A322)=MIN(DAY('Recurring Schedule'!$F$23),DAY(EOMONTH($A322,0))),MOD((YEAR($A322)-YEAR('Recurring Schedule'!$F$23))*12+MONTH($A322)-MONTH('Recurring Schedule'!$F$23),'Recurring Schedule'!$O$23)=0),IF('Recurring Schedule'!$E$23="Weekdays",WEEKDAY($A322,2)&lt;=5,$A322='Recurring Schedule'!$F$23))),18,""))))</f>
        <v/>
      </c>
      <c r="T322">
        <f>IF('Recurring Schedule'!$C$24="","",IF('Recurring Schedule'!$F$24="","",IF(OR($A322&lt;'Recurring Schedule'!$F$24,$A322&gt;'Recurring Schedule'!$P$24),"",IF(IF('Recurring Schedule'!$N$24&gt;0,MOD($A322-'Recurring Schedule'!$F$24,'Recurring Schedule'!$N$24)=0,IF('Recurring Schedule'!$O$24&gt;0,AND(DAY($A322)=MIN(DAY('Recurring Schedule'!$F$24),DAY(EOMONTH($A322,0))),MOD((YEAR($A322)-YEAR('Recurring Schedule'!$F$24))*12+MONTH($A322)-MONTH('Recurring Schedule'!$F$24),'Recurring Schedule'!$O$24)=0),IF('Recurring Schedule'!$E$24="Weekdays",WEEKDAY($A322,2)&lt;=5,$A322='Recurring Schedule'!$F$24))),19,""))))</f>
        <v/>
      </c>
      <c r="U322">
        <f>IF('Recurring Schedule'!$C$25="","",IF('Recurring Schedule'!$F$25="","",IF(OR($A322&lt;'Recurring Schedule'!$F$25,$A322&gt;'Recurring Schedule'!$P$25),"",IF(IF('Recurring Schedule'!$N$25&gt;0,MOD($A322-'Recurring Schedule'!$F$25,'Recurring Schedule'!$N$25)=0,IF('Recurring Schedule'!$O$25&gt;0,AND(DAY($A322)=MIN(DAY('Recurring Schedule'!$F$25),DAY(EOMONTH($A322,0))),MOD((YEAR($A322)-YEAR('Recurring Schedule'!$F$25))*12+MONTH($A322)-MONTH('Recurring Schedule'!$F$25),'Recurring Schedule'!$O$25)=0),IF('Recurring Schedule'!$E$25="Weekdays",WEEKDAY($A322,2)&lt;=5,$A322='Recurring Schedule'!$F$25))),20,""))))</f>
        <v/>
      </c>
      <c r="V322">
        <f>IF('Recurring Schedule'!$C$26="","",IF('Recurring Schedule'!$F$26="","",IF(OR($A322&lt;'Recurring Schedule'!$F$26,$A322&gt;'Recurring Schedule'!$P$26),"",IF(IF('Recurring Schedule'!$N$26&gt;0,MOD($A322-'Recurring Schedule'!$F$26,'Recurring Schedule'!$N$26)=0,IF('Recurring Schedule'!$O$26&gt;0,AND(DAY($A322)=MIN(DAY('Recurring Schedule'!$F$26),DAY(EOMONTH($A322,0))),MOD((YEAR($A322)-YEAR('Recurring Schedule'!$F$26))*12+MONTH($A322)-MONTH('Recurring Schedule'!$F$26),'Recurring Schedule'!$O$26)=0),IF('Recurring Schedule'!$E$26="Weekdays",WEEKDAY($A322,2)&lt;=5,$A322='Recurring Schedule'!$F$26))),21,""))))</f>
        <v/>
      </c>
      <c r="W322">
        <f>IF('Recurring Schedule'!$C$27="","",IF('Recurring Schedule'!$F$27="","",IF(OR($A322&lt;'Recurring Schedule'!$F$27,$A322&gt;'Recurring Schedule'!$P$27),"",IF(IF('Recurring Schedule'!$N$27&gt;0,MOD($A322-'Recurring Schedule'!$F$27,'Recurring Schedule'!$N$27)=0,IF('Recurring Schedule'!$O$27&gt;0,AND(DAY($A322)=MIN(DAY('Recurring Schedule'!$F$27),DAY(EOMONTH($A322,0))),MOD((YEAR($A322)-YEAR('Recurring Schedule'!$F$27))*12+MONTH($A322)-MONTH('Recurring Schedule'!$F$27),'Recurring Schedule'!$O$27)=0),IF('Recurring Schedule'!$E$27="Weekdays",WEEKDAY($A322,2)&lt;=5,$A322='Recurring Schedule'!$F$27))),22,""))))</f>
        <v/>
      </c>
      <c r="X322">
        <f>IF('Recurring Schedule'!$C$28="","",IF('Recurring Schedule'!$F$28="","",IF(OR($A322&lt;'Recurring Schedule'!$F$28,$A322&gt;'Recurring Schedule'!$P$28),"",IF(IF('Recurring Schedule'!$N$28&gt;0,MOD($A322-'Recurring Schedule'!$F$28,'Recurring Schedule'!$N$28)=0,IF('Recurring Schedule'!$O$28&gt;0,AND(DAY($A322)=MIN(DAY('Recurring Schedule'!$F$28),DAY(EOMONTH($A322,0))),MOD((YEAR($A322)-YEAR('Recurring Schedule'!$F$28))*12+MONTH($A322)-MONTH('Recurring Schedule'!$F$28),'Recurring Schedule'!$O$28)=0),IF('Recurring Schedule'!$E$28="Weekdays",WEEKDAY($A322,2)&lt;=5,$A322='Recurring Schedule'!$F$28))),23,""))))</f>
        <v/>
      </c>
      <c r="Y322">
        <f>IF('Recurring Schedule'!$C$29="","",IF('Recurring Schedule'!$F$29="","",IF(OR($A322&lt;'Recurring Schedule'!$F$29,$A322&gt;'Recurring Schedule'!$P$29),"",IF(IF('Recurring Schedule'!$N$29&gt;0,MOD($A322-'Recurring Schedule'!$F$29,'Recurring Schedule'!$N$29)=0,IF('Recurring Schedule'!$O$29&gt;0,AND(DAY($A322)=MIN(DAY('Recurring Schedule'!$F$29),DAY(EOMONTH($A322,0))),MOD((YEAR($A322)-YEAR('Recurring Schedule'!$F$29))*12+MONTH($A322)-MONTH('Recurring Schedule'!$F$29),'Recurring Schedule'!$O$29)=0),IF('Recurring Schedule'!$E$29="Weekdays",WEEKDAY($A322,2)&lt;=5,$A322='Recurring Schedule'!$F$29))),24,""))))</f>
        <v/>
      </c>
      <c r="Z322">
        <f>IF('Recurring Schedule'!$C$30="","",IF('Recurring Schedule'!$F$30="","",IF(OR($A322&lt;'Recurring Schedule'!$F$30,$A322&gt;'Recurring Schedule'!$P$30),"",IF(IF('Recurring Schedule'!$N$30&gt;0,MOD($A322-'Recurring Schedule'!$F$30,'Recurring Schedule'!$N$30)=0,IF('Recurring Schedule'!$O$30&gt;0,AND(DAY($A322)=MIN(DAY('Recurring Schedule'!$F$30),DAY(EOMONTH($A322,0))),MOD((YEAR($A322)-YEAR('Recurring Schedule'!$F$30))*12+MONTH($A322)-MONTH('Recurring Schedule'!$F$30),'Recurring Schedule'!$O$30)=0),IF('Recurring Schedule'!$E$30="Weekdays",WEEKDAY($A322,2)&lt;=5,$A322='Recurring Schedule'!$F$30))),25,""))))</f>
        <v/>
      </c>
      <c r="AA322">
        <f>IF('Recurring Schedule'!$C$31="","",IF('Recurring Schedule'!$F$31="","",IF(OR($A322&lt;'Recurring Schedule'!$F$31,$A322&gt;'Recurring Schedule'!$P$31),"",IF(IF('Recurring Schedule'!$N$31&gt;0,MOD($A322-'Recurring Schedule'!$F$31,'Recurring Schedule'!$N$31)=0,IF('Recurring Schedule'!$O$31&gt;0,AND(DAY($A322)=MIN(DAY('Recurring Schedule'!$F$31),DAY(EOMONTH($A322,0))),MOD((YEAR($A322)-YEAR('Recurring Schedule'!$F$31))*12+MONTH($A322)-MONTH('Recurring Schedule'!$F$31),'Recurring Schedule'!$O$31)=0),IF('Recurring Schedule'!$E$31="Weekdays",WEEKDAY($A322,2)&lt;=5,$A322='Recurring Schedule'!$F$31))),26,""))))</f>
        <v/>
      </c>
      <c r="AB322">
        <f>IF('Recurring Schedule'!$C$32="","",IF('Recurring Schedule'!$F$32="","",IF(OR($A322&lt;'Recurring Schedule'!$F$32,$A322&gt;'Recurring Schedule'!$P$32),"",IF(IF('Recurring Schedule'!$N$32&gt;0,MOD($A322-'Recurring Schedule'!$F$32,'Recurring Schedule'!$N$32)=0,IF('Recurring Schedule'!$O$32&gt;0,AND(DAY($A322)=MIN(DAY('Recurring Schedule'!$F$32),DAY(EOMONTH($A322,0))),MOD((YEAR($A322)-YEAR('Recurring Schedule'!$F$32))*12+MONTH($A322)-MONTH('Recurring Schedule'!$F$32),'Recurring Schedule'!$O$32)=0),IF('Recurring Schedule'!$E$32="Weekdays",WEEKDAY($A322,2)&lt;=5,$A322='Recurring Schedule'!$F$32))),27,""))))</f>
        <v/>
      </c>
      <c r="AC322">
        <f>IF('Recurring Schedule'!$C$33="","",IF('Recurring Schedule'!$F$33="","",IF(OR($A322&lt;'Recurring Schedule'!$F$33,$A322&gt;'Recurring Schedule'!$P$33),"",IF(IF('Recurring Schedule'!$N$33&gt;0,MOD($A322-'Recurring Schedule'!$F$33,'Recurring Schedule'!$N$33)=0,IF('Recurring Schedule'!$O$33&gt;0,AND(DAY($A322)=MIN(DAY('Recurring Schedule'!$F$33),DAY(EOMONTH($A322,0))),MOD((YEAR($A322)-YEAR('Recurring Schedule'!$F$33))*12+MONTH($A322)-MONTH('Recurring Schedule'!$F$33),'Recurring Schedule'!$O$33)=0),IF('Recurring Schedule'!$E$33="Weekdays",WEEKDAY($A322,2)&lt;=5,$A322='Recurring Schedule'!$F$33))),28,""))))</f>
        <v/>
      </c>
      <c r="AD322">
        <f>IF('Recurring Schedule'!$C$34="","",IF('Recurring Schedule'!$F$34="","",IF(OR($A322&lt;'Recurring Schedule'!$F$34,$A322&gt;'Recurring Schedule'!$P$34),"",IF(IF('Recurring Schedule'!$N$34&gt;0,MOD($A322-'Recurring Schedule'!$F$34,'Recurring Schedule'!$N$34)=0,IF('Recurring Schedule'!$O$34&gt;0,AND(DAY($A322)=MIN(DAY('Recurring Schedule'!$F$34),DAY(EOMONTH($A322,0))),MOD((YEAR($A322)-YEAR('Recurring Schedule'!$F$34))*12+MONTH($A322)-MONTH('Recurring Schedule'!$F$34),'Recurring Schedule'!$O$34)=0),IF('Recurring Schedule'!$E$34="Weekdays",WEEKDAY($A322,2)&lt;=5,$A322='Recurring Schedule'!$F$34))),29,""))))</f>
        <v/>
      </c>
      <c r="AE322">
        <f>IF('Recurring Schedule'!$C$35="","",IF('Recurring Schedule'!$F$35="","",IF(OR($A322&lt;'Recurring Schedule'!$F$35,$A322&gt;'Recurring Schedule'!$P$35),"",IF(IF('Recurring Schedule'!$N$35&gt;0,MOD($A322-'Recurring Schedule'!$F$35,'Recurring Schedule'!$N$35)=0,IF('Recurring Schedule'!$O$35&gt;0,AND(DAY($A322)=MIN(DAY('Recurring Schedule'!$F$35),DAY(EOMONTH($A322,0))),MOD((YEAR($A322)-YEAR('Recurring Schedule'!$F$35))*12+MONTH($A322)-MONTH('Recurring Schedule'!$F$35),'Recurring Schedule'!$O$35)=0),IF('Recurring Schedule'!$E$35="Weekdays",WEEKDAY($A322,2)&lt;=5,$A322='Recurring Schedule'!$F$35))),30,""))))</f>
        <v/>
      </c>
      <c r="AF322">
        <f>IF('Recurring Schedule'!$C$36="","",IF('Recurring Schedule'!$F$36="","",IF(OR($A322&lt;'Recurring Schedule'!$F$36,$A322&gt;'Recurring Schedule'!$P$36),"",IF(IF('Recurring Schedule'!$N$36&gt;0,MOD($A322-'Recurring Schedule'!$F$36,'Recurring Schedule'!$N$36)=0,IF('Recurring Schedule'!$O$36&gt;0,AND(DAY($A322)=MIN(DAY('Recurring Schedule'!$F$36),DAY(EOMONTH($A322,0))),MOD((YEAR($A322)-YEAR('Recurring Schedule'!$F$36))*12+MONTH($A322)-MONTH('Recurring Schedule'!$F$36),'Recurring Schedule'!$O$36)=0),IF('Recurring Schedule'!$E$36="Weekdays",WEEKDAY($A322,2)&lt;=5,$A322='Recurring Schedule'!$F$36))),31,""))))</f>
        <v/>
      </c>
      <c r="AG322">
        <f>IF('Recurring Schedule'!$C$37="","",IF('Recurring Schedule'!$F$37="","",IF(OR($A322&lt;'Recurring Schedule'!$F$37,$A322&gt;'Recurring Schedule'!$P$37),"",IF(IF('Recurring Schedule'!$N$37&gt;0,MOD($A322-'Recurring Schedule'!$F$37,'Recurring Schedule'!$N$37)=0,IF('Recurring Schedule'!$O$37&gt;0,AND(DAY($A322)=MIN(DAY('Recurring Schedule'!$F$37),DAY(EOMONTH($A322,0))),MOD((YEAR($A322)-YEAR('Recurring Schedule'!$F$37))*12+MONTH($A322)-MONTH('Recurring Schedule'!$F$37),'Recurring Schedule'!$O$37)=0),IF('Recurring Schedule'!$E$37="Weekdays",WEEKDAY($A322,2)&lt;=5,$A322='Recurring Schedule'!$F$37))),32,""))))</f>
        <v/>
      </c>
      <c r="AH322">
        <f>IF('Recurring Schedule'!$C$38="","",IF('Recurring Schedule'!$F$38="","",IF(OR($A322&lt;'Recurring Schedule'!$F$38,$A322&gt;'Recurring Schedule'!$P$38),"",IF(IF('Recurring Schedule'!$N$38&gt;0,MOD($A322-'Recurring Schedule'!$F$38,'Recurring Schedule'!$N$38)=0,IF('Recurring Schedule'!$O$38&gt;0,AND(DAY($A322)=MIN(DAY('Recurring Schedule'!$F$38),DAY(EOMONTH($A322,0))),MOD((YEAR($A322)-YEAR('Recurring Schedule'!$F$38))*12+MONTH($A322)-MONTH('Recurring Schedule'!$F$38),'Recurring Schedule'!$O$38)=0),IF('Recurring Schedule'!$E$38="Weekdays",WEEKDAY($A322,2)&lt;=5,$A322='Recurring Schedule'!$F$38))),33,""))))</f>
        <v/>
      </c>
      <c r="AI322">
        <f>IF('Recurring Schedule'!$C$39="","",IF('Recurring Schedule'!$F$39="","",IF(OR($A322&lt;'Recurring Schedule'!$F$39,$A322&gt;'Recurring Schedule'!$P$39),"",IF(IF('Recurring Schedule'!$N$39&gt;0,MOD($A322-'Recurring Schedule'!$F$39,'Recurring Schedule'!$N$39)=0,IF('Recurring Schedule'!$O$39&gt;0,AND(DAY($A322)=MIN(DAY('Recurring Schedule'!$F$39),DAY(EOMONTH($A322,0))),MOD((YEAR($A322)-YEAR('Recurring Schedule'!$F$39))*12+MONTH($A322)-MONTH('Recurring Schedule'!$F$39),'Recurring Schedule'!$O$39)=0),IF('Recurring Schedule'!$E$39="Weekdays",WEEKDAY($A322,2)&lt;=5,$A322='Recurring Schedule'!$F$39))),34,""))))</f>
        <v/>
      </c>
      <c r="AJ322">
        <f>IF('Recurring Schedule'!$C$40="","",IF('Recurring Schedule'!$F$40="","",IF(OR($A322&lt;'Recurring Schedule'!$F$40,$A322&gt;'Recurring Schedule'!$P$40),"",IF(IF('Recurring Schedule'!$N$40&gt;0,MOD($A322-'Recurring Schedule'!$F$40,'Recurring Schedule'!$N$40)=0,IF('Recurring Schedule'!$O$40&gt;0,AND(DAY($A322)=MIN(DAY('Recurring Schedule'!$F$40),DAY(EOMONTH($A322,0))),MOD((YEAR($A322)-YEAR('Recurring Schedule'!$F$40))*12+MONTH($A322)-MONTH('Recurring Schedule'!$F$40),'Recurring Schedule'!$O$40)=0),IF('Recurring Schedule'!$E$40="Weekdays",WEEKDAY($A322,2)&lt;=5,$A322='Recurring Schedule'!$F$40))),35,""))))</f>
        <v/>
      </c>
      <c r="AK322">
        <f>IF('Recurring Schedule'!$C$41="","",IF('Recurring Schedule'!$F$41="","",IF(OR($A322&lt;'Recurring Schedule'!$F$41,$A322&gt;'Recurring Schedule'!$P$41),"",IF(IF('Recurring Schedule'!$N$41&gt;0,MOD($A322-'Recurring Schedule'!$F$41,'Recurring Schedule'!$N$41)=0,IF('Recurring Schedule'!$O$41&gt;0,AND(DAY($A322)=MIN(DAY('Recurring Schedule'!$F$41),DAY(EOMONTH($A322,0))),MOD((YEAR($A322)-YEAR('Recurring Schedule'!$F$41))*12+MONTH($A322)-MONTH('Recurring Schedule'!$F$41),'Recurring Schedule'!$O$41)=0),IF('Recurring Schedule'!$E$41="Weekdays",WEEKDAY($A322,2)&lt;=5,$A322='Recurring Schedule'!$F$41))),36,""))))</f>
        <v/>
      </c>
      <c r="AL322">
        <f>IF('Recurring Schedule'!$C$42="","",IF('Recurring Schedule'!$F$42="","",IF(OR($A322&lt;'Recurring Schedule'!$F$42,$A322&gt;'Recurring Schedule'!$P$42),"",IF(IF('Recurring Schedule'!$N$42&gt;0,MOD($A322-'Recurring Schedule'!$F$42,'Recurring Schedule'!$N$42)=0,IF('Recurring Schedule'!$O$42&gt;0,AND(DAY($A322)=MIN(DAY('Recurring Schedule'!$F$42),DAY(EOMONTH($A322,0))),MOD((YEAR($A322)-YEAR('Recurring Schedule'!$F$42))*12+MONTH($A322)-MONTH('Recurring Schedule'!$F$42),'Recurring Schedule'!$O$42)=0),IF('Recurring Schedule'!$E$42="Weekdays",WEEKDAY($A322,2)&lt;=5,$A322='Recurring Schedule'!$F$42))),37,""))))</f>
        <v/>
      </c>
      <c r="AM322">
        <f>IF('Recurring Schedule'!$C$43="","",IF('Recurring Schedule'!$F$43="","",IF(OR($A322&lt;'Recurring Schedule'!$F$43,$A322&gt;'Recurring Schedule'!$P$43),"",IF(IF('Recurring Schedule'!$N$43&gt;0,MOD($A322-'Recurring Schedule'!$F$43,'Recurring Schedule'!$N$43)=0,IF('Recurring Schedule'!$O$43&gt;0,AND(DAY($A322)=MIN(DAY('Recurring Schedule'!$F$43),DAY(EOMONTH($A322,0))),MOD((YEAR($A322)-YEAR('Recurring Schedule'!$F$43))*12+MONTH($A322)-MONTH('Recurring Schedule'!$F$43),'Recurring Schedule'!$O$43)=0),IF('Recurring Schedule'!$E$43="Weekdays",WEEKDAY($A322,2)&lt;=5,$A322='Recurring Schedule'!$F$43))),38,""))))</f>
        <v/>
      </c>
      <c r="AN322">
        <f>IF('Recurring Schedule'!$C$44="","",IF('Recurring Schedule'!$F$44="","",IF(OR($A322&lt;'Recurring Schedule'!$F$44,$A322&gt;'Recurring Schedule'!$P$44),"",IF(IF('Recurring Schedule'!$N$44&gt;0,MOD($A322-'Recurring Schedule'!$F$44,'Recurring Schedule'!$N$44)=0,IF('Recurring Schedule'!$O$44&gt;0,AND(DAY($A322)=MIN(DAY('Recurring Schedule'!$F$44),DAY(EOMONTH($A322,0))),MOD((YEAR($A322)-YEAR('Recurring Schedule'!$F$44))*12+MONTH($A322)-MONTH('Recurring Schedule'!$F$44),'Recurring Schedule'!$O$44)=0),IF('Recurring Schedule'!$E$44="Weekdays",WEEKDAY($A322,2)&lt;=5,$A322='Recurring Schedule'!$F$44))),39,""))))</f>
        <v/>
      </c>
      <c r="AO322">
        <f>IF('Recurring Schedule'!$C$45="","",IF('Recurring Schedule'!$F$45="","",IF(OR($A322&lt;'Recurring Schedule'!$F$45,$A322&gt;'Recurring Schedule'!$P$45),"",IF(IF('Recurring Schedule'!$N$45&gt;0,MOD($A322-'Recurring Schedule'!$F$45,'Recurring Schedule'!$N$45)=0,IF('Recurring Schedule'!$O$45&gt;0,AND(DAY($A322)=MIN(DAY('Recurring Schedule'!$F$45),DAY(EOMONTH($A322,0))),MOD((YEAR($A322)-YEAR('Recurring Schedule'!$F$45))*12+MONTH($A322)-MONTH('Recurring Schedule'!$F$45),'Recurring Schedule'!$O$45)=0),IF('Recurring Schedule'!$E$45="Weekdays",WEEKDAY($A322,2)&lt;=5,$A322='Recurring Schedule'!$F$45))),40,""))))</f>
        <v/>
      </c>
      <c r="AP322">
        <f>COUNT(B322:AO322)</f>
        <v/>
      </c>
      <c r="AQ322">
        <f>AQ321+AP321</f>
        <v/>
      </c>
      <c r="AS322" t="inlineStr">
        <is>
          <t>R</t>
        </is>
      </c>
      <c r="AT322" t="n">
        <v>326</v>
      </c>
      <c r="AU322">
        <f>'Recurring Log'!C326&amp;""</f>
        <v/>
      </c>
      <c r="AV322">
        <f>'Recurring Log'!D326&amp;""</f>
        <v/>
      </c>
      <c r="AW322">
        <f>IF('Recurring Log'!E326="","",'Recurring Log'!E326)</f>
        <v/>
      </c>
      <c r="AX322">
        <f>IF('Recurring Log'!G326="","",'Recurring Log'!G326)</f>
        <v/>
      </c>
      <c r="AY322">
        <f>IF('Recurring Log'!H326="","",'Recurring Log'!H326)</f>
        <v/>
      </c>
      <c r="AZ322">
        <f>IF(AU322="","",IF('Recurring Log'!J326="","Not Started",'Recurring Log'!J326))</f>
        <v/>
      </c>
      <c r="BA322">
        <f>'Recurring Log'!L326&amp;""</f>
        <v/>
      </c>
      <c r="BB322">
        <f>'Recurring Log'!M326&amp;""</f>
        <v/>
      </c>
      <c r="BC322">
        <f>'Recurring Log'!N326&amp;""</f>
        <v/>
      </c>
      <c r="BD322">
        <f>'Recurring Log'!O326&amp;""</f>
        <v/>
      </c>
      <c r="BE322">
        <f>IF('Recurring Log'!K326="","",'Recurring Log'!K326)</f>
        <v/>
      </c>
      <c r="BF322">
        <f>IFERROR(MATCH(BA322,Setup!$L$6:$L$9,0),5)</f>
        <v/>
      </c>
      <c r="BG322">
        <f>IF(OR(AZ322="Done",AZ322="Cancelled"),1,0)</f>
        <v/>
      </c>
      <c r="BH322">
        <f>IF(AND(AU322&lt;&gt;"",ISNUMBER(AW322)),1,0)</f>
        <v/>
      </c>
      <c r="BI322">
        <f>IF(BH322=0,0,IF(AND(AW322&gt;='Tasks Filter'!$F$3,AW322&lt;='Tasks Filter'!$F$4,OR('Tasks Filter'!$I$3="",ISNUMBER(SEARCH('Tasks Filter'!$I$3,AU322))),OR('Tasks Filter'!$I$4="",BF322=IFERROR(MATCH('Tasks Filter'!$I$4,Setup!$L$6:$L$9,0),0)),OR('Tasks Filter'!$I$5="Both",AND('Tasks Filter'!$I$5="Yes",BB322="✓"),AND('Tasks Filter'!$I$5="No",BB322&lt;&gt;"✓")),OR('Tasks Filter'!$L$3="",AV322='Tasks Filter'!$L$3),OR('Tasks Filter'!$L$4="",AZ322='Tasks Filter'!$L$4),OR('Tasks Filter'!$L$5="",BC322='Tasks Filter'!$L$5),OR('Tasks Filter'!$O$3="",BD322='Tasks Filter'!$O$3),OR('Tasks Filter'!$O$4="Yes",BG322=0)),1,0))</f>
        <v/>
      </c>
      <c r="BJ322">
        <f>IF(BH322=0,"",IF('Tasks Filter'!$F$6="Descending",-1,1)*CHOOSE(MATCH('Tasks Filter'!$F$5,Lists!$G$2:$G$6,0),AW322,BF322,IFERROR(MATCH(AV322,Setup!$F$6:$F$15,0),99),IFERROR(MATCH(BC322,Setup!$H$6:$H$15,0),99),IFERROR(MATCH(AZ322,Setup!$J$6:$J$11,0),99))*1E+9+(AW322-40000)*10000+321)</f>
        <v/>
      </c>
      <c r="BK322">
        <f>IF(BI322=1,BJ322,"")</f>
        <v/>
      </c>
      <c r="BL322">
        <f>IF(AND(BH322=1,BG322=0,N(AW322)&lt;Setup!$D$7),(AW322-40000)*10000+321,"")</f>
        <v/>
      </c>
      <c r="BM322">
        <f>IF(AND(BH322=1,AZ322&lt;&gt;"Cancelled",N(AW322)&gt;=Dashboard!$AB$3,N(AW322)&lt;=Dashboard!$AB$3+6),(AW322-40000)*100000+BF322*10000+321,"")</f>
        <v/>
      </c>
      <c r="BN322">
        <f>IF(AND(BH322=1,AZ322&lt;&gt;"Cancelled"),BF322*10000+321,"")</f>
        <v/>
      </c>
    </row>
    <row r="323">
      <c r="A323">
        <f>Setup!$D$5+321</f>
        <v/>
      </c>
      <c r="B323">
        <f>IF('Recurring Schedule'!$C$6="","",IF('Recurring Schedule'!$F$6="","",IF(OR($A323&lt;'Recurring Schedule'!$F$6,$A323&gt;'Recurring Schedule'!$P$6),"",IF(IF('Recurring Schedule'!$N$6&gt;0,MOD($A323-'Recurring Schedule'!$F$6,'Recurring Schedule'!$N$6)=0,IF('Recurring Schedule'!$O$6&gt;0,AND(DAY($A323)=MIN(DAY('Recurring Schedule'!$F$6),DAY(EOMONTH($A323,0))),MOD((YEAR($A323)-YEAR('Recurring Schedule'!$F$6))*12+MONTH($A323)-MONTH('Recurring Schedule'!$F$6),'Recurring Schedule'!$O$6)=0),IF('Recurring Schedule'!$E$6="Weekdays",WEEKDAY($A323,2)&lt;=5,$A323='Recurring Schedule'!$F$6))),1,""))))</f>
        <v/>
      </c>
      <c r="C323">
        <f>IF('Recurring Schedule'!$C$7="","",IF('Recurring Schedule'!$F$7="","",IF(OR($A323&lt;'Recurring Schedule'!$F$7,$A323&gt;'Recurring Schedule'!$P$7),"",IF(IF('Recurring Schedule'!$N$7&gt;0,MOD($A323-'Recurring Schedule'!$F$7,'Recurring Schedule'!$N$7)=0,IF('Recurring Schedule'!$O$7&gt;0,AND(DAY($A323)=MIN(DAY('Recurring Schedule'!$F$7),DAY(EOMONTH($A323,0))),MOD((YEAR($A323)-YEAR('Recurring Schedule'!$F$7))*12+MONTH($A323)-MONTH('Recurring Schedule'!$F$7),'Recurring Schedule'!$O$7)=0),IF('Recurring Schedule'!$E$7="Weekdays",WEEKDAY($A323,2)&lt;=5,$A323='Recurring Schedule'!$F$7))),2,""))))</f>
        <v/>
      </c>
      <c r="D323">
        <f>IF('Recurring Schedule'!$C$8="","",IF('Recurring Schedule'!$F$8="","",IF(OR($A323&lt;'Recurring Schedule'!$F$8,$A323&gt;'Recurring Schedule'!$P$8),"",IF(IF('Recurring Schedule'!$N$8&gt;0,MOD($A323-'Recurring Schedule'!$F$8,'Recurring Schedule'!$N$8)=0,IF('Recurring Schedule'!$O$8&gt;0,AND(DAY($A323)=MIN(DAY('Recurring Schedule'!$F$8),DAY(EOMONTH($A323,0))),MOD((YEAR($A323)-YEAR('Recurring Schedule'!$F$8))*12+MONTH($A323)-MONTH('Recurring Schedule'!$F$8),'Recurring Schedule'!$O$8)=0),IF('Recurring Schedule'!$E$8="Weekdays",WEEKDAY($A323,2)&lt;=5,$A323='Recurring Schedule'!$F$8))),3,""))))</f>
        <v/>
      </c>
      <c r="E323">
        <f>IF('Recurring Schedule'!$C$9="","",IF('Recurring Schedule'!$F$9="","",IF(OR($A323&lt;'Recurring Schedule'!$F$9,$A323&gt;'Recurring Schedule'!$P$9),"",IF(IF('Recurring Schedule'!$N$9&gt;0,MOD($A323-'Recurring Schedule'!$F$9,'Recurring Schedule'!$N$9)=0,IF('Recurring Schedule'!$O$9&gt;0,AND(DAY($A323)=MIN(DAY('Recurring Schedule'!$F$9),DAY(EOMONTH($A323,0))),MOD((YEAR($A323)-YEAR('Recurring Schedule'!$F$9))*12+MONTH($A323)-MONTH('Recurring Schedule'!$F$9),'Recurring Schedule'!$O$9)=0),IF('Recurring Schedule'!$E$9="Weekdays",WEEKDAY($A323,2)&lt;=5,$A323='Recurring Schedule'!$F$9))),4,""))))</f>
        <v/>
      </c>
      <c r="F323">
        <f>IF('Recurring Schedule'!$C$10="","",IF('Recurring Schedule'!$F$10="","",IF(OR($A323&lt;'Recurring Schedule'!$F$10,$A323&gt;'Recurring Schedule'!$P$10),"",IF(IF('Recurring Schedule'!$N$10&gt;0,MOD($A323-'Recurring Schedule'!$F$10,'Recurring Schedule'!$N$10)=0,IF('Recurring Schedule'!$O$10&gt;0,AND(DAY($A323)=MIN(DAY('Recurring Schedule'!$F$10),DAY(EOMONTH($A323,0))),MOD((YEAR($A323)-YEAR('Recurring Schedule'!$F$10))*12+MONTH($A323)-MONTH('Recurring Schedule'!$F$10),'Recurring Schedule'!$O$10)=0),IF('Recurring Schedule'!$E$10="Weekdays",WEEKDAY($A323,2)&lt;=5,$A323='Recurring Schedule'!$F$10))),5,""))))</f>
        <v/>
      </c>
      <c r="G323">
        <f>IF('Recurring Schedule'!$C$11="","",IF('Recurring Schedule'!$F$11="","",IF(OR($A323&lt;'Recurring Schedule'!$F$11,$A323&gt;'Recurring Schedule'!$P$11),"",IF(IF('Recurring Schedule'!$N$11&gt;0,MOD($A323-'Recurring Schedule'!$F$11,'Recurring Schedule'!$N$11)=0,IF('Recurring Schedule'!$O$11&gt;0,AND(DAY($A323)=MIN(DAY('Recurring Schedule'!$F$11),DAY(EOMONTH($A323,0))),MOD((YEAR($A323)-YEAR('Recurring Schedule'!$F$11))*12+MONTH($A323)-MONTH('Recurring Schedule'!$F$11),'Recurring Schedule'!$O$11)=0),IF('Recurring Schedule'!$E$11="Weekdays",WEEKDAY($A323,2)&lt;=5,$A323='Recurring Schedule'!$F$11))),6,""))))</f>
        <v/>
      </c>
      <c r="H323">
        <f>IF('Recurring Schedule'!$C$12="","",IF('Recurring Schedule'!$F$12="","",IF(OR($A323&lt;'Recurring Schedule'!$F$12,$A323&gt;'Recurring Schedule'!$P$12),"",IF(IF('Recurring Schedule'!$N$12&gt;0,MOD($A323-'Recurring Schedule'!$F$12,'Recurring Schedule'!$N$12)=0,IF('Recurring Schedule'!$O$12&gt;0,AND(DAY($A323)=MIN(DAY('Recurring Schedule'!$F$12),DAY(EOMONTH($A323,0))),MOD((YEAR($A323)-YEAR('Recurring Schedule'!$F$12))*12+MONTH($A323)-MONTH('Recurring Schedule'!$F$12),'Recurring Schedule'!$O$12)=0),IF('Recurring Schedule'!$E$12="Weekdays",WEEKDAY($A323,2)&lt;=5,$A323='Recurring Schedule'!$F$12))),7,""))))</f>
        <v/>
      </c>
      <c r="I323">
        <f>IF('Recurring Schedule'!$C$13="","",IF('Recurring Schedule'!$F$13="","",IF(OR($A323&lt;'Recurring Schedule'!$F$13,$A323&gt;'Recurring Schedule'!$P$13),"",IF(IF('Recurring Schedule'!$N$13&gt;0,MOD($A323-'Recurring Schedule'!$F$13,'Recurring Schedule'!$N$13)=0,IF('Recurring Schedule'!$O$13&gt;0,AND(DAY($A323)=MIN(DAY('Recurring Schedule'!$F$13),DAY(EOMONTH($A323,0))),MOD((YEAR($A323)-YEAR('Recurring Schedule'!$F$13))*12+MONTH($A323)-MONTH('Recurring Schedule'!$F$13),'Recurring Schedule'!$O$13)=0),IF('Recurring Schedule'!$E$13="Weekdays",WEEKDAY($A323,2)&lt;=5,$A323='Recurring Schedule'!$F$13))),8,""))))</f>
        <v/>
      </c>
      <c r="J323">
        <f>IF('Recurring Schedule'!$C$14="","",IF('Recurring Schedule'!$F$14="","",IF(OR($A323&lt;'Recurring Schedule'!$F$14,$A323&gt;'Recurring Schedule'!$P$14),"",IF(IF('Recurring Schedule'!$N$14&gt;0,MOD($A323-'Recurring Schedule'!$F$14,'Recurring Schedule'!$N$14)=0,IF('Recurring Schedule'!$O$14&gt;0,AND(DAY($A323)=MIN(DAY('Recurring Schedule'!$F$14),DAY(EOMONTH($A323,0))),MOD((YEAR($A323)-YEAR('Recurring Schedule'!$F$14))*12+MONTH($A323)-MONTH('Recurring Schedule'!$F$14),'Recurring Schedule'!$O$14)=0),IF('Recurring Schedule'!$E$14="Weekdays",WEEKDAY($A323,2)&lt;=5,$A323='Recurring Schedule'!$F$14))),9,""))))</f>
        <v/>
      </c>
      <c r="K323">
        <f>IF('Recurring Schedule'!$C$15="","",IF('Recurring Schedule'!$F$15="","",IF(OR($A323&lt;'Recurring Schedule'!$F$15,$A323&gt;'Recurring Schedule'!$P$15),"",IF(IF('Recurring Schedule'!$N$15&gt;0,MOD($A323-'Recurring Schedule'!$F$15,'Recurring Schedule'!$N$15)=0,IF('Recurring Schedule'!$O$15&gt;0,AND(DAY($A323)=MIN(DAY('Recurring Schedule'!$F$15),DAY(EOMONTH($A323,0))),MOD((YEAR($A323)-YEAR('Recurring Schedule'!$F$15))*12+MONTH($A323)-MONTH('Recurring Schedule'!$F$15),'Recurring Schedule'!$O$15)=0),IF('Recurring Schedule'!$E$15="Weekdays",WEEKDAY($A323,2)&lt;=5,$A323='Recurring Schedule'!$F$15))),10,""))))</f>
        <v/>
      </c>
      <c r="L323">
        <f>IF('Recurring Schedule'!$C$16="","",IF('Recurring Schedule'!$F$16="","",IF(OR($A323&lt;'Recurring Schedule'!$F$16,$A323&gt;'Recurring Schedule'!$P$16),"",IF(IF('Recurring Schedule'!$N$16&gt;0,MOD($A323-'Recurring Schedule'!$F$16,'Recurring Schedule'!$N$16)=0,IF('Recurring Schedule'!$O$16&gt;0,AND(DAY($A323)=MIN(DAY('Recurring Schedule'!$F$16),DAY(EOMONTH($A323,0))),MOD((YEAR($A323)-YEAR('Recurring Schedule'!$F$16))*12+MONTH($A323)-MONTH('Recurring Schedule'!$F$16),'Recurring Schedule'!$O$16)=0),IF('Recurring Schedule'!$E$16="Weekdays",WEEKDAY($A323,2)&lt;=5,$A323='Recurring Schedule'!$F$16))),11,""))))</f>
        <v/>
      </c>
      <c r="M323">
        <f>IF('Recurring Schedule'!$C$17="","",IF('Recurring Schedule'!$F$17="","",IF(OR($A323&lt;'Recurring Schedule'!$F$17,$A323&gt;'Recurring Schedule'!$P$17),"",IF(IF('Recurring Schedule'!$N$17&gt;0,MOD($A323-'Recurring Schedule'!$F$17,'Recurring Schedule'!$N$17)=0,IF('Recurring Schedule'!$O$17&gt;0,AND(DAY($A323)=MIN(DAY('Recurring Schedule'!$F$17),DAY(EOMONTH($A323,0))),MOD((YEAR($A323)-YEAR('Recurring Schedule'!$F$17))*12+MONTH($A323)-MONTH('Recurring Schedule'!$F$17),'Recurring Schedule'!$O$17)=0),IF('Recurring Schedule'!$E$17="Weekdays",WEEKDAY($A323,2)&lt;=5,$A323='Recurring Schedule'!$F$17))),12,""))))</f>
        <v/>
      </c>
      <c r="N323">
        <f>IF('Recurring Schedule'!$C$18="","",IF('Recurring Schedule'!$F$18="","",IF(OR($A323&lt;'Recurring Schedule'!$F$18,$A323&gt;'Recurring Schedule'!$P$18),"",IF(IF('Recurring Schedule'!$N$18&gt;0,MOD($A323-'Recurring Schedule'!$F$18,'Recurring Schedule'!$N$18)=0,IF('Recurring Schedule'!$O$18&gt;0,AND(DAY($A323)=MIN(DAY('Recurring Schedule'!$F$18),DAY(EOMONTH($A323,0))),MOD((YEAR($A323)-YEAR('Recurring Schedule'!$F$18))*12+MONTH($A323)-MONTH('Recurring Schedule'!$F$18),'Recurring Schedule'!$O$18)=0),IF('Recurring Schedule'!$E$18="Weekdays",WEEKDAY($A323,2)&lt;=5,$A323='Recurring Schedule'!$F$18))),13,""))))</f>
        <v/>
      </c>
      <c r="O323">
        <f>IF('Recurring Schedule'!$C$19="","",IF('Recurring Schedule'!$F$19="","",IF(OR($A323&lt;'Recurring Schedule'!$F$19,$A323&gt;'Recurring Schedule'!$P$19),"",IF(IF('Recurring Schedule'!$N$19&gt;0,MOD($A323-'Recurring Schedule'!$F$19,'Recurring Schedule'!$N$19)=0,IF('Recurring Schedule'!$O$19&gt;0,AND(DAY($A323)=MIN(DAY('Recurring Schedule'!$F$19),DAY(EOMONTH($A323,0))),MOD((YEAR($A323)-YEAR('Recurring Schedule'!$F$19))*12+MONTH($A323)-MONTH('Recurring Schedule'!$F$19),'Recurring Schedule'!$O$19)=0),IF('Recurring Schedule'!$E$19="Weekdays",WEEKDAY($A323,2)&lt;=5,$A323='Recurring Schedule'!$F$19))),14,""))))</f>
        <v/>
      </c>
      <c r="P323">
        <f>IF('Recurring Schedule'!$C$20="","",IF('Recurring Schedule'!$F$20="","",IF(OR($A323&lt;'Recurring Schedule'!$F$20,$A323&gt;'Recurring Schedule'!$P$20),"",IF(IF('Recurring Schedule'!$N$20&gt;0,MOD($A323-'Recurring Schedule'!$F$20,'Recurring Schedule'!$N$20)=0,IF('Recurring Schedule'!$O$20&gt;0,AND(DAY($A323)=MIN(DAY('Recurring Schedule'!$F$20),DAY(EOMONTH($A323,0))),MOD((YEAR($A323)-YEAR('Recurring Schedule'!$F$20))*12+MONTH($A323)-MONTH('Recurring Schedule'!$F$20),'Recurring Schedule'!$O$20)=0),IF('Recurring Schedule'!$E$20="Weekdays",WEEKDAY($A323,2)&lt;=5,$A323='Recurring Schedule'!$F$20))),15,""))))</f>
        <v/>
      </c>
      <c r="Q323">
        <f>IF('Recurring Schedule'!$C$21="","",IF('Recurring Schedule'!$F$21="","",IF(OR($A323&lt;'Recurring Schedule'!$F$21,$A323&gt;'Recurring Schedule'!$P$21),"",IF(IF('Recurring Schedule'!$N$21&gt;0,MOD($A323-'Recurring Schedule'!$F$21,'Recurring Schedule'!$N$21)=0,IF('Recurring Schedule'!$O$21&gt;0,AND(DAY($A323)=MIN(DAY('Recurring Schedule'!$F$21),DAY(EOMONTH($A323,0))),MOD((YEAR($A323)-YEAR('Recurring Schedule'!$F$21))*12+MONTH($A323)-MONTH('Recurring Schedule'!$F$21),'Recurring Schedule'!$O$21)=0),IF('Recurring Schedule'!$E$21="Weekdays",WEEKDAY($A323,2)&lt;=5,$A323='Recurring Schedule'!$F$21))),16,""))))</f>
        <v/>
      </c>
      <c r="R323">
        <f>IF('Recurring Schedule'!$C$22="","",IF('Recurring Schedule'!$F$22="","",IF(OR($A323&lt;'Recurring Schedule'!$F$22,$A323&gt;'Recurring Schedule'!$P$22),"",IF(IF('Recurring Schedule'!$N$22&gt;0,MOD($A323-'Recurring Schedule'!$F$22,'Recurring Schedule'!$N$22)=0,IF('Recurring Schedule'!$O$22&gt;0,AND(DAY($A323)=MIN(DAY('Recurring Schedule'!$F$22),DAY(EOMONTH($A323,0))),MOD((YEAR($A323)-YEAR('Recurring Schedule'!$F$22))*12+MONTH($A323)-MONTH('Recurring Schedule'!$F$22),'Recurring Schedule'!$O$22)=0),IF('Recurring Schedule'!$E$22="Weekdays",WEEKDAY($A323,2)&lt;=5,$A323='Recurring Schedule'!$F$22))),17,""))))</f>
        <v/>
      </c>
      <c r="S323">
        <f>IF('Recurring Schedule'!$C$23="","",IF('Recurring Schedule'!$F$23="","",IF(OR($A323&lt;'Recurring Schedule'!$F$23,$A323&gt;'Recurring Schedule'!$P$23),"",IF(IF('Recurring Schedule'!$N$23&gt;0,MOD($A323-'Recurring Schedule'!$F$23,'Recurring Schedule'!$N$23)=0,IF('Recurring Schedule'!$O$23&gt;0,AND(DAY($A323)=MIN(DAY('Recurring Schedule'!$F$23),DAY(EOMONTH($A323,0))),MOD((YEAR($A323)-YEAR('Recurring Schedule'!$F$23))*12+MONTH($A323)-MONTH('Recurring Schedule'!$F$23),'Recurring Schedule'!$O$23)=0),IF('Recurring Schedule'!$E$23="Weekdays",WEEKDAY($A323,2)&lt;=5,$A323='Recurring Schedule'!$F$23))),18,""))))</f>
        <v/>
      </c>
      <c r="T323">
        <f>IF('Recurring Schedule'!$C$24="","",IF('Recurring Schedule'!$F$24="","",IF(OR($A323&lt;'Recurring Schedule'!$F$24,$A323&gt;'Recurring Schedule'!$P$24),"",IF(IF('Recurring Schedule'!$N$24&gt;0,MOD($A323-'Recurring Schedule'!$F$24,'Recurring Schedule'!$N$24)=0,IF('Recurring Schedule'!$O$24&gt;0,AND(DAY($A323)=MIN(DAY('Recurring Schedule'!$F$24),DAY(EOMONTH($A323,0))),MOD((YEAR($A323)-YEAR('Recurring Schedule'!$F$24))*12+MONTH($A323)-MONTH('Recurring Schedule'!$F$24),'Recurring Schedule'!$O$24)=0),IF('Recurring Schedule'!$E$24="Weekdays",WEEKDAY($A323,2)&lt;=5,$A323='Recurring Schedule'!$F$24))),19,""))))</f>
        <v/>
      </c>
      <c r="U323">
        <f>IF('Recurring Schedule'!$C$25="","",IF('Recurring Schedule'!$F$25="","",IF(OR($A323&lt;'Recurring Schedule'!$F$25,$A323&gt;'Recurring Schedule'!$P$25),"",IF(IF('Recurring Schedule'!$N$25&gt;0,MOD($A323-'Recurring Schedule'!$F$25,'Recurring Schedule'!$N$25)=0,IF('Recurring Schedule'!$O$25&gt;0,AND(DAY($A323)=MIN(DAY('Recurring Schedule'!$F$25),DAY(EOMONTH($A323,0))),MOD((YEAR($A323)-YEAR('Recurring Schedule'!$F$25))*12+MONTH($A323)-MONTH('Recurring Schedule'!$F$25),'Recurring Schedule'!$O$25)=0),IF('Recurring Schedule'!$E$25="Weekdays",WEEKDAY($A323,2)&lt;=5,$A323='Recurring Schedule'!$F$25))),20,""))))</f>
        <v/>
      </c>
      <c r="V323">
        <f>IF('Recurring Schedule'!$C$26="","",IF('Recurring Schedule'!$F$26="","",IF(OR($A323&lt;'Recurring Schedule'!$F$26,$A323&gt;'Recurring Schedule'!$P$26),"",IF(IF('Recurring Schedule'!$N$26&gt;0,MOD($A323-'Recurring Schedule'!$F$26,'Recurring Schedule'!$N$26)=0,IF('Recurring Schedule'!$O$26&gt;0,AND(DAY($A323)=MIN(DAY('Recurring Schedule'!$F$26),DAY(EOMONTH($A323,0))),MOD((YEAR($A323)-YEAR('Recurring Schedule'!$F$26))*12+MONTH($A323)-MONTH('Recurring Schedule'!$F$26),'Recurring Schedule'!$O$26)=0),IF('Recurring Schedule'!$E$26="Weekdays",WEEKDAY($A323,2)&lt;=5,$A323='Recurring Schedule'!$F$26))),21,""))))</f>
        <v/>
      </c>
      <c r="W323">
        <f>IF('Recurring Schedule'!$C$27="","",IF('Recurring Schedule'!$F$27="","",IF(OR($A323&lt;'Recurring Schedule'!$F$27,$A323&gt;'Recurring Schedule'!$P$27),"",IF(IF('Recurring Schedule'!$N$27&gt;0,MOD($A323-'Recurring Schedule'!$F$27,'Recurring Schedule'!$N$27)=0,IF('Recurring Schedule'!$O$27&gt;0,AND(DAY($A323)=MIN(DAY('Recurring Schedule'!$F$27),DAY(EOMONTH($A323,0))),MOD((YEAR($A323)-YEAR('Recurring Schedule'!$F$27))*12+MONTH($A323)-MONTH('Recurring Schedule'!$F$27),'Recurring Schedule'!$O$27)=0),IF('Recurring Schedule'!$E$27="Weekdays",WEEKDAY($A323,2)&lt;=5,$A323='Recurring Schedule'!$F$27))),22,""))))</f>
        <v/>
      </c>
      <c r="X323">
        <f>IF('Recurring Schedule'!$C$28="","",IF('Recurring Schedule'!$F$28="","",IF(OR($A323&lt;'Recurring Schedule'!$F$28,$A323&gt;'Recurring Schedule'!$P$28),"",IF(IF('Recurring Schedule'!$N$28&gt;0,MOD($A323-'Recurring Schedule'!$F$28,'Recurring Schedule'!$N$28)=0,IF('Recurring Schedule'!$O$28&gt;0,AND(DAY($A323)=MIN(DAY('Recurring Schedule'!$F$28),DAY(EOMONTH($A323,0))),MOD((YEAR($A323)-YEAR('Recurring Schedule'!$F$28))*12+MONTH($A323)-MONTH('Recurring Schedule'!$F$28),'Recurring Schedule'!$O$28)=0),IF('Recurring Schedule'!$E$28="Weekdays",WEEKDAY($A323,2)&lt;=5,$A323='Recurring Schedule'!$F$28))),23,""))))</f>
        <v/>
      </c>
      <c r="Y323">
        <f>IF('Recurring Schedule'!$C$29="","",IF('Recurring Schedule'!$F$29="","",IF(OR($A323&lt;'Recurring Schedule'!$F$29,$A323&gt;'Recurring Schedule'!$P$29),"",IF(IF('Recurring Schedule'!$N$29&gt;0,MOD($A323-'Recurring Schedule'!$F$29,'Recurring Schedule'!$N$29)=0,IF('Recurring Schedule'!$O$29&gt;0,AND(DAY($A323)=MIN(DAY('Recurring Schedule'!$F$29),DAY(EOMONTH($A323,0))),MOD((YEAR($A323)-YEAR('Recurring Schedule'!$F$29))*12+MONTH($A323)-MONTH('Recurring Schedule'!$F$29),'Recurring Schedule'!$O$29)=0),IF('Recurring Schedule'!$E$29="Weekdays",WEEKDAY($A323,2)&lt;=5,$A323='Recurring Schedule'!$F$29))),24,""))))</f>
        <v/>
      </c>
      <c r="Z323">
        <f>IF('Recurring Schedule'!$C$30="","",IF('Recurring Schedule'!$F$30="","",IF(OR($A323&lt;'Recurring Schedule'!$F$30,$A323&gt;'Recurring Schedule'!$P$30),"",IF(IF('Recurring Schedule'!$N$30&gt;0,MOD($A323-'Recurring Schedule'!$F$30,'Recurring Schedule'!$N$30)=0,IF('Recurring Schedule'!$O$30&gt;0,AND(DAY($A323)=MIN(DAY('Recurring Schedule'!$F$30),DAY(EOMONTH($A323,0))),MOD((YEAR($A323)-YEAR('Recurring Schedule'!$F$30))*12+MONTH($A323)-MONTH('Recurring Schedule'!$F$30),'Recurring Schedule'!$O$30)=0),IF('Recurring Schedule'!$E$30="Weekdays",WEEKDAY($A323,2)&lt;=5,$A323='Recurring Schedule'!$F$30))),25,""))))</f>
        <v/>
      </c>
      <c r="AA323">
        <f>IF('Recurring Schedule'!$C$31="","",IF('Recurring Schedule'!$F$31="","",IF(OR($A323&lt;'Recurring Schedule'!$F$31,$A323&gt;'Recurring Schedule'!$P$31),"",IF(IF('Recurring Schedule'!$N$31&gt;0,MOD($A323-'Recurring Schedule'!$F$31,'Recurring Schedule'!$N$31)=0,IF('Recurring Schedule'!$O$31&gt;0,AND(DAY($A323)=MIN(DAY('Recurring Schedule'!$F$31),DAY(EOMONTH($A323,0))),MOD((YEAR($A323)-YEAR('Recurring Schedule'!$F$31))*12+MONTH($A323)-MONTH('Recurring Schedule'!$F$31),'Recurring Schedule'!$O$31)=0),IF('Recurring Schedule'!$E$31="Weekdays",WEEKDAY($A323,2)&lt;=5,$A323='Recurring Schedule'!$F$31))),26,""))))</f>
        <v/>
      </c>
      <c r="AB323">
        <f>IF('Recurring Schedule'!$C$32="","",IF('Recurring Schedule'!$F$32="","",IF(OR($A323&lt;'Recurring Schedule'!$F$32,$A323&gt;'Recurring Schedule'!$P$32),"",IF(IF('Recurring Schedule'!$N$32&gt;0,MOD($A323-'Recurring Schedule'!$F$32,'Recurring Schedule'!$N$32)=0,IF('Recurring Schedule'!$O$32&gt;0,AND(DAY($A323)=MIN(DAY('Recurring Schedule'!$F$32),DAY(EOMONTH($A323,0))),MOD((YEAR($A323)-YEAR('Recurring Schedule'!$F$32))*12+MONTH($A323)-MONTH('Recurring Schedule'!$F$32),'Recurring Schedule'!$O$32)=0),IF('Recurring Schedule'!$E$32="Weekdays",WEEKDAY($A323,2)&lt;=5,$A323='Recurring Schedule'!$F$32))),27,""))))</f>
        <v/>
      </c>
      <c r="AC323">
        <f>IF('Recurring Schedule'!$C$33="","",IF('Recurring Schedule'!$F$33="","",IF(OR($A323&lt;'Recurring Schedule'!$F$33,$A323&gt;'Recurring Schedule'!$P$33),"",IF(IF('Recurring Schedule'!$N$33&gt;0,MOD($A323-'Recurring Schedule'!$F$33,'Recurring Schedule'!$N$33)=0,IF('Recurring Schedule'!$O$33&gt;0,AND(DAY($A323)=MIN(DAY('Recurring Schedule'!$F$33),DAY(EOMONTH($A323,0))),MOD((YEAR($A323)-YEAR('Recurring Schedule'!$F$33))*12+MONTH($A323)-MONTH('Recurring Schedule'!$F$33),'Recurring Schedule'!$O$33)=0),IF('Recurring Schedule'!$E$33="Weekdays",WEEKDAY($A323,2)&lt;=5,$A323='Recurring Schedule'!$F$33))),28,""))))</f>
        <v/>
      </c>
      <c r="AD323">
        <f>IF('Recurring Schedule'!$C$34="","",IF('Recurring Schedule'!$F$34="","",IF(OR($A323&lt;'Recurring Schedule'!$F$34,$A323&gt;'Recurring Schedule'!$P$34),"",IF(IF('Recurring Schedule'!$N$34&gt;0,MOD($A323-'Recurring Schedule'!$F$34,'Recurring Schedule'!$N$34)=0,IF('Recurring Schedule'!$O$34&gt;0,AND(DAY($A323)=MIN(DAY('Recurring Schedule'!$F$34),DAY(EOMONTH($A323,0))),MOD((YEAR($A323)-YEAR('Recurring Schedule'!$F$34))*12+MONTH($A323)-MONTH('Recurring Schedule'!$F$34),'Recurring Schedule'!$O$34)=0),IF('Recurring Schedule'!$E$34="Weekdays",WEEKDAY($A323,2)&lt;=5,$A323='Recurring Schedule'!$F$34))),29,""))))</f>
        <v/>
      </c>
      <c r="AE323">
        <f>IF('Recurring Schedule'!$C$35="","",IF('Recurring Schedule'!$F$35="","",IF(OR($A323&lt;'Recurring Schedule'!$F$35,$A323&gt;'Recurring Schedule'!$P$35),"",IF(IF('Recurring Schedule'!$N$35&gt;0,MOD($A323-'Recurring Schedule'!$F$35,'Recurring Schedule'!$N$35)=0,IF('Recurring Schedule'!$O$35&gt;0,AND(DAY($A323)=MIN(DAY('Recurring Schedule'!$F$35),DAY(EOMONTH($A323,0))),MOD((YEAR($A323)-YEAR('Recurring Schedule'!$F$35))*12+MONTH($A323)-MONTH('Recurring Schedule'!$F$35),'Recurring Schedule'!$O$35)=0),IF('Recurring Schedule'!$E$35="Weekdays",WEEKDAY($A323,2)&lt;=5,$A323='Recurring Schedule'!$F$35))),30,""))))</f>
        <v/>
      </c>
      <c r="AF323">
        <f>IF('Recurring Schedule'!$C$36="","",IF('Recurring Schedule'!$F$36="","",IF(OR($A323&lt;'Recurring Schedule'!$F$36,$A323&gt;'Recurring Schedule'!$P$36),"",IF(IF('Recurring Schedule'!$N$36&gt;0,MOD($A323-'Recurring Schedule'!$F$36,'Recurring Schedule'!$N$36)=0,IF('Recurring Schedule'!$O$36&gt;0,AND(DAY($A323)=MIN(DAY('Recurring Schedule'!$F$36),DAY(EOMONTH($A323,0))),MOD((YEAR($A323)-YEAR('Recurring Schedule'!$F$36))*12+MONTH($A323)-MONTH('Recurring Schedule'!$F$36),'Recurring Schedule'!$O$36)=0),IF('Recurring Schedule'!$E$36="Weekdays",WEEKDAY($A323,2)&lt;=5,$A323='Recurring Schedule'!$F$36))),31,""))))</f>
        <v/>
      </c>
      <c r="AG323">
        <f>IF('Recurring Schedule'!$C$37="","",IF('Recurring Schedule'!$F$37="","",IF(OR($A323&lt;'Recurring Schedule'!$F$37,$A323&gt;'Recurring Schedule'!$P$37),"",IF(IF('Recurring Schedule'!$N$37&gt;0,MOD($A323-'Recurring Schedule'!$F$37,'Recurring Schedule'!$N$37)=0,IF('Recurring Schedule'!$O$37&gt;0,AND(DAY($A323)=MIN(DAY('Recurring Schedule'!$F$37),DAY(EOMONTH($A323,0))),MOD((YEAR($A323)-YEAR('Recurring Schedule'!$F$37))*12+MONTH($A323)-MONTH('Recurring Schedule'!$F$37),'Recurring Schedule'!$O$37)=0),IF('Recurring Schedule'!$E$37="Weekdays",WEEKDAY($A323,2)&lt;=5,$A323='Recurring Schedule'!$F$37))),32,""))))</f>
        <v/>
      </c>
      <c r="AH323">
        <f>IF('Recurring Schedule'!$C$38="","",IF('Recurring Schedule'!$F$38="","",IF(OR($A323&lt;'Recurring Schedule'!$F$38,$A323&gt;'Recurring Schedule'!$P$38),"",IF(IF('Recurring Schedule'!$N$38&gt;0,MOD($A323-'Recurring Schedule'!$F$38,'Recurring Schedule'!$N$38)=0,IF('Recurring Schedule'!$O$38&gt;0,AND(DAY($A323)=MIN(DAY('Recurring Schedule'!$F$38),DAY(EOMONTH($A323,0))),MOD((YEAR($A323)-YEAR('Recurring Schedule'!$F$38))*12+MONTH($A323)-MONTH('Recurring Schedule'!$F$38),'Recurring Schedule'!$O$38)=0),IF('Recurring Schedule'!$E$38="Weekdays",WEEKDAY($A323,2)&lt;=5,$A323='Recurring Schedule'!$F$38))),33,""))))</f>
        <v/>
      </c>
      <c r="AI323">
        <f>IF('Recurring Schedule'!$C$39="","",IF('Recurring Schedule'!$F$39="","",IF(OR($A323&lt;'Recurring Schedule'!$F$39,$A323&gt;'Recurring Schedule'!$P$39),"",IF(IF('Recurring Schedule'!$N$39&gt;0,MOD($A323-'Recurring Schedule'!$F$39,'Recurring Schedule'!$N$39)=0,IF('Recurring Schedule'!$O$39&gt;0,AND(DAY($A323)=MIN(DAY('Recurring Schedule'!$F$39),DAY(EOMONTH($A323,0))),MOD((YEAR($A323)-YEAR('Recurring Schedule'!$F$39))*12+MONTH($A323)-MONTH('Recurring Schedule'!$F$39),'Recurring Schedule'!$O$39)=0),IF('Recurring Schedule'!$E$39="Weekdays",WEEKDAY($A323,2)&lt;=5,$A323='Recurring Schedule'!$F$39))),34,""))))</f>
        <v/>
      </c>
      <c r="AJ323">
        <f>IF('Recurring Schedule'!$C$40="","",IF('Recurring Schedule'!$F$40="","",IF(OR($A323&lt;'Recurring Schedule'!$F$40,$A323&gt;'Recurring Schedule'!$P$40),"",IF(IF('Recurring Schedule'!$N$40&gt;0,MOD($A323-'Recurring Schedule'!$F$40,'Recurring Schedule'!$N$40)=0,IF('Recurring Schedule'!$O$40&gt;0,AND(DAY($A323)=MIN(DAY('Recurring Schedule'!$F$40),DAY(EOMONTH($A323,0))),MOD((YEAR($A323)-YEAR('Recurring Schedule'!$F$40))*12+MONTH($A323)-MONTH('Recurring Schedule'!$F$40),'Recurring Schedule'!$O$40)=0),IF('Recurring Schedule'!$E$40="Weekdays",WEEKDAY($A323,2)&lt;=5,$A323='Recurring Schedule'!$F$40))),35,""))))</f>
        <v/>
      </c>
      <c r="AK323">
        <f>IF('Recurring Schedule'!$C$41="","",IF('Recurring Schedule'!$F$41="","",IF(OR($A323&lt;'Recurring Schedule'!$F$41,$A323&gt;'Recurring Schedule'!$P$41),"",IF(IF('Recurring Schedule'!$N$41&gt;0,MOD($A323-'Recurring Schedule'!$F$41,'Recurring Schedule'!$N$41)=0,IF('Recurring Schedule'!$O$41&gt;0,AND(DAY($A323)=MIN(DAY('Recurring Schedule'!$F$41),DAY(EOMONTH($A323,0))),MOD((YEAR($A323)-YEAR('Recurring Schedule'!$F$41))*12+MONTH($A323)-MONTH('Recurring Schedule'!$F$41),'Recurring Schedule'!$O$41)=0),IF('Recurring Schedule'!$E$41="Weekdays",WEEKDAY($A323,2)&lt;=5,$A323='Recurring Schedule'!$F$41))),36,""))))</f>
        <v/>
      </c>
      <c r="AL323">
        <f>IF('Recurring Schedule'!$C$42="","",IF('Recurring Schedule'!$F$42="","",IF(OR($A323&lt;'Recurring Schedule'!$F$42,$A323&gt;'Recurring Schedule'!$P$42),"",IF(IF('Recurring Schedule'!$N$42&gt;0,MOD($A323-'Recurring Schedule'!$F$42,'Recurring Schedule'!$N$42)=0,IF('Recurring Schedule'!$O$42&gt;0,AND(DAY($A323)=MIN(DAY('Recurring Schedule'!$F$42),DAY(EOMONTH($A323,0))),MOD((YEAR($A323)-YEAR('Recurring Schedule'!$F$42))*12+MONTH($A323)-MONTH('Recurring Schedule'!$F$42),'Recurring Schedule'!$O$42)=0),IF('Recurring Schedule'!$E$42="Weekdays",WEEKDAY($A323,2)&lt;=5,$A323='Recurring Schedule'!$F$42))),37,""))))</f>
        <v/>
      </c>
      <c r="AM323">
        <f>IF('Recurring Schedule'!$C$43="","",IF('Recurring Schedule'!$F$43="","",IF(OR($A323&lt;'Recurring Schedule'!$F$43,$A323&gt;'Recurring Schedule'!$P$43),"",IF(IF('Recurring Schedule'!$N$43&gt;0,MOD($A323-'Recurring Schedule'!$F$43,'Recurring Schedule'!$N$43)=0,IF('Recurring Schedule'!$O$43&gt;0,AND(DAY($A323)=MIN(DAY('Recurring Schedule'!$F$43),DAY(EOMONTH($A323,0))),MOD((YEAR($A323)-YEAR('Recurring Schedule'!$F$43))*12+MONTH($A323)-MONTH('Recurring Schedule'!$F$43),'Recurring Schedule'!$O$43)=0),IF('Recurring Schedule'!$E$43="Weekdays",WEEKDAY($A323,2)&lt;=5,$A323='Recurring Schedule'!$F$43))),38,""))))</f>
        <v/>
      </c>
      <c r="AN323">
        <f>IF('Recurring Schedule'!$C$44="","",IF('Recurring Schedule'!$F$44="","",IF(OR($A323&lt;'Recurring Schedule'!$F$44,$A323&gt;'Recurring Schedule'!$P$44),"",IF(IF('Recurring Schedule'!$N$44&gt;0,MOD($A323-'Recurring Schedule'!$F$44,'Recurring Schedule'!$N$44)=0,IF('Recurring Schedule'!$O$44&gt;0,AND(DAY($A323)=MIN(DAY('Recurring Schedule'!$F$44),DAY(EOMONTH($A323,0))),MOD((YEAR($A323)-YEAR('Recurring Schedule'!$F$44))*12+MONTH($A323)-MONTH('Recurring Schedule'!$F$44),'Recurring Schedule'!$O$44)=0),IF('Recurring Schedule'!$E$44="Weekdays",WEEKDAY($A323,2)&lt;=5,$A323='Recurring Schedule'!$F$44))),39,""))))</f>
        <v/>
      </c>
      <c r="AO323">
        <f>IF('Recurring Schedule'!$C$45="","",IF('Recurring Schedule'!$F$45="","",IF(OR($A323&lt;'Recurring Schedule'!$F$45,$A323&gt;'Recurring Schedule'!$P$45),"",IF(IF('Recurring Schedule'!$N$45&gt;0,MOD($A323-'Recurring Schedule'!$F$45,'Recurring Schedule'!$N$45)=0,IF('Recurring Schedule'!$O$45&gt;0,AND(DAY($A323)=MIN(DAY('Recurring Schedule'!$F$45),DAY(EOMONTH($A323,0))),MOD((YEAR($A323)-YEAR('Recurring Schedule'!$F$45))*12+MONTH($A323)-MONTH('Recurring Schedule'!$F$45),'Recurring Schedule'!$O$45)=0),IF('Recurring Schedule'!$E$45="Weekdays",WEEKDAY($A323,2)&lt;=5,$A323='Recurring Schedule'!$F$45))),40,""))))</f>
        <v/>
      </c>
      <c r="AP323">
        <f>COUNT(B323:AO323)</f>
        <v/>
      </c>
      <c r="AQ323">
        <f>AQ322+AP322</f>
        <v/>
      </c>
      <c r="AS323" t="inlineStr">
        <is>
          <t>R</t>
        </is>
      </c>
      <c r="AT323" t="n">
        <v>327</v>
      </c>
      <c r="AU323">
        <f>'Recurring Log'!C327&amp;""</f>
        <v/>
      </c>
      <c r="AV323">
        <f>'Recurring Log'!D327&amp;""</f>
        <v/>
      </c>
      <c r="AW323">
        <f>IF('Recurring Log'!E327="","",'Recurring Log'!E327)</f>
        <v/>
      </c>
      <c r="AX323">
        <f>IF('Recurring Log'!G327="","",'Recurring Log'!G327)</f>
        <v/>
      </c>
      <c r="AY323">
        <f>IF('Recurring Log'!H327="","",'Recurring Log'!H327)</f>
        <v/>
      </c>
      <c r="AZ323">
        <f>IF(AU323="","",IF('Recurring Log'!J327="","Not Started",'Recurring Log'!J327))</f>
        <v/>
      </c>
      <c r="BA323">
        <f>'Recurring Log'!L327&amp;""</f>
        <v/>
      </c>
      <c r="BB323">
        <f>'Recurring Log'!M327&amp;""</f>
        <v/>
      </c>
      <c r="BC323">
        <f>'Recurring Log'!N327&amp;""</f>
        <v/>
      </c>
      <c r="BD323">
        <f>'Recurring Log'!O327&amp;""</f>
        <v/>
      </c>
      <c r="BE323">
        <f>IF('Recurring Log'!K327="","",'Recurring Log'!K327)</f>
        <v/>
      </c>
      <c r="BF323">
        <f>IFERROR(MATCH(BA323,Setup!$L$6:$L$9,0),5)</f>
        <v/>
      </c>
      <c r="BG323">
        <f>IF(OR(AZ323="Done",AZ323="Cancelled"),1,0)</f>
        <v/>
      </c>
      <c r="BH323">
        <f>IF(AND(AU323&lt;&gt;"",ISNUMBER(AW323)),1,0)</f>
        <v/>
      </c>
      <c r="BI323">
        <f>IF(BH323=0,0,IF(AND(AW323&gt;='Tasks Filter'!$F$3,AW323&lt;='Tasks Filter'!$F$4,OR('Tasks Filter'!$I$3="",ISNUMBER(SEARCH('Tasks Filter'!$I$3,AU323))),OR('Tasks Filter'!$I$4="",BF323=IFERROR(MATCH('Tasks Filter'!$I$4,Setup!$L$6:$L$9,0),0)),OR('Tasks Filter'!$I$5="Both",AND('Tasks Filter'!$I$5="Yes",BB323="✓"),AND('Tasks Filter'!$I$5="No",BB323&lt;&gt;"✓")),OR('Tasks Filter'!$L$3="",AV323='Tasks Filter'!$L$3),OR('Tasks Filter'!$L$4="",AZ323='Tasks Filter'!$L$4),OR('Tasks Filter'!$L$5="",BC323='Tasks Filter'!$L$5),OR('Tasks Filter'!$O$3="",BD323='Tasks Filter'!$O$3),OR('Tasks Filter'!$O$4="Yes",BG323=0)),1,0))</f>
        <v/>
      </c>
      <c r="BJ323">
        <f>IF(BH323=0,"",IF('Tasks Filter'!$F$6="Descending",-1,1)*CHOOSE(MATCH('Tasks Filter'!$F$5,Lists!$G$2:$G$6,0),AW323,BF323,IFERROR(MATCH(AV323,Setup!$F$6:$F$15,0),99),IFERROR(MATCH(BC323,Setup!$H$6:$H$15,0),99),IFERROR(MATCH(AZ323,Setup!$J$6:$J$11,0),99))*1E+9+(AW323-40000)*10000+322)</f>
        <v/>
      </c>
      <c r="BK323">
        <f>IF(BI323=1,BJ323,"")</f>
        <v/>
      </c>
      <c r="BL323">
        <f>IF(AND(BH323=1,BG323=0,N(AW323)&lt;Setup!$D$7),(AW323-40000)*10000+322,"")</f>
        <v/>
      </c>
      <c r="BM323">
        <f>IF(AND(BH323=1,AZ323&lt;&gt;"Cancelled",N(AW323)&gt;=Dashboard!$AB$3,N(AW323)&lt;=Dashboard!$AB$3+6),(AW323-40000)*100000+BF323*10000+322,"")</f>
        <v/>
      </c>
      <c r="BN323">
        <f>IF(AND(BH323=1,AZ323&lt;&gt;"Cancelled"),BF323*10000+322,"")</f>
        <v/>
      </c>
    </row>
    <row r="324">
      <c r="A324">
        <f>Setup!$D$5+322</f>
        <v/>
      </c>
      <c r="B324">
        <f>IF('Recurring Schedule'!$C$6="","",IF('Recurring Schedule'!$F$6="","",IF(OR($A324&lt;'Recurring Schedule'!$F$6,$A324&gt;'Recurring Schedule'!$P$6),"",IF(IF('Recurring Schedule'!$N$6&gt;0,MOD($A324-'Recurring Schedule'!$F$6,'Recurring Schedule'!$N$6)=0,IF('Recurring Schedule'!$O$6&gt;0,AND(DAY($A324)=MIN(DAY('Recurring Schedule'!$F$6),DAY(EOMONTH($A324,0))),MOD((YEAR($A324)-YEAR('Recurring Schedule'!$F$6))*12+MONTH($A324)-MONTH('Recurring Schedule'!$F$6),'Recurring Schedule'!$O$6)=0),IF('Recurring Schedule'!$E$6="Weekdays",WEEKDAY($A324,2)&lt;=5,$A324='Recurring Schedule'!$F$6))),1,""))))</f>
        <v/>
      </c>
      <c r="C324">
        <f>IF('Recurring Schedule'!$C$7="","",IF('Recurring Schedule'!$F$7="","",IF(OR($A324&lt;'Recurring Schedule'!$F$7,$A324&gt;'Recurring Schedule'!$P$7),"",IF(IF('Recurring Schedule'!$N$7&gt;0,MOD($A324-'Recurring Schedule'!$F$7,'Recurring Schedule'!$N$7)=0,IF('Recurring Schedule'!$O$7&gt;0,AND(DAY($A324)=MIN(DAY('Recurring Schedule'!$F$7),DAY(EOMONTH($A324,0))),MOD((YEAR($A324)-YEAR('Recurring Schedule'!$F$7))*12+MONTH($A324)-MONTH('Recurring Schedule'!$F$7),'Recurring Schedule'!$O$7)=0),IF('Recurring Schedule'!$E$7="Weekdays",WEEKDAY($A324,2)&lt;=5,$A324='Recurring Schedule'!$F$7))),2,""))))</f>
        <v/>
      </c>
      <c r="D324">
        <f>IF('Recurring Schedule'!$C$8="","",IF('Recurring Schedule'!$F$8="","",IF(OR($A324&lt;'Recurring Schedule'!$F$8,$A324&gt;'Recurring Schedule'!$P$8),"",IF(IF('Recurring Schedule'!$N$8&gt;0,MOD($A324-'Recurring Schedule'!$F$8,'Recurring Schedule'!$N$8)=0,IF('Recurring Schedule'!$O$8&gt;0,AND(DAY($A324)=MIN(DAY('Recurring Schedule'!$F$8),DAY(EOMONTH($A324,0))),MOD((YEAR($A324)-YEAR('Recurring Schedule'!$F$8))*12+MONTH($A324)-MONTH('Recurring Schedule'!$F$8),'Recurring Schedule'!$O$8)=0),IF('Recurring Schedule'!$E$8="Weekdays",WEEKDAY($A324,2)&lt;=5,$A324='Recurring Schedule'!$F$8))),3,""))))</f>
        <v/>
      </c>
      <c r="E324">
        <f>IF('Recurring Schedule'!$C$9="","",IF('Recurring Schedule'!$F$9="","",IF(OR($A324&lt;'Recurring Schedule'!$F$9,$A324&gt;'Recurring Schedule'!$P$9),"",IF(IF('Recurring Schedule'!$N$9&gt;0,MOD($A324-'Recurring Schedule'!$F$9,'Recurring Schedule'!$N$9)=0,IF('Recurring Schedule'!$O$9&gt;0,AND(DAY($A324)=MIN(DAY('Recurring Schedule'!$F$9),DAY(EOMONTH($A324,0))),MOD((YEAR($A324)-YEAR('Recurring Schedule'!$F$9))*12+MONTH($A324)-MONTH('Recurring Schedule'!$F$9),'Recurring Schedule'!$O$9)=0),IF('Recurring Schedule'!$E$9="Weekdays",WEEKDAY($A324,2)&lt;=5,$A324='Recurring Schedule'!$F$9))),4,""))))</f>
        <v/>
      </c>
      <c r="F324">
        <f>IF('Recurring Schedule'!$C$10="","",IF('Recurring Schedule'!$F$10="","",IF(OR($A324&lt;'Recurring Schedule'!$F$10,$A324&gt;'Recurring Schedule'!$P$10),"",IF(IF('Recurring Schedule'!$N$10&gt;0,MOD($A324-'Recurring Schedule'!$F$10,'Recurring Schedule'!$N$10)=0,IF('Recurring Schedule'!$O$10&gt;0,AND(DAY($A324)=MIN(DAY('Recurring Schedule'!$F$10),DAY(EOMONTH($A324,0))),MOD((YEAR($A324)-YEAR('Recurring Schedule'!$F$10))*12+MONTH($A324)-MONTH('Recurring Schedule'!$F$10),'Recurring Schedule'!$O$10)=0),IF('Recurring Schedule'!$E$10="Weekdays",WEEKDAY($A324,2)&lt;=5,$A324='Recurring Schedule'!$F$10))),5,""))))</f>
        <v/>
      </c>
      <c r="G324">
        <f>IF('Recurring Schedule'!$C$11="","",IF('Recurring Schedule'!$F$11="","",IF(OR($A324&lt;'Recurring Schedule'!$F$11,$A324&gt;'Recurring Schedule'!$P$11),"",IF(IF('Recurring Schedule'!$N$11&gt;0,MOD($A324-'Recurring Schedule'!$F$11,'Recurring Schedule'!$N$11)=0,IF('Recurring Schedule'!$O$11&gt;0,AND(DAY($A324)=MIN(DAY('Recurring Schedule'!$F$11),DAY(EOMONTH($A324,0))),MOD((YEAR($A324)-YEAR('Recurring Schedule'!$F$11))*12+MONTH($A324)-MONTH('Recurring Schedule'!$F$11),'Recurring Schedule'!$O$11)=0),IF('Recurring Schedule'!$E$11="Weekdays",WEEKDAY($A324,2)&lt;=5,$A324='Recurring Schedule'!$F$11))),6,""))))</f>
        <v/>
      </c>
      <c r="H324">
        <f>IF('Recurring Schedule'!$C$12="","",IF('Recurring Schedule'!$F$12="","",IF(OR($A324&lt;'Recurring Schedule'!$F$12,$A324&gt;'Recurring Schedule'!$P$12),"",IF(IF('Recurring Schedule'!$N$12&gt;0,MOD($A324-'Recurring Schedule'!$F$12,'Recurring Schedule'!$N$12)=0,IF('Recurring Schedule'!$O$12&gt;0,AND(DAY($A324)=MIN(DAY('Recurring Schedule'!$F$12),DAY(EOMONTH($A324,0))),MOD((YEAR($A324)-YEAR('Recurring Schedule'!$F$12))*12+MONTH($A324)-MONTH('Recurring Schedule'!$F$12),'Recurring Schedule'!$O$12)=0),IF('Recurring Schedule'!$E$12="Weekdays",WEEKDAY($A324,2)&lt;=5,$A324='Recurring Schedule'!$F$12))),7,""))))</f>
        <v/>
      </c>
      <c r="I324">
        <f>IF('Recurring Schedule'!$C$13="","",IF('Recurring Schedule'!$F$13="","",IF(OR($A324&lt;'Recurring Schedule'!$F$13,$A324&gt;'Recurring Schedule'!$P$13),"",IF(IF('Recurring Schedule'!$N$13&gt;0,MOD($A324-'Recurring Schedule'!$F$13,'Recurring Schedule'!$N$13)=0,IF('Recurring Schedule'!$O$13&gt;0,AND(DAY($A324)=MIN(DAY('Recurring Schedule'!$F$13),DAY(EOMONTH($A324,0))),MOD((YEAR($A324)-YEAR('Recurring Schedule'!$F$13))*12+MONTH($A324)-MONTH('Recurring Schedule'!$F$13),'Recurring Schedule'!$O$13)=0),IF('Recurring Schedule'!$E$13="Weekdays",WEEKDAY($A324,2)&lt;=5,$A324='Recurring Schedule'!$F$13))),8,""))))</f>
        <v/>
      </c>
      <c r="J324">
        <f>IF('Recurring Schedule'!$C$14="","",IF('Recurring Schedule'!$F$14="","",IF(OR($A324&lt;'Recurring Schedule'!$F$14,$A324&gt;'Recurring Schedule'!$P$14),"",IF(IF('Recurring Schedule'!$N$14&gt;0,MOD($A324-'Recurring Schedule'!$F$14,'Recurring Schedule'!$N$14)=0,IF('Recurring Schedule'!$O$14&gt;0,AND(DAY($A324)=MIN(DAY('Recurring Schedule'!$F$14),DAY(EOMONTH($A324,0))),MOD((YEAR($A324)-YEAR('Recurring Schedule'!$F$14))*12+MONTH($A324)-MONTH('Recurring Schedule'!$F$14),'Recurring Schedule'!$O$14)=0),IF('Recurring Schedule'!$E$14="Weekdays",WEEKDAY($A324,2)&lt;=5,$A324='Recurring Schedule'!$F$14))),9,""))))</f>
        <v/>
      </c>
      <c r="K324">
        <f>IF('Recurring Schedule'!$C$15="","",IF('Recurring Schedule'!$F$15="","",IF(OR($A324&lt;'Recurring Schedule'!$F$15,$A324&gt;'Recurring Schedule'!$P$15),"",IF(IF('Recurring Schedule'!$N$15&gt;0,MOD($A324-'Recurring Schedule'!$F$15,'Recurring Schedule'!$N$15)=0,IF('Recurring Schedule'!$O$15&gt;0,AND(DAY($A324)=MIN(DAY('Recurring Schedule'!$F$15),DAY(EOMONTH($A324,0))),MOD((YEAR($A324)-YEAR('Recurring Schedule'!$F$15))*12+MONTH($A324)-MONTH('Recurring Schedule'!$F$15),'Recurring Schedule'!$O$15)=0),IF('Recurring Schedule'!$E$15="Weekdays",WEEKDAY($A324,2)&lt;=5,$A324='Recurring Schedule'!$F$15))),10,""))))</f>
        <v/>
      </c>
      <c r="L324">
        <f>IF('Recurring Schedule'!$C$16="","",IF('Recurring Schedule'!$F$16="","",IF(OR($A324&lt;'Recurring Schedule'!$F$16,$A324&gt;'Recurring Schedule'!$P$16),"",IF(IF('Recurring Schedule'!$N$16&gt;0,MOD($A324-'Recurring Schedule'!$F$16,'Recurring Schedule'!$N$16)=0,IF('Recurring Schedule'!$O$16&gt;0,AND(DAY($A324)=MIN(DAY('Recurring Schedule'!$F$16),DAY(EOMONTH($A324,0))),MOD((YEAR($A324)-YEAR('Recurring Schedule'!$F$16))*12+MONTH($A324)-MONTH('Recurring Schedule'!$F$16),'Recurring Schedule'!$O$16)=0),IF('Recurring Schedule'!$E$16="Weekdays",WEEKDAY($A324,2)&lt;=5,$A324='Recurring Schedule'!$F$16))),11,""))))</f>
        <v/>
      </c>
      <c r="M324">
        <f>IF('Recurring Schedule'!$C$17="","",IF('Recurring Schedule'!$F$17="","",IF(OR($A324&lt;'Recurring Schedule'!$F$17,$A324&gt;'Recurring Schedule'!$P$17),"",IF(IF('Recurring Schedule'!$N$17&gt;0,MOD($A324-'Recurring Schedule'!$F$17,'Recurring Schedule'!$N$17)=0,IF('Recurring Schedule'!$O$17&gt;0,AND(DAY($A324)=MIN(DAY('Recurring Schedule'!$F$17),DAY(EOMONTH($A324,0))),MOD((YEAR($A324)-YEAR('Recurring Schedule'!$F$17))*12+MONTH($A324)-MONTH('Recurring Schedule'!$F$17),'Recurring Schedule'!$O$17)=0),IF('Recurring Schedule'!$E$17="Weekdays",WEEKDAY($A324,2)&lt;=5,$A324='Recurring Schedule'!$F$17))),12,""))))</f>
        <v/>
      </c>
      <c r="N324">
        <f>IF('Recurring Schedule'!$C$18="","",IF('Recurring Schedule'!$F$18="","",IF(OR($A324&lt;'Recurring Schedule'!$F$18,$A324&gt;'Recurring Schedule'!$P$18),"",IF(IF('Recurring Schedule'!$N$18&gt;0,MOD($A324-'Recurring Schedule'!$F$18,'Recurring Schedule'!$N$18)=0,IF('Recurring Schedule'!$O$18&gt;0,AND(DAY($A324)=MIN(DAY('Recurring Schedule'!$F$18),DAY(EOMONTH($A324,0))),MOD((YEAR($A324)-YEAR('Recurring Schedule'!$F$18))*12+MONTH($A324)-MONTH('Recurring Schedule'!$F$18),'Recurring Schedule'!$O$18)=0),IF('Recurring Schedule'!$E$18="Weekdays",WEEKDAY($A324,2)&lt;=5,$A324='Recurring Schedule'!$F$18))),13,""))))</f>
        <v/>
      </c>
      <c r="O324">
        <f>IF('Recurring Schedule'!$C$19="","",IF('Recurring Schedule'!$F$19="","",IF(OR($A324&lt;'Recurring Schedule'!$F$19,$A324&gt;'Recurring Schedule'!$P$19),"",IF(IF('Recurring Schedule'!$N$19&gt;0,MOD($A324-'Recurring Schedule'!$F$19,'Recurring Schedule'!$N$19)=0,IF('Recurring Schedule'!$O$19&gt;0,AND(DAY($A324)=MIN(DAY('Recurring Schedule'!$F$19),DAY(EOMONTH($A324,0))),MOD((YEAR($A324)-YEAR('Recurring Schedule'!$F$19))*12+MONTH($A324)-MONTH('Recurring Schedule'!$F$19),'Recurring Schedule'!$O$19)=0),IF('Recurring Schedule'!$E$19="Weekdays",WEEKDAY($A324,2)&lt;=5,$A324='Recurring Schedule'!$F$19))),14,""))))</f>
        <v/>
      </c>
      <c r="P324">
        <f>IF('Recurring Schedule'!$C$20="","",IF('Recurring Schedule'!$F$20="","",IF(OR($A324&lt;'Recurring Schedule'!$F$20,$A324&gt;'Recurring Schedule'!$P$20),"",IF(IF('Recurring Schedule'!$N$20&gt;0,MOD($A324-'Recurring Schedule'!$F$20,'Recurring Schedule'!$N$20)=0,IF('Recurring Schedule'!$O$20&gt;0,AND(DAY($A324)=MIN(DAY('Recurring Schedule'!$F$20),DAY(EOMONTH($A324,0))),MOD((YEAR($A324)-YEAR('Recurring Schedule'!$F$20))*12+MONTH($A324)-MONTH('Recurring Schedule'!$F$20),'Recurring Schedule'!$O$20)=0),IF('Recurring Schedule'!$E$20="Weekdays",WEEKDAY($A324,2)&lt;=5,$A324='Recurring Schedule'!$F$20))),15,""))))</f>
        <v/>
      </c>
      <c r="Q324">
        <f>IF('Recurring Schedule'!$C$21="","",IF('Recurring Schedule'!$F$21="","",IF(OR($A324&lt;'Recurring Schedule'!$F$21,$A324&gt;'Recurring Schedule'!$P$21),"",IF(IF('Recurring Schedule'!$N$21&gt;0,MOD($A324-'Recurring Schedule'!$F$21,'Recurring Schedule'!$N$21)=0,IF('Recurring Schedule'!$O$21&gt;0,AND(DAY($A324)=MIN(DAY('Recurring Schedule'!$F$21),DAY(EOMONTH($A324,0))),MOD((YEAR($A324)-YEAR('Recurring Schedule'!$F$21))*12+MONTH($A324)-MONTH('Recurring Schedule'!$F$21),'Recurring Schedule'!$O$21)=0),IF('Recurring Schedule'!$E$21="Weekdays",WEEKDAY($A324,2)&lt;=5,$A324='Recurring Schedule'!$F$21))),16,""))))</f>
        <v/>
      </c>
      <c r="R324">
        <f>IF('Recurring Schedule'!$C$22="","",IF('Recurring Schedule'!$F$22="","",IF(OR($A324&lt;'Recurring Schedule'!$F$22,$A324&gt;'Recurring Schedule'!$P$22),"",IF(IF('Recurring Schedule'!$N$22&gt;0,MOD($A324-'Recurring Schedule'!$F$22,'Recurring Schedule'!$N$22)=0,IF('Recurring Schedule'!$O$22&gt;0,AND(DAY($A324)=MIN(DAY('Recurring Schedule'!$F$22),DAY(EOMONTH($A324,0))),MOD((YEAR($A324)-YEAR('Recurring Schedule'!$F$22))*12+MONTH($A324)-MONTH('Recurring Schedule'!$F$22),'Recurring Schedule'!$O$22)=0),IF('Recurring Schedule'!$E$22="Weekdays",WEEKDAY($A324,2)&lt;=5,$A324='Recurring Schedule'!$F$22))),17,""))))</f>
        <v/>
      </c>
      <c r="S324">
        <f>IF('Recurring Schedule'!$C$23="","",IF('Recurring Schedule'!$F$23="","",IF(OR($A324&lt;'Recurring Schedule'!$F$23,$A324&gt;'Recurring Schedule'!$P$23),"",IF(IF('Recurring Schedule'!$N$23&gt;0,MOD($A324-'Recurring Schedule'!$F$23,'Recurring Schedule'!$N$23)=0,IF('Recurring Schedule'!$O$23&gt;0,AND(DAY($A324)=MIN(DAY('Recurring Schedule'!$F$23),DAY(EOMONTH($A324,0))),MOD((YEAR($A324)-YEAR('Recurring Schedule'!$F$23))*12+MONTH($A324)-MONTH('Recurring Schedule'!$F$23),'Recurring Schedule'!$O$23)=0),IF('Recurring Schedule'!$E$23="Weekdays",WEEKDAY($A324,2)&lt;=5,$A324='Recurring Schedule'!$F$23))),18,""))))</f>
        <v/>
      </c>
      <c r="T324">
        <f>IF('Recurring Schedule'!$C$24="","",IF('Recurring Schedule'!$F$24="","",IF(OR($A324&lt;'Recurring Schedule'!$F$24,$A324&gt;'Recurring Schedule'!$P$24),"",IF(IF('Recurring Schedule'!$N$24&gt;0,MOD($A324-'Recurring Schedule'!$F$24,'Recurring Schedule'!$N$24)=0,IF('Recurring Schedule'!$O$24&gt;0,AND(DAY($A324)=MIN(DAY('Recurring Schedule'!$F$24),DAY(EOMONTH($A324,0))),MOD((YEAR($A324)-YEAR('Recurring Schedule'!$F$24))*12+MONTH($A324)-MONTH('Recurring Schedule'!$F$24),'Recurring Schedule'!$O$24)=0),IF('Recurring Schedule'!$E$24="Weekdays",WEEKDAY($A324,2)&lt;=5,$A324='Recurring Schedule'!$F$24))),19,""))))</f>
        <v/>
      </c>
      <c r="U324">
        <f>IF('Recurring Schedule'!$C$25="","",IF('Recurring Schedule'!$F$25="","",IF(OR($A324&lt;'Recurring Schedule'!$F$25,$A324&gt;'Recurring Schedule'!$P$25),"",IF(IF('Recurring Schedule'!$N$25&gt;0,MOD($A324-'Recurring Schedule'!$F$25,'Recurring Schedule'!$N$25)=0,IF('Recurring Schedule'!$O$25&gt;0,AND(DAY($A324)=MIN(DAY('Recurring Schedule'!$F$25),DAY(EOMONTH($A324,0))),MOD((YEAR($A324)-YEAR('Recurring Schedule'!$F$25))*12+MONTH($A324)-MONTH('Recurring Schedule'!$F$25),'Recurring Schedule'!$O$25)=0),IF('Recurring Schedule'!$E$25="Weekdays",WEEKDAY($A324,2)&lt;=5,$A324='Recurring Schedule'!$F$25))),20,""))))</f>
        <v/>
      </c>
      <c r="V324">
        <f>IF('Recurring Schedule'!$C$26="","",IF('Recurring Schedule'!$F$26="","",IF(OR($A324&lt;'Recurring Schedule'!$F$26,$A324&gt;'Recurring Schedule'!$P$26),"",IF(IF('Recurring Schedule'!$N$26&gt;0,MOD($A324-'Recurring Schedule'!$F$26,'Recurring Schedule'!$N$26)=0,IF('Recurring Schedule'!$O$26&gt;0,AND(DAY($A324)=MIN(DAY('Recurring Schedule'!$F$26),DAY(EOMONTH($A324,0))),MOD((YEAR($A324)-YEAR('Recurring Schedule'!$F$26))*12+MONTH($A324)-MONTH('Recurring Schedule'!$F$26),'Recurring Schedule'!$O$26)=0),IF('Recurring Schedule'!$E$26="Weekdays",WEEKDAY($A324,2)&lt;=5,$A324='Recurring Schedule'!$F$26))),21,""))))</f>
        <v/>
      </c>
      <c r="W324">
        <f>IF('Recurring Schedule'!$C$27="","",IF('Recurring Schedule'!$F$27="","",IF(OR($A324&lt;'Recurring Schedule'!$F$27,$A324&gt;'Recurring Schedule'!$P$27),"",IF(IF('Recurring Schedule'!$N$27&gt;0,MOD($A324-'Recurring Schedule'!$F$27,'Recurring Schedule'!$N$27)=0,IF('Recurring Schedule'!$O$27&gt;0,AND(DAY($A324)=MIN(DAY('Recurring Schedule'!$F$27),DAY(EOMONTH($A324,0))),MOD((YEAR($A324)-YEAR('Recurring Schedule'!$F$27))*12+MONTH($A324)-MONTH('Recurring Schedule'!$F$27),'Recurring Schedule'!$O$27)=0),IF('Recurring Schedule'!$E$27="Weekdays",WEEKDAY($A324,2)&lt;=5,$A324='Recurring Schedule'!$F$27))),22,""))))</f>
        <v/>
      </c>
      <c r="X324">
        <f>IF('Recurring Schedule'!$C$28="","",IF('Recurring Schedule'!$F$28="","",IF(OR($A324&lt;'Recurring Schedule'!$F$28,$A324&gt;'Recurring Schedule'!$P$28),"",IF(IF('Recurring Schedule'!$N$28&gt;0,MOD($A324-'Recurring Schedule'!$F$28,'Recurring Schedule'!$N$28)=0,IF('Recurring Schedule'!$O$28&gt;0,AND(DAY($A324)=MIN(DAY('Recurring Schedule'!$F$28),DAY(EOMONTH($A324,0))),MOD((YEAR($A324)-YEAR('Recurring Schedule'!$F$28))*12+MONTH($A324)-MONTH('Recurring Schedule'!$F$28),'Recurring Schedule'!$O$28)=0),IF('Recurring Schedule'!$E$28="Weekdays",WEEKDAY($A324,2)&lt;=5,$A324='Recurring Schedule'!$F$28))),23,""))))</f>
        <v/>
      </c>
      <c r="Y324">
        <f>IF('Recurring Schedule'!$C$29="","",IF('Recurring Schedule'!$F$29="","",IF(OR($A324&lt;'Recurring Schedule'!$F$29,$A324&gt;'Recurring Schedule'!$P$29),"",IF(IF('Recurring Schedule'!$N$29&gt;0,MOD($A324-'Recurring Schedule'!$F$29,'Recurring Schedule'!$N$29)=0,IF('Recurring Schedule'!$O$29&gt;0,AND(DAY($A324)=MIN(DAY('Recurring Schedule'!$F$29),DAY(EOMONTH($A324,0))),MOD((YEAR($A324)-YEAR('Recurring Schedule'!$F$29))*12+MONTH($A324)-MONTH('Recurring Schedule'!$F$29),'Recurring Schedule'!$O$29)=0),IF('Recurring Schedule'!$E$29="Weekdays",WEEKDAY($A324,2)&lt;=5,$A324='Recurring Schedule'!$F$29))),24,""))))</f>
        <v/>
      </c>
      <c r="Z324">
        <f>IF('Recurring Schedule'!$C$30="","",IF('Recurring Schedule'!$F$30="","",IF(OR($A324&lt;'Recurring Schedule'!$F$30,$A324&gt;'Recurring Schedule'!$P$30),"",IF(IF('Recurring Schedule'!$N$30&gt;0,MOD($A324-'Recurring Schedule'!$F$30,'Recurring Schedule'!$N$30)=0,IF('Recurring Schedule'!$O$30&gt;0,AND(DAY($A324)=MIN(DAY('Recurring Schedule'!$F$30),DAY(EOMONTH($A324,0))),MOD((YEAR($A324)-YEAR('Recurring Schedule'!$F$30))*12+MONTH($A324)-MONTH('Recurring Schedule'!$F$30),'Recurring Schedule'!$O$30)=0),IF('Recurring Schedule'!$E$30="Weekdays",WEEKDAY($A324,2)&lt;=5,$A324='Recurring Schedule'!$F$30))),25,""))))</f>
        <v/>
      </c>
      <c r="AA324">
        <f>IF('Recurring Schedule'!$C$31="","",IF('Recurring Schedule'!$F$31="","",IF(OR($A324&lt;'Recurring Schedule'!$F$31,$A324&gt;'Recurring Schedule'!$P$31),"",IF(IF('Recurring Schedule'!$N$31&gt;0,MOD($A324-'Recurring Schedule'!$F$31,'Recurring Schedule'!$N$31)=0,IF('Recurring Schedule'!$O$31&gt;0,AND(DAY($A324)=MIN(DAY('Recurring Schedule'!$F$31),DAY(EOMONTH($A324,0))),MOD((YEAR($A324)-YEAR('Recurring Schedule'!$F$31))*12+MONTH($A324)-MONTH('Recurring Schedule'!$F$31),'Recurring Schedule'!$O$31)=0),IF('Recurring Schedule'!$E$31="Weekdays",WEEKDAY($A324,2)&lt;=5,$A324='Recurring Schedule'!$F$31))),26,""))))</f>
        <v/>
      </c>
      <c r="AB324">
        <f>IF('Recurring Schedule'!$C$32="","",IF('Recurring Schedule'!$F$32="","",IF(OR($A324&lt;'Recurring Schedule'!$F$32,$A324&gt;'Recurring Schedule'!$P$32),"",IF(IF('Recurring Schedule'!$N$32&gt;0,MOD($A324-'Recurring Schedule'!$F$32,'Recurring Schedule'!$N$32)=0,IF('Recurring Schedule'!$O$32&gt;0,AND(DAY($A324)=MIN(DAY('Recurring Schedule'!$F$32),DAY(EOMONTH($A324,0))),MOD((YEAR($A324)-YEAR('Recurring Schedule'!$F$32))*12+MONTH($A324)-MONTH('Recurring Schedule'!$F$32),'Recurring Schedule'!$O$32)=0),IF('Recurring Schedule'!$E$32="Weekdays",WEEKDAY($A324,2)&lt;=5,$A324='Recurring Schedule'!$F$32))),27,""))))</f>
        <v/>
      </c>
      <c r="AC324">
        <f>IF('Recurring Schedule'!$C$33="","",IF('Recurring Schedule'!$F$33="","",IF(OR($A324&lt;'Recurring Schedule'!$F$33,$A324&gt;'Recurring Schedule'!$P$33),"",IF(IF('Recurring Schedule'!$N$33&gt;0,MOD($A324-'Recurring Schedule'!$F$33,'Recurring Schedule'!$N$33)=0,IF('Recurring Schedule'!$O$33&gt;0,AND(DAY($A324)=MIN(DAY('Recurring Schedule'!$F$33),DAY(EOMONTH($A324,0))),MOD((YEAR($A324)-YEAR('Recurring Schedule'!$F$33))*12+MONTH($A324)-MONTH('Recurring Schedule'!$F$33),'Recurring Schedule'!$O$33)=0),IF('Recurring Schedule'!$E$33="Weekdays",WEEKDAY($A324,2)&lt;=5,$A324='Recurring Schedule'!$F$33))),28,""))))</f>
        <v/>
      </c>
      <c r="AD324">
        <f>IF('Recurring Schedule'!$C$34="","",IF('Recurring Schedule'!$F$34="","",IF(OR($A324&lt;'Recurring Schedule'!$F$34,$A324&gt;'Recurring Schedule'!$P$34),"",IF(IF('Recurring Schedule'!$N$34&gt;0,MOD($A324-'Recurring Schedule'!$F$34,'Recurring Schedule'!$N$34)=0,IF('Recurring Schedule'!$O$34&gt;0,AND(DAY($A324)=MIN(DAY('Recurring Schedule'!$F$34),DAY(EOMONTH($A324,0))),MOD((YEAR($A324)-YEAR('Recurring Schedule'!$F$34))*12+MONTH($A324)-MONTH('Recurring Schedule'!$F$34),'Recurring Schedule'!$O$34)=0),IF('Recurring Schedule'!$E$34="Weekdays",WEEKDAY($A324,2)&lt;=5,$A324='Recurring Schedule'!$F$34))),29,""))))</f>
        <v/>
      </c>
      <c r="AE324">
        <f>IF('Recurring Schedule'!$C$35="","",IF('Recurring Schedule'!$F$35="","",IF(OR($A324&lt;'Recurring Schedule'!$F$35,$A324&gt;'Recurring Schedule'!$P$35),"",IF(IF('Recurring Schedule'!$N$35&gt;0,MOD($A324-'Recurring Schedule'!$F$35,'Recurring Schedule'!$N$35)=0,IF('Recurring Schedule'!$O$35&gt;0,AND(DAY($A324)=MIN(DAY('Recurring Schedule'!$F$35),DAY(EOMONTH($A324,0))),MOD((YEAR($A324)-YEAR('Recurring Schedule'!$F$35))*12+MONTH($A324)-MONTH('Recurring Schedule'!$F$35),'Recurring Schedule'!$O$35)=0),IF('Recurring Schedule'!$E$35="Weekdays",WEEKDAY($A324,2)&lt;=5,$A324='Recurring Schedule'!$F$35))),30,""))))</f>
        <v/>
      </c>
      <c r="AF324">
        <f>IF('Recurring Schedule'!$C$36="","",IF('Recurring Schedule'!$F$36="","",IF(OR($A324&lt;'Recurring Schedule'!$F$36,$A324&gt;'Recurring Schedule'!$P$36),"",IF(IF('Recurring Schedule'!$N$36&gt;0,MOD($A324-'Recurring Schedule'!$F$36,'Recurring Schedule'!$N$36)=0,IF('Recurring Schedule'!$O$36&gt;0,AND(DAY($A324)=MIN(DAY('Recurring Schedule'!$F$36),DAY(EOMONTH($A324,0))),MOD((YEAR($A324)-YEAR('Recurring Schedule'!$F$36))*12+MONTH($A324)-MONTH('Recurring Schedule'!$F$36),'Recurring Schedule'!$O$36)=0),IF('Recurring Schedule'!$E$36="Weekdays",WEEKDAY($A324,2)&lt;=5,$A324='Recurring Schedule'!$F$36))),31,""))))</f>
        <v/>
      </c>
      <c r="AG324">
        <f>IF('Recurring Schedule'!$C$37="","",IF('Recurring Schedule'!$F$37="","",IF(OR($A324&lt;'Recurring Schedule'!$F$37,$A324&gt;'Recurring Schedule'!$P$37),"",IF(IF('Recurring Schedule'!$N$37&gt;0,MOD($A324-'Recurring Schedule'!$F$37,'Recurring Schedule'!$N$37)=0,IF('Recurring Schedule'!$O$37&gt;0,AND(DAY($A324)=MIN(DAY('Recurring Schedule'!$F$37),DAY(EOMONTH($A324,0))),MOD((YEAR($A324)-YEAR('Recurring Schedule'!$F$37))*12+MONTH($A324)-MONTH('Recurring Schedule'!$F$37),'Recurring Schedule'!$O$37)=0),IF('Recurring Schedule'!$E$37="Weekdays",WEEKDAY($A324,2)&lt;=5,$A324='Recurring Schedule'!$F$37))),32,""))))</f>
        <v/>
      </c>
      <c r="AH324">
        <f>IF('Recurring Schedule'!$C$38="","",IF('Recurring Schedule'!$F$38="","",IF(OR($A324&lt;'Recurring Schedule'!$F$38,$A324&gt;'Recurring Schedule'!$P$38),"",IF(IF('Recurring Schedule'!$N$38&gt;0,MOD($A324-'Recurring Schedule'!$F$38,'Recurring Schedule'!$N$38)=0,IF('Recurring Schedule'!$O$38&gt;0,AND(DAY($A324)=MIN(DAY('Recurring Schedule'!$F$38),DAY(EOMONTH($A324,0))),MOD((YEAR($A324)-YEAR('Recurring Schedule'!$F$38))*12+MONTH($A324)-MONTH('Recurring Schedule'!$F$38),'Recurring Schedule'!$O$38)=0),IF('Recurring Schedule'!$E$38="Weekdays",WEEKDAY($A324,2)&lt;=5,$A324='Recurring Schedule'!$F$38))),33,""))))</f>
        <v/>
      </c>
      <c r="AI324">
        <f>IF('Recurring Schedule'!$C$39="","",IF('Recurring Schedule'!$F$39="","",IF(OR($A324&lt;'Recurring Schedule'!$F$39,$A324&gt;'Recurring Schedule'!$P$39),"",IF(IF('Recurring Schedule'!$N$39&gt;0,MOD($A324-'Recurring Schedule'!$F$39,'Recurring Schedule'!$N$39)=0,IF('Recurring Schedule'!$O$39&gt;0,AND(DAY($A324)=MIN(DAY('Recurring Schedule'!$F$39),DAY(EOMONTH($A324,0))),MOD((YEAR($A324)-YEAR('Recurring Schedule'!$F$39))*12+MONTH($A324)-MONTH('Recurring Schedule'!$F$39),'Recurring Schedule'!$O$39)=0),IF('Recurring Schedule'!$E$39="Weekdays",WEEKDAY($A324,2)&lt;=5,$A324='Recurring Schedule'!$F$39))),34,""))))</f>
        <v/>
      </c>
      <c r="AJ324">
        <f>IF('Recurring Schedule'!$C$40="","",IF('Recurring Schedule'!$F$40="","",IF(OR($A324&lt;'Recurring Schedule'!$F$40,$A324&gt;'Recurring Schedule'!$P$40),"",IF(IF('Recurring Schedule'!$N$40&gt;0,MOD($A324-'Recurring Schedule'!$F$40,'Recurring Schedule'!$N$40)=0,IF('Recurring Schedule'!$O$40&gt;0,AND(DAY($A324)=MIN(DAY('Recurring Schedule'!$F$40),DAY(EOMONTH($A324,0))),MOD((YEAR($A324)-YEAR('Recurring Schedule'!$F$40))*12+MONTH($A324)-MONTH('Recurring Schedule'!$F$40),'Recurring Schedule'!$O$40)=0),IF('Recurring Schedule'!$E$40="Weekdays",WEEKDAY($A324,2)&lt;=5,$A324='Recurring Schedule'!$F$40))),35,""))))</f>
        <v/>
      </c>
      <c r="AK324">
        <f>IF('Recurring Schedule'!$C$41="","",IF('Recurring Schedule'!$F$41="","",IF(OR($A324&lt;'Recurring Schedule'!$F$41,$A324&gt;'Recurring Schedule'!$P$41),"",IF(IF('Recurring Schedule'!$N$41&gt;0,MOD($A324-'Recurring Schedule'!$F$41,'Recurring Schedule'!$N$41)=0,IF('Recurring Schedule'!$O$41&gt;0,AND(DAY($A324)=MIN(DAY('Recurring Schedule'!$F$41),DAY(EOMONTH($A324,0))),MOD((YEAR($A324)-YEAR('Recurring Schedule'!$F$41))*12+MONTH($A324)-MONTH('Recurring Schedule'!$F$41),'Recurring Schedule'!$O$41)=0),IF('Recurring Schedule'!$E$41="Weekdays",WEEKDAY($A324,2)&lt;=5,$A324='Recurring Schedule'!$F$41))),36,""))))</f>
        <v/>
      </c>
      <c r="AL324">
        <f>IF('Recurring Schedule'!$C$42="","",IF('Recurring Schedule'!$F$42="","",IF(OR($A324&lt;'Recurring Schedule'!$F$42,$A324&gt;'Recurring Schedule'!$P$42),"",IF(IF('Recurring Schedule'!$N$42&gt;0,MOD($A324-'Recurring Schedule'!$F$42,'Recurring Schedule'!$N$42)=0,IF('Recurring Schedule'!$O$42&gt;0,AND(DAY($A324)=MIN(DAY('Recurring Schedule'!$F$42),DAY(EOMONTH($A324,0))),MOD((YEAR($A324)-YEAR('Recurring Schedule'!$F$42))*12+MONTH($A324)-MONTH('Recurring Schedule'!$F$42),'Recurring Schedule'!$O$42)=0),IF('Recurring Schedule'!$E$42="Weekdays",WEEKDAY($A324,2)&lt;=5,$A324='Recurring Schedule'!$F$42))),37,""))))</f>
        <v/>
      </c>
      <c r="AM324">
        <f>IF('Recurring Schedule'!$C$43="","",IF('Recurring Schedule'!$F$43="","",IF(OR($A324&lt;'Recurring Schedule'!$F$43,$A324&gt;'Recurring Schedule'!$P$43),"",IF(IF('Recurring Schedule'!$N$43&gt;0,MOD($A324-'Recurring Schedule'!$F$43,'Recurring Schedule'!$N$43)=0,IF('Recurring Schedule'!$O$43&gt;0,AND(DAY($A324)=MIN(DAY('Recurring Schedule'!$F$43),DAY(EOMONTH($A324,0))),MOD((YEAR($A324)-YEAR('Recurring Schedule'!$F$43))*12+MONTH($A324)-MONTH('Recurring Schedule'!$F$43),'Recurring Schedule'!$O$43)=0),IF('Recurring Schedule'!$E$43="Weekdays",WEEKDAY($A324,2)&lt;=5,$A324='Recurring Schedule'!$F$43))),38,""))))</f>
        <v/>
      </c>
      <c r="AN324">
        <f>IF('Recurring Schedule'!$C$44="","",IF('Recurring Schedule'!$F$44="","",IF(OR($A324&lt;'Recurring Schedule'!$F$44,$A324&gt;'Recurring Schedule'!$P$44),"",IF(IF('Recurring Schedule'!$N$44&gt;0,MOD($A324-'Recurring Schedule'!$F$44,'Recurring Schedule'!$N$44)=0,IF('Recurring Schedule'!$O$44&gt;0,AND(DAY($A324)=MIN(DAY('Recurring Schedule'!$F$44),DAY(EOMONTH($A324,0))),MOD((YEAR($A324)-YEAR('Recurring Schedule'!$F$44))*12+MONTH($A324)-MONTH('Recurring Schedule'!$F$44),'Recurring Schedule'!$O$44)=0),IF('Recurring Schedule'!$E$44="Weekdays",WEEKDAY($A324,2)&lt;=5,$A324='Recurring Schedule'!$F$44))),39,""))))</f>
        <v/>
      </c>
      <c r="AO324">
        <f>IF('Recurring Schedule'!$C$45="","",IF('Recurring Schedule'!$F$45="","",IF(OR($A324&lt;'Recurring Schedule'!$F$45,$A324&gt;'Recurring Schedule'!$P$45),"",IF(IF('Recurring Schedule'!$N$45&gt;0,MOD($A324-'Recurring Schedule'!$F$45,'Recurring Schedule'!$N$45)=0,IF('Recurring Schedule'!$O$45&gt;0,AND(DAY($A324)=MIN(DAY('Recurring Schedule'!$F$45),DAY(EOMONTH($A324,0))),MOD((YEAR($A324)-YEAR('Recurring Schedule'!$F$45))*12+MONTH($A324)-MONTH('Recurring Schedule'!$F$45),'Recurring Schedule'!$O$45)=0),IF('Recurring Schedule'!$E$45="Weekdays",WEEKDAY($A324,2)&lt;=5,$A324='Recurring Schedule'!$F$45))),40,""))))</f>
        <v/>
      </c>
      <c r="AP324">
        <f>COUNT(B324:AO324)</f>
        <v/>
      </c>
      <c r="AQ324">
        <f>AQ323+AP323</f>
        <v/>
      </c>
      <c r="AS324" t="inlineStr">
        <is>
          <t>R</t>
        </is>
      </c>
      <c r="AT324" t="n">
        <v>328</v>
      </c>
      <c r="AU324">
        <f>'Recurring Log'!C328&amp;""</f>
        <v/>
      </c>
      <c r="AV324">
        <f>'Recurring Log'!D328&amp;""</f>
        <v/>
      </c>
      <c r="AW324">
        <f>IF('Recurring Log'!E328="","",'Recurring Log'!E328)</f>
        <v/>
      </c>
      <c r="AX324">
        <f>IF('Recurring Log'!G328="","",'Recurring Log'!G328)</f>
        <v/>
      </c>
      <c r="AY324">
        <f>IF('Recurring Log'!H328="","",'Recurring Log'!H328)</f>
        <v/>
      </c>
      <c r="AZ324">
        <f>IF(AU324="","",IF('Recurring Log'!J328="","Not Started",'Recurring Log'!J328))</f>
        <v/>
      </c>
      <c r="BA324">
        <f>'Recurring Log'!L328&amp;""</f>
        <v/>
      </c>
      <c r="BB324">
        <f>'Recurring Log'!M328&amp;""</f>
        <v/>
      </c>
      <c r="BC324">
        <f>'Recurring Log'!N328&amp;""</f>
        <v/>
      </c>
      <c r="BD324">
        <f>'Recurring Log'!O328&amp;""</f>
        <v/>
      </c>
      <c r="BE324">
        <f>IF('Recurring Log'!K328="","",'Recurring Log'!K328)</f>
        <v/>
      </c>
      <c r="BF324">
        <f>IFERROR(MATCH(BA324,Setup!$L$6:$L$9,0),5)</f>
        <v/>
      </c>
      <c r="BG324">
        <f>IF(OR(AZ324="Done",AZ324="Cancelled"),1,0)</f>
        <v/>
      </c>
      <c r="BH324">
        <f>IF(AND(AU324&lt;&gt;"",ISNUMBER(AW324)),1,0)</f>
        <v/>
      </c>
      <c r="BI324">
        <f>IF(BH324=0,0,IF(AND(AW324&gt;='Tasks Filter'!$F$3,AW324&lt;='Tasks Filter'!$F$4,OR('Tasks Filter'!$I$3="",ISNUMBER(SEARCH('Tasks Filter'!$I$3,AU324))),OR('Tasks Filter'!$I$4="",BF324=IFERROR(MATCH('Tasks Filter'!$I$4,Setup!$L$6:$L$9,0),0)),OR('Tasks Filter'!$I$5="Both",AND('Tasks Filter'!$I$5="Yes",BB324="✓"),AND('Tasks Filter'!$I$5="No",BB324&lt;&gt;"✓")),OR('Tasks Filter'!$L$3="",AV324='Tasks Filter'!$L$3),OR('Tasks Filter'!$L$4="",AZ324='Tasks Filter'!$L$4),OR('Tasks Filter'!$L$5="",BC324='Tasks Filter'!$L$5),OR('Tasks Filter'!$O$3="",BD324='Tasks Filter'!$O$3),OR('Tasks Filter'!$O$4="Yes",BG324=0)),1,0))</f>
        <v/>
      </c>
      <c r="BJ324">
        <f>IF(BH324=0,"",IF('Tasks Filter'!$F$6="Descending",-1,1)*CHOOSE(MATCH('Tasks Filter'!$F$5,Lists!$G$2:$G$6,0),AW324,BF324,IFERROR(MATCH(AV324,Setup!$F$6:$F$15,0),99),IFERROR(MATCH(BC324,Setup!$H$6:$H$15,0),99),IFERROR(MATCH(AZ324,Setup!$J$6:$J$11,0),99))*1E+9+(AW324-40000)*10000+323)</f>
        <v/>
      </c>
      <c r="BK324">
        <f>IF(BI324=1,BJ324,"")</f>
        <v/>
      </c>
      <c r="BL324">
        <f>IF(AND(BH324=1,BG324=0,N(AW324)&lt;Setup!$D$7),(AW324-40000)*10000+323,"")</f>
        <v/>
      </c>
      <c r="BM324">
        <f>IF(AND(BH324=1,AZ324&lt;&gt;"Cancelled",N(AW324)&gt;=Dashboard!$AB$3,N(AW324)&lt;=Dashboard!$AB$3+6),(AW324-40000)*100000+BF324*10000+323,"")</f>
        <v/>
      </c>
      <c r="BN324">
        <f>IF(AND(BH324=1,AZ324&lt;&gt;"Cancelled"),BF324*10000+323,"")</f>
        <v/>
      </c>
    </row>
    <row r="325">
      <c r="A325">
        <f>Setup!$D$5+323</f>
        <v/>
      </c>
      <c r="B325">
        <f>IF('Recurring Schedule'!$C$6="","",IF('Recurring Schedule'!$F$6="","",IF(OR($A325&lt;'Recurring Schedule'!$F$6,$A325&gt;'Recurring Schedule'!$P$6),"",IF(IF('Recurring Schedule'!$N$6&gt;0,MOD($A325-'Recurring Schedule'!$F$6,'Recurring Schedule'!$N$6)=0,IF('Recurring Schedule'!$O$6&gt;0,AND(DAY($A325)=MIN(DAY('Recurring Schedule'!$F$6),DAY(EOMONTH($A325,0))),MOD((YEAR($A325)-YEAR('Recurring Schedule'!$F$6))*12+MONTH($A325)-MONTH('Recurring Schedule'!$F$6),'Recurring Schedule'!$O$6)=0),IF('Recurring Schedule'!$E$6="Weekdays",WEEKDAY($A325,2)&lt;=5,$A325='Recurring Schedule'!$F$6))),1,""))))</f>
        <v/>
      </c>
      <c r="C325">
        <f>IF('Recurring Schedule'!$C$7="","",IF('Recurring Schedule'!$F$7="","",IF(OR($A325&lt;'Recurring Schedule'!$F$7,$A325&gt;'Recurring Schedule'!$P$7),"",IF(IF('Recurring Schedule'!$N$7&gt;0,MOD($A325-'Recurring Schedule'!$F$7,'Recurring Schedule'!$N$7)=0,IF('Recurring Schedule'!$O$7&gt;0,AND(DAY($A325)=MIN(DAY('Recurring Schedule'!$F$7),DAY(EOMONTH($A325,0))),MOD((YEAR($A325)-YEAR('Recurring Schedule'!$F$7))*12+MONTH($A325)-MONTH('Recurring Schedule'!$F$7),'Recurring Schedule'!$O$7)=0),IF('Recurring Schedule'!$E$7="Weekdays",WEEKDAY($A325,2)&lt;=5,$A325='Recurring Schedule'!$F$7))),2,""))))</f>
        <v/>
      </c>
      <c r="D325">
        <f>IF('Recurring Schedule'!$C$8="","",IF('Recurring Schedule'!$F$8="","",IF(OR($A325&lt;'Recurring Schedule'!$F$8,$A325&gt;'Recurring Schedule'!$P$8),"",IF(IF('Recurring Schedule'!$N$8&gt;0,MOD($A325-'Recurring Schedule'!$F$8,'Recurring Schedule'!$N$8)=0,IF('Recurring Schedule'!$O$8&gt;0,AND(DAY($A325)=MIN(DAY('Recurring Schedule'!$F$8),DAY(EOMONTH($A325,0))),MOD((YEAR($A325)-YEAR('Recurring Schedule'!$F$8))*12+MONTH($A325)-MONTH('Recurring Schedule'!$F$8),'Recurring Schedule'!$O$8)=0),IF('Recurring Schedule'!$E$8="Weekdays",WEEKDAY($A325,2)&lt;=5,$A325='Recurring Schedule'!$F$8))),3,""))))</f>
        <v/>
      </c>
      <c r="E325">
        <f>IF('Recurring Schedule'!$C$9="","",IF('Recurring Schedule'!$F$9="","",IF(OR($A325&lt;'Recurring Schedule'!$F$9,$A325&gt;'Recurring Schedule'!$P$9),"",IF(IF('Recurring Schedule'!$N$9&gt;0,MOD($A325-'Recurring Schedule'!$F$9,'Recurring Schedule'!$N$9)=0,IF('Recurring Schedule'!$O$9&gt;0,AND(DAY($A325)=MIN(DAY('Recurring Schedule'!$F$9),DAY(EOMONTH($A325,0))),MOD((YEAR($A325)-YEAR('Recurring Schedule'!$F$9))*12+MONTH($A325)-MONTH('Recurring Schedule'!$F$9),'Recurring Schedule'!$O$9)=0),IF('Recurring Schedule'!$E$9="Weekdays",WEEKDAY($A325,2)&lt;=5,$A325='Recurring Schedule'!$F$9))),4,""))))</f>
        <v/>
      </c>
      <c r="F325">
        <f>IF('Recurring Schedule'!$C$10="","",IF('Recurring Schedule'!$F$10="","",IF(OR($A325&lt;'Recurring Schedule'!$F$10,$A325&gt;'Recurring Schedule'!$P$10),"",IF(IF('Recurring Schedule'!$N$10&gt;0,MOD($A325-'Recurring Schedule'!$F$10,'Recurring Schedule'!$N$10)=0,IF('Recurring Schedule'!$O$10&gt;0,AND(DAY($A325)=MIN(DAY('Recurring Schedule'!$F$10),DAY(EOMONTH($A325,0))),MOD((YEAR($A325)-YEAR('Recurring Schedule'!$F$10))*12+MONTH($A325)-MONTH('Recurring Schedule'!$F$10),'Recurring Schedule'!$O$10)=0),IF('Recurring Schedule'!$E$10="Weekdays",WEEKDAY($A325,2)&lt;=5,$A325='Recurring Schedule'!$F$10))),5,""))))</f>
        <v/>
      </c>
      <c r="G325">
        <f>IF('Recurring Schedule'!$C$11="","",IF('Recurring Schedule'!$F$11="","",IF(OR($A325&lt;'Recurring Schedule'!$F$11,$A325&gt;'Recurring Schedule'!$P$11),"",IF(IF('Recurring Schedule'!$N$11&gt;0,MOD($A325-'Recurring Schedule'!$F$11,'Recurring Schedule'!$N$11)=0,IF('Recurring Schedule'!$O$11&gt;0,AND(DAY($A325)=MIN(DAY('Recurring Schedule'!$F$11),DAY(EOMONTH($A325,0))),MOD((YEAR($A325)-YEAR('Recurring Schedule'!$F$11))*12+MONTH($A325)-MONTH('Recurring Schedule'!$F$11),'Recurring Schedule'!$O$11)=0),IF('Recurring Schedule'!$E$11="Weekdays",WEEKDAY($A325,2)&lt;=5,$A325='Recurring Schedule'!$F$11))),6,""))))</f>
        <v/>
      </c>
      <c r="H325">
        <f>IF('Recurring Schedule'!$C$12="","",IF('Recurring Schedule'!$F$12="","",IF(OR($A325&lt;'Recurring Schedule'!$F$12,$A325&gt;'Recurring Schedule'!$P$12),"",IF(IF('Recurring Schedule'!$N$12&gt;0,MOD($A325-'Recurring Schedule'!$F$12,'Recurring Schedule'!$N$12)=0,IF('Recurring Schedule'!$O$12&gt;0,AND(DAY($A325)=MIN(DAY('Recurring Schedule'!$F$12),DAY(EOMONTH($A325,0))),MOD((YEAR($A325)-YEAR('Recurring Schedule'!$F$12))*12+MONTH($A325)-MONTH('Recurring Schedule'!$F$12),'Recurring Schedule'!$O$12)=0),IF('Recurring Schedule'!$E$12="Weekdays",WEEKDAY($A325,2)&lt;=5,$A325='Recurring Schedule'!$F$12))),7,""))))</f>
        <v/>
      </c>
      <c r="I325">
        <f>IF('Recurring Schedule'!$C$13="","",IF('Recurring Schedule'!$F$13="","",IF(OR($A325&lt;'Recurring Schedule'!$F$13,$A325&gt;'Recurring Schedule'!$P$13),"",IF(IF('Recurring Schedule'!$N$13&gt;0,MOD($A325-'Recurring Schedule'!$F$13,'Recurring Schedule'!$N$13)=0,IF('Recurring Schedule'!$O$13&gt;0,AND(DAY($A325)=MIN(DAY('Recurring Schedule'!$F$13),DAY(EOMONTH($A325,0))),MOD((YEAR($A325)-YEAR('Recurring Schedule'!$F$13))*12+MONTH($A325)-MONTH('Recurring Schedule'!$F$13),'Recurring Schedule'!$O$13)=0),IF('Recurring Schedule'!$E$13="Weekdays",WEEKDAY($A325,2)&lt;=5,$A325='Recurring Schedule'!$F$13))),8,""))))</f>
        <v/>
      </c>
      <c r="J325">
        <f>IF('Recurring Schedule'!$C$14="","",IF('Recurring Schedule'!$F$14="","",IF(OR($A325&lt;'Recurring Schedule'!$F$14,$A325&gt;'Recurring Schedule'!$P$14),"",IF(IF('Recurring Schedule'!$N$14&gt;0,MOD($A325-'Recurring Schedule'!$F$14,'Recurring Schedule'!$N$14)=0,IF('Recurring Schedule'!$O$14&gt;0,AND(DAY($A325)=MIN(DAY('Recurring Schedule'!$F$14),DAY(EOMONTH($A325,0))),MOD((YEAR($A325)-YEAR('Recurring Schedule'!$F$14))*12+MONTH($A325)-MONTH('Recurring Schedule'!$F$14),'Recurring Schedule'!$O$14)=0),IF('Recurring Schedule'!$E$14="Weekdays",WEEKDAY($A325,2)&lt;=5,$A325='Recurring Schedule'!$F$14))),9,""))))</f>
        <v/>
      </c>
      <c r="K325">
        <f>IF('Recurring Schedule'!$C$15="","",IF('Recurring Schedule'!$F$15="","",IF(OR($A325&lt;'Recurring Schedule'!$F$15,$A325&gt;'Recurring Schedule'!$P$15),"",IF(IF('Recurring Schedule'!$N$15&gt;0,MOD($A325-'Recurring Schedule'!$F$15,'Recurring Schedule'!$N$15)=0,IF('Recurring Schedule'!$O$15&gt;0,AND(DAY($A325)=MIN(DAY('Recurring Schedule'!$F$15),DAY(EOMONTH($A325,0))),MOD((YEAR($A325)-YEAR('Recurring Schedule'!$F$15))*12+MONTH($A325)-MONTH('Recurring Schedule'!$F$15),'Recurring Schedule'!$O$15)=0),IF('Recurring Schedule'!$E$15="Weekdays",WEEKDAY($A325,2)&lt;=5,$A325='Recurring Schedule'!$F$15))),10,""))))</f>
        <v/>
      </c>
      <c r="L325">
        <f>IF('Recurring Schedule'!$C$16="","",IF('Recurring Schedule'!$F$16="","",IF(OR($A325&lt;'Recurring Schedule'!$F$16,$A325&gt;'Recurring Schedule'!$P$16),"",IF(IF('Recurring Schedule'!$N$16&gt;0,MOD($A325-'Recurring Schedule'!$F$16,'Recurring Schedule'!$N$16)=0,IF('Recurring Schedule'!$O$16&gt;0,AND(DAY($A325)=MIN(DAY('Recurring Schedule'!$F$16),DAY(EOMONTH($A325,0))),MOD((YEAR($A325)-YEAR('Recurring Schedule'!$F$16))*12+MONTH($A325)-MONTH('Recurring Schedule'!$F$16),'Recurring Schedule'!$O$16)=0),IF('Recurring Schedule'!$E$16="Weekdays",WEEKDAY($A325,2)&lt;=5,$A325='Recurring Schedule'!$F$16))),11,""))))</f>
        <v/>
      </c>
      <c r="M325">
        <f>IF('Recurring Schedule'!$C$17="","",IF('Recurring Schedule'!$F$17="","",IF(OR($A325&lt;'Recurring Schedule'!$F$17,$A325&gt;'Recurring Schedule'!$P$17),"",IF(IF('Recurring Schedule'!$N$17&gt;0,MOD($A325-'Recurring Schedule'!$F$17,'Recurring Schedule'!$N$17)=0,IF('Recurring Schedule'!$O$17&gt;0,AND(DAY($A325)=MIN(DAY('Recurring Schedule'!$F$17),DAY(EOMONTH($A325,0))),MOD((YEAR($A325)-YEAR('Recurring Schedule'!$F$17))*12+MONTH($A325)-MONTH('Recurring Schedule'!$F$17),'Recurring Schedule'!$O$17)=0),IF('Recurring Schedule'!$E$17="Weekdays",WEEKDAY($A325,2)&lt;=5,$A325='Recurring Schedule'!$F$17))),12,""))))</f>
        <v/>
      </c>
      <c r="N325">
        <f>IF('Recurring Schedule'!$C$18="","",IF('Recurring Schedule'!$F$18="","",IF(OR($A325&lt;'Recurring Schedule'!$F$18,$A325&gt;'Recurring Schedule'!$P$18),"",IF(IF('Recurring Schedule'!$N$18&gt;0,MOD($A325-'Recurring Schedule'!$F$18,'Recurring Schedule'!$N$18)=0,IF('Recurring Schedule'!$O$18&gt;0,AND(DAY($A325)=MIN(DAY('Recurring Schedule'!$F$18),DAY(EOMONTH($A325,0))),MOD((YEAR($A325)-YEAR('Recurring Schedule'!$F$18))*12+MONTH($A325)-MONTH('Recurring Schedule'!$F$18),'Recurring Schedule'!$O$18)=0),IF('Recurring Schedule'!$E$18="Weekdays",WEEKDAY($A325,2)&lt;=5,$A325='Recurring Schedule'!$F$18))),13,""))))</f>
        <v/>
      </c>
      <c r="O325">
        <f>IF('Recurring Schedule'!$C$19="","",IF('Recurring Schedule'!$F$19="","",IF(OR($A325&lt;'Recurring Schedule'!$F$19,$A325&gt;'Recurring Schedule'!$P$19),"",IF(IF('Recurring Schedule'!$N$19&gt;0,MOD($A325-'Recurring Schedule'!$F$19,'Recurring Schedule'!$N$19)=0,IF('Recurring Schedule'!$O$19&gt;0,AND(DAY($A325)=MIN(DAY('Recurring Schedule'!$F$19),DAY(EOMONTH($A325,0))),MOD((YEAR($A325)-YEAR('Recurring Schedule'!$F$19))*12+MONTH($A325)-MONTH('Recurring Schedule'!$F$19),'Recurring Schedule'!$O$19)=0),IF('Recurring Schedule'!$E$19="Weekdays",WEEKDAY($A325,2)&lt;=5,$A325='Recurring Schedule'!$F$19))),14,""))))</f>
        <v/>
      </c>
      <c r="P325">
        <f>IF('Recurring Schedule'!$C$20="","",IF('Recurring Schedule'!$F$20="","",IF(OR($A325&lt;'Recurring Schedule'!$F$20,$A325&gt;'Recurring Schedule'!$P$20),"",IF(IF('Recurring Schedule'!$N$20&gt;0,MOD($A325-'Recurring Schedule'!$F$20,'Recurring Schedule'!$N$20)=0,IF('Recurring Schedule'!$O$20&gt;0,AND(DAY($A325)=MIN(DAY('Recurring Schedule'!$F$20),DAY(EOMONTH($A325,0))),MOD((YEAR($A325)-YEAR('Recurring Schedule'!$F$20))*12+MONTH($A325)-MONTH('Recurring Schedule'!$F$20),'Recurring Schedule'!$O$20)=0),IF('Recurring Schedule'!$E$20="Weekdays",WEEKDAY($A325,2)&lt;=5,$A325='Recurring Schedule'!$F$20))),15,""))))</f>
        <v/>
      </c>
      <c r="Q325">
        <f>IF('Recurring Schedule'!$C$21="","",IF('Recurring Schedule'!$F$21="","",IF(OR($A325&lt;'Recurring Schedule'!$F$21,$A325&gt;'Recurring Schedule'!$P$21),"",IF(IF('Recurring Schedule'!$N$21&gt;0,MOD($A325-'Recurring Schedule'!$F$21,'Recurring Schedule'!$N$21)=0,IF('Recurring Schedule'!$O$21&gt;0,AND(DAY($A325)=MIN(DAY('Recurring Schedule'!$F$21),DAY(EOMONTH($A325,0))),MOD((YEAR($A325)-YEAR('Recurring Schedule'!$F$21))*12+MONTH($A325)-MONTH('Recurring Schedule'!$F$21),'Recurring Schedule'!$O$21)=0),IF('Recurring Schedule'!$E$21="Weekdays",WEEKDAY($A325,2)&lt;=5,$A325='Recurring Schedule'!$F$21))),16,""))))</f>
        <v/>
      </c>
      <c r="R325">
        <f>IF('Recurring Schedule'!$C$22="","",IF('Recurring Schedule'!$F$22="","",IF(OR($A325&lt;'Recurring Schedule'!$F$22,$A325&gt;'Recurring Schedule'!$P$22),"",IF(IF('Recurring Schedule'!$N$22&gt;0,MOD($A325-'Recurring Schedule'!$F$22,'Recurring Schedule'!$N$22)=0,IF('Recurring Schedule'!$O$22&gt;0,AND(DAY($A325)=MIN(DAY('Recurring Schedule'!$F$22),DAY(EOMONTH($A325,0))),MOD((YEAR($A325)-YEAR('Recurring Schedule'!$F$22))*12+MONTH($A325)-MONTH('Recurring Schedule'!$F$22),'Recurring Schedule'!$O$22)=0),IF('Recurring Schedule'!$E$22="Weekdays",WEEKDAY($A325,2)&lt;=5,$A325='Recurring Schedule'!$F$22))),17,""))))</f>
        <v/>
      </c>
      <c r="S325">
        <f>IF('Recurring Schedule'!$C$23="","",IF('Recurring Schedule'!$F$23="","",IF(OR($A325&lt;'Recurring Schedule'!$F$23,$A325&gt;'Recurring Schedule'!$P$23),"",IF(IF('Recurring Schedule'!$N$23&gt;0,MOD($A325-'Recurring Schedule'!$F$23,'Recurring Schedule'!$N$23)=0,IF('Recurring Schedule'!$O$23&gt;0,AND(DAY($A325)=MIN(DAY('Recurring Schedule'!$F$23),DAY(EOMONTH($A325,0))),MOD((YEAR($A325)-YEAR('Recurring Schedule'!$F$23))*12+MONTH($A325)-MONTH('Recurring Schedule'!$F$23),'Recurring Schedule'!$O$23)=0),IF('Recurring Schedule'!$E$23="Weekdays",WEEKDAY($A325,2)&lt;=5,$A325='Recurring Schedule'!$F$23))),18,""))))</f>
        <v/>
      </c>
      <c r="T325">
        <f>IF('Recurring Schedule'!$C$24="","",IF('Recurring Schedule'!$F$24="","",IF(OR($A325&lt;'Recurring Schedule'!$F$24,$A325&gt;'Recurring Schedule'!$P$24),"",IF(IF('Recurring Schedule'!$N$24&gt;0,MOD($A325-'Recurring Schedule'!$F$24,'Recurring Schedule'!$N$24)=0,IF('Recurring Schedule'!$O$24&gt;0,AND(DAY($A325)=MIN(DAY('Recurring Schedule'!$F$24),DAY(EOMONTH($A325,0))),MOD((YEAR($A325)-YEAR('Recurring Schedule'!$F$24))*12+MONTH($A325)-MONTH('Recurring Schedule'!$F$24),'Recurring Schedule'!$O$24)=0),IF('Recurring Schedule'!$E$24="Weekdays",WEEKDAY($A325,2)&lt;=5,$A325='Recurring Schedule'!$F$24))),19,""))))</f>
        <v/>
      </c>
      <c r="U325">
        <f>IF('Recurring Schedule'!$C$25="","",IF('Recurring Schedule'!$F$25="","",IF(OR($A325&lt;'Recurring Schedule'!$F$25,$A325&gt;'Recurring Schedule'!$P$25),"",IF(IF('Recurring Schedule'!$N$25&gt;0,MOD($A325-'Recurring Schedule'!$F$25,'Recurring Schedule'!$N$25)=0,IF('Recurring Schedule'!$O$25&gt;0,AND(DAY($A325)=MIN(DAY('Recurring Schedule'!$F$25),DAY(EOMONTH($A325,0))),MOD((YEAR($A325)-YEAR('Recurring Schedule'!$F$25))*12+MONTH($A325)-MONTH('Recurring Schedule'!$F$25),'Recurring Schedule'!$O$25)=0),IF('Recurring Schedule'!$E$25="Weekdays",WEEKDAY($A325,2)&lt;=5,$A325='Recurring Schedule'!$F$25))),20,""))))</f>
        <v/>
      </c>
      <c r="V325">
        <f>IF('Recurring Schedule'!$C$26="","",IF('Recurring Schedule'!$F$26="","",IF(OR($A325&lt;'Recurring Schedule'!$F$26,$A325&gt;'Recurring Schedule'!$P$26),"",IF(IF('Recurring Schedule'!$N$26&gt;0,MOD($A325-'Recurring Schedule'!$F$26,'Recurring Schedule'!$N$26)=0,IF('Recurring Schedule'!$O$26&gt;0,AND(DAY($A325)=MIN(DAY('Recurring Schedule'!$F$26),DAY(EOMONTH($A325,0))),MOD((YEAR($A325)-YEAR('Recurring Schedule'!$F$26))*12+MONTH($A325)-MONTH('Recurring Schedule'!$F$26),'Recurring Schedule'!$O$26)=0),IF('Recurring Schedule'!$E$26="Weekdays",WEEKDAY($A325,2)&lt;=5,$A325='Recurring Schedule'!$F$26))),21,""))))</f>
        <v/>
      </c>
      <c r="W325">
        <f>IF('Recurring Schedule'!$C$27="","",IF('Recurring Schedule'!$F$27="","",IF(OR($A325&lt;'Recurring Schedule'!$F$27,$A325&gt;'Recurring Schedule'!$P$27),"",IF(IF('Recurring Schedule'!$N$27&gt;0,MOD($A325-'Recurring Schedule'!$F$27,'Recurring Schedule'!$N$27)=0,IF('Recurring Schedule'!$O$27&gt;0,AND(DAY($A325)=MIN(DAY('Recurring Schedule'!$F$27),DAY(EOMONTH($A325,0))),MOD((YEAR($A325)-YEAR('Recurring Schedule'!$F$27))*12+MONTH($A325)-MONTH('Recurring Schedule'!$F$27),'Recurring Schedule'!$O$27)=0),IF('Recurring Schedule'!$E$27="Weekdays",WEEKDAY($A325,2)&lt;=5,$A325='Recurring Schedule'!$F$27))),22,""))))</f>
        <v/>
      </c>
      <c r="X325">
        <f>IF('Recurring Schedule'!$C$28="","",IF('Recurring Schedule'!$F$28="","",IF(OR($A325&lt;'Recurring Schedule'!$F$28,$A325&gt;'Recurring Schedule'!$P$28),"",IF(IF('Recurring Schedule'!$N$28&gt;0,MOD($A325-'Recurring Schedule'!$F$28,'Recurring Schedule'!$N$28)=0,IF('Recurring Schedule'!$O$28&gt;0,AND(DAY($A325)=MIN(DAY('Recurring Schedule'!$F$28),DAY(EOMONTH($A325,0))),MOD((YEAR($A325)-YEAR('Recurring Schedule'!$F$28))*12+MONTH($A325)-MONTH('Recurring Schedule'!$F$28),'Recurring Schedule'!$O$28)=0),IF('Recurring Schedule'!$E$28="Weekdays",WEEKDAY($A325,2)&lt;=5,$A325='Recurring Schedule'!$F$28))),23,""))))</f>
        <v/>
      </c>
      <c r="Y325">
        <f>IF('Recurring Schedule'!$C$29="","",IF('Recurring Schedule'!$F$29="","",IF(OR($A325&lt;'Recurring Schedule'!$F$29,$A325&gt;'Recurring Schedule'!$P$29),"",IF(IF('Recurring Schedule'!$N$29&gt;0,MOD($A325-'Recurring Schedule'!$F$29,'Recurring Schedule'!$N$29)=0,IF('Recurring Schedule'!$O$29&gt;0,AND(DAY($A325)=MIN(DAY('Recurring Schedule'!$F$29),DAY(EOMONTH($A325,0))),MOD((YEAR($A325)-YEAR('Recurring Schedule'!$F$29))*12+MONTH($A325)-MONTH('Recurring Schedule'!$F$29),'Recurring Schedule'!$O$29)=0),IF('Recurring Schedule'!$E$29="Weekdays",WEEKDAY($A325,2)&lt;=5,$A325='Recurring Schedule'!$F$29))),24,""))))</f>
        <v/>
      </c>
      <c r="Z325">
        <f>IF('Recurring Schedule'!$C$30="","",IF('Recurring Schedule'!$F$30="","",IF(OR($A325&lt;'Recurring Schedule'!$F$30,$A325&gt;'Recurring Schedule'!$P$30),"",IF(IF('Recurring Schedule'!$N$30&gt;0,MOD($A325-'Recurring Schedule'!$F$30,'Recurring Schedule'!$N$30)=0,IF('Recurring Schedule'!$O$30&gt;0,AND(DAY($A325)=MIN(DAY('Recurring Schedule'!$F$30),DAY(EOMONTH($A325,0))),MOD((YEAR($A325)-YEAR('Recurring Schedule'!$F$30))*12+MONTH($A325)-MONTH('Recurring Schedule'!$F$30),'Recurring Schedule'!$O$30)=0),IF('Recurring Schedule'!$E$30="Weekdays",WEEKDAY($A325,2)&lt;=5,$A325='Recurring Schedule'!$F$30))),25,""))))</f>
        <v/>
      </c>
      <c r="AA325">
        <f>IF('Recurring Schedule'!$C$31="","",IF('Recurring Schedule'!$F$31="","",IF(OR($A325&lt;'Recurring Schedule'!$F$31,$A325&gt;'Recurring Schedule'!$P$31),"",IF(IF('Recurring Schedule'!$N$31&gt;0,MOD($A325-'Recurring Schedule'!$F$31,'Recurring Schedule'!$N$31)=0,IF('Recurring Schedule'!$O$31&gt;0,AND(DAY($A325)=MIN(DAY('Recurring Schedule'!$F$31),DAY(EOMONTH($A325,0))),MOD((YEAR($A325)-YEAR('Recurring Schedule'!$F$31))*12+MONTH($A325)-MONTH('Recurring Schedule'!$F$31),'Recurring Schedule'!$O$31)=0),IF('Recurring Schedule'!$E$31="Weekdays",WEEKDAY($A325,2)&lt;=5,$A325='Recurring Schedule'!$F$31))),26,""))))</f>
        <v/>
      </c>
      <c r="AB325">
        <f>IF('Recurring Schedule'!$C$32="","",IF('Recurring Schedule'!$F$32="","",IF(OR($A325&lt;'Recurring Schedule'!$F$32,$A325&gt;'Recurring Schedule'!$P$32),"",IF(IF('Recurring Schedule'!$N$32&gt;0,MOD($A325-'Recurring Schedule'!$F$32,'Recurring Schedule'!$N$32)=0,IF('Recurring Schedule'!$O$32&gt;0,AND(DAY($A325)=MIN(DAY('Recurring Schedule'!$F$32),DAY(EOMONTH($A325,0))),MOD((YEAR($A325)-YEAR('Recurring Schedule'!$F$32))*12+MONTH($A325)-MONTH('Recurring Schedule'!$F$32),'Recurring Schedule'!$O$32)=0),IF('Recurring Schedule'!$E$32="Weekdays",WEEKDAY($A325,2)&lt;=5,$A325='Recurring Schedule'!$F$32))),27,""))))</f>
        <v/>
      </c>
      <c r="AC325">
        <f>IF('Recurring Schedule'!$C$33="","",IF('Recurring Schedule'!$F$33="","",IF(OR($A325&lt;'Recurring Schedule'!$F$33,$A325&gt;'Recurring Schedule'!$P$33),"",IF(IF('Recurring Schedule'!$N$33&gt;0,MOD($A325-'Recurring Schedule'!$F$33,'Recurring Schedule'!$N$33)=0,IF('Recurring Schedule'!$O$33&gt;0,AND(DAY($A325)=MIN(DAY('Recurring Schedule'!$F$33),DAY(EOMONTH($A325,0))),MOD((YEAR($A325)-YEAR('Recurring Schedule'!$F$33))*12+MONTH($A325)-MONTH('Recurring Schedule'!$F$33),'Recurring Schedule'!$O$33)=0),IF('Recurring Schedule'!$E$33="Weekdays",WEEKDAY($A325,2)&lt;=5,$A325='Recurring Schedule'!$F$33))),28,""))))</f>
        <v/>
      </c>
      <c r="AD325">
        <f>IF('Recurring Schedule'!$C$34="","",IF('Recurring Schedule'!$F$34="","",IF(OR($A325&lt;'Recurring Schedule'!$F$34,$A325&gt;'Recurring Schedule'!$P$34),"",IF(IF('Recurring Schedule'!$N$34&gt;0,MOD($A325-'Recurring Schedule'!$F$34,'Recurring Schedule'!$N$34)=0,IF('Recurring Schedule'!$O$34&gt;0,AND(DAY($A325)=MIN(DAY('Recurring Schedule'!$F$34),DAY(EOMONTH($A325,0))),MOD((YEAR($A325)-YEAR('Recurring Schedule'!$F$34))*12+MONTH($A325)-MONTH('Recurring Schedule'!$F$34),'Recurring Schedule'!$O$34)=0),IF('Recurring Schedule'!$E$34="Weekdays",WEEKDAY($A325,2)&lt;=5,$A325='Recurring Schedule'!$F$34))),29,""))))</f>
        <v/>
      </c>
      <c r="AE325">
        <f>IF('Recurring Schedule'!$C$35="","",IF('Recurring Schedule'!$F$35="","",IF(OR($A325&lt;'Recurring Schedule'!$F$35,$A325&gt;'Recurring Schedule'!$P$35),"",IF(IF('Recurring Schedule'!$N$35&gt;0,MOD($A325-'Recurring Schedule'!$F$35,'Recurring Schedule'!$N$35)=0,IF('Recurring Schedule'!$O$35&gt;0,AND(DAY($A325)=MIN(DAY('Recurring Schedule'!$F$35),DAY(EOMONTH($A325,0))),MOD((YEAR($A325)-YEAR('Recurring Schedule'!$F$35))*12+MONTH($A325)-MONTH('Recurring Schedule'!$F$35),'Recurring Schedule'!$O$35)=0),IF('Recurring Schedule'!$E$35="Weekdays",WEEKDAY($A325,2)&lt;=5,$A325='Recurring Schedule'!$F$35))),30,""))))</f>
        <v/>
      </c>
      <c r="AF325">
        <f>IF('Recurring Schedule'!$C$36="","",IF('Recurring Schedule'!$F$36="","",IF(OR($A325&lt;'Recurring Schedule'!$F$36,$A325&gt;'Recurring Schedule'!$P$36),"",IF(IF('Recurring Schedule'!$N$36&gt;0,MOD($A325-'Recurring Schedule'!$F$36,'Recurring Schedule'!$N$36)=0,IF('Recurring Schedule'!$O$36&gt;0,AND(DAY($A325)=MIN(DAY('Recurring Schedule'!$F$36),DAY(EOMONTH($A325,0))),MOD((YEAR($A325)-YEAR('Recurring Schedule'!$F$36))*12+MONTH($A325)-MONTH('Recurring Schedule'!$F$36),'Recurring Schedule'!$O$36)=0),IF('Recurring Schedule'!$E$36="Weekdays",WEEKDAY($A325,2)&lt;=5,$A325='Recurring Schedule'!$F$36))),31,""))))</f>
        <v/>
      </c>
      <c r="AG325">
        <f>IF('Recurring Schedule'!$C$37="","",IF('Recurring Schedule'!$F$37="","",IF(OR($A325&lt;'Recurring Schedule'!$F$37,$A325&gt;'Recurring Schedule'!$P$37),"",IF(IF('Recurring Schedule'!$N$37&gt;0,MOD($A325-'Recurring Schedule'!$F$37,'Recurring Schedule'!$N$37)=0,IF('Recurring Schedule'!$O$37&gt;0,AND(DAY($A325)=MIN(DAY('Recurring Schedule'!$F$37),DAY(EOMONTH($A325,0))),MOD((YEAR($A325)-YEAR('Recurring Schedule'!$F$37))*12+MONTH($A325)-MONTH('Recurring Schedule'!$F$37),'Recurring Schedule'!$O$37)=0),IF('Recurring Schedule'!$E$37="Weekdays",WEEKDAY($A325,2)&lt;=5,$A325='Recurring Schedule'!$F$37))),32,""))))</f>
        <v/>
      </c>
      <c r="AH325">
        <f>IF('Recurring Schedule'!$C$38="","",IF('Recurring Schedule'!$F$38="","",IF(OR($A325&lt;'Recurring Schedule'!$F$38,$A325&gt;'Recurring Schedule'!$P$38),"",IF(IF('Recurring Schedule'!$N$38&gt;0,MOD($A325-'Recurring Schedule'!$F$38,'Recurring Schedule'!$N$38)=0,IF('Recurring Schedule'!$O$38&gt;0,AND(DAY($A325)=MIN(DAY('Recurring Schedule'!$F$38),DAY(EOMONTH($A325,0))),MOD((YEAR($A325)-YEAR('Recurring Schedule'!$F$38))*12+MONTH($A325)-MONTH('Recurring Schedule'!$F$38),'Recurring Schedule'!$O$38)=0),IF('Recurring Schedule'!$E$38="Weekdays",WEEKDAY($A325,2)&lt;=5,$A325='Recurring Schedule'!$F$38))),33,""))))</f>
        <v/>
      </c>
      <c r="AI325">
        <f>IF('Recurring Schedule'!$C$39="","",IF('Recurring Schedule'!$F$39="","",IF(OR($A325&lt;'Recurring Schedule'!$F$39,$A325&gt;'Recurring Schedule'!$P$39),"",IF(IF('Recurring Schedule'!$N$39&gt;0,MOD($A325-'Recurring Schedule'!$F$39,'Recurring Schedule'!$N$39)=0,IF('Recurring Schedule'!$O$39&gt;0,AND(DAY($A325)=MIN(DAY('Recurring Schedule'!$F$39),DAY(EOMONTH($A325,0))),MOD((YEAR($A325)-YEAR('Recurring Schedule'!$F$39))*12+MONTH($A325)-MONTH('Recurring Schedule'!$F$39),'Recurring Schedule'!$O$39)=0),IF('Recurring Schedule'!$E$39="Weekdays",WEEKDAY($A325,2)&lt;=5,$A325='Recurring Schedule'!$F$39))),34,""))))</f>
        <v/>
      </c>
      <c r="AJ325">
        <f>IF('Recurring Schedule'!$C$40="","",IF('Recurring Schedule'!$F$40="","",IF(OR($A325&lt;'Recurring Schedule'!$F$40,$A325&gt;'Recurring Schedule'!$P$40),"",IF(IF('Recurring Schedule'!$N$40&gt;0,MOD($A325-'Recurring Schedule'!$F$40,'Recurring Schedule'!$N$40)=0,IF('Recurring Schedule'!$O$40&gt;0,AND(DAY($A325)=MIN(DAY('Recurring Schedule'!$F$40),DAY(EOMONTH($A325,0))),MOD((YEAR($A325)-YEAR('Recurring Schedule'!$F$40))*12+MONTH($A325)-MONTH('Recurring Schedule'!$F$40),'Recurring Schedule'!$O$40)=0),IF('Recurring Schedule'!$E$40="Weekdays",WEEKDAY($A325,2)&lt;=5,$A325='Recurring Schedule'!$F$40))),35,""))))</f>
        <v/>
      </c>
      <c r="AK325">
        <f>IF('Recurring Schedule'!$C$41="","",IF('Recurring Schedule'!$F$41="","",IF(OR($A325&lt;'Recurring Schedule'!$F$41,$A325&gt;'Recurring Schedule'!$P$41),"",IF(IF('Recurring Schedule'!$N$41&gt;0,MOD($A325-'Recurring Schedule'!$F$41,'Recurring Schedule'!$N$41)=0,IF('Recurring Schedule'!$O$41&gt;0,AND(DAY($A325)=MIN(DAY('Recurring Schedule'!$F$41),DAY(EOMONTH($A325,0))),MOD((YEAR($A325)-YEAR('Recurring Schedule'!$F$41))*12+MONTH($A325)-MONTH('Recurring Schedule'!$F$41),'Recurring Schedule'!$O$41)=0),IF('Recurring Schedule'!$E$41="Weekdays",WEEKDAY($A325,2)&lt;=5,$A325='Recurring Schedule'!$F$41))),36,""))))</f>
        <v/>
      </c>
      <c r="AL325">
        <f>IF('Recurring Schedule'!$C$42="","",IF('Recurring Schedule'!$F$42="","",IF(OR($A325&lt;'Recurring Schedule'!$F$42,$A325&gt;'Recurring Schedule'!$P$42),"",IF(IF('Recurring Schedule'!$N$42&gt;0,MOD($A325-'Recurring Schedule'!$F$42,'Recurring Schedule'!$N$42)=0,IF('Recurring Schedule'!$O$42&gt;0,AND(DAY($A325)=MIN(DAY('Recurring Schedule'!$F$42),DAY(EOMONTH($A325,0))),MOD((YEAR($A325)-YEAR('Recurring Schedule'!$F$42))*12+MONTH($A325)-MONTH('Recurring Schedule'!$F$42),'Recurring Schedule'!$O$42)=0),IF('Recurring Schedule'!$E$42="Weekdays",WEEKDAY($A325,2)&lt;=5,$A325='Recurring Schedule'!$F$42))),37,""))))</f>
        <v/>
      </c>
      <c r="AM325">
        <f>IF('Recurring Schedule'!$C$43="","",IF('Recurring Schedule'!$F$43="","",IF(OR($A325&lt;'Recurring Schedule'!$F$43,$A325&gt;'Recurring Schedule'!$P$43),"",IF(IF('Recurring Schedule'!$N$43&gt;0,MOD($A325-'Recurring Schedule'!$F$43,'Recurring Schedule'!$N$43)=0,IF('Recurring Schedule'!$O$43&gt;0,AND(DAY($A325)=MIN(DAY('Recurring Schedule'!$F$43),DAY(EOMONTH($A325,0))),MOD((YEAR($A325)-YEAR('Recurring Schedule'!$F$43))*12+MONTH($A325)-MONTH('Recurring Schedule'!$F$43),'Recurring Schedule'!$O$43)=0),IF('Recurring Schedule'!$E$43="Weekdays",WEEKDAY($A325,2)&lt;=5,$A325='Recurring Schedule'!$F$43))),38,""))))</f>
        <v/>
      </c>
      <c r="AN325">
        <f>IF('Recurring Schedule'!$C$44="","",IF('Recurring Schedule'!$F$44="","",IF(OR($A325&lt;'Recurring Schedule'!$F$44,$A325&gt;'Recurring Schedule'!$P$44),"",IF(IF('Recurring Schedule'!$N$44&gt;0,MOD($A325-'Recurring Schedule'!$F$44,'Recurring Schedule'!$N$44)=0,IF('Recurring Schedule'!$O$44&gt;0,AND(DAY($A325)=MIN(DAY('Recurring Schedule'!$F$44),DAY(EOMONTH($A325,0))),MOD((YEAR($A325)-YEAR('Recurring Schedule'!$F$44))*12+MONTH($A325)-MONTH('Recurring Schedule'!$F$44),'Recurring Schedule'!$O$44)=0),IF('Recurring Schedule'!$E$44="Weekdays",WEEKDAY($A325,2)&lt;=5,$A325='Recurring Schedule'!$F$44))),39,""))))</f>
        <v/>
      </c>
      <c r="AO325">
        <f>IF('Recurring Schedule'!$C$45="","",IF('Recurring Schedule'!$F$45="","",IF(OR($A325&lt;'Recurring Schedule'!$F$45,$A325&gt;'Recurring Schedule'!$P$45),"",IF(IF('Recurring Schedule'!$N$45&gt;0,MOD($A325-'Recurring Schedule'!$F$45,'Recurring Schedule'!$N$45)=0,IF('Recurring Schedule'!$O$45&gt;0,AND(DAY($A325)=MIN(DAY('Recurring Schedule'!$F$45),DAY(EOMONTH($A325,0))),MOD((YEAR($A325)-YEAR('Recurring Schedule'!$F$45))*12+MONTH($A325)-MONTH('Recurring Schedule'!$F$45),'Recurring Schedule'!$O$45)=0),IF('Recurring Schedule'!$E$45="Weekdays",WEEKDAY($A325,2)&lt;=5,$A325='Recurring Schedule'!$F$45))),40,""))))</f>
        <v/>
      </c>
      <c r="AP325">
        <f>COUNT(B325:AO325)</f>
        <v/>
      </c>
      <c r="AQ325">
        <f>AQ324+AP324</f>
        <v/>
      </c>
      <c r="AS325" t="inlineStr">
        <is>
          <t>R</t>
        </is>
      </c>
      <c r="AT325" t="n">
        <v>329</v>
      </c>
      <c r="AU325">
        <f>'Recurring Log'!C329&amp;""</f>
        <v/>
      </c>
      <c r="AV325">
        <f>'Recurring Log'!D329&amp;""</f>
        <v/>
      </c>
      <c r="AW325">
        <f>IF('Recurring Log'!E329="","",'Recurring Log'!E329)</f>
        <v/>
      </c>
      <c r="AX325">
        <f>IF('Recurring Log'!G329="","",'Recurring Log'!G329)</f>
        <v/>
      </c>
      <c r="AY325">
        <f>IF('Recurring Log'!H329="","",'Recurring Log'!H329)</f>
        <v/>
      </c>
      <c r="AZ325">
        <f>IF(AU325="","",IF('Recurring Log'!J329="","Not Started",'Recurring Log'!J329))</f>
        <v/>
      </c>
      <c r="BA325">
        <f>'Recurring Log'!L329&amp;""</f>
        <v/>
      </c>
      <c r="BB325">
        <f>'Recurring Log'!M329&amp;""</f>
        <v/>
      </c>
      <c r="BC325">
        <f>'Recurring Log'!N329&amp;""</f>
        <v/>
      </c>
      <c r="BD325">
        <f>'Recurring Log'!O329&amp;""</f>
        <v/>
      </c>
      <c r="BE325">
        <f>IF('Recurring Log'!K329="","",'Recurring Log'!K329)</f>
        <v/>
      </c>
      <c r="BF325">
        <f>IFERROR(MATCH(BA325,Setup!$L$6:$L$9,0),5)</f>
        <v/>
      </c>
      <c r="BG325">
        <f>IF(OR(AZ325="Done",AZ325="Cancelled"),1,0)</f>
        <v/>
      </c>
      <c r="BH325">
        <f>IF(AND(AU325&lt;&gt;"",ISNUMBER(AW325)),1,0)</f>
        <v/>
      </c>
      <c r="BI325">
        <f>IF(BH325=0,0,IF(AND(AW325&gt;='Tasks Filter'!$F$3,AW325&lt;='Tasks Filter'!$F$4,OR('Tasks Filter'!$I$3="",ISNUMBER(SEARCH('Tasks Filter'!$I$3,AU325))),OR('Tasks Filter'!$I$4="",BF325=IFERROR(MATCH('Tasks Filter'!$I$4,Setup!$L$6:$L$9,0),0)),OR('Tasks Filter'!$I$5="Both",AND('Tasks Filter'!$I$5="Yes",BB325="✓"),AND('Tasks Filter'!$I$5="No",BB325&lt;&gt;"✓")),OR('Tasks Filter'!$L$3="",AV325='Tasks Filter'!$L$3),OR('Tasks Filter'!$L$4="",AZ325='Tasks Filter'!$L$4),OR('Tasks Filter'!$L$5="",BC325='Tasks Filter'!$L$5),OR('Tasks Filter'!$O$3="",BD325='Tasks Filter'!$O$3),OR('Tasks Filter'!$O$4="Yes",BG325=0)),1,0))</f>
        <v/>
      </c>
      <c r="BJ325">
        <f>IF(BH325=0,"",IF('Tasks Filter'!$F$6="Descending",-1,1)*CHOOSE(MATCH('Tasks Filter'!$F$5,Lists!$G$2:$G$6,0),AW325,BF325,IFERROR(MATCH(AV325,Setup!$F$6:$F$15,0),99),IFERROR(MATCH(BC325,Setup!$H$6:$H$15,0),99),IFERROR(MATCH(AZ325,Setup!$J$6:$J$11,0),99))*1E+9+(AW325-40000)*10000+324)</f>
        <v/>
      </c>
      <c r="BK325">
        <f>IF(BI325=1,BJ325,"")</f>
        <v/>
      </c>
      <c r="BL325">
        <f>IF(AND(BH325=1,BG325=0,N(AW325)&lt;Setup!$D$7),(AW325-40000)*10000+324,"")</f>
        <v/>
      </c>
      <c r="BM325">
        <f>IF(AND(BH325=1,AZ325&lt;&gt;"Cancelled",N(AW325)&gt;=Dashboard!$AB$3,N(AW325)&lt;=Dashboard!$AB$3+6),(AW325-40000)*100000+BF325*10000+324,"")</f>
        <v/>
      </c>
      <c r="BN325">
        <f>IF(AND(BH325=1,AZ325&lt;&gt;"Cancelled"),BF325*10000+324,"")</f>
        <v/>
      </c>
    </row>
    <row r="326">
      <c r="A326">
        <f>Setup!$D$5+324</f>
        <v/>
      </c>
      <c r="B326">
        <f>IF('Recurring Schedule'!$C$6="","",IF('Recurring Schedule'!$F$6="","",IF(OR($A326&lt;'Recurring Schedule'!$F$6,$A326&gt;'Recurring Schedule'!$P$6),"",IF(IF('Recurring Schedule'!$N$6&gt;0,MOD($A326-'Recurring Schedule'!$F$6,'Recurring Schedule'!$N$6)=0,IF('Recurring Schedule'!$O$6&gt;0,AND(DAY($A326)=MIN(DAY('Recurring Schedule'!$F$6),DAY(EOMONTH($A326,0))),MOD((YEAR($A326)-YEAR('Recurring Schedule'!$F$6))*12+MONTH($A326)-MONTH('Recurring Schedule'!$F$6),'Recurring Schedule'!$O$6)=0),IF('Recurring Schedule'!$E$6="Weekdays",WEEKDAY($A326,2)&lt;=5,$A326='Recurring Schedule'!$F$6))),1,""))))</f>
        <v/>
      </c>
      <c r="C326">
        <f>IF('Recurring Schedule'!$C$7="","",IF('Recurring Schedule'!$F$7="","",IF(OR($A326&lt;'Recurring Schedule'!$F$7,$A326&gt;'Recurring Schedule'!$P$7),"",IF(IF('Recurring Schedule'!$N$7&gt;0,MOD($A326-'Recurring Schedule'!$F$7,'Recurring Schedule'!$N$7)=0,IF('Recurring Schedule'!$O$7&gt;0,AND(DAY($A326)=MIN(DAY('Recurring Schedule'!$F$7),DAY(EOMONTH($A326,0))),MOD((YEAR($A326)-YEAR('Recurring Schedule'!$F$7))*12+MONTH($A326)-MONTH('Recurring Schedule'!$F$7),'Recurring Schedule'!$O$7)=0),IF('Recurring Schedule'!$E$7="Weekdays",WEEKDAY($A326,2)&lt;=5,$A326='Recurring Schedule'!$F$7))),2,""))))</f>
        <v/>
      </c>
      <c r="D326">
        <f>IF('Recurring Schedule'!$C$8="","",IF('Recurring Schedule'!$F$8="","",IF(OR($A326&lt;'Recurring Schedule'!$F$8,$A326&gt;'Recurring Schedule'!$P$8),"",IF(IF('Recurring Schedule'!$N$8&gt;0,MOD($A326-'Recurring Schedule'!$F$8,'Recurring Schedule'!$N$8)=0,IF('Recurring Schedule'!$O$8&gt;0,AND(DAY($A326)=MIN(DAY('Recurring Schedule'!$F$8),DAY(EOMONTH($A326,0))),MOD((YEAR($A326)-YEAR('Recurring Schedule'!$F$8))*12+MONTH($A326)-MONTH('Recurring Schedule'!$F$8),'Recurring Schedule'!$O$8)=0),IF('Recurring Schedule'!$E$8="Weekdays",WEEKDAY($A326,2)&lt;=5,$A326='Recurring Schedule'!$F$8))),3,""))))</f>
        <v/>
      </c>
      <c r="E326">
        <f>IF('Recurring Schedule'!$C$9="","",IF('Recurring Schedule'!$F$9="","",IF(OR($A326&lt;'Recurring Schedule'!$F$9,$A326&gt;'Recurring Schedule'!$P$9),"",IF(IF('Recurring Schedule'!$N$9&gt;0,MOD($A326-'Recurring Schedule'!$F$9,'Recurring Schedule'!$N$9)=0,IF('Recurring Schedule'!$O$9&gt;0,AND(DAY($A326)=MIN(DAY('Recurring Schedule'!$F$9),DAY(EOMONTH($A326,0))),MOD((YEAR($A326)-YEAR('Recurring Schedule'!$F$9))*12+MONTH($A326)-MONTH('Recurring Schedule'!$F$9),'Recurring Schedule'!$O$9)=0),IF('Recurring Schedule'!$E$9="Weekdays",WEEKDAY($A326,2)&lt;=5,$A326='Recurring Schedule'!$F$9))),4,""))))</f>
        <v/>
      </c>
      <c r="F326">
        <f>IF('Recurring Schedule'!$C$10="","",IF('Recurring Schedule'!$F$10="","",IF(OR($A326&lt;'Recurring Schedule'!$F$10,$A326&gt;'Recurring Schedule'!$P$10),"",IF(IF('Recurring Schedule'!$N$10&gt;0,MOD($A326-'Recurring Schedule'!$F$10,'Recurring Schedule'!$N$10)=0,IF('Recurring Schedule'!$O$10&gt;0,AND(DAY($A326)=MIN(DAY('Recurring Schedule'!$F$10),DAY(EOMONTH($A326,0))),MOD((YEAR($A326)-YEAR('Recurring Schedule'!$F$10))*12+MONTH($A326)-MONTH('Recurring Schedule'!$F$10),'Recurring Schedule'!$O$10)=0),IF('Recurring Schedule'!$E$10="Weekdays",WEEKDAY($A326,2)&lt;=5,$A326='Recurring Schedule'!$F$10))),5,""))))</f>
        <v/>
      </c>
      <c r="G326">
        <f>IF('Recurring Schedule'!$C$11="","",IF('Recurring Schedule'!$F$11="","",IF(OR($A326&lt;'Recurring Schedule'!$F$11,$A326&gt;'Recurring Schedule'!$P$11),"",IF(IF('Recurring Schedule'!$N$11&gt;0,MOD($A326-'Recurring Schedule'!$F$11,'Recurring Schedule'!$N$11)=0,IF('Recurring Schedule'!$O$11&gt;0,AND(DAY($A326)=MIN(DAY('Recurring Schedule'!$F$11),DAY(EOMONTH($A326,0))),MOD((YEAR($A326)-YEAR('Recurring Schedule'!$F$11))*12+MONTH($A326)-MONTH('Recurring Schedule'!$F$11),'Recurring Schedule'!$O$11)=0),IF('Recurring Schedule'!$E$11="Weekdays",WEEKDAY($A326,2)&lt;=5,$A326='Recurring Schedule'!$F$11))),6,""))))</f>
        <v/>
      </c>
      <c r="H326">
        <f>IF('Recurring Schedule'!$C$12="","",IF('Recurring Schedule'!$F$12="","",IF(OR($A326&lt;'Recurring Schedule'!$F$12,$A326&gt;'Recurring Schedule'!$P$12),"",IF(IF('Recurring Schedule'!$N$12&gt;0,MOD($A326-'Recurring Schedule'!$F$12,'Recurring Schedule'!$N$12)=0,IF('Recurring Schedule'!$O$12&gt;0,AND(DAY($A326)=MIN(DAY('Recurring Schedule'!$F$12),DAY(EOMONTH($A326,0))),MOD((YEAR($A326)-YEAR('Recurring Schedule'!$F$12))*12+MONTH($A326)-MONTH('Recurring Schedule'!$F$12),'Recurring Schedule'!$O$12)=0),IF('Recurring Schedule'!$E$12="Weekdays",WEEKDAY($A326,2)&lt;=5,$A326='Recurring Schedule'!$F$12))),7,""))))</f>
        <v/>
      </c>
      <c r="I326">
        <f>IF('Recurring Schedule'!$C$13="","",IF('Recurring Schedule'!$F$13="","",IF(OR($A326&lt;'Recurring Schedule'!$F$13,$A326&gt;'Recurring Schedule'!$P$13),"",IF(IF('Recurring Schedule'!$N$13&gt;0,MOD($A326-'Recurring Schedule'!$F$13,'Recurring Schedule'!$N$13)=0,IF('Recurring Schedule'!$O$13&gt;0,AND(DAY($A326)=MIN(DAY('Recurring Schedule'!$F$13),DAY(EOMONTH($A326,0))),MOD((YEAR($A326)-YEAR('Recurring Schedule'!$F$13))*12+MONTH($A326)-MONTH('Recurring Schedule'!$F$13),'Recurring Schedule'!$O$13)=0),IF('Recurring Schedule'!$E$13="Weekdays",WEEKDAY($A326,2)&lt;=5,$A326='Recurring Schedule'!$F$13))),8,""))))</f>
        <v/>
      </c>
      <c r="J326">
        <f>IF('Recurring Schedule'!$C$14="","",IF('Recurring Schedule'!$F$14="","",IF(OR($A326&lt;'Recurring Schedule'!$F$14,$A326&gt;'Recurring Schedule'!$P$14),"",IF(IF('Recurring Schedule'!$N$14&gt;0,MOD($A326-'Recurring Schedule'!$F$14,'Recurring Schedule'!$N$14)=0,IF('Recurring Schedule'!$O$14&gt;0,AND(DAY($A326)=MIN(DAY('Recurring Schedule'!$F$14),DAY(EOMONTH($A326,0))),MOD((YEAR($A326)-YEAR('Recurring Schedule'!$F$14))*12+MONTH($A326)-MONTH('Recurring Schedule'!$F$14),'Recurring Schedule'!$O$14)=0),IF('Recurring Schedule'!$E$14="Weekdays",WEEKDAY($A326,2)&lt;=5,$A326='Recurring Schedule'!$F$14))),9,""))))</f>
        <v/>
      </c>
      <c r="K326">
        <f>IF('Recurring Schedule'!$C$15="","",IF('Recurring Schedule'!$F$15="","",IF(OR($A326&lt;'Recurring Schedule'!$F$15,$A326&gt;'Recurring Schedule'!$P$15),"",IF(IF('Recurring Schedule'!$N$15&gt;0,MOD($A326-'Recurring Schedule'!$F$15,'Recurring Schedule'!$N$15)=0,IF('Recurring Schedule'!$O$15&gt;0,AND(DAY($A326)=MIN(DAY('Recurring Schedule'!$F$15),DAY(EOMONTH($A326,0))),MOD((YEAR($A326)-YEAR('Recurring Schedule'!$F$15))*12+MONTH($A326)-MONTH('Recurring Schedule'!$F$15),'Recurring Schedule'!$O$15)=0),IF('Recurring Schedule'!$E$15="Weekdays",WEEKDAY($A326,2)&lt;=5,$A326='Recurring Schedule'!$F$15))),10,""))))</f>
        <v/>
      </c>
      <c r="L326">
        <f>IF('Recurring Schedule'!$C$16="","",IF('Recurring Schedule'!$F$16="","",IF(OR($A326&lt;'Recurring Schedule'!$F$16,$A326&gt;'Recurring Schedule'!$P$16),"",IF(IF('Recurring Schedule'!$N$16&gt;0,MOD($A326-'Recurring Schedule'!$F$16,'Recurring Schedule'!$N$16)=0,IF('Recurring Schedule'!$O$16&gt;0,AND(DAY($A326)=MIN(DAY('Recurring Schedule'!$F$16),DAY(EOMONTH($A326,0))),MOD((YEAR($A326)-YEAR('Recurring Schedule'!$F$16))*12+MONTH($A326)-MONTH('Recurring Schedule'!$F$16),'Recurring Schedule'!$O$16)=0),IF('Recurring Schedule'!$E$16="Weekdays",WEEKDAY($A326,2)&lt;=5,$A326='Recurring Schedule'!$F$16))),11,""))))</f>
        <v/>
      </c>
      <c r="M326">
        <f>IF('Recurring Schedule'!$C$17="","",IF('Recurring Schedule'!$F$17="","",IF(OR($A326&lt;'Recurring Schedule'!$F$17,$A326&gt;'Recurring Schedule'!$P$17),"",IF(IF('Recurring Schedule'!$N$17&gt;0,MOD($A326-'Recurring Schedule'!$F$17,'Recurring Schedule'!$N$17)=0,IF('Recurring Schedule'!$O$17&gt;0,AND(DAY($A326)=MIN(DAY('Recurring Schedule'!$F$17),DAY(EOMONTH($A326,0))),MOD((YEAR($A326)-YEAR('Recurring Schedule'!$F$17))*12+MONTH($A326)-MONTH('Recurring Schedule'!$F$17),'Recurring Schedule'!$O$17)=0),IF('Recurring Schedule'!$E$17="Weekdays",WEEKDAY($A326,2)&lt;=5,$A326='Recurring Schedule'!$F$17))),12,""))))</f>
        <v/>
      </c>
      <c r="N326">
        <f>IF('Recurring Schedule'!$C$18="","",IF('Recurring Schedule'!$F$18="","",IF(OR($A326&lt;'Recurring Schedule'!$F$18,$A326&gt;'Recurring Schedule'!$P$18),"",IF(IF('Recurring Schedule'!$N$18&gt;0,MOD($A326-'Recurring Schedule'!$F$18,'Recurring Schedule'!$N$18)=0,IF('Recurring Schedule'!$O$18&gt;0,AND(DAY($A326)=MIN(DAY('Recurring Schedule'!$F$18),DAY(EOMONTH($A326,0))),MOD((YEAR($A326)-YEAR('Recurring Schedule'!$F$18))*12+MONTH($A326)-MONTH('Recurring Schedule'!$F$18),'Recurring Schedule'!$O$18)=0),IF('Recurring Schedule'!$E$18="Weekdays",WEEKDAY($A326,2)&lt;=5,$A326='Recurring Schedule'!$F$18))),13,""))))</f>
        <v/>
      </c>
      <c r="O326">
        <f>IF('Recurring Schedule'!$C$19="","",IF('Recurring Schedule'!$F$19="","",IF(OR($A326&lt;'Recurring Schedule'!$F$19,$A326&gt;'Recurring Schedule'!$P$19),"",IF(IF('Recurring Schedule'!$N$19&gt;0,MOD($A326-'Recurring Schedule'!$F$19,'Recurring Schedule'!$N$19)=0,IF('Recurring Schedule'!$O$19&gt;0,AND(DAY($A326)=MIN(DAY('Recurring Schedule'!$F$19),DAY(EOMONTH($A326,0))),MOD((YEAR($A326)-YEAR('Recurring Schedule'!$F$19))*12+MONTH($A326)-MONTH('Recurring Schedule'!$F$19),'Recurring Schedule'!$O$19)=0),IF('Recurring Schedule'!$E$19="Weekdays",WEEKDAY($A326,2)&lt;=5,$A326='Recurring Schedule'!$F$19))),14,""))))</f>
        <v/>
      </c>
      <c r="P326">
        <f>IF('Recurring Schedule'!$C$20="","",IF('Recurring Schedule'!$F$20="","",IF(OR($A326&lt;'Recurring Schedule'!$F$20,$A326&gt;'Recurring Schedule'!$P$20),"",IF(IF('Recurring Schedule'!$N$20&gt;0,MOD($A326-'Recurring Schedule'!$F$20,'Recurring Schedule'!$N$20)=0,IF('Recurring Schedule'!$O$20&gt;0,AND(DAY($A326)=MIN(DAY('Recurring Schedule'!$F$20),DAY(EOMONTH($A326,0))),MOD((YEAR($A326)-YEAR('Recurring Schedule'!$F$20))*12+MONTH($A326)-MONTH('Recurring Schedule'!$F$20),'Recurring Schedule'!$O$20)=0),IF('Recurring Schedule'!$E$20="Weekdays",WEEKDAY($A326,2)&lt;=5,$A326='Recurring Schedule'!$F$20))),15,""))))</f>
        <v/>
      </c>
      <c r="Q326">
        <f>IF('Recurring Schedule'!$C$21="","",IF('Recurring Schedule'!$F$21="","",IF(OR($A326&lt;'Recurring Schedule'!$F$21,$A326&gt;'Recurring Schedule'!$P$21),"",IF(IF('Recurring Schedule'!$N$21&gt;0,MOD($A326-'Recurring Schedule'!$F$21,'Recurring Schedule'!$N$21)=0,IF('Recurring Schedule'!$O$21&gt;0,AND(DAY($A326)=MIN(DAY('Recurring Schedule'!$F$21),DAY(EOMONTH($A326,0))),MOD((YEAR($A326)-YEAR('Recurring Schedule'!$F$21))*12+MONTH($A326)-MONTH('Recurring Schedule'!$F$21),'Recurring Schedule'!$O$21)=0),IF('Recurring Schedule'!$E$21="Weekdays",WEEKDAY($A326,2)&lt;=5,$A326='Recurring Schedule'!$F$21))),16,""))))</f>
        <v/>
      </c>
      <c r="R326">
        <f>IF('Recurring Schedule'!$C$22="","",IF('Recurring Schedule'!$F$22="","",IF(OR($A326&lt;'Recurring Schedule'!$F$22,$A326&gt;'Recurring Schedule'!$P$22),"",IF(IF('Recurring Schedule'!$N$22&gt;0,MOD($A326-'Recurring Schedule'!$F$22,'Recurring Schedule'!$N$22)=0,IF('Recurring Schedule'!$O$22&gt;0,AND(DAY($A326)=MIN(DAY('Recurring Schedule'!$F$22),DAY(EOMONTH($A326,0))),MOD((YEAR($A326)-YEAR('Recurring Schedule'!$F$22))*12+MONTH($A326)-MONTH('Recurring Schedule'!$F$22),'Recurring Schedule'!$O$22)=0),IF('Recurring Schedule'!$E$22="Weekdays",WEEKDAY($A326,2)&lt;=5,$A326='Recurring Schedule'!$F$22))),17,""))))</f>
        <v/>
      </c>
      <c r="S326">
        <f>IF('Recurring Schedule'!$C$23="","",IF('Recurring Schedule'!$F$23="","",IF(OR($A326&lt;'Recurring Schedule'!$F$23,$A326&gt;'Recurring Schedule'!$P$23),"",IF(IF('Recurring Schedule'!$N$23&gt;0,MOD($A326-'Recurring Schedule'!$F$23,'Recurring Schedule'!$N$23)=0,IF('Recurring Schedule'!$O$23&gt;0,AND(DAY($A326)=MIN(DAY('Recurring Schedule'!$F$23),DAY(EOMONTH($A326,0))),MOD((YEAR($A326)-YEAR('Recurring Schedule'!$F$23))*12+MONTH($A326)-MONTH('Recurring Schedule'!$F$23),'Recurring Schedule'!$O$23)=0),IF('Recurring Schedule'!$E$23="Weekdays",WEEKDAY($A326,2)&lt;=5,$A326='Recurring Schedule'!$F$23))),18,""))))</f>
        <v/>
      </c>
      <c r="T326">
        <f>IF('Recurring Schedule'!$C$24="","",IF('Recurring Schedule'!$F$24="","",IF(OR($A326&lt;'Recurring Schedule'!$F$24,$A326&gt;'Recurring Schedule'!$P$24),"",IF(IF('Recurring Schedule'!$N$24&gt;0,MOD($A326-'Recurring Schedule'!$F$24,'Recurring Schedule'!$N$24)=0,IF('Recurring Schedule'!$O$24&gt;0,AND(DAY($A326)=MIN(DAY('Recurring Schedule'!$F$24),DAY(EOMONTH($A326,0))),MOD((YEAR($A326)-YEAR('Recurring Schedule'!$F$24))*12+MONTH($A326)-MONTH('Recurring Schedule'!$F$24),'Recurring Schedule'!$O$24)=0),IF('Recurring Schedule'!$E$24="Weekdays",WEEKDAY($A326,2)&lt;=5,$A326='Recurring Schedule'!$F$24))),19,""))))</f>
        <v/>
      </c>
      <c r="U326">
        <f>IF('Recurring Schedule'!$C$25="","",IF('Recurring Schedule'!$F$25="","",IF(OR($A326&lt;'Recurring Schedule'!$F$25,$A326&gt;'Recurring Schedule'!$P$25),"",IF(IF('Recurring Schedule'!$N$25&gt;0,MOD($A326-'Recurring Schedule'!$F$25,'Recurring Schedule'!$N$25)=0,IF('Recurring Schedule'!$O$25&gt;0,AND(DAY($A326)=MIN(DAY('Recurring Schedule'!$F$25),DAY(EOMONTH($A326,0))),MOD((YEAR($A326)-YEAR('Recurring Schedule'!$F$25))*12+MONTH($A326)-MONTH('Recurring Schedule'!$F$25),'Recurring Schedule'!$O$25)=0),IF('Recurring Schedule'!$E$25="Weekdays",WEEKDAY($A326,2)&lt;=5,$A326='Recurring Schedule'!$F$25))),20,""))))</f>
        <v/>
      </c>
      <c r="V326">
        <f>IF('Recurring Schedule'!$C$26="","",IF('Recurring Schedule'!$F$26="","",IF(OR($A326&lt;'Recurring Schedule'!$F$26,$A326&gt;'Recurring Schedule'!$P$26),"",IF(IF('Recurring Schedule'!$N$26&gt;0,MOD($A326-'Recurring Schedule'!$F$26,'Recurring Schedule'!$N$26)=0,IF('Recurring Schedule'!$O$26&gt;0,AND(DAY($A326)=MIN(DAY('Recurring Schedule'!$F$26),DAY(EOMONTH($A326,0))),MOD((YEAR($A326)-YEAR('Recurring Schedule'!$F$26))*12+MONTH($A326)-MONTH('Recurring Schedule'!$F$26),'Recurring Schedule'!$O$26)=0),IF('Recurring Schedule'!$E$26="Weekdays",WEEKDAY($A326,2)&lt;=5,$A326='Recurring Schedule'!$F$26))),21,""))))</f>
        <v/>
      </c>
      <c r="W326">
        <f>IF('Recurring Schedule'!$C$27="","",IF('Recurring Schedule'!$F$27="","",IF(OR($A326&lt;'Recurring Schedule'!$F$27,$A326&gt;'Recurring Schedule'!$P$27),"",IF(IF('Recurring Schedule'!$N$27&gt;0,MOD($A326-'Recurring Schedule'!$F$27,'Recurring Schedule'!$N$27)=0,IF('Recurring Schedule'!$O$27&gt;0,AND(DAY($A326)=MIN(DAY('Recurring Schedule'!$F$27),DAY(EOMONTH($A326,0))),MOD((YEAR($A326)-YEAR('Recurring Schedule'!$F$27))*12+MONTH($A326)-MONTH('Recurring Schedule'!$F$27),'Recurring Schedule'!$O$27)=0),IF('Recurring Schedule'!$E$27="Weekdays",WEEKDAY($A326,2)&lt;=5,$A326='Recurring Schedule'!$F$27))),22,""))))</f>
        <v/>
      </c>
      <c r="X326">
        <f>IF('Recurring Schedule'!$C$28="","",IF('Recurring Schedule'!$F$28="","",IF(OR($A326&lt;'Recurring Schedule'!$F$28,$A326&gt;'Recurring Schedule'!$P$28),"",IF(IF('Recurring Schedule'!$N$28&gt;0,MOD($A326-'Recurring Schedule'!$F$28,'Recurring Schedule'!$N$28)=0,IF('Recurring Schedule'!$O$28&gt;0,AND(DAY($A326)=MIN(DAY('Recurring Schedule'!$F$28),DAY(EOMONTH($A326,0))),MOD((YEAR($A326)-YEAR('Recurring Schedule'!$F$28))*12+MONTH($A326)-MONTH('Recurring Schedule'!$F$28),'Recurring Schedule'!$O$28)=0),IF('Recurring Schedule'!$E$28="Weekdays",WEEKDAY($A326,2)&lt;=5,$A326='Recurring Schedule'!$F$28))),23,""))))</f>
        <v/>
      </c>
      <c r="Y326">
        <f>IF('Recurring Schedule'!$C$29="","",IF('Recurring Schedule'!$F$29="","",IF(OR($A326&lt;'Recurring Schedule'!$F$29,$A326&gt;'Recurring Schedule'!$P$29),"",IF(IF('Recurring Schedule'!$N$29&gt;0,MOD($A326-'Recurring Schedule'!$F$29,'Recurring Schedule'!$N$29)=0,IF('Recurring Schedule'!$O$29&gt;0,AND(DAY($A326)=MIN(DAY('Recurring Schedule'!$F$29),DAY(EOMONTH($A326,0))),MOD((YEAR($A326)-YEAR('Recurring Schedule'!$F$29))*12+MONTH($A326)-MONTH('Recurring Schedule'!$F$29),'Recurring Schedule'!$O$29)=0),IF('Recurring Schedule'!$E$29="Weekdays",WEEKDAY($A326,2)&lt;=5,$A326='Recurring Schedule'!$F$29))),24,""))))</f>
        <v/>
      </c>
      <c r="Z326">
        <f>IF('Recurring Schedule'!$C$30="","",IF('Recurring Schedule'!$F$30="","",IF(OR($A326&lt;'Recurring Schedule'!$F$30,$A326&gt;'Recurring Schedule'!$P$30),"",IF(IF('Recurring Schedule'!$N$30&gt;0,MOD($A326-'Recurring Schedule'!$F$30,'Recurring Schedule'!$N$30)=0,IF('Recurring Schedule'!$O$30&gt;0,AND(DAY($A326)=MIN(DAY('Recurring Schedule'!$F$30),DAY(EOMONTH($A326,0))),MOD((YEAR($A326)-YEAR('Recurring Schedule'!$F$30))*12+MONTH($A326)-MONTH('Recurring Schedule'!$F$30),'Recurring Schedule'!$O$30)=0),IF('Recurring Schedule'!$E$30="Weekdays",WEEKDAY($A326,2)&lt;=5,$A326='Recurring Schedule'!$F$30))),25,""))))</f>
        <v/>
      </c>
      <c r="AA326">
        <f>IF('Recurring Schedule'!$C$31="","",IF('Recurring Schedule'!$F$31="","",IF(OR($A326&lt;'Recurring Schedule'!$F$31,$A326&gt;'Recurring Schedule'!$P$31),"",IF(IF('Recurring Schedule'!$N$31&gt;0,MOD($A326-'Recurring Schedule'!$F$31,'Recurring Schedule'!$N$31)=0,IF('Recurring Schedule'!$O$31&gt;0,AND(DAY($A326)=MIN(DAY('Recurring Schedule'!$F$31),DAY(EOMONTH($A326,0))),MOD((YEAR($A326)-YEAR('Recurring Schedule'!$F$31))*12+MONTH($A326)-MONTH('Recurring Schedule'!$F$31),'Recurring Schedule'!$O$31)=0),IF('Recurring Schedule'!$E$31="Weekdays",WEEKDAY($A326,2)&lt;=5,$A326='Recurring Schedule'!$F$31))),26,""))))</f>
        <v/>
      </c>
      <c r="AB326">
        <f>IF('Recurring Schedule'!$C$32="","",IF('Recurring Schedule'!$F$32="","",IF(OR($A326&lt;'Recurring Schedule'!$F$32,$A326&gt;'Recurring Schedule'!$P$32),"",IF(IF('Recurring Schedule'!$N$32&gt;0,MOD($A326-'Recurring Schedule'!$F$32,'Recurring Schedule'!$N$32)=0,IF('Recurring Schedule'!$O$32&gt;0,AND(DAY($A326)=MIN(DAY('Recurring Schedule'!$F$32),DAY(EOMONTH($A326,0))),MOD((YEAR($A326)-YEAR('Recurring Schedule'!$F$32))*12+MONTH($A326)-MONTH('Recurring Schedule'!$F$32),'Recurring Schedule'!$O$32)=0),IF('Recurring Schedule'!$E$32="Weekdays",WEEKDAY($A326,2)&lt;=5,$A326='Recurring Schedule'!$F$32))),27,""))))</f>
        <v/>
      </c>
      <c r="AC326">
        <f>IF('Recurring Schedule'!$C$33="","",IF('Recurring Schedule'!$F$33="","",IF(OR($A326&lt;'Recurring Schedule'!$F$33,$A326&gt;'Recurring Schedule'!$P$33),"",IF(IF('Recurring Schedule'!$N$33&gt;0,MOD($A326-'Recurring Schedule'!$F$33,'Recurring Schedule'!$N$33)=0,IF('Recurring Schedule'!$O$33&gt;0,AND(DAY($A326)=MIN(DAY('Recurring Schedule'!$F$33),DAY(EOMONTH($A326,0))),MOD((YEAR($A326)-YEAR('Recurring Schedule'!$F$33))*12+MONTH($A326)-MONTH('Recurring Schedule'!$F$33),'Recurring Schedule'!$O$33)=0),IF('Recurring Schedule'!$E$33="Weekdays",WEEKDAY($A326,2)&lt;=5,$A326='Recurring Schedule'!$F$33))),28,""))))</f>
        <v/>
      </c>
      <c r="AD326">
        <f>IF('Recurring Schedule'!$C$34="","",IF('Recurring Schedule'!$F$34="","",IF(OR($A326&lt;'Recurring Schedule'!$F$34,$A326&gt;'Recurring Schedule'!$P$34),"",IF(IF('Recurring Schedule'!$N$34&gt;0,MOD($A326-'Recurring Schedule'!$F$34,'Recurring Schedule'!$N$34)=0,IF('Recurring Schedule'!$O$34&gt;0,AND(DAY($A326)=MIN(DAY('Recurring Schedule'!$F$34),DAY(EOMONTH($A326,0))),MOD((YEAR($A326)-YEAR('Recurring Schedule'!$F$34))*12+MONTH($A326)-MONTH('Recurring Schedule'!$F$34),'Recurring Schedule'!$O$34)=0),IF('Recurring Schedule'!$E$34="Weekdays",WEEKDAY($A326,2)&lt;=5,$A326='Recurring Schedule'!$F$34))),29,""))))</f>
        <v/>
      </c>
      <c r="AE326">
        <f>IF('Recurring Schedule'!$C$35="","",IF('Recurring Schedule'!$F$35="","",IF(OR($A326&lt;'Recurring Schedule'!$F$35,$A326&gt;'Recurring Schedule'!$P$35),"",IF(IF('Recurring Schedule'!$N$35&gt;0,MOD($A326-'Recurring Schedule'!$F$35,'Recurring Schedule'!$N$35)=0,IF('Recurring Schedule'!$O$35&gt;0,AND(DAY($A326)=MIN(DAY('Recurring Schedule'!$F$35),DAY(EOMONTH($A326,0))),MOD((YEAR($A326)-YEAR('Recurring Schedule'!$F$35))*12+MONTH($A326)-MONTH('Recurring Schedule'!$F$35),'Recurring Schedule'!$O$35)=0),IF('Recurring Schedule'!$E$35="Weekdays",WEEKDAY($A326,2)&lt;=5,$A326='Recurring Schedule'!$F$35))),30,""))))</f>
        <v/>
      </c>
      <c r="AF326">
        <f>IF('Recurring Schedule'!$C$36="","",IF('Recurring Schedule'!$F$36="","",IF(OR($A326&lt;'Recurring Schedule'!$F$36,$A326&gt;'Recurring Schedule'!$P$36),"",IF(IF('Recurring Schedule'!$N$36&gt;0,MOD($A326-'Recurring Schedule'!$F$36,'Recurring Schedule'!$N$36)=0,IF('Recurring Schedule'!$O$36&gt;0,AND(DAY($A326)=MIN(DAY('Recurring Schedule'!$F$36),DAY(EOMONTH($A326,0))),MOD((YEAR($A326)-YEAR('Recurring Schedule'!$F$36))*12+MONTH($A326)-MONTH('Recurring Schedule'!$F$36),'Recurring Schedule'!$O$36)=0),IF('Recurring Schedule'!$E$36="Weekdays",WEEKDAY($A326,2)&lt;=5,$A326='Recurring Schedule'!$F$36))),31,""))))</f>
        <v/>
      </c>
      <c r="AG326">
        <f>IF('Recurring Schedule'!$C$37="","",IF('Recurring Schedule'!$F$37="","",IF(OR($A326&lt;'Recurring Schedule'!$F$37,$A326&gt;'Recurring Schedule'!$P$37),"",IF(IF('Recurring Schedule'!$N$37&gt;0,MOD($A326-'Recurring Schedule'!$F$37,'Recurring Schedule'!$N$37)=0,IF('Recurring Schedule'!$O$37&gt;0,AND(DAY($A326)=MIN(DAY('Recurring Schedule'!$F$37),DAY(EOMONTH($A326,0))),MOD((YEAR($A326)-YEAR('Recurring Schedule'!$F$37))*12+MONTH($A326)-MONTH('Recurring Schedule'!$F$37),'Recurring Schedule'!$O$37)=0),IF('Recurring Schedule'!$E$37="Weekdays",WEEKDAY($A326,2)&lt;=5,$A326='Recurring Schedule'!$F$37))),32,""))))</f>
        <v/>
      </c>
      <c r="AH326">
        <f>IF('Recurring Schedule'!$C$38="","",IF('Recurring Schedule'!$F$38="","",IF(OR($A326&lt;'Recurring Schedule'!$F$38,$A326&gt;'Recurring Schedule'!$P$38),"",IF(IF('Recurring Schedule'!$N$38&gt;0,MOD($A326-'Recurring Schedule'!$F$38,'Recurring Schedule'!$N$38)=0,IF('Recurring Schedule'!$O$38&gt;0,AND(DAY($A326)=MIN(DAY('Recurring Schedule'!$F$38),DAY(EOMONTH($A326,0))),MOD((YEAR($A326)-YEAR('Recurring Schedule'!$F$38))*12+MONTH($A326)-MONTH('Recurring Schedule'!$F$38),'Recurring Schedule'!$O$38)=0),IF('Recurring Schedule'!$E$38="Weekdays",WEEKDAY($A326,2)&lt;=5,$A326='Recurring Schedule'!$F$38))),33,""))))</f>
        <v/>
      </c>
      <c r="AI326">
        <f>IF('Recurring Schedule'!$C$39="","",IF('Recurring Schedule'!$F$39="","",IF(OR($A326&lt;'Recurring Schedule'!$F$39,$A326&gt;'Recurring Schedule'!$P$39),"",IF(IF('Recurring Schedule'!$N$39&gt;0,MOD($A326-'Recurring Schedule'!$F$39,'Recurring Schedule'!$N$39)=0,IF('Recurring Schedule'!$O$39&gt;0,AND(DAY($A326)=MIN(DAY('Recurring Schedule'!$F$39),DAY(EOMONTH($A326,0))),MOD((YEAR($A326)-YEAR('Recurring Schedule'!$F$39))*12+MONTH($A326)-MONTH('Recurring Schedule'!$F$39),'Recurring Schedule'!$O$39)=0),IF('Recurring Schedule'!$E$39="Weekdays",WEEKDAY($A326,2)&lt;=5,$A326='Recurring Schedule'!$F$39))),34,""))))</f>
        <v/>
      </c>
      <c r="AJ326">
        <f>IF('Recurring Schedule'!$C$40="","",IF('Recurring Schedule'!$F$40="","",IF(OR($A326&lt;'Recurring Schedule'!$F$40,$A326&gt;'Recurring Schedule'!$P$40),"",IF(IF('Recurring Schedule'!$N$40&gt;0,MOD($A326-'Recurring Schedule'!$F$40,'Recurring Schedule'!$N$40)=0,IF('Recurring Schedule'!$O$40&gt;0,AND(DAY($A326)=MIN(DAY('Recurring Schedule'!$F$40),DAY(EOMONTH($A326,0))),MOD((YEAR($A326)-YEAR('Recurring Schedule'!$F$40))*12+MONTH($A326)-MONTH('Recurring Schedule'!$F$40),'Recurring Schedule'!$O$40)=0),IF('Recurring Schedule'!$E$40="Weekdays",WEEKDAY($A326,2)&lt;=5,$A326='Recurring Schedule'!$F$40))),35,""))))</f>
        <v/>
      </c>
      <c r="AK326">
        <f>IF('Recurring Schedule'!$C$41="","",IF('Recurring Schedule'!$F$41="","",IF(OR($A326&lt;'Recurring Schedule'!$F$41,$A326&gt;'Recurring Schedule'!$P$41),"",IF(IF('Recurring Schedule'!$N$41&gt;0,MOD($A326-'Recurring Schedule'!$F$41,'Recurring Schedule'!$N$41)=0,IF('Recurring Schedule'!$O$41&gt;0,AND(DAY($A326)=MIN(DAY('Recurring Schedule'!$F$41),DAY(EOMONTH($A326,0))),MOD((YEAR($A326)-YEAR('Recurring Schedule'!$F$41))*12+MONTH($A326)-MONTH('Recurring Schedule'!$F$41),'Recurring Schedule'!$O$41)=0),IF('Recurring Schedule'!$E$41="Weekdays",WEEKDAY($A326,2)&lt;=5,$A326='Recurring Schedule'!$F$41))),36,""))))</f>
        <v/>
      </c>
      <c r="AL326">
        <f>IF('Recurring Schedule'!$C$42="","",IF('Recurring Schedule'!$F$42="","",IF(OR($A326&lt;'Recurring Schedule'!$F$42,$A326&gt;'Recurring Schedule'!$P$42),"",IF(IF('Recurring Schedule'!$N$42&gt;0,MOD($A326-'Recurring Schedule'!$F$42,'Recurring Schedule'!$N$42)=0,IF('Recurring Schedule'!$O$42&gt;0,AND(DAY($A326)=MIN(DAY('Recurring Schedule'!$F$42),DAY(EOMONTH($A326,0))),MOD((YEAR($A326)-YEAR('Recurring Schedule'!$F$42))*12+MONTH($A326)-MONTH('Recurring Schedule'!$F$42),'Recurring Schedule'!$O$42)=0),IF('Recurring Schedule'!$E$42="Weekdays",WEEKDAY($A326,2)&lt;=5,$A326='Recurring Schedule'!$F$42))),37,""))))</f>
        <v/>
      </c>
      <c r="AM326">
        <f>IF('Recurring Schedule'!$C$43="","",IF('Recurring Schedule'!$F$43="","",IF(OR($A326&lt;'Recurring Schedule'!$F$43,$A326&gt;'Recurring Schedule'!$P$43),"",IF(IF('Recurring Schedule'!$N$43&gt;0,MOD($A326-'Recurring Schedule'!$F$43,'Recurring Schedule'!$N$43)=0,IF('Recurring Schedule'!$O$43&gt;0,AND(DAY($A326)=MIN(DAY('Recurring Schedule'!$F$43),DAY(EOMONTH($A326,0))),MOD((YEAR($A326)-YEAR('Recurring Schedule'!$F$43))*12+MONTH($A326)-MONTH('Recurring Schedule'!$F$43),'Recurring Schedule'!$O$43)=0),IF('Recurring Schedule'!$E$43="Weekdays",WEEKDAY($A326,2)&lt;=5,$A326='Recurring Schedule'!$F$43))),38,""))))</f>
        <v/>
      </c>
      <c r="AN326">
        <f>IF('Recurring Schedule'!$C$44="","",IF('Recurring Schedule'!$F$44="","",IF(OR($A326&lt;'Recurring Schedule'!$F$44,$A326&gt;'Recurring Schedule'!$P$44),"",IF(IF('Recurring Schedule'!$N$44&gt;0,MOD($A326-'Recurring Schedule'!$F$44,'Recurring Schedule'!$N$44)=0,IF('Recurring Schedule'!$O$44&gt;0,AND(DAY($A326)=MIN(DAY('Recurring Schedule'!$F$44),DAY(EOMONTH($A326,0))),MOD((YEAR($A326)-YEAR('Recurring Schedule'!$F$44))*12+MONTH($A326)-MONTH('Recurring Schedule'!$F$44),'Recurring Schedule'!$O$44)=0),IF('Recurring Schedule'!$E$44="Weekdays",WEEKDAY($A326,2)&lt;=5,$A326='Recurring Schedule'!$F$44))),39,""))))</f>
        <v/>
      </c>
      <c r="AO326">
        <f>IF('Recurring Schedule'!$C$45="","",IF('Recurring Schedule'!$F$45="","",IF(OR($A326&lt;'Recurring Schedule'!$F$45,$A326&gt;'Recurring Schedule'!$P$45),"",IF(IF('Recurring Schedule'!$N$45&gt;0,MOD($A326-'Recurring Schedule'!$F$45,'Recurring Schedule'!$N$45)=0,IF('Recurring Schedule'!$O$45&gt;0,AND(DAY($A326)=MIN(DAY('Recurring Schedule'!$F$45),DAY(EOMONTH($A326,0))),MOD((YEAR($A326)-YEAR('Recurring Schedule'!$F$45))*12+MONTH($A326)-MONTH('Recurring Schedule'!$F$45),'Recurring Schedule'!$O$45)=0),IF('Recurring Schedule'!$E$45="Weekdays",WEEKDAY($A326,2)&lt;=5,$A326='Recurring Schedule'!$F$45))),40,""))))</f>
        <v/>
      </c>
      <c r="AP326">
        <f>COUNT(B326:AO326)</f>
        <v/>
      </c>
      <c r="AQ326">
        <f>AQ325+AP325</f>
        <v/>
      </c>
      <c r="AS326" t="inlineStr">
        <is>
          <t>R</t>
        </is>
      </c>
      <c r="AT326" t="n">
        <v>330</v>
      </c>
      <c r="AU326">
        <f>'Recurring Log'!C330&amp;""</f>
        <v/>
      </c>
      <c r="AV326">
        <f>'Recurring Log'!D330&amp;""</f>
        <v/>
      </c>
      <c r="AW326">
        <f>IF('Recurring Log'!E330="","",'Recurring Log'!E330)</f>
        <v/>
      </c>
      <c r="AX326">
        <f>IF('Recurring Log'!G330="","",'Recurring Log'!G330)</f>
        <v/>
      </c>
      <c r="AY326">
        <f>IF('Recurring Log'!H330="","",'Recurring Log'!H330)</f>
        <v/>
      </c>
      <c r="AZ326">
        <f>IF(AU326="","",IF('Recurring Log'!J330="","Not Started",'Recurring Log'!J330))</f>
        <v/>
      </c>
      <c r="BA326">
        <f>'Recurring Log'!L330&amp;""</f>
        <v/>
      </c>
      <c r="BB326">
        <f>'Recurring Log'!M330&amp;""</f>
        <v/>
      </c>
      <c r="BC326">
        <f>'Recurring Log'!N330&amp;""</f>
        <v/>
      </c>
      <c r="BD326">
        <f>'Recurring Log'!O330&amp;""</f>
        <v/>
      </c>
      <c r="BE326">
        <f>IF('Recurring Log'!K330="","",'Recurring Log'!K330)</f>
        <v/>
      </c>
      <c r="BF326">
        <f>IFERROR(MATCH(BA326,Setup!$L$6:$L$9,0),5)</f>
        <v/>
      </c>
      <c r="BG326">
        <f>IF(OR(AZ326="Done",AZ326="Cancelled"),1,0)</f>
        <v/>
      </c>
      <c r="BH326">
        <f>IF(AND(AU326&lt;&gt;"",ISNUMBER(AW326)),1,0)</f>
        <v/>
      </c>
      <c r="BI326">
        <f>IF(BH326=0,0,IF(AND(AW326&gt;='Tasks Filter'!$F$3,AW326&lt;='Tasks Filter'!$F$4,OR('Tasks Filter'!$I$3="",ISNUMBER(SEARCH('Tasks Filter'!$I$3,AU326))),OR('Tasks Filter'!$I$4="",BF326=IFERROR(MATCH('Tasks Filter'!$I$4,Setup!$L$6:$L$9,0),0)),OR('Tasks Filter'!$I$5="Both",AND('Tasks Filter'!$I$5="Yes",BB326="✓"),AND('Tasks Filter'!$I$5="No",BB326&lt;&gt;"✓")),OR('Tasks Filter'!$L$3="",AV326='Tasks Filter'!$L$3),OR('Tasks Filter'!$L$4="",AZ326='Tasks Filter'!$L$4),OR('Tasks Filter'!$L$5="",BC326='Tasks Filter'!$L$5),OR('Tasks Filter'!$O$3="",BD326='Tasks Filter'!$O$3),OR('Tasks Filter'!$O$4="Yes",BG326=0)),1,0))</f>
        <v/>
      </c>
      <c r="BJ326">
        <f>IF(BH326=0,"",IF('Tasks Filter'!$F$6="Descending",-1,1)*CHOOSE(MATCH('Tasks Filter'!$F$5,Lists!$G$2:$G$6,0),AW326,BF326,IFERROR(MATCH(AV326,Setup!$F$6:$F$15,0),99),IFERROR(MATCH(BC326,Setup!$H$6:$H$15,0),99),IFERROR(MATCH(AZ326,Setup!$J$6:$J$11,0),99))*1E+9+(AW326-40000)*10000+325)</f>
        <v/>
      </c>
      <c r="BK326">
        <f>IF(BI326=1,BJ326,"")</f>
        <v/>
      </c>
      <c r="BL326">
        <f>IF(AND(BH326=1,BG326=0,N(AW326)&lt;Setup!$D$7),(AW326-40000)*10000+325,"")</f>
        <v/>
      </c>
      <c r="BM326">
        <f>IF(AND(BH326=1,AZ326&lt;&gt;"Cancelled",N(AW326)&gt;=Dashboard!$AB$3,N(AW326)&lt;=Dashboard!$AB$3+6),(AW326-40000)*100000+BF326*10000+325,"")</f>
        <v/>
      </c>
      <c r="BN326">
        <f>IF(AND(BH326=1,AZ326&lt;&gt;"Cancelled"),BF326*10000+325,"")</f>
        <v/>
      </c>
    </row>
    <row r="327">
      <c r="A327">
        <f>Setup!$D$5+325</f>
        <v/>
      </c>
      <c r="B327">
        <f>IF('Recurring Schedule'!$C$6="","",IF('Recurring Schedule'!$F$6="","",IF(OR($A327&lt;'Recurring Schedule'!$F$6,$A327&gt;'Recurring Schedule'!$P$6),"",IF(IF('Recurring Schedule'!$N$6&gt;0,MOD($A327-'Recurring Schedule'!$F$6,'Recurring Schedule'!$N$6)=0,IF('Recurring Schedule'!$O$6&gt;0,AND(DAY($A327)=MIN(DAY('Recurring Schedule'!$F$6),DAY(EOMONTH($A327,0))),MOD((YEAR($A327)-YEAR('Recurring Schedule'!$F$6))*12+MONTH($A327)-MONTH('Recurring Schedule'!$F$6),'Recurring Schedule'!$O$6)=0),IF('Recurring Schedule'!$E$6="Weekdays",WEEKDAY($A327,2)&lt;=5,$A327='Recurring Schedule'!$F$6))),1,""))))</f>
        <v/>
      </c>
      <c r="C327">
        <f>IF('Recurring Schedule'!$C$7="","",IF('Recurring Schedule'!$F$7="","",IF(OR($A327&lt;'Recurring Schedule'!$F$7,$A327&gt;'Recurring Schedule'!$P$7),"",IF(IF('Recurring Schedule'!$N$7&gt;0,MOD($A327-'Recurring Schedule'!$F$7,'Recurring Schedule'!$N$7)=0,IF('Recurring Schedule'!$O$7&gt;0,AND(DAY($A327)=MIN(DAY('Recurring Schedule'!$F$7),DAY(EOMONTH($A327,0))),MOD((YEAR($A327)-YEAR('Recurring Schedule'!$F$7))*12+MONTH($A327)-MONTH('Recurring Schedule'!$F$7),'Recurring Schedule'!$O$7)=0),IF('Recurring Schedule'!$E$7="Weekdays",WEEKDAY($A327,2)&lt;=5,$A327='Recurring Schedule'!$F$7))),2,""))))</f>
        <v/>
      </c>
      <c r="D327">
        <f>IF('Recurring Schedule'!$C$8="","",IF('Recurring Schedule'!$F$8="","",IF(OR($A327&lt;'Recurring Schedule'!$F$8,$A327&gt;'Recurring Schedule'!$P$8),"",IF(IF('Recurring Schedule'!$N$8&gt;0,MOD($A327-'Recurring Schedule'!$F$8,'Recurring Schedule'!$N$8)=0,IF('Recurring Schedule'!$O$8&gt;0,AND(DAY($A327)=MIN(DAY('Recurring Schedule'!$F$8),DAY(EOMONTH($A327,0))),MOD((YEAR($A327)-YEAR('Recurring Schedule'!$F$8))*12+MONTH($A327)-MONTH('Recurring Schedule'!$F$8),'Recurring Schedule'!$O$8)=0),IF('Recurring Schedule'!$E$8="Weekdays",WEEKDAY($A327,2)&lt;=5,$A327='Recurring Schedule'!$F$8))),3,""))))</f>
        <v/>
      </c>
      <c r="E327">
        <f>IF('Recurring Schedule'!$C$9="","",IF('Recurring Schedule'!$F$9="","",IF(OR($A327&lt;'Recurring Schedule'!$F$9,$A327&gt;'Recurring Schedule'!$P$9),"",IF(IF('Recurring Schedule'!$N$9&gt;0,MOD($A327-'Recurring Schedule'!$F$9,'Recurring Schedule'!$N$9)=0,IF('Recurring Schedule'!$O$9&gt;0,AND(DAY($A327)=MIN(DAY('Recurring Schedule'!$F$9),DAY(EOMONTH($A327,0))),MOD((YEAR($A327)-YEAR('Recurring Schedule'!$F$9))*12+MONTH($A327)-MONTH('Recurring Schedule'!$F$9),'Recurring Schedule'!$O$9)=0),IF('Recurring Schedule'!$E$9="Weekdays",WEEKDAY($A327,2)&lt;=5,$A327='Recurring Schedule'!$F$9))),4,""))))</f>
        <v/>
      </c>
      <c r="F327">
        <f>IF('Recurring Schedule'!$C$10="","",IF('Recurring Schedule'!$F$10="","",IF(OR($A327&lt;'Recurring Schedule'!$F$10,$A327&gt;'Recurring Schedule'!$P$10),"",IF(IF('Recurring Schedule'!$N$10&gt;0,MOD($A327-'Recurring Schedule'!$F$10,'Recurring Schedule'!$N$10)=0,IF('Recurring Schedule'!$O$10&gt;0,AND(DAY($A327)=MIN(DAY('Recurring Schedule'!$F$10),DAY(EOMONTH($A327,0))),MOD((YEAR($A327)-YEAR('Recurring Schedule'!$F$10))*12+MONTH($A327)-MONTH('Recurring Schedule'!$F$10),'Recurring Schedule'!$O$10)=0),IF('Recurring Schedule'!$E$10="Weekdays",WEEKDAY($A327,2)&lt;=5,$A327='Recurring Schedule'!$F$10))),5,""))))</f>
        <v/>
      </c>
      <c r="G327">
        <f>IF('Recurring Schedule'!$C$11="","",IF('Recurring Schedule'!$F$11="","",IF(OR($A327&lt;'Recurring Schedule'!$F$11,$A327&gt;'Recurring Schedule'!$P$11),"",IF(IF('Recurring Schedule'!$N$11&gt;0,MOD($A327-'Recurring Schedule'!$F$11,'Recurring Schedule'!$N$11)=0,IF('Recurring Schedule'!$O$11&gt;0,AND(DAY($A327)=MIN(DAY('Recurring Schedule'!$F$11),DAY(EOMONTH($A327,0))),MOD((YEAR($A327)-YEAR('Recurring Schedule'!$F$11))*12+MONTH($A327)-MONTH('Recurring Schedule'!$F$11),'Recurring Schedule'!$O$11)=0),IF('Recurring Schedule'!$E$11="Weekdays",WEEKDAY($A327,2)&lt;=5,$A327='Recurring Schedule'!$F$11))),6,""))))</f>
        <v/>
      </c>
      <c r="H327">
        <f>IF('Recurring Schedule'!$C$12="","",IF('Recurring Schedule'!$F$12="","",IF(OR($A327&lt;'Recurring Schedule'!$F$12,$A327&gt;'Recurring Schedule'!$P$12),"",IF(IF('Recurring Schedule'!$N$12&gt;0,MOD($A327-'Recurring Schedule'!$F$12,'Recurring Schedule'!$N$12)=0,IF('Recurring Schedule'!$O$12&gt;0,AND(DAY($A327)=MIN(DAY('Recurring Schedule'!$F$12),DAY(EOMONTH($A327,0))),MOD((YEAR($A327)-YEAR('Recurring Schedule'!$F$12))*12+MONTH($A327)-MONTH('Recurring Schedule'!$F$12),'Recurring Schedule'!$O$12)=0),IF('Recurring Schedule'!$E$12="Weekdays",WEEKDAY($A327,2)&lt;=5,$A327='Recurring Schedule'!$F$12))),7,""))))</f>
        <v/>
      </c>
      <c r="I327">
        <f>IF('Recurring Schedule'!$C$13="","",IF('Recurring Schedule'!$F$13="","",IF(OR($A327&lt;'Recurring Schedule'!$F$13,$A327&gt;'Recurring Schedule'!$P$13),"",IF(IF('Recurring Schedule'!$N$13&gt;0,MOD($A327-'Recurring Schedule'!$F$13,'Recurring Schedule'!$N$13)=0,IF('Recurring Schedule'!$O$13&gt;0,AND(DAY($A327)=MIN(DAY('Recurring Schedule'!$F$13),DAY(EOMONTH($A327,0))),MOD((YEAR($A327)-YEAR('Recurring Schedule'!$F$13))*12+MONTH($A327)-MONTH('Recurring Schedule'!$F$13),'Recurring Schedule'!$O$13)=0),IF('Recurring Schedule'!$E$13="Weekdays",WEEKDAY($A327,2)&lt;=5,$A327='Recurring Schedule'!$F$13))),8,""))))</f>
        <v/>
      </c>
      <c r="J327">
        <f>IF('Recurring Schedule'!$C$14="","",IF('Recurring Schedule'!$F$14="","",IF(OR($A327&lt;'Recurring Schedule'!$F$14,$A327&gt;'Recurring Schedule'!$P$14),"",IF(IF('Recurring Schedule'!$N$14&gt;0,MOD($A327-'Recurring Schedule'!$F$14,'Recurring Schedule'!$N$14)=0,IF('Recurring Schedule'!$O$14&gt;0,AND(DAY($A327)=MIN(DAY('Recurring Schedule'!$F$14),DAY(EOMONTH($A327,0))),MOD((YEAR($A327)-YEAR('Recurring Schedule'!$F$14))*12+MONTH($A327)-MONTH('Recurring Schedule'!$F$14),'Recurring Schedule'!$O$14)=0),IF('Recurring Schedule'!$E$14="Weekdays",WEEKDAY($A327,2)&lt;=5,$A327='Recurring Schedule'!$F$14))),9,""))))</f>
        <v/>
      </c>
      <c r="K327">
        <f>IF('Recurring Schedule'!$C$15="","",IF('Recurring Schedule'!$F$15="","",IF(OR($A327&lt;'Recurring Schedule'!$F$15,$A327&gt;'Recurring Schedule'!$P$15),"",IF(IF('Recurring Schedule'!$N$15&gt;0,MOD($A327-'Recurring Schedule'!$F$15,'Recurring Schedule'!$N$15)=0,IF('Recurring Schedule'!$O$15&gt;0,AND(DAY($A327)=MIN(DAY('Recurring Schedule'!$F$15),DAY(EOMONTH($A327,0))),MOD((YEAR($A327)-YEAR('Recurring Schedule'!$F$15))*12+MONTH($A327)-MONTH('Recurring Schedule'!$F$15),'Recurring Schedule'!$O$15)=0),IF('Recurring Schedule'!$E$15="Weekdays",WEEKDAY($A327,2)&lt;=5,$A327='Recurring Schedule'!$F$15))),10,""))))</f>
        <v/>
      </c>
      <c r="L327">
        <f>IF('Recurring Schedule'!$C$16="","",IF('Recurring Schedule'!$F$16="","",IF(OR($A327&lt;'Recurring Schedule'!$F$16,$A327&gt;'Recurring Schedule'!$P$16),"",IF(IF('Recurring Schedule'!$N$16&gt;0,MOD($A327-'Recurring Schedule'!$F$16,'Recurring Schedule'!$N$16)=0,IF('Recurring Schedule'!$O$16&gt;0,AND(DAY($A327)=MIN(DAY('Recurring Schedule'!$F$16),DAY(EOMONTH($A327,0))),MOD((YEAR($A327)-YEAR('Recurring Schedule'!$F$16))*12+MONTH($A327)-MONTH('Recurring Schedule'!$F$16),'Recurring Schedule'!$O$16)=0),IF('Recurring Schedule'!$E$16="Weekdays",WEEKDAY($A327,2)&lt;=5,$A327='Recurring Schedule'!$F$16))),11,""))))</f>
        <v/>
      </c>
      <c r="M327">
        <f>IF('Recurring Schedule'!$C$17="","",IF('Recurring Schedule'!$F$17="","",IF(OR($A327&lt;'Recurring Schedule'!$F$17,$A327&gt;'Recurring Schedule'!$P$17),"",IF(IF('Recurring Schedule'!$N$17&gt;0,MOD($A327-'Recurring Schedule'!$F$17,'Recurring Schedule'!$N$17)=0,IF('Recurring Schedule'!$O$17&gt;0,AND(DAY($A327)=MIN(DAY('Recurring Schedule'!$F$17),DAY(EOMONTH($A327,0))),MOD((YEAR($A327)-YEAR('Recurring Schedule'!$F$17))*12+MONTH($A327)-MONTH('Recurring Schedule'!$F$17),'Recurring Schedule'!$O$17)=0),IF('Recurring Schedule'!$E$17="Weekdays",WEEKDAY($A327,2)&lt;=5,$A327='Recurring Schedule'!$F$17))),12,""))))</f>
        <v/>
      </c>
      <c r="N327">
        <f>IF('Recurring Schedule'!$C$18="","",IF('Recurring Schedule'!$F$18="","",IF(OR($A327&lt;'Recurring Schedule'!$F$18,$A327&gt;'Recurring Schedule'!$P$18),"",IF(IF('Recurring Schedule'!$N$18&gt;0,MOD($A327-'Recurring Schedule'!$F$18,'Recurring Schedule'!$N$18)=0,IF('Recurring Schedule'!$O$18&gt;0,AND(DAY($A327)=MIN(DAY('Recurring Schedule'!$F$18),DAY(EOMONTH($A327,0))),MOD((YEAR($A327)-YEAR('Recurring Schedule'!$F$18))*12+MONTH($A327)-MONTH('Recurring Schedule'!$F$18),'Recurring Schedule'!$O$18)=0),IF('Recurring Schedule'!$E$18="Weekdays",WEEKDAY($A327,2)&lt;=5,$A327='Recurring Schedule'!$F$18))),13,""))))</f>
        <v/>
      </c>
      <c r="O327">
        <f>IF('Recurring Schedule'!$C$19="","",IF('Recurring Schedule'!$F$19="","",IF(OR($A327&lt;'Recurring Schedule'!$F$19,$A327&gt;'Recurring Schedule'!$P$19),"",IF(IF('Recurring Schedule'!$N$19&gt;0,MOD($A327-'Recurring Schedule'!$F$19,'Recurring Schedule'!$N$19)=0,IF('Recurring Schedule'!$O$19&gt;0,AND(DAY($A327)=MIN(DAY('Recurring Schedule'!$F$19),DAY(EOMONTH($A327,0))),MOD((YEAR($A327)-YEAR('Recurring Schedule'!$F$19))*12+MONTH($A327)-MONTH('Recurring Schedule'!$F$19),'Recurring Schedule'!$O$19)=0),IF('Recurring Schedule'!$E$19="Weekdays",WEEKDAY($A327,2)&lt;=5,$A327='Recurring Schedule'!$F$19))),14,""))))</f>
        <v/>
      </c>
      <c r="P327">
        <f>IF('Recurring Schedule'!$C$20="","",IF('Recurring Schedule'!$F$20="","",IF(OR($A327&lt;'Recurring Schedule'!$F$20,$A327&gt;'Recurring Schedule'!$P$20),"",IF(IF('Recurring Schedule'!$N$20&gt;0,MOD($A327-'Recurring Schedule'!$F$20,'Recurring Schedule'!$N$20)=0,IF('Recurring Schedule'!$O$20&gt;0,AND(DAY($A327)=MIN(DAY('Recurring Schedule'!$F$20),DAY(EOMONTH($A327,0))),MOD((YEAR($A327)-YEAR('Recurring Schedule'!$F$20))*12+MONTH($A327)-MONTH('Recurring Schedule'!$F$20),'Recurring Schedule'!$O$20)=0),IF('Recurring Schedule'!$E$20="Weekdays",WEEKDAY($A327,2)&lt;=5,$A327='Recurring Schedule'!$F$20))),15,""))))</f>
        <v/>
      </c>
      <c r="Q327">
        <f>IF('Recurring Schedule'!$C$21="","",IF('Recurring Schedule'!$F$21="","",IF(OR($A327&lt;'Recurring Schedule'!$F$21,$A327&gt;'Recurring Schedule'!$P$21),"",IF(IF('Recurring Schedule'!$N$21&gt;0,MOD($A327-'Recurring Schedule'!$F$21,'Recurring Schedule'!$N$21)=0,IF('Recurring Schedule'!$O$21&gt;0,AND(DAY($A327)=MIN(DAY('Recurring Schedule'!$F$21),DAY(EOMONTH($A327,0))),MOD((YEAR($A327)-YEAR('Recurring Schedule'!$F$21))*12+MONTH($A327)-MONTH('Recurring Schedule'!$F$21),'Recurring Schedule'!$O$21)=0),IF('Recurring Schedule'!$E$21="Weekdays",WEEKDAY($A327,2)&lt;=5,$A327='Recurring Schedule'!$F$21))),16,""))))</f>
        <v/>
      </c>
      <c r="R327">
        <f>IF('Recurring Schedule'!$C$22="","",IF('Recurring Schedule'!$F$22="","",IF(OR($A327&lt;'Recurring Schedule'!$F$22,$A327&gt;'Recurring Schedule'!$P$22),"",IF(IF('Recurring Schedule'!$N$22&gt;0,MOD($A327-'Recurring Schedule'!$F$22,'Recurring Schedule'!$N$22)=0,IF('Recurring Schedule'!$O$22&gt;0,AND(DAY($A327)=MIN(DAY('Recurring Schedule'!$F$22),DAY(EOMONTH($A327,0))),MOD((YEAR($A327)-YEAR('Recurring Schedule'!$F$22))*12+MONTH($A327)-MONTH('Recurring Schedule'!$F$22),'Recurring Schedule'!$O$22)=0),IF('Recurring Schedule'!$E$22="Weekdays",WEEKDAY($A327,2)&lt;=5,$A327='Recurring Schedule'!$F$22))),17,""))))</f>
        <v/>
      </c>
      <c r="S327">
        <f>IF('Recurring Schedule'!$C$23="","",IF('Recurring Schedule'!$F$23="","",IF(OR($A327&lt;'Recurring Schedule'!$F$23,$A327&gt;'Recurring Schedule'!$P$23),"",IF(IF('Recurring Schedule'!$N$23&gt;0,MOD($A327-'Recurring Schedule'!$F$23,'Recurring Schedule'!$N$23)=0,IF('Recurring Schedule'!$O$23&gt;0,AND(DAY($A327)=MIN(DAY('Recurring Schedule'!$F$23),DAY(EOMONTH($A327,0))),MOD((YEAR($A327)-YEAR('Recurring Schedule'!$F$23))*12+MONTH($A327)-MONTH('Recurring Schedule'!$F$23),'Recurring Schedule'!$O$23)=0),IF('Recurring Schedule'!$E$23="Weekdays",WEEKDAY($A327,2)&lt;=5,$A327='Recurring Schedule'!$F$23))),18,""))))</f>
        <v/>
      </c>
      <c r="T327">
        <f>IF('Recurring Schedule'!$C$24="","",IF('Recurring Schedule'!$F$24="","",IF(OR($A327&lt;'Recurring Schedule'!$F$24,$A327&gt;'Recurring Schedule'!$P$24),"",IF(IF('Recurring Schedule'!$N$24&gt;0,MOD($A327-'Recurring Schedule'!$F$24,'Recurring Schedule'!$N$24)=0,IF('Recurring Schedule'!$O$24&gt;0,AND(DAY($A327)=MIN(DAY('Recurring Schedule'!$F$24),DAY(EOMONTH($A327,0))),MOD((YEAR($A327)-YEAR('Recurring Schedule'!$F$24))*12+MONTH($A327)-MONTH('Recurring Schedule'!$F$24),'Recurring Schedule'!$O$24)=0),IF('Recurring Schedule'!$E$24="Weekdays",WEEKDAY($A327,2)&lt;=5,$A327='Recurring Schedule'!$F$24))),19,""))))</f>
        <v/>
      </c>
      <c r="U327">
        <f>IF('Recurring Schedule'!$C$25="","",IF('Recurring Schedule'!$F$25="","",IF(OR($A327&lt;'Recurring Schedule'!$F$25,$A327&gt;'Recurring Schedule'!$P$25),"",IF(IF('Recurring Schedule'!$N$25&gt;0,MOD($A327-'Recurring Schedule'!$F$25,'Recurring Schedule'!$N$25)=0,IF('Recurring Schedule'!$O$25&gt;0,AND(DAY($A327)=MIN(DAY('Recurring Schedule'!$F$25),DAY(EOMONTH($A327,0))),MOD((YEAR($A327)-YEAR('Recurring Schedule'!$F$25))*12+MONTH($A327)-MONTH('Recurring Schedule'!$F$25),'Recurring Schedule'!$O$25)=0),IF('Recurring Schedule'!$E$25="Weekdays",WEEKDAY($A327,2)&lt;=5,$A327='Recurring Schedule'!$F$25))),20,""))))</f>
        <v/>
      </c>
      <c r="V327">
        <f>IF('Recurring Schedule'!$C$26="","",IF('Recurring Schedule'!$F$26="","",IF(OR($A327&lt;'Recurring Schedule'!$F$26,$A327&gt;'Recurring Schedule'!$P$26),"",IF(IF('Recurring Schedule'!$N$26&gt;0,MOD($A327-'Recurring Schedule'!$F$26,'Recurring Schedule'!$N$26)=0,IF('Recurring Schedule'!$O$26&gt;0,AND(DAY($A327)=MIN(DAY('Recurring Schedule'!$F$26),DAY(EOMONTH($A327,0))),MOD((YEAR($A327)-YEAR('Recurring Schedule'!$F$26))*12+MONTH($A327)-MONTH('Recurring Schedule'!$F$26),'Recurring Schedule'!$O$26)=0),IF('Recurring Schedule'!$E$26="Weekdays",WEEKDAY($A327,2)&lt;=5,$A327='Recurring Schedule'!$F$26))),21,""))))</f>
        <v/>
      </c>
      <c r="W327">
        <f>IF('Recurring Schedule'!$C$27="","",IF('Recurring Schedule'!$F$27="","",IF(OR($A327&lt;'Recurring Schedule'!$F$27,$A327&gt;'Recurring Schedule'!$P$27),"",IF(IF('Recurring Schedule'!$N$27&gt;0,MOD($A327-'Recurring Schedule'!$F$27,'Recurring Schedule'!$N$27)=0,IF('Recurring Schedule'!$O$27&gt;0,AND(DAY($A327)=MIN(DAY('Recurring Schedule'!$F$27),DAY(EOMONTH($A327,0))),MOD((YEAR($A327)-YEAR('Recurring Schedule'!$F$27))*12+MONTH($A327)-MONTH('Recurring Schedule'!$F$27),'Recurring Schedule'!$O$27)=0),IF('Recurring Schedule'!$E$27="Weekdays",WEEKDAY($A327,2)&lt;=5,$A327='Recurring Schedule'!$F$27))),22,""))))</f>
        <v/>
      </c>
      <c r="X327">
        <f>IF('Recurring Schedule'!$C$28="","",IF('Recurring Schedule'!$F$28="","",IF(OR($A327&lt;'Recurring Schedule'!$F$28,$A327&gt;'Recurring Schedule'!$P$28),"",IF(IF('Recurring Schedule'!$N$28&gt;0,MOD($A327-'Recurring Schedule'!$F$28,'Recurring Schedule'!$N$28)=0,IF('Recurring Schedule'!$O$28&gt;0,AND(DAY($A327)=MIN(DAY('Recurring Schedule'!$F$28),DAY(EOMONTH($A327,0))),MOD((YEAR($A327)-YEAR('Recurring Schedule'!$F$28))*12+MONTH($A327)-MONTH('Recurring Schedule'!$F$28),'Recurring Schedule'!$O$28)=0),IF('Recurring Schedule'!$E$28="Weekdays",WEEKDAY($A327,2)&lt;=5,$A327='Recurring Schedule'!$F$28))),23,""))))</f>
        <v/>
      </c>
      <c r="Y327">
        <f>IF('Recurring Schedule'!$C$29="","",IF('Recurring Schedule'!$F$29="","",IF(OR($A327&lt;'Recurring Schedule'!$F$29,$A327&gt;'Recurring Schedule'!$P$29),"",IF(IF('Recurring Schedule'!$N$29&gt;0,MOD($A327-'Recurring Schedule'!$F$29,'Recurring Schedule'!$N$29)=0,IF('Recurring Schedule'!$O$29&gt;0,AND(DAY($A327)=MIN(DAY('Recurring Schedule'!$F$29),DAY(EOMONTH($A327,0))),MOD((YEAR($A327)-YEAR('Recurring Schedule'!$F$29))*12+MONTH($A327)-MONTH('Recurring Schedule'!$F$29),'Recurring Schedule'!$O$29)=0),IF('Recurring Schedule'!$E$29="Weekdays",WEEKDAY($A327,2)&lt;=5,$A327='Recurring Schedule'!$F$29))),24,""))))</f>
        <v/>
      </c>
      <c r="Z327">
        <f>IF('Recurring Schedule'!$C$30="","",IF('Recurring Schedule'!$F$30="","",IF(OR($A327&lt;'Recurring Schedule'!$F$30,$A327&gt;'Recurring Schedule'!$P$30),"",IF(IF('Recurring Schedule'!$N$30&gt;0,MOD($A327-'Recurring Schedule'!$F$30,'Recurring Schedule'!$N$30)=0,IF('Recurring Schedule'!$O$30&gt;0,AND(DAY($A327)=MIN(DAY('Recurring Schedule'!$F$30),DAY(EOMONTH($A327,0))),MOD((YEAR($A327)-YEAR('Recurring Schedule'!$F$30))*12+MONTH($A327)-MONTH('Recurring Schedule'!$F$30),'Recurring Schedule'!$O$30)=0),IF('Recurring Schedule'!$E$30="Weekdays",WEEKDAY($A327,2)&lt;=5,$A327='Recurring Schedule'!$F$30))),25,""))))</f>
        <v/>
      </c>
      <c r="AA327">
        <f>IF('Recurring Schedule'!$C$31="","",IF('Recurring Schedule'!$F$31="","",IF(OR($A327&lt;'Recurring Schedule'!$F$31,$A327&gt;'Recurring Schedule'!$P$31),"",IF(IF('Recurring Schedule'!$N$31&gt;0,MOD($A327-'Recurring Schedule'!$F$31,'Recurring Schedule'!$N$31)=0,IF('Recurring Schedule'!$O$31&gt;0,AND(DAY($A327)=MIN(DAY('Recurring Schedule'!$F$31),DAY(EOMONTH($A327,0))),MOD((YEAR($A327)-YEAR('Recurring Schedule'!$F$31))*12+MONTH($A327)-MONTH('Recurring Schedule'!$F$31),'Recurring Schedule'!$O$31)=0),IF('Recurring Schedule'!$E$31="Weekdays",WEEKDAY($A327,2)&lt;=5,$A327='Recurring Schedule'!$F$31))),26,""))))</f>
        <v/>
      </c>
      <c r="AB327">
        <f>IF('Recurring Schedule'!$C$32="","",IF('Recurring Schedule'!$F$32="","",IF(OR($A327&lt;'Recurring Schedule'!$F$32,$A327&gt;'Recurring Schedule'!$P$32),"",IF(IF('Recurring Schedule'!$N$32&gt;0,MOD($A327-'Recurring Schedule'!$F$32,'Recurring Schedule'!$N$32)=0,IF('Recurring Schedule'!$O$32&gt;0,AND(DAY($A327)=MIN(DAY('Recurring Schedule'!$F$32),DAY(EOMONTH($A327,0))),MOD((YEAR($A327)-YEAR('Recurring Schedule'!$F$32))*12+MONTH($A327)-MONTH('Recurring Schedule'!$F$32),'Recurring Schedule'!$O$32)=0),IF('Recurring Schedule'!$E$32="Weekdays",WEEKDAY($A327,2)&lt;=5,$A327='Recurring Schedule'!$F$32))),27,""))))</f>
        <v/>
      </c>
      <c r="AC327">
        <f>IF('Recurring Schedule'!$C$33="","",IF('Recurring Schedule'!$F$33="","",IF(OR($A327&lt;'Recurring Schedule'!$F$33,$A327&gt;'Recurring Schedule'!$P$33),"",IF(IF('Recurring Schedule'!$N$33&gt;0,MOD($A327-'Recurring Schedule'!$F$33,'Recurring Schedule'!$N$33)=0,IF('Recurring Schedule'!$O$33&gt;0,AND(DAY($A327)=MIN(DAY('Recurring Schedule'!$F$33),DAY(EOMONTH($A327,0))),MOD((YEAR($A327)-YEAR('Recurring Schedule'!$F$33))*12+MONTH($A327)-MONTH('Recurring Schedule'!$F$33),'Recurring Schedule'!$O$33)=0),IF('Recurring Schedule'!$E$33="Weekdays",WEEKDAY($A327,2)&lt;=5,$A327='Recurring Schedule'!$F$33))),28,""))))</f>
        <v/>
      </c>
      <c r="AD327">
        <f>IF('Recurring Schedule'!$C$34="","",IF('Recurring Schedule'!$F$34="","",IF(OR($A327&lt;'Recurring Schedule'!$F$34,$A327&gt;'Recurring Schedule'!$P$34),"",IF(IF('Recurring Schedule'!$N$34&gt;0,MOD($A327-'Recurring Schedule'!$F$34,'Recurring Schedule'!$N$34)=0,IF('Recurring Schedule'!$O$34&gt;0,AND(DAY($A327)=MIN(DAY('Recurring Schedule'!$F$34),DAY(EOMONTH($A327,0))),MOD((YEAR($A327)-YEAR('Recurring Schedule'!$F$34))*12+MONTH($A327)-MONTH('Recurring Schedule'!$F$34),'Recurring Schedule'!$O$34)=0),IF('Recurring Schedule'!$E$34="Weekdays",WEEKDAY($A327,2)&lt;=5,$A327='Recurring Schedule'!$F$34))),29,""))))</f>
        <v/>
      </c>
      <c r="AE327">
        <f>IF('Recurring Schedule'!$C$35="","",IF('Recurring Schedule'!$F$35="","",IF(OR($A327&lt;'Recurring Schedule'!$F$35,$A327&gt;'Recurring Schedule'!$P$35),"",IF(IF('Recurring Schedule'!$N$35&gt;0,MOD($A327-'Recurring Schedule'!$F$35,'Recurring Schedule'!$N$35)=0,IF('Recurring Schedule'!$O$35&gt;0,AND(DAY($A327)=MIN(DAY('Recurring Schedule'!$F$35),DAY(EOMONTH($A327,0))),MOD((YEAR($A327)-YEAR('Recurring Schedule'!$F$35))*12+MONTH($A327)-MONTH('Recurring Schedule'!$F$35),'Recurring Schedule'!$O$35)=0),IF('Recurring Schedule'!$E$35="Weekdays",WEEKDAY($A327,2)&lt;=5,$A327='Recurring Schedule'!$F$35))),30,""))))</f>
        <v/>
      </c>
      <c r="AF327">
        <f>IF('Recurring Schedule'!$C$36="","",IF('Recurring Schedule'!$F$36="","",IF(OR($A327&lt;'Recurring Schedule'!$F$36,$A327&gt;'Recurring Schedule'!$P$36),"",IF(IF('Recurring Schedule'!$N$36&gt;0,MOD($A327-'Recurring Schedule'!$F$36,'Recurring Schedule'!$N$36)=0,IF('Recurring Schedule'!$O$36&gt;0,AND(DAY($A327)=MIN(DAY('Recurring Schedule'!$F$36),DAY(EOMONTH($A327,0))),MOD((YEAR($A327)-YEAR('Recurring Schedule'!$F$36))*12+MONTH($A327)-MONTH('Recurring Schedule'!$F$36),'Recurring Schedule'!$O$36)=0),IF('Recurring Schedule'!$E$36="Weekdays",WEEKDAY($A327,2)&lt;=5,$A327='Recurring Schedule'!$F$36))),31,""))))</f>
        <v/>
      </c>
      <c r="AG327">
        <f>IF('Recurring Schedule'!$C$37="","",IF('Recurring Schedule'!$F$37="","",IF(OR($A327&lt;'Recurring Schedule'!$F$37,$A327&gt;'Recurring Schedule'!$P$37),"",IF(IF('Recurring Schedule'!$N$37&gt;0,MOD($A327-'Recurring Schedule'!$F$37,'Recurring Schedule'!$N$37)=0,IF('Recurring Schedule'!$O$37&gt;0,AND(DAY($A327)=MIN(DAY('Recurring Schedule'!$F$37),DAY(EOMONTH($A327,0))),MOD((YEAR($A327)-YEAR('Recurring Schedule'!$F$37))*12+MONTH($A327)-MONTH('Recurring Schedule'!$F$37),'Recurring Schedule'!$O$37)=0),IF('Recurring Schedule'!$E$37="Weekdays",WEEKDAY($A327,2)&lt;=5,$A327='Recurring Schedule'!$F$37))),32,""))))</f>
        <v/>
      </c>
      <c r="AH327">
        <f>IF('Recurring Schedule'!$C$38="","",IF('Recurring Schedule'!$F$38="","",IF(OR($A327&lt;'Recurring Schedule'!$F$38,$A327&gt;'Recurring Schedule'!$P$38),"",IF(IF('Recurring Schedule'!$N$38&gt;0,MOD($A327-'Recurring Schedule'!$F$38,'Recurring Schedule'!$N$38)=0,IF('Recurring Schedule'!$O$38&gt;0,AND(DAY($A327)=MIN(DAY('Recurring Schedule'!$F$38),DAY(EOMONTH($A327,0))),MOD((YEAR($A327)-YEAR('Recurring Schedule'!$F$38))*12+MONTH($A327)-MONTH('Recurring Schedule'!$F$38),'Recurring Schedule'!$O$38)=0),IF('Recurring Schedule'!$E$38="Weekdays",WEEKDAY($A327,2)&lt;=5,$A327='Recurring Schedule'!$F$38))),33,""))))</f>
        <v/>
      </c>
      <c r="AI327">
        <f>IF('Recurring Schedule'!$C$39="","",IF('Recurring Schedule'!$F$39="","",IF(OR($A327&lt;'Recurring Schedule'!$F$39,$A327&gt;'Recurring Schedule'!$P$39),"",IF(IF('Recurring Schedule'!$N$39&gt;0,MOD($A327-'Recurring Schedule'!$F$39,'Recurring Schedule'!$N$39)=0,IF('Recurring Schedule'!$O$39&gt;0,AND(DAY($A327)=MIN(DAY('Recurring Schedule'!$F$39),DAY(EOMONTH($A327,0))),MOD((YEAR($A327)-YEAR('Recurring Schedule'!$F$39))*12+MONTH($A327)-MONTH('Recurring Schedule'!$F$39),'Recurring Schedule'!$O$39)=0),IF('Recurring Schedule'!$E$39="Weekdays",WEEKDAY($A327,2)&lt;=5,$A327='Recurring Schedule'!$F$39))),34,""))))</f>
        <v/>
      </c>
      <c r="AJ327">
        <f>IF('Recurring Schedule'!$C$40="","",IF('Recurring Schedule'!$F$40="","",IF(OR($A327&lt;'Recurring Schedule'!$F$40,$A327&gt;'Recurring Schedule'!$P$40),"",IF(IF('Recurring Schedule'!$N$40&gt;0,MOD($A327-'Recurring Schedule'!$F$40,'Recurring Schedule'!$N$40)=0,IF('Recurring Schedule'!$O$40&gt;0,AND(DAY($A327)=MIN(DAY('Recurring Schedule'!$F$40),DAY(EOMONTH($A327,0))),MOD((YEAR($A327)-YEAR('Recurring Schedule'!$F$40))*12+MONTH($A327)-MONTH('Recurring Schedule'!$F$40),'Recurring Schedule'!$O$40)=0),IF('Recurring Schedule'!$E$40="Weekdays",WEEKDAY($A327,2)&lt;=5,$A327='Recurring Schedule'!$F$40))),35,""))))</f>
        <v/>
      </c>
      <c r="AK327">
        <f>IF('Recurring Schedule'!$C$41="","",IF('Recurring Schedule'!$F$41="","",IF(OR($A327&lt;'Recurring Schedule'!$F$41,$A327&gt;'Recurring Schedule'!$P$41),"",IF(IF('Recurring Schedule'!$N$41&gt;0,MOD($A327-'Recurring Schedule'!$F$41,'Recurring Schedule'!$N$41)=0,IF('Recurring Schedule'!$O$41&gt;0,AND(DAY($A327)=MIN(DAY('Recurring Schedule'!$F$41),DAY(EOMONTH($A327,0))),MOD((YEAR($A327)-YEAR('Recurring Schedule'!$F$41))*12+MONTH($A327)-MONTH('Recurring Schedule'!$F$41),'Recurring Schedule'!$O$41)=0),IF('Recurring Schedule'!$E$41="Weekdays",WEEKDAY($A327,2)&lt;=5,$A327='Recurring Schedule'!$F$41))),36,""))))</f>
        <v/>
      </c>
      <c r="AL327">
        <f>IF('Recurring Schedule'!$C$42="","",IF('Recurring Schedule'!$F$42="","",IF(OR($A327&lt;'Recurring Schedule'!$F$42,$A327&gt;'Recurring Schedule'!$P$42),"",IF(IF('Recurring Schedule'!$N$42&gt;0,MOD($A327-'Recurring Schedule'!$F$42,'Recurring Schedule'!$N$42)=0,IF('Recurring Schedule'!$O$42&gt;0,AND(DAY($A327)=MIN(DAY('Recurring Schedule'!$F$42),DAY(EOMONTH($A327,0))),MOD((YEAR($A327)-YEAR('Recurring Schedule'!$F$42))*12+MONTH($A327)-MONTH('Recurring Schedule'!$F$42),'Recurring Schedule'!$O$42)=0),IF('Recurring Schedule'!$E$42="Weekdays",WEEKDAY($A327,2)&lt;=5,$A327='Recurring Schedule'!$F$42))),37,""))))</f>
        <v/>
      </c>
      <c r="AM327">
        <f>IF('Recurring Schedule'!$C$43="","",IF('Recurring Schedule'!$F$43="","",IF(OR($A327&lt;'Recurring Schedule'!$F$43,$A327&gt;'Recurring Schedule'!$P$43),"",IF(IF('Recurring Schedule'!$N$43&gt;0,MOD($A327-'Recurring Schedule'!$F$43,'Recurring Schedule'!$N$43)=0,IF('Recurring Schedule'!$O$43&gt;0,AND(DAY($A327)=MIN(DAY('Recurring Schedule'!$F$43),DAY(EOMONTH($A327,0))),MOD((YEAR($A327)-YEAR('Recurring Schedule'!$F$43))*12+MONTH($A327)-MONTH('Recurring Schedule'!$F$43),'Recurring Schedule'!$O$43)=0),IF('Recurring Schedule'!$E$43="Weekdays",WEEKDAY($A327,2)&lt;=5,$A327='Recurring Schedule'!$F$43))),38,""))))</f>
        <v/>
      </c>
      <c r="AN327">
        <f>IF('Recurring Schedule'!$C$44="","",IF('Recurring Schedule'!$F$44="","",IF(OR($A327&lt;'Recurring Schedule'!$F$44,$A327&gt;'Recurring Schedule'!$P$44),"",IF(IF('Recurring Schedule'!$N$44&gt;0,MOD($A327-'Recurring Schedule'!$F$44,'Recurring Schedule'!$N$44)=0,IF('Recurring Schedule'!$O$44&gt;0,AND(DAY($A327)=MIN(DAY('Recurring Schedule'!$F$44),DAY(EOMONTH($A327,0))),MOD((YEAR($A327)-YEAR('Recurring Schedule'!$F$44))*12+MONTH($A327)-MONTH('Recurring Schedule'!$F$44),'Recurring Schedule'!$O$44)=0),IF('Recurring Schedule'!$E$44="Weekdays",WEEKDAY($A327,2)&lt;=5,$A327='Recurring Schedule'!$F$44))),39,""))))</f>
        <v/>
      </c>
      <c r="AO327">
        <f>IF('Recurring Schedule'!$C$45="","",IF('Recurring Schedule'!$F$45="","",IF(OR($A327&lt;'Recurring Schedule'!$F$45,$A327&gt;'Recurring Schedule'!$P$45),"",IF(IF('Recurring Schedule'!$N$45&gt;0,MOD($A327-'Recurring Schedule'!$F$45,'Recurring Schedule'!$N$45)=0,IF('Recurring Schedule'!$O$45&gt;0,AND(DAY($A327)=MIN(DAY('Recurring Schedule'!$F$45),DAY(EOMONTH($A327,0))),MOD((YEAR($A327)-YEAR('Recurring Schedule'!$F$45))*12+MONTH($A327)-MONTH('Recurring Schedule'!$F$45),'Recurring Schedule'!$O$45)=0),IF('Recurring Schedule'!$E$45="Weekdays",WEEKDAY($A327,2)&lt;=5,$A327='Recurring Schedule'!$F$45))),40,""))))</f>
        <v/>
      </c>
      <c r="AP327">
        <f>COUNT(B327:AO327)</f>
        <v/>
      </c>
      <c r="AQ327">
        <f>AQ326+AP326</f>
        <v/>
      </c>
      <c r="AS327" t="inlineStr">
        <is>
          <t>R</t>
        </is>
      </c>
      <c r="AT327" t="n">
        <v>331</v>
      </c>
      <c r="AU327">
        <f>'Recurring Log'!C331&amp;""</f>
        <v/>
      </c>
      <c r="AV327">
        <f>'Recurring Log'!D331&amp;""</f>
        <v/>
      </c>
      <c r="AW327">
        <f>IF('Recurring Log'!E331="","",'Recurring Log'!E331)</f>
        <v/>
      </c>
      <c r="AX327">
        <f>IF('Recurring Log'!G331="","",'Recurring Log'!G331)</f>
        <v/>
      </c>
      <c r="AY327">
        <f>IF('Recurring Log'!H331="","",'Recurring Log'!H331)</f>
        <v/>
      </c>
      <c r="AZ327">
        <f>IF(AU327="","",IF('Recurring Log'!J331="","Not Started",'Recurring Log'!J331))</f>
        <v/>
      </c>
      <c r="BA327">
        <f>'Recurring Log'!L331&amp;""</f>
        <v/>
      </c>
      <c r="BB327">
        <f>'Recurring Log'!M331&amp;""</f>
        <v/>
      </c>
      <c r="BC327">
        <f>'Recurring Log'!N331&amp;""</f>
        <v/>
      </c>
      <c r="BD327">
        <f>'Recurring Log'!O331&amp;""</f>
        <v/>
      </c>
      <c r="BE327">
        <f>IF('Recurring Log'!K331="","",'Recurring Log'!K331)</f>
        <v/>
      </c>
      <c r="BF327">
        <f>IFERROR(MATCH(BA327,Setup!$L$6:$L$9,0),5)</f>
        <v/>
      </c>
      <c r="BG327">
        <f>IF(OR(AZ327="Done",AZ327="Cancelled"),1,0)</f>
        <v/>
      </c>
      <c r="BH327">
        <f>IF(AND(AU327&lt;&gt;"",ISNUMBER(AW327)),1,0)</f>
        <v/>
      </c>
      <c r="BI327">
        <f>IF(BH327=0,0,IF(AND(AW327&gt;='Tasks Filter'!$F$3,AW327&lt;='Tasks Filter'!$F$4,OR('Tasks Filter'!$I$3="",ISNUMBER(SEARCH('Tasks Filter'!$I$3,AU327))),OR('Tasks Filter'!$I$4="",BF327=IFERROR(MATCH('Tasks Filter'!$I$4,Setup!$L$6:$L$9,0),0)),OR('Tasks Filter'!$I$5="Both",AND('Tasks Filter'!$I$5="Yes",BB327="✓"),AND('Tasks Filter'!$I$5="No",BB327&lt;&gt;"✓")),OR('Tasks Filter'!$L$3="",AV327='Tasks Filter'!$L$3),OR('Tasks Filter'!$L$4="",AZ327='Tasks Filter'!$L$4),OR('Tasks Filter'!$L$5="",BC327='Tasks Filter'!$L$5),OR('Tasks Filter'!$O$3="",BD327='Tasks Filter'!$O$3),OR('Tasks Filter'!$O$4="Yes",BG327=0)),1,0))</f>
        <v/>
      </c>
      <c r="BJ327">
        <f>IF(BH327=0,"",IF('Tasks Filter'!$F$6="Descending",-1,1)*CHOOSE(MATCH('Tasks Filter'!$F$5,Lists!$G$2:$G$6,0),AW327,BF327,IFERROR(MATCH(AV327,Setup!$F$6:$F$15,0),99),IFERROR(MATCH(BC327,Setup!$H$6:$H$15,0),99),IFERROR(MATCH(AZ327,Setup!$J$6:$J$11,0),99))*1E+9+(AW327-40000)*10000+326)</f>
        <v/>
      </c>
      <c r="BK327">
        <f>IF(BI327=1,BJ327,"")</f>
        <v/>
      </c>
      <c r="BL327">
        <f>IF(AND(BH327=1,BG327=0,N(AW327)&lt;Setup!$D$7),(AW327-40000)*10000+326,"")</f>
        <v/>
      </c>
      <c r="BM327">
        <f>IF(AND(BH327=1,AZ327&lt;&gt;"Cancelled",N(AW327)&gt;=Dashboard!$AB$3,N(AW327)&lt;=Dashboard!$AB$3+6),(AW327-40000)*100000+BF327*10000+326,"")</f>
        <v/>
      </c>
      <c r="BN327">
        <f>IF(AND(BH327=1,AZ327&lt;&gt;"Cancelled"),BF327*10000+326,"")</f>
        <v/>
      </c>
    </row>
    <row r="328">
      <c r="A328">
        <f>Setup!$D$5+326</f>
        <v/>
      </c>
      <c r="B328">
        <f>IF('Recurring Schedule'!$C$6="","",IF('Recurring Schedule'!$F$6="","",IF(OR($A328&lt;'Recurring Schedule'!$F$6,$A328&gt;'Recurring Schedule'!$P$6),"",IF(IF('Recurring Schedule'!$N$6&gt;0,MOD($A328-'Recurring Schedule'!$F$6,'Recurring Schedule'!$N$6)=0,IF('Recurring Schedule'!$O$6&gt;0,AND(DAY($A328)=MIN(DAY('Recurring Schedule'!$F$6),DAY(EOMONTH($A328,0))),MOD((YEAR($A328)-YEAR('Recurring Schedule'!$F$6))*12+MONTH($A328)-MONTH('Recurring Schedule'!$F$6),'Recurring Schedule'!$O$6)=0),IF('Recurring Schedule'!$E$6="Weekdays",WEEKDAY($A328,2)&lt;=5,$A328='Recurring Schedule'!$F$6))),1,""))))</f>
        <v/>
      </c>
      <c r="C328">
        <f>IF('Recurring Schedule'!$C$7="","",IF('Recurring Schedule'!$F$7="","",IF(OR($A328&lt;'Recurring Schedule'!$F$7,$A328&gt;'Recurring Schedule'!$P$7),"",IF(IF('Recurring Schedule'!$N$7&gt;0,MOD($A328-'Recurring Schedule'!$F$7,'Recurring Schedule'!$N$7)=0,IF('Recurring Schedule'!$O$7&gt;0,AND(DAY($A328)=MIN(DAY('Recurring Schedule'!$F$7),DAY(EOMONTH($A328,0))),MOD((YEAR($A328)-YEAR('Recurring Schedule'!$F$7))*12+MONTH($A328)-MONTH('Recurring Schedule'!$F$7),'Recurring Schedule'!$O$7)=0),IF('Recurring Schedule'!$E$7="Weekdays",WEEKDAY($A328,2)&lt;=5,$A328='Recurring Schedule'!$F$7))),2,""))))</f>
        <v/>
      </c>
      <c r="D328">
        <f>IF('Recurring Schedule'!$C$8="","",IF('Recurring Schedule'!$F$8="","",IF(OR($A328&lt;'Recurring Schedule'!$F$8,$A328&gt;'Recurring Schedule'!$P$8),"",IF(IF('Recurring Schedule'!$N$8&gt;0,MOD($A328-'Recurring Schedule'!$F$8,'Recurring Schedule'!$N$8)=0,IF('Recurring Schedule'!$O$8&gt;0,AND(DAY($A328)=MIN(DAY('Recurring Schedule'!$F$8),DAY(EOMONTH($A328,0))),MOD((YEAR($A328)-YEAR('Recurring Schedule'!$F$8))*12+MONTH($A328)-MONTH('Recurring Schedule'!$F$8),'Recurring Schedule'!$O$8)=0),IF('Recurring Schedule'!$E$8="Weekdays",WEEKDAY($A328,2)&lt;=5,$A328='Recurring Schedule'!$F$8))),3,""))))</f>
        <v/>
      </c>
      <c r="E328">
        <f>IF('Recurring Schedule'!$C$9="","",IF('Recurring Schedule'!$F$9="","",IF(OR($A328&lt;'Recurring Schedule'!$F$9,$A328&gt;'Recurring Schedule'!$P$9),"",IF(IF('Recurring Schedule'!$N$9&gt;0,MOD($A328-'Recurring Schedule'!$F$9,'Recurring Schedule'!$N$9)=0,IF('Recurring Schedule'!$O$9&gt;0,AND(DAY($A328)=MIN(DAY('Recurring Schedule'!$F$9),DAY(EOMONTH($A328,0))),MOD((YEAR($A328)-YEAR('Recurring Schedule'!$F$9))*12+MONTH($A328)-MONTH('Recurring Schedule'!$F$9),'Recurring Schedule'!$O$9)=0),IF('Recurring Schedule'!$E$9="Weekdays",WEEKDAY($A328,2)&lt;=5,$A328='Recurring Schedule'!$F$9))),4,""))))</f>
        <v/>
      </c>
      <c r="F328">
        <f>IF('Recurring Schedule'!$C$10="","",IF('Recurring Schedule'!$F$10="","",IF(OR($A328&lt;'Recurring Schedule'!$F$10,$A328&gt;'Recurring Schedule'!$P$10),"",IF(IF('Recurring Schedule'!$N$10&gt;0,MOD($A328-'Recurring Schedule'!$F$10,'Recurring Schedule'!$N$10)=0,IF('Recurring Schedule'!$O$10&gt;0,AND(DAY($A328)=MIN(DAY('Recurring Schedule'!$F$10),DAY(EOMONTH($A328,0))),MOD((YEAR($A328)-YEAR('Recurring Schedule'!$F$10))*12+MONTH($A328)-MONTH('Recurring Schedule'!$F$10),'Recurring Schedule'!$O$10)=0),IF('Recurring Schedule'!$E$10="Weekdays",WEEKDAY($A328,2)&lt;=5,$A328='Recurring Schedule'!$F$10))),5,""))))</f>
        <v/>
      </c>
      <c r="G328">
        <f>IF('Recurring Schedule'!$C$11="","",IF('Recurring Schedule'!$F$11="","",IF(OR($A328&lt;'Recurring Schedule'!$F$11,$A328&gt;'Recurring Schedule'!$P$11),"",IF(IF('Recurring Schedule'!$N$11&gt;0,MOD($A328-'Recurring Schedule'!$F$11,'Recurring Schedule'!$N$11)=0,IF('Recurring Schedule'!$O$11&gt;0,AND(DAY($A328)=MIN(DAY('Recurring Schedule'!$F$11),DAY(EOMONTH($A328,0))),MOD((YEAR($A328)-YEAR('Recurring Schedule'!$F$11))*12+MONTH($A328)-MONTH('Recurring Schedule'!$F$11),'Recurring Schedule'!$O$11)=0),IF('Recurring Schedule'!$E$11="Weekdays",WEEKDAY($A328,2)&lt;=5,$A328='Recurring Schedule'!$F$11))),6,""))))</f>
        <v/>
      </c>
      <c r="H328">
        <f>IF('Recurring Schedule'!$C$12="","",IF('Recurring Schedule'!$F$12="","",IF(OR($A328&lt;'Recurring Schedule'!$F$12,$A328&gt;'Recurring Schedule'!$P$12),"",IF(IF('Recurring Schedule'!$N$12&gt;0,MOD($A328-'Recurring Schedule'!$F$12,'Recurring Schedule'!$N$12)=0,IF('Recurring Schedule'!$O$12&gt;0,AND(DAY($A328)=MIN(DAY('Recurring Schedule'!$F$12),DAY(EOMONTH($A328,0))),MOD((YEAR($A328)-YEAR('Recurring Schedule'!$F$12))*12+MONTH($A328)-MONTH('Recurring Schedule'!$F$12),'Recurring Schedule'!$O$12)=0),IF('Recurring Schedule'!$E$12="Weekdays",WEEKDAY($A328,2)&lt;=5,$A328='Recurring Schedule'!$F$12))),7,""))))</f>
        <v/>
      </c>
      <c r="I328">
        <f>IF('Recurring Schedule'!$C$13="","",IF('Recurring Schedule'!$F$13="","",IF(OR($A328&lt;'Recurring Schedule'!$F$13,$A328&gt;'Recurring Schedule'!$P$13),"",IF(IF('Recurring Schedule'!$N$13&gt;0,MOD($A328-'Recurring Schedule'!$F$13,'Recurring Schedule'!$N$13)=0,IF('Recurring Schedule'!$O$13&gt;0,AND(DAY($A328)=MIN(DAY('Recurring Schedule'!$F$13),DAY(EOMONTH($A328,0))),MOD((YEAR($A328)-YEAR('Recurring Schedule'!$F$13))*12+MONTH($A328)-MONTH('Recurring Schedule'!$F$13),'Recurring Schedule'!$O$13)=0),IF('Recurring Schedule'!$E$13="Weekdays",WEEKDAY($A328,2)&lt;=5,$A328='Recurring Schedule'!$F$13))),8,""))))</f>
        <v/>
      </c>
      <c r="J328">
        <f>IF('Recurring Schedule'!$C$14="","",IF('Recurring Schedule'!$F$14="","",IF(OR($A328&lt;'Recurring Schedule'!$F$14,$A328&gt;'Recurring Schedule'!$P$14),"",IF(IF('Recurring Schedule'!$N$14&gt;0,MOD($A328-'Recurring Schedule'!$F$14,'Recurring Schedule'!$N$14)=0,IF('Recurring Schedule'!$O$14&gt;0,AND(DAY($A328)=MIN(DAY('Recurring Schedule'!$F$14),DAY(EOMONTH($A328,0))),MOD((YEAR($A328)-YEAR('Recurring Schedule'!$F$14))*12+MONTH($A328)-MONTH('Recurring Schedule'!$F$14),'Recurring Schedule'!$O$14)=0),IF('Recurring Schedule'!$E$14="Weekdays",WEEKDAY($A328,2)&lt;=5,$A328='Recurring Schedule'!$F$14))),9,""))))</f>
        <v/>
      </c>
      <c r="K328">
        <f>IF('Recurring Schedule'!$C$15="","",IF('Recurring Schedule'!$F$15="","",IF(OR($A328&lt;'Recurring Schedule'!$F$15,$A328&gt;'Recurring Schedule'!$P$15),"",IF(IF('Recurring Schedule'!$N$15&gt;0,MOD($A328-'Recurring Schedule'!$F$15,'Recurring Schedule'!$N$15)=0,IF('Recurring Schedule'!$O$15&gt;0,AND(DAY($A328)=MIN(DAY('Recurring Schedule'!$F$15),DAY(EOMONTH($A328,0))),MOD((YEAR($A328)-YEAR('Recurring Schedule'!$F$15))*12+MONTH($A328)-MONTH('Recurring Schedule'!$F$15),'Recurring Schedule'!$O$15)=0),IF('Recurring Schedule'!$E$15="Weekdays",WEEKDAY($A328,2)&lt;=5,$A328='Recurring Schedule'!$F$15))),10,""))))</f>
        <v/>
      </c>
      <c r="L328">
        <f>IF('Recurring Schedule'!$C$16="","",IF('Recurring Schedule'!$F$16="","",IF(OR($A328&lt;'Recurring Schedule'!$F$16,$A328&gt;'Recurring Schedule'!$P$16),"",IF(IF('Recurring Schedule'!$N$16&gt;0,MOD($A328-'Recurring Schedule'!$F$16,'Recurring Schedule'!$N$16)=0,IF('Recurring Schedule'!$O$16&gt;0,AND(DAY($A328)=MIN(DAY('Recurring Schedule'!$F$16),DAY(EOMONTH($A328,0))),MOD((YEAR($A328)-YEAR('Recurring Schedule'!$F$16))*12+MONTH($A328)-MONTH('Recurring Schedule'!$F$16),'Recurring Schedule'!$O$16)=0),IF('Recurring Schedule'!$E$16="Weekdays",WEEKDAY($A328,2)&lt;=5,$A328='Recurring Schedule'!$F$16))),11,""))))</f>
        <v/>
      </c>
      <c r="M328">
        <f>IF('Recurring Schedule'!$C$17="","",IF('Recurring Schedule'!$F$17="","",IF(OR($A328&lt;'Recurring Schedule'!$F$17,$A328&gt;'Recurring Schedule'!$P$17),"",IF(IF('Recurring Schedule'!$N$17&gt;0,MOD($A328-'Recurring Schedule'!$F$17,'Recurring Schedule'!$N$17)=0,IF('Recurring Schedule'!$O$17&gt;0,AND(DAY($A328)=MIN(DAY('Recurring Schedule'!$F$17),DAY(EOMONTH($A328,0))),MOD((YEAR($A328)-YEAR('Recurring Schedule'!$F$17))*12+MONTH($A328)-MONTH('Recurring Schedule'!$F$17),'Recurring Schedule'!$O$17)=0),IF('Recurring Schedule'!$E$17="Weekdays",WEEKDAY($A328,2)&lt;=5,$A328='Recurring Schedule'!$F$17))),12,""))))</f>
        <v/>
      </c>
      <c r="N328">
        <f>IF('Recurring Schedule'!$C$18="","",IF('Recurring Schedule'!$F$18="","",IF(OR($A328&lt;'Recurring Schedule'!$F$18,$A328&gt;'Recurring Schedule'!$P$18),"",IF(IF('Recurring Schedule'!$N$18&gt;0,MOD($A328-'Recurring Schedule'!$F$18,'Recurring Schedule'!$N$18)=0,IF('Recurring Schedule'!$O$18&gt;0,AND(DAY($A328)=MIN(DAY('Recurring Schedule'!$F$18),DAY(EOMONTH($A328,0))),MOD((YEAR($A328)-YEAR('Recurring Schedule'!$F$18))*12+MONTH($A328)-MONTH('Recurring Schedule'!$F$18),'Recurring Schedule'!$O$18)=0),IF('Recurring Schedule'!$E$18="Weekdays",WEEKDAY($A328,2)&lt;=5,$A328='Recurring Schedule'!$F$18))),13,""))))</f>
        <v/>
      </c>
      <c r="O328">
        <f>IF('Recurring Schedule'!$C$19="","",IF('Recurring Schedule'!$F$19="","",IF(OR($A328&lt;'Recurring Schedule'!$F$19,$A328&gt;'Recurring Schedule'!$P$19),"",IF(IF('Recurring Schedule'!$N$19&gt;0,MOD($A328-'Recurring Schedule'!$F$19,'Recurring Schedule'!$N$19)=0,IF('Recurring Schedule'!$O$19&gt;0,AND(DAY($A328)=MIN(DAY('Recurring Schedule'!$F$19),DAY(EOMONTH($A328,0))),MOD((YEAR($A328)-YEAR('Recurring Schedule'!$F$19))*12+MONTH($A328)-MONTH('Recurring Schedule'!$F$19),'Recurring Schedule'!$O$19)=0),IF('Recurring Schedule'!$E$19="Weekdays",WEEKDAY($A328,2)&lt;=5,$A328='Recurring Schedule'!$F$19))),14,""))))</f>
        <v/>
      </c>
      <c r="P328">
        <f>IF('Recurring Schedule'!$C$20="","",IF('Recurring Schedule'!$F$20="","",IF(OR($A328&lt;'Recurring Schedule'!$F$20,$A328&gt;'Recurring Schedule'!$P$20),"",IF(IF('Recurring Schedule'!$N$20&gt;0,MOD($A328-'Recurring Schedule'!$F$20,'Recurring Schedule'!$N$20)=0,IF('Recurring Schedule'!$O$20&gt;0,AND(DAY($A328)=MIN(DAY('Recurring Schedule'!$F$20),DAY(EOMONTH($A328,0))),MOD((YEAR($A328)-YEAR('Recurring Schedule'!$F$20))*12+MONTH($A328)-MONTH('Recurring Schedule'!$F$20),'Recurring Schedule'!$O$20)=0),IF('Recurring Schedule'!$E$20="Weekdays",WEEKDAY($A328,2)&lt;=5,$A328='Recurring Schedule'!$F$20))),15,""))))</f>
        <v/>
      </c>
      <c r="Q328">
        <f>IF('Recurring Schedule'!$C$21="","",IF('Recurring Schedule'!$F$21="","",IF(OR($A328&lt;'Recurring Schedule'!$F$21,$A328&gt;'Recurring Schedule'!$P$21),"",IF(IF('Recurring Schedule'!$N$21&gt;0,MOD($A328-'Recurring Schedule'!$F$21,'Recurring Schedule'!$N$21)=0,IF('Recurring Schedule'!$O$21&gt;0,AND(DAY($A328)=MIN(DAY('Recurring Schedule'!$F$21),DAY(EOMONTH($A328,0))),MOD((YEAR($A328)-YEAR('Recurring Schedule'!$F$21))*12+MONTH($A328)-MONTH('Recurring Schedule'!$F$21),'Recurring Schedule'!$O$21)=0),IF('Recurring Schedule'!$E$21="Weekdays",WEEKDAY($A328,2)&lt;=5,$A328='Recurring Schedule'!$F$21))),16,""))))</f>
        <v/>
      </c>
      <c r="R328">
        <f>IF('Recurring Schedule'!$C$22="","",IF('Recurring Schedule'!$F$22="","",IF(OR($A328&lt;'Recurring Schedule'!$F$22,$A328&gt;'Recurring Schedule'!$P$22),"",IF(IF('Recurring Schedule'!$N$22&gt;0,MOD($A328-'Recurring Schedule'!$F$22,'Recurring Schedule'!$N$22)=0,IF('Recurring Schedule'!$O$22&gt;0,AND(DAY($A328)=MIN(DAY('Recurring Schedule'!$F$22),DAY(EOMONTH($A328,0))),MOD((YEAR($A328)-YEAR('Recurring Schedule'!$F$22))*12+MONTH($A328)-MONTH('Recurring Schedule'!$F$22),'Recurring Schedule'!$O$22)=0),IF('Recurring Schedule'!$E$22="Weekdays",WEEKDAY($A328,2)&lt;=5,$A328='Recurring Schedule'!$F$22))),17,""))))</f>
        <v/>
      </c>
      <c r="S328">
        <f>IF('Recurring Schedule'!$C$23="","",IF('Recurring Schedule'!$F$23="","",IF(OR($A328&lt;'Recurring Schedule'!$F$23,$A328&gt;'Recurring Schedule'!$P$23),"",IF(IF('Recurring Schedule'!$N$23&gt;0,MOD($A328-'Recurring Schedule'!$F$23,'Recurring Schedule'!$N$23)=0,IF('Recurring Schedule'!$O$23&gt;0,AND(DAY($A328)=MIN(DAY('Recurring Schedule'!$F$23),DAY(EOMONTH($A328,0))),MOD((YEAR($A328)-YEAR('Recurring Schedule'!$F$23))*12+MONTH($A328)-MONTH('Recurring Schedule'!$F$23),'Recurring Schedule'!$O$23)=0),IF('Recurring Schedule'!$E$23="Weekdays",WEEKDAY($A328,2)&lt;=5,$A328='Recurring Schedule'!$F$23))),18,""))))</f>
        <v/>
      </c>
      <c r="T328">
        <f>IF('Recurring Schedule'!$C$24="","",IF('Recurring Schedule'!$F$24="","",IF(OR($A328&lt;'Recurring Schedule'!$F$24,$A328&gt;'Recurring Schedule'!$P$24),"",IF(IF('Recurring Schedule'!$N$24&gt;0,MOD($A328-'Recurring Schedule'!$F$24,'Recurring Schedule'!$N$24)=0,IF('Recurring Schedule'!$O$24&gt;0,AND(DAY($A328)=MIN(DAY('Recurring Schedule'!$F$24),DAY(EOMONTH($A328,0))),MOD((YEAR($A328)-YEAR('Recurring Schedule'!$F$24))*12+MONTH($A328)-MONTH('Recurring Schedule'!$F$24),'Recurring Schedule'!$O$24)=0),IF('Recurring Schedule'!$E$24="Weekdays",WEEKDAY($A328,2)&lt;=5,$A328='Recurring Schedule'!$F$24))),19,""))))</f>
        <v/>
      </c>
      <c r="U328">
        <f>IF('Recurring Schedule'!$C$25="","",IF('Recurring Schedule'!$F$25="","",IF(OR($A328&lt;'Recurring Schedule'!$F$25,$A328&gt;'Recurring Schedule'!$P$25),"",IF(IF('Recurring Schedule'!$N$25&gt;0,MOD($A328-'Recurring Schedule'!$F$25,'Recurring Schedule'!$N$25)=0,IF('Recurring Schedule'!$O$25&gt;0,AND(DAY($A328)=MIN(DAY('Recurring Schedule'!$F$25),DAY(EOMONTH($A328,0))),MOD((YEAR($A328)-YEAR('Recurring Schedule'!$F$25))*12+MONTH($A328)-MONTH('Recurring Schedule'!$F$25),'Recurring Schedule'!$O$25)=0),IF('Recurring Schedule'!$E$25="Weekdays",WEEKDAY($A328,2)&lt;=5,$A328='Recurring Schedule'!$F$25))),20,""))))</f>
        <v/>
      </c>
      <c r="V328">
        <f>IF('Recurring Schedule'!$C$26="","",IF('Recurring Schedule'!$F$26="","",IF(OR($A328&lt;'Recurring Schedule'!$F$26,$A328&gt;'Recurring Schedule'!$P$26),"",IF(IF('Recurring Schedule'!$N$26&gt;0,MOD($A328-'Recurring Schedule'!$F$26,'Recurring Schedule'!$N$26)=0,IF('Recurring Schedule'!$O$26&gt;0,AND(DAY($A328)=MIN(DAY('Recurring Schedule'!$F$26),DAY(EOMONTH($A328,0))),MOD((YEAR($A328)-YEAR('Recurring Schedule'!$F$26))*12+MONTH($A328)-MONTH('Recurring Schedule'!$F$26),'Recurring Schedule'!$O$26)=0),IF('Recurring Schedule'!$E$26="Weekdays",WEEKDAY($A328,2)&lt;=5,$A328='Recurring Schedule'!$F$26))),21,""))))</f>
        <v/>
      </c>
      <c r="W328">
        <f>IF('Recurring Schedule'!$C$27="","",IF('Recurring Schedule'!$F$27="","",IF(OR($A328&lt;'Recurring Schedule'!$F$27,$A328&gt;'Recurring Schedule'!$P$27),"",IF(IF('Recurring Schedule'!$N$27&gt;0,MOD($A328-'Recurring Schedule'!$F$27,'Recurring Schedule'!$N$27)=0,IF('Recurring Schedule'!$O$27&gt;0,AND(DAY($A328)=MIN(DAY('Recurring Schedule'!$F$27),DAY(EOMONTH($A328,0))),MOD((YEAR($A328)-YEAR('Recurring Schedule'!$F$27))*12+MONTH($A328)-MONTH('Recurring Schedule'!$F$27),'Recurring Schedule'!$O$27)=0),IF('Recurring Schedule'!$E$27="Weekdays",WEEKDAY($A328,2)&lt;=5,$A328='Recurring Schedule'!$F$27))),22,""))))</f>
        <v/>
      </c>
      <c r="X328">
        <f>IF('Recurring Schedule'!$C$28="","",IF('Recurring Schedule'!$F$28="","",IF(OR($A328&lt;'Recurring Schedule'!$F$28,$A328&gt;'Recurring Schedule'!$P$28),"",IF(IF('Recurring Schedule'!$N$28&gt;0,MOD($A328-'Recurring Schedule'!$F$28,'Recurring Schedule'!$N$28)=0,IF('Recurring Schedule'!$O$28&gt;0,AND(DAY($A328)=MIN(DAY('Recurring Schedule'!$F$28),DAY(EOMONTH($A328,0))),MOD((YEAR($A328)-YEAR('Recurring Schedule'!$F$28))*12+MONTH($A328)-MONTH('Recurring Schedule'!$F$28),'Recurring Schedule'!$O$28)=0),IF('Recurring Schedule'!$E$28="Weekdays",WEEKDAY($A328,2)&lt;=5,$A328='Recurring Schedule'!$F$28))),23,""))))</f>
        <v/>
      </c>
      <c r="Y328">
        <f>IF('Recurring Schedule'!$C$29="","",IF('Recurring Schedule'!$F$29="","",IF(OR($A328&lt;'Recurring Schedule'!$F$29,$A328&gt;'Recurring Schedule'!$P$29),"",IF(IF('Recurring Schedule'!$N$29&gt;0,MOD($A328-'Recurring Schedule'!$F$29,'Recurring Schedule'!$N$29)=0,IF('Recurring Schedule'!$O$29&gt;0,AND(DAY($A328)=MIN(DAY('Recurring Schedule'!$F$29),DAY(EOMONTH($A328,0))),MOD((YEAR($A328)-YEAR('Recurring Schedule'!$F$29))*12+MONTH($A328)-MONTH('Recurring Schedule'!$F$29),'Recurring Schedule'!$O$29)=0),IF('Recurring Schedule'!$E$29="Weekdays",WEEKDAY($A328,2)&lt;=5,$A328='Recurring Schedule'!$F$29))),24,""))))</f>
        <v/>
      </c>
      <c r="Z328">
        <f>IF('Recurring Schedule'!$C$30="","",IF('Recurring Schedule'!$F$30="","",IF(OR($A328&lt;'Recurring Schedule'!$F$30,$A328&gt;'Recurring Schedule'!$P$30),"",IF(IF('Recurring Schedule'!$N$30&gt;0,MOD($A328-'Recurring Schedule'!$F$30,'Recurring Schedule'!$N$30)=0,IF('Recurring Schedule'!$O$30&gt;0,AND(DAY($A328)=MIN(DAY('Recurring Schedule'!$F$30),DAY(EOMONTH($A328,0))),MOD((YEAR($A328)-YEAR('Recurring Schedule'!$F$30))*12+MONTH($A328)-MONTH('Recurring Schedule'!$F$30),'Recurring Schedule'!$O$30)=0),IF('Recurring Schedule'!$E$30="Weekdays",WEEKDAY($A328,2)&lt;=5,$A328='Recurring Schedule'!$F$30))),25,""))))</f>
        <v/>
      </c>
      <c r="AA328">
        <f>IF('Recurring Schedule'!$C$31="","",IF('Recurring Schedule'!$F$31="","",IF(OR($A328&lt;'Recurring Schedule'!$F$31,$A328&gt;'Recurring Schedule'!$P$31),"",IF(IF('Recurring Schedule'!$N$31&gt;0,MOD($A328-'Recurring Schedule'!$F$31,'Recurring Schedule'!$N$31)=0,IF('Recurring Schedule'!$O$31&gt;0,AND(DAY($A328)=MIN(DAY('Recurring Schedule'!$F$31),DAY(EOMONTH($A328,0))),MOD((YEAR($A328)-YEAR('Recurring Schedule'!$F$31))*12+MONTH($A328)-MONTH('Recurring Schedule'!$F$31),'Recurring Schedule'!$O$31)=0),IF('Recurring Schedule'!$E$31="Weekdays",WEEKDAY($A328,2)&lt;=5,$A328='Recurring Schedule'!$F$31))),26,""))))</f>
        <v/>
      </c>
      <c r="AB328">
        <f>IF('Recurring Schedule'!$C$32="","",IF('Recurring Schedule'!$F$32="","",IF(OR($A328&lt;'Recurring Schedule'!$F$32,$A328&gt;'Recurring Schedule'!$P$32),"",IF(IF('Recurring Schedule'!$N$32&gt;0,MOD($A328-'Recurring Schedule'!$F$32,'Recurring Schedule'!$N$32)=0,IF('Recurring Schedule'!$O$32&gt;0,AND(DAY($A328)=MIN(DAY('Recurring Schedule'!$F$32),DAY(EOMONTH($A328,0))),MOD((YEAR($A328)-YEAR('Recurring Schedule'!$F$32))*12+MONTH($A328)-MONTH('Recurring Schedule'!$F$32),'Recurring Schedule'!$O$32)=0),IF('Recurring Schedule'!$E$32="Weekdays",WEEKDAY($A328,2)&lt;=5,$A328='Recurring Schedule'!$F$32))),27,""))))</f>
        <v/>
      </c>
      <c r="AC328">
        <f>IF('Recurring Schedule'!$C$33="","",IF('Recurring Schedule'!$F$33="","",IF(OR($A328&lt;'Recurring Schedule'!$F$33,$A328&gt;'Recurring Schedule'!$P$33),"",IF(IF('Recurring Schedule'!$N$33&gt;0,MOD($A328-'Recurring Schedule'!$F$33,'Recurring Schedule'!$N$33)=0,IF('Recurring Schedule'!$O$33&gt;0,AND(DAY($A328)=MIN(DAY('Recurring Schedule'!$F$33),DAY(EOMONTH($A328,0))),MOD((YEAR($A328)-YEAR('Recurring Schedule'!$F$33))*12+MONTH($A328)-MONTH('Recurring Schedule'!$F$33),'Recurring Schedule'!$O$33)=0),IF('Recurring Schedule'!$E$33="Weekdays",WEEKDAY($A328,2)&lt;=5,$A328='Recurring Schedule'!$F$33))),28,""))))</f>
        <v/>
      </c>
      <c r="AD328">
        <f>IF('Recurring Schedule'!$C$34="","",IF('Recurring Schedule'!$F$34="","",IF(OR($A328&lt;'Recurring Schedule'!$F$34,$A328&gt;'Recurring Schedule'!$P$34),"",IF(IF('Recurring Schedule'!$N$34&gt;0,MOD($A328-'Recurring Schedule'!$F$34,'Recurring Schedule'!$N$34)=0,IF('Recurring Schedule'!$O$34&gt;0,AND(DAY($A328)=MIN(DAY('Recurring Schedule'!$F$34),DAY(EOMONTH($A328,0))),MOD((YEAR($A328)-YEAR('Recurring Schedule'!$F$34))*12+MONTH($A328)-MONTH('Recurring Schedule'!$F$34),'Recurring Schedule'!$O$34)=0),IF('Recurring Schedule'!$E$34="Weekdays",WEEKDAY($A328,2)&lt;=5,$A328='Recurring Schedule'!$F$34))),29,""))))</f>
        <v/>
      </c>
      <c r="AE328">
        <f>IF('Recurring Schedule'!$C$35="","",IF('Recurring Schedule'!$F$35="","",IF(OR($A328&lt;'Recurring Schedule'!$F$35,$A328&gt;'Recurring Schedule'!$P$35),"",IF(IF('Recurring Schedule'!$N$35&gt;0,MOD($A328-'Recurring Schedule'!$F$35,'Recurring Schedule'!$N$35)=0,IF('Recurring Schedule'!$O$35&gt;0,AND(DAY($A328)=MIN(DAY('Recurring Schedule'!$F$35),DAY(EOMONTH($A328,0))),MOD((YEAR($A328)-YEAR('Recurring Schedule'!$F$35))*12+MONTH($A328)-MONTH('Recurring Schedule'!$F$35),'Recurring Schedule'!$O$35)=0),IF('Recurring Schedule'!$E$35="Weekdays",WEEKDAY($A328,2)&lt;=5,$A328='Recurring Schedule'!$F$35))),30,""))))</f>
        <v/>
      </c>
      <c r="AF328">
        <f>IF('Recurring Schedule'!$C$36="","",IF('Recurring Schedule'!$F$36="","",IF(OR($A328&lt;'Recurring Schedule'!$F$36,$A328&gt;'Recurring Schedule'!$P$36),"",IF(IF('Recurring Schedule'!$N$36&gt;0,MOD($A328-'Recurring Schedule'!$F$36,'Recurring Schedule'!$N$36)=0,IF('Recurring Schedule'!$O$36&gt;0,AND(DAY($A328)=MIN(DAY('Recurring Schedule'!$F$36),DAY(EOMONTH($A328,0))),MOD((YEAR($A328)-YEAR('Recurring Schedule'!$F$36))*12+MONTH($A328)-MONTH('Recurring Schedule'!$F$36),'Recurring Schedule'!$O$36)=0),IF('Recurring Schedule'!$E$36="Weekdays",WEEKDAY($A328,2)&lt;=5,$A328='Recurring Schedule'!$F$36))),31,""))))</f>
        <v/>
      </c>
      <c r="AG328">
        <f>IF('Recurring Schedule'!$C$37="","",IF('Recurring Schedule'!$F$37="","",IF(OR($A328&lt;'Recurring Schedule'!$F$37,$A328&gt;'Recurring Schedule'!$P$37),"",IF(IF('Recurring Schedule'!$N$37&gt;0,MOD($A328-'Recurring Schedule'!$F$37,'Recurring Schedule'!$N$37)=0,IF('Recurring Schedule'!$O$37&gt;0,AND(DAY($A328)=MIN(DAY('Recurring Schedule'!$F$37),DAY(EOMONTH($A328,0))),MOD((YEAR($A328)-YEAR('Recurring Schedule'!$F$37))*12+MONTH($A328)-MONTH('Recurring Schedule'!$F$37),'Recurring Schedule'!$O$37)=0),IF('Recurring Schedule'!$E$37="Weekdays",WEEKDAY($A328,2)&lt;=5,$A328='Recurring Schedule'!$F$37))),32,""))))</f>
        <v/>
      </c>
      <c r="AH328">
        <f>IF('Recurring Schedule'!$C$38="","",IF('Recurring Schedule'!$F$38="","",IF(OR($A328&lt;'Recurring Schedule'!$F$38,$A328&gt;'Recurring Schedule'!$P$38),"",IF(IF('Recurring Schedule'!$N$38&gt;0,MOD($A328-'Recurring Schedule'!$F$38,'Recurring Schedule'!$N$38)=0,IF('Recurring Schedule'!$O$38&gt;0,AND(DAY($A328)=MIN(DAY('Recurring Schedule'!$F$38),DAY(EOMONTH($A328,0))),MOD((YEAR($A328)-YEAR('Recurring Schedule'!$F$38))*12+MONTH($A328)-MONTH('Recurring Schedule'!$F$38),'Recurring Schedule'!$O$38)=0),IF('Recurring Schedule'!$E$38="Weekdays",WEEKDAY($A328,2)&lt;=5,$A328='Recurring Schedule'!$F$38))),33,""))))</f>
        <v/>
      </c>
      <c r="AI328">
        <f>IF('Recurring Schedule'!$C$39="","",IF('Recurring Schedule'!$F$39="","",IF(OR($A328&lt;'Recurring Schedule'!$F$39,$A328&gt;'Recurring Schedule'!$P$39),"",IF(IF('Recurring Schedule'!$N$39&gt;0,MOD($A328-'Recurring Schedule'!$F$39,'Recurring Schedule'!$N$39)=0,IF('Recurring Schedule'!$O$39&gt;0,AND(DAY($A328)=MIN(DAY('Recurring Schedule'!$F$39),DAY(EOMONTH($A328,0))),MOD((YEAR($A328)-YEAR('Recurring Schedule'!$F$39))*12+MONTH($A328)-MONTH('Recurring Schedule'!$F$39),'Recurring Schedule'!$O$39)=0),IF('Recurring Schedule'!$E$39="Weekdays",WEEKDAY($A328,2)&lt;=5,$A328='Recurring Schedule'!$F$39))),34,""))))</f>
        <v/>
      </c>
      <c r="AJ328">
        <f>IF('Recurring Schedule'!$C$40="","",IF('Recurring Schedule'!$F$40="","",IF(OR($A328&lt;'Recurring Schedule'!$F$40,$A328&gt;'Recurring Schedule'!$P$40),"",IF(IF('Recurring Schedule'!$N$40&gt;0,MOD($A328-'Recurring Schedule'!$F$40,'Recurring Schedule'!$N$40)=0,IF('Recurring Schedule'!$O$40&gt;0,AND(DAY($A328)=MIN(DAY('Recurring Schedule'!$F$40),DAY(EOMONTH($A328,0))),MOD((YEAR($A328)-YEAR('Recurring Schedule'!$F$40))*12+MONTH($A328)-MONTH('Recurring Schedule'!$F$40),'Recurring Schedule'!$O$40)=0),IF('Recurring Schedule'!$E$40="Weekdays",WEEKDAY($A328,2)&lt;=5,$A328='Recurring Schedule'!$F$40))),35,""))))</f>
        <v/>
      </c>
      <c r="AK328">
        <f>IF('Recurring Schedule'!$C$41="","",IF('Recurring Schedule'!$F$41="","",IF(OR($A328&lt;'Recurring Schedule'!$F$41,$A328&gt;'Recurring Schedule'!$P$41),"",IF(IF('Recurring Schedule'!$N$41&gt;0,MOD($A328-'Recurring Schedule'!$F$41,'Recurring Schedule'!$N$41)=0,IF('Recurring Schedule'!$O$41&gt;0,AND(DAY($A328)=MIN(DAY('Recurring Schedule'!$F$41),DAY(EOMONTH($A328,0))),MOD((YEAR($A328)-YEAR('Recurring Schedule'!$F$41))*12+MONTH($A328)-MONTH('Recurring Schedule'!$F$41),'Recurring Schedule'!$O$41)=0),IF('Recurring Schedule'!$E$41="Weekdays",WEEKDAY($A328,2)&lt;=5,$A328='Recurring Schedule'!$F$41))),36,""))))</f>
        <v/>
      </c>
      <c r="AL328">
        <f>IF('Recurring Schedule'!$C$42="","",IF('Recurring Schedule'!$F$42="","",IF(OR($A328&lt;'Recurring Schedule'!$F$42,$A328&gt;'Recurring Schedule'!$P$42),"",IF(IF('Recurring Schedule'!$N$42&gt;0,MOD($A328-'Recurring Schedule'!$F$42,'Recurring Schedule'!$N$42)=0,IF('Recurring Schedule'!$O$42&gt;0,AND(DAY($A328)=MIN(DAY('Recurring Schedule'!$F$42),DAY(EOMONTH($A328,0))),MOD((YEAR($A328)-YEAR('Recurring Schedule'!$F$42))*12+MONTH($A328)-MONTH('Recurring Schedule'!$F$42),'Recurring Schedule'!$O$42)=0),IF('Recurring Schedule'!$E$42="Weekdays",WEEKDAY($A328,2)&lt;=5,$A328='Recurring Schedule'!$F$42))),37,""))))</f>
        <v/>
      </c>
      <c r="AM328">
        <f>IF('Recurring Schedule'!$C$43="","",IF('Recurring Schedule'!$F$43="","",IF(OR($A328&lt;'Recurring Schedule'!$F$43,$A328&gt;'Recurring Schedule'!$P$43),"",IF(IF('Recurring Schedule'!$N$43&gt;0,MOD($A328-'Recurring Schedule'!$F$43,'Recurring Schedule'!$N$43)=0,IF('Recurring Schedule'!$O$43&gt;0,AND(DAY($A328)=MIN(DAY('Recurring Schedule'!$F$43),DAY(EOMONTH($A328,0))),MOD((YEAR($A328)-YEAR('Recurring Schedule'!$F$43))*12+MONTH($A328)-MONTH('Recurring Schedule'!$F$43),'Recurring Schedule'!$O$43)=0),IF('Recurring Schedule'!$E$43="Weekdays",WEEKDAY($A328,2)&lt;=5,$A328='Recurring Schedule'!$F$43))),38,""))))</f>
        <v/>
      </c>
      <c r="AN328">
        <f>IF('Recurring Schedule'!$C$44="","",IF('Recurring Schedule'!$F$44="","",IF(OR($A328&lt;'Recurring Schedule'!$F$44,$A328&gt;'Recurring Schedule'!$P$44),"",IF(IF('Recurring Schedule'!$N$44&gt;0,MOD($A328-'Recurring Schedule'!$F$44,'Recurring Schedule'!$N$44)=0,IF('Recurring Schedule'!$O$44&gt;0,AND(DAY($A328)=MIN(DAY('Recurring Schedule'!$F$44),DAY(EOMONTH($A328,0))),MOD((YEAR($A328)-YEAR('Recurring Schedule'!$F$44))*12+MONTH($A328)-MONTH('Recurring Schedule'!$F$44),'Recurring Schedule'!$O$44)=0),IF('Recurring Schedule'!$E$44="Weekdays",WEEKDAY($A328,2)&lt;=5,$A328='Recurring Schedule'!$F$44))),39,""))))</f>
        <v/>
      </c>
      <c r="AO328">
        <f>IF('Recurring Schedule'!$C$45="","",IF('Recurring Schedule'!$F$45="","",IF(OR($A328&lt;'Recurring Schedule'!$F$45,$A328&gt;'Recurring Schedule'!$P$45),"",IF(IF('Recurring Schedule'!$N$45&gt;0,MOD($A328-'Recurring Schedule'!$F$45,'Recurring Schedule'!$N$45)=0,IF('Recurring Schedule'!$O$45&gt;0,AND(DAY($A328)=MIN(DAY('Recurring Schedule'!$F$45),DAY(EOMONTH($A328,0))),MOD((YEAR($A328)-YEAR('Recurring Schedule'!$F$45))*12+MONTH($A328)-MONTH('Recurring Schedule'!$F$45),'Recurring Schedule'!$O$45)=0),IF('Recurring Schedule'!$E$45="Weekdays",WEEKDAY($A328,2)&lt;=5,$A328='Recurring Schedule'!$F$45))),40,""))))</f>
        <v/>
      </c>
      <c r="AP328">
        <f>COUNT(B328:AO328)</f>
        <v/>
      </c>
      <c r="AQ328">
        <f>AQ327+AP327</f>
        <v/>
      </c>
      <c r="AS328" t="inlineStr">
        <is>
          <t>R</t>
        </is>
      </c>
      <c r="AT328" t="n">
        <v>332</v>
      </c>
      <c r="AU328">
        <f>'Recurring Log'!C332&amp;""</f>
        <v/>
      </c>
      <c r="AV328">
        <f>'Recurring Log'!D332&amp;""</f>
        <v/>
      </c>
      <c r="AW328">
        <f>IF('Recurring Log'!E332="","",'Recurring Log'!E332)</f>
        <v/>
      </c>
      <c r="AX328">
        <f>IF('Recurring Log'!G332="","",'Recurring Log'!G332)</f>
        <v/>
      </c>
      <c r="AY328">
        <f>IF('Recurring Log'!H332="","",'Recurring Log'!H332)</f>
        <v/>
      </c>
      <c r="AZ328">
        <f>IF(AU328="","",IF('Recurring Log'!J332="","Not Started",'Recurring Log'!J332))</f>
        <v/>
      </c>
      <c r="BA328">
        <f>'Recurring Log'!L332&amp;""</f>
        <v/>
      </c>
      <c r="BB328">
        <f>'Recurring Log'!M332&amp;""</f>
        <v/>
      </c>
      <c r="BC328">
        <f>'Recurring Log'!N332&amp;""</f>
        <v/>
      </c>
      <c r="BD328">
        <f>'Recurring Log'!O332&amp;""</f>
        <v/>
      </c>
      <c r="BE328">
        <f>IF('Recurring Log'!K332="","",'Recurring Log'!K332)</f>
        <v/>
      </c>
      <c r="BF328">
        <f>IFERROR(MATCH(BA328,Setup!$L$6:$L$9,0),5)</f>
        <v/>
      </c>
      <c r="BG328">
        <f>IF(OR(AZ328="Done",AZ328="Cancelled"),1,0)</f>
        <v/>
      </c>
      <c r="BH328">
        <f>IF(AND(AU328&lt;&gt;"",ISNUMBER(AW328)),1,0)</f>
        <v/>
      </c>
      <c r="BI328">
        <f>IF(BH328=0,0,IF(AND(AW328&gt;='Tasks Filter'!$F$3,AW328&lt;='Tasks Filter'!$F$4,OR('Tasks Filter'!$I$3="",ISNUMBER(SEARCH('Tasks Filter'!$I$3,AU328))),OR('Tasks Filter'!$I$4="",BF328=IFERROR(MATCH('Tasks Filter'!$I$4,Setup!$L$6:$L$9,0),0)),OR('Tasks Filter'!$I$5="Both",AND('Tasks Filter'!$I$5="Yes",BB328="✓"),AND('Tasks Filter'!$I$5="No",BB328&lt;&gt;"✓")),OR('Tasks Filter'!$L$3="",AV328='Tasks Filter'!$L$3),OR('Tasks Filter'!$L$4="",AZ328='Tasks Filter'!$L$4),OR('Tasks Filter'!$L$5="",BC328='Tasks Filter'!$L$5),OR('Tasks Filter'!$O$3="",BD328='Tasks Filter'!$O$3),OR('Tasks Filter'!$O$4="Yes",BG328=0)),1,0))</f>
        <v/>
      </c>
      <c r="BJ328">
        <f>IF(BH328=0,"",IF('Tasks Filter'!$F$6="Descending",-1,1)*CHOOSE(MATCH('Tasks Filter'!$F$5,Lists!$G$2:$G$6,0),AW328,BF328,IFERROR(MATCH(AV328,Setup!$F$6:$F$15,0),99),IFERROR(MATCH(BC328,Setup!$H$6:$H$15,0),99),IFERROR(MATCH(AZ328,Setup!$J$6:$J$11,0),99))*1E+9+(AW328-40000)*10000+327)</f>
        <v/>
      </c>
      <c r="BK328">
        <f>IF(BI328=1,BJ328,"")</f>
        <v/>
      </c>
      <c r="BL328">
        <f>IF(AND(BH328=1,BG328=0,N(AW328)&lt;Setup!$D$7),(AW328-40000)*10000+327,"")</f>
        <v/>
      </c>
      <c r="BM328">
        <f>IF(AND(BH328=1,AZ328&lt;&gt;"Cancelled",N(AW328)&gt;=Dashboard!$AB$3,N(AW328)&lt;=Dashboard!$AB$3+6),(AW328-40000)*100000+BF328*10000+327,"")</f>
        <v/>
      </c>
      <c r="BN328">
        <f>IF(AND(BH328=1,AZ328&lt;&gt;"Cancelled"),BF328*10000+327,"")</f>
        <v/>
      </c>
    </row>
    <row r="329">
      <c r="A329">
        <f>Setup!$D$5+327</f>
        <v/>
      </c>
      <c r="B329">
        <f>IF('Recurring Schedule'!$C$6="","",IF('Recurring Schedule'!$F$6="","",IF(OR($A329&lt;'Recurring Schedule'!$F$6,$A329&gt;'Recurring Schedule'!$P$6),"",IF(IF('Recurring Schedule'!$N$6&gt;0,MOD($A329-'Recurring Schedule'!$F$6,'Recurring Schedule'!$N$6)=0,IF('Recurring Schedule'!$O$6&gt;0,AND(DAY($A329)=MIN(DAY('Recurring Schedule'!$F$6),DAY(EOMONTH($A329,0))),MOD((YEAR($A329)-YEAR('Recurring Schedule'!$F$6))*12+MONTH($A329)-MONTH('Recurring Schedule'!$F$6),'Recurring Schedule'!$O$6)=0),IF('Recurring Schedule'!$E$6="Weekdays",WEEKDAY($A329,2)&lt;=5,$A329='Recurring Schedule'!$F$6))),1,""))))</f>
        <v/>
      </c>
      <c r="C329">
        <f>IF('Recurring Schedule'!$C$7="","",IF('Recurring Schedule'!$F$7="","",IF(OR($A329&lt;'Recurring Schedule'!$F$7,$A329&gt;'Recurring Schedule'!$P$7),"",IF(IF('Recurring Schedule'!$N$7&gt;0,MOD($A329-'Recurring Schedule'!$F$7,'Recurring Schedule'!$N$7)=0,IF('Recurring Schedule'!$O$7&gt;0,AND(DAY($A329)=MIN(DAY('Recurring Schedule'!$F$7),DAY(EOMONTH($A329,0))),MOD((YEAR($A329)-YEAR('Recurring Schedule'!$F$7))*12+MONTH($A329)-MONTH('Recurring Schedule'!$F$7),'Recurring Schedule'!$O$7)=0),IF('Recurring Schedule'!$E$7="Weekdays",WEEKDAY($A329,2)&lt;=5,$A329='Recurring Schedule'!$F$7))),2,""))))</f>
        <v/>
      </c>
      <c r="D329">
        <f>IF('Recurring Schedule'!$C$8="","",IF('Recurring Schedule'!$F$8="","",IF(OR($A329&lt;'Recurring Schedule'!$F$8,$A329&gt;'Recurring Schedule'!$P$8),"",IF(IF('Recurring Schedule'!$N$8&gt;0,MOD($A329-'Recurring Schedule'!$F$8,'Recurring Schedule'!$N$8)=0,IF('Recurring Schedule'!$O$8&gt;0,AND(DAY($A329)=MIN(DAY('Recurring Schedule'!$F$8),DAY(EOMONTH($A329,0))),MOD((YEAR($A329)-YEAR('Recurring Schedule'!$F$8))*12+MONTH($A329)-MONTH('Recurring Schedule'!$F$8),'Recurring Schedule'!$O$8)=0),IF('Recurring Schedule'!$E$8="Weekdays",WEEKDAY($A329,2)&lt;=5,$A329='Recurring Schedule'!$F$8))),3,""))))</f>
        <v/>
      </c>
      <c r="E329">
        <f>IF('Recurring Schedule'!$C$9="","",IF('Recurring Schedule'!$F$9="","",IF(OR($A329&lt;'Recurring Schedule'!$F$9,$A329&gt;'Recurring Schedule'!$P$9),"",IF(IF('Recurring Schedule'!$N$9&gt;0,MOD($A329-'Recurring Schedule'!$F$9,'Recurring Schedule'!$N$9)=0,IF('Recurring Schedule'!$O$9&gt;0,AND(DAY($A329)=MIN(DAY('Recurring Schedule'!$F$9),DAY(EOMONTH($A329,0))),MOD((YEAR($A329)-YEAR('Recurring Schedule'!$F$9))*12+MONTH($A329)-MONTH('Recurring Schedule'!$F$9),'Recurring Schedule'!$O$9)=0),IF('Recurring Schedule'!$E$9="Weekdays",WEEKDAY($A329,2)&lt;=5,$A329='Recurring Schedule'!$F$9))),4,""))))</f>
        <v/>
      </c>
      <c r="F329">
        <f>IF('Recurring Schedule'!$C$10="","",IF('Recurring Schedule'!$F$10="","",IF(OR($A329&lt;'Recurring Schedule'!$F$10,$A329&gt;'Recurring Schedule'!$P$10),"",IF(IF('Recurring Schedule'!$N$10&gt;0,MOD($A329-'Recurring Schedule'!$F$10,'Recurring Schedule'!$N$10)=0,IF('Recurring Schedule'!$O$10&gt;0,AND(DAY($A329)=MIN(DAY('Recurring Schedule'!$F$10),DAY(EOMONTH($A329,0))),MOD((YEAR($A329)-YEAR('Recurring Schedule'!$F$10))*12+MONTH($A329)-MONTH('Recurring Schedule'!$F$10),'Recurring Schedule'!$O$10)=0),IF('Recurring Schedule'!$E$10="Weekdays",WEEKDAY($A329,2)&lt;=5,$A329='Recurring Schedule'!$F$10))),5,""))))</f>
        <v/>
      </c>
      <c r="G329">
        <f>IF('Recurring Schedule'!$C$11="","",IF('Recurring Schedule'!$F$11="","",IF(OR($A329&lt;'Recurring Schedule'!$F$11,$A329&gt;'Recurring Schedule'!$P$11),"",IF(IF('Recurring Schedule'!$N$11&gt;0,MOD($A329-'Recurring Schedule'!$F$11,'Recurring Schedule'!$N$11)=0,IF('Recurring Schedule'!$O$11&gt;0,AND(DAY($A329)=MIN(DAY('Recurring Schedule'!$F$11),DAY(EOMONTH($A329,0))),MOD((YEAR($A329)-YEAR('Recurring Schedule'!$F$11))*12+MONTH($A329)-MONTH('Recurring Schedule'!$F$11),'Recurring Schedule'!$O$11)=0),IF('Recurring Schedule'!$E$11="Weekdays",WEEKDAY($A329,2)&lt;=5,$A329='Recurring Schedule'!$F$11))),6,""))))</f>
        <v/>
      </c>
      <c r="H329">
        <f>IF('Recurring Schedule'!$C$12="","",IF('Recurring Schedule'!$F$12="","",IF(OR($A329&lt;'Recurring Schedule'!$F$12,$A329&gt;'Recurring Schedule'!$P$12),"",IF(IF('Recurring Schedule'!$N$12&gt;0,MOD($A329-'Recurring Schedule'!$F$12,'Recurring Schedule'!$N$12)=0,IF('Recurring Schedule'!$O$12&gt;0,AND(DAY($A329)=MIN(DAY('Recurring Schedule'!$F$12),DAY(EOMONTH($A329,0))),MOD((YEAR($A329)-YEAR('Recurring Schedule'!$F$12))*12+MONTH($A329)-MONTH('Recurring Schedule'!$F$12),'Recurring Schedule'!$O$12)=0),IF('Recurring Schedule'!$E$12="Weekdays",WEEKDAY($A329,2)&lt;=5,$A329='Recurring Schedule'!$F$12))),7,""))))</f>
        <v/>
      </c>
      <c r="I329">
        <f>IF('Recurring Schedule'!$C$13="","",IF('Recurring Schedule'!$F$13="","",IF(OR($A329&lt;'Recurring Schedule'!$F$13,$A329&gt;'Recurring Schedule'!$P$13),"",IF(IF('Recurring Schedule'!$N$13&gt;0,MOD($A329-'Recurring Schedule'!$F$13,'Recurring Schedule'!$N$13)=0,IF('Recurring Schedule'!$O$13&gt;0,AND(DAY($A329)=MIN(DAY('Recurring Schedule'!$F$13),DAY(EOMONTH($A329,0))),MOD((YEAR($A329)-YEAR('Recurring Schedule'!$F$13))*12+MONTH($A329)-MONTH('Recurring Schedule'!$F$13),'Recurring Schedule'!$O$13)=0),IF('Recurring Schedule'!$E$13="Weekdays",WEEKDAY($A329,2)&lt;=5,$A329='Recurring Schedule'!$F$13))),8,""))))</f>
        <v/>
      </c>
      <c r="J329">
        <f>IF('Recurring Schedule'!$C$14="","",IF('Recurring Schedule'!$F$14="","",IF(OR($A329&lt;'Recurring Schedule'!$F$14,$A329&gt;'Recurring Schedule'!$P$14),"",IF(IF('Recurring Schedule'!$N$14&gt;0,MOD($A329-'Recurring Schedule'!$F$14,'Recurring Schedule'!$N$14)=0,IF('Recurring Schedule'!$O$14&gt;0,AND(DAY($A329)=MIN(DAY('Recurring Schedule'!$F$14),DAY(EOMONTH($A329,0))),MOD((YEAR($A329)-YEAR('Recurring Schedule'!$F$14))*12+MONTH($A329)-MONTH('Recurring Schedule'!$F$14),'Recurring Schedule'!$O$14)=0),IF('Recurring Schedule'!$E$14="Weekdays",WEEKDAY($A329,2)&lt;=5,$A329='Recurring Schedule'!$F$14))),9,""))))</f>
        <v/>
      </c>
      <c r="K329">
        <f>IF('Recurring Schedule'!$C$15="","",IF('Recurring Schedule'!$F$15="","",IF(OR($A329&lt;'Recurring Schedule'!$F$15,$A329&gt;'Recurring Schedule'!$P$15),"",IF(IF('Recurring Schedule'!$N$15&gt;0,MOD($A329-'Recurring Schedule'!$F$15,'Recurring Schedule'!$N$15)=0,IF('Recurring Schedule'!$O$15&gt;0,AND(DAY($A329)=MIN(DAY('Recurring Schedule'!$F$15),DAY(EOMONTH($A329,0))),MOD((YEAR($A329)-YEAR('Recurring Schedule'!$F$15))*12+MONTH($A329)-MONTH('Recurring Schedule'!$F$15),'Recurring Schedule'!$O$15)=0),IF('Recurring Schedule'!$E$15="Weekdays",WEEKDAY($A329,2)&lt;=5,$A329='Recurring Schedule'!$F$15))),10,""))))</f>
        <v/>
      </c>
      <c r="L329">
        <f>IF('Recurring Schedule'!$C$16="","",IF('Recurring Schedule'!$F$16="","",IF(OR($A329&lt;'Recurring Schedule'!$F$16,$A329&gt;'Recurring Schedule'!$P$16),"",IF(IF('Recurring Schedule'!$N$16&gt;0,MOD($A329-'Recurring Schedule'!$F$16,'Recurring Schedule'!$N$16)=0,IF('Recurring Schedule'!$O$16&gt;0,AND(DAY($A329)=MIN(DAY('Recurring Schedule'!$F$16),DAY(EOMONTH($A329,0))),MOD((YEAR($A329)-YEAR('Recurring Schedule'!$F$16))*12+MONTH($A329)-MONTH('Recurring Schedule'!$F$16),'Recurring Schedule'!$O$16)=0),IF('Recurring Schedule'!$E$16="Weekdays",WEEKDAY($A329,2)&lt;=5,$A329='Recurring Schedule'!$F$16))),11,""))))</f>
        <v/>
      </c>
      <c r="M329">
        <f>IF('Recurring Schedule'!$C$17="","",IF('Recurring Schedule'!$F$17="","",IF(OR($A329&lt;'Recurring Schedule'!$F$17,$A329&gt;'Recurring Schedule'!$P$17),"",IF(IF('Recurring Schedule'!$N$17&gt;0,MOD($A329-'Recurring Schedule'!$F$17,'Recurring Schedule'!$N$17)=0,IF('Recurring Schedule'!$O$17&gt;0,AND(DAY($A329)=MIN(DAY('Recurring Schedule'!$F$17),DAY(EOMONTH($A329,0))),MOD((YEAR($A329)-YEAR('Recurring Schedule'!$F$17))*12+MONTH($A329)-MONTH('Recurring Schedule'!$F$17),'Recurring Schedule'!$O$17)=0),IF('Recurring Schedule'!$E$17="Weekdays",WEEKDAY($A329,2)&lt;=5,$A329='Recurring Schedule'!$F$17))),12,""))))</f>
        <v/>
      </c>
      <c r="N329">
        <f>IF('Recurring Schedule'!$C$18="","",IF('Recurring Schedule'!$F$18="","",IF(OR($A329&lt;'Recurring Schedule'!$F$18,$A329&gt;'Recurring Schedule'!$P$18),"",IF(IF('Recurring Schedule'!$N$18&gt;0,MOD($A329-'Recurring Schedule'!$F$18,'Recurring Schedule'!$N$18)=0,IF('Recurring Schedule'!$O$18&gt;0,AND(DAY($A329)=MIN(DAY('Recurring Schedule'!$F$18),DAY(EOMONTH($A329,0))),MOD((YEAR($A329)-YEAR('Recurring Schedule'!$F$18))*12+MONTH($A329)-MONTH('Recurring Schedule'!$F$18),'Recurring Schedule'!$O$18)=0),IF('Recurring Schedule'!$E$18="Weekdays",WEEKDAY($A329,2)&lt;=5,$A329='Recurring Schedule'!$F$18))),13,""))))</f>
        <v/>
      </c>
      <c r="O329">
        <f>IF('Recurring Schedule'!$C$19="","",IF('Recurring Schedule'!$F$19="","",IF(OR($A329&lt;'Recurring Schedule'!$F$19,$A329&gt;'Recurring Schedule'!$P$19),"",IF(IF('Recurring Schedule'!$N$19&gt;0,MOD($A329-'Recurring Schedule'!$F$19,'Recurring Schedule'!$N$19)=0,IF('Recurring Schedule'!$O$19&gt;0,AND(DAY($A329)=MIN(DAY('Recurring Schedule'!$F$19),DAY(EOMONTH($A329,0))),MOD((YEAR($A329)-YEAR('Recurring Schedule'!$F$19))*12+MONTH($A329)-MONTH('Recurring Schedule'!$F$19),'Recurring Schedule'!$O$19)=0),IF('Recurring Schedule'!$E$19="Weekdays",WEEKDAY($A329,2)&lt;=5,$A329='Recurring Schedule'!$F$19))),14,""))))</f>
        <v/>
      </c>
      <c r="P329">
        <f>IF('Recurring Schedule'!$C$20="","",IF('Recurring Schedule'!$F$20="","",IF(OR($A329&lt;'Recurring Schedule'!$F$20,$A329&gt;'Recurring Schedule'!$P$20),"",IF(IF('Recurring Schedule'!$N$20&gt;0,MOD($A329-'Recurring Schedule'!$F$20,'Recurring Schedule'!$N$20)=0,IF('Recurring Schedule'!$O$20&gt;0,AND(DAY($A329)=MIN(DAY('Recurring Schedule'!$F$20),DAY(EOMONTH($A329,0))),MOD((YEAR($A329)-YEAR('Recurring Schedule'!$F$20))*12+MONTH($A329)-MONTH('Recurring Schedule'!$F$20),'Recurring Schedule'!$O$20)=0),IF('Recurring Schedule'!$E$20="Weekdays",WEEKDAY($A329,2)&lt;=5,$A329='Recurring Schedule'!$F$20))),15,""))))</f>
        <v/>
      </c>
      <c r="Q329">
        <f>IF('Recurring Schedule'!$C$21="","",IF('Recurring Schedule'!$F$21="","",IF(OR($A329&lt;'Recurring Schedule'!$F$21,$A329&gt;'Recurring Schedule'!$P$21),"",IF(IF('Recurring Schedule'!$N$21&gt;0,MOD($A329-'Recurring Schedule'!$F$21,'Recurring Schedule'!$N$21)=0,IF('Recurring Schedule'!$O$21&gt;0,AND(DAY($A329)=MIN(DAY('Recurring Schedule'!$F$21),DAY(EOMONTH($A329,0))),MOD((YEAR($A329)-YEAR('Recurring Schedule'!$F$21))*12+MONTH($A329)-MONTH('Recurring Schedule'!$F$21),'Recurring Schedule'!$O$21)=0),IF('Recurring Schedule'!$E$21="Weekdays",WEEKDAY($A329,2)&lt;=5,$A329='Recurring Schedule'!$F$21))),16,""))))</f>
        <v/>
      </c>
      <c r="R329">
        <f>IF('Recurring Schedule'!$C$22="","",IF('Recurring Schedule'!$F$22="","",IF(OR($A329&lt;'Recurring Schedule'!$F$22,$A329&gt;'Recurring Schedule'!$P$22),"",IF(IF('Recurring Schedule'!$N$22&gt;0,MOD($A329-'Recurring Schedule'!$F$22,'Recurring Schedule'!$N$22)=0,IF('Recurring Schedule'!$O$22&gt;0,AND(DAY($A329)=MIN(DAY('Recurring Schedule'!$F$22),DAY(EOMONTH($A329,0))),MOD((YEAR($A329)-YEAR('Recurring Schedule'!$F$22))*12+MONTH($A329)-MONTH('Recurring Schedule'!$F$22),'Recurring Schedule'!$O$22)=0),IF('Recurring Schedule'!$E$22="Weekdays",WEEKDAY($A329,2)&lt;=5,$A329='Recurring Schedule'!$F$22))),17,""))))</f>
        <v/>
      </c>
      <c r="S329">
        <f>IF('Recurring Schedule'!$C$23="","",IF('Recurring Schedule'!$F$23="","",IF(OR($A329&lt;'Recurring Schedule'!$F$23,$A329&gt;'Recurring Schedule'!$P$23),"",IF(IF('Recurring Schedule'!$N$23&gt;0,MOD($A329-'Recurring Schedule'!$F$23,'Recurring Schedule'!$N$23)=0,IF('Recurring Schedule'!$O$23&gt;0,AND(DAY($A329)=MIN(DAY('Recurring Schedule'!$F$23),DAY(EOMONTH($A329,0))),MOD((YEAR($A329)-YEAR('Recurring Schedule'!$F$23))*12+MONTH($A329)-MONTH('Recurring Schedule'!$F$23),'Recurring Schedule'!$O$23)=0),IF('Recurring Schedule'!$E$23="Weekdays",WEEKDAY($A329,2)&lt;=5,$A329='Recurring Schedule'!$F$23))),18,""))))</f>
        <v/>
      </c>
      <c r="T329">
        <f>IF('Recurring Schedule'!$C$24="","",IF('Recurring Schedule'!$F$24="","",IF(OR($A329&lt;'Recurring Schedule'!$F$24,$A329&gt;'Recurring Schedule'!$P$24),"",IF(IF('Recurring Schedule'!$N$24&gt;0,MOD($A329-'Recurring Schedule'!$F$24,'Recurring Schedule'!$N$24)=0,IF('Recurring Schedule'!$O$24&gt;0,AND(DAY($A329)=MIN(DAY('Recurring Schedule'!$F$24),DAY(EOMONTH($A329,0))),MOD((YEAR($A329)-YEAR('Recurring Schedule'!$F$24))*12+MONTH($A329)-MONTH('Recurring Schedule'!$F$24),'Recurring Schedule'!$O$24)=0),IF('Recurring Schedule'!$E$24="Weekdays",WEEKDAY($A329,2)&lt;=5,$A329='Recurring Schedule'!$F$24))),19,""))))</f>
        <v/>
      </c>
      <c r="U329">
        <f>IF('Recurring Schedule'!$C$25="","",IF('Recurring Schedule'!$F$25="","",IF(OR($A329&lt;'Recurring Schedule'!$F$25,$A329&gt;'Recurring Schedule'!$P$25),"",IF(IF('Recurring Schedule'!$N$25&gt;0,MOD($A329-'Recurring Schedule'!$F$25,'Recurring Schedule'!$N$25)=0,IF('Recurring Schedule'!$O$25&gt;0,AND(DAY($A329)=MIN(DAY('Recurring Schedule'!$F$25),DAY(EOMONTH($A329,0))),MOD((YEAR($A329)-YEAR('Recurring Schedule'!$F$25))*12+MONTH($A329)-MONTH('Recurring Schedule'!$F$25),'Recurring Schedule'!$O$25)=0),IF('Recurring Schedule'!$E$25="Weekdays",WEEKDAY($A329,2)&lt;=5,$A329='Recurring Schedule'!$F$25))),20,""))))</f>
        <v/>
      </c>
      <c r="V329">
        <f>IF('Recurring Schedule'!$C$26="","",IF('Recurring Schedule'!$F$26="","",IF(OR($A329&lt;'Recurring Schedule'!$F$26,$A329&gt;'Recurring Schedule'!$P$26),"",IF(IF('Recurring Schedule'!$N$26&gt;0,MOD($A329-'Recurring Schedule'!$F$26,'Recurring Schedule'!$N$26)=0,IF('Recurring Schedule'!$O$26&gt;0,AND(DAY($A329)=MIN(DAY('Recurring Schedule'!$F$26),DAY(EOMONTH($A329,0))),MOD((YEAR($A329)-YEAR('Recurring Schedule'!$F$26))*12+MONTH($A329)-MONTH('Recurring Schedule'!$F$26),'Recurring Schedule'!$O$26)=0),IF('Recurring Schedule'!$E$26="Weekdays",WEEKDAY($A329,2)&lt;=5,$A329='Recurring Schedule'!$F$26))),21,""))))</f>
        <v/>
      </c>
      <c r="W329">
        <f>IF('Recurring Schedule'!$C$27="","",IF('Recurring Schedule'!$F$27="","",IF(OR($A329&lt;'Recurring Schedule'!$F$27,$A329&gt;'Recurring Schedule'!$P$27),"",IF(IF('Recurring Schedule'!$N$27&gt;0,MOD($A329-'Recurring Schedule'!$F$27,'Recurring Schedule'!$N$27)=0,IF('Recurring Schedule'!$O$27&gt;0,AND(DAY($A329)=MIN(DAY('Recurring Schedule'!$F$27),DAY(EOMONTH($A329,0))),MOD((YEAR($A329)-YEAR('Recurring Schedule'!$F$27))*12+MONTH($A329)-MONTH('Recurring Schedule'!$F$27),'Recurring Schedule'!$O$27)=0),IF('Recurring Schedule'!$E$27="Weekdays",WEEKDAY($A329,2)&lt;=5,$A329='Recurring Schedule'!$F$27))),22,""))))</f>
        <v/>
      </c>
      <c r="X329">
        <f>IF('Recurring Schedule'!$C$28="","",IF('Recurring Schedule'!$F$28="","",IF(OR($A329&lt;'Recurring Schedule'!$F$28,$A329&gt;'Recurring Schedule'!$P$28),"",IF(IF('Recurring Schedule'!$N$28&gt;0,MOD($A329-'Recurring Schedule'!$F$28,'Recurring Schedule'!$N$28)=0,IF('Recurring Schedule'!$O$28&gt;0,AND(DAY($A329)=MIN(DAY('Recurring Schedule'!$F$28),DAY(EOMONTH($A329,0))),MOD((YEAR($A329)-YEAR('Recurring Schedule'!$F$28))*12+MONTH($A329)-MONTH('Recurring Schedule'!$F$28),'Recurring Schedule'!$O$28)=0),IF('Recurring Schedule'!$E$28="Weekdays",WEEKDAY($A329,2)&lt;=5,$A329='Recurring Schedule'!$F$28))),23,""))))</f>
        <v/>
      </c>
      <c r="Y329">
        <f>IF('Recurring Schedule'!$C$29="","",IF('Recurring Schedule'!$F$29="","",IF(OR($A329&lt;'Recurring Schedule'!$F$29,$A329&gt;'Recurring Schedule'!$P$29),"",IF(IF('Recurring Schedule'!$N$29&gt;0,MOD($A329-'Recurring Schedule'!$F$29,'Recurring Schedule'!$N$29)=0,IF('Recurring Schedule'!$O$29&gt;0,AND(DAY($A329)=MIN(DAY('Recurring Schedule'!$F$29),DAY(EOMONTH($A329,0))),MOD((YEAR($A329)-YEAR('Recurring Schedule'!$F$29))*12+MONTH($A329)-MONTH('Recurring Schedule'!$F$29),'Recurring Schedule'!$O$29)=0),IF('Recurring Schedule'!$E$29="Weekdays",WEEKDAY($A329,2)&lt;=5,$A329='Recurring Schedule'!$F$29))),24,""))))</f>
        <v/>
      </c>
      <c r="Z329">
        <f>IF('Recurring Schedule'!$C$30="","",IF('Recurring Schedule'!$F$30="","",IF(OR($A329&lt;'Recurring Schedule'!$F$30,$A329&gt;'Recurring Schedule'!$P$30),"",IF(IF('Recurring Schedule'!$N$30&gt;0,MOD($A329-'Recurring Schedule'!$F$30,'Recurring Schedule'!$N$30)=0,IF('Recurring Schedule'!$O$30&gt;0,AND(DAY($A329)=MIN(DAY('Recurring Schedule'!$F$30),DAY(EOMONTH($A329,0))),MOD((YEAR($A329)-YEAR('Recurring Schedule'!$F$30))*12+MONTH($A329)-MONTH('Recurring Schedule'!$F$30),'Recurring Schedule'!$O$30)=0),IF('Recurring Schedule'!$E$30="Weekdays",WEEKDAY($A329,2)&lt;=5,$A329='Recurring Schedule'!$F$30))),25,""))))</f>
        <v/>
      </c>
      <c r="AA329">
        <f>IF('Recurring Schedule'!$C$31="","",IF('Recurring Schedule'!$F$31="","",IF(OR($A329&lt;'Recurring Schedule'!$F$31,$A329&gt;'Recurring Schedule'!$P$31),"",IF(IF('Recurring Schedule'!$N$31&gt;0,MOD($A329-'Recurring Schedule'!$F$31,'Recurring Schedule'!$N$31)=0,IF('Recurring Schedule'!$O$31&gt;0,AND(DAY($A329)=MIN(DAY('Recurring Schedule'!$F$31),DAY(EOMONTH($A329,0))),MOD((YEAR($A329)-YEAR('Recurring Schedule'!$F$31))*12+MONTH($A329)-MONTH('Recurring Schedule'!$F$31),'Recurring Schedule'!$O$31)=0),IF('Recurring Schedule'!$E$31="Weekdays",WEEKDAY($A329,2)&lt;=5,$A329='Recurring Schedule'!$F$31))),26,""))))</f>
        <v/>
      </c>
      <c r="AB329">
        <f>IF('Recurring Schedule'!$C$32="","",IF('Recurring Schedule'!$F$32="","",IF(OR($A329&lt;'Recurring Schedule'!$F$32,$A329&gt;'Recurring Schedule'!$P$32),"",IF(IF('Recurring Schedule'!$N$32&gt;0,MOD($A329-'Recurring Schedule'!$F$32,'Recurring Schedule'!$N$32)=0,IF('Recurring Schedule'!$O$32&gt;0,AND(DAY($A329)=MIN(DAY('Recurring Schedule'!$F$32),DAY(EOMONTH($A329,0))),MOD((YEAR($A329)-YEAR('Recurring Schedule'!$F$32))*12+MONTH($A329)-MONTH('Recurring Schedule'!$F$32),'Recurring Schedule'!$O$32)=0),IF('Recurring Schedule'!$E$32="Weekdays",WEEKDAY($A329,2)&lt;=5,$A329='Recurring Schedule'!$F$32))),27,""))))</f>
        <v/>
      </c>
      <c r="AC329">
        <f>IF('Recurring Schedule'!$C$33="","",IF('Recurring Schedule'!$F$33="","",IF(OR($A329&lt;'Recurring Schedule'!$F$33,$A329&gt;'Recurring Schedule'!$P$33),"",IF(IF('Recurring Schedule'!$N$33&gt;0,MOD($A329-'Recurring Schedule'!$F$33,'Recurring Schedule'!$N$33)=0,IF('Recurring Schedule'!$O$33&gt;0,AND(DAY($A329)=MIN(DAY('Recurring Schedule'!$F$33),DAY(EOMONTH($A329,0))),MOD((YEAR($A329)-YEAR('Recurring Schedule'!$F$33))*12+MONTH($A329)-MONTH('Recurring Schedule'!$F$33),'Recurring Schedule'!$O$33)=0),IF('Recurring Schedule'!$E$33="Weekdays",WEEKDAY($A329,2)&lt;=5,$A329='Recurring Schedule'!$F$33))),28,""))))</f>
        <v/>
      </c>
      <c r="AD329">
        <f>IF('Recurring Schedule'!$C$34="","",IF('Recurring Schedule'!$F$34="","",IF(OR($A329&lt;'Recurring Schedule'!$F$34,$A329&gt;'Recurring Schedule'!$P$34),"",IF(IF('Recurring Schedule'!$N$34&gt;0,MOD($A329-'Recurring Schedule'!$F$34,'Recurring Schedule'!$N$34)=0,IF('Recurring Schedule'!$O$34&gt;0,AND(DAY($A329)=MIN(DAY('Recurring Schedule'!$F$34),DAY(EOMONTH($A329,0))),MOD((YEAR($A329)-YEAR('Recurring Schedule'!$F$34))*12+MONTH($A329)-MONTH('Recurring Schedule'!$F$34),'Recurring Schedule'!$O$34)=0),IF('Recurring Schedule'!$E$34="Weekdays",WEEKDAY($A329,2)&lt;=5,$A329='Recurring Schedule'!$F$34))),29,""))))</f>
        <v/>
      </c>
      <c r="AE329">
        <f>IF('Recurring Schedule'!$C$35="","",IF('Recurring Schedule'!$F$35="","",IF(OR($A329&lt;'Recurring Schedule'!$F$35,$A329&gt;'Recurring Schedule'!$P$35),"",IF(IF('Recurring Schedule'!$N$35&gt;0,MOD($A329-'Recurring Schedule'!$F$35,'Recurring Schedule'!$N$35)=0,IF('Recurring Schedule'!$O$35&gt;0,AND(DAY($A329)=MIN(DAY('Recurring Schedule'!$F$35),DAY(EOMONTH($A329,0))),MOD((YEAR($A329)-YEAR('Recurring Schedule'!$F$35))*12+MONTH($A329)-MONTH('Recurring Schedule'!$F$35),'Recurring Schedule'!$O$35)=0),IF('Recurring Schedule'!$E$35="Weekdays",WEEKDAY($A329,2)&lt;=5,$A329='Recurring Schedule'!$F$35))),30,""))))</f>
        <v/>
      </c>
      <c r="AF329">
        <f>IF('Recurring Schedule'!$C$36="","",IF('Recurring Schedule'!$F$36="","",IF(OR($A329&lt;'Recurring Schedule'!$F$36,$A329&gt;'Recurring Schedule'!$P$36),"",IF(IF('Recurring Schedule'!$N$36&gt;0,MOD($A329-'Recurring Schedule'!$F$36,'Recurring Schedule'!$N$36)=0,IF('Recurring Schedule'!$O$36&gt;0,AND(DAY($A329)=MIN(DAY('Recurring Schedule'!$F$36),DAY(EOMONTH($A329,0))),MOD((YEAR($A329)-YEAR('Recurring Schedule'!$F$36))*12+MONTH($A329)-MONTH('Recurring Schedule'!$F$36),'Recurring Schedule'!$O$36)=0),IF('Recurring Schedule'!$E$36="Weekdays",WEEKDAY($A329,2)&lt;=5,$A329='Recurring Schedule'!$F$36))),31,""))))</f>
        <v/>
      </c>
      <c r="AG329">
        <f>IF('Recurring Schedule'!$C$37="","",IF('Recurring Schedule'!$F$37="","",IF(OR($A329&lt;'Recurring Schedule'!$F$37,$A329&gt;'Recurring Schedule'!$P$37),"",IF(IF('Recurring Schedule'!$N$37&gt;0,MOD($A329-'Recurring Schedule'!$F$37,'Recurring Schedule'!$N$37)=0,IF('Recurring Schedule'!$O$37&gt;0,AND(DAY($A329)=MIN(DAY('Recurring Schedule'!$F$37),DAY(EOMONTH($A329,0))),MOD((YEAR($A329)-YEAR('Recurring Schedule'!$F$37))*12+MONTH($A329)-MONTH('Recurring Schedule'!$F$37),'Recurring Schedule'!$O$37)=0),IF('Recurring Schedule'!$E$37="Weekdays",WEEKDAY($A329,2)&lt;=5,$A329='Recurring Schedule'!$F$37))),32,""))))</f>
        <v/>
      </c>
      <c r="AH329">
        <f>IF('Recurring Schedule'!$C$38="","",IF('Recurring Schedule'!$F$38="","",IF(OR($A329&lt;'Recurring Schedule'!$F$38,$A329&gt;'Recurring Schedule'!$P$38),"",IF(IF('Recurring Schedule'!$N$38&gt;0,MOD($A329-'Recurring Schedule'!$F$38,'Recurring Schedule'!$N$38)=0,IF('Recurring Schedule'!$O$38&gt;0,AND(DAY($A329)=MIN(DAY('Recurring Schedule'!$F$38),DAY(EOMONTH($A329,0))),MOD((YEAR($A329)-YEAR('Recurring Schedule'!$F$38))*12+MONTH($A329)-MONTH('Recurring Schedule'!$F$38),'Recurring Schedule'!$O$38)=0),IF('Recurring Schedule'!$E$38="Weekdays",WEEKDAY($A329,2)&lt;=5,$A329='Recurring Schedule'!$F$38))),33,""))))</f>
        <v/>
      </c>
      <c r="AI329">
        <f>IF('Recurring Schedule'!$C$39="","",IF('Recurring Schedule'!$F$39="","",IF(OR($A329&lt;'Recurring Schedule'!$F$39,$A329&gt;'Recurring Schedule'!$P$39),"",IF(IF('Recurring Schedule'!$N$39&gt;0,MOD($A329-'Recurring Schedule'!$F$39,'Recurring Schedule'!$N$39)=0,IF('Recurring Schedule'!$O$39&gt;0,AND(DAY($A329)=MIN(DAY('Recurring Schedule'!$F$39),DAY(EOMONTH($A329,0))),MOD((YEAR($A329)-YEAR('Recurring Schedule'!$F$39))*12+MONTH($A329)-MONTH('Recurring Schedule'!$F$39),'Recurring Schedule'!$O$39)=0),IF('Recurring Schedule'!$E$39="Weekdays",WEEKDAY($A329,2)&lt;=5,$A329='Recurring Schedule'!$F$39))),34,""))))</f>
        <v/>
      </c>
      <c r="AJ329">
        <f>IF('Recurring Schedule'!$C$40="","",IF('Recurring Schedule'!$F$40="","",IF(OR($A329&lt;'Recurring Schedule'!$F$40,$A329&gt;'Recurring Schedule'!$P$40),"",IF(IF('Recurring Schedule'!$N$40&gt;0,MOD($A329-'Recurring Schedule'!$F$40,'Recurring Schedule'!$N$40)=0,IF('Recurring Schedule'!$O$40&gt;0,AND(DAY($A329)=MIN(DAY('Recurring Schedule'!$F$40),DAY(EOMONTH($A329,0))),MOD((YEAR($A329)-YEAR('Recurring Schedule'!$F$40))*12+MONTH($A329)-MONTH('Recurring Schedule'!$F$40),'Recurring Schedule'!$O$40)=0),IF('Recurring Schedule'!$E$40="Weekdays",WEEKDAY($A329,2)&lt;=5,$A329='Recurring Schedule'!$F$40))),35,""))))</f>
        <v/>
      </c>
      <c r="AK329">
        <f>IF('Recurring Schedule'!$C$41="","",IF('Recurring Schedule'!$F$41="","",IF(OR($A329&lt;'Recurring Schedule'!$F$41,$A329&gt;'Recurring Schedule'!$P$41),"",IF(IF('Recurring Schedule'!$N$41&gt;0,MOD($A329-'Recurring Schedule'!$F$41,'Recurring Schedule'!$N$41)=0,IF('Recurring Schedule'!$O$41&gt;0,AND(DAY($A329)=MIN(DAY('Recurring Schedule'!$F$41),DAY(EOMONTH($A329,0))),MOD((YEAR($A329)-YEAR('Recurring Schedule'!$F$41))*12+MONTH($A329)-MONTH('Recurring Schedule'!$F$41),'Recurring Schedule'!$O$41)=0),IF('Recurring Schedule'!$E$41="Weekdays",WEEKDAY($A329,2)&lt;=5,$A329='Recurring Schedule'!$F$41))),36,""))))</f>
        <v/>
      </c>
      <c r="AL329">
        <f>IF('Recurring Schedule'!$C$42="","",IF('Recurring Schedule'!$F$42="","",IF(OR($A329&lt;'Recurring Schedule'!$F$42,$A329&gt;'Recurring Schedule'!$P$42),"",IF(IF('Recurring Schedule'!$N$42&gt;0,MOD($A329-'Recurring Schedule'!$F$42,'Recurring Schedule'!$N$42)=0,IF('Recurring Schedule'!$O$42&gt;0,AND(DAY($A329)=MIN(DAY('Recurring Schedule'!$F$42),DAY(EOMONTH($A329,0))),MOD((YEAR($A329)-YEAR('Recurring Schedule'!$F$42))*12+MONTH($A329)-MONTH('Recurring Schedule'!$F$42),'Recurring Schedule'!$O$42)=0),IF('Recurring Schedule'!$E$42="Weekdays",WEEKDAY($A329,2)&lt;=5,$A329='Recurring Schedule'!$F$42))),37,""))))</f>
        <v/>
      </c>
      <c r="AM329">
        <f>IF('Recurring Schedule'!$C$43="","",IF('Recurring Schedule'!$F$43="","",IF(OR($A329&lt;'Recurring Schedule'!$F$43,$A329&gt;'Recurring Schedule'!$P$43),"",IF(IF('Recurring Schedule'!$N$43&gt;0,MOD($A329-'Recurring Schedule'!$F$43,'Recurring Schedule'!$N$43)=0,IF('Recurring Schedule'!$O$43&gt;0,AND(DAY($A329)=MIN(DAY('Recurring Schedule'!$F$43),DAY(EOMONTH($A329,0))),MOD((YEAR($A329)-YEAR('Recurring Schedule'!$F$43))*12+MONTH($A329)-MONTH('Recurring Schedule'!$F$43),'Recurring Schedule'!$O$43)=0),IF('Recurring Schedule'!$E$43="Weekdays",WEEKDAY($A329,2)&lt;=5,$A329='Recurring Schedule'!$F$43))),38,""))))</f>
        <v/>
      </c>
      <c r="AN329">
        <f>IF('Recurring Schedule'!$C$44="","",IF('Recurring Schedule'!$F$44="","",IF(OR($A329&lt;'Recurring Schedule'!$F$44,$A329&gt;'Recurring Schedule'!$P$44),"",IF(IF('Recurring Schedule'!$N$44&gt;0,MOD($A329-'Recurring Schedule'!$F$44,'Recurring Schedule'!$N$44)=0,IF('Recurring Schedule'!$O$44&gt;0,AND(DAY($A329)=MIN(DAY('Recurring Schedule'!$F$44),DAY(EOMONTH($A329,0))),MOD((YEAR($A329)-YEAR('Recurring Schedule'!$F$44))*12+MONTH($A329)-MONTH('Recurring Schedule'!$F$44),'Recurring Schedule'!$O$44)=0),IF('Recurring Schedule'!$E$44="Weekdays",WEEKDAY($A329,2)&lt;=5,$A329='Recurring Schedule'!$F$44))),39,""))))</f>
        <v/>
      </c>
      <c r="AO329">
        <f>IF('Recurring Schedule'!$C$45="","",IF('Recurring Schedule'!$F$45="","",IF(OR($A329&lt;'Recurring Schedule'!$F$45,$A329&gt;'Recurring Schedule'!$P$45),"",IF(IF('Recurring Schedule'!$N$45&gt;0,MOD($A329-'Recurring Schedule'!$F$45,'Recurring Schedule'!$N$45)=0,IF('Recurring Schedule'!$O$45&gt;0,AND(DAY($A329)=MIN(DAY('Recurring Schedule'!$F$45),DAY(EOMONTH($A329,0))),MOD((YEAR($A329)-YEAR('Recurring Schedule'!$F$45))*12+MONTH($A329)-MONTH('Recurring Schedule'!$F$45),'Recurring Schedule'!$O$45)=0),IF('Recurring Schedule'!$E$45="Weekdays",WEEKDAY($A329,2)&lt;=5,$A329='Recurring Schedule'!$F$45))),40,""))))</f>
        <v/>
      </c>
      <c r="AP329">
        <f>COUNT(B329:AO329)</f>
        <v/>
      </c>
      <c r="AQ329">
        <f>AQ328+AP328</f>
        <v/>
      </c>
      <c r="AS329" t="inlineStr">
        <is>
          <t>R</t>
        </is>
      </c>
      <c r="AT329" t="n">
        <v>333</v>
      </c>
      <c r="AU329">
        <f>'Recurring Log'!C333&amp;""</f>
        <v/>
      </c>
      <c r="AV329">
        <f>'Recurring Log'!D333&amp;""</f>
        <v/>
      </c>
      <c r="AW329">
        <f>IF('Recurring Log'!E333="","",'Recurring Log'!E333)</f>
        <v/>
      </c>
      <c r="AX329">
        <f>IF('Recurring Log'!G333="","",'Recurring Log'!G333)</f>
        <v/>
      </c>
      <c r="AY329">
        <f>IF('Recurring Log'!H333="","",'Recurring Log'!H333)</f>
        <v/>
      </c>
      <c r="AZ329">
        <f>IF(AU329="","",IF('Recurring Log'!J333="","Not Started",'Recurring Log'!J333))</f>
        <v/>
      </c>
      <c r="BA329">
        <f>'Recurring Log'!L333&amp;""</f>
        <v/>
      </c>
      <c r="BB329">
        <f>'Recurring Log'!M333&amp;""</f>
        <v/>
      </c>
      <c r="BC329">
        <f>'Recurring Log'!N333&amp;""</f>
        <v/>
      </c>
      <c r="BD329">
        <f>'Recurring Log'!O333&amp;""</f>
        <v/>
      </c>
      <c r="BE329">
        <f>IF('Recurring Log'!K333="","",'Recurring Log'!K333)</f>
        <v/>
      </c>
      <c r="BF329">
        <f>IFERROR(MATCH(BA329,Setup!$L$6:$L$9,0),5)</f>
        <v/>
      </c>
      <c r="BG329">
        <f>IF(OR(AZ329="Done",AZ329="Cancelled"),1,0)</f>
        <v/>
      </c>
      <c r="BH329">
        <f>IF(AND(AU329&lt;&gt;"",ISNUMBER(AW329)),1,0)</f>
        <v/>
      </c>
      <c r="BI329">
        <f>IF(BH329=0,0,IF(AND(AW329&gt;='Tasks Filter'!$F$3,AW329&lt;='Tasks Filter'!$F$4,OR('Tasks Filter'!$I$3="",ISNUMBER(SEARCH('Tasks Filter'!$I$3,AU329))),OR('Tasks Filter'!$I$4="",BF329=IFERROR(MATCH('Tasks Filter'!$I$4,Setup!$L$6:$L$9,0),0)),OR('Tasks Filter'!$I$5="Both",AND('Tasks Filter'!$I$5="Yes",BB329="✓"),AND('Tasks Filter'!$I$5="No",BB329&lt;&gt;"✓")),OR('Tasks Filter'!$L$3="",AV329='Tasks Filter'!$L$3),OR('Tasks Filter'!$L$4="",AZ329='Tasks Filter'!$L$4),OR('Tasks Filter'!$L$5="",BC329='Tasks Filter'!$L$5),OR('Tasks Filter'!$O$3="",BD329='Tasks Filter'!$O$3),OR('Tasks Filter'!$O$4="Yes",BG329=0)),1,0))</f>
        <v/>
      </c>
      <c r="BJ329">
        <f>IF(BH329=0,"",IF('Tasks Filter'!$F$6="Descending",-1,1)*CHOOSE(MATCH('Tasks Filter'!$F$5,Lists!$G$2:$G$6,0),AW329,BF329,IFERROR(MATCH(AV329,Setup!$F$6:$F$15,0),99),IFERROR(MATCH(BC329,Setup!$H$6:$H$15,0),99),IFERROR(MATCH(AZ329,Setup!$J$6:$J$11,0),99))*1E+9+(AW329-40000)*10000+328)</f>
        <v/>
      </c>
      <c r="BK329">
        <f>IF(BI329=1,BJ329,"")</f>
        <v/>
      </c>
      <c r="BL329">
        <f>IF(AND(BH329=1,BG329=0,N(AW329)&lt;Setup!$D$7),(AW329-40000)*10000+328,"")</f>
        <v/>
      </c>
      <c r="BM329">
        <f>IF(AND(BH329=1,AZ329&lt;&gt;"Cancelled",N(AW329)&gt;=Dashboard!$AB$3,N(AW329)&lt;=Dashboard!$AB$3+6),(AW329-40000)*100000+BF329*10000+328,"")</f>
        <v/>
      </c>
      <c r="BN329">
        <f>IF(AND(BH329=1,AZ329&lt;&gt;"Cancelled"),BF329*10000+328,"")</f>
        <v/>
      </c>
    </row>
    <row r="330">
      <c r="A330">
        <f>Setup!$D$5+328</f>
        <v/>
      </c>
      <c r="B330">
        <f>IF('Recurring Schedule'!$C$6="","",IF('Recurring Schedule'!$F$6="","",IF(OR($A330&lt;'Recurring Schedule'!$F$6,$A330&gt;'Recurring Schedule'!$P$6),"",IF(IF('Recurring Schedule'!$N$6&gt;0,MOD($A330-'Recurring Schedule'!$F$6,'Recurring Schedule'!$N$6)=0,IF('Recurring Schedule'!$O$6&gt;0,AND(DAY($A330)=MIN(DAY('Recurring Schedule'!$F$6),DAY(EOMONTH($A330,0))),MOD((YEAR($A330)-YEAR('Recurring Schedule'!$F$6))*12+MONTH($A330)-MONTH('Recurring Schedule'!$F$6),'Recurring Schedule'!$O$6)=0),IF('Recurring Schedule'!$E$6="Weekdays",WEEKDAY($A330,2)&lt;=5,$A330='Recurring Schedule'!$F$6))),1,""))))</f>
        <v/>
      </c>
      <c r="C330">
        <f>IF('Recurring Schedule'!$C$7="","",IF('Recurring Schedule'!$F$7="","",IF(OR($A330&lt;'Recurring Schedule'!$F$7,$A330&gt;'Recurring Schedule'!$P$7),"",IF(IF('Recurring Schedule'!$N$7&gt;0,MOD($A330-'Recurring Schedule'!$F$7,'Recurring Schedule'!$N$7)=0,IF('Recurring Schedule'!$O$7&gt;0,AND(DAY($A330)=MIN(DAY('Recurring Schedule'!$F$7),DAY(EOMONTH($A330,0))),MOD((YEAR($A330)-YEAR('Recurring Schedule'!$F$7))*12+MONTH($A330)-MONTH('Recurring Schedule'!$F$7),'Recurring Schedule'!$O$7)=0),IF('Recurring Schedule'!$E$7="Weekdays",WEEKDAY($A330,2)&lt;=5,$A330='Recurring Schedule'!$F$7))),2,""))))</f>
        <v/>
      </c>
      <c r="D330">
        <f>IF('Recurring Schedule'!$C$8="","",IF('Recurring Schedule'!$F$8="","",IF(OR($A330&lt;'Recurring Schedule'!$F$8,$A330&gt;'Recurring Schedule'!$P$8),"",IF(IF('Recurring Schedule'!$N$8&gt;0,MOD($A330-'Recurring Schedule'!$F$8,'Recurring Schedule'!$N$8)=0,IF('Recurring Schedule'!$O$8&gt;0,AND(DAY($A330)=MIN(DAY('Recurring Schedule'!$F$8),DAY(EOMONTH($A330,0))),MOD((YEAR($A330)-YEAR('Recurring Schedule'!$F$8))*12+MONTH($A330)-MONTH('Recurring Schedule'!$F$8),'Recurring Schedule'!$O$8)=0),IF('Recurring Schedule'!$E$8="Weekdays",WEEKDAY($A330,2)&lt;=5,$A330='Recurring Schedule'!$F$8))),3,""))))</f>
        <v/>
      </c>
      <c r="E330">
        <f>IF('Recurring Schedule'!$C$9="","",IF('Recurring Schedule'!$F$9="","",IF(OR($A330&lt;'Recurring Schedule'!$F$9,$A330&gt;'Recurring Schedule'!$P$9),"",IF(IF('Recurring Schedule'!$N$9&gt;0,MOD($A330-'Recurring Schedule'!$F$9,'Recurring Schedule'!$N$9)=0,IF('Recurring Schedule'!$O$9&gt;0,AND(DAY($A330)=MIN(DAY('Recurring Schedule'!$F$9),DAY(EOMONTH($A330,0))),MOD((YEAR($A330)-YEAR('Recurring Schedule'!$F$9))*12+MONTH($A330)-MONTH('Recurring Schedule'!$F$9),'Recurring Schedule'!$O$9)=0),IF('Recurring Schedule'!$E$9="Weekdays",WEEKDAY($A330,2)&lt;=5,$A330='Recurring Schedule'!$F$9))),4,""))))</f>
        <v/>
      </c>
      <c r="F330">
        <f>IF('Recurring Schedule'!$C$10="","",IF('Recurring Schedule'!$F$10="","",IF(OR($A330&lt;'Recurring Schedule'!$F$10,$A330&gt;'Recurring Schedule'!$P$10),"",IF(IF('Recurring Schedule'!$N$10&gt;0,MOD($A330-'Recurring Schedule'!$F$10,'Recurring Schedule'!$N$10)=0,IF('Recurring Schedule'!$O$10&gt;0,AND(DAY($A330)=MIN(DAY('Recurring Schedule'!$F$10),DAY(EOMONTH($A330,0))),MOD((YEAR($A330)-YEAR('Recurring Schedule'!$F$10))*12+MONTH($A330)-MONTH('Recurring Schedule'!$F$10),'Recurring Schedule'!$O$10)=0),IF('Recurring Schedule'!$E$10="Weekdays",WEEKDAY($A330,2)&lt;=5,$A330='Recurring Schedule'!$F$10))),5,""))))</f>
        <v/>
      </c>
      <c r="G330">
        <f>IF('Recurring Schedule'!$C$11="","",IF('Recurring Schedule'!$F$11="","",IF(OR($A330&lt;'Recurring Schedule'!$F$11,$A330&gt;'Recurring Schedule'!$P$11),"",IF(IF('Recurring Schedule'!$N$11&gt;0,MOD($A330-'Recurring Schedule'!$F$11,'Recurring Schedule'!$N$11)=0,IF('Recurring Schedule'!$O$11&gt;0,AND(DAY($A330)=MIN(DAY('Recurring Schedule'!$F$11),DAY(EOMONTH($A330,0))),MOD((YEAR($A330)-YEAR('Recurring Schedule'!$F$11))*12+MONTH($A330)-MONTH('Recurring Schedule'!$F$11),'Recurring Schedule'!$O$11)=0),IF('Recurring Schedule'!$E$11="Weekdays",WEEKDAY($A330,2)&lt;=5,$A330='Recurring Schedule'!$F$11))),6,""))))</f>
        <v/>
      </c>
      <c r="H330">
        <f>IF('Recurring Schedule'!$C$12="","",IF('Recurring Schedule'!$F$12="","",IF(OR($A330&lt;'Recurring Schedule'!$F$12,$A330&gt;'Recurring Schedule'!$P$12),"",IF(IF('Recurring Schedule'!$N$12&gt;0,MOD($A330-'Recurring Schedule'!$F$12,'Recurring Schedule'!$N$12)=0,IF('Recurring Schedule'!$O$12&gt;0,AND(DAY($A330)=MIN(DAY('Recurring Schedule'!$F$12),DAY(EOMONTH($A330,0))),MOD((YEAR($A330)-YEAR('Recurring Schedule'!$F$12))*12+MONTH($A330)-MONTH('Recurring Schedule'!$F$12),'Recurring Schedule'!$O$12)=0),IF('Recurring Schedule'!$E$12="Weekdays",WEEKDAY($A330,2)&lt;=5,$A330='Recurring Schedule'!$F$12))),7,""))))</f>
        <v/>
      </c>
      <c r="I330">
        <f>IF('Recurring Schedule'!$C$13="","",IF('Recurring Schedule'!$F$13="","",IF(OR($A330&lt;'Recurring Schedule'!$F$13,$A330&gt;'Recurring Schedule'!$P$13),"",IF(IF('Recurring Schedule'!$N$13&gt;0,MOD($A330-'Recurring Schedule'!$F$13,'Recurring Schedule'!$N$13)=0,IF('Recurring Schedule'!$O$13&gt;0,AND(DAY($A330)=MIN(DAY('Recurring Schedule'!$F$13),DAY(EOMONTH($A330,0))),MOD((YEAR($A330)-YEAR('Recurring Schedule'!$F$13))*12+MONTH($A330)-MONTH('Recurring Schedule'!$F$13),'Recurring Schedule'!$O$13)=0),IF('Recurring Schedule'!$E$13="Weekdays",WEEKDAY($A330,2)&lt;=5,$A330='Recurring Schedule'!$F$13))),8,""))))</f>
        <v/>
      </c>
      <c r="J330">
        <f>IF('Recurring Schedule'!$C$14="","",IF('Recurring Schedule'!$F$14="","",IF(OR($A330&lt;'Recurring Schedule'!$F$14,$A330&gt;'Recurring Schedule'!$P$14),"",IF(IF('Recurring Schedule'!$N$14&gt;0,MOD($A330-'Recurring Schedule'!$F$14,'Recurring Schedule'!$N$14)=0,IF('Recurring Schedule'!$O$14&gt;0,AND(DAY($A330)=MIN(DAY('Recurring Schedule'!$F$14),DAY(EOMONTH($A330,0))),MOD((YEAR($A330)-YEAR('Recurring Schedule'!$F$14))*12+MONTH($A330)-MONTH('Recurring Schedule'!$F$14),'Recurring Schedule'!$O$14)=0),IF('Recurring Schedule'!$E$14="Weekdays",WEEKDAY($A330,2)&lt;=5,$A330='Recurring Schedule'!$F$14))),9,""))))</f>
        <v/>
      </c>
      <c r="K330">
        <f>IF('Recurring Schedule'!$C$15="","",IF('Recurring Schedule'!$F$15="","",IF(OR($A330&lt;'Recurring Schedule'!$F$15,$A330&gt;'Recurring Schedule'!$P$15),"",IF(IF('Recurring Schedule'!$N$15&gt;0,MOD($A330-'Recurring Schedule'!$F$15,'Recurring Schedule'!$N$15)=0,IF('Recurring Schedule'!$O$15&gt;0,AND(DAY($A330)=MIN(DAY('Recurring Schedule'!$F$15),DAY(EOMONTH($A330,0))),MOD((YEAR($A330)-YEAR('Recurring Schedule'!$F$15))*12+MONTH($A330)-MONTH('Recurring Schedule'!$F$15),'Recurring Schedule'!$O$15)=0),IF('Recurring Schedule'!$E$15="Weekdays",WEEKDAY($A330,2)&lt;=5,$A330='Recurring Schedule'!$F$15))),10,""))))</f>
        <v/>
      </c>
      <c r="L330">
        <f>IF('Recurring Schedule'!$C$16="","",IF('Recurring Schedule'!$F$16="","",IF(OR($A330&lt;'Recurring Schedule'!$F$16,$A330&gt;'Recurring Schedule'!$P$16),"",IF(IF('Recurring Schedule'!$N$16&gt;0,MOD($A330-'Recurring Schedule'!$F$16,'Recurring Schedule'!$N$16)=0,IF('Recurring Schedule'!$O$16&gt;0,AND(DAY($A330)=MIN(DAY('Recurring Schedule'!$F$16),DAY(EOMONTH($A330,0))),MOD((YEAR($A330)-YEAR('Recurring Schedule'!$F$16))*12+MONTH($A330)-MONTH('Recurring Schedule'!$F$16),'Recurring Schedule'!$O$16)=0),IF('Recurring Schedule'!$E$16="Weekdays",WEEKDAY($A330,2)&lt;=5,$A330='Recurring Schedule'!$F$16))),11,""))))</f>
        <v/>
      </c>
      <c r="M330">
        <f>IF('Recurring Schedule'!$C$17="","",IF('Recurring Schedule'!$F$17="","",IF(OR($A330&lt;'Recurring Schedule'!$F$17,$A330&gt;'Recurring Schedule'!$P$17),"",IF(IF('Recurring Schedule'!$N$17&gt;0,MOD($A330-'Recurring Schedule'!$F$17,'Recurring Schedule'!$N$17)=0,IF('Recurring Schedule'!$O$17&gt;0,AND(DAY($A330)=MIN(DAY('Recurring Schedule'!$F$17),DAY(EOMONTH($A330,0))),MOD((YEAR($A330)-YEAR('Recurring Schedule'!$F$17))*12+MONTH($A330)-MONTH('Recurring Schedule'!$F$17),'Recurring Schedule'!$O$17)=0),IF('Recurring Schedule'!$E$17="Weekdays",WEEKDAY($A330,2)&lt;=5,$A330='Recurring Schedule'!$F$17))),12,""))))</f>
        <v/>
      </c>
      <c r="N330">
        <f>IF('Recurring Schedule'!$C$18="","",IF('Recurring Schedule'!$F$18="","",IF(OR($A330&lt;'Recurring Schedule'!$F$18,$A330&gt;'Recurring Schedule'!$P$18),"",IF(IF('Recurring Schedule'!$N$18&gt;0,MOD($A330-'Recurring Schedule'!$F$18,'Recurring Schedule'!$N$18)=0,IF('Recurring Schedule'!$O$18&gt;0,AND(DAY($A330)=MIN(DAY('Recurring Schedule'!$F$18),DAY(EOMONTH($A330,0))),MOD((YEAR($A330)-YEAR('Recurring Schedule'!$F$18))*12+MONTH($A330)-MONTH('Recurring Schedule'!$F$18),'Recurring Schedule'!$O$18)=0),IF('Recurring Schedule'!$E$18="Weekdays",WEEKDAY($A330,2)&lt;=5,$A330='Recurring Schedule'!$F$18))),13,""))))</f>
        <v/>
      </c>
      <c r="O330">
        <f>IF('Recurring Schedule'!$C$19="","",IF('Recurring Schedule'!$F$19="","",IF(OR($A330&lt;'Recurring Schedule'!$F$19,$A330&gt;'Recurring Schedule'!$P$19),"",IF(IF('Recurring Schedule'!$N$19&gt;0,MOD($A330-'Recurring Schedule'!$F$19,'Recurring Schedule'!$N$19)=0,IF('Recurring Schedule'!$O$19&gt;0,AND(DAY($A330)=MIN(DAY('Recurring Schedule'!$F$19),DAY(EOMONTH($A330,0))),MOD((YEAR($A330)-YEAR('Recurring Schedule'!$F$19))*12+MONTH($A330)-MONTH('Recurring Schedule'!$F$19),'Recurring Schedule'!$O$19)=0),IF('Recurring Schedule'!$E$19="Weekdays",WEEKDAY($A330,2)&lt;=5,$A330='Recurring Schedule'!$F$19))),14,""))))</f>
        <v/>
      </c>
      <c r="P330">
        <f>IF('Recurring Schedule'!$C$20="","",IF('Recurring Schedule'!$F$20="","",IF(OR($A330&lt;'Recurring Schedule'!$F$20,$A330&gt;'Recurring Schedule'!$P$20),"",IF(IF('Recurring Schedule'!$N$20&gt;0,MOD($A330-'Recurring Schedule'!$F$20,'Recurring Schedule'!$N$20)=0,IF('Recurring Schedule'!$O$20&gt;0,AND(DAY($A330)=MIN(DAY('Recurring Schedule'!$F$20),DAY(EOMONTH($A330,0))),MOD((YEAR($A330)-YEAR('Recurring Schedule'!$F$20))*12+MONTH($A330)-MONTH('Recurring Schedule'!$F$20),'Recurring Schedule'!$O$20)=0),IF('Recurring Schedule'!$E$20="Weekdays",WEEKDAY($A330,2)&lt;=5,$A330='Recurring Schedule'!$F$20))),15,""))))</f>
        <v/>
      </c>
      <c r="Q330">
        <f>IF('Recurring Schedule'!$C$21="","",IF('Recurring Schedule'!$F$21="","",IF(OR($A330&lt;'Recurring Schedule'!$F$21,$A330&gt;'Recurring Schedule'!$P$21),"",IF(IF('Recurring Schedule'!$N$21&gt;0,MOD($A330-'Recurring Schedule'!$F$21,'Recurring Schedule'!$N$21)=0,IF('Recurring Schedule'!$O$21&gt;0,AND(DAY($A330)=MIN(DAY('Recurring Schedule'!$F$21),DAY(EOMONTH($A330,0))),MOD((YEAR($A330)-YEAR('Recurring Schedule'!$F$21))*12+MONTH($A330)-MONTH('Recurring Schedule'!$F$21),'Recurring Schedule'!$O$21)=0),IF('Recurring Schedule'!$E$21="Weekdays",WEEKDAY($A330,2)&lt;=5,$A330='Recurring Schedule'!$F$21))),16,""))))</f>
        <v/>
      </c>
      <c r="R330">
        <f>IF('Recurring Schedule'!$C$22="","",IF('Recurring Schedule'!$F$22="","",IF(OR($A330&lt;'Recurring Schedule'!$F$22,$A330&gt;'Recurring Schedule'!$P$22),"",IF(IF('Recurring Schedule'!$N$22&gt;0,MOD($A330-'Recurring Schedule'!$F$22,'Recurring Schedule'!$N$22)=0,IF('Recurring Schedule'!$O$22&gt;0,AND(DAY($A330)=MIN(DAY('Recurring Schedule'!$F$22),DAY(EOMONTH($A330,0))),MOD((YEAR($A330)-YEAR('Recurring Schedule'!$F$22))*12+MONTH($A330)-MONTH('Recurring Schedule'!$F$22),'Recurring Schedule'!$O$22)=0),IF('Recurring Schedule'!$E$22="Weekdays",WEEKDAY($A330,2)&lt;=5,$A330='Recurring Schedule'!$F$22))),17,""))))</f>
        <v/>
      </c>
      <c r="S330">
        <f>IF('Recurring Schedule'!$C$23="","",IF('Recurring Schedule'!$F$23="","",IF(OR($A330&lt;'Recurring Schedule'!$F$23,$A330&gt;'Recurring Schedule'!$P$23),"",IF(IF('Recurring Schedule'!$N$23&gt;0,MOD($A330-'Recurring Schedule'!$F$23,'Recurring Schedule'!$N$23)=0,IF('Recurring Schedule'!$O$23&gt;0,AND(DAY($A330)=MIN(DAY('Recurring Schedule'!$F$23),DAY(EOMONTH($A330,0))),MOD((YEAR($A330)-YEAR('Recurring Schedule'!$F$23))*12+MONTH($A330)-MONTH('Recurring Schedule'!$F$23),'Recurring Schedule'!$O$23)=0),IF('Recurring Schedule'!$E$23="Weekdays",WEEKDAY($A330,2)&lt;=5,$A330='Recurring Schedule'!$F$23))),18,""))))</f>
        <v/>
      </c>
      <c r="T330">
        <f>IF('Recurring Schedule'!$C$24="","",IF('Recurring Schedule'!$F$24="","",IF(OR($A330&lt;'Recurring Schedule'!$F$24,$A330&gt;'Recurring Schedule'!$P$24),"",IF(IF('Recurring Schedule'!$N$24&gt;0,MOD($A330-'Recurring Schedule'!$F$24,'Recurring Schedule'!$N$24)=0,IF('Recurring Schedule'!$O$24&gt;0,AND(DAY($A330)=MIN(DAY('Recurring Schedule'!$F$24),DAY(EOMONTH($A330,0))),MOD((YEAR($A330)-YEAR('Recurring Schedule'!$F$24))*12+MONTH($A330)-MONTH('Recurring Schedule'!$F$24),'Recurring Schedule'!$O$24)=0),IF('Recurring Schedule'!$E$24="Weekdays",WEEKDAY($A330,2)&lt;=5,$A330='Recurring Schedule'!$F$24))),19,""))))</f>
        <v/>
      </c>
      <c r="U330">
        <f>IF('Recurring Schedule'!$C$25="","",IF('Recurring Schedule'!$F$25="","",IF(OR($A330&lt;'Recurring Schedule'!$F$25,$A330&gt;'Recurring Schedule'!$P$25),"",IF(IF('Recurring Schedule'!$N$25&gt;0,MOD($A330-'Recurring Schedule'!$F$25,'Recurring Schedule'!$N$25)=0,IF('Recurring Schedule'!$O$25&gt;0,AND(DAY($A330)=MIN(DAY('Recurring Schedule'!$F$25),DAY(EOMONTH($A330,0))),MOD((YEAR($A330)-YEAR('Recurring Schedule'!$F$25))*12+MONTH($A330)-MONTH('Recurring Schedule'!$F$25),'Recurring Schedule'!$O$25)=0),IF('Recurring Schedule'!$E$25="Weekdays",WEEKDAY($A330,2)&lt;=5,$A330='Recurring Schedule'!$F$25))),20,""))))</f>
        <v/>
      </c>
      <c r="V330">
        <f>IF('Recurring Schedule'!$C$26="","",IF('Recurring Schedule'!$F$26="","",IF(OR($A330&lt;'Recurring Schedule'!$F$26,$A330&gt;'Recurring Schedule'!$P$26),"",IF(IF('Recurring Schedule'!$N$26&gt;0,MOD($A330-'Recurring Schedule'!$F$26,'Recurring Schedule'!$N$26)=0,IF('Recurring Schedule'!$O$26&gt;0,AND(DAY($A330)=MIN(DAY('Recurring Schedule'!$F$26),DAY(EOMONTH($A330,0))),MOD((YEAR($A330)-YEAR('Recurring Schedule'!$F$26))*12+MONTH($A330)-MONTH('Recurring Schedule'!$F$26),'Recurring Schedule'!$O$26)=0),IF('Recurring Schedule'!$E$26="Weekdays",WEEKDAY($A330,2)&lt;=5,$A330='Recurring Schedule'!$F$26))),21,""))))</f>
        <v/>
      </c>
      <c r="W330">
        <f>IF('Recurring Schedule'!$C$27="","",IF('Recurring Schedule'!$F$27="","",IF(OR($A330&lt;'Recurring Schedule'!$F$27,$A330&gt;'Recurring Schedule'!$P$27),"",IF(IF('Recurring Schedule'!$N$27&gt;0,MOD($A330-'Recurring Schedule'!$F$27,'Recurring Schedule'!$N$27)=0,IF('Recurring Schedule'!$O$27&gt;0,AND(DAY($A330)=MIN(DAY('Recurring Schedule'!$F$27),DAY(EOMONTH($A330,0))),MOD((YEAR($A330)-YEAR('Recurring Schedule'!$F$27))*12+MONTH($A330)-MONTH('Recurring Schedule'!$F$27),'Recurring Schedule'!$O$27)=0),IF('Recurring Schedule'!$E$27="Weekdays",WEEKDAY($A330,2)&lt;=5,$A330='Recurring Schedule'!$F$27))),22,""))))</f>
        <v/>
      </c>
      <c r="X330">
        <f>IF('Recurring Schedule'!$C$28="","",IF('Recurring Schedule'!$F$28="","",IF(OR($A330&lt;'Recurring Schedule'!$F$28,$A330&gt;'Recurring Schedule'!$P$28),"",IF(IF('Recurring Schedule'!$N$28&gt;0,MOD($A330-'Recurring Schedule'!$F$28,'Recurring Schedule'!$N$28)=0,IF('Recurring Schedule'!$O$28&gt;0,AND(DAY($A330)=MIN(DAY('Recurring Schedule'!$F$28),DAY(EOMONTH($A330,0))),MOD((YEAR($A330)-YEAR('Recurring Schedule'!$F$28))*12+MONTH($A330)-MONTH('Recurring Schedule'!$F$28),'Recurring Schedule'!$O$28)=0),IF('Recurring Schedule'!$E$28="Weekdays",WEEKDAY($A330,2)&lt;=5,$A330='Recurring Schedule'!$F$28))),23,""))))</f>
        <v/>
      </c>
      <c r="Y330">
        <f>IF('Recurring Schedule'!$C$29="","",IF('Recurring Schedule'!$F$29="","",IF(OR($A330&lt;'Recurring Schedule'!$F$29,$A330&gt;'Recurring Schedule'!$P$29),"",IF(IF('Recurring Schedule'!$N$29&gt;0,MOD($A330-'Recurring Schedule'!$F$29,'Recurring Schedule'!$N$29)=0,IF('Recurring Schedule'!$O$29&gt;0,AND(DAY($A330)=MIN(DAY('Recurring Schedule'!$F$29),DAY(EOMONTH($A330,0))),MOD((YEAR($A330)-YEAR('Recurring Schedule'!$F$29))*12+MONTH($A330)-MONTH('Recurring Schedule'!$F$29),'Recurring Schedule'!$O$29)=0),IF('Recurring Schedule'!$E$29="Weekdays",WEEKDAY($A330,2)&lt;=5,$A330='Recurring Schedule'!$F$29))),24,""))))</f>
        <v/>
      </c>
      <c r="Z330">
        <f>IF('Recurring Schedule'!$C$30="","",IF('Recurring Schedule'!$F$30="","",IF(OR($A330&lt;'Recurring Schedule'!$F$30,$A330&gt;'Recurring Schedule'!$P$30),"",IF(IF('Recurring Schedule'!$N$30&gt;0,MOD($A330-'Recurring Schedule'!$F$30,'Recurring Schedule'!$N$30)=0,IF('Recurring Schedule'!$O$30&gt;0,AND(DAY($A330)=MIN(DAY('Recurring Schedule'!$F$30),DAY(EOMONTH($A330,0))),MOD((YEAR($A330)-YEAR('Recurring Schedule'!$F$30))*12+MONTH($A330)-MONTH('Recurring Schedule'!$F$30),'Recurring Schedule'!$O$30)=0),IF('Recurring Schedule'!$E$30="Weekdays",WEEKDAY($A330,2)&lt;=5,$A330='Recurring Schedule'!$F$30))),25,""))))</f>
        <v/>
      </c>
      <c r="AA330">
        <f>IF('Recurring Schedule'!$C$31="","",IF('Recurring Schedule'!$F$31="","",IF(OR($A330&lt;'Recurring Schedule'!$F$31,$A330&gt;'Recurring Schedule'!$P$31),"",IF(IF('Recurring Schedule'!$N$31&gt;0,MOD($A330-'Recurring Schedule'!$F$31,'Recurring Schedule'!$N$31)=0,IF('Recurring Schedule'!$O$31&gt;0,AND(DAY($A330)=MIN(DAY('Recurring Schedule'!$F$31),DAY(EOMONTH($A330,0))),MOD((YEAR($A330)-YEAR('Recurring Schedule'!$F$31))*12+MONTH($A330)-MONTH('Recurring Schedule'!$F$31),'Recurring Schedule'!$O$31)=0),IF('Recurring Schedule'!$E$31="Weekdays",WEEKDAY($A330,2)&lt;=5,$A330='Recurring Schedule'!$F$31))),26,""))))</f>
        <v/>
      </c>
      <c r="AB330">
        <f>IF('Recurring Schedule'!$C$32="","",IF('Recurring Schedule'!$F$32="","",IF(OR($A330&lt;'Recurring Schedule'!$F$32,$A330&gt;'Recurring Schedule'!$P$32),"",IF(IF('Recurring Schedule'!$N$32&gt;0,MOD($A330-'Recurring Schedule'!$F$32,'Recurring Schedule'!$N$32)=0,IF('Recurring Schedule'!$O$32&gt;0,AND(DAY($A330)=MIN(DAY('Recurring Schedule'!$F$32),DAY(EOMONTH($A330,0))),MOD((YEAR($A330)-YEAR('Recurring Schedule'!$F$32))*12+MONTH($A330)-MONTH('Recurring Schedule'!$F$32),'Recurring Schedule'!$O$32)=0),IF('Recurring Schedule'!$E$32="Weekdays",WEEKDAY($A330,2)&lt;=5,$A330='Recurring Schedule'!$F$32))),27,""))))</f>
        <v/>
      </c>
      <c r="AC330">
        <f>IF('Recurring Schedule'!$C$33="","",IF('Recurring Schedule'!$F$33="","",IF(OR($A330&lt;'Recurring Schedule'!$F$33,$A330&gt;'Recurring Schedule'!$P$33),"",IF(IF('Recurring Schedule'!$N$33&gt;0,MOD($A330-'Recurring Schedule'!$F$33,'Recurring Schedule'!$N$33)=0,IF('Recurring Schedule'!$O$33&gt;0,AND(DAY($A330)=MIN(DAY('Recurring Schedule'!$F$33),DAY(EOMONTH($A330,0))),MOD((YEAR($A330)-YEAR('Recurring Schedule'!$F$33))*12+MONTH($A330)-MONTH('Recurring Schedule'!$F$33),'Recurring Schedule'!$O$33)=0),IF('Recurring Schedule'!$E$33="Weekdays",WEEKDAY($A330,2)&lt;=5,$A330='Recurring Schedule'!$F$33))),28,""))))</f>
        <v/>
      </c>
      <c r="AD330">
        <f>IF('Recurring Schedule'!$C$34="","",IF('Recurring Schedule'!$F$34="","",IF(OR($A330&lt;'Recurring Schedule'!$F$34,$A330&gt;'Recurring Schedule'!$P$34),"",IF(IF('Recurring Schedule'!$N$34&gt;0,MOD($A330-'Recurring Schedule'!$F$34,'Recurring Schedule'!$N$34)=0,IF('Recurring Schedule'!$O$34&gt;0,AND(DAY($A330)=MIN(DAY('Recurring Schedule'!$F$34),DAY(EOMONTH($A330,0))),MOD((YEAR($A330)-YEAR('Recurring Schedule'!$F$34))*12+MONTH($A330)-MONTH('Recurring Schedule'!$F$34),'Recurring Schedule'!$O$34)=0),IF('Recurring Schedule'!$E$34="Weekdays",WEEKDAY($A330,2)&lt;=5,$A330='Recurring Schedule'!$F$34))),29,""))))</f>
        <v/>
      </c>
      <c r="AE330">
        <f>IF('Recurring Schedule'!$C$35="","",IF('Recurring Schedule'!$F$35="","",IF(OR($A330&lt;'Recurring Schedule'!$F$35,$A330&gt;'Recurring Schedule'!$P$35),"",IF(IF('Recurring Schedule'!$N$35&gt;0,MOD($A330-'Recurring Schedule'!$F$35,'Recurring Schedule'!$N$35)=0,IF('Recurring Schedule'!$O$35&gt;0,AND(DAY($A330)=MIN(DAY('Recurring Schedule'!$F$35),DAY(EOMONTH($A330,0))),MOD((YEAR($A330)-YEAR('Recurring Schedule'!$F$35))*12+MONTH($A330)-MONTH('Recurring Schedule'!$F$35),'Recurring Schedule'!$O$35)=0),IF('Recurring Schedule'!$E$35="Weekdays",WEEKDAY($A330,2)&lt;=5,$A330='Recurring Schedule'!$F$35))),30,""))))</f>
        <v/>
      </c>
      <c r="AF330">
        <f>IF('Recurring Schedule'!$C$36="","",IF('Recurring Schedule'!$F$36="","",IF(OR($A330&lt;'Recurring Schedule'!$F$36,$A330&gt;'Recurring Schedule'!$P$36),"",IF(IF('Recurring Schedule'!$N$36&gt;0,MOD($A330-'Recurring Schedule'!$F$36,'Recurring Schedule'!$N$36)=0,IF('Recurring Schedule'!$O$36&gt;0,AND(DAY($A330)=MIN(DAY('Recurring Schedule'!$F$36),DAY(EOMONTH($A330,0))),MOD((YEAR($A330)-YEAR('Recurring Schedule'!$F$36))*12+MONTH($A330)-MONTH('Recurring Schedule'!$F$36),'Recurring Schedule'!$O$36)=0),IF('Recurring Schedule'!$E$36="Weekdays",WEEKDAY($A330,2)&lt;=5,$A330='Recurring Schedule'!$F$36))),31,""))))</f>
        <v/>
      </c>
      <c r="AG330">
        <f>IF('Recurring Schedule'!$C$37="","",IF('Recurring Schedule'!$F$37="","",IF(OR($A330&lt;'Recurring Schedule'!$F$37,$A330&gt;'Recurring Schedule'!$P$37),"",IF(IF('Recurring Schedule'!$N$37&gt;0,MOD($A330-'Recurring Schedule'!$F$37,'Recurring Schedule'!$N$37)=0,IF('Recurring Schedule'!$O$37&gt;0,AND(DAY($A330)=MIN(DAY('Recurring Schedule'!$F$37),DAY(EOMONTH($A330,0))),MOD((YEAR($A330)-YEAR('Recurring Schedule'!$F$37))*12+MONTH($A330)-MONTH('Recurring Schedule'!$F$37),'Recurring Schedule'!$O$37)=0),IF('Recurring Schedule'!$E$37="Weekdays",WEEKDAY($A330,2)&lt;=5,$A330='Recurring Schedule'!$F$37))),32,""))))</f>
        <v/>
      </c>
      <c r="AH330">
        <f>IF('Recurring Schedule'!$C$38="","",IF('Recurring Schedule'!$F$38="","",IF(OR($A330&lt;'Recurring Schedule'!$F$38,$A330&gt;'Recurring Schedule'!$P$38),"",IF(IF('Recurring Schedule'!$N$38&gt;0,MOD($A330-'Recurring Schedule'!$F$38,'Recurring Schedule'!$N$38)=0,IF('Recurring Schedule'!$O$38&gt;0,AND(DAY($A330)=MIN(DAY('Recurring Schedule'!$F$38),DAY(EOMONTH($A330,0))),MOD((YEAR($A330)-YEAR('Recurring Schedule'!$F$38))*12+MONTH($A330)-MONTH('Recurring Schedule'!$F$38),'Recurring Schedule'!$O$38)=0),IF('Recurring Schedule'!$E$38="Weekdays",WEEKDAY($A330,2)&lt;=5,$A330='Recurring Schedule'!$F$38))),33,""))))</f>
        <v/>
      </c>
      <c r="AI330">
        <f>IF('Recurring Schedule'!$C$39="","",IF('Recurring Schedule'!$F$39="","",IF(OR($A330&lt;'Recurring Schedule'!$F$39,$A330&gt;'Recurring Schedule'!$P$39),"",IF(IF('Recurring Schedule'!$N$39&gt;0,MOD($A330-'Recurring Schedule'!$F$39,'Recurring Schedule'!$N$39)=0,IF('Recurring Schedule'!$O$39&gt;0,AND(DAY($A330)=MIN(DAY('Recurring Schedule'!$F$39),DAY(EOMONTH($A330,0))),MOD((YEAR($A330)-YEAR('Recurring Schedule'!$F$39))*12+MONTH($A330)-MONTH('Recurring Schedule'!$F$39),'Recurring Schedule'!$O$39)=0),IF('Recurring Schedule'!$E$39="Weekdays",WEEKDAY($A330,2)&lt;=5,$A330='Recurring Schedule'!$F$39))),34,""))))</f>
        <v/>
      </c>
      <c r="AJ330">
        <f>IF('Recurring Schedule'!$C$40="","",IF('Recurring Schedule'!$F$40="","",IF(OR($A330&lt;'Recurring Schedule'!$F$40,$A330&gt;'Recurring Schedule'!$P$40),"",IF(IF('Recurring Schedule'!$N$40&gt;0,MOD($A330-'Recurring Schedule'!$F$40,'Recurring Schedule'!$N$40)=0,IF('Recurring Schedule'!$O$40&gt;0,AND(DAY($A330)=MIN(DAY('Recurring Schedule'!$F$40),DAY(EOMONTH($A330,0))),MOD((YEAR($A330)-YEAR('Recurring Schedule'!$F$40))*12+MONTH($A330)-MONTH('Recurring Schedule'!$F$40),'Recurring Schedule'!$O$40)=0),IF('Recurring Schedule'!$E$40="Weekdays",WEEKDAY($A330,2)&lt;=5,$A330='Recurring Schedule'!$F$40))),35,""))))</f>
        <v/>
      </c>
      <c r="AK330">
        <f>IF('Recurring Schedule'!$C$41="","",IF('Recurring Schedule'!$F$41="","",IF(OR($A330&lt;'Recurring Schedule'!$F$41,$A330&gt;'Recurring Schedule'!$P$41),"",IF(IF('Recurring Schedule'!$N$41&gt;0,MOD($A330-'Recurring Schedule'!$F$41,'Recurring Schedule'!$N$41)=0,IF('Recurring Schedule'!$O$41&gt;0,AND(DAY($A330)=MIN(DAY('Recurring Schedule'!$F$41),DAY(EOMONTH($A330,0))),MOD((YEAR($A330)-YEAR('Recurring Schedule'!$F$41))*12+MONTH($A330)-MONTH('Recurring Schedule'!$F$41),'Recurring Schedule'!$O$41)=0),IF('Recurring Schedule'!$E$41="Weekdays",WEEKDAY($A330,2)&lt;=5,$A330='Recurring Schedule'!$F$41))),36,""))))</f>
        <v/>
      </c>
      <c r="AL330">
        <f>IF('Recurring Schedule'!$C$42="","",IF('Recurring Schedule'!$F$42="","",IF(OR($A330&lt;'Recurring Schedule'!$F$42,$A330&gt;'Recurring Schedule'!$P$42),"",IF(IF('Recurring Schedule'!$N$42&gt;0,MOD($A330-'Recurring Schedule'!$F$42,'Recurring Schedule'!$N$42)=0,IF('Recurring Schedule'!$O$42&gt;0,AND(DAY($A330)=MIN(DAY('Recurring Schedule'!$F$42),DAY(EOMONTH($A330,0))),MOD((YEAR($A330)-YEAR('Recurring Schedule'!$F$42))*12+MONTH($A330)-MONTH('Recurring Schedule'!$F$42),'Recurring Schedule'!$O$42)=0),IF('Recurring Schedule'!$E$42="Weekdays",WEEKDAY($A330,2)&lt;=5,$A330='Recurring Schedule'!$F$42))),37,""))))</f>
        <v/>
      </c>
      <c r="AM330">
        <f>IF('Recurring Schedule'!$C$43="","",IF('Recurring Schedule'!$F$43="","",IF(OR($A330&lt;'Recurring Schedule'!$F$43,$A330&gt;'Recurring Schedule'!$P$43),"",IF(IF('Recurring Schedule'!$N$43&gt;0,MOD($A330-'Recurring Schedule'!$F$43,'Recurring Schedule'!$N$43)=0,IF('Recurring Schedule'!$O$43&gt;0,AND(DAY($A330)=MIN(DAY('Recurring Schedule'!$F$43),DAY(EOMONTH($A330,0))),MOD((YEAR($A330)-YEAR('Recurring Schedule'!$F$43))*12+MONTH($A330)-MONTH('Recurring Schedule'!$F$43),'Recurring Schedule'!$O$43)=0),IF('Recurring Schedule'!$E$43="Weekdays",WEEKDAY($A330,2)&lt;=5,$A330='Recurring Schedule'!$F$43))),38,""))))</f>
        <v/>
      </c>
      <c r="AN330">
        <f>IF('Recurring Schedule'!$C$44="","",IF('Recurring Schedule'!$F$44="","",IF(OR($A330&lt;'Recurring Schedule'!$F$44,$A330&gt;'Recurring Schedule'!$P$44),"",IF(IF('Recurring Schedule'!$N$44&gt;0,MOD($A330-'Recurring Schedule'!$F$44,'Recurring Schedule'!$N$44)=0,IF('Recurring Schedule'!$O$44&gt;0,AND(DAY($A330)=MIN(DAY('Recurring Schedule'!$F$44),DAY(EOMONTH($A330,0))),MOD((YEAR($A330)-YEAR('Recurring Schedule'!$F$44))*12+MONTH($A330)-MONTH('Recurring Schedule'!$F$44),'Recurring Schedule'!$O$44)=0),IF('Recurring Schedule'!$E$44="Weekdays",WEEKDAY($A330,2)&lt;=5,$A330='Recurring Schedule'!$F$44))),39,""))))</f>
        <v/>
      </c>
      <c r="AO330">
        <f>IF('Recurring Schedule'!$C$45="","",IF('Recurring Schedule'!$F$45="","",IF(OR($A330&lt;'Recurring Schedule'!$F$45,$A330&gt;'Recurring Schedule'!$P$45),"",IF(IF('Recurring Schedule'!$N$45&gt;0,MOD($A330-'Recurring Schedule'!$F$45,'Recurring Schedule'!$N$45)=0,IF('Recurring Schedule'!$O$45&gt;0,AND(DAY($A330)=MIN(DAY('Recurring Schedule'!$F$45),DAY(EOMONTH($A330,0))),MOD((YEAR($A330)-YEAR('Recurring Schedule'!$F$45))*12+MONTH($A330)-MONTH('Recurring Schedule'!$F$45),'Recurring Schedule'!$O$45)=0),IF('Recurring Schedule'!$E$45="Weekdays",WEEKDAY($A330,2)&lt;=5,$A330='Recurring Schedule'!$F$45))),40,""))))</f>
        <v/>
      </c>
      <c r="AP330">
        <f>COUNT(B330:AO330)</f>
        <v/>
      </c>
      <c r="AQ330">
        <f>AQ329+AP329</f>
        <v/>
      </c>
      <c r="AS330" t="inlineStr">
        <is>
          <t>R</t>
        </is>
      </c>
      <c r="AT330" t="n">
        <v>334</v>
      </c>
      <c r="AU330">
        <f>'Recurring Log'!C334&amp;""</f>
        <v/>
      </c>
      <c r="AV330">
        <f>'Recurring Log'!D334&amp;""</f>
        <v/>
      </c>
      <c r="AW330">
        <f>IF('Recurring Log'!E334="","",'Recurring Log'!E334)</f>
        <v/>
      </c>
      <c r="AX330">
        <f>IF('Recurring Log'!G334="","",'Recurring Log'!G334)</f>
        <v/>
      </c>
      <c r="AY330">
        <f>IF('Recurring Log'!H334="","",'Recurring Log'!H334)</f>
        <v/>
      </c>
      <c r="AZ330">
        <f>IF(AU330="","",IF('Recurring Log'!J334="","Not Started",'Recurring Log'!J334))</f>
        <v/>
      </c>
      <c r="BA330">
        <f>'Recurring Log'!L334&amp;""</f>
        <v/>
      </c>
      <c r="BB330">
        <f>'Recurring Log'!M334&amp;""</f>
        <v/>
      </c>
      <c r="BC330">
        <f>'Recurring Log'!N334&amp;""</f>
        <v/>
      </c>
      <c r="BD330">
        <f>'Recurring Log'!O334&amp;""</f>
        <v/>
      </c>
      <c r="BE330">
        <f>IF('Recurring Log'!K334="","",'Recurring Log'!K334)</f>
        <v/>
      </c>
      <c r="BF330">
        <f>IFERROR(MATCH(BA330,Setup!$L$6:$L$9,0),5)</f>
        <v/>
      </c>
      <c r="BG330">
        <f>IF(OR(AZ330="Done",AZ330="Cancelled"),1,0)</f>
        <v/>
      </c>
      <c r="BH330">
        <f>IF(AND(AU330&lt;&gt;"",ISNUMBER(AW330)),1,0)</f>
        <v/>
      </c>
      <c r="BI330">
        <f>IF(BH330=0,0,IF(AND(AW330&gt;='Tasks Filter'!$F$3,AW330&lt;='Tasks Filter'!$F$4,OR('Tasks Filter'!$I$3="",ISNUMBER(SEARCH('Tasks Filter'!$I$3,AU330))),OR('Tasks Filter'!$I$4="",BF330=IFERROR(MATCH('Tasks Filter'!$I$4,Setup!$L$6:$L$9,0),0)),OR('Tasks Filter'!$I$5="Both",AND('Tasks Filter'!$I$5="Yes",BB330="✓"),AND('Tasks Filter'!$I$5="No",BB330&lt;&gt;"✓")),OR('Tasks Filter'!$L$3="",AV330='Tasks Filter'!$L$3),OR('Tasks Filter'!$L$4="",AZ330='Tasks Filter'!$L$4),OR('Tasks Filter'!$L$5="",BC330='Tasks Filter'!$L$5),OR('Tasks Filter'!$O$3="",BD330='Tasks Filter'!$O$3),OR('Tasks Filter'!$O$4="Yes",BG330=0)),1,0))</f>
        <v/>
      </c>
      <c r="BJ330">
        <f>IF(BH330=0,"",IF('Tasks Filter'!$F$6="Descending",-1,1)*CHOOSE(MATCH('Tasks Filter'!$F$5,Lists!$G$2:$G$6,0),AW330,BF330,IFERROR(MATCH(AV330,Setup!$F$6:$F$15,0),99),IFERROR(MATCH(BC330,Setup!$H$6:$H$15,0),99),IFERROR(MATCH(AZ330,Setup!$J$6:$J$11,0),99))*1E+9+(AW330-40000)*10000+329)</f>
        <v/>
      </c>
      <c r="BK330">
        <f>IF(BI330=1,BJ330,"")</f>
        <v/>
      </c>
      <c r="BL330">
        <f>IF(AND(BH330=1,BG330=0,N(AW330)&lt;Setup!$D$7),(AW330-40000)*10000+329,"")</f>
        <v/>
      </c>
      <c r="BM330">
        <f>IF(AND(BH330=1,AZ330&lt;&gt;"Cancelled",N(AW330)&gt;=Dashboard!$AB$3,N(AW330)&lt;=Dashboard!$AB$3+6),(AW330-40000)*100000+BF330*10000+329,"")</f>
        <v/>
      </c>
      <c r="BN330">
        <f>IF(AND(BH330=1,AZ330&lt;&gt;"Cancelled"),BF330*10000+329,"")</f>
        <v/>
      </c>
    </row>
    <row r="331">
      <c r="A331">
        <f>Setup!$D$5+329</f>
        <v/>
      </c>
      <c r="B331">
        <f>IF('Recurring Schedule'!$C$6="","",IF('Recurring Schedule'!$F$6="","",IF(OR($A331&lt;'Recurring Schedule'!$F$6,$A331&gt;'Recurring Schedule'!$P$6),"",IF(IF('Recurring Schedule'!$N$6&gt;0,MOD($A331-'Recurring Schedule'!$F$6,'Recurring Schedule'!$N$6)=0,IF('Recurring Schedule'!$O$6&gt;0,AND(DAY($A331)=MIN(DAY('Recurring Schedule'!$F$6),DAY(EOMONTH($A331,0))),MOD((YEAR($A331)-YEAR('Recurring Schedule'!$F$6))*12+MONTH($A331)-MONTH('Recurring Schedule'!$F$6),'Recurring Schedule'!$O$6)=0),IF('Recurring Schedule'!$E$6="Weekdays",WEEKDAY($A331,2)&lt;=5,$A331='Recurring Schedule'!$F$6))),1,""))))</f>
        <v/>
      </c>
      <c r="C331">
        <f>IF('Recurring Schedule'!$C$7="","",IF('Recurring Schedule'!$F$7="","",IF(OR($A331&lt;'Recurring Schedule'!$F$7,$A331&gt;'Recurring Schedule'!$P$7),"",IF(IF('Recurring Schedule'!$N$7&gt;0,MOD($A331-'Recurring Schedule'!$F$7,'Recurring Schedule'!$N$7)=0,IF('Recurring Schedule'!$O$7&gt;0,AND(DAY($A331)=MIN(DAY('Recurring Schedule'!$F$7),DAY(EOMONTH($A331,0))),MOD((YEAR($A331)-YEAR('Recurring Schedule'!$F$7))*12+MONTH($A331)-MONTH('Recurring Schedule'!$F$7),'Recurring Schedule'!$O$7)=0),IF('Recurring Schedule'!$E$7="Weekdays",WEEKDAY($A331,2)&lt;=5,$A331='Recurring Schedule'!$F$7))),2,""))))</f>
        <v/>
      </c>
      <c r="D331">
        <f>IF('Recurring Schedule'!$C$8="","",IF('Recurring Schedule'!$F$8="","",IF(OR($A331&lt;'Recurring Schedule'!$F$8,$A331&gt;'Recurring Schedule'!$P$8),"",IF(IF('Recurring Schedule'!$N$8&gt;0,MOD($A331-'Recurring Schedule'!$F$8,'Recurring Schedule'!$N$8)=0,IF('Recurring Schedule'!$O$8&gt;0,AND(DAY($A331)=MIN(DAY('Recurring Schedule'!$F$8),DAY(EOMONTH($A331,0))),MOD((YEAR($A331)-YEAR('Recurring Schedule'!$F$8))*12+MONTH($A331)-MONTH('Recurring Schedule'!$F$8),'Recurring Schedule'!$O$8)=0),IF('Recurring Schedule'!$E$8="Weekdays",WEEKDAY($A331,2)&lt;=5,$A331='Recurring Schedule'!$F$8))),3,""))))</f>
        <v/>
      </c>
      <c r="E331">
        <f>IF('Recurring Schedule'!$C$9="","",IF('Recurring Schedule'!$F$9="","",IF(OR($A331&lt;'Recurring Schedule'!$F$9,$A331&gt;'Recurring Schedule'!$P$9),"",IF(IF('Recurring Schedule'!$N$9&gt;0,MOD($A331-'Recurring Schedule'!$F$9,'Recurring Schedule'!$N$9)=0,IF('Recurring Schedule'!$O$9&gt;0,AND(DAY($A331)=MIN(DAY('Recurring Schedule'!$F$9),DAY(EOMONTH($A331,0))),MOD((YEAR($A331)-YEAR('Recurring Schedule'!$F$9))*12+MONTH($A331)-MONTH('Recurring Schedule'!$F$9),'Recurring Schedule'!$O$9)=0),IF('Recurring Schedule'!$E$9="Weekdays",WEEKDAY($A331,2)&lt;=5,$A331='Recurring Schedule'!$F$9))),4,""))))</f>
        <v/>
      </c>
      <c r="F331">
        <f>IF('Recurring Schedule'!$C$10="","",IF('Recurring Schedule'!$F$10="","",IF(OR($A331&lt;'Recurring Schedule'!$F$10,$A331&gt;'Recurring Schedule'!$P$10),"",IF(IF('Recurring Schedule'!$N$10&gt;0,MOD($A331-'Recurring Schedule'!$F$10,'Recurring Schedule'!$N$10)=0,IF('Recurring Schedule'!$O$10&gt;0,AND(DAY($A331)=MIN(DAY('Recurring Schedule'!$F$10),DAY(EOMONTH($A331,0))),MOD((YEAR($A331)-YEAR('Recurring Schedule'!$F$10))*12+MONTH($A331)-MONTH('Recurring Schedule'!$F$10),'Recurring Schedule'!$O$10)=0),IF('Recurring Schedule'!$E$10="Weekdays",WEEKDAY($A331,2)&lt;=5,$A331='Recurring Schedule'!$F$10))),5,""))))</f>
        <v/>
      </c>
      <c r="G331">
        <f>IF('Recurring Schedule'!$C$11="","",IF('Recurring Schedule'!$F$11="","",IF(OR($A331&lt;'Recurring Schedule'!$F$11,$A331&gt;'Recurring Schedule'!$P$11),"",IF(IF('Recurring Schedule'!$N$11&gt;0,MOD($A331-'Recurring Schedule'!$F$11,'Recurring Schedule'!$N$11)=0,IF('Recurring Schedule'!$O$11&gt;0,AND(DAY($A331)=MIN(DAY('Recurring Schedule'!$F$11),DAY(EOMONTH($A331,0))),MOD((YEAR($A331)-YEAR('Recurring Schedule'!$F$11))*12+MONTH($A331)-MONTH('Recurring Schedule'!$F$11),'Recurring Schedule'!$O$11)=0),IF('Recurring Schedule'!$E$11="Weekdays",WEEKDAY($A331,2)&lt;=5,$A331='Recurring Schedule'!$F$11))),6,""))))</f>
        <v/>
      </c>
      <c r="H331">
        <f>IF('Recurring Schedule'!$C$12="","",IF('Recurring Schedule'!$F$12="","",IF(OR($A331&lt;'Recurring Schedule'!$F$12,$A331&gt;'Recurring Schedule'!$P$12),"",IF(IF('Recurring Schedule'!$N$12&gt;0,MOD($A331-'Recurring Schedule'!$F$12,'Recurring Schedule'!$N$12)=0,IF('Recurring Schedule'!$O$12&gt;0,AND(DAY($A331)=MIN(DAY('Recurring Schedule'!$F$12),DAY(EOMONTH($A331,0))),MOD((YEAR($A331)-YEAR('Recurring Schedule'!$F$12))*12+MONTH($A331)-MONTH('Recurring Schedule'!$F$12),'Recurring Schedule'!$O$12)=0),IF('Recurring Schedule'!$E$12="Weekdays",WEEKDAY($A331,2)&lt;=5,$A331='Recurring Schedule'!$F$12))),7,""))))</f>
        <v/>
      </c>
      <c r="I331">
        <f>IF('Recurring Schedule'!$C$13="","",IF('Recurring Schedule'!$F$13="","",IF(OR($A331&lt;'Recurring Schedule'!$F$13,$A331&gt;'Recurring Schedule'!$P$13),"",IF(IF('Recurring Schedule'!$N$13&gt;0,MOD($A331-'Recurring Schedule'!$F$13,'Recurring Schedule'!$N$13)=0,IF('Recurring Schedule'!$O$13&gt;0,AND(DAY($A331)=MIN(DAY('Recurring Schedule'!$F$13),DAY(EOMONTH($A331,0))),MOD((YEAR($A331)-YEAR('Recurring Schedule'!$F$13))*12+MONTH($A331)-MONTH('Recurring Schedule'!$F$13),'Recurring Schedule'!$O$13)=0),IF('Recurring Schedule'!$E$13="Weekdays",WEEKDAY($A331,2)&lt;=5,$A331='Recurring Schedule'!$F$13))),8,""))))</f>
        <v/>
      </c>
      <c r="J331">
        <f>IF('Recurring Schedule'!$C$14="","",IF('Recurring Schedule'!$F$14="","",IF(OR($A331&lt;'Recurring Schedule'!$F$14,$A331&gt;'Recurring Schedule'!$P$14),"",IF(IF('Recurring Schedule'!$N$14&gt;0,MOD($A331-'Recurring Schedule'!$F$14,'Recurring Schedule'!$N$14)=0,IF('Recurring Schedule'!$O$14&gt;0,AND(DAY($A331)=MIN(DAY('Recurring Schedule'!$F$14),DAY(EOMONTH($A331,0))),MOD((YEAR($A331)-YEAR('Recurring Schedule'!$F$14))*12+MONTH($A331)-MONTH('Recurring Schedule'!$F$14),'Recurring Schedule'!$O$14)=0),IF('Recurring Schedule'!$E$14="Weekdays",WEEKDAY($A331,2)&lt;=5,$A331='Recurring Schedule'!$F$14))),9,""))))</f>
        <v/>
      </c>
      <c r="K331">
        <f>IF('Recurring Schedule'!$C$15="","",IF('Recurring Schedule'!$F$15="","",IF(OR($A331&lt;'Recurring Schedule'!$F$15,$A331&gt;'Recurring Schedule'!$P$15),"",IF(IF('Recurring Schedule'!$N$15&gt;0,MOD($A331-'Recurring Schedule'!$F$15,'Recurring Schedule'!$N$15)=0,IF('Recurring Schedule'!$O$15&gt;0,AND(DAY($A331)=MIN(DAY('Recurring Schedule'!$F$15),DAY(EOMONTH($A331,0))),MOD((YEAR($A331)-YEAR('Recurring Schedule'!$F$15))*12+MONTH($A331)-MONTH('Recurring Schedule'!$F$15),'Recurring Schedule'!$O$15)=0),IF('Recurring Schedule'!$E$15="Weekdays",WEEKDAY($A331,2)&lt;=5,$A331='Recurring Schedule'!$F$15))),10,""))))</f>
        <v/>
      </c>
      <c r="L331">
        <f>IF('Recurring Schedule'!$C$16="","",IF('Recurring Schedule'!$F$16="","",IF(OR($A331&lt;'Recurring Schedule'!$F$16,$A331&gt;'Recurring Schedule'!$P$16),"",IF(IF('Recurring Schedule'!$N$16&gt;0,MOD($A331-'Recurring Schedule'!$F$16,'Recurring Schedule'!$N$16)=0,IF('Recurring Schedule'!$O$16&gt;0,AND(DAY($A331)=MIN(DAY('Recurring Schedule'!$F$16),DAY(EOMONTH($A331,0))),MOD((YEAR($A331)-YEAR('Recurring Schedule'!$F$16))*12+MONTH($A331)-MONTH('Recurring Schedule'!$F$16),'Recurring Schedule'!$O$16)=0),IF('Recurring Schedule'!$E$16="Weekdays",WEEKDAY($A331,2)&lt;=5,$A331='Recurring Schedule'!$F$16))),11,""))))</f>
        <v/>
      </c>
      <c r="M331">
        <f>IF('Recurring Schedule'!$C$17="","",IF('Recurring Schedule'!$F$17="","",IF(OR($A331&lt;'Recurring Schedule'!$F$17,$A331&gt;'Recurring Schedule'!$P$17),"",IF(IF('Recurring Schedule'!$N$17&gt;0,MOD($A331-'Recurring Schedule'!$F$17,'Recurring Schedule'!$N$17)=0,IF('Recurring Schedule'!$O$17&gt;0,AND(DAY($A331)=MIN(DAY('Recurring Schedule'!$F$17),DAY(EOMONTH($A331,0))),MOD((YEAR($A331)-YEAR('Recurring Schedule'!$F$17))*12+MONTH($A331)-MONTH('Recurring Schedule'!$F$17),'Recurring Schedule'!$O$17)=0),IF('Recurring Schedule'!$E$17="Weekdays",WEEKDAY($A331,2)&lt;=5,$A331='Recurring Schedule'!$F$17))),12,""))))</f>
        <v/>
      </c>
      <c r="N331">
        <f>IF('Recurring Schedule'!$C$18="","",IF('Recurring Schedule'!$F$18="","",IF(OR($A331&lt;'Recurring Schedule'!$F$18,$A331&gt;'Recurring Schedule'!$P$18),"",IF(IF('Recurring Schedule'!$N$18&gt;0,MOD($A331-'Recurring Schedule'!$F$18,'Recurring Schedule'!$N$18)=0,IF('Recurring Schedule'!$O$18&gt;0,AND(DAY($A331)=MIN(DAY('Recurring Schedule'!$F$18),DAY(EOMONTH($A331,0))),MOD((YEAR($A331)-YEAR('Recurring Schedule'!$F$18))*12+MONTH($A331)-MONTH('Recurring Schedule'!$F$18),'Recurring Schedule'!$O$18)=0),IF('Recurring Schedule'!$E$18="Weekdays",WEEKDAY($A331,2)&lt;=5,$A331='Recurring Schedule'!$F$18))),13,""))))</f>
        <v/>
      </c>
      <c r="O331">
        <f>IF('Recurring Schedule'!$C$19="","",IF('Recurring Schedule'!$F$19="","",IF(OR($A331&lt;'Recurring Schedule'!$F$19,$A331&gt;'Recurring Schedule'!$P$19),"",IF(IF('Recurring Schedule'!$N$19&gt;0,MOD($A331-'Recurring Schedule'!$F$19,'Recurring Schedule'!$N$19)=0,IF('Recurring Schedule'!$O$19&gt;0,AND(DAY($A331)=MIN(DAY('Recurring Schedule'!$F$19),DAY(EOMONTH($A331,0))),MOD((YEAR($A331)-YEAR('Recurring Schedule'!$F$19))*12+MONTH($A331)-MONTH('Recurring Schedule'!$F$19),'Recurring Schedule'!$O$19)=0),IF('Recurring Schedule'!$E$19="Weekdays",WEEKDAY($A331,2)&lt;=5,$A331='Recurring Schedule'!$F$19))),14,""))))</f>
        <v/>
      </c>
      <c r="P331">
        <f>IF('Recurring Schedule'!$C$20="","",IF('Recurring Schedule'!$F$20="","",IF(OR($A331&lt;'Recurring Schedule'!$F$20,$A331&gt;'Recurring Schedule'!$P$20),"",IF(IF('Recurring Schedule'!$N$20&gt;0,MOD($A331-'Recurring Schedule'!$F$20,'Recurring Schedule'!$N$20)=0,IF('Recurring Schedule'!$O$20&gt;0,AND(DAY($A331)=MIN(DAY('Recurring Schedule'!$F$20),DAY(EOMONTH($A331,0))),MOD((YEAR($A331)-YEAR('Recurring Schedule'!$F$20))*12+MONTH($A331)-MONTH('Recurring Schedule'!$F$20),'Recurring Schedule'!$O$20)=0),IF('Recurring Schedule'!$E$20="Weekdays",WEEKDAY($A331,2)&lt;=5,$A331='Recurring Schedule'!$F$20))),15,""))))</f>
        <v/>
      </c>
      <c r="Q331">
        <f>IF('Recurring Schedule'!$C$21="","",IF('Recurring Schedule'!$F$21="","",IF(OR($A331&lt;'Recurring Schedule'!$F$21,$A331&gt;'Recurring Schedule'!$P$21),"",IF(IF('Recurring Schedule'!$N$21&gt;0,MOD($A331-'Recurring Schedule'!$F$21,'Recurring Schedule'!$N$21)=0,IF('Recurring Schedule'!$O$21&gt;0,AND(DAY($A331)=MIN(DAY('Recurring Schedule'!$F$21),DAY(EOMONTH($A331,0))),MOD((YEAR($A331)-YEAR('Recurring Schedule'!$F$21))*12+MONTH($A331)-MONTH('Recurring Schedule'!$F$21),'Recurring Schedule'!$O$21)=0),IF('Recurring Schedule'!$E$21="Weekdays",WEEKDAY($A331,2)&lt;=5,$A331='Recurring Schedule'!$F$21))),16,""))))</f>
        <v/>
      </c>
      <c r="R331">
        <f>IF('Recurring Schedule'!$C$22="","",IF('Recurring Schedule'!$F$22="","",IF(OR($A331&lt;'Recurring Schedule'!$F$22,$A331&gt;'Recurring Schedule'!$P$22),"",IF(IF('Recurring Schedule'!$N$22&gt;0,MOD($A331-'Recurring Schedule'!$F$22,'Recurring Schedule'!$N$22)=0,IF('Recurring Schedule'!$O$22&gt;0,AND(DAY($A331)=MIN(DAY('Recurring Schedule'!$F$22),DAY(EOMONTH($A331,0))),MOD((YEAR($A331)-YEAR('Recurring Schedule'!$F$22))*12+MONTH($A331)-MONTH('Recurring Schedule'!$F$22),'Recurring Schedule'!$O$22)=0),IF('Recurring Schedule'!$E$22="Weekdays",WEEKDAY($A331,2)&lt;=5,$A331='Recurring Schedule'!$F$22))),17,""))))</f>
        <v/>
      </c>
      <c r="S331">
        <f>IF('Recurring Schedule'!$C$23="","",IF('Recurring Schedule'!$F$23="","",IF(OR($A331&lt;'Recurring Schedule'!$F$23,$A331&gt;'Recurring Schedule'!$P$23),"",IF(IF('Recurring Schedule'!$N$23&gt;0,MOD($A331-'Recurring Schedule'!$F$23,'Recurring Schedule'!$N$23)=0,IF('Recurring Schedule'!$O$23&gt;0,AND(DAY($A331)=MIN(DAY('Recurring Schedule'!$F$23),DAY(EOMONTH($A331,0))),MOD((YEAR($A331)-YEAR('Recurring Schedule'!$F$23))*12+MONTH($A331)-MONTH('Recurring Schedule'!$F$23),'Recurring Schedule'!$O$23)=0),IF('Recurring Schedule'!$E$23="Weekdays",WEEKDAY($A331,2)&lt;=5,$A331='Recurring Schedule'!$F$23))),18,""))))</f>
        <v/>
      </c>
      <c r="T331">
        <f>IF('Recurring Schedule'!$C$24="","",IF('Recurring Schedule'!$F$24="","",IF(OR($A331&lt;'Recurring Schedule'!$F$24,$A331&gt;'Recurring Schedule'!$P$24),"",IF(IF('Recurring Schedule'!$N$24&gt;0,MOD($A331-'Recurring Schedule'!$F$24,'Recurring Schedule'!$N$24)=0,IF('Recurring Schedule'!$O$24&gt;0,AND(DAY($A331)=MIN(DAY('Recurring Schedule'!$F$24),DAY(EOMONTH($A331,0))),MOD((YEAR($A331)-YEAR('Recurring Schedule'!$F$24))*12+MONTH($A331)-MONTH('Recurring Schedule'!$F$24),'Recurring Schedule'!$O$24)=0),IF('Recurring Schedule'!$E$24="Weekdays",WEEKDAY($A331,2)&lt;=5,$A331='Recurring Schedule'!$F$24))),19,""))))</f>
        <v/>
      </c>
      <c r="U331">
        <f>IF('Recurring Schedule'!$C$25="","",IF('Recurring Schedule'!$F$25="","",IF(OR($A331&lt;'Recurring Schedule'!$F$25,$A331&gt;'Recurring Schedule'!$P$25),"",IF(IF('Recurring Schedule'!$N$25&gt;0,MOD($A331-'Recurring Schedule'!$F$25,'Recurring Schedule'!$N$25)=0,IF('Recurring Schedule'!$O$25&gt;0,AND(DAY($A331)=MIN(DAY('Recurring Schedule'!$F$25),DAY(EOMONTH($A331,0))),MOD((YEAR($A331)-YEAR('Recurring Schedule'!$F$25))*12+MONTH($A331)-MONTH('Recurring Schedule'!$F$25),'Recurring Schedule'!$O$25)=0),IF('Recurring Schedule'!$E$25="Weekdays",WEEKDAY($A331,2)&lt;=5,$A331='Recurring Schedule'!$F$25))),20,""))))</f>
        <v/>
      </c>
      <c r="V331">
        <f>IF('Recurring Schedule'!$C$26="","",IF('Recurring Schedule'!$F$26="","",IF(OR($A331&lt;'Recurring Schedule'!$F$26,$A331&gt;'Recurring Schedule'!$P$26),"",IF(IF('Recurring Schedule'!$N$26&gt;0,MOD($A331-'Recurring Schedule'!$F$26,'Recurring Schedule'!$N$26)=0,IF('Recurring Schedule'!$O$26&gt;0,AND(DAY($A331)=MIN(DAY('Recurring Schedule'!$F$26),DAY(EOMONTH($A331,0))),MOD((YEAR($A331)-YEAR('Recurring Schedule'!$F$26))*12+MONTH($A331)-MONTH('Recurring Schedule'!$F$26),'Recurring Schedule'!$O$26)=0),IF('Recurring Schedule'!$E$26="Weekdays",WEEKDAY($A331,2)&lt;=5,$A331='Recurring Schedule'!$F$26))),21,""))))</f>
        <v/>
      </c>
      <c r="W331">
        <f>IF('Recurring Schedule'!$C$27="","",IF('Recurring Schedule'!$F$27="","",IF(OR($A331&lt;'Recurring Schedule'!$F$27,$A331&gt;'Recurring Schedule'!$P$27),"",IF(IF('Recurring Schedule'!$N$27&gt;0,MOD($A331-'Recurring Schedule'!$F$27,'Recurring Schedule'!$N$27)=0,IF('Recurring Schedule'!$O$27&gt;0,AND(DAY($A331)=MIN(DAY('Recurring Schedule'!$F$27),DAY(EOMONTH($A331,0))),MOD((YEAR($A331)-YEAR('Recurring Schedule'!$F$27))*12+MONTH($A331)-MONTH('Recurring Schedule'!$F$27),'Recurring Schedule'!$O$27)=0),IF('Recurring Schedule'!$E$27="Weekdays",WEEKDAY($A331,2)&lt;=5,$A331='Recurring Schedule'!$F$27))),22,""))))</f>
        <v/>
      </c>
      <c r="X331">
        <f>IF('Recurring Schedule'!$C$28="","",IF('Recurring Schedule'!$F$28="","",IF(OR($A331&lt;'Recurring Schedule'!$F$28,$A331&gt;'Recurring Schedule'!$P$28),"",IF(IF('Recurring Schedule'!$N$28&gt;0,MOD($A331-'Recurring Schedule'!$F$28,'Recurring Schedule'!$N$28)=0,IF('Recurring Schedule'!$O$28&gt;0,AND(DAY($A331)=MIN(DAY('Recurring Schedule'!$F$28),DAY(EOMONTH($A331,0))),MOD((YEAR($A331)-YEAR('Recurring Schedule'!$F$28))*12+MONTH($A331)-MONTH('Recurring Schedule'!$F$28),'Recurring Schedule'!$O$28)=0),IF('Recurring Schedule'!$E$28="Weekdays",WEEKDAY($A331,2)&lt;=5,$A331='Recurring Schedule'!$F$28))),23,""))))</f>
        <v/>
      </c>
      <c r="Y331">
        <f>IF('Recurring Schedule'!$C$29="","",IF('Recurring Schedule'!$F$29="","",IF(OR($A331&lt;'Recurring Schedule'!$F$29,$A331&gt;'Recurring Schedule'!$P$29),"",IF(IF('Recurring Schedule'!$N$29&gt;0,MOD($A331-'Recurring Schedule'!$F$29,'Recurring Schedule'!$N$29)=0,IF('Recurring Schedule'!$O$29&gt;0,AND(DAY($A331)=MIN(DAY('Recurring Schedule'!$F$29),DAY(EOMONTH($A331,0))),MOD((YEAR($A331)-YEAR('Recurring Schedule'!$F$29))*12+MONTH($A331)-MONTH('Recurring Schedule'!$F$29),'Recurring Schedule'!$O$29)=0),IF('Recurring Schedule'!$E$29="Weekdays",WEEKDAY($A331,2)&lt;=5,$A331='Recurring Schedule'!$F$29))),24,""))))</f>
        <v/>
      </c>
      <c r="Z331">
        <f>IF('Recurring Schedule'!$C$30="","",IF('Recurring Schedule'!$F$30="","",IF(OR($A331&lt;'Recurring Schedule'!$F$30,$A331&gt;'Recurring Schedule'!$P$30),"",IF(IF('Recurring Schedule'!$N$30&gt;0,MOD($A331-'Recurring Schedule'!$F$30,'Recurring Schedule'!$N$30)=0,IF('Recurring Schedule'!$O$30&gt;0,AND(DAY($A331)=MIN(DAY('Recurring Schedule'!$F$30),DAY(EOMONTH($A331,0))),MOD((YEAR($A331)-YEAR('Recurring Schedule'!$F$30))*12+MONTH($A331)-MONTH('Recurring Schedule'!$F$30),'Recurring Schedule'!$O$30)=0),IF('Recurring Schedule'!$E$30="Weekdays",WEEKDAY($A331,2)&lt;=5,$A331='Recurring Schedule'!$F$30))),25,""))))</f>
        <v/>
      </c>
      <c r="AA331">
        <f>IF('Recurring Schedule'!$C$31="","",IF('Recurring Schedule'!$F$31="","",IF(OR($A331&lt;'Recurring Schedule'!$F$31,$A331&gt;'Recurring Schedule'!$P$31),"",IF(IF('Recurring Schedule'!$N$31&gt;0,MOD($A331-'Recurring Schedule'!$F$31,'Recurring Schedule'!$N$31)=0,IF('Recurring Schedule'!$O$31&gt;0,AND(DAY($A331)=MIN(DAY('Recurring Schedule'!$F$31),DAY(EOMONTH($A331,0))),MOD((YEAR($A331)-YEAR('Recurring Schedule'!$F$31))*12+MONTH($A331)-MONTH('Recurring Schedule'!$F$31),'Recurring Schedule'!$O$31)=0),IF('Recurring Schedule'!$E$31="Weekdays",WEEKDAY($A331,2)&lt;=5,$A331='Recurring Schedule'!$F$31))),26,""))))</f>
        <v/>
      </c>
      <c r="AB331">
        <f>IF('Recurring Schedule'!$C$32="","",IF('Recurring Schedule'!$F$32="","",IF(OR($A331&lt;'Recurring Schedule'!$F$32,$A331&gt;'Recurring Schedule'!$P$32),"",IF(IF('Recurring Schedule'!$N$32&gt;0,MOD($A331-'Recurring Schedule'!$F$32,'Recurring Schedule'!$N$32)=0,IF('Recurring Schedule'!$O$32&gt;0,AND(DAY($A331)=MIN(DAY('Recurring Schedule'!$F$32),DAY(EOMONTH($A331,0))),MOD((YEAR($A331)-YEAR('Recurring Schedule'!$F$32))*12+MONTH($A331)-MONTH('Recurring Schedule'!$F$32),'Recurring Schedule'!$O$32)=0),IF('Recurring Schedule'!$E$32="Weekdays",WEEKDAY($A331,2)&lt;=5,$A331='Recurring Schedule'!$F$32))),27,""))))</f>
        <v/>
      </c>
      <c r="AC331">
        <f>IF('Recurring Schedule'!$C$33="","",IF('Recurring Schedule'!$F$33="","",IF(OR($A331&lt;'Recurring Schedule'!$F$33,$A331&gt;'Recurring Schedule'!$P$33),"",IF(IF('Recurring Schedule'!$N$33&gt;0,MOD($A331-'Recurring Schedule'!$F$33,'Recurring Schedule'!$N$33)=0,IF('Recurring Schedule'!$O$33&gt;0,AND(DAY($A331)=MIN(DAY('Recurring Schedule'!$F$33),DAY(EOMONTH($A331,0))),MOD((YEAR($A331)-YEAR('Recurring Schedule'!$F$33))*12+MONTH($A331)-MONTH('Recurring Schedule'!$F$33),'Recurring Schedule'!$O$33)=0),IF('Recurring Schedule'!$E$33="Weekdays",WEEKDAY($A331,2)&lt;=5,$A331='Recurring Schedule'!$F$33))),28,""))))</f>
        <v/>
      </c>
      <c r="AD331">
        <f>IF('Recurring Schedule'!$C$34="","",IF('Recurring Schedule'!$F$34="","",IF(OR($A331&lt;'Recurring Schedule'!$F$34,$A331&gt;'Recurring Schedule'!$P$34),"",IF(IF('Recurring Schedule'!$N$34&gt;0,MOD($A331-'Recurring Schedule'!$F$34,'Recurring Schedule'!$N$34)=0,IF('Recurring Schedule'!$O$34&gt;0,AND(DAY($A331)=MIN(DAY('Recurring Schedule'!$F$34),DAY(EOMONTH($A331,0))),MOD((YEAR($A331)-YEAR('Recurring Schedule'!$F$34))*12+MONTH($A331)-MONTH('Recurring Schedule'!$F$34),'Recurring Schedule'!$O$34)=0),IF('Recurring Schedule'!$E$34="Weekdays",WEEKDAY($A331,2)&lt;=5,$A331='Recurring Schedule'!$F$34))),29,""))))</f>
        <v/>
      </c>
      <c r="AE331">
        <f>IF('Recurring Schedule'!$C$35="","",IF('Recurring Schedule'!$F$35="","",IF(OR($A331&lt;'Recurring Schedule'!$F$35,$A331&gt;'Recurring Schedule'!$P$35),"",IF(IF('Recurring Schedule'!$N$35&gt;0,MOD($A331-'Recurring Schedule'!$F$35,'Recurring Schedule'!$N$35)=0,IF('Recurring Schedule'!$O$35&gt;0,AND(DAY($A331)=MIN(DAY('Recurring Schedule'!$F$35),DAY(EOMONTH($A331,0))),MOD((YEAR($A331)-YEAR('Recurring Schedule'!$F$35))*12+MONTH($A331)-MONTH('Recurring Schedule'!$F$35),'Recurring Schedule'!$O$35)=0),IF('Recurring Schedule'!$E$35="Weekdays",WEEKDAY($A331,2)&lt;=5,$A331='Recurring Schedule'!$F$35))),30,""))))</f>
        <v/>
      </c>
      <c r="AF331">
        <f>IF('Recurring Schedule'!$C$36="","",IF('Recurring Schedule'!$F$36="","",IF(OR($A331&lt;'Recurring Schedule'!$F$36,$A331&gt;'Recurring Schedule'!$P$36),"",IF(IF('Recurring Schedule'!$N$36&gt;0,MOD($A331-'Recurring Schedule'!$F$36,'Recurring Schedule'!$N$36)=0,IF('Recurring Schedule'!$O$36&gt;0,AND(DAY($A331)=MIN(DAY('Recurring Schedule'!$F$36),DAY(EOMONTH($A331,0))),MOD((YEAR($A331)-YEAR('Recurring Schedule'!$F$36))*12+MONTH($A331)-MONTH('Recurring Schedule'!$F$36),'Recurring Schedule'!$O$36)=0),IF('Recurring Schedule'!$E$36="Weekdays",WEEKDAY($A331,2)&lt;=5,$A331='Recurring Schedule'!$F$36))),31,""))))</f>
        <v/>
      </c>
      <c r="AG331">
        <f>IF('Recurring Schedule'!$C$37="","",IF('Recurring Schedule'!$F$37="","",IF(OR($A331&lt;'Recurring Schedule'!$F$37,$A331&gt;'Recurring Schedule'!$P$37),"",IF(IF('Recurring Schedule'!$N$37&gt;0,MOD($A331-'Recurring Schedule'!$F$37,'Recurring Schedule'!$N$37)=0,IF('Recurring Schedule'!$O$37&gt;0,AND(DAY($A331)=MIN(DAY('Recurring Schedule'!$F$37),DAY(EOMONTH($A331,0))),MOD((YEAR($A331)-YEAR('Recurring Schedule'!$F$37))*12+MONTH($A331)-MONTH('Recurring Schedule'!$F$37),'Recurring Schedule'!$O$37)=0),IF('Recurring Schedule'!$E$37="Weekdays",WEEKDAY($A331,2)&lt;=5,$A331='Recurring Schedule'!$F$37))),32,""))))</f>
        <v/>
      </c>
      <c r="AH331">
        <f>IF('Recurring Schedule'!$C$38="","",IF('Recurring Schedule'!$F$38="","",IF(OR($A331&lt;'Recurring Schedule'!$F$38,$A331&gt;'Recurring Schedule'!$P$38),"",IF(IF('Recurring Schedule'!$N$38&gt;0,MOD($A331-'Recurring Schedule'!$F$38,'Recurring Schedule'!$N$38)=0,IF('Recurring Schedule'!$O$38&gt;0,AND(DAY($A331)=MIN(DAY('Recurring Schedule'!$F$38),DAY(EOMONTH($A331,0))),MOD((YEAR($A331)-YEAR('Recurring Schedule'!$F$38))*12+MONTH($A331)-MONTH('Recurring Schedule'!$F$38),'Recurring Schedule'!$O$38)=0),IF('Recurring Schedule'!$E$38="Weekdays",WEEKDAY($A331,2)&lt;=5,$A331='Recurring Schedule'!$F$38))),33,""))))</f>
        <v/>
      </c>
      <c r="AI331">
        <f>IF('Recurring Schedule'!$C$39="","",IF('Recurring Schedule'!$F$39="","",IF(OR($A331&lt;'Recurring Schedule'!$F$39,$A331&gt;'Recurring Schedule'!$P$39),"",IF(IF('Recurring Schedule'!$N$39&gt;0,MOD($A331-'Recurring Schedule'!$F$39,'Recurring Schedule'!$N$39)=0,IF('Recurring Schedule'!$O$39&gt;0,AND(DAY($A331)=MIN(DAY('Recurring Schedule'!$F$39),DAY(EOMONTH($A331,0))),MOD((YEAR($A331)-YEAR('Recurring Schedule'!$F$39))*12+MONTH($A331)-MONTH('Recurring Schedule'!$F$39),'Recurring Schedule'!$O$39)=0),IF('Recurring Schedule'!$E$39="Weekdays",WEEKDAY($A331,2)&lt;=5,$A331='Recurring Schedule'!$F$39))),34,""))))</f>
        <v/>
      </c>
      <c r="AJ331">
        <f>IF('Recurring Schedule'!$C$40="","",IF('Recurring Schedule'!$F$40="","",IF(OR($A331&lt;'Recurring Schedule'!$F$40,$A331&gt;'Recurring Schedule'!$P$40),"",IF(IF('Recurring Schedule'!$N$40&gt;0,MOD($A331-'Recurring Schedule'!$F$40,'Recurring Schedule'!$N$40)=0,IF('Recurring Schedule'!$O$40&gt;0,AND(DAY($A331)=MIN(DAY('Recurring Schedule'!$F$40),DAY(EOMONTH($A331,0))),MOD((YEAR($A331)-YEAR('Recurring Schedule'!$F$40))*12+MONTH($A331)-MONTH('Recurring Schedule'!$F$40),'Recurring Schedule'!$O$40)=0),IF('Recurring Schedule'!$E$40="Weekdays",WEEKDAY($A331,2)&lt;=5,$A331='Recurring Schedule'!$F$40))),35,""))))</f>
        <v/>
      </c>
      <c r="AK331">
        <f>IF('Recurring Schedule'!$C$41="","",IF('Recurring Schedule'!$F$41="","",IF(OR($A331&lt;'Recurring Schedule'!$F$41,$A331&gt;'Recurring Schedule'!$P$41),"",IF(IF('Recurring Schedule'!$N$41&gt;0,MOD($A331-'Recurring Schedule'!$F$41,'Recurring Schedule'!$N$41)=0,IF('Recurring Schedule'!$O$41&gt;0,AND(DAY($A331)=MIN(DAY('Recurring Schedule'!$F$41),DAY(EOMONTH($A331,0))),MOD((YEAR($A331)-YEAR('Recurring Schedule'!$F$41))*12+MONTH($A331)-MONTH('Recurring Schedule'!$F$41),'Recurring Schedule'!$O$41)=0),IF('Recurring Schedule'!$E$41="Weekdays",WEEKDAY($A331,2)&lt;=5,$A331='Recurring Schedule'!$F$41))),36,""))))</f>
        <v/>
      </c>
      <c r="AL331">
        <f>IF('Recurring Schedule'!$C$42="","",IF('Recurring Schedule'!$F$42="","",IF(OR($A331&lt;'Recurring Schedule'!$F$42,$A331&gt;'Recurring Schedule'!$P$42),"",IF(IF('Recurring Schedule'!$N$42&gt;0,MOD($A331-'Recurring Schedule'!$F$42,'Recurring Schedule'!$N$42)=0,IF('Recurring Schedule'!$O$42&gt;0,AND(DAY($A331)=MIN(DAY('Recurring Schedule'!$F$42),DAY(EOMONTH($A331,0))),MOD((YEAR($A331)-YEAR('Recurring Schedule'!$F$42))*12+MONTH($A331)-MONTH('Recurring Schedule'!$F$42),'Recurring Schedule'!$O$42)=0),IF('Recurring Schedule'!$E$42="Weekdays",WEEKDAY($A331,2)&lt;=5,$A331='Recurring Schedule'!$F$42))),37,""))))</f>
        <v/>
      </c>
      <c r="AM331">
        <f>IF('Recurring Schedule'!$C$43="","",IF('Recurring Schedule'!$F$43="","",IF(OR($A331&lt;'Recurring Schedule'!$F$43,$A331&gt;'Recurring Schedule'!$P$43),"",IF(IF('Recurring Schedule'!$N$43&gt;0,MOD($A331-'Recurring Schedule'!$F$43,'Recurring Schedule'!$N$43)=0,IF('Recurring Schedule'!$O$43&gt;0,AND(DAY($A331)=MIN(DAY('Recurring Schedule'!$F$43),DAY(EOMONTH($A331,0))),MOD((YEAR($A331)-YEAR('Recurring Schedule'!$F$43))*12+MONTH($A331)-MONTH('Recurring Schedule'!$F$43),'Recurring Schedule'!$O$43)=0),IF('Recurring Schedule'!$E$43="Weekdays",WEEKDAY($A331,2)&lt;=5,$A331='Recurring Schedule'!$F$43))),38,""))))</f>
        <v/>
      </c>
      <c r="AN331">
        <f>IF('Recurring Schedule'!$C$44="","",IF('Recurring Schedule'!$F$44="","",IF(OR($A331&lt;'Recurring Schedule'!$F$44,$A331&gt;'Recurring Schedule'!$P$44),"",IF(IF('Recurring Schedule'!$N$44&gt;0,MOD($A331-'Recurring Schedule'!$F$44,'Recurring Schedule'!$N$44)=0,IF('Recurring Schedule'!$O$44&gt;0,AND(DAY($A331)=MIN(DAY('Recurring Schedule'!$F$44),DAY(EOMONTH($A331,0))),MOD((YEAR($A331)-YEAR('Recurring Schedule'!$F$44))*12+MONTH($A331)-MONTH('Recurring Schedule'!$F$44),'Recurring Schedule'!$O$44)=0),IF('Recurring Schedule'!$E$44="Weekdays",WEEKDAY($A331,2)&lt;=5,$A331='Recurring Schedule'!$F$44))),39,""))))</f>
        <v/>
      </c>
      <c r="AO331">
        <f>IF('Recurring Schedule'!$C$45="","",IF('Recurring Schedule'!$F$45="","",IF(OR($A331&lt;'Recurring Schedule'!$F$45,$A331&gt;'Recurring Schedule'!$P$45),"",IF(IF('Recurring Schedule'!$N$45&gt;0,MOD($A331-'Recurring Schedule'!$F$45,'Recurring Schedule'!$N$45)=0,IF('Recurring Schedule'!$O$45&gt;0,AND(DAY($A331)=MIN(DAY('Recurring Schedule'!$F$45),DAY(EOMONTH($A331,0))),MOD((YEAR($A331)-YEAR('Recurring Schedule'!$F$45))*12+MONTH($A331)-MONTH('Recurring Schedule'!$F$45),'Recurring Schedule'!$O$45)=0),IF('Recurring Schedule'!$E$45="Weekdays",WEEKDAY($A331,2)&lt;=5,$A331='Recurring Schedule'!$F$45))),40,""))))</f>
        <v/>
      </c>
      <c r="AP331">
        <f>COUNT(B331:AO331)</f>
        <v/>
      </c>
      <c r="AQ331">
        <f>AQ330+AP330</f>
        <v/>
      </c>
      <c r="AS331" t="inlineStr">
        <is>
          <t>R</t>
        </is>
      </c>
      <c r="AT331" t="n">
        <v>335</v>
      </c>
      <c r="AU331">
        <f>'Recurring Log'!C335&amp;""</f>
        <v/>
      </c>
      <c r="AV331">
        <f>'Recurring Log'!D335&amp;""</f>
        <v/>
      </c>
      <c r="AW331">
        <f>IF('Recurring Log'!E335="","",'Recurring Log'!E335)</f>
        <v/>
      </c>
      <c r="AX331">
        <f>IF('Recurring Log'!G335="","",'Recurring Log'!G335)</f>
        <v/>
      </c>
      <c r="AY331">
        <f>IF('Recurring Log'!H335="","",'Recurring Log'!H335)</f>
        <v/>
      </c>
      <c r="AZ331">
        <f>IF(AU331="","",IF('Recurring Log'!J335="","Not Started",'Recurring Log'!J335))</f>
        <v/>
      </c>
      <c r="BA331">
        <f>'Recurring Log'!L335&amp;""</f>
        <v/>
      </c>
      <c r="BB331">
        <f>'Recurring Log'!M335&amp;""</f>
        <v/>
      </c>
      <c r="BC331">
        <f>'Recurring Log'!N335&amp;""</f>
        <v/>
      </c>
      <c r="BD331">
        <f>'Recurring Log'!O335&amp;""</f>
        <v/>
      </c>
      <c r="BE331">
        <f>IF('Recurring Log'!K335="","",'Recurring Log'!K335)</f>
        <v/>
      </c>
      <c r="BF331">
        <f>IFERROR(MATCH(BA331,Setup!$L$6:$L$9,0),5)</f>
        <v/>
      </c>
      <c r="BG331">
        <f>IF(OR(AZ331="Done",AZ331="Cancelled"),1,0)</f>
        <v/>
      </c>
      <c r="BH331">
        <f>IF(AND(AU331&lt;&gt;"",ISNUMBER(AW331)),1,0)</f>
        <v/>
      </c>
      <c r="BI331">
        <f>IF(BH331=0,0,IF(AND(AW331&gt;='Tasks Filter'!$F$3,AW331&lt;='Tasks Filter'!$F$4,OR('Tasks Filter'!$I$3="",ISNUMBER(SEARCH('Tasks Filter'!$I$3,AU331))),OR('Tasks Filter'!$I$4="",BF331=IFERROR(MATCH('Tasks Filter'!$I$4,Setup!$L$6:$L$9,0),0)),OR('Tasks Filter'!$I$5="Both",AND('Tasks Filter'!$I$5="Yes",BB331="✓"),AND('Tasks Filter'!$I$5="No",BB331&lt;&gt;"✓")),OR('Tasks Filter'!$L$3="",AV331='Tasks Filter'!$L$3),OR('Tasks Filter'!$L$4="",AZ331='Tasks Filter'!$L$4),OR('Tasks Filter'!$L$5="",BC331='Tasks Filter'!$L$5),OR('Tasks Filter'!$O$3="",BD331='Tasks Filter'!$O$3),OR('Tasks Filter'!$O$4="Yes",BG331=0)),1,0))</f>
        <v/>
      </c>
      <c r="BJ331">
        <f>IF(BH331=0,"",IF('Tasks Filter'!$F$6="Descending",-1,1)*CHOOSE(MATCH('Tasks Filter'!$F$5,Lists!$G$2:$G$6,0),AW331,BF331,IFERROR(MATCH(AV331,Setup!$F$6:$F$15,0),99),IFERROR(MATCH(BC331,Setup!$H$6:$H$15,0),99),IFERROR(MATCH(AZ331,Setup!$J$6:$J$11,0),99))*1E+9+(AW331-40000)*10000+330)</f>
        <v/>
      </c>
      <c r="BK331">
        <f>IF(BI331=1,BJ331,"")</f>
        <v/>
      </c>
      <c r="BL331">
        <f>IF(AND(BH331=1,BG331=0,N(AW331)&lt;Setup!$D$7),(AW331-40000)*10000+330,"")</f>
        <v/>
      </c>
      <c r="BM331">
        <f>IF(AND(BH331=1,AZ331&lt;&gt;"Cancelled",N(AW331)&gt;=Dashboard!$AB$3,N(AW331)&lt;=Dashboard!$AB$3+6),(AW331-40000)*100000+BF331*10000+330,"")</f>
        <v/>
      </c>
      <c r="BN331">
        <f>IF(AND(BH331=1,AZ331&lt;&gt;"Cancelled"),BF331*10000+330,"")</f>
        <v/>
      </c>
    </row>
    <row r="332">
      <c r="A332">
        <f>Setup!$D$5+330</f>
        <v/>
      </c>
      <c r="B332">
        <f>IF('Recurring Schedule'!$C$6="","",IF('Recurring Schedule'!$F$6="","",IF(OR($A332&lt;'Recurring Schedule'!$F$6,$A332&gt;'Recurring Schedule'!$P$6),"",IF(IF('Recurring Schedule'!$N$6&gt;0,MOD($A332-'Recurring Schedule'!$F$6,'Recurring Schedule'!$N$6)=0,IF('Recurring Schedule'!$O$6&gt;0,AND(DAY($A332)=MIN(DAY('Recurring Schedule'!$F$6),DAY(EOMONTH($A332,0))),MOD((YEAR($A332)-YEAR('Recurring Schedule'!$F$6))*12+MONTH($A332)-MONTH('Recurring Schedule'!$F$6),'Recurring Schedule'!$O$6)=0),IF('Recurring Schedule'!$E$6="Weekdays",WEEKDAY($A332,2)&lt;=5,$A332='Recurring Schedule'!$F$6))),1,""))))</f>
        <v/>
      </c>
      <c r="C332">
        <f>IF('Recurring Schedule'!$C$7="","",IF('Recurring Schedule'!$F$7="","",IF(OR($A332&lt;'Recurring Schedule'!$F$7,$A332&gt;'Recurring Schedule'!$P$7),"",IF(IF('Recurring Schedule'!$N$7&gt;0,MOD($A332-'Recurring Schedule'!$F$7,'Recurring Schedule'!$N$7)=0,IF('Recurring Schedule'!$O$7&gt;0,AND(DAY($A332)=MIN(DAY('Recurring Schedule'!$F$7),DAY(EOMONTH($A332,0))),MOD((YEAR($A332)-YEAR('Recurring Schedule'!$F$7))*12+MONTH($A332)-MONTH('Recurring Schedule'!$F$7),'Recurring Schedule'!$O$7)=0),IF('Recurring Schedule'!$E$7="Weekdays",WEEKDAY($A332,2)&lt;=5,$A332='Recurring Schedule'!$F$7))),2,""))))</f>
        <v/>
      </c>
      <c r="D332">
        <f>IF('Recurring Schedule'!$C$8="","",IF('Recurring Schedule'!$F$8="","",IF(OR($A332&lt;'Recurring Schedule'!$F$8,$A332&gt;'Recurring Schedule'!$P$8),"",IF(IF('Recurring Schedule'!$N$8&gt;0,MOD($A332-'Recurring Schedule'!$F$8,'Recurring Schedule'!$N$8)=0,IF('Recurring Schedule'!$O$8&gt;0,AND(DAY($A332)=MIN(DAY('Recurring Schedule'!$F$8),DAY(EOMONTH($A332,0))),MOD((YEAR($A332)-YEAR('Recurring Schedule'!$F$8))*12+MONTH($A332)-MONTH('Recurring Schedule'!$F$8),'Recurring Schedule'!$O$8)=0),IF('Recurring Schedule'!$E$8="Weekdays",WEEKDAY($A332,2)&lt;=5,$A332='Recurring Schedule'!$F$8))),3,""))))</f>
        <v/>
      </c>
      <c r="E332">
        <f>IF('Recurring Schedule'!$C$9="","",IF('Recurring Schedule'!$F$9="","",IF(OR($A332&lt;'Recurring Schedule'!$F$9,$A332&gt;'Recurring Schedule'!$P$9),"",IF(IF('Recurring Schedule'!$N$9&gt;0,MOD($A332-'Recurring Schedule'!$F$9,'Recurring Schedule'!$N$9)=0,IF('Recurring Schedule'!$O$9&gt;0,AND(DAY($A332)=MIN(DAY('Recurring Schedule'!$F$9),DAY(EOMONTH($A332,0))),MOD((YEAR($A332)-YEAR('Recurring Schedule'!$F$9))*12+MONTH($A332)-MONTH('Recurring Schedule'!$F$9),'Recurring Schedule'!$O$9)=0),IF('Recurring Schedule'!$E$9="Weekdays",WEEKDAY($A332,2)&lt;=5,$A332='Recurring Schedule'!$F$9))),4,""))))</f>
        <v/>
      </c>
      <c r="F332">
        <f>IF('Recurring Schedule'!$C$10="","",IF('Recurring Schedule'!$F$10="","",IF(OR($A332&lt;'Recurring Schedule'!$F$10,$A332&gt;'Recurring Schedule'!$P$10),"",IF(IF('Recurring Schedule'!$N$10&gt;0,MOD($A332-'Recurring Schedule'!$F$10,'Recurring Schedule'!$N$10)=0,IF('Recurring Schedule'!$O$10&gt;0,AND(DAY($A332)=MIN(DAY('Recurring Schedule'!$F$10),DAY(EOMONTH($A332,0))),MOD((YEAR($A332)-YEAR('Recurring Schedule'!$F$10))*12+MONTH($A332)-MONTH('Recurring Schedule'!$F$10),'Recurring Schedule'!$O$10)=0),IF('Recurring Schedule'!$E$10="Weekdays",WEEKDAY($A332,2)&lt;=5,$A332='Recurring Schedule'!$F$10))),5,""))))</f>
        <v/>
      </c>
      <c r="G332">
        <f>IF('Recurring Schedule'!$C$11="","",IF('Recurring Schedule'!$F$11="","",IF(OR($A332&lt;'Recurring Schedule'!$F$11,$A332&gt;'Recurring Schedule'!$P$11),"",IF(IF('Recurring Schedule'!$N$11&gt;0,MOD($A332-'Recurring Schedule'!$F$11,'Recurring Schedule'!$N$11)=0,IF('Recurring Schedule'!$O$11&gt;0,AND(DAY($A332)=MIN(DAY('Recurring Schedule'!$F$11),DAY(EOMONTH($A332,0))),MOD((YEAR($A332)-YEAR('Recurring Schedule'!$F$11))*12+MONTH($A332)-MONTH('Recurring Schedule'!$F$11),'Recurring Schedule'!$O$11)=0),IF('Recurring Schedule'!$E$11="Weekdays",WEEKDAY($A332,2)&lt;=5,$A332='Recurring Schedule'!$F$11))),6,""))))</f>
        <v/>
      </c>
      <c r="H332">
        <f>IF('Recurring Schedule'!$C$12="","",IF('Recurring Schedule'!$F$12="","",IF(OR($A332&lt;'Recurring Schedule'!$F$12,$A332&gt;'Recurring Schedule'!$P$12),"",IF(IF('Recurring Schedule'!$N$12&gt;0,MOD($A332-'Recurring Schedule'!$F$12,'Recurring Schedule'!$N$12)=0,IF('Recurring Schedule'!$O$12&gt;0,AND(DAY($A332)=MIN(DAY('Recurring Schedule'!$F$12),DAY(EOMONTH($A332,0))),MOD((YEAR($A332)-YEAR('Recurring Schedule'!$F$12))*12+MONTH($A332)-MONTH('Recurring Schedule'!$F$12),'Recurring Schedule'!$O$12)=0),IF('Recurring Schedule'!$E$12="Weekdays",WEEKDAY($A332,2)&lt;=5,$A332='Recurring Schedule'!$F$12))),7,""))))</f>
        <v/>
      </c>
      <c r="I332">
        <f>IF('Recurring Schedule'!$C$13="","",IF('Recurring Schedule'!$F$13="","",IF(OR($A332&lt;'Recurring Schedule'!$F$13,$A332&gt;'Recurring Schedule'!$P$13),"",IF(IF('Recurring Schedule'!$N$13&gt;0,MOD($A332-'Recurring Schedule'!$F$13,'Recurring Schedule'!$N$13)=0,IF('Recurring Schedule'!$O$13&gt;0,AND(DAY($A332)=MIN(DAY('Recurring Schedule'!$F$13),DAY(EOMONTH($A332,0))),MOD((YEAR($A332)-YEAR('Recurring Schedule'!$F$13))*12+MONTH($A332)-MONTH('Recurring Schedule'!$F$13),'Recurring Schedule'!$O$13)=0),IF('Recurring Schedule'!$E$13="Weekdays",WEEKDAY($A332,2)&lt;=5,$A332='Recurring Schedule'!$F$13))),8,""))))</f>
        <v/>
      </c>
      <c r="J332">
        <f>IF('Recurring Schedule'!$C$14="","",IF('Recurring Schedule'!$F$14="","",IF(OR($A332&lt;'Recurring Schedule'!$F$14,$A332&gt;'Recurring Schedule'!$P$14),"",IF(IF('Recurring Schedule'!$N$14&gt;0,MOD($A332-'Recurring Schedule'!$F$14,'Recurring Schedule'!$N$14)=0,IF('Recurring Schedule'!$O$14&gt;0,AND(DAY($A332)=MIN(DAY('Recurring Schedule'!$F$14),DAY(EOMONTH($A332,0))),MOD((YEAR($A332)-YEAR('Recurring Schedule'!$F$14))*12+MONTH($A332)-MONTH('Recurring Schedule'!$F$14),'Recurring Schedule'!$O$14)=0),IF('Recurring Schedule'!$E$14="Weekdays",WEEKDAY($A332,2)&lt;=5,$A332='Recurring Schedule'!$F$14))),9,""))))</f>
        <v/>
      </c>
      <c r="K332">
        <f>IF('Recurring Schedule'!$C$15="","",IF('Recurring Schedule'!$F$15="","",IF(OR($A332&lt;'Recurring Schedule'!$F$15,$A332&gt;'Recurring Schedule'!$P$15),"",IF(IF('Recurring Schedule'!$N$15&gt;0,MOD($A332-'Recurring Schedule'!$F$15,'Recurring Schedule'!$N$15)=0,IF('Recurring Schedule'!$O$15&gt;0,AND(DAY($A332)=MIN(DAY('Recurring Schedule'!$F$15),DAY(EOMONTH($A332,0))),MOD((YEAR($A332)-YEAR('Recurring Schedule'!$F$15))*12+MONTH($A332)-MONTH('Recurring Schedule'!$F$15),'Recurring Schedule'!$O$15)=0),IF('Recurring Schedule'!$E$15="Weekdays",WEEKDAY($A332,2)&lt;=5,$A332='Recurring Schedule'!$F$15))),10,""))))</f>
        <v/>
      </c>
      <c r="L332">
        <f>IF('Recurring Schedule'!$C$16="","",IF('Recurring Schedule'!$F$16="","",IF(OR($A332&lt;'Recurring Schedule'!$F$16,$A332&gt;'Recurring Schedule'!$P$16),"",IF(IF('Recurring Schedule'!$N$16&gt;0,MOD($A332-'Recurring Schedule'!$F$16,'Recurring Schedule'!$N$16)=0,IF('Recurring Schedule'!$O$16&gt;0,AND(DAY($A332)=MIN(DAY('Recurring Schedule'!$F$16),DAY(EOMONTH($A332,0))),MOD((YEAR($A332)-YEAR('Recurring Schedule'!$F$16))*12+MONTH($A332)-MONTH('Recurring Schedule'!$F$16),'Recurring Schedule'!$O$16)=0),IF('Recurring Schedule'!$E$16="Weekdays",WEEKDAY($A332,2)&lt;=5,$A332='Recurring Schedule'!$F$16))),11,""))))</f>
        <v/>
      </c>
      <c r="M332">
        <f>IF('Recurring Schedule'!$C$17="","",IF('Recurring Schedule'!$F$17="","",IF(OR($A332&lt;'Recurring Schedule'!$F$17,$A332&gt;'Recurring Schedule'!$P$17),"",IF(IF('Recurring Schedule'!$N$17&gt;0,MOD($A332-'Recurring Schedule'!$F$17,'Recurring Schedule'!$N$17)=0,IF('Recurring Schedule'!$O$17&gt;0,AND(DAY($A332)=MIN(DAY('Recurring Schedule'!$F$17),DAY(EOMONTH($A332,0))),MOD((YEAR($A332)-YEAR('Recurring Schedule'!$F$17))*12+MONTH($A332)-MONTH('Recurring Schedule'!$F$17),'Recurring Schedule'!$O$17)=0),IF('Recurring Schedule'!$E$17="Weekdays",WEEKDAY($A332,2)&lt;=5,$A332='Recurring Schedule'!$F$17))),12,""))))</f>
        <v/>
      </c>
      <c r="N332">
        <f>IF('Recurring Schedule'!$C$18="","",IF('Recurring Schedule'!$F$18="","",IF(OR($A332&lt;'Recurring Schedule'!$F$18,$A332&gt;'Recurring Schedule'!$P$18),"",IF(IF('Recurring Schedule'!$N$18&gt;0,MOD($A332-'Recurring Schedule'!$F$18,'Recurring Schedule'!$N$18)=0,IF('Recurring Schedule'!$O$18&gt;0,AND(DAY($A332)=MIN(DAY('Recurring Schedule'!$F$18),DAY(EOMONTH($A332,0))),MOD((YEAR($A332)-YEAR('Recurring Schedule'!$F$18))*12+MONTH($A332)-MONTH('Recurring Schedule'!$F$18),'Recurring Schedule'!$O$18)=0),IF('Recurring Schedule'!$E$18="Weekdays",WEEKDAY($A332,2)&lt;=5,$A332='Recurring Schedule'!$F$18))),13,""))))</f>
        <v/>
      </c>
      <c r="O332">
        <f>IF('Recurring Schedule'!$C$19="","",IF('Recurring Schedule'!$F$19="","",IF(OR($A332&lt;'Recurring Schedule'!$F$19,$A332&gt;'Recurring Schedule'!$P$19),"",IF(IF('Recurring Schedule'!$N$19&gt;0,MOD($A332-'Recurring Schedule'!$F$19,'Recurring Schedule'!$N$19)=0,IF('Recurring Schedule'!$O$19&gt;0,AND(DAY($A332)=MIN(DAY('Recurring Schedule'!$F$19),DAY(EOMONTH($A332,0))),MOD((YEAR($A332)-YEAR('Recurring Schedule'!$F$19))*12+MONTH($A332)-MONTH('Recurring Schedule'!$F$19),'Recurring Schedule'!$O$19)=0),IF('Recurring Schedule'!$E$19="Weekdays",WEEKDAY($A332,2)&lt;=5,$A332='Recurring Schedule'!$F$19))),14,""))))</f>
        <v/>
      </c>
      <c r="P332">
        <f>IF('Recurring Schedule'!$C$20="","",IF('Recurring Schedule'!$F$20="","",IF(OR($A332&lt;'Recurring Schedule'!$F$20,$A332&gt;'Recurring Schedule'!$P$20),"",IF(IF('Recurring Schedule'!$N$20&gt;0,MOD($A332-'Recurring Schedule'!$F$20,'Recurring Schedule'!$N$20)=0,IF('Recurring Schedule'!$O$20&gt;0,AND(DAY($A332)=MIN(DAY('Recurring Schedule'!$F$20),DAY(EOMONTH($A332,0))),MOD((YEAR($A332)-YEAR('Recurring Schedule'!$F$20))*12+MONTH($A332)-MONTH('Recurring Schedule'!$F$20),'Recurring Schedule'!$O$20)=0),IF('Recurring Schedule'!$E$20="Weekdays",WEEKDAY($A332,2)&lt;=5,$A332='Recurring Schedule'!$F$20))),15,""))))</f>
        <v/>
      </c>
      <c r="Q332">
        <f>IF('Recurring Schedule'!$C$21="","",IF('Recurring Schedule'!$F$21="","",IF(OR($A332&lt;'Recurring Schedule'!$F$21,$A332&gt;'Recurring Schedule'!$P$21),"",IF(IF('Recurring Schedule'!$N$21&gt;0,MOD($A332-'Recurring Schedule'!$F$21,'Recurring Schedule'!$N$21)=0,IF('Recurring Schedule'!$O$21&gt;0,AND(DAY($A332)=MIN(DAY('Recurring Schedule'!$F$21),DAY(EOMONTH($A332,0))),MOD((YEAR($A332)-YEAR('Recurring Schedule'!$F$21))*12+MONTH($A332)-MONTH('Recurring Schedule'!$F$21),'Recurring Schedule'!$O$21)=0),IF('Recurring Schedule'!$E$21="Weekdays",WEEKDAY($A332,2)&lt;=5,$A332='Recurring Schedule'!$F$21))),16,""))))</f>
        <v/>
      </c>
      <c r="R332">
        <f>IF('Recurring Schedule'!$C$22="","",IF('Recurring Schedule'!$F$22="","",IF(OR($A332&lt;'Recurring Schedule'!$F$22,$A332&gt;'Recurring Schedule'!$P$22),"",IF(IF('Recurring Schedule'!$N$22&gt;0,MOD($A332-'Recurring Schedule'!$F$22,'Recurring Schedule'!$N$22)=0,IF('Recurring Schedule'!$O$22&gt;0,AND(DAY($A332)=MIN(DAY('Recurring Schedule'!$F$22),DAY(EOMONTH($A332,0))),MOD((YEAR($A332)-YEAR('Recurring Schedule'!$F$22))*12+MONTH($A332)-MONTH('Recurring Schedule'!$F$22),'Recurring Schedule'!$O$22)=0),IF('Recurring Schedule'!$E$22="Weekdays",WEEKDAY($A332,2)&lt;=5,$A332='Recurring Schedule'!$F$22))),17,""))))</f>
        <v/>
      </c>
      <c r="S332">
        <f>IF('Recurring Schedule'!$C$23="","",IF('Recurring Schedule'!$F$23="","",IF(OR($A332&lt;'Recurring Schedule'!$F$23,$A332&gt;'Recurring Schedule'!$P$23),"",IF(IF('Recurring Schedule'!$N$23&gt;0,MOD($A332-'Recurring Schedule'!$F$23,'Recurring Schedule'!$N$23)=0,IF('Recurring Schedule'!$O$23&gt;0,AND(DAY($A332)=MIN(DAY('Recurring Schedule'!$F$23),DAY(EOMONTH($A332,0))),MOD((YEAR($A332)-YEAR('Recurring Schedule'!$F$23))*12+MONTH($A332)-MONTH('Recurring Schedule'!$F$23),'Recurring Schedule'!$O$23)=0),IF('Recurring Schedule'!$E$23="Weekdays",WEEKDAY($A332,2)&lt;=5,$A332='Recurring Schedule'!$F$23))),18,""))))</f>
        <v/>
      </c>
      <c r="T332">
        <f>IF('Recurring Schedule'!$C$24="","",IF('Recurring Schedule'!$F$24="","",IF(OR($A332&lt;'Recurring Schedule'!$F$24,$A332&gt;'Recurring Schedule'!$P$24),"",IF(IF('Recurring Schedule'!$N$24&gt;0,MOD($A332-'Recurring Schedule'!$F$24,'Recurring Schedule'!$N$24)=0,IF('Recurring Schedule'!$O$24&gt;0,AND(DAY($A332)=MIN(DAY('Recurring Schedule'!$F$24),DAY(EOMONTH($A332,0))),MOD((YEAR($A332)-YEAR('Recurring Schedule'!$F$24))*12+MONTH($A332)-MONTH('Recurring Schedule'!$F$24),'Recurring Schedule'!$O$24)=0),IF('Recurring Schedule'!$E$24="Weekdays",WEEKDAY($A332,2)&lt;=5,$A332='Recurring Schedule'!$F$24))),19,""))))</f>
        <v/>
      </c>
      <c r="U332">
        <f>IF('Recurring Schedule'!$C$25="","",IF('Recurring Schedule'!$F$25="","",IF(OR($A332&lt;'Recurring Schedule'!$F$25,$A332&gt;'Recurring Schedule'!$P$25),"",IF(IF('Recurring Schedule'!$N$25&gt;0,MOD($A332-'Recurring Schedule'!$F$25,'Recurring Schedule'!$N$25)=0,IF('Recurring Schedule'!$O$25&gt;0,AND(DAY($A332)=MIN(DAY('Recurring Schedule'!$F$25),DAY(EOMONTH($A332,0))),MOD((YEAR($A332)-YEAR('Recurring Schedule'!$F$25))*12+MONTH($A332)-MONTH('Recurring Schedule'!$F$25),'Recurring Schedule'!$O$25)=0),IF('Recurring Schedule'!$E$25="Weekdays",WEEKDAY($A332,2)&lt;=5,$A332='Recurring Schedule'!$F$25))),20,""))))</f>
        <v/>
      </c>
      <c r="V332">
        <f>IF('Recurring Schedule'!$C$26="","",IF('Recurring Schedule'!$F$26="","",IF(OR($A332&lt;'Recurring Schedule'!$F$26,$A332&gt;'Recurring Schedule'!$P$26),"",IF(IF('Recurring Schedule'!$N$26&gt;0,MOD($A332-'Recurring Schedule'!$F$26,'Recurring Schedule'!$N$26)=0,IF('Recurring Schedule'!$O$26&gt;0,AND(DAY($A332)=MIN(DAY('Recurring Schedule'!$F$26),DAY(EOMONTH($A332,0))),MOD((YEAR($A332)-YEAR('Recurring Schedule'!$F$26))*12+MONTH($A332)-MONTH('Recurring Schedule'!$F$26),'Recurring Schedule'!$O$26)=0),IF('Recurring Schedule'!$E$26="Weekdays",WEEKDAY($A332,2)&lt;=5,$A332='Recurring Schedule'!$F$26))),21,""))))</f>
        <v/>
      </c>
      <c r="W332">
        <f>IF('Recurring Schedule'!$C$27="","",IF('Recurring Schedule'!$F$27="","",IF(OR($A332&lt;'Recurring Schedule'!$F$27,$A332&gt;'Recurring Schedule'!$P$27),"",IF(IF('Recurring Schedule'!$N$27&gt;0,MOD($A332-'Recurring Schedule'!$F$27,'Recurring Schedule'!$N$27)=0,IF('Recurring Schedule'!$O$27&gt;0,AND(DAY($A332)=MIN(DAY('Recurring Schedule'!$F$27),DAY(EOMONTH($A332,0))),MOD((YEAR($A332)-YEAR('Recurring Schedule'!$F$27))*12+MONTH($A332)-MONTH('Recurring Schedule'!$F$27),'Recurring Schedule'!$O$27)=0),IF('Recurring Schedule'!$E$27="Weekdays",WEEKDAY($A332,2)&lt;=5,$A332='Recurring Schedule'!$F$27))),22,""))))</f>
        <v/>
      </c>
      <c r="X332">
        <f>IF('Recurring Schedule'!$C$28="","",IF('Recurring Schedule'!$F$28="","",IF(OR($A332&lt;'Recurring Schedule'!$F$28,$A332&gt;'Recurring Schedule'!$P$28),"",IF(IF('Recurring Schedule'!$N$28&gt;0,MOD($A332-'Recurring Schedule'!$F$28,'Recurring Schedule'!$N$28)=0,IF('Recurring Schedule'!$O$28&gt;0,AND(DAY($A332)=MIN(DAY('Recurring Schedule'!$F$28),DAY(EOMONTH($A332,0))),MOD((YEAR($A332)-YEAR('Recurring Schedule'!$F$28))*12+MONTH($A332)-MONTH('Recurring Schedule'!$F$28),'Recurring Schedule'!$O$28)=0),IF('Recurring Schedule'!$E$28="Weekdays",WEEKDAY($A332,2)&lt;=5,$A332='Recurring Schedule'!$F$28))),23,""))))</f>
        <v/>
      </c>
      <c r="Y332">
        <f>IF('Recurring Schedule'!$C$29="","",IF('Recurring Schedule'!$F$29="","",IF(OR($A332&lt;'Recurring Schedule'!$F$29,$A332&gt;'Recurring Schedule'!$P$29),"",IF(IF('Recurring Schedule'!$N$29&gt;0,MOD($A332-'Recurring Schedule'!$F$29,'Recurring Schedule'!$N$29)=0,IF('Recurring Schedule'!$O$29&gt;0,AND(DAY($A332)=MIN(DAY('Recurring Schedule'!$F$29),DAY(EOMONTH($A332,0))),MOD((YEAR($A332)-YEAR('Recurring Schedule'!$F$29))*12+MONTH($A332)-MONTH('Recurring Schedule'!$F$29),'Recurring Schedule'!$O$29)=0),IF('Recurring Schedule'!$E$29="Weekdays",WEEKDAY($A332,2)&lt;=5,$A332='Recurring Schedule'!$F$29))),24,""))))</f>
        <v/>
      </c>
      <c r="Z332">
        <f>IF('Recurring Schedule'!$C$30="","",IF('Recurring Schedule'!$F$30="","",IF(OR($A332&lt;'Recurring Schedule'!$F$30,$A332&gt;'Recurring Schedule'!$P$30),"",IF(IF('Recurring Schedule'!$N$30&gt;0,MOD($A332-'Recurring Schedule'!$F$30,'Recurring Schedule'!$N$30)=0,IF('Recurring Schedule'!$O$30&gt;0,AND(DAY($A332)=MIN(DAY('Recurring Schedule'!$F$30),DAY(EOMONTH($A332,0))),MOD((YEAR($A332)-YEAR('Recurring Schedule'!$F$30))*12+MONTH($A332)-MONTH('Recurring Schedule'!$F$30),'Recurring Schedule'!$O$30)=0),IF('Recurring Schedule'!$E$30="Weekdays",WEEKDAY($A332,2)&lt;=5,$A332='Recurring Schedule'!$F$30))),25,""))))</f>
        <v/>
      </c>
      <c r="AA332">
        <f>IF('Recurring Schedule'!$C$31="","",IF('Recurring Schedule'!$F$31="","",IF(OR($A332&lt;'Recurring Schedule'!$F$31,$A332&gt;'Recurring Schedule'!$P$31),"",IF(IF('Recurring Schedule'!$N$31&gt;0,MOD($A332-'Recurring Schedule'!$F$31,'Recurring Schedule'!$N$31)=0,IF('Recurring Schedule'!$O$31&gt;0,AND(DAY($A332)=MIN(DAY('Recurring Schedule'!$F$31),DAY(EOMONTH($A332,0))),MOD((YEAR($A332)-YEAR('Recurring Schedule'!$F$31))*12+MONTH($A332)-MONTH('Recurring Schedule'!$F$31),'Recurring Schedule'!$O$31)=0),IF('Recurring Schedule'!$E$31="Weekdays",WEEKDAY($A332,2)&lt;=5,$A332='Recurring Schedule'!$F$31))),26,""))))</f>
        <v/>
      </c>
      <c r="AB332">
        <f>IF('Recurring Schedule'!$C$32="","",IF('Recurring Schedule'!$F$32="","",IF(OR($A332&lt;'Recurring Schedule'!$F$32,$A332&gt;'Recurring Schedule'!$P$32),"",IF(IF('Recurring Schedule'!$N$32&gt;0,MOD($A332-'Recurring Schedule'!$F$32,'Recurring Schedule'!$N$32)=0,IF('Recurring Schedule'!$O$32&gt;0,AND(DAY($A332)=MIN(DAY('Recurring Schedule'!$F$32),DAY(EOMONTH($A332,0))),MOD((YEAR($A332)-YEAR('Recurring Schedule'!$F$32))*12+MONTH($A332)-MONTH('Recurring Schedule'!$F$32),'Recurring Schedule'!$O$32)=0),IF('Recurring Schedule'!$E$32="Weekdays",WEEKDAY($A332,2)&lt;=5,$A332='Recurring Schedule'!$F$32))),27,""))))</f>
        <v/>
      </c>
      <c r="AC332">
        <f>IF('Recurring Schedule'!$C$33="","",IF('Recurring Schedule'!$F$33="","",IF(OR($A332&lt;'Recurring Schedule'!$F$33,$A332&gt;'Recurring Schedule'!$P$33),"",IF(IF('Recurring Schedule'!$N$33&gt;0,MOD($A332-'Recurring Schedule'!$F$33,'Recurring Schedule'!$N$33)=0,IF('Recurring Schedule'!$O$33&gt;0,AND(DAY($A332)=MIN(DAY('Recurring Schedule'!$F$33),DAY(EOMONTH($A332,0))),MOD((YEAR($A332)-YEAR('Recurring Schedule'!$F$33))*12+MONTH($A332)-MONTH('Recurring Schedule'!$F$33),'Recurring Schedule'!$O$33)=0),IF('Recurring Schedule'!$E$33="Weekdays",WEEKDAY($A332,2)&lt;=5,$A332='Recurring Schedule'!$F$33))),28,""))))</f>
        <v/>
      </c>
      <c r="AD332">
        <f>IF('Recurring Schedule'!$C$34="","",IF('Recurring Schedule'!$F$34="","",IF(OR($A332&lt;'Recurring Schedule'!$F$34,$A332&gt;'Recurring Schedule'!$P$34),"",IF(IF('Recurring Schedule'!$N$34&gt;0,MOD($A332-'Recurring Schedule'!$F$34,'Recurring Schedule'!$N$34)=0,IF('Recurring Schedule'!$O$34&gt;0,AND(DAY($A332)=MIN(DAY('Recurring Schedule'!$F$34),DAY(EOMONTH($A332,0))),MOD((YEAR($A332)-YEAR('Recurring Schedule'!$F$34))*12+MONTH($A332)-MONTH('Recurring Schedule'!$F$34),'Recurring Schedule'!$O$34)=0),IF('Recurring Schedule'!$E$34="Weekdays",WEEKDAY($A332,2)&lt;=5,$A332='Recurring Schedule'!$F$34))),29,""))))</f>
        <v/>
      </c>
      <c r="AE332">
        <f>IF('Recurring Schedule'!$C$35="","",IF('Recurring Schedule'!$F$35="","",IF(OR($A332&lt;'Recurring Schedule'!$F$35,$A332&gt;'Recurring Schedule'!$P$35),"",IF(IF('Recurring Schedule'!$N$35&gt;0,MOD($A332-'Recurring Schedule'!$F$35,'Recurring Schedule'!$N$35)=0,IF('Recurring Schedule'!$O$35&gt;0,AND(DAY($A332)=MIN(DAY('Recurring Schedule'!$F$35),DAY(EOMONTH($A332,0))),MOD((YEAR($A332)-YEAR('Recurring Schedule'!$F$35))*12+MONTH($A332)-MONTH('Recurring Schedule'!$F$35),'Recurring Schedule'!$O$35)=0),IF('Recurring Schedule'!$E$35="Weekdays",WEEKDAY($A332,2)&lt;=5,$A332='Recurring Schedule'!$F$35))),30,""))))</f>
        <v/>
      </c>
      <c r="AF332">
        <f>IF('Recurring Schedule'!$C$36="","",IF('Recurring Schedule'!$F$36="","",IF(OR($A332&lt;'Recurring Schedule'!$F$36,$A332&gt;'Recurring Schedule'!$P$36),"",IF(IF('Recurring Schedule'!$N$36&gt;0,MOD($A332-'Recurring Schedule'!$F$36,'Recurring Schedule'!$N$36)=0,IF('Recurring Schedule'!$O$36&gt;0,AND(DAY($A332)=MIN(DAY('Recurring Schedule'!$F$36),DAY(EOMONTH($A332,0))),MOD((YEAR($A332)-YEAR('Recurring Schedule'!$F$36))*12+MONTH($A332)-MONTH('Recurring Schedule'!$F$36),'Recurring Schedule'!$O$36)=0),IF('Recurring Schedule'!$E$36="Weekdays",WEEKDAY($A332,2)&lt;=5,$A332='Recurring Schedule'!$F$36))),31,""))))</f>
        <v/>
      </c>
      <c r="AG332">
        <f>IF('Recurring Schedule'!$C$37="","",IF('Recurring Schedule'!$F$37="","",IF(OR($A332&lt;'Recurring Schedule'!$F$37,$A332&gt;'Recurring Schedule'!$P$37),"",IF(IF('Recurring Schedule'!$N$37&gt;0,MOD($A332-'Recurring Schedule'!$F$37,'Recurring Schedule'!$N$37)=0,IF('Recurring Schedule'!$O$37&gt;0,AND(DAY($A332)=MIN(DAY('Recurring Schedule'!$F$37),DAY(EOMONTH($A332,0))),MOD((YEAR($A332)-YEAR('Recurring Schedule'!$F$37))*12+MONTH($A332)-MONTH('Recurring Schedule'!$F$37),'Recurring Schedule'!$O$37)=0),IF('Recurring Schedule'!$E$37="Weekdays",WEEKDAY($A332,2)&lt;=5,$A332='Recurring Schedule'!$F$37))),32,""))))</f>
        <v/>
      </c>
      <c r="AH332">
        <f>IF('Recurring Schedule'!$C$38="","",IF('Recurring Schedule'!$F$38="","",IF(OR($A332&lt;'Recurring Schedule'!$F$38,$A332&gt;'Recurring Schedule'!$P$38),"",IF(IF('Recurring Schedule'!$N$38&gt;0,MOD($A332-'Recurring Schedule'!$F$38,'Recurring Schedule'!$N$38)=0,IF('Recurring Schedule'!$O$38&gt;0,AND(DAY($A332)=MIN(DAY('Recurring Schedule'!$F$38),DAY(EOMONTH($A332,0))),MOD((YEAR($A332)-YEAR('Recurring Schedule'!$F$38))*12+MONTH($A332)-MONTH('Recurring Schedule'!$F$38),'Recurring Schedule'!$O$38)=0),IF('Recurring Schedule'!$E$38="Weekdays",WEEKDAY($A332,2)&lt;=5,$A332='Recurring Schedule'!$F$38))),33,""))))</f>
        <v/>
      </c>
      <c r="AI332">
        <f>IF('Recurring Schedule'!$C$39="","",IF('Recurring Schedule'!$F$39="","",IF(OR($A332&lt;'Recurring Schedule'!$F$39,$A332&gt;'Recurring Schedule'!$P$39),"",IF(IF('Recurring Schedule'!$N$39&gt;0,MOD($A332-'Recurring Schedule'!$F$39,'Recurring Schedule'!$N$39)=0,IF('Recurring Schedule'!$O$39&gt;0,AND(DAY($A332)=MIN(DAY('Recurring Schedule'!$F$39),DAY(EOMONTH($A332,0))),MOD((YEAR($A332)-YEAR('Recurring Schedule'!$F$39))*12+MONTH($A332)-MONTH('Recurring Schedule'!$F$39),'Recurring Schedule'!$O$39)=0),IF('Recurring Schedule'!$E$39="Weekdays",WEEKDAY($A332,2)&lt;=5,$A332='Recurring Schedule'!$F$39))),34,""))))</f>
        <v/>
      </c>
      <c r="AJ332">
        <f>IF('Recurring Schedule'!$C$40="","",IF('Recurring Schedule'!$F$40="","",IF(OR($A332&lt;'Recurring Schedule'!$F$40,$A332&gt;'Recurring Schedule'!$P$40),"",IF(IF('Recurring Schedule'!$N$40&gt;0,MOD($A332-'Recurring Schedule'!$F$40,'Recurring Schedule'!$N$40)=0,IF('Recurring Schedule'!$O$40&gt;0,AND(DAY($A332)=MIN(DAY('Recurring Schedule'!$F$40),DAY(EOMONTH($A332,0))),MOD((YEAR($A332)-YEAR('Recurring Schedule'!$F$40))*12+MONTH($A332)-MONTH('Recurring Schedule'!$F$40),'Recurring Schedule'!$O$40)=0),IF('Recurring Schedule'!$E$40="Weekdays",WEEKDAY($A332,2)&lt;=5,$A332='Recurring Schedule'!$F$40))),35,""))))</f>
        <v/>
      </c>
      <c r="AK332">
        <f>IF('Recurring Schedule'!$C$41="","",IF('Recurring Schedule'!$F$41="","",IF(OR($A332&lt;'Recurring Schedule'!$F$41,$A332&gt;'Recurring Schedule'!$P$41),"",IF(IF('Recurring Schedule'!$N$41&gt;0,MOD($A332-'Recurring Schedule'!$F$41,'Recurring Schedule'!$N$41)=0,IF('Recurring Schedule'!$O$41&gt;0,AND(DAY($A332)=MIN(DAY('Recurring Schedule'!$F$41),DAY(EOMONTH($A332,0))),MOD((YEAR($A332)-YEAR('Recurring Schedule'!$F$41))*12+MONTH($A332)-MONTH('Recurring Schedule'!$F$41),'Recurring Schedule'!$O$41)=0),IF('Recurring Schedule'!$E$41="Weekdays",WEEKDAY($A332,2)&lt;=5,$A332='Recurring Schedule'!$F$41))),36,""))))</f>
        <v/>
      </c>
      <c r="AL332">
        <f>IF('Recurring Schedule'!$C$42="","",IF('Recurring Schedule'!$F$42="","",IF(OR($A332&lt;'Recurring Schedule'!$F$42,$A332&gt;'Recurring Schedule'!$P$42),"",IF(IF('Recurring Schedule'!$N$42&gt;0,MOD($A332-'Recurring Schedule'!$F$42,'Recurring Schedule'!$N$42)=0,IF('Recurring Schedule'!$O$42&gt;0,AND(DAY($A332)=MIN(DAY('Recurring Schedule'!$F$42),DAY(EOMONTH($A332,0))),MOD((YEAR($A332)-YEAR('Recurring Schedule'!$F$42))*12+MONTH($A332)-MONTH('Recurring Schedule'!$F$42),'Recurring Schedule'!$O$42)=0),IF('Recurring Schedule'!$E$42="Weekdays",WEEKDAY($A332,2)&lt;=5,$A332='Recurring Schedule'!$F$42))),37,""))))</f>
        <v/>
      </c>
      <c r="AM332">
        <f>IF('Recurring Schedule'!$C$43="","",IF('Recurring Schedule'!$F$43="","",IF(OR($A332&lt;'Recurring Schedule'!$F$43,$A332&gt;'Recurring Schedule'!$P$43),"",IF(IF('Recurring Schedule'!$N$43&gt;0,MOD($A332-'Recurring Schedule'!$F$43,'Recurring Schedule'!$N$43)=0,IF('Recurring Schedule'!$O$43&gt;0,AND(DAY($A332)=MIN(DAY('Recurring Schedule'!$F$43),DAY(EOMONTH($A332,0))),MOD((YEAR($A332)-YEAR('Recurring Schedule'!$F$43))*12+MONTH($A332)-MONTH('Recurring Schedule'!$F$43),'Recurring Schedule'!$O$43)=0),IF('Recurring Schedule'!$E$43="Weekdays",WEEKDAY($A332,2)&lt;=5,$A332='Recurring Schedule'!$F$43))),38,""))))</f>
        <v/>
      </c>
      <c r="AN332">
        <f>IF('Recurring Schedule'!$C$44="","",IF('Recurring Schedule'!$F$44="","",IF(OR($A332&lt;'Recurring Schedule'!$F$44,$A332&gt;'Recurring Schedule'!$P$44),"",IF(IF('Recurring Schedule'!$N$44&gt;0,MOD($A332-'Recurring Schedule'!$F$44,'Recurring Schedule'!$N$44)=0,IF('Recurring Schedule'!$O$44&gt;0,AND(DAY($A332)=MIN(DAY('Recurring Schedule'!$F$44),DAY(EOMONTH($A332,0))),MOD((YEAR($A332)-YEAR('Recurring Schedule'!$F$44))*12+MONTH($A332)-MONTH('Recurring Schedule'!$F$44),'Recurring Schedule'!$O$44)=0),IF('Recurring Schedule'!$E$44="Weekdays",WEEKDAY($A332,2)&lt;=5,$A332='Recurring Schedule'!$F$44))),39,""))))</f>
        <v/>
      </c>
      <c r="AO332">
        <f>IF('Recurring Schedule'!$C$45="","",IF('Recurring Schedule'!$F$45="","",IF(OR($A332&lt;'Recurring Schedule'!$F$45,$A332&gt;'Recurring Schedule'!$P$45),"",IF(IF('Recurring Schedule'!$N$45&gt;0,MOD($A332-'Recurring Schedule'!$F$45,'Recurring Schedule'!$N$45)=0,IF('Recurring Schedule'!$O$45&gt;0,AND(DAY($A332)=MIN(DAY('Recurring Schedule'!$F$45),DAY(EOMONTH($A332,0))),MOD((YEAR($A332)-YEAR('Recurring Schedule'!$F$45))*12+MONTH($A332)-MONTH('Recurring Schedule'!$F$45),'Recurring Schedule'!$O$45)=0),IF('Recurring Schedule'!$E$45="Weekdays",WEEKDAY($A332,2)&lt;=5,$A332='Recurring Schedule'!$F$45))),40,""))))</f>
        <v/>
      </c>
      <c r="AP332">
        <f>COUNT(B332:AO332)</f>
        <v/>
      </c>
      <c r="AQ332">
        <f>AQ331+AP331</f>
        <v/>
      </c>
      <c r="AS332" t="inlineStr">
        <is>
          <t>R</t>
        </is>
      </c>
      <c r="AT332" t="n">
        <v>336</v>
      </c>
      <c r="AU332">
        <f>'Recurring Log'!C336&amp;""</f>
        <v/>
      </c>
      <c r="AV332">
        <f>'Recurring Log'!D336&amp;""</f>
        <v/>
      </c>
      <c r="AW332">
        <f>IF('Recurring Log'!E336="","",'Recurring Log'!E336)</f>
        <v/>
      </c>
      <c r="AX332">
        <f>IF('Recurring Log'!G336="","",'Recurring Log'!G336)</f>
        <v/>
      </c>
      <c r="AY332">
        <f>IF('Recurring Log'!H336="","",'Recurring Log'!H336)</f>
        <v/>
      </c>
      <c r="AZ332">
        <f>IF(AU332="","",IF('Recurring Log'!J336="","Not Started",'Recurring Log'!J336))</f>
        <v/>
      </c>
      <c r="BA332">
        <f>'Recurring Log'!L336&amp;""</f>
        <v/>
      </c>
      <c r="BB332">
        <f>'Recurring Log'!M336&amp;""</f>
        <v/>
      </c>
      <c r="BC332">
        <f>'Recurring Log'!N336&amp;""</f>
        <v/>
      </c>
      <c r="BD332">
        <f>'Recurring Log'!O336&amp;""</f>
        <v/>
      </c>
      <c r="BE332">
        <f>IF('Recurring Log'!K336="","",'Recurring Log'!K336)</f>
        <v/>
      </c>
      <c r="BF332">
        <f>IFERROR(MATCH(BA332,Setup!$L$6:$L$9,0),5)</f>
        <v/>
      </c>
      <c r="BG332">
        <f>IF(OR(AZ332="Done",AZ332="Cancelled"),1,0)</f>
        <v/>
      </c>
      <c r="BH332">
        <f>IF(AND(AU332&lt;&gt;"",ISNUMBER(AW332)),1,0)</f>
        <v/>
      </c>
      <c r="BI332">
        <f>IF(BH332=0,0,IF(AND(AW332&gt;='Tasks Filter'!$F$3,AW332&lt;='Tasks Filter'!$F$4,OR('Tasks Filter'!$I$3="",ISNUMBER(SEARCH('Tasks Filter'!$I$3,AU332))),OR('Tasks Filter'!$I$4="",BF332=IFERROR(MATCH('Tasks Filter'!$I$4,Setup!$L$6:$L$9,0),0)),OR('Tasks Filter'!$I$5="Both",AND('Tasks Filter'!$I$5="Yes",BB332="✓"),AND('Tasks Filter'!$I$5="No",BB332&lt;&gt;"✓")),OR('Tasks Filter'!$L$3="",AV332='Tasks Filter'!$L$3),OR('Tasks Filter'!$L$4="",AZ332='Tasks Filter'!$L$4),OR('Tasks Filter'!$L$5="",BC332='Tasks Filter'!$L$5),OR('Tasks Filter'!$O$3="",BD332='Tasks Filter'!$O$3),OR('Tasks Filter'!$O$4="Yes",BG332=0)),1,0))</f>
        <v/>
      </c>
      <c r="BJ332">
        <f>IF(BH332=0,"",IF('Tasks Filter'!$F$6="Descending",-1,1)*CHOOSE(MATCH('Tasks Filter'!$F$5,Lists!$G$2:$G$6,0),AW332,BF332,IFERROR(MATCH(AV332,Setup!$F$6:$F$15,0),99),IFERROR(MATCH(BC332,Setup!$H$6:$H$15,0),99),IFERROR(MATCH(AZ332,Setup!$J$6:$J$11,0),99))*1E+9+(AW332-40000)*10000+331)</f>
        <v/>
      </c>
      <c r="BK332">
        <f>IF(BI332=1,BJ332,"")</f>
        <v/>
      </c>
      <c r="BL332">
        <f>IF(AND(BH332=1,BG332=0,N(AW332)&lt;Setup!$D$7),(AW332-40000)*10000+331,"")</f>
        <v/>
      </c>
      <c r="BM332">
        <f>IF(AND(BH332=1,AZ332&lt;&gt;"Cancelled",N(AW332)&gt;=Dashboard!$AB$3,N(AW332)&lt;=Dashboard!$AB$3+6),(AW332-40000)*100000+BF332*10000+331,"")</f>
        <v/>
      </c>
      <c r="BN332">
        <f>IF(AND(BH332=1,AZ332&lt;&gt;"Cancelled"),BF332*10000+331,"")</f>
        <v/>
      </c>
    </row>
    <row r="333">
      <c r="A333">
        <f>Setup!$D$5+331</f>
        <v/>
      </c>
      <c r="B333">
        <f>IF('Recurring Schedule'!$C$6="","",IF('Recurring Schedule'!$F$6="","",IF(OR($A333&lt;'Recurring Schedule'!$F$6,$A333&gt;'Recurring Schedule'!$P$6),"",IF(IF('Recurring Schedule'!$N$6&gt;0,MOD($A333-'Recurring Schedule'!$F$6,'Recurring Schedule'!$N$6)=0,IF('Recurring Schedule'!$O$6&gt;0,AND(DAY($A333)=MIN(DAY('Recurring Schedule'!$F$6),DAY(EOMONTH($A333,0))),MOD((YEAR($A333)-YEAR('Recurring Schedule'!$F$6))*12+MONTH($A333)-MONTH('Recurring Schedule'!$F$6),'Recurring Schedule'!$O$6)=0),IF('Recurring Schedule'!$E$6="Weekdays",WEEKDAY($A333,2)&lt;=5,$A333='Recurring Schedule'!$F$6))),1,""))))</f>
        <v/>
      </c>
      <c r="C333">
        <f>IF('Recurring Schedule'!$C$7="","",IF('Recurring Schedule'!$F$7="","",IF(OR($A333&lt;'Recurring Schedule'!$F$7,$A333&gt;'Recurring Schedule'!$P$7),"",IF(IF('Recurring Schedule'!$N$7&gt;0,MOD($A333-'Recurring Schedule'!$F$7,'Recurring Schedule'!$N$7)=0,IF('Recurring Schedule'!$O$7&gt;0,AND(DAY($A333)=MIN(DAY('Recurring Schedule'!$F$7),DAY(EOMONTH($A333,0))),MOD((YEAR($A333)-YEAR('Recurring Schedule'!$F$7))*12+MONTH($A333)-MONTH('Recurring Schedule'!$F$7),'Recurring Schedule'!$O$7)=0),IF('Recurring Schedule'!$E$7="Weekdays",WEEKDAY($A333,2)&lt;=5,$A333='Recurring Schedule'!$F$7))),2,""))))</f>
        <v/>
      </c>
      <c r="D333">
        <f>IF('Recurring Schedule'!$C$8="","",IF('Recurring Schedule'!$F$8="","",IF(OR($A333&lt;'Recurring Schedule'!$F$8,$A333&gt;'Recurring Schedule'!$P$8),"",IF(IF('Recurring Schedule'!$N$8&gt;0,MOD($A333-'Recurring Schedule'!$F$8,'Recurring Schedule'!$N$8)=0,IF('Recurring Schedule'!$O$8&gt;0,AND(DAY($A333)=MIN(DAY('Recurring Schedule'!$F$8),DAY(EOMONTH($A333,0))),MOD((YEAR($A333)-YEAR('Recurring Schedule'!$F$8))*12+MONTH($A333)-MONTH('Recurring Schedule'!$F$8),'Recurring Schedule'!$O$8)=0),IF('Recurring Schedule'!$E$8="Weekdays",WEEKDAY($A333,2)&lt;=5,$A333='Recurring Schedule'!$F$8))),3,""))))</f>
        <v/>
      </c>
      <c r="E333">
        <f>IF('Recurring Schedule'!$C$9="","",IF('Recurring Schedule'!$F$9="","",IF(OR($A333&lt;'Recurring Schedule'!$F$9,$A333&gt;'Recurring Schedule'!$P$9),"",IF(IF('Recurring Schedule'!$N$9&gt;0,MOD($A333-'Recurring Schedule'!$F$9,'Recurring Schedule'!$N$9)=0,IF('Recurring Schedule'!$O$9&gt;0,AND(DAY($A333)=MIN(DAY('Recurring Schedule'!$F$9),DAY(EOMONTH($A333,0))),MOD((YEAR($A333)-YEAR('Recurring Schedule'!$F$9))*12+MONTH($A333)-MONTH('Recurring Schedule'!$F$9),'Recurring Schedule'!$O$9)=0),IF('Recurring Schedule'!$E$9="Weekdays",WEEKDAY($A333,2)&lt;=5,$A333='Recurring Schedule'!$F$9))),4,""))))</f>
        <v/>
      </c>
      <c r="F333">
        <f>IF('Recurring Schedule'!$C$10="","",IF('Recurring Schedule'!$F$10="","",IF(OR($A333&lt;'Recurring Schedule'!$F$10,$A333&gt;'Recurring Schedule'!$P$10),"",IF(IF('Recurring Schedule'!$N$10&gt;0,MOD($A333-'Recurring Schedule'!$F$10,'Recurring Schedule'!$N$10)=0,IF('Recurring Schedule'!$O$10&gt;0,AND(DAY($A333)=MIN(DAY('Recurring Schedule'!$F$10),DAY(EOMONTH($A333,0))),MOD((YEAR($A333)-YEAR('Recurring Schedule'!$F$10))*12+MONTH($A333)-MONTH('Recurring Schedule'!$F$10),'Recurring Schedule'!$O$10)=0),IF('Recurring Schedule'!$E$10="Weekdays",WEEKDAY($A333,2)&lt;=5,$A333='Recurring Schedule'!$F$10))),5,""))))</f>
        <v/>
      </c>
      <c r="G333">
        <f>IF('Recurring Schedule'!$C$11="","",IF('Recurring Schedule'!$F$11="","",IF(OR($A333&lt;'Recurring Schedule'!$F$11,$A333&gt;'Recurring Schedule'!$P$11),"",IF(IF('Recurring Schedule'!$N$11&gt;0,MOD($A333-'Recurring Schedule'!$F$11,'Recurring Schedule'!$N$11)=0,IF('Recurring Schedule'!$O$11&gt;0,AND(DAY($A333)=MIN(DAY('Recurring Schedule'!$F$11),DAY(EOMONTH($A333,0))),MOD((YEAR($A333)-YEAR('Recurring Schedule'!$F$11))*12+MONTH($A333)-MONTH('Recurring Schedule'!$F$11),'Recurring Schedule'!$O$11)=0),IF('Recurring Schedule'!$E$11="Weekdays",WEEKDAY($A333,2)&lt;=5,$A333='Recurring Schedule'!$F$11))),6,""))))</f>
        <v/>
      </c>
      <c r="H333">
        <f>IF('Recurring Schedule'!$C$12="","",IF('Recurring Schedule'!$F$12="","",IF(OR($A333&lt;'Recurring Schedule'!$F$12,$A333&gt;'Recurring Schedule'!$P$12),"",IF(IF('Recurring Schedule'!$N$12&gt;0,MOD($A333-'Recurring Schedule'!$F$12,'Recurring Schedule'!$N$12)=0,IF('Recurring Schedule'!$O$12&gt;0,AND(DAY($A333)=MIN(DAY('Recurring Schedule'!$F$12),DAY(EOMONTH($A333,0))),MOD((YEAR($A333)-YEAR('Recurring Schedule'!$F$12))*12+MONTH($A333)-MONTH('Recurring Schedule'!$F$12),'Recurring Schedule'!$O$12)=0),IF('Recurring Schedule'!$E$12="Weekdays",WEEKDAY($A333,2)&lt;=5,$A333='Recurring Schedule'!$F$12))),7,""))))</f>
        <v/>
      </c>
      <c r="I333">
        <f>IF('Recurring Schedule'!$C$13="","",IF('Recurring Schedule'!$F$13="","",IF(OR($A333&lt;'Recurring Schedule'!$F$13,$A333&gt;'Recurring Schedule'!$P$13),"",IF(IF('Recurring Schedule'!$N$13&gt;0,MOD($A333-'Recurring Schedule'!$F$13,'Recurring Schedule'!$N$13)=0,IF('Recurring Schedule'!$O$13&gt;0,AND(DAY($A333)=MIN(DAY('Recurring Schedule'!$F$13),DAY(EOMONTH($A333,0))),MOD((YEAR($A333)-YEAR('Recurring Schedule'!$F$13))*12+MONTH($A333)-MONTH('Recurring Schedule'!$F$13),'Recurring Schedule'!$O$13)=0),IF('Recurring Schedule'!$E$13="Weekdays",WEEKDAY($A333,2)&lt;=5,$A333='Recurring Schedule'!$F$13))),8,""))))</f>
        <v/>
      </c>
      <c r="J333">
        <f>IF('Recurring Schedule'!$C$14="","",IF('Recurring Schedule'!$F$14="","",IF(OR($A333&lt;'Recurring Schedule'!$F$14,$A333&gt;'Recurring Schedule'!$P$14),"",IF(IF('Recurring Schedule'!$N$14&gt;0,MOD($A333-'Recurring Schedule'!$F$14,'Recurring Schedule'!$N$14)=0,IF('Recurring Schedule'!$O$14&gt;0,AND(DAY($A333)=MIN(DAY('Recurring Schedule'!$F$14),DAY(EOMONTH($A333,0))),MOD((YEAR($A333)-YEAR('Recurring Schedule'!$F$14))*12+MONTH($A333)-MONTH('Recurring Schedule'!$F$14),'Recurring Schedule'!$O$14)=0),IF('Recurring Schedule'!$E$14="Weekdays",WEEKDAY($A333,2)&lt;=5,$A333='Recurring Schedule'!$F$14))),9,""))))</f>
        <v/>
      </c>
      <c r="K333">
        <f>IF('Recurring Schedule'!$C$15="","",IF('Recurring Schedule'!$F$15="","",IF(OR($A333&lt;'Recurring Schedule'!$F$15,$A333&gt;'Recurring Schedule'!$P$15),"",IF(IF('Recurring Schedule'!$N$15&gt;0,MOD($A333-'Recurring Schedule'!$F$15,'Recurring Schedule'!$N$15)=0,IF('Recurring Schedule'!$O$15&gt;0,AND(DAY($A333)=MIN(DAY('Recurring Schedule'!$F$15),DAY(EOMONTH($A333,0))),MOD((YEAR($A333)-YEAR('Recurring Schedule'!$F$15))*12+MONTH($A333)-MONTH('Recurring Schedule'!$F$15),'Recurring Schedule'!$O$15)=0),IF('Recurring Schedule'!$E$15="Weekdays",WEEKDAY($A333,2)&lt;=5,$A333='Recurring Schedule'!$F$15))),10,""))))</f>
        <v/>
      </c>
      <c r="L333">
        <f>IF('Recurring Schedule'!$C$16="","",IF('Recurring Schedule'!$F$16="","",IF(OR($A333&lt;'Recurring Schedule'!$F$16,$A333&gt;'Recurring Schedule'!$P$16),"",IF(IF('Recurring Schedule'!$N$16&gt;0,MOD($A333-'Recurring Schedule'!$F$16,'Recurring Schedule'!$N$16)=0,IF('Recurring Schedule'!$O$16&gt;0,AND(DAY($A333)=MIN(DAY('Recurring Schedule'!$F$16),DAY(EOMONTH($A333,0))),MOD((YEAR($A333)-YEAR('Recurring Schedule'!$F$16))*12+MONTH($A333)-MONTH('Recurring Schedule'!$F$16),'Recurring Schedule'!$O$16)=0),IF('Recurring Schedule'!$E$16="Weekdays",WEEKDAY($A333,2)&lt;=5,$A333='Recurring Schedule'!$F$16))),11,""))))</f>
        <v/>
      </c>
      <c r="M333">
        <f>IF('Recurring Schedule'!$C$17="","",IF('Recurring Schedule'!$F$17="","",IF(OR($A333&lt;'Recurring Schedule'!$F$17,$A333&gt;'Recurring Schedule'!$P$17),"",IF(IF('Recurring Schedule'!$N$17&gt;0,MOD($A333-'Recurring Schedule'!$F$17,'Recurring Schedule'!$N$17)=0,IF('Recurring Schedule'!$O$17&gt;0,AND(DAY($A333)=MIN(DAY('Recurring Schedule'!$F$17),DAY(EOMONTH($A333,0))),MOD((YEAR($A333)-YEAR('Recurring Schedule'!$F$17))*12+MONTH($A333)-MONTH('Recurring Schedule'!$F$17),'Recurring Schedule'!$O$17)=0),IF('Recurring Schedule'!$E$17="Weekdays",WEEKDAY($A333,2)&lt;=5,$A333='Recurring Schedule'!$F$17))),12,""))))</f>
        <v/>
      </c>
      <c r="N333">
        <f>IF('Recurring Schedule'!$C$18="","",IF('Recurring Schedule'!$F$18="","",IF(OR($A333&lt;'Recurring Schedule'!$F$18,$A333&gt;'Recurring Schedule'!$P$18),"",IF(IF('Recurring Schedule'!$N$18&gt;0,MOD($A333-'Recurring Schedule'!$F$18,'Recurring Schedule'!$N$18)=0,IF('Recurring Schedule'!$O$18&gt;0,AND(DAY($A333)=MIN(DAY('Recurring Schedule'!$F$18),DAY(EOMONTH($A333,0))),MOD((YEAR($A333)-YEAR('Recurring Schedule'!$F$18))*12+MONTH($A333)-MONTH('Recurring Schedule'!$F$18),'Recurring Schedule'!$O$18)=0),IF('Recurring Schedule'!$E$18="Weekdays",WEEKDAY($A333,2)&lt;=5,$A333='Recurring Schedule'!$F$18))),13,""))))</f>
        <v/>
      </c>
      <c r="O333">
        <f>IF('Recurring Schedule'!$C$19="","",IF('Recurring Schedule'!$F$19="","",IF(OR($A333&lt;'Recurring Schedule'!$F$19,$A333&gt;'Recurring Schedule'!$P$19),"",IF(IF('Recurring Schedule'!$N$19&gt;0,MOD($A333-'Recurring Schedule'!$F$19,'Recurring Schedule'!$N$19)=0,IF('Recurring Schedule'!$O$19&gt;0,AND(DAY($A333)=MIN(DAY('Recurring Schedule'!$F$19),DAY(EOMONTH($A333,0))),MOD((YEAR($A333)-YEAR('Recurring Schedule'!$F$19))*12+MONTH($A333)-MONTH('Recurring Schedule'!$F$19),'Recurring Schedule'!$O$19)=0),IF('Recurring Schedule'!$E$19="Weekdays",WEEKDAY($A333,2)&lt;=5,$A333='Recurring Schedule'!$F$19))),14,""))))</f>
        <v/>
      </c>
      <c r="P333">
        <f>IF('Recurring Schedule'!$C$20="","",IF('Recurring Schedule'!$F$20="","",IF(OR($A333&lt;'Recurring Schedule'!$F$20,$A333&gt;'Recurring Schedule'!$P$20),"",IF(IF('Recurring Schedule'!$N$20&gt;0,MOD($A333-'Recurring Schedule'!$F$20,'Recurring Schedule'!$N$20)=0,IF('Recurring Schedule'!$O$20&gt;0,AND(DAY($A333)=MIN(DAY('Recurring Schedule'!$F$20),DAY(EOMONTH($A333,0))),MOD((YEAR($A333)-YEAR('Recurring Schedule'!$F$20))*12+MONTH($A333)-MONTH('Recurring Schedule'!$F$20),'Recurring Schedule'!$O$20)=0),IF('Recurring Schedule'!$E$20="Weekdays",WEEKDAY($A333,2)&lt;=5,$A333='Recurring Schedule'!$F$20))),15,""))))</f>
        <v/>
      </c>
      <c r="Q333">
        <f>IF('Recurring Schedule'!$C$21="","",IF('Recurring Schedule'!$F$21="","",IF(OR($A333&lt;'Recurring Schedule'!$F$21,$A333&gt;'Recurring Schedule'!$P$21),"",IF(IF('Recurring Schedule'!$N$21&gt;0,MOD($A333-'Recurring Schedule'!$F$21,'Recurring Schedule'!$N$21)=0,IF('Recurring Schedule'!$O$21&gt;0,AND(DAY($A333)=MIN(DAY('Recurring Schedule'!$F$21),DAY(EOMONTH($A333,0))),MOD((YEAR($A333)-YEAR('Recurring Schedule'!$F$21))*12+MONTH($A333)-MONTH('Recurring Schedule'!$F$21),'Recurring Schedule'!$O$21)=0),IF('Recurring Schedule'!$E$21="Weekdays",WEEKDAY($A333,2)&lt;=5,$A333='Recurring Schedule'!$F$21))),16,""))))</f>
        <v/>
      </c>
      <c r="R333">
        <f>IF('Recurring Schedule'!$C$22="","",IF('Recurring Schedule'!$F$22="","",IF(OR($A333&lt;'Recurring Schedule'!$F$22,$A333&gt;'Recurring Schedule'!$P$22),"",IF(IF('Recurring Schedule'!$N$22&gt;0,MOD($A333-'Recurring Schedule'!$F$22,'Recurring Schedule'!$N$22)=0,IF('Recurring Schedule'!$O$22&gt;0,AND(DAY($A333)=MIN(DAY('Recurring Schedule'!$F$22),DAY(EOMONTH($A333,0))),MOD((YEAR($A333)-YEAR('Recurring Schedule'!$F$22))*12+MONTH($A333)-MONTH('Recurring Schedule'!$F$22),'Recurring Schedule'!$O$22)=0),IF('Recurring Schedule'!$E$22="Weekdays",WEEKDAY($A333,2)&lt;=5,$A333='Recurring Schedule'!$F$22))),17,""))))</f>
        <v/>
      </c>
      <c r="S333">
        <f>IF('Recurring Schedule'!$C$23="","",IF('Recurring Schedule'!$F$23="","",IF(OR($A333&lt;'Recurring Schedule'!$F$23,$A333&gt;'Recurring Schedule'!$P$23),"",IF(IF('Recurring Schedule'!$N$23&gt;0,MOD($A333-'Recurring Schedule'!$F$23,'Recurring Schedule'!$N$23)=0,IF('Recurring Schedule'!$O$23&gt;0,AND(DAY($A333)=MIN(DAY('Recurring Schedule'!$F$23),DAY(EOMONTH($A333,0))),MOD((YEAR($A333)-YEAR('Recurring Schedule'!$F$23))*12+MONTH($A333)-MONTH('Recurring Schedule'!$F$23),'Recurring Schedule'!$O$23)=0),IF('Recurring Schedule'!$E$23="Weekdays",WEEKDAY($A333,2)&lt;=5,$A333='Recurring Schedule'!$F$23))),18,""))))</f>
        <v/>
      </c>
      <c r="T333">
        <f>IF('Recurring Schedule'!$C$24="","",IF('Recurring Schedule'!$F$24="","",IF(OR($A333&lt;'Recurring Schedule'!$F$24,$A333&gt;'Recurring Schedule'!$P$24),"",IF(IF('Recurring Schedule'!$N$24&gt;0,MOD($A333-'Recurring Schedule'!$F$24,'Recurring Schedule'!$N$24)=0,IF('Recurring Schedule'!$O$24&gt;0,AND(DAY($A333)=MIN(DAY('Recurring Schedule'!$F$24),DAY(EOMONTH($A333,0))),MOD((YEAR($A333)-YEAR('Recurring Schedule'!$F$24))*12+MONTH($A333)-MONTH('Recurring Schedule'!$F$24),'Recurring Schedule'!$O$24)=0),IF('Recurring Schedule'!$E$24="Weekdays",WEEKDAY($A333,2)&lt;=5,$A333='Recurring Schedule'!$F$24))),19,""))))</f>
        <v/>
      </c>
      <c r="U333">
        <f>IF('Recurring Schedule'!$C$25="","",IF('Recurring Schedule'!$F$25="","",IF(OR($A333&lt;'Recurring Schedule'!$F$25,$A333&gt;'Recurring Schedule'!$P$25),"",IF(IF('Recurring Schedule'!$N$25&gt;0,MOD($A333-'Recurring Schedule'!$F$25,'Recurring Schedule'!$N$25)=0,IF('Recurring Schedule'!$O$25&gt;0,AND(DAY($A333)=MIN(DAY('Recurring Schedule'!$F$25),DAY(EOMONTH($A333,0))),MOD((YEAR($A333)-YEAR('Recurring Schedule'!$F$25))*12+MONTH($A333)-MONTH('Recurring Schedule'!$F$25),'Recurring Schedule'!$O$25)=0),IF('Recurring Schedule'!$E$25="Weekdays",WEEKDAY($A333,2)&lt;=5,$A333='Recurring Schedule'!$F$25))),20,""))))</f>
        <v/>
      </c>
      <c r="V333">
        <f>IF('Recurring Schedule'!$C$26="","",IF('Recurring Schedule'!$F$26="","",IF(OR($A333&lt;'Recurring Schedule'!$F$26,$A333&gt;'Recurring Schedule'!$P$26),"",IF(IF('Recurring Schedule'!$N$26&gt;0,MOD($A333-'Recurring Schedule'!$F$26,'Recurring Schedule'!$N$26)=0,IF('Recurring Schedule'!$O$26&gt;0,AND(DAY($A333)=MIN(DAY('Recurring Schedule'!$F$26),DAY(EOMONTH($A333,0))),MOD((YEAR($A333)-YEAR('Recurring Schedule'!$F$26))*12+MONTH($A333)-MONTH('Recurring Schedule'!$F$26),'Recurring Schedule'!$O$26)=0),IF('Recurring Schedule'!$E$26="Weekdays",WEEKDAY($A333,2)&lt;=5,$A333='Recurring Schedule'!$F$26))),21,""))))</f>
        <v/>
      </c>
      <c r="W333">
        <f>IF('Recurring Schedule'!$C$27="","",IF('Recurring Schedule'!$F$27="","",IF(OR($A333&lt;'Recurring Schedule'!$F$27,$A333&gt;'Recurring Schedule'!$P$27),"",IF(IF('Recurring Schedule'!$N$27&gt;0,MOD($A333-'Recurring Schedule'!$F$27,'Recurring Schedule'!$N$27)=0,IF('Recurring Schedule'!$O$27&gt;0,AND(DAY($A333)=MIN(DAY('Recurring Schedule'!$F$27),DAY(EOMONTH($A333,0))),MOD((YEAR($A333)-YEAR('Recurring Schedule'!$F$27))*12+MONTH($A333)-MONTH('Recurring Schedule'!$F$27),'Recurring Schedule'!$O$27)=0),IF('Recurring Schedule'!$E$27="Weekdays",WEEKDAY($A333,2)&lt;=5,$A333='Recurring Schedule'!$F$27))),22,""))))</f>
        <v/>
      </c>
      <c r="X333">
        <f>IF('Recurring Schedule'!$C$28="","",IF('Recurring Schedule'!$F$28="","",IF(OR($A333&lt;'Recurring Schedule'!$F$28,$A333&gt;'Recurring Schedule'!$P$28),"",IF(IF('Recurring Schedule'!$N$28&gt;0,MOD($A333-'Recurring Schedule'!$F$28,'Recurring Schedule'!$N$28)=0,IF('Recurring Schedule'!$O$28&gt;0,AND(DAY($A333)=MIN(DAY('Recurring Schedule'!$F$28),DAY(EOMONTH($A333,0))),MOD((YEAR($A333)-YEAR('Recurring Schedule'!$F$28))*12+MONTH($A333)-MONTH('Recurring Schedule'!$F$28),'Recurring Schedule'!$O$28)=0),IF('Recurring Schedule'!$E$28="Weekdays",WEEKDAY($A333,2)&lt;=5,$A333='Recurring Schedule'!$F$28))),23,""))))</f>
        <v/>
      </c>
      <c r="Y333">
        <f>IF('Recurring Schedule'!$C$29="","",IF('Recurring Schedule'!$F$29="","",IF(OR($A333&lt;'Recurring Schedule'!$F$29,$A333&gt;'Recurring Schedule'!$P$29),"",IF(IF('Recurring Schedule'!$N$29&gt;0,MOD($A333-'Recurring Schedule'!$F$29,'Recurring Schedule'!$N$29)=0,IF('Recurring Schedule'!$O$29&gt;0,AND(DAY($A333)=MIN(DAY('Recurring Schedule'!$F$29),DAY(EOMONTH($A333,0))),MOD((YEAR($A333)-YEAR('Recurring Schedule'!$F$29))*12+MONTH($A333)-MONTH('Recurring Schedule'!$F$29),'Recurring Schedule'!$O$29)=0),IF('Recurring Schedule'!$E$29="Weekdays",WEEKDAY($A333,2)&lt;=5,$A333='Recurring Schedule'!$F$29))),24,""))))</f>
        <v/>
      </c>
      <c r="Z333">
        <f>IF('Recurring Schedule'!$C$30="","",IF('Recurring Schedule'!$F$30="","",IF(OR($A333&lt;'Recurring Schedule'!$F$30,$A333&gt;'Recurring Schedule'!$P$30),"",IF(IF('Recurring Schedule'!$N$30&gt;0,MOD($A333-'Recurring Schedule'!$F$30,'Recurring Schedule'!$N$30)=0,IF('Recurring Schedule'!$O$30&gt;0,AND(DAY($A333)=MIN(DAY('Recurring Schedule'!$F$30),DAY(EOMONTH($A333,0))),MOD((YEAR($A333)-YEAR('Recurring Schedule'!$F$30))*12+MONTH($A333)-MONTH('Recurring Schedule'!$F$30),'Recurring Schedule'!$O$30)=0),IF('Recurring Schedule'!$E$30="Weekdays",WEEKDAY($A333,2)&lt;=5,$A333='Recurring Schedule'!$F$30))),25,""))))</f>
        <v/>
      </c>
      <c r="AA333">
        <f>IF('Recurring Schedule'!$C$31="","",IF('Recurring Schedule'!$F$31="","",IF(OR($A333&lt;'Recurring Schedule'!$F$31,$A333&gt;'Recurring Schedule'!$P$31),"",IF(IF('Recurring Schedule'!$N$31&gt;0,MOD($A333-'Recurring Schedule'!$F$31,'Recurring Schedule'!$N$31)=0,IF('Recurring Schedule'!$O$31&gt;0,AND(DAY($A333)=MIN(DAY('Recurring Schedule'!$F$31),DAY(EOMONTH($A333,0))),MOD((YEAR($A333)-YEAR('Recurring Schedule'!$F$31))*12+MONTH($A333)-MONTH('Recurring Schedule'!$F$31),'Recurring Schedule'!$O$31)=0),IF('Recurring Schedule'!$E$31="Weekdays",WEEKDAY($A333,2)&lt;=5,$A333='Recurring Schedule'!$F$31))),26,""))))</f>
        <v/>
      </c>
      <c r="AB333">
        <f>IF('Recurring Schedule'!$C$32="","",IF('Recurring Schedule'!$F$32="","",IF(OR($A333&lt;'Recurring Schedule'!$F$32,$A333&gt;'Recurring Schedule'!$P$32),"",IF(IF('Recurring Schedule'!$N$32&gt;0,MOD($A333-'Recurring Schedule'!$F$32,'Recurring Schedule'!$N$32)=0,IF('Recurring Schedule'!$O$32&gt;0,AND(DAY($A333)=MIN(DAY('Recurring Schedule'!$F$32),DAY(EOMONTH($A333,0))),MOD((YEAR($A333)-YEAR('Recurring Schedule'!$F$32))*12+MONTH($A333)-MONTH('Recurring Schedule'!$F$32),'Recurring Schedule'!$O$32)=0),IF('Recurring Schedule'!$E$32="Weekdays",WEEKDAY($A333,2)&lt;=5,$A333='Recurring Schedule'!$F$32))),27,""))))</f>
        <v/>
      </c>
      <c r="AC333">
        <f>IF('Recurring Schedule'!$C$33="","",IF('Recurring Schedule'!$F$33="","",IF(OR($A333&lt;'Recurring Schedule'!$F$33,$A333&gt;'Recurring Schedule'!$P$33),"",IF(IF('Recurring Schedule'!$N$33&gt;0,MOD($A333-'Recurring Schedule'!$F$33,'Recurring Schedule'!$N$33)=0,IF('Recurring Schedule'!$O$33&gt;0,AND(DAY($A333)=MIN(DAY('Recurring Schedule'!$F$33),DAY(EOMONTH($A333,0))),MOD((YEAR($A333)-YEAR('Recurring Schedule'!$F$33))*12+MONTH($A333)-MONTH('Recurring Schedule'!$F$33),'Recurring Schedule'!$O$33)=0),IF('Recurring Schedule'!$E$33="Weekdays",WEEKDAY($A333,2)&lt;=5,$A333='Recurring Schedule'!$F$33))),28,""))))</f>
        <v/>
      </c>
      <c r="AD333">
        <f>IF('Recurring Schedule'!$C$34="","",IF('Recurring Schedule'!$F$34="","",IF(OR($A333&lt;'Recurring Schedule'!$F$34,$A333&gt;'Recurring Schedule'!$P$34),"",IF(IF('Recurring Schedule'!$N$34&gt;0,MOD($A333-'Recurring Schedule'!$F$34,'Recurring Schedule'!$N$34)=0,IF('Recurring Schedule'!$O$34&gt;0,AND(DAY($A333)=MIN(DAY('Recurring Schedule'!$F$34),DAY(EOMONTH($A333,0))),MOD((YEAR($A333)-YEAR('Recurring Schedule'!$F$34))*12+MONTH($A333)-MONTH('Recurring Schedule'!$F$34),'Recurring Schedule'!$O$34)=0),IF('Recurring Schedule'!$E$34="Weekdays",WEEKDAY($A333,2)&lt;=5,$A333='Recurring Schedule'!$F$34))),29,""))))</f>
        <v/>
      </c>
      <c r="AE333">
        <f>IF('Recurring Schedule'!$C$35="","",IF('Recurring Schedule'!$F$35="","",IF(OR($A333&lt;'Recurring Schedule'!$F$35,$A333&gt;'Recurring Schedule'!$P$35),"",IF(IF('Recurring Schedule'!$N$35&gt;0,MOD($A333-'Recurring Schedule'!$F$35,'Recurring Schedule'!$N$35)=0,IF('Recurring Schedule'!$O$35&gt;0,AND(DAY($A333)=MIN(DAY('Recurring Schedule'!$F$35),DAY(EOMONTH($A333,0))),MOD((YEAR($A333)-YEAR('Recurring Schedule'!$F$35))*12+MONTH($A333)-MONTH('Recurring Schedule'!$F$35),'Recurring Schedule'!$O$35)=0),IF('Recurring Schedule'!$E$35="Weekdays",WEEKDAY($A333,2)&lt;=5,$A333='Recurring Schedule'!$F$35))),30,""))))</f>
        <v/>
      </c>
      <c r="AF333">
        <f>IF('Recurring Schedule'!$C$36="","",IF('Recurring Schedule'!$F$36="","",IF(OR($A333&lt;'Recurring Schedule'!$F$36,$A333&gt;'Recurring Schedule'!$P$36),"",IF(IF('Recurring Schedule'!$N$36&gt;0,MOD($A333-'Recurring Schedule'!$F$36,'Recurring Schedule'!$N$36)=0,IF('Recurring Schedule'!$O$36&gt;0,AND(DAY($A333)=MIN(DAY('Recurring Schedule'!$F$36),DAY(EOMONTH($A333,0))),MOD((YEAR($A333)-YEAR('Recurring Schedule'!$F$36))*12+MONTH($A333)-MONTH('Recurring Schedule'!$F$36),'Recurring Schedule'!$O$36)=0),IF('Recurring Schedule'!$E$36="Weekdays",WEEKDAY($A333,2)&lt;=5,$A333='Recurring Schedule'!$F$36))),31,""))))</f>
        <v/>
      </c>
      <c r="AG333">
        <f>IF('Recurring Schedule'!$C$37="","",IF('Recurring Schedule'!$F$37="","",IF(OR($A333&lt;'Recurring Schedule'!$F$37,$A333&gt;'Recurring Schedule'!$P$37),"",IF(IF('Recurring Schedule'!$N$37&gt;0,MOD($A333-'Recurring Schedule'!$F$37,'Recurring Schedule'!$N$37)=0,IF('Recurring Schedule'!$O$37&gt;0,AND(DAY($A333)=MIN(DAY('Recurring Schedule'!$F$37),DAY(EOMONTH($A333,0))),MOD((YEAR($A333)-YEAR('Recurring Schedule'!$F$37))*12+MONTH($A333)-MONTH('Recurring Schedule'!$F$37),'Recurring Schedule'!$O$37)=0),IF('Recurring Schedule'!$E$37="Weekdays",WEEKDAY($A333,2)&lt;=5,$A333='Recurring Schedule'!$F$37))),32,""))))</f>
        <v/>
      </c>
      <c r="AH333">
        <f>IF('Recurring Schedule'!$C$38="","",IF('Recurring Schedule'!$F$38="","",IF(OR($A333&lt;'Recurring Schedule'!$F$38,$A333&gt;'Recurring Schedule'!$P$38),"",IF(IF('Recurring Schedule'!$N$38&gt;0,MOD($A333-'Recurring Schedule'!$F$38,'Recurring Schedule'!$N$38)=0,IF('Recurring Schedule'!$O$38&gt;0,AND(DAY($A333)=MIN(DAY('Recurring Schedule'!$F$38),DAY(EOMONTH($A333,0))),MOD((YEAR($A333)-YEAR('Recurring Schedule'!$F$38))*12+MONTH($A333)-MONTH('Recurring Schedule'!$F$38),'Recurring Schedule'!$O$38)=0),IF('Recurring Schedule'!$E$38="Weekdays",WEEKDAY($A333,2)&lt;=5,$A333='Recurring Schedule'!$F$38))),33,""))))</f>
        <v/>
      </c>
      <c r="AI333">
        <f>IF('Recurring Schedule'!$C$39="","",IF('Recurring Schedule'!$F$39="","",IF(OR($A333&lt;'Recurring Schedule'!$F$39,$A333&gt;'Recurring Schedule'!$P$39),"",IF(IF('Recurring Schedule'!$N$39&gt;0,MOD($A333-'Recurring Schedule'!$F$39,'Recurring Schedule'!$N$39)=0,IF('Recurring Schedule'!$O$39&gt;0,AND(DAY($A333)=MIN(DAY('Recurring Schedule'!$F$39),DAY(EOMONTH($A333,0))),MOD((YEAR($A333)-YEAR('Recurring Schedule'!$F$39))*12+MONTH($A333)-MONTH('Recurring Schedule'!$F$39),'Recurring Schedule'!$O$39)=0),IF('Recurring Schedule'!$E$39="Weekdays",WEEKDAY($A333,2)&lt;=5,$A333='Recurring Schedule'!$F$39))),34,""))))</f>
        <v/>
      </c>
      <c r="AJ333">
        <f>IF('Recurring Schedule'!$C$40="","",IF('Recurring Schedule'!$F$40="","",IF(OR($A333&lt;'Recurring Schedule'!$F$40,$A333&gt;'Recurring Schedule'!$P$40),"",IF(IF('Recurring Schedule'!$N$40&gt;0,MOD($A333-'Recurring Schedule'!$F$40,'Recurring Schedule'!$N$40)=0,IF('Recurring Schedule'!$O$40&gt;0,AND(DAY($A333)=MIN(DAY('Recurring Schedule'!$F$40),DAY(EOMONTH($A333,0))),MOD((YEAR($A333)-YEAR('Recurring Schedule'!$F$40))*12+MONTH($A333)-MONTH('Recurring Schedule'!$F$40),'Recurring Schedule'!$O$40)=0),IF('Recurring Schedule'!$E$40="Weekdays",WEEKDAY($A333,2)&lt;=5,$A333='Recurring Schedule'!$F$40))),35,""))))</f>
        <v/>
      </c>
      <c r="AK333">
        <f>IF('Recurring Schedule'!$C$41="","",IF('Recurring Schedule'!$F$41="","",IF(OR($A333&lt;'Recurring Schedule'!$F$41,$A333&gt;'Recurring Schedule'!$P$41),"",IF(IF('Recurring Schedule'!$N$41&gt;0,MOD($A333-'Recurring Schedule'!$F$41,'Recurring Schedule'!$N$41)=0,IF('Recurring Schedule'!$O$41&gt;0,AND(DAY($A333)=MIN(DAY('Recurring Schedule'!$F$41),DAY(EOMONTH($A333,0))),MOD((YEAR($A333)-YEAR('Recurring Schedule'!$F$41))*12+MONTH($A333)-MONTH('Recurring Schedule'!$F$41),'Recurring Schedule'!$O$41)=0),IF('Recurring Schedule'!$E$41="Weekdays",WEEKDAY($A333,2)&lt;=5,$A333='Recurring Schedule'!$F$41))),36,""))))</f>
        <v/>
      </c>
      <c r="AL333">
        <f>IF('Recurring Schedule'!$C$42="","",IF('Recurring Schedule'!$F$42="","",IF(OR($A333&lt;'Recurring Schedule'!$F$42,$A333&gt;'Recurring Schedule'!$P$42),"",IF(IF('Recurring Schedule'!$N$42&gt;0,MOD($A333-'Recurring Schedule'!$F$42,'Recurring Schedule'!$N$42)=0,IF('Recurring Schedule'!$O$42&gt;0,AND(DAY($A333)=MIN(DAY('Recurring Schedule'!$F$42),DAY(EOMONTH($A333,0))),MOD((YEAR($A333)-YEAR('Recurring Schedule'!$F$42))*12+MONTH($A333)-MONTH('Recurring Schedule'!$F$42),'Recurring Schedule'!$O$42)=0),IF('Recurring Schedule'!$E$42="Weekdays",WEEKDAY($A333,2)&lt;=5,$A333='Recurring Schedule'!$F$42))),37,""))))</f>
        <v/>
      </c>
      <c r="AM333">
        <f>IF('Recurring Schedule'!$C$43="","",IF('Recurring Schedule'!$F$43="","",IF(OR($A333&lt;'Recurring Schedule'!$F$43,$A333&gt;'Recurring Schedule'!$P$43),"",IF(IF('Recurring Schedule'!$N$43&gt;0,MOD($A333-'Recurring Schedule'!$F$43,'Recurring Schedule'!$N$43)=0,IF('Recurring Schedule'!$O$43&gt;0,AND(DAY($A333)=MIN(DAY('Recurring Schedule'!$F$43),DAY(EOMONTH($A333,0))),MOD((YEAR($A333)-YEAR('Recurring Schedule'!$F$43))*12+MONTH($A333)-MONTH('Recurring Schedule'!$F$43),'Recurring Schedule'!$O$43)=0),IF('Recurring Schedule'!$E$43="Weekdays",WEEKDAY($A333,2)&lt;=5,$A333='Recurring Schedule'!$F$43))),38,""))))</f>
        <v/>
      </c>
      <c r="AN333">
        <f>IF('Recurring Schedule'!$C$44="","",IF('Recurring Schedule'!$F$44="","",IF(OR($A333&lt;'Recurring Schedule'!$F$44,$A333&gt;'Recurring Schedule'!$P$44),"",IF(IF('Recurring Schedule'!$N$44&gt;0,MOD($A333-'Recurring Schedule'!$F$44,'Recurring Schedule'!$N$44)=0,IF('Recurring Schedule'!$O$44&gt;0,AND(DAY($A333)=MIN(DAY('Recurring Schedule'!$F$44),DAY(EOMONTH($A333,0))),MOD((YEAR($A333)-YEAR('Recurring Schedule'!$F$44))*12+MONTH($A333)-MONTH('Recurring Schedule'!$F$44),'Recurring Schedule'!$O$44)=0),IF('Recurring Schedule'!$E$44="Weekdays",WEEKDAY($A333,2)&lt;=5,$A333='Recurring Schedule'!$F$44))),39,""))))</f>
        <v/>
      </c>
      <c r="AO333">
        <f>IF('Recurring Schedule'!$C$45="","",IF('Recurring Schedule'!$F$45="","",IF(OR($A333&lt;'Recurring Schedule'!$F$45,$A333&gt;'Recurring Schedule'!$P$45),"",IF(IF('Recurring Schedule'!$N$45&gt;0,MOD($A333-'Recurring Schedule'!$F$45,'Recurring Schedule'!$N$45)=0,IF('Recurring Schedule'!$O$45&gt;0,AND(DAY($A333)=MIN(DAY('Recurring Schedule'!$F$45),DAY(EOMONTH($A333,0))),MOD((YEAR($A333)-YEAR('Recurring Schedule'!$F$45))*12+MONTH($A333)-MONTH('Recurring Schedule'!$F$45),'Recurring Schedule'!$O$45)=0),IF('Recurring Schedule'!$E$45="Weekdays",WEEKDAY($A333,2)&lt;=5,$A333='Recurring Schedule'!$F$45))),40,""))))</f>
        <v/>
      </c>
      <c r="AP333">
        <f>COUNT(B333:AO333)</f>
        <v/>
      </c>
      <c r="AQ333">
        <f>AQ332+AP332</f>
        <v/>
      </c>
      <c r="AS333" t="inlineStr">
        <is>
          <t>R</t>
        </is>
      </c>
      <c r="AT333" t="n">
        <v>337</v>
      </c>
      <c r="AU333">
        <f>'Recurring Log'!C337&amp;""</f>
        <v/>
      </c>
      <c r="AV333">
        <f>'Recurring Log'!D337&amp;""</f>
        <v/>
      </c>
      <c r="AW333">
        <f>IF('Recurring Log'!E337="","",'Recurring Log'!E337)</f>
        <v/>
      </c>
      <c r="AX333">
        <f>IF('Recurring Log'!G337="","",'Recurring Log'!G337)</f>
        <v/>
      </c>
      <c r="AY333">
        <f>IF('Recurring Log'!H337="","",'Recurring Log'!H337)</f>
        <v/>
      </c>
      <c r="AZ333">
        <f>IF(AU333="","",IF('Recurring Log'!J337="","Not Started",'Recurring Log'!J337))</f>
        <v/>
      </c>
      <c r="BA333">
        <f>'Recurring Log'!L337&amp;""</f>
        <v/>
      </c>
      <c r="BB333">
        <f>'Recurring Log'!M337&amp;""</f>
        <v/>
      </c>
      <c r="BC333">
        <f>'Recurring Log'!N337&amp;""</f>
        <v/>
      </c>
      <c r="BD333">
        <f>'Recurring Log'!O337&amp;""</f>
        <v/>
      </c>
      <c r="BE333">
        <f>IF('Recurring Log'!K337="","",'Recurring Log'!K337)</f>
        <v/>
      </c>
      <c r="BF333">
        <f>IFERROR(MATCH(BA333,Setup!$L$6:$L$9,0),5)</f>
        <v/>
      </c>
      <c r="BG333">
        <f>IF(OR(AZ333="Done",AZ333="Cancelled"),1,0)</f>
        <v/>
      </c>
      <c r="BH333">
        <f>IF(AND(AU333&lt;&gt;"",ISNUMBER(AW333)),1,0)</f>
        <v/>
      </c>
      <c r="BI333">
        <f>IF(BH333=0,0,IF(AND(AW333&gt;='Tasks Filter'!$F$3,AW333&lt;='Tasks Filter'!$F$4,OR('Tasks Filter'!$I$3="",ISNUMBER(SEARCH('Tasks Filter'!$I$3,AU333))),OR('Tasks Filter'!$I$4="",BF333=IFERROR(MATCH('Tasks Filter'!$I$4,Setup!$L$6:$L$9,0),0)),OR('Tasks Filter'!$I$5="Both",AND('Tasks Filter'!$I$5="Yes",BB333="✓"),AND('Tasks Filter'!$I$5="No",BB333&lt;&gt;"✓")),OR('Tasks Filter'!$L$3="",AV333='Tasks Filter'!$L$3),OR('Tasks Filter'!$L$4="",AZ333='Tasks Filter'!$L$4),OR('Tasks Filter'!$L$5="",BC333='Tasks Filter'!$L$5),OR('Tasks Filter'!$O$3="",BD333='Tasks Filter'!$O$3),OR('Tasks Filter'!$O$4="Yes",BG333=0)),1,0))</f>
        <v/>
      </c>
      <c r="BJ333">
        <f>IF(BH333=0,"",IF('Tasks Filter'!$F$6="Descending",-1,1)*CHOOSE(MATCH('Tasks Filter'!$F$5,Lists!$G$2:$G$6,0),AW333,BF333,IFERROR(MATCH(AV333,Setup!$F$6:$F$15,0),99),IFERROR(MATCH(BC333,Setup!$H$6:$H$15,0),99),IFERROR(MATCH(AZ333,Setup!$J$6:$J$11,0),99))*1E+9+(AW333-40000)*10000+332)</f>
        <v/>
      </c>
      <c r="BK333">
        <f>IF(BI333=1,BJ333,"")</f>
        <v/>
      </c>
      <c r="BL333">
        <f>IF(AND(BH333=1,BG333=0,N(AW333)&lt;Setup!$D$7),(AW333-40000)*10000+332,"")</f>
        <v/>
      </c>
      <c r="BM333">
        <f>IF(AND(BH333=1,AZ333&lt;&gt;"Cancelled",N(AW333)&gt;=Dashboard!$AB$3,N(AW333)&lt;=Dashboard!$AB$3+6),(AW333-40000)*100000+BF333*10000+332,"")</f>
        <v/>
      </c>
      <c r="BN333">
        <f>IF(AND(BH333=1,AZ333&lt;&gt;"Cancelled"),BF333*10000+332,"")</f>
        <v/>
      </c>
    </row>
    <row r="334">
      <c r="A334">
        <f>Setup!$D$5+332</f>
        <v/>
      </c>
      <c r="B334">
        <f>IF('Recurring Schedule'!$C$6="","",IF('Recurring Schedule'!$F$6="","",IF(OR($A334&lt;'Recurring Schedule'!$F$6,$A334&gt;'Recurring Schedule'!$P$6),"",IF(IF('Recurring Schedule'!$N$6&gt;0,MOD($A334-'Recurring Schedule'!$F$6,'Recurring Schedule'!$N$6)=0,IF('Recurring Schedule'!$O$6&gt;0,AND(DAY($A334)=MIN(DAY('Recurring Schedule'!$F$6),DAY(EOMONTH($A334,0))),MOD((YEAR($A334)-YEAR('Recurring Schedule'!$F$6))*12+MONTH($A334)-MONTH('Recurring Schedule'!$F$6),'Recurring Schedule'!$O$6)=0),IF('Recurring Schedule'!$E$6="Weekdays",WEEKDAY($A334,2)&lt;=5,$A334='Recurring Schedule'!$F$6))),1,""))))</f>
        <v/>
      </c>
      <c r="C334">
        <f>IF('Recurring Schedule'!$C$7="","",IF('Recurring Schedule'!$F$7="","",IF(OR($A334&lt;'Recurring Schedule'!$F$7,$A334&gt;'Recurring Schedule'!$P$7),"",IF(IF('Recurring Schedule'!$N$7&gt;0,MOD($A334-'Recurring Schedule'!$F$7,'Recurring Schedule'!$N$7)=0,IF('Recurring Schedule'!$O$7&gt;0,AND(DAY($A334)=MIN(DAY('Recurring Schedule'!$F$7),DAY(EOMONTH($A334,0))),MOD((YEAR($A334)-YEAR('Recurring Schedule'!$F$7))*12+MONTH($A334)-MONTH('Recurring Schedule'!$F$7),'Recurring Schedule'!$O$7)=0),IF('Recurring Schedule'!$E$7="Weekdays",WEEKDAY($A334,2)&lt;=5,$A334='Recurring Schedule'!$F$7))),2,""))))</f>
        <v/>
      </c>
      <c r="D334">
        <f>IF('Recurring Schedule'!$C$8="","",IF('Recurring Schedule'!$F$8="","",IF(OR($A334&lt;'Recurring Schedule'!$F$8,$A334&gt;'Recurring Schedule'!$P$8),"",IF(IF('Recurring Schedule'!$N$8&gt;0,MOD($A334-'Recurring Schedule'!$F$8,'Recurring Schedule'!$N$8)=0,IF('Recurring Schedule'!$O$8&gt;0,AND(DAY($A334)=MIN(DAY('Recurring Schedule'!$F$8),DAY(EOMONTH($A334,0))),MOD((YEAR($A334)-YEAR('Recurring Schedule'!$F$8))*12+MONTH($A334)-MONTH('Recurring Schedule'!$F$8),'Recurring Schedule'!$O$8)=0),IF('Recurring Schedule'!$E$8="Weekdays",WEEKDAY($A334,2)&lt;=5,$A334='Recurring Schedule'!$F$8))),3,""))))</f>
        <v/>
      </c>
      <c r="E334">
        <f>IF('Recurring Schedule'!$C$9="","",IF('Recurring Schedule'!$F$9="","",IF(OR($A334&lt;'Recurring Schedule'!$F$9,$A334&gt;'Recurring Schedule'!$P$9),"",IF(IF('Recurring Schedule'!$N$9&gt;0,MOD($A334-'Recurring Schedule'!$F$9,'Recurring Schedule'!$N$9)=0,IF('Recurring Schedule'!$O$9&gt;0,AND(DAY($A334)=MIN(DAY('Recurring Schedule'!$F$9),DAY(EOMONTH($A334,0))),MOD((YEAR($A334)-YEAR('Recurring Schedule'!$F$9))*12+MONTH($A334)-MONTH('Recurring Schedule'!$F$9),'Recurring Schedule'!$O$9)=0),IF('Recurring Schedule'!$E$9="Weekdays",WEEKDAY($A334,2)&lt;=5,$A334='Recurring Schedule'!$F$9))),4,""))))</f>
        <v/>
      </c>
      <c r="F334">
        <f>IF('Recurring Schedule'!$C$10="","",IF('Recurring Schedule'!$F$10="","",IF(OR($A334&lt;'Recurring Schedule'!$F$10,$A334&gt;'Recurring Schedule'!$P$10),"",IF(IF('Recurring Schedule'!$N$10&gt;0,MOD($A334-'Recurring Schedule'!$F$10,'Recurring Schedule'!$N$10)=0,IF('Recurring Schedule'!$O$10&gt;0,AND(DAY($A334)=MIN(DAY('Recurring Schedule'!$F$10),DAY(EOMONTH($A334,0))),MOD((YEAR($A334)-YEAR('Recurring Schedule'!$F$10))*12+MONTH($A334)-MONTH('Recurring Schedule'!$F$10),'Recurring Schedule'!$O$10)=0),IF('Recurring Schedule'!$E$10="Weekdays",WEEKDAY($A334,2)&lt;=5,$A334='Recurring Schedule'!$F$10))),5,""))))</f>
        <v/>
      </c>
      <c r="G334">
        <f>IF('Recurring Schedule'!$C$11="","",IF('Recurring Schedule'!$F$11="","",IF(OR($A334&lt;'Recurring Schedule'!$F$11,$A334&gt;'Recurring Schedule'!$P$11),"",IF(IF('Recurring Schedule'!$N$11&gt;0,MOD($A334-'Recurring Schedule'!$F$11,'Recurring Schedule'!$N$11)=0,IF('Recurring Schedule'!$O$11&gt;0,AND(DAY($A334)=MIN(DAY('Recurring Schedule'!$F$11),DAY(EOMONTH($A334,0))),MOD((YEAR($A334)-YEAR('Recurring Schedule'!$F$11))*12+MONTH($A334)-MONTH('Recurring Schedule'!$F$11),'Recurring Schedule'!$O$11)=0),IF('Recurring Schedule'!$E$11="Weekdays",WEEKDAY($A334,2)&lt;=5,$A334='Recurring Schedule'!$F$11))),6,""))))</f>
        <v/>
      </c>
      <c r="H334">
        <f>IF('Recurring Schedule'!$C$12="","",IF('Recurring Schedule'!$F$12="","",IF(OR($A334&lt;'Recurring Schedule'!$F$12,$A334&gt;'Recurring Schedule'!$P$12),"",IF(IF('Recurring Schedule'!$N$12&gt;0,MOD($A334-'Recurring Schedule'!$F$12,'Recurring Schedule'!$N$12)=0,IF('Recurring Schedule'!$O$12&gt;0,AND(DAY($A334)=MIN(DAY('Recurring Schedule'!$F$12),DAY(EOMONTH($A334,0))),MOD((YEAR($A334)-YEAR('Recurring Schedule'!$F$12))*12+MONTH($A334)-MONTH('Recurring Schedule'!$F$12),'Recurring Schedule'!$O$12)=0),IF('Recurring Schedule'!$E$12="Weekdays",WEEKDAY($A334,2)&lt;=5,$A334='Recurring Schedule'!$F$12))),7,""))))</f>
        <v/>
      </c>
      <c r="I334">
        <f>IF('Recurring Schedule'!$C$13="","",IF('Recurring Schedule'!$F$13="","",IF(OR($A334&lt;'Recurring Schedule'!$F$13,$A334&gt;'Recurring Schedule'!$P$13),"",IF(IF('Recurring Schedule'!$N$13&gt;0,MOD($A334-'Recurring Schedule'!$F$13,'Recurring Schedule'!$N$13)=0,IF('Recurring Schedule'!$O$13&gt;0,AND(DAY($A334)=MIN(DAY('Recurring Schedule'!$F$13),DAY(EOMONTH($A334,0))),MOD((YEAR($A334)-YEAR('Recurring Schedule'!$F$13))*12+MONTH($A334)-MONTH('Recurring Schedule'!$F$13),'Recurring Schedule'!$O$13)=0),IF('Recurring Schedule'!$E$13="Weekdays",WEEKDAY($A334,2)&lt;=5,$A334='Recurring Schedule'!$F$13))),8,""))))</f>
        <v/>
      </c>
      <c r="J334">
        <f>IF('Recurring Schedule'!$C$14="","",IF('Recurring Schedule'!$F$14="","",IF(OR($A334&lt;'Recurring Schedule'!$F$14,$A334&gt;'Recurring Schedule'!$P$14),"",IF(IF('Recurring Schedule'!$N$14&gt;0,MOD($A334-'Recurring Schedule'!$F$14,'Recurring Schedule'!$N$14)=0,IF('Recurring Schedule'!$O$14&gt;0,AND(DAY($A334)=MIN(DAY('Recurring Schedule'!$F$14),DAY(EOMONTH($A334,0))),MOD((YEAR($A334)-YEAR('Recurring Schedule'!$F$14))*12+MONTH($A334)-MONTH('Recurring Schedule'!$F$14),'Recurring Schedule'!$O$14)=0),IF('Recurring Schedule'!$E$14="Weekdays",WEEKDAY($A334,2)&lt;=5,$A334='Recurring Schedule'!$F$14))),9,""))))</f>
        <v/>
      </c>
      <c r="K334">
        <f>IF('Recurring Schedule'!$C$15="","",IF('Recurring Schedule'!$F$15="","",IF(OR($A334&lt;'Recurring Schedule'!$F$15,$A334&gt;'Recurring Schedule'!$P$15),"",IF(IF('Recurring Schedule'!$N$15&gt;0,MOD($A334-'Recurring Schedule'!$F$15,'Recurring Schedule'!$N$15)=0,IF('Recurring Schedule'!$O$15&gt;0,AND(DAY($A334)=MIN(DAY('Recurring Schedule'!$F$15),DAY(EOMONTH($A334,0))),MOD((YEAR($A334)-YEAR('Recurring Schedule'!$F$15))*12+MONTH($A334)-MONTH('Recurring Schedule'!$F$15),'Recurring Schedule'!$O$15)=0),IF('Recurring Schedule'!$E$15="Weekdays",WEEKDAY($A334,2)&lt;=5,$A334='Recurring Schedule'!$F$15))),10,""))))</f>
        <v/>
      </c>
      <c r="L334">
        <f>IF('Recurring Schedule'!$C$16="","",IF('Recurring Schedule'!$F$16="","",IF(OR($A334&lt;'Recurring Schedule'!$F$16,$A334&gt;'Recurring Schedule'!$P$16),"",IF(IF('Recurring Schedule'!$N$16&gt;0,MOD($A334-'Recurring Schedule'!$F$16,'Recurring Schedule'!$N$16)=0,IF('Recurring Schedule'!$O$16&gt;0,AND(DAY($A334)=MIN(DAY('Recurring Schedule'!$F$16),DAY(EOMONTH($A334,0))),MOD((YEAR($A334)-YEAR('Recurring Schedule'!$F$16))*12+MONTH($A334)-MONTH('Recurring Schedule'!$F$16),'Recurring Schedule'!$O$16)=0),IF('Recurring Schedule'!$E$16="Weekdays",WEEKDAY($A334,2)&lt;=5,$A334='Recurring Schedule'!$F$16))),11,""))))</f>
        <v/>
      </c>
      <c r="M334">
        <f>IF('Recurring Schedule'!$C$17="","",IF('Recurring Schedule'!$F$17="","",IF(OR($A334&lt;'Recurring Schedule'!$F$17,$A334&gt;'Recurring Schedule'!$P$17),"",IF(IF('Recurring Schedule'!$N$17&gt;0,MOD($A334-'Recurring Schedule'!$F$17,'Recurring Schedule'!$N$17)=0,IF('Recurring Schedule'!$O$17&gt;0,AND(DAY($A334)=MIN(DAY('Recurring Schedule'!$F$17),DAY(EOMONTH($A334,0))),MOD((YEAR($A334)-YEAR('Recurring Schedule'!$F$17))*12+MONTH($A334)-MONTH('Recurring Schedule'!$F$17),'Recurring Schedule'!$O$17)=0),IF('Recurring Schedule'!$E$17="Weekdays",WEEKDAY($A334,2)&lt;=5,$A334='Recurring Schedule'!$F$17))),12,""))))</f>
        <v/>
      </c>
      <c r="N334">
        <f>IF('Recurring Schedule'!$C$18="","",IF('Recurring Schedule'!$F$18="","",IF(OR($A334&lt;'Recurring Schedule'!$F$18,$A334&gt;'Recurring Schedule'!$P$18),"",IF(IF('Recurring Schedule'!$N$18&gt;0,MOD($A334-'Recurring Schedule'!$F$18,'Recurring Schedule'!$N$18)=0,IF('Recurring Schedule'!$O$18&gt;0,AND(DAY($A334)=MIN(DAY('Recurring Schedule'!$F$18),DAY(EOMONTH($A334,0))),MOD((YEAR($A334)-YEAR('Recurring Schedule'!$F$18))*12+MONTH($A334)-MONTH('Recurring Schedule'!$F$18),'Recurring Schedule'!$O$18)=0),IF('Recurring Schedule'!$E$18="Weekdays",WEEKDAY($A334,2)&lt;=5,$A334='Recurring Schedule'!$F$18))),13,""))))</f>
        <v/>
      </c>
      <c r="O334">
        <f>IF('Recurring Schedule'!$C$19="","",IF('Recurring Schedule'!$F$19="","",IF(OR($A334&lt;'Recurring Schedule'!$F$19,$A334&gt;'Recurring Schedule'!$P$19),"",IF(IF('Recurring Schedule'!$N$19&gt;0,MOD($A334-'Recurring Schedule'!$F$19,'Recurring Schedule'!$N$19)=0,IF('Recurring Schedule'!$O$19&gt;0,AND(DAY($A334)=MIN(DAY('Recurring Schedule'!$F$19),DAY(EOMONTH($A334,0))),MOD((YEAR($A334)-YEAR('Recurring Schedule'!$F$19))*12+MONTH($A334)-MONTH('Recurring Schedule'!$F$19),'Recurring Schedule'!$O$19)=0),IF('Recurring Schedule'!$E$19="Weekdays",WEEKDAY($A334,2)&lt;=5,$A334='Recurring Schedule'!$F$19))),14,""))))</f>
        <v/>
      </c>
      <c r="P334">
        <f>IF('Recurring Schedule'!$C$20="","",IF('Recurring Schedule'!$F$20="","",IF(OR($A334&lt;'Recurring Schedule'!$F$20,$A334&gt;'Recurring Schedule'!$P$20),"",IF(IF('Recurring Schedule'!$N$20&gt;0,MOD($A334-'Recurring Schedule'!$F$20,'Recurring Schedule'!$N$20)=0,IF('Recurring Schedule'!$O$20&gt;0,AND(DAY($A334)=MIN(DAY('Recurring Schedule'!$F$20),DAY(EOMONTH($A334,0))),MOD((YEAR($A334)-YEAR('Recurring Schedule'!$F$20))*12+MONTH($A334)-MONTH('Recurring Schedule'!$F$20),'Recurring Schedule'!$O$20)=0),IF('Recurring Schedule'!$E$20="Weekdays",WEEKDAY($A334,2)&lt;=5,$A334='Recurring Schedule'!$F$20))),15,""))))</f>
        <v/>
      </c>
      <c r="Q334">
        <f>IF('Recurring Schedule'!$C$21="","",IF('Recurring Schedule'!$F$21="","",IF(OR($A334&lt;'Recurring Schedule'!$F$21,$A334&gt;'Recurring Schedule'!$P$21),"",IF(IF('Recurring Schedule'!$N$21&gt;0,MOD($A334-'Recurring Schedule'!$F$21,'Recurring Schedule'!$N$21)=0,IF('Recurring Schedule'!$O$21&gt;0,AND(DAY($A334)=MIN(DAY('Recurring Schedule'!$F$21),DAY(EOMONTH($A334,0))),MOD((YEAR($A334)-YEAR('Recurring Schedule'!$F$21))*12+MONTH($A334)-MONTH('Recurring Schedule'!$F$21),'Recurring Schedule'!$O$21)=0),IF('Recurring Schedule'!$E$21="Weekdays",WEEKDAY($A334,2)&lt;=5,$A334='Recurring Schedule'!$F$21))),16,""))))</f>
        <v/>
      </c>
      <c r="R334">
        <f>IF('Recurring Schedule'!$C$22="","",IF('Recurring Schedule'!$F$22="","",IF(OR($A334&lt;'Recurring Schedule'!$F$22,$A334&gt;'Recurring Schedule'!$P$22),"",IF(IF('Recurring Schedule'!$N$22&gt;0,MOD($A334-'Recurring Schedule'!$F$22,'Recurring Schedule'!$N$22)=0,IF('Recurring Schedule'!$O$22&gt;0,AND(DAY($A334)=MIN(DAY('Recurring Schedule'!$F$22),DAY(EOMONTH($A334,0))),MOD((YEAR($A334)-YEAR('Recurring Schedule'!$F$22))*12+MONTH($A334)-MONTH('Recurring Schedule'!$F$22),'Recurring Schedule'!$O$22)=0),IF('Recurring Schedule'!$E$22="Weekdays",WEEKDAY($A334,2)&lt;=5,$A334='Recurring Schedule'!$F$22))),17,""))))</f>
        <v/>
      </c>
      <c r="S334">
        <f>IF('Recurring Schedule'!$C$23="","",IF('Recurring Schedule'!$F$23="","",IF(OR($A334&lt;'Recurring Schedule'!$F$23,$A334&gt;'Recurring Schedule'!$P$23),"",IF(IF('Recurring Schedule'!$N$23&gt;0,MOD($A334-'Recurring Schedule'!$F$23,'Recurring Schedule'!$N$23)=0,IF('Recurring Schedule'!$O$23&gt;0,AND(DAY($A334)=MIN(DAY('Recurring Schedule'!$F$23),DAY(EOMONTH($A334,0))),MOD((YEAR($A334)-YEAR('Recurring Schedule'!$F$23))*12+MONTH($A334)-MONTH('Recurring Schedule'!$F$23),'Recurring Schedule'!$O$23)=0),IF('Recurring Schedule'!$E$23="Weekdays",WEEKDAY($A334,2)&lt;=5,$A334='Recurring Schedule'!$F$23))),18,""))))</f>
        <v/>
      </c>
      <c r="T334">
        <f>IF('Recurring Schedule'!$C$24="","",IF('Recurring Schedule'!$F$24="","",IF(OR($A334&lt;'Recurring Schedule'!$F$24,$A334&gt;'Recurring Schedule'!$P$24),"",IF(IF('Recurring Schedule'!$N$24&gt;0,MOD($A334-'Recurring Schedule'!$F$24,'Recurring Schedule'!$N$24)=0,IF('Recurring Schedule'!$O$24&gt;0,AND(DAY($A334)=MIN(DAY('Recurring Schedule'!$F$24),DAY(EOMONTH($A334,0))),MOD((YEAR($A334)-YEAR('Recurring Schedule'!$F$24))*12+MONTH($A334)-MONTH('Recurring Schedule'!$F$24),'Recurring Schedule'!$O$24)=0),IF('Recurring Schedule'!$E$24="Weekdays",WEEKDAY($A334,2)&lt;=5,$A334='Recurring Schedule'!$F$24))),19,""))))</f>
        <v/>
      </c>
      <c r="U334">
        <f>IF('Recurring Schedule'!$C$25="","",IF('Recurring Schedule'!$F$25="","",IF(OR($A334&lt;'Recurring Schedule'!$F$25,$A334&gt;'Recurring Schedule'!$P$25),"",IF(IF('Recurring Schedule'!$N$25&gt;0,MOD($A334-'Recurring Schedule'!$F$25,'Recurring Schedule'!$N$25)=0,IF('Recurring Schedule'!$O$25&gt;0,AND(DAY($A334)=MIN(DAY('Recurring Schedule'!$F$25),DAY(EOMONTH($A334,0))),MOD((YEAR($A334)-YEAR('Recurring Schedule'!$F$25))*12+MONTH($A334)-MONTH('Recurring Schedule'!$F$25),'Recurring Schedule'!$O$25)=0),IF('Recurring Schedule'!$E$25="Weekdays",WEEKDAY($A334,2)&lt;=5,$A334='Recurring Schedule'!$F$25))),20,""))))</f>
        <v/>
      </c>
      <c r="V334">
        <f>IF('Recurring Schedule'!$C$26="","",IF('Recurring Schedule'!$F$26="","",IF(OR($A334&lt;'Recurring Schedule'!$F$26,$A334&gt;'Recurring Schedule'!$P$26),"",IF(IF('Recurring Schedule'!$N$26&gt;0,MOD($A334-'Recurring Schedule'!$F$26,'Recurring Schedule'!$N$26)=0,IF('Recurring Schedule'!$O$26&gt;0,AND(DAY($A334)=MIN(DAY('Recurring Schedule'!$F$26),DAY(EOMONTH($A334,0))),MOD((YEAR($A334)-YEAR('Recurring Schedule'!$F$26))*12+MONTH($A334)-MONTH('Recurring Schedule'!$F$26),'Recurring Schedule'!$O$26)=0),IF('Recurring Schedule'!$E$26="Weekdays",WEEKDAY($A334,2)&lt;=5,$A334='Recurring Schedule'!$F$26))),21,""))))</f>
        <v/>
      </c>
      <c r="W334">
        <f>IF('Recurring Schedule'!$C$27="","",IF('Recurring Schedule'!$F$27="","",IF(OR($A334&lt;'Recurring Schedule'!$F$27,$A334&gt;'Recurring Schedule'!$P$27),"",IF(IF('Recurring Schedule'!$N$27&gt;0,MOD($A334-'Recurring Schedule'!$F$27,'Recurring Schedule'!$N$27)=0,IF('Recurring Schedule'!$O$27&gt;0,AND(DAY($A334)=MIN(DAY('Recurring Schedule'!$F$27),DAY(EOMONTH($A334,0))),MOD((YEAR($A334)-YEAR('Recurring Schedule'!$F$27))*12+MONTH($A334)-MONTH('Recurring Schedule'!$F$27),'Recurring Schedule'!$O$27)=0),IF('Recurring Schedule'!$E$27="Weekdays",WEEKDAY($A334,2)&lt;=5,$A334='Recurring Schedule'!$F$27))),22,""))))</f>
        <v/>
      </c>
      <c r="X334">
        <f>IF('Recurring Schedule'!$C$28="","",IF('Recurring Schedule'!$F$28="","",IF(OR($A334&lt;'Recurring Schedule'!$F$28,$A334&gt;'Recurring Schedule'!$P$28),"",IF(IF('Recurring Schedule'!$N$28&gt;0,MOD($A334-'Recurring Schedule'!$F$28,'Recurring Schedule'!$N$28)=0,IF('Recurring Schedule'!$O$28&gt;0,AND(DAY($A334)=MIN(DAY('Recurring Schedule'!$F$28),DAY(EOMONTH($A334,0))),MOD((YEAR($A334)-YEAR('Recurring Schedule'!$F$28))*12+MONTH($A334)-MONTH('Recurring Schedule'!$F$28),'Recurring Schedule'!$O$28)=0),IF('Recurring Schedule'!$E$28="Weekdays",WEEKDAY($A334,2)&lt;=5,$A334='Recurring Schedule'!$F$28))),23,""))))</f>
        <v/>
      </c>
      <c r="Y334">
        <f>IF('Recurring Schedule'!$C$29="","",IF('Recurring Schedule'!$F$29="","",IF(OR($A334&lt;'Recurring Schedule'!$F$29,$A334&gt;'Recurring Schedule'!$P$29),"",IF(IF('Recurring Schedule'!$N$29&gt;0,MOD($A334-'Recurring Schedule'!$F$29,'Recurring Schedule'!$N$29)=0,IF('Recurring Schedule'!$O$29&gt;0,AND(DAY($A334)=MIN(DAY('Recurring Schedule'!$F$29),DAY(EOMONTH($A334,0))),MOD((YEAR($A334)-YEAR('Recurring Schedule'!$F$29))*12+MONTH($A334)-MONTH('Recurring Schedule'!$F$29),'Recurring Schedule'!$O$29)=0),IF('Recurring Schedule'!$E$29="Weekdays",WEEKDAY($A334,2)&lt;=5,$A334='Recurring Schedule'!$F$29))),24,""))))</f>
        <v/>
      </c>
      <c r="Z334">
        <f>IF('Recurring Schedule'!$C$30="","",IF('Recurring Schedule'!$F$30="","",IF(OR($A334&lt;'Recurring Schedule'!$F$30,$A334&gt;'Recurring Schedule'!$P$30),"",IF(IF('Recurring Schedule'!$N$30&gt;0,MOD($A334-'Recurring Schedule'!$F$30,'Recurring Schedule'!$N$30)=0,IF('Recurring Schedule'!$O$30&gt;0,AND(DAY($A334)=MIN(DAY('Recurring Schedule'!$F$30),DAY(EOMONTH($A334,0))),MOD((YEAR($A334)-YEAR('Recurring Schedule'!$F$30))*12+MONTH($A334)-MONTH('Recurring Schedule'!$F$30),'Recurring Schedule'!$O$30)=0),IF('Recurring Schedule'!$E$30="Weekdays",WEEKDAY($A334,2)&lt;=5,$A334='Recurring Schedule'!$F$30))),25,""))))</f>
        <v/>
      </c>
      <c r="AA334">
        <f>IF('Recurring Schedule'!$C$31="","",IF('Recurring Schedule'!$F$31="","",IF(OR($A334&lt;'Recurring Schedule'!$F$31,$A334&gt;'Recurring Schedule'!$P$31),"",IF(IF('Recurring Schedule'!$N$31&gt;0,MOD($A334-'Recurring Schedule'!$F$31,'Recurring Schedule'!$N$31)=0,IF('Recurring Schedule'!$O$31&gt;0,AND(DAY($A334)=MIN(DAY('Recurring Schedule'!$F$31),DAY(EOMONTH($A334,0))),MOD((YEAR($A334)-YEAR('Recurring Schedule'!$F$31))*12+MONTH($A334)-MONTH('Recurring Schedule'!$F$31),'Recurring Schedule'!$O$31)=0),IF('Recurring Schedule'!$E$31="Weekdays",WEEKDAY($A334,2)&lt;=5,$A334='Recurring Schedule'!$F$31))),26,""))))</f>
        <v/>
      </c>
      <c r="AB334">
        <f>IF('Recurring Schedule'!$C$32="","",IF('Recurring Schedule'!$F$32="","",IF(OR($A334&lt;'Recurring Schedule'!$F$32,$A334&gt;'Recurring Schedule'!$P$32),"",IF(IF('Recurring Schedule'!$N$32&gt;0,MOD($A334-'Recurring Schedule'!$F$32,'Recurring Schedule'!$N$32)=0,IF('Recurring Schedule'!$O$32&gt;0,AND(DAY($A334)=MIN(DAY('Recurring Schedule'!$F$32),DAY(EOMONTH($A334,0))),MOD((YEAR($A334)-YEAR('Recurring Schedule'!$F$32))*12+MONTH($A334)-MONTH('Recurring Schedule'!$F$32),'Recurring Schedule'!$O$32)=0),IF('Recurring Schedule'!$E$32="Weekdays",WEEKDAY($A334,2)&lt;=5,$A334='Recurring Schedule'!$F$32))),27,""))))</f>
        <v/>
      </c>
      <c r="AC334">
        <f>IF('Recurring Schedule'!$C$33="","",IF('Recurring Schedule'!$F$33="","",IF(OR($A334&lt;'Recurring Schedule'!$F$33,$A334&gt;'Recurring Schedule'!$P$33),"",IF(IF('Recurring Schedule'!$N$33&gt;0,MOD($A334-'Recurring Schedule'!$F$33,'Recurring Schedule'!$N$33)=0,IF('Recurring Schedule'!$O$33&gt;0,AND(DAY($A334)=MIN(DAY('Recurring Schedule'!$F$33),DAY(EOMONTH($A334,0))),MOD((YEAR($A334)-YEAR('Recurring Schedule'!$F$33))*12+MONTH($A334)-MONTH('Recurring Schedule'!$F$33),'Recurring Schedule'!$O$33)=0),IF('Recurring Schedule'!$E$33="Weekdays",WEEKDAY($A334,2)&lt;=5,$A334='Recurring Schedule'!$F$33))),28,""))))</f>
        <v/>
      </c>
      <c r="AD334">
        <f>IF('Recurring Schedule'!$C$34="","",IF('Recurring Schedule'!$F$34="","",IF(OR($A334&lt;'Recurring Schedule'!$F$34,$A334&gt;'Recurring Schedule'!$P$34),"",IF(IF('Recurring Schedule'!$N$34&gt;0,MOD($A334-'Recurring Schedule'!$F$34,'Recurring Schedule'!$N$34)=0,IF('Recurring Schedule'!$O$34&gt;0,AND(DAY($A334)=MIN(DAY('Recurring Schedule'!$F$34),DAY(EOMONTH($A334,0))),MOD((YEAR($A334)-YEAR('Recurring Schedule'!$F$34))*12+MONTH($A334)-MONTH('Recurring Schedule'!$F$34),'Recurring Schedule'!$O$34)=0),IF('Recurring Schedule'!$E$34="Weekdays",WEEKDAY($A334,2)&lt;=5,$A334='Recurring Schedule'!$F$34))),29,""))))</f>
        <v/>
      </c>
      <c r="AE334">
        <f>IF('Recurring Schedule'!$C$35="","",IF('Recurring Schedule'!$F$35="","",IF(OR($A334&lt;'Recurring Schedule'!$F$35,$A334&gt;'Recurring Schedule'!$P$35),"",IF(IF('Recurring Schedule'!$N$35&gt;0,MOD($A334-'Recurring Schedule'!$F$35,'Recurring Schedule'!$N$35)=0,IF('Recurring Schedule'!$O$35&gt;0,AND(DAY($A334)=MIN(DAY('Recurring Schedule'!$F$35),DAY(EOMONTH($A334,0))),MOD((YEAR($A334)-YEAR('Recurring Schedule'!$F$35))*12+MONTH($A334)-MONTH('Recurring Schedule'!$F$35),'Recurring Schedule'!$O$35)=0),IF('Recurring Schedule'!$E$35="Weekdays",WEEKDAY($A334,2)&lt;=5,$A334='Recurring Schedule'!$F$35))),30,""))))</f>
        <v/>
      </c>
      <c r="AF334">
        <f>IF('Recurring Schedule'!$C$36="","",IF('Recurring Schedule'!$F$36="","",IF(OR($A334&lt;'Recurring Schedule'!$F$36,$A334&gt;'Recurring Schedule'!$P$36),"",IF(IF('Recurring Schedule'!$N$36&gt;0,MOD($A334-'Recurring Schedule'!$F$36,'Recurring Schedule'!$N$36)=0,IF('Recurring Schedule'!$O$36&gt;0,AND(DAY($A334)=MIN(DAY('Recurring Schedule'!$F$36),DAY(EOMONTH($A334,0))),MOD((YEAR($A334)-YEAR('Recurring Schedule'!$F$36))*12+MONTH($A334)-MONTH('Recurring Schedule'!$F$36),'Recurring Schedule'!$O$36)=0),IF('Recurring Schedule'!$E$36="Weekdays",WEEKDAY($A334,2)&lt;=5,$A334='Recurring Schedule'!$F$36))),31,""))))</f>
        <v/>
      </c>
      <c r="AG334">
        <f>IF('Recurring Schedule'!$C$37="","",IF('Recurring Schedule'!$F$37="","",IF(OR($A334&lt;'Recurring Schedule'!$F$37,$A334&gt;'Recurring Schedule'!$P$37),"",IF(IF('Recurring Schedule'!$N$37&gt;0,MOD($A334-'Recurring Schedule'!$F$37,'Recurring Schedule'!$N$37)=0,IF('Recurring Schedule'!$O$37&gt;0,AND(DAY($A334)=MIN(DAY('Recurring Schedule'!$F$37),DAY(EOMONTH($A334,0))),MOD((YEAR($A334)-YEAR('Recurring Schedule'!$F$37))*12+MONTH($A334)-MONTH('Recurring Schedule'!$F$37),'Recurring Schedule'!$O$37)=0),IF('Recurring Schedule'!$E$37="Weekdays",WEEKDAY($A334,2)&lt;=5,$A334='Recurring Schedule'!$F$37))),32,""))))</f>
        <v/>
      </c>
      <c r="AH334">
        <f>IF('Recurring Schedule'!$C$38="","",IF('Recurring Schedule'!$F$38="","",IF(OR($A334&lt;'Recurring Schedule'!$F$38,$A334&gt;'Recurring Schedule'!$P$38),"",IF(IF('Recurring Schedule'!$N$38&gt;0,MOD($A334-'Recurring Schedule'!$F$38,'Recurring Schedule'!$N$38)=0,IF('Recurring Schedule'!$O$38&gt;0,AND(DAY($A334)=MIN(DAY('Recurring Schedule'!$F$38),DAY(EOMONTH($A334,0))),MOD((YEAR($A334)-YEAR('Recurring Schedule'!$F$38))*12+MONTH($A334)-MONTH('Recurring Schedule'!$F$38),'Recurring Schedule'!$O$38)=0),IF('Recurring Schedule'!$E$38="Weekdays",WEEKDAY($A334,2)&lt;=5,$A334='Recurring Schedule'!$F$38))),33,""))))</f>
        <v/>
      </c>
      <c r="AI334">
        <f>IF('Recurring Schedule'!$C$39="","",IF('Recurring Schedule'!$F$39="","",IF(OR($A334&lt;'Recurring Schedule'!$F$39,$A334&gt;'Recurring Schedule'!$P$39),"",IF(IF('Recurring Schedule'!$N$39&gt;0,MOD($A334-'Recurring Schedule'!$F$39,'Recurring Schedule'!$N$39)=0,IF('Recurring Schedule'!$O$39&gt;0,AND(DAY($A334)=MIN(DAY('Recurring Schedule'!$F$39),DAY(EOMONTH($A334,0))),MOD((YEAR($A334)-YEAR('Recurring Schedule'!$F$39))*12+MONTH($A334)-MONTH('Recurring Schedule'!$F$39),'Recurring Schedule'!$O$39)=0),IF('Recurring Schedule'!$E$39="Weekdays",WEEKDAY($A334,2)&lt;=5,$A334='Recurring Schedule'!$F$39))),34,""))))</f>
        <v/>
      </c>
      <c r="AJ334">
        <f>IF('Recurring Schedule'!$C$40="","",IF('Recurring Schedule'!$F$40="","",IF(OR($A334&lt;'Recurring Schedule'!$F$40,$A334&gt;'Recurring Schedule'!$P$40),"",IF(IF('Recurring Schedule'!$N$40&gt;0,MOD($A334-'Recurring Schedule'!$F$40,'Recurring Schedule'!$N$40)=0,IF('Recurring Schedule'!$O$40&gt;0,AND(DAY($A334)=MIN(DAY('Recurring Schedule'!$F$40),DAY(EOMONTH($A334,0))),MOD((YEAR($A334)-YEAR('Recurring Schedule'!$F$40))*12+MONTH($A334)-MONTH('Recurring Schedule'!$F$40),'Recurring Schedule'!$O$40)=0),IF('Recurring Schedule'!$E$40="Weekdays",WEEKDAY($A334,2)&lt;=5,$A334='Recurring Schedule'!$F$40))),35,""))))</f>
        <v/>
      </c>
      <c r="AK334">
        <f>IF('Recurring Schedule'!$C$41="","",IF('Recurring Schedule'!$F$41="","",IF(OR($A334&lt;'Recurring Schedule'!$F$41,$A334&gt;'Recurring Schedule'!$P$41),"",IF(IF('Recurring Schedule'!$N$41&gt;0,MOD($A334-'Recurring Schedule'!$F$41,'Recurring Schedule'!$N$41)=0,IF('Recurring Schedule'!$O$41&gt;0,AND(DAY($A334)=MIN(DAY('Recurring Schedule'!$F$41),DAY(EOMONTH($A334,0))),MOD((YEAR($A334)-YEAR('Recurring Schedule'!$F$41))*12+MONTH($A334)-MONTH('Recurring Schedule'!$F$41),'Recurring Schedule'!$O$41)=0),IF('Recurring Schedule'!$E$41="Weekdays",WEEKDAY($A334,2)&lt;=5,$A334='Recurring Schedule'!$F$41))),36,""))))</f>
        <v/>
      </c>
      <c r="AL334">
        <f>IF('Recurring Schedule'!$C$42="","",IF('Recurring Schedule'!$F$42="","",IF(OR($A334&lt;'Recurring Schedule'!$F$42,$A334&gt;'Recurring Schedule'!$P$42),"",IF(IF('Recurring Schedule'!$N$42&gt;0,MOD($A334-'Recurring Schedule'!$F$42,'Recurring Schedule'!$N$42)=0,IF('Recurring Schedule'!$O$42&gt;0,AND(DAY($A334)=MIN(DAY('Recurring Schedule'!$F$42),DAY(EOMONTH($A334,0))),MOD((YEAR($A334)-YEAR('Recurring Schedule'!$F$42))*12+MONTH($A334)-MONTH('Recurring Schedule'!$F$42),'Recurring Schedule'!$O$42)=0),IF('Recurring Schedule'!$E$42="Weekdays",WEEKDAY($A334,2)&lt;=5,$A334='Recurring Schedule'!$F$42))),37,""))))</f>
        <v/>
      </c>
      <c r="AM334">
        <f>IF('Recurring Schedule'!$C$43="","",IF('Recurring Schedule'!$F$43="","",IF(OR($A334&lt;'Recurring Schedule'!$F$43,$A334&gt;'Recurring Schedule'!$P$43),"",IF(IF('Recurring Schedule'!$N$43&gt;0,MOD($A334-'Recurring Schedule'!$F$43,'Recurring Schedule'!$N$43)=0,IF('Recurring Schedule'!$O$43&gt;0,AND(DAY($A334)=MIN(DAY('Recurring Schedule'!$F$43),DAY(EOMONTH($A334,0))),MOD((YEAR($A334)-YEAR('Recurring Schedule'!$F$43))*12+MONTH($A334)-MONTH('Recurring Schedule'!$F$43),'Recurring Schedule'!$O$43)=0),IF('Recurring Schedule'!$E$43="Weekdays",WEEKDAY($A334,2)&lt;=5,$A334='Recurring Schedule'!$F$43))),38,""))))</f>
        <v/>
      </c>
      <c r="AN334">
        <f>IF('Recurring Schedule'!$C$44="","",IF('Recurring Schedule'!$F$44="","",IF(OR($A334&lt;'Recurring Schedule'!$F$44,$A334&gt;'Recurring Schedule'!$P$44),"",IF(IF('Recurring Schedule'!$N$44&gt;0,MOD($A334-'Recurring Schedule'!$F$44,'Recurring Schedule'!$N$44)=0,IF('Recurring Schedule'!$O$44&gt;0,AND(DAY($A334)=MIN(DAY('Recurring Schedule'!$F$44),DAY(EOMONTH($A334,0))),MOD((YEAR($A334)-YEAR('Recurring Schedule'!$F$44))*12+MONTH($A334)-MONTH('Recurring Schedule'!$F$44),'Recurring Schedule'!$O$44)=0),IF('Recurring Schedule'!$E$44="Weekdays",WEEKDAY($A334,2)&lt;=5,$A334='Recurring Schedule'!$F$44))),39,""))))</f>
        <v/>
      </c>
      <c r="AO334">
        <f>IF('Recurring Schedule'!$C$45="","",IF('Recurring Schedule'!$F$45="","",IF(OR($A334&lt;'Recurring Schedule'!$F$45,$A334&gt;'Recurring Schedule'!$P$45),"",IF(IF('Recurring Schedule'!$N$45&gt;0,MOD($A334-'Recurring Schedule'!$F$45,'Recurring Schedule'!$N$45)=0,IF('Recurring Schedule'!$O$45&gt;0,AND(DAY($A334)=MIN(DAY('Recurring Schedule'!$F$45),DAY(EOMONTH($A334,0))),MOD((YEAR($A334)-YEAR('Recurring Schedule'!$F$45))*12+MONTH($A334)-MONTH('Recurring Schedule'!$F$45),'Recurring Schedule'!$O$45)=0),IF('Recurring Schedule'!$E$45="Weekdays",WEEKDAY($A334,2)&lt;=5,$A334='Recurring Schedule'!$F$45))),40,""))))</f>
        <v/>
      </c>
      <c r="AP334">
        <f>COUNT(B334:AO334)</f>
        <v/>
      </c>
      <c r="AQ334">
        <f>AQ333+AP333</f>
        <v/>
      </c>
      <c r="AS334" t="inlineStr">
        <is>
          <t>R</t>
        </is>
      </c>
      <c r="AT334" t="n">
        <v>338</v>
      </c>
      <c r="AU334">
        <f>'Recurring Log'!C338&amp;""</f>
        <v/>
      </c>
      <c r="AV334">
        <f>'Recurring Log'!D338&amp;""</f>
        <v/>
      </c>
      <c r="AW334">
        <f>IF('Recurring Log'!E338="","",'Recurring Log'!E338)</f>
        <v/>
      </c>
      <c r="AX334">
        <f>IF('Recurring Log'!G338="","",'Recurring Log'!G338)</f>
        <v/>
      </c>
      <c r="AY334">
        <f>IF('Recurring Log'!H338="","",'Recurring Log'!H338)</f>
        <v/>
      </c>
      <c r="AZ334">
        <f>IF(AU334="","",IF('Recurring Log'!J338="","Not Started",'Recurring Log'!J338))</f>
        <v/>
      </c>
      <c r="BA334">
        <f>'Recurring Log'!L338&amp;""</f>
        <v/>
      </c>
      <c r="BB334">
        <f>'Recurring Log'!M338&amp;""</f>
        <v/>
      </c>
      <c r="BC334">
        <f>'Recurring Log'!N338&amp;""</f>
        <v/>
      </c>
      <c r="BD334">
        <f>'Recurring Log'!O338&amp;""</f>
        <v/>
      </c>
      <c r="BE334">
        <f>IF('Recurring Log'!K338="","",'Recurring Log'!K338)</f>
        <v/>
      </c>
      <c r="BF334">
        <f>IFERROR(MATCH(BA334,Setup!$L$6:$L$9,0),5)</f>
        <v/>
      </c>
      <c r="BG334">
        <f>IF(OR(AZ334="Done",AZ334="Cancelled"),1,0)</f>
        <v/>
      </c>
      <c r="BH334">
        <f>IF(AND(AU334&lt;&gt;"",ISNUMBER(AW334)),1,0)</f>
        <v/>
      </c>
      <c r="BI334">
        <f>IF(BH334=0,0,IF(AND(AW334&gt;='Tasks Filter'!$F$3,AW334&lt;='Tasks Filter'!$F$4,OR('Tasks Filter'!$I$3="",ISNUMBER(SEARCH('Tasks Filter'!$I$3,AU334))),OR('Tasks Filter'!$I$4="",BF334=IFERROR(MATCH('Tasks Filter'!$I$4,Setup!$L$6:$L$9,0),0)),OR('Tasks Filter'!$I$5="Both",AND('Tasks Filter'!$I$5="Yes",BB334="✓"),AND('Tasks Filter'!$I$5="No",BB334&lt;&gt;"✓")),OR('Tasks Filter'!$L$3="",AV334='Tasks Filter'!$L$3),OR('Tasks Filter'!$L$4="",AZ334='Tasks Filter'!$L$4),OR('Tasks Filter'!$L$5="",BC334='Tasks Filter'!$L$5),OR('Tasks Filter'!$O$3="",BD334='Tasks Filter'!$O$3),OR('Tasks Filter'!$O$4="Yes",BG334=0)),1,0))</f>
        <v/>
      </c>
      <c r="BJ334">
        <f>IF(BH334=0,"",IF('Tasks Filter'!$F$6="Descending",-1,1)*CHOOSE(MATCH('Tasks Filter'!$F$5,Lists!$G$2:$G$6,0),AW334,BF334,IFERROR(MATCH(AV334,Setup!$F$6:$F$15,0),99),IFERROR(MATCH(BC334,Setup!$H$6:$H$15,0),99),IFERROR(MATCH(AZ334,Setup!$J$6:$J$11,0),99))*1E+9+(AW334-40000)*10000+333)</f>
        <v/>
      </c>
      <c r="BK334">
        <f>IF(BI334=1,BJ334,"")</f>
        <v/>
      </c>
      <c r="BL334">
        <f>IF(AND(BH334=1,BG334=0,N(AW334)&lt;Setup!$D$7),(AW334-40000)*10000+333,"")</f>
        <v/>
      </c>
      <c r="BM334">
        <f>IF(AND(BH334=1,AZ334&lt;&gt;"Cancelled",N(AW334)&gt;=Dashboard!$AB$3,N(AW334)&lt;=Dashboard!$AB$3+6),(AW334-40000)*100000+BF334*10000+333,"")</f>
        <v/>
      </c>
      <c r="BN334">
        <f>IF(AND(BH334=1,AZ334&lt;&gt;"Cancelled"),BF334*10000+333,"")</f>
        <v/>
      </c>
    </row>
    <row r="335">
      <c r="A335">
        <f>Setup!$D$5+333</f>
        <v/>
      </c>
      <c r="B335">
        <f>IF('Recurring Schedule'!$C$6="","",IF('Recurring Schedule'!$F$6="","",IF(OR($A335&lt;'Recurring Schedule'!$F$6,$A335&gt;'Recurring Schedule'!$P$6),"",IF(IF('Recurring Schedule'!$N$6&gt;0,MOD($A335-'Recurring Schedule'!$F$6,'Recurring Schedule'!$N$6)=0,IF('Recurring Schedule'!$O$6&gt;0,AND(DAY($A335)=MIN(DAY('Recurring Schedule'!$F$6),DAY(EOMONTH($A335,0))),MOD((YEAR($A335)-YEAR('Recurring Schedule'!$F$6))*12+MONTH($A335)-MONTH('Recurring Schedule'!$F$6),'Recurring Schedule'!$O$6)=0),IF('Recurring Schedule'!$E$6="Weekdays",WEEKDAY($A335,2)&lt;=5,$A335='Recurring Schedule'!$F$6))),1,""))))</f>
        <v/>
      </c>
      <c r="C335">
        <f>IF('Recurring Schedule'!$C$7="","",IF('Recurring Schedule'!$F$7="","",IF(OR($A335&lt;'Recurring Schedule'!$F$7,$A335&gt;'Recurring Schedule'!$P$7),"",IF(IF('Recurring Schedule'!$N$7&gt;0,MOD($A335-'Recurring Schedule'!$F$7,'Recurring Schedule'!$N$7)=0,IF('Recurring Schedule'!$O$7&gt;0,AND(DAY($A335)=MIN(DAY('Recurring Schedule'!$F$7),DAY(EOMONTH($A335,0))),MOD((YEAR($A335)-YEAR('Recurring Schedule'!$F$7))*12+MONTH($A335)-MONTH('Recurring Schedule'!$F$7),'Recurring Schedule'!$O$7)=0),IF('Recurring Schedule'!$E$7="Weekdays",WEEKDAY($A335,2)&lt;=5,$A335='Recurring Schedule'!$F$7))),2,""))))</f>
        <v/>
      </c>
      <c r="D335">
        <f>IF('Recurring Schedule'!$C$8="","",IF('Recurring Schedule'!$F$8="","",IF(OR($A335&lt;'Recurring Schedule'!$F$8,$A335&gt;'Recurring Schedule'!$P$8),"",IF(IF('Recurring Schedule'!$N$8&gt;0,MOD($A335-'Recurring Schedule'!$F$8,'Recurring Schedule'!$N$8)=0,IF('Recurring Schedule'!$O$8&gt;0,AND(DAY($A335)=MIN(DAY('Recurring Schedule'!$F$8),DAY(EOMONTH($A335,0))),MOD((YEAR($A335)-YEAR('Recurring Schedule'!$F$8))*12+MONTH($A335)-MONTH('Recurring Schedule'!$F$8),'Recurring Schedule'!$O$8)=0),IF('Recurring Schedule'!$E$8="Weekdays",WEEKDAY($A335,2)&lt;=5,$A335='Recurring Schedule'!$F$8))),3,""))))</f>
        <v/>
      </c>
      <c r="E335">
        <f>IF('Recurring Schedule'!$C$9="","",IF('Recurring Schedule'!$F$9="","",IF(OR($A335&lt;'Recurring Schedule'!$F$9,$A335&gt;'Recurring Schedule'!$P$9),"",IF(IF('Recurring Schedule'!$N$9&gt;0,MOD($A335-'Recurring Schedule'!$F$9,'Recurring Schedule'!$N$9)=0,IF('Recurring Schedule'!$O$9&gt;0,AND(DAY($A335)=MIN(DAY('Recurring Schedule'!$F$9),DAY(EOMONTH($A335,0))),MOD((YEAR($A335)-YEAR('Recurring Schedule'!$F$9))*12+MONTH($A335)-MONTH('Recurring Schedule'!$F$9),'Recurring Schedule'!$O$9)=0),IF('Recurring Schedule'!$E$9="Weekdays",WEEKDAY($A335,2)&lt;=5,$A335='Recurring Schedule'!$F$9))),4,""))))</f>
        <v/>
      </c>
      <c r="F335">
        <f>IF('Recurring Schedule'!$C$10="","",IF('Recurring Schedule'!$F$10="","",IF(OR($A335&lt;'Recurring Schedule'!$F$10,$A335&gt;'Recurring Schedule'!$P$10),"",IF(IF('Recurring Schedule'!$N$10&gt;0,MOD($A335-'Recurring Schedule'!$F$10,'Recurring Schedule'!$N$10)=0,IF('Recurring Schedule'!$O$10&gt;0,AND(DAY($A335)=MIN(DAY('Recurring Schedule'!$F$10),DAY(EOMONTH($A335,0))),MOD((YEAR($A335)-YEAR('Recurring Schedule'!$F$10))*12+MONTH($A335)-MONTH('Recurring Schedule'!$F$10),'Recurring Schedule'!$O$10)=0),IF('Recurring Schedule'!$E$10="Weekdays",WEEKDAY($A335,2)&lt;=5,$A335='Recurring Schedule'!$F$10))),5,""))))</f>
        <v/>
      </c>
      <c r="G335">
        <f>IF('Recurring Schedule'!$C$11="","",IF('Recurring Schedule'!$F$11="","",IF(OR($A335&lt;'Recurring Schedule'!$F$11,$A335&gt;'Recurring Schedule'!$P$11),"",IF(IF('Recurring Schedule'!$N$11&gt;0,MOD($A335-'Recurring Schedule'!$F$11,'Recurring Schedule'!$N$11)=0,IF('Recurring Schedule'!$O$11&gt;0,AND(DAY($A335)=MIN(DAY('Recurring Schedule'!$F$11),DAY(EOMONTH($A335,0))),MOD((YEAR($A335)-YEAR('Recurring Schedule'!$F$11))*12+MONTH($A335)-MONTH('Recurring Schedule'!$F$11),'Recurring Schedule'!$O$11)=0),IF('Recurring Schedule'!$E$11="Weekdays",WEEKDAY($A335,2)&lt;=5,$A335='Recurring Schedule'!$F$11))),6,""))))</f>
        <v/>
      </c>
      <c r="H335">
        <f>IF('Recurring Schedule'!$C$12="","",IF('Recurring Schedule'!$F$12="","",IF(OR($A335&lt;'Recurring Schedule'!$F$12,$A335&gt;'Recurring Schedule'!$P$12),"",IF(IF('Recurring Schedule'!$N$12&gt;0,MOD($A335-'Recurring Schedule'!$F$12,'Recurring Schedule'!$N$12)=0,IF('Recurring Schedule'!$O$12&gt;0,AND(DAY($A335)=MIN(DAY('Recurring Schedule'!$F$12),DAY(EOMONTH($A335,0))),MOD((YEAR($A335)-YEAR('Recurring Schedule'!$F$12))*12+MONTH($A335)-MONTH('Recurring Schedule'!$F$12),'Recurring Schedule'!$O$12)=0),IF('Recurring Schedule'!$E$12="Weekdays",WEEKDAY($A335,2)&lt;=5,$A335='Recurring Schedule'!$F$12))),7,""))))</f>
        <v/>
      </c>
      <c r="I335">
        <f>IF('Recurring Schedule'!$C$13="","",IF('Recurring Schedule'!$F$13="","",IF(OR($A335&lt;'Recurring Schedule'!$F$13,$A335&gt;'Recurring Schedule'!$P$13),"",IF(IF('Recurring Schedule'!$N$13&gt;0,MOD($A335-'Recurring Schedule'!$F$13,'Recurring Schedule'!$N$13)=0,IF('Recurring Schedule'!$O$13&gt;0,AND(DAY($A335)=MIN(DAY('Recurring Schedule'!$F$13),DAY(EOMONTH($A335,0))),MOD((YEAR($A335)-YEAR('Recurring Schedule'!$F$13))*12+MONTH($A335)-MONTH('Recurring Schedule'!$F$13),'Recurring Schedule'!$O$13)=0),IF('Recurring Schedule'!$E$13="Weekdays",WEEKDAY($A335,2)&lt;=5,$A335='Recurring Schedule'!$F$13))),8,""))))</f>
        <v/>
      </c>
      <c r="J335">
        <f>IF('Recurring Schedule'!$C$14="","",IF('Recurring Schedule'!$F$14="","",IF(OR($A335&lt;'Recurring Schedule'!$F$14,$A335&gt;'Recurring Schedule'!$P$14),"",IF(IF('Recurring Schedule'!$N$14&gt;0,MOD($A335-'Recurring Schedule'!$F$14,'Recurring Schedule'!$N$14)=0,IF('Recurring Schedule'!$O$14&gt;0,AND(DAY($A335)=MIN(DAY('Recurring Schedule'!$F$14),DAY(EOMONTH($A335,0))),MOD((YEAR($A335)-YEAR('Recurring Schedule'!$F$14))*12+MONTH($A335)-MONTH('Recurring Schedule'!$F$14),'Recurring Schedule'!$O$14)=0),IF('Recurring Schedule'!$E$14="Weekdays",WEEKDAY($A335,2)&lt;=5,$A335='Recurring Schedule'!$F$14))),9,""))))</f>
        <v/>
      </c>
      <c r="K335">
        <f>IF('Recurring Schedule'!$C$15="","",IF('Recurring Schedule'!$F$15="","",IF(OR($A335&lt;'Recurring Schedule'!$F$15,$A335&gt;'Recurring Schedule'!$P$15),"",IF(IF('Recurring Schedule'!$N$15&gt;0,MOD($A335-'Recurring Schedule'!$F$15,'Recurring Schedule'!$N$15)=0,IF('Recurring Schedule'!$O$15&gt;0,AND(DAY($A335)=MIN(DAY('Recurring Schedule'!$F$15),DAY(EOMONTH($A335,0))),MOD((YEAR($A335)-YEAR('Recurring Schedule'!$F$15))*12+MONTH($A335)-MONTH('Recurring Schedule'!$F$15),'Recurring Schedule'!$O$15)=0),IF('Recurring Schedule'!$E$15="Weekdays",WEEKDAY($A335,2)&lt;=5,$A335='Recurring Schedule'!$F$15))),10,""))))</f>
        <v/>
      </c>
      <c r="L335">
        <f>IF('Recurring Schedule'!$C$16="","",IF('Recurring Schedule'!$F$16="","",IF(OR($A335&lt;'Recurring Schedule'!$F$16,$A335&gt;'Recurring Schedule'!$P$16),"",IF(IF('Recurring Schedule'!$N$16&gt;0,MOD($A335-'Recurring Schedule'!$F$16,'Recurring Schedule'!$N$16)=0,IF('Recurring Schedule'!$O$16&gt;0,AND(DAY($A335)=MIN(DAY('Recurring Schedule'!$F$16),DAY(EOMONTH($A335,0))),MOD((YEAR($A335)-YEAR('Recurring Schedule'!$F$16))*12+MONTH($A335)-MONTH('Recurring Schedule'!$F$16),'Recurring Schedule'!$O$16)=0),IF('Recurring Schedule'!$E$16="Weekdays",WEEKDAY($A335,2)&lt;=5,$A335='Recurring Schedule'!$F$16))),11,""))))</f>
        <v/>
      </c>
      <c r="M335">
        <f>IF('Recurring Schedule'!$C$17="","",IF('Recurring Schedule'!$F$17="","",IF(OR($A335&lt;'Recurring Schedule'!$F$17,$A335&gt;'Recurring Schedule'!$P$17),"",IF(IF('Recurring Schedule'!$N$17&gt;0,MOD($A335-'Recurring Schedule'!$F$17,'Recurring Schedule'!$N$17)=0,IF('Recurring Schedule'!$O$17&gt;0,AND(DAY($A335)=MIN(DAY('Recurring Schedule'!$F$17),DAY(EOMONTH($A335,0))),MOD((YEAR($A335)-YEAR('Recurring Schedule'!$F$17))*12+MONTH($A335)-MONTH('Recurring Schedule'!$F$17),'Recurring Schedule'!$O$17)=0),IF('Recurring Schedule'!$E$17="Weekdays",WEEKDAY($A335,2)&lt;=5,$A335='Recurring Schedule'!$F$17))),12,""))))</f>
        <v/>
      </c>
      <c r="N335">
        <f>IF('Recurring Schedule'!$C$18="","",IF('Recurring Schedule'!$F$18="","",IF(OR($A335&lt;'Recurring Schedule'!$F$18,$A335&gt;'Recurring Schedule'!$P$18),"",IF(IF('Recurring Schedule'!$N$18&gt;0,MOD($A335-'Recurring Schedule'!$F$18,'Recurring Schedule'!$N$18)=0,IF('Recurring Schedule'!$O$18&gt;0,AND(DAY($A335)=MIN(DAY('Recurring Schedule'!$F$18),DAY(EOMONTH($A335,0))),MOD((YEAR($A335)-YEAR('Recurring Schedule'!$F$18))*12+MONTH($A335)-MONTH('Recurring Schedule'!$F$18),'Recurring Schedule'!$O$18)=0),IF('Recurring Schedule'!$E$18="Weekdays",WEEKDAY($A335,2)&lt;=5,$A335='Recurring Schedule'!$F$18))),13,""))))</f>
        <v/>
      </c>
      <c r="O335">
        <f>IF('Recurring Schedule'!$C$19="","",IF('Recurring Schedule'!$F$19="","",IF(OR($A335&lt;'Recurring Schedule'!$F$19,$A335&gt;'Recurring Schedule'!$P$19),"",IF(IF('Recurring Schedule'!$N$19&gt;0,MOD($A335-'Recurring Schedule'!$F$19,'Recurring Schedule'!$N$19)=0,IF('Recurring Schedule'!$O$19&gt;0,AND(DAY($A335)=MIN(DAY('Recurring Schedule'!$F$19),DAY(EOMONTH($A335,0))),MOD((YEAR($A335)-YEAR('Recurring Schedule'!$F$19))*12+MONTH($A335)-MONTH('Recurring Schedule'!$F$19),'Recurring Schedule'!$O$19)=0),IF('Recurring Schedule'!$E$19="Weekdays",WEEKDAY($A335,2)&lt;=5,$A335='Recurring Schedule'!$F$19))),14,""))))</f>
        <v/>
      </c>
      <c r="P335">
        <f>IF('Recurring Schedule'!$C$20="","",IF('Recurring Schedule'!$F$20="","",IF(OR($A335&lt;'Recurring Schedule'!$F$20,$A335&gt;'Recurring Schedule'!$P$20),"",IF(IF('Recurring Schedule'!$N$20&gt;0,MOD($A335-'Recurring Schedule'!$F$20,'Recurring Schedule'!$N$20)=0,IF('Recurring Schedule'!$O$20&gt;0,AND(DAY($A335)=MIN(DAY('Recurring Schedule'!$F$20),DAY(EOMONTH($A335,0))),MOD((YEAR($A335)-YEAR('Recurring Schedule'!$F$20))*12+MONTH($A335)-MONTH('Recurring Schedule'!$F$20),'Recurring Schedule'!$O$20)=0),IF('Recurring Schedule'!$E$20="Weekdays",WEEKDAY($A335,2)&lt;=5,$A335='Recurring Schedule'!$F$20))),15,""))))</f>
        <v/>
      </c>
      <c r="Q335">
        <f>IF('Recurring Schedule'!$C$21="","",IF('Recurring Schedule'!$F$21="","",IF(OR($A335&lt;'Recurring Schedule'!$F$21,$A335&gt;'Recurring Schedule'!$P$21),"",IF(IF('Recurring Schedule'!$N$21&gt;0,MOD($A335-'Recurring Schedule'!$F$21,'Recurring Schedule'!$N$21)=0,IF('Recurring Schedule'!$O$21&gt;0,AND(DAY($A335)=MIN(DAY('Recurring Schedule'!$F$21),DAY(EOMONTH($A335,0))),MOD((YEAR($A335)-YEAR('Recurring Schedule'!$F$21))*12+MONTH($A335)-MONTH('Recurring Schedule'!$F$21),'Recurring Schedule'!$O$21)=0),IF('Recurring Schedule'!$E$21="Weekdays",WEEKDAY($A335,2)&lt;=5,$A335='Recurring Schedule'!$F$21))),16,""))))</f>
        <v/>
      </c>
      <c r="R335">
        <f>IF('Recurring Schedule'!$C$22="","",IF('Recurring Schedule'!$F$22="","",IF(OR($A335&lt;'Recurring Schedule'!$F$22,$A335&gt;'Recurring Schedule'!$P$22),"",IF(IF('Recurring Schedule'!$N$22&gt;0,MOD($A335-'Recurring Schedule'!$F$22,'Recurring Schedule'!$N$22)=0,IF('Recurring Schedule'!$O$22&gt;0,AND(DAY($A335)=MIN(DAY('Recurring Schedule'!$F$22),DAY(EOMONTH($A335,0))),MOD((YEAR($A335)-YEAR('Recurring Schedule'!$F$22))*12+MONTH($A335)-MONTH('Recurring Schedule'!$F$22),'Recurring Schedule'!$O$22)=0),IF('Recurring Schedule'!$E$22="Weekdays",WEEKDAY($A335,2)&lt;=5,$A335='Recurring Schedule'!$F$22))),17,""))))</f>
        <v/>
      </c>
      <c r="S335">
        <f>IF('Recurring Schedule'!$C$23="","",IF('Recurring Schedule'!$F$23="","",IF(OR($A335&lt;'Recurring Schedule'!$F$23,$A335&gt;'Recurring Schedule'!$P$23),"",IF(IF('Recurring Schedule'!$N$23&gt;0,MOD($A335-'Recurring Schedule'!$F$23,'Recurring Schedule'!$N$23)=0,IF('Recurring Schedule'!$O$23&gt;0,AND(DAY($A335)=MIN(DAY('Recurring Schedule'!$F$23),DAY(EOMONTH($A335,0))),MOD((YEAR($A335)-YEAR('Recurring Schedule'!$F$23))*12+MONTH($A335)-MONTH('Recurring Schedule'!$F$23),'Recurring Schedule'!$O$23)=0),IF('Recurring Schedule'!$E$23="Weekdays",WEEKDAY($A335,2)&lt;=5,$A335='Recurring Schedule'!$F$23))),18,""))))</f>
        <v/>
      </c>
      <c r="T335">
        <f>IF('Recurring Schedule'!$C$24="","",IF('Recurring Schedule'!$F$24="","",IF(OR($A335&lt;'Recurring Schedule'!$F$24,$A335&gt;'Recurring Schedule'!$P$24),"",IF(IF('Recurring Schedule'!$N$24&gt;0,MOD($A335-'Recurring Schedule'!$F$24,'Recurring Schedule'!$N$24)=0,IF('Recurring Schedule'!$O$24&gt;0,AND(DAY($A335)=MIN(DAY('Recurring Schedule'!$F$24),DAY(EOMONTH($A335,0))),MOD((YEAR($A335)-YEAR('Recurring Schedule'!$F$24))*12+MONTH($A335)-MONTH('Recurring Schedule'!$F$24),'Recurring Schedule'!$O$24)=0),IF('Recurring Schedule'!$E$24="Weekdays",WEEKDAY($A335,2)&lt;=5,$A335='Recurring Schedule'!$F$24))),19,""))))</f>
        <v/>
      </c>
      <c r="U335">
        <f>IF('Recurring Schedule'!$C$25="","",IF('Recurring Schedule'!$F$25="","",IF(OR($A335&lt;'Recurring Schedule'!$F$25,$A335&gt;'Recurring Schedule'!$P$25),"",IF(IF('Recurring Schedule'!$N$25&gt;0,MOD($A335-'Recurring Schedule'!$F$25,'Recurring Schedule'!$N$25)=0,IF('Recurring Schedule'!$O$25&gt;0,AND(DAY($A335)=MIN(DAY('Recurring Schedule'!$F$25),DAY(EOMONTH($A335,0))),MOD((YEAR($A335)-YEAR('Recurring Schedule'!$F$25))*12+MONTH($A335)-MONTH('Recurring Schedule'!$F$25),'Recurring Schedule'!$O$25)=0),IF('Recurring Schedule'!$E$25="Weekdays",WEEKDAY($A335,2)&lt;=5,$A335='Recurring Schedule'!$F$25))),20,""))))</f>
        <v/>
      </c>
      <c r="V335">
        <f>IF('Recurring Schedule'!$C$26="","",IF('Recurring Schedule'!$F$26="","",IF(OR($A335&lt;'Recurring Schedule'!$F$26,$A335&gt;'Recurring Schedule'!$P$26),"",IF(IF('Recurring Schedule'!$N$26&gt;0,MOD($A335-'Recurring Schedule'!$F$26,'Recurring Schedule'!$N$26)=0,IF('Recurring Schedule'!$O$26&gt;0,AND(DAY($A335)=MIN(DAY('Recurring Schedule'!$F$26),DAY(EOMONTH($A335,0))),MOD((YEAR($A335)-YEAR('Recurring Schedule'!$F$26))*12+MONTH($A335)-MONTH('Recurring Schedule'!$F$26),'Recurring Schedule'!$O$26)=0),IF('Recurring Schedule'!$E$26="Weekdays",WEEKDAY($A335,2)&lt;=5,$A335='Recurring Schedule'!$F$26))),21,""))))</f>
        <v/>
      </c>
      <c r="W335">
        <f>IF('Recurring Schedule'!$C$27="","",IF('Recurring Schedule'!$F$27="","",IF(OR($A335&lt;'Recurring Schedule'!$F$27,$A335&gt;'Recurring Schedule'!$P$27),"",IF(IF('Recurring Schedule'!$N$27&gt;0,MOD($A335-'Recurring Schedule'!$F$27,'Recurring Schedule'!$N$27)=0,IF('Recurring Schedule'!$O$27&gt;0,AND(DAY($A335)=MIN(DAY('Recurring Schedule'!$F$27),DAY(EOMONTH($A335,0))),MOD((YEAR($A335)-YEAR('Recurring Schedule'!$F$27))*12+MONTH($A335)-MONTH('Recurring Schedule'!$F$27),'Recurring Schedule'!$O$27)=0),IF('Recurring Schedule'!$E$27="Weekdays",WEEKDAY($A335,2)&lt;=5,$A335='Recurring Schedule'!$F$27))),22,""))))</f>
        <v/>
      </c>
      <c r="X335">
        <f>IF('Recurring Schedule'!$C$28="","",IF('Recurring Schedule'!$F$28="","",IF(OR($A335&lt;'Recurring Schedule'!$F$28,$A335&gt;'Recurring Schedule'!$P$28),"",IF(IF('Recurring Schedule'!$N$28&gt;0,MOD($A335-'Recurring Schedule'!$F$28,'Recurring Schedule'!$N$28)=0,IF('Recurring Schedule'!$O$28&gt;0,AND(DAY($A335)=MIN(DAY('Recurring Schedule'!$F$28),DAY(EOMONTH($A335,0))),MOD((YEAR($A335)-YEAR('Recurring Schedule'!$F$28))*12+MONTH($A335)-MONTH('Recurring Schedule'!$F$28),'Recurring Schedule'!$O$28)=0),IF('Recurring Schedule'!$E$28="Weekdays",WEEKDAY($A335,2)&lt;=5,$A335='Recurring Schedule'!$F$28))),23,""))))</f>
        <v/>
      </c>
      <c r="Y335">
        <f>IF('Recurring Schedule'!$C$29="","",IF('Recurring Schedule'!$F$29="","",IF(OR($A335&lt;'Recurring Schedule'!$F$29,$A335&gt;'Recurring Schedule'!$P$29),"",IF(IF('Recurring Schedule'!$N$29&gt;0,MOD($A335-'Recurring Schedule'!$F$29,'Recurring Schedule'!$N$29)=0,IF('Recurring Schedule'!$O$29&gt;0,AND(DAY($A335)=MIN(DAY('Recurring Schedule'!$F$29),DAY(EOMONTH($A335,0))),MOD((YEAR($A335)-YEAR('Recurring Schedule'!$F$29))*12+MONTH($A335)-MONTH('Recurring Schedule'!$F$29),'Recurring Schedule'!$O$29)=0),IF('Recurring Schedule'!$E$29="Weekdays",WEEKDAY($A335,2)&lt;=5,$A335='Recurring Schedule'!$F$29))),24,""))))</f>
        <v/>
      </c>
      <c r="Z335">
        <f>IF('Recurring Schedule'!$C$30="","",IF('Recurring Schedule'!$F$30="","",IF(OR($A335&lt;'Recurring Schedule'!$F$30,$A335&gt;'Recurring Schedule'!$P$30),"",IF(IF('Recurring Schedule'!$N$30&gt;0,MOD($A335-'Recurring Schedule'!$F$30,'Recurring Schedule'!$N$30)=0,IF('Recurring Schedule'!$O$30&gt;0,AND(DAY($A335)=MIN(DAY('Recurring Schedule'!$F$30),DAY(EOMONTH($A335,0))),MOD((YEAR($A335)-YEAR('Recurring Schedule'!$F$30))*12+MONTH($A335)-MONTH('Recurring Schedule'!$F$30),'Recurring Schedule'!$O$30)=0),IF('Recurring Schedule'!$E$30="Weekdays",WEEKDAY($A335,2)&lt;=5,$A335='Recurring Schedule'!$F$30))),25,""))))</f>
        <v/>
      </c>
      <c r="AA335">
        <f>IF('Recurring Schedule'!$C$31="","",IF('Recurring Schedule'!$F$31="","",IF(OR($A335&lt;'Recurring Schedule'!$F$31,$A335&gt;'Recurring Schedule'!$P$31),"",IF(IF('Recurring Schedule'!$N$31&gt;0,MOD($A335-'Recurring Schedule'!$F$31,'Recurring Schedule'!$N$31)=0,IF('Recurring Schedule'!$O$31&gt;0,AND(DAY($A335)=MIN(DAY('Recurring Schedule'!$F$31),DAY(EOMONTH($A335,0))),MOD((YEAR($A335)-YEAR('Recurring Schedule'!$F$31))*12+MONTH($A335)-MONTH('Recurring Schedule'!$F$31),'Recurring Schedule'!$O$31)=0),IF('Recurring Schedule'!$E$31="Weekdays",WEEKDAY($A335,2)&lt;=5,$A335='Recurring Schedule'!$F$31))),26,""))))</f>
        <v/>
      </c>
      <c r="AB335">
        <f>IF('Recurring Schedule'!$C$32="","",IF('Recurring Schedule'!$F$32="","",IF(OR($A335&lt;'Recurring Schedule'!$F$32,$A335&gt;'Recurring Schedule'!$P$32),"",IF(IF('Recurring Schedule'!$N$32&gt;0,MOD($A335-'Recurring Schedule'!$F$32,'Recurring Schedule'!$N$32)=0,IF('Recurring Schedule'!$O$32&gt;0,AND(DAY($A335)=MIN(DAY('Recurring Schedule'!$F$32),DAY(EOMONTH($A335,0))),MOD((YEAR($A335)-YEAR('Recurring Schedule'!$F$32))*12+MONTH($A335)-MONTH('Recurring Schedule'!$F$32),'Recurring Schedule'!$O$32)=0),IF('Recurring Schedule'!$E$32="Weekdays",WEEKDAY($A335,2)&lt;=5,$A335='Recurring Schedule'!$F$32))),27,""))))</f>
        <v/>
      </c>
      <c r="AC335">
        <f>IF('Recurring Schedule'!$C$33="","",IF('Recurring Schedule'!$F$33="","",IF(OR($A335&lt;'Recurring Schedule'!$F$33,$A335&gt;'Recurring Schedule'!$P$33),"",IF(IF('Recurring Schedule'!$N$33&gt;0,MOD($A335-'Recurring Schedule'!$F$33,'Recurring Schedule'!$N$33)=0,IF('Recurring Schedule'!$O$33&gt;0,AND(DAY($A335)=MIN(DAY('Recurring Schedule'!$F$33),DAY(EOMONTH($A335,0))),MOD((YEAR($A335)-YEAR('Recurring Schedule'!$F$33))*12+MONTH($A335)-MONTH('Recurring Schedule'!$F$33),'Recurring Schedule'!$O$33)=0),IF('Recurring Schedule'!$E$33="Weekdays",WEEKDAY($A335,2)&lt;=5,$A335='Recurring Schedule'!$F$33))),28,""))))</f>
        <v/>
      </c>
      <c r="AD335">
        <f>IF('Recurring Schedule'!$C$34="","",IF('Recurring Schedule'!$F$34="","",IF(OR($A335&lt;'Recurring Schedule'!$F$34,$A335&gt;'Recurring Schedule'!$P$34),"",IF(IF('Recurring Schedule'!$N$34&gt;0,MOD($A335-'Recurring Schedule'!$F$34,'Recurring Schedule'!$N$34)=0,IF('Recurring Schedule'!$O$34&gt;0,AND(DAY($A335)=MIN(DAY('Recurring Schedule'!$F$34),DAY(EOMONTH($A335,0))),MOD((YEAR($A335)-YEAR('Recurring Schedule'!$F$34))*12+MONTH($A335)-MONTH('Recurring Schedule'!$F$34),'Recurring Schedule'!$O$34)=0),IF('Recurring Schedule'!$E$34="Weekdays",WEEKDAY($A335,2)&lt;=5,$A335='Recurring Schedule'!$F$34))),29,""))))</f>
        <v/>
      </c>
      <c r="AE335">
        <f>IF('Recurring Schedule'!$C$35="","",IF('Recurring Schedule'!$F$35="","",IF(OR($A335&lt;'Recurring Schedule'!$F$35,$A335&gt;'Recurring Schedule'!$P$35),"",IF(IF('Recurring Schedule'!$N$35&gt;0,MOD($A335-'Recurring Schedule'!$F$35,'Recurring Schedule'!$N$35)=0,IF('Recurring Schedule'!$O$35&gt;0,AND(DAY($A335)=MIN(DAY('Recurring Schedule'!$F$35),DAY(EOMONTH($A335,0))),MOD((YEAR($A335)-YEAR('Recurring Schedule'!$F$35))*12+MONTH($A335)-MONTH('Recurring Schedule'!$F$35),'Recurring Schedule'!$O$35)=0),IF('Recurring Schedule'!$E$35="Weekdays",WEEKDAY($A335,2)&lt;=5,$A335='Recurring Schedule'!$F$35))),30,""))))</f>
        <v/>
      </c>
      <c r="AF335">
        <f>IF('Recurring Schedule'!$C$36="","",IF('Recurring Schedule'!$F$36="","",IF(OR($A335&lt;'Recurring Schedule'!$F$36,$A335&gt;'Recurring Schedule'!$P$36),"",IF(IF('Recurring Schedule'!$N$36&gt;0,MOD($A335-'Recurring Schedule'!$F$36,'Recurring Schedule'!$N$36)=0,IF('Recurring Schedule'!$O$36&gt;0,AND(DAY($A335)=MIN(DAY('Recurring Schedule'!$F$36),DAY(EOMONTH($A335,0))),MOD((YEAR($A335)-YEAR('Recurring Schedule'!$F$36))*12+MONTH($A335)-MONTH('Recurring Schedule'!$F$36),'Recurring Schedule'!$O$36)=0),IF('Recurring Schedule'!$E$36="Weekdays",WEEKDAY($A335,2)&lt;=5,$A335='Recurring Schedule'!$F$36))),31,""))))</f>
        <v/>
      </c>
      <c r="AG335">
        <f>IF('Recurring Schedule'!$C$37="","",IF('Recurring Schedule'!$F$37="","",IF(OR($A335&lt;'Recurring Schedule'!$F$37,$A335&gt;'Recurring Schedule'!$P$37),"",IF(IF('Recurring Schedule'!$N$37&gt;0,MOD($A335-'Recurring Schedule'!$F$37,'Recurring Schedule'!$N$37)=0,IF('Recurring Schedule'!$O$37&gt;0,AND(DAY($A335)=MIN(DAY('Recurring Schedule'!$F$37),DAY(EOMONTH($A335,0))),MOD((YEAR($A335)-YEAR('Recurring Schedule'!$F$37))*12+MONTH($A335)-MONTH('Recurring Schedule'!$F$37),'Recurring Schedule'!$O$37)=0),IF('Recurring Schedule'!$E$37="Weekdays",WEEKDAY($A335,2)&lt;=5,$A335='Recurring Schedule'!$F$37))),32,""))))</f>
        <v/>
      </c>
      <c r="AH335">
        <f>IF('Recurring Schedule'!$C$38="","",IF('Recurring Schedule'!$F$38="","",IF(OR($A335&lt;'Recurring Schedule'!$F$38,$A335&gt;'Recurring Schedule'!$P$38),"",IF(IF('Recurring Schedule'!$N$38&gt;0,MOD($A335-'Recurring Schedule'!$F$38,'Recurring Schedule'!$N$38)=0,IF('Recurring Schedule'!$O$38&gt;0,AND(DAY($A335)=MIN(DAY('Recurring Schedule'!$F$38),DAY(EOMONTH($A335,0))),MOD((YEAR($A335)-YEAR('Recurring Schedule'!$F$38))*12+MONTH($A335)-MONTH('Recurring Schedule'!$F$38),'Recurring Schedule'!$O$38)=0),IF('Recurring Schedule'!$E$38="Weekdays",WEEKDAY($A335,2)&lt;=5,$A335='Recurring Schedule'!$F$38))),33,""))))</f>
        <v/>
      </c>
      <c r="AI335">
        <f>IF('Recurring Schedule'!$C$39="","",IF('Recurring Schedule'!$F$39="","",IF(OR($A335&lt;'Recurring Schedule'!$F$39,$A335&gt;'Recurring Schedule'!$P$39),"",IF(IF('Recurring Schedule'!$N$39&gt;0,MOD($A335-'Recurring Schedule'!$F$39,'Recurring Schedule'!$N$39)=0,IF('Recurring Schedule'!$O$39&gt;0,AND(DAY($A335)=MIN(DAY('Recurring Schedule'!$F$39),DAY(EOMONTH($A335,0))),MOD((YEAR($A335)-YEAR('Recurring Schedule'!$F$39))*12+MONTH($A335)-MONTH('Recurring Schedule'!$F$39),'Recurring Schedule'!$O$39)=0),IF('Recurring Schedule'!$E$39="Weekdays",WEEKDAY($A335,2)&lt;=5,$A335='Recurring Schedule'!$F$39))),34,""))))</f>
        <v/>
      </c>
      <c r="AJ335">
        <f>IF('Recurring Schedule'!$C$40="","",IF('Recurring Schedule'!$F$40="","",IF(OR($A335&lt;'Recurring Schedule'!$F$40,$A335&gt;'Recurring Schedule'!$P$40),"",IF(IF('Recurring Schedule'!$N$40&gt;0,MOD($A335-'Recurring Schedule'!$F$40,'Recurring Schedule'!$N$40)=0,IF('Recurring Schedule'!$O$40&gt;0,AND(DAY($A335)=MIN(DAY('Recurring Schedule'!$F$40),DAY(EOMONTH($A335,0))),MOD((YEAR($A335)-YEAR('Recurring Schedule'!$F$40))*12+MONTH($A335)-MONTH('Recurring Schedule'!$F$40),'Recurring Schedule'!$O$40)=0),IF('Recurring Schedule'!$E$40="Weekdays",WEEKDAY($A335,2)&lt;=5,$A335='Recurring Schedule'!$F$40))),35,""))))</f>
        <v/>
      </c>
      <c r="AK335">
        <f>IF('Recurring Schedule'!$C$41="","",IF('Recurring Schedule'!$F$41="","",IF(OR($A335&lt;'Recurring Schedule'!$F$41,$A335&gt;'Recurring Schedule'!$P$41),"",IF(IF('Recurring Schedule'!$N$41&gt;0,MOD($A335-'Recurring Schedule'!$F$41,'Recurring Schedule'!$N$41)=0,IF('Recurring Schedule'!$O$41&gt;0,AND(DAY($A335)=MIN(DAY('Recurring Schedule'!$F$41),DAY(EOMONTH($A335,0))),MOD((YEAR($A335)-YEAR('Recurring Schedule'!$F$41))*12+MONTH($A335)-MONTH('Recurring Schedule'!$F$41),'Recurring Schedule'!$O$41)=0),IF('Recurring Schedule'!$E$41="Weekdays",WEEKDAY($A335,2)&lt;=5,$A335='Recurring Schedule'!$F$41))),36,""))))</f>
        <v/>
      </c>
      <c r="AL335">
        <f>IF('Recurring Schedule'!$C$42="","",IF('Recurring Schedule'!$F$42="","",IF(OR($A335&lt;'Recurring Schedule'!$F$42,$A335&gt;'Recurring Schedule'!$P$42),"",IF(IF('Recurring Schedule'!$N$42&gt;0,MOD($A335-'Recurring Schedule'!$F$42,'Recurring Schedule'!$N$42)=0,IF('Recurring Schedule'!$O$42&gt;0,AND(DAY($A335)=MIN(DAY('Recurring Schedule'!$F$42),DAY(EOMONTH($A335,0))),MOD((YEAR($A335)-YEAR('Recurring Schedule'!$F$42))*12+MONTH($A335)-MONTH('Recurring Schedule'!$F$42),'Recurring Schedule'!$O$42)=0),IF('Recurring Schedule'!$E$42="Weekdays",WEEKDAY($A335,2)&lt;=5,$A335='Recurring Schedule'!$F$42))),37,""))))</f>
        <v/>
      </c>
      <c r="AM335">
        <f>IF('Recurring Schedule'!$C$43="","",IF('Recurring Schedule'!$F$43="","",IF(OR($A335&lt;'Recurring Schedule'!$F$43,$A335&gt;'Recurring Schedule'!$P$43),"",IF(IF('Recurring Schedule'!$N$43&gt;0,MOD($A335-'Recurring Schedule'!$F$43,'Recurring Schedule'!$N$43)=0,IF('Recurring Schedule'!$O$43&gt;0,AND(DAY($A335)=MIN(DAY('Recurring Schedule'!$F$43),DAY(EOMONTH($A335,0))),MOD((YEAR($A335)-YEAR('Recurring Schedule'!$F$43))*12+MONTH($A335)-MONTH('Recurring Schedule'!$F$43),'Recurring Schedule'!$O$43)=0),IF('Recurring Schedule'!$E$43="Weekdays",WEEKDAY($A335,2)&lt;=5,$A335='Recurring Schedule'!$F$43))),38,""))))</f>
        <v/>
      </c>
      <c r="AN335">
        <f>IF('Recurring Schedule'!$C$44="","",IF('Recurring Schedule'!$F$44="","",IF(OR($A335&lt;'Recurring Schedule'!$F$44,$A335&gt;'Recurring Schedule'!$P$44),"",IF(IF('Recurring Schedule'!$N$44&gt;0,MOD($A335-'Recurring Schedule'!$F$44,'Recurring Schedule'!$N$44)=0,IF('Recurring Schedule'!$O$44&gt;0,AND(DAY($A335)=MIN(DAY('Recurring Schedule'!$F$44),DAY(EOMONTH($A335,0))),MOD((YEAR($A335)-YEAR('Recurring Schedule'!$F$44))*12+MONTH($A335)-MONTH('Recurring Schedule'!$F$44),'Recurring Schedule'!$O$44)=0),IF('Recurring Schedule'!$E$44="Weekdays",WEEKDAY($A335,2)&lt;=5,$A335='Recurring Schedule'!$F$44))),39,""))))</f>
        <v/>
      </c>
      <c r="AO335">
        <f>IF('Recurring Schedule'!$C$45="","",IF('Recurring Schedule'!$F$45="","",IF(OR($A335&lt;'Recurring Schedule'!$F$45,$A335&gt;'Recurring Schedule'!$P$45),"",IF(IF('Recurring Schedule'!$N$45&gt;0,MOD($A335-'Recurring Schedule'!$F$45,'Recurring Schedule'!$N$45)=0,IF('Recurring Schedule'!$O$45&gt;0,AND(DAY($A335)=MIN(DAY('Recurring Schedule'!$F$45),DAY(EOMONTH($A335,0))),MOD((YEAR($A335)-YEAR('Recurring Schedule'!$F$45))*12+MONTH($A335)-MONTH('Recurring Schedule'!$F$45),'Recurring Schedule'!$O$45)=0),IF('Recurring Schedule'!$E$45="Weekdays",WEEKDAY($A335,2)&lt;=5,$A335='Recurring Schedule'!$F$45))),40,""))))</f>
        <v/>
      </c>
      <c r="AP335">
        <f>COUNT(B335:AO335)</f>
        <v/>
      </c>
      <c r="AQ335">
        <f>AQ334+AP334</f>
        <v/>
      </c>
      <c r="AS335" t="inlineStr">
        <is>
          <t>R</t>
        </is>
      </c>
      <c r="AT335" t="n">
        <v>339</v>
      </c>
      <c r="AU335">
        <f>'Recurring Log'!C339&amp;""</f>
        <v/>
      </c>
      <c r="AV335">
        <f>'Recurring Log'!D339&amp;""</f>
        <v/>
      </c>
      <c r="AW335">
        <f>IF('Recurring Log'!E339="","",'Recurring Log'!E339)</f>
        <v/>
      </c>
      <c r="AX335">
        <f>IF('Recurring Log'!G339="","",'Recurring Log'!G339)</f>
        <v/>
      </c>
      <c r="AY335">
        <f>IF('Recurring Log'!H339="","",'Recurring Log'!H339)</f>
        <v/>
      </c>
      <c r="AZ335">
        <f>IF(AU335="","",IF('Recurring Log'!J339="","Not Started",'Recurring Log'!J339))</f>
        <v/>
      </c>
      <c r="BA335">
        <f>'Recurring Log'!L339&amp;""</f>
        <v/>
      </c>
      <c r="BB335">
        <f>'Recurring Log'!M339&amp;""</f>
        <v/>
      </c>
      <c r="BC335">
        <f>'Recurring Log'!N339&amp;""</f>
        <v/>
      </c>
      <c r="BD335">
        <f>'Recurring Log'!O339&amp;""</f>
        <v/>
      </c>
      <c r="BE335">
        <f>IF('Recurring Log'!K339="","",'Recurring Log'!K339)</f>
        <v/>
      </c>
      <c r="BF335">
        <f>IFERROR(MATCH(BA335,Setup!$L$6:$L$9,0),5)</f>
        <v/>
      </c>
      <c r="BG335">
        <f>IF(OR(AZ335="Done",AZ335="Cancelled"),1,0)</f>
        <v/>
      </c>
      <c r="BH335">
        <f>IF(AND(AU335&lt;&gt;"",ISNUMBER(AW335)),1,0)</f>
        <v/>
      </c>
      <c r="BI335">
        <f>IF(BH335=0,0,IF(AND(AW335&gt;='Tasks Filter'!$F$3,AW335&lt;='Tasks Filter'!$F$4,OR('Tasks Filter'!$I$3="",ISNUMBER(SEARCH('Tasks Filter'!$I$3,AU335))),OR('Tasks Filter'!$I$4="",BF335=IFERROR(MATCH('Tasks Filter'!$I$4,Setup!$L$6:$L$9,0),0)),OR('Tasks Filter'!$I$5="Both",AND('Tasks Filter'!$I$5="Yes",BB335="✓"),AND('Tasks Filter'!$I$5="No",BB335&lt;&gt;"✓")),OR('Tasks Filter'!$L$3="",AV335='Tasks Filter'!$L$3),OR('Tasks Filter'!$L$4="",AZ335='Tasks Filter'!$L$4),OR('Tasks Filter'!$L$5="",BC335='Tasks Filter'!$L$5),OR('Tasks Filter'!$O$3="",BD335='Tasks Filter'!$O$3),OR('Tasks Filter'!$O$4="Yes",BG335=0)),1,0))</f>
        <v/>
      </c>
      <c r="BJ335">
        <f>IF(BH335=0,"",IF('Tasks Filter'!$F$6="Descending",-1,1)*CHOOSE(MATCH('Tasks Filter'!$F$5,Lists!$G$2:$G$6,0),AW335,BF335,IFERROR(MATCH(AV335,Setup!$F$6:$F$15,0),99),IFERROR(MATCH(BC335,Setup!$H$6:$H$15,0),99),IFERROR(MATCH(AZ335,Setup!$J$6:$J$11,0),99))*1E+9+(AW335-40000)*10000+334)</f>
        <v/>
      </c>
      <c r="BK335">
        <f>IF(BI335=1,BJ335,"")</f>
        <v/>
      </c>
      <c r="BL335">
        <f>IF(AND(BH335=1,BG335=0,N(AW335)&lt;Setup!$D$7),(AW335-40000)*10000+334,"")</f>
        <v/>
      </c>
      <c r="BM335">
        <f>IF(AND(BH335=1,AZ335&lt;&gt;"Cancelled",N(AW335)&gt;=Dashboard!$AB$3,N(AW335)&lt;=Dashboard!$AB$3+6),(AW335-40000)*100000+BF335*10000+334,"")</f>
        <v/>
      </c>
      <c r="BN335">
        <f>IF(AND(BH335=1,AZ335&lt;&gt;"Cancelled"),BF335*10000+334,"")</f>
        <v/>
      </c>
    </row>
    <row r="336">
      <c r="A336">
        <f>Setup!$D$5+334</f>
        <v/>
      </c>
      <c r="B336">
        <f>IF('Recurring Schedule'!$C$6="","",IF('Recurring Schedule'!$F$6="","",IF(OR($A336&lt;'Recurring Schedule'!$F$6,$A336&gt;'Recurring Schedule'!$P$6),"",IF(IF('Recurring Schedule'!$N$6&gt;0,MOD($A336-'Recurring Schedule'!$F$6,'Recurring Schedule'!$N$6)=0,IF('Recurring Schedule'!$O$6&gt;0,AND(DAY($A336)=MIN(DAY('Recurring Schedule'!$F$6),DAY(EOMONTH($A336,0))),MOD((YEAR($A336)-YEAR('Recurring Schedule'!$F$6))*12+MONTH($A336)-MONTH('Recurring Schedule'!$F$6),'Recurring Schedule'!$O$6)=0),IF('Recurring Schedule'!$E$6="Weekdays",WEEKDAY($A336,2)&lt;=5,$A336='Recurring Schedule'!$F$6))),1,""))))</f>
        <v/>
      </c>
      <c r="C336">
        <f>IF('Recurring Schedule'!$C$7="","",IF('Recurring Schedule'!$F$7="","",IF(OR($A336&lt;'Recurring Schedule'!$F$7,$A336&gt;'Recurring Schedule'!$P$7),"",IF(IF('Recurring Schedule'!$N$7&gt;0,MOD($A336-'Recurring Schedule'!$F$7,'Recurring Schedule'!$N$7)=0,IF('Recurring Schedule'!$O$7&gt;0,AND(DAY($A336)=MIN(DAY('Recurring Schedule'!$F$7),DAY(EOMONTH($A336,0))),MOD((YEAR($A336)-YEAR('Recurring Schedule'!$F$7))*12+MONTH($A336)-MONTH('Recurring Schedule'!$F$7),'Recurring Schedule'!$O$7)=0),IF('Recurring Schedule'!$E$7="Weekdays",WEEKDAY($A336,2)&lt;=5,$A336='Recurring Schedule'!$F$7))),2,""))))</f>
        <v/>
      </c>
      <c r="D336">
        <f>IF('Recurring Schedule'!$C$8="","",IF('Recurring Schedule'!$F$8="","",IF(OR($A336&lt;'Recurring Schedule'!$F$8,$A336&gt;'Recurring Schedule'!$P$8),"",IF(IF('Recurring Schedule'!$N$8&gt;0,MOD($A336-'Recurring Schedule'!$F$8,'Recurring Schedule'!$N$8)=0,IF('Recurring Schedule'!$O$8&gt;0,AND(DAY($A336)=MIN(DAY('Recurring Schedule'!$F$8),DAY(EOMONTH($A336,0))),MOD((YEAR($A336)-YEAR('Recurring Schedule'!$F$8))*12+MONTH($A336)-MONTH('Recurring Schedule'!$F$8),'Recurring Schedule'!$O$8)=0),IF('Recurring Schedule'!$E$8="Weekdays",WEEKDAY($A336,2)&lt;=5,$A336='Recurring Schedule'!$F$8))),3,""))))</f>
        <v/>
      </c>
      <c r="E336">
        <f>IF('Recurring Schedule'!$C$9="","",IF('Recurring Schedule'!$F$9="","",IF(OR($A336&lt;'Recurring Schedule'!$F$9,$A336&gt;'Recurring Schedule'!$P$9),"",IF(IF('Recurring Schedule'!$N$9&gt;0,MOD($A336-'Recurring Schedule'!$F$9,'Recurring Schedule'!$N$9)=0,IF('Recurring Schedule'!$O$9&gt;0,AND(DAY($A336)=MIN(DAY('Recurring Schedule'!$F$9),DAY(EOMONTH($A336,0))),MOD((YEAR($A336)-YEAR('Recurring Schedule'!$F$9))*12+MONTH($A336)-MONTH('Recurring Schedule'!$F$9),'Recurring Schedule'!$O$9)=0),IF('Recurring Schedule'!$E$9="Weekdays",WEEKDAY($A336,2)&lt;=5,$A336='Recurring Schedule'!$F$9))),4,""))))</f>
        <v/>
      </c>
      <c r="F336">
        <f>IF('Recurring Schedule'!$C$10="","",IF('Recurring Schedule'!$F$10="","",IF(OR($A336&lt;'Recurring Schedule'!$F$10,$A336&gt;'Recurring Schedule'!$P$10),"",IF(IF('Recurring Schedule'!$N$10&gt;0,MOD($A336-'Recurring Schedule'!$F$10,'Recurring Schedule'!$N$10)=0,IF('Recurring Schedule'!$O$10&gt;0,AND(DAY($A336)=MIN(DAY('Recurring Schedule'!$F$10),DAY(EOMONTH($A336,0))),MOD((YEAR($A336)-YEAR('Recurring Schedule'!$F$10))*12+MONTH($A336)-MONTH('Recurring Schedule'!$F$10),'Recurring Schedule'!$O$10)=0),IF('Recurring Schedule'!$E$10="Weekdays",WEEKDAY($A336,2)&lt;=5,$A336='Recurring Schedule'!$F$10))),5,""))))</f>
        <v/>
      </c>
      <c r="G336">
        <f>IF('Recurring Schedule'!$C$11="","",IF('Recurring Schedule'!$F$11="","",IF(OR($A336&lt;'Recurring Schedule'!$F$11,$A336&gt;'Recurring Schedule'!$P$11),"",IF(IF('Recurring Schedule'!$N$11&gt;0,MOD($A336-'Recurring Schedule'!$F$11,'Recurring Schedule'!$N$11)=0,IF('Recurring Schedule'!$O$11&gt;0,AND(DAY($A336)=MIN(DAY('Recurring Schedule'!$F$11),DAY(EOMONTH($A336,0))),MOD((YEAR($A336)-YEAR('Recurring Schedule'!$F$11))*12+MONTH($A336)-MONTH('Recurring Schedule'!$F$11),'Recurring Schedule'!$O$11)=0),IF('Recurring Schedule'!$E$11="Weekdays",WEEKDAY($A336,2)&lt;=5,$A336='Recurring Schedule'!$F$11))),6,""))))</f>
        <v/>
      </c>
      <c r="H336">
        <f>IF('Recurring Schedule'!$C$12="","",IF('Recurring Schedule'!$F$12="","",IF(OR($A336&lt;'Recurring Schedule'!$F$12,$A336&gt;'Recurring Schedule'!$P$12),"",IF(IF('Recurring Schedule'!$N$12&gt;0,MOD($A336-'Recurring Schedule'!$F$12,'Recurring Schedule'!$N$12)=0,IF('Recurring Schedule'!$O$12&gt;0,AND(DAY($A336)=MIN(DAY('Recurring Schedule'!$F$12),DAY(EOMONTH($A336,0))),MOD((YEAR($A336)-YEAR('Recurring Schedule'!$F$12))*12+MONTH($A336)-MONTH('Recurring Schedule'!$F$12),'Recurring Schedule'!$O$12)=0),IF('Recurring Schedule'!$E$12="Weekdays",WEEKDAY($A336,2)&lt;=5,$A336='Recurring Schedule'!$F$12))),7,""))))</f>
        <v/>
      </c>
      <c r="I336">
        <f>IF('Recurring Schedule'!$C$13="","",IF('Recurring Schedule'!$F$13="","",IF(OR($A336&lt;'Recurring Schedule'!$F$13,$A336&gt;'Recurring Schedule'!$P$13),"",IF(IF('Recurring Schedule'!$N$13&gt;0,MOD($A336-'Recurring Schedule'!$F$13,'Recurring Schedule'!$N$13)=0,IF('Recurring Schedule'!$O$13&gt;0,AND(DAY($A336)=MIN(DAY('Recurring Schedule'!$F$13),DAY(EOMONTH($A336,0))),MOD((YEAR($A336)-YEAR('Recurring Schedule'!$F$13))*12+MONTH($A336)-MONTH('Recurring Schedule'!$F$13),'Recurring Schedule'!$O$13)=0),IF('Recurring Schedule'!$E$13="Weekdays",WEEKDAY($A336,2)&lt;=5,$A336='Recurring Schedule'!$F$13))),8,""))))</f>
        <v/>
      </c>
      <c r="J336">
        <f>IF('Recurring Schedule'!$C$14="","",IF('Recurring Schedule'!$F$14="","",IF(OR($A336&lt;'Recurring Schedule'!$F$14,$A336&gt;'Recurring Schedule'!$P$14),"",IF(IF('Recurring Schedule'!$N$14&gt;0,MOD($A336-'Recurring Schedule'!$F$14,'Recurring Schedule'!$N$14)=0,IF('Recurring Schedule'!$O$14&gt;0,AND(DAY($A336)=MIN(DAY('Recurring Schedule'!$F$14),DAY(EOMONTH($A336,0))),MOD((YEAR($A336)-YEAR('Recurring Schedule'!$F$14))*12+MONTH($A336)-MONTH('Recurring Schedule'!$F$14),'Recurring Schedule'!$O$14)=0),IF('Recurring Schedule'!$E$14="Weekdays",WEEKDAY($A336,2)&lt;=5,$A336='Recurring Schedule'!$F$14))),9,""))))</f>
        <v/>
      </c>
      <c r="K336">
        <f>IF('Recurring Schedule'!$C$15="","",IF('Recurring Schedule'!$F$15="","",IF(OR($A336&lt;'Recurring Schedule'!$F$15,$A336&gt;'Recurring Schedule'!$P$15),"",IF(IF('Recurring Schedule'!$N$15&gt;0,MOD($A336-'Recurring Schedule'!$F$15,'Recurring Schedule'!$N$15)=0,IF('Recurring Schedule'!$O$15&gt;0,AND(DAY($A336)=MIN(DAY('Recurring Schedule'!$F$15),DAY(EOMONTH($A336,0))),MOD((YEAR($A336)-YEAR('Recurring Schedule'!$F$15))*12+MONTH($A336)-MONTH('Recurring Schedule'!$F$15),'Recurring Schedule'!$O$15)=0),IF('Recurring Schedule'!$E$15="Weekdays",WEEKDAY($A336,2)&lt;=5,$A336='Recurring Schedule'!$F$15))),10,""))))</f>
        <v/>
      </c>
      <c r="L336">
        <f>IF('Recurring Schedule'!$C$16="","",IF('Recurring Schedule'!$F$16="","",IF(OR($A336&lt;'Recurring Schedule'!$F$16,$A336&gt;'Recurring Schedule'!$P$16),"",IF(IF('Recurring Schedule'!$N$16&gt;0,MOD($A336-'Recurring Schedule'!$F$16,'Recurring Schedule'!$N$16)=0,IF('Recurring Schedule'!$O$16&gt;0,AND(DAY($A336)=MIN(DAY('Recurring Schedule'!$F$16),DAY(EOMONTH($A336,0))),MOD((YEAR($A336)-YEAR('Recurring Schedule'!$F$16))*12+MONTH($A336)-MONTH('Recurring Schedule'!$F$16),'Recurring Schedule'!$O$16)=0),IF('Recurring Schedule'!$E$16="Weekdays",WEEKDAY($A336,2)&lt;=5,$A336='Recurring Schedule'!$F$16))),11,""))))</f>
        <v/>
      </c>
      <c r="M336">
        <f>IF('Recurring Schedule'!$C$17="","",IF('Recurring Schedule'!$F$17="","",IF(OR($A336&lt;'Recurring Schedule'!$F$17,$A336&gt;'Recurring Schedule'!$P$17),"",IF(IF('Recurring Schedule'!$N$17&gt;0,MOD($A336-'Recurring Schedule'!$F$17,'Recurring Schedule'!$N$17)=0,IF('Recurring Schedule'!$O$17&gt;0,AND(DAY($A336)=MIN(DAY('Recurring Schedule'!$F$17),DAY(EOMONTH($A336,0))),MOD((YEAR($A336)-YEAR('Recurring Schedule'!$F$17))*12+MONTH($A336)-MONTH('Recurring Schedule'!$F$17),'Recurring Schedule'!$O$17)=0),IF('Recurring Schedule'!$E$17="Weekdays",WEEKDAY($A336,2)&lt;=5,$A336='Recurring Schedule'!$F$17))),12,""))))</f>
        <v/>
      </c>
      <c r="N336">
        <f>IF('Recurring Schedule'!$C$18="","",IF('Recurring Schedule'!$F$18="","",IF(OR($A336&lt;'Recurring Schedule'!$F$18,$A336&gt;'Recurring Schedule'!$P$18),"",IF(IF('Recurring Schedule'!$N$18&gt;0,MOD($A336-'Recurring Schedule'!$F$18,'Recurring Schedule'!$N$18)=0,IF('Recurring Schedule'!$O$18&gt;0,AND(DAY($A336)=MIN(DAY('Recurring Schedule'!$F$18),DAY(EOMONTH($A336,0))),MOD((YEAR($A336)-YEAR('Recurring Schedule'!$F$18))*12+MONTH($A336)-MONTH('Recurring Schedule'!$F$18),'Recurring Schedule'!$O$18)=0),IF('Recurring Schedule'!$E$18="Weekdays",WEEKDAY($A336,2)&lt;=5,$A336='Recurring Schedule'!$F$18))),13,""))))</f>
        <v/>
      </c>
      <c r="O336">
        <f>IF('Recurring Schedule'!$C$19="","",IF('Recurring Schedule'!$F$19="","",IF(OR($A336&lt;'Recurring Schedule'!$F$19,$A336&gt;'Recurring Schedule'!$P$19),"",IF(IF('Recurring Schedule'!$N$19&gt;0,MOD($A336-'Recurring Schedule'!$F$19,'Recurring Schedule'!$N$19)=0,IF('Recurring Schedule'!$O$19&gt;0,AND(DAY($A336)=MIN(DAY('Recurring Schedule'!$F$19),DAY(EOMONTH($A336,0))),MOD((YEAR($A336)-YEAR('Recurring Schedule'!$F$19))*12+MONTH($A336)-MONTH('Recurring Schedule'!$F$19),'Recurring Schedule'!$O$19)=0),IF('Recurring Schedule'!$E$19="Weekdays",WEEKDAY($A336,2)&lt;=5,$A336='Recurring Schedule'!$F$19))),14,""))))</f>
        <v/>
      </c>
      <c r="P336">
        <f>IF('Recurring Schedule'!$C$20="","",IF('Recurring Schedule'!$F$20="","",IF(OR($A336&lt;'Recurring Schedule'!$F$20,$A336&gt;'Recurring Schedule'!$P$20),"",IF(IF('Recurring Schedule'!$N$20&gt;0,MOD($A336-'Recurring Schedule'!$F$20,'Recurring Schedule'!$N$20)=0,IF('Recurring Schedule'!$O$20&gt;0,AND(DAY($A336)=MIN(DAY('Recurring Schedule'!$F$20),DAY(EOMONTH($A336,0))),MOD((YEAR($A336)-YEAR('Recurring Schedule'!$F$20))*12+MONTH($A336)-MONTH('Recurring Schedule'!$F$20),'Recurring Schedule'!$O$20)=0),IF('Recurring Schedule'!$E$20="Weekdays",WEEKDAY($A336,2)&lt;=5,$A336='Recurring Schedule'!$F$20))),15,""))))</f>
        <v/>
      </c>
      <c r="Q336">
        <f>IF('Recurring Schedule'!$C$21="","",IF('Recurring Schedule'!$F$21="","",IF(OR($A336&lt;'Recurring Schedule'!$F$21,$A336&gt;'Recurring Schedule'!$P$21),"",IF(IF('Recurring Schedule'!$N$21&gt;0,MOD($A336-'Recurring Schedule'!$F$21,'Recurring Schedule'!$N$21)=0,IF('Recurring Schedule'!$O$21&gt;0,AND(DAY($A336)=MIN(DAY('Recurring Schedule'!$F$21),DAY(EOMONTH($A336,0))),MOD((YEAR($A336)-YEAR('Recurring Schedule'!$F$21))*12+MONTH($A336)-MONTH('Recurring Schedule'!$F$21),'Recurring Schedule'!$O$21)=0),IF('Recurring Schedule'!$E$21="Weekdays",WEEKDAY($A336,2)&lt;=5,$A336='Recurring Schedule'!$F$21))),16,""))))</f>
        <v/>
      </c>
      <c r="R336">
        <f>IF('Recurring Schedule'!$C$22="","",IF('Recurring Schedule'!$F$22="","",IF(OR($A336&lt;'Recurring Schedule'!$F$22,$A336&gt;'Recurring Schedule'!$P$22),"",IF(IF('Recurring Schedule'!$N$22&gt;0,MOD($A336-'Recurring Schedule'!$F$22,'Recurring Schedule'!$N$22)=0,IF('Recurring Schedule'!$O$22&gt;0,AND(DAY($A336)=MIN(DAY('Recurring Schedule'!$F$22),DAY(EOMONTH($A336,0))),MOD((YEAR($A336)-YEAR('Recurring Schedule'!$F$22))*12+MONTH($A336)-MONTH('Recurring Schedule'!$F$22),'Recurring Schedule'!$O$22)=0),IF('Recurring Schedule'!$E$22="Weekdays",WEEKDAY($A336,2)&lt;=5,$A336='Recurring Schedule'!$F$22))),17,""))))</f>
        <v/>
      </c>
      <c r="S336">
        <f>IF('Recurring Schedule'!$C$23="","",IF('Recurring Schedule'!$F$23="","",IF(OR($A336&lt;'Recurring Schedule'!$F$23,$A336&gt;'Recurring Schedule'!$P$23),"",IF(IF('Recurring Schedule'!$N$23&gt;0,MOD($A336-'Recurring Schedule'!$F$23,'Recurring Schedule'!$N$23)=0,IF('Recurring Schedule'!$O$23&gt;0,AND(DAY($A336)=MIN(DAY('Recurring Schedule'!$F$23),DAY(EOMONTH($A336,0))),MOD((YEAR($A336)-YEAR('Recurring Schedule'!$F$23))*12+MONTH($A336)-MONTH('Recurring Schedule'!$F$23),'Recurring Schedule'!$O$23)=0),IF('Recurring Schedule'!$E$23="Weekdays",WEEKDAY($A336,2)&lt;=5,$A336='Recurring Schedule'!$F$23))),18,""))))</f>
        <v/>
      </c>
      <c r="T336">
        <f>IF('Recurring Schedule'!$C$24="","",IF('Recurring Schedule'!$F$24="","",IF(OR($A336&lt;'Recurring Schedule'!$F$24,$A336&gt;'Recurring Schedule'!$P$24),"",IF(IF('Recurring Schedule'!$N$24&gt;0,MOD($A336-'Recurring Schedule'!$F$24,'Recurring Schedule'!$N$24)=0,IF('Recurring Schedule'!$O$24&gt;0,AND(DAY($A336)=MIN(DAY('Recurring Schedule'!$F$24),DAY(EOMONTH($A336,0))),MOD((YEAR($A336)-YEAR('Recurring Schedule'!$F$24))*12+MONTH($A336)-MONTH('Recurring Schedule'!$F$24),'Recurring Schedule'!$O$24)=0),IF('Recurring Schedule'!$E$24="Weekdays",WEEKDAY($A336,2)&lt;=5,$A336='Recurring Schedule'!$F$24))),19,""))))</f>
        <v/>
      </c>
      <c r="U336">
        <f>IF('Recurring Schedule'!$C$25="","",IF('Recurring Schedule'!$F$25="","",IF(OR($A336&lt;'Recurring Schedule'!$F$25,$A336&gt;'Recurring Schedule'!$P$25),"",IF(IF('Recurring Schedule'!$N$25&gt;0,MOD($A336-'Recurring Schedule'!$F$25,'Recurring Schedule'!$N$25)=0,IF('Recurring Schedule'!$O$25&gt;0,AND(DAY($A336)=MIN(DAY('Recurring Schedule'!$F$25),DAY(EOMONTH($A336,0))),MOD((YEAR($A336)-YEAR('Recurring Schedule'!$F$25))*12+MONTH($A336)-MONTH('Recurring Schedule'!$F$25),'Recurring Schedule'!$O$25)=0),IF('Recurring Schedule'!$E$25="Weekdays",WEEKDAY($A336,2)&lt;=5,$A336='Recurring Schedule'!$F$25))),20,""))))</f>
        <v/>
      </c>
      <c r="V336">
        <f>IF('Recurring Schedule'!$C$26="","",IF('Recurring Schedule'!$F$26="","",IF(OR($A336&lt;'Recurring Schedule'!$F$26,$A336&gt;'Recurring Schedule'!$P$26),"",IF(IF('Recurring Schedule'!$N$26&gt;0,MOD($A336-'Recurring Schedule'!$F$26,'Recurring Schedule'!$N$26)=0,IF('Recurring Schedule'!$O$26&gt;0,AND(DAY($A336)=MIN(DAY('Recurring Schedule'!$F$26),DAY(EOMONTH($A336,0))),MOD((YEAR($A336)-YEAR('Recurring Schedule'!$F$26))*12+MONTH($A336)-MONTH('Recurring Schedule'!$F$26),'Recurring Schedule'!$O$26)=0),IF('Recurring Schedule'!$E$26="Weekdays",WEEKDAY($A336,2)&lt;=5,$A336='Recurring Schedule'!$F$26))),21,""))))</f>
        <v/>
      </c>
      <c r="W336">
        <f>IF('Recurring Schedule'!$C$27="","",IF('Recurring Schedule'!$F$27="","",IF(OR($A336&lt;'Recurring Schedule'!$F$27,$A336&gt;'Recurring Schedule'!$P$27),"",IF(IF('Recurring Schedule'!$N$27&gt;0,MOD($A336-'Recurring Schedule'!$F$27,'Recurring Schedule'!$N$27)=0,IF('Recurring Schedule'!$O$27&gt;0,AND(DAY($A336)=MIN(DAY('Recurring Schedule'!$F$27),DAY(EOMONTH($A336,0))),MOD((YEAR($A336)-YEAR('Recurring Schedule'!$F$27))*12+MONTH($A336)-MONTH('Recurring Schedule'!$F$27),'Recurring Schedule'!$O$27)=0),IF('Recurring Schedule'!$E$27="Weekdays",WEEKDAY($A336,2)&lt;=5,$A336='Recurring Schedule'!$F$27))),22,""))))</f>
        <v/>
      </c>
      <c r="X336">
        <f>IF('Recurring Schedule'!$C$28="","",IF('Recurring Schedule'!$F$28="","",IF(OR($A336&lt;'Recurring Schedule'!$F$28,$A336&gt;'Recurring Schedule'!$P$28),"",IF(IF('Recurring Schedule'!$N$28&gt;0,MOD($A336-'Recurring Schedule'!$F$28,'Recurring Schedule'!$N$28)=0,IF('Recurring Schedule'!$O$28&gt;0,AND(DAY($A336)=MIN(DAY('Recurring Schedule'!$F$28),DAY(EOMONTH($A336,0))),MOD((YEAR($A336)-YEAR('Recurring Schedule'!$F$28))*12+MONTH($A336)-MONTH('Recurring Schedule'!$F$28),'Recurring Schedule'!$O$28)=0),IF('Recurring Schedule'!$E$28="Weekdays",WEEKDAY($A336,2)&lt;=5,$A336='Recurring Schedule'!$F$28))),23,""))))</f>
        <v/>
      </c>
      <c r="Y336">
        <f>IF('Recurring Schedule'!$C$29="","",IF('Recurring Schedule'!$F$29="","",IF(OR($A336&lt;'Recurring Schedule'!$F$29,$A336&gt;'Recurring Schedule'!$P$29),"",IF(IF('Recurring Schedule'!$N$29&gt;0,MOD($A336-'Recurring Schedule'!$F$29,'Recurring Schedule'!$N$29)=0,IF('Recurring Schedule'!$O$29&gt;0,AND(DAY($A336)=MIN(DAY('Recurring Schedule'!$F$29),DAY(EOMONTH($A336,0))),MOD((YEAR($A336)-YEAR('Recurring Schedule'!$F$29))*12+MONTH($A336)-MONTH('Recurring Schedule'!$F$29),'Recurring Schedule'!$O$29)=0),IF('Recurring Schedule'!$E$29="Weekdays",WEEKDAY($A336,2)&lt;=5,$A336='Recurring Schedule'!$F$29))),24,""))))</f>
        <v/>
      </c>
      <c r="Z336">
        <f>IF('Recurring Schedule'!$C$30="","",IF('Recurring Schedule'!$F$30="","",IF(OR($A336&lt;'Recurring Schedule'!$F$30,$A336&gt;'Recurring Schedule'!$P$30),"",IF(IF('Recurring Schedule'!$N$30&gt;0,MOD($A336-'Recurring Schedule'!$F$30,'Recurring Schedule'!$N$30)=0,IF('Recurring Schedule'!$O$30&gt;0,AND(DAY($A336)=MIN(DAY('Recurring Schedule'!$F$30),DAY(EOMONTH($A336,0))),MOD((YEAR($A336)-YEAR('Recurring Schedule'!$F$30))*12+MONTH($A336)-MONTH('Recurring Schedule'!$F$30),'Recurring Schedule'!$O$30)=0),IF('Recurring Schedule'!$E$30="Weekdays",WEEKDAY($A336,2)&lt;=5,$A336='Recurring Schedule'!$F$30))),25,""))))</f>
        <v/>
      </c>
      <c r="AA336">
        <f>IF('Recurring Schedule'!$C$31="","",IF('Recurring Schedule'!$F$31="","",IF(OR($A336&lt;'Recurring Schedule'!$F$31,$A336&gt;'Recurring Schedule'!$P$31),"",IF(IF('Recurring Schedule'!$N$31&gt;0,MOD($A336-'Recurring Schedule'!$F$31,'Recurring Schedule'!$N$31)=0,IF('Recurring Schedule'!$O$31&gt;0,AND(DAY($A336)=MIN(DAY('Recurring Schedule'!$F$31),DAY(EOMONTH($A336,0))),MOD((YEAR($A336)-YEAR('Recurring Schedule'!$F$31))*12+MONTH($A336)-MONTH('Recurring Schedule'!$F$31),'Recurring Schedule'!$O$31)=0),IF('Recurring Schedule'!$E$31="Weekdays",WEEKDAY($A336,2)&lt;=5,$A336='Recurring Schedule'!$F$31))),26,""))))</f>
        <v/>
      </c>
      <c r="AB336">
        <f>IF('Recurring Schedule'!$C$32="","",IF('Recurring Schedule'!$F$32="","",IF(OR($A336&lt;'Recurring Schedule'!$F$32,$A336&gt;'Recurring Schedule'!$P$32),"",IF(IF('Recurring Schedule'!$N$32&gt;0,MOD($A336-'Recurring Schedule'!$F$32,'Recurring Schedule'!$N$32)=0,IF('Recurring Schedule'!$O$32&gt;0,AND(DAY($A336)=MIN(DAY('Recurring Schedule'!$F$32),DAY(EOMONTH($A336,0))),MOD((YEAR($A336)-YEAR('Recurring Schedule'!$F$32))*12+MONTH($A336)-MONTH('Recurring Schedule'!$F$32),'Recurring Schedule'!$O$32)=0),IF('Recurring Schedule'!$E$32="Weekdays",WEEKDAY($A336,2)&lt;=5,$A336='Recurring Schedule'!$F$32))),27,""))))</f>
        <v/>
      </c>
      <c r="AC336">
        <f>IF('Recurring Schedule'!$C$33="","",IF('Recurring Schedule'!$F$33="","",IF(OR($A336&lt;'Recurring Schedule'!$F$33,$A336&gt;'Recurring Schedule'!$P$33),"",IF(IF('Recurring Schedule'!$N$33&gt;0,MOD($A336-'Recurring Schedule'!$F$33,'Recurring Schedule'!$N$33)=0,IF('Recurring Schedule'!$O$33&gt;0,AND(DAY($A336)=MIN(DAY('Recurring Schedule'!$F$33),DAY(EOMONTH($A336,0))),MOD((YEAR($A336)-YEAR('Recurring Schedule'!$F$33))*12+MONTH($A336)-MONTH('Recurring Schedule'!$F$33),'Recurring Schedule'!$O$33)=0),IF('Recurring Schedule'!$E$33="Weekdays",WEEKDAY($A336,2)&lt;=5,$A336='Recurring Schedule'!$F$33))),28,""))))</f>
        <v/>
      </c>
      <c r="AD336">
        <f>IF('Recurring Schedule'!$C$34="","",IF('Recurring Schedule'!$F$34="","",IF(OR($A336&lt;'Recurring Schedule'!$F$34,$A336&gt;'Recurring Schedule'!$P$34),"",IF(IF('Recurring Schedule'!$N$34&gt;0,MOD($A336-'Recurring Schedule'!$F$34,'Recurring Schedule'!$N$34)=0,IF('Recurring Schedule'!$O$34&gt;0,AND(DAY($A336)=MIN(DAY('Recurring Schedule'!$F$34),DAY(EOMONTH($A336,0))),MOD((YEAR($A336)-YEAR('Recurring Schedule'!$F$34))*12+MONTH($A336)-MONTH('Recurring Schedule'!$F$34),'Recurring Schedule'!$O$34)=0),IF('Recurring Schedule'!$E$34="Weekdays",WEEKDAY($A336,2)&lt;=5,$A336='Recurring Schedule'!$F$34))),29,""))))</f>
        <v/>
      </c>
      <c r="AE336">
        <f>IF('Recurring Schedule'!$C$35="","",IF('Recurring Schedule'!$F$35="","",IF(OR($A336&lt;'Recurring Schedule'!$F$35,$A336&gt;'Recurring Schedule'!$P$35),"",IF(IF('Recurring Schedule'!$N$35&gt;0,MOD($A336-'Recurring Schedule'!$F$35,'Recurring Schedule'!$N$35)=0,IF('Recurring Schedule'!$O$35&gt;0,AND(DAY($A336)=MIN(DAY('Recurring Schedule'!$F$35),DAY(EOMONTH($A336,0))),MOD((YEAR($A336)-YEAR('Recurring Schedule'!$F$35))*12+MONTH($A336)-MONTH('Recurring Schedule'!$F$35),'Recurring Schedule'!$O$35)=0),IF('Recurring Schedule'!$E$35="Weekdays",WEEKDAY($A336,2)&lt;=5,$A336='Recurring Schedule'!$F$35))),30,""))))</f>
        <v/>
      </c>
      <c r="AF336">
        <f>IF('Recurring Schedule'!$C$36="","",IF('Recurring Schedule'!$F$36="","",IF(OR($A336&lt;'Recurring Schedule'!$F$36,$A336&gt;'Recurring Schedule'!$P$36),"",IF(IF('Recurring Schedule'!$N$36&gt;0,MOD($A336-'Recurring Schedule'!$F$36,'Recurring Schedule'!$N$36)=0,IF('Recurring Schedule'!$O$36&gt;0,AND(DAY($A336)=MIN(DAY('Recurring Schedule'!$F$36),DAY(EOMONTH($A336,0))),MOD((YEAR($A336)-YEAR('Recurring Schedule'!$F$36))*12+MONTH($A336)-MONTH('Recurring Schedule'!$F$36),'Recurring Schedule'!$O$36)=0),IF('Recurring Schedule'!$E$36="Weekdays",WEEKDAY($A336,2)&lt;=5,$A336='Recurring Schedule'!$F$36))),31,""))))</f>
        <v/>
      </c>
      <c r="AG336">
        <f>IF('Recurring Schedule'!$C$37="","",IF('Recurring Schedule'!$F$37="","",IF(OR($A336&lt;'Recurring Schedule'!$F$37,$A336&gt;'Recurring Schedule'!$P$37),"",IF(IF('Recurring Schedule'!$N$37&gt;0,MOD($A336-'Recurring Schedule'!$F$37,'Recurring Schedule'!$N$37)=0,IF('Recurring Schedule'!$O$37&gt;0,AND(DAY($A336)=MIN(DAY('Recurring Schedule'!$F$37),DAY(EOMONTH($A336,0))),MOD((YEAR($A336)-YEAR('Recurring Schedule'!$F$37))*12+MONTH($A336)-MONTH('Recurring Schedule'!$F$37),'Recurring Schedule'!$O$37)=0),IF('Recurring Schedule'!$E$37="Weekdays",WEEKDAY($A336,2)&lt;=5,$A336='Recurring Schedule'!$F$37))),32,""))))</f>
        <v/>
      </c>
      <c r="AH336">
        <f>IF('Recurring Schedule'!$C$38="","",IF('Recurring Schedule'!$F$38="","",IF(OR($A336&lt;'Recurring Schedule'!$F$38,$A336&gt;'Recurring Schedule'!$P$38),"",IF(IF('Recurring Schedule'!$N$38&gt;0,MOD($A336-'Recurring Schedule'!$F$38,'Recurring Schedule'!$N$38)=0,IF('Recurring Schedule'!$O$38&gt;0,AND(DAY($A336)=MIN(DAY('Recurring Schedule'!$F$38),DAY(EOMONTH($A336,0))),MOD((YEAR($A336)-YEAR('Recurring Schedule'!$F$38))*12+MONTH($A336)-MONTH('Recurring Schedule'!$F$38),'Recurring Schedule'!$O$38)=0),IF('Recurring Schedule'!$E$38="Weekdays",WEEKDAY($A336,2)&lt;=5,$A336='Recurring Schedule'!$F$38))),33,""))))</f>
        <v/>
      </c>
      <c r="AI336">
        <f>IF('Recurring Schedule'!$C$39="","",IF('Recurring Schedule'!$F$39="","",IF(OR($A336&lt;'Recurring Schedule'!$F$39,$A336&gt;'Recurring Schedule'!$P$39),"",IF(IF('Recurring Schedule'!$N$39&gt;0,MOD($A336-'Recurring Schedule'!$F$39,'Recurring Schedule'!$N$39)=0,IF('Recurring Schedule'!$O$39&gt;0,AND(DAY($A336)=MIN(DAY('Recurring Schedule'!$F$39),DAY(EOMONTH($A336,0))),MOD((YEAR($A336)-YEAR('Recurring Schedule'!$F$39))*12+MONTH($A336)-MONTH('Recurring Schedule'!$F$39),'Recurring Schedule'!$O$39)=0),IF('Recurring Schedule'!$E$39="Weekdays",WEEKDAY($A336,2)&lt;=5,$A336='Recurring Schedule'!$F$39))),34,""))))</f>
        <v/>
      </c>
      <c r="AJ336">
        <f>IF('Recurring Schedule'!$C$40="","",IF('Recurring Schedule'!$F$40="","",IF(OR($A336&lt;'Recurring Schedule'!$F$40,$A336&gt;'Recurring Schedule'!$P$40),"",IF(IF('Recurring Schedule'!$N$40&gt;0,MOD($A336-'Recurring Schedule'!$F$40,'Recurring Schedule'!$N$40)=0,IF('Recurring Schedule'!$O$40&gt;0,AND(DAY($A336)=MIN(DAY('Recurring Schedule'!$F$40),DAY(EOMONTH($A336,0))),MOD((YEAR($A336)-YEAR('Recurring Schedule'!$F$40))*12+MONTH($A336)-MONTH('Recurring Schedule'!$F$40),'Recurring Schedule'!$O$40)=0),IF('Recurring Schedule'!$E$40="Weekdays",WEEKDAY($A336,2)&lt;=5,$A336='Recurring Schedule'!$F$40))),35,""))))</f>
        <v/>
      </c>
      <c r="AK336">
        <f>IF('Recurring Schedule'!$C$41="","",IF('Recurring Schedule'!$F$41="","",IF(OR($A336&lt;'Recurring Schedule'!$F$41,$A336&gt;'Recurring Schedule'!$P$41),"",IF(IF('Recurring Schedule'!$N$41&gt;0,MOD($A336-'Recurring Schedule'!$F$41,'Recurring Schedule'!$N$41)=0,IF('Recurring Schedule'!$O$41&gt;0,AND(DAY($A336)=MIN(DAY('Recurring Schedule'!$F$41),DAY(EOMONTH($A336,0))),MOD((YEAR($A336)-YEAR('Recurring Schedule'!$F$41))*12+MONTH($A336)-MONTH('Recurring Schedule'!$F$41),'Recurring Schedule'!$O$41)=0),IF('Recurring Schedule'!$E$41="Weekdays",WEEKDAY($A336,2)&lt;=5,$A336='Recurring Schedule'!$F$41))),36,""))))</f>
        <v/>
      </c>
      <c r="AL336">
        <f>IF('Recurring Schedule'!$C$42="","",IF('Recurring Schedule'!$F$42="","",IF(OR($A336&lt;'Recurring Schedule'!$F$42,$A336&gt;'Recurring Schedule'!$P$42),"",IF(IF('Recurring Schedule'!$N$42&gt;0,MOD($A336-'Recurring Schedule'!$F$42,'Recurring Schedule'!$N$42)=0,IF('Recurring Schedule'!$O$42&gt;0,AND(DAY($A336)=MIN(DAY('Recurring Schedule'!$F$42),DAY(EOMONTH($A336,0))),MOD((YEAR($A336)-YEAR('Recurring Schedule'!$F$42))*12+MONTH($A336)-MONTH('Recurring Schedule'!$F$42),'Recurring Schedule'!$O$42)=0),IF('Recurring Schedule'!$E$42="Weekdays",WEEKDAY($A336,2)&lt;=5,$A336='Recurring Schedule'!$F$42))),37,""))))</f>
        <v/>
      </c>
      <c r="AM336">
        <f>IF('Recurring Schedule'!$C$43="","",IF('Recurring Schedule'!$F$43="","",IF(OR($A336&lt;'Recurring Schedule'!$F$43,$A336&gt;'Recurring Schedule'!$P$43),"",IF(IF('Recurring Schedule'!$N$43&gt;0,MOD($A336-'Recurring Schedule'!$F$43,'Recurring Schedule'!$N$43)=0,IF('Recurring Schedule'!$O$43&gt;0,AND(DAY($A336)=MIN(DAY('Recurring Schedule'!$F$43),DAY(EOMONTH($A336,0))),MOD((YEAR($A336)-YEAR('Recurring Schedule'!$F$43))*12+MONTH($A336)-MONTH('Recurring Schedule'!$F$43),'Recurring Schedule'!$O$43)=0),IF('Recurring Schedule'!$E$43="Weekdays",WEEKDAY($A336,2)&lt;=5,$A336='Recurring Schedule'!$F$43))),38,""))))</f>
        <v/>
      </c>
      <c r="AN336">
        <f>IF('Recurring Schedule'!$C$44="","",IF('Recurring Schedule'!$F$44="","",IF(OR($A336&lt;'Recurring Schedule'!$F$44,$A336&gt;'Recurring Schedule'!$P$44),"",IF(IF('Recurring Schedule'!$N$44&gt;0,MOD($A336-'Recurring Schedule'!$F$44,'Recurring Schedule'!$N$44)=0,IF('Recurring Schedule'!$O$44&gt;0,AND(DAY($A336)=MIN(DAY('Recurring Schedule'!$F$44),DAY(EOMONTH($A336,0))),MOD((YEAR($A336)-YEAR('Recurring Schedule'!$F$44))*12+MONTH($A336)-MONTH('Recurring Schedule'!$F$44),'Recurring Schedule'!$O$44)=0),IF('Recurring Schedule'!$E$44="Weekdays",WEEKDAY($A336,2)&lt;=5,$A336='Recurring Schedule'!$F$44))),39,""))))</f>
        <v/>
      </c>
      <c r="AO336">
        <f>IF('Recurring Schedule'!$C$45="","",IF('Recurring Schedule'!$F$45="","",IF(OR($A336&lt;'Recurring Schedule'!$F$45,$A336&gt;'Recurring Schedule'!$P$45),"",IF(IF('Recurring Schedule'!$N$45&gt;0,MOD($A336-'Recurring Schedule'!$F$45,'Recurring Schedule'!$N$45)=0,IF('Recurring Schedule'!$O$45&gt;0,AND(DAY($A336)=MIN(DAY('Recurring Schedule'!$F$45),DAY(EOMONTH($A336,0))),MOD((YEAR($A336)-YEAR('Recurring Schedule'!$F$45))*12+MONTH($A336)-MONTH('Recurring Schedule'!$F$45),'Recurring Schedule'!$O$45)=0),IF('Recurring Schedule'!$E$45="Weekdays",WEEKDAY($A336,2)&lt;=5,$A336='Recurring Schedule'!$F$45))),40,""))))</f>
        <v/>
      </c>
      <c r="AP336">
        <f>COUNT(B336:AO336)</f>
        <v/>
      </c>
      <c r="AQ336">
        <f>AQ335+AP335</f>
        <v/>
      </c>
      <c r="AS336" t="inlineStr">
        <is>
          <t>R</t>
        </is>
      </c>
      <c r="AT336" t="n">
        <v>340</v>
      </c>
      <c r="AU336">
        <f>'Recurring Log'!C340&amp;""</f>
        <v/>
      </c>
      <c r="AV336">
        <f>'Recurring Log'!D340&amp;""</f>
        <v/>
      </c>
      <c r="AW336">
        <f>IF('Recurring Log'!E340="","",'Recurring Log'!E340)</f>
        <v/>
      </c>
      <c r="AX336">
        <f>IF('Recurring Log'!G340="","",'Recurring Log'!G340)</f>
        <v/>
      </c>
      <c r="AY336">
        <f>IF('Recurring Log'!H340="","",'Recurring Log'!H340)</f>
        <v/>
      </c>
      <c r="AZ336">
        <f>IF(AU336="","",IF('Recurring Log'!J340="","Not Started",'Recurring Log'!J340))</f>
        <v/>
      </c>
      <c r="BA336">
        <f>'Recurring Log'!L340&amp;""</f>
        <v/>
      </c>
      <c r="BB336">
        <f>'Recurring Log'!M340&amp;""</f>
        <v/>
      </c>
      <c r="BC336">
        <f>'Recurring Log'!N340&amp;""</f>
        <v/>
      </c>
      <c r="BD336">
        <f>'Recurring Log'!O340&amp;""</f>
        <v/>
      </c>
      <c r="BE336">
        <f>IF('Recurring Log'!K340="","",'Recurring Log'!K340)</f>
        <v/>
      </c>
      <c r="BF336">
        <f>IFERROR(MATCH(BA336,Setup!$L$6:$L$9,0),5)</f>
        <v/>
      </c>
      <c r="BG336">
        <f>IF(OR(AZ336="Done",AZ336="Cancelled"),1,0)</f>
        <v/>
      </c>
      <c r="BH336">
        <f>IF(AND(AU336&lt;&gt;"",ISNUMBER(AW336)),1,0)</f>
        <v/>
      </c>
      <c r="BI336">
        <f>IF(BH336=0,0,IF(AND(AW336&gt;='Tasks Filter'!$F$3,AW336&lt;='Tasks Filter'!$F$4,OR('Tasks Filter'!$I$3="",ISNUMBER(SEARCH('Tasks Filter'!$I$3,AU336))),OR('Tasks Filter'!$I$4="",BF336=IFERROR(MATCH('Tasks Filter'!$I$4,Setup!$L$6:$L$9,0),0)),OR('Tasks Filter'!$I$5="Both",AND('Tasks Filter'!$I$5="Yes",BB336="✓"),AND('Tasks Filter'!$I$5="No",BB336&lt;&gt;"✓")),OR('Tasks Filter'!$L$3="",AV336='Tasks Filter'!$L$3),OR('Tasks Filter'!$L$4="",AZ336='Tasks Filter'!$L$4),OR('Tasks Filter'!$L$5="",BC336='Tasks Filter'!$L$5),OR('Tasks Filter'!$O$3="",BD336='Tasks Filter'!$O$3),OR('Tasks Filter'!$O$4="Yes",BG336=0)),1,0))</f>
        <v/>
      </c>
      <c r="BJ336">
        <f>IF(BH336=0,"",IF('Tasks Filter'!$F$6="Descending",-1,1)*CHOOSE(MATCH('Tasks Filter'!$F$5,Lists!$G$2:$G$6,0),AW336,BF336,IFERROR(MATCH(AV336,Setup!$F$6:$F$15,0),99),IFERROR(MATCH(BC336,Setup!$H$6:$H$15,0),99),IFERROR(MATCH(AZ336,Setup!$J$6:$J$11,0),99))*1E+9+(AW336-40000)*10000+335)</f>
        <v/>
      </c>
      <c r="BK336">
        <f>IF(BI336=1,BJ336,"")</f>
        <v/>
      </c>
      <c r="BL336">
        <f>IF(AND(BH336=1,BG336=0,N(AW336)&lt;Setup!$D$7),(AW336-40000)*10000+335,"")</f>
        <v/>
      </c>
      <c r="BM336">
        <f>IF(AND(BH336=1,AZ336&lt;&gt;"Cancelled",N(AW336)&gt;=Dashboard!$AB$3,N(AW336)&lt;=Dashboard!$AB$3+6),(AW336-40000)*100000+BF336*10000+335,"")</f>
        <v/>
      </c>
      <c r="BN336">
        <f>IF(AND(BH336=1,AZ336&lt;&gt;"Cancelled"),BF336*10000+335,"")</f>
        <v/>
      </c>
    </row>
    <row r="337">
      <c r="A337">
        <f>Setup!$D$5+335</f>
        <v/>
      </c>
      <c r="B337">
        <f>IF('Recurring Schedule'!$C$6="","",IF('Recurring Schedule'!$F$6="","",IF(OR($A337&lt;'Recurring Schedule'!$F$6,$A337&gt;'Recurring Schedule'!$P$6),"",IF(IF('Recurring Schedule'!$N$6&gt;0,MOD($A337-'Recurring Schedule'!$F$6,'Recurring Schedule'!$N$6)=0,IF('Recurring Schedule'!$O$6&gt;0,AND(DAY($A337)=MIN(DAY('Recurring Schedule'!$F$6),DAY(EOMONTH($A337,0))),MOD((YEAR($A337)-YEAR('Recurring Schedule'!$F$6))*12+MONTH($A337)-MONTH('Recurring Schedule'!$F$6),'Recurring Schedule'!$O$6)=0),IF('Recurring Schedule'!$E$6="Weekdays",WEEKDAY($A337,2)&lt;=5,$A337='Recurring Schedule'!$F$6))),1,""))))</f>
        <v/>
      </c>
      <c r="C337">
        <f>IF('Recurring Schedule'!$C$7="","",IF('Recurring Schedule'!$F$7="","",IF(OR($A337&lt;'Recurring Schedule'!$F$7,$A337&gt;'Recurring Schedule'!$P$7),"",IF(IF('Recurring Schedule'!$N$7&gt;0,MOD($A337-'Recurring Schedule'!$F$7,'Recurring Schedule'!$N$7)=0,IF('Recurring Schedule'!$O$7&gt;0,AND(DAY($A337)=MIN(DAY('Recurring Schedule'!$F$7),DAY(EOMONTH($A337,0))),MOD((YEAR($A337)-YEAR('Recurring Schedule'!$F$7))*12+MONTH($A337)-MONTH('Recurring Schedule'!$F$7),'Recurring Schedule'!$O$7)=0),IF('Recurring Schedule'!$E$7="Weekdays",WEEKDAY($A337,2)&lt;=5,$A337='Recurring Schedule'!$F$7))),2,""))))</f>
        <v/>
      </c>
      <c r="D337">
        <f>IF('Recurring Schedule'!$C$8="","",IF('Recurring Schedule'!$F$8="","",IF(OR($A337&lt;'Recurring Schedule'!$F$8,$A337&gt;'Recurring Schedule'!$P$8),"",IF(IF('Recurring Schedule'!$N$8&gt;0,MOD($A337-'Recurring Schedule'!$F$8,'Recurring Schedule'!$N$8)=0,IF('Recurring Schedule'!$O$8&gt;0,AND(DAY($A337)=MIN(DAY('Recurring Schedule'!$F$8),DAY(EOMONTH($A337,0))),MOD((YEAR($A337)-YEAR('Recurring Schedule'!$F$8))*12+MONTH($A337)-MONTH('Recurring Schedule'!$F$8),'Recurring Schedule'!$O$8)=0),IF('Recurring Schedule'!$E$8="Weekdays",WEEKDAY($A337,2)&lt;=5,$A337='Recurring Schedule'!$F$8))),3,""))))</f>
        <v/>
      </c>
      <c r="E337">
        <f>IF('Recurring Schedule'!$C$9="","",IF('Recurring Schedule'!$F$9="","",IF(OR($A337&lt;'Recurring Schedule'!$F$9,$A337&gt;'Recurring Schedule'!$P$9),"",IF(IF('Recurring Schedule'!$N$9&gt;0,MOD($A337-'Recurring Schedule'!$F$9,'Recurring Schedule'!$N$9)=0,IF('Recurring Schedule'!$O$9&gt;0,AND(DAY($A337)=MIN(DAY('Recurring Schedule'!$F$9),DAY(EOMONTH($A337,0))),MOD((YEAR($A337)-YEAR('Recurring Schedule'!$F$9))*12+MONTH($A337)-MONTH('Recurring Schedule'!$F$9),'Recurring Schedule'!$O$9)=0),IF('Recurring Schedule'!$E$9="Weekdays",WEEKDAY($A337,2)&lt;=5,$A337='Recurring Schedule'!$F$9))),4,""))))</f>
        <v/>
      </c>
      <c r="F337">
        <f>IF('Recurring Schedule'!$C$10="","",IF('Recurring Schedule'!$F$10="","",IF(OR($A337&lt;'Recurring Schedule'!$F$10,$A337&gt;'Recurring Schedule'!$P$10),"",IF(IF('Recurring Schedule'!$N$10&gt;0,MOD($A337-'Recurring Schedule'!$F$10,'Recurring Schedule'!$N$10)=0,IF('Recurring Schedule'!$O$10&gt;0,AND(DAY($A337)=MIN(DAY('Recurring Schedule'!$F$10),DAY(EOMONTH($A337,0))),MOD((YEAR($A337)-YEAR('Recurring Schedule'!$F$10))*12+MONTH($A337)-MONTH('Recurring Schedule'!$F$10),'Recurring Schedule'!$O$10)=0),IF('Recurring Schedule'!$E$10="Weekdays",WEEKDAY($A337,2)&lt;=5,$A337='Recurring Schedule'!$F$10))),5,""))))</f>
        <v/>
      </c>
      <c r="G337">
        <f>IF('Recurring Schedule'!$C$11="","",IF('Recurring Schedule'!$F$11="","",IF(OR($A337&lt;'Recurring Schedule'!$F$11,$A337&gt;'Recurring Schedule'!$P$11),"",IF(IF('Recurring Schedule'!$N$11&gt;0,MOD($A337-'Recurring Schedule'!$F$11,'Recurring Schedule'!$N$11)=0,IF('Recurring Schedule'!$O$11&gt;0,AND(DAY($A337)=MIN(DAY('Recurring Schedule'!$F$11),DAY(EOMONTH($A337,0))),MOD((YEAR($A337)-YEAR('Recurring Schedule'!$F$11))*12+MONTH($A337)-MONTH('Recurring Schedule'!$F$11),'Recurring Schedule'!$O$11)=0),IF('Recurring Schedule'!$E$11="Weekdays",WEEKDAY($A337,2)&lt;=5,$A337='Recurring Schedule'!$F$11))),6,""))))</f>
        <v/>
      </c>
      <c r="H337">
        <f>IF('Recurring Schedule'!$C$12="","",IF('Recurring Schedule'!$F$12="","",IF(OR($A337&lt;'Recurring Schedule'!$F$12,$A337&gt;'Recurring Schedule'!$P$12),"",IF(IF('Recurring Schedule'!$N$12&gt;0,MOD($A337-'Recurring Schedule'!$F$12,'Recurring Schedule'!$N$12)=0,IF('Recurring Schedule'!$O$12&gt;0,AND(DAY($A337)=MIN(DAY('Recurring Schedule'!$F$12),DAY(EOMONTH($A337,0))),MOD((YEAR($A337)-YEAR('Recurring Schedule'!$F$12))*12+MONTH($A337)-MONTH('Recurring Schedule'!$F$12),'Recurring Schedule'!$O$12)=0),IF('Recurring Schedule'!$E$12="Weekdays",WEEKDAY($A337,2)&lt;=5,$A337='Recurring Schedule'!$F$12))),7,""))))</f>
        <v/>
      </c>
      <c r="I337">
        <f>IF('Recurring Schedule'!$C$13="","",IF('Recurring Schedule'!$F$13="","",IF(OR($A337&lt;'Recurring Schedule'!$F$13,$A337&gt;'Recurring Schedule'!$P$13),"",IF(IF('Recurring Schedule'!$N$13&gt;0,MOD($A337-'Recurring Schedule'!$F$13,'Recurring Schedule'!$N$13)=0,IF('Recurring Schedule'!$O$13&gt;0,AND(DAY($A337)=MIN(DAY('Recurring Schedule'!$F$13),DAY(EOMONTH($A337,0))),MOD((YEAR($A337)-YEAR('Recurring Schedule'!$F$13))*12+MONTH($A337)-MONTH('Recurring Schedule'!$F$13),'Recurring Schedule'!$O$13)=0),IF('Recurring Schedule'!$E$13="Weekdays",WEEKDAY($A337,2)&lt;=5,$A337='Recurring Schedule'!$F$13))),8,""))))</f>
        <v/>
      </c>
      <c r="J337">
        <f>IF('Recurring Schedule'!$C$14="","",IF('Recurring Schedule'!$F$14="","",IF(OR($A337&lt;'Recurring Schedule'!$F$14,$A337&gt;'Recurring Schedule'!$P$14),"",IF(IF('Recurring Schedule'!$N$14&gt;0,MOD($A337-'Recurring Schedule'!$F$14,'Recurring Schedule'!$N$14)=0,IF('Recurring Schedule'!$O$14&gt;0,AND(DAY($A337)=MIN(DAY('Recurring Schedule'!$F$14),DAY(EOMONTH($A337,0))),MOD((YEAR($A337)-YEAR('Recurring Schedule'!$F$14))*12+MONTH($A337)-MONTH('Recurring Schedule'!$F$14),'Recurring Schedule'!$O$14)=0),IF('Recurring Schedule'!$E$14="Weekdays",WEEKDAY($A337,2)&lt;=5,$A337='Recurring Schedule'!$F$14))),9,""))))</f>
        <v/>
      </c>
      <c r="K337">
        <f>IF('Recurring Schedule'!$C$15="","",IF('Recurring Schedule'!$F$15="","",IF(OR($A337&lt;'Recurring Schedule'!$F$15,$A337&gt;'Recurring Schedule'!$P$15),"",IF(IF('Recurring Schedule'!$N$15&gt;0,MOD($A337-'Recurring Schedule'!$F$15,'Recurring Schedule'!$N$15)=0,IF('Recurring Schedule'!$O$15&gt;0,AND(DAY($A337)=MIN(DAY('Recurring Schedule'!$F$15),DAY(EOMONTH($A337,0))),MOD((YEAR($A337)-YEAR('Recurring Schedule'!$F$15))*12+MONTH($A337)-MONTH('Recurring Schedule'!$F$15),'Recurring Schedule'!$O$15)=0),IF('Recurring Schedule'!$E$15="Weekdays",WEEKDAY($A337,2)&lt;=5,$A337='Recurring Schedule'!$F$15))),10,""))))</f>
        <v/>
      </c>
      <c r="L337">
        <f>IF('Recurring Schedule'!$C$16="","",IF('Recurring Schedule'!$F$16="","",IF(OR($A337&lt;'Recurring Schedule'!$F$16,$A337&gt;'Recurring Schedule'!$P$16),"",IF(IF('Recurring Schedule'!$N$16&gt;0,MOD($A337-'Recurring Schedule'!$F$16,'Recurring Schedule'!$N$16)=0,IF('Recurring Schedule'!$O$16&gt;0,AND(DAY($A337)=MIN(DAY('Recurring Schedule'!$F$16),DAY(EOMONTH($A337,0))),MOD((YEAR($A337)-YEAR('Recurring Schedule'!$F$16))*12+MONTH($A337)-MONTH('Recurring Schedule'!$F$16),'Recurring Schedule'!$O$16)=0),IF('Recurring Schedule'!$E$16="Weekdays",WEEKDAY($A337,2)&lt;=5,$A337='Recurring Schedule'!$F$16))),11,""))))</f>
        <v/>
      </c>
      <c r="M337">
        <f>IF('Recurring Schedule'!$C$17="","",IF('Recurring Schedule'!$F$17="","",IF(OR($A337&lt;'Recurring Schedule'!$F$17,$A337&gt;'Recurring Schedule'!$P$17),"",IF(IF('Recurring Schedule'!$N$17&gt;0,MOD($A337-'Recurring Schedule'!$F$17,'Recurring Schedule'!$N$17)=0,IF('Recurring Schedule'!$O$17&gt;0,AND(DAY($A337)=MIN(DAY('Recurring Schedule'!$F$17),DAY(EOMONTH($A337,0))),MOD((YEAR($A337)-YEAR('Recurring Schedule'!$F$17))*12+MONTH($A337)-MONTH('Recurring Schedule'!$F$17),'Recurring Schedule'!$O$17)=0),IF('Recurring Schedule'!$E$17="Weekdays",WEEKDAY($A337,2)&lt;=5,$A337='Recurring Schedule'!$F$17))),12,""))))</f>
        <v/>
      </c>
      <c r="N337">
        <f>IF('Recurring Schedule'!$C$18="","",IF('Recurring Schedule'!$F$18="","",IF(OR($A337&lt;'Recurring Schedule'!$F$18,$A337&gt;'Recurring Schedule'!$P$18),"",IF(IF('Recurring Schedule'!$N$18&gt;0,MOD($A337-'Recurring Schedule'!$F$18,'Recurring Schedule'!$N$18)=0,IF('Recurring Schedule'!$O$18&gt;0,AND(DAY($A337)=MIN(DAY('Recurring Schedule'!$F$18),DAY(EOMONTH($A337,0))),MOD((YEAR($A337)-YEAR('Recurring Schedule'!$F$18))*12+MONTH($A337)-MONTH('Recurring Schedule'!$F$18),'Recurring Schedule'!$O$18)=0),IF('Recurring Schedule'!$E$18="Weekdays",WEEKDAY($A337,2)&lt;=5,$A337='Recurring Schedule'!$F$18))),13,""))))</f>
        <v/>
      </c>
      <c r="O337">
        <f>IF('Recurring Schedule'!$C$19="","",IF('Recurring Schedule'!$F$19="","",IF(OR($A337&lt;'Recurring Schedule'!$F$19,$A337&gt;'Recurring Schedule'!$P$19),"",IF(IF('Recurring Schedule'!$N$19&gt;0,MOD($A337-'Recurring Schedule'!$F$19,'Recurring Schedule'!$N$19)=0,IF('Recurring Schedule'!$O$19&gt;0,AND(DAY($A337)=MIN(DAY('Recurring Schedule'!$F$19),DAY(EOMONTH($A337,0))),MOD((YEAR($A337)-YEAR('Recurring Schedule'!$F$19))*12+MONTH($A337)-MONTH('Recurring Schedule'!$F$19),'Recurring Schedule'!$O$19)=0),IF('Recurring Schedule'!$E$19="Weekdays",WEEKDAY($A337,2)&lt;=5,$A337='Recurring Schedule'!$F$19))),14,""))))</f>
        <v/>
      </c>
      <c r="P337">
        <f>IF('Recurring Schedule'!$C$20="","",IF('Recurring Schedule'!$F$20="","",IF(OR($A337&lt;'Recurring Schedule'!$F$20,$A337&gt;'Recurring Schedule'!$P$20),"",IF(IF('Recurring Schedule'!$N$20&gt;0,MOD($A337-'Recurring Schedule'!$F$20,'Recurring Schedule'!$N$20)=0,IF('Recurring Schedule'!$O$20&gt;0,AND(DAY($A337)=MIN(DAY('Recurring Schedule'!$F$20),DAY(EOMONTH($A337,0))),MOD((YEAR($A337)-YEAR('Recurring Schedule'!$F$20))*12+MONTH($A337)-MONTH('Recurring Schedule'!$F$20),'Recurring Schedule'!$O$20)=0),IF('Recurring Schedule'!$E$20="Weekdays",WEEKDAY($A337,2)&lt;=5,$A337='Recurring Schedule'!$F$20))),15,""))))</f>
        <v/>
      </c>
      <c r="Q337">
        <f>IF('Recurring Schedule'!$C$21="","",IF('Recurring Schedule'!$F$21="","",IF(OR($A337&lt;'Recurring Schedule'!$F$21,$A337&gt;'Recurring Schedule'!$P$21),"",IF(IF('Recurring Schedule'!$N$21&gt;0,MOD($A337-'Recurring Schedule'!$F$21,'Recurring Schedule'!$N$21)=0,IF('Recurring Schedule'!$O$21&gt;0,AND(DAY($A337)=MIN(DAY('Recurring Schedule'!$F$21),DAY(EOMONTH($A337,0))),MOD((YEAR($A337)-YEAR('Recurring Schedule'!$F$21))*12+MONTH($A337)-MONTH('Recurring Schedule'!$F$21),'Recurring Schedule'!$O$21)=0),IF('Recurring Schedule'!$E$21="Weekdays",WEEKDAY($A337,2)&lt;=5,$A337='Recurring Schedule'!$F$21))),16,""))))</f>
        <v/>
      </c>
      <c r="R337">
        <f>IF('Recurring Schedule'!$C$22="","",IF('Recurring Schedule'!$F$22="","",IF(OR($A337&lt;'Recurring Schedule'!$F$22,$A337&gt;'Recurring Schedule'!$P$22),"",IF(IF('Recurring Schedule'!$N$22&gt;0,MOD($A337-'Recurring Schedule'!$F$22,'Recurring Schedule'!$N$22)=0,IF('Recurring Schedule'!$O$22&gt;0,AND(DAY($A337)=MIN(DAY('Recurring Schedule'!$F$22),DAY(EOMONTH($A337,0))),MOD((YEAR($A337)-YEAR('Recurring Schedule'!$F$22))*12+MONTH($A337)-MONTH('Recurring Schedule'!$F$22),'Recurring Schedule'!$O$22)=0),IF('Recurring Schedule'!$E$22="Weekdays",WEEKDAY($A337,2)&lt;=5,$A337='Recurring Schedule'!$F$22))),17,""))))</f>
        <v/>
      </c>
      <c r="S337">
        <f>IF('Recurring Schedule'!$C$23="","",IF('Recurring Schedule'!$F$23="","",IF(OR($A337&lt;'Recurring Schedule'!$F$23,$A337&gt;'Recurring Schedule'!$P$23),"",IF(IF('Recurring Schedule'!$N$23&gt;0,MOD($A337-'Recurring Schedule'!$F$23,'Recurring Schedule'!$N$23)=0,IF('Recurring Schedule'!$O$23&gt;0,AND(DAY($A337)=MIN(DAY('Recurring Schedule'!$F$23),DAY(EOMONTH($A337,0))),MOD((YEAR($A337)-YEAR('Recurring Schedule'!$F$23))*12+MONTH($A337)-MONTH('Recurring Schedule'!$F$23),'Recurring Schedule'!$O$23)=0),IF('Recurring Schedule'!$E$23="Weekdays",WEEKDAY($A337,2)&lt;=5,$A337='Recurring Schedule'!$F$23))),18,""))))</f>
        <v/>
      </c>
      <c r="T337">
        <f>IF('Recurring Schedule'!$C$24="","",IF('Recurring Schedule'!$F$24="","",IF(OR($A337&lt;'Recurring Schedule'!$F$24,$A337&gt;'Recurring Schedule'!$P$24),"",IF(IF('Recurring Schedule'!$N$24&gt;0,MOD($A337-'Recurring Schedule'!$F$24,'Recurring Schedule'!$N$24)=0,IF('Recurring Schedule'!$O$24&gt;0,AND(DAY($A337)=MIN(DAY('Recurring Schedule'!$F$24),DAY(EOMONTH($A337,0))),MOD((YEAR($A337)-YEAR('Recurring Schedule'!$F$24))*12+MONTH($A337)-MONTH('Recurring Schedule'!$F$24),'Recurring Schedule'!$O$24)=0),IF('Recurring Schedule'!$E$24="Weekdays",WEEKDAY($A337,2)&lt;=5,$A337='Recurring Schedule'!$F$24))),19,""))))</f>
        <v/>
      </c>
      <c r="U337">
        <f>IF('Recurring Schedule'!$C$25="","",IF('Recurring Schedule'!$F$25="","",IF(OR($A337&lt;'Recurring Schedule'!$F$25,$A337&gt;'Recurring Schedule'!$P$25),"",IF(IF('Recurring Schedule'!$N$25&gt;0,MOD($A337-'Recurring Schedule'!$F$25,'Recurring Schedule'!$N$25)=0,IF('Recurring Schedule'!$O$25&gt;0,AND(DAY($A337)=MIN(DAY('Recurring Schedule'!$F$25),DAY(EOMONTH($A337,0))),MOD((YEAR($A337)-YEAR('Recurring Schedule'!$F$25))*12+MONTH($A337)-MONTH('Recurring Schedule'!$F$25),'Recurring Schedule'!$O$25)=0),IF('Recurring Schedule'!$E$25="Weekdays",WEEKDAY($A337,2)&lt;=5,$A337='Recurring Schedule'!$F$25))),20,""))))</f>
        <v/>
      </c>
      <c r="V337">
        <f>IF('Recurring Schedule'!$C$26="","",IF('Recurring Schedule'!$F$26="","",IF(OR($A337&lt;'Recurring Schedule'!$F$26,$A337&gt;'Recurring Schedule'!$P$26),"",IF(IF('Recurring Schedule'!$N$26&gt;0,MOD($A337-'Recurring Schedule'!$F$26,'Recurring Schedule'!$N$26)=0,IF('Recurring Schedule'!$O$26&gt;0,AND(DAY($A337)=MIN(DAY('Recurring Schedule'!$F$26),DAY(EOMONTH($A337,0))),MOD((YEAR($A337)-YEAR('Recurring Schedule'!$F$26))*12+MONTH($A337)-MONTH('Recurring Schedule'!$F$26),'Recurring Schedule'!$O$26)=0),IF('Recurring Schedule'!$E$26="Weekdays",WEEKDAY($A337,2)&lt;=5,$A337='Recurring Schedule'!$F$26))),21,""))))</f>
        <v/>
      </c>
      <c r="W337">
        <f>IF('Recurring Schedule'!$C$27="","",IF('Recurring Schedule'!$F$27="","",IF(OR($A337&lt;'Recurring Schedule'!$F$27,$A337&gt;'Recurring Schedule'!$P$27),"",IF(IF('Recurring Schedule'!$N$27&gt;0,MOD($A337-'Recurring Schedule'!$F$27,'Recurring Schedule'!$N$27)=0,IF('Recurring Schedule'!$O$27&gt;0,AND(DAY($A337)=MIN(DAY('Recurring Schedule'!$F$27),DAY(EOMONTH($A337,0))),MOD((YEAR($A337)-YEAR('Recurring Schedule'!$F$27))*12+MONTH($A337)-MONTH('Recurring Schedule'!$F$27),'Recurring Schedule'!$O$27)=0),IF('Recurring Schedule'!$E$27="Weekdays",WEEKDAY($A337,2)&lt;=5,$A337='Recurring Schedule'!$F$27))),22,""))))</f>
        <v/>
      </c>
      <c r="X337">
        <f>IF('Recurring Schedule'!$C$28="","",IF('Recurring Schedule'!$F$28="","",IF(OR($A337&lt;'Recurring Schedule'!$F$28,$A337&gt;'Recurring Schedule'!$P$28),"",IF(IF('Recurring Schedule'!$N$28&gt;0,MOD($A337-'Recurring Schedule'!$F$28,'Recurring Schedule'!$N$28)=0,IF('Recurring Schedule'!$O$28&gt;0,AND(DAY($A337)=MIN(DAY('Recurring Schedule'!$F$28),DAY(EOMONTH($A337,0))),MOD((YEAR($A337)-YEAR('Recurring Schedule'!$F$28))*12+MONTH($A337)-MONTH('Recurring Schedule'!$F$28),'Recurring Schedule'!$O$28)=0),IF('Recurring Schedule'!$E$28="Weekdays",WEEKDAY($A337,2)&lt;=5,$A337='Recurring Schedule'!$F$28))),23,""))))</f>
        <v/>
      </c>
      <c r="Y337">
        <f>IF('Recurring Schedule'!$C$29="","",IF('Recurring Schedule'!$F$29="","",IF(OR($A337&lt;'Recurring Schedule'!$F$29,$A337&gt;'Recurring Schedule'!$P$29),"",IF(IF('Recurring Schedule'!$N$29&gt;0,MOD($A337-'Recurring Schedule'!$F$29,'Recurring Schedule'!$N$29)=0,IF('Recurring Schedule'!$O$29&gt;0,AND(DAY($A337)=MIN(DAY('Recurring Schedule'!$F$29),DAY(EOMONTH($A337,0))),MOD((YEAR($A337)-YEAR('Recurring Schedule'!$F$29))*12+MONTH($A337)-MONTH('Recurring Schedule'!$F$29),'Recurring Schedule'!$O$29)=0),IF('Recurring Schedule'!$E$29="Weekdays",WEEKDAY($A337,2)&lt;=5,$A337='Recurring Schedule'!$F$29))),24,""))))</f>
        <v/>
      </c>
      <c r="Z337">
        <f>IF('Recurring Schedule'!$C$30="","",IF('Recurring Schedule'!$F$30="","",IF(OR($A337&lt;'Recurring Schedule'!$F$30,$A337&gt;'Recurring Schedule'!$P$30),"",IF(IF('Recurring Schedule'!$N$30&gt;0,MOD($A337-'Recurring Schedule'!$F$30,'Recurring Schedule'!$N$30)=0,IF('Recurring Schedule'!$O$30&gt;0,AND(DAY($A337)=MIN(DAY('Recurring Schedule'!$F$30),DAY(EOMONTH($A337,0))),MOD((YEAR($A337)-YEAR('Recurring Schedule'!$F$30))*12+MONTH($A337)-MONTH('Recurring Schedule'!$F$30),'Recurring Schedule'!$O$30)=0),IF('Recurring Schedule'!$E$30="Weekdays",WEEKDAY($A337,2)&lt;=5,$A337='Recurring Schedule'!$F$30))),25,""))))</f>
        <v/>
      </c>
      <c r="AA337">
        <f>IF('Recurring Schedule'!$C$31="","",IF('Recurring Schedule'!$F$31="","",IF(OR($A337&lt;'Recurring Schedule'!$F$31,$A337&gt;'Recurring Schedule'!$P$31),"",IF(IF('Recurring Schedule'!$N$31&gt;0,MOD($A337-'Recurring Schedule'!$F$31,'Recurring Schedule'!$N$31)=0,IF('Recurring Schedule'!$O$31&gt;0,AND(DAY($A337)=MIN(DAY('Recurring Schedule'!$F$31),DAY(EOMONTH($A337,0))),MOD((YEAR($A337)-YEAR('Recurring Schedule'!$F$31))*12+MONTH($A337)-MONTH('Recurring Schedule'!$F$31),'Recurring Schedule'!$O$31)=0),IF('Recurring Schedule'!$E$31="Weekdays",WEEKDAY($A337,2)&lt;=5,$A337='Recurring Schedule'!$F$31))),26,""))))</f>
        <v/>
      </c>
      <c r="AB337">
        <f>IF('Recurring Schedule'!$C$32="","",IF('Recurring Schedule'!$F$32="","",IF(OR($A337&lt;'Recurring Schedule'!$F$32,$A337&gt;'Recurring Schedule'!$P$32),"",IF(IF('Recurring Schedule'!$N$32&gt;0,MOD($A337-'Recurring Schedule'!$F$32,'Recurring Schedule'!$N$32)=0,IF('Recurring Schedule'!$O$32&gt;0,AND(DAY($A337)=MIN(DAY('Recurring Schedule'!$F$32),DAY(EOMONTH($A337,0))),MOD((YEAR($A337)-YEAR('Recurring Schedule'!$F$32))*12+MONTH($A337)-MONTH('Recurring Schedule'!$F$32),'Recurring Schedule'!$O$32)=0),IF('Recurring Schedule'!$E$32="Weekdays",WEEKDAY($A337,2)&lt;=5,$A337='Recurring Schedule'!$F$32))),27,""))))</f>
        <v/>
      </c>
      <c r="AC337">
        <f>IF('Recurring Schedule'!$C$33="","",IF('Recurring Schedule'!$F$33="","",IF(OR($A337&lt;'Recurring Schedule'!$F$33,$A337&gt;'Recurring Schedule'!$P$33),"",IF(IF('Recurring Schedule'!$N$33&gt;0,MOD($A337-'Recurring Schedule'!$F$33,'Recurring Schedule'!$N$33)=0,IF('Recurring Schedule'!$O$33&gt;0,AND(DAY($A337)=MIN(DAY('Recurring Schedule'!$F$33),DAY(EOMONTH($A337,0))),MOD((YEAR($A337)-YEAR('Recurring Schedule'!$F$33))*12+MONTH($A337)-MONTH('Recurring Schedule'!$F$33),'Recurring Schedule'!$O$33)=0),IF('Recurring Schedule'!$E$33="Weekdays",WEEKDAY($A337,2)&lt;=5,$A337='Recurring Schedule'!$F$33))),28,""))))</f>
        <v/>
      </c>
      <c r="AD337">
        <f>IF('Recurring Schedule'!$C$34="","",IF('Recurring Schedule'!$F$34="","",IF(OR($A337&lt;'Recurring Schedule'!$F$34,$A337&gt;'Recurring Schedule'!$P$34),"",IF(IF('Recurring Schedule'!$N$34&gt;0,MOD($A337-'Recurring Schedule'!$F$34,'Recurring Schedule'!$N$34)=0,IF('Recurring Schedule'!$O$34&gt;0,AND(DAY($A337)=MIN(DAY('Recurring Schedule'!$F$34),DAY(EOMONTH($A337,0))),MOD((YEAR($A337)-YEAR('Recurring Schedule'!$F$34))*12+MONTH($A337)-MONTH('Recurring Schedule'!$F$34),'Recurring Schedule'!$O$34)=0),IF('Recurring Schedule'!$E$34="Weekdays",WEEKDAY($A337,2)&lt;=5,$A337='Recurring Schedule'!$F$34))),29,""))))</f>
        <v/>
      </c>
      <c r="AE337">
        <f>IF('Recurring Schedule'!$C$35="","",IF('Recurring Schedule'!$F$35="","",IF(OR($A337&lt;'Recurring Schedule'!$F$35,$A337&gt;'Recurring Schedule'!$P$35),"",IF(IF('Recurring Schedule'!$N$35&gt;0,MOD($A337-'Recurring Schedule'!$F$35,'Recurring Schedule'!$N$35)=0,IF('Recurring Schedule'!$O$35&gt;0,AND(DAY($A337)=MIN(DAY('Recurring Schedule'!$F$35),DAY(EOMONTH($A337,0))),MOD((YEAR($A337)-YEAR('Recurring Schedule'!$F$35))*12+MONTH($A337)-MONTH('Recurring Schedule'!$F$35),'Recurring Schedule'!$O$35)=0),IF('Recurring Schedule'!$E$35="Weekdays",WEEKDAY($A337,2)&lt;=5,$A337='Recurring Schedule'!$F$35))),30,""))))</f>
        <v/>
      </c>
      <c r="AF337">
        <f>IF('Recurring Schedule'!$C$36="","",IF('Recurring Schedule'!$F$36="","",IF(OR($A337&lt;'Recurring Schedule'!$F$36,$A337&gt;'Recurring Schedule'!$P$36),"",IF(IF('Recurring Schedule'!$N$36&gt;0,MOD($A337-'Recurring Schedule'!$F$36,'Recurring Schedule'!$N$36)=0,IF('Recurring Schedule'!$O$36&gt;0,AND(DAY($A337)=MIN(DAY('Recurring Schedule'!$F$36),DAY(EOMONTH($A337,0))),MOD((YEAR($A337)-YEAR('Recurring Schedule'!$F$36))*12+MONTH($A337)-MONTH('Recurring Schedule'!$F$36),'Recurring Schedule'!$O$36)=0),IF('Recurring Schedule'!$E$36="Weekdays",WEEKDAY($A337,2)&lt;=5,$A337='Recurring Schedule'!$F$36))),31,""))))</f>
        <v/>
      </c>
      <c r="AG337">
        <f>IF('Recurring Schedule'!$C$37="","",IF('Recurring Schedule'!$F$37="","",IF(OR($A337&lt;'Recurring Schedule'!$F$37,$A337&gt;'Recurring Schedule'!$P$37),"",IF(IF('Recurring Schedule'!$N$37&gt;0,MOD($A337-'Recurring Schedule'!$F$37,'Recurring Schedule'!$N$37)=0,IF('Recurring Schedule'!$O$37&gt;0,AND(DAY($A337)=MIN(DAY('Recurring Schedule'!$F$37),DAY(EOMONTH($A337,0))),MOD((YEAR($A337)-YEAR('Recurring Schedule'!$F$37))*12+MONTH($A337)-MONTH('Recurring Schedule'!$F$37),'Recurring Schedule'!$O$37)=0),IF('Recurring Schedule'!$E$37="Weekdays",WEEKDAY($A337,2)&lt;=5,$A337='Recurring Schedule'!$F$37))),32,""))))</f>
        <v/>
      </c>
      <c r="AH337">
        <f>IF('Recurring Schedule'!$C$38="","",IF('Recurring Schedule'!$F$38="","",IF(OR($A337&lt;'Recurring Schedule'!$F$38,$A337&gt;'Recurring Schedule'!$P$38),"",IF(IF('Recurring Schedule'!$N$38&gt;0,MOD($A337-'Recurring Schedule'!$F$38,'Recurring Schedule'!$N$38)=0,IF('Recurring Schedule'!$O$38&gt;0,AND(DAY($A337)=MIN(DAY('Recurring Schedule'!$F$38),DAY(EOMONTH($A337,0))),MOD((YEAR($A337)-YEAR('Recurring Schedule'!$F$38))*12+MONTH($A337)-MONTH('Recurring Schedule'!$F$38),'Recurring Schedule'!$O$38)=0),IF('Recurring Schedule'!$E$38="Weekdays",WEEKDAY($A337,2)&lt;=5,$A337='Recurring Schedule'!$F$38))),33,""))))</f>
        <v/>
      </c>
      <c r="AI337">
        <f>IF('Recurring Schedule'!$C$39="","",IF('Recurring Schedule'!$F$39="","",IF(OR($A337&lt;'Recurring Schedule'!$F$39,$A337&gt;'Recurring Schedule'!$P$39),"",IF(IF('Recurring Schedule'!$N$39&gt;0,MOD($A337-'Recurring Schedule'!$F$39,'Recurring Schedule'!$N$39)=0,IF('Recurring Schedule'!$O$39&gt;0,AND(DAY($A337)=MIN(DAY('Recurring Schedule'!$F$39),DAY(EOMONTH($A337,0))),MOD((YEAR($A337)-YEAR('Recurring Schedule'!$F$39))*12+MONTH($A337)-MONTH('Recurring Schedule'!$F$39),'Recurring Schedule'!$O$39)=0),IF('Recurring Schedule'!$E$39="Weekdays",WEEKDAY($A337,2)&lt;=5,$A337='Recurring Schedule'!$F$39))),34,""))))</f>
        <v/>
      </c>
      <c r="AJ337">
        <f>IF('Recurring Schedule'!$C$40="","",IF('Recurring Schedule'!$F$40="","",IF(OR($A337&lt;'Recurring Schedule'!$F$40,$A337&gt;'Recurring Schedule'!$P$40),"",IF(IF('Recurring Schedule'!$N$40&gt;0,MOD($A337-'Recurring Schedule'!$F$40,'Recurring Schedule'!$N$40)=0,IF('Recurring Schedule'!$O$40&gt;0,AND(DAY($A337)=MIN(DAY('Recurring Schedule'!$F$40),DAY(EOMONTH($A337,0))),MOD((YEAR($A337)-YEAR('Recurring Schedule'!$F$40))*12+MONTH($A337)-MONTH('Recurring Schedule'!$F$40),'Recurring Schedule'!$O$40)=0),IF('Recurring Schedule'!$E$40="Weekdays",WEEKDAY($A337,2)&lt;=5,$A337='Recurring Schedule'!$F$40))),35,""))))</f>
        <v/>
      </c>
      <c r="AK337">
        <f>IF('Recurring Schedule'!$C$41="","",IF('Recurring Schedule'!$F$41="","",IF(OR($A337&lt;'Recurring Schedule'!$F$41,$A337&gt;'Recurring Schedule'!$P$41),"",IF(IF('Recurring Schedule'!$N$41&gt;0,MOD($A337-'Recurring Schedule'!$F$41,'Recurring Schedule'!$N$41)=0,IF('Recurring Schedule'!$O$41&gt;0,AND(DAY($A337)=MIN(DAY('Recurring Schedule'!$F$41),DAY(EOMONTH($A337,0))),MOD((YEAR($A337)-YEAR('Recurring Schedule'!$F$41))*12+MONTH($A337)-MONTH('Recurring Schedule'!$F$41),'Recurring Schedule'!$O$41)=0),IF('Recurring Schedule'!$E$41="Weekdays",WEEKDAY($A337,2)&lt;=5,$A337='Recurring Schedule'!$F$41))),36,""))))</f>
        <v/>
      </c>
      <c r="AL337">
        <f>IF('Recurring Schedule'!$C$42="","",IF('Recurring Schedule'!$F$42="","",IF(OR($A337&lt;'Recurring Schedule'!$F$42,$A337&gt;'Recurring Schedule'!$P$42),"",IF(IF('Recurring Schedule'!$N$42&gt;0,MOD($A337-'Recurring Schedule'!$F$42,'Recurring Schedule'!$N$42)=0,IF('Recurring Schedule'!$O$42&gt;0,AND(DAY($A337)=MIN(DAY('Recurring Schedule'!$F$42),DAY(EOMONTH($A337,0))),MOD((YEAR($A337)-YEAR('Recurring Schedule'!$F$42))*12+MONTH($A337)-MONTH('Recurring Schedule'!$F$42),'Recurring Schedule'!$O$42)=0),IF('Recurring Schedule'!$E$42="Weekdays",WEEKDAY($A337,2)&lt;=5,$A337='Recurring Schedule'!$F$42))),37,""))))</f>
        <v/>
      </c>
      <c r="AM337">
        <f>IF('Recurring Schedule'!$C$43="","",IF('Recurring Schedule'!$F$43="","",IF(OR($A337&lt;'Recurring Schedule'!$F$43,$A337&gt;'Recurring Schedule'!$P$43),"",IF(IF('Recurring Schedule'!$N$43&gt;0,MOD($A337-'Recurring Schedule'!$F$43,'Recurring Schedule'!$N$43)=0,IF('Recurring Schedule'!$O$43&gt;0,AND(DAY($A337)=MIN(DAY('Recurring Schedule'!$F$43),DAY(EOMONTH($A337,0))),MOD((YEAR($A337)-YEAR('Recurring Schedule'!$F$43))*12+MONTH($A337)-MONTH('Recurring Schedule'!$F$43),'Recurring Schedule'!$O$43)=0),IF('Recurring Schedule'!$E$43="Weekdays",WEEKDAY($A337,2)&lt;=5,$A337='Recurring Schedule'!$F$43))),38,""))))</f>
        <v/>
      </c>
      <c r="AN337">
        <f>IF('Recurring Schedule'!$C$44="","",IF('Recurring Schedule'!$F$44="","",IF(OR($A337&lt;'Recurring Schedule'!$F$44,$A337&gt;'Recurring Schedule'!$P$44),"",IF(IF('Recurring Schedule'!$N$44&gt;0,MOD($A337-'Recurring Schedule'!$F$44,'Recurring Schedule'!$N$44)=0,IF('Recurring Schedule'!$O$44&gt;0,AND(DAY($A337)=MIN(DAY('Recurring Schedule'!$F$44),DAY(EOMONTH($A337,0))),MOD((YEAR($A337)-YEAR('Recurring Schedule'!$F$44))*12+MONTH($A337)-MONTH('Recurring Schedule'!$F$44),'Recurring Schedule'!$O$44)=0),IF('Recurring Schedule'!$E$44="Weekdays",WEEKDAY($A337,2)&lt;=5,$A337='Recurring Schedule'!$F$44))),39,""))))</f>
        <v/>
      </c>
      <c r="AO337">
        <f>IF('Recurring Schedule'!$C$45="","",IF('Recurring Schedule'!$F$45="","",IF(OR($A337&lt;'Recurring Schedule'!$F$45,$A337&gt;'Recurring Schedule'!$P$45),"",IF(IF('Recurring Schedule'!$N$45&gt;0,MOD($A337-'Recurring Schedule'!$F$45,'Recurring Schedule'!$N$45)=0,IF('Recurring Schedule'!$O$45&gt;0,AND(DAY($A337)=MIN(DAY('Recurring Schedule'!$F$45),DAY(EOMONTH($A337,0))),MOD((YEAR($A337)-YEAR('Recurring Schedule'!$F$45))*12+MONTH($A337)-MONTH('Recurring Schedule'!$F$45),'Recurring Schedule'!$O$45)=0),IF('Recurring Schedule'!$E$45="Weekdays",WEEKDAY($A337,2)&lt;=5,$A337='Recurring Schedule'!$F$45))),40,""))))</f>
        <v/>
      </c>
      <c r="AP337">
        <f>COUNT(B337:AO337)</f>
        <v/>
      </c>
      <c r="AQ337">
        <f>AQ336+AP336</f>
        <v/>
      </c>
      <c r="AS337" t="inlineStr">
        <is>
          <t>R</t>
        </is>
      </c>
      <c r="AT337" t="n">
        <v>341</v>
      </c>
      <c r="AU337">
        <f>'Recurring Log'!C341&amp;""</f>
        <v/>
      </c>
      <c r="AV337">
        <f>'Recurring Log'!D341&amp;""</f>
        <v/>
      </c>
      <c r="AW337">
        <f>IF('Recurring Log'!E341="","",'Recurring Log'!E341)</f>
        <v/>
      </c>
      <c r="AX337">
        <f>IF('Recurring Log'!G341="","",'Recurring Log'!G341)</f>
        <v/>
      </c>
      <c r="AY337">
        <f>IF('Recurring Log'!H341="","",'Recurring Log'!H341)</f>
        <v/>
      </c>
      <c r="AZ337">
        <f>IF(AU337="","",IF('Recurring Log'!J341="","Not Started",'Recurring Log'!J341))</f>
        <v/>
      </c>
      <c r="BA337">
        <f>'Recurring Log'!L341&amp;""</f>
        <v/>
      </c>
      <c r="BB337">
        <f>'Recurring Log'!M341&amp;""</f>
        <v/>
      </c>
      <c r="BC337">
        <f>'Recurring Log'!N341&amp;""</f>
        <v/>
      </c>
      <c r="BD337">
        <f>'Recurring Log'!O341&amp;""</f>
        <v/>
      </c>
      <c r="BE337">
        <f>IF('Recurring Log'!K341="","",'Recurring Log'!K341)</f>
        <v/>
      </c>
      <c r="BF337">
        <f>IFERROR(MATCH(BA337,Setup!$L$6:$L$9,0),5)</f>
        <v/>
      </c>
      <c r="BG337">
        <f>IF(OR(AZ337="Done",AZ337="Cancelled"),1,0)</f>
        <v/>
      </c>
      <c r="BH337">
        <f>IF(AND(AU337&lt;&gt;"",ISNUMBER(AW337)),1,0)</f>
        <v/>
      </c>
      <c r="BI337">
        <f>IF(BH337=0,0,IF(AND(AW337&gt;='Tasks Filter'!$F$3,AW337&lt;='Tasks Filter'!$F$4,OR('Tasks Filter'!$I$3="",ISNUMBER(SEARCH('Tasks Filter'!$I$3,AU337))),OR('Tasks Filter'!$I$4="",BF337=IFERROR(MATCH('Tasks Filter'!$I$4,Setup!$L$6:$L$9,0),0)),OR('Tasks Filter'!$I$5="Both",AND('Tasks Filter'!$I$5="Yes",BB337="✓"),AND('Tasks Filter'!$I$5="No",BB337&lt;&gt;"✓")),OR('Tasks Filter'!$L$3="",AV337='Tasks Filter'!$L$3),OR('Tasks Filter'!$L$4="",AZ337='Tasks Filter'!$L$4),OR('Tasks Filter'!$L$5="",BC337='Tasks Filter'!$L$5),OR('Tasks Filter'!$O$3="",BD337='Tasks Filter'!$O$3),OR('Tasks Filter'!$O$4="Yes",BG337=0)),1,0))</f>
        <v/>
      </c>
      <c r="BJ337">
        <f>IF(BH337=0,"",IF('Tasks Filter'!$F$6="Descending",-1,1)*CHOOSE(MATCH('Tasks Filter'!$F$5,Lists!$G$2:$G$6,0),AW337,BF337,IFERROR(MATCH(AV337,Setup!$F$6:$F$15,0),99),IFERROR(MATCH(BC337,Setup!$H$6:$H$15,0),99),IFERROR(MATCH(AZ337,Setup!$J$6:$J$11,0),99))*1E+9+(AW337-40000)*10000+336)</f>
        <v/>
      </c>
      <c r="BK337">
        <f>IF(BI337=1,BJ337,"")</f>
        <v/>
      </c>
      <c r="BL337">
        <f>IF(AND(BH337=1,BG337=0,N(AW337)&lt;Setup!$D$7),(AW337-40000)*10000+336,"")</f>
        <v/>
      </c>
      <c r="BM337">
        <f>IF(AND(BH337=1,AZ337&lt;&gt;"Cancelled",N(AW337)&gt;=Dashboard!$AB$3,N(AW337)&lt;=Dashboard!$AB$3+6),(AW337-40000)*100000+BF337*10000+336,"")</f>
        <v/>
      </c>
      <c r="BN337">
        <f>IF(AND(BH337=1,AZ337&lt;&gt;"Cancelled"),BF337*10000+336,"")</f>
        <v/>
      </c>
    </row>
    <row r="338">
      <c r="A338">
        <f>Setup!$D$5+336</f>
        <v/>
      </c>
      <c r="B338">
        <f>IF('Recurring Schedule'!$C$6="","",IF('Recurring Schedule'!$F$6="","",IF(OR($A338&lt;'Recurring Schedule'!$F$6,$A338&gt;'Recurring Schedule'!$P$6),"",IF(IF('Recurring Schedule'!$N$6&gt;0,MOD($A338-'Recurring Schedule'!$F$6,'Recurring Schedule'!$N$6)=0,IF('Recurring Schedule'!$O$6&gt;0,AND(DAY($A338)=MIN(DAY('Recurring Schedule'!$F$6),DAY(EOMONTH($A338,0))),MOD((YEAR($A338)-YEAR('Recurring Schedule'!$F$6))*12+MONTH($A338)-MONTH('Recurring Schedule'!$F$6),'Recurring Schedule'!$O$6)=0),IF('Recurring Schedule'!$E$6="Weekdays",WEEKDAY($A338,2)&lt;=5,$A338='Recurring Schedule'!$F$6))),1,""))))</f>
        <v/>
      </c>
      <c r="C338">
        <f>IF('Recurring Schedule'!$C$7="","",IF('Recurring Schedule'!$F$7="","",IF(OR($A338&lt;'Recurring Schedule'!$F$7,$A338&gt;'Recurring Schedule'!$P$7),"",IF(IF('Recurring Schedule'!$N$7&gt;0,MOD($A338-'Recurring Schedule'!$F$7,'Recurring Schedule'!$N$7)=0,IF('Recurring Schedule'!$O$7&gt;0,AND(DAY($A338)=MIN(DAY('Recurring Schedule'!$F$7),DAY(EOMONTH($A338,0))),MOD((YEAR($A338)-YEAR('Recurring Schedule'!$F$7))*12+MONTH($A338)-MONTH('Recurring Schedule'!$F$7),'Recurring Schedule'!$O$7)=0),IF('Recurring Schedule'!$E$7="Weekdays",WEEKDAY($A338,2)&lt;=5,$A338='Recurring Schedule'!$F$7))),2,""))))</f>
        <v/>
      </c>
      <c r="D338">
        <f>IF('Recurring Schedule'!$C$8="","",IF('Recurring Schedule'!$F$8="","",IF(OR($A338&lt;'Recurring Schedule'!$F$8,$A338&gt;'Recurring Schedule'!$P$8),"",IF(IF('Recurring Schedule'!$N$8&gt;0,MOD($A338-'Recurring Schedule'!$F$8,'Recurring Schedule'!$N$8)=0,IF('Recurring Schedule'!$O$8&gt;0,AND(DAY($A338)=MIN(DAY('Recurring Schedule'!$F$8),DAY(EOMONTH($A338,0))),MOD((YEAR($A338)-YEAR('Recurring Schedule'!$F$8))*12+MONTH($A338)-MONTH('Recurring Schedule'!$F$8),'Recurring Schedule'!$O$8)=0),IF('Recurring Schedule'!$E$8="Weekdays",WEEKDAY($A338,2)&lt;=5,$A338='Recurring Schedule'!$F$8))),3,""))))</f>
        <v/>
      </c>
      <c r="E338">
        <f>IF('Recurring Schedule'!$C$9="","",IF('Recurring Schedule'!$F$9="","",IF(OR($A338&lt;'Recurring Schedule'!$F$9,$A338&gt;'Recurring Schedule'!$P$9),"",IF(IF('Recurring Schedule'!$N$9&gt;0,MOD($A338-'Recurring Schedule'!$F$9,'Recurring Schedule'!$N$9)=0,IF('Recurring Schedule'!$O$9&gt;0,AND(DAY($A338)=MIN(DAY('Recurring Schedule'!$F$9),DAY(EOMONTH($A338,0))),MOD((YEAR($A338)-YEAR('Recurring Schedule'!$F$9))*12+MONTH($A338)-MONTH('Recurring Schedule'!$F$9),'Recurring Schedule'!$O$9)=0),IF('Recurring Schedule'!$E$9="Weekdays",WEEKDAY($A338,2)&lt;=5,$A338='Recurring Schedule'!$F$9))),4,""))))</f>
        <v/>
      </c>
      <c r="F338">
        <f>IF('Recurring Schedule'!$C$10="","",IF('Recurring Schedule'!$F$10="","",IF(OR($A338&lt;'Recurring Schedule'!$F$10,$A338&gt;'Recurring Schedule'!$P$10),"",IF(IF('Recurring Schedule'!$N$10&gt;0,MOD($A338-'Recurring Schedule'!$F$10,'Recurring Schedule'!$N$10)=0,IF('Recurring Schedule'!$O$10&gt;0,AND(DAY($A338)=MIN(DAY('Recurring Schedule'!$F$10),DAY(EOMONTH($A338,0))),MOD((YEAR($A338)-YEAR('Recurring Schedule'!$F$10))*12+MONTH($A338)-MONTH('Recurring Schedule'!$F$10),'Recurring Schedule'!$O$10)=0),IF('Recurring Schedule'!$E$10="Weekdays",WEEKDAY($A338,2)&lt;=5,$A338='Recurring Schedule'!$F$10))),5,""))))</f>
        <v/>
      </c>
      <c r="G338">
        <f>IF('Recurring Schedule'!$C$11="","",IF('Recurring Schedule'!$F$11="","",IF(OR($A338&lt;'Recurring Schedule'!$F$11,$A338&gt;'Recurring Schedule'!$P$11),"",IF(IF('Recurring Schedule'!$N$11&gt;0,MOD($A338-'Recurring Schedule'!$F$11,'Recurring Schedule'!$N$11)=0,IF('Recurring Schedule'!$O$11&gt;0,AND(DAY($A338)=MIN(DAY('Recurring Schedule'!$F$11),DAY(EOMONTH($A338,0))),MOD((YEAR($A338)-YEAR('Recurring Schedule'!$F$11))*12+MONTH($A338)-MONTH('Recurring Schedule'!$F$11),'Recurring Schedule'!$O$11)=0),IF('Recurring Schedule'!$E$11="Weekdays",WEEKDAY($A338,2)&lt;=5,$A338='Recurring Schedule'!$F$11))),6,""))))</f>
        <v/>
      </c>
      <c r="H338">
        <f>IF('Recurring Schedule'!$C$12="","",IF('Recurring Schedule'!$F$12="","",IF(OR($A338&lt;'Recurring Schedule'!$F$12,$A338&gt;'Recurring Schedule'!$P$12),"",IF(IF('Recurring Schedule'!$N$12&gt;0,MOD($A338-'Recurring Schedule'!$F$12,'Recurring Schedule'!$N$12)=0,IF('Recurring Schedule'!$O$12&gt;0,AND(DAY($A338)=MIN(DAY('Recurring Schedule'!$F$12),DAY(EOMONTH($A338,0))),MOD((YEAR($A338)-YEAR('Recurring Schedule'!$F$12))*12+MONTH($A338)-MONTH('Recurring Schedule'!$F$12),'Recurring Schedule'!$O$12)=0),IF('Recurring Schedule'!$E$12="Weekdays",WEEKDAY($A338,2)&lt;=5,$A338='Recurring Schedule'!$F$12))),7,""))))</f>
        <v/>
      </c>
      <c r="I338">
        <f>IF('Recurring Schedule'!$C$13="","",IF('Recurring Schedule'!$F$13="","",IF(OR($A338&lt;'Recurring Schedule'!$F$13,$A338&gt;'Recurring Schedule'!$P$13),"",IF(IF('Recurring Schedule'!$N$13&gt;0,MOD($A338-'Recurring Schedule'!$F$13,'Recurring Schedule'!$N$13)=0,IF('Recurring Schedule'!$O$13&gt;0,AND(DAY($A338)=MIN(DAY('Recurring Schedule'!$F$13),DAY(EOMONTH($A338,0))),MOD((YEAR($A338)-YEAR('Recurring Schedule'!$F$13))*12+MONTH($A338)-MONTH('Recurring Schedule'!$F$13),'Recurring Schedule'!$O$13)=0),IF('Recurring Schedule'!$E$13="Weekdays",WEEKDAY($A338,2)&lt;=5,$A338='Recurring Schedule'!$F$13))),8,""))))</f>
        <v/>
      </c>
      <c r="J338">
        <f>IF('Recurring Schedule'!$C$14="","",IF('Recurring Schedule'!$F$14="","",IF(OR($A338&lt;'Recurring Schedule'!$F$14,$A338&gt;'Recurring Schedule'!$P$14),"",IF(IF('Recurring Schedule'!$N$14&gt;0,MOD($A338-'Recurring Schedule'!$F$14,'Recurring Schedule'!$N$14)=0,IF('Recurring Schedule'!$O$14&gt;0,AND(DAY($A338)=MIN(DAY('Recurring Schedule'!$F$14),DAY(EOMONTH($A338,0))),MOD((YEAR($A338)-YEAR('Recurring Schedule'!$F$14))*12+MONTH($A338)-MONTH('Recurring Schedule'!$F$14),'Recurring Schedule'!$O$14)=0),IF('Recurring Schedule'!$E$14="Weekdays",WEEKDAY($A338,2)&lt;=5,$A338='Recurring Schedule'!$F$14))),9,""))))</f>
        <v/>
      </c>
      <c r="K338">
        <f>IF('Recurring Schedule'!$C$15="","",IF('Recurring Schedule'!$F$15="","",IF(OR($A338&lt;'Recurring Schedule'!$F$15,$A338&gt;'Recurring Schedule'!$P$15),"",IF(IF('Recurring Schedule'!$N$15&gt;0,MOD($A338-'Recurring Schedule'!$F$15,'Recurring Schedule'!$N$15)=0,IF('Recurring Schedule'!$O$15&gt;0,AND(DAY($A338)=MIN(DAY('Recurring Schedule'!$F$15),DAY(EOMONTH($A338,0))),MOD((YEAR($A338)-YEAR('Recurring Schedule'!$F$15))*12+MONTH($A338)-MONTH('Recurring Schedule'!$F$15),'Recurring Schedule'!$O$15)=0),IF('Recurring Schedule'!$E$15="Weekdays",WEEKDAY($A338,2)&lt;=5,$A338='Recurring Schedule'!$F$15))),10,""))))</f>
        <v/>
      </c>
      <c r="L338">
        <f>IF('Recurring Schedule'!$C$16="","",IF('Recurring Schedule'!$F$16="","",IF(OR($A338&lt;'Recurring Schedule'!$F$16,$A338&gt;'Recurring Schedule'!$P$16),"",IF(IF('Recurring Schedule'!$N$16&gt;0,MOD($A338-'Recurring Schedule'!$F$16,'Recurring Schedule'!$N$16)=0,IF('Recurring Schedule'!$O$16&gt;0,AND(DAY($A338)=MIN(DAY('Recurring Schedule'!$F$16),DAY(EOMONTH($A338,0))),MOD((YEAR($A338)-YEAR('Recurring Schedule'!$F$16))*12+MONTH($A338)-MONTH('Recurring Schedule'!$F$16),'Recurring Schedule'!$O$16)=0),IF('Recurring Schedule'!$E$16="Weekdays",WEEKDAY($A338,2)&lt;=5,$A338='Recurring Schedule'!$F$16))),11,""))))</f>
        <v/>
      </c>
      <c r="M338">
        <f>IF('Recurring Schedule'!$C$17="","",IF('Recurring Schedule'!$F$17="","",IF(OR($A338&lt;'Recurring Schedule'!$F$17,$A338&gt;'Recurring Schedule'!$P$17),"",IF(IF('Recurring Schedule'!$N$17&gt;0,MOD($A338-'Recurring Schedule'!$F$17,'Recurring Schedule'!$N$17)=0,IF('Recurring Schedule'!$O$17&gt;0,AND(DAY($A338)=MIN(DAY('Recurring Schedule'!$F$17),DAY(EOMONTH($A338,0))),MOD((YEAR($A338)-YEAR('Recurring Schedule'!$F$17))*12+MONTH($A338)-MONTH('Recurring Schedule'!$F$17),'Recurring Schedule'!$O$17)=0),IF('Recurring Schedule'!$E$17="Weekdays",WEEKDAY($A338,2)&lt;=5,$A338='Recurring Schedule'!$F$17))),12,""))))</f>
        <v/>
      </c>
      <c r="N338">
        <f>IF('Recurring Schedule'!$C$18="","",IF('Recurring Schedule'!$F$18="","",IF(OR($A338&lt;'Recurring Schedule'!$F$18,$A338&gt;'Recurring Schedule'!$P$18),"",IF(IF('Recurring Schedule'!$N$18&gt;0,MOD($A338-'Recurring Schedule'!$F$18,'Recurring Schedule'!$N$18)=0,IF('Recurring Schedule'!$O$18&gt;0,AND(DAY($A338)=MIN(DAY('Recurring Schedule'!$F$18),DAY(EOMONTH($A338,0))),MOD((YEAR($A338)-YEAR('Recurring Schedule'!$F$18))*12+MONTH($A338)-MONTH('Recurring Schedule'!$F$18),'Recurring Schedule'!$O$18)=0),IF('Recurring Schedule'!$E$18="Weekdays",WEEKDAY($A338,2)&lt;=5,$A338='Recurring Schedule'!$F$18))),13,""))))</f>
        <v/>
      </c>
      <c r="O338">
        <f>IF('Recurring Schedule'!$C$19="","",IF('Recurring Schedule'!$F$19="","",IF(OR($A338&lt;'Recurring Schedule'!$F$19,$A338&gt;'Recurring Schedule'!$P$19),"",IF(IF('Recurring Schedule'!$N$19&gt;0,MOD($A338-'Recurring Schedule'!$F$19,'Recurring Schedule'!$N$19)=0,IF('Recurring Schedule'!$O$19&gt;0,AND(DAY($A338)=MIN(DAY('Recurring Schedule'!$F$19),DAY(EOMONTH($A338,0))),MOD((YEAR($A338)-YEAR('Recurring Schedule'!$F$19))*12+MONTH($A338)-MONTH('Recurring Schedule'!$F$19),'Recurring Schedule'!$O$19)=0),IF('Recurring Schedule'!$E$19="Weekdays",WEEKDAY($A338,2)&lt;=5,$A338='Recurring Schedule'!$F$19))),14,""))))</f>
        <v/>
      </c>
      <c r="P338">
        <f>IF('Recurring Schedule'!$C$20="","",IF('Recurring Schedule'!$F$20="","",IF(OR($A338&lt;'Recurring Schedule'!$F$20,$A338&gt;'Recurring Schedule'!$P$20),"",IF(IF('Recurring Schedule'!$N$20&gt;0,MOD($A338-'Recurring Schedule'!$F$20,'Recurring Schedule'!$N$20)=0,IF('Recurring Schedule'!$O$20&gt;0,AND(DAY($A338)=MIN(DAY('Recurring Schedule'!$F$20),DAY(EOMONTH($A338,0))),MOD((YEAR($A338)-YEAR('Recurring Schedule'!$F$20))*12+MONTH($A338)-MONTH('Recurring Schedule'!$F$20),'Recurring Schedule'!$O$20)=0),IF('Recurring Schedule'!$E$20="Weekdays",WEEKDAY($A338,2)&lt;=5,$A338='Recurring Schedule'!$F$20))),15,""))))</f>
        <v/>
      </c>
      <c r="Q338">
        <f>IF('Recurring Schedule'!$C$21="","",IF('Recurring Schedule'!$F$21="","",IF(OR($A338&lt;'Recurring Schedule'!$F$21,$A338&gt;'Recurring Schedule'!$P$21),"",IF(IF('Recurring Schedule'!$N$21&gt;0,MOD($A338-'Recurring Schedule'!$F$21,'Recurring Schedule'!$N$21)=0,IF('Recurring Schedule'!$O$21&gt;0,AND(DAY($A338)=MIN(DAY('Recurring Schedule'!$F$21),DAY(EOMONTH($A338,0))),MOD((YEAR($A338)-YEAR('Recurring Schedule'!$F$21))*12+MONTH($A338)-MONTH('Recurring Schedule'!$F$21),'Recurring Schedule'!$O$21)=0),IF('Recurring Schedule'!$E$21="Weekdays",WEEKDAY($A338,2)&lt;=5,$A338='Recurring Schedule'!$F$21))),16,""))))</f>
        <v/>
      </c>
      <c r="R338">
        <f>IF('Recurring Schedule'!$C$22="","",IF('Recurring Schedule'!$F$22="","",IF(OR($A338&lt;'Recurring Schedule'!$F$22,$A338&gt;'Recurring Schedule'!$P$22),"",IF(IF('Recurring Schedule'!$N$22&gt;0,MOD($A338-'Recurring Schedule'!$F$22,'Recurring Schedule'!$N$22)=0,IF('Recurring Schedule'!$O$22&gt;0,AND(DAY($A338)=MIN(DAY('Recurring Schedule'!$F$22),DAY(EOMONTH($A338,0))),MOD((YEAR($A338)-YEAR('Recurring Schedule'!$F$22))*12+MONTH($A338)-MONTH('Recurring Schedule'!$F$22),'Recurring Schedule'!$O$22)=0),IF('Recurring Schedule'!$E$22="Weekdays",WEEKDAY($A338,2)&lt;=5,$A338='Recurring Schedule'!$F$22))),17,""))))</f>
        <v/>
      </c>
      <c r="S338">
        <f>IF('Recurring Schedule'!$C$23="","",IF('Recurring Schedule'!$F$23="","",IF(OR($A338&lt;'Recurring Schedule'!$F$23,$A338&gt;'Recurring Schedule'!$P$23),"",IF(IF('Recurring Schedule'!$N$23&gt;0,MOD($A338-'Recurring Schedule'!$F$23,'Recurring Schedule'!$N$23)=0,IF('Recurring Schedule'!$O$23&gt;0,AND(DAY($A338)=MIN(DAY('Recurring Schedule'!$F$23),DAY(EOMONTH($A338,0))),MOD((YEAR($A338)-YEAR('Recurring Schedule'!$F$23))*12+MONTH($A338)-MONTH('Recurring Schedule'!$F$23),'Recurring Schedule'!$O$23)=0),IF('Recurring Schedule'!$E$23="Weekdays",WEEKDAY($A338,2)&lt;=5,$A338='Recurring Schedule'!$F$23))),18,""))))</f>
        <v/>
      </c>
      <c r="T338">
        <f>IF('Recurring Schedule'!$C$24="","",IF('Recurring Schedule'!$F$24="","",IF(OR($A338&lt;'Recurring Schedule'!$F$24,$A338&gt;'Recurring Schedule'!$P$24),"",IF(IF('Recurring Schedule'!$N$24&gt;0,MOD($A338-'Recurring Schedule'!$F$24,'Recurring Schedule'!$N$24)=0,IF('Recurring Schedule'!$O$24&gt;0,AND(DAY($A338)=MIN(DAY('Recurring Schedule'!$F$24),DAY(EOMONTH($A338,0))),MOD((YEAR($A338)-YEAR('Recurring Schedule'!$F$24))*12+MONTH($A338)-MONTH('Recurring Schedule'!$F$24),'Recurring Schedule'!$O$24)=0),IF('Recurring Schedule'!$E$24="Weekdays",WEEKDAY($A338,2)&lt;=5,$A338='Recurring Schedule'!$F$24))),19,""))))</f>
        <v/>
      </c>
      <c r="U338">
        <f>IF('Recurring Schedule'!$C$25="","",IF('Recurring Schedule'!$F$25="","",IF(OR($A338&lt;'Recurring Schedule'!$F$25,$A338&gt;'Recurring Schedule'!$P$25),"",IF(IF('Recurring Schedule'!$N$25&gt;0,MOD($A338-'Recurring Schedule'!$F$25,'Recurring Schedule'!$N$25)=0,IF('Recurring Schedule'!$O$25&gt;0,AND(DAY($A338)=MIN(DAY('Recurring Schedule'!$F$25),DAY(EOMONTH($A338,0))),MOD((YEAR($A338)-YEAR('Recurring Schedule'!$F$25))*12+MONTH($A338)-MONTH('Recurring Schedule'!$F$25),'Recurring Schedule'!$O$25)=0),IF('Recurring Schedule'!$E$25="Weekdays",WEEKDAY($A338,2)&lt;=5,$A338='Recurring Schedule'!$F$25))),20,""))))</f>
        <v/>
      </c>
      <c r="V338">
        <f>IF('Recurring Schedule'!$C$26="","",IF('Recurring Schedule'!$F$26="","",IF(OR($A338&lt;'Recurring Schedule'!$F$26,$A338&gt;'Recurring Schedule'!$P$26),"",IF(IF('Recurring Schedule'!$N$26&gt;0,MOD($A338-'Recurring Schedule'!$F$26,'Recurring Schedule'!$N$26)=0,IF('Recurring Schedule'!$O$26&gt;0,AND(DAY($A338)=MIN(DAY('Recurring Schedule'!$F$26),DAY(EOMONTH($A338,0))),MOD((YEAR($A338)-YEAR('Recurring Schedule'!$F$26))*12+MONTH($A338)-MONTH('Recurring Schedule'!$F$26),'Recurring Schedule'!$O$26)=0),IF('Recurring Schedule'!$E$26="Weekdays",WEEKDAY($A338,2)&lt;=5,$A338='Recurring Schedule'!$F$26))),21,""))))</f>
        <v/>
      </c>
      <c r="W338">
        <f>IF('Recurring Schedule'!$C$27="","",IF('Recurring Schedule'!$F$27="","",IF(OR($A338&lt;'Recurring Schedule'!$F$27,$A338&gt;'Recurring Schedule'!$P$27),"",IF(IF('Recurring Schedule'!$N$27&gt;0,MOD($A338-'Recurring Schedule'!$F$27,'Recurring Schedule'!$N$27)=0,IF('Recurring Schedule'!$O$27&gt;0,AND(DAY($A338)=MIN(DAY('Recurring Schedule'!$F$27),DAY(EOMONTH($A338,0))),MOD((YEAR($A338)-YEAR('Recurring Schedule'!$F$27))*12+MONTH($A338)-MONTH('Recurring Schedule'!$F$27),'Recurring Schedule'!$O$27)=0),IF('Recurring Schedule'!$E$27="Weekdays",WEEKDAY($A338,2)&lt;=5,$A338='Recurring Schedule'!$F$27))),22,""))))</f>
        <v/>
      </c>
      <c r="X338">
        <f>IF('Recurring Schedule'!$C$28="","",IF('Recurring Schedule'!$F$28="","",IF(OR($A338&lt;'Recurring Schedule'!$F$28,$A338&gt;'Recurring Schedule'!$P$28),"",IF(IF('Recurring Schedule'!$N$28&gt;0,MOD($A338-'Recurring Schedule'!$F$28,'Recurring Schedule'!$N$28)=0,IF('Recurring Schedule'!$O$28&gt;0,AND(DAY($A338)=MIN(DAY('Recurring Schedule'!$F$28),DAY(EOMONTH($A338,0))),MOD((YEAR($A338)-YEAR('Recurring Schedule'!$F$28))*12+MONTH($A338)-MONTH('Recurring Schedule'!$F$28),'Recurring Schedule'!$O$28)=0),IF('Recurring Schedule'!$E$28="Weekdays",WEEKDAY($A338,2)&lt;=5,$A338='Recurring Schedule'!$F$28))),23,""))))</f>
        <v/>
      </c>
      <c r="Y338">
        <f>IF('Recurring Schedule'!$C$29="","",IF('Recurring Schedule'!$F$29="","",IF(OR($A338&lt;'Recurring Schedule'!$F$29,$A338&gt;'Recurring Schedule'!$P$29),"",IF(IF('Recurring Schedule'!$N$29&gt;0,MOD($A338-'Recurring Schedule'!$F$29,'Recurring Schedule'!$N$29)=0,IF('Recurring Schedule'!$O$29&gt;0,AND(DAY($A338)=MIN(DAY('Recurring Schedule'!$F$29),DAY(EOMONTH($A338,0))),MOD((YEAR($A338)-YEAR('Recurring Schedule'!$F$29))*12+MONTH($A338)-MONTH('Recurring Schedule'!$F$29),'Recurring Schedule'!$O$29)=0),IF('Recurring Schedule'!$E$29="Weekdays",WEEKDAY($A338,2)&lt;=5,$A338='Recurring Schedule'!$F$29))),24,""))))</f>
        <v/>
      </c>
      <c r="Z338">
        <f>IF('Recurring Schedule'!$C$30="","",IF('Recurring Schedule'!$F$30="","",IF(OR($A338&lt;'Recurring Schedule'!$F$30,$A338&gt;'Recurring Schedule'!$P$30),"",IF(IF('Recurring Schedule'!$N$30&gt;0,MOD($A338-'Recurring Schedule'!$F$30,'Recurring Schedule'!$N$30)=0,IF('Recurring Schedule'!$O$30&gt;0,AND(DAY($A338)=MIN(DAY('Recurring Schedule'!$F$30),DAY(EOMONTH($A338,0))),MOD((YEAR($A338)-YEAR('Recurring Schedule'!$F$30))*12+MONTH($A338)-MONTH('Recurring Schedule'!$F$30),'Recurring Schedule'!$O$30)=0),IF('Recurring Schedule'!$E$30="Weekdays",WEEKDAY($A338,2)&lt;=5,$A338='Recurring Schedule'!$F$30))),25,""))))</f>
        <v/>
      </c>
      <c r="AA338">
        <f>IF('Recurring Schedule'!$C$31="","",IF('Recurring Schedule'!$F$31="","",IF(OR($A338&lt;'Recurring Schedule'!$F$31,$A338&gt;'Recurring Schedule'!$P$31),"",IF(IF('Recurring Schedule'!$N$31&gt;0,MOD($A338-'Recurring Schedule'!$F$31,'Recurring Schedule'!$N$31)=0,IF('Recurring Schedule'!$O$31&gt;0,AND(DAY($A338)=MIN(DAY('Recurring Schedule'!$F$31),DAY(EOMONTH($A338,0))),MOD((YEAR($A338)-YEAR('Recurring Schedule'!$F$31))*12+MONTH($A338)-MONTH('Recurring Schedule'!$F$31),'Recurring Schedule'!$O$31)=0),IF('Recurring Schedule'!$E$31="Weekdays",WEEKDAY($A338,2)&lt;=5,$A338='Recurring Schedule'!$F$31))),26,""))))</f>
        <v/>
      </c>
      <c r="AB338">
        <f>IF('Recurring Schedule'!$C$32="","",IF('Recurring Schedule'!$F$32="","",IF(OR($A338&lt;'Recurring Schedule'!$F$32,$A338&gt;'Recurring Schedule'!$P$32),"",IF(IF('Recurring Schedule'!$N$32&gt;0,MOD($A338-'Recurring Schedule'!$F$32,'Recurring Schedule'!$N$32)=0,IF('Recurring Schedule'!$O$32&gt;0,AND(DAY($A338)=MIN(DAY('Recurring Schedule'!$F$32),DAY(EOMONTH($A338,0))),MOD((YEAR($A338)-YEAR('Recurring Schedule'!$F$32))*12+MONTH($A338)-MONTH('Recurring Schedule'!$F$32),'Recurring Schedule'!$O$32)=0),IF('Recurring Schedule'!$E$32="Weekdays",WEEKDAY($A338,2)&lt;=5,$A338='Recurring Schedule'!$F$32))),27,""))))</f>
        <v/>
      </c>
      <c r="AC338">
        <f>IF('Recurring Schedule'!$C$33="","",IF('Recurring Schedule'!$F$33="","",IF(OR($A338&lt;'Recurring Schedule'!$F$33,$A338&gt;'Recurring Schedule'!$P$33),"",IF(IF('Recurring Schedule'!$N$33&gt;0,MOD($A338-'Recurring Schedule'!$F$33,'Recurring Schedule'!$N$33)=0,IF('Recurring Schedule'!$O$33&gt;0,AND(DAY($A338)=MIN(DAY('Recurring Schedule'!$F$33),DAY(EOMONTH($A338,0))),MOD((YEAR($A338)-YEAR('Recurring Schedule'!$F$33))*12+MONTH($A338)-MONTH('Recurring Schedule'!$F$33),'Recurring Schedule'!$O$33)=0),IF('Recurring Schedule'!$E$33="Weekdays",WEEKDAY($A338,2)&lt;=5,$A338='Recurring Schedule'!$F$33))),28,""))))</f>
        <v/>
      </c>
      <c r="AD338">
        <f>IF('Recurring Schedule'!$C$34="","",IF('Recurring Schedule'!$F$34="","",IF(OR($A338&lt;'Recurring Schedule'!$F$34,$A338&gt;'Recurring Schedule'!$P$34),"",IF(IF('Recurring Schedule'!$N$34&gt;0,MOD($A338-'Recurring Schedule'!$F$34,'Recurring Schedule'!$N$34)=0,IF('Recurring Schedule'!$O$34&gt;0,AND(DAY($A338)=MIN(DAY('Recurring Schedule'!$F$34),DAY(EOMONTH($A338,0))),MOD((YEAR($A338)-YEAR('Recurring Schedule'!$F$34))*12+MONTH($A338)-MONTH('Recurring Schedule'!$F$34),'Recurring Schedule'!$O$34)=0),IF('Recurring Schedule'!$E$34="Weekdays",WEEKDAY($A338,2)&lt;=5,$A338='Recurring Schedule'!$F$34))),29,""))))</f>
        <v/>
      </c>
      <c r="AE338">
        <f>IF('Recurring Schedule'!$C$35="","",IF('Recurring Schedule'!$F$35="","",IF(OR($A338&lt;'Recurring Schedule'!$F$35,$A338&gt;'Recurring Schedule'!$P$35),"",IF(IF('Recurring Schedule'!$N$35&gt;0,MOD($A338-'Recurring Schedule'!$F$35,'Recurring Schedule'!$N$35)=0,IF('Recurring Schedule'!$O$35&gt;0,AND(DAY($A338)=MIN(DAY('Recurring Schedule'!$F$35),DAY(EOMONTH($A338,0))),MOD((YEAR($A338)-YEAR('Recurring Schedule'!$F$35))*12+MONTH($A338)-MONTH('Recurring Schedule'!$F$35),'Recurring Schedule'!$O$35)=0),IF('Recurring Schedule'!$E$35="Weekdays",WEEKDAY($A338,2)&lt;=5,$A338='Recurring Schedule'!$F$35))),30,""))))</f>
        <v/>
      </c>
      <c r="AF338">
        <f>IF('Recurring Schedule'!$C$36="","",IF('Recurring Schedule'!$F$36="","",IF(OR($A338&lt;'Recurring Schedule'!$F$36,$A338&gt;'Recurring Schedule'!$P$36),"",IF(IF('Recurring Schedule'!$N$36&gt;0,MOD($A338-'Recurring Schedule'!$F$36,'Recurring Schedule'!$N$36)=0,IF('Recurring Schedule'!$O$36&gt;0,AND(DAY($A338)=MIN(DAY('Recurring Schedule'!$F$36),DAY(EOMONTH($A338,0))),MOD((YEAR($A338)-YEAR('Recurring Schedule'!$F$36))*12+MONTH($A338)-MONTH('Recurring Schedule'!$F$36),'Recurring Schedule'!$O$36)=0),IF('Recurring Schedule'!$E$36="Weekdays",WEEKDAY($A338,2)&lt;=5,$A338='Recurring Schedule'!$F$36))),31,""))))</f>
        <v/>
      </c>
      <c r="AG338">
        <f>IF('Recurring Schedule'!$C$37="","",IF('Recurring Schedule'!$F$37="","",IF(OR($A338&lt;'Recurring Schedule'!$F$37,$A338&gt;'Recurring Schedule'!$P$37),"",IF(IF('Recurring Schedule'!$N$37&gt;0,MOD($A338-'Recurring Schedule'!$F$37,'Recurring Schedule'!$N$37)=0,IF('Recurring Schedule'!$O$37&gt;0,AND(DAY($A338)=MIN(DAY('Recurring Schedule'!$F$37),DAY(EOMONTH($A338,0))),MOD((YEAR($A338)-YEAR('Recurring Schedule'!$F$37))*12+MONTH($A338)-MONTH('Recurring Schedule'!$F$37),'Recurring Schedule'!$O$37)=0),IF('Recurring Schedule'!$E$37="Weekdays",WEEKDAY($A338,2)&lt;=5,$A338='Recurring Schedule'!$F$37))),32,""))))</f>
        <v/>
      </c>
      <c r="AH338">
        <f>IF('Recurring Schedule'!$C$38="","",IF('Recurring Schedule'!$F$38="","",IF(OR($A338&lt;'Recurring Schedule'!$F$38,$A338&gt;'Recurring Schedule'!$P$38),"",IF(IF('Recurring Schedule'!$N$38&gt;0,MOD($A338-'Recurring Schedule'!$F$38,'Recurring Schedule'!$N$38)=0,IF('Recurring Schedule'!$O$38&gt;0,AND(DAY($A338)=MIN(DAY('Recurring Schedule'!$F$38),DAY(EOMONTH($A338,0))),MOD((YEAR($A338)-YEAR('Recurring Schedule'!$F$38))*12+MONTH($A338)-MONTH('Recurring Schedule'!$F$38),'Recurring Schedule'!$O$38)=0),IF('Recurring Schedule'!$E$38="Weekdays",WEEKDAY($A338,2)&lt;=5,$A338='Recurring Schedule'!$F$38))),33,""))))</f>
        <v/>
      </c>
      <c r="AI338">
        <f>IF('Recurring Schedule'!$C$39="","",IF('Recurring Schedule'!$F$39="","",IF(OR($A338&lt;'Recurring Schedule'!$F$39,$A338&gt;'Recurring Schedule'!$P$39),"",IF(IF('Recurring Schedule'!$N$39&gt;0,MOD($A338-'Recurring Schedule'!$F$39,'Recurring Schedule'!$N$39)=0,IF('Recurring Schedule'!$O$39&gt;0,AND(DAY($A338)=MIN(DAY('Recurring Schedule'!$F$39),DAY(EOMONTH($A338,0))),MOD((YEAR($A338)-YEAR('Recurring Schedule'!$F$39))*12+MONTH($A338)-MONTH('Recurring Schedule'!$F$39),'Recurring Schedule'!$O$39)=0),IF('Recurring Schedule'!$E$39="Weekdays",WEEKDAY($A338,2)&lt;=5,$A338='Recurring Schedule'!$F$39))),34,""))))</f>
        <v/>
      </c>
      <c r="AJ338">
        <f>IF('Recurring Schedule'!$C$40="","",IF('Recurring Schedule'!$F$40="","",IF(OR($A338&lt;'Recurring Schedule'!$F$40,$A338&gt;'Recurring Schedule'!$P$40),"",IF(IF('Recurring Schedule'!$N$40&gt;0,MOD($A338-'Recurring Schedule'!$F$40,'Recurring Schedule'!$N$40)=0,IF('Recurring Schedule'!$O$40&gt;0,AND(DAY($A338)=MIN(DAY('Recurring Schedule'!$F$40),DAY(EOMONTH($A338,0))),MOD((YEAR($A338)-YEAR('Recurring Schedule'!$F$40))*12+MONTH($A338)-MONTH('Recurring Schedule'!$F$40),'Recurring Schedule'!$O$40)=0),IF('Recurring Schedule'!$E$40="Weekdays",WEEKDAY($A338,2)&lt;=5,$A338='Recurring Schedule'!$F$40))),35,""))))</f>
        <v/>
      </c>
      <c r="AK338">
        <f>IF('Recurring Schedule'!$C$41="","",IF('Recurring Schedule'!$F$41="","",IF(OR($A338&lt;'Recurring Schedule'!$F$41,$A338&gt;'Recurring Schedule'!$P$41),"",IF(IF('Recurring Schedule'!$N$41&gt;0,MOD($A338-'Recurring Schedule'!$F$41,'Recurring Schedule'!$N$41)=0,IF('Recurring Schedule'!$O$41&gt;0,AND(DAY($A338)=MIN(DAY('Recurring Schedule'!$F$41),DAY(EOMONTH($A338,0))),MOD((YEAR($A338)-YEAR('Recurring Schedule'!$F$41))*12+MONTH($A338)-MONTH('Recurring Schedule'!$F$41),'Recurring Schedule'!$O$41)=0),IF('Recurring Schedule'!$E$41="Weekdays",WEEKDAY($A338,2)&lt;=5,$A338='Recurring Schedule'!$F$41))),36,""))))</f>
        <v/>
      </c>
      <c r="AL338">
        <f>IF('Recurring Schedule'!$C$42="","",IF('Recurring Schedule'!$F$42="","",IF(OR($A338&lt;'Recurring Schedule'!$F$42,$A338&gt;'Recurring Schedule'!$P$42),"",IF(IF('Recurring Schedule'!$N$42&gt;0,MOD($A338-'Recurring Schedule'!$F$42,'Recurring Schedule'!$N$42)=0,IF('Recurring Schedule'!$O$42&gt;0,AND(DAY($A338)=MIN(DAY('Recurring Schedule'!$F$42),DAY(EOMONTH($A338,0))),MOD((YEAR($A338)-YEAR('Recurring Schedule'!$F$42))*12+MONTH($A338)-MONTH('Recurring Schedule'!$F$42),'Recurring Schedule'!$O$42)=0),IF('Recurring Schedule'!$E$42="Weekdays",WEEKDAY($A338,2)&lt;=5,$A338='Recurring Schedule'!$F$42))),37,""))))</f>
        <v/>
      </c>
      <c r="AM338">
        <f>IF('Recurring Schedule'!$C$43="","",IF('Recurring Schedule'!$F$43="","",IF(OR($A338&lt;'Recurring Schedule'!$F$43,$A338&gt;'Recurring Schedule'!$P$43),"",IF(IF('Recurring Schedule'!$N$43&gt;0,MOD($A338-'Recurring Schedule'!$F$43,'Recurring Schedule'!$N$43)=0,IF('Recurring Schedule'!$O$43&gt;0,AND(DAY($A338)=MIN(DAY('Recurring Schedule'!$F$43),DAY(EOMONTH($A338,0))),MOD((YEAR($A338)-YEAR('Recurring Schedule'!$F$43))*12+MONTH($A338)-MONTH('Recurring Schedule'!$F$43),'Recurring Schedule'!$O$43)=0),IF('Recurring Schedule'!$E$43="Weekdays",WEEKDAY($A338,2)&lt;=5,$A338='Recurring Schedule'!$F$43))),38,""))))</f>
        <v/>
      </c>
      <c r="AN338">
        <f>IF('Recurring Schedule'!$C$44="","",IF('Recurring Schedule'!$F$44="","",IF(OR($A338&lt;'Recurring Schedule'!$F$44,$A338&gt;'Recurring Schedule'!$P$44),"",IF(IF('Recurring Schedule'!$N$44&gt;0,MOD($A338-'Recurring Schedule'!$F$44,'Recurring Schedule'!$N$44)=0,IF('Recurring Schedule'!$O$44&gt;0,AND(DAY($A338)=MIN(DAY('Recurring Schedule'!$F$44),DAY(EOMONTH($A338,0))),MOD((YEAR($A338)-YEAR('Recurring Schedule'!$F$44))*12+MONTH($A338)-MONTH('Recurring Schedule'!$F$44),'Recurring Schedule'!$O$44)=0),IF('Recurring Schedule'!$E$44="Weekdays",WEEKDAY($A338,2)&lt;=5,$A338='Recurring Schedule'!$F$44))),39,""))))</f>
        <v/>
      </c>
      <c r="AO338">
        <f>IF('Recurring Schedule'!$C$45="","",IF('Recurring Schedule'!$F$45="","",IF(OR($A338&lt;'Recurring Schedule'!$F$45,$A338&gt;'Recurring Schedule'!$P$45),"",IF(IF('Recurring Schedule'!$N$45&gt;0,MOD($A338-'Recurring Schedule'!$F$45,'Recurring Schedule'!$N$45)=0,IF('Recurring Schedule'!$O$45&gt;0,AND(DAY($A338)=MIN(DAY('Recurring Schedule'!$F$45),DAY(EOMONTH($A338,0))),MOD((YEAR($A338)-YEAR('Recurring Schedule'!$F$45))*12+MONTH($A338)-MONTH('Recurring Schedule'!$F$45),'Recurring Schedule'!$O$45)=0),IF('Recurring Schedule'!$E$45="Weekdays",WEEKDAY($A338,2)&lt;=5,$A338='Recurring Schedule'!$F$45))),40,""))))</f>
        <v/>
      </c>
      <c r="AP338">
        <f>COUNT(B338:AO338)</f>
        <v/>
      </c>
      <c r="AQ338">
        <f>AQ337+AP337</f>
        <v/>
      </c>
      <c r="AS338" t="inlineStr">
        <is>
          <t>R</t>
        </is>
      </c>
      <c r="AT338" t="n">
        <v>342</v>
      </c>
      <c r="AU338">
        <f>'Recurring Log'!C342&amp;""</f>
        <v/>
      </c>
      <c r="AV338">
        <f>'Recurring Log'!D342&amp;""</f>
        <v/>
      </c>
      <c r="AW338">
        <f>IF('Recurring Log'!E342="","",'Recurring Log'!E342)</f>
        <v/>
      </c>
      <c r="AX338">
        <f>IF('Recurring Log'!G342="","",'Recurring Log'!G342)</f>
        <v/>
      </c>
      <c r="AY338">
        <f>IF('Recurring Log'!H342="","",'Recurring Log'!H342)</f>
        <v/>
      </c>
      <c r="AZ338">
        <f>IF(AU338="","",IF('Recurring Log'!J342="","Not Started",'Recurring Log'!J342))</f>
        <v/>
      </c>
      <c r="BA338">
        <f>'Recurring Log'!L342&amp;""</f>
        <v/>
      </c>
      <c r="BB338">
        <f>'Recurring Log'!M342&amp;""</f>
        <v/>
      </c>
      <c r="BC338">
        <f>'Recurring Log'!N342&amp;""</f>
        <v/>
      </c>
      <c r="BD338">
        <f>'Recurring Log'!O342&amp;""</f>
        <v/>
      </c>
      <c r="BE338">
        <f>IF('Recurring Log'!K342="","",'Recurring Log'!K342)</f>
        <v/>
      </c>
      <c r="BF338">
        <f>IFERROR(MATCH(BA338,Setup!$L$6:$L$9,0),5)</f>
        <v/>
      </c>
      <c r="BG338">
        <f>IF(OR(AZ338="Done",AZ338="Cancelled"),1,0)</f>
        <v/>
      </c>
      <c r="BH338">
        <f>IF(AND(AU338&lt;&gt;"",ISNUMBER(AW338)),1,0)</f>
        <v/>
      </c>
      <c r="BI338">
        <f>IF(BH338=0,0,IF(AND(AW338&gt;='Tasks Filter'!$F$3,AW338&lt;='Tasks Filter'!$F$4,OR('Tasks Filter'!$I$3="",ISNUMBER(SEARCH('Tasks Filter'!$I$3,AU338))),OR('Tasks Filter'!$I$4="",BF338=IFERROR(MATCH('Tasks Filter'!$I$4,Setup!$L$6:$L$9,0),0)),OR('Tasks Filter'!$I$5="Both",AND('Tasks Filter'!$I$5="Yes",BB338="✓"),AND('Tasks Filter'!$I$5="No",BB338&lt;&gt;"✓")),OR('Tasks Filter'!$L$3="",AV338='Tasks Filter'!$L$3),OR('Tasks Filter'!$L$4="",AZ338='Tasks Filter'!$L$4),OR('Tasks Filter'!$L$5="",BC338='Tasks Filter'!$L$5),OR('Tasks Filter'!$O$3="",BD338='Tasks Filter'!$O$3),OR('Tasks Filter'!$O$4="Yes",BG338=0)),1,0))</f>
        <v/>
      </c>
      <c r="BJ338">
        <f>IF(BH338=0,"",IF('Tasks Filter'!$F$6="Descending",-1,1)*CHOOSE(MATCH('Tasks Filter'!$F$5,Lists!$G$2:$G$6,0),AW338,BF338,IFERROR(MATCH(AV338,Setup!$F$6:$F$15,0),99),IFERROR(MATCH(BC338,Setup!$H$6:$H$15,0),99),IFERROR(MATCH(AZ338,Setup!$J$6:$J$11,0),99))*1E+9+(AW338-40000)*10000+337)</f>
        <v/>
      </c>
      <c r="BK338">
        <f>IF(BI338=1,BJ338,"")</f>
        <v/>
      </c>
      <c r="BL338">
        <f>IF(AND(BH338=1,BG338=0,N(AW338)&lt;Setup!$D$7),(AW338-40000)*10000+337,"")</f>
        <v/>
      </c>
      <c r="BM338">
        <f>IF(AND(BH338=1,AZ338&lt;&gt;"Cancelled",N(AW338)&gt;=Dashboard!$AB$3,N(AW338)&lt;=Dashboard!$AB$3+6),(AW338-40000)*100000+BF338*10000+337,"")</f>
        <v/>
      </c>
      <c r="BN338">
        <f>IF(AND(BH338=1,AZ338&lt;&gt;"Cancelled"),BF338*10000+337,"")</f>
        <v/>
      </c>
    </row>
    <row r="339">
      <c r="A339">
        <f>Setup!$D$5+337</f>
        <v/>
      </c>
      <c r="B339">
        <f>IF('Recurring Schedule'!$C$6="","",IF('Recurring Schedule'!$F$6="","",IF(OR($A339&lt;'Recurring Schedule'!$F$6,$A339&gt;'Recurring Schedule'!$P$6),"",IF(IF('Recurring Schedule'!$N$6&gt;0,MOD($A339-'Recurring Schedule'!$F$6,'Recurring Schedule'!$N$6)=0,IF('Recurring Schedule'!$O$6&gt;0,AND(DAY($A339)=MIN(DAY('Recurring Schedule'!$F$6),DAY(EOMONTH($A339,0))),MOD((YEAR($A339)-YEAR('Recurring Schedule'!$F$6))*12+MONTH($A339)-MONTH('Recurring Schedule'!$F$6),'Recurring Schedule'!$O$6)=0),IF('Recurring Schedule'!$E$6="Weekdays",WEEKDAY($A339,2)&lt;=5,$A339='Recurring Schedule'!$F$6))),1,""))))</f>
        <v/>
      </c>
      <c r="C339">
        <f>IF('Recurring Schedule'!$C$7="","",IF('Recurring Schedule'!$F$7="","",IF(OR($A339&lt;'Recurring Schedule'!$F$7,$A339&gt;'Recurring Schedule'!$P$7),"",IF(IF('Recurring Schedule'!$N$7&gt;0,MOD($A339-'Recurring Schedule'!$F$7,'Recurring Schedule'!$N$7)=0,IF('Recurring Schedule'!$O$7&gt;0,AND(DAY($A339)=MIN(DAY('Recurring Schedule'!$F$7),DAY(EOMONTH($A339,0))),MOD((YEAR($A339)-YEAR('Recurring Schedule'!$F$7))*12+MONTH($A339)-MONTH('Recurring Schedule'!$F$7),'Recurring Schedule'!$O$7)=0),IF('Recurring Schedule'!$E$7="Weekdays",WEEKDAY($A339,2)&lt;=5,$A339='Recurring Schedule'!$F$7))),2,""))))</f>
        <v/>
      </c>
      <c r="D339">
        <f>IF('Recurring Schedule'!$C$8="","",IF('Recurring Schedule'!$F$8="","",IF(OR($A339&lt;'Recurring Schedule'!$F$8,$A339&gt;'Recurring Schedule'!$P$8),"",IF(IF('Recurring Schedule'!$N$8&gt;0,MOD($A339-'Recurring Schedule'!$F$8,'Recurring Schedule'!$N$8)=0,IF('Recurring Schedule'!$O$8&gt;0,AND(DAY($A339)=MIN(DAY('Recurring Schedule'!$F$8),DAY(EOMONTH($A339,0))),MOD((YEAR($A339)-YEAR('Recurring Schedule'!$F$8))*12+MONTH($A339)-MONTH('Recurring Schedule'!$F$8),'Recurring Schedule'!$O$8)=0),IF('Recurring Schedule'!$E$8="Weekdays",WEEKDAY($A339,2)&lt;=5,$A339='Recurring Schedule'!$F$8))),3,""))))</f>
        <v/>
      </c>
      <c r="E339">
        <f>IF('Recurring Schedule'!$C$9="","",IF('Recurring Schedule'!$F$9="","",IF(OR($A339&lt;'Recurring Schedule'!$F$9,$A339&gt;'Recurring Schedule'!$P$9),"",IF(IF('Recurring Schedule'!$N$9&gt;0,MOD($A339-'Recurring Schedule'!$F$9,'Recurring Schedule'!$N$9)=0,IF('Recurring Schedule'!$O$9&gt;0,AND(DAY($A339)=MIN(DAY('Recurring Schedule'!$F$9),DAY(EOMONTH($A339,0))),MOD((YEAR($A339)-YEAR('Recurring Schedule'!$F$9))*12+MONTH($A339)-MONTH('Recurring Schedule'!$F$9),'Recurring Schedule'!$O$9)=0),IF('Recurring Schedule'!$E$9="Weekdays",WEEKDAY($A339,2)&lt;=5,$A339='Recurring Schedule'!$F$9))),4,""))))</f>
        <v/>
      </c>
      <c r="F339">
        <f>IF('Recurring Schedule'!$C$10="","",IF('Recurring Schedule'!$F$10="","",IF(OR($A339&lt;'Recurring Schedule'!$F$10,$A339&gt;'Recurring Schedule'!$P$10),"",IF(IF('Recurring Schedule'!$N$10&gt;0,MOD($A339-'Recurring Schedule'!$F$10,'Recurring Schedule'!$N$10)=0,IF('Recurring Schedule'!$O$10&gt;0,AND(DAY($A339)=MIN(DAY('Recurring Schedule'!$F$10),DAY(EOMONTH($A339,0))),MOD((YEAR($A339)-YEAR('Recurring Schedule'!$F$10))*12+MONTH($A339)-MONTH('Recurring Schedule'!$F$10),'Recurring Schedule'!$O$10)=0),IF('Recurring Schedule'!$E$10="Weekdays",WEEKDAY($A339,2)&lt;=5,$A339='Recurring Schedule'!$F$10))),5,""))))</f>
        <v/>
      </c>
      <c r="G339">
        <f>IF('Recurring Schedule'!$C$11="","",IF('Recurring Schedule'!$F$11="","",IF(OR($A339&lt;'Recurring Schedule'!$F$11,$A339&gt;'Recurring Schedule'!$P$11),"",IF(IF('Recurring Schedule'!$N$11&gt;0,MOD($A339-'Recurring Schedule'!$F$11,'Recurring Schedule'!$N$11)=0,IF('Recurring Schedule'!$O$11&gt;0,AND(DAY($A339)=MIN(DAY('Recurring Schedule'!$F$11),DAY(EOMONTH($A339,0))),MOD((YEAR($A339)-YEAR('Recurring Schedule'!$F$11))*12+MONTH($A339)-MONTH('Recurring Schedule'!$F$11),'Recurring Schedule'!$O$11)=0),IF('Recurring Schedule'!$E$11="Weekdays",WEEKDAY($A339,2)&lt;=5,$A339='Recurring Schedule'!$F$11))),6,""))))</f>
        <v/>
      </c>
      <c r="H339">
        <f>IF('Recurring Schedule'!$C$12="","",IF('Recurring Schedule'!$F$12="","",IF(OR($A339&lt;'Recurring Schedule'!$F$12,$A339&gt;'Recurring Schedule'!$P$12),"",IF(IF('Recurring Schedule'!$N$12&gt;0,MOD($A339-'Recurring Schedule'!$F$12,'Recurring Schedule'!$N$12)=0,IF('Recurring Schedule'!$O$12&gt;0,AND(DAY($A339)=MIN(DAY('Recurring Schedule'!$F$12),DAY(EOMONTH($A339,0))),MOD((YEAR($A339)-YEAR('Recurring Schedule'!$F$12))*12+MONTH($A339)-MONTH('Recurring Schedule'!$F$12),'Recurring Schedule'!$O$12)=0),IF('Recurring Schedule'!$E$12="Weekdays",WEEKDAY($A339,2)&lt;=5,$A339='Recurring Schedule'!$F$12))),7,""))))</f>
        <v/>
      </c>
      <c r="I339">
        <f>IF('Recurring Schedule'!$C$13="","",IF('Recurring Schedule'!$F$13="","",IF(OR($A339&lt;'Recurring Schedule'!$F$13,$A339&gt;'Recurring Schedule'!$P$13),"",IF(IF('Recurring Schedule'!$N$13&gt;0,MOD($A339-'Recurring Schedule'!$F$13,'Recurring Schedule'!$N$13)=0,IF('Recurring Schedule'!$O$13&gt;0,AND(DAY($A339)=MIN(DAY('Recurring Schedule'!$F$13),DAY(EOMONTH($A339,0))),MOD((YEAR($A339)-YEAR('Recurring Schedule'!$F$13))*12+MONTH($A339)-MONTH('Recurring Schedule'!$F$13),'Recurring Schedule'!$O$13)=0),IF('Recurring Schedule'!$E$13="Weekdays",WEEKDAY($A339,2)&lt;=5,$A339='Recurring Schedule'!$F$13))),8,""))))</f>
        <v/>
      </c>
      <c r="J339">
        <f>IF('Recurring Schedule'!$C$14="","",IF('Recurring Schedule'!$F$14="","",IF(OR($A339&lt;'Recurring Schedule'!$F$14,$A339&gt;'Recurring Schedule'!$P$14),"",IF(IF('Recurring Schedule'!$N$14&gt;0,MOD($A339-'Recurring Schedule'!$F$14,'Recurring Schedule'!$N$14)=0,IF('Recurring Schedule'!$O$14&gt;0,AND(DAY($A339)=MIN(DAY('Recurring Schedule'!$F$14),DAY(EOMONTH($A339,0))),MOD((YEAR($A339)-YEAR('Recurring Schedule'!$F$14))*12+MONTH($A339)-MONTH('Recurring Schedule'!$F$14),'Recurring Schedule'!$O$14)=0),IF('Recurring Schedule'!$E$14="Weekdays",WEEKDAY($A339,2)&lt;=5,$A339='Recurring Schedule'!$F$14))),9,""))))</f>
        <v/>
      </c>
      <c r="K339">
        <f>IF('Recurring Schedule'!$C$15="","",IF('Recurring Schedule'!$F$15="","",IF(OR($A339&lt;'Recurring Schedule'!$F$15,$A339&gt;'Recurring Schedule'!$P$15),"",IF(IF('Recurring Schedule'!$N$15&gt;0,MOD($A339-'Recurring Schedule'!$F$15,'Recurring Schedule'!$N$15)=0,IF('Recurring Schedule'!$O$15&gt;0,AND(DAY($A339)=MIN(DAY('Recurring Schedule'!$F$15),DAY(EOMONTH($A339,0))),MOD((YEAR($A339)-YEAR('Recurring Schedule'!$F$15))*12+MONTH($A339)-MONTH('Recurring Schedule'!$F$15),'Recurring Schedule'!$O$15)=0),IF('Recurring Schedule'!$E$15="Weekdays",WEEKDAY($A339,2)&lt;=5,$A339='Recurring Schedule'!$F$15))),10,""))))</f>
        <v/>
      </c>
      <c r="L339">
        <f>IF('Recurring Schedule'!$C$16="","",IF('Recurring Schedule'!$F$16="","",IF(OR($A339&lt;'Recurring Schedule'!$F$16,$A339&gt;'Recurring Schedule'!$P$16),"",IF(IF('Recurring Schedule'!$N$16&gt;0,MOD($A339-'Recurring Schedule'!$F$16,'Recurring Schedule'!$N$16)=0,IF('Recurring Schedule'!$O$16&gt;0,AND(DAY($A339)=MIN(DAY('Recurring Schedule'!$F$16),DAY(EOMONTH($A339,0))),MOD((YEAR($A339)-YEAR('Recurring Schedule'!$F$16))*12+MONTH($A339)-MONTH('Recurring Schedule'!$F$16),'Recurring Schedule'!$O$16)=0),IF('Recurring Schedule'!$E$16="Weekdays",WEEKDAY($A339,2)&lt;=5,$A339='Recurring Schedule'!$F$16))),11,""))))</f>
        <v/>
      </c>
      <c r="M339">
        <f>IF('Recurring Schedule'!$C$17="","",IF('Recurring Schedule'!$F$17="","",IF(OR($A339&lt;'Recurring Schedule'!$F$17,$A339&gt;'Recurring Schedule'!$P$17),"",IF(IF('Recurring Schedule'!$N$17&gt;0,MOD($A339-'Recurring Schedule'!$F$17,'Recurring Schedule'!$N$17)=0,IF('Recurring Schedule'!$O$17&gt;0,AND(DAY($A339)=MIN(DAY('Recurring Schedule'!$F$17),DAY(EOMONTH($A339,0))),MOD((YEAR($A339)-YEAR('Recurring Schedule'!$F$17))*12+MONTH($A339)-MONTH('Recurring Schedule'!$F$17),'Recurring Schedule'!$O$17)=0),IF('Recurring Schedule'!$E$17="Weekdays",WEEKDAY($A339,2)&lt;=5,$A339='Recurring Schedule'!$F$17))),12,""))))</f>
        <v/>
      </c>
      <c r="N339">
        <f>IF('Recurring Schedule'!$C$18="","",IF('Recurring Schedule'!$F$18="","",IF(OR($A339&lt;'Recurring Schedule'!$F$18,$A339&gt;'Recurring Schedule'!$P$18),"",IF(IF('Recurring Schedule'!$N$18&gt;0,MOD($A339-'Recurring Schedule'!$F$18,'Recurring Schedule'!$N$18)=0,IF('Recurring Schedule'!$O$18&gt;0,AND(DAY($A339)=MIN(DAY('Recurring Schedule'!$F$18),DAY(EOMONTH($A339,0))),MOD((YEAR($A339)-YEAR('Recurring Schedule'!$F$18))*12+MONTH($A339)-MONTH('Recurring Schedule'!$F$18),'Recurring Schedule'!$O$18)=0),IF('Recurring Schedule'!$E$18="Weekdays",WEEKDAY($A339,2)&lt;=5,$A339='Recurring Schedule'!$F$18))),13,""))))</f>
        <v/>
      </c>
      <c r="O339">
        <f>IF('Recurring Schedule'!$C$19="","",IF('Recurring Schedule'!$F$19="","",IF(OR($A339&lt;'Recurring Schedule'!$F$19,$A339&gt;'Recurring Schedule'!$P$19),"",IF(IF('Recurring Schedule'!$N$19&gt;0,MOD($A339-'Recurring Schedule'!$F$19,'Recurring Schedule'!$N$19)=0,IF('Recurring Schedule'!$O$19&gt;0,AND(DAY($A339)=MIN(DAY('Recurring Schedule'!$F$19),DAY(EOMONTH($A339,0))),MOD((YEAR($A339)-YEAR('Recurring Schedule'!$F$19))*12+MONTH($A339)-MONTH('Recurring Schedule'!$F$19),'Recurring Schedule'!$O$19)=0),IF('Recurring Schedule'!$E$19="Weekdays",WEEKDAY($A339,2)&lt;=5,$A339='Recurring Schedule'!$F$19))),14,""))))</f>
        <v/>
      </c>
      <c r="P339">
        <f>IF('Recurring Schedule'!$C$20="","",IF('Recurring Schedule'!$F$20="","",IF(OR($A339&lt;'Recurring Schedule'!$F$20,$A339&gt;'Recurring Schedule'!$P$20),"",IF(IF('Recurring Schedule'!$N$20&gt;0,MOD($A339-'Recurring Schedule'!$F$20,'Recurring Schedule'!$N$20)=0,IF('Recurring Schedule'!$O$20&gt;0,AND(DAY($A339)=MIN(DAY('Recurring Schedule'!$F$20),DAY(EOMONTH($A339,0))),MOD((YEAR($A339)-YEAR('Recurring Schedule'!$F$20))*12+MONTH($A339)-MONTH('Recurring Schedule'!$F$20),'Recurring Schedule'!$O$20)=0),IF('Recurring Schedule'!$E$20="Weekdays",WEEKDAY($A339,2)&lt;=5,$A339='Recurring Schedule'!$F$20))),15,""))))</f>
        <v/>
      </c>
      <c r="Q339">
        <f>IF('Recurring Schedule'!$C$21="","",IF('Recurring Schedule'!$F$21="","",IF(OR($A339&lt;'Recurring Schedule'!$F$21,$A339&gt;'Recurring Schedule'!$P$21),"",IF(IF('Recurring Schedule'!$N$21&gt;0,MOD($A339-'Recurring Schedule'!$F$21,'Recurring Schedule'!$N$21)=0,IF('Recurring Schedule'!$O$21&gt;0,AND(DAY($A339)=MIN(DAY('Recurring Schedule'!$F$21),DAY(EOMONTH($A339,0))),MOD((YEAR($A339)-YEAR('Recurring Schedule'!$F$21))*12+MONTH($A339)-MONTH('Recurring Schedule'!$F$21),'Recurring Schedule'!$O$21)=0),IF('Recurring Schedule'!$E$21="Weekdays",WEEKDAY($A339,2)&lt;=5,$A339='Recurring Schedule'!$F$21))),16,""))))</f>
        <v/>
      </c>
      <c r="R339">
        <f>IF('Recurring Schedule'!$C$22="","",IF('Recurring Schedule'!$F$22="","",IF(OR($A339&lt;'Recurring Schedule'!$F$22,$A339&gt;'Recurring Schedule'!$P$22),"",IF(IF('Recurring Schedule'!$N$22&gt;0,MOD($A339-'Recurring Schedule'!$F$22,'Recurring Schedule'!$N$22)=0,IF('Recurring Schedule'!$O$22&gt;0,AND(DAY($A339)=MIN(DAY('Recurring Schedule'!$F$22),DAY(EOMONTH($A339,0))),MOD((YEAR($A339)-YEAR('Recurring Schedule'!$F$22))*12+MONTH($A339)-MONTH('Recurring Schedule'!$F$22),'Recurring Schedule'!$O$22)=0),IF('Recurring Schedule'!$E$22="Weekdays",WEEKDAY($A339,2)&lt;=5,$A339='Recurring Schedule'!$F$22))),17,""))))</f>
        <v/>
      </c>
      <c r="S339">
        <f>IF('Recurring Schedule'!$C$23="","",IF('Recurring Schedule'!$F$23="","",IF(OR($A339&lt;'Recurring Schedule'!$F$23,$A339&gt;'Recurring Schedule'!$P$23),"",IF(IF('Recurring Schedule'!$N$23&gt;0,MOD($A339-'Recurring Schedule'!$F$23,'Recurring Schedule'!$N$23)=0,IF('Recurring Schedule'!$O$23&gt;0,AND(DAY($A339)=MIN(DAY('Recurring Schedule'!$F$23),DAY(EOMONTH($A339,0))),MOD((YEAR($A339)-YEAR('Recurring Schedule'!$F$23))*12+MONTH($A339)-MONTH('Recurring Schedule'!$F$23),'Recurring Schedule'!$O$23)=0),IF('Recurring Schedule'!$E$23="Weekdays",WEEKDAY($A339,2)&lt;=5,$A339='Recurring Schedule'!$F$23))),18,""))))</f>
        <v/>
      </c>
      <c r="T339">
        <f>IF('Recurring Schedule'!$C$24="","",IF('Recurring Schedule'!$F$24="","",IF(OR($A339&lt;'Recurring Schedule'!$F$24,$A339&gt;'Recurring Schedule'!$P$24),"",IF(IF('Recurring Schedule'!$N$24&gt;0,MOD($A339-'Recurring Schedule'!$F$24,'Recurring Schedule'!$N$24)=0,IF('Recurring Schedule'!$O$24&gt;0,AND(DAY($A339)=MIN(DAY('Recurring Schedule'!$F$24),DAY(EOMONTH($A339,0))),MOD((YEAR($A339)-YEAR('Recurring Schedule'!$F$24))*12+MONTH($A339)-MONTH('Recurring Schedule'!$F$24),'Recurring Schedule'!$O$24)=0),IF('Recurring Schedule'!$E$24="Weekdays",WEEKDAY($A339,2)&lt;=5,$A339='Recurring Schedule'!$F$24))),19,""))))</f>
        <v/>
      </c>
      <c r="U339">
        <f>IF('Recurring Schedule'!$C$25="","",IF('Recurring Schedule'!$F$25="","",IF(OR($A339&lt;'Recurring Schedule'!$F$25,$A339&gt;'Recurring Schedule'!$P$25),"",IF(IF('Recurring Schedule'!$N$25&gt;0,MOD($A339-'Recurring Schedule'!$F$25,'Recurring Schedule'!$N$25)=0,IF('Recurring Schedule'!$O$25&gt;0,AND(DAY($A339)=MIN(DAY('Recurring Schedule'!$F$25),DAY(EOMONTH($A339,0))),MOD((YEAR($A339)-YEAR('Recurring Schedule'!$F$25))*12+MONTH($A339)-MONTH('Recurring Schedule'!$F$25),'Recurring Schedule'!$O$25)=0),IF('Recurring Schedule'!$E$25="Weekdays",WEEKDAY($A339,2)&lt;=5,$A339='Recurring Schedule'!$F$25))),20,""))))</f>
        <v/>
      </c>
      <c r="V339">
        <f>IF('Recurring Schedule'!$C$26="","",IF('Recurring Schedule'!$F$26="","",IF(OR($A339&lt;'Recurring Schedule'!$F$26,$A339&gt;'Recurring Schedule'!$P$26),"",IF(IF('Recurring Schedule'!$N$26&gt;0,MOD($A339-'Recurring Schedule'!$F$26,'Recurring Schedule'!$N$26)=0,IF('Recurring Schedule'!$O$26&gt;0,AND(DAY($A339)=MIN(DAY('Recurring Schedule'!$F$26),DAY(EOMONTH($A339,0))),MOD((YEAR($A339)-YEAR('Recurring Schedule'!$F$26))*12+MONTH($A339)-MONTH('Recurring Schedule'!$F$26),'Recurring Schedule'!$O$26)=0),IF('Recurring Schedule'!$E$26="Weekdays",WEEKDAY($A339,2)&lt;=5,$A339='Recurring Schedule'!$F$26))),21,""))))</f>
        <v/>
      </c>
      <c r="W339">
        <f>IF('Recurring Schedule'!$C$27="","",IF('Recurring Schedule'!$F$27="","",IF(OR($A339&lt;'Recurring Schedule'!$F$27,$A339&gt;'Recurring Schedule'!$P$27),"",IF(IF('Recurring Schedule'!$N$27&gt;0,MOD($A339-'Recurring Schedule'!$F$27,'Recurring Schedule'!$N$27)=0,IF('Recurring Schedule'!$O$27&gt;0,AND(DAY($A339)=MIN(DAY('Recurring Schedule'!$F$27),DAY(EOMONTH($A339,0))),MOD((YEAR($A339)-YEAR('Recurring Schedule'!$F$27))*12+MONTH($A339)-MONTH('Recurring Schedule'!$F$27),'Recurring Schedule'!$O$27)=0),IF('Recurring Schedule'!$E$27="Weekdays",WEEKDAY($A339,2)&lt;=5,$A339='Recurring Schedule'!$F$27))),22,""))))</f>
        <v/>
      </c>
      <c r="X339">
        <f>IF('Recurring Schedule'!$C$28="","",IF('Recurring Schedule'!$F$28="","",IF(OR($A339&lt;'Recurring Schedule'!$F$28,$A339&gt;'Recurring Schedule'!$P$28),"",IF(IF('Recurring Schedule'!$N$28&gt;0,MOD($A339-'Recurring Schedule'!$F$28,'Recurring Schedule'!$N$28)=0,IF('Recurring Schedule'!$O$28&gt;0,AND(DAY($A339)=MIN(DAY('Recurring Schedule'!$F$28),DAY(EOMONTH($A339,0))),MOD((YEAR($A339)-YEAR('Recurring Schedule'!$F$28))*12+MONTH($A339)-MONTH('Recurring Schedule'!$F$28),'Recurring Schedule'!$O$28)=0),IF('Recurring Schedule'!$E$28="Weekdays",WEEKDAY($A339,2)&lt;=5,$A339='Recurring Schedule'!$F$28))),23,""))))</f>
        <v/>
      </c>
      <c r="Y339">
        <f>IF('Recurring Schedule'!$C$29="","",IF('Recurring Schedule'!$F$29="","",IF(OR($A339&lt;'Recurring Schedule'!$F$29,$A339&gt;'Recurring Schedule'!$P$29),"",IF(IF('Recurring Schedule'!$N$29&gt;0,MOD($A339-'Recurring Schedule'!$F$29,'Recurring Schedule'!$N$29)=0,IF('Recurring Schedule'!$O$29&gt;0,AND(DAY($A339)=MIN(DAY('Recurring Schedule'!$F$29),DAY(EOMONTH($A339,0))),MOD((YEAR($A339)-YEAR('Recurring Schedule'!$F$29))*12+MONTH($A339)-MONTH('Recurring Schedule'!$F$29),'Recurring Schedule'!$O$29)=0),IF('Recurring Schedule'!$E$29="Weekdays",WEEKDAY($A339,2)&lt;=5,$A339='Recurring Schedule'!$F$29))),24,""))))</f>
        <v/>
      </c>
      <c r="Z339">
        <f>IF('Recurring Schedule'!$C$30="","",IF('Recurring Schedule'!$F$30="","",IF(OR($A339&lt;'Recurring Schedule'!$F$30,$A339&gt;'Recurring Schedule'!$P$30),"",IF(IF('Recurring Schedule'!$N$30&gt;0,MOD($A339-'Recurring Schedule'!$F$30,'Recurring Schedule'!$N$30)=0,IF('Recurring Schedule'!$O$30&gt;0,AND(DAY($A339)=MIN(DAY('Recurring Schedule'!$F$30),DAY(EOMONTH($A339,0))),MOD((YEAR($A339)-YEAR('Recurring Schedule'!$F$30))*12+MONTH($A339)-MONTH('Recurring Schedule'!$F$30),'Recurring Schedule'!$O$30)=0),IF('Recurring Schedule'!$E$30="Weekdays",WEEKDAY($A339,2)&lt;=5,$A339='Recurring Schedule'!$F$30))),25,""))))</f>
        <v/>
      </c>
      <c r="AA339">
        <f>IF('Recurring Schedule'!$C$31="","",IF('Recurring Schedule'!$F$31="","",IF(OR($A339&lt;'Recurring Schedule'!$F$31,$A339&gt;'Recurring Schedule'!$P$31),"",IF(IF('Recurring Schedule'!$N$31&gt;0,MOD($A339-'Recurring Schedule'!$F$31,'Recurring Schedule'!$N$31)=0,IF('Recurring Schedule'!$O$31&gt;0,AND(DAY($A339)=MIN(DAY('Recurring Schedule'!$F$31),DAY(EOMONTH($A339,0))),MOD((YEAR($A339)-YEAR('Recurring Schedule'!$F$31))*12+MONTH($A339)-MONTH('Recurring Schedule'!$F$31),'Recurring Schedule'!$O$31)=0),IF('Recurring Schedule'!$E$31="Weekdays",WEEKDAY($A339,2)&lt;=5,$A339='Recurring Schedule'!$F$31))),26,""))))</f>
        <v/>
      </c>
      <c r="AB339">
        <f>IF('Recurring Schedule'!$C$32="","",IF('Recurring Schedule'!$F$32="","",IF(OR($A339&lt;'Recurring Schedule'!$F$32,$A339&gt;'Recurring Schedule'!$P$32),"",IF(IF('Recurring Schedule'!$N$32&gt;0,MOD($A339-'Recurring Schedule'!$F$32,'Recurring Schedule'!$N$32)=0,IF('Recurring Schedule'!$O$32&gt;0,AND(DAY($A339)=MIN(DAY('Recurring Schedule'!$F$32),DAY(EOMONTH($A339,0))),MOD((YEAR($A339)-YEAR('Recurring Schedule'!$F$32))*12+MONTH($A339)-MONTH('Recurring Schedule'!$F$32),'Recurring Schedule'!$O$32)=0),IF('Recurring Schedule'!$E$32="Weekdays",WEEKDAY($A339,2)&lt;=5,$A339='Recurring Schedule'!$F$32))),27,""))))</f>
        <v/>
      </c>
      <c r="AC339">
        <f>IF('Recurring Schedule'!$C$33="","",IF('Recurring Schedule'!$F$33="","",IF(OR($A339&lt;'Recurring Schedule'!$F$33,$A339&gt;'Recurring Schedule'!$P$33),"",IF(IF('Recurring Schedule'!$N$33&gt;0,MOD($A339-'Recurring Schedule'!$F$33,'Recurring Schedule'!$N$33)=0,IF('Recurring Schedule'!$O$33&gt;0,AND(DAY($A339)=MIN(DAY('Recurring Schedule'!$F$33),DAY(EOMONTH($A339,0))),MOD((YEAR($A339)-YEAR('Recurring Schedule'!$F$33))*12+MONTH($A339)-MONTH('Recurring Schedule'!$F$33),'Recurring Schedule'!$O$33)=0),IF('Recurring Schedule'!$E$33="Weekdays",WEEKDAY($A339,2)&lt;=5,$A339='Recurring Schedule'!$F$33))),28,""))))</f>
        <v/>
      </c>
      <c r="AD339">
        <f>IF('Recurring Schedule'!$C$34="","",IF('Recurring Schedule'!$F$34="","",IF(OR($A339&lt;'Recurring Schedule'!$F$34,$A339&gt;'Recurring Schedule'!$P$34),"",IF(IF('Recurring Schedule'!$N$34&gt;0,MOD($A339-'Recurring Schedule'!$F$34,'Recurring Schedule'!$N$34)=0,IF('Recurring Schedule'!$O$34&gt;0,AND(DAY($A339)=MIN(DAY('Recurring Schedule'!$F$34),DAY(EOMONTH($A339,0))),MOD((YEAR($A339)-YEAR('Recurring Schedule'!$F$34))*12+MONTH($A339)-MONTH('Recurring Schedule'!$F$34),'Recurring Schedule'!$O$34)=0),IF('Recurring Schedule'!$E$34="Weekdays",WEEKDAY($A339,2)&lt;=5,$A339='Recurring Schedule'!$F$34))),29,""))))</f>
        <v/>
      </c>
      <c r="AE339">
        <f>IF('Recurring Schedule'!$C$35="","",IF('Recurring Schedule'!$F$35="","",IF(OR($A339&lt;'Recurring Schedule'!$F$35,$A339&gt;'Recurring Schedule'!$P$35),"",IF(IF('Recurring Schedule'!$N$35&gt;0,MOD($A339-'Recurring Schedule'!$F$35,'Recurring Schedule'!$N$35)=0,IF('Recurring Schedule'!$O$35&gt;0,AND(DAY($A339)=MIN(DAY('Recurring Schedule'!$F$35),DAY(EOMONTH($A339,0))),MOD((YEAR($A339)-YEAR('Recurring Schedule'!$F$35))*12+MONTH($A339)-MONTH('Recurring Schedule'!$F$35),'Recurring Schedule'!$O$35)=0),IF('Recurring Schedule'!$E$35="Weekdays",WEEKDAY($A339,2)&lt;=5,$A339='Recurring Schedule'!$F$35))),30,""))))</f>
        <v/>
      </c>
      <c r="AF339">
        <f>IF('Recurring Schedule'!$C$36="","",IF('Recurring Schedule'!$F$36="","",IF(OR($A339&lt;'Recurring Schedule'!$F$36,$A339&gt;'Recurring Schedule'!$P$36),"",IF(IF('Recurring Schedule'!$N$36&gt;0,MOD($A339-'Recurring Schedule'!$F$36,'Recurring Schedule'!$N$36)=0,IF('Recurring Schedule'!$O$36&gt;0,AND(DAY($A339)=MIN(DAY('Recurring Schedule'!$F$36),DAY(EOMONTH($A339,0))),MOD((YEAR($A339)-YEAR('Recurring Schedule'!$F$36))*12+MONTH($A339)-MONTH('Recurring Schedule'!$F$36),'Recurring Schedule'!$O$36)=0),IF('Recurring Schedule'!$E$36="Weekdays",WEEKDAY($A339,2)&lt;=5,$A339='Recurring Schedule'!$F$36))),31,""))))</f>
        <v/>
      </c>
      <c r="AG339">
        <f>IF('Recurring Schedule'!$C$37="","",IF('Recurring Schedule'!$F$37="","",IF(OR($A339&lt;'Recurring Schedule'!$F$37,$A339&gt;'Recurring Schedule'!$P$37),"",IF(IF('Recurring Schedule'!$N$37&gt;0,MOD($A339-'Recurring Schedule'!$F$37,'Recurring Schedule'!$N$37)=0,IF('Recurring Schedule'!$O$37&gt;0,AND(DAY($A339)=MIN(DAY('Recurring Schedule'!$F$37),DAY(EOMONTH($A339,0))),MOD((YEAR($A339)-YEAR('Recurring Schedule'!$F$37))*12+MONTH($A339)-MONTH('Recurring Schedule'!$F$37),'Recurring Schedule'!$O$37)=0),IF('Recurring Schedule'!$E$37="Weekdays",WEEKDAY($A339,2)&lt;=5,$A339='Recurring Schedule'!$F$37))),32,""))))</f>
        <v/>
      </c>
      <c r="AH339">
        <f>IF('Recurring Schedule'!$C$38="","",IF('Recurring Schedule'!$F$38="","",IF(OR($A339&lt;'Recurring Schedule'!$F$38,$A339&gt;'Recurring Schedule'!$P$38),"",IF(IF('Recurring Schedule'!$N$38&gt;0,MOD($A339-'Recurring Schedule'!$F$38,'Recurring Schedule'!$N$38)=0,IF('Recurring Schedule'!$O$38&gt;0,AND(DAY($A339)=MIN(DAY('Recurring Schedule'!$F$38),DAY(EOMONTH($A339,0))),MOD((YEAR($A339)-YEAR('Recurring Schedule'!$F$38))*12+MONTH($A339)-MONTH('Recurring Schedule'!$F$38),'Recurring Schedule'!$O$38)=0),IF('Recurring Schedule'!$E$38="Weekdays",WEEKDAY($A339,2)&lt;=5,$A339='Recurring Schedule'!$F$38))),33,""))))</f>
        <v/>
      </c>
      <c r="AI339">
        <f>IF('Recurring Schedule'!$C$39="","",IF('Recurring Schedule'!$F$39="","",IF(OR($A339&lt;'Recurring Schedule'!$F$39,$A339&gt;'Recurring Schedule'!$P$39),"",IF(IF('Recurring Schedule'!$N$39&gt;0,MOD($A339-'Recurring Schedule'!$F$39,'Recurring Schedule'!$N$39)=0,IF('Recurring Schedule'!$O$39&gt;0,AND(DAY($A339)=MIN(DAY('Recurring Schedule'!$F$39),DAY(EOMONTH($A339,0))),MOD((YEAR($A339)-YEAR('Recurring Schedule'!$F$39))*12+MONTH($A339)-MONTH('Recurring Schedule'!$F$39),'Recurring Schedule'!$O$39)=0),IF('Recurring Schedule'!$E$39="Weekdays",WEEKDAY($A339,2)&lt;=5,$A339='Recurring Schedule'!$F$39))),34,""))))</f>
        <v/>
      </c>
      <c r="AJ339">
        <f>IF('Recurring Schedule'!$C$40="","",IF('Recurring Schedule'!$F$40="","",IF(OR($A339&lt;'Recurring Schedule'!$F$40,$A339&gt;'Recurring Schedule'!$P$40),"",IF(IF('Recurring Schedule'!$N$40&gt;0,MOD($A339-'Recurring Schedule'!$F$40,'Recurring Schedule'!$N$40)=0,IF('Recurring Schedule'!$O$40&gt;0,AND(DAY($A339)=MIN(DAY('Recurring Schedule'!$F$40),DAY(EOMONTH($A339,0))),MOD((YEAR($A339)-YEAR('Recurring Schedule'!$F$40))*12+MONTH($A339)-MONTH('Recurring Schedule'!$F$40),'Recurring Schedule'!$O$40)=0),IF('Recurring Schedule'!$E$40="Weekdays",WEEKDAY($A339,2)&lt;=5,$A339='Recurring Schedule'!$F$40))),35,""))))</f>
        <v/>
      </c>
      <c r="AK339">
        <f>IF('Recurring Schedule'!$C$41="","",IF('Recurring Schedule'!$F$41="","",IF(OR($A339&lt;'Recurring Schedule'!$F$41,$A339&gt;'Recurring Schedule'!$P$41),"",IF(IF('Recurring Schedule'!$N$41&gt;0,MOD($A339-'Recurring Schedule'!$F$41,'Recurring Schedule'!$N$41)=0,IF('Recurring Schedule'!$O$41&gt;0,AND(DAY($A339)=MIN(DAY('Recurring Schedule'!$F$41),DAY(EOMONTH($A339,0))),MOD((YEAR($A339)-YEAR('Recurring Schedule'!$F$41))*12+MONTH($A339)-MONTH('Recurring Schedule'!$F$41),'Recurring Schedule'!$O$41)=0),IF('Recurring Schedule'!$E$41="Weekdays",WEEKDAY($A339,2)&lt;=5,$A339='Recurring Schedule'!$F$41))),36,""))))</f>
        <v/>
      </c>
      <c r="AL339">
        <f>IF('Recurring Schedule'!$C$42="","",IF('Recurring Schedule'!$F$42="","",IF(OR($A339&lt;'Recurring Schedule'!$F$42,$A339&gt;'Recurring Schedule'!$P$42),"",IF(IF('Recurring Schedule'!$N$42&gt;0,MOD($A339-'Recurring Schedule'!$F$42,'Recurring Schedule'!$N$42)=0,IF('Recurring Schedule'!$O$42&gt;0,AND(DAY($A339)=MIN(DAY('Recurring Schedule'!$F$42),DAY(EOMONTH($A339,0))),MOD((YEAR($A339)-YEAR('Recurring Schedule'!$F$42))*12+MONTH($A339)-MONTH('Recurring Schedule'!$F$42),'Recurring Schedule'!$O$42)=0),IF('Recurring Schedule'!$E$42="Weekdays",WEEKDAY($A339,2)&lt;=5,$A339='Recurring Schedule'!$F$42))),37,""))))</f>
        <v/>
      </c>
      <c r="AM339">
        <f>IF('Recurring Schedule'!$C$43="","",IF('Recurring Schedule'!$F$43="","",IF(OR($A339&lt;'Recurring Schedule'!$F$43,$A339&gt;'Recurring Schedule'!$P$43),"",IF(IF('Recurring Schedule'!$N$43&gt;0,MOD($A339-'Recurring Schedule'!$F$43,'Recurring Schedule'!$N$43)=0,IF('Recurring Schedule'!$O$43&gt;0,AND(DAY($A339)=MIN(DAY('Recurring Schedule'!$F$43),DAY(EOMONTH($A339,0))),MOD((YEAR($A339)-YEAR('Recurring Schedule'!$F$43))*12+MONTH($A339)-MONTH('Recurring Schedule'!$F$43),'Recurring Schedule'!$O$43)=0),IF('Recurring Schedule'!$E$43="Weekdays",WEEKDAY($A339,2)&lt;=5,$A339='Recurring Schedule'!$F$43))),38,""))))</f>
        <v/>
      </c>
      <c r="AN339">
        <f>IF('Recurring Schedule'!$C$44="","",IF('Recurring Schedule'!$F$44="","",IF(OR($A339&lt;'Recurring Schedule'!$F$44,$A339&gt;'Recurring Schedule'!$P$44),"",IF(IF('Recurring Schedule'!$N$44&gt;0,MOD($A339-'Recurring Schedule'!$F$44,'Recurring Schedule'!$N$44)=0,IF('Recurring Schedule'!$O$44&gt;0,AND(DAY($A339)=MIN(DAY('Recurring Schedule'!$F$44),DAY(EOMONTH($A339,0))),MOD((YEAR($A339)-YEAR('Recurring Schedule'!$F$44))*12+MONTH($A339)-MONTH('Recurring Schedule'!$F$44),'Recurring Schedule'!$O$44)=0),IF('Recurring Schedule'!$E$44="Weekdays",WEEKDAY($A339,2)&lt;=5,$A339='Recurring Schedule'!$F$44))),39,""))))</f>
        <v/>
      </c>
      <c r="AO339">
        <f>IF('Recurring Schedule'!$C$45="","",IF('Recurring Schedule'!$F$45="","",IF(OR($A339&lt;'Recurring Schedule'!$F$45,$A339&gt;'Recurring Schedule'!$P$45),"",IF(IF('Recurring Schedule'!$N$45&gt;0,MOD($A339-'Recurring Schedule'!$F$45,'Recurring Schedule'!$N$45)=0,IF('Recurring Schedule'!$O$45&gt;0,AND(DAY($A339)=MIN(DAY('Recurring Schedule'!$F$45),DAY(EOMONTH($A339,0))),MOD((YEAR($A339)-YEAR('Recurring Schedule'!$F$45))*12+MONTH($A339)-MONTH('Recurring Schedule'!$F$45),'Recurring Schedule'!$O$45)=0),IF('Recurring Schedule'!$E$45="Weekdays",WEEKDAY($A339,2)&lt;=5,$A339='Recurring Schedule'!$F$45))),40,""))))</f>
        <v/>
      </c>
      <c r="AP339">
        <f>COUNT(B339:AO339)</f>
        <v/>
      </c>
      <c r="AQ339">
        <f>AQ338+AP338</f>
        <v/>
      </c>
      <c r="AS339" t="inlineStr">
        <is>
          <t>R</t>
        </is>
      </c>
      <c r="AT339" t="n">
        <v>343</v>
      </c>
      <c r="AU339">
        <f>'Recurring Log'!C343&amp;""</f>
        <v/>
      </c>
      <c r="AV339">
        <f>'Recurring Log'!D343&amp;""</f>
        <v/>
      </c>
      <c r="AW339">
        <f>IF('Recurring Log'!E343="","",'Recurring Log'!E343)</f>
        <v/>
      </c>
      <c r="AX339">
        <f>IF('Recurring Log'!G343="","",'Recurring Log'!G343)</f>
        <v/>
      </c>
      <c r="AY339">
        <f>IF('Recurring Log'!H343="","",'Recurring Log'!H343)</f>
        <v/>
      </c>
      <c r="AZ339">
        <f>IF(AU339="","",IF('Recurring Log'!J343="","Not Started",'Recurring Log'!J343))</f>
        <v/>
      </c>
      <c r="BA339">
        <f>'Recurring Log'!L343&amp;""</f>
        <v/>
      </c>
      <c r="BB339">
        <f>'Recurring Log'!M343&amp;""</f>
        <v/>
      </c>
      <c r="BC339">
        <f>'Recurring Log'!N343&amp;""</f>
        <v/>
      </c>
      <c r="BD339">
        <f>'Recurring Log'!O343&amp;""</f>
        <v/>
      </c>
      <c r="BE339">
        <f>IF('Recurring Log'!K343="","",'Recurring Log'!K343)</f>
        <v/>
      </c>
      <c r="BF339">
        <f>IFERROR(MATCH(BA339,Setup!$L$6:$L$9,0),5)</f>
        <v/>
      </c>
      <c r="BG339">
        <f>IF(OR(AZ339="Done",AZ339="Cancelled"),1,0)</f>
        <v/>
      </c>
      <c r="BH339">
        <f>IF(AND(AU339&lt;&gt;"",ISNUMBER(AW339)),1,0)</f>
        <v/>
      </c>
      <c r="BI339">
        <f>IF(BH339=0,0,IF(AND(AW339&gt;='Tasks Filter'!$F$3,AW339&lt;='Tasks Filter'!$F$4,OR('Tasks Filter'!$I$3="",ISNUMBER(SEARCH('Tasks Filter'!$I$3,AU339))),OR('Tasks Filter'!$I$4="",BF339=IFERROR(MATCH('Tasks Filter'!$I$4,Setup!$L$6:$L$9,0),0)),OR('Tasks Filter'!$I$5="Both",AND('Tasks Filter'!$I$5="Yes",BB339="✓"),AND('Tasks Filter'!$I$5="No",BB339&lt;&gt;"✓")),OR('Tasks Filter'!$L$3="",AV339='Tasks Filter'!$L$3),OR('Tasks Filter'!$L$4="",AZ339='Tasks Filter'!$L$4),OR('Tasks Filter'!$L$5="",BC339='Tasks Filter'!$L$5),OR('Tasks Filter'!$O$3="",BD339='Tasks Filter'!$O$3),OR('Tasks Filter'!$O$4="Yes",BG339=0)),1,0))</f>
        <v/>
      </c>
      <c r="BJ339">
        <f>IF(BH339=0,"",IF('Tasks Filter'!$F$6="Descending",-1,1)*CHOOSE(MATCH('Tasks Filter'!$F$5,Lists!$G$2:$G$6,0),AW339,BF339,IFERROR(MATCH(AV339,Setup!$F$6:$F$15,0),99),IFERROR(MATCH(BC339,Setup!$H$6:$H$15,0),99),IFERROR(MATCH(AZ339,Setup!$J$6:$J$11,0),99))*1E+9+(AW339-40000)*10000+338)</f>
        <v/>
      </c>
      <c r="BK339">
        <f>IF(BI339=1,BJ339,"")</f>
        <v/>
      </c>
      <c r="BL339">
        <f>IF(AND(BH339=1,BG339=0,N(AW339)&lt;Setup!$D$7),(AW339-40000)*10000+338,"")</f>
        <v/>
      </c>
      <c r="BM339">
        <f>IF(AND(BH339=1,AZ339&lt;&gt;"Cancelled",N(AW339)&gt;=Dashboard!$AB$3,N(AW339)&lt;=Dashboard!$AB$3+6),(AW339-40000)*100000+BF339*10000+338,"")</f>
        <v/>
      </c>
      <c r="BN339">
        <f>IF(AND(BH339=1,AZ339&lt;&gt;"Cancelled"),BF339*10000+338,"")</f>
        <v/>
      </c>
    </row>
    <row r="340">
      <c r="A340">
        <f>Setup!$D$5+338</f>
        <v/>
      </c>
      <c r="B340">
        <f>IF('Recurring Schedule'!$C$6="","",IF('Recurring Schedule'!$F$6="","",IF(OR($A340&lt;'Recurring Schedule'!$F$6,$A340&gt;'Recurring Schedule'!$P$6),"",IF(IF('Recurring Schedule'!$N$6&gt;0,MOD($A340-'Recurring Schedule'!$F$6,'Recurring Schedule'!$N$6)=0,IF('Recurring Schedule'!$O$6&gt;0,AND(DAY($A340)=MIN(DAY('Recurring Schedule'!$F$6),DAY(EOMONTH($A340,0))),MOD((YEAR($A340)-YEAR('Recurring Schedule'!$F$6))*12+MONTH($A340)-MONTH('Recurring Schedule'!$F$6),'Recurring Schedule'!$O$6)=0),IF('Recurring Schedule'!$E$6="Weekdays",WEEKDAY($A340,2)&lt;=5,$A340='Recurring Schedule'!$F$6))),1,""))))</f>
        <v/>
      </c>
      <c r="C340">
        <f>IF('Recurring Schedule'!$C$7="","",IF('Recurring Schedule'!$F$7="","",IF(OR($A340&lt;'Recurring Schedule'!$F$7,$A340&gt;'Recurring Schedule'!$P$7),"",IF(IF('Recurring Schedule'!$N$7&gt;0,MOD($A340-'Recurring Schedule'!$F$7,'Recurring Schedule'!$N$7)=0,IF('Recurring Schedule'!$O$7&gt;0,AND(DAY($A340)=MIN(DAY('Recurring Schedule'!$F$7),DAY(EOMONTH($A340,0))),MOD((YEAR($A340)-YEAR('Recurring Schedule'!$F$7))*12+MONTH($A340)-MONTH('Recurring Schedule'!$F$7),'Recurring Schedule'!$O$7)=0),IF('Recurring Schedule'!$E$7="Weekdays",WEEKDAY($A340,2)&lt;=5,$A340='Recurring Schedule'!$F$7))),2,""))))</f>
        <v/>
      </c>
      <c r="D340">
        <f>IF('Recurring Schedule'!$C$8="","",IF('Recurring Schedule'!$F$8="","",IF(OR($A340&lt;'Recurring Schedule'!$F$8,$A340&gt;'Recurring Schedule'!$P$8),"",IF(IF('Recurring Schedule'!$N$8&gt;0,MOD($A340-'Recurring Schedule'!$F$8,'Recurring Schedule'!$N$8)=0,IF('Recurring Schedule'!$O$8&gt;0,AND(DAY($A340)=MIN(DAY('Recurring Schedule'!$F$8),DAY(EOMONTH($A340,0))),MOD((YEAR($A340)-YEAR('Recurring Schedule'!$F$8))*12+MONTH($A340)-MONTH('Recurring Schedule'!$F$8),'Recurring Schedule'!$O$8)=0),IF('Recurring Schedule'!$E$8="Weekdays",WEEKDAY($A340,2)&lt;=5,$A340='Recurring Schedule'!$F$8))),3,""))))</f>
        <v/>
      </c>
      <c r="E340">
        <f>IF('Recurring Schedule'!$C$9="","",IF('Recurring Schedule'!$F$9="","",IF(OR($A340&lt;'Recurring Schedule'!$F$9,$A340&gt;'Recurring Schedule'!$P$9),"",IF(IF('Recurring Schedule'!$N$9&gt;0,MOD($A340-'Recurring Schedule'!$F$9,'Recurring Schedule'!$N$9)=0,IF('Recurring Schedule'!$O$9&gt;0,AND(DAY($A340)=MIN(DAY('Recurring Schedule'!$F$9),DAY(EOMONTH($A340,0))),MOD((YEAR($A340)-YEAR('Recurring Schedule'!$F$9))*12+MONTH($A340)-MONTH('Recurring Schedule'!$F$9),'Recurring Schedule'!$O$9)=0),IF('Recurring Schedule'!$E$9="Weekdays",WEEKDAY($A340,2)&lt;=5,$A340='Recurring Schedule'!$F$9))),4,""))))</f>
        <v/>
      </c>
      <c r="F340">
        <f>IF('Recurring Schedule'!$C$10="","",IF('Recurring Schedule'!$F$10="","",IF(OR($A340&lt;'Recurring Schedule'!$F$10,$A340&gt;'Recurring Schedule'!$P$10),"",IF(IF('Recurring Schedule'!$N$10&gt;0,MOD($A340-'Recurring Schedule'!$F$10,'Recurring Schedule'!$N$10)=0,IF('Recurring Schedule'!$O$10&gt;0,AND(DAY($A340)=MIN(DAY('Recurring Schedule'!$F$10),DAY(EOMONTH($A340,0))),MOD((YEAR($A340)-YEAR('Recurring Schedule'!$F$10))*12+MONTH($A340)-MONTH('Recurring Schedule'!$F$10),'Recurring Schedule'!$O$10)=0),IF('Recurring Schedule'!$E$10="Weekdays",WEEKDAY($A340,2)&lt;=5,$A340='Recurring Schedule'!$F$10))),5,""))))</f>
        <v/>
      </c>
      <c r="G340">
        <f>IF('Recurring Schedule'!$C$11="","",IF('Recurring Schedule'!$F$11="","",IF(OR($A340&lt;'Recurring Schedule'!$F$11,$A340&gt;'Recurring Schedule'!$P$11),"",IF(IF('Recurring Schedule'!$N$11&gt;0,MOD($A340-'Recurring Schedule'!$F$11,'Recurring Schedule'!$N$11)=0,IF('Recurring Schedule'!$O$11&gt;0,AND(DAY($A340)=MIN(DAY('Recurring Schedule'!$F$11),DAY(EOMONTH($A340,0))),MOD((YEAR($A340)-YEAR('Recurring Schedule'!$F$11))*12+MONTH($A340)-MONTH('Recurring Schedule'!$F$11),'Recurring Schedule'!$O$11)=0),IF('Recurring Schedule'!$E$11="Weekdays",WEEKDAY($A340,2)&lt;=5,$A340='Recurring Schedule'!$F$11))),6,""))))</f>
        <v/>
      </c>
      <c r="H340">
        <f>IF('Recurring Schedule'!$C$12="","",IF('Recurring Schedule'!$F$12="","",IF(OR($A340&lt;'Recurring Schedule'!$F$12,$A340&gt;'Recurring Schedule'!$P$12),"",IF(IF('Recurring Schedule'!$N$12&gt;0,MOD($A340-'Recurring Schedule'!$F$12,'Recurring Schedule'!$N$12)=0,IF('Recurring Schedule'!$O$12&gt;0,AND(DAY($A340)=MIN(DAY('Recurring Schedule'!$F$12),DAY(EOMONTH($A340,0))),MOD((YEAR($A340)-YEAR('Recurring Schedule'!$F$12))*12+MONTH($A340)-MONTH('Recurring Schedule'!$F$12),'Recurring Schedule'!$O$12)=0),IF('Recurring Schedule'!$E$12="Weekdays",WEEKDAY($A340,2)&lt;=5,$A340='Recurring Schedule'!$F$12))),7,""))))</f>
        <v/>
      </c>
      <c r="I340">
        <f>IF('Recurring Schedule'!$C$13="","",IF('Recurring Schedule'!$F$13="","",IF(OR($A340&lt;'Recurring Schedule'!$F$13,$A340&gt;'Recurring Schedule'!$P$13),"",IF(IF('Recurring Schedule'!$N$13&gt;0,MOD($A340-'Recurring Schedule'!$F$13,'Recurring Schedule'!$N$13)=0,IF('Recurring Schedule'!$O$13&gt;0,AND(DAY($A340)=MIN(DAY('Recurring Schedule'!$F$13),DAY(EOMONTH($A340,0))),MOD((YEAR($A340)-YEAR('Recurring Schedule'!$F$13))*12+MONTH($A340)-MONTH('Recurring Schedule'!$F$13),'Recurring Schedule'!$O$13)=0),IF('Recurring Schedule'!$E$13="Weekdays",WEEKDAY($A340,2)&lt;=5,$A340='Recurring Schedule'!$F$13))),8,""))))</f>
        <v/>
      </c>
      <c r="J340">
        <f>IF('Recurring Schedule'!$C$14="","",IF('Recurring Schedule'!$F$14="","",IF(OR($A340&lt;'Recurring Schedule'!$F$14,$A340&gt;'Recurring Schedule'!$P$14),"",IF(IF('Recurring Schedule'!$N$14&gt;0,MOD($A340-'Recurring Schedule'!$F$14,'Recurring Schedule'!$N$14)=0,IF('Recurring Schedule'!$O$14&gt;0,AND(DAY($A340)=MIN(DAY('Recurring Schedule'!$F$14),DAY(EOMONTH($A340,0))),MOD((YEAR($A340)-YEAR('Recurring Schedule'!$F$14))*12+MONTH($A340)-MONTH('Recurring Schedule'!$F$14),'Recurring Schedule'!$O$14)=0),IF('Recurring Schedule'!$E$14="Weekdays",WEEKDAY($A340,2)&lt;=5,$A340='Recurring Schedule'!$F$14))),9,""))))</f>
        <v/>
      </c>
      <c r="K340">
        <f>IF('Recurring Schedule'!$C$15="","",IF('Recurring Schedule'!$F$15="","",IF(OR($A340&lt;'Recurring Schedule'!$F$15,$A340&gt;'Recurring Schedule'!$P$15),"",IF(IF('Recurring Schedule'!$N$15&gt;0,MOD($A340-'Recurring Schedule'!$F$15,'Recurring Schedule'!$N$15)=0,IF('Recurring Schedule'!$O$15&gt;0,AND(DAY($A340)=MIN(DAY('Recurring Schedule'!$F$15),DAY(EOMONTH($A340,0))),MOD((YEAR($A340)-YEAR('Recurring Schedule'!$F$15))*12+MONTH($A340)-MONTH('Recurring Schedule'!$F$15),'Recurring Schedule'!$O$15)=0),IF('Recurring Schedule'!$E$15="Weekdays",WEEKDAY($A340,2)&lt;=5,$A340='Recurring Schedule'!$F$15))),10,""))))</f>
        <v/>
      </c>
      <c r="L340">
        <f>IF('Recurring Schedule'!$C$16="","",IF('Recurring Schedule'!$F$16="","",IF(OR($A340&lt;'Recurring Schedule'!$F$16,$A340&gt;'Recurring Schedule'!$P$16),"",IF(IF('Recurring Schedule'!$N$16&gt;0,MOD($A340-'Recurring Schedule'!$F$16,'Recurring Schedule'!$N$16)=0,IF('Recurring Schedule'!$O$16&gt;0,AND(DAY($A340)=MIN(DAY('Recurring Schedule'!$F$16),DAY(EOMONTH($A340,0))),MOD((YEAR($A340)-YEAR('Recurring Schedule'!$F$16))*12+MONTH($A340)-MONTH('Recurring Schedule'!$F$16),'Recurring Schedule'!$O$16)=0),IF('Recurring Schedule'!$E$16="Weekdays",WEEKDAY($A340,2)&lt;=5,$A340='Recurring Schedule'!$F$16))),11,""))))</f>
        <v/>
      </c>
      <c r="M340">
        <f>IF('Recurring Schedule'!$C$17="","",IF('Recurring Schedule'!$F$17="","",IF(OR($A340&lt;'Recurring Schedule'!$F$17,$A340&gt;'Recurring Schedule'!$P$17),"",IF(IF('Recurring Schedule'!$N$17&gt;0,MOD($A340-'Recurring Schedule'!$F$17,'Recurring Schedule'!$N$17)=0,IF('Recurring Schedule'!$O$17&gt;0,AND(DAY($A340)=MIN(DAY('Recurring Schedule'!$F$17),DAY(EOMONTH($A340,0))),MOD((YEAR($A340)-YEAR('Recurring Schedule'!$F$17))*12+MONTH($A340)-MONTH('Recurring Schedule'!$F$17),'Recurring Schedule'!$O$17)=0),IF('Recurring Schedule'!$E$17="Weekdays",WEEKDAY($A340,2)&lt;=5,$A340='Recurring Schedule'!$F$17))),12,""))))</f>
        <v/>
      </c>
      <c r="N340">
        <f>IF('Recurring Schedule'!$C$18="","",IF('Recurring Schedule'!$F$18="","",IF(OR($A340&lt;'Recurring Schedule'!$F$18,$A340&gt;'Recurring Schedule'!$P$18),"",IF(IF('Recurring Schedule'!$N$18&gt;0,MOD($A340-'Recurring Schedule'!$F$18,'Recurring Schedule'!$N$18)=0,IF('Recurring Schedule'!$O$18&gt;0,AND(DAY($A340)=MIN(DAY('Recurring Schedule'!$F$18),DAY(EOMONTH($A340,0))),MOD((YEAR($A340)-YEAR('Recurring Schedule'!$F$18))*12+MONTH($A340)-MONTH('Recurring Schedule'!$F$18),'Recurring Schedule'!$O$18)=0),IF('Recurring Schedule'!$E$18="Weekdays",WEEKDAY($A340,2)&lt;=5,$A340='Recurring Schedule'!$F$18))),13,""))))</f>
        <v/>
      </c>
      <c r="O340">
        <f>IF('Recurring Schedule'!$C$19="","",IF('Recurring Schedule'!$F$19="","",IF(OR($A340&lt;'Recurring Schedule'!$F$19,$A340&gt;'Recurring Schedule'!$P$19),"",IF(IF('Recurring Schedule'!$N$19&gt;0,MOD($A340-'Recurring Schedule'!$F$19,'Recurring Schedule'!$N$19)=0,IF('Recurring Schedule'!$O$19&gt;0,AND(DAY($A340)=MIN(DAY('Recurring Schedule'!$F$19),DAY(EOMONTH($A340,0))),MOD((YEAR($A340)-YEAR('Recurring Schedule'!$F$19))*12+MONTH($A340)-MONTH('Recurring Schedule'!$F$19),'Recurring Schedule'!$O$19)=0),IF('Recurring Schedule'!$E$19="Weekdays",WEEKDAY($A340,2)&lt;=5,$A340='Recurring Schedule'!$F$19))),14,""))))</f>
        <v/>
      </c>
      <c r="P340">
        <f>IF('Recurring Schedule'!$C$20="","",IF('Recurring Schedule'!$F$20="","",IF(OR($A340&lt;'Recurring Schedule'!$F$20,$A340&gt;'Recurring Schedule'!$P$20),"",IF(IF('Recurring Schedule'!$N$20&gt;0,MOD($A340-'Recurring Schedule'!$F$20,'Recurring Schedule'!$N$20)=0,IF('Recurring Schedule'!$O$20&gt;0,AND(DAY($A340)=MIN(DAY('Recurring Schedule'!$F$20),DAY(EOMONTH($A340,0))),MOD((YEAR($A340)-YEAR('Recurring Schedule'!$F$20))*12+MONTH($A340)-MONTH('Recurring Schedule'!$F$20),'Recurring Schedule'!$O$20)=0),IF('Recurring Schedule'!$E$20="Weekdays",WEEKDAY($A340,2)&lt;=5,$A340='Recurring Schedule'!$F$20))),15,""))))</f>
        <v/>
      </c>
      <c r="Q340">
        <f>IF('Recurring Schedule'!$C$21="","",IF('Recurring Schedule'!$F$21="","",IF(OR($A340&lt;'Recurring Schedule'!$F$21,$A340&gt;'Recurring Schedule'!$P$21),"",IF(IF('Recurring Schedule'!$N$21&gt;0,MOD($A340-'Recurring Schedule'!$F$21,'Recurring Schedule'!$N$21)=0,IF('Recurring Schedule'!$O$21&gt;0,AND(DAY($A340)=MIN(DAY('Recurring Schedule'!$F$21),DAY(EOMONTH($A340,0))),MOD((YEAR($A340)-YEAR('Recurring Schedule'!$F$21))*12+MONTH($A340)-MONTH('Recurring Schedule'!$F$21),'Recurring Schedule'!$O$21)=0),IF('Recurring Schedule'!$E$21="Weekdays",WEEKDAY($A340,2)&lt;=5,$A340='Recurring Schedule'!$F$21))),16,""))))</f>
        <v/>
      </c>
      <c r="R340">
        <f>IF('Recurring Schedule'!$C$22="","",IF('Recurring Schedule'!$F$22="","",IF(OR($A340&lt;'Recurring Schedule'!$F$22,$A340&gt;'Recurring Schedule'!$P$22),"",IF(IF('Recurring Schedule'!$N$22&gt;0,MOD($A340-'Recurring Schedule'!$F$22,'Recurring Schedule'!$N$22)=0,IF('Recurring Schedule'!$O$22&gt;0,AND(DAY($A340)=MIN(DAY('Recurring Schedule'!$F$22),DAY(EOMONTH($A340,0))),MOD((YEAR($A340)-YEAR('Recurring Schedule'!$F$22))*12+MONTH($A340)-MONTH('Recurring Schedule'!$F$22),'Recurring Schedule'!$O$22)=0),IF('Recurring Schedule'!$E$22="Weekdays",WEEKDAY($A340,2)&lt;=5,$A340='Recurring Schedule'!$F$22))),17,""))))</f>
        <v/>
      </c>
      <c r="S340">
        <f>IF('Recurring Schedule'!$C$23="","",IF('Recurring Schedule'!$F$23="","",IF(OR($A340&lt;'Recurring Schedule'!$F$23,$A340&gt;'Recurring Schedule'!$P$23),"",IF(IF('Recurring Schedule'!$N$23&gt;0,MOD($A340-'Recurring Schedule'!$F$23,'Recurring Schedule'!$N$23)=0,IF('Recurring Schedule'!$O$23&gt;0,AND(DAY($A340)=MIN(DAY('Recurring Schedule'!$F$23),DAY(EOMONTH($A340,0))),MOD((YEAR($A340)-YEAR('Recurring Schedule'!$F$23))*12+MONTH($A340)-MONTH('Recurring Schedule'!$F$23),'Recurring Schedule'!$O$23)=0),IF('Recurring Schedule'!$E$23="Weekdays",WEEKDAY($A340,2)&lt;=5,$A340='Recurring Schedule'!$F$23))),18,""))))</f>
        <v/>
      </c>
      <c r="T340">
        <f>IF('Recurring Schedule'!$C$24="","",IF('Recurring Schedule'!$F$24="","",IF(OR($A340&lt;'Recurring Schedule'!$F$24,$A340&gt;'Recurring Schedule'!$P$24),"",IF(IF('Recurring Schedule'!$N$24&gt;0,MOD($A340-'Recurring Schedule'!$F$24,'Recurring Schedule'!$N$24)=0,IF('Recurring Schedule'!$O$24&gt;0,AND(DAY($A340)=MIN(DAY('Recurring Schedule'!$F$24),DAY(EOMONTH($A340,0))),MOD((YEAR($A340)-YEAR('Recurring Schedule'!$F$24))*12+MONTH($A340)-MONTH('Recurring Schedule'!$F$24),'Recurring Schedule'!$O$24)=0),IF('Recurring Schedule'!$E$24="Weekdays",WEEKDAY($A340,2)&lt;=5,$A340='Recurring Schedule'!$F$24))),19,""))))</f>
        <v/>
      </c>
      <c r="U340">
        <f>IF('Recurring Schedule'!$C$25="","",IF('Recurring Schedule'!$F$25="","",IF(OR($A340&lt;'Recurring Schedule'!$F$25,$A340&gt;'Recurring Schedule'!$P$25),"",IF(IF('Recurring Schedule'!$N$25&gt;0,MOD($A340-'Recurring Schedule'!$F$25,'Recurring Schedule'!$N$25)=0,IF('Recurring Schedule'!$O$25&gt;0,AND(DAY($A340)=MIN(DAY('Recurring Schedule'!$F$25),DAY(EOMONTH($A340,0))),MOD((YEAR($A340)-YEAR('Recurring Schedule'!$F$25))*12+MONTH($A340)-MONTH('Recurring Schedule'!$F$25),'Recurring Schedule'!$O$25)=0),IF('Recurring Schedule'!$E$25="Weekdays",WEEKDAY($A340,2)&lt;=5,$A340='Recurring Schedule'!$F$25))),20,""))))</f>
        <v/>
      </c>
      <c r="V340">
        <f>IF('Recurring Schedule'!$C$26="","",IF('Recurring Schedule'!$F$26="","",IF(OR($A340&lt;'Recurring Schedule'!$F$26,$A340&gt;'Recurring Schedule'!$P$26),"",IF(IF('Recurring Schedule'!$N$26&gt;0,MOD($A340-'Recurring Schedule'!$F$26,'Recurring Schedule'!$N$26)=0,IF('Recurring Schedule'!$O$26&gt;0,AND(DAY($A340)=MIN(DAY('Recurring Schedule'!$F$26),DAY(EOMONTH($A340,0))),MOD((YEAR($A340)-YEAR('Recurring Schedule'!$F$26))*12+MONTH($A340)-MONTH('Recurring Schedule'!$F$26),'Recurring Schedule'!$O$26)=0),IF('Recurring Schedule'!$E$26="Weekdays",WEEKDAY($A340,2)&lt;=5,$A340='Recurring Schedule'!$F$26))),21,""))))</f>
        <v/>
      </c>
      <c r="W340">
        <f>IF('Recurring Schedule'!$C$27="","",IF('Recurring Schedule'!$F$27="","",IF(OR($A340&lt;'Recurring Schedule'!$F$27,$A340&gt;'Recurring Schedule'!$P$27),"",IF(IF('Recurring Schedule'!$N$27&gt;0,MOD($A340-'Recurring Schedule'!$F$27,'Recurring Schedule'!$N$27)=0,IF('Recurring Schedule'!$O$27&gt;0,AND(DAY($A340)=MIN(DAY('Recurring Schedule'!$F$27),DAY(EOMONTH($A340,0))),MOD((YEAR($A340)-YEAR('Recurring Schedule'!$F$27))*12+MONTH($A340)-MONTH('Recurring Schedule'!$F$27),'Recurring Schedule'!$O$27)=0),IF('Recurring Schedule'!$E$27="Weekdays",WEEKDAY($A340,2)&lt;=5,$A340='Recurring Schedule'!$F$27))),22,""))))</f>
        <v/>
      </c>
      <c r="X340">
        <f>IF('Recurring Schedule'!$C$28="","",IF('Recurring Schedule'!$F$28="","",IF(OR($A340&lt;'Recurring Schedule'!$F$28,$A340&gt;'Recurring Schedule'!$P$28),"",IF(IF('Recurring Schedule'!$N$28&gt;0,MOD($A340-'Recurring Schedule'!$F$28,'Recurring Schedule'!$N$28)=0,IF('Recurring Schedule'!$O$28&gt;0,AND(DAY($A340)=MIN(DAY('Recurring Schedule'!$F$28),DAY(EOMONTH($A340,0))),MOD((YEAR($A340)-YEAR('Recurring Schedule'!$F$28))*12+MONTH($A340)-MONTH('Recurring Schedule'!$F$28),'Recurring Schedule'!$O$28)=0),IF('Recurring Schedule'!$E$28="Weekdays",WEEKDAY($A340,2)&lt;=5,$A340='Recurring Schedule'!$F$28))),23,""))))</f>
        <v/>
      </c>
      <c r="Y340">
        <f>IF('Recurring Schedule'!$C$29="","",IF('Recurring Schedule'!$F$29="","",IF(OR($A340&lt;'Recurring Schedule'!$F$29,$A340&gt;'Recurring Schedule'!$P$29),"",IF(IF('Recurring Schedule'!$N$29&gt;0,MOD($A340-'Recurring Schedule'!$F$29,'Recurring Schedule'!$N$29)=0,IF('Recurring Schedule'!$O$29&gt;0,AND(DAY($A340)=MIN(DAY('Recurring Schedule'!$F$29),DAY(EOMONTH($A340,0))),MOD((YEAR($A340)-YEAR('Recurring Schedule'!$F$29))*12+MONTH($A340)-MONTH('Recurring Schedule'!$F$29),'Recurring Schedule'!$O$29)=0),IF('Recurring Schedule'!$E$29="Weekdays",WEEKDAY($A340,2)&lt;=5,$A340='Recurring Schedule'!$F$29))),24,""))))</f>
        <v/>
      </c>
      <c r="Z340">
        <f>IF('Recurring Schedule'!$C$30="","",IF('Recurring Schedule'!$F$30="","",IF(OR($A340&lt;'Recurring Schedule'!$F$30,$A340&gt;'Recurring Schedule'!$P$30),"",IF(IF('Recurring Schedule'!$N$30&gt;0,MOD($A340-'Recurring Schedule'!$F$30,'Recurring Schedule'!$N$30)=0,IF('Recurring Schedule'!$O$30&gt;0,AND(DAY($A340)=MIN(DAY('Recurring Schedule'!$F$30),DAY(EOMONTH($A340,0))),MOD((YEAR($A340)-YEAR('Recurring Schedule'!$F$30))*12+MONTH($A340)-MONTH('Recurring Schedule'!$F$30),'Recurring Schedule'!$O$30)=0),IF('Recurring Schedule'!$E$30="Weekdays",WEEKDAY($A340,2)&lt;=5,$A340='Recurring Schedule'!$F$30))),25,""))))</f>
        <v/>
      </c>
      <c r="AA340">
        <f>IF('Recurring Schedule'!$C$31="","",IF('Recurring Schedule'!$F$31="","",IF(OR($A340&lt;'Recurring Schedule'!$F$31,$A340&gt;'Recurring Schedule'!$P$31),"",IF(IF('Recurring Schedule'!$N$31&gt;0,MOD($A340-'Recurring Schedule'!$F$31,'Recurring Schedule'!$N$31)=0,IF('Recurring Schedule'!$O$31&gt;0,AND(DAY($A340)=MIN(DAY('Recurring Schedule'!$F$31),DAY(EOMONTH($A340,0))),MOD((YEAR($A340)-YEAR('Recurring Schedule'!$F$31))*12+MONTH($A340)-MONTH('Recurring Schedule'!$F$31),'Recurring Schedule'!$O$31)=0),IF('Recurring Schedule'!$E$31="Weekdays",WEEKDAY($A340,2)&lt;=5,$A340='Recurring Schedule'!$F$31))),26,""))))</f>
        <v/>
      </c>
      <c r="AB340">
        <f>IF('Recurring Schedule'!$C$32="","",IF('Recurring Schedule'!$F$32="","",IF(OR($A340&lt;'Recurring Schedule'!$F$32,$A340&gt;'Recurring Schedule'!$P$32),"",IF(IF('Recurring Schedule'!$N$32&gt;0,MOD($A340-'Recurring Schedule'!$F$32,'Recurring Schedule'!$N$32)=0,IF('Recurring Schedule'!$O$32&gt;0,AND(DAY($A340)=MIN(DAY('Recurring Schedule'!$F$32),DAY(EOMONTH($A340,0))),MOD((YEAR($A340)-YEAR('Recurring Schedule'!$F$32))*12+MONTH($A340)-MONTH('Recurring Schedule'!$F$32),'Recurring Schedule'!$O$32)=0),IF('Recurring Schedule'!$E$32="Weekdays",WEEKDAY($A340,2)&lt;=5,$A340='Recurring Schedule'!$F$32))),27,""))))</f>
        <v/>
      </c>
      <c r="AC340">
        <f>IF('Recurring Schedule'!$C$33="","",IF('Recurring Schedule'!$F$33="","",IF(OR($A340&lt;'Recurring Schedule'!$F$33,$A340&gt;'Recurring Schedule'!$P$33),"",IF(IF('Recurring Schedule'!$N$33&gt;0,MOD($A340-'Recurring Schedule'!$F$33,'Recurring Schedule'!$N$33)=0,IF('Recurring Schedule'!$O$33&gt;0,AND(DAY($A340)=MIN(DAY('Recurring Schedule'!$F$33),DAY(EOMONTH($A340,0))),MOD((YEAR($A340)-YEAR('Recurring Schedule'!$F$33))*12+MONTH($A340)-MONTH('Recurring Schedule'!$F$33),'Recurring Schedule'!$O$33)=0),IF('Recurring Schedule'!$E$33="Weekdays",WEEKDAY($A340,2)&lt;=5,$A340='Recurring Schedule'!$F$33))),28,""))))</f>
        <v/>
      </c>
      <c r="AD340">
        <f>IF('Recurring Schedule'!$C$34="","",IF('Recurring Schedule'!$F$34="","",IF(OR($A340&lt;'Recurring Schedule'!$F$34,$A340&gt;'Recurring Schedule'!$P$34),"",IF(IF('Recurring Schedule'!$N$34&gt;0,MOD($A340-'Recurring Schedule'!$F$34,'Recurring Schedule'!$N$34)=0,IF('Recurring Schedule'!$O$34&gt;0,AND(DAY($A340)=MIN(DAY('Recurring Schedule'!$F$34),DAY(EOMONTH($A340,0))),MOD((YEAR($A340)-YEAR('Recurring Schedule'!$F$34))*12+MONTH($A340)-MONTH('Recurring Schedule'!$F$34),'Recurring Schedule'!$O$34)=0),IF('Recurring Schedule'!$E$34="Weekdays",WEEKDAY($A340,2)&lt;=5,$A340='Recurring Schedule'!$F$34))),29,""))))</f>
        <v/>
      </c>
      <c r="AE340">
        <f>IF('Recurring Schedule'!$C$35="","",IF('Recurring Schedule'!$F$35="","",IF(OR($A340&lt;'Recurring Schedule'!$F$35,$A340&gt;'Recurring Schedule'!$P$35),"",IF(IF('Recurring Schedule'!$N$35&gt;0,MOD($A340-'Recurring Schedule'!$F$35,'Recurring Schedule'!$N$35)=0,IF('Recurring Schedule'!$O$35&gt;0,AND(DAY($A340)=MIN(DAY('Recurring Schedule'!$F$35),DAY(EOMONTH($A340,0))),MOD((YEAR($A340)-YEAR('Recurring Schedule'!$F$35))*12+MONTH($A340)-MONTH('Recurring Schedule'!$F$35),'Recurring Schedule'!$O$35)=0),IF('Recurring Schedule'!$E$35="Weekdays",WEEKDAY($A340,2)&lt;=5,$A340='Recurring Schedule'!$F$35))),30,""))))</f>
        <v/>
      </c>
      <c r="AF340">
        <f>IF('Recurring Schedule'!$C$36="","",IF('Recurring Schedule'!$F$36="","",IF(OR($A340&lt;'Recurring Schedule'!$F$36,$A340&gt;'Recurring Schedule'!$P$36),"",IF(IF('Recurring Schedule'!$N$36&gt;0,MOD($A340-'Recurring Schedule'!$F$36,'Recurring Schedule'!$N$36)=0,IF('Recurring Schedule'!$O$36&gt;0,AND(DAY($A340)=MIN(DAY('Recurring Schedule'!$F$36),DAY(EOMONTH($A340,0))),MOD((YEAR($A340)-YEAR('Recurring Schedule'!$F$36))*12+MONTH($A340)-MONTH('Recurring Schedule'!$F$36),'Recurring Schedule'!$O$36)=0),IF('Recurring Schedule'!$E$36="Weekdays",WEEKDAY($A340,2)&lt;=5,$A340='Recurring Schedule'!$F$36))),31,""))))</f>
        <v/>
      </c>
      <c r="AG340">
        <f>IF('Recurring Schedule'!$C$37="","",IF('Recurring Schedule'!$F$37="","",IF(OR($A340&lt;'Recurring Schedule'!$F$37,$A340&gt;'Recurring Schedule'!$P$37),"",IF(IF('Recurring Schedule'!$N$37&gt;0,MOD($A340-'Recurring Schedule'!$F$37,'Recurring Schedule'!$N$37)=0,IF('Recurring Schedule'!$O$37&gt;0,AND(DAY($A340)=MIN(DAY('Recurring Schedule'!$F$37),DAY(EOMONTH($A340,0))),MOD((YEAR($A340)-YEAR('Recurring Schedule'!$F$37))*12+MONTH($A340)-MONTH('Recurring Schedule'!$F$37),'Recurring Schedule'!$O$37)=0),IF('Recurring Schedule'!$E$37="Weekdays",WEEKDAY($A340,2)&lt;=5,$A340='Recurring Schedule'!$F$37))),32,""))))</f>
        <v/>
      </c>
      <c r="AH340">
        <f>IF('Recurring Schedule'!$C$38="","",IF('Recurring Schedule'!$F$38="","",IF(OR($A340&lt;'Recurring Schedule'!$F$38,$A340&gt;'Recurring Schedule'!$P$38),"",IF(IF('Recurring Schedule'!$N$38&gt;0,MOD($A340-'Recurring Schedule'!$F$38,'Recurring Schedule'!$N$38)=0,IF('Recurring Schedule'!$O$38&gt;0,AND(DAY($A340)=MIN(DAY('Recurring Schedule'!$F$38),DAY(EOMONTH($A340,0))),MOD((YEAR($A340)-YEAR('Recurring Schedule'!$F$38))*12+MONTH($A340)-MONTH('Recurring Schedule'!$F$38),'Recurring Schedule'!$O$38)=0),IF('Recurring Schedule'!$E$38="Weekdays",WEEKDAY($A340,2)&lt;=5,$A340='Recurring Schedule'!$F$38))),33,""))))</f>
        <v/>
      </c>
      <c r="AI340">
        <f>IF('Recurring Schedule'!$C$39="","",IF('Recurring Schedule'!$F$39="","",IF(OR($A340&lt;'Recurring Schedule'!$F$39,$A340&gt;'Recurring Schedule'!$P$39),"",IF(IF('Recurring Schedule'!$N$39&gt;0,MOD($A340-'Recurring Schedule'!$F$39,'Recurring Schedule'!$N$39)=0,IF('Recurring Schedule'!$O$39&gt;0,AND(DAY($A340)=MIN(DAY('Recurring Schedule'!$F$39),DAY(EOMONTH($A340,0))),MOD((YEAR($A340)-YEAR('Recurring Schedule'!$F$39))*12+MONTH($A340)-MONTH('Recurring Schedule'!$F$39),'Recurring Schedule'!$O$39)=0),IF('Recurring Schedule'!$E$39="Weekdays",WEEKDAY($A340,2)&lt;=5,$A340='Recurring Schedule'!$F$39))),34,""))))</f>
        <v/>
      </c>
      <c r="AJ340">
        <f>IF('Recurring Schedule'!$C$40="","",IF('Recurring Schedule'!$F$40="","",IF(OR($A340&lt;'Recurring Schedule'!$F$40,$A340&gt;'Recurring Schedule'!$P$40),"",IF(IF('Recurring Schedule'!$N$40&gt;0,MOD($A340-'Recurring Schedule'!$F$40,'Recurring Schedule'!$N$40)=0,IF('Recurring Schedule'!$O$40&gt;0,AND(DAY($A340)=MIN(DAY('Recurring Schedule'!$F$40),DAY(EOMONTH($A340,0))),MOD((YEAR($A340)-YEAR('Recurring Schedule'!$F$40))*12+MONTH($A340)-MONTH('Recurring Schedule'!$F$40),'Recurring Schedule'!$O$40)=0),IF('Recurring Schedule'!$E$40="Weekdays",WEEKDAY($A340,2)&lt;=5,$A340='Recurring Schedule'!$F$40))),35,""))))</f>
        <v/>
      </c>
      <c r="AK340">
        <f>IF('Recurring Schedule'!$C$41="","",IF('Recurring Schedule'!$F$41="","",IF(OR($A340&lt;'Recurring Schedule'!$F$41,$A340&gt;'Recurring Schedule'!$P$41),"",IF(IF('Recurring Schedule'!$N$41&gt;0,MOD($A340-'Recurring Schedule'!$F$41,'Recurring Schedule'!$N$41)=0,IF('Recurring Schedule'!$O$41&gt;0,AND(DAY($A340)=MIN(DAY('Recurring Schedule'!$F$41),DAY(EOMONTH($A340,0))),MOD((YEAR($A340)-YEAR('Recurring Schedule'!$F$41))*12+MONTH($A340)-MONTH('Recurring Schedule'!$F$41),'Recurring Schedule'!$O$41)=0),IF('Recurring Schedule'!$E$41="Weekdays",WEEKDAY($A340,2)&lt;=5,$A340='Recurring Schedule'!$F$41))),36,""))))</f>
        <v/>
      </c>
      <c r="AL340">
        <f>IF('Recurring Schedule'!$C$42="","",IF('Recurring Schedule'!$F$42="","",IF(OR($A340&lt;'Recurring Schedule'!$F$42,$A340&gt;'Recurring Schedule'!$P$42),"",IF(IF('Recurring Schedule'!$N$42&gt;0,MOD($A340-'Recurring Schedule'!$F$42,'Recurring Schedule'!$N$42)=0,IF('Recurring Schedule'!$O$42&gt;0,AND(DAY($A340)=MIN(DAY('Recurring Schedule'!$F$42),DAY(EOMONTH($A340,0))),MOD((YEAR($A340)-YEAR('Recurring Schedule'!$F$42))*12+MONTH($A340)-MONTH('Recurring Schedule'!$F$42),'Recurring Schedule'!$O$42)=0),IF('Recurring Schedule'!$E$42="Weekdays",WEEKDAY($A340,2)&lt;=5,$A340='Recurring Schedule'!$F$42))),37,""))))</f>
        <v/>
      </c>
      <c r="AM340">
        <f>IF('Recurring Schedule'!$C$43="","",IF('Recurring Schedule'!$F$43="","",IF(OR($A340&lt;'Recurring Schedule'!$F$43,$A340&gt;'Recurring Schedule'!$P$43),"",IF(IF('Recurring Schedule'!$N$43&gt;0,MOD($A340-'Recurring Schedule'!$F$43,'Recurring Schedule'!$N$43)=0,IF('Recurring Schedule'!$O$43&gt;0,AND(DAY($A340)=MIN(DAY('Recurring Schedule'!$F$43),DAY(EOMONTH($A340,0))),MOD((YEAR($A340)-YEAR('Recurring Schedule'!$F$43))*12+MONTH($A340)-MONTH('Recurring Schedule'!$F$43),'Recurring Schedule'!$O$43)=0),IF('Recurring Schedule'!$E$43="Weekdays",WEEKDAY($A340,2)&lt;=5,$A340='Recurring Schedule'!$F$43))),38,""))))</f>
        <v/>
      </c>
      <c r="AN340">
        <f>IF('Recurring Schedule'!$C$44="","",IF('Recurring Schedule'!$F$44="","",IF(OR($A340&lt;'Recurring Schedule'!$F$44,$A340&gt;'Recurring Schedule'!$P$44),"",IF(IF('Recurring Schedule'!$N$44&gt;0,MOD($A340-'Recurring Schedule'!$F$44,'Recurring Schedule'!$N$44)=0,IF('Recurring Schedule'!$O$44&gt;0,AND(DAY($A340)=MIN(DAY('Recurring Schedule'!$F$44),DAY(EOMONTH($A340,0))),MOD((YEAR($A340)-YEAR('Recurring Schedule'!$F$44))*12+MONTH($A340)-MONTH('Recurring Schedule'!$F$44),'Recurring Schedule'!$O$44)=0),IF('Recurring Schedule'!$E$44="Weekdays",WEEKDAY($A340,2)&lt;=5,$A340='Recurring Schedule'!$F$44))),39,""))))</f>
        <v/>
      </c>
      <c r="AO340">
        <f>IF('Recurring Schedule'!$C$45="","",IF('Recurring Schedule'!$F$45="","",IF(OR($A340&lt;'Recurring Schedule'!$F$45,$A340&gt;'Recurring Schedule'!$P$45),"",IF(IF('Recurring Schedule'!$N$45&gt;0,MOD($A340-'Recurring Schedule'!$F$45,'Recurring Schedule'!$N$45)=0,IF('Recurring Schedule'!$O$45&gt;0,AND(DAY($A340)=MIN(DAY('Recurring Schedule'!$F$45),DAY(EOMONTH($A340,0))),MOD((YEAR($A340)-YEAR('Recurring Schedule'!$F$45))*12+MONTH($A340)-MONTH('Recurring Schedule'!$F$45),'Recurring Schedule'!$O$45)=0),IF('Recurring Schedule'!$E$45="Weekdays",WEEKDAY($A340,2)&lt;=5,$A340='Recurring Schedule'!$F$45))),40,""))))</f>
        <v/>
      </c>
      <c r="AP340">
        <f>COUNT(B340:AO340)</f>
        <v/>
      </c>
      <c r="AQ340">
        <f>AQ339+AP339</f>
        <v/>
      </c>
      <c r="AS340" t="inlineStr">
        <is>
          <t>R</t>
        </is>
      </c>
      <c r="AT340" t="n">
        <v>344</v>
      </c>
      <c r="AU340">
        <f>'Recurring Log'!C344&amp;""</f>
        <v/>
      </c>
      <c r="AV340">
        <f>'Recurring Log'!D344&amp;""</f>
        <v/>
      </c>
      <c r="AW340">
        <f>IF('Recurring Log'!E344="","",'Recurring Log'!E344)</f>
        <v/>
      </c>
      <c r="AX340">
        <f>IF('Recurring Log'!G344="","",'Recurring Log'!G344)</f>
        <v/>
      </c>
      <c r="AY340">
        <f>IF('Recurring Log'!H344="","",'Recurring Log'!H344)</f>
        <v/>
      </c>
      <c r="AZ340">
        <f>IF(AU340="","",IF('Recurring Log'!J344="","Not Started",'Recurring Log'!J344))</f>
        <v/>
      </c>
      <c r="BA340">
        <f>'Recurring Log'!L344&amp;""</f>
        <v/>
      </c>
      <c r="BB340">
        <f>'Recurring Log'!M344&amp;""</f>
        <v/>
      </c>
      <c r="BC340">
        <f>'Recurring Log'!N344&amp;""</f>
        <v/>
      </c>
      <c r="BD340">
        <f>'Recurring Log'!O344&amp;""</f>
        <v/>
      </c>
      <c r="BE340">
        <f>IF('Recurring Log'!K344="","",'Recurring Log'!K344)</f>
        <v/>
      </c>
      <c r="BF340">
        <f>IFERROR(MATCH(BA340,Setup!$L$6:$L$9,0),5)</f>
        <v/>
      </c>
      <c r="BG340">
        <f>IF(OR(AZ340="Done",AZ340="Cancelled"),1,0)</f>
        <v/>
      </c>
      <c r="BH340">
        <f>IF(AND(AU340&lt;&gt;"",ISNUMBER(AW340)),1,0)</f>
        <v/>
      </c>
      <c r="BI340">
        <f>IF(BH340=0,0,IF(AND(AW340&gt;='Tasks Filter'!$F$3,AW340&lt;='Tasks Filter'!$F$4,OR('Tasks Filter'!$I$3="",ISNUMBER(SEARCH('Tasks Filter'!$I$3,AU340))),OR('Tasks Filter'!$I$4="",BF340=IFERROR(MATCH('Tasks Filter'!$I$4,Setup!$L$6:$L$9,0),0)),OR('Tasks Filter'!$I$5="Both",AND('Tasks Filter'!$I$5="Yes",BB340="✓"),AND('Tasks Filter'!$I$5="No",BB340&lt;&gt;"✓")),OR('Tasks Filter'!$L$3="",AV340='Tasks Filter'!$L$3),OR('Tasks Filter'!$L$4="",AZ340='Tasks Filter'!$L$4),OR('Tasks Filter'!$L$5="",BC340='Tasks Filter'!$L$5),OR('Tasks Filter'!$O$3="",BD340='Tasks Filter'!$O$3),OR('Tasks Filter'!$O$4="Yes",BG340=0)),1,0))</f>
        <v/>
      </c>
      <c r="BJ340">
        <f>IF(BH340=0,"",IF('Tasks Filter'!$F$6="Descending",-1,1)*CHOOSE(MATCH('Tasks Filter'!$F$5,Lists!$G$2:$G$6,0),AW340,BF340,IFERROR(MATCH(AV340,Setup!$F$6:$F$15,0),99),IFERROR(MATCH(BC340,Setup!$H$6:$H$15,0),99),IFERROR(MATCH(AZ340,Setup!$J$6:$J$11,0),99))*1E+9+(AW340-40000)*10000+339)</f>
        <v/>
      </c>
      <c r="BK340">
        <f>IF(BI340=1,BJ340,"")</f>
        <v/>
      </c>
      <c r="BL340">
        <f>IF(AND(BH340=1,BG340=0,N(AW340)&lt;Setup!$D$7),(AW340-40000)*10000+339,"")</f>
        <v/>
      </c>
      <c r="BM340">
        <f>IF(AND(BH340=1,AZ340&lt;&gt;"Cancelled",N(AW340)&gt;=Dashboard!$AB$3,N(AW340)&lt;=Dashboard!$AB$3+6),(AW340-40000)*100000+BF340*10000+339,"")</f>
        <v/>
      </c>
      <c r="BN340">
        <f>IF(AND(BH340=1,AZ340&lt;&gt;"Cancelled"),BF340*10000+339,"")</f>
        <v/>
      </c>
    </row>
    <row r="341">
      <c r="A341">
        <f>Setup!$D$5+339</f>
        <v/>
      </c>
      <c r="B341">
        <f>IF('Recurring Schedule'!$C$6="","",IF('Recurring Schedule'!$F$6="","",IF(OR($A341&lt;'Recurring Schedule'!$F$6,$A341&gt;'Recurring Schedule'!$P$6),"",IF(IF('Recurring Schedule'!$N$6&gt;0,MOD($A341-'Recurring Schedule'!$F$6,'Recurring Schedule'!$N$6)=0,IF('Recurring Schedule'!$O$6&gt;0,AND(DAY($A341)=MIN(DAY('Recurring Schedule'!$F$6),DAY(EOMONTH($A341,0))),MOD((YEAR($A341)-YEAR('Recurring Schedule'!$F$6))*12+MONTH($A341)-MONTH('Recurring Schedule'!$F$6),'Recurring Schedule'!$O$6)=0),IF('Recurring Schedule'!$E$6="Weekdays",WEEKDAY($A341,2)&lt;=5,$A341='Recurring Schedule'!$F$6))),1,""))))</f>
        <v/>
      </c>
      <c r="C341">
        <f>IF('Recurring Schedule'!$C$7="","",IF('Recurring Schedule'!$F$7="","",IF(OR($A341&lt;'Recurring Schedule'!$F$7,$A341&gt;'Recurring Schedule'!$P$7),"",IF(IF('Recurring Schedule'!$N$7&gt;0,MOD($A341-'Recurring Schedule'!$F$7,'Recurring Schedule'!$N$7)=0,IF('Recurring Schedule'!$O$7&gt;0,AND(DAY($A341)=MIN(DAY('Recurring Schedule'!$F$7),DAY(EOMONTH($A341,0))),MOD((YEAR($A341)-YEAR('Recurring Schedule'!$F$7))*12+MONTH($A341)-MONTH('Recurring Schedule'!$F$7),'Recurring Schedule'!$O$7)=0),IF('Recurring Schedule'!$E$7="Weekdays",WEEKDAY($A341,2)&lt;=5,$A341='Recurring Schedule'!$F$7))),2,""))))</f>
        <v/>
      </c>
      <c r="D341">
        <f>IF('Recurring Schedule'!$C$8="","",IF('Recurring Schedule'!$F$8="","",IF(OR($A341&lt;'Recurring Schedule'!$F$8,$A341&gt;'Recurring Schedule'!$P$8),"",IF(IF('Recurring Schedule'!$N$8&gt;0,MOD($A341-'Recurring Schedule'!$F$8,'Recurring Schedule'!$N$8)=0,IF('Recurring Schedule'!$O$8&gt;0,AND(DAY($A341)=MIN(DAY('Recurring Schedule'!$F$8),DAY(EOMONTH($A341,0))),MOD((YEAR($A341)-YEAR('Recurring Schedule'!$F$8))*12+MONTH($A341)-MONTH('Recurring Schedule'!$F$8),'Recurring Schedule'!$O$8)=0),IF('Recurring Schedule'!$E$8="Weekdays",WEEKDAY($A341,2)&lt;=5,$A341='Recurring Schedule'!$F$8))),3,""))))</f>
        <v/>
      </c>
      <c r="E341">
        <f>IF('Recurring Schedule'!$C$9="","",IF('Recurring Schedule'!$F$9="","",IF(OR($A341&lt;'Recurring Schedule'!$F$9,$A341&gt;'Recurring Schedule'!$P$9),"",IF(IF('Recurring Schedule'!$N$9&gt;0,MOD($A341-'Recurring Schedule'!$F$9,'Recurring Schedule'!$N$9)=0,IF('Recurring Schedule'!$O$9&gt;0,AND(DAY($A341)=MIN(DAY('Recurring Schedule'!$F$9),DAY(EOMONTH($A341,0))),MOD((YEAR($A341)-YEAR('Recurring Schedule'!$F$9))*12+MONTH($A341)-MONTH('Recurring Schedule'!$F$9),'Recurring Schedule'!$O$9)=0),IF('Recurring Schedule'!$E$9="Weekdays",WEEKDAY($A341,2)&lt;=5,$A341='Recurring Schedule'!$F$9))),4,""))))</f>
        <v/>
      </c>
      <c r="F341">
        <f>IF('Recurring Schedule'!$C$10="","",IF('Recurring Schedule'!$F$10="","",IF(OR($A341&lt;'Recurring Schedule'!$F$10,$A341&gt;'Recurring Schedule'!$P$10),"",IF(IF('Recurring Schedule'!$N$10&gt;0,MOD($A341-'Recurring Schedule'!$F$10,'Recurring Schedule'!$N$10)=0,IF('Recurring Schedule'!$O$10&gt;0,AND(DAY($A341)=MIN(DAY('Recurring Schedule'!$F$10),DAY(EOMONTH($A341,0))),MOD((YEAR($A341)-YEAR('Recurring Schedule'!$F$10))*12+MONTH($A341)-MONTH('Recurring Schedule'!$F$10),'Recurring Schedule'!$O$10)=0),IF('Recurring Schedule'!$E$10="Weekdays",WEEKDAY($A341,2)&lt;=5,$A341='Recurring Schedule'!$F$10))),5,""))))</f>
        <v/>
      </c>
      <c r="G341">
        <f>IF('Recurring Schedule'!$C$11="","",IF('Recurring Schedule'!$F$11="","",IF(OR($A341&lt;'Recurring Schedule'!$F$11,$A341&gt;'Recurring Schedule'!$P$11),"",IF(IF('Recurring Schedule'!$N$11&gt;0,MOD($A341-'Recurring Schedule'!$F$11,'Recurring Schedule'!$N$11)=0,IF('Recurring Schedule'!$O$11&gt;0,AND(DAY($A341)=MIN(DAY('Recurring Schedule'!$F$11),DAY(EOMONTH($A341,0))),MOD((YEAR($A341)-YEAR('Recurring Schedule'!$F$11))*12+MONTH($A341)-MONTH('Recurring Schedule'!$F$11),'Recurring Schedule'!$O$11)=0),IF('Recurring Schedule'!$E$11="Weekdays",WEEKDAY($A341,2)&lt;=5,$A341='Recurring Schedule'!$F$11))),6,""))))</f>
        <v/>
      </c>
      <c r="H341">
        <f>IF('Recurring Schedule'!$C$12="","",IF('Recurring Schedule'!$F$12="","",IF(OR($A341&lt;'Recurring Schedule'!$F$12,$A341&gt;'Recurring Schedule'!$P$12),"",IF(IF('Recurring Schedule'!$N$12&gt;0,MOD($A341-'Recurring Schedule'!$F$12,'Recurring Schedule'!$N$12)=0,IF('Recurring Schedule'!$O$12&gt;0,AND(DAY($A341)=MIN(DAY('Recurring Schedule'!$F$12),DAY(EOMONTH($A341,0))),MOD((YEAR($A341)-YEAR('Recurring Schedule'!$F$12))*12+MONTH($A341)-MONTH('Recurring Schedule'!$F$12),'Recurring Schedule'!$O$12)=0),IF('Recurring Schedule'!$E$12="Weekdays",WEEKDAY($A341,2)&lt;=5,$A341='Recurring Schedule'!$F$12))),7,""))))</f>
        <v/>
      </c>
      <c r="I341">
        <f>IF('Recurring Schedule'!$C$13="","",IF('Recurring Schedule'!$F$13="","",IF(OR($A341&lt;'Recurring Schedule'!$F$13,$A341&gt;'Recurring Schedule'!$P$13),"",IF(IF('Recurring Schedule'!$N$13&gt;0,MOD($A341-'Recurring Schedule'!$F$13,'Recurring Schedule'!$N$13)=0,IF('Recurring Schedule'!$O$13&gt;0,AND(DAY($A341)=MIN(DAY('Recurring Schedule'!$F$13),DAY(EOMONTH($A341,0))),MOD((YEAR($A341)-YEAR('Recurring Schedule'!$F$13))*12+MONTH($A341)-MONTH('Recurring Schedule'!$F$13),'Recurring Schedule'!$O$13)=0),IF('Recurring Schedule'!$E$13="Weekdays",WEEKDAY($A341,2)&lt;=5,$A341='Recurring Schedule'!$F$13))),8,""))))</f>
        <v/>
      </c>
      <c r="J341">
        <f>IF('Recurring Schedule'!$C$14="","",IF('Recurring Schedule'!$F$14="","",IF(OR($A341&lt;'Recurring Schedule'!$F$14,$A341&gt;'Recurring Schedule'!$P$14),"",IF(IF('Recurring Schedule'!$N$14&gt;0,MOD($A341-'Recurring Schedule'!$F$14,'Recurring Schedule'!$N$14)=0,IF('Recurring Schedule'!$O$14&gt;0,AND(DAY($A341)=MIN(DAY('Recurring Schedule'!$F$14),DAY(EOMONTH($A341,0))),MOD((YEAR($A341)-YEAR('Recurring Schedule'!$F$14))*12+MONTH($A341)-MONTH('Recurring Schedule'!$F$14),'Recurring Schedule'!$O$14)=0),IF('Recurring Schedule'!$E$14="Weekdays",WEEKDAY($A341,2)&lt;=5,$A341='Recurring Schedule'!$F$14))),9,""))))</f>
        <v/>
      </c>
      <c r="K341">
        <f>IF('Recurring Schedule'!$C$15="","",IF('Recurring Schedule'!$F$15="","",IF(OR($A341&lt;'Recurring Schedule'!$F$15,$A341&gt;'Recurring Schedule'!$P$15),"",IF(IF('Recurring Schedule'!$N$15&gt;0,MOD($A341-'Recurring Schedule'!$F$15,'Recurring Schedule'!$N$15)=0,IF('Recurring Schedule'!$O$15&gt;0,AND(DAY($A341)=MIN(DAY('Recurring Schedule'!$F$15),DAY(EOMONTH($A341,0))),MOD((YEAR($A341)-YEAR('Recurring Schedule'!$F$15))*12+MONTH($A341)-MONTH('Recurring Schedule'!$F$15),'Recurring Schedule'!$O$15)=0),IF('Recurring Schedule'!$E$15="Weekdays",WEEKDAY($A341,2)&lt;=5,$A341='Recurring Schedule'!$F$15))),10,""))))</f>
        <v/>
      </c>
      <c r="L341">
        <f>IF('Recurring Schedule'!$C$16="","",IF('Recurring Schedule'!$F$16="","",IF(OR($A341&lt;'Recurring Schedule'!$F$16,$A341&gt;'Recurring Schedule'!$P$16),"",IF(IF('Recurring Schedule'!$N$16&gt;0,MOD($A341-'Recurring Schedule'!$F$16,'Recurring Schedule'!$N$16)=0,IF('Recurring Schedule'!$O$16&gt;0,AND(DAY($A341)=MIN(DAY('Recurring Schedule'!$F$16),DAY(EOMONTH($A341,0))),MOD((YEAR($A341)-YEAR('Recurring Schedule'!$F$16))*12+MONTH($A341)-MONTH('Recurring Schedule'!$F$16),'Recurring Schedule'!$O$16)=0),IF('Recurring Schedule'!$E$16="Weekdays",WEEKDAY($A341,2)&lt;=5,$A341='Recurring Schedule'!$F$16))),11,""))))</f>
        <v/>
      </c>
      <c r="M341">
        <f>IF('Recurring Schedule'!$C$17="","",IF('Recurring Schedule'!$F$17="","",IF(OR($A341&lt;'Recurring Schedule'!$F$17,$A341&gt;'Recurring Schedule'!$P$17),"",IF(IF('Recurring Schedule'!$N$17&gt;0,MOD($A341-'Recurring Schedule'!$F$17,'Recurring Schedule'!$N$17)=0,IF('Recurring Schedule'!$O$17&gt;0,AND(DAY($A341)=MIN(DAY('Recurring Schedule'!$F$17),DAY(EOMONTH($A341,0))),MOD((YEAR($A341)-YEAR('Recurring Schedule'!$F$17))*12+MONTH($A341)-MONTH('Recurring Schedule'!$F$17),'Recurring Schedule'!$O$17)=0),IF('Recurring Schedule'!$E$17="Weekdays",WEEKDAY($A341,2)&lt;=5,$A341='Recurring Schedule'!$F$17))),12,""))))</f>
        <v/>
      </c>
      <c r="N341">
        <f>IF('Recurring Schedule'!$C$18="","",IF('Recurring Schedule'!$F$18="","",IF(OR($A341&lt;'Recurring Schedule'!$F$18,$A341&gt;'Recurring Schedule'!$P$18),"",IF(IF('Recurring Schedule'!$N$18&gt;0,MOD($A341-'Recurring Schedule'!$F$18,'Recurring Schedule'!$N$18)=0,IF('Recurring Schedule'!$O$18&gt;0,AND(DAY($A341)=MIN(DAY('Recurring Schedule'!$F$18),DAY(EOMONTH($A341,0))),MOD((YEAR($A341)-YEAR('Recurring Schedule'!$F$18))*12+MONTH($A341)-MONTH('Recurring Schedule'!$F$18),'Recurring Schedule'!$O$18)=0),IF('Recurring Schedule'!$E$18="Weekdays",WEEKDAY($A341,2)&lt;=5,$A341='Recurring Schedule'!$F$18))),13,""))))</f>
        <v/>
      </c>
      <c r="O341">
        <f>IF('Recurring Schedule'!$C$19="","",IF('Recurring Schedule'!$F$19="","",IF(OR($A341&lt;'Recurring Schedule'!$F$19,$A341&gt;'Recurring Schedule'!$P$19),"",IF(IF('Recurring Schedule'!$N$19&gt;0,MOD($A341-'Recurring Schedule'!$F$19,'Recurring Schedule'!$N$19)=0,IF('Recurring Schedule'!$O$19&gt;0,AND(DAY($A341)=MIN(DAY('Recurring Schedule'!$F$19),DAY(EOMONTH($A341,0))),MOD((YEAR($A341)-YEAR('Recurring Schedule'!$F$19))*12+MONTH($A341)-MONTH('Recurring Schedule'!$F$19),'Recurring Schedule'!$O$19)=0),IF('Recurring Schedule'!$E$19="Weekdays",WEEKDAY($A341,2)&lt;=5,$A341='Recurring Schedule'!$F$19))),14,""))))</f>
        <v/>
      </c>
      <c r="P341">
        <f>IF('Recurring Schedule'!$C$20="","",IF('Recurring Schedule'!$F$20="","",IF(OR($A341&lt;'Recurring Schedule'!$F$20,$A341&gt;'Recurring Schedule'!$P$20),"",IF(IF('Recurring Schedule'!$N$20&gt;0,MOD($A341-'Recurring Schedule'!$F$20,'Recurring Schedule'!$N$20)=0,IF('Recurring Schedule'!$O$20&gt;0,AND(DAY($A341)=MIN(DAY('Recurring Schedule'!$F$20),DAY(EOMONTH($A341,0))),MOD((YEAR($A341)-YEAR('Recurring Schedule'!$F$20))*12+MONTH($A341)-MONTH('Recurring Schedule'!$F$20),'Recurring Schedule'!$O$20)=0),IF('Recurring Schedule'!$E$20="Weekdays",WEEKDAY($A341,2)&lt;=5,$A341='Recurring Schedule'!$F$20))),15,""))))</f>
        <v/>
      </c>
      <c r="Q341">
        <f>IF('Recurring Schedule'!$C$21="","",IF('Recurring Schedule'!$F$21="","",IF(OR($A341&lt;'Recurring Schedule'!$F$21,$A341&gt;'Recurring Schedule'!$P$21),"",IF(IF('Recurring Schedule'!$N$21&gt;0,MOD($A341-'Recurring Schedule'!$F$21,'Recurring Schedule'!$N$21)=0,IF('Recurring Schedule'!$O$21&gt;0,AND(DAY($A341)=MIN(DAY('Recurring Schedule'!$F$21),DAY(EOMONTH($A341,0))),MOD((YEAR($A341)-YEAR('Recurring Schedule'!$F$21))*12+MONTH($A341)-MONTH('Recurring Schedule'!$F$21),'Recurring Schedule'!$O$21)=0),IF('Recurring Schedule'!$E$21="Weekdays",WEEKDAY($A341,2)&lt;=5,$A341='Recurring Schedule'!$F$21))),16,""))))</f>
        <v/>
      </c>
      <c r="R341">
        <f>IF('Recurring Schedule'!$C$22="","",IF('Recurring Schedule'!$F$22="","",IF(OR($A341&lt;'Recurring Schedule'!$F$22,$A341&gt;'Recurring Schedule'!$P$22),"",IF(IF('Recurring Schedule'!$N$22&gt;0,MOD($A341-'Recurring Schedule'!$F$22,'Recurring Schedule'!$N$22)=0,IF('Recurring Schedule'!$O$22&gt;0,AND(DAY($A341)=MIN(DAY('Recurring Schedule'!$F$22),DAY(EOMONTH($A341,0))),MOD((YEAR($A341)-YEAR('Recurring Schedule'!$F$22))*12+MONTH($A341)-MONTH('Recurring Schedule'!$F$22),'Recurring Schedule'!$O$22)=0),IF('Recurring Schedule'!$E$22="Weekdays",WEEKDAY($A341,2)&lt;=5,$A341='Recurring Schedule'!$F$22))),17,""))))</f>
        <v/>
      </c>
      <c r="S341">
        <f>IF('Recurring Schedule'!$C$23="","",IF('Recurring Schedule'!$F$23="","",IF(OR($A341&lt;'Recurring Schedule'!$F$23,$A341&gt;'Recurring Schedule'!$P$23),"",IF(IF('Recurring Schedule'!$N$23&gt;0,MOD($A341-'Recurring Schedule'!$F$23,'Recurring Schedule'!$N$23)=0,IF('Recurring Schedule'!$O$23&gt;0,AND(DAY($A341)=MIN(DAY('Recurring Schedule'!$F$23),DAY(EOMONTH($A341,0))),MOD((YEAR($A341)-YEAR('Recurring Schedule'!$F$23))*12+MONTH($A341)-MONTH('Recurring Schedule'!$F$23),'Recurring Schedule'!$O$23)=0),IF('Recurring Schedule'!$E$23="Weekdays",WEEKDAY($A341,2)&lt;=5,$A341='Recurring Schedule'!$F$23))),18,""))))</f>
        <v/>
      </c>
      <c r="T341">
        <f>IF('Recurring Schedule'!$C$24="","",IF('Recurring Schedule'!$F$24="","",IF(OR($A341&lt;'Recurring Schedule'!$F$24,$A341&gt;'Recurring Schedule'!$P$24),"",IF(IF('Recurring Schedule'!$N$24&gt;0,MOD($A341-'Recurring Schedule'!$F$24,'Recurring Schedule'!$N$24)=0,IF('Recurring Schedule'!$O$24&gt;0,AND(DAY($A341)=MIN(DAY('Recurring Schedule'!$F$24),DAY(EOMONTH($A341,0))),MOD((YEAR($A341)-YEAR('Recurring Schedule'!$F$24))*12+MONTH($A341)-MONTH('Recurring Schedule'!$F$24),'Recurring Schedule'!$O$24)=0),IF('Recurring Schedule'!$E$24="Weekdays",WEEKDAY($A341,2)&lt;=5,$A341='Recurring Schedule'!$F$24))),19,""))))</f>
        <v/>
      </c>
      <c r="U341">
        <f>IF('Recurring Schedule'!$C$25="","",IF('Recurring Schedule'!$F$25="","",IF(OR($A341&lt;'Recurring Schedule'!$F$25,$A341&gt;'Recurring Schedule'!$P$25),"",IF(IF('Recurring Schedule'!$N$25&gt;0,MOD($A341-'Recurring Schedule'!$F$25,'Recurring Schedule'!$N$25)=0,IF('Recurring Schedule'!$O$25&gt;0,AND(DAY($A341)=MIN(DAY('Recurring Schedule'!$F$25),DAY(EOMONTH($A341,0))),MOD((YEAR($A341)-YEAR('Recurring Schedule'!$F$25))*12+MONTH($A341)-MONTH('Recurring Schedule'!$F$25),'Recurring Schedule'!$O$25)=0),IF('Recurring Schedule'!$E$25="Weekdays",WEEKDAY($A341,2)&lt;=5,$A341='Recurring Schedule'!$F$25))),20,""))))</f>
        <v/>
      </c>
      <c r="V341">
        <f>IF('Recurring Schedule'!$C$26="","",IF('Recurring Schedule'!$F$26="","",IF(OR($A341&lt;'Recurring Schedule'!$F$26,$A341&gt;'Recurring Schedule'!$P$26),"",IF(IF('Recurring Schedule'!$N$26&gt;0,MOD($A341-'Recurring Schedule'!$F$26,'Recurring Schedule'!$N$26)=0,IF('Recurring Schedule'!$O$26&gt;0,AND(DAY($A341)=MIN(DAY('Recurring Schedule'!$F$26),DAY(EOMONTH($A341,0))),MOD((YEAR($A341)-YEAR('Recurring Schedule'!$F$26))*12+MONTH($A341)-MONTH('Recurring Schedule'!$F$26),'Recurring Schedule'!$O$26)=0),IF('Recurring Schedule'!$E$26="Weekdays",WEEKDAY($A341,2)&lt;=5,$A341='Recurring Schedule'!$F$26))),21,""))))</f>
        <v/>
      </c>
      <c r="W341">
        <f>IF('Recurring Schedule'!$C$27="","",IF('Recurring Schedule'!$F$27="","",IF(OR($A341&lt;'Recurring Schedule'!$F$27,$A341&gt;'Recurring Schedule'!$P$27),"",IF(IF('Recurring Schedule'!$N$27&gt;0,MOD($A341-'Recurring Schedule'!$F$27,'Recurring Schedule'!$N$27)=0,IF('Recurring Schedule'!$O$27&gt;0,AND(DAY($A341)=MIN(DAY('Recurring Schedule'!$F$27),DAY(EOMONTH($A341,0))),MOD((YEAR($A341)-YEAR('Recurring Schedule'!$F$27))*12+MONTH($A341)-MONTH('Recurring Schedule'!$F$27),'Recurring Schedule'!$O$27)=0),IF('Recurring Schedule'!$E$27="Weekdays",WEEKDAY($A341,2)&lt;=5,$A341='Recurring Schedule'!$F$27))),22,""))))</f>
        <v/>
      </c>
      <c r="X341">
        <f>IF('Recurring Schedule'!$C$28="","",IF('Recurring Schedule'!$F$28="","",IF(OR($A341&lt;'Recurring Schedule'!$F$28,$A341&gt;'Recurring Schedule'!$P$28),"",IF(IF('Recurring Schedule'!$N$28&gt;0,MOD($A341-'Recurring Schedule'!$F$28,'Recurring Schedule'!$N$28)=0,IF('Recurring Schedule'!$O$28&gt;0,AND(DAY($A341)=MIN(DAY('Recurring Schedule'!$F$28),DAY(EOMONTH($A341,0))),MOD((YEAR($A341)-YEAR('Recurring Schedule'!$F$28))*12+MONTH($A341)-MONTH('Recurring Schedule'!$F$28),'Recurring Schedule'!$O$28)=0),IF('Recurring Schedule'!$E$28="Weekdays",WEEKDAY($A341,2)&lt;=5,$A341='Recurring Schedule'!$F$28))),23,""))))</f>
        <v/>
      </c>
      <c r="Y341">
        <f>IF('Recurring Schedule'!$C$29="","",IF('Recurring Schedule'!$F$29="","",IF(OR($A341&lt;'Recurring Schedule'!$F$29,$A341&gt;'Recurring Schedule'!$P$29),"",IF(IF('Recurring Schedule'!$N$29&gt;0,MOD($A341-'Recurring Schedule'!$F$29,'Recurring Schedule'!$N$29)=0,IF('Recurring Schedule'!$O$29&gt;0,AND(DAY($A341)=MIN(DAY('Recurring Schedule'!$F$29),DAY(EOMONTH($A341,0))),MOD((YEAR($A341)-YEAR('Recurring Schedule'!$F$29))*12+MONTH($A341)-MONTH('Recurring Schedule'!$F$29),'Recurring Schedule'!$O$29)=0),IF('Recurring Schedule'!$E$29="Weekdays",WEEKDAY($A341,2)&lt;=5,$A341='Recurring Schedule'!$F$29))),24,""))))</f>
        <v/>
      </c>
      <c r="Z341">
        <f>IF('Recurring Schedule'!$C$30="","",IF('Recurring Schedule'!$F$30="","",IF(OR($A341&lt;'Recurring Schedule'!$F$30,$A341&gt;'Recurring Schedule'!$P$30),"",IF(IF('Recurring Schedule'!$N$30&gt;0,MOD($A341-'Recurring Schedule'!$F$30,'Recurring Schedule'!$N$30)=0,IF('Recurring Schedule'!$O$30&gt;0,AND(DAY($A341)=MIN(DAY('Recurring Schedule'!$F$30),DAY(EOMONTH($A341,0))),MOD((YEAR($A341)-YEAR('Recurring Schedule'!$F$30))*12+MONTH($A341)-MONTH('Recurring Schedule'!$F$30),'Recurring Schedule'!$O$30)=0),IF('Recurring Schedule'!$E$30="Weekdays",WEEKDAY($A341,2)&lt;=5,$A341='Recurring Schedule'!$F$30))),25,""))))</f>
        <v/>
      </c>
      <c r="AA341">
        <f>IF('Recurring Schedule'!$C$31="","",IF('Recurring Schedule'!$F$31="","",IF(OR($A341&lt;'Recurring Schedule'!$F$31,$A341&gt;'Recurring Schedule'!$P$31),"",IF(IF('Recurring Schedule'!$N$31&gt;0,MOD($A341-'Recurring Schedule'!$F$31,'Recurring Schedule'!$N$31)=0,IF('Recurring Schedule'!$O$31&gt;0,AND(DAY($A341)=MIN(DAY('Recurring Schedule'!$F$31),DAY(EOMONTH($A341,0))),MOD((YEAR($A341)-YEAR('Recurring Schedule'!$F$31))*12+MONTH($A341)-MONTH('Recurring Schedule'!$F$31),'Recurring Schedule'!$O$31)=0),IF('Recurring Schedule'!$E$31="Weekdays",WEEKDAY($A341,2)&lt;=5,$A341='Recurring Schedule'!$F$31))),26,""))))</f>
        <v/>
      </c>
      <c r="AB341">
        <f>IF('Recurring Schedule'!$C$32="","",IF('Recurring Schedule'!$F$32="","",IF(OR($A341&lt;'Recurring Schedule'!$F$32,$A341&gt;'Recurring Schedule'!$P$32),"",IF(IF('Recurring Schedule'!$N$32&gt;0,MOD($A341-'Recurring Schedule'!$F$32,'Recurring Schedule'!$N$32)=0,IF('Recurring Schedule'!$O$32&gt;0,AND(DAY($A341)=MIN(DAY('Recurring Schedule'!$F$32),DAY(EOMONTH($A341,0))),MOD((YEAR($A341)-YEAR('Recurring Schedule'!$F$32))*12+MONTH($A341)-MONTH('Recurring Schedule'!$F$32),'Recurring Schedule'!$O$32)=0),IF('Recurring Schedule'!$E$32="Weekdays",WEEKDAY($A341,2)&lt;=5,$A341='Recurring Schedule'!$F$32))),27,""))))</f>
        <v/>
      </c>
      <c r="AC341">
        <f>IF('Recurring Schedule'!$C$33="","",IF('Recurring Schedule'!$F$33="","",IF(OR($A341&lt;'Recurring Schedule'!$F$33,$A341&gt;'Recurring Schedule'!$P$33),"",IF(IF('Recurring Schedule'!$N$33&gt;0,MOD($A341-'Recurring Schedule'!$F$33,'Recurring Schedule'!$N$33)=0,IF('Recurring Schedule'!$O$33&gt;0,AND(DAY($A341)=MIN(DAY('Recurring Schedule'!$F$33),DAY(EOMONTH($A341,0))),MOD((YEAR($A341)-YEAR('Recurring Schedule'!$F$33))*12+MONTH($A341)-MONTH('Recurring Schedule'!$F$33),'Recurring Schedule'!$O$33)=0),IF('Recurring Schedule'!$E$33="Weekdays",WEEKDAY($A341,2)&lt;=5,$A341='Recurring Schedule'!$F$33))),28,""))))</f>
        <v/>
      </c>
      <c r="AD341">
        <f>IF('Recurring Schedule'!$C$34="","",IF('Recurring Schedule'!$F$34="","",IF(OR($A341&lt;'Recurring Schedule'!$F$34,$A341&gt;'Recurring Schedule'!$P$34),"",IF(IF('Recurring Schedule'!$N$34&gt;0,MOD($A341-'Recurring Schedule'!$F$34,'Recurring Schedule'!$N$34)=0,IF('Recurring Schedule'!$O$34&gt;0,AND(DAY($A341)=MIN(DAY('Recurring Schedule'!$F$34),DAY(EOMONTH($A341,0))),MOD((YEAR($A341)-YEAR('Recurring Schedule'!$F$34))*12+MONTH($A341)-MONTH('Recurring Schedule'!$F$34),'Recurring Schedule'!$O$34)=0),IF('Recurring Schedule'!$E$34="Weekdays",WEEKDAY($A341,2)&lt;=5,$A341='Recurring Schedule'!$F$34))),29,""))))</f>
        <v/>
      </c>
      <c r="AE341">
        <f>IF('Recurring Schedule'!$C$35="","",IF('Recurring Schedule'!$F$35="","",IF(OR($A341&lt;'Recurring Schedule'!$F$35,$A341&gt;'Recurring Schedule'!$P$35),"",IF(IF('Recurring Schedule'!$N$35&gt;0,MOD($A341-'Recurring Schedule'!$F$35,'Recurring Schedule'!$N$35)=0,IF('Recurring Schedule'!$O$35&gt;0,AND(DAY($A341)=MIN(DAY('Recurring Schedule'!$F$35),DAY(EOMONTH($A341,0))),MOD((YEAR($A341)-YEAR('Recurring Schedule'!$F$35))*12+MONTH($A341)-MONTH('Recurring Schedule'!$F$35),'Recurring Schedule'!$O$35)=0),IF('Recurring Schedule'!$E$35="Weekdays",WEEKDAY($A341,2)&lt;=5,$A341='Recurring Schedule'!$F$35))),30,""))))</f>
        <v/>
      </c>
      <c r="AF341">
        <f>IF('Recurring Schedule'!$C$36="","",IF('Recurring Schedule'!$F$36="","",IF(OR($A341&lt;'Recurring Schedule'!$F$36,$A341&gt;'Recurring Schedule'!$P$36),"",IF(IF('Recurring Schedule'!$N$36&gt;0,MOD($A341-'Recurring Schedule'!$F$36,'Recurring Schedule'!$N$36)=0,IF('Recurring Schedule'!$O$36&gt;0,AND(DAY($A341)=MIN(DAY('Recurring Schedule'!$F$36),DAY(EOMONTH($A341,0))),MOD((YEAR($A341)-YEAR('Recurring Schedule'!$F$36))*12+MONTH($A341)-MONTH('Recurring Schedule'!$F$36),'Recurring Schedule'!$O$36)=0),IF('Recurring Schedule'!$E$36="Weekdays",WEEKDAY($A341,2)&lt;=5,$A341='Recurring Schedule'!$F$36))),31,""))))</f>
        <v/>
      </c>
      <c r="AG341">
        <f>IF('Recurring Schedule'!$C$37="","",IF('Recurring Schedule'!$F$37="","",IF(OR($A341&lt;'Recurring Schedule'!$F$37,$A341&gt;'Recurring Schedule'!$P$37),"",IF(IF('Recurring Schedule'!$N$37&gt;0,MOD($A341-'Recurring Schedule'!$F$37,'Recurring Schedule'!$N$37)=0,IF('Recurring Schedule'!$O$37&gt;0,AND(DAY($A341)=MIN(DAY('Recurring Schedule'!$F$37),DAY(EOMONTH($A341,0))),MOD((YEAR($A341)-YEAR('Recurring Schedule'!$F$37))*12+MONTH($A341)-MONTH('Recurring Schedule'!$F$37),'Recurring Schedule'!$O$37)=0),IF('Recurring Schedule'!$E$37="Weekdays",WEEKDAY($A341,2)&lt;=5,$A341='Recurring Schedule'!$F$37))),32,""))))</f>
        <v/>
      </c>
      <c r="AH341">
        <f>IF('Recurring Schedule'!$C$38="","",IF('Recurring Schedule'!$F$38="","",IF(OR($A341&lt;'Recurring Schedule'!$F$38,$A341&gt;'Recurring Schedule'!$P$38),"",IF(IF('Recurring Schedule'!$N$38&gt;0,MOD($A341-'Recurring Schedule'!$F$38,'Recurring Schedule'!$N$38)=0,IF('Recurring Schedule'!$O$38&gt;0,AND(DAY($A341)=MIN(DAY('Recurring Schedule'!$F$38),DAY(EOMONTH($A341,0))),MOD((YEAR($A341)-YEAR('Recurring Schedule'!$F$38))*12+MONTH($A341)-MONTH('Recurring Schedule'!$F$38),'Recurring Schedule'!$O$38)=0),IF('Recurring Schedule'!$E$38="Weekdays",WEEKDAY($A341,2)&lt;=5,$A341='Recurring Schedule'!$F$38))),33,""))))</f>
        <v/>
      </c>
      <c r="AI341">
        <f>IF('Recurring Schedule'!$C$39="","",IF('Recurring Schedule'!$F$39="","",IF(OR($A341&lt;'Recurring Schedule'!$F$39,$A341&gt;'Recurring Schedule'!$P$39),"",IF(IF('Recurring Schedule'!$N$39&gt;0,MOD($A341-'Recurring Schedule'!$F$39,'Recurring Schedule'!$N$39)=0,IF('Recurring Schedule'!$O$39&gt;0,AND(DAY($A341)=MIN(DAY('Recurring Schedule'!$F$39),DAY(EOMONTH($A341,0))),MOD((YEAR($A341)-YEAR('Recurring Schedule'!$F$39))*12+MONTH($A341)-MONTH('Recurring Schedule'!$F$39),'Recurring Schedule'!$O$39)=0),IF('Recurring Schedule'!$E$39="Weekdays",WEEKDAY($A341,2)&lt;=5,$A341='Recurring Schedule'!$F$39))),34,""))))</f>
        <v/>
      </c>
      <c r="AJ341">
        <f>IF('Recurring Schedule'!$C$40="","",IF('Recurring Schedule'!$F$40="","",IF(OR($A341&lt;'Recurring Schedule'!$F$40,$A341&gt;'Recurring Schedule'!$P$40),"",IF(IF('Recurring Schedule'!$N$40&gt;0,MOD($A341-'Recurring Schedule'!$F$40,'Recurring Schedule'!$N$40)=0,IF('Recurring Schedule'!$O$40&gt;0,AND(DAY($A341)=MIN(DAY('Recurring Schedule'!$F$40),DAY(EOMONTH($A341,0))),MOD((YEAR($A341)-YEAR('Recurring Schedule'!$F$40))*12+MONTH($A341)-MONTH('Recurring Schedule'!$F$40),'Recurring Schedule'!$O$40)=0),IF('Recurring Schedule'!$E$40="Weekdays",WEEKDAY($A341,2)&lt;=5,$A341='Recurring Schedule'!$F$40))),35,""))))</f>
        <v/>
      </c>
      <c r="AK341">
        <f>IF('Recurring Schedule'!$C$41="","",IF('Recurring Schedule'!$F$41="","",IF(OR($A341&lt;'Recurring Schedule'!$F$41,$A341&gt;'Recurring Schedule'!$P$41),"",IF(IF('Recurring Schedule'!$N$41&gt;0,MOD($A341-'Recurring Schedule'!$F$41,'Recurring Schedule'!$N$41)=0,IF('Recurring Schedule'!$O$41&gt;0,AND(DAY($A341)=MIN(DAY('Recurring Schedule'!$F$41),DAY(EOMONTH($A341,0))),MOD((YEAR($A341)-YEAR('Recurring Schedule'!$F$41))*12+MONTH($A341)-MONTH('Recurring Schedule'!$F$41),'Recurring Schedule'!$O$41)=0),IF('Recurring Schedule'!$E$41="Weekdays",WEEKDAY($A341,2)&lt;=5,$A341='Recurring Schedule'!$F$41))),36,""))))</f>
        <v/>
      </c>
      <c r="AL341">
        <f>IF('Recurring Schedule'!$C$42="","",IF('Recurring Schedule'!$F$42="","",IF(OR($A341&lt;'Recurring Schedule'!$F$42,$A341&gt;'Recurring Schedule'!$P$42),"",IF(IF('Recurring Schedule'!$N$42&gt;0,MOD($A341-'Recurring Schedule'!$F$42,'Recurring Schedule'!$N$42)=0,IF('Recurring Schedule'!$O$42&gt;0,AND(DAY($A341)=MIN(DAY('Recurring Schedule'!$F$42),DAY(EOMONTH($A341,0))),MOD((YEAR($A341)-YEAR('Recurring Schedule'!$F$42))*12+MONTH($A341)-MONTH('Recurring Schedule'!$F$42),'Recurring Schedule'!$O$42)=0),IF('Recurring Schedule'!$E$42="Weekdays",WEEKDAY($A341,2)&lt;=5,$A341='Recurring Schedule'!$F$42))),37,""))))</f>
        <v/>
      </c>
      <c r="AM341">
        <f>IF('Recurring Schedule'!$C$43="","",IF('Recurring Schedule'!$F$43="","",IF(OR($A341&lt;'Recurring Schedule'!$F$43,$A341&gt;'Recurring Schedule'!$P$43),"",IF(IF('Recurring Schedule'!$N$43&gt;0,MOD($A341-'Recurring Schedule'!$F$43,'Recurring Schedule'!$N$43)=0,IF('Recurring Schedule'!$O$43&gt;0,AND(DAY($A341)=MIN(DAY('Recurring Schedule'!$F$43),DAY(EOMONTH($A341,0))),MOD((YEAR($A341)-YEAR('Recurring Schedule'!$F$43))*12+MONTH($A341)-MONTH('Recurring Schedule'!$F$43),'Recurring Schedule'!$O$43)=0),IF('Recurring Schedule'!$E$43="Weekdays",WEEKDAY($A341,2)&lt;=5,$A341='Recurring Schedule'!$F$43))),38,""))))</f>
        <v/>
      </c>
      <c r="AN341">
        <f>IF('Recurring Schedule'!$C$44="","",IF('Recurring Schedule'!$F$44="","",IF(OR($A341&lt;'Recurring Schedule'!$F$44,$A341&gt;'Recurring Schedule'!$P$44),"",IF(IF('Recurring Schedule'!$N$44&gt;0,MOD($A341-'Recurring Schedule'!$F$44,'Recurring Schedule'!$N$44)=0,IF('Recurring Schedule'!$O$44&gt;0,AND(DAY($A341)=MIN(DAY('Recurring Schedule'!$F$44),DAY(EOMONTH($A341,0))),MOD((YEAR($A341)-YEAR('Recurring Schedule'!$F$44))*12+MONTH($A341)-MONTH('Recurring Schedule'!$F$44),'Recurring Schedule'!$O$44)=0),IF('Recurring Schedule'!$E$44="Weekdays",WEEKDAY($A341,2)&lt;=5,$A341='Recurring Schedule'!$F$44))),39,""))))</f>
        <v/>
      </c>
      <c r="AO341">
        <f>IF('Recurring Schedule'!$C$45="","",IF('Recurring Schedule'!$F$45="","",IF(OR($A341&lt;'Recurring Schedule'!$F$45,$A341&gt;'Recurring Schedule'!$P$45),"",IF(IF('Recurring Schedule'!$N$45&gt;0,MOD($A341-'Recurring Schedule'!$F$45,'Recurring Schedule'!$N$45)=0,IF('Recurring Schedule'!$O$45&gt;0,AND(DAY($A341)=MIN(DAY('Recurring Schedule'!$F$45),DAY(EOMONTH($A341,0))),MOD((YEAR($A341)-YEAR('Recurring Schedule'!$F$45))*12+MONTH($A341)-MONTH('Recurring Schedule'!$F$45),'Recurring Schedule'!$O$45)=0),IF('Recurring Schedule'!$E$45="Weekdays",WEEKDAY($A341,2)&lt;=5,$A341='Recurring Schedule'!$F$45))),40,""))))</f>
        <v/>
      </c>
      <c r="AP341">
        <f>COUNT(B341:AO341)</f>
        <v/>
      </c>
      <c r="AQ341">
        <f>AQ340+AP340</f>
        <v/>
      </c>
      <c r="AS341" t="inlineStr">
        <is>
          <t>R</t>
        </is>
      </c>
      <c r="AT341" t="n">
        <v>345</v>
      </c>
      <c r="AU341">
        <f>'Recurring Log'!C345&amp;""</f>
        <v/>
      </c>
      <c r="AV341">
        <f>'Recurring Log'!D345&amp;""</f>
        <v/>
      </c>
      <c r="AW341">
        <f>IF('Recurring Log'!E345="","",'Recurring Log'!E345)</f>
        <v/>
      </c>
      <c r="AX341">
        <f>IF('Recurring Log'!G345="","",'Recurring Log'!G345)</f>
        <v/>
      </c>
      <c r="AY341">
        <f>IF('Recurring Log'!H345="","",'Recurring Log'!H345)</f>
        <v/>
      </c>
      <c r="AZ341">
        <f>IF(AU341="","",IF('Recurring Log'!J345="","Not Started",'Recurring Log'!J345))</f>
        <v/>
      </c>
      <c r="BA341">
        <f>'Recurring Log'!L345&amp;""</f>
        <v/>
      </c>
      <c r="BB341">
        <f>'Recurring Log'!M345&amp;""</f>
        <v/>
      </c>
      <c r="BC341">
        <f>'Recurring Log'!N345&amp;""</f>
        <v/>
      </c>
      <c r="BD341">
        <f>'Recurring Log'!O345&amp;""</f>
        <v/>
      </c>
      <c r="BE341">
        <f>IF('Recurring Log'!K345="","",'Recurring Log'!K345)</f>
        <v/>
      </c>
      <c r="BF341">
        <f>IFERROR(MATCH(BA341,Setup!$L$6:$L$9,0),5)</f>
        <v/>
      </c>
      <c r="BG341">
        <f>IF(OR(AZ341="Done",AZ341="Cancelled"),1,0)</f>
        <v/>
      </c>
      <c r="BH341">
        <f>IF(AND(AU341&lt;&gt;"",ISNUMBER(AW341)),1,0)</f>
        <v/>
      </c>
      <c r="BI341">
        <f>IF(BH341=0,0,IF(AND(AW341&gt;='Tasks Filter'!$F$3,AW341&lt;='Tasks Filter'!$F$4,OR('Tasks Filter'!$I$3="",ISNUMBER(SEARCH('Tasks Filter'!$I$3,AU341))),OR('Tasks Filter'!$I$4="",BF341=IFERROR(MATCH('Tasks Filter'!$I$4,Setup!$L$6:$L$9,0),0)),OR('Tasks Filter'!$I$5="Both",AND('Tasks Filter'!$I$5="Yes",BB341="✓"),AND('Tasks Filter'!$I$5="No",BB341&lt;&gt;"✓")),OR('Tasks Filter'!$L$3="",AV341='Tasks Filter'!$L$3),OR('Tasks Filter'!$L$4="",AZ341='Tasks Filter'!$L$4),OR('Tasks Filter'!$L$5="",BC341='Tasks Filter'!$L$5),OR('Tasks Filter'!$O$3="",BD341='Tasks Filter'!$O$3),OR('Tasks Filter'!$O$4="Yes",BG341=0)),1,0))</f>
        <v/>
      </c>
      <c r="BJ341">
        <f>IF(BH341=0,"",IF('Tasks Filter'!$F$6="Descending",-1,1)*CHOOSE(MATCH('Tasks Filter'!$F$5,Lists!$G$2:$G$6,0),AW341,BF341,IFERROR(MATCH(AV341,Setup!$F$6:$F$15,0),99),IFERROR(MATCH(BC341,Setup!$H$6:$H$15,0),99),IFERROR(MATCH(AZ341,Setup!$J$6:$J$11,0),99))*1E+9+(AW341-40000)*10000+340)</f>
        <v/>
      </c>
      <c r="BK341">
        <f>IF(BI341=1,BJ341,"")</f>
        <v/>
      </c>
      <c r="BL341">
        <f>IF(AND(BH341=1,BG341=0,N(AW341)&lt;Setup!$D$7),(AW341-40000)*10000+340,"")</f>
        <v/>
      </c>
      <c r="BM341">
        <f>IF(AND(BH341=1,AZ341&lt;&gt;"Cancelled",N(AW341)&gt;=Dashboard!$AB$3,N(AW341)&lt;=Dashboard!$AB$3+6),(AW341-40000)*100000+BF341*10000+340,"")</f>
        <v/>
      </c>
      <c r="BN341">
        <f>IF(AND(BH341=1,AZ341&lt;&gt;"Cancelled"),BF341*10000+340,"")</f>
        <v/>
      </c>
    </row>
    <row r="342">
      <c r="A342">
        <f>Setup!$D$5+340</f>
        <v/>
      </c>
      <c r="B342">
        <f>IF('Recurring Schedule'!$C$6="","",IF('Recurring Schedule'!$F$6="","",IF(OR($A342&lt;'Recurring Schedule'!$F$6,$A342&gt;'Recurring Schedule'!$P$6),"",IF(IF('Recurring Schedule'!$N$6&gt;0,MOD($A342-'Recurring Schedule'!$F$6,'Recurring Schedule'!$N$6)=0,IF('Recurring Schedule'!$O$6&gt;0,AND(DAY($A342)=MIN(DAY('Recurring Schedule'!$F$6),DAY(EOMONTH($A342,0))),MOD((YEAR($A342)-YEAR('Recurring Schedule'!$F$6))*12+MONTH($A342)-MONTH('Recurring Schedule'!$F$6),'Recurring Schedule'!$O$6)=0),IF('Recurring Schedule'!$E$6="Weekdays",WEEKDAY($A342,2)&lt;=5,$A342='Recurring Schedule'!$F$6))),1,""))))</f>
        <v/>
      </c>
      <c r="C342">
        <f>IF('Recurring Schedule'!$C$7="","",IF('Recurring Schedule'!$F$7="","",IF(OR($A342&lt;'Recurring Schedule'!$F$7,$A342&gt;'Recurring Schedule'!$P$7),"",IF(IF('Recurring Schedule'!$N$7&gt;0,MOD($A342-'Recurring Schedule'!$F$7,'Recurring Schedule'!$N$7)=0,IF('Recurring Schedule'!$O$7&gt;0,AND(DAY($A342)=MIN(DAY('Recurring Schedule'!$F$7),DAY(EOMONTH($A342,0))),MOD((YEAR($A342)-YEAR('Recurring Schedule'!$F$7))*12+MONTH($A342)-MONTH('Recurring Schedule'!$F$7),'Recurring Schedule'!$O$7)=0),IF('Recurring Schedule'!$E$7="Weekdays",WEEKDAY($A342,2)&lt;=5,$A342='Recurring Schedule'!$F$7))),2,""))))</f>
        <v/>
      </c>
      <c r="D342">
        <f>IF('Recurring Schedule'!$C$8="","",IF('Recurring Schedule'!$F$8="","",IF(OR($A342&lt;'Recurring Schedule'!$F$8,$A342&gt;'Recurring Schedule'!$P$8),"",IF(IF('Recurring Schedule'!$N$8&gt;0,MOD($A342-'Recurring Schedule'!$F$8,'Recurring Schedule'!$N$8)=0,IF('Recurring Schedule'!$O$8&gt;0,AND(DAY($A342)=MIN(DAY('Recurring Schedule'!$F$8),DAY(EOMONTH($A342,0))),MOD((YEAR($A342)-YEAR('Recurring Schedule'!$F$8))*12+MONTH($A342)-MONTH('Recurring Schedule'!$F$8),'Recurring Schedule'!$O$8)=0),IF('Recurring Schedule'!$E$8="Weekdays",WEEKDAY($A342,2)&lt;=5,$A342='Recurring Schedule'!$F$8))),3,""))))</f>
        <v/>
      </c>
      <c r="E342">
        <f>IF('Recurring Schedule'!$C$9="","",IF('Recurring Schedule'!$F$9="","",IF(OR($A342&lt;'Recurring Schedule'!$F$9,$A342&gt;'Recurring Schedule'!$P$9),"",IF(IF('Recurring Schedule'!$N$9&gt;0,MOD($A342-'Recurring Schedule'!$F$9,'Recurring Schedule'!$N$9)=0,IF('Recurring Schedule'!$O$9&gt;0,AND(DAY($A342)=MIN(DAY('Recurring Schedule'!$F$9),DAY(EOMONTH($A342,0))),MOD((YEAR($A342)-YEAR('Recurring Schedule'!$F$9))*12+MONTH($A342)-MONTH('Recurring Schedule'!$F$9),'Recurring Schedule'!$O$9)=0),IF('Recurring Schedule'!$E$9="Weekdays",WEEKDAY($A342,2)&lt;=5,$A342='Recurring Schedule'!$F$9))),4,""))))</f>
        <v/>
      </c>
      <c r="F342">
        <f>IF('Recurring Schedule'!$C$10="","",IF('Recurring Schedule'!$F$10="","",IF(OR($A342&lt;'Recurring Schedule'!$F$10,$A342&gt;'Recurring Schedule'!$P$10),"",IF(IF('Recurring Schedule'!$N$10&gt;0,MOD($A342-'Recurring Schedule'!$F$10,'Recurring Schedule'!$N$10)=0,IF('Recurring Schedule'!$O$10&gt;0,AND(DAY($A342)=MIN(DAY('Recurring Schedule'!$F$10),DAY(EOMONTH($A342,0))),MOD((YEAR($A342)-YEAR('Recurring Schedule'!$F$10))*12+MONTH($A342)-MONTH('Recurring Schedule'!$F$10),'Recurring Schedule'!$O$10)=0),IF('Recurring Schedule'!$E$10="Weekdays",WEEKDAY($A342,2)&lt;=5,$A342='Recurring Schedule'!$F$10))),5,""))))</f>
        <v/>
      </c>
      <c r="G342">
        <f>IF('Recurring Schedule'!$C$11="","",IF('Recurring Schedule'!$F$11="","",IF(OR($A342&lt;'Recurring Schedule'!$F$11,$A342&gt;'Recurring Schedule'!$P$11),"",IF(IF('Recurring Schedule'!$N$11&gt;0,MOD($A342-'Recurring Schedule'!$F$11,'Recurring Schedule'!$N$11)=0,IF('Recurring Schedule'!$O$11&gt;0,AND(DAY($A342)=MIN(DAY('Recurring Schedule'!$F$11),DAY(EOMONTH($A342,0))),MOD((YEAR($A342)-YEAR('Recurring Schedule'!$F$11))*12+MONTH($A342)-MONTH('Recurring Schedule'!$F$11),'Recurring Schedule'!$O$11)=0),IF('Recurring Schedule'!$E$11="Weekdays",WEEKDAY($A342,2)&lt;=5,$A342='Recurring Schedule'!$F$11))),6,""))))</f>
        <v/>
      </c>
      <c r="H342">
        <f>IF('Recurring Schedule'!$C$12="","",IF('Recurring Schedule'!$F$12="","",IF(OR($A342&lt;'Recurring Schedule'!$F$12,$A342&gt;'Recurring Schedule'!$P$12),"",IF(IF('Recurring Schedule'!$N$12&gt;0,MOD($A342-'Recurring Schedule'!$F$12,'Recurring Schedule'!$N$12)=0,IF('Recurring Schedule'!$O$12&gt;0,AND(DAY($A342)=MIN(DAY('Recurring Schedule'!$F$12),DAY(EOMONTH($A342,0))),MOD((YEAR($A342)-YEAR('Recurring Schedule'!$F$12))*12+MONTH($A342)-MONTH('Recurring Schedule'!$F$12),'Recurring Schedule'!$O$12)=0),IF('Recurring Schedule'!$E$12="Weekdays",WEEKDAY($A342,2)&lt;=5,$A342='Recurring Schedule'!$F$12))),7,""))))</f>
        <v/>
      </c>
      <c r="I342">
        <f>IF('Recurring Schedule'!$C$13="","",IF('Recurring Schedule'!$F$13="","",IF(OR($A342&lt;'Recurring Schedule'!$F$13,$A342&gt;'Recurring Schedule'!$P$13),"",IF(IF('Recurring Schedule'!$N$13&gt;0,MOD($A342-'Recurring Schedule'!$F$13,'Recurring Schedule'!$N$13)=0,IF('Recurring Schedule'!$O$13&gt;0,AND(DAY($A342)=MIN(DAY('Recurring Schedule'!$F$13),DAY(EOMONTH($A342,0))),MOD((YEAR($A342)-YEAR('Recurring Schedule'!$F$13))*12+MONTH($A342)-MONTH('Recurring Schedule'!$F$13),'Recurring Schedule'!$O$13)=0),IF('Recurring Schedule'!$E$13="Weekdays",WEEKDAY($A342,2)&lt;=5,$A342='Recurring Schedule'!$F$13))),8,""))))</f>
        <v/>
      </c>
      <c r="J342">
        <f>IF('Recurring Schedule'!$C$14="","",IF('Recurring Schedule'!$F$14="","",IF(OR($A342&lt;'Recurring Schedule'!$F$14,$A342&gt;'Recurring Schedule'!$P$14),"",IF(IF('Recurring Schedule'!$N$14&gt;0,MOD($A342-'Recurring Schedule'!$F$14,'Recurring Schedule'!$N$14)=0,IF('Recurring Schedule'!$O$14&gt;0,AND(DAY($A342)=MIN(DAY('Recurring Schedule'!$F$14),DAY(EOMONTH($A342,0))),MOD((YEAR($A342)-YEAR('Recurring Schedule'!$F$14))*12+MONTH($A342)-MONTH('Recurring Schedule'!$F$14),'Recurring Schedule'!$O$14)=0),IF('Recurring Schedule'!$E$14="Weekdays",WEEKDAY($A342,2)&lt;=5,$A342='Recurring Schedule'!$F$14))),9,""))))</f>
        <v/>
      </c>
      <c r="K342">
        <f>IF('Recurring Schedule'!$C$15="","",IF('Recurring Schedule'!$F$15="","",IF(OR($A342&lt;'Recurring Schedule'!$F$15,$A342&gt;'Recurring Schedule'!$P$15),"",IF(IF('Recurring Schedule'!$N$15&gt;0,MOD($A342-'Recurring Schedule'!$F$15,'Recurring Schedule'!$N$15)=0,IF('Recurring Schedule'!$O$15&gt;0,AND(DAY($A342)=MIN(DAY('Recurring Schedule'!$F$15),DAY(EOMONTH($A342,0))),MOD((YEAR($A342)-YEAR('Recurring Schedule'!$F$15))*12+MONTH($A342)-MONTH('Recurring Schedule'!$F$15),'Recurring Schedule'!$O$15)=0),IF('Recurring Schedule'!$E$15="Weekdays",WEEKDAY($A342,2)&lt;=5,$A342='Recurring Schedule'!$F$15))),10,""))))</f>
        <v/>
      </c>
      <c r="L342">
        <f>IF('Recurring Schedule'!$C$16="","",IF('Recurring Schedule'!$F$16="","",IF(OR($A342&lt;'Recurring Schedule'!$F$16,$A342&gt;'Recurring Schedule'!$P$16),"",IF(IF('Recurring Schedule'!$N$16&gt;0,MOD($A342-'Recurring Schedule'!$F$16,'Recurring Schedule'!$N$16)=0,IF('Recurring Schedule'!$O$16&gt;0,AND(DAY($A342)=MIN(DAY('Recurring Schedule'!$F$16),DAY(EOMONTH($A342,0))),MOD((YEAR($A342)-YEAR('Recurring Schedule'!$F$16))*12+MONTH($A342)-MONTH('Recurring Schedule'!$F$16),'Recurring Schedule'!$O$16)=0),IF('Recurring Schedule'!$E$16="Weekdays",WEEKDAY($A342,2)&lt;=5,$A342='Recurring Schedule'!$F$16))),11,""))))</f>
        <v/>
      </c>
      <c r="M342">
        <f>IF('Recurring Schedule'!$C$17="","",IF('Recurring Schedule'!$F$17="","",IF(OR($A342&lt;'Recurring Schedule'!$F$17,$A342&gt;'Recurring Schedule'!$P$17),"",IF(IF('Recurring Schedule'!$N$17&gt;0,MOD($A342-'Recurring Schedule'!$F$17,'Recurring Schedule'!$N$17)=0,IF('Recurring Schedule'!$O$17&gt;0,AND(DAY($A342)=MIN(DAY('Recurring Schedule'!$F$17),DAY(EOMONTH($A342,0))),MOD((YEAR($A342)-YEAR('Recurring Schedule'!$F$17))*12+MONTH($A342)-MONTH('Recurring Schedule'!$F$17),'Recurring Schedule'!$O$17)=0),IF('Recurring Schedule'!$E$17="Weekdays",WEEKDAY($A342,2)&lt;=5,$A342='Recurring Schedule'!$F$17))),12,""))))</f>
        <v/>
      </c>
      <c r="N342">
        <f>IF('Recurring Schedule'!$C$18="","",IF('Recurring Schedule'!$F$18="","",IF(OR($A342&lt;'Recurring Schedule'!$F$18,$A342&gt;'Recurring Schedule'!$P$18),"",IF(IF('Recurring Schedule'!$N$18&gt;0,MOD($A342-'Recurring Schedule'!$F$18,'Recurring Schedule'!$N$18)=0,IF('Recurring Schedule'!$O$18&gt;0,AND(DAY($A342)=MIN(DAY('Recurring Schedule'!$F$18),DAY(EOMONTH($A342,0))),MOD((YEAR($A342)-YEAR('Recurring Schedule'!$F$18))*12+MONTH($A342)-MONTH('Recurring Schedule'!$F$18),'Recurring Schedule'!$O$18)=0),IF('Recurring Schedule'!$E$18="Weekdays",WEEKDAY($A342,2)&lt;=5,$A342='Recurring Schedule'!$F$18))),13,""))))</f>
        <v/>
      </c>
      <c r="O342">
        <f>IF('Recurring Schedule'!$C$19="","",IF('Recurring Schedule'!$F$19="","",IF(OR($A342&lt;'Recurring Schedule'!$F$19,$A342&gt;'Recurring Schedule'!$P$19),"",IF(IF('Recurring Schedule'!$N$19&gt;0,MOD($A342-'Recurring Schedule'!$F$19,'Recurring Schedule'!$N$19)=0,IF('Recurring Schedule'!$O$19&gt;0,AND(DAY($A342)=MIN(DAY('Recurring Schedule'!$F$19),DAY(EOMONTH($A342,0))),MOD((YEAR($A342)-YEAR('Recurring Schedule'!$F$19))*12+MONTH($A342)-MONTH('Recurring Schedule'!$F$19),'Recurring Schedule'!$O$19)=0),IF('Recurring Schedule'!$E$19="Weekdays",WEEKDAY($A342,2)&lt;=5,$A342='Recurring Schedule'!$F$19))),14,""))))</f>
        <v/>
      </c>
      <c r="P342">
        <f>IF('Recurring Schedule'!$C$20="","",IF('Recurring Schedule'!$F$20="","",IF(OR($A342&lt;'Recurring Schedule'!$F$20,$A342&gt;'Recurring Schedule'!$P$20),"",IF(IF('Recurring Schedule'!$N$20&gt;0,MOD($A342-'Recurring Schedule'!$F$20,'Recurring Schedule'!$N$20)=0,IF('Recurring Schedule'!$O$20&gt;0,AND(DAY($A342)=MIN(DAY('Recurring Schedule'!$F$20),DAY(EOMONTH($A342,0))),MOD((YEAR($A342)-YEAR('Recurring Schedule'!$F$20))*12+MONTH($A342)-MONTH('Recurring Schedule'!$F$20),'Recurring Schedule'!$O$20)=0),IF('Recurring Schedule'!$E$20="Weekdays",WEEKDAY($A342,2)&lt;=5,$A342='Recurring Schedule'!$F$20))),15,""))))</f>
        <v/>
      </c>
      <c r="Q342">
        <f>IF('Recurring Schedule'!$C$21="","",IF('Recurring Schedule'!$F$21="","",IF(OR($A342&lt;'Recurring Schedule'!$F$21,$A342&gt;'Recurring Schedule'!$P$21),"",IF(IF('Recurring Schedule'!$N$21&gt;0,MOD($A342-'Recurring Schedule'!$F$21,'Recurring Schedule'!$N$21)=0,IF('Recurring Schedule'!$O$21&gt;0,AND(DAY($A342)=MIN(DAY('Recurring Schedule'!$F$21),DAY(EOMONTH($A342,0))),MOD((YEAR($A342)-YEAR('Recurring Schedule'!$F$21))*12+MONTH($A342)-MONTH('Recurring Schedule'!$F$21),'Recurring Schedule'!$O$21)=0),IF('Recurring Schedule'!$E$21="Weekdays",WEEKDAY($A342,2)&lt;=5,$A342='Recurring Schedule'!$F$21))),16,""))))</f>
        <v/>
      </c>
      <c r="R342">
        <f>IF('Recurring Schedule'!$C$22="","",IF('Recurring Schedule'!$F$22="","",IF(OR($A342&lt;'Recurring Schedule'!$F$22,$A342&gt;'Recurring Schedule'!$P$22),"",IF(IF('Recurring Schedule'!$N$22&gt;0,MOD($A342-'Recurring Schedule'!$F$22,'Recurring Schedule'!$N$22)=0,IF('Recurring Schedule'!$O$22&gt;0,AND(DAY($A342)=MIN(DAY('Recurring Schedule'!$F$22),DAY(EOMONTH($A342,0))),MOD((YEAR($A342)-YEAR('Recurring Schedule'!$F$22))*12+MONTH($A342)-MONTH('Recurring Schedule'!$F$22),'Recurring Schedule'!$O$22)=0),IF('Recurring Schedule'!$E$22="Weekdays",WEEKDAY($A342,2)&lt;=5,$A342='Recurring Schedule'!$F$22))),17,""))))</f>
        <v/>
      </c>
      <c r="S342">
        <f>IF('Recurring Schedule'!$C$23="","",IF('Recurring Schedule'!$F$23="","",IF(OR($A342&lt;'Recurring Schedule'!$F$23,$A342&gt;'Recurring Schedule'!$P$23),"",IF(IF('Recurring Schedule'!$N$23&gt;0,MOD($A342-'Recurring Schedule'!$F$23,'Recurring Schedule'!$N$23)=0,IF('Recurring Schedule'!$O$23&gt;0,AND(DAY($A342)=MIN(DAY('Recurring Schedule'!$F$23),DAY(EOMONTH($A342,0))),MOD((YEAR($A342)-YEAR('Recurring Schedule'!$F$23))*12+MONTH($A342)-MONTH('Recurring Schedule'!$F$23),'Recurring Schedule'!$O$23)=0),IF('Recurring Schedule'!$E$23="Weekdays",WEEKDAY($A342,2)&lt;=5,$A342='Recurring Schedule'!$F$23))),18,""))))</f>
        <v/>
      </c>
      <c r="T342">
        <f>IF('Recurring Schedule'!$C$24="","",IF('Recurring Schedule'!$F$24="","",IF(OR($A342&lt;'Recurring Schedule'!$F$24,$A342&gt;'Recurring Schedule'!$P$24),"",IF(IF('Recurring Schedule'!$N$24&gt;0,MOD($A342-'Recurring Schedule'!$F$24,'Recurring Schedule'!$N$24)=0,IF('Recurring Schedule'!$O$24&gt;0,AND(DAY($A342)=MIN(DAY('Recurring Schedule'!$F$24),DAY(EOMONTH($A342,0))),MOD((YEAR($A342)-YEAR('Recurring Schedule'!$F$24))*12+MONTH($A342)-MONTH('Recurring Schedule'!$F$24),'Recurring Schedule'!$O$24)=0),IF('Recurring Schedule'!$E$24="Weekdays",WEEKDAY($A342,2)&lt;=5,$A342='Recurring Schedule'!$F$24))),19,""))))</f>
        <v/>
      </c>
      <c r="U342">
        <f>IF('Recurring Schedule'!$C$25="","",IF('Recurring Schedule'!$F$25="","",IF(OR($A342&lt;'Recurring Schedule'!$F$25,$A342&gt;'Recurring Schedule'!$P$25),"",IF(IF('Recurring Schedule'!$N$25&gt;0,MOD($A342-'Recurring Schedule'!$F$25,'Recurring Schedule'!$N$25)=0,IF('Recurring Schedule'!$O$25&gt;0,AND(DAY($A342)=MIN(DAY('Recurring Schedule'!$F$25),DAY(EOMONTH($A342,0))),MOD((YEAR($A342)-YEAR('Recurring Schedule'!$F$25))*12+MONTH($A342)-MONTH('Recurring Schedule'!$F$25),'Recurring Schedule'!$O$25)=0),IF('Recurring Schedule'!$E$25="Weekdays",WEEKDAY($A342,2)&lt;=5,$A342='Recurring Schedule'!$F$25))),20,""))))</f>
        <v/>
      </c>
      <c r="V342">
        <f>IF('Recurring Schedule'!$C$26="","",IF('Recurring Schedule'!$F$26="","",IF(OR($A342&lt;'Recurring Schedule'!$F$26,$A342&gt;'Recurring Schedule'!$P$26),"",IF(IF('Recurring Schedule'!$N$26&gt;0,MOD($A342-'Recurring Schedule'!$F$26,'Recurring Schedule'!$N$26)=0,IF('Recurring Schedule'!$O$26&gt;0,AND(DAY($A342)=MIN(DAY('Recurring Schedule'!$F$26),DAY(EOMONTH($A342,0))),MOD((YEAR($A342)-YEAR('Recurring Schedule'!$F$26))*12+MONTH($A342)-MONTH('Recurring Schedule'!$F$26),'Recurring Schedule'!$O$26)=0),IF('Recurring Schedule'!$E$26="Weekdays",WEEKDAY($A342,2)&lt;=5,$A342='Recurring Schedule'!$F$26))),21,""))))</f>
        <v/>
      </c>
      <c r="W342">
        <f>IF('Recurring Schedule'!$C$27="","",IF('Recurring Schedule'!$F$27="","",IF(OR($A342&lt;'Recurring Schedule'!$F$27,$A342&gt;'Recurring Schedule'!$P$27),"",IF(IF('Recurring Schedule'!$N$27&gt;0,MOD($A342-'Recurring Schedule'!$F$27,'Recurring Schedule'!$N$27)=0,IF('Recurring Schedule'!$O$27&gt;0,AND(DAY($A342)=MIN(DAY('Recurring Schedule'!$F$27),DAY(EOMONTH($A342,0))),MOD((YEAR($A342)-YEAR('Recurring Schedule'!$F$27))*12+MONTH($A342)-MONTH('Recurring Schedule'!$F$27),'Recurring Schedule'!$O$27)=0),IF('Recurring Schedule'!$E$27="Weekdays",WEEKDAY($A342,2)&lt;=5,$A342='Recurring Schedule'!$F$27))),22,""))))</f>
        <v/>
      </c>
      <c r="X342">
        <f>IF('Recurring Schedule'!$C$28="","",IF('Recurring Schedule'!$F$28="","",IF(OR($A342&lt;'Recurring Schedule'!$F$28,$A342&gt;'Recurring Schedule'!$P$28),"",IF(IF('Recurring Schedule'!$N$28&gt;0,MOD($A342-'Recurring Schedule'!$F$28,'Recurring Schedule'!$N$28)=0,IF('Recurring Schedule'!$O$28&gt;0,AND(DAY($A342)=MIN(DAY('Recurring Schedule'!$F$28),DAY(EOMONTH($A342,0))),MOD((YEAR($A342)-YEAR('Recurring Schedule'!$F$28))*12+MONTH($A342)-MONTH('Recurring Schedule'!$F$28),'Recurring Schedule'!$O$28)=0),IF('Recurring Schedule'!$E$28="Weekdays",WEEKDAY($A342,2)&lt;=5,$A342='Recurring Schedule'!$F$28))),23,""))))</f>
        <v/>
      </c>
      <c r="Y342">
        <f>IF('Recurring Schedule'!$C$29="","",IF('Recurring Schedule'!$F$29="","",IF(OR($A342&lt;'Recurring Schedule'!$F$29,$A342&gt;'Recurring Schedule'!$P$29),"",IF(IF('Recurring Schedule'!$N$29&gt;0,MOD($A342-'Recurring Schedule'!$F$29,'Recurring Schedule'!$N$29)=0,IF('Recurring Schedule'!$O$29&gt;0,AND(DAY($A342)=MIN(DAY('Recurring Schedule'!$F$29),DAY(EOMONTH($A342,0))),MOD((YEAR($A342)-YEAR('Recurring Schedule'!$F$29))*12+MONTH($A342)-MONTH('Recurring Schedule'!$F$29),'Recurring Schedule'!$O$29)=0),IF('Recurring Schedule'!$E$29="Weekdays",WEEKDAY($A342,2)&lt;=5,$A342='Recurring Schedule'!$F$29))),24,""))))</f>
        <v/>
      </c>
      <c r="Z342">
        <f>IF('Recurring Schedule'!$C$30="","",IF('Recurring Schedule'!$F$30="","",IF(OR($A342&lt;'Recurring Schedule'!$F$30,$A342&gt;'Recurring Schedule'!$P$30),"",IF(IF('Recurring Schedule'!$N$30&gt;0,MOD($A342-'Recurring Schedule'!$F$30,'Recurring Schedule'!$N$30)=0,IF('Recurring Schedule'!$O$30&gt;0,AND(DAY($A342)=MIN(DAY('Recurring Schedule'!$F$30),DAY(EOMONTH($A342,0))),MOD((YEAR($A342)-YEAR('Recurring Schedule'!$F$30))*12+MONTH($A342)-MONTH('Recurring Schedule'!$F$30),'Recurring Schedule'!$O$30)=0),IF('Recurring Schedule'!$E$30="Weekdays",WEEKDAY($A342,2)&lt;=5,$A342='Recurring Schedule'!$F$30))),25,""))))</f>
        <v/>
      </c>
      <c r="AA342">
        <f>IF('Recurring Schedule'!$C$31="","",IF('Recurring Schedule'!$F$31="","",IF(OR($A342&lt;'Recurring Schedule'!$F$31,$A342&gt;'Recurring Schedule'!$P$31),"",IF(IF('Recurring Schedule'!$N$31&gt;0,MOD($A342-'Recurring Schedule'!$F$31,'Recurring Schedule'!$N$31)=0,IF('Recurring Schedule'!$O$31&gt;0,AND(DAY($A342)=MIN(DAY('Recurring Schedule'!$F$31),DAY(EOMONTH($A342,0))),MOD((YEAR($A342)-YEAR('Recurring Schedule'!$F$31))*12+MONTH($A342)-MONTH('Recurring Schedule'!$F$31),'Recurring Schedule'!$O$31)=0),IF('Recurring Schedule'!$E$31="Weekdays",WEEKDAY($A342,2)&lt;=5,$A342='Recurring Schedule'!$F$31))),26,""))))</f>
        <v/>
      </c>
      <c r="AB342">
        <f>IF('Recurring Schedule'!$C$32="","",IF('Recurring Schedule'!$F$32="","",IF(OR($A342&lt;'Recurring Schedule'!$F$32,$A342&gt;'Recurring Schedule'!$P$32),"",IF(IF('Recurring Schedule'!$N$32&gt;0,MOD($A342-'Recurring Schedule'!$F$32,'Recurring Schedule'!$N$32)=0,IF('Recurring Schedule'!$O$32&gt;0,AND(DAY($A342)=MIN(DAY('Recurring Schedule'!$F$32),DAY(EOMONTH($A342,0))),MOD((YEAR($A342)-YEAR('Recurring Schedule'!$F$32))*12+MONTH($A342)-MONTH('Recurring Schedule'!$F$32),'Recurring Schedule'!$O$32)=0),IF('Recurring Schedule'!$E$32="Weekdays",WEEKDAY($A342,2)&lt;=5,$A342='Recurring Schedule'!$F$32))),27,""))))</f>
        <v/>
      </c>
      <c r="AC342">
        <f>IF('Recurring Schedule'!$C$33="","",IF('Recurring Schedule'!$F$33="","",IF(OR($A342&lt;'Recurring Schedule'!$F$33,$A342&gt;'Recurring Schedule'!$P$33),"",IF(IF('Recurring Schedule'!$N$33&gt;0,MOD($A342-'Recurring Schedule'!$F$33,'Recurring Schedule'!$N$33)=0,IF('Recurring Schedule'!$O$33&gt;0,AND(DAY($A342)=MIN(DAY('Recurring Schedule'!$F$33),DAY(EOMONTH($A342,0))),MOD((YEAR($A342)-YEAR('Recurring Schedule'!$F$33))*12+MONTH($A342)-MONTH('Recurring Schedule'!$F$33),'Recurring Schedule'!$O$33)=0),IF('Recurring Schedule'!$E$33="Weekdays",WEEKDAY($A342,2)&lt;=5,$A342='Recurring Schedule'!$F$33))),28,""))))</f>
        <v/>
      </c>
      <c r="AD342">
        <f>IF('Recurring Schedule'!$C$34="","",IF('Recurring Schedule'!$F$34="","",IF(OR($A342&lt;'Recurring Schedule'!$F$34,$A342&gt;'Recurring Schedule'!$P$34),"",IF(IF('Recurring Schedule'!$N$34&gt;0,MOD($A342-'Recurring Schedule'!$F$34,'Recurring Schedule'!$N$34)=0,IF('Recurring Schedule'!$O$34&gt;0,AND(DAY($A342)=MIN(DAY('Recurring Schedule'!$F$34),DAY(EOMONTH($A342,0))),MOD((YEAR($A342)-YEAR('Recurring Schedule'!$F$34))*12+MONTH($A342)-MONTH('Recurring Schedule'!$F$34),'Recurring Schedule'!$O$34)=0),IF('Recurring Schedule'!$E$34="Weekdays",WEEKDAY($A342,2)&lt;=5,$A342='Recurring Schedule'!$F$34))),29,""))))</f>
        <v/>
      </c>
      <c r="AE342">
        <f>IF('Recurring Schedule'!$C$35="","",IF('Recurring Schedule'!$F$35="","",IF(OR($A342&lt;'Recurring Schedule'!$F$35,$A342&gt;'Recurring Schedule'!$P$35),"",IF(IF('Recurring Schedule'!$N$35&gt;0,MOD($A342-'Recurring Schedule'!$F$35,'Recurring Schedule'!$N$35)=0,IF('Recurring Schedule'!$O$35&gt;0,AND(DAY($A342)=MIN(DAY('Recurring Schedule'!$F$35),DAY(EOMONTH($A342,0))),MOD((YEAR($A342)-YEAR('Recurring Schedule'!$F$35))*12+MONTH($A342)-MONTH('Recurring Schedule'!$F$35),'Recurring Schedule'!$O$35)=0),IF('Recurring Schedule'!$E$35="Weekdays",WEEKDAY($A342,2)&lt;=5,$A342='Recurring Schedule'!$F$35))),30,""))))</f>
        <v/>
      </c>
      <c r="AF342">
        <f>IF('Recurring Schedule'!$C$36="","",IF('Recurring Schedule'!$F$36="","",IF(OR($A342&lt;'Recurring Schedule'!$F$36,$A342&gt;'Recurring Schedule'!$P$36),"",IF(IF('Recurring Schedule'!$N$36&gt;0,MOD($A342-'Recurring Schedule'!$F$36,'Recurring Schedule'!$N$36)=0,IF('Recurring Schedule'!$O$36&gt;0,AND(DAY($A342)=MIN(DAY('Recurring Schedule'!$F$36),DAY(EOMONTH($A342,0))),MOD((YEAR($A342)-YEAR('Recurring Schedule'!$F$36))*12+MONTH($A342)-MONTH('Recurring Schedule'!$F$36),'Recurring Schedule'!$O$36)=0),IF('Recurring Schedule'!$E$36="Weekdays",WEEKDAY($A342,2)&lt;=5,$A342='Recurring Schedule'!$F$36))),31,""))))</f>
        <v/>
      </c>
      <c r="AG342">
        <f>IF('Recurring Schedule'!$C$37="","",IF('Recurring Schedule'!$F$37="","",IF(OR($A342&lt;'Recurring Schedule'!$F$37,$A342&gt;'Recurring Schedule'!$P$37),"",IF(IF('Recurring Schedule'!$N$37&gt;0,MOD($A342-'Recurring Schedule'!$F$37,'Recurring Schedule'!$N$37)=0,IF('Recurring Schedule'!$O$37&gt;0,AND(DAY($A342)=MIN(DAY('Recurring Schedule'!$F$37),DAY(EOMONTH($A342,0))),MOD((YEAR($A342)-YEAR('Recurring Schedule'!$F$37))*12+MONTH($A342)-MONTH('Recurring Schedule'!$F$37),'Recurring Schedule'!$O$37)=0),IF('Recurring Schedule'!$E$37="Weekdays",WEEKDAY($A342,2)&lt;=5,$A342='Recurring Schedule'!$F$37))),32,""))))</f>
        <v/>
      </c>
      <c r="AH342">
        <f>IF('Recurring Schedule'!$C$38="","",IF('Recurring Schedule'!$F$38="","",IF(OR($A342&lt;'Recurring Schedule'!$F$38,$A342&gt;'Recurring Schedule'!$P$38),"",IF(IF('Recurring Schedule'!$N$38&gt;0,MOD($A342-'Recurring Schedule'!$F$38,'Recurring Schedule'!$N$38)=0,IF('Recurring Schedule'!$O$38&gt;0,AND(DAY($A342)=MIN(DAY('Recurring Schedule'!$F$38),DAY(EOMONTH($A342,0))),MOD((YEAR($A342)-YEAR('Recurring Schedule'!$F$38))*12+MONTH($A342)-MONTH('Recurring Schedule'!$F$38),'Recurring Schedule'!$O$38)=0),IF('Recurring Schedule'!$E$38="Weekdays",WEEKDAY($A342,2)&lt;=5,$A342='Recurring Schedule'!$F$38))),33,""))))</f>
        <v/>
      </c>
      <c r="AI342">
        <f>IF('Recurring Schedule'!$C$39="","",IF('Recurring Schedule'!$F$39="","",IF(OR($A342&lt;'Recurring Schedule'!$F$39,$A342&gt;'Recurring Schedule'!$P$39),"",IF(IF('Recurring Schedule'!$N$39&gt;0,MOD($A342-'Recurring Schedule'!$F$39,'Recurring Schedule'!$N$39)=0,IF('Recurring Schedule'!$O$39&gt;0,AND(DAY($A342)=MIN(DAY('Recurring Schedule'!$F$39),DAY(EOMONTH($A342,0))),MOD((YEAR($A342)-YEAR('Recurring Schedule'!$F$39))*12+MONTH($A342)-MONTH('Recurring Schedule'!$F$39),'Recurring Schedule'!$O$39)=0),IF('Recurring Schedule'!$E$39="Weekdays",WEEKDAY($A342,2)&lt;=5,$A342='Recurring Schedule'!$F$39))),34,""))))</f>
        <v/>
      </c>
      <c r="AJ342">
        <f>IF('Recurring Schedule'!$C$40="","",IF('Recurring Schedule'!$F$40="","",IF(OR($A342&lt;'Recurring Schedule'!$F$40,$A342&gt;'Recurring Schedule'!$P$40),"",IF(IF('Recurring Schedule'!$N$40&gt;0,MOD($A342-'Recurring Schedule'!$F$40,'Recurring Schedule'!$N$40)=0,IF('Recurring Schedule'!$O$40&gt;0,AND(DAY($A342)=MIN(DAY('Recurring Schedule'!$F$40),DAY(EOMONTH($A342,0))),MOD((YEAR($A342)-YEAR('Recurring Schedule'!$F$40))*12+MONTH($A342)-MONTH('Recurring Schedule'!$F$40),'Recurring Schedule'!$O$40)=0),IF('Recurring Schedule'!$E$40="Weekdays",WEEKDAY($A342,2)&lt;=5,$A342='Recurring Schedule'!$F$40))),35,""))))</f>
        <v/>
      </c>
      <c r="AK342">
        <f>IF('Recurring Schedule'!$C$41="","",IF('Recurring Schedule'!$F$41="","",IF(OR($A342&lt;'Recurring Schedule'!$F$41,$A342&gt;'Recurring Schedule'!$P$41),"",IF(IF('Recurring Schedule'!$N$41&gt;0,MOD($A342-'Recurring Schedule'!$F$41,'Recurring Schedule'!$N$41)=0,IF('Recurring Schedule'!$O$41&gt;0,AND(DAY($A342)=MIN(DAY('Recurring Schedule'!$F$41),DAY(EOMONTH($A342,0))),MOD((YEAR($A342)-YEAR('Recurring Schedule'!$F$41))*12+MONTH($A342)-MONTH('Recurring Schedule'!$F$41),'Recurring Schedule'!$O$41)=0),IF('Recurring Schedule'!$E$41="Weekdays",WEEKDAY($A342,2)&lt;=5,$A342='Recurring Schedule'!$F$41))),36,""))))</f>
        <v/>
      </c>
      <c r="AL342">
        <f>IF('Recurring Schedule'!$C$42="","",IF('Recurring Schedule'!$F$42="","",IF(OR($A342&lt;'Recurring Schedule'!$F$42,$A342&gt;'Recurring Schedule'!$P$42),"",IF(IF('Recurring Schedule'!$N$42&gt;0,MOD($A342-'Recurring Schedule'!$F$42,'Recurring Schedule'!$N$42)=0,IF('Recurring Schedule'!$O$42&gt;0,AND(DAY($A342)=MIN(DAY('Recurring Schedule'!$F$42),DAY(EOMONTH($A342,0))),MOD((YEAR($A342)-YEAR('Recurring Schedule'!$F$42))*12+MONTH($A342)-MONTH('Recurring Schedule'!$F$42),'Recurring Schedule'!$O$42)=0),IF('Recurring Schedule'!$E$42="Weekdays",WEEKDAY($A342,2)&lt;=5,$A342='Recurring Schedule'!$F$42))),37,""))))</f>
        <v/>
      </c>
      <c r="AM342">
        <f>IF('Recurring Schedule'!$C$43="","",IF('Recurring Schedule'!$F$43="","",IF(OR($A342&lt;'Recurring Schedule'!$F$43,$A342&gt;'Recurring Schedule'!$P$43),"",IF(IF('Recurring Schedule'!$N$43&gt;0,MOD($A342-'Recurring Schedule'!$F$43,'Recurring Schedule'!$N$43)=0,IF('Recurring Schedule'!$O$43&gt;0,AND(DAY($A342)=MIN(DAY('Recurring Schedule'!$F$43),DAY(EOMONTH($A342,0))),MOD((YEAR($A342)-YEAR('Recurring Schedule'!$F$43))*12+MONTH($A342)-MONTH('Recurring Schedule'!$F$43),'Recurring Schedule'!$O$43)=0),IF('Recurring Schedule'!$E$43="Weekdays",WEEKDAY($A342,2)&lt;=5,$A342='Recurring Schedule'!$F$43))),38,""))))</f>
        <v/>
      </c>
      <c r="AN342">
        <f>IF('Recurring Schedule'!$C$44="","",IF('Recurring Schedule'!$F$44="","",IF(OR($A342&lt;'Recurring Schedule'!$F$44,$A342&gt;'Recurring Schedule'!$P$44),"",IF(IF('Recurring Schedule'!$N$44&gt;0,MOD($A342-'Recurring Schedule'!$F$44,'Recurring Schedule'!$N$44)=0,IF('Recurring Schedule'!$O$44&gt;0,AND(DAY($A342)=MIN(DAY('Recurring Schedule'!$F$44),DAY(EOMONTH($A342,0))),MOD((YEAR($A342)-YEAR('Recurring Schedule'!$F$44))*12+MONTH($A342)-MONTH('Recurring Schedule'!$F$44),'Recurring Schedule'!$O$44)=0),IF('Recurring Schedule'!$E$44="Weekdays",WEEKDAY($A342,2)&lt;=5,$A342='Recurring Schedule'!$F$44))),39,""))))</f>
        <v/>
      </c>
      <c r="AO342">
        <f>IF('Recurring Schedule'!$C$45="","",IF('Recurring Schedule'!$F$45="","",IF(OR($A342&lt;'Recurring Schedule'!$F$45,$A342&gt;'Recurring Schedule'!$P$45),"",IF(IF('Recurring Schedule'!$N$45&gt;0,MOD($A342-'Recurring Schedule'!$F$45,'Recurring Schedule'!$N$45)=0,IF('Recurring Schedule'!$O$45&gt;0,AND(DAY($A342)=MIN(DAY('Recurring Schedule'!$F$45),DAY(EOMONTH($A342,0))),MOD((YEAR($A342)-YEAR('Recurring Schedule'!$F$45))*12+MONTH($A342)-MONTH('Recurring Schedule'!$F$45),'Recurring Schedule'!$O$45)=0),IF('Recurring Schedule'!$E$45="Weekdays",WEEKDAY($A342,2)&lt;=5,$A342='Recurring Schedule'!$F$45))),40,""))))</f>
        <v/>
      </c>
      <c r="AP342">
        <f>COUNT(B342:AO342)</f>
        <v/>
      </c>
      <c r="AQ342">
        <f>AQ341+AP341</f>
        <v/>
      </c>
      <c r="AS342" t="inlineStr">
        <is>
          <t>R</t>
        </is>
      </c>
      <c r="AT342" t="n">
        <v>346</v>
      </c>
      <c r="AU342">
        <f>'Recurring Log'!C346&amp;""</f>
        <v/>
      </c>
      <c r="AV342">
        <f>'Recurring Log'!D346&amp;""</f>
        <v/>
      </c>
      <c r="AW342">
        <f>IF('Recurring Log'!E346="","",'Recurring Log'!E346)</f>
        <v/>
      </c>
      <c r="AX342">
        <f>IF('Recurring Log'!G346="","",'Recurring Log'!G346)</f>
        <v/>
      </c>
      <c r="AY342">
        <f>IF('Recurring Log'!H346="","",'Recurring Log'!H346)</f>
        <v/>
      </c>
      <c r="AZ342">
        <f>IF(AU342="","",IF('Recurring Log'!J346="","Not Started",'Recurring Log'!J346))</f>
        <v/>
      </c>
      <c r="BA342">
        <f>'Recurring Log'!L346&amp;""</f>
        <v/>
      </c>
      <c r="BB342">
        <f>'Recurring Log'!M346&amp;""</f>
        <v/>
      </c>
      <c r="BC342">
        <f>'Recurring Log'!N346&amp;""</f>
        <v/>
      </c>
      <c r="BD342">
        <f>'Recurring Log'!O346&amp;""</f>
        <v/>
      </c>
      <c r="BE342">
        <f>IF('Recurring Log'!K346="","",'Recurring Log'!K346)</f>
        <v/>
      </c>
      <c r="BF342">
        <f>IFERROR(MATCH(BA342,Setup!$L$6:$L$9,0),5)</f>
        <v/>
      </c>
      <c r="BG342">
        <f>IF(OR(AZ342="Done",AZ342="Cancelled"),1,0)</f>
        <v/>
      </c>
      <c r="BH342">
        <f>IF(AND(AU342&lt;&gt;"",ISNUMBER(AW342)),1,0)</f>
        <v/>
      </c>
      <c r="BI342">
        <f>IF(BH342=0,0,IF(AND(AW342&gt;='Tasks Filter'!$F$3,AW342&lt;='Tasks Filter'!$F$4,OR('Tasks Filter'!$I$3="",ISNUMBER(SEARCH('Tasks Filter'!$I$3,AU342))),OR('Tasks Filter'!$I$4="",BF342=IFERROR(MATCH('Tasks Filter'!$I$4,Setup!$L$6:$L$9,0),0)),OR('Tasks Filter'!$I$5="Both",AND('Tasks Filter'!$I$5="Yes",BB342="✓"),AND('Tasks Filter'!$I$5="No",BB342&lt;&gt;"✓")),OR('Tasks Filter'!$L$3="",AV342='Tasks Filter'!$L$3),OR('Tasks Filter'!$L$4="",AZ342='Tasks Filter'!$L$4),OR('Tasks Filter'!$L$5="",BC342='Tasks Filter'!$L$5),OR('Tasks Filter'!$O$3="",BD342='Tasks Filter'!$O$3),OR('Tasks Filter'!$O$4="Yes",BG342=0)),1,0))</f>
        <v/>
      </c>
      <c r="BJ342">
        <f>IF(BH342=0,"",IF('Tasks Filter'!$F$6="Descending",-1,1)*CHOOSE(MATCH('Tasks Filter'!$F$5,Lists!$G$2:$G$6,0),AW342,BF342,IFERROR(MATCH(AV342,Setup!$F$6:$F$15,0),99),IFERROR(MATCH(BC342,Setup!$H$6:$H$15,0),99),IFERROR(MATCH(AZ342,Setup!$J$6:$J$11,0),99))*1E+9+(AW342-40000)*10000+341)</f>
        <v/>
      </c>
      <c r="BK342">
        <f>IF(BI342=1,BJ342,"")</f>
        <v/>
      </c>
      <c r="BL342">
        <f>IF(AND(BH342=1,BG342=0,N(AW342)&lt;Setup!$D$7),(AW342-40000)*10000+341,"")</f>
        <v/>
      </c>
      <c r="BM342">
        <f>IF(AND(BH342=1,AZ342&lt;&gt;"Cancelled",N(AW342)&gt;=Dashboard!$AB$3,N(AW342)&lt;=Dashboard!$AB$3+6),(AW342-40000)*100000+BF342*10000+341,"")</f>
        <v/>
      </c>
      <c r="BN342">
        <f>IF(AND(BH342=1,AZ342&lt;&gt;"Cancelled"),BF342*10000+341,"")</f>
        <v/>
      </c>
    </row>
    <row r="343">
      <c r="A343">
        <f>Setup!$D$5+341</f>
        <v/>
      </c>
      <c r="B343">
        <f>IF('Recurring Schedule'!$C$6="","",IF('Recurring Schedule'!$F$6="","",IF(OR($A343&lt;'Recurring Schedule'!$F$6,$A343&gt;'Recurring Schedule'!$P$6),"",IF(IF('Recurring Schedule'!$N$6&gt;0,MOD($A343-'Recurring Schedule'!$F$6,'Recurring Schedule'!$N$6)=0,IF('Recurring Schedule'!$O$6&gt;0,AND(DAY($A343)=MIN(DAY('Recurring Schedule'!$F$6),DAY(EOMONTH($A343,0))),MOD((YEAR($A343)-YEAR('Recurring Schedule'!$F$6))*12+MONTH($A343)-MONTH('Recurring Schedule'!$F$6),'Recurring Schedule'!$O$6)=0),IF('Recurring Schedule'!$E$6="Weekdays",WEEKDAY($A343,2)&lt;=5,$A343='Recurring Schedule'!$F$6))),1,""))))</f>
        <v/>
      </c>
      <c r="C343">
        <f>IF('Recurring Schedule'!$C$7="","",IF('Recurring Schedule'!$F$7="","",IF(OR($A343&lt;'Recurring Schedule'!$F$7,$A343&gt;'Recurring Schedule'!$P$7),"",IF(IF('Recurring Schedule'!$N$7&gt;0,MOD($A343-'Recurring Schedule'!$F$7,'Recurring Schedule'!$N$7)=0,IF('Recurring Schedule'!$O$7&gt;0,AND(DAY($A343)=MIN(DAY('Recurring Schedule'!$F$7),DAY(EOMONTH($A343,0))),MOD((YEAR($A343)-YEAR('Recurring Schedule'!$F$7))*12+MONTH($A343)-MONTH('Recurring Schedule'!$F$7),'Recurring Schedule'!$O$7)=0),IF('Recurring Schedule'!$E$7="Weekdays",WEEKDAY($A343,2)&lt;=5,$A343='Recurring Schedule'!$F$7))),2,""))))</f>
        <v/>
      </c>
      <c r="D343">
        <f>IF('Recurring Schedule'!$C$8="","",IF('Recurring Schedule'!$F$8="","",IF(OR($A343&lt;'Recurring Schedule'!$F$8,$A343&gt;'Recurring Schedule'!$P$8),"",IF(IF('Recurring Schedule'!$N$8&gt;0,MOD($A343-'Recurring Schedule'!$F$8,'Recurring Schedule'!$N$8)=0,IF('Recurring Schedule'!$O$8&gt;0,AND(DAY($A343)=MIN(DAY('Recurring Schedule'!$F$8),DAY(EOMONTH($A343,0))),MOD((YEAR($A343)-YEAR('Recurring Schedule'!$F$8))*12+MONTH($A343)-MONTH('Recurring Schedule'!$F$8),'Recurring Schedule'!$O$8)=0),IF('Recurring Schedule'!$E$8="Weekdays",WEEKDAY($A343,2)&lt;=5,$A343='Recurring Schedule'!$F$8))),3,""))))</f>
        <v/>
      </c>
      <c r="E343">
        <f>IF('Recurring Schedule'!$C$9="","",IF('Recurring Schedule'!$F$9="","",IF(OR($A343&lt;'Recurring Schedule'!$F$9,$A343&gt;'Recurring Schedule'!$P$9),"",IF(IF('Recurring Schedule'!$N$9&gt;0,MOD($A343-'Recurring Schedule'!$F$9,'Recurring Schedule'!$N$9)=0,IF('Recurring Schedule'!$O$9&gt;0,AND(DAY($A343)=MIN(DAY('Recurring Schedule'!$F$9),DAY(EOMONTH($A343,0))),MOD((YEAR($A343)-YEAR('Recurring Schedule'!$F$9))*12+MONTH($A343)-MONTH('Recurring Schedule'!$F$9),'Recurring Schedule'!$O$9)=0),IF('Recurring Schedule'!$E$9="Weekdays",WEEKDAY($A343,2)&lt;=5,$A343='Recurring Schedule'!$F$9))),4,""))))</f>
        <v/>
      </c>
      <c r="F343">
        <f>IF('Recurring Schedule'!$C$10="","",IF('Recurring Schedule'!$F$10="","",IF(OR($A343&lt;'Recurring Schedule'!$F$10,$A343&gt;'Recurring Schedule'!$P$10),"",IF(IF('Recurring Schedule'!$N$10&gt;0,MOD($A343-'Recurring Schedule'!$F$10,'Recurring Schedule'!$N$10)=0,IF('Recurring Schedule'!$O$10&gt;0,AND(DAY($A343)=MIN(DAY('Recurring Schedule'!$F$10),DAY(EOMONTH($A343,0))),MOD((YEAR($A343)-YEAR('Recurring Schedule'!$F$10))*12+MONTH($A343)-MONTH('Recurring Schedule'!$F$10),'Recurring Schedule'!$O$10)=0),IF('Recurring Schedule'!$E$10="Weekdays",WEEKDAY($A343,2)&lt;=5,$A343='Recurring Schedule'!$F$10))),5,""))))</f>
        <v/>
      </c>
      <c r="G343">
        <f>IF('Recurring Schedule'!$C$11="","",IF('Recurring Schedule'!$F$11="","",IF(OR($A343&lt;'Recurring Schedule'!$F$11,$A343&gt;'Recurring Schedule'!$P$11),"",IF(IF('Recurring Schedule'!$N$11&gt;0,MOD($A343-'Recurring Schedule'!$F$11,'Recurring Schedule'!$N$11)=0,IF('Recurring Schedule'!$O$11&gt;0,AND(DAY($A343)=MIN(DAY('Recurring Schedule'!$F$11),DAY(EOMONTH($A343,0))),MOD((YEAR($A343)-YEAR('Recurring Schedule'!$F$11))*12+MONTH($A343)-MONTH('Recurring Schedule'!$F$11),'Recurring Schedule'!$O$11)=0),IF('Recurring Schedule'!$E$11="Weekdays",WEEKDAY($A343,2)&lt;=5,$A343='Recurring Schedule'!$F$11))),6,""))))</f>
        <v/>
      </c>
      <c r="H343">
        <f>IF('Recurring Schedule'!$C$12="","",IF('Recurring Schedule'!$F$12="","",IF(OR($A343&lt;'Recurring Schedule'!$F$12,$A343&gt;'Recurring Schedule'!$P$12),"",IF(IF('Recurring Schedule'!$N$12&gt;0,MOD($A343-'Recurring Schedule'!$F$12,'Recurring Schedule'!$N$12)=0,IF('Recurring Schedule'!$O$12&gt;0,AND(DAY($A343)=MIN(DAY('Recurring Schedule'!$F$12),DAY(EOMONTH($A343,0))),MOD((YEAR($A343)-YEAR('Recurring Schedule'!$F$12))*12+MONTH($A343)-MONTH('Recurring Schedule'!$F$12),'Recurring Schedule'!$O$12)=0),IF('Recurring Schedule'!$E$12="Weekdays",WEEKDAY($A343,2)&lt;=5,$A343='Recurring Schedule'!$F$12))),7,""))))</f>
        <v/>
      </c>
      <c r="I343">
        <f>IF('Recurring Schedule'!$C$13="","",IF('Recurring Schedule'!$F$13="","",IF(OR($A343&lt;'Recurring Schedule'!$F$13,$A343&gt;'Recurring Schedule'!$P$13),"",IF(IF('Recurring Schedule'!$N$13&gt;0,MOD($A343-'Recurring Schedule'!$F$13,'Recurring Schedule'!$N$13)=0,IF('Recurring Schedule'!$O$13&gt;0,AND(DAY($A343)=MIN(DAY('Recurring Schedule'!$F$13),DAY(EOMONTH($A343,0))),MOD((YEAR($A343)-YEAR('Recurring Schedule'!$F$13))*12+MONTH($A343)-MONTH('Recurring Schedule'!$F$13),'Recurring Schedule'!$O$13)=0),IF('Recurring Schedule'!$E$13="Weekdays",WEEKDAY($A343,2)&lt;=5,$A343='Recurring Schedule'!$F$13))),8,""))))</f>
        <v/>
      </c>
      <c r="J343">
        <f>IF('Recurring Schedule'!$C$14="","",IF('Recurring Schedule'!$F$14="","",IF(OR($A343&lt;'Recurring Schedule'!$F$14,$A343&gt;'Recurring Schedule'!$P$14),"",IF(IF('Recurring Schedule'!$N$14&gt;0,MOD($A343-'Recurring Schedule'!$F$14,'Recurring Schedule'!$N$14)=0,IF('Recurring Schedule'!$O$14&gt;0,AND(DAY($A343)=MIN(DAY('Recurring Schedule'!$F$14),DAY(EOMONTH($A343,0))),MOD((YEAR($A343)-YEAR('Recurring Schedule'!$F$14))*12+MONTH($A343)-MONTH('Recurring Schedule'!$F$14),'Recurring Schedule'!$O$14)=0),IF('Recurring Schedule'!$E$14="Weekdays",WEEKDAY($A343,2)&lt;=5,$A343='Recurring Schedule'!$F$14))),9,""))))</f>
        <v/>
      </c>
      <c r="K343">
        <f>IF('Recurring Schedule'!$C$15="","",IF('Recurring Schedule'!$F$15="","",IF(OR($A343&lt;'Recurring Schedule'!$F$15,$A343&gt;'Recurring Schedule'!$P$15),"",IF(IF('Recurring Schedule'!$N$15&gt;0,MOD($A343-'Recurring Schedule'!$F$15,'Recurring Schedule'!$N$15)=0,IF('Recurring Schedule'!$O$15&gt;0,AND(DAY($A343)=MIN(DAY('Recurring Schedule'!$F$15),DAY(EOMONTH($A343,0))),MOD((YEAR($A343)-YEAR('Recurring Schedule'!$F$15))*12+MONTH($A343)-MONTH('Recurring Schedule'!$F$15),'Recurring Schedule'!$O$15)=0),IF('Recurring Schedule'!$E$15="Weekdays",WEEKDAY($A343,2)&lt;=5,$A343='Recurring Schedule'!$F$15))),10,""))))</f>
        <v/>
      </c>
      <c r="L343">
        <f>IF('Recurring Schedule'!$C$16="","",IF('Recurring Schedule'!$F$16="","",IF(OR($A343&lt;'Recurring Schedule'!$F$16,$A343&gt;'Recurring Schedule'!$P$16),"",IF(IF('Recurring Schedule'!$N$16&gt;0,MOD($A343-'Recurring Schedule'!$F$16,'Recurring Schedule'!$N$16)=0,IF('Recurring Schedule'!$O$16&gt;0,AND(DAY($A343)=MIN(DAY('Recurring Schedule'!$F$16),DAY(EOMONTH($A343,0))),MOD((YEAR($A343)-YEAR('Recurring Schedule'!$F$16))*12+MONTH($A343)-MONTH('Recurring Schedule'!$F$16),'Recurring Schedule'!$O$16)=0),IF('Recurring Schedule'!$E$16="Weekdays",WEEKDAY($A343,2)&lt;=5,$A343='Recurring Schedule'!$F$16))),11,""))))</f>
        <v/>
      </c>
      <c r="M343">
        <f>IF('Recurring Schedule'!$C$17="","",IF('Recurring Schedule'!$F$17="","",IF(OR($A343&lt;'Recurring Schedule'!$F$17,$A343&gt;'Recurring Schedule'!$P$17),"",IF(IF('Recurring Schedule'!$N$17&gt;0,MOD($A343-'Recurring Schedule'!$F$17,'Recurring Schedule'!$N$17)=0,IF('Recurring Schedule'!$O$17&gt;0,AND(DAY($A343)=MIN(DAY('Recurring Schedule'!$F$17),DAY(EOMONTH($A343,0))),MOD((YEAR($A343)-YEAR('Recurring Schedule'!$F$17))*12+MONTH($A343)-MONTH('Recurring Schedule'!$F$17),'Recurring Schedule'!$O$17)=0),IF('Recurring Schedule'!$E$17="Weekdays",WEEKDAY($A343,2)&lt;=5,$A343='Recurring Schedule'!$F$17))),12,""))))</f>
        <v/>
      </c>
      <c r="N343">
        <f>IF('Recurring Schedule'!$C$18="","",IF('Recurring Schedule'!$F$18="","",IF(OR($A343&lt;'Recurring Schedule'!$F$18,$A343&gt;'Recurring Schedule'!$P$18),"",IF(IF('Recurring Schedule'!$N$18&gt;0,MOD($A343-'Recurring Schedule'!$F$18,'Recurring Schedule'!$N$18)=0,IF('Recurring Schedule'!$O$18&gt;0,AND(DAY($A343)=MIN(DAY('Recurring Schedule'!$F$18),DAY(EOMONTH($A343,0))),MOD((YEAR($A343)-YEAR('Recurring Schedule'!$F$18))*12+MONTH($A343)-MONTH('Recurring Schedule'!$F$18),'Recurring Schedule'!$O$18)=0),IF('Recurring Schedule'!$E$18="Weekdays",WEEKDAY($A343,2)&lt;=5,$A343='Recurring Schedule'!$F$18))),13,""))))</f>
        <v/>
      </c>
      <c r="O343">
        <f>IF('Recurring Schedule'!$C$19="","",IF('Recurring Schedule'!$F$19="","",IF(OR($A343&lt;'Recurring Schedule'!$F$19,$A343&gt;'Recurring Schedule'!$P$19),"",IF(IF('Recurring Schedule'!$N$19&gt;0,MOD($A343-'Recurring Schedule'!$F$19,'Recurring Schedule'!$N$19)=0,IF('Recurring Schedule'!$O$19&gt;0,AND(DAY($A343)=MIN(DAY('Recurring Schedule'!$F$19),DAY(EOMONTH($A343,0))),MOD((YEAR($A343)-YEAR('Recurring Schedule'!$F$19))*12+MONTH($A343)-MONTH('Recurring Schedule'!$F$19),'Recurring Schedule'!$O$19)=0),IF('Recurring Schedule'!$E$19="Weekdays",WEEKDAY($A343,2)&lt;=5,$A343='Recurring Schedule'!$F$19))),14,""))))</f>
        <v/>
      </c>
      <c r="P343">
        <f>IF('Recurring Schedule'!$C$20="","",IF('Recurring Schedule'!$F$20="","",IF(OR($A343&lt;'Recurring Schedule'!$F$20,$A343&gt;'Recurring Schedule'!$P$20),"",IF(IF('Recurring Schedule'!$N$20&gt;0,MOD($A343-'Recurring Schedule'!$F$20,'Recurring Schedule'!$N$20)=0,IF('Recurring Schedule'!$O$20&gt;0,AND(DAY($A343)=MIN(DAY('Recurring Schedule'!$F$20),DAY(EOMONTH($A343,0))),MOD((YEAR($A343)-YEAR('Recurring Schedule'!$F$20))*12+MONTH($A343)-MONTH('Recurring Schedule'!$F$20),'Recurring Schedule'!$O$20)=0),IF('Recurring Schedule'!$E$20="Weekdays",WEEKDAY($A343,2)&lt;=5,$A343='Recurring Schedule'!$F$20))),15,""))))</f>
        <v/>
      </c>
      <c r="Q343">
        <f>IF('Recurring Schedule'!$C$21="","",IF('Recurring Schedule'!$F$21="","",IF(OR($A343&lt;'Recurring Schedule'!$F$21,$A343&gt;'Recurring Schedule'!$P$21),"",IF(IF('Recurring Schedule'!$N$21&gt;0,MOD($A343-'Recurring Schedule'!$F$21,'Recurring Schedule'!$N$21)=0,IF('Recurring Schedule'!$O$21&gt;0,AND(DAY($A343)=MIN(DAY('Recurring Schedule'!$F$21),DAY(EOMONTH($A343,0))),MOD((YEAR($A343)-YEAR('Recurring Schedule'!$F$21))*12+MONTH($A343)-MONTH('Recurring Schedule'!$F$21),'Recurring Schedule'!$O$21)=0),IF('Recurring Schedule'!$E$21="Weekdays",WEEKDAY($A343,2)&lt;=5,$A343='Recurring Schedule'!$F$21))),16,""))))</f>
        <v/>
      </c>
      <c r="R343">
        <f>IF('Recurring Schedule'!$C$22="","",IF('Recurring Schedule'!$F$22="","",IF(OR($A343&lt;'Recurring Schedule'!$F$22,$A343&gt;'Recurring Schedule'!$P$22),"",IF(IF('Recurring Schedule'!$N$22&gt;0,MOD($A343-'Recurring Schedule'!$F$22,'Recurring Schedule'!$N$22)=0,IF('Recurring Schedule'!$O$22&gt;0,AND(DAY($A343)=MIN(DAY('Recurring Schedule'!$F$22),DAY(EOMONTH($A343,0))),MOD((YEAR($A343)-YEAR('Recurring Schedule'!$F$22))*12+MONTH($A343)-MONTH('Recurring Schedule'!$F$22),'Recurring Schedule'!$O$22)=0),IF('Recurring Schedule'!$E$22="Weekdays",WEEKDAY($A343,2)&lt;=5,$A343='Recurring Schedule'!$F$22))),17,""))))</f>
        <v/>
      </c>
      <c r="S343">
        <f>IF('Recurring Schedule'!$C$23="","",IF('Recurring Schedule'!$F$23="","",IF(OR($A343&lt;'Recurring Schedule'!$F$23,$A343&gt;'Recurring Schedule'!$P$23),"",IF(IF('Recurring Schedule'!$N$23&gt;0,MOD($A343-'Recurring Schedule'!$F$23,'Recurring Schedule'!$N$23)=0,IF('Recurring Schedule'!$O$23&gt;0,AND(DAY($A343)=MIN(DAY('Recurring Schedule'!$F$23),DAY(EOMONTH($A343,0))),MOD((YEAR($A343)-YEAR('Recurring Schedule'!$F$23))*12+MONTH($A343)-MONTH('Recurring Schedule'!$F$23),'Recurring Schedule'!$O$23)=0),IF('Recurring Schedule'!$E$23="Weekdays",WEEKDAY($A343,2)&lt;=5,$A343='Recurring Schedule'!$F$23))),18,""))))</f>
        <v/>
      </c>
      <c r="T343">
        <f>IF('Recurring Schedule'!$C$24="","",IF('Recurring Schedule'!$F$24="","",IF(OR($A343&lt;'Recurring Schedule'!$F$24,$A343&gt;'Recurring Schedule'!$P$24),"",IF(IF('Recurring Schedule'!$N$24&gt;0,MOD($A343-'Recurring Schedule'!$F$24,'Recurring Schedule'!$N$24)=0,IF('Recurring Schedule'!$O$24&gt;0,AND(DAY($A343)=MIN(DAY('Recurring Schedule'!$F$24),DAY(EOMONTH($A343,0))),MOD((YEAR($A343)-YEAR('Recurring Schedule'!$F$24))*12+MONTH($A343)-MONTH('Recurring Schedule'!$F$24),'Recurring Schedule'!$O$24)=0),IF('Recurring Schedule'!$E$24="Weekdays",WEEKDAY($A343,2)&lt;=5,$A343='Recurring Schedule'!$F$24))),19,""))))</f>
        <v/>
      </c>
      <c r="U343">
        <f>IF('Recurring Schedule'!$C$25="","",IF('Recurring Schedule'!$F$25="","",IF(OR($A343&lt;'Recurring Schedule'!$F$25,$A343&gt;'Recurring Schedule'!$P$25),"",IF(IF('Recurring Schedule'!$N$25&gt;0,MOD($A343-'Recurring Schedule'!$F$25,'Recurring Schedule'!$N$25)=0,IF('Recurring Schedule'!$O$25&gt;0,AND(DAY($A343)=MIN(DAY('Recurring Schedule'!$F$25),DAY(EOMONTH($A343,0))),MOD((YEAR($A343)-YEAR('Recurring Schedule'!$F$25))*12+MONTH($A343)-MONTH('Recurring Schedule'!$F$25),'Recurring Schedule'!$O$25)=0),IF('Recurring Schedule'!$E$25="Weekdays",WEEKDAY($A343,2)&lt;=5,$A343='Recurring Schedule'!$F$25))),20,""))))</f>
        <v/>
      </c>
      <c r="V343">
        <f>IF('Recurring Schedule'!$C$26="","",IF('Recurring Schedule'!$F$26="","",IF(OR($A343&lt;'Recurring Schedule'!$F$26,$A343&gt;'Recurring Schedule'!$P$26),"",IF(IF('Recurring Schedule'!$N$26&gt;0,MOD($A343-'Recurring Schedule'!$F$26,'Recurring Schedule'!$N$26)=0,IF('Recurring Schedule'!$O$26&gt;0,AND(DAY($A343)=MIN(DAY('Recurring Schedule'!$F$26),DAY(EOMONTH($A343,0))),MOD((YEAR($A343)-YEAR('Recurring Schedule'!$F$26))*12+MONTH($A343)-MONTH('Recurring Schedule'!$F$26),'Recurring Schedule'!$O$26)=0),IF('Recurring Schedule'!$E$26="Weekdays",WEEKDAY($A343,2)&lt;=5,$A343='Recurring Schedule'!$F$26))),21,""))))</f>
        <v/>
      </c>
      <c r="W343">
        <f>IF('Recurring Schedule'!$C$27="","",IF('Recurring Schedule'!$F$27="","",IF(OR($A343&lt;'Recurring Schedule'!$F$27,$A343&gt;'Recurring Schedule'!$P$27),"",IF(IF('Recurring Schedule'!$N$27&gt;0,MOD($A343-'Recurring Schedule'!$F$27,'Recurring Schedule'!$N$27)=0,IF('Recurring Schedule'!$O$27&gt;0,AND(DAY($A343)=MIN(DAY('Recurring Schedule'!$F$27),DAY(EOMONTH($A343,0))),MOD((YEAR($A343)-YEAR('Recurring Schedule'!$F$27))*12+MONTH($A343)-MONTH('Recurring Schedule'!$F$27),'Recurring Schedule'!$O$27)=0),IF('Recurring Schedule'!$E$27="Weekdays",WEEKDAY($A343,2)&lt;=5,$A343='Recurring Schedule'!$F$27))),22,""))))</f>
        <v/>
      </c>
      <c r="X343">
        <f>IF('Recurring Schedule'!$C$28="","",IF('Recurring Schedule'!$F$28="","",IF(OR($A343&lt;'Recurring Schedule'!$F$28,$A343&gt;'Recurring Schedule'!$P$28),"",IF(IF('Recurring Schedule'!$N$28&gt;0,MOD($A343-'Recurring Schedule'!$F$28,'Recurring Schedule'!$N$28)=0,IF('Recurring Schedule'!$O$28&gt;0,AND(DAY($A343)=MIN(DAY('Recurring Schedule'!$F$28),DAY(EOMONTH($A343,0))),MOD((YEAR($A343)-YEAR('Recurring Schedule'!$F$28))*12+MONTH($A343)-MONTH('Recurring Schedule'!$F$28),'Recurring Schedule'!$O$28)=0),IF('Recurring Schedule'!$E$28="Weekdays",WEEKDAY($A343,2)&lt;=5,$A343='Recurring Schedule'!$F$28))),23,""))))</f>
        <v/>
      </c>
      <c r="Y343">
        <f>IF('Recurring Schedule'!$C$29="","",IF('Recurring Schedule'!$F$29="","",IF(OR($A343&lt;'Recurring Schedule'!$F$29,$A343&gt;'Recurring Schedule'!$P$29),"",IF(IF('Recurring Schedule'!$N$29&gt;0,MOD($A343-'Recurring Schedule'!$F$29,'Recurring Schedule'!$N$29)=0,IF('Recurring Schedule'!$O$29&gt;0,AND(DAY($A343)=MIN(DAY('Recurring Schedule'!$F$29),DAY(EOMONTH($A343,0))),MOD((YEAR($A343)-YEAR('Recurring Schedule'!$F$29))*12+MONTH($A343)-MONTH('Recurring Schedule'!$F$29),'Recurring Schedule'!$O$29)=0),IF('Recurring Schedule'!$E$29="Weekdays",WEEKDAY($A343,2)&lt;=5,$A343='Recurring Schedule'!$F$29))),24,""))))</f>
        <v/>
      </c>
      <c r="Z343">
        <f>IF('Recurring Schedule'!$C$30="","",IF('Recurring Schedule'!$F$30="","",IF(OR($A343&lt;'Recurring Schedule'!$F$30,$A343&gt;'Recurring Schedule'!$P$30),"",IF(IF('Recurring Schedule'!$N$30&gt;0,MOD($A343-'Recurring Schedule'!$F$30,'Recurring Schedule'!$N$30)=0,IF('Recurring Schedule'!$O$30&gt;0,AND(DAY($A343)=MIN(DAY('Recurring Schedule'!$F$30),DAY(EOMONTH($A343,0))),MOD((YEAR($A343)-YEAR('Recurring Schedule'!$F$30))*12+MONTH($A343)-MONTH('Recurring Schedule'!$F$30),'Recurring Schedule'!$O$30)=0),IF('Recurring Schedule'!$E$30="Weekdays",WEEKDAY($A343,2)&lt;=5,$A343='Recurring Schedule'!$F$30))),25,""))))</f>
        <v/>
      </c>
      <c r="AA343">
        <f>IF('Recurring Schedule'!$C$31="","",IF('Recurring Schedule'!$F$31="","",IF(OR($A343&lt;'Recurring Schedule'!$F$31,$A343&gt;'Recurring Schedule'!$P$31),"",IF(IF('Recurring Schedule'!$N$31&gt;0,MOD($A343-'Recurring Schedule'!$F$31,'Recurring Schedule'!$N$31)=0,IF('Recurring Schedule'!$O$31&gt;0,AND(DAY($A343)=MIN(DAY('Recurring Schedule'!$F$31),DAY(EOMONTH($A343,0))),MOD((YEAR($A343)-YEAR('Recurring Schedule'!$F$31))*12+MONTH($A343)-MONTH('Recurring Schedule'!$F$31),'Recurring Schedule'!$O$31)=0),IF('Recurring Schedule'!$E$31="Weekdays",WEEKDAY($A343,2)&lt;=5,$A343='Recurring Schedule'!$F$31))),26,""))))</f>
        <v/>
      </c>
      <c r="AB343">
        <f>IF('Recurring Schedule'!$C$32="","",IF('Recurring Schedule'!$F$32="","",IF(OR($A343&lt;'Recurring Schedule'!$F$32,$A343&gt;'Recurring Schedule'!$P$32),"",IF(IF('Recurring Schedule'!$N$32&gt;0,MOD($A343-'Recurring Schedule'!$F$32,'Recurring Schedule'!$N$32)=0,IF('Recurring Schedule'!$O$32&gt;0,AND(DAY($A343)=MIN(DAY('Recurring Schedule'!$F$32),DAY(EOMONTH($A343,0))),MOD((YEAR($A343)-YEAR('Recurring Schedule'!$F$32))*12+MONTH($A343)-MONTH('Recurring Schedule'!$F$32),'Recurring Schedule'!$O$32)=0),IF('Recurring Schedule'!$E$32="Weekdays",WEEKDAY($A343,2)&lt;=5,$A343='Recurring Schedule'!$F$32))),27,""))))</f>
        <v/>
      </c>
      <c r="AC343">
        <f>IF('Recurring Schedule'!$C$33="","",IF('Recurring Schedule'!$F$33="","",IF(OR($A343&lt;'Recurring Schedule'!$F$33,$A343&gt;'Recurring Schedule'!$P$33),"",IF(IF('Recurring Schedule'!$N$33&gt;0,MOD($A343-'Recurring Schedule'!$F$33,'Recurring Schedule'!$N$33)=0,IF('Recurring Schedule'!$O$33&gt;0,AND(DAY($A343)=MIN(DAY('Recurring Schedule'!$F$33),DAY(EOMONTH($A343,0))),MOD((YEAR($A343)-YEAR('Recurring Schedule'!$F$33))*12+MONTH($A343)-MONTH('Recurring Schedule'!$F$33),'Recurring Schedule'!$O$33)=0),IF('Recurring Schedule'!$E$33="Weekdays",WEEKDAY($A343,2)&lt;=5,$A343='Recurring Schedule'!$F$33))),28,""))))</f>
        <v/>
      </c>
      <c r="AD343">
        <f>IF('Recurring Schedule'!$C$34="","",IF('Recurring Schedule'!$F$34="","",IF(OR($A343&lt;'Recurring Schedule'!$F$34,$A343&gt;'Recurring Schedule'!$P$34),"",IF(IF('Recurring Schedule'!$N$34&gt;0,MOD($A343-'Recurring Schedule'!$F$34,'Recurring Schedule'!$N$34)=0,IF('Recurring Schedule'!$O$34&gt;0,AND(DAY($A343)=MIN(DAY('Recurring Schedule'!$F$34),DAY(EOMONTH($A343,0))),MOD((YEAR($A343)-YEAR('Recurring Schedule'!$F$34))*12+MONTH($A343)-MONTH('Recurring Schedule'!$F$34),'Recurring Schedule'!$O$34)=0),IF('Recurring Schedule'!$E$34="Weekdays",WEEKDAY($A343,2)&lt;=5,$A343='Recurring Schedule'!$F$34))),29,""))))</f>
        <v/>
      </c>
      <c r="AE343">
        <f>IF('Recurring Schedule'!$C$35="","",IF('Recurring Schedule'!$F$35="","",IF(OR($A343&lt;'Recurring Schedule'!$F$35,$A343&gt;'Recurring Schedule'!$P$35),"",IF(IF('Recurring Schedule'!$N$35&gt;0,MOD($A343-'Recurring Schedule'!$F$35,'Recurring Schedule'!$N$35)=0,IF('Recurring Schedule'!$O$35&gt;0,AND(DAY($A343)=MIN(DAY('Recurring Schedule'!$F$35),DAY(EOMONTH($A343,0))),MOD((YEAR($A343)-YEAR('Recurring Schedule'!$F$35))*12+MONTH($A343)-MONTH('Recurring Schedule'!$F$35),'Recurring Schedule'!$O$35)=0),IF('Recurring Schedule'!$E$35="Weekdays",WEEKDAY($A343,2)&lt;=5,$A343='Recurring Schedule'!$F$35))),30,""))))</f>
        <v/>
      </c>
      <c r="AF343">
        <f>IF('Recurring Schedule'!$C$36="","",IF('Recurring Schedule'!$F$36="","",IF(OR($A343&lt;'Recurring Schedule'!$F$36,$A343&gt;'Recurring Schedule'!$P$36),"",IF(IF('Recurring Schedule'!$N$36&gt;0,MOD($A343-'Recurring Schedule'!$F$36,'Recurring Schedule'!$N$36)=0,IF('Recurring Schedule'!$O$36&gt;0,AND(DAY($A343)=MIN(DAY('Recurring Schedule'!$F$36),DAY(EOMONTH($A343,0))),MOD((YEAR($A343)-YEAR('Recurring Schedule'!$F$36))*12+MONTH($A343)-MONTH('Recurring Schedule'!$F$36),'Recurring Schedule'!$O$36)=0),IF('Recurring Schedule'!$E$36="Weekdays",WEEKDAY($A343,2)&lt;=5,$A343='Recurring Schedule'!$F$36))),31,""))))</f>
        <v/>
      </c>
      <c r="AG343">
        <f>IF('Recurring Schedule'!$C$37="","",IF('Recurring Schedule'!$F$37="","",IF(OR($A343&lt;'Recurring Schedule'!$F$37,$A343&gt;'Recurring Schedule'!$P$37),"",IF(IF('Recurring Schedule'!$N$37&gt;0,MOD($A343-'Recurring Schedule'!$F$37,'Recurring Schedule'!$N$37)=0,IF('Recurring Schedule'!$O$37&gt;0,AND(DAY($A343)=MIN(DAY('Recurring Schedule'!$F$37),DAY(EOMONTH($A343,0))),MOD((YEAR($A343)-YEAR('Recurring Schedule'!$F$37))*12+MONTH($A343)-MONTH('Recurring Schedule'!$F$37),'Recurring Schedule'!$O$37)=0),IF('Recurring Schedule'!$E$37="Weekdays",WEEKDAY($A343,2)&lt;=5,$A343='Recurring Schedule'!$F$37))),32,""))))</f>
        <v/>
      </c>
      <c r="AH343">
        <f>IF('Recurring Schedule'!$C$38="","",IF('Recurring Schedule'!$F$38="","",IF(OR($A343&lt;'Recurring Schedule'!$F$38,$A343&gt;'Recurring Schedule'!$P$38),"",IF(IF('Recurring Schedule'!$N$38&gt;0,MOD($A343-'Recurring Schedule'!$F$38,'Recurring Schedule'!$N$38)=0,IF('Recurring Schedule'!$O$38&gt;0,AND(DAY($A343)=MIN(DAY('Recurring Schedule'!$F$38),DAY(EOMONTH($A343,0))),MOD((YEAR($A343)-YEAR('Recurring Schedule'!$F$38))*12+MONTH($A343)-MONTH('Recurring Schedule'!$F$38),'Recurring Schedule'!$O$38)=0),IF('Recurring Schedule'!$E$38="Weekdays",WEEKDAY($A343,2)&lt;=5,$A343='Recurring Schedule'!$F$38))),33,""))))</f>
        <v/>
      </c>
      <c r="AI343">
        <f>IF('Recurring Schedule'!$C$39="","",IF('Recurring Schedule'!$F$39="","",IF(OR($A343&lt;'Recurring Schedule'!$F$39,$A343&gt;'Recurring Schedule'!$P$39),"",IF(IF('Recurring Schedule'!$N$39&gt;0,MOD($A343-'Recurring Schedule'!$F$39,'Recurring Schedule'!$N$39)=0,IF('Recurring Schedule'!$O$39&gt;0,AND(DAY($A343)=MIN(DAY('Recurring Schedule'!$F$39),DAY(EOMONTH($A343,0))),MOD((YEAR($A343)-YEAR('Recurring Schedule'!$F$39))*12+MONTH($A343)-MONTH('Recurring Schedule'!$F$39),'Recurring Schedule'!$O$39)=0),IF('Recurring Schedule'!$E$39="Weekdays",WEEKDAY($A343,2)&lt;=5,$A343='Recurring Schedule'!$F$39))),34,""))))</f>
        <v/>
      </c>
      <c r="AJ343">
        <f>IF('Recurring Schedule'!$C$40="","",IF('Recurring Schedule'!$F$40="","",IF(OR($A343&lt;'Recurring Schedule'!$F$40,$A343&gt;'Recurring Schedule'!$P$40),"",IF(IF('Recurring Schedule'!$N$40&gt;0,MOD($A343-'Recurring Schedule'!$F$40,'Recurring Schedule'!$N$40)=0,IF('Recurring Schedule'!$O$40&gt;0,AND(DAY($A343)=MIN(DAY('Recurring Schedule'!$F$40),DAY(EOMONTH($A343,0))),MOD((YEAR($A343)-YEAR('Recurring Schedule'!$F$40))*12+MONTH($A343)-MONTH('Recurring Schedule'!$F$40),'Recurring Schedule'!$O$40)=0),IF('Recurring Schedule'!$E$40="Weekdays",WEEKDAY($A343,2)&lt;=5,$A343='Recurring Schedule'!$F$40))),35,""))))</f>
        <v/>
      </c>
      <c r="AK343">
        <f>IF('Recurring Schedule'!$C$41="","",IF('Recurring Schedule'!$F$41="","",IF(OR($A343&lt;'Recurring Schedule'!$F$41,$A343&gt;'Recurring Schedule'!$P$41),"",IF(IF('Recurring Schedule'!$N$41&gt;0,MOD($A343-'Recurring Schedule'!$F$41,'Recurring Schedule'!$N$41)=0,IF('Recurring Schedule'!$O$41&gt;0,AND(DAY($A343)=MIN(DAY('Recurring Schedule'!$F$41),DAY(EOMONTH($A343,0))),MOD((YEAR($A343)-YEAR('Recurring Schedule'!$F$41))*12+MONTH($A343)-MONTH('Recurring Schedule'!$F$41),'Recurring Schedule'!$O$41)=0),IF('Recurring Schedule'!$E$41="Weekdays",WEEKDAY($A343,2)&lt;=5,$A343='Recurring Schedule'!$F$41))),36,""))))</f>
        <v/>
      </c>
      <c r="AL343">
        <f>IF('Recurring Schedule'!$C$42="","",IF('Recurring Schedule'!$F$42="","",IF(OR($A343&lt;'Recurring Schedule'!$F$42,$A343&gt;'Recurring Schedule'!$P$42),"",IF(IF('Recurring Schedule'!$N$42&gt;0,MOD($A343-'Recurring Schedule'!$F$42,'Recurring Schedule'!$N$42)=0,IF('Recurring Schedule'!$O$42&gt;0,AND(DAY($A343)=MIN(DAY('Recurring Schedule'!$F$42),DAY(EOMONTH($A343,0))),MOD((YEAR($A343)-YEAR('Recurring Schedule'!$F$42))*12+MONTH($A343)-MONTH('Recurring Schedule'!$F$42),'Recurring Schedule'!$O$42)=0),IF('Recurring Schedule'!$E$42="Weekdays",WEEKDAY($A343,2)&lt;=5,$A343='Recurring Schedule'!$F$42))),37,""))))</f>
        <v/>
      </c>
      <c r="AM343">
        <f>IF('Recurring Schedule'!$C$43="","",IF('Recurring Schedule'!$F$43="","",IF(OR($A343&lt;'Recurring Schedule'!$F$43,$A343&gt;'Recurring Schedule'!$P$43),"",IF(IF('Recurring Schedule'!$N$43&gt;0,MOD($A343-'Recurring Schedule'!$F$43,'Recurring Schedule'!$N$43)=0,IF('Recurring Schedule'!$O$43&gt;0,AND(DAY($A343)=MIN(DAY('Recurring Schedule'!$F$43),DAY(EOMONTH($A343,0))),MOD((YEAR($A343)-YEAR('Recurring Schedule'!$F$43))*12+MONTH($A343)-MONTH('Recurring Schedule'!$F$43),'Recurring Schedule'!$O$43)=0),IF('Recurring Schedule'!$E$43="Weekdays",WEEKDAY($A343,2)&lt;=5,$A343='Recurring Schedule'!$F$43))),38,""))))</f>
        <v/>
      </c>
      <c r="AN343">
        <f>IF('Recurring Schedule'!$C$44="","",IF('Recurring Schedule'!$F$44="","",IF(OR($A343&lt;'Recurring Schedule'!$F$44,$A343&gt;'Recurring Schedule'!$P$44),"",IF(IF('Recurring Schedule'!$N$44&gt;0,MOD($A343-'Recurring Schedule'!$F$44,'Recurring Schedule'!$N$44)=0,IF('Recurring Schedule'!$O$44&gt;0,AND(DAY($A343)=MIN(DAY('Recurring Schedule'!$F$44),DAY(EOMONTH($A343,0))),MOD((YEAR($A343)-YEAR('Recurring Schedule'!$F$44))*12+MONTH($A343)-MONTH('Recurring Schedule'!$F$44),'Recurring Schedule'!$O$44)=0),IF('Recurring Schedule'!$E$44="Weekdays",WEEKDAY($A343,2)&lt;=5,$A343='Recurring Schedule'!$F$44))),39,""))))</f>
        <v/>
      </c>
      <c r="AO343">
        <f>IF('Recurring Schedule'!$C$45="","",IF('Recurring Schedule'!$F$45="","",IF(OR($A343&lt;'Recurring Schedule'!$F$45,$A343&gt;'Recurring Schedule'!$P$45),"",IF(IF('Recurring Schedule'!$N$45&gt;0,MOD($A343-'Recurring Schedule'!$F$45,'Recurring Schedule'!$N$45)=0,IF('Recurring Schedule'!$O$45&gt;0,AND(DAY($A343)=MIN(DAY('Recurring Schedule'!$F$45),DAY(EOMONTH($A343,0))),MOD((YEAR($A343)-YEAR('Recurring Schedule'!$F$45))*12+MONTH($A343)-MONTH('Recurring Schedule'!$F$45),'Recurring Schedule'!$O$45)=0),IF('Recurring Schedule'!$E$45="Weekdays",WEEKDAY($A343,2)&lt;=5,$A343='Recurring Schedule'!$F$45))),40,""))))</f>
        <v/>
      </c>
      <c r="AP343">
        <f>COUNT(B343:AO343)</f>
        <v/>
      </c>
      <c r="AQ343">
        <f>AQ342+AP342</f>
        <v/>
      </c>
      <c r="AS343" t="inlineStr">
        <is>
          <t>R</t>
        </is>
      </c>
      <c r="AT343" t="n">
        <v>347</v>
      </c>
      <c r="AU343">
        <f>'Recurring Log'!C347&amp;""</f>
        <v/>
      </c>
      <c r="AV343">
        <f>'Recurring Log'!D347&amp;""</f>
        <v/>
      </c>
      <c r="AW343">
        <f>IF('Recurring Log'!E347="","",'Recurring Log'!E347)</f>
        <v/>
      </c>
      <c r="AX343">
        <f>IF('Recurring Log'!G347="","",'Recurring Log'!G347)</f>
        <v/>
      </c>
      <c r="AY343">
        <f>IF('Recurring Log'!H347="","",'Recurring Log'!H347)</f>
        <v/>
      </c>
      <c r="AZ343">
        <f>IF(AU343="","",IF('Recurring Log'!J347="","Not Started",'Recurring Log'!J347))</f>
        <v/>
      </c>
      <c r="BA343">
        <f>'Recurring Log'!L347&amp;""</f>
        <v/>
      </c>
      <c r="BB343">
        <f>'Recurring Log'!M347&amp;""</f>
        <v/>
      </c>
      <c r="BC343">
        <f>'Recurring Log'!N347&amp;""</f>
        <v/>
      </c>
      <c r="BD343">
        <f>'Recurring Log'!O347&amp;""</f>
        <v/>
      </c>
      <c r="BE343">
        <f>IF('Recurring Log'!K347="","",'Recurring Log'!K347)</f>
        <v/>
      </c>
      <c r="BF343">
        <f>IFERROR(MATCH(BA343,Setup!$L$6:$L$9,0),5)</f>
        <v/>
      </c>
      <c r="BG343">
        <f>IF(OR(AZ343="Done",AZ343="Cancelled"),1,0)</f>
        <v/>
      </c>
      <c r="BH343">
        <f>IF(AND(AU343&lt;&gt;"",ISNUMBER(AW343)),1,0)</f>
        <v/>
      </c>
      <c r="BI343">
        <f>IF(BH343=0,0,IF(AND(AW343&gt;='Tasks Filter'!$F$3,AW343&lt;='Tasks Filter'!$F$4,OR('Tasks Filter'!$I$3="",ISNUMBER(SEARCH('Tasks Filter'!$I$3,AU343))),OR('Tasks Filter'!$I$4="",BF343=IFERROR(MATCH('Tasks Filter'!$I$4,Setup!$L$6:$L$9,0),0)),OR('Tasks Filter'!$I$5="Both",AND('Tasks Filter'!$I$5="Yes",BB343="✓"),AND('Tasks Filter'!$I$5="No",BB343&lt;&gt;"✓")),OR('Tasks Filter'!$L$3="",AV343='Tasks Filter'!$L$3),OR('Tasks Filter'!$L$4="",AZ343='Tasks Filter'!$L$4),OR('Tasks Filter'!$L$5="",BC343='Tasks Filter'!$L$5),OR('Tasks Filter'!$O$3="",BD343='Tasks Filter'!$O$3),OR('Tasks Filter'!$O$4="Yes",BG343=0)),1,0))</f>
        <v/>
      </c>
      <c r="BJ343">
        <f>IF(BH343=0,"",IF('Tasks Filter'!$F$6="Descending",-1,1)*CHOOSE(MATCH('Tasks Filter'!$F$5,Lists!$G$2:$G$6,0),AW343,BF343,IFERROR(MATCH(AV343,Setup!$F$6:$F$15,0),99),IFERROR(MATCH(BC343,Setup!$H$6:$H$15,0),99),IFERROR(MATCH(AZ343,Setup!$J$6:$J$11,0),99))*1E+9+(AW343-40000)*10000+342)</f>
        <v/>
      </c>
      <c r="BK343">
        <f>IF(BI343=1,BJ343,"")</f>
        <v/>
      </c>
      <c r="BL343">
        <f>IF(AND(BH343=1,BG343=0,N(AW343)&lt;Setup!$D$7),(AW343-40000)*10000+342,"")</f>
        <v/>
      </c>
      <c r="BM343">
        <f>IF(AND(BH343=1,AZ343&lt;&gt;"Cancelled",N(AW343)&gt;=Dashboard!$AB$3,N(AW343)&lt;=Dashboard!$AB$3+6),(AW343-40000)*100000+BF343*10000+342,"")</f>
        <v/>
      </c>
      <c r="BN343">
        <f>IF(AND(BH343=1,AZ343&lt;&gt;"Cancelled"),BF343*10000+342,"")</f>
        <v/>
      </c>
    </row>
    <row r="344">
      <c r="A344">
        <f>Setup!$D$5+342</f>
        <v/>
      </c>
      <c r="B344">
        <f>IF('Recurring Schedule'!$C$6="","",IF('Recurring Schedule'!$F$6="","",IF(OR($A344&lt;'Recurring Schedule'!$F$6,$A344&gt;'Recurring Schedule'!$P$6),"",IF(IF('Recurring Schedule'!$N$6&gt;0,MOD($A344-'Recurring Schedule'!$F$6,'Recurring Schedule'!$N$6)=0,IF('Recurring Schedule'!$O$6&gt;0,AND(DAY($A344)=MIN(DAY('Recurring Schedule'!$F$6),DAY(EOMONTH($A344,0))),MOD((YEAR($A344)-YEAR('Recurring Schedule'!$F$6))*12+MONTH($A344)-MONTH('Recurring Schedule'!$F$6),'Recurring Schedule'!$O$6)=0),IF('Recurring Schedule'!$E$6="Weekdays",WEEKDAY($A344,2)&lt;=5,$A344='Recurring Schedule'!$F$6))),1,""))))</f>
        <v/>
      </c>
      <c r="C344">
        <f>IF('Recurring Schedule'!$C$7="","",IF('Recurring Schedule'!$F$7="","",IF(OR($A344&lt;'Recurring Schedule'!$F$7,$A344&gt;'Recurring Schedule'!$P$7),"",IF(IF('Recurring Schedule'!$N$7&gt;0,MOD($A344-'Recurring Schedule'!$F$7,'Recurring Schedule'!$N$7)=0,IF('Recurring Schedule'!$O$7&gt;0,AND(DAY($A344)=MIN(DAY('Recurring Schedule'!$F$7),DAY(EOMONTH($A344,0))),MOD((YEAR($A344)-YEAR('Recurring Schedule'!$F$7))*12+MONTH($A344)-MONTH('Recurring Schedule'!$F$7),'Recurring Schedule'!$O$7)=0),IF('Recurring Schedule'!$E$7="Weekdays",WEEKDAY($A344,2)&lt;=5,$A344='Recurring Schedule'!$F$7))),2,""))))</f>
        <v/>
      </c>
      <c r="D344">
        <f>IF('Recurring Schedule'!$C$8="","",IF('Recurring Schedule'!$F$8="","",IF(OR($A344&lt;'Recurring Schedule'!$F$8,$A344&gt;'Recurring Schedule'!$P$8),"",IF(IF('Recurring Schedule'!$N$8&gt;0,MOD($A344-'Recurring Schedule'!$F$8,'Recurring Schedule'!$N$8)=0,IF('Recurring Schedule'!$O$8&gt;0,AND(DAY($A344)=MIN(DAY('Recurring Schedule'!$F$8),DAY(EOMONTH($A344,0))),MOD((YEAR($A344)-YEAR('Recurring Schedule'!$F$8))*12+MONTH($A344)-MONTH('Recurring Schedule'!$F$8),'Recurring Schedule'!$O$8)=0),IF('Recurring Schedule'!$E$8="Weekdays",WEEKDAY($A344,2)&lt;=5,$A344='Recurring Schedule'!$F$8))),3,""))))</f>
        <v/>
      </c>
      <c r="E344">
        <f>IF('Recurring Schedule'!$C$9="","",IF('Recurring Schedule'!$F$9="","",IF(OR($A344&lt;'Recurring Schedule'!$F$9,$A344&gt;'Recurring Schedule'!$P$9),"",IF(IF('Recurring Schedule'!$N$9&gt;0,MOD($A344-'Recurring Schedule'!$F$9,'Recurring Schedule'!$N$9)=0,IF('Recurring Schedule'!$O$9&gt;0,AND(DAY($A344)=MIN(DAY('Recurring Schedule'!$F$9),DAY(EOMONTH($A344,0))),MOD((YEAR($A344)-YEAR('Recurring Schedule'!$F$9))*12+MONTH($A344)-MONTH('Recurring Schedule'!$F$9),'Recurring Schedule'!$O$9)=0),IF('Recurring Schedule'!$E$9="Weekdays",WEEKDAY($A344,2)&lt;=5,$A344='Recurring Schedule'!$F$9))),4,""))))</f>
        <v/>
      </c>
      <c r="F344">
        <f>IF('Recurring Schedule'!$C$10="","",IF('Recurring Schedule'!$F$10="","",IF(OR($A344&lt;'Recurring Schedule'!$F$10,$A344&gt;'Recurring Schedule'!$P$10),"",IF(IF('Recurring Schedule'!$N$10&gt;0,MOD($A344-'Recurring Schedule'!$F$10,'Recurring Schedule'!$N$10)=0,IF('Recurring Schedule'!$O$10&gt;0,AND(DAY($A344)=MIN(DAY('Recurring Schedule'!$F$10),DAY(EOMONTH($A344,0))),MOD((YEAR($A344)-YEAR('Recurring Schedule'!$F$10))*12+MONTH($A344)-MONTH('Recurring Schedule'!$F$10),'Recurring Schedule'!$O$10)=0),IF('Recurring Schedule'!$E$10="Weekdays",WEEKDAY($A344,2)&lt;=5,$A344='Recurring Schedule'!$F$10))),5,""))))</f>
        <v/>
      </c>
      <c r="G344">
        <f>IF('Recurring Schedule'!$C$11="","",IF('Recurring Schedule'!$F$11="","",IF(OR($A344&lt;'Recurring Schedule'!$F$11,$A344&gt;'Recurring Schedule'!$P$11),"",IF(IF('Recurring Schedule'!$N$11&gt;0,MOD($A344-'Recurring Schedule'!$F$11,'Recurring Schedule'!$N$11)=0,IF('Recurring Schedule'!$O$11&gt;0,AND(DAY($A344)=MIN(DAY('Recurring Schedule'!$F$11),DAY(EOMONTH($A344,0))),MOD((YEAR($A344)-YEAR('Recurring Schedule'!$F$11))*12+MONTH($A344)-MONTH('Recurring Schedule'!$F$11),'Recurring Schedule'!$O$11)=0),IF('Recurring Schedule'!$E$11="Weekdays",WEEKDAY($A344,2)&lt;=5,$A344='Recurring Schedule'!$F$11))),6,""))))</f>
        <v/>
      </c>
      <c r="H344">
        <f>IF('Recurring Schedule'!$C$12="","",IF('Recurring Schedule'!$F$12="","",IF(OR($A344&lt;'Recurring Schedule'!$F$12,$A344&gt;'Recurring Schedule'!$P$12),"",IF(IF('Recurring Schedule'!$N$12&gt;0,MOD($A344-'Recurring Schedule'!$F$12,'Recurring Schedule'!$N$12)=0,IF('Recurring Schedule'!$O$12&gt;0,AND(DAY($A344)=MIN(DAY('Recurring Schedule'!$F$12),DAY(EOMONTH($A344,0))),MOD((YEAR($A344)-YEAR('Recurring Schedule'!$F$12))*12+MONTH($A344)-MONTH('Recurring Schedule'!$F$12),'Recurring Schedule'!$O$12)=0),IF('Recurring Schedule'!$E$12="Weekdays",WEEKDAY($A344,2)&lt;=5,$A344='Recurring Schedule'!$F$12))),7,""))))</f>
        <v/>
      </c>
      <c r="I344">
        <f>IF('Recurring Schedule'!$C$13="","",IF('Recurring Schedule'!$F$13="","",IF(OR($A344&lt;'Recurring Schedule'!$F$13,$A344&gt;'Recurring Schedule'!$P$13),"",IF(IF('Recurring Schedule'!$N$13&gt;0,MOD($A344-'Recurring Schedule'!$F$13,'Recurring Schedule'!$N$13)=0,IF('Recurring Schedule'!$O$13&gt;0,AND(DAY($A344)=MIN(DAY('Recurring Schedule'!$F$13),DAY(EOMONTH($A344,0))),MOD((YEAR($A344)-YEAR('Recurring Schedule'!$F$13))*12+MONTH($A344)-MONTH('Recurring Schedule'!$F$13),'Recurring Schedule'!$O$13)=0),IF('Recurring Schedule'!$E$13="Weekdays",WEEKDAY($A344,2)&lt;=5,$A344='Recurring Schedule'!$F$13))),8,""))))</f>
        <v/>
      </c>
      <c r="J344">
        <f>IF('Recurring Schedule'!$C$14="","",IF('Recurring Schedule'!$F$14="","",IF(OR($A344&lt;'Recurring Schedule'!$F$14,$A344&gt;'Recurring Schedule'!$P$14),"",IF(IF('Recurring Schedule'!$N$14&gt;0,MOD($A344-'Recurring Schedule'!$F$14,'Recurring Schedule'!$N$14)=0,IF('Recurring Schedule'!$O$14&gt;0,AND(DAY($A344)=MIN(DAY('Recurring Schedule'!$F$14),DAY(EOMONTH($A344,0))),MOD((YEAR($A344)-YEAR('Recurring Schedule'!$F$14))*12+MONTH($A344)-MONTH('Recurring Schedule'!$F$14),'Recurring Schedule'!$O$14)=0),IF('Recurring Schedule'!$E$14="Weekdays",WEEKDAY($A344,2)&lt;=5,$A344='Recurring Schedule'!$F$14))),9,""))))</f>
        <v/>
      </c>
      <c r="K344">
        <f>IF('Recurring Schedule'!$C$15="","",IF('Recurring Schedule'!$F$15="","",IF(OR($A344&lt;'Recurring Schedule'!$F$15,$A344&gt;'Recurring Schedule'!$P$15),"",IF(IF('Recurring Schedule'!$N$15&gt;0,MOD($A344-'Recurring Schedule'!$F$15,'Recurring Schedule'!$N$15)=0,IF('Recurring Schedule'!$O$15&gt;0,AND(DAY($A344)=MIN(DAY('Recurring Schedule'!$F$15),DAY(EOMONTH($A344,0))),MOD((YEAR($A344)-YEAR('Recurring Schedule'!$F$15))*12+MONTH($A344)-MONTH('Recurring Schedule'!$F$15),'Recurring Schedule'!$O$15)=0),IF('Recurring Schedule'!$E$15="Weekdays",WEEKDAY($A344,2)&lt;=5,$A344='Recurring Schedule'!$F$15))),10,""))))</f>
        <v/>
      </c>
      <c r="L344">
        <f>IF('Recurring Schedule'!$C$16="","",IF('Recurring Schedule'!$F$16="","",IF(OR($A344&lt;'Recurring Schedule'!$F$16,$A344&gt;'Recurring Schedule'!$P$16),"",IF(IF('Recurring Schedule'!$N$16&gt;0,MOD($A344-'Recurring Schedule'!$F$16,'Recurring Schedule'!$N$16)=0,IF('Recurring Schedule'!$O$16&gt;0,AND(DAY($A344)=MIN(DAY('Recurring Schedule'!$F$16),DAY(EOMONTH($A344,0))),MOD((YEAR($A344)-YEAR('Recurring Schedule'!$F$16))*12+MONTH($A344)-MONTH('Recurring Schedule'!$F$16),'Recurring Schedule'!$O$16)=0),IF('Recurring Schedule'!$E$16="Weekdays",WEEKDAY($A344,2)&lt;=5,$A344='Recurring Schedule'!$F$16))),11,""))))</f>
        <v/>
      </c>
      <c r="M344">
        <f>IF('Recurring Schedule'!$C$17="","",IF('Recurring Schedule'!$F$17="","",IF(OR($A344&lt;'Recurring Schedule'!$F$17,$A344&gt;'Recurring Schedule'!$P$17),"",IF(IF('Recurring Schedule'!$N$17&gt;0,MOD($A344-'Recurring Schedule'!$F$17,'Recurring Schedule'!$N$17)=0,IF('Recurring Schedule'!$O$17&gt;0,AND(DAY($A344)=MIN(DAY('Recurring Schedule'!$F$17),DAY(EOMONTH($A344,0))),MOD((YEAR($A344)-YEAR('Recurring Schedule'!$F$17))*12+MONTH($A344)-MONTH('Recurring Schedule'!$F$17),'Recurring Schedule'!$O$17)=0),IF('Recurring Schedule'!$E$17="Weekdays",WEEKDAY($A344,2)&lt;=5,$A344='Recurring Schedule'!$F$17))),12,""))))</f>
        <v/>
      </c>
      <c r="N344">
        <f>IF('Recurring Schedule'!$C$18="","",IF('Recurring Schedule'!$F$18="","",IF(OR($A344&lt;'Recurring Schedule'!$F$18,$A344&gt;'Recurring Schedule'!$P$18),"",IF(IF('Recurring Schedule'!$N$18&gt;0,MOD($A344-'Recurring Schedule'!$F$18,'Recurring Schedule'!$N$18)=0,IF('Recurring Schedule'!$O$18&gt;0,AND(DAY($A344)=MIN(DAY('Recurring Schedule'!$F$18),DAY(EOMONTH($A344,0))),MOD((YEAR($A344)-YEAR('Recurring Schedule'!$F$18))*12+MONTH($A344)-MONTH('Recurring Schedule'!$F$18),'Recurring Schedule'!$O$18)=0),IF('Recurring Schedule'!$E$18="Weekdays",WEEKDAY($A344,2)&lt;=5,$A344='Recurring Schedule'!$F$18))),13,""))))</f>
        <v/>
      </c>
      <c r="O344">
        <f>IF('Recurring Schedule'!$C$19="","",IF('Recurring Schedule'!$F$19="","",IF(OR($A344&lt;'Recurring Schedule'!$F$19,$A344&gt;'Recurring Schedule'!$P$19),"",IF(IF('Recurring Schedule'!$N$19&gt;0,MOD($A344-'Recurring Schedule'!$F$19,'Recurring Schedule'!$N$19)=0,IF('Recurring Schedule'!$O$19&gt;0,AND(DAY($A344)=MIN(DAY('Recurring Schedule'!$F$19),DAY(EOMONTH($A344,0))),MOD((YEAR($A344)-YEAR('Recurring Schedule'!$F$19))*12+MONTH($A344)-MONTH('Recurring Schedule'!$F$19),'Recurring Schedule'!$O$19)=0),IF('Recurring Schedule'!$E$19="Weekdays",WEEKDAY($A344,2)&lt;=5,$A344='Recurring Schedule'!$F$19))),14,""))))</f>
        <v/>
      </c>
      <c r="P344">
        <f>IF('Recurring Schedule'!$C$20="","",IF('Recurring Schedule'!$F$20="","",IF(OR($A344&lt;'Recurring Schedule'!$F$20,$A344&gt;'Recurring Schedule'!$P$20),"",IF(IF('Recurring Schedule'!$N$20&gt;0,MOD($A344-'Recurring Schedule'!$F$20,'Recurring Schedule'!$N$20)=0,IF('Recurring Schedule'!$O$20&gt;0,AND(DAY($A344)=MIN(DAY('Recurring Schedule'!$F$20),DAY(EOMONTH($A344,0))),MOD((YEAR($A344)-YEAR('Recurring Schedule'!$F$20))*12+MONTH($A344)-MONTH('Recurring Schedule'!$F$20),'Recurring Schedule'!$O$20)=0),IF('Recurring Schedule'!$E$20="Weekdays",WEEKDAY($A344,2)&lt;=5,$A344='Recurring Schedule'!$F$20))),15,""))))</f>
        <v/>
      </c>
      <c r="Q344">
        <f>IF('Recurring Schedule'!$C$21="","",IF('Recurring Schedule'!$F$21="","",IF(OR($A344&lt;'Recurring Schedule'!$F$21,$A344&gt;'Recurring Schedule'!$P$21),"",IF(IF('Recurring Schedule'!$N$21&gt;0,MOD($A344-'Recurring Schedule'!$F$21,'Recurring Schedule'!$N$21)=0,IF('Recurring Schedule'!$O$21&gt;0,AND(DAY($A344)=MIN(DAY('Recurring Schedule'!$F$21),DAY(EOMONTH($A344,0))),MOD((YEAR($A344)-YEAR('Recurring Schedule'!$F$21))*12+MONTH($A344)-MONTH('Recurring Schedule'!$F$21),'Recurring Schedule'!$O$21)=0),IF('Recurring Schedule'!$E$21="Weekdays",WEEKDAY($A344,2)&lt;=5,$A344='Recurring Schedule'!$F$21))),16,""))))</f>
        <v/>
      </c>
      <c r="R344">
        <f>IF('Recurring Schedule'!$C$22="","",IF('Recurring Schedule'!$F$22="","",IF(OR($A344&lt;'Recurring Schedule'!$F$22,$A344&gt;'Recurring Schedule'!$P$22),"",IF(IF('Recurring Schedule'!$N$22&gt;0,MOD($A344-'Recurring Schedule'!$F$22,'Recurring Schedule'!$N$22)=0,IF('Recurring Schedule'!$O$22&gt;0,AND(DAY($A344)=MIN(DAY('Recurring Schedule'!$F$22),DAY(EOMONTH($A344,0))),MOD((YEAR($A344)-YEAR('Recurring Schedule'!$F$22))*12+MONTH($A344)-MONTH('Recurring Schedule'!$F$22),'Recurring Schedule'!$O$22)=0),IF('Recurring Schedule'!$E$22="Weekdays",WEEKDAY($A344,2)&lt;=5,$A344='Recurring Schedule'!$F$22))),17,""))))</f>
        <v/>
      </c>
      <c r="S344">
        <f>IF('Recurring Schedule'!$C$23="","",IF('Recurring Schedule'!$F$23="","",IF(OR($A344&lt;'Recurring Schedule'!$F$23,$A344&gt;'Recurring Schedule'!$P$23),"",IF(IF('Recurring Schedule'!$N$23&gt;0,MOD($A344-'Recurring Schedule'!$F$23,'Recurring Schedule'!$N$23)=0,IF('Recurring Schedule'!$O$23&gt;0,AND(DAY($A344)=MIN(DAY('Recurring Schedule'!$F$23),DAY(EOMONTH($A344,0))),MOD((YEAR($A344)-YEAR('Recurring Schedule'!$F$23))*12+MONTH($A344)-MONTH('Recurring Schedule'!$F$23),'Recurring Schedule'!$O$23)=0),IF('Recurring Schedule'!$E$23="Weekdays",WEEKDAY($A344,2)&lt;=5,$A344='Recurring Schedule'!$F$23))),18,""))))</f>
        <v/>
      </c>
      <c r="T344">
        <f>IF('Recurring Schedule'!$C$24="","",IF('Recurring Schedule'!$F$24="","",IF(OR($A344&lt;'Recurring Schedule'!$F$24,$A344&gt;'Recurring Schedule'!$P$24),"",IF(IF('Recurring Schedule'!$N$24&gt;0,MOD($A344-'Recurring Schedule'!$F$24,'Recurring Schedule'!$N$24)=0,IF('Recurring Schedule'!$O$24&gt;0,AND(DAY($A344)=MIN(DAY('Recurring Schedule'!$F$24),DAY(EOMONTH($A344,0))),MOD((YEAR($A344)-YEAR('Recurring Schedule'!$F$24))*12+MONTH($A344)-MONTH('Recurring Schedule'!$F$24),'Recurring Schedule'!$O$24)=0),IF('Recurring Schedule'!$E$24="Weekdays",WEEKDAY($A344,2)&lt;=5,$A344='Recurring Schedule'!$F$24))),19,""))))</f>
        <v/>
      </c>
      <c r="U344">
        <f>IF('Recurring Schedule'!$C$25="","",IF('Recurring Schedule'!$F$25="","",IF(OR($A344&lt;'Recurring Schedule'!$F$25,$A344&gt;'Recurring Schedule'!$P$25),"",IF(IF('Recurring Schedule'!$N$25&gt;0,MOD($A344-'Recurring Schedule'!$F$25,'Recurring Schedule'!$N$25)=0,IF('Recurring Schedule'!$O$25&gt;0,AND(DAY($A344)=MIN(DAY('Recurring Schedule'!$F$25),DAY(EOMONTH($A344,0))),MOD((YEAR($A344)-YEAR('Recurring Schedule'!$F$25))*12+MONTH($A344)-MONTH('Recurring Schedule'!$F$25),'Recurring Schedule'!$O$25)=0),IF('Recurring Schedule'!$E$25="Weekdays",WEEKDAY($A344,2)&lt;=5,$A344='Recurring Schedule'!$F$25))),20,""))))</f>
        <v/>
      </c>
      <c r="V344">
        <f>IF('Recurring Schedule'!$C$26="","",IF('Recurring Schedule'!$F$26="","",IF(OR($A344&lt;'Recurring Schedule'!$F$26,$A344&gt;'Recurring Schedule'!$P$26),"",IF(IF('Recurring Schedule'!$N$26&gt;0,MOD($A344-'Recurring Schedule'!$F$26,'Recurring Schedule'!$N$26)=0,IF('Recurring Schedule'!$O$26&gt;0,AND(DAY($A344)=MIN(DAY('Recurring Schedule'!$F$26),DAY(EOMONTH($A344,0))),MOD((YEAR($A344)-YEAR('Recurring Schedule'!$F$26))*12+MONTH($A344)-MONTH('Recurring Schedule'!$F$26),'Recurring Schedule'!$O$26)=0),IF('Recurring Schedule'!$E$26="Weekdays",WEEKDAY($A344,2)&lt;=5,$A344='Recurring Schedule'!$F$26))),21,""))))</f>
        <v/>
      </c>
      <c r="W344">
        <f>IF('Recurring Schedule'!$C$27="","",IF('Recurring Schedule'!$F$27="","",IF(OR($A344&lt;'Recurring Schedule'!$F$27,$A344&gt;'Recurring Schedule'!$P$27),"",IF(IF('Recurring Schedule'!$N$27&gt;0,MOD($A344-'Recurring Schedule'!$F$27,'Recurring Schedule'!$N$27)=0,IF('Recurring Schedule'!$O$27&gt;0,AND(DAY($A344)=MIN(DAY('Recurring Schedule'!$F$27),DAY(EOMONTH($A344,0))),MOD((YEAR($A344)-YEAR('Recurring Schedule'!$F$27))*12+MONTH($A344)-MONTH('Recurring Schedule'!$F$27),'Recurring Schedule'!$O$27)=0),IF('Recurring Schedule'!$E$27="Weekdays",WEEKDAY($A344,2)&lt;=5,$A344='Recurring Schedule'!$F$27))),22,""))))</f>
        <v/>
      </c>
      <c r="X344">
        <f>IF('Recurring Schedule'!$C$28="","",IF('Recurring Schedule'!$F$28="","",IF(OR($A344&lt;'Recurring Schedule'!$F$28,$A344&gt;'Recurring Schedule'!$P$28),"",IF(IF('Recurring Schedule'!$N$28&gt;0,MOD($A344-'Recurring Schedule'!$F$28,'Recurring Schedule'!$N$28)=0,IF('Recurring Schedule'!$O$28&gt;0,AND(DAY($A344)=MIN(DAY('Recurring Schedule'!$F$28),DAY(EOMONTH($A344,0))),MOD((YEAR($A344)-YEAR('Recurring Schedule'!$F$28))*12+MONTH($A344)-MONTH('Recurring Schedule'!$F$28),'Recurring Schedule'!$O$28)=0),IF('Recurring Schedule'!$E$28="Weekdays",WEEKDAY($A344,2)&lt;=5,$A344='Recurring Schedule'!$F$28))),23,""))))</f>
        <v/>
      </c>
      <c r="Y344">
        <f>IF('Recurring Schedule'!$C$29="","",IF('Recurring Schedule'!$F$29="","",IF(OR($A344&lt;'Recurring Schedule'!$F$29,$A344&gt;'Recurring Schedule'!$P$29),"",IF(IF('Recurring Schedule'!$N$29&gt;0,MOD($A344-'Recurring Schedule'!$F$29,'Recurring Schedule'!$N$29)=0,IF('Recurring Schedule'!$O$29&gt;0,AND(DAY($A344)=MIN(DAY('Recurring Schedule'!$F$29),DAY(EOMONTH($A344,0))),MOD((YEAR($A344)-YEAR('Recurring Schedule'!$F$29))*12+MONTH($A344)-MONTH('Recurring Schedule'!$F$29),'Recurring Schedule'!$O$29)=0),IF('Recurring Schedule'!$E$29="Weekdays",WEEKDAY($A344,2)&lt;=5,$A344='Recurring Schedule'!$F$29))),24,""))))</f>
        <v/>
      </c>
      <c r="Z344">
        <f>IF('Recurring Schedule'!$C$30="","",IF('Recurring Schedule'!$F$30="","",IF(OR($A344&lt;'Recurring Schedule'!$F$30,$A344&gt;'Recurring Schedule'!$P$30),"",IF(IF('Recurring Schedule'!$N$30&gt;0,MOD($A344-'Recurring Schedule'!$F$30,'Recurring Schedule'!$N$30)=0,IF('Recurring Schedule'!$O$30&gt;0,AND(DAY($A344)=MIN(DAY('Recurring Schedule'!$F$30),DAY(EOMONTH($A344,0))),MOD((YEAR($A344)-YEAR('Recurring Schedule'!$F$30))*12+MONTH($A344)-MONTH('Recurring Schedule'!$F$30),'Recurring Schedule'!$O$30)=0),IF('Recurring Schedule'!$E$30="Weekdays",WEEKDAY($A344,2)&lt;=5,$A344='Recurring Schedule'!$F$30))),25,""))))</f>
        <v/>
      </c>
      <c r="AA344">
        <f>IF('Recurring Schedule'!$C$31="","",IF('Recurring Schedule'!$F$31="","",IF(OR($A344&lt;'Recurring Schedule'!$F$31,$A344&gt;'Recurring Schedule'!$P$31),"",IF(IF('Recurring Schedule'!$N$31&gt;0,MOD($A344-'Recurring Schedule'!$F$31,'Recurring Schedule'!$N$31)=0,IF('Recurring Schedule'!$O$31&gt;0,AND(DAY($A344)=MIN(DAY('Recurring Schedule'!$F$31),DAY(EOMONTH($A344,0))),MOD((YEAR($A344)-YEAR('Recurring Schedule'!$F$31))*12+MONTH($A344)-MONTH('Recurring Schedule'!$F$31),'Recurring Schedule'!$O$31)=0),IF('Recurring Schedule'!$E$31="Weekdays",WEEKDAY($A344,2)&lt;=5,$A344='Recurring Schedule'!$F$31))),26,""))))</f>
        <v/>
      </c>
      <c r="AB344">
        <f>IF('Recurring Schedule'!$C$32="","",IF('Recurring Schedule'!$F$32="","",IF(OR($A344&lt;'Recurring Schedule'!$F$32,$A344&gt;'Recurring Schedule'!$P$32),"",IF(IF('Recurring Schedule'!$N$32&gt;0,MOD($A344-'Recurring Schedule'!$F$32,'Recurring Schedule'!$N$32)=0,IF('Recurring Schedule'!$O$32&gt;0,AND(DAY($A344)=MIN(DAY('Recurring Schedule'!$F$32),DAY(EOMONTH($A344,0))),MOD((YEAR($A344)-YEAR('Recurring Schedule'!$F$32))*12+MONTH($A344)-MONTH('Recurring Schedule'!$F$32),'Recurring Schedule'!$O$32)=0),IF('Recurring Schedule'!$E$32="Weekdays",WEEKDAY($A344,2)&lt;=5,$A344='Recurring Schedule'!$F$32))),27,""))))</f>
        <v/>
      </c>
      <c r="AC344">
        <f>IF('Recurring Schedule'!$C$33="","",IF('Recurring Schedule'!$F$33="","",IF(OR($A344&lt;'Recurring Schedule'!$F$33,$A344&gt;'Recurring Schedule'!$P$33),"",IF(IF('Recurring Schedule'!$N$33&gt;0,MOD($A344-'Recurring Schedule'!$F$33,'Recurring Schedule'!$N$33)=0,IF('Recurring Schedule'!$O$33&gt;0,AND(DAY($A344)=MIN(DAY('Recurring Schedule'!$F$33),DAY(EOMONTH($A344,0))),MOD((YEAR($A344)-YEAR('Recurring Schedule'!$F$33))*12+MONTH($A344)-MONTH('Recurring Schedule'!$F$33),'Recurring Schedule'!$O$33)=0),IF('Recurring Schedule'!$E$33="Weekdays",WEEKDAY($A344,2)&lt;=5,$A344='Recurring Schedule'!$F$33))),28,""))))</f>
        <v/>
      </c>
      <c r="AD344">
        <f>IF('Recurring Schedule'!$C$34="","",IF('Recurring Schedule'!$F$34="","",IF(OR($A344&lt;'Recurring Schedule'!$F$34,$A344&gt;'Recurring Schedule'!$P$34),"",IF(IF('Recurring Schedule'!$N$34&gt;0,MOD($A344-'Recurring Schedule'!$F$34,'Recurring Schedule'!$N$34)=0,IF('Recurring Schedule'!$O$34&gt;0,AND(DAY($A344)=MIN(DAY('Recurring Schedule'!$F$34),DAY(EOMONTH($A344,0))),MOD((YEAR($A344)-YEAR('Recurring Schedule'!$F$34))*12+MONTH($A344)-MONTH('Recurring Schedule'!$F$34),'Recurring Schedule'!$O$34)=0),IF('Recurring Schedule'!$E$34="Weekdays",WEEKDAY($A344,2)&lt;=5,$A344='Recurring Schedule'!$F$34))),29,""))))</f>
        <v/>
      </c>
      <c r="AE344">
        <f>IF('Recurring Schedule'!$C$35="","",IF('Recurring Schedule'!$F$35="","",IF(OR($A344&lt;'Recurring Schedule'!$F$35,$A344&gt;'Recurring Schedule'!$P$35),"",IF(IF('Recurring Schedule'!$N$35&gt;0,MOD($A344-'Recurring Schedule'!$F$35,'Recurring Schedule'!$N$35)=0,IF('Recurring Schedule'!$O$35&gt;0,AND(DAY($A344)=MIN(DAY('Recurring Schedule'!$F$35),DAY(EOMONTH($A344,0))),MOD((YEAR($A344)-YEAR('Recurring Schedule'!$F$35))*12+MONTH($A344)-MONTH('Recurring Schedule'!$F$35),'Recurring Schedule'!$O$35)=0),IF('Recurring Schedule'!$E$35="Weekdays",WEEKDAY($A344,2)&lt;=5,$A344='Recurring Schedule'!$F$35))),30,""))))</f>
        <v/>
      </c>
      <c r="AF344">
        <f>IF('Recurring Schedule'!$C$36="","",IF('Recurring Schedule'!$F$36="","",IF(OR($A344&lt;'Recurring Schedule'!$F$36,$A344&gt;'Recurring Schedule'!$P$36),"",IF(IF('Recurring Schedule'!$N$36&gt;0,MOD($A344-'Recurring Schedule'!$F$36,'Recurring Schedule'!$N$36)=0,IF('Recurring Schedule'!$O$36&gt;0,AND(DAY($A344)=MIN(DAY('Recurring Schedule'!$F$36),DAY(EOMONTH($A344,0))),MOD((YEAR($A344)-YEAR('Recurring Schedule'!$F$36))*12+MONTH($A344)-MONTH('Recurring Schedule'!$F$36),'Recurring Schedule'!$O$36)=0),IF('Recurring Schedule'!$E$36="Weekdays",WEEKDAY($A344,2)&lt;=5,$A344='Recurring Schedule'!$F$36))),31,""))))</f>
        <v/>
      </c>
      <c r="AG344">
        <f>IF('Recurring Schedule'!$C$37="","",IF('Recurring Schedule'!$F$37="","",IF(OR($A344&lt;'Recurring Schedule'!$F$37,$A344&gt;'Recurring Schedule'!$P$37),"",IF(IF('Recurring Schedule'!$N$37&gt;0,MOD($A344-'Recurring Schedule'!$F$37,'Recurring Schedule'!$N$37)=0,IF('Recurring Schedule'!$O$37&gt;0,AND(DAY($A344)=MIN(DAY('Recurring Schedule'!$F$37),DAY(EOMONTH($A344,0))),MOD((YEAR($A344)-YEAR('Recurring Schedule'!$F$37))*12+MONTH($A344)-MONTH('Recurring Schedule'!$F$37),'Recurring Schedule'!$O$37)=0),IF('Recurring Schedule'!$E$37="Weekdays",WEEKDAY($A344,2)&lt;=5,$A344='Recurring Schedule'!$F$37))),32,""))))</f>
        <v/>
      </c>
      <c r="AH344">
        <f>IF('Recurring Schedule'!$C$38="","",IF('Recurring Schedule'!$F$38="","",IF(OR($A344&lt;'Recurring Schedule'!$F$38,$A344&gt;'Recurring Schedule'!$P$38),"",IF(IF('Recurring Schedule'!$N$38&gt;0,MOD($A344-'Recurring Schedule'!$F$38,'Recurring Schedule'!$N$38)=0,IF('Recurring Schedule'!$O$38&gt;0,AND(DAY($A344)=MIN(DAY('Recurring Schedule'!$F$38),DAY(EOMONTH($A344,0))),MOD((YEAR($A344)-YEAR('Recurring Schedule'!$F$38))*12+MONTH($A344)-MONTH('Recurring Schedule'!$F$38),'Recurring Schedule'!$O$38)=0),IF('Recurring Schedule'!$E$38="Weekdays",WEEKDAY($A344,2)&lt;=5,$A344='Recurring Schedule'!$F$38))),33,""))))</f>
        <v/>
      </c>
      <c r="AI344">
        <f>IF('Recurring Schedule'!$C$39="","",IF('Recurring Schedule'!$F$39="","",IF(OR($A344&lt;'Recurring Schedule'!$F$39,$A344&gt;'Recurring Schedule'!$P$39),"",IF(IF('Recurring Schedule'!$N$39&gt;0,MOD($A344-'Recurring Schedule'!$F$39,'Recurring Schedule'!$N$39)=0,IF('Recurring Schedule'!$O$39&gt;0,AND(DAY($A344)=MIN(DAY('Recurring Schedule'!$F$39),DAY(EOMONTH($A344,0))),MOD((YEAR($A344)-YEAR('Recurring Schedule'!$F$39))*12+MONTH($A344)-MONTH('Recurring Schedule'!$F$39),'Recurring Schedule'!$O$39)=0),IF('Recurring Schedule'!$E$39="Weekdays",WEEKDAY($A344,2)&lt;=5,$A344='Recurring Schedule'!$F$39))),34,""))))</f>
        <v/>
      </c>
      <c r="AJ344">
        <f>IF('Recurring Schedule'!$C$40="","",IF('Recurring Schedule'!$F$40="","",IF(OR($A344&lt;'Recurring Schedule'!$F$40,$A344&gt;'Recurring Schedule'!$P$40),"",IF(IF('Recurring Schedule'!$N$40&gt;0,MOD($A344-'Recurring Schedule'!$F$40,'Recurring Schedule'!$N$40)=0,IF('Recurring Schedule'!$O$40&gt;0,AND(DAY($A344)=MIN(DAY('Recurring Schedule'!$F$40),DAY(EOMONTH($A344,0))),MOD((YEAR($A344)-YEAR('Recurring Schedule'!$F$40))*12+MONTH($A344)-MONTH('Recurring Schedule'!$F$40),'Recurring Schedule'!$O$40)=0),IF('Recurring Schedule'!$E$40="Weekdays",WEEKDAY($A344,2)&lt;=5,$A344='Recurring Schedule'!$F$40))),35,""))))</f>
        <v/>
      </c>
      <c r="AK344">
        <f>IF('Recurring Schedule'!$C$41="","",IF('Recurring Schedule'!$F$41="","",IF(OR($A344&lt;'Recurring Schedule'!$F$41,$A344&gt;'Recurring Schedule'!$P$41),"",IF(IF('Recurring Schedule'!$N$41&gt;0,MOD($A344-'Recurring Schedule'!$F$41,'Recurring Schedule'!$N$41)=0,IF('Recurring Schedule'!$O$41&gt;0,AND(DAY($A344)=MIN(DAY('Recurring Schedule'!$F$41),DAY(EOMONTH($A344,0))),MOD((YEAR($A344)-YEAR('Recurring Schedule'!$F$41))*12+MONTH($A344)-MONTH('Recurring Schedule'!$F$41),'Recurring Schedule'!$O$41)=0),IF('Recurring Schedule'!$E$41="Weekdays",WEEKDAY($A344,2)&lt;=5,$A344='Recurring Schedule'!$F$41))),36,""))))</f>
        <v/>
      </c>
      <c r="AL344">
        <f>IF('Recurring Schedule'!$C$42="","",IF('Recurring Schedule'!$F$42="","",IF(OR($A344&lt;'Recurring Schedule'!$F$42,$A344&gt;'Recurring Schedule'!$P$42),"",IF(IF('Recurring Schedule'!$N$42&gt;0,MOD($A344-'Recurring Schedule'!$F$42,'Recurring Schedule'!$N$42)=0,IF('Recurring Schedule'!$O$42&gt;0,AND(DAY($A344)=MIN(DAY('Recurring Schedule'!$F$42),DAY(EOMONTH($A344,0))),MOD((YEAR($A344)-YEAR('Recurring Schedule'!$F$42))*12+MONTH($A344)-MONTH('Recurring Schedule'!$F$42),'Recurring Schedule'!$O$42)=0),IF('Recurring Schedule'!$E$42="Weekdays",WEEKDAY($A344,2)&lt;=5,$A344='Recurring Schedule'!$F$42))),37,""))))</f>
        <v/>
      </c>
      <c r="AM344">
        <f>IF('Recurring Schedule'!$C$43="","",IF('Recurring Schedule'!$F$43="","",IF(OR($A344&lt;'Recurring Schedule'!$F$43,$A344&gt;'Recurring Schedule'!$P$43),"",IF(IF('Recurring Schedule'!$N$43&gt;0,MOD($A344-'Recurring Schedule'!$F$43,'Recurring Schedule'!$N$43)=0,IF('Recurring Schedule'!$O$43&gt;0,AND(DAY($A344)=MIN(DAY('Recurring Schedule'!$F$43),DAY(EOMONTH($A344,0))),MOD((YEAR($A344)-YEAR('Recurring Schedule'!$F$43))*12+MONTH($A344)-MONTH('Recurring Schedule'!$F$43),'Recurring Schedule'!$O$43)=0),IF('Recurring Schedule'!$E$43="Weekdays",WEEKDAY($A344,2)&lt;=5,$A344='Recurring Schedule'!$F$43))),38,""))))</f>
        <v/>
      </c>
      <c r="AN344">
        <f>IF('Recurring Schedule'!$C$44="","",IF('Recurring Schedule'!$F$44="","",IF(OR($A344&lt;'Recurring Schedule'!$F$44,$A344&gt;'Recurring Schedule'!$P$44),"",IF(IF('Recurring Schedule'!$N$44&gt;0,MOD($A344-'Recurring Schedule'!$F$44,'Recurring Schedule'!$N$44)=0,IF('Recurring Schedule'!$O$44&gt;0,AND(DAY($A344)=MIN(DAY('Recurring Schedule'!$F$44),DAY(EOMONTH($A344,0))),MOD((YEAR($A344)-YEAR('Recurring Schedule'!$F$44))*12+MONTH($A344)-MONTH('Recurring Schedule'!$F$44),'Recurring Schedule'!$O$44)=0),IF('Recurring Schedule'!$E$44="Weekdays",WEEKDAY($A344,2)&lt;=5,$A344='Recurring Schedule'!$F$44))),39,""))))</f>
        <v/>
      </c>
      <c r="AO344">
        <f>IF('Recurring Schedule'!$C$45="","",IF('Recurring Schedule'!$F$45="","",IF(OR($A344&lt;'Recurring Schedule'!$F$45,$A344&gt;'Recurring Schedule'!$P$45),"",IF(IF('Recurring Schedule'!$N$45&gt;0,MOD($A344-'Recurring Schedule'!$F$45,'Recurring Schedule'!$N$45)=0,IF('Recurring Schedule'!$O$45&gt;0,AND(DAY($A344)=MIN(DAY('Recurring Schedule'!$F$45),DAY(EOMONTH($A344,0))),MOD((YEAR($A344)-YEAR('Recurring Schedule'!$F$45))*12+MONTH($A344)-MONTH('Recurring Schedule'!$F$45),'Recurring Schedule'!$O$45)=0),IF('Recurring Schedule'!$E$45="Weekdays",WEEKDAY($A344,2)&lt;=5,$A344='Recurring Schedule'!$F$45))),40,""))))</f>
        <v/>
      </c>
      <c r="AP344">
        <f>COUNT(B344:AO344)</f>
        <v/>
      </c>
      <c r="AQ344">
        <f>AQ343+AP343</f>
        <v/>
      </c>
      <c r="AS344" t="inlineStr">
        <is>
          <t>R</t>
        </is>
      </c>
      <c r="AT344" t="n">
        <v>348</v>
      </c>
      <c r="AU344">
        <f>'Recurring Log'!C348&amp;""</f>
        <v/>
      </c>
      <c r="AV344">
        <f>'Recurring Log'!D348&amp;""</f>
        <v/>
      </c>
      <c r="AW344">
        <f>IF('Recurring Log'!E348="","",'Recurring Log'!E348)</f>
        <v/>
      </c>
      <c r="AX344">
        <f>IF('Recurring Log'!G348="","",'Recurring Log'!G348)</f>
        <v/>
      </c>
      <c r="AY344">
        <f>IF('Recurring Log'!H348="","",'Recurring Log'!H348)</f>
        <v/>
      </c>
      <c r="AZ344">
        <f>IF(AU344="","",IF('Recurring Log'!J348="","Not Started",'Recurring Log'!J348))</f>
        <v/>
      </c>
      <c r="BA344">
        <f>'Recurring Log'!L348&amp;""</f>
        <v/>
      </c>
      <c r="BB344">
        <f>'Recurring Log'!M348&amp;""</f>
        <v/>
      </c>
      <c r="BC344">
        <f>'Recurring Log'!N348&amp;""</f>
        <v/>
      </c>
      <c r="BD344">
        <f>'Recurring Log'!O348&amp;""</f>
        <v/>
      </c>
      <c r="BE344">
        <f>IF('Recurring Log'!K348="","",'Recurring Log'!K348)</f>
        <v/>
      </c>
      <c r="BF344">
        <f>IFERROR(MATCH(BA344,Setup!$L$6:$L$9,0),5)</f>
        <v/>
      </c>
      <c r="BG344">
        <f>IF(OR(AZ344="Done",AZ344="Cancelled"),1,0)</f>
        <v/>
      </c>
      <c r="BH344">
        <f>IF(AND(AU344&lt;&gt;"",ISNUMBER(AW344)),1,0)</f>
        <v/>
      </c>
      <c r="BI344">
        <f>IF(BH344=0,0,IF(AND(AW344&gt;='Tasks Filter'!$F$3,AW344&lt;='Tasks Filter'!$F$4,OR('Tasks Filter'!$I$3="",ISNUMBER(SEARCH('Tasks Filter'!$I$3,AU344))),OR('Tasks Filter'!$I$4="",BF344=IFERROR(MATCH('Tasks Filter'!$I$4,Setup!$L$6:$L$9,0),0)),OR('Tasks Filter'!$I$5="Both",AND('Tasks Filter'!$I$5="Yes",BB344="✓"),AND('Tasks Filter'!$I$5="No",BB344&lt;&gt;"✓")),OR('Tasks Filter'!$L$3="",AV344='Tasks Filter'!$L$3),OR('Tasks Filter'!$L$4="",AZ344='Tasks Filter'!$L$4),OR('Tasks Filter'!$L$5="",BC344='Tasks Filter'!$L$5),OR('Tasks Filter'!$O$3="",BD344='Tasks Filter'!$O$3),OR('Tasks Filter'!$O$4="Yes",BG344=0)),1,0))</f>
        <v/>
      </c>
      <c r="BJ344">
        <f>IF(BH344=0,"",IF('Tasks Filter'!$F$6="Descending",-1,1)*CHOOSE(MATCH('Tasks Filter'!$F$5,Lists!$G$2:$G$6,0),AW344,BF344,IFERROR(MATCH(AV344,Setup!$F$6:$F$15,0),99),IFERROR(MATCH(BC344,Setup!$H$6:$H$15,0),99),IFERROR(MATCH(AZ344,Setup!$J$6:$J$11,0),99))*1E+9+(AW344-40000)*10000+343)</f>
        <v/>
      </c>
      <c r="BK344">
        <f>IF(BI344=1,BJ344,"")</f>
        <v/>
      </c>
      <c r="BL344">
        <f>IF(AND(BH344=1,BG344=0,N(AW344)&lt;Setup!$D$7),(AW344-40000)*10000+343,"")</f>
        <v/>
      </c>
      <c r="BM344">
        <f>IF(AND(BH344=1,AZ344&lt;&gt;"Cancelled",N(AW344)&gt;=Dashboard!$AB$3,N(AW344)&lt;=Dashboard!$AB$3+6),(AW344-40000)*100000+BF344*10000+343,"")</f>
        <v/>
      </c>
      <c r="BN344">
        <f>IF(AND(BH344=1,AZ344&lt;&gt;"Cancelled"),BF344*10000+343,"")</f>
        <v/>
      </c>
    </row>
    <row r="345">
      <c r="A345">
        <f>Setup!$D$5+343</f>
        <v/>
      </c>
      <c r="B345">
        <f>IF('Recurring Schedule'!$C$6="","",IF('Recurring Schedule'!$F$6="","",IF(OR($A345&lt;'Recurring Schedule'!$F$6,$A345&gt;'Recurring Schedule'!$P$6),"",IF(IF('Recurring Schedule'!$N$6&gt;0,MOD($A345-'Recurring Schedule'!$F$6,'Recurring Schedule'!$N$6)=0,IF('Recurring Schedule'!$O$6&gt;0,AND(DAY($A345)=MIN(DAY('Recurring Schedule'!$F$6),DAY(EOMONTH($A345,0))),MOD((YEAR($A345)-YEAR('Recurring Schedule'!$F$6))*12+MONTH($A345)-MONTH('Recurring Schedule'!$F$6),'Recurring Schedule'!$O$6)=0),IF('Recurring Schedule'!$E$6="Weekdays",WEEKDAY($A345,2)&lt;=5,$A345='Recurring Schedule'!$F$6))),1,""))))</f>
        <v/>
      </c>
      <c r="C345">
        <f>IF('Recurring Schedule'!$C$7="","",IF('Recurring Schedule'!$F$7="","",IF(OR($A345&lt;'Recurring Schedule'!$F$7,$A345&gt;'Recurring Schedule'!$P$7),"",IF(IF('Recurring Schedule'!$N$7&gt;0,MOD($A345-'Recurring Schedule'!$F$7,'Recurring Schedule'!$N$7)=0,IF('Recurring Schedule'!$O$7&gt;0,AND(DAY($A345)=MIN(DAY('Recurring Schedule'!$F$7),DAY(EOMONTH($A345,0))),MOD((YEAR($A345)-YEAR('Recurring Schedule'!$F$7))*12+MONTH($A345)-MONTH('Recurring Schedule'!$F$7),'Recurring Schedule'!$O$7)=0),IF('Recurring Schedule'!$E$7="Weekdays",WEEKDAY($A345,2)&lt;=5,$A345='Recurring Schedule'!$F$7))),2,""))))</f>
        <v/>
      </c>
      <c r="D345">
        <f>IF('Recurring Schedule'!$C$8="","",IF('Recurring Schedule'!$F$8="","",IF(OR($A345&lt;'Recurring Schedule'!$F$8,$A345&gt;'Recurring Schedule'!$P$8),"",IF(IF('Recurring Schedule'!$N$8&gt;0,MOD($A345-'Recurring Schedule'!$F$8,'Recurring Schedule'!$N$8)=0,IF('Recurring Schedule'!$O$8&gt;0,AND(DAY($A345)=MIN(DAY('Recurring Schedule'!$F$8),DAY(EOMONTH($A345,0))),MOD((YEAR($A345)-YEAR('Recurring Schedule'!$F$8))*12+MONTH($A345)-MONTH('Recurring Schedule'!$F$8),'Recurring Schedule'!$O$8)=0),IF('Recurring Schedule'!$E$8="Weekdays",WEEKDAY($A345,2)&lt;=5,$A345='Recurring Schedule'!$F$8))),3,""))))</f>
        <v/>
      </c>
      <c r="E345">
        <f>IF('Recurring Schedule'!$C$9="","",IF('Recurring Schedule'!$F$9="","",IF(OR($A345&lt;'Recurring Schedule'!$F$9,$A345&gt;'Recurring Schedule'!$P$9),"",IF(IF('Recurring Schedule'!$N$9&gt;0,MOD($A345-'Recurring Schedule'!$F$9,'Recurring Schedule'!$N$9)=0,IF('Recurring Schedule'!$O$9&gt;0,AND(DAY($A345)=MIN(DAY('Recurring Schedule'!$F$9),DAY(EOMONTH($A345,0))),MOD((YEAR($A345)-YEAR('Recurring Schedule'!$F$9))*12+MONTH($A345)-MONTH('Recurring Schedule'!$F$9),'Recurring Schedule'!$O$9)=0),IF('Recurring Schedule'!$E$9="Weekdays",WEEKDAY($A345,2)&lt;=5,$A345='Recurring Schedule'!$F$9))),4,""))))</f>
        <v/>
      </c>
      <c r="F345">
        <f>IF('Recurring Schedule'!$C$10="","",IF('Recurring Schedule'!$F$10="","",IF(OR($A345&lt;'Recurring Schedule'!$F$10,$A345&gt;'Recurring Schedule'!$P$10),"",IF(IF('Recurring Schedule'!$N$10&gt;0,MOD($A345-'Recurring Schedule'!$F$10,'Recurring Schedule'!$N$10)=0,IF('Recurring Schedule'!$O$10&gt;0,AND(DAY($A345)=MIN(DAY('Recurring Schedule'!$F$10),DAY(EOMONTH($A345,0))),MOD((YEAR($A345)-YEAR('Recurring Schedule'!$F$10))*12+MONTH($A345)-MONTH('Recurring Schedule'!$F$10),'Recurring Schedule'!$O$10)=0),IF('Recurring Schedule'!$E$10="Weekdays",WEEKDAY($A345,2)&lt;=5,$A345='Recurring Schedule'!$F$10))),5,""))))</f>
        <v/>
      </c>
      <c r="G345">
        <f>IF('Recurring Schedule'!$C$11="","",IF('Recurring Schedule'!$F$11="","",IF(OR($A345&lt;'Recurring Schedule'!$F$11,$A345&gt;'Recurring Schedule'!$P$11),"",IF(IF('Recurring Schedule'!$N$11&gt;0,MOD($A345-'Recurring Schedule'!$F$11,'Recurring Schedule'!$N$11)=0,IF('Recurring Schedule'!$O$11&gt;0,AND(DAY($A345)=MIN(DAY('Recurring Schedule'!$F$11),DAY(EOMONTH($A345,0))),MOD((YEAR($A345)-YEAR('Recurring Schedule'!$F$11))*12+MONTH($A345)-MONTH('Recurring Schedule'!$F$11),'Recurring Schedule'!$O$11)=0),IF('Recurring Schedule'!$E$11="Weekdays",WEEKDAY($A345,2)&lt;=5,$A345='Recurring Schedule'!$F$11))),6,""))))</f>
        <v/>
      </c>
      <c r="H345">
        <f>IF('Recurring Schedule'!$C$12="","",IF('Recurring Schedule'!$F$12="","",IF(OR($A345&lt;'Recurring Schedule'!$F$12,$A345&gt;'Recurring Schedule'!$P$12),"",IF(IF('Recurring Schedule'!$N$12&gt;0,MOD($A345-'Recurring Schedule'!$F$12,'Recurring Schedule'!$N$12)=0,IF('Recurring Schedule'!$O$12&gt;0,AND(DAY($A345)=MIN(DAY('Recurring Schedule'!$F$12),DAY(EOMONTH($A345,0))),MOD((YEAR($A345)-YEAR('Recurring Schedule'!$F$12))*12+MONTH($A345)-MONTH('Recurring Schedule'!$F$12),'Recurring Schedule'!$O$12)=0),IF('Recurring Schedule'!$E$12="Weekdays",WEEKDAY($A345,2)&lt;=5,$A345='Recurring Schedule'!$F$12))),7,""))))</f>
        <v/>
      </c>
      <c r="I345">
        <f>IF('Recurring Schedule'!$C$13="","",IF('Recurring Schedule'!$F$13="","",IF(OR($A345&lt;'Recurring Schedule'!$F$13,$A345&gt;'Recurring Schedule'!$P$13),"",IF(IF('Recurring Schedule'!$N$13&gt;0,MOD($A345-'Recurring Schedule'!$F$13,'Recurring Schedule'!$N$13)=0,IF('Recurring Schedule'!$O$13&gt;0,AND(DAY($A345)=MIN(DAY('Recurring Schedule'!$F$13),DAY(EOMONTH($A345,0))),MOD((YEAR($A345)-YEAR('Recurring Schedule'!$F$13))*12+MONTH($A345)-MONTH('Recurring Schedule'!$F$13),'Recurring Schedule'!$O$13)=0),IF('Recurring Schedule'!$E$13="Weekdays",WEEKDAY($A345,2)&lt;=5,$A345='Recurring Schedule'!$F$13))),8,""))))</f>
        <v/>
      </c>
      <c r="J345">
        <f>IF('Recurring Schedule'!$C$14="","",IF('Recurring Schedule'!$F$14="","",IF(OR($A345&lt;'Recurring Schedule'!$F$14,$A345&gt;'Recurring Schedule'!$P$14),"",IF(IF('Recurring Schedule'!$N$14&gt;0,MOD($A345-'Recurring Schedule'!$F$14,'Recurring Schedule'!$N$14)=0,IF('Recurring Schedule'!$O$14&gt;0,AND(DAY($A345)=MIN(DAY('Recurring Schedule'!$F$14),DAY(EOMONTH($A345,0))),MOD((YEAR($A345)-YEAR('Recurring Schedule'!$F$14))*12+MONTH($A345)-MONTH('Recurring Schedule'!$F$14),'Recurring Schedule'!$O$14)=0),IF('Recurring Schedule'!$E$14="Weekdays",WEEKDAY($A345,2)&lt;=5,$A345='Recurring Schedule'!$F$14))),9,""))))</f>
        <v/>
      </c>
      <c r="K345">
        <f>IF('Recurring Schedule'!$C$15="","",IF('Recurring Schedule'!$F$15="","",IF(OR($A345&lt;'Recurring Schedule'!$F$15,$A345&gt;'Recurring Schedule'!$P$15),"",IF(IF('Recurring Schedule'!$N$15&gt;0,MOD($A345-'Recurring Schedule'!$F$15,'Recurring Schedule'!$N$15)=0,IF('Recurring Schedule'!$O$15&gt;0,AND(DAY($A345)=MIN(DAY('Recurring Schedule'!$F$15),DAY(EOMONTH($A345,0))),MOD((YEAR($A345)-YEAR('Recurring Schedule'!$F$15))*12+MONTH($A345)-MONTH('Recurring Schedule'!$F$15),'Recurring Schedule'!$O$15)=0),IF('Recurring Schedule'!$E$15="Weekdays",WEEKDAY($A345,2)&lt;=5,$A345='Recurring Schedule'!$F$15))),10,""))))</f>
        <v/>
      </c>
      <c r="L345">
        <f>IF('Recurring Schedule'!$C$16="","",IF('Recurring Schedule'!$F$16="","",IF(OR($A345&lt;'Recurring Schedule'!$F$16,$A345&gt;'Recurring Schedule'!$P$16),"",IF(IF('Recurring Schedule'!$N$16&gt;0,MOD($A345-'Recurring Schedule'!$F$16,'Recurring Schedule'!$N$16)=0,IF('Recurring Schedule'!$O$16&gt;0,AND(DAY($A345)=MIN(DAY('Recurring Schedule'!$F$16),DAY(EOMONTH($A345,0))),MOD((YEAR($A345)-YEAR('Recurring Schedule'!$F$16))*12+MONTH($A345)-MONTH('Recurring Schedule'!$F$16),'Recurring Schedule'!$O$16)=0),IF('Recurring Schedule'!$E$16="Weekdays",WEEKDAY($A345,2)&lt;=5,$A345='Recurring Schedule'!$F$16))),11,""))))</f>
        <v/>
      </c>
      <c r="M345">
        <f>IF('Recurring Schedule'!$C$17="","",IF('Recurring Schedule'!$F$17="","",IF(OR($A345&lt;'Recurring Schedule'!$F$17,$A345&gt;'Recurring Schedule'!$P$17),"",IF(IF('Recurring Schedule'!$N$17&gt;0,MOD($A345-'Recurring Schedule'!$F$17,'Recurring Schedule'!$N$17)=0,IF('Recurring Schedule'!$O$17&gt;0,AND(DAY($A345)=MIN(DAY('Recurring Schedule'!$F$17),DAY(EOMONTH($A345,0))),MOD((YEAR($A345)-YEAR('Recurring Schedule'!$F$17))*12+MONTH($A345)-MONTH('Recurring Schedule'!$F$17),'Recurring Schedule'!$O$17)=0),IF('Recurring Schedule'!$E$17="Weekdays",WEEKDAY($A345,2)&lt;=5,$A345='Recurring Schedule'!$F$17))),12,""))))</f>
        <v/>
      </c>
      <c r="N345">
        <f>IF('Recurring Schedule'!$C$18="","",IF('Recurring Schedule'!$F$18="","",IF(OR($A345&lt;'Recurring Schedule'!$F$18,$A345&gt;'Recurring Schedule'!$P$18),"",IF(IF('Recurring Schedule'!$N$18&gt;0,MOD($A345-'Recurring Schedule'!$F$18,'Recurring Schedule'!$N$18)=0,IF('Recurring Schedule'!$O$18&gt;0,AND(DAY($A345)=MIN(DAY('Recurring Schedule'!$F$18),DAY(EOMONTH($A345,0))),MOD((YEAR($A345)-YEAR('Recurring Schedule'!$F$18))*12+MONTH($A345)-MONTH('Recurring Schedule'!$F$18),'Recurring Schedule'!$O$18)=0),IF('Recurring Schedule'!$E$18="Weekdays",WEEKDAY($A345,2)&lt;=5,$A345='Recurring Schedule'!$F$18))),13,""))))</f>
        <v/>
      </c>
      <c r="O345">
        <f>IF('Recurring Schedule'!$C$19="","",IF('Recurring Schedule'!$F$19="","",IF(OR($A345&lt;'Recurring Schedule'!$F$19,$A345&gt;'Recurring Schedule'!$P$19),"",IF(IF('Recurring Schedule'!$N$19&gt;0,MOD($A345-'Recurring Schedule'!$F$19,'Recurring Schedule'!$N$19)=0,IF('Recurring Schedule'!$O$19&gt;0,AND(DAY($A345)=MIN(DAY('Recurring Schedule'!$F$19),DAY(EOMONTH($A345,0))),MOD((YEAR($A345)-YEAR('Recurring Schedule'!$F$19))*12+MONTH($A345)-MONTH('Recurring Schedule'!$F$19),'Recurring Schedule'!$O$19)=0),IF('Recurring Schedule'!$E$19="Weekdays",WEEKDAY($A345,2)&lt;=5,$A345='Recurring Schedule'!$F$19))),14,""))))</f>
        <v/>
      </c>
      <c r="P345">
        <f>IF('Recurring Schedule'!$C$20="","",IF('Recurring Schedule'!$F$20="","",IF(OR($A345&lt;'Recurring Schedule'!$F$20,$A345&gt;'Recurring Schedule'!$P$20),"",IF(IF('Recurring Schedule'!$N$20&gt;0,MOD($A345-'Recurring Schedule'!$F$20,'Recurring Schedule'!$N$20)=0,IF('Recurring Schedule'!$O$20&gt;0,AND(DAY($A345)=MIN(DAY('Recurring Schedule'!$F$20),DAY(EOMONTH($A345,0))),MOD((YEAR($A345)-YEAR('Recurring Schedule'!$F$20))*12+MONTH($A345)-MONTH('Recurring Schedule'!$F$20),'Recurring Schedule'!$O$20)=0),IF('Recurring Schedule'!$E$20="Weekdays",WEEKDAY($A345,2)&lt;=5,$A345='Recurring Schedule'!$F$20))),15,""))))</f>
        <v/>
      </c>
      <c r="Q345">
        <f>IF('Recurring Schedule'!$C$21="","",IF('Recurring Schedule'!$F$21="","",IF(OR($A345&lt;'Recurring Schedule'!$F$21,$A345&gt;'Recurring Schedule'!$P$21),"",IF(IF('Recurring Schedule'!$N$21&gt;0,MOD($A345-'Recurring Schedule'!$F$21,'Recurring Schedule'!$N$21)=0,IF('Recurring Schedule'!$O$21&gt;0,AND(DAY($A345)=MIN(DAY('Recurring Schedule'!$F$21),DAY(EOMONTH($A345,0))),MOD((YEAR($A345)-YEAR('Recurring Schedule'!$F$21))*12+MONTH($A345)-MONTH('Recurring Schedule'!$F$21),'Recurring Schedule'!$O$21)=0),IF('Recurring Schedule'!$E$21="Weekdays",WEEKDAY($A345,2)&lt;=5,$A345='Recurring Schedule'!$F$21))),16,""))))</f>
        <v/>
      </c>
      <c r="R345">
        <f>IF('Recurring Schedule'!$C$22="","",IF('Recurring Schedule'!$F$22="","",IF(OR($A345&lt;'Recurring Schedule'!$F$22,$A345&gt;'Recurring Schedule'!$P$22),"",IF(IF('Recurring Schedule'!$N$22&gt;0,MOD($A345-'Recurring Schedule'!$F$22,'Recurring Schedule'!$N$22)=0,IF('Recurring Schedule'!$O$22&gt;0,AND(DAY($A345)=MIN(DAY('Recurring Schedule'!$F$22),DAY(EOMONTH($A345,0))),MOD((YEAR($A345)-YEAR('Recurring Schedule'!$F$22))*12+MONTH($A345)-MONTH('Recurring Schedule'!$F$22),'Recurring Schedule'!$O$22)=0),IF('Recurring Schedule'!$E$22="Weekdays",WEEKDAY($A345,2)&lt;=5,$A345='Recurring Schedule'!$F$22))),17,""))))</f>
        <v/>
      </c>
      <c r="S345">
        <f>IF('Recurring Schedule'!$C$23="","",IF('Recurring Schedule'!$F$23="","",IF(OR($A345&lt;'Recurring Schedule'!$F$23,$A345&gt;'Recurring Schedule'!$P$23),"",IF(IF('Recurring Schedule'!$N$23&gt;0,MOD($A345-'Recurring Schedule'!$F$23,'Recurring Schedule'!$N$23)=0,IF('Recurring Schedule'!$O$23&gt;0,AND(DAY($A345)=MIN(DAY('Recurring Schedule'!$F$23),DAY(EOMONTH($A345,0))),MOD((YEAR($A345)-YEAR('Recurring Schedule'!$F$23))*12+MONTH($A345)-MONTH('Recurring Schedule'!$F$23),'Recurring Schedule'!$O$23)=0),IF('Recurring Schedule'!$E$23="Weekdays",WEEKDAY($A345,2)&lt;=5,$A345='Recurring Schedule'!$F$23))),18,""))))</f>
        <v/>
      </c>
      <c r="T345">
        <f>IF('Recurring Schedule'!$C$24="","",IF('Recurring Schedule'!$F$24="","",IF(OR($A345&lt;'Recurring Schedule'!$F$24,$A345&gt;'Recurring Schedule'!$P$24),"",IF(IF('Recurring Schedule'!$N$24&gt;0,MOD($A345-'Recurring Schedule'!$F$24,'Recurring Schedule'!$N$24)=0,IF('Recurring Schedule'!$O$24&gt;0,AND(DAY($A345)=MIN(DAY('Recurring Schedule'!$F$24),DAY(EOMONTH($A345,0))),MOD((YEAR($A345)-YEAR('Recurring Schedule'!$F$24))*12+MONTH($A345)-MONTH('Recurring Schedule'!$F$24),'Recurring Schedule'!$O$24)=0),IF('Recurring Schedule'!$E$24="Weekdays",WEEKDAY($A345,2)&lt;=5,$A345='Recurring Schedule'!$F$24))),19,""))))</f>
        <v/>
      </c>
      <c r="U345">
        <f>IF('Recurring Schedule'!$C$25="","",IF('Recurring Schedule'!$F$25="","",IF(OR($A345&lt;'Recurring Schedule'!$F$25,$A345&gt;'Recurring Schedule'!$P$25),"",IF(IF('Recurring Schedule'!$N$25&gt;0,MOD($A345-'Recurring Schedule'!$F$25,'Recurring Schedule'!$N$25)=0,IF('Recurring Schedule'!$O$25&gt;0,AND(DAY($A345)=MIN(DAY('Recurring Schedule'!$F$25),DAY(EOMONTH($A345,0))),MOD((YEAR($A345)-YEAR('Recurring Schedule'!$F$25))*12+MONTH($A345)-MONTH('Recurring Schedule'!$F$25),'Recurring Schedule'!$O$25)=0),IF('Recurring Schedule'!$E$25="Weekdays",WEEKDAY($A345,2)&lt;=5,$A345='Recurring Schedule'!$F$25))),20,""))))</f>
        <v/>
      </c>
      <c r="V345">
        <f>IF('Recurring Schedule'!$C$26="","",IF('Recurring Schedule'!$F$26="","",IF(OR($A345&lt;'Recurring Schedule'!$F$26,$A345&gt;'Recurring Schedule'!$P$26),"",IF(IF('Recurring Schedule'!$N$26&gt;0,MOD($A345-'Recurring Schedule'!$F$26,'Recurring Schedule'!$N$26)=0,IF('Recurring Schedule'!$O$26&gt;0,AND(DAY($A345)=MIN(DAY('Recurring Schedule'!$F$26),DAY(EOMONTH($A345,0))),MOD((YEAR($A345)-YEAR('Recurring Schedule'!$F$26))*12+MONTH($A345)-MONTH('Recurring Schedule'!$F$26),'Recurring Schedule'!$O$26)=0),IF('Recurring Schedule'!$E$26="Weekdays",WEEKDAY($A345,2)&lt;=5,$A345='Recurring Schedule'!$F$26))),21,""))))</f>
        <v/>
      </c>
      <c r="W345">
        <f>IF('Recurring Schedule'!$C$27="","",IF('Recurring Schedule'!$F$27="","",IF(OR($A345&lt;'Recurring Schedule'!$F$27,$A345&gt;'Recurring Schedule'!$P$27),"",IF(IF('Recurring Schedule'!$N$27&gt;0,MOD($A345-'Recurring Schedule'!$F$27,'Recurring Schedule'!$N$27)=0,IF('Recurring Schedule'!$O$27&gt;0,AND(DAY($A345)=MIN(DAY('Recurring Schedule'!$F$27),DAY(EOMONTH($A345,0))),MOD((YEAR($A345)-YEAR('Recurring Schedule'!$F$27))*12+MONTH($A345)-MONTH('Recurring Schedule'!$F$27),'Recurring Schedule'!$O$27)=0),IF('Recurring Schedule'!$E$27="Weekdays",WEEKDAY($A345,2)&lt;=5,$A345='Recurring Schedule'!$F$27))),22,""))))</f>
        <v/>
      </c>
      <c r="X345">
        <f>IF('Recurring Schedule'!$C$28="","",IF('Recurring Schedule'!$F$28="","",IF(OR($A345&lt;'Recurring Schedule'!$F$28,$A345&gt;'Recurring Schedule'!$P$28),"",IF(IF('Recurring Schedule'!$N$28&gt;0,MOD($A345-'Recurring Schedule'!$F$28,'Recurring Schedule'!$N$28)=0,IF('Recurring Schedule'!$O$28&gt;0,AND(DAY($A345)=MIN(DAY('Recurring Schedule'!$F$28),DAY(EOMONTH($A345,0))),MOD((YEAR($A345)-YEAR('Recurring Schedule'!$F$28))*12+MONTH($A345)-MONTH('Recurring Schedule'!$F$28),'Recurring Schedule'!$O$28)=0),IF('Recurring Schedule'!$E$28="Weekdays",WEEKDAY($A345,2)&lt;=5,$A345='Recurring Schedule'!$F$28))),23,""))))</f>
        <v/>
      </c>
      <c r="Y345">
        <f>IF('Recurring Schedule'!$C$29="","",IF('Recurring Schedule'!$F$29="","",IF(OR($A345&lt;'Recurring Schedule'!$F$29,$A345&gt;'Recurring Schedule'!$P$29),"",IF(IF('Recurring Schedule'!$N$29&gt;0,MOD($A345-'Recurring Schedule'!$F$29,'Recurring Schedule'!$N$29)=0,IF('Recurring Schedule'!$O$29&gt;0,AND(DAY($A345)=MIN(DAY('Recurring Schedule'!$F$29),DAY(EOMONTH($A345,0))),MOD((YEAR($A345)-YEAR('Recurring Schedule'!$F$29))*12+MONTH($A345)-MONTH('Recurring Schedule'!$F$29),'Recurring Schedule'!$O$29)=0),IF('Recurring Schedule'!$E$29="Weekdays",WEEKDAY($A345,2)&lt;=5,$A345='Recurring Schedule'!$F$29))),24,""))))</f>
        <v/>
      </c>
      <c r="Z345">
        <f>IF('Recurring Schedule'!$C$30="","",IF('Recurring Schedule'!$F$30="","",IF(OR($A345&lt;'Recurring Schedule'!$F$30,$A345&gt;'Recurring Schedule'!$P$30),"",IF(IF('Recurring Schedule'!$N$30&gt;0,MOD($A345-'Recurring Schedule'!$F$30,'Recurring Schedule'!$N$30)=0,IF('Recurring Schedule'!$O$30&gt;0,AND(DAY($A345)=MIN(DAY('Recurring Schedule'!$F$30),DAY(EOMONTH($A345,0))),MOD((YEAR($A345)-YEAR('Recurring Schedule'!$F$30))*12+MONTH($A345)-MONTH('Recurring Schedule'!$F$30),'Recurring Schedule'!$O$30)=0),IF('Recurring Schedule'!$E$30="Weekdays",WEEKDAY($A345,2)&lt;=5,$A345='Recurring Schedule'!$F$30))),25,""))))</f>
        <v/>
      </c>
      <c r="AA345">
        <f>IF('Recurring Schedule'!$C$31="","",IF('Recurring Schedule'!$F$31="","",IF(OR($A345&lt;'Recurring Schedule'!$F$31,$A345&gt;'Recurring Schedule'!$P$31),"",IF(IF('Recurring Schedule'!$N$31&gt;0,MOD($A345-'Recurring Schedule'!$F$31,'Recurring Schedule'!$N$31)=0,IF('Recurring Schedule'!$O$31&gt;0,AND(DAY($A345)=MIN(DAY('Recurring Schedule'!$F$31),DAY(EOMONTH($A345,0))),MOD((YEAR($A345)-YEAR('Recurring Schedule'!$F$31))*12+MONTH($A345)-MONTH('Recurring Schedule'!$F$31),'Recurring Schedule'!$O$31)=0),IF('Recurring Schedule'!$E$31="Weekdays",WEEKDAY($A345,2)&lt;=5,$A345='Recurring Schedule'!$F$31))),26,""))))</f>
        <v/>
      </c>
      <c r="AB345">
        <f>IF('Recurring Schedule'!$C$32="","",IF('Recurring Schedule'!$F$32="","",IF(OR($A345&lt;'Recurring Schedule'!$F$32,$A345&gt;'Recurring Schedule'!$P$32),"",IF(IF('Recurring Schedule'!$N$32&gt;0,MOD($A345-'Recurring Schedule'!$F$32,'Recurring Schedule'!$N$32)=0,IF('Recurring Schedule'!$O$32&gt;0,AND(DAY($A345)=MIN(DAY('Recurring Schedule'!$F$32),DAY(EOMONTH($A345,0))),MOD((YEAR($A345)-YEAR('Recurring Schedule'!$F$32))*12+MONTH($A345)-MONTH('Recurring Schedule'!$F$32),'Recurring Schedule'!$O$32)=0),IF('Recurring Schedule'!$E$32="Weekdays",WEEKDAY($A345,2)&lt;=5,$A345='Recurring Schedule'!$F$32))),27,""))))</f>
        <v/>
      </c>
      <c r="AC345">
        <f>IF('Recurring Schedule'!$C$33="","",IF('Recurring Schedule'!$F$33="","",IF(OR($A345&lt;'Recurring Schedule'!$F$33,$A345&gt;'Recurring Schedule'!$P$33),"",IF(IF('Recurring Schedule'!$N$33&gt;0,MOD($A345-'Recurring Schedule'!$F$33,'Recurring Schedule'!$N$33)=0,IF('Recurring Schedule'!$O$33&gt;0,AND(DAY($A345)=MIN(DAY('Recurring Schedule'!$F$33),DAY(EOMONTH($A345,0))),MOD((YEAR($A345)-YEAR('Recurring Schedule'!$F$33))*12+MONTH($A345)-MONTH('Recurring Schedule'!$F$33),'Recurring Schedule'!$O$33)=0),IF('Recurring Schedule'!$E$33="Weekdays",WEEKDAY($A345,2)&lt;=5,$A345='Recurring Schedule'!$F$33))),28,""))))</f>
        <v/>
      </c>
      <c r="AD345">
        <f>IF('Recurring Schedule'!$C$34="","",IF('Recurring Schedule'!$F$34="","",IF(OR($A345&lt;'Recurring Schedule'!$F$34,$A345&gt;'Recurring Schedule'!$P$34),"",IF(IF('Recurring Schedule'!$N$34&gt;0,MOD($A345-'Recurring Schedule'!$F$34,'Recurring Schedule'!$N$34)=0,IF('Recurring Schedule'!$O$34&gt;0,AND(DAY($A345)=MIN(DAY('Recurring Schedule'!$F$34),DAY(EOMONTH($A345,0))),MOD((YEAR($A345)-YEAR('Recurring Schedule'!$F$34))*12+MONTH($A345)-MONTH('Recurring Schedule'!$F$34),'Recurring Schedule'!$O$34)=0),IF('Recurring Schedule'!$E$34="Weekdays",WEEKDAY($A345,2)&lt;=5,$A345='Recurring Schedule'!$F$34))),29,""))))</f>
        <v/>
      </c>
      <c r="AE345">
        <f>IF('Recurring Schedule'!$C$35="","",IF('Recurring Schedule'!$F$35="","",IF(OR($A345&lt;'Recurring Schedule'!$F$35,$A345&gt;'Recurring Schedule'!$P$35),"",IF(IF('Recurring Schedule'!$N$35&gt;0,MOD($A345-'Recurring Schedule'!$F$35,'Recurring Schedule'!$N$35)=0,IF('Recurring Schedule'!$O$35&gt;0,AND(DAY($A345)=MIN(DAY('Recurring Schedule'!$F$35),DAY(EOMONTH($A345,0))),MOD((YEAR($A345)-YEAR('Recurring Schedule'!$F$35))*12+MONTH($A345)-MONTH('Recurring Schedule'!$F$35),'Recurring Schedule'!$O$35)=0),IF('Recurring Schedule'!$E$35="Weekdays",WEEKDAY($A345,2)&lt;=5,$A345='Recurring Schedule'!$F$35))),30,""))))</f>
        <v/>
      </c>
      <c r="AF345">
        <f>IF('Recurring Schedule'!$C$36="","",IF('Recurring Schedule'!$F$36="","",IF(OR($A345&lt;'Recurring Schedule'!$F$36,$A345&gt;'Recurring Schedule'!$P$36),"",IF(IF('Recurring Schedule'!$N$36&gt;0,MOD($A345-'Recurring Schedule'!$F$36,'Recurring Schedule'!$N$36)=0,IF('Recurring Schedule'!$O$36&gt;0,AND(DAY($A345)=MIN(DAY('Recurring Schedule'!$F$36),DAY(EOMONTH($A345,0))),MOD((YEAR($A345)-YEAR('Recurring Schedule'!$F$36))*12+MONTH($A345)-MONTH('Recurring Schedule'!$F$36),'Recurring Schedule'!$O$36)=0),IF('Recurring Schedule'!$E$36="Weekdays",WEEKDAY($A345,2)&lt;=5,$A345='Recurring Schedule'!$F$36))),31,""))))</f>
        <v/>
      </c>
      <c r="AG345">
        <f>IF('Recurring Schedule'!$C$37="","",IF('Recurring Schedule'!$F$37="","",IF(OR($A345&lt;'Recurring Schedule'!$F$37,$A345&gt;'Recurring Schedule'!$P$37),"",IF(IF('Recurring Schedule'!$N$37&gt;0,MOD($A345-'Recurring Schedule'!$F$37,'Recurring Schedule'!$N$37)=0,IF('Recurring Schedule'!$O$37&gt;0,AND(DAY($A345)=MIN(DAY('Recurring Schedule'!$F$37),DAY(EOMONTH($A345,0))),MOD((YEAR($A345)-YEAR('Recurring Schedule'!$F$37))*12+MONTH($A345)-MONTH('Recurring Schedule'!$F$37),'Recurring Schedule'!$O$37)=0),IF('Recurring Schedule'!$E$37="Weekdays",WEEKDAY($A345,2)&lt;=5,$A345='Recurring Schedule'!$F$37))),32,""))))</f>
        <v/>
      </c>
      <c r="AH345">
        <f>IF('Recurring Schedule'!$C$38="","",IF('Recurring Schedule'!$F$38="","",IF(OR($A345&lt;'Recurring Schedule'!$F$38,$A345&gt;'Recurring Schedule'!$P$38),"",IF(IF('Recurring Schedule'!$N$38&gt;0,MOD($A345-'Recurring Schedule'!$F$38,'Recurring Schedule'!$N$38)=0,IF('Recurring Schedule'!$O$38&gt;0,AND(DAY($A345)=MIN(DAY('Recurring Schedule'!$F$38),DAY(EOMONTH($A345,0))),MOD((YEAR($A345)-YEAR('Recurring Schedule'!$F$38))*12+MONTH($A345)-MONTH('Recurring Schedule'!$F$38),'Recurring Schedule'!$O$38)=0),IF('Recurring Schedule'!$E$38="Weekdays",WEEKDAY($A345,2)&lt;=5,$A345='Recurring Schedule'!$F$38))),33,""))))</f>
        <v/>
      </c>
      <c r="AI345">
        <f>IF('Recurring Schedule'!$C$39="","",IF('Recurring Schedule'!$F$39="","",IF(OR($A345&lt;'Recurring Schedule'!$F$39,$A345&gt;'Recurring Schedule'!$P$39),"",IF(IF('Recurring Schedule'!$N$39&gt;0,MOD($A345-'Recurring Schedule'!$F$39,'Recurring Schedule'!$N$39)=0,IF('Recurring Schedule'!$O$39&gt;0,AND(DAY($A345)=MIN(DAY('Recurring Schedule'!$F$39),DAY(EOMONTH($A345,0))),MOD((YEAR($A345)-YEAR('Recurring Schedule'!$F$39))*12+MONTH($A345)-MONTH('Recurring Schedule'!$F$39),'Recurring Schedule'!$O$39)=0),IF('Recurring Schedule'!$E$39="Weekdays",WEEKDAY($A345,2)&lt;=5,$A345='Recurring Schedule'!$F$39))),34,""))))</f>
        <v/>
      </c>
      <c r="AJ345">
        <f>IF('Recurring Schedule'!$C$40="","",IF('Recurring Schedule'!$F$40="","",IF(OR($A345&lt;'Recurring Schedule'!$F$40,$A345&gt;'Recurring Schedule'!$P$40),"",IF(IF('Recurring Schedule'!$N$40&gt;0,MOD($A345-'Recurring Schedule'!$F$40,'Recurring Schedule'!$N$40)=0,IF('Recurring Schedule'!$O$40&gt;0,AND(DAY($A345)=MIN(DAY('Recurring Schedule'!$F$40),DAY(EOMONTH($A345,0))),MOD((YEAR($A345)-YEAR('Recurring Schedule'!$F$40))*12+MONTH($A345)-MONTH('Recurring Schedule'!$F$40),'Recurring Schedule'!$O$40)=0),IF('Recurring Schedule'!$E$40="Weekdays",WEEKDAY($A345,2)&lt;=5,$A345='Recurring Schedule'!$F$40))),35,""))))</f>
        <v/>
      </c>
      <c r="AK345">
        <f>IF('Recurring Schedule'!$C$41="","",IF('Recurring Schedule'!$F$41="","",IF(OR($A345&lt;'Recurring Schedule'!$F$41,$A345&gt;'Recurring Schedule'!$P$41),"",IF(IF('Recurring Schedule'!$N$41&gt;0,MOD($A345-'Recurring Schedule'!$F$41,'Recurring Schedule'!$N$41)=0,IF('Recurring Schedule'!$O$41&gt;0,AND(DAY($A345)=MIN(DAY('Recurring Schedule'!$F$41),DAY(EOMONTH($A345,0))),MOD((YEAR($A345)-YEAR('Recurring Schedule'!$F$41))*12+MONTH($A345)-MONTH('Recurring Schedule'!$F$41),'Recurring Schedule'!$O$41)=0),IF('Recurring Schedule'!$E$41="Weekdays",WEEKDAY($A345,2)&lt;=5,$A345='Recurring Schedule'!$F$41))),36,""))))</f>
        <v/>
      </c>
      <c r="AL345">
        <f>IF('Recurring Schedule'!$C$42="","",IF('Recurring Schedule'!$F$42="","",IF(OR($A345&lt;'Recurring Schedule'!$F$42,$A345&gt;'Recurring Schedule'!$P$42),"",IF(IF('Recurring Schedule'!$N$42&gt;0,MOD($A345-'Recurring Schedule'!$F$42,'Recurring Schedule'!$N$42)=0,IF('Recurring Schedule'!$O$42&gt;0,AND(DAY($A345)=MIN(DAY('Recurring Schedule'!$F$42),DAY(EOMONTH($A345,0))),MOD((YEAR($A345)-YEAR('Recurring Schedule'!$F$42))*12+MONTH($A345)-MONTH('Recurring Schedule'!$F$42),'Recurring Schedule'!$O$42)=0),IF('Recurring Schedule'!$E$42="Weekdays",WEEKDAY($A345,2)&lt;=5,$A345='Recurring Schedule'!$F$42))),37,""))))</f>
        <v/>
      </c>
      <c r="AM345">
        <f>IF('Recurring Schedule'!$C$43="","",IF('Recurring Schedule'!$F$43="","",IF(OR($A345&lt;'Recurring Schedule'!$F$43,$A345&gt;'Recurring Schedule'!$P$43),"",IF(IF('Recurring Schedule'!$N$43&gt;0,MOD($A345-'Recurring Schedule'!$F$43,'Recurring Schedule'!$N$43)=0,IF('Recurring Schedule'!$O$43&gt;0,AND(DAY($A345)=MIN(DAY('Recurring Schedule'!$F$43),DAY(EOMONTH($A345,0))),MOD((YEAR($A345)-YEAR('Recurring Schedule'!$F$43))*12+MONTH($A345)-MONTH('Recurring Schedule'!$F$43),'Recurring Schedule'!$O$43)=0),IF('Recurring Schedule'!$E$43="Weekdays",WEEKDAY($A345,2)&lt;=5,$A345='Recurring Schedule'!$F$43))),38,""))))</f>
        <v/>
      </c>
      <c r="AN345">
        <f>IF('Recurring Schedule'!$C$44="","",IF('Recurring Schedule'!$F$44="","",IF(OR($A345&lt;'Recurring Schedule'!$F$44,$A345&gt;'Recurring Schedule'!$P$44),"",IF(IF('Recurring Schedule'!$N$44&gt;0,MOD($A345-'Recurring Schedule'!$F$44,'Recurring Schedule'!$N$44)=0,IF('Recurring Schedule'!$O$44&gt;0,AND(DAY($A345)=MIN(DAY('Recurring Schedule'!$F$44),DAY(EOMONTH($A345,0))),MOD((YEAR($A345)-YEAR('Recurring Schedule'!$F$44))*12+MONTH($A345)-MONTH('Recurring Schedule'!$F$44),'Recurring Schedule'!$O$44)=0),IF('Recurring Schedule'!$E$44="Weekdays",WEEKDAY($A345,2)&lt;=5,$A345='Recurring Schedule'!$F$44))),39,""))))</f>
        <v/>
      </c>
      <c r="AO345">
        <f>IF('Recurring Schedule'!$C$45="","",IF('Recurring Schedule'!$F$45="","",IF(OR($A345&lt;'Recurring Schedule'!$F$45,$A345&gt;'Recurring Schedule'!$P$45),"",IF(IF('Recurring Schedule'!$N$45&gt;0,MOD($A345-'Recurring Schedule'!$F$45,'Recurring Schedule'!$N$45)=0,IF('Recurring Schedule'!$O$45&gt;0,AND(DAY($A345)=MIN(DAY('Recurring Schedule'!$F$45),DAY(EOMONTH($A345,0))),MOD((YEAR($A345)-YEAR('Recurring Schedule'!$F$45))*12+MONTH($A345)-MONTH('Recurring Schedule'!$F$45),'Recurring Schedule'!$O$45)=0),IF('Recurring Schedule'!$E$45="Weekdays",WEEKDAY($A345,2)&lt;=5,$A345='Recurring Schedule'!$F$45))),40,""))))</f>
        <v/>
      </c>
      <c r="AP345">
        <f>COUNT(B345:AO345)</f>
        <v/>
      </c>
      <c r="AQ345">
        <f>AQ344+AP344</f>
        <v/>
      </c>
      <c r="AS345" t="inlineStr">
        <is>
          <t>R</t>
        </is>
      </c>
      <c r="AT345" t="n">
        <v>349</v>
      </c>
      <c r="AU345">
        <f>'Recurring Log'!C349&amp;""</f>
        <v/>
      </c>
      <c r="AV345">
        <f>'Recurring Log'!D349&amp;""</f>
        <v/>
      </c>
      <c r="AW345">
        <f>IF('Recurring Log'!E349="","",'Recurring Log'!E349)</f>
        <v/>
      </c>
      <c r="AX345">
        <f>IF('Recurring Log'!G349="","",'Recurring Log'!G349)</f>
        <v/>
      </c>
      <c r="AY345">
        <f>IF('Recurring Log'!H349="","",'Recurring Log'!H349)</f>
        <v/>
      </c>
      <c r="AZ345">
        <f>IF(AU345="","",IF('Recurring Log'!J349="","Not Started",'Recurring Log'!J349))</f>
        <v/>
      </c>
      <c r="BA345">
        <f>'Recurring Log'!L349&amp;""</f>
        <v/>
      </c>
      <c r="BB345">
        <f>'Recurring Log'!M349&amp;""</f>
        <v/>
      </c>
      <c r="BC345">
        <f>'Recurring Log'!N349&amp;""</f>
        <v/>
      </c>
      <c r="BD345">
        <f>'Recurring Log'!O349&amp;""</f>
        <v/>
      </c>
      <c r="BE345">
        <f>IF('Recurring Log'!K349="","",'Recurring Log'!K349)</f>
        <v/>
      </c>
      <c r="BF345">
        <f>IFERROR(MATCH(BA345,Setup!$L$6:$L$9,0),5)</f>
        <v/>
      </c>
      <c r="BG345">
        <f>IF(OR(AZ345="Done",AZ345="Cancelled"),1,0)</f>
        <v/>
      </c>
      <c r="BH345">
        <f>IF(AND(AU345&lt;&gt;"",ISNUMBER(AW345)),1,0)</f>
        <v/>
      </c>
      <c r="BI345">
        <f>IF(BH345=0,0,IF(AND(AW345&gt;='Tasks Filter'!$F$3,AW345&lt;='Tasks Filter'!$F$4,OR('Tasks Filter'!$I$3="",ISNUMBER(SEARCH('Tasks Filter'!$I$3,AU345))),OR('Tasks Filter'!$I$4="",BF345=IFERROR(MATCH('Tasks Filter'!$I$4,Setup!$L$6:$L$9,0),0)),OR('Tasks Filter'!$I$5="Both",AND('Tasks Filter'!$I$5="Yes",BB345="✓"),AND('Tasks Filter'!$I$5="No",BB345&lt;&gt;"✓")),OR('Tasks Filter'!$L$3="",AV345='Tasks Filter'!$L$3),OR('Tasks Filter'!$L$4="",AZ345='Tasks Filter'!$L$4),OR('Tasks Filter'!$L$5="",BC345='Tasks Filter'!$L$5),OR('Tasks Filter'!$O$3="",BD345='Tasks Filter'!$O$3),OR('Tasks Filter'!$O$4="Yes",BG345=0)),1,0))</f>
        <v/>
      </c>
      <c r="BJ345">
        <f>IF(BH345=0,"",IF('Tasks Filter'!$F$6="Descending",-1,1)*CHOOSE(MATCH('Tasks Filter'!$F$5,Lists!$G$2:$G$6,0),AW345,BF345,IFERROR(MATCH(AV345,Setup!$F$6:$F$15,0),99),IFERROR(MATCH(BC345,Setup!$H$6:$H$15,0),99),IFERROR(MATCH(AZ345,Setup!$J$6:$J$11,0),99))*1E+9+(AW345-40000)*10000+344)</f>
        <v/>
      </c>
      <c r="BK345">
        <f>IF(BI345=1,BJ345,"")</f>
        <v/>
      </c>
      <c r="BL345">
        <f>IF(AND(BH345=1,BG345=0,N(AW345)&lt;Setup!$D$7),(AW345-40000)*10000+344,"")</f>
        <v/>
      </c>
      <c r="BM345">
        <f>IF(AND(BH345=1,AZ345&lt;&gt;"Cancelled",N(AW345)&gt;=Dashboard!$AB$3,N(AW345)&lt;=Dashboard!$AB$3+6),(AW345-40000)*100000+BF345*10000+344,"")</f>
        <v/>
      </c>
      <c r="BN345">
        <f>IF(AND(BH345=1,AZ345&lt;&gt;"Cancelled"),BF345*10000+344,"")</f>
        <v/>
      </c>
    </row>
    <row r="346">
      <c r="A346">
        <f>Setup!$D$5+344</f>
        <v/>
      </c>
      <c r="B346">
        <f>IF('Recurring Schedule'!$C$6="","",IF('Recurring Schedule'!$F$6="","",IF(OR($A346&lt;'Recurring Schedule'!$F$6,$A346&gt;'Recurring Schedule'!$P$6),"",IF(IF('Recurring Schedule'!$N$6&gt;0,MOD($A346-'Recurring Schedule'!$F$6,'Recurring Schedule'!$N$6)=0,IF('Recurring Schedule'!$O$6&gt;0,AND(DAY($A346)=MIN(DAY('Recurring Schedule'!$F$6),DAY(EOMONTH($A346,0))),MOD((YEAR($A346)-YEAR('Recurring Schedule'!$F$6))*12+MONTH($A346)-MONTH('Recurring Schedule'!$F$6),'Recurring Schedule'!$O$6)=0),IF('Recurring Schedule'!$E$6="Weekdays",WEEKDAY($A346,2)&lt;=5,$A346='Recurring Schedule'!$F$6))),1,""))))</f>
        <v/>
      </c>
      <c r="C346">
        <f>IF('Recurring Schedule'!$C$7="","",IF('Recurring Schedule'!$F$7="","",IF(OR($A346&lt;'Recurring Schedule'!$F$7,$A346&gt;'Recurring Schedule'!$P$7),"",IF(IF('Recurring Schedule'!$N$7&gt;0,MOD($A346-'Recurring Schedule'!$F$7,'Recurring Schedule'!$N$7)=0,IF('Recurring Schedule'!$O$7&gt;0,AND(DAY($A346)=MIN(DAY('Recurring Schedule'!$F$7),DAY(EOMONTH($A346,0))),MOD((YEAR($A346)-YEAR('Recurring Schedule'!$F$7))*12+MONTH($A346)-MONTH('Recurring Schedule'!$F$7),'Recurring Schedule'!$O$7)=0),IF('Recurring Schedule'!$E$7="Weekdays",WEEKDAY($A346,2)&lt;=5,$A346='Recurring Schedule'!$F$7))),2,""))))</f>
        <v/>
      </c>
      <c r="D346">
        <f>IF('Recurring Schedule'!$C$8="","",IF('Recurring Schedule'!$F$8="","",IF(OR($A346&lt;'Recurring Schedule'!$F$8,$A346&gt;'Recurring Schedule'!$P$8),"",IF(IF('Recurring Schedule'!$N$8&gt;0,MOD($A346-'Recurring Schedule'!$F$8,'Recurring Schedule'!$N$8)=0,IF('Recurring Schedule'!$O$8&gt;0,AND(DAY($A346)=MIN(DAY('Recurring Schedule'!$F$8),DAY(EOMONTH($A346,0))),MOD((YEAR($A346)-YEAR('Recurring Schedule'!$F$8))*12+MONTH($A346)-MONTH('Recurring Schedule'!$F$8),'Recurring Schedule'!$O$8)=0),IF('Recurring Schedule'!$E$8="Weekdays",WEEKDAY($A346,2)&lt;=5,$A346='Recurring Schedule'!$F$8))),3,""))))</f>
        <v/>
      </c>
      <c r="E346">
        <f>IF('Recurring Schedule'!$C$9="","",IF('Recurring Schedule'!$F$9="","",IF(OR($A346&lt;'Recurring Schedule'!$F$9,$A346&gt;'Recurring Schedule'!$P$9),"",IF(IF('Recurring Schedule'!$N$9&gt;0,MOD($A346-'Recurring Schedule'!$F$9,'Recurring Schedule'!$N$9)=0,IF('Recurring Schedule'!$O$9&gt;0,AND(DAY($A346)=MIN(DAY('Recurring Schedule'!$F$9),DAY(EOMONTH($A346,0))),MOD((YEAR($A346)-YEAR('Recurring Schedule'!$F$9))*12+MONTH($A346)-MONTH('Recurring Schedule'!$F$9),'Recurring Schedule'!$O$9)=0),IF('Recurring Schedule'!$E$9="Weekdays",WEEKDAY($A346,2)&lt;=5,$A346='Recurring Schedule'!$F$9))),4,""))))</f>
        <v/>
      </c>
      <c r="F346">
        <f>IF('Recurring Schedule'!$C$10="","",IF('Recurring Schedule'!$F$10="","",IF(OR($A346&lt;'Recurring Schedule'!$F$10,$A346&gt;'Recurring Schedule'!$P$10),"",IF(IF('Recurring Schedule'!$N$10&gt;0,MOD($A346-'Recurring Schedule'!$F$10,'Recurring Schedule'!$N$10)=0,IF('Recurring Schedule'!$O$10&gt;0,AND(DAY($A346)=MIN(DAY('Recurring Schedule'!$F$10),DAY(EOMONTH($A346,0))),MOD((YEAR($A346)-YEAR('Recurring Schedule'!$F$10))*12+MONTH($A346)-MONTH('Recurring Schedule'!$F$10),'Recurring Schedule'!$O$10)=0),IF('Recurring Schedule'!$E$10="Weekdays",WEEKDAY($A346,2)&lt;=5,$A346='Recurring Schedule'!$F$10))),5,""))))</f>
        <v/>
      </c>
      <c r="G346">
        <f>IF('Recurring Schedule'!$C$11="","",IF('Recurring Schedule'!$F$11="","",IF(OR($A346&lt;'Recurring Schedule'!$F$11,$A346&gt;'Recurring Schedule'!$P$11),"",IF(IF('Recurring Schedule'!$N$11&gt;0,MOD($A346-'Recurring Schedule'!$F$11,'Recurring Schedule'!$N$11)=0,IF('Recurring Schedule'!$O$11&gt;0,AND(DAY($A346)=MIN(DAY('Recurring Schedule'!$F$11),DAY(EOMONTH($A346,0))),MOD((YEAR($A346)-YEAR('Recurring Schedule'!$F$11))*12+MONTH($A346)-MONTH('Recurring Schedule'!$F$11),'Recurring Schedule'!$O$11)=0),IF('Recurring Schedule'!$E$11="Weekdays",WEEKDAY($A346,2)&lt;=5,$A346='Recurring Schedule'!$F$11))),6,""))))</f>
        <v/>
      </c>
      <c r="H346">
        <f>IF('Recurring Schedule'!$C$12="","",IF('Recurring Schedule'!$F$12="","",IF(OR($A346&lt;'Recurring Schedule'!$F$12,$A346&gt;'Recurring Schedule'!$P$12),"",IF(IF('Recurring Schedule'!$N$12&gt;0,MOD($A346-'Recurring Schedule'!$F$12,'Recurring Schedule'!$N$12)=0,IF('Recurring Schedule'!$O$12&gt;0,AND(DAY($A346)=MIN(DAY('Recurring Schedule'!$F$12),DAY(EOMONTH($A346,0))),MOD((YEAR($A346)-YEAR('Recurring Schedule'!$F$12))*12+MONTH($A346)-MONTH('Recurring Schedule'!$F$12),'Recurring Schedule'!$O$12)=0),IF('Recurring Schedule'!$E$12="Weekdays",WEEKDAY($A346,2)&lt;=5,$A346='Recurring Schedule'!$F$12))),7,""))))</f>
        <v/>
      </c>
      <c r="I346">
        <f>IF('Recurring Schedule'!$C$13="","",IF('Recurring Schedule'!$F$13="","",IF(OR($A346&lt;'Recurring Schedule'!$F$13,$A346&gt;'Recurring Schedule'!$P$13),"",IF(IF('Recurring Schedule'!$N$13&gt;0,MOD($A346-'Recurring Schedule'!$F$13,'Recurring Schedule'!$N$13)=0,IF('Recurring Schedule'!$O$13&gt;0,AND(DAY($A346)=MIN(DAY('Recurring Schedule'!$F$13),DAY(EOMONTH($A346,0))),MOD((YEAR($A346)-YEAR('Recurring Schedule'!$F$13))*12+MONTH($A346)-MONTH('Recurring Schedule'!$F$13),'Recurring Schedule'!$O$13)=0),IF('Recurring Schedule'!$E$13="Weekdays",WEEKDAY($A346,2)&lt;=5,$A346='Recurring Schedule'!$F$13))),8,""))))</f>
        <v/>
      </c>
      <c r="J346">
        <f>IF('Recurring Schedule'!$C$14="","",IF('Recurring Schedule'!$F$14="","",IF(OR($A346&lt;'Recurring Schedule'!$F$14,$A346&gt;'Recurring Schedule'!$P$14),"",IF(IF('Recurring Schedule'!$N$14&gt;0,MOD($A346-'Recurring Schedule'!$F$14,'Recurring Schedule'!$N$14)=0,IF('Recurring Schedule'!$O$14&gt;0,AND(DAY($A346)=MIN(DAY('Recurring Schedule'!$F$14),DAY(EOMONTH($A346,0))),MOD((YEAR($A346)-YEAR('Recurring Schedule'!$F$14))*12+MONTH($A346)-MONTH('Recurring Schedule'!$F$14),'Recurring Schedule'!$O$14)=0),IF('Recurring Schedule'!$E$14="Weekdays",WEEKDAY($A346,2)&lt;=5,$A346='Recurring Schedule'!$F$14))),9,""))))</f>
        <v/>
      </c>
      <c r="K346">
        <f>IF('Recurring Schedule'!$C$15="","",IF('Recurring Schedule'!$F$15="","",IF(OR($A346&lt;'Recurring Schedule'!$F$15,$A346&gt;'Recurring Schedule'!$P$15),"",IF(IF('Recurring Schedule'!$N$15&gt;0,MOD($A346-'Recurring Schedule'!$F$15,'Recurring Schedule'!$N$15)=0,IF('Recurring Schedule'!$O$15&gt;0,AND(DAY($A346)=MIN(DAY('Recurring Schedule'!$F$15),DAY(EOMONTH($A346,0))),MOD((YEAR($A346)-YEAR('Recurring Schedule'!$F$15))*12+MONTH($A346)-MONTH('Recurring Schedule'!$F$15),'Recurring Schedule'!$O$15)=0),IF('Recurring Schedule'!$E$15="Weekdays",WEEKDAY($A346,2)&lt;=5,$A346='Recurring Schedule'!$F$15))),10,""))))</f>
        <v/>
      </c>
      <c r="L346">
        <f>IF('Recurring Schedule'!$C$16="","",IF('Recurring Schedule'!$F$16="","",IF(OR($A346&lt;'Recurring Schedule'!$F$16,$A346&gt;'Recurring Schedule'!$P$16),"",IF(IF('Recurring Schedule'!$N$16&gt;0,MOD($A346-'Recurring Schedule'!$F$16,'Recurring Schedule'!$N$16)=0,IF('Recurring Schedule'!$O$16&gt;0,AND(DAY($A346)=MIN(DAY('Recurring Schedule'!$F$16),DAY(EOMONTH($A346,0))),MOD((YEAR($A346)-YEAR('Recurring Schedule'!$F$16))*12+MONTH($A346)-MONTH('Recurring Schedule'!$F$16),'Recurring Schedule'!$O$16)=0),IF('Recurring Schedule'!$E$16="Weekdays",WEEKDAY($A346,2)&lt;=5,$A346='Recurring Schedule'!$F$16))),11,""))))</f>
        <v/>
      </c>
      <c r="M346">
        <f>IF('Recurring Schedule'!$C$17="","",IF('Recurring Schedule'!$F$17="","",IF(OR($A346&lt;'Recurring Schedule'!$F$17,$A346&gt;'Recurring Schedule'!$P$17),"",IF(IF('Recurring Schedule'!$N$17&gt;0,MOD($A346-'Recurring Schedule'!$F$17,'Recurring Schedule'!$N$17)=0,IF('Recurring Schedule'!$O$17&gt;0,AND(DAY($A346)=MIN(DAY('Recurring Schedule'!$F$17),DAY(EOMONTH($A346,0))),MOD((YEAR($A346)-YEAR('Recurring Schedule'!$F$17))*12+MONTH($A346)-MONTH('Recurring Schedule'!$F$17),'Recurring Schedule'!$O$17)=0),IF('Recurring Schedule'!$E$17="Weekdays",WEEKDAY($A346,2)&lt;=5,$A346='Recurring Schedule'!$F$17))),12,""))))</f>
        <v/>
      </c>
      <c r="N346">
        <f>IF('Recurring Schedule'!$C$18="","",IF('Recurring Schedule'!$F$18="","",IF(OR($A346&lt;'Recurring Schedule'!$F$18,$A346&gt;'Recurring Schedule'!$P$18),"",IF(IF('Recurring Schedule'!$N$18&gt;0,MOD($A346-'Recurring Schedule'!$F$18,'Recurring Schedule'!$N$18)=0,IF('Recurring Schedule'!$O$18&gt;0,AND(DAY($A346)=MIN(DAY('Recurring Schedule'!$F$18),DAY(EOMONTH($A346,0))),MOD((YEAR($A346)-YEAR('Recurring Schedule'!$F$18))*12+MONTH($A346)-MONTH('Recurring Schedule'!$F$18),'Recurring Schedule'!$O$18)=0),IF('Recurring Schedule'!$E$18="Weekdays",WEEKDAY($A346,2)&lt;=5,$A346='Recurring Schedule'!$F$18))),13,""))))</f>
        <v/>
      </c>
      <c r="O346">
        <f>IF('Recurring Schedule'!$C$19="","",IF('Recurring Schedule'!$F$19="","",IF(OR($A346&lt;'Recurring Schedule'!$F$19,$A346&gt;'Recurring Schedule'!$P$19),"",IF(IF('Recurring Schedule'!$N$19&gt;0,MOD($A346-'Recurring Schedule'!$F$19,'Recurring Schedule'!$N$19)=0,IF('Recurring Schedule'!$O$19&gt;0,AND(DAY($A346)=MIN(DAY('Recurring Schedule'!$F$19),DAY(EOMONTH($A346,0))),MOD((YEAR($A346)-YEAR('Recurring Schedule'!$F$19))*12+MONTH($A346)-MONTH('Recurring Schedule'!$F$19),'Recurring Schedule'!$O$19)=0),IF('Recurring Schedule'!$E$19="Weekdays",WEEKDAY($A346,2)&lt;=5,$A346='Recurring Schedule'!$F$19))),14,""))))</f>
        <v/>
      </c>
      <c r="P346">
        <f>IF('Recurring Schedule'!$C$20="","",IF('Recurring Schedule'!$F$20="","",IF(OR($A346&lt;'Recurring Schedule'!$F$20,$A346&gt;'Recurring Schedule'!$P$20),"",IF(IF('Recurring Schedule'!$N$20&gt;0,MOD($A346-'Recurring Schedule'!$F$20,'Recurring Schedule'!$N$20)=0,IF('Recurring Schedule'!$O$20&gt;0,AND(DAY($A346)=MIN(DAY('Recurring Schedule'!$F$20),DAY(EOMONTH($A346,0))),MOD((YEAR($A346)-YEAR('Recurring Schedule'!$F$20))*12+MONTH($A346)-MONTH('Recurring Schedule'!$F$20),'Recurring Schedule'!$O$20)=0),IF('Recurring Schedule'!$E$20="Weekdays",WEEKDAY($A346,2)&lt;=5,$A346='Recurring Schedule'!$F$20))),15,""))))</f>
        <v/>
      </c>
      <c r="Q346">
        <f>IF('Recurring Schedule'!$C$21="","",IF('Recurring Schedule'!$F$21="","",IF(OR($A346&lt;'Recurring Schedule'!$F$21,$A346&gt;'Recurring Schedule'!$P$21),"",IF(IF('Recurring Schedule'!$N$21&gt;0,MOD($A346-'Recurring Schedule'!$F$21,'Recurring Schedule'!$N$21)=0,IF('Recurring Schedule'!$O$21&gt;0,AND(DAY($A346)=MIN(DAY('Recurring Schedule'!$F$21),DAY(EOMONTH($A346,0))),MOD((YEAR($A346)-YEAR('Recurring Schedule'!$F$21))*12+MONTH($A346)-MONTH('Recurring Schedule'!$F$21),'Recurring Schedule'!$O$21)=0),IF('Recurring Schedule'!$E$21="Weekdays",WEEKDAY($A346,2)&lt;=5,$A346='Recurring Schedule'!$F$21))),16,""))))</f>
        <v/>
      </c>
      <c r="R346">
        <f>IF('Recurring Schedule'!$C$22="","",IF('Recurring Schedule'!$F$22="","",IF(OR($A346&lt;'Recurring Schedule'!$F$22,$A346&gt;'Recurring Schedule'!$P$22),"",IF(IF('Recurring Schedule'!$N$22&gt;0,MOD($A346-'Recurring Schedule'!$F$22,'Recurring Schedule'!$N$22)=0,IF('Recurring Schedule'!$O$22&gt;0,AND(DAY($A346)=MIN(DAY('Recurring Schedule'!$F$22),DAY(EOMONTH($A346,0))),MOD((YEAR($A346)-YEAR('Recurring Schedule'!$F$22))*12+MONTH($A346)-MONTH('Recurring Schedule'!$F$22),'Recurring Schedule'!$O$22)=0),IF('Recurring Schedule'!$E$22="Weekdays",WEEKDAY($A346,2)&lt;=5,$A346='Recurring Schedule'!$F$22))),17,""))))</f>
        <v/>
      </c>
      <c r="S346">
        <f>IF('Recurring Schedule'!$C$23="","",IF('Recurring Schedule'!$F$23="","",IF(OR($A346&lt;'Recurring Schedule'!$F$23,$A346&gt;'Recurring Schedule'!$P$23),"",IF(IF('Recurring Schedule'!$N$23&gt;0,MOD($A346-'Recurring Schedule'!$F$23,'Recurring Schedule'!$N$23)=0,IF('Recurring Schedule'!$O$23&gt;0,AND(DAY($A346)=MIN(DAY('Recurring Schedule'!$F$23),DAY(EOMONTH($A346,0))),MOD((YEAR($A346)-YEAR('Recurring Schedule'!$F$23))*12+MONTH($A346)-MONTH('Recurring Schedule'!$F$23),'Recurring Schedule'!$O$23)=0),IF('Recurring Schedule'!$E$23="Weekdays",WEEKDAY($A346,2)&lt;=5,$A346='Recurring Schedule'!$F$23))),18,""))))</f>
        <v/>
      </c>
      <c r="T346">
        <f>IF('Recurring Schedule'!$C$24="","",IF('Recurring Schedule'!$F$24="","",IF(OR($A346&lt;'Recurring Schedule'!$F$24,$A346&gt;'Recurring Schedule'!$P$24),"",IF(IF('Recurring Schedule'!$N$24&gt;0,MOD($A346-'Recurring Schedule'!$F$24,'Recurring Schedule'!$N$24)=0,IF('Recurring Schedule'!$O$24&gt;0,AND(DAY($A346)=MIN(DAY('Recurring Schedule'!$F$24),DAY(EOMONTH($A346,0))),MOD((YEAR($A346)-YEAR('Recurring Schedule'!$F$24))*12+MONTH($A346)-MONTH('Recurring Schedule'!$F$24),'Recurring Schedule'!$O$24)=0),IF('Recurring Schedule'!$E$24="Weekdays",WEEKDAY($A346,2)&lt;=5,$A346='Recurring Schedule'!$F$24))),19,""))))</f>
        <v/>
      </c>
      <c r="U346">
        <f>IF('Recurring Schedule'!$C$25="","",IF('Recurring Schedule'!$F$25="","",IF(OR($A346&lt;'Recurring Schedule'!$F$25,$A346&gt;'Recurring Schedule'!$P$25),"",IF(IF('Recurring Schedule'!$N$25&gt;0,MOD($A346-'Recurring Schedule'!$F$25,'Recurring Schedule'!$N$25)=0,IF('Recurring Schedule'!$O$25&gt;0,AND(DAY($A346)=MIN(DAY('Recurring Schedule'!$F$25),DAY(EOMONTH($A346,0))),MOD((YEAR($A346)-YEAR('Recurring Schedule'!$F$25))*12+MONTH($A346)-MONTH('Recurring Schedule'!$F$25),'Recurring Schedule'!$O$25)=0),IF('Recurring Schedule'!$E$25="Weekdays",WEEKDAY($A346,2)&lt;=5,$A346='Recurring Schedule'!$F$25))),20,""))))</f>
        <v/>
      </c>
      <c r="V346">
        <f>IF('Recurring Schedule'!$C$26="","",IF('Recurring Schedule'!$F$26="","",IF(OR($A346&lt;'Recurring Schedule'!$F$26,$A346&gt;'Recurring Schedule'!$P$26),"",IF(IF('Recurring Schedule'!$N$26&gt;0,MOD($A346-'Recurring Schedule'!$F$26,'Recurring Schedule'!$N$26)=0,IF('Recurring Schedule'!$O$26&gt;0,AND(DAY($A346)=MIN(DAY('Recurring Schedule'!$F$26),DAY(EOMONTH($A346,0))),MOD((YEAR($A346)-YEAR('Recurring Schedule'!$F$26))*12+MONTH($A346)-MONTH('Recurring Schedule'!$F$26),'Recurring Schedule'!$O$26)=0),IF('Recurring Schedule'!$E$26="Weekdays",WEEKDAY($A346,2)&lt;=5,$A346='Recurring Schedule'!$F$26))),21,""))))</f>
        <v/>
      </c>
      <c r="W346">
        <f>IF('Recurring Schedule'!$C$27="","",IF('Recurring Schedule'!$F$27="","",IF(OR($A346&lt;'Recurring Schedule'!$F$27,$A346&gt;'Recurring Schedule'!$P$27),"",IF(IF('Recurring Schedule'!$N$27&gt;0,MOD($A346-'Recurring Schedule'!$F$27,'Recurring Schedule'!$N$27)=0,IF('Recurring Schedule'!$O$27&gt;0,AND(DAY($A346)=MIN(DAY('Recurring Schedule'!$F$27),DAY(EOMONTH($A346,0))),MOD((YEAR($A346)-YEAR('Recurring Schedule'!$F$27))*12+MONTH($A346)-MONTH('Recurring Schedule'!$F$27),'Recurring Schedule'!$O$27)=0),IF('Recurring Schedule'!$E$27="Weekdays",WEEKDAY($A346,2)&lt;=5,$A346='Recurring Schedule'!$F$27))),22,""))))</f>
        <v/>
      </c>
      <c r="X346">
        <f>IF('Recurring Schedule'!$C$28="","",IF('Recurring Schedule'!$F$28="","",IF(OR($A346&lt;'Recurring Schedule'!$F$28,$A346&gt;'Recurring Schedule'!$P$28),"",IF(IF('Recurring Schedule'!$N$28&gt;0,MOD($A346-'Recurring Schedule'!$F$28,'Recurring Schedule'!$N$28)=0,IF('Recurring Schedule'!$O$28&gt;0,AND(DAY($A346)=MIN(DAY('Recurring Schedule'!$F$28),DAY(EOMONTH($A346,0))),MOD((YEAR($A346)-YEAR('Recurring Schedule'!$F$28))*12+MONTH($A346)-MONTH('Recurring Schedule'!$F$28),'Recurring Schedule'!$O$28)=0),IF('Recurring Schedule'!$E$28="Weekdays",WEEKDAY($A346,2)&lt;=5,$A346='Recurring Schedule'!$F$28))),23,""))))</f>
        <v/>
      </c>
      <c r="Y346">
        <f>IF('Recurring Schedule'!$C$29="","",IF('Recurring Schedule'!$F$29="","",IF(OR($A346&lt;'Recurring Schedule'!$F$29,$A346&gt;'Recurring Schedule'!$P$29),"",IF(IF('Recurring Schedule'!$N$29&gt;0,MOD($A346-'Recurring Schedule'!$F$29,'Recurring Schedule'!$N$29)=0,IF('Recurring Schedule'!$O$29&gt;0,AND(DAY($A346)=MIN(DAY('Recurring Schedule'!$F$29),DAY(EOMONTH($A346,0))),MOD((YEAR($A346)-YEAR('Recurring Schedule'!$F$29))*12+MONTH($A346)-MONTH('Recurring Schedule'!$F$29),'Recurring Schedule'!$O$29)=0),IF('Recurring Schedule'!$E$29="Weekdays",WEEKDAY($A346,2)&lt;=5,$A346='Recurring Schedule'!$F$29))),24,""))))</f>
        <v/>
      </c>
      <c r="Z346">
        <f>IF('Recurring Schedule'!$C$30="","",IF('Recurring Schedule'!$F$30="","",IF(OR($A346&lt;'Recurring Schedule'!$F$30,$A346&gt;'Recurring Schedule'!$P$30),"",IF(IF('Recurring Schedule'!$N$30&gt;0,MOD($A346-'Recurring Schedule'!$F$30,'Recurring Schedule'!$N$30)=0,IF('Recurring Schedule'!$O$30&gt;0,AND(DAY($A346)=MIN(DAY('Recurring Schedule'!$F$30),DAY(EOMONTH($A346,0))),MOD((YEAR($A346)-YEAR('Recurring Schedule'!$F$30))*12+MONTH($A346)-MONTH('Recurring Schedule'!$F$30),'Recurring Schedule'!$O$30)=0),IF('Recurring Schedule'!$E$30="Weekdays",WEEKDAY($A346,2)&lt;=5,$A346='Recurring Schedule'!$F$30))),25,""))))</f>
        <v/>
      </c>
      <c r="AA346">
        <f>IF('Recurring Schedule'!$C$31="","",IF('Recurring Schedule'!$F$31="","",IF(OR($A346&lt;'Recurring Schedule'!$F$31,$A346&gt;'Recurring Schedule'!$P$31),"",IF(IF('Recurring Schedule'!$N$31&gt;0,MOD($A346-'Recurring Schedule'!$F$31,'Recurring Schedule'!$N$31)=0,IF('Recurring Schedule'!$O$31&gt;0,AND(DAY($A346)=MIN(DAY('Recurring Schedule'!$F$31),DAY(EOMONTH($A346,0))),MOD((YEAR($A346)-YEAR('Recurring Schedule'!$F$31))*12+MONTH($A346)-MONTH('Recurring Schedule'!$F$31),'Recurring Schedule'!$O$31)=0),IF('Recurring Schedule'!$E$31="Weekdays",WEEKDAY($A346,2)&lt;=5,$A346='Recurring Schedule'!$F$31))),26,""))))</f>
        <v/>
      </c>
      <c r="AB346">
        <f>IF('Recurring Schedule'!$C$32="","",IF('Recurring Schedule'!$F$32="","",IF(OR($A346&lt;'Recurring Schedule'!$F$32,$A346&gt;'Recurring Schedule'!$P$32),"",IF(IF('Recurring Schedule'!$N$32&gt;0,MOD($A346-'Recurring Schedule'!$F$32,'Recurring Schedule'!$N$32)=0,IF('Recurring Schedule'!$O$32&gt;0,AND(DAY($A346)=MIN(DAY('Recurring Schedule'!$F$32),DAY(EOMONTH($A346,0))),MOD((YEAR($A346)-YEAR('Recurring Schedule'!$F$32))*12+MONTH($A346)-MONTH('Recurring Schedule'!$F$32),'Recurring Schedule'!$O$32)=0),IF('Recurring Schedule'!$E$32="Weekdays",WEEKDAY($A346,2)&lt;=5,$A346='Recurring Schedule'!$F$32))),27,""))))</f>
        <v/>
      </c>
      <c r="AC346">
        <f>IF('Recurring Schedule'!$C$33="","",IF('Recurring Schedule'!$F$33="","",IF(OR($A346&lt;'Recurring Schedule'!$F$33,$A346&gt;'Recurring Schedule'!$P$33),"",IF(IF('Recurring Schedule'!$N$33&gt;0,MOD($A346-'Recurring Schedule'!$F$33,'Recurring Schedule'!$N$33)=0,IF('Recurring Schedule'!$O$33&gt;0,AND(DAY($A346)=MIN(DAY('Recurring Schedule'!$F$33),DAY(EOMONTH($A346,0))),MOD((YEAR($A346)-YEAR('Recurring Schedule'!$F$33))*12+MONTH($A346)-MONTH('Recurring Schedule'!$F$33),'Recurring Schedule'!$O$33)=0),IF('Recurring Schedule'!$E$33="Weekdays",WEEKDAY($A346,2)&lt;=5,$A346='Recurring Schedule'!$F$33))),28,""))))</f>
        <v/>
      </c>
      <c r="AD346">
        <f>IF('Recurring Schedule'!$C$34="","",IF('Recurring Schedule'!$F$34="","",IF(OR($A346&lt;'Recurring Schedule'!$F$34,$A346&gt;'Recurring Schedule'!$P$34),"",IF(IF('Recurring Schedule'!$N$34&gt;0,MOD($A346-'Recurring Schedule'!$F$34,'Recurring Schedule'!$N$34)=0,IF('Recurring Schedule'!$O$34&gt;0,AND(DAY($A346)=MIN(DAY('Recurring Schedule'!$F$34),DAY(EOMONTH($A346,0))),MOD((YEAR($A346)-YEAR('Recurring Schedule'!$F$34))*12+MONTH($A346)-MONTH('Recurring Schedule'!$F$34),'Recurring Schedule'!$O$34)=0),IF('Recurring Schedule'!$E$34="Weekdays",WEEKDAY($A346,2)&lt;=5,$A346='Recurring Schedule'!$F$34))),29,""))))</f>
        <v/>
      </c>
      <c r="AE346">
        <f>IF('Recurring Schedule'!$C$35="","",IF('Recurring Schedule'!$F$35="","",IF(OR($A346&lt;'Recurring Schedule'!$F$35,$A346&gt;'Recurring Schedule'!$P$35),"",IF(IF('Recurring Schedule'!$N$35&gt;0,MOD($A346-'Recurring Schedule'!$F$35,'Recurring Schedule'!$N$35)=0,IF('Recurring Schedule'!$O$35&gt;0,AND(DAY($A346)=MIN(DAY('Recurring Schedule'!$F$35),DAY(EOMONTH($A346,0))),MOD((YEAR($A346)-YEAR('Recurring Schedule'!$F$35))*12+MONTH($A346)-MONTH('Recurring Schedule'!$F$35),'Recurring Schedule'!$O$35)=0),IF('Recurring Schedule'!$E$35="Weekdays",WEEKDAY($A346,2)&lt;=5,$A346='Recurring Schedule'!$F$35))),30,""))))</f>
        <v/>
      </c>
      <c r="AF346">
        <f>IF('Recurring Schedule'!$C$36="","",IF('Recurring Schedule'!$F$36="","",IF(OR($A346&lt;'Recurring Schedule'!$F$36,$A346&gt;'Recurring Schedule'!$P$36),"",IF(IF('Recurring Schedule'!$N$36&gt;0,MOD($A346-'Recurring Schedule'!$F$36,'Recurring Schedule'!$N$36)=0,IF('Recurring Schedule'!$O$36&gt;0,AND(DAY($A346)=MIN(DAY('Recurring Schedule'!$F$36),DAY(EOMONTH($A346,0))),MOD((YEAR($A346)-YEAR('Recurring Schedule'!$F$36))*12+MONTH($A346)-MONTH('Recurring Schedule'!$F$36),'Recurring Schedule'!$O$36)=0),IF('Recurring Schedule'!$E$36="Weekdays",WEEKDAY($A346,2)&lt;=5,$A346='Recurring Schedule'!$F$36))),31,""))))</f>
        <v/>
      </c>
      <c r="AG346">
        <f>IF('Recurring Schedule'!$C$37="","",IF('Recurring Schedule'!$F$37="","",IF(OR($A346&lt;'Recurring Schedule'!$F$37,$A346&gt;'Recurring Schedule'!$P$37),"",IF(IF('Recurring Schedule'!$N$37&gt;0,MOD($A346-'Recurring Schedule'!$F$37,'Recurring Schedule'!$N$37)=0,IF('Recurring Schedule'!$O$37&gt;0,AND(DAY($A346)=MIN(DAY('Recurring Schedule'!$F$37),DAY(EOMONTH($A346,0))),MOD((YEAR($A346)-YEAR('Recurring Schedule'!$F$37))*12+MONTH($A346)-MONTH('Recurring Schedule'!$F$37),'Recurring Schedule'!$O$37)=0),IF('Recurring Schedule'!$E$37="Weekdays",WEEKDAY($A346,2)&lt;=5,$A346='Recurring Schedule'!$F$37))),32,""))))</f>
        <v/>
      </c>
      <c r="AH346">
        <f>IF('Recurring Schedule'!$C$38="","",IF('Recurring Schedule'!$F$38="","",IF(OR($A346&lt;'Recurring Schedule'!$F$38,$A346&gt;'Recurring Schedule'!$P$38),"",IF(IF('Recurring Schedule'!$N$38&gt;0,MOD($A346-'Recurring Schedule'!$F$38,'Recurring Schedule'!$N$38)=0,IF('Recurring Schedule'!$O$38&gt;0,AND(DAY($A346)=MIN(DAY('Recurring Schedule'!$F$38),DAY(EOMONTH($A346,0))),MOD((YEAR($A346)-YEAR('Recurring Schedule'!$F$38))*12+MONTH($A346)-MONTH('Recurring Schedule'!$F$38),'Recurring Schedule'!$O$38)=0),IF('Recurring Schedule'!$E$38="Weekdays",WEEKDAY($A346,2)&lt;=5,$A346='Recurring Schedule'!$F$38))),33,""))))</f>
        <v/>
      </c>
      <c r="AI346">
        <f>IF('Recurring Schedule'!$C$39="","",IF('Recurring Schedule'!$F$39="","",IF(OR($A346&lt;'Recurring Schedule'!$F$39,$A346&gt;'Recurring Schedule'!$P$39),"",IF(IF('Recurring Schedule'!$N$39&gt;0,MOD($A346-'Recurring Schedule'!$F$39,'Recurring Schedule'!$N$39)=0,IF('Recurring Schedule'!$O$39&gt;0,AND(DAY($A346)=MIN(DAY('Recurring Schedule'!$F$39),DAY(EOMONTH($A346,0))),MOD((YEAR($A346)-YEAR('Recurring Schedule'!$F$39))*12+MONTH($A346)-MONTH('Recurring Schedule'!$F$39),'Recurring Schedule'!$O$39)=0),IF('Recurring Schedule'!$E$39="Weekdays",WEEKDAY($A346,2)&lt;=5,$A346='Recurring Schedule'!$F$39))),34,""))))</f>
        <v/>
      </c>
      <c r="AJ346">
        <f>IF('Recurring Schedule'!$C$40="","",IF('Recurring Schedule'!$F$40="","",IF(OR($A346&lt;'Recurring Schedule'!$F$40,$A346&gt;'Recurring Schedule'!$P$40),"",IF(IF('Recurring Schedule'!$N$40&gt;0,MOD($A346-'Recurring Schedule'!$F$40,'Recurring Schedule'!$N$40)=0,IF('Recurring Schedule'!$O$40&gt;0,AND(DAY($A346)=MIN(DAY('Recurring Schedule'!$F$40),DAY(EOMONTH($A346,0))),MOD((YEAR($A346)-YEAR('Recurring Schedule'!$F$40))*12+MONTH($A346)-MONTH('Recurring Schedule'!$F$40),'Recurring Schedule'!$O$40)=0),IF('Recurring Schedule'!$E$40="Weekdays",WEEKDAY($A346,2)&lt;=5,$A346='Recurring Schedule'!$F$40))),35,""))))</f>
        <v/>
      </c>
      <c r="AK346">
        <f>IF('Recurring Schedule'!$C$41="","",IF('Recurring Schedule'!$F$41="","",IF(OR($A346&lt;'Recurring Schedule'!$F$41,$A346&gt;'Recurring Schedule'!$P$41),"",IF(IF('Recurring Schedule'!$N$41&gt;0,MOD($A346-'Recurring Schedule'!$F$41,'Recurring Schedule'!$N$41)=0,IF('Recurring Schedule'!$O$41&gt;0,AND(DAY($A346)=MIN(DAY('Recurring Schedule'!$F$41),DAY(EOMONTH($A346,0))),MOD((YEAR($A346)-YEAR('Recurring Schedule'!$F$41))*12+MONTH($A346)-MONTH('Recurring Schedule'!$F$41),'Recurring Schedule'!$O$41)=0),IF('Recurring Schedule'!$E$41="Weekdays",WEEKDAY($A346,2)&lt;=5,$A346='Recurring Schedule'!$F$41))),36,""))))</f>
        <v/>
      </c>
      <c r="AL346">
        <f>IF('Recurring Schedule'!$C$42="","",IF('Recurring Schedule'!$F$42="","",IF(OR($A346&lt;'Recurring Schedule'!$F$42,$A346&gt;'Recurring Schedule'!$P$42),"",IF(IF('Recurring Schedule'!$N$42&gt;0,MOD($A346-'Recurring Schedule'!$F$42,'Recurring Schedule'!$N$42)=0,IF('Recurring Schedule'!$O$42&gt;0,AND(DAY($A346)=MIN(DAY('Recurring Schedule'!$F$42),DAY(EOMONTH($A346,0))),MOD((YEAR($A346)-YEAR('Recurring Schedule'!$F$42))*12+MONTH($A346)-MONTH('Recurring Schedule'!$F$42),'Recurring Schedule'!$O$42)=0),IF('Recurring Schedule'!$E$42="Weekdays",WEEKDAY($A346,2)&lt;=5,$A346='Recurring Schedule'!$F$42))),37,""))))</f>
        <v/>
      </c>
      <c r="AM346">
        <f>IF('Recurring Schedule'!$C$43="","",IF('Recurring Schedule'!$F$43="","",IF(OR($A346&lt;'Recurring Schedule'!$F$43,$A346&gt;'Recurring Schedule'!$P$43),"",IF(IF('Recurring Schedule'!$N$43&gt;0,MOD($A346-'Recurring Schedule'!$F$43,'Recurring Schedule'!$N$43)=0,IF('Recurring Schedule'!$O$43&gt;0,AND(DAY($A346)=MIN(DAY('Recurring Schedule'!$F$43),DAY(EOMONTH($A346,0))),MOD((YEAR($A346)-YEAR('Recurring Schedule'!$F$43))*12+MONTH($A346)-MONTH('Recurring Schedule'!$F$43),'Recurring Schedule'!$O$43)=0),IF('Recurring Schedule'!$E$43="Weekdays",WEEKDAY($A346,2)&lt;=5,$A346='Recurring Schedule'!$F$43))),38,""))))</f>
        <v/>
      </c>
      <c r="AN346">
        <f>IF('Recurring Schedule'!$C$44="","",IF('Recurring Schedule'!$F$44="","",IF(OR($A346&lt;'Recurring Schedule'!$F$44,$A346&gt;'Recurring Schedule'!$P$44),"",IF(IF('Recurring Schedule'!$N$44&gt;0,MOD($A346-'Recurring Schedule'!$F$44,'Recurring Schedule'!$N$44)=0,IF('Recurring Schedule'!$O$44&gt;0,AND(DAY($A346)=MIN(DAY('Recurring Schedule'!$F$44),DAY(EOMONTH($A346,0))),MOD((YEAR($A346)-YEAR('Recurring Schedule'!$F$44))*12+MONTH($A346)-MONTH('Recurring Schedule'!$F$44),'Recurring Schedule'!$O$44)=0),IF('Recurring Schedule'!$E$44="Weekdays",WEEKDAY($A346,2)&lt;=5,$A346='Recurring Schedule'!$F$44))),39,""))))</f>
        <v/>
      </c>
      <c r="AO346">
        <f>IF('Recurring Schedule'!$C$45="","",IF('Recurring Schedule'!$F$45="","",IF(OR($A346&lt;'Recurring Schedule'!$F$45,$A346&gt;'Recurring Schedule'!$P$45),"",IF(IF('Recurring Schedule'!$N$45&gt;0,MOD($A346-'Recurring Schedule'!$F$45,'Recurring Schedule'!$N$45)=0,IF('Recurring Schedule'!$O$45&gt;0,AND(DAY($A346)=MIN(DAY('Recurring Schedule'!$F$45),DAY(EOMONTH($A346,0))),MOD((YEAR($A346)-YEAR('Recurring Schedule'!$F$45))*12+MONTH($A346)-MONTH('Recurring Schedule'!$F$45),'Recurring Schedule'!$O$45)=0),IF('Recurring Schedule'!$E$45="Weekdays",WEEKDAY($A346,2)&lt;=5,$A346='Recurring Schedule'!$F$45))),40,""))))</f>
        <v/>
      </c>
      <c r="AP346">
        <f>COUNT(B346:AO346)</f>
        <v/>
      </c>
      <c r="AQ346">
        <f>AQ345+AP345</f>
        <v/>
      </c>
      <c r="AS346" t="inlineStr">
        <is>
          <t>R</t>
        </is>
      </c>
      <c r="AT346" t="n">
        <v>350</v>
      </c>
      <c r="AU346">
        <f>'Recurring Log'!C350&amp;""</f>
        <v/>
      </c>
      <c r="AV346">
        <f>'Recurring Log'!D350&amp;""</f>
        <v/>
      </c>
      <c r="AW346">
        <f>IF('Recurring Log'!E350="","",'Recurring Log'!E350)</f>
        <v/>
      </c>
      <c r="AX346">
        <f>IF('Recurring Log'!G350="","",'Recurring Log'!G350)</f>
        <v/>
      </c>
      <c r="AY346">
        <f>IF('Recurring Log'!H350="","",'Recurring Log'!H350)</f>
        <v/>
      </c>
      <c r="AZ346">
        <f>IF(AU346="","",IF('Recurring Log'!J350="","Not Started",'Recurring Log'!J350))</f>
        <v/>
      </c>
      <c r="BA346">
        <f>'Recurring Log'!L350&amp;""</f>
        <v/>
      </c>
      <c r="BB346">
        <f>'Recurring Log'!M350&amp;""</f>
        <v/>
      </c>
      <c r="BC346">
        <f>'Recurring Log'!N350&amp;""</f>
        <v/>
      </c>
      <c r="BD346">
        <f>'Recurring Log'!O350&amp;""</f>
        <v/>
      </c>
      <c r="BE346">
        <f>IF('Recurring Log'!K350="","",'Recurring Log'!K350)</f>
        <v/>
      </c>
      <c r="BF346">
        <f>IFERROR(MATCH(BA346,Setup!$L$6:$L$9,0),5)</f>
        <v/>
      </c>
      <c r="BG346">
        <f>IF(OR(AZ346="Done",AZ346="Cancelled"),1,0)</f>
        <v/>
      </c>
      <c r="BH346">
        <f>IF(AND(AU346&lt;&gt;"",ISNUMBER(AW346)),1,0)</f>
        <v/>
      </c>
      <c r="BI346">
        <f>IF(BH346=0,0,IF(AND(AW346&gt;='Tasks Filter'!$F$3,AW346&lt;='Tasks Filter'!$F$4,OR('Tasks Filter'!$I$3="",ISNUMBER(SEARCH('Tasks Filter'!$I$3,AU346))),OR('Tasks Filter'!$I$4="",BF346=IFERROR(MATCH('Tasks Filter'!$I$4,Setup!$L$6:$L$9,0),0)),OR('Tasks Filter'!$I$5="Both",AND('Tasks Filter'!$I$5="Yes",BB346="✓"),AND('Tasks Filter'!$I$5="No",BB346&lt;&gt;"✓")),OR('Tasks Filter'!$L$3="",AV346='Tasks Filter'!$L$3),OR('Tasks Filter'!$L$4="",AZ346='Tasks Filter'!$L$4),OR('Tasks Filter'!$L$5="",BC346='Tasks Filter'!$L$5),OR('Tasks Filter'!$O$3="",BD346='Tasks Filter'!$O$3),OR('Tasks Filter'!$O$4="Yes",BG346=0)),1,0))</f>
        <v/>
      </c>
      <c r="BJ346">
        <f>IF(BH346=0,"",IF('Tasks Filter'!$F$6="Descending",-1,1)*CHOOSE(MATCH('Tasks Filter'!$F$5,Lists!$G$2:$G$6,0),AW346,BF346,IFERROR(MATCH(AV346,Setup!$F$6:$F$15,0),99),IFERROR(MATCH(BC346,Setup!$H$6:$H$15,0),99),IFERROR(MATCH(AZ346,Setup!$J$6:$J$11,0),99))*1E+9+(AW346-40000)*10000+345)</f>
        <v/>
      </c>
      <c r="BK346">
        <f>IF(BI346=1,BJ346,"")</f>
        <v/>
      </c>
      <c r="BL346">
        <f>IF(AND(BH346=1,BG346=0,N(AW346)&lt;Setup!$D$7),(AW346-40000)*10000+345,"")</f>
        <v/>
      </c>
      <c r="BM346">
        <f>IF(AND(BH346=1,AZ346&lt;&gt;"Cancelled",N(AW346)&gt;=Dashboard!$AB$3,N(AW346)&lt;=Dashboard!$AB$3+6),(AW346-40000)*100000+BF346*10000+345,"")</f>
        <v/>
      </c>
      <c r="BN346">
        <f>IF(AND(BH346=1,AZ346&lt;&gt;"Cancelled"),BF346*10000+345,"")</f>
        <v/>
      </c>
    </row>
    <row r="347">
      <c r="A347">
        <f>Setup!$D$5+345</f>
        <v/>
      </c>
      <c r="B347">
        <f>IF('Recurring Schedule'!$C$6="","",IF('Recurring Schedule'!$F$6="","",IF(OR($A347&lt;'Recurring Schedule'!$F$6,$A347&gt;'Recurring Schedule'!$P$6),"",IF(IF('Recurring Schedule'!$N$6&gt;0,MOD($A347-'Recurring Schedule'!$F$6,'Recurring Schedule'!$N$6)=0,IF('Recurring Schedule'!$O$6&gt;0,AND(DAY($A347)=MIN(DAY('Recurring Schedule'!$F$6),DAY(EOMONTH($A347,0))),MOD((YEAR($A347)-YEAR('Recurring Schedule'!$F$6))*12+MONTH($A347)-MONTH('Recurring Schedule'!$F$6),'Recurring Schedule'!$O$6)=0),IF('Recurring Schedule'!$E$6="Weekdays",WEEKDAY($A347,2)&lt;=5,$A347='Recurring Schedule'!$F$6))),1,""))))</f>
        <v/>
      </c>
      <c r="C347">
        <f>IF('Recurring Schedule'!$C$7="","",IF('Recurring Schedule'!$F$7="","",IF(OR($A347&lt;'Recurring Schedule'!$F$7,$A347&gt;'Recurring Schedule'!$P$7),"",IF(IF('Recurring Schedule'!$N$7&gt;0,MOD($A347-'Recurring Schedule'!$F$7,'Recurring Schedule'!$N$7)=0,IF('Recurring Schedule'!$O$7&gt;0,AND(DAY($A347)=MIN(DAY('Recurring Schedule'!$F$7),DAY(EOMONTH($A347,0))),MOD((YEAR($A347)-YEAR('Recurring Schedule'!$F$7))*12+MONTH($A347)-MONTH('Recurring Schedule'!$F$7),'Recurring Schedule'!$O$7)=0),IF('Recurring Schedule'!$E$7="Weekdays",WEEKDAY($A347,2)&lt;=5,$A347='Recurring Schedule'!$F$7))),2,""))))</f>
        <v/>
      </c>
      <c r="D347">
        <f>IF('Recurring Schedule'!$C$8="","",IF('Recurring Schedule'!$F$8="","",IF(OR($A347&lt;'Recurring Schedule'!$F$8,$A347&gt;'Recurring Schedule'!$P$8),"",IF(IF('Recurring Schedule'!$N$8&gt;0,MOD($A347-'Recurring Schedule'!$F$8,'Recurring Schedule'!$N$8)=0,IF('Recurring Schedule'!$O$8&gt;0,AND(DAY($A347)=MIN(DAY('Recurring Schedule'!$F$8),DAY(EOMONTH($A347,0))),MOD((YEAR($A347)-YEAR('Recurring Schedule'!$F$8))*12+MONTH($A347)-MONTH('Recurring Schedule'!$F$8),'Recurring Schedule'!$O$8)=0),IF('Recurring Schedule'!$E$8="Weekdays",WEEKDAY($A347,2)&lt;=5,$A347='Recurring Schedule'!$F$8))),3,""))))</f>
        <v/>
      </c>
      <c r="E347">
        <f>IF('Recurring Schedule'!$C$9="","",IF('Recurring Schedule'!$F$9="","",IF(OR($A347&lt;'Recurring Schedule'!$F$9,$A347&gt;'Recurring Schedule'!$P$9),"",IF(IF('Recurring Schedule'!$N$9&gt;0,MOD($A347-'Recurring Schedule'!$F$9,'Recurring Schedule'!$N$9)=0,IF('Recurring Schedule'!$O$9&gt;0,AND(DAY($A347)=MIN(DAY('Recurring Schedule'!$F$9),DAY(EOMONTH($A347,0))),MOD((YEAR($A347)-YEAR('Recurring Schedule'!$F$9))*12+MONTH($A347)-MONTH('Recurring Schedule'!$F$9),'Recurring Schedule'!$O$9)=0),IF('Recurring Schedule'!$E$9="Weekdays",WEEKDAY($A347,2)&lt;=5,$A347='Recurring Schedule'!$F$9))),4,""))))</f>
        <v/>
      </c>
      <c r="F347">
        <f>IF('Recurring Schedule'!$C$10="","",IF('Recurring Schedule'!$F$10="","",IF(OR($A347&lt;'Recurring Schedule'!$F$10,$A347&gt;'Recurring Schedule'!$P$10),"",IF(IF('Recurring Schedule'!$N$10&gt;0,MOD($A347-'Recurring Schedule'!$F$10,'Recurring Schedule'!$N$10)=0,IF('Recurring Schedule'!$O$10&gt;0,AND(DAY($A347)=MIN(DAY('Recurring Schedule'!$F$10),DAY(EOMONTH($A347,0))),MOD((YEAR($A347)-YEAR('Recurring Schedule'!$F$10))*12+MONTH($A347)-MONTH('Recurring Schedule'!$F$10),'Recurring Schedule'!$O$10)=0),IF('Recurring Schedule'!$E$10="Weekdays",WEEKDAY($A347,2)&lt;=5,$A347='Recurring Schedule'!$F$10))),5,""))))</f>
        <v/>
      </c>
      <c r="G347">
        <f>IF('Recurring Schedule'!$C$11="","",IF('Recurring Schedule'!$F$11="","",IF(OR($A347&lt;'Recurring Schedule'!$F$11,$A347&gt;'Recurring Schedule'!$P$11),"",IF(IF('Recurring Schedule'!$N$11&gt;0,MOD($A347-'Recurring Schedule'!$F$11,'Recurring Schedule'!$N$11)=0,IF('Recurring Schedule'!$O$11&gt;0,AND(DAY($A347)=MIN(DAY('Recurring Schedule'!$F$11),DAY(EOMONTH($A347,0))),MOD((YEAR($A347)-YEAR('Recurring Schedule'!$F$11))*12+MONTH($A347)-MONTH('Recurring Schedule'!$F$11),'Recurring Schedule'!$O$11)=0),IF('Recurring Schedule'!$E$11="Weekdays",WEEKDAY($A347,2)&lt;=5,$A347='Recurring Schedule'!$F$11))),6,""))))</f>
        <v/>
      </c>
      <c r="H347">
        <f>IF('Recurring Schedule'!$C$12="","",IF('Recurring Schedule'!$F$12="","",IF(OR($A347&lt;'Recurring Schedule'!$F$12,$A347&gt;'Recurring Schedule'!$P$12),"",IF(IF('Recurring Schedule'!$N$12&gt;0,MOD($A347-'Recurring Schedule'!$F$12,'Recurring Schedule'!$N$12)=0,IF('Recurring Schedule'!$O$12&gt;0,AND(DAY($A347)=MIN(DAY('Recurring Schedule'!$F$12),DAY(EOMONTH($A347,0))),MOD((YEAR($A347)-YEAR('Recurring Schedule'!$F$12))*12+MONTH($A347)-MONTH('Recurring Schedule'!$F$12),'Recurring Schedule'!$O$12)=0),IF('Recurring Schedule'!$E$12="Weekdays",WEEKDAY($A347,2)&lt;=5,$A347='Recurring Schedule'!$F$12))),7,""))))</f>
        <v/>
      </c>
      <c r="I347">
        <f>IF('Recurring Schedule'!$C$13="","",IF('Recurring Schedule'!$F$13="","",IF(OR($A347&lt;'Recurring Schedule'!$F$13,$A347&gt;'Recurring Schedule'!$P$13),"",IF(IF('Recurring Schedule'!$N$13&gt;0,MOD($A347-'Recurring Schedule'!$F$13,'Recurring Schedule'!$N$13)=0,IF('Recurring Schedule'!$O$13&gt;0,AND(DAY($A347)=MIN(DAY('Recurring Schedule'!$F$13),DAY(EOMONTH($A347,0))),MOD((YEAR($A347)-YEAR('Recurring Schedule'!$F$13))*12+MONTH($A347)-MONTH('Recurring Schedule'!$F$13),'Recurring Schedule'!$O$13)=0),IF('Recurring Schedule'!$E$13="Weekdays",WEEKDAY($A347,2)&lt;=5,$A347='Recurring Schedule'!$F$13))),8,""))))</f>
        <v/>
      </c>
      <c r="J347">
        <f>IF('Recurring Schedule'!$C$14="","",IF('Recurring Schedule'!$F$14="","",IF(OR($A347&lt;'Recurring Schedule'!$F$14,$A347&gt;'Recurring Schedule'!$P$14),"",IF(IF('Recurring Schedule'!$N$14&gt;0,MOD($A347-'Recurring Schedule'!$F$14,'Recurring Schedule'!$N$14)=0,IF('Recurring Schedule'!$O$14&gt;0,AND(DAY($A347)=MIN(DAY('Recurring Schedule'!$F$14),DAY(EOMONTH($A347,0))),MOD((YEAR($A347)-YEAR('Recurring Schedule'!$F$14))*12+MONTH($A347)-MONTH('Recurring Schedule'!$F$14),'Recurring Schedule'!$O$14)=0),IF('Recurring Schedule'!$E$14="Weekdays",WEEKDAY($A347,2)&lt;=5,$A347='Recurring Schedule'!$F$14))),9,""))))</f>
        <v/>
      </c>
      <c r="K347">
        <f>IF('Recurring Schedule'!$C$15="","",IF('Recurring Schedule'!$F$15="","",IF(OR($A347&lt;'Recurring Schedule'!$F$15,$A347&gt;'Recurring Schedule'!$P$15),"",IF(IF('Recurring Schedule'!$N$15&gt;0,MOD($A347-'Recurring Schedule'!$F$15,'Recurring Schedule'!$N$15)=0,IF('Recurring Schedule'!$O$15&gt;0,AND(DAY($A347)=MIN(DAY('Recurring Schedule'!$F$15),DAY(EOMONTH($A347,0))),MOD((YEAR($A347)-YEAR('Recurring Schedule'!$F$15))*12+MONTH($A347)-MONTH('Recurring Schedule'!$F$15),'Recurring Schedule'!$O$15)=0),IF('Recurring Schedule'!$E$15="Weekdays",WEEKDAY($A347,2)&lt;=5,$A347='Recurring Schedule'!$F$15))),10,""))))</f>
        <v/>
      </c>
      <c r="L347">
        <f>IF('Recurring Schedule'!$C$16="","",IF('Recurring Schedule'!$F$16="","",IF(OR($A347&lt;'Recurring Schedule'!$F$16,$A347&gt;'Recurring Schedule'!$P$16),"",IF(IF('Recurring Schedule'!$N$16&gt;0,MOD($A347-'Recurring Schedule'!$F$16,'Recurring Schedule'!$N$16)=0,IF('Recurring Schedule'!$O$16&gt;0,AND(DAY($A347)=MIN(DAY('Recurring Schedule'!$F$16),DAY(EOMONTH($A347,0))),MOD((YEAR($A347)-YEAR('Recurring Schedule'!$F$16))*12+MONTH($A347)-MONTH('Recurring Schedule'!$F$16),'Recurring Schedule'!$O$16)=0),IF('Recurring Schedule'!$E$16="Weekdays",WEEKDAY($A347,2)&lt;=5,$A347='Recurring Schedule'!$F$16))),11,""))))</f>
        <v/>
      </c>
      <c r="M347">
        <f>IF('Recurring Schedule'!$C$17="","",IF('Recurring Schedule'!$F$17="","",IF(OR($A347&lt;'Recurring Schedule'!$F$17,$A347&gt;'Recurring Schedule'!$P$17),"",IF(IF('Recurring Schedule'!$N$17&gt;0,MOD($A347-'Recurring Schedule'!$F$17,'Recurring Schedule'!$N$17)=0,IF('Recurring Schedule'!$O$17&gt;0,AND(DAY($A347)=MIN(DAY('Recurring Schedule'!$F$17),DAY(EOMONTH($A347,0))),MOD((YEAR($A347)-YEAR('Recurring Schedule'!$F$17))*12+MONTH($A347)-MONTH('Recurring Schedule'!$F$17),'Recurring Schedule'!$O$17)=0),IF('Recurring Schedule'!$E$17="Weekdays",WEEKDAY($A347,2)&lt;=5,$A347='Recurring Schedule'!$F$17))),12,""))))</f>
        <v/>
      </c>
      <c r="N347">
        <f>IF('Recurring Schedule'!$C$18="","",IF('Recurring Schedule'!$F$18="","",IF(OR($A347&lt;'Recurring Schedule'!$F$18,$A347&gt;'Recurring Schedule'!$P$18),"",IF(IF('Recurring Schedule'!$N$18&gt;0,MOD($A347-'Recurring Schedule'!$F$18,'Recurring Schedule'!$N$18)=0,IF('Recurring Schedule'!$O$18&gt;0,AND(DAY($A347)=MIN(DAY('Recurring Schedule'!$F$18),DAY(EOMONTH($A347,0))),MOD((YEAR($A347)-YEAR('Recurring Schedule'!$F$18))*12+MONTH($A347)-MONTH('Recurring Schedule'!$F$18),'Recurring Schedule'!$O$18)=0),IF('Recurring Schedule'!$E$18="Weekdays",WEEKDAY($A347,2)&lt;=5,$A347='Recurring Schedule'!$F$18))),13,""))))</f>
        <v/>
      </c>
      <c r="O347">
        <f>IF('Recurring Schedule'!$C$19="","",IF('Recurring Schedule'!$F$19="","",IF(OR($A347&lt;'Recurring Schedule'!$F$19,$A347&gt;'Recurring Schedule'!$P$19),"",IF(IF('Recurring Schedule'!$N$19&gt;0,MOD($A347-'Recurring Schedule'!$F$19,'Recurring Schedule'!$N$19)=0,IF('Recurring Schedule'!$O$19&gt;0,AND(DAY($A347)=MIN(DAY('Recurring Schedule'!$F$19),DAY(EOMONTH($A347,0))),MOD((YEAR($A347)-YEAR('Recurring Schedule'!$F$19))*12+MONTH($A347)-MONTH('Recurring Schedule'!$F$19),'Recurring Schedule'!$O$19)=0),IF('Recurring Schedule'!$E$19="Weekdays",WEEKDAY($A347,2)&lt;=5,$A347='Recurring Schedule'!$F$19))),14,""))))</f>
        <v/>
      </c>
      <c r="P347">
        <f>IF('Recurring Schedule'!$C$20="","",IF('Recurring Schedule'!$F$20="","",IF(OR($A347&lt;'Recurring Schedule'!$F$20,$A347&gt;'Recurring Schedule'!$P$20),"",IF(IF('Recurring Schedule'!$N$20&gt;0,MOD($A347-'Recurring Schedule'!$F$20,'Recurring Schedule'!$N$20)=0,IF('Recurring Schedule'!$O$20&gt;0,AND(DAY($A347)=MIN(DAY('Recurring Schedule'!$F$20),DAY(EOMONTH($A347,0))),MOD((YEAR($A347)-YEAR('Recurring Schedule'!$F$20))*12+MONTH($A347)-MONTH('Recurring Schedule'!$F$20),'Recurring Schedule'!$O$20)=0),IF('Recurring Schedule'!$E$20="Weekdays",WEEKDAY($A347,2)&lt;=5,$A347='Recurring Schedule'!$F$20))),15,""))))</f>
        <v/>
      </c>
      <c r="Q347">
        <f>IF('Recurring Schedule'!$C$21="","",IF('Recurring Schedule'!$F$21="","",IF(OR($A347&lt;'Recurring Schedule'!$F$21,$A347&gt;'Recurring Schedule'!$P$21),"",IF(IF('Recurring Schedule'!$N$21&gt;0,MOD($A347-'Recurring Schedule'!$F$21,'Recurring Schedule'!$N$21)=0,IF('Recurring Schedule'!$O$21&gt;0,AND(DAY($A347)=MIN(DAY('Recurring Schedule'!$F$21),DAY(EOMONTH($A347,0))),MOD((YEAR($A347)-YEAR('Recurring Schedule'!$F$21))*12+MONTH($A347)-MONTH('Recurring Schedule'!$F$21),'Recurring Schedule'!$O$21)=0),IF('Recurring Schedule'!$E$21="Weekdays",WEEKDAY($A347,2)&lt;=5,$A347='Recurring Schedule'!$F$21))),16,""))))</f>
        <v/>
      </c>
      <c r="R347">
        <f>IF('Recurring Schedule'!$C$22="","",IF('Recurring Schedule'!$F$22="","",IF(OR($A347&lt;'Recurring Schedule'!$F$22,$A347&gt;'Recurring Schedule'!$P$22),"",IF(IF('Recurring Schedule'!$N$22&gt;0,MOD($A347-'Recurring Schedule'!$F$22,'Recurring Schedule'!$N$22)=0,IF('Recurring Schedule'!$O$22&gt;0,AND(DAY($A347)=MIN(DAY('Recurring Schedule'!$F$22),DAY(EOMONTH($A347,0))),MOD((YEAR($A347)-YEAR('Recurring Schedule'!$F$22))*12+MONTH($A347)-MONTH('Recurring Schedule'!$F$22),'Recurring Schedule'!$O$22)=0),IF('Recurring Schedule'!$E$22="Weekdays",WEEKDAY($A347,2)&lt;=5,$A347='Recurring Schedule'!$F$22))),17,""))))</f>
        <v/>
      </c>
      <c r="S347">
        <f>IF('Recurring Schedule'!$C$23="","",IF('Recurring Schedule'!$F$23="","",IF(OR($A347&lt;'Recurring Schedule'!$F$23,$A347&gt;'Recurring Schedule'!$P$23),"",IF(IF('Recurring Schedule'!$N$23&gt;0,MOD($A347-'Recurring Schedule'!$F$23,'Recurring Schedule'!$N$23)=0,IF('Recurring Schedule'!$O$23&gt;0,AND(DAY($A347)=MIN(DAY('Recurring Schedule'!$F$23),DAY(EOMONTH($A347,0))),MOD((YEAR($A347)-YEAR('Recurring Schedule'!$F$23))*12+MONTH($A347)-MONTH('Recurring Schedule'!$F$23),'Recurring Schedule'!$O$23)=0),IF('Recurring Schedule'!$E$23="Weekdays",WEEKDAY($A347,2)&lt;=5,$A347='Recurring Schedule'!$F$23))),18,""))))</f>
        <v/>
      </c>
      <c r="T347">
        <f>IF('Recurring Schedule'!$C$24="","",IF('Recurring Schedule'!$F$24="","",IF(OR($A347&lt;'Recurring Schedule'!$F$24,$A347&gt;'Recurring Schedule'!$P$24),"",IF(IF('Recurring Schedule'!$N$24&gt;0,MOD($A347-'Recurring Schedule'!$F$24,'Recurring Schedule'!$N$24)=0,IF('Recurring Schedule'!$O$24&gt;0,AND(DAY($A347)=MIN(DAY('Recurring Schedule'!$F$24),DAY(EOMONTH($A347,0))),MOD((YEAR($A347)-YEAR('Recurring Schedule'!$F$24))*12+MONTH($A347)-MONTH('Recurring Schedule'!$F$24),'Recurring Schedule'!$O$24)=0),IF('Recurring Schedule'!$E$24="Weekdays",WEEKDAY($A347,2)&lt;=5,$A347='Recurring Schedule'!$F$24))),19,""))))</f>
        <v/>
      </c>
      <c r="U347">
        <f>IF('Recurring Schedule'!$C$25="","",IF('Recurring Schedule'!$F$25="","",IF(OR($A347&lt;'Recurring Schedule'!$F$25,$A347&gt;'Recurring Schedule'!$P$25),"",IF(IF('Recurring Schedule'!$N$25&gt;0,MOD($A347-'Recurring Schedule'!$F$25,'Recurring Schedule'!$N$25)=0,IF('Recurring Schedule'!$O$25&gt;0,AND(DAY($A347)=MIN(DAY('Recurring Schedule'!$F$25),DAY(EOMONTH($A347,0))),MOD((YEAR($A347)-YEAR('Recurring Schedule'!$F$25))*12+MONTH($A347)-MONTH('Recurring Schedule'!$F$25),'Recurring Schedule'!$O$25)=0),IF('Recurring Schedule'!$E$25="Weekdays",WEEKDAY($A347,2)&lt;=5,$A347='Recurring Schedule'!$F$25))),20,""))))</f>
        <v/>
      </c>
      <c r="V347">
        <f>IF('Recurring Schedule'!$C$26="","",IF('Recurring Schedule'!$F$26="","",IF(OR($A347&lt;'Recurring Schedule'!$F$26,$A347&gt;'Recurring Schedule'!$P$26),"",IF(IF('Recurring Schedule'!$N$26&gt;0,MOD($A347-'Recurring Schedule'!$F$26,'Recurring Schedule'!$N$26)=0,IF('Recurring Schedule'!$O$26&gt;0,AND(DAY($A347)=MIN(DAY('Recurring Schedule'!$F$26),DAY(EOMONTH($A347,0))),MOD((YEAR($A347)-YEAR('Recurring Schedule'!$F$26))*12+MONTH($A347)-MONTH('Recurring Schedule'!$F$26),'Recurring Schedule'!$O$26)=0),IF('Recurring Schedule'!$E$26="Weekdays",WEEKDAY($A347,2)&lt;=5,$A347='Recurring Schedule'!$F$26))),21,""))))</f>
        <v/>
      </c>
      <c r="W347">
        <f>IF('Recurring Schedule'!$C$27="","",IF('Recurring Schedule'!$F$27="","",IF(OR($A347&lt;'Recurring Schedule'!$F$27,$A347&gt;'Recurring Schedule'!$P$27),"",IF(IF('Recurring Schedule'!$N$27&gt;0,MOD($A347-'Recurring Schedule'!$F$27,'Recurring Schedule'!$N$27)=0,IF('Recurring Schedule'!$O$27&gt;0,AND(DAY($A347)=MIN(DAY('Recurring Schedule'!$F$27),DAY(EOMONTH($A347,0))),MOD((YEAR($A347)-YEAR('Recurring Schedule'!$F$27))*12+MONTH($A347)-MONTH('Recurring Schedule'!$F$27),'Recurring Schedule'!$O$27)=0),IF('Recurring Schedule'!$E$27="Weekdays",WEEKDAY($A347,2)&lt;=5,$A347='Recurring Schedule'!$F$27))),22,""))))</f>
        <v/>
      </c>
      <c r="X347">
        <f>IF('Recurring Schedule'!$C$28="","",IF('Recurring Schedule'!$F$28="","",IF(OR($A347&lt;'Recurring Schedule'!$F$28,$A347&gt;'Recurring Schedule'!$P$28),"",IF(IF('Recurring Schedule'!$N$28&gt;0,MOD($A347-'Recurring Schedule'!$F$28,'Recurring Schedule'!$N$28)=0,IF('Recurring Schedule'!$O$28&gt;0,AND(DAY($A347)=MIN(DAY('Recurring Schedule'!$F$28),DAY(EOMONTH($A347,0))),MOD((YEAR($A347)-YEAR('Recurring Schedule'!$F$28))*12+MONTH($A347)-MONTH('Recurring Schedule'!$F$28),'Recurring Schedule'!$O$28)=0),IF('Recurring Schedule'!$E$28="Weekdays",WEEKDAY($A347,2)&lt;=5,$A347='Recurring Schedule'!$F$28))),23,""))))</f>
        <v/>
      </c>
      <c r="Y347">
        <f>IF('Recurring Schedule'!$C$29="","",IF('Recurring Schedule'!$F$29="","",IF(OR($A347&lt;'Recurring Schedule'!$F$29,$A347&gt;'Recurring Schedule'!$P$29),"",IF(IF('Recurring Schedule'!$N$29&gt;0,MOD($A347-'Recurring Schedule'!$F$29,'Recurring Schedule'!$N$29)=0,IF('Recurring Schedule'!$O$29&gt;0,AND(DAY($A347)=MIN(DAY('Recurring Schedule'!$F$29),DAY(EOMONTH($A347,0))),MOD((YEAR($A347)-YEAR('Recurring Schedule'!$F$29))*12+MONTH($A347)-MONTH('Recurring Schedule'!$F$29),'Recurring Schedule'!$O$29)=0),IF('Recurring Schedule'!$E$29="Weekdays",WEEKDAY($A347,2)&lt;=5,$A347='Recurring Schedule'!$F$29))),24,""))))</f>
        <v/>
      </c>
      <c r="Z347">
        <f>IF('Recurring Schedule'!$C$30="","",IF('Recurring Schedule'!$F$30="","",IF(OR($A347&lt;'Recurring Schedule'!$F$30,$A347&gt;'Recurring Schedule'!$P$30),"",IF(IF('Recurring Schedule'!$N$30&gt;0,MOD($A347-'Recurring Schedule'!$F$30,'Recurring Schedule'!$N$30)=0,IF('Recurring Schedule'!$O$30&gt;0,AND(DAY($A347)=MIN(DAY('Recurring Schedule'!$F$30),DAY(EOMONTH($A347,0))),MOD((YEAR($A347)-YEAR('Recurring Schedule'!$F$30))*12+MONTH($A347)-MONTH('Recurring Schedule'!$F$30),'Recurring Schedule'!$O$30)=0),IF('Recurring Schedule'!$E$30="Weekdays",WEEKDAY($A347,2)&lt;=5,$A347='Recurring Schedule'!$F$30))),25,""))))</f>
        <v/>
      </c>
      <c r="AA347">
        <f>IF('Recurring Schedule'!$C$31="","",IF('Recurring Schedule'!$F$31="","",IF(OR($A347&lt;'Recurring Schedule'!$F$31,$A347&gt;'Recurring Schedule'!$P$31),"",IF(IF('Recurring Schedule'!$N$31&gt;0,MOD($A347-'Recurring Schedule'!$F$31,'Recurring Schedule'!$N$31)=0,IF('Recurring Schedule'!$O$31&gt;0,AND(DAY($A347)=MIN(DAY('Recurring Schedule'!$F$31),DAY(EOMONTH($A347,0))),MOD((YEAR($A347)-YEAR('Recurring Schedule'!$F$31))*12+MONTH($A347)-MONTH('Recurring Schedule'!$F$31),'Recurring Schedule'!$O$31)=0),IF('Recurring Schedule'!$E$31="Weekdays",WEEKDAY($A347,2)&lt;=5,$A347='Recurring Schedule'!$F$31))),26,""))))</f>
        <v/>
      </c>
      <c r="AB347">
        <f>IF('Recurring Schedule'!$C$32="","",IF('Recurring Schedule'!$F$32="","",IF(OR($A347&lt;'Recurring Schedule'!$F$32,$A347&gt;'Recurring Schedule'!$P$32),"",IF(IF('Recurring Schedule'!$N$32&gt;0,MOD($A347-'Recurring Schedule'!$F$32,'Recurring Schedule'!$N$32)=0,IF('Recurring Schedule'!$O$32&gt;0,AND(DAY($A347)=MIN(DAY('Recurring Schedule'!$F$32),DAY(EOMONTH($A347,0))),MOD((YEAR($A347)-YEAR('Recurring Schedule'!$F$32))*12+MONTH($A347)-MONTH('Recurring Schedule'!$F$32),'Recurring Schedule'!$O$32)=0),IF('Recurring Schedule'!$E$32="Weekdays",WEEKDAY($A347,2)&lt;=5,$A347='Recurring Schedule'!$F$32))),27,""))))</f>
        <v/>
      </c>
      <c r="AC347">
        <f>IF('Recurring Schedule'!$C$33="","",IF('Recurring Schedule'!$F$33="","",IF(OR($A347&lt;'Recurring Schedule'!$F$33,$A347&gt;'Recurring Schedule'!$P$33),"",IF(IF('Recurring Schedule'!$N$33&gt;0,MOD($A347-'Recurring Schedule'!$F$33,'Recurring Schedule'!$N$33)=0,IF('Recurring Schedule'!$O$33&gt;0,AND(DAY($A347)=MIN(DAY('Recurring Schedule'!$F$33),DAY(EOMONTH($A347,0))),MOD((YEAR($A347)-YEAR('Recurring Schedule'!$F$33))*12+MONTH($A347)-MONTH('Recurring Schedule'!$F$33),'Recurring Schedule'!$O$33)=0),IF('Recurring Schedule'!$E$33="Weekdays",WEEKDAY($A347,2)&lt;=5,$A347='Recurring Schedule'!$F$33))),28,""))))</f>
        <v/>
      </c>
      <c r="AD347">
        <f>IF('Recurring Schedule'!$C$34="","",IF('Recurring Schedule'!$F$34="","",IF(OR($A347&lt;'Recurring Schedule'!$F$34,$A347&gt;'Recurring Schedule'!$P$34),"",IF(IF('Recurring Schedule'!$N$34&gt;0,MOD($A347-'Recurring Schedule'!$F$34,'Recurring Schedule'!$N$34)=0,IF('Recurring Schedule'!$O$34&gt;0,AND(DAY($A347)=MIN(DAY('Recurring Schedule'!$F$34),DAY(EOMONTH($A347,0))),MOD((YEAR($A347)-YEAR('Recurring Schedule'!$F$34))*12+MONTH($A347)-MONTH('Recurring Schedule'!$F$34),'Recurring Schedule'!$O$34)=0),IF('Recurring Schedule'!$E$34="Weekdays",WEEKDAY($A347,2)&lt;=5,$A347='Recurring Schedule'!$F$34))),29,""))))</f>
        <v/>
      </c>
      <c r="AE347">
        <f>IF('Recurring Schedule'!$C$35="","",IF('Recurring Schedule'!$F$35="","",IF(OR($A347&lt;'Recurring Schedule'!$F$35,$A347&gt;'Recurring Schedule'!$P$35),"",IF(IF('Recurring Schedule'!$N$35&gt;0,MOD($A347-'Recurring Schedule'!$F$35,'Recurring Schedule'!$N$35)=0,IF('Recurring Schedule'!$O$35&gt;0,AND(DAY($A347)=MIN(DAY('Recurring Schedule'!$F$35),DAY(EOMONTH($A347,0))),MOD((YEAR($A347)-YEAR('Recurring Schedule'!$F$35))*12+MONTH($A347)-MONTH('Recurring Schedule'!$F$35),'Recurring Schedule'!$O$35)=0),IF('Recurring Schedule'!$E$35="Weekdays",WEEKDAY($A347,2)&lt;=5,$A347='Recurring Schedule'!$F$35))),30,""))))</f>
        <v/>
      </c>
      <c r="AF347">
        <f>IF('Recurring Schedule'!$C$36="","",IF('Recurring Schedule'!$F$36="","",IF(OR($A347&lt;'Recurring Schedule'!$F$36,$A347&gt;'Recurring Schedule'!$P$36),"",IF(IF('Recurring Schedule'!$N$36&gt;0,MOD($A347-'Recurring Schedule'!$F$36,'Recurring Schedule'!$N$36)=0,IF('Recurring Schedule'!$O$36&gt;0,AND(DAY($A347)=MIN(DAY('Recurring Schedule'!$F$36),DAY(EOMONTH($A347,0))),MOD((YEAR($A347)-YEAR('Recurring Schedule'!$F$36))*12+MONTH($A347)-MONTH('Recurring Schedule'!$F$36),'Recurring Schedule'!$O$36)=0),IF('Recurring Schedule'!$E$36="Weekdays",WEEKDAY($A347,2)&lt;=5,$A347='Recurring Schedule'!$F$36))),31,""))))</f>
        <v/>
      </c>
      <c r="AG347">
        <f>IF('Recurring Schedule'!$C$37="","",IF('Recurring Schedule'!$F$37="","",IF(OR($A347&lt;'Recurring Schedule'!$F$37,$A347&gt;'Recurring Schedule'!$P$37),"",IF(IF('Recurring Schedule'!$N$37&gt;0,MOD($A347-'Recurring Schedule'!$F$37,'Recurring Schedule'!$N$37)=0,IF('Recurring Schedule'!$O$37&gt;0,AND(DAY($A347)=MIN(DAY('Recurring Schedule'!$F$37),DAY(EOMONTH($A347,0))),MOD((YEAR($A347)-YEAR('Recurring Schedule'!$F$37))*12+MONTH($A347)-MONTH('Recurring Schedule'!$F$37),'Recurring Schedule'!$O$37)=0),IF('Recurring Schedule'!$E$37="Weekdays",WEEKDAY($A347,2)&lt;=5,$A347='Recurring Schedule'!$F$37))),32,""))))</f>
        <v/>
      </c>
      <c r="AH347">
        <f>IF('Recurring Schedule'!$C$38="","",IF('Recurring Schedule'!$F$38="","",IF(OR($A347&lt;'Recurring Schedule'!$F$38,$A347&gt;'Recurring Schedule'!$P$38),"",IF(IF('Recurring Schedule'!$N$38&gt;0,MOD($A347-'Recurring Schedule'!$F$38,'Recurring Schedule'!$N$38)=0,IF('Recurring Schedule'!$O$38&gt;0,AND(DAY($A347)=MIN(DAY('Recurring Schedule'!$F$38),DAY(EOMONTH($A347,0))),MOD((YEAR($A347)-YEAR('Recurring Schedule'!$F$38))*12+MONTH($A347)-MONTH('Recurring Schedule'!$F$38),'Recurring Schedule'!$O$38)=0),IF('Recurring Schedule'!$E$38="Weekdays",WEEKDAY($A347,2)&lt;=5,$A347='Recurring Schedule'!$F$38))),33,""))))</f>
        <v/>
      </c>
      <c r="AI347">
        <f>IF('Recurring Schedule'!$C$39="","",IF('Recurring Schedule'!$F$39="","",IF(OR($A347&lt;'Recurring Schedule'!$F$39,$A347&gt;'Recurring Schedule'!$P$39),"",IF(IF('Recurring Schedule'!$N$39&gt;0,MOD($A347-'Recurring Schedule'!$F$39,'Recurring Schedule'!$N$39)=0,IF('Recurring Schedule'!$O$39&gt;0,AND(DAY($A347)=MIN(DAY('Recurring Schedule'!$F$39),DAY(EOMONTH($A347,0))),MOD((YEAR($A347)-YEAR('Recurring Schedule'!$F$39))*12+MONTH($A347)-MONTH('Recurring Schedule'!$F$39),'Recurring Schedule'!$O$39)=0),IF('Recurring Schedule'!$E$39="Weekdays",WEEKDAY($A347,2)&lt;=5,$A347='Recurring Schedule'!$F$39))),34,""))))</f>
        <v/>
      </c>
      <c r="AJ347">
        <f>IF('Recurring Schedule'!$C$40="","",IF('Recurring Schedule'!$F$40="","",IF(OR($A347&lt;'Recurring Schedule'!$F$40,$A347&gt;'Recurring Schedule'!$P$40),"",IF(IF('Recurring Schedule'!$N$40&gt;0,MOD($A347-'Recurring Schedule'!$F$40,'Recurring Schedule'!$N$40)=0,IF('Recurring Schedule'!$O$40&gt;0,AND(DAY($A347)=MIN(DAY('Recurring Schedule'!$F$40),DAY(EOMONTH($A347,0))),MOD((YEAR($A347)-YEAR('Recurring Schedule'!$F$40))*12+MONTH($A347)-MONTH('Recurring Schedule'!$F$40),'Recurring Schedule'!$O$40)=0),IF('Recurring Schedule'!$E$40="Weekdays",WEEKDAY($A347,2)&lt;=5,$A347='Recurring Schedule'!$F$40))),35,""))))</f>
        <v/>
      </c>
      <c r="AK347">
        <f>IF('Recurring Schedule'!$C$41="","",IF('Recurring Schedule'!$F$41="","",IF(OR($A347&lt;'Recurring Schedule'!$F$41,$A347&gt;'Recurring Schedule'!$P$41),"",IF(IF('Recurring Schedule'!$N$41&gt;0,MOD($A347-'Recurring Schedule'!$F$41,'Recurring Schedule'!$N$41)=0,IF('Recurring Schedule'!$O$41&gt;0,AND(DAY($A347)=MIN(DAY('Recurring Schedule'!$F$41),DAY(EOMONTH($A347,0))),MOD((YEAR($A347)-YEAR('Recurring Schedule'!$F$41))*12+MONTH($A347)-MONTH('Recurring Schedule'!$F$41),'Recurring Schedule'!$O$41)=0),IF('Recurring Schedule'!$E$41="Weekdays",WEEKDAY($A347,2)&lt;=5,$A347='Recurring Schedule'!$F$41))),36,""))))</f>
        <v/>
      </c>
      <c r="AL347">
        <f>IF('Recurring Schedule'!$C$42="","",IF('Recurring Schedule'!$F$42="","",IF(OR($A347&lt;'Recurring Schedule'!$F$42,$A347&gt;'Recurring Schedule'!$P$42),"",IF(IF('Recurring Schedule'!$N$42&gt;0,MOD($A347-'Recurring Schedule'!$F$42,'Recurring Schedule'!$N$42)=0,IF('Recurring Schedule'!$O$42&gt;0,AND(DAY($A347)=MIN(DAY('Recurring Schedule'!$F$42),DAY(EOMONTH($A347,0))),MOD((YEAR($A347)-YEAR('Recurring Schedule'!$F$42))*12+MONTH($A347)-MONTH('Recurring Schedule'!$F$42),'Recurring Schedule'!$O$42)=0),IF('Recurring Schedule'!$E$42="Weekdays",WEEKDAY($A347,2)&lt;=5,$A347='Recurring Schedule'!$F$42))),37,""))))</f>
        <v/>
      </c>
      <c r="AM347">
        <f>IF('Recurring Schedule'!$C$43="","",IF('Recurring Schedule'!$F$43="","",IF(OR($A347&lt;'Recurring Schedule'!$F$43,$A347&gt;'Recurring Schedule'!$P$43),"",IF(IF('Recurring Schedule'!$N$43&gt;0,MOD($A347-'Recurring Schedule'!$F$43,'Recurring Schedule'!$N$43)=0,IF('Recurring Schedule'!$O$43&gt;0,AND(DAY($A347)=MIN(DAY('Recurring Schedule'!$F$43),DAY(EOMONTH($A347,0))),MOD((YEAR($A347)-YEAR('Recurring Schedule'!$F$43))*12+MONTH($A347)-MONTH('Recurring Schedule'!$F$43),'Recurring Schedule'!$O$43)=0),IF('Recurring Schedule'!$E$43="Weekdays",WEEKDAY($A347,2)&lt;=5,$A347='Recurring Schedule'!$F$43))),38,""))))</f>
        <v/>
      </c>
      <c r="AN347">
        <f>IF('Recurring Schedule'!$C$44="","",IF('Recurring Schedule'!$F$44="","",IF(OR($A347&lt;'Recurring Schedule'!$F$44,$A347&gt;'Recurring Schedule'!$P$44),"",IF(IF('Recurring Schedule'!$N$44&gt;0,MOD($A347-'Recurring Schedule'!$F$44,'Recurring Schedule'!$N$44)=0,IF('Recurring Schedule'!$O$44&gt;0,AND(DAY($A347)=MIN(DAY('Recurring Schedule'!$F$44),DAY(EOMONTH($A347,0))),MOD((YEAR($A347)-YEAR('Recurring Schedule'!$F$44))*12+MONTH($A347)-MONTH('Recurring Schedule'!$F$44),'Recurring Schedule'!$O$44)=0),IF('Recurring Schedule'!$E$44="Weekdays",WEEKDAY($A347,2)&lt;=5,$A347='Recurring Schedule'!$F$44))),39,""))))</f>
        <v/>
      </c>
      <c r="AO347">
        <f>IF('Recurring Schedule'!$C$45="","",IF('Recurring Schedule'!$F$45="","",IF(OR($A347&lt;'Recurring Schedule'!$F$45,$A347&gt;'Recurring Schedule'!$P$45),"",IF(IF('Recurring Schedule'!$N$45&gt;0,MOD($A347-'Recurring Schedule'!$F$45,'Recurring Schedule'!$N$45)=0,IF('Recurring Schedule'!$O$45&gt;0,AND(DAY($A347)=MIN(DAY('Recurring Schedule'!$F$45),DAY(EOMONTH($A347,0))),MOD((YEAR($A347)-YEAR('Recurring Schedule'!$F$45))*12+MONTH($A347)-MONTH('Recurring Schedule'!$F$45),'Recurring Schedule'!$O$45)=0),IF('Recurring Schedule'!$E$45="Weekdays",WEEKDAY($A347,2)&lt;=5,$A347='Recurring Schedule'!$F$45))),40,""))))</f>
        <v/>
      </c>
      <c r="AP347">
        <f>COUNT(B347:AO347)</f>
        <v/>
      </c>
      <c r="AQ347">
        <f>AQ346+AP346</f>
        <v/>
      </c>
      <c r="AS347" t="inlineStr">
        <is>
          <t>R</t>
        </is>
      </c>
      <c r="AT347" t="n">
        <v>351</v>
      </c>
      <c r="AU347">
        <f>'Recurring Log'!C351&amp;""</f>
        <v/>
      </c>
      <c r="AV347">
        <f>'Recurring Log'!D351&amp;""</f>
        <v/>
      </c>
      <c r="AW347">
        <f>IF('Recurring Log'!E351="","",'Recurring Log'!E351)</f>
        <v/>
      </c>
      <c r="AX347">
        <f>IF('Recurring Log'!G351="","",'Recurring Log'!G351)</f>
        <v/>
      </c>
      <c r="AY347">
        <f>IF('Recurring Log'!H351="","",'Recurring Log'!H351)</f>
        <v/>
      </c>
      <c r="AZ347">
        <f>IF(AU347="","",IF('Recurring Log'!J351="","Not Started",'Recurring Log'!J351))</f>
        <v/>
      </c>
      <c r="BA347">
        <f>'Recurring Log'!L351&amp;""</f>
        <v/>
      </c>
      <c r="BB347">
        <f>'Recurring Log'!M351&amp;""</f>
        <v/>
      </c>
      <c r="BC347">
        <f>'Recurring Log'!N351&amp;""</f>
        <v/>
      </c>
      <c r="BD347">
        <f>'Recurring Log'!O351&amp;""</f>
        <v/>
      </c>
      <c r="BE347">
        <f>IF('Recurring Log'!K351="","",'Recurring Log'!K351)</f>
        <v/>
      </c>
      <c r="BF347">
        <f>IFERROR(MATCH(BA347,Setup!$L$6:$L$9,0),5)</f>
        <v/>
      </c>
      <c r="BG347">
        <f>IF(OR(AZ347="Done",AZ347="Cancelled"),1,0)</f>
        <v/>
      </c>
      <c r="BH347">
        <f>IF(AND(AU347&lt;&gt;"",ISNUMBER(AW347)),1,0)</f>
        <v/>
      </c>
      <c r="BI347">
        <f>IF(BH347=0,0,IF(AND(AW347&gt;='Tasks Filter'!$F$3,AW347&lt;='Tasks Filter'!$F$4,OR('Tasks Filter'!$I$3="",ISNUMBER(SEARCH('Tasks Filter'!$I$3,AU347))),OR('Tasks Filter'!$I$4="",BF347=IFERROR(MATCH('Tasks Filter'!$I$4,Setup!$L$6:$L$9,0),0)),OR('Tasks Filter'!$I$5="Both",AND('Tasks Filter'!$I$5="Yes",BB347="✓"),AND('Tasks Filter'!$I$5="No",BB347&lt;&gt;"✓")),OR('Tasks Filter'!$L$3="",AV347='Tasks Filter'!$L$3),OR('Tasks Filter'!$L$4="",AZ347='Tasks Filter'!$L$4),OR('Tasks Filter'!$L$5="",BC347='Tasks Filter'!$L$5),OR('Tasks Filter'!$O$3="",BD347='Tasks Filter'!$O$3),OR('Tasks Filter'!$O$4="Yes",BG347=0)),1,0))</f>
        <v/>
      </c>
      <c r="BJ347">
        <f>IF(BH347=0,"",IF('Tasks Filter'!$F$6="Descending",-1,1)*CHOOSE(MATCH('Tasks Filter'!$F$5,Lists!$G$2:$G$6,0),AW347,BF347,IFERROR(MATCH(AV347,Setup!$F$6:$F$15,0),99),IFERROR(MATCH(BC347,Setup!$H$6:$H$15,0),99),IFERROR(MATCH(AZ347,Setup!$J$6:$J$11,0),99))*1E+9+(AW347-40000)*10000+346)</f>
        <v/>
      </c>
      <c r="BK347">
        <f>IF(BI347=1,BJ347,"")</f>
        <v/>
      </c>
      <c r="BL347">
        <f>IF(AND(BH347=1,BG347=0,N(AW347)&lt;Setup!$D$7),(AW347-40000)*10000+346,"")</f>
        <v/>
      </c>
      <c r="BM347">
        <f>IF(AND(BH347=1,AZ347&lt;&gt;"Cancelled",N(AW347)&gt;=Dashboard!$AB$3,N(AW347)&lt;=Dashboard!$AB$3+6),(AW347-40000)*100000+BF347*10000+346,"")</f>
        <v/>
      </c>
      <c r="BN347">
        <f>IF(AND(BH347=1,AZ347&lt;&gt;"Cancelled"),BF347*10000+346,"")</f>
        <v/>
      </c>
    </row>
    <row r="348">
      <c r="A348">
        <f>Setup!$D$5+346</f>
        <v/>
      </c>
      <c r="B348">
        <f>IF('Recurring Schedule'!$C$6="","",IF('Recurring Schedule'!$F$6="","",IF(OR($A348&lt;'Recurring Schedule'!$F$6,$A348&gt;'Recurring Schedule'!$P$6),"",IF(IF('Recurring Schedule'!$N$6&gt;0,MOD($A348-'Recurring Schedule'!$F$6,'Recurring Schedule'!$N$6)=0,IF('Recurring Schedule'!$O$6&gt;0,AND(DAY($A348)=MIN(DAY('Recurring Schedule'!$F$6),DAY(EOMONTH($A348,0))),MOD((YEAR($A348)-YEAR('Recurring Schedule'!$F$6))*12+MONTH($A348)-MONTH('Recurring Schedule'!$F$6),'Recurring Schedule'!$O$6)=0),IF('Recurring Schedule'!$E$6="Weekdays",WEEKDAY($A348,2)&lt;=5,$A348='Recurring Schedule'!$F$6))),1,""))))</f>
        <v/>
      </c>
      <c r="C348">
        <f>IF('Recurring Schedule'!$C$7="","",IF('Recurring Schedule'!$F$7="","",IF(OR($A348&lt;'Recurring Schedule'!$F$7,$A348&gt;'Recurring Schedule'!$P$7),"",IF(IF('Recurring Schedule'!$N$7&gt;0,MOD($A348-'Recurring Schedule'!$F$7,'Recurring Schedule'!$N$7)=0,IF('Recurring Schedule'!$O$7&gt;0,AND(DAY($A348)=MIN(DAY('Recurring Schedule'!$F$7),DAY(EOMONTH($A348,0))),MOD((YEAR($A348)-YEAR('Recurring Schedule'!$F$7))*12+MONTH($A348)-MONTH('Recurring Schedule'!$F$7),'Recurring Schedule'!$O$7)=0),IF('Recurring Schedule'!$E$7="Weekdays",WEEKDAY($A348,2)&lt;=5,$A348='Recurring Schedule'!$F$7))),2,""))))</f>
        <v/>
      </c>
      <c r="D348">
        <f>IF('Recurring Schedule'!$C$8="","",IF('Recurring Schedule'!$F$8="","",IF(OR($A348&lt;'Recurring Schedule'!$F$8,$A348&gt;'Recurring Schedule'!$P$8),"",IF(IF('Recurring Schedule'!$N$8&gt;0,MOD($A348-'Recurring Schedule'!$F$8,'Recurring Schedule'!$N$8)=0,IF('Recurring Schedule'!$O$8&gt;0,AND(DAY($A348)=MIN(DAY('Recurring Schedule'!$F$8),DAY(EOMONTH($A348,0))),MOD((YEAR($A348)-YEAR('Recurring Schedule'!$F$8))*12+MONTH($A348)-MONTH('Recurring Schedule'!$F$8),'Recurring Schedule'!$O$8)=0),IF('Recurring Schedule'!$E$8="Weekdays",WEEKDAY($A348,2)&lt;=5,$A348='Recurring Schedule'!$F$8))),3,""))))</f>
        <v/>
      </c>
      <c r="E348">
        <f>IF('Recurring Schedule'!$C$9="","",IF('Recurring Schedule'!$F$9="","",IF(OR($A348&lt;'Recurring Schedule'!$F$9,$A348&gt;'Recurring Schedule'!$P$9),"",IF(IF('Recurring Schedule'!$N$9&gt;0,MOD($A348-'Recurring Schedule'!$F$9,'Recurring Schedule'!$N$9)=0,IF('Recurring Schedule'!$O$9&gt;0,AND(DAY($A348)=MIN(DAY('Recurring Schedule'!$F$9),DAY(EOMONTH($A348,0))),MOD((YEAR($A348)-YEAR('Recurring Schedule'!$F$9))*12+MONTH($A348)-MONTH('Recurring Schedule'!$F$9),'Recurring Schedule'!$O$9)=0),IF('Recurring Schedule'!$E$9="Weekdays",WEEKDAY($A348,2)&lt;=5,$A348='Recurring Schedule'!$F$9))),4,""))))</f>
        <v/>
      </c>
      <c r="F348">
        <f>IF('Recurring Schedule'!$C$10="","",IF('Recurring Schedule'!$F$10="","",IF(OR($A348&lt;'Recurring Schedule'!$F$10,$A348&gt;'Recurring Schedule'!$P$10),"",IF(IF('Recurring Schedule'!$N$10&gt;0,MOD($A348-'Recurring Schedule'!$F$10,'Recurring Schedule'!$N$10)=0,IF('Recurring Schedule'!$O$10&gt;0,AND(DAY($A348)=MIN(DAY('Recurring Schedule'!$F$10),DAY(EOMONTH($A348,0))),MOD((YEAR($A348)-YEAR('Recurring Schedule'!$F$10))*12+MONTH($A348)-MONTH('Recurring Schedule'!$F$10),'Recurring Schedule'!$O$10)=0),IF('Recurring Schedule'!$E$10="Weekdays",WEEKDAY($A348,2)&lt;=5,$A348='Recurring Schedule'!$F$10))),5,""))))</f>
        <v/>
      </c>
      <c r="G348">
        <f>IF('Recurring Schedule'!$C$11="","",IF('Recurring Schedule'!$F$11="","",IF(OR($A348&lt;'Recurring Schedule'!$F$11,$A348&gt;'Recurring Schedule'!$P$11),"",IF(IF('Recurring Schedule'!$N$11&gt;0,MOD($A348-'Recurring Schedule'!$F$11,'Recurring Schedule'!$N$11)=0,IF('Recurring Schedule'!$O$11&gt;0,AND(DAY($A348)=MIN(DAY('Recurring Schedule'!$F$11),DAY(EOMONTH($A348,0))),MOD((YEAR($A348)-YEAR('Recurring Schedule'!$F$11))*12+MONTH($A348)-MONTH('Recurring Schedule'!$F$11),'Recurring Schedule'!$O$11)=0),IF('Recurring Schedule'!$E$11="Weekdays",WEEKDAY($A348,2)&lt;=5,$A348='Recurring Schedule'!$F$11))),6,""))))</f>
        <v/>
      </c>
      <c r="H348">
        <f>IF('Recurring Schedule'!$C$12="","",IF('Recurring Schedule'!$F$12="","",IF(OR($A348&lt;'Recurring Schedule'!$F$12,$A348&gt;'Recurring Schedule'!$P$12),"",IF(IF('Recurring Schedule'!$N$12&gt;0,MOD($A348-'Recurring Schedule'!$F$12,'Recurring Schedule'!$N$12)=0,IF('Recurring Schedule'!$O$12&gt;0,AND(DAY($A348)=MIN(DAY('Recurring Schedule'!$F$12),DAY(EOMONTH($A348,0))),MOD((YEAR($A348)-YEAR('Recurring Schedule'!$F$12))*12+MONTH($A348)-MONTH('Recurring Schedule'!$F$12),'Recurring Schedule'!$O$12)=0),IF('Recurring Schedule'!$E$12="Weekdays",WEEKDAY($A348,2)&lt;=5,$A348='Recurring Schedule'!$F$12))),7,""))))</f>
        <v/>
      </c>
      <c r="I348">
        <f>IF('Recurring Schedule'!$C$13="","",IF('Recurring Schedule'!$F$13="","",IF(OR($A348&lt;'Recurring Schedule'!$F$13,$A348&gt;'Recurring Schedule'!$P$13),"",IF(IF('Recurring Schedule'!$N$13&gt;0,MOD($A348-'Recurring Schedule'!$F$13,'Recurring Schedule'!$N$13)=0,IF('Recurring Schedule'!$O$13&gt;0,AND(DAY($A348)=MIN(DAY('Recurring Schedule'!$F$13),DAY(EOMONTH($A348,0))),MOD((YEAR($A348)-YEAR('Recurring Schedule'!$F$13))*12+MONTH($A348)-MONTH('Recurring Schedule'!$F$13),'Recurring Schedule'!$O$13)=0),IF('Recurring Schedule'!$E$13="Weekdays",WEEKDAY($A348,2)&lt;=5,$A348='Recurring Schedule'!$F$13))),8,""))))</f>
        <v/>
      </c>
      <c r="J348">
        <f>IF('Recurring Schedule'!$C$14="","",IF('Recurring Schedule'!$F$14="","",IF(OR($A348&lt;'Recurring Schedule'!$F$14,$A348&gt;'Recurring Schedule'!$P$14),"",IF(IF('Recurring Schedule'!$N$14&gt;0,MOD($A348-'Recurring Schedule'!$F$14,'Recurring Schedule'!$N$14)=0,IF('Recurring Schedule'!$O$14&gt;0,AND(DAY($A348)=MIN(DAY('Recurring Schedule'!$F$14),DAY(EOMONTH($A348,0))),MOD((YEAR($A348)-YEAR('Recurring Schedule'!$F$14))*12+MONTH($A348)-MONTH('Recurring Schedule'!$F$14),'Recurring Schedule'!$O$14)=0),IF('Recurring Schedule'!$E$14="Weekdays",WEEKDAY($A348,2)&lt;=5,$A348='Recurring Schedule'!$F$14))),9,""))))</f>
        <v/>
      </c>
      <c r="K348">
        <f>IF('Recurring Schedule'!$C$15="","",IF('Recurring Schedule'!$F$15="","",IF(OR($A348&lt;'Recurring Schedule'!$F$15,$A348&gt;'Recurring Schedule'!$P$15),"",IF(IF('Recurring Schedule'!$N$15&gt;0,MOD($A348-'Recurring Schedule'!$F$15,'Recurring Schedule'!$N$15)=0,IF('Recurring Schedule'!$O$15&gt;0,AND(DAY($A348)=MIN(DAY('Recurring Schedule'!$F$15),DAY(EOMONTH($A348,0))),MOD((YEAR($A348)-YEAR('Recurring Schedule'!$F$15))*12+MONTH($A348)-MONTH('Recurring Schedule'!$F$15),'Recurring Schedule'!$O$15)=0),IF('Recurring Schedule'!$E$15="Weekdays",WEEKDAY($A348,2)&lt;=5,$A348='Recurring Schedule'!$F$15))),10,""))))</f>
        <v/>
      </c>
      <c r="L348">
        <f>IF('Recurring Schedule'!$C$16="","",IF('Recurring Schedule'!$F$16="","",IF(OR($A348&lt;'Recurring Schedule'!$F$16,$A348&gt;'Recurring Schedule'!$P$16),"",IF(IF('Recurring Schedule'!$N$16&gt;0,MOD($A348-'Recurring Schedule'!$F$16,'Recurring Schedule'!$N$16)=0,IF('Recurring Schedule'!$O$16&gt;0,AND(DAY($A348)=MIN(DAY('Recurring Schedule'!$F$16),DAY(EOMONTH($A348,0))),MOD((YEAR($A348)-YEAR('Recurring Schedule'!$F$16))*12+MONTH($A348)-MONTH('Recurring Schedule'!$F$16),'Recurring Schedule'!$O$16)=0),IF('Recurring Schedule'!$E$16="Weekdays",WEEKDAY($A348,2)&lt;=5,$A348='Recurring Schedule'!$F$16))),11,""))))</f>
        <v/>
      </c>
      <c r="M348">
        <f>IF('Recurring Schedule'!$C$17="","",IF('Recurring Schedule'!$F$17="","",IF(OR($A348&lt;'Recurring Schedule'!$F$17,$A348&gt;'Recurring Schedule'!$P$17),"",IF(IF('Recurring Schedule'!$N$17&gt;0,MOD($A348-'Recurring Schedule'!$F$17,'Recurring Schedule'!$N$17)=0,IF('Recurring Schedule'!$O$17&gt;0,AND(DAY($A348)=MIN(DAY('Recurring Schedule'!$F$17),DAY(EOMONTH($A348,0))),MOD((YEAR($A348)-YEAR('Recurring Schedule'!$F$17))*12+MONTH($A348)-MONTH('Recurring Schedule'!$F$17),'Recurring Schedule'!$O$17)=0),IF('Recurring Schedule'!$E$17="Weekdays",WEEKDAY($A348,2)&lt;=5,$A348='Recurring Schedule'!$F$17))),12,""))))</f>
        <v/>
      </c>
      <c r="N348">
        <f>IF('Recurring Schedule'!$C$18="","",IF('Recurring Schedule'!$F$18="","",IF(OR($A348&lt;'Recurring Schedule'!$F$18,$A348&gt;'Recurring Schedule'!$P$18),"",IF(IF('Recurring Schedule'!$N$18&gt;0,MOD($A348-'Recurring Schedule'!$F$18,'Recurring Schedule'!$N$18)=0,IF('Recurring Schedule'!$O$18&gt;0,AND(DAY($A348)=MIN(DAY('Recurring Schedule'!$F$18),DAY(EOMONTH($A348,0))),MOD((YEAR($A348)-YEAR('Recurring Schedule'!$F$18))*12+MONTH($A348)-MONTH('Recurring Schedule'!$F$18),'Recurring Schedule'!$O$18)=0),IF('Recurring Schedule'!$E$18="Weekdays",WEEKDAY($A348,2)&lt;=5,$A348='Recurring Schedule'!$F$18))),13,""))))</f>
        <v/>
      </c>
      <c r="O348">
        <f>IF('Recurring Schedule'!$C$19="","",IF('Recurring Schedule'!$F$19="","",IF(OR($A348&lt;'Recurring Schedule'!$F$19,$A348&gt;'Recurring Schedule'!$P$19),"",IF(IF('Recurring Schedule'!$N$19&gt;0,MOD($A348-'Recurring Schedule'!$F$19,'Recurring Schedule'!$N$19)=0,IF('Recurring Schedule'!$O$19&gt;0,AND(DAY($A348)=MIN(DAY('Recurring Schedule'!$F$19),DAY(EOMONTH($A348,0))),MOD((YEAR($A348)-YEAR('Recurring Schedule'!$F$19))*12+MONTH($A348)-MONTH('Recurring Schedule'!$F$19),'Recurring Schedule'!$O$19)=0),IF('Recurring Schedule'!$E$19="Weekdays",WEEKDAY($A348,2)&lt;=5,$A348='Recurring Schedule'!$F$19))),14,""))))</f>
        <v/>
      </c>
      <c r="P348">
        <f>IF('Recurring Schedule'!$C$20="","",IF('Recurring Schedule'!$F$20="","",IF(OR($A348&lt;'Recurring Schedule'!$F$20,$A348&gt;'Recurring Schedule'!$P$20),"",IF(IF('Recurring Schedule'!$N$20&gt;0,MOD($A348-'Recurring Schedule'!$F$20,'Recurring Schedule'!$N$20)=0,IF('Recurring Schedule'!$O$20&gt;0,AND(DAY($A348)=MIN(DAY('Recurring Schedule'!$F$20),DAY(EOMONTH($A348,0))),MOD((YEAR($A348)-YEAR('Recurring Schedule'!$F$20))*12+MONTH($A348)-MONTH('Recurring Schedule'!$F$20),'Recurring Schedule'!$O$20)=0),IF('Recurring Schedule'!$E$20="Weekdays",WEEKDAY($A348,2)&lt;=5,$A348='Recurring Schedule'!$F$20))),15,""))))</f>
        <v/>
      </c>
      <c r="Q348">
        <f>IF('Recurring Schedule'!$C$21="","",IF('Recurring Schedule'!$F$21="","",IF(OR($A348&lt;'Recurring Schedule'!$F$21,$A348&gt;'Recurring Schedule'!$P$21),"",IF(IF('Recurring Schedule'!$N$21&gt;0,MOD($A348-'Recurring Schedule'!$F$21,'Recurring Schedule'!$N$21)=0,IF('Recurring Schedule'!$O$21&gt;0,AND(DAY($A348)=MIN(DAY('Recurring Schedule'!$F$21),DAY(EOMONTH($A348,0))),MOD((YEAR($A348)-YEAR('Recurring Schedule'!$F$21))*12+MONTH($A348)-MONTH('Recurring Schedule'!$F$21),'Recurring Schedule'!$O$21)=0),IF('Recurring Schedule'!$E$21="Weekdays",WEEKDAY($A348,2)&lt;=5,$A348='Recurring Schedule'!$F$21))),16,""))))</f>
        <v/>
      </c>
      <c r="R348">
        <f>IF('Recurring Schedule'!$C$22="","",IF('Recurring Schedule'!$F$22="","",IF(OR($A348&lt;'Recurring Schedule'!$F$22,$A348&gt;'Recurring Schedule'!$P$22),"",IF(IF('Recurring Schedule'!$N$22&gt;0,MOD($A348-'Recurring Schedule'!$F$22,'Recurring Schedule'!$N$22)=0,IF('Recurring Schedule'!$O$22&gt;0,AND(DAY($A348)=MIN(DAY('Recurring Schedule'!$F$22),DAY(EOMONTH($A348,0))),MOD((YEAR($A348)-YEAR('Recurring Schedule'!$F$22))*12+MONTH($A348)-MONTH('Recurring Schedule'!$F$22),'Recurring Schedule'!$O$22)=0),IF('Recurring Schedule'!$E$22="Weekdays",WEEKDAY($A348,2)&lt;=5,$A348='Recurring Schedule'!$F$22))),17,""))))</f>
        <v/>
      </c>
      <c r="S348">
        <f>IF('Recurring Schedule'!$C$23="","",IF('Recurring Schedule'!$F$23="","",IF(OR($A348&lt;'Recurring Schedule'!$F$23,$A348&gt;'Recurring Schedule'!$P$23),"",IF(IF('Recurring Schedule'!$N$23&gt;0,MOD($A348-'Recurring Schedule'!$F$23,'Recurring Schedule'!$N$23)=0,IF('Recurring Schedule'!$O$23&gt;0,AND(DAY($A348)=MIN(DAY('Recurring Schedule'!$F$23),DAY(EOMONTH($A348,0))),MOD((YEAR($A348)-YEAR('Recurring Schedule'!$F$23))*12+MONTH($A348)-MONTH('Recurring Schedule'!$F$23),'Recurring Schedule'!$O$23)=0),IF('Recurring Schedule'!$E$23="Weekdays",WEEKDAY($A348,2)&lt;=5,$A348='Recurring Schedule'!$F$23))),18,""))))</f>
        <v/>
      </c>
      <c r="T348">
        <f>IF('Recurring Schedule'!$C$24="","",IF('Recurring Schedule'!$F$24="","",IF(OR($A348&lt;'Recurring Schedule'!$F$24,$A348&gt;'Recurring Schedule'!$P$24),"",IF(IF('Recurring Schedule'!$N$24&gt;0,MOD($A348-'Recurring Schedule'!$F$24,'Recurring Schedule'!$N$24)=0,IF('Recurring Schedule'!$O$24&gt;0,AND(DAY($A348)=MIN(DAY('Recurring Schedule'!$F$24),DAY(EOMONTH($A348,0))),MOD((YEAR($A348)-YEAR('Recurring Schedule'!$F$24))*12+MONTH($A348)-MONTH('Recurring Schedule'!$F$24),'Recurring Schedule'!$O$24)=0),IF('Recurring Schedule'!$E$24="Weekdays",WEEKDAY($A348,2)&lt;=5,$A348='Recurring Schedule'!$F$24))),19,""))))</f>
        <v/>
      </c>
      <c r="U348">
        <f>IF('Recurring Schedule'!$C$25="","",IF('Recurring Schedule'!$F$25="","",IF(OR($A348&lt;'Recurring Schedule'!$F$25,$A348&gt;'Recurring Schedule'!$P$25),"",IF(IF('Recurring Schedule'!$N$25&gt;0,MOD($A348-'Recurring Schedule'!$F$25,'Recurring Schedule'!$N$25)=0,IF('Recurring Schedule'!$O$25&gt;0,AND(DAY($A348)=MIN(DAY('Recurring Schedule'!$F$25),DAY(EOMONTH($A348,0))),MOD((YEAR($A348)-YEAR('Recurring Schedule'!$F$25))*12+MONTH($A348)-MONTH('Recurring Schedule'!$F$25),'Recurring Schedule'!$O$25)=0),IF('Recurring Schedule'!$E$25="Weekdays",WEEKDAY($A348,2)&lt;=5,$A348='Recurring Schedule'!$F$25))),20,""))))</f>
        <v/>
      </c>
      <c r="V348">
        <f>IF('Recurring Schedule'!$C$26="","",IF('Recurring Schedule'!$F$26="","",IF(OR($A348&lt;'Recurring Schedule'!$F$26,$A348&gt;'Recurring Schedule'!$P$26),"",IF(IF('Recurring Schedule'!$N$26&gt;0,MOD($A348-'Recurring Schedule'!$F$26,'Recurring Schedule'!$N$26)=0,IF('Recurring Schedule'!$O$26&gt;0,AND(DAY($A348)=MIN(DAY('Recurring Schedule'!$F$26),DAY(EOMONTH($A348,0))),MOD((YEAR($A348)-YEAR('Recurring Schedule'!$F$26))*12+MONTH($A348)-MONTH('Recurring Schedule'!$F$26),'Recurring Schedule'!$O$26)=0),IF('Recurring Schedule'!$E$26="Weekdays",WEEKDAY($A348,2)&lt;=5,$A348='Recurring Schedule'!$F$26))),21,""))))</f>
        <v/>
      </c>
      <c r="W348">
        <f>IF('Recurring Schedule'!$C$27="","",IF('Recurring Schedule'!$F$27="","",IF(OR($A348&lt;'Recurring Schedule'!$F$27,$A348&gt;'Recurring Schedule'!$P$27),"",IF(IF('Recurring Schedule'!$N$27&gt;0,MOD($A348-'Recurring Schedule'!$F$27,'Recurring Schedule'!$N$27)=0,IF('Recurring Schedule'!$O$27&gt;0,AND(DAY($A348)=MIN(DAY('Recurring Schedule'!$F$27),DAY(EOMONTH($A348,0))),MOD((YEAR($A348)-YEAR('Recurring Schedule'!$F$27))*12+MONTH($A348)-MONTH('Recurring Schedule'!$F$27),'Recurring Schedule'!$O$27)=0),IF('Recurring Schedule'!$E$27="Weekdays",WEEKDAY($A348,2)&lt;=5,$A348='Recurring Schedule'!$F$27))),22,""))))</f>
        <v/>
      </c>
      <c r="X348">
        <f>IF('Recurring Schedule'!$C$28="","",IF('Recurring Schedule'!$F$28="","",IF(OR($A348&lt;'Recurring Schedule'!$F$28,$A348&gt;'Recurring Schedule'!$P$28),"",IF(IF('Recurring Schedule'!$N$28&gt;0,MOD($A348-'Recurring Schedule'!$F$28,'Recurring Schedule'!$N$28)=0,IF('Recurring Schedule'!$O$28&gt;0,AND(DAY($A348)=MIN(DAY('Recurring Schedule'!$F$28),DAY(EOMONTH($A348,0))),MOD((YEAR($A348)-YEAR('Recurring Schedule'!$F$28))*12+MONTH($A348)-MONTH('Recurring Schedule'!$F$28),'Recurring Schedule'!$O$28)=0),IF('Recurring Schedule'!$E$28="Weekdays",WEEKDAY($A348,2)&lt;=5,$A348='Recurring Schedule'!$F$28))),23,""))))</f>
        <v/>
      </c>
      <c r="Y348">
        <f>IF('Recurring Schedule'!$C$29="","",IF('Recurring Schedule'!$F$29="","",IF(OR($A348&lt;'Recurring Schedule'!$F$29,$A348&gt;'Recurring Schedule'!$P$29),"",IF(IF('Recurring Schedule'!$N$29&gt;0,MOD($A348-'Recurring Schedule'!$F$29,'Recurring Schedule'!$N$29)=0,IF('Recurring Schedule'!$O$29&gt;0,AND(DAY($A348)=MIN(DAY('Recurring Schedule'!$F$29),DAY(EOMONTH($A348,0))),MOD((YEAR($A348)-YEAR('Recurring Schedule'!$F$29))*12+MONTH($A348)-MONTH('Recurring Schedule'!$F$29),'Recurring Schedule'!$O$29)=0),IF('Recurring Schedule'!$E$29="Weekdays",WEEKDAY($A348,2)&lt;=5,$A348='Recurring Schedule'!$F$29))),24,""))))</f>
        <v/>
      </c>
      <c r="Z348">
        <f>IF('Recurring Schedule'!$C$30="","",IF('Recurring Schedule'!$F$30="","",IF(OR($A348&lt;'Recurring Schedule'!$F$30,$A348&gt;'Recurring Schedule'!$P$30),"",IF(IF('Recurring Schedule'!$N$30&gt;0,MOD($A348-'Recurring Schedule'!$F$30,'Recurring Schedule'!$N$30)=0,IF('Recurring Schedule'!$O$30&gt;0,AND(DAY($A348)=MIN(DAY('Recurring Schedule'!$F$30),DAY(EOMONTH($A348,0))),MOD((YEAR($A348)-YEAR('Recurring Schedule'!$F$30))*12+MONTH($A348)-MONTH('Recurring Schedule'!$F$30),'Recurring Schedule'!$O$30)=0),IF('Recurring Schedule'!$E$30="Weekdays",WEEKDAY($A348,2)&lt;=5,$A348='Recurring Schedule'!$F$30))),25,""))))</f>
        <v/>
      </c>
      <c r="AA348">
        <f>IF('Recurring Schedule'!$C$31="","",IF('Recurring Schedule'!$F$31="","",IF(OR($A348&lt;'Recurring Schedule'!$F$31,$A348&gt;'Recurring Schedule'!$P$31),"",IF(IF('Recurring Schedule'!$N$31&gt;0,MOD($A348-'Recurring Schedule'!$F$31,'Recurring Schedule'!$N$31)=0,IF('Recurring Schedule'!$O$31&gt;0,AND(DAY($A348)=MIN(DAY('Recurring Schedule'!$F$31),DAY(EOMONTH($A348,0))),MOD((YEAR($A348)-YEAR('Recurring Schedule'!$F$31))*12+MONTH($A348)-MONTH('Recurring Schedule'!$F$31),'Recurring Schedule'!$O$31)=0),IF('Recurring Schedule'!$E$31="Weekdays",WEEKDAY($A348,2)&lt;=5,$A348='Recurring Schedule'!$F$31))),26,""))))</f>
        <v/>
      </c>
      <c r="AB348">
        <f>IF('Recurring Schedule'!$C$32="","",IF('Recurring Schedule'!$F$32="","",IF(OR($A348&lt;'Recurring Schedule'!$F$32,$A348&gt;'Recurring Schedule'!$P$32),"",IF(IF('Recurring Schedule'!$N$32&gt;0,MOD($A348-'Recurring Schedule'!$F$32,'Recurring Schedule'!$N$32)=0,IF('Recurring Schedule'!$O$32&gt;0,AND(DAY($A348)=MIN(DAY('Recurring Schedule'!$F$32),DAY(EOMONTH($A348,0))),MOD((YEAR($A348)-YEAR('Recurring Schedule'!$F$32))*12+MONTH($A348)-MONTH('Recurring Schedule'!$F$32),'Recurring Schedule'!$O$32)=0),IF('Recurring Schedule'!$E$32="Weekdays",WEEKDAY($A348,2)&lt;=5,$A348='Recurring Schedule'!$F$32))),27,""))))</f>
        <v/>
      </c>
      <c r="AC348">
        <f>IF('Recurring Schedule'!$C$33="","",IF('Recurring Schedule'!$F$33="","",IF(OR($A348&lt;'Recurring Schedule'!$F$33,$A348&gt;'Recurring Schedule'!$P$33),"",IF(IF('Recurring Schedule'!$N$33&gt;0,MOD($A348-'Recurring Schedule'!$F$33,'Recurring Schedule'!$N$33)=0,IF('Recurring Schedule'!$O$33&gt;0,AND(DAY($A348)=MIN(DAY('Recurring Schedule'!$F$33),DAY(EOMONTH($A348,0))),MOD((YEAR($A348)-YEAR('Recurring Schedule'!$F$33))*12+MONTH($A348)-MONTH('Recurring Schedule'!$F$33),'Recurring Schedule'!$O$33)=0),IF('Recurring Schedule'!$E$33="Weekdays",WEEKDAY($A348,2)&lt;=5,$A348='Recurring Schedule'!$F$33))),28,""))))</f>
        <v/>
      </c>
      <c r="AD348">
        <f>IF('Recurring Schedule'!$C$34="","",IF('Recurring Schedule'!$F$34="","",IF(OR($A348&lt;'Recurring Schedule'!$F$34,$A348&gt;'Recurring Schedule'!$P$34),"",IF(IF('Recurring Schedule'!$N$34&gt;0,MOD($A348-'Recurring Schedule'!$F$34,'Recurring Schedule'!$N$34)=0,IF('Recurring Schedule'!$O$34&gt;0,AND(DAY($A348)=MIN(DAY('Recurring Schedule'!$F$34),DAY(EOMONTH($A348,0))),MOD((YEAR($A348)-YEAR('Recurring Schedule'!$F$34))*12+MONTH($A348)-MONTH('Recurring Schedule'!$F$34),'Recurring Schedule'!$O$34)=0),IF('Recurring Schedule'!$E$34="Weekdays",WEEKDAY($A348,2)&lt;=5,$A348='Recurring Schedule'!$F$34))),29,""))))</f>
        <v/>
      </c>
      <c r="AE348">
        <f>IF('Recurring Schedule'!$C$35="","",IF('Recurring Schedule'!$F$35="","",IF(OR($A348&lt;'Recurring Schedule'!$F$35,$A348&gt;'Recurring Schedule'!$P$35),"",IF(IF('Recurring Schedule'!$N$35&gt;0,MOD($A348-'Recurring Schedule'!$F$35,'Recurring Schedule'!$N$35)=0,IF('Recurring Schedule'!$O$35&gt;0,AND(DAY($A348)=MIN(DAY('Recurring Schedule'!$F$35),DAY(EOMONTH($A348,0))),MOD((YEAR($A348)-YEAR('Recurring Schedule'!$F$35))*12+MONTH($A348)-MONTH('Recurring Schedule'!$F$35),'Recurring Schedule'!$O$35)=0),IF('Recurring Schedule'!$E$35="Weekdays",WEEKDAY($A348,2)&lt;=5,$A348='Recurring Schedule'!$F$35))),30,""))))</f>
        <v/>
      </c>
      <c r="AF348">
        <f>IF('Recurring Schedule'!$C$36="","",IF('Recurring Schedule'!$F$36="","",IF(OR($A348&lt;'Recurring Schedule'!$F$36,$A348&gt;'Recurring Schedule'!$P$36),"",IF(IF('Recurring Schedule'!$N$36&gt;0,MOD($A348-'Recurring Schedule'!$F$36,'Recurring Schedule'!$N$36)=0,IF('Recurring Schedule'!$O$36&gt;0,AND(DAY($A348)=MIN(DAY('Recurring Schedule'!$F$36),DAY(EOMONTH($A348,0))),MOD((YEAR($A348)-YEAR('Recurring Schedule'!$F$36))*12+MONTH($A348)-MONTH('Recurring Schedule'!$F$36),'Recurring Schedule'!$O$36)=0),IF('Recurring Schedule'!$E$36="Weekdays",WEEKDAY($A348,2)&lt;=5,$A348='Recurring Schedule'!$F$36))),31,""))))</f>
        <v/>
      </c>
      <c r="AG348">
        <f>IF('Recurring Schedule'!$C$37="","",IF('Recurring Schedule'!$F$37="","",IF(OR($A348&lt;'Recurring Schedule'!$F$37,$A348&gt;'Recurring Schedule'!$P$37),"",IF(IF('Recurring Schedule'!$N$37&gt;0,MOD($A348-'Recurring Schedule'!$F$37,'Recurring Schedule'!$N$37)=0,IF('Recurring Schedule'!$O$37&gt;0,AND(DAY($A348)=MIN(DAY('Recurring Schedule'!$F$37),DAY(EOMONTH($A348,0))),MOD((YEAR($A348)-YEAR('Recurring Schedule'!$F$37))*12+MONTH($A348)-MONTH('Recurring Schedule'!$F$37),'Recurring Schedule'!$O$37)=0),IF('Recurring Schedule'!$E$37="Weekdays",WEEKDAY($A348,2)&lt;=5,$A348='Recurring Schedule'!$F$37))),32,""))))</f>
        <v/>
      </c>
      <c r="AH348">
        <f>IF('Recurring Schedule'!$C$38="","",IF('Recurring Schedule'!$F$38="","",IF(OR($A348&lt;'Recurring Schedule'!$F$38,$A348&gt;'Recurring Schedule'!$P$38),"",IF(IF('Recurring Schedule'!$N$38&gt;0,MOD($A348-'Recurring Schedule'!$F$38,'Recurring Schedule'!$N$38)=0,IF('Recurring Schedule'!$O$38&gt;0,AND(DAY($A348)=MIN(DAY('Recurring Schedule'!$F$38),DAY(EOMONTH($A348,0))),MOD((YEAR($A348)-YEAR('Recurring Schedule'!$F$38))*12+MONTH($A348)-MONTH('Recurring Schedule'!$F$38),'Recurring Schedule'!$O$38)=0),IF('Recurring Schedule'!$E$38="Weekdays",WEEKDAY($A348,2)&lt;=5,$A348='Recurring Schedule'!$F$38))),33,""))))</f>
        <v/>
      </c>
      <c r="AI348">
        <f>IF('Recurring Schedule'!$C$39="","",IF('Recurring Schedule'!$F$39="","",IF(OR($A348&lt;'Recurring Schedule'!$F$39,$A348&gt;'Recurring Schedule'!$P$39),"",IF(IF('Recurring Schedule'!$N$39&gt;0,MOD($A348-'Recurring Schedule'!$F$39,'Recurring Schedule'!$N$39)=0,IF('Recurring Schedule'!$O$39&gt;0,AND(DAY($A348)=MIN(DAY('Recurring Schedule'!$F$39),DAY(EOMONTH($A348,0))),MOD((YEAR($A348)-YEAR('Recurring Schedule'!$F$39))*12+MONTH($A348)-MONTH('Recurring Schedule'!$F$39),'Recurring Schedule'!$O$39)=0),IF('Recurring Schedule'!$E$39="Weekdays",WEEKDAY($A348,2)&lt;=5,$A348='Recurring Schedule'!$F$39))),34,""))))</f>
        <v/>
      </c>
      <c r="AJ348">
        <f>IF('Recurring Schedule'!$C$40="","",IF('Recurring Schedule'!$F$40="","",IF(OR($A348&lt;'Recurring Schedule'!$F$40,$A348&gt;'Recurring Schedule'!$P$40),"",IF(IF('Recurring Schedule'!$N$40&gt;0,MOD($A348-'Recurring Schedule'!$F$40,'Recurring Schedule'!$N$40)=0,IF('Recurring Schedule'!$O$40&gt;0,AND(DAY($A348)=MIN(DAY('Recurring Schedule'!$F$40),DAY(EOMONTH($A348,0))),MOD((YEAR($A348)-YEAR('Recurring Schedule'!$F$40))*12+MONTH($A348)-MONTH('Recurring Schedule'!$F$40),'Recurring Schedule'!$O$40)=0),IF('Recurring Schedule'!$E$40="Weekdays",WEEKDAY($A348,2)&lt;=5,$A348='Recurring Schedule'!$F$40))),35,""))))</f>
        <v/>
      </c>
      <c r="AK348">
        <f>IF('Recurring Schedule'!$C$41="","",IF('Recurring Schedule'!$F$41="","",IF(OR($A348&lt;'Recurring Schedule'!$F$41,$A348&gt;'Recurring Schedule'!$P$41),"",IF(IF('Recurring Schedule'!$N$41&gt;0,MOD($A348-'Recurring Schedule'!$F$41,'Recurring Schedule'!$N$41)=0,IF('Recurring Schedule'!$O$41&gt;0,AND(DAY($A348)=MIN(DAY('Recurring Schedule'!$F$41),DAY(EOMONTH($A348,0))),MOD((YEAR($A348)-YEAR('Recurring Schedule'!$F$41))*12+MONTH($A348)-MONTH('Recurring Schedule'!$F$41),'Recurring Schedule'!$O$41)=0),IF('Recurring Schedule'!$E$41="Weekdays",WEEKDAY($A348,2)&lt;=5,$A348='Recurring Schedule'!$F$41))),36,""))))</f>
        <v/>
      </c>
      <c r="AL348">
        <f>IF('Recurring Schedule'!$C$42="","",IF('Recurring Schedule'!$F$42="","",IF(OR($A348&lt;'Recurring Schedule'!$F$42,$A348&gt;'Recurring Schedule'!$P$42),"",IF(IF('Recurring Schedule'!$N$42&gt;0,MOD($A348-'Recurring Schedule'!$F$42,'Recurring Schedule'!$N$42)=0,IF('Recurring Schedule'!$O$42&gt;0,AND(DAY($A348)=MIN(DAY('Recurring Schedule'!$F$42),DAY(EOMONTH($A348,0))),MOD((YEAR($A348)-YEAR('Recurring Schedule'!$F$42))*12+MONTH($A348)-MONTH('Recurring Schedule'!$F$42),'Recurring Schedule'!$O$42)=0),IF('Recurring Schedule'!$E$42="Weekdays",WEEKDAY($A348,2)&lt;=5,$A348='Recurring Schedule'!$F$42))),37,""))))</f>
        <v/>
      </c>
      <c r="AM348">
        <f>IF('Recurring Schedule'!$C$43="","",IF('Recurring Schedule'!$F$43="","",IF(OR($A348&lt;'Recurring Schedule'!$F$43,$A348&gt;'Recurring Schedule'!$P$43),"",IF(IF('Recurring Schedule'!$N$43&gt;0,MOD($A348-'Recurring Schedule'!$F$43,'Recurring Schedule'!$N$43)=0,IF('Recurring Schedule'!$O$43&gt;0,AND(DAY($A348)=MIN(DAY('Recurring Schedule'!$F$43),DAY(EOMONTH($A348,0))),MOD((YEAR($A348)-YEAR('Recurring Schedule'!$F$43))*12+MONTH($A348)-MONTH('Recurring Schedule'!$F$43),'Recurring Schedule'!$O$43)=0),IF('Recurring Schedule'!$E$43="Weekdays",WEEKDAY($A348,2)&lt;=5,$A348='Recurring Schedule'!$F$43))),38,""))))</f>
        <v/>
      </c>
      <c r="AN348">
        <f>IF('Recurring Schedule'!$C$44="","",IF('Recurring Schedule'!$F$44="","",IF(OR($A348&lt;'Recurring Schedule'!$F$44,$A348&gt;'Recurring Schedule'!$P$44),"",IF(IF('Recurring Schedule'!$N$44&gt;0,MOD($A348-'Recurring Schedule'!$F$44,'Recurring Schedule'!$N$44)=0,IF('Recurring Schedule'!$O$44&gt;0,AND(DAY($A348)=MIN(DAY('Recurring Schedule'!$F$44),DAY(EOMONTH($A348,0))),MOD((YEAR($A348)-YEAR('Recurring Schedule'!$F$44))*12+MONTH($A348)-MONTH('Recurring Schedule'!$F$44),'Recurring Schedule'!$O$44)=0),IF('Recurring Schedule'!$E$44="Weekdays",WEEKDAY($A348,2)&lt;=5,$A348='Recurring Schedule'!$F$44))),39,""))))</f>
        <v/>
      </c>
      <c r="AO348">
        <f>IF('Recurring Schedule'!$C$45="","",IF('Recurring Schedule'!$F$45="","",IF(OR($A348&lt;'Recurring Schedule'!$F$45,$A348&gt;'Recurring Schedule'!$P$45),"",IF(IF('Recurring Schedule'!$N$45&gt;0,MOD($A348-'Recurring Schedule'!$F$45,'Recurring Schedule'!$N$45)=0,IF('Recurring Schedule'!$O$45&gt;0,AND(DAY($A348)=MIN(DAY('Recurring Schedule'!$F$45),DAY(EOMONTH($A348,0))),MOD((YEAR($A348)-YEAR('Recurring Schedule'!$F$45))*12+MONTH($A348)-MONTH('Recurring Schedule'!$F$45),'Recurring Schedule'!$O$45)=0),IF('Recurring Schedule'!$E$45="Weekdays",WEEKDAY($A348,2)&lt;=5,$A348='Recurring Schedule'!$F$45))),40,""))))</f>
        <v/>
      </c>
      <c r="AP348">
        <f>COUNT(B348:AO348)</f>
        <v/>
      </c>
      <c r="AQ348">
        <f>AQ347+AP347</f>
        <v/>
      </c>
      <c r="AS348" t="inlineStr">
        <is>
          <t>R</t>
        </is>
      </c>
      <c r="AT348" t="n">
        <v>352</v>
      </c>
      <c r="AU348">
        <f>'Recurring Log'!C352&amp;""</f>
        <v/>
      </c>
      <c r="AV348">
        <f>'Recurring Log'!D352&amp;""</f>
        <v/>
      </c>
      <c r="AW348">
        <f>IF('Recurring Log'!E352="","",'Recurring Log'!E352)</f>
        <v/>
      </c>
      <c r="AX348">
        <f>IF('Recurring Log'!G352="","",'Recurring Log'!G352)</f>
        <v/>
      </c>
      <c r="AY348">
        <f>IF('Recurring Log'!H352="","",'Recurring Log'!H352)</f>
        <v/>
      </c>
      <c r="AZ348">
        <f>IF(AU348="","",IF('Recurring Log'!J352="","Not Started",'Recurring Log'!J352))</f>
        <v/>
      </c>
      <c r="BA348">
        <f>'Recurring Log'!L352&amp;""</f>
        <v/>
      </c>
      <c r="BB348">
        <f>'Recurring Log'!M352&amp;""</f>
        <v/>
      </c>
      <c r="BC348">
        <f>'Recurring Log'!N352&amp;""</f>
        <v/>
      </c>
      <c r="BD348">
        <f>'Recurring Log'!O352&amp;""</f>
        <v/>
      </c>
      <c r="BE348">
        <f>IF('Recurring Log'!K352="","",'Recurring Log'!K352)</f>
        <v/>
      </c>
      <c r="BF348">
        <f>IFERROR(MATCH(BA348,Setup!$L$6:$L$9,0),5)</f>
        <v/>
      </c>
      <c r="BG348">
        <f>IF(OR(AZ348="Done",AZ348="Cancelled"),1,0)</f>
        <v/>
      </c>
      <c r="BH348">
        <f>IF(AND(AU348&lt;&gt;"",ISNUMBER(AW348)),1,0)</f>
        <v/>
      </c>
      <c r="BI348">
        <f>IF(BH348=0,0,IF(AND(AW348&gt;='Tasks Filter'!$F$3,AW348&lt;='Tasks Filter'!$F$4,OR('Tasks Filter'!$I$3="",ISNUMBER(SEARCH('Tasks Filter'!$I$3,AU348))),OR('Tasks Filter'!$I$4="",BF348=IFERROR(MATCH('Tasks Filter'!$I$4,Setup!$L$6:$L$9,0),0)),OR('Tasks Filter'!$I$5="Both",AND('Tasks Filter'!$I$5="Yes",BB348="✓"),AND('Tasks Filter'!$I$5="No",BB348&lt;&gt;"✓")),OR('Tasks Filter'!$L$3="",AV348='Tasks Filter'!$L$3),OR('Tasks Filter'!$L$4="",AZ348='Tasks Filter'!$L$4),OR('Tasks Filter'!$L$5="",BC348='Tasks Filter'!$L$5),OR('Tasks Filter'!$O$3="",BD348='Tasks Filter'!$O$3),OR('Tasks Filter'!$O$4="Yes",BG348=0)),1,0))</f>
        <v/>
      </c>
      <c r="BJ348">
        <f>IF(BH348=0,"",IF('Tasks Filter'!$F$6="Descending",-1,1)*CHOOSE(MATCH('Tasks Filter'!$F$5,Lists!$G$2:$G$6,0),AW348,BF348,IFERROR(MATCH(AV348,Setup!$F$6:$F$15,0),99),IFERROR(MATCH(BC348,Setup!$H$6:$H$15,0),99),IFERROR(MATCH(AZ348,Setup!$J$6:$J$11,0),99))*1E+9+(AW348-40000)*10000+347)</f>
        <v/>
      </c>
      <c r="BK348">
        <f>IF(BI348=1,BJ348,"")</f>
        <v/>
      </c>
      <c r="BL348">
        <f>IF(AND(BH348=1,BG348=0,N(AW348)&lt;Setup!$D$7),(AW348-40000)*10000+347,"")</f>
        <v/>
      </c>
      <c r="BM348">
        <f>IF(AND(BH348=1,AZ348&lt;&gt;"Cancelled",N(AW348)&gt;=Dashboard!$AB$3,N(AW348)&lt;=Dashboard!$AB$3+6),(AW348-40000)*100000+BF348*10000+347,"")</f>
        <v/>
      </c>
      <c r="BN348">
        <f>IF(AND(BH348=1,AZ348&lt;&gt;"Cancelled"),BF348*10000+347,"")</f>
        <v/>
      </c>
    </row>
    <row r="349">
      <c r="A349">
        <f>Setup!$D$5+347</f>
        <v/>
      </c>
      <c r="B349">
        <f>IF('Recurring Schedule'!$C$6="","",IF('Recurring Schedule'!$F$6="","",IF(OR($A349&lt;'Recurring Schedule'!$F$6,$A349&gt;'Recurring Schedule'!$P$6),"",IF(IF('Recurring Schedule'!$N$6&gt;0,MOD($A349-'Recurring Schedule'!$F$6,'Recurring Schedule'!$N$6)=0,IF('Recurring Schedule'!$O$6&gt;0,AND(DAY($A349)=MIN(DAY('Recurring Schedule'!$F$6),DAY(EOMONTH($A349,0))),MOD((YEAR($A349)-YEAR('Recurring Schedule'!$F$6))*12+MONTH($A349)-MONTH('Recurring Schedule'!$F$6),'Recurring Schedule'!$O$6)=0),IF('Recurring Schedule'!$E$6="Weekdays",WEEKDAY($A349,2)&lt;=5,$A349='Recurring Schedule'!$F$6))),1,""))))</f>
        <v/>
      </c>
      <c r="C349">
        <f>IF('Recurring Schedule'!$C$7="","",IF('Recurring Schedule'!$F$7="","",IF(OR($A349&lt;'Recurring Schedule'!$F$7,$A349&gt;'Recurring Schedule'!$P$7),"",IF(IF('Recurring Schedule'!$N$7&gt;0,MOD($A349-'Recurring Schedule'!$F$7,'Recurring Schedule'!$N$7)=0,IF('Recurring Schedule'!$O$7&gt;0,AND(DAY($A349)=MIN(DAY('Recurring Schedule'!$F$7),DAY(EOMONTH($A349,0))),MOD((YEAR($A349)-YEAR('Recurring Schedule'!$F$7))*12+MONTH($A349)-MONTH('Recurring Schedule'!$F$7),'Recurring Schedule'!$O$7)=0),IF('Recurring Schedule'!$E$7="Weekdays",WEEKDAY($A349,2)&lt;=5,$A349='Recurring Schedule'!$F$7))),2,""))))</f>
        <v/>
      </c>
      <c r="D349">
        <f>IF('Recurring Schedule'!$C$8="","",IF('Recurring Schedule'!$F$8="","",IF(OR($A349&lt;'Recurring Schedule'!$F$8,$A349&gt;'Recurring Schedule'!$P$8),"",IF(IF('Recurring Schedule'!$N$8&gt;0,MOD($A349-'Recurring Schedule'!$F$8,'Recurring Schedule'!$N$8)=0,IF('Recurring Schedule'!$O$8&gt;0,AND(DAY($A349)=MIN(DAY('Recurring Schedule'!$F$8),DAY(EOMONTH($A349,0))),MOD((YEAR($A349)-YEAR('Recurring Schedule'!$F$8))*12+MONTH($A349)-MONTH('Recurring Schedule'!$F$8),'Recurring Schedule'!$O$8)=0),IF('Recurring Schedule'!$E$8="Weekdays",WEEKDAY($A349,2)&lt;=5,$A349='Recurring Schedule'!$F$8))),3,""))))</f>
        <v/>
      </c>
      <c r="E349">
        <f>IF('Recurring Schedule'!$C$9="","",IF('Recurring Schedule'!$F$9="","",IF(OR($A349&lt;'Recurring Schedule'!$F$9,$A349&gt;'Recurring Schedule'!$P$9),"",IF(IF('Recurring Schedule'!$N$9&gt;0,MOD($A349-'Recurring Schedule'!$F$9,'Recurring Schedule'!$N$9)=0,IF('Recurring Schedule'!$O$9&gt;0,AND(DAY($A349)=MIN(DAY('Recurring Schedule'!$F$9),DAY(EOMONTH($A349,0))),MOD((YEAR($A349)-YEAR('Recurring Schedule'!$F$9))*12+MONTH($A349)-MONTH('Recurring Schedule'!$F$9),'Recurring Schedule'!$O$9)=0),IF('Recurring Schedule'!$E$9="Weekdays",WEEKDAY($A349,2)&lt;=5,$A349='Recurring Schedule'!$F$9))),4,""))))</f>
        <v/>
      </c>
      <c r="F349">
        <f>IF('Recurring Schedule'!$C$10="","",IF('Recurring Schedule'!$F$10="","",IF(OR($A349&lt;'Recurring Schedule'!$F$10,$A349&gt;'Recurring Schedule'!$P$10),"",IF(IF('Recurring Schedule'!$N$10&gt;0,MOD($A349-'Recurring Schedule'!$F$10,'Recurring Schedule'!$N$10)=0,IF('Recurring Schedule'!$O$10&gt;0,AND(DAY($A349)=MIN(DAY('Recurring Schedule'!$F$10),DAY(EOMONTH($A349,0))),MOD((YEAR($A349)-YEAR('Recurring Schedule'!$F$10))*12+MONTH($A349)-MONTH('Recurring Schedule'!$F$10),'Recurring Schedule'!$O$10)=0),IF('Recurring Schedule'!$E$10="Weekdays",WEEKDAY($A349,2)&lt;=5,$A349='Recurring Schedule'!$F$10))),5,""))))</f>
        <v/>
      </c>
      <c r="G349">
        <f>IF('Recurring Schedule'!$C$11="","",IF('Recurring Schedule'!$F$11="","",IF(OR($A349&lt;'Recurring Schedule'!$F$11,$A349&gt;'Recurring Schedule'!$P$11),"",IF(IF('Recurring Schedule'!$N$11&gt;0,MOD($A349-'Recurring Schedule'!$F$11,'Recurring Schedule'!$N$11)=0,IF('Recurring Schedule'!$O$11&gt;0,AND(DAY($A349)=MIN(DAY('Recurring Schedule'!$F$11),DAY(EOMONTH($A349,0))),MOD((YEAR($A349)-YEAR('Recurring Schedule'!$F$11))*12+MONTH($A349)-MONTH('Recurring Schedule'!$F$11),'Recurring Schedule'!$O$11)=0),IF('Recurring Schedule'!$E$11="Weekdays",WEEKDAY($A349,2)&lt;=5,$A349='Recurring Schedule'!$F$11))),6,""))))</f>
        <v/>
      </c>
      <c r="H349">
        <f>IF('Recurring Schedule'!$C$12="","",IF('Recurring Schedule'!$F$12="","",IF(OR($A349&lt;'Recurring Schedule'!$F$12,$A349&gt;'Recurring Schedule'!$P$12),"",IF(IF('Recurring Schedule'!$N$12&gt;0,MOD($A349-'Recurring Schedule'!$F$12,'Recurring Schedule'!$N$12)=0,IF('Recurring Schedule'!$O$12&gt;0,AND(DAY($A349)=MIN(DAY('Recurring Schedule'!$F$12),DAY(EOMONTH($A349,0))),MOD((YEAR($A349)-YEAR('Recurring Schedule'!$F$12))*12+MONTH($A349)-MONTH('Recurring Schedule'!$F$12),'Recurring Schedule'!$O$12)=0),IF('Recurring Schedule'!$E$12="Weekdays",WEEKDAY($A349,2)&lt;=5,$A349='Recurring Schedule'!$F$12))),7,""))))</f>
        <v/>
      </c>
      <c r="I349">
        <f>IF('Recurring Schedule'!$C$13="","",IF('Recurring Schedule'!$F$13="","",IF(OR($A349&lt;'Recurring Schedule'!$F$13,$A349&gt;'Recurring Schedule'!$P$13),"",IF(IF('Recurring Schedule'!$N$13&gt;0,MOD($A349-'Recurring Schedule'!$F$13,'Recurring Schedule'!$N$13)=0,IF('Recurring Schedule'!$O$13&gt;0,AND(DAY($A349)=MIN(DAY('Recurring Schedule'!$F$13),DAY(EOMONTH($A349,0))),MOD((YEAR($A349)-YEAR('Recurring Schedule'!$F$13))*12+MONTH($A349)-MONTH('Recurring Schedule'!$F$13),'Recurring Schedule'!$O$13)=0),IF('Recurring Schedule'!$E$13="Weekdays",WEEKDAY($A349,2)&lt;=5,$A349='Recurring Schedule'!$F$13))),8,""))))</f>
        <v/>
      </c>
      <c r="J349">
        <f>IF('Recurring Schedule'!$C$14="","",IF('Recurring Schedule'!$F$14="","",IF(OR($A349&lt;'Recurring Schedule'!$F$14,$A349&gt;'Recurring Schedule'!$P$14),"",IF(IF('Recurring Schedule'!$N$14&gt;0,MOD($A349-'Recurring Schedule'!$F$14,'Recurring Schedule'!$N$14)=0,IF('Recurring Schedule'!$O$14&gt;0,AND(DAY($A349)=MIN(DAY('Recurring Schedule'!$F$14),DAY(EOMONTH($A349,0))),MOD((YEAR($A349)-YEAR('Recurring Schedule'!$F$14))*12+MONTH($A349)-MONTH('Recurring Schedule'!$F$14),'Recurring Schedule'!$O$14)=0),IF('Recurring Schedule'!$E$14="Weekdays",WEEKDAY($A349,2)&lt;=5,$A349='Recurring Schedule'!$F$14))),9,""))))</f>
        <v/>
      </c>
      <c r="K349">
        <f>IF('Recurring Schedule'!$C$15="","",IF('Recurring Schedule'!$F$15="","",IF(OR($A349&lt;'Recurring Schedule'!$F$15,$A349&gt;'Recurring Schedule'!$P$15),"",IF(IF('Recurring Schedule'!$N$15&gt;0,MOD($A349-'Recurring Schedule'!$F$15,'Recurring Schedule'!$N$15)=0,IF('Recurring Schedule'!$O$15&gt;0,AND(DAY($A349)=MIN(DAY('Recurring Schedule'!$F$15),DAY(EOMONTH($A349,0))),MOD((YEAR($A349)-YEAR('Recurring Schedule'!$F$15))*12+MONTH($A349)-MONTH('Recurring Schedule'!$F$15),'Recurring Schedule'!$O$15)=0),IF('Recurring Schedule'!$E$15="Weekdays",WEEKDAY($A349,2)&lt;=5,$A349='Recurring Schedule'!$F$15))),10,""))))</f>
        <v/>
      </c>
      <c r="L349">
        <f>IF('Recurring Schedule'!$C$16="","",IF('Recurring Schedule'!$F$16="","",IF(OR($A349&lt;'Recurring Schedule'!$F$16,$A349&gt;'Recurring Schedule'!$P$16),"",IF(IF('Recurring Schedule'!$N$16&gt;0,MOD($A349-'Recurring Schedule'!$F$16,'Recurring Schedule'!$N$16)=0,IF('Recurring Schedule'!$O$16&gt;0,AND(DAY($A349)=MIN(DAY('Recurring Schedule'!$F$16),DAY(EOMONTH($A349,0))),MOD((YEAR($A349)-YEAR('Recurring Schedule'!$F$16))*12+MONTH($A349)-MONTH('Recurring Schedule'!$F$16),'Recurring Schedule'!$O$16)=0),IF('Recurring Schedule'!$E$16="Weekdays",WEEKDAY($A349,2)&lt;=5,$A349='Recurring Schedule'!$F$16))),11,""))))</f>
        <v/>
      </c>
      <c r="M349">
        <f>IF('Recurring Schedule'!$C$17="","",IF('Recurring Schedule'!$F$17="","",IF(OR($A349&lt;'Recurring Schedule'!$F$17,$A349&gt;'Recurring Schedule'!$P$17),"",IF(IF('Recurring Schedule'!$N$17&gt;0,MOD($A349-'Recurring Schedule'!$F$17,'Recurring Schedule'!$N$17)=0,IF('Recurring Schedule'!$O$17&gt;0,AND(DAY($A349)=MIN(DAY('Recurring Schedule'!$F$17),DAY(EOMONTH($A349,0))),MOD((YEAR($A349)-YEAR('Recurring Schedule'!$F$17))*12+MONTH($A349)-MONTH('Recurring Schedule'!$F$17),'Recurring Schedule'!$O$17)=0),IF('Recurring Schedule'!$E$17="Weekdays",WEEKDAY($A349,2)&lt;=5,$A349='Recurring Schedule'!$F$17))),12,""))))</f>
        <v/>
      </c>
      <c r="N349">
        <f>IF('Recurring Schedule'!$C$18="","",IF('Recurring Schedule'!$F$18="","",IF(OR($A349&lt;'Recurring Schedule'!$F$18,$A349&gt;'Recurring Schedule'!$P$18),"",IF(IF('Recurring Schedule'!$N$18&gt;0,MOD($A349-'Recurring Schedule'!$F$18,'Recurring Schedule'!$N$18)=0,IF('Recurring Schedule'!$O$18&gt;0,AND(DAY($A349)=MIN(DAY('Recurring Schedule'!$F$18),DAY(EOMONTH($A349,0))),MOD((YEAR($A349)-YEAR('Recurring Schedule'!$F$18))*12+MONTH($A349)-MONTH('Recurring Schedule'!$F$18),'Recurring Schedule'!$O$18)=0),IF('Recurring Schedule'!$E$18="Weekdays",WEEKDAY($A349,2)&lt;=5,$A349='Recurring Schedule'!$F$18))),13,""))))</f>
        <v/>
      </c>
      <c r="O349">
        <f>IF('Recurring Schedule'!$C$19="","",IF('Recurring Schedule'!$F$19="","",IF(OR($A349&lt;'Recurring Schedule'!$F$19,$A349&gt;'Recurring Schedule'!$P$19),"",IF(IF('Recurring Schedule'!$N$19&gt;0,MOD($A349-'Recurring Schedule'!$F$19,'Recurring Schedule'!$N$19)=0,IF('Recurring Schedule'!$O$19&gt;0,AND(DAY($A349)=MIN(DAY('Recurring Schedule'!$F$19),DAY(EOMONTH($A349,0))),MOD((YEAR($A349)-YEAR('Recurring Schedule'!$F$19))*12+MONTH($A349)-MONTH('Recurring Schedule'!$F$19),'Recurring Schedule'!$O$19)=0),IF('Recurring Schedule'!$E$19="Weekdays",WEEKDAY($A349,2)&lt;=5,$A349='Recurring Schedule'!$F$19))),14,""))))</f>
        <v/>
      </c>
      <c r="P349">
        <f>IF('Recurring Schedule'!$C$20="","",IF('Recurring Schedule'!$F$20="","",IF(OR($A349&lt;'Recurring Schedule'!$F$20,$A349&gt;'Recurring Schedule'!$P$20),"",IF(IF('Recurring Schedule'!$N$20&gt;0,MOD($A349-'Recurring Schedule'!$F$20,'Recurring Schedule'!$N$20)=0,IF('Recurring Schedule'!$O$20&gt;0,AND(DAY($A349)=MIN(DAY('Recurring Schedule'!$F$20),DAY(EOMONTH($A349,0))),MOD((YEAR($A349)-YEAR('Recurring Schedule'!$F$20))*12+MONTH($A349)-MONTH('Recurring Schedule'!$F$20),'Recurring Schedule'!$O$20)=0),IF('Recurring Schedule'!$E$20="Weekdays",WEEKDAY($A349,2)&lt;=5,$A349='Recurring Schedule'!$F$20))),15,""))))</f>
        <v/>
      </c>
      <c r="Q349">
        <f>IF('Recurring Schedule'!$C$21="","",IF('Recurring Schedule'!$F$21="","",IF(OR($A349&lt;'Recurring Schedule'!$F$21,$A349&gt;'Recurring Schedule'!$P$21),"",IF(IF('Recurring Schedule'!$N$21&gt;0,MOD($A349-'Recurring Schedule'!$F$21,'Recurring Schedule'!$N$21)=0,IF('Recurring Schedule'!$O$21&gt;0,AND(DAY($A349)=MIN(DAY('Recurring Schedule'!$F$21),DAY(EOMONTH($A349,0))),MOD((YEAR($A349)-YEAR('Recurring Schedule'!$F$21))*12+MONTH($A349)-MONTH('Recurring Schedule'!$F$21),'Recurring Schedule'!$O$21)=0),IF('Recurring Schedule'!$E$21="Weekdays",WEEKDAY($A349,2)&lt;=5,$A349='Recurring Schedule'!$F$21))),16,""))))</f>
        <v/>
      </c>
      <c r="R349">
        <f>IF('Recurring Schedule'!$C$22="","",IF('Recurring Schedule'!$F$22="","",IF(OR($A349&lt;'Recurring Schedule'!$F$22,$A349&gt;'Recurring Schedule'!$P$22),"",IF(IF('Recurring Schedule'!$N$22&gt;0,MOD($A349-'Recurring Schedule'!$F$22,'Recurring Schedule'!$N$22)=0,IF('Recurring Schedule'!$O$22&gt;0,AND(DAY($A349)=MIN(DAY('Recurring Schedule'!$F$22),DAY(EOMONTH($A349,0))),MOD((YEAR($A349)-YEAR('Recurring Schedule'!$F$22))*12+MONTH($A349)-MONTH('Recurring Schedule'!$F$22),'Recurring Schedule'!$O$22)=0),IF('Recurring Schedule'!$E$22="Weekdays",WEEKDAY($A349,2)&lt;=5,$A349='Recurring Schedule'!$F$22))),17,""))))</f>
        <v/>
      </c>
      <c r="S349">
        <f>IF('Recurring Schedule'!$C$23="","",IF('Recurring Schedule'!$F$23="","",IF(OR($A349&lt;'Recurring Schedule'!$F$23,$A349&gt;'Recurring Schedule'!$P$23),"",IF(IF('Recurring Schedule'!$N$23&gt;0,MOD($A349-'Recurring Schedule'!$F$23,'Recurring Schedule'!$N$23)=0,IF('Recurring Schedule'!$O$23&gt;0,AND(DAY($A349)=MIN(DAY('Recurring Schedule'!$F$23),DAY(EOMONTH($A349,0))),MOD((YEAR($A349)-YEAR('Recurring Schedule'!$F$23))*12+MONTH($A349)-MONTH('Recurring Schedule'!$F$23),'Recurring Schedule'!$O$23)=0),IF('Recurring Schedule'!$E$23="Weekdays",WEEKDAY($A349,2)&lt;=5,$A349='Recurring Schedule'!$F$23))),18,""))))</f>
        <v/>
      </c>
      <c r="T349">
        <f>IF('Recurring Schedule'!$C$24="","",IF('Recurring Schedule'!$F$24="","",IF(OR($A349&lt;'Recurring Schedule'!$F$24,$A349&gt;'Recurring Schedule'!$P$24),"",IF(IF('Recurring Schedule'!$N$24&gt;0,MOD($A349-'Recurring Schedule'!$F$24,'Recurring Schedule'!$N$24)=0,IF('Recurring Schedule'!$O$24&gt;0,AND(DAY($A349)=MIN(DAY('Recurring Schedule'!$F$24),DAY(EOMONTH($A349,0))),MOD((YEAR($A349)-YEAR('Recurring Schedule'!$F$24))*12+MONTH($A349)-MONTH('Recurring Schedule'!$F$24),'Recurring Schedule'!$O$24)=0),IF('Recurring Schedule'!$E$24="Weekdays",WEEKDAY($A349,2)&lt;=5,$A349='Recurring Schedule'!$F$24))),19,""))))</f>
        <v/>
      </c>
      <c r="U349">
        <f>IF('Recurring Schedule'!$C$25="","",IF('Recurring Schedule'!$F$25="","",IF(OR($A349&lt;'Recurring Schedule'!$F$25,$A349&gt;'Recurring Schedule'!$P$25),"",IF(IF('Recurring Schedule'!$N$25&gt;0,MOD($A349-'Recurring Schedule'!$F$25,'Recurring Schedule'!$N$25)=0,IF('Recurring Schedule'!$O$25&gt;0,AND(DAY($A349)=MIN(DAY('Recurring Schedule'!$F$25),DAY(EOMONTH($A349,0))),MOD((YEAR($A349)-YEAR('Recurring Schedule'!$F$25))*12+MONTH($A349)-MONTH('Recurring Schedule'!$F$25),'Recurring Schedule'!$O$25)=0),IF('Recurring Schedule'!$E$25="Weekdays",WEEKDAY($A349,2)&lt;=5,$A349='Recurring Schedule'!$F$25))),20,""))))</f>
        <v/>
      </c>
      <c r="V349">
        <f>IF('Recurring Schedule'!$C$26="","",IF('Recurring Schedule'!$F$26="","",IF(OR($A349&lt;'Recurring Schedule'!$F$26,$A349&gt;'Recurring Schedule'!$P$26),"",IF(IF('Recurring Schedule'!$N$26&gt;0,MOD($A349-'Recurring Schedule'!$F$26,'Recurring Schedule'!$N$26)=0,IF('Recurring Schedule'!$O$26&gt;0,AND(DAY($A349)=MIN(DAY('Recurring Schedule'!$F$26),DAY(EOMONTH($A349,0))),MOD((YEAR($A349)-YEAR('Recurring Schedule'!$F$26))*12+MONTH($A349)-MONTH('Recurring Schedule'!$F$26),'Recurring Schedule'!$O$26)=0),IF('Recurring Schedule'!$E$26="Weekdays",WEEKDAY($A349,2)&lt;=5,$A349='Recurring Schedule'!$F$26))),21,""))))</f>
        <v/>
      </c>
      <c r="W349">
        <f>IF('Recurring Schedule'!$C$27="","",IF('Recurring Schedule'!$F$27="","",IF(OR($A349&lt;'Recurring Schedule'!$F$27,$A349&gt;'Recurring Schedule'!$P$27),"",IF(IF('Recurring Schedule'!$N$27&gt;0,MOD($A349-'Recurring Schedule'!$F$27,'Recurring Schedule'!$N$27)=0,IF('Recurring Schedule'!$O$27&gt;0,AND(DAY($A349)=MIN(DAY('Recurring Schedule'!$F$27),DAY(EOMONTH($A349,0))),MOD((YEAR($A349)-YEAR('Recurring Schedule'!$F$27))*12+MONTH($A349)-MONTH('Recurring Schedule'!$F$27),'Recurring Schedule'!$O$27)=0),IF('Recurring Schedule'!$E$27="Weekdays",WEEKDAY($A349,2)&lt;=5,$A349='Recurring Schedule'!$F$27))),22,""))))</f>
        <v/>
      </c>
      <c r="X349">
        <f>IF('Recurring Schedule'!$C$28="","",IF('Recurring Schedule'!$F$28="","",IF(OR($A349&lt;'Recurring Schedule'!$F$28,$A349&gt;'Recurring Schedule'!$P$28),"",IF(IF('Recurring Schedule'!$N$28&gt;0,MOD($A349-'Recurring Schedule'!$F$28,'Recurring Schedule'!$N$28)=0,IF('Recurring Schedule'!$O$28&gt;0,AND(DAY($A349)=MIN(DAY('Recurring Schedule'!$F$28),DAY(EOMONTH($A349,0))),MOD((YEAR($A349)-YEAR('Recurring Schedule'!$F$28))*12+MONTH($A349)-MONTH('Recurring Schedule'!$F$28),'Recurring Schedule'!$O$28)=0),IF('Recurring Schedule'!$E$28="Weekdays",WEEKDAY($A349,2)&lt;=5,$A349='Recurring Schedule'!$F$28))),23,""))))</f>
        <v/>
      </c>
      <c r="Y349">
        <f>IF('Recurring Schedule'!$C$29="","",IF('Recurring Schedule'!$F$29="","",IF(OR($A349&lt;'Recurring Schedule'!$F$29,$A349&gt;'Recurring Schedule'!$P$29),"",IF(IF('Recurring Schedule'!$N$29&gt;0,MOD($A349-'Recurring Schedule'!$F$29,'Recurring Schedule'!$N$29)=0,IF('Recurring Schedule'!$O$29&gt;0,AND(DAY($A349)=MIN(DAY('Recurring Schedule'!$F$29),DAY(EOMONTH($A349,0))),MOD((YEAR($A349)-YEAR('Recurring Schedule'!$F$29))*12+MONTH($A349)-MONTH('Recurring Schedule'!$F$29),'Recurring Schedule'!$O$29)=0),IF('Recurring Schedule'!$E$29="Weekdays",WEEKDAY($A349,2)&lt;=5,$A349='Recurring Schedule'!$F$29))),24,""))))</f>
        <v/>
      </c>
      <c r="Z349">
        <f>IF('Recurring Schedule'!$C$30="","",IF('Recurring Schedule'!$F$30="","",IF(OR($A349&lt;'Recurring Schedule'!$F$30,$A349&gt;'Recurring Schedule'!$P$30),"",IF(IF('Recurring Schedule'!$N$30&gt;0,MOD($A349-'Recurring Schedule'!$F$30,'Recurring Schedule'!$N$30)=0,IF('Recurring Schedule'!$O$30&gt;0,AND(DAY($A349)=MIN(DAY('Recurring Schedule'!$F$30),DAY(EOMONTH($A349,0))),MOD((YEAR($A349)-YEAR('Recurring Schedule'!$F$30))*12+MONTH($A349)-MONTH('Recurring Schedule'!$F$30),'Recurring Schedule'!$O$30)=0),IF('Recurring Schedule'!$E$30="Weekdays",WEEKDAY($A349,2)&lt;=5,$A349='Recurring Schedule'!$F$30))),25,""))))</f>
        <v/>
      </c>
      <c r="AA349">
        <f>IF('Recurring Schedule'!$C$31="","",IF('Recurring Schedule'!$F$31="","",IF(OR($A349&lt;'Recurring Schedule'!$F$31,$A349&gt;'Recurring Schedule'!$P$31),"",IF(IF('Recurring Schedule'!$N$31&gt;0,MOD($A349-'Recurring Schedule'!$F$31,'Recurring Schedule'!$N$31)=0,IF('Recurring Schedule'!$O$31&gt;0,AND(DAY($A349)=MIN(DAY('Recurring Schedule'!$F$31),DAY(EOMONTH($A349,0))),MOD((YEAR($A349)-YEAR('Recurring Schedule'!$F$31))*12+MONTH($A349)-MONTH('Recurring Schedule'!$F$31),'Recurring Schedule'!$O$31)=0),IF('Recurring Schedule'!$E$31="Weekdays",WEEKDAY($A349,2)&lt;=5,$A349='Recurring Schedule'!$F$31))),26,""))))</f>
        <v/>
      </c>
      <c r="AB349">
        <f>IF('Recurring Schedule'!$C$32="","",IF('Recurring Schedule'!$F$32="","",IF(OR($A349&lt;'Recurring Schedule'!$F$32,$A349&gt;'Recurring Schedule'!$P$32),"",IF(IF('Recurring Schedule'!$N$32&gt;0,MOD($A349-'Recurring Schedule'!$F$32,'Recurring Schedule'!$N$32)=0,IF('Recurring Schedule'!$O$32&gt;0,AND(DAY($A349)=MIN(DAY('Recurring Schedule'!$F$32),DAY(EOMONTH($A349,0))),MOD((YEAR($A349)-YEAR('Recurring Schedule'!$F$32))*12+MONTH($A349)-MONTH('Recurring Schedule'!$F$32),'Recurring Schedule'!$O$32)=0),IF('Recurring Schedule'!$E$32="Weekdays",WEEKDAY($A349,2)&lt;=5,$A349='Recurring Schedule'!$F$32))),27,""))))</f>
        <v/>
      </c>
      <c r="AC349">
        <f>IF('Recurring Schedule'!$C$33="","",IF('Recurring Schedule'!$F$33="","",IF(OR($A349&lt;'Recurring Schedule'!$F$33,$A349&gt;'Recurring Schedule'!$P$33),"",IF(IF('Recurring Schedule'!$N$33&gt;0,MOD($A349-'Recurring Schedule'!$F$33,'Recurring Schedule'!$N$33)=0,IF('Recurring Schedule'!$O$33&gt;0,AND(DAY($A349)=MIN(DAY('Recurring Schedule'!$F$33),DAY(EOMONTH($A349,0))),MOD((YEAR($A349)-YEAR('Recurring Schedule'!$F$33))*12+MONTH($A349)-MONTH('Recurring Schedule'!$F$33),'Recurring Schedule'!$O$33)=0),IF('Recurring Schedule'!$E$33="Weekdays",WEEKDAY($A349,2)&lt;=5,$A349='Recurring Schedule'!$F$33))),28,""))))</f>
        <v/>
      </c>
      <c r="AD349">
        <f>IF('Recurring Schedule'!$C$34="","",IF('Recurring Schedule'!$F$34="","",IF(OR($A349&lt;'Recurring Schedule'!$F$34,$A349&gt;'Recurring Schedule'!$P$34),"",IF(IF('Recurring Schedule'!$N$34&gt;0,MOD($A349-'Recurring Schedule'!$F$34,'Recurring Schedule'!$N$34)=0,IF('Recurring Schedule'!$O$34&gt;0,AND(DAY($A349)=MIN(DAY('Recurring Schedule'!$F$34),DAY(EOMONTH($A349,0))),MOD((YEAR($A349)-YEAR('Recurring Schedule'!$F$34))*12+MONTH($A349)-MONTH('Recurring Schedule'!$F$34),'Recurring Schedule'!$O$34)=0),IF('Recurring Schedule'!$E$34="Weekdays",WEEKDAY($A349,2)&lt;=5,$A349='Recurring Schedule'!$F$34))),29,""))))</f>
        <v/>
      </c>
      <c r="AE349">
        <f>IF('Recurring Schedule'!$C$35="","",IF('Recurring Schedule'!$F$35="","",IF(OR($A349&lt;'Recurring Schedule'!$F$35,$A349&gt;'Recurring Schedule'!$P$35),"",IF(IF('Recurring Schedule'!$N$35&gt;0,MOD($A349-'Recurring Schedule'!$F$35,'Recurring Schedule'!$N$35)=0,IF('Recurring Schedule'!$O$35&gt;0,AND(DAY($A349)=MIN(DAY('Recurring Schedule'!$F$35),DAY(EOMONTH($A349,0))),MOD((YEAR($A349)-YEAR('Recurring Schedule'!$F$35))*12+MONTH($A349)-MONTH('Recurring Schedule'!$F$35),'Recurring Schedule'!$O$35)=0),IF('Recurring Schedule'!$E$35="Weekdays",WEEKDAY($A349,2)&lt;=5,$A349='Recurring Schedule'!$F$35))),30,""))))</f>
        <v/>
      </c>
      <c r="AF349">
        <f>IF('Recurring Schedule'!$C$36="","",IF('Recurring Schedule'!$F$36="","",IF(OR($A349&lt;'Recurring Schedule'!$F$36,$A349&gt;'Recurring Schedule'!$P$36),"",IF(IF('Recurring Schedule'!$N$36&gt;0,MOD($A349-'Recurring Schedule'!$F$36,'Recurring Schedule'!$N$36)=0,IF('Recurring Schedule'!$O$36&gt;0,AND(DAY($A349)=MIN(DAY('Recurring Schedule'!$F$36),DAY(EOMONTH($A349,0))),MOD((YEAR($A349)-YEAR('Recurring Schedule'!$F$36))*12+MONTH($A349)-MONTH('Recurring Schedule'!$F$36),'Recurring Schedule'!$O$36)=0),IF('Recurring Schedule'!$E$36="Weekdays",WEEKDAY($A349,2)&lt;=5,$A349='Recurring Schedule'!$F$36))),31,""))))</f>
        <v/>
      </c>
      <c r="AG349">
        <f>IF('Recurring Schedule'!$C$37="","",IF('Recurring Schedule'!$F$37="","",IF(OR($A349&lt;'Recurring Schedule'!$F$37,$A349&gt;'Recurring Schedule'!$P$37),"",IF(IF('Recurring Schedule'!$N$37&gt;0,MOD($A349-'Recurring Schedule'!$F$37,'Recurring Schedule'!$N$37)=0,IF('Recurring Schedule'!$O$37&gt;0,AND(DAY($A349)=MIN(DAY('Recurring Schedule'!$F$37),DAY(EOMONTH($A349,0))),MOD((YEAR($A349)-YEAR('Recurring Schedule'!$F$37))*12+MONTH($A349)-MONTH('Recurring Schedule'!$F$37),'Recurring Schedule'!$O$37)=0),IF('Recurring Schedule'!$E$37="Weekdays",WEEKDAY($A349,2)&lt;=5,$A349='Recurring Schedule'!$F$37))),32,""))))</f>
        <v/>
      </c>
      <c r="AH349">
        <f>IF('Recurring Schedule'!$C$38="","",IF('Recurring Schedule'!$F$38="","",IF(OR($A349&lt;'Recurring Schedule'!$F$38,$A349&gt;'Recurring Schedule'!$P$38),"",IF(IF('Recurring Schedule'!$N$38&gt;0,MOD($A349-'Recurring Schedule'!$F$38,'Recurring Schedule'!$N$38)=0,IF('Recurring Schedule'!$O$38&gt;0,AND(DAY($A349)=MIN(DAY('Recurring Schedule'!$F$38),DAY(EOMONTH($A349,0))),MOD((YEAR($A349)-YEAR('Recurring Schedule'!$F$38))*12+MONTH($A349)-MONTH('Recurring Schedule'!$F$38),'Recurring Schedule'!$O$38)=0),IF('Recurring Schedule'!$E$38="Weekdays",WEEKDAY($A349,2)&lt;=5,$A349='Recurring Schedule'!$F$38))),33,""))))</f>
        <v/>
      </c>
      <c r="AI349">
        <f>IF('Recurring Schedule'!$C$39="","",IF('Recurring Schedule'!$F$39="","",IF(OR($A349&lt;'Recurring Schedule'!$F$39,$A349&gt;'Recurring Schedule'!$P$39),"",IF(IF('Recurring Schedule'!$N$39&gt;0,MOD($A349-'Recurring Schedule'!$F$39,'Recurring Schedule'!$N$39)=0,IF('Recurring Schedule'!$O$39&gt;0,AND(DAY($A349)=MIN(DAY('Recurring Schedule'!$F$39),DAY(EOMONTH($A349,0))),MOD((YEAR($A349)-YEAR('Recurring Schedule'!$F$39))*12+MONTH($A349)-MONTH('Recurring Schedule'!$F$39),'Recurring Schedule'!$O$39)=0),IF('Recurring Schedule'!$E$39="Weekdays",WEEKDAY($A349,2)&lt;=5,$A349='Recurring Schedule'!$F$39))),34,""))))</f>
        <v/>
      </c>
      <c r="AJ349">
        <f>IF('Recurring Schedule'!$C$40="","",IF('Recurring Schedule'!$F$40="","",IF(OR($A349&lt;'Recurring Schedule'!$F$40,$A349&gt;'Recurring Schedule'!$P$40),"",IF(IF('Recurring Schedule'!$N$40&gt;0,MOD($A349-'Recurring Schedule'!$F$40,'Recurring Schedule'!$N$40)=0,IF('Recurring Schedule'!$O$40&gt;0,AND(DAY($A349)=MIN(DAY('Recurring Schedule'!$F$40),DAY(EOMONTH($A349,0))),MOD((YEAR($A349)-YEAR('Recurring Schedule'!$F$40))*12+MONTH($A349)-MONTH('Recurring Schedule'!$F$40),'Recurring Schedule'!$O$40)=0),IF('Recurring Schedule'!$E$40="Weekdays",WEEKDAY($A349,2)&lt;=5,$A349='Recurring Schedule'!$F$40))),35,""))))</f>
        <v/>
      </c>
      <c r="AK349">
        <f>IF('Recurring Schedule'!$C$41="","",IF('Recurring Schedule'!$F$41="","",IF(OR($A349&lt;'Recurring Schedule'!$F$41,$A349&gt;'Recurring Schedule'!$P$41),"",IF(IF('Recurring Schedule'!$N$41&gt;0,MOD($A349-'Recurring Schedule'!$F$41,'Recurring Schedule'!$N$41)=0,IF('Recurring Schedule'!$O$41&gt;0,AND(DAY($A349)=MIN(DAY('Recurring Schedule'!$F$41),DAY(EOMONTH($A349,0))),MOD((YEAR($A349)-YEAR('Recurring Schedule'!$F$41))*12+MONTH($A349)-MONTH('Recurring Schedule'!$F$41),'Recurring Schedule'!$O$41)=0),IF('Recurring Schedule'!$E$41="Weekdays",WEEKDAY($A349,2)&lt;=5,$A349='Recurring Schedule'!$F$41))),36,""))))</f>
        <v/>
      </c>
      <c r="AL349">
        <f>IF('Recurring Schedule'!$C$42="","",IF('Recurring Schedule'!$F$42="","",IF(OR($A349&lt;'Recurring Schedule'!$F$42,$A349&gt;'Recurring Schedule'!$P$42),"",IF(IF('Recurring Schedule'!$N$42&gt;0,MOD($A349-'Recurring Schedule'!$F$42,'Recurring Schedule'!$N$42)=0,IF('Recurring Schedule'!$O$42&gt;0,AND(DAY($A349)=MIN(DAY('Recurring Schedule'!$F$42),DAY(EOMONTH($A349,0))),MOD((YEAR($A349)-YEAR('Recurring Schedule'!$F$42))*12+MONTH($A349)-MONTH('Recurring Schedule'!$F$42),'Recurring Schedule'!$O$42)=0),IF('Recurring Schedule'!$E$42="Weekdays",WEEKDAY($A349,2)&lt;=5,$A349='Recurring Schedule'!$F$42))),37,""))))</f>
        <v/>
      </c>
      <c r="AM349">
        <f>IF('Recurring Schedule'!$C$43="","",IF('Recurring Schedule'!$F$43="","",IF(OR($A349&lt;'Recurring Schedule'!$F$43,$A349&gt;'Recurring Schedule'!$P$43),"",IF(IF('Recurring Schedule'!$N$43&gt;0,MOD($A349-'Recurring Schedule'!$F$43,'Recurring Schedule'!$N$43)=0,IF('Recurring Schedule'!$O$43&gt;0,AND(DAY($A349)=MIN(DAY('Recurring Schedule'!$F$43),DAY(EOMONTH($A349,0))),MOD((YEAR($A349)-YEAR('Recurring Schedule'!$F$43))*12+MONTH($A349)-MONTH('Recurring Schedule'!$F$43),'Recurring Schedule'!$O$43)=0),IF('Recurring Schedule'!$E$43="Weekdays",WEEKDAY($A349,2)&lt;=5,$A349='Recurring Schedule'!$F$43))),38,""))))</f>
        <v/>
      </c>
      <c r="AN349">
        <f>IF('Recurring Schedule'!$C$44="","",IF('Recurring Schedule'!$F$44="","",IF(OR($A349&lt;'Recurring Schedule'!$F$44,$A349&gt;'Recurring Schedule'!$P$44),"",IF(IF('Recurring Schedule'!$N$44&gt;0,MOD($A349-'Recurring Schedule'!$F$44,'Recurring Schedule'!$N$44)=0,IF('Recurring Schedule'!$O$44&gt;0,AND(DAY($A349)=MIN(DAY('Recurring Schedule'!$F$44),DAY(EOMONTH($A349,0))),MOD((YEAR($A349)-YEAR('Recurring Schedule'!$F$44))*12+MONTH($A349)-MONTH('Recurring Schedule'!$F$44),'Recurring Schedule'!$O$44)=0),IF('Recurring Schedule'!$E$44="Weekdays",WEEKDAY($A349,2)&lt;=5,$A349='Recurring Schedule'!$F$44))),39,""))))</f>
        <v/>
      </c>
      <c r="AO349">
        <f>IF('Recurring Schedule'!$C$45="","",IF('Recurring Schedule'!$F$45="","",IF(OR($A349&lt;'Recurring Schedule'!$F$45,$A349&gt;'Recurring Schedule'!$P$45),"",IF(IF('Recurring Schedule'!$N$45&gt;0,MOD($A349-'Recurring Schedule'!$F$45,'Recurring Schedule'!$N$45)=0,IF('Recurring Schedule'!$O$45&gt;0,AND(DAY($A349)=MIN(DAY('Recurring Schedule'!$F$45),DAY(EOMONTH($A349,0))),MOD((YEAR($A349)-YEAR('Recurring Schedule'!$F$45))*12+MONTH($A349)-MONTH('Recurring Schedule'!$F$45),'Recurring Schedule'!$O$45)=0),IF('Recurring Schedule'!$E$45="Weekdays",WEEKDAY($A349,2)&lt;=5,$A349='Recurring Schedule'!$F$45))),40,""))))</f>
        <v/>
      </c>
      <c r="AP349">
        <f>COUNT(B349:AO349)</f>
        <v/>
      </c>
      <c r="AQ349">
        <f>AQ348+AP348</f>
        <v/>
      </c>
      <c r="AS349" t="inlineStr">
        <is>
          <t>R</t>
        </is>
      </c>
      <c r="AT349" t="n">
        <v>353</v>
      </c>
      <c r="AU349">
        <f>'Recurring Log'!C353&amp;""</f>
        <v/>
      </c>
      <c r="AV349">
        <f>'Recurring Log'!D353&amp;""</f>
        <v/>
      </c>
      <c r="AW349">
        <f>IF('Recurring Log'!E353="","",'Recurring Log'!E353)</f>
        <v/>
      </c>
      <c r="AX349">
        <f>IF('Recurring Log'!G353="","",'Recurring Log'!G353)</f>
        <v/>
      </c>
      <c r="AY349">
        <f>IF('Recurring Log'!H353="","",'Recurring Log'!H353)</f>
        <v/>
      </c>
      <c r="AZ349">
        <f>IF(AU349="","",IF('Recurring Log'!J353="","Not Started",'Recurring Log'!J353))</f>
        <v/>
      </c>
      <c r="BA349">
        <f>'Recurring Log'!L353&amp;""</f>
        <v/>
      </c>
      <c r="BB349">
        <f>'Recurring Log'!M353&amp;""</f>
        <v/>
      </c>
      <c r="BC349">
        <f>'Recurring Log'!N353&amp;""</f>
        <v/>
      </c>
      <c r="BD349">
        <f>'Recurring Log'!O353&amp;""</f>
        <v/>
      </c>
      <c r="BE349">
        <f>IF('Recurring Log'!K353="","",'Recurring Log'!K353)</f>
        <v/>
      </c>
      <c r="BF349">
        <f>IFERROR(MATCH(BA349,Setup!$L$6:$L$9,0),5)</f>
        <v/>
      </c>
      <c r="BG349">
        <f>IF(OR(AZ349="Done",AZ349="Cancelled"),1,0)</f>
        <v/>
      </c>
      <c r="BH349">
        <f>IF(AND(AU349&lt;&gt;"",ISNUMBER(AW349)),1,0)</f>
        <v/>
      </c>
      <c r="BI349">
        <f>IF(BH349=0,0,IF(AND(AW349&gt;='Tasks Filter'!$F$3,AW349&lt;='Tasks Filter'!$F$4,OR('Tasks Filter'!$I$3="",ISNUMBER(SEARCH('Tasks Filter'!$I$3,AU349))),OR('Tasks Filter'!$I$4="",BF349=IFERROR(MATCH('Tasks Filter'!$I$4,Setup!$L$6:$L$9,0),0)),OR('Tasks Filter'!$I$5="Both",AND('Tasks Filter'!$I$5="Yes",BB349="✓"),AND('Tasks Filter'!$I$5="No",BB349&lt;&gt;"✓")),OR('Tasks Filter'!$L$3="",AV349='Tasks Filter'!$L$3),OR('Tasks Filter'!$L$4="",AZ349='Tasks Filter'!$L$4),OR('Tasks Filter'!$L$5="",BC349='Tasks Filter'!$L$5),OR('Tasks Filter'!$O$3="",BD349='Tasks Filter'!$O$3),OR('Tasks Filter'!$O$4="Yes",BG349=0)),1,0))</f>
        <v/>
      </c>
      <c r="BJ349">
        <f>IF(BH349=0,"",IF('Tasks Filter'!$F$6="Descending",-1,1)*CHOOSE(MATCH('Tasks Filter'!$F$5,Lists!$G$2:$G$6,0),AW349,BF349,IFERROR(MATCH(AV349,Setup!$F$6:$F$15,0),99),IFERROR(MATCH(BC349,Setup!$H$6:$H$15,0),99),IFERROR(MATCH(AZ349,Setup!$J$6:$J$11,0),99))*1E+9+(AW349-40000)*10000+348)</f>
        <v/>
      </c>
      <c r="BK349">
        <f>IF(BI349=1,BJ349,"")</f>
        <v/>
      </c>
      <c r="BL349">
        <f>IF(AND(BH349=1,BG349=0,N(AW349)&lt;Setup!$D$7),(AW349-40000)*10000+348,"")</f>
        <v/>
      </c>
      <c r="BM349">
        <f>IF(AND(BH349=1,AZ349&lt;&gt;"Cancelled",N(AW349)&gt;=Dashboard!$AB$3,N(AW349)&lt;=Dashboard!$AB$3+6),(AW349-40000)*100000+BF349*10000+348,"")</f>
        <v/>
      </c>
      <c r="BN349">
        <f>IF(AND(BH349=1,AZ349&lt;&gt;"Cancelled"),BF349*10000+348,"")</f>
        <v/>
      </c>
    </row>
    <row r="350">
      <c r="A350">
        <f>Setup!$D$5+348</f>
        <v/>
      </c>
      <c r="B350">
        <f>IF('Recurring Schedule'!$C$6="","",IF('Recurring Schedule'!$F$6="","",IF(OR($A350&lt;'Recurring Schedule'!$F$6,$A350&gt;'Recurring Schedule'!$P$6),"",IF(IF('Recurring Schedule'!$N$6&gt;0,MOD($A350-'Recurring Schedule'!$F$6,'Recurring Schedule'!$N$6)=0,IF('Recurring Schedule'!$O$6&gt;0,AND(DAY($A350)=MIN(DAY('Recurring Schedule'!$F$6),DAY(EOMONTH($A350,0))),MOD((YEAR($A350)-YEAR('Recurring Schedule'!$F$6))*12+MONTH($A350)-MONTH('Recurring Schedule'!$F$6),'Recurring Schedule'!$O$6)=0),IF('Recurring Schedule'!$E$6="Weekdays",WEEKDAY($A350,2)&lt;=5,$A350='Recurring Schedule'!$F$6))),1,""))))</f>
        <v/>
      </c>
      <c r="C350">
        <f>IF('Recurring Schedule'!$C$7="","",IF('Recurring Schedule'!$F$7="","",IF(OR($A350&lt;'Recurring Schedule'!$F$7,$A350&gt;'Recurring Schedule'!$P$7),"",IF(IF('Recurring Schedule'!$N$7&gt;0,MOD($A350-'Recurring Schedule'!$F$7,'Recurring Schedule'!$N$7)=0,IF('Recurring Schedule'!$O$7&gt;0,AND(DAY($A350)=MIN(DAY('Recurring Schedule'!$F$7),DAY(EOMONTH($A350,0))),MOD((YEAR($A350)-YEAR('Recurring Schedule'!$F$7))*12+MONTH($A350)-MONTH('Recurring Schedule'!$F$7),'Recurring Schedule'!$O$7)=0),IF('Recurring Schedule'!$E$7="Weekdays",WEEKDAY($A350,2)&lt;=5,$A350='Recurring Schedule'!$F$7))),2,""))))</f>
        <v/>
      </c>
      <c r="D350">
        <f>IF('Recurring Schedule'!$C$8="","",IF('Recurring Schedule'!$F$8="","",IF(OR($A350&lt;'Recurring Schedule'!$F$8,$A350&gt;'Recurring Schedule'!$P$8),"",IF(IF('Recurring Schedule'!$N$8&gt;0,MOD($A350-'Recurring Schedule'!$F$8,'Recurring Schedule'!$N$8)=0,IF('Recurring Schedule'!$O$8&gt;0,AND(DAY($A350)=MIN(DAY('Recurring Schedule'!$F$8),DAY(EOMONTH($A350,0))),MOD((YEAR($A350)-YEAR('Recurring Schedule'!$F$8))*12+MONTH($A350)-MONTH('Recurring Schedule'!$F$8),'Recurring Schedule'!$O$8)=0),IF('Recurring Schedule'!$E$8="Weekdays",WEEKDAY($A350,2)&lt;=5,$A350='Recurring Schedule'!$F$8))),3,""))))</f>
        <v/>
      </c>
      <c r="E350">
        <f>IF('Recurring Schedule'!$C$9="","",IF('Recurring Schedule'!$F$9="","",IF(OR($A350&lt;'Recurring Schedule'!$F$9,$A350&gt;'Recurring Schedule'!$P$9),"",IF(IF('Recurring Schedule'!$N$9&gt;0,MOD($A350-'Recurring Schedule'!$F$9,'Recurring Schedule'!$N$9)=0,IF('Recurring Schedule'!$O$9&gt;0,AND(DAY($A350)=MIN(DAY('Recurring Schedule'!$F$9),DAY(EOMONTH($A350,0))),MOD((YEAR($A350)-YEAR('Recurring Schedule'!$F$9))*12+MONTH($A350)-MONTH('Recurring Schedule'!$F$9),'Recurring Schedule'!$O$9)=0),IF('Recurring Schedule'!$E$9="Weekdays",WEEKDAY($A350,2)&lt;=5,$A350='Recurring Schedule'!$F$9))),4,""))))</f>
        <v/>
      </c>
      <c r="F350">
        <f>IF('Recurring Schedule'!$C$10="","",IF('Recurring Schedule'!$F$10="","",IF(OR($A350&lt;'Recurring Schedule'!$F$10,$A350&gt;'Recurring Schedule'!$P$10),"",IF(IF('Recurring Schedule'!$N$10&gt;0,MOD($A350-'Recurring Schedule'!$F$10,'Recurring Schedule'!$N$10)=0,IF('Recurring Schedule'!$O$10&gt;0,AND(DAY($A350)=MIN(DAY('Recurring Schedule'!$F$10),DAY(EOMONTH($A350,0))),MOD((YEAR($A350)-YEAR('Recurring Schedule'!$F$10))*12+MONTH($A350)-MONTH('Recurring Schedule'!$F$10),'Recurring Schedule'!$O$10)=0),IF('Recurring Schedule'!$E$10="Weekdays",WEEKDAY($A350,2)&lt;=5,$A350='Recurring Schedule'!$F$10))),5,""))))</f>
        <v/>
      </c>
      <c r="G350">
        <f>IF('Recurring Schedule'!$C$11="","",IF('Recurring Schedule'!$F$11="","",IF(OR($A350&lt;'Recurring Schedule'!$F$11,$A350&gt;'Recurring Schedule'!$P$11),"",IF(IF('Recurring Schedule'!$N$11&gt;0,MOD($A350-'Recurring Schedule'!$F$11,'Recurring Schedule'!$N$11)=0,IF('Recurring Schedule'!$O$11&gt;0,AND(DAY($A350)=MIN(DAY('Recurring Schedule'!$F$11),DAY(EOMONTH($A350,0))),MOD((YEAR($A350)-YEAR('Recurring Schedule'!$F$11))*12+MONTH($A350)-MONTH('Recurring Schedule'!$F$11),'Recurring Schedule'!$O$11)=0),IF('Recurring Schedule'!$E$11="Weekdays",WEEKDAY($A350,2)&lt;=5,$A350='Recurring Schedule'!$F$11))),6,""))))</f>
        <v/>
      </c>
      <c r="H350">
        <f>IF('Recurring Schedule'!$C$12="","",IF('Recurring Schedule'!$F$12="","",IF(OR($A350&lt;'Recurring Schedule'!$F$12,$A350&gt;'Recurring Schedule'!$P$12),"",IF(IF('Recurring Schedule'!$N$12&gt;0,MOD($A350-'Recurring Schedule'!$F$12,'Recurring Schedule'!$N$12)=0,IF('Recurring Schedule'!$O$12&gt;0,AND(DAY($A350)=MIN(DAY('Recurring Schedule'!$F$12),DAY(EOMONTH($A350,0))),MOD((YEAR($A350)-YEAR('Recurring Schedule'!$F$12))*12+MONTH($A350)-MONTH('Recurring Schedule'!$F$12),'Recurring Schedule'!$O$12)=0),IF('Recurring Schedule'!$E$12="Weekdays",WEEKDAY($A350,2)&lt;=5,$A350='Recurring Schedule'!$F$12))),7,""))))</f>
        <v/>
      </c>
      <c r="I350">
        <f>IF('Recurring Schedule'!$C$13="","",IF('Recurring Schedule'!$F$13="","",IF(OR($A350&lt;'Recurring Schedule'!$F$13,$A350&gt;'Recurring Schedule'!$P$13),"",IF(IF('Recurring Schedule'!$N$13&gt;0,MOD($A350-'Recurring Schedule'!$F$13,'Recurring Schedule'!$N$13)=0,IF('Recurring Schedule'!$O$13&gt;0,AND(DAY($A350)=MIN(DAY('Recurring Schedule'!$F$13),DAY(EOMONTH($A350,0))),MOD((YEAR($A350)-YEAR('Recurring Schedule'!$F$13))*12+MONTH($A350)-MONTH('Recurring Schedule'!$F$13),'Recurring Schedule'!$O$13)=0),IF('Recurring Schedule'!$E$13="Weekdays",WEEKDAY($A350,2)&lt;=5,$A350='Recurring Schedule'!$F$13))),8,""))))</f>
        <v/>
      </c>
      <c r="J350">
        <f>IF('Recurring Schedule'!$C$14="","",IF('Recurring Schedule'!$F$14="","",IF(OR($A350&lt;'Recurring Schedule'!$F$14,$A350&gt;'Recurring Schedule'!$P$14),"",IF(IF('Recurring Schedule'!$N$14&gt;0,MOD($A350-'Recurring Schedule'!$F$14,'Recurring Schedule'!$N$14)=0,IF('Recurring Schedule'!$O$14&gt;0,AND(DAY($A350)=MIN(DAY('Recurring Schedule'!$F$14),DAY(EOMONTH($A350,0))),MOD((YEAR($A350)-YEAR('Recurring Schedule'!$F$14))*12+MONTH($A350)-MONTH('Recurring Schedule'!$F$14),'Recurring Schedule'!$O$14)=0),IF('Recurring Schedule'!$E$14="Weekdays",WEEKDAY($A350,2)&lt;=5,$A350='Recurring Schedule'!$F$14))),9,""))))</f>
        <v/>
      </c>
      <c r="K350">
        <f>IF('Recurring Schedule'!$C$15="","",IF('Recurring Schedule'!$F$15="","",IF(OR($A350&lt;'Recurring Schedule'!$F$15,$A350&gt;'Recurring Schedule'!$P$15),"",IF(IF('Recurring Schedule'!$N$15&gt;0,MOD($A350-'Recurring Schedule'!$F$15,'Recurring Schedule'!$N$15)=0,IF('Recurring Schedule'!$O$15&gt;0,AND(DAY($A350)=MIN(DAY('Recurring Schedule'!$F$15),DAY(EOMONTH($A350,0))),MOD((YEAR($A350)-YEAR('Recurring Schedule'!$F$15))*12+MONTH($A350)-MONTH('Recurring Schedule'!$F$15),'Recurring Schedule'!$O$15)=0),IF('Recurring Schedule'!$E$15="Weekdays",WEEKDAY($A350,2)&lt;=5,$A350='Recurring Schedule'!$F$15))),10,""))))</f>
        <v/>
      </c>
      <c r="L350">
        <f>IF('Recurring Schedule'!$C$16="","",IF('Recurring Schedule'!$F$16="","",IF(OR($A350&lt;'Recurring Schedule'!$F$16,$A350&gt;'Recurring Schedule'!$P$16),"",IF(IF('Recurring Schedule'!$N$16&gt;0,MOD($A350-'Recurring Schedule'!$F$16,'Recurring Schedule'!$N$16)=0,IF('Recurring Schedule'!$O$16&gt;0,AND(DAY($A350)=MIN(DAY('Recurring Schedule'!$F$16),DAY(EOMONTH($A350,0))),MOD((YEAR($A350)-YEAR('Recurring Schedule'!$F$16))*12+MONTH($A350)-MONTH('Recurring Schedule'!$F$16),'Recurring Schedule'!$O$16)=0),IF('Recurring Schedule'!$E$16="Weekdays",WEEKDAY($A350,2)&lt;=5,$A350='Recurring Schedule'!$F$16))),11,""))))</f>
        <v/>
      </c>
      <c r="M350">
        <f>IF('Recurring Schedule'!$C$17="","",IF('Recurring Schedule'!$F$17="","",IF(OR($A350&lt;'Recurring Schedule'!$F$17,$A350&gt;'Recurring Schedule'!$P$17),"",IF(IF('Recurring Schedule'!$N$17&gt;0,MOD($A350-'Recurring Schedule'!$F$17,'Recurring Schedule'!$N$17)=0,IF('Recurring Schedule'!$O$17&gt;0,AND(DAY($A350)=MIN(DAY('Recurring Schedule'!$F$17),DAY(EOMONTH($A350,0))),MOD((YEAR($A350)-YEAR('Recurring Schedule'!$F$17))*12+MONTH($A350)-MONTH('Recurring Schedule'!$F$17),'Recurring Schedule'!$O$17)=0),IF('Recurring Schedule'!$E$17="Weekdays",WEEKDAY($A350,2)&lt;=5,$A350='Recurring Schedule'!$F$17))),12,""))))</f>
        <v/>
      </c>
      <c r="N350">
        <f>IF('Recurring Schedule'!$C$18="","",IF('Recurring Schedule'!$F$18="","",IF(OR($A350&lt;'Recurring Schedule'!$F$18,$A350&gt;'Recurring Schedule'!$P$18),"",IF(IF('Recurring Schedule'!$N$18&gt;0,MOD($A350-'Recurring Schedule'!$F$18,'Recurring Schedule'!$N$18)=0,IF('Recurring Schedule'!$O$18&gt;0,AND(DAY($A350)=MIN(DAY('Recurring Schedule'!$F$18),DAY(EOMONTH($A350,0))),MOD((YEAR($A350)-YEAR('Recurring Schedule'!$F$18))*12+MONTH($A350)-MONTH('Recurring Schedule'!$F$18),'Recurring Schedule'!$O$18)=0),IF('Recurring Schedule'!$E$18="Weekdays",WEEKDAY($A350,2)&lt;=5,$A350='Recurring Schedule'!$F$18))),13,""))))</f>
        <v/>
      </c>
      <c r="O350">
        <f>IF('Recurring Schedule'!$C$19="","",IF('Recurring Schedule'!$F$19="","",IF(OR($A350&lt;'Recurring Schedule'!$F$19,$A350&gt;'Recurring Schedule'!$P$19),"",IF(IF('Recurring Schedule'!$N$19&gt;0,MOD($A350-'Recurring Schedule'!$F$19,'Recurring Schedule'!$N$19)=0,IF('Recurring Schedule'!$O$19&gt;0,AND(DAY($A350)=MIN(DAY('Recurring Schedule'!$F$19),DAY(EOMONTH($A350,0))),MOD((YEAR($A350)-YEAR('Recurring Schedule'!$F$19))*12+MONTH($A350)-MONTH('Recurring Schedule'!$F$19),'Recurring Schedule'!$O$19)=0),IF('Recurring Schedule'!$E$19="Weekdays",WEEKDAY($A350,2)&lt;=5,$A350='Recurring Schedule'!$F$19))),14,""))))</f>
        <v/>
      </c>
      <c r="P350">
        <f>IF('Recurring Schedule'!$C$20="","",IF('Recurring Schedule'!$F$20="","",IF(OR($A350&lt;'Recurring Schedule'!$F$20,$A350&gt;'Recurring Schedule'!$P$20),"",IF(IF('Recurring Schedule'!$N$20&gt;0,MOD($A350-'Recurring Schedule'!$F$20,'Recurring Schedule'!$N$20)=0,IF('Recurring Schedule'!$O$20&gt;0,AND(DAY($A350)=MIN(DAY('Recurring Schedule'!$F$20),DAY(EOMONTH($A350,0))),MOD((YEAR($A350)-YEAR('Recurring Schedule'!$F$20))*12+MONTH($A350)-MONTH('Recurring Schedule'!$F$20),'Recurring Schedule'!$O$20)=0),IF('Recurring Schedule'!$E$20="Weekdays",WEEKDAY($A350,2)&lt;=5,$A350='Recurring Schedule'!$F$20))),15,""))))</f>
        <v/>
      </c>
      <c r="Q350">
        <f>IF('Recurring Schedule'!$C$21="","",IF('Recurring Schedule'!$F$21="","",IF(OR($A350&lt;'Recurring Schedule'!$F$21,$A350&gt;'Recurring Schedule'!$P$21),"",IF(IF('Recurring Schedule'!$N$21&gt;0,MOD($A350-'Recurring Schedule'!$F$21,'Recurring Schedule'!$N$21)=0,IF('Recurring Schedule'!$O$21&gt;0,AND(DAY($A350)=MIN(DAY('Recurring Schedule'!$F$21),DAY(EOMONTH($A350,0))),MOD((YEAR($A350)-YEAR('Recurring Schedule'!$F$21))*12+MONTH($A350)-MONTH('Recurring Schedule'!$F$21),'Recurring Schedule'!$O$21)=0),IF('Recurring Schedule'!$E$21="Weekdays",WEEKDAY($A350,2)&lt;=5,$A350='Recurring Schedule'!$F$21))),16,""))))</f>
        <v/>
      </c>
      <c r="R350">
        <f>IF('Recurring Schedule'!$C$22="","",IF('Recurring Schedule'!$F$22="","",IF(OR($A350&lt;'Recurring Schedule'!$F$22,$A350&gt;'Recurring Schedule'!$P$22),"",IF(IF('Recurring Schedule'!$N$22&gt;0,MOD($A350-'Recurring Schedule'!$F$22,'Recurring Schedule'!$N$22)=0,IF('Recurring Schedule'!$O$22&gt;0,AND(DAY($A350)=MIN(DAY('Recurring Schedule'!$F$22),DAY(EOMONTH($A350,0))),MOD((YEAR($A350)-YEAR('Recurring Schedule'!$F$22))*12+MONTH($A350)-MONTH('Recurring Schedule'!$F$22),'Recurring Schedule'!$O$22)=0),IF('Recurring Schedule'!$E$22="Weekdays",WEEKDAY($A350,2)&lt;=5,$A350='Recurring Schedule'!$F$22))),17,""))))</f>
        <v/>
      </c>
      <c r="S350">
        <f>IF('Recurring Schedule'!$C$23="","",IF('Recurring Schedule'!$F$23="","",IF(OR($A350&lt;'Recurring Schedule'!$F$23,$A350&gt;'Recurring Schedule'!$P$23),"",IF(IF('Recurring Schedule'!$N$23&gt;0,MOD($A350-'Recurring Schedule'!$F$23,'Recurring Schedule'!$N$23)=0,IF('Recurring Schedule'!$O$23&gt;0,AND(DAY($A350)=MIN(DAY('Recurring Schedule'!$F$23),DAY(EOMONTH($A350,0))),MOD((YEAR($A350)-YEAR('Recurring Schedule'!$F$23))*12+MONTH($A350)-MONTH('Recurring Schedule'!$F$23),'Recurring Schedule'!$O$23)=0),IF('Recurring Schedule'!$E$23="Weekdays",WEEKDAY($A350,2)&lt;=5,$A350='Recurring Schedule'!$F$23))),18,""))))</f>
        <v/>
      </c>
      <c r="T350">
        <f>IF('Recurring Schedule'!$C$24="","",IF('Recurring Schedule'!$F$24="","",IF(OR($A350&lt;'Recurring Schedule'!$F$24,$A350&gt;'Recurring Schedule'!$P$24),"",IF(IF('Recurring Schedule'!$N$24&gt;0,MOD($A350-'Recurring Schedule'!$F$24,'Recurring Schedule'!$N$24)=0,IF('Recurring Schedule'!$O$24&gt;0,AND(DAY($A350)=MIN(DAY('Recurring Schedule'!$F$24),DAY(EOMONTH($A350,0))),MOD((YEAR($A350)-YEAR('Recurring Schedule'!$F$24))*12+MONTH($A350)-MONTH('Recurring Schedule'!$F$24),'Recurring Schedule'!$O$24)=0),IF('Recurring Schedule'!$E$24="Weekdays",WEEKDAY($A350,2)&lt;=5,$A350='Recurring Schedule'!$F$24))),19,""))))</f>
        <v/>
      </c>
      <c r="U350">
        <f>IF('Recurring Schedule'!$C$25="","",IF('Recurring Schedule'!$F$25="","",IF(OR($A350&lt;'Recurring Schedule'!$F$25,$A350&gt;'Recurring Schedule'!$P$25),"",IF(IF('Recurring Schedule'!$N$25&gt;0,MOD($A350-'Recurring Schedule'!$F$25,'Recurring Schedule'!$N$25)=0,IF('Recurring Schedule'!$O$25&gt;0,AND(DAY($A350)=MIN(DAY('Recurring Schedule'!$F$25),DAY(EOMONTH($A350,0))),MOD((YEAR($A350)-YEAR('Recurring Schedule'!$F$25))*12+MONTH($A350)-MONTH('Recurring Schedule'!$F$25),'Recurring Schedule'!$O$25)=0),IF('Recurring Schedule'!$E$25="Weekdays",WEEKDAY($A350,2)&lt;=5,$A350='Recurring Schedule'!$F$25))),20,""))))</f>
        <v/>
      </c>
      <c r="V350">
        <f>IF('Recurring Schedule'!$C$26="","",IF('Recurring Schedule'!$F$26="","",IF(OR($A350&lt;'Recurring Schedule'!$F$26,$A350&gt;'Recurring Schedule'!$P$26),"",IF(IF('Recurring Schedule'!$N$26&gt;0,MOD($A350-'Recurring Schedule'!$F$26,'Recurring Schedule'!$N$26)=0,IF('Recurring Schedule'!$O$26&gt;0,AND(DAY($A350)=MIN(DAY('Recurring Schedule'!$F$26),DAY(EOMONTH($A350,0))),MOD((YEAR($A350)-YEAR('Recurring Schedule'!$F$26))*12+MONTH($A350)-MONTH('Recurring Schedule'!$F$26),'Recurring Schedule'!$O$26)=0),IF('Recurring Schedule'!$E$26="Weekdays",WEEKDAY($A350,2)&lt;=5,$A350='Recurring Schedule'!$F$26))),21,""))))</f>
        <v/>
      </c>
      <c r="W350">
        <f>IF('Recurring Schedule'!$C$27="","",IF('Recurring Schedule'!$F$27="","",IF(OR($A350&lt;'Recurring Schedule'!$F$27,$A350&gt;'Recurring Schedule'!$P$27),"",IF(IF('Recurring Schedule'!$N$27&gt;0,MOD($A350-'Recurring Schedule'!$F$27,'Recurring Schedule'!$N$27)=0,IF('Recurring Schedule'!$O$27&gt;0,AND(DAY($A350)=MIN(DAY('Recurring Schedule'!$F$27),DAY(EOMONTH($A350,0))),MOD((YEAR($A350)-YEAR('Recurring Schedule'!$F$27))*12+MONTH($A350)-MONTH('Recurring Schedule'!$F$27),'Recurring Schedule'!$O$27)=0),IF('Recurring Schedule'!$E$27="Weekdays",WEEKDAY($A350,2)&lt;=5,$A350='Recurring Schedule'!$F$27))),22,""))))</f>
        <v/>
      </c>
      <c r="X350">
        <f>IF('Recurring Schedule'!$C$28="","",IF('Recurring Schedule'!$F$28="","",IF(OR($A350&lt;'Recurring Schedule'!$F$28,$A350&gt;'Recurring Schedule'!$P$28),"",IF(IF('Recurring Schedule'!$N$28&gt;0,MOD($A350-'Recurring Schedule'!$F$28,'Recurring Schedule'!$N$28)=0,IF('Recurring Schedule'!$O$28&gt;0,AND(DAY($A350)=MIN(DAY('Recurring Schedule'!$F$28),DAY(EOMONTH($A350,0))),MOD((YEAR($A350)-YEAR('Recurring Schedule'!$F$28))*12+MONTH($A350)-MONTH('Recurring Schedule'!$F$28),'Recurring Schedule'!$O$28)=0),IF('Recurring Schedule'!$E$28="Weekdays",WEEKDAY($A350,2)&lt;=5,$A350='Recurring Schedule'!$F$28))),23,""))))</f>
        <v/>
      </c>
      <c r="Y350">
        <f>IF('Recurring Schedule'!$C$29="","",IF('Recurring Schedule'!$F$29="","",IF(OR($A350&lt;'Recurring Schedule'!$F$29,$A350&gt;'Recurring Schedule'!$P$29),"",IF(IF('Recurring Schedule'!$N$29&gt;0,MOD($A350-'Recurring Schedule'!$F$29,'Recurring Schedule'!$N$29)=0,IF('Recurring Schedule'!$O$29&gt;0,AND(DAY($A350)=MIN(DAY('Recurring Schedule'!$F$29),DAY(EOMONTH($A350,0))),MOD((YEAR($A350)-YEAR('Recurring Schedule'!$F$29))*12+MONTH($A350)-MONTH('Recurring Schedule'!$F$29),'Recurring Schedule'!$O$29)=0),IF('Recurring Schedule'!$E$29="Weekdays",WEEKDAY($A350,2)&lt;=5,$A350='Recurring Schedule'!$F$29))),24,""))))</f>
        <v/>
      </c>
      <c r="Z350">
        <f>IF('Recurring Schedule'!$C$30="","",IF('Recurring Schedule'!$F$30="","",IF(OR($A350&lt;'Recurring Schedule'!$F$30,$A350&gt;'Recurring Schedule'!$P$30),"",IF(IF('Recurring Schedule'!$N$30&gt;0,MOD($A350-'Recurring Schedule'!$F$30,'Recurring Schedule'!$N$30)=0,IF('Recurring Schedule'!$O$30&gt;0,AND(DAY($A350)=MIN(DAY('Recurring Schedule'!$F$30),DAY(EOMONTH($A350,0))),MOD((YEAR($A350)-YEAR('Recurring Schedule'!$F$30))*12+MONTH($A350)-MONTH('Recurring Schedule'!$F$30),'Recurring Schedule'!$O$30)=0),IF('Recurring Schedule'!$E$30="Weekdays",WEEKDAY($A350,2)&lt;=5,$A350='Recurring Schedule'!$F$30))),25,""))))</f>
        <v/>
      </c>
      <c r="AA350">
        <f>IF('Recurring Schedule'!$C$31="","",IF('Recurring Schedule'!$F$31="","",IF(OR($A350&lt;'Recurring Schedule'!$F$31,$A350&gt;'Recurring Schedule'!$P$31),"",IF(IF('Recurring Schedule'!$N$31&gt;0,MOD($A350-'Recurring Schedule'!$F$31,'Recurring Schedule'!$N$31)=0,IF('Recurring Schedule'!$O$31&gt;0,AND(DAY($A350)=MIN(DAY('Recurring Schedule'!$F$31),DAY(EOMONTH($A350,0))),MOD((YEAR($A350)-YEAR('Recurring Schedule'!$F$31))*12+MONTH($A350)-MONTH('Recurring Schedule'!$F$31),'Recurring Schedule'!$O$31)=0),IF('Recurring Schedule'!$E$31="Weekdays",WEEKDAY($A350,2)&lt;=5,$A350='Recurring Schedule'!$F$31))),26,""))))</f>
        <v/>
      </c>
      <c r="AB350">
        <f>IF('Recurring Schedule'!$C$32="","",IF('Recurring Schedule'!$F$32="","",IF(OR($A350&lt;'Recurring Schedule'!$F$32,$A350&gt;'Recurring Schedule'!$P$32),"",IF(IF('Recurring Schedule'!$N$32&gt;0,MOD($A350-'Recurring Schedule'!$F$32,'Recurring Schedule'!$N$32)=0,IF('Recurring Schedule'!$O$32&gt;0,AND(DAY($A350)=MIN(DAY('Recurring Schedule'!$F$32),DAY(EOMONTH($A350,0))),MOD((YEAR($A350)-YEAR('Recurring Schedule'!$F$32))*12+MONTH($A350)-MONTH('Recurring Schedule'!$F$32),'Recurring Schedule'!$O$32)=0),IF('Recurring Schedule'!$E$32="Weekdays",WEEKDAY($A350,2)&lt;=5,$A350='Recurring Schedule'!$F$32))),27,""))))</f>
        <v/>
      </c>
      <c r="AC350">
        <f>IF('Recurring Schedule'!$C$33="","",IF('Recurring Schedule'!$F$33="","",IF(OR($A350&lt;'Recurring Schedule'!$F$33,$A350&gt;'Recurring Schedule'!$P$33),"",IF(IF('Recurring Schedule'!$N$33&gt;0,MOD($A350-'Recurring Schedule'!$F$33,'Recurring Schedule'!$N$33)=0,IF('Recurring Schedule'!$O$33&gt;0,AND(DAY($A350)=MIN(DAY('Recurring Schedule'!$F$33),DAY(EOMONTH($A350,0))),MOD((YEAR($A350)-YEAR('Recurring Schedule'!$F$33))*12+MONTH($A350)-MONTH('Recurring Schedule'!$F$33),'Recurring Schedule'!$O$33)=0),IF('Recurring Schedule'!$E$33="Weekdays",WEEKDAY($A350,2)&lt;=5,$A350='Recurring Schedule'!$F$33))),28,""))))</f>
        <v/>
      </c>
      <c r="AD350">
        <f>IF('Recurring Schedule'!$C$34="","",IF('Recurring Schedule'!$F$34="","",IF(OR($A350&lt;'Recurring Schedule'!$F$34,$A350&gt;'Recurring Schedule'!$P$34),"",IF(IF('Recurring Schedule'!$N$34&gt;0,MOD($A350-'Recurring Schedule'!$F$34,'Recurring Schedule'!$N$34)=0,IF('Recurring Schedule'!$O$34&gt;0,AND(DAY($A350)=MIN(DAY('Recurring Schedule'!$F$34),DAY(EOMONTH($A350,0))),MOD((YEAR($A350)-YEAR('Recurring Schedule'!$F$34))*12+MONTH($A350)-MONTH('Recurring Schedule'!$F$34),'Recurring Schedule'!$O$34)=0),IF('Recurring Schedule'!$E$34="Weekdays",WEEKDAY($A350,2)&lt;=5,$A350='Recurring Schedule'!$F$34))),29,""))))</f>
        <v/>
      </c>
      <c r="AE350">
        <f>IF('Recurring Schedule'!$C$35="","",IF('Recurring Schedule'!$F$35="","",IF(OR($A350&lt;'Recurring Schedule'!$F$35,$A350&gt;'Recurring Schedule'!$P$35),"",IF(IF('Recurring Schedule'!$N$35&gt;0,MOD($A350-'Recurring Schedule'!$F$35,'Recurring Schedule'!$N$35)=0,IF('Recurring Schedule'!$O$35&gt;0,AND(DAY($A350)=MIN(DAY('Recurring Schedule'!$F$35),DAY(EOMONTH($A350,0))),MOD((YEAR($A350)-YEAR('Recurring Schedule'!$F$35))*12+MONTH($A350)-MONTH('Recurring Schedule'!$F$35),'Recurring Schedule'!$O$35)=0),IF('Recurring Schedule'!$E$35="Weekdays",WEEKDAY($A350,2)&lt;=5,$A350='Recurring Schedule'!$F$35))),30,""))))</f>
        <v/>
      </c>
      <c r="AF350">
        <f>IF('Recurring Schedule'!$C$36="","",IF('Recurring Schedule'!$F$36="","",IF(OR($A350&lt;'Recurring Schedule'!$F$36,$A350&gt;'Recurring Schedule'!$P$36),"",IF(IF('Recurring Schedule'!$N$36&gt;0,MOD($A350-'Recurring Schedule'!$F$36,'Recurring Schedule'!$N$36)=0,IF('Recurring Schedule'!$O$36&gt;0,AND(DAY($A350)=MIN(DAY('Recurring Schedule'!$F$36),DAY(EOMONTH($A350,0))),MOD((YEAR($A350)-YEAR('Recurring Schedule'!$F$36))*12+MONTH($A350)-MONTH('Recurring Schedule'!$F$36),'Recurring Schedule'!$O$36)=0),IF('Recurring Schedule'!$E$36="Weekdays",WEEKDAY($A350,2)&lt;=5,$A350='Recurring Schedule'!$F$36))),31,""))))</f>
        <v/>
      </c>
      <c r="AG350">
        <f>IF('Recurring Schedule'!$C$37="","",IF('Recurring Schedule'!$F$37="","",IF(OR($A350&lt;'Recurring Schedule'!$F$37,$A350&gt;'Recurring Schedule'!$P$37),"",IF(IF('Recurring Schedule'!$N$37&gt;0,MOD($A350-'Recurring Schedule'!$F$37,'Recurring Schedule'!$N$37)=0,IF('Recurring Schedule'!$O$37&gt;0,AND(DAY($A350)=MIN(DAY('Recurring Schedule'!$F$37),DAY(EOMONTH($A350,0))),MOD((YEAR($A350)-YEAR('Recurring Schedule'!$F$37))*12+MONTH($A350)-MONTH('Recurring Schedule'!$F$37),'Recurring Schedule'!$O$37)=0),IF('Recurring Schedule'!$E$37="Weekdays",WEEKDAY($A350,2)&lt;=5,$A350='Recurring Schedule'!$F$37))),32,""))))</f>
        <v/>
      </c>
      <c r="AH350">
        <f>IF('Recurring Schedule'!$C$38="","",IF('Recurring Schedule'!$F$38="","",IF(OR($A350&lt;'Recurring Schedule'!$F$38,$A350&gt;'Recurring Schedule'!$P$38),"",IF(IF('Recurring Schedule'!$N$38&gt;0,MOD($A350-'Recurring Schedule'!$F$38,'Recurring Schedule'!$N$38)=0,IF('Recurring Schedule'!$O$38&gt;0,AND(DAY($A350)=MIN(DAY('Recurring Schedule'!$F$38),DAY(EOMONTH($A350,0))),MOD((YEAR($A350)-YEAR('Recurring Schedule'!$F$38))*12+MONTH($A350)-MONTH('Recurring Schedule'!$F$38),'Recurring Schedule'!$O$38)=0),IF('Recurring Schedule'!$E$38="Weekdays",WEEKDAY($A350,2)&lt;=5,$A350='Recurring Schedule'!$F$38))),33,""))))</f>
        <v/>
      </c>
      <c r="AI350">
        <f>IF('Recurring Schedule'!$C$39="","",IF('Recurring Schedule'!$F$39="","",IF(OR($A350&lt;'Recurring Schedule'!$F$39,$A350&gt;'Recurring Schedule'!$P$39),"",IF(IF('Recurring Schedule'!$N$39&gt;0,MOD($A350-'Recurring Schedule'!$F$39,'Recurring Schedule'!$N$39)=0,IF('Recurring Schedule'!$O$39&gt;0,AND(DAY($A350)=MIN(DAY('Recurring Schedule'!$F$39),DAY(EOMONTH($A350,0))),MOD((YEAR($A350)-YEAR('Recurring Schedule'!$F$39))*12+MONTH($A350)-MONTH('Recurring Schedule'!$F$39),'Recurring Schedule'!$O$39)=0),IF('Recurring Schedule'!$E$39="Weekdays",WEEKDAY($A350,2)&lt;=5,$A350='Recurring Schedule'!$F$39))),34,""))))</f>
        <v/>
      </c>
      <c r="AJ350">
        <f>IF('Recurring Schedule'!$C$40="","",IF('Recurring Schedule'!$F$40="","",IF(OR($A350&lt;'Recurring Schedule'!$F$40,$A350&gt;'Recurring Schedule'!$P$40),"",IF(IF('Recurring Schedule'!$N$40&gt;0,MOD($A350-'Recurring Schedule'!$F$40,'Recurring Schedule'!$N$40)=0,IF('Recurring Schedule'!$O$40&gt;0,AND(DAY($A350)=MIN(DAY('Recurring Schedule'!$F$40),DAY(EOMONTH($A350,0))),MOD((YEAR($A350)-YEAR('Recurring Schedule'!$F$40))*12+MONTH($A350)-MONTH('Recurring Schedule'!$F$40),'Recurring Schedule'!$O$40)=0),IF('Recurring Schedule'!$E$40="Weekdays",WEEKDAY($A350,2)&lt;=5,$A350='Recurring Schedule'!$F$40))),35,""))))</f>
        <v/>
      </c>
      <c r="AK350">
        <f>IF('Recurring Schedule'!$C$41="","",IF('Recurring Schedule'!$F$41="","",IF(OR($A350&lt;'Recurring Schedule'!$F$41,$A350&gt;'Recurring Schedule'!$P$41),"",IF(IF('Recurring Schedule'!$N$41&gt;0,MOD($A350-'Recurring Schedule'!$F$41,'Recurring Schedule'!$N$41)=0,IF('Recurring Schedule'!$O$41&gt;0,AND(DAY($A350)=MIN(DAY('Recurring Schedule'!$F$41),DAY(EOMONTH($A350,0))),MOD((YEAR($A350)-YEAR('Recurring Schedule'!$F$41))*12+MONTH($A350)-MONTH('Recurring Schedule'!$F$41),'Recurring Schedule'!$O$41)=0),IF('Recurring Schedule'!$E$41="Weekdays",WEEKDAY($A350,2)&lt;=5,$A350='Recurring Schedule'!$F$41))),36,""))))</f>
        <v/>
      </c>
      <c r="AL350">
        <f>IF('Recurring Schedule'!$C$42="","",IF('Recurring Schedule'!$F$42="","",IF(OR($A350&lt;'Recurring Schedule'!$F$42,$A350&gt;'Recurring Schedule'!$P$42),"",IF(IF('Recurring Schedule'!$N$42&gt;0,MOD($A350-'Recurring Schedule'!$F$42,'Recurring Schedule'!$N$42)=0,IF('Recurring Schedule'!$O$42&gt;0,AND(DAY($A350)=MIN(DAY('Recurring Schedule'!$F$42),DAY(EOMONTH($A350,0))),MOD((YEAR($A350)-YEAR('Recurring Schedule'!$F$42))*12+MONTH($A350)-MONTH('Recurring Schedule'!$F$42),'Recurring Schedule'!$O$42)=0),IF('Recurring Schedule'!$E$42="Weekdays",WEEKDAY($A350,2)&lt;=5,$A350='Recurring Schedule'!$F$42))),37,""))))</f>
        <v/>
      </c>
      <c r="AM350">
        <f>IF('Recurring Schedule'!$C$43="","",IF('Recurring Schedule'!$F$43="","",IF(OR($A350&lt;'Recurring Schedule'!$F$43,$A350&gt;'Recurring Schedule'!$P$43),"",IF(IF('Recurring Schedule'!$N$43&gt;0,MOD($A350-'Recurring Schedule'!$F$43,'Recurring Schedule'!$N$43)=0,IF('Recurring Schedule'!$O$43&gt;0,AND(DAY($A350)=MIN(DAY('Recurring Schedule'!$F$43),DAY(EOMONTH($A350,0))),MOD((YEAR($A350)-YEAR('Recurring Schedule'!$F$43))*12+MONTH($A350)-MONTH('Recurring Schedule'!$F$43),'Recurring Schedule'!$O$43)=0),IF('Recurring Schedule'!$E$43="Weekdays",WEEKDAY($A350,2)&lt;=5,$A350='Recurring Schedule'!$F$43))),38,""))))</f>
        <v/>
      </c>
      <c r="AN350">
        <f>IF('Recurring Schedule'!$C$44="","",IF('Recurring Schedule'!$F$44="","",IF(OR($A350&lt;'Recurring Schedule'!$F$44,$A350&gt;'Recurring Schedule'!$P$44),"",IF(IF('Recurring Schedule'!$N$44&gt;0,MOD($A350-'Recurring Schedule'!$F$44,'Recurring Schedule'!$N$44)=0,IF('Recurring Schedule'!$O$44&gt;0,AND(DAY($A350)=MIN(DAY('Recurring Schedule'!$F$44),DAY(EOMONTH($A350,0))),MOD((YEAR($A350)-YEAR('Recurring Schedule'!$F$44))*12+MONTH($A350)-MONTH('Recurring Schedule'!$F$44),'Recurring Schedule'!$O$44)=0),IF('Recurring Schedule'!$E$44="Weekdays",WEEKDAY($A350,2)&lt;=5,$A350='Recurring Schedule'!$F$44))),39,""))))</f>
        <v/>
      </c>
      <c r="AO350">
        <f>IF('Recurring Schedule'!$C$45="","",IF('Recurring Schedule'!$F$45="","",IF(OR($A350&lt;'Recurring Schedule'!$F$45,$A350&gt;'Recurring Schedule'!$P$45),"",IF(IF('Recurring Schedule'!$N$45&gt;0,MOD($A350-'Recurring Schedule'!$F$45,'Recurring Schedule'!$N$45)=0,IF('Recurring Schedule'!$O$45&gt;0,AND(DAY($A350)=MIN(DAY('Recurring Schedule'!$F$45),DAY(EOMONTH($A350,0))),MOD((YEAR($A350)-YEAR('Recurring Schedule'!$F$45))*12+MONTH($A350)-MONTH('Recurring Schedule'!$F$45),'Recurring Schedule'!$O$45)=0),IF('Recurring Schedule'!$E$45="Weekdays",WEEKDAY($A350,2)&lt;=5,$A350='Recurring Schedule'!$F$45))),40,""))))</f>
        <v/>
      </c>
      <c r="AP350">
        <f>COUNT(B350:AO350)</f>
        <v/>
      </c>
      <c r="AQ350">
        <f>AQ349+AP349</f>
        <v/>
      </c>
      <c r="AS350" t="inlineStr">
        <is>
          <t>R</t>
        </is>
      </c>
      <c r="AT350" t="n">
        <v>354</v>
      </c>
      <c r="AU350">
        <f>'Recurring Log'!C354&amp;""</f>
        <v/>
      </c>
      <c r="AV350">
        <f>'Recurring Log'!D354&amp;""</f>
        <v/>
      </c>
      <c r="AW350">
        <f>IF('Recurring Log'!E354="","",'Recurring Log'!E354)</f>
        <v/>
      </c>
      <c r="AX350">
        <f>IF('Recurring Log'!G354="","",'Recurring Log'!G354)</f>
        <v/>
      </c>
      <c r="AY350">
        <f>IF('Recurring Log'!H354="","",'Recurring Log'!H354)</f>
        <v/>
      </c>
      <c r="AZ350">
        <f>IF(AU350="","",IF('Recurring Log'!J354="","Not Started",'Recurring Log'!J354))</f>
        <v/>
      </c>
      <c r="BA350">
        <f>'Recurring Log'!L354&amp;""</f>
        <v/>
      </c>
      <c r="BB350">
        <f>'Recurring Log'!M354&amp;""</f>
        <v/>
      </c>
      <c r="BC350">
        <f>'Recurring Log'!N354&amp;""</f>
        <v/>
      </c>
      <c r="BD350">
        <f>'Recurring Log'!O354&amp;""</f>
        <v/>
      </c>
      <c r="BE350">
        <f>IF('Recurring Log'!K354="","",'Recurring Log'!K354)</f>
        <v/>
      </c>
      <c r="BF350">
        <f>IFERROR(MATCH(BA350,Setup!$L$6:$L$9,0),5)</f>
        <v/>
      </c>
      <c r="BG350">
        <f>IF(OR(AZ350="Done",AZ350="Cancelled"),1,0)</f>
        <v/>
      </c>
      <c r="BH350">
        <f>IF(AND(AU350&lt;&gt;"",ISNUMBER(AW350)),1,0)</f>
        <v/>
      </c>
      <c r="BI350">
        <f>IF(BH350=0,0,IF(AND(AW350&gt;='Tasks Filter'!$F$3,AW350&lt;='Tasks Filter'!$F$4,OR('Tasks Filter'!$I$3="",ISNUMBER(SEARCH('Tasks Filter'!$I$3,AU350))),OR('Tasks Filter'!$I$4="",BF350=IFERROR(MATCH('Tasks Filter'!$I$4,Setup!$L$6:$L$9,0),0)),OR('Tasks Filter'!$I$5="Both",AND('Tasks Filter'!$I$5="Yes",BB350="✓"),AND('Tasks Filter'!$I$5="No",BB350&lt;&gt;"✓")),OR('Tasks Filter'!$L$3="",AV350='Tasks Filter'!$L$3),OR('Tasks Filter'!$L$4="",AZ350='Tasks Filter'!$L$4),OR('Tasks Filter'!$L$5="",BC350='Tasks Filter'!$L$5),OR('Tasks Filter'!$O$3="",BD350='Tasks Filter'!$O$3),OR('Tasks Filter'!$O$4="Yes",BG350=0)),1,0))</f>
        <v/>
      </c>
      <c r="BJ350">
        <f>IF(BH350=0,"",IF('Tasks Filter'!$F$6="Descending",-1,1)*CHOOSE(MATCH('Tasks Filter'!$F$5,Lists!$G$2:$G$6,0),AW350,BF350,IFERROR(MATCH(AV350,Setup!$F$6:$F$15,0),99),IFERROR(MATCH(BC350,Setup!$H$6:$H$15,0),99),IFERROR(MATCH(AZ350,Setup!$J$6:$J$11,0),99))*1E+9+(AW350-40000)*10000+349)</f>
        <v/>
      </c>
      <c r="BK350">
        <f>IF(BI350=1,BJ350,"")</f>
        <v/>
      </c>
      <c r="BL350">
        <f>IF(AND(BH350=1,BG350=0,N(AW350)&lt;Setup!$D$7),(AW350-40000)*10000+349,"")</f>
        <v/>
      </c>
      <c r="BM350">
        <f>IF(AND(BH350=1,AZ350&lt;&gt;"Cancelled",N(AW350)&gt;=Dashboard!$AB$3,N(AW350)&lt;=Dashboard!$AB$3+6),(AW350-40000)*100000+BF350*10000+349,"")</f>
        <v/>
      </c>
      <c r="BN350">
        <f>IF(AND(BH350=1,AZ350&lt;&gt;"Cancelled"),BF350*10000+349,"")</f>
        <v/>
      </c>
    </row>
    <row r="351">
      <c r="A351">
        <f>Setup!$D$5+349</f>
        <v/>
      </c>
      <c r="B351">
        <f>IF('Recurring Schedule'!$C$6="","",IF('Recurring Schedule'!$F$6="","",IF(OR($A351&lt;'Recurring Schedule'!$F$6,$A351&gt;'Recurring Schedule'!$P$6),"",IF(IF('Recurring Schedule'!$N$6&gt;0,MOD($A351-'Recurring Schedule'!$F$6,'Recurring Schedule'!$N$6)=0,IF('Recurring Schedule'!$O$6&gt;0,AND(DAY($A351)=MIN(DAY('Recurring Schedule'!$F$6),DAY(EOMONTH($A351,0))),MOD((YEAR($A351)-YEAR('Recurring Schedule'!$F$6))*12+MONTH($A351)-MONTH('Recurring Schedule'!$F$6),'Recurring Schedule'!$O$6)=0),IF('Recurring Schedule'!$E$6="Weekdays",WEEKDAY($A351,2)&lt;=5,$A351='Recurring Schedule'!$F$6))),1,""))))</f>
        <v/>
      </c>
      <c r="C351">
        <f>IF('Recurring Schedule'!$C$7="","",IF('Recurring Schedule'!$F$7="","",IF(OR($A351&lt;'Recurring Schedule'!$F$7,$A351&gt;'Recurring Schedule'!$P$7),"",IF(IF('Recurring Schedule'!$N$7&gt;0,MOD($A351-'Recurring Schedule'!$F$7,'Recurring Schedule'!$N$7)=0,IF('Recurring Schedule'!$O$7&gt;0,AND(DAY($A351)=MIN(DAY('Recurring Schedule'!$F$7),DAY(EOMONTH($A351,0))),MOD((YEAR($A351)-YEAR('Recurring Schedule'!$F$7))*12+MONTH($A351)-MONTH('Recurring Schedule'!$F$7),'Recurring Schedule'!$O$7)=0),IF('Recurring Schedule'!$E$7="Weekdays",WEEKDAY($A351,2)&lt;=5,$A351='Recurring Schedule'!$F$7))),2,""))))</f>
        <v/>
      </c>
      <c r="D351">
        <f>IF('Recurring Schedule'!$C$8="","",IF('Recurring Schedule'!$F$8="","",IF(OR($A351&lt;'Recurring Schedule'!$F$8,$A351&gt;'Recurring Schedule'!$P$8),"",IF(IF('Recurring Schedule'!$N$8&gt;0,MOD($A351-'Recurring Schedule'!$F$8,'Recurring Schedule'!$N$8)=0,IF('Recurring Schedule'!$O$8&gt;0,AND(DAY($A351)=MIN(DAY('Recurring Schedule'!$F$8),DAY(EOMONTH($A351,0))),MOD((YEAR($A351)-YEAR('Recurring Schedule'!$F$8))*12+MONTH($A351)-MONTH('Recurring Schedule'!$F$8),'Recurring Schedule'!$O$8)=0),IF('Recurring Schedule'!$E$8="Weekdays",WEEKDAY($A351,2)&lt;=5,$A351='Recurring Schedule'!$F$8))),3,""))))</f>
        <v/>
      </c>
      <c r="E351">
        <f>IF('Recurring Schedule'!$C$9="","",IF('Recurring Schedule'!$F$9="","",IF(OR($A351&lt;'Recurring Schedule'!$F$9,$A351&gt;'Recurring Schedule'!$P$9),"",IF(IF('Recurring Schedule'!$N$9&gt;0,MOD($A351-'Recurring Schedule'!$F$9,'Recurring Schedule'!$N$9)=0,IF('Recurring Schedule'!$O$9&gt;0,AND(DAY($A351)=MIN(DAY('Recurring Schedule'!$F$9),DAY(EOMONTH($A351,0))),MOD((YEAR($A351)-YEAR('Recurring Schedule'!$F$9))*12+MONTH($A351)-MONTH('Recurring Schedule'!$F$9),'Recurring Schedule'!$O$9)=0),IF('Recurring Schedule'!$E$9="Weekdays",WEEKDAY($A351,2)&lt;=5,$A351='Recurring Schedule'!$F$9))),4,""))))</f>
        <v/>
      </c>
      <c r="F351">
        <f>IF('Recurring Schedule'!$C$10="","",IF('Recurring Schedule'!$F$10="","",IF(OR($A351&lt;'Recurring Schedule'!$F$10,$A351&gt;'Recurring Schedule'!$P$10),"",IF(IF('Recurring Schedule'!$N$10&gt;0,MOD($A351-'Recurring Schedule'!$F$10,'Recurring Schedule'!$N$10)=0,IF('Recurring Schedule'!$O$10&gt;0,AND(DAY($A351)=MIN(DAY('Recurring Schedule'!$F$10),DAY(EOMONTH($A351,0))),MOD((YEAR($A351)-YEAR('Recurring Schedule'!$F$10))*12+MONTH($A351)-MONTH('Recurring Schedule'!$F$10),'Recurring Schedule'!$O$10)=0),IF('Recurring Schedule'!$E$10="Weekdays",WEEKDAY($A351,2)&lt;=5,$A351='Recurring Schedule'!$F$10))),5,""))))</f>
        <v/>
      </c>
      <c r="G351">
        <f>IF('Recurring Schedule'!$C$11="","",IF('Recurring Schedule'!$F$11="","",IF(OR($A351&lt;'Recurring Schedule'!$F$11,$A351&gt;'Recurring Schedule'!$P$11),"",IF(IF('Recurring Schedule'!$N$11&gt;0,MOD($A351-'Recurring Schedule'!$F$11,'Recurring Schedule'!$N$11)=0,IF('Recurring Schedule'!$O$11&gt;0,AND(DAY($A351)=MIN(DAY('Recurring Schedule'!$F$11),DAY(EOMONTH($A351,0))),MOD((YEAR($A351)-YEAR('Recurring Schedule'!$F$11))*12+MONTH($A351)-MONTH('Recurring Schedule'!$F$11),'Recurring Schedule'!$O$11)=0),IF('Recurring Schedule'!$E$11="Weekdays",WEEKDAY($A351,2)&lt;=5,$A351='Recurring Schedule'!$F$11))),6,""))))</f>
        <v/>
      </c>
      <c r="H351">
        <f>IF('Recurring Schedule'!$C$12="","",IF('Recurring Schedule'!$F$12="","",IF(OR($A351&lt;'Recurring Schedule'!$F$12,$A351&gt;'Recurring Schedule'!$P$12),"",IF(IF('Recurring Schedule'!$N$12&gt;0,MOD($A351-'Recurring Schedule'!$F$12,'Recurring Schedule'!$N$12)=0,IF('Recurring Schedule'!$O$12&gt;0,AND(DAY($A351)=MIN(DAY('Recurring Schedule'!$F$12),DAY(EOMONTH($A351,0))),MOD((YEAR($A351)-YEAR('Recurring Schedule'!$F$12))*12+MONTH($A351)-MONTH('Recurring Schedule'!$F$12),'Recurring Schedule'!$O$12)=0),IF('Recurring Schedule'!$E$12="Weekdays",WEEKDAY($A351,2)&lt;=5,$A351='Recurring Schedule'!$F$12))),7,""))))</f>
        <v/>
      </c>
      <c r="I351">
        <f>IF('Recurring Schedule'!$C$13="","",IF('Recurring Schedule'!$F$13="","",IF(OR($A351&lt;'Recurring Schedule'!$F$13,$A351&gt;'Recurring Schedule'!$P$13),"",IF(IF('Recurring Schedule'!$N$13&gt;0,MOD($A351-'Recurring Schedule'!$F$13,'Recurring Schedule'!$N$13)=0,IF('Recurring Schedule'!$O$13&gt;0,AND(DAY($A351)=MIN(DAY('Recurring Schedule'!$F$13),DAY(EOMONTH($A351,0))),MOD((YEAR($A351)-YEAR('Recurring Schedule'!$F$13))*12+MONTH($A351)-MONTH('Recurring Schedule'!$F$13),'Recurring Schedule'!$O$13)=0),IF('Recurring Schedule'!$E$13="Weekdays",WEEKDAY($A351,2)&lt;=5,$A351='Recurring Schedule'!$F$13))),8,""))))</f>
        <v/>
      </c>
      <c r="J351">
        <f>IF('Recurring Schedule'!$C$14="","",IF('Recurring Schedule'!$F$14="","",IF(OR($A351&lt;'Recurring Schedule'!$F$14,$A351&gt;'Recurring Schedule'!$P$14),"",IF(IF('Recurring Schedule'!$N$14&gt;0,MOD($A351-'Recurring Schedule'!$F$14,'Recurring Schedule'!$N$14)=0,IF('Recurring Schedule'!$O$14&gt;0,AND(DAY($A351)=MIN(DAY('Recurring Schedule'!$F$14),DAY(EOMONTH($A351,0))),MOD((YEAR($A351)-YEAR('Recurring Schedule'!$F$14))*12+MONTH($A351)-MONTH('Recurring Schedule'!$F$14),'Recurring Schedule'!$O$14)=0),IF('Recurring Schedule'!$E$14="Weekdays",WEEKDAY($A351,2)&lt;=5,$A351='Recurring Schedule'!$F$14))),9,""))))</f>
        <v/>
      </c>
      <c r="K351">
        <f>IF('Recurring Schedule'!$C$15="","",IF('Recurring Schedule'!$F$15="","",IF(OR($A351&lt;'Recurring Schedule'!$F$15,$A351&gt;'Recurring Schedule'!$P$15),"",IF(IF('Recurring Schedule'!$N$15&gt;0,MOD($A351-'Recurring Schedule'!$F$15,'Recurring Schedule'!$N$15)=0,IF('Recurring Schedule'!$O$15&gt;0,AND(DAY($A351)=MIN(DAY('Recurring Schedule'!$F$15),DAY(EOMONTH($A351,0))),MOD((YEAR($A351)-YEAR('Recurring Schedule'!$F$15))*12+MONTH($A351)-MONTH('Recurring Schedule'!$F$15),'Recurring Schedule'!$O$15)=0),IF('Recurring Schedule'!$E$15="Weekdays",WEEKDAY($A351,2)&lt;=5,$A351='Recurring Schedule'!$F$15))),10,""))))</f>
        <v/>
      </c>
      <c r="L351">
        <f>IF('Recurring Schedule'!$C$16="","",IF('Recurring Schedule'!$F$16="","",IF(OR($A351&lt;'Recurring Schedule'!$F$16,$A351&gt;'Recurring Schedule'!$P$16),"",IF(IF('Recurring Schedule'!$N$16&gt;0,MOD($A351-'Recurring Schedule'!$F$16,'Recurring Schedule'!$N$16)=0,IF('Recurring Schedule'!$O$16&gt;0,AND(DAY($A351)=MIN(DAY('Recurring Schedule'!$F$16),DAY(EOMONTH($A351,0))),MOD((YEAR($A351)-YEAR('Recurring Schedule'!$F$16))*12+MONTH($A351)-MONTH('Recurring Schedule'!$F$16),'Recurring Schedule'!$O$16)=0),IF('Recurring Schedule'!$E$16="Weekdays",WEEKDAY($A351,2)&lt;=5,$A351='Recurring Schedule'!$F$16))),11,""))))</f>
        <v/>
      </c>
      <c r="M351">
        <f>IF('Recurring Schedule'!$C$17="","",IF('Recurring Schedule'!$F$17="","",IF(OR($A351&lt;'Recurring Schedule'!$F$17,$A351&gt;'Recurring Schedule'!$P$17),"",IF(IF('Recurring Schedule'!$N$17&gt;0,MOD($A351-'Recurring Schedule'!$F$17,'Recurring Schedule'!$N$17)=0,IF('Recurring Schedule'!$O$17&gt;0,AND(DAY($A351)=MIN(DAY('Recurring Schedule'!$F$17),DAY(EOMONTH($A351,0))),MOD((YEAR($A351)-YEAR('Recurring Schedule'!$F$17))*12+MONTH($A351)-MONTH('Recurring Schedule'!$F$17),'Recurring Schedule'!$O$17)=0),IF('Recurring Schedule'!$E$17="Weekdays",WEEKDAY($A351,2)&lt;=5,$A351='Recurring Schedule'!$F$17))),12,""))))</f>
        <v/>
      </c>
      <c r="N351">
        <f>IF('Recurring Schedule'!$C$18="","",IF('Recurring Schedule'!$F$18="","",IF(OR($A351&lt;'Recurring Schedule'!$F$18,$A351&gt;'Recurring Schedule'!$P$18),"",IF(IF('Recurring Schedule'!$N$18&gt;0,MOD($A351-'Recurring Schedule'!$F$18,'Recurring Schedule'!$N$18)=0,IF('Recurring Schedule'!$O$18&gt;0,AND(DAY($A351)=MIN(DAY('Recurring Schedule'!$F$18),DAY(EOMONTH($A351,0))),MOD((YEAR($A351)-YEAR('Recurring Schedule'!$F$18))*12+MONTH($A351)-MONTH('Recurring Schedule'!$F$18),'Recurring Schedule'!$O$18)=0),IF('Recurring Schedule'!$E$18="Weekdays",WEEKDAY($A351,2)&lt;=5,$A351='Recurring Schedule'!$F$18))),13,""))))</f>
        <v/>
      </c>
      <c r="O351">
        <f>IF('Recurring Schedule'!$C$19="","",IF('Recurring Schedule'!$F$19="","",IF(OR($A351&lt;'Recurring Schedule'!$F$19,$A351&gt;'Recurring Schedule'!$P$19),"",IF(IF('Recurring Schedule'!$N$19&gt;0,MOD($A351-'Recurring Schedule'!$F$19,'Recurring Schedule'!$N$19)=0,IF('Recurring Schedule'!$O$19&gt;0,AND(DAY($A351)=MIN(DAY('Recurring Schedule'!$F$19),DAY(EOMONTH($A351,0))),MOD((YEAR($A351)-YEAR('Recurring Schedule'!$F$19))*12+MONTH($A351)-MONTH('Recurring Schedule'!$F$19),'Recurring Schedule'!$O$19)=0),IF('Recurring Schedule'!$E$19="Weekdays",WEEKDAY($A351,2)&lt;=5,$A351='Recurring Schedule'!$F$19))),14,""))))</f>
        <v/>
      </c>
      <c r="P351">
        <f>IF('Recurring Schedule'!$C$20="","",IF('Recurring Schedule'!$F$20="","",IF(OR($A351&lt;'Recurring Schedule'!$F$20,$A351&gt;'Recurring Schedule'!$P$20),"",IF(IF('Recurring Schedule'!$N$20&gt;0,MOD($A351-'Recurring Schedule'!$F$20,'Recurring Schedule'!$N$20)=0,IF('Recurring Schedule'!$O$20&gt;0,AND(DAY($A351)=MIN(DAY('Recurring Schedule'!$F$20),DAY(EOMONTH($A351,0))),MOD((YEAR($A351)-YEAR('Recurring Schedule'!$F$20))*12+MONTH($A351)-MONTH('Recurring Schedule'!$F$20),'Recurring Schedule'!$O$20)=0),IF('Recurring Schedule'!$E$20="Weekdays",WEEKDAY($A351,2)&lt;=5,$A351='Recurring Schedule'!$F$20))),15,""))))</f>
        <v/>
      </c>
      <c r="Q351">
        <f>IF('Recurring Schedule'!$C$21="","",IF('Recurring Schedule'!$F$21="","",IF(OR($A351&lt;'Recurring Schedule'!$F$21,$A351&gt;'Recurring Schedule'!$P$21),"",IF(IF('Recurring Schedule'!$N$21&gt;0,MOD($A351-'Recurring Schedule'!$F$21,'Recurring Schedule'!$N$21)=0,IF('Recurring Schedule'!$O$21&gt;0,AND(DAY($A351)=MIN(DAY('Recurring Schedule'!$F$21),DAY(EOMONTH($A351,0))),MOD((YEAR($A351)-YEAR('Recurring Schedule'!$F$21))*12+MONTH($A351)-MONTH('Recurring Schedule'!$F$21),'Recurring Schedule'!$O$21)=0),IF('Recurring Schedule'!$E$21="Weekdays",WEEKDAY($A351,2)&lt;=5,$A351='Recurring Schedule'!$F$21))),16,""))))</f>
        <v/>
      </c>
      <c r="R351">
        <f>IF('Recurring Schedule'!$C$22="","",IF('Recurring Schedule'!$F$22="","",IF(OR($A351&lt;'Recurring Schedule'!$F$22,$A351&gt;'Recurring Schedule'!$P$22),"",IF(IF('Recurring Schedule'!$N$22&gt;0,MOD($A351-'Recurring Schedule'!$F$22,'Recurring Schedule'!$N$22)=0,IF('Recurring Schedule'!$O$22&gt;0,AND(DAY($A351)=MIN(DAY('Recurring Schedule'!$F$22),DAY(EOMONTH($A351,0))),MOD((YEAR($A351)-YEAR('Recurring Schedule'!$F$22))*12+MONTH($A351)-MONTH('Recurring Schedule'!$F$22),'Recurring Schedule'!$O$22)=0),IF('Recurring Schedule'!$E$22="Weekdays",WEEKDAY($A351,2)&lt;=5,$A351='Recurring Schedule'!$F$22))),17,""))))</f>
        <v/>
      </c>
      <c r="S351">
        <f>IF('Recurring Schedule'!$C$23="","",IF('Recurring Schedule'!$F$23="","",IF(OR($A351&lt;'Recurring Schedule'!$F$23,$A351&gt;'Recurring Schedule'!$P$23),"",IF(IF('Recurring Schedule'!$N$23&gt;0,MOD($A351-'Recurring Schedule'!$F$23,'Recurring Schedule'!$N$23)=0,IF('Recurring Schedule'!$O$23&gt;0,AND(DAY($A351)=MIN(DAY('Recurring Schedule'!$F$23),DAY(EOMONTH($A351,0))),MOD((YEAR($A351)-YEAR('Recurring Schedule'!$F$23))*12+MONTH($A351)-MONTH('Recurring Schedule'!$F$23),'Recurring Schedule'!$O$23)=0),IF('Recurring Schedule'!$E$23="Weekdays",WEEKDAY($A351,2)&lt;=5,$A351='Recurring Schedule'!$F$23))),18,""))))</f>
        <v/>
      </c>
      <c r="T351">
        <f>IF('Recurring Schedule'!$C$24="","",IF('Recurring Schedule'!$F$24="","",IF(OR($A351&lt;'Recurring Schedule'!$F$24,$A351&gt;'Recurring Schedule'!$P$24),"",IF(IF('Recurring Schedule'!$N$24&gt;0,MOD($A351-'Recurring Schedule'!$F$24,'Recurring Schedule'!$N$24)=0,IF('Recurring Schedule'!$O$24&gt;0,AND(DAY($A351)=MIN(DAY('Recurring Schedule'!$F$24),DAY(EOMONTH($A351,0))),MOD((YEAR($A351)-YEAR('Recurring Schedule'!$F$24))*12+MONTH($A351)-MONTH('Recurring Schedule'!$F$24),'Recurring Schedule'!$O$24)=0),IF('Recurring Schedule'!$E$24="Weekdays",WEEKDAY($A351,2)&lt;=5,$A351='Recurring Schedule'!$F$24))),19,""))))</f>
        <v/>
      </c>
      <c r="U351">
        <f>IF('Recurring Schedule'!$C$25="","",IF('Recurring Schedule'!$F$25="","",IF(OR($A351&lt;'Recurring Schedule'!$F$25,$A351&gt;'Recurring Schedule'!$P$25),"",IF(IF('Recurring Schedule'!$N$25&gt;0,MOD($A351-'Recurring Schedule'!$F$25,'Recurring Schedule'!$N$25)=0,IF('Recurring Schedule'!$O$25&gt;0,AND(DAY($A351)=MIN(DAY('Recurring Schedule'!$F$25),DAY(EOMONTH($A351,0))),MOD((YEAR($A351)-YEAR('Recurring Schedule'!$F$25))*12+MONTH($A351)-MONTH('Recurring Schedule'!$F$25),'Recurring Schedule'!$O$25)=0),IF('Recurring Schedule'!$E$25="Weekdays",WEEKDAY($A351,2)&lt;=5,$A351='Recurring Schedule'!$F$25))),20,""))))</f>
        <v/>
      </c>
      <c r="V351">
        <f>IF('Recurring Schedule'!$C$26="","",IF('Recurring Schedule'!$F$26="","",IF(OR($A351&lt;'Recurring Schedule'!$F$26,$A351&gt;'Recurring Schedule'!$P$26),"",IF(IF('Recurring Schedule'!$N$26&gt;0,MOD($A351-'Recurring Schedule'!$F$26,'Recurring Schedule'!$N$26)=0,IF('Recurring Schedule'!$O$26&gt;0,AND(DAY($A351)=MIN(DAY('Recurring Schedule'!$F$26),DAY(EOMONTH($A351,0))),MOD((YEAR($A351)-YEAR('Recurring Schedule'!$F$26))*12+MONTH($A351)-MONTH('Recurring Schedule'!$F$26),'Recurring Schedule'!$O$26)=0),IF('Recurring Schedule'!$E$26="Weekdays",WEEKDAY($A351,2)&lt;=5,$A351='Recurring Schedule'!$F$26))),21,""))))</f>
        <v/>
      </c>
      <c r="W351">
        <f>IF('Recurring Schedule'!$C$27="","",IF('Recurring Schedule'!$F$27="","",IF(OR($A351&lt;'Recurring Schedule'!$F$27,$A351&gt;'Recurring Schedule'!$P$27),"",IF(IF('Recurring Schedule'!$N$27&gt;0,MOD($A351-'Recurring Schedule'!$F$27,'Recurring Schedule'!$N$27)=0,IF('Recurring Schedule'!$O$27&gt;0,AND(DAY($A351)=MIN(DAY('Recurring Schedule'!$F$27),DAY(EOMONTH($A351,0))),MOD((YEAR($A351)-YEAR('Recurring Schedule'!$F$27))*12+MONTH($A351)-MONTH('Recurring Schedule'!$F$27),'Recurring Schedule'!$O$27)=0),IF('Recurring Schedule'!$E$27="Weekdays",WEEKDAY($A351,2)&lt;=5,$A351='Recurring Schedule'!$F$27))),22,""))))</f>
        <v/>
      </c>
      <c r="X351">
        <f>IF('Recurring Schedule'!$C$28="","",IF('Recurring Schedule'!$F$28="","",IF(OR($A351&lt;'Recurring Schedule'!$F$28,$A351&gt;'Recurring Schedule'!$P$28),"",IF(IF('Recurring Schedule'!$N$28&gt;0,MOD($A351-'Recurring Schedule'!$F$28,'Recurring Schedule'!$N$28)=0,IF('Recurring Schedule'!$O$28&gt;0,AND(DAY($A351)=MIN(DAY('Recurring Schedule'!$F$28),DAY(EOMONTH($A351,0))),MOD((YEAR($A351)-YEAR('Recurring Schedule'!$F$28))*12+MONTH($A351)-MONTH('Recurring Schedule'!$F$28),'Recurring Schedule'!$O$28)=0),IF('Recurring Schedule'!$E$28="Weekdays",WEEKDAY($A351,2)&lt;=5,$A351='Recurring Schedule'!$F$28))),23,""))))</f>
        <v/>
      </c>
      <c r="Y351">
        <f>IF('Recurring Schedule'!$C$29="","",IF('Recurring Schedule'!$F$29="","",IF(OR($A351&lt;'Recurring Schedule'!$F$29,$A351&gt;'Recurring Schedule'!$P$29),"",IF(IF('Recurring Schedule'!$N$29&gt;0,MOD($A351-'Recurring Schedule'!$F$29,'Recurring Schedule'!$N$29)=0,IF('Recurring Schedule'!$O$29&gt;0,AND(DAY($A351)=MIN(DAY('Recurring Schedule'!$F$29),DAY(EOMONTH($A351,0))),MOD((YEAR($A351)-YEAR('Recurring Schedule'!$F$29))*12+MONTH($A351)-MONTH('Recurring Schedule'!$F$29),'Recurring Schedule'!$O$29)=0),IF('Recurring Schedule'!$E$29="Weekdays",WEEKDAY($A351,2)&lt;=5,$A351='Recurring Schedule'!$F$29))),24,""))))</f>
        <v/>
      </c>
      <c r="Z351">
        <f>IF('Recurring Schedule'!$C$30="","",IF('Recurring Schedule'!$F$30="","",IF(OR($A351&lt;'Recurring Schedule'!$F$30,$A351&gt;'Recurring Schedule'!$P$30),"",IF(IF('Recurring Schedule'!$N$30&gt;0,MOD($A351-'Recurring Schedule'!$F$30,'Recurring Schedule'!$N$30)=0,IF('Recurring Schedule'!$O$30&gt;0,AND(DAY($A351)=MIN(DAY('Recurring Schedule'!$F$30),DAY(EOMONTH($A351,0))),MOD((YEAR($A351)-YEAR('Recurring Schedule'!$F$30))*12+MONTH($A351)-MONTH('Recurring Schedule'!$F$30),'Recurring Schedule'!$O$30)=0),IF('Recurring Schedule'!$E$30="Weekdays",WEEKDAY($A351,2)&lt;=5,$A351='Recurring Schedule'!$F$30))),25,""))))</f>
        <v/>
      </c>
      <c r="AA351">
        <f>IF('Recurring Schedule'!$C$31="","",IF('Recurring Schedule'!$F$31="","",IF(OR($A351&lt;'Recurring Schedule'!$F$31,$A351&gt;'Recurring Schedule'!$P$31),"",IF(IF('Recurring Schedule'!$N$31&gt;0,MOD($A351-'Recurring Schedule'!$F$31,'Recurring Schedule'!$N$31)=0,IF('Recurring Schedule'!$O$31&gt;0,AND(DAY($A351)=MIN(DAY('Recurring Schedule'!$F$31),DAY(EOMONTH($A351,0))),MOD((YEAR($A351)-YEAR('Recurring Schedule'!$F$31))*12+MONTH($A351)-MONTH('Recurring Schedule'!$F$31),'Recurring Schedule'!$O$31)=0),IF('Recurring Schedule'!$E$31="Weekdays",WEEKDAY($A351,2)&lt;=5,$A351='Recurring Schedule'!$F$31))),26,""))))</f>
        <v/>
      </c>
      <c r="AB351">
        <f>IF('Recurring Schedule'!$C$32="","",IF('Recurring Schedule'!$F$32="","",IF(OR($A351&lt;'Recurring Schedule'!$F$32,$A351&gt;'Recurring Schedule'!$P$32),"",IF(IF('Recurring Schedule'!$N$32&gt;0,MOD($A351-'Recurring Schedule'!$F$32,'Recurring Schedule'!$N$32)=0,IF('Recurring Schedule'!$O$32&gt;0,AND(DAY($A351)=MIN(DAY('Recurring Schedule'!$F$32),DAY(EOMONTH($A351,0))),MOD((YEAR($A351)-YEAR('Recurring Schedule'!$F$32))*12+MONTH($A351)-MONTH('Recurring Schedule'!$F$32),'Recurring Schedule'!$O$32)=0),IF('Recurring Schedule'!$E$32="Weekdays",WEEKDAY($A351,2)&lt;=5,$A351='Recurring Schedule'!$F$32))),27,""))))</f>
        <v/>
      </c>
      <c r="AC351">
        <f>IF('Recurring Schedule'!$C$33="","",IF('Recurring Schedule'!$F$33="","",IF(OR($A351&lt;'Recurring Schedule'!$F$33,$A351&gt;'Recurring Schedule'!$P$33),"",IF(IF('Recurring Schedule'!$N$33&gt;0,MOD($A351-'Recurring Schedule'!$F$33,'Recurring Schedule'!$N$33)=0,IF('Recurring Schedule'!$O$33&gt;0,AND(DAY($A351)=MIN(DAY('Recurring Schedule'!$F$33),DAY(EOMONTH($A351,0))),MOD((YEAR($A351)-YEAR('Recurring Schedule'!$F$33))*12+MONTH($A351)-MONTH('Recurring Schedule'!$F$33),'Recurring Schedule'!$O$33)=0),IF('Recurring Schedule'!$E$33="Weekdays",WEEKDAY($A351,2)&lt;=5,$A351='Recurring Schedule'!$F$33))),28,""))))</f>
        <v/>
      </c>
      <c r="AD351">
        <f>IF('Recurring Schedule'!$C$34="","",IF('Recurring Schedule'!$F$34="","",IF(OR($A351&lt;'Recurring Schedule'!$F$34,$A351&gt;'Recurring Schedule'!$P$34),"",IF(IF('Recurring Schedule'!$N$34&gt;0,MOD($A351-'Recurring Schedule'!$F$34,'Recurring Schedule'!$N$34)=0,IF('Recurring Schedule'!$O$34&gt;0,AND(DAY($A351)=MIN(DAY('Recurring Schedule'!$F$34),DAY(EOMONTH($A351,0))),MOD((YEAR($A351)-YEAR('Recurring Schedule'!$F$34))*12+MONTH($A351)-MONTH('Recurring Schedule'!$F$34),'Recurring Schedule'!$O$34)=0),IF('Recurring Schedule'!$E$34="Weekdays",WEEKDAY($A351,2)&lt;=5,$A351='Recurring Schedule'!$F$34))),29,""))))</f>
        <v/>
      </c>
      <c r="AE351">
        <f>IF('Recurring Schedule'!$C$35="","",IF('Recurring Schedule'!$F$35="","",IF(OR($A351&lt;'Recurring Schedule'!$F$35,$A351&gt;'Recurring Schedule'!$P$35),"",IF(IF('Recurring Schedule'!$N$35&gt;0,MOD($A351-'Recurring Schedule'!$F$35,'Recurring Schedule'!$N$35)=0,IF('Recurring Schedule'!$O$35&gt;0,AND(DAY($A351)=MIN(DAY('Recurring Schedule'!$F$35),DAY(EOMONTH($A351,0))),MOD((YEAR($A351)-YEAR('Recurring Schedule'!$F$35))*12+MONTH($A351)-MONTH('Recurring Schedule'!$F$35),'Recurring Schedule'!$O$35)=0),IF('Recurring Schedule'!$E$35="Weekdays",WEEKDAY($A351,2)&lt;=5,$A351='Recurring Schedule'!$F$35))),30,""))))</f>
        <v/>
      </c>
      <c r="AF351">
        <f>IF('Recurring Schedule'!$C$36="","",IF('Recurring Schedule'!$F$36="","",IF(OR($A351&lt;'Recurring Schedule'!$F$36,$A351&gt;'Recurring Schedule'!$P$36),"",IF(IF('Recurring Schedule'!$N$36&gt;0,MOD($A351-'Recurring Schedule'!$F$36,'Recurring Schedule'!$N$36)=0,IF('Recurring Schedule'!$O$36&gt;0,AND(DAY($A351)=MIN(DAY('Recurring Schedule'!$F$36),DAY(EOMONTH($A351,0))),MOD((YEAR($A351)-YEAR('Recurring Schedule'!$F$36))*12+MONTH($A351)-MONTH('Recurring Schedule'!$F$36),'Recurring Schedule'!$O$36)=0),IF('Recurring Schedule'!$E$36="Weekdays",WEEKDAY($A351,2)&lt;=5,$A351='Recurring Schedule'!$F$36))),31,""))))</f>
        <v/>
      </c>
      <c r="AG351">
        <f>IF('Recurring Schedule'!$C$37="","",IF('Recurring Schedule'!$F$37="","",IF(OR($A351&lt;'Recurring Schedule'!$F$37,$A351&gt;'Recurring Schedule'!$P$37),"",IF(IF('Recurring Schedule'!$N$37&gt;0,MOD($A351-'Recurring Schedule'!$F$37,'Recurring Schedule'!$N$37)=0,IF('Recurring Schedule'!$O$37&gt;0,AND(DAY($A351)=MIN(DAY('Recurring Schedule'!$F$37),DAY(EOMONTH($A351,0))),MOD((YEAR($A351)-YEAR('Recurring Schedule'!$F$37))*12+MONTH($A351)-MONTH('Recurring Schedule'!$F$37),'Recurring Schedule'!$O$37)=0),IF('Recurring Schedule'!$E$37="Weekdays",WEEKDAY($A351,2)&lt;=5,$A351='Recurring Schedule'!$F$37))),32,""))))</f>
        <v/>
      </c>
      <c r="AH351">
        <f>IF('Recurring Schedule'!$C$38="","",IF('Recurring Schedule'!$F$38="","",IF(OR($A351&lt;'Recurring Schedule'!$F$38,$A351&gt;'Recurring Schedule'!$P$38),"",IF(IF('Recurring Schedule'!$N$38&gt;0,MOD($A351-'Recurring Schedule'!$F$38,'Recurring Schedule'!$N$38)=0,IF('Recurring Schedule'!$O$38&gt;0,AND(DAY($A351)=MIN(DAY('Recurring Schedule'!$F$38),DAY(EOMONTH($A351,0))),MOD((YEAR($A351)-YEAR('Recurring Schedule'!$F$38))*12+MONTH($A351)-MONTH('Recurring Schedule'!$F$38),'Recurring Schedule'!$O$38)=0),IF('Recurring Schedule'!$E$38="Weekdays",WEEKDAY($A351,2)&lt;=5,$A351='Recurring Schedule'!$F$38))),33,""))))</f>
        <v/>
      </c>
      <c r="AI351">
        <f>IF('Recurring Schedule'!$C$39="","",IF('Recurring Schedule'!$F$39="","",IF(OR($A351&lt;'Recurring Schedule'!$F$39,$A351&gt;'Recurring Schedule'!$P$39),"",IF(IF('Recurring Schedule'!$N$39&gt;0,MOD($A351-'Recurring Schedule'!$F$39,'Recurring Schedule'!$N$39)=0,IF('Recurring Schedule'!$O$39&gt;0,AND(DAY($A351)=MIN(DAY('Recurring Schedule'!$F$39),DAY(EOMONTH($A351,0))),MOD((YEAR($A351)-YEAR('Recurring Schedule'!$F$39))*12+MONTH($A351)-MONTH('Recurring Schedule'!$F$39),'Recurring Schedule'!$O$39)=0),IF('Recurring Schedule'!$E$39="Weekdays",WEEKDAY($A351,2)&lt;=5,$A351='Recurring Schedule'!$F$39))),34,""))))</f>
        <v/>
      </c>
      <c r="AJ351">
        <f>IF('Recurring Schedule'!$C$40="","",IF('Recurring Schedule'!$F$40="","",IF(OR($A351&lt;'Recurring Schedule'!$F$40,$A351&gt;'Recurring Schedule'!$P$40),"",IF(IF('Recurring Schedule'!$N$40&gt;0,MOD($A351-'Recurring Schedule'!$F$40,'Recurring Schedule'!$N$40)=0,IF('Recurring Schedule'!$O$40&gt;0,AND(DAY($A351)=MIN(DAY('Recurring Schedule'!$F$40),DAY(EOMONTH($A351,0))),MOD((YEAR($A351)-YEAR('Recurring Schedule'!$F$40))*12+MONTH($A351)-MONTH('Recurring Schedule'!$F$40),'Recurring Schedule'!$O$40)=0),IF('Recurring Schedule'!$E$40="Weekdays",WEEKDAY($A351,2)&lt;=5,$A351='Recurring Schedule'!$F$40))),35,""))))</f>
        <v/>
      </c>
      <c r="AK351">
        <f>IF('Recurring Schedule'!$C$41="","",IF('Recurring Schedule'!$F$41="","",IF(OR($A351&lt;'Recurring Schedule'!$F$41,$A351&gt;'Recurring Schedule'!$P$41),"",IF(IF('Recurring Schedule'!$N$41&gt;0,MOD($A351-'Recurring Schedule'!$F$41,'Recurring Schedule'!$N$41)=0,IF('Recurring Schedule'!$O$41&gt;0,AND(DAY($A351)=MIN(DAY('Recurring Schedule'!$F$41),DAY(EOMONTH($A351,0))),MOD((YEAR($A351)-YEAR('Recurring Schedule'!$F$41))*12+MONTH($A351)-MONTH('Recurring Schedule'!$F$41),'Recurring Schedule'!$O$41)=0),IF('Recurring Schedule'!$E$41="Weekdays",WEEKDAY($A351,2)&lt;=5,$A351='Recurring Schedule'!$F$41))),36,""))))</f>
        <v/>
      </c>
      <c r="AL351">
        <f>IF('Recurring Schedule'!$C$42="","",IF('Recurring Schedule'!$F$42="","",IF(OR($A351&lt;'Recurring Schedule'!$F$42,$A351&gt;'Recurring Schedule'!$P$42),"",IF(IF('Recurring Schedule'!$N$42&gt;0,MOD($A351-'Recurring Schedule'!$F$42,'Recurring Schedule'!$N$42)=0,IF('Recurring Schedule'!$O$42&gt;0,AND(DAY($A351)=MIN(DAY('Recurring Schedule'!$F$42),DAY(EOMONTH($A351,0))),MOD((YEAR($A351)-YEAR('Recurring Schedule'!$F$42))*12+MONTH($A351)-MONTH('Recurring Schedule'!$F$42),'Recurring Schedule'!$O$42)=0),IF('Recurring Schedule'!$E$42="Weekdays",WEEKDAY($A351,2)&lt;=5,$A351='Recurring Schedule'!$F$42))),37,""))))</f>
        <v/>
      </c>
      <c r="AM351">
        <f>IF('Recurring Schedule'!$C$43="","",IF('Recurring Schedule'!$F$43="","",IF(OR($A351&lt;'Recurring Schedule'!$F$43,$A351&gt;'Recurring Schedule'!$P$43),"",IF(IF('Recurring Schedule'!$N$43&gt;0,MOD($A351-'Recurring Schedule'!$F$43,'Recurring Schedule'!$N$43)=0,IF('Recurring Schedule'!$O$43&gt;0,AND(DAY($A351)=MIN(DAY('Recurring Schedule'!$F$43),DAY(EOMONTH($A351,0))),MOD((YEAR($A351)-YEAR('Recurring Schedule'!$F$43))*12+MONTH($A351)-MONTH('Recurring Schedule'!$F$43),'Recurring Schedule'!$O$43)=0),IF('Recurring Schedule'!$E$43="Weekdays",WEEKDAY($A351,2)&lt;=5,$A351='Recurring Schedule'!$F$43))),38,""))))</f>
        <v/>
      </c>
      <c r="AN351">
        <f>IF('Recurring Schedule'!$C$44="","",IF('Recurring Schedule'!$F$44="","",IF(OR($A351&lt;'Recurring Schedule'!$F$44,$A351&gt;'Recurring Schedule'!$P$44),"",IF(IF('Recurring Schedule'!$N$44&gt;0,MOD($A351-'Recurring Schedule'!$F$44,'Recurring Schedule'!$N$44)=0,IF('Recurring Schedule'!$O$44&gt;0,AND(DAY($A351)=MIN(DAY('Recurring Schedule'!$F$44),DAY(EOMONTH($A351,0))),MOD((YEAR($A351)-YEAR('Recurring Schedule'!$F$44))*12+MONTH($A351)-MONTH('Recurring Schedule'!$F$44),'Recurring Schedule'!$O$44)=0),IF('Recurring Schedule'!$E$44="Weekdays",WEEKDAY($A351,2)&lt;=5,$A351='Recurring Schedule'!$F$44))),39,""))))</f>
        <v/>
      </c>
      <c r="AO351">
        <f>IF('Recurring Schedule'!$C$45="","",IF('Recurring Schedule'!$F$45="","",IF(OR($A351&lt;'Recurring Schedule'!$F$45,$A351&gt;'Recurring Schedule'!$P$45),"",IF(IF('Recurring Schedule'!$N$45&gt;0,MOD($A351-'Recurring Schedule'!$F$45,'Recurring Schedule'!$N$45)=0,IF('Recurring Schedule'!$O$45&gt;0,AND(DAY($A351)=MIN(DAY('Recurring Schedule'!$F$45),DAY(EOMONTH($A351,0))),MOD((YEAR($A351)-YEAR('Recurring Schedule'!$F$45))*12+MONTH($A351)-MONTH('Recurring Schedule'!$F$45),'Recurring Schedule'!$O$45)=0),IF('Recurring Schedule'!$E$45="Weekdays",WEEKDAY($A351,2)&lt;=5,$A351='Recurring Schedule'!$F$45))),40,""))))</f>
        <v/>
      </c>
      <c r="AP351">
        <f>COUNT(B351:AO351)</f>
        <v/>
      </c>
      <c r="AQ351">
        <f>AQ350+AP350</f>
        <v/>
      </c>
      <c r="AS351" t="inlineStr">
        <is>
          <t>R</t>
        </is>
      </c>
      <c r="AT351" t="n">
        <v>355</v>
      </c>
      <c r="AU351">
        <f>'Recurring Log'!C355&amp;""</f>
        <v/>
      </c>
      <c r="AV351">
        <f>'Recurring Log'!D355&amp;""</f>
        <v/>
      </c>
      <c r="AW351">
        <f>IF('Recurring Log'!E355="","",'Recurring Log'!E355)</f>
        <v/>
      </c>
      <c r="AX351">
        <f>IF('Recurring Log'!G355="","",'Recurring Log'!G355)</f>
        <v/>
      </c>
      <c r="AY351">
        <f>IF('Recurring Log'!H355="","",'Recurring Log'!H355)</f>
        <v/>
      </c>
      <c r="AZ351">
        <f>IF(AU351="","",IF('Recurring Log'!J355="","Not Started",'Recurring Log'!J355))</f>
        <v/>
      </c>
      <c r="BA351">
        <f>'Recurring Log'!L355&amp;""</f>
        <v/>
      </c>
      <c r="BB351">
        <f>'Recurring Log'!M355&amp;""</f>
        <v/>
      </c>
      <c r="BC351">
        <f>'Recurring Log'!N355&amp;""</f>
        <v/>
      </c>
      <c r="BD351">
        <f>'Recurring Log'!O355&amp;""</f>
        <v/>
      </c>
      <c r="BE351">
        <f>IF('Recurring Log'!K355="","",'Recurring Log'!K355)</f>
        <v/>
      </c>
      <c r="BF351">
        <f>IFERROR(MATCH(BA351,Setup!$L$6:$L$9,0),5)</f>
        <v/>
      </c>
      <c r="BG351">
        <f>IF(OR(AZ351="Done",AZ351="Cancelled"),1,0)</f>
        <v/>
      </c>
      <c r="BH351">
        <f>IF(AND(AU351&lt;&gt;"",ISNUMBER(AW351)),1,0)</f>
        <v/>
      </c>
      <c r="BI351">
        <f>IF(BH351=0,0,IF(AND(AW351&gt;='Tasks Filter'!$F$3,AW351&lt;='Tasks Filter'!$F$4,OR('Tasks Filter'!$I$3="",ISNUMBER(SEARCH('Tasks Filter'!$I$3,AU351))),OR('Tasks Filter'!$I$4="",BF351=IFERROR(MATCH('Tasks Filter'!$I$4,Setup!$L$6:$L$9,0),0)),OR('Tasks Filter'!$I$5="Both",AND('Tasks Filter'!$I$5="Yes",BB351="✓"),AND('Tasks Filter'!$I$5="No",BB351&lt;&gt;"✓")),OR('Tasks Filter'!$L$3="",AV351='Tasks Filter'!$L$3),OR('Tasks Filter'!$L$4="",AZ351='Tasks Filter'!$L$4),OR('Tasks Filter'!$L$5="",BC351='Tasks Filter'!$L$5),OR('Tasks Filter'!$O$3="",BD351='Tasks Filter'!$O$3),OR('Tasks Filter'!$O$4="Yes",BG351=0)),1,0))</f>
        <v/>
      </c>
      <c r="BJ351">
        <f>IF(BH351=0,"",IF('Tasks Filter'!$F$6="Descending",-1,1)*CHOOSE(MATCH('Tasks Filter'!$F$5,Lists!$G$2:$G$6,0),AW351,BF351,IFERROR(MATCH(AV351,Setup!$F$6:$F$15,0),99),IFERROR(MATCH(BC351,Setup!$H$6:$H$15,0),99),IFERROR(MATCH(AZ351,Setup!$J$6:$J$11,0),99))*1E+9+(AW351-40000)*10000+350)</f>
        <v/>
      </c>
      <c r="BK351">
        <f>IF(BI351=1,BJ351,"")</f>
        <v/>
      </c>
      <c r="BL351">
        <f>IF(AND(BH351=1,BG351=0,N(AW351)&lt;Setup!$D$7),(AW351-40000)*10000+350,"")</f>
        <v/>
      </c>
      <c r="BM351">
        <f>IF(AND(BH351=1,AZ351&lt;&gt;"Cancelled",N(AW351)&gt;=Dashboard!$AB$3,N(AW351)&lt;=Dashboard!$AB$3+6),(AW351-40000)*100000+BF351*10000+350,"")</f>
        <v/>
      </c>
      <c r="BN351">
        <f>IF(AND(BH351=1,AZ351&lt;&gt;"Cancelled"),BF351*10000+350,"")</f>
        <v/>
      </c>
    </row>
    <row r="352">
      <c r="A352">
        <f>Setup!$D$5+350</f>
        <v/>
      </c>
      <c r="B352">
        <f>IF('Recurring Schedule'!$C$6="","",IF('Recurring Schedule'!$F$6="","",IF(OR($A352&lt;'Recurring Schedule'!$F$6,$A352&gt;'Recurring Schedule'!$P$6),"",IF(IF('Recurring Schedule'!$N$6&gt;0,MOD($A352-'Recurring Schedule'!$F$6,'Recurring Schedule'!$N$6)=0,IF('Recurring Schedule'!$O$6&gt;0,AND(DAY($A352)=MIN(DAY('Recurring Schedule'!$F$6),DAY(EOMONTH($A352,0))),MOD((YEAR($A352)-YEAR('Recurring Schedule'!$F$6))*12+MONTH($A352)-MONTH('Recurring Schedule'!$F$6),'Recurring Schedule'!$O$6)=0),IF('Recurring Schedule'!$E$6="Weekdays",WEEKDAY($A352,2)&lt;=5,$A352='Recurring Schedule'!$F$6))),1,""))))</f>
        <v/>
      </c>
      <c r="C352">
        <f>IF('Recurring Schedule'!$C$7="","",IF('Recurring Schedule'!$F$7="","",IF(OR($A352&lt;'Recurring Schedule'!$F$7,$A352&gt;'Recurring Schedule'!$P$7),"",IF(IF('Recurring Schedule'!$N$7&gt;0,MOD($A352-'Recurring Schedule'!$F$7,'Recurring Schedule'!$N$7)=0,IF('Recurring Schedule'!$O$7&gt;0,AND(DAY($A352)=MIN(DAY('Recurring Schedule'!$F$7),DAY(EOMONTH($A352,0))),MOD((YEAR($A352)-YEAR('Recurring Schedule'!$F$7))*12+MONTH($A352)-MONTH('Recurring Schedule'!$F$7),'Recurring Schedule'!$O$7)=0),IF('Recurring Schedule'!$E$7="Weekdays",WEEKDAY($A352,2)&lt;=5,$A352='Recurring Schedule'!$F$7))),2,""))))</f>
        <v/>
      </c>
      <c r="D352">
        <f>IF('Recurring Schedule'!$C$8="","",IF('Recurring Schedule'!$F$8="","",IF(OR($A352&lt;'Recurring Schedule'!$F$8,$A352&gt;'Recurring Schedule'!$P$8),"",IF(IF('Recurring Schedule'!$N$8&gt;0,MOD($A352-'Recurring Schedule'!$F$8,'Recurring Schedule'!$N$8)=0,IF('Recurring Schedule'!$O$8&gt;0,AND(DAY($A352)=MIN(DAY('Recurring Schedule'!$F$8),DAY(EOMONTH($A352,0))),MOD((YEAR($A352)-YEAR('Recurring Schedule'!$F$8))*12+MONTH($A352)-MONTH('Recurring Schedule'!$F$8),'Recurring Schedule'!$O$8)=0),IF('Recurring Schedule'!$E$8="Weekdays",WEEKDAY($A352,2)&lt;=5,$A352='Recurring Schedule'!$F$8))),3,""))))</f>
        <v/>
      </c>
      <c r="E352">
        <f>IF('Recurring Schedule'!$C$9="","",IF('Recurring Schedule'!$F$9="","",IF(OR($A352&lt;'Recurring Schedule'!$F$9,$A352&gt;'Recurring Schedule'!$P$9),"",IF(IF('Recurring Schedule'!$N$9&gt;0,MOD($A352-'Recurring Schedule'!$F$9,'Recurring Schedule'!$N$9)=0,IF('Recurring Schedule'!$O$9&gt;0,AND(DAY($A352)=MIN(DAY('Recurring Schedule'!$F$9),DAY(EOMONTH($A352,0))),MOD((YEAR($A352)-YEAR('Recurring Schedule'!$F$9))*12+MONTH($A352)-MONTH('Recurring Schedule'!$F$9),'Recurring Schedule'!$O$9)=0),IF('Recurring Schedule'!$E$9="Weekdays",WEEKDAY($A352,2)&lt;=5,$A352='Recurring Schedule'!$F$9))),4,""))))</f>
        <v/>
      </c>
      <c r="F352">
        <f>IF('Recurring Schedule'!$C$10="","",IF('Recurring Schedule'!$F$10="","",IF(OR($A352&lt;'Recurring Schedule'!$F$10,$A352&gt;'Recurring Schedule'!$P$10),"",IF(IF('Recurring Schedule'!$N$10&gt;0,MOD($A352-'Recurring Schedule'!$F$10,'Recurring Schedule'!$N$10)=0,IF('Recurring Schedule'!$O$10&gt;0,AND(DAY($A352)=MIN(DAY('Recurring Schedule'!$F$10),DAY(EOMONTH($A352,0))),MOD((YEAR($A352)-YEAR('Recurring Schedule'!$F$10))*12+MONTH($A352)-MONTH('Recurring Schedule'!$F$10),'Recurring Schedule'!$O$10)=0),IF('Recurring Schedule'!$E$10="Weekdays",WEEKDAY($A352,2)&lt;=5,$A352='Recurring Schedule'!$F$10))),5,""))))</f>
        <v/>
      </c>
      <c r="G352">
        <f>IF('Recurring Schedule'!$C$11="","",IF('Recurring Schedule'!$F$11="","",IF(OR($A352&lt;'Recurring Schedule'!$F$11,$A352&gt;'Recurring Schedule'!$P$11),"",IF(IF('Recurring Schedule'!$N$11&gt;0,MOD($A352-'Recurring Schedule'!$F$11,'Recurring Schedule'!$N$11)=0,IF('Recurring Schedule'!$O$11&gt;0,AND(DAY($A352)=MIN(DAY('Recurring Schedule'!$F$11),DAY(EOMONTH($A352,0))),MOD((YEAR($A352)-YEAR('Recurring Schedule'!$F$11))*12+MONTH($A352)-MONTH('Recurring Schedule'!$F$11),'Recurring Schedule'!$O$11)=0),IF('Recurring Schedule'!$E$11="Weekdays",WEEKDAY($A352,2)&lt;=5,$A352='Recurring Schedule'!$F$11))),6,""))))</f>
        <v/>
      </c>
      <c r="H352">
        <f>IF('Recurring Schedule'!$C$12="","",IF('Recurring Schedule'!$F$12="","",IF(OR($A352&lt;'Recurring Schedule'!$F$12,$A352&gt;'Recurring Schedule'!$P$12),"",IF(IF('Recurring Schedule'!$N$12&gt;0,MOD($A352-'Recurring Schedule'!$F$12,'Recurring Schedule'!$N$12)=0,IF('Recurring Schedule'!$O$12&gt;0,AND(DAY($A352)=MIN(DAY('Recurring Schedule'!$F$12),DAY(EOMONTH($A352,0))),MOD((YEAR($A352)-YEAR('Recurring Schedule'!$F$12))*12+MONTH($A352)-MONTH('Recurring Schedule'!$F$12),'Recurring Schedule'!$O$12)=0),IF('Recurring Schedule'!$E$12="Weekdays",WEEKDAY($A352,2)&lt;=5,$A352='Recurring Schedule'!$F$12))),7,""))))</f>
        <v/>
      </c>
      <c r="I352">
        <f>IF('Recurring Schedule'!$C$13="","",IF('Recurring Schedule'!$F$13="","",IF(OR($A352&lt;'Recurring Schedule'!$F$13,$A352&gt;'Recurring Schedule'!$P$13),"",IF(IF('Recurring Schedule'!$N$13&gt;0,MOD($A352-'Recurring Schedule'!$F$13,'Recurring Schedule'!$N$13)=0,IF('Recurring Schedule'!$O$13&gt;0,AND(DAY($A352)=MIN(DAY('Recurring Schedule'!$F$13),DAY(EOMONTH($A352,0))),MOD((YEAR($A352)-YEAR('Recurring Schedule'!$F$13))*12+MONTH($A352)-MONTH('Recurring Schedule'!$F$13),'Recurring Schedule'!$O$13)=0),IF('Recurring Schedule'!$E$13="Weekdays",WEEKDAY($A352,2)&lt;=5,$A352='Recurring Schedule'!$F$13))),8,""))))</f>
        <v/>
      </c>
      <c r="J352">
        <f>IF('Recurring Schedule'!$C$14="","",IF('Recurring Schedule'!$F$14="","",IF(OR($A352&lt;'Recurring Schedule'!$F$14,$A352&gt;'Recurring Schedule'!$P$14),"",IF(IF('Recurring Schedule'!$N$14&gt;0,MOD($A352-'Recurring Schedule'!$F$14,'Recurring Schedule'!$N$14)=0,IF('Recurring Schedule'!$O$14&gt;0,AND(DAY($A352)=MIN(DAY('Recurring Schedule'!$F$14),DAY(EOMONTH($A352,0))),MOD((YEAR($A352)-YEAR('Recurring Schedule'!$F$14))*12+MONTH($A352)-MONTH('Recurring Schedule'!$F$14),'Recurring Schedule'!$O$14)=0),IF('Recurring Schedule'!$E$14="Weekdays",WEEKDAY($A352,2)&lt;=5,$A352='Recurring Schedule'!$F$14))),9,""))))</f>
        <v/>
      </c>
      <c r="K352">
        <f>IF('Recurring Schedule'!$C$15="","",IF('Recurring Schedule'!$F$15="","",IF(OR($A352&lt;'Recurring Schedule'!$F$15,$A352&gt;'Recurring Schedule'!$P$15),"",IF(IF('Recurring Schedule'!$N$15&gt;0,MOD($A352-'Recurring Schedule'!$F$15,'Recurring Schedule'!$N$15)=0,IF('Recurring Schedule'!$O$15&gt;0,AND(DAY($A352)=MIN(DAY('Recurring Schedule'!$F$15),DAY(EOMONTH($A352,0))),MOD((YEAR($A352)-YEAR('Recurring Schedule'!$F$15))*12+MONTH($A352)-MONTH('Recurring Schedule'!$F$15),'Recurring Schedule'!$O$15)=0),IF('Recurring Schedule'!$E$15="Weekdays",WEEKDAY($A352,2)&lt;=5,$A352='Recurring Schedule'!$F$15))),10,""))))</f>
        <v/>
      </c>
      <c r="L352">
        <f>IF('Recurring Schedule'!$C$16="","",IF('Recurring Schedule'!$F$16="","",IF(OR($A352&lt;'Recurring Schedule'!$F$16,$A352&gt;'Recurring Schedule'!$P$16),"",IF(IF('Recurring Schedule'!$N$16&gt;0,MOD($A352-'Recurring Schedule'!$F$16,'Recurring Schedule'!$N$16)=0,IF('Recurring Schedule'!$O$16&gt;0,AND(DAY($A352)=MIN(DAY('Recurring Schedule'!$F$16),DAY(EOMONTH($A352,0))),MOD((YEAR($A352)-YEAR('Recurring Schedule'!$F$16))*12+MONTH($A352)-MONTH('Recurring Schedule'!$F$16),'Recurring Schedule'!$O$16)=0),IF('Recurring Schedule'!$E$16="Weekdays",WEEKDAY($A352,2)&lt;=5,$A352='Recurring Schedule'!$F$16))),11,""))))</f>
        <v/>
      </c>
      <c r="M352">
        <f>IF('Recurring Schedule'!$C$17="","",IF('Recurring Schedule'!$F$17="","",IF(OR($A352&lt;'Recurring Schedule'!$F$17,$A352&gt;'Recurring Schedule'!$P$17),"",IF(IF('Recurring Schedule'!$N$17&gt;0,MOD($A352-'Recurring Schedule'!$F$17,'Recurring Schedule'!$N$17)=0,IF('Recurring Schedule'!$O$17&gt;0,AND(DAY($A352)=MIN(DAY('Recurring Schedule'!$F$17),DAY(EOMONTH($A352,0))),MOD((YEAR($A352)-YEAR('Recurring Schedule'!$F$17))*12+MONTH($A352)-MONTH('Recurring Schedule'!$F$17),'Recurring Schedule'!$O$17)=0),IF('Recurring Schedule'!$E$17="Weekdays",WEEKDAY($A352,2)&lt;=5,$A352='Recurring Schedule'!$F$17))),12,""))))</f>
        <v/>
      </c>
      <c r="N352">
        <f>IF('Recurring Schedule'!$C$18="","",IF('Recurring Schedule'!$F$18="","",IF(OR($A352&lt;'Recurring Schedule'!$F$18,$A352&gt;'Recurring Schedule'!$P$18),"",IF(IF('Recurring Schedule'!$N$18&gt;0,MOD($A352-'Recurring Schedule'!$F$18,'Recurring Schedule'!$N$18)=0,IF('Recurring Schedule'!$O$18&gt;0,AND(DAY($A352)=MIN(DAY('Recurring Schedule'!$F$18),DAY(EOMONTH($A352,0))),MOD((YEAR($A352)-YEAR('Recurring Schedule'!$F$18))*12+MONTH($A352)-MONTH('Recurring Schedule'!$F$18),'Recurring Schedule'!$O$18)=0),IF('Recurring Schedule'!$E$18="Weekdays",WEEKDAY($A352,2)&lt;=5,$A352='Recurring Schedule'!$F$18))),13,""))))</f>
        <v/>
      </c>
      <c r="O352">
        <f>IF('Recurring Schedule'!$C$19="","",IF('Recurring Schedule'!$F$19="","",IF(OR($A352&lt;'Recurring Schedule'!$F$19,$A352&gt;'Recurring Schedule'!$P$19),"",IF(IF('Recurring Schedule'!$N$19&gt;0,MOD($A352-'Recurring Schedule'!$F$19,'Recurring Schedule'!$N$19)=0,IF('Recurring Schedule'!$O$19&gt;0,AND(DAY($A352)=MIN(DAY('Recurring Schedule'!$F$19),DAY(EOMONTH($A352,0))),MOD((YEAR($A352)-YEAR('Recurring Schedule'!$F$19))*12+MONTH($A352)-MONTH('Recurring Schedule'!$F$19),'Recurring Schedule'!$O$19)=0),IF('Recurring Schedule'!$E$19="Weekdays",WEEKDAY($A352,2)&lt;=5,$A352='Recurring Schedule'!$F$19))),14,""))))</f>
        <v/>
      </c>
      <c r="P352">
        <f>IF('Recurring Schedule'!$C$20="","",IF('Recurring Schedule'!$F$20="","",IF(OR($A352&lt;'Recurring Schedule'!$F$20,$A352&gt;'Recurring Schedule'!$P$20),"",IF(IF('Recurring Schedule'!$N$20&gt;0,MOD($A352-'Recurring Schedule'!$F$20,'Recurring Schedule'!$N$20)=0,IF('Recurring Schedule'!$O$20&gt;0,AND(DAY($A352)=MIN(DAY('Recurring Schedule'!$F$20),DAY(EOMONTH($A352,0))),MOD((YEAR($A352)-YEAR('Recurring Schedule'!$F$20))*12+MONTH($A352)-MONTH('Recurring Schedule'!$F$20),'Recurring Schedule'!$O$20)=0),IF('Recurring Schedule'!$E$20="Weekdays",WEEKDAY($A352,2)&lt;=5,$A352='Recurring Schedule'!$F$20))),15,""))))</f>
        <v/>
      </c>
      <c r="Q352">
        <f>IF('Recurring Schedule'!$C$21="","",IF('Recurring Schedule'!$F$21="","",IF(OR($A352&lt;'Recurring Schedule'!$F$21,$A352&gt;'Recurring Schedule'!$P$21),"",IF(IF('Recurring Schedule'!$N$21&gt;0,MOD($A352-'Recurring Schedule'!$F$21,'Recurring Schedule'!$N$21)=0,IF('Recurring Schedule'!$O$21&gt;0,AND(DAY($A352)=MIN(DAY('Recurring Schedule'!$F$21),DAY(EOMONTH($A352,0))),MOD((YEAR($A352)-YEAR('Recurring Schedule'!$F$21))*12+MONTH($A352)-MONTH('Recurring Schedule'!$F$21),'Recurring Schedule'!$O$21)=0),IF('Recurring Schedule'!$E$21="Weekdays",WEEKDAY($A352,2)&lt;=5,$A352='Recurring Schedule'!$F$21))),16,""))))</f>
        <v/>
      </c>
      <c r="R352">
        <f>IF('Recurring Schedule'!$C$22="","",IF('Recurring Schedule'!$F$22="","",IF(OR($A352&lt;'Recurring Schedule'!$F$22,$A352&gt;'Recurring Schedule'!$P$22),"",IF(IF('Recurring Schedule'!$N$22&gt;0,MOD($A352-'Recurring Schedule'!$F$22,'Recurring Schedule'!$N$22)=0,IF('Recurring Schedule'!$O$22&gt;0,AND(DAY($A352)=MIN(DAY('Recurring Schedule'!$F$22),DAY(EOMONTH($A352,0))),MOD((YEAR($A352)-YEAR('Recurring Schedule'!$F$22))*12+MONTH($A352)-MONTH('Recurring Schedule'!$F$22),'Recurring Schedule'!$O$22)=0),IF('Recurring Schedule'!$E$22="Weekdays",WEEKDAY($A352,2)&lt;=5,$A352='Recurring Schedule'!$F$22))),17,""))))</f>
        <v/>
      </c>
      <c r="S352">
        <f>IF('Recurring Schedule'!$C$23="","",IF('Recurring Schedule'!$F$23="","",IF(OR($A352&lt;'Recurring Schedule'!$F$23,$A352&gt;'Recurring Schedule'!$P$23),"",IF(IF('Recurring Schedule'!$N$23&gt;0,MOD($A352-'Recurring Schedule'!$F$23,'Recurring Schedule'!$N$23)=0,IF('Recurring Schedule'!$O$23&gt;0,AND(DAY($A352)=MIN(DAY('Recurring Schedule'!$F$23),DAY(EOMONTH($A352,0))),MOD((YEAR($A352)-YEAR('Recurring Schedule'!$F$23))*12+MONTH($A352)-MONTH('Recurring Schedule'!$F$23),'Recurring Schedule'!$O$23)=0),IF('Recurring Schedule'!$E$23="Weekdays",WEEKDAY($A352,2)&lt;=5,$A352='Recurring Schedule'!$F$23))),18,""))))</f>
        <v/>
      </c>
      <c r="T352">
        <f>IF('Recurring Schedule'!$C$24="","",IF('Recurring Schedule'!$F$24="","",IF(OR($A352&lt;'Recurring Schedule'!$F$24,$A352&gt;'Recurring Schedule'!$P$24),"",IF(IF('Recurring Schedule'!$N$24&gt;0,MOD($A352-'Recurring Schedule'!$F$24,'Recurring Schedule'!$N$24)=0,IF('Recurring Schedule'!$O$24&gt;0,AND(DAY($A352)=MIN(DAY('Recurring Schedule'!$F$24),DAY(EOMONTH($A352,0))),MOD((YEAR($A352)-YEAR('Recurring Schedule'!$F$24))*12+MONTH($A352)-MONTH('Recurring Schedule'!$F$24),'Recurring Schedule'!$O$24)=0),IF('Recurring Schedule'!$E$24="Weekdays",WEEKDAY($A352,2)&lt;=5,$A352='Recurring Schedule'!$F$24))),19,""))))</f>
        <v/>
      </c>
      <c r="U352">
        <f>IF('Recurring Schedule'!$C$25="","",IF('Recurring Schedule'!$F$25="","",IF(OR($A352&lt;'Recurring Schedule'!$F$25,$A352&gt;'Recurring Schedule'!$P$25),"",IF(IF('Recurring Schedule'!$N$25&gt;0,MOD($A352-'Recurring Schedule'!$F$25,'Recurring Schedule'!$N$25)=0,IF('Recurring Schedule'!$O$25&gt;0,AND(DAY($A352)=MIN(DAY('Recurring Schedule'!$F$25),DAY(EOMONTH($A352,0))),MOD((YEAR($A352)-YEAR('Recurring Schedule'!$F$25))*12+MONTH($A352)-MONTH('Recurring Schedule'!$F$25),'Recurring Schedule'!$O$25)=0),IF('Recurring Schedule'!$E$25="Weekdays",WEEKDAY($A352,2)&lt;=5,$A352='Recurring Schedule'!$F$25))),20,""))))</f>
        <v/>
      </c>
      <c r="V352">
        <f>IF('Recurring Schedule'!$C$26="","",IF('Recurring Schedule'!$F$26="","",IF(OR($A352&lt;'Recurring Schedule'!$F$26,$A352&gt;'Recurring Schedule'!$P$26),"",IF(IF('Recurring Schedule'!$N$26&gt;0,MOD($A352-'Recurring Schedule'!$F$26,'Recurring Schedule'!$N$26)=0,IF('Recurring Schedule'!$O$26&gt;0,AND(DAY($A352)=MIN(DAY('Recurring Schedule'!$F$26),DAY(EOMONTH($A352,0))),MOD((YEAR($A352)-YEAR('Recurring Schedule'!$F$26))*12+MONTH($A352)-MONTH('Recurring Schedule'!$F$26),'Recurring Schedule'!$O$26)=0),IF('Recurring Schedule'!$E$26="Weekdays",WEEKDAY($A352,2)&lt;=5,$A352='Recurring Schedule'!$F$26))),21,""))))</f>
        <v/>
      </c>
      <c r="W352">
        <f>IF('Recurring Schedule'!$C$27="","",IF('Recurring Schedule'!$F$27="","",IF(OR($A352&lt;'Recurring Schedule'!$F$27,$A352&gt;'Recurring Schedule'!$P$27),"",IF(IF('Recurring Schedule'!$N$27&gt;0,MOD($A352-'Recurring Schedule'!$F$27,'Recurring Schedule'!$N$27)=0,IF('Recurring Schedule'!$O$27&gt;0,AND(DAY($A352)=MIN(DAY('Recurring Schedule'!$F$27),DAY(EOMONTH($A352,0))),MOD((YEAR($A352)-YEAR('Recurring Schedule'!$F$27))*12+MONTH($A352)-MONTH('Recurring Schedule'!$F$27),'Recurring Schedule'!$O$27)=0),IF('Recurring Schedule'!$E$27="Weekdays",WEEKDAY($A352,2)&lt;=5,$A352='Recurring Schedule'!$F$27))),22,""))))</f>
        <v/>
      </c>
      <c r="X352">
        <f>IF('Recurring Schedule'!$C$28="","",IF('Recurring Schedule'!$F$28="","",IF(OR($A352&lt;'Recurring Schedule'!$F$28,$A352&gt;'Recurring Schedule'!$P$28),"",IF(IF('Recurring Schedule'!$N$28&gt;0,MOD($A352-'Recurring Schedule'!$F$28,'Recurring Schedule'!$N$28)=0,IF('Recurring Schedule'!$O$28&gt;0,AND(DAY($A352)=MIN(DAY('Recurring Schedule'!$F$28),DAY(EOMONTH($A352,0))),MOD((YEAR($A352)-YEAR('Recurring Schedule'!$F$28))*12+MONTH($A352)-MONTH('Recurring Schedule'!$F$28),'Recurring Schedule'!$O$28)=0),IF('Recurring Schedule'!$E$28="Weekdays",WEEKDAY($A352,2)&lt;=5,$A352='Recurring Schedule'!$F$28))),23,""))))</f>
        <v/>
      </c>
      <c r="Y352">
        <f>IF('Recurring Schedule'!$C$29="","",IF('Recurring Schedule'!$F$29="","",IF(OR($A352&lt;'Recurring Schedule'!$F$29,$A352&gt;'Recurring Schedule'!$P$29),"",IF(IF('Recurring Schedule'!$N$29&gt;0,MOD($A352-'Recurring Schedule'!$F$29,'Recurring Schedule'!$N$29)=0,IF('Recurring Schedule'!$O$29&gt;0,AND(DAY($A352)=MIN(DAY('Recurring Schedule'!$F$29),DAY(EOMONTH($A352,0))),MOD((YEAR($A352)-YEAR('Recurring Schedule'!$F$29))*12+MONTH($A352)-MONTH('Recurring Schedule'!$F$29),'Recurring Schedule'!$O$29)=0),IF('Recurring Schedule'!$E$29="Weekdays",WEEKDAY($A352,2)&lt;=5,$A352='Recurring Schedule'!$F$29))),24,""))))</f>
        <v/>
      </c>
      <c r="Z352">
        <f>IF('Recurring Schedule'!$C$30="","",IF('Recurring Schedule'!$F$30="","",IF(OR($A352&lt;'Recurring Schedule'!$F$30,$A352&gt;'Recurring Schedule'!$P$30),"",IF(IF('Recurring Schedule'!$N$30&gt;0,MOD($A352-'Recurring Schedule'!$F$30,'Recurring Schedule'!$N$30)=0,IF('Recurring Schedule'!$O$30&gt;0,AND(DAY($A352)=MIN(DAY('Recurring Schedule'!$F$30),DAY(EOMONTH($A352,0))),MOD((YEAR($A352)-YEAR('Recurring Schedule'!$F$30))*12+MONTH($A352)-MONTH('Recurring Schedule'!$F$30),'Recurring Schedule'!$O$30)=0),IF('Recurring Schedule'!$E$30="Weekdays",WEEKDAY($A352,2)&lt;=5,$A352='Recurring Schedule'!$F$30))),25,""))))</f>
        <v/>
      </c>
      <c r="AA352">
        <f>IF('Recurring Schedule'!$C$31="","",IF('Recurring Schedule'!$F$31="","",IF(OR($A352&lt;'Recurring Schedule'!$F$31,$A352&gt;'Recurring Schedule'!$P$31),"",IF(IF('Recurring Schedule'!$N$31&gt;0,MOD($A352-'Recurring Schedule'!$F$31,'Recurring Schedule'!$N$31)=0,IF('Recurring Schedule'!$O$31&gt;0,AND(DAY($A352)=MIN(DAY('Recurring Schedule'!$F$31),DAY(EOMONTH($A352,0))),MOD((YEAR($A352)-YEAR('Recurring Schedule'!$F$31))*12+MONTH($A352)-MONTH('Recurring Schedule'!$F$31),'Recurring Schedule'!$O$31)=0),IF('Recurring Schedule'!$E$31="Weekdays",WEEKDAY($A352,2)&lt;=5,$A352='Recurring Schedule'!$F$31))),26,""))))</f>
        <v/>
      </c>
      <c r="AB352">
        <f>IF('Recurring Schedule'!$C$32="","",IF('Recurring Schedule'!$F$32="","",IF(OR($A352&lt;'Recurring Schedule'!$F$32,$A352&gt;'Recurring Schedule'!$P$32),"",IF(IF('Recurring Schedule'!$N$32&gt;0,MOD($A352-'Recurring Schedule'!$F$32,'Recurring Schedule'!$N$32)=0,IF('Recurring Schedule'!$O$32&gt;0,AND(DAY($A352)=MIN(DAY('Recurring Schedule'!$F$32),DAY(EOMONTH($A352,0))),MOD((YEAR($A352)-YEAR('Recurring Schedule'!$F$32))*12+MONTH($A352)-MONTH('Recurring Schedule'!$F$32),'Recurring Schedule'!$O$32)=0),IF('Recurring Schedule'!$E$32="Weekdays",WEEKDAY($A352,2)&lt;=5,$A352='Recurring Schedule'!$F$32))),27,""))))</f>
        <v/>
      </c>
      <c r="AC352">
        <f>IF('Recurring Schedule'!$C$33="","",IF('Recurring Schedule'!$F$33="","",IF(OR($A352&lt;'Recurring Schedule'!$F$33,$A352&gt;'Recurring Schedule'!$P$33),"",IF(IF('Recurring Schedule'!$N$33&gt;0,MOD($A352-'Recurring Schedule'!$F$33,'Recurring Schedule'!$N$33)=0,IF('Recurring Schedule'!$O$33&gt;0,AND(DAY($A352)=MIN(DAY('Recurring Schedule'!$F$33),DAY(EOMONTH($A352,0))),MOD((YEAR($A352)-YEAR('Recurring Schedule'!$F$33))*12+MONTH($A352)-MONTH('Recurring Schedule'!$F$33),'Recurring Schedule'!$O$33)=0),IF('Recurring Schedule'!$E$33="Weekdays",WEEKDAY($A352,2)&lt;=5,$A352='Recurring Schedule'!$F$33))),28,""))))</f>
        <v/>
      </c>
      <c r="AD352">
        <f>IF('Recurring Schedule'!$C$34="","",IF('Recurring Schedule'!$F$34="","",IF(OR($A352&lt;'Recurring Schedule'!$F$34,$A352&gt;'Recurring Schedule'!$P$34),"",IF(IF('Recurring Schedule'!$N$34&gt;0,MOD($A352-'Recurring Schedule'!$F$34,'Recurring Schedule'!$N$34)=0,IF('Recurring Schedule'!$O$34&gt;0,AND(DAY($A352)=MIN(DAY('Recurring Schedule'!$F$34),DAY(EOMONTH($A352,0))),MOD((YEAR($A352)-YEAR('Recurring Schedule'!$F$34))*12+MONTH($A352)-MONTH('Recurring Schedule'!$F$34),'Recurring Schedule'!$O$34)=0),IF('Recurring Schedule'!$E$34="Weekdays",WEEKDAY($A352,2)&lt;=5,$A352='Recurring Schedule'!$F$34))),29,""))))</f>
        <v/>
      </c>
      <c r="AE352">
        <f>IF('Recurring Schedule'!$C$35="","",IF('Recurring Schedule'!$F$35="","",IF(OR($A352&lt;'Recurring Schedule'!$F$35,$A352&gt;'Recurring Schedule'!$P$35),"",IF(IF('Recurring Schedule'!$N$35&gt;0,MOD($A352-'Recurring Schedule'!$F$35,'Recurring Schedule'!$N$35)=0,IF('Recurring Schedule'!$O$35&gt;0,AND(DAY($A352)=MIN(DAY('Recurring Schedule'!$F$35),DAY(EOMONTH($A352,0))),MOD((YEAR($A352)-YEAR('Recurring Schedule'!$F$35))*12+MONTH($A352)-MONTH('Recurring Schedule'!$F$35),'Recurring Schedule'!$O$35)=0),IF('Recurring Schedule'!$E$35="Weekdays",WEEKDAY($A352,2)&lt;=5,$A352='Recurring Schedule'!$F$35))),30,""))))</f>
        <v/>
      </c>
      <c r="AF352">
        <f>IF('Recurring Schedule'!$C$36="","",IF('Recurring Schedule'!$F$36="","",IF(OR($A352&lt;'Recurring Schedule'!$F$36,$A352&gt;'Recurring Schedule'!$P$36),"",IF(IF('Recurring Schedule'!$N$36&gt;0,MOD($A352-'Recurring Schedule'!$F$36,'Recurring Schedule'!$N$36)=0,IF('Recurring Schedule'!$O$36&gt;0,AND(DAY($A352)=MIN(DAY('Recurring Schedule'!$F$36),DAY(EOMONTH($A352,0))),MOD((YEAR($A352)-YEAR('Recurring Schedule'!$F$36))*12+MONTH($A352)-MONTH('Recurring Schedule'!$F$36),'Recurring Schedule'!$O$36)=0),IF('Recurring Schedule'!$E$36="Weekdays",WEEKDAY($A352,2)&lt;=5,$A352='Recurring Schedule'!$F$36))),31,""))))</f>
        <v/>
      </c>
      <c r="AG352">
        <f>IF('Recurring Schedule'!$C$37="","",IF('Recurring Schedule'!$F$37="","",IF(OR($A352&lt;'Recurring Schedule'!$F$37,$A352&gt;'Recurring Schedule'!$P$37),"",IF(IF('Recurring Schedule'!$N$37&gt;0,MOD($A352-'Recurring Schedule'!$F$37,'Recurring Schedule'!$N$37)=0,IF('Recurring Schedule'!$O$37&gt;0,AND(DAY($A352)=MIN(DAY('Recurring Schedule'!$F$37),DAY(EOMONTH($A352,0))),MOD((YEAR($A352)-YEAR('Recurring Schedule'!$F$37))*12+MONTH($A352)-MONTH('Recurring Schedule'!$F$37),'Recurring Schedule'!$O$37)=0),IF('Recurring Schedule'!$E$37="Weekdays",WEEKDAY($A352,2)&lt;=5,$A352='Recurring Schedule'!$F$37))),32,""))))</f>
        <v/>
      </c>
      <c r="AH352">
        <f>IF('Recurring Schedule'!$C$38="","",IF('Recurring Schedule'!$F$38="","",IF(OR($A352&lt;'Recurring Schedule'!$F$38,$A352&gt;'Recurring Schedule'!$P$38),"",IF(IF('Recurring Schedule'!$N$38&gt;0,MOD($A352-'Recurring Schedule'!$F$38,'Recurring Schedule'!$N$38)=0,IF('Recurring Schedule'!$O$38&gt;0,AND(DAY($A352)=MIN(DAY('Recurring Schedule'!$F$38),DAY(EOMONTH($A352,0))),MOD((YEAR($A352)-YEAR('Recurring Schedule'!$F$38))*12+MONTH($A352)-MONTH('Recurring Schedule'!$F$38),'Recurring Schedule'!$O$38)=0),IF('Recurring Schedule'!$E$38="Weekdays",WEEKDAY($A352,2)&lt;=5,$A352='Recurring Schedule'!$F$38))),33,""))))</f>
        <v/>
      </c>
      <c r="AI352">
        <f>IF('Recurring Schedule'!$C$39="","",IF('Recurring Schedule'!$F$39="","",IF(OR($A352&lt;'Recurring Schedule'!$F$39,$A352&gt;'Recurring Schedule'!$P$39),"",IF(IF('Recurring Schedule'!$N$39&gt;0,MOD($A352-'Recurring Schedule'!$F$39,'Recurring Schedule'!$N$39)=0,IF('Recurring Schedule'!$O$39&gt;0,AND(DAY($A352)=MIN(DAY('Recurring Schedule'!$F$39),DAY(EOMONTH($A352,0))),MOD((YEAR($A352)-YEAR('Recurring Schedule'!$F$39))*12+MONTH($A352)-MONTH('Recurring Schedule'!$F$39),'Recurring Schedule'!$O$39)=0),IF('Recurring Schedule'!$E$39="Weekdays",WEEKDAY($A352,2)&lt;=5,$A352='Recurring Schedule'!$F$39))),34,""))))</f>
        <v/>
      </c>
      <c r="AJ352">
        <f>IF('Recurring Schedule'!$C$40="","",IF('Recurring Schedule'!$F$40="","",IF(OR($A352&lt;'Recurring Schedule'!$F$40,$A352&gt;'Recurring Schedule'!$P$40),"",IF(IF('Recurring Schedule'!$N$40&gt;0,MOD($A352-'Recurring Schedule'!$F$40,'Recurring Schedule'!$N$40)=0,IF('Recurring Schedule'!$O$40&gt;0,AND(DAY($A352)=MIN(DAY('Recurring Schedule'!$F$40),DAY(EOMONTH($A352,0))),MOD((YEAR($A352)-YEAR('Recurring Schedule'!$F$40))*12+MONTH($A352)-MONTH('Recurring Schedule'!$F$40),'Recurring Schedule'!$O$40)=0),IF('Recurring Schedule'!$E$40="Weekdays",WEEKDAY($A352,2)&lt;=5,$A352='Recurring Schedule'!$F$40))),35,""))))</f>
        <v/>
      </c>
      <c r="AK352">
        <f>IF('Recurring Schedule'!$C$41="","",IF('Recurring Schedule'!$F$41="","",IF(OR($A352&lt;'Recurring Schedule'!$F$41,$A352&gt;'Recurring Schedule'!$P$41),"",IF(IF('Recurring Schedule'!$N$41&gt;0,MOD($A352-'Recurring Schedule'!$F$41,'Recurring Schedule'!$N$41)=0,IF('Recurring Schedule'!$O$41&gt;0,AND(DAY($A352)=MIN(DAY('Recurring Schedule'!$F$41),DAY(EOMONTH($A352,0))),MOD((YEAR($A352)-YEAR('Recurring Schedule'!$F$41))*12+MONTH($A352)-MONTH('Recurring Schedule'!$F$41),'Recurring Schedule'!$O$41)=0),IF('Recurring Schedule'!$E$41="Weekdays",WEEKDAY($A352,2)&lt;=5,$A352='Recurring Schedule'!$F$41))),36,""))))</f>
        <v/>
      </c>
      <c r="AL352">
        <f>IF('Recurring Schedule'!$C$42="","",IF('Recurring Schedule'!$F$42="","",IF(OR($A352&lt;'Recurring Schedule'!$F$42,$A352&gt;'Recurring Schedule'!$P$42),"",IF(IF('Recurring Schedule'!$N$42&gt;0,MOD($A352-'Recurring Schedule'!$F$42,'Recurring Schedule'!$N$42)=0,IF('Recurring Schedule'!$O$42&gt;0,AND(DAY($A352)=MIN(DAY('Recurring Schedule'!$F$42),DAY(EOMONTH($A352,0))),MOD((YEAR($A352)-YEAR('Recurring Schedule'!$F$42))*12+MONTH($A352)-MONTH('Recurring Schedule'!$F$42),'Recurring Schedule'!$O$42)=0),IF('Recurring Schedule'!$E$42="Weekdays",WEEKDAY($A352,2)&lt;=5,$A352='Recurring Schedule'!$F$42))),37,""))))</f>
        <v/>
      </c>
      <c r="AM352">
        <f>IF('Recurring Schedule'!$C$43="","",IF('Recurring Schedule'!$F$43="","",IF(OR($A352&lt;'Recurring Schedule'!$F$43,$A352&gt;'Recurring Schedule'!$P$43),"",IF(IF('Recurring Schedule'!$N$43&gt;0,MOD($A352-'Recurring Schedule'!$F$43,'Recurring Schedule'!$N$43)=0,IF('Recurring Schedule'!$O$43&gt;0,AND(DAY($A352)=MIN(DAY('Recurring Schedule'!$F$43),DAY(EOMONTH($A352,0))),MOD((YEAR($A352)-YEAR('Recurring Schedule'!$F$43))*12+MONTH($A352)-MONTH('Recurring Schedule'!$F$43),'Recurring Schedule'!$O$43)=0),IF('Recurring Schedule'!$E$43="Weekdays",WEEKDAY($A352,2)&lt;=5,$A352='Recurring Schedule'!$F$43))),38,""))))</f>
        <v/>
      </c>
      <c r="AN352">
        <f>IF('Recurring Schedule'!$C$44="","",IF('Recurring Schedule'!$F$44="","",IF(OR($A352&lt;'Recurring Schedule'!$F$44,$A352&gt;'Recurring Schedule'!$P$44),"",IF(IF('Recurring Schedule'!$N$44&gt;0,MOD($A352-'Recurring Schedule'!$F$44,'Recurring Schedule'!$N$44)=0,IF('Recurring Schedule'!$O$44&gt;0,AND(DAY($A352)=MIN(DAY('Recurring Schedule'!$F$44),DAY(EOMONTH($A352,0))),MOD((YEAR($A352)-YEAR('Recurring Schedule'!$F$44))*12+MONTH($A352)-MONTH('Recurring Schedule'!$F$44),'Recurring Schedule'!$O$44)=0),IF('Recurring Schedule'!$E$44="Weekdays",WEEKDAY($A352,2)&lt;=5,$A352='Recurring Schedule'!$F$44))),39,""))))</f>
        <v/>
      </c>
      <c r="AO352">
        <f>IF('Recurring Schedule'!$C$45="","",IF('Recurring Schedule'!$F$45="","",IF(OR($A352&lt;'Recurring Schedule'!$F$45,$A352&gt;'Recurring Schedule'!$P$45),"",IF(IF('Recurring Schedule'!$N$45&gt;0,MOD($A352-'Recurring Schedule'!$F$45,'Recurring Schedule'!$N$45)=0,IF('Recurring Schedule'!$O$45&gt;0,AND(DAY($A352)=MIN(DAY('Recurring Schedule'!$F$45),DAY(EOMONTH($A352,0))),MOD((YEAR($A352)-YEAR('Recurring Schedule'!$F$45))*12+MONTH($A352)-MONTH('Recurring Schedule'!$F$45),'Recurring Schedule'!$O$45)=0),IF('Recurring Schedule'!$E$45="Weekdays",WEEKDAY($A352,2)&lt;=5,$A352='Recurring Schedule'!$F$45))),40,""))))</f>
        <v/>
      </c>
      <c r="AP352">
        <f>COUNT(B352:AO352)</f>
        <v/>
      </c>
      <c r="AQ352">
        <f>AQ351+AP351</f>
        <v/>
      </c>
      <c r="AS352" t="inlineStr">
        <is>
          <t>R</t>
        </is>
      </c>
      <c r="AT352" t="n">
        <v>356</v>
      </c>
      <c r="AU352">
        <f>'Recurring Log'!C356&amp;""</f>
        <v/>
      </c>
      <c r="AV352">
        <f>'Recurring Log'!D356&amp;""</f>
        <v/>
      </c>
      <c r="AW352">
        <f>IF('Recurring Log'!E356="","",'Recurring Log'!E356)</f>
        <v/>
      </c>
      <c r="AX352">
        <f>IF('Recurring Log'!G356="","",'Recurring Log'!G356)</f>
        <v/>
      </c>
      <c r="AY352">
        <f>IF('Recurring Log'!H356="","",'Recurring Log'!H356)</f>
        <v/>
      </c>
      <c r="AZ352">
        <f>IF(AU352="","",IF('Recurring Log'!J356="","Not Started",'Recurring Log'!J356))</f>
        <v/>
      </c>
      <c r="BA352">
        <f>'Recurring Log'!L356&amp;""</f>
        <v/>
      </c>
      <c r="BB352">
        <f>'Recurring Log'!M356&amp;""</f>
        <v/>
      </c>
      <c r="BC352">
        <f>'Recurring Log'!N356&amp;""</f>
        <v/>
      </c>
      <c r="BD352">
        <f>'Recurring Log'!O356&amp;""</f>
        <v/>
      </c>
      <c r="BE352">
        <f>IF('Recurring Log'!K356="","",'Recurring Log'!K356)</f>
        <v/>
      </c>
      <c r="BF352">
        <f>IFERROR(MATCH(BA352,Setup!$L$6:$L$9,0),5)</f>
        <v/>
      </c>
      <c r="BG352">
        <f>IF(OR(AZ352="Done",AZ352="Cancelled"),1,0)</f>
        <v/>
      </c>
      <c r="BH352">
        <f>IF(AND(AU352&lt;&gt;"",ISNUMBER(AW352)),1,0)</f>
        <v/>
      </c>
      <c r="BI352">
        <f>IF(BH352=0,0,IF(AND(AW352&gt;='Tasks Filter'!$F$3,AW352&lt;='Tasks Filter'!$F$4,OR('Tasks Filter'!$I$3="",ISNUMBER(SEARCH('Tasks Filter'!$I$3,AU352))),OR('Tasks Filter'!$I$4="",BF352=IFERROR(MATCH('Tasks Filter'!$I$4,Setup!$L$6:$L$9,0),0)),OR('Tasks Filter'!$I$5="Both",AND('Tasks Filter'!$I$5="Yes",BB352="✓"),AND('Tasks Filter'!$I$5="No",BB352&lt;&gt;"✓")),OR('Tasks Filter'!$L$3="",AV352='Tasks Filter'!$L$3),OR('Tasks Filter'!$L$4="",AZ352='Tasks Filter'!$L$4),OR('Tasks Filter'!$L$5="",BC352='Tasks Filter'!$L$5),OR('Tasks Filter'!$O$3="",BD352='Tasks Filter'!$O$3),OR('Tasks Filter'!$O$4="Yes",BG352=0)),1,0))</f>
        <v/>
      </c>
      <c r="BJ352">
        <f>IF(BH352=0,"",IF('Tasks Filter'!$F$6="Descending",-1,1)*CHOOSE(MATCH('Tasks Filter'!$F$5,Lists!$G$2:$G$6,0),AW352,BF352,IFERROR(MATCH(AV352,Setup!$F$6:$F$15,0),99),IFERROR(MATCH(BC352,Setup!$H$6:$H$15,0),99),IFERROR(MATCH(AZ352,Setup!$J$6:$J$11,0),99))*1E+9+(AW352-40000)*10000+351)</f>
        <v/>
      </c>
      <c r="BK352">
        <f>IF(BI352=1,BJ352,"")</f>
        <v/>
      </c>
      <c r="BL352">
        <f>IF(AND(BH352=1,BG352=0,N(AW352)&lt;Setup!$D$7),(AW352-40000)*10000+351,"")</f>
        <v/>
      </c>
      <c r="BM352">
        <f>IF(AND(BH352=1,AZ352&lt;&gt;"Cancelled",N(AW352)&gt;=Dashboard!$AB$3,N(AW352)&lt;=Dashboard!$AB$3+6),(AW352-40000)*100000+BF352*10000+351,"")</f>
        <v/>
      </c>
      <c r="BN352">
        <f>IF(AND(BH352=1,AZ352&lt;&gt;"Cancelled"),BF352*10000+351,"")</f>
        <v/>
      </c>
    </row>
    <row r="353">
      <c r="A353">
        <f>Setup!$D$5+351</f>
        <v/>
      </c>
      <c r="B353">
        <f>IF('Recurring Schedule'!$C$6="","",IF('Recurring Schedule'!$F$6="","",IF(OR($A353&lt;'Recurring Schedule'!$F$6,$A353&gt;'Recurring Schedule'!$P$6),"",IF(IF('Recurring Schedule'!$N$6&gt;0,MOD($A353-'Recurring Schedule'!$F$6,'Recurring Schedule'!$N$6)=0,IF('Recurring Schedule'!$O$6&gt;0,AND(DAY($A353)=MIN(DAY('Recurring Schedule'!$F$6),DAY(EOMONTH($A353,0))),MOD((YEAR($A353)-YEAR('Recurring Schedule'!$F$6))*12+MONTH($A353)-MONTH('Recurring Schedule'!$F$6),'Recurring Schedule'!$O$6)=0),IF('Recurring Schedule'!$E$6="Weekdays",WEEKDAY($A353,2)&lt;=5,$A353='Recurring Schedule'!$F$6))),1,""))))</f>
        <v/>
      </c>
      <c r="C353">
        <f>IF('Recurring Schedule'!$C$7="","",IF('Recurring Schedule'!$F$7="","",IF(OR($A353&lt;'Recurring Schedule'!$F$7,$A353&gt;'Recurring Schedule'!$P$7),"",IF(IF('Recurring Schedule'!$N$7&gt;0,MOD($A353-'Recurring Schedule'!$F$7,'Recurring Schedule'!$N$7)=0,IF('Recurring Schedule'!$O$7&gt;0,AND(DAY($A353)=MIN(DAY('Recurring Schedule'!$F$7),DAY(EOMONTH($A353,0))),MOD((YEAR($A353)-YEAR('Recurring Schedule'!$F$7))*12+MONTH($A353)-MONTH('Recurring Schedule'!$F$7),'Recurring Schedule'!$O$7)=0),IF('Recurring Schedule'!$E$7="Weekdays",WEEKDAY($A353,2)&lt;=5,$A353='Recurring Schedule'!$F$7))),2,""))))</f>
        <v/>
      </c>
      <c r="D353">
        <f>IF('Recurring Schedule'!$C$8="","",IF('Recurring Schedule'!$F$8="","",IF(OR($A353&lt;'Recurring Schedule'!$F$8,$A353&gt;'Recurring Schedule'!$P$8),"",IF(IF('Recurring Schedule'!$N$8&gt;0,MOD($A353-'Recurring Schedule'!$F$8,'Recurring Schedule'!$N$8)=0,IF('Recurring Schedule'!$O$8&gt;0,AND(DAY($A353)=MIN(DAY('Recurring Schedule'!$F$8),DAY(EOMONTH($A353,0))),MOD((YEAR($A353)-YEAR('Recurring Schedule'!$F$8))*12+MONTH($A353)-MONTH('Recurring Schedule'!$F$8),'Recurring Schedule'!$O$8)=0),IF('Recurring Schedule'!$E$8="Weekdays",WEEKDAY($A353,2)&lt;=5,$A353='Recurring Schedule'!$F$8))),3,""))))</f>
        <v/>
      </c>
      <c r="E353">
        <f>IF('Recurring Schedule'!$C$9="","",IF('Recurring Schedule'!$F$9="","",IF(OR($A353&lt;'Recurring Schedule'!$F$9,$A353&gt;'Recurring Schedule'!$P$9),"",IF(IF('Recurring Schedule'!$N$9&gt;0,MOD($A353-'Recurring Schedule'!$F$9,'Recurring Schedule'!$N$9)=0,IF('Recurring Schedule'!$O$9&gt;0,AND(DAY($A353)=MIN(DAY('Recurring Schedule'!$F$9),DAY(EOMONTH($A353,0))),MOD((YEAR($A353)-YEAR('Recurring Schedule'!$F$9))*12+MONTH($A353)-MONTH('Recurring Schedule'!$F$9),'Recurring Schedule'!$O$9)=0),IF('Recurring Schedule'!$E$9="Weekdays",WEEKDAY($A353,2)&lt;=5,$A353='Recurring Schedule'!$F$9))),4,""))))</f>
        <v/>
      </c>
      <c r="F353">
        <f>IF('Recurring Schedule'!$C$10="","",IF('Recurring Schedule'!$F$10="","",IF(OR($A353&lt;'Recurring Schedule'!$F$10,$A353&gt;'Recurring Schedule'!$P$10),"",IF(IF('Recurring Schedule'!$N$10&gt;0,MOD($A353-'Recurring Schedule'!$F$10,'Recurring Schedule'!$N$10)=0,IF('Recurring Schedule'!$O$10&gt;0,AND(DAY($A353)=MIN(DAY('Recurring Schedule'!$F$10),DAY(EOMONTH($A353,0))),MOD((YEAR($A353)-YEAR('Recurring Schedule'!$F$10))*12+MONTH($A353)-MONTH('Recurring Schedule'!$F$10),'Recurring Schedule'!$O$10)=0),IF('Recurring Schedule'!$E$10="Weekdays",WEEKDAY($A353,2)&lt;=5,$A353='Recurring Schedule'!$F$10))),5,""))))</f>
        <v/>
      </c>
      <c r="G353">
        <f>IF('Recurring Schedule'!$C$11="","",IF('Recurring Schedule'!$F$11="","",IF(OR($A353&lt;'Recurring Schedule'!$F$11,$A353&gt;'Recurring Schedule'!$P$11),"",IF(IF('Recurring Schedule'!$N$11&gt;0,MOD($A353-'Recurring Schedule'!$F$11,'Recurring Schedule'!$N$11)=0,IF('Recurring Schedule'!$O$11&gt;0,AND(DAY($A353)=MIN(DAY('Recurring Schedule'!$F$11),DAY(EOMONTH($A353,0))),MOD((YEAR($A353)-YEAR('Recurring Schedule'!$F$11))*12+MONTH($A353)-MONTH('Recurring Schedule'!$F$11),'Recurring Schedule'!$O$11)=0),IF('Recurring Schedule'!$E$11="Weekdays",WEEKDAY($A353,2)&lt;=5,$A353='Recurring Schedule'!$F$11))),6,""))))</f>
        <v/>
      </c>
      <c r="H353">
        <f>IF('Recurring Schedule'!$C$12="","",IF('Recurring Schedule'!$F$12="","",IF(OR($A353&lt;'Recurring Schedule'!$F$12,$A353&gt;'Recurring Schedule'!$P$12),"",IF(IF('Recurring Schedule'!$N$12&gt;0,MOD($A353-'Recurring Schedule'!$F$12,'Recurring Schedule'!$N$12)=0,IF('Recurring Schedule'!$O$12&gt;0,AND(DAY($A353)=MIN(DAY('Recurring Schedule'!$F$12),DAY(EOMONTH($A353,0))),MOD((YEAR($A353)-YEAR('Recurring Schedule'!$F$12))*12+MONTH($A353)-MONTH('Recurring Schedule'!$F$12),'Recurring Schedule'!$O$12)=0),IF('Recurring Schedule'!$E$12="Weekdays",WEEKDAY($A353,2)&lt;=5,$A353='Recurring Schedule'!$F$12))),7,""))))</f>
        <v/>
      </c>
      <c r="I353">
        <f>IF('Recurring Schedule'!$C$13="","",IF('Recurring Schedule'!$F$13="","",IF(OR($A353&lt;'Recurring Schedule'!$F$13,$A353&gt;'Recurring Schedule'!$P$13),"",IF(IF('Recurring Schedule'!$N$13&gt;0,MOD($A353-'Recurring Schedule'!$F$13,'Recurring Schedule'!$N$13)=0,IF('Recurring Schedule'!$O$13&gt;0,AND(DAY($A353)=MIN(DAY('Recurring Schedule'!$F$13),DAY(EOMONTH($A353,0))),MOD((YEAR($A353)-YEAR('Recurring Schedule'!$F$13))*12+MONTH($A353)-MONTH('Recurring Schedule'!$F$13),'Recurring Schedule'!$O$13)=0),IF('Recurring Schedule'!$E$13="Weekdays",WEEKDAY($A353,2)&lt;=5,$A353='Recurring Schedule'!$F$13))),8,""))))</f>
        <v/>
      </c>
      <c r="J353">
        <f>IF('Recurring Schedule'!$C$14="","",IF('Recurring Schedule'!$F$14="","",IF(OR($A353&lt;'Recurring Schedule'!$F$14,$A353&gt;'Recurring Schedule'!$P$14),"",IF(IF('Recurring Schedule'!$N$14&gt;0,MOD($A353-'Recurring Schedule'!$F$14,'Recurring Schedule'!$N$14)=0,IF('Recurring Schedule'!$O$14&gt;0,AND(DAY($A353)=MIN(DAY('Recurring Schedule'!$F$14),DAY(EOMONTH($A353,0))),MOD((YEAR($A353)-YEAR('Recurring Schedule'!$F$14))*12+MONTH($A353)-MONTH('Recurring Schedule'!$F$14),'Recurring Schedule'!$O$14)=0),IF('Recurring Schedule'!$E$14="Weekdays",WEEKDAY($A353,2)&lt;=5,$A353='Recurring Schedule'!$F$14))),9,""))))</f>
        <v/>
      </c>
      <c r="K353">
        <f>IF('Recurring Schedule'!$C$15="","",IF('Recurring Schedule'!$F$15="","",IF(OR($A353&lt;'Recurring Schedule'!$F$15,$A353&gt;'Recurring Schedule'!$P$15),"",IF(IF('Recurring Schedule'!$N$15&gt;0,MOD($A353-'Recurring Schedule'!$F$15,'Recurring Schedule'!$N$15)=0,IF('Recurring Schedule'!$O$15&gt;0,AND(DAY($A353)=MIN(DAY('Recurring Schedule'!$F$15),DAY(EOMONTH($A353,0))),MOD((YEAR($A353)-YEAR('Recurring Schedule'!$F$15))*12+MONTH($A353)-MONTH('Recurring Schedule'!$F$15),'Recurring Schedule'!$O$15)=0),IF('Recurring Schedule'!$E$15="Weekdays",WEEKDAY($A353,2)&lt;=5,$A353='Recurring Schedule'!$F$15))),10,""))))</f>
        <v/>
      </c>
      <c r="L353">
        <f>IF('Recurring Schedule'!$C$16="","",IF('Recurring Schedule'!$F$16="","",IF(OR($A353&lt;'Recurring Schedule'!$F$16,$A353&gt;'Recurring Schedule'!$P$16),"",IF(IF('Recurring Schedule'!$N$16&gt;0,MOD($A353-'Recurring Schedule'!$F$16,'Recurring Schedule'!$N$16)=0,IF('Recurring Schedule'!$O$16&gt;0,AND(DAY($A353)=MIN(DAY('Recurring Schedule'!$F$16),DAY(EOMONTH($A353,0))),MOD((YEAR($A353)-YEAR('Recurring Schedule'!$F$16))*12+MONTH($A353)-MONTH('Recurring Schedule'!$F$16),'Recurring Schedule'!$O$16)=0),IF('Recurring Schedule'!$E$16="Weekdays",WEEKDAY($A353,2)&lt;=5,$A353='Recurring Schedule'!$F$16))),11,""))))</f>
        <v/>
      </c>
      <c r="M353">
        <f>IF('Recurring Schedule'!$C$17="","",IF('Recurring Schedule'!$F$17="","",IF(OR($A353&lt;'Recurring Schedule'!$F$17,$A353&gt;'Recurring Schedule'!$P$17),"",IF(IF('Recurring Schedule'!$N$17&gt;0,MOD($A353-'Recurring Schedule'!$F$17,'Recurring Schedule'!$N$17)=0,IF('Recurring Schedule'!$O$17&gt;0,AND(DAY($A353)=MIN(DAY('Recurring Schedule'!$F$17),DAY(EOMONTH($A353,0))),MOD((YEAR($A353)-YEAR('Recurring Schedule'!$F$17))*12+MONTH($A353)-MONTH('Recurring Schedule'!$F$17),'Recurring Schedule'!$O$17)=0),IF('Recurring Schedule'!$E$17="Weekdays",WEEKDAY($A353,2)&lt;=5,$A353='Recurring Schedule'!$F$17))),12,""))))</f>
        <v/>
      </c>
      <c r="N353">
        <f>IF('Recurring Schedule'!$C$18="","",IF('Recurring Schedule'!$F$18="","",IF(OR($A353&lt;'Recurring Schedule'!$F$18,$A353&gt;'Recurring Schedule'!$P$18),"",IF(IF('Recurring Schedule'!$N$18&gt;0,MOD($A353-'Recurring Schedule'!$F$18,'Recurring Schedule'!$N$18)=0,IF('Recurring Schedule'!$O$18&gt;0,AND(DAY($A353)=MIN(DAY('Recurring Schedule'!$F$18),DAY(EOMONTH($A353,0))),MOD((YEAR($A353)-YEAR('Recurring Schedule'!$F$18))*12+MONTH($A353)-MONTH('Recurring Schedule'!$F$18),'Recurring Schedule'!$O$18)=0),IF('Recurring Schedule'!$E$18="Weekdays",WEEKDAY($A353,2)&lt;=5,$A353='Recurring Schedule'!$F$18))),13,""))))</f>
        <v/>
      </c>
      <c r="O353">
        <f>IF('Recurring Schedule'!$C$19="","",IF('Recurring Schedule'!$F$19="","",IF(OR($A353&lt;'Recurring Schedule'!$F$19,$A353&gt;'Recurring Schedule'!$P$19),"",IF(IF('Recurring Schedule'!$N$19&gt;0,MOD($A353-'Recurring Schedule'!$F$19,'Recurring Schedule'!$N$19)=0,IF('Recurring Schedule'!$O$19&gt;0,AND(DAY($A353)=MIN(DAY('Recurring Schedule'!$F$19),DAY(EOMONTH($A353,0))),MOD((YEAR($A353)-YEAR('Recurring Schedule'!$F$19))*12+MONTH($A353)-MONTH('Recurring Schedule'!$F$19),'Recurring Schedule'!$O$19)=0),IF('Recurring Schedule'!$E$19="Weekdays",WEEKDAY($A353,2)&lt;=5,$A353='Recurring Schedule'!$F$19))),14,""))))</f>
        <v/>
      </c>
      <c r="P353">
        <f>IF('Recurring Schedule'!$C$20="","",IF('Recurring Schedule'!$F$20="","",IF(OR($A353&lt;'Recurring Schedule'!$F$20,$A353&gt;'Recurring Schedule'!$P$20),"",IF(IF('Recurring Schedule'!$N$20&gt;0,MOD($A353-'Recurring Schedule'!$F$20,'Recurring Schedule'!$N$20)=0,IF('Recurring Schedule'!$O$20&gt;0,AND(DAY($A353)=MIN(DAY('Recurring Schedule'!$F$20),DAY(EOMONTH($A353,0))),MOD((YEAR($A353)-YEAR('Recurring Schedule'!$F$20))*12+MONTH($A353)-MONTH('Recurring Schedule'!$F$20),'Recurring Schedule'!$O$20)=0),IF('Recurring Schedule'!$E$20="Weekdays",WEEKDAY($A353,2)&lt;=5,$A353='Recurring Schedule'!$F$20))),15,""))))</f>
        <v/>
      </c>
      <c r="Q353">
        <f>IF('Recurring Schedule'!$C$21="","",IF('Recurring Schedule'!$F$21="","",IF(OR($A353&lt;'Recurring Schedule'!$F$21,$A353&gt;'Recurring Schedule'!$P$21),"",IF(IF('Recurring Schedule'!$N$21&gt;0,MOD($A353-'Recurring Schedule'!$F$21,'Recurring Schedule'!$N$21)=0,IF('Recurring Schedule'!$O$21&gt;0,AND(DAY($A353)=MIN(DAY('Recurring Schedule'!$F$21),DAY(EOMONTH($A353,0))),MOD((YEAR($A353)-YEAR('Recurring Schedule'!$F$21))*12+MONTH($A353)-MONTH('Recurring Schedule'!$F$21),'Recurring Schedule'!$O$21)=0),IF('Recurring Schedule'!$E$21="Weekdays",WEEKDAY($A353,2)&lt;=5,$A353='Recurring Schedule'!$F$21))),16,""))))</f>
        <v/>
      </c>
      <c r="R353">
        <f>IF('Recurring Schedule'!$C$22="","",IF('Recurring Schedule'!$F$22="","",IF(OR($A353&lt;'Recurring Schedule'!$F$22,$A353&gt;'Recurring Schedule'!$P$22),"",IF(IF('Recurring Schedule'!$N$22&gt;0,MOD($A353-'Recurring Schedule'!$F$22,'Recurring Schedule'!$N$22)=0,IF('Recurring Schedule'!$O$22&gt;0,AND(DAY($A353)=MIN(DAY('Recurring Schedule'!$F$22),DAY(EOMONTH($A353,0))),MOD((YEAR($A353)-YEAR('Recurring Schedule'!$F$22))*12+MONTH($A353)-MONTH('Recurring Schedule'!$F$22),'Recurring Schedule'!$O$22)=0),IF('Recurring Schedule'!$E$22="Weekdays",WEEKDAY($A353,2)&lt;=5,$A353='Recurring Schedule'!$F$22))),17,""))))</f>
        <v/>
      </c>
      <c r="S353">
        <f>IF('Recurring Schedule'!$C$23="","",IF('Recurring Schedule'!$F$23="","",IF(OR($A353&lt;'Recurring Schedule'!$F$23,$A353&gt;'Recurring Schedule'!$P$23),"",IF(IF('Recurring Schedule'!$N$23&gt;0,MOD($A353-'Recurring Schedule'!$F$23,'Recurring Schedule'!$N$23)=0,IF('Recurring Schedule'!$O$23&gt;0,AND(DAY($A353)=MIN(DAY('Recurring Schedule'!$F$23),DAY(EOMONTH($A353,0))),MOD((YEAR($A353)-YEAR('Recurring Schedule'!$F$23))*12+MONTH($A353)-MONTH('Recurring Schedule'!$F$23),'Recurring Schedule'!$O$23)=0),IF('Recurring Schedule'!$E$23="Weekdays",WEEKDAY($A353,2)&lt;=5,$A353='Recurring Schedule'!$F$23))),18,""))))</f>
        <v/>
      </c>
      <c r="T353">
        <f>IF('Recurring Schedule'!$C$24="","",IF('Recurring Schedule'!$F$24="","",IF(OR($A353&lt;'Recurring Schedule'!$F$24,$A353&gt;'Recurring Schedule'!$P$24),"",IF(IF('Recurring Schedule'!$N$24&gt;0,MOD($A353-'Recurring Schedule'!$F$24,'Recurring Schedule'!$N$24)=0,IF('Recurring Schedule'!$O$24&gt;0,AND(DAY($A353)=MIN(DAY('Recurring Schedule'!$F$24),DAY(EOMONTH($A353,0))),MOD((YEAR($A353)-YEAR('Recurring Schedule'!$F$24))*12+MONTH($A353)-MONTH('Recurring Schedule'!$F$24),'Recurring Schedule'!$O$24)=0),IF('Recurring Schedule'!$E$24="Weekdays",WEEKDAY($A353,2)&lt;=5,$A353='Recurring Schedule'!$F$24))),19,""))))</f>
        <v/>
      </c>
      <c r="U353">
        <f>IF('Recurring Schedule'!$C$25="","",IF('Recurring Schedule'!$F$25="","",IF(OR($A353&lt;'Recurring Schedule'!$F$25,$A353&gt;'Recurring Schedule'!$P$25),"",IF(IF('Recurring Schedule'!$N$25&gt;0,MOD($A353-'Recurring Schedule'!$F$25,'Recurring Schedule'!$N$25)=0,IF('Recurring Schedule'!$O$25&gt;0,AND(DAY($A353)=MIN(DAY('Recurring Schedule'!$F$25),DAY(EOMONTH($A353,0))),MOD((YEAR($A353)-YEAR('Recurring Schedule'!$F$25))*12+MONTH($A353)-MONTH('Recurring Schedule'!$F$25),'Recurring Schedule'!$O$25)=0),IF('Recurring Schedule'!$E$25="Weekdays",WEEKDAY($A353,2)&lt;=5,$A353='Recurring Schedule'!$F$25))),20,""))))</f>
        <v/>
      </c>
      <c r="V353">
        <f>IF('Recurring Schedule'!$C$26="","",IF('Recurring Schedule'!$F$26="","",IF(OR($A353&lt;'Recurring Schedule'!$F$26,$A353&gt;'Recurring Schedule'!$P$26),"",IF(IF('Recurring Schedule'!$N$26&gt;0,MOD($A353-'Recurring Schedule'!$F$26,'Recurring Schedule'!$N$26)=0,IF('Recurring Schedule'!$O$26&gt;0,AND(DAY($A353)=MIN(DAY('Recurring Schedule'!$F$26),DAY(EOMONTH($A353,0))),MOD((YEAR($A353)-YEAR('Recurring Schedule'!$F$26))*12+MONTH($A353)-MONTH('Recurring Schedule'!$F$26),'Recurring Schedule'!$O$26)=0),IF('Recurring Schedule'!$E$26="Weekdays",WEEKDAY($A353,2)&lt;=5,$A353='Recurring Schedule'!$F$26))),21,""))))</f>
        <v/>
      </c>
      <c r="W353">
        <f>IF('Recurring Schedule'!$C$27="","",IF('Recurring Schedule'!$F$27="","",IF(OR($A353&lt;'Recurring Schedule'!$F$27,$A353&gt;'Recurring Schedule'!$P$27),"",IF(IF('Recurring Schedule'!$N$27&gt;0,MOD($A353-'Recurring Schedule'!$F$27,'Recurring Schedule'!$N$27)=0,IF('Recurring Schedule'!$O$27&gt;0,AND(DAY($A353)=MIN(DAY('Recurring Schedule'!$F$27),DAY(EOMONTH($A353,0))),MOD((YEAR($A353)-YEAR('Recurring Schedule'!$F$27))*12+MONTH($A353)-MONTH('Recurring Schedule'!$F$27),'Recurring Schedule'!$O$27)=0),IF('Recurring Schedule'!$E$27="Weekdays",WEEKDAY($A353,2)&lt;=5,$A353='Recurring Schedule'!$F$27))),22,""))))</f>
        <v/>
      </c>
      <c r="X353">
        <f>IF('Recurring Schedule'!$C$28="","",IF('Recurring Schedule'!$F$28="","",IF(OR($A353&lt;'Recurring Schedule'!$F$28,$A353&gt;'Recurring Schedule'!$P$28),"",IF(IF('Recurring Schedule'!$N$28&gt;0,MOD($A353-'Recurring Schedule'!$F$28,'Recurring Schedule'!$N$28)=0,IF('Recurring Schedule'!$O$28&gt;0,AND(DAY($A353)=MIN(DAY('Recurring Schedule'!$F$28),DAY(EOMONTH($A353,0))),MOD((YEAR($A353)-YEAR('Recurring Schedule'!$F$28))*12+MONTH($A353)-MONTH('Recurring Schedule'!$F$28),'Recurring Schedule'!$O$28)=0),IF('Recurring Schedule'!$E$28="Weekdays",WEEKDAY($A353,2)&lt;=5,$A353='Recurring Schedule'!$F$28))),23,""))))</f>
        <v/>
      </c>
      <c r="Y353">
        <f>IF('Recurring Schedule'!$C$29="","",IF('Recurring Schedule'!$F$29="","",IF(OR($A353&lt;'Recurring Schedule'!$F$29,$A353&gt;'Recurring Schedule'!$P$29),"",IF(IF('Recurring Schedule'!$N$29&gt;0,MOD($A353-'Recurring Schedule'!$F$29,'Recurring Schedule'!$N$29)=0,IF('Recurring Schedule'!$O$29&gt;0,AND(DAY($A353)=MIN(DAY('Recurring Schedule'!$F$29),DAY(EOMONTH($A353,0))),MOD((YEAR($A353)-YEAR('Recurring Schedule'!$F$29))*12+MONTH($A353)-MONTH('Recurring Schedule'!$F$29),'Recurring Schedule'!$O$29)=0),IF('Recurring Schedule'!$E$29="Weekdays",WEEKDAY($A353,2)&lt;=5,$A353='Recurring Schedule'!$F$29))),24,""))))</f>
        <v/>
      </c>
      <c r="Z353">
        <f>IF('Recurring Schedule'!$C$30="","",IF('Recurring Schedule'!$F$30="","",IF(OR($A353&lt;'Recurring Schedule'!$F$30,$A353&gt;'Recurring Schedule'!$P$30),"",IF(IF('Recurring Schedule'!$N$30&gt;0,MOD($A353-'Recurring Schedule'!$F$30,'Recurring Schedule'!$N$30)=0,IF('Recurring Schedule'!$O$30&gt;0,AND(DAY($A353)=MIN(DAY('Recurring Schedule'!$F$30),DAY(EOMONTH($A353,0))),MOD((YEAR($A353)-YEAR('Recurring Schedule'!$F$30))*12+MONTH($A353)-MONTH('Recurring Schedule'!$F$30),'Recurring Schedule'!$O$30)=0),IF('Recurring Schedule'!$E$30="Weekdays",WEEKDAY($A353,2)&lt;=5,$A353='Recurring Schedule'!$F$30))),25,""))))</f>
        <v/>
      </c>
      <c r="AA353">
        <f>IF('Recurring Schedule'!$C$31="","",IF('Recurring Schedule'!$F$31="","",IF(OR($A353&lt;'Recurring Schedule'!$F$31,$A353&gt;'Recurring Schedule'!$P$31),"",IF(IF('Recurring Schedule'!$N$31&gt;0,MOD($A353-'Recurring Schedule'!$F$31,'Recurring Schedule'!$N$31)=0,IF('Recurring Schedule'!$O$31&gt;0,AND(DAY($A353)=MIN(DAY('Recurring Schedule'!$F$31),DAY(EOMONTH($A353,0))),MOD((YEAR($A353)-YEAR('Recurring Schedule'!$F$31))*12+MONTH($A353)-MONTH('Recurring Schedule'!$F$31),'Recurring Schedule'!$O$31)=0),IF('Recurring Schedule'!$E$31="Weekdays",WEEKDAY($A353,2)&lt;=5,$A353='Recurring Schedule'!$F$31))),26,""))))</f>
        <v/>
      </c>
      <c r="AB353">
        <f>IF('Recurring Schedule'!$C$32="","",IF('Recurring Schedule'!$F$32="","",IF(OR($A353&lt;'Recurring Schedule'!$F$32,$A353&gt;'Recurring Schedule'!$P$32),"",IF(IF('Recurring Schedule'!$N$32&gt;0,MOD($A353-'Recurring Schedule'!$F$32,'Recurring Schedule'!$N$32)=0,IF('Recurring Schedule'!$O$32&gt;0,AND(DAY($A353)=MIN(DAY('Recurring Schedule'!$F$32),DAY(EOMONTH($A353,0))),MOD((YEAR($A353)-YEAR('Recurring Schedule'!$F$32))*12+MONTH($A353)-MONTH('Recurring Schedule'!$F$32),'Recurring Schedule'!$O$32)=0),IF('Recurring Schedule'!$E$32="Weekdays",WEEKDAY($A353,2)&lt;=5,$A353='Recurring Schedule'!$F$32))),27,""))))</f>
        <v/>
      </c>
      <c r="AC353">
        <f>IF('Recurring Schedule'!$C$33="","",IF('Recurring Schedule'!$F$33="","",IF(OR($A353&lt;'Recurring Schedule'!$F$33,$A353&gt;'Recurring Schedule'!$P$33),"",IF(IF('Recurring Schedule'!$N$33&gt;0,MOD($A353-'Recurring Schedule'!$F$33,'Recurring Schedule'!$N$33)=0,IF('Recurring Schedule'!$O$33&gt;0,AND(DAY($A353)=MIN(DAY('Recurring Schedule'!$F$33),DAY(EOMONTH($A353,0))),MOD((YEAR($A353)-YEAR('Recurring Schedule'!$F$33))*12+MONTH($A353)-MONTH('Recurring Schedule'!$F$33),'Recurring Schedule'!$O$33)=0),IF('Recurring Schedule'!$E$33="Weekdays",WEEKDAY($A353,2)&lt;=5,$A353='Recurring Schedule'!$F$33))),28,""))))</f>
        <v/>
      </c>
      <c r="AD353">
        <f>IF('Recurring Schedule'!$C$34="","",IF('Recurring Schedule'!$F$34="","",IF(OR($A353&lt;'Recurring Schedule'!$F$34,$A353&gt;'Recurring Schedule'!$P$34),"",IF(IF('Recurring Schedule'!$N$34&gt;0,MOD($A353-'Recurring Schedule'!$F$34,'Recurring Schedule'!$N$34)=0,IF('Recurring Schedule'!$O$34&gt;0,AND(DAY($A353)=MIN(DAY('Recurring Schedule'!$F$34),DAY(EOMONTH($A353,0))),MOD((YEAR($A353)-YEAR('Recurring Schedule'!$F$34))*12+MONTH($A353)-MONTH('Recurring Schedule'!$F$34),'Recurring Schedule'!$O$34)=0),IF('Recurring Schedule'!$E$34="Weekdays",WEEKDAY($A353,2)&lt;=5,$A353='Recurring Schedule'!$F$34))),29,""))))</f>
        <v/>
      </c>
      <c r="AE353">
        <f>IF('Recurring Schedule'!$C$35="","",IF('Recurring Schedule'!$F$35="","",IF(OR($A353&lt;'Recurring Schedule'!$F$35,$A353&gt;'Recurring Schedule'!$P$35),"",IF(IF('Recurring Schedule'!$N$35&gt;0,MOD($A353-'Recurring Schedule'!$F$35,'Recurring Schedule'!$N$35)=0,IF('Recurring Schedule'!$O$35&gt;0,AND(DAY($A353)=MIN(DAY('Recurring Schedule'!$F$35),DAY(EOMONTH($A353,0))),MOD((YEAR($A353)-YEAR('Recurring Schedule'!$F$35))*12+MONTH($A353)-MONTH('Recurring Schedule'!$F$35),'Recurring Schedule'!$O$35)=0),IF('Recurring Schedule'!$E$35="Weekdays",WEEKDAY($A353,2)&lt;=5,$A353='Recurring Schedule'!$F$35))),30,""))))</f>
        <v/>
      </c>
      <c r="AF353">
        <f>IF('Recurring Schedule'!$C$36="","",IF('Recurring Schedule'!$F$36="","",IF(OR($A353&lt;'Recurring Schedule'!$F$36,$A353&gt;'Recurring Schedule'!$P$36),"",IF(IF('Recurring Schedule'!$N$36&gt;0,MOD($A353-'Recurring Schedule'!$F$36,'Recurring Schedule'!$N$36)=0,IF('Recurring Schedule'!$O$36&gt;0,AND(DAY($A353)=MIN(DAY('Recurring Schedule'!$F$36),DAY(EOMONTH($A353,0))),MOD((YEAR($A353)-YEAR('Recurring Schedule'!$F$36))*12+MONTH($A353)-MONTH('Recurring Schedule'!$F$36),'Recurring Schedule'!$O$36)=0),IF('Recurring Schedule'!$E$36="Weekdays",WEEKDAY($A353,2)&lt;=5,$A353='Recurring Schedule'!$F$36))),31,""))))</f>
        <v/>
      </c>
      <c r="AG353">
        <f>IF('Recurring Schedule'!$C$37="","",IF('Recurring Schedule'!$F$37="","",IF(OR($A353&lt;'Recurring Schedule'!$F$37,$A353&gt;'Recurring Schedule'!$P$37),"",IF(IF('Recurring Schedule'!$N$37&gt;0,MOD($A353-'Recurring Schedule'!$F$37,'Recurring Schedule'!$N$37)=0,IF('Recurring Schedule'!$O$37&gt;0,AND(DAY($A353)=MIN(DAY('Recurring Schedule'!$F$37),DAY(EOMONTH($A353,0))),MOD((YEAR($A353)-YEAR('Recurring Schedule'!$F$37))*12+MONTH($A353)-MONTH('Recurring Schedule'!$F$37),'Recurring Schedule'!$O$37)=0),IF('Recurring Schedule'!$E$37="Weekdays",WEEKDAY($A353,2)&lt;=5,$A353='Recurring Schedule'!$F$37))),32,""))))</f>
        <v/>
      </c>
      <c r="AH353">
        <f>IF('Recurring Schedule'!$C$38="","",IF('Recurring Schedule'!$F$38="","",IF(OR($A353&lt;'Recurring Schedule'!$F$38,$A353&gt;'Recurring Schedule'!$P$38),"",IF(IF('Recurring Schedule'!$N$38&gt;0,MOD($A353-'Recurring Schedule'!$F$38,'Recurring Schedule'!$N$38)=0,IF('Recurring Schedule'!$O$38&gt;0,AND(DAY($A353)=MIN(DAY('Recurring Schedule'!$F$38),DAY(EOMONTH($A353,0))),MOD((YEAR($A353)-YEAR('Recurring Schedule'!$F$38))*12+MONTH($A353)-MONTH('Recurring Schedule'!$F$38),'Recurring Schedule'!$O$38)=0),IF('Recurring Schedule'!$E$38="Weekdays",WEEKDAY($A353,2)&lt;=5,$A353='Recurring Schedule'!$F$38))),33,""))))</f>
        <v/>
      </c>
      <c r="AI353">
        <f>IF('Recurring Schedule'!$C$39="","",IF('Recurring Schedule'!$F$39="","",IF(OR($A353&lt;'Recurring Schedule'!$F$39,$A353&gt;'Recurring Schedule'!$P$39),"",IF(IF('Recurring Schedule'!$N$39&gt;0,MOD($A353-'Recurring Schedule'!$F$39,'Recurring Schedule'!$N$39)=0,IF('Recurring Schedule'!$O$39&gt;0,AND(DAY($A353)=MIN(DAY('Recurring Schedule'!$F$39),DAY(EOMONTH($A353,0))),MOD((YEAR($A353)-YEAR('Recurring Schedule'!$F$39))*12+MONTH($A353)-MONTH('Recurring Schedule'!$F$39),'Recurring Schedule'!$O$39)=0),IF('Recurring Schedule'!$E$39="Weekdays",WEEKDAY($A353,2)&lt;=5,$A353='Recurring Schedule'!$F$39))),34,""))))</f>
        <v/>
      </c>
      <c r="AJ353">
        <f>IF('Recurring Schedule'!$C$40="","",IF('Recurring Schedule'!$F$40="","",IF(OR($A353&lt;'Recurring Schedule'!$F$40,$A353&gt;'Recurring Schedule'!$P$40),"",IF(IF('Recurring Schedule'!$N$40&gt;0,MOD($A353-'Recurring Schedule'!$F$40,'Recurring Schedule'!$N$40)=0,IF('Recurring Schedule'!$O$40&gt;0,AND(DAY($A353)=MIN(DAY('Recurring Schedule'!$F$40),DAY(EOMONTH($A353,0))),MOD((YEAR($A353)-YEAR('Recurring Schedule'!$F$40))*12+MONTH($A353)-MONTH('Recurring Schedule'!$F$40),'Recurring Schedule'!$O$40)=0),IF('Recurring Schedule'!$E$40="Weekdays",WEEKDAY($A353,2)&lt;=5,$A353='Recurring Schedule'!$F$40))),35,""))))</f>
        <v/>
      </c>
      <c r="AK353">
        <f>IF('Recurring Schedule'!$C$41="","",IF('Recurring Schedule'!$F$41="","",IF(OR($A353&lt;'Recurring Schedule'!$F$41,$A353&gt;'Recurring Schedule'!$P$41),"",IF(IF('Recurring Schedule'!$N$41&gt;0,MOD($A353-'Recurring Schedule'!$F$41,'Recurring Schedule'!$N$41)=0,IF('Recurring Schedule'!$O$41&gt;0,AND(DAY($A353)=MIN(DAY('Recurring Schedule'!$F$41),DAY(EOMONTH($A353,0))),MOD((YEAR($A353)-YEAR('Recurring Schedule'!$F$41))*12+MONTH($A353)-MONTH('Recurring Schedule'!$F$41),'Recurring Schedule'!$O$41)=0),IF('Recurring Schedule'!$E$41="Weekdays",WEEKDAY($A353,2)&lt;=5,$A353='Recurring Schedule'!$F$41))),36,""))))</f>
        <v/>
      </c>
      <c r="AL353">
        <f>IF('Recurring Schedule'!$C$42="","",IF('Recurring Schedule'!$F$42="","",IF(OR($A353&lt;'Recurring Schedule'!$F$42,$A353&gt;'Recurring Schedule'!$P$42),"",IF(IF('Recurring Schedule'!$N$42&gt;0,MOD($A353-'Recurring Schedule'!$F$42,'Recurring Schedule'!$N$42)=0,IF('Recurring Schedule'!$O$42&gt;0,AND(DAY($A353)=MIN(DAY('Recurring Schedule'!$F$42),DAY(EOMONTH($A353,0))),MOD((YEAR($A353)-YEAR('Recurring Schedule'!$F$42))*12+MONTH($A353)-MONTH('Recurring Schedule'!$F$42),'Recurring Schedule'!$O$42)=0),IF('Recurring Schedule'!$E$42="Weekdays",WEEKDAY($A353,2)&lt;=5,$A353='Recurring Schedule'!$F$42))),37,""))))</f>
        <v/>
      </c>
      <c r="AM353">
        <f>IF('Recurring Schedule'!$C$43="","",IF('Recurring Schedule'!$F$43="","",IF(OR($A353&lt;'Recurring Schedule'!$F$43,$A353&gt;'Recurring Schedule'!$P$43),"",IF(IF('Recurring Schedule'!$N$43&gt;0,MOD($A353-'Recurring Schedule'!$F$43,'Recurring Schedule'!$N$43)=0,IF('Recurring Schedule'!$O$43&gt;0,AND(DAY($A353)=MIN(DAY('Recurring Schedule'!$F$43),DAY(EOMONTH($A353,0))),MOD((YEAR($A353)-YEAR('Recurring Schedule'!$F$43))*12+MONTH($A353)-MONTH('Recurring Schedule'!$F$43),'Recurring Schedule'!$O$43)=0),IF('Recurring Schedule'!$E$43="Weekdays",WEEKDAY($A353,2)&lt;=5,$A353='Recurring Schedule'!$F$43))),38,""))))</f>
        <v/>
      </c>
      <c r="AN353">
        <f>IF('Recurring Schedule'!$C$44="","",IF('Recurring Schedule'!$F$44="","",IF(OR($A353&lt;'Recurring Schedule'!$F$44,$A353&gt;'Recurring Schedule'!$P$44),"",IF(IF('Recurring Schedule'!$N$44&gt;0,MOD($A353-'Recurring Schedule'!$F$44,'Recurring Schedule'!$N$44)=0,IF('Recurring Schedule'!$O$44&gt;0,AND(DAY($A353)=MIN(DAY('Recurring Schedule'!$F$44),DAY(EOMONTH($A353,0))),MOD((YEAR($A353)-YEAR('Recurring Schedule'!$F$44))*12+MONTH($A353)-MONTH('Recurring Schedule'!$F$44),'Recurring Schedule'!$O$44)=0),IF('Recurring Schedule'!$E$44="Weekdays",WEEKDAY($A353,2)&lt;=5,$A353='Recurring Schedule'!$F$44))),39,""))))</f>
        <v/>
      </c>
      <c r="AO353">
        <f>IF('Recurring Schedule'!$C$45="","",IF('Recurring Schedule'!$F$45="","",IF(OR($A353&lt;'Recurring Schedule'!$F$45,$A353&gt;'Recurring Schedule'!$P$45),"",IF(IF('Recurring Schedule'!$N$45&gt;0,MOD($A353-'Recurring Schedule'!$F$45,'Recurring Schedule'!$N$45)=0,IF('Recurring Schedule'!$O$45&gt;0,AND(DAY($A353)=MIN(DAY('Recurring Schedule'!$F$45),DAY(EOMONTH($A353,0))),MOD((YEAR($A353)-YEAR('Recurring Schedule'!$F$45))*12+MONTH($A353)-MONTH('Recurring Schedule'!$F$45),'Recurring Schedule'!$O$45)=0),IF('Recurring Schedule'!$E$45="Weekdays",WEEKDAY($A353,2)&lt;=5,$A353='Recurring Schedule'!$F$45))),40,""))))</f>
        <v/>
      </c>
      <c r="AP353">
        <f>COUNT(B353:AO353)</f>
        <v/>
      </c>
      <c r="AQ353">
        <f>AQ352+AP352</f>
        <v/>
      </c>
      <c r="AS353" t="inlineStr">
        <is>
          <t>R</t>
        </is>
      </c>
      <c r="AT353" t="n">
        <v>357</v>
      </c>
      <c r="AU353">
        <f>'Recurring Log'!C357&amp;""</f>
        <v/>
      </c>
      <c r="AV353">
        <f>'Recurring Log'!D357&amp;""</f>
        <v/>
      </c>
      <c r="AW353">
        <f>IF('Recurring Log'!E357="","",'Recurring Log'!E357)</f>
        <v/>
      </c>
      <c r="AX353">
        <f>IF('Recurring Log'!G357="","",'Recurring Log'!G357)</f>
        <v/>
      </c>
      <c r="AY353">
        <f>IF('Recurring Log'!H357="","",'Recurring Log'!H357)</f>
        <v/>
      </c>
      <c r="AZ353">
        <f>IF(AU353="","",IF('Recurring Log'!J357="","Not Started",'Recurring Log'!J357))</f>
        <v/>
      </c>
      <c r="BA353">
        <f>'Recurring Log'!L357&amp;""</f>
        <v/>
      </c>
      <c r="BB353">
        <f>'Recurring Log'!M357&amp;""</f>
        <v/>
      </c>
      <c r="BC353">
        <f>'Recurring Log'!N357&amp;""</f>
        <v/>
      </c>
      <c r="BD353">
        <f>'Recurring Log'!O357&amp;""</f>
        <v/>
      </c>
      <c r="BE353">
        <f>IF('Recurring Log'!K357="","",'Recurring Log'!K357)</f>
        <v/>
      </c>
      <c r="BF353">
        <f>IFERROR(MATCH(BA353,Setup!$L$6:$L$9,0),5)</f>
        <v/>
      </c>
      <c r="BG353">
        <f>IF(OR(AZ353="Done",AZ353="Cancelled"),1,0)</f>
        <v/>
      </c>
      <c r="BH353">
        <f>IF(AND(AU353&lt;&gt;"",ISNUMBER(AW353)),1,0)</f>
        <v/>
      </c>
      <c r="BI353">
        <f>IF(BH353=0,0,IF(AND(AW353&gt;='Tasks Filter'!$F$3,AW353&lt;='Tasks Filter'!$F$4,OR('Tasks Filter'!$I$3="",ISNUMBER(SEARCH('Tasks Filter'!$I$3,AU353))),OR('Tasks Filter'!$I$4="",BF353=IFERROR(MATCH('Tasks Filter'!$I$4,Setup!$L$6:$L$9,0),0)),OR('Tasks Filter'!$I$5="Both",AND('Tasks Filter'!$I$5="Yes",BB353="✓"),AND('Tasks Filter'!$I$5="No",BB353&lt;&gt;"✓")),OR('Tasks Filter'!$L$3="",AV353='Tasks Filter'!$L$3),OR('Tasks Filter'!$L$4="",AZ353='Tasks Filter'!$L$4),OR('Tasks Filter'!$L$5="",BC353='Tasks Filter'!$L$5),OR('Tasks Filter'!$O$3="",BD353='Tasks Filter'!$O$3),OR('Tasks Filter'!$O$4="Yes",BG353=0)),1,0))</f>
        <v/>
      </c>
      <c r="BJ353">
        <f>IF(BH353=0,"",IF('Tasks Filter'!$F$6="Descending",-1,1)*CHOOSE(MATCH('Tasks Filter'!$F$5,Lists!$G$2:$G$6,0),AW353,BF353,IFERROR(MATCH(AV353,Setup!$F$6:$F$15,0),99),IFERROR(MATCH(BC353,Setup!$H$6:$H$15,0),99),IFERROR(MATCH(AZ353,Setup!$J$6:$J$11,0),99))*1E+9+(AW353-40000)*10000+352)</f>
        <v/>
      </c>
      <c r="BK353">
        <f>IF(BI353=1,BJ353,"")</f>
        <v/>
      </c>
      <c r="BL353">
        <f>IF(AND(BH353=1,BG353=0,N(AW353)&lt;Setup!$D$7),(AW353-40000)*10000+352,"")</f>
        <v/>
      </c>
      <c r="BM353">
        <f>IF(AND(BH353=1,AZ353&lt;&gt;"Cancelled",N(AW353)&gt;=Dashboard!$AB$3,N(AW353)&lt;=Dashboard!$AB$3+6),(AW353-40000)*100000+BF353*10000+352,"")</f>
        <v/>
      </c>
      <c r="BN353">
        <f>IF(AND(BH353=1,AZ353&lt;&gt;"Cancelled"),BF353*10000+352,"")</f>
        <v/>
      </c>
    </row>
    <row r="354">
      <c r="A354">
        <f>Setup!$D$5+352</f>
        <v/>
      </c>
      <c r="B354">
        <f>IF('Recurring Schedule'!$C$6="","",IF('Recurring Schedule'!$F$6="","",IF(OR($A354&lt;'Recurring Schedule'!$F$6,$A354&gt;'Recurring Schedule'!$P$6),"",IF(IF('Recurring Schedule'!$N$6&gt;0,MOD($A354-'Recurring Schedule'!$F$6,'Recurring Schedule'!$N$6)=0,IF('Recurring Schedule'!$O$6&gt;0,AND(DAY($A354)=MIN(DAY('Recurring Schedule'!$F$6),DAY(EOMONTH($A354,0))),MOD((YEAR($A354)-YEAR('Recurring Schedule'!$F$6))*12+MONTH($A354)-MONTH('Recurring Schedule'!$F$6),'Recurring Schedule'!$O$6)=0),IF('Recurring Schedule'!$E$6="Weekdays",WEEKDAY($A354,2)&lt;=5,$A354='Recurring Schedule'!$F$6))),1,""))))</f>
        <v/>
      </c>
      <c r="C354">
        <f>IF('Recurring Schedule'!$C$7="","",IF('Recurring Schedule'!$F$7="","",IF(OR($A354&lt;'Recurring Schedule'!$F$7,$A354&gt;'Recurring Schedule'!$P$7),"",IF(IF('Recurring Schedule'!$N$7&gt;0,MOD($A354-'Recurring Schedule'!$F$7,'Recurring Schedule'!$N$7)=0,IF('Recurring Schedule'!$O$7&gt;0,AND(DAY($A354)=MIN(DAY('Recurring Schedule'!$F$7),DAY(EOMONTH($A354,0))),MOD((YEAR($A354)-YEAR('Recurring Schedule'!$F$7))*12+MONTH($A354)-MONTH('Recurring Schedule'!$F$7),'Recurring Schedule'!$O$7)=0),IF('Recurring Schedule'!$E$7="Weekdays",WEEKDAY($A354,2)&lt;=5,$A354='Recurring Schedule'!$F$7))),2,""))))</f>
        <v/>
      </c>
      <c r="D354">
        <f>IF('Recurring Schedule'!$C$8="","",IF('Recurring Schedule'!$F$8="","",IF(OR($A354&lt;'Recurring Schedule'!$F$8,$A354&gt;'Recurring Schedule'!$P$8),"",IF(IF('Recurring Schedule'!$N$8&gt;0,MOD($A354-'Recurring Schedule'!$F$8,'Recurring Schedule'!$N$8)=0,IF('Recurring Schedule'!$O$8&gt;0,AND(DAY($A354)=MIN(DAY('Recurring Schedule'!$F$8),DAY(EOMONTH($A354,0))),MOD((YEAR($A354)-YEAR('Recurring Schedule'!$F$8))*12+MONTH($A354)-MONTH('Recurring Schedule'!$F$8),'Recurring Schedule'!$O$8)=0),IF('Recurring Schedule'!$E$8="Weekdays",WEEKDAY($A354,2)&lt;=5,$A354='Recurring Schedule'!$F$8))),3,""))))</f>
        <v/>
      </c>
      <c r="E354">
        <f>IF('Recurring Schedule'!$C$9="","",IF('Recurring Schedule'!$F$9="","",IF(OR($A354&lt;'Recurring Schedule'!$F$9,$A354&gt;'Recurring Schedule'!$P$9),"",IF(IF('Recurring Schedule'!$N$9&gt;0,MOD($A354-'Recurring Schedule'!$F$9,'Recurring Schedule'!$N$9)=0,IF('Recurring Schedule'!$O$9&gt;0,AND(DAY($A354)=MIN(DAY('Recurring Schedule'!$F$9),DAY(EOMONTH($A354,0))),MOD((YEAR($A354)-YEAR('Recurring Schedule'!$F$9))*12+MONTH($A354)-MONTH('Recurring Schedule'!$F$9),'Recurring Schedule'!$O$9)=0),IF('Recurring Schedule'!$E$9="Weekdays",WEEKDAY($A354,2)&lt;=5,$A354='Recurring Schedule'!$F$9))),4,""))))</f>
        <v/>
      </c>
      <c r="F354">
        <f>IF('Recurring Schedule'!$C$10="","",IF('Recurring Schedule'!$F$10="","",IF(OR($A354&lt;'Recurring Schedule'!$F$10,$A354&gt;'Recurring Schedule'!$P$10),"",IF(IF('Recurring Schedule'!$N$10&gt;0,MOD($A354-'Recurring Schedule'!$F$10,'Recurring Schedule'!$N$10)=0,IF('Recurring Schedule'!$O$10&gt;0,AND(DAY($A354)=MIN(DAY('Recurring Schedule'!$F$10),DAY(EOMONTH($A354,0))),MOD((YEAR($A354)-YEAR('Recurring Schedule'!$F$10))*12+MONTH($A354)-MONTH('Recurring Schedule'!$F$10),'Recurring Schedule'!$O$10)=0),IF('Recurring Schedule'!$E$10="Weekdays",WEEKDAY($A354,2)&lt;=5,$A354='Recurring Schedule'!$F$10))),5,""))))</f>
        <v/>
      </c>
      <c r="G354">
        <f>IF('Recurring Schedule'!$C$11="","",IF('Recurring Schedule'!$F$11="","",IF(OR($A354&lt;'Recurring Schedule'!$F$11,$A354&gt;'Recurring Schedule'!$P$11),"",IF(IF('Recurring Schedule'!$N$11&gt;0,MOD($A354-'Recurring Schedule'!$F$11,'Recurring Schedule'!$N$11)=0,IF('Recurring Schedule'!$O$11&gt;0,AND(DAY($A354)=MIN(DAY('Recurring Schedule'!$F$11),DAY(EOMONTH($A354,0))),MOD((YEAR($A354)-YEAR('Recurring Schedule'!$F$11))*12+MONTH($A354)-MONTH('Recurring Schedule'!$F$11),'Recurring Schedule'!$O$11)=0),IF('Recurring Schedule'!$E$11="Weekdays",WEEKDAY($A354,2)&lt;=5,$A354='Recurring Schedule'!$F$11))),6,""))))</f>
        <v/>
      </c>
      <c r="H354">
        <f>IF('Recurring Schedule'!$C$12="","",IF('Recurring Schedule'!$F$12="","",IF(OR($A354&lt;'Recurring Schedule'!$F$12,$A354&gt;'Recurring Schedule'!$P$12),"",IF(IF('Recurring Schedule'!$N$12&gt;0,MOD($A354-'Recurring Schedule'!$F$12,'Recurring Schedule'!$N$12)=0,IF('Recurring Schedule'!$O$12&gt;0,AND(DAY($A354)=MIN(DAY('Recurring Schedule'!$F$12),DAY(EOMONTH($A354,0))),MOD((YEAR($A354)-YEAR('Recurring Schedule'!$F$12))*12+MONTH($A354)-MONTH('Recurring Schedule'!$F$12),'Recurring Schedule'!$O$12)=0),IF('Recurring Schedule'!$E$12="Weekdays",WEEKDAY($A354,2)&lt;=5,$A354='Recurring Schedule'!$F$12))),7,""))))</f>
        <v/>
      </c>
      <c r="I354">
        <f>IF('Recurring Schedule'!$C$13="","",IF('Recurring Schedule'!$F$13="","",IF(OR($A354&lt;'Recurring Schedule'!$F$13,$A354&gt;'Recurring Schedule'!$P$13),"",IF(IF('Recurring Schedule'!$N$13&gt;0,MOD($A354-'Recurring Schedule'!$F$13,'Recurring Schedule'!$N$13)=0,IF('Recurring Schedule'!$O$13&gt;0,AND(DAY($A354)=MIN(DAY('Recurring Schedule'!$F$13),DAY(EOMONTH($A354,0))),MOD((YEAR($A354)-YEAR('Recurring Schedule'!$F$13))*12+MONTH($A354)-MONTH('Recurring Schedule'!$F$13),'Recurring Schedule'!$O$13)=0),IF('Recurring Schedule'!$E$13="Weekdays",WEEKDAY($A354,2)&lt;=5,$A354='Recurring Schedule'!$F$13))),8,""))))</f>
        <v/>
      </c>
      <c r="J354">
        <f>IF('Recurring Schedule'!$C$14="","",IF('Recurring Schedule'!$F$14="","",IF(OR($A354&lt;'Recurring Schedule'!$F$14,$A354&gt;'Recurring Schedule'!$P$14),"",IF(IF('Recurring Schedule'!$N$14&gt;0,MOD($A354-'Recurring Schedule'!$F$14,'Recurring Schedule'!$N$14)=0,IF('Recurring Schedule'!$O$14&gt;0,AND(DAY($A354)=MIN(DAY('Recurring Schedule'!$F$14),DAY(EOMONTH($A354,0))),MOD((YEAR($A354)-YEAR('Recurring Schedule'!$F$14))*12+MONTH($A354)-MONTH('Recurring Schedule'!$F$14),'Recurring Schedule'!$O$14)=0),IF('Recurring Schedule'!$E$14="Weekdays",WEEKDAY($A354,2)&lt;=5,$A354='Recurring Schedule'!$F$14))),9,""))))</f>
        <v/>
      </c>
      <c r="K354">
        <f>IF('Recurring Schedule'!$C$15="","",IF('Recurring Schedule'!$F$15="","",IF(OR($A354&lt;'Recurring Schedule'!$F$15,$A354&gt;'Recurring Schedule'!$P$15),"",IF(IF('Recurring Schedule'!$N$15&gt;0,MOD($A354-'Recurring Schedule'!$F$15,'Recurring Schedule'!$N$15)=0,IF('Recurring Schedule'!$O$15&gt;0,AND(DAY($A354)=MIN(DAY('Recurring Schedule'!$F$15),DAY(EOMONTH($A354,0))),MOD((YEAR($A354)-YEAR('Recurring Schedule'!$F$15))*12+MONTH($A354)-MONTH('Recurring Schedule'!$F$15),'Recurring Schedule'!$O$15)=0),IF('Recurring Schedule'!$E$15="Weekdays",WEEKDAY($A354,2)&lt;=5,$A354='Recurring Schedule'!$F$15))),10,""))))</f>
        <v/>
      </c>
      <c r="L354">
        <f>IF('Recurring Schedule'!$C$16="","",IF('Recurring Schedule'!$F$16="","",IF(OR($A354&lt;'Recurring Schedule'!$F$16,$A354&gt;'Recurring Schedule'!$P$16),"",IF(IF('Recurring Schedule'!$N$16&gt;0,MOD($A354-'Recurring Schedule'!$F$16,'Recurring Schedule'!$N$16)=0,IF('Recurring Schedule'!$O$16&gt;0,AND(DAY($A354)=MIN(DAY('Recurring Schedule'!$F$16),DAY(EOMONTH($A354,0))),MOD((YEAR($A354)-YEAR('Recurring Schedule'!$F$16))*12+MONTH($A354)-MONTH('Recurring Schedule'!$F$16),'Recurring Schedule'!$O$16)=0),IF('Recurring Schedule'!$E$16="Weekdays",WEEKDAY($A354,2)&lt;=5,$A354='Recurring Schedule'!$F$16))),11,""))))</f>
        <v/>
      </c>
      <c r="M354">
        <f>IF('Recurring Schedule'!$C$17="","",IF('Recurring Schedule'!$F$17="","",IF(OR($A354&lt;'Recurring Schedule'!$F$17,$A354&gt;'Recurring Schedule'!$P$17),"",IF(IF('Recurring Schedule'!$N$17&gt;0,MOD($A354-'Recurring Schedule'!$F$17,'Recurring Schedule'!$N$17)=0,IF('Recurring Schedule'!$O$17&gt;0,AND(DAY($A354)=MIN(DAY('Recurring Schedule'!$F$17),DAY(EOMONTH($A354,0))),MOD((YEAR($A354)-YEAR('Recurring Schedule'!$F$17))*12+MONTH($A354)-MONTH('Recurring Schedule'!$F$17),'Recurring Schedule'!$O$17)=0),IF('Recurring Schedule'!$E$17="Weekdays",WEEKDAY($A354,2)&lt;=5,$A354='Recurring Schedule'!$F$17))),12,""))))</f>
        <v/>
      </c>
      <c r="N354">
        <f>IF('Recurring Schedule'!$C$18="","",IF('Recurring Schedule'!$F$18="","",IF(OR($A354&lt;'Recurring Schedule'!$F$18,$A354&gt;'Recurring Schedule'!$P$18),"",IF(IF('Recurring Schedule'!$N$18&gt;0,MOD($A354-'Recurring Schedule'!$F$18,'Recurring Schedule'!$N$18)=0,IF('Recurring Schedule'!$O$18&gt;0,AND(DAY($A354)=MIN(DAY('Recurring Schedule'!$F$18),DAY(EOMONTH($A354,0))),MOD((YEAR($A354)-YEAR('Recurring Schedule'!$F$18))*12+MONTH($A354)-MONTH('Recurring Schedule'!$F$18),'Recurring Schedule'!$O$18)=0),IF('Recurring Schedule'!$E$18="Weekdays",WEEKDAY($A354,2)&lt;=5,$A354='Recurring Schedule'!$F$18))),13,""))))</f>
        <v/>
      </c>
      <c r="O354">
        <f>IF('Recurring Schedule'!$C$19="","",IF('Recurring Schedule'!$F$19="","",IF(OR($A354&lt;'Recurring Schedule'!$F$19,$A354&gt;'Recurring Schedule'!$P$19),"",IF(IF('Recurring Schedule'!$N$19&gt;0,MOD($A354-'Recurring Schedule'!$F$19,'Recurring Schedule'!$N$19)=0,IF('Recurring Schedule'!$O$19&gt;0,AND(DAY($A354)=MIN(DAY('Recurring Schedule'!$F$19),DAY(EOMONTH($A354,0))),MOD((YEAR($A354)-YEAR('Recurring Schedule'!$F$19))*12+MONTH($A354)-MONTH('Recurring Schedule'!$F$19),'Recurring Schedule'!$O$19)=0),IF('Recurring Schedule'!$E$19="Weekdays",WEEKDAY($A354,2)&lt;=5,$A354='Recurring Schedule'!$F$19))),14,""))))</f>
        <v/>
      </c>
      <c r="P354">
        <f>IF('Recurring Schedule'!$C$20="","",IF('Recurring Schedule'!$F$20="","",IF(OR($A354&lt;'Recurring Schedule'!$F$20,$A354&gt;'Recurring Schedule'!$P$20),"",IF(IF('Recurring Schedule'!$N$20&gt;0,MOD($A354-'Recurring Schedule'!$F$20,'Recurring Schedule'!$N$20)=0,IF('Recurring Schedule'!$O$20&gt;0,AND(DAY($A354)=MIN(DAY('Recurring Schedule'!$F$20),DAY(EOMONTH($A354,0))),MOD((YEAR($A354)-YEAR('Recurring Schedule'!$F$20))*12+MONTH($A354)-MONTH('Recurring Schedule'!$F$20),'Recurring Schedule'!$O$20)=0),IF('Recurring Schedule'!$E$20="Weekdays",WEEKDAY($A354,2)&lt;=5,$A354='Recurring Schedule'!$F$20))),15,""))))</f>
        <v/>
      </c>
      <c r="Q354">
        <f>IF('Recurring Schedule'!$C$21="","",IF('Recurring Schedule'!$F$21="","",IF(OR($A354&lt;'Recurring Schedule'!$F$21,$A354&gt;'Recurring Schedule'!$P$21),"",IF(IF('Recurring Schedule'!$N$21&gt;0,MOD($A354-'Recurring Schedule'!$F$21,'Recurring Schedule'!$N$21)=0,IF('Recurring Schedule'!$O$21&gt;0,AND(DAY($A354)=MIN(DAY('Recurring Schedule'!$F$21),DAY(EOMONTH($A354,0))),MOD((YEAR($A354)-YEAR('Recurring Schedule'!$F$21))*12+MONTH($A354)-MONTH('Recurring Schedule'!$F$21),'Recurring Schedule'!$O$21)=0),IF('Recurring Schedule'!$E$21="Weekdays",WEEKDAY($A354,2)&lt;=5,$A354='Recurring Schedule'!$F$21))),16,""))))</f>
        <v/>
      </c>
      <c r="R354">
        <f>IF('Recurring Schedule'!$C$22="","",IF('Recurring Schedule'!$F$22="","",IF(OR($A354&lt;'Recurring Schedule'!$F$22,$A354&gt;'Recurring Schedule'!$P$22),"",IF(IF('Recurring Schedule'!$N$22&gt;0,MOD($A354-'Recurring Schedule'!$F$22,'Recurring Schedule'!$N$22)=0,IF('Recurring Schedule'!$O$22&gt;0,AND(DAY($A354)=MIN(DAY('Recurring Schedule'!$F$22),DAY(EOMONTH($A354,0))),MOD((YEAR($A354)-YEAR('Recurring Schedule'!$F$22))*12+MONTH($A354)-MONTH('Recurring Schedule'!$F$22),'Recurring Schedule'!$O$22)=0),IF('Recurring Schedule'!$E$22="Weekdays",WEEKDAY($A354,2)&lt;=5,$A354='Recurring Schedule'!$F$22))),17,""))))</f>
        <v/>
      </c>
      <c r="S354">
        <f>IF('Recurring Schedule'!$C$23="","",IF('Recurring Schedule'!$F$23="","",IF(OR($A354&lt;'Recurring Schedule'!$F$23,$A354&gt;'Recurring Schedule'!$P$23),"",IF(IF('Recurring Schedule'!$N$23&gt;0,MOD($A354-'Recurring Schedule'!$F$23,'Recurring Schedule'!$N$23)=0,IF('Recurring Schedule'!$O$23&gt;0,AND(DAY($A354)=MIN(DAY('Recurring Schedule'!$F$23),DAY(EOMONTH($A354,0))),MOD((YEAR($A354)-YEAR('Recurring Schedule'!$F$23))*12+MONTH($A354)-MONTH('Recurring Schedule'!$F$23),'Recurring Schedule'!$O$23)=0),IF('Recurring Schedule'!$E$23="Weekdays",WEEKDAY($A354,2)&lt;=5,$A354='Recurring Schedule'!$F$23))),18,""))))</f>
        <v/>
      </c>
      <c r="T354">
        <f>IF('Recurring Schedule'!$C$24="","",IF('Recurring Schedule'!$F$24="","",IF(OR($A354&lt;'Recurring Schedule'!$F$24,$A354&gt;'Recurring Schedule'!$P$24),"",IF(IF('Recurring Schedule'!$N$24&gt;0,MOD($A354-'Recurring Schedule'!$F$24,'Recurring Schedule'!$N$24)=0,IF('Recurring Schedule'!$O$24&gt;0,AND(DAY($A354)=MIN(DAY('Recurring Schedule'!$F$24),DAY(EOMONTH($A354,0))),MOD((YEAR($A354)-YEAR('Recurring Schedule'!$F$24))*12+MONTH($A354)-MONTH('Recurring Schedule'!$F$24),'Recurring Schedule'!$O$24)=0),IF('Recurring Schedule'!$E$24="Weekdays",WEEKDAY($A354,2)&lt;=5,$A354='Recurring Schedule'!$F$24))),19,""))))</f>
        <v/>
      </c>
      <c r="U354">
        <f>IF('Recurring Schedule'!$C$25="","",IF('Recurring Schedule'!$F$25="","",IF(OR($A354&lt;'Recurring Schedule'!$F$25,$A354&gt;'Recurring Schedule'!$P$25),"",IF(IF('Recurring Schedule'!$N$25&gt;0,MOD($A354-'Recurring Schedule'!$F$25,'Recurring Schedule'!$N$25)=0,IF('Recurring Schedule'!$O$25&gt;0,AND(DAY($A354)=MIN(DAY('Recurring Schedule'!$F$25),DAY(EOMONTH($A354,0))),MOD((YEAR($A354)-YEAR('Recurring Schedule'!$F$25))*12+MONTH($A354)-MONTH('Recurring Schedule'!$F$25),'Recurring Schedule'!$O$25)=0),IF('Recurring Schedule'!$E$25="Weekdays",WEEKDAY($A354,2)&lt;=5,$A354='Recurring Schedule'!$F$25))),20,""))))</f>
        <v/>
      </c>
      <c r="V354">
        <f>IF('Recurring Schedule'!$C$26="","",IF('Recurring Schedule'!$F$26="","",IF(OR($A354&lt;'Recurring Schedule'!$F$26,$A354&gt;'Recurring Schedule'!$P$26),"",IF(IF('Recurring Schedule'!$N$26&gt;0,MOD($A354-'Recurring Schedule'!$F$26,'Recurring Schedule'!$N$26)=0,IF('Recurring Schedule'!$O$26&gt;0,AND(DAY($A354)=MIN(DAY('Recurring Schedule'!$F$26),DAY(EOMONTH($A354,0))),MOD((YEAR($A354)-YEAR('Recurring Schedule'!$F$26))*12+MONTH($A354)-MONTH('Recurring Schedule'!$F$26),'Recurring Schedule'!$O$26)=0),IF('Recurring Schedule'!$E$26="Weekdays",WEEKDAY($A354,2)&lt;=5,$A354='Recurring Schedule'!$F$26))),21,""))))</f>
        <v/>
      </c>
      <c r="W354">
        <f>IF('Recurring Schedule'!$C$27="","",IF('Recurring Schedule'!$F$27="","",IF(OR($A354&lt;'Recurring Schedule'!$F$27,$A354&gt;'Recurring Schedule'!$P$27),"",IF(IF('Recurring Schedule'!$N$27&gt;0,MOD($A354-'Recurring Schedule'!$F$27,'Recurring Schedule'!$N$27)=0,IF('Recurring Schedule'!$O$27&gt;0,AND(DAY($A354)=MIN(DAY('Recurring Schedule'!$F$27),DAY(EOMONTH($A354,0))),MOD((YEAR($A354)-YEAR('Recurring Schedule'!$F$27))*12+MONTH($A354)-MONTH('Recurring Schedule'!$F$27),'Recurring Schedule'!$O$27)=0),IF('Recurring Schedule'!$E$27="Weekdays",WEEKDAY($A354,2)&lt;=5,$A354='Recurring Schedule'!$F$27))),22,""))))</f>
        <v/>
      </c>
      <c r="X354">
        <f>IF('Recurring Schedule'!$C$28="","",IF('Recurring Schedule'!$F$28="","",IF(OR($A354&lt;'Recurring Schedule'!$F$28,$A354&gt;'Recurring Schedule'!$P$28),"",IF(IF('Recurring Schedule'!$N$28&gt;0,MOD($A354-'Recurring Schedule'!$F$28,'Recurring Schedule'!$N$28)=0,IF('Recurring Schedule'!$O$28&gt;0,AND(DAY($A354)=MIN(DAY('Recurring Schedule'!$F$28),DAY(EOMONTH($A354,0))),MOD((YEAR($A354)-YEAR('Recurring Schedule'!$F$28))*12+MONTH($A354)-MONTH('Recurring Schedule'!$F$28),'Recurring Schedule'!$O$28)=0),IF('Recurring Schedule'!$E$28="Weekdays",WEEKDAY($A354,2)&lt;=5,$A354='Recurring Schedule'!$F$28))),23,""))))</f>
        <v/>
      </c>
      <c r="Y354">
        <f>IF('Recurring Schedule'!$C$29="","",IF('Recurring Schedule'!$F$29="","",IF(OR($A354&lt;'Recurring Schedule'!$F$29,$A354&gt;'Recurring Schedule'!$P$29),"",IF(IF('Recurring Schedule'!$N$29&gt;0,MOD($A354-'Recurring Schedule'!$F$29,'Recurring Schedule'!$N$29)=0,IF('Recurring Schedule'!$O$29&gt;0,AND(DAY($A354)=MIN(DAY('Recurring Schedule'!$F$29),DAY(EOMONTH($A354,0))),MOD((YEAR($A354)-YEAR('Recurring Schedule'!$F$29))*12+MONTH($A354)-MONTH('Recurring Schedule'!$F$29),'Recurring Schedule'!$O$29)=0),IF('Recurring Schedule'!$E$29="Weekdays",WEEKDAY($A354,2)&lt;=5,$A354='Recurring Schedule'!$F$29))),24,""))))</f>
        <v/>
      </c>
      <c r="Z354">
        <f>IF('Recurring Schedule'!$C$30="","",IF('Recurring Schedule'!$F$30="","",IF(OR($A354&lt;'Recurring Schedule'!$F$30,$A354&gt;'Recurring Schedule'!$P$30),"",IF(IF('Recurring Schedule'!$N$30&gt;0,MOD($A354-'Recurring Schedule'!$F$30,'Recurring Schedule'!$N$30)=0,IF('Recurring Schedule'!$O$30&gt;0,AND(DAY($A354)=MIN(DAY('Recurring Schedule'!$F$30),DAY(EOMONTH($A354,0))),MOD((YEAR($A354)-YEAR('Recurring Schedule'!$F$30))*12+MONTH($A354)-MONTH('Recurring Schedule'!$F$30),'Recurring Schedule'!$O$30)=0),IF('Recurring Schedule'!$E$30="Weekdays",WEEKDAY($A354,2)&lt;=5,$A354='Recurring Schedule'!$F$30))),25,""))))</f>
        <v/>
      </c>
      <c r="AA354">
        <f>IF('Recurring Schedule'!$C$31="","",IF('Recurring Schedule'!$F$31="","",IF(OR($A354&lt;'Recurring Schedule'!$F$31,$A354&gt;'Recurring Schedule'!$P$31),"",IF(IF('Recurring Schedule'!$N$31&gt;0,MOD($A354-'Recurring Schedule'!$F$31,'Recurring Schedule'!$N$31)=0,IF('Recurring Schedule'!$O$31&gt;0,AND(DAY($A354)=MIN(DAY('Recurring Schedule'!$F$31),DAY(EOMONTH($A354,0))),MOD((YEAR($A354)-YEAR('Recurring Schedule'!$F$31))*12+MONTH($A354)-MONTH('Recurring Schedule'!$F$31),'Recurring Schedule'!$O$31)=0),IF('Recurring Schedule'!$E$31="Weekdays",WEEKDAY($A354,2)&lt;=5,$A354='Recurring Schedule'!$F$31))),26,""))))</f>
        <v/>
      </c>
      <c r="AB354">
        <f>IF('Recurring Schedule'!$C$32="","",IF('Recurring Schedule'!$F$32="","",IF(OR($A354&lt;'Recurring Schedule'!$F$32,$A354&gt;'Recurring Schedule'!$P$32),"",IF(IF('Recurring Schedule'!$N$32&gt;0,MOD($A354-'Recurring Schedule'!$F$32,'Recurring Schedule'!$N$32)=0,IF('Recurring Schedule'!$O$32&gt;0,AND(DAY($A354)=MIN(DAY('Recurring Schedule'!$F$32),DAY(EOMONTH($A354,0))),MOD((YEAR($A354)-YEAR('Recurring Schedule'!$F$32))*12+MONTH($A354)-MONTH('Recurring Schedule'!$F$32),'Recurring Schedule'!$O$32)=0),IF('Recurring Schedule'!$E$32="Weekdays",WEEKDAY($A354,2)&lt;=5,$A354='Recurring Schedule'!$F$32))),27,""))))</f>
        <v/>
      </c>
      <c r="AC354">
        <f>IF('Recurring Schedule'!$C$33="","",IF('Recurring Schedule'!$F$33="","",IF(OR($A354&lt;'Recurring Schedule'!$F$33,$A354&gt;'Recurring Schedule'!$P$33),"",IF(IF('Recurring Schedule'!$N$33&gt;0,MOD($A354-'Recurring Schedule'!$F$33,'Recurring Schedule'!$N$33)=0,IF('Recurring Schedule'!$O$33&gt;0,AND(DAY($A354)=MIN(DAY('Recurring Schedule'!$F$33),DAY(EOMONTH($A354,0))),MOD((YEAR($A354)-YEAR('Recurring Schedule'!$F$33))*12+MONTH($A354)-MONTH('Recurring Schedule'!$F$33),'Recurring Schedule'!$O$33)=0),IF('Recurring Schedule'!$E$33="Weekdays",WEEKDAY($A354,2)&lt;=5,$A354='Recurring Schedule'!$F$33))),28,""))))</f>
        <v/>
      </c>
      <c r="AD354">
        <f>IF('Recurring Schedule'!$C$34="","",IF('Recurring Schedule'!$F$34="","",IF(OR($A354&lt;'Recurring Schedule'!$F$34,$A354&gt;'Recurring Schedule'!$P$34),"",IF(IF('Recurring Schedule'!$N$34&gt;0,MOD($A354-'Recurring Schedule'!$F$34,'Recurring Schedule'!$N$34)=0,IF('Recurring Schedule'!$O$34&gt;0,AND(DAY($A354)=MIN(DAY('Recurring Schedule'!$F$34),DAY(EOMONTH($A354,0))),MOD((YEAR($A354)-YEAR('Recurring Schedule'!$F$34))*12+MONTH($A354)-MONTH('Recurring Schedule'!$F$34),'Recurring Schedule'!$O$34)=0),IF('Recurring Schedule'!$E$34="Weekdays",WEEKDAY($A354,2)&lt;=5,$A354='Recurring Schedule'!$F$34))),29,""))))</f>
        <v/>
      </c>
      <c r="AE354">
        <f>IF('Recurring Schedule'!$C$35="","",IF('Recurring Schedule'!$F$35="","",IF(OR($A354&lt;'Recurring Schedule'!$F$35,$A354&gt;'Recurring Schedule'!$P$35),"",IF(IF('Recurring Schedule'!$N$35&gt;0,MOD($A354-'Recurring Schedule'!$F$35,'Recurring Schedule'!$N$35)=0,IF('Recurring Schedule'!$O$35&gt;0,AND(DAY($A354)=MIN(DAY('Recurring Schedule'!$F$35),DAY(EOMONTH($A354,0))),MOD((YEAR($A354)-YEAR('Recurring Schedule'!$F$35))*12+MONTH($A354)-MONTH('Recurring Schedule'!$F$35),'Recurring Schedule'!$O$35)=0),IF('Recurring Schedule'!$E$35="Weekdays",WEEKDAY($A354,2)&lt;=5,$A354='Recurring Schedule'!$F$35))),30,""))))</f>
        <v/>
      </c>
      <c r="AF354">
        <f>IF('Recurring Schedule'!$C$36="","",IF('Recurring Schedule'!$F$36="","",IF(OR($A354&lt;'Recurring Schedule'!$F$36,$A354&gt;'Recurring Schedule'!$P$36),"",IF(IF('Recurring Schedule'!$N$36&gt;0,MOD($A354-'Recurring Schedule'!$F$36,'Recurring Schedule'!$N$36)=0,IF('Recurring Schedule'!$O$36&gt;0,AND(DAY($A354)=MIN(DAY('Recurring Schedule'!$F$36),DAY(EOMONTH($A354,0))),MOD((YEAR($A354)-YEAR('Recurring Schedule'!$F$36))*12+MONTH($A354)-MONTH('Recurring Schedule'!$F$36),'Recurring Schedule'!$O$36)=0),IF('Recurring Schedule'!$E$36="Weekdays",WEEKDAY($A354,2)&lt;=5,$A354='Recurring Schedule'!$F$36))),31,""))))</f>
        <v/>
      </c>
      <c r="AG354">
        <f>IF('Recurring Schedule'!$C$37="","",IF('Recurring Schedule'!$F$37="","",IF(OR($A354&lt;'Recurring Schedule'!$F$37,$A354&gt;'Recurring Schedule'!$P$37),"",IF(IF('Recurring Schedule'!$N$37&gt;0,MOD($A354-'Recurring Schedule'!$F$37,'Recurring Schedule'!$N$37)=0,IF('Recurring Schedule'!$O$37&gt;0,AND(DAY($A354)=MIN(DAY('Recurring Schedule'!$F$37),DAY(EOMONTH($A354,0))),MOD((YEAR($A354)-YEAR('Recurring Schedule'!$F$37))*12+MONTH($A354)-MONTH('Recurring Schedule'!$F$37),'Recurring Schedule'!$O$37)=0),IF('Recurring Schedule'!$E$37="Weekdays",WEEKDAY($A354,2)&lt;=5,$A354='Recurring Schedule'!$F$37))),32,""))))</f>
        <v/>
      </c>
      <c r="AH354">
        <f>IF('Recurring Schedule'!$C$38="","",IF('Recurring Schedule'!$F$38="","",IF(OR($A354&lt;'Recurring Schedule'!$F$38,$A354&gt;'Recurring Schedule'!$P$38),"",IF(IF('Recurring Schedule'!$N$38&gt;0,MOD($A354-'Recurring Schedule'!$F$38,'Recurring Schedule'!$N$38)=0,IF('Recurring Schedule'!$O$38&gt;0,AND(DAY($A354)=MIN(DAY('Recurring Schedule'!$F$38),DAY(EOMONTH($A354,0))),MOD((YEAR($A354)-YEAR('Recurring Schedule'!$F$38))*12+MONTH($A354)-MONTH('Recurring Schedule'!$F$38),'Recurring Schedule'!$O$38)=0),IF('Recurring Schedule'!$E$38="Weekdays",WEEKDAY($A354,2)&lt;=5,$A354='Recurring Schedule'!$F$38))),33,""))))</f>
        <v/>
      </c>
      <c r="AI354">
        <f>IF('Recurring Schedule'!$C$39="","",IF('Recurring Schedule'!$F$39="","",IF(OR($A354&lt;'Recurring Schedule'!$F$39,$A354&gt;'Recurring Schedule'!$P$39),"",IF(IF('Recurring Schedule'!$N$39&gt;0,MOD($A354-'Recurring Schedule'!$F$39,'Recurring Schedule'!$N$39)=0,IF('Recurring Schedule'!$O$39&gt;0,AND(DAY($A354)=MIN(DAY('Recurring Schedule'!$F$39),DAY(EOMONTH($A354,0))),MOD((YEAR($A354)-YEAR('Recurring Schedule'!$F$39))*12+MONTH($A354)-MONTH('Recurring Schedule'!$F$39),'Recurring Schedule'!$O$39)=0),IF('Recurring Schedule'!$E$39="Weekdays",WEEKDAY($A354,2)&lt;=5,$A354='Recurring Schedule'!$F$39))),34,""))))</f>
        <v/>
      </c>
      <c r="AJ354">
        <f>IF('Recurring Schedule'!$C$40="","",IF('Recurring Schedule'!$F$40="","",IF(OR($A354&lt;'Recurring Schedule'!$F$40,$A354&gt;'Recurring Schedule'!$P$40),"",IF(IF('Recurring Schedule'!$N$40&gt;0,MOD($A354-'Recurring Schedule'!$F$40,'Recurring Schedule'!$N$40)=0,IF('Recurring Schedule'!$O$40&gt;0,AND(DAY($A354)=MIN(DAY('Recurring Schedule'!$F$40),DAY(EOMONTH($A354,0))),MOD((YEAR($A354)-YEAR('Recurring Schedule'!$F$40))*12+MONTH($A354)-MONTH('Recurring Schedule'!$F$40),'Recurring Schedule'!$O$40)=0),IF('Recurring Schedule'!$E$40="Weekdays",WEEKDAY($A354,2)&lt;=5,$A354='Recurring Schedule'!$F$40))),35,""))))</f>
        <v/>
      </c>
      <c r="AK354">
        <f>IF('Recurring Schedule'!$C$41="","",IF('Recurring Schedule'!$F$41="","",IF(OR($A354&lt;'Recurring Schedule'!$F$41,$A354&gt;'Recurring Schedule'!$P$41),"",IF(IF('Recurring Schedule'!$N$41&gt;0,MOD($A354-'Recurring Schedule'!$F$41,'Recurring Schedule'!$N$41)=0,IF('Recurring Schedule'!$O$41&gt;0,AND(DAY($A354)=MIN(DAY('Recurring Schedule'!$F$41),DAY(EOMONTH($A354,0))),MOD((YEAR($A354)-YEAR('Recurring Schedule'!$F$41))*12+MONTH($A354)-MONTH('Recurring Schedule'!$F$41),'Recurring Schedule'!$O$41)=0),IF('Recurring Schedule'!$E$41="Weekdays",WEEKDAY($A354,2)&lt;=5,$A354='Recurring Schedule'!$F$41))),36,""))))</f>
        <v/>
      </c>
      <c r="AL354">
        <f>IF('Recurring Schedule'!$C$42="","",IF('Recurring Schedule'!$F$42="","",IF(OR($A354&lt;'Recurring Schedule'!$F$42,$A354&gt;'Recurring Schedule'!$P$42),"",IF(IF('Recurring Schedule'!$N$42&gt;0,MOD($A354-'Recurring Schedule'!$F$42,'Recurring Schedule'!$N$42)=0,IF('Recurring Schedule'!$O$42&gt;0,AND(DAY($A354)=MIN(DAY('Recurring Schedule'!$F$42),DAY(EOMONTH($A354,0))),MOD((YEAR($A354)-YEAR('Recurring Schedule'!$F$42))*12+MONTH($A354)-MONTH('Recurring Schedule'!$F$42),'Recurring Schedule'!$O$42)=0),IF('Recurring Schedule'!$E$42="Weekdays",WEEKDAY($A354,2)&lt;=5,$A354='Recurring Schedule'!$F$42))),37,""))))</f>
        <v/>
      </c>
      <c r="AM354">
        <f>IF('Recurring Schedule'!$C$43="","",IF('Recurring Schedule'!$F$43="","",IF(OR($A354&lt;'Recurring Schedule'!$F$43,$A354&gt;'Recurring Schedule'!$P$43),"",IF(IF('Recurring Schedule'!$N$43&gt;0,MOD($A354-'Recurring Schedule'!$F$43,'Recurring Schedule'!$N$43)=0,IF('Recurring Schedule'!$O$43&gt;0,AND(DAY($A354)=MIN(DAY('Recurring Schedule'!$F$43),DAY(EOMONTH($A354,0))),MOD((YEAR($A354)-YEAR('Recurring Schedule'!$F$43))*12+MONTH($A354)-MONTH('Recurring Schedule'!$F$43),'Recurring Schedule'!$O$43)=0),IF('Recurring Schedule'!$E$43="Weekdays",WEEKDAY($A354,2)&lt;=5,$A354='Recurring Schedule'!$F$43))),38,""))))</f>
        <v/>
      </c>
      <c r="AN354">
        <f>IF('Recurring Schedule'!$C$44="","",IF('Recurring Schedule'!$F$44="","",IF(OR($A354&lt;'Recurring Schedule'!$F$44,$A354&gt;'Recurring Schedule'!$P$44),"",IF(IF('Recurring Schedule'!$N$44&gt;0,MOD($A354-'Recurring Schedule'!$F$44,'Recurring Schedule'!$N$44)=0,IF('Recurring Schedule'!$O$44&gt;0,AND(DAY($A354)=MIN(DAY('Recurring Schedule'!$F$44),DAY(EOMONTH($A354,0))),MOD((YEAR($A354)-YEAR('Recurring Schedule'!$F$44))*12+MONTH($A354)-MONTH('Recurring Schedule'!$F$44),'Recurring Schedule'!$O$44)=0),IF('Recurring Schedule'!$E$44="Weekdays",WEEKDAY($A354,2)&lt;=5,$A354='Recurring Schedule'!$F$44))),39,""))))</f>
        <v/>
      </c>
      <c r="AO354">
        <f>IF('Recurring Schedule'!$C$45="","",IF('Recurring Schedule'!$F$45="","",IF(OR($A354&lt;'Recurring Schedule'!$F$45,$A354&gt;'Recurring Schedule'!$P$45),"",IF(IF('Recurring Schedule'!$N$45&gt;0,MOD($A354-'Recurring Schedule'!$F$45,'Recurring Schedule'!$N$45)=0,IF('Recurring Schedule'!$O$45&gt;0,AND(DAY($A354)=MIN(DAY('Recurring Schedule'!$F$45),DAY(EOMONTH($A354,0))),MOD((YEAR($A354)-YEAR('Recurring Schedule'!$F$45))*12+MONTH($A354)-MONTH('Recurring Schedule'!$F$45),'Recurring Schedule'!$O$45)=0),IF('Recurring Schedule'!$E$45="Weekdays",WEEKDAY($A354,2)&lt;=5,$A354='Recurring Schedule'!$F$45))),40,""))))</f>
        <v/>
      </c>
      <c r="AP354">
        <f>COUNT(B354:AO354)</f>
        <v/>
      </c>
      <c r="AQ354">
        <f>AQ353+AP353</f>
        <v/>
      </c>
      <c r="AS354" t="inlineStr">
        <is>
          <t>R</t>
        </is>
      </c>
      <c r="AT354" t="n">
        <v>358</v>
      </c>
      <c r="AU354">
        <f>'Recurring Log'!C358&amp;""</f>
        <v/>
      </c>
      <c r="AV354">
        <f>'Recurring Log'!D358&amp;""</f>
        <v/>
      </c>
      <c r="AW354">
        <f>IF('Recurring Log'!E358="","",'Recurring Log'!E358)</f>
        <v/>
      </c>
      <c r="AX354">
        <f>IF('Recurring Log'!G358="","",'Recurring Log'!G358)</f>
        <v/>
      </c>
      <c r="AY354">
        <f>IF('Recurring Log'!H358="","",'Recurring Log'!H358)</f>
        <v/>
      </c>
      <c r="AZ354">
        <f>IF(AU354="","",IF('Recurring Log'!J358="","Not Started",'Recurring Log'!J358))</f>
        <v/>
      </c>
      <c r="BA354">
        <f>'Recurring Log'!L358&amp;""</f>
        <v/>
      </c>
      <c r="BB354">
        <f>'Recurring Log'!M358&amp;""</f>
        <v/>
      </c>
      <c r="BC354">
        <f>'Recurring Log'!N358&amp;""</f>
        <v/>
      </c>
      <c r="BD354">
        <f>'Recurring Log'!O358&amp;""</f>
        <v/>
      </c>
      <c r="BE354">
        <f>IF('Recurring Log'!K358="","",'Recurring Log'!K358)</f>
        <v/>
      </c>
      <c r="BF354">
        <f>IFERROR(MATCH(BA354,Setup!$L$6:$L$9,0),5)</f>
        <v/>
      </c>
      <c r="BG354">
        <f>IF(OR(AZ354="Done",AZ354="Cancelled"),1,0)</f>
        <v/>
      </c>
      <c r="BH354">
        <f>IF(AND(AU354&lt;&gt;"",ISNUMBER(AW354)),1,0)</f>
        <v/>
      </c>
      <c r="BI354">
        <f>IF(BH354=0,0,IF(AND(AW354&gt;='Tasks Filter'!$F$3,AW354&lt;='Tasks Filter'!$F$4,OR('Tasks Filter'!$I$3="",ISNUMBER(SEARCH('Tasks Filter'!$I$3,AU354))),OR('Tasks Filter'!$I$4="",BF354=IFERROR(MATCH('Tasks Filter'!$I$4,Setup!$L$6:$L$9,0),0)),OR('Tasks Filter'!$I$5="Both",AND('Tasks Filter'!$I$5="Yes",BB354="✓"),AND('Tasks Filter'!$I$5="No",BB354&lt;&gt;"✓")),OR('Tasks Filter'!$L$3="",AV354='Tasks Filter'!$L$3),OR('Tasks Filter'!$L$4="",AZ354='Tasks Filter'!$L$4),OR('Tasks Filter'!$L$5="",BC354='Tasks Filter'!$L$5),OR('Tasks Filter'!$O$3="",BD354='Tasks Filter'!$O$3),OR('Tasks Filter'!$O$4="Yes",BG354=0)),1,0))</f>
        <v/>
      </c>
      <c r="BJ354">
        <f>IF(BH354=0,"",IF('Tasks Filter'!$F$6="Descending",-1,1)*CHOOSE(MATCH('Tasks Filter'!$F$5,Lists!$G$2:$G$6,0),AW354,BF354,IFERROR(MATCH(AV354,Setup!$F$6:$F$15,0),99),IFERROR(MATCH(BC354,Setup!$H$6:$H$15,0),99),IFERROR(MATCH(AZ354,Setup!$J$6:$J$11,0),99))*1E+9+(AW354-40000)*10000+353)</f>
        <v/>
      </c>
      <c r="BK354">
        <f>IF(BI354=1,BJ354,"")</f>
        <v/>
      </c>
      <c r="BL354">
        <f>IF(AND(BH354=1,BG354=0,N(AW354)&lt;Setup!$D$7),(AW354-40000)*10000+353,"")</f>
        <v/>
      </c>
      <c r="BM354">
        <f>IF(AND(BH354=1,AZ354&lt;&gt;"Cancelled",N(AW354)&gt;=Dashboard!$AB$3,N(AW354)&lt;=Dashboard!$AB$3+6),(AW354-40000)*100000+BF354*10000+353,"")</f>
        <v/>
      </c>
      <c r="BN354">
        <f>IF(AND(BH354=1,AZ354&lt;&gt;"Cancelled"),BF354*10000+353,"")</f>
        <v/>
      </c>
    </row>
    <row r="355">
      <c r="A355">
        <f>Setup!$D$5+353</f>
        <v/>
      </c>
      <c r="B355">
        <f>IF('Recurring Schedule'!$C$6="","",IF('Recurring Schedule'!$F$6="","",IF(OR($A355&lt;'Recurring Schedule'!$F$6,$A355&gt;'Recurring Schedule'!$P$6),"",IF(IF('Recurring Schedule'!$N$6&gt;0,MOD($A355-'Recurring Schedule'!$F$6,'Recurring Schedule'!$N$6)=0,IF('Recurring Schedule'!$O$6&gt;0,AND(DAY($A355)=MIN(DAY('Recurring Schedule'!$F$6),DAY(EOMONTH($A355,0))),MOD((YEAR($A355)-YEAR('Recurring Schedule'!$F$6))*12+MONTH($A355)-MONTH('Recurring Schedule'!$F$6),'Recurring Schedule'!$O$6)=0),IF('Recurring Schedule'!$E$6="Weekdays",WEEKDAY($A355,2)&lt;=5,$A355='Recurring Schedule'!$F$6))),1,""))))</f>
        <v/>
      </c>
      <c r="C355">
        <f>IF('Recurring Schedule'!$C$7="","",IF('Recurring Schedule'!$F$7="","",IF(OR($A355&lt;'Recurring Schedule'!$F$7,$A355&gt;'Recurring Schedule'!$P$7),"",IF(IF('Recurring Schedule'!$N$7&gt;0,MOD($A355-'Recurring Schedule'!$F$7,'Recurring Schedule'!$N$7)=0,IF('Recurring Schedule'!$O$7&gt;0,AND(DAY($A355)=MIN(DAY('Recurring Schedule'!$F$7),DAY(EOMONTH($A355,0))),MOD((YEAR($A355)-YEAR('Recurring Schedule'!$F$7))*12+MONTH($A355)-MONTH('Recurring Schedule'!$F$7),'Recurring Schedule'!$O$7)=0),IF('Recurring Schedule'!$E$7="Weekdays",WEEKDAY($A355,2)&lt;=5,$A355='Recurring Schedule'!$F$7))),2,""))))</f>
        <v/>
      </c>
      <c r="D355">
        <f>IF('Recurring Schedule'!$C$8="","",IF('Recurring Schedule'!$F$8="","",IF(OR($A355&lt;'Recurring Schedule'!$F$8,$A355&gt;'Recurring Schedule'!$P$8),"",IF(IF('Recurring Schedule'!$N$8&gt;0,MOD($A355-'Recurring Schedule'!$F$8,'Recurring Schedule'!$N$8)=0,IF('Recurring Schedule'!$O$8&gt;0,AND(DAY($A355)=MIN(DAY('Recurring Schedule'!$F$8),DAY(EOMONTH($A355,0))),MOD((YEAR($A355)-YEAR('Recurring Schedule'!$F$8))*12+MONTH($A355)-MONTH('Recurring Schedule'!$F$8),'Recurring Schedule'!$O$8)=0),IF('Recurring Schedule'!$E$8="Weekdays",WEEKDAY($A355,2)&lt;=5,$A355='Recurring Schedule'!$F$8))),3,""))))</f>
        <v/>
      </c>
      <c r="E355">
        <f>IF('Recurring Schedule'!$C$9="","",IF('Recurring Schedule'!$F$9="","",IF(OR($A355&lt;'Recurring Schedule'!$F$9,$A355&gt;'Recurring Schedule'!$P$9),"",IF(IF('Recurring Schedule'!$N$9&gt;0,MOD($A355-'Recurring Schedule'!$F$9,'Recurring Schedule'!$N$9)=0,IF('Recurring Schedule'!$O$9&gt;0,AND(DAY($A355)=MIN(DAY('Recurring Schedule'!$F$9),DAY(EOMONTH($A355,0))),MOD((YEAR($A355)-YEAR('Recurring Schedule'!$F$9))*12+MONTH($A355)-MONTH('Recurring Schedule'!$F$9),'Recurring Schedule'!$O$9)=0),IF('Recurring Schedule'!$E$9="Weekdays",WEEKDAY($A355,2)&lt;=5,$A355='Recurring Schedule'!$F$9))),4,""))))</f>
        <v/>
      </c>
      <c r="F355">
        <f>IF('Recurring Schedule'!$C$10="","",IF('Recurring Schedule'!$F$10="","",IF(OR($A355&lt;'Recurring Schedule'!$F$10,$A355&gt;'Recurring Schedule'!$P$10),"",IF(IF('Recurring Schedule'!$N$10&gt;0,MOD($A355-'Recurring Schedule'!$F$10,'Recurring Schedule'!$N$10)=0,IF('Recurring Schedule'!$O$10&gt;0,AND(DAY($A355)=MIN(DAY('Recurring Schedule'!$F$10),DAY(EOMONTH($A355,0))),MOD((YEAR($A355)-YEAR('Recurring Schedule'!$F$10))*12+MONTH($A355)-MONTH('Recurring Schedule'!$F$10),'Recurring Schedule'!$O$10)=0),IF('Recurring Schedule'!$E$10="Weekdays",WEEKDAY($A355,2)&lt;=5,$A355='Recurring Schedule'!$F$10))),5,""))))</f>
        <v/>
      </c>
      <c r="G355">
        <f>IF('Recurring Schedule'!$C$11="","",IF('Recurring Schedule'!$F$11="","",IF(OR($A355&lt;'Recurring Schedule'!$F$11,$A355&gt;'Recurring Schedule'!$P$11),"",IF(IF('Recurring Schedule'!$N$11&gt;0,MOD($A355-'Recurring Schedule'!$F$11,'Recurring Schedule'!$N$11)=0,IF('Recurring Schedule'!$O$11&gt;0,AND(DAY($A355)=MIN(DAY('Recurring Schedule'!$F$11),DAY(EOMONTH($A355,0))),MOD((YEAR($A355)-YEAR('Recurring Schedule'!$F$11))*12+MONTH($A355)-MONTH('Recurring Schedule'!$F$11),'Recurring Schedule'!$O$11)=0),IF('Recurring Schedule'!$E$11="Weekdays",WEEKDAY($A355,2)&lt;=5,$A355='Recurring Schedule'!$F$11))),6,""))))</f>
        <v/>
      </c>
      <c r="H355">
        <f>IF('Recurring Schedule'!$C$12="","",IF('Recurring Schedule'!$F$12="","",IF(OR($A355&lt;'Recurring Schedule'!$F$12,$A355&gt;'Recurring Schedule'!$P$12),"",IF(IF('Recurring Schedule'!$N$12&gt;0,MOD($A355-'Recurring Schedule'!$F$12,'Recurring Schedule'!$N$12)=0,IF('Recurring Schedule'!$O$12&gt;0,AND(DAY($A355)=MIN(DAY('Recurring Schedule'!$F$12),DAY(EOMONTH($A355,0))),MOD((YEAR($A355)-YEAR('Recurring Schedule'!$F$12))*12+MONTH($A355)-MONTH('Recurring Schedule'!$F$12),'Recurring Schedule'!$O$12)=0),IF('Recurring Schedule'!$E$12="Weekdays",WEEKDAY($A355,2)&lt;=5,$A355='Recurring Schedule'!$F$12))),7,""))))</f>
        <v/>
      </c>
      <c r="I355">
        <f>IF('Recurring Schedule'!$C$13="","",IF('Recurring Schedule'!$F$13="","",IF(OR($A355&lt;'Recurring Schedule'!$F$13,$A355&gt;'Recurring Schedule'!$P$13),"",IF(IF('Recurring Schedule'!$N$13&gt;0,MOD($A355-'Recurring Schedule'!$F$13,'Recurring Schedule'!$N$13)=0,IF('Recurring Schedule'!$O$13&gt;0,AND(DAY($A355)=MIN(DAY('Recurring Schedule'!$F$13),DAY(EOMONTH($A355,0))),MOD((YEAR($A355)-YEAR('Recurring Schedule'!$F$13))*12+MONTH($A355)-MONTH('Recurring Schedule'!$F$13),'Recurring Schedule'!$O$13)=0),IF('Recurring Schedule'!$E$13="Weekdays",WEEKDAY($A355,2)&lt;=5,$A355='Recurring Schedule'!$F$13))),8,""))))</f>
        <v/>
      </c>
      <c r="J355">
        <f>IF('Recurring Schedule'!$C$14="","",IF('Recurring Schedule'!$F$14="","",IF(OR($A355&lt;'Recurring Schedule'!$F$14,$A355&gt;'Recurring Schedule'!$P$14),"",IF(IF('Recurring Schedule'!$N$14&gt;0,MOD($A355-'Recurring Schedule'!$F$14,'Recurring Schedule'!$N$14)=0,IF('Recurring Schedule'!$O$14&gt;0,AND(DAY($A355)=MIN(DAY('Recurring Schedule'!$F$14),DAY(EOMONTH($A355,0))),MOD((YEAR($A355)-YEAR('Recurring Schedule'!$F$14))*12+MONTH($A355)-MONTH('Recurring Schedule'!$F$14),'Recurring Schedule'!$O$14)=0),IF('Recurring Schedule'!$E$14="Weekdays",WEEKDAY($A355,2)&lt;=5,$A355='Recurring Schedule'!$F$14))),9,""))))</f>
        <v/>
      </c>
      <c r="K355">
        <f>IF('Recurring Schedule'!$C$15="","",IF('Recurring Schedule'!$F$15="","",IF(OR($A355&lt;'Recurring Schedule'!$F$15,$A355&gt;'Recurring Schedule'!$P$15),"",IF(IF('Recurring Schedule'!$N$15&gt;0,MOD($A355-'Recurring Schedule'!$F$15,'Recurring Schedule'!$N$15)=0,IF('Recurring Schedule'!$O$15&gt;0,AND(DAY($A355)=MIN(DAY('Recurring Schedule'!$F$15),DAY(EOMONTH($A355,0))),MOD((YEAR($A355)-YEAR('Recurring Schedule'!$F$15))*12+MONTH($A355)-MONTH('Recurring Schedule'!$F$15),'Recurring Schedule'!$O$15)=0),IF('Recurring Schedule'!$E$15="Weekdays",WEEKDAY($A355,2)&lt;=5,$A355='Recurring Schedule'!$F$15))),10,""))))</f>
        <v/>
      </c>
      <c r="L355">
        <f>IF('Recurring Schedule'!$C$16="","",IF('Recurring Schedule'!$F$16="","",IF(OR($A355&lt;'Recurring Schedule'!$F$16,$A355&gt;'Recurring Schedule'!$P$16),"",IF(IF('Recurring Schedule'!$N$16&gt;0,MOD($A355-'Recurring Schedule'!$F$16,'Recurring Schedule'!$N$16)=0,IF('Recurring Schedule'!$O$16&gt;0,AND(DAY($A355)=MIN(DAY('Recurring Schedule'!$F$16),DAY(EOMONTH($A355,0))),MOD((YEAR($A355)-YEAR('Recurring Schedule'!$F$16))*12+MONTH($A355)-MONTH('Recurring Schedule'!$F$16),'Recurring Schedule'!$O$16)=0),IF('Recurring Schedule'!$E$16="Weekdays",WEEKDAY($A355,2)&lt;=5,$A355='Recurring Schedule'!$F$16))),11,""))))</f>
        <v/>
      </c>
      <c r="M355">
        <f>IF('Recurring Schedule'!$C$17="","",IF('Recurring Schedule'!$F$17="","",IF(OR($A355&lt;'Recurring Schedule'!$F$17,$A355&gt;'Recurring Schedule'!$P$17),"",IF(IF('Recurring Schedule'!$N$17&gt;0,MOD($A355-'Recurring Schedule'!$F$17,'Recurring Schedule'!$N$17)=0,IF('Recurring Schedule'!$O$17&gt;0,AND(DAY($A355)=MIN(DAY('Recurring Schedule'!$F$17),DAY(EOMONTH($A355,0))),MOD((YEAR($A355)-YEAR('Recurring Schedule'!$F$17))*12+MONTH($A355)-MONTH('Recurring Schedule'!$F$17),'Recurring Schedule'!$O$17)=0),IF('Recurring Schedule'!$E$17="Weekdays",WEEKDAY($A355,2)&lt;=5,$A355='Recurring Schedule'!$F$17))),12,""))))</f>
        <v/>
      </c>
      <c r="N355">
        <f>IF('Recurring Schedule'!$C$18="","",IF('Recurring Schedule'!$F$18="","",IF(OR($A355&lt;'Recurring Schedule'!$F$18,$A355&gt;'Recurring Schedule'!$P$18),"",IF(IF('Recurring Schedule'!$N$18&gt;0,MOD($A355-'Recurring Schedule'!$F$18,'Recurring Schedule'!$N$18)=0,IF('Recurring Schedule'!$O$18&gt;0,AND(DAY($A355)=MIN(DAY('Recurring Schedule'!$F$18),DAY(EOMONTH($A355,0))),MOD((YEAR($A355)-YEAR('Recurring Schedule'!$F$18))*12+MONTH($A355)-MONTH('Recurring Schedule'!$F$18),'Recurring Schedule'!$O$18)=0),IF('Recurring Schedule'!$E$18="Weekdays",WEEKDAY($A355,2)&lt;=5,$A355='Recurring Schedule'!$F$18))),13,""))))</f>
        <v/>
      </c>
      <c r="O355">
        <f>IF('Recurring Schedule'!$C$19="","",IF('Recurring Schedule'!$F$19="","",IF(OR($A355&lt;'Recurring Schedule'!$F$19,$A355&gt;'Recurring Schedule'!$P$19),"",IF(IF('Recurring Schedule'!$N$19&gt;0,MOD($A355-'Recurring Schedule'!$F$19,'Recurring Schedule'!$N$19)=0,IF('Recurring Schedule'!$O$19&gt;0,AND(DAY($A355)=MIN(DAY('Recurring Schedule'!$F$19),DAY(EOMONTH($A355,0))),MOD((YEAR($A355)-YEAR('Recurring Schedule'!$F$19))*12+MONTH($A355)-MONTH('Recurring Schedule'!$F$19),'Recurring Schedule'!$O$19)=0),IF('Recurring Schedule'!$E$19="Weekdays",WEEKDAY($A355,2)&lt;=5,$A355='Recurring Schedule'!$F$19))),14,""))))</f>
        <v/>
      </c>
      <c r="P355">
        <f>IF('Recurring Schedule'!$C$20="","",IF('Recurring Schedule'!$F$20="","",IF(OR($A355&lt;'Recurring Schedule'!$F$20,$A355&gt;'Recurring Schedule'!$P$20),"",IF(IF('Recurring Schedule'!$N$20&gt;0,MOD($A355-'Recurring Schedule'!$F$20,'Recurring Schedule'!$N$20)=0,IF('Recurring Schedule'!$O$20&gt;0,AND(DAY($A355)=MIN(DAY('Recurring Schedule'!$F$20),DAY(EOMONTH($A355,0))),MOD((YEAR($A355)-YEAR('Recurring Schedule'!$F$20))*12+MONTH($A355)-MONTH('Recurring Schedule'!$F$20),'Recurring Schedule'!$O$20)=0),IF('Recurring Schedule'!$E$20="Weekdays",WEEKDAY($A355,2)&lt;=5,$A355='Recurring Schedule'!$F$20))),15,""))))</f>
        <v/>
      </c>
      <c r="Q355">
        <f>IF('Recurring Schedule'!$C$21="","",IF('Recurring Schedule'!$F$21="","",IF(OR($A355&lt;'Recurring Schedule'!$F$21,$A355&gt;'Recurring Schedule'!$P$21),"",IF(IF('Recurring Schedule'!$N$21&gt;0,MOD($A355-'Recurring Schedule'!$F$21,'Recurring Schedule'!$N$21)=0,IF('Recurring Schedule'!$O$21&gt;0,AND(DAY($A355)=MIN(DAY('Recurring Schedule'!$F$21),DAY(EOMONTH($A355,0))),MOD((YEAR($A355)-YEAR('Recurring Schedule'!$F$21))*12+MONTH($A355)-MONTH('Recurring Schedule'!$F$21),'Recurring Schedule'!$O$21)=0),IF('Recurring Schedule'!$E$21="Weekdays",WEEKDAY($A355,2)&lt;=5,$A355='Recurring Schedule'!$F$21))),16,""))))</f>
        <v/>
      </c>
      <c r="R355">
        <f>IF('Recurring Schedule'!$C$22="","",IF('Recurring Schedule'!$F$22="","",IF(OR($A355&lt;'Recurring Schedule'!$F$22,$A355&gt;'Recurring Schedule'!$P$22),"",IF(IF('Recurring Schedule'!$N$22&gt;0,MOD($A355-'Recurring Schedule'!$F$22,'Recurring Schedule'!$N$22)=0,IF('Recurring Schedule'!$O$22&gt;0,AND(DAY($A355)=MIN(DAY('Recurring Schedule'!$F$22),DAY(EOMONTH($A355,0))),MOD((YEAR($A355)-YEAR('Recurring Schedule'!$F$22))*12+MONTH($A355)-MONTH('Recurring Schedule'!$F$22),'Recurring Schedule'!$O$22)=0),IF('Recurring Schedule'!$E$22="Weekdays",WEEKDAY($A355,2)&lt;=5,$A355='Recurring Schedule'!$F$22))),17,""))))</f>
        <v/>
      </c>
      <c r="S355">
        <f>IF('Recurring Schedule'!$C$23="","",IF('Recurring Schedule'!$F$23="","",IF(OR($A355&lt;'Recurring Schedule'!$F$23,$A355&gt;'Recurring Schedule'!$P$23),"",IF(IF('Recurring Schedule'!$N$23&gt;0,MOD($A355-'Recurring Schedule'!$F$23,'Recurring Schedule'!$N$23)=0,IF('Recurring Schedule'!$O$23&gt;0,AND(DAY($A355)=MIN(DAY('Recurring Schedule'!$F$23),DAY(EOMONTH($A355,0))),MOD((YEAR($A355)-YEAR('Recurring Schedule'!$F$23))*12+MONTH($A355)-MONTH('Recurring Schedule'!$F$23),'Recurring Schedule'!$O$23)=0),IF('Recurring Schedule'!$E$23="Weekdays",WEEKDAY($A355,2)&lt;=5,$A355='Recurring Schedule'!$F$23))),18,""))))</f>
        <v/>
      </c>
      <c r="T355">
        <f>IF('Recurring Schedule'!$C$24="","",IF('Recurring Schedule'!$F$24="","",IF(OR($A355&lt;'Recurring Schedule'!$F$24,$A355&gt;'Recurring Schedule'!$P$24),"",IF(IF('Recurring Schedule'!$N$24&gt;0,MOD($A355-'Recurring Schedule'!$F$24,'Recurring Schedule'!$N$24)=0,IF('Recurring Schedule'!$O$24&gt;0,AND(DAY($A355)=MIN(DAY('Recurring Schedule'!$F$24),DAY(EOMONTH($A355,0))),MOD((YEAR($A355)-YEAR('Recurring Schedule'!$F$24))*12+MONTH($A355)-MONTH('Recurring Schedule'!$F$24),'Recurring Schedule'!$O$24)=0),IF('Recurring Schedule'!$E$24="Weekdays",WEEKDAY($A355,2)&lt;=5,$A355='Recurring Schedule'!$F$24))),19,""))))</f>
        <v/>
      </c>
      <c r="U355">
        <f>IF('Recurring Schedule'!$C$25="","",IF('Recurring Schedule'!$F$25="","",IF(OR($A355&lt;'Recurring Schedule'!$F$25,$A355&gt;'Recurring Schedule'!$P$25),"",IF(IF('Recurring Schedule'!$N$25&gt;0,MOD($A355-'Recurring Schedule'!$F$25,'Recurring Schedule'!$N$25)=0,IF('Recurring Schedule'!$O$25&gt;0,AND(DAY($A355)=MIN(DAY('Recurring Schedule'!$F$25),DAY(EOMONTH($A355,0))),MOD((YEAR($A355)-YEAR('Recurring Schedule'!$F$25))*12+MONTH($A355)-MONTH('Recurring Schedule'!$F$25),'Recurring Schedule'!$O$25)=0),IF('Recurring Schedule'!$E$25="Weekdays",WEEKDAY($A355,2)&lt;=5,$A355='Recurring Schedule'!$F$25))),20,""))))</f>
        <v/>
      </c>
      <c r="V355">
        <f>IF('Recurring Schedule'!$C$26="","",IF('Recurring Schedule'!$F$26="","",IF(OR($A355&lt;'Recurring Schedule'!$F$26,$A355&gt;'Recurring Schedule'!$P$26),"",IF(IF('Recurring Schedule'!$N$26&gt;0,MOD($A355-'Recurring Schedule'!$F$26,'Recurring Schedule'!$N$26)=0,IF('Recurring Schedule'!$O$26&gt;0,AND(DAY($A355)=MIN(DAY('Recurring Schedule'!$F$26),DAY(EOMONTH($A355,0))),MOD((YEAR($A355)-YEAR('Recurring Schedule'!$F$26))*12+MONTH($A355)-MONTH('Recurring Schedule'!$F$26),'Recurring Schedule'!$O$26)=0),IF('Recurring Schedule'!$E$26="Weekdays",WEEKDAY($A355,2)&lt;=5,$A355='Recurring Schedule'!$F$26))),21,""))))</f>
        <v/>
      </c>
      <c r="W355">
        <f>IF('Recurring Schedule'!$C$27="","",IF('Recurring Schedule'!$F$27="","",IF(OR($A355&lt;'Recurring Schedule'!$F$27,$A355&gt;'Recurring Schedule'!$P$27),"",IF(IF('Recurring Schedule'!$N$27&gt;0,MOD($A355-'Recurring Schedule'!$F$27,'Recurring Schedule'!$N$27)=0,IF('Recurring Schedule'!$O$27&gt;0,AND(DAY($A355)=MIN(DAY('Recurring Schedule'!$F$27),DAY(EOMONTH($A355,0))),MOD((YEAR($A355)-YEAR('Recurring Schedule'!$F$27))*12+MONTH($A355)-MONTH('Recurring Schedule'!$F$27),'Recurring Schedule'!$O$27)=0),IF('Recurring Schedule'!$E$27="Weekdays",WEEKDAY($A355,2)&lt;=5,$A355='Recurring Schedule'!$F$27))),22,""))))</f>
        <v/>
      </c>
      <c r="X355">
        <f>IF('Recurring Schedule'!$C$28="","",IF('Recurring Schedule'!$F$28="","",IF(OR($A355&lt;'Recurring Schedule'!$F$28,$A355&gt;'Recurring Schedule'!$P$28),"",IF(IF('Recurring Schedule'!$N$28&gt;0,MOD($A355-'Recurring Schedule'!$F$28,'Recurring Schedule'!$N$28)=0,IF('Recurring Schedule'!$O$28&gt;0,AND(DAY($A355)=MIN(DAY('Recurring Schedule'!$F$28),DAY(EOMONTH($A355,0))),MOD((YEAR($A355)-YEAR('Recurring Schedule'!$F$28))*12+MONTH($A355)-MONTH('Recurring Schedule'!$F$28),'Recurring Schedule'!$O$28)=0),IF('Recurring Schedule'!$E$28="Weekdays",WEEKDAY($A355,2)&lt;=5,$A355='Recurring Schedule'!$F$28))),23,""))))</f>
        <v/>
      </c>
      <c r="Y355">
        <f>IF('Recurring Schedule'!$C$29="","",IF('Recurring Schedule'!$F$29="","",IF(OR($A355&lt;'Recurring Schedule'!$F$29,$A355&gt;'Recurring Schedule'!$P$29),"",IF(IF('Recurring Schedule'!$N$29&gt;0,MOD($A355-'Recurring Schedule'!$F$29,'Recurring Schedule'!$N$29)=0,IF('Recurring Schedule'!$O$29&gt;0,AND(DAY($A355)=MIN(DAY('Recurring Schedule'!$F$29),DAY(EOMONTH($A355,0))),MOD((YEAR($A355)-YEAR('Recurring Schedule'!$F$29))*12+MONTH($A355)-MONTH('Recurring Schedule'!$F$29),'Recurring Schedule'!$O$29)=0),IF('Recurring Schedule'!$E$29="Weekdays",WEEKDAY($A355,2)&lt;=5,$A355='Recurring Schedule'!$F$29))),24,""))))</f>
        <v/>
      </c>
      <c r="Z355">
        <f>IF('Recurring Schedule'!$C$30="","",IF('Recurring Schedule'!$F$30="","",IF(OR($A355&lt;'Recurring Schedule'!$F$30,$A355&gt;'Recurring Schedule'!$P$30),"",IF(IF('Recurring Schedule'!$N$30&gt;0,MOD($A355-'Recurring Schedule'!$F$30,'Recurring Schedule'!$N$30)=0,IF('Recurring Schedule'!$O$30&gt;0,AND(DAY($A355)=MIN(DAY('Recurring Schedule'!$F$30),DAY(EOMONTH($A355,0))),MOD((YEAR($A355)-YEAR('Recurring Schedule'!$F$30))*12+MONTH($A355)-MONTH('Recurring Schedule'!$F$30),'Recurring Schedule'!$O$30)=0),IF('Recurring Schedule'!$E$30="Weekdays",WEEKDAY($A355,2)&lt;=5,$A355='Recurring Schedule'!$F$30))),25,""))))</f>
        <v/>
      </c>
      <c r="AA355">
        <f>IF('Recurring Schedule'!$C$31="","",IF('Recurring Schedule'!$F$31="","",IF(OR($A355&lt;'Recurring Schedule'!$F$31,$A355&gt;'Recurring Schedule'!$P$31),"",IF(IF('Recurring Schedule'!$N$31&gt;0,MOD($A355-'Recurring Schedule'!$F$31,'Recurring Schedule'!$N$31)=0,IF('Recurring Schedule'!$O$31&gt;0,AND(DAY($A355)=MIN(DAY('Recurring Schedule'!$F$31),DAY(EOMONTH($A355,0))),MOD((YEAR($A355)-YEAR('Recurring Schedule'!$F$31))*12+MONTH($A355)-MONTH('Recurring Schedule'!$F$31),'Recurring Schedule'!$O$31)=0),IF('Recurring Schedule'!$E$31="Weekdays",WEEKDAY($A355,2)&lt;=5,$A355='Recurring Schedule'!$F$31))),26,""))))</f>
        <v/>
      </c>
      <c r="AB355">
        <f>IF('Recurring Schedule'!$C$32="","",IF('Recurring Schedule'!$F$32="","",IF(OR($A355&lt;'Recurring Schedule'!$F$32,$A355&gt;'Recurring Schedule'!$P$32),"",IF(IF('Recurring Schedule'!$N$32&gt;0,MOD($A355-'Recurring Schedule'!$F$32,'Recurring Schedule'!$N$32)=0,IF('Recurring Schedule'!$O$32&gt;0,AND(DAY($A355)=MIN(DAY('Recurring Schedule'!$F$32),DAY(EOMONTH($A355,0))),MOD((YEAR($A355)-YEAR('Recurring Schedule'!$F$32))*12+MONTH($A355)-MONTH('Recurring Schedule'!$F$32),'Recurring Schedule'!$O$32)=0),IF('Recurring Schedule'!$E$32="Weekdays",WEEKDAY($A355,2)&lt;=5,$A355='Recurring Schedule'!$F$32))),27,""))))</f>
        <v/>
      </c>
      <c r="AC355">
        <f>IF('Recurring Schedule'!$C$33="","",IF('Recurring Schedule'!$F$33="","",IF(OR($A355&lt;'Recurring Schedule'!$F$33,$A355&gt;'Recurring Schedule'!$P$33),"",IF(IF('Recurring Schedule'!$N$33&gt;0,MOD($A355-'Recurring Schedule'!$F$33,'Recurring Schedule'!$N$33)=0,IF('Recurring Schedule'!$O$33&gt;0,AND(DAY($A355)=MIN(DAY('Recurring Schedule'!$F$33),DAY(EOMONTH($A355,0))),MOD((YEAR($A355)-YEAR('Recurring Schedule'!$F$33))*12+MONTH($A355)-MONTH('Recurring Schedule'!$F$33),'Recurring Schedule'!$O$33)=0),IF('Recurring Schedule'!$E$33="Weekdays",WEEKDAY($A355,2)&lt;=5,$A355='Recurring Schedule'!$F$33))),28,""))))</f>
        <v/>
      </c>
      <c r="AD355">
        <f>IF('Recurring Schedule'!$C$34="","",IF('Recurring Schedule'!$F$34="","",IF(OR($A355&lt;'Recurring Schedule'!$F$34,$A355&gt;'Recurring Schedule'!$P$34),"",IF(IF('Recurring Schedule'!$N$34&gt;0,MOD($A355-'Recurring Schedule'!$F$34,'Recurring Schedule'!$N$34)=0,IF('Recurring Schedule'!$O$34&gt;0,AND(DAY($A355)=MIN(DAY('Recurring Schedule'!$F$34),DAY(EOMONTH($A355,0))),MOD((YEAR($A355)-YEAR('Recurring Schedule'!$F$34))*12+MONTH($A355)-MONTH('Recurring Schedule'!$F$34),'Recurring Schedule'!$O$34)=0),IF('Recurring Schedule'!$E$34="Weekdays",WEEKDAY($A355,2)&lt;=5,$A355='Recurring Schedule'!$F$34))),29,""))))</f>
        <v/>
      </c>
      <c r="AE355">
        <f>IF('Recurring Schedule'!$C$35="","",IF('Recurring Schedule'!$F$35="","",IF(OR($A355&lt;'Recurring Schedule'!$F$35,$A355&gt;'Recurring Schedule'!$P$35),"",IF(IF('Recurring Schedule'!$N$35&gt;0,MOD($A355-'Recurring Schedule'!$F$35,'Recurring Schedule'!$N$35)=0,IF('Recurring Schedule'!$O$35&gt;0,AND(DAY($A355)=MIN(DAY('Recurring Schedule'!$F$35),DAY(EOMONTH($A355,0))),MOD((YEAR($A355)-YEAR('Recurring Schedule'!$F$35))*12+MONTH($A355)-MONTH('Recurring Schedule'!$F$35),'Recurring Schedule'!$O$35)=0),IF('Recurring Schedule'!$E$35="Weekdays",WEEKDAY($A355,2)&lt;=5,$A355='Recurring Schedule'!$F$35))),30,""))))</f>
        <v/>
      </c>
      <c r="AF355">
        <f>IF('Recurring Schedule'!$C$36="","",IF('Recurring Schedule'!$F$36="","",IF(OR($A355&lt;'Recurring Schedule'!$F$36,$A355&gt;'Recurring Schedule'!$P$36),"",IF(IF('Recurring Schedule'!$N$36&gt;0,MOD($A355-'Recurring Schedule'!$F$36,'Recurring Schedule'!$N$36)=0,IF('Recurring Schedule'!$O$36&gt;0,AND(DAY($A355)=MIN(DAY('Recurring Schedule'!$F$36),DAY(EOMONTH($A355,0))),MOD((YEAR($A355)-YEAR('Recurring Schedule'!$F$36))*12+MONTH($A355)-MONTH('Recurring Schedule'!$F$36),'Recurring Schedule'!$O$36)=0),IF('Recurring Schedule'!$E$36="Weekdays",WEEKDAY($A355,2)&lt;=5,$A355='Recurring Schedule'!$F$36))),31,""))))</f>
        <v/>
      </c>
      <c r="AG355">
        <f>IF('Recurring Schedule'!$C$37="","",IF('Recurring Schedule'!$F$37="","",IF(OR($A355&lt;'Recurring Schedule'!$F$37,$A355&gt;'Recurring Schedule'!$P$37),"",IF(IF('Recurring Schedule'!$N$37&gt;0,MOD($A355-'Recurring Schedule'!$F$37,'Recurring Schedule'!$N$37)=0,IF('Recurring Schedule'!$O$37&gt;0,AND(DAY($A355)=MIN(DAY('Recurring Schedule'!$F$37),DAY(EOMONTH($A355,0))),MOD((YEAR($A355)-YEAR('Recurring Schedule'!$F$37))*12+MONTH($A355)-MONTH('Recurring Schedule'!$F$37),'Recurring Schedule'!$O$37)=0),IF('Recurring Schedule'!$E$37="Weekdays",WEEKDAY($A355,2)&lt;=5,$A355='Recurring Schedule'!$F$37))),32,""))))</f>
        <v/>
      </c>
      <c r="AH355">
        <f>IF('Recurring Schedule'!$C$38="","",IF('Recurring Schedule'!$F$38="","",IF(OR($A355&lt;'Recurring Schedule'!$F$38,$A355&gt;'Recurring Schedule'!$P$38),"",IF(IF('Recurring Schedule'!$N$38&gt;0,MOD($A355-'Recurring Schedule'!$F$38,'Recurring Schedule'!$N$38)=0,IF('Recurring Schedule'!$O$38&gt;0,AND(DAY($A355)=MIN(DAY('Recurring Schedule'!$F$38),DAY(EOMONTH($A355,0))),MOD((YEAR($A355)-YEAR('Recurring Schedule'!$F$38))*12+MONTH($A355)-MONTH('Recurring Schedule'!$F$38),'Recurring Schedule'!$O$38)=0),IF('Recurring Schedule'!$E$38="Weekdays",WEEKDAY($A355,2)&lt;=5,$A355='Recurring Schedule'!$F$38))),33,""))))</f>
        <v/>
      </c>
      <c r="AI355">
        <f>IF('Recurring Schedule'!$C$39="","",IF('Recurring Schedule'!$F$39="","",IF(OR($A355&lt;'Recurring Schedule'!$F$39,$A355&gt;'Recurring Schedule'!$P$39),"",IF(IF('Recurring Schedule'!$N$39&gt;0,MOD($A355-'Recurring Schedule'!$F$39,'Recurring Schedule'!$N$39)=0,IF('Recurring Schedule'!$O$39&gt;0,AND(DAY($A355)=MIN(DAY('Recurring Schedule'!$F$39),DAY(EOMONTH($A355,0))),MOD((YEAR($A355)-YEAR('Recurring Schedule'!$F$39))*12+MONTH($A355)-MONTH('Recurring Schedule'!$F$39),'Recurring Schedule'!$O$39)=0),IF('Recurring Schedule'!$E$39="Weekdays",WEEKDAY($A355,2)&lt;=5,$A355='Recurring Schedule'!$F$39))),34,""))))</f>
        <v/>
      </c>
      <c r="AJ355">
        <f>IF('Recurring Schedule'!$C$40="","",IF('Recurring Schedule'!$F$40="","",IF(OR($A355&lt;'Recurring Schedule'!$F$40,$A355&gt;'Recurring Schedule'!$P$40),"",IF(IF('Recurring Schedule'!$N$40&gt;0,MOD($A355-'Recurring Schedule'!$F$40,'Recurring Schedule'!$N$40)=0,IF('Recurring Schedule'!$O$40&gt;0,AND(DAY($A355)=MIN(DAY('Recurring Schedule'!$F$40),DAY(EOMONTH($A355,0))),MOD((YEAR($A355)-YEAR('Recurring Schedule'!$F$40))*12+MONTH($A355)-MONTH('Recurring Schedule'!$F$40),'Recurring Schedule'!$O$40)=0),IF('Recurring Schedule'!$E$40="Weekdays",WEEKDAY($A355,2)&lt;=5,$A355='Recurring Schedule'!$F$40))),35,""))))</f>
        <v/>
      </c>
      <c r="AK355">
        <f>IF('Recurring Schedule'!$C$41="","",IF('Recurring Schedule'!$F$41="","",IF(OR($A355&lt;'Recurring Schedule'!$F$41,$A355&gt;'Recurring Schedule'!$P$41),"",IF(IF('Recurring Schedule'!$N$41&gt;0,MOD($A355-'Recurring Schedule'!$F$41,'Recurring Schedule'!$N$41)=0,IF('Recurring Schedule'!$O$41&gt;0,AND(DAY($A355)=MIN(DAY('Recurring Schedule'!$F$41),DAY(EOMONTH($A355,0))),MOD((YEAR($A355)-YEAR('Recurring Schedule'!$F$41))*12+MONTH($A355)-MONTH('Recurring Schedule'!$F$41),'Recurring Schedule'!$O$41)=0),IF('Recurring Schedule'!$E$41="Weekdays",WEEKDAY($A355,2)&lt;=5,$A355='Recurring Schedule'!$F$41))),36,""))))</f>
        <v/>
      </c>
      <c r="AL355">
        <f>IF('Recurring Schedule'!$C$42="","",IF('Recurring Schedule'!$F$42="","",IF(OR($A355&lt;'Recurring Schedule'!$F$42,$A355&gt;'Recurring Schedule'!$P$42),"",IF(IF('Recurring Schedule'!$N$42&gt;0,MOD($A355-'Recurring Schedule'!$F$42,'Recurring Schedule'!$N$42)=0,IF('Recurring Schedule'!$O$42&gt;0,AND(DAY($A355)=MIN(DAY('Recurring Schedule'!$F$42),DAY(EOMONTH($A355,0))),MOD((YEAR($A355)-YEAR('Recurring Schedule'!$F$42))*12+MONTH($A355)-MONTH('Recurring Schedule'!$F$42),'Recurring Schedule'!$O$42)=0),IF('Recurring Schedule'!$E$42="Weekdays",WEEKDAY($A355,2)&lt;=5,$A355='Recurring Schedule'!$F$42))),37,""))))</f>
        <v/>
      </c>
      <c r="AM355">
        <f>IF('Recurring Schedule'!$C$43="","",IF('Recurring Schedule'!$F$43="","",IF(OR($A355&lt;'Recurring Schedule'!$F$43,$A355&gt;'Recurring Schedule'!$P$43),"",IF(IF('Recurring Schedule'!$N$43&gt;0,MOD($A355-'Recurring Schedule'!$F$43,'Recurring Schedule'!$N$43)=0,IF('Recurring Schedule'!$O$43&gt;0,AND(DAY($A355)=MIN(DAY('Recurring Schedule'!$F$43),DAY(EOMONTH($A355,0))),MOD((YEAR($A355)-YEAR('Recurring Schedule'!$F$43))*12+MONTH($A355)-MONTH('Recurring Schedule'!$F$43),'Recurring Schedule'!$O$43)=0),IF('Recurring Schedule'!$E$43="Weekdays",WEEKDAY($A355,2)&lt;=5,$A355='Recurring Schedule'!$F$43))),38,""))))</f>
        <v/>
      </c>
      <c r="AN355">
        <f>IF('Recurring Schedule'!$C$44="","",IF('Recurring Schedule'!$F$44="","",IF(OR($A355&lt;'Recurring Schedule'!$F$44,$A355&gt;'Recurring Schedule'!$P$44),"",IF(IF('Recurring Schedule'!$N$44&gt;0,MOD($A355-'Recurring Schedule'!$F$44,'Recurring Schedule'!$N$44)=0,IF('Recurring Schedule'!$O$44&gt;0,AND(DAY($A355)=MIN(DAY('Recurring Schedule'!$F$44),DAY(EOMONTH($A355,0))),MOD((YEAR($A355)-YEAR('Recurring Schedule'!$F$44))*12+MONTH($A355)-MONTH('Recurring Schedule'!$F$44),'Recurring Schedule'!$O$44)=0),IF('Recurring Schedule'!$E$44="Weekdays",WEEKDAY($A355,2)&lt;=5,$A355='Recurring Schedule'!$F$44))),39,""))))</f>
        <v/>
      </c>
      <c r="AO355">
        <f>IF('Recurring Schedule'!$C$45="","",IF('Recurring Schedule'!$F$45="","",IF(OR($A355&lt;'Recurring Schedule'!$F$45,$A355&gt;'Recurring Schedule'!$P$45),"",IF(IF('Recurring Schedule'!$N$45&gt;0,MOD($A355-'Recurring Schedule'!$F$45,'Recurring Schedule'!$N$45)=0,IF('Recurring Schedule'!$O$45&gt;0,AND(DAY($A355)=MIN(DAY('Recurring Schedule'!$F$45),DAY(EOMONTH($A355,0))),MOD((YEAR($A355)-YEAR('Recurring Schedule'!$F$45))*12+MONTH($A355)-MONTH('Recurring Schedule'!$F$45),'Recurring Schedule'!$O$45)=0),IF('Recurring Schedule'!$E$45="Weekdays",WEEKDAY($A355,2)&lt;=5,$A355='Recurring Schedule'!$F$45))),40,""))))</f>
        <v/>
      </c>
      <c r="AP355">
        <f>COUNT(B355:AO355)</f>
        <v/>
      </c>
      <c r="AQ355">
        <f>AQ354+AP354</f>
        <v/>
      </c>
      <c r="AS355" t="inlineStr">
        <is>
          <t>R</t>
        </is>
      </c>
      <c r="AT355" t="n">
        <v>359</v>
      </c>
      <c r="AU355">
        <f>'Recurring Log'!C359&amp;""</f>
        <v/>
      </c>
      <c r="AV355">
        <f>'Recurring Log'!D359&amp;""</f>
        <v/>
      </c>
      <c r="AW355">
        <f>IF('Recurring Log'!E359="","",'Recurring Log'!E359)</f>
        <v/>
      </c>
      <c r="AX355">
        <f>IF('Recurring Log'!G359="","",'Recurring Log'!G359)</f>
        <v/>
      </c>
      <c r="AY355">
        <f>IF('Recurring Log'!H359="","",'Recurring Log'!H359)</f>
        <v/>
      </c>
      <c r="AZ355">
        <f>IF(AU355="","",IF('Recurring Log'!J359="","Not Started",'Recurring Log'!J359))</f>
        <v/>
      </c>
      <c r="BA355">
        <f>'Recurring Log'!L359&amp;""</f>
        <v/>
      </c>
      <c r="BB355">
        <f>'Recurring Log'!M359&amp;""</f>
        <v/>
      </c>
      <c r="BC355">
        <f>'Recurring Log'!N359&amp;""</f>
        <v/>
      </c>
      <c r="BD355">
        <f>'Recurring Log'!O359&amp;""</f>
        <v/>
      </c>
      <c r="BE355">
        <f>IF('Recurring Log'!K359="","",'Recurring Log'!K359)</f>
        <v/>
      </c>
      <c r="BF355">
        <f>IFERROR(MATCH(BA355,Setup!$L$6:$L$9,0),5)</f>
        <v/>
      </c>
      <c r="BG355">
        <f>IF(OR(AZ355="Done",AZ355="Cancelled"),1,0)</f>
        <v/>
      </c>
      <c r="BH355">
        <f>IF(AND(AU355&lt;&gt;"",ISNUMBER(AW355)),1,0)</f>
        <v/>
      </c>
      <c r="BI355">
        <f>IF(BH355=0,0,IF(AND(AW355&gt;='Tasks Filter'!$F$3,AW355&lt;='Tasks Filter'!$F$4,OR('Tasks Filter'!$I$3="",ISNUMBER(SEARCH('Tasks Filter'!$I$3,AU355))),OR('Tasks Filter'!$I$4="",BF355=IFERROR(MATCH('Tasks Filter'!$I$4,Setup!$L$6:$L$9,0),0)),OR('Tasks Filter'!$I$5="Both",AND('Tasks Filter'!$I$5="Yes",BB355="✓"),AND('Tasks Filter'!$I$5="No",BB355&lt;&gt;"✓")),OR('Tasks Filter'!$L$3="",AV355='Tasks Filter'!$L$3),OR('Tasks Filter'!$L$4="",AZ355='Tasks Filter'!$L$4),OR('Tasks Filter'!$L$5="",BC355='Tasks Filter'!$L$5),OR('Tasks Filter'!$O$3="",BD355='Tasks Filter'!$O$3),OR('Tasks Filter'!$O$4="Yes",BG355=0)),1,0))</f>
        <v/>
      </c>
      <c r="BJ355">
        <f>IF(BH355=0,"",IF('Tasks Filter'!$F$6="Descending",-1,1)*CHOOSE(MATCH('Tasks Filter'!$F$5,Lists!$G$2:$G$6,0),AW355,BF355,IFERROR(MATCH(AV355,Setup!$F$6:$F$15,0),99),IFERROR(MATCH(BC355,Setup!$H$6:$H$15,0),99),IFERROR(MATCH(AZ355,Setup!$J$6:$J$11,0),99))*1E+9+(AW355-40000)*10000+354)</f>
        <v/>
      </c>
      <c r="BK355">
        <f>IF(BI355=1,BJ355,"")</f>
        <v/>
      </c>
      <c r="BL355">
        <f>IF(AND(BH355=1,BG355=0,N(AW355)&lt;Setup!$D$7),(AW355-40000)*10000+354,"")</f>
        <v/>
      </c>
      <c r="BM355">
        <f>IF(AND(BH355=1,AZ355&lt;&gt;"Cancelled",N(AW355)&gt;=Dashboard!$AB$3,N(AW355)&lt;=Dashboard!$AB$3+6),(AW355-40000)*100000+BF355*10000+354,"")</f>
        <v/>
      </c>
      <c r="BN355">
        <f>IF(AND(BH355=1,AZ355&lt;&gt;"Cancelled"),BF355*10000+354,"")</f>
        <v/>
      </c>
    </row>
    <row r="356">
      <c r="A356">
        <f>Setup!$D$5+354</f>
        <v/>
      </c>
      <c r="B356">
        <f>IF('Recurring Schedule'!$C$6="","",IF('Recurring Schedule'!$F$6="","",IF(OR($A356&lt;'Recurring Schedule'!$F$6,$A356&gt;'Recurring Schedule'!$P$6),"",IF(IF('Recurring Schedule'!$N$6&gt;0,MOD($A356-'Recurring Schedule'!$F$6,'Recurring Schedule'!$N$6)=0,IF('Recurring Schedule'!$O$6&gt;0,AND(DAY($A356)=MIN(DAY('Recurring Schedule'!$F$6),DAY(EOMONTH($A356,0))),MOD((YEAR($A356)-YEAR('Recurring Schedule'!$F$6))*12+MONTH($A356)-MONTH('Recurring Schedule'!$F$6),'Recurring Schedule'!$O$6)=0),IF('Recurring Schedule'!$E$6="Weekdays",WEEKDAY($A356,2)&lt;=5,$A356='Recurring Schedule'!$F$6))),1,""))))</f>
        <v/>
      </c>
      <c r="C356">
        <f>IF('Recurring Schedule'!$C$7="","",IF('Recurring Schedule'!$F$7="","",IF(OR($A356&lt;'Recurring Schedule'!$F$7,$A356&gt;'Recurring Schedule'!$P$7),"",IF(IF('Recurring Schedule'!$N$7&gt;0,MOD($A356-'Recurring Schedule'!$F$7,'Recurring Schedule'!$N$7)=0,IF('Recurring Schedule'!$O$7&gt;0,AND(DAY($A356)=MIN(DAY('Recurring Schedule'!$F$7),DAY(EOMONTH($A356,0))),MOD((YEAR($A356)-YEAR('Recurring Schedule'!$F$7))*12+MONTH($A356)-MONTH('Recurring Schedule'!$F$7),'Recurring Schedule'!$O$7)=0),IF('Recurring Schedule'!$E$7="Weekdays",WEEKDAY($A356,2)&lt;=5,$A356='Recurring Schedule'!$F$7))),2,""))))</f>
        <v/>
      </c>
      <c r="D356">
        <f>IF('Recurring Schedule'!$C$8="","",IF('Recurring Schedule'!$F$8="","",IF(OR($A356&lt;'Recurring Schedule'!$F$8,$A356&gt;'Recurring Schedule'!$P$8),"",IF(IF('Recurring Schedule'!$N$8&gt;0,MOD($A356-'Recurring Schedule'!$F$8,'Recurring Schedule'!$N$8)=0,IF('Recurring Schedule'!$O$8&gt;0,AND(DAY($A356)=MIN(DAY('Recurring Schedule'!$F$8),DAY(EOMONTH($A356,0))),MOD((YEAR($A356)-YEAR('Recurring Schedule'!$F$8))*12+MONTH($A356)-MONTH('Recurring Schedule'!$F$8),'Recurring Schedule'!$O$8)=0),IF('Recurring Schedule'!$E$8="Weekdays",WEEKDAY($A356,2)&lt;=5,$A356='Recurring Schedule'!$F$8))),3,""))))</f>
        <v/>
      </c>
      <c r="E356">
        <f>IF('Recurring Schedule'!$C$9="","",IF('Recurring Schedule'!$F$9="","",IF(OR($A356&lt;'Recurring Schedule'!$F$9,$A356&gt;'Recurring Schedule'!$P$9),"",IF(IF('Recurring Schedule'!$N$9&gt;0,MOD($A356-'Recurring Schedule'!$F$9,'Recurring Schedule'!$N$9)=0,IF('Recurring Schedule'!$O$9&gt;0,AND(DAY($A356)=MIN(DAY('Recurring Schedule'!$F$9),DAY(EOMONTH($A356,0))),MOD((YEAR($A356)-YEAR('Recurring Schedule'!$F$9))*12+MONTH($A356)-MONTH('Recurring Schedule'!$F$9),'Recurring Schedule'!$O$9)=0),IF('Recurring Schedule'!$E$9="Weekdays",WEEKDAY($A356,2)&lt;=5,$A356='Recurring Schedule'!$F$9))),4,""))))</f>
        <v/>
      </c>
      <c r="F356">
        <f>IF('Recurring Schedule'!$C$10="","",IF('Recurring Schedule'!$F$10="","",IF(OR($A356&lt;'Recurring Schedule'!$F$10,$A356&gt;'Recurring Schedule'!$P$10),"",IF(IF('Recurring Schedule'!$N$10&gt;0,MOD($A356-'Recurring Schedule'!$F$10,'Recurring Schedule'!$N$10)=0,IF('Recurring Schedule'!$O$10&gt;0,AND(DAY($A356)=MIN(DAY('Recurring Schedule'!$F$10),DAY(EOMONTH($A356,0))),MOD((YEAR($A356)-YEAR('Recurring Schedule'!$F$10))*12+MONTH($A356)-MONTH('Recurring Schedule'!$F$10),'Recurring Schedule'!$O$10)=0),IF('Recurring Schedule'!$E$10="Weekdays",WEEKDAY($A356,2)&lt;=5,$A356='Recurring Schedule'!$F$10))),5,""))))</f>
        <v/>
      </c>
      <c r="G356">
        <f>IF('Recurring Schedule'!$C$11="","",IF('Recurring Schedule'!$F$11="","",IF(OR($A356&lt;'Recurring Schedule'!$F$11,$A356&gt;'Recurring Schedule'!$P$11),"",IF(IF('Recurring Schedule'!$N$11&gt;0,MOD($A356-'Recurring Schedule'!$F$11,'Recurring Schedule'!$N$11)=0,IF('Recurring Schedule'!$O$11&gt;0,AND(DAY($A356)=MIN(DAY('Recurring Schedule'!$F$11),DAY(EOMONTH($A356,0))),MOD((YEAR($A356)-YEAR('Recurring Schedule'!$F$11))*12+MONTH($A356)-MONTH('Recurring Schedule'!$F$11),'Recurring Schedule'!$O$11)=0),IF('Recurring Schedule'!$E$11="Weekdays",WEEKDAY($A356,2)&lt;=5,$A356='Recurring Schedule'!$F$11))),6,""))))</f>
        <v/>
      </c>
      <c r="H356">
        <f>IF('Recurring Schedule'!$C$12="","",IF('Recurring Schedule'!$F$12="","",IF(OR($A356&lt;'Recurring Schedule'!$F$12,$A356&gt;'Recurring Schedule'!$P$12),"",IF(IF('Recurring Schedule'!$N$12&gt;0,MOD($A356-'Recurring Schedule'!$F$12,'Recurring Schedule'!$N$12)=0,IF('Recurring Schedule'!$O$12&gt;0,AND(DAY($A356)=MIN(DAY('Recurring Schedule'!$F$12),DAY(EOMONTH($A356,0))),MOD((YEAR($A356)-YEAR('Recurring Schedule'!$F$12))*12+MONTH($A356)-MONTH('Recurring Schedule'!$F$12),'Recurring Schedule'!$O$12)=0),IF('Recurring Schedule'!$E$12="Weekdays",WEEKDAY($A356,2)&lt;=5,$A356='Recurring Schedule'!$F$12))),7,""))))</f>
        <v/>
      </c>
      <c r="I356">
        <f>IF('Recurring Schedule'!$C$13="","",IF('Recurring Schedule'!$F$13="","",IF(OR($A356&lt;'Recurring Schedule'!$F$13,$A356&gt;'Recurring Schedule'!$P$13),"",IF(IF('Recurring Schedule'!$N$13&gt;0,MOD($A356-'Recurring Schedule'!$F$13,'Recurring Schedule'!$N$13)=0,IF('Recurring Schedule'!$O$13&gt;0,AND(DAY($A356)=MIN(DAY('Recurring Schedule'!$F$13),DAY(EOMONTH($A356,0))),MOD((YEAR($A356)-YEAR('Recurring Schedule'!$F$13))*12+MONTH($A356)-MONTH('Recurring Schedule'!$F$13),'Recurring Schedule'!$O$13)=0),IF('Recurring Schedule'!$E$13="Weekdays",WEEKDAY($A356,2)&lt;=5,$A356='Recurring Schedule'!$F$13))),8,""))))</f>
        <v/>
      </c>
      <c r="J356">
        <f>IF('Recurring Schedule'!$C$14="","",IF('Recurring Schedule'!$F$14="","",IF(OR($A356&lt;'Recurring Schedule'!$F$14,$A356&gt;'Recurring Schedule'!$P$14),"",IF(IF('Recurring Schedule'!$N$14&gt;0,MOD($A356-'Recurring Schedule'!$F$14,'Recurring Schedule'!$N$14)=0,IF('Recurring Schedule'!$O$14&gt;0,AND(DAY($A356)=MIN(DAY('Recurring Schedule'!$F$14),DAY(EOMONTH($A356,0))),MOD((YEAR($A356)-YEAR('Recurring Schedule'!$F$14))*12+MONTH($A356)-MONTH('Recurring Schedule'!$F$14),'Recurring Schedule'!$O$14)=0),IF('Recurring Schedule'!$E$14="Weekdays",WEEKDAY($A356,2)&lt;=5,$A356='Recurring Schedule'!$F$14))),9,""))))</f>
        <v/>
      </c>
      <c r="K356">
        <f>IF('Recurring Schedule'!$C$15="","",IF('Recurring Schedule'!$F$15="","",IF(OR($A356&lt;'Recurring Schedule'!$F$15,$A356&gt;'Recurring Schedule'!$P$15),"",IF(IF('Recurring Schedule'!$N$15&gt;0,MOD($A356-'Recurring Schedule'!$F$15,'Recurring Schedule'!$N$15)=0,IF('Recurring Schedule'!$O$15&gt;0,AND(DAY($A356)=MIN(DAY('Recurring Schedule'!$F$15),DAY(EOMONTH($A356,0))),MOD((YEAR($A356)-YEAR('Recurring Schedule'!$F$15))*12+MONTH($A356)-MONTH('Recurring Schedule'!$F$15),'Recurring Schedule'!$O$15)=0),IF('Recurring Schedule'!$E$15="Weekdays",WEEKDAY($A356,2)&lt;=5,$A356='Recurring Schedule'!$F$15))),10,""))))</f>
        <v/>
      </c>
      <c r="L356">
        <f>IF('Recurring Schedule'!$C$16="","",IF('Recurring Schedule'!$F$16="","",IF(OR($A356&lt;'Recurring Schedule'!$F$16,$A356&gt;'Recurring Schedule'!$P$16),"",IF(IF('Recurring Schedule'!$N$16&gt;0,MOD($A356-'Recurring Schedule'!$F$16,'Recurring Schedule'!$N$16)=0,IF('Recurring Schedule'!$O$16&gt;0,AND(DAY($A356)=MIN(DAY('Recurring Schedule'!$F$16),DAY(EOMONTH($A356,0))),MOD((YEAR($A356)-YEAR('Recurring Schedule'!$F$16))*12+MONTH($A356)-MONTH('Recurring Schedule'!$F$16),'Recurring Schedule'!$O$16)=0),IF('Recurring Schedule'!$E$16="Weekdays",WEEKDAY($A356,2)&lt;=5,$A356='Recurring Schedule'!$F$16))),11,""))))</f>
        <v/>
      </c>
      <c r="M356">
        <f>IF('Recurring Schedule'!$C$17="","",IF('Recurring Schedule'!$F$17="","",IF(OR($A356&lt;'Recurring Schedule'!$F$17,$A356&gt;'Recurring Schedule'!$P$17),"",IF(IF('Recurring Schedule'!$N$17&gt;0,MOD($A356-'Recurring Schedule'!$F$17,'Recurring Schedule'!$N$17)=0,IF('Recurring Schedule'!$O$17&gt;0,AND(DAY($A356)=MIN(DAY('Recurring Schedule'!$F$17),DAY(EOMONTH($A356,0))),MOD((YEAR($A356)-YEAR('Recurring Schedule'!$F$17))*12+MONTH($A356)-MONTH('Recurring Schedule'!$F$17),'Recurring Schedule'!$O$17)=0),IF('Recurring Schedule'!$E$17="Weekdays",WEEKDAY($A356,2)&lt;=5,$A356='Recurring Schedule'!$F$17))),12,""))))</f>
        <v/>
      </c>
      <c r="N356">
        <f>IF('Recurring Schedule'!$C$18="","",IF('Recurring Schedule'!$F$18="","",IF(OR($A356&lt;'Recurring Schedule'!$F$18,$A356&gt;'Recurring Schedule'!$P$18),"",IF(IF('Recurring Schedule'!$N$18&gt;0,MOD($A356-'Recurring Schedule'!$F$18,'Recurring Schedule'!$N$18)=0,IF('Recurring Schedule'!$O$18&gt;0,AND(DAY($A356)=MIN(DAY('Recurring Schedule'!$F$18),DAY(EOMONTH($A356,0))),MOD((YEAR($A356)-YEAR('Recurring Schedule'!$F$18))*12+MONTH($A356)-MONTH('Recurring Schedule'!$F$18),'Recurring Schedule'!$O$18)=0),IF('Recurring Schedule'!$E$18="Weekdays",WEEKDAY($A356,2)&lt;=5,$A356='Recurring Schedule'!$F$18))),13,""))))</f>
        <v/>
      </c>
      <c r="O356">
        <f>IF('Recurring Schedule'!$C$19="","",IF('Recurring Schedule'!$F$19="","",IF(OR($A356&lt;'Recurring Schedule'!$F$19,$A356&gt;'Recurring Schedule'!$P$19),"",IF(IF('Recurring Schedule'!$N$19&gt;0,MOD($A356-'Recurring Schedule'!$F$19,'Recurring Schedule'!$N$19)=0,IF('Recurring Schedule'!$O$19&gt;0,AND(DAY($A356)=MIN(DAY('Recurring Schedule'!$F$19),DAY(EOMONTH($A356,0))),MOD((YEAR($A356)-YEAR('Recurring Schedule'!$F$19))*12+MONTH($A356)-MONTH('Recurring Schedule'!$F$19),'Recurring Schedule'!$O$19)=0),IF('Recurring Schedule'!$E$19="Weekdays",WEEKDAY($A356,2)&lt;=5,$A356='Recurring Schedule'!$F$19))),14,""))))</f>
        <v/>
      </c>
      <c r="P356">
        <f>IF('Recurring Schedule'!$C$20="","",IF('Recurring Schedule'!$F$20="","",IF(OR($A356&lt;'Recurring Schedule'!$F$20,$A356&gt;'Recurring Schedule'!$P$20),"",IF(IF('Recurring Schedule'!$N$20&gt;0,MOD($A356-'Recurring Schedule'!$F$20,'Recurring Schedule'!$N$20)=0,IF('Recurring Schedule'!$O$20&gt;0,AND(DAY($A356)=MIN(DAY('Recurring Schedule'!$F$20),DAY(EOMONTH($A356,0))),MOD((YEAR($A356)-YEAR('Recurring Schedule'!$F$20))*12+MONTH($A356)-MONTH('Recurring Schedule'!$F$20),'Recurring Schedule'!$O$20)=0),IF('Recurring Schedule'!$E$20="Weekdays",WEEKDAY($A356,2)&lt;=5,$A356='Recurring Schedule'!$F$20))),15,""))))</f>
        <v/>
      </c>
      <c r="Q356">
        <f>IF('Recurring Schedule'!$C$21="","",IF('Recurring Schedule'!$F$21="","",IF(OR($A356&lt;'Recurring Schedule'!$F$21,$A356&gt;'Recurring Schedule'!$P$21),"",IF(IF('Recurring Schedule'!$N$21&gt;0,MOD($A356-'Recurring Schedule'!$F$21,'Recurring Schedule'!$N$21)=0,IF('Recurring Schedule'!$O$21&gt;0,AND(DAY($A356)=MIN(DAY('Recurring Schedule'!$F$21),DAY(EOMONTH($A356,0))),MOD((YEAR($A356)-YEAR('Recurring Schedule'!$F$21))*12+MONTH($A356)-MONTH('Recurring Schedule'!$F$21),'Recurring Schedule'!$O$21)=0),IF('Recurring Schedule'!$E$21="Weekdays",WEEKDAY($A356,2)&lt;=5,$A356='Recurring Schedule'!$F$21))),16,""))))</f>
        <v/>
      </c>
      <c r="R356">
        <f>IF('Recurring Schedule'!$C$22="","",IF('Recurring Schedule'!$F$22="","",IF(OR($A356&lt;'Recurring Schedule'!$F$22,$A356&gt;'Recurring Schedule'!$P$22),"",IF(IF('Recurring Schedule'!$N$22&gt;0,MOD($A356-'Recurring Schedule'!$F$22,'Recurring Schedule'!$N$22)=0,IF('Recurring Schedule'!$O$22&gt;0,AND(DAY($A356)=MIN(DAY('Recurring Schedule'!$F$22),DAY(EOMONTH($A356,0))),MOD((YEAR($A356)-YEAR('Recurring Schedule'!$F$22))*12+MONTH($A356)-MONTH('Recurring Schedule'!$F$22),'Recurring Schedule'!$O$22)=0),IF('Recurring Schedule'!$E$22="Weekdays",WEEKDAY($A356,2)&lt;=5,$A356='Recurring Schedule'!$F$22))),17,""))))</f>
        <v/>
      </c>
      <c r="S356">
        <f>IF('Recurring Schedule'!$C$23="","",IF('Recurring Schedule'!$F$23="","",IF(OR($A356&lt;'Recurring Schedule'!$F$23,$A356&gt;'Recurring Schedule'!$P$23),"",IF(IF('Recurring Schedule'!$N$23&gt;0,MOD($A356-'Recurring Schedule'!$F$23,'Recurring Schedule'!$N$23)=0,IF('Recurring Schedule'!$O$23&gt;0,AND(DAY($A356)=MIN(DAY('Recurring Schedule'!$F$23),DAY(EOMONTH($A356,0))),MOD((YEAR($A356)-YEAR('Recurring Schedule'!$F$23))*12+MONTH($A356)-MONTH('Recurring Schedule'!$F$23),'Recurring Schedule'!$O$23)=0),IF('Recurring Schedule'!$E$23="Weekdays",WEEKDAY($A356,2)&lt;=5,$A356='Recurring Schedule'!$F$23))),18,""))))</f>
        <v/>
      </c>
      <c r="T356">
        <f>IF('Recurring Schedule'!$C$24="","",IF('Recurring Schedule'!$F$24="","",IF(OR($A356&lt;'Recurring Schedule'!$F$24,$A356&gt;'Recurring Schedule'!$P$24),"",IF(IF('Recurring Schedule'!$N$24&gt;0,MOD($A356-'Recurring Schedule'!$F$24,'Recurring Schedule'!$N$24)=0,IF('Recurring Schedule'!$O$24&gt;0,AND(DAY($A356)=MIN(DAY('Recurring Schedule'!$F$24),DAY(EOMONTH($A356,0))),MOD((YEAR($A356)-YEAR('Recurring Schedule'!$F$24))*12+MONTH($A356)-MONTH('Recurring Schedule'!$F$24),'Recurring Schedule'!$O$24)=0),IF('Recurring Schedule'!$E$24="Weekdays",WEEKDAY($A356,2)&lt;=5,$A356='Recurring Schedule'!$F$24))),19,""))))</f>
        <v/>
      </c>
      <c r="U356">
        <f>IF('Recurring Schedule'!$C$25="","",IF('Recurring Schedule'!$F$25="","",IF(OR($A356&lt;'Recurring Schedule'!$F$25,$A356&gt;'Recurring Schedule'!$P$25),"",IF(IF('Recurring Schedule'!$N$25&gt;0,MOD($A356-'Recurring Schedule'!$F$25,'Recurring Schedule'!$N$25)=0,IF('Recurring Schedule'!$O$25&gt;0,AND(DAY($A356)=MIN(DAY('Recurring Schedule'!$F$25),DAY(EOMONTH($A356,0))),MOD((YEAR($A356)-YEAR('Recurring Schedule'!$F$25))*12+MONTH($A356)-MONTH('Recurring Schedule'!$F$25),'Recurring Schedule'!$O$25)=0),IF('Recurring Schedule'!$E$25="Weekdays",WEEKDAY($A356,2)&lt;=5,$A356='Recurring Schedule'!$F$25))),20,""))))</f>
        <v/>
      </c>
      <c r="V356">
        <f>IF('Recurring Schedule'!$C$26="","",IF('Recurring Schedule'!$F$26="","",IF(OR($A356&lt;'Recurring Schedule'!$F$26,$A356&gt;'Recurring Schedule'!$P$26),"",IF(IF('Recurring Schedule'!$N$26&gt;0,MOD($A356-'Recurring Schedule'!$F$26,'Recurring Schedule'!$N$26)=0,IF('Recurring Schedule'!$O$26&gt;0,AND(DAY($A356)=MIN(DAY('Recurring Schedule'!$F$26),DAY(EOMONTH($A356,0))),MOD((YEAR($A356)-YEAR('Recurring Schedule'!$F$26))*12+MONTH($A356)-MONTH('Recurring Schedule'!$F$26),'Recurring Schedule'!$O$26)=0),IF('Recurring Schedule'!$E$26="Weekdays",WEEKDAY($A356,2)&lt;=5,$A356='Recurring Schedule'!$F$26))),21,""))))</f>
        <v/>
      </c>
      <c r="W356">
        <f>IF('Recurring Schedule'!$C$27="","",IF('Recurring Schedule'!$F$27="","",IF(OR($A356&lt;'Recurring Schedule'!$F$27,$A356&gt;'Recurring Schedule'!$P$27),"",IF(IF('Recurring Schedule'!$N$27&gt;0,MOD($A356-'Recurring Schedule'!$F$27,'Recurring Schedule'!$N$27)=0,IF('Recurring Schedule'!$O$27&gt;0,AND(DAY($A356)=MIN(DAY('Recurring Schedule'!$F$27),DAY(EOMONTH($A356,0))),MOD((YEAR($A356)-YEAR('Recurring Schedule'!$F$27))*12+MONTH($A356)-MONTH('Recurring Schedule'!$F$27),'Recurring Schedule'!$O$27)=0),IF('Recurring Schedule'!$E$27="Weekdays",WEEKDAY($A356,2)&lt;=5,$A356='Recurring Schedule'!$F$27))),22,""))))</f>
        <v/>
      </c>
      <c r="X356">
        <f>IF('Recurring Schedule'!$C$28="","",IF('Recurring Schedule'!$F$28="","",IF(OR($A356&lt;'Recurring Schedule'!$F$28,$A356&gt;'Recurring Schedule'!$P$28),"",IF(IF('Recurring Schedule'!$N$28&gt;0,MOD($A356-'Recurring Schedule'!$F$28,'Recurring Schedule'!$N$28)=0,IF('Recurring Schedule'!$O$28&gt;0,AND(DAY($A356)=MIN(DAY('Recurring Schedule'!$F$28),DAY(EOMONTH($A356,0))),MOD((YEAR($A356)-YEAR('Recurring Schedule'!$F$28))*12+MONTH($A356)-MONTH('Recurring Schedule'!$F$28),'Recurring Schedule'!$O$28)=0),IF('Recurring Schedule'!$E$28="Weekdays",WEEKDAY($A356,2)&lt;=5,$A356='Recurring Schedule'!$F$28))),23,""))))</f>
        <v/>
      </c>
      <c r="Y356">
        <f>IF('Recurring Schedule'!$C$29="","",IF('Recurring Schedule'!$F$29="","",IF(OR($A356&lt;'Recurring Schedule'!$F$29,$A356&gt;'Recurring Schedule'!$P$29),"",IF(IF('Recurring Schedule'!$N$29&gt;0,MOD($A356-'Recurring Schedule'!$F$29,'Recurring Schedule'!$N$29)=0,IF('Recurring Schedule'!$O$29&gt;0,AND(DAY($A356)=MIN(DAY('Recurring Schedule'!$F$29),DAY(EOMONTH($A356,0))),MOD((YEAR($A356)-YEAR('Recurring Schedule'!$F$29))*12+MONTH($A356)-MONTH('Recurring Schedule'!$F$29),'Recurring Schedule'!$O$29)=0),IF('Recurring Schedule'!$E$29="Weekdays",WEEKDAY($A356,2)&lt;=5,$A356='Recurring Schedule'!$F$29))),24,""))))</f>
        <v/>
      </c>
      <c r="Z356">
        <f>IF('Recurring Schedule'!$C$30="","",IF('Recurring Schedule'!$F$30="","",IF(OR($A356&lt;'Recurring Schedule'!$F$30,$A356&gt;'Recurring Schedule'!$P$30),"",IF(IF('Recurring Schedule'!$N$30&gt;0,MOD($A356-'Recurring Schedule'!$F$30,'Recurring Schedule'!$N$30)=0,IF('Recurring Schedule'!$O$30&gt;0,AND(DAY($A356)=MIN(DAY('Recurring Schedule'!$F$30),DAY(EOMONTH($A356,0))),MOD((YEAR($A356)-YEAR('Recurring Schedule'!$F$30))*12+MONTH($A356)-MONTH('Recurring Schedule'!$F$30),'Recurring Schedule'!$O$30)=0),IF('Recurring Schedule'!$E$30="Weekdays",WEEKDAY($A356,2)&lt;=5,$A356='Recurring Schedule'!$F$30))),25,""))))</f>
        <v/>
      </c>
      <c r="AA356">
        <f>IF('Recurring Schedule'!$C$31="","",IF('Recurring Schedule'!$F$31="","",IF(OR($A356&lt;'Recurring Schedule'!$F$31,$A356&gt;'Recurring Schedule'!$P$31),"",IF(IF('Recurring Schedule'!$N$31&gt;0,MOD($A356-'Recurring Schedule'!$F$31,'Recurring Schedule'!$N$31)=0,IF('Recurring Schedule'!$O$31&gt;0,AND(DAY($A356)=MIN(DAY('Recurring Schedule'!$F$31),DAY(EOMONTH($A356,0))),MOD((YEAR($A356)-YEAR('Recurring Schedule'!$F$31))*12+MONTH($A356)-MONTH('Recurring Schedule'!$F$31),'Recurring Schedule'!$O$31)=0),IF('Recurring Schedule'!$E$31="Weekdays",WEEKDAY($A356,2)&lt;=5,$A356='Recurring Schedule'!$F$31))),26,""))))</f>
        <v/>
      </c>
      <c r="AB356">
        <f>IF('Recurring Schedule'!$C$32="","",IF('Recurring Schedule'!$F$32="","",IF(OR($A356&lt;'Recurring Schedule'!$F$32,$A356&gt;'Recurring Schedule'!$P$32),"",IF(IF('Recurring Schedule'!$N$32&gt;0,MOD($A356-'Recurring Schedule'!$F$32,'Recurring Schedule'!$N$32)=0,IF('Recurring Schedule'!$O$32&gt;0,AND(DAY($A356)=MIN(DAY('Recurring Schedule'!$F$32),DAY(EOMONTH($A356,0))),MOD((YEAR($A356)-YEAR('Recurring Schedule'!$F$32))*12+MONTH($A356)-MONTH('Recurring Schedule'!$F$32),'Recurring Schedule'!$O$32)=0),IF('Recurring Schedule'!$E$32="Weekdays",WEEKDAY($A356,2)&lt;=5,$A356='Recurring Schedule'!$F$32))),27,""))))</f>
        <v/>
      </c>
      <c r="AC356">
        <f>IF('Recurring Schedule'!$C$33="","",IF('Recurring Schedule'!$F$33="","",IF(OR($A356&lt;'Recurring Schedule'!$F$33,$A356&gt;'Recurring Schedule'!$P$33),"",IF(IF('Recurring Schedule'!$N$33&gt;0,MOD($A356-'Recurring Schedule'!$F$33,'Recurring Schedule'!$N$33)=0,IF('Recurring Schedule'!$O$33&gt;0,AND(DAY($A356)=MIN(DAY('Recurring Schedule'!$F$33),DAY(EOMONTH($A356,0))),MOD((YEAR($A356)-YEAR('Recurring Schedule'!$F$33))*12+MONTH($A356)-MONTH('Recurring Schedule'!$F$33),'Recurring Schedule'!$O$33)=0),IF('Recurring Schedule'!$E$33="Weekdays",WEEKDAY($A356,2)&lt;=5,$A356='Recurring Schedule'!$F$33))),28,""))))</f>
        <v/>
      </c>
      <c r="AD356">
        <f>IF('Recurring Schedule'!$C$34="","",IF('Recurring Schedule'!$F$34="","",IF(OR($A356&lt;'Recurring Schedule'!$F$34,$A356&gt;'Recurring Schedule'!$P$34),"",IF(IF('Recurring Schedule'!$N$34&gt;0,MOD($A356-'Recurring Schedule'!$F$34,'Recurring Schedule'!$N$34)=0,IF('Recurring Schedule'!$O$34&gt;0,AND(DAY($A356)=MIN(DAY('Recurring Schedule'!$F$34),DAY(EOMONTH($A356,0))),MOD((YEAR($A356)-YEAR('Recurring Schedule'!$F$34))*12+MONTH($A356)-MONTH('Recurring Schedule'!$F$34),'Recurring Schedule'!$O$34)=0),IF('Recurring Schedule'!$E$34="Weekdays",WEEKDAY($A356,2)&lt;=5,$A356='Recurring Schedule'!$F$34))),29,""))))</f>
        <v/>
      </c>
      <c r="AE356">
        <f>IF('Recurring Schedule'!$C$35="","",IF('Recurring Schedule'!$F$35="","",IF(OR($A356&lt;'Recurring Schedule'!$F$35,$A356&gt;'Recurring Schedule'!$P$35),"",IF(IF('Recurring Schedule'!$N$35&gt;0,MOD($A356-'Recurring Schedule'!$F$35,'Recurring Schedule'!$N$35)=0,IF('Recurring Schedule'!$O$35&gt;0,AND(DAY($A356)=MIN(DAY('Recurring Schedule'!$F$35),DAY(EOMONTH($A356,0))),MOD((YEAR($A356)-YEAR('Recurring Schedule'!$F$35))*12+MONTH($A356)-MONTH('Recurring Schedule'!$F$35),'Recurring Schedule'!$O$35)=0),IF('Recurring Schedule'!$E$35="Weekdays",WEEKDAY($A356,2)&lt;=5,$A356='Recurring Schedule'!$F$35))),30,""))))</f>
        <v/>
      </c>
      <c r="AF356">
        <f>IF('Recurring Schedule'!$C$36="","",IF('Recurring Schedule'!$F$36="","",IF(OR($A356&lt;'Recurring Schedule'!$F$36,$A356&gt;'Recurring Schedule'!$P$36),"",IF(IF('Recurring Schedule'!$N$36&gt;0,MOD($A356-'Recurring Schedule'!$F$36,'Recurring Schedule'!$N$36)=0,IF('Recurring Schedule'!$O$36&gt;0,AND(DAY($A356)=MIN(DAY('Recurring Schedule'!$F$36),DAY(EOMONTH($A356,0))),MOD((YEAR($A356)-YEAR('Recurring Schedule'!$F$36))*12+MONTH($A356)-MONTH('Recurring Schedule'!$F$36),'Recurring Schedule'!$O$36)=0),IF('Recurring Schedule'!$E$36="Weekdays",WEEKDAY($A356,2)&lt;=5,$A356='Recurring Schedule'!$F$36))),31,""))))</f>
        <v/>
      </c>
      <c r="AG356">
        <f>IF('Recurring Schedule'!$C$37="","",IF('Recurring Schedule'!$F$37="","",IF(OR($A356&lt;'Recurring Schedule'!$F$37,$A356&gt;'Recurring Schedule'!$P$37),"",IF(IF('Recurring Schedule'!$N$37&gt;0,MOD($A356-'Recurring Schedule'!$F$37,'Recurring Schedule'!$N$37)=0,IF('Recurring Schedule'!$O$37&gt;0,AND(DAY($A356)=MIN(DAY('Recurring Schedule'!$F$37),DAY(EOMONTH($A356,0))),MOD((YEAR($A356)-YEAR('Recurring Schedule'!$F$37))*12+MONTH($A356)-MONTH('Recurring Schedule'!$F$37),'Recurring Schedule'!$O$37)=0),IF('Recurring Schedule'!$E$37="Weekdays",WEEKDAY($A356,2)&lt;=5,$A356='Recurring Schedule'!$F$37))),32,""))))</f>
        <v/>
      </c>
      <c r="AH356">
        <f>IF('Recurring Schedule'!$C$38="","",IF('Recurring Schedule'!$F$38="","",IF(OR($A356&lt;'Recurring Schedule'!$F$38,$A356&gt;'Recurring Schedule'!$P$38),"",IF(IF('Recurring Schedule'!$N$38&gt;0,MOD($A356-'Recurring Schedule'!$F$38,'Recurring Schedule'!$N$38)=0,IF('Recurring Schedule'!$O$38&gt;0,AND(DAY($A356)=MIN(DAY('Recurring Schedule'!$F$38),DAY(EOMONTH($A356,0))),MOD((YEAR($A356)-YEAR('Recurring Schedule'!$F$38))*12+MONTH($A356)-MONTH('Recurring Schedule'!$F$38),'Recurring Schedule'!$O$38)=0),IF('Recurring Schedule'!$E$38="Weekdays",WEEKDAY($A356,2)&lt;=5,$A356='Recurring Schedule'!$F$38))),33,""))))</f>
        <v/>
      </c>
      <c r="AI356">
        <f>IF('Recurring Schedule'!$C$39="","",IF('Recurring Schedule'!$F$39="","",IF(OR($A356&lt;'Recurring Schedule'!$F$39,$A356&gt;'Recurring Schedule'!$P$39),"",IF(IF('Recurring Schedule'!$N$39&gt;0,MOD($A356-'Recurring Schedule'!$F$39,'Recurring Schedule'!$N$39)=0,IF('Recurring Schedule'!$O$39&gt;0,AND(DAY($A356)=MIN(DAY('Recurring Schedule'!$F$39),DAY(EOMONTH($A356,0))),MOD((YEAR($A356)-YEAR('Recurring Schedule'!$F$39))*12+MONTH($A356)-MONTH('Recurring Schedule'!$F$39),'Recurring Schedule'!$O$39)=0),IF('Recurring Schedule'!$E$39="Weekdays",WEEKDAY($A356,2)&lt;=5,$A356='Recurring Schedule'!$F$39))),34,""))))</f>
        <v/>
      </c>
      <c r="AJ356">
        <f>IF('Recurring Schedule'!$C$40="","",IF('Recurring Schedule'!$F$40="","",IF(OR($A356&lt;'Recurring Schedule'!$F$40,$A356&gt;'Recurring Schedule'!$P$40),"",IF(IF('Recurring Schedule'!$N$40&gt;0,MOD($A356-'Recurring Schedule'!$F$40,'Recurring Schedule'!$N$40)=0,IF('Recurring Schedule'!$O$40&gt;0,AND(DAY($A356)=MIN(DAY('Recurring Schedule'!$F$40),DAY(EOMONTH($A356,0))),MOD((YEAR($A356)-YEAR('Recurring Schedule'!$F$40))*12+MONTH($A356)-MONTH('Recurring Schedule'!$F$40),'Recurring Schedule'!$O$40)=0),IF('Recurring Schedule'!$E$40="Weekdays",WEEKDAY($A356,2)&lt;=5,$A356='Recurring Schedule'!$F$40))),35,""))))</f>
        <v/>
      </c>
      <c r="AK356">
        <f>IF('Recurring Schedule'!$C$41="","",IF('Recurring Schedule'!$F$41="","",IF(OR($A356&lt;'Recurring Schedule'!$F$41,$A356&gt;'Recurring Schedule'!$P$41),"",IF(IF('Recurring Schedule'!$N$41&gt;0,MOD($A356-'Recurring Schedule'!$F$41,'Recurring Schedule'!$N$41)=0,IF('Recurring Schedule'!$O$41&gt;0,AND(DAY($A356)=MIN(DAY('Recurring Schedule'!$F$41),DAY(EOMONTH($A356,0))),MOD((YEAR($A356)-YEAR('Recurring Schedule'!$F$41))*12+MONTH($A356)-MONTH('Recurring Schedule'!$F$41),'Recurring Schedule'!$O$41)=0),IF('Recurring Schedule'!$E$41="Weekdays",WEEKDAY($A356,2)&lt;=5,$A356='Recurring Schedule'!$F$41))),36,""))))</f>
        <v/>
      </c>
      <c r="AL356">
        <f>IF('Recurring Schedule'!$C$42="","",IF('Recurring Schedule'!$F$42="","",IF(OR($A356&lt;'Recurring Schedule'!$F$42,$A356&gt;'Recurring Schedule'!$P$42),"",IF(IF('Recurring Schedule'!$N$42&gt;0,MOD($A356-'Recurring Schedule'!$F$42,'Recurring Schedule'!$N$42)=0,IF('Recurring Schedule'!$O$42&gt;0,AND(DAY($A356)=MIN(DAY('Recurring Schedule'!$F$42),DAY(EOMONTH($A356,0))),MOD((YEAR($A356)-YEAR('Recurring Schedule'!$F$42))*12+MONTH($A356)-MONTH('Recurring Schedule'!$F$42),'Recurring Schedule'!$O$42)=0),IF('Recurring Schedule'!$E$42="Weekdays",WEEKDAY($A356,2)&lt;=5,$A356='Recurring Schedule'!$F$42))),37,""))))</f>
        <v/>
      </c>
      <c r="AM356">
        <f>IF('Recurring Schedule'!$C$43="","",IF('Recurring Schedule'!$F$43="","",IF(OR($A356&lt;'Recurring Schedule'!$F$43,$A356&gt;'Recurring Schedule'!$P$43),"",IF(IF('Recurring Schedule'!$N$43&gt;0,MOD($A356-'Recurring Schedule'!$F$43,'Recurring Schedule'!$N$43)=0,IF('Recurring Schedule'!$O$43&gt;0,AND(DAY($A356)=MIN(DAY('Recurring Schedule'!$F$43),DAY(EOMONTH($A356,0))),MOD((YEAR($A356)-YEAR('Recurring Schedule'!$F$43))*12+MONTH($A356)-MONTH('Recurring Schedule'!$F$43),'Recurring Schedule'!$O$43)=0),IF('Recurring Schedule'!$E$43="Weekdays",WEEKDAY($A356,2)&lt;=5,$A356='Recurring Schedule'!$F$43))),38,""))))</f>
        <v/>
      </c>
      <c r="AN356">
        <f>IF('Recurring Schedule'!$C$44="","",IF('Recurring Schedule'!$F$44="","",IF(OR($A356&lt;'Recurring Schedule'!$F$44,$A356&gt;'Recurring Schedule'!$P$44),"",IF(IF('Recurring Schedule'!$N$44&gt;0,MOD($A356-'Recurring Schedule'!$F$44,'Recurring Schedule'!$N$44)=0,IF('Recurring Schedule'!$O$44&gt;0,AND(DAY($A356)=MIN(DAY('Recurring Schedule'!$F$44),DAY(EOMONTH($A356,0))),MOD((YEAR($A356)-YEAR('Recurring Schedule'!$F$44))*12+MONTH($A356)-MONTH('Recurring Schedule'!$F$44),'Recurring Schedule'!$O$44)=0),IF('Recurring Schedule'!$E$44="Weekdays",WEEKDAY($A356,2)&lt;=5,$A356='Recurring Schedule'!$F$44))),39,""))))</f>
        <v/>
      </c>
      <c r="AO356">
        <f>IF('Recurring Schedule'!$C$45="","",IF('Recurring Schedule'!$F$45="","",IF(OR($A356&lt;'Recurring Schedule'!$F$45,$A356&gt;'Recurring Schedule'!$P$45),"",IF(IF('Recurring Schedule'!$N$45&gt;0,MOD($A356-'Recurring Schedule'!$F$45,'Recurring Schedule'!$N$45)=0,IF('Recurring Schedule'!$O$45&gt;0,AND(DAY($A356)=MIN(DAY('Recurring Schedule'!$F$45),DAY(EOMONTH($A356,0))),MOD((YEAR($A356)-YEAR('Recurring Schedule'!$F$45))*12+MONTH($A356)-MONTH('Recurring Schedule'!$F$45),'Recurring Schedule'!$O$45)=0),IF('Recurring Schedule'!$E$45="Weekdays",WEEKDAY($A356,2)&lt;=5,$A356='Recurring Schedule'!$F$45))),40,""))))</f>
        <v/>
      </c>
      <c r="AP356">
        <f>COUNT(B356:AO356)</f>
        <v/>
      </c>
      <c r="AQ356">
        <f>AQ355+AP355</f>
        <v/>
      </c>
      <c r="AS356" t="inlineStr">
        <is>
          <t>R</t>
        </is>
      </c>
      <c r="AT356" t="n">
        <v>360</v>
      </c>
      <c r="AU356">
        <f>'Recurring Log'!C360&amp;""</f>
        <v/>
      </c>
      <c r="AV356">
        <f>'Recurring Log'!D360&amp;""</f>
        <v/>
      </c>
      <c r="AW356">
        <f>IF('Recurring Log'!E360="","",'Recurring Log'!E360)</f>
        <v/>
      </c>
      <c r="AX356">
        <f>IF('Recurring Log'!G360="","",'Recurring Log'!G360)</f>
        <v/>
      </c>
      <c r="AY356">
        <f>IF('Recurring Log'!H360="","",'Recurring Log'!H360)</f>
        <v/>
      </c>
      <c r="AZ356">
        <f>IF(AU356="","",IF('Recurring Log'!J360="","Not Started",'Recurring Log'!J360))</f>
        <v/>
      </c>
      <c r="BA356">
        <f>'Recurring Log'!L360&amp;""</f>
        <v/>
      </c>
      <c r="BB356">
        <f>'Recurring Log'!M360&amp;""</f>
        <v/>
      </c>
      <c r="BC356">
        <f>'Recurring Log'!N360&amp;""</f>
        <v/>
      </c>
      <c r="BD356">
        <f>'Recurring Log'!O360&amp;""</f>
        <v/>
      </c>
      <c r="BE356">
        <f>IF('Recurring Log'!K360="","",'Recurring Log'!K360)</f>
        <v/>
      </c>
      <c r="BF356">
        <f>IFERROR(MATCH(BA356,Setup!$L$6:$L$9,0),5)</f>
        <v/>
      </c>
      <c r="BG356">
        <f>IF(OR(AZ356="Done",AZ356="Cancelled"),1,0)</f>
        <v/>
      </c>
      <c r="BH356">
        <f>IF(AND(AU356&lt;&gt;"",ISNUMBER(AW356)),1,0)</f>
        <v/>
      </c>
      <c r="BI356">
        <f>IF(BH356=0,0,IF(AND(AW356&gt;='Tasks Filter'!$F$3,AW356&lt;='Tasks Filter'!$F$4,OR('Tasks Filter'!$I$3="",ISNUMBER(SEARCH('Tasks Filter'!$I$3,AU356))),OR('Tasks Filter'!$I$4="",BF356=IFERROR(MATCH('Tasks Filter'!$I$4,Setup!$L$6:$L$9,0),0)),OR('Tasks Filter'!$I$5="Both",AND('Tasks Filter'!$I$5="Yes",BB356="✓"),AND('Tasks Filter'!$I$5="No",BB356&lt;&gt;"✓")),OR('Tasks Filter'!$L$3="",AV356='Tasks Filter'!$L$3),OR('Tasks Filter'!$L$4="",AZ356='Tasks Filter'!$L$4),OR('Tasks Filter'!$L$5="",BC356='Tasks Filter'!$L$5),OR('Tasks Filter'!$O$3="",BD356='Tasks Filter'!$O$3),OR('Tasks Filter'!$O$4="Yes",BG356=0)),1,0))</f>
        <v/>
      </c>
      <c r="BJ356">
        <f>IF(BH356=0,"",IF('Tasks Filter'!$F$6="Descending",-1,1)*CHOOSE(MATCH('Tasks Filter'!$F$5,Lists!$G$2:$G$6,0),AW356,BF356,IFERROR(MATCH(AV356,Setup!$F$6:$F$15,0),99),IFERROR(MATCH(BC356,Setup!$H$6:$H$15,0),99),IFERROR(MATCH(AZ356,Setup!$J$6:$J$11,0),99))*1E+9+(AW356-40000)*10000+355)</f>
        <v/>
      </c>
      <c r="BK356">
        <f>IF(BI356=1,BJ356,"")</f>
        <v/>
      </c>
      <c r="BL356">
        <f>IF(AND(BH356=1,BG356=0,N(AW356)&lt;Setup!$D$7),(AW356-40000)*10000+355,"")</f>
        <v/>
      </c>
      <c r="BM356">
        <f>IF(AND(BH356=1,AZ356&lt;&gt;"Cancelled",N(AW356)&gt;=Dashboard!$AB$3,N(AW356)&lt;=Dashboard!$AB$3+6),(AW356-40000)*100000+BF356*10000+355,"")</f>
        <v/>
      </c>
      <c r="BN356">
        <f>IF(AND(BH356=1,AZ356&lt;&gt;"Cancelled"),BF356*10000+355,"")</f>
        <v/>
      </c>
    </row>
    <row r="357">
      <c r="A357">
        <f>Setup!$D$5+355</f>
        <v/>
      </c>
      <c r="B357">
        <f>IF('Recurring Schedule'!$C$6="","",IF('Recurring Schedule'!$F$6="","",IF(OR($A357&lt;'Recurring Schedule'!$F$6,$A357&gt;'Recurring Schedule'!$P$6),"",IF(IF('Recurring Schedule'!$N$6&gt;0,MOD($A357-'Recurring Schedule'!$F$6,'Recurring Schedule'!$N$6)=0,IF('Recurring Schedule'!$O$6&gt;0,AND(DAY($A357)=MIN(DAY('Recurring Schedule'!$F$6),DAY(EOMONTH($A357,0))),MOD((YEAR($A357)-YEAR('Recurring Schedule'!$F$6))*12+MONTH($A357)-MONTH('Recurring Schedule'!$F$6),'Recurring Schedule'!$O$6)=0),IF('Recurring Schedule'!$E$6="Weekdays",WEEKDAY($A357,2)&lt;=5,$A357='Recurring Schedule'!$F$6))),1,""))))</f>
        <v/>
      </c>
      <c r="C357">
        <f>IF('Recurring Schedule'!$C$7="","",IF('Recurring Schedule'!$F$7="","",IF(OR($A357&lt;'Recurring Schedule'!$F$7,$A357&gt;'Recurring Schedule'!$P$7),"",IF(IF('Recurring Schedule'!$N$7&gt;0,MOD($A357-'Recurring Schedule'!$F$7,'Recurring Schedule'!$N$7)=0,IF('Recurring Schedule'!$O$7&gt;0,AND(DAY($A357)=MIN(DAY('Recurring Schedule'!$F$7),DAY(EOMONTH($A357,0))),MOD((YEAR($A357)-YEAR('Recurring Schedule'!$F$7))*12+MONTH($A357)-MONTH('Recurring Schedule'!$F$7),'Recurring Schedule'!$O$7)=0),IF('Recurring Schedule'!$E$7="Weekdays",WEEKDAY($A357,2)&lt;=5,$A357='Recurring Schedule'!$F$7))),2,""))))</f>
        <v/>
      </c>
      <c r="D357">
        <f>IF('Recurring Schedule'!$C$8="","",IF('Recurring Schedule'!$F$8="","",IF(OR($A357&lt;'Recurring Schedule'!$F$8,$A357&gt;'Recurring Schedule'!$P$8),"",IF(IF('Recurring Schedule'!$N$8&gt;0,MOD($A357-'Recurring Schedule'!$F$8,'Recurring Schedule'!$N$8)=0,IF('Recurring Schedule'!$O$8&gt;0,AND(DAY($A357)=MIN(DAY('Recurring Schedule'!$F$8),DAY(EOMONTH($A357,0))),MOD((YEAR($A357)-YEAR('Recurring Schedule'!$F$8))*12+MONTH($A357)-MONTH('Recurring Schedule'!$F$8),'Recurring Schedule'!$O$8)=0),IF('Recurring Schedule'!$E$8="Weekdays",WEEKDAY($A357,2)&lt;=5,$A357='Recurring Schedule'!$F$8))),3,""))))</f>
        <v/>
      </c>
      <c r="E357">
        <f>IF('Recurring Schedule'!$C$9="","",IF('Recurring Schedule'!$F$9="","",IF(OR($A357&lt;'Recurring Schedule'!$F$9,$A357&gt;'Recurring Schedule'!$P$9),"",IF(IF('Recurring Schedule'!$N$9&gt;0,MOD($A357-'Recurring Schedule'!$F$9,'Recurring Schedule'!$N$9)=0,IF('Recurring Schedule'!$O$9&gt;0,AND(DAY($A357)=MIN(DAY('Recurring Schedule'!$F$9),DAY(EOMONTH($A357,0))),MOD((YEAR($A357)-YEAR('Recurring Schedule'!$F$9))*12+MONTH($A357)-MONTH('Recurring Schedule'!$F$9),'Recurring Schedule'!$O$9)=0),IF('Recurring Schedule'!$E$9="Weekdays",WEEKDAY($A357,2)&lt;=5,$A357='Recurring Schedule'!$F$9))),4,""))))</f>
        <v/>
      </c>
      <c r="F357">
        <f>IF('Recurring Schedule'!$C$10="","",IF('Recurring Schedule'!$F$10="","",IF(OR($A357&lt;'Recurring Schedule'!$F$10,$A357&gt;'Recurring Schedule'!$P$10),"",IF(IF('Recurring Schedule'!$N$10&gt;0,MOD($A357-'Recurring Schedule'!$F$10,'Recurring Schedule'!$N$10)=0,IF('Recurring Schedule'!$O$10&gt;0,AND(DAY($A357)=MIN(DAY('Recurring Schedule'!$F$10),DAY(EOMONTH($A357,0))),MOD((YEAR($A357)-YEAR('Recurring Schedule'!$F$10))*12+MONTH($A357)-MONTH('Recurring Schedule'!$F$10),'Recurring Schedule'!$O$10)=0),IF('Recurring Schedule'!$E$10="Weekdays",WEEKDAY($A357,2)&lt;=5,$A357='Recurring Schedule'!$F$10))),5,""))))</f>
        <v/>
      </c>
      <c r="G357">
        <f>IF('Recurring Schedule'!$C$11="","",IF('Recurring Schedule'!$F$11="","",IF(OR($A357&lt;'Recurring Schedule'!$F$11,$A357&gt;'Recurring Schedule'!$P$11),"",IF(IF('Recurring Schedule'!$N$11&gt;0,MOD($A357-'Recurring Schedule'!$F$11,'Recurring Schedule'!$N$11)=0,IF('Recurring Schedule'!$O$11&gt;0,AND(DAY($A357)=MIN(DAY('Recurring Schedule'!$F$11),DAY(EOMONTH($A357,0))),MOD((YEAR($A357)-YEAR('Recurring Schedule'!$F$11))*12+MONTH($A357)-MONTH('Recurring Schedule'!$F$11),'Recurring Schedule'!$O$11)=0),IF('Recurring Schedule'!$E$11="Weekdays",WEEKDAY($A357,2)&lt;=5,$A357='Recurring Schedule'!$F$11))),6,""))))</f>
        <v/>
      </c>
      <c r="H357">
        <f>IF('Recurring Schedule'!$C$12="","",IF('Recurring Schedule'!$F$12="","",IF(OR($A357&lt;'Recurring Schedule'!$F$12,$A357&gt;'Recurring Schedule'!$P$12),"",IF(IF('Recurring Schedule'!$N$12&gt;0,MOD($A357-'Recurring Schedule'!$F$12,'Recurring Schedule'!$N$12)=0,IF('Recurring Schedule'!$O$12&gt;0,AND(DAY($A357)=MIN(DAY('Recurring Schedule'!$F$12),DAY(EOMONTH($A357,0))),MOD((YEAR($A357)-YEAR('Recurring Schedule'!$F$12))*12+MONTH($A357)-MONTH('Recurring Schedule'!$F$12),'Recurring Schedule'!$O$12)=0),IF('Recurring Schedule'!$E$12="Weekdays",WEEKDAY($A357,2)&lt;=5,$A357='Recurring Schedule'!$F$12))),7,""))))</f>
        <v/>
      </c>
      <c r="I357">
        <f>IF('Recurring Schedule'!$C$13="","",IF('Recurring Schedule'!$F$13="","",IF(OR($A357&lt;'Recurring Schedule'!$F$13,$A357&gt;'Recurring Schedule'!$P$13),"",IF(IF('Recurring Schedule'!$N$13&gt;0,MOD($A357-'Recurring Schedule'!$F$13,'Recurring Schedule'!$N$13)=0,IF('Recurring Schedule'!$O$13&gt;0,AND(DAY($A357)=MIN(DAY('Recurring Schedule'!$F$13),DAY(EOMONTH($A357,0))),MOD((YEAR($A357)-YEAR('Recurring Schedule'!$F$13))*12+MONTH($A357)-MONTH('Recurring Schedule'!$F$13),'Recurring Schedule'!$O$13)=0),IF('Recurring Schedule'!$E$13="Weekdays",WEEKDAY($A357,2)&lt;=5,$A357='Recurring Schedule'!$F$13))),8,""))))</f>
        <v/>
      </c>
      <c r="J357">
        <f>IF('Recurring Schedule'!$C$14="","",IF('Recurring Schedule'!$F$14="","",IF(OR($A357&lt;'Recurring Schedule'!$F$14,$A357&gt;'Recurring Schedule'!$P$14),"",IF(IF('Recurring Schedule'!$N$14&gt;0,MOD($A357-'Recurring Schedule'!$F$14,'Recurring Schedule'!$N$14)=0,IF('Recurring Schedule'!$O$14&gt;0,AND(DAY($A357)=MIN(DAY('Recurring Schedule'!$F$14),DAY(EOMONTH($A357,0))),MOD((YEAR($A357)-YEAR('Recurring Schedule'!$F$14))*12+MONTH($A357)-MONTH('Recurring Schedule'!$F$14),'Recurring Schedule'!$O$14)=0),IF('Recurring Schedule'!$E$14="Weekdays",WEEKDAY($A357,2)&lt;=5,$A357='Recurring Schedule'!$F$14))),9,""))))</f>
        <v/>
      </c>
      <c r="K357">
        <f>IF('Recurring Schedule'!$C$15="","",IF('Recurring Schedule'!$F$15="","",IF(OR($A357&lt;'Recurring Schedule'!$F$15,$A357&gt;'Recurring Schedule'!$P$15),"",IF(IF('Recurring Schedule'!$N$15&gt;0,MOD($A357-'Recurring Schedule'!$F$15,'Recurring Schedule'!$N$15)=0,IF('Recurring Schedule'!$O$15&gt;0,AND(DAY($A357)=MIN(DAY('Recurring Schedule'!$F$15),DAY(EOMONTH($A357,0))),MOD((YEAR($A357)-YEAR('Recurring Schedule'!$F$15))*12+MONTH($A357)-MONTH('Recurring Schedule'!$F$15),'Recurring Schedule'!$O$15)=0),IF('Recurring Schedule'!$E$15="Weekdays",WEEKDAY($A357,2)&lt;=5,$A357='Recurring Schedule'!$F$15))),10,""))))</f>
        <v/>
      </c>
      <c r="L357">
        <f>IF('Recurring Schedule'!$C$16="","",IF('Recurring Schedule'!$F$16="","",IF(OR($A357&lt;'Recurring Schedule'!$F$16,$A357&gt;'Recurring Schedule'!$P$16),"",IF(IF('Recurring Schedule'!$N$16&gt;0,MOD($A357-'Recurring Schedule'!$F$16,'Recurring Schedule'!$N$16)=0,IF('Recurring Schedule'!$O$16&gt;0,AND(DAY($A357)=MIN(DAY('Recurring Schedule'!$F$16),DAY(EOMONTH($A357,0))),MOD((YEAR($A357)-YEAR('Recurring Schedule'!$F$16))*12+MONTH($A357)-MONTH('Recurring Schedule'!$F$16),'Recurring Schedule'!$O$16)=0),IF('Recurring Schedule'!$E$16="Weekdays",WEEKDAY($A357,2)&lt;=5,$A357='Recurring Schedule'!$F$16))),11,""))))</f>
        <v/>
      </c>
      <c r="M357">
        <f>IF('Recurring Schedule'!$C$17="","",IF('Recurring Schedule'!$F$17="","",IF(OR($A357&lt;'Recurring Schedule'!$F$17,$A357&gt;'Recurring Schedule'!$P$17),"",IF(IF('Recurring Schedule'!$N$17&gt;0,MOD($A357-'Recurring Schedule'!$F$17,'Recurring Schedule'!$N$17)=0,IF('Recurring Schedule'!$O$17&gt;0,AND(DAY($A357)=MIN(DAY('Recurring Schedule'!$F$17),DAY(EOMONTH($A357,0))),MOD((YEAR($A357)-YEAR('Recurring Schedule'!$F$17))*12+MONTH($A357)-MONTH('Recurring Schedule'!$F$17),'Recurring Schedule'!$O$17)=0),IF('Recurring Schedule'!$E$17="Weekdays",WEEKDAY($A357,2)&lt;=5,$A357='Recurring Schedule'!$F$17))),12,""))))</f>
        <v/>
      </c>
      <c r="N357">
        <f>IF('Recurring Schedule'!$C$18="","",IF('Recurring Schedule'!$F$18="","",IF(OR($A357&lt;'Recurring Schedule'!$F$18,$A357&gt;'Recurring Schedule'!$P$18),"",IF(IF('Recurring Schedule'!$N$18&gt;0,MOD($A357-'Recurring Schedule'!$F$18,'Recurring Schedule'!$N$18)=0,IF('Recurring Schedule'!$O$18&gt;0,AND(DAY($A357)=MIN(DAY('Recurring Schedule'!$F$18),DAY(EOMONTH($A357,0))),MOD((YEAR($A357)-YEAR('Recurring Schedule'!$F$18))*12+MONTH($A357)-MONTH('Recurring Schedule'!$F$18),'Recurring Schedule'!$O$18)=0),IF('Recurring Schedule'!$E$18="Weekdays",WEEKDAY($A357,2)&lt;=5,$A357='Recurring Schedule'!$F$18))),13,""))))</f>
        <v/>
      </c>
      <c r="O357">
        <f>IF('Recurring Schedule'!$C$19="","",IF('Recurring Schedule'!$F$19="","",IF(OR($A357&lt;'Recurring Schedule'!$F$19,$A357&gt;'Recurring Schedule'!$P$19),"",IF(IF('Recurring Schedule'!$N$19&gt;0,MOD($A357-'Recurring Schedule'!$F$19,'Recurring Schedule'!$N$19)=0,IF('Recurring Schedule'!$O$19&gt;0,AND(DAY($A357)=MIN(DAY('Recurring Schedule'!$F$19),DAY(EOMONTH($A357,0))),MOD((YEAR($A357)-YEAR('Recurring Schedule'!$F$19))*12+MONTH($A357)-MONTH('Recurring Schedule'!$F$19),'Recurring Schedule'!$O$19)=0),IF('Recurring Schedule'!$E$19="Weekdays",WEEKDAY($A357,2)&lt;=5,$A357='Recurring Schedule'!$F$19))),14,""))))</f>
        <v/>
      </c>
      <c r="P357">
        <f>IF('Recurring Schedule'!$C$20="","",IF('Recurring Schedule'!$F$20="","",IF(OR($A357&lt;'Recurring Schedule'!$F$20,$A357&gt;'Recurring Schedule'!$P$20),"",IF(IF('Recurring Schedule'!$N$20&gt;0,MOD($A357-'Recurring Schedule'!$F$20,'Recurring Schedule'!$N$20)=0,IF('Recurring Schedule'!$O$20&gt;0,AND(DAY($A357)=MIN(DAY('Recurring Schedule'!$F$20),DAY(EOMONTH($A357,0))),MOD((YEAR($A357)-YEAR('Recurring Schedule'!$F$20))*12+MONTH($A357)-MONTH('Recurring Schedule'!$F$20),'Recurring Schedule'!$O$20)=0),IF('Recurring Schedule'!$E$20="Weekdays",WEEKDAY($A357,2)&lt;=5,$A357='Recurring Schedule'!$F$20))),15,""))))</f>
        <v/>
      </c>
      <c r="Q357">
        <f>IF('Recurring Schedule'!$C$21="","",IF('Recurring Schedule'!$F$21="","",IF(OR($A357&lt;'Recurring Schedule'!$F$21,$A357&gt;'Recurring Schedule'!$P$21),"",IF(IF('Recurring Schedule'!$N$21&gt;0,MOD($A357-'Recurring Schedule'!$F$21,'Recurring Schedule'!$N$21)=0,IF('Recurring Schedule'!$O$21&gt;0,AND(DAY($A357)=MIN(DAY('Recurring Schedule'!$F$21),DAY(EOMONTH($A357,0))),MOD((YEAR($A357)-YEAR('Recurring Schedule'!$F$21))*12+MONTH($A357)-MONTH('Recurring Schedule'!$F$21),'Recurring Schedule'!$O$21)=0),IF('Recurring Schedule'!$E$21="Weekdays",WEEKDAY($A357,2)&lt;=5,$A357='Recurring Schedule'!$F$21))),16,""))))</f>
        <v/>
      </c>
      <c r="R357">
        <f>IF('Recurring Schedule'!$C$22="","",IF('Recurring Schedule'!$F$22="","",IF(OR($A357&lt;'Recurring Schedule'!$F$22,$A357&gt;'Recurring Schedule'!$P$22),"",IF(IF('Recurring Schedule'!$N$22&gt;0,MOD($A357-'Recurring Schedule'!$F$22,'Recurring Schedule'!$N$22)=0,IF('Recurring Schedule'!$O$22&gt;0,AND(DAY($A357)=MIN(DAY('Recurring Schedule'!$F$22),DAY(EOMONTH($A357,0))),MOD((YEAR($A357)-YEAR('Recurring Schedule'!$F$22))*12+MONTH($A357)-MONTH('Recurring Schedule'!$F$22),'Recurring Schedule'!$O$22)=0),IF('Recurring Schedule'!$E$22="Weekdays",WEEKDAY($A357,2)&lt;=5,$A357='Recurring Schedule'!$F$22))),17,""))))</f>
        <v/>
      </c>
      <c r="S357">
        <f>IF('Recurring Schedule'!$C$23="","",IF('Recurring Schedule'!$F$23="","",IF(OR($A357&lt;'Recurring Schedule'!$F$23,$A357&gt;'Recurring Schedule'!$P$23),"",IF(IF('Recurring Schedule'!$N$23&gt;0,MOD($A357-'Recurring Schedule'!$F$23,'Recurring Schedule'!$N$23)=0,IF('Recurring Schedule'!$O$23&gt;0,AND(DAY($A357)=MIN(DAY('Recurring Schedule'!$F$23),DAY(EOMONTH($A357,0))),MOD((YEAR($A357)-YEAR('Recurring Schedule'!$F$23))*12+MONTH($A357)-MONTH('Recurring Schedule'!$F$23),'Recurring Schedule'!$O$23)=0),IF('Recurring Schedule'!$E$23="Weekdays",WEEKDAY($A357,2)&lt;=5,$A357='Recurring Schedule'!$F$23))),18,""))))</f>
        <v/>
      </c>
      <c r="T357">
        <f>IF('Recurring Schedule'!$C$24="","",IF('Recurring Schedule'!$F$24="","",IF(OR($A357&lt;'Recurring Schedule'!$F$24,$A357&gt;'Recurring Schedule'!$P$24),"",IF(IF('Recurring Schedule'!$N$24&gt;0,MOD($A357-'Recurring Schedule'!$F$24,'Recurring Schedule'!$N$24)=0,IF('Recurring Schedule'!$O$24&gt;0,AND(DAY($A357)=MIN(DAY('Recurring Schedule'!$F$24),DAY(EOMONTH($A357,0))),MOD((YEAR($A357)-YEAR('Recurring Schedule'!$F$24))*12+MONTH($A357)-MONTH('Recurring Schedule'!$F$24),'Recurring Schedule'!$O$24)=0),IF('Recurring Schedule'!$E$24="Weekdays",WEEKDAY($A357,2)&lt;=5,$A357='Recurring Schedule'!$F$24))),19,""))))</f>
        <v/>
      </c>
      <c r="U357">
        <f>IF('Recurring Schedule'!$C$25="","",IF('Recurring Schedule'!$F$25="","",IF(OR($A357&lt;'Recurring Schedule'!$F$25,$A357&gt;'Recurring Schedule'!$P$25),"",IF(IF('Recurring Schedule'!$N$25&gt;0,MOD($A357-'Recurring Schedule'!$F$25,'Recurring Schedule'!$N$25)=0,IF('Recurring Schedule'!$O$25&gt;0,AND(DAY($A357)=MIN(DAY('Recurring Schedule'!$F$25),DAY(EOMONTH($A357,0))),MOD((YEAR($A357)-YEAR('Recurring Schedule'!$F$25))*12+MONTH($A357)-MONTH('Recurring Schedule'!$F$25),'Recurring Schedule'!$O$25)=0),IF('Recurring Schedule'!$E$25="Weekdays",WEEKDAY($A357,2)&lt;=5,$A357='Recurring Schedule'!$F$25))),20,""))))</f>
        <v/>
      </c>
      <c r="V357">
        <f>IF('Recurring Schedule'!$C$26="","",IF('Recurring Schedule'!$F$26="","",IF(OR($A357&lt;'Recurring Schedule'!$F$26,$A357&gt;'Recurring Schedule'!$P$26),"",IF(IF('Recurring Schedule'!$N$26&gt;0,MOD($A357-'Recurring Schedule'!$F$26,'Recurring Schedule'!$N$26)=0,IF('Recurring Schedule'!$O$26&gt;0,AND(DAY($A357)=MIN(DAY('Recurring Schedule'!$F$26),DAY(EOMONTH($A357,0))),MOD((YEAR($A357)-YEAR('Recurring Schedule'!$F$26))*12+MONTH($A357)-MONTH('Recurring Schedule'!$F$26),'Recurring Schedule'!$O$26)=0),IF('Recurring Schedule'!$E$26="Weekdays",WEEKDAY($A357,2)&lt;=5,$A357='Recurring Schedule'!$F$26))),21,""))))</f>
        <v/>
      </c>
      <c r="W357">
        <f>IF('Recurring Schedule'!$C$27="","",IF('Recurring Schedule'!$F$27="","",IF(OR($A357&lt;'Recurring Schedule'!$F$27,$A357&gt;'Recurring Schedule'!$P$27),"",IF(IF('Recurring Schedule'!$N$27&gt;0,MOD($A357-'Recurring Schedule'!$F$27,'Recurring Schedule'!$N$27)=0,IF('Recurring Schedule'!$O$27&gt;0,AND(DAY($A357)=MIN(DAY('Recurring Schedule'!$F$27),DAY(EOMONTH($A357,0))),MOD((YEAR($A357)-YEAR('Recurring Schedule'!$F$27))*12+MONTH($A357)-MONTH('Recurring Schedule'!$F$27),'Recurring Schedule'!$O$27)=0),IF('Recurring Schedule'!$E$27="Weekdays",WEEKDAY($A357,2)&lt;=5,$A357='Recurring Schedule'!$F$27))),22,""))))</f>
        <v/>
      </c>
      <c r="X357">
        <f>IF('Recurring Schedule'!$C$28="","",IF('Recurring Schedule'!$F$28="","",IF(OR($A357&lt;'Recurring Schedule'!$F$28,$A357&gt;'Recurring Schedule'!$P$28),"",IF(IF('Recurring Schedule'!$N$28&gt;0,MOD($A357-'Recurring Schedule'!$F$28,'Recurring Schedule'!$N$28)=0,IF('Recurring Schedule'!$O$28&gt;0,AND(DAY($A357)=MIN(DAY('Recurring Schedule'!$F$28),DAY(EOMONTH($A357,0))),MOD((YEAR($A357)-YEAR('Recurring Schedule'!$F$28))*12+MONTH($A357)-MONTH('Recurring Schedule'!$F$28),'Recurring Schedule'!$O$28)=0),IF('Recurring Schedule'!$E$28="Weekdays",WEEKDAY($A357,2)&lt;=5,$A357='Recurring Schedule'!$F$28))),23,""))))</f>
        <v/>
      </c>
      <c r="Y357">
        <f>IF('Recurring Schedule'!$C$29="","",IF('Recurring Schedule'!$F$29="","",IF(OR($A357&lt;'Recurring Schedule'!$F$29,$A357&gt;'Recurring Schedule'!$P$29),"",IF(IF('Recurring Schedule'!$N$29&gt;0,MOD($A357-'Recurring Schedule'!$F$29,'Recurring Schedule'!$N$29)=0,IF('Recurring Schedule'!$O$29&gt;0,AND(DAY($A357)=MIN(DAY('Recurring Schedule'!$F$29),DAY(EOMONTH($A357,0))),MOD((YEAR($A357)-YEAR('Recurring Schedule'!$F$29))*12+MONTH($A357)-MONTH('Recurring Schedule'!$F$29),'Recurring Schedule'!$O$29)=0),IF('Recurring Schedule'!$E$29="Weekdays",WEEKDAY($A357,2)&lt;=5,$A357='Recurring Schedule'!$F$29))),24,""))))</f>
        <v/>
      </c>
      <c r="Z357">
        <f>IF('Recurring Schedule'!$C$30="","",IF('Recurring Schedule'!$F$30="","",IF(OR($A357&lt;'Recurring Schedule'!$F$30,$A357&gt;'Recurring Schedule'!$P$30),"",IF(IF('Recurring Schedule'!$N$30&gt;0,MOD($A357-'Recurring Schedule'!$F$30,'Recurring Schedule'!$N$30)=0,IF('Recurring Schedule'!$O$30&gt;0,AND(DAY($A357)=MIN(DAY('Recurring Schedule'!$F$30),DAY(EOMONTH($A357,0))),MOD((YEAR($A357)-YEAR('Recurring Schedule'!$F$30))*12+MONTH($A357)-MONTH('Recurring Schedule'!$F$30),'Recurring Schedule'!$O$30)=0),IF('Recurring Schedule'!$E$30="Weekdays",WEEKDAY($A357,2)&lt;=5,$A357='Recurring Schedule'!$F$30))),25,""))))</f>
        <v/>
      </c>
      <c r="AA357">
        <f>IF('Recurring Schedule'!$C$31="","",IF('Recurring Schedule'!$F$31="","",IF(OR($A357&lt;'Recurring Schedule'!$F$31,$A357&gt;'Recurring Schedule'!$P$31),"",IF(IF('Recurring Schedule'!$N$31&gt;0,MOD($A357-'Recurring Schedule'!$F$31,'Recurring Schedule'!$N$31)=0,IF('Recurring Schedule'!$O$31&gt;0,AND(DAY($A357)=MIN(DAY('Recurring Schedule'!$F$31),DAY(EOMONTH($A357,0))),MOD((YEAR($A357)-YEAR('Recurring Schedule'!$F$31))*12+MONTH($A357)-MONTH('Recurring Schedule'!$F$31),'Recurring Schedule'!$O$31)=0),IF('Recurring Schedule'!$E$31="Weekdays",WEEKDAY($A357,2)&lt;=5,$A357='Recurring Schedule'!$F$31))),26,""))))</f>
        <v/>
      </c>
      <c r="AB357">
        <f>IF('Recurring Schedule'!$C$32="","",IF('Recurring Schedule'!$F$32="","",IF(OR($A357&lt;'Recurring Schedule'!$F$32,$A357&gt;'Recurring Schedule'!$P$32),"",IF(IF('Recurring Schedule'!$N$32&gt;0,MOD($A357-'Recurring Schedule'!$F$32,'Recurring Schedule'!$N$32)=0,IF('Recurring Schedule'!$O$32&gt;0,AND(DAY($A357)=MIN(DAY('Recurring Schedule'!$F$32),DAY(EOMONTH($A357,0))),MOD((YEAR($A357)-YEAR('Recurring Schedule'!$F$32))*12+MONTH($A357)-MONTH('Recurring Schedule'!$F$32),'Recurring Schedule'!$O$32)=0),IF('Recurring Schedule'!$E$32="Weekdays",WEEKDAY($A357,2)&lt;=5,$A357='Recurring Schedule'!$F$32))),27,""))))</f>
        <v/>
      </c>
      <c r="AC357">
        <f>IF('Recurring Schedule'!$C$33="","",IF('Recurring Schedule'!$F$33="","",IF(OR($A357&lt;'Recurring Schedule'!$F$33,$A357&gt;'Recurring Schedule'!$P$33),"",IF(IF('Recurring Schedule'!$N$33&gt;0,MOD($A357-'Recurring Schedule'!$F$33,'Recurring Schedule'!$N$33)=0,IF('Recurring Schedule'!$O$33&gt;0,AND(DAY($A357)=MIN(DAY('Recurring Schedule'!$F$33),DAY(EOMONTH($A357,0))),MOD((YEAR($A357)-YEAR('Recurring Schedule'!$F$33))*12+MONTH($A357)-MONTH('Recurring Schedule'!$F$33),'Recurring Schedule'!$O$33)=0),IF('Recurring Schedule'!$E$33="Weekdays",WEEKDAY($A357,2)&lt;=5,$A357='Recurring Schedule'!$F$33))),28,""))))</f>
        <v/>
      </c>
      <c r="AD357">
        <f>IF('Recurring Schedule'!$C$34="","",IF('Recurring Schedule'!$F$34="","",IF(OR($A357&lt;'Recurring Schedule'!$F$34,$A357&gt;'Recurring Schedule'!$P$34),"",IF(IF('Recurring Schedule'!$N$34&gt;0,MOD($A357-'Recurring Schedule'!$F$34,'Recurring Schedule'!$N$34)=0,IF('Recurring Schedule'!$O$34&gt;0,AND(DAY($A357)=MIN(DAY('Recurring Schedule'!$F$34),DAY(EOMONTH($A357,0))),MOD((YEAR($A357)-YEAR('Recurring Schedule'!$F$34))*12+MONTH($A357)-MONTH('Recurring Schedule'!$F$34),'Recurring Schedule'!$O$34)=0),IF('Recurring Schedule'!$E$34="Weekdays",WEEKDAY($A357,2)&lt;=5,$A357='Recurring Schedule'!$F$34))),29,""))))</f>
        <v/>
      </c>
      <c r="AE357">
        <f>IF('Recurring Schedule'!$C$35="","",IF('Recurring Schedule'!$F$35="","",IF(OR($A357&lt;'Recurring Schedule'!$F$35,$A357&gt;'Recurring Schedule'!$P$35),"",IF(IF('Recurring Schedule'!$N$35&gt;0,MOD($A357-'Recurring Schedule'!$F$35,'Recurring Schedule'!$N$35)=0,IF('Recurring Schedule'!$O$35&gt;0,AND(DAY($A357)=MIN(DAY('Recurring Schedule'!$F$35),DAY(EOMONTH($A357,0))),MOD((YEAR($A357)-YEAR('Recurring Schedule'!$F$35))*12+MONTH($A357)-MONTH('Recurring Schedule'!$F$35),'Recurring Schedule'!$O$35)=0),IF('Recurring Schedule'!$E$35="Weekdays",WEEKDAY($A357,2)&lt;=5,$A357='Recurring Schedule'!$F$35))),30,""))))</f>
        <v/>
      </c>
      <c r="AF357">
        <f>IF('Recurring Schedule'!$C$36="","",IF('Recurring Schedule'!$F$36="","",IF(OR($A357&lt;'Recurring Schedule'!$F$36,$A357&gt;'Recurring Schedule'!$P$36),"",IF(IF('Recurring Schedule'!$N$36&gt;0,MOD($A357-'Recurring Schedule'!$F$36,'Recurring Schedule'!$N$36)=0,IF('Recurring Schedule'!$O$36&gt;0,AND(DAY($A357)=MIN(DAY('Recurring Schedule'!$F$36),DAY(EOMONTH($A357,0))),MOD((YEAR($A357)-YEAR('Recurring Schedule'!$F$36))*12+MONTH($A357)-MONTH('Recurring Schedule'!$F$36),'Recurring Schedule'!$O$36)=0),IF('Recurring Schedule'!$E$36="Weekdays",WEEKDAY($A357,2)&lt;=5,$A357='Recurring Schedule'!$F$36))),31,""))))</f>
        <v/>
      </c>
      <c r="AG357">
        <f>IF('Recurring Schedule'!$C$37="","",IF('Recurring Schedule'!$F$37="","",IF(OR($A357&lt;'Recurring Schedule'!$F$37,$A357&gt;'Recurring Schedule'!$P$37),"",IF(IF('Recurring Schedule'!$N$37&gt;0,MOD($A357-'Recurring Schedule'!$F$37,'Recurring Schedule'!$N$37)=0,IF('Recurring Schedule'!$O$37&gt;0,AND(DAY($A357)=MIN(DAY('Recurring Schedule'!$F$37),DAY(EOMONTH($A357,0))),MOD((YEAR($A357)-YEAR('Recurring Schedule'!$F$37))*12+MONTH($A357)-MONTH('Recurring Schedule'!$F$37),'Recurring Schedule'!$O$37)=0),IF('Recurring Schedule'!$E$37="Weekdays",WEEKDAY($A357,2)&lt;=5,$A357='Recurring Schedule'!$F$37))),32,""))))</f>
        <v/>
      </c>
      <c r="AH357">
        <f>IF('Recurring Schedule'!$C$38="","",IF('Recurring Schedule'!$F$38="","",IF(OR($A357&lt;'Recurring Schedule'!$F$38,$A357&gt;'Recurring Schedule'!$P$38),"",IF(IF('Recurring Schedule'!$N$38&gt;0,MOD($A357-'Recurring Schedule'!$F$38,'Recurring Schedule'!$N$38)=0,IF('Recurring Schedule'!$O$38&gt;0,AND(DAY($A357)=MIN(DAY('Recurring Schedule'!$F$38),DAY(EOMONTH($A357,0))),MOD((YEAR($A357)-YEAR('Recurring Schedule'!$F$38))*12+MONTH($A357)-MONTH('Recurring Schedule'!$F$38),'Recurring Schedule'!$O$38)=0),IF('Recurring Schedule'!$E$38="Weekdays",WEEKDAY($A357,2)&lt;=5,$A357='Recurring Schedule'!$F$38))),33,""))))</f>
        <v/>
      </c>
      <c r="AI357">
        <f>IF('Recurring Schedule'!$C$39="","",IF('Recurring Schedule'!$F$39="","",IF(OR($A357&lt;'Recurring Schedule'!$F$39,$A357&gt;'Recurring Schedule'!$P$39),"",IF(IF('Recurring Schedule'!$N$39&gt;0,MOD($A357-'Recurring Schedule'!$F$39,'Recurring Schedule'!$N$39)=0,IF('Recurring Schedule'!$O$39&gt;0,AND(DAY($A357)=MIN(DAY('Recurring Schedule'!$F$39),DAY(EOMONTH($A357,0))),MOD((YEAR($A357)-YEAR('Recurring Schedule'!$F$39))*12+MONTH($A357)-MONTH('Recurring Schedule'!$F$39),'Recurring Schedule'!$O$39)=0),IF('Recurring Schedule'!$E$39="Weekdays",WEEKDAY($A357,2)&lt;=5,$A357='Recurring Schedule'!$F$39))),34,""))))</f>
        <v/>
      </c>
      <c r="AJ357">
        <f>IF('Recurring Schedule'!$C$40="","",IF('Recurring Schedule'!$F$40="","",IF(OR($A357&lt;'Recurring Schedule'!$F$40,$A357&gt;'Recurring Schedule'!$P$40),"",IF(IF('Recurring Schedule'!$N$40&gt;0,MOD($A357-'Recurring Schedule'!$F$40,'Recurring Schedule'!$N$40)=0,IF('Recurring Schedule'!$O$40&gt;0,AND(DAY($A357)=MIN(DAY('Recurring Schedule'!$F$40),DAY(EOMONTH($A357,0))),MOD((YEAR($A357)-YEAR('Recurring Schedule'!$F$40))*12+MONTH($A357)-MONTH('Recurring Schedule'!$F$40),'Recurring Schedule'!$O$40)=0),IF('Recurring Schedule'!$E$40="Weekdays",WEEKDAY($A357,2)&lt;=5,$A357='Recurring Schedule'!$F$40))),35,""))))</f>
        <v/>
      </c>
      <c r="AK357">
        <f>IF('Recurring Schedule'!$C$41="","",IF('Recurring Schedule'!$F$41="","",IF(OR($A357&lt;'Recurring Schedule'!$F$41,$A357&gt;'Recurring Schedule'!$P$41),"",IF(IF('Recurring Schedule'!$N$41&gt;0,MOD($A357-'Recurring Schedule'!$F$41,'Recurring Schedule'!$N$41)=0,IF('Recurring Schedule'!$O$41&gt;0,AND(DAY($A357)=MIN(DAY('Recurring Schedule'!$F$41),DAY(EOMONTH($A357,0))),MOD((YEAR($A357)-YEAR('Recurring Schedule'!$F$41))*12+MONTH($A357)-MONTH('Recurring Schedule'!$F$41),'Recurring Schedule'!$O$41)=0),IF('Recurring Schedule'!$E$41="Weekdays",WEEKDAY($A357,2)&lt;=5,$A357='Recurring Schedule'!$F$41))),36,""))))</f>
        <v/>
      </c>
      <c r="AL357">
        <f>IF('Recurring Schedule'!$C$42="","",IF('Recurring Schedule'!$F$42="","",IF(OR($A357&lt;'Recurring Schedule'!$F$42,$A357&gt;'Recurring Schedule'!$P$42),"",IF(IF('Recurring Schedule'!$N$42&gt;0,MOD($A357-'Recurring Schedule'!$F$42,'Recurring Schedule'!$N$42)=0,IF('Recurring Schedule'!$O$42&gt;0,AND(DAY($A357)=MIN(DAY('Recurring Schedule'!$F$42),DAY(EOMONTH($A357,0))),MOD((YEAR($A357)-YEAR('Recurring Schedule'!$F$42))*12+MONTH($A357)-MONTH('Recurring Schedule'!$F$42),'Recurring Schedule'!$O$42)=0),IF('Recurring Schedule'!$E$42="Weekdays",WEEKDAY($A357,2)&lt;=5,$A357='Recurring Schedule'!$F$42))),37,""))))</f>
        <v/>
      </c>
      <c r="AM357">
        <f>IF('Recurring Schedule'!$C$43="","",IF('Recurring Schedule'!$F$43="","",IF(OR($A357&lt;'Recurring Schedule'!$F$43,$A357&gt;'Recurring Schedule'!$P$43),"",IF(IF('Recurring Schedule'!$N$43&gt;0,MOD($A357-'Recurring Schedule'!$F$43,'Recurring Schedule'!$N$43)=0,IF('Recurring Schedule'!$O$43&gt;0,AND(DAY($A357)=MIN(DAY('Recurring Schedule'!$F$43),DAY(EOMONTH($A357,0))),MOD((YEAR($A357)-YEAR('Recurring Schedule'!$F$43))*12+MONTH($A357)-MONTH('Recurring Schedule'!$F$43),'Recurring Schedule'!$O$43)=0),IF('Recurring Schedule'!$E$43="Weekdays",WEEKDAY($A357,2)&lt;=5,$A357='Recurring Schedule'!$F$43))),38,""))))</f>
        <v/>
      </c>
      <c r="AN357">
        <f>IF('Recurring Schedule'!$C$44="","",IF('Recurring Schedule'!$F$44="","",IF(OR($A357&lt;'Recurring Schedule'!$F$44,$A357&gt;'Recurring Schedule'!$P$44),"",IF(IF('Recurring Schedule'!$N$44&gt;0,MOD($A357-'Recurring Schedule'!$F$44,'Recurring Schedule'!$N$44)=0,IF('Recurring Schedule'!$O$44&gt;0,AND(DAY($A357)=MIN(DAY('Recurring Schedule'!$F$44),DAY(EOMONTH($A357,0))),MOD((YEAR($A357)-YEAR('Recurring Schedule'!$F$44))*12+MONTH($A357)-MONTH('Recurring Schedule'!$F$44),'Recurring Schedule'!$O$44)=0),IF('Recurring Schedule'!$E$44="Weekdays",WEEKDAY($A357,2)&lt;=5,$A357='Recurring Schedule'!$F$44))),39,""))))</f>
        <v/>
      </c>
      <c r="AO357">
        <f>IF('Recurring Schedule'!$C$45="","",IF('Recurring Schedule'!$F$45="","",IF(OR($A357&lt;'Recurring Schedule'!$F$45,$A357&gt;'Recurring Schedule'!$P$45),"",IF(IF('Recurring Schedule'!$N$45&gt;0,MOD($A357-'Recurring Schedule'!$F$45,'Recurring Schedule'!$N$45)=0,IF('Recurring Schedule'!$O$45&gt;0,AND(DAY($A357)=MIN(DAY('Recurring Schedule'!$F$45),DAY(EOMONTH($A357,0))),MOD((YEAR($A357)-YEAR('Recurring Schedule'!$F$45))*12+MONTH($A357)-MONTH('Recurring Schedule'!$F$45),'Recurring Schedule'!$O$45)=0),IF('Recurring Schedule'!$E$45="Weekdays",WEEKDAY($A357,2)&lt;=5,$A357='Recurring Schedule'!$F$45))),40,""))))</f>
        <v/>
      </c>
      <c r="AP357">
        <f>COUNT(B357:AO357)</f>
        <v/>
      </c>
      <c r="AQ357">
        <f>AQ356+AP356</f>
        <v/>
      </c>
      <c r="AS357" t="inlineStr">
        <is>
          <t>R</t>
        </is>
      </c>
      <c r="AT357" t="n">
        <v>361</v>
      </c>
      <c r="AU357">
        <f>'Recurring Log'!C361&amp;""</f>
        <v/>
      </c>
      <c r="AV357">
        <f>'Recurring Log'!D361&amp;""</f>
        <v/>
      </c>
      <c r="AW357">
        <f>IF('Recurring Log'!E361="","",'Recurring Log'!E361)</f>
        <v/>
      </c>
      <c r="AX357">
        <f>IF('Recurring Log'!G361="","",'Recurring Log'!G361)</f>
        <v/>
      </c>
      <c r="AY357">
        <f>IF('Recurring Log'!H361="","",'Recurring Log'!H361)</f>
        <v/>
      </c>
      <c r="AZ357">
        <f>IF(AU357="","",IF('Recurring Log'!J361="","Not Started",'Recurring Log'!J361))</f>
        <v/>
      </c>
      <c r="BA357">
        <f>'Recurring Log'!L361&amp;""</f>
        <v/>
      </c>
      <c r="BB357">
        <f>'Recurring Log'!M361&amp;""</f>
        <v/>
      </c>
      <c r="BC357">
        <f>'Recurring Log'!N361&amp;""</f>
        <v/>
      </c>
      <c r="BD357">
        <f>'Recurring Log'!O361&amp;""</f>
        <v/>
      </c>
      <c r="BE357">
        <f>IF('Recurring Log'!K361="","",'Recurring Log'!K361)</f>
        <v/>
      </c>
      <c r="BF357">
        <f>IFERROR(MATCH(BA357,Setup!$L$6:$L$9,0),5)</f>
        <v/>
      </c>
      <c r="BG357">
        <f>IF(OR(AZ357="Done",AZ357="Cancelled"),1,0)</f>
        <v/>
      </c>
      <c r="BH357">
        <f>IF(AND(AU357&lt;&gt;"",ISNUMBER(AW357)),1,0)</f>
        <v/>
      </c>
      <c r="BI357">
        <f>IF(BH357=0,0,IF(AND(AW357&gt;='Tasks Filter'!$F$3,AW357&lt;='Tasks Filter'!$F$4,OR('Tasks Filter'!$I$3="",ISNUMBER(SEARCH('Tasks Filter'!$I$3,AU357))),OR('Tasks Filter'!$I$4="",BF357=IFERROR(MATCH('Tasks Filter'!$I$4,Setup!$L$6:$L$9,0),0)),OR('Tasks Filter'!$I$5="Both",AND('Tasks Filter'!$I$5="Yes",BB357="✓"),AND('Tasks Filter'!$I$5="No",BB357&lt;&gt;"✓")),OR('Tasks Filter'!$L$3="",AV357='Tasks Filter'!$L$3),OR('Tasks Filter'!$L$4="",AZ357='Tasks Filter'!$L$4),OR('Tasks Filter'!$L$5="",BC357='Tasks Filter'!$L$5),OR('Tasks Filter'!$O$3="",BD357='Tasks Filter'!$O$3),OR('Tasks Filter'!$O$4="Yes",BG357=0)),1,0))</f>
        <v/>
      </c>
      <c r="BJ357">
        <f>IF(BH357=0,"",IF('Tasks Filter'!$F$6="Descending",-1,1)*CHOOSE(MATCH('Tasks Filter'!$F$5,Lists!$G$2:$G$6,0),AW357,BF357,IFERROR(MATCH(AV357,Setup!$F$6:$F$15,0),99),IFERROR(MATCH(BC357,Setup!$H$6:$H$15,0),99),IFERROR(MATCH(AZ357,Setup!$J$6:$J$11,0),99))*1E+9+(AW357-40000)*10000+356)</f>
        <v/>
      </c>
      <c r="BK357">
        <f>IF(BI357=1,BJ357,"")</f>
        <v/>
      </c>
      <c r="BL357">
        <f>IF(AND(BH357=1,BG357=0,N(AW357)&lt;Setup!$D$7),(AW357-40000)*10000+356,"")</f>
        <v/>
      </c>
      <c r="BM357">
        <f>IF(AND(BH357=1,AZ357&lt;&gt;"Cancelled",N(AW357)&gt;=Dashboard!$AB$3,N(AW357)&lt;=Dashboard!$AB$3+6),(AW357-40000)*100000+BF357*10000+356,"")</f>
        <v/>
      </c>
      <c r="BN357">
        <f>IF(AND(BH357=1,AZ357&lt;&gt;"Cancelled"),BF357*10000+356,"")</f>
        <v/>
      </c>
    </row>
    <row r="358">
      <c r="A358">
        <f>Setup!$D$5+356</f>
        <v/>
      </c>
      <c r="B358">
        <f>IF('Recurring Schedule'!$C$6="","",IF('Recurring Schedule'!$F$6="","",IF(OR($A358&lt;'Recurring Schedule'!$F$6,$A358&gt;'Recurring Schedule'!$P$6),"",IF(IF('Recurring Schedule'!$N$6&gt;0,MOD($A358-'Recurring Schedule'!$F$6,'Recurring Schedule'!$N$6)=0,IF('Recurring Schedule'!$O$6&gt;0,AND(DAY($A358)=MIN(DAY('Recurring Schedule'!$F$6),DAY(EOMONTH($A358,0))),MOD((YEAR($A358)-YEAR('Recurring Schedule'!$F$6))*12+MONTH($A358)-MONTH('Recurring Schedule'!$F$6),'Recurring Schedule'!$O$6)=0),IF('Recurring Schedule'!$E$6="Weekdays",WEEKDAY($A358,2)&lt;=5,$A358='Recurring Schedule'!$F$6))),1,""))))</f>
        <v/>
      </c>
      <c r="C358">
        <f>IF('Recurring Schedule'!$C$7="","",IF('Recurring Schedule'!$F$7="","",IF(OR($A358&lt;'Recurring Schedule'!$F$7,$A358&gt;'Recurring Schedule'!$P$7),"",IF(IF('Recurring Schedule'!$N$7&gt;0,MOD($A358-'Recurring Schedule'!$F$7,'Recurring Schedule'!$N$7)=0,IF('Recurring Schedule'!$O$7&gt;0,AND(DAY($A358)=MIN(DAY('Recurring Schedule'!$F$7),DAY(EOMONTH($A358,0))),MOD((YEAR($A358)-YEAR('Recurring Schedule'!$F$7))*12+MONTH($A358)-MONTH('Recurring Schedule'!$F$7),'Recurring Schedule'!$O$7)=0),IF('Recurring Schedule'!$E$7="Weekdays",WEEKDAY($A358,2)&lt;=5,$A358='Recurring Schedule'!$F$7))),2,""))))</f>
        <v/>
      </c>
      <c r="D358">
        <f>IF('Recurring Schedule'!$C$8="","",IF('Recurring Schedule'!$F$8="","",IF(OR($A358&lt;'Recurring Schedule'!$F$8,$A358&gt;'Recurring Schedule'!$P$8),"",IF(IF('Recurring Schedule'!$N$8&gt;0,MOD($A358-'Recurring Schedule'!$F$8,'Recurring Schedule'!$N$8)=0,IF('Recurring Schedule'!$O$8&gt;0,AND(DAY($A358)=MIN(DAY('Recurring Schedule'!$F$8),DAY(EOMONTH($A358,0))),MOD((YEAR($A358)-YEAR('Recurring Schedule'!$F$8))*12+MONTH($A358)-MONTH('Recurring Schedule'!$F$8),'Recurring Schedule'!$O$8)=0),IF('Recurring Schedule'!$E$8="Weekdays",WEEKDAY($A358,2)&lt;=5,$A358='Recurring Schedule'!$F$8))),3,""))))</f>
        <v/>
      </c>
      <c r="E358">
        <f>IF('Recurring Schedule'!$C$9="","",IF('Recurring Schedule'!$F$9="","",IF(OR($A358&lt;'Recurring Schedule'!$F$9,$A358&gt;'Recurring Schedule'!$P$9),"",IF(IF('Recurring Schedule'!$N$9&gt;0,MOD($A358-'Recurring Schedule'!$F$9,'Recurring Schedule'!$N$9)=0,IF('Recurring Schedule'!$O$9&gt;0,AND(DAY($A358)=MIN(DAY('Recurring Schedule'!$F$9),DAY(EOMONTH($A358,0))),MOD((YEAR($A358)-YEAR('Recurring Schedule'!$F$9))*12+MONTH($A358)-MONTH('Recurring Schedule'!$F$9),'Recurring Schedule'!$O$9)=0),IF('Recurring Schedule'!$E$9="Weekdays",WEEKDAY($A358,2)&lt;=5,$A358='Recurring Schedule'!$F$9))),4,""))))</f>
        <v/>
      </c>
      <c r="F358">
        <f>IF('Recurring Schedule'!$C$10="","",IF('Recurring Schedule'!$F$10="","",IF(OR($A358&lt;'Recurring Schedule'!$F$10,$A358&gt;'Recurring Schedule'!$P$10),"",IF(IF('Recurring Schedule'!$N$10&gt;0,MOD($A358-'Recurring Schedule'!$F$10,'Recurring Schedule'!$N$10)=0,IF('Recurring Schedule'!$O$10&gt;0,AND(DAY($A358)=MIN(DAY('Recurring Schedule'!$F$10),DAY(EOMONTH($A358,0))),MOD((YEAR($A358)-YEAR('Recurring Schedule'!$F$10))*12+MONTH($A358)-MONTH('Recurring Schedule'!$F$10),'Recurring Schedule'!$O$10)=0),IF('Recurring Schedule'!$E$10="Weekdays",WEEKDAY($A358,2)&lt;=5,$A358='Recurring Schedule'!$F$10))),5,""))))</f>
        <v/>
      </c>
      <c r="G358">
        <f>IF('Recurring Schedule'!$C$11="","",IF('Recurring Schedule'!$F$11="","",IF(OR($A358&lt;'Recurring Schedule'!$F$11,$A358&gt;'Recurring Schedule'!$P$11),"",IF(IF('Recurring Schedule'!$N$11&gt;0,MOD($A358-'Recurring Schedule'!$F$11,'Recurring Schedule'!$N$11)=0,IF('Recurring Schedule'!$O$11&gt;0,AND(DAY($A358)=MIN(DAY('Recurring Schedule'!$F$11),DAY(EOMONTH($A358,0))),MOD((YEAR($A358)-YEAR('Recurring Schedule'!$F$11))*12+MONTH($A358)-MONTH('Recurring Schedule'!$F$11),'Recurring Schedule'!$O$11)=0),IF('Recurring Schedule'!$E$11="Weekdays",WEEKDAY($A358,2)&lt;=5,$A358='Recurring Schedule'!$F$11))),6,""))))</f>
        <v/>
      </c>
      <c r="H358">
        <f>IF('Recurring Schedule'!$C$12="","",IF('Recurring Schedule'!$F$12="","",IF(OR($A358&lt;'Recurring Schedule'!$F$12,$A358&gt;'Recurring Schedule'!$P$12),"",IF(IF('Recurring Schedule'!$N$12&gt;0,MOD($A358-'Recurring Schedule'!$F$12,'Recurring Schedule'!$N$12)=0,IF('Recurring Schedule'!$O$12&gt;0,AND(DAY($A358)=MIN(DAY('Recurring Schedule'!$F$12),DAY(EOMONTH($A358,0))),MOD((YEAR($A358)-YEAR('Recurring Schedule'!$F$12))*12+MONTH($A358)-MONTH('Recurring Schedule'!$F$12),'Recurring Schedule'!$O$12)=0),IF('Recurring Schedule'!$E$12="Weekdays",WEEKDAY($A358,2)&lt;=5,$A358='Recurring Schedule'!$F$12))),7,""))))</f>
        <v/>
      </c>
      <c r="I358">
        <f>IF('Recurring Schedule'!$C$13="","",IF('Recurring Schedule'!$F$13="","",IF(OR($A358&lt;'Recurring Schedule'!$F$13,$A358&gt;'Recurring Schedule'!$P$13),"",IF(IF('Recurring Schedule'!$N$13&gt;0,MOD($A358-'Recurring Schedule'!$F$13,'Recurring Schedule'!$N$13)=0,IF('Recurring Schedule'!$O$13&gt;0,AND(DAY($A358)=MIN(DAY('Recurring Schedule'!$F$13),DAY(EOMONTH($A358,0))),MOD((YEAR($A358)-YEAR('Recurring Schedule'!$F$13))*12+MONTH($A358)-MONTH('Recurring Schedule'!$F$13),'Recurring Schedule'!$O$13)=0),IF('Recurring Schedule'!$E$13="Weekdays",WEEKDAY($A358,2)&lt;=5,$A358='Recurring Schedule'!$F$13))),8,""))))</f>
        <v/>
      </c>
      <c r="J358">
        <f>IF('Recurring Schedule'!$C$14="","",IF('Recurring Schedule'!$F$14="","",IF(OR($A358&lt;'Recurring Schedule'!$F$14,$A358&gt;'Recurring Schedule'!$P$14),"",IF(IF('Recurring Schedule'!$N$14&gt;0,MOD($A358-'Recurring Schedule'!$F$14,'Recurring Schedule'!$N$14)=0,IF('Recurring Schedule'!$O$14&gt;0,AND(DAY($A358)=MIN(DAY('Recurring Schedule'!$F$14),DAY(EOMONTH($A358,0))),MOD((YEAR($A358)-YEAR('Recurring Schedule'!$F$14))*12+MONTH($A358)-MONTH('Recurring Schedule'!$F$14),'Recurring Schedule'!$O$14)=0),IF('Recurring Schedule'!$E$14="Weekdays",WEEKDAY($A358,2)&lt;=5,$A358='Recurring Schedule'!$F$14))),9,""))))</f>
        <v/>
      </c>
      <c r="K358">
        <f>IF('Recurring Schedule'!$C$15="","",IF('Recurring Schedule'!$F$15="","",IF(OR($A358&lt;'Recurring Schedule'!$F$15,$A358&gt;'Recurring Schedule'!$P$15),"",IF(IF('Recurring Schedule'!$N$15&gt;0,MOD($A358-'Recurring Schedule'!$F$15,'Recurring Schedule'!$N$15)=0,IF('Recurring Schedule'!$O$15&gt;0,AND(DAY($A358)=MIN(DAY('Recurring Schedule'!$F$15),DAY(EOMONTH($A358,0))),MOD((YEAR($A358)-YEAR('Recurring Schedule'!$F$15))*12+MONTH($A358)-MONTH('Recurring Schedule'!$F$15),'Recurring Schedule'!$O$15)=0),IF('Recurring Schedule'!$E$15="Weekdays",WEEKDAY($A358,2)&lt;=5,$A358='Recurring Schedule'!$F$15))),10,""))))</f>
        <v/>
      </c>
      <c r="L358">
        <f>IF('Recurring Schedule'!$C$16="","",IF('Recurring Schedule'!$F$16="","",IF(OR($A358&lt;'Recurring Schedule'!$F$16,$A358&gt;'Recurring Schedule'!$P$16),"",IF(IF('Recurring Schedule'!$N$16&gt;0,MOD($A358-'Recurring Schedule'!$F$16,'Recurring Schedule'!$N$16)=0,IF('Recurring Schedule'!$O$16&gt;0,AND(DAY($A358)=MIN(DAY('Recurring Schedule'!$F$16),DAY(EOMONTH($A358,0))),MOD((YEAR($A358)-YEAR('Recurring Schedule'!$F$16))*12+MONTH($A358)-MONTH('Recurring Schedule'!$F$16),'Recurring Schedule'!$O$16)=0),IF('Recurring Schedule'!$E$16="Weekdays",WEEKDAY($A358,2)&lt;=5,$A358='Recurring Schedule'!$F$16))),11,""))))</f>
        <v/>
      </c>
      <c r="M358">
        <f>IF('Recurring Schedule'!$C$17="","",IF('Recurring Schedule'!$F$17="","",IF(OR($A358&lt;'Recurring Schedule'!$F$17,$A358&gt;'Recurring Schedule'!$P$17),"",IF(IF('Recurring Schedule'!$N$17&gt;0,MOD($A358-'Recurring Schedule'!$F$17,'Recurring Schedule'!$N$17)=0,IF('Recurring Schedule'!$O$17&gt;0,AND(DAY($A358)=MIN(DAY('Recurring Schedule'!$F$17),DAY(EOMONTH($A358,0))),MOD((YEAR($A358)-YEAR('Recurring Schedule'!$F$17))*12+MONTH($A358)-MONTH('Recurring Schedule'!$F$17),'Recurring Schedule'!$O$17)=0),IF('Recurring Schedule'!$E$17="Weekdays",WEEKDAY($A358,2)&lt;=5,$A358='Recurring Schedule'!$F$17))),12,""))))</f>
        <v/>
      </c>
      <c r="N358">
        <f>IF('Recurring Schedule'!$C$18="","",IF('Recurring Schedule'!$F$18="","",IF(OR($A358&lt;'Recurring Schedule'!$F$18,$A358&gt;'Recurring Schedule'!$P$18),"",IF(IF('Recurring Schedule'!$N$18&gt;0,MOD($A358-'Recurring Schedule'!$F$18,'Recurring Schedule'!$N$18)=0,IF('Recurring Schedule'!$O$18&gt;0,AND(DAY($A358)=MIN(DAY('Recurring Schedule'!$F$18),DAY(EOMONTH($A358,0))),MOD((YEAR($A358)-YEAR('Recurring Schedule'!$F$18))*12+MONTH($A358)-MONTH('Recurring Schedule'!$F$18),'Recurring Schedule'!$O$18)=0),IF('Recurring Schedule'!$E$18="Weekdays",WEEKDAY($A358,2)&lt;=5,$A358='Recurring Schedule'!$F$18))),13,""))))</f>
        <v/>
      </c>
      <c r="O358">
        <f>IF('Recurring Schedule'!$C$19="","",IF('Recurring Schedule'!$F$19="","",IF(OR($A358&lt;'Recurring Schedule'!$F$19,$A358&gt;'Recurring Schedule'!$P$19),"",IF(IF('Recurring Schedule'!$N$19&gt;0,MOD($A358-'Recurring Schedule'!$F$19,'Recurring Schedule'!$N$19)=0,IF('Recurring Schedule'!$O$19&gt;0,AND(DAY($A358)=MIN(DAY('Recurring Schedule'!$F$19),DAY(EOMONTH($A358,0))),MOD((YEAR($A358)-YEAR('Recurring Schedule'!$F$19))*12+MONTH($A358)-MONTH('Recurring Schedule'!$F$19),'Recurring Schedule'!$O$19)=0),IF('Recurring Schedule'!$E$19="Weekdays",WEEKDAY($A358,2)&lt;=5,$A358='Recurring Schedule'!$F$19))),14,""))))</f>
        <v/>
      </c>
      <c r="P358">
        <f>IF('Recurring Schedule'!$C$20="","",IF('Recurring Schedule'!$F$20="","",IF(OR($A358&lt;'Recurring Schedule'!$F$20,$A358&gt;'Recurring Schedule'!$P$20),"",IF(IF('Recurring Schedule'!$N$20&gt;0,MOD($A358-'Recurring Schedule'!$F$20,'Recurring Schedule'!$N$20)=0,IF('Recurring Schedule'!$O$20&gt;0,AND(DAY($A358)=MIN(DAY('Recurring Schedule'!$F$20),DAY(EOMONTH($A358,0))),MOD((YEAR($A358)-YEAR('Recurring Schedule'!$F$20))*12+MONTH($A358)-MONTH('Recurring Schedule'!$F$20),'Recurring Schedule'!$O$20)=0),IF('Recurring Schedule'!$E$20="Weekdays",WEEKDAY($A358,2)&lt;=5,$A358='Recurring Schedule'!$F$20))),15,""))))</f>
        <v/>
      </c>
      <c r="Q358">
        <f>IF('Recurring Schedule'!$C$21="","",IF('Recurring Schedule'!$F$21="","",IF(OR($A358&lt;'Recurring Schedule'!$F$21,$A358&gt;'Recurring Schedule'!$P$21),"",IF(IF('Recurring Schedule'!$N$21&gt;0,MOD($A358-'Recurring Schedule'!$F$21,'Recurring Schedule'!$N$21)=0,IF('Recurring Schedule'!$O$21&gt;0,AND(DAY($A358)=MIN(DAY('Recurring Schedule'!$F$21),DAY(EOMONTH($A358,0))),MOD((YEAR($A358)-YEAR('Recurring Schedule'!$F$21))*12+MONTH($A358)-MONTH('Recurring Schedule'!$F$21),'Recurring Schedule'!$O$21)=0),IF('Recurring Schedule'!$E$21="Weekdays",WEEKDAY($A358,2)&lt;=5,$A358='Recurring Schedule'!$F$21))),16,""))))</f>
        <v/>
      </c>
      <c r="R358">
        <f>IF('Recurring Schedule'!$C$22="","",IF('Recurring Schedule'!$F$22="","",IF(OR($A358&lt;'Recurring Schedule'!$F$22,$A358&gt;'Recurring Schedule'!$P$22),"",IF(IF('Recurring Schedule'!$N$22&gt;0,MOD($A358-'Recurring Schedule'!$F$22,'Recurring Schedule'!$N$22)=0,IF('Recurring Schedule'!$O$22&gt;0,AND(DAY($A358)=MIN(DAY('Recurring Schedule'!$F$22),DAY(EOMONTH($A358,0))),MOD((YEAR($A358)-YEAR('Recurring Schedule'!$F$22))*12+MONTH($A358)-MONTH('Recurring Schedule'!$F$22),'Recurring Schedule'!$O$22)=0),IF('Recurring Schedule'!$E$22="Weekdays",WEEKDAY($A358,2)&lt;=5,$A358='Recurring Schedule'!$F$22))),17,""))))</f>
        <v/>
      </c>
      <c r="S358">
        <f>IF('Recurring Schedule'!$C$23="","",IF('Recurring Schedule'!$F$23="","",IF(OR($A358&lt;'Recurring Schedule'!$F$23,$A358&gt;'Recurring Schedule'!$P$23),"",IF(IF('Recurring Schedule'!$N$23&gt;0,MOD($A358-'Recurring Schedule'!$F$23,'Recurring Schedule'!$N$23)=0,IF('Recurring Schedule'!$O$23&gt;0,AND(DAY($A358)=MIN(DAY('Recurring Schedule'!$F$23),DAY(EOMONTH($A358,0))),MOD((YEAR($A358)-YEAR('Recurring Schedule'!$F$23))*12+MONTH($A358)-MONTH('Recurring Schedule'!$F$23),'Recurring Schedule'!$O$23)=0),IF('Recurring Schedule'!$E$23="Weekdays",WEEKDAY($A358,2)&lt;=5,$A358='Recurring Schedule'!$F$23))),18,""))))</f>
        <v/>
      </c>
      <c r="T358">
        <f>IF('Recurring Schedule'!$C$24="","",IF('Recurring Schedule'!$F$24="","",IF(OR($A358&lt;'Recurring Schedule'!$F$24,$A358&gt;'Recurring Schedule'!$P$24),"",IF(IF('Recurring Schedule'!$N$24&gt;0,MOD($A358-'Recurring Schedule'!$F$24,'Recurring Schedule'!$N$24)=0,IF('Recurring Schedule'!$O$24&gt;0,AND(DAY($A358)=MIN(DAY('Recurring Schedule'!$F$24),DAY(EOMONTH($A358,0))),MOD((YEAR($A358)-YEAR('Recurring Schedule'!$F$24))*12+MONTH($A358)-MONTH('Recurring Schedule'!$F$24),'Recurring Schedule'!$O$24)=0),IF('Recurring Schedule'!$E$24="Weekdays",WEEKDAY($A358,2)&lt;=5,$A358='Recurring Schedule'!$F$24))),19,""))))</f>
        <v/>
      </c>
      <c r="U358">
        <f>IF('Recurring Schedule'!$C$25="","",IF('Recurring Schedule'!$F$25="","",IF(OR($A358&lt;'Recurring Schedule'!$F$25,$A358&gt;'Recurring Schedule'!$P$25),"",IF(IF('Recurring Schedule'!$N$25&gt;0,MOD($A358-'Recurring Schedule'!$F$25,'Recurring Schedule'!$N$25)=0,IF('Recurring Schedule'!$O$25&gt;0,AND(DAY($A358)=MIN(DAY('Recurring Schedule'!$F$25),DAY(EOMONTH($A358,0))),MOD((YEAR($A358)-YEAR('Recurring Schedule'!$F$25))*12+MONTH($A358)-MONTH('Recurring Schedule'!$F$25),'Recurring Schedule'!$O$25)=0),IF('Recurring Schedule'!$E$25="Weekdays",WEEKDAY($A358,2)&lt;=5,$A358='Recurring Schedule'!$F$25))),20,""))))</f>
        <v/>
      </c>
      <c r="V358">
        <f>IF('Recurring Schedule'!$C$26="","",IF('Recurring Schedule'!$F$26="","",IF(OR($A358&lt;'Recurring Schedule'!$F$26,$A358&gt;'Recurring Schedule'!$P$26),"",IF(IF('Recurring Schedule'!$N$26&gt;0,MOD($A358-'Recurring Schedule'!$F$26,'Recurring Schedule'!$N$26)=0,IF('Recurring Schedule'!$O$26&gt;0,AND(DAY($A358)=MIN(DAY('Recurring Schedule'!$F$26),DAY(EOMONTH($A358,0))),MOD((YEAR($A358)-YEAR('Recurring Schedule'!$F$26))*12+MONTH($A358)-MONTH('Recurring Schedule'!$F$26),'Recurring Schedule'!$O$26)=0),IF('Recurring Schedule'!$E$26="Weekdays",WEEKDAY($A358,2)&lt;=5,$A358='Recurring Schedule'!$F$26))),21,""))))</f>
        <v/>
      </c>
      <c r="W358">
        <f>IF('Recurring Schedule'!$C$27="","",IF('Recurring Schedule'!$F$27="","",IF(OR($A358&lt;'Recurring Schedule'!$F$27,$A358&gt;'Recurring Schedule'!$P$27),"",IF(IF('Recurring Schedule'!$N$27&gt;0,MOD($A358-'Recurring Schedule'!$F$27,'Recurring Schedule'!$N$27)=0,IF('Recurring Schedule'!$O$27&gt;0,AND(DAY($A358)=MIN(DAY('Recurring Schedule'!$F$27),DAY(EOMONTH($A358,0))),MOD((YEAR($A358)-YEAR('Recurring Schedule'!$F$27))*12+MONTH($A358)-MONTH('Recurring Schedule'!$F$27),'Recurring Schedule'!$O$27)=0),IF('Recurring Schedule'!$E$27="Weekdays",WEEKDAY($A358,2)&lt;=5,$A358='Recurring Schedule'!$F$27))),22,""))))</f>
        <v/>
      </c>
      <c r="X358">
        <f>IF('Recurring Schedule'!$C$28="","",IF('Recurring Schedule'!$F$28="","",IF(OR($A358&lt;'Recurring Schedule'!$F$28,$A358&gt;'Recurring Schedule'!$P$28),"",IF(IF('Recurring Schedule'!$N$28&gt;0,MOD($A358-'Recurring Schedule'!$F$28,'Recurring Schedule'!$N$28)=0,IF('Recurring Schedule'!$O$28&gt;0,AND(DAY($A358)=MIN(DAY('Recurring Schedule'!$F$28),DAY(EOMONTH($A358,0))),MOD((YEAR($A358)-YEAR('Recurring Schedule'!$F$28))*12+MONTH($A358)-MONTH('Recurring Schedule'!$F$28),'Recurring Schedule'!$O$28)=0),IF('Recurring Schedule'!$E$28="Weekdays",WEEKDAY($A358,2)&lt;=5,$A358='Recurring Schedule'!$F$28))),23,""))))</f>
        <v/>
      </c>
      <c r="Y358">
        <f>IF('Recurring Schedule'!$C$29="","",IF('Recurring Schedule'!$F$29="","",IF(OR($A358&lt;'Recurring Schedule'!$F$29,$A358&gt;'Recurring Schedule'!$P$29),"",IF(IF('Recurring Schedule'!$N$29&gt;0,MOD($A358-'Recurring Schedule'!$F$29,'Recurring Schedule'!$N$29)=0,IF('Recurring Schedule'!$O$29&gt;0,AND(DAY($A358)=MIN(DAY('Recurring Schedule'!$F$29),DAY(EOMONTH($A358,0))),MOD((YEAR($A358)-YEAR('Recurring Schedule'!$F$29))*12+MONTH($A358)-MONTH('Recurring Schedule'!$F$29),'Recurring Schedule'!$O$29)=0),IF('Recurring Schedule'!$E$29="Weekdays",WEEKDAY($A358,2)&lt;=5,$A358='Recurring Schedule'!$F$29))),24,""))))</f>
        <v/>
      </c>
      <c r="Z358">
        <f>IF('Recurring Schedule'!$C$30="","",IF('Recurring Schedule'!$F$30="","",IF(OR($A358&lt;'Recurring Schedule'!$F$30,$A358&gt;'Recurring Schedule'!$P$30),"",IF(IF('Recurring Schedule'!$N$30&gt;0,MOD($A358-'Recurring Schedule'!$F$30,'Recurring Schedule'!$N$30)=0,IF('Recurring Schedule'!$O$30&gt;0,AND(DAY($A358)=MIN(DAY('Recurring Schedule'!$F$30),DAY(EOMONTH($A358,0))),MOD((YEAR($A358)-YEAR('Recurring Schedule'!$F$30))*12+MONTH($A358)-MONTH('Recurring Schedule'!$F$30),'Recurring Schedule'!$O$30)=0),IF('Recurring Schedule'!$E$30="Weekdays",WEEKDAY($A358,2)&lt;=5,$A358='Recurring Schedule'!$F$30))),25,""))))</f>
        <v/>
      </c>
      <c r="AA358">
        <f>IF('Recurring Schedule'!$C$31="","",IF('Recurring Schedule'!$F$31="","",IF(OR($A358&lt;'Recurring Schedule'!$F$31,$A358&gt;'Recurring Schedule'!$P$31),"",IF(IF('Recurring Schedule'!$N$31&gt;0,MOD($A358-'Recurring Schedule'!$F$31,'Recurring Schedule'!$N$31)=0,IF('Recurring Schedule'!$O$31&gt;0,AND(DAY($A358)=MIN(DAY('Recurring Schedule'!$F$31),DAY(EOMONTH($A358,0))),MOD((YEAR($A358)-YEAR('Recurring Schedule'!$F$31))*12+MONTH($A358)-MONTH('Recurring Schedule'!$F$31),'Recurring Schedule'!$O$31)=0),IF('Recurring Schedule'!$E$31="Weekdays",WEEKDAY($A358,2)&lt;=5,$A358='Recurring Schedule'!$F$31))),26,""))))</f>
        <v/>
      </c>
      <c r="AB358">
        <f>IF('Recurring Schedule'!$C$32="","",IF('Recurring Schedule'!$F$32="","",IF(OR($A358&lt;'Recurring Schedule'!$F$32,$A358&gt;'Recurring Schedule'!$P$32),"",IF(IF('Recurring Schedule'!$N$32&gt;0,MOD($A358-'Recurring Schedule'!$F$32,'Recurring Schedule'!$N$32)=0,IF('Recurring Schedule'!$O$32&gt;0,AND(DAY($A358)=MIN(DAY('Recurring Schedule'!$F$32),DAY(EOMONTH($A358,0))),MOD((YEAR($A358)-YEAR('Recurring Schedule'!$F$32))*12+MONTH($A358)-MONTH('Recurring Schedule'!$F$32),'Recurring Schedule'!$O$32)=0),IF('Recurring Schedule'!$E$32="Weekdays",WEEKDAY($A358,2)&lt;=5,$A358='Recurring Schedule'!$F$32))),27,""))))</f>
        <v/>
      </c>
      <c r="AC358">
        <f>IF('Recurring Schedule'!$C$33="","",IF('Recurring Schedule'!$F$33="","",IF(OR($A358&lt;'Recurring Schedule'!$F$33,$A358&gt;'Recurring Schedule'!$P$33),"",IF(IF('Recurring Schedule'!$N$33&gt;0,MOD($A358-'Recurring Schedule'!$F$33,'Recurring Schedule'!$N$33)=0,IF('Recurring Schedule'!$O$33&gt;0,AND(DAY($A358)=MIN(DAY('Recurring Schedule'!$F$33),DAY(EOMONTH($A358,0))),MOD((YEAR($A358)-YEAR('Recurring Schedule'!$F$33))*12+MONTH($A358)-MONTH('Recurring Schedule'!$F$33),'Recurring Schedule'!$O$33)=0),IF('Recurring Schedule'!$E$33="Weekdays",WEEKDAY($A358,2)&lt;=5,$A358='Recurring Schedule'!$F$33))),28,""))))</f>
        <v/>
      </c>
      <c r="AD358">
        <f>IF('Recurring Schedule'!$C$34="","",IF('Recurring Schedule'!$F$34="","",IF(OR($A358&lt;'Recurring Schedule'!$F$34,$A358&gt;'Recurring Schedule'!$P$34),"",IF(IF('Recurring Schedule'!$N$34&gt;0,MOD($A358-'Recurring Schedule'!$F$34,'Recurring Schedule'!$N$34)=0,IF('Recurring Schedule'!$O$34&gt;0,AND(DAY($A358)=MIN(DAY('Recurring Schedule'!$F$34),DAY(EOMONTH($A358,0))),MOD((YEAR($A358)-YEAR('Recurring Schedule'!$F$34))*12+MONTH($A358)-MONTH('Recurring Schedule'!$F$34),'Recurring Schedule'!$O$34)=0),IF('Recurring Schedule'!$E$34="Weekdays",WEEKDAY($A358,2)&lt;=5,$A358='Recurring Schedule'!$F$34))),29,""))))</f>
        <v/>
      </c>
      <c r="AE358">
        <f>IF('Recurring Schedule'!$C$35="","",IF('Recurring Schedule'!$F$35="","",IF(OR($A358&lt;'Recurring Schedule'!$F$35,$A358&gt;'Recurring Schedule'!$P$35),"",IF(IF('Recurring Schedule'!$N$35&gt;0,MOD($A358-'Recurring Schedule'!$F$35,'Recurring Schedule'!$N$35)=0,IF('Recurring Schedule'!$O$35&gt;0,AND(DAY($A358)=MIN(DAY('Recurring Schedule'!$F$35),DAY(EOMONTH($A358,0))),MOD((YEAR($A358)-YEAR('Recurring Schedule'!$F$35))*12+MONTH($A358)-MONTH('Recurring Schedule'!$F$35),'Recurring Schedule'!$O$35)=0),IF('Recurring Schedule'!$E$35="Weekdays",WEEKDAY($A358,2)&lt;=5,$A358='Recurring Schedule'!$F$35))),30,""))))</f>
        <v/>
      </c>
      <c r="AF358">
        <f>IF('Recurring Schedule'!$C$36="","",IF('Recurring Schedule'!$F$36="","",IF(OR($A358&lt;'Recurring Schedule'!$F$36,$A358&gt;'Recurring Schedule'!$P$36),"",IF(IF('Recurring Schedule'!$N$36&gt;0,MOD($A358-'Recurring Schedule'!$F$36,'Recurring Schedule'!$N$36)=0,IF('Recurring Schedule'!$O$36&gt;0,AND(DAY($A358)=MIN(DAY('Recurring Schedule'!$F$36),DAY(EOMONTH($A358,0))),MOD((YEAR($A358)-YEAR('Recurring Schedule'!$F$36))*12+MONTH($A358)-MONTH('Recurring Schedule'!$F$36),'Recurring Schedule'!$O$36)=0),IF('Recurring Schedule'!$E$36="Weekdays",WEEKDAY($A358,2)&lt;=5,$A358='Recurring Schedule'!$F$36))),31,""))))</f>
        <v/>
      </c>
      <c r="AG358">
        <f>IF('Recurring Schedule'!$C$37="","",IF('Recurring Schedule'!$F$37="","",IF(OR($A358&lt;'Recurring Schedule'!$F$37,$A358&gt;'Recurring Schedule'!$P$37),"",IF(IF('Recurring Schedule'!$N$37&gt;0,MOD($A358-'Recurring Schedule'!$F$37,'Recurring Schedule'!$N$37)=0,IF('Recurring Schedule'!$O$37&gt;0,AND(DAY($A358)=MIN(DAY('Recurring Schedule'!$F$37),DAY(EOMONTH($A358,0))),MOD((YEAR($A358)-YEAR('Recurring Schedule'!$F$37))*12+MONTH($A358)-MONTH('Recurring Schedule'!$F$37),'Recurring Schedule'!$O$37)=0),IF('Recurring Schedule'!$E$37="Weekdays",WEEKDAY($A358,2)&lt;=5,$A358='Recurring Schedule'!$F$37))),32,""))))</f>
        <v/>
      </c>
      <c r="AH358">
        <f>IF('Recurring Schedule'!$C$38="","",IF('Recurring Schedule'!$F$38="","",IF(OR($A358&lt;'Recurring Schedule'!$F$38,$A358&gt;'Recurring Schedule'!$P$38),"",IF(IF('Recurring Schedule'!$N$38&gt;0,MOD($A358-'Recurring Schedule'!$F$38,'Recurring Schedule'!$N$38)=0,IF('Recurring Schedule'!$O$38&gt;0,AND(DAY($A358)=MIN(DAY('Recurring Schedule'!$F$38),DAY(EOMONTH($A358,0))),MOD((YEAR($A358)-YEAR('Recurring Schedule'!$F$38))*12+MONTH($A358)-MONTH('Recurring Schedule'!$F$38),'Recurring Schedule'!$O$38)=0),IF('Recurring Schedule'!$E$38="Weekdays",WEEKDAY($A358,2)&lt;=5,$A358='Recurring Schedule'!$F$38))),33,""))))</f>
        <v/>
      </c>
      <c r="AI358">
        <f>IF('Recurring Schedule'!$C$39="","",IF('Recurring Schedule'!$F$39="","",IF(OR($A358&lt;'Recurring Schedule'!$F$39,$A358&gt;'Recurring Schedule'!$P$39),"",IF(IF('Recurring Schedule'!$N$39&gt;0,MOD($A358-'Recurring Schedule'!$F$39,'Recurring Schedule'!$N$39)=0,IF('Recurring Schedule'!$O$39&gt;0,AND(DAY($A358)=MIN(DAY('Recurring Schedule'!$F$39),DAY(EOMONTH($A358,0))),MOD((YEAR($A358)-YEAR('Recurring Schedule'!$F$39))*12+MONTH($A358)-MONTH('Recurring Schedule'!$F$39),'Recurring Schedule'!$O$39)=0),IF('Recurring Schedule'!$E$39="Weekdays",WEEKDAY($A358,2)&lt;=5,$A358='Recurring Schedule'!$F$39))),34,""))))</f>
        <v/>
      </c>
      <c r="AJ358">
        <f>IF('Recurring Schedule'!$C$40="","",IF('Recurring Schedule'!$F$40="","",IF(OR($A358&lt;'Recurring Schedule'!$F$40,$A358&gt;'Recurring Schedule'!$P$40),"",IF(IF('Recurring Schedule'!$N$40&gt;0,MOD($A358-'Recurring Schedule'!$F$40,'Recurring Schedule'!$N$40)=0,IF('Recurring Schedule'!$O$40&gt;0,AND(DAY($A358)=MIN(DAY('Recurring Schedule'!$F$40),DAY(EOMONTH($A358,0))),MOD((YEAR($A358)-YEAR('Recurring Schedule'!$F$40))*12+MONTH($A358)-MONTH('Recurring Schedule'!$F$40),'Recurring Schedule'!$O$40)=0),IF('Recurring Schedule'!$E$40="Weekdays",WEEKDAY($A358,2)&lt;=5,$A358='Recurring Schedule'!$F$40))),35,""))))</f>
        <v/>
      </c>
      <c r="AK358">
        <f>IF('Recurring Schedule'!$C$41="","",IF('Recurring Schedule'!$F$41="","",IF(OR($A358&lt;'Recurring Schedule'!$F$41,$A358&gt;'Recurring Schedule'!$P$41),"",IF(IF('Recurring Schedule'!$N$41&gt;0,MOD($A358-'Recurring Schedule'!$F$41,'Recurring Schedule'!$N$41)=0,IF('Recurring Schedule'!$O$41&gt;0,AND(DAY($A358)=MIN(DAY('Recurring Schedule'!$F$41),DAY(EOMONTH($A358,0))),MOD((YEAR($A358)-YEAR('Recurring Schedule'!$F$41))*12+MONTH($A358)-MONTH('Recurring Schedule'!$F$41),'Recurring Schedule'!$O$41)=0),IF('Recurring Schedule'!$E$41="Weekdays",WEEKDAY($A358,2)&lt;=5,$A358='Recurring Schedule'!$F$41))),36,""))))</f>
        <v/>
      </c>
      <c r="AL358">
        <f>IF('Recurring Schedule'!$C$42="","",IF('Recurring Schedule'!$F$42="","",IF(OR($A358&lt;'Recurring Schedule'!$F$42,$A358&gt;'Recurring Schedule'!$P$42),"",IF(IF('Recurring Schedule'!$N$42&gt;0,MOD($A358-'Recurring Schedule'!$F$42,'Recurring Schedule'!$N$42)=0,IF('Recurring Schedule'!$O$42&gt;0,AND(DAY($A358)=MIN(DAY('Recurring Schedule'!$F$42),DAY(EOMONTH($A358,0))),MOD((YEAR($A358)-YEAR('Recurring Schedule'!$F$42))*12+MONTH($A358)-MONTH('Recurring Schedule'!$F$42),'Recurring Schedule'!$O$42)=0),IF('Recurring Schedule'!$E$42="Weekdays",WEEKDAY($A358,2)&lt;=5,$A358='Recurring Schedule'!$F$42))),37,""))))</f>
        <v/>
      </c>
      <c r="AM358">
        <f>IF('Recurring Schedule'!$C$43="","",IF('Recurring Schedule'!$F$43="","",IF(OR($A358&lt;'Recurring Schedule'!$F$43,$A358&gt;'Recurring Schedule'!$P$43),"",IF(IF('Recurring Schedule'!$N$43&gt;0,MOD($A358-'Recurring Schedule'!$F$43,'Recurring Schedule'!$N$43)=0,IF('Recurring Schedule'!$O$43&gt;0,AND(DAY($A358)=MIN(DAY('Recurring Schedule'!$F$43),DAY(EOMONTH($A358,0))),MOD((YEAR($A358)-YEAR('Recurring Schedule'!$F$43))*12+MONTH($A358)-MONTH('Recurring Schedule'!$F$43),'Recurring Schedule'!$O$43)=0),IF('Recurring Schedule'!$E$43="Weekdays",WEEKDAY($A358,2)&lt;=5,$A358='Recurring Schedule'!$F$43))),38,""))))</f>
        <v/>
      </c>
      <c r="AN358">
        <f>IF('Recurring Schedule'!$C$44="","",IF('Recurring Schedule'!$F$44="","",IF(OR($A358&lt;'Recurring Schedule'!$F$44,$A358&gt;'Recurring Schedule'!$P$44),"",IF(IF('Recurring Schedule'!$N$44&gt;0,MOD($A358-'Recurring Schedule'!$F$44,'Recurring Schedule'!$N$44)=0,IF('Recurring Schedule'!$O$44&gt;0,AND(DAY($A358)=MIN(DAY('Recurring Schedule'!$F$44),DAY(EOMONTH($A358,0))),MOD((YEAR($A358)-YEAR('Recurring Schedule'!$F$44))*12+MONTH($A358)-MONTH('Recurring Schedule'!$F$44),'Recurring Schedule'!$O$44)=0),IF('Recurring Schedule'!$E$44="Weekdays",WEEKDAY($A358,2)&lt;=5,$A358='Recurring Schedule'!$F$44))),39,""))))</f>
        <v/>
      </c>
      <c r="AO358">
        <f>IF('Recurring Schedule'!$C$45="","",IF('Recurring Schedule'!$F$45="","",IF(OR($A358&lt;'Recurring Schedule'!$F$45,$A358&gt;'Recurring Schedule'!$P$45),"",IF(IF('Recurring Schedule'!$N$45&gt;0,MOD($A358-'Recurring Schedule'!$F$45,'Recurring Schedule'!$N$45)=0,IF('Recurring Schedule'!$O$45&gt;0,AND(DAY($A358)=MIN(DAY('Recurring Schedule'!$F$45),DAY(EOMONTH($A358,0))),MOD((YEAR($A358)-YEAR('Recurring Schedule'!$F$45))*12+MONTH($A358)-MONTH('Recurring Schedule'!$F$45),'Recurring Schedule'!$O$45)=0),IF('Recurring Schedule'!$E$45="Weekdays",WEEKDAY($A358,2)&lt;=5,$A358='Recurring Schedule'!$F$45))),40,""))))</f>
        <v/>
      </c>
      <c r="AP358">
        <f>COUNT(B358:AO358)</f>
        <v/>
      </c>
      <c r="AQ358">
        <f>AQ357+AP357</f>
        <v/>
      </c>
      <c r="AS358" t="inlineStr">
        <is>
          <t>R</t>
        </is>
      </c>
      <c r="AT358" t="n">
        <v>362</v>
      </c>
      <c r="AU358">
        <f>'Recurring Log'!C362&amp;""</f>
        <v/>
      </c>
      <c r="AV358">
        <f>'Recurring Log'!D362&amp;""</f>
        <v/>
      </c>
      <c r="AW358">
        <f>IF('Recurring Log'!E362="","",'Recurring Log'!E362)</f>
        <v/>
      </c>
      <c r="AX358">
        <f>IF('Recurring Log'!G362="","",'Recurring Log'!G362)</f>
        <v/>
      </c>
      <c r="AY358">
        <f>IF('Recurring Log'!H362="","",'Recurring Log'!H362)</f>
        <v/>
      </c>
      <c r="AZ358">
        <f>IF(AU358="","",IF('Recurring Log'!J362="","Not Started",'Recurring Log'!J362))</f>
        <v/>
      </c>
      <c r="BA358">
        <f>'Recurring Log'!L362&amp;""</f>
        <v/>
      </c>
      <c r="BB358">
        <f>'Recurring Log'!M362&amp;""</f>
        <v/>
      </c>
      <c r="BC358">
        <f>'Recurring Log'!N362&amp;""</f>
        <v/>
      </c>
      <c r="BD358">
        <f>'Recurring Log'!O362&amp;""</f>
        <v/>
      </c>
      <c r="BE358">
        <f>IF('Recurring Log'!K362="","",'Recurring Log'!K362)</f>
        <v/>
      </c>
      <c r="BF358">
        <f>IFERROR(MATCH(BA358,Setup!$L$6:$L$9,0),5)</f>
        <v/>
      </c>
      <c r="BG358">
        <f>IF(OR(AZ358="Done",AZ358="Cancelled"),1,0)</f>
        <v/>
      </c>
      <c r="BH358">
        <f>IF(AND(AU358&lt;&gt;"",ISNUMBER(AW358)),1,0)</f>
        <v/>
      </c>
      <c r="BI358">
        <f>IF(BH358=0,0,IF(AND(AW358&gt;='Tasks Filter'!$F$3,AW358&lt;='Tasks Filter'!$F$4,OR('Tasks Filter'!$I$3="",ISNUMBER(SEARCH('Tasks Filter'!$I$3,AU358))),OR('Tasks Filter'!$I$4="",BF358=IFERROR(MATCH('Tasks Filter'!$I$4,Setup!$L$6:$L$9,0),0)),OR('Tasks Filter'!$I$5="Both",AND('Tasks Filter'!$I$5="Yes",BB358="✓"),AND('Tasks Filter'!$I$5="No",BB358&lt;&gt;"✓")),OR('Tasks Filter'!$L$3="",AV358='Tasks Filter'!$L$3),OR('Tasks Filter'!$L$4="",AZ358='Tasks Filter'!$L$4),OR('Tasks Filter'!$L$5="",BC358='Tasks Filter'!$L$5),OR('Tasks Filter'!$O$3="",BD358='Tasks Filter'!$O$3),OR('Tasks Filter'!$O$4="Yes",BG358=0)),1,0))</f>
        <v/>
      </c>
      <c r="BJ358">
        <f>IF(BH358=0,"",IF('Tasks Filter'!$F$6="Descending",-1,1)*CHOOSE(MATCH('Tasks Filter'!$F$5,Lists!$G$2:$G$6,0),AW358,BF358,IFERROR(MATCH(AV358,Setup!$F$6:$F$15,0),99),IFERROR(MATCH(BC358,Setup!$H$6:$H$15,0),99),IFERROR(MATCH(AZ358,Setup!$J$6:$J$11,0),99))*1E+9+(AW358-40000)*10000+357)</f>
        <v/>
      </c>
      <c r="BK358">
        <f>IF(BI358=1,BJ358,"")</f>
        <v/>
      </c>
      <c r="BL358">
        <f>IF(AND(BH358=1,BG358=0,N(AW358)&lt;Setup!$D$7),(AW358-40000)*10000+357,"")</f>
        <v/>
      </c>
      <c r="BM358">
        <f>IF(AND(BH358=1,AZ358&lt;&gt;"Cancelled",N(AW358)&gt;=Dashboard!$AB$3,N(AW358)&lt;=Dashboard!$AB$3+6),(AW358-40000)*100000+BF358*10000+357,"")</f>
        <v/>
      </c>
      <c r="BN358">
        <f>IF(AND(BH358=1,AZ358&lt;&gt;"Cancelled"),BF358*10000+357,"")</f>
        <v/>
      </c>
    </row>
    <row r="359">
      <c r="A359">
        <f>Setup!$D$5+357</f>
        <v/>
      </c>
      <c r="B359">
        <f>IF('Recurring Schedule'!$C$6="","",IF('Recurring Schedule'!$F$6="","",IF(OR($A359&lt;'Recurring Schedule'!$F$6,$A359&gt;'Recurring Schedule'!$P$6),"",IF(IF('Recurring Schedule'!$N$6&gt;0,MOD($A359-'Recurring Schedule'!$F$6,'Recurring Schedule'!$N$6)=0,IF('Recurring Schedule'!$O$6&gt;0,AND(DAY($A359)=MIN(DAY('Recurring Schedule'!$F$6),DAY(EOMONTH($A359,0))),MOD((YEAR($A359)-YEAR('Recurring Schedule'!$F$6))*12+MONTH($A359)-MONTH('Recurring Schedule'!$F$6),'Recurring Schedule'!$O$6)=0),IF('Recurring Schedule'!$E$6="Weekdays",WEEKDAY($A359,2)&lt;=5,$A359='Recurring Schedule'!$F$6))),1,""))))</f>
        <v/>
      </c>
      <c r="C359">
        <f>IF('Recurring Schedule'!$C$7="","",IF('Recurring Schedule'!$F$7="","",IF(OR($A359&lt;'Recurring Schedule'!$F$7,$A359&gt;'Recurring Schedule'!$P$7),"",IF(IF('Recurring Schedule'!$N$7&gt;0,MOD($A359-'Recurring Schedule'!$F$7,'Recurring Schedule'!$N$7)=0,IF('Recurring Schedule'!$O$7&gt;0,AND(DAY($A359)=MIN(DAY('Recurring Schedule'!$F$7),DAY(EOMONTH($A359,0))),MOD((YEAR($A359)-YEAR('Recurring Schedule'!$F$7))*12+MONTH($A359)-MONTH('Recurring Schedule'!$F$7),'Recurring Schedule'!$O$7)=0),IF('Recurring Schedule'!$E$7="Weekdays",WEEKDAY($A359,2)&lt;=5,$A359='Recurring Schedule'!$F$7))),2,""))))</f>
        <v/>
      </c>
      <c r="D359">
        <f>IF('Recurring Schedule'!$C$8="","",IF('Recurring Schedule'!$F$8="","",IF(OR($A359&lt;'Recurring Schedule'!$F$8,$A359&gt;'Recurring Schedule'!$P$8),"",IF(IF('Recurring Schedule'!$N$8&gt;0,MOD($A359-'Recurring Schedule'!$F$8,'Recurring Schedule'!$N$8)=0,IF('Recurring Schedule'!$O$8&gt;0,AND(DAY($A359)=MIN(DAY('Recurring Schedule'!$F$8),DAY(EOMONTH($A359,0))),MOD((YEAR($A359)-YEAR('Recurring Schedule'!$F$8))*12+MONTH($A359)-MONTH('Recurring Schedule'!$F$8),'Recurring Schedule'!$O$8)=0),IF('Recurring Schedule'!$E$8="Weekdays",WEEKDAY($A359,2)&lt;=5,$A359='Recurring Schedule'!$F$8))),3,""))))</f>
        <v/>
      </c>
      <c r="E359">
        <f>IF('Recurring Schedule'!$C$9="","",IF('Recurring Schedule'!$F$9="","",IF(OR($A359&lt;'Recurring Schedule'!$F$9,$A359&gt;'Recurring Schedule'!$P$9),"",IF(IF('Recurring Schedule'!$N$9&gt;0,MOD($A359-'Recurring Schedule'!$F$9,'Recurring Schedule'!$N$9)=0,IF('Recurring Schedule'!$O$9&gt;0,AND(DAY($A359)=MIN(DAY('Recurring Schedule'!$F$9),DAY(EOMONTH($A359,0))),MOD((YEAR($A359)-YEAR('Recurring Schedule'!$F$9))*12+MONTH($A359)-MONTH('Recurring Schedule'!$F$9),'Recurring Schedule'!$O$9)=0),IF('Recurring Schedule'!$E$9="Weekdays",WEEKDAY($A359,2)&lt;=5,$A359='Recurring Schedule'!$F$9))),4,""))))</f>
        <v/>
      </c>
      <c r="F359">
        <f>IF('Recurring Schedule'!$C$10="","",IF('Recurring Schedule'!$F$10="","",IF(OR($A359&lt;'Recurring Schedule'!$F$10,$A359&gt;'Recurring Schedule'!$P$10),"",IF(IF('Recurring Schedule'!$N$10&gt;0,MOD($A359-'Recurring Schedule'!$F$10,'Recurring Schedule'!$N$10)=0,IF('Recurring Schedule'!$O$10&gt;0,AND(DAY($A359)=MIN(DAY('Recurring Schedule'!$F$10),DAY(EOMONTH($A359,0))),MOD((YEAR($A359)-YEAR('Recurring Schedule'!$F$10))*12+MONTH($A359)-MONTH('Recurring Schedule'!$F$10),'Recurring Schedule'!$O$10)=0),IF('Recurring Schedule'!$E$10="Weekdays",WEEKDAY($A359,2)&lt;=5,$A359='Recurring Schedule'!$F$10))),5,""))))</f>
        <v/>
      </c>
      <c r="G359">
        <f>IF('Recurring Schedule'!$C$11="","",IF('Recurring Schedule'!$F$11="","",IF(OR($A359&lt;'Recurring Schedule'!$F$11,$A359&gt;'Recurring Schedule'!$P$11),"",IF(IF('Recurring Schedule'!$N$11&gt;0,MOD($A359-'Recurring Schedule'!$F$11,'Recurring Schedule'!$N$11)=0,IF('Recurring Schedule'!$O$11&gt;0,AND(DAY($A359)=MIN(DAY('Recurring Schedule'!$F$11),DAY(EOMONTH($A359,0))),MOD((YEAR($A359)-YEAR('Recurring Schedule'!$F$11))*12+MONTH($A359)-MONTH('Recurring Schedule'!$F$11),'Recurring Schedule'!$O$11)=0),IF('Recurring Schedule'!$E$11="Weekdays",WEEKDAY($A359,2)&lt;=5,$A359='Recurring Schedule'!$F$11))),6,""))))</f>
        <v/>
      </c>
      <c r="H359">
        <f>IF('Recurring Schedule'!$C$12="","",IF('Recurring Schedule'!$F$12="","",IF(OR($A359&lt;'Recurring Schedule'!$F$12,$A359&gt;'Recurring Schedule'!$P$12),"",IF(IF('Recurring Schedule'!$N$12&gt;0,MOD($A359-'Recurring Schedule'!$F$12,'Recurring Schedule'!$N$12)=0,IF('Recurring Schedule'!$O$12&gt;0,AND(DAY($A359)=MIN(DAY('Recurring Schedule'!$F$12),DAY(EOMONTH($A359,0))),MOD((YEAR($A359)-YEAR('Recurring Schedule'!$F$12))*12+MONTH($A359)-MONTH('Recurring Schedule'!$F$12),'Recurring Schedule'!$O$12)=0),IF('Recurring Schedule'!$E$12="Weekdays",WEEKDAY($A359,2)&lt;=5,$A359='Recurring Schedule'!$F$12))),7,""))))</f>
        <v/>
      </c>
      <c r="I359">
        <f>IF('Recurring Schedule'!$C$13="","",IF('Recurring Schedule'!$F$13="","",IF(OR($A359&lt;'Recurring Schedule'!$F$13,$A359&gt;'Recurring Schedule'!$P$13),"",IF(IF('Recurring Schedule'!$N$13&gt;0,MOD($A359-'Recurring Schedule'!$F$13,'Recurring Schedule'!$N$13)=0,IF('Recurring Schedule'!$O$13&gt;0,AND(DAY($A359)=MIN(DAY('Recurring Schedule'!$F$13),DAY(EOMONTH($A359,0))),MOD((YEAR($A359)-YEAR('Recurring Schedule'!$F$13))*12+MONTH($A359)-MONTH('Recurring Schedule'!$F$13),'Recurring Schedule'!$O$13)=0),IF('Recurring Schedule'!$E$13="Weekdays",WEEKDAY($A359,2)&lt;=5,$A359='Recurring Schedule'!$F$13))),8,""))))</f>
        <v/>
      </c>
      <c r="J359">
        <f>IF('Recurring Schedule'!$C$14="","",IF('Recurring Schedule'!$F$14="","",IF(OR($A359&lt;'Recurring Schedule'!$F$14,$A359&gt;'Recurring Schedule'!$P$14),"",IF(IF('Recurring Schedule'!$N$14&gt;0,MOD($A359-'Recurring Schedule'!$F$14,'Recurring Schedule'!$N$14)=0,IF('Recurring Schedule'!$O$14&gt;0,AND(DAY($A359)=MIN(DAY('Recurring Schedule'!$F$14),DAY(EOMONTH($A359,0))),MOD((YEAR($A359)-YEAR('Recurring Schedule'!$F$14))*12+MONTH($A359)-MONTH('Recurring Schedule'!$F$14),'Recurring Schedule'!$O$14)=0),IF('Recurring Schedule'!$E$14="Weekdays",WEEKDAY($A359,2)&lt;=5,$A359='Recurring Schedule'!$F$14))),9,""))))</f>
        <v/>
      </c>
      <c r="K359">
        <f>IF('Recurring Schedule'!$C$15="","",IF('Recurring Schedule'!$F$15="","",IF(OR($A359&lt;'Recurring Schedule'!$F$15,$A359&gt;'Recurring Schedule'!$P$15),"",IF(IF('Recurring Schedule'!$N$15&gt;0,MOD($A359-'Recurring Schedule'!$F$15,'Recurring Schedule'!$N$15)=0,IF('Recurring Schedule'!$O$15&gt;0,AND(DAY($A359)=MIN(DAY('Recurring Schedule'!$F$15),DAY(EOMONTH($A359,0))),MOD((YEAR($A359)-YEAR('Recurring Schedule'!$F$15))*12+MONTH($A359)-MONTH('Recurring Schedule'!$F$15),'Recurring Schedule'!$O$15)=0),IF('Recurring Schedule'!$E$15="Weekdays",WEEKDAY($A359,2)&lt;=5,$A359='Recurring Schedule'!$F$15))),10,""))))</f>
        <v/>
      </c>
      <c r="L359">
        <f>IF('Recurring Schedule'!$C$16="","",IF('Recurring Schedule'!$F$16="","",IF(OR($A359&lt;'Recurring Schedule'!$F$16,$A359&gt;'Recurring Schedule'!$P$16),"",IF(IF('Recurring Schedule'!$N$16&gt;0,MOD($A359-'Recurring Schedule'!$F$16,'Recurring Schedule'!$N$16)=0,IF('Recurring Schedule'!$O$16&gt;0,AND(DAY($A359)=MIN(DAY('Recurring Schedule'!$F$16),DAY(EOMONTH($A359,0))),MOD((YEAR($A359)-YEAR('Recurring Schedule'!$F$16))*12+MONTH($A359)-MONTH('Recurring Schedule'!$F$16),'Recurring Schedule'!$O$16)=0),IF('Recurring Schedule'!$E$16="Weekdays",WEEKDAY($A359,2)&lt;=5,$A359='Recurring Schedule'!$F$16))),11,""))))</f>
        <v/>
      </c>
      <c r="M359">
        <f>IF('Recurring Schedule'!$C$17="","",IF('Recurring Schedule'!$F$17="","",IF(OR($A359&lt;'Recurring Schedule'!$F$17,$A359&gt;'Recurring Schedule'!$P$17),"",IF(IF('Recurring Schedule'!$N$17&gt;0,MOD($A359-'Recurring Schedule'!$F$17,'Recurring Schedule'!$N$17)=0,IF('Recurring Schedule'!$O$17&gt;0,AND(DAY($A359)=MIN(DAY('Recurring Schedule'!$F$17),DAY(EOMONTH($A359,0))),MOD((YEAR($A359)-YEAR('Recurring Schedule'!$F$17))*12+MONTH($A359)-MONTH('Recurring Schedule'!$F$17),'Recurring Schedule'!$O$17)=0),IF('Recurring Schedule'!$E$17="Weekdays",WEEKDAY($A359,2)&lt;=5,$A359='Recurring Schedule'!$F$17))),12,""))))</f>
        <v/>
      </c>
      <c r="N359">
        <f>IF('Recurring Schedule'!$C$18="","",IF('Recurring Schedule'!$F$18="","",IF(OR($A359&lt;'Recurring Schedule'!$F$18,$A359&gt;'Recurring Schedule'!$P$18),"",IF(IF('Recurring Schedule'!$N$18&gt;0,MOD($A359-'Recurring Schedule'!$F$18,'Recurring Schedule'!$N$18)=0,IF('Recurring Schedule'!$O$18&gt;0,AND(DAY($A359)=MIN(DAY('Recurring Schedule'!$F$18),DAY(EOMONTH($A359,0))),MOD((YEAR($A359)-YEAR('Recurring Schedule'!$F$18))*12+MONTH($A359)-MONTH('Recurring Schedule'!$F$18),'Recurring Schedule'!$O$18)=0),IF('Recurring Schedule'!$E$18="Weekdays",WEEKDAY($A359,2)&lt;=5,$A359='Recurring Schedule'!$F$18))),13,""))))</f>
        <v/>
      </c>
      <c r="O359">
        <f>IF('Recurring Schedule'!$C$19="","",IF('Recurring Schedule'!$F$19="","",IF(OR($A359&lt;'Recurring Schedule'!$F$19,$A359&gt;'Recurring Schedule'!$P$19),"",IF(IF('Recurring Schedule'!$N$19&gt;0,MOD($A359-'Recurring Schedule'!$F$19,'Recurring Schedule'!$N$19)=0,IF('Recurring Schedule'!$O$19&gt;0,AND(DAY($A359)=MIN(DAY('Recurring Schedule'!$F$19),DAY(EOMONTH($A359,0))),MOD((YEAR($A359)-YEAR('Recurring Schedule'!$F$19))*12+MONTH($A359)-MONTH('Recurring Schedule'!$F$19),'Recurring Schedule'!$O$19)=0),IF('Recurring Schedule'!$E$19="Weekdays",WEEKDAY($A359,2)&lt;=5,$A359='Recurring Schedule'!$F$19))),14,""))))</f>
        <v/>
      </c>
      <c r="P359">
        <f>IF('Recurring Schedule'!$C$20="","",IF('Recurring Schedule'!$F$20="","",IF(OR($A359&lt;'Recurring Schedule'!$F$20,$A359&gt;'Recurring Schedule'!$P$20),"",IF(IF('Recurring Schedule'!$N$20&gt;0,MOD($A359-'Recurring Schedule'!$F$20,'Recurring Schedule'!$N$20)=0,IF('Recurring Schedule'!$O$20&gt;0,AND(DAY($A359)=MIN(DAY('Recurring Schedule'!$F$20),DAY(EOMONTH($A359,0))),MOD((YEAR($A359)-YEAR('Recurring Schedule'!$F$20))*12+MONTH($A359)-MONTH('Recurring Schedule'!$F$20),'Recurring Schedule'!$O$20)=0),IF('Recurring Schedule'!$E$20="Weekdays",WEEKDAY($A359,2)&lt;=5,$A359='Recurring Schedule'!$F$20))),15,""))))</f>
        <v/>
      </c>
      <c r="Q359">
        <f>IF('Recurring Schedule'!$C$21="","",IF('Recurring Schedule'!$F$21="","",IF(OR($A359&lt;'Recurring Schedule'!$F$21,$A359&gt;'Recurring Schedule'!$P$21),"",IF(IF('Recurring Schedule'!$N$21&gt;0,MOD($A359-'Recurring Schedule'!$F$21,'Recurring Schedule'!$N$21)=0,IF('Recurring Schedule'!$O$21&gt;0,AND(DAY($A359)=MIN(DAY('Recurring Schedule'!$F$21),DAY(EOMONTH($A359,0))),MOD((YEAR($A359)-YEAR('Recurring Schedule'!$F$21))*12+MONTH($A359)-MONTH('Recurring Schedule'!$F$21),'Recurring Schedule'!$O$21)=0),IF('Recurring Schedule'!$E$21="Weekdays",WEEKDAY($A359,2)&lt;=5,$A359='Recurring Schedule'!$F$21))),16,""))))</f>
        <v/>
      </c>
      <c r="R359">
        <f>IF('Recurring Schedule'!$C$22="","",IF('Recurring Schedule'!$F$22="","",IF(OR($A359&lt;'Recurring Schedule'!$F$22,$A359&gt;'Recurring Schedule'!$P$22),"",IF(IF('Recurring Schedule'!$N$22&gt;0,MOD($A359-'Recurring Schedule'!$F$22,'Recurring Schedule'!$N$22)=0,IF('Recurring Schedule'!$O$22&gt;0,AND(DAY($A359)=MIN(DAY('Recurring Schedule'!$F$22),DAY(EOMONTH($A359,0))),MOD((YEAR($A359)-YEAR('Recurring Schedule'!$F$22))*12+MONTH($A359)-MONTH('Recurring Schedule'!$F$22),'Recurring Schedule'!$O$22)=0),IF('Recurring Schedule'!$E$22="Weekdays",WEEKDAY($A359,2)&lt;=5,$A359='Recurring Schedule'!$F$22))),17,""))))</f>
        <v/>
      </c>
      <c r="S359">
        <f>IF('Recurring Schedule'!$C$23="","",IF('Recurring Schedule'!$F$23="","",IF(OR($A359&lt;'Recurring Schedule'!$F$23,$A359&gt;'Recurring Schedule'!$P$23),"",IF(IF('Recurring Schedule'!$N$23&gt;0,MOD($A359-'Recurring Schedule'!$F$23,'Recurring Schedule'!$N$23)=0,IF('Recurring Schedule'!$O$23&gt;0,AND(DAY($A359)=MIN(DAY('Recurring Schedule'!$F$23),DAY(EOMONTH($A359,0))),MOD((YEAR($A359)-YEAR('Recurring Schedule'!$F$23))*12+MONTH($A359)-MONTH('Recurring Schedule'!$F$23),'Recurring Schedule'!$O$23)=0),IF('Recurring Schedule'!$E$23="Weekdays",WEEKDAY($A359,2)&lt;=5,$A359='Recurring Schedule'!$F$23))),18,""))))</f>
        <v/>
      </c>
      <c r="T359">
        <f>IF('Recurring Schedule'!$C$24="","",IF('Recurring Schedule'!$F$24="","",IF(OR($A359&lt;'Recurring Schedule'!$F$24,$A359&gt;'Recurring Schedule'!$P$24),"",IF(IF('Recurring Schedule'!$N$24&gt;0,MOD($A359-'Recurring Schedule'!$F$24,'Recurring Schedule'!$N$24)=0,IF('Recurring Schedule'!$O$24&gt;0,AND(DAY($A359)=MIN(DAY('Recurring Schedule'!$F$24),DAY(EOMONTH($A359,0))),MOD((YEAR($A359)-YEAR('Recurring Schedule'!$F$24))*12+MONTH($A359)-MONTH('Recurring Schedule'!$F$24),'Recurring Schedule'!$O$24)=0),IF('Recurring Schedule'!$E$24="Weekdays",WEEKDAY($A359,2)&lt;=5,$A359='Recurring Schedule'!$F$24))),19,""))))</f>
        <v/>
      </c>
      <c r="U359">
        <f>IF('Recurring Schedule'!$C$25="","",IF('Recurring Schedule'!$F$25="","",IF(OR($A359&lt;'Recurring Schedule'!$F$25,$A359&gt;'Recurring Schedule'!$P$25),"",IF(IF('Recurring Schedule'!$N$25&gt;0,MOD($A359-'Recurring Schedule'!$F$25,'Recurring Schedule'!$N$25)=0,IF('Recurring Schedule'!$O$25&gt;0,AND(DAY($A359)=MIN(DAY('Recurring Schedule'!$F$25),DAY(EOMONTH($A359,0))),MOD((YEAR($A359)-YEAR('Recurring Schedule'!$F$25))*12+MONTH($A359)-MONTH('Recurring Schedule'!$F$25),'Recurring Schedule'!$O$25)=0),IF('Recurring Schedule'!$E$25="Weekdays",WEEKDAY($A359,2)&lt;=5,$A359='Recurring Schedule'!$F$25))),20,""))))</f>
        <v/>
      </c>
      <c r="V359">
        <f>IF('Recurring Schedule'!$C$26="","",IF('Recurring Schedule'!$F$26="","",IF(OR($A359&lt;'Recurring Schedule'!$F$26,$A359&gt;'Recurring Schedule'!$P$26),"",IF(IF('Recurring Schedule'!$N$26&gt;0,MOD($A359-'Recurring Schedule'!$F$26,'Recurring Schedule'!$N$26)=0,IF('Recurring Schedule'!$O$26&gt;0,AND(DAY($A359)=MIN(DAY('Recurring Schedule'!$F$26),DAY(EOMONTH($A359,0))),MOD((YEAR($A359)-YEAR('Recurring Schedule'!$F$26))*12+MONTH($A359)-MONTH('Recurring Schedule'!$F$26),'Recurring Schedule'!$O$26)=0),IF('Recurring Schedule'!$E$26="Weekdays",WEEKDAY($A359,2)&lt;=5,$A359='Recurring Schedule'!$F$26))),21,""))))</f>
        <v/>
      </c>
      <c r="W359">
        <f>IF('Recurring Schedule'!$C$27="","",IF('Recurring Schedule'!$F$27="","",IF(OR($A359&lt;'Recurring Schedule'!$F$27,$A359&gt;'Recurring Schedule'!$P$27),"",IF(IF('Recurring Schedule'!$N$27&gt;0,MOD($A359-'Recurring Schedule'!$F$27,'Recurring Schedule'!$N$27)=0,IF('Recurring Schedule'!$O$27&gt;0,AND(DAY($A359)=MIN(DAY('Recurring Schedule'!$F$27),DAY(EOMONTH($A359,0))),MOD((YEAR($A359)-YEAR('Recurring Schedule'!$F$27))*12+MONTH($A359)-MONTH('Recurring Schedule'!$F$27),'Recurring Schedule'!$O$27)=0),IF('Recurring Schedule'!$E$27="Weekdays",WEEKDAY($A359,2)&lt;=5,$A359='Recurring Schedule'!$F$27))),22,""))))</f>
        <v/>
      </c>
      <c r="X359">
        <f>IF('Recurring Schedule'!$C$28="","",IF('Recurring Schedule'!$F$28="","",IF(OR($A359&lt;'Recurring Schedule'!$F$28,$A359&gt;'Recurring Schedule'!$P$28),"",IF(IF('Recurring Schedule'!$N$28&gt;0,MOD($A359-'Recurring Schedule'!$F$28,'Recurring Schedule'!$N$28)=0,IF('Recurring Schedule'!$O$28&gt;0,AND(DAY($A359)=MIN(DAY('Recurring Schedule'!$F$28),DAY(EOMONTH($A359,0))),MOD((YEAR($A359)-YEAR('Recurring Schedule'!$F$28))*12+MONTH($A359)-MONTH('Recurring Schedule'!$F$28),'Recurring Schedule'!$O$28)=0),IF('Recurring Schedule'!$E$28="Weekdays",WEEKDAY($A359,2)&lt;=5,$A359='Recurring Schedule'!$F$28))),23,""))))</f>
        <v/>
      </c>
      <c r="Y359">
        <f>IF('Recurring Schedule'!$C$29="","",IF('Recurring Schedule'!$F$29="","",IF(OR($A359&lt;'Recurring Schedule'!$F$29,$A359&gt;'Recurring Schedule'!$P$29),"",IF(IF('Recurring Schedule'!$N$29&gt;0,MOD($A359-'Recurring Schedule'!$F$29,'Recurring Schedule'!$N$29)=0,IF('Recurring Schedule'!$O$29&gt;0,AND(DAY($A359)=MIN(DAY('Recurring Schedule'!$F$29),DAY(EOMONTH($A359,0))),MOD((YEAR($A359)-YEAR('Recurring Schedule'!$F$29))*12+MONTH($A359)-MONTH('Recurring Schedule'!$F$29),'Recurring Schedule'!$O$29)=0),IF('Recurring Schedule'!$E$29="Weekdays",WEEKDAY($A359,2)&lt;=5,$A359='Recurring Schedule'!$F$29))),24,""))))</f>
        <v/>
      </c>
      <c r="Z359">
        <f>IF('Recurring Schedule'!$C$30="","",IF('Recurring Schedule'!$F$30="","",IF(OR($A359&lt;'Recurring Schedule'!$F$30,$A359&gt;'Recurring Schedule'!$P$30),"",IF(IF('Recurring Schedule'!$N$30&gt;0,MOD($A359-'Recurring Schedule'!$F$30,'Recurring Schedule'!$N$30)=0,IF('Recurring Schedule'!$O$30&gt;0,AND(DAY($A359)=MIN(DAY('Recurring Schedule'!$F$30),DAY(EOMONTH($A359,0))),MOD((YEAR($A359)-YEAR('Recurring Schedule'!$F$30))*12+MONTH($A359)-MONTH('Recurring Schedule'!$F$30),'Recurring Schedule'!$O$30)=0),IF('Recurring Schedule'!$E$30="Weekdays",WEEKDAY($A359,2)&lt;=5,$A359='Recurring Schedule'!$F$30))),25,""))))</f>
        <v/>
      </c>
      <c r="AA359">
        <f>IF('Recurring Schedule'!$C$31="","",IF('Recurring Schedule'!$F$31="","",IF(OR($A359&lt;'Recurring Schedule'!$F$31,$A359&gt;'Recurring Schedule'!$P$31),"",IF(IF('Recurring Schedule'!$N$31&gt;0,MOD($A359-'Recurring Schedule'!$F$31,'Recurring Schedule'!$N$31)=0,IF('Recurring Schedule'!$O$31&gt;0,AND(DAY($A359)=MIN(DAY('Recurring Schedule'!$F$31),DAY(EOMONTH($A359,0))),MOD((YEAR($A359)-YEAR('Recurring Schedule'!$F$31))*12+MONTH($A359)-MONTH('Recurring Schedule'!$F$31),'Recurring Schedule'!$O$31)=0),IF('Recurring Schedule'!$E$31="Weekdays",WEEKDAY($A359,2)&lt;=5,$A359='Recurring Schedule'!$F$31))),26,""))))</f>
        <v/>
      </c>
      <c r="AB359">
        <f>IF('Recurring Schedule'!$C$32="","",IF('Recurring Schedule'!$F$32="","",IF(OR($A359&lt;'Recurring Schedule'!$F$32,$A359&gt;'Recurring Schedule'!$P$32),"",IF(IF('Recurring Schedule'!$N$32&gt;0,MOD($A359-'Recurring Schedule'!$F$32,'Recurring Schedule'!$N$32)=0,IF('Recurring Schedule'!$O$32&gt;0,AND(DAY($A359)=MIN(DAY('Recurring Schedule'!$F$32),DAY(EOMONTH($A359,0))),MOD((YEAR($A359)-YEAR('Recurring Schedule'!$F$32))*12+MONTH($A359)-MONTH('Recurring Schedule'!$F$32),'Recurring Schedule'!$O$32)=0),IF('Recurring Schedule'!$E$32="Weekdays",WEEKDAY($A359,2)&lt;=5,$A359='Recurring Schedule'!$F$32))),27,""))))</f>
        <v/>
      </c>
      <c r="AC359">
        <f>IF('Recurring Schedule'!$C$33="","",IF('Recurring Schedule'!$F$33="","",IF(OR($A359&lt;'Recurring Schedule'!$F$33,$A359&gt;'Recurring Schedule'!$P$33),"",IF(IF('Recurring Schedule'!$N$33&gt;0,MOD($A359-'Recurring Schedule'!$F$33,'Recurring Schedule'!$N$33)=0,IF('Recurring Schedule'!$O$33&gt;0,AND(DAY($A359)=MIN(DAY('Recurring Schedule'!$F$33),DAY(EOMONTH($A359,0))),MOD((YEAR($A359)-YEAR('Recurring Schedule'!$F$33))*12+MONTH($A359)-MONTH('Recurring Schedule'!$F$33),'Recurring Schedule'!$O$33)=0),IF('Recurring Schedule'!$E$33="Weekdays",WEEKDAY($A359,2)&lt;=5,$A359='Recurring Schedule'!$F$33))),28,""))))</f>
        <v/>
      </c>
      <c r="AD359">
        <f>IF('Recurring Schedule'!$C$34="","",IF('Recurring Schedule'!$F$34="","",IF(OR($A359&lt;'Recurring Schedule'!$F$34,$A359&gt;'Recurring Schedule'!$P$34),"",IF(IF('Recurring Schedule'!$N$34&gt;0,MOD($A359-'Recurring Schedule'!$F$34,'Recurring Schedule'!$N$34)=0,IF('Recurring Schedule'!$O$34&gt;0,AND(DAY($A359)=MIN(DAY('Recurring Schedule'!$F$34),DAY(EOMONTH($A359,0))),MOD((YEAR($A359)-YEAR('Recurring Schedule'!$F$34))*12+MONTH($A359)-MONTH('Recurring Schedule'!$F$34),'Recurring Schedule'!$O$34)=0),IF('Recurring Schedule'!$E$34="Weekdays",WEEKDAY($A359,2)&lt;=5,$A359='Recurring Schedule'!$F$34))),29,""))))</f>
        <v/>
      </c>
      <c r="AE359">
        <f>IF('Recurring Schedule'!$C$35="","",IF('Recurring Schedule'!$F$35="","",IF(OR($A359&lt;'Recurring Schedule'!$F$35,$A359&gt;'Recurring Schedule'!$P$35),"",IF(IF('Recurring Schedule'!$N$35&gt;0,MOD($A359-'Recurring Schedule'!$F$35,'Recurring Schedule'!$N$35)=0,IF('Recurring Schedule'!$O$35&gt;0,AND(DAY($A359)=MIN(DAY('Recurring Schedule'!$F$35),DAY(EOMONTH($A359,0))),MOD((YEAR($A359)-YEAR('Recurring Schedule'!$F$35))*12+MONTH($A359)-MONTH('Recurring Schedule'!$F$35),'Recurring Schedule'!$O$35)=0),IF('Recurring Schedule'!$E$35="Weekdays",WEEKDAY($A359,2)&lt;=5,$A359='Recurring Schedule'!$F$35))),30,""))))</f>
        <v/>
      </c>
      <c r="AF359">
        <f>IF('Recurring Schedule'!$C$36="","",IF('Recurring Schedule'!$F$36="","",IF(OR($A359&lt;'Recurring Schedule'!$F$36,$A359&gt;'Recurring Schedule'!$P$36),"",IF(IF('Recurring Schedule'!$N$36&gt;0,MOD($A359-'Recurring Schedule'!$F$36,'Recurring Schedule'!$N$36)=0,IF('Recurring Schedule'!$O$36&gt;0,AND(DAY($A359)=MIN(DAY('Recurring Schedule'!$F$36),DAY(EOMONTH($A359,0))),MOD((YEAR($A359)-YEAR('Recurring Schedule'!$F$36))*12+MONTH($A359)-MONTH('Recurring Schedule'!$F$36),'Recurring Schedule'!$O$36)=0),IF('Recurring Schedule'!$E$36="Weekdays",WEEKDAY($A359,2)&lt;=5,$A359='Recurring Schedule'!$F$36))),31,""))))</f>
        <v/>
      </c>
      <c r="AG359">
        <f>IF('Recurring Schedule'!$C$37="","",IF('Recurring Schedule'!$F$37="","",IF(OR($A359&lt;'Recurring Schedule'!$F$37,$A359&gt;'Recurring Schedule'!$P$37),"",IF(IF('Recurring Schedule'!$N$37&gt;0,MOD($A359-'Recurring Schedule'!$F$37,'Recurring Schedule'!$N$37)=0,IF('Recurring Schedule'!$O$37&gt;0,AND(DAY($A359)=MIN(DAY('Recurring Schedule'!$F$37),DAY(EOMONTH($A359,0))),MOD((YEAR($A359)-YEAR('Recurring Schedule'!$F$37))*12+MONTH($A359)-MONTH('Recurring Schedule'!$F$37),'Recurring Schedule'!$O$37)=0),IF('Recurring Schedule'!$E$37="Weekdays",WEEKDAY($A359,2)&lt;=5,$A359='Recurring Schedule'!$F$37))),32,""))))</f>
        <v/>
      </c>
      <c r="AH359">
        <f>IF('Recurring Schedule'!$C$38="","",IF('Recurring Schedule'!$F$38="","",IF(OR($A359&lt;'Recurring Schedule'!$F$38,$A359&gt;'Recurring Schedule'!$P$38),"",IF(IF('Recurring Schedule'!$N$38&gt;0,MOD($A359-'Recurring Schedule'!$F$38,'Recurring Schedule'!$N$38)=0,IF('Recurring Schedule'!$O$38&gt;0,AND(DAY($A359)=MIN(DAY('Recurring Schedule'!$F$38),DAY(EOMONTH($A359,0))),MOD((YEAR($A359)-YEAR('Recurring Schedule'!$F$38))*12+MONTH($A359)-MONTH('Recurring Schedule'!$F$38),'Recurring Schedule'!$O$38)=0),IF('Recurring Schedule'!$E$38="Weekdays",WEEKDAY($A359,2)&lt;=5,$A359='Recurring Schedule'!$F$38))),33,""))))</f>
        <v/>
      </c>
      <c r="AI359">
        <f>IF('Recurring Schedule'!$C$39="","",IF('Recurring Schedule'!$F$39="","",IF(OR($A359&lt;'Recurring Schedule'!$F$39,$A359&gt;'Recurring Schedule'!$P$39),"",IF(IF('Recurring Schedule'!$N$39&gt;0,MOD($A359-'Recurring Schedule'!$F$39,'Recurring Schedule'!$N$39)=0,IF('Recurring Schedule'!$O$39&gt;0,AND(DAY($A359)=MIN(DAY('Recurring Schedule'!$F$39),DAY(EOMONTH($A359,0))),MOD((YEAR($A359)-YEAR('Recurring Schedule'!$F$39))*12+MONTH($A359)-MONTH('Recurring Schedule'!$F$39),'Recurring Schedule'!$O$39)=0),IF('Recurring Schedule'!$E$39="Weekdays",WEEKDAY($A359,2)&lt;=5,$A359='Recurring Schedule'!$F$39))),34,""))))</f>
        <v/>
      </c>
      <c r="AJ359">
        <f>IF('Recurring Schedule'!$C$40="","",IF('Recurring Schedule'!$F$40="","",IF(OR($A359&lt;'Recurring Schedule'!$F$40,$A359&gt;'Recurring Schedule'!$P$40),"",IF(IF('Recurring Schedule'!$N$40&gt;0,MOD($A359-'Recurring Schedule'!$F$40,'Recurring Schedule'!$N$40)=0,IF('Recurring Schedule'!$O$40&gt;0,AND(DAY($A359)=MIN(DAY('Recurring Schedule'!$F$40),DAY(EOMONTH($A359,0))),MOD((YEAR($A359)-YEAR('Recurring Schedule'!$F$40))*12+MONTH($A359)-MONTH('Recurring Schedule'!$F$40),'Recurring Schedule'!$O$40)=0),IF('Recurring Schedule'!$E$40="Weekdays",WEEKDAY($A359,2)&lt;=5,$A359='Recurring Schedule'!$F$40))),35,""))))</f>
        <v/>
      </c>
      <c r="AK359">
        <f>IF('Recurring Schedule'!$C$41="","",IF('Recurring Schedule'!$F$41="","",IF(OR($A359&lt;'Recurring Schedule'!$F$41,$A359&gt;'Recurring Schedule'!$P$41),"",IF(IF('Recurring Schedule'!$N$41&gt;0,MOD($A359-'Recurring Schedule'!$F$41,'Recurring Schedule'!$N$41)=0,IF('Recurring Schedule'!$O$41&gt;0,AND(DAY($A359)=MIN(DAY('Recurring Schedule'!$F$41),DAY(EOMONTH($A359,0))),MOD((YEAR($A359)-YEAR('Recurring Schedule'!$F$41))*12+MONTH($A359)-MONTH('Recurring Schedule'!$F$41),'Recurring Schedule'!$O$41)=0),IF('Recurring Schedule'!$E$41="Weekdays",WEEKDAY($A359,2)&lt;=5,$A359='Recurring Schedule'!$F$41))),36,""))))</f>
        <v/>
      </c>
      <c r="AL359">
        <f>IF('Recurring Schedule'!$C$42="","",IF('Recurring Schedule'!$F$42="","",IF(OR($A359&lt;'Recurring Schedule'!$F$42,$A359&gt;'Recurring Schedule'!$P$42),"",IF(IF('Recurring Schedule'!$N$42&gt;0,MOD($A359-'Recurring Schedule'!$F$42,'Recurring Schedule'!$N$42)=0,IF('Recurring Schedule'!$O$42&gt;0,AND(DAY($A359)=MIN(DAY('Recurring Schedule'!$F$42),DAY(EOMONTH($A359,0))),MOD((YEAR($A359)-YEAR('Recurring Schedule'!$F$42))*12+MONTH($A359)-MONTH('Recurring Schedule'!$F$42),'Recurring Schedule'!$O$42)=0),IF('Recurring Schedule'!$E$42="Weekdays",WEEKDAY($A359,2)&lt;=5,$A359='Recurring Schedule'!$F$42))),37,""))))</f>
        <v/>
      </c>
      <c r="AM359">
        <f>IF('Recurring Schedule'!$C$43="","",IF('Recurring Schedule'!$F$43="","",IF(OR($A359&lt;'Recurring Schedule'!$F$43,$A359&gt;'Recurring Schedule'!$P$43),"",IF(IF('Recurring Schedule'!$N$43&gt;0,MOD($A359-'Recurring Schedule'!$F$43,'Recurring Schedule'!$N$43)=0,IF('Recurring Schedule'!$O$43&gt;0,AND(DAY($A359)=MIN(DAY('Recurring Schedule'!$F$43),DAY(EOMONTH($A359,0))),MOD((YEAR($A359)-YEAR('Recurring Schedule'!$F$43))*12+MONTH($A359)-MONTH('Recurring Schedule'!$F$43),'Recurring Schedule'!$O$43)=0),IF('Recurring Schedule'!$E$43="Weekdays",WEEKDAY($A359,2)&lt;=5,$A359='Recurring Schedule'!$F$43))),38,""))))</f>
        <v/>
      </c>
      <c r="AN359">
        <f>IF('Recurring Schedule'!$C$44="","",IF('Recurring Schedule'!$F$44="","",IF(OR($A359&lt;'Recurring Schedule'!$F$44,$A359&gt;'Recurring Schedule'!$P$44),"",IF(IF('Recurring Schedule'!$N$44&gt;0,MOD($A359-'Recurring Schedule'!$F$44,'Recurring Schedule'!$N$44)=0,IF('Recurring Schedule'!$O$44&gt;0,AND(DAY($A359)=MIN(DAY('Recurring Schedule'!$F$44),DAY(EOMONTH($A359,0))),MOD((YEAR($A359)-YEAR('Recurring Schedule'!$F$44))*12+MONTH($A359)-MONTH('Recurring Schedule'!$F$44),'Recurring Schedule'!$O$44)=0),IF('Recurring Schedule'!$E$44="Weekdays",WEEKDAY($A359,2)&lt;=5,$A359='Recurring Schedule'!$F$44))),39,""))))</f>
        <v/>
      </c>
      <c r="AO359">
        <f>IF('Recurring Schedule'!$C$45="","",IF('Recurring Schedule'!$F$45="","",IF(OR($A359&lt;'Recurring Schedule'!$F$45,$A359&gt;'Recurring Schedule'!$P$45),"",IF(IF('Recurring Schedule'!$N$45&gt;0,MOD($A359-'Recurring Schedule'!$F$45,'Recurring Schedule'!$N$45)=0,IF('Recurring Schedule'!$O$45&gt;0,AND(DAY($A359)=MIN(DAY('Recurring Schedule'!$F$45),DAY(EOMONTH($A359,0))),MOD((YEAR($A359)-YEAR('Recurring Schedule'!$F$45))*12+MONTH($A359)-MONTH('Recurring Schedule'!$F$45),'Recurring Schedule'!$O$45)=0),IF('Recurring Schedule'!$E$45="Weekdays",WEEKDAY($A359,2)&lt;=5,$A359='Recurring Schedule'!$F$45))),40,""))))</f>
        <v/>
      </c>
      <c r="AP359">
        <f>COUNT(B359:AO359)</f>
        <v/>
      </c>
      <c r="AQ359">
        <f>AQ358+AP358</f>
        <v/>
      </c>
      <c r="AS359" t="inlineStr">
        <is>
          <t>R</t>
        </is>
      </c>
      <c r="AT359" t="n">
        <v>363</v>
      </c>
      <c r="AU359">
        <f>'Recurring Log'!C363&amp;""</f>
        <v/>
      </c>
      <c r="AV359">
        <f>'Recurring Log'!D363&amp;""</f>
        <v/>
      </c>
      <c r="AW359">
        <f>IF('Recurring Log'!E363="","",'Recurring Log'!E363)</f>
        <v/>
      </c>
      <c r="AX359">
        <f>IF('Recurring Log'!G363="","",'Recurring Log'!G363)</f>
        <v/>
      </c>
      <c r="AY359">
        <f>IF('Recurring Log'!H363="","",'Recurring Log'!H363)</f>
        <v/>
      </c>
      <c r="AZ359">
        <f>IF(AU359="","",IF('Recurring Log'!J363="","Not Started",'Recurring Log'!J363))</f>
        <v/>
      </c>
      <c r="BA359">
        <f>'Recurring Log'!L363&amp;""</f>
        <v/>
      </c>
      <c r="BB359">
        <f>'Recurring Log'!M363&amp;""</f>
        <v/>
      </c>
      <c r="BC359">
        <f>'Recurring Log'!N363&amp;""</f>
        <v/>
      </c>
      <c r="BD359">
        <f>'Recurring Log'!O363&amp;""</f>
        <v/>
      </c>
      <c r="BE359">
        <f>IF('Recurring Log'!K363="","",'Recurring Log'!K363)</f>
        <v/>
      </c>
      <c r="BF359">
        <f>IFERROR(MATCH(BA359,Setup!$L$6:$L$9,0),5)</f>
        <v/>
      </c>
      <c r="BG359">
        <f>IF(OR(AZ359="Done",AZ359="Cancelled"),1,0)</f>
        <v/>
      </c>
      <c r="BH359">
        <f>IF(AND(AU359&lt;&gt;"",ISNUMBER(AW359)),1,0)</f>
        <v/>
      </c>
      <c r="BI359">
        <f>IF(BH359=0,0,IF(AND(AW359&gt;='Tasks Filter'!$F$3,AW359&lt;='Tasks Filter'!$F$4,OR('Tasks Filter'!$I$3="",ISNUMBER(SEARCH('Tasks Filter'!$I$3,AU359))),OR('Tasks Filter'!$I$4="",BF359=IFERROR(MATCH('Tasks Filter'!$I$4,Setup!$L$6:$L$9,0),0)),OR('Tasks Filter'!$I$5="Both",AND('Tasks Filter'!$I$5="Yes",BB359="✓"),AND('Tasks Filter'!$I$5="No",BB359&lt;&gt;"✓")),OR('Tasks Filter'!$L$3="",AV359='Tasks Filter'!$L$3),OR('Tasks Filter'!$L$4="",AZ359='Tasks Filter'!$L$4),OR('Tasks Filter'!$L$5="",BC359='Tasks Filter'!$L$5),OR('Tasks Filter'!$O$3="",BD359='Tasks Filter'!$O$3),OR('Tasks Filter'!$O$4="Yes",BG359=0)),1,0))</f>
        <v/>
      </c>
      <c r="BJ359">
        <f>IF(BH359=0,"",IF('Tasks Filter'!$F$6="Descending",-1,1)*CHOOSE(MATCH('Tasks Filter'!$F$5,Lists!$G$2:$G$6,0),AW359,BF359,IFERROR(MATCH(AV359,Setup!$F$6:$F$15,0),99),IFERROR(MATCH(BC359,Setup!$H$6:$H$15,0),99),IFERROR(MATCH(AZ359,Setup!$J$6:$J$11,0),99))*1E+9+(AW359-40000)*10000+358)</f>
        <v/>
      </c>
      <c r="BK359">
        <f>IF(BI359=1,BJ359,"")</f>
        <v/>
      </c>
      <c r="BL359">
        <f>IF(AND(BH359=1,BG359=0,N(AW359)&lt;Setup!$D$7),(AW359-40000)*10000+358,"")</f>
        <v/>
      </c>
      <c r="BM359">
        <f>IF(AND(BH359=1,AZ359&lt;&gt;"Cancelled",N(AW359)&gt;=Dashboard!$AB$3,N(AW359)&lt;=Dashboard!$AB$3+6),(AW359-40000)*100000+BF359*10000+358,"")</f>
        <v/>
      </c>
      <c r="BN359">
        <f>IF(AND(BH359=1,AZ359&lt;&gt;"Cancelled"),BF359*10000+358,"")</f>
        <v/>
      </c>
    </row>
    <row r="360">
      <c r="A360">
        <f>Setup!$D$5+358</f>
        <v/>
      </c>
      <c r="B360">
        <f>IF('Recurring Schedule'!$C$6="","",IF('Recurring Schedule'!$F$6="","",IF(OR($A360&lt;'Recurring Schedule'!$F$6,$A360&gt;'Recurring Schedule'!$P$6),"",IF(IF('Recurring Schedule'!$N$6&gt;0,MOD($A360-'Recurring Schedule'!$F$6,'Recurring Schedule'!$N$6)=0,IF('Recurring Schedule'!$O$6&gt;0,AND(DAY($A360)=MIN(DAY('Recurring Schedule'!$F$6),DAY(EOMONTH($A360,0))),MOD((YEAR($A360)-YEAR('Recurring Schedule'!$F$6))*12+MONTH($A360)-MONTH('Recurring Schedule'!$F$6),'Recurring Schedule'!$O$6)=0),IF('Recurring Schedule'!$E$6="Weekdays",WEEKDAY($A360,2)&lt;=5,$A360='Recurring Schedule'!$F$6))),1,""))))</f>
        <v/>
      </c>
      <c r="C360">
        <f>IF('Recurring Schedule'!$C$7="","",IF('Recurring Schedule'!$F$7="","",IF(OR($A360&lt;'Recurring Schedule'!$F$7,$A360&gt;'Recurring Schedule'!$P$7),"",IF(IF('Recurring Schedule'!$N$7&gt;0,MOD($A360-'Recurring Schedule'!$F$7,'Recurring Schedule'!$N$7)=0,IF('Recurring Schedule'!$O$7&gt;0,AND(DAY($A360)=MIN(DAY('Recurring Schedule'!$F$7),DAY(EOMONTH($A360,0))),MOD((YEAR($A360)-YEAR('Recurring Schedule'!$F$7))*12+MONTH($A360)-MONTH('Recurring Schedule'!$F$7),'Recurring Schedule'!$O$7)=0),IF('Recurring Schedule'!$E$7="Weekdays",WEEKDAY($A360,2)&lt;=5,$A360='Recurring Schedule'!$F$7))),2,""))))</f>
        <v/>
      </c>
      <c r="D360">
        <f>IF('Recurring Schedule'!$C$8="","",IF('Recurring Schedule'!$F$8="","",IF(OR($A360&lt;'Recurring Schedule'!$F$8,$A360&gt;'Recurring Schedule'!$P$8),"",IF(IF('Recurring Schedule'!$N$8&gt;0,MOD($A360-'Recurring Schedule'!$F$8,'Recurring Schedule'!$N$8)=0,IF('Recurring Schedule'!$O$8&gt;0,AND(DAY($A360)=MIN(DAY('Recurring Schedule'!$F$8),DAY(EOMONTH($A360,0))),MOD((YEAR($A360)-YEAR('Recurring Schedule'!$F$8))*12+MONTH($A360)-MONTH('Recurring Schedule'!$F$8),'Recurring Schedule'!$O$8)=0),IF('Recurring Schedule'!$E$8="Weekdays",WEEKDAY($A360,2)&lt;=5,$A360='Recurring Schedule'!$F$8))),3,""))))</f>
        <v/>
      </c>
      <c r="E360">
        <f>IF('Recurring Schedule'!$C$9="","",IF('Recurring Schedule'!$F$9="","",IF(OR($A360&lt;'Recurring Schedule'!$F$9,$A360&gt;'Recurring Schedule'!$P$9),"",IF(IF('Recurring Schedule'!$N$9&gt;0,MOD($A360-'Recurring Schedule'!$F$9,'Recurring Schedule'!$N$9)=0,IF('Recurring Schedule'!$O$9&gt;0,AND(DAY($A360)=MIN(DAY('Recurring Schedule'!$F$9),DAY(EOMONTH($A360,0))),MOD((YEAR($A360)-YEAR('Recurring Schedule'!$F$9))*12+MONTH($A360)-MONTH('Recurring Schedule'!$F$9),'Recurring Schedule'!$O$9)=0),IF('Recurring Schedule'!$E$9="Weekdays",WEEKDAY($A360,2)&lt;=5,$A360='Recurring Schedule'!$F$9))),4,""))))</f>
        <v/>
      </c>
      <c r="F360">
        <f>IF('Recurring Schedule'!$C$10="","",IF('Recurring Schedule'!$F$10="","",IF(OR($A360&lt;'Recurring Schedule'!$F$10,$A360&gt;'Recurring Schedule'!$P$10),"",IF(IF('Recurring Schedule'!$N$10&gt;0,MOD($A360-'Recurring Schedule'!$F$10,'Recurring Schedule'!$N$10)=0,IF('Recurring Schedule'!$O$10&gt;0,AND(DAY($A360)=MIN(DAY('Recurring Schedule'!$F$10),DAY(EOMONTH($A360,0))),MOD((YEAR($A360)-YEAR('Recurring Schedule'!$F$10))*12+MONTH($A360)-MONTH('Recurring Schedule'!$F$10),'Recurring Schedule'!$O$10)=0),IF('Recurring Schedule'!$E$10="Weekdays",WEEKDAY($A360,2)&lt;=5,$A360='Recurring Schedule'!$F$10))),5,""))))</f>
        <v/>
      </c>
      <c r="G360">
        <f>IF('Recurring Schedule'!$C$11="","",IF('Recurring Schedule'!$F$11="","",IF(OR($A360&lt;'Recurring Schedule'!$F$11,$A360&gt;'Recurring Schedule'!$P$11),"",IF(IF('Recurring Schedule'!$N$11&gt;0,MOD($A360-'Recurring Schedule'!$F$11,'Recurring Schedule'!$N$11)=0,IF('Recurring Schedule'!$O$11&gt;0,AND(DAY($A360)=MIN(DAY('Recurring Schedule'!$F$11),DAY(EOMONTH($A360,0))),MOD((YEAR($A360)-YEAR('Recurring Schedule'!$F$11))*12+MONTH($A360)-MONTH('Recurring Schedule'!$F$11),'Recurring Schedule'!$O$11)=0),IF('Recurring Schedule'!$E$11="Weekdays",WEEKDAY($A360,2)&lt;=5,$A360='Recurring Schedule'!$F$11))),6,""))))</f>
        <v/>
      </c>
      <c r="H360">
        <f>IF('Recurring Schedule'!$C$12="","",IF('Recurring Schedule'!$F$12="","",IF(OR($A360&lt;'Recurring Schedule'!$F$12,$A360&gt;'Recurring Schedule'!$P$12),"",IF(IF('Recurring Schedule'!$N$12&gt;0,MOD($A360-'Recurring Schedule'!$F$12,'Recurring Schedule'!$N$12)=0,IF('Recurring Schedule'!$O$12&gt;0,AND(DAY($A360)=MIN(DAY('Recurring Schedule'!$F$12),DAY(EOMONTH($A360,0))),MOD((YEAR($A360)-YEAR('Recurring Schedule'!$F$12))*12+MONTH($A360)-MONTH('Recurring Schedule'!$F$12),'Recurring Schedule'!$O$12)=0),IF('Recurring Schedule'!$E$12="Weekdays",WEEKDAY($A360,2)&lt;=5,$A360='Recurring Schedule'!$F$12))),7,""))))</f>
        <v/>
      </c>
      <c r="I360">
        <f>IF('Recurring Schedule'!$C$13="","",IF('Recurring Schedule'!$F$13="","",IF(OR($A360&lt;'Recurring Schedule'!$F$13,$A360&gt;'Recurring Schedule'!$P$13),"",IF(IF('Recurring Schedule'!$N$13&gt;0,MOD($A360-'Recurring Schedule'!$F$13,'Recurring Schedule'!$N$13)=0,IF('Recurring Schedule'!$O$13&gt;0,AND(DAY($A360)=MIN(DAY('Recurring Schedule'!$F$13),DAY(EOMONTH($A360,0))),MOD((YEAR($A360)-YEAR('Recurring Schedule'!$F$13))*12+MONTH($A360)-MONTH('Recurring Schedule'!$F$13),'Recurring Schedule'!$O$13)=0),IF('Recurring Schedule'!$E$13="Weekdays",WEEKDAY($A360,2)&lt;=5,$A360='Recurring Schedule'!$F$13))),8,""))))</f>
        <v/>
      </c>
      <c r="J360">
        <f>IF('Recurring Schedule'!$C$14="","",IF('Recurring Schedule'!$F$14="","",IF(OR($A360&lt;'Recurring Schedule'!$F$14,$A360&gt;'Recurring Schedule'!$P$14),"",IF(IF('Recurring Schedule'!$N$14&gt;0,MOD($A360-'Recurring Schedule'!$F$14,'Recurring Schedule'!$N$14)=0,IF('Recurring Schedule'!$O$14&gt;0,AND(DAY($A360)=MIN(DAY('Recurring Schedule'!$F$14),DAY(EOMONTH($A360,0))),MOD((YEAR($A360)-YEAR('Recurring Schedule'!$F$14))*12+MONTH($A360)-MONTH('Recurring Schedule'!$F$14),'Recurring Schedule'!$O$14)=0),IF('Recurring Schedule'!$E$14="Weekdays",WEEKDAY($A360,2)&lt;=5,$A360='Recurring Schedule'!$F$14))),9,""))))</f>
        <v/>
      </c>
      <c r="K360">
        <f>IF('Recurring Schedule'!$C$15="","",IF('Recurring Schedule'!$F$15="","",IF(OR($A360&lt;'Recurring Schedule'!$F$15,$A360&gt;'Recurring Schedule'!$P$15),"",IF(IF('Recurring Schedule'!$N$15&gt;0,MOD($A360-'Recurring Schedule'!$F$15,'Recurring Schedule'!$N$15)=0,IF('Recurring Schedule'!$O$15&gt;0,AND(DAY($A360)=MIN(DAY('Recurring Schedule'!$F$15),DAY(EOMONTH($A360,0))),MOD((YEAR($A360)-YEAR('Recurring Schedule'!$F$15))*12+MONTH($A360)-MONTH('Recurring Schedule'!$F$15),'Recurring Schedule'!$O$15)=0),IF('Recurring Schedule'!$E$15="Weekdays",WEEKDAY($A360,2)&lt;=5,$A360='Recurring Schedule'!$F$15))),10,""))))</f>
        <v/>
      </c>
      <c r="L360">
        <f>IF('Recurring Schedule'!$C$16="","",IF('Recurring Schedule'!$F$16="","",IF(OR($A360&lt;'Recurring Schedule'!$F$16,$A360&gt;'Recurring Schedule'!$P$16),"",IF(IF('Recurring Schedule'!$N$16&gt;0,MOD($A360-'Recurring Schedule'!$F$16,'Recurring Schedule'!$N$16)=0,IF('Recurring Schedule'!$O$16&gt;0,AND(DAY($A360)=MIN(DAY('Recurring Schedule'!$F$16),DAY(EOMONTH($A360,0))),MOD((YEAR($A360)-YEAR('Recurring Schedule'!$F$16))*12+MONTH($A360)-MONTH('Recurring Schedule'!$F$16),'Recurring Schedule'!$O$16)=0),IF('Recurring Schedule'!$E$16="Weekdays",WEEKDAY($A360,2)&lt;=5,$A360='Recurring Schedule'!$F$16))),11,""))))</f>
        <v/>
      </c>
      <c r="M360">
        <f>IF('Recurring Schedule'!$C$17="","",IF('Recurring Schedule'!$F$17="","",IF(OR($A360&lt;'Recurring Schedule'!$F$17,$A360&gt;'Recurring Schedule'!$P$17),"",IF(IF('Recurring Schedule'!$N$17&gt;0,MOD($A360-'Recurring Schedule'!$F$17,'Recurring Schedule'!$N$17)=0,IF('Recurring Schedule'!$O$17&gt;0,AND(DAY($A360)=MIN(DAY('Recurring Schedule'!$F$17),DAY(EOMONTH($A360,0))),MOD((YEAR($A360)-YEAR('Recurring Schedule'!$F$17))*12+MONTH($A360)-MONTH('Recurring Schedule'!$F$17),'Recurring Schedule'!$O$17)=0),IF('Recurring Schedule'!$E$17="Weekdays",WEEKDAY($A360,2)&lt;=5,$A360='Recurring Schedule'!$F$17))),12,""))))</f>
        <v/>
      </c>
      <c r="N360">
        <f>IF('Recurring Schedule'!$C$18="","",IF('Recurring Schedule'!$F$18="","",IF(OR($A360&lt;'Recurring Schedule'!$F$18,$A360&gt;'Recurring Schedule'!$P$18),"",IF(IF('Recurring Schedule'!$N$18&gt;0,MOD($A360-'Recurring Schedule'!$F$18,'Recurring Schedule'!$N$18)=0,IF('Recurring Schedule'!$O$18&gt;0,AND(DAY($A360)=MIN(DAY('Recurring Schedule'!$F$18),DAY(EOMONTH($A360,0))),MOD((YEAR($A360)-YEAR('Recurring Schedule'!$F$18))*12+MONTH($A360)-MONTH('Recurring Schedule'!$F$18),'Recurring Schedule'!$O$18)=0),IF('Recurring Schedule'!$E$18="Weekdays",WEEKDAY($A360,2)&lt;=5,$A360='Recurring Schedule'!$F$18))),13,""))))</f>
        <v/>
      </c>
      <c r="O360">
        <f>IF('Recurring Schedule'!$C$19="","",IF('Recurring Schedule'!$F$19="","",IF(OR($A360&lt;'Recurring Schedule'!$F$19,$A360&gt;'Recurring Schedule'!$P$19),"",IF(IF('Recurring Schedule'!$N$19&gt;0,MOD($A360-'Recurring Schedule'!$F$19,'Recurring Schedule'!$N$19)=0,IF('Recurring Schedule'!$O$19&gt;0,AND(DAY($A360)=MIN(DAY('Recurring Schedule'!$F$19),DAY(EOMONTH($A360,0))),MOD((YEAR($A360)-YEAR('Recurring Schedule'!$F$19))*12+MONTH($A360)-MONTH('Recurring Schedule'!$F$19),'Recurring Schedule'!$O$19)=0),IF('Recurring Schedule'!$E$19="Weekdays",WEEKDAY($A360,2)&lt;=5,$A360='Recurring Schedule'!$F$19))),14,""))))</f>
        <v/>
      </c>
      <c r="P360">
        <f>IF('Recurring Schedule'!$C$20="","",IF('Recurring Schedule'!$F$20="","",IF(OR($A360&lt;'Recurring Schedule'!$F$20,$A360&gt;'Recurring Schedule'!$P$20),"",IF(IF('Recurring Schedule'!$N$20&gt;0,MOD($A360-'Recurring Schedule'!$F$20,'Recurring Schedule'!$N$20)=0,IF('Recurring Schedule'!$O$20&gt;0,AND(DAY($A360)=MIN(DAY('Recurring Schedule'!$F$20),DAY(EOMONTH($A360,0))),MOD((YEAR($A360)-YEAR('Recurring Schedule'!$F$20))*12+MONTH($A360)-MONTH('Recurring Schedule'!$F$20),'Recurring Schedule'!$O$20)=0),IF('Recurring Schedule'!$E$20="Weekdays",WEEKDAY($A360,2)&lt;=5,$A360='Recurring Schedule'!$F$20))),15,""))))</f>
        <v/>
      </c>
      <c r="Q360">
        <f>IF('Recurring Schedule'!$C$21="","",IF('Recurring Schedule'!$F$21="","",IF(OR($A360&lt;'Recurring Schedule'!$F$21,$A360&gt;'Recurring Schedule'!$P$21),"",IF(IF('Recurring Schedule'!$N$21&gt;0,MOD($A360-'Recurring Schedule'!$F$21,'Recurring Schedule'!$N$21)=0,IF('Recurring Schedule'!$O$21&gt;0,AND(DAY($A360)=MIN(DAY('Recurring Schedule'!$F$21),DAY(EOMONTH($A360,0))),MOD((YEAR($A360)-YEAR('Recurring Schedule'!$F$21))*12+MONTH($A360)-MONTH('Recurring Schedule'!$F$21),'Recurring Schedule'!$O$21)=0),IF('Recurring Schedule'!$E$21="Weekdays",WEEKDAY($A360,2)&lt;=5,$A360='Recurring Schedule'!$F$21))),16,""))))</f>
        <v/>
      </c>
      <c r="R360">
        <f>IF('Recurring Schedule'!$C$22="","",IF('Recurring Schedule'!$F$22="","",IF(OR($A360&lt;'Recurring Schedule'!$F$22,$A360&gt;'Recurring Schedule'!$P$22),"",IF(IF('Recurring Schedule'!$N$22&gt;0,MOD($A360-'Recurring Schedule'!$F$22,'Recurring Schedule'!$N$22)=0,IF('Recurring Schedule'!$O$22&gt;0,AND(DAY($A360)=MIN(DAY('Recurring Schedule'!$F$22),DAY(EOMONTH($A360,0))),MOD((YEAR($A360)-YEAR('Recurring Schedule'!$F$22))*12+MONTH($A360)-MONTH('Recurring Schedule'!$F$22),'Recurring Schedule'!$O$22)=0),IF('Recurring Schedule'!$E$22="Weekdays",WEEKDAY($A360,2)&lt;=5,$A360='Recurring Schedule'!$F$22))),17,""))))</f>
        <v/>
      </c>
      <c r="S360">
        <f>IF('Recurring Schedule'!$C$23="","",IF('Recurring Schedule'!$F$23="","",IF(OR($A360&lt;'Recurring Schedule'!$F$23,$A360&gt;'Recurring Schedule'!$P$23),"",IF(IF('Recurring Schedule'!$N$23&gt;0,MOD($A360-'Recurring Schedule'!$F$23,'Recurring Schedule'!$N$23)=0,IF('Recurring Schedule'!$O$23&gt;0,AND(DAY($A360)=MIN(DAY('Recurring Schedule'!$F$23),DAY(EOMONTH($A360,0))),MOD((YEAR($A360)-YEAR('Recurring Schedule'!$F$23))*12+MONTH($A360)-MONTH('Recurring Schedule'!$F$23),'Recurring Schedule'!$O$23)=0),IF('Recurring Schedule'!$E$23="Weekdays",WEEKDAY($A360,2)&lt;=5,$A360='Recurring Schedule'!$F$23))),18,""))))</f>
        <v/>
      </c>
      <c r="T360">
        <f>IF('Recurring Schedule'!$C$24="","",IF('Recurring Schedule'!$F$24="","",IF(OR($A360&lt;'Recurring Schedule'!$F$24,$A360&gt;'Recurring Schedule'!$P$24),"",IF(IF('Recurring Schedule'!$N$24&gt;0,MOD($A360-'Recurring Schedule'!$F$24,'Recurring Schedule'!$N$24)=0,IF('Recurring Schedule'!$O$24&gt;0,AND(DAY($A360)=MIN(DAY('Recurring Schedule'!$F$24),DAY(EOMONTH($A360,0))),MOD((YEAR($A360)-YEAR('Recurring Schedule'!$F$24))*12+MONTH($A360)-MONTH('Recurring Schedule'!$F$24),'Recurring Schedule'!$O$24)=0),IF('Recurring Schedule'!$E$24="Weekdays",WEEKDAY($A360,2)&lt;=5,$A360='Recurring Schedule'!$F$24))),19,""))))</f>
        <v/>
      </c>
      <c r="U360">
        <f>IF('Recurring Schedule'!$C$25="","",IF('Recurring Schedule'!$F$25="","",IF(OR($A360&lt;'Recurring Schedule'!$F$25,$A360&gt;'Recurring Schedule'!$P$25),"",IF(IF('Recurring Schedule'!$N$25&gt;0,MOD($A360-'Recurring Schedule'!$F$25,'Recurring Schedule'!$N$25)=0,IF('Recurring Schedule'!$O$25&gt;0,AND(DAY($A360)=MIN(DAY('Recurring Schedule'!$F$25),DAY(EOMONTH($A360,0))),MOD((YEAR($A360)-YEAR('Recurring Schedule'!$F$25))*12+MONTH($A360)-MONTH('Recurring Schedule'!$F$25),'Recurring Schedule'!$O$25)=0),IF('Recurring Schedule'!$E$25="Weekdays",WEEKDAY($A360,2)&lt;=5,$A360='Recurring Schedule'!$F$25))),20,""))))</f>
        <v/>
      </c>
      <c r="V360">
        <f>IF('Recurring Schedule'!$C$26="","",IF('Recurring Schedule'!$F$26="","",IF(OR($A360&lt;'Recurring Schedule'!$F$26,$A360&gt;'Recurring Schedule'!$P$26),"",IF(IF('Recurring Schedule'!$N$26&gt;0,MOD($A360-'Recurring Schedule'!$F$26,'Recurring Schedule'!$N$26)=0,IF('Recurring Schedule'!$O$26&gt;0,AND(DAY($A360)=MIN(DAY('Recurring Schedule'!$F$26),DAY(EOMONTH($A360,0))),MOD((YEAR($A360)-YEAR('Recurring Schedule'!$F$26))*12+MONTH($A360)-MONTH('Recurring Schedule'!$F$26),'Recurring Schedule'!$O$26)=0),IF('Recurring Schedule'!$E$26="Weekdays",WEEKDAY($A360,2)&lt;=5,$A360='Recurring Schedule'!$F$26))),21,""))))</f>
        <v/>
      </c>
      <c r="W360">
        <f>IF('Recurring Schedule'!$C$27="","",IF('Recurring Schedule'!$F$27="","",IF(OR($A360&lt;'Recurring Schedule'!$F$27,$A360&gt;'Recurring Schedule'!$P$27),"",IF(IF('Recurring Schedule'!$N$27&gt;0,MOD($A360-'Recurring Schedule'!$F$27,'Recurring Schedule'!$N$27)=0,IF('Recurring Schedule'!$O$27&gt;0,AND(DAY($A360)=MIN(DAY('Recurring Schedule'!$F$27),DAY(EOMONTH($A360,0))),MOD((YEAR($A360)-YEAR('Recurring Schedule'!$F$27))*12+MONTH($A360)-MONTH('Recurring Schedule'!$F$27),'Recurring Schedule'!$O$27)=0),IF('Recurring Schedule'!$E$27="Weekdays",WEEKDAY($A360,2)&lt;=5,$A360='Recurring Schedule'!$F$27))),22,""))))</f>
        <v/>
      </c>
      <c r="X360">
        <f>IF('Recurring Schedule'!$C$28="","",IF('Recurring Schedule'!$F$28="","",IF(OR($A360&lt;'Recurring Schedule'!$F$28,$A360&gt;'Recurring Schedule'!$P$28),"",IF(IF('Recurring Schedule'!$N$28&gt;0,MOD($A360-'Recurring Schedule'!$F$28,'Recurring Schedule'!$N$28)=0,IF('Recurring Schedule'!$O$28&gt;0,AND(DAY($A360)=MIN(DAY('Recurring Schedule'!$F$28),DAY(EOMONTH($A360,0))),MOD((YEAR($A360)-YEAR('Recurring Schedule'!$F$28))*12+MONTH($A360)-MONTH('Recurring Schedule'!$F$28),'Recurring Schedule'!$O$28)=0),IF('Recurring Schedule'!$E$28="Weekdays",WEEKDAY($A360,2)&lt;=5,$A360='Recurring Schedule'!$F$28))),23,""))))</f>
        <v/>
      </c>
      <c r="Y360">
        <f>IF('Recurring Schedule'!$C$29="","",IF('Recurring Schedule'!$F$29="","",IF(OR($A360&lt;'Recurring Schedule'!$F$29,$A360&gt;'Recurring Schedule'!$P$29),"",IF(IF('Recurring Schedule'!$N$29&gt;0,MOD($A360-'Recurring Schedule'!$F$29,'Recurring Schedule'!$N$29)=0,IF('Recurring Schedule'!$O$29&gt;0,AND(DAY($A360)=MIN(DAY('Recurring Schedule'!$F$29),DAY(EOMONTH($A360,0))),MOD((YEAR($A360)-YEAR('Recurring Schedule'!$F$29))*12+MONTH($A360)-MONTH('Recurring Schedule'!$F$29),'Recurring Schedule'!$O$29)=0),IF('Recurring Schedule'!$E$29="Weekdays",WEEKDAY($A360,2)&lt;=5,$A360='Recurring Schedule'!$F$29))),24,""))))</f>
        <v/>
      </c>
      <c r="Z360">
        <f>IF('Recurring Schedule'!$C$30="","",IF('Recurring Schedule'!$F$30="","",IF(OR($A360&lt;'Recurring Schedule'!$F$30,$A360&gt;'Recurring Schedule'!$P$30),"",IF(IF('Recurring Schedule'!$N$30&gt;0,MOD($A360-'Recurring Schedule'!$F$30,'Recurring Schedule'!$N$30)=0,IF('Recurring Schedule'!$O$30&gt;0,AND(DAY($A360)=MIN(DAY('Recurring Schedule'!$F$30),DAY(EOMONTH($A360,0))),MOD((YEAR($A360)-YEAR('Recurring Schedule'!$F$30))*12+MONTH($A360)-MONTH('Recurring Schedule'!$F$30),'Recurring Schedule'!$O$30)=0),IF('Recurring Schedule'!$E$30="Weekdays",WEEKDAY($A360,2)&lt;=5,$A360='Recurring Schedule'!$F$30))),25,""))))</f>
        <v/>
      </c>
      <c r="AA360">
        <f>IF('Recurring Schedule'!$C$31="","",IF('Recurring Schedule'!$F$31="","",IF(OR($A360&lt;'Recurring Schedule'!$F$31,$A360&gt;'Recurring Schedule'!$P$31),"",IF(IF('Recurring Schedule'!$N$31&gt;0,MOD($A360-'Recurring Schedule'!$F$31,'Recurring Schedule'!$N$31)=0,IF('Recurring Schedule'!$O$31&gt;0,AND(DAY($A360)=MIN(DAY('Recurring Schedule'!$F$31),DAY(EOMONTH($A360,0))),MOD((YEAR($A360)-YEAR('Recurring Schedule'!$F$31))*12+MONTH($A360)-MONTH('Recurring Schedule'!$F$31),'Recurring Schedule'!$O$31)=0),IF('Recurring Schedule'!$E$31="Weekdays",WEEKDAY($A360,2)&lt;=5,$A360='Recurring Schedule'!$F$31))),26,""))))</f>
        <v/>
      </c>
      <c r="AB360">
        <f>IF('Recurring Schedule'!$C$32="","",IF('Recurring Schedule'!$F$32="","",IF(OR($A360&lt;'Recurring Schedule'!$F$32,$A360&gt;'Recurring Schedule'!$P$32),"",IF(IF('Recurring Schedule'!$N$32&gt;0,MOD($A360-'Recurring Schedule'!$F$32,'Recurring Schedule'!$N$32)=0,IF('Recurring Schedule'!$O$32&gt;0,AND(DAY($A360)=MIN(DAY('Recurring Schedule'!$F$32),DAY(EOMONTH($A360,0))),MOD((YEAR($A360)-YEAR('Recurring Schedule'!$F$32))*12+MONTH($A360)-MONTH('Recurring Schedule'!$F$32),'Recurring Schedule'!$O$32)=0),IF('Recurring Schedule'!$E$32="Weekdays",WEEKDAY($A360,2)&lt;=5,$A360='Recurring Schedule'!$F$32))),27,""))))</f>
        <v/>
      </c>
      <c r="AC360">
        <f>IF('Recurring Schedule'!$C$33="","",IF('Recurring Schedule'!$F$33="","",IF(OR($A360&lt;'Recurring Schedule'!$F$33,$A360&gt;'Recurring Schedule'!$P$33),"",IF(IF('Recurring Schedule'!$N$33&gt;0,MOD($A360-'Recurring Schedule'!$F$33,'Recurring Schedule'!$N$33)=0,IF('Recurring Schedule'!$O$33&gt;0,AND(DAY($A360)=MIN(DAY('Recurring Schedule'!$F$33),DAY(EOMONTH($A360,0))),MOD((YEAR($A360)-YEAR('Recurring Schedule'!$F$33))*12+MONTH($A360)-MONTH('Recurring Schedule'!$F$33),'Recurring Schedule'!$O$33)=0),IF('Recurring Schedule'!$E$33="Weekdays",WEEKDAY($A360,2)&lt;=5,$A360='Recurring Schedule'!$F$33))),28,""))))</f>
        <v/>
      </c>
      <c r="AD360">
        <f>IF('Recurring Schedule'!$C$34="","",IF('Recurring Schedule'!$F$34="","",IF(OR($A360&lt;'Recurring Schedule'!$F$34,$A360&gt;'Recurring Schedule'!$P$34),"",IF(IF('Recurring Schedule'!$N$34&gt;0,MOD($A360-'Recurring Schedule'!$F$34,'Recurring Schedule'!$N$34)=0,IF('Recurring Schedule'!$O$34&gt;0,AND(DAY($A360)=MIN(DAY('Recurring Schedule'!$F$34),DAY(EOMONTH($A360,0))),MOD((YEAR($A360)-YEAR('Recurring Schedule'!$F$34))*12+MONTH($A360)-MONTH('Recurring Schedule'!$F$34),'Recurring Schedule'!$O$34)=0),IF('Recurring Schedule'!$E$34="Weekdays",WEEKDAY($A360,2)&lt;=5,$A360='Recurring Schedule'!$F$34))),29,""))))</f>
        <v/>
      </c>
      <c r="AE360">
        <f>IF('Recurring Schedule'!$C$35="","",IF('Recurring Schedule'!$F$35="","",IF(OR($A360&lt;'Recurring Schedule'!$F$35,$A360&gt;'Recurring Schedule'!$P$35),"",IF(IF('Recurring Schedule'!$N$35&gt;0,MOD($A360-'Recurring Schedule'!$F$35,'Recurring Schedule'!$N$35)=0,IF('Recurring Schedule'!$O$35&gt;0,AND(DAY($A360)=MIN(DAY('Recurring Schedule'!$F$35),DAY(EOMONTH($A360,0))),MOD((YEAR($A360)-YEAR('Recurring Schedule'!$F$35))*12+MONTH($A360)-MONTH('Recurring Schedule'!$F$35),'Recurring Schedule'!$O$35)=0),IF('Recurring Schedule'!$E$35="Weekdays",WEEKDAY($A360,2)&lt;=5,$A360='Recurring Schedule'!$F$35))),30,""))))</f>
        <v/>
      </c>
      <c r="AF360">
        <f>IF('Recurring Schedule'!$C$36="","",IF('Recurring Schedule'!$F$36="","",IF(OR($A360&lt;'Recurring Schedule'!$F$36,$A360&gt;'Recurring Schedule'!$P$36),"",IF(IF('Recurring Schedule'!$N$36&gt;0,MOD($A360-'Recurring Schedule'!$F$36,'Recurring Schedule'!$N$36)=0,IF('Recurring Schedule'!$O$36&gt;0,AND(DAY($A360)=MIN(DAY('Recurring Schedule'!$F$36),DAY(EOMONTH($A360,0))),MOD((YEAR($A360)-YEAR('Recurring Schedule'!$F$36))*12+MONTH($A360)-MONTH('Recurring Schedule'!$F$36),'Recurring Schedule'!$O$36)=0),IF('Recurring Schedule'!$E$36="Weekdays",WEEKDAY($A360,2)&lt;=5,$A360='Recurring Schedule'!$F$36))),31,""))))</f>
        <v/>
      </c>
      <c r="AG360">
        <f>IF('Recurring Schedule'!$C$37="","",IF('Recurring Schedule'!$F$37="","",IF(OR($A360&lt;'Recurring Schedule'!$F$37,$A360&gt;'Recurring Schedule'!$P$37),"",IF(IF('Recurring Schedule'!$N$37&gt;0,MOD($A360-'Recurring Schedule'!$F$37,'Recurring Schedule'!$N$37)=0,IF('Recurring Schedule'!$O$37&gt;0,AND(DAY($A360)=MIN(DAY('Recurring Schedule'!$F$37),DAY(EOMONTH($A360,0))),MOD((YEAR($A360)-YEAR('Recurring Schedule'!$F$37))*12+MONTH($A360)-MONTH('Recurring Schedule'!$F$37),'Recurring Schedule'!$O$37)=0),IF('Recurring Schedule'!$E$37="Weekdays",WEEKDAY($A360,2)&lt;=5,$A360='Recurring Schedule'!$F$37))),32,""))))</f>
        <v/>
      </c>
      <c r="AH360">
        <f>IF('Recurring Schedule'!$C$38="","",IF('Recurring Schedule'!$F$38="","",IF(OR($A360&lt;'Recurring Schedule'!$F$38,$A360&gt;'Recurring Schedule'!$P$38),"",IF(IF('Recurring Schedule'!$N$38&gt;0,MOD($A360-'Recurring Schedule'!$F$38,'Recurring Schedule'!$N$38)=0,IF('Recurring Schedule'!$O$38&gt;0,AND(DAY($A360)=MIN(DAY('Recurring Schedule'!$F$38),DAY(EOMONTH($A360,0))),MOD((YEAR($A360)-YEAR('Recurring Schedule'!$F$38))*12+MONTH($A360)-MONTH('Recurring Schedule'!$F$38),'Recurring Schedule'!$O$38)=0),IF('Recurring Schedule'!$E$38="Weekdays",WEEKDAY($A360,2)&lt;=5,$A360='Recurring Schedule'!$F$38))),33,""))))</f>
        <v/>
      </c>
      <c r="AI360">
        <f>IF('Recurring Schedule'!$C$39="","",IF('Recurring Schedule'!$F$39="","",IF(OR($A360&lt;'Recurring Schedule'!$F$39,$A360&gt;'Recurring Schedule'!$P$39),"",IF(IF('Recurring Schedule'!$N$39&gt;0,MOD($A360-'Recurring Schedule'!$F$39,'Recurring Schedule'!$N$39)=0,IF('Recurring Schedule'!$O$39&gt;0,AND(DAY($A360)=MIN(DAY('Recurring Schedule'!$F$39),DAY(EOMONTH($A360,0))),MOD((YEAR($A360)-YEAR('Recurring Schedule'!$F$39))*12+MONTH($A360)-MONTH('Recurring Schedule'!$F$39),'Recurring Schedule'!$O$39)=0),IF('Recurring Schedule'!$E$39="Weekdays",WEEKDAY($A360,2)&lt;=5,$A360='Recurring Schedule'!$F$39))),34,""))))</f>
        <v/>
      </c>
      <c r="AJ360">
        <f>IF('Recurring Schedule'!$C$40="","",IF('Recurring Schedule'!$F$40="","",IF(OR($A360&lt;'Recurring Schedule'!$F$40,$A360&gt;'Recurring Schedule'!$P$40),"",IF(IF('Recurring Schedule'!$N$40&gt;0,MOD($A360-'Recurring Schedule'!$F$40,'Recurring Schedule'!$N$40)=0,IF('Recurring Schedule'!$O$40&gt;0,AND(DAY($A360)=MIN(DAY('Recurring Schedule'!$F$40),DAY(EOMONTH($A360,0))),MOD((YEAR($A360)-YEAR('Recurring Schedule'!$F$40))*12+MONTH($A360)-MONTH('Recurring Schedule'!$F$40),'Recurring Schedule'!$O$40)=0),IF('Recurring Schedule'!$E$40="Weekdays",WEEKDAY($A360,2)&lt;=5,$A360='Recurring Schedule'!$F$40))),35,""))))</f>
        <v/>
      </c>
      <c r="AK360">
        <f>IF('Recurring Schedule'!$C$41="","",IF('Recurring Schedule'!$F$41="","",IF(OR($A360&lt;'Recurring Schedule'!$F$41,$A360&gt;'Recurring Schedule'!$P$41),"",IF(IF('Recurring Schedule'!$N$41&gt;0,MOD($A360-'Recurring Schedule'!$F$41,'Recurring Schedule'!$N$41)=0,IF('Recurring Schedule'!$O$41&gt;0,AND(DAY($A360)=MIN(DAY('Recurring Schedule'!$F$41),DAY(EOMONTH($A360,0))),MOD((YEAR($A360)-YEAR('Recurring Schedule'!$F$41))*12+MONTH($A360)-MONTH('Recurring Schedule'!$F$41),'Recurring Schedule'!$O$41)=0),IF('Recurring Schedule'!$E$41="Weekdays",WEEKDAY($A360,2)&lt;=5,$A360='Recurring Schedule'!$F$41))),36,""))))</f>
        <v/>
      </c>
      <c r="AL360">
        <f>IF('Recurring Schedule'!$C$42="","",IF('Recurring Schedule'!$F$42="","",IF(OR($A360&lt;'Recurring Schedule'!$F$42,$A360&gt;'Recurring Schedule'!$P$42),"",IF(IF('Recurring Schedule'!$N$42&gt;0,MOD($A360-'Recurring Schedule'!$F$42,'Recurring Schedule'!$N$42)=0,IF('Recurring Schedule'!$O$42&gt;0,AND(DAY($A360)=MIN(DAY('Recurring Schedule'!$F$42),DAY(EOMONTH($A360,0))),MOD((YEAR($A360)-YEAR('Recurring Schedule'!$F$42))*12+MONTH($A360)-MONTH('Recurring Schedule'!$F$42),'Recurring Schedule'!$O$42)=0),IF('Recurring Schedule'!$E$42="Weekdays",WEEKDAY($A360,2)&lt;=5,$A360='Recurring Schedule'!$F$42))),37,""))))</f>
        <v/>
      </c>
      <c r="AM360">
        <f>IF('Recurring Schedule'!$C$43="","",IF('Recurring Schedule'!$F$43="","",IF(OR($A360&lt;'Recurring Schedule'!$F$43,$A360&gt;'Recurring Schedule'!$P$43),"",IF(IF('Recurring Schedule'!$N$43&gt;0,MOD($A360-'Recurring Schedule'!$F$43,'Recurring Schedule'!$N$43)=0,IF('Recurring Schedule'!$O$43&gt;0,AND(DAY($A360)=MIN(DAY('Recurring Schedule'!$F$43),DAY(EOMONTH($A360,0))),MOD((YEAR($A360)-YEAR('Recurring Schedule'!$F$43))*12+MONTH($A360)-MONTH('Recurring Schedule'!$F$43),'Recurring Schedule'!$O$43)=0),IF('Recurring Schedule'!$E$43="Weekdays",WEEKDAY($A360,2)&lt;=5,$A360='Recurring Schedule'!$F$43))),38,""))))</f>
        <v/>
      </c>
      <c r="AN360">
        <f>IF('Recurring Schedule'!$C$44="","",IF('Recurring Schedule'!$F$44="","",IF(OR($A360&lt;'Recurring Schedule'!$F$44,$A360&gt;'Recurring Schedule'!$P$44),"",IF(IF('Recurring Schedule'!$N$44&gt;0,MOD($A360-'Recurring Schedule'!$F$44,'Recurring Schedule'!$N$44)=0,IF('Recurring Schedule'!$O$44&gt;0,AND(DAY($A360)=MIN(DAY('Recurring Schedule'!$F$44),DAY(EOMONTH($A360,0))),MOD((YEAR($A360)-YEAR('Recurring Schedule'!$F$44))*12+MONTH($A360)-MONTH('Recurring Schedule'!$F$44),'Recurring Schedule'!$O$44)=0),IF('Recurring Schedule'!$E$44="Weekdays",WEEKDAY($A360,2)&lt;=5,$A360='Recurring Schedule'!$F$44))),39,""))))</f>
        <v/>
      </c>
      <c r="AO360">
        <f>IF('Recurring Schedule'!$C$45="","",IF('Recurring Schedule'!$F$45="","",IF(OR($A360&lt;'Recurring Schedule'!$F$45,$A360&gt;'Recurring Schedule'!$P$45),"",IF(IF('Recurring Schedule'!$N$45&gt;0,MOD($A360-'Recurring Schedule'!$F$45,'Recurring Schedule'!$N$45)=0,IF('Recurring Schedule'!$O$45&gt;0,AND(DAY($A360)=MIN(DAY('Recurring Schedule'!$F$45),DAY(EOMONTH($A360,0))),MOD((YEAR($A360)-YEAR('Recurring Schedule'!$F$45))*12+MONTH($A360)-MONTH('Recurring Schedule'!$F$45),'Recurring Schedule'!$O$45)=0),IF('Recurring Schedule'!$E$45="Weekdays",WEEKDAY($A360,2)&lt;=5,$A360='Recurring Schedule'!$F$45))),40,""))))</f>
        <v/>
      </c>
      <c r="AP360">
        <f>COUNT(B360:AO360)</f>
        <v/>
      </c>
      <c r="AQ360">
        <f>AQ359+AP359</f>
        <v/>
      </c>
      <c r="AS360" t="inlineStr">
        <is>
          <t>R</t>
        </is>
      </c>
      <c r="AT360" t="n">
        <v>364</v>
      </c>
      <c r="AU360">
        <f>'Recurring Log'!C364&amp;""</f>
        <v/>
      </c>
      <c r="AV360">
        <f>'Recurring Log'!D364&amp;""</f>
        <v/>
      </c>
      <c r="AW360">
        <f>IF('Recurring Log'!E364="","",'Recurring Log'!E364)</f>
        <v/>
      </c>
      <c r="AX360">
        <f>IF('Recurring Log'!G364="","",'Recurring Log'!G364)</f>
        <v/>
      </c>
      <c r="AY360">
        <f>IF('Recurring Log'!H364="","",'Recurring Log'!H364)</f>
        <v/>
      </c>
      <c r="AZ360">
        <f>IF(AU360="","",IF('Recurring Log'!J364="","Not Started",'Recurring Log'!J364))</f>
        <v/>
      </c>
      <c r="BA360">
        <f>'Recurring Log'!L364&amp;""</f>
        <v/>
      </c>
      <c r="BB360">
        <f>'Recurring Log'!M364&amp;""</f>
        <v/>
      </c>
      <c r="BC360">
        <f>'Recurring Log'!N364&amp;""</f>
        <v/>
      </c>
      <c r="BD360">
        <f>'Recurring Log'!O364&amp;""</f>
        <v/>
      </c>
      <c r="BE360">
        <f>IF('Recurring Log'!K364="","",'Recurring Log'!K364)</f>
        <v/>
      </c>
      <c r="BF360">
        <f>IFERROR(MATCH(BA360,Setup!$L$6:$L$9,0),5)</f>
        <v/>
      </c>
      <c r="BG360">
        <f>IF(OR(AZ360="Done",AZ360="Cancelled"),1,0)</f>
        <v/>
      </c>
      <c r="BH360">
        <f>IF(AND(AU360&lt;&gt;"",ISNUMBER(AW360)),1,0)</f>
        <v/>
      </c>
      <c r="BI360">
        <f>IF(BH360=0,0,IF(AND(AW360&gt;='Tasks Filter'!$F$3,AW360&lt;='Tasks Filter'!$F$4,OR('Tasks Filter'!$I$3="",ISNUMBER(SEARCH('Tasks Filter'!$I$3,AU360))),OR('Tasks Filter'!$I$4="",BF360=IFERROR(MATCH('Tasks Filter'!$I$4,Setup!$L$6:$L$9,0),0)),OR('Tasks Filter'!$I$5="Both",AND('Tasks Filter'!$I$5="Yes",BB360="✓"),AND('Tasks Filter'!$I$5="No",BB360&lt;&gt;"✓")),OR('Tasks Filter'!$L$3="",AV360='Tasks Filter'!$L$3),OR('Tasks Filter'!$L$4="",AZ360='Tasks Filter'!$L$4),OR('Tasks Filter'!$L$5="",BC360='Tasks Filter'!$L$5),OR('Tasks Filter'!$O$3="",BD360='Tasks Filter'!$O$3),OR('Tasks Filter'!$O$4="Yes",BG360=0)),1,0))</f>
        <v/>
      </c>
      <c r="BJ360">
        <f>IF(BH360=0,"",IF('Tasks Filter'!$F$6="Descending",-1,1)*CHOOSE(MATCH('Tasks Filter'!$F$5,Lists!$G$2:$G$6,0),AW360,BF360,IFERROR(MATCH(AV360,Setup!$F$6:$F$15,0),99),IFERROR(MATCH(BC360,Setup!$H$6:$H$15,0),99),IFERROR(MATCH(AZ360,Setup!$J$6:$J$11,0),99))*1E+9+(AW360-40000)*10000+359)</f>
        <v/>
      </c>
      <c r="BK360">
        <f>IF(BI360=1,BJ360,"")</f>
        <v/>
      </c>
      <c r="BL360">
        <f>IF(AND(BH360=1,BG360=0,N(AW360)&lt;Setup!$D$7),(AW360-40000)*10000+359,"")</f>
        <v/>
      </c>
      <c r="BM360">
        <f>IF(AND(BH360=1,AZ360&lt;&gt;"Cancelled",N(AW360)&gt;=Dashboard!$AB$3,N(AW360)&lt;=Dashboard!$AB$3+6),(AW360-40000)*100000+BF360*10000+359,"")</f>
        <v/>
      </c>
      <c r="BN360">
        <f>IF(AND(BH360=1,AZ360&lt;&gt;"Cancelled"),BF360*10000+359,"")</f>
        <v/>
      </c>
    </row>
    <row r="361">
      <c r="A361">
        <f>Setup!$D$5+359</f>
        <v/>
      </c>
      <c r="B361">
        <f>IF('Recurring Schedule'!$C$6="","",IF('Recurring Schedule'!$F$6="","",IF(OR($A361&lt;'Recurring Schedule'!$F$6,$A361&gt;'Recurring Schedule'!$P$6),"",IF(IF('Recurring Schedule'!$N$6&gt;0,MOD($A361-'Recurring Schedule'!$F$6,'Recurring Schedule'!$N$6)=0,IF('Recurring Schedule'!$O$6&gt;0,AND(DAY($A361)=MIN(DAY('Recurring Schedule'!$F$6),DAY(EOMONTH($A361,0))),MOD((YEAR($A361)-YEAR('Recurring Schedule'!$F$6))*12+MONTH($A361)-MONTH('Recurring Schedule'!$F$6),'Recurring Schedule'!$O$6)=0),IF('Recurring Schedule'!$E$6="Weekdays",WEEKDAY($A361,2)&lt;=5,$A361='Recurring Schedule'!$F$6))),1,""))))</f>
        <v/>
      </c>
      <c r="C361">
        <f>IF('Recurring Schedule'!$C$7="","",IF('Recurring Schedule'!$F$7="","",IF(OR($A361&lt;'Recurring Schedule'!$F$7,$A361&gt;'Recurring Schedule'!$P$7),"",IF(IF('Recurring Schedule'!$N$7&gt;0,MOD($A361-'Recurring Schedule'!$F$7,'Recurring Schedule'!$N$7)=0,IF('Recurring Schedule'!$O$7&gt;0,AND(DAY($A361)=MIN(DAY('Recurring Schedule'!$F$7),DAY(EOMONTH($A361,0))),MOD((YEAR($A361)-YEAR('Recurring Schedule'!$F$7))*12+MONTH($A361)-MONTH('Recurring Schedule'!$F$7),'Recurring Schedule'!$O$7)=0),IF('Recurring Schedule'!$E$7="Weekdays",WEEKDAY($A361,2)&lt;=5,$A361='Recurring Schedule'!$F$7))),2,""))))</f>
        <v/>
      </c>
      <c r="D361">
        <f>IF('Recurring Schedule'!$C$8="","",IF('Recurring Schedule'!$F$8="","",IF(OR($A361&lt;'Recurring Schedule'!$F$8,$A361&gt;'Recurring Schedule'!$P$8),"",IF(IF('Recurring Schedule'!$N$8&gt;0,MOD($A361-'Recurring Schedule'!$F$8,'Recurring Schedule'!$N$8)=0,IF('Recurring Schedule'!$O$8&gt;0,AND(DAY($A361)=MIN(DAY('Recurring Schedule'!$F$8),DAY(EOMONTH($A361,0))),MOD((YEAR($A361)-YEAR('Recurring Schedule'!$F$8))*12+MONTH($A361)-MONTH('Recurring Schedule'!$F$8),'Recurring Schedule'!$O$8)=0),IF('Recurring Schedule'!$E$8="Weekdays",WEEKDAY($A361,2)&lt;=5,$A361='Recurring Schedule'!$F$8))),3,""))))</f>
        <v/>
      </c>
      <c r="E361">
        <f>IF('Recurring Schedule'!$C$9="","",IF('Recurring Schedule'!$F$9="","",IF(OR($A361&lt;'Recurring Schedule'!$F$9,$A361&gt;'Recurring Schedule'!$P$9),"",IF(IF('Recurring Schedule'!$N$9&gt;0,MOD($A361-'Recurring Schedule'!$F$9,'Recurring Schedule'!$N$9)=0,IF('Recurring Schedule'!$O$9&gt;0,AND(DAY($A361)=MIN(DAY('Recurring Schedule'!$F$9),DAY(EOMONTH($A361,0))),MOD((YEAR($A361)-YEAR('Recurring Schedule'!$F$9))*12+MONTH($A361)-MONTH('Recurring Schedule'!$F$9),'Recurring Schedule'!$O$9)=0),IF('Recurring Schedule'!$E$9="Weekdays",WEEKDAY($A361,2)&lt;=5,$A361='Recurring Schedule'!$F$9))),4,""))))</f>
        <v/>
      </c>
      <c r="F361">
        <f>IF('Recurring Schedule'!$C$10="","",IF('Recurring Schedule'!$F$10="","",IF(OR($A361&lt;'Recurring Schedule'!$F$10,$A361&gt;'Recurring Schedule'!$P$10),"",IF(IF('Recurring Schedule'!$N$10&gt;0,MOD($A361-'Recurring Schedule'!$F$10,'Recurring Schedule'!$N$10)=0,IF('Recurring Schedule'!$O$10&gt;0,AND(DAY($A361)=MIN(DAY('Recurring Schedule'!$F$10),DAY(EOMONTH($A361,0))),MOD((YEAR($A361)-YEAR('Recurring Schedule'!$F$10))*12+MONTH($A361)-MONTH('Recurring Schedule'!$F$10),'Recurring Schedule'!$O$10)=0),IF('Recurring Schedule'!$E$10="Weekdays",WEEKDAY($A361,2)&lt;=5,$A361='Recurring Schedule'!$F$10))),5,""))))</f>
        <v/>
      </c>
      <c r="G361">
        <f>IF('Recurring Schedule'!$C$11="","",IF('Recurring Schedule'!$F$11="","",IF(OR($A361&lt;'Recurring Schedule'!$F$11,$A361&gt;'Recurring Schedule'!$P$11),"",IF(IF('Recurring Schedule'!$N$11&gt;0,MOD($A361-'Recurring Schedule'!$F$11,'Recurring Schedule'!$N$11)=0,IF('Recurring Schedule'!$O$11&gt;0,AND(DAY($A361)=MIN(DAY('Recurring Schedule'!$F$11),DAY(EOMONTH($A361,0))),MOD((YEAR($A361)-YEAR('Recurring Schedule'!$F$11))*12+MONTH($A361)-MONTH('Recurring Schedule'!$F$11),'Recurring Schedule'!$O$11)=0),IF('Recurring Schedule'!$E$11="Weekdays",WEEKDAY($A361,2)&lt;=5,$A361='Recurring Schedule'!$F$11))),6,""))))</f>
        <v/>
      </c>
      <c r="H361">
        <f>IF('Recurring Schedule'!$C$12="","",IF('Recurring Schedule'!$F$12="","",IF(OR($A361&lt;'Recurring Schedule'!$F$12,$A361&gt;'Recurring Schedule'!$P$12),"",IF(IF('Recurring Schedule'!$N$12&gt;0,MOD($A361-'Recurring Schedule'!$F$12,'Recurring Schedule'!$N$12)=0,IF('Recurring Schedule'!$O$12&gt;0,AND(DAY($A361)=MIN(DAY('Recurring Schedule'!$F$12),DAY(EOMONTH($A361,0))),MOD((YEAR($A361)-YEAR('Recurring Schedule'!$F$12))*12+MONTH($A361)-MONTH('Recurring Schedule'!$F$12),'Recurring Schedule'!$O$12)=0),IF('Recurring Schedule'!$E$12="Weekdays",WEEKDAY($A361,2)&lt;=5,$A361='Recurring Schedule'!$F$12))),7,""))))</f>
        <v/>
      </c>
      <c r="I361">
        <f>IF('Recurring Schedule'!$C$13="","",IF('Recurring Schedule'!$F$13="","",IF(OR($A361&lt;'Recurring Schedule'!$F$13,$A361&gt;'Recurring Schedule'!$P$13),"",IF(IF('Recurring Schedule'!$N$13&gt;0,MOD($A361-'Recurring Schedule'!$F$13,'Recurring Schedule'!$N$13)=0,IF('Recurring Schedule'!$O$13&gt;0,AND(DAY($A361)=MIN(DAY('Recurring Schedule'!$F$13),DAY(EOMONTH($A361,0))),MOD((YEAR($A361)-YEAR('Recurring Schedule'!$F$13))*12+MONTH($A361)-MONTH('Recurring Schedule'!$F$13),'Recurring Schedule'!$O$13)=0),IF('Recurring Schedule'!$E$13="Weekdays",WEEKDAY($A361,2)&lt;=5,$A361='Recurring Schedule'!$F$13))),8,""))))</f>
        <v/>
      </c>
      <c r="J361">
        <f>IF('Recurring Schedule'!$C$14="","",IF('Recurring Schedule'!$F$14="","",IF(OR($A361&lt;'Recurring Schedule'!$F$14,$A361&gt;'Recurring Schedule'!$P$14),"",IF(IF('Recurring Schedule'!$N$14&gt;0,MOD($A361-'Recurring Schedule'!$F$14,'Recurring Schedule'!$N$14)=0,IF('Recurring Schedule'!$O$14&gt;0,AND(DAY($A361)=MIN(DAY('Recurring Schedule'!$F$14),DAY(EOMONTH($A361,0))),MOD((YEAR($A361)-YEAR('Recurring Schedule'!$F$14))*12+MONTH($A361)-MONTH('Recurring Schedule'!$F$14),'Recurring Schedule'!$O$14)=0),IF('Recurring Schedule'!$E$14="Weekdays",WEEKDAY($A361,2)&lt;=5,$A361='Recurring Schedule'!$F$14))),9,""))))</f>
        <v/>
      </c>
      <c r="K361">
        <f>IF('Recurring Schedule'!$C$15="","",IF('Recurring Schedule'!$F$15="","",IF(OR($A361&lt;'Recurring Schedule'!$F$15,$A361&gt;'Recurring Schedule'!$P$15),"",IF(IF('Recurring Schedule'!$N$15&gt;0,MOD($A361-'Recurring Schedule'!$F$15,'Recurring Schedule'!$N$15)=0,IF('Recurring Schedule'!$O$15&gt;0,AND(DAY($A361)=MIN(DAY('Recurring Schedule'!$F$15),DAY(EOMONTH($A361,0))),MOD((YEAR($A361)-YEAR('Recurring Schedule'!$F$15))*12+MONTH($A361)-MONTH('Recurring Schedule'!$F$15),'Recurring Schedule'!$O$15)=0),IF('Recurring Schedule'!$E$15="Weekdays",WEEKDAY($A361,2)&lt;=5,$A361='Recurring Schedule'!$F$15))),10,""))))</f>
        <v/>
      </c>
      <c r="L361">
        <f>IF('Recurring Schedule'!$C$16="","",IF('Recurring Schedule'!$F$16="","",IF(OR($A361&lt;'Recurring Schedule'!$F$16,$A361&gt;'Recurring Schedule'!$P$16),"",IF(IF('Recurring Schedule'!$N$16&gt;0,MOD($A361-'Recurring Schedule'!$F$16,'Recurring Schedule'!$N$16)=0,IF('Recurring Schedule'!$O$16&gt;0,AND(DAY($A361)=MIN(DAY('Recurring Schedule'!$F$16),DAY(EOMONTH($A361,0))),MOD((YEAR($A361)-YEAR('Recurring Schedule'!$F$16))*12+MONTH($A361)-MONTH('Recurring Schedule'!$F$16),'Recurring Schedule'!$O$16)=0),IF('Recurring Schedule'!$E$16="Weekdays",WEEKDAY($A361,2)&lt;=5,$A361='Recurring Schedule'!$F$16))),11,""))))</f>
        <v/>
      </c>
      <c r="M361">
        <f>IF('Recurring Schedule'!$C$17="","",IF('Recurring Schedule'!$F$17="","",IF(OR($A361&lt;'Recurring Schedule'!$F$17,$A361&gt;'Recurring Schedule'!$P$17),"",IF(IF('Recurring Schedule'!$N$17&gt;0,MOD($A361-'Recurring Schedule'!$F$17,'Recurring Schedule'!$N$17)=0,IF('Recurring Schedule'!$O$17&gt;0,AND(DAY($A361)=MIN(DAY('Recurring Schedule'!$F$17),DAY(EOMONTH($A361,0))),MOD((YEAR($A361)-YEAR('Recurring Schedule'!$F$17))*12+MONTH($A361)-MONTH('Recurring Schedule'!$F$17),'Recurring Schedule'!$O$17)=0),IF('Recurring Schedule'!$E$17="Weekdays",WEEKDAY($A361,2)&lt;=5,$A361='Recurring Schedule'!$F$17))),12,""))))</f>
        <v/>
      </c>
      <c r="N361">
        <f>IF('Recurring Schedule'!$C$18="","",IF('Recurring Schedule'!$F$18="","",IF(OR($A361&lt;'Recurring Schedule'!$F$18,$A361&gt;'Recurring Schedule'!$P$18),"",IF(IF('Recurring Schedule'!$N$18&gt;0,MOD($A361-'Recurring Schedule'!$F$18,'Recurring Schedule'!$N$18)=0,IF('Recurring Schedule'!$O$18&gt;0,AND(DAY($A361)=MIN(DAY('Recurring Schedule'!$F$18),DAY(EOMONTH($A361,0))),MOD((YEAR($A361)-YEAR('Recurring Schedule'!$F$18))*12+MONTH($A361)-MONTH('Recurring Schedule'!$F$18),'Recurring Schedule'!$O$18)=0),IF('Recurring Schedule'!$E$18="Weekdays",WEEKDAY($A361,2)&lt;=5,$A361='Recurring Schedule'!$F$18))),13,""))))</f>
        <v/>
      </c>
      <c r="O361">
        <f>IF('Recurring Schedule'!$C$19="","",IF('Recurring Schedule'!$F$19="","",IF(OR($A361&lt;'Recurring Schedule'!$F$19,$A361&gt;'Recurring Schedule'!$P$19),"",IF(IF('Recurring Schedule'!$N$19&gt;0,MOD($A361-'Recurring Schedule'!$F$19,'Recurring Schedule'!$N$19)=0,IF('Recurring Schedule'!$O$19&gt;0,AND(DAY($A361)=MIN(DAY('Recurring Schedule'!$F$19),DAY(EOMONTH($A361,0))),MOD((YEAR($A361)-YEAR('Recurring Schedule'!$F$19))*12+MONTH($A361)-MONTH('Recurring Schedule'!$F$19),'Recurring Schedule'!$O$19)=0),IF('Recurring Schedule'!$E$19="Weekdays",WEEKDAY($A361,2)&lt;=5,$A361='Recurring Schedule'!$F$19))),14,""))))</f>
        <v/>
      </c>
      <c r="P361">
        <f>IF('Recurring Schedule'!$C$20="","",IF('Recurring Schedule'!$F$20="","",IF(OR($A361&lt;'Recurring Schedule'!$F$20,$A361&gt;'Recurring Schedule'!$P$20),"",IF(IF('Recurring Schedule'!$N$20&gt;0,MOD($A361-'Recurring Schedule'!$F$20,'Recurring Schedule'!$N$20)=0,IF('Recurring Schedule'!$O$20&gt;0,AND(DAY($A361)=MIN(DAY('Recurring Schedule'!$F$20),DAY(EOMONTH($A361,0))),MOD((YEAR($A361)-YEAR('Recurring Schedule'!$F$20))*12+MONTH($A361)-MONTH('Recurring Schedule'!$F$20),'Recurring Schedule'!$O$20)=0),IF('Recurring Schedule'!$E$20="Weekdays",WEEKDAY($A361,2)&lt;=5,$A361='Recurring Schedule'!$F$20))),15,""))))</f>
        <v/>
      </c>
      <c r="Q361">
        <f>IF('Recurring Schedule'!$C$21="","",IF('Recurring Schedule'!$F$21="","",IF(OR($A361&lt;'Recurring Schedule'!$F$21,$A361&gt;'Recurring Schedule'!$P$21),"",IF(IF('Recurring Schedule'!$N$21&gt;0,MOD($A361-'Recurring Schedule'!$F$21,'Recurring Schedule'!$N$21)=0,IF('Recurring Schedule'!$O$21&gt;0,AND(DAY($A361)=MIN(DAY('Recurring Schedule'!$F$21),DAY(EOMONTH($A361,0))),MOD((YEAR($A361)-YEAR('Recurring Schedule'!$F$21))*12+MONTH($A361)-MONTH('Recurring Schedule'!$F$21),'Recurring Schedule'!$O$21)=0),IF('Recurring Schedule'!$E$21="Weekdays",WEEKDAY($A361,2)&lt;=5,$A361='Recurring Schedule'!$F$21))),16,""))))</f>
        <v/>
      </c>
      <c r="R361">
        <f>IF('Recurring Schedule'!$C$22="","",IF('Recurring Schedule'!$F$22="","",IF(OR($A361&lt;'Recurring Schedule'!$F$22,$A361&gt;'Recurring Schedule'!$P$22),"",IF(IF('Recurring Schedule'!$N$22&gt;0,MOD($A361-'Recurring Schedule'!$F$22,'Recurring Schedule'!$N$22)=0,IF('Recurring Schedule'!$O$22&gt;0,AND(DAY($A361)=MIN(DAY('Recurring Schedule'!$F$22),DAY(EOMONTH($A361,0))),MOD((YEAR($A361)-YEAR('Recurring Schedule'!$F$22))*12+MONTH($A361)-MONTH('Recurring Schedule'!$F$22),'Recurring Schedule'!$O$22)=0),IF('Recurring Schedule'!$E$22="Weekdays",WEEKDAY($A361,2)&lt;=5,$A361='Recurring Schedule'!$F$22))),17,""))))</f>
        <v/>
      </c>
      <c r="S361">
        <f>IF('Recurring Schedule'!$C$23="","",IF('Recurring Schedule'!$F$23="","",IF(OR($A361&lt;'Recurring Schedule'!$F$23,$A361&gt;'Recurring Schedule'!$P$23),"",IF(IF('Recurring Schedule'!$N$23&gt;0,MOD($A361-'Recurring Schedule'!$F$23,'Recurring Schedule'!$N$23)=0,IF('Recurring Schedule'!$O$23&gt;0,AND(DAY($A361)=MIN(DAY('Recurring Schedule'!$F$23),DAY(EOMONTH($A361,0))),MOD((YEAR($A361)-YEAR('Recurring Schedule'!$F$23))*12+MONTH($A361)-MONTH('Recurring Schedule'!$F$23),'Recurring Schedule'!$O$23)=0),IF('Recurring Schedule'!$E$23="Weekdays",WEEKDAY($A361,2)&lt;=5,$A361='Recurring Schedule'!$F$23))),18,""))))</f>
        <v/>
      </c>
      <c r="T361">
        <f>IF('Recurring Schedule'!$C$24="","",IF('Recurring Schedule'!$F$24="","",IF(OR($A361&lt;'Recurring Schedule'!$F$24,$A361&gt;'Recurring Schedule'!$P$24),"",IF(IF('Recurring Schedule'!$N$24&gt;0,MOD($A361-'Recurring Schedule'!$F$24,'Recurring Schedule'!$N$24)=0,IF('Recurring Schedule'!$O$24&gt;0,AND(DAY($A361)=MIN(DAY('Recurring Schedule'!$F$24),DAY(EOMONTH($A361,0))),MOD((YEAR($A361)-YEAR('Recurring Schedule'!$F$24))*12+MONTH($A361)-MONTH('Recurring Schedule'!$F$24),'Recurring Schedule'!$O$24)=0),IF('Recurring Schedule'!$E$24="Weekdays",WEEKDAY($A361,2)&lt;=5,$A361='Recurring Schedule'!$F$24))),19,""))))</f>
        <v/>
      </c>
      <c r="U361">
        <f>IF('Recurring Schedule'!$C$25="","",IF('Recurring Schedule'!$F$25="","",IF(OR($A361&lt;'Recurring Schedule'!$F$25,$A361&gt;'Recurring Schedule'!$P$25),"",IF(IF('Recurring Schedule'!$N$25&gt;0,MOD($A361-'Recurring Schedule'!$F$25,'Recurring Schedule'!$N$25)=0,IF('Recurring Schedule'!$O$25&gt;0,AND(DAY($A361)=MIN(DAY('Recurring Schedule'!$F$25),DAY(EOMONTH($A361,0))),MOD((YEAR($A361)-YEAR('Recurring Schedule'!$F$25))*12+MONTH($A361)-MONTH('Recurring Schedule'!$F$25),'Recurring Schedule'!$O$25)=0),IF('Recurring Schedule'!$E$25="Weekdays",WEEKDAY($A361,2)&lt;=5,$A361='Recurring Schedule'!$F$25))),20,""))))</f>
        <v/>
      </c>
      <c r="V361">
        <f>IF('Recurring Schedule'!$C$26="","",IF('Recurring Schedule'!$F$26="","",IF(OR($A361&lt;'Recurring Schedule'!$F$26,$A361&gt;'Recurring Schedule'!$P$26),"",IF(IF('Recurring Schedule'!$N$26&gt;0,MOD($A361-'Recurring Schedule'!$F$26,'Recurring Schedule'!$N$26)=0,IF('Recurring Schedule'!$O$26&gt;0,AND(DAY($A361)=MIN(DAY('Recurring Schedule'!$F$26),DAY(EOMONTH($A361,0))),MOD((YEAR($A361)-YEAR('Recurring Schedule'!$F$26))*12+MONTH($A361)-MONTH('Recurring Schedule'!$F$26),'Recurring Schedule'!$O$26)=0),IF('Recurring Schedule'!$E$26="Weekdays",WEEKDAY($A361,2)&lt;=5,$A361='Recurring Schedule'!$F$26))),21,""))))</f>
        <v/>
      </c>
      <c r="W361">
        <f>IF('Recurring Schedule'!$C$27="","",IF('Recurring Schedule'!$F$27="","",IF(OR($A361&lt;'Recurring Schedule'!$F$27,$A361&gt;'Recurring Schedule'!$P$27),"",IF(IF('Recurring Schedule'!$N$27&gt;0,MOD($A361-'Recurring Schedule'!$F$27,'Recurring Schedule'!$N$27)=0,IF('Recurring Schedule'!$O$27&gt;0,AND(DAY($A361)=MIN(DAY('Recurring Schedule'!$F$27),DAY(EOMONTH($A361,0))),MOD((YEAR($A361)-YEAR('Recurring Schedule'!$F$27))*12+MONTH($A361)-MONTH('Recurring Schedule'!$F$27),'Recurring Schedule'!$O$27)=0),IF('Recurring Schedule'!$E$27="Weekdays",WEEKDAY($A361,2)&lt;=5,$A361='Recurring Schedule'!$F$27))),22,""))))</f>
        <v/>
      </c>
      <c r="X361">
        <f>IF('Recurring Schedule'!$C$28="","",IF('Recurring Schedule'!$F$28="","",IF(OR($A361&lt;'Recurring Schedule'!$F$28,$A361&gt;'Recurring Schedule'!$P$28),"",IF(IF('Recurring Schedule'!$N$28&gt;0,MOD($A361-'Recurring Schedule'!$F$28,'Recurring Schedule'!$N$28)=0,IF('Recurring Schedule'!$O$28&gt;0,AND(DAY($A361)=MIN(DAY('Recurring Schedule'!$F$28),DAY(EOMONTH($A361,0))),MOD((YEAR($A361)-YEAR('Recurring Schedule'!$F$28))*12+MONTH($A361)-MONTH('Recurring Schedule'!$F$28),'Recurring Schedule'!$O$28)=0),IF('Recurring Schedule'!$E$28="Weekdays",WEEKDAY($A361,2)&lt;=5,$A361='Recurring Schedule'!$F$28))),23,""))))</f>
        <v/>
      </c>
      <c r="Y361">
        <f>IF('Recurring Schedule'!$C$29="","",IF('Recurring Schedule'!$F$29="","",IF(OR($A361&lt;'Recurring Schedule'!$F$29,$A361&gt;'Recurring Schedule'!$P$29),"",IF(IF('Recurring Schedule'!$N$29&gt;0,MOD($A361-'Recurring Schedule'!$F$29,'Recurring Schedule'!$N$29)=0,IF('Recurring Schedule'!$O$29&gt;0,AND(DAY($A361)=MIN(DAY('Recurring Schedule'!$F$29),DAY(EOMONTH($A361,0))),MOD((YEAR($A361)-YEAR('Recurring Schedule'!$F$29))*12+MONTH($A361)-MONTH('Recurring Schedule'!$F$29),'Recurring Schedule'!$O$29)=0),IF('Recurring Schedule'!$E$29="Weekdays",WEEKDAY($A361,2)&lt;=5,$A361='Recurring Schedule'!$F$29))),24,""))))</f>
        <v/>
      </c>
      <c r="Z361">
        <f>IF('Recurring Schedule'!$C$30="","",IF('Recurring Schedule'!$F$30="","",IF(OR($A361&lt;'Recurring Schedule'!$F$30,$A361&gt;'Recurring Schedule'!$P$30),"",IF(IF('Recurring Schedule'!$N$30&gt;0,MOD($A361-'Recurring Schedule'!$F$30,'Recurring Schedule'!$N$30)=0,IF('Recurring Schedule'!$O$30&gt;0,AND(DAY($A361)=MIN(DAY('Recurring Schedule'!$F$30),DAY(EOMONTH($A361,0))),MOD((YEAR($A361)-YEAR('Recurring Schedule'!$F$30))*12+MONTH($A361)-MONTH('Recurring Schedule'!$F$30),'Recurring Schedule'!$O$30)=0),IF('Recurring Schedule'!$E$30="Weekdays",WEEKDAY($A361,2)&lt;=5,$A361='Recurring Schedule'!$F$30))),25,""))))</f>
        <v/>
      </c>
      <c r="AA361">
        <f>IF('Recurring Schedule'!$C$31="","",IF('Recurring Schedule'!$F$31="","",IF(OR($A361&lt;'Recurring Schedule'!$F$31,$A361&gt;'Recurring Schedule'!$P$31),"",IF(IF('Recurring Schedule'!$N$31&gt;0,MOD($A361-'Recurring Schedule'!$F$31,'Recurring Schedule'!$N$31)=0,IF('Recurring Schedule'!$O$31&gt;0,AND(DAY($A361)=MIN(DAY('Recurring Schedule'!$F$31),DAY(EOMONTH($A361,0))),MOD((YEAR($A361)-YEAR('Recurring Schedule'!$F$31))*12+MONTH($A361)-MONTH('Recurring Schedule'!$F$31),'Recurring Schedule'!$O$31)=0),IF('Recurring Schedule'!$E$31="Weekdays",WEEKDAY($A361,2)&lt;=5,$A361='Recurring Schedule'!$F$31))),26,""))))</f>
        <v/>
      </c>
      <c r="AB361">
        <f>IF('Recurring Schedule'!$C$32="","",IF('Recurring Schedule'!$F$32="","",IF(OR($A361&lt;'Recurring Schedule'!$F$32,$A361&gt;'Recurring Schedule'!$P$32),"",IF(IF('Recurring Schedule'!$N$32&gt;0,MOD($A361-'Recurring Schedule'!$F$32,'Recurring Schedule'!$N$32)=0,IF('Recurring Schedule'!$O$32&gt;0,AND(DAY($A361)=MIN(DAY('Recurring Schedule'!$F$32),DAY(EOMONTH($A361,0))),MOD((YEAR($A361)-YEAR('Recurring Schedule'!$F$32))*12+MONTH($A361)-MONTH('Recurring Schedule'!$F$32),'Recurring Schedule'!$O$32)=0),IF('Recurring Schedule'!$E$32="Weekdays",WEEKDAY($A361,2)&lt;=5,$A361='Recurring Schedule'!$F$32))),27,""))))</f>
        <v/>
      </c>
      <c r="AC361">
        <f>IF('Recurring Schedule'!$C$33="","",IF('Recurring Schedule'!$F$33="","",IF(OR($A361&lt;'Recurring Schedule'!$F$33,$A361&gt;'Recurring Schedule'!$P$33),"",IF(IF('Recurring Schedule'!$N$33&gt;0,MOD($A361-'Recurring Schedule'!$F$33,'Recurring Schedule'!$N$33)=0,IF('Recurring Schedule'!$O$33&gt;0,AND(DAY($A361)=MIN(DAY('Recurring Schedule'!$F$33),DAY(EOMONTH($A361,0))),MOD((YEAR($A361)-YEAR('Recurring Schedule'!$F$33))*12+MONTH($A361)-MONTH('Recurring Schedule'!$F$33),'Recurring Schedule'!$O$33)=0),IF('Recurring Schedule'!$E$33="Weekdays",WEEKDAY($A361,2)&lt;=5,$A361='Recurring Schedule'!$F$33))),28,""))))</f>
        <v/>
      </c>
      <c r="AD361">
        <f>IF('Recurring Schedule'!$C$34="","",IF('Recurring Schedule'!$F$34="","",IF(OR($A361&lt;'Recurring Schedule'!$F$34,$A361&gt;'Recurring Schedule'!$P$34),"",IF(IF('Recurring Schedule'!$N$34&gt;0,MOD($A361-'Recurring Schedule'!$F$34,'Recurring Schedule'!$N$34)=0,IF('Recurring Schedule'!$O$34&gt;0,AND(DAY($A361)=MIN(DAY('Recurring Schedule'!$F$34),DAY(EOMONTH($A361,0))),MOD((YEAR($A361)-YEAR('Recurring Schedule'!$F$34))*12+MONTH($A361)-MONTH('Recurring Schedule'!$F$34),'Recurring Schedule'!$O$34)=0),IF('Recurring Schedule'!$E$34="Weekdays",WEEKDAY($A361,2)&lt;=5,$A361='Recurring Schedule'!$F$34))),29,""))))</f>
        <v/>
      </c>
      <c r="AE361">
        <f>IF('Recurring Schedule'!$C$35="","",IF('Recurring Schedule'!$F$35="","",IF(OR($A361&lt;'Recurring Schedule'!$F$35,$A361&gt;'Recurring Schedule'!$P$35),"",IF(IF('Recurring Schedule'!$N$35&gt;0,MOD($A361-'Recurring Schedule'!$F$35,'Recurring Schedule'!$N$35)=0,IF('Recurring Schedule'!$O$35&gt;0,AND(DAY($A361)=MIN(DAY('Recurring Schedule'!$F$35),DAY(EOMONTH($A361,0))),MOD((YEAR($A361)-YEAR('Recurring Schedule'!$F$35))*12+MONTH($A361)-MONTH('Recurring Schedule'!$F$35),'Recurring Schedule'!$O$35)=0),IF('Recurring Schedule'!$E$35="Weekdays",WEEKDAY($A361,2)&lt;=5,$A361='Recurring Schedule'!$F$35))),30,""))))</f>
        <v/>
      </c>
      <c r="AF361">
        <f>IF('Recurring Schedule'!$C$36="","",IF('Recurring Schedule'!$F$36="","",IF(OR($A361&lt;'Recurring Schedule'!$F$36,$A361&gt;'Recurring Schedule'!$P$36),"",IF(IF('Recurring Schedule'!$N$36&gt;0,MOD($A361-'Recurring Schedule'!$F$36,'Recurring Schedule'!$N$36)=0,IF('Recurring Schedule'!$O$36&gt;0,AND(DAY($A361)=MIN(DAY('Recurring Schedule'!$F$36),DAY(EOMONTH($A361,0))),MOD((YEAR($A361)-YEAR('Recurring Schedule'!$F$36))*12+MONTH($A361)-MONTH('Recurring Schedule'!$F$36),'Recurring Schedule'!$O$36)=0),IF('Recurring Schedule'!$E$36="Weekdays",WEEKDAY($A361,2)&lt;=5,$A361='Recurring Schedule'!$F$36))),31,""))))</f>
        <v/>
      </c>
      <c r="AG361">
        <f>IF('Recurring Schedule'!$C$37="","",IF('Recurring Schedule'!$F$37="","",IF(OR($A361&lt;'Recurring Schedule'!$F$37,$A361&gt;'Recurring Schedule'!$P$37),"",IF(IF('Recurring Schedule'!$N$37&gt;0,MOD($A361-'Recurring Schedule'!$F$37,'Recurring Schedule'!$N$37)=0,IF('Recurring Schedule'!$O$37&gt;0,AND(DAY($A361)=MIN(DAY('Recurring Schedule'!$F$37),DAY(EOMONTH($A361,0))),MOD((YEAR($A361)-YEAR('Recurring Schedule'!$F$37))*12+MONTH($A361)-MONTH('Recurring Schedule'!$F$37),'Recurring Schedule'!$O$37)=0),IF('Recurring Schedule'!$E$37="Weekdays",WEEKDAY($A361,2)&lt;=5,$A361='Recurring Schedule'!$F$37))),32,""))))</f>
        <v/>
      </c>
      <c r="AH361">
        <f>IF('Recurring Schedule'!$C$38="","",IF('Recurring Schedule'!$F$38="","",IF(OR($A361&lt;'Recurring Schedule'!$F$38,$A361&gt;'Recurring Schedule'!$P$38),"",IF(IF('Recurring Schedule'!$N$38&gt;0,MOD($A361-'Recurring Schedule'!$F$38,'Recurring Schedule'!$N$38)=0,IF('Recurring Schedule'!$O$38&gt;0,AND(DAY($A361)=MIN(DAY('Recurring Schedule'!$F$38),DAY(EOMONTH($A361,0))),MOD((YEAR($A361)-YEAR('Recurring Schedule'!$F$38))*12+MONTH($A361)-MONTH('Recurring Schedule'!$F$38),'Recurring Schedule'!$O$38)=0),IF('Recurring Schedule'!$E$38="Weekdays",WEEKDAY($A361,2)&lt;=5,$A361='Recurring Schedule'!$F$38))),33,""))))</f>
        <v/>
      </c>
      <c r="AI361">
        <f>IF('Recurring Schedule'!$C$39="","",IF('Recurring Schedule'!$F$39="","",IF(OR($A361&lt;'Recurring Schedule'!$F$39,$A361&gt;'Recurring Schedule'!$P$39),"",IF(IF('Recurring Schedule'!$N$39&gt;0,MOD($A361-'Recurring Schedule'!$F$39,'Recurring Schedule'!$N$39)=0,IF('Recurring Schedule'!$O$39&gt;0,AND(DAY($A361)=MIN(DAY('Recurring Schedule'!$F$39),DAY(EOMONTH($A361,0))),MOD((YEAR($A361)-YEAR('Recurring Schedule'!$F$39))*12+MONTH($A361)-MONTH('Recurring Schedule'!$F$39),'Recurring Schedule'!$O$39)=0),IF('Recurring Schedule'!$E$39="Weekdays",WEEKDAY($A361,2)&lt;=5,$A361='Recurring Schedule'!$F$39))),34,""))))</f>
        <v/>
      </c>
      <c r="AJ361">
        <f>IF('Recurring Schedule'!$C$40="","",IF('Recurring Schedule'!$F$40="","",IF(OR($A361&lt;'Recurring Schedule'!$F$40,$A361&gt;'Recurring Schedule'!$P$40),"",IF(IF('Recurring Schedule'!$N$40&gt;0,MOD($A361-'Recurring Schedule'!$F$40,'Recurring Schedule'!$N$40)=0,IF('Recurring Schedule'!$O$40&gt;0,AND(DAY($A361)=MIN(DAY('Recurring Schedule'!$F$40),DAY(EOMONTH($A361,0))),MOD((YEAR($A361)-YEAR('Recurring Schedule'!$F$40))*12+MONTH($A361)-MONTH('Recurring Schedule'!$F$40),'Recurring Schedule'!$O$40)=0),IF('Recurring Schedule'!$E$40="Weekdays",WEEKDAY($A361,2)&lt;=5,$A361='Recurring Schedule'!$F$40))),35,""))))</f>
        <v/>
      </c>
      <c r="AK361">
        <f>IF('Recurring Schedule'!$C$41="","",IF('Recurring Schedule'!$F$41="","",IF(OR($A361&lt;'Recurring Schedule'!$F$41,$A361&gt;'Recurring Schedule'!$P$41),"",IF(IF('Recurring Schedule'!$N$41&gt;0,MOD($A361-'Recurring Schedule'!$F$41,'Recurring Schedule'!$N$41)=0,IF('Recurring Schedule'!$O$41&gt;0,AND(DAY($A361)=MIN(DAY('Recurring Schedule'!$F$41),DAY(EOMONTH($A361,0))),MOD((YEAR($A361)-YEAR('Recurring Schedule'!$F$41))*12+MONTH($A361)-MONTH('Recurring Schedule'!$F$41),'Recurring Schedule'!$O$41)=0),IF('Recurring Schedule'!$E$41="Weekdays",WEEKDAY($A361,2)&lt;=5,$A361='Recurring Schedule'!$F$41))),36,""))))</f>
        <v/>
      </c>
      <c r="AL361">
        <f>IF('Recurring Schedule'!$C$42="","",IF('Recurring Schedule'!$F$42="","",IF(OR($A361&lt;'Recurring Schedule'!$F$42,$A361&gt;'Recurring Schedule'!$P$42),"",IF(IF('Recurring Schedule'!$N$42&gt;0,MOD($A361-'Recurring Schedule'!$F$42,'Recurring Schedule'!$N$42)=0,IF('Recurring Schedule'!$O$42&gt;0,AND(DAY($A361)=MIN(DAY('Recurring Schedule'!$F$42),DAY(EOMONTH($A361,0))),MOD((YEAR($A361)-YEAR('Recurring Schedule'!$F$42))*12+MONTH($A361)-MONTH('Recurring Schedule'!$F$42),'Recurring Schedule'!$O$42)=0),IF('Recurring Schedule'!$E$42="Weekdays",WEEKDAY($A361,2)&lt;=5,$A361='Recurring Schedule'!$F$42))),37,""))))</f>
        <v/>
      </c>
      <c r="AM361">
        <f>IF('Recurring Schedule'!$C$43="","",IF('Recurring Schedule'!$F$43="","",IF(OR($A361&lt;'Recurring Schedule'!$F$43,$A361&gt;'Recurring Schedule'!$P$43),"",IF(IF('Recurring Schedule'!$N$43&gt;0,MOD($A361-'Recurring Schedule'!$F$43,'Recurring Schedule'!$N$43)=0,IF('Recurring Schedule'!$O$43&gt;0,AND(DAY($A361)=MIN(DAY('Recurring Schedule'!$F$43),DAY(EOMONTH($A361,0))),MOD((YEAR($A361)-YEAR('Recurring Schedule'!$F$43))*12+MONTH($A361)-MONTH('Recurring Schedule'!$F$43),'Recurring Schedule'!$O$43)=0),IF('Recurring Schedule'!$E$43="Weekdays",WEEKDAY($A361,2)&lt;=5,$A361='Recurring Schedule'!$F$43))),38,""))))</f>
        <v/>
      </c>
      <c r="AN361">
        <f>IF('Recurring Schedule'!$C$44="","",IF('Recurring Schedule'!$F$44="","",IF(OR($A361&lt;'Recurring Schedule'!$F$44,$A361&gt;'Recurring Schedule'!$P$44),"",IF(IF('Recurring Schedule'!$N$44&gt;0,MOD($A361-'Recurring Schedule'!$F$44,'Recurring Schedule'!$N$44)=0,IF('Recurring Schedule'!$O$44&gt;0,AND(DAY($A361)=MIN(DAY('Recurring Schedule'!$F$44),DAY(EOMONTH($A361,0))),MOD((YEAR($A361)-YEAR('Recurring Schedule'!$F$44))*12+MONTH($A361)-MONTH('Recurring Schedule'!$F$44),'Recurring Schedule'!$O$44)=0),IF('Recurring Schedule'!$E$44="Weekdays",WEEKDAY($A361,2)&lt;=5,$A361='Recurring Schedule'!$F$44))),39,""))))</f>
        <v/>
      </c>
      <c r="AO361">
        <f>IF('Recurring Schedule'!$C$45="","",IF('Recurring Schedule'!$F$45="","",IF(OR($A361&lt;'Recurring Schedule'!$F$45,$A361&gt;'Recurring Schedule'!$P$45),"",IF(IF('Recurring Schedule'!$N$45&gt;0,MOD($A361-'Recurring Schedule'!$F$45,'Recurring Schedule'!$N$45)=0,IF('Recurring Schedule'!$O$45&gt;0,AND(DAY($A361)=MIN(DAY('Recurring Schedule'!$F$45),DAY(EOMONTH($A361,0))),MOD((YEAR($A361)-YEAR('Recurring Schedule'!$F$45))*12+MONTH($A361)-MONTH('Recurring Schedule'!$F$45),'Recurring Schedule'!$O$45)=0),IF('Recurring Schedule'!$E$45="Weekdays",WEEKDAY($A361,2)&lt;=5,$A361='Recurring Schedule'!$F$45))),40,""))))</f>
        <v/>
      </c>
      <c r="AP361">
        <f>COUNT(B361:AO361)</f>
        <v/>
      </c>
      <c r="AQ361">
        <f>AQ360+AP360</f>
        <v/>
      </c>
      <c r="AS361" t="inlineStr">
        <is>
          <t>R</t>
        </is>
      </c>
      <c r="AT361" t="n">
        <v>365</v>
      </c>
      <c r="AU361">
        <f>'Recurring Log'!C365&amp;""</f>
        <v/>
      </c>
      <c r="AV361">
        <f>'Recurring Log'!D365&amp;""</f>
        <v/>
      </c>
      <c r="AW361">
        <f>IF('Recurring Log'!E365="","",'Recurring Log'!E365)</f>
        <v/>
      </c>
      <c r="AX361">
        <f>IF('Recurring Log'!G365="","",'Recurring Log'!G365)</f>
        <v/>
      </c>
      <c r="AY361">
        <f>IF('Recurring Log'!H365="","",'Recurring Log'!H365)</f>
        <v/>
      </c>
      <c r="AZ361">
        <f>IF(AU361="","",IF('Recurring Log'!J365="","Not Started",'Recurring Log'!J365))</f>
        <v/>
      </c>
      <c r="BA361">
        <f>'Recurring Log'!L365&amp;""</f>
        <v/>
      </c>
      <c r="BB361">
        <f>'Recurring Log'!M365&amp;""</f>
        <v/>
      </c>
      <c r="BC361">
        <f>'Recurring Log'!N365&amp;""</f>
        <v/>
      </c>
      <c r="BD361">
        <f>'Recurring Log'!O365&amp;""</f>
        <v/>
      </c>
      <c r="BE361">
        <f>IF('Recurring Log'!K365="","",'Recurring Log'!K365)</f>
        <v/>
      </c>
      <c r="BF361">
        <f>IFERROR(MATCH(BA361,Setup!$L$6:$L$9,0),5)</f>
        <v/>
      </c>
      <c r="BG361">
        <f>IF(OR(AZ361="Done",AZ361="Cancelled"),1,0)</f>
        <v/>
      </c>
      <c r="BH361">
        <f>IF(AND(AU361&lt;&gt;"",ISNUMBER(AW361)),1,0)</f>
        <v/>
      </c>
      <c r="BI361">
        <f>IF(BH361=0,0,IF(AND(AW361&gt;='Tasks Filter'!$F$3,AW361&lt;='Tasks Filter'!$F$4,OR('Tasks Filter'!$I$3="",ISNUMBER(SEARCH('Tasks Filter'!$I$3,AU361))),OR('Tasks Filter'!$I$4="",BF361=IFERROR(MATCH('Tasks Filter'!$I$4,Setup!$L$6:$L$9,0),0)),OR('Tasks Filter'!$I$5="Both",AND('Tasks Filter'!$I$5="Yes",BB361="✓"),AND('Tasks Filter'!$I$5="No",BB361&lt;&gt;"✓")),OR('Tasks Filter'!$L$3="",AV361='Tasks Filter'!$L$3),OR('Tasks Filter'!$L$4="",AZ361='Tasks Filter'!$L$4),OR('Tasks Filter'!$L$5="",BC361='Tasks Filter'!$L$5),OR('Tasks Filter'!$O$3="",BD361='Tasks Filter'!$O$3),OR('Tasks Filter'!$O$4="Yes",BG361=0)),1,0))</f>
        <v/>
      </c>
      <c r="BJ361">
        <f>IF(BH361=0,"",IF('Tasks Filter'!$F$6="Descending",-1,1)*CHOOSE(MATCH('Tasks Filter'!$F$5,Lists!$G$2:$G$6,0),AW361,BF361,IFERROR(MATCH(AV361,Setup!$F$6:$F$15,0),99),IFERROR(MATCH(BC361,Setup!$H$6:$H$15,0),99),IFERROR(MATCH(AZ361,Setup!$J$6:$J$11,0),99))*1E+9+(AW361-40000)*10000+360)</f>
        <v/>
      </c>
      <c r="BK361">
        <f>IF(BI361=1,BJ361,"")</f>
        <v/>
      </c>
      <c r="BL361">
        <f>IF(AND(BH361=1,BG361=0,N(AW361)&lt;Setup!$D$7),(AW361-40000)*10000+360,"")</f>
        <v/>
      </c>
      <c r="BM361">
        <f>IF(AND(BH361=1,AZ361&lt;&gt;"Cancelled",N(AW361)&gt;=Dashboard!$AB$3,N(AW361)&lt;=Dashboard!$AB$3+6),(AW361-40000)*100000+BF361*10000+360,"")</f>
        <v/>
      </c>
      <c r="BN361">
        <f>IF(AND(BH361=1,AZ361&lt;&gt;"Cancelled"),BF361*10000+360,"")</f>
        <v/>
      </c>
    </row>
    <row r="362">
      <c r="A362">
        <f>Setup!$D$5+360</f>
        <v/>
      </c>
      <c r="B362">
        <f>IF('Recurring Schedule'!$C$6="","",IF('Recurring Schedule'!$F$6="","",IF(OR($A362&lt;'Recurring Schedule'!$F$6,$A362&gt;'Recurring Schedule'!$P$6),"",IF(IF('Recurring Schedule'!$N$6&gt;0,MOD($A362-'Recurring Schedule'!$F$6,'Recurring Schedule'!$N$6)=0,IF('Recurring Schedule'!$O$6&gt;0,AND(DAY($A362)=MIN(DAY('Recurring Schedule'!$F$6),DAY(EOMONTH($A362,0))),MOD((YEAR($A362)-YEAR('Recurring Schedule'!$F$6))*12+MONTH($A362)-MONTH('Recurring Schedule'!$F$6),'Recurring Schedule'!$O$6)=0),IF('Recurring Schedule'!$E$6="Weekdays",WEEKDAY($A362,2)&lt;=5,$A362='Recurring Schedule'!$F$6))),1,""))))</f>
        <v/>
      </c>
      <c r="C362">
        <f>IF('Recurring Schedule'!$C$7="","",IF('Recurring Schedule'!$F$7="","",IF(OR($A362&lt;'Recurring Schedule'!$F$7,$A362&gt;'Recurring Schedule'!$P$7),"",IF(IF('Recurring Schedule'!$N$7&gt;0,MOD($A362-'Recurring Schedule'!$F$7,'Recurring Schedule'!$N$7)=0,IF('Recurring Schedule'!$O$7&gt;0,AND(DAY($A362)=MIN(DAY('Recurring Schedule'!$F$7),DAY(EOMONTH($A362,0))),MOD((YEAR($A362)-YEAR('Recurring Schedule'!$F$7))*12+MONTH($A362)-MONTH('Recurring Schedule'!$F$7),'Recurring Schedule'!$O$7)=0),IF('Recurring Schedule'!$E$7="Weekdays",WEEKDAY($A362,2)&lt;=5,$A362='Recurring Schedule'!$F$7))),2,""))))</f>
        <v/>
      </c>
      <c r="D362">
        <f>IF('Recurring Schedule'!$C$8="","",IF('Recurring Schedule'!$F$8="","",IF(OR($A362&lt;'Recurring Schedule'!$F$8,$A362&gt;'Recurring Schedule'!$P$8),"",IF(IF('Recurring Schedule'!$N$8&gt;0,MOD($A362-'Recurring Schedule'!$F$8,'Recurring Schedule'!$N$8)=0,IF('Recurring Schedule'!$O$8&gt;0,AND(DAY($A362)=MIN(DAY('Recurring Schedule'!$F$8),DAY(EOMONTH($A362,0))),MOD((YEAR($A362)-YEAR('Recurring Schedule'!$F$8))*12+MONTH($A362)-MONTH('Recurring Schedule'!$F$8),'Recurring Schedule'!$O$8)=0),IF('Recurring Schedule'!$E$8="Weekdays",WEEKDAY($A362,2)&lt;=5,$A362='Recurring Schedule'!$F$8))),3,""))))</f>
        <v/>
      </c>
      <c r="E362">
        <f>IF('Recurring Schedule'!$C$9="","",IF('Recurring Schedule'!$F$9="","",IF(OR($A362&lt;'Recurring Schedule'!$F$9,$A362&gt;'Recurring Schedule'!$P$9),"",IF(IF('Recurring Schedule'!$N$9&gt;0,MOD($A362-'Recurring Schedule'!$F$9,'Recurring Schedule'!$N$9)=0,IF('Recurring Schedule'!$O$9&gt;0,AND(DAY($A362)=MIN(DAY('Recurring Schedule'!$F$9),DAY(EOMONTH($A362,0))),MOD((YEAR($A362)-YEAR('Recurring Schedule'!$F$9))*12+MONTH($A362)-MONTH('Recurring Schedule'!$F$9),'Recurring Schedule'!$O$9)=0),IF('Recurring Schedule'!$E$9="Weekdays",WEEKDAY($A362,2)&lt;=5,$A362='Recurring Schedule'!$F$9))),4,""))))</f>
        <v/>
      </c>
      <c r="F362">
        <f>IF('Recurring Schedule'!$C$10="","",IF('Recurring Schedule'!$F$10="","",IF(OR($A362&lt;'Recurring Schedule'!$F$10,$A362&gt;'Recurring Schedule'!$P$10),"",IF(IF('Recurring Schedule'!$N$10&gt;0,MOD($A362-'Recurring Schedule'!$F$10,'Recurring Schedule'!$N$10)=0,IF('Recurring Schedule'!$O$10&gt;0,AND(DAY($A362)=MIN(DAY('Recurring Schedule'!$F$10),DAY(EOMONTH($A362,0))),MOD((YEAR($A362)-YEAR('Recurring Schedule'!$F$10))*12+MONTH($A362)-MONTH('Recurring Schedule'!$F$10),'Recurring Schedule'!$O$10)=0),IF('Recurring Schedule'!$E$10="Weekdays",WEEKDAY($A362,2)&lt;=5,$A362='Recurring Schedule'!$F$10))),5,""))))</f>
        <v/>
      </c>
      <c r="G362">
        <f>IF('Recurring Schedule'!$C$11="","",IF('Recurring Schedule'!$F$11="","",IF(OR($A362&lt;'Recurring Schedule'!$F$11,$A362&gt;'Recurring Schedule'!$P$11),"",IF(IF('Recurring Schedule'!$N$11&gt;0,MOD($A362-'Recurring Schedule'!$F$11,'Recurring Schedule'!$N$11)=0,IF('Recurring Schedule'!$O$11&gt;0,AND(DAY($A362)=MIN(DAY('Recurring Schedule'!$F$11),DAY(EOMONTH($A362,0))),MOD((YEAR($A362)-YEAR('Recurring Schedule'!$F$11))*12+MONTH($A362)-MONTH('Recurring Schedule'!$F$11),'Recurring Schedule'!$O$11)=0),IF('Recurring Schedule'!$E$11="Weekdays",WEEKDAY($A362,2)&lt;=5,$A362='Recurring Schedule'!$F$11))),6,""))))</f>
        <v/>
      </c>
      <c r="H362">
        <f>IF('Recurring Schedule'!$C$12="","",IF('Recurring Schedule'!$F$12="","",IF(OR($A362&lt;'Recurring Schedule'!$F$12,$A362&gt;'Recurring Schedule'!$P$12),"",IF(IF('Recurring Schedule'!$N$12&gt;0,MOD($A362-'Recurring Schedule'!$F$12,'Recurring Schedule'!$N$12)=0,IF('Recurring Schedule'!$O$12&gt;0,AND(DAY($A362)=MIN(DAY('Recurring Schedule'!$F$12),DAY(EOMONTH($A362,0))),MOD((YEAR($A362)-YEAR('Recurring Schedule'!$F$12))*12+MONTH($A362)-MONTH('Recurring Schedule'!$F$12),'Recurring Schedule'!$O$12)=0),IF('Recurring Schedule'!$E$12="Weekdays",WEEKDAY($A362,2)&lt;=5,$A362='Recurring Schedule'!$F$12))),7,""))))</f>
        <v/>
      </c>
      <c r="I362">
        <f>IF('Recurring Schedule'!$C$13="","",IF('Recurring Schedule'!$F$13="","",IF(OR($A362&lt;'Recurring Schedule'!$F$13,$A362&gt;'Recurring Schedule'!$P$13),"",IF(IF('Recurring Schedule'!$N$13&gt;0,MOD($A362-'Recurring Schedule'!$F$13,'Recurring Schedule'!$N$13)=0,IF('Recurring Schedule'!$O$13&gt;0,AND(DAY($A362)=MIN(DAY('Recurring Schedule'!$F$13),DAY(EOMONTH($A362,0))),MOD((YEAR($A362)-YEAR('Recurring Schedule'!$F$13))*12+MONTH($A362)-MONTH('Recurring Schedule'!$F$13),'Recurring Schedule'!$O$13)=0),IF('Recurring Schedule'!$E$13="Weekdays",WEEKDAY($A362,2)&lt;=5,$A362='Recurring Schedule'!$F$13))),8,""))))</f>
        <v/>
      </c>
      <c r="J362">
        <f>IF('Recurring Schedule'!$C$14="","",IF('Recurring Schedule'!$F$14="","",IF(OR($A362&lt;'Recurring Schedule'!$F$14,$A362&gt;'Recurring Schedule'!$P$14),"",IF(IF('Recurring Schedule'!$N$14&gt;0,MOD($A362-'Recurring Schedule'!$F$14,'Recurring Schedule'!$N$14)=0,IF('Recurring Schedule'!$O$14&gt;0,AND(DAY($A362)=MIN(DAY('Recurring Schedule'!$F$14),DAY(EOMONTH($A362,0))),MOD((YEAR($A362)-YEAR('Recurring Schedule'!$F$14))*12+MONTH($A362)-MONTH('Recurring Schedule'!$F$14),'Recurring Schedule'!$O$14)=0),IF('Recurring Schedule'!$E$14="Weekdays",WEEKDAY($A362,2)&lt;=5,$A362='Recurring Schedule'!$F$14))),9,""))))</f>
        <v/>
      </c>
      <c r="K362">
        <f>IF('Recurring Schedule'!$C$15="","",IF('Recurring Schedule'!$F$15="","",IF(OR($A362&lt;'Recurring Schedule'!$F$15,$A362&gt;'Recurring Schedule'!$P$15),"",IF(IF('Recurring Schedule'!$N$15&gt;0,MOD($A362-'Recurring Schedule'!$F$15,'Recurring Schedule'!$N$15)=0,IF('Recurring Schedule'!$O$15&gt;0,AND(DAY($A362)=MIN(DAY('Recurring Schedule'!$F$15),DAY(EOMONTH($A362,0))),MOD((YEAR($A362)-YEAR('Recurring Schedule'!$F$15))*12+MONTH($A362)-MONTH('Recurring Schedule'!$F$15),'Recurring Schedule'!$O$15)=0),IF('Recurring Schedule'!$E$15="Weekdays",WEEKDAY($A362,2)&lt;=5,$A362='Recurring Schedule'!$F$15))),10,""))))</f>
        <v/>
      </c>
      <c r="L362">
        <f>IF('Recurring Schedule'!$C$16="","",IF('Recurring Schedule'!$F$16="","",IF(OR($A362&lt;'Recurring Schedule'!$F$16,$A362&gt;'Recurring Schedule'!$P$16),"",IF(IF('Recurring Schedule'!$N$16&gt;0,MOD($A362-'Recurring Schedule'!$F$16,'Recurring Schedule'!$N$16)=0,IF('Recurring Schedule'!$O$16&gt;0,AND(DAY($A362)=MIN(DAY('Recurring Schedule'!$F$16),DAY(EOMONTH($A362,0))),MOD((YEAR($A362)-YEAR('Recurring Schedule'!$F$16))*12+MONTH($A362)-MONTH('Recurring Schedule'!$F$16),'Recurring Schedule'!$O$16)=0),IF('Recurring Schedule'!$E$16="Weekdays",WEEKDAY($A362,2)&lt;=5,$A362='Recurring Schedule'!$F$16))),11,""))))</f>
        <v/>
      </c>
      <c r="M362">
        <f>IF('Recurring Schedule'!$C$17="","",IF('Recurring Schedule'!$F$17="","",IF(OR($A362&lt;'Recurring Schedule'!$F$17,$A362&gt;'Recurring Schedule'!$P$17),"",IF(IF('Recurring Schedule'!$N$17&gt;0,MOD($A362-'Recurring Schedule'!$F$17,'Recurring Schedule'!$N$17)=0,IF('Recurring Schedule'!$O$17&gt;0,AND(DAY($A362)=MIN(DAY('Recurring Schedule'!$F$17),DAY(EOMONTH($A362,0))),MOD((YEAR($A362)-YEAR('Recurring Schedule'!$F$17))*12+MONTH($A362)-MONTH('Recurring Schedule'!$F$17),'Recurring Schedule'!$O$17)=0),IF('Recurring Schedule'!$E$17="Weekdays",WEEKDAY($A362,2)&lt;=5,$A362='Recurring Schedule'!$F$17))),12,""))))</f>
        <v/>
      </c>
      <c r="N362">
        <f>IF('Recurring Schedule'!$C$18="","",IF('Recurring Schedule'!$F$18="","",IF(OR($A362&lt;'Recurring Schedule'!$F$18,$A362&gt;'Recurring Schedule'!$P$18),"",IF(IF('Recurring Schedule'!$N$18&gt;0,MOD($A362-'Recurring Schedule'!$F$18,'Recurring Schedule'!$N$18)=0,IF('Recurring Schedule'!$O$18&gt;0,AND(DAY($A362)=MIN(DAY('Recurring Schedule'!$F$18),DAY(EOMONTH($A362,0))),MOD((YEAR($A362)-YEAR('Recurring Schedule'!$F$18))*12+MONTH($A362)-MONTH('Recurring Schedule'!$F$18),'Recurring Schedule'!$O$18)=0),IF('Recurring Schedule'!$E$18="Weekdays",WEEKDAY($A362,2)&lt;=5,$A362='Recurring Schedule'!$F$18))),13,""))))</f>
        <v/>
      </c>
      <c r="O362">
        <f>IF('Recurring Schedule'!$C$19="","",IF('Recurring Schedule'!$F$19="","",IF(OR($A362&lt;'Recurring Schedule'!$F$19,$A362&gt;'Recurring Schedule'!$P$19),"",IF(IF('Recurring Schedule'!$N$19&gt;0,MOD($A362-'Recurring Schedule'!$F$19,'Recurring Schedule'!$N$19)=0,IF('Recurring Schedule'!$O$19&gt;0,AND(DAY($A362)=MIN(DAY('Recurring Schedule'!$F$19),DAY(EOMONTH($A362,0))),MOD((YEAR($A362)-YEAR('Recurring Schedule'!$F$19))*12+MONTH($A362)-MONTH('Recurring Schedule'!$F$19),'Recurring Schedule'!$O$19)=0),IF('Recurring Schedule'!$E$19="Weekdays",WEEKDAY($A362,2)&lt;=5,$A362='Recurring Schedule'!$F$19))),14,""))))</f>
        <v/>
      </c>
      <c r="P362">
        <f>IF('Recurring Schedule'!$C$20="","",IF('Recurring Schedule'!$F$20="","",IF(OR($A362&lt;'Recurring Schedule'!$F$20,$A362&gt;'Recurring Schedule'!$P$20),"",IF(IF('Recurring Schedule'!$N$20&gt;0,MOD($A362-'Recurring Schedule'!$F$20,'Recurring Schedule'!$N$20)=0,IF('Recurring Schedule'!$O$20&gt;0,AND(DAY($A362)=MIN(DAY('Recurring Schedule'!$F$20),DAY(EOMONTH($A362,0))),MOD((YEAR($A362)-YEAR('Recurring Schedule'!$F$20))*12+MONTH($A362)-MONTH('Recurring Schedule'!$F$20),'Recurring Schedule'!$O$20)=0),IF('Recurring Schedule'!$E$20="Weekdays",WEEKDAY($A362,2)&lt;=5,$A362='Recurring Schedule'!$F$20))),15,""))))</f>
        <v/>
      </c>
      <c r="Q362">
        <f>IF('Recurring Schedule'!$C$21="","",IF('Recurring Schedule'!$F$21="","",IF(OR($A362&lt;'Recurring Schedule'!$F$21,$A362&gt;'Recurring Schedule'!$P$21),"",IF(IF('Recurring Schedule'!$N$21&gt;0,MOD($A362-'Recurring Schedule'!$F$21,'Recurring Schedule'!$N$21)=0,IF('Recurring Schedule'!$O$21&gt;0,AND(DAY($A362)=MIN(DAY('Recurring Schedule'!$F$21),DAY(EOMONTH($A362,0))),MOD((YEAR($A362)-YEAR('Recurring Schedule'!$F$21))*12+MONTH($A362)-MONTH('Recurring Schedule'!$F$21),'Recurring Schedule'!$O$21)=0),IF('Recurring Schedule'!$E$21="Weekdays",WEEKDAY($A362,2)&lt;=5,$A362='Recurring Schedule'!$F$21))),16,""))))</f>
        <v/>
      </c>
      <c r="R362">
        <f>IF('Recurring Schedule'!$C$22="","",IF('Recurring Schedule'!$F$22="","",IF(OR($A362&lt;'Recurring Schedule'!$F$22,$A362&gt;'Recurring Schedule'!$P$22),"",IF(IF('Recurring Schedule'!$N$22&gt;0,MOD($A362-'Recurring Schedule'!$F$22,'Recurring Schedule'!$N$22)=0,IF('Recurring Schedule'!$O$22&gt;0,AND(DAY($A362)=MIN(DAY('Recurring Schedule'!$F$22),DAY(EOMONTH($A362,0))),MOD((YEAR($A362)-YEAR('Recurring Schedule'!$F$22))*12+MONTH($A362)-MONTH('Recurring Schedule'!$F$22),'Recurring Schedule'!$O$22)=0),IF('Recurring Schedule'!$E$22="Weekdays",WEEKDAY($A362,2)&lt;=5,$A362='Recurring Schedule'!$F$22))),17,""))))</f>
        <v/>
      </c>
      <c r="S362">
        <f>IF('Recurring Schedule'!$C$23="","",IF('Recurring Schedule'!$F$23="","",IF(OR($A362&lt;'Recurring Schedule'!$F$23,$A362&gt;'Recurring Schedule'!$P$23),"",IF(IF('Recurring Schedule'!$N$23&gt;0,MOD($A362-'Recurring Schedule'!$F$23,'Recurring Schedule'!$N$23)=0,IF('Recurring Schedule'!$O$23&gt;0,AND(DAY($A362)=MIN(DAY('Recurring Schedule'!$F$23),DAY(EOMONTH($A362,0))),MOD((YEAR($A362)-YEAR('Recurring Schedule'!$F$23))*12+MONTH($A362)-MONTH('Recurring Schedule'!$F$23),'Recurring Schedule'!$O$23)=0),IF('Recurring Schedule'!$E$23="Weekdays",WEEKDAY($A362,2)&lt;=5,$A362='Recurring Schedule'!$F$23))),18,""))))</f>
        <v/>
      </c>
      <c r="T362">
        <f>IF('Recurring Schedule'!$C$24="","",IF('Recurring Schedule'!$F$24="","",IF(OR($A362&lt;'Recurring Schedule'!$F$24,$A362&gt;'Recurring Schedule'!$P$24),"",IF(IF('Recurring Schedule'!$N$24&gt;0,MOD($A362-'Recurring Schedule'!$F$24,'Recurring Schedule'!$N$24)=0,IF('Recurring Schedule'!$O$24&gt;0,AND(DAY($A362)=MIN(DAY('Recurring Schedule'!$F$24),DAY(EOMONTH($A362,0))),MOD((YEAR($A362)-YEAR('Recurring Schedule'!$F$24))*12+MONTH($A362)-MONTH('Recurring Schedule'!$F$24),'Recurring Schedule'!$O$24)=0),IF('Recurring Schedule'!$E$24="Weekdays",WEEKDAY($A362,2)&lt;=5,$A362='Recurring Schedule'!$F$24))),19,""))))</f>
        <v/>
      </c>
      <c r="U362">
        <f>IF('Recurring Schedule'!$C$25="","",IF('Recurring Schedule'!$F$25="","",IF(OR($A362&lt;'Recurring Schedule'!$F$25,$A362&gt;'Recurring Schedule'!$P$25),"",IF(IF('Recurring Schedule'!$N$25&gt;0,MOD($A362-'Recurring Schedule'!$F$25,'Recurring Schedule'!$N$25)=0,IF('Recurring Schedule'!$O$25&gt;0,AND(DAY($A362)=MIN(DAY('Recurring Schedule'!$F$25),DAY(EOMONTH($A362,0))),MOD((YEAR($A362)-YEAR('Recurring Schedule'!$F$25))*12+MONTH($A362)-MONTH('Recurring Schedule'!$F$25),'Recurring Schedule'!$O$25)=0),IF('Recurring Schedule'!$E$25="Weekdays",WEEKDAY($A362,2)&lt;=5,$A362='Recurring Schedule'!$F$25))),20,""))))</f>
        <v/>
      </c>
      <c r="V362">
        <f>IF('Recurring Schedule'!$C$26="","",IF('Recurring Schedule'!$F$26="","",IF(OR($A362&lt;'Recurring Schedule'!$F$26,$A362&gt;'Recurring Schedule'!$P$26),"",IF(IF('Recurring Schedule'!$N$26&gt;0,MOD($A362-'Recurring Schedule'!$F$26,'Recurring Schedule'!$N$26)=0,IF('Recurring Schedule'!$O$26&gt;0,AND(DAY($A362)=MIN(DAY('Recurring Schedule'!$F$26),DAY(EOMONTH($A362,0))),MOD((YEAR($A362)-YEAR('Recurring Schedule'!$F$26))*12+MONTH($A362)-MONTH('Recurring Schedule'!$F$26),'Recurring Schedule'!$O$26)=0),IF('Recurring Schedule'!$E$26="Weekdays",WEEKDAY($A362,2)&lt;=5,$A362='Recurring Schedule'!$F$26))),21,""))))</f>
        <v/>
      </c>
      <c r="W362">
        <f>IF('Recurring Schedule'!$C$27="","",IF('Recurring Schedule'!$F$27="","",IF(OR($A362&lt;'Recurring Schedule'!$F$27,$A362&gt;'Recurring Schedule'!$P$27),"",IF(IF('Recurring Schedule'!$N$27&gt;0,MOD($A362-'Recurring Schedule'!$F$27,'Recurring Schedule'!$N$27)=0,IF('Recurring Schedule'!$O$27&gt;0,AND(DAY($A362)=MIN(DAY('Recurring Schedule'!$F$27),DAY(EOMONTH($A362,0))),MOD((YEAR($A362)-YEAR('Recurring Schedule'!$F$27))*12+MONTH($A362)-MONTH('Recurring Schedule'!$F$27),'Recurring Schedule'!$O$27)=0),IF('Recurring Schedule'!$E$27="Weekdays",WEEKDAY($A362,2)&lt;=5,$A362='Recurring Schedule'!$F$27))),22,""))))</f>
        <v/>
      </c>
      <c r="X362">
        <f>IF('Recurring Schedule'!$C$28="","",IF('Recurring Schedule'!$F$28="","",IF(OR($A362&lt;'Recurring Schedule'!$F$28,$A362&gt;'Recurring Schedule'!$P$28),"",IF(IF('Recurring Schedule'!$N$28&gt;0,MOD($A362-'Recurring Schedule'!$F$28,'Recurring Schedule'!$N$28)=0,IF('Recurring Schedule'!$O$28&gt;0,AND(DAY($A362)=MIN(DAY('Recurring Schedule'!$F$28),DAY(EOMONTH($A362,0))),MOD((YEAR($A362)-YEAR('Recurring Schedule'!$F$28))*12+MONTH($A362)-MONTH('Recurring Schedule'!$F$28),'Recurring Schedule'!$O$28)=0),IF('Recurring Schedule'!$E$28="Weekdays",WEEKDAY($A362,2)&lt;=5,$A362='Recurring Schedule'!$F$28))),23,""))))</f>
        <v/>
      </c>
      <c r="Y362">
        <f>IF('Recurring Schedule'!$C$29="","",IF('Recurring Schedule'!$F$29="","",IF(OR($A362&lt;'Recurring Schedule'!$F$29,$A362&gt;'Recurring Schedule'!$P$29),"",IF(IF('Recurring Schedule'!$N$29&gt;0,MOD($A362-'Recurring Schedule'!$F$29,'Recurring Schedule'!$N$29)=0,IF('Recurring Schedule'!$O$29&gt;0,AND(DAY($A362)=MIN(DAY('Recurring Schedule'!$F$29),DAY(EOMONTH($A362,0))),MOD((YEAR($A362)-YEAR('Recurring Schedule'!$F$29))*12+MONTH($A362)-MONTH('Recurring Schedule'!$F$29),'Recurring Schedule'!$O$29)=0),IF('Recurring Schedule'!$E$29="Weekdays",WEEKDAY($A362,2)&lt;=5,$A362='Recurring Schedule'!$F$29))),24,""))))</f>
        <v/>
      </c>
      <c r="Z362">
        <f>IF('Recurring Schedule'!$C$30="","",IF('Recurring Schedule'!$F$30="","",IF(OR($A362&lt;'Recurring Schedule'!$F$30,$A362&gt;'Recurring Schedule'!$P$30),"",IF(IF('Recurring Schedule'!$N$30&gt;0,MOD($A362-'Recurring Schedule'!$F$30,'Recurring Schedule'!$N$30)=0,IF('Recurring Schedule'!$O$30&gt;0,AND(DAY($A362)=MIN(DAY('Recurring Schedule'!$F$30),DAY(EOMONTH($A362,0))),MOD((YEAR($A362)-YEAR('Recurring Schedule'!$F$30))*12+MONTH($A362)-MONTH('Recurring Schedule'!$F$30),'Recurring Schedule'!$O$30)=0),IF('Recurring Schedule'!$E$30="Weekdays",WEEKDAY($A362,2)&lt;=5,$A362='Recurring Schedule'!$F$30))),25,""))))</f>
        <v/>
      </c>
      <c r="AA362">
        <f>IF('Recurring Schedule'!$C$31="","",IF('Recurring Schedule'!$F$31="","",IF(OR($A362&lt;'Recurring Schedule'!$F$31,$A362&gt;'Recurring Schedule'!$P$31),"",IF(IF('Recurring Schedule'!$N$31&gt;0,MOD($A362-'Recurring Schedule'!$F$31,'Recurring Schedule'!$N$31)=0,IF('Recurring Schedule'!$O$31&gt;0,AND(DAY($A362)=MIN(DAY('Recurring Schedule'!$F$31),DAY(EOMONTH($A362,0))),MOD((YEAR($A362)-YEAR('Recurring Schedule'!$F$31))*12+MONTH($A362)-MONTH('Recurring Schedule'!$F$31),'Recurring Schedule'!$O$31)=0),IF('Recurring Schedule'!$E$31="Weekdays",WEEKDAY($A362,2)&lt;=5,$A362='Recurring Schedule'!$F$31))),26,""))))</f>
        <v/>
      </c>
      <c r="AB362">
        <f>IF('Recurring Schedule'!$C$32="","",IF('Recurring Schedule'!$F$32="","",IF(OR($A362&lt;'Recurring Schedule'!$F$32,$A362&gt;'Recurring Schedule'!$P$32),"",IF(IF('Recurring Schedule'!$N$32&gt;0,MOD($A362-'Recurring Schedule'!$F$32,'Recurring Schedule'!$N$32)=0,IF('Recurring Schedule'!$O$32&gt;0,AND(DAY($A362)=MIN(DAY('Recurring Schedule'!$F$32),DAY(EOMONTH($A362,0))),MOD((YEAR($A362)-YEAR('Recurring Schedule'!$F$32))*12+MONTH($A362)-MONTH('Recurring Schedule'!$F$32),'Recurring Schedule'!$O$32)=0),IF('Recurring Schedule'!$E$32="Weekdays",WEEKDAY($A362,2)&lt;=5,$A362='Recurring Schedule'!$F$32))),27,""))))</f>
        <v/>
      </c>
      <c r="AC362">
        <f>IF('Recurring Schedule'!$C$33="","",IF('Recurring Schedule'!$F$33="","",IF(OR($A362&lt;'Recurring Schedule'!$F$33,$A362&gt;'Recurring Schedule'!$P$33),"",IF(IF('Recurring Schedule'!$N$33&gt;0,MOD($A362-'Recurring Schedule'!$F$33,'Recurring Schedule'!$N$33)=0,IF('Recurring Schedule'!$O$33&gt;0,AND(DAY($A362)=MIN(DAY('Recurring Schedule'!$F$33),DAY(EOMONTH($A362,0))),MOD((YEAR($A362)-YEAR('Recurring Schedule'!$F$33))*12+MONTH($A362)-MONTH('Recurring Schedule'!$F$33),'Recurring Schedule'!$O$33)=0),IF('Recurring Schedule'!$E$33="Weekdays",WEEKDAY($A362,2)&lt;=5,$A362='Recurring Schedule'!$F$33))),28,""))))</f>
        <v/>
      </c>
      <c r="AD362">
        <f>IF('Recurring Schedule'!$C$34="","",IF('Recurring Schedule'!$F$34="","",IF(OR($A362&lt;'Recurring Schedule'!$F$34,$A362&gt;'Recurring Schedule'!$P$34),"",IF(IF('Recurring Schedule'!$N$34&gt;0,MOD($A362-'Recurring Schedule'!$F$34,'Recurring Schedule'!$N$34)=0,IF('Recurring Schedule'!$O$34&gt;0,AND(DAY($A362)=MIN(DAY('Recurring Schedule'!$F$34),DAY(EOMONTH($A362,0))),MOD((YEAR($A362)-YEAR('Recurring Schedule'!$F$34))*12+MONTH($A362)-MONTH('Recurring Schedule'!$F$34),'Recurring Schedule'!$O$34)=0),IF('Recurring Schedule'!$E$34="Weekdays",WEEKDAY($A362,2)&lt;=5,$A362='Recurring Schedule'!$F$34))),29,""))))</f>
        <v/>
      </c>
      <c r="AE362">
        <f>IF('Recurring Schedule'!$C$35="","",IF('Recurring Schedule'!$F$35="","",IF(OR($A362&lt;'Recurring Schedule'!$F$35,$A362&gt;'Recurring Schedule'!$P$35),"",IF(IF('Recurring Schedule'!$N$35&gt;0,MOD($A362-'Recurring Schedule'!$F$35,'Recurring Schedule'!$N$35)=0,IF('Recurring Schedule'!$O$35&gt;0,AND(DAY($A362)=MIN(DAY('Recurring Schedule'!$F$35),DAY(EOMONTH($A362,0))),MOD((YEAR($A362)-YEAR('Recurring Schedule'!$F$35))*12+MONTH($A362)-MONTH('Recurring Schedule'!$F$35),'Recurring Schedule'!$O$35)=0),IF('Recurring Schedule'!$E$35="Weekdays",WEEKDAY($A362,2)&lt;=5,$A362='Recurring Schedule'!$F$35))),30,""))))</f>
        <v/>
      </c>
      <c r="AF362">
        <f>IF('Recurring Schedule'!$C$36="","",IF('Recurring Schedule'!$F$36="","",IF(OR($A362&lt;'Recurring Schedule'!$F$36,$A362&gt;'Recurring Schedule'!$P$36),"",IF(IF('Recurring Schedule'!$N$36&gt;0,MOD($A362-'Recurring Schedule'!$F$36,'Recurring Schedule'!$N$36)=0,IF('Recurring Schedule'!$O$36&gt;0,AND(DAY($A362)=MIN(DAY('Recurring Schedule'!$F$36),DAY(EOMONTH($A362,0))),MOD((YEAR($A362)-YEAR('Recurring Schedule'!$F$36))*12+MONTH($A362)-MONTH('Recurring Schedule'!$F$36),'Recurring Schedule'!$O$36)=0),IF('Recurring Schedule'!$E$36="Weekdays",WEEKDAY($A362,2)&lt;=5,$A362='Recurring Schedule'!$F$36))),31,""))))</f>
        <v/>
      </c>
      <c r="AG362">
        <f>IF('Recurring Schedule'!$C$37="","",IF('Recurring Schedule'!$F$37="","",IF(OR($A362&lt;'Recurring Schedule'!$F$37,$A362&gt;'Recurring Schedule'!$P$37),"",IF(IF('Recurring Schedule'!$N$37&gt;0,MOD($A362-'Recurring Schedule'!$F$37,'Recurring Schedule'!$N$37)=0,IF('Recurring Schedule'!$O$37&gt;0,AND(DAY($A362)=MIN(DAY('Recurring Schedule'!$F$37),DAY(EOMONTH($A362,0))),MOD((YEAR($A362)-YEAR('Recurring Schedule'!$F$37))*12+MONTH($A362)-MONTH('Recurring Schedule'!$F$37),'Recurring Schedule'!$O$37)=0),IF('Recurring Schedule'!$E$37="Weekdays",WEEKDAY($A362,2)&lt;=5,$A362='Recurring Schedule'!$F$37))),32,""))))</f>
        <v/>
      </c>
      <c r="AH362">
        <f>IF('Recurring Schedule'!$C$38="","",IF('Recurring Schedule'!$F$38="","",IF(OR($A362&lt;'Recurring Schedule'!$F$38,$A362&gt;'Recurring Schedule'!$P$38),"",IF(IF('Recurring Schedule'!$N$38&gt;0,MOD($A362-'Recurring Schedule'!$F$38,'Recurring Schedule'!$N$38)=0,IF('Recurring Schedule'!$O$38&gt;0,AND(DAY($A362)=MIN(DAY('Recurring Schedule'!$F$38),DAY(EOMONTH($A362,0))),MOD((YEAR($A362)-YEAR('Recurring Schedule'!$F$38))*12+MONTH($A362)-MONTH('Recurring Schedule'!$F$38),'Recurring Schedule'!$O$38)=0),IF('Recurring Schedule'!$E$38="Weekdays",WEEKDAY($A362,2)&lt;=5,$A362='Recurring Schedule'!$F$38))),33,""))))</f>
        <v/>
      </c>
      <c r="AI362">
        <f>IF('Recurring Schedule'!$C$39="","",IF('Recurring Schedule'!$F$39="","",IF(OR($A362&lt;'Recurring Schedule'!$F$39,$A362&gt;'Recurring Schedule'!$P$39),"",IF(IF('Recurring Schedule'!$N$39&gt;0,MOD($A362-'Recurring Schedule'!$F$39,'Recurring Schedule'!$N$39)=0,IF('Recurring Schedule'!$O$39&gt;0,AND(DAY($A362)=MIN(DAY('Recurring Schedule'!$F$39),DAY(EOMONTH($A362,0))),MOD((YEAR($A362)-YEAR('Recurring Schedule'!$F$39))*12+MONTH($A362)-MONTH('Recurring Schedule'!$F$39),'Recurring Schedule'!$O$39)=0),IF('Recurring Schedule'!$E$39="Weekdays",WEEKDAY($A362,2)&lt;=5,$A362='Recurring Schedule'!$F$39))),34,""))))</f>
        <v/>
      </c>
      <c r="AJ362">
        <f>IF('Recurring Schedule'!$C$40="","",IF('Recurring Schedule'!$F$40="","",IF(OR($A362&lt;'Recurring Schedule'!$F$40,$A362&gt;'Recurring Schedule'!$P$40),"",IF(IF('Recurring Schedule'!$N$40&gt;0,MOD($A362-'Recurring Schedule'!$F$40,'Recurring Schedule'!$N$40)=0,IF('Recurring Schedule'!$O$40&gt;0,AND(DAY($A362)=MIN(DAY('Recurring Schedule'!$F$40),DAY(EOMONTH($A362,0))),MOD((YEAR($A362)-YEAR('Recurring Schedule'!$F$40))*12+MONTH($A362)-MONTH('Recurring Schedule'!$F$40),'Recurring Schedule'!$O$40)=0),IF('Recurring Schedule'!$E$40="Weekdays",WEEKDAY($A362,2)&lt;=5,$A362='Recurring Schedule'!$F$40))),35,""))))</f>
        <v/>
      </c>
      <c r="AK362">
        <f>IF('Recurring Schedule'!$C$41="","",IF('Recurring Schedule'!$F$41="","",IF(OR($A362&lt;'Recurring Schedule'!$F$41,$A362&gt;'Recurring Schedule'!$P$41),"",IF(IF('Recurring Schedule'!$N$41&gt;0,MOD($A362-'Recurring Schedule'!$F$41,'Recurring Schedule'!$N$41)=0,IF('Recurring Schedule'!$O$41&gt;0,AND(DAY($A362)=MIN(DAY('Recurring Schedule'!$F$41),DAY(EOMONTH($A362,0))),MOD((YEAR($A362)-YEAR('Recurring Schedule'!$F$41))*12+MONTH($A362)-MONTH('Recurring Schedule'!$F$41),'Recurring Schedule'!$O$41)=0),IF('Recurring Schedule'!$E$41="Weekdays",WEEKDAY($A362,2)&lt;=5,$A362='Recurring Schedule'!$F$41))),36,""))))</f>
        <v/>
      </c>
      <c r="AL362">
        <f>IF('Recurring Schedule'!$C$42="","",IF('Recurring Schedule'!$F$42="","",IF(OR($A362&lt;'Recurring Schedule'!$F$42,$A362&gt;'Recurring Schedule'!$P$42),"",IF(IF('Recurring Schedule'!$N$42&gt;0,MOD($A362-'Recurring Schedule'!$F$42,'Recurring Schedule'!$N$42)=0,IF('Recurring Schedule'!$O$42&gt;0,AND(DAY($A362)=MIN(DAY('Recurring Schedule'!$F$42),DAY(EOMONTH($A362,0))),MOD((YEAR($A362)-YEAR('Recurring Schedule'!$F$42))*12+MONTH($A362)-MONTH('Recurring Schedule'!$F$42),'Recurring Schedule'!$O$42)=0),IF('Recurring Schedule'!$E$42="Weekdays",WEEKDAY($A362,2)&lt;=5,$A362='Recurring Schedule'!$F$42))),37,""))))</f>
        <v/>
      </c>
      <c r="AM362">
        <f>IF('Recurring Schedule'!$C$43="","",IF('Recurring Schedule'!$F$43="","",IF(OR($A362&lt;'Recurring Schedule'!$F$43,$A362&gt;'Recurring Schedule'!$P$43),"",IF(IF('Recurring Schedule'!$N$43&gt;0,MOD($A362-'Recurring Schedule'!$F$43,'Recurring Schedule'!$N$43)=0,IF('Recurring Schedule'!$O$43&gt;0,AND(DAY($A362)=MIN(DAY('Recurring Schedule'!$F$43),DAY(EOMONTH($A362,0))),MOD((YEAR($A362)-YEAR('Recurring Schedule'!$F$43))*12+MONTH($A362)-MONTH('Recurring Schedule'!$F$43),'Recurring Schedule'!$O$43)=0),IF('Recurring Schedule'!$E$43="Weekdays",WEEKDAY($A362,2)&lt;=5,$A362='Recurring Schedule'!$F$43))),38,""))))</f>
        <v/>
      </c>
      <c r="AN362">
        <f>IF('Recurring Schedule'!$C$44="","",IF('Recurring Schedule'!$F$44="","",IF(OR($A362&lt;'Recurring Schedule'!$F$44,$A362&gt;'Recurring Schedule'!$P$44),"",IF(IF('Recurring Schedule'!$N$44&gt;0,MOD($A362-'Recurring Schedule'!$F$44,'Recurring Schedule'!$N$44)=0,IF('Recurring Schedule'!$O$44&gt;0,AND(DAY($A362)=MIN(DAY('Recurring Schedule'!$F$44),DAY(EOMONTH($A362,0))),MOD((YEAR($A362)-YEAR('Recurring Schedule'!$F$44))*12+MONTH($A362)-MONTH('Recurring Schedule'!$F$44),'Recurring Schedule'!$O$44)=0),IF('Recurring Schedule'!$E$44="Weekdays",WEEKDAY($A362,2)&lt;=5,$A362='Recurring Schedule'!$F$44))),39,""))))</f>
        <v/>
      </c>
      <c r="AO362">
        <f>IF('Recurring Schedule'!$C$45="","",IF('Recurring Schedule'!$F$45="","",IF(OR($A362&lt;'Recurring Schedule'!$F$45,$A362&gt;'Recurring Schedule'!$P$45),"",IF(IF('Recurring Schedule'!$N$45&gt;0,MOD($A362-'Recurring Schedule'!$F$45,'Recurring Schedule'!$N$45)=0,IF('Recurring Schedule'!$O$45&gt;0,AND(DAY($A362)=MIN(DAY('Recurring Schedule'!$F$45),DAY(EOMONTH($A362,0))),MOD((YEAR($A362)-YEAR('Recurring Schedule'!$F$45))*12+MONTH($A362)-MONTH('Recurring Schedule'!$F$45),'Recurring Schedule'!$O$45)=0),IF('Recurring Schedule'!$E$45="Weekdays",WEEKDAY($A362,2)&lt;=5,$A362='Recurring Schedule'!$F$45))),40,""))))</f>
        <v/>
      </c>
      <c r="AP362">
        <f>COUNT(B362:AO362)</f>
        <v/>
      </c>
      <c r="AQ362">
        <f>AQ361+AP361</f>
        <v/>
      </c>
      <c r="AS362" t="inlineStr">
        <is>
          <t>R</t>
        </is>
      </c>
      <c r="AT362" t="n">
        <v>366</v>
      </c>
      <c r="AU362">
        <f>'Recurring Log'!C366&amp;""</f>
        <v/>
      </c>
      <c r="AV362">
        <f>'Recurring Log'!D366&amp;""</f>
        <v/>
      </c>
      <c r="AW362">
        <f>IF('Recurring Log'!E366="","",'Recurring Log'!E366)</f>
        <v/>
      </c>
      <c r="AX362">
        <f>IF('Recurring Log'!G366="","",'Recurring Log'!G366)</f>
        <v/>
      </c>
      <c r="AY362">
        <f>IF('Recurring Log'!H366="","",'Recurring Log'!H366)</f>
        <v/>
      </c>
      <c r="AZ362">
        <f>IF(AU362="","",IF('Recurring Log'!J366="","Not Started",'Recurring Log'!J366))</f>
        <v/>
      </c>
      <c r="BA362">
        <f>'Recurring Log'!L366&amp;""</f>
        <v/>
      </c>
      <c r="BB362">
        <f>'Recurring Log'!M366&amp;""</f>
        <v/>
      </c>
      <c r="BC362">
        <f>'Recurring Log'!N366&amp;""</f>
        <v/>
      </c>
      <c r="BD362">
        <f>'Recurring Log'!O366&amp;""</f>
        <v/>
      </c>
      <c r="BE362">
        <f>IF('Recurring Log'!K366="","",'Recurring Log'!K366)</f>
        <v/>
      </c>
      <c r="BF362">
        <f>IFERROR(MATCH(BA362,Setup!$L$6:$L$9,0),5)</f>
        <v/>
      </c>
      <c r="BG362">
        <f>IF(OR(AZ362="Done",AZ362="Cancelled"),1,0)</f>
        <v/>
      </c>
      <c r="BH362">
        <f>IF(AND(AU362&lt;&gt;"",ISNUMBER(AW362)),1,0)</f>
        <v/>
      </c>
      <c r="BI362">
        <f>IF(BH362=0,0,IF(AND(AW362&gt;='Tasks Filter'!$F$3,AW362&lt;='Tasks Filter'!$F$4,OR('Tasks Filter'!$I$3="",ISNUMBER(SEARCH('Tasks Filter'!$I$3,AU362))),OR('Tasks Filter'!$I$4="",BF362=IFERROR(MATCH('Tasks Filter'!$I$4,Setup!$L$6:$L$9,0),0)),OR('Tasks Filter'!$I$5="Both",AND('Tasks Filter'!$I$5="Yes",BB362="✓"),AND('Tasks Filter'!$I$5="No",BB362&lt;&gt;"✓")),OR('Tasks Filter'!$L$3="",AV362='Tasks Filter'!$L$3),OR('Tasks Filter'!$L$4="",AZ362='Tasks Filter'!$L$4),OR('Tasks Filter'!$L$5="",BC362='Tasks Filter'!$L$5),OR('Tasks Filter'!$O$3="",BD362='Tasks Filter'!$O$3),OR('Tasks Filter'!$O$4="Yes",BG362=0)),1,0))</f>
        <v/>
      </c>
      <c r="BJ362">
        <f>IF(BH362=0,"",IF('Tasks Filter'!$F$6="Descending",-1,1)*CHOOSE(MATCH('Tasks Filter'!$F$5,Lists!$G$2:$G$6,0),AW362,BF362,IFERROR(MATCH(AV362,Setup!$F$6:$F$15,0),99),IFERROR(MATCH(BC362,Setup!$H$6:$H$15,0),99),IFERROR(MATCH(AZ362,Setup!$J$6:$J$11,0),99))*1E+9+(AW362-40000)*10000+361)</f>
        <v/>
      </c>
      <c r="BK362">
        <f>IF(BI362=1,BJ362,"")</f>
        <v/>
      </c>
      <c r="BL362">
        <f>IF(AND(BH362=1,BG362=0,N(AW362)&lt;Setup!$D$7),(AW362-40000)*10000+361,"")</f>
        <v/>
      </c>
      <c r="BM362">
        <f>IF(AND(BH362=1,AZ362&lt;&gt;"Cancelled",N(AW362)&gt;=Dashboard!$AB$3,N(AW362)&lt;=Dashboard!$AB$3+6),(AW362-40000)*100000+BF362*10000+361,"")</f>
        <v/>
      </c>
      <c r="BN362">
        <f>IF(AND(BH362=1,AZ362&lt;&gt;"Cancelled"),BF362*10000+361,"")</f>
        <v/>
      </c>
    </row>
    <row r="363">
      <c r="A363">
        <f>Setup!$D$5+361</f>
        <v/>
      </c>
      <c r="B363">
        <f>IF('Recurring Schedule'!$C$6="","",IF('Recurring Schedule'!$F$6="","",IF(OR($A363&lt;'Recurring Schedule'!$F$6,$A363&gt;'Recurring Schedule'!$P$6),"",IF(IF('Recurring Schedule'!$N$6&gt;0,MOD($A363-'Recurring Schedule'!$F$6,'Recurring Schedule'!$N$6)=0,IF('Recurring Schedule'!$O$6&gt;0,AND(DAY($A363)=MIN(DAY('Recurring Schedule'!$F$6),DAY(EOMONTH($A363,0))),MOD((YEAR($A363)-YEAR('Recurring Schedule'!$F$6))*12+MONTH($A363)-MONTH('Recurring Schedule'!$F$6),'Recurring Schedule'!$O$6)=0),IF('Recurring Schedule'!$E$6="Weekdays",WEEKDAY($A363,2)&lt;=5,$A363='Recurring Schedule'!$F$6))),1,""))))</f>
        <v/>
      </c>
      <c r="C363">
        <f>IF('Recurring Schedule'!$C$7="","",IF('Recurring Schedule'!$F$7="","",IF(OR($A363&lt;'Recurring Schedule'!$F$7,$A363&gt;'Recurring Schedule'!$P$7),"",IF(IF('Recurring Schedule'!$N$7&gt;0,MOD($A363-'Recurring Schedule'!$F$7,'Recurring Schedule'!$N$7)=0,IF('Recurring Schedule'!$O$7&gt;0,AND(DAY($A363)=MIN(DAY('Recurring Schedule'!$F$7),DAY(EOMONTH($A363,0))),MOD((YEAR($A363)-YEAR('Recurring Schedule'!$F$7))*12+MONTH($A363)-MONTH('Recurring Schedule'!$F$7),'Recurring Schedule'!$O$7)=0),IF('Recurring Schedule'!$E$7="Weekdays",WEEKDAY($A363,2)&lt;=5,$A363='Recurring Schedule'!$F$7))),2,""))))</f>
        <v/>
      </c>
      <c r="D363">
        <f>IF('Recurring Schedule'!$C$8="","",IF('Recurring Schedule'!$F$8="","",IF(OR($A363&lt;'Recurring Schedule'!$F$8,$A363&gt;'Recurring Schedule'!$P$8),"",IF(IF('Recurring Schedule'!$N$8&gt;0,MOD($A363-'Recurring Schedule'!$F$8,'Recurring Schedule'!$N$8)=0,IF('Recurring Schedule'!$O$8&gt;0,AND(DAY($A363)=MIN(DAY('Recurring Schedule'!$F$8),DAY(EOMONTH($A363,0))),MOD((YEAR($A363)-YEAR('Recurring Schedule'!$F$8))*12+MONTH($A363)-MONTH('Recurring Schedule'!$F$8),'Recurring Schedule'!$O$8)=0),IF('Recurring Schedule'!$E$8="Weekdays",WEEKDAY($A363,2)&lt;=5,$A363='Recurring Schedule'!$F$8))),3,""))))</f>
        <v/>
      </c>
      <c r="E363">
        <f>IF('Recurring Schedule'!$C$9="","",IF('Recurring Schedule'!$F$9="","",IF(OR($A363&lt;'Recurring Schedule'!$F$9,$A363&gt;'Recurring Schedule'!$P$9),"",IF(IF('Recurring Schedule'!$N$9&gt;0,MOD($A363-'Recurring Schedule'!$F$9,'Recurring Schedule'!$N$9)=0,IF('Recurring Schedule'!$O$9&gt;0,AND(DAY($A363)=MIN(DAY('Recurring Schedule'!$F$9),DAY(EOMONTH($A363,0))),MOD((YEAR($A363)-YEAR('Recurring Schedule'!$F$9))*12+MONTH($A363)-MONTH('Recurring Schedule'!$F$9),'Recurring Schedule'!$O$9)=0),IF('Recurring Schedule'!$E$9="Weekdays",WEEKDAY($A363,2)&lt;=5,$A363='Recurring Schedule'!$F$9))),4,""))))</f>
        <v/>
      </c>
      <c r="F363">
        <f>IF('Recurring Schedule'!$C$10="","",IF('Recurring Schedule'!$F$10="","",IF(OR($A363&lt;'Recurring Schedule'!$F$10,$A363&gt;'Recurring Schedule'!$P$10),"",IF(IF('Recurring Schedule'!$N$10&gt;0,MOD($A363-'Recurring Schedule'!$F$10,'Recurring Schedule'!$N$10)=0,IF('Recurring Schedule'!$O$10&gt;0,AND(DAY($A363)=MIN(DAY('Recurring Schedule'!$F$10),DAY(EOMONTH($A363,0))),MOD((YEAR($A363)-YEAR('Recurring Schedule'!$F$10))*12+MONTH($A363)-MONTH('Recurring Schedule'!$F$10),'Recurring Schedule'!$O$10)=0),IF('Recurring Schedule'!$E$10="Weekdays",WEEKDAY($A363,2)&lt;=5,$A363='Recurring Schedule'!$F$10))),5,""))))</f>
        <v/>
      </c>
      <c r="G363">
        <f>IF('Recurring Schedule'!$C$11="","",IF('Recurring Schedule'!$F$11="","",IF(OR($A363&lt;'Recurring Schedule'!$F$11,$A363&gt;'Recurring Schedule'!$P$11),"",IF(IF('Recurring Schedule'!$N$11&gt;0,MOD($A363-'Recurring Schedule'!$F$11,'Recurring Schedule'!$N$11)=0,IF('Recurring Schedule'!$O$11&gt;0,AND(DAY($A363)=MIN(DAY('Recurring Schedule'!$F$11),DAY(EOMONTH($A363,0))),MOD((YEAR($A363)-YEAR('Recurring Schedule'!$F$11))*12+MONTH($A363)-MONTH('Recurring Schedule'!$F$11),'Recurring Schedule'!$O$11)=0),IF('Recurring Schedule'!$E$11="Weekdays",WEEKDAY($A363,2)&lt;=5,$A363='Recurring Schedule'!$F$11))),6,""))))</f>
        <v/>
      </c>
      <c r="H363">
        <f>IF('Recurring Schedule'!$C$12="","",IF('Recurring Schedule'!$F$12="","",IF(OR($A363&lt;'Recurring Schedule'!$F$12,$A363&gt;'Recurring Schedule'!$P$12),"",IF(IF('Recurring Schedule'!$N$12&gt;0,MOD($A363-'Recurring Schedule'!$F$12,'Recurring Schedule'!$N$12)=0,IF('Recurring Schedule'!$O$12&gt;0,AND(DAY($A363)=MIN(DAY('Recurring Schedule'!$F$12),DAY(EOMONTH($A363,0))),MOD((YEAR($A363)-YEAR('Recurring Schedule'!$F$12))*12+MONTH($A363)-MONTH('Recurring Schedule'!$F$12),'Recurring Schedule'!$O$12)=0),IF('Recurring Schedule'!$E$12="Weekdays",WEEKDAY($A363,2)&lt;=5,$A363='Recurring Schedule'!$F$12))),7,""))))</f>
        <v/>
      </c>
      <c r="I363">
        <f>IF('Recurring Schedule'!$C$13="","",IF('Recurring Schedule'!$F$13="","",IF(OR($A363&lt;'Recurring Schedule'!$F$13,$A363&gt;'Recurring Schedule'!$P$13),"",IF(IF('Recurring Schedule'!$N$13&gt;0,MOD($A363-'Recurring Schedule'!$F$13,'Recurring Schedule'!$N$13)=0,IF('Recurring Schedule'!$O$13&gt;0,AND(DAY($A363)=MIN(DAY('Recurring Schedule'!$F$13),DAY(EOMONTH($A363,0))),MOD((YEAR($A363)-YEAR('Recurring Schedule'!$F$13))*12+MONTH($A363)-MONTH('Recurring Schedule'!$F$13),'Recurring Schedule'!$O$13)=0),IF('Recurring Schedule'!$E$13="Weekdays",WEEKDAY($A363,2)&lt;=5,$A363='Recurring Schedule'!$F$13))),8,""))))</f>
        <v/>
      </c>
      <c r="J363">
        <f>IF('Recurring Schedule'!$C$14="","",IF('Recurring Schedule'!$F$14="","",IF(OR($A363&lt;'Recurring Schedule'!$F$14,$A363&gt;'Recurring Schedule'!$P$14),"",IF(IF('Recurring Schedule'!$N$14&gt;0,MOD($A363-'Recurring Schedule'!$F$14,'Recurring Schedule'!$N$14)=0,IF('Recurring Schedule'!$O$14&gt;0,AND(DAY($A363)=MIN(DAY('Recurring Schedule'!$F$14),DAY(EOMONTH($A363,0))),MOD((YEAR($A363)-YEAR('Recurring Schedule'!$F$14))*12+MONTH($A363)-MONTH('Recurring Schedule'!$F$14),'Recurring Schedule'!$O$14)=0),IF('Recurring Schedule'!$E$14="Weekdays",WEEKDAY($A363,2)&lt;=5,$A363='Recurring Schedule'!$F$14))),9,""))))</f>
        <v/>
      </c>
      <c r="K363">
        <f>IF('Recurring Schedule'!$C$15="","",IF('Recurring Schedule'!$F$15="","",IF(OR($A363&lt;'Recurring Schedule'!$F$15,$A363&gt;'Recurring Schedule'!$P$15),"",IF(IF('Recurring Schedule'!$N$15&gt;0,MOD($A363-'Recurring Schedule'!$F$15,'Recurring Schedule'!$N$15)=0,IF('Recurring Schedule'!$O$15&gt;0,AND(DAY($A363)=MIN(DAY('Recurring Schedule'!$F$15),DAY(EOMONTH($A363,0))),MOD((YEAR($A363)-YEAR('Recurring Schedule'!$F$15))*12+MONTH($A363)-MONTH('Recurring Schedule'!$F$15),'Recurring Schedule'!$O$15)=0),IF('Recurring Schedule'!$E$15="Weekdays",WEEKDAY($A363,2)&lt;=5,$A363='Recurring Schedule'!$F$15))),10,""))))</f>
        <v/>
      </c>
      <c r="L363">
        <f>IF('Recurring Schedule'!$C$16="","",IF('Recurring Schedule'!$F$16="","",IF(OR($A363&lt;'Recurring Schedule'!$F$16,$A363&gt;'Recurring Schedule'!$P$16),"",IF(IF('Recurring Schedule'!$N$16&gt;0,MOD($A363-'Recurring Schedule'!$F$16,'Recurring Schedule'!$N$16)=0,IF('Recurring Schedule'!$O$16&gt;0,AND(DAY($A363)=MIN(DAY('Recurring Schedule'!$F$16),DAY(EOMONTH($A363,0))),MOD((YEAR($A363)-YEAR('Recurring Schedule'!$F$16))*12+MONTH($A363)-MONTH('Recurring Schedule'!$F$16),'Recurring Schedule'!$O$16)=0),IF('Recurring Schedule'!$E$16="Weekdays",WEEKDAY($A363,2)&lt;=5,$A363='Recurring Schedule'!$F$16))),11,""))))</f>
        <v/>
      </c>
      <c r="M363">
        <f>IF('Recurring Schedule'!$C$17="","",IF('Recurring Schedule'!$F$17="","",IF(OR($A363&lt;'Recurring Schedule'!$F$17,$A363&gt;'Recurring Schedule'!$P$17),"",IF(IF('Recurring Schedule'!$N$17&gt;0,MOD($A363-'Recurring Schedule'!$F$17,'Recurring Schedule'!$N$17)=0,IF('Recurring Schedule'!$O$17&gt;0,AND(DAY($A363)=MIN(DAY('Recurring Schedule'!$F$17),DAY(EOMONTH($A363,0))),MOD((YEAR($A363)-YEAR('Recurring Schedule'!$F$17))*12+MONTH($A363)-MONTH('Recurring Schedule'!$F$17),'Recurring Schedule'!$O$17)=0),IF('Recurring Schedule'!$E$17="Weekdays",WEEKDAY($A363,2)&lt;=5,$A363='Recurring Schedule'!$F$17))),12,""))))</f>
        <v/>
      </c>
      <c r="N363">
        <f>IF('Recurring Schedule'!$C$18="","",IF('Recurring Schedule'!$F$18="","",IF(OR($A363&lt;'Recurring Schedule'!$F$18,$A363&gt;'Recurring Schedule'!$P$18),"",IF(IF('Recurring Schedule'!$N$18&gt;0,MOD($A363-'Recurring Schedule'!$F$18,'Recurring Schedule'!$N$18)=0,IF('Recurring Schedule'!$O$18&gt;0,AND(DAY($A363)=MIN(DAY('Recurring Schedule'!$F$18),DAY(EOMONTH($A363,0))),MOD((YEAR($A363)-YEAR('Recurring Schedule'!$F$18))*12+MONTH($A363)-MONTH('Recurring Schedule'!$F$18),'Recurring Schedule'!$O$18)=0),IF('Recurring Schedule'!$E$18="Weekdays",WEEKDAY($A363,2)&lt;=5,$A363='Recurring Schedule'!$F$18))),13,""))))</f>
        <v/>
      </c>
      <c r="O363">
        <f>IF('Recurring Schedule'!$C$19="","",IF('Recurring Schedule'!$F$19="","",IF(OR($A363&lt;'Recurring Schedule'!$F$19,$A363&gt;'Recurring Schedule'!$P$19),"",IF(IF('Recurring Schedule'!$N$19&gt;0,MOD($A363-'Recurring Schedule'!$F$19,'Recurring Schedule'!$N$19)=0,IF('Recurring Schedule'!$O$19&gt;0,AND(DAY($A363)=MIN(DAY('Recurring Schedule'!$F$19),DAY(EOMONTH($A363,0))),MOD((YEAR($A363)-YEAR('Recurring Schedule'!$F$19))*12+MONTH($A363)-MONTH('Recurring Schedule'!$F$19),'Recurring Schedule'!$O$19)=0),IF('Recurring Schedule'!$E$19="Weekdays",WEEKDAY($A363,2)&lt;=5,$A363='Recurring Schedule'!$F$19))),14,""))))</f>
        <v/>
      </c>
      <c r="P363">
        <f>IF('Recurring Schedule'!$C$20="","",IF('Recurring Schedule'!$F$20="","",IF(OR($A363&lt;'Recurring Schedule'!$F$20,$A363&gt;'Recurring Schedule'!$P$20),"",IF(IF('Recurring Schedule'!$N$20&gt;0,MOD($A363-'Recurring Schedule'!$F$20,'Recurring Schedule'!$N$20)=0,IF('Recurring Schedule'!$O$20&gt;0,AND(DAY($A363)=MIN(DAY('Recurring Schedule'!$F$20),DAY(EOMONTH($A363,0))),MOD((YEAR($A363)-YEAR('Recurring Schedule'!$F$20))*12+MONTH($A363)-MONTH('Recurring Schedule'!$F$20),'Recurring Schedule'!$O$20)=0),IF('Recurring Schedule'!$E$20="Weekdays",WEEKDAY($A363,2)&lt;=5,$A363='Recurring Schedule'!$F$20))),15,""))))</f>
        <v/>
      </c>
      <c r="Q363">
        <f>IF('Recurring Schedule'!$C$21="","",IF('Recurring Schedule'!$F$21="","",IF(OR($A363&lt;'Recurring Schedule'!$F$21,$A363&gt;'Recurring Schedule'!$P$21),"",IF(IF('Recurring Schedule'!$N$21&gt;0,MOD($A363-'Recurring Schedule'!$F$21,'Recurring Schedule'!$N$21)=0,IF('Recurring Schedule'!$O$21&gt;0,AND(DAY($A363)=MIN(DAY('Recurring Schedule'!$F$21),DAY(EOMONTH($A363,0))),MOD((YEAR($A363)-YEAR('Recurring Schedule'!$F$21))*12+MONTH($A363)-MONTH('Recurring Schedule'!$F$21),'Recurring Schedule'!$O$21)=0),IF('Recurring Schedule'!$E$21="Weekdays",WEEKDAY($A363,2)&lt;=5,$A363='Recurring Schedule'!$F$21))),16,""))))</f>
        <v/>
      </c>
      <c r="R363">
        <f>IF('Recurring Schedule'!$C$22="","",IF('Recurring Schedule'!$F$22="","",IF(OR($A363&lt;'Recurring Schedule'!$F$22,$A363&gt;'Recurring Schedule'!$P$22),"",IF(IF('Recurring Schedule'!$N$22&gt;0,MOD($A363-'Recurring Schedule'!$F$22,'Recurring Schedule'!$N$22)=0,IF('Recurring Schedule'!$O$22&gt;0,AND(DAY($A363)=MIN(DAY('Recurring Schedule'!$F$22),DAY(EOMONTH($A363,0))),MOD((YEAR($A363)-YEAR('Recurring Schedule'!$F$22))*12+MONTH($A363)-MONTH('Recurring Schedule'!$F$22),'Recurring Schedule'!$O$22)=0),IF('Recurring Schedule'!$E$22="Weekdays",WEEKDAY($A363,2)&lt;=5,$A363='Recurring Schedule'!$F$22))),17,""))))</f>
        <v/>
      </c>
      <c r="S363">
        <f>IF('Recurring Schedule'!$C$23="","",IF('Recurring Schedule'!$F$23="","",IF(OR($A363&lt;'Recurring Schedule'!$F$23,$A363&gt;'Recurring Schedule'!$P$23),"",IF(IF('Recurring Schedule'!$N$23&gt;0,MOD($A363-'Recurring Schedule'!$F$23,'Recurring Schedule'!$N$23)=0,IF('Recurring Schedule'!$O$23&gt;0,AND(DAY($A363)=MIN(DAY('Recurring Schedule'!$F$23),DAY(EOMONTH($A363,0))),MOD((YEAR($A363)-YEAR('Recurring Schedule'!$F$23))*12+MONTH($A363)-MONTH('Recurring Schedule'!$F$23),'Recurring Schedule'!$O$23)=0),IF('Recurring Schedule'!$E$23="Weekdays",WEEKDAY($A363,2)&lt;=5,$A363='Recurring Schedule'!$F$23))),18,""))))</f>
        <v/>
      </c>
      <c r="T363">
        <f>IF('Recurring Schedule'!$C$24="","",IF('Recurring Schedule'!$F$24="","",IF(OR($A363&lt;'Recurring Schedule'!$F$24,$A363&gt;'Recurring Schedule'!$P$24),"",IF(IF('Recurring Schedule'!$N$24&gt;0,MOD($A363-'Recurring Schedule'!$F$24,'Recurring Schedule'!$N$24)=0,IF('Recurring Schedule'!$O$24&gt;0,AND(DAY($A363)=MIN(DAY('Recurring Schedule'!$F$24),DAY(EOMONTH($A363,0))),MOD((YEAR($A363)-YEAR('Recurring Schedule'!$F$24))*12+MONTH($A363)-MONTH('Recurring Schedule'!$F$24),'Recurring Schedule'!$O$24)=0),IF('Recurring Schedule'!$E$24="Weekdays",WEEKDAY($A363,2)&lt;=5,$A363='Recurring Schedule'!$F$24))),19,""))))</f>
        <v/>
      </c>
      <c r="U363">
        <f>IF('Recurring Schedule'!$C$25="","",IF('Recurring Schedule'!$F$25="","",IF(OR($A363&lt;'Recurring Schedule'!$F$25,$A363&gt;'Recurring Schedule'!$P$25),"",IF(IF('Recurring Schedule'!$N$25&gt;0,MOD($A363-'Recurring Schedule'!$F$25,'Recurring Schedule'!$N$25)=0,IF('Recurring Schedule'!$O$25&gt;0,AND(DAY($A363)=MIN(DAY('Recurring Schedule'!$F$25),DAY(EOMONTH($A363,0))),MOD((YEAR($A363)-YEAR('Recurring Schedule'!$F$25))*12+MONTH($A363)-MONTH('Recurring Schedule'!$F$25),'Recurring Schedule'!$O$25)=0),IF('Recurring Schedule'!$E$25="Weekdays",WEEKDAY($A363,2)&lt;=5,$A363='Recurring Schedule'!$F$25))),20,""))))</f>
        <v/>
      </c>
      <c r="V363">
        <f>IF('Recurring Schedule'!$C$26="","",IF('Recurring Schedule'!$F$26="","",IF(OR($A363&lt;'Recurring Schedule'!$F$26,$A363&gt;'Recurring Schedule'!$P$26),"",IF(IF('Recurring Schedule'!$N$26&gt;0,MOD($A363-'Recurring Schedule'!$F$26,'Recurring Schedule'!$N$26)=0,IF('Recurring Schedule'!$O$26&gt;0,AND(DAY($A363)=MIN(DAY('Recurring Schedule'!$F$26),DAY(EOMONTH($A363,0))),MOD((YEAR($A363)-YEAR('Recurring Schedule'!$F$26))*12+MONTH($A363)-MONTH('Recurring Schedule'!$F$26),'Recurring Schedule'!$O$26)=0),IF('Recurring Schedule'!$E$26="Weekdays",WEEKDAY($A363,2)&lt;=5,$A363='Recurring Schedule'!$F$26))),21,""))))</f>
        <v/>
      </c>
      <c r="W363">
        <f>IF('Recurring Schedule'!$C$27="","",IF('Recurring Schedule'!$F$27="","",IF(OR($A363&lt;'Recurring Schedule'!$F$27,$A363&gt;'Recurring Schedule'!$P$27),"",IF(IF('Recurring Schedule'!$N$27&gt;0,MOD($A363-'Recurring Schedule'!$F$27,'Recurring Schedule'!$N$27)=0,IF('Recurring Schedule'!$O$27&gt;0,AND(DAY($A363)=MIN(DAY('Recurring Schedule'!$F$27),DAY(EOMONTH($A363,0))),MOD((YEAR($A363)-YEAR('Recurring Schedule'!$F$27))*12+MONTH($A363)-MONTH('Recurring Schedule'!$F$27),'Recurring Schedule'!$O$27)=0),IF('Recurring Schedule'!$E$27="Weekdays",WEEKDAY($A363,2)&lt;=5,$A363='Recurring Schedule'!$F$27))),22,""))))</f>
        <v/>
      </c>
      <c r="X363">
        <f>IF('Recurring Schedule'!$C$28="","",IF('Recurring Schedule'!$F$28="","",IF(OR($A363&lt;'Recurring Schedule'!$F$28,$A363&gt;'Recurring Schedule'!$P$28),"",IF(IF('Recurring Schedule'!$N$28&gt;0,MOD($A363-'Recurring Schedule'!$F$28,'Recurring Schedule'!$N$28)=0,IF('Recurring Schedule'!$O$28&gt;0,AND(DAY($A363)=MIN(DAY('Recurring Schedule'!$F$28),DAY(EOMONTH($A363,0))),MOD((YEAR($A363)-YEAR('Recurring Schedule'!$F$28))*12+MONTH($A363)-MONTH('Recurring Schedule'!$F$28),'Recurring Schedule'!$O$28)=0),IF('Recurring Schedule'!$E$28="Weekdays",WEEKDAY($A363,2)&lt;=5,$A363='Recurring Schedule'!$F$28))),23,""))))</f>
        <v/>
      </c>
      <c r="Y363">
        <f>IF('Recurring Schedule'!$C$29="","",IF('Recurring Schedule'!$F$29="","",IF(OR($A363&lt;'Recurring Schedule'!$F$29,$A363&gt;'Recurring Schedule'!$P$29),"",IF(IF('Recurring Schedule'!$N$29&gt;0,MOD($A363-'Recurring Schedule'!$F$29,'Recurring Schedule'!$N$29)=0,IF('Recurring Schedule'!$O$29&gt;0,AND(DAY($A363)=MIN(DAY('Recurring Schedule'!$F$29),DAY(EOMONTH($A363,0))),MOD((YEAR($A363)-YEAR('Recurring Schedule'!$F$29))*12+MONTH($A363)-MONTH('Recurring Schedule'!$F$29),'Recurring Schedule'!$O$29)=0),IF('Recurring Schedule'!$E$29="Weekdays",WEEKDAY($A363,2)&lt;=5,$A363='Recurring Schedule'!$F$29))),24,""))))</f>
        <v/>
      </c>
      <c r="Z363">
        <f>IF('Recurring Schedule'!$C$30="","",IF('Recurring Schedule'!$F$30="","",IF(OR($A363&lt;'Recurring Schedule'!$F$30,$A363&gt;'Recurring Schedule'!$P$30),"",IF(IF('Recurring Schedule'!$N$30&gt;0,MOD($A363-'Recurring Schedule'!$F$30,'Recurring Schedule'!$N$30)=0,IF('Recurring Schedule'!$O$30&gt;0,AND(DAY($A363)=MIN(DAY('Recurring Schedule'!$F$30),DAY(EOMONTH($A363,0))),MOD((YEAR($A363)-YEAR('Recurring Schedule'!$F$30))*12+MONTH($A363)-MONTH('Recurring Schedule'!$F$30),'Recurring Schedule'!$O$30)=0),IF('Recurring Schedule'!$E$30="Weekdays",WEEKDAY($A363,2)&lt;=5,$A363='Recurring Schedule'!$F$30))),25,""))))</f>
        <v/>
      </c>
      <c r="AA363">
        <f>IF('Recurring Schedule'!$C$31="","",IF('Recurring Schedule'!$F$31="","",IF(OR($A363&lt;'Recurring Schedule'!$F$31,$A363&gt;'Recurring Schedule'!$P$31),"",IF(IF('Recurring Schedule'!$N$31&gt;0,MOD($A363-'Recurring Schedule'!$F$31,'Recurring Schedule'!$N$31)=0,IF('Recurring Schedule'!$O$31&gt;0,AND(DAY($A363)=MIN(DAY('Recurring Schedule'!$F$31),DAY(EOMONTH($A363,0))),MOD((YEAR($A363)-YEAR('Recurring Schedule'!$F$31))*12+MONTH($A363)-MONTH('Recurring Schedule'!$F$31),'Recurring Schedule'!$O$31)=0),IF('Recurring Schedule'!$E$31="Weekdays",WEEKDAY($A363,2)&lt;=5,$A363='Recurring Schedule'!$F$31))),26,""))))</f>
        <v/>
      </c>
      <c r="AB363">
        <f>IF('Recurring Schedule'!$C$32="","",IF('Recurring Schedule'!$F$32="","",IF(OR($A363&lt;'Recurring Schedule'!$F$32,$A363&gt;'Recurring Schedule'!$P$32),"",IF(IF('Recurring Schedule'!$N$32&gt;0,MOD($A363-'Recurring Schedule'!$F$32,'Recurring Schedule'!$N$32)=0,IF('Recurring Schedule'!$O$32&gt;0,AND(DAY($A363)=MIN(DAY('Recurring Schedule'!$F$32),DAY(EOMONTH($A363,0))),MOD((YEAR($A363)-YEAR('Recurring Schedule'!$F$32))*12+MONTH($A363)-MONTH('Recurring Schedule'!$F$32),'Recurring Schedule'!$O$32)=0),IF('Recurring Schedule'!$E$32="Weekdays",WEEKDAY($A363,2)&lt;=5,$A363='Recurring Schedule'!$F$32))),27,""))))</f>
        <v/>
      </c>
      <c r="AC363">
        <f>IF('Recurring Schedule'!$C$33="","",IF('Recurring Schedule'!$F$33="","",IF(OR($A363&lt;'Recurring Schedule'!$F$33,$A363&gt;'Recurring Schedule'!$P$33),"",IF(IF('Recurring Schedule'!$N$33&gt;0,MOD($A363-'Recurring Schedule'!$F$33,'Recurring Schedule'!$N$33)=0,IF('Recurring Schedule'!$O$33&gt;0,AND(DAY($A363)=MIN(DAY('Recurring Schedule'!$F$33),DAY(EOMONTH($A363,0))),MOD((YEAR($A363)-YEAR('Recurring Schedule'!$F$33))*12+MONTH($A363)-MONTH('Recurring Schedule'!$F$33),'Recurring Schedule'!$O$33)=0),IF('Recurring Schedule'!$E$33="Weekdays",WEEKDAY($A363,2)&lt;=5,$A363='Recurring Schedule'!$F$33))),28,""))))</f>
        <v/>
      </c>
      <c r="AD363">
        <f>IF('Recurring Schedule'!$C$34="","",IF('Recurring Schedule'!$F$34="","",IF(OR($A363&lt;'Recurring Schedule'!$F$34,$A363&gt;'Recurring Schedule'!$P$34),"",IF(IF('Recurring Schedule'!$N$34&gt;0,MOD($A363-'Recurring Schedule'!$F$34,'Recurring Schedule'!$N$34)=0,IF('Recurring Schedule'!$O$34&gt;0,AND(DAY($A363)=MIN(DAY('Recurring Schedule'!$F$34),DAY(EOMONTH($A363,0))),MOD((YEAR($A363)-YEAR('Recurring Schedule'!$F$34))*12+MONTH($A363)-MONTH('Recurring Schedule'!$F$34),'Recurring Schedule'!$O$34)=0),IF('Recurring Schedule'!$E$34="Weekdays",WEEKDAY($A363,2)&lt;=5,$A363='Recurring Schedule'!$F$34))),29,""))))</f>
        <v/>
      </c>
      <c r="AE363">
        <f>IF('Recurring Schedule'!$C$35="","",IF('Recurring Schedule'!$F$35="","",IF(OR($A363&lt;'Recurring Schedule'!$F$35,$A363&gt;'Recurring Schedule'!$P$35),"",IF(IF('Recurring Schedule'!$N$35&gt;0,MOD($A363-'Recurring Schedule'!$F$35,'Recurring Schedule'!$N$35)=0,IF('Recurring Schedule'!$O$35&gt;0,AND(DAY($A363)=MIN(DAY('Recurring Schedule'!$F$35),DAY(EOMONTH($A363,0))),MOD((YEAR($A363)-YEAR('Recurring Schedule'!$F$35))*12+MONTH($A363)-MONTH('Recurring Schedule'!$F$35),'Recurring Schedule'!$O$35)=0),IF('Recurring Schedule'!$E$35="Weekdays",WEEKDAY($A363,2)&lt;=5,$A363='Recurring Schedule'!$F$35))),30,""))))</f>
        <v/>
      </c>
      <c r="AF363">
        <f>IF('Recurring Schedule'!$C$36="","",IF('Recurring Schedule'!$F$36="","",IF(OR($A363&lt;'Recurring Schedule'!$F$36,$A363&gt;'Recurring Schedule'!$P$36),"",IF(IF('Recurring Schedule'!$N$36&gt;0,MOD($A363-'Recurring Schedule'!$F$36,'Recurring Schedule'!$N$36)=0,IF('Recurring Schedule'!$O$36&gt;0,AND(DAY($A363)=MIN(DAY('Recurring Schedule'!$F$36),DAY(EOMONTH($A363,0))),MOD((YEAR($A363)-YEAR('Recurring Schedule'!$F$36))*12+MONTH($A363)-MONTH('Recurring Schedule'!$F$36),'Recurring Schedule'!$O$36)=0),IF('Recurring Schedule'!$E$36="Weekdays",WEEKDAY($A363,2)&lt;=5,$A363='Recurring Schedule'!$F$36))),31,""))))</f>
        <v/>
      </c>
      <c r="AG363">
        <f>IF('Recurring Schedule'!$C$37="","",IF('Recurring Schedule'!$F$37="","",IF(OR($A363&lt;'Recurring Schedule'!$F$37,$A363&gt;'Recurring Schedule'!$P$37),"",IF(IF('Recurring Schedule'!$N$37&gt;0,MOD($A363-'Recurring Schedule'!$F$37,'Recurring Schedule'!$N$37)=0,IF('Recurring Schedule'!$O$37&gt;0,AND(DAY($A363)=MIN(DAY('Recurring Schedule'!$F$37),DAY(EOMONTH($A363,0))),MOD((YEAR($A363)-YEAR('Recurring Schedule'!$F$37))*12+MONTH($A363)-MONTH('Recurring Schedule'!$F$37),'Recurring Schedule'!$O$37)=0),IF('Recurring Schedule'!$E$37="Weekdays",WEEKDAY($A363,2)&lt;=5,$A363='Recurring Schedule'!$F$37))),32,""))))</f>
        <v/>
      </c>
      <c r="AH363">
        <f>IF('Recurring Schedule'!$C$38="","",IF('Recurring Schedule'!$F$38="","",IF(OR($A363&lt;'Recurring Schedule'!$F$38,$A363&gt;'Recurring Schedule'!$P$38),"",IF(IF('Recurring Schedule'!$N$38&gt;0,MOD($A363-'Recurring Schedule'!$F$38,'Recurring Schedule'!$N$38)=0,IF('Recurring Schedule'!$O$38&gt;0,AND(DAY($A363)=MIN(DAY('Recurring Schedule'!$F$38),DAY(EOMONTH($A363,0))),MOD((YEAR($A363)-YEAR('Recurring Schedule'!$F$38))*12+MONTH($A363)-MONTH('Recurring Schedule'!$F$38),'Recurring Schedule'!$O$38)=0),IF('Recurring Schedule'!$E$38="Weekdays",WEEKDAY($A363,2)&lt;=5,$A363='Recurring Schedule'!$F$38))),33,""))))</f>
        <v/>
      </c>
      <c r="AI363">
        <f>IF('Recurring Schedule'!$C$39="","",IF('Recurring Schedule'!$F$39="","",IF(OR($A363&lt;'Recurring Schedule'!$F$39,$A363&gt;'Recurring Schedule'!$P$39),"",IF(IF('Recurring Schedule'!$N$39&gt;0,MOD($A363-'Recurring Schedule'!$F$39,'Recurring Schedule'!$N$39)=0,IF('Recurring Schedule'!$O$39&gt;0,AND(DAY($A363)=MIN(DAY('Recurring Schedule'!$F$39),DAY(EOMONTH($A363,0))),MOD((YEAR($A363)-YEAR('Recurring Schedule'!$F$39))*12+MONTH($A363)-MONTH('Recurring Schedule'!$F$39),'Recurring Schedule'!$O$39)=0),IF('Recurring Schedule'!$E$39="Weekdays",WEEKDAY($A363,2)&lt;=5,$A363='Recurring Schedule'!$F$39))),34,""))))</f>
        <v/>
      </c>
      <c r="AJ363">
        <f>IF('Recurring Schedule'!$C$40="","",IF('Recurring Schedule'!$F$40="","",IF(OR($A363&lt;'Recurring Schedule'!$F$40,$A363&gt;'Recurring Schedule'!$P$40),"",IF(IF('Recurring Schedule'!$N$40&gt;0,MOD($A363-'Recurring Schedule'!$F$40,'Recurring Schedule'!$N$40)=0,IF('Recurring Schedule'!$O$40&gt;0,AND(DAY($A363)=MIN(DAY('Recurring Schedule'!$F$40),DAY(EOMONTH($A363,0))),MOD((YEAR($A363)-YEAR('Recurring Schedule'!$F$40))*12+MONTH($A363)-MONTH('Recurring Schedule'!$F$40),'Recurring Schedule'!$O$40)=0),IF('Recurring Schedule'!$E$40="Weekdays",WEEKDAY($A363,2)&lt;=5,$A363='Recurring Schedule'!$F$40))),35,""))))</f>
        <v/>
      </c>
      <c r="AK363">
        <f>IF('Recurring Schedule'!$C$41="","",IF('Recurring Schedule'!$F$41="","",IF(OR($A363&lt;'Recurring Schedule'!$F$41,$A363&gt;'Recurring Schedule'!$P$41),"",IF(IF('Recurring Schedule'!$N$41&gt;0,MOD($A363-'Recurring Schedule'!$F$41,'Recurring Schedule'!$N$41)=0,IF('Recurring Schedule'!$O$41&gt;0,AND(DAY($A363)=MIN(DAY('Recurring Schedule'!$F$41),DAY(EOMONTH($A363,0))),MOD((YEAR($A363)-YEAR('Recurring Schedule'!$F$41))*12+MONTH($A363)-MONTH('Recurring Schedule'!$F$41),'Recurring Schedule'!$O$41)=0),IF('Recurring Schedule'!$E$41="Weekdays",WEEKDAY($A363,2)&lt;=5,$A363='Recurring Schedule'!$F$41))),36,""))))</f>
        <v/>
      </c>
      <c r="AL363">
        <f>IF('Recurring Schedule'!$C$42="","",IF('Recurring Schedule'!$F$42="","",IF(OR($A363&lt;'Recurring Schedule'!$F$42,$A363&gt;'Recurring Schedule'!$P$42),"",IF(IF('Recurring Schedule'!$N$42&gt;0,MOD($A363-'Recurring Schedule'!$F$42,'Recurring Schedule'!$N$42)=0,IF('Recurring Schedule'!$O$42&gt;0,AND(DAY($A363)=MIN(DAY('Recurring Schedule'!$F$42),DAY(EOMONTH($A363,0))),MOD((YEAR($A363)-YEAR('Recurring Schedule'!$F$42))*12+MONTH($A363)-MONTH('Recurring Schedule'!$F$42),'Recurring Schedule'!$O$42)=0),IF('Recurring Schedule'!$E$42="Weekdays",WEEKDAY($A363,2)&lt;=5,$A363='Recurring Schedule'!$F$42))),37,""))))</f>
        <v/>
      </c>
      <c r="AM363">
        <f>IF('Recurring Schedule'!$C$43="","",IF('Recurring Schedule'!$F$43="","",IF(OR($A363&lt;'Recurring Schedule'!$F$43,$A363&gt;'Recurring Schedule'!$P$43),"",IF(IF('Recurring Schedule'!$N$43&gt;0,MOD($A363-'Recurring Schedule'!$F$43,'Recurring Schedule'!$N$43)=0,IF('Recurring Schedule'!$O$43&gt;0,AND(DAY($A363)=MIN(DAY('Recurring Schedule'!$F$43),DAY(EOMONTH($A363,0))),MOD((YEAR($A363)-YEAR('Recurring Schedule'!$F$43))*12+MONTH($A363)-MONTH('Recurring Schedule'!$F$43),'Recurring Schedule'!$O$43)=0),IF('Recurring Schedule'!$E$43="Weekdays",WEEKDAY($A363,2)&lt;=5,$A363='Recurring Schedule'!$F$43))),38,""))))</f>
        <v/>
      </c>
      <c r="AN363">
        <f>IF('Recurring Schedule'!$C$44="","",IF('Recurring Schedule'!$F$44="","",IF(OR($A363&lt;'Recurring Schedule'!$F$44,$A363&gt;'Recurring Schedule'!$P$44),"",IF(IF('Recurring Schedule'!$N$44&gt;0,MOD($A363-'Recurring Schedule'!$F$44,'Recurring Schedule'!$N$44)=0,IF('Recurring Schedule'!$O$44&gt;0,AND(DAY($A363)=MIN(DAY('Recurring Schedule'!$F$44),DAY(EOMONTH($A363,0))),MOD((YEAR($A363)-YEAR('Recurring Schedule'!$F$44))*12+MONTH($A363)-MONTH('Recurring Schedule'!$F$44),'Recurring Schedule'!$O$44)=0),IF('Recurring Schedule'!$E$44="Weekdays",WEEKDAY($A363,2)&lt;=5,$A363='Recurring Schedule'!$F$44))),39,""))))</f>
        <v/>
      </c>
      <c r="AO363">
        <f>IF('Recurring Schedule'!$C$45="","",IF('Recurring Schedule'!$F$45="","",IF(OR($A363&lt;'Recurring Schedule'!$F$45,$A363&gt;'Recurring Schedule'!$P$45),"",IF(IF('Recurring Schedule'!$N$45&gt;0,MOD($A363-'Recurring Schedule'!$F$45,'Recurring Schedule'!$N$45)=0,IF('Recurring Schedule'!$O$45&gt;0,AND(DAY($A363)=MIN(DAY('Recurring Schedule'!$F$45),DAY(EOMONTH($A363,0))),MOD((YEAR($A363)-YEAR('Recurring Schedule'!$F$45))*12+MONTH($A363)-MONTH('Recurring Schedule'!$F$45),'Recurring Schedule'!$O$45)=0),IF('Recurring Schedule'!$E$45="Weekdays",WEEKDAY($A363,2)&lt;=5,$A363='Recurring Schedule'!$F$45))),40,""))))</f>
        <v/>
      </c>
      <c r="AP363">
        <f>COUNT(B363:AO363)</f>
        <v/>
      </c>
      <c r="AQ363">
        <f>AQ362+AP362</f>
        <v/>
      </c>
      <c r="AS363" t="inlineStr">
        <is>
          <t>R</t>
        </is>
      </c>
      <c r="AT363" t="n">
        <v>367</v>
      </c>
      <c r="AU363">
        <f>'Recurring Log'!C367&amp;""</f>
        <v/>
      </c>
      <c r="AV363">
        <f>'Recurring Log'!D367&amp;""</f>
        <v/>
      </c>
      <c r="AW363">
        <f>IF('Recurring Log'!E367="","",'Recurring Log'!E367)</f>
        <v/>
      </c>
      <c r="AX363">
        <f>IF('Recurring Log'!G367="","",'Recurring Log'!G367)</f>
        <v/>
      </c>
      <c r="AY363">
        <f>IF('Recurring Log'!H367="","",'Recurring Log'!H367)</f>
        <v/>
      </c>
      <c r="AZ363">
        <f>IF(AU363="","",IF('Recurring Log'!J367="","Not Started",'Recurring Log'!J367))</f>
        <v/>
      </c>
      <c r="BA363">
        <f>'Recurring Log'!L367&amp;""</f>
        <v/>
      </c>
      <c r="BB363">
        <f>'Recurring Log'!M367&amp;""</f>
        <v/>
      </c>
      <c r="BC363">
        <f>'Recurring Log'!N367&amp;""</f>
        <v/>
      </c>
      <c r="BD363">
        <f>'Recurring Log'!O367&amp;""</f>
        <v/>
      </c>
      <c r="BE363">
        <f>IF('Recurring Log'!K367="","",'Recurring Log'!K367)</f>
        <v/>
      </c>
      <c r="BF363">
        <f>IFERROR(MATCH(BA363,Setup!$L$6:$L$9,0),5)</f>
        <v/>
      </c>
      <c r="BG363">
        <f>IF(OR(AZ363="Done",AZ363="Cancelled"),1,0)</f>
        <v/>
      </c>
      <c r="BH363">
        <f>IF(AND(AU363&lt;&gt;"",ISNUMBER(AW363)),1,0)</f>
        <v/>
      </c>
      <c r="BI363">
        <f>IF(BH363=0,0,IF(AND(AW363&gt;='Tasks Filter'!$F$3,AW363&lt;='Tasks Filter'!$F$4,OR('Tasks Filter'!$I$3="",ISNUMBER(SEARCH('Tasks Filter'!$I$3,AU363))),OR('Tasks Filter'!$I$4="",BF363=IFERROR(MATCH('Tasks Filter'!$I$4,Setup!$L$6:$L$9,0),0)),OR('Tasks Filter'!$I$5="Both",AND('Tasks Filter'!$I$5="Yes",BB363="✓"),AND('Tasks Filter'!$I$5="No",BB363&lt;&gt;"✓")),OR('Tasks Filter'!$L$3="",AV363='Tasks Filter'!$L$3),OR('Tasks Filter'!$L$4="",AZ363='Tasks Filter'!$L$4),OR('Tasks Filter'!$L$5="",BC363='Tasks Filter'!$L$5),OR('Tasks Filter'!$O$3="",BD363='Tasks Filter'!$O$3),OR('Tasks Filter'!$O$4="Yes",BG363=0)),1,0))</f>
        <v/>
      </c>
      <c r="BJ363">
        <f>IF(BH363=0,"",IF('Tasks Filter'!$F$6="Descending",-1,1)*CHOOSE(MATCH('Tasks Filter'!$F$5,Lists!$G$2:$G$6,0),AW363,BF363,IFERROR(MATCH(AV363,Setup!$F$6:$F$15,0),99),IFERROR(MATCH(BC363,Setup!$H$6:$H$15,0),99),IFERROR(MATCH(AZ363,Setup!$J$6:$J$11,0),99))*1E+9+(AW363-40000)*10000+362)</f>
        <v/>
      </c>
      <c r="BK363">
        <f>IF(BI363=1,BJ363,"")</f>
        <v/>
      </c>
      <c r="BL363">
        <f>IF(AND(BH363=1,BG363=0,N(AW363)&lt;Setup!$D$7),(AW363-40000)*10000+362,"")</f>
        <v/>
      </c>
      <c r="BM363">
        <f>IF(AND(BH363=1,AZ363&lt;&gt;"Cancelled",N(AW363)&gt;=Dashboard!$AB$3,N(AW363)&lt;=Dashboard!$AB$3+6),(AW363-40000)*100000+BF363*10000+362,"")</f>
        <v/>
      </c>
      <c r="BN363">
        <f>IF(AND(BH363=1,AZ363&lt;&gt;"Cancelled"),BF363*10000+362,"")</f>
        <v/>
      </c>
    </row>
    <row r="364">
      <c r="A364">
        <f>Setup!$D$5+362</f>
        <v/>
      </c>
      <c r="B364">
        <f>IF('Recurring Schedule'!$C$6="","",IF('Recurring Schedule'!$F$6="","",IF(OR($A364&lt;'Recurring Schedule'!$F$6,$A364&gt;'Recurring Schedule'!$P$6),"",IF(IF('Recurring Schedule'!$N$6&gt;0,MOD($A364-'Recurring Schedule'!$F$6,'Recurring Schedule'!$N$6)=0,IF('Recurring Schedule'!$O$6&gt;0,AND(DAY($A364)=MIN(DAY('Recurring Schedule'!$F$6),DAY(EOMONTH($A364,0))),MOD((YEAR($A364)-YEAR('Recurring Schedule'!$F$6))*12+MONTH($A364)-MONTH('Recurring Schedule'!$F$6),'Recurring Schedule'!$O$6)=0),IF('Recurring Schedule'!$E$6="Weekdays",WEEKDAY($A364,2)&lt;=5,$A364='Recurring Schedule'!$F$6))),1,""))))</f>
        <v/>
      </c>
      <c r="C364">
        <f>IF('Recurring Schedule'!$C$7="","",IF('Recurring Schedule'!$F$7="","",IF(OR($A364&lt;'Recurring Schedule'!$F$7,$A364&gt;'Recurring Schedule'!$P$7),"",IF(IF('Recurring Schedule'!$N$7&gt;0,MOD($A364-'Recurring Schedule'!$F$7,'Recurring Schedule'!$N$7)=0,IF('Recurring Schedule'!$O$7&gt;0,AND(DAY($A364)=MIN(DAY('Recurring Schedule'!$F$7),DAY(EOMONTH($A364,0))),MOD((YEAR($A364)-YEAR('Recurring Schedule'!$F$7))*12+MONTH($A364)-MONTH('Recurring Schedule'!$F$7),'Recurring Schedule'!$O$7)=0),IF('Recurring Schedule'!$E$7="Weekdays",WEEKDAY($A364,2)&lt;=5,$A364='Recurring Schedule'!$F$7))),2,""))))</f>
        <v/>
      </c>
      <c r="D364">
        <f>IF('Recurring Schedule'!$C$8="","",IF('Recurring Schedule'!$F$8="","",IF(OR($A364&lt;'Recurring Schedule'!$F$8,$A364&gt;'Recurring Schedule'!$P$8),"",IF(IF('Recurring Schedule'!$N$8&gt;0,MOD($A364-'Recurring Schedule'!$F$8,'Recurring Schedule'!$N$8)=0,IF('Recurring Schedule'!$O$8&gt;0,AND(DAY($A364)=MIN(DAY('Recurring Schedule'!$F$8),DAY(EOMONTH($A364,0))),MOD((YEAR($A364)-YEAR('Recurring Schedule'!$F$8))*12+MONTH($A364)-MONTH('Recurring Schedule'!$F$8),'Recurring Schedule'!$O$8)=0),IF('Recurring Schedule'!$E$8="Weekdays",WEEKDAY($A364,2)&lt;=5,$A364='Recurring Schedule'!$F$8))),3,""))))</f>
        <v/>
      </c>
      <c r="E364">
        <f>IF('Recurring Schedule'!$C$9="","",IF('Recurring Schedule'!$F$9="","",IF(OR($A364&lt;'Recurring Schedule'!$F$9,$A364&gt;'Recurring Schedule'!$P$9),"",IF(IF('Recurring Schedule'!$N$9&gt;0,MOD($A364-'Recurring Schedule'!$F$9,'Recurring Schedule'!$N$9)=0,IF('Recurring Schedule'!$O$9&gt;0,AND(DAY($A364)=MIN(DAY('Recurring Schedule'!$F$9),DAY(EOMONTH($A364,0))),MOD((YEAR($A364)-YEAR('Recurring Schedule'!$F$9))*12+MONTH($A364)-MONTH('Recurring Schedule'!$F$9),'Recurring Schedule'!$O$9)=0),IF('Recurring Schedule'!$E$9="Weekdays",WEEKDAY($A364,2)&lt;=5,$A364='Recurring Schedule'!$F$9))),4,""))))</f>
        <v/>
      </c>
      <c r="F364">
        <f>IF('Recurring Schedule'!$C$10="","",IF('Recurring Schedule'!$F$10="","",IF(OR($A364&lt;'Recurring Schedule'!$F$10,$A364&gt;'Recurring Schedule'!$P$10),"",IF(IF('Recurring Schedule'!$N$10&gt;0,MOD($A364-'Recurring Schedule'!$F$10,'Recurring Schedule'!$N$10)=0,IF('Recurring Schedule'!$O$10&gt;0,AND(DAY($A364)=MIN(DAY('Recurring Schedule'!$F$10),DAY(EOMONTH($A364,0))),MOD((YEAR($A364)-YEAR('Recurring Schedule'!$F$10))*12+MONTH($A364)-MONTH('Recurring Schedule'!$F$10),'Recurring Schedule'!$O$10)=0),IF('Recurring Schedule'!$E$10="Weekdays",WEEKDAY($A364,2)&lt;=5,$A364='Recurring Schedule'!$F$10))),5,""))))</f>
        <v/>
      </c>
      <c r="G364">
        <f>IF('Recurring Schedule'!$C$11="","",IF('Recurring Schedule'!$F$11="","",IF(OR($A364&lt;'Recurring Schedule'!$F$11,$A364&gt;'Recurring Schedule'!$P$11),"",IF(IF('Recurring Schedule'!$N$11&gt;0,MOD($A364-'Recurring Schedule'!$F$11,'Recurring Schedule'!$N$11)=0,IF('Recurring Schedule'!$O$11&gt;0,AND(DAY($A364)=MIN(DAY('Recurring Schedule'!$F$11),DAY(EOMONTH($A364,0))),MOD((YEAR($A364)-YEAR('Recurring Schedule'!$F$11))*12+MONTH($A364)-MONTH('Recurring Schedule'!$F$11),'Recurring Schedule'!$O$11)=0),IF('Recurring Schedule'!$E$11="Weekdays",WEEKDAY($A364,2)&lt;=5,$A364='Recurring Schedule'!$F$11))),6,""))))</f>
        <v/>
      </c>
      <c r="H364">
        <f>IF('Recurring Schedule'!$C$12="","",IF('Recurring Schedule'!$F$12="","",IF(OR($A364&lt;'Recurring Schedule'!$F$12,$A364&gt;'Recurring Schedule'!$P$12),"",IF(IF('Recurring Schedule'!$N$12&gt;0,MOD($A364-'Recurring Schedule'!$F$12,'Recurring Schedule'!$N$12)=0,IF('Recurring Schedule'!$O$12&gt;0,AND(DAY($A364)=MIN(DAY('Recurring Schedule'!$F$12),DAY(EOMONTH($A364,0))),MOD((YEAR($A364)-YEAR('Recurring Schedule'!$F$12))*12+MONTH($A364)-MONTH('Recurring Schedule'!$F$12),'Recurring Schedule'!$O$12)=0),IF('Recurring Schedule'!$E$12="Weekdays",WEEKDAY($A364,2)&lt;=5,$A364='Recurring Schedule'!$F$12))),7,""))))</f>
        <v/>
      </c>
      <c r="I364">
        <f>IF('Recurring Schedule'!$C$13="","",IF('Recurring Schedule'!$F$13="","",IF(OR($A364&lt;'Recurring Schedule'!$F$13,$A364&gt;'Recurring Schedule'!$P$13),"",IF(IF('Recurring Schedule'!$N$13&gt;0,MOD($A364-'Recurring Schedule'!$F$13,'Recurring Schedule'!$N$13)=0,IF('Recurring Schedule'!$O$13&gt;0,AND(DAY($A364)=MIN(DAY('Recurring Schedule'!$F$13),DAY(EOMONTH($A364,0))),MOD((YEAR($A364)-YEAR('Recurring Schedule'!$F$13))*12+MONTH($A364)-MONTH('Recurring Schedule'!$F$13),'Recurring Schedule'!$O$13)=0),IF('Recurring Schedule'!$E$13="Weekdays",WEEKDAY($A364,2)&lt;=5,$A364='Recurring Schedule'!$F$13))),8,""))))</f>
        <v/>
      </c>
      <c r="J364">
        <f>IF('Recurring Schedule'!$C$14="","",IF('Recurring Schedule'!$F$14="","",IF(OR($A364&lt;'Recurring Schedule'!$F$14,$A364&gt;'Recurring Schedule'!$P$14),"",IF(IF('Recurring Schedule'!$N$14&gt;0,MOD($A364-'Recurring Schedule'!$F$14,'Recurring Schedule'!$N$14)=0,IF('Recurring Schedule'!$O$14&gt;0,AND(DAY($A364)=MIN(DAY('Recurring Schedule'!$F$14),DAY(EOMONTH($A364,0))),MOD((YEAR($A364)-YEAR('Recurring Schedule'!$F$14))*12+MONTH($A364)-MONTH('Recurring Schedule'!$F$14),'Recurring Schedule'!$O$14)=0),IF('Recurring Schedule'!$E$14="Weekdays",WEEKDAY($A364,2)&lt;=5,$A364='Recurring Schedule'!$F$14))),9,""))))</f>
        <v/>
      </c>
      <c r="K364">
        <f>IF('Recurring Schedule'!$C$15="","",IF('Recurring Schedule'!$F$15="","",IF(OR($A364&lt;'Recurring Schedule'!$F$15,$A364&gt;'Recurring Schedule'!$P$15),"",IF(IF('Recurring Schedule'!$N$15&gt;0,MOD($A364-'Recurring Schedule'!$F$15,'Recurring Schedule'!$N$15)=0,IF('Recurring Schedule'!$O$15&gt;0,AND(DAY($A364)=MIN(DAY('Recurring Schedule'!$F$15),DAY(EOMONTH($A364,0))),MOD((YEAR($A364)-YEAR('Recurring Schedule'!$F$15))*12+MONTH($A364)-MONTH('Recurring Schedule'!$F$15),'Recurring Schedule'!$O$15)=0),IF('Recurring Schedule'!$E$15="Weekdays",WEEKDAY($A364,2)&lt;=5,$A364='Recurring Schedule'!$F$15))),10,""))))</f>
        <v/>
      </c>
      <c r="L364">
        <f>IF('Recurring Schedule'!$C$16="","",IF('Recurring Schedule'!$F$16="","",IF(OR($A364&lt;'Recurring Schedule'!$F$16,$A364&gt;'Recurring Schedule'!$P$16),"",IF(IF('Recurring Schedule'!$N$16&gt;0,MOD($A364-'Recurring Schedule'!$F$16,'Recurring Schedule'!$N$16)=0,IF('Recurring Schedule'!$O$16&gt;0,AND(DAY($A364)=MIN(DAY('Recurring Schedule'!$F$16),DAY(EOMONTH($A364,0))),MOD((YEAR($A364)-YEAR('Recurring Schedule'!$F$16))*12+MONTH($A364)-MONTH('Recurring Schedule'!$F$16),'Recurring Schedule'!$O$16)=0),IF('Recurring Schedule'!$E$16="Weekdays",WEEKDAY($A364,2)&lt;=5,$A364='Recurring Schedule'!$F$16))),11,""))))</f>
        <v/>
      </c>
      <c r="M364">
        <f>IF('Recurring Schedule'!$C$17="","",IF('Recurring Schedule'!$F$17="","",IF(OR($A364&lt;'Recurring Schedule'!$F$17,$A364&gt;'Recurring Schedule'!$P$17),"",IF(IF('Recurring Schedule'!$N$17&gt;0,MOD($A364-'Recurring Schedule'!$F$17,'Recurring Schedule'!$N$17)=0,IF('Recurring Schedule'!$O$17&gt;0,AND(DAY($A364)=MIN(DAY('Recurring Schedule'!$F$17),DAY(EOMONTH($A364,0))),MOD((YEAR($A364)-YEAR('Recurring Schedule'!$F$17))*12+MONTH($A364)-MONTH('Recurring Schedule'!$F$17),'Recurring Schedule'!$O$17)=0),IF('Recurring Schedule'!$E$17="Weekdays",WEEKDAY($A364,2)&lt;=5,$A364='Recurring Schedule'!$F$17))),12,""))))</f>
        <v/>
      </c>
      <c r="N364">
        <f>IF('Recurring Schedule'!$C$18="","",IF('Recurring Schedule'!$F$18="","",IF(OR($A364&lt;'Recurring Schedule'!$F$18,$A364&gt;'Recurring Schedule'!$P$18),"",IF(IF('Recurring Schedule'!$N$18&gt;0,MOD($A364-'Recurring Schedule'!$F$18,'Recurring Schedule'!$N$18)=0,IF('Recurring Schedule'!$O$18&gt;0,AND(DAY($A364)=MIN(DAY('Recurring Schedule'!$F$18),DAY(EOMONTH($A364,0))),MOD((YEAR($A364)-YEAR('Recurring Schedule'!$F$18))*12+MONTH($A364)-MONTH('Recurring Schedule'!$F$18),'Recurring Schedule'!$O$18)=0),IF('Recurring Schedule'!$E$18="Weekdays",WEEKDAY($A364,2)&lt;=5,$A364='Recurring Schedule'!$F$18))),13,""))))</f>
        <v/>
      </c>
      <c r="O364">
        <f>IF('Recurring Schedule'!$C$19="","",IF('Recurring Schedule'!$F$19="","",IF(OR($A364&lt;'Recurring Schedule'!$F$19,$A364&gt;'Recurring Schedule'!$P$19),"",IF(IF('Recurring Schedule'!$N$19&gt;0,MOD($A364-'Recurring Schedule'!$F$19,'Recurring Schedule'!$N$19)=0,IF('Recurring Schedule'!$O$19&gt;0,AND(DAY($A364)=MIN(DAY('Recurring Schedule'!$F$19),DAY(EOMONTH($A364,0))),MOD((YEAR($A364)-YEAR('Recurring Schedule'!$F$19))*12+MONTH($A364)-MONTH('Recurring Schedule'!$F$19),'Recurring Schedule'!$O$19)=0),IF('Recurring Schedule'!$E$19="Weekdays",WEEKDAY($A364,2)&lt;=5,$A364='Recurring Schedule'!$F$19))),14,""))))</f>
        <v/>
      </c>
      <c r="P364">
        <f>IF('Recurring Schedule'!$C$20="","",IF('Recurring Schedule'!$F$20="","",IF(OR($A364&lt;'Recurring Schedule'!$F$20,$A364&gt;'Recurring Schedule'!$P$20),"",IF(IF('Recurring Schedule'!$N$20&gt;0,MOD($A364-'Recurring Schedule'!$F$20,'Recurring Schedule'!$N$20)=0,IF('Recurring Schedule'!$O$20&gt;0,AND(DAY($A364)=MIN(DAY('Recurring Schedule'!$F$20),DAY(EOMONTH($A364,0))),MOD((YEAR($A364)-YEAR('Recurring Schedule'!$F$20))*12+MONTH($A364)-MONTH('Recurring Schedule'!$F$20),'Recurring Schedule'!$O$20)=0),IF('Recurring Schedule'!$E$20="Weekdays",WEEKDAY($A364,2)&lt;=5,$A364='Recurring Schedule'!$F$20))),15,""))))</f>
        <v/>
      </c>
      <c r="Q364">
        <f>IF('Recurring Schedule'!$C$21="","",IF('Recurring Schedule'!$F$21="","",IF(OR($A364&lt;'Recurring Schedule'!$F$21,$A364&gt;'Recurring Schedule'!$P$21),"",IF(IF('Recurring Schedule'!$N$21&gt;0,MOD($A364-'Recurring Schedule'!$F$21,'Recurring Schedule'!$N$21)=0,IF('Recurring Schedule'!$O$21&gt;0,AND(DAY($A364)=MIN(DAY('Recurring Schedule'!$F$21),DAY(EOMONTH($A364,0))),MOD((YEAR($A364)-YEAR('Recurring Schedule'!$F$21))*12+MONTH($A364)-MONTH('Recurring Schedule'!$F$21),'Recurring Schedule'!$O$21)=0),IF('Recurring Schedule'!$E$21="Weekdays",WEEKDAY($A364,2)&lt;=5,$A364='Recurring Schedule'!$F$21))),16,""))))</f>
        <v/>
      </c>
      <c r="R364">
        <f>IF('Recurring Schedule'!$C$22="","",IF('Recurring Schedule'!$F$22="","",IF(OR($A364&lt;'Recurring Schedule'!$F$22,$A364&gt;'Recurring Schedule'!$P$22),"",IF(IF('Recurring Schedule'!$N$22&gt;0,MOD($A364-'Recurring Schedule'!$F$22,'Recurring Schedule'!$N$22)=0,IF('Recurring Schedule'!$O$22&gt;0,AND(DAY($A364)=MIN(DAY('Recurring Schedule'!$F$22),DAY(EOMONTH($A364,0))),MOD((YEAR($A364)-YEAR('Recurring Schedule'!$F$22))*12+MONTH($A364)-MONTH('Recurring Schedule'!$F$22),'Recurring Schedule'!$O$22)=0),IF('Recurring Schedule'!$E$22="Weekdays",WEEKDAY($A364,2)&lt;=5,$A364='Recurring Schedule'!$F$22))),17,""))))</f>
        <v/>
      </c>
      <c r="S364">
        <f>IF('Recurring Schedule'!$C$23="","",IF('Recurring Schedule'!$F$23="","",IF(OR($A364&lt;'Recurring Schedule'!$F$23,$A364&gt;'Recurring Schedule'!$P$23),"",IF(IF('Recurring Schedule'!$N$23&gt;0,MOD($A364-'Recurring Schedule'!$F$23,'Recurring Schedule'!$N$23)=0,IF('Recurring Schedule'!$O$23&gt;0,AND(DAY($A364)=MIN(DAY('Recurring Schedule'!$F$23),DAY(EOMONTH($A364,0))),MOD((YEAR($A364)-YEAR('Recurring Schedule'!$F$23))*12+MONTH($A364)-MONTH('Recurring Schedule'!$F$23),'Recurring Schedule'!$O$23)=0),IF('Recurring Schedule'!$E$23="Weekdays",WEEKDAY($A364,2)&lt;=5,$A364='Recurring Schedule'!$F$23))),18,""))))</f>
        <v/>
      </c>
      <c r="T364">
        <f>IF('Recurring Schedule'!$C$24="","",IF('Recurring Schedule'!$F$24="","",IF(OR($A364&lt;'Recurring Schedule'!$F$24,$A364&gt;'Recurring Schedule'!$P$24),"",IF(IF('Recurring Schedule'!$N$24&gt;0,MOD($A364-'Recurring Schedule'!$F$24,'Recurring Schedule'!$N$24)=0,IF('Recurring Schedule'!$O$24&gt;0,AND(DAY($A364)=MIN(DAY('Recurring Schedule'!$F$24),DAY(EOMONTH($A364,0))),MOD((YEAR($A364)-YEAR('Recurring Schedule'!$F$24))*12+MONTH($A364)-MONTH('Recurring Schedule'!$F$24),'Recurring Schedule'!$O$24)=0),IF('Recurring Schedule'!$E$24="Weekdays",WEEKDAY($A364,2)&lt;=5,$A364='Recurring Schedule'!$F$24))),19,""))))</f>
        <v/>
      </c>
      <c r="U364">
        <f>IF('Recurring Schedule'!$C$25="","",IF('Recurring Schedule'!$F$25="","",IF(OR($A364&lt;'Recurring Schedule'!$F$25,$A364&gt;'Recurring Schedule'!$P$25),"",IF(IF('Recurring Schedule'!$N$25&gt;0,MOD($A364-'Recurring Schedule'!$F$25,'Recurring Schedule'!$N$25)=0,IF('Recurring Schedule'!$O$25&gt;0,AND(DAY($A364)=MIN(DAY('Recurring Schedule'!$F$25),DAY(EOMONTH($A364,0))),MOD((YEAR($A364)-YEAR('Recurring Schedule'!$F$25))*12+MONTH($A364)-MONTH('Recurring Schedule'!$F$25),'Recurring Schedule'!$O$25)=0),IF('Recurring Schedule'!$E$25="Weekdays",WEEKDAY($A364,2)&lt;=5,$A364='Recurring Schedule'!$F$25))),20,""))))</f>
        <v/>
      </c>
      <c r="V364">
        <f>IF('Recurring Schedule'!$C$26="","",IF('Recurring Schedule'!$F$26="","",IF(OR($A364&lt;'Recurring Schedule'!$F$26,$A364&gt;'Recurring Schedule'!$P$26),"",IF(IF('Recurring Schedule'!$N$26&gt;0,MOD($A364-'Recurring Schedule'!$F$26,'Recurring Schedule'!$N$26)=0,IF('Recurring Schedule'!$O$26&gt;0,AND(DAY($A364)=MIN(DAY('Recurring Schedule'!$F$26),DAY(EOMONTH($A364,0))),MOD((YEAR($A364)-YEAR('Recurring Schedule'!$F$26))*12+MONTH($A364)-MONTH('Recurring Schedule'!$F$26),'Recurring Schedule'!$O$26)=0),IF('Recurring Schedule'!$E$26="Weekdays",WEEKDAY($A364,2)&lt;=5,$A364='Recurring Schedule'!$F$26))),21,""))))</f>
        <v/>
      </c>
      <c r="W364">
        <f>IF('Recurring Schedule'!$C$27="","",IF('Recurring Schedule'!$F$27="","",IF(OR($A364&lt;'Recurring Schedule'!$F$27,$A364&gt;'Recurring Schedule'!$P$27),"",IF(IF('Recurring Schedule'!$N$27&gt;0,MOD($A364-'Recurring Schedule'!$F$27,'Recurring Schedule'!$N$27)=0,IF('Recurring Schedule'!$O$27&gt;0,AND(DAY($A364)=MIN(DAY('Recurring Schedule'!$F$27),DAY(EOMONTH($A364,0))),MOD((YEAR($A364)-YEAR('Recurring Schedule'!$F$27))*12+MONTH($A364)-MONTH('Recurring Schedule'!$F$27),'Recurring Schedule'!$O$27)=0),IF('Recurring Schedule'!$E$27="Weekdays",WEEKDAY($A364,2)&lt;=5,$A364='Recurring Schedule'!$F$27))),22,""))))</f>
        <v/>
      </c>
      <c r="X364">
        <f>IF('Recurring Schedule'!$C$28="","",IF('Recurring Schedule'!$F$28="","",IF(OR($A364&lt;'Recurring Schedule'!$F$28,$A364&gt;'Recurring Schedule'!$P$28),"",IF(IF('Recurring Schedule'!$N$28&gt;0,MOD($A364-'Recurring Schedule'!$F$28,'Recurring Schedule'!$N$28)=0,IF('Recurring Schedule'!$O$28&gt;0,AND(DAY($A364)=MIN(DAY('Recurring Schedule'!$F$28),DAY(EOMONTH($A364,0))),MOD((YEAR($A364)-YEAR('Recurring Schedule'!$F$28))*12+MONTH($A364)-MONTH('Recurring Schedule'!$F$28),'Recurring Schedule'!$O$28)=0),IF('Recurring Schedule'!$E$28="Weekdays",WEEKDAY($A364,2)&lt;=5,$A364='Recurring Schedule'!$F$28))),23,""))))</f>
        <v/>
      </c>
      <c r="Y364">
        <f>IF('Recurring Schedule'!$C$29="","",IF('Recurring Schedule'!$F$29="","",IF(OR($A364&lt;'Recurring Schedule'!$F$29,$A364&gt;'Recurring Schedule'!$P$29),"",IF(IF('Recurring Schedule'!$N$29&gt;0,MOD($A364-'Recurring Schedule'!$F$29,'Recurring Schedule'!$N$29)=0,IF('Recurring Schedule'!$O$29&gt;0,AND(DAY($A364)=MIN(DAY('Recurring Schedule'!$F$29),DAY(EOMONTH($A364,0))),MOD((YEAR($A364)-YEAR('Recurring Schedule'!$F$29))*12+MONTH($A364)-MONTH('Recurring Schedule'!$F$29),'Recurring Schedule'!$O$29)=0),IF('Recurring Schedule'!$E$29="Weekdays",WEEKDAY($A364,2)&lt;=5,$A364='Recurring Schedule'!$F$29))),24,""))))</f>
        <v/>
      </c>
      <c r="Z364">
        <f>IF('Recurring Schedule'!$C$30="","",IF('Recurring Schedule'!$F$30="","",IF(OR($A364&lt;'Recurring Schedule'!$F$30,$A364&gt;'Recurring Schedule'!$P$30),"",IF(IF('Recurring Schedule'!$N$30&gt;0,MOD($A364-'Recurring Schedule'!$F$30,'Recurring Schedule'!$N$30)=0,IF('Recurring Schedule'!$O$30&gt;0,AND(DAY($A364)=MIN(DAY('Recurring Schedule'!$F$30),DAY(EOMONTH($A364,0))),MOD((YEAR($A364)-YEAR('Recurring Schedule'!$F$30))*12+MONTH($A364)-MONTH('Recurring Schedule'!$F$30),'Recurring Schedule'!$O$30)=0),IF('Recurring Schedule'!$E$30="Weekdays",WEEKDAY($A364,2)&lt;=5,$A364='Recurring Schedule'!$F$30))),25,""))))</f>
        <v/>
      </c>
      <c r="AA364">
        <f>IF('Recurring Schedule'!$C$31="","",IF('Recurring Schedule'!$F$31="","",IF(OR($A364&lt;'Recurring Schedule'!$F$31,$A364&gt;'Recurring Schedule'!$P$31),"",IF(IF('Recurring Schedule'!$N$31&gt;0,MOD($A364-'Recurring Schedule'!$F$31,'Recurring Schedule'!$N$31)=0,IF('Recurring Schedule'!$O$31&gt;0,AND(DAY($A364)=MIN(DAY('Recurring Schedule'!$F$31),DAY(EOMONTH($A364,0))),MOD((YEAR($A364)-YEAR('Recurring Schedule'!$F$31))*12+MONTH($A364)-MONTH('Recurring Schedule'!$F$31),'Recurring Schedule'!$O$31)=0),IF('Recurring Schedule'!$E$31="Weekdays",WEEKDAY($A364,2)&lt;=5,$A364='Recurring Schedule'!$F$31))),26,""))))</f>
        <v/>
      </c>
      <c r="AB364">
        <f>IF('Recurring Schedule'!$C$32="","",IF('Recurring Schedule'!$F$32="","",IF(OR($A364&lt;'Recurring Schedule'!$F$32,$A364&gt;'Recurring Schedule'!$P$32),"",IF(IF('Recurring Schedule'!$N$32&gt;0,MOD($A364-'Recurring Schedule'!$F$32,'Recurring Schedule'!$N$32)=0,IF('Recurring Schedule'!$O$32&gt;0,AND(DAY($A364)=MIN(DAY('Recurring Schedule'!$F$32),DAY(EOMONTH($A364,0))),MOD((YEAR($A364)-YEAR('Recurring Schedule'!$F$32))*12+MONTH($A364)-MONTH('Recurring Schedule'!$F$32),'Recurring Schedule'!$O$32)=0),IF('Recurring Schedule'!$E$32="Weekdays",WEEKDAY($A364,2)&lt;=5,$A364='Recurring Schedule'!$F$32))),27,""))))</f>
        <v/>
      </c>
      <c r="AC364">
        <f>IF('Recurring Schedule'!$C$33="","",IF('Recurring Schedule'!$F$33="","",IF(OR($A364&lt;'Recurring Schedule'!$F$33,$A364&gt;'Recurring Schedule'!$P$33),"",IF(IF('Recurring Schedule'!$N$33&gt;0,MOD($A364-'Recurring Schedule'!$F$33,'Recurring Schedule'!$N$33)=0,IF('Recurring Schedule'!$O$33&gt;0,AND(DAY($A364)=MIN(DAY('Recurring Schedule'!$F$33),DAY(EOMONTH($A364,0))),MOD((YEAR($A364)-YEAR('Recurring Schedule'!$F$33))*12+MONTH($A364)-MONTH('Recurring Schedule'!$F$33),'Recurring Schedule'!$O$33)=0),IF('Recurring Schedule'!$E$33="Weekdays",WEEKDAY($A364,2)&lt;=5,$A364='Recurring Schedule'!$F$33))),28,""))))</f>
        <v/>
      </c>
      <c r="AD364">
        <f>IF('Recurring Schedule'!$C$34="","",IF('Recurring Schedule'!$F$34="","",IF(OR($A364&lt;'Recurring Schedule'!$F$34,$A364&gt;'Recurring Schedule'!$P$34),"",IF(IF('Recurring Schedule'!$N$34&gt;0,MOD($A364-'Recurring Schedule'!$F$34,'Recurring Schedule'!$N$34)=0,IF('Recurring Schedule'!$O$34&gt;0,AND(DAY($A364)=MIN(DAY('Recurring Schedule'!$F$34),DAY(EOMONTH($A364,0))),MOD((YEAR($A364)-YEAR('Recurring Schedule'!$F$34))*12+MONTH($A364)-MONTH('Recurring Schedule'!$F$34),'Recurring Schedule'!$O$34)=0),IF('Recurring Schedule'!$E$34="Weekdays",WEEKDAY($A364,2)&lt;=5,$A364='Recurring Schedule'!$F$34))),29,""))))</f>
        <v/>
      </c>
      <c r="AE364">
        <f>IF('Recurring Schedule'!$C$35="","",IF('Recurring Schedule'!$F$35="","",IF(OR($A364&lt;'Recurring Schedule'!$F$35,$A364&gt;'Recurring Schedule'!$P$35),"",IF(IF('Recurring Schedule'!$N$35&gt;0,MOD($A364-'Recurring Schedule'!$F$35,'Recurring Schedule'!$N$35)=0,IF('Recurring Schedule'!$O$35&gt;0,AND(DAY($A364)=MIN(DAY('Recurring Schedule'!$F$35),DAY(EOMONTH($A364,0))),MOD((YEAR($A364)-YEAR('Recurring Schedule'!$F$35))*12+MONTH($A364)-MONTH('Recurring Schedule'!$F$35),'Recurring Schedule'!$O$35)=0),IF('Recurring Schedule'!$E$35="Weekdays",WEEKDAY($A364,2)&lt;=5,$A364='Recurring Schedule'!$F$35))),30,""))))</f>
        <v/>
      </c>
      <c r="AF364">
        <f>IF('Recurring Schedule'!$C$36="","",IF('Recurring Schedule'!$F$36="","",IF(OR($A364&lt;'Recurring Schedule'!$F$36,$A364&gt;'Recurring Schedule'!$P$36),"",IF(IF('Recurring Schedule'!$N$36&gt;0,MOD($A364-'Recurring Schedule'!$F$36,'Recurring Schedule'!$N$36)=0,IF('Recurring Schedule'!$O$36&gt;0,AND(DAY($A364)=MIN(DAY('Recurring Schedule'!$F$36),DAY(EOMONTH($A364,0))),MOD((YEAR($A364)-YEAR('Recurring Schedule'!$F$36))*12+MONTH($A364)-MONTH('Recurring Schedule'!$F$36),'Recurring Schedule'!$O$36)=0),IF('Recurring Schedule'!$E$36="Weekdays",WEEKDAY($A364,2)&lt;=5,$A364='Recurring Schedule'!$F$36))),31,""))))</f>
        <v/>
      </c>
      <c r="AG364">
        <f>IF('Recurring Schedule'!$C$37="","",IF('Recurring Schedule'!$F$37="","",IF(OR($A364&lt;'Recurring Schedule'!$F$37,$A364&gt;'Recurring Schedule'!$P$37),"",IF(IF('Recurring Schedule'!$N$37&gt;0,MOD($A364-'Recurring Schedule'!$F$37,'Recurring Schedule'!$N$37)=0,IF('Recurring Schedule'!$O$37&gt;0,AND(DAY($A364)=MIN(DAY('Recurring Schedule'!$F$37),DAY(EOMONTH($A364,0))),MOD((YEAR($A364)-YEAR('Recurring Schedule'!$F$37))*12+MONTH($A364)-MONTH('Recurring Schedule'!$F$37),'Recurring Schedule'!$O$37)=0),IF('Recurring Schedule'!$E$37="Weekdays",WEEKDAY($A364,2)&lt;=5,$A364='Recurring Schedule'!$F$37))),32,""))))</f>
        <v/>
      </c>
      <c r="AH364">
        <f>IF('Recurring Schedule'!$C$38="","",IF('Recurring Schedule'!$F$38="","",IF(OR($A364&lt;'Recurring Schedule'!$F$38,$A364&gt;'Recurring Schedule'!$P$38),"",IF(IF('Recurring Schedule'!$N$38&gt;0,MOD($A364-'Recurring Schedule'!$F$38,'Recurring Schedule'!$N$38)=0,IF('Recurring Schedule'!$O$38&gt;0,AND(DAY($A364)=MIN(DAY('Recurring Schedule'!$F$38),DAY(EOMONTH($A364,0))),MOD((YEAR($A364)-YEAR('Recurring Schedule'!$F$38))*12+MONTH($A364)-MONTH('Recurring Schedule'!$F$38),'Recurring Schedule'!$O$38)=0),IF('Recurring Schedule'!$E$38="Weekdays",WEEKDAY($A364,2)&lt;=5,$A364='Recurring Schedule'!$F$38))),33,""))))</f>
        <v/>
      </c>
      <c r="AI364">
        <f>IF('Recurring Schedule'!$C$39="","",IF('Recurring Schedule'!$F$39="","",IF(OR($A364&lt;'Recurring Schedule'!$F$39,$A364&gt;'Recurring Schedule'!$P$39),"",IF(IF('Recurring Schedule'!$N$39&gt;0,MOD($A364-'Recurring Schedule'!$F$39,'Recurring Schedule'!$N$39)=0,IF('Recurring Schedule'!$O$39&gt;0,AND(DAY($A364)=MIN(DAY('Recurring Schedule'!$F$39),DAY(EOMONTH($A364,0))),MOD((YEAR($A364)-YEAR('Recurring Schedule'!$F$39))*12+MONTH($A364)-MONTH('Recurring Schedule'!$F$39),'Recurring Schedule'!$O$39)=0),IF('Recurring Schedule'!$E$39="Weekdays",WEEKDAY($A364,2)&lt;=5,$A364='Recurring Schedule'!$F$39))),34,""))))</f>
        <v/>
      </c>
      <c r="AJ364">
        <f>IF('Recurring Schedule'!$C$40="","",IF('Recurring Schedule'!$F$40="","",IF(OR($A364&lt;'Recurring Schedule'!$F$40,$A364&gt;'Recurring Schedule'!$P$40),"",IF(IF('Recurring Schedule'!$N$40&gt;0,MOD($A364-'Recurring Schedule'!$F$40,'Recurring Schedule'!$N$40)=0,IF('Recurring Schedule'!$O$40&gt;0,AND(DAY($A364)=MIN(DAY('Recurring Schedule'!$F$40),DAY(EOMONTH($A364,0))),MOD((YEAR($A364)-YEAR('Recurring Schedule'!$F$40))*12+MONTH($A364)-MONTH('Recurring Schedule'!$F$40),'Recurring Schedule'!$O$40)=0),IF('Recurring Schedule'!$E$40="Weekdays",WEEKDAY($A364,2)&lt;=5,$A364='Recurring Schedule'!$F$40))),35,""))))</f>
        <v/>
      </c>
      <c r="AK364">
        <f>IF('Recurring Schedule'!$C$41="","",IF('Recurring Schedule'!$F$41="","",IF(OR($A364&lt;'Recurring Schedule'!$F$41,$A364&gt;'Recurring Schedule'!$P$41),"",IF(IF('Recurring Schedule'!$N$41&gt;0,MOD($A364-'Recurring Schedule'!$F$41,'Recurring Schedule'!$N$41)=0,IF('Recurring Schedule'!$O$41&gt;0,AND(DAY($A364)=MIN(DAY('Recurring Schedule'!$F$41),DAY(EOMONTH($A364,0))),MOD((YEAR($A364)-YEAR('Recurring Schedule'!$F$41))*12+MONTH($A364)-MONTH('Recurring Schedule'!$F$41),'Recurring Schedule'!$O$41)=0),IF('Recurring Schedule'!$E$41="Weekdays",WEEKDAY($A364,2)&lt;=5,$A364='Recurring Schedule'!$F$41))),36,""))))</f>
        <v/>
      </c>
      <c r="AL364">
        <f>IF('Recurring Schedule'!$C$42="","",IF('Recurring Schedule'!$F$42="","",IF(OR($A364&lt;'Recurring Schedule'!$F$42,$A364&gt;'Recurring Schedule'!$P$42),"",IF(IF('Recurring Schedule'!$N$42&gt;0,MOD($A364-'Recurring Schedule'!$F$42,'Recurring Schedule'!$N$42)=0,IF('Recurring Schedule'!$O$42&gt;0,AND(DAY($A364)=MIN(DAY('Recurring Schedule'!$F$42),DAY(EOMONTH($A364,0))),MOD((YEAR($A364)-YEAR('Recurring Schedule'!$F$42))*12+MONTH($A364)-MONTH('Recurring Schedule'!$F$42),'Recurring Schedule'!$O$42)=0),IF('Recurring Schedule'!$E$42="Weekdays",WEEKDAY($A364,2)&lt;=5,$A364='Recurring Schedule'!$F$42))),37,""))))</f>
        <v/>
      </c>
      <c r="AM364">
        <f>IF('Recurring Schedule'!$C$43="","",IF('Recurring Schedule'!$F$43="","",IF(OR($A364&lt;'Recurring Schedule'!$F$43,$A364&gt;'Recurring Schedule'!$P$43),"",IF(IF('Recurring Schedule'!$N$43&gt;0,MOD($A364-'Recurring Schedule'!$F$43,'Recurring Schedule'!$N$43)=0,IF('Recurring Schedule'!$O$43&gt;0,AND(DAY($A364)=MIN(DAY('Recurring Schedule'!$F$43),DAY(EOMONTH($A364,0))),MOD((YEAR($A364)-YEAR('Recurring Schedule'!$F$43))*12+MONTH($A364)-MONTH('Recurring Schedule'!$F$43),'Recurring Schedule'!$O$43)=0),IF('Recurring Schedule'!$E$43="Weekdays",WEEKDAY($A364,2)&lt;=5,$A364='Recurring Schedule'!$F$43))),38,""))))</f>
        <v/>
      </c>
      <c r="AN364">
        <f>IF('Recurring Schedule'!$C$44="","",IF('Recurring Schedule'!$F$44="","",IF(OR($A364&lt;'Recurring Schedule'!$F$44,$A364&gt;'Recurring Schedule'!$P$44),"",IF(IF('Recurring Schedule'!$N$44&gt;0,MOD($A364-'Recurring Schedule'!$F$44,'Recurring Schedule'!$N$44)=0,IF('Recurring Schedule'!$O$44&gt;0,AND(DAY($A364)=MIN(DAY('Recurring Schedule'!$F$44),DAY(EOMONTH($A364,0))),MOD((YEAR($A364)-YEAR('Recurring Schedule'!$F$44))*12+MONTH($A364)-MONTH('Recurring Schedule'!$F$44),'Recurring Schedule'!$O$44)=0),IF('Recurring Schedule'!$E$44="Weekdays",WEEKDAY($A364,2)&lt;=5,$A364='Recurring Schedule'!$F$44))),39,""))))</f>
        <v/>
      </c>
      <c r="AO364">
        <f>IF('Recurring Schedule'!$C$45="","",IF('Recurring Schedule'!$F$45="","",IF(OR($A364&lt;'Recurring Schedule'!$F$45,$A364&gt;'Recurring Schedule'!$P$45),"",IF(IF('Recurring Schedule'!$N$45&gt;0,MOD($A364-'Recurring Schedule'!$F$45,'Recurring Schedule'!$N$45)=0,IF('Recurring Schedule'!$O$45&gt;0,AND(DAY($A364)=MIN(DAY('Recurring Schedule'!$F$45),DAY(EOMONTH($A364,0))),MOD((YEAR($A364)-YEAR('Recurring Schedule'!$F$45))*12+MONTH($A364)-MONTH('Recurring Schedule'!$F$45),'Recurring Schedule'!$O$45)=0),IF('Recurring Schedule'!$E$45="Weekdays",WEEKDAY($A364,2)&lt;=5,$A364='Recurring Schedule'!$F$45))),40,""))))</f>
        <v/>
      </c>
      <c r="AP364">
        <f>COUNT(B364:AO364)</f>
        <v/>
      </c>
      <c r="AQ364">
        <f>AQ363+AP363</f>
        <v/>
      </c>
      <c r="AS364" t="inlineStr">
        <is>
          <t>R</t>
        </is>
      </c>
      <c r="AT364" t="n">
        <v>368</v>
      </c>
      <c r="AU364">
        <f>'Recurring Log'!C368&amp;""</f>
        <v/>
      </c>
      <c r="AV364">
        <f>'Recurring Log'!D368&amp;""</f>
        <v/>
      </c>
      <c r="AW364">
        <f>IF('Recurring Log'!E368="","",'Recurring Log'!E368)</f>
        <v/>
      </c>
      <c r="AX364">
        <f>IF('Recurring Log'!G368="","",'Recurring Log'!G368)</f>
        <v/>
      </c>
      <c r="AY364">
        <f>IF('Recurring Log'!H368="","",'Recurring Log'!H368)</f>
        <v/>
      </c>
      <c r="AZ364">
        <f>IF(AU364="","",IF('Recurring Log'!J368="","Not Started",'Recurring Log'!J368))</f>
        <v/>
      </c>
      <c r="BA364">
        <f>'Recurring Log'!L368&amp;""</f>
        <v/>
      </c>
      <c r="BB364">
        <f>'Recurring Log'!M368&amp;""</f>
        <v/>
      </c>
      <c r="BC364">
        <f>'Recurring Log'!N368&amp;""</f>
        <v/>
      </c>
      <c r="BD364">
        <f>'Recurring Log'!O368&amp;""</f>
        <v/>
      </c>
      <c r="BE364">
        <f>IF('Recurring Log'!K368="","",'Recurring Log'!K368)</f>
        <v/>
      </c>
      <c r="BF364">
        <f>IFERROR(MATCH(BA364,Setup!$L$6:$L$9,0),5)</f>
        <v/>
      </c>
      <c r="BG364">
        <f>IF(OR(AZ364="Done",AZ364="Cancelled"),1,0)</f>
        <v/>
      </c>
      <c r="BH364">
        <f>IF(AND(AU364&lt;&gt;"",ISNUMBER(AW364)),1,0)</f>
        <v/>
      </c>
      <c r="BI364">
        <f>IF(BH364=0,0,IF(AND(AW364&gt;='Tasks Filter'!$F$3,AW364&lt;='Tasks Filter'!$F$4,OR('Tasks Filter'!$I$3="",ISNUMBER(SEARCH('Tasks Filter'!$I$3,AU364))),OR('Tasks Filter'!$I$4="",BF364=IFERROR(MATCH('Tasks Filter'!$I$4,Setup!$L$6:$L$9,0),0)),OR('Tasks Filter'!$I$5="Both",AND('Tasks Filter'!$I$5="Yes",BB364="✓"),AND('Tasks Filter'!$I$5="No",BB364&lt;&gt;"✓")),OR('Tasks Filter'!$L$3="",AV364='Tasks Filter'!$L$3),OR('Tasks Filter'!$L$4="",AZ364='Tasks Filter'!$L$4),OR('Tasks Filter'!$L$5="",BC364='Tasks Filter'!$L$5),OR('Tasks Filter'!$O$3="",BD364='Tasks Filter'!$O$3),OR('Tasks Filter'!$O$4="Yes",BG364=0)),1,0))</f>
        <v/>
      </c>
      <c r="BJ364">
        <f>IF(BH364=0,"",IF('Tasks Filter'!$F$6="Descending",-1,1)*CHOOSE(MATCH('Tasks Filter'!$F$5,Lists!$G$2:$G$6,0),AW364,BF364,IFERROR(MATCH(AV364,Setup!$F$6:$F$15,0),99),IFERROR(MATCH(BC364,Setup!$H$6:$H$15,0),99),IFERROR(MATCH(AZ364,Setup!$J$6:$J$11,0),99))*1E+9+(AW364-40000)*10000+363)</f>
        <v/>
      </c>
      <c r="BK364">
        <f>IF(BI364=1,BJ364,"")</f>
        <v/>
      </c>
      <c r="BL364">
        <f>IF(AND(BH364=1,BG364=0,N(AW364)&lt;Setup!$D$7),(AW364-40000)*10000+363,"")</f>
        <v/>
      </c>
      <c r="BM364">
        <f>IF(AND(BH364=1,AZ364&lt;&gt;"Cancelled",N(AW364)&gt;=Dashboard!$AB$3,N(AW364)&lt;=Dashboard!$AB$3+6),(AW364-40000)*100000+BF364*10000+363,"")</f>
        <v/>
      </c>
      <c r="BN364">
        <f>IF(AND(BH364=1,AZ364&lt;&gt;"Cancelled"),BF364*10000+363,"")</f>
        <v/>
      </c>
    </row>
    <row r="365">
      <c r="A365">
        <f>Setup!$D$5+363</f>
        <v/>
      </c>
      <c r="B365">
        <f>IF('Recurring Schedule'!$C$6="","",IF('Recurring Schedule'!$F$6="","",IF(OR($A365&lt;'Recurring Schedule'!$F$6,$A365&gt;'Recurring Schedule'!$P$6),"",IF(IF('Recurring Schedule'!$N$6&gt;0,MOD($A365-'Recurring Schedule'!$F$6,'Recurring Schedule'!$N$6)=0,IF('Recurring Schedule'!$O$6&gt;0,AND(DAY($A365)=MIN(DAY('Recurring Schedule'!$F$6),DAY(EOMONTH($A365,0))),MOD((YEAR($A365)-YEAR('Recurring Schedule'!$F$6))*12+MONTH($A365)-MONTH('Recurring Schedule'!$F$6),'Recurring Schedule'!$O$6)=0),IF('Recurring Schedule'!$E$6="Weekdays",WEEKDAY($A365,2)&lt;=5,$A365='Recurring Schedule'!$F$6))),1,""))))</f>
        <v/>
      </c>
      <c r="C365">
        <f>IF('Recurring Schedule'!$C$7="","",IF('Recurring Schedule'!$F$7="","",IF(OR($A365&lt;'Recurring Schedule'!$F$7,$A365&gt;'Recurring Schedule'!$P$7),"",IF(IF('Recurring Schedule'!$N$7&gt;0,MOD($A365-'Recurring Schedule'!$F$7,'Recurring Schedule'!$N$7)=0,IF('Recurring Schedule'!$O$7&gt;0,AND(DAY($A365)=MIN(DAY('Recurring Schedule'!$F$7),DAY(EOMONTH($A365,0))),MOD((YEAR($A365)-YEAR('Recurring Schedule'!$F$7))*12+MONTH($A365)-MONTH('Recurring Schedule'!$F$7),'Recurring Schedule'!$O$7)=0),IF('Recurring Schedule'!$E$7="Weekdays",WEEKDAY($A365,2)&lt;=5,$A365='Recurring Schedule'!$F$7))),2,""))))</f>
        <v/>
      </c>
      <c r="D365">
        <f>IF('Recurring Schedule'!$C$8="","",IF('Recurring Schedule'!$F$8="","",IF(OR($A365&lt;'Recurring Schedule'!$F$8,$A365&gt;'Recurring Schedule'!$P$8),"",IF(IF('Recurring Schedule'!$N$8&gt;0,MOD($A365-'Recurring Schedule'!$F$8,'Recurring Schedule'!$N$8)=0,IF('Recurring Schedule'!$O$8&gt;0,AND(DAY($A365)=MIN(DAY('Recurring Schedule'!$F$8),DAY(EOMONTH($A365,0))),MOD((YEAR($A365)-YEAR('Recurring Schedule'!$F$8))*12+MONTH($A365)-MONTH('Recurring Schedule'!$F$8),'Recurring Schedule'!$O$8)=0),IF('Recurring Schedule'!$E$8="Weekdays",WEEKDAY($A365,2)&lt;=5,$A365='Recurring Schedule'!$F$8))),3,""))))</f>
        <v/>
      </c>
      <c r="E365">
        <f>IF('Recurring Schedule'!$C$9="","",IF('Recurring Schedule'!$F$9="","",IF(OR($A365&lt;'Recurring Schedule'!$F$9,$A365&gt;'Recurring Schedule'!$P$9),"",IF(IF('Recurring Schedule'!$N$9&gt;0,MOD($A365-'Recurring Schedule'!$F$9,'Recurring Schedule'!$N$9)=0,IF('Recurring Schedule'!$O$9&gt;0,AND(DAY($A365)=MIN(DAY('Recurring Schedule'!$F$9),DAY(EOMONTH($A365,0))),MOD((YEAR($A365)-YEAR('Recurring Schedule'!$F$9))*12+MONTH($A365)-MONTH('Recurring Schedule'!$F$9),'Recurring Schedule'!$O$9)=0),IF('Recurring Schedule'!$E$9="Weekdays",WEEKDAY($A365,2)&lt;=5,$A365='Recurring Schedule'!$F$9))),4,""))))</f>
        <v/>
      </c>
      <c r="F365">
        <f>IF('Recurring Schedule'!$C$10="","",IF('Recurring Schedule'!$F$10="","",IF(OR($A365&lt;'Recurring Schedule'!$F$10,$A365&gt;'Recurring Schedule'!$P$10),"",IF(IF('Recurring Schedule'!$N$10&gt;0,MOD($A365-'Recurring Schedule'!$F$10,'Recurring Schedule'!$N$10)=0,IF('Recurring Schedule'!$O$10&gt;0,AND(DAY($A365)=MIN(DAY('Recurring Schedule'!$F$10),DAY(EOMONTH($A365,0))),MOD((YEAR($A365)-YEAR('Recurring Schedule'!$F$10))*12+MONTH($A365)-MONTH('Recurring Schedule'!$F$10),'Recurring Schedule'!$O$10)=0),IF('Recurring Schedule'!$E$10="Weekdays",WEEKDAY($A365,2)&lt;=5,$A365='Recurring Schedule'!$F$10))),5,""))))</f>
        <v/>
      </c>
      <c r="G365">
        <f>IF('Recurring Schedule'!$C$11="","",IF('Recurring Schedule'!$F$11="","",IF(OR($A365&lt;'Recurring Schedule'!$F$11,$A365&gt;'Recurring Schedule'!$P$11),"",IF(IF('Recurring Schedule'!$N$11&gt;0,MOD($A365-'Recurring Schedule'!$F$11,'Recurring Schedule'!$N$11)=0,IF('Recurring Schedule'!$O$11&gt;0,AND(DAY($A365)=MIN(DAY('Recurring Schedule'!$F$11),DAY(EOMONTH($A365,0))),MOD((YEAR($A365)-YEAR('Recurring Schedule'!$F$11))*12+MONTH($A365)-MONTH('Recurring Schedule'!$F$11),'Recurring Schedule'!$O$11)=0),IF('Recurring Schedule'!$E$11="Weekdays",WEEKDAY($A365,2)&lt;=5,$A365='Recurring Schedule'!$F$11))),6,""))))</f>
        <v/>
      </c>
      <c r="H365">
        <f>IF('Recurring Schedule'!$C$12="","",IF('Recurring Schedule'!$F$12="","",IF(OR($A365&lt;'Recurring Schedule'!$F$12,$A365&gt;'Recurring Schedule'!$P$12),"",IF(IF('Recurring Schedule'!$N$12&gt;0,MOD($A365-'Recurring Schedule'!$F$12,'Recurring Schedule'!$N$12)=0,IF('Recurring Schedule'!$O$12&gt;0,AND(DAY($A365)=MIN(DAY('Recurring Schedule'!$F$12),DAY(EOMONTH($A365,0))),MOD((YEAR($A365)-YEAR('Recurring Schedule'!$F$12))*12+MONTH($A365)-MONTH('Recurring Schedule'!$F$12),'Recurring Schedule'!$O$12)=0),IF('Recurring Schedule'!$E$12="Weekdays",WEEKDAY($A365,2)&lt;=5,$A365='Recurring Schedule'!$F$12))),7,""))))</f>
        <v/>
      </c>
      <c r="I365">
        <f>IF('Recurring Schedule'!$C$13="","",IF('Recurring Schedule'!$F$13="","",IF(OR($A365&lt;'Recurring Schedule'!$F$13,$A365&gt;'Recurring Schedule'!$P$13),"",IF(IF('Recurring Schedule'!$N$13&gt;0,MOD($A365-'Recurring Schedule'!$F$13,'Recurring Schedule'!$N$13)=0,IF('Recurring Schedule'!$O$13&gt;0,AND(DAY($A365)=MIN(DAY('Recurring Schedule'!$F$13),DAY(EOMONTH($A365,0))),MOD((YEAR($A365)-YEAR('Recurring Schedule'!$F$13))*12+MONTH($A365)-MONTH('Recurring Schedule'!$F$13),'Recurring Schedule'!$O$13)=0),IF('Recurring Schedule'!$E$13="Weekdays",WEEKDAY($A365,2)&lt;=5,$A365='Recurring Schedule'!$F$13))),8,""))))</f>
        <v/>
      </c>
      <c r="J365">
        <f>IF('Recurring Schedule'!$C$14="","",IF('Recurring Schedule'!$F$14="","",IF(OR($A365&lt;'Recurring Schedule'!$F$14,$A365&gt;'Recurring Schedule'!$P$14),"",IF(IF('Recurring Schedule'!$N$14&gt;0,MOD($A365-'Recurring Schedule'!$F$14,'Recurring Schedule'!$N$14)=0,IF('Recurring Schedule'!$O$14&gt;0,AND(DAY($A365)=MIN(DAY('Recurring Schedule'!$F$14),DAY(EOMONTH($A365,0))),MOD((YEAR($A365)-YEAR('Recurring Schedule'!$F$14))*12+MONTH($A365)-MONTH('Recurring Schedule'!$F$14),'Recurring Schedule'!$O$14)=0),IF('Recurring Schedule'!$E$14="Weekdays",WEEKDAY($A365,2)&lt;=5,$A365='Recurring Schedule'!$F$14))),9,""))))</f>
        <v/>
      </c>
      <c r="K365">
        <f>IF('Recurring Schedule'!$C$15="","",IF('Recurring Schedule'!$F$15="","",IF(OR($A365&lt;'Recurring Schedule'!$F$15,$A365&gt;'Recurring Schedule'!$P$15),"",IF(IF('Recurring Schedule'!$N$15&gt;0,MOD($A365-'Recurring Schedule'!$F$15,'Recurring Schedule'!$N$15)=0,IF('Recurring Schedule'!$O$15&gt;0,AND(DAY($A365)=MIN(DAY('Recurring Schedule'!$F$15),DAY(EOMONTH($A365,0))),MOD((YEAR($A365)-YEAR('Recurring Schedule'!$F$15))*12+MONTH($A365)-MONTH('Recurring Schedule'!$F$15),'Recurring Schedule'!$O$15)=0),IF('Recurring Schedule'!$E$15="Weekdays",WEEKDAY($A365,2)&lt;=5,$A365='Recurring Schedule'!$F$15))),10,""))))</f>
        <v/>
      </c>
      <c r="L365">
        <f>IF('Recurring Schedule'!$C$16="","",IF('Recurring Schedule'!$F$16="","",IF(OR($A365&lt;'Recurring Schedule'!$F$16,$A365&gt;'Recurring Schedule'!$P$16),"",IF(IF('Recurring Schedule'!$N$16&gt;0,MOD($A365-'Recurring Schedule'!$F$16,'Recurring Schedule'!$N$16)=0,IF('Recurring Schedule'!$O$16&gt;0,AND(DAY($A365)=MIN(DAY('Recurring Schedule'!$F$16),DAY(EOMONTH($A365,0))),MOD((YEAR($A365)-YEAR('Recurring Schedule'!$F$16))*12+MONTH($A365)-MONTH('Recurring Schedule'!$F$16),'Recurring Schedule'!$O$16)=0),IF('Recurring Schedule'!$E$16="Weekdays",WEEKDAY($A365,2)&lt;=5,$A365='Recurring Schedule'!$F$16))),11,""))))</f>
        <v/>
      </c>
      <c r="M365">
        <f>IF('Recurring Schedule'!$C$17="","",IF('Recurring Schedule'!$F$17="","",IF(OR($A365&lt;'Recurring Schedule'!$F$17,$A365&gt;'Recurring Schedule'!$P$17),"",IF(IF('Recurring Schedule'!$N$17&gt;0,MOD($A365-'Recurring Schedule'!$F$17,'Recurring Schedule'!$N$17)=0,IF('Recurring Schedule'!$O$17&gt;0,AND(DAY($A365)=MIN(DAY('Recurring Schedule'!$F$17),DAY(EOMONTH($A365,0))),MOD((YEAR($A365)-YEAR('Recurring Schedule'!$F$17))*12+MONTH($A365)-MONTH('Recurring Schedule'!$F$17),'Recurring Schedule'!$O$17)=0),IF('Recurring Schedule'!$E$17="Weekdays",WEEKDAY($A365,2)&lt;=5,$A365='Recurring Schedule'!$F$17))),12,""))))</f>
        <v/>
      </c>
      <c r="N365">
        <f>IF('Recurring Schedule'!$C$18="","",IF('Recurring Schedule'!$F$18="","",IF(OR($A365&lt;'Recurring Schedule'!$F$18,$A365&gt;'Recurring Schedule'!$P$18),"",IF(IF('Recurring Schedule'!$N$18&gt;0,MOD($A365-'Recurring Schedule'!$F$18,'Recurring Schedule'!$N$18)=0,IF('Recurring Schedule'!$O$18&gt;0,AND(DAY($A365)=MIN(DAY('Recurring Schedule'!$F$18),DAY(EOMONTH($A365,0))),MOD((YEAR($A365)-YEAR('Recurring Schedule'!$F$18))*12+MONTH($A365)-MONTH('Recurring Schedule'!$F$18),'Recurring Schedule'!$O$18)=0),IF('Recurring Schedule'!$E$18="Weekdays",WEEKDAY($A365,2)&lt;=5,$A365='Recurring Schedule'!$F$18))),13,""))))</f>
        <v/>
      </c>
      <c r="O365">
        <f>IF('Recurring Schedule'!$C$19="","",IF('Recurring Schedule'!$F$19="","",IF(OR($A365&lt;'Recurring Schedule'!$F$19,$A365&gt;'Recurring Schedule'!$P$19),"",IF(IF('Recurring Schedule'!$N$19&gt;0,MOD($A365-'Recurring Schedule'!$F$19,'Recurring Schedule'!$N$19)=0,IF('Recurring Schedule'!$O$19&gt;0,AND(DAY($A365)=MIN(DAY('Recurring Schedule'!$F$19),DAY(EOMONTH($A365,0))),MOD((YEAR($A365)-YEAR('Recurring Schedule'!$F$19))*12+MONTH($A365)-MONTH('Recurring Schedule'!$F$19),'Recurring Schedule'!$O$19)=0),IF('Recurring Schedule'!$E$19="Weekdays",WEEKDAY($A365,2)&lt;=5,$A365='Recurring Schedule'!$F$19))),14,""))))</f>
        <v/>
      </c>
      <c r="P365">
        <f>IF('Recurring Schedule'!$C$20="","",IF('Recurring Schedule'!$F$20="","",IF(OR($A365&lt;'Recurring Schedule'!$F$20,$A365&gt;'Recurring Schedule'!$P$20),"",IF(IF('Recurring Schedule'!$N$20&gt;0,MOD($A365-'Recurring Schedule'!$F$20,'Recurring Schedule'!$N$20)=0,IF('Recurring Schedule'!$O$20&gt;0,AND(DAY($A365)=MIN(DAY('Recurring Schedule'!$F$20),DAY(EOMONTH($A365,0))),MOD((YEAR($A365)-YEAR('Recurring Schedule'!$F$20))*12+MONTH($A365)-MONTH('Recurring Schedule'!$F$20),'Recurring Schedule'!$O$20)=0),IF('Recurring Schedule'!$E$20="Weekdays",WEEKDAY($A365,2)&lt;=5,$A365='Recurring Schedule'!$F$20))),15,""))))</f>
        <v/>
      </c>
      <c r="Q365">
        <f>IF('Recurring Schedule'!$C$21="","",IF('Recurring Schedule'!$F$21="","",IF(OR($A365&lt;'Recurring Schedule'!$F$21,$A365&gt;'Recurring Schedule'!$P$21),"",IF(IF('Recurring Schedule'!$N$21&gt;0,MOD($A365-'Recurring Schedule'!$F$21,'Recurring Schedule'!$N$21)=0,IF('Recurring Schedule'!$O$21&gt;0,AND(DAY($A365)=MIN(DAY('Recurring Schedule'!$F$21),DAY(EOMONTH($A365,0))),MOD((YEAR($A365)-YEAR('Recurring Schedule'!$F$21))*12+MONTH($A365)-MONTH('Recurring Schedule'!$F$21),'Recurring Schedule'!$O$21)=0),IF('Recurring Schedule'!$E$21="Weekdays",WEEKDAY($A365,2)&lt;=5,$A365='Recurring Schedule'!$F$21))),16,""))))</f>
        <v/>
      </c>
      <c r="R365">
        <f>IF('Recurring Schedule'!$C$22="","",IF('Recurring Schedule'!$F$22="","",IF(OR($A365&lt;'Recurring Schedule'!$F$22,$A365&gt;'Recurring Schedule'!$P$22),"",IF(IF('Recurring Schedule'!$N$22&gt;0,MOD($A365-'Recurring Schedule'!$F$22,'Recurring Schedule'!$N$22)=0,IF('Recurring Schedule'!$O$22&gt;0,AND(DAY($A365)=MIN(DAY('Recurring Schedule'!$F$22),DAY(EOMONTH($A365,0))),MOD((YEAR($A365)-YEAR('Recurring Schedule'!$F$22))*12+MONTH($A365)-MONTH('Recurring Schedule'!$F$22),'Recurring Schedule'!$O$22)=0),IF('Recurring Schedule'!$E$22="Weekdays",WEEKDAY($A365,2)&lt;=5,$A365='Recurring Schedule'!$F$22))),17,""))))</f>
        <v/>
      </c>
      <c r="S365">
        <f>IF('Recurring Schedule'!$C$23="","",IF('Recurring Schedule'!$F$23="","",IF(OR($A365&lt;'Recurring Schedule'!$F$23,$A365&gt;'Recurring Schedule'!$P$23),"",IF(IF('Recurring Schedule'!$N$23&gt;0,MOD($A365-'Recurring Schedule'!$F$23,'Recurring Schedule'!$N$23)=0,IF('Recurring Schedule'!$O$23&gt;0,AND(DAY($A365)=MIN(DAY('Recurring Schedule'!$F$23),DAY(EOMONTH($A365,0))),MOD((YEAR($A365)-YEAR('Recurring Schedule'!$F$23))*12+MONTH($A365)-MONTH('Recurring Schedule'!$F$23),'Recurring Schedule'!$O$23)=0),IF('Recurring Schedule'!$E$23="Weekdays",WEEKDAY($A365,2)&lt;=5,$A365='Recurring Schedule'!$F$23))),18,""))))</f>
        <v/>
      </c>
      <c r="T365">
        <f>IF('Recurring Schedule'!$C$24="","",IF('Recurring Schedule'!$F$24="","",IF(OR($A365&lt;'Recurring Schedule'!$F$24,$A365&gt;'Recurring Schedule'!$P$24),"",IF(IF('Recurring Schedule'!$N$24&gt;0,MOD($A365-'Recurring Schedule'!$F$24,'Recurring Schedule'!$N$24)=0,IF('Recurring Schedule'!$O$24&gt;0,AND(DAY($A365)=MIN(DAY('Recurring Schedule'!$F$24),DAY(EOMONTH($A365,0))),MOD((YEAR($A365)-YEAR('Recurring Schedule'!$F$24))*12+MONTH($A365)-MONTH('Recurring Schedule'!$F$24),'Recurring Schedule'!$O$24)=0),IF('Recurring Schedule'!$E$24="Weekdays",WEEKDAY($A365,2)&lt;=5,$A365='Recurring Schedule'!$F$24))),19,""))))</f>
        <v/>
      </c>
      <c r="U365">
        <f>IF('Recurring Schedule'!$C$25="","",IF('Recurring Schedule'!$F$25="","",IF(OR($A365&lt;'Recurring Schedule'!$F$25,$A365&gt;'Recurring Schedule'!$P$25),"",IF(IF('Recurring Schedule'!$N$25&gt;0,MOD($A365-'Recurring Schedule'!$F$25,'Recurring Schedule'!$N$25)=0,IF('Recurring Schedule'!$O$25&gt;0,AND(DAY($A365)=MIN(DAY('Recurring Schedule'!$F$25),DAY(EOMONTH($A365,0))),MOD((YEAR($A365)-YEAR('Recurring Schedule'!$F$25))*12+MONTH($A365)-MONTH('Recurring Schedule'!$F$25),'Recurring Schedule'!$O$25)=0),IF('Recurring Schedule'!$E$25="Weekdays",WEEKDAY($A365,2)&lt;=5,$A365='Recurring Schedule'!$F$25))),20,""))))</f>
        <v/>
      </c>
      <c r="V365">
        <f>IF('Recurring Schedule'!$C$26="","",IF('Recurring Schedule'!$F$26="","",IF(OR($A365&lt;'Recurring Schedule'!$F$26,$A365&gt;'Recurring Schedule'!$P$26),"",IF(IF('Recurring Schedule'!$N$26&gt;0,MOD($A365-'Recurring Schedule'!$F$26,'Recurring Schedule'!$N$26)=0,IF('Recurring Schedule'!$O$26&gt;0,AND(DAY($A365)=MIN(DAY('Recurring Schedule'!$F$26),DAY(EOMONTH($A365,0))),MOD((YEAR($A365)-YEAR('Recurring Schedule'!$F$26))*12+MONTH($A365)-MONTH('Recurring Schedule'!$F$26),'Recurring Schedule'!$O$26)=0),IF('Recurring Schedule'!$E$26="Weekdays",WEEKDAY($A365,2)&lt;=5,$A365='Recurring Schedule'!$F$26))),21,""))))</f>
        <v/>
      </c>
      <c r="W365">
        <f>IF('Recurring Schedule'!$C$27="","",IF('Recurring Schedule'!$F$27="","",IF(OR($A365&lt;'Recurring Schedule'!$F$27,$A365&gt;'Recurring Schedule'!$P$27),"",IF(IF('Recurring Schedule'!$N$27&gt;0,MOD($A365-'Recurring Schedule'!$F$27,'Recurring Schedule'!$N$27)=0,IF('Recurring Schedule'!$O$27&gt;0,AND(DAY($A365)=MIN(DAY('Recurring Schedule'!$F$27),DAY(EOMONTH($A365,0))),MOD((YEAR($A365)-YEAR('Recurring Schedule'!$F$27))*12+MONTH($A365)-MONTH('Recurring Schedule'!$F$27),'Recurring Schedule'!$O$27)=0),IF('Recurring Schedule'!$E$27="Weekdays",WEEKDAY($A365,2)&lt;=5,$A365='Recurring Schedule'!$F$27))),22,""))))</f>
        <v/>
      </c>
      <c r="X365">
        <f>IF('Recurring Schedule'!$C$28="","",IF('Recurring Schedule'!$F$28="","",IF(OR($A365&lt;'Recurring Schedule'!$F$28,$A365&gt;'Recurring Schedule'!$P$28),"",IF(IF('Recurring Schedule'!$N$28&gt;0,MOD($A365-'Recurring Schedule'!$F$28,'Recurring Schedule'!$N$28)=0,IF('Recurring Schedule'!$O$28&gt;0,AND(DAY($A365)=MIN(DAY('Recurring Schedule'!$F$28),DAY(EOMONTH($A365,0))),MOD((YEAR($A365)-YEAR('Recurring Schedule'!$F$28))*12+MONTH($A365)-MONTH('Recurring Schedule'!$F$28),'Recurring Schedule'!$O$28)=0),IF('Recurring Schedule'!$E$28="Weekdays",WEEKDAY($A365,2)&lt;=5,$A365='Recurring Schedule'!$F$28))),23,""))))</f>
        <v/>
      </c>
      <c r="Y365">
        <f>IF('Recurring Schedule'!$C$29="","",IF('Recurring Schedule'!$F$29="","",IF(OR($A365&lt;'Recurring Schedule'!$F$29,$A365&gt;'Recurring Schedule'!$P$29),"",IF(IF('Recurring Schedule'!$N$29&gt;0,MOD($A365-'Recurring Schedule'!$F$29,'Recurring Schedule'!$N$29)=0,IF('Recurring Schedule'!$O$29&gt;0,AND(DAY($A365)=MIN(DAY('Recurring Schedule'!$F$29),DAY(EOMONTH($A365,0))),MOD((YEAR($A365)-YEAR('Recurring Schedule'!$F$29))*12+MONTH($A365)-MONTH('Recurring Schedule'!$F$29),'Recurring Schedule'!$O$29)=0),IF('Recurring Schedule'!$E$29="Weekdays",WEEKDAY($A365,2)&lt;=5,$A365='Recurring Schedule'!$F$29))),24,""))))</f>
        <v/>
      </c>
      <c r="Z365">
        <f>IF('Recurring Schedule'!$C$30="","",IF('Recurring Schedule'!$F$30="","",IF(OR($A365&lt;'Recurring Schedule'!$F$30,$A365&gt;'Recurring Schedule'!$P$30),"",IF(IF('Recurring Schedule'!$N$30&gt;0,MOD($A365-'Recurring Schedule'!$F$30,'Recurring Schedule'!$N$30)=0,IF('Recurring Schedule'!$O$30&gt;0,AND(DAY($A365)=MIN(DAY('Recurring Schedule'!$F$30),DAY(EOMONTH($A365,0))),MOD((YEAR($A365)-YEAR('Recurring Schedule'!$F$30))*12+MONTH($A365)-MONTH('Recurring Schedule'!$F$30),'Recurring Schedule'!$O$30)=0),IF('Recurring Schedule'!$E$30="Weekdays",WEEKDAY($A365,2)&lt;=5,$A365='Recurring Schedule'!$F$30))),25,""))))</f>
        <v/>
      </c>
      <c r="AA365">
        <f>IF('Recurring Schedule'!$C$31="","",IF('Recurring Schedule'!$F$31="","",IF(OR($A365&lt;'Recurring Schedule'!$F$31,$A365&gt;'Recurring Schedule'!$P$31),"",IF(IF('Recurring Schedule'!$N$31&gt;0,MOD($A365-'Recurring Schedule'!$F$31,'Recurring Schedule'!$N$31)=0,IF('Recurring Schedule'!$O$31&gt;0,AND(DAY($A365)=MIN(DAY('Recurring Schedule'!$F$31),DAY(EOMONTH($A365,0))),MOD((YEAR($A365)-YEAR('Recurring Schedule'!$F$31))*12+MONTH($A365)-MONTH('Recurring Schedule'!$F$31),'Recurring Schedule'!$O$31)=0),IF('Recurring Schedule'!$E$31="Weekdays",WEEKDAY($A365,2)&lt;=5,$A365='Recurring Schedule'!$F$31))),26,""))))</f>
        <v/>
      </c>
      <c r="AB365">
        <f>IF('Recurring Schedule'!$C$32="","",IF('Recurring Schedule'!$F$32="","",IF(OR($A365&lt;'Recurring Schedule'!$F$32,$A365&gt;'Recurring Schedule'!$P$32),"",IF(IF('Recurring Schedule'!$N$32&gt;0,MOD($A365-'Recurring Schedule'!$F$32,'Recurring Schedule'!$N$32)=0,IF('Recurring Schedule'!$O$32&gt;0,AND(DAY($A365)=MIN(DAY('Recurring Schedule'!$F$32),DAY(EOMONTH($A365,0))),MOD((YEAR($A365)-YEAR('Recurring Schedule'!$F$32))*12+MONTH($A365)-MONTH('Recurring Schedule'!$F$32),'Recurring Schedule'!$O$32)=0),IF('Recurring Schedule'!$E$32="Weekdays",WEEKDAY($A365,2)&lt;=5,$A365='Recurring Schedule'!$F$32))),27,""))))</f>
        <v/>
      </c>
      <c r="AC365">
        <f>IF('Recurring Schedule'!$C$33="","",IF('Recurring Schedule'!$F$33="","",IF(OR($A365&lt;'Recurring Schedule'!$F$33,$A365&gt;'Recurring Schedule'!$P$33),"",IF(IF('Recurring Schedule'!$N$33&gt;0,MOD($A365-'Recurring Schedule'!$F$33,'Recurring Schedule'!$N$33)=0,IF('Recurring Schedule'!$O$33&gt;0,AND(DAY($A365)=MIN(DAY('Recurring Schedule'!$F$33),DAY(EOMONTH($A365,0))),MOD((YEAR($A365)-YEAR('Recurring Schedule'!$F$33))*12+MONTH($A365)-MONTH('Recurring Schedule'!$F$33),'Recurring Schedule'!$O$33)=0),IF('Recurring Schedule'!$E$33="Weekdays",WEEKDAY($A365,2)&lt;=5,$A365='Recurring Schedule'!$F$33))),28,""))))</f>
        <v/>
      </c>
      <c r="AD365">
        <f>IF('Recurring Schedule'!$C$34="","",IF('Recurring Schedule'!$F$34="","",IF(OR($A365&lt;'Recurring Schedule'!$F$34,$A365&gt;'Recurring Schedule'!$P$34),"",IF(IF('Recurring Schedule'!$N$34&gt;0,MOD($A365-'Recurring Schedule'!$F$34,'Recurring Schedule'!$N$34)=0,IF('Recurring Schedule'!$O$34&gt;0,AND(DAY($A365)=MIN(DAY('Recurring Schedule'!$F$34),DAY(EOMONTH($A365,0))),MOD((YEAR($A365)-YEAR('Recurring Schedule'!$F$34))*12+MONTH($A365)-MONTH('Recurring Schedule'!$F$34),'Recurring Schedule'!$O$34)=0),IF('Recurring Schedule'!$E$34="Weekdays",WEEKDAY($A365,2)&lt;=5,$A365='Recurring Schedule'!$F$34))),29,""))))</f>
        <v/>
      </c>
      <c r="AE365">
        <f>IF('Recurring Schedule'!$C$35="","",IF('Recurring Schedule'!$F$35="","",IF(OR($A365&lt;'Recurring Schedule'!$F$35,$A365&gt;'Recurring Schedule'!$P$35),"",IF(IF('Recurring Schedule'!$N$35&gt;0,MOD($A365-'Recurring Schedule'!$F$35,'Recurring Schedule'!$N$35)=0,IF('Recurring Schedule'!$O$35&gt;0,AND(DAY($A365)=MIN(DAY('Recurring Schedule'!$F$35),DAY(EOMONTH($A365,0))),MOD((YEAR($A365)-YEAR('Recurring Schedule'!$F$35))*12+MONTH($A365)-MONTH('Recurring Schedule'!$F$35),'Recurring Schedule'!$O$35)=0),IF('Recurring Schedule'!$E$35="Weekdays",WEEKDAY($A365,2)&lt;=5,$A365='Recurring Schedule'!$F$35))),30,""))))</f>
        <v/>
      </c>
      <c r="AF365">
        <f>IF('Recurring Schedule'!$C$36="","",IF('Recurring Schedule'!$F$36="","",IF(OR($A365&lt;'Recurring Schedule'!$F$36,$A365&gt;'Recurring Schedule'!$P$36),"",IF(IF('Recurring Schedule'!$N$36&gt;0,MOD($A365-'Recurring Schedule'!$F$36,'Recurring Schedule'!$N$36)=0,IF('Recurring Schedule'!$O$36&gt;0,AND(DAY($A365)=MIN(DAY('Recurring Schedule'!$F$36),DAY(EOMONTH($A365,0))),MOD((YEAR($A365)-YEAR('Recurring Schedule'!$F$36))*12+MONTH($A365)-MONTH('Recurring Schedule'!$F$36),'Recurring Schedule'!$O$36)=0),IF('Recurring Schedule'!$E$36="Weekdays",WEEKDAY($A365,2)&lt;=5,$A365='Recurring Schedule'!$F$36))),31,""))))</f>
        <v/>
      </c>
      <c r="AG365">
        <f>IF('Recurring Schedule'!$C$37="","",IF('Recurring Schedule'!$F$37="","",IF(OR($A365&lt;'Recurring Schedule'!$F$37,$A365&gt;'Recurring Schedule'!$P$37),"",IF(IF('Recurring Schedule'!$N$37&gt;0,MOD($A365-'Recurring Schedule'!$F$37,'Recurring Schedule'!$N$37)=0,IF('Recurring Schedule'!$O$37&gt;0,AND(DAY($A365)=MIN(DAY('Recurring Schedule'!$F$37),DAY(EOMONTH($A365,0))),MOD((YEAR($A365)-YEAR('Recurring Schedule'!$F$37))*12+MONTH($A365)-MONTH('Recurring Schedule'!$F$37),'Recurring Schedule'!$O$37)=0),IF('Recurring Schedule'!$E$37="Weekdays",WEEKDAY($A365,2)&lt;=5,$A365='Recurring Schedule'!$F$37))),32,""))))</f>
        <v/>
      </c>
      <c r="AH365">
        <f>IF('Recurring Schedule'!$C$38="","",IF('Recurring Schedule'!$F$38="","",IF(OR($A365&lt;'Recurring Schedule'!$F$38,$A365&gt;'Recurring Schedule'!$P$38),"",IF(IF('Recurring Schedule'!$N$38&gt;0,MOD($A365-'Recurring Schedule'!$F$38,'Recurring Schedule'!$N$38)=0,IF('Recurring Schedule'!$O$38&gt;0,AND(DAY($A365)=MIN(DAY('Recurring Schedule'!$F$38),DAY(EOMONTH($A365,0))),MOD((YEAR($A365)-YEAR('Recurring Schedule'!$F$38))*12+MONTH($A365)-MONTH('Recurring Schedule'!$F$38),'Recurring Schedule'!$O$38)=0),IF('Recurring Schedule'!$E$38="Weekdays",WEEKDAY($A365,2)&lt;=5,$A365='Recurring Schedule'!$F$38))),33,""))))</f>
        <v/>
      </c>
      <c r="AI365">
        <f>IF('Recurring Schedule'!$C$39="","",IF('Recurring Schedule'!$F$39="","",IF(OR($A365&lt;'Recurring Schedule'!$F$39,$A365&gt;'Recurring Schedule'!$P$39),"",IF(IF('Recurring Schedule'!$N$39&gt;0,MOD($A365-'Recurring Schedule'!$F$39,'Recurring Schedule'!$N$39)=0,IF('Recurring Schedule'!$O$39&gt;0,AND(DAY($A365)=MIN(DAY('Recurring Schedule'!$F$39),DAY(EOMONTH($A365,0))),MOD((YEAR($A365)-YEAR('Recurring Schedule'!$F$39))*12+MONTH($A365)-MONTH('Recurring Schedule'!$F$39),'Recurring Schedule'!$O$39)=0),IF('Recurring Schedule'!$E$39="Weekdays",WEEKDAY($A365,2)&lt;=5,$A365='Recurring Schedule'!$F$39))),34,""))))</f>
        <v/>
      </c>
      <c r="AJ365">
        <f>IF('Recurring Schedule'!$C$40="","",IF('Recurring Schedule'!$F$40="","",IF(OR($A365&lt;'Recurring Schedule'!$F$40,$A365&gt;'Recurring Schedule'!$P$40),"",IF(IF('Recurring Schedule'!$N$40&gt;0,MOD($A365-'Recurring Schedule'!$F$40,'Recurring Schedule'!$N$40)=0,IF('Recurring Schedule'!$O$40&gt;0,AND(DAY($A365)=MIN(DAY('Recurring Schedule'!$F$40),DAY(EOMONTH($A365,0))),MOD((YEAR($A365)-YEAR('Recurring Schedule'!$F$40))*12+MONTH($A365)-MONTH('Recurring Schedule'!$F$40),'Recurring Schedule'!$O$40)=0),IF('Recurring Schedule'!$E$40="Weekdays",WEEKDAY($A365,2)&lt;=5,$A365='Recurring Schedule'!$F$40))),35,""))))</f>
        <v/>
      </c>
      <c r="AK365">
        <f>IF('Recurring Schedule'!$C$41="","",IF('Recurring Schedule'!$F$41="","",IF(OR($A365&lt;'Recurring Schedule'!$F$41,$A365&gt;'Recurring Schedule'!$P$41),"",IF(IF('Recurring Schedule'!$N$41&gt;0,MOD($A365-'Recurring Schedule'!$F$41,'Recurring Schedule'!$N$41)=0,IF('Recurring Schedule'!$O$41&gt;0,AND(DAY($A365)=MIN(DAY('Recurring Schedule'!$F$41),DAY(EOMONTH($A365,0))),MOD((YEAR($A365)-YEAR('Recurring Schedule'!$F$41))*12+MONTH($A365)-MONTH('Recurring Schedule'!$F$41),'Recurring Schedule'!$O$41)=0),IF('Recurring Schedule'!$E$41="Weekdays",WEEKDAY($A365,2)&lt;=5,$A365='Recurring Schedule'!$F$41))),36,""))))</f>
        <v/>
      </c>
      <c r="AL365">
        <f>IF('Recurring Schedule'!$C$42="","",IF('Recurring Schedule'!$F$42="","",IF(OR($A365&lt;'Recurring Schedule'!$F$42,$A365&gt;'Recurring Schedule'!$P$42),"",IF(IF('Recurring Schedule'!$N$42&gt;0,MOD($A365-'Recurring Schedule'!$F$42,'Recurring Schedule'!$N$42)=0,IF('Recurring Schedule'!$O$42&gt;0,AND(DAY($A365)=MIN(DAY('Recurring Schedule'!$F$42),DAY(EOMONTH($A365,0))),MOD((YEAR($A365)-YEAR('Recurring Schedule'!$F$42))*12+MONTH($A365)-MONTH('Recurring Schedule'!$F$42),'Recurring Schedule'!$O$42)=0),IF('Recurring Schedule'!$E$42="Weekdays",WEEKDAY($A365,2)&lt;=5,$A365='Recurring Schedule'!$F$42))),37,""))))</f>
        <v/>
      </c>
      <c r="AM365">
        <f>IF('Recurring Schedule'!$C$43="","",IF('Recurring Schedule'!$F$43="","",IF(OR($A365&lt;'Recurring Schedule'!$F$43,$A365&gt;'Recurring Schedule'!$P$43),"",IF(IF('Recurring Schedule'!$N$43&gt;0,MOD($A365-'Recurring Schedule'!$F$43,'Recurring Schedule'!$N$43)=0,IF('Recurring Schedule'!$O$43&gt;0,AND(DAY($A365)=MIN(DAY('Recurring Schedule'!$F$43),DAY(EOMONTH($A365,0))),MOD((YEAR($A365)-YEAR('Recurring Schedule'!$F$43))*12+MONTH($A365)-MONTH('Recurring Schedule'!$F$43),'Recurring Schedule'!$O$43)=0),IF('Recurring Schedule'!$E$43="Weekdays",WEEKDAY($A365,2)&lt;=5,$A365='Recurring Schedule'!$F$43))),38,""))))</f>
        <v/>
      </c>
      <c r="AN365">
        <f>IF('Recurring Schedule'!$C$44="","",IF('Recurring Schedule'!$F$44="","",IF(OR($A365&lt;'Recurring Schedule'!$F$44,$A365&gt;'Recurring Schedule'!$P$44),"",IF(IF('Recurring Schedule'!$N$44&gt;0,MOD($A365-'Recurring Schedule'!$F$44,'Recurring Schedule'!$N$44)=0,IF('Recurring Schedule'!$O$44&gt;0,AND(DAY($A365)=MIN(DAY('Recurring Schedule'!$F$44),DAY(EOMONTH($A365,0))),MOD((YEAR($A365)-YEAR('Recurring Schedule'!$F$44))*12+MONTH($A365)-MONTH('Recurring Schedule'!$F$44),'Recurring Schedule'!$O$44)=0),IF('Recurring Schedule'!$E$44="Weekdays",WEEKDAY($A365,2)&lt;=5,$A365='Recurring Schedule'!$F$44))),39,""))))</f>
        <v/>
      </c>
      <c r="AO365">
        <f>IF('Recurring Schedule'!$C$45="","",IF('Recurring Schedule'!$F$45="","",IF(OR($A365&lt;'Recurring Schedule'!$F$45,$A365&gt;'Recurring Schedule'!$P$45),"",IF(IF('Recurring Schedule'!$N$45&gt;0,MOD($A365-'Recurring Schedule'!$F$45,'Recurring Schedule'!$N$45)=0,IF('Recurring Schedule'!$O$45&gt;0,AND(DAY($A365)=MIN(DAY('Recurring Schedule'!$F$45),DAY(EOMONTH($A365,0))),MOD((YEAR($A365)-YEAR('Recurring Schedule'!$F$45))*12+MONTH($A365)-MONTH('Recurring Schedule'!$F$45),'Recurring Schedule'!$O$45)=0),IF('Recurring Schedule'!$E$45="Weekdays",WEEKDAY($A365,2)&lt;=5,$A365='Recurring Schedule'!$F$45))),40,""))))</f>
        <v/>
      </c>
      <c r="AP365">
        <f>COUNT(B365:AO365)</f>
        <v/>
      </c>
      <c r="AQ365">
        <f>AQ364+AP364</f>
        <v/>
      </c>
      <c r="AS365" t="inlineStr">
        <is>
          <t>R</t>
        </is>
      </c>
      <c r="AT365" t="n">
        <v>369</v>
      </c>
      <c r="AU365">
        <f>'Recurring Log'!C369&amp;""</f>
        <v/>
      </c>
      <c r="AV365">
        <f>'Recurring Log'!D369&amp;""</f>
        <v/>
      </c>
      <c r="AW365">
        <f>IF('Recurring Log'!E369="","",'Recurring Log'!E369)</f>
        <v/>
      </c>
      <c r="AX365">
        <f>IF('Recurring Log'!G369="","",'Recurring Log'!G369)</f>
        <v/>
      </c>
      <c r="AY365">
        <f>IF('Recurring Log'!H369="","",'Recurring Log'!H369)</f>
        <v/>
      </c>
      <c r="AZ365">
        <f>IF(AU365="","",IF('Recurring Log'!J369="","Not Started",'Recurring Log'!J369))</f>
        <v/>
      </c>
      <c r="BA365">
        <f>'Recurring Log'!L369&amp;""</f>
        <v/>
      </c>
      <c r="BB365">
        <f>'Recurring Log'!M369&amp;""</f>
        <v/>
      </c>
      <c r="BC365">
        <f>'Recurring Log'!N369&amp;""</f>
        <v/>
      </c>
      <c r="BD365">
        <f>'Recurring Log'!O369&amp;""</f>
        <v/>
      </c>
      <c r="BE365">
        <f>IF('Recurring Log'!K369="","",'Recurring Log'!K369)</f>
        <v/>
      </c>
      <c r="BF365">
        <f>IFERROR(MATCH(BA365,Setup!$L$6:$L$9,0),5)</f>
        <v/>
      </c>
      <c r="BG365">
        <f>IF(OR(AZ365="Done",AZ365="Cancelled"),1,0)</f>
        <v/>
      </c>
      <c r="BH365">
        <f>IF(AND(AU365&lt;&gt;"",ISNUMBER(AW365)),1,0)</f>
        <v/>
      </c>
      <c r="BI365">
        <f>IF(BH365=0,0,IF(AND(AW365&gt;='Tasks Filter'!$F$3,AW365&lt;='Tasks Filter'!$F$4,OR('Tasks Filter'!$I$3="",ISNUMBER(SEARCH('Tasks Filter'!$I$3,AU365))),OR('Tasks Filter'!$I$4="",BF365=IFERROR(MATCH('Tasks Filter'!$I$4,Setup!$L$6:$L$9,0),0)),OR('Tasks Filter'!$I$5="Both",AND('Tasks Filter'!$I$5="Yes",BB365="✓"),AND('Tasks Filter'!$I$5="No",BB365&lt;&gt;"✓")),OR('Tasks Filter'!$L$3="",AV365='Tasks Filter'!$L$3),OR('Tasks Filter'!$L$4="",AZ365='Tasks Filter'!$L$4),OR('Tasks Filter'!$L$5="",BC365='Tasks Filter'!$L$5),OR('Tasks Filter'!$O$3="",BD365='Tasks Filter'!$O$3),OR('Tasks Filter'!$O$4="Yes",BG365=0)),1,0))</f>
        <v/>
      </c>
      <c r="BJ365">
        <f>IF(BH365=0,"",IF('Tasks Filter'!$F$6="Descending",-1,1)*CHOOSE(MATCH('Tasks Filter'!$F$5,Lists!$G$2:$G$6,0),AW365,BF365,IFERROR(MATCH(AV365,Setup!$F$6:$F$15,0),99),IFERROR(MATCH(BC365,Setup!$H$6:$H$15,0),99),IFERROR(MATCH(AZ365,Setup!$J$6:$J$11,0),99))*1E+9+(AW365-40000)*10000+364)</f>
        <v/>
      </c>
      <c r="BK365">
        <f>IF(BI365=1,BJ365,"")</f>
        <v/>
      </c>
      <c r="BL365">
        <f>IF(AND(BH365=1,BG365=0,N(AW365)&lt;Setup!$D$7),(AW365-40000)*10000+364,"")</f>
        <v/>
      </c>
      <c r="BM365">
        <f>IF(AND(BH365=1,AZ365&lt;&gt;"Cancelled",N(AW365)&gt;=Dashboard!$AB$3,N(AW365)&lt;=Dashboard!$AB$3+6),(AW365-40000)*100000+BF365*10000+364,"")</f>
        <v/>
      </c>
      <c r="BN365">
        <f>IF(AND(BH365=1,AZ365&lt;&gt;"Cancelled"),BF365*10000+364,"")</f>
        <v/>
      </c>
    </row>
    <row r="366">
      <c r="A366">
        <f>Setup!$D$5+364</f>
        <v/>
      </c>
      <c r="B366">
        <f>IF('Recurring Schedule'!$C$6="","",IF('Recurring Schedule'!$F$6="","",IF(OR($A366&lt;'Recurring Schedule'!$F$6,$A366&gt;'Recurring Schedule'!$P$6),"",IF(IF('Recurring Schedule'!$N$6&gt;0,MOD($A366-'Recurring Schedule'!$F$6,'Recurring Schedule'!$N$6)=0,IF('Recurring Schedule'!$O$6&gt;0,AND(DAY($A366)=MIN(DAY('Recurring Schedule'!$F$6),DAY(EOMONTH($A366,0))),MOD((YEAR($A366)-YEAR('Recurring Schedule'!$F$6))*12+MONTH($A366)-MONTH('Recurring Schedule'!$F$6),'Recurring Schedule'!$O$6)=0),IF('Recurring Schedule'!$E$6="Weekdays",WEEKDAY($A366,2)&lt;=5,$A366='Recurring Schedule'!$F$6))),1,""))))</f>
        <v/>
      </c>
      <c r="C366">
        <f>IF('Recurring Schedule'!$C$7="","",IF('Recurring Schedule'!$F$7="","",IF(OR($A366&lt;'Recurring Schedule'!$F$7,$A366&gt;'Recurring Schedule'!$P$7),"",IF(IF('Recurring Schedule'!$N$7&gt;0,MOD($A366-'Recurring Schedule'!$F$7,'Recurring Schedule'!$N$7)=0,IF('Recurring Schedule'!$O$7&gt;0,AND(DAY($A366)=MIN(DAY('Recurring Schedule'!$F$7),DAY(EOMONTH($A366,0))),MOD((YEAR($A366)-YEAR('Recurring Schedule'!$F$7))*12+MONTH($A366)-MONTH('Recurring Schedule'!$F$7),'Recurring Schedule'!$O$7)=0),IF('Recurring Schedule'!$E$7="Weekdays",WEEKDAY($A366,2)&lt;=5,$A366='Recurring Schedule'!$F$7))),2,""))))</f>
        <v/>
      </c>
      <c r="D366">
        <f>IF('Recurring Schedule'!$C$8="","",IF('Recurring Schedule'!$F$8="","",IF(OR($A366&lt;'Recurring Schedule'!$F$8,$A366&gt;'Recurring Schedule'!$P$8),"",IF(IF('Recurring Schedule'!$N$8&gt;0,MOD($A366-'Recurring Schedule'!$F$8,'Recurring Schedule'!$N$8)=0,IF('Recurring Schedule'!$O$8&gt;0,AND(DAY($A366)=MIN(DAY('Recurring Schedule'!$F$8),DAY(EOMONTH($A366,0))),MOD((YEAR($A366)-YEAR('Recurring Schedule'!$F$8))*12+MONTH($A366)-MONTH('Recurring Schedule'!$F$8),'Recurring Schedule'!$O$8)=0),IF('Recurring Schedule'!$E$8="Weekdays",WEEKDAY($A366,2)&lt;=5,$A366='Recurring Schedule'!$F$8))),3,""))))</f>
        <v/>
      </c>
      <c r="E366">
        <f>IF('Recurring Schedule'!$C$9="","",IF('Recurring Schedule'!$F$9="","",IF(OR($A366&lt;'Recurring Schedule'!$F$9,$A366&gt;'Recurring Schedule'!$P$9),"",IF(IF('Recurring Schedule'!$N$9&gt;0,MOD($A366-'Recurring Schedule'!$F$9,'Recurring Schedule'!$N$9)=0,IF('Recurring Schedule'!$O$9&gt;0,AND(DAY($A366)=MIN(DAY('Recurring Schedule'!$F$9),DAY(EOMONTH($A366,0))),MOD((YEAR($A366)-YEAR('Recurring Schedule'!$F$9))*12+MONTH($A366)-MONTH('Recurring Schedule'!$F$9),'Recurring Schedule'!$O$9)=0),IF('Recurring Schedule'!$E$9="Weekdays",WEEKDAY($A366,2)&lt;=5,$A366='Recurring Schedule'!$F$9))),4,""))))</f>
        <v/>
      </c>
      <c r="F366">
        <f>IF('Recurring Schedule'!$C$10="","",IF('Recurring Schedule'!$F$10="","",IF(OR($A366&lt;'Recurring Schedule'!$F$10,$A366&gt;'Recurring Schedule'!$P$10),"",IF(IF('Recurring Schedule'!$N$10&gt;0,MOD($A366-'Recurring Schedule'!$F$10,'Recurring Schedule'!$N$10)=0,IF('Recurring Schedule'!$O$10&gt;0,AND(DAY($A366)=MIN(DAY('Recurring Schedule'!$F$10),DAY(EOMONTH($A366,0))),MOD((YEAR($A366)-YEAR('Recurring Schedule'!$F$10))*12+MONTH($A366)-MONTH('Recurring Schedule'!$F$10),'Recurring Schedule'!$O$10)=0),IF('Recurring Schedule'!$E$10="Weekdays",WEEKDAY($A366,2)&lt;=5,$A366='Recurring Schedule'!$F$10))),5,""))))</f>
        <v/>
      </c>
      <c r="G366">
        <f>IF('Recurring Schedule'!$C$11="","",IF('Recurring Schedule'!$F$11="","",IF(OR($A366&lt;'Recurring Schedule'!$F$11,$A366&gt;'Recurring Schedule'!$P$11),"",IF(IF('Recurring Schedule'!$N$11&gt;0,MOD($A366-'Recurring Schedule'!$F$11,'Recurring Schedule'!$N$11)=0,IF('Recurring Schedule'!$O$11&gt;0,AND(DAY($A366)=MIN(DAY('Recurring Schedule'!$F$11),DAY(EOMONTH($A366,0))),MOD((YEAR($A366)-YEAR('Recurring Schedule'!$F$11))*12+MONTH($A366)-MONTH('Recurring Schedule'!$F$11),'Recurring Schedule'!$O$11)=0),IF('Recurring Schedule'!$E$11="Weekdays",WEEKDAY($A366,2)&lt;=5,$A366='Recurring Schedule'!$F$11))),6,""))))</f>
        <v/>
      </c>
      <c r="H366">
        <f>IF('Recurring Schedule'!$C$12="","",IF('Recurring Schedule'!$F$12="","",IF(OR($A366&lt;'Recurring Schedule'!$F$12,$A366&gt;'Recurring Schedule'!$P$12),"",IF(IF('Recurring Schedule'!$N$12&gt;0,MOD($A366-'Recurring Schedule'!$F$12,'Recurring Schedule'!$N$12)=0,IF('Recurring Schedule'!$O$12&gt;0,AND(DAY($A366)=MIN(DAY('Recurring Schedule'!$F$12),DAY(EOMONTH($A366,0))),MOD((YEAR($A366)-YEAR('Recurring Schedule'!$F$12))*12+MONTH($A366)-MONTH('Recurring Schedule'!$F$12),'Recurring Schedule'!$O$12)=0),IF('Recurring Schedule'!$E$12="Weekdays",WEEKDAY($A366,2)&lt;=5,$A366='Recurring Schedule'!$F$12))),7,""))))</f>
        <v/>
      </c>
      <c r="I366">
        <f>IF('Recurring Schedule'!$C$13="","",IF('Recurring Schedule'!$F$13="","",IF(OR($A366&lt;'Recurring Schedule'!$F$13,$A366&gt;'Recurring Schedule'!$P$13),"",IF(IF('Recurring Schedule'!$N$13&gt;0,MOD($A366-'Recurring Schedule'!$F$13,'Recurring Schedule'!$N$13)=0,IF('Recurring Schedule'!$O$13&gt;0,AND(DAY($A366)=MIN(DAY('Recurring Schedule'!$F$13),DAY(EOMONTH($A366,0))),MOD((YEAR($A366)-YEAR('Recurring Schedule'!$F$13))*12+MONTH($A366)-MONTH('Recurring Schedule'!$F$13),'Recurring Schedule'!$O$13)=0),IF('Recurring Schedule'!$E$13="Weekdays",WEEKDAY($A366,2)&lt;=5,$A366='Recurring Schedule'!$F$13))),8,""))))</f>
        <v/>
      </c>
      <c r="J366">
        <f>IF('Recurring Schedule'!$C$14="","",IF('Recurring Schedule'!$F$14="","",IF(OR($A366&lt;'Recurring Schedule'!$F$14,$A366&gt;'Recurring Schedule'!$P$14),"",IF(IF('Recurring Schedule'!$N$14&gt;0,MOD($A366-'Recurring Schedule'!$F$14,'Recurring Schedule'!$N$14)=0,IF('Recurring Schedule'!$O$14&gt;0,AND(DAY($A366)=MIN(DAY('Recurring Schedule'!$F$14),DAY(EOMONTH($A366,0))),MOD((YEAR($A366)-YEAR('Recurring Schedule'!$F$14))*12+MONTH($A366)-MONTH('Recurring Schedule'!$F$14),'Recurring Schedule'!$O$14)=0),IF('Recurring Schedule'!$E$14="Weekdays",WEEKDAY($A366,2)&lt;=5,$A366='Recurring Schedule'!$F$14))),9,""))))</f>
        <v/>
      </c>
      <c r="K366">
        <f>IF('Recurring Schedule'!$C$15="","",IF('Recurring Schedule'!$F$15="","",IF(OR($A366&lt;'Recurring Schedule'!$F$15,$A366&gt;'Recurring Schedule'!$P$15),"",IF(IF('Recurring Schedule'!$N$15&gt;0,MOD($A366-'Recurring Schedule'!$F$15,'Recurring Schedule'!$N$15)=0,IF('Recurring Schedule'!$O$15&gt;0,AND(DAY($A366)=MIN(DAY('Recurring Schedule'!$F$15),DAY(EOMONTH($A366,0))),MOD((YEAR($A366)-YEAR('Recurring Schedule'!$F$15))*12+MONTH($A366)-MONTH('Recurring Schedule'!$F$15),'Recurring Schedule'!$O$15)=0),IF('Recurring Schedule'!$E$15="Weekdays",WEEKDAY($A366,2)&lt;=5,$A366='Recurring Schedule'!$F$15))),10,""))))</f>
        <v/>
      </c>
      <c r="L366">
        <f>IF('Recurring Schedule'!$C$16="","",IF('Recurring Schedule'!$F$16="","",IF(OR($A366&lt;'Recurring Schedule'!$F$16,$A366&gt;'Recurring Schedule'!$P$16),"",IF(IF('Recurring Schedule'!$N$16&gt;0,MOD($A366-'Recurring Schedule'!$F$16,'Recurring Schedule'!$N$16)=0,IF('Recurring Schedule'!$O$16&gt;0,AND(DAY($A366)=MIN(DAY('Recurring Schedule'!$F$16),DAY(EOMONTH($A366,0))),MOD((YEAR($A366)-YEAR('Recurring Schedule'!$F$16))*12+MONTH($A366)-MONTH('Recurring Schedule'!$F$16),'Recurring Schedule'!$O$16)=0),IF('Recurring Schedule'!$E$16="Weekdays",WEEKDAY($A366,2)&lt;=5,$A366='Recurring Schedule'!$F$16))),11,""))))</f>
        <v/>
      </c>
      <c r="M366">
        <f>IF('Recurring Schedule'!$C$17="","",IF('Recurring Schedule'!$F$17="","",IF(OR($A366&lt;'Recurring Schedule'!$F$17,$A366&gt;'Recurring Schedule'!$P$17),"",IF(IF('Recurring Schedule'!$N$17&gt;0,MOD($A366-'Recurring Schedule'!$F$17,'Recurring Schedule'!$N$17)=0,IF('Recurring Schedule'!$O$17&gt;0,AND(DAY($A366)=MIN(DAY('Recurring Schedule'!$F$17),DAY(EOMONTH($A366,0))),MOD((YEAR($A366)-YEAR('Recurring Schedule'!$F$17))*12+MONTH($A366)-MONTH('Recurring Schedule'!$F$17),'Recurring Schedule'!$O$17)=0),IF('Recurring Schedule'!$E$17="Weekdays",WEEKDAY($A366,2)&lt;=5,$A366='Recurring Schedule'!$F$17))),12,""))))</f>
        <v/>
      </c>
      <c r="N366">
        <f>IF('Recurring Schedule'!$C$18="","",IF('Recurring Schedule'!$F$18="","",IF(OR($A366&lt;'Recurring Schedule'!$F$18,$A366&gt;'Recurring Schedule'!$P$18),"",IF(IF('Recurring Schedule'!$N$18&gt;0,MOD($A366-'Recurring Schedule'!$F$18,'Recurring Schedule'!$N$18)=0,IF('Recurring Schedule'!$O$18&gt;0,AND(DAY($A366)=MIN(DAY('Recurring Schedule'!$F$18),DAY(EOMONTH($A366,0))),MOD((YEAR($A366)-YEAR('Recurring Schedule'!$F$18))*12+MONTH($A366)-MONTH('Recurring Schedule'!$F$18),'Recurring Schedule'!$O$18)=0),IF('Recurring Schedule'!$E$18="Weekdays",WEEKDAY($A366,2)&lt;=5,$A366='Recurring Schedule'!$F$18))),13,""))))</f>
        <v/>
      </c>
      <c r="O366">
        <f>IF('Recurring Schedule'!$C$19="","",IF('Recurring Schedule'!$F$19="","",IF(OR($A366&lt;'Recurring Schedule'!$F$19,$A366&gt;'Recurring Schedule'!$P$19),"",IF(IF('Recurring Schedule'!$N$19&gt;0,MOD($A366-'Recurring Schedule'!$F$19,'Recurring Schedule'!$N$19)=0,IF('Recurring Schedule'!$O$19&gt;0,AND(DAY($A366)=MIN(DAY('Recurring Schedule'!$F$19),DAY(EOMONTH($A366,0))),MOD((YEAR($A366)-YEAR('Recurring Schedule'!$F$19))*12+MONTH($A366)-MONTH('Recurring Schedule'!$F$19),'Recurring Schedule'!$O$19)=0),IF('Recurring Schedule'!$E$19="Weekdays",WEEKDAY($A366,2)&lt;=5,$A366='Recurring Schedule'!$F$19))),14,""))))</f>
        <v/>
      </c>
      <c r="P366">
        <f>IF('Recurring Schedule'!$C$20="","",IF('Recurring Schedule'!$F$20="","",IF(OR($A366&lt;'Recurring Schedule'!$F$20,$A366&gt;'Recurring Schedule'!$P$20),"",IF(IF('Recurring Schedule'!$N$20&gt;0,MOD($A366-'Recurring Schedule'!$F$20,'Recurring Schedule'!$N$20)=0,IF('Recurring Schedule'!$O$20&gt;0,AND(DAY($A366)=MIN(DAY('Recurring Schedule'!$F$20),DAY(EOMONTH($A366,0))),MOD((YEAR($A366)-YEAR('Recurring Schedule'!$F$20))*12+MONTH($A366)-MONTH('Recurring Schedule'!$F$20),'Recurring Schedule'!$O$20)=0),IF('Recurring Schedule'!$E$20="Weekdays",WEEKDAY($A366,2)&lt;=5,$A366='Recurring Schedule'!$F$20))),15,""))))</f>
        <v/>
      </c>
      <c r="Q366">
        <f>IF('Recurring Schedule'!$C$21="","",IF('Recurring Schedule'!$F$21="","",IF(OR($A366&lt;'Recurring Schedule'!$F$21,$A366&gt;'Recurring Schedule'!$P$21),"",IF(IF('Recurring Schedule'!$N$21&gt;0,MOD($A366-'Recurring Schedule'!$F$21,'Recurring Schedule'!$N$21)=0,IF('Recurring Schedule'!$O$21&gt;0,AND(DAY($A366)=MIN(DAY('Recurring Schedule'!$F$21),DAY(EOMONTH($A366,0))),MOD((YEAR($A366)-YEAR('Recurring Schedule'!$F$21))*12+MONTH($A366)-MONTH('Recurring Schedule'!$F$21),'Recurring Schedule'!$O$21)=0),IF('Recurring Schedule'!$E$21="Weekdays",WEEKDAY($A366,2)&lt;=5,$A366='Recurring Schedule'!$F$21))),16,""))))</f>
        <v/>
      </c>
      <c r="R366">
        <f>IF('Recurring Schedule'!$C$22="","",IF('Recurring Schedule'!$F$22="","",IF(OR($A366&lt;'Recurring Schedule'!$F$22,$A366&gt;'Recurring Schedule'!$P$22),"",IF(IF('Recurring Schedule'!$N$22&gt;0,MOD($A366-'Recurring Schedule'!$F$22,'Recurring Schedule'!$N$22)=0,IF('Recurring Schedule'!$O$22&gt;0,AND(DAY($A366)=MIN(DAY('Recurring Schedule'!$F$22),DAY(EOMONTH($A366,0))),MOD((YEAR($A366)-YEAR('Recurring Schedule'!$F$22))*12+MONTH($A366)-MONTH('Recurring Schedule'!$F$22),'Recurring Schedule'!$O$22)=0),IF('Recurring Schedule'!$E$22="Weekdays",WEEKDAY($A366,2)&lt;=5,$A366='Recurring Schedule'!$F$22))),17,""))))</f>
        <v/>
      </c>
      <c r="S366">
        <f>IF('Recurring Schedule'!$C$23="","",IF('Recurring Schedule'!$F$23="","",IF(OR($A366&lt;'Recurring Schedule'!$F$23,$A366&gt;'Recurring Schedule'!$P$23),"",IF(IF('Recurring Schedule'!$N$23&gt;0,MOD($A366-'Recurring Schedule'!$F$23,'Recurring Schedule'!$N$23)=0,IF('Recurring Schedule'!$O$23&gt;0,AND(DAY($A366)=MIN(DAY('Recurring Schedule'!$F$23),DAY(EOMONTH($A366,0))),MOD((YEAR($A366)-YEAR('Recurring Schedule'!$F$23))*12+MONTH($A366)-MONTH('Recurring Schedule'!$F$23),'Recurring Schedule'!$O$23)=0),IF('Recurring Schedule'!$E$23="Weekdays",WEEKDAY($A366,2)&lt;=5,$A366='Recurring Schedule'!$F$23))),18,""))))</f>
        <v/>
      </c>
      <c r="T366">
        <f>IF('Recurring Schedule'!$C$24="","",IF('Recurring Schedule'!$F$24="","",IF(OR($A366&lt;'Recurring Schedule'!$F$24,$A366&gt;'Recurring Schedule'!$P$24),"",IF(IF('Recurring Schedule'!$N$24&gt;0,MOD($A366-'Recurring Schedule'!$F$24,'Recurring Schedule'!$N$24)=0,IF('Recurring Schedule'!$O$24&gt;0,AND(DAY($A366)=MIN(DAY('Recurring Schedule'!$F$24),DAY(EOMONTH($A366,0))),MOD((YEAR($A366)-YEAR('Recurring Schedule'!$F$24))*12+MONTH($A366)-MONTH('Recurring Schedule'!$F$24),'Recurring Schedule'!$O$24)=0),IF('Recurring Schedule'!$E$24="Weekdays",WEEKDAY($A366,2)&lt;=5,$A366='Recurring Schedule'!$F$24))),19,""))))</f>
        <v/>
      </c>
      <c r="U366">
        <f>IF('Recurring Schedule'!$C$25="","",IF('Recurring Schedule'!$F$25="","",IF(OR($A366&lt;'Recurring Schedule'!$F$25,$A366&gt;'Recurring Schedule'!$P$25),"",IF(IF('Recurring Schedule'!$N$25&gt;0,MOD($A366-'Recurring Schedule'!$F$25,'Recurring Schedule'!$N$25)=0,IF('Recurring Schedule'!$O$25&gt;0,AND(DAY($A366)=MIN(DAY('Recurring Schedule'!$F$25),DAY(EOMONTH($A366,0))),MOD((YEAR($A366)-YEAR('Recurring Schedule'!$F$25))*12+MONTH($A366)-MONTH('Recurring Schedule'!$F$25),'Recurring Schedule'!$O$25)=0),IF('Recurring Schedule'!$E$25="Weekdays",WEEKDAY($A366,2)&lt;=5,$A366='Recurring Schedule'!$F$25))),20,""))))</f>
        <v/>
      </c>
      <c r="V366">
        <f>IF('Recurring Schedule'!$C$26="","",IF('Recurring Schedule'!$F$26="","",IF(OR($A366&lt;'Recurring Schedule'!$F$26,$A366&gt;'Recurring Schedule'!$P$26),"",IF(IF('Recurring Schedule'!$N$26&gt;0,MOD($A366-'Recurring Schedule'!$F$26,'Recurring Schedule'!$N$26)=0,IF('Recurring Schedule'!$O$26&gt;0,AND(DAY($A366)=MIN(DAY('Recurring Schedule'!$F$26),DAY(EOMONTH($A366,0))),MOD((YEAR($A366)-YEAR('Recurring Schedule'!$F$26))*12+MONTH($A366)-MONTH('Recurring Schedule'!$F$26),'Recurring Schedule'!$O$26)=0),IF('Recurring Schedule'!$E$26="Weekdays",WEEKDAY($A366,2)&lt;=5,$A366='Recurring Schedule'!$F$26))),21,""))))</f>
        <v/>
      </c>
      <c r="W366">
        <f>IF('Recurring Schedule'!$C$27="","",IF('Recurring Schedule'!$F$27="","",IF(OR($A366&lt;'Recurring Schedule'!$F$27,$A366&gt;'Recurring Schedule'!$P$27),"",IF(IF('Recurring Schedule'!$N$27&gt;0,MOD($A366-'Recurring Schedule'!$F$27,'Recurring Schedule'!$N$27)=0,IF('Recurring Schedule'!$O$27&gt;0,AND(DAY($A366)=MIN(DAY('Recurring Schedule'!$F$27),DAY(EOMONTH($A366,0))),MOD((YEAR($A366)-YEAR('Recurring Schedule'!$F$27))*12+MONTH($A366)-MONTH('Recurring Schedule'!$F$27),'Recurring Schedule'!$O$27)=0),IF('Recurring Schedule'!$E$27="Weekdays",WEEKDAY($A366,2)&lt;=5,$A366='Recurring Schedule'!$F$27))),22,""))))</f>
        <v/>
      </c>
      <c r="X366">
        <f>IF('Recurring Schedule'!$C$28="","",IF('Recurring Schedule'!$F$28="","",IF(OR($A366&lt;'Recurring Schedule'!$F$28,$A366&gt;'Recurring Schedule'!$P$28),"",IF(IF('Recurring Schedule'!$N$28&gt;0,MOD($A366-'Recurring Schedule'!$F$28,'Recurring Schedule'!$N$28)=0,IF('Recurring Schedule'!$O$28&gt;0,AND(DAY($A366)=MIN(DAY('Recurring Schedule'!$F$28),DAY(EOMONTH($A366,0))),MOD((YEAR($A366)-YEAR('Recurring Schedule'!$F$28))*12+MONTH($A366)-MONTH('Recurring Schedule'!$F$28),'Recurring Schedule'!$O$28)=0),IF('Recurring Schedule'!$E$28="Weekdays",WEEKDAY($A366,2)&lt;=5,$A366='Recurring Schedule'!$F$28))),23,""))))</f>
        <v/>
      </c>
      <c r="Y366">
        <f>IF('Recurring Schedule'!$C$29="","",IF('Recurring Schedule'!$F$29="","",IF(OR($A366&lt;'Recurring Schedule'!$F$29,$A366&gt;'Recurring Schedule'!$P$29),"",IF(IF('Recurring Schedule'!$N$29&gt;0,MOD($A366-'Recurring Schedule'!$F$29,'Recurring Schedule'!$N$29)=0,IF('Recurring Schedule'!$O$29&gt;0,AND(DAY($A366)=MIN(DAY('Recurring Schedule'!$F$29),DAY(EOMONTH($A366,0))),MOD((YEAR($A366)-YEAR('Recurring Schedule'!$F$29))*12+MONTH($A366)-MONTH('Recurring Schedule'!$F$29),'Recurring Schedule'!$O$29)=0),IF('Recurring Schedule'!$E$29="Weekdays",WEEKDAY($A366,2)&lt;=5,$A366='Recurring Schedule'!$F$29))),24,""))))</f>
        <v/>
      </c>
      <c r="Z366">
        <f>IF('Recurring Schedule'!$C$30="","",IF('Recurring Schedule'!$F$30="","",IF(OR($A366&lt;'Recurring Schedule'!$F$30,$A366&gt;'Recurring Schedule'!$P$30),"",IF(IF('Recurring Schedule'!$N$30&gt;0,MOD($A366-'Recurring Schedule'!$F$30,'Recurring Schedule'!$N$30)=0,IF('Recurring Schedule'!$O$30&gt;0,AND(DAY($A366)=MIN(DAY('Recurring Schedule'!$F$30),DAY(EOMONTH($A366,0))),MOD((YEAR($A366)-YEAR('Recurring Schedule'!$F$30))*12+MONTH($A366)-MONTH('Recurring Schedule'!$F$30),'Recurring Schedule'!$O$30)=0),IF('Recurring Schedule'!$E$30="Weekdays",WEEKDAY($A366,2)&lt;=5,$A366='Recurring Schedule'!$F$30))),25,""))))</f>
        <v/>
      </c>
      <c r="AA366">
        <f>IF('Recurring Schedule'!$C$31="","",IF('Recurring Schedule'!$F$31="","",IF(OR($A366&lt;'Recurring Schedule'!$F$31,$A366&gt;'Recurring Schedule'!$P$31),"",IF(IF('Recurring Schedule'!$N$31&gt;0,MOD($A366-'Recurring Schedule'!$F$31,'Recurring Schedule'!$N$31)=0,IF('Recurring Schedule'!$O$31&gt;0,AND(DAY($A366)=MIN(DAY('Recurring Schedule'!$F$31),DAY(EOMONTH($A366,0))),MOD((YEAR($A366)-YEAR('Recurring Schedule'!$F$31))*12+MONTH($A366)-MONTH('Recurring Schedule'!$F$31),'Recurring Schedule'!$O$31)=0),IF('Recurring Schedule'!$E$31="Weekdays",WEEKDAY($A366,2)&lt;=5,$A366='Recurring Schedule'!$F$31))),26,""))))</f>
        <v/>
      </c>
      <c r="AB366">
        <f>IF('Recurring Schedule'!$C$32="","",IF('Recurring Schedule'!$F$32="","",IF(OR($A366&lt;'Recurring Schedule'!$F$32,$A366&gt;'Recurring Schedule'!$P$32),"",IF(IF('Recurring Schedule'!$N$32&gt;0,MOD($A366-'Recurring Schedule'!$F$32,'Recurring Schedule'!$N$32)=0,IF('Recurring Schedule'!$O$32&gt;0,AND(DAY($A366)=MIN(DAY('Recurring Schedule'!$F$32),DAY(EOMONTH($A366,0))),MOD((YEAR($A366)-YEAR('Recurring Schedule'!$F$32))*12+MONTH($A366)-MONTH('Recurring Schedule'!$F$32),'Recurring Schedule'!$O$32)=0),IF('Recurring Schedule'!$E$32="Weekdays",WEEKDAY($A366,2)&lt;=5,$A366='Recurring Schedule'!$F$32))),27,""))))</f>
        <v/>
      </c>
      <c r="AC366">
        <f>IF('Recurring Schedule'!$C$33="","",IF('Recurring Schedule'!$F$33="","",IF(OR($A366&lt;'Recurring Schedule'!$F$33,$A366&gt;'Recurring Schedule'!$P$33),"",IF(IF('Recurring Schedule'!$N$33&gt;0,MOD($A366-'Recurring Schedule'!$F$33,'Recurring Schedule'!$N$33)=0,IF('Recurring Schedule'!$O$33&gt;0,AND(DAY($A366)=MIN(DAY('Recurring Schedule'!$F$33),DAY(EOMONTH($A366,0))),MOD((YEAR($A366)-YEAR('Recurring Schedule'!$F$33))*12+MONTH($A366)-MONTH('Recurring Schedule'!$F$33),'Recurring Schedule'!$O$33)=0),IF('Recurring Schedule'!$E$33="Weekdays",WEEKDAY($A366,2)&lt;=5,$A366='Recurring Schedule'!$F$33))),28,""))))</f>
        <v/>
      </c>
      <c r="AD366">
        <f>IF('Recurring Schedule'!$C$34="","",IF('Recurring Schedule'!$F$34="","",IF(OR($A366&lt;'Recurring Schedule'!$F$34,$A366&gt;'Recurring Schedule'!$P$34),"",IF(IF('Recurring Schedule'!$N$34&gt;0,MOD($A366-'Recurring Schedule'!$F$34,'Recurring Schedule'!$N$34)=0,IF('Recurring Schedule'!$O$34&gt;0,AND(DAY($A366)=MIN(DAY('Recurring Schedule'!$F$34),DAY(EOMONTH($A366,0))),MOD((YEAR($A366)-YEAR('Recurring Schedule'!$F$34))*12+MONTH($A366)-MONTH('Recurring Schedule'!$F$34),'Recurring Schedule'!$O$34)=0),IF('Recurring Schedule'!$E$34="Weekdays",WEEKDAY($A366,2)&lt;=5,$A366='Recurring Schedule'!$F$34))),29,""))))</f>
        <v/>
      </c>
      <c r="AE366">
        <f>IF('Recurring Schedule'!$C$35="","",IF('Recurring Schedule'!$F$35="","",IF(OR($A366&lt;'Recurring Schedule'!$F$35,$A366&gt;'Recurring Schedule'!$P$35),"",IF(IF('Recurring Schedule'!$N$35&gt;0,MOD($A366-'Recurring Schedule'!$F$35,'Recurring Schedule'!$N$35)=0,IF('Recurring Schedule'!$O$35&gt;0,AND(DAY($A366)=MIN(DAY('Recurring Schedule'!$F$35),DAY(EOMONTH($A366,0))),MOD((YEAR($A366)-YEAR('Recurring Schedule'!$F$35))*12+MONTH($A366)-MONTH('Recurring Schedule'!$F$35),'Recurring Schedule'!$O$35)=0),IF('Recurring Schedule'!$E$35="Weekdays",WEEKDAY($A366,2)&lt;=5,$A366='Recurring Schedule'!$F$35))),30,""))))</f>
        <v/>
      </c>
      <c r="AF366">
        <f>IF('Recurring Schedule'!$C$36="","",IF('Recurring Schedule'!$F$36="","",IF(OR($A366&lt;'Recurring Schedule'!$F$36,$A366&gt;'Recurring Schedule'!$P$36),"",IF(IF('Recurring Schedule'!$N$36&gt;0,MOD($A366-'Recurring Schedule'!$F$36,'Recurring Schedule'!$N$36)=0,IF('Recurring Schedule'!$O$36&gt;0,AND(DAY($A366)=MIN(DAY('Recurring Schedule'!$F$36),DAY(EOMONTH($A366,0))),MOD((YEAR($A366)-YEAR('Recurring Schedule'!$F$36))*12+MONTH($A366)-MONTH('Recurring Schedule'!$F$36),'Recurring Schedule'!$O$36)=0),IF('Recurring Schedule'!$E$36="Weekdays",WEEKDAY($A366,2)&lt;=5,$A366='Recurring Schedule'!$F$36))),31,""))))</f>
        <v/>
      </c>
      <c r="AG366">
        <f>IF('Recurring Schedule'!$C$37="","",IF('Recurring Schedule'!$F$37="","",IF(OR($A366&lt;'Recurring Schedule'!$F$37,$A366&gt;'Recurring Schedule'!$P$37),"",IF(IF('Recurring Schedule'!$N$37&gt;0,MOD($A366-'Recurring Schedule'!$F$37,'Recurring Schedule'!$N$37)=0,IF('Recurring Schedule'!$O$37&gt;0,AND(DAY($A366)=MIN(DAY('Recurring Schedule'!$F$37),DAY(EOMONTH($A366,0))),MOD((YEAR($A366)-YEAR('Recurring Schedule'!$F$37))*12+MONTH($A366)-MONTH('Recurring Schedule'!$F$37),'Recurring Schedule'!$O$37)=0),IF('Recurring Schedule'!$E$37="Weekdays",WEEKDAY($A366,2)&lt;=5,$A366='Recurring Schedule'!$F$37))),32,""))))</f>
        <v/>
      </c>
      <c r="AH366">
        <f>IF('Recurring Schedule'!$C$38="","",IF('Recurring Schedule'!$F$38="","",IF(OR($A366&lt;'Recurring Schedule'!$F$38,$A366&gt;'Recurring Schedule'!$P$38),"",IF(IF('Recurring Schedule'!$N$38&gt;0,MOD($A366-'Recurring Schedule'!$F$38,'Recurring Schedule'!$N$38)=0,IF('Recurring Schedule'!$O$38&gt;0,AND(DAY($A366)=MIN(DAY('Recurring Schedule'!$F$38),DAY(EOMONTH($A366,0))),MOD((YEAR($A366)-YEAR('Recurring Schedule'!$F$38))*12+MONTH($A366)-MONTH('Recurring Schedule'!$F$38),'Recurring Schedule'!$O$38)=0),IF('Recurring Schedule'!$E$38="Weekdays",WEEKDAY($A366,2)&lt;=5,$A366='Recurring Schedule'!$F$38))),33,""))))</f>
        <v/>
      </c>
      <c r="AI366">
        <f>IF('Recurring Schedule'!$C$39="","",IF('Recurring Schedule'!$F$39="","",IF(OR($A366&lt;'Recurring Schedule'!$F$39,$A366&gt;'Recurring Schedule'!$P$39),"",IF(IF('Recurring Schedule'!$N$39&gt;0,MOD($A366-'Recurring Schedule'!$F$39,'Recurring Schedule'!$N$39)=0,IF('Recurring Schedule'!$O$39&gt;0,AND(DAY($A366)=MIN(DAY('Recurring Schedule'!$F$39),DAY(EOMONTH($A366,0))),MOD((YEAR($A366)-YEAR('Recurring Schedule'!$F$39))*12+MONTH($A366)-MONTH('Recurring Schedule'!$F$39),'Recurring Schedule'!$O$39)=0),IF('Recurring Schedule'!$E$39="Weekdays",WEEKDAY($A366,2)&lt;=5,$A366='Recurring Schedule'!$F$39))),34,""))))</f>
        <v/>
      </c>
      <c r="AJ366">
        <f>IF('Recurring Schedule'!$C$40="","",IF('Recurring Schedule'!$F$40="","",IF(OR($A366&lt;'Recurring Schedule'!$F$40,$A366&gt;'Recurring Schedule'!$P$40),"",IF(IF('Recurring Schedule'!$N$40&gt;0,MOD($A366-'Recurring Schedule'!$F$40,'Recurring Schedule'!$N$40)=0,IF('Recurring Schedule'!$O$40&gt;0,AND(DAY($A366)=MIN(DAY('Recurring Schedule'!$F$40),DAY(EOMONTH($A366,0))),MOD((YEAR($A366)-YEAR('Recurring Schedule'!$F$40))*12+MONTH($A366)-MONTH('Recurring Schedule'!$F$40),'Recurring Schedule'!$O$40)=0),IF('Recurring Schedule'!$E$40="Weekdays",WEEKDAY($A366,2)&lt;=5,$A366='Recurring Schedule'!$F$40))),35,""))))</f>
        <v/>
      </c>
      <c r="AK366">
        <f>IF('Recurring Schedule'!$C$41="","",IF('Recurring Schedule'!$F$41="","",IF(OR($A366&lt;'Recurring Schedule'!$F$41,$A366&gt;'Recurring Schedule'!$P$41),"",IF(IF('Recurring Schedule'!$N$41&gt;0,MOD($A366-'Recurring Schedule'!$F$41,'Recurring Schedule'!$N$41)=0,IF('Recurring Schedule'!$O$41&gt;0,AND(DAY($A366)=MIN(DAY('Recurring Schedule'!$F$41),DAY(EOMONTH($A366,0))),MOD((YEAR($A366)-YEAR('Recurring Schedule'!$F$41))*12+MONTH($A366)-MONTH('Recurring Schedule'!$F$41),'Recurring Schedule'!$O$41)=0),IF('Recurring Schedule'!$E$41="Weekdays",WEEKDAY($A366,2)&lt;=5,$A366='Recurring Schedule'!$F$41))),36,""))))</f>
        <v/>
      </c>
      <c r="AL366">
        <f>IF('Recurring Schedule'!$C$42="","",IF('Recurring Schedule'!$F$42="","",IF(OR($A366&lt;'Recurring Schedule'!$F$42,$A366&gt;'Recurring Schedule'!$P$42),"",IF(IF('Recurring Schedule'!$N$42&gt;0,MOD($A366-'Recurring Schedule'!$F$42,'Recurring Schedule'!$N$42)=0,IF('Recurring Schedule'!$O$42&gt;0,AND(DAY($A366)=MIN(DAY('Recurring Schedule'!$F$42),DAY(EOMONTH($A366,0))),MOD((YEAR($A366)-YEAR('Recurring Schedule'!$F$42))*12+MONTH($A366)-MONTH('Recurring Schedule'!$F$42),'Recurring Schedule'!$O$42)=0),IF('Recurring Schedule'!$E$42="Weekdays",WEEKDAY($A366,2)&lt;=5,$A366='Recurring Schedule'!$F$42))),37,""))))</f>
        <v/>
      </c>
      <c r="AM366">
        <f>IF('Recurring Schedule'!$C$43="","",IF('Recurring Schedule'!$F$43="","",IF(OR($A366&lt;'Recurring Schedule'!$F$43,$A366&gt;'Recurring Schedule'!$P$43),"",IF(IF('Recurring Schedule'!$N$43&gt;0,MOD($A366-'Recurring Schedule'!$F$43,'Recurring Schedule'!$N$43)=0,IF('Recurring Schedule'!$O$43&gt;0,AND(DAY($A366)=MIN(DAY('Recurring Schedule'!$F$43),DAY(EOMONTH($A366,0))),MOD((YEAR($A366)-YEAR('Recurring Schedule'!$F$43))*12+MONTH($A366)-MONTH('Recurring Schedule'!$F$43),'Recurring Schedule'!$O$43)=0),IF('Recurring Schedule'!$E$43="Weekdays",WEEKDAY($A366,2)&lt;=5,$A366='Recurring Schedule'!$F$43))),38,""))))</f>
        <v/>
      </c>
      <c r="AN366">
        <f>IF('Recurring Schedule'!$C$44="","",IF('Recurring Schedule'!$F$44="","",IF(OR($A366&lt;'Recurring Schedule'!$F$44,$A366&gt;'Recurring Schedule'!$P$44),"",IF(IF('Recurring Schedule'!$N$44&gt;0,MOD($A366-'Recurring Schedule'!$F$44,'Recurring Schedule'!$N$44)=0,IF('Recurring Schedule'!$O$44&gt;0,AND(DAY($A366)=MIN(DAY('Recurring Schedule'!$F$44),DAY(EOMONTH($A366,0))),MOD((YEAR($A366)-YEAR('Recurring Schedule'!$F$44))*12+MONTH($A366)-MONTH('Recurring Schedule'!$F$44),'Recurring Schedule'!$O$44)=0),IF('Recurring Schedule'!$E$44="Weekdays",WEEKDAY($A366,2)&lt;=5,$A366='Recurring Schedule'!$F$44))),39,""))))</f>
        <v/>
      </c>
      <c r="AO366">
        <f>IF('Recurring Schedule'!$C$45="","",IF('Recurring Schedule'!$F$45="","",IF(OR($A366&lt;'Recurring Schedule'!$F$45,$A366&gt;'Recurring Schedule'!$P$45),"",IF(IF('Recurring Schedule'!$N$45&gt;0,MOD($A366-'Recurring Schedule'!$F$45,'Recurring Schedule'!$N$45)=0,IF('Recurring Schedule'!$O$45&gt;0,AND(DAY($A366)=MIN(DAY('Recurring Schedule'!$F$45),DAY(EOMONTH($A366,0))),MOD((YEAR($A366)-YEAR('Recurring Schedule'!$F$45))*12+MONTH($A366)-MONTH('Recurring Schedule'!$F$45),'Recurring Schedule'!$O$45)=0),IF('Recurring Schedule'!$E$45="Weekdays",WEEKDAY($A366,2)&lt;=5,$A366='Recurring Schedule'!$F$45))),40,""))))</f>
        <v/>
      </c>
      <c r="AP366">
        <f>COUNT(B366:AO366)</f>
        <v/>
      </c>
      <c r="AQ366">
        <f>AQ365+AP365</f>
        <v/>
      </c>
      <c r="AS366" t="inlineStr">
        <is>
          <t>R</t>
        </is>
      </c>
      <c r="AT366" t="n">
        <v>370</v>
      </c>
      <c r="AU366">
        <f>'Recurring Log'!C370&amp;""</f>
        <v/>
      </c>
      <c r="AV366">
        <f>'Recurring Log'!D370&amp;""</f>
        <v/>
      </c>
      <c r="AW366">
        <f>IF('Recurring Log'!E370="","",'Recurring Log'!E370)</f>
        <v/>
      </c>
      <c r="AX366">
        <f>IF('Recurring Log'!G370="","",'Recurring Log'!G370)</f>
        <v/>
      </c>
      <c r="AY366">
        <f>IF('Recurring Log'!H370="","",'Recurring Log'!H370)</f>
        <v/>
      </c>
      <c r="AZ366">
        <f>IF(AU366="","",IF('Recurring Log'!J370="","Not Started",'Recurring Log'!J370))</f>
        <v/>
      </c>
      <c r="BA366">
        <f>'Recurring Log'!L370&amp;""</f>
        <v/>
      </c>
      <c r="BB366">
        <f>'Recurring Log'!M370&amp;""</f>
        <v/>
      </c>
      <c r="BC366">
        <f>'Recurring Log'!N370&amp;""</f>
        <v/>
      </c>
      <c r="BD366">
        <f>'Recurring Log'!O370&amp;""</f>
        <v/>
      </c>
      <c r="BE366">
        <f>IF('Recurring Log'!K370="","",'Recurring Log'!K370)</f>
        <v/>
      </c>
      <c r="BF366">
        <f>IFERROR(MATCH(BA366,Setup!$L$6:$L$9,0),5)</f>
        <v/>
      </c>
      <c r="BG366">
        <f>IF(OR(AZ366="Done",AZ366="Cancelled"),1,0)</f>
        <v/>
      </c>
      <c r="BH366">
        <f>IF(AND(AU366&lt;&gt;"",ISNUMBER(AW366)),1,0)</f>
        <v/>
      </c>
      <c r="BI366">
        <f>IF(BH366=0,0,IF(AND(AW366&gt;='Tasks Filter'!$F$3,AW366&lt;='Tasks Filter'!$F$4,OR('Tasks Filter'!$I$3="",ISNUMBER(SEARCH('Tasks Filter'!$I$3,AU366))),OR('Tasks Filter'!$I$4="",BF366=IFERROR(MATCH('Tasks Filter'!$I$4,Setup!$L$6:$L$9,0),0)),OR('Tasks Filter'!$I$5="Both",AND('Tasks Filter'!$I$5="Yes",BB366="✓"),AND('Tasks Filter'!$I$5="No",BB366&lt;&gt;"✓")),OR('Tasks Filter'!$L$3="",AV366='Tasks Filter'!$L$3),OR('Tasks Filter'!$L$4="",AZ366='Tasks Filter'!$L$4),OR('Tasks Filter'!$L$5="",BC366='Tasks Filter'!$L$5),OR('Tasks Filter'!$O$3="",BD366='Tasks Filter'!$O$3),OR('Tasks Filter'!$O$4="Yes",BG366=0)),1,0))</f>
        <v/>
      </c>
      <c r="BJ366">
        <f>IF(BH366=0,"",IF('Tasks Filter'!$F$6="Descending",-1,1)*CHOOSE(MATCH('Tasks Filter'!$F$5,Lists!$G$2:$G$6,0),AW366,BF366,IFERROR(MATCH(AV366,Setup!$F$6:$F$15,0),99),IFERROR(MATCH(BC366,Setup!$H$6:$H$15,0),99),IFERROR(MATCH(AZ366,Setup!$J$6:$J$11,0),99))*1E+9+(AW366-40000)*10000+365)</f>
        <v/>
      </c>
      <c r="BK366">
        <f>IF(BI366=1,BJ366,"")</f>
        <v/>
      </c>
      <c r="BL366">
        <f>IF(AND(BH366=1,BG366=0,N(AW366)&lt;Setup!$D$7),(AW366-40000)*10000+365,"")</f>
        <v/>
      </c>
      <c r="BM366">
        <f>IF(AND(BH366=1,AZ366&lt;&gt;"Cancelled",N(AW366)&gt;=Dashboard!$AB$3,N(AW366)&lt;=Dashboard!$AB$3+6),(AW366-40000)*100000+BF366*10000+365,"")</f>
        <v/>
      </c>
      <c r="BN366">
        <f>IF(AND(BH366=1,AZ366&lt;&gt;"Cancelled"),BF366*10000+365,"")</f>
        <v/>
      </c>
    </row>
    <row r="367">
      <c r="A367">
        <f>Setup!$D$5+365</f>
        <v/>
      </c>
      <c r="B367">
        <f>IF('Recurring Schedule'!$C$6="","",IF('Recurring Schedule'!$F$6="","",IF(OR($A367&lt;'Recurring Schedule'!$F$6,$A367&gt;'Recurring Schedule'!$P$6),"",IF(IF('Recurring Schedule'!$N$6&gt;0,MOD($A367-'Recurring Schedule'!$F$6,'Recurring Schedule'!$N$6)=0,IF('Recurring Schedule'!$O$6&gt;0,AND(DAY($A367)=MIN(DAY('Recurring Schedule'!$F$6),DAY(EOMONTH($A367,0))),MOD((YEAR($A367)-YEAR('Recurring Schedule'!$F$6))*12+MONTH($A367)-MONTH('Recurring Schedule'!$F$6),'Recurring Schedule'!$O$6)=0),IF('Recurring Schedule'!$E$6="Weekdays",WEEKDAY($A367,2)&lt;=5,$A367='Recurring Schedule'!$F$6))),1,""))))</f>
        <v/>
      </c>
      <c r="C367">
        <f>IF('Recurring Schedule'!$C$7="","",IF('Recurring Schedule'!$F$7="","",IF(OR($A367&lt;'Recurring Schedule'!$F$7,$A367&gt;'Recurring Schedule'!$P$7),"",IF(IF('Recurring Schedule'!$N$7&gt;0,MOD($A367-'Recurring Schedule'!$F$7,'Recurring Schedule'!$N$7)=0,IF('Recurring Schedule'!$O$7&gt;0,AND(DAY($A367)=MIN(DAY('Recurring Schedule'!$F$7),DAY(EOMONTH($A367,0))),MOD((YEAR($A367)-YEAR('Recurring Schedule'!$F$7))*12+MONTH($A367)-MONTH('Recurring Schedule'!$F$7),'Recurring Schedule'!$O$7)=0),IF('Recurring Schedule'!$E$7="Weekdays",WEEKDAY($A367,2)&lt;=5,$A367='Recurring Schedule'!$F$7))),2,""))))</f>
        <v/>
      </c>
      <c r="D367">
        <f>IF('Recurring Schedule'!$C$8="","",IF('Recurring Schedule'!$F$8="","",IF(OR($A367&lt;'Recurring Schedule'!$F$8,$A367&gt;'Recurring Schedule'!$P$8),"",IF(IF('Recurring Schedule'!$N$8&gt;0,MOD($A367-'Recurring Schedule'!$F$8,'Recurring Schedule'!$N$8)=0,IF('Recurring Schedule'!$O$8&gt;0,AND(DAY($A367)=MIN(DAY('Recurring Schedule'!$F$8),DAY(EOMONTH($A367,0))),MOD((YEAR($A367)-YEAR('Recurring Schedule'!$F$8))*12+MONTH($A367)-MONTH('Recurring Schedule'!$F$8),'Recurring Schedule'!$O$8)=0),IF('Recurring Schedule'!$E$8="Weekdays",WEEKDAY($A367,2)&lt;=5,$A367='Recurring Schedule'!$F$8))),3,""))))</f>
        <v/>
      </c>
      <c r="E367">
        <f>IF('Recurring Schedule'!$C$9="","",IF('Recurring Schedule'!$F$9="","",IF(OR($A367&lt;'Recurring Schedule'!$F$9,$A367&gt;'Recurring Schedule'!$P$9),"",IF(IF('Recurring Schedule'!$N$9&gt;0,MOD($A367-'Recurring Schedule'!$F$9,'Recurring Schedule'!$N$9)=0,IF('Recurring Schedule'!$O$9&gt;0,AND(DAY($A367)=MIN(DAY('Recurring Schedule'!$F$9),DAY(EOMONTH($A367,0))),MOD((YEAR($A367)-YEAR('Recurring Schedule'!$F$9))*12+MONTH($A367)-MONTH('Recurring Schedule'!$F$9),'Recurring Schedule'!$O$9)=0),IF('Recurring Schedule'!$E$9="Weekdays",WEEKDAY($A367,2)&lt;=5,$A367='Recurring Schedule'!$F$9))),4,""))))</f>
        <v/>
      </c>
      <c r="F367">
        <f>IF('Recurring Schedule'!$C$10="","",IF('Recurring Schedule'!$F$10="","",IF(OR($A367&lt;'Recurring Schedule'!$F$10,$A367&gt;'Recurring Schedule'!$P$10),"",IF(IF('Recurring Schedule'!$N$10&gt;0,MOD($A367-'Recurring Schedule'!$F$10,'Recurring Schedule'!$N$10)=0,IF('Recurring Schedule'!$O$10&gt;0,AND(DAY($A367)=MIN(DAY('Recurring Schedule'!$F$10),DAY(EOMONTH($A367,0))),MOD((YEAR($A367)-YEAR('Recurring Schedule'!$F$10))*12+MONTH($A367)-MONTH('Recurring Schedule'!$F$10),'Recurring Schedule'!$O$10)=0),IF('Recurring Schedule'!$E$10="Weekdays",WEEKDAY($A367,2)&lt;=5,$A367='Recurring Schedule'!$F$10))),5,""))))</f>
        <v/>
      </c>
      <c r="G367">
        <f>IF('Recurring Schedule'!$C$11="","",IF('Recurring Schedule'!$F$11="","",IF(OR($A367&lt;'Recurring Schedule'!$F$11,$A367&gt;'Recurring Schedule'!$P$11),"",IF(IF('Recurring Schedule'!$N$11&gt;0,MOD($A367-'Recurring Schedule'!$F$11,'Recurring Schedule'!$N$11)=0,IF('Recurring Schedule'!$O$11&gt;0,AND(DAY($A367)=MIN(DAY('Recurring Schedule'!$F$11),DAY(EOMONTH($A367,0))),MOD((YEAR($A367)-YEAR('Recurring Schedule'!$F$11))*12+MONTH($A367)-MONTH('Recurring Schedule'!$F$11),'Recurring Schedule'!$O$11)=0),IF('Recurring Schedule'!$E$11="Weekdays",WEEKDAY($A367,2)&lt;=5,$A367='Recurring Schedule'!$F$11))),6,""))))</f>
        <v/>
      </c>
      <c r="H367">
        <f>IF('Recurring Schedule'!$C$12="","",IF('Recurring Schedule'!$F$12="","",IF(OR($A367&lt;'Recurring Schedule'!$F$12,$A367&gt;'Recurring Schedule'!$P$12),"",IF(IF('Recurring Schedule'!$N$12&gt;0,MOD($A367-'Recurring Schedule'!$F$12,'Recurring Schedule'!$N$12)=0,IF('Recurring Schedule'!$O$12&gt;0,AND(DAY($A367)=MIN(DAY('Recurring Schedule'!$F$12),DAY(EOMONTH($A367,0))),MOD((YEAR($A367)-YEAR('Recurring Schedule'!$F$12))*12+MONTH($A367)-MONTH('Recurring Schedule'!$F$12),'Recurring Schedule'!$O$12)=0),IF('Recurring Schedule'!$E$12="Weekdays",WEEKDAY($A367,2)&lt;=5,$A367='Recurring Schedule'!$F$12))),7,""))))</f>
        <v/>
      </c>
      <c r="I367">
        <f>IF('Recurring Schedule'!$C$13="","",IF('Recurring Schedule'!$F$13="","",IF(OR($A367&lt;'Recurring Schedule'!$F$13,$A367&gt;'Recurring Schedule'!$P$13),"",IF(IF('Recurring Schedule'!$N$13&gt;0,MOD($A367-'Recurring Schedule'!$F$13,'Recurring Schedule'!$N$13)=0,IF('Recurring Schedule'!$O$13&gt;0,AND(DAY($A367)=MIN(DAY('Recurring Schedule'!$F$13),DAY(EOMONTH($A367,0))),MOD((YEAR($A367)-YEAR('Recurring Schedule'!$F$13))*12+MONTH($A367)-MONTH('Recurring Schedule'!$F$13),'Recurring Schedule'!$O$13)=0),IF('Recurring Schedule'!$E$13="Weekdays",WEEKDAY($A367,2)&lt;=5,$A367='Recurring Schedule'!$F$13))),8,""))))</f>
        <v/>
      </c>
      <c r="J367">
        <f>IF('Recurring Schedule'!$C$14="","",IF('Recurring Schedule'!$F$14="","",IF(OR($A367&lt;'Recurring Schedule'!$F$14,$A367&gt;'Recurring Schedule'!$P$14),"",IF(IF('Recurring Schedule'!$N$14&gt;0,MOD($A367-'Recurring Schedule'!$F$14,'Recurring Schedule'!$N$14)=0,IF('Recurring Schedule'!$O$14&gt;0,AND(DAY($A367)=MIN(DAY('Recurring Schedule'!$F$14),DAY(EOMONTH($A367,0))),MOD((YEAR($A367)-YEAR('Recurring Schedule'!$F$14))*12+MONTH($A367)-MONTH('Recurring Schedule'!$F$14),'Recurring Schedule'!$O$14)=0),IF('Recurring Schedule'!$E$14="Weekdays",WEEKDAY($A367,2)&lt;=5,$A367='Recurring Schedule'!$F$14))),9,""))))</f>
        <v/>
      </c>
      <c r="K367">
        <f>IF('Recurring Schedule'!$C$15="","",IF('Recurring Schedule'!$F$15="","",IF(OR($A367&lt;'Recurring Schedule'!$F$15,$A367&gt;'Recurring Schedule'!$P$15),"",IF(IF('Recurring Schedule'!$N$15&gt;0,MOD($A367-'Recurring Schedule'!$F$15,'Recurring Schedule'!$N$15)=0,IF('Recurring Schedule'!$O$15&gt;0,AND(DAY($A367)=MIN(DAY('Recurring Schedule'!$F$15),DAY(EOMONTH($A367,0))),MOD((YEAR($A367)-YEAR('Recurring Schedule'!$F$15))*12+MONTH($A367)-MONTH('Recurring Schedule'!$F$15),'Recurring Schedule'!$O$15)=0),IF('Recurring Schedule'!$E$15="Weekdays",WEEKDAY($A367,2)&lt;=5,$A367='Recurring Schedule'!$F$15))),10,""))))</f>
        <v/>
      </c>
      <c r="L367">
        <f>IF('Recurring Schedule'!$C$16="","",IF('Recurring Schedule'!$F$16="","",IF(OR($A367&lt;'Recurring Schedule'!$F$16,$A367&gt;'Recurring Schedule'!$P$16),"",IF(IF('Recurring Schedule'!$N$16&gt;0,MOD($A367-'Recurring Schedule'!$F$16,'Recurring Schedule'!$N$16)=0,IF('Recurring Schedule'!$O$16&gt;0,AND(DAY($A367)=MIN(DAY('Recurring Schedule'!$F$16),DAY(EOMONTH($A367,0))),MOD((YEAR($A367)-YEAR('Recurring Schedule'!$F$16))*12+MONTH($A367)-MONTH('Recurring Schedule'!$F$16),'Recurring Schedule'!$O$16)=0),IF('Recurring Schedule'!$E$16="Weekdays",WEEKDAY($A367,2)&lt;=5,$A367='Recurring Schedule'!$F$16))),11,""))))</f>
        <v/>
      </c>
      <c r="M367">
        <f>IF('Recurring Schedule'!$C$17="","",IF('Recurring Schedule'!$F$17="","",IF(OR($A367&lt;'Recurring Schedule'!$F$17,$A367&gt;'Recurring Schedule'!$P$17),"",IF(IF('Recurring Schedule'!$N$17&gt;0,MOD($A367-'Recurring Schedule'!$F$17,'Recurring Schedule'!$N$17)=0,IF('Recurring Schedule'!$O$17&gt;0,AND(DAY($A367)=MIN(DAY('Recurring Schedule'!$F$17),DAY(EOMONTH($A367,0))),MOD((YEAR($A367)-YEAR('Recurring Schedule'!$F$17))*12+MONTH($A367)-MONTH('Recurring Schedule'!$F$17),'Recurring Schedule'!$O$17)=0),IF('Recurring Schedule'!$E$17="Weekdays",WEEKDAY($A367,2)&lt;=5,$A367='Recurring Schedule'!$F$17))),12,""))))</f>
        <v/>
      </c>
      <c r="N367">
        <f>IF('Recurring Schedule'!$C$18="","",IF('Recurring Schedule'!$F$18="","",IF(OR($A367&lt;'Recurring Schedule'!$F$18,$A367&gt;'Recurring Schedule'!$P$18),"",IF(IF('Recurring Schedule'!$N$18&gt;0,MOD($A367-'Recurring Schedule'!$F$18,'Recurring Schedule'!$N$18)=0,IF('Recurring Schedule'!$O$18&gt;0,AND(DAY($A367)=MIN(DAY('Recurring Schedule'!$F$18),DAY(EOMONTH($A367,0))),MOD((YEAR($A367)-YEAR('Recurring Schedule'!$F$18))*12+MONTH($A367)-MONTH('Recurring Schedule'!$F$18),'Recurring Schedule'!$O$18)=0),IF('Recurring Schedule'!$E$18="Weekdays",WEEKDAY($A367,2)&lt;=5,$A367='Recurring Schedule'!$F$18))),13,""))))</f>
        <v/>
      </c>
      <c r="O367">
        <f>IF('Recurring Schedule'!$C$19="","",IF('Recurring Schedule'!$F$19="","",IF(OR($A367&lt;'Recurring Schedule'!$F$19,$A367&gt;'Recurring Schedule'!$P$19),"",IF(IF('Recurring Schedule'!$N$19&gt;0,MOD($A367-'Recurring Schedule'!$F$19,'Recurring Schedule'!$N$19)=0,IF('Recurring Schedule'!$O$19&gt;0,AND(DAY($A367)=MIN(DAY('Recurring Schedule'!$F$19),DAY(EOMONTH($A367,0))),MOD((YEAR($A367)-YEAR('Recurring Schedule'!$F$19))*12+MONTH($A367)-MONTH('Recurring Schedule'!$F$19),'Recurring Schedule'!$O$19)=0),IF('Recurring Schedule'!$E$19="Weekdays",WEEKDAY($A367,2)&lt;=5,$A367='Recurring Schedule'!$F$19))),14,""))))</f>
        <v/>
      </c>
      <c r="P367">
        <f>IF('Recurring Schedule'!$C$20="","",IF('Recurring Schedule'!$F$20="","",IF(OR($A367&lt;'Recurring Schedule'!$F$20,$A367&gt;'Recurring Schedule'!$P$20),"",IF(IF('Recurring Schedule'!$N$20&gt;0,MOD($A367-'Recurring Schedule'!$F$20,'Recurring Schedule'!$N$20)=0,IF('Recurring Schedule'!$O$20&gt;0,AND(DAY($A367)=MIN(DAY('Recurring Schedule'!$F$20),DAY(EOMONTH($A367,0))),MOD((YEAR($A367)-YEAR('Recurring Schedule'!$F$20))*12+MONTH($A367)-MONTH('Recurring Schedule'!$F$20),'Recurring Schedule'!$O$20)=0),IF('Recurring Schedule'!$E$20="Weekdays",WEEKDAY($A367,2)&lt;=5,$A367='Recurring Schedule'!$F$20))),15,""))))</f>
        <v/>
      </c>
      <c r="Q367">
        <f>IF('Recurring Schedule'!$C$21="","",IF('Recurring Schedule'!$F$21="","",IF(OR($A367&lt;'Recurring Schedule'!$F$21,$A367&gt;'Recurring Schedule'!$P$21),"",IF(IF('Recurring Schedule'!$N$21&gt;0,MOD($A367-'Recurring Schedule'!$F$21,'Recurring Schedule'!$N$21)=0,IF('Recurring Schedule'!$O$21&gt;0,AND(DAY($A367)=MIN(DAY('Recurring Schedule'!$F$21),DAY(EOMONTH($A367,0))),MOD((YEAR($A367)-YEAR('Recurring Schedule'!$F$21))*12+MONTH($A367)-MONTH('Recurring Schedule'!$F$21),'Recurring Schedule'!$O$21)=0),IF('Recurring Schedule'!$E$21="Weekdays",WEEKDAY($A367,2)&lt;=5,$A367='Recurring Schedule'!$F$21))),16,""))))</f>
        <v/>
      </c>
      <c r="R367">
        <f>IF('Recurring Schedule'!$C$22="","",IF('Recurring Schedule'!$F$22="","",IF(OR($A367&lt;'Recurring Schedule'!$F$22,$A367&gt;'Recurring Schedule'!$P$22),"",IF(IF('Recurring Schedule'!$N$22&gt;0,MOD($A367-'Recurring Schedule'!$F$22,'Recurring Schedule'!$N$22)=0,IF('Recurring Schedule'!$O$22&gt;0,AND(DAY($A367)=MIN(DAY('Recurring Schedule'!$F$22),DAY(EOMONTH($A367,0))),MOD((YEAR($A367)-YEAR('Recurring Schedule'!$F$22))*12+MONTH($A367)-MONTH('Recurring Schedule'!$F$22),'Recurring Schedule'!$O$22)=0),IF('Recurring Schedule'!$E$22="Weekdays",WEEKDAY($A367,2)&lt;=5,$A367='Recurring Schedule'!$F$22))),17,""))))</f>
        <v/>
      </c>
      <c r="S367">
        <f>IF('Recurring Schedule'!$C$23="","",IF('Recurring Schedule'!$F$23="","",IF(OR($A367&lt;'Recurring Schedule'!$F$23,$A367&gt;'Recurring Schedule'!$P$23),"",IF(IF('Recurring Schedule'!$N$23&gt;0,MOD($A367-'Recurring Schedule'!$F$23,'Recurring Schedule'!$N$23)=0,IF('Recurring Schedule'!$O$23&gt;0,AND(DAY($A367)=MIN(DAY('Recurring Schedule'!$F$23),DAY(EOMONTH($A367,0))),MOD((YEAR($A367)-YEAR('Recurring Schedule'!$F$23))*12+MONTH($A367)-MONTH('Recurring Schedule'!$F$23),'Recurring Schedule'!$O$23)=0),IF('Recurring Schedule'!$E$23="Weekdays",WEEKDAY($A367,2)&lt;=5,$A367='Recurring Schedule'!$F$23))),18,""))))</f>
        <v/>
      </c>
      <c r="T367">
        <f>IF('Recurring Schedule'!$C$24="","",IF('Recurring Schedule'!$F$24="","",IF(OR($A367&lt;'Recurring Schedule'!$F$24,$A367&gt;'Recurring Schedule'!$P$24),"",IF(IF('Recurring Schedule'!$N$24&gt;0,MOD($A367-'Recurring Schedule'!$F$24,'Recurring Schedule'!$N$24)=0,IF('Recurring Schedule'!$O$24&gt;0,AND(DAY($A367)=MIN(DAY('Recurring Schedule'!$F$24),DAY(EOMONTH($A367,0))),MOD((YEAR($A367)-YEAR('Recurring Schedule'!$F$24))*12+MONTH($A367)-MONTH('Recurring Schedule'!$F$24),'Recurring Schedule'!$O$24)=0),IF('Recurring Schedule'!$E$24="Weekdays",WEEKDAY($A367,2)&lt;=5,$A367='Recurring Schedule'!$F$24))),19,""))))</f>
        <v/>
      </c>
      <c r="U367">
        <f>IF('Recurring Schedule'!$C$25="","",IF('Recurring Schedule'!$F$25="","",IF(OR($A367&lt;'Recurring Schedule'!$F$25,$A367&gt;'Recurring Schedule'!$P$25),"",IF(IF('Recurring Schedule'!$N$25&gt;0,MOD($A367-'Recurring Schedule'!$F$25,'Recurring Schedule'!$N$25)=0,IF('Recurring Schedule'!$O$25&gt;0,AND(DAY($A367)=MIN(DAY('Recurring Schedule'!$F$25),DAY(EOMONTH($A367,0))),MOD((YEAR($A367)-YEAR('Recurring Schedule'!$F$25))*12+MONTH($A367)-MONTH('Recurring Schedule'!$F$25),'Recurring Schedule'!$O$25)=0),IF('Recurring Schedule'!$E$25="Weekdays",WEEKDAY($A367,2)&lt;=5,$A367='Recurring Schedule'!$F$25))),20,""))))</f>
        <v/>
      </c>
      <c r="V367">
        <f>IF('Recurring Schedule'!$C$26="","",IF('Recurring Schedule'!$F$26="","",IF(OR($A367&lt;'Recurring Schedule'!$F$26,$A367&gt;'Recurring Schedule'!$P$26),"",IF(IF('Recurring Schedule'!$N$26&gt;0,MOD($A367-'Recurring Schedule'!$F$26,'Recurring Schedule'!$N$26)=0,IF('Recurring Schedule'!$O$26&gt;0,AND(DAY($A367)=MIN(DAY('Recurring Schedule'!$F$26),DAY(EOMONTH($A367,0))),MOD((YEAR($A367)-YEAR('Recurring Schedule'!$F$26))*12+MONTH($A367)-MONTH('Recurring Schedule'!$F$26),'Recurring Schedule'!$O$26)=0),IF('Recurring Schedule'!$E$26="Weekdays",WEEKDAY($A367,2)&lt;=5,$A367='Recurring Schedule'!$F$26))),21,""))))</f>
        <v/>
      </c>
      <c r="W367">
        <f>IF('Recurring Schedule'!$C$27="","",IF('Recurring Schedule'!$F$27="","",IF(OR($A367&lt;'Recurring Schedule'!$F$27,$A367&gt;'Recurring Schedule'!$P$27),"",IF(IF('Recurring Schedule'!$N$27&gt;0,MOD($A367-'Recurring Schedule'!$F$27,'Recurring Schedule'!$N$27)=0,IF('Recurring Schedule'!$O$27&gt;0,AND(DAY($A367)=MIN(DAY('Recurring Schedule'!$F$27),DAY(EOMONTH($A367,0))),MOD((YEAR($A367)-YEAR('Recurring Schedule'!$F$27))*12+MONTH($A367)-MONTH('Recurring Schedule'!$F$27),'Recurring Schedule'!$O$27)=0),IF('Recurring Schedule'!$E$27="Weekdays",WEEKDAY($A367,2)&lt;=5,$A367='Recurring Schedule'!$F$27))),22,""))))</f>
        <v/>
      </c>
      <c r="X367">
        <f>IF('Recurring Schedule'!$C$28="","",IF('Recurring Schedule'!$F$28="","",IF(OR($A367&lt;'Recurring Schedule'!$F$28,$A367&gt;'Recurring Schedule'!$P$28),"",IF(IF('Recurring Schedule'!$N$28&gt;0,MOD($A367-'Recurring Schedule'!$F$28,'Recurring Schedule'!$N$28)=0,IF('Recurring Schedule'!$O$28&gt;0,AND(DAY($A367)=MIN(DAY('Recurring Schedule'!$F$28),DAY(EOMONTH($A367,0))),MOD((YEAR($A367)-YEAR('Recurring Schedule'!$F$28))*12+MONTH($A367)-MONTH('Recurring Schedule'!$F$28),'Recurring Schedule'!$O$28)=0),IF('Recurring Schedule'!$E$28="Weekdays",WEEKDAY($A367,2)&lt;=5,$A367='Recurring Schedule'!$F$28))),23,""))))</f>
        <v/>
      </c>
      <c r="Y367">
        <f>IF('Recurring Schedule'!$C$29="","",IF('Recurring Schedule'!$F$29="","",IF(OR($A367&lt;'Recurring Schedule'!$F$29,$A367&gt;'Recurring Schedule'!$P$29),"",IF(IF('Recurring Schedule'!$N$29&gt;0,MOD($A367-'Recurring Schedule'!$F$29,'Recurring Schedule'!$N$29)=0,IF('Recurring Schedule'!$O$29&gt;0,AND(DAY($A367)=MIN(DAY('Recurring Schedule'!$F$29),DAY(EOMONTH($A367,0))),MOD((YEAR($A367)-YEAR('Recurring Schedule'!$F$29))*12+MONTH($A367)-MONTH('Recurring Schedule'!$F$29),'Recurring Schedule'!$O$29)=0),IF('Recurring Schedule'!$E$29="Weekdays",WEEKDAY($A367,2)&lt;=5,$A367='Recurring Schedule'!$F$29))),24,""))))</f>
        <v/>
      </c>
      <c r="Z367">
        <f>IF('Recurring Schedule'!$C$30="","",IF('Recurring Schedule'!$F$30="","",IF(OR($A367&lt;'Recurring Schedule'!$F$30,$A367&gt;'Recurring Schedule'!$P$30),"",IF(IF('Recurring Schedule'!$N$30&gt;0,MOD($A367-'Recurring Schedule'!$F$30,'Recurring Schedule'!$N$30)=0,IF('Recurring Schedule'!$O$30&gt;0,AND(DAY($A367)=MIN(DAY('Recurring Schedule'!$F$30),DAY(EOMONTH($A367,0))),MOD((YEAR($A367)-YEAR('Recurring Schedule'!$F$30))*12+MONTH($A367)-MONTH('Recurring Schedule'!$F$30),'Recurring Schedule'!$O$30)=0),IF('Recurring Schedule'!$E$30="Weekdays",WEEKDAY($A367,2)&lt;=5,$A367='Recurring Schedule'!$F$30))),25,""))))</f>
        <v/>
      </c>
      <c r="AA367">
        <f>IF('Recurring Schedule'!$C$31="","",IF('Recurring Schedule'!$F$31="","",IF(OR($A367&lt;'Recurring Schedule'!$F$31,$A367&gt;'Recurring Schedule'!$P$31),"",IF(IF('Recurring Schedule'!$N$31&gt;0,MOD($A367-'Recurring Schedule'!$F$31,'Recurring Schedule'!$N$31)=0,IF('Recurring Schedule'!$O$31&gt;0,AND(DAY($A367)=MIN(DAY('Recurring Schedule'!$F$31),DAY(EOMONTH($A367,0))),MOD((YEAR($A367)-YEAR('Recurring Schedule'!$F$31))*12+MONTH($A367)-MONTH('Recurring Schedule'!$F$31),'Recurring Schedule'!$O$31)=0),IF('Recurring Schedule'!$E$31="Weekdays",WEEKDAY($A367,2)&lt;=5,$A367='Recurring Schedule'!$F$31))),26,""))))</f>
        <v/>
      </c>
      <c r="AB367">
        <f>IF('Recurring Schedule'!$C$32="","",IF('Recurring Schedule'!$F$32="","",IF(OR($A367&lt;'Recurring Schedule'!$F$32,$A367&gt;'Recurring Schedule'!$P$32),"",IF(IF('Recurring Schedule'!$N$32&gt;0,MOD($A367-'Recurring Schedule'!$F$32,'Recurring Schedule'!$N$32)=0,IF('Recurring Schedule'!$O$32&gt;0,AND(DAY($A367)=MIN(DAY('Recurring Schedule'!$F$32),DAY(EOMONTH($A367,0))),MOD((YEAR($A367)-YEAR('Recurring Schedule'!$F$32))*12+MONTH($A367)-MONTH('Recurring Schedule'!$F$32),'Recurring Schedule'!$O$32)=0),IF('Recurring Schedule'!$E$32="Weekdays",WEEKDAY($A367,2)&lt;=5,$A367='Recurring Schedule'!$F$32))),27,""))))</f>
        <v/>
      </c>
      <c r="AC367">
        <f>IF('Recurring Schedule'!$C$33="","",IF('Recurring Schedule'!$F$33="","",IF(OR($A367&lt;'Recurring Schedule'!$F$33,$A367&gt;'Recurring Schedule'!$P$33),"",IF(IF('Recurring Schedule'!$N$33&gt;0,MOD($A367-'Recurring Schedule'!$F$33,'Recurring Schedule'!$N$33)=0,IF('Recurring Schedule'!$O$33&gt;0,AND(DAY($A367)=MIN(DAY('Recurring Schedule'!$F$33),DAY(EOMONTH($A367,0))),MOD((YEAR($A367)-YEAR('Recurring Schedule'!$F$33))*12+MONTH($A367)-MONTH('Recurring Schedule'!$F$33),'Recurring Schedule'!$O$33)=0),IF('Recurring Schedule'!$E$33="Weekdays",WEEKDAY($A367,2)&lt;=5,$A367='Recurring Schedule'!$F$33))),28,""))))</f>
        <v/>
      </c>
      <c r="AD367">
        <f>IF('Recurring Schedule'!$C$34="","",IF('Recurring Schedule'!$F$34="","",IF(OR($A367&lt;'Recurring Schedule'!$F$34,$A367&gt;'Recurring Schedule'!$P$34),"",IF(IF('Recurring Schedule'!$N$34&gt;0,MOD($A367-'Recurring Schedule'!$F$34,'Recurring Schedule'!$N$34)=0,IF('Recurring Schedule'!$O$34&gt;0,AND(DAY($A367)=MIN(DAY('Recurring Schedule'!$F$34),DAY(EOMONTH($A367,0))),MOD((YEAR($A367)-YEAR('Recurring Schedule'!$F$34))*12+MONTH($A367)-MONTH('Recurring Schedule'!$F$34),'Recurring Schedule'!$O$34)=0),IF('Recurring Schedule'!$E$34="Weekdays",WEEKDAY($A367,2)&lt;=5,$A367='Recurring Schedule'!$F$34))),29,""))))</f>
        <v/>
      </c>
      <c r="AE367">
        <f>IF('Recurring Schedule'!$C$35="","",IF('Recurring Schedule'!$F$35="","",IF(OR($A367&lt;'Recurring Schedule'!$F$35,$A367&gt;'Recurring Schedule'!$P$35),"",IF(IF('Recurring Schedule'!$N$35&gt;0,MOD($A367-'Recurring Schedule'!$F$35,'Recurring Schedule'!$N$35)=0,IF('Recurring Schedule'!$O$35&gt;0,AND(DAY($A367)=MIN(DAY('Recurring Schedule'!$F$35),DAY(EOMONTH($A367,0))),MOD((YEAR($A367)-YEAR('Recurring Schedule'!$F$35))*12+MONTH($A367)-MONTH('Recurring Schedule'!$F$35),'Recurring Schedule'!$O$35)=0),IF('Recurring Schedule'!$E$35="Weekdays",WEEKDAY($A367,2)&lt;=5,$A367='Recurring Schedule'!$F$35))),30,""))))</f>
        <v/>
      </c>
      <c r="AF367">
        <f>IF('Recurring Schedule'!$C$36="","",IF('Recurring Schedule'!$F$36="","",IF(OR($A367&lt;'Recurring Schedule'!$F$36,$A367&gt;'Recurring Schedule'!$P$36),"",IF(IF('Recurring Schedule'!$N$36&gt;0,MOD($A367-'Recurring Schedule'!$F$36,'Recurring Schedule'!$N$36)=0,IF('Recurring Schedule'!$O$36&gt;0,AND(DAY($A367)=MIN(DAY('Recurring Schedule'!$F$36),DAY(EOMONTH($A367,0))),MOD((YEAR($A367)-YEAR('Recurring Schedule'!$F$36))*12+MONTH($A367)-MONTH('Recurring Schedule'!$F$36),'Recurring Schedule'!$O$36)=0),IF('Recurring Schedule'!$E$36="Weekdays",WEEKDAY($A367,2)&lt;=5,$A367='Recurring Schedule'!$F$36))),31,""))))</f>
        <v/>
      </c>
      <c r="AG367">
        <f>IF('Recurring Schedule'!$C$37="","",IF('Recurring Schedule'!$F$37="","",IF(OR($A367&lt;'Recurring Schedule'!$F$37,$A367&gt;'Recurring Schedule'!$P$37),"",IF(IF('Recurring Schedule'!$N$37&gt;0,MOD($A367-'Recurring Schedule'!$F$37,'Recurring Schedule'!$N$37)=0,IF('Recurring Schedule'!$O$37&gt;0,AND(DAY($A367)=MIN(DAY('Recurring Schedule'!$F$37),DAY(EOMONTH($A367,0))),MOD((YEAR($A367)-YEAR('Recurring Schedule'!$F$37))*12+MONTH($A367)-MONTH('Recurring Schedule'!$F$37),'Recurring Schedule'!$O$37)=0),IF('Recurring Schedule'!$E$37="Weekdays",WEEKDAY($A367,2)&lt;=5,$A367='Recurring Schedule'!$F$37))),32,""))))</f>
        <v/>
      </c>
      <c r="AH367">
        <f>IF('Recurring Schedule'!$C$38="","",IF('Recurring Schedule'!$F$38="","",IF(OR($A367&lt;'Recurring Schedule'!$F$38,$A367&gt;'Recurring Schedule'!$P$38),"",IF(IF('Recurring Schedule'!$N$38&gt;0,MOD($A367-'Recurring Schedule'!$F$38,'Recurring Schedule'!$N$38)=0,IF('Recurring Schedule'!$O$38&gt;0,AND(DAY($A367)=MIN(DAY('Recurring Schedule'!$F$38),DAY(EOMONTH($A367,0))),MOD((YEAR($A367)-YEAR('Recurring Schedule'!$F$38))*12+MONTH($A367)-MONTH('Recurring Schedule'!$F$38),'Recurring Schedule'!$O$38)=0),IF('Recurring Schedule'!$E$38="Weekdays",WEEKDAY($A367,2)&lt;=5,$A367='Recurring Schedule'!$F$38))),33,""))))</f>
        <v/>
      </c>
      <c r="AI367">
        <f>IF('Recurring Schedule'!$C$39="","",IF('Recurring Schedule'!$F$39="","",IF(OR($A367&lt;'Recurring Schedule'!$F$39,$A367&gt;'Recurring Schedule'!$P$39),"",IF(IF('Recurring Schedule'!$N$39&gt;0,MOD($A367-'Recurring Schedule'!$F$39,'Recurring Schedule'!$N$39)=0,IF('Recurring Schedule'!$O$39&gt;0,AND(DAY($A367)=MIN(DAY('Recurring Schedule'!$F$39),DAY(EOMONTH($A367,0))),MOD((YEAR($A367)-YEAR('Recurring Schedule'!$F$39))*12+MONTH($A367)-MONTH('Recurring Schedule'!$F$39),'Recurring Schedule'!$O$39)=0),IF('Recurring Schedule'!$E$39="Weekdays",WEEKDAY($A367,2)&lt;=5,$A367='Recurring Schedule'!$F$39))),34,""))))</f>
        <v/>
      </c>
      <c r="AJ367">
        <f>IF('Recurring Schedule'!$C$40="","",IF('Recurring Schedule'!$F$40="","",IF(OR($A367&lt;'Recurring Schedule'!$F$40,$A367&gt;'Recurring Schedule'!$P$40),"",IF(IF('Recurring Schedule'!$N$40&gt;0,MOD($A367-'Recurring Schedule'!$F$40,'Recurring Schedule'!$N$40)=0,IF('Recurring Schedule'!$O$40&gt;0,AND(DAY($A367)=MIN(DAY('Recurring Schedule'!$F$40),DAY(EOMONTH($A367,0))),MOD((YEAR($A367)-YEAR('Recurring Schedule'!$F$40))*12+MONTH($A367)-MONTH('Recurring Schedule'!$F$40),'Recurring Schedule'!$O$40)=0),IF('Recurring Schedule'!$E$40="Weekdays",WEEKDAY($A367,2)&lt;=5,$A367='Recurring Schedule'!$F$40))),35,""))))</f>
        <v/>
      </c>
      <c r="AK367">
        <f>IF('Recurring Schedule'!$C$41="","",IF('Recurring Schedule'!$F$41="","",IF(OR($A367&lt;'Recurring Schedule'!$F$41,$A367&gt;'Recurring Schedule'!$P$41),"",IF(IF('Recurring Schedule'!$N$41&gt;0,MOD($A367-'Recurring Schedule'!$F$41,'Recurring Schedule'!$N$41)=0,IF('Recurring Schedule'!$O$41&gt;0,AND(DAY($A367)=MIN(DAY('Recurring Schedule'!$F$41),DAY(EOMONTH($A367,0))),MOD((YEAR($A367)-YEAR('Recurring Schedule'!$F$41))*12+MONTH($A367)-MONTH('Recurring Schedule'!$F$41),'Recurring Schedule'!$O$41)=0),IF('Recurring Schedule'!$E$41="Weekdays",WEEKDAY($A367,2)&lt;=5,$A367='Recurring Schedule'!$F$41))),36,""))))</f>
        <v/>
      </c>
      <c r="AL367">
        <f>IF('Recurring Schedule'!$C$42="","",IF('Recurring Schedule'!$F$42="","",IF(OR($A367&lt;'Recurring Schedule'!$F$42,$A367&gt;'Recurring Schedule'!$P$42),"",IF(IF('Recurring Schedule'!$N$42&gt;0,MOD($A367-'Recurring Schedule'!$F$42,'Recurring Schedule'!$N$42)=0,IF('Recurring Schedule'!$O$42&gt;0,AND(DAY($A367)=MIN(DAY('Recurring Schedule'!$F$42),DAY(EOMONTH($A367,0))),MOD((YEAR($A367)-YEAR('Recurring Schedule'!$F$42))*12+MONTH($A367)-MONTH('Recurring Schedule'!$F$42),'Recurring Schedule'!$O$42)=0),IF('Recurring Schedule'!$E$42="Weekdays",WEEKDAY($A367,2)&lt;=5,$A367='Recurring Schedule'!$F$42))),37,""))))</f>
        <v/>
      </c>
      <c r="AM367">
        <f>IF('Recurring Schedule'!$C$43="","",IF('Recurring Schedule'!$F$43="","",IF(OR($A367&lt;'Recurring Schedule'!$F$43,$A367&gt;'Recurring Schedule'!$P$43),"",IF(IF('Recurring Schedule'!$N$43&gt;0,MOD($A367-'Recurring Schedule'!$F$43,'Recurring Schedule'!$N$43)=0,IF('Recurring Schedule'!$O$43&gt;0,AND(DAY($A367)=MIN(DAY('Recurring Schedule'!$F$43),DAY(EOMONTH($A367,0))),MOD((YEAR($A367)-YEAR('Recurring Schedule'!$F$43))*12+MONTH($A367)-MONTH('Recurring Schedule'!$F$43),'Recurring Schedule'!$O$43)=0),IF('Recurring Schedule'!$E$43="Weekdays",WEEKDAY($A367,2)&lt;=5,$A367='Recurring Schedule'!$F$43))),38,""))))</f>
        <v/>
      </c>
      <c r="AN367">
        <f>IF('Recurring Schedule'!$C$44="","",IF('Recurring Schedule'!$F$44="","",IF(OR($A367&lt;'Recurring Schedule'!$F$44,$A367&gt;'Recurring Schedule'!$P$44),"",IF(IF('Recurring Schedule'!$N$44&gt;0,MOD($A367-'Recurring Schedule'!$F$44,'Recurring Schedule'!$N$44)=0,IF('Recurring Schedule'!$O$44&gt;0,AND(DAY($A367)=MIN(DAY('Recurring Schedule'!$F$44),DAY(EOMONTH($A367,0))),MOD((YEAR($A367)-YEAR('Recurring Schedule'!$F$44))*12+MONTH($A367)-MONTH('Recurring Schedule'!$F$44),'Recurring Schedule'!$O$44)=0),IF('Recurring Schedule'!$E$44="Weekdays",WEEKDAY($A367,2)&lt;=5,$A367='Recurring Schedule'!$F$44))),39,""))))</f>
        <v/>
      </c>
      <c r="AO367">
        <f>IF('Recurring Schedule'!$C$45="","",IF('Recurring Schedule'!$F$45="","",IF(OR($A367&lt;'Recurring Schedule'!$F$45,$A367&gt;'Recurring Schedule'!$P$45),"",IF(IF('Recurring Schedule'!$N$45&gt;0,MOD($A367-'Recurring Schedule'!$F$45,'Recurring Schedule'!$N$45)=0,IF('Recurring Schedule'!$O$45&gt;0,AND(DAY($A367)=MIN(DAY('Recurring Schedule'!$F$45),DAY(EOMONTH($A367,0))),MOD((YEAR($A367)-YEAR('Recurring Schedule'!$F$45))*12+MONTH($A367)-MONTH('Recurring Schedule'!$F$45),'Recurring Schedule'!$O$45)=0),IF('Recurring Schedule'!$E$45="Weekdays",WEEKDAY($A367,2)&lt;=5,$A367='Recurring Schedule'!$F$45))),40,""))))</f>
        <v/>
      </c>
      <c r="AP367">
        <f>COUNT(B367:AO367)</f>
        <v/>
      </c>
      <c r="AQ367">
        <f>AQ366+AP366</f>
        <v/>
      </c>
      <c r="AS367" t="inlineStr">
        <is>
          <t>R</t>
        </is>
      </c>
      <c r="AT367" t="n">
        <v>371</v>
      </c>
      <c r="AU367">
        <f>'Recurring Log'!C371&amp;""</f>
        <v/>
      </c>
      <c r="AV367">
        <f>'Recurring Log'!D371&amp;""</f>
        <v/>
      </c>
      <c r="AW367">
        <f>IF('Recurring Log'!E371="","",'Recurring Log'!E371)</f>
        <v/>
      </c>
      <c r="AX367">
        <f>IF('Recurring Log'!G371="","",'Recurring Log'!G371)</f>
        <v/>
      </c>
      <c r="AY367">
        <f>IF('Recurring Log'!H371="","",'Recurring Log'!H371)</f>
        <v/>
      </c>
      <c r="AZ367">
        <f>IF(AU367="","",IF('Recurring Log'!J371="","Not Started",'Recurring Log'!J371))</f>
        <v/>
      </c>
      <c r="BA367">
        <f>'Recurring Log'!L371&amp;""</f>
        <v/>
      </c>
      <c r="BB367">
        <f>'Recurring Log'!M371&amp;""</f>
        <v/>
      </c>
      <c r="BC367">
        <f>'Recurring Log'!N371&amp;""</f>
        <v/>
      </c>
      <c r="BD367">
        <f>'Recurring Log'!O371&amp;""</f>
        <v/>
      </c>
      <c r="BE367">
        <f>IF('Recurring Log'!K371="","",'Recurring Log'!K371)</f>
        <v/>
      </c>
      <c r="BF367">
        <f>IFERROR(MATCH(BA367,Setup!$L$6:$L$9,0),5)</f>
        <v/>
      </c>
      <c r="BG367">
        <f>IF(OR(AZ367="Done",AZ367="Cancelled"),1,0)</f>
        <v/>
      </c>
      <c r="BH367">
        <f>IF(AND(AU367&lt;&gt;"",ISNUMBER(AW367)),1,0)</f>
        <v/>
      </c>
      <c r="BI367">
        <f>IF(BH367=0,0,IF(AND(AW367&gt;='Tasks Filter'!$F$3,AW367&lt;='Tasks Filter'!$F$4,OR('Tasks Filter'!$I$3="",ISNUMBER(SEARCH('Tasks Filter'!$I$3,AU367))),OR('Tasks Filter'!$I$4="",BF367=IFERROR(MATCH('Tasks Filter'!$I$4,Setup!$L$6:$L$9,0),0)),OR('Tasks Filter'!$I$5="Both",AND('Tasks Filter'!$I$5="Yes",BB367="✓"),AND('Tasks Filter'!$I$5="No",BB367&lt;&gt;"✓")),OR('Tasks Filter'!$L$3="",AV367='Tasks Filter'!$L$3),OR('Tasks Filter'!$L$4="",AZ367='Tasks Filter'!$L$4),OR('Tasks Filter'!$L$5="",BC367='Tasks Filter'!$L$5),OR('Tasks Filter'!$O$3="",BD367='Tasks Filter'!$O$3),OR('Tasks Filter'!$O$4="Yes",BG367=0)),1,0))</f>
        <v/>
      </c>
      <c r="BJ367">
        <f>IF(BH367=0,"",IF('Tasks Filter'!$F$6="Descending",-1,1)*CHOOSE(MATCH('Tasks Filter'!$F$5,Lists!$G$2:$G$6,0),AW367,BF367,IFERROR(MATCH(AV367,Setup!$F$6:$F$15,0),99),IFERROR(MATCH(BC367,Setup!$H$6:$H$15,0),99),IFERROR(MATCH(AZ367,Setup!$J$6:$J$11,0),99))*1E+9+(AW367-40000)*10000+366)</f>
        <v/>
      </c>
      <c r="BK367">
        <f>IF(BI367=1,BJ367,"")</f>
        <v/>
      </c>
      <c r="BL367">
        <f>IF(AND(BH367=1,BG367=0,N(AW367)&lt;Setup!$D$7),(AW367-40000)*10000+366,"")</f>
        <v/>
      </c>
      <c r="BM367">
        <f>IF(AND(BH367=1,AZ367&lt;&gt;"Cancelled",N(AW367)&gt;=Dashboard!$AB$3,N(AW367)&lt;=Dashboard!$AB$3+6),(AW367-40000)*100000+BF367*10000+366,"")</f>
        <v/>
      </c>
      <c r="BN367">
        <f>IF(AND(BH367=1,AZ367&lt;&gt;"Cancelled"),BF367*10000+366,"")</f>
        <v/>
      </c>
    </row>
    <row r="368">
      <c r="AQ368">
        <f>AQ367+AP367</f>
        <v/>
      </c>
      <c r="AS368" t="inlineStr">
        <is>
          <t>R</t>
        </is>
      </c>
      <c r="AT368" t="n">
        <v>372</v>
      </c>
      <c r="AU368">
        <f>'Recurring Log'!C372&amp;""</f>
        <v/>
      </c>
      <c r="AV368">
        <f>'Recurring Log'!D372&amp;""</f>
        <v/>
      </c>
      <c r="AW368">
        <f>IF('Recurring Log'!E372="","",'Recurring Log'!E372)</f>
        <v/>
      </c>
      <c r="AX368">
        <f>IF('Recurring Log'!G372="","",'Recurring Log'!G372)</f>
        <v/>
      </c>
      <c r="AY368">
        <f>IF('Recurring Log'!H372="","",'Recurring Log'!H372)</f>
        <v/>
      </c>
      <c r="AZ368">
        <f>IF(AU368="","",IF('Recurring Log'!J372="","Not Started",'Recurring Log'!J372))</f>
        <v/>
      </c>
      <c r="BA368">
        <f>'Recurring Log'!L372&amp;""</f>
        <v/>
      </c>
      <c r="BB368">
        <f>'Recurring Log'!M372&amp;""</f>
        <v/>
      </c>
      <c r="BC368">
        <f>'Recurring Log'!N372&amp;""</f>
        <v/>
      </c>
      <c r="BD368">
        <f>'Recurring Log'!O372&amp;""</f>
        <v/>
      </c>
      <c r="BE368">
        <f>IF('Recurring Log'!K372="","",'Recurring Log'!K372)</f>
        <v/>
      </c>
      <c r="BF368">
        <f>IFERROR(MATCH(BA368,Setup!$L$6:$L$9,0),5)</f>
        <v/>
      </c>
      <c r="BG368">
        <f>IF(OR(AZ368="Done",AZ368="Cancelled"),1,0)</f>
        <v/>
      </c>
      <c r="BH368">
        <f>IF(AND(AU368&lt;&gt;"",ISNUMBER(AW368)),1,0)</f>
        <v/>
      </c>
      <c r="BI368">
        <f>IF(BH368=0,0,IF(AND(AW368&gt;='Tasks Filter'!$F$3,AW368&lt;='Tasks Filter'!$F$4,OR('Tasks Filter'!$I$3="",ISNUMBER(SEARCH('Tasks Filter'!$I$3,AU368))),OR('Tasks Filter'!$I$4="",BF368=IFERROR(MATCH('Tasks Filter'!$I$4,Setup!$L$6:$L$9,0),0)),OR('Tasks Filter'!$I$5="Both",AND('Tasks Filter'!$I$5="Yes",BB368="✓"),AND('Tasks Filter'!$I$5="No",BB368&lt;&gt;"✓")),OR('Tasks Filter'!$L$3="",AV368='Tasks Filter'!$L$3),OR('Tasks Filter'!$L$4="",AZ368='Tasks Filter'!$L$4),OR('Tasks Filter'!$L$5="",BC368='Tasks Filter'!$L$5),OR('Tasks Filter'!$O$3="",BD368='Tasks Filter'!$O$3),OR('Tasks Filter'!$O$4="Yes",BG368=0)),1,0))</f>
        <v/>
      </c>
      <c r="BJ368">
        <f>IF(BH368=0,"",IF('Tasks Filter'!$F$6="Descending",-1,1)*CHOOSE(MATCH('Tasks Filter'!$F$5,Lists!$G$2:$G$6,0),AW368,BF368,IFERROR(MATCH(AV368,Setup!$F$6:$F$15,0),99),IFERROR(MATCH(BC368,Setup!$H$6:$H$15,0),99),IFERROR(MATCH(AZ368,Setup!$J$6:$J$11,0),99))*1E+9+(AW368-40000)*10000+367)</f>
        <v/>
      </c>
      <c r="BK368">
        <f>IF(BI368=1,BJ368,"")</f>
        <v/>
      </c>
      <c r="BL368">
        <f>IF(AND(BH368=1,BG368=0,N(AW368)&lt;Setup!$D$7),(AW368-40000)*10000+367,"")</f>
        <v/>
      </c>
      <c r="BM368">
        <f>IF(AND(BH368=1,AZ368&lt;&gt;"Cancelled",N(AW368)&gt;=Dashboard!$AB$3,N(AW368)&lt;=Dashboard!$AB$3+6),(AW368-40000)*100000+BF368*10000+367,"")</f>
        <v/>
      </c>
      <c r="BN368">
        <f>IF(AND(BH368=1,AZ368&lt;&gt;"Cancelled"),BF368*10000+367,"")</f>
        <v/>
      </c>
    </row>
    <row r="369">
      <c r="AS369" t="inlineStr">
        <is>
          <t>R</t>
        </is>
      </c>
      <c r="AT369" t="n">
        <v>373</v>
      </c>
      <c r="AU369">
        <f>'Recurring Log'!C373&amp;""</f>
        <v/>
      </c>
      <c r="AV369">
        <f>'Recurring Log'!D373&amp;""</f>
        <v/>
      </c>
      <c r="AW369">
        <f>IF('Recurring Log'!E373="","",'Recurring Log'!E373)</f>
        <v/>
      </c>
      <c r="AX369">
        <f>IF('Recurring Log'!G373="","",'Recurring Log'!G373)</f>
        <v/>
      </c>
      <c r="AY369">
        <f>IF('Recurring Log'!H373="","",'Recurring Log'!H373)</f>
        <v/>
      </c>
      <c r="AZ369">
        <f>IF(AU369="","",IF('Recurring Log'!J373="","Not Started",'Recurring Log'!J373))</f>
        <v/>
      </c>
      <c r="BA369">
        <f>'Recurring Log'!L373&amp;""</f>
        <v/>
      </c>
      <c r="BB369">
        <f>'Recurring Log'!M373&amp;""</f>
        <v/>
      </c>
      <c r="BC369">
        <f>'Recurring Log'!N373&amp;""</f>
        <v/>
      </c>
      <c r="BD369">
        <f>'Recurring Log'!O373&amp;""</f>
        <v/>
      </c>
      <c r="BE369">
        <f>IF('Recurring Log'!K373="","",'Recurring Log'!K373)</f>
        <v/>
      </c>
      <c r="BF369">
        <f>IFERROR(MATCH(BA369,Setup!$L$6:$L$9,0),5)</f>
        <v/>
      </c>
      <c r="BG369">
        <f>IF(OR(AZ369="Done",AZ369="Cancelled"),1,0)</f>
        <v/>
      </c>
      <c r="BH369">
        <f>IF(AND(AU369&lt;&gt;"",ISNUMBER(AW369)),1,0)</f>
        <v/>
      </c>
      <c r="BI369">
        <f>IF(BH369=0,0,IF(AND(AW369&gt;='Tasks Filter'!$F$3,AW369&lt;='Tasks Filter'!$F$4,OR('Tasks Filter'!$I$3="",ISNUMBER(SEARCH('Tasks Filter'!$I$3,AU369))),OR('Tasks Filter'!$I$4="",BF369=IFERROR(MATCH('Tasks Filter'!$I$4,Setup!$L$6:$L$9,0),0)),OR('Tasks Filter'!$I$5="Both",AND('Tasks Filter'!$I$5="Yes",BB369="✓"),AND('Tasks Filter'!$I$5="No",BB369&lt;&gt;"✓")),OR('Tasks Filter'!$L$3="",AV369='Tasks Filter'!$L$3),OR('Tasks Filter'!$L$4="",AZ369='Tasks Filter'!$L$4),OR('Tasks Filter'!$L$5="",BC369='Tasks Filter'!$L$5),OR('Tasks Filter'!$O$3="",BD369='Tasks Filter'!$O$3),OR('Tasks Filter'!$O$4="Yes",BG369=0)),1,0))</f>
        <v/>
      </c>
      <c r="BJ369">
        <f>IF(BH369=0,"",IF('Tasks Filter'!$F$6="Descending",-1,1)*CHOOSE(MATCH('Tasks Filter'!$F$5,Lists!$G$2:$G$6,0),AW369,BF369,IFERROR(MATCH(AV369,Setup!$F$6:$F$15,0),99),IFERROR(MATCH(BC369,Setup!$H$6:$H$15,0),99),IFERROR(MATCH(AZ369,Setup!$J$6:$J$11,0),99))*1E+9+(AW369-40000)*10000+368)</f>
        <v/>
      </c>
      <c r="BK369">
        <f>IF(BI369=1,BJ369,"")</f>
        <v/>
      </c>
      <c r="BL369">
        <f>IF(AND(BH369=1,BG369=0,N(AW369)&lt;Setup!$D$7),(AW369-40000)*10000+368,"")</f>
        <v/>
      </c>
      <c r="BM369">
        <f>IF(AND(BH369=1,AZ369&lt;&gt;"Cancelled",N(AW369)&gt;=Dashboard!$AB$3,N(AW369)&lt;=Dashboard!$AB$3+6),(AW369-40000)*100000+BF369*10000+368,"")</f>
        <v/>
      </c>
      <c r="BN369">
        <f>IF(AND(BH369=1,AZ369&lt;&gt;"Cancelled"),BF369*10000+368,"")</f>
        <v/>
      </c>
    </row>
    <row r="370">
      <c r="AS370" t="inlineStr">
        <is>
          <t>R</t>
        </is>
      </c>
      <c r="AT370" t="n">
        <v>374</v>
      </c>
      <c r="AU370">
        <f>'Recurring Log'!C374&amp;""</f>
        <v/>
      </c>
      <c r="AV370">
        <f>'Recurring Log'!D374&amp;""</f>
        <v/>
      </c>
      <c r="AW370">
        <f>IF('Recurring Log'!E374="","",'Recurring Log'!E374)</f>
        <v/>
      </c>
      <c r="AX370">
        <f>IF('Recurring Log'!G374="","",'Recurring Log'!G374)</f>
        <v/>
      </c>
      <c r="AY370">
        <f>IF('Recurring Log'!H374="","",'Recurring Log'!H374)</f>
        <v/>
      </c>
      <c r="AZ370">
        <f>IF(AU370="","",IF('Recurring Log'!J374="","Not Started",'Recurring Log'!J374))</f>
        <v/>
      </c>
      <c r="BA370">
        <f>'Recurring Log'!L374&amp;""</f>
        <v/>
      </c>
      <c r="BB370">
        <f>'Recurring Log'!M374&amp;""</f>
        <v/>
      </c>
      <c r="BC370">
        <f>'Recurring Log'!N374&amp;""</f>
        <v/>
      </c>
      <c r="BD370">
        <f>'Recurring Log'!O374&amp;""</f>
        <v/>
      </c>
      <c r="BE370">
        <f>IF('Recurring Log'!K374="","",'Recurring Log'!K374)</f>
        <v/>
      </c>
      <c r="BF370">
        <f>IFERROR(MATCH(BA370,Setup!$L$6:$L$9,0),5)</f>
        <v/>
      </c>
      <c r="BG370">
        <f>IF(OR(AZ370="Done",AZ370="Cancelled"),1,0)</f>
        <v/>
      </c>
      <c r="BH370">
        <f>IF(AND(AU370&lt;&gt;"",ISNUMBER(AW370)),1,0)</f>
        <v/>
      </c>
      <c r="BI370">
        <f>IF(BH370=0,0,IF(AND(AW370&gt;='Tasks Filter'!$F$3,AW370&lt;='Tasks Filter'!$F$4,OR('Tasks Filter'!$I$3="",ISNUMBER(SEARCH('Tasks Filter'!$I$3,AU370))),OR('Tasks Filter'!$I$4="",BF370=IFERROR(MATCH('Tasks Filter'!$I$4,Setup!$L$6:$L$9,0),0)),OR('Tasks Filter'!$I$5="Both",AND('Tasks Filter'!$I$5="Yes",BB370="✓"),AND('Tasks Filter'!$I$5="No",BB370&lt;&gt;"✓")),OR('Tasks Filter'!$L$3="",AV370='Tasks Filter'!$L$3),OR('Tasks Filter'!$L$4="",AZ370='Tasks Filter'!$L$4),OR('Tasks Filter'!$L$5="",BC370='Tasks Filter'!$L$5),OR('Tasks Filter'!$O$3="",BD370='Tasks Filter'!$O$3),OR('Tasks Filter'!$O$4="Yes",BG370=0)),1,0))</f>
        <v/>
      </c>
      <c r="BJ370">
        <f>IF(BH370=0,"",IF('Tasks Filter'!$F$6="Descending",-1,1)*CHOOSE(MATCH('Tasks Filter'!$F$5,Lists!$G$2:$G$6,0),AW370,BF370,IFERROR(MATCH(AV370,Setup!$F$6:$F$15,0),99),IFERROR(MATCH(BC370,Setup!$H$6:$H$15,0),99),IFERROR(MATCH(AZ370,Setup!$J$6:$J$11,0),99))*1E+9+(AW370-40000)*10000+369)</f>
        <v/>
      </c>
      <c r="BK370">
        <f>IF(BI370=1,BJ370,"")</f>
        <v/>
      </c>
      <c r="BL370">
        <f>IF(AND(BH370=1,BG370=0,N(AW370)&lt;Setup!$D$7),(AW370-40000)*10000+369,"")</f>
        <v/>
      </c>
      <c r="BM370">
        <f>IF(AND(BH370=1,AZ370&lt;&gt;"Cancelled",N(AW370)&gt;=Dashboard!$AB$3,N(AW370)&lt;=Dashboard!$AB$3+6),(AW370-40000)*100000+BF370*10000+369,"")</f>
        <v/>
      </c>
      <c r="BN370">
        <f>IF(AND(BH370=1,AZ370&lt;&gt;"Cancelled"),BF370*10000+369,"")</f>
        <v/>
      </c>
    </row>
    <row r="371">
      <c r="AS371" t="inlineStr">
        <is>
          <t>R</t>
        </is>
      </c>
      <c r="AT371" t="n">
        <v>375</v>
      </c>
      <c r="AU371">
        <f>'Recurring Log'!C375&amp;""</f>
        <v/>
      </c>
      <c r="AV371">
        <f>'Recurring Log'!D375&amp;""</f>
        <v/>
      </c>
      <c r="AW371">
        <f>IF('Recurring Log'!E375="","",'Recurring Log'!E375)</f>
        <v/>
      </c>
      <c r="AX371">
        <f>IF('Recurring Log'!G375="","",'Recurring Log'!G375)</f>
        <v/>
      </c>
      <c r="AY371">
        <f>IF('Recurring Log'!H375="","",'Recurring Log'!H375)</f>
        <v/>
      </c>
      <c r="AZ371">
        <f>IF(AU371="","",IF('Recurring Log'!J375="","Not Started",'Recurring Log'!J375))</f>
        <v/>
      </c>
      <c r="BA371">
        <f>'Recurring Log'!L375&amp;""</f>
        <v/>
      </c>
      <c r="BB371">
        <f>'Recurring Log'!M375&amp;""</f>
        <v/>
      </c>
      <c r="BC371">
        <f>'Recurring Log'!N375&amp;""</f>
        <v/>
      </c>
      <c r="BD371">
        <f>'Recurring Log'!O375&amp;""</f>
        <v/>
      </c>
      <c r="BE371">
        <f>IF('Recurring Log'!K375="","",'Recurring Log'!K375)</f>
        <v/>
      </c>
      <c r="BF371">
        <f>IFERROR(MATCH(BA371,Setup!$L$6:$L$9,0),5)</f>
        <v/>
      </c>
      <c r="BG371">
        <f>IF(OR(AZ371="Done",AZ371="Cancelled"),1,0)</f>
        <v/>
      </c>
      <c r="BH371">
        <f>IF(AND(AU371&lt;&gt;"",ISNUMBER(AW371)),1,0)</f>
        <v/>
      </c>
      <c r="BI371">
        <f>IF(BH371=0,0,IF(AND(AW371&gt;='Tasks Filter'!$F$3,AW371&lt;='Tasks Filter'!$F$4,OR('Tasks Filter'!$I$3="",ISNUMBER(SEARCH('Tasks Filter'!$I$3,AU371))),OR('Tasks Filter'!$I$4="",BF371=IFERROR(MATCH('Tasks Filter'!$I$4,Setup!$L$6:$L$9,0),0)),OR('Tasks Filter'!$I$5="Both",AND('Tasks Filter'!$I$5="Yes",BB371="✓"),AND('Tasks Filter'!$I$5="No",BB371&lt;&gt;"✓")),OR('Tasks Filter'!$L$3="",AV371='Tasks Filter'!$L$3),OR('Tasks Filter'!$L$4="",AZ371='Tasks Filter'!$L$4),OR('Tasks Filter'!$L$5="",BC371='Tasks Filter'!$L$5),OR('Tasks Filter'!$O$3="",BD371='Tasks Filter'!$O$3),OR('Tasks Filter'!$O$4="Yes",BG371=0)),1,0))</f>
        <v/>
      </c>
      <c r="BJ371">
        <f>IF(BH371=0,"",IF('Tasks Filter'!$F$6="Descending",-1,1)*CHOOSE(MATCH('Tasks Filter'!$F$5,Lists!$G$2:$G$6,0),AW371,BF371,IFERROR(MATCH(AV371,Setup!$F$6:$F$15,0),99),IFERROR(MATCH(BC371,Setup!$H$6:$H$15,0),99),IFERROR(MATCH(AZ371,Setup!$J$6:$J$11,0),99))*1E+9+(AW371-40000)*10000+370)</f>
        <v/>
      </c>
      <c r="BK371">
        <f>IF(BI371=1,BJ371,"")</f>
        <v/>
      </c>
      <c r="BL371">
        <f>IF(AND(BH371=1,BG371=0,N(AW371)&lt;Setup!$D$7),(AW371-40000)*10000+370,"")</f>
        <v/>
      </c>
      <c r="BM371">
        <f>IF(AND(BH371=1,AZ371&lt;&gt;"Cancelled",N(AW371)&gt;=Dashboard!$AB$3,N(AW371)&lt;=Dashboard!$AB$3+6),(AW371-40000)*100000+BF371*10000+370,"")</f>
        <v/>
      </c>
      <c r="BN371">
        <f>IF(AND(BH371=1,AZ371&lt;&gt;"Cancelled"),BF371*10000+370,"")</f>
        <v/>
      </c>
    </row>
    <row r="372">
      <c r="AS372" t="inlineStr">
        <is>
          <t>R</t>
        </is>
      </c>
      <c r="AT372" t="n">
        <v>376</v>
      </c>
      <c r="AU372">
        <f>'Recurring Log'!C376&amp;""</f>
        <v/>
      </c>
      <c r="AV372">
        <f>'Recurring Log'!D376&amp;""</f>
        <v/>
      </c>
      <c r="AW372">
        <f>IF('Recurring Log'!E376="","",'Recurring Log'!E376)</f>
        <v/>
      </c>
      <c r="AX372">
        <f>IF('Recurring Log'!G376="","",'Recurring Log'!G376)</f>
        <v/>
      </c>
      <c r="AY372">
        <f>IF('Recurring Log'!H376="","",'Recurring Log'!H376)</f>
        <v/>
      </c>
      <c r="AZ372">
        <f>IF(AU372="","",IF('Recurring Log'!J376="","Not Started",'Recurring Log'!J376))</f>
        <v/>
      </c>
      <c r="BA372">
        <f>'Recurring Log'!L376&amp;""</f>
        <v/>
      </c>
      <c r="BB372">
        <f>'Recurring Log'!M376&amp;""</f>
        <v/>
      </c>
      <c r="BC372">
        <f>'Recurring Log'!N376&amp;""</f>
        <v/>
      </c>
      <c r="BD372">
        <f>'Recurring Log'!O376&amp;""</f>
        <v/>
      </c>
      <c r="BE372">
        <f>IF('Recurring Log'!K376="","",'Recurring Log'!K376)</f>
        <v/>
      </c>
      <c r="BF372">
        <f>IFERROR(MATCH(BA372,Setup!$L$6:$L$9,0),5)</f>
        <v/>
      </c>
      <c r="BG372">
        <f>IF(OR(AZ372="Done",AZ372="Cancelled"),1,0)</f>
        <v/>
      </c>
      <c r="BH372">
        <f>IF(AND(AU372&lt;&gt;"",ISNUMBER(AW372)),1,0)</f>
        <v/>
      </c>
      <c r="BI372">
        <f>IF(BH372=0,0,IF(AND(AW372&gt;='Tasks Filter'!$F$3,AW372&lt;='Tasks Filter'!$F$4,OR('Tasks Filter'!$I$3="",ISNUMBER(SEARCH('Tasks Filter'!$I$3,AU372))),OR('Tasks Filter'!$I$4="",BF372=IFERROR(MATCH('Tasks Filter'!$I$4,Setup!$L$6:$L$9,0),0)),OR('Tasks Filter'!$I$5="Both",AND('Tasks Filter'!$I$5="Yes",BB372="✓"),AND('Tasks Filter'!$I$5="No",BB372&lt;&gt;"✓")),OR('Tasks Filter'!$L$3="",AV372='Tasks Filter'!$L$3),OR('Tasks Filter'!$L$4="",AZ372='Tasks Filter'!$L$4),OR('Tasks Filter'!$L$5="",BC372='Tasks Filter'!$L$5),OR('Tasks Filter'!$O$3="",BD372='Tasks Filter'!$O$3),OR('Tasks Filter'!$O$4="Yes",BG372=0)),1,0))</f>
        <v/>
      </c>
      <c r="BJ372">
        <f>IF(BH372=0,"",IF('Tasks Filter'!$F$6="Descending",-1,1)*CHOOSE(MATCH('Tasks Filter'!$F$5,Lists!$G$2:$G$6,0),AW372,BF372,IFERROR(MATCH(AV372,Setup!$F$6:$F$15,0),99),IFERROR(MATCH(BC372,Setup!$H$6:$H$15,0),99),IFERROR(MATCH(AZ372,Setup!$J$6:$J$11,0),99))*1E+9+(AW372-40000)*10000+371)</f>
        <v/>
      </c>
      <c r="BK372">
        <f>IF(BI372=1,BJ372,"")</f>
        <v/>
      </c>
      <c r="BL372">
        <f>IF(AND(BH372=1,BG372=0,N(AW372)&lt;Setup!$D$7),(AW372-40000)*10000+371,"")</f>
        <v/>
      </c>
      <c r="BM372">
        <f>IF(AND(BH372=1,AZ372&lt;&gt;"Cancelled",N(AW372)&gt;=Dashboard!$AB$3,N(AW372)&lt;=Dashboard!$AB$3+6),(AW372-40000)*100000+BF372*10000+371,"")</f>
        <v/>
      </c>
      <c r="BN372">
        <f>IF(AND(BH372=1,AZ372&lt;&gt;"Cancelled"),BF372*10000+371,"")</f>
        <v/>
      </c>
    </row>
    <row r="373">
      <c r="AS373" t="inlineStr">
        <is>
          <t>R</t>
        </is>
      </c>
      <c r="AT373" t="n">
        <v>377</v>
      </c>
      <c r="AU373">
        <f>'Recurring Log'!C377&amp;""</f>
        <v/>
      </c>
      <c r="AV373">
        <f>'Recurring Log'!D377&amp;""</f>
        <v/>
      </c>
      <c r="AW373">
        <f>IF('Recurring Log'!E377="","",'Recurring Log'!E377)</f>
        <v/>
      </c>
      <c r="AX373">
        <f>IF('Recurring Log'!G377="","",'Recurring Log'!G377)</f>
        <v/>
      </c>
      <c r="AY373">
        <f>IF('Recurring Log'!H377="","",'Recurring Log'!H377)</f>
        <v/>
      </c>
      <c r="AZ373">
        <f>IF(AU373="","",IF('Recurring Log'!J377="","Not Started",'Recurring Log'!J377))</f>
        <v/>
      </c>
      <c r="BA373">
        <f>'Recurring Log'!L377&amp;""</f>
        <v/>
      </c>
      <c r="BB373">
        <f>'Recurring Log'!M377&amp;""</f>
        <v/>
      </c>
      <c r="BC373">
        <f>'Recurring Log'!N377&amp;""</f>
        <v/>
      </c>
      <c r="BD373">
        <f>'Recurring Log'!O377&amp;""</f>
        <v/>
      </c>
      <c r="BE373">
        <f>IF('Recurring Log'!K377="","",'Recurring Log'!K377)</f>
        <v/>
      </c>
      <c r="BF373">
        <f>IFERROR(MATCH(BA373,Setup!$L$6:$L$9,0),5)</f>
        <v/>
      </c>
      <c r="BG373">
        <f>IF(OR(AZ373="Done",AZ373="Cancelled"),1,0)</f>
        <v/>
      </c>
      <c r="BH373">
        <f>IF(AND(AU373&lt;&gt;"",ISNUMBER(AW373)),1,0)</f>
        <v/>
      </c>
      <c r="BI373">
        <f>IF(BH373=0,0,IF(AND(AW373&gt;='Tasks Filter'!$F$3,AW373&lt;='Tasks Filter'!$F$4,OR('Tasks Filter'!$I$3="",ISNUMBER(SEARCH('Tasks Filter'!$I$3,AU373))),OR('Tasks Filter'!$I$4="",BF373=IFERROR(MATCH('Tasks Filter'!$I$4,Setup!$L$6:$L$9,0),0)),OR('Tasks Filter'!$I$5="Both",AND('Tasks Filter'!$I$5="Yes",BB373="✓"),AND('Tasks Filter'!$I$5="No",BB373&lt;&gt;"✓")),OR('Tasks Filter'!$L$3="",AV373='Tasks Filter'!$L$3),OR('Tasks Filter'!$L$4="",AZ373='Tasks Filter'!$L$4),OR('Tasks Filter'!$L$5="",BC373='Tasks Filter'!$L$5),OR('Tasks Filter'!$O$3="",BD373='Tasks Filter'!$O$3),OR('Tasks Filter'!$O$4="Yes",BG373=0)),1,0))</f>
        <v/>
      </c>
      <c r="BJ373">
        <f>IF(BH373=0,"",IF('Tasks Filter'!$F$6="Descending",-1,1)*CHOOSE(MATCH('Tasks Filter'!$F$5,Lists!$G$2:$G$6,0),AW373,BF373,IFERROR(MATCH(AV373,Setup!$F$6:$F$15,0),99),IFERROR(MATCH(BC373,Setup!$H$6:$H$15,0),99),IFERROR(MATCH(AZ373,Setup!$J$6:$J$11,0),99))*1E+9+(AW373-40000)*10000+372)</f>
        <v/>
      </c>
      <c r="BK373">
        <f>IF(BI373=1,BJ373,"")</f>
        <v/>
      </c>
      <c r="BL373">
        <f>IF(AND(BH373=1,BG373=0,N(AW373)&lt;Setup!$D$7),(AW373-40000)*10000+372,"")</f>
        <v/>
      </c>
      <c r="BM373">
        <f>IF(AND(BH373=1,AZ373&lt;&gt;"Cancelled",N(AW373)&gt;=Dashboard!$AB$3,N(AW373)&lt;=Dashboard!$AB$3+6),(AW373-40000)*100000+BF373*10000+372,"")</f>
        <v/>
      </c>
      <c r="BN373">
        <f>IF(AND(BH373=1,AZ373&lt;&gt;"Cancelled"),BF373*10000+372,"")</f>
        <v/>
      </c>
    </row>
    <row r="374">
      <c r="AS374" t="inlineStr">
        <is>
          <t>R</t>
        </is>
      </c>
      <c r="AT374" t="n">
        <v>378</v>
      </c>
      <c r="AU374">
        <f>'Recurring Log'!C378&amp;""</f>
        <v/>
      </c>
      <c r="AV374">
        <f>'Recurring Log'!D378&amp;""</f>
        <v/>
      </c>
      <c r="AW374">
        <f>IF('Recurring Log'!E378="","",'Recurring Log'!E378)</f>
        <v/>
      </c>
      <c r="AX374">
        <f>IF('Recurring Log'!G378="","",'Recurring Log'!G378)</f>
        <v/>
      </c>
      <c r="AY374">
        <f>IF('Recurring Log'!H378="","",'Recurring Log'!H378)</f>
        <v/>
      </c>
      <c r="AZ374">
        <f>IF(AU374="","",IF('Recurring Log'!J378="","Not Started",'Recurring Log'!J378))</f>
        <v/>
      </c>
      <c r="BA374">
        <f>'Recurring Log'!L378&amp;""</f>
        <v/>
      </c>
      <c r="BB374">
        <f>'Recurring Log'!M378&amp;""</f>
        <v/>
      </c>
      <c r="BC374">
        <f>'Recurring Log'!N378&amp;""</f>
        <v/>
      </c>
      <c r="BD374">
        <f>'Recurring Log'!O378&amp;""</f>
        <v/>
      </c>
      <c r="BE374">
        <f>IF('Recurring Log'!K378="","",'Recurring Log'!K378)</f>
        <v/>
      </c>
      <c r="BF374">
        <f>IFERROR(MATCH(BA374,Setup!$L$6:$L$9,0),5)</f>
        <v/>
      </c>
      <c r="BG374">
        <f>IF(OR(AZ374="Done",AZ374="Cancelled"),1,0)</f>
        <v/>
      </c>
      <c r="BH374">
        <f>IF(AND(AU374&lt;&gt;"",ISNUMBER(AW374)),1,0)</f>
        <v/>
      </c>
      <c r="BI374">
        <f>IF(BH374=0,0,IF(AND(AW374&gt;='Tasks Filter'!$F$3,AW374&lt;='Tasks Filter'!$F$4,OR('Tasks Filter'!$I$3="",ISNUMBER(SEARCH('Tasks Filter'!$I$3,AU374))),OR('Tasks Filter'!$I$4="",BF374=IFERROR(MATCH('Tasks Filter'!$I$4,Setup!$L$6:$L$9,0),0)),OR('Tasks Filter'!$I$5="Both",AND('Tasks Filter'!$I$5="Yes",BB374="✓"),AND('Tasks Filter'!$I$5="No",BB374&lt;&gt;"✓")),OR('Tasks Filter'!$L$3="",AV374='Tasks Filter'!$L$3),OR('Tasks Filter'!$L$4="",AZ374='Tasks Filter'!$L$4),OR('Tasks Filter'!$L$5="",BC374='Tasks Filter'!$L$5),OR('Tasks Filter'!$O$3="",BD374='Tasks Filter'!$O$3),OR('Tasks Filter'!$O$4="Yes",BG374=0)),1,0))</f>
        <v/>
      </c>
      <c r="BJ374">
        <f>IF(BH374=0,"",IF('Tasks Filter'!$F$6="Descending",-1,1)*CHOOSE(MATCH('Tasks Filter'!$F$5,Lists!$G$2:$G$6,0),AW374,BF374,IFERROR(MATCH(AV374,Setup!$F$6:$F$15,0),99),IFERROR(MATCH(BC374,Setup!$H$6:$H$15,0),99),IFERROR(MATCH(AZ374,Setup!$J$6:$J$11,0),99))*1E+9+(AW374-40000)*10000+373)</f>
        <v/>
      </c>
      <c r="BK374">
        <f>IF(BI374=1,BJ374,"")</f>
        <v/>
      </c>
      <c r="BL374">
        <f>IF(AND(BH374=1,BG374=0,N(AW374)&lt;Setup!$D$7),(AW374-40000)*10000+373,"")</f>
        <v/>
      </c>
      <c r="BM374">
        <f>IF(AND(BH374=1,AZ374&lt;&gt;"Cancelled",N(AW374)&gt;=Dashboard!$AB$3,N(AW374)&lt;=Dashboard!$AB$3+6),(AW374-40000)*100000+BF374*10000+373,"")</f>
        <v/>
      </c>
      <c r="BN374">
        <f>IF(AND(BH374=1,AZ374&lt;&gt;"Cancelled"),BF374*10000+373,"")</f>
        <v/>
      </c>
    </row>
    <row r="375">
      <c r="AS375" t="inlineStr">
        <is>
          <t>R</t>
        </is>
      </c>
      <c r="AT375" t="n">
        <v>379</v>
      </c>
      <c r="AU375">
        <f>'Recurring Log'!C379&amp;""</f>
        <v/>
      </c>
      <c r="AV375">
        <f>'Recurring Log'!D379&amp;""</f>
        <v/>
      </c>
      <c r="AW375">
        <f>IF('Recurring Log'!E379="","",'Recurring Log'!E379)</f>
        <v/>
      </c>
      <c r="AX375">
        <f>IF('Recurring Log'!G379="","",'Recurring Log'!G379)</f>
        <v/>
      </c>
      <c r="AY375">
        <f>IF('Recurring Log'!H379="","",'Recurring Log'!H379)</f>
        <v/>
      </c>
      <c r="AZ375">
        <f>IF(AU375="","",IF('Recurring Log'!J379="","Not Started",'Recurring Log'!J379))</f>
        <v/>
      </c>
      <c r="BA375">
        <f>'Recurring Log'!L379&amp;""</f>
        <v/>
      </c>
      <c r="BB375">
        <f>'Recurring Log'!M379&amp;""</f>
        <v/>
      </c>
      <c r="BC375">
        <f>'Recurring Log'!N379&amp;""</f>
        <v/>
      </c>
      <c r="BD375">
        <f>'Recurring Log'!O379&amp;""</f>
        <v/>
      </c>
      <c r="BE375">
        <f>IF('Recurring Log'!K379="","",'Recurring Log'!K379)</f>
        <v/>
      </c>
      <c r="BF375">
        <f>IFERROR(MATCH(BA375,Setup!$L$6:$L$9,0),5)</f>
        <v/>
      </c>
      <c r="BG375">
        <f>IF(OR(AZ375="Done",AZ375="Cancelled"),1,0)</f>
        <v/>
      </c>
      <c r="BH375">
        <f>IF(AND(AU375&lt;&gt;"",ISNUMBER(AW375)),1,0)</f>
        <v/>
      </c>
      <c r="BI375">
        <f>IF(BH375=0,0,IF(AND(AW375&gt;='Tasks Filter'!$F$3,AW375&lt;='Tasks Filter'!$F$4,OR('Tasks Filter'!$I$3="",ISNUMBER(SEARCH('Tasks Filter'!$I$3,AU375))),OR('Tasks Filter'!$I$4="",BF375=IFERROR(MATCH('Tasks Filter'!$I$4,Setup!$L$6:$L$9,0),0)),OR('Tasks Filter'!$I$5="Both",AND('Tasks Filter'!$I$5="Yes",BB375="✓"),AND('Tasks Filter'!$I$5="No",BB375&lt;&gt;"✓")),OR('Tasks Filter'!$L$3="",AV375='Tasks Filter'!$L$3),OR('Tasks Filter'!$L$4="",AZ375='Tasks Filter'!$L$4),OR('Tasks Filter'!$L$5="",BC375='Tasks Filter'!$L$5),OR('Tasks Filter'!$O$3="",BD375='Tasks Filter'!$O$3),OR('Tasks Filter'!$O$4="Yes",BG375=0)),1,0))</f>
        <v/>
      </c>
      <c r="BJ375">
        <f>IF(BH375=0,"",IF('Tasks Filter'!$F$6="Descending",-1,1)*CHOOSE(MATCH('Tasks Filter'!$F$5,Lists!$G$2:$G$6,0),AW375,BF375,IFERROR(MATCH(AV375,Setup!$F$6:$F$15,0),99),IFERROR(MATCH(BC375,Setup!$H$6:$H$15,0),99),IFERROR(MATCH(AZ375,Setup!$J$6:$J$11,0),99))*1E+9+(AW375-40000)*10000+374)</f>
        <v/>
      </c>
      <c r="BK375">
        <f>IF(BI375=1,BJ375,"")</f>
        <v/>
      </c>
      <c r="BL375">
        <f>IF(AND(BH375=1,BG375=0,N(AW375)&lt;Setup!$D$7),(AW375-40000)*10000+374,"")</f>
        <v/>
      </c>
      <c r="BM375">
        <f>IF(AND(BH375=1,AZ375&lt;&gt;"Cancelled",N(AW375)&gt;=Dashboard!$AB$3,N(AW375)&lt;=Dashboard!$AB$3+6),(AW375-40000)*100000+BF375*10000+374,"")</f>
        <v/>
      </c>
      <c r="BN375">
        <f>IF(AND(BH375=1,AZ375&lt;&gt;"Cancelled"),BF375*10000+374,"")</f>
        <v/>
      </c>
    </row>
    <row r="376">
      <c r="AS376" t="inlineStr">
        <is>
          <t>R</t>
        </is>
      </c>
      <c r="AT376" t="n">
        <v>380</v>
      </c>
      <c r="AU376">
        <f>'Recurring Log'!C380&amp;""</f>
        <v/>
      </c>
      <c r="AV376">
        <f>'Recurring Log'!D380&amp;""</f>
        <v/>
      </c>
      <c r="AW376">
        <f>IF('Recurring Log'!E380="","",'Recurring Log'!E380)</f>
        <v/>
      </c>
      <c r="AX376">
        <f>IF('Recurring Log'!G380="","",'Recurring Log'!G380)</f>
        <v/>
      </c>
      <c r="AY376">
        <f>IF('Recurring Log'!H380="","",'Recurring Log'!H380)</f>
        <v/>
      </c>
      <c r="AZ376">
        <f>IF(AU376="","",IF('Recurring Log'!J380="","Not Started",'Recurring Log'!J380))</f>
        <v/>
      </c>
      <c r="BA376">
        <f>'Recurring Log'!L380&amp;""</f>
        <v/>
      </c>
      <c r="BB376">
        <f>'Recurring Log'!M380&amp;""</f>
        <v/>
      </c>
      <c r="BC376">
        <f>'Recurring Log'!N380&amp;""</f>
        <v/>
      </c>
      <c r="BD376">
        <f>'Recurring Log'!O380&amp;""</f>
        <v/>
      </c>
      <c r="BE376">
        <f>IF('Recurring Log'!K380="","",'Recurring Log'!K380)</f>
        <v/>
      </c>
      <c r="BF376">
        <f>IFERROR(MATCH(BA376,Setup!$L$6:$L$9,0),5)</f>
        <v/>
      </c>
      <c r="BG376">
        <f>IF(OR(AZ376="Done",AZ376="Cancelled"),1,0)</f>
        <v/>
      </c>
      <c r="BH376">
        <f>IF(AND(AU376&lt;&gt;"",ISNUMBER(AW376)),1,0)</f>
        <v/>
      </c>
      <c r="BI376">
        <f>IF(BH376=0,0,IF(AND(AW376&gt;='Tasks Filter'!$F$3,AW376&lt;='Tasks Filter'!$F$4,OR('Tasks Filter'!$I$3="",ISNUMBER(SEARCH('Tasks Filter'!$I$3,AU376))),OR('Tasks Filter'!$I$4="",BF376=IFERROR(MATCH('Tasks Filter'!$I$4,Setup!$L$6:$L$9,0),0)),OR('Tasks Filter'!$I$5="Both",AND('Tasks Filter'!$I$5="Yes",BB376="✓"),AND('Tasks Filter'!$I$5="No",BB376&lt;&gt;"✓")),OR('Tasks Filter'!$L$3="",AV376='Tasks Filter'!$L$3),OR('Tasks Filter'!$L$4="",AZ376='Tasks Filter'!$L$4),OR('Tasks Filter'!$L$5="",BC376='Tasks Filter'!$L$5),OR('Tasks Filter'!$O$3="",BD376='Tasks Filter'!$O$3),OR('Tasks Filter'!$O$4="Yes",BG376=0)),1,0))</f>
        <v/>
      </c>
      <c r="BJ376">
        <f>IF(BH376=0,"",IF('Tasks Filter'!$F$6="Descending",-1,1)*CHOOSE(MATCH('Tasks Filter'!$F$5,Lists!$G$2:$G$6,0),AW376,BF376,IFERROR(MATCH(AV376,Setup!$F$6:$F$15,0),99),IFERROR(MATCH(BC376,Setup!$H$6:$H$15,0),99),IFERROR(MATCH(AZ376,Setup!$J$6:$J$11,0),99))*1E+9+(AW376-40000)*10000+375)</f>
        <v/>
      </c>
      <c r="BK376">
        <f>IF(BI376=1,BJ376,"")</f>
        <v/>
      </c>
      <c r="BL376">
        <f>IF(AND(BH376=1,BG376=0,N(AW376)&lt;Setup!$D$7),(AW376-40000)*10000+375,"")</f>
        <v/>
      </c>
      <c r="BM376">
        <f>IF(AND(BH376=1,AZ376&lt;&gt;"Cancelled",N(AW376)&gt;=Dashboard!$AB$3,N(AW376)&lt;=Dashboard!$AB$3+6),(AW376-40000)*100000+BF376*10000+375,"")</f>
        <v/>
      </c>
      <c r="BN376">
        <f>IF(AND(BH376=1,AZ376&lt;&gt;"Cancelled"),BF376*10000+375,"")</f>
        <v/>
      </c>
    </row>
    <row r="377">
      <c r="AS377" t="inlineStr">
        <is>
          <t>R</t>
        </is>
      </c>
      <c r="AT377" t="n">
        <v>381</v>
      </c>
      <c r="AU377">
        <f>'Recurring Log'!C381&amp;""</f>
        <v/>
      </c>
      <c r="AV377">
        <f>'Recurring Log'!D381&amp;""</f>
        <v/>
      </c>
      <c r="AW377">
        <f>IF('Recurring Log'!E381="","",'Recurring Log'!E381)</f>
        <v/>
      </c>
      <c r="AX377">
        <f>IF('Recurring Log'!G381="","",'Recurring Log'!G381)</f>
        <v/>
      </c>
      <c r="AY377">
        <f>IF('Recurring Log'!H381="","",'Recurring Log'!H381)</f>
        <v/>
      </c>
      <c r="AZ377">
        <f>IF(AU377="","",IF('Recurring Log'!J381="","Not Started",'Recurring Log'!J381))</f>
        <v/>
      </c>
      <c r="BA377">
        <f>'Recurring Log'!L381&amp;""</f>
        <v/>
      </c>
      <c r="BB377">
        <f>'Recurring Log'!M381&amp;""</f>
        <v/>
      </c>
      <c r="BC377">
        <f>'Recurring Log'!N381&amp;""</f>
        <v/>
      </c>
      <c r="BD377">
        <f>'Recurring Log'!O381&amp;""</f>
        <v/>
      </c>
      <c r="BE377">
        <f>IF('Recurring Log'!K381="","",'Recurring Log'!K381)</f>
        <v/>
      </c>
      <c r="BF377">
        <f>IFERROR(MATCH(BA377,Setup!$L$6:$L$9,0),5)</f>
        <v/>
      </c>
      <c r="BG377">
        <f>IF(OR(AZ377="Done",AZ377="Cancelled"),1,0)</f>
        <v/>
      </c>
      <c r="BH377">
        <f>IF(AND(AU377&lt;&gt;"",ISNUMBER(AW377)),1,0)</f>
        <v/>
      </c>
      <c r="BI377">
        <f>IF(BH377=0,0,IF(AND(AW377&gt;='Tasks Filter'!$F$3,AW377&lt;='Tasks Filter'!$F$4,OR('Tasks Filter'!$I$3="",ISNUMBER(SEARCH('Tasks Filter'!$I$3,AU377))),OR('Tasks Filter'!$I$4="",BF377=IFERROR(MATCH('Tasks Filter'!$I$4,Setup!$L$6:$L$9,0),0)),OR('Tasks Filter'!$I$5="Both",AND('Tasks Filter'!$I$5="Yes",BB377="✓"),AND('Tasks Filter'!$I$5="No",BB377&lt;&gt;"✓")),OR('Tasks Filter'!$L$3="",AV377='Tasks Filter'!$L$3),OR('Tasks Filter'!$L$4="",AZ377='Tasks Filter'!$L$4),OR('Tasks Filter'!$L$5="",BC377='Tasks Filter'!$L$5),OR('Tasks Filter'!$O$3="",BD377='Tasks Filter'!$O$3),OR('Tasks Filter'!$O$4="Yes",BG377=0)),1,0))</f>
        <v/>
      </c>
      <c r="BJ377">
        <f>IF(BH377=0,"",IF('Tasks Filter'!$F$6="Descending",-1,1)*CHOOSE(MATCH('Tasks Filter'!$F$5,Lists!$G$2:$G$6,0),AW377,BF377,IFERROR(MATCH(AV377,Setup!$F$6:$F$15,0),99),IFERROR(MATCH(BC377,Setup!$H$6:$H$15,0),99),IFERROR(MATCH(AZ377,Setup!$J$6:$J$11,0),99))*1E+9+(AW377-40000)*10000+376)</f>
        <v/>
      </c>
      <c r="BK377">
        <f>IF(BI377=1,BJ377,"")</f>
        <v/>
      </c>
      <c r="BL377">
        <f>IF(AND(BH377=1,BG377=0,N(AW377)&lt;Setup!$D$7),(AW377-40000)*10000+376,"")</f>
        <v/>
      </c>
      <c r="BM377">
        <f>IF(AND(BH377=1,AZ377&lt;&gt;"Cancelled",N(AW377)&gt;=Dashboard!$AB$3,N(AW377)&lt;=Dashboard!$AB$3+6),(AW377-40000)*100000+BF377*10000+376,"")</f>
        <v/>
      </c>
      <c r="BN377">
        <f>IF(AND(BH377=1,AZ377&lt;&gt;"Cancelled"),BF377*10000+376,"")</f>
        <v/>
      </c>
    </row>
    <row r="378">
      <c r="AS378" t="inlineStr">
        <is>
          <t>R</t>
        </is>
      </c>
      <c r="AT378" t="n">
        <v>382</v>
      </c>
      <c r="AU378">
        <f>'Recurring Log'!C382&amp;""</f>
        <v/>
      </c>
      <c r="AV378">
        <f>'Recurring Log'!D382&amp;""</f>
        <v/>
      </c>
      <c r="AW378">
        <f>IF('Recurring Log'!E382="","",'Recurring Log'!E382)</f>
        <v/>
      </c>
      <c r="AX378">
        <f>IF('Recurring Log'!G382="","",'Recurring Log'!G382)</f>
        <v/>
      </c>
      <c r="AY378">
        <f>IF('Recurring Log'!H382="","",'Recurring Log'!H382)</f>
        <v/>
      </c>
      <c r="AZ378">
        <f>IF(AU378="","",IF('Recurring Log'!J382="","Not Started",'Recurring Log'!J382))</f>
        <v/>
      </c>
      <c r="BA378">
        <f>'Recurring Log'!L382&amp;""</f>
        <v/>
      </c>
      <c r="BB378">
        <f>'Recurring Log'!M382&amp;""</f>
        <v/>
      </c>
      <c r="BC378">
        <f>'Recurring Log'!N382&amp;""</f>
        <v/>
      </c>
      <c r="BD378">
        <f>'Recurring Log'!O382&amp;""</f>
        <v/>
      </c>
      <c r="BE378">
        <f>IF('Recurring Log'!K382="","",'Recurring Log'!K382)</f>
        <v/>
      </c>
      <c r="BF378">
        <f>IFERROR(MATCH(BA378,Setup!$L$6:$L$9,0),5)</f>
        <v/>
      </c>
      <c r="BG378">
        <f>IF(OR(AZ378="Done",AZ378="Cancelled"),1,0)</f>
        <v/>
      </c>
      <c r="BH378">
        <f>IF(AND(AU378&lt;&gt;"",ISNUMBER(AW378)),1,0)</f>
        <v/>
      </c>
      <c r="BI378">
        <f>IF(BH378=0,0,IF(AND(AW378&gt;='Tasks Filter'!$F$3,AW378&lt;='Tasks Filter'!$F$4,OR('Tasks Filter'!$I$3="",ISNUMBER(SEARCH('Tasks Filter'!$I$3,AU378))),OR('Tasks Filter'!$I$4="",BF378=IFERROR(MATCH('Tasks Filter'!$I$4,Setup!$L$6:$L$9,0),0)),OR('Tasks Filter'!$I$5="Both",AND('Tasks Filter'!$I$5="Yes",BB378="✓"),AND('Tasks Filter'!$I$5="No",BB378&lt;&gt;"✓")),OR('Tasks Filter'!$L$3="",AV378='Tasks Filter'!$L$3),OR('Tasks Filter'!$L$4="",AZ378='Tasks Filter'!$L$4),OR('Tasks Filter'!$L$5="",BC378='Tasks Filter'!$L$5),OR('Tasks Filter'!$O$3="",BD378='Tasks Filter'!$O$3),OR('Tasks Filter'!$O$4="Yes",BG378=0)),1,0))</f>
        <v/>
      </c>
      <c r="BJ378">
        <f>IF(BH378=0,"",IF('Tasks Filter'!$F$6="Descending",-1,1)*CHOOSE(MATCH('Tasks Filter'!$F$5,Lists!$G$2:$G$6,0),AW378,BF378,IFERROR(MATCH(AV378,Setup!$F$6:$F$15,0),99),IFERROR(MATCH(BC378,Setup!$H$6:$H$15,0),99),IFERROR(MATCH(AZ378,Setup!$J$6:$J$11,0),99))*1E+9+(AW378-40000)*10000+377)</f>
        <v/>
      </c>
      <c r="BK378">
        <f>IF(BI378=1,BJ378,"")</f>
        <v/>
      </c>
      <c r="BL378">
        <f>IF(AND(BH378=1,BG378=0,N(AW378)&lt;Setup!$D$7),(AW378-40000)*10000+377,"")</f>
        <v/>
      </c>
      <c r="BM378">
        <f>IF(AND(BH378=1,AZ378&lt;&gt;"Cancelled",N(AW378)&gt;=Dashboard!$AB$3,N(AW378)&lt;=Dashboard!$AB$3+6),(AW378-40000)*100000+BF378*10000+377,"")</f>
        <v/>
      </c>
      <c r="BN378">
        <f>IF(AND(BH378=1,AZ378&lt;&gt;"Cancelled"),BF378*10000+377,"")</f>
        <v/>
      </c>
    </row>
    <row r="379">
      <c r="AS379" t="inlineStr">
        <is>
          <t>R</t>
        </is>
      </c>
      <c r="AT379" t="n">
        <v>383</v>
      </c>
      <c r="AU379">
        <f>'Recurring Log'!C383&amp;""</f>
        <v/>
      </c>
      <c r="AV379">
        <f>'Recurring Log'!D383&amp;""</f>
        <v/>
      </c>
      <c r="AW379">
        <f>IF('Recurring Log'!E383="","",'Recurring Log'!E383)</f>
        <v/>
      </c>
      <c r="AX379">
        <f>IF('Recurring Log'!G383="","",'Recurring Log'!G383)</f>
        <v/>
      </c>
      <c r="AY379">
        <f>IF('Recurring Log'!H383="","",'Recurring Log'!H383)</f>
        <v/>
      </c>
      <c r="AZ379">
        <f>IF(AU379="","",IF('Recurring Log'!J383="","Not Started",'Recurring Log'!J383))</f>
        <v/>
      </c>
      <c r="BA379">
        <f>'Recurring Log'!L383&amp;""</f>
        <v/>
      </c>
      <c r="BB379">
        <f>'Recurring Log'!M383&amp;""</f>
        <v/>
      </c>
      <c r="BC379">
        <f>'Recurring Log'!N383&amp;""</f>
        <v/>
      </c>
      <c r="BD379">
        <f>'Recurring Log'!O383&amp;""</f>
        <v/>
      </c>
      <c r="BE379">
        <f>IF('Recurring Log'!K383="","",'Recurring Log'!K383)</f>
        <v/>
      </c>
      <c r="BF379">
        <f>IFERROR(MATCH(BA379,Setup!$L$6:$L$9,0),5)</f>
        <v/>
      </c>
      <c r="BG379">
        <f>IF(OR(AZ379="Done",AZ379="Cancelled"),1,0)</f>
        <v/>
      </c>
      <c r="BH379">
        <f>IF(AND(AU379&lt;&gt;"",ISNUMBER(AW379)),1,0)</f>
        <v/>
      </c>
      <c r="BI379">
        <f>IF(BH379=0,0,IF(AND(AW379&gt;='Tasks Filter'!$F$3,AW379&lt;='Tasks Filter'!$F$4,OR('Tasks Filter'!$I$3="",ISNUMBER(SEARCH('Tasks Filter'!$I$3,AU379))),OR('Tasks Filter'!$I$4="",BF379=IFERROR(MATCH('Tasks Filter'!$I$4,Setup!$L$6:$L$9,0),0)),OR('Tasks Filter'!$I$5="Both",AND('Tasks Filter'!$I$5="Yes",BB379="✓"),AND('Tasks Filter'!$I$5="No",BB379&lt;&gt;"✓")),OR('Tasks Filter'!$L$3="",AV379='Tasks Filter'!$L$3),OR('Tasks Filter'!$L$4="",AZ379='Tasks Filter'!$L$4),OR('Tasks Filter'!$L$5="",BC379='Tasks Filter'!$L$5),OR('Tasks Filter'!$O$3="",BD379='Tasks Filter'!$O$3),OR('Tasks Filter'!$O$4="Yes",BG379=0)),1,0))</f>
        <v/>
      </c>
      <c r="BJ379">
        <f>IF(BH379=0,"",IF('Tasks Filter'!$F$6="Descending",-1,1)*CHOOSE(MATCH('Tasks Filter'!$F$5,Lists!$G$2:$G$6,0),AW379,BF379,IFERROR(MATCH(AV379,Setup!$F$6:$F$15,0),99),IFERROR(MATCH(BC379,Setup!$H$6:$H$15,0),99),IFERROR(MATCH(AZ379,Setup!$J$6:$J$11,0),99))*1E+9+(AW379-40000)*10000+378)</f>
        <v/>
      </c>
      <c r="BK379">
        <f>IF(BI379=1,BJ379,"")</f>
        <v/>
      </c>
      <c r="BL379">
        <f>IF(AND(BH379=1,BG379=0,N(AW379)&lt;Setup!$D$7),(AW379-40000)*10000+378,"")</f>
        <v/>
      </c>
      <c r="BM379">
        <f>IF(AND(BH379=1,AZ379&lt;&gt;"Cancelled",N(AW379)&gt;=Dashboard!$AB$3,N(AW379)&lt;=Dashboard!$AB$3+6),(AW379-40000)*100000+BF379*10000+378,"")</f>
        <v/>
      </c>
      <c r="BN379">
        <f>IF(AND(BH379=1,AZ379&lt;&gt;"Cancelled"),BF379*10000+378,"")</f>
        <v/>
      </c>
    </row>
    <row r="380">
      <c r="AS380" t="inlineStr">
        <is>
          <t>R</t>
        </is>
      </c>
      <c r="AT380" t="n">
        <v>384</v>
      </c>
      <c r="AU380">
        <f>'Recurring Log'!C384&amp;""</f>
        <v/>
      </c>
      <c r="AV380">
        <f>'Recurring Log'!D384&amp;""</f>
        <v/>
      </c>
      <c r="AW380">
        <f>IF('Recurring Log'!E384="","",'Recurring Log'!E384)</f>
        <v/>
      </c>
      <c r="AX380">
        <f>IF('Recurring Log'!G384="","",'Recurring Log'!G384)</f>
        <v/>
      </c>
      <c r="AY380">
        <f>IF('Recurring Log'!H384="","",'Recurring Log'!H384)</f>
        <v/>
      </c>
      <c r="AZ380">
        <f>IF(AU380="","",IF('Recurring Log'!J384="","Not Started",'Recurring Log'!J384))</f>
        <v/>
      </c>
      <c r="BA380">
        <f>'Recurring Log'!L384&amp;""</f>
        <v/>
      </c>
      <c r="BB380">
        <f>'Recurring Log'!M384&amp;""</f>
        <v/>
      </c>
      <c r="BC380">
        <f>'Recurring Log'!N384&amp;""</f>
        <v/>
      </c>
      <c r="BD380">
        <f>'Recurring Log'!O384&amp;""</f>
        <v/>
      </c>
      <c r="BE380">
        <f>IF('Recurring Log'!K384="","",'Recurring Log'!K384)</f>
        <v/>
      </c>
      <c r="BF380">
        <f>IFERROR(MATCH(BA380,Setup!$L$6:$L$9,0),5)</f>
        <v/>
      </c>
      <c r="BG380">
        <f>IF(OR(AZ380="Done",AZ380="Cancelled"),1,0)</f>
        <v/>
      </c>
      <c r="BH380">
        <f>IF(AND(AU380&lt;&gt;"",ISNUMBER(AW380)),1,0)</f>
        <v/>
      </c>
      <c r="BI380">
        <f>IF(BH380=0,0,IF(AND(AW380&gt;='Tasks Filter'!$F$3,AW380&lt;='Tasks Filter'!$F$4,OR('Tasks Filter'!$I$3="",ISNUMBER(SEARCH('Tasks Filter'!$I$3,AU380))),OR('Tasks Filter'!$I$4="",BF380=IFERROR(MATCH('Tasks Filter'!$I$4,Setup!$L$6:$L$9,0),0)),OR('Tasks Filter'!$I$5="Both",AND('Tasks Filter'!$I$5="Yes",BB380="✓"),AND('Tasks Filter'!$I$5="No",BB380&lt;&gt;"✓")),OR('Tasks Filter'!$L$3="",AV380='Tasks Filter'!$L$3),OR('Tasks Filter'!$L$4="",AZ380='Tasks Filter'!$L$4),OR('Tasks Filter'!$L$5="",BC380='Tasks Filter'!$L$5),OR('Tasks Filter'!$O$3="",BD380='Tasks Filter'!$O$3),OR('Tasks Filter'!$O$4="Yes",BG380=0)),1,0))</f>
        <v/>
      </c>
      <c r="BJ380">
        <f>IF(BH380=0,"",IF('Tasks Filter'!$F$6="Descending",-1,1)*CHOOSE(MATCH('Tasks Filter'!$F$5,Lists!$G$2:$G$6,0),AW380,BF380,IFERROR(MATCH(AV380,Setup!$F$6:$F$15,0),99),IFERROR(MATCH(BC380,Setup!$H$6:$H$15,0),99),IFERROR(MATCH(AZ380,Setup!$J$6:$J$11,0),99))*1E+9+(AW380-40000)*10000+379)</f>
        <v/>
      </c>
      <c r="BK380">
        <f>IF(BI380=1,BJ380,"")</f>
        <v/>
      </c>
      <c r="BL380">
        <f>IF(AND(BH380=1,BG380=0,N(AW380)&lt;Setup!$D$7),(AW380-40000)*10000+379,"")</f>
        <v/>
      </c>
      <c r="BM380">
        <f>IF(AND(BH380=1,AZ380&lt;&gt;"Cancelled",N(AW380)&gt;=Dashboard!$AB$3,N(AW380)&lt;=Dashboard!$AB$3+6),(AW380-40000)*100000+BF380*10000+379,"")</f>
        <v/>
      </c>
      <c r="BN380">
        <f>IF(AND(BH380=1,AZ380&lt;&gt;"Cancelled"),BF380*10000+379,"")</f>
        <v/>
      </c>
    </row>
    <row r="381">
      <c r="AS381" t="inlineStr">
        <is>
          <t>R</t>
        </is>
      </c>
      <c r="AT381" t="n">
        <v>385</v>
      </c>
      <c r="AU381">
        <f>'Recurring Log'!C385&amp;""</f>
        <v/>
      </c>
      <c r="AV381">
        <f>'Recurring Log'!D385&amp;""</f>
        <v/>
      </c>
      <c r="AW381">
        <f>IF('Recurring Log'!E385="","",'Recurring Log'!E385)</f>
        <v/>
      </c>
      <c r="AX381">
        <f>IF('Recurring Log'!G385="","",'Recurring Log'!G385)</f>
        <v/>
      </c>
      <c r="AY381">
        <f>IF('Recurring Log'!H385="","",'Recurring Log'!H385)</f>
        <v/>
      </c>
      <c r="AZ381">
        <f>IF(AU381="","",IF('Recurring Log'!J385="","Not Started",'Recurring Log'!J385))</f>
        <v/>
      </c>
      <c r="BA381">
        <f>'Recurring Log'!L385&amp;""</f>
        <v/>
      </c>
      <c r="BB381">
        <f>'Recurring Log'!M385&amp;""</f>
        <v/>
      </c>
      <c r="BC381">
        <f>'Recurring Log'!N385&amp;""</f>
        <v/>
      </c>
      <c r="BD381">
        <f>'Recurring Log'!O385&amp;""</f>
        <v/>
      </c>
      <c r="BE381">
        <f>IF('Recurring Log'!K385="","",'Recurring Log'!K385)</f>
        <v/>
      </c>
      <c r="BF381">
        <f>IFERROR(MATCH(BA381,Setup!$L$6:$L$9,0),5)</f>
        <v/>
      </c>
      <c r="BG381">
        <f>IF(OR(AZ381="Done",AZ381="Cancelled"),1,0)</f>
        <v/>
      </c>
      <c r="BH381">
        <f>IF(AND(AU381&lt;&gt;"",ISNUMBER(AW381)),1,0)</f>
        <v/>
      </c>
      <c r="BI381">
        <f>IF(BH381=0,0,IF(AND(AW381&gt;='Tasks Filter'!$F$3,AW381&lt;='Tasks Filter'!$F$4,OR('Tasks Filter'!$I$3="",ISNUMBER(SEARCH('Tasks Filter'!$I$3,AU381))),OR('Tasks Filter'!$I$4="",BF381=IFERROR(MATCH('Tasks Filter'!$I$4,Setup!$L$6:$L$9,0),0)),OR('Tasks Filter'!$I$5="Both",AND('Tasks Filter'!$I$5="Yes",BB381="✓"),AND('Tasks Filter'!$I$5="No",BB381&lt;&gt;"✓")),OR('Tasks Filter'!$L$3="",AV381='Tasks Filter'!$L$3),OR('Tasks Filter'!$L$4="",AZ381='Tasks Filter'!$L$4),OR('Tasks Filter'!$L$5="",BC381='Tasks Filter'!$L$5),OR('Tasks Filter'!$O$3="",BD381='Tasks Filter'!$O$3),OR('Tasks Filter'!$O$4="Yes",BG381=0)),1,0))</f>
        <v/>
      </c>
      <c r="BJ381">
        <f>IF(BH381=0,"",IF('Tasks Filter'!$F$6="Descending",-1,1)*CHOOSE(MATCH('Tasks Filter'!$F$5,Lists!$G$2:$G$6,0),AW381,BF381,IFERROR(MATCH(AV381,Setup!$F$6:$F$15,0),99),IFERROR(MATCH(BC381,Setup!$H$6:$H$15,0),99),IFERROR(MATCH(AZ381,Setup!$J$6:$J$11,0),99))*1E+9+(AW381-40000)*10000+380)</f>
        <v/>
      </c>
      <c r="BK381">
        <f>IF(BI381=1,BJ381,"")</f>
        <v/>
      </c>
      <c r="BL381">
        <f>IF(AND(BH381=1,BG381=0,N(AW381)&lt;Setup!$D$7),(AW381-40000)*10000+380,"")</f>
        <v/>
      </c>
      <c r="BM381">
        <f>IF(AND(BH381=1,AZ381&lt;&gt;"Cancelled",N(AW381)&gt;=Dashboard!$AB$3,N(AW381)&lt;=Dashboard!$AB$3+6),(AW381-40000)*100000+BF381*10000+380,"")</f>
        <v/>
      </c>
      <c r="BN381">
        <f>IF(AND(BH381=1,AZ381&lt;&gt;"Cancelled"),BF381*10000+380,"")</f>
        <v/>
      </c>
    </row>
    <row r="382">
      <c r="AS382" t="inlineStr">
        <is>
          <t>R</t>
        </is>
      </c>
      <c r="AT382" t="n">
        <v>386</v>
      </c>
      <c r="AU382">
        <f>'Recurring Log'!C386&amp;""</f>
        <v/>
      </c>
      <c r="AV382">
        <f>'Recurring Log'!D386&amp;""</f>
        <v/>
      </c>
      <c r="AW382">
        <f>IF('Recurring Log'!E386="","",'Recurring Log'!E386)</f>
        <v/>
      </c>
      <c r="AX382">
        <f>IF('Recurring Log'!G386="","",'Recurring Log'!G386)</f>
        <v/>
      </c>
      <c r="AY382">
        <f>IF('Recurring Log'!H386="","",'Recurring Log'!H386)</f>
        <v/>
      </c>
      <c r="AZ382">
        <f>IF(AU382="","",IF('Recurring Log'!J386="","Not Started",'Recurring Log'!J386))</f>
        <v/>
      </c>
      <c r="BA382">
        <f>'Recurring Log'!L386&amp;""</f>
        <v/>
      </c>
      <c r="BB382">
        <f>'Recurring Log'!M386&amp;""</f>
        <v/>
      </c>
      <c r="BC382">
        <f>'Recurring Log'!N386&amp;""</f>
        <v/>
      </c>
      <c r="BD382">
        <f>'Recurring Log'!O386&amp;""</f>
        <v/>
      </c>
      <c r="BE382">
        <f>IF('Recurring Log'!K386="","",'Recurring Log'!K386)</f>
        <v/>
      </c>
      <c r="BF382">
        <f>IFERROR(MATCH(BA382,Setup!$L$6:$L$9,0),5)</f>
        <v/>
      </c>
      <c r="BG382">
        <f>IF(OR(AZ382="Done",AZ382="Cancelled"),1,0)</f>
        <v/>
      </c>
      <c r="BH382">
        <f>IF(AND(AU382&lt;&gt;"",ISNUMBER(AW382)),1,0)</f>
        <v/>
      </c>
      <c r="BI382">
        <f>IF(BH382=0,0,IF(AND(AW382&gt;='Tasks Filter'!$F$3,AW382&lt;='Tasks Filter'!$F$4,OR('Tasks Filter'!$I$3="",ISNUMBER(SEARCH('Tasks Filter'!$I$3,AU382))),OR('Tasks Filter'!$I$4="",BF382=IFERROR(MATCH('Tasks Filter'!$I$4,Setup!$L$6:$L$9,0),0)),OR('Tasks Filter'!$I$5="Both",AND('Tasks Filter'!$I$5="Yes",BB382="✓"),AND('Tasks Filter'!$I$5="No",BB382&lt;&gt;"✓")),OR('Tasks Filter'!$L$3="",AV382='Tasks Filter'!$L$3),OR('Tasks Filter'!$L$4="",AZ382='Tasks Filter'!$L$4),OR('Tasks Filter'!$L$5="",BC382='Tasks Filter'!$L$5),OR('Tasks Filter'!$O$3="",BD382='Tasks Filter'!$O$3),OR('Tasks Filter'!$O$4="Yes",BG382=0)),1,0))</f>
        <v/>
      </c>
      <c r="BJ382">
        <f>IF(BH382=0,"",IF('Tasks Filter'!$F$6="Descending",-1,1)*CHOOSE(MATCH('Tasks Filter'!$F$5,Lists!$G$2:$G$6,0),AW382,BF382,IFERROR(MATCH(AV382,Setup!$F$6:$F$15,0),99),IFERROR(MATCH(BC382,Setup!$H$6:$H$15,0),99),IFERROR(MATCH(AZ382,Setup!$J$6:$J$11,0),99))*1E+9+(AW382-40000)*10000+381)</f>
        <v/>
      </c>
      <c r="BK382">
        <f>IF(BI382=1,BJ382,"")</f>
        <v/>
      </c>
      <c r="BL382">
        <f>IF(AND(BH382=1,BG382=0,N(AW382)&lt;Setup!$D$7),(AW382-40000)*10000+381,"")</f>
        <v/>
      </c>
      <c r="BM382">
        <f>IF(AND(BH382=1,AZ382&lt;&gt;"Cancelled",N(AW382)&gt;=Dashboard!$AB$3,N(AW382)&lt;=Dashboard!$AB$3+6),(AW382-40000)*100000+BF382*10000+381,"")</f>
        <v/>
      </c>
      <c r="BN382">
        <f>IF(AND(BH382=1,AZ382&lt;&gt;"Cancelled"),BF382*10000+381,"")</f>
        <v/>
      </c>
    </row>
    <row r="383">
      <c r="AS383" t="inlineStr">
        <is>
          <t>R</t>
        </is>
      </c>
      <c r="AT383" t="n">
        <v>387</v>
      </c>
      <c r="AU383">
        <f>'Recurring Log'!C387&amp;""</f>
        <v/>
      </c>
      <c r="AV383">
        <f>'Recurring Log'!D387&amp;""</f>
        <v/>
      </c>
      <c r="AW383">
        <f>IF('Recurring Log'!E387="","",'Recurring Log'!E387)</f>
        <v/>
      </c>
      <c r="AX383">
        <f>IF('Recurring Log'!G387="","",'Recurring Log'!G387)</f>
        <v/>
      </c>
      <c r="AY383">
        <f>IF('Recurring Log'!H387="","",'Recurring Log'!H387)</f>
        <v/>
      </c>
      <c r="AZ383">
        <f>IF(AU383="","",IF('Recurring Log'!J387="","Not Started",'Recurring Log'!J387))</f>
        <v/>
      </c>
      <c r="BA383">
        <f>'Recurring Log'!L387&amp;""</f>
        <v/>
      </c>
      <c r="BB383">
        <f>'Recurring Log'!M387&amp;""</f>
        <v/>
      </c>
      <c r="BC383">
        <f>'Recurring Log'!N387&amp;""</f>
        <v/>
      </c>
      <c r="BD383">
        <f>'Recurring Log'!O387&amp;""</f>
        <v/>
      </c>
      <c r="BE383">
        <f>IF('Recurring Log'!K387="","",'Recurring Log'!K387)</f>
        <v/>
      </c>
      <c r="BF383">
        <f>IFERROR(MATCH(BA383,Setup!$L$6:$L$9,0),5)</f>
        <v/>
      </c>
      <c r="BG383">
        <f>IF(OR(AZ383="Done",AZ383="Cancelled"),1,0)</f>
        <v/>
      </c>
      <c r="BH383">
        <f>IF(AND(AU383&lt;&gt;"",ISNUMBER(AW383)),1,0)</f>
        <v/>
      </c>
      <c r="BI383">
        <f>IF(BH383=0,0,IF(AND(AW383&gt;='Tasks Filter'!$F$3,AW383&lt;='Tasks Filter'!$F$4,OR('Tasks Filter'!$I$3="",ISNUMBER(SEARCH('Tasks Filter'!$I$3,AU383))),OR('Tasks Filter'!$I$4="",BF383=IFERROR(MATCH('Tasks Filter'!$I$4,Setup!$L$6:$L$9,0),0)),OR('Tasks Filter'!$I$5="Both",AND('Tasks Filter'!$I$5="Yes",BB383="✓"),AND('Tasks Filter'!$I$5="No",BB383&lt;&gt;"✓")),OR('Tasks Filter'!$L$3="",AV383='Tasks Filter'!$L$3),OR('Tasks Filter'!$L$4="",AZ383='Tasks Filter'!$L$4),OR('Tasks Filter'!$L$5="",BC383='Tasks Filter'!$L$5),OR('Tasks Filter'!$O$3="",BD383='Tasks Filter'!$O$3),OR('Tasks Filter'!$O$4="Yes",BG383=0)),1,0))</f>
        <v/>
      </c>
      <c r="BJ383">
        <f>IF(BH383=0,"",IF('Tasks Filter'!$F$6="Descending",-1,1)*CHOOSE(MATCH('Tasks Filter'!$F$5,Lists!$G$2:$G$6,0),AW383,BF383,IFERROR(MATCH(AV383,Setup!$F$6:$F$15,0),99),IFERROR(MATCH(BC383,Setup!$H$6:$H$15,0),99),IFERROR(MATCH(AZ383,Setup!$J$6:$J$11,0),99))*1E+9+(AW383-40000)*10000+382)</f>
        <v/>
      </c>
      <c r="BK383">
        <f>IF(BI383=1,BJ383,"")</f>
        <v/>
      </c>
      <c r="BL383">
        <f>IF(AND(BH383=1,BG383=0,N(AW383)&lt;Setup!$D$7),(AW383-40000)*10000+382,"")</f>
        <v/>
      </c>
      <c r="BM383">
        <f>IF(AND(BH383=1,AZ383&lt;&gt;"Cancelled",N(AW383)&gt;=Dashboard!$AB$3,N(AW383)&lt;=Dashboard!$AB$3+6),(AW383-40000)*100000+BF383*10000+382,"")</f>
        <v/>
      </c>
      <c r="BN383">
        <f>IF(AND(BH383=1,AZ383&lt;&gt;"Cancelled"),BF383*10000+382,"")</f>
        <v/>
      </c>
    </row>
    <row r="384">
      <c r="AS384" t="inlineStr">
        <is>
          <t>R</t>
        </is>
      </c>
      <c r="AT384" t="n">
        <v>388</v>
      </c>
      <c r="AU384">
        <f>'Recurring Log'!C388&amp;""</f>
        <v/>
      </c>
      <c r="AV384">
        <f>'Recurring Log'!D388&amp;""</f>
        <v/>
      </c>
      <c r="AW384">
        <f>IF('Recurring Log'!E388="","",'Recurring Log'!E388)</f>
        <v/>
      </c>
      <c r="AX384">
        <f>IF('Recurring Log'!G388="","",'Recurring Log'!G388)</f>
        <v/>
      </c>
      <c r="AY384">
        <f>IF('Recurring Log'!H388="","",'Recurring Log'!H388)</f>
        <v/>
      </c>
      <c r="AZ384">
        <f>IF(AU384="","",IF('Recurring Log'!J388="","Not Started",'Recurring Log'!J388))</f>
        <v/>
      </c>
      <c r="BA384">
        <f>'Recurring Log'!L388&amp;""</f>
        <v/>
      </c>
      <c r="BB384">
        <f>'Recurring Log'!M388&amp;""</f>
        <v/>
      </c>
      <c r="BC384">
        <f>'Recurring Log'!N388&amp;""</f>
        <v/>
      </c>
      <c r="BD384">
        <f>'Recurring Log'!O388&amp;""</f>
        <v/>
      </c>
      <c r="BE384">
        <f>IF('Recurring Log'!K388="","",'Recurring Log'!K388)</f>
        <v/>
      </c>
      <c r="BF384">
        <f>IFERROR(MATCH(BA384,Setup!$L$6:$L$9,0),5)</f>
        <v/>
      </c>
      <c r="BG384">
        <f>IF(OR(AZ384="Done",AZ384="Cancelled"),1,0)</f>
        <v/>
      </c>
      <c r="BH384">
        <f>IF(AND(AU384&lt;&gt;"",ISNUMBER(AW384)),1,0)</f>
        <v/>
      </c>
      <c r="BI384">
        <f>IF(BH384=0,0,IF(AND(AW384&gt;='Tasks Filter'!$F$3,AW384&lt;='Tasks Filter'!$F$4,OR('Tasks Filter'!$I$3="",ISNUMBER(SEARCH('Tasks Filter'!$I$3,AU384))),OR('Tasks Filter'!$I$4="",BF384=IFERROR(MATCH('Tasks Filter'!$I$4,Setup!$L$6:$L$9,0),0)),OR('Tasks Filter'!$I$5="Both",AND('Tasks Filter'!$I$5="Yes",BB384="✓"),AND('Tasks Filter'!$I$5="No",BB384&lt;&gt;"✓")),OR('Tasks Filter'!$L$3="",AV384='Tasks Filter'!$L$3),OR('Tasks Filter'!$L$4="",AZ384='Tasks Filter'!$L$4),OR('Tasks Filter'!$L$5="",BC384='Tasks Filter'!$L$5),OR('Tasks Filter'!$O$3="",BD384='Tasks Filter'!$O$3),OR('Tasks Filter'!$O$4="Yes",BG384=0)),1,0))</f>
        <v/>
      </c>
      <c r="BJ384">
        <f>IF(BH384=0,"",IF('Tasks Filter'!$F$6="Descending",-1,1)*CHOOSE(MATCH('Tasks Filter'!$F$5,Lists!$G$2:$G$6,0),AW384,BF384,IFERROR(MATCH(AV384,Setup!$F$6:$F$15,0),99),IFERROR(MATCH(BC384,Setup!$H$6:$H$15,0),99),IFERROR(MATCH(AZ384,Setup!$J$6:$J$11,0),99))*1E+9+(AW384-40000)*10000+383)</f>
        <v/>
      </c>
      <c r="BK384">
        <f>IF(BI384=1,BJ384,"")</f>
        <v/>
      </c>
      <c r="BL384">
        <f>IF(AND(BH384=1,BG384=0,N(AW384)&lt;Setup!$D$7),(AW384-40000)*10000+383,"")</f>
        <v/>
      </c>
      <c r="BM384">
        <f>IF(AND(BH384=1,AZ384&lt;&gt;"Cancelled",N(AW384)&gt;=Dashboard!$AB$3,N(AW384)&lt;=Dashboard!$AB$3+6),(AW384-40000)*100000+BF384*10000+383,"")</f>
        <v/>
      </c>
      <c r="BN384">
        <f>IF(AND(BH384=1,AZ384&lt;&gt;"Cancelled"),BF384*10000+383,"")</f>
        <v/>
      </c>
    </row>
    <row r="385">
      <c r="AS385" t="inlineStr">
        <is>
          <t>R</t>
        </is>
      </c>
      <c r="AT385" t="n">
        <v>389</v>
      </c>
      <c r="AU385">
        <f>'Recurring Log'!C389&amp;""</f>
        <v/>
      </c>
      <c r="AV385">
        <f>'Recurring Log'!D389&amp;""</f>
        <v/>
      </c>
      <c r="AW385">
        <f>IF('Recurring Log'!E389="","",'Recurring Log'!E389)</f>
        <v/>
      </c>
      <c r="AX385">
        <f>IF('Recurring Log'!G389="","",'Recurring Log'!G389)</f>
        <v/>
      </c>
      <c r="AY385">
        <f>IF('Recurring Log'!H389="","",'Recurring Log'!H389)</f>
        <v/>
      </c>
      <c r="AZ385">
        <f>IF(AU385="","",IF('Recurring Log'!J389="","Not Started",'Recurring Log'!J389))</f>
        <v/>
      </c>
      <c r="BA385">
        <f>'Recurring Log'!L389&amp;""</f>
        <v/>
      </c>
      <c r="BB385">
        <f>'Recurring Log'!M389&amp;""</f>
        <v/>
      </c>
      <c r="BC385">
        <f>'Recurring Log'!N389&amp;""</f>
        <v/>
      </c>
      <c r="BD385">
        <f>'Recurring Log'!O389&amp;""</f>
        <v/>
      </c>
      <c r="BE385">
        <f>IF('Recurring Log'!K389="","",'Recurring Log'!K389)</f>
        <v/>
      </c>
      <c r="BF385">
        <f>IFERROR(MATCH(BA385,Setup!$L$6:$L$9,0),5)</f>
        <v/>
      </c>
      <c r="BG385">
        <f>IF(OR(AZ385="Done",AZ385="Cancelled"),1,0)</f>
        <v/>
      </c>
      <c r="BH385">
        <f>IF(AND(AU385&lt;&gt;"",ISNUMBER(AW385)),1,0)</f>
        <v/>
      </c>
      <c r="BI385">
        <f>IF(BH385=0,0,IF(AND(AW385&gt;='Tasks Filter'!$F$3,AW385&lt;='Tasks Filter'!$F$4,OR('Tasks Filter'!$I$3="",ISNUMBER(SEARCH('Tasks Filter'!$I$3,AU385))),OR('Tasks Filter'!$I$4="",BF385=IFERROR(MATCH('Tasks Filter'!$I$4,Setup!$L$6:$L$9,0),0)),OR('Tasks Filter'!$I$5="Both",AND('Tasks Filter'!$I$5="Yes",BB385="✓"),AND('Tasks Filter'!$I$5="No",BB385&lt;&gt;"✓")),OR('Tasks Filter'!$L$3="",AV385='Tasks Filter'!$L$3),OR('Tasks Filter'!$L$4="",AZ385='Tasks Filter'!$L$4),OR('Tasks Filter'!$L$5="",BC385='Tasks Filter'!$L$5),OR('Tasks Filter'!$O$3="",BD385='Tasks Filter'!$O$3),OR('Tasks Filter'!$O$4="Yes",BG385=0)),1,0))</f>
        <v/>
      </c>
      <c r="BJ385">
        <f>IF(BH385=0,"",IF('Tasks Filter'!$F$6="Descending",-1,1)*CHOOSE(MATCH('Tasks Filter'!$F$5,Lists!$G$2:$G$6,0),AW385,BF385,IFERROR(MATCH(AV385,Setup!$F$6:$F$15,0),99),IFERROR(MATCH(BC385,Setup!$H$6:$H$15,0),99),IFERROR(MATCH(AZ385,Setup!$J$6:$J$11,0),99))*1E+9+(AW385-40000)*10000+384)</f>
        <v/>
      </c>
      <c r="BK385">
        <f>IF(BI385=1,BJ385,"")</f>
        <v/>
      </c>
      <c r="BL385">
        <f>IF(AND(BH385=1,BG385=0,N(AW385)&lt;Setup!$D$7),(AW385-40000)*10000+384,"")</f>
        <v/>
      </c>
      <c r="BM385">
        <f>IF(AND(BH385=1,AZ385&lt;&gt;"Cancelled",N(AW385)&gt;=Dashboard!$AB$3,N(AW385)&lt;=Dashboard!$AB$3+6),(AW385-40000)*100000+BF385*10000+384,"")</f>
        <v/>
      </c>
      <c r="BN385">
        <f>IF(AND(BH385=1,AZ385&lt;&gt;"Cancelled"),BF385*10000+384,"")</f>
        <v/>
      </c>
    </row>
    <row r="386">
      <c r="AS386" t="inlineStr">
        <is>
          <t>R</t>
        </is>
      </c>
      <c r="AT386" t="n">
        <v>390</v>
      </c>
      <c r="AU386">
        <f>'Recurring Log'!C390&amp;""</f>
        <v/>
      </c>
      <c r="AV386">
        <f>'Recurring Log'!D390&amp;""</f>
        <v/>
      </c>
      <c r="AW386">
        <f>IF('Recurring Log'!E390="","",'Recurring Log'!E390)</f>
        <v/>
      </c>
      <c r="AX386">
        <f>IF('Recurring Log'!G390="","",'Recurring Log'!G390)</f>
        <v/>
      </c>
      <c r="AY386">
        <f>IF('Recurring Log'!H390="","",'Recurring Log'!H390)</f>
        <v/>
      </c>
      <c r="AZ386">
        <f>IF(AU386="","",IF('Recurring Log'!J390="","Not Started",'Recurring Log'!J390))</f>
        <v/>
      </c>
      <c r="BA386">
        <f>'Recurring Log'!L390&amp;""</f>
        <v/>
      </c>
      <c r="BB386">
        <f>'Recurring Log'!M390&amp;""</f>
        <v/>
      </c>
      <c r="BC386">
        <f>'Recurring Log'!N390&amp;""</f>
        <v/>
      </c>
      <c r="BD386">
        <f>'Recurring Log'!O390&amp;""</f>
        <v/>
      </c>
      <c r="BE386">
        <f>IF('Recurring Log'!K390="","",'Recurring Log'!K390)</f>
        <v/>
      </c>
      <c r="BF386">
        <f>IFERROR(MATCH(BA386,Setup!$L$6:$L$9,0),5)</f>
        <v/>
      </c>
      <c r="BG386">
        <f>IF(OR(AZ386="Done",AZ386="Cancelled"),1,0)</f>
        <v/>
      </c>
      <c r="BH386">
        <f>IF(AND(AU386&lt;&gt;"",ISNUMBER(AW386)),1,0)</f>
        <v/>
      </c>
      <c r="BI386">
        <f>IF(BH386=0,0,IF(AND(AW386&gt;='Tasks Filter'!$F$3,AW386&lt;='Tasks Filter'!$F$4,OR('Tasks Filter'!$I$3="",ISNUMBER(SEARCH('Tasks Filter'!$I$3,AU386))),OR('Tasks Filter'!$I$4="",BF386=IFERROR(MATCH('Tasks Filter'!$I$4,Setup!$L$6:$L$9,0),0)),OR('Tasks Filter'!$I$5="Both",AND('Tasks Filter'!$I$5="Yes",BB386="✓"),AND('Tasks Filter'!$I$5="No",BB386&lt;&gt;"✓")),OR('Tasks Filter'!$L$3="",AV386='Tasks Filter'!$L$3),OR('Tasks Filter'!$L$4="",AZ386='Tasks Filter'!$L$4),OR('Tasks Filter'!$L$5="",BC386='Tasks Filter'!$L$5),OR('Tasks Filter'!$O$3="",BD386='Tasks Filter'!$O$3),OR('Tasks Filter'!$O$4="Yes",BG386=0)),1,0))</f>
        <v/>
      </c>
      <c r="BJ386">
        <f>IF(BH386=0,"",IF('Tasks Filter'!$F$6="Descending",-1,1)*CHOOSE(MATCH('Tasks Filter'!$F$5,Lists!$G$2:$G$6,0),AW386,BF386,IFERROR(MATCH(AV386,Setup!$F$6:$F$15,0),99),IFERROR(MATCH(BC386,Setup!$H$6:$H$15,0),99),IFERROR(MATCH(AZ386,Setup!$J$6:$J$11,0),99))*1E+9+(AW386-40000)*10000+385)</f>
        <v/>
      </c>
      <c r="BK386">
        <f>IF(BI386=1,BJ386,"")</f>
        <v/>
      </c>
      <c r="BL386">
        <f>IF(AND(BH386=1,BG386=0,N(AW386)&lt;Setup!$D$7),(AW386-40000)*10000+385,"")</f>
        <v/>
      </c>
      <c r="BM386">
        <f>IF(AND(BH386=1,AZ386&lt;&gt;"Cancelled",N(AW386)&gt;=Dashboard!$AB$3,N(AW386)&lt;=Dashboard!$AB$3+6),(AW386-40000)*100000+BF386*10000+385,"")</f>
        <v/>
      </c>
      <c r="BN386">
        <f>IF(AND(BH386=1,AZ386&lt;&gt;"Cancelled"),BF386*10000+385,"")</f>
        <v/>
      </c>
    </row>
    <row r="387">
      <c r="AS387" t="inlineStr">
        <is>
          <t>R</t>
        </is>
      </c>
      <c r="AT387" t="n">
        <v>391</v>
      </c>
      <c r="AU387">
        <f>'Recurring Log'!C391&amp;""</f>
        <v/>
      </c>
      <c r="AV387">
        <f>'Recurring Log'!D391&amp;""</f>
        <v/>
      </c>
      <c r="AW387">
        <f>IF('Recurring Log'!E391="","",'Recurring Log'!E391)</f>
        <v/>
      </c>
      <c r="AX387">
        <f>IF('Recurring Log'!G391="","",'Recurring Log'!G391)</f>
        <v/>
      </c>
      <c r="AY387">
        <f>IF('Recurring Log'!H391="","",'Recurring Log'!H391)</f>
        <v/>
      </c>
      <c r="AZ387">
        <f>IF(AU387="","",IF('Recurring Log'!J391="","Not Started",'Recurring Log'!J391))</f>
        <v/>
      </c>
      <c r="BA387">
        <f>'Recurring Log'!L391&amp;""</f>
        <v/>
      </c>
      <c r="BB387">
        <f>'Recurring Log'!M391&amp;""</f>
        <v/>
      </c>
      <c r="BC387">
        <f>'Recurring Log'!N391&amp;""</f>
        <v/>
      </c>
      <c r="BD387">
        <f>'Recurring Log'!O391&amp;""</f>
        <v/>
      </c>
      <c r="BE387">
        <f>IF('Recurring Log'!K391="","",'Recurring Log'!K391)</f>
        <v/>
      </c>
      <c r="BF387">
        <f>IFERROR(MATCH(BA387,Setup!$L$6:$L$9,0),5)</f>
        <v/>
      </c>
      <c r="BG387">
        <f>IF(OR(AZ387="Done",AZ387="Cancelled"),1,0)</f>
        <v/>
      </c>
      <c r="BH387">
        <f>IF(AND(AU387&lt;&gt;"",ISNUMBER(AW387)),1,0)</f>
        <v/>
      </c>
      <c r="BI387">
        <f>IF(BH387=0,0,IF(AND(AW387&gt;='Tasks Filter'!$F$3,AW387&lt;='Tasks Filter'!$F$4,OR('Tasks Filter'!$I$3="",ISNUMBER(SEARCH('Tasks Filter'!$I$3,AU387))),OR('Tasks Filter'!$I$4="",BF387=IFERROR(MATCH('Tasks Filter'!$I$4,Setup!$L$6:$L$9,0),0)),OR('Tasks Filter'!$I$5="Both",AND('Tasks Filter'!$I$5="Yes",BB387="✓"),AND('Tasks Filter'!$I$5="No",BB387&lt;&gt;"✓")),OR('Tasks Filter'!$L$3="",AV387='Tasks Filter'!$L$3),OR('Tasks Filter'!$L$4="",AZ387='Tasks Filter'!$L$4),OR('Tasks Filter'!$L$5="",BC387='Tasks Filter'!$L$5),OR('Tasks Filter'!$O$3="",BD387='Tasks Filter'!$O$3),OR('Tasks Filter'!$O$4="Yes",BG387=0)),1,0))</f>
        <v/>
      </c>
      <c r="BJ387">
        <f>IF(BH387=0,"",IF('Tasks Filter'!$F$6="Descending",-1,1)*CHOOSE(MATCH('Tasks Filter'!$F$5,Lists!$G$2:$G$6,0),AW387,BF387,IFERROR(MATCH(AV387,Setup!$F$6:$F$15,0),99),IFERROR(MATCH(BC387,Setup!$H$6:$H$15,0),99),IFERROR(MATCH(AZ387,Setup!$J$6:$J$11,0),99))*1E+9+(AW387-40000)*10000+386)</f>
        <v/>
      </c>
      <c r="BK387">
        <f>IF(BI387=1,BJ387,"")</f>
        <v/>
      </c>
      <c r="BL387">
        <f>IF(AND(BH387=1,BG387=0,N(AW387)&lt;Setup!$D$7),(AW387-40000)*10000+386,"")</f>
        <v/>
      </c>
      <c r="BM387">
        <f>IF(AND(BH387=1,AZ387&lt;&gt;"Cancelled",N(AW387)&gt;=Dashboard!$AB$3,N(AW387)&lt;=Dashboard!$AB$3+6),(AW387-40000)*100000+BF387*10000+386,"")</f>
        <v/>
      </c>
      <c r="BN387">
        <f>IF(AND(BH387=1,AZ387&lt;&gt;"Cancelled"),BF387*10000+386,"")</f>
        <v/>
      </c>
    </row>
    <row r="388">
      <c r="AS388" t="inlineStr">
        <is>
          <t>R</t>
        </is>
      </c>
      <c r="AT388" t="n">
        <v>392</v>
      </c>
      <c r="AU388">
        <f>'Recurring Log'!C392&amp;""</f>
        <v/>
      </c>
      <c r="AV388">
        <f>'Recurring Log'!D392&amp;""</f>
        <v/>
      </c>
      <c r="AW388">
        <f>IF('Recurring Log'!E392="","",'Recurring Log'!E392)</f>
        <v/>
      </c>
      <c r="AX388">
        <f>IF('Recurring Log'!G392="","",'Recurring Log'!G392)</f>
        <v/>
      </c>
      <c r="AY388">
        <f>IF('Recurring Log'!H392="","",'Recurring Log'!H392)</f>
        <v/>
      </c>
      <c r="AZ388">
        <f>IF(AU388="","",IF('Recurring Log'!J392="","Not Started",'Recurring Log'!J392))</f>
        <v/>
      </c>
      <c r="BA388">
        <f>'Recurring Log'!L392&amp;""</f>
        <v/>
      </c>
      <c r="BB388">
        <f>'Recurring Log'!M392&amp;""</f>
        <v/>
      </c>
      <c r="BC388">
        <f>'Recurring Log'!N392&amp;""</f>
        <v/>
      </c>
      <c r="BD388">
        <f>'Recurring Log'!O392&amp;""</f>
        <v/>
      </c>
      <c r="BE388">
        <f>IF('Recurring Log'!K392="","",'Recurring Log'!K392)</f>
        <v/>
      </c>
      <c r="BF388">
        <f>IFERROR(MATCH(BA388,Setup!$L$6:$L$9,0),5)</f>
        <v/>
      </c>
      <c r="BG388">
        <f>IF(OR(AZ388="Done",AZ388="Cancelled"),1,0)</f>
        <v/>
      </c>
      <c r="BH388">
        <f>IF(AND(AU388&lt;&gt;"",ISNUMBER(AW388)),1,0)</f>
        <v/>
      </c>
      <c r="BI388">
        <f>IF(BH388=0,0,IF(AND(AW388&gt;='Tasks Filter'!$F$3,AW388&lt;='Tasks Filter'!$F$4,OR('Tasks Filter'!$I$3="",ISNUMBER(SEARCH('Tasks Filter'!$I$3,AU388))),OR('Tasks Filter'!$I$4="",BF388=IFERROR(MATCH('Tasks Filter'!$I$4,Setup!$L$6:$L$9,0),0)),OR('Tasks Filter'!$I$5="Both",AND('Tasks Filter'!$I$5="Yes",BB388="✓"),AND('Tasks Filter'!$I$5="No",BB388&lt;&gt;"✓")),OR('Tasks Filter'!$L$3="",AV388='Tasks Filter'!$L$3),OR('Tasks Filter'!$L$4="",AZ388='Tasks Filter'!$L$4),OR('Tasks Filter'!$L$5="",BC388='Tasks Filter'!$L$5),OR('Tasks Filter'!$O$3="",BD388='Tasks Filter'!$O$3),OR('Tasks Filter'!$O$4="Yes",BG388=0)),1,0))</f>
        <v/>
      </c>
      <c r="BJ388">
        <f>IF(BH388=0,"",IF('Tasks Filter'!$F$6="Descending",-1,1)*CHOOSE(MATCH('Tasks Filter'!$F$5,Lists!$G$2:$G$6,0),AW388,BF388,IFERROR(MATCH(AV388,Setup!$F$6:$F$15,0),99),IFERROR(MATCH(BC388,Setup!$H$6:$H$15,0),99),IFERROR(MATCH(AZ388,Setup!$J$6:$J$11,0),99))*1E+9+(AW388-40000)*10000+387)</f>
        <v/>
      </c>
      <c r="BK388">
        <f>IF(BI388=1,BJ388,"")</f>
        <v/>
      </c>
      <c r="BL388">
        <f>IF(AND(BH388=1,BG388=0,N(AW388)&lt;Setup!$D$7),(AW388-40000)*10000+387,"")</f>
        <v/>
      </c>
      <c r="BM388">
        <f>IF(AND(BH388=1,AZ388&lt;&gt;"Cancelled",N(AW388)&gt;=Dashboard!$AB$3,N(AW388)&lt;=Dashboard!$AB$3+6),(AW388-40000)*100000+BF388*10000+387,"")</f>
        <v/>
      </c>
      <c r="BN388">
        <f>IF(AND(BH388=1,AZ388&lt;&gt;"Cancelled"),BF388*10000+387,"")</f>
        <v/>
      </c>
    </row>
    <row r="389">
      <c r="AS389" t="inlineStr">
        <is>
          <t>R</t>
        </is>
      </c>
      <c r="AT389" t="n">
        <v>393</v>
      </c>
      <c r="AU389">
        <f>'Recurring Log'!C393&amp;""</f>
        <v/>
      </c>
      <c r="AV389">
        <f>'Recurring Log'!D393&amp;""</f>
        <v/>
      </c>
      <c r="AW389">
        <f>IF('Recurring Log'!E393="","",'Recurring Log'!E393)</f>
        <v/>
      </c>
      <c r="AX389">
        <f>IF('Recurring Log'!G393="","",'Recurring Log'!G393)</f>
        <v/>
      </c>
      <c r="AY389">
        <f>IF('Recurring Log'!H393="","",'Recurring Log'!H393)</f>
        <v/>
      </c>
      <c r="AZ389">
        <f>IF(AU389="","",IF('Recurring Log'!J393="","Not Started",'Recurring Log'!J393))</f>
        <v/>
      </c>
      <c r="BA389">
        <f>'Recurring Log'!L393&amp;""</f>
        <v/>
      </c>
      <c r="BB389">
        <f>'Recurring Log'!M393&amp;""</f>
        <v/>
      </c>
      <c r="BC389">
        <f>'Recurring Log'!N393&amp;""</f>
        <v/>
      </c>
      <c r="BD389">
        <f>'Recurring Log'!O393&amp;""</f>
        <v/>
      </c>
      <c r="BE389">
        <f>IF('Recurring Log'!K393="","",'Recurring Log'!K393)</f>
        <v/>
      </c>
      <c r="BF389">
        <f>IFERROR(MATCH(BA389,Setup!$L$6:$L$9,0),5)</f>
        <v/>
      </c>
      <c r="BG389">
        <f>IF(OR(AZ389="Done",AZ389="Cancelled"),1,0)</f>
        <v/>
      </c>
      <c r="BH389">
        <f>IF(AND(AU389&lt;&gt;"",ISNUMBER(AW389)),1,0)</f>
        <v/>
      </c>
      <c r="BI389">
        <f>IF(BH389=0,0,IF(AND(AW389&gt;='Tasks Filter'!$F$3,AW389&lt;='Tasks Filter'!$F$4,OR('Tasks Filter'!$I$3="",ISNUMBER(SEARCH('Tasks Filter'!$I$3,AU389))),OR('Tasks Filter'!$I$4="",BF389=IFERROR(MATCH('Tasks Filter'!$I$4,Setup!$L$6:$L$9,0),0)),OR('Tasks Filter'!$I$5="Both",AND('Tasks Filter'!$I$5="Yes",BB389="✓"),AND('Tasks Filter'!$I$5="No",BB389&lt;&gt;"✓")),OR('Tasks Filter'!$L$3="",AV389='Tasks Filter'!$L$3),OR('Tasks Filter'!$L$4="",AZ389='Tasks Filter'!$L$4),OR('Tasks Filter'!$L$5="",BC389='Tasks Filter'!$L$5),OR('Tasks Filter'!$O$3="",BD389='Tasks Filter'!$O$3),OR('Tasks Filter'!$O$4="Yes",BG389=0)),1,0))</f>
        <v/>
      </c>
      <c r="BJ389">
        <f>IF(BH389=0,"",IF('Tasks Filter'!$F$6="Descending",-1,1)*CHOOSE(MATCH('Tasks Filter'!$F$5,Lists!$G$2:$G$6,0),AW389,BF389,IFERROR(MATCH(AV389,Setup!$F$6:$F$15,0),99),IFERROR(MATCH(BC389,Setup!$H$6:$H$15,0),99),IFERROR(MATCH(AZ389,Setup!$J$6:$J$11,0),99))*1E+9+(AW389-40000)*10000+388)</f>
        <v/>
      </c>
      <c r="BK389">
        <f>IF(BI389=1,BJ389,"")</f>
        <v/>
      </c>
      <c r="BL389">
        <f>IF(AND(BH389=1,BG389=0,N(AW389)&lt;Setup!$D$7),(AW389-40000)*10000+388,"")</f>
        <v/>
      </c>
      <c r="BM389">
        <f>IF(AND(BH389=1,AZ389&lt;&gt;"Cancelled",N(AW389)&gt;=Dashboard!$AB$3,N(AW389)&lt;=Dashboard!$AB$3+6),(AW389-40000)*100000+BF389*10000+388,"")</f>
        <v/>
      </c>
      <c r="BN389">
        <f>IF(AND(BH389=1,AZ389&lt;&gt;"Cancelled"),BF389*10000+388,"")</f>
        <v/>
      </c>
    </row>
    <row r="390">
      <c r="AS390" t="inlineStr">
        <is>
          <t>R</t>
        </is>
      </c>
      <c r="AT390" t="n">
        <v>394</v>
      </c>
      <c r="AU390">
        <f>'Recurring Log'!C394&amp;""</f>
        <v/>
      </c>
      <c r="AV390">
        <f>'Recurring Log'!D394&amp;""</f>
        <v/>
      </c>
      <c r="AW390">
        <f>IF('Recurring Log'!E394="","",'Recurring Log'!E394)</f>
        <v/>
      </c>
      <c r="AX390">
        <f>IF('Recurring Log'!G394="","",'Recurring Log'!G394)</f>
        <v/>
      </c>
      <c r="AY390">
        <f>IF('Recurring Log'!H394="","",'Recurring Log'!H394)</f>
        <v/>
      </c>
      <c r="AZ390">
        <f>IF(AU390="","",IF('Recurring Log'!J394="","Not Started",'Recurring Log'!J394))</f>
        <v/>
      </c>
      <c r="BA390">
        <f>'Recurring Log'!L394&amp;""</f>
        <v/>
      </c>
      <c r="BB390">
        <f>'Recurring Log'!M394&amp;""</f>
        <v/>
      </c>
      <c r="BC390">
        <f>'Recurring Log'!N394&amp;""</f>
        <v/>
      </c>
      <c r="BD390">
        <f>'Recurring Log'!O394&amp;""</f>
        <v/>
      </c>
      <c r="BE390">
        <f>IF('Recurring Log'!K394="","",'Recurring Log'!K394)</f>
        <v/>
      </c>
      <c r="BF390">
        <f>IFERROR(MATCH(BA390,Setup!$L$6:$L$9,0),5)</f>
        <v/>
      </c>
      <c r="BG390">
        <f>IF(OR(AZ390="Done",AZ390="Cancelled"),1,0)</f>
        <v/>
      </c>
      <c r="BH390">
        <f>IF(AND(AU390&lt;&gt;"",ISNUMBER(AW390)),1,0)</f>
        <v/>
      </c>
      <c r="BI390">
        <f>IF(BH390=0,0,IF(AND(AW390&gt;='Tasks Filter'!$F$3,AW390&lt;='Tasks Filter'!$F$4,OR('Tasks Filter'!$I$3="",ISNUMBER(SEARCH('Tasks Filter'!$I$3,AU390))),OR('Tasks Filter'!$I$4="",BF390=IFERROR(MATCH('Tasks Filter'!$I$4,Setup!$L$6:$L$9,0),0)),OR('Tasks Filter'!$I$5="Both",AND('Tasks Filter'!$I$5="Yes",BB390="✓"),AND('Tasks Filter'!$I$5="No",BB390&lt;&gt;"✓")),OR('Tasks Filter'!$L$3="",AV390='Tasks Filter'!$L$3),OR('Tasks Filter'!$L$4="",AZ390='Tasks Filter'!$L$4),OR('Tasks Filter'!$L$5="",BC390='Tasks Filter'!$L$5),OR('Tasks Filter'!$O$3="",BD390='Tasks Filter'!$O$3),OR('Tasks Filter'!$O$4="Yes",BG390=0)),1,0))</f>
        <v/>
      </c>
      <c r="BJ390">
        <f>IF(BH390=0,"",IF('Tasks Filter'!$F$6="Descending",-1,1)*CHOOSE(MATCH('Tasks Filter'!$F$5,Lists!$G$2:$G$6,0),AW390,BF390,IFERROR(MATCH(AV390,Setup!$F$6:$F$15,0),99),IFERROR(MATCH(BC390,Setup!$H$6:$H$15,0),99),IFERROR(MATCH(AZ390,Setup!$J$6:$J$11,0),99))*1E+9+(AW390-40000)*10000+389)</f>
        <v/>
      </c>
      <c r="BK390">
        <f>IF(BI390=1,BJ390,"")</f>
        <v/>
      </c>
      <c r="BL390">
        <f>IF(AND(BH390=1,BG390=0,N(AW390)&lt;Setup!$D$7),(AW390-40000)*10000+389,"")</f>
        <v/>
      </c>
      <c r="BM390">
        <f>IF(AND(BH390=1,AZ390&lt;&gt;"Cancelled",N(AW390)&gt;=Dashboard!$AB$3,N(AW390)&lt;=Dashboard!$AB$3+6),(AW390-40000)*100000+BF390*10000+389,"")</f>
        <v/>
      </c>
      <c r="BN390">
        <f>IF(AND(BH390=1,AZ390&lt;&gt;"Cancelled"),BF390*10000+389,"")</f>
        <v/>
      </c>
    </row>
    <row r="391">
      <c r="AS391" t="inlineStr">
        <is>
          <t>R</t>
        </is>
      </c>
      <c r="AT391" t="n">
        <v>395</v>
      </c>
      <c r="AU391">
        <f>'Recurring Log'!C395&amp;""</f>
        <v/>
      </c>
      <c r="AV391">
        <f>'Recurring Log'!D395&amp;""</f>
        <v/>
      </c>
      <c r="AW391">
        <f>IF('Recurring Log'!E395="","",'Recurring Log'!E395)</f>
        <v/>
      </c>
      <c r="AX391">
        <f>IF('Recurring Log'!G395="","",'Recurring Log'!G395)</f>
        <v/>
      </c>
      <c r="AY391">
        <f>IF('Recurring Log'!H395="","",'Recurring Log'!H395)</f>
        <v/>
      </c>
      <c r="AZ391">
        <f>IF(AU391="","",IF('Recurring Log'!J395="","Not Started",'Recurring Log'!J395))</f>
        <v/>
      </c>
      <c r="BA391">
        <f>'Recurring Log'!L395&amp;""</f>
        <v/>
      </c>
      <c r="BB391">
        <f>'Recurring Log'!M395&amp;""</f>
        <v/>
      </c>
      <c r="BC391">
        <f>'Recurring Log'!N395&amp;""</f>
        <v/>
      </c>
      <c r="BD391">
        <f>'Recurring Log'!O395&amp;""</f>
        <v/>
      </c>
      <c r="BE391">
        <f>IF('Recurring Log'!K395="","",'Recurring Log'!K395)</f>
        <v/>
      </c>
      <c r="BF391">
        <f>IFERROR(MATCH(BA391,Setup!$L$6:$L$9,0),5)</f>
        <v/>
      </c>
      <c r="BG391">
        <f>IF(OR(AZ391="Done",AZ391="Cancelled"),1,0)</f>
        <v/>
      </c>
      <c r="BH391">
        <f>IF(AND(AU391&lt;&gt;"",ISNUMBER(AW391)),1,0)</f>
        <v/>
      </c>
      <c r="BI391">
        <f>IF(BH391=0,0,IF(AND(AW391&gt;='Tasks Filter'!$F$3,AW391&lt;='Tasks Filter'!$F$4,OR('Tasks Filter'!$I$3="",ISNUMBER(SEARCH('Tasks Filter'!$I$3,AU391))),OR('Tasks Filter'!$I$4="",BF391=IFERROR(MATCH('Tasks Filter'!$I$4,Setup!$L$6:$L$9,0),0)),OR('Tasks Filter'!$I$5="Both",AND('Tasks Filter'!$I$5="Yes",BB391="✓"),AND('Tasks Filter'!$I$5="No",BB391&lt;&gt;"✓")),OR('Tasks Filter'!$L$3="",AV391='Tasks Filter'!$L$3),OR('Tasks Filter'!$L$4="",AZ391='Tasks Filter'!$L$4),OR('Tasks Filter'!$L$5="",BC391='Tasks Filter'!$L$5),OR('Tasks Filter'!$O$3="",BD391='Tasks Filter'!$O$3),OR('Tasks Filter'!$O$4="Yes",BG391=0)),1,0))</f>
        <v/>
      </c>
      <c r="BJ391">
        <f>IF(BH391=0,"",IF('Tasks Filter'!$F$6="Descending",-1,1)*CHOOSE(MATCH('Tasks Filter'!$F$5,Lists!$G$2:$G$6,0),AW391,BF391,IFERROR(MATCH(AV391,Setup!$F$6:$F$15,0),99),IFERROR(MATCH(BC391,Setup!$H$6:$H$15,0),99),IFERROR(MATCH(AZ391,Setup!$J$6:$J$11,0),99))*1E+9+(AW391-40000)*10000+390)</f>
        <v/>
      </c>
      <c r="BK391">
        <f>IF(BI391=1,BJ391,"")</f>
        <v/>
      </c>
      <c r="BL391">
        <f>IF(AND(BH391=1,BG391=0,N(AW391)&lt;Setup!$D$7),(AW391-40000)*10000+390,"")</f>
        <v/>
      </c>
      <c r="BM391">
        <f>IF(AND(BH391=1,AZ391&lt;&gt;"Cancelled",N(AW391)&gt;=Dashboard!$AB$3,N(AW391)&lt;=Dashboard!$AB$3+6),(AW391-40000)*100000+BF391*10000+390,"")</f>
        <v/>
      </c>
      <c r="BN391">
        <f>IF(AND(BH391=1,AZ391&lt;&gt;"Cancelled"),BF391*10000+390,"")</f>
        <v/>
      </c>
    </row>
    <row r="392">
      <c r="AS392" t="inlineStr">
        <is>
          <t>R</t>
        </is>
      </c>
      <c r="AT392" t="n">
        <v>396</v>
      </c>
      <c r="AU392">
        <f>'Recurring Log'!C396&amp;""</f>
        <v/>
      </c>
      <c r="AV392">
        <f>'Recurring Log'!D396&amp;""</f>
        <v/>
      </c>
      <c r="AW392">
        <f>IF('Recurring Log'!E396="","",'Recurring Log'!E396)</f>
        <v/>
      </c>
      <c r="AX392">
        <f>IF('Recurring Log'!G396="","",'Recurring Log'!G396)</f>
        <v/>
      </c>
      <c r="AY392">
        <f>IF('Recurring Log'!H396="","",'Recurring Log'!H396)</f>
        <v/>
      </c>
      <c r="AZ392">
        <f>IF(AU392="","",IF('Recurring Log'!J396="","Not Started",'Recurring Log'!J396))</f>
        <v/>
      </c>
      <c r="BA392">
        <f>'Recurring Log'!L396&amp;""</f>
        <v/>
      </c>
      <c r="BB392">
        <f>'Recurring Log'!M396&amp;""</f>
        <v/>
      </c>
      <c r="BC392">
        <f>'Recurring Log'!N396&amp;""</f>
        <v/>
      </c>
      <c r="BD392">
        <f>'Recurring Log'!O396&amp;""</f>
        <v/>
      </c>
      <c r="BE392">
        <f>IF('Recurring Log'!K396="","",'Recurring Log'!K396)</f>
        <v/>
      </c>
      <c r="BF392">
        <f>IFERROR(MATCH(BA392,Setup!$L$6:$L$9,0),5)</f>
        <v/>
      </c>
      <c r="BG392">
        <f>IF(OR(AZ392="Done",AZ392="Cancelled"),1,0)</f>
        <v/>
      </c>
      <c r="BH392">
        <f>IF(AND(AU392&lt;&gt;"",ISNUMBER(AW392)),1,0)</f>
        <v/>
      </c>
      <c r="BI392">
        <f>IF(BH392=0,0,IF(AND(AW392&gt;='Tasks Filter'!$F$3,AW392&lt;='Tasks Filter'!$F$4,OR('Tasks Filter'!$I$3="",ISNUMBER(SEARCH('Tasks Filter'!$I$3,AU392))),OR('Tasks Filter'!$I$4="",BF392=IFERROR(MATCH('Tasks Filter'!$I$4,Setup!$L$6:$L$9,0),0)),OR('Tasks Filter'!$I$5="Both",AND('Tasks Filter'!$I$5="Yes",BB392="✓"),AND('Tasks Filter'!$I$5="No",BB392&lt;&gt;"✓")),OR('Tasks Filter'!$L$3="",AV392='Tasks Filter'!$L$3),OR('Tasks Filter'!$L$4="",AZ392='Tasks Filter'!$L$4),OR('Tasks Filter'!$L$5="",BC392='Tasks Filter'!$L$5),OR('Tasks Filter'!$O$3="",BD392='Tasks Filter'!$O$3),OR('Tasks Filter'!$O$4="Yes",BG392=0)),1,0))</f>
        <v/>
      </c>
      <c r="BJ392">
        <f>IF(BH392=0,"",IF('Tasks Filter'!$F$6="Descending",-1,1)*CHOOSE(MATCH('Tasks Filter'!$F$5,Lists!$G$2:$G$6,0),AW392,BF392,IFERROR(MATCH(AV392,Setup!$F$6:$F$15,0),99),IFERROR(MATCH(BC392,Setup!$H$6:$H$15,0),99),IFERROR(MATCH(AZ392,Setup!$J$6:$J$11,0),99))*1E+9+(AW392-40000)*10000+391)</f>
        <v/>
      </c>
      <c r="BK392">
        <f>IF(BI392=1,BJ392,"")</f>
        <v/>
      </c>
      <c r="BL392">
        <f>IF(AND(BH392=1,BG392=0,N(AW392)&lt;Setup!$D$7),(AW392-40000)*10000+391,"")</f>
        <v/>
      </c>
      <c r="BM392">
        <f>IF(AND(BH392=1,AZ392&lt;&gt;"Cancelled",N(AW392)&gt;=Dashboard!$AB$3,N(AW392)&lt;=Dashboard!$AB$3+6),(AW392-40000)*100000+BF392*10000+391,"")</f>
        <v/>
      </c>
      <c r="BN392">
        <f>IF(AND(BH392=1,AZ392&lt;&gt;"Cancelled"),BF392*10000+391,"")</f>
        <v/>
      </c>
    </row>
    <row r="393">
      <c r="AS393" t="inlineStr">
        <is>
          <t>R</t>
        </is>
      </c>
      <c r="AT393" t="n">
        <v>397</v>
      </c>
      <c r="AU393">
        <f>'Recurring Log'!C397&amp;""</f>
        <v/>
      </c>
      <c r="AV393">
        <f>'Recurring Log'!D397&amp;""</f>
        <v/>
      </c>
      <c r="AW393">
        <f>IF('Recurring Log'!E397="","",'Recurring Log'!E397)</f>
        <v/>
      </c>
      <c r="AX393">
        <f>IF('Recurring Log'!G397="","",'Recurring Log'!G397)</f>
        <v/>
      </c>
      <c r="AY393">
        <f>IF('Recurring Log'!H397="","",'Recurring Log'!H397)</f>
        <v/>
      </c>
      <c r="AZ393">
        <f>IF(AU393="","",IF('Recurring Log'!J397="","Not Started",'Recurring Log'!J397))</f>
        <v/>
      </c>
      <c r="BA393">
        <f>'Recurring Log'!L397&amp;""</f>
        <v/>
      </c>
      <c r="BB393">
        <f>'Recurring Log'!M397&amp;""</f>
        <v/>
      </c>
      <c r="BC393">
        <f>'Recurring Log'!N397&amp;""</f>
        <v/>
      </c>
      <c r="BD393">
        <f>'Recurring Log'!O397&amp;""</f>
        <v/>
      </c>
      <c r="BE393">
        <f>IF('Recurring Log'!K397="","",'Recurring Log'!K397)</f>
        <v/>
      </c>
      <c r="BF393">
        <f>IFERROR(MATCH(BA393,Setup!$L$6:$L$9,0),5)</f>
        <v/>
      </c>
      <c r="BG393">
        <f>IF(OR(AZ393="Done",AZ393="Cancelled"),1,0)</f>
        <v/>
      </c>
      <c r="BH393">
        <f>IF(AND(AU393&lt;&gt;"",ISNUMBER(AW393)),1,0)</f>
        <v/>
      </c>
      <c r="BI393">
        <f>IF(BH393=0,0,IF(AND(AW393&gt;='Tasks Filter'!$F$3,AW393&lt;='Tasks Filter'!$F$4,OR('Tasks Filter'!$I$3="",ISNUMBER(SEARCH('Tasks Filter'!$I$3,AU393))),OR('Tasks Filter'!$I$4="",BF393=IFERROR(MATCH('Tasks Filter'!$I$4,Setup!$L$6:$L$9,0),0)),OR('Tasks Filter'!$I$5="Both",AND('Tasks Filter'!$I$5="Yes",BB393="✓"),AND('Tasks Filter'!$I$5="No",BB393&lt;&gt;"✓")),OR('Tasks Filter'!$L$3="",AV393='Tasks Filter'!$L$3),OR('Tasks Filter'!$L$4="",AZ393='Tasks Filter'!$L$4),OR('Tasks Filter'!$L$5="",BC393='Tasks Filter'!$L$5),OR('Tasks Filter'!$O$3="",BD393='Tasks Filter'!$O$3),OR('Tasks Filter'!$O$4="Yes",BG393=0)),1,0))</f>
        <v/>
      </c>
      <c r="BJ393">
        <f>IF(BH393=0,"",IF('Tasks Filter'!$F$6="Descending",-1,1)*CHOOSE(MATCH('Tasks Filter'!$F$5,Lists!$G$2:$G$6,0),AW393,BF393,IFERROR(MATCH(AV393,Setup!$F$6:$F$15,0),99),IFERROR(MATCH(BC393,Setup!$H$6:$H$15,0),99),IFERROR(MATCH(AZ393,Setup!$J$6:$J$11,0),99))*1E+9+(AW393-40000)*10000+392)</f>
        <v/>
      </c>
      <c r="BK393">
        <f>IF(BI393=1,BJ393,"")</f>
        <v/>
      </c>
      <c r="BL393">
        <f>IF(AND(BH393=1,BG393=0,N(AW393)&lt;Setup!$D$7),(AW393-40000)*10000+392,"")</f>
        <v/>
      </c>
      <c r="BM393">
        <f>IF(AND(BH393=1,AZ393&lt;&gt;"Cancelled",N(AW393)&gt;=Dashboard!$AB$3,N(AW393)&lt;=Dashboard!$AB$3+6),(AW393-40000)*100000+BF393*10000+392,"")</f>
        <v/>
      </c>
      <c r="BN393">
        <f>IF(AND(BH393=1,AZ393&lt;&gt;"Cancelled"),BF393*10000+392,"")</f>
        <v/>
      </c>
    </row>
    <row r="394">
      <c r="AS394" t="inlineStr">
        <is>
          <t>R</t>
        </is>
      </c>
      <c r="AT394" t="n">
        <v>398</v>
      </c>
      <c r="AU394">
        <f>'Recurring Log'!C398&amp;""</f>
        <v/>
      </c>
      <c r="AV394">
        <f>'Recurring Log'!D398&amp;""</f>
        <v/>
      </c>
      <c r="AW394">
        <f>IF('Recurring Log'!E398="","",'Recurring Log'!E398)</f>
        <v/>
      </c>
      <c r="AX394">
        <f>IF('Recurring Log'!G398="","",'Recurring Log'!G398)</f>
        <v/>
      </c>
      <c r="AY394">
        <f>IF('Recurring Log'!H398="","",'Recurring Log'!H398)</f>
        <v/>
      </c>
      <c r="AZ394">
        <f>IF(AU394="","",IF('Recurring Log'!J398="","Not Started",'Recurring Log'!J398))</f>
        <v/>
      </c>
      <c r="BA394">
        <f>'Recurring Log'!L398&amp;""</f>
        <v/>
      </c>
      <c r="BB394">
        <f>'Recurring Log'!M398&amp;""</f>
        <v/>
      </c>
      <c r="BC394">
        <f>'Recurring Log'!N398&amp;""</f>
        <v/>
      </c>
      <c r="BD394">
        <f>'Recurring Log'!O398&amp;""</f>
        <v/>
      </c>
      <c r="BE394">
        <f>IF('Recurring Log'!K398="","",'Recurring Log'!K398)</f>
        <v/>
      </c>
      <c r="BF394">
        <f>IFERROR(MATCH(BA394,Setup!$L$6:$L$9,0),5)</f>
        <v/>
      </c>
      <c r="BG394">
        <f>IF(OR(AZ394="Done",AZ394="Cancelled"),1,0)</f>
        <v/>
      </c>
      <c r="BH394">
        <f>IF(AND(AU394&lt;&gt;"",ISNUMBER(AW394)),1,0)</f>
        <v/>
      </c>
      <c r="BI394">
        <f>IF(BH394=0,0,IF(AND(AW394&gt;='Tasks Filter'!$F$3,AW394&lt;='Tasks Filter'!$F$4,OR('Tasks Filter'!$I$3="",ISNUMBER(SEARCH('Tasks Filter'!$I$3,AU394))),OR('Tasks Filter'!$I$4="",BF394=IFERROR(MATCH('Tasks Filter'!$I$4,Setup!$L$6:$L$9,0),0)),OR('Tasks Filter'!$I$5="Both",AND('Tasks Filter'!$I$5="Yes",BB394="✓"),AND('Tasks Filter'!$I$5="No",BB394&lt;&gt;"✓")),OR('Tasks Filter'!$L$3="",AV394='Tasks Filter'!$L$3),OR('Tasks Filter'!$L$4="",AZ394='Tasks Filter'!$L$4),OR('Tasks Filter'!$L$5="",BC394='Tasks Filter'!$L$5),OR('Tasks Filter'!$O$3="",BD394='Tasks Filter'!$O$3),OR('Tasks Filter'!$O$4="Yes",BG394=0)),1,0))</f>
        <v/>
      </c>
      <c r="BJ394">
        <f>IF(BH394=0,"",IF('Tasks Filter'!$F$6="Descending",-1,1)*CHOOSE(MATCH('Tasks Filter'!$F$5,Lists!$G$2:$G$6,0),AW394,BF394,IFERROR(MATCH(AV394,Setup!$F$6:$F$15,0),99),IFERROR(MATCH(BC394,Setup!$H$6:$H$15,0),99),IFERROR(MATCH(AZ394,Setup!$J$6:$J$11,0),99))*1E+9+(AW394-40000)*10000+393)</f>
        <v/>
      </c>
      <c r="BK394">
        <f>IF(BI394=1,BJ394,"")</f>
        <v/>
      </c>
      <c r="BL394">
        <f>IF(AND(BH394=1,BG394=0,N(AW394)&lt;Setup!$D$7),(AW394-40000)*10000+393,"")</f>
        <v/>
      </c>
      <c r="BM394">
        <f>IF(AND(BH394=1,AZ394&lt;&gt;"Cancelled",N(AW394)&gt;=Dashboard!$AB$3,N(AW394)&lt;=Dashboard!$AB$3+6),(AW394-40000)*100000+BF394*10000+393,"")</f>
        <v/>
      </c>
      <c r="BN394">
        <f>IF(AND(BH394=1,AZ394&lt;&gt;"Cancelled"),BF394*10000+393,"")</f>
        <v/>
      </c>
    </row>
    <row r="395">
      <c r="AS395" t="inlineStr">
        <is>
          <t>R</t>
        </is>
      </c>
      <c r="AT395" t="n">
        <v>399</v>
      </c>
      <c r="AU395">
        <f>'Recurring Log'!C399&amp;""</f>
        <v/>
      </c>
      <c r="AV395">
        <f>'Recurring Log'!D399&amp;""</f>
        <v/>
      </c>
      <c r="AW395">
        <f>IF('Recurring Log'!E399="","",'Recurring Log'!E399)</f>
        <v/>
      </c>
      <c r="AX395">
        <f>IF('Recurring Log'!G399="","",'Recurring Log'!G399)</f>
        <v/>
      </c>
      <c r="AY395">
        <f>IF('Recurring Log'!H399="","",'Recurring Log'!H399)</f>
        <v/>
      </c>
      <c r="AZ395">
        <f>IF(AU395="","",IF('Recurring Log'!J399="","Not Started",'Recurring Log'!J399))</f>
        <v/>
      </c>
      <c r="BA395">
        <f>'Recurring Log'!L399&amp;""</f>
        <v/>
      </c>
      <c r="BB395">
        <f>'Recurring Log'!M399&amp;""</f>
        <v/>
      </c>
      <c r="BC395">
        <f>'Recurring Log'!N399&amp;""</f>
        <v/>
      </c>
      <c r="BD395">
        <f>'Recurring Log'!O399&amp;""</f>
        <v/>
      </c>
      <c r="BE395">
        <f>IF('Recurring Log'!K399="","",'Recurring Log'!K399)</f>
        <v/>
      </c>
      <c r="BF395">
        <f>IFERROR(MATCH(BA395,Setup!$L$6:$L$9,0),5)</f>
        <v/>
      </c>
      <c r="BG395">
        <f>IF(OR(AZ395="Done",AZ395="Cancelled"),1,0)</f>
        <v/>
      </c>
      <c r="BH395">
        <f>IF(AND(AU395&lt;&gt;"",ISNUMBER(AW395)),1,0)</f>
        <v/>
      </c>
      <c r="BI395">
        <f>IF(BH395=0,0,IF(AND(AW395&gt;='Tasks Filter'!$F$3,AW395&lt;='Tasks Filter'!$F$4,OR('Tasks Filter'!$I$3="",ISNUMBER(SEARCH('Tasks Filter'!$I$3,AU395))),OR('Tasks Filter'!$I$4="",BF395=IFERROR(MATCH('Tasks Filter'!$I$4,Setup!$L$6:$L$9,0),0)),OR('Tasks Filter'!$I$5="Both",AND('Tasks Filter'!$I$5="Yes",BB395="✓"),AND('Tasks Filter'!$I$5="No",BB395&lt;&gt;"✓")),OR('Tasks Filter'!$L$3="",AV395='Tasks Filter'!$L$3),OR('Tasks Filter'!$L$4="",AZ395='Tasks Filter'!$L$4),OR('Tasks Filter'!$L$5="",BC395='Tasks Filter'!$L$5),OR('Tasks Filter'!$O$3="",BD395='Tasks Filter'!$O$3),OR('Tasks Filter'!$O$4="Yes",BG395=0)),1,0))</f>
        <v/>
      </c>
      <c r="BJ395">
        <f>IF(BH395=0,"",IF('Tasks Filter'!$F$6="Descending",-1,1)*CHOOSE(MATCH('Tasks Filter'!$F$5,Lists!$G$2:$G$6,0),AW395,BF395,IFERROR(MATCH(AV395,Setup!$F$6:$F$15,0),99),IFERROR(MATCH(BC395,Setup!$H$6:$H$15,0),99),IFERROR(MATCH(AZ395,Setup!$J$6:$J$11,0),99))*1E+9+(AW395-40000)*10000+394)</f>
        <v/>
      </c>
      <c r="BK395">
        <f>IF(BI395=1,BJ395,"")</f>
        <v/>
      </c>
      <c r="BL395">
        <f>IF(AND(BH395=1,BG395=0,N(AW395)&lt;Setup!$D$7),(AW395-40000)*10000+394,"")</f>
        <v/>
      </c>
      <c r="BM395">
        <f>IF(AND(BH395=1,AZ395&lt;&gt;"Cancelled",N(AW395)&gt;=Dashboard!$AB$3,N(AW395)&lt;=Dashboard!$AB$3+6),(AW395-40000)*100000+BF395*10000+394,"")</f>
        <v/>
      </c>
      <c r="BN395">
        <f>IF(AND(BH395=1,AZ395&lt;&gt;"Cancelled"),BF395*10000+394,"")</f>
        <v/>
      </c>
    </row>
    <row r="396">
      <c r="AS396" t="inlineStr">
        <is>
          <t>R</t>
        </is>
      </c>
      <c r="AT396" t="n">
        <v>400</v>
      </c>
      <c r="AU396">
        <f>'Recurring Log'!C400&amp;""</f>
        <v/>
      </c>
      <c r="AV396">
        <f>'Recurring Log'!D400&amp;""</f>
        <v/>
      </c>
      <c r="AW396">
        <f>IF('Recurring Log'!E400="","",'Recurring Log'!E400)</f>
        <v/>
      </c>
      <c r="AX396">
        <f>IF('Recurring Log'!G400="","",'Recurring Log'!G400)</f>
        <v/>
      </c>
      <c r="AY396">
        <f>IF('Recurring Log'!H400="","",'Recurring Log'!H400)</f>
        <v/>
      </c>
      <c r="AZ396">
        <f>IF(AU396="","",IF('Recurring Log'!J400="","Not Started",'Recurring Log'!J400))</f>
        <v/>
      </c>
      <c r="BA396">
        <f>'Recurring Log'!L400&amp;""</f>
        <v/>
      </c>
      <c r="BB396">
        <f>'Recurring Log'!M400&amp;""</f>
        <v/>
      </c>
      <c r="BC396">
        <f>'Recurring Log'!N400&amp;""</f>
        <v/>
      </c>
      <c r="BD396">
        <f>'Recurring Log'!O400&amp;""</f>
        <v/>
      </c>
      <c r="BE396">
        <f>IF('Recurring Log'!K400="","",'Recurring Log'!K400)</f>
        <v/>
      </c>
      <c r="BF396">
        <f>IFERROR(MATCH(BA396,Setup!$L$6:$L$9,0),5)</f>
        <v/>
      </c>
      <c r="BG396">
        <f>IF(OR(AZ396="Done",AZ396="Cancelled"),1,0)</f>
        <v/>
      </c>
      <c r="BH396">
        <f>IF(AND(AU396&lt;&gt;"",ISNUMBER(AW396)),1,0)</f>
        <v/>
      </c>
      <c r="BI396">
        <f>IF(BH396=0,0,IF(AND(AW396&gt;='Tasks Filter'!$F$3,AW396&lt;='Tasks Filter'!$F$4,OR('Tasks Filter'!$I$3="",ISNUMBER(SEARCH('Tasks Filter'!$I$3,AU396))),OR('Tasks Filter'!$I$4="",BF396=IFERROR(MATCH('Tasks Filter'!$I$4,Setup!$L$6:$L$9,0),0)),OR('Tasks Filter'!$I$5="Both",AND('Tasks Filter'!$I$5="Yes",BB396="✓"),AND('Tasks Filter'!$I$5="No",BB396&lt;&gt;"✓")),OR('Tasks Filter'!$L$3="",AV396='Tasks Filter'!$L$3),OR('Tasks Filter'!$L$4="",AZ396='Tasks Filter'!$L$4),OR('Tasks Filter'!$L$5="",BC396='Tasks Filter'!$L$5),OR('Tasks Filter'!$O$3="",BD396='Tasks Filter'!$O$3),OR('Tasks Filter'!$O$4="Yes",BG396=0)),1,0))</f>
        <v/>
      </c>
      <c r="BJ396">
        <f>IF(BH396=0,"",IF('Tasks Filter'!$F$6="Descending",-1,1)*CHOOSE(MATCH('Tasks Filter'!$F$5,Lists!$G$2:$G$6,0),AW396,BF396,IFERROR(MATCH(AV396,Setup!$F$6:$F$15,0),99),IFERROR(MATCH(BC396,Setup!$H$6:$H$15,0),99),IFERROR(MATCH(AZ396,Setup!$J$6:$J$11,0),99))*1E+9+(AW396-40000)*10000+395)</f>
        <v/>
      </c>
      <c r="BK396">
        <f>IF(BI396=1,BJ396,"")</f>
        <v/>
      </c>
      <c r="BL396">
        <f>IF(AND(BH396=1,BG396=0,N(AW396)&lt;Setup!$D$7),(AW396-40000)*10000+395,"")</f>
        <v/>
      </c>
      <c r="BM396">
        <f>IF(AND(BH396=1,AZ396&lt;&gt;"Cancelled",N(AW396)&gt;=Dashboard!$AB$3,N(AW396)&lt;=Dashboard!$AB$3+6),(AW396-40000)*100000+BF396*10000+395,"")</f>
        <v/>
      </c>
      <c r="BN396">
        <f>IF(AND(BH396=1,AZ396&lt;&gt;"Cancelled"),BF396*10000+395,"")</f>
        <v/>
      </c>
    </row>
    <row r="397">
      <c r="AS397" t="inlineStr">
        <is>
          <t>R</t>
        </is>
      </c>
      <c r="AT397" t="n">
        <v>401</v>
      </c>
      <c r="AU397">
        <f>'Recurring Log'!C401&amp;""</f>
        <v/>
      </c>
      <c r="AV397">
        <f>'Recurring Log'!D401&amp;""</f>
        <v/>
      </c>
      <c r="AW397">
        <f>IF('Recurring Log'!E401="","",'Recurring Log'!E401)</f>
        <v/>
      </c>
      <c r="AX397">
        <f>IF('Recurring Log'!G401="","",'Recurring Log'!G401)</f>
        <v/>
      </c>
      <c r="AY397">
        <f>IF('Recurring Log'!H401="","",'Recurring Log'!H401)</f>
        <v/>
      </c>
      <c r="AZ397">
        <f>IF(AU397="","",IF('Recurring Log'!J401="","Not Started",'Recurring Log'!J401))</f>
        <v/>
      </c>
      <c r="BA397">
        <f>'Recurring Log'!L401&amp;""</f>
        <v/>
      </c>
      <c r="BB397">
        <f>'Recurring Log'!M401&amp;""</f>
        <v/>
      </c>
      <c r="BC397">
        <f>'Recurring Log'!N401&amp;""</f>
        <v/>
      </c>
      <c r="BD397">
        <f>'Recurring Log'!O401&amp;""</f>
        <v/>
      </c>
      <c r="BE397">
        <f>IF('Recurring Log'!K401="","",'Recurring Log'!K401)</f>
        <v/>
      </c>
      <c r="BF397">
        <f>IFERROR(MATCH(BA397,Setup!$L$6:$L$9,0),5)</f>
        <v/>
      </c>
      <c r="BG397">
        <f>IF(OR(AZ397="Done",AZ397="Cancelled"),1,0)</f>
        <v/>
      </c>
      <c r="BH397">
        <f>IF(AND(AU397&lt;&gt;"",ISNUMBER(AW397)),1,0)</f>
        <v/>
      </c>
      <c r="BI397">
        <f>IF(BH397=0,0,IF(AND(AW397&gt;='Tasks Filter'!$F$3,AW397&lt;='Tasks Filter'!$F$4,OR('Tasks Filter'!$I$3="",ISNUMBER(SEARCH('Tasks Filter'!$I$3,AU397))),OR('Tasks Filter'!$I$4="",BF397=IFERROR(MATCH('Tasks Filter'!$I$4,Setup!$L$6:$L$9,0),0)),OR('Tasks Filter'!$I$5="Both",AND('Tasks Filter'!$I$5="Yes",BB397="✓"),AND('Tasks Filter'!$I$5="No",BB397&lt;&gt;"✓")),OR('Tasks Filter'!$L$3="",AV397='Tasks Filter'!$L$3),OR('Tasks Filter'!$L$4="",AZ397='Tasks Filter'!$L$4),OR('Tasks Filter'!$L$5="",BC397='Tasks Filter'!$L$5),OR('Tasks Filter'!$O$3="",BD397='Tasks Filter'!$O$3),OR('Tasks Filter'!$O$4="Yes",BG397=0)),1,0))</f>
        <v/>
      </c>
      <c r="BJ397">
        <f>IF(BH397=0,"",IF('Tasks Filter'!$F$6="Descending",-1,1)*CHOOSE(MATCH('Tasks Filter'!$F$5,Lists!$G$2:$G$6,0),AW397,BF397,IFERROR(MATCH(AV397,Setup!$F$6:$F$15,0),99),IFERROR(MATCH(BC397,Setup!$H$6:$H$15,0),99),IFERROR(MATCH(AZ397,Setup!$J$6:$J$11,0),99))*1E+9+(AW397-40000)*10000+396)</f>
        <v/>
      </c>
      <c r="BK397">
        <f>IF(BI397=1,BJ397,"")</f>
        <v/>
      </c>
      <c r="BL397">
        <f>IF(AND(BH397=1,BG397=0,N(AW397)&lt;Setup!$D$7),(AW397-40000)*10000+396,"")</f>
        <v/>
      </c>
      <c r="BM397">
        <f>IF(AND(BH397=1,AZ397&lt;&gt;"Cancelled",N(AW397)&gt;=Dashboard!$AB$3,N(AW397)&lt;=Dashboard!$AB$3+6),(AW397-40000)*100000+BF397*10000+396,"")</f>
        <v/>
      </c>
      <c r="BN397">
        <f>IF(AND(BH397=1,AZ397&lt;&gt;"Cancelled"),BF397*10000+396,"")</f>
        <v/>
      </c>
    </row>
    <row r="398">
      <c r="AS398" t="inlineStr">
        <is>
          <t>R</t>
        </is>
      </c>
      <c r="AT398" t="n">
        <v>402</v>
      </c>
      <c r="AU398">
        <f>'Recurring Log'!C402&amp;""</f>
        <v/>
      </c>
      <c r="AV398">
        <f>'Recurring Log'!D402&amp;""</f>
        <v/>
      </c>
      <c r="AW398">
        <f>IF('Recurring Log'!E402="","",'Recurring Log'!E402)</f>
        <v/>
      </c>
      <c r="AX398">
        <f>IF('Recurring Log'!G402="","",'Recurring Log'!G402)</f>
        <v/>
      </c>
      <c r="AY398">
        <f>IF('Recurring Log'!H402="","",'Recurring Log'!H402)</f>
        <v/>
      </c>
      <c r="AZ398">
        <f>IF(AU398="","",IF('Recurring Log'!J402="","Not Started",'Recurring Log'!J402))</f>
        <v/>
      </c>
      <c r="BA398">
        <f>'Recurring Log'!L402&amp;""</f>
        <v/>
      </c>
      <c r="BB398">
        <f>'Recurring Log'!M402&amp;""</f>
        <v/>
      </c>
      <c r="BC398">
        <f>'Recurring Log'!N402&amp;""</f>
        <v/>
      </c>
      <c r="BD398">
        <f>'Recurring Log'!O402&amp;""</f>
        <v/>
      </c>
      <c r="BE398">
        <f>IF('Recurring Log'!K402="","",'Recurring Log'!K402)</f>
        <v/>
      </c>
      <c r="BF398">
        <f>IFERROR(MATCH(BA398,Setup!$L$6:$L$9,0),5)</f>
        <v/>
      </c>
      <c r="BG398">
        <f>IF(OR(AZ398="Done",AZ398="Cancelled"),1,0)</f>
        <v/>
      </c>
      <c r="BH398">
        <f>IF(AND(AU398&lt;&gt;"",ISNUMBER(AW398)),1,0)</f>
        <v/>
      </c>
      <c r="BI398">
        <f>IF(BH398=0,0,IF(AND(AW398&gt;='Tasks Filter'!$F$3,AW398&lt;='Tasks Filter'!$F$4,OR('Tasks Filter'!$I$3="",ISNUMBER(SEARCH('Tasks Filter'!$I$3,AU398))),OR('Tasks Filter'!$I$4="",BF398=IFERROR(MATCH('Tasks Filter'!$I$4,Setup!$L$6:$L$9,0),0)),OR('Tasks Filter'!$I$5="Both",AND('Tasks Filter'!$I$5="Yes",BB398="✓"),AND('Tasks Filter'!$I$5="No",BB398&lt;&gt;"✓")),OR('Tasks Filter'!$L$3="",AV398='Tasks Filter'!$L$3),OR('Tasks Filter'!$L$4="",AZ398='Tasks Filter'!$L$4),OR('Tasks Filter'!$L$5="",BC398='Tasks Filter'!$L$5),OR('Tasks Filter'!$O$3="",BD398='Tasks Filter'!$O$3),OR('Tasks Filter'!$O$4="Yes",BG398=0)),1,0))</f>
        <v/>
      </c>
      <c r="BJ398">
        <f>IF(BH398=0,"",IF('Tasks Filter'!$F$6="Descending",-1,1)*CHOOSE(MATCH('Tasks Filter'!$F$5,Lists!$G$2:$G$6,0),AW398,BF398,IFERROR(MATCH(AV398,Setup!$F$6:$F$15,0),99),IFERROR(MATCH(BC398,Setup!$H$6:$H$15,0),99),IFERROR(MATCH(AZ398,Setup!$J$6:$J$11,0),99))*1E+9+(AW398-40000)*10000+397)</f>
        <v/>
      </c>
      <c r="BK398">
        <f>IF(BI398=1,BJ398,"")</f>
        <v/>
      </c>
      <c r="BL398">
        <f>IF(AND(BH398=1,BG398=0,N(AW398)&lt;Setup!$D$7),(AW398-40000)*10000+397,"")</f>
        <v/>
      </c>
      <c r="BM398">
        <f>IF(AND(BH398=1,AZ398&lt;&gt;"Cancelled",N(AW398)&gt;=Dashboard!$AB$3,N(AW398)&lt;=Dashboard!$AB$3+6),(AW398-40000)*100000+BF398*10000+397,"")</f>
        <v/>
      </c>
      <c r="BN398">
        <f>IF(AND(BH398=1,AZ398&lt;&gt;"Cancelled"),BF398*10000+397,"")</f>
        <v/>
      </c>
    </row>
    <row r="399">
      <c r="AS399" t="inlineStr">
        <is>
          <t>R</t>
        </is>
      </c>
      <c r="AT399" t="n">
        <v>403</v>
      </c>
      <c r="AU399">
        <f>'Recurring Log'!C403&amp;""</f>
        <v/>
      </c>
      <c r="AV399">
        <f>'Recurring Log'!D403&amp;""</f>
        <v/>
      </c>
      <c r="AW399">
        <f>IF('Recurring Log'!E403="","",'Recurring Log'!E403)</f>
        <v/>
      </c>
      <c r="AX399">
        <f>IF('Recurring Log'!G403="","",'Recurring Log'!G403)</f>
        <v/>
      </c>
      <c r="AY399">
        <f>IF('Recurring Log'!H403="","",'Recurring Log'!H403)</f>
        <v/>
      </c>
      <c r="AZ399">
        <f>IF(AU399="","",IF('Recurring Log'!J403="","Not Started",'Recurring Log'!J403))</f>
        <v/>
      </c>
      <c r="BA399">
        <f>'Recurring Log'!L403&amp;""</f>
        <v/>
      </c>
      <c r="BB399">
        <f>'Recurring Log'!M403&amp;""</f>
        <v/>
      </c>
      <c r="BC399">
        <f>'Recurring Log'!N403&amp;""</f>
        <v/>
      </c>
      <c r="BD399">
        <f>'Recurring Log'!O403&amp;""</f>
        <v/>
      </c>
      <c r="BE399">
        <f>IF('Recurring Log'!K403="","",'Recurring Log'!K403)</f>
        <v/>
      </c>
      <c r="BF399">
        <f>IFERROR(MATCH(BA399,Setup!$L$6:$L$9,0),5)</f>
        <v/>
      </c>
      <c r="BG399">
        <f>IF(OR(AZ399="Done",AZ399="Cancelled"),1,0)</f>
        <v/>
      </c>
      <c r="BH399">
        <f>IF(AND(AU399&lt;&gt;"",ISNUMBER(AW399)),1,0)</f>
        <v/>
      </c>
      <c r="BI399">
        <f>IF(BH399=0,0,IF(AND(AW399&gt;='Tasks Filter'!$F$3,AW399&lt;='Tasks Filter'!$F$4,OR('Tasks Filter'!$I$3="",ISNUMBER(SEARCH('Tasks Filter'!$I$3,AU399))),OR('Tasks Filter'!$I$4="",BF399=IFERROR(MATCH('Tasks Filter'!$I$4,Setup!$L$6:$L$9,0),0)),OR('Tasks Filter'!$I$5="Both",AND('Tasks Filter'!$I$5="Yes",BB399="✓"),AND('Tasks Filter'!$I$5="No",BB399&lt;&gt;"✓")),OR('Tasks Filter'!$L$3="",AV399='Tasks Filter'!$L$3),OR('Tasks Filter'!$L$4="",AZ399='Tasks Filter'!$L$4),OR('Tasks Filter'!$L$5="",BC399='Tasks Filter'!$L$5),OR('Tasks Filter'!$O$3="",BD399='Tasks Filter'!$O$3),OR('Tasks Filter'!$O$4="Yes",BG399=0)),1,0))</f>
        <v/>
      </c>
      <c r="BJ399">
        <f>IF(BH399=0,"",IF('Tasks Filter'!$F$6="Descending",-1,1)*CHOOSE(MATCH('Tasks Filter'!$F$5,Lists!$G$2:$G$6,0),AW399,BF399,IFERROR(MATCH(AV399,Setup!$F$6:$F$15,0),99),IFERROR(MATCH(BC399,Setup!$H$6:$H$15,0),99),IFERROR(MATCH(AZ399,Setup!$J$6:$J$11,0),99))*1E+9+(AW399-40000)*10000+398)</f>
        <v/>
      </c>
      <c r="BK399">
        <f>IF(BI399=1,BJ399,"")</f>
        <v/>
      </c>
      <c r="BL399">
        <f>IF(AND(BH399=1,BG399=0,N(AW399)&lt;Setup!$D$7),(AW399-40000)*10000+398,"")</f>
        <v/>
      </c>
      <c r="BM399">
        <f>IF(AND(BH399=1,AZ399&lt;&gt;"Cancelled",N(AW399)&gt;=Dashboard!$AB$3,N(AW399)&lt;=Dashboard!$AB$3+6),(AW399-40000)*100000+BF399*10000+398,"")</f>
        <v/>
      </c>
      <c r="BN399">
        <f>IF(AND(BH399=1,AZ399&lt;&gt;"Cancelled"),BF399*10000+398,"")</f>
        <v/>
      </c>
    </row>
    <row r="400">
      <c r="AS400" t="inlineStr">
        <is>
          <t>R</t>
        </is>
      </c>
      <c r="AT400" t="n">
        <v>404</v>
      </c>
      <c r="AU400">
        <f>'Recurring Log'!C404&amp;""</f>
        <v/>
      </c>
      <c r="AV400">
        <f>'Recurring Log'!D404&amp;""</f>
        <v/>
      </c>
      <c r="AW400">
        <f>IF('Recurring Log'!E404="","",'Recurring Log'!E404)</f>
        <v/>
      </c>
      <c r="AX400">
        <f>IF('Recurring Log'!G404="","",'Recurring Log'!G404)</f>
        <v/>
      </c>
      <c r="AY400">
        <f>IF('Recurring Log'!H404="","",'Recurring Log'!H404)</f>
        <v/>
      </c>
      <c r="AZ400">
        <f>IF(AU400="","",IF('Recurring Log'!J404="","Not Started",'Recurring Log'!J404))</f>
        <v/>
      </c>
      <c r="BA400">
        <f>'Recurring Log'!L404&amp;""</f>
        <v/>
      </c>
      <c r="BB400">
        <f>'Recurring Log'!M404&amp;""</f>
        <v/>
      </c>
      <c r="BC400">
        <f>'Recurring Log'!N404&amp;""</f>
        <v/>
      </c>
      <c r="BD400">
        <f>'Recurring Log'!O404&amp;""</f>
        <v/>
      </c>
      <c r="BE400">
        <f>IF('Recurring Log'!K404="","",'Recurring Log'!K404)</f>
        <v/>
      </c>
      <c r="BF400">
        <f>IFERROR(MATCH(BA400,Setup!$L$6:$L$9,0),5)</f>
        <v/>
      </c>
      <c r="BG400">
        <f>IF(OR(AZ400="Done",AZ400="Cancelled"),1,0)</f>
        <v/>
      </c>
      <c r="BH400">
        <f>IF(AND(AU400&lt;&gt;"",ISNUMBER(AW400)),1,0)</f>
        <v/>
      </c>
      <c r="BI400">
        <f>IF(BH400=0,0,IF(AND(AW400&gt;='Tasks Filter'!$F$3,AW400&lt;='Tasks Filter'!$F$4,OR('Tasks Filter'!$I$3="",ISNUMBER(SEARCH('Tasks Filter'!$I$3,AU400))),OR('Tasks Filter'!$I$4="",BF400=IFERROR(MATCH('Tasks Filter'!$I$4,Setup!$L$6:$L$9,0),0)),OR('Tasks Filter'!$I$5="Both",AND('Tasks Filter'!$I$5="Yes",BB400="✓"),AND('Tasks Filter'!$I$5="No",BB400&lt;&gt;"✓")),OR('Tasks Filter'!$L$3="",AV400='Tasks Filter'!$L$3),OR('Tasks Filter'!$L$4="",AZ400='Tasks Filter'!$L$4),OR('Tasks Filter'!$L$5="",BC400='Tasks Filter'!$L$5),OR('Tasks Filter'!$O$3="",BD400='Tasks Filter'!$O$3),OR('Tasks Filter'!$O$4="Yes",BG400=0)),1,0))</f>
        <v/>
      </c>
      <c r="BJ400">
        <f>IF(BH400=0,"",IF('Tasks Filter'!$F$6="Descending",-1,1)*CHOOSE(MATCH('Tasks Filter'!$F$5,Lists!$G$2:$G$6,0),AW400,BF400,IFERROR(MATCH(AV400,Setup!$F$6:$F$15,0),99),IFERROR(MATCH(BC400,Setup!$H$6:$H$15,0),99),IFERROR(MATCH(AZ400,Setup!$J$6:$J$11,0),99))*1E+9+(AW400-40000)*10000+399)</f>
        <v/>
      </c>
      <c r="BK400">
        <f>IF(BI400=1,BJ400,"")</f>
        <v/>
      </c>
      <c r="BL400">
        <f>IF(AND(BH400=1,BG400=0,N(AW400)&lt;Setup!$D$7),(AW400-40000)*10000+399,"")</f>
        <v/>
      </c>
      <c r="BM400">
        <f>IF(AND(BH400=1,AZ400&lt;&gt;"Cancelled",N(AW400)&gt;=Dashboard!$AB$3,N(AW400)&lt;=Dashboard!$AB$3+6),(AW400-40000)*100000+BF400*10000+399,"")</f>
        <v/>
      </c>
      <c r="BN400">
        <f>IF(AND(BH400=1,AZ400&lt;&gt;"Cancelled"),BF400*10000+399,"")</f>
        <v/>
      </c>
    </row>
    <row r="401">
      <c r="AS401" t="inlineStr">
        <is>
          <t>R</t>
        </is>
      </c>
      <c r="AT401" t="n">
        <v>405</v>
      </c>
      <c r="AU401">
        <f>'Recurring Log'!C405&amp;""</f>
        <v/>
      </c>
      <c r="AV401">
        <f>'Recurring Log'!D405&amp;""</f>
        <v/>
      </c>
      <c r="AW401">
        <f>IF('Recurring Log'!E405="","",'Recurring Log'!E405)</f>
        <v/>
      </c>
      <c r="AX401">
        <f>IF('Recurring Log'!G405="","",'Recurring Log'!G405)</f>
        <v/>
      </c>
      <c r="AY401">
        <f>IF('Recurring Log'!H405="","",'Recurring Log'!H405)</f>
        <v/>
      </c>
      <c r="AZ401">
        <f>IF(AU401="","",IF('Recurring Log'!J405="","Not Started",'Recurring Log'!J405))</f>
        <v/>
      </c>
      <c r="BA401">
        <f>'Recurring Log'!L405&amp;""</f>
        <v/>
      </c>
      <c r="BB401">
        <f>'Recurring Log'!M405&amp;""</f>
        <v/>
      </c>
      <c r="BC401">
        <f>'Recurring Log'!N405&amp;""</f>
        <v/>
      </c>
      <c r="BD401">
        <f>'Recurring Log'!O405&amp;""</f>
        <v/>
      </c>
      <c r="BE401">
        <f>IF('Recurring Log'!K405="","",'Recurring Log'!K405)</f>
        <v/>
      </c>
      <c r="BF401">
        <f>IFERROR(MATCH(BA401,Setup!$L$6:$L$9,0),5)</f>
        <v/>
      </c>
      <c r="BG401">
        <f>IF(OR(AZ401="Done",AZ401="Cancelled"),1,0)</f>
        <v/>
      </c>
      <c r="BH401">
        <f>IF(AND(AU401&lt;&gt;"",ISNUMBER(AW401)),1,0)</f>
        <v/>
      </c>
      <c r="BI401">
        <f>IF(BH401=0,0,IF(AND(AW401&gt;='Tasks Filter'!$F$3,AW401&lt;='Tasks Filter'!$F$4,OR('Tasks Filter'!$I$3="",ISNUMBER(SEARCH('Tasks Filter'!$I$3,AU401))),OR('Tasks Filter'!$I$4="",BF401=IFERROR(MATCH('Tasks Filter'!$I$4,Setup!$L$6:$L$9,0),0)),OR('Tasks Filter'!$I$5="Both",AND('Tasks Filter'!$I$5="Yes",BB401="✓"),AND('Tasks Filter'!$I$5="No",BB401&lt;&gt;"✓")),OR('Tasks Filter'!$L$3="",AV401='Tasks Filter'!$L$3),OR('Tasks Filter'!$L$4="",AZ401='Tasks Filter'!$L$4),OR('Tasks Filter'!$L$5="",BC401='Tasks Filter'!$L$5),OR('Tasks Filter'!$O$3="",BD401='Tasks Filter'!$O$3),OR('Tasks Filter'!$O$4="Yes",BG401=0)),1,0))</f>
        <v/>
      </c>
      <c r="BJ401">
        <f>IF(BH401=0,"",IF('Tasks Filter'!$F$6="Descending",-1,1)*CHOOSE(MATCH('Tasks Filter'!$F$5,Lists!$G$2:$G$6,0),AW401,BF401,IFERROR(MATCH(AV401,Setup!$F$6:$F$15,0),99),IFERROR(MATCH(BC401,Setup!$H$6:$H$15,0),99),IFERROR(MATCH(AZ401,Setup!$J$6:$J$11,0),99))*1E+9+(AW401-40000)*10000+400)</f>
        <v/>
      </c>
      <c r="BK401">
        <f>IF(BI401=1,BJ401,"")</f>
        <v/>
      </c>
      <c r="BL401">
        <f>IF(AND(BH401=1,BG401=0,N(AW401)&lt;Setup!$D$7),(AW401-40000)*10000+400,"")</f>
        <v/>
      </c>
      <c r="BM401">
        <f>IF(AND(BH401=1,AZ401&lt;&gt;"Cancelled",N(AW401)&gt;=Dashboard!$AB$3,N(AW401)&lt;=Dashboard!$AB$3+6),(AW401-40000)*100000+BF401*10000+400,"")</f>
        <v/>
      </c>
      <c r="BN401">
        <f>IF(AND(BH401=1,AZ401&lt;&gt;"Cancelled"),BF401*10000+400,"")</f>
        <v/>
      </c>
    </row>
    <row r="402">
      <c r="AS402" t="inlineStr">
        <is>
          <t>R</t>
        </is>
      </c>
      <c r="AT402" t="n">
        <v>406</v>
      </c>
      <c r="AU402">
        <f>'Recurring Log'!C406&amp;""</f>
        <v/>
      </c>
      <c r="AV402">
        <f>'Recurring Log'!D406&amp;""</f>
        <v/>
      </c>
      <c r="AW402">
        <f>IF('Recurring Log'!E406="","",'Recurring Log'!E406)</f>
        <v/>
      </c>
      <c r="AX402">
        <f>IF('Recurring Log'!G406="","",'Recurring Log'!G406)</f>
        <v/>
      </c>
      <c r="AY402">
        <f>IF('Recurring Log'!H406="","",'Recurring Log'!H406)</f>
        <v/>
      </c>
      <c r="AZ402">
        <f>IF(AU402="","",IF('Recurring Log'!J406="","Not Started",'Recurring Log'!J406))</f>
        <v/>
      </c>
      <c r="BA402">
        <f>'Recurring Log'!L406&amp;""</f>
        <v/>
      </c>
      <c r="BB402">
        <f>'Recurring Log'!M406&amp;""</f>
        <v/>
      </c>
      <c r="BC402">
        <f>'Recurring Log'!N406&amp;""</f>
        <v/>
      </c>
      <c r="BD402">
        <f>'Recurring Log'!O406&amp;""</f>
        <v/>
      </c>
      <c r="BE402">
        <f>IF('Recurring Log'!K406="","",'Recurring Log'!K406)</f>
        <v/>
      </c>
      <c r="BF402">
        <f>IFERROR(MATCH(BA402,Setup!$L$6:$L$9,0),5)</f>
        <v/>
      </c>
      <c r="BG402">
        <f>IF(OR(AZ402="Done",AZ402="Cancelled"),1,0)</f>
        <v/>
      </c>
      <c r="BH402">
        <f>IF(AND(AU402&lt;&gt;"",ISNUMBER(AW402)),1,0)</f>
        <v/>
      </c>
      <c r="BI402">
        <f>IF(BH402=0,0,IF(AND(AW402&gt;='Tasks Filter'!$F$3,AW402&lt;='Tasks Filter'!$F$4,OR('Tasks Filter'!$I$3="",ISNUMBER(SEARCH('Tasks Filter'!$I$3,AU402))),OR('Tasks Filter'!$I$4="",BF402=IFERROR(MATCH('Tasks Filter'!$I$4,Setup!$L$6:$L$9,0),0)),OR('Tasks Filter'!$I$5="Both",AND('Tasks Filter'!$I$5="Yes",BB402="✓"),AND('Tasks Filter'!$I$5="No",BB402&lt;&gt;"✓")),OR('Tasks Filter'!$L$3="",AV402='Tasks Filter'!$L$3),OR('Tasks Filter'!$L$4="",AZ402='Tasks Filter'!$L$4),OR('Tasks Filter'!$L$5="",BC402='Tasks Filter'!$L$5),OR('Tasks Filter'!$O$3="",BD402='Tasks Filter'!$O$3),OR('Tasks Filter'!$O$4="Yes",BG402=0)),1,0))</f>
        <v/>
      </c>
      <c r="BJ402">
        <f>IF(BH402=0,"",IF('Tasks Filter'!$F$6="Descending",-1,1)*CHOOSE(MATCH('Tasks Filter'!$F$5,Lists!$G$2:$G$6,0),AW402,BF402,IFERROR(MATCH(AV402,Setup!$F$6:$F$15,0),99),IFERROR(MATCH(BC402,Setup!$H$6:$H$15,0),99),IFERROR(MATCH(AZ402,Setup!$J$6:$J$11,0),99))*1E+9+(AW402-40000)*10000+401)</f>
        <v/>
      </c>
      <c r="BK402">
        <f>IF(BI402=1,BJ402,"")</f>
        <v/>
      </c>
      <c r="BL402">
        <f>IF(AND(BH402=1,BG402=0,N(AW402)&lt;Setup!$D$7),(AW402-40000)*10000+401,"")</f>
        <v/>
      </c>
      <c r="BM402">
        <f>IF(AND(BH402=1,AZ402&lt;&gt;"Cancelled",N(AW402)&gt;=Dashboard!$AB$3,N(AW402)&lt;=Dashboard!$AB$3+6),(AW402-40000)*100000+BF402*10000+401,"")</f>
        <v/>
      </c>
      <c r="BN402">
        <f>IF(AND(BH402=1,AZ402&lt;&gt;"Cancelled"),BF402*10000+401,"")</f>
        <v/>
      </c>
    </row>
    <row r="403">
      <c r="AS403" t="inlineStr">
        <is>
          <t>R</t>
        </is>
      </c>
      <c r="AT403" t="n">
        <v>407</v>
      </c>
      <c r="AU403">
        <f>'Recurring Log'!C407&amp;""</f>
        <v/>
      </c>
      <c r="AV403">
        <f>'Recurring Log'!D407&amp;""</f>
        <v/>
      </c>
      <c r="AW403">
        <f>IF('Recurring Log'!E407="","",'Recurring Log'!E407)</f>
        <v/>
      </c>
      <c r="AX403">
        <f>IF('Recurring Log'!G407="","",'Recurring Log'!G407)</f>
        <v/>
      </c>
      <c r="AY403">
        <f>IF('Recurring Log'!H407="","",'Recurring Log'!H407)</f>
        <v/>
      </c>
      <c r="AZ403">
        <f>IF(AU403="","",IF('Recurring Log'!J407="","Not Started",'Recurring Log'!J407))</f>
        <v/>
      </c>
      <c r="BA403">
        <f>'Recurring Log'!L407&amp;""</f>
        <v/>
      </c>
      <c r="BB403">
        <f>'Recurring Log'!M407&amp;""</f>
        <v/>
      </c>
      <c r="BC403">
        <f>'Recurring Log'!N407&amp;""</f>
        <v/>
      </c>
      <c r="BD403">
        <f>'Recurring Log'!O407&amp;""</f>
        <v/>
      </c>
      <c r="BE403">
        <f>IF('Recurring Log'!K407="","",'Recurring Log'!K407)</f>
        <v/>
      </c>
      <c r="BF403">
        <f>IFERROR(MATCH(BA403,Setup!$L$6:$L$9,0),5)</f>
        <v/>
      </c>
      <c r="BG403">
        <f>IF(OR(AZ403="Done",AZ403="Cancelled"),1,0)</f>
        <v/>
      </c>
      <c r="BH403">
        <f>IF(AND(AU403&lt;&gt;"",ISNUMBER(AW403)),1,0)</f>
        <v/>
      </c>
      <c r="BI403">
        <f>IF(BH403=0,0,IF(AND(AW403&gt;='Tasks Filter'!$F$3,AW403&lt;='Tasks Filter'!$F$4,OR('Tasks Filter'!$I$3="",ISNUMBER(SEARCH('Tasks Filter'!$I$3,AU403))),OR('Tasks Filter'!$I$4="",BF403=IFERROR(MATCH('Tasks Filter'!$I$4,Setup!$L$6:$L$9,0),0)),OR('Tasks Filter'!$I$5="Both",AND('Tasks Filter'!$I$5="Yes",BB403="✓"),AND('Tasks Filter'!$I$5="No",BB403&lt;&gt;"✓")),OR('Tasks Filter'!$L$3="",AV403='Tasks Filter'!$L$3),OR('Tasks Filter'!$L$4="",AZ403='Tasks Filter'!$L$4),OR('Tasks Filter'!$L$5="",BC403='Tasks Filter'!$L$5),OR('Tasks Filter'!$O$3="",BD403='Tasks Filter'!$O$3),OR('Tasks Filter'!$O$4="Yes",BG403=0)),1,0))</f>
        <v/>
      </c>
      <c r="BJ403">
        <f>IF(BH403=0,"",IF('Tasks Filter'!$F$6="Descending",-1,1)*CHOOSE(MATCH('Tasks Filter'!$F$5,Lists!$G$2:$G$6,0),AW403,BF403,IFERROR(MATCH(AV403,Setup!$F$6:$F$15,0),99),IFERROR(MATCH(BC403,Setup!$H$6:$H$15,0),99),IFERROR(MATCH(AZ403,Setup!$J$6:$J$11,0),99))*1E+9+(AW403-40000)*10000+402)</f>
        <v/>
      </c>
      <c r="BK403">
        <f>IF(BI403=1,BJ403,"")</f>
        <v/>
      </c>
      <c r="BL403">
        <f>IF(AND(BH403=1,BG403=0,N(AW403)&lt;Setup!$D$7),(AW403-40000)*10000+402,"")</f>
        <v/>
      </c>
      <c r="BM403">
        <f>IF(AND(BH403=1,AZ403&lt;&gt;"Cancelled",N(AW403)&gt;=Dashboard!$AB$3,N(AW403)&lt;=Dashboard!$AB$3+6),(AW403-40000)*100000+BF403*10000+402,"")</f>
        <v/>
      </c>
      <c r="BN403">
        <f>IF(AND(BH403=1,AZ403&lt;&gt;"Cancelled"),BF403*10000+402,"")</f>
        <v/>
      </c>
    </row>
    <row r="404">
      <c r="AS404" t="inlineStr">
        <is>
          <t>R</t>
        </is>
      </c>
      <c r="AT404" t="n">
        <v>408</v>
      </c>
      <c r="AU404">
        <f>'Recurring Log'!C408&amp;""</f>
        <v/>
      </c>
      <c r="AV404">
        <f>'Recurring Log'!D408&amp;""</f>
        <v/>
      </c>
      <c r="AW404">
        <f>IF('Recurring Log'!E408="","",'Recurring Log'!E408)</f>
        <v/>
      </c>
      <c r="AX404">
        <f>IF('Recurring Log'!G408="","",'Recurring Log'!G408)</f>
        <v/>
      </c>
      <c r="AY404">
        <f>IF('Recurring Log'!H408="","",'Recurring Log'!H408)</f>
        <v/>
      </c>
      <c r="AZ404">
        <f>IF(AU404="","",IF('Recurring Log'!J408="","Not Started",'Recurring Log'!J408))</f>
        <v/>
      </c>
      <c r="BA404">
        <f>'Recurring Log'!L408&amp;""</f>
        <v/>
      </c>
      <c r="BB404">
        <f>'Recurring Log'!M408&amp;""</f>
        <v/>
      </c>
      <c r="BC404">
        <f>'Recurring Log'!N408&amp;""</f>
        <v/>
      </c>
      <c r="BD404">
        <f>'Recurring Log'!O408&amp;""</f>
        <v/>
      </c>
      <c r="BE404">
        <f>IF('Recurring Log'!K408="","",'Recurring Log'!K408)</f>
        <v/>
      </c>
      <c r="BF404">
        <f>IFERROR(MATCH(BA404,Setup!$L$6:$L$9,0),5)</f>
        <v/>
      </c>
      <c r="BG404">
        <f>IF(OR(AZ404="Done",AZ404="Cancelled"),1,0)</f>
        <v/>
      </c>
      <c r="BH404">
        <f>IF(AND(AU404&lt;&gt;"",ISNUMBER(AW404)),1,0)</f>
        <v/>
      </c>
      <c r="BI404">
        <f>IF(BH404=0,0,IF(AND(AW404&gt;='Tasks Filter'!$F$3,AW404&lt;='Tasks Filter'!$F$4,OR('Tasks Filter'!$I$3="",ISNUMBER(SEARCH('Tasks Filter'!$I$3,AU404))),OR('Tasks Filter'!$I$4="",BF404=IFERROR(MATCH('Tasks Filter'!$I$4,Setup!$L$6:$L$9,0),0)),OR('Tasks Filter'!$I$5="Both",AND('Tasks Filter'!$I$5="Yes",BB404="✓"),AND('Tasks Filter'!$I$5="No",BB404&lt;&gt;"✓")),OR('Tasks Filter'!$L$3="",AV404='Tasks Filter'!$L$3),OR('Tasks Filter'!$L$4="",AZ404='Tasks Filter'!$L$4),OR('Tasks Filter'!$L$5="",BC404='Tasks Filter'!$L$5),OR('Tasks Filter'!$O$3="",BD404='Tasks Filter'!$O$3),OR('Tasks Filter'!$O$4="Yes",BG404=0)),1,0))</f>
        <v/>
      </c>
      <c r="BJ404">
        <f>IF(BH404=0,"",IF('Tasks Filter'!$F$6="Descending",-1,1)*CHOOSE(MATCH('Tasks Filter'!$F$5,Lists!$G$2:$G$6,0),AW404,BF404,IFERROR(MATCH(AV404,Setup!$F$6:$F$15,0),99),IFERROR(MATCH(BC404,Setup!$H$6:$H$15,0),99),IFERROR(MATCH(AZ404,Setup!$J$6:$J$11,0),99))*1E+9+(AW404-40000)*10000+403)</f>
        <v/>
      </c>
      <c r="BK404">
        <f>IF(BI404=1,BJ404,"")</f>
        <v/>
      </c>
      <c r="BL404">
        <f>IF(AND(BH404=1,BG404=0,N(AW404)&lt;Setup!$D$7),(AW404-40000)*10000+403,"")</f>
        <v/>
      </c>
      <c r="BM404">
        <f>IF(AND(BH404=1,AZ404&lt;&gt;"Cancelled",N(AW404)&gt;=Dashboard!$AB$3,N(AW404)&lt;=Dashboard!$AB$3+6),(AW404-40000)*100000+BF404*10000+403,"")</f>
        <v/>
      </c>
      <c r="BN404">
        <f>IF(AND(BH404=1,AZ404&lt;&gt;"Cancelled"),BF404*10000+403,"")</f>
        <v/>
      </c>
    </row>
    <row r="405">
      <c r="AS405" t="inlineStr">
        <is>
          <t>R</t>
        </is>
      </c>
      <c r="AT405" t="n">
        <v>409</v>
      </c>
      <c r="AU405">
        <f>'Recurring Log'!C409&amp;""</f>
        <v/>
      </c>
      <c r="AV405">
        <f>'Recurring Log'!D409&amp;""</f>
        <v/>
      </c>
      <c r="AW405">
        <f>IF('Recurring Log'!E409="","",'Recurring Log'!E409)</f>
        <v/>
      </c>
      <c r="AX405">
        <f>IF('Recurring Log'!G409="","",'Recurring Log'!G409)</f>
        <v/>
      </c>
      <c r="AY405">
        <f>IF('Recurring Log'!H409="","",'Recurring Log'!H409)</f>
        <v/>
      </c>
      <c r="AZ405">
        <f>IF(AU405="","",IF('Recurring Log'!J409="","Not Started",'Recurring Log'!J409))</f>
        <v/>
      </c>
      <c r="BA405">
        <f>'Recurring Log'!L409&amp;""</f>
        <v/>
      </c>
      <c r="BB405">
        <f>'Recurring Log'!M409&amp;""</f>
        <v/>
      </c>
      <c r="BC405">
        <f>'Recurring Log'!N409&amp;""</f>
        <v/>
      </c>
      <c r="BD405">
        <f>'Recurring Log'!O409&amp;""</f>
        <v/>
      </c>
      <c r="BE405">
        <f>IF('Recurring Log'!K409="","",'Recurring Log'!K409)</f>
        <v/>
      </c>
      <c r="BF405">
        <f>IFERROR(MATCH(BA405,Setup!$L$6:$L$9,0),5)</f>
        <v/>
      </c>
      <c r="BG405">
        <f>IF(OR(AZ405="Done",AZ405="Cancelled"),1,0)</f>
        <v/>
      </c>
      <c r="BH405">
        <f>IF(AND(AU405&lt;&gt;"",ISNUMBER(AW405)),1,0)</f>
        <v/>
      </c>
      <c r="BI405">
        <f>IF(BH405=0,0,IF(AND(AW405&gt;='Tasks Filter'!$F$3,AW405&lt;='Tasks Filter'!$F$4,OR('Tasks Filter'!$I$3="",ISNUMBER(SEARCH('Tasks Filter'!$I$3,AU405))),OR('Tasks Filter'!$I$4="",BF405=IFERROR(MATCH('Tasks Filter'!$I$4,Setup!$L$6:$L$9,0),0)),OR('Tasks Filter'!$I$5="Both",AND('Tasks Filter'!$I$5="Yes",BB405="✓"),AND('Tasks Filter'!$I$5="No",BB405&lt;&gt;"✓")),OR('Tasks Filter'!$L$3="",AV405='Tasks Filter'!$L$3),OR('Tasks Filter'!$L$4="",AZ405='Tasks Filter'!$L$4),OR('Tasks Filter'!$L$5="",BC405='Tasks Filter'!$L$5),OR('Tasks Filter'!$O$3="",BD405='Tasks Filter'!$O$3),OR('Tasks Filter'!$O$4="Yes",BG405=0)),1,0))</f>
        <v/>
      </c>
      <c r="BJ405">
        <f>IF(BH405=0,"",IF('Tasks Filter'!$F$6="Descending",-1,1)*CHOOSE(MATCH('Tasks Filter'!$F$5,Lists!$G$2:$G$6,0),AW405,BF405,IFERROR(MATCH(AV405,Setup!$F$6:$F$15,0),99),IFERROR(MATCH(BC405,Setup!$H$6:$H$15,0),99),IFERROR(MATCH(AZ405,Setup!$J$6:$J$11,0),99))*1E+9+(AW405-40000)*10000+404)</f>
        <v/>
      </c>
      <c r="BK405">
        <f>IF(BI405=1,BJ405,"")</f>
        <v/>
      </c>
      <c r="BL405">
        <f>IF(AND(BH405=1,BG405=0,N(AW405)&lt;Setup!$D$7),(AW405-40000)*10000+404,"")</f>
        <v/>
      </c>
      <c r="BM405">
        <f>IF(AND(BH405=1,AZ405&lt;&gt;"Cancelled",N(AW405)&gt;=Dashboard!$AB$3,N(AW405)&lt;=Dashboard!$AB$3+6),(AW405-40000)*100000+BF405*10000+404,"")</f>
        <v/>
      </c>
      <c r="BN405">
        <f>IF(AND(BH405=1,AZ405&lt;&gt;"Cancelled"),BF405*10000+404,"")</f>
        <v/>
      </c>
    </row>
    <row r="406">
      <c r="AS406" t="inlineStr">
        <is>
          <t>R</t>
        </is>
      </c>
      <c r="AT406" t="n">
        <v>410</v>
      </c>
      <c r="AU406">
        <f>'Recurring Log'!C410&amp;""</f>
        <v/>
      </c>
      <c r="AV406">
        <f>'Recurring Log'!D410&amp;""</f>
        <v/>
      </c>
      <c r="AW406">
        <f>IF('Recurring Log'!E410="","",'Recurring Log'!E410)</f>
        <v/>
      </c>
      <c r="AX406">
        <f>IF('Recurring Log'!G410="","",'Recurring Log'!G410)</f>
        <v/>
      </c>
      <c r="AY406">
        <f>IF('Recurring Log'!H410="","",'Recurring Log'!H410)</f>
        <v/>
      </c>
      <c r="AZ406">
        <f>IF(AU406="","",IF('Recurring Log'!J410="","Not Started",'Recurring Log'!J410))</f>
        <v/>
      </c>
      <c r="BA406">
        <f>'Recurring Log'!L410&amp;""</f>
        <v/>
      </c>
      <c r="BB406">
        <f>'Recurring Log'!M410&amp;""</f>
        <v/>
      </c>
      <c r="BC406">
        <f>'Recurring Log'!N410&amp;""</f>
        <v/>
      </c>
      <c r="BD406">
        <f>'Recurring Log'!O410&amp;""</f>
        <v/>
      </c>
      <c r="BE406">
        <f>IF('Recurring Log'!K410="","",'Recurring Log'!K410)</f>
        <v/>
      </c>
      <c r="BF406">
        <f>IFERROR(MATCH(BA406,Setup!$L$6:$L$9,0),5)</f>
        <v/>
      </c>
      <c r="BG406">
        <f>IF(OR(AZ406="Done",AZ406="Cancelled"),1,0)</f>
        <v/>
      </c>
      <c r="BH406">
        <f>IF(AND(AU406&lt;&gt;"",ISNUMBER(AW406)),1,0)</f>
        <v/>
      </c>
      <c r="BI406">
        <f>IF(BH406=0,0,IF(AND(AW406&gt;='Tasks Filter'!$F$3,AW406&lt;='Tasks Filter'!$F$4,OR('Tasks Filter'!$I$3="",ISNUMBER(SEARCH('Tasks Filter'!$I$3,AU406))),OR('Tasks Filter'!$I$4="",BF406=IFERROR(MATCH('Tasks Filter'!$I$4,Setup!$L$6:$L$9,0),0)),OR('Tasks Filter'!$I$5="Both",AND('Tasks Filter'!$I$5="Yes",BB406="✓"),AND('Tasks Filter'!$I$5="No",BB406&lt;&gt;"✓")),OR('Tasks Filter'!$L$3="",AV406='Tasks Filter'!$L$3),OR('Tasks Filter'!$L$4="",AZ406='Tasks Filter'!$L$4),OR('Tasks Filter'!$L$5="",BC406='Tasks Filter'!$L$5),OR('Tasks Filter'!$O$3="",BD406='Tasks Filter'!$O$3),OR('Tasks Filter'!$O$4="Yes",BG406=0)),1,0))</f>
        <v/>
      </c>
      <c r="BJ406">
        <f>IF(BH406=0,"",IF('Tasks Filter'!$F$6="Descending",-1,1)*CHOOSE(MATCH('Tasks Filter'!$F$5,Lists!$G$2:$G$6,0),AW406,BF406,IFERROR(MATCH(AV406,Setup!$F$6:$F$15,0),99),IFERROR(MATCH(BC406,Setup!$H$6:$H$15,0),99),IFERROR(MATCH(AZ406,Setup!$J$6:$J$11,0),99))*1E+9+(AW406-40000)*10000+405)</f>
        <v/>
      </c>
      <c r="BK406">
        <f>IF(BI406=1,BJ406,"")</f>
        <v/>
      </c>
      <c r="BL406">
        <f>IF(AND(BH406=1,BG406=0,N(AW406)&lt;Setup!$D$7),(AW406-40000)*10000+405,"")</f>
        <v/>
      </c>
      <c r="BM406">
        <f>IF(AND(BH406=1,AZ406&lt;&gt;"Cancelled",N(AW406)&gt;=Dashboard!$AB$3,N(AW406)&lt;=Dashboard!$AB$3+6),(AW406-40000)*100000+BF406*10000+405,"")</f>
        <v/>
      </c>
      <c r="BN406">
        <f>IF(AND(BH406=1,AZ406&lt;&gt;"Cancelled"),BF406*10000+405,"")</f>
        <v/>
      </c>
    </row>
    <row r="407">
      <c r="AS407" t="inlineStr">
        <is>
          <t>R</t>
        </is>
      </c>
      <c r="AT407" t="n">
        <v>411</v>
      </c>
      <c r="AU407">
        <f>'Recurring Log'!C411&amp;""</f>
        <v/>
      </c>
      <c r="AV407">
        <f>'Recurring Log'!D411&amp;""</f>
        <v/>
      </c>
      <c r="AW407">
        <f>IF('Recurring Log'!E411="","",'Recurring Log'!E411)</f>
        <v/>
      </c>
      <c r="AX407">
        <f>IF('Recurring Log'!G411="","",'Recurring Log'!G411)</f>
        <v/>
      </c>
      <c r="AY407">
        <f>IF('Recurring Log'!H411="","",'Recurring Log'!H411)</f>
        <v/>
      </c>
      <c r="AZ407">
        <f>IF(AU407="","",IF('Recurring Log'!J411="","Not Started",'Recurring Log'!J411))</f>
        <v/>
      </c>
      <c r="BA407">
        <f>'Recurring Log'!L411&amp;""</f>
        <v/>
      </c>
      <c r="BB407">
        <f>'Recurring Log'!M411&amp;""</f>
        <v/>
      </c>
      <c r="BC407">
        <f>'Recurring Log'!N411&amp;""</f>
        <v/>
      </c>
      <c r="BD407">
        <f>'Recurring Log'!O411&amp;""</f>
        <v/>
      </c>
      <c r="BE407">
        <f>IF('Recurring Log'!K411="","",'Recurring Log'!K411)</f>
        <v/>
      </c>
      <c r="BF407">
        <f>IFERROR(MATCH(BA407,Setup!$L$6:$L$9,0),5)</f>
        <v/>
      </c>
      <c r="BG407">
        <f>IF(OR(AZ407="Done",AZ407="Cancelled"),1,0)</f>
        <v/>
      </c>
      <c r="BH407">
        <f>IF(AND(AU407&lt;&gt;"",ISNUMBER(AW407)),1,0)</f>
        <v/>
      </c>
      <c r="BI407">
        <f>IF(BH407=0,0,IF(AND(AW407&gt;='Tasks Filter'!$F$3,AW407&lt;='Tasks Filter'!$F$4,OR('Tasks Filter'!$I$3="",ISNUMBER(SEARCH('Tasks Filter'!$I$3,AU407))),OR('Tasks Filter'!$I$4="",BF407=IFERROR(MATCH('Tasks Filter'!$I$4,Setup!$L$6:$L$9,0),0)),OR('Tasks Filter'!$I$5="Both",AND('Tasks Filter'!$I$5="Yes",BB407="✓"),AND('Tasks Filter'!$I$5="No",BB407&lt;&gt;"✓")),OR('Tasks Filter'!$L$3="",AV407='Tasks Filter'!$L$3),OR('Tasks Filter'!$L$4="",AZ407='Tasks Filter'!$L$4),OR('Tasks Filter'!$L$5="",BC407='Tasks Filter'!$L$5),OR('Tasks Filter'!$O$3="",BD407='Tasks Filter'!$O$3),OR('Tasks Filter'!$O$4="Yes",BG407=0)),1,0))</f>
        <v/>
      </c>
      <c r="BJ407">
        <f>IF(BH407=0,"",IF('Tasks Filter'!$F$6="Descending",-1,1)*CHOOSE(MATCH('Tasks Filter'!$F$5,Lists!$G$2:$G$6,0),AW407,BF407,IFERROR(MATCH(AV407,Setup!$F$6:$F$15,0),99),IFERROR(MATCH(BC407,Setup!$H$6:$H$15,0),99),IFERROR(MATCH(AZ407,Setup!$J$6:$J$11,0),99))*1E+9+(AW407-40000)*10000+406)</f>
        <v/>
      </c>
      <c r="BK407">
        <f>IF(BI407=1,BJ407,"")</f>
        <v/>
      </c>
      <c r="BL407">
        <f>IF(AND(BH407=1,BG407=0,N(AW407)&lt;Setup!$D$7),(AW407-40000)*10000+406,"")</f>
        <v/>
      </c>
      <c r="BM407">
        <f>IF(AND(BH407=1,AZ407&lt;&gt;"Cancelled",N(AW407)&gt;=Dashboard!$AB$3,N(AW407)&lt;=Dashboard!$AB$3+6),(AW407-40000)*100000+BF407*10000+406,"")</f>
        <v/>
      </c>
      <c r="BN407">
        <f>IF(AND(BH407=1,AZ407&lt;&gt;"Cancelled"),BF407*10000+406,"")</f>
        <v/>
      </c>
    </row>
    <row r="408">
      <c r="AS408" t="inlineStr">
        <is>
          <t>R</t>
        </is>
      </c>
      <c r="AT408" t="n">
        <v>412</v>
      </c>
      <c r="AU408">
        <f>'Recurring Log'!C412&amp;""</f>
        <v/>
      </c>
      <c r="AV408">
        <f>'Recurring Log'!D412&amp;""</f>
        <v/>
      </c>
      <c r="AW408">
        <f>IF('Recurring Log'!E412="","",'Recurring Log'!E412)</f>
        <v/>
      </c>
      <c r="AX408">
        <f>IF('Recurring Log'!G412="","",'Recurring Log'!G412)</f>
        <v/>
      </c>
      <c r="AY408">
        <f>IF('Recurring Log'!H412="","",'Recurring Log'!H412)</f>
        <v/>
      </c>
      <c r="AZ408">
        <f>IF(AU408="","",IF('Recurring Log'!J412="","Not Started",'Recurring Log'!J412))</f>
        <v/>
      </c>
      <c r="BA408">
        <f>'Recurring Log'!L412&amp;""</f>
        <v/>
      </c>
      <c r="BB408">
        <f>'Recurring Log'!M412&amp;""</f>
        <v/>
      </c>
      <c r="BC408">
        <f>'Recurring Log'!N412&amp;""</f>
        <v/>
      </c>
      <c r="BD408">
        <f>'Recurring Log'!O412&amp;""</f>
        <v/>
      </c>
      <c r="BE408">
        <f>IF('Recurring Log'!K412="","",'Recurring Log'!K412)</f>
        <v/>
      </c>
      <c r="BF408">
        <f>IFERROR(MATCH(BA408,Setup!$L$6:$L$9,0),5)</f>
        <v/>
      </c>
      <c r="BG408">
        <f>IF(OR(AZ408="Done",AZ408="Cancelled"),1,0)</f>
        <v/>
      </c>
      <c r="BH408">
        <f>IF(AND(AU408&lt;&gt;"",ISNUMBER(AW408)),1,0)</f>
        <v/>
      </c>
      <c r="BI408">
        <f>IF(BH408=0,0,IF(AND(AW408&gt;='Tasks Filter'!$F$3,AW408&lt;='Tasks Filter'!$F$4,OR('Tasks Filter'!$I$3="",ISNUMBER(SEARCH('Tasks Filter'!$I$3,AU408))),OR('Tasks Filter'!$I$4="",BF408=IFERROR(MATCH('Tasks Filter'!$I$4,Setup!$L$6:$L$9,0),0)),OR('Tasks Filter'!$I$5="Both",AND('Tasks Filter'!$I$5="Yes",BB408="✓"),AND('Tasks Filter'!$I$5="No",BB408&lt;&gt;"✓")),OR('Tasks Filter'!$L$3="",AV408='Tasks Filter'!$L$3),OR('Tasks Filter'!$L$4="",AZ408='Tasks Filter'!$L$4),OR('Tasks Filter'!$L$5="",BC408='Tasks Filter'!$L$5),OR('Tasks Filter'!$O$3="",BD408='Tasks Filter'!$O$3),OR('Tasks Filter'!$O$4="Yes",BG408=0)),1,0))</f>
        <v/>
      </c>
      <c r="BJ408">
        <f>IF(BH408=0,"",IF('Tasks Filter'!$F$6="Descending",-1,1)*CHOOSE(MATCH('Tasks Filter'!$F$5,Lists!$G$2:$G$6,0),AW408,BF408,IFERROR(MATCH(AV408,Setup!$F$6:$F$15,0),99),IFERROR(MATCH(BC408,Setup!$H$6:$H$15,0),99),IFERROR(MATCH(AZ408,Setup!$J$6:$J$11,0),99))*1E+9+(AW408-40000)*10000+407)</f>
        <v/>
      </c>
      <c r="BK408">
        <f>IF(BI408=1,BJ408,"")</f>
        <v/>
      </c>
      <c r="BL408">
        <f>IF(AND(BH408=1,BG408=0,N(AW408)&lt;Setup!$D$7),(AW408-40000)*10000+407,"")</f>
        <v/>
      </c>
      <c r="BM408">
        <f>IF(AND(BH408=1,AZ408&lt;&gt;"Cancelled",N(AW408)&gt;=Dashboard!$AB$3,N(AW408)&lt;=Dashboard!$AB$3+6),(AW408-40000)*100000+BF408*10000+407,"")</f>
        <v/>
      </c>
      <c r="BN408">
        <f>IF(AND(BH408=1,AZ408&lt;&gt;"Cancelled"),BF408*10000+407,"")</f>
        <v/>
      </c>
    </row>
    <row r="409">
      <c r="AS409" t="inlineStr">
        <is>
          <t>R</t>
        </is>
      </c>
      <c r="AT409" t="n">
        <v>413</v>
      </c>
      <c r="AU409">
        <f>'Recurring Log'!C413&amp;""</f>
        <v/>
      </c>
      <c r="AV409">
        <f>'Recurring Log'!D413&amp;""</f>
        <v/>
      </c>
      <c r="AW409">
        <f>IF('Recurring Log'!E413="","",'Recurring Log'!E413)</f>
        <v/>
      </c>
      <c r="AX409">
        <f>IF('Recurring Log'!G413="","",'Recurring Log'!G413)</f>
        <v/>
      </c>
      <c r="AY409">
        <f>IF('Recurring Log'!H413="","",'Recurring Log'!H413)</f>
        <v/>
      </c>
      <c r="AZ409">
        <f>IF(AU409="","",IF('Recurring Log'!J413="","Not Started",'Recurring Log'!J413))</f>
        <v/>
      </c>
      <c r="BA409">
        <f>'Recurring Log'!L413&amp;""</f>
        <v/>
      </c>
      <c r="BB409">
        <f>'Recurring Log'!M413&amp;""</f>
        <v/>
      </c>
      <c r="BC409">
        <f>'Recurring Log'!N413&amp;""</f>
        <v/>
      </c>
      <c r="BD409">
        <f>'Recurring Log'!O413&amp;""</f>
        <v/>
      </c>
      <c r="BE409">
        <f>IF('Recurring Log'!K413="","",'Recurring Log'!K413)</f>
        <v/>
      </c>
      <c r="BF409">
        <f>IFERROR(MATCH(BA409,Setup!$L$6:$L$9,0),5)</f>
        <v/>
      </c>
      <c r="BG409">
        <f>IF(OR(AZ409="Done",AZ409="Cancelled"),1,0)</f>
        <v/>
      </c>
      <c r="BH409">
        <f>IF(AND(AU409&lt;&gt;"",ISNUMBER(AW409)),1,0)</f>
        <v/>
      </c>
      <c r="BI409">
        <f>IF(BH409=0,0,IF(AND(AW409&gt;='Tasks Filter'!$F$3,AW409&lt;='Tasks Filter'!$F$4,OR('Tasks Filter'!$I$3="",ISNUMBER(SEARCH('Tasks Filter'!$I$3,AU409))),OR('Tasks Filter'!$I$4="",BF409=IFERROR(MATCH('Tasks Filter'!$I$4,Setup!$L$6:$L$9,0),0)),OR('Tasks Filter'!$I$5="Both",AND('Tasks Filter'!$I$5="Yes",BB409="✓"),AND('Tasks Filter'!$I$5="No",BB409&lt;&gt;"✓")),OR('Tasks Filter'!$L$3="",AV409='Tasks Filter'!$L$3),OR('Tasks Filter'!$L$4="",AZ409='Tasks Filter'!$L$4),OR('Tasks Filter'!$L$5="",BC409='Tasks Filter'!$L$5),OR('Tasks Filter'!$O$3="",BD409='Tasks Filter'!$O$3),OR('Tasks Filter'!$O$4="Yes",BG409=0)),1,0))</f>
        <v/>
      </c>
      <c r="BJ409">
        <f>IF(BH409=0,"",IF('Tasks Filter'!$F$6="Descending",-1,1)*CHOOSE(MATCH('Tasks Filter'!$F$5,Lists!$G$2:$G$6,0),AW409,BF409,IFERROR(MATCH(AV409,Setup!$F$6:$F$15,0),99),IFERROR(MATCH(BC409,Setup!$H$6:$H$15,0),99),IFERROR(MATCH(AZ409,Setup!$J$6:$J$11,0),99))*1E+9+(AW409-40000)*10000+408)</f>
        <v/>
      </c>
      <c r="BK409">
        <f>IF(BI409=1,BJ409,"")</f>
        <v/>
      </c>
      <c r="BL409">
        <f>IF(AND(BH409=1,BG409=0,N(AW409)&lt;Setup!$D$7),(AW409-40000)*10000+408,"")</f>
        <v/>
      </c>
      <c r="BM409">
        <f>IF(AND(BH409=1,AZ409&lt;&gt;"Cancelled",N(AW409)&gt;=Dashboard!$AB$3,N(AW409)&lt;=Dashboard!$AB$3+6),(AW409-40000)*100000+BF409*10000+408,"")</f>
        <v/>
      </c>
      <c r="BN409">
        <f>IF(AND(BH409=1,AZ409&lt;&gt;"Cancelled"),BF409*10000+408,"")</f>
        <v/>
      </c>
    </row>
    <row r="410">
      <c r="AS410" t="inlineStr">
        <is>
          <t>R</t>
        </is>
      </c>
      <c r="AT410" t="n">
        <v>414</v>
      </c>
      <c r="AU410">
        <f>'Recurring Log'!C414&amp;""</f>
        <v/>
      </c>
      <c r="AV410">
        <f>'Recurring Log'!D414&amp;""</f>
        <v/>
      </c>
      <c r="AW410">
        <f>IF('Recurring Log'!E414="","",'Recurring Log'!E414)</f>
        <v/>
      </c>
      <c r="AX410">
        <f>IF('Recurring Log'!G414="","",'Recurring Log'!G414)</f>
        <v/>
      </c>
      <c r="AY410">
        <f>IF('Recurring Log'!H414="","",'Recurring Log'!H414)</f>
        <v/>
      </c>
      <c r="AZ410">
        <f>IF(AU410="","",IF('Recurring Log'!J414="","Not Started",'Recurring Log'!J414))</f>
        <v/>
      </c>
      <c r="BA410">
        <f>'Recurring Log'!L414&amp;""</f>
        <v/>
      </c>
      <c r="BB410">
        <f>'Recurring Log'!M414&amp;""</f>
        <v/>
      </c>
      <c r="BC410">
        <f>'Recurring Log'!N414&amp;""</f>
        <v/>
      </c>
      <c r="BD410">
        <f>'Recurring Log'!O414&amp;""</f>
        <v/>
      </c>
      <c r="BE410">
        <f>IF('Recurring Log'!K414="","",'Recurring Log'!K414)</f>
        <v/>
      </c>
      <c r="BF410">
        <f>IFERROR(MATCH(BA410,Setup!$L$6:$L$9,0),5)</f>
        <v/>
      </c>
      <c r="BG410">
        <f>IF(OR(AZ410="Done",AZ410="Cancelled"),1,0)</f>
        <v/>
      </c>
      <c r="BH410">
        <f>IF(AND(AU410&lt;&gt;"",ISNUMBER(AW410)),1,0)</f>
        <v/>
      </c>
      <c r="BI410">
        <f>IF(BH410=0,0,IF(AND(AW410&gt;='Tasks Filter'!$F$3,AW410&lt;='Tasks Filter'!$F$4,OR('Tasks Filter'!$I$3="",ISNUMBER(SEARCH('Tasks Filter'!$I$3,AU410))),OR('Tasks Filter'!$I$4="",BF410=IFERROR(MATCH('Tasks Filter'!$I$4,Setup!$L$6:$L$9,0),0)),OR('Tasks Filter'!$I$5="Both",AND('Tasks Filter'!$I$5="Yes",BB410="✓"),AND('Tasks Filter'!$I$5="No",BB410&lt;&gt;"✓")),OR('Tasks Filter'!$L$3="",AV410='Tasks Filter'!$L$3),OR('Tasks Filter'!$L$4="",AZ410='Tasks Filter'!$L$4),OR('Tasks Filter'!$L$5="",BC410='Tasks Filter'!$L$5),OR('Tasks Filter'!$O$3="",BD410='Tasks Filter'!$O$3),OR('Tasks Filter'!$O$4="Yes",BG410=0)),1,0))</f>
        <v/>
      </c>
      <c r="BJ410">
        <f>IF(BH410=0,"",IF('Tasks Filter'!$F$6="Descending",-1,1)*CHOOSE(MATCH('Tasks Filter'!$F$5,Lists!$G$2:$G$6,0),AW410,BF410,IFERROR(MATCH(AV410,Setup!$F$6:$F$15,0),99),IFERROR(MATCH(BC410,Setup!$H$6:$H$15,0),99),IFERROR(MATCH(AZ410,Setup!$J$6:$J$11,0),99))*1E+9+(AW410-40000)*10000+409)</f>
        <v/>
      </c>
      <c r="BK410">
        <f>IF(BI410=1,BJ410,"")</f>
        <v/>
      </c>
      <c r="BL410">
        <f>IF(AND(BH410=1,BG410=0,N(AW410)&lt;Setup!$D$7),(AW410-40000)*10000+409,"")</f>
        <v/>
      </c>
      <c r="BM410">
        <f>IF(AND(BH410=1,AZ410&lt;&gt;"Cancelled",N(AW410)&gt;=Dashboard!$AB$3,N(AW410)&lt;=Dashboard!$AB$3+6),(AW410-40000)*100000+BF410*10000+409,"")</f>
        <v/>
      </c>
      <c r="BN410">
        <f>IF(AND(BH410=1,AZ410&lt;&gt;"Cancelled"),BF410*10000+409,"")</f>
        <v/>
      </c>
    </row>
    <row r="411">
      <c r="AS411" t="inlineStr">
        <is>
          <t>R</t>
        </is>
      </c>
      <c r="AT411" t="n">
        <v>415</v>
      </c>
      <c r="AU411">
        <f>'Recurring Log'!C415&amp;""</f>
        <v/>
      </c>
      <c r="AV411">
        <f>'Recurring Log'!D415&amp;""</f>
        <v/>
      </c>
      <c r="AW411">
        <f>IF('Recurring Log'!E415="","",'Recurring Log'!E415)</f>
        <v/>
      </c>
      <c r="AX411">
        <f>IF('Recurring Log'!G415="","",'Recurring Log'!G415)</f>
        <v/>
      </c>
      <c r="AY411">
        <f>IF('Recurring Log'!H415="","",'Recurring Log'!H415)</f>
        <v/>
      </c>
      <c r="AZ411">
        <f>IF(AU411="","",IF('Recurring Log'!J415="","Not Started",'Recurring Log'!J415))</f>
        <v/>
      </c>
      <c r="BA411">
        <f>'Recurring Log'!L415&amp;""</f>
        <v/>
      </c>
      <c r="BB411">
        <f>'Recurring Log'!M415&amp;""</f>
        <v/>
      </c>
      <c r="BC411">
        <f>'Recurring Log'!N415&amp;""</f>
        <v/>
      </c>
      <c r="BD411">
        <f>'Recurring Log'!O415&amp;""</f>
        <v/>
      </c>
      <c r="BE411">
        <f>IF('Recurring Log'!K415="","",'Recurring Log'!K415)</f>
        <v/>
      </c>
      <c r="BF411">
        <f>IFERROR(MATCH(BA411,Setup!$L$6:$L$9,0),5)</f>
        <v/>
      </c>
      <c r="BG411">
        <f>IF(OR(AZ411="Done",AZ411="Cancelled"),1,0)</f>
        <v/>
      </c>
      <c r="BH411">
        <f>IF(AND(AU411&lt;&gt;"",ISNUMBER(AW411)),1,0)</f>
        <v/>
      </c>
      <c r="BI411">
        <f>IF(BH411=0,0,IF(AND(AW411&gt;='Tasks Filter'!$F$3,AW411&lt;='Tasks Filter'!$F$4,OR('Tasks Filter'!$I$3="",ISNUMBER(SEARCH('Tasks Filter'!$I$3,AU411))),OR('Tasks Filter'!$I$4="",BF411=IFERROR(MATCH('Tasks Filter'!$I$4,Setup!$L$6:$L$9,0),0)),OR('Tasks Filter'!$I$5="Both",AND('Tasks Filter'!$I$5="Yes",BB411="✓"),AND('Tasks Filter'!$I$5="No",BB411&lt;&gt;"✓")),OR('Tasks Filter'!$L$3="",AV411='Tasks Filter'!$L$3),OR('Tasks Filter'!$L$4="",AZ411='Tasks Filter'!$L$4),OR('Tasks Filter'!$L$5="",BC411='Tasks Filter'!$L$5),OR('Tasks Filter'!$O$3="",BD411='Tasks Filter'!$O$3),OR('Tasks Filter'!$O$4="Yes",BG411=0)),1,0))</f>
        <v/>
      </c>
      <c r="BJ411">
        <f>IF(BH411=0,"",IF('Tasks Filter'!$F$6="Descending",-1,1)*CHOOSE(MATCH('Tasks Filter'!$F$5,Lists!$G$2:$G$6,0),AW411,BF411,IFERROR(MATCH(AV411,Setup!$F$6:$F$15,0),99),IFERROR(MATCH(BC411,Setup!$H$6:$H$15,0),99),IFERROR(MATCH(AZ411,Setup!$J$6:$J$11,0),99))*1E+9+(AW411-40000)*10000+410)</f>
        <v/>
      </c>
      <c r="BK411">
        <f>IF(BI411=1,BJ411,"")</f>
        <v/>
      </c>
      <c r="BL411">
        <f>IF(AND(BH411=1,BG411=0,N(AW411)&lt;Setup!$D$7),(AW411-40000)*10000+410,"")</f>
        <v/>
      </c>
      <c r="BM411">
        <f>IF(AND(BH411=1,AZ411&lt;&gt;"Cancelled",N(AW411)&gt;=Dashboard!$AB$3,N(AW411)&lt;=Dashboard!$AB$3+6),(AW411-40000)*100000+BF411*10000+410,"")</f>
        <v/>
      </c>
      <c r="BN411">
        <f>IF(AND(BH411=1,AZ411&lt;&gt;"Cancelled"),BF411*10000+410,"")</f>
        <v/>
      </c>
    </row>
    <row r="412">
      <c r="AS412" t="inlineStr">
        <is>
          <t>R</t>
        </is>
      </c>
      <c r="AT412" t="n">
        <v>416</v>
      </c>
      <c r="AU412">
        <f>'Recurring Log'!C416&amp;""</f>
        <v/>
      </c>
      <c r="AV412">
        <f>'Recurring Log'!D416&amp;""</f>
        <v/>
      </c>
      <c r="AW412">
        <f>IF('Recurring Log'!E416="","",'Recurring Log'!E416)</f>
        <v/>
      </c>
      <c r="AX412">
        <f>IF('Recurring Log'!G416="","",'Recurring Log'!G416)</f>
        <v/>
      </c>
      <c r="AY412">
        <f>IF('Recurring Log'!H416="","",'Recurring Log'!H416)</f>
        <v/>
      </c>
      <c r="AZ412">
        <f>IF(AU412="","",IF('Recurring Log'!J416="","Not Started",'Recurring Log'!J416))</f>
        <v/>
      </c>
      <c r="BA412">
        <f>'Recurring Log'!L416&amp;""</f>
        <v/>
      </c>
      <c r="BB412">
        <f>'Recurring Log'!M416&amp;""</f>
        <v/>
      </c>
      <c r="BC412">
        <f>'Recurring Log'!N416&amp;""</f>
        <v/>
      </c>
      <c r="BD412">
        <f>'Recurring Log'!O416&amp;""</f>
        <v/>
      </c>
      <c r="BE412">
        <f>IF('Recurring Log'!K416="","",'Recurring Log'!K416)</f>
        <v/>
      </c>
      <c r="BF412">
        <f>IFERROR(MATCH(BA412,Setup!$L$6:$L$9,0),5)</f>
        <v/>
      </c>
      <c r="BG412">
        <f>IF(OR(AZ412="Done",AZ412="Cancelled"),1,0)</f>
        <v/>
      </c>
      <c r="BH412">
        <f>IF(AND(AU412&lt;&gt;"",ISNUMBER(AW412)),1,0)</f>
        <v/>
      </c>
      <c r="BI412">
        <f>IF(BH412=0,0,IF(AND(AW412&gt;='Tasks Filter'!$F$3,AW412&lt;='Tasks Filter'!$F$4,OR('Tasks Filter'!$I$3="",ISNUMBER(SEARCH('Tasks Filter'!$I$3,AU412))),OR('Tasks Filter'!$I$4="",BF412=IFERROR(MATCH('Tasks Filter'!$I$4,Setup!$L$6:$L$9,0),0)),OR('Tasks Filter'!$I$5="Both",AND('Tasks Filter'!$I$5="Yes",BB412="✓"),AND('Tasks Filter'!$I$5="No",BB412&lt;&gt;"✓")),OR('Tasks Filter'!$L$3="",AV412='Tasks Filter'!$L$3),OR('Tasks Filter'!$L$4="",AZ412='Tasks Filter'!$L$4),OR('Tasks Filter'!$L$5="",BC412='Tasks Filter'!$L$5),OR('Tasks Filter'!$O$3="",BD412='Tasks Filter'!$O$3),OR('Tasks Filter'!$O$4="Yes",BG412=0)),1,0))</f>
        <v/>
      </c>
      <c r="BJ412">
        <f>IF(BH412=0,"",IF('Tasks Filter'!$F$6="Descending",-1,1)*CHOOSE(MATCH('Tasks Filter'!$F$5,Lists!$G$2:$G$6,0),AW412,BF412,IFERROR(MATCH(AV412,Setup!$F$6:$F$15,0),99),IFERROR(MATCH(BC412,Setup!$H$6:$H$15,0),99),IFERROR(MATCH(AZ412,Setup!$J$6:$J$11,0),99))*1E+9+(AW412-40000)*10000+411)</f>
        <v/>
      </c>
      <c r="BK412">
        <f>IF(BI412=1,BJ412,"")</f>
        <v/>
      </c>
      <c r="BL412">
        <f>IF(AND(BH412=1,BG412=0,N(AW412)&lt;Setup!$D$7),(AW412-40000)*10000+411,"")</f>
        <v/>
      </c>
      <c r="BM412">
        <f>IF(AND(BH412=1,AZ412&lt;&gt;"Cancelled",N(AW412)&gt;=Dashboard!$AB$3,N(AW412)&lt;=Dashboard!$AB$3+6),(AW412-40000)*100000+BF412*10000+411,"")</f>
        <v/>
      </c>
      <c r="BN412">
        <f>IF(AND(BH412=1,AZ412&lt;&gt;"Cancelled"),BF412*10000+411,"")</f>
        <v/>
      </c>
    </row>
    <row r="413">
      <c r="AS413" t="inlineStr">
        <is>
          <t>R</t>
        </is>
      </c>
      <c r="AT413" t="n">
        <v>417</v>
      </c>
      <c r="AU413">
        <f>'Recurring Log'!C417&amp;""</f>
        <v/>
      </c>
      <c r="AV413">
        <f>'Recurring Log'!D417&amp;""</f>
        <v/>
      </c>
      <c r="AW413">
        <f>IF('Recurring Log'!E417="","",'Recurring Log'!E417)</f>
        <v/>
      </c>
      <c r="AX413">
        <f>IF('Recurring Log'!G417="","",'Recurring Log'!G417)</f>
        <v/>
      </c>
      <c r="AY413">
        <f>IF('Recurring Log'!H417="","",'Recurring Log'!H417)</f>
        <v/>
      </c>
      <c r="AZ413">
        <f>IF(AU413="","",IF('Recurring Log'!J417="","Not Started",'Recurring Log'!J417))</f>
        <v/>
      </c>
      <c r="BA413">
        <f>'Recurring Log'!L417&amp;""</f>
        <v/>
      </c>
      <c r="BB413">
        <f>'Recurring Log'!M417&amp;""</f>
        <v/>
      </c>
      <c r="BC413">
        <f>'Recurring Log'!N417&amp;""</f>
        <v/>
      </c>
      <c r="BD413">
        <f>'Recurring Log'!O417&amp;""</f>
        <v/>
      </c>
      <c r="BE413">
        <f>IF('Recurring Log'!K417="","",'Recurring Log'!K417)</f>
        <v/>
      </c>
      <c r="BF413">
        <f>IFERROR(MATCH(BA413,Setup!$L$6:$L$9,0),5)</f>
        <v/>
      </c>
      <c r="BG413">
        <f>IF(OR(AZ413="Done",AZ413="Cancelled"),1,0)</f>
        <v/>
      </c>
      <c r="BH413">
        <f>IF(AND(AU413&lt;&gt;"",ISNUMBER(AW413)),1,0)</f>
        <v/>
      </c>
      <c r="BI413">
        <f>IF(BH413=0,0,IF(AND(AW413&gt;='Tasks Filter'!$F$3,AW413&lt;='Tasks Filter'!$F$4,OR('Tasks Filter'!$I$3="",ISNUMBER(SEARCH('Tasks Filter'!$I$3,AU413))),OR('Tasks Filter'!$I$4="",BF413=IFERROR(MATCH('Tasks Filter'!$I$4,Setup!$L$6:$L$9,0),0)),OR('Tasks Filter'!$I$5="Both",AND('Tasks Filter'!$I$5="Yes",BB413="✓"),AND('Tasks Filter'!$I$5="No",BB413&lt;&gt;"✓")),OR('Tasks Filter'!$L$3="",AV413='Tasks Filter'!$L$3),OR('Tasks Filter'!$L$4="",AZ413='Tasks Filter'!$L$4),OR('Tasks Filter'!$L$5="",BC413='Tasks Filter'!$L$5),OR('Tasks Filter'!$O$3="",BD413='Tasks Filter'!$O$3),OR('Tasks Filter'!$O$4="Yes",BG413=0)),1,0))</f>
        <v/>
      </c>
      <c r="BJ413">
        <f>IF(BH413=0,"",IF('Tasks Filter'!$F$6="Descending",-1,1)*CHOOSE(MATCH('Tasks Filter'!$F$5,Lists!$G$2:$G$6,0),AW413,BF413,IFERROR(MATCH(AV413,Setup!$F$6:$F$15,0),99),IFERROR(MATCH(BC413,Setup!$H$6:$H$15,0),99),IFERROR(MATCH(AZ413,Setup!$J$6:$J$11,0),99))*1E+9+(AW413-40000)*10000+412)</f>
        <v/>
      </c>
      <c r="BK413">
        <f>IF(BI413=1,BJ413,"")</f>
        <v/>
      </c>
      <c r="BL413">
        <f>IF(AND(BH413=1,BG413=0,N(AW413)&lt;Setup!$D$7),(AW413-40000)*10000+412,"")</f>
        <v/>
      </c>
      <c r="BM413">
        <f>IF(AND(BH413=1,AZ413&lt;&gt;"Cancelled",N(AW413)&gt;=Dashboard!$AB$3,N(AW413)&lt;=Dashboard!$AB$3+6),(AW413-40000)*100000+BF413*10000+412,"")</f>
        <v/>
      </c>
      <c r="BN413">
        <f>IF(AND(BH413=1,AZ413&lt;&gt;"Cancelled"),BF413*10000+412,"")</f>
        <v/>
      </c>
    </row>
    <row r="414">
      <c r="AS414" t="inlineStr">
        <is>
          <t>R</t>
        </is>
      </c>
      <c r="AT414" t="n">
        <v>418</v>
      </c>
      <c r="AU414">
        <f>'Recurring Log'!C418&amp;""</f>
        <v/>
      </c>
      <c r="AV414">
        <f>'Recurring Log'!D418&amp;""</f>
        <v/>
      </c>
      <c r="AW414">
        <f>IF('Recurring Log'!E418="","",'Recurring Log'!E418)</f>
        <v/>
      </c>
      <c r="AX414">
        <f>IF('Recurring Log'!G418="","",'Recurring Log'!G418)</f>
        <v/>
      </c>
      <c r="AY414">
        <f>IF('Recurring Log'!H418="","",'Recurring Log'!H418)</f>
        <v/>
      </c>
      <c r="AZ414">
        <f>IF(AU414="","",IF('Recurring Log'!J418="","Not Started",'Recurring Log'!J418))</f>
        <v/>
      </c>
      <c r="BA414">
        <f>'Recurring Log'!L418&amp;""</f>
        <v/>
      </c>
      <c r="BB414">
        <f>'Recurring Log'!M418&amp;""</f>
        <v/>
      </c>
      <c r="BC414">
        <f>'Recurring Log'!N418&amp;""</f>
        <v/>
      </c>
      <c r="BD414">
        <f>'Recurring Log'!O418&amp;""</f>
        <v/>
      </c>
      <c r="BE414">
        <f>IF('Recurring Log'!K418="","",'Recurring Log'!K418)</f>
        <v/>
      </c>
      <c r="BF414">
        <f>IFERROR(MATCH(BA414,Setup!$L$6:$L$9,0),5)</f>
        <v/>
      </c>
      <c r="BG414">
        <f>IF(OR(AZ414="Done",AZ414="Cancelled"),1,0)</f>
        <v/>
      </c>
      <c r="BH414">
        <f>IF(AND(AU414&lt;&gt;"",ISNUMBER(AW414)),1,0)</f>
        <v/>
      </c>
      <c r="BI414">
        <f>IF(BH414=0,0,IF(AND(AW414&gt;='Tasks Filter'!$F$3,AW414&lt;='Tasks Filter'!$F$4,OR('Tasks Filter'!$I$3="",ISNUMBER(SEARCH('Tasks Filter'!$I$3,AU414))),OR('Tasks Filter'!$I$4="",BF414=IFERROR(MATCH('Tasks Filter'!$I$4,Setup!$L$6:$L$9,0),0)),OR('Tasks Filter'!$I$5="Both",AND('Tasks Filter'!$I$5="Yes",BB414="✓"),AND('Tasks Filter'!$I$5="No",BB414&lt;&gt;"✓")),OR('Tasks Filter'!$L$3="",AV414='Tasks Filter'!$L$3),OR('Tasks Filter'!$L$4="",AZ414='Tasks Filter'!$L$4),OR('Tasks Filter'!$L$5="",BC414='Tasks Filter'!$L$5),OR('Tasks Filter'!$O$3="",BD414='Tasks Filter'!$O$3),OR('Tasks Filter'!$O$4="Yes",BG414=0)),1,0))</f>
        <v/>
      </c>
      <c r="BJ414">
        <f>IF(BH414=0,"",IF('Tasks Filter'!$F$6="Descending",-1,1)*CHOOSE(MATCH('Tasks Filter'!$F$5,Lists!$G$2:$G$6,0),AW414,BF414,IFERROR(MATCH(AV414,Setup!$F$6:$F$15,0),99),IFERROR(MATCH(BC414,Setup!$H$6:$H$15,0),99),IFERROR(MATCH(AZ414,Setup!$J$6:$J$11,0),99))*1E+9+(AW414-40000)*10000+413)</f>
        <v/>
      </c>
      <c r="BK414">
        <f>IF(BI414=1,BJ414,"")</f>
        <v/>
      </c>
      <c r="BL414">
        <f>IF(AND(BH414=1,BG414=0,N(AW414)&lt;Setup!$D$7),(AW414-40000)*10000+413,"")</f>
        <v/>
      </c>
      <c r="BM414">
        <f>IF(AND(BH414=1,AZ414&lt;&gt;"Cancelled",N(AW414)&gt;=Dashboard!$AB$3,N(AW414)&lt;=Dashboard!$AB$3+6),(AW414-40000)*100000+BF414*10000+413,"")</f>
        <v/>
      </c>
      <c r="BN414">
        <f>IF(AND(BH414=1,AZ414&lt;&gt;"Cancelled"),BF414*10000+413,"")</f>
        <v/>
      </c>
    </row>
    <row r="415">
      <c r="AS415" t="inlineStr">
        <is>
          <t>R</t>
        </is>
      </c>
      <c r="AT415" t="n">
        <v>419</v>
      </c>
      <c r="AU415">
        <f>'Recurring Log'!C419&amp;""</f>
        <v/>
      </c>
      <c r="AV415">
        <f>'Recurring Log'!D419&amp;""</f>
        <v/>
      </c>
      <c r="AW415">
        <f>IF('Recurring Log'!E419="","",'Recurring Log'!E419)</f>
        <v/>
      </c>
      <c r="AX415">
        <f>IF('Recurring Log'!G419="","",'Recurring Log'!G419)</f>
        <v/>
      </c>
      <c r="AY415">
        <f>IF('Recurring Log'!H419="","",'Recurring Log'!H419)</f>
        <v/>
      </c>
      <c r="AZ415">
        <f>IF(AU415="","",IF('Recurring Log'!J419="","Not Started",'Recurring Log'!J419))</f>
        <v/>
      </c>
      <c r="BA415">
        <f>'Recurring Log'!L419&amp;""</f>
        <v/>
      </c>
      <c r="BB415">
        <f>'Recurring Log'!M419&amp;""</f>
        <v/>
      </c>
      <c r="BC415">
        <f>'Recurring Log'!N419&amp;""</f>
        <v/>
      </c>
      <c r="BD415">
        <f>'Recurring Log'!O419&amp;""</f>
        <v/>
      </c>
      <c r="BE415">
        <f>IF('Recurring Log'!K419="","",'Recurring Log'!K419)</f>
        <v/>
      </c>
      <c r="BF415">
        <f>IFERROR(MATCH(BA415,Setup!$L$6:$L$9,0),5)</f>
        <v/>
      </c>
      <c r="BG415">
        <f>IF(OR(AZ415="Done",AZ415="Cancelled"),1,0)</f>
        <v/>
      </c>
      <c r="BH415">
        <f>IF(AND(AU415&lt;&gt;"",ISNUMBER(AW415)),1,0)</f>
        <v/>
      </c>
      <c r="BI415">
        <f>IF(BH415=0,0,IF(AND(AW415&gt;='Tasks Filter'!$F$3,AW415&lt;='Tasks Filter'!$F$4,OR('Tasks Filter'!$I$3="",ISNUMBER(SEARCH('Tasks Filter'!$I$3,AU415))),OR('Tasks Filter'!$I$4="",BF415=IFERROR(MATCH('Tasks Filter'!$I$4,Setup!$L$6:$L$9,0),0)),OR('Tasks Filter'!$I$5="Both",AND('Tasks Filter'!$I$5="Yes",BB415="✓"),AND('Tasks Filter'!$I$5="No",BB415&lt;&gt;"✓")),OR('Tasks Filter'!$L$3="",AV415='Tasks Filter'!$L$3),OR('Tasks Filter'!$L$4="",AZ415='Tasks Filter'!$L$4),OR('Tasks Filter'!$L$5="",BC415='Tasks Filter'!$L$5),OR('Tasks Filter'!$O$3="",BD415='Tasks Filter'!$O$3),OR('Tasks Filter'!$O$4="Yes",BG415=0)),1,0))</f>
        <v/>
      </c>
      <c r="BJ415">
        <f>IF(BH415=0,"",IF('Tasks Filter'!$F$6="Descending",-1,1)*CHOOSE(MATCH('Tasks Filter'!$F$5,Lists!$G$2:$G$6,0),AW415,BF415,IFERROR(MATCH(AV415,Setup!$F$6:$F$15,0),99),IFERROR(MATCH(BC415,Setup!$H$6:$H$15,0),99),IFERROR(MATCH(AZ415,Setup!$J$6:$J$11,0),99))*1E+9+(AW415-40000)*10000+414)</f>
        <v/>
      </c>
      <c r="BK415">
        <f>IF(BI415=1,BJ415,"")</f>
        <v/>
      </c>
      <c r="BL415">
        <f>IF(AND(BH415=1,BG415=0,N(AW415)&lt;Setup!$D$7),(AW415-40000)*10000+414,"")</f>
        <v/>
      </c>
      <c r="BM415">
        <f>IF(AND(BH415=1,AZ415&lt;&gt;"Cancelled",N(AW415)&gt;=Dashboard!$AB$3,N(AW415)&lt;=Dashboard!$AB$3+6),(AW415-40000)*100000+BF415*10000+414,"")</f>
        <v/>
      </c>
      <c r="BN415">
        <f>IF(AND(BH415=1,AZ415&lt;&gt;"Cancelled"),BF415*10000+414,"")</f>
        <v/>
      </c>
    </row>
    <row r="416">
      <c r="AS416" t="inlineStr">
        <is>
          <t>R</t>
        </is>
      </c>
      <c r="AT416" t="n">
        <v>420</v>
      </c>
      <c r="AU416">
        <f>'Recurring Log'!C420&amp;""</f>
        <v/>
      </c>
      <c r="AV416">
        <f>'Recurring Log'!D420&amp;""</f>
        <v/>
      </c>
      <c r="AW416">
        <f>IF('Recurring Log'!E420="","",'Recurring Log'!E420)</f>
        <v/>
      </c>
      <c r="AX416">
        <f>IF('Recurring Log'!G420="","",'Recurring Log'!G420)</f>
        <v/>
      </c>
      <c r="AY416">
        <f>IF('Recurring Log'!H420="","",'Recurring Log'!H420)</f>
        <v/>
      </c>
      <c r="AZ416">
        <f>IF(AU416="","",IF('Recurring Log'!J420="","Not Started",'Recurring Log'!J420))</f>
        <v/>
      </c>
      <c r="BA416">
        <f>'Recurring Log'!L420&amp;""</f>
        <v/>
      </c>
      <c r="BB416">
        <f>'Recurring Log'!M420&amp;""</f>
        <v/>
      </c>
      <c r="BC416">
        <f>'Recurring Log'!N420&amp;""</f>
        <v/>
      </c>
      <c r="BD416">
        <f>'Recurring Log'!O420&amp;""</f>
        <v/>
      </c>
      <c r="BE416">
        <f>IF('Recurring Log'!K420="","",'Recurring Log'!K420)</f>
        <v/>
      </c>
      <c r="BF416">
        <f>IFERROR(MATCH(BA416,Setup!$L$6:$L$9,0),5)</f>
        <v/>
      </c>
      <c r="BG416">
        <f>IF(OR(AZ416="Done",AZ416="Cancelled"),1,0)</f>
        <v/>
      </c>
      <c r="BH416">
        <f>IF(AND(AU416&lt;&gt;"",ISNUMBER(AW416)),1,0)</f>
        <v/>
      </c>
      <c r="BI416">
        <f>IF(BH416=0,0,IF(AND(AW416&gt;='Tasks Filter'!$F$3,AW416&lt;='Tasks Filter'!$F$4,OR('Tasks Filter'!$I$3="",ISNUMBER(SEARCH('Tasks Filter'!$I$3,AU416))),OR('Tasks Filter'!$I$4="",BF416=IFERROR(MATCH('Tasks Filter'!$I$4,Setup!$L$6:$L$9,0),0)),OR('Tasks Filter'!$I$5="Both",AND('Tasks Filter'!$I$5="Yes",BB416="✓"),AND('Tasks Filter'!$I$5="No",BB416&lt;&gt;"✓")),OR('Tasks Filter'!$L$3="",AV416='Tasks Filter'!$L$3),OR('Tasks Filter'!$L$4="",AZ416='Tasks Filter'!$L$4),OR('Tasks Filter'!$L$5="",BC416='Tasks Filter'!$L$5),OR('Tasks Filter'!$O$3="",BD416='Tasks Filter'!$O$3),OR('Tasks Filter'!$O$4="Yes",BG416=0)),1,0))</f>
        <v/>
      </c>
      <c r="BJ416">
        <f>IF(BH416=0,"",IF('Tasks Filter'!$F$6="Descending",-1,1)*CHOOSE(MATCH('Tasks Filter'!$F$5,Lists!$G$2:$G$6,0),AW416,BF416,IFERROR(MATCH(AV416,Setup!$F$6:$F$15,0),99),IFERROR(MATCH(BC416,Setup!$H$6:$H$15,0),99),IFERROR(MATCH(AZ416,Setup!$J$6:$J$11,0),99))*1E+9+(AW416-40000)*10000+415)</f>
        <v/>
      </c>
      <c r="BK416">
        <f>IF(BI416=1,BJ416,"")</f>
        <v/>
      </c>
      <c r="BL416">
        <f>IF(AND(BH416=1,BG416=0,N(AW416)&lt;Setup!$D$7),(AW416-40000)*10000+415,"")</f>
        <v/>
      </c>
      <c r="BM416">
        <f>IF(AND(BH416=1,AZ416&lt;&gt;"Cancelled",N(AW416)&gt;=Dashboard!$AB$3,N(AW416)&lt;=Dashboard!$AB$3+6),(AW416-40000)*100000+BF416*10000+415,"")</f>
        <v/>
      </c>
      <c r="BN416">
        <f>IF(AND(BH416=1,AZ416&lt;&gt;"Cancelled"),BF416*10000+415,"")</f>
        <v/>
      </c>
    </row>
    <row r="417">
      <c r="AS417" t="inlineStr">
        <is>
          <t>R</t>
        </is>
      </c>
      <c r="AT417" t="n">
        <v>421</v>
      </c>
      <c r="AU417">
        <f>'Recurring Log'!C421&amp;""</f>
        <v/>
      </c>
      <c r="AV417">
        <f>'Recurring Log'!D421&amp;""</f>
        <v/>
      </c>
      <c r="AW417">
        <f>IF('Recurring Log'!E421="","",'Recurring Log'!E421)</f>
        <v/>
      </c>
      <c r="AX417">
        <f>IF('Recurring Log'!G421="","",'Recurring Log'!G421)</f>
        <v/>
      </c>
      <c r="AY417">
        <f>IF('Recurring Log'!H421="","",'Recurring Log'!H421)</f>
        <v/>
      </c>
      <c r="AZ417">
        <f>IF(AU417="","",IF('Recurring Log'!J421="","Not Started",'Recurring Log'!J421))</f>
        <v/>
      </c>
      <c r="BA417">
        <f>'Recurring Log'!L421&amp;""</f>
        <v/>
      </c>
      <c r="BB417">
        <f>'Recurring Log'!M421&amp;""</f>
        <v/>
      </c>
      <c r="BC417">
        <f>'Recurring Log'!N421&amp;""</f>
        <v/>
      </c>
      <c r="BD417">
        <f>'Recurring Log'!O421&amp;""</f>
        <v/>
      </c>
      <c r="BE417">
        <f>IF('Recurring Log'!K421="","",'Recurring Log'!K421)</f>
        <v/>
      </c>
      <c r="BF417">
        <f>IFERROR(MATCH(BA417,Setup!$L$6:$L$9,0),5)</f>
        <v/>
      </c>
      <c r="BG417">
        <f>IF(OR(AZ417="Done",AZ417="Cancelled"),1,0)</f>
        <v/>
      </c>
      <c r="BH417">
        <f>IF(AND(AU417&lt;&gt;"",ISNUMBER(AW417)),1,0)</f>
        <v/>
      </c>
      <c r="BI417">
        <f>IF(BH417=0,0,IF(AND(AW417&gt;='Tasks Filter'!$F$3,AW417&lt;='Tasks Filter'!$F$4,OR('Tasks Filter'!$I$3="",ISNUMBER(SEARCH('Tasks Filter'!$I$3,AU417))),OR('Tasks Filter'!$I$4="",BF417=IFERROR(MATCH('Tasks Filter'!$I$4,Setup!$L$6:$L$9,0),0)),OR('Tasks Filter'!$I$5="Both",AND('Tasks Filter'!$I$5="Yes",BB417="✓"),AND('Tasks Filter'!$I$5="No",BB417&lt;&gt;"✓")),OR('Tasks Filter'!$L$3="",AV417='Tasks Filter'!$L$3),OR('Tasks Filter'!$L$4="",AZ417='Tasks Filter'!$L$4),OR('Tasks Filter'!$L$5="",BC417='Tasks Filter'!$L$5),OR('Tasks Filter'!$O$3="",BD417='Tasks Filter'!$O$3),OR('Tasks Filter'!$O$4="Yes",BG417=0)),1,0))</f>
        <v/>
      </c>
      <c r="BJ417">
        <f>IF(BH417=0,"",IF('Tasks Filter'!$F$6="Descending",-1,1)*CHOOSE(MATCH('Tasks Filter'!$F$5,Lists!$G$2:$G$6,0),AW417,BF417,IFERROR(MATCH(AV417,Setup!$F$6:$F$15,0),99),IFERROR(MATCH(BC417,Setup!$H$6:$H$15,0),99),IFERROR(MATCH(AZ417,Setup!$J$6:$J$11,0),99))*1E+9+(AW417-40000)*10000+416)</f>
        <v/>
      </c>
      <c r="BK417">
        <f>IF(BI417=1,BJ417,"")</f>
        <v/>
      </c>
      <c r="BL417">
        <f>IF(AND(BH417=1,BG417=0,N(AW417)&lt;Setup!$D$7),(AW417-40000)*10000+416,"")</f>
        <v/>
      </c>
      <c r="BM417">
        <f>IF(AND(BH417=1,AZ417&lt;&gt;"Cancelled",N(AW417)&gt;=Dashboard!$AB$3,N(AW417)&lt;=Dashboard!$AB$3+6),(AW417-40000)*100000+BF417*10000+416,"")</f>
        <v/>
      </c>
      <c r="BN417">
        <f>IF(AND(BH417=1,AZ417&lt;&gt;"Cancelled"),BF417*10000+416,"")</f>
        <v/>
      </c>
    </row>
    <row r="418">
      <c r="AS418" t="inlineStr">
        <is>
          <t>R</t>
        </is>
      </c>
      <c r="AT418" t="n">
        <v>422</v>
      </c>
      <c r="AU418">
        <f>'Recurring Log'!C422&amp;""</f>
        <v/>
      </c>
      <c r="AV418">
        <f>'Recurring Log'!D422&amp;""</f>
        <v/>
      </c>
      <c r="AW418">
        <f>IF('Recurring Log'!E422="","",'Recurring Log'!E422)</f>
        <v/>
      </c>
      <c r="AX418">
        <f>IF('Recurring Log'!G422="","",'Recurring Log'!G422)</f>
        <v/>
      </c>
      <c r="AY418">
        <f>IF('Recurring Log'!H422="","",'Recurring Log'!H422)</f>
        <v/>
      </c>
      <c r="AZ418">
        <f>IF(AU418="","",IF('Recurring Log'!J422="","Not Started",'Recurring Log'!J422))</f>
        <v/>
      </c>
      <c r="BA418">
        <f>'Recurring Log'!L422&amp;""</f>
        <v/>
      </c>
      <c r="BB418">
        <f>'Recurring Log'!M422&amp;""</f>
        <v/>
      </c>
      <c r="BC418">
        <f>'Recurring Log'!N422&amp;""</f>
        <v/>
      </c>
      <c r="BD418">
        <f>'Recurring Log'!O422&amp;""</f>
        <v/>
      </c>
      <c r="BE418">
        <f>IF('Recurring Log'!K422="","",'Recurring Log'!K422)</f>
        <v/>
      </c>
      <c r="BF418">
        <f>IFERROR(MATCH(BA418,Setup!$L$6:$L$9,0),5)</f>
        <v/>
      </c>
      <c r="BG418">
        <f>IF(OR(AZ418="Done",AZ418="Cancelled"),1,0)</f>
        <v/>
      </c>
      <c r="BH418">
        <f>IF(AND(AU418&lt;&gt;"",ISNUMBER(AW418)),1,0)</f>
        <v/>
      </c>
      <c r="BI418">
        <f>IF(BH418=0,0,IF(AND(AW418&gt;='Tasks Filter'!$F$3,AW418&lt;='Tasks Filter'!$F$4,OR('Tasks Filter'!$I$3="",ISNUMBER(SEARCH('Tasks Filter'!$I$3,AU418))),OR('Tasks Filter'!$I$4="",BF418=IFERROR(MATCH('Tasks Filter'!$I$4,Setup!$L$6:$L$9,0),0)),OR('Tasks Filter'!$I$5="Both",AND('Tasks Filter'!$I$5="Yes",BB418="✓"),AND('Tasks Filter'!$I$5="No",BB418&lt;&gt;"✓")),OR('Tasks Filter'!$L$3="",AV418='Tasks Filter'!$L$3),OR('Tasks Filter'!$L$4="",AZ418='Tasks Filter'!$L$4),OR('Tasks Filter'!$L$5="",BC418='Tasks Filter'!$L$5),OR('Tasks Filter'!$O$3="",BD418='Tasks Filter'!$O$3),OR('Tasks Filter'!$O$4="Yes",BG418=0)),1,0))</f>
        <v/>
      </c>
      <c r="BJ418">
        <f>IF(BH418=0,"",IF('Tasks Filter'!$F$6="Descending",-1,1)*CHOOSE(MATCH('Tasks Filter'!$F$5,Lists!$G$2:$G$6,0),AW418,BF418,IFERROR(MATCH(AV418,Setup!$F$6:$F$15,0),99),IFERROR(MATCH(BC418,Setup!$H$6:$H$15,0),99),IFERROR(MATCH(AZ418,Setup!$J$6:$J$11,0),99))*1E+9+(AW418-40000)*10000+417)</f>
        <v/>
      </c>
      <c r="BK418">
        <f>IF(BI418=1,BJ418,"")</f>
        <v/>
      </c>
      <c r="BL418">
        <f>IF(AND(BH418=1,BG418=0,N(AW418)&lt;Setup!$D$7),(AW418-40000)*10000+417,"")</f>
        <v/>
      </c>
      <c r="BM418">
        <f>IF(AND(BH418=1,AZ418&lt;&gt;"Cancelled",N(AW418)&gt;=Dashboard!$AB$3,N(AW418)&lt;=Dashboard!$AB$3+6),(AW418-40000)*100000+BF418*10000+417,"")</f>
        <v/>
      </c>
      <c r="BN418">
        <f>IF(AND(BH418=1,AZ418&lt;&gt;"Cancelled"),BF418*10000+417,"")</f>
        <v/>
      </c>
    </row>
    <row r="419">
      <c r="AS419" t="inlineStr">
        <is>
          <t>R</t>
        </is>
      </c>
      <c r="AT419" t="n">
        <v>423</v>
      </c>
      <c r="AU419">
        <f>'Recurring Log'!C423&amp;""</f>
        <v/>
      </c>
      <c r="AV419">
        <f>'Recurring Log'!D423&amp;""</f>
        <v/>
      </c>
      <c r="AW419">
        <f>IF('Recurring Log'!E423="","",'Recurring Log'!E423)</f>
        <v/>
      </c>
      <c r="AX419">
        <f>IF('Recurring Log'!G423="","",'Recurring Log'!G423)</f>
        <v/>
      </c>
      <c r="AY419">
        <f>IF('Recurring Log'!H423="","",'Recurring Log'!H423)</f>
        <v/>
      </c>
      <c r="AZ419">
        <f>IF(AU419="","",IF('Recurring Log'!J423="","Not Started",'Recurring Log'!J423))</f>
        <v/>
      </c>
      <c r="BA419">
        <f>'Recurring Log'!L423&amp;""</f>
        <v/>
      </c>
      <c r="BB419">
        <f>'Recurring Log'!M423&amp;""</f>
        <v/>
      </c>
      <c r="BC419">
        <f>'Recurring Log'!N423&amp;""</f>
        <v/>
      </c>
      <c r="BD419">
        <f>'Recurring Log'!O423&amp;""</f>
        <v/>
      </c>
      <c r="BE419">
        <f>IF('Recurring Log'!K423="","",'Recurring Log'!K423)</f>
        <v/>
      </c>
      <c r="BF419">
        <f>IFERROR(MATCH(BA419,Setup!$L$6:$L$9,0),5)</f>
        <v/>
      </c>
      <c r="BG419">
        <f>IF(OR(AZ419="Done",AZ419="Cancelled"),1,0)</f>
        <v/>
      </c>
      <c r="BH419">
        <f>IF(AND(AU419&lt;&gt;"",ISNUMBER(AW419)),1,0)</f>
        <v/>
      </c>
      <c r="BI419">
        <f>IF(BH419=0,0,IF(AND(AW419&gt;='Tasks Filter'!$F$3,AW419&lt;='Tasks Filter'!$F$4,OR('Tasks Filter'!$I$3="",ISNUMBER(SEARCH('Tasks Filter'!$I$3,AU419))),OR('Tasks Filter'!$I$4="",BF419=IFERROR(MATCH('Tasks Filter'!$I$4,Setup!$L$6:$L$9,0),0)),OR('Tasks Filter'!$I$5="Both",AND('Tasks Filter'!$I$5="Yes",BB419="✓"),AND('Tasks Filter'!$I$5="No",BB419&lt;&gt;"✓")),OR('Tasks Filter'!$L$3="",AV419='Tasks Filter'!$L$3),OR('Tasks Filter'!$L$4="",AZ419='Tasks Filter'!$L$4),OR('Tasks Filter'!$L$5="",BC419='Tasks Filter'!$L$5),OR('Tasks Filter'!$O$3="",BD419='Tasks Filter'!$O$3),OR('Tasks Filter'!$O$4="Yes",BG419=0)),1,0))</f>
        <v/>
      </c>
      <c r="BJ419">
        <f>IF(BH419=0,"",IF('Tasks Filter'!$F$6="Descending",-1,1)*CHOOSE(MATCH('Tasks Filter'!$F$5,Lists!$G$2:$G$6,0),AW419,BF419,IFERROR(MATCH(AV419,Setup!$F$6:$F$15,0),99),IFERROR(MATCH(BC419,Setup!$H$6:$H$15,0),99),IFERROR(MATCH(AZ419,Setup!$J$6:$J$11,0),99))*1E+9+(AW419-40000)*10000+418)</f>
        <v/>
      </c>
      <c r="BK419">
        <f>IF(BI419=1,BJ419,"")</f>
        <v/>
      </c>
      <c r="BL419">
        <f>IF(AND(BH419=1,BG419=0,N(AW419)&lt;Setup!$D$7),(AW419-40000)*10000+418,"")</f>
        <v/>
      </c>
      <c r="BM419">
        <f>IF(AND(BH419=1,AZ419&lt;&gt;"Cancelled",N(AW419)&gt;=Dashboard!$AB$3,N(AW419)&lt;=Dashboard!$AB$3+6),(AW419-40000)*100000+BF419*10000+418,"")</f>
        <v/>
      </c>
      <c r="BN419">
        <f>IF(AND(BH419=1,AZ419&lt;&gt;"Cancelled"),BF419*10000+418,"")</f>
        <v/>
      </c>
    </row>
    <row r="420">
      <c r="AS420" t="inlineStr">
        <is>
          <t>R</t>
        </is>
      </c>
      <c r="AT420" t="n">
        <v>424</v>
      </c>
      <c r="AU420">
        <f>'Recurring Log'!C424&amp;""</f>
        <v/>
      </c>
      <c r="AV420">
        <f>'Recurring Log'!D424&amp;""</f>
        <v/>
      </c>
      <c r="AW420">
        <f>IF('Recurring Log'!E424="","",'Recurring Log'!E424)</f>
        <v/>
      </c>
      <c r="AX420">
        <f>IF('Recurring Log'!G424="","",'Recurring Log'!G424)</f>
        <v/>
      </c>
      <c r="AY420">
        <f>IF('Recurring Log'!H424="","",'Recurring Log'!H424)</f>
        <v/>
      </c>
      <c r="AZ420">
        <f>IF(AU420="","",IF('Recurring Log'!J424="","Not Started",'Recurring Log'!J424))</f>
        <v/>
      </c>
      <c r="BA420">
        <f>'Recurring Log'!L424&amp;""</f>
        <v/>
      </c>
      <c r="BB420">
        <f>'Recurring Log'!M424&amp;""</f>
        <v/>
      </c>
      <c r="BC420">
        <f>'Recurring Log'!N424&amp;""</f>
        <v/>
      </c>
      <c r="BD420">
        <f>'Recurring Log'!O424&amp;""</f>
        <v/>
      </c>
      <c r="BE420">
        <f>IF('Recurring Log'!K424="","",'Recurring Log'!K424)</f>
        <v/>
      </c>
      <c r="BF420">
        <f>IFERROR(MATCH(BA420,Setup!$L$6:$L$9,0),5)</f>
        <v/>
      </c>
      <c r="BG420">
        <f>IF(OR(AZ420="Done",AZ420="Cancelled"),1,0)</f>
        <v/>
      </c>
      <c r="BH420">
        <f>IF(AND(AU420&lt;&gt;"",ISNUMBER(AW420)),1,0)</f>
        <v/>
      </c>
      <c r="BI420">
        <f>IF(BH420=0,0,IF(AND(AW420&gt;='Tasks Filter'!$F$3,AW420&lt;='Tasks Filter'!$F$4,OR('Tasks Filter'!$I$3="",ISNUMBER(SEARCH('Tasks Filter'!$I$3,AU420))),OR('Tasks Filter'!$I$4="",BF420=IFERROR(MATCH('Tasks Filter'!$I$4,Setup!$L$6:$L$9,0),0)),OR('Tasks Filter'!$I$5="Both",AND('Tasks Filter'!$I$5="Yes",BB420="✓"),AND('Tasks Filter'!$I$5="No",BB420&lt;&gt;"✓")),OR('Tasks Filter'!$L$3="",AV420='Tasks Filter'!$L$3),OR('Tasks Filter'!$L$4="",AZ420='Tasks Filter'!$L$4),OR('Tasks Filter'!$L$5="",BC420='Tasks Filter'!$L$5),OR('Tasks Filter'!$O$3="",BD420='Tasks Filter'!$O$3),OR('Tasks Filter'!$O$4="Yes",BG420=0)),1,0))</f>
        <v/>
      </c>
      <c r="BJ420">
        <f>IF(BH420=0,"",IF('Tasks Filter'!$F$6="Descending",-1,1)*CHOOSE(MATCH('Tasks Filter'!$F$5,Lists!$G$2:$G$6,0),AW420,BF420,IFERROR(MATCH(AV420,Setup!$F$6:$F$15,0),99),IFERROR(MATCH(BC420,Setup!$H$6:$H$15,0),99),IFERROR(MATCH(AZ420,Setup!$J$6:$J$11,0),99))*1E+9+(AW420-40000)*10000+419)</f>
        <v/>
      </c>
      <c r="BK420">
        <f>IF(BI420=1,BJ420,"")</f>
        <v/>
      </c>
      <c r="BL420">
        <f>IF(AND(BH420=1,BG420=0,N(AW420)&lt;Setup!$D$7),(AW420-40000)*10000+419,"")</f>
        <v/>
      </c>
      <c r="BM420">
        <f>IF(AND(BH420=1,AZ420&lt;&gt;"Cancelled",N(AW420)&gt;=Dashboard!$AB$3,N(AW420)&lt;=Dashboard!$AB$3+6),(AW420-40000)*100000+BF420*10000+419,"")</f>
        <v/>
      </c>
      <c r="BN420">
        <f>IF(AND(BH420=1,AZ420&lt;&gt;"Cancelled"),BF420*10000+419,"")</f>
        <v/>
      </c>
    </row>
    <row r="421">
      <c r="AS421" t="inlineStr">
        <is>
          <t>R</t>
        </is>
      </c>
      <c r="AT421" t="n">
        <v>425</v>
      </c>
      <c r="AU421">
        <f>'Recurring Log'!C425&amp;""</f>
        <v/>
      </c>
      <c r="AV421">
        <f>'Recurring Log'!D425&amp;""</f>
        <v/>
      </c>
      <c r="AW421">
        <f>IF('Recurring Log'!E425="","",'Recurring Log'!E425)</f>
        <v/>
      </c>
      <c r="AX421">
        <f>IF('Recurring Log'!G425="","",'Recurring Log'!G425)</f>
        <v/>
      </c>
      <c r="AY421">
        <f>IF('Recurring Log'!H425="","",'Recurring Log'!H425)</f>
        <v/>
      </c>
      <c r="AZ421">
        <f>IF(AU421="","",IF('Recurring Log'!J425="","Not Started",'Recurring Log'!J425))</f>
        <v/>
      </c>
      <c r="BA421">
        <f>'Recurring Log'!L425&amp;""</f>
        <v/>
      </c>
      <c r="BB421">
        <f>'Recurring Log'!M425&amp;""</f>
        <v/>
      </c>
      <c r="BC421">
        <f>'Recurring Log'!N425&amp;""</f>
        <v/>
      </c>
      <c r="BD421">
        <f>'Recurring Log'!O425&amp;""</f>
        <v/>
      </c>
      <c r="BE421">
        <f>IF('Recurring Log'!K425="","",'Recurring Log'!K425)</f>
        <v/>
      </c>
      <c r="BF421">
        <f>IFERROR(MATCH(BA421,Setup!$L$6:$L$9,0),5)</f>
        <v/>
      </c>
      <c r="BG421">
        <f>IF(OR(AZ421="Done",AZ421="Cancelled"),1,0)</f>
        <v/>
      </c>
      <c r="BH421">
        <f>IF(AND(AU421&lt;&gt;"",ISNUMBER(AW421)),1,0)</f>
        <v/>
      </c>
      <c r="BI421">
        <f>IF(BH421=0,0,IF(AND(AW421&gt;='Tasks Filter'!$F$3,AW421&lt;='Tasks Filter'!$F$4,OR('Tasks Filter'!$I$3="",ISNUMBER(SEARCH('Tasks Filter'!$I$3,AU421))),OR('Tasks Filter'!$I$4="",BF421=IFERROR(MATCH('Tasks Filter'!$I$4,Setup!$L$6:$L$9,0),0)),OR('Tasks Filter'!$I$5="Both",AND('Tasks Filter'!$I$5="Yes",BB421="✓"),AND('Tasks Filter'!$I$5="No",BB421&lt;&gt;"✓")),OR('Tasks Filter'!$L$3="",AV421='Tasks Filter'!$L$3),OR('Tasks Filter'!$L$4="",AZ421='Tasks Filter'!$L$4),OR('Tasks Filter'!$L$5="",BC421='Tasks Filter'!$L$5),OR('Tasks Filter'!$O$3="",BD421='Tasks Filter'!$O$3),OR('Tasks Filter'!$O$4="Yes",BG421=0)),1,0))</f>
        <v/>
      </c>
      <c r="BJ421">
        <f>IF(BH421=0,"",IF('Tasks Filter'!$F$6="Descending",-1,1)*CHOOSE(MATCH('Tasks Filter'!$F$5,Lists!$G$2:$G$6,0),AW421,BF421,IFERROR(MATCH(AV421,Setup!$F$6:$F$15,0),99),IFERROR(MATCH(BC421,Setup!$H$6:$H$15,0),99),IFERROR(MATCH(AZ421,Setup!$J$6:$J$11,0),99))*1E+9+(AW421-40000)*10000+420)</f>
        <v/>
      </c>
      <c r="BK421">
        <f>IF(BI421=1,BJ421,"")</f>
        <v/>
      </c>
      <c r="BL421">
        <f>IF(AND(BH421=1,BG421=0,N(AW421)&lt;Setup!$D$7),(AW421-40000)*10000+420,"")</f>
        <v/>
      </c>
      <c r="BM421">
        <f>IF(AND(BH421=1,AZ421&lt;&gt;"Cancelled",N(AW421)&gt;=Dashboard!$AB$3,N(AW421)&lt;=Dashboard!$AB$3+6),(AW421-40000)*100000+BF421*10000+420,"")</f>
        <v/>
      </c>
      <c r="BN421">
        <f>IF(AND(BH421=1,AZ421&lt;&gt;"Cancelled"),BF421*10000+420,"")</f>
        <v/>
      </c>
    </row>
    <row r="422">
      <c r="AS422" t="inlineStr">
        <is>
          <t>R</t>
        </is>
      </c>
      <c r="AT422" t="n">
        <v>426</v>
      </c>
      <c r="AU422">
        <f>'Recurring Log'!C426&amp;""</f>
        <v/>
      </c>
      <c r="AV422">
        <f>'Recurring Log'!D426&amp;""</f>
        <v/>
      </c>
      <c r="AW422">
        <f>IF('Recurring Log'!E426="","",'Recurring Log'!E426)</f>
        <v/>
      </c>
      <c r="AX422">
        <f>IF('Recurring Log'!G426="","",'Recurring Log'!G426)</f>
        <v/>
      </c>
      <c r="AY422">
        <f>IF('Recurring Log'!H426="","",'Recurring Log'!H426)</f>
        <v/>
      </c>
      <c r="AZ422">
        <f>IF(AU422="","",IF('Recurring Log'!J426="","Not Started",'Recurring Log'!J426))</f>
        <v/>
      </c>
      <c r="BA422">
        <f>'Recurring Log'!L426&amp;""</f>
        <v/>
      </c>
      <c r="BB422">
        <f>'Recurring Log'!M426&amp;""</f>
        <v/>
      </c>
      <c r="BC422">
        <f>'Recurring Log'!N426&amp;""</f>
        <v/>
      </c>
      <c r="BD422">
        <f>'Recurring Log'!O426&amp;""</f>
        <v/>
      </c>
      <c r="BE422">
        <f>IF('Recurring Log'!K426="","",'Recurring Log'!K426)</f>
        <v/>
      </c>
      <c r="BF422">
        <f>IFERROR(MATCH(BA422,Setup!$L$6:$L$9,0),5)</f>
        <v/>
      </c>
      <c r="BG422">
        <f>IF(OR(AZ422="Done",AZ422="Cancelled"),1,0)</f>
        <v/>
      </c>
      <c r="BH422">
        <f>IF(AND(AU422&lt;&gt;"",ISNUMBER(AW422)),1,0)</f>
        <v/>
      </c>
      <c r="BI422">
        <f>IF(BH422=0,0,IF(AND(AW422&gt;='Tasks Filter'!$F$3,AW422&lt;='Tasks Filter'!$F$4,OR('Tasks Filter'!$I$3="",ISNUMBER(SEARCH('Tasks Filter'!$I$3,AU422))),OR('Tasks Filter'!$I$4="",BF422=IFERROR(MATCH('Tasks Filter'!$I$4,Setup!$L$6:$L$9,0),0)),OR('Tasks Filter'!$I$5="Both",AND('Tasks Filter'!$I$5="Yes",BB422="✓"),AND('Tasks Filter'!$I$5="No",BB422&lt;&gt;"✓")),OR('Tasks Filter'!$L$3="",AV422='Tasks Filter'!$L$3),OR('Tasks Filter'!$L$4="",AZ422='Tasks Filter'!$L$4),OR('Tasks Filter'!$L$5="",BC422='Tasks Filter'!$L$5),OR('Tasks Filter'!$O$3="",BD422='Tasks Filter'!$O$3),OR('Tasks Filter'!$O$4="Yes",BG422=0)),1,0))</f>
        <v/>
      </c>
      <c r="BJ422">
        <f>IF(BH422=0,"",IF('Tasks Filter'!$F$6="Descending",-1,1)*CHOOSE(MATCH('Tasks Filter'!$F$5,Lists!$G$2:$G$6,0),AW422,BF422,IFERROR(MATCH(AV422,Setup!$F$6:$F$15,0),99),IFERROR(MATCH(BC422,Setup!$H$6:$H$15,0),99),IFERROR(MATCH(AZ422,Setup!$J$6:$J$11,0),99))*1E+9+(AW422-40000)*10000+421)</f>
        <v/>
      </c>
      <c r="BK422">
        <f>IF(BI422=1,BJ422,"")</f>
        <v/>
      </c>
      <c r="BL422">
        <f>IF(AND(BH422=1,BG422=0,N(AW422)&lt;Setup!$D$7),(AW422-40000)*10000+421,"")</f>
        <v/>
      </c>
      <c r="BM422">
        <f>IF(AND(BH422=1,AZ422&lt;&gt;"Cancelled",N(AW422)&gt;=Dashboard!$AB$3,N(AW422)&lt;=Dashboard!$AB$3+6),(AW422-40000)*100000+BF422*10000+421,"")</f>
        <v/>
      </c>
      <c r="BN422">
        <f>IF(AND(BH422=1,AZ422&lt;&gt;"Cancelled"),BF422*10000+421,"")</f>
        <v/>
      </c>
    </row>
    <row r="423">
      <c r="AS423" t="inlineStr">
        <is>
          <t>R</t>
        </is>
      </c>
      <c r="AT423" t="n">
        <v>427</v>
      </c>
      <c r="AU423">
        <f>'Recurring Log'!C427&amp;""</f>
        <v/>
      </c>
      <c r="AV423">
        <f>'Recurring Log'!D427&amp;""</f>
        <v/>
      </c>
      <c r="AW423">
        <f>IF('Recurring Log'!E427="","",'Recurring Log'!E427)</f>
        <v/>
      </c>
      <c r="AX423">
        <f>IF('Recurring Log'!G427="","",'Recurring Log'!G427)</f>
        <v/>
      </c>
      <c r="AY423">
        <f>IF('Recurring Log'!H427="","",'Recurring Log'!H427)</f>
        <v/>
      </c>
      <c r="AZ423">
        <f>IF(AU423="","",IF('Recurring Log'!J427="","Not Started",'Recurring Log'!J427))</f>
        <v/>
      </c>
      <c r="BA423">
        <f>'Recurring Log'!L427&amp;""</f>
        <v/>
      </c>
      <c r="BB423">
        <f>'Recurring Log'!M427&amp;""</f>
        <v/>
      </c>
      <c r="BC423">
        <f>'Recurring Log'!N427&amp;""</f>
        <v/>
      </c>
      <c r="BD423">
        <f>'Recurring Log'!O427&amp;""</f>
        <v/>
      </c>
      <c r="BE423">
        <f>IF('Recurring Log'!K427="","",'Recurring Log'!K427)</f>
        <v/>
      </c>
      <c r="BF423">
        <f>IFERROR(MATCH(BA423,Setup!$L$6:$L$9,0),5)</f>
        <v/>
      </c>
      <c r="BG423">
        <f>IF(OR(AZ423="Done",AZ423="Cancelled"),1,0)</f>
        <v/>
      </c>
      <c r="BH423">
        <f>IF(AND(AU423&lt;&gt;"",ISNUMBER(AW423)),1,0)</f>
        <v/>
      </c>
      <c r="BI423">
        <f>IF(BH423=0,0,IF(AND(AW423&gt;='Tasks Filter'!$F$3,AW423&lt;='Tasks Filter'!$F$4,OR('Tasks Filter'!$I$3="",ISNUMBER(SEARCH('Tasks Filter'!$I$3,AU423))),OR('Tasks Filter'!$I$4="",BF423=IFERROR(MATCH('Tasks Filter'!$I$4,Setup!$L$6:$L$9,0),0)),OR('Tasks Filter'!$I$5="Both",AND('Tasks Filter'!$I$5="Yes",BB423="✓"),AND('Tasks Filter'!$I$5="No",BB423&lt;&gt;"✓")),OR('Tasks Filter'!$L$3="",AV423='Tasks Filter'!$L$3),OR('Tasks Filter'!$L$4="",AZ423='Tasks Filter'!$L$4),OR('Tasks Filter'!$L$5="",BC423='Tasks Filter'!$L$5),OR('Tasks Filter'!$O$3="",BD423='Tasks Filter'!$O$3),OR('Tasks Filter'!$O$4="Yes",BG423=0)),1,0))</f>
        <v/>
      </c>
      <c r="BJ423">
        <f>IF(BH423=0,"",IF('Tasks Filter'!$F$6="Descending",-1,1)*CHOOSE(MATCH('Tasks Filter'!$F$5,Lists!$G$2:$G$6,0),AW423,BF423,IFERROR(MATCH(AV423,Setup!$F$6:$F$15,0),99),IFERROR(MATCH(BC423,Setup!$H$6:$H$15,0),99),IFERROR(MATCH(AZ423,Setup!$J$6:$J$11,0),99))*1E+9+(AW423-40000)*10000+422)</f>
        <v/>
      </c>
      <c r="BK423">
        <f>IF(BI423=1,BJ423,"")</f>
        <v/>
      </c>
      <c r="BL423">
        <f>IF(AND(BH423=1,BG423=0,N(AW423)&lt;Setup!$D$7),(AW423-40000)*10000+422,"")</f>
        <v/>
      </c>
      <c r="BM423">
        <f>IF(AND(BH423=1,AZ423&lt;&gt;"Cancelled",N(AW423)&gt;=Dashboard!$AB$3,N(AW423)&lt;=Dashboard!$AB$3+6),(AW423-40000)*100000+BF423*10000+422,"")</f>
        <v/>
      </c>
      <c r="BN423">
        <f>IF(AND(BH423=1,AZ423&lt;&gt;"Cancelled"),BF423*10000+422,"")</f>
        <v/>
      </c>
    </row>
    <row r="424">
      <c r="AS424" t="inlineStr">
        <is>
          <t>R</t>
        </is>
      </c>
      <c r="AT424" t="n">
        <v>428</v>
      </c>
      <c r="AU424">
        <f>'Recurring Log'!C428&amp;""</f>
        <v/>
      </c>
      <c r="AV424">
        <f>'Recurring Log'!D428&amp;""</f>
        <v/>
      </c>
      <c r="AW424">
        <f>IF('Recurring Log'!E428="","",'Recurring Log'!E428)</f>
        <v/>
      </c>
      <c r="AX424">
        <f>IF('Recurring Log'!G428="","",'Recurring Log'!G428)</f>
        <v/>
      </c>
      <c r="AY424">
        <f>IF('Recurring Log'!H428="","",'Recurring Log'!H428)</f>
        <v/>
      </c>
      <c r="AZ424">
        <f>IF(AU424="","",IF('Recurring Log'!J428="","Not Started",'Recurring Log'!J428))</f>
        <v/>
      </c>
      <c r="BA424">
        <f>'Recurring Log'!L428&amp;""</f>
        <v/>
      </c>
      <c r="BB424">
        <f>'Recurring Log'!M428&amp;""</f>
        <v/>
      </c>
      <c r="BC424">
        <f>'Recurring Log'!N428&amp;""</f>
        <v/>
      </c>
      <c r="BD424">
        <f>'Recurring Log'!O428&amp;""</f>
        <v/>
      </c>
      <c r="BE424">
        <f>IF('Recurring Log'!K428="","",'Recurring Log'!K428)</f>
        <v/>
      </c>
      <c r="BF424">
        <f>IFERROR(MATCH(BA424,Setup!$L$6:$L$9,0),5)</f>
        <v/>
      </c>
      <c r="BG424">
        <f>IF(OR(AZ424="Done",AZ424="Cancelled"),1,0)</f>
        <v/>
      </c>
      <c r="BH424">
        <f>IF(AND(AU424&lt;&gt;"",ISNUMBER(AW424)),1,0)</f>
        <v/>
      </c>
      <c r="BI424">
        <f>IF(BH424=0,0,IF(AND(AW424&gt;='Tasks Filter'!$F$3,AW424&lt;='Tasks Filter'!$F$4,OR('Tasks Filter'!$I$3="",ISNUMBER(SEARCH('Tasks Filter'!$I$3,AU424))),OR('Tasks Filter'!$I$4="",BF424=IFERROR(MATCH('Tasks Filter'!$I$4,Setup!$L$6:$L$9,0),0)),OR('Tasks Filter'!$I$5="Both",AND('Tasks Filter'!$I$5="Yes",BB424="✓"),AND('Tasks Filter'!$I$5="No",BB424&lt;&gt;"✓")),OR('Tasks Filter'!$L$3="",AV424='Tasks Filter'!$L$3),OR('Tasks Filter'!$L$4="",AZ424='Tasks Filter'!$L$4),OR('Tasks Filter'!$L$5="",BC424='Tasks Filter'!$L$5),OR('Tasks Filter'!$O$3="",BD424='Tasks Filter'!$O$3),OR('Tasks Filter'!$O$4="Yes",BG424=0)),1,0))</f>
        <v/>
      </c>
      <c r="BJ424">
        <f>IF(BH424=0,"",IF('Tasks Filter'!$F$6="Descending",-1,1)*CHOOSE(MATCH('Tasks Filter'!$F$5,Lists!$G$2:$G$6,0),AW424,BF424,IFERROR(MATCH(AV424,Setup!$F$6:$F$15,0),99),IFERROR(MATCH(BC424,Setup!$H$6:$H$15,0),99),IFERROR(MATCH(AZ424,Setup!$J$6:$J$11,0),99))*1E+9+(AW424-40000)*10000+423)</f>
        <v/>
      </c>
      <c r="BK424">
        <f>IF(BI424=1,BJ424,"")</f>
        <v/>
      </c>
      <c r="BL424">
        <f>IF(AND(BH424=1,BG424=0,N(AW424)&lt;Setup!$D$7),(AW424-40000)*10000+423,"")</f>
        <v/>
      </c>
      <c r="BM424">
        <f>IF(AND(BH424=1,AZ424&lt;&gt;"Cancelled",N(AW424)&gt;=Dashboard!$AB$3,N(AW424)&lt;=Dashboard!$AB$3+6),(AW424-40000)*100000+BF424*10000+423,"")</f>
        <v/>
      </c>
      <c r="BN424">
        <f>IF(AND(BH424=1,AZ424&lt;&gt;"Cancelled"),BF424*10000+423,"")</f>
        <v/>
      </c>
    </row>
    <row r="425">
      <c r="AS425" t="inlineStr">
        <is>
          <t>R</t>
        </is>
      </c>
      <c r="AT425" t="n">
        <v>429</v>
      </c>
      <c r="AU425">
        <f>'Recurring Log'!C429&amp;""</f>
        <v/>
      </c>
      <c r="AV425">
        <f>'Recurring Log'!D429&amp;""</f>
        <v/>
      </c>
      <c r="AW425">
        <f>IF('Recurring Log'!E429="","",'Recurring Log'!E429)</f>
        <v/>
      </c>
      <c r="AX425">
        <f>IF('Recurring Log'!G429="","",'Recurring Log'!G429)</f>
        <v/>
      </c>
      <c r="AY425">
        <f>IF('Recurring Log'!H429="","",'Recurring Log'!H429)</f>
        <v/>
      </c>
      <c r="AZ425">
        <f>IF(AU425="","",IF('Recurring Log'!J429="","Not Started",'Recurring Log'!J429))</f>
        <v/>
      </c>
      <c r="BA425">
        <f>'Recurring Log'!L429&amp;""</f>
        <v/>
      </c>
      <c r="BB425">
        <f>'Recurring Log'!M429&amp;""</f>
        <v/>
      </c>
      <c r="BC425">
        <f>'Recurring Log'!N429&amp;""</f>
        <v/>
      </c>
      <c r="BD425">
        <f>'Recurring Log'!O429&amp;""</f>
        <v/>
      </c>
      <c r="BE425">
        <f>IF('Recurring Log'!K429="","",'Recurring Log'!K429)</f>
        <v/>
      </c>
      <c r="BF425">
        <f>IFERROR(MATCH(BA425,Setup!$L$6:$L$9,0),5)</f>
        <v/>
      </c>
      <c r="BG425">
        <f>IF(OR(AZ425="Done",AZ425="Cancelled"),1,0)</f>
        <v/>
      </c>
      <c r="BH425">
        <f>IF(AND(AU425&lt;&gt;"",ISNUMBER(AW425)),1,0)</f>
        <v/>
      </c>
      <c r="BI425">
        <f>IF(BH425=0,0,IF(AND(AW425&gt;='Tasks Filter'!$F$3,AW425&lt;='Tasks Filter'!$F$4,OR('Tasks Filter'!$I$3="",ISNUMBER(SEARCH('Tasks Filter'!$I$3,AU425))),OR('Tasks Filter'!$I$4="",BF425=IFERROR(MATCH('Tasks Filter'!$I$4,Setup!$L$6:$L$9,0),0)),OR('Tasks Filter'!$I$5="Both",AND('Tasks Filter'!$I$5="Yes",BB425="✓"),AND('Tasks Filter'!$I$5="No",BB425&lt;&gt;"✓")),OR('Tasks Filter'!$L$3="",AV425='Tasks Filter'!$L$3),OR('Tasks Filter'!$L$4="",AZ425='Tasks Filter'!$L$4),OR('Tasks Filter'!$L$5="",BC425='Tasks Filter'!$L$5),OR('Tasks Filter'!$O$3="",BD425='Tasks Filter'!$O$3),OR('Tasks Filter'!$O$4="Yes",BG425=0)),1,0))</f>
        <v/>
      </c>
      <c r="BJ425">
        <f>IF(BH425=0,"",IF('Tasks Filter'!$F$6="Descending",-1,1)*CHOOSE(MATCH('Tasks Filter'!$F$5,Lists!$G$2:$G$6,0),AW425,BF425,IFERROR(MATCH(AV425,Setup!$F$6:$F$15,0),99),IFERROR(MATCH(BC425,Setup!$H$6:$H$15,0),99),IFERROR(MATCH(AZ425,Setup!$J$6:$J$11,0),99))*1E+9+(AW425-40000)*10000+424)</f>
        <v/>
      </c>
      <c r="BK425">
        <f>IF(BI425=1,BJ425,"")</f>
        <v/>
      </c>
      <c r="BL425">
        <f>IF(AND(BH425=1,BG425=0,N(AW425)&lt;Setup!$D$7),(AW425-40000)*10000+424,"")</f>
        <v/>
      </c>
      <c r="BM425">
        <f>IF(AND(BH425=1,AZ425&lt;&gt;"Cancelled",N(AW425)&gt;=Dashboard!$AB$3,N(AW425)&lt;=Dashboard!$AB$3+6),(AW425-40000)*100000+BF425*10000+424,"")</f>
        <v/>
      </c>
      <c r="BN425">
        <f>IF(AND(BH425=1,AZ425&lt;&gt;"Cancelled"),BF425*10000+424,"")</f>
        <v/>
      </c>
    </row>
    <row r="426">
      <c r="AS426" t="inlineStr">
        <is>
          <t>R</t>
        </is>
      </c>
      <c r="AT426" t="n">
        <v>430</v>
      </c>
      <c r="AU426">
        <f>'Recurring Log'!C430&amp;""</f>
        <v/>
      </c>
      <c r="AV426">
        <f>'Recurring Log'!D430&amp;""</f>
        <v/>
      </c>
      <c r="AW426">
        <f>IF('Recurring Log'!E430="","",'Recurring Log'!E430)</f>
        <v/>
      </c>
      <c r="AX426">
        <f>IF('Recurring Log'!G430="","",'Recurring Log'!G430)</f>
        <v/>
      </c>
      <c r="AY426">
        <f>IF('Recurring Log'!H430="","",'Recurring Log'!H430)</f>
        <v/>
      </c>
      <c r="AZ426">
        <f>IF(AU426="","",IF('Recurring Log'!J430="","Not Started",'Recurring Log'!J430))</f>
        <v/>
      </c>
      <c r="BA426">
        <f>'Recurring Log'!L430&amp;""</f>
        <v/>
      </c>
      <c r="BB426">
        <f>'Recurring Log'!M430&amp;""</f>
        <v/>
      </c>
      <c r="BC426">
        <f>'Recurring Log'!N430&amp;""</f>
        <v/>
      </c>
      <c r="BD426">
        <f>'Recurring Log'!O430&amp;""</f>
        <v/>
      </c>
      <c r="BE426">
        <f>IF('Recurring Log'!K430="","",'Recurring Log'!K430)</f>
        <v/>
      </c>
      <c r="BF426">
        <f>IFERROR(MATCH(BA426,Setup!$L$6:$L$9,0),5)</f>
        <v/>
      </c>
      <c r="BG426">
        <f>IF(OR(AZ426="Done",AZ426="Cancelled"),1,0)</f>
        <v/>
      </c>
      <c r="BH426">
        <f>IF(AND(AU426&lt;&gt;"",ISNUMBER(AW426)),1,0)</f>
        <v/>
      </c>
      <c r="BI426">
        <f>IF(BH426=0,0,IF(AND(AW426&gt;='Tasks Filter'!$F$3,AW426&lt;='Tasks Filter'!$F$4,OR('Tasks Filter'!$I$3="",ISNUMBER(SEARCH('Tasks Filter'!$I$3,AU426))),OR('Tasks Filter'!$I$4="",BF426=IFERROR(MATCH('Tasks Filter'!$I$4,Setup!$L$6:$L$9,0),0)),OR('Tasks Filter'!$I$5="Both",AND('Tasks Filter'!$I$5="Yes",BB426="✓"),AND('Tasks Filter'!$I$5="No",BB426&lt;&gt;"✓")),OR('Tasks Filter'!$L$3="",AV426='Tasks Filter'!$L$3),OR('Tasks Filter'!$L$4="",AZ426='Tasks Filter'!$L$4),OR('Tasks Filter'!$L$5="",BC426='Tasks Filter'!$L$5),OR('Tasks Filter'!$O$3="",BD426='Tasks Filter'!$O$3),OR('Tasks Filter'!$O$4="Yes",BG426=0)),1,0))</f>
        <v/>
      </c>
      <c r="BJ426">
        <f>IF(BH426=0,"",IF('Tasks Filter'!$F$6="Descending",-1,1)*CHOOSE(MATCH('Tasks Filter'!$F$5,Lists!$G$2:$G$6,0),AW426,BF426,IFERROR(MATCH(AV426,Setup!$F$6:$F$15,0),99),IFERROR(MATCH(BC426,Setup!$H$6:$H$15,0),99),IFERROR(MATCH(AZ426,Setup!$J$6:$J$11,0),99))*1E+9+(AW426-40000)*10000+425)</f>
        <v/>
      </c>
      <c r="BK426">
        <f>IF(BI426=1,BJ426,"")</f>
        <v/>
      </c>
      <c r="BL426">
        <f>IF(AND(BH426=1,BG426=0,N(AW426)&lt;Setup!$D$7),(AW426-40000)*10000+425,"")</f>
        <v/>
      </c>
      <c r="BM426">
        <f>IF(AND(BH426=1,AZ426&lt;&gt;"Cancelled",N(AW426)&gt;=Dashboard!$AB$3,N(AW426)&lt;=Dashboard!$AB$3+6),(AW426-40000)*100000+BF426*10000+425,"")</f>
        <v/>
      </c>
      <c r="BN426">
        <f>IF(AND(BH426=1,AZ426&lt;&gt;"Cancelled"),BF426*10000+425,"")</f>
        <v/>
      </c>
    </row>
    <row r="427">
      <c r="AS427" t="inlineStr">
        <is>
          <t>R</t>
        </is>
      </c>
      <c r="AT427" t="n">
        <v>431</v>
      </c>
      <c r="AU427">
        <f>'Recurring Log'!C431&amp;""</f>
        <v/>
      </c>
      <c r="AV427">
        <f>'Recurring Log'!D431&amp;""</f>
        <v/>
      </c>
      <c r="AW427">
        <f>IF('Recurring Log'!E431="","",'Recurring Log'!E431)</f>
        <v/>
      </c>
      <c r="AX427">
        <f>IF('Recurring Log'!G431="","",'Recurring Log'!G431)</f>
        <v/>
      </c>
      <c r="AY427">
        <f>IF('Recurring Log'!H431="","",'Recurring Log'!H431)</f>
        <v/>
      </c>
      <c r="AZ427">
        <f>IF(AU427="","",IF('Recurring Log'!J431="","Not Started",'Recurring Log'!J431))</f>
        <v/>
      </c>
      <c r="BA427">
        <f>'Recurring Log'!L431&amp;""</f>
        <v/>
      </c>
      <c r="BB427">
        <f>'Recurring Log'!M431&amp;""</f>
        <v/>
      </c>
      <c r="BC427">
        <f>'Recurring Log'!N431&amp;""</f>
        <v/>
      </c>
      <c r="BD427">
        <f>'Recurring Log'!O431&amp;""</f>
        <v/>
      </c>
      <c r="BE427">
        <f>IF('Recurring Log'!K431="","",'Recurring Log'!K431)</f>
        <v/>
      </c>
      <c r="BF427">
        <f>IFERROR(MATCH(BA427,Setup!$L$6:$L$9,0),5)</f>
        <v/>
      </c>
      <c r="BG427">
        <f>IF(OR(AZ427="Done",AZ427="Cancelled"),1,0)</f>
        <v/>
      </c>
      <c r="BH427">
        <f>IF(AND(AU427&lt;&gt;"",ISNUMBER(AW427)),1,0)</f>
        <v/>
      </c>
      <c r="BI427">
        <f>IF(BH427=0,0,IF(AND(AW427&gt;='Tasks Filter'!$F$3,AW427&lt;='Tasks Filter'!$F$4,OR('Tasks Filter'!$I$3="",ISNUMBER(SEARCH('Tasks Filter'!$I$3,AU427))),OR('Tasks Filter'!$I$4="",BF427=IFERROR(MATCH('Tasks Filter'!$I$4,Setup!$L$6:$L$9,0),0)),OR('Tasks Filter'!$I$5="Both",AND('Tasks Filter'!$I$5="Yes",BB427="✓"),AND('Tasks Filter'!$I$5="No",BB427&lt;&gt;"✓")),OR('Tasks Filter'!$L$3="",AV427='Tasks Filter'!$L$3),OR('Tasks Filter'!$L$4="",AZ427='Tasks Filter'!$L$4),OR('Tasks Filter'!$L$5="",BC427='Tasks Filter'!$L$5),OR('Tasks Filter'!$O$3="",BD427='Tasks Filter'!$O$3),OR('Tasks Filter'!$O$4="Yes",BG427=0)),1,0))</f>
        <v/>
      </c>
      <c r="BJ427">
        <f>IF(BH427=0,"",IF('Tasks Filter'!$F$6="Descending",-1,1)*CHOOSE(MATCH('Tasks Filter'!$F$5,Lists!$G$2:$G$6,0),AW427,BF427,IFERROR(MATCH(AV427,Setup!$F$6:$F$15,0),99),IFERROR(MATCH(BC427,Setup!$H$6:$H$15,0),99),IFERROR(MATCH(AZ427,Setup!$J$6:$J$11,0),99))*1E+9+(AW427-40000)*10000+426)</f>
        <v/>
      </c>
      <c r="BK427">
        <f>IF(BI427=1,BJ427,"")</f>
        <v/>
      </c>
      <c r="BL427">
        <f>IF(AND(BH427=1,BG427=0,N(AW427)&lt;Setup!$D$7),(AW427-40000)*10000+426,"")</f>
        <v/>
      </c>
      <c r="BM427">
        <f>IF(AND(BH427=1,AZ427&lt;&gt;"Cancelled",N(AW427)&gt;=Dashboard!$AB$3,N(AW427)&lt;=Dashboard!$AB$3+6),(AW427-40000)*100000+BF427*10000+426,"")</f>
        <v/>
      </c>
      <c r="BN427">
        <f>IF(AND(BH427=1,AZ427&lt;&gt;"Cancelled"),BF427*10000+426,"")</f>
        <v/>
      </c>
    </row>
    <row r="428">
      <c r="AS428" t="inlineStr">
        <is>
          <t>R</t>
        </is>
      </c>
      <c r="AT428" t="n">
        <v>432</v>
      </c>
      <c r="AU428">
        <f>'Recurring Log'!C432&amp;""</f>
        <v/>
      </c>
      <c r="AV428">
        <f>'Recurring Log'!D432&amp;""</f>
        <v/>
      </c>
      <c r="AW428">
        <f>IF('Recurring Log'!E432="","",'Recurring Log'!E432)</f>
        <v/>
      </c>
      <c r="AX428">
        <f>IF('Recurring Log'!G432="","",'Recurring Log'!G432)</f>
        <v/>
      </c>
      <c r="AY428">
        <f>IF('Recurring Log'!H432="","",'Recurring Log'!H432)</f>
        <v/>
      </c>
      <c r="AZ428">
        <f>IF(AU428="","",IF('Recurring Log'!J432="","Not Started",'Recurring Log'!J432))</f>
        <v/>
      </c>
      <c r="BA428">
        <f>'Recurring Log'!L432&amp;""</f>
        <v/>
      </c>
      <c r="BB428">
        <f>'Recurring Log'!M432&amp;""</f>
        <v/>
      </c>
      <c r="BC428">
        <f>'Recurring Log'!N432&amp;""</f>
        <v/>
      </c>
      <c r="BD428">
        <f>'Recurring Log'!O432&amp;""</f>
        <v/>
      </c>
      <c r="BE428">
        <f>IF('Recurring Log'!K432="","",'Recurring Log'!K432)</f>
        <v/>
      </c>
      <c r="BF428">
        <f>IFERROR(MATCH(BA428,Setup!$L$6:$L$9,0),5)</f>
        <v/>
      </c>
      <c r="BG428">
        <f>IF(OR(AZ428="Done",AZ428="Cancelled"),1,0)</f>
        <v/>
      </c>
      <c r="BH428">
        <f>IF(AND(AU428&lt;&gt;"",ISNUMBER(AW428)),1,0)</f>
        <v/>
      </c>
      <c r="BI428">
        <f>IF(BH428=0,0,IF(AND(AW428&gt;='Tasks Filter'!$F$3,AW428&lt;='Tasks Filter'!$F$4,OR('Tasks Filter'!$I$3="",ISNUMBER(SEARCH('Tasks Filter'!$I$3,AU428))),OR('Tasks Filter'!$I$4="",BF428=IFERROR(MATCH('Tasks Filter'!$I$4,Setup!$L$6:$L$9,0),0)),OR('Tasks Filter'!$I$5="Both",AND('Tasks Filter'!$I$5="Yes",BB428="✓"),AND('Tasks Filter'!$I$5="No",BB428&lt;&gt;"✓")),OR('Tasks Filter'!$L$3="",AV428='Tasks Filter'!$L$3),OR('Tasks Filter'!$L$4="",AZ428='Tasks Filter'!$L$4),OR('Tasks Filter'!$L$5="",BC428='Tasks Filter'!$L$5),OR('Tasks Filter'!$O$3="",BD428='Tasks Filter'!$O$3),OR('Tasks Filter'!$O$4="Yes",BG428=0)),1,0))</f>
        <v/>
      </c>
      <c r="BJ428">
        <f>IF(BH428=0,"",IF('Tasks Filter'!$F$6="Descending",-1,1)*CHOOSE(MATCH('Tasks Filter'!$F$5,Lists!$G$2:$G$6,0),AW428,BF428,IFERROR(MATCH(AV428,Setup!$F$6:$F$15,0),99),IFERROR(MATCH(BC428,Setup!$H$6:$H$15,0),99),IFERROR(MATCH(AZ428,Setup!$J$6:$J$11,0),99))*1E+9+(AW428-40000)*10000+427)</f>
        <v/>
      </c>
      <c r="BK428">
        <f>IF(BI428=1,BJ428,"")</f>
        <v/>
      </c>
      <c r="BL428">
        <f>IF(AND(BH428=1,BG428=0,N(AW428)&lt;Setup!$D$7),(AW428-40000)*10000+427,"")</f>
        <v/>
      </c>
      <c r="BM428">
        <f>IF(AND(BH428=1,AZ428&lt;&gt;"Cancelled",N(AW428)&gt;=Dashboard!$AB$3,N(AW428)&lt;=Dashboard!$AB$3+6),(AW428-40000)*100000+BF428*10000+427,"")</f>
        <v/>
      </c>
      <c r="BN428">
        <f>IF(AND(BH428=1,AZ428&lt;&gt;"Cancelled"),BF428*10000+427,"")</f>
        <v/>
      </c>
    </row>
    <row r="429">
      <c r="AS429" t="inlineStr">
        <is>
          <t>R</t>
        </is>
      </c>
      <c r="AT429" t="n">
        <v>433</v>
      </c>
      <c r="AU429">
        <f>'Recurring Log'!C433&amp;""</f>
        <v/>
      </c>
      <c r="AV429">
        <f>'Recurring Log'!D433&amp;""</f>
        <v/>
      </c>
      <c r="AW429">
        <f>IF('Recurring Log'!E433="","",'Recurring Log'!E433)</f>
        <v/>
      </c>
      <c r="AX429">
        <f>IF('Recurring Log'!G433="","",'Recurring Log'!G433)</f>
        <v/>
      </c>
      <c r="AY429">
        <f>IF('Recurring Log'!H433="","",'Recurring Log'!H433)</f>
        <v/>
      </c>
      <c r="AZ429">
        <f>IF(AU429="","",IF('Recurring Log'!J433="","Not Started",'Recurring Log'!J433))</f>
        <v/>
      </c>
      <c r="BA429">
        <f>'Recurring Log'!L433&amp;""</f>
        <v/>
      </c>
      <c r="BB429">
        <f>'Recurring Log'!M433&amp;""</f>
        <v/>
      </c>
      <c r="BC429">
        <f>'Recurring Log'!N433&amp;""</f>
        <v/>
      </c>
      <c r="BD429">
        <f>'Recurring Log'!O433&amp;""</f>
        <v/>
      </c>
      <c r="BE429">
        <f>IF('Recurring Log'!K433="","",'Recurring Log'!K433)</f>
        <v/>
      </c>
      <c r="BF429">
        <f>IFERROR(MATCH(BA429,Setup!$L$6:$L$9,0),5)</f>
        <v/>
      </c>
      <c r="BG429">
        <f>IF(OR(AZ429="Done",AZ429="Cancelled"),1,0)</f>
        <v/>
      </c>
      <c r="BH429">
        <f>IF(AND(AU429&lt;&gt;"",ISNUMBER(AW429)),1,0)</f>
        <v/>
      </c>
      <c r="BI429">
        <f>IF(BH429=0,0,IF(AND(AW429&gt;='Tasks Filter'!$F$3,AW429&lt;='Tasks Filter'!$F$4,OR('Tasks Filter'!$I$3="",ISNUMBER(SEARCH('Tasks Filter'!$I$3,AU429))),OR('Tasks Filter'!$I$4="",BF429=IFERROR(MATCH('Tasks Filter'!$I$4,Setup!$L$6:$L$9,0),0)),OR('Tasks Filter'!$I$5="Both",AND('Tasks Filter'!$I$5="Yes",BB429="✓"),AND('Tasks Filter'!$I$5="No",BB429&lt;&gt;"✓")),OR('Tasks Filter'!$L$3="",AV429='Tasks Filter'!$L$3),OR('Tasks Filter'!$L$4="",AZ429='Tasks Filter'!$L$4),OR('Tasks Filter'!$L$5="",BC429='Tasks Filter'!$L$5),OR('Tasks Filter'!$O$3="",BD429='Tasks Filter'!$O$3),OR('Tasks Filter'!$O$4="Yes",BG429=0)),1,0))</f>
        <v/>
      </c>
      <c r="BJ429">
        <f>IF(BH429=0,"",IF('Tasks Filter'!$F$6="Descending",-1,1)*CHOOSE(MATCH('Tasks Filter'!$F$5,Lists!$G$2:$G$6,0),AW429,BF429,IFERROR(MATCH(AV429,Setup!$F$6:$F$15,0),99),IFERROR(MATCH(BC429,Setup!$H$6:$H$15,0),99),IFERROR(MATCH(AZ429,Setup!$J$6:$J$11,0),99))*1E+9+(AW429-40000)*10000+428)</f>
        <v/>
      </c>
      <c r="BK429">
        <f>IF(BI429=1,BJ429,"")</f>
        <v/>
      </c>
      <c r="BL429">
        <f>IF(AND(BH429=1,BG429=0,N(AW429)&lt;Setup!$D$7),(AW429-40000)*10000+428,"")</f>
        <v/>
      </c>
      <c r="BM429">
        <f>IF(AND(BH429=1,AZ429&lt;&gt;"Cancelled",N(AW429)&gt;=Dashboard!$AB$3,N(AW429)&lt;=Dashboard!$AB$3+6),(AW429-40000)*100000+BF429*10000+428,"")</f>
        <v/>
      </c>
      <c r="BN429">
        <f>IF(AND(BH429=1,AZ429&lt;&gt;"Cancelled"),BF429*10000+428,"")</f>
        <v/>
      </c>
    </row>
    <row r="430">
      <c r="AS430" t="inlineStr">
        <is>
          <t>R</t>
        </is>
      </c>
      <c r="AT430" t="n">
        <v>434</v>
      </c>
      <c r="AU430">
        <f>'Recurring Log'!C434&amp;""</f>
        <v/>
      </c>
      <c r="AV430">
        <f>'Recurring Log'!D434&amp;""</f>
        <v/>
      </c>
      <c r="AW430">
        <f>IF('Recurring Log'!E434="","",'Recurring Log'!E434)</f>
        <v/>
      </c>
      <c r="AX430">
        <f>IF('Recurring Log'!G434="","",'Recurring Log'!G434)</f>
        <v/>
      </c>
      <c r="AY430">
        <f>IF('Recurring Log'!H434="","",'Recurring Log'!H434)</f>
        <v/>
      </c>
      <c r="AZ430">
        <f>IF(AU430="","",IF('Recurring Log'!J434="","Not Started",'Recurring Log'!J434))</f>
        <v/>
      </c>
      <c r="BA430">
        <f>'Recurring Log'!L434&amp;""</f>
        <v/>
      </c>
      <c r="BB430">
        <f>'Recurring Log'!M434&amp;""</f>
        <v/>
      </c>
      <c r="BC430">
        <f>'Recurring Log'!N434&amp;""</f>
        <v/>
      </c>
      <c r="BD430">
        <f>'Recurring Log'!O434&amp;""</f>
        <v/>
      </c>
      <c r="BE430">
        <f>IF('Recurring Log'!K434="","",'Recurring Log'!K434)</f>
        <v/>
      </c>
      <c r="BF430">
        <f>IFERROR(MATCH(BA430,Setup!$L$6:$L$9,0),5)</f>
        <v/>
      </c>
      <c r="BG430">
        <f>IF(OR(AZ430="Done",AZ430="Cancelled"),1,0)</f>
        <v/>
      </c>
      <c r="BH430">
        <f>IF(AND(AU430&lt;&gt;"",ISNUMBER(AW430)),1,0)</f>
        <v/>
      </c>
      <c r="BI430">
        <f>IF(BH430=0,0,IF(AND(AW430&gt;='Tasks Filter'!$F$3,AW430&lt;='Tasks Filter'!$F$4,OR('Tasks Filter'!$I$3="",ISNUMBER(SEARCH('Tasks Filter'!$I$3,AU430))),OR('Tasks Filter'!$I$4="",BF430=IFERROR(MATCH('Tasks Filter'!$I$4,Setup!$L$6:$L$9,0),0)),OR('Tasks Filter'!$I$5="Both",AND('Tasks Filter'!$I$5="Yes",BB430="✓"),AND('Tasks Filter'!$I$5="No",BB430&lt;&gt;"✓")),OR('Tasks Filter'!$L$3="",AV430='Tasks Filter'!$L$3),OR('Tasks Filter'!$L$4="",AZ430='Tasks Filter'!$L$4),OR('Tasks Filter'!$L$5="",BC430='Tasks Filter'!$L$5),OR('Tasks Filter'!$O$3="",BD430='Tasks Filter'!$O$3),OR('Tasks Filter'!$O$4="Yes",BG430=0)),1,0))</f>
        <v/>
      </c>
      <c r="BJ430">
        <f>IF(BH430=0,"",IF('Tasks Filter'!$F$6="Descending",-1,1)*CHOOSE(MATCH('Tasks Filter'!$F$5,Lists!$G$2:$G$6,0),AW430,BF430,IFERROR(MATCH(AV430,Setup!$F$6:$F$15,0),99),IFERROR(MATCH(BC430,Setup!$H$6:$H$15,0),99),IFERROR(MATCH(AZ430,Setup!$J$6:$J$11,0),99))*1E+9+(AW430-40000)*10000+429)</f>
        <v/>
      </c>
      <c r="BK430">
        <f>IF(BI430=1,BJ430,"")</f>
        <v/>
      </c>
      <c r="BL430">
        <f>IF(AND(BH430=1,BG430=0,N(AW430)&lt;Setup!$D$7),(AW430-40000)*10000+429,"")</f>
        <v/>
      </c>
      <c r="BM430">
        <f>IF(AND(BH430=1,AZ430&lt;&gt;"Cancelled",N(AW430)&gt;=Dashboard!$AB$3,N(AW430)&lt;=Dashboard!$AB$3+6),(AW430-40000)*100000+BF430*10000+429,"")</f>
        <v/>
      </c>
      <c r="BN430">
        <f>IF(AND(BH430=1,AZ430&lt;&gt;"Cancelled"),BF430*10000+429,"")</f>
        <v/>
      </c>
    </row>
    <row r="431">
      <c r="AS431" t="inlineStr">
        <is>
          <t>R</t>
        </is>
      </c>
      <c r="AT431" t="n">
        <v>435</v>
      </c>
      <c r="AU431">
        <f>'Recurring Log'!C435&amp;""</f>
        <v/>
      </c>
      <c r="AV431">
        <f>'Recurring Log'!D435&amp;""</f>
        <v/>
      </c>
      <c r="AW431">
        <f>IF('Recurring Log'!E435="","",'Recurring Log'!E435)</f>
        <v/>
      </c>
      <c r="AX431">
        <f>IF('Recurring Log'!G435="","",'Recurring Log'!G435)</f>
        <v/>
      </c>
      <c r="AY431">
        <f>IF('Recurring Log'!H435="","",'Recurring Log'!H435)</f>
        <v/>
      </c>
      <c r="AZ431">
        <f>IF(AU431="","",IF('Recurring Log'!J435="","Not Started",'Recurring Log'!J435))</f>
        <v/>
      </c>
      <c r="BA431">
        <f>'Recurring Log'!L435&amp;""</f>
        <v/>
      </c>
      <c r="BB431">
        <f>'Recurring Log'!M435&amp;""</f>
        <v/>
      </c>
      <c r="BC431">
        <f>'Recurring Log'!N435&amp;""</f>
        <v/>
      </c>
      <c r="BD431">
        <f>'Recurring Log'!O435&amp;""</f>
        <v/>
      </c>
      <c r="BE431">
        <f>IF('Recurring Log'!K435="","",'Recurring Log'!K435)</f>
        <v/>
      </c>
      <c r="BF431">
        <f>IFERROR(MATCH(BA431,Setup!$L$6:$L$9,0),5)</f>
        <v/>
      </c>
      <c r="BG431">
        <f>IF(OR(AZ431="Done",AZ431="Cancelled"),1,0)</f>
        <v/>
      </c>
      <c r="BH431">
        <f>IF(AND(AU431&lt;&gt;"",ISNUMBER(AW431)),1,0)</f>
        <v/>
      </c>
      <c r="BI431">
        <f>IF(BH431=0,0,IF(AND(AW431&gt;='Tasks Filter'!$F$3,AW431&lt;='Tasks Filter'!$F$4,OR('Tasks Filter'!$I$3="",ISNUMBER(SEARCH('Tasks Filter'!$I$3,AU431))),OR('Tasks Filter'!$I$4="",BF431=IFERROR(MATCH('Tasks Filter'!$I$4,Setup!$L$6:$L$9,0),0)),OR('Tasks Filter'!$I$5="Both",AND('Tasks Filter'!$I$5="Yes",BB431="✓"),AND('Tasks Filter'!$I$5="No",BB431&lt;&gt;"✓")),OR('Tasks Filter'!$L$3="",AV431='Tasks Filter'!$L$3),OR('Tasks Filter'!$L$4="",AZ431='Tasks Filter'!$L$4),OR('Tasks Filter'!$L$5="",BC431='Tasks Filter'!$L$5),OR('Tasks Filter'!$O$3="",BD431='Tasks Filter'!$O$3),OR('Tasks Filter'!$O$4="Yes",BG431=0)),1,0))</f>
        <v/>
      </c>
      <c r="BJ431">
        <f>IF(BH431=0,"",IF('Tasks Filter'!$F$6="Descending",-1,1)*CHOOSE(MATCH('Tasks Filter'!$F$5,Lists!$G$2:$G$6,0),AW431,BF431,IFERROR(MATCH(AV431,Setup!$F$6:$F$15,0),99),IFERROR(MATCH(BC431,Setup!$H$6:$H$15,0),99),IFERROR(MATCH(AZ431,Setup!$J$6:$J$11,0),99))*1E+9+(AW431-40000)*10000+430)</f>
        <v/>
      </c>
      <c r="BK431">
        <f>IF(BI431=1,BJ431,"")</f>
        <v/>
      </c>
      <c r="BL431">
        <f>IF(AND(BH431=1,BG431=0,N(AW431)&lt;Setup!$D$7),(AW431-40000)*10000+430,"")</f>
        <v/>
      </c>
      <c r="BM431">
        <f>IF(AND(BH431=1,AZ431&lt;&gt;"Cancelled",N(AW431)&gt;=Dashboard!$AB$3,N(AW431)&lt;=Dashboard!$AB$3+6),(AW431-40000)*100000+BF431*10000+430,"")</f>
        <v/>
      </c>
      <c r="BN431">
        <f>IF(AND(BH431=1,AZ431&lt;&gt;"Cancelled"),BF431*10000+430,"")</f>
        <v/>
      </c>
    </row>
    <row r="432">
      <c r="AS432" t="inlineStr">
        <is>
          <t>R</t>
        </is>
      </c>
      <c r="AT432" t="n">
        <v>436</v>
      </c>
      <c r="AU432">
        <f>'Recurring Log'!C436&amp;""</f>
        <v/>
      </c>
      <c r="AV432">
        <f>'Recurring Log'!D436&amp;""</f>
        <v/>
      </c>
      <c r="AW432">
        <f>IF('Recurring Log'!E436="","",'Recurring Log'!E436)</f>
        <v/>
      </c>
      <c r="AX432">
        <f>IF('Recurring Log'!G436="","",'Recurring Log'!G436)</f>
        <v/>
      </c>
      <c r="AY432">
        <f>IF('Recurring Log'!H436="","",'Recurring Log'!H436)</f>
        <v/>
      </c>
      <c r="AZ432">
        <f>IF(AU432="","",IF('Recurring Log'!J436="","Not Started",'Recurring Log'!J436))</f>
        <v/>
      </c>
      <c r="BA432">
        <f>'Recurring Log'!L436&amp;""</f>
        <v/>
      </c>
      <c r="BB432">
        <f>'Recurring Log'!M436&amp;""</f>
        <v/>
      </c>
      <c r="BC432">
        <f>'Recurring Log'!N436&amp;""</f>
        <v/>
      </c>
      <c r="BD432">
        <f>'Recurring Log'!O436&amp;""</f>
        <v/>
      </c>
      <c r="BE432">
        <f>IF('Recurring Log'!K436="","",'Recurring Log'!K436)</f>
        <v/>
      </c>
      <c r="BF432">
        <f>IFERROR(MATCH(BA432,Setup!$L$6:$L$9,0),5)</f>
        <v/>
      </c>
      <c r="BG432">
        <f>IF(OR(AZ432="Done",AZ432="Cancelled"),1,0)</f>
        <v/>
      </c>
      <c r="BH432">
        <f>IF(AND(AU432&lt;&gt;"",ISNUMBER(AW432)),1,0)</f>
        <v/>
      </c>
      <c r="BI432">
        <f>IF(BH432=0,0,IF(AND(AW432&gt;='Tasks Filter'!$F$3,AW432&lt;='Tasks Filter'!$F$4,OR('Tasks Filter'!$I$3="",ISNUMBER(SEARCH('Tasks Filter'!$I$3,AU432))),OR('Tasks Filter'!$I$4="",BF432=IFERROR(MATCH('Tasks Filter'!$I$4,Setup!$L$6:$L$9,0),0)),OR('Tasks Filter'!$I$5="Both",AND('Tasks Filter'!$I$5="Yes",BB432="✓"),AND('Tasks Filter'!$I$5="No",BB432&lt;&gt;"✓")),OR('Tasks Filter'!$L$3="",AV432='Tasks Filter'!$L$3),OR('Tasks Filter'!$L$4="",AZ432='Tasks Filter'!$L$4),OR('Tasks Filter'!$L$5="",BC432='Tasks Filter'!$L$5),OR('Tasks Filter'!$O$3="",BD432='Tasks Filter'!$O$3),OR('Tasks Filter'!$O$4="Yes",BG432=0)),1,0))</f>
        <v/>
      </c>
      <c r="BJ432">
        <f>IF(BH432=0,"",IF('Tasks Filter'!$F$6="Descending",-1,1)*CHOOSE(MATCH('Tasks Filter'!$F$5,Lists!$G$2:$G$6,0),AW432,BF432,IFERROR(MATCH(AV432,Setup!$F$6:$F$15,0),99),IFERROR(MATCH(BC432,Setup!$H$6:$H$15,0),99),IFERROR(MATCH(AZ432,Setup!$J$6:$J$11,0),99))*1E+9+(AW432-40000)*10000+431)</f>
        <v/>
      </c>
      <c r="BK432">
        <f>IF(BI432=1,BJ432,"")</f>
        <v/>
      </c>
      <c r="BL432">
        <f>IF(AND(BH432=1,BG432=0,N(AW432)&lt;Setup!$D$7),(AW432-40000)*10000+431,"")</f>
        <v/>
      </c>
      <c r="BM432">
        <f>IF(AND(BH432=1,AZ432&lt;&gt;"Cancelled",N(AW432)&gt;=Dashboard!$AB$3,N(AW432)&lt;=Dashboard!$AB$3+6),(AW432-40000)*100000+BF432*10000+431,"")</f>
        <v/>
      </c>
      <c r="BN432">
        <f>IF(AND(BH432=1,AZ432&lt;&gt;"Cancelled"),BF432*10000+431,"")</f>
        <v/>
      </c>
    </row>
    <row r="433">
      <c r="AS433" t="inlineStr">
        <is>
          <t>R</t>
        </is>
      </c>
      <c r="AT433" t="n">
        <v>437</v>
      </c>
      <c r="AU433">
        <f>'Recurring Log'!C437&amp;""</f>
        <v/>
      </c>
      <c r="AV433">
        <f>'Recurring Log'!D437&amp;""</f>
        <v/>
      </c>
      <c r="AW433">
        <f>IF('Recurring Log'!E437="","",'Recurring Log'!E437)</f>
        <v/>
      </c>
      <c r="AX433">
        <f>IF('Recurring Log'!G437="","",'Recurring Log'!G437)</f>
        <v/>
      </c>
      <c r="AY433">
        <f>IF('Recurring Log'!H437="","",'Recurring Log'!H437)</f>
        <v/>
      </c>
      <c r="AZ433">
        <f>IF(AU433="","",IF('Recurring Log'!J437="","Not Started",'Recurring Log'!J437))</f>
        <v/>
      </c>
      <c r="BA433">
        <f>'Recurring Log'!L437&amp;""</f>
        <v/>
      </c>
      <c r="BB433">
        <f>'Recurring Log'!M437&amp;""</f>
        <v/>
      </c>
      <c r="BC433">
        <f>'Recurring Log'!N437&amp;""</f>
        <v/>
      </c>
      <c r="BD433">
        <f>'Recurring Log'!O437&amp;""</f>
        <v/>
      </c>
      <c r="BE433">
        <f>IF('Recurring Log'!K437="","",'Recurring Log'!K437)</f>
        <v/>
      </c>
      <c r="BF433">
        <f>IFERROR(MATCH(BA433,Setup!$L$6:$L$9,0),5)</f>
        <v/>
      </c>
      <c r="BG433">
        <f>IF(OR(AZ433="Done",AZ433="Cancelled"),1,0)</f>
        <v/>
      </c>
      <c r="BH433">
        <f>IF(AND(AU433&lt;&gt;"",ISNUMBER(AW433)),1,0)</f>
        <v/>
      </c>
      <c r="BI433">
        <f>IF(BH433=0,0,IF(AND(AW433&gt;='Tasks Filter'!$F$3,AW433&lt;='Tasks Filter'!$F$4,OR('Tasks Filter'!$I$3="",ISNUMBER(SEARCH('Tasks Filter'!$I$3,AU433))),OR('Tasks Filter'!$I$4="",BF433=IFERROR(MATCH('Tasks Filter'!$I$4,Setup!$L$6:$L$9,0),0)),OR('Tasks Filter'!$I$5="Both",AND('Tasks Filter'!$I$5="Yes",BB433="✓"),AND('Tasks Filter'!$I$5="No",BB433&lt;&gt;"✓")),OR('Tasks Filter'!$L$3="",AV433='Tasks Filter'!$L$3),OR('Tasks Filter'!$L$4="",AZ433='Tasks Filter'!$L$4),OR('Tasks Filter'!$L$5="",BC433='Tasks Filter'!$L$5),OR('Tasks Filter'!$O$3="",BD433='Tasks Filter'!$O$3),OR('Tasks Filter'!$O$4="Yes",BG433=0)),1,0))</f>
        <v/>
      </c>
      <c r="BJ433">
        <f>IF(BH433=0,"",IF('Tasks Filter'!$F$6="Descending",-1,1)*CHOOSE(MATCH('Tasks Filter'!$F$5,Lists!$G$2:$G$6,0),AW433,BF433,IFERROR(MATCH(AV433,Setup!$F$6:$F$15,0),99),IFERROR(MATCH(BC433,Setup!$H$6:$H$15,0),99),IFERROR(MATCH(AZ433,Setup!$J$6:$J$11,0),99))*1E+9+(AW433-40000)*10000+432)</f>
        <v/>
      </c>
      <c r="BK433">
        <f>IF(BI433=1,BJ433,"")</f>
        <v/>
      </c>
      <c r="BL433">
        <f>IF(AND(BH433=1,BG433=0,N(AW433)&lt;Setup!$D$7),(AW433-40000)*10000+432,"")</f>
        <v/>
      </c>
      <c r="BM433">
        <f>IF(AND(BH433=1,AZ433&lt;&gt;"Cancelled",N(AW433)&gt;=Dashboard!$AB$3,N(AW433)&lt;=Dashboard!$AB$3+6),(AW433-40000)*100000+BF433*10000+432,"")</f>
        <v/>
      </c>
      <c r="BN433">
        <f>IF(AND(BH433=1,AZ433&lt;&gt;"Cancelled"),BF433*10000+432,"")</f>
        <v/>
      </c>
    </row>
    <row r="434">
      <c r="AS434" t="inlineStr">
        <is>
          <t>R</t>
        </is>
      </c>
      <c r="AT434" t="n">
        <v>438</v>
      </c>
      <c r="AU434">
        <f>'Recurring Log'!C438&amp;""</f>
        <v/>
      </c>
      <c r="AV434">
        <f>'Recurring Log'!D438&amp;""</f>
        <v/>
      </c>
      <c r="AW434">
        <f>IF('Recurring Log'!E438="","",'Recurring Log'!E438)</f>
        <v/>
      </c>
      <c r="AX434">
        <f>IF('Recurring Log'!G438="","",'Recurring Log'!G438)</f>
        <v/>
      </c>
      <c r="AY434">
        <f>IF('Recurring Log'!H438="","",'Recurring Log'!H438)</f>
        <v/>
      </c>
      <c r="AZ434">
        <f>IF(AU434="","",IF('Recurring Log'!J438="","Not Started",'Recurring Log'!J438))</f>
        <v/>
      </c>
      <c r="BA434">
        <f>'Recurring Log'!L438&amp;""</f>
        <v/>
      </c>
      <c r="BB434">
        <f>'Recurring Log'!M438&amp;""</f>
        <v/>
      </c>
      <c r="BC434">
        <f>'Recurring Log'!N438&amp;""</f>
        <v/>
      </c>
      <c r="BD434">
        <f>'Recurring Log'!O438&amp;""</f>
        <v/>
      </c>
      <c r="BE434">
        <f>IF('Recurring Log'!K438="","",'Recurring Log'!K438)</f>
        <v/>
      </c>
      <c r="BF434">
        <f>IFERROR(MATCH(BA434,Setup!$L$6:$L$9,0),5)</f>
        <v/>
      </c>
      <c r="BG434">
        <f>IF(OR(AZ434="Done",AZ434="Cancelled"),1,0)</f>
        <v/>
      </c>
      <c r="BH434">
        <f>IF(AND(AU434&lt;&gt;"",ISNUMBER(AW434)),1,0)</f>
        <v/>
      </c>
      <c r="BI434">
        <f>IF(BH434=0,0,IF(AND(AW434&gt;='Tasks Filter'!$F$3,AW434&lt;='Tasks Filter'!$F$4,OR('Tasks Filter'!$I$3="",ISNUMBER(SEARCH('Tasks Filter'!$I$3,AU434))),OR('Tasks Filter'!$I$4="",BF434=IFERROR(MATCH('Tasks Filter'!$I$4,Setup!$L$6:$L$9,0),0)),OR('Tasks Filter'!$I$5="Both",AND('Tasks Filter'!$I$5="Yes",BB434="✓"),AND('Tasks Filter'!$I$5="No",BB434&lt;&gt;"✓")),OR('Tasks Filter'!$L$3="",AV434='Tasks Filter'!$L$3),OR('Tasks Filter'!$L$4="",AZ434='Tasks Filter'!$L$4),OR('Tasks Filter'!$L$5="",BC434='Tasks Filter'!$L$5),OR('Tasks Filter'!$O$3="",BD434='Tasks Filter'!$O$3),OR('Tasks Filter'!$O$4="Yes",BG434=0)),1,0))</f>
        <v/>
      </c>
      <c r="BJ434">
        <f>IF(BH434=0,"",IF('Tasks Filter'!$F$6="Descending",-1,1)*CHOOSE(MATCH('Tasks Filter'!$F$5,Lists!$G$2:$G$6,0),AW434,BF434,IFERROR(MATCH(AV434,Setup!$F$6:$F$15,0),99),IFERROR(MATCH(BC434,Setup!$H$6:$H$15,0),99),IFERROR(MATCH(AZ434,Setup!$J$6:$J$11,0),99))*1E+9+(AW434-40000)*10000+433)</f>
        <v/>
      </c>
      <c r="BK434">
        <f>IF(BI434=1,BJ434,"")</f>
        <v/>
      </c>
      <c r="BL434">
        <f>IF(AND(BH434=1,BG434=0,N(AW434)&lt;Setup!$D$7),(AW434-40000)*10000+433,"")</f>
        <v/>
      </c>
      <c r="BM434">
        <f>IF(AND(BH434=1,AZ434&lt;&gt;"Cancelled",N(AW434)&gt;=Dashboard!$AB$3,N(AW434)&lt;=Dashboard!$AB$3+6),(AW434-40000)*100000+BF434*10000+433,"")</f>
        <v/>
      </c>
      <c r="BN434">
        <f>IF(AND(BH434=1,AZ434&lt;&gt;"Cancelled"),BF434*10000+433,"")</f>
        <v/>
      </c>
    </row>
    <row r="435">
      <c r="AS435" t="inlineStr">
        <is>
          <t>R</t>
        </is>
      </c>
      <c r="AT435" t="n">
        <v>439</v>
      </c>
      <c r="AU435">
        <f>'Recurring Log'!C439&amp;""</f>
        <v/>
      </c>
      <c r="AV435">
        <f>'Recurring Log'!D439&amp;""</f>
        <v/>
      </c>
      <c r="AW435">
        <f>IF('Recurring Log'!E439="","",'Recurring Log'!E439)</f>
        <v/>
      </c>
      <c r="AX435">
        <f>IF('Recurring Log'!G439="","",'Recurring Log'!G439)</f>
        <v/>
      </c>
      <c r="AY435">
        <f>IF('Recurring Log'!H439="","",'Recurring Log'!H439)</f>
        <v/>
      </c>
      <c r="AZ435">
        <f>IF(AU435="","",IF('Recurring Log'!J439="","Not Started",'Recurring Log'!J439))</f>
        <v/>
      </c>
      <c r="BA435">
        <f>'Recurring Log'!L439&amp;""</f>
        <v/>
      </c>
      <c r="BB435">
        <f>'Recurring Log'!M439&amp;""</f>
        <v/>
      </c>
      <c r="BC435">
        <f>'Recurring Log'!N439&amp;""</f>
        <v/>
      </c>
      <c r="BD435">
        <f>'Recurring Log'!O439&amp;""</f>
        <v/>
      </c>
      <c r="BE435">
        <f>IF('Recurring Log'!K439="","",'Recurring Log'!K439)</f>
        <v/>
      </c>
      <c r="BF435">
        <f>IFERROR(MATCH(BA435,Setup!$L$6:$L$9,0),5)</f>
        <v/>
      </c>
      <c r="BG435">
        <f>IF(OR(AZ435="Done",AZ435="Cancelled"),1,0)</f>
        <v/>
      </c>
      <c r="BH435">
        <f>IF(AND(AU435&lt;&gt;"",ISNUMBER(AW435)),1,0)</f>
        <v/>
      </c>
      <c r="BI435">
        <f>IF(BH435=0,0,IF(AND(AW435&gt;='Tasks Filter'!$F$3,AW435&lt;='Tasks Filter'!$F$4,OR('Tasks Filter'!$I$3="",ISNUMBER(SEARCH('Tasks Filter'!$I$3,AU435))),OR('Tasks Filter'!$I$4="",BF435=IFERROR(MATCH('Tasks Filter'!$I$4,Setup!$L$6:$L$9,0),0)),OR('Tasks Filter'!$I$5="Both",AND('Tasks Filter'!$I$5="Yes",BB435="✓"),AND('Tasks Filter'!$I$5="No",BB435&lt;&gt;"✓")),OR('Tasks Filter'!$L$3="",AV435='Tasks Filter'!$L$3),OR('Tasks Filter'!$L$4="",AZ435='Tasks Filter'!$L$4),OR('Tasks Filter'!$L$5="",BC435='Tasks Filter'!$L$5),OR('Tasks Filter'!$O$3="",BD435='Tasks Filter'!$O$3),OR('Tasks Filter'!$O$4="Yes",BG435=0)),1,0))</f>
        <v/>
      </c>
      <c r="BJ435">
        <f>IF(BH435=0,"",IF('Tasks Filter'!$F$6="Descending",-1,1)*CHOOSE(MATCH('Tasks Filter'!$F$5,Lists!$G$2:$G$6,0),AW435,BF435,IFERROR(MATCH(AV435,Setup!$F$6:$F$15,0),99),IFERROR(MATCH(BC435,Setup!$H$6:$H$15,0),99),IFERROR(MATCH(AZ435,Setup!$J$6:$J$11,0),99))*1E+9+(AW435-40000)*10000+434)</f>
        <v/>
      </c>
      <c r="BK435">
        <f>IF(BI435=1,BJ435,"")</f>
        <v/>
      </c>
      <c r="BL435">
        <f>IF(AND(BH435=1,BG435=0,N(AW435)&lt;Setup!$D$7),(AW435-40000)*10000+434,"")</f>
        <v/>
      </c>
      <c r="BM435">
        <f>IF(AND(BH435=1,AZ435&lt;&gt;"Cancelled",N(AW435)&gt;=Dashboard!$AB$3,N(AW435)&lt;=Dashboard!$AB$3+6),(AW435-40000)*100000+BF435*10000+434,"")</f>
        <v/>
      </c>
      <c r="BN435">
        <f>IF(AND(BH435=1,AZ435&lt;&gt;"Cancelled"),BF435*10000+434,"")</f>
        <v/>
      </c>
    </row>
    <row r="436">
      <c r="AS436" t="inlineStr">
        <is>
          <t>R</t>
        </is>
      </c>
      <c r="AT436" t="n">
        <v>440</v>
      </c>
      <c r="AU436">
        <f>'Recurring Log'!C440&amp;""</f>
        <v/>
      </c>
      <c r="AV436">
        <f>'Recurring Log'!D440&amp;""</f>
        <v/>
      </c>
      <c r="AW436">
        <f>IF('Recurring Log'!E440="","",'Recurring Log'!E440)</f>
        <v/>
      </c>
      <c r="AX436">
        <f>IF('Recurring Log'!G440="","",'Recurring Log'!G440)</f>
        <v/>
      </c>
      <c r="AY436">
        <f>IF('Recurring Log'!H440="","",'Recurring Log'!H440)</f>
        <v/>
      </c>
      <c r="AZ436">
        <f>IF(AU436="","",IF('Recurring Log'!J440="","Not Started",'Recurring Log'!J440))</f>
        <v/>
      </c>
      <c r="BA436">
        <f>'Recurring Log'!L440&amp;""</f>
        <v/>
      </c>
      <c r="BB436">
        <f>'Recurring Log'!M440&amp;""</f>
        <v/>
      </c>
      <c r="BC436">
        <f>'Recurring Log'!N440&amp;""</f>
        <v/>
      </c>
      <c r="BD436">
        <f>'Recurring Log'!O440&amp;""</f>
        <v/>
      </c>
      <c r="BE436">
        <f>IF('Recurring Log'!K440="","",'Recurring Log'!K440)</f>
        <v/>
      </c>
      <c r="BF436">
        <f>IFERROR(MATCH(BA436,Setup!$L$6:$L$9,0),5)</f>
        <v/>
      </c>
      <c r="BG436">
        <f>IF(OR(AZ436="Done",AZ436="Cancelled"),1,0)</f>
        <v/>
      </c>
      <c r="BH436">
        <f>IF(AND(AU436&lt;&gt;"",ISNUMBER(AW436)),1,0)</f>
        <v/>
      </c>
      <c r="BI436">
        <f>IF(BH436=0,0,IF(AND(AW436&gt;='Tasks Filter'!$F$3,AW436&lt;='Tasks Filter'!$F$4,OR('Tasks Filter'!$I$3="",ISNUMBER(SEARCH('Tasks Filter'!$I$3,AU436))),OR('Tasks Filter'!$I$4="",BF436=IFERROR(MATCH('Tasks Filter'!$I$4,Setup!$L$6:$L$9,0),0)),OR('Tasks Filter'!$I$5="Both",AND('Tasks Filter'!$I$5="Yes",BB436="✓"),AND('Tasks Filter'!$I$5="No",BB436&lt;&gt;"✓")),OR('Tasks Filter'!$L$3="",AV436='Tasks Filter'!$L$3),OR('Tasks Filter'!$L$4="",AZ436='Tasks Filter'!$L$4),OR('Tasks Filter'!$L$5="",BC436='Tasks Filter'!$L$5),OR('Tasks Filter'!$O$3="",BD436='Tasks Filter'!$O$3),OR('Tasks Filter'!$O$4="Yes",BG436=0)),1,0))</f>
        <v/>
      </c>
      <c r="BJ436">
        <f>IF(BH436=0,"",IF('Tasks Filter'!$F$6="Descending",-1,1)*CHOOSE(MATCH('Tasks Filter'!$F$5,Lists!$G$2:$G$6,0),AW436,BF436,IFERROR(MATCH(AV436,Setup!$F$6:$F$15,0),99),IFERROR(MATCH(BC436,Setup!$H$6:$H$15,0),99),IFERROR(MATCH(AZ436,Setup!$J$6:$J$11,0),99))*1E+9+(AW436-40000)*10000+435)</f>
        <v/>
      </c>
      <c r="BK436">
        <f>IF(BI436=1,BJ436,"")</f>
        <v/>
      </c>
      <c r="BL436">
        <f>IF(AND(BH436=1,BG436=0,N(AW436)&lt;Setup!$D$7),(AW436-40000)*10000+435,"")</f>
        <v/>
      </c>
      <c r="BM436">
        <f>IF(AND(BH436=1,AZ436&lt;&gt;"Cancelled",N(AW436)&gt;=Dashboard!$AB$3,N(AW436)&lt;=Dashboard!$AB$3+6),(AW436-40000)*100000+BF436*10000+435,"")</f>
        <v/>
      </c>
      <c r="BN436">
        <f>IF(AND(BH436=1,AZ436&lt;&gt;"Cancelled"),BF436*10000+435,"")</f>
        <v/>
      </c>
    </row>
    <row r="437">
      <c r="AS437" t="inlineStr">
        <is>
          <t>R</t>
        </is>
      </c>
      <c r="AT437" t="n">
        <v>441</v>
      </c>
      <c r="AU437">
        <f>'Recurring Log'!C441&amp;""</f>
        <v/>
      </c>
      <c r="AV437">
        <f>'Recurring Log'!D441&amp;""</f>
        <v/>
      </c>
      <c r="AW437">
        <f>IF('Recurring Log'!E441="","",'Recurring Log'!E441)</f>
        <v/>
      </c>
      <c r="AX437">
        <f>IF('Recurring Log'!G441="","",'Recurring Log'!G441)</f>
        <v/>
      </c>
      <c r="AY437">
        <f>IF('Recurring Log'!H441="","",'Recurring Log'!H441)</f>
        <v/>
      </c>
      <c r="AZ437">
        <f>IF(AU437="","",IF('Recurring Log'!J441="","Not Started",'Recurring Log'!J441))</f>
        <v/>
      </c>
      <c r="BA437">
        <f>'Recurring Log'!L441&amp;""</f>
        <v/>
      </c>
      <c r="BB437">
        <f>'Recurring Log'!M441&amp;""</f>
        <v/>
      </c>
      <c r="BC437">
        <f>'Recurring Log'!N441&amp;""</f>
        <v/>
      </c>
      <c r="BD437">
        <f>'Recurring Log'!O441&amp;""</f>
        <v/>
      </c>
      <c r="BE437">
        <f>IF('Recurring Log'!K441="","",'Recurring Log'!K441)</f>
        <v/>
      </c>
      <c r="BF437">
        <f>IFERROR(MATCH(BA437,Setup!$L$6:$L$9,0),5)</f>
        <v/>
      </c>
      <c r="BG437">
        <f>IF(OR(AZ437="Done",AZ437="Cancelled"),1,0)</f>
        <v/>
      </c>
      <c r="BH437">
        <f>IF(AND(AU437&lt;&gt;"",ISNUMBER(AW437)),1,0)</f>
        <v/>
      </c>
      <c r="BI437">
        <f>IF(BH437=0,0,IF(AND(AW437&gt;='Tasks Filter'!$F$3,AW437&lt;='Tasks Filter'!$F$4,OR('Tasks Filter'!$I$3="",ISNUMBER(SEARCH('Tasks Filter'!$I$3,AU437))),OR('Tasks Filter'!$I$4="",BF437=IFERROR(MATCH('Tasks Filter'!$I$4,Setup!$L$6:$L$9,0),0)),OR('Tasks Filter'!$I$5="Both",AND('Tasks Filter'!$I$5="Yes",BB437="✓"),AND('Tasks Filter'!$I$5="No",BB437&lt;&gt;"✓")),OR('Tasks Filter'!$L$3="",AV437='Tasks Filter'!$L$3),OR('Tasks Filter'!$L$4="",AZ437='Tasks Filter'!$L$4),OR('Tasks Filter'!$L$5="",BC437='Tasks Filter'!$L$5),OR('Tasks Filter'!$O$3="",BD437='Tasks Filter'!$O$3),OR('Tasks Filter'!$O$4="Yes",BG437=0)),1,0))</f>
        <v/>
      </c>
      <c r="BJ437">
        <f>IF(BH437=0,"",IF('Tasks Filter'!$F$6="Descending",-1,1)*CHOOSE(MATCH('Tasks Filter'!$F$5,Lists!$G$2:$G$6,0),AW437,BF437,IFERROR(MATCH(AV437,Setup!$F$6:$F$15,0),99),IFERROR(MATCH(BC437,Setup!$H$6:$H$15,0),99),IFERROR(MATCH(AZ437,Setup!$J$6:$J$11,0),99))*1E+9+(AW437-40000)*10000+436)</f>
        <v/>
      </c>
      <c r="BK437">
        <f>IF(BI437=1,BJ437,"")</f>
        <v/>
      </c>
      <c r="BL437">
        <f>IF(AND(BH437=1,BG437=0,N(AW437)&lt;Setup!$D$7),(AW437-40000)*10000+436,"")</f>
        <v/>
      </c>
      <c r="BM437">
        <f>IF(AND(BH437=1,AZ437&lt;&gt;"Cancelled",N(AW437)&gt;=Dashboard!$AB$3,N(AW437)&lt;=Dashboard!$AB$3+6),(AW437-40000)*100000+BF437*10000+436,"")</f>
        <v/>
      </c>
      <c r="BN437">
        <f>IF(AND(BH437=1,AZ437&lt;&gt;"Cancelled"),BF437*10000+436,"")</f>
        <v/>
      </c>
    </row>
    <row r="438">
      <c r="AS438" t="inlineStr">
        <is>
          <t>R</t>
        </is>
      </c>
      <c r="AT438" t="n">
        <v>442</v>
      </c>
      <c r="AU438">
        <f>'Recurring Log'!C442&amp;""</f>
        <v/>
      </c>
      <c r="AV438">
        <f>'Recurring Log'!D442&amp;""</f>
        <v/>
      </c>
      <c r="AW438">
        <f>IF('Recurring Log'!E442="","",'Recurring Log'!E442)</f>
        <v/>
      </c>
      <c r="AX438">
        <f>IF('Recurring Log'!G442="","",'Recurring Log'!G442)</f>
        <v/>
      </c>
      <c r="AY438">
        <f>IF('Recurring Log'!H442="","",'Recurring Log'!H442)</f>
        <v/>
      </c>
      <c r="AZ438">
        <f>IF(AU438="","",IF('Recurring Log'!J442="","Not Started",'Recurring Log'!J442))</f>
        <v/>
      </c>
      <c r="BA438">
        <f>'Recurring Log'!L442&amp;""</f>
        <v/>
      </c>
      <c r="BB438">
        <f>'Recurring Log'!M442&amp;""</f>
        <v/>
      </c>
      <c r="BC438">
        <f>'Recurring Log'!N442&amp;""</f>
        <v/>
      </c>
      <c r="BD438">
        <f>'Recurring Log'!O442&amp;""</f>
        <v/>
      </c>
      <c r="BE438">
        <f>IF('Recurring Log'!K442="","",'Recurring Log'!K442)</f>
        <v/>
      </c>
      <c r="BF438">
        <f>IFERROR(MATCH(BA438,Setup!$L$6:$L$9,0),5)</f>
        <v/>
      </c>
      <c r="BG438">
        <f>IF(OR(AZ438="Done",AZ438="Cancelled"),1,0)</f>
        <v/>
      </c>
      <c r="BH438">
        <f>IF(AND(AU438&lt;&gt;"",ISNUMBER(AW438)),1,0)</f>
        <v/>
      </c>
      <c r="BI438">
        <f>IF(BH438=0,0,IF(AND(AW438&gt;='Tasks Filter'!$F$3,AW438&lt;='Tasks Filter'!$F$4,OR('Tasks Filter'!$I$3="",ISNUMBER(SEARCH('Tasks Filter'!$I$3,AU438))),OR('Tasks Filter'!$I$4="",BF438=IFERROR(MATCH('Tasks Filter'!$I$4,Setup!$L$6:$L$9,0),0)),OR('Tasks Filter'!$I$5="Both",AND('Tasks Filter'!$I$5="Yes",BB438="✓"),AND('Tasks Filter'!$I$5="No",BB438&lt;&gt;"✓")),OR('Tasks Filter'!$L$3="",AV438='Tasks Filter'!$L$3),OR('Tasks Filter'!$L$4="",AZ438='Tasks Filter'!$L$4),OR('Tasks Filter'!$L$5="",BC438='Tasks Filter'!$L$5),OR('Tasks Filter'!$O$3="",BD438='Tasks Filter'!$O$3),OR('Tasks Filter'!$O$4="Yes",BG438=0)),1,0))</f>
        <v/>
      </c>
      <c r="BJ438">
        <f>IF(BH438=0,"",IF('Tasks Filter'!$F$6="Descending",-1,1)*CHOOSE(MATCH('Tasks Filter'!$F$5,Lists!$G$2:$G$6,0),AW438,BF438,IFERROR(MATCH(AV438,Setup!$F$6:$F$15,0),99),IFERROR(MATCH(BC438,Setup!$H$6:$H$15,0),99),IFERROR(MATCH(AZ438,Setup!$J$6:$J$11,0),99))*1E+9+(AW438-40000)*10000+437)</f>
        <v/>
      </c>
      <c r="BK438">
        <f>IF(BI438=1,BJ438,"")</f>
        <v/>
      </c>
      <c r="BL438">
        <f>IF(AND(BH438=1,BG438=0,N(AW438)&lt;Setup!$D$7),(AW438-40000)*10000+437,"")</f>
        <v/>
      </c>
      <c r="BM438">
        <f>IF(AND(BH438=1,AZ438&lt;&gt;"Cancelled",N(AW438)&gt;=Dashboard!$AB$3,N(AW438)&lt;=Dashboard!$AB$3+6),(AW438-40000)*100000+BF438*10000+437,"")</f>
        <v/>
      </c>
      <c r="BN438">
        <f>IF(AND(BH438=1,AZ438&lt;&gt;"Cancelled"),BF438*10000+437,"")</f>
        <v/>
      </c>
    </row>
    <row r="439">
      <c r="AS439" t="inlineStr">
        <is>
          <t>R</t>
        </is>
      </c>
      <c r="AT439" t="n">
        <v>443</v>
      </c>
      <c r="AU439">
        <f>'Recurring Log'!C443&amp;""</f>
        <v/>
      </c>
      <c r="AV439">
        <f>'Recurring Log'!D443&amp;""</f>
        <v/>
      </c>
      <c r="AW439">
        <f>IF('Recurring Log'!E443="","",'Recurring Log'!E443)</f>
        <v/>
      </c>
      <c r="AX439">
        <f>IF('Recurring Log'!G443="","",'Recurring Log'!G443)</f>
        <v/>
      </c>
      <c r="AY439">
        <f>IF('Recurring Log'!H443="","",'Recurring Log'!H443)</f>
        <v/>
      </c>
      <c r="AZ439">
        <f>IF(AU439="","",IF('Recurring Log'!J443="","Not Started",'Recurring Log'!J443))</f>
        <v/>
      </c>
      <c r="BA439">
        <f>'Recurring Log'!L443&amp;""</f>
        <v/>
      </c>
      <c r="BB439">
        <f>'Recurring Log'!M443&amp;""</f>
        <v/>
      </c>
      <c r="BC439">
        <f>'Recurring Log'!N443&amp;""</f>
        <v/>
      </c>
      <c r="BD439">
        <f>'Recurring Log'!O443&amp;""</f>
        <v/>
      </c>
      <c r="BE439">
        <f>IF('Recurring Log'!K443="","",'Recurring Log'!K443)</f>
        <v/>
      </c>
      <c r="BF439">
        <f>IFERROR(MATCH(BA439,Setup!$L$6:$L$9,0),5)</f>
        <v/>
      </c>
      <c r="BG439">
        <f>IF(OR(AZ439="Done",AZ439="Cancelled"),1,0)</f>
        <v/>
      </c>
      <c r="BH439">
        <f>IF(AND(AU439&lt;&gt;"",ISNUMBER(AW439)),1,0)</f>
        <v/>
      </c>
      <c r="BI439">
        <f>IF(BH439=0,0,IF(AND(AW439&gt;='Tasks Filter'!$F$3,AW439&lt;='Tasks Filter'!$F$4,OR('Tasks Filter'!$I$3="",ISNUMBER(SEARCH('Tasks Filter'!$I$3,AU439))),OR('Tasks Filter'!$I$4="",BF439=IFERROR(MATCH('Tasks Filter'!$I$4,Setup!$L$6:$L$9,0),0)),OR('Tasks Filter'!$I$5="Both",AND('Tasks Filter'!$I$5="Yes",BB439="✓"),AND('Tasks Filter'!$I$5="No",BB439&lt;&gt;"✓")),OR('Tasks Filter'!$L$3="",AV439='Tasks Filter'!$L$3),OR('Tasks Filter'!$L$4="",AZ439='Tasks Filter'!$L$4),OR('Tasks Filter'!$L$5="",BC439='Tasks Filter'!$L$5),OR('Tasks Filter'!$O$3="",BD439='Tasks Filter'!$O$3),OR('Tasks Filter'!$O$4="Yes",BG439=0)),1,0))</f>
        <v/>
      </c>
      <c r="BJ439">
        <f>IF(BH439=0,"",IF('Tasks Filter'!$F$6="Descending",-1,1)*CHOOSE(MATCH('Tasks Filter'!$F$5,Lists!$G$2:$G$6,0),AW439,BF439,IFERROR(MATCH(AV439,Setup!$F$6:$F$15,0),99),IFERROR(MATCH(BC439,Setup!$H$6:$H$15,0),99),IFERROR(MATCH(AZ439,Setup!$J$6:$J$11,0),99))*1E+9+(AW439-40000)*10000+438)</f>
        <v/>
      </c>
      <c r="BK439">
        <f>IF(BI439=1,BJ439,"")</f>
        <v/>
      </c>
      <c r="BL439">
        <f>IF(AND(BH439=1,BG439=0,N(AW439)&lt;Setup!$D$7),(AW439-40000)*10000+438,"")</f>
        <v/>
      </c>
      <c r="BM439">
        <f>IF(AND(BH439=1,AZ439&lt;&gt;"Cancelled",N(AW439)&gt;=Dashboard!$AB$3,N(AW439)&lt;=Dashboard!$AB$3+6),(AW439-40000)*100000+BF439*10000+438,"")</f>
        <v/>
      </c>
      <c r="BN439">
        <f>IF(AND(BH439=1,AZ439&lt;&gt;"Cancelled"),BF439*10000+438,"")</f>
        <v/>
      </c>
    </row>
    <row r="440">
      <c r="AS440" t="inlineStr">
        <is>
          <t>R</t>
        </is>
      </c>
      <c r="AT440" t="n">
        <v>444</v>
      </c>
      <c r="AU440">
        <f>'Recurring Log'!C444&amp;""</f>
        <v/>
      </c>
      <c r="AV440">
        <f>'Recurring Log'!D444&amp;""</f>
        <v/>
      </c>
      <c r="AW440">
        <f>IF('Recurring Log'!E444="","",'Recurring Log'!E444)</f>
        <v/>
      </c>
      <c r="AX440">
        <f>IF('Recurring Log'!G444="","",'Recurring Log'!G444)</f>
        <v/>
      </c>
      <c r="AY440">
        <f>IF('Recurring Log'!H444="","",'Recurring Log'!H444)</f>
        <v/>
      </c>
      <c r="AZ440">
        <f>IF(AU440="","",IF('Recurring Log'!J444="","Not Started",'Recurring Log'!J444))</f>
        <v/>
      </c>
      <c r="BA440">
        <f>'Recurring Log'!L444&amp;""</f>
        <v/>
      </c>
      <c r="BB440">
        <f>'Recurring Log'!M444&amp;""</f>
        <v/>
      </c>
      <c r="BC440">
        <f>'Recurring Log'!N444&amp;""</f>
        <v/>
      </c>
      <c r="BD440">
        <f>'Recurring Log'!O444&amp;""</f>
        <v/>
      </c>
      <c r="BE440">
        <f>IF('Recurring Log'!K444="","",'Recurring Log'!K444)</f>
        <v/>
      </c>
      <c r="BF440">
        <f>IFERROR(MATCH(BA440,Setup!$L$6:$L$9,0),5)</f>
        <v/>
      </c>
      <c r="BG440">
        <f>IF(OR(AZ440="Done",AZ440="Cancelled"),1,0)</f>
        <v/>
      </c>
      <c r="BH440">
        <f>IF(AND(AU440&lt;&gt;"",ISNUMBER(AW440)),1,0)</f>
        <v/>
      </c>
      <c r="BI440">
        <f>IF(BH440=0,0,IF(AND(AW440&gt;='Tasks Filter'!$F$3,AW440&lt;='Tasks Filter'!$F$4,OR('Tasks Filter'!$I$3="",ISNUMBER(SEARCH('Tasks Filter'!$I$3,AU440))),OR('Tasks Filter'!$I$4="",BF440=IFERROR(MATCH('Tasks Filter'!$I$4,Setup!$L$6:$L$9,0),0)),OR('Tasks Filter'!$I$5="Both",AND('Tasks Filter'!$I$5="Yes",BB440="✓"),AND('Tasks Filter'!$I$5="No",BB440&lt;&gt;"✓")),OR('Tasks Filter'!$L$3="",AV440='Tasks Filter'!$L$3),OR('Tasks Filter'!$L$4="",AZ440='Tasks Filter'!$L$4),OR('Tasks Filter'!$L$5="",BC440='Tasks Filter'!$L$5),OR('Tasks Filter'!$O$3="",BD440='Tasks Filter'!$O$3),OR('Tasks Filter'!$O$4="Yes",BG440=0)),1,0))</f>
        <v/>
      </c>
      <c r="BJ440">
        <f>IF(BH440=0,"",IF('Tasks Filter'!$F$6="Descending",-1,1)*CHOOSE(MATCH('Tasks Filter'!$F$5,Lists!$G$2:$G$6,0),AW440,BF440,IFERROR(MATCH(AV440,Setup!$F$6:$F$15,0),99),IFERROR(MATCH(BC440,Setup!$H$6:$H$15,0),99),IFERROR(MATCH(AZ440,Setup!$J$6:$J$11,0),99))*1E+9+(AW440-40000)*10000+439)</f>
        <v/>
      </c>
      <c r="BK440">
        <f>IF(BI440=1,BJ440,"")</f>
        <v/>
      </c>
      <c r="BL440">
        <f>IF(AND(BH440=1,BG440=0,N(AW440)&lt;Setup!$D$7),(AW440-40000)*10000+439,"")</f>
        <v/>
      </c>
      <c r="BM440">
        <f>IF(AND(BH440=1,AZ440&lt;&gt;"Cancelled",N(AW440)&gt;=Dashboard!$AB$3,N(AW440)&lt;=Dashboard!$AB$3+6),(AW440-40000)*100000+BF440*10000+439,"")</f>
        <v/>
      </c>
      <c r="BN440">
        <f>IF(AND(BH440=1,AZ440&lt;&gt;"Cancelled"),BF440*10000+439,"")</f>
        <v/>
      </c>
    </row>
    <row r="441">
      <c r="AS441" t="inlineStr">
        <is>
          <t>R</t>
        </is>
      </c>
      <c r="AT441" t="n">
        <v>445</v>
      </c>
      <c r="AU441">
        <f>'Recurring Log'!C445&amp;""</f>
        <v/>
      </c>
      <c r="AV441">
        <f>'Recurring Log'!D445&amp;""</f>
        <v/>
      </c>
      <c r="AW441">
        <f>IF('Recurring Log'!E445="","",'Recurring Log'!E445)</f>
        <v/>
      </c>
      <c r="AX441">
        <f>IF('Recurring Log'!G445="","",'Recurring Log'!G445)</f>
        <v/>
      </c>
      <c r="AY441">
        <f>IF('Recurring Log'!H445="","",'Recurring Log'!H445)</f>
        <v/>
      </c>
      <c r="AZ441">
        <f>IF(AU441="","",IF('Recurring Log'!J445="","Not Started",'Recurring Log'!J445))</f>
        <v/>
      </c>
      <c r="BA441">
        <f>'Recurring Log'!L445&amp;""</f>
        <v/>
      </c>
      <c r="BB441">
        <f>'Recurring Log'!M445&amp;""</f>
        <v/>
      </c>
      <c r="BC441">
        <f>'Recurring Log'!N445&amp;""</f>
        <v/>
      </c>
      <c r="BD441">
        <f>'Recurring Log'!O445&amp;""</f>
        <v/>
      </c>
      <c r="BE441">
        <f>IF('Recurring Log'!K445="","",'Recurring Log'!K445)</f>
        <v/>
      </c>
      <c r="BF441">
        <f>IFERROR(MATCH(BA441,Setup!$L$6:$L$9,0),5)</f>
        <v/>
      </c>
      <c r="BG441">
        <f>IF(OR(AZ441="Done",AZ441="Cancelled"),1,0)</f>
        <v/>
      </c>
      <c r="BH441">
        <f>IF(AND(AU441&lt;&gt;"",ISNUMBER(AW441)),1,0)</f>
        <v/>
      </c>
      <c r="BI441">
        <f>IF(BH441=0,0,IF(AND(AW441&gt;='Tasks Filter'!$F$3,AW441&lt;='Tasks Filter'!$F$4,OR('Tasks Filter'!$I$3="",ISNUMBER(SEARCH('Tasks Filter'!$I$3,AU441))),OR('Tasks Filter'!$I$4="",BF441=IFERROR(MATCH('Tasks Filter'!$I$4,Setup!$L$6:$L$9,0),0)),OR('Tasks Filter'!$I$5="Both",AND('Tasks Filter'!$I$5="Yes",BB441="✓"),AND('Tasks Filter'!$I$5="No",BB441&lt;&gt;"✓")),OR('Tasks Filter'!$L$3="",AV441='Tasks Filter'!$L$3),OR('Tasks Filter'!$L$4="",AZ441='Tasks Filter'!$L$4),OR('Tasks Filter'!$L$5="",BC441='Tasks Filter'!$L$5),OR('Tasks Filter'!$O$3="",BD441='Tasks Filter'!$O$3),OR('Tasks Filter'!$O$4="Yes",BG441=0)),1,0))</f>
        <v/>
      </c>
      <c r="BJ441">
        <f>IF(BH441=0,"",IF('Tasks Filter'!$F$6="Descending",-1,1)*CHOOSE(MATCH('Tasks Filter'!$F$5,Lists!$G$2:$G$6,0),AW441,BF441,IFERROR(MATCH(AV441,Setup!$F$6:$F$15,0),99),IFERROR(MATCH(BC441,Setup!$H$6:$H$15,0),99),IFERROR(MATCH(AZ441,Setup!$J$6:$J$11,0),99))*1E+9+(AW441-40000)*10000+440)</f>
        <v/>
      </c>
      <c r="BK441">
        <f>IF(BI441=1,BJ441,"")</f>
        <v/>
      </c>
      <c r="BL441">
        <f>IF(AND(BH441=1,BG441=0,N(AW441)&lt;Setup!$D$7),(AW441-40000)*10000+440,"")</f>
        <v/>
      </c>
      <c r="BM441">
        <f>IF(AND(BH441=1,AZ441&lt;&gt;"Cancelled",N(AW441)&gt;=Dashboard!$AB$3,N(AW441)&lt;=Dashboard!$AB$3+6),(AW441-40000)*100000+BF441*10000+440,"")</f>
        <v/>
      </c>
      <c r="BN441">
        <f>IF(AND(BH441=1,AZ441&lt;&gt;"Cancelled"),BF441*10000+440,"")</f>
        <v/>
      </c>
    </row>
    <row r="442">
      <c r="AS442" t="inlineStr">
        <is>
          <t>R</t>
        </is>
      </c>
      <c r="AT442" t="n">
        <v>446</v>
      </c>
      <c r="AU442">
        <f>'Recurring Log'!C446&amp;""</f>
        <v/>
      </c>
      <c r="AV442">
        <f>'Recurring Log'!D446&amp;""</f>
        <v/>
      </c>
      <c r="AW442">
        <f>IF('Recurring Log'!E446="","",'Recurring Log'!E446)</f>
        <v/>
      </c>
      <c r="AX442">
        <f>IF('Recurring Log'!G446="","",'Recurring Log'!G446)</f>
        <v/>
      </c>
      <c r="AY442">
        <f>IF('Recurring Log'!H446="","",'Recurring Log'!H446)</f>
        <v/>
      </c>
      <c r="AZ442">
        <f>IF(AU442="","",IF('Recurring Log'!J446="","Not Started",'Recurring Log'!J446))</f>
        <v/>
      </c>
      <c r="BA442">
        <f>'Recurring Log'!L446&amp;""</f>
        <v/>
      </c>
      <c r="BB442">
        <f>'Recurring Log'!M446&amp;""</f>
        <v/>
      </c>
      <c r="BC442">
        <f>'Recurring Log'!N446&amp;""</f>
        <v/>
      </c>
      <c r="BD442">
        <f>'Recurring Log'!O446&amp;""</f>
        <v/>
      </c>
      <c r="BE442">
        <f>IF('Recurring Log'!K446="","",'Recurring Log'!K446)</f>
        <v/>
      </c>
      <c r="BF442">
        <f>IFERROR(MATCH(BA442,Setup!$L$6:$L$9,0),5)</f>
        <v/>
      </c>
      <c r="BG442">
        <f>IF(OR(AZ442="Done",AZ442="Cancelled"),1,0)</f>
        <v/>
      </c>
      <c r="BH442">
        <f>IF(AND(AU442&lt;&gt;"",ISNUMBER(AW442)),1,0)</f>
        <v/>
      </c>
      <c r="BI442">
        <f>IF(BH442=0,0,IF(AND(AW442&gt;='Tasks Filter'!$F$3,AW442&lt;='Tasks Filter'!$F$4,OR('Tasks Filter'!$I$3="",ISNUMBER(SEARCH('Tasks Filter'!$I$3,AU442))),OR('Tasks Filter'!$I$4="",BF442=IFERROR(MATCH('Tasks Filter'!$I$4,Setup!$L$6:$L$9,0),0)),OR('Tasks Filter'!$I$5="Both",AND('Tasks Filter'!$I$5="Yes",BB442="✓"),AND('Tasks Filter'!$I$5="No",BB442&lt;&gt;"✓")),OR('Tasks Filter'!$L$3="",AV442='Tasks Filter'!$L$3),OR('Tasks Filter'!$L$4="",AZ442='Tasks Filter'!$L$4),OR('Tasks Filter'!$L$5="",BC442='Tasks Filter'!$L$5),OR('Tasks Filter'!$O$3="",BD442='Tasks Filter'!$O$3),OR('Tasks Filter'!$O$4="Yes",BG442=0)),1,0))</f>
        <v/>
      </c>
      <c r="BJ442">
        <f>IF(BH442=0,"",IF('Tasks Filter'!$F$6="Descending",-1,1)*CHOOSE(MATCH('Tasks Filter'!$F$5,Lists!$G$2:$G$6,0),AW442,BF442,IFERROR(MATCH(AV442,Setup!$F$6:$F$15,0),99),IFERROR(MATCH(BC442,Setup!$H$6:$H$15,0),99),IFERROR(MATCH(AZ442,Setup!$J$6:$J$11,0),99))*1E+9+(AW442-40000)*10000+441)</f>
        <v/>
      </c>
      <c r="BK442">
        <f>IF(BI442=1,BJ442,"")</f>
        <v/>
      </c>
      <c r="BL442">
        <f>IF(AND(BH442=1,BG442=0,N(AW442)&lt;Setup!$D$7),(AW442-40000)*10000+441,"")</f>
        <v/>
      </c>
      <c r="BM442">
        <f>IF(AND(BH442=1,AZ442&lt;&gt;"Cancelled",N(AW442)&gt;=Dashboard!$AB$3,N(AW442)&lt;=Dashboard!$AB$3+6),(AW442-40000)*100000+BF442*10000+441,"")</f>
        <v/>
      </c>
      <c r="BN442">
        <f>IF(AND(BH442=1,AZ442&lt;&gt;"Cancelled"),BF442*10000+441,"")</f>
        <v/>
      </c>
    </row>
    <row r="443">
      <c r="AS443" t="inlineStr">
        <is>
          <t>R</t>
        </is>
      </c>
      <c r="AT443" t="n">
        <v>447</v>
      </c>
      <c r="AU443">
        <f>'Recurring Log'!C447&amp;""</f>
        <v/>
      </c>
      <c r="AV443">
        <f>'Recurring Log'!D447&amp;""</f>
        <v/>
      </c>
      <c r="AW443">
        <f>IF('Recurring Log'!E447="","",'Recurring Log'!E447)</f>
        <v/>
      </c>
      <c r="AX443">
        <f>IF('Recurring Log'!G447="","",'Recurring Log'!G447)</f>
        <v/>
      </c>
      <c r="AY443">
        <f>IF('Recurring Log'!H447="","",'Recurring Log'!H447)</f>
        <v/>
      </c>
      <c r="AZ443">
        <f>IF(AU443="","",IF('Recurring Log'!J447="","Not Started",'Recurring Log'!J447))</f>
        <v/>
      </c>
      <c r="BA443">
        <f>'Recurring Log'!L447&amp;""</f>
        <v/>
      </c>
      <c r="BB443">
        <f>'Recurring Log'!M447&amp;""</f>
        <v/>
      </c>
      <c r="BC443">
        <f>'Recurring Log'!N447&amp;""</f>
        <v/>
      </c>
      <c r="BD443">
        <f>'Recurring Log'!O447&amp;""</f>
        <v/>
      </c>
      <c r="BE443">
        <f>IF('Recurring Log'!K447="","",'Recurring Log'!K447)</f>
        <v/>
      </c>
      <c r="BF443">
        <f>IFERROR(MATCH(BA443,Setup!$L$6:$L$9,0),5)</f>
        <v/>
      </c>
      <c r="BG443">
        <f>IF(OR(AZ443="Done",AZ443="Cancelled"),1,0)</f>
        <v/>
      </c>
      <c r="BH443">
        <f>IF(AND(AU443&lt;&gt;"",ISNUMBER(AW443)),1,0)</f>
        <v/>
      </c>
      <c r="BI443">
        <f>IF(BH443=0,0,IF(AND(AW443&gt;='Tasks Filter'!$F$3,AW443&lt;='Tasks Filter'!$F$4,OR('Tasks Filter'!$I$3="",ISNUMBER(SEARCH('Tasks Filter'!$I$3,AU443))),OR('Tasks Filter'!$I$4="",BF443=IFERROR(MATCH('Tasks Filter'!$I$4,Setup!$L$6:$L$9,0),0)),OR('Tasks Filter'!$I$5="Both",AND('Tasks Filter'!$I$5="Yes",BB443="✓"),AND('Tasks Filter'!$I$5="No",BB443&lt;&gt;"✓")),OR('Tasks Filter'!$L$3="",AV443='Tasks Filter'!$L$3),OR('Tasks Filter'!$L$4="",AZ443='Tasks Filter'!$L$4),OR('Tasks Filter'!$L$5="",BC443='Tasks Filter'!$L$5),OR('Tasks Filter'!$O$3="",BD443='Tasks Filter'!$O$3),OR('Tasks Filter'!$O$4="Yes",BG443=0)),1,0))</f>
        <v/>
      </c>
      <c r="BJ443">
        <f>IF(BH443=0,"",IF('Tasks Filter'!$F$6="Descending",-1,1)*CHOOSE(MATCH('Tasks Filter'!$F$5,Lists!$G$2:$G$6,0),AW443,BF443,IFERROR(MATCH(AV443,Setup!$F$6:$F$15,0),99),IFERROR(MATCH(BC443,Setup!$H$6:$H$15,0),99),IFERROR(MATCH(AZ443,Setup!$J$6:$J$11,0),99))*1E+9+(AW443-40000)*10000+442)</f>
        <v/>
      </c>
      <c r="BK443">
        <f>IF(BI443=1,BJ443,"")</f>
        <v/>
      </c>
      <c r="BL443">
        <f>IF(AND(BH443=1,BG443=0,N(AW443)&lt;Setup!$D$7),(AW443-40000)*10000+442,"")</f>
        <v/>
      </c>
      <c r="BM443">
        <f>IF(AND(BH443=1,AZ443&lt;&gt;"Cancelled",N(AW443)&gt;=Dashboard!$AB$3,N(AW443)&lt;=Dashboard!$AB$3+6),(AW443-40000)*100000+BF443*10000+442,"")</f>
        <v/>
      </c>
      <c r="BN443">
        <f>IF(AND(BH443=1,AZ443&lt;&gt;"Cancelled"),BF443*10000+442,"")</f>
        <v/>
      </c>
    </row>
    <row r="444">
      <c r="AS444" t="inlineStr">
        <is>
          <t>R</t>
        </is>
      </c>
      <c r="AT444" t="n">
        <v>448</v>
      </c>
      <c r="AU444">
        <f>'Recurring Log'!C448&amp;""</f>
        <v/>
      </c>
      <c r="AV444">
        <f>'Recurring Log'!D448&amp;""</f>
        <v/>
      </c>
      <c r="AW444">
        <f>IF('Recurring Log'!E448="","",'Recurring Log'!E448)</f>
        <v/>
      </c>
      <c r="AX444">
        <f>IF('Recurring Log'!G448="","",'Recurring Log'!G448)</f>
        <v/>
      </c>
      <c r="AY444">
        <f>IF('Recurring Log'!H448="","",'Recurring Log'!H448)</f>
        <v/>
      </c>
      <c r="AZ444">
        <f>IF(AU444="","",IF('Recurring Log'!J448="","Not Started",'Recurring Log'!J448))</f>
        <v/>
      </c>
      <c r="BA444">
        <f>'Recurring Log'!L448&amp;""</f>
        <v/>
      </c>
      <c r="BB444">
        <f>'Recurring Log'!M448&amp;""</f>
        <v/>
      </c>
      <c r="BC444">
        <f>'Recurring Log'!N448&amp;""</f>
        <v/>
      </c>
      <c r="BD444">
        <f>'Recurring Log'!O448&amp;""</f>
        <v/>
      </c>
      <c r="BE444">
        <f>IF('Recurring Log'!K448="","",'Recurring Log'!K448)</f>
        <v/>
      </c>
      <c r="BF444">
        <f>IFERROR(MATCH(BA444,Setup!$L$6:$L$9,0),5)</f>
        <v/>
      </c>
      <c r="BG444">
        <f>IF(OR(AZ444="Done",AZ444="Cancelled"),1,0)</f>
        <v/>
      </c>
      <c r="BH444">
        <f>IF(AND(AU444&lt;&gt;"",ISNUMBER(AW444)),1,0)</f>
        <v/>
      </c>
      <c r="BI444">
        <f>IF(BH444=0,0,IF(AND(AW444&gt;='Tasks Filter'!$F$3,AW444&lt;='Tasks Filter'!$F$4,OR('Tasks Filter'!$I$3="",ISNUMBER(SEARCH('Tasks Filter'!$I$3,AU444))),OR('Tasks Filter'!$I$4="",BF444=IFERROR(MATCH('Tasks Filter'!$I$4,Setup!$L$6:$L$9,0),0)),OR('Tasks Filter'!$I$5="Both",AND('Tasks Filter'!$I$5="Yes",BB444="✓"),AND('Tasks Filter'!$I$5="No",BB444&lt;&gt;"✓")),OR('Tasks Filter'!$L$3="",AV444='Tasks Filter'!$L$3),OR('Tasks Filter'!$L$4="",AZ444='Tasks Filter'!$L$4),OR('Tasks Filter'!$L$5="",BC444='Tasks Filter'!$L$5),OR('Tasks Filter'!$O$3="",BD444='Tasks Filter'!$O$3),OR('Tasks Filter'!$O$4="Yes",BG444=0)),1,0))</f>
        <v/>
      </c>
      <c r="BJ444">
        <f>IF(BH444=0,"",IF('Tasks Filter'!$F$6="Descending",-1,1)*CHOOSE(MATCH('Tasks Filter'!$F$5,Lists!$G$2:$G$6,0),AW444,BF444,IFERROR(MATCH(AV444,Setup!$F$6:$F$15,0),99),IFERROR(MATCH(BC444,Setup!$H$6:$H$15,0),99),IFERROR(MATCH(AZ444,Setup!$J$6:$J$11,0),99))*1E+9+(AW444-40000)*10000+443)</f>
        <v/>
      </c>
      <c r="BK444">
        <f>IF(BI444=1,BJ444,"")</f>
        <v/>
      </c>
      <c r="BL444">
        <f>IF(AND(BH444=1,BG444=0,N(AW444)&lt;Setup!$D$7),(AW444-40000)*10000+443,"")</f>
        <v/>
      </c>
      <c r="BM444">
        <f>IF(AND(BH444=1,AZ444&lt;&gt;"Cancelled",N(AW444)&gt;=Dashboard!$AB$3,N(AW444)&lt;=Dashboard!$AB$3+6),(AW444-40000)*100000+BF444*10000+443,"")</f>
        <v/>
      </c>
      <c r="BN444">
        <f>IF(AND(BH444=1,AZ444&lt;&gt;"Cancelled"),BF444*10000+443,"")</f>
        <v/>
      </c>
    </row>
    <row r="445">
      <c r="AS445" t="inlineStr">
        <is>
          <t>R</t>
        </is>
      </c>
      <c r="AT445" t="n">
        <v>449</v>
      </c>
      <c r="AU445">
        <f>'Recurring Log'!C449&amp;""</f>
        <v/>
      </c>
      <c r="AV445">
        <f>'Recurring Log'!D449&amp;""</f>
        <v/>
      </c>
      <c r="AW445">
        <f>IF('Recurring Log'!E449="","",'Recurring Log'!E449)</f>
        <v/>
      </c>
      <c r="AX445">
        <f>IF('Recurring Log'!G449="","",'Recurring Log'!G449)</f>
        <v/>
      </c>
      <c r="AY445">
        <f>IF('Recurring Log'!H449="","",'Recurring Log'!H449)</f>
        <v/>
      </c>
      <c r="AZ445">
        <f>IF(AU445="","",IF('Recurring Log'!J449="","Not Started",'Recurring Log'!J449))</f>
        <v/>
      </c>
      <c r="BA445">
        <f>'Recurring Log'!L449&amp;""</f>
        <v/>
      </c>
      <c r="BB445">
        <f>'Recurring Log'!M449&amp;""</f>
        <v/>
      </c>
      <c r="BC445">
        <f>'Recurring Log'!N449&amp;""</f>
        <v/>
      </c>
      <c r="BD445">
        <f>'Recurring Log'!O449&amp;""</f>
        <v/>
      </c>
      <c r="BE445">
        <f>IF('Recurring Log'!K449="","",'Recurring Log'!K449)</f>
        <v/>
      </c>
      <c r="BF445">
        <f>IFERROR(MATCH(BA445,Setup!$L$6:$L$9,0),5)</f>
        <v/>
      </c>
      <c r="BG445">
        <f>IF(OR(AZ445="Done",AZ445="Cancelled"),1,0)</f>
        <v/>
      </c>
      <c r="BH445">
        <f>IF(AND(AU445&lt;&gt;"",ISNUMBER(AW445)),1,0)</f>
        <v/>
      </c>
      <c r="BI445">
        <f>IF(BH445=0,0,IF(AND(AW445&gt;='Tasks Filter'!$F$3,AW445&lt;='Tasks Filter'!$F$4,OR('Tasks Filter'!$I$3="",ISNUMBER(SEARCH('Tasks Filter'!$I$3,AU445))),OR('Tasks Filter'!$I$4="",BF445=IFERROR(MATCH('Tasks Filter'!$I$4,Setup!$L$6:$L$9,0),0)),OR('Tasks Filter'!$I$5="Both",AND('Tasks Filter'!$I$5="Yes",BB445="✓"),AND('Tasks Filter'!$I$5="No",BB445&lt;&gt;"✓")),OR('Tasks Filter'!$L$3="",AV445='Tasks Filter'!$L$3),OR('Tasks Filter'!$L$4="",AZ445='Tasks Filter'!$L$4),OR('Tasks Filter'!$L$5="",BC445='Tasks Filter'!$L$5),OR('Tasks Filter'!$O$3="",BD445='Tasks Filter'!$O$3),OR('Tasks Filter'!$O$4="Yes",BG445=0)),1,0))</f>
        <v/>
      </c>
      <c r="BJ445">
        <f>IF(BH445=0,"",IF('Tasks Filter'!$F$6="Descending",-1,1)*CHOOSE(MATCH('Tasks Filter'!$F$5,Lists!$G$2:$G$6,0),AW445,BF445,IFERROR(MATCH(AV445,Setup!$F$6:$F$15,0),99),IFERROR(MATCH(BC445,Setup!$H$6:$H$15,0),99),IFERROR(MATCH(AZ445,Setup!$J$6:$J$11,0),99))*1E+9+(AW445-40000)*10000+444)</f>
        <v/>
      </c>
      <c r="BK445">
        <f>IF(BI445=1,BJ445,"")</f>
        <v/>
      </c>
      <c r="BL445">
        <f>IF(AND(BH445=1,BG445=0,N(AW445)&lt;Setup!$D$7),(AW445-40000)*10000+444,"")</f>
        <v/>
      </c>
      <c r="BM445">
        <f>IF(AND(BH445=1,AZ445&lt;&gt;"Cancelled",N(AW445)&gt;=Dashboard!$AB$3,N(AW445)&lt;=Dashboard!$AB$3+6),(AW445-40000)*100000+BF445*10000+444,"")</f>
        <v/>
      </c>
      <c r="BN445">
        <f>IF(AND(BH445=1,AZ445&lt;&gt;"Cancelled"),BF445*10000+444,"")</f>
        <v/>
      </c>
    </row>
    <row r="446">
      <c r="AS446" t="inlineStr">
        <is>
          <t>R</t>
        </is>
      </c>
      <c r="AT446" t="n">
        <v>450</v>
      </c>
      <c r="AU446">
        <f>'Recurring Log'!C450&amp;""</f>
        <v/>
      </c>
      <c r="AV446">
        <f>'Recurring Log'!D450&amp;""</f>
        <v/>
      </c>
      <c r="AW446">
        <f>IF('Recurring Log'!E450="","",'Recurring Log'!E450)</f>
        <v/>
      </c>
      <c r="AX446">
        <f>IF('Recurring Log'!G450="","",'Recurring Log'!G450)</f>
        <v/>
      </c>
      <c r="AY446">
        <f>IF('Recurring Log'!H450="","",'Recurring Log'!H450)</f>
        <v/>
      </c>
      <c r="AZ446">
        <f>IF(AU446="","",IF('Recurring Log'!J450="","Not Started",'Recurring Log'!J450))</f>
        <v/>
      </c>
      <c r="BA446">
        <f>'Recurring Log'!L450&amp;""</f>
        <v/>
      </c>
      <c r="BB446">
        <f>'Recurring Log'!M450&amp;""</f>
        <v/>
      </c>
      <c r="BC446">
        <f>'Recurring Log'!N450&amp;""</f>
        <v/>
      </c>
      <c r="BD446">
        <f>'Recurring Log'!O450&amp;""</f>
        <v/>
      </c>
      <c r="BE446">
        <f>IF('Recurring Log'!K450="","",'Recurring Log'!K450)</f>
        <v/>
      </c>
      <c r="BF446">
        <f>IFERROR(MATCH(BA446,Setup!$L$6:$L$9,0),5)</f>
        <v/>
      </c>
      <c r="BG446">
        <f>IF(OR(AZ446="Done",AZ446="Cancelled"),1,0)</f>
        <v/>
      </c>
      <c r="BH446">
        <f>IF(AND(AU446&lt;&gt;"",ISNUMBER(AW446)),1,0)</f>
        <v/>
      </c>
      <c r="BI446">
        <f>IF(BH446=0,0,IF(AND(AW446&gt;='Tasks Filter'!$F$3,AW446&lt;='Tasks Filter'!$F$4,OR('Tasks Filter'!$I$3="",ISNUMBER(SEARCH('Tasks Filter'!$I$3,AU446))),OR('Tasks Filter'!$I$4="",BF446=IFERROR(MATCH('Tasks Filter'!$I$4,Setup!$L$6:$L$9,0),0)),OR('Tasks Filter'!$I$5="Both",AND('Tasks Filter'!$I$5="Yes",BB446="✓"),AND('Tasks Filter'!$I$5="No",BB446&lt;&gt;"✓")),OR('Tasks Filter'!$L$3="",AV446='Tasks Filter'!$L$3),OR('Tasks Filter'!$L$4="",AZ446='Tasks Filter'!$L$4),OR('Tasks Filter'!$L$5="",BC446='Tasks Filter'!$L$5),OR('Tasks Filter'!$O$3="",BD446='Tasks Filter'!$O$3),OR('Tasks Filter'!$O$4="Yes",BG446=0)),1,0))</f>
        <v/>
      </c>
      <c r="BJ446">
        <f>IF(BH446=0,"",IF('Tasks Filter'!$F$6="Descending",-1,1)*CHOOSE(MATCH('Tasks Filter'!$F$5,Lists!$G$2:$G$6,0),AW446,BF446,IFERROR(MATCH(AV446,Setup!$F$6:$F$15,0),99),IFERROR(MATCH(BC446,Setup!$H$6:$H$15,0),99),IFERROR(MATCH(AZ446,Setup!$J$6:$J$11,0),99))*1E+9+(AW446-40000)*10000+445)</f>
        <v/>
      </c>
      <c r="BK446">
        <f>IF(BI446=1,BJ446,"")</f>
        <v/>
      </c>
      <c r="BL446">
        <f>IF(AND(BH446=1,BG446=0,N(AW446)&lt;Setup!$D$7),(AW446-40000)*10000+445,"")</f>
        <v/>
      </c>
      <c r="BM446">
        <f>IF(AND(BH446=1,AZ446&lt;&gt;"Cancelled",N(AW446)&gt;=Dashboard!$AB$3,N(AW446)&lt;=Dashboard!$AB$3+6),(AW446-40000)*100000+BF446*10000+445,"")</f>
        <v/>
      </c>
      <c r="BN446">
        <f>IF(AND(BH446=1,AZ446&lt;&gt;"Cancelled"),BF446*10000+445,"")</f>
        <v/>
      </c>
    </row>
    <row r="447">
      <c r="AS447" t="inlineStr">
        <is>
          <t>R</t>
        </is>
      </c>
      <c r="AT447" t="n">
        <v>451</v>
      </c>
      <c r="AU447">
        <f>'Recurring Log'!C451&amp;""</f>
        <v/>
      </c>
      <c r="AV447">
        <f>'Recurring Log'!D451&amp;""</f>
        <v/>
      </c>
      <c r="AW447">
        <f>IF('Recurring Log'!E451="","",'Recurring Log'!E451)</f>
        <v/>
      </c>
      <c r="AX447">
        <f>IF('Recurring Log'!G451="","",'Recurring Log'!G451)</f>
        <v/>
      </c>
      <c r="AY447">
        <f>IF('Recurring Log'!H451="","",'Recurring Log'!H451)</f>
        <v/>
      </c>
      <c r="AZ447">
        <f>IF(AU447="","",IF('Recurring Log'!J451="","Not Started",'Recurring Log'!J451))</f>
        <v/>
      </c>
      <c r="BA447">
        <f>'Recurring Log'!L451&amp;""</f>
        <v/>
      </c>
      <c r="BB447">
        <f>'Recurring Log'!M451&amp;""</f>
        <v/>
      </c>
      <c r="BC447">
        <f>'Recurring Log'!N451&amp;""</f>
        <v/>
      </c>
      <c r="BD447">
        <f>'Recurring Log'!O451&amp;""</f>
        <v/>
      </c>
      <c r="BE447">
        <f>IF('Recurring Log'!K451="","",'Recurring Log'!K451)</f>
        <v/>
      </c>
      <c r="BF447">
        <f>IFERROR(MATCH(BA447,Setup!$L$6:$L$9,0),5)</f>
        <v/>
      </c>
      <c r="BG447">
        <f>IF(OR(AZ447="Done",AZ447="Cancelled"),1,0)</f>
        <v/>
      </c>
      <c r="BH447">
        <f>IF(AND(AU447&lt;&gt;"",ISNUMBER(AW447)),1,0)</f>
        <v/>
      </c>
      <c r="BI447">
        <f>IF(BH447=0,0,IF(AND(AW447&gt;='Tasks Filter'!$F$3,AW447&lt;='Tasks Filter'!$F$4,OR('Tasks Filter'!$I$3="",ISNUMBER(SEARCH('Tasks Filter'!$I$3,AU447))),OR('Tasks Filter'!$I$4="",BF447=IFERROR(MATCH('Tasks Filter'!$I$4,Setup!$L$6:$L$9,0),0)),OR('Tasks Filter'!$I$5="Both",AND('Tasks Filter'!$I$5="Yes",BB447="✓"),AND('Tasks Filter'!$I$5="No",BB447&lt;&gt;"✓")),OR('Tasks Filter'!$L$3="",AV447='Tasks Filter'!$L$3),OR('Tasks Filter'!$L$4="",AZ447='Tasks Filter'!$L$4),OR('Tasks Filter'!$L$5="",BC447='Tasks Filter'!$L$5),OR('Tasks Filter'!$O$3="",BD447='Tasks Filter'!$O$3),OR('Tasks Filter'!$O$4="Yes",BG447=0)),1,0))</f>
        <v/>
      </c>
      <c r="BJ447">
        <f>IF(BH447=0,"",IF('Tasks Filter'!$F$6="Descending",-1,1)*CHOOSE(MATCH('Tasks Filter'!$F$5,Lists!$G$2:$G$6,0),AW447,BF447,IFERROR(MATCH(AV447,Setup!$F$6:$F$15,0),99),IFERROR(MATCH(BC447,Setup!$H$6:$H$15,0),99),IFERROR(MATCH(AZ447,Setup!$J$6:$J$11,0),99))*1E+9+(AW447-40000)*10000+446)</f>
        <v/>
      </c>
      <c r="BK447">
        <f>IF(BI447=1,BJ447,"")</f>
        <v/>
      </c>
      <c r="BL447">
        <f>IF(AND(BH447=1,BG447=0,N(AW447)&lt;Setup!$D$7),(AW447-40000)*10000+446,"")</f>
        <v/>
      </c>
      <c r="BM447">
        <f>IF(AND(BH447=1,AZ447&lt;&gt;"Cancelled",N(AW447)&gt;=Dashboard!$AB$3,N(AW447)&lt;=Dashboard!$AB$3+6),(AW447-40000)*100000+BF447*10000+446,"")</f>
        <v/>
      </c>
      <c r="BN447">
        <f>IF(AND(BH447=1,AZ447&lt;&gt;"Cancelled"),BF447*10000+446,"")</f>
        <v/>
      </c>
    </row>
    <row r="448">
      <c r="AS448" t="inlineStr">
        <is>
          <t>R</t>
        </is>
      </c>
      <c r="AT448" t="n">
        <v>452</v>
      </c>
      <c r="AU448">
        <f>'Recurring Log'!C452&amp;""</f>
        <v/>
      </c>
      <c r="AV448">
        <f>'Recurring Log'!D452&amp;""</f>
        <v/>
      </c>
      <c r="AW448">
        <f>IF('Recurring Log'!E452="","",'Recurring Log'!E452)</f>
        <v/>
      </c>
      <c r="AX448">
        <f>IF('Recurring Log'!G452="","",'Recurring Log'!G452)</f>
        <v/>
      </c>
      <c r="AY448">
        <f>IF('Recurring Log'!H452="","",'Recurring Log'!H452)</f>
        <v/>
      </c>
      <c r="AZ448">
        <f>IF(AU448="","",IF('Recurring Log'!J452="","Not Started",'Recurring Log'!J452))</f>
        <v/>
      </c>
      <c r="BA448">
        <f>'Recurring Log'!L452&amp;""</f>
        <v/>
      </c>
      <c r="BB448">
        <f>'Recurring Log'!M452&amp;""</f>
        <v/>
      </c>
      <c r="BC448">
        <f>'Recurring Log'!N452&amp;""</f>
        <v/>
      </c>
      <c r="BD448">
        <f>'Recurring Log'!O452&amp;""</f>
        <v/>
      </c>
      <c r="BE448">
        <f>IF('Recurring Log'!K452="","",'Recurring Log'!K452)</f>
        <v/>
      </c>
      <c r="BF448">
        <f>IFERROR(MATCH(BA448,Setup!$L$6:$L$9,0),5)</f>
        <v/>
      </c>
      <c r="BG448">
        <f>IF(OR(AZ448="Done",AZ448="Cancelled"),1,0)</f>
        <v/>
      </c>
      <c r="BH448">
        <f>IF(AND(AU448&lt;&gt;"",ISNUMBER(AW448)),1,0)</f>
        <v/>
      </c>
      <c r="BI448">
        <f>IF(BH448=0,0,IF(AND(AW448&gt;='Tasks Filter'!$F$3,AW448&lt;='Tasks Filter'!$F$4,OR('Tasks Filter'!$I$3="",ISNUMBER(SEARCH('Tasks Filter'!$I$3,AU448))),OR('Tasks Filter'!$I$4="",BF448=IFERROR(MATCH('Tasks Filter'!$I$4,Setup!$L$6:$L$9,0),0)),OR('Tasks Filter'!$I$5="Both",AND('Tasks Filter'!$I$5="Yes",BB448="✓"),AND('Tasks Filter'!$I$5="No",BB448&lt;&gt;"✓")),OR('Tasks Filter'!$L$3="",AV448='Tasks Filter'!$L$3),OR('Tasks Filter'!$L$4="",AZ448='Tasks Filter'!$L$4),OR('Tasks Filter'!$L$5="",BC448='Tasks Filter'!$L$5),OR('Tasks Filter'!$O$3="",BD448='Tasks Filter'!$O$3),OR('Tasks Filter'!$O$4="Yes",BG448=0)),1,0))</f>
        <v/>
      </c>
      <c r="BJ448">
        <f>IF(BH448=0,"",IF('Tasks Filter'!$F$6="Descending",-1,1)*CHOOSE(MATCH('Tasks Filter'!$F$5,Lists!$G$2:$G$6,0),AW448,BF448,IFERROR(MATCH(AV448,Setup!$F$6:$F$15,0),99),IFERROR(MATCH(BC448,Setup!$H$6:$H$15,0),99),IFERROR(MATCH(AZ448,Setup!$J$6:$J$11,0),99))*1E+9+(AW448-40000)*10000+447)</f>
        <v/>
      </c>
      <c r="BK448">
        <f>IF(BI448=1,BJ448,"")</f>
        <v/>
      </c>
      <c r="BL448">
        <f>IF(AND(BH448=1,BG448=0,N(AW448)&lt;Setup!$D$7),(AW448-40000)*10000+447,"")</f>
        <v/>
      </c>
      <c r="BM448">
        <f>IF(AND(BH448=1,AZ448&lt;&gt;"Cancelled",N(AW448)&gt;=Dashboard!$AB$3,N(AW448)&lt;=Dashboard!$AB$3+6),(AW448-40000)*100000+BF448*10000+447,"")</f>
        <v/>
      </c>
      <c r="BN448">
        <f>IF(AND(BH448=1,AZ448&lt;&gt;"Cancelled"),BF448*10000+447,"")</f>
        <v/>
      </c>
    </row>
    <row r="449">
      <c r="AS449" t="inlineStr">
        <is>
          <t>R</t>
        </is>
      </c>
      <c r="AT449" t="n">
        <v>453</v>
      </c>
      <c r="AU449">
        <f>'Recurring Log'!C453&amp;""</f>
        <v/>
      </c>
      <c r="AV449">
        <f>'Recurring Log'!D453&amp;""</f>
        <v/>
      </c>
      <c r="AW449">
        <f>IF('Recurring Log'!E453="","",'Recurring Log'!E453)</f>
        <v/>
      </c>
      <c r="AX449">
        <f>IF('Recurring Log'!G453="","",'Recurring Log'!G453)</f>
        <v/>
      </c>
      <c r="AY449">
        <f>IF('Recurring Log'!H453="","",'Recurring Log'!H453)</f>
        <v/>
      </c>
      <c r="AZ449">
        <f>IF(AU449="","",IF('Recurring Log'!J453="","Not Started",'Recurring Log'!J453))</f>
        <v/>
      </c>
      <c r="BA449">
        <f>'Recurring Log'!L453&amp;""</f>
        <v/>
      </c>
      <c r="BB449">
        <f>'Recurring Log'!M453&amp;""</f>
        <v/>
      </c>
      <c r="BC449">
        <f>'Recurring Log'!N453&amp;""</f>
        <v/>
      </c>
      <c r="BD449">
        <f>'Recurring Log'!O453&amp;""</f>
        <v/>
      </c>
      <c r="BE449">
        <f>IF('Recurring Log'!K453="","",'Recurring Log'!K453)</f>
        <v/>
      </c>
      <c r="BF449">
        <f>IFERROR(MATCH(BA449,Setup!$L$6:$L$9,0),5)</f>
        <v/>
      </c>
      <c r="BG449">
        <f>IF(OR(AZ449="Done",AZ449="Cancelled"),1,0)</f>
        <v/>
      </c>
      <c r="BH449">
        <f>IF(AND(AU449&lt;&gt;"",ISNUMBER(AW449)),1,0)</f>
        <v/>
      </c>
      <c r="BI449">
        <f>IF(BH449=0,0,IF(AND(AW449&gt;='Tasks Filter'!$F$3,AW449&lt;='Tasks Filter'!$F$4,OR('Tasks Filter'!$I$3="",ISNUMBER(SEARCH('Tasks Filter'!$I$3,AU449))),OR('Tasks Filter'!$I$4="",BF449=IFERROR(MATCH('Tasks Filter'!$I$4,Setup!$L$6:$L$9,0),0)),OR('Tasks Filter'!$I$5="Both",AND('Tasks Filter'!$I$5="Yes",BB449="✓"),AND('Tasks Filter'!$I$5="No",BB449&lt;&gt;"✓")),OR('Tasks Filter'!$L$3="",AV449='Tasks Filter'!$L$3),OR('Tasks Filter'!$L$4="",AZ449='Tasks Filter'!$L$4),OR('Tasks Filter'!$L$5="",BC449='Tasks Filter'!$L$5),OR('Tasks Filter'!$O$3="",BD449='Tasks Filter'!$O$3),OR('Tasks Filter'!$O$4="Yes",BG449=0)),1,0))</f>
        <v/>
      </c>
      <c r="BJ449">
        <f>IF(BH449=0,"",IF('Tasks Filter'!$F$6="Descending",-1,1)*CHOOSE(MATCH('Tasks Filter'!$F$5,Lists!$G$2:$G$6,0),AW449,BF449,IFERROR(MATCH(AV449,Setup!$F$6:$F$15,0),99),IFERROR(MATCH(BC449,Setup!$H$6:$H$15,0),99),IFERROR(MATCH(AZ449,Setup!$J$6:$J$11,0),99))*1E+9+(AW449-40000)*10000+448)</f>
        <v/>
      </c>
      <c r="BK449">
        <f>IF(BI449=1,BJ449,"")</f>
        <v/>
      </c>
      <c r="BL449">
        <f>IF(AND(BH449=1,BG449=0,N(AW449)&lt;Setup!$D$7),(AW449-40000)*10000+448,"")</f>
        <v/>
      </c>
      <c r="BM449">
        <f>IF(AND(BH449=1,AZ449&lt;&gt;"Cancelled",N(AW449)&gt;=Dashboard!$AB$3,N(AW449)&lt;=Dashboard!$AB$3+6),(AW449-40000)*100000+BF449*10000+448,"")</f>
        <v/>
      </c>
      <c r="BN449">
        <f>IF(AND(BH449=1,AZ449&lt;&gt;"Cancelled"),BF449*10000+448,"")</f>
        <v/>
      </c>
    </row>
    <row r="450">
      <c r="AS450" t="inlineStr">
        <is>
          <t>R</t>
        </is>
      </c>
      <c r="AT450" t="n">
        <v>454</v>
      </c>
      <c r="AU450">
        <f>'Recurring Log'!C454&amp;""</f>
        <v/>
      </c>
      <c r="AV450">
        <f>'Recurring Log'!D454&amp;""</f>
        <v/>
      </c>
      <c r="AW450">
        <f>IF('Recurring Log'!E454="","",'Recurring Log'!E454)</f>
        <v/>
      </c>
      <c r="AX450">
        <f>IF('Recurring Log'!G454="","",'Recurring Log'!G454)</f>
        <v/>
      </c>
      <c r="AY450">
        <f>IF('Recurring Log'!H454="","",'Recurring Log'!H454)</f>
        <v/>
      </c>
      <c r="AZ450">
        <f>IF(AU450="","",IF('Recurring Log'!J454="","Not Started",'Recurring Log'!J454))</f>
        <v/>
      </c>
      <c r="BA450">
        <f>'Recurring Log'!L454&amp;""</f>
        <v/>
      </c>
      <c r="BB450">
        <f>'Recurring Log'!M454&amp;""</f>
        <v/>
      </c>
      <c r="BC450">
        <f>'Recurring Log'!N454&amp;""</f>
        <v/>
      </c>
      <c r="BD450">
        <f>'Recurring Log'!O454&amp;""</f>
        <v/>
      </c>
      <c r="BE450">
        <f>IF('Recurring Log'!K454="","",'Recurring Log'!K454)</f>
        <v/>
      </c>
      <c r="BF450">
        <f>IFERROR(MATCH(BA450,Setup!$L$6:$L$9,0),5)</f>
        <v/>
      </c>
      <c r="BG450">
        <f>IF(OR(AZ450="Done",AZ450="Cancelled"),1,0)</f>
        <v/>
      </c>
      <c r="BH450">
        <f>IF(AND(AU450&lt;&gt;"",ISNUMBER(AW450)),1,0)</f>
        <v/>
      </c>
      <c r="BI450">
        <f>IF(BH450=0,0,IF(AND(AW450&gt;='Tasks Filter'!$F$3,AW450&lt;='Tasks Filter'!$F$4,OR('Tasks Filter'!$I$3="",ISNUMBER(SEARCH('Tasks Filter'!$I$3,AU450))),OR('Tasks Filter'!$I$4="",BF450=IFERROR(MATCH('Tasks Filter'!$I$4,Setup!$L$6:$L$9,0),0)),OR('Tasks Filter'!$I$5="Both",AND('Tasks Filter'!$I$5="Yes",BB450="✓"),AND('Tasks Filter'!$I$5="No",BB450&lt;&gt;"✓")),OR('Tasks Filter'!$L$3="",AV450='Tasks Filter'!$L$3),OR('Tasks Filter'!$L$4="",AZ450='Tasks Filter'!$L$4),OR('Tasks Filter'!$L$5="",BC450='Tasks Filter'!$L$5),OR('Tasks Filter'!$O$3="",BD450='Tasks Filter'!$O$3),OR('Tasks Filter'!$O$4="Yes",BG450=0)),1,0))</f>
        <v/>
      </c>
      <c r="BJ450">
        <f>IF(BH450=0,"",IF('Tasks Filter'!$F$6="Descending",-1,1)*CHOOSE(MATCH('Tasks Filter'!$F$5,Lists!$G$2:$G$6,0),AW450,BF450,IFERROR(MATCH(AV450,Setup!$F$6:$F$15,0),99),IFERROR(MATCH(BC450,Setup!$H$6:$H$15,0),99),IFERROR(MATCH(AZ450,Setup!$J$6:$J$11,0),99))*1E+9+(AW450-40000)*10000+449)</f>
        <v/>
      </c>
      <c r="BK450">
        <f>IF(BI450=1,BJ450,"")</f>
        <v/>
      </c>
      <c r="BL450">
        <f>IF(AND(BH450=1,BG450=0,N(AW450)&lt;Setup!$D$7),(AW450-40000)*10000+449,"")</f>
        <v/>
      </c>
      <c r="BM450">
        <f>IF(AND(BH450=1,AZ450&lt;&gt;"Cancelled",N(AW450)&gt;=Dashboard!$AB$3,N(AW450)&lt;=Dashboard!$AB$3+6),(AW450-40000)*100000+BF450*10000+449,"")</f>
        <v/>
      </c>
      <c r="BN450">
        <f>IF(AND(BH450=1,AZ450&lt;&gt;"Cancelled"),BF450*10000+449,"")</f>
        <v/>
      </c>
    </row>
    <row r="451">
      <c r="AS451" t="inlineStr">
        <is>
          <t>R</t>
        </is>
      </c>
      <c r="AT451" t="n">
        <v>455</v>
      </c>
      <c r="AU451">
        <f>'Recurring Log'!C455&amp;""</f>
        <v/>
      </c>
      <c r="AV451">
        <f>'Recurring Log'!D455&amp;""</f>
        <v/>
      </c>
      <c r="AW451">
        <f>IF('Recurring Log'!E455="","",'Recurring Log'!E455)</f>
        <v/>
      </c>
      <c r="AX451">
        <f>IF('Recurring Log'!G455="","",'Recurring Log'!G455)</f>
        <v/>
      </c>
      <c r="AY451">
        <f>IF('Recurring Log'!H455="","",'Recurring Log'!H455)</f>
        <v/>
      </c>
      <c r="AZ451">
        <f>IF(AU451="","",IF('Recurring Log'!J455="","Not Started",'Recurring Log'!J455))</f>
        <v/>
      </c>
      <c r="BA451">
        <f>'Recurring Log'!L455&amp;""</f>
        <v/>
      </c>
      <c r="BB451">
        <f>'Recurring Log'!M455&amp;""</f>
        <v/>
      </c>
      <c r="BC451">
        <f>'Recurring Log'!N455&amp;""</f>
        <v/>
      </c>
      <c r="BD451">
        <f>'Recurring Log'!O455&amp;""</f>
        <v/>
      </c>
      <c r="BE451">
        <f>IF('Recurring Log'!K455="","",'Recurring Log'!K455)</f>
        <v/>
      </c>
      <c r="BF451">
        <f>IFERROR(MATCH(BA451,Setup!$L$6:$L$9,0),5)</f>
        <v/>
      </c>
      <c r="BG451">
        <f>IF(OR(AZ451="Done",AZ451="Cancelled"),1,0)</f>
        <v/>
      </c>
      <c r="BH451">
        <f>IF(AND(AU451&lt;&gt;"",ISNUMBER(AW451)),1,0)</f>
        <v/>
      </c>
      <c r="BI451">
        <f>IF(BH451=0,0,IF(AND(AW451&gt;='Tasks Filter'!$F$3,AW451&lt;='Tasks Filter'!$F$4,OR('Tasks Filter'!$I$3="",ISNUMBER(SEARCH('Tasks Filter'!$I$3,AU451))),OR('Tasks Filter'!$I$4="",BF451=IFERROR(MATCH('Tasks Filter'!$I$4,Setup!$L$6:$L$9,0),0)),OR('Tasks Filter'!$I$5="Both",AND('Tasks Filter'!$I$5="Yes",BB451="✓"),AND('Tasks Filter'!$I$5="No",BB451&lt;&gt;"✓")),OR('Tasks Filter'!$L$3="",AV451='Tasks Filter'!$L$3),OR('Tasks Filter'!$L$4="",AZ451='Tasks Filter'!$L$4),OR('Tasks Filter'!$L$5="",BC451='Tasks Filter'!$L$5),OR('Tasks Filter'!$O$3="",BD451='Tasks Filter'!$O$3),OR('Tasks Filter'!$O$4="Yes",BG451=0)),1,0))</f>
        <v/>
      </c>
      <c r="BJ451">
        <f>IF(BH451=0,"",IF('Tasks Filter'!$F$6="Descending",-1,1)*CHOOSE(MATCH('Tasks Filter'!$F$5,Lists!$G$2:$G$6,0),AW451,BF451,IFERROR(MATCH(AV451,Setup!$F$6:$F$15,0),99),IFERROR(MATCH(BC451,Setup!$H$6:$H$15,0),99),IFERROR(MATCH(AZ451,Setup!$J$6:$J$11,0),99))*1E+9+(AW451-40000)*10000+450)</f>
        <v/>
      </c>
      <c r="BK451">
        <f>IF(BI451=1,BJ451,"")</f>
        <v/>
      </c>
      <c r="BL451">
        <f>IF(AND(BH451=1,BG451=0,N(AW451)&lt;Setup!$D$7),(AW451-40000)*10000+450,"")</f>
        <v/>
      </c>
      <c r="BM451">
        <f>IF(AND(BH451=1,AZ451&lt;&gt;"Cancelled",N(AW451)&gt;=Dashboard!$AB$3,N(AW451)&lt;=Dashboard!$AB$3+6),(AW451-40000)*100000+BF451*10000+450,"")</f>
        <v/>
      </c>
      <c r="BN451">
        <f>IF(AND(BH451=1,AZ451&lt;&gt;"Cancelled"),BF451*10000+450,"")</f>
        <v/>
      </c>
    </row>
    <row r="452">
      <c r="AS452" t="inlineStr">
        <is>
          <t>R</t>
        </is>
      </c>
      <c r="AT452" t="n">
        <v>456</v>
      </c>
      <c r="AU452">
        <f>'Recurring Log'!C456&amp;""</f>
        <v/>
      </c>
      <c r="AV452">
        <f>'Recurring Log'!D456&amp;""</f>
        <v/>
      </c>
      <c r="AW452">
        <f>IF('Recurring Log'!E456="","",'Recurring Log'!E456)</f>
        <v/>
      </c>
      <c r="AX452">
        <f>IF('Recurring Log'!G456="","",'Recurring Log'!G456)</f>
        <v/>
      </c>
      <c r="AY452">
        <f>IF('Recurring Log'!H456="","",'Recurring Log'!H456)</f>
        <v/>
      </c>
      <c r="AZ452">
        <f>IF(AU452="","",IF('Recurring Log'!J456="","Not Started",'Recurring Log'!J456))</f>
        <v/>
      </c>
      <c r="BA452">
        <f>'Recurring Log'!L456&amp;""</f>
        <v/>
      </c>
      <c r="BB452">
        <f>'Recurring Log'!M456&amp;""</f>
        <v/>
      </c>
      <c r="BC452">
        <f>'Recurring Log'!N456&amp;""</f>
        <v/>
      </c>
      <c r="BD452">
        <f>'Recurring Log'!O456&amp;""</f>
        <v/>
      </c>
      <c r="BE452">
        <f>IF('Recurring Log'!K456="","",'Recurring Log'!K456)</f>
        <v/>
      </c>
      <c r="BF452">
        <f>IFERROR(MATCH(BA452,Setup!$L$6:$L$9,0),5)</f>
        <v/>
      </c>
      <c r="BG452">
        <f>IF(OR(AZ452="Done",AZ452="Cancelled"),1,0)</f>
        <v/>
      </c>
      <c r="BH452">
        <f>IF(AND(AU452&lt;&gt;"",ISNUMBER(AW452)),1,0)</f>
        <v/>
      </c>
      <c r="BI452">
        <f>IF(BH452=0,0,IF(AND(AW452&gt;='Tasks Filter'!$F$3,AW452&lt;='Tasks Filter'!$F$4,OR('Tasks Filter'!$I$3="",ISNUMBER(SEARCH('Tasks Filter'!$I$3,AU452))),OR('Tasks Filter'!$I$4="",BF452=IFERROR(MATCH('Tasks Filter'!$I$4,Setup!$L$6:$L$9,0),0)),OR('Tasks Filter'!$I$5="Both",AND('Tasks Filter'!$I$5="Yes",BB452="✓"),AND('Tasks Filter'!$I$5="No",BB452&lt;&gt;"✓")),OR('Tasks Filter'!$L$3="",AV452='Tasks Filter'!$L$3),OR('Tasks Filter'!$L$4="",AZ452='Tasks Filter'!$L$4),OR('Tasks Filter'!$L$5="",BC452='Tasks Filter'!$L$5),OR('Tasks Filter'!$O$3="",BD452='Tasks Filter'!$O$3),OR('Tasks Filter'!$O$4="Yes",BG452=0)),1,0))</f>
        <v/>
      </c>
      <c r="BJ452">
        <f>IF(BH452=0,"",IF('Tasks Filter'!$F$6="Descending",-1,1)*CHOOSE(MATCH('Tasks Filter'!$F$5,Lists!$G$2:$G$6,0),AW452,BF452,IFERROR(MATCH(AV452,Setup!$F$6:$F$15,0),99),IFERROR(MATCH(BC452,Setup!$H$6:$H$15,0),99),IFERROR(MATCH(AZ452,Setup!$J$6:$J$11,0),99))*1E+9+(AW452-40000)*10000+451)</f>
        <v/>
      </c>
      <c r="BK452">
        <f>IF(BI452=1,BJ452,"")</f>
        <v/>
      </c>
      <c r="BL452">
        <f>IF(AND(BH452=1,BG452=0,N(AW452)&lt;Setup!$D$7),(AW452-40000)*10000+451,"")</f>
        <v/>
      </c>
      <c r="BM452">
        <f>IF(AND(BH452=1,AZ452&lt;&gt;"Cancelled",N(AW452)&gt;=Dashboard!$AB$3,N(AW452)&lt;=Dashboard!$AB$3+6),(AW452-40000)*100000+BF452*10000+451,"")</f>
        <v/>
      </c>
      <c r="BN452">
        <f>IF(AND(BH452=1,AZ452&lt;&gt;"Cancelled"),BF452*10000+451,"")</f>
        <v/>
      </c>
    </row>
    <row r="453">
      <c r="AS453" t="inlineStr">
        <is>
          <t>R</t>
        </is>
      </c>
      <c r="AT453" t="n">
        <v>457</v>
      </c>
      <c r="AU453">
        <f>'Recurring Log'!C457&amp;""</f>
        <v/>
      </c>
      <c r="AV453">
        <f>'Recurring Log'!D457&amp;""</f>
        <v/>
      </c>
      <c r="AW453">
        <f>IF('Recurring Log'!E457="","",'Recurring Log'!E457)</f>
        <v/>
      </c>
      <c r="AX453">
        <f>IF('Recurring Log'!G457="","",'Recurring Log'!G457)</f>
        <v/>
      </c>
      <c r="AY453">
        <f>IF('Recurring Log'!H457="","",'Recurring Log'!H457)</f>
        <v/>
      </c>
      <c r="AZ453">
        <f>IF(AU453="","",IF('Recurring Log'!J457="","Not Started",'Recurring Log'!J457))</f>
        <v/>
      </c>
      <c r="BA453">
        <f>'Recurring Log'!L457&amp;""</f>
        <v/>
      </c>
      <c r="BB453">
        <f>'Recurring Log'!M457&amp;""</f>
        <v/>
      </c>
      <c r="BC453">
        <f>'Recurring Log'!N457&amp;""</f>
        <v/>
      </c>
      <c r="BD453">
        <f>'Recurring Log'!O457&amp;""</f>
        <v/>
      </c>
      <c r="BE453">
        <f>IF('Recurring Log'!K457="","",'Recurring Log'!K457)</f>
        <v/>
      </c>
      <c r="BF453">
        <f>IFERROR(MATCH(BA453,Setup!$L$6:$L$9,0),5)</f>
        <v/>
      </c>
      <c r="BG453">
        <f>IF(OR(AZ453="Done",AZ453="Cancelled"),1,0)</f>
        <v/>
      </c>
      <c r="BH453">
        <f>IF(AND(AU453&lt;&gt;"",ISNUMBER(AW453)),1,0)</f>
        <v/>
      </c>
      <c r="BI453">
        <f>IF(BH453=0,0,IF(AND(AW453&gt;='Tasks Filter'!$F$3,AW453&lt;='Tasks Filter'!$F$4,OR('Tasks Filter'!$I$3="",ISNUMBER(SEARCH('Tasks Filter'!$I$3,AU453))),OR('Tasks Filter'!$I$4="",BF453=IFERROR(MATCH('Tasks Filter'!$I$4,Setup!$L$6:$L$9,0),0)),OR('Tasks Filter'!$I$5="Both",AND('Tasks Filter'!$I$5="Yes",BB453="✓"),AND('Tasks Filter'!$I$5="No",BB453&lt;&gt;"✓")),OR('Tasks Filter'!$L$3="",AV453='Tasks Filter'!$L$3),OR('Tasks Filter'!$L$4="",AZ453='Tasks Filter'!$L$4),OR('Tasks Filter'!$L$5="",BC453='Tasks Filter'!$L$5),OR('Tasks Filter'!$O$3="",BD453='Tasks Filter'!$O$3),OR('Tasks Filter'!$O$4="Yes",BG453=0)),1,0))</f>
        <v/>
      </c>
      <c r="BJ453">
        <f>IF(BH453=0,"",IF('Tasks Filter'!$F$6="Descending",-1,1)*CHOOSE(MATCH('Tasks Filter'!$F$5,Lists!$G$2:$G$6,0),AW453,BF453,IFERROR(MATCH(AV453,Setup!$F$6:$F$15,0),99),IFERROR(MATCH(BC453,Setup!$H$6:$H$15,0),99),IFERROR(MATCH(AZ453,Setup!$J$6:$J$11,0),99))*1E+9+(AW453-40000)*10000+452)</f>
        <v/>
      </c>
      <c r="BK453">
        <f>IF(BI453=1,BJ453,"")</f>
        <v/>
      </c>
      <c r="BL453">
        <f>IF(AND(BH453=1,BG453=0,N(AW453)&lt;Setup!$D$7),(AW453-40000)*10000+452,"")</f>
        <v/>
      </c>
      <c r="BM453">
        <f>IF(AND(BH453=1,AZ453&lt;&gt;"Cancelled",N(AW453)&gt;=Dashboard!$AB$3,N(AW453)&lt;=Dashboard!$AB$3+6),(AW453-40000)*100000+BF453*10000+452,"")</f>
        <v/>
      </c>
      <c r="BN453">
        <f>IF(AND(BH453=1,AZ453&lt;&gt;"Cancelled"),BF453*10000+452,"")</f>
        <v/>
      </c>
    </row>
    <row r="454">
      <c r="AS454" t="inlineStr">
        <is>
          <t>R</t>
        </is>
      </c>
      <c r="AT454" t="n">
        <v>458</v>
      </c>
      <c r="AU454">
        <f>'Recurring Log'!C458&amp;""</f>
        <v/>
      </c>
      <c r="AV454">
        <f>'Recurring Log'!D458&amp;""</f>
        <v/>
      </c>
      <c r="AW454">
        <f>IF('Recurring Log'!E458="","",'Recurring Log'!E458)</f>
        <v/>
      </c>
      <c r="AX454">
        <f>IF('Recurring Log'!G458="","",'Recurring Log'!G458)</f>
        <v/>
      </c>
      <c r="AY454">
        <f>IF('Recurring Log'!H458="","",'Recurring Log'!H458)</f>
        <v/>
      </c>
      <c r="AZ454">
        <f>IF(AU454="","",IF('Recurring Log'!J458="","Not Started",'Recurring Log'!J458))</f>
        <v/>
      </c>
      <c r="BA454">
        <f>'Recurring Log'!L458&amp;""</f>
        <v/>
      </c>
      <c r="BB454">
        <f>'Recurring Log'!M458&amp;""</f>
        <v/>
      </c>
      <c r="BC454">
        <f>'Recurring Log'!N458&amp;""</f>
        <v/>
      </c>
      <c r="BD454">
        <f>'Recurring Log'!O458&amp;""</f>
        <v/>
      </c>
      <c r="BE454">
        <f>IF('Recurring Log'!K458="","",'Recurring Log'!K458)</f>
        <v/>
      </c>
      <c r="BF454">
        <f>IFERROR(MATCH(BA454,Setup!$L$6:$L$9,0),5)</f>
        <v/>
      </c>
      <c r="BG454">
        <f>IF(OR(AZ454="Done",AZ454="Cancelled"),1,0)</f>
        <v/>
      </c>
      <c r="BH454">
        <f>IF(AND(AU454&lt;&gt;"",ISNUMBER(AW454)),1,0)</f>
        <v/>
      </c>
      <c r="BI454">
        <f>IF(BH454=0,0,IF(AND(AW454&gt;='Tasks Filter'!$F$3,AW454&lt;='Tasks Filter'!$F$4,OR('Tasks Filter'!$I$3="",ISNUMBER(SEARCH('Tasks Filter'!$I$3,AU454))),OR('Tasks Filter'!$I$4="",BF454=IFERROR(MATCH('Tasks Filter'!$I$4,Setup!$L$6:$L$9,0),0)),OR('Tasks Filter'!$I$5="Both",AND('Tasks Filter'!$I$5="Yes",BB454="✓"),AND('Tasks Filter'!$I$5="No",BB454&lt;&gt;"✓")),OR('Tasks Filter'!$L$3="",AV454='Tasks Filter'!$L$3),OR('Tasks Filter'!$L$4="",AZ454='Tasks Filter'!$L$4),OR('Tasks Filter'!$L$5="",BC454='Tasks Filter'!$L$5),OR('Tasks Filter'!$O$3="",BD454='Tasks Filter'!$O$3),OR('Tasks Filter'!$O$4="Yes",BG454=0)),1,0))</f>
        <v/>
      </c>
      <c r="BJ454">
        <f>IF(BH454=0,"",IF('Tasks Filter'!$F$6="Descending",-1,1)*CHOOSE(MATCH('Tasks Filter'!$F$5,Lists!$G$2:$G$6,0),AW454,BF454,IFERROR(MATCH(AV454,Setup!$F$6:$F$15,0),99),IFERROR(MATCH(BC454,Setup!$H$6:$H$15,0),99),IFERROR(MATCH(AZ454,Setup!$J$6:$J$11,0),99))*1E+9+(AW454-40000)*10000+453)</f>
        <v/>
      </c>
      <c r="BK454">
        <f>IF(BI454=1,BJ454,"")</f>
        <v/>
      </c>
      <c r="BL454">
        <f>IF(AND(BH454=1,BG454=0,N(AW454)&lt;Setup!$D$7),(AW454-40000)*10000+453,"")</f>
        <v/>
      </c>
      <c r="BM454">
        <f>IF(AND(BH454=1,AZ454&lt;&gt;"Cancelled",N(AW454)&gt;=Dashboard!$AB$3,N(AW454)&lt;=Dashboard!$AB$3+6),(AW454-40000)*100000+BF454*10000+453,"")</f>
        <v/>
      </c>
      <c r="BN454">
        <f>IF(AND(BH454=1,AZ454&lt;&gt;"Cancelled"),BF454*10000+453,"")</f>
        <v/>
      </c>
    </row>
    <row r="455">
      <c r="AS455" t="inlineStr">
        <is>
          <t>R</t>
        </is>
      </c>
      <c r="AT455" t="n">
        <v>459</v>
      </c>
      <c r="AU455">
        <f>'Recurring Log'!C459&amp;""</f>
        <v/>
      </c>
      <c r="AV455">
        <f>'Recurring Log'!D459&amp;""</f>
        <v/>
      </c>
      <c r="AW455">
        <f>IF('Recurring Log'!E459="","",'Recurring Log'!E459)</f>
        <v/>
      </c>
      <c r="AX455">
        <f>IF('Recurring Log'!G459="","",'Recurring Log'!G459)</f>
        <v/>
      </c>
      <c r="AY455">
        <f>IF('Recurring Log'!H459="","",'Recurring Log'!H459)</f>
        <v/>
      </c>
      <c r="AZ455">
        <f>IF(AU455="","",IF('Recurring Log'!J459="","Not Started",'Recurring Log'!J459))</f>
        <v/>
      </c>
      <c r="BA455">
        <f>'Recurring Log'!L459&amp;""</f>
        <v/>
      </c>
      <c r="BB455">
        <f>'Recurring Log'!M459&amp;""</f>
        <v/>
      </c>
      <c r="BC455">
        <f>'Recurring Log'!N459&amp;""</f>
        <v/>
      </c>
      <c r="BD455">
        <f>'Recurring Log'!O459&amp;""</f>
        <v/>
      </c>
      <c r="BE455">
        <f>IF('Recurring Log'!K459="","",'Recurring Log'!K459)</f>
        <v/>
      </c>
      <c r="BF455">
        <f>IFERROR(MATCH(BA455,Setup!$L$6:$L$9,0),5)</f>
        <v/>
      </c>
      <c r="BG455">
        <f>IF(OR(AZ455="Done",AZ455="Cancelled"),1,0)</f>
        <v/>
      </c>
      <c r="BH455">
        <f>IF(AND(AU455&lt;&gt;"",ISNUMBER(AW455)),1,0)</f>
        <v/>
      </c>
      <c r="BI455">
        <f>IF(BH455=0,0,IF(AND(AW455&gt;='Tasks Filter'!$F$3,AW455&lt;='Tasks Filter'!$F$4,OR('Tasks Filter'!$I$3="",ISNUMBER(SEARCH('Tasks Filter'!$I$3,AU455))),OR('Tasks Filter'!$I$4="",BF455=IFERROR(MATCH('Tasks Filter'!$I$4,Setup!$L$6:$L$9,0),0)),OR('Tasks Filter'!$I$5="Both",AND('Tasks Filter'!$I$5="Yes",BB455="✓"),AND('Tasks Filter'!$I$5="No",BB455&lt;&gt;"✓")),OR('Tasks Filter'!$L$3="",AV455='Tasks Filter'!$L$3),OR('Tasks Filter'!$L$4="",AZ455='Tasks Filter'!$L$4),OR('Tasks Filter'!$L$5="",BC455='Tasks Filter'!$L$5),OR('Tasks Filter'!$O$3="",BD455='Tasks Filter'!$O$3),OR('Tasks Filter'!$O$4="Yes",BG455=0)),1,0))</f>
        <v/>
      </c>
      <c r="BJ455">
        <f>IF(BH455=0,"",IF('Tasks Filter'!$F$6="Descending",-1,1)*CHOOSE(MATCH('Tasks Filter'!$F$5,Lists!$G$2:$G$6,0),AW455,BF455,IFERROR(MATCH(AV455,Setup!$F$6:$F$15,0),99),IFERROR(MATCH(BC455,Setup!$H$6:$H$15,0),99),IFERROR(MATCH(AZ455,Setup!$J$6:$J$11,0),99))*1E+9+(AW455-40000)*10000+454)</f>
        <v/>
      </c>
      <c r="BK455">
        <f>IF(BI455=1,BJ455,"")</f>
        <v/>
      </c>
      <c r="BL455">
        <f>IF(AND(BH455=1,BG455=0,N(AW455)&lt;Setup!$D$7),(AW455-40000)*10000+454,"")</f>
        <v/>
      </c>
      <c r="BM455">
        <f>IF(AND(BH455=1,AZ455&lt;&gt;"Cancelled",N(AW455)&gt;=Dashboard!$AB$3,N(AW455)&lt;=Dashboard!$AB$3+6),(AW455-40000)*100000+BF455*10000+454,"")</f>
        <v/>
      </c>
      <c r="BN455">
        <f>IF(AND(BH455=1,AZ455&lt;&gt;"Cancelled"),BF455*10000+454,"")</f>
        <v/>
      </c>
    </row>
    <row r="456">
      <c r="AS456" t="inlineStr">
        <is>
          <t>R</t>
        </is>
      </c>
      <c r="AT456" t="n">
        <v>460</v>
      </c>
      <c r="AU456">
        <f>'Recurring Log'!C460&amp;""</f>
        <v/>
      </c>
      <c r="AV456">
        <f>'Recurring Log'!D460&amp;""</f>
        <v/>
      </c>
      <c r="AW456">
        <f>IF('Recurring Log'!E460="","",'Recurring Log'!E460)</f>
        <v/>
      </c>
      <c r="AX456">
        <f>IF('Recurring Log'!G460="","",'Recurring Log'!G460)</f>
        <v/>
      </c>
      <c r="AY456">
        <f>IF('Recurring Log'!H460="","",'Recurring Log'!H460)</f>
        <v/>
      </c>
      <c r="AZ456">
        <f>IF(AU456="","",IF('Recurring Log'!J460="","Not Started",'Recurring Log'!J460))</f>
        <v/>
      </c>
      <c r="BA456">
        <f>'Recurring Log'!L460&amp;""</f>
        <v/>
      </c>
      <c r="BB456">
        <f>'Recurring Log'!M460&amp;""</f>
        <v/>
      </c>
      <c r="BC456">
        <f>'Recurring Log'!N460&amp;""</f>
        <v/>
      </c>
      <c r="BD456">
        <f>'Recurring Log'!O460&amp;""</f>
        <v/>
      </c>
      <c r="BE456">
        <f>IF('Recurring Log'!K460="","",'Recurring Log'!K460)</f>
        <v/>
      </c>
      <c r="BF456">
        <f>IFERROR(MATCH(BA456,Setup!$L$6:$L$9,0),5)</f>
        <v/>
      </c>
      <c r="BG456">
        <f>IF(OR(AZ456="Done",AZ456="Cancelled"),1,0)</f>
        <v/>
      </c>
      <c r="BH456">
        <f>IF(AND(AU456&lt;&gt;"",ISNUMBER(AW456)),1,0)</f>
        <v/>
      </c>
      <c r="BI456">
        <f>IF(BH456=0,0,IF(AND(AW456&gt;='Tasks Filter'!$F$3,AW456&lt;='Tasks Filter'!$F$4,OR('Tasks Filter'!$I$3="",ISNUMBER(SEARCH('Tasks Filter'!$I$3,AU456))),OR('Tasks Filter'!$I$4="",BF456=IFERROR(MATCH('Tasks Filter'!$I$4,Setup!$L$6:$L$9,0),0)),OR('Tasks Filter'!$I$5="Both",AND('Tasks Filter'!$I$5="Yes",BB456="✓"),AND('Tasks Filter'!$I$5="No",BB456&lt;&gt;"✓")),OR('Tasks Filter'!$L$3="",AV456='Tasks Filter'!$L$3),OR('Tasks Filter'!$L$4="",AZ456='Tasks Filter'!$L$4),OR('Tasks Filter'!$L$5="",BC456='Tasks Filter'!$L$5),OR('Tasks Filter'!$O$3="",BD456='Tasks Filter'!$O$3),OR('Tasks Filter'!$O$4="Yes",BG456=0)),1,0))</f>
        <v/>
      </c>
      <c r="BJ456">
        <f>IF(BH456=0,"",IF('Tasks Filter'!$F$6="Descending",-1,1)*CHOOSE(MATCH('Tasks Filter'!$F$5,Lists!$G$2:$G$6,0),AW456,BF456,IFERROR(MATCH(AV456,Setup!$F$6:$F$15,0),99),IFERROR(MATCH(BC456,Setup!$H$6:$H$15,0),99),IFERROR(MATCH(AZ456,Setup!$J$6:$J$11,0),99))*1E+9+(AW456-40000)*10000+455)</f>
        <v/>
      </c>
      <c r="BK456">
        <f>IF(BI456=1,BJ456,"")</f>
        <v/>
      </c>
      <c r="BL456">
        <f>IF(AND(BH456=1,BG456=0,N(AW456)&lt;Setup!$D$7),(AW456-40000)*10000+455,"")</f>
        <v/>
      </c>
      <c r="BM456">
        <f>IF(AND(BH456=1,AZ456&lt;&gt;"Cancelled",N(AW456)&gt;=Dashboard!$AB$3,N(AW456)&lt;=Dashboard!$AB$3+6),(AW456-40000)*100000+BF456*10000+455,"")</f>
        <v/>
      </c>
      <c r="BN456">
        <f>IF(AND(BH456=1,AZ456&lt;&gt;"Cancelled"),BF456*10000+455,"")</f>
        <v/>
      </c>
    </row>
    <row r="457">
      <c r="AS457" t="inlineStr">
        <is>
          <t>R</t>
        </is>
      </c>
      <c r="AT457" t="n">
        <v>461</v>
      </c>
      <c r="AU457">
        <f>'Recurring Log'!C461&amp;""</f>
        <v/>
      </c>
      <c r="AV457">
        <f>'Recurring Log'!D461&amp;""</f>
        <v/>
      </c>
      <c r="AW457">
        <f>IF('Recurring Log'!E461="","",'Recurring Log'!E461)</f>
        <v/>
      </c>
      <c r="AX457">
        <f>IF('Recurring Log'!G461="","",'Recurring Log'!G461)</f>
        <v/>
      </c>
      <c r="AY457">
        <f>IF('Recurring Log'!H461="","",'Recurring Log'!H461)</f>
        <v/>
      </c>
      <c r="AZ457">
        <f>IF(AU457="","",IF('Recurring Log'!J461="","Not Started",'Recurring Log'!J461))</f>
        <v/>
      </c>
      <c r="BA457">
        <f>'Recurring Log'!L461&amp;""</f>
        <v/>
      </c>
      <c r="BB457">
        <f>'Recurring Log'!M461&amp;""</f>
        <v/>
      </c>
      <c r="BC457">
        <f>'Recurring Log'!N461&amp;""</f>
        <v/>
      </c>
      <c r="BD457">
        <f>'Recurring Log'!O461&amp;""</f>
        <v/>
      </c>
      <c r="BE457">
        <f>IF('Recurring Log'!K461="","",'Recurring Log'!K461)</f>
        <v/>
      </c>
      <c r="BF457">
        <f>IFERROR(MATCH(BA457,Setup!$L$6:$L$9,0),5)</f>
        <v/>
      </c>
      <c r="BG457">
        <f>IF(OR(AZ457="Done",AZ457="Cancelled"),1,0)</f>
        <v/>
      </c>
      <c r="BH457">
        <f>IF(AND(AU457&lt;&gt;"",ISNUMBER(AW457)),1,0)</f>
        <v/>
      </c>
      <c r="BI457">
        <f>IF(BH457=0,0,IF(AND(AW457&gt;='Tasks Filter'!$F$3,AW457&lt;='Tasks Filter'!$F$4,OR('Tasks Filter'!$I$3="",ISNUMBER(SEARCH('Tasks Filter'!$I$3,AU457))),OR('Tasks Filter'!$I$4="",BF457=IFERROR(MATCH('Tasks Filter'!$I$4,Setup!$L$6:$L$9,0),0)),OR('Tasks Filter'!$I$5="Both",AND('Tasks Filter'!$I$5="Yes",BB457="✓"),AND('Tasks Filter'!$I$5="No",BB457&lt;&gt;"✓")),OR('Tasks Filter'!$L$3="",AV457='Tasks Filter'!$L$3),OR('Tasks Filter'!$L$4="",AZ457='Tasks Filter'!$L$4),OR('Tasks Filter'!$L$5="",BC457='Tasks Filter'!$L$5),OR('Tasks Filter'!$O$3="",BD457='Tasks Filter'!$O$3),OR('Tasks Filter'!$O$4="Yes",BG457=0)),1,0))</f>
        <v/>
      </c>
      <c r="BJ457">
        <f>IF(BH457=0,"",IF('Tasks Filter'!$F$6="Descending",-1,1)*CHOOSE(MATCH('Tasks Filter'!$F$5,Lists!$G$2:$G$6,0),AW457,BF457,IFERROR(MATCH(AV457,Setup!$F$6:$F$15,0),99),IFERROR(MATCH(BC457,Setup!$H$6:$H$15,0),99),IFERROR(MATCH(AZ457,Setup!$J$6:$J$11,0),99))*1E+9+(AW457-40000)*10000+456)</f>
        <v/>
      </c>
      <c r="BK457">
        <f>IF(BI457=1,BJ457,"")</f>
        <v/>
      </c>
      <c r="BL457">
        <f>IF(AND(BH457=1,BG457=0,N(AW457)&lt;Setup!$D$7),(AW457-40000)*10000+456,"")</f>
        <v/>
      </c>
      <c r="BM457">
        <f>IF(AND(BH457=1,AZ457&lt;&gt;"Cancelled",N(AW457)&gt;=Dashboard!$AB$3,N(AW457)&lt;=Dashboard!$AB$3+6),(AW457-40000)*100000+BF457*10000+456,"")</f>
        <v/>
      </c>
      <c r="BN457">
        <f>IF(AND(BH457=1,AZ457&lt;&gt;"Cancelled"),BF457*10000+456,"")</f>
        <v/>
      </c>
    </row>
    <row r="458">
      <c r="AS458" t="inlineStr">
        <is>
          <t>R</t>
        </is>
      </c>
      <c r="AT458" t="n">
        <v>462</v>
      </c>
      <c r="AU458">
        <f>'Recurring Log'!C462&amp;""</f>
        <v/>
      </c>
      <c r="AV458">
        <f>'Recurring Log'!D462&amp;""</f>
        <v/>
      </c>
      <c r="AW458">
        <f>IF('Recurring Log'!E462="","",'Recurring Log'!E462)</f>
        <v/>
      </c>
      <c r="AX458">
        <f>IF('Recurring Log'!G462="","",'Recurring Log'!G462)</f>
        <v/>
      </c>
      <c r="AY458">
        <f>IF('Recurring Log'!H462="","",'Recurring Log'!H462)</f>
        <v/>
      </c>
      <c r="AZ458">
        <f>IF(AU458="","",IF('Recurring Log'!J462="","Not Started",'Recurring Log'!J462))</f>
        <v/>
      </c>
      <c r="BA458">
        <f>'Recurring Log'!L462&amp;""</f>
        <v/>
      </c>
      <c r="BB458">
        <f>'Recurring Log'!M462&amp;""</f>
        <v/>
      </c>
      <c r="BC458">
        <f>'Recurring Log'!N462&amp;""</f>
        <v/>
      </c>
      <c r="BD458">
        <f>'Recurring Log'!O462&amp;""</f>
        <v/>
      </c>
      <c r="BE458">
        <f>IF('Recurring Log'!K462="","",'Recurring Log'!K462)</f>
        <v/>
      </c>
      <c r="BF458">
        <f>IFERROR(MATCH(BA458,Setup!$L$6:$L$9,0),5)</f>
        <v/>
      </c>
      <c r="BG458">
        <f>IF(OR(AZ458="Done",AZ458="Cancelled"),1,0)</f>
        <v/>
      </c>
      <c r="BH458">
        <f>IF(AND(AU458&lt;&gt;"",ISNUMBER(AW458)),1,0)</f>
        <v/>
      </c>
      <c r="BI458">
        <f>IF(BH458=0,0,IF(AND(AW458&gt;='Tasks Filter'!$F$3,AW458&lt;='Tasks Filter'!$F$4,OR('Tasks Filter'!$I$3="",ISNUMBER(SEARCH('Tasks Filter'!$I$3,AU458))),OR('Tasks Filter'!$I$4="",BF458=IFERROR(MATCH('Tasks Filter'!$I$4,Setup!$L$6:$L$9,0),0)),OR('Tasks Filter'!$I$5="Both",AND('Tasks Filter'!$I$5="Yes",BB458="✓"),AND('Tasks Filter'!$I$5="No",BB458&lt;&gt;"✓")),OR('Tasks Filter'!$L$3="",AV458='Tasks Filter'!$L$3),OR('Tasks Filter'!$L$4="",AZ458='Tasks Filter'!$L$4),OR('Tasks Filter'!$L$5="",BC458='Tasks Filter'!$L$5),OR('Tasks Filter'!$O$3="",BD458='Tasks Filter'!$O$3),OR('Tasks Filter'!$O$4="Yes",BG458=0)),1,0))</f>
        <v/>
      </c>
      <c r="BJ458">
        <f>IF(BH458=0,"",IF('Tasks Filter'!$F$6="Descending",-1,1)*CHOOSE(MATCH('Tasks Filter'!$F$5,Lists!$G$2:$G$6,0),AW458,BF458,IFERROR(MATCH(AV458,Setup!$F$6:$F$15,0),99),IFERROR(MATCH(BC458,Setup!$H$6:$H$15,0),99),IFERROR(MATCH(AZ458,Setup!$J$6:$J$11,0),99))*1E+9+(AW458-40000)*10000+457)</f>
        <v/>
      </c>
      <c r="BK458">
        <f>IF(BI458=1,BJ458,"")</f>
        <v/>
      </c>
      <c r="BL458">
        <f>IF(AND(BH458=1,BG458=0,N(AW458)&lt;Setup!$D$7),(AW458-40000)*10000+457,"")</f>
        <v/>
      </c>
      <c r="BM458">
        <f>IF(AND(BH458=1,AZ458&lt;&gt;"Cancelled",N(AW458)&gt;=Dashboard!$AB$3,N(AW458)&lt;=Dashboard!$AB$3+6),(AW458-40000)*100000+BF458*10000+457,"")</f>
        <v/>
      </c>
      <c r="BN458">
        <f>IF(AND(BH458=1,AZ458&lt;&gt;"Cancelled"),BF458*10000+457,"")</f>
        <v/>
      </c>
    </row>
    <row r="459">
      <c r="AS459" t="inlineStr">
        <is>
          <t>R</t>
        </is>
      </c>
      <c r="AT459" t="n">
        <v>463</v>
      </c>
      <c r="AU459">
        <f>'Recurring Log'!C463&amp;""</f>
        <v/>
      </c>
      <c r="AV459">
        <f>'Recurring Log'!D463&amp;""</f>
        <v/>
      </c>
      <c r="AW459">
        <f>IF('Recurring Log'!E463="","",'Recurring Log'!E463)</f>
        <v/>
      </c>
      <c r="AX459">
        <f>IF('Recurring Log'!G463="","",'Recurring Log'!G463)</f>
        <v/>
      </c>
      <c r="AY459">
        <f>IF('Recurring Log'!H463="","",'Recurring Log'!H463)</f>
        <v/>
      </c>
      <c r="AZ459">
        <f>IF(AU459="","",IF('Recurring Log'!J463="","Not Started",'Recurring Log'!J463))</f>
        <v/>
      </c>
      <c r="BA459">
        <f>'Recurring Log'!L463&amp;""</f>
        <v/>
      </c>
      <c r="BB459">
        <f>'Recurring Log'!M463&amp;""</f>
        <v/>
      </c>
      <c r="BC459">
        <f>'Recurring Log'!N463&amp;""</f>
        <v/>
      </c>
      <c r="BD459">
        <f>'Recurring Log'!O463&amp;""</f>
        <v/>
      </c>
      <c r="BE459">
        <f>IF('Recurring Log'!K463="","",'Recurring Log'!K463)</f>
        <v/>
      </c>
      <c r="BF459">
        <f>IFERROR(MATCH(BA459,Setup!$L$6:$L$9,0),5)</f>
        <v/>
      </c>
      <c r="BG459">
        <f>IF(OR(AZ459="Done",AZ459="Cancelled"),1,0)</f>
        <v/>
      </c>
      <c r="BH459">
        <f>IF(AND(AU459&lt;&gt;"",ISNUMBER(AW459)),1,0)</f>
        <v/>
      </c>
      <c r="BI459">
        <f>IF(BH459=0,0,IF(AND(AW459&gt;='Tasks Filter'!$F$3,AW459&lt;='Tasks Filter'!$F$4,OR('Tasks Filter'!$I$3="",ISNUMBER(SEARCH('Tasks Filter'!$I$3,AU459))),OR('Tasks Filter'!$I$4="",BF459=IFERROR(MATCH('Tasks Filter'!$I$4,Setup!$L$6:$L$9,0),0)),OR('Tasks Filter'!$I$5="Both",AND('Tasks Filter'!$I$5="Yes",BB459="✓"),AND('Tasks Filter'!$I$5="No",BB459&lt;&gt;"✓")),OR('Tasks Filter'!$L$3="",AV459='Tasks Filter'!$L$3),OR('Tasks Filter'!$L$4="",AZ459='Tasks Filter'!$L$4),OR('Tasks Filter'!$L$5="",BC459='Tasks Filter'!$L$5),OR('Tasks Filter'!$O$3="",BD459='Tasks Filter'!$O$3),OR('Tasks Filter'!$O$4="Yes",BG459=0)),1,0))</f>
        <v/>
      </c>
      <c r="BJ459">
        <f>IF(BH459=0,"",IF('Tasks Filter'!$F$6="Descending",-1,1)*CHOOSE(MATCH('Tasks Filter'!$F$5,Lists!$G$2:$G$6,0),AW459,BF459,IFERROR(MATCH(AV459,Setup!$F$6:$F$15,0),99),IFERROR(MATCH(BC459,Setup!$H$6:$H$15,0),99),IFERROR(MATCH(AZ459,Setup!$J$6:$J$11,0),99))*1E+9+(AW459-40000)*10000+458)</f>
        <v/>
      </c>
      <c r="BK459">
        <f>IF(BI459=1,BJ459,"")</f>
        <v/>
      </c>
      <c r="BL459">
        <f>IF(AND(BH459=1,BG459=0,N(AW459)&lt;Setup!$D$7),(AW459-40000)*10000+458,"")</f>
        <v/>
      </c>
      <c r="BM459">
        <f>IF(AND(BH459=1,AZ459&lt;&gt;"Cancelled",N(AW459)&gt;=Dashboard!$AB$3,N(AW459)&lt;=Dashboard!$AB$3+6),(AW459-40000)*100000+BF459*10000+458,"")</f>
        <v/>
      </c>
      <c r="BN459">
        <f>IF(AND(BH459=1,AZ459&lt;&gt;"Cancelled"),BF459*10000+458,"")</f>
        <v/>
      </c>
    </row>
    <row r="460">
      <c r="AS460" t="inlineStr">
        <is>
          <t>R</t>
        </is>
      </c>
      <c r="AT460" t="n">
        <v>464</v>
      </c>
      <c r="AU460">
        <f>'Recurring Log'!C464&amp;""</f>
        <v/>
      </c>
      <c r="AV460">
        <f>'Recurring Log'!D464&amp;""</f>
        <v/>
      </c>
      <c r="AW460">
        <f>IF('Recurring Log'!E464="","",'Recurring Log'!E464)</f>
        <v/>
      </c>
      <c r="AX460">
        <f>IF('Recurring Log'!G464="","",'Recurring Log'!G464)</f>
        <v/>
      </c>
      <c r="AY460">
        <f>IF('Recurring Log'!H464="","",'Recurring Log'!H464)</f>
        <v/>
      </c>
      <c r="AZ460">
        <f>IF(AU460="","",IF('Recurring Log'!J464="","Not Started",'Recurring Log'!J464))</f>
        <v/>
      </c>
      <c r="BA460">
        <f>'Recurring Log'!L464&amp;""</f>
        <v/>
      </c>
      <c r="BB460">
        <f>'Recurring Log'!M464&amp;""</f>
        <v/>
      </c>
      <c r="BC460">
        <f>'Recurring Log'!N464&amp;""</f>
        <v/>
      </c>
      <c r="BD460">
        <f>'Recurring Log'!O464&amp;""</f>
        <v/>
      </c>
      <c r="BE460">
        <f>IF('Recurring Log'!K464="","",'Recurring Log'!K464)</f>
        <v/>
      </c>
      <c r="BF460">
        <f>IFERROR(MATCH(BA460,Setup!$L$6:$L$9,0),5)</f>
        <v/>
      </c>
      <c r="BG460">
        <f>IF(OR(AZ460="Done",AZ460="Cancelled"),1,0)</f>
        <v/>
      </c>
      <c r="BH460">
        <f>IF(AND(AU460&lt;&gt;"",ISNUMBER(AW460)),1,0)</f>
        <v/>
      </c>
      <c r="BI460">
        <f>IF(BH460=0,0,IF(AND(AW460&gt;='Tasks Filter'!$F$3,AW460&lt;='Tasks Filter'!$F$4,OR('Tasks Filter'!$I$3="",ISNUMBER(SEARCH('Tasks Filter'!$I$3,AU460))),OR('Tasks Filter'!$I$4="",BF460=IFERROR(MATCH('Tasks Filter'!$I$4,Setup!$L$6:$L$9,0),0)),OR('Tasks Filter'!$I$5="Both",AND('Tasks Filter'!$I$5="Yes",BB460="✓"),AND('Tasks Filter'!$I$5="No",BB460&lt;&gt;"✓")),OR('Tasks Filter'!$L$3="",AV460='Tasks Filter'!$L$3),OR('Tasks Filter'!$L$4="",AZ460='Tasks Filter'!$L$4),OR('Tasks Filter'!$L$5="",BC460='Tasks Filter'!$L$5),OR('Tasks Filter'!$O$3="",BD460='Tasks Filter'!$O$3),OR('Tasks Filter'!$O$4="Yes",BG460=0)),1,0))</f>
        <v/>
      </c>
      <c r="BJ460">
        <f>IF(BH460=0,"",IF('Tasks Filter'!$F$6="Descending",-1,1)*CHOOSE(MATCH('Tasks Filter'!$F$5,Lists!$G$2:$G$6,0),AW460,BF460,IFERROR(MATCH(AV460,Setup!$F$6:$F$15,0),99),IFERROR(MATCH(BC460,Setup!$H$6:$H$15,0),99),IFERROR(MATCH(AZ460,Setup!$J$6:$J$11,0),99))*1E+9+(AW460-40000)*10000+459)</f>
        <v/>
      </c>
      <c r="BK460">
        <f>IF(BI460=1,BJ460,"")</f>
        <v/>
      </c>
      <c r="BL460">
        <f>IF(AND(BH460=1,BG460=0,N(AW460)&lt;Setup!$D$7),(AW460-40000)*10000+459,"")</f>
        <v/>
      </c>
      <c r="BM460">
        <f>IF(AND(BH460=1,AZ460&lt;&gt;"Cancelled",N(AW460)&gt;=Dashboard!$AB$3,N(AW460)&lt;=Dashboard!$AB$3+6),(AW460-40000)*100000+BF460*10000+459,"")</f>
        <v/>
      </c>
      <c r="BN460">
        <f>IF(AND(BH460=1,AZ460&lt;&gt;"Cancelled"),BF460*10000+459,"")</f>
        <v/>
      </c>
    </row>
    <row r="461">
      <c r="AS461" t="inlineStr">
        <is>
          <t>R</t>
        </is>
      </c>
      <c r="AT461" t="n">
        <v>465</v>
      </c>
      <c r="AU461">
        <f>'Recurring Log'!C465&amp;""</f>
        <v/>
      </c>
      <c r="AV461">
        <f>'Recurring Log'!D465&amp;""</f>
        <v/>
      </c>
      <c r="AW461">
        <f>IF('Recurring Log'!E465="","",'Recurring Log'!E465)</f>
        <v/>
      </c>
      <c r="AX461">
        <f>IF('Recurring Log'!G465="","",'Recurring Log'!G465)</f>
        <v/>
      </c>
      <c r="AY461">
        <f>IF('Recurring Log'!H465="","",'Recurring Log'!H465)</f>
        <v/>
      </c>
      <c r="AZ461">
        <f>IF(AU461="","",IF('Recurring Log'!J465="","Not Started",'Recurring Log'!J465))</f>
        <v/>
      </c>
      <c r="BA461">
        <f>'Recurring Log'!L465&amp;""</f>
        <v/>
      </c>
      <c r="BB461">
        <f>'Recurring Log'!M465&amp;""</f>
        <v/>
      </c>
      <c r="BC461">
        <f>'Recurring Log'!N465&amp;""</f>
        <v/>
      </c>
      <c r="BD461">
        <f>'Recurring Log'!O465&amp;""</f>
        <v/>
      </c>
      <c r="BE461">
        <f>IF('Recurring Log'!K465="","",'Recurring Log'!K465)</f>
        <v/>
      </c>
      <c r="BF461">
        <f>IFERROR(MATCH(BA461,Setup!$L$6:$L$9,0),5)</f>
        <v/>
      </c>
      <c r="BG461">
        <f>IF(OR(AZ461="Done",AZ461="Cancelled"),1,0)</f>
        <v/>
      </c>
      <c r="BH461">
        <f>IF(AND(AU461&lt;&gt;"",ISNUMBER(AW461)),1,0)</f>
        <v/>
      </c>
      <c r="BI461">
        <f>IF(BH461=0,0,IF(AND(AW461&gt;='Tasks Filter'!$F$3,AW461&lt;='Tasks Filter'!$F$4,OR('Tasks Filter'!$I$3="",ISNUMBER(SEARCH('Tasks Filter'!$I$3,AU461))),OR('Tasks Filter'!$I$4="",BF461=IFERROR(MATCH('Tasks Filter'!$I$4,Setup!$L$6:$L$9,0),0)),OR('Tasks Filter'!$I$5="Both",AND('Tasks Filter'!$I$5="Yes",BB461="✓"),AND('Tasks Filter'!$I$5="No",BB461&lt;&gt;"✓")),OR('Tasks Filter'!$L$3="",AV461='Tasks Filter'!$L$3),OR('Tasks Filter'!$L$4="",AZ461='Tasks Filter'!$L$4),OR('Tasks Filter'!$L$5="",BC461='Tasks Filter'!$L$5),OR('Tasks Filter'!$O$3="",BD461='Tasks Filter'!$O$3),OR('Tasks Filter'!$O$4="Yes",BG461=0)),1,0))</f>
        <v/>
      </c>
      <c r="BJ461">
        <f>IF(BH461=0,"",IF('Tasks Filter'!$F$6="Descending",-1,1)*CHOOSE(MATCH('Tasks Filter'!$F$5,Lists!$G$2:$G$6,0),AW461,BF461,IFERROR(MATCH(AV461,Setup!$F$6:$F$15,0),99),IFERROR(MATCH(BC461,Setup!$H$6:$H$15,0),99),IFERROR(MATCH(AZ461,Setup!$J$6:$J$11,0),99))*1E+9+(AW461-40000)*10000+460)</f>
        <v/>
      </c>
      <c r="BK461">
        <f>IF(BI461=1,BJ461,"")</f>
        <v/>
      </c>
      <c r="BL461">
        <f>IF(AND(BH461=1,BG461=0,N(AW461)&lt;Setup!$D$7),(AW461-40000)*10000+460,"")</f>
        <v/>
      </c>
      <c r="BM461">
        <f>IF(AND(BH461=1,AZ461&lt;&gt;"Cancelled",N(AW461)&gt;=Dashboard!$AB$3,N(AW461)&lt;=Dashboard!$AB$3+6),(AW461-40000)*100000+BF461*10000+460,"")</f>
        <v/>
      </c>
      <c r="BN461">
        <f>IF(AND(BH461=1,AZ461&lt;&gt;"Cancelled"),BF461*10000+460,"")</f>
        <v/>
      </c>
    </row>
    <row r="462">
      <c r="AS462" t="inlineStr">
        <is>
          <t>R</t>
        </is>
      </c>
      <c r="AT462" t="n">
        <v>466</v>
      </c>
      <c r="AU462">
        <f>'Recurring Log'!C466&amp;""</f>
        <v/>
      </c>
      <c r="AV462">
        <f>'Recurring Log'!D466&amp;""</f>
        <v/>
      </c>
      <c r="AW462">
        <f>IF('Recurring Log'!E466="","",'Recurring Log'!E466)</f>
        <v/>
      </c>
      <c r="AX462">
        <f>IF('Recurring Log'!G466="","",'Recurring Log'!G466)</f>
        <v/>
      </c>
      <c r="AY462">
        <f>IF('Recurring Log'!H466="","",'Recurring Log'!H466)</f>
        <v/>
      </c>
      <c r="AZ462">
        <f>IF(AU462="","",IF('Recurring Log'!J466="","Not Started",'Recurring Log'!J466))</f>
        <v/>
      </c>
      <c r="BA462">
        <f>'Recurring Log'!L466&amp;""</f>
        <v/>
      </c>
      <c r="BB462">
        <f>'Recurring Log'!M466&amp;""</f>
        <v/>
      </c>
      <c r="BC462">
        <f>'Recurring Log'!N466&amp;""</f>
        <v/>
      </c>
      <c r="BD462">
        <f>'Recurring Log'!O466&amp;""</f>
        <v/>
      </c>
      <c r="BE462">
        <f>IF('Recurring Log'!K466="","",'Recurring Log'!K466)</f>
        <v/>
      </c>
      <c r="BF462">
        <f>IFERROR(MATCH(BA462,Setup!$L$6:$L$9,0),5)</f>
        <v/>
      </c>
      <c r="BG462">
        <f>IF(OR(AZ462="Done",AZ462="Cancelled"),1,0)</f>
        <v/>
      </c>
      <c r="BH462">
        <f>IF(AND(AU462&lt;&gt;"",ISNUMBER(AW462)),1,0)</f>
        <v/>
      </c>
      <c r="BI462">
        <f>IF(BH462=0,0,IF(AND(AW462&gt;='Tasks Filter'!$F$3,AW462&lt;='Tasks Filter'!$F$4,OR('Tasks Filter'!$I$3="",ISNUMBER(SEARCH('Tasks Filter'!$I$3,AU462))),OR('Tasks Filter'!$I$4="",BF462=IFERROR(MATCH('Tasks Filter'!$I$4,Setup!$L$6:$L$9,0),0)),OR('Tasks Filter'!$I$5="Both",AND('Tasks Filter'!$I$5="Yes",BB462="✓"),AND('Tasks Filter'!$I$5="No",BB462&lt;&gt;"✓")),OR('Tasks Filter'!$L$3="",AV462='Tasks Filter'!$L$3),OR('Tasks Filter'!$L$4="",AZ462='Tasks Filter'!$L$4),OR('Tasks Filter'!$L$5="",BC462='Tasks Filter'!$L$5),OR('Tasks Filter'!$O$3="",BD462='Tasks Filter'!$O$3),OR('Tasks Filter'!$O$4="Yes",BG462=0)),1,0))</f>
        <v/>
      </c>
      <c r="BJ462">
        <f>IF(BH462=0,"",IF('Tasks Filter'!$F$6="Descending",-1,1)*CHOOSE(MATCH('Tasks Filter'!$F$5,Lists!$G$2:$G$6,0),AW462,BF462,IFERROR(MATCH(AV462,Setup!$F$6:$F$15,0),99),IFERROR(MATCH(BC462,Setup!$H$6:$H$15,0),99),IFERROR(MATCH(AZ462,Setup!$J$6:$J$11,0),99))*1E+9+(AW462-40000)*10000+461)</f>
        <v/>
      </c>
      <c r="BK462">
        <f>IF(BI462=1,BJ462,"")</f>
        <v/>
      </c>
      <c r="BL462">
        <f>IF(AND(BH462=1,BG462=0,N(AW462)&lt;Setup!$D$7),(AW462-40000)*10000+461,"")</f>
        <v/>
      </c>
      <c r="BM462">
        <f>IF(AND(BH462=1,AZ462&lt;&gt;"Cancelled",N(AW462)&gt;=Dashboard!$AB$3,N(AW462)&lt;=Dashboard!$AB$3+6),(AW462-40000)*100000+BF462*10000+461,"")</f>
        <v/>
      </c>
      <c r="BN462">
        <f>IF(AND(BH462=1,AZ462&lt;&gt;"Cancelled"),BF462*10000+461,"")</f>
        <v/>
      </c>
    </row>
    <row r="463">
      <c r="AS463" t="inlineStr">
        <is>
          <t>R</t>
        </is>
      </c>
      <c r="AT463" t="n">
        <v>467</v>
      </c>
      <c r="AU463">
        <f>'Recurring Log'!C467&amp;""</f>
        <v/>
      </c>
      <c r="AV463">
        <f>'Recurring Log'!D467&amp;""</f>
        <v/>
      </c>
      <c r="AW463">
        <f>IF('Recurring Log'!E467="","",'Recurring Log'!E467)</f>
        <v/>
      </c>
      <c r="AX463">
        <f>IF('Recurring Log'!G467="","",'Recurring Log'!G467)</f>
        <v/>
      </c>
      <c r="AY463">
        <f>IF('Recurring Log'!H467="","",'Recurring Log'!H467)</f>
        <v/>
      </c>
      <c r="AZ463">
        <f>IF(AU463="","",IF('Recurring Log'!J467="","Not Started",'Recurring Log'!J467))</f>
        <v/>
      </c>
      <c r="BA463">
        <f>'Recurring Log'!L467&amp;""</f>
        <v/>
      </c>
      <c r="BB463">
        <f>'Recurring Log'!M467&amp;""</f>
        <v/>
      </c>
      <c r="BC463">
        <f>'Recurring Log'!N467&amp;""</f>
        <v/>
      </c>
      <c r="BD463">
        <f>'Recurring Log'!O467&amp;""</f>
        <v/>
      </c>
      <c r="BE463">
        <f>IF('Recurring Log'!K467="","",'Recurring Log'!K467)</f>
        <v/>
      </c>
      <c r="BF463">
        <f>IFERROR(MATCH(BA463,Setup!$L$6:$L$9,0),5)</f>
        <v/>
      </c>
      <c r="BG463">
        <f>IF(OR(AZ463="Done",AZ463="Cancelled"),1,0)</f>
        <v/>
      </c>
      <c r="BH463">
        <f>IF(AND(AU463&lt;&gt;"",ISNUMBER(AW463)),1,0)</f>
        <v/>
      </c>
      <c r="BI463">
        <f>IF(BH463=0,0,IF(AND(AW463&gt;='Tasks Filter'!$F$3,AW463&lt;='Tasks Filter'!$F$4,OR('Tasks Filter'!$I$3="",ISNUMBER(SEARCH('Tasks Filter'!$I$3,AU463))),OR('Tasks Filter'!$I$4="",BF463=IFERROR(MATCH('Tasks Filter'!$I$4,Setup!$L$6:$L$9,0),0)),OR('Tasks Filter'!$I$5="Both",AND('Tasks Filter'!$I$5="Yes",BB463="✓"),AND('Tasks Filter'!$I$5="No",BB463&lt;&gt;"✓")),OR('Tasks Filter'!$L$3="",AV463='Tasks Filter'!$L$3),OR('Tasks Filter'!$L$4="",AZ463='Tasks Filter'!$L$4),OR('Tasks Filter'!$L$5="",BC463='Tasks Filter'!$L$5),OR('Tasks Filter'!$O$3="",BD463='Tasks Filter'!$O$3),OR('Tasks Filter'!$O$4="Yes",BG463=0)),1,0))</f>
        <v/>
      </c>
      <c r="BJ463">
        <f>IF(BH463=0,"",IF('Tasks Filter'!$F$6="Descending",-1,1)*CHOOSE(MATCH('Tasks Filter'!$F$5,Lists!$G$2:$G$6,0),AW463,BF463,IFERROR(MATCH(AV463,Setup!$F$6:$F$15,0),99),IFERROR(MATCH(BC463,Setup!$H$6:$H$15,0),99),IFERROR(MATCH(AZ463,Setup!$J$6:$J$11,0),99))*1E+9+(AW463-40000)*10000+462)</f>
        <v/>
      </c>
      <c r="BK463">
        <f>IF(BI463=1,BJ463,"")</f>
        <v/>
      </c>
      <c r="BL463">
        <f>IF(AND(BH463=1,BG463=0,N(AW463)&lt;Setup!$D$7),(AW463-40000)*10000+462,"")</f>
        <v/>
      </c>
      <c r="BM463">
        <f>IF(AND(BH463=1,AZ463&lt;&gt;"Cancelled",N(AW463)&gt;=Dashboard!$AB$3,N(AW463)&lt;=Dashboard!$AB$3+6),(AW463-40000)*100000+BF463*10000+462,"")</f>
        <v/>
      </c>
      <c r="BN463">
        <f>IF(AND(BH463=1,AZ463&lt;&gt;"Cancelled"),BF463*10000+462,"")</f>
        <v/>
      </c>
    </row>
    <row r="464">
      <c r="AS464" t="inlineStr">
        <is>
          <t>R</t>
        </is>
      </c>
      <c r="AT464" t="n">
        <v>468</v>
      </c>
      <c r="AU464">
        <f>'Recurring Log'!C468&amp;""</f>
        <v/>
      </c>
      <c r="AV464">
        <f>'Recurring Log'!D468&amp;""</f>
        <v/>
      </c>
      <c r="AW464">
        <f>IF('Recurring Log'!E468="","",'Recurring Log'!E468)</f>
        <v/>
      </c>
      <c r="AX464">
        <f>IF('Recurring Log'!G468="","",'Recurring Log'!G468)</f>
        <v/>
      </c>
      <c r="AY464">
        <f>IF('Recurring Log'!H468="","",'Recurring Log'!H468)</f>
        <v/>
      </c>
      <c r="AZ464">
        <f>IF(AU464="","",IF('Recurring Log'!J468="","Not Started",'Recurring Log'!J468))</f>
        <v/>
      </c>
      <c r="BA464">
        <f>'Recurring Log'!L468&amp;""</f>
        <v/>
      </c>
      <c r="BB464">
        <f>'Recurring Log'!M468&amp;""</f>
        <v/>
      </c>
      <c r="BC464">
        <f>'Recurring Log'!N468&amp;""</f>
        <v/>
      </c>
      <c r="BD464">
        <f>'Recurring Log'!O468&amp;""</f>
        <v/>
      </c>
      <c r="BE464">
        <f>IF('Recurring Log'!K468="","",'Recurring Log'!K468)</f>
        <v/>
      </c>
      <c r="BF464">
        <f>IFERROR(MATCH(BA464,Setup!$L$6:$L$9,0),5)</f>
        <v/>
      </c>
      <c r="BG464">
        <f>IF(OR(AZ464="Done",AZ464="Cancelled"),1,0)</f>
        <v/>
      </c>
      <c r="BH464">
        <f>IF(AND(AU464&lt;&gt;"",ISNUMBER(AW464)),1,0)</f>
        <v/>
      </c>
      <c r="BI464">
        <f>IF(BH464=0,0,IF(AND(AW464&gt;='Tasks Filter'!$F$3,AW464&lt;='Tasks Filter'!$F$4,OR('Tasks Filter'!$I$3="",ISNUMBER(SEARCH('Tasks Filter'!$I$3,AU464))),OR('Tasks Filter'!$I$4="",BF464=IFERROR(MATCH('Tasks Filter'!$I$4,Setup!$L$6:$L$9,0),0)),OR('Tasks Filter'!$I$5="Both",AND('Tasks Filter'!$I$5="Yes",BB464="✓"),AND('Tasks Filter'!$I$5="No",BB464&lt;&gt;"✓")),OR('Tasks Filter'!$L$3="",AV464='Tasks Filter'!$L$3),OR('Tasks Filter'!$L$4="",AZ464='Tasks Filter'!$L$4),OR('Tasks Filter'!$L$5="",BC464='Tasks Filter'!$L$5),OR('Tasks Filter'!$O$3="",BD464='Tasks Filter'!$O$3),OR('Tasks Filter'!$O$4="Yes",BG464=0)),1,0))</f>
        <v/>
      </c>
      <c r="BJ464">
        <f>IF(BH464=0,"",IF('Tasks Filter'!$F$6="Descending",-1,1)*CHOOSE(MATCH('Tasks Filter'!$F$5,Lists!$G$2:$G$6,0),AW464,BF464,IFERROR(MATCH(AV464,Setup!$F$6:$F$15,0),99),IFERROR(MATCH(BC464,Setup!$H$6:$H$15,0),99),IFERROR(MATCH(AZ464,Setup!$J$6:$J$11,0),99))*1E+9+(AW464-40000)*10000+463)</f>
        <v/>
      </c>
      <c r="BK464">
        <f>IF(BI464=1,BJ464,"")</f>
        <v/>
      </c>
      <c r="BL464">
        <f>IF(AND(BH464=1,BG464=0,N(AW464)&lt;Setup!$D$7),(AW464-40000)*10000+463,"")</f>
        <v/>
      </c>
      <c r="BM464">
        <f>IF(AND(BH464=1,AZ464&lt;&gt;"Cancelled",N(AW464)&gt;=Dashboard!$AB$3,N(AW464)&lt;=Dashboard!$AB$3+6),(AW464-40000)*100000+BF464*10000+463,"")</f>
        <v/>
      </c>
      <c r="BN464">
        <f>IF(AND(BH464=1,AZ464&lt;&gt;"Cancelled"),BF464*10000+463,"")</f>
        <v/>
      </c>
    </row>
    <row r="465">
      <c r="AS465" t="inlineStr">
        <is>
          <t>R</t>
        </is>
      </c>
      <c r="AT465" t="n">
        <v>469</v>
      </c>
      <c r="AU465">
        <f>'Recurring Log'!C469&amp;""</f>
        <v/>
      </c>
      <c r="AV465">
        <f>'Recurring Log'!D469&amp;""</f>
        <v/>
      </c>
      <c r="AW465">
        <f>IF('Recurring Log'!E469="","",'Recurring Log'!E469)</f>
        <v/>
      </c>
      <c r="AX465">
        <f>IF('Recurring Log'!G469="","",'Recurring Log'!G469)</f>
        <v/>
      </c>
      <c r="AY465">
        <f>IF('Recurring Log'!H469="","",'Recurring Log'!H469)</f>
        <v/>
      </c>
      <c r="AZ465">
        <f>IF(AU465="","",IF('Recurring Log'!J469="","Not Started",'Recurring Log'!J469))</f>
        <v/>
      </c>
      <c r="BA465">
        <f>'Recurring Log'!L469&amp;""</f>
        <v/>
      </c>
      <c r="BB465">
        <f>'Recurring Log'!M469&amp;""</f>
        <v/>
      </c>
      <c r="BC465">
        <f>'Recurring Log'!N469&amp;""</f>
        <v/>
      </c>
      <c r="BD465">
        <f>'Recurring Log'!O469&amp;""</f>
        <v/>
      </c>
      <c r="BE465">
        <f>IF('Recurring Log'!K469="","",'Recurring Log'!K469)</f>
        <v/>
      </c>
      <c r="BF465">
        <f>IFERROR(MATCH(BA465,Setup!$L$6:$L$9,0),5)</f>
        <v/>
      </c>
      <c r="BG465">
        <f>IF(OR(AZ465="Done",AZ465="Cancelled"),1,0)</f>
        <v/>
      </c>
      <c r="BH465">
        <f>IF(AND(AU465&lt;&gt;"",ISNUMBER(AW465)),1,0)</f>
        <v/>
      </c>
      <c r="BI465">
        <f>IF(BH465=0,0,IF(AND(AW465&gt;='Tasks Filter'!$F$3,AW465&lt;='Tasks Filter'!$F$4,OR('Tasks Filter'!$I$3="",ISNUMBER(SEARCH('Tasks Filter'!$I$3,AU465))),OR('Tasks Filter'!$I$4="",BF465=IFERROR(MATCH('Tasks Filter'!$I$4,Setup!$L$6:$L$9,0),0)),OR('Tasks Filter'!$I$5="Both",AND('Tasks Filter'!$I$5="Yes",BB465="✓"),AND('Tasks Filter'!$I$5="No",BB465&lt;&gt;"✓")),OR('Tasks Filter'!$L$3="",AV465='Tasks Filter'!$L$3),OR('Tasks Filter'!$L$4="",AZ465='Tasks Filter'!$L$4),OR('Tasks Filter'!$L$5="",BC465='Tasks Filter'!$L$5),OR('Tasks Filter'!$O$3="",BD465='Tasks Filter'!$O$3),OR('Tasks Filter'!$O$4="Yes",BG465=0)),1,0))</f>
        <v/>
      </c>
      <c r="BJ465">
        <f>IF(BH465=0,"",IF('Tasks Filter'!$F$6="Descending",-1,1)*CHOOSE(MATCH('Tasks Filter'!$F$5,Lists!$G$2:$G$6,0),AW465,BF465,IFERROR(MATCH(AV465,Setup!$F$6:$F$15,0),99),IFERROR(MATCH(BC465,Setup!$H$6:$H$15,0),99),IFERROR(MATCH(AZ465,Setup!$J$6:$J$11,0),99))*1E+9+(AW465-40000)*10000+464)</f>
        <v/>
      </c>
      <c r="BK465">
        <f>IF(BI465=1,BJ465,"")</f>
        <v/>
      </c>
      <c r="BL465">
        <f>IF(AND(BH465=1,BG465=0,N(AW465)&lt;Setup!$D$7),(AW465-40000)*10000+464,"")</f>
        <v/>
      </c>
      <c r="BM465">
        <f>IF(AND(BH465=1,AZ465&lt;&gt;"Cancelled",N(AW465)&gt;=Dashboard!$AB$3,N(AW465)&lt;=Dashboard!$AB$3+6),(AW465-40000)*100000+BF465*10000+464,"")</f>
        <v/>
      </c>
      <c r="BN465">
        <f>IF(AND(BH465=1,AZ465&lt;&gt;"Cancelled"),BF465*10000+464,"")</f>
        <v/>
      </c>
    </row>
    <row r="466">
      <c r="AS466" t="inlineStr">
        <is>
          <t>R</t>
        </is>
      </c>
      <c r="AT466" t="n">
        <v>470</v>
      </c>
      <c r="AU466">
        <f>'Recurring Log'!C470&amp;""</f>
        <v/>
      </c>
      <c r="AV466">
        <f>'Recurring Log'!D470&amp;""</f>
        <v/>
      </c>
      <c r="AW466">
        <f>IF('Recurring Log'!E470="","",'Recurring Log'!E470)</f>
        <v/>
      </c>
      <c r="AX466">
        <f>IF('Recurring Log'!G470="","",'Recurring Log'!G470)</f>
        <v/>
      </c>
      <c r="AY466">
        <f>IF('Recurring Log'!H470="","",'Recurring Log'!H470)</f>
        <v/>
      </c>
      <c r="AZ466">
        <f>IF(AU466="","",IF('Recurring Log'!J470="","Not Started",'Recurring Log'!J470))</f>
        <v/>
      </c>
      <c r="BA466">
        <f>'Recurring Log'!L470&amp;""</f>
        <v/>
      </c>
      <c r="BB466">
        <f>'Recurring Log'!M470&amp;""</f>
        <v/>
      </c>
      <c r="BC466">
        <f>'Recurring Log'!N470&amp;""</f>
        <v/>
      </c>
      <c r="BD466">
        <f>'Recurring Log'!O470&amp;""</f>
        <v/>
      </c>
      <c r="BE466">
        <f>IF('Recurring Log'!K470="","",'Recurring Log'!K470)</f>
        <v/>
      </c>
      <c r="BF466">
        <f>IFERROR(MATCH(BA466,Setup!$L$6:$L$9,0),5)</f>
        <v/>
      </c>
      <c r="BG466">
        <f>IF(OR(AZ466="Done",AZ466="Cancelled"),1,0)</f>
        <v/>
      </c>
      <c r="BH466">
        <f>IF(AND(AU466&lt;&gt;"",ISNUMBER(AW466)),1,0)</f>
        <v/>
      </c>
      <c r="BI466">
        <f>IF(BH466=0,0,IF(AND(AW466&gt;='Tasks Filter'!$F$3,AW466&lt;='Tasks Filter'!$F$4,OR('Tasks Filter'!$I$3="",ISNUMBER(SEARCH('Tasks Filter'!$I$3,AU466))),OR('Tasks Filter'!$I$4="",BF466=IFERROR(MATCH('Tasks Filter'!$I$4,Setup!$L$6:$L$9,0),0)),OR('Tasks Filter'!$I$5="Both",AND('Tasks Filter'!$I$5="Yes",BB466="✓"),AND('Tasks Filter'!$I$5="No",BB466&lt;&gt;"✓")),OR('Tasks Filter'!$L$3="",AV466='Tasks Filter'!$L$3),OR('Tasks Filter'!$L$4="",AZ466='Tasks Filter'!$L$4),OR('Tasks Filter'!$L$5="",BC466='Tasks Filter'!$L$5),OR('Tasks Filter'!$O$3="",BD466='Tasks Filter'!$O$3),OR('Tasks Filter'!$O$4="Yes",BG466=0)),1,0))</f>
        <v/>
      </c>
      <c r="BJ466">
        <f>IF(BH466=0,"",IF('Tasks Filter'!$F$6="Descending",-1,1)*CHOOSE(MATCH('Tasks Filter'!$F$5,Lists!$G$2:$G$6,0),AW466,BF466,IFERROR(MATCH(AV466,Setup!$F$6:$F$15,0),99),IFERROR(MATCH(BC466,Setup!$H$6:$H$15,0),99),IFERROR(MATCH(AZ466,Setup!$J$6:$J$11,0),99))*1E+9+(AW466-40000)*10000+465)</f>
        <v/>
      </c>
      <c r="BK466">
        <f>IF(BI466=1,BJ466,"")</f>
        <v/>
      </c>
      <c r="BL466">
        <f>IF(AND(BH466=1,BG466=0,N(AW466)&lt;Setup!$D$7),(AW466-40000)*10000+465,"")</f>
        <v/>
      </c>
      <c r="BM466">
        <f>IF(AND(BH466=1,AZ466&lt;&gt;"Cancelled",N(AW466)&gt;=Dashboard!$AB$3,N(AW466)&lt;=Dashboard!$AB$3+6),(AW466-40000)*100000+BF466*10000+465,"")</f>
        <v/>
      </c>
      <c r="BN466">
        <f>IF(AND(BH466=1,AZ466&lt;&gt;"Cancelled"),BF466*10000+465,"")</f>
        <v/>
      </c>
    </row>
    <row r="467">
      <c r="AS467" t="inlineStr">
        <is>
          <t>R</t>
        </is>
      </c>
      <c r="AT467" t="n">
        <v>471</v>
      </c>
      <c r="AU467">
        <f>'Recurring Log'!C471&amp;""</f>
        <v/>
      </c>
      <c r="AV467">
        <f>'Recurring Log'!D471&amp;""</f>
        <v/>
      </c>
      <c r="AW467">
        <f>IF('Recurring Log'!E471="","",'Recurring Log'!E471)</f>
        <v/>
      </c>
      <c r="AX467">
        <f>IF('Recurring Log'!G471="","",'Recurring Log'!G471)</f>
        <v/>
      </c>
      <c r="AY467">
        <f>IF('Recurring Log'!H471="","",'Recurring Log'!H471)</f>
        <v/>
      </c>
      <c r="AZ467">
        <f>IF(AU467="","",IF('Recurring Log'!J471="","Not Started",'Recurring Log'!J471))</f>
        <v/>
      </c>
      <c r="BA467">
        <f>'Recurring Log'!L471&amp;""</f>
        <v/>
      </c>
      <c r="BB467">
        <f>'Recurring Log'!M471&amp;""</f>
        <v/>
      </c>
      <c r="BC467">
        <f>'Recurring Log'!N471&amp;""</f>
        <v/>
      </c>
      <c r="BD467">
        <f>'Recurring Log'!O471&amp;""</f>
        <v/>
      </c>
      <c r="BE467">
        <f>IF('Recurring Log'!K471="","",'Recurring Log'!K471)</f>
        <v/>
      </c>
      <c r="BF467">
        <f>IFERROR(MATCH(BA467,Setup!$L$6:$L$9,0),5)</f>
        <v/>
      </c>
      <c r="BG467">
        <f>IF(OR(AZ467="Done",AZ467="Cancelled"),1,0)</f>
        <v/>
      </c>
      <c r="BH467">
        <f>IF(AND(AU467&lt;&gt;"",ISNUMBER(AW467)),1,0)</f>
        <v/>
      </c>
      <c r="BI467">
        <f>IF(BH467=0,0,IF(AND(AW467&gt;='Tasks Filter'!$F$3,AW467&lt;='Tasks Filter'!$F$4,OR('Tasks Filter'!$I$3="",ISNUMBER(SEARCH('Tasks Filter'!$I$3,AU467))),OR('Tasks Filter'!$I$4="",BF467=IFERROR(MATCH('Tasks Filter'!$I$4,Setup!$L$6:$L$9,0),0)),OR('Tasks Filter'!$I$5="Both",AND('Tasks Filter'!$I$5="Yes",BB467="✓"),AND('Tasks Filter'!$I$5="No",BB467&lt;&gt;"✓")),OR('Tasks Filter'!$L$3="",AV467='Tasks Filter'!$L$3),OR('Tasks Filter'!$L$4="",AZ467='Tasks Filter'!$L$4),OR('Tasks Filter'!$L$5="",BC467='Tasks Filter'!$L$5),OR('Tasks Filter'!$O$3="",BD467='Tasks Filter'!$O$3),OR('Tasks Filter'!$O$4="Yes",BG467=0)),1,0))</f>
        <v/>
      </c>
      <c r="BJ467">
        <f>IF(BH467=0,"",IF('Tasks Filter'!$F$6="Descending",-1,1)*CHOOSE(MATCH('Tasks Filter'!$F$5,Lists!$G$2:$G$6,0),AW467,BF467,IFERROR(MATCH(AV467,Setup!$F$6:$F$15,0),99),IFERROR(MATCH(BC467,Setup!$H$6:$H$15,0),99),IFERROR(MATCH(AZ467,Setup!$J$6:$J$11,0),99))*1E+9+(AW467-40000)*10000+466)</f>
        <v/>
      </c>
      <c r="BK467">
        <f>IF(BI467=1,BJ467,"")</f>
        <v/>
      </c>
      <c r="BL467">
        <f>IF(AND(BH467=1,BG467=0,N(AW467)&lt;Setup!$D$7),(AW467-40000)*10000+466,"")</f>
        <v/>
      </c>
      <c r="BM467">
        <f>IF(AND(BH467=1,AZ467&lt;&gt;"Cancelled",N(AW467)&gt;=Dashboard!$AB$3,N(AW467)&lt;=Dashboard!$AB$3+6),(AW467-40000)*100000+BF467*10000+466,"")</f>
        <v/>
      </c>
      <c r="BN467">
        <f>IF(AND(BH467=1,AZ467&lt;&gt;"Cancelled"),BF467*10000+466,"")</f>
        <v/>
      </c>
    </row>
    <row r="468">
      <c r="AS468" t="inlineStr">
        <is>
          <t>R</t>
        </is>
      </c>
      <c r="AT468" t="n">
        <v>472</v>
      </c>
      <c r="AU468">
        <f>'Recurring Log'!C472&amp;""</f>
        <v/>
      </c>
      <c r="AV468">
        <f>'Recurring Log'!D472&amp;""</f>
        <v/>
      </c>
      <c r="AW468">
        <f>IF('Recurring Log'!E472="","",'Recurring Log'!E472)</f>
        <v/>
      </c>
      <c r="AX468">
        <f>IF('Recurring Log'!G472="","",'Recurring Log'!G472)</f>
        <v/>
      </c>
      <c r="AY468">
        <f>IF('Recurring Log'!H472="","",'Recurring Log'!H472)</f>
        <v/>
      </c>
      <c r="AZ468">
        <f>IF(AU468="","",IF('Recurring Log'!J472="","Not Started",'Recurring Log'!J472))</f>
        <v/>
      </c>
      <c r="BA468">
        <f>'Recurring Log'!L472&amp;""</f>
        <v/>
      </c>
      <c r="BB468">
        <f>'Recurring Log'!M472&amp;""</f>
        <v/>
      </c>
      <c r="BC468">
        <f>'Recurring Log'!N472&amp;""</f>
        <v/>
      </c>
      <c r="BD468">
        <f>'Recurring Log'!O472&amp;""</f>
        <v/>
      </c>
      <c r="BE468">
        <f>IF('Recurring Log'!K472="","",'Recurring Log'!K472)</f>
        <v/>
      </c>
      <c r="BF468">
        <f>IFERROR(MATCH(BA468,Setup!$L$6:$L$9,0),5)</f>
        <v/>
      </c>
      <c r="BG468">
        <f>IF(OR(AZ468="Done",AZ468="Cancelled"),1,0)</f>
        <v/>
      </c>
      <c r="BH468">
        <f>IF(AND(AU468&lt;&gt;"",ISNUMBER(AW468)),1,0)</f>
        <v/>
      </c>
      <c r="BI468">
        <f>IF(BH468=0,0,IF(AND(AW468&gt;='Tasks Filter'!$F$3,AW468&lt;='Tasks Filter'!$F$4,OR('Tasks Filter'!$I$3="",ISNUMBER(SEARCH('Tasks Filter'!$I$3,AU468))),OR('Tasks Filter'!$I$4="",BF468=IFERROR(MATCH('Tasks Filter'!$I$4,Setup!$L$6:$L$9,0),0)),OR('Tasks Filter'!$I$5="Both",AND('Tasks Filter'!$I$5="Yes",BB468="✓"),AND('Tasks Filter'!$I$5="No",BB468&lt;&gt;"✓")),OR('Tasks Filter'!$L$3="",AV468='Tasks Filter'!$L$3),OR('Tasks Filter'!$L$4="",AZ468='Tasks Filter'!$L$4),OR('Tasks Filter'!$L$5="",BC468='Tasks Filter'!$L$5),OR('Tasks Filter'!$O$3="",BD468='Tasks Filter'!$O$3),OR('Tasks Filter'!$O$4="Yes",BG468=0)),1,0))</f>
        <v/>
      </c>
      <c r="BJ468">
        <f>IF(BH468=0,"",IF('Tasks Filter'!$F$6="Descending",-1,1)*CHOOSE(MATCH('Tasks Filter'!$F$5,Lists!$G$2:$G$6,0),AW468,BF468,IFERROR(MATCH(AV468,Setup!$F$6:$F$15,0),99),IFERROR(MATCH(BC468,Setup!$H$6:$H$15,0),99),IFERROR(MATCH(AZ468,Setup!$J$6:$J$11,0),99))*1E+9+(AW468-40000)*10000+467)</f>
        <v/>
      </c>
      <c r="BK468">
        <f>IF(BI468=1,BJ468,"")</f>
        <v/>
      </c>
      <c r="BL468">
        <f>IF(AND(BH468=1,BG468=0,N(AW468)&lt;Setup!$D$7),(AW468-40000)*10000+467,"")</f>
        <v/>
      </c>
      <c r="BM468">
        <f>IF(AND(BH468=1,AZ468&lt;&gt;"Cancelled",N(AW468)&gt;=Dashboard!$AB$3,N(AW468)&lt;=Dashboard!$AB$3+6),(AW468-40000)*100000+BF468*10000+467,"")</f>
        <v/>
      </c>
      <c r="BN468">
        <f>IF(AND(BH468=1,AZ468&lt;&gt;"Cancelled"),BF468*10000+467,"")</f>
        <v/>
      </c>
    </row>
    <row r="469">
      <c r="AS469" t="inlineStr">
        <is>
          <t>R</t>
        </is>
      </c>
      <c r="AT469" t="n">
        <v>473</v>
      </c>
      <c r="AU469">
        <f>'Recurring Log'!C473&amp;""</f>
        <v/>
      </c>
      <c r="AV469">
        <f>'Recurring Log'!D473&amp;""</f>
        <v/>
      </c>
      <c r="AW469">
        <f>IF('Recurring Log'!E473="","",'Recurring Log'!E473)</f>
        <v/>
      </c>
      <c r="AX469">
        <f>IF('Recurring Log'!G473="","",'Recurring Log'!G473)</f>
        <v/>
      </c>
      <c r="AY469">
        <f>IF('Recurring Log'!H473="","",'Recurring Log'!H473)</f>
        <v/>
      </c>
      <c r="AZ469">
        <f>IF(AU469="","",IF('Recurring Log'!J473="","Not Started",'Recurring Log'!J473))</f>
        <v/>
      </c>
      <c r="BA469">
        <f>'Recurring Log'!L473&amp;""</f>
        <v/>
      </c>
      <c r="BB469">
        <f>'Recurring Log'!M473&amp;""</f>
        <v/>
      </c>
      <c r="BC469">
        <f>'Recurring Log'!N473&amp;""</f>
        <v/>
      </c>
      <c r="BD469">
        <f>'Recurring Log'!O473&amp;""</f>
        <v/>
      </c>
      <c r="BE469">
        <f>IF('Recurring Log'!K473="","",'Recurring Log'!K473)</f>
        <v/>
      </c>
      <c r="BF469">
        <f>IFERROR(MATCH(BA469,Setup!$L$6:$L$9,0),5)</f>
        <v/>
      </c>
      <c r="BG469">
        <f>IF(OR(AZ469="Done",AZ469="Cancelled"),1,0)</f>
        <v/>
      </c>
      <c r="BH469">
        <f>IF(AND(AU469&lt;&gt;"",ISNUMBER(AW469)),1,0)</f>
        <v/>
      </c>
      <c r="BI469">
        <f>IF(BH469=0,0,IF(AND(AW469&gt;='Tasks Filter'!$F$3,AW469&lt;='Tasks Filter'!$F$4,OR('Tasks Filter'!$I$3="",ISNUMBER(SEARCH('Tasks Filter'!$I$3,AU469))),OR('Tasks Filter'!$I$4="",BF469=IFERROR(MATCH('Tasks Filter'!$I$4,Setup!$L$6:$L$9,0),0)),OR('Tasks Filter'!$I$5="Both",AND('Tasks Filter'!$I$5="Yes",BB469="✓"),AND('Tasks Filter'!$I$5="No",BB469&lt;&gt;"✓")),OR('Tasks Filter'!$L$3="",AV469='Tasks Filter'!$L$3),OR('Tasks Filter'!$L$4="",AZ469='Tasks Filter'!$L$4),OR('Tasks Filter'!$L$5="",BC469='Tasks Filter'!$L$5),OR('Tasks Filter'!$O$3="",BD469='Tasks Filter'!$O$3),OR('Tasks Filter'!$O$4="Yes",BG469=0)),1,0))</f>
        <v/>
      </c>
      <c r="BJ469">
        <f>IF(BH469=0,"",IF('Tasks Filter'!$F$6="Descending",-1,1)*CHOOSE(MATCH('Tasks Filter'!$F$5,Lists!$G$2:$G$6,0),AW469,BF469,IFERROR(MATCH(AV469,Setup!$F$6:$F$15,0),99),IFERROR(MATCH(BC469,Setup!$H$6:$H$15,0),99),IFERROR(MATCH(AZ469,Setup!$J$6:$J$11,0),99))*1E+9+(AW469-40000)*10000+468)</f>
        <v/>
      </c>
      <c r="BK469">
        <f>IF(BI469=1,BJ469,"")</f>
        <v/>
      </c>
      <c r="BL469">
        <f>IF(AND(BH469=1,BG469=0,N(AW469)&lt;Setup!$D$7),(AW469-40000)*10000+468,"")</f>
        <v/>
      </c>
      <c r="BM469">
        <f>IF(AND(BH469=1,AZ469&lt;&gt;"Cancelled",N(AW469)&gt;=Dashboard!$AB$3,N(AW469)&lt;=Dashboard!$AB$3+6),(AW469-40000)*100000+BF469*10000+468,"")</f>
        <v/>
      </c>
      <c r="BN469">
        <f>IF(AND(BH469=1,AZ469&lt;&gt;"Cancelled"),BF469*10000+468,"")</f>
        <v/>
      </c>
    </row>
    <row r="470">
      <c r="AS470" t="inlineStr">
        <is>
          <t>R</t>
        </is>
      </c>
      <c r="AT470" t="n">
        <v>474</v>
      </c>
      <c r="AU470">
        <f>'Recurring Log'!C474&amp;""</f>
        <v/>
      </c>
      <c r="AV470">
        <f>'Recurring Log'!D474&amp;""</f>
        <v/>
      </c>
      <c r="AW470">
        <f>IF('Recurring Log'!E474="","",'Recurring Log'!E474)</f>
        <v/>
      </c>
      <c r="AX470">
        <f>IF('Recurring Log'!G474="","",'Recurring Log'!G474)</f>
        <v/>
      </c>
      <c r="AY470">
        <f>IF('Recurring Log'!H474="","",'Recurring Log'!H474)</f>
        <v/>
      </c>
      <c r="AZ470">
        <f>IF(AU470="","",IF('Recurring Log'!J474="","Not Started",'Recurring Log'!J474))</f>
        <v/>
      </c>
      <c r="BA470">
        <f>'Recurring Log'!L474&amp;""</f>
        <v/>
      </c>
      <c r="BB470">
        <f>'Recurring Log'!M474&amp;""</f>
        <v/>
      </c>
      <c r="BC470">
        <f>'Recurring Log'!N474&amp;""</f>
        <v/>
      </c>
      <c r="BD470">
        <f>'Recurring Log'!O474&amp;""</f>
        <v/>
      </c>
      <c r="BE470">
        <f>IF('Recurring Log'!K474="","",'Recurring Log'!K474)</f>
        <v/>
      </c>
      <c r="BF470">
        <f>IFERROR(MATCH(BA470,Setup!$L$6:$L$9,0),5)</f>
        <v/>
      </c>
      <c r="BG470">
        <f>IF(OR(AZ470="Done",AZ470="Cancelled"),1,0)</f>
        <v/>
      </c>
      <c r="BH470">
        <f>IF(AND(AU470&lt;&gt;"",ISNUMBER(AW470)),1,0)</f>
        <v/>
      </c>
      <c r="BI470">
        <f>IF(BH470=0,0,IF(AND(AW470&gt;='Tasks Filter'!$F$3,AW470&lt;='Tasks Filter'!$F$4,OR('Tasks Filter'!$I$3="",ISNUMBER(SEARCH('Tasks Filter'!$I$3,AU470))),OR('Tasks Filter'!$I$4="",BF470=IFERROR(MATCH('Tasks Filter'!$I$4,Setup!$L$6:$L$9,0),0)),OR('Tasks Filter'!$I$5="Both",AND('Tasks Filter'!$I$5="Yes",BB470="✓"),AND('Tasks Filter'!$I$5="No",BB470&lt;&gt;"✓")),OR('Tasks Filter'!$L$3="",AV470='Tasks Filter'!$L$3),OR('Tasks Filter'!$L$4="",AZ470='Tasks Filter'!$L$4),OR('Tasks Filter'!$L$5="",BC470='Tasks Filter'!$L$5),OR('Tasks Filter'!$O$3="",BD470='Tasks Filter'!$O$3),OR('Tasks Filter'!$O$4="Yes",BG470=0)),1,0))</f>
        <v/>
      </c>
      <c r="BJ470">
        <f>IF(BH470=0,"",IF('Tasks Filter'!$F$6="Descending",-1,1)*CHOOSE(MATCH('Tasks Filter'!$F$5,Lists!$G$2:$G$6,0),AW470,BF470,IFERROR(MATCH(AV470,Setup!$F$6:$F$15,0),99),IFERROR(MATCH(BC470,Setup!$H$6:$H$15,0),99),IFERROR(MATCH(AZ470,Setup!$J$6:$J$11,0),99))*1E+9+(AW470-40000)*10000+469)</f>
        <v/>
      </c>
      <c r="BK470">
        <f>IF(BI470=1,BJ470,"")</f>
        <v/>
      </c>
      <c r="BL470">
        <f>IF(AND(BH470=1,BG470=0,N(AW470)&lt;Setup!$D$7),(AW470-40000)*10000+469,"")</f>
        <v/>
      </c>
      <c r="BM470">
        <f>IF(AND(BH470=1,AZ470&lt;&gt;"Cancelled",N(AW470)&gt;=Dashboard!$AB$3,N(AW470)&lt;=Dashboard!$AB$3+6),(AW470-40000)*100000+BF470*10000+469,"")</f>
        <v/>
      </c>
      <c r="BN470">
        <f>IF(AND(BH470=1,AZ470&lt;&gt;"Cancelled"),BF470*10000+469,"")</f>
        <v/>
      </c>
    </row>
    <row r="471">
      <c r="AS471" t="inlineStr">
        <is>
          <t>R</t>
        </is>
      </c>
      <c r="AT471" t="n">
        <v>475</v>
      </c>
      <c r="AU471">
        <f>'Recurring Log'!C475&amp;""</f>
        <v/>
      </c>
      <c r="AV471">
        <f>'Recurring Log'!D475&amp;""</f>
        <v/>
      </c>
      <c r="AW471">
        <f>IF('Recurring Log'!E475="","",'Recurring Log'!E475)</f>
        <v/>
      </c>
      <c r="AX471">
        <f>IF('Recurring Log'!G475="","",'Recurring Log'!G475)</f>
        <v/>
      </c>
      <c r="AY471">
        <f>IF('Recurring Log'!H475="","",'Recurring Log'!H475)</f>
        <v/>
      </c>
      <c r="AZ471">
        <f>IF(AU471="","",IF('Recurring Log'!J475="","Not Started",'Recurring Log'!J475))</f>
        <v/>
      </c>
      <c r="BA471">
        <f>'Recurring Log'!L475&amp;""</f>
        <v/>
      </c>
      <c r="BB471">
        <f>'Recurring Log'!M475&amp;""</f>
        <v/>
      </c>
      <c r="BC471">
        <f>'Recurring Log'!N475&amp;""</f>
        <v/>
      </c>
      <c r="BD471">
        <f>'Recurring Log'!O475&amp;""</f>
        <v/>
      </c>
      <c r="BE471">
        <f>IF('Recurring Log'!K475="","",'Recurring Log'!K475)</f>
        <v/>
      </c>
      <c r="BF471">
        <f>IFERROR(MATCH(BA471,Setup!$L$6:$L$9,0),5)</f>
        <v/>
      </c>
      <c r="BG471">
        <f>IF(OR(AZ471="Done",AZ471="Cancelled"),1,0)</f>
        <v/>
      </c>
      <c r="BH471">
        <f>IF(AND(AU471&lt;&gt;"",ISNUMBER(AW471)),1,0)</f>
        <v/>
      </c>
      <c r="BI471">
        <f>IF(BH471=0,0,IF(AND(AW471&gt;='Tasks Filter'!$F$3,AW471&lt;='Tasks Filter'!$F$4,OR('Tasks Filter'!$I$3="",ISNUMBER(SEARCH('Tasks Filter'!$I$3,AU471))),OR('Tasks Filter'!$I$4="",BF471=IFERROR(MATCH('Tasks Filter'!$I$4,Setup!$L$6:$L$9,0),0)),OR('Tasks Filter'!$I$5="Both",AND('Tasks Filter'!$I$5="Yes",BB471="✓"),AND('Tasks Filter'!$I$5="No",BB471&lt;&gt;"✓")),OR('Tasks Filter'!$L$3="",AV471='Tasks Filter'!$L$3),OR('Tasks Filter'!$L$4="",AZ471='Tasks Filter'!$L$4),OR('Tasks Filter'!$L$5="",BC471='Tasks Filter'!$L$5),OR('Tasks Filter'!$O$3="",BD471='Tasks Filter'!$O$3),OR('Tasks Filter'!$O$4="Yes",BG471=0)),1,0))</f>
        <v/>
      </c>
      <c r="BJ471">
        <f>IF(BH471=0,"",IF('Tasks Filter'!$F$6="Descending",-1,1)*CHOOSE(MATCH('Tasks Filter'!$F$5,Lists!$G$2:$G$6,0),AW471,BF471,IFERROR(MATCH(AV471,Setup!$F$6:$F$15,0),99),IFERROR(MATCH(BC471,Setup!$H$6:$H$15,0),99),IFERROR(MATCH(AZ471,Setup!$J$6:$J$11,0),99))*1E+9+(AW471-40000)*10000+470)</f>
        <v/>
      </c>
      <c r="BK471">
        <f>IF(BI471=1,BJ471,"")</f>
        <v/>
      </c>
      <c r="BL471">
        <f>IF(AND(BH471=1,BG471=0,N(AW471)&lt;Setup!$D$7),(AW471-40000)*10000+470,"")</f>
        <v/>
      </c>
      <c r="BM471">
        <f>IF(AND(BH471=1,AZ471&lt;&gt;"Cancelled",N(AW471)&gt;=Dashboard!$AB$3,N(AW471)&lt;=Dashboard!$AB$3+6),(AW471-40000)*100000+BF471*10000+470,"")</f>
        <v/>
      </c>
      <c r="BN471">
        <f>IF(AND(BH471=1,AZ471&lt;&gt;"Cancelled"),BF471*10000+470,"")</f>
        <v/>
      </c>
    </row>
    <row r="472">
      <c r="AS472" t="inlineStr">
        <is>
          <t>R</t>
        </is>
      </c>
      <c r="AT472" t="n">
        <v>476</v>
      </c>
      <c r="AU472">
        <f>'Recurring Log'!C476&amp;""</f>
        <v/>
      </c>
      <c r="AV472">
        <f>'Recurring Log'!D476&amp;""</f>
        <v/>
      </c>
      <c r="AW472">
        <f>IF('Recurring Log'!E476="","",'Recurring Log'!E476)</f>
        <v/>
      </c>
      <c r="AX472">
        <f>IF('Recurring Log'!G476="","",'Recurring Log'!G476)</f>
        <v/>
      </c>
      <c r="AY472">
        <f>IF('Recurring Log'!H476="","",'Recurring Log'!H476)</f>
        <v/>
      </c>
      <c r="AZ472">
        <f>IF(AU472="","",IF('Recurring Log'!J476="","Not Started",'Recurring Log'!J476))</f>
        <v/>
      </c>
      <c r="BA472">
        <f>'Recurring Log'!L476&amp;""</f>
        <v/>
      </c>
      <c r="BB472">
        <f>'Recurring Log'!M476&amp;""</f>
        <v/>
      </c>
      <c r="BC472">
        <f>'Recurring Log'!N476&amp;""</f>
        <v/>
      </c>
      <c r="BD472">
        <f>'Recurring Log'!O476&amp;""</f>
        <v/>
      </c>
      <c r="BE472">
        <f>IF('Recurring Log'!K476="","",'Recurring Log'!K476)</f>
        <v/>
      </c>
      <c r="BF472">
        <f>IFERROR(MATCH(BA472,Setup!$L$6:$L$9,0),5)</f>
        <v/>
      </c>
      <c r="BG472">
        <f>IF(OR(AZ472="Done",AZ472="Cancelled"),1,0)</f>
        <v/>
      </c>
      <c r="BH472">
        <f>IF(AND(AU472&lt;&gt;"",ISNUMBER(AW472)),1,0)</f>
        <v/>
      </c>
      <c r="BI472">
        <f>IF(BH472=0,0,IF(AND(AW472&gt;='Tasks Filter'!$F$3,AW472&lt;='Tasks Filter'!$F$4,OR('Tasks Filter'!$I$3="",ISNUMBER(SEARCH('Tasks Filter'!$I$3,AU472))),OR('Tasks Filter'!$I$4="",BF472=IFERROR(MATCH('Tasks Filter'!$I$4,Setup!$L$6:$L$9,0),0)),OR('Tasks Filter'!$I$5="Both",AND('Tasks Filter'!$I$5="Yes",BB472="✓"),AND('Tasks Filter'!$I$5="No",BB472&lt;&gt;"✓")),OR('Tasks Filter'!$L$3="",AV472='Tasks Filter'!$L$3),OR('Tasks Filter'!$L$4="",AZ472='Tasks Filter'!$L$4),OR('Tasks Filter'!$L$5="",BC472='Tasks Filter'!$L$5),OR('Tasks Filter'!$O$3="",BD472='Tasks Filter'!$O$3),OR('Tasks Filter'!$O$4="Yes",BG472=0)),1,0))</f>
        <v/>
      </c>
      <c r="BJ472">
        <f>IF(BH472=0,"",IF('Tasks Filter'!$F$6="Descending",-1,1)*CHOOSE(MATCH('Tasks Filter'!$F$5,Lists!$G$2:$G$6,0),AW472,BF472,IFERROR(MATCH(AV472,Setup!$F$6:$F$15,0),99),IFERROR(MATCH(BC472,Setup!$H$6:$H$15,0),99),IFERROR(MATCH(AZ472,Setup!$J$6:$J$11,0),99))*1E+9+(AW472-40000)*10000+471)</f>
        <v/>
      </c>
      <c r="BK472">
        <f>IF(BI472=1,BJ472,"")</f>
        <v/>
      </c>
      <c r="BL472">
        <f>IF(AND(BH472=1,BG472=0,N(AW472)&lt;Setup!$D$7),(AW472-40000)*10000+471,"")</f>
        <v/>
      </c>
      <c r="BM472">
        <f>IF(AND(BH472=1,AZ472&lt;&gt;"Cancelled",N(AW472)&gt;=Dashboard!$AB$3,N(AW472)&lt;=Dashboard!$AB$3+6),(AW472-40000)*100000+BF472*10000+471,"")</f>
        <v/>
      </c>
      <c r="BN472">
        <f>IF(AND(BH472=1,AZ472&lt;&gt;"Cancelled"),BF472*10000+471,"")</f>
        <v/>
      </c>
    </row>
    <row r="473">
      <c r="AS473" t="inlineStr">
        <is>
          <t>R</t>
        </is>
      </c>
      <c r="AT473" t="n">
        <v>477</v>
      </c>
      <c r="AU473">
        <f>'Recurring Log'!C477&amp;""</f>
        <v/>
      </c>
      <c r="AV473">
        <f>'Recurring Log'!D477&amp;""</f>
        <v/>
      </c>
      <c r="AW473">
        <f>IF('Recurring Log'!E477="","",'Recurring Log'!E477)</f>
        <v/>
      </c>
      <c r="AX473">
        <f>IF('Recurring Log'!G477="","",'Recurring Log'!G477)</f>
        <v/>
      </c>
      <c r="AY473">
        <f>IF('Recurring Log'!H477="","",'Recurring Log'!H477)</f>
        <v/>
      </c>
      <c r="AZ473">
        <f>IF(AU473="","",IF('Recurring Log'!J477="","Not Started",'Recurring Log'!J477))</f>
        <v/>
      </c>
      <c r="BA473">
        <f>'Recurring Log'!L477&amp;""</f>
        <v/>
      </c>
      <c r="BB473">
        <f>'Recurring Log'!M477&amp;""</f>
        <v/>
      </c>
      <c r="BC473">
        <f>'Recurring Log'!N477&amp;""</f>
        <v/>
      </c>
      <c r="BD473">
        <f>'Recurring Log'!O477&amp;""</f>
        <v/>
      </c>
      <c r="BE473">
        <f>IF('Recurring Log'!K477="","",'Recurring Log'!K477)</f>
        <v/>
      </c>
      <c r="BF473">
        <f>IFERROR(MATCH(BA473,Setup!$L$6:$L$9,0),5)</f>
        <v/>
      </c>
      <c r="BG473">
        <f>IF(OR(AZ473="Done",AZ473="Cancelled"),1,0)</f>
        <v/>
      </c>
      <c r="BH473">
        <f>IF(AND(AU473&lt;&gt;"",ISNUMBER(AW473)),1,0)</f>
        <v/>
      </c>
      <c r="BI473">
        <f>IF(BH473=0,0,IF(AND(AW473&gt;='Tasks Filter'!$F$3,AW473&lt;='Tasks Filter'!$F$4,OR('Tasks Filter'!$I$3="",ISNUMBER(SEARCH('Tasks Filter'!$I$3,AU473))),OR('Tasks Filter'!$I$4="",BF473=IFERROR(MATCH('Tasks Filter'!$I$4,Setup!$L$6:$L$9,0),0)),OR('Tasks Filter'!$I$5="Both",AND('Tasks Filter'!$I$5="Yes",BB473="✓"),AND('Tasks Filter'!$I$5="No",BB473&lt;&gt;"✓")),OR('Tasks Filter'!$L$3="",AV473='Tasks Filter'!$L$3),OR('Tasks Filter'!$L$4="",AZ473='Tasks Filter'!$L$4),OR('Tasks Filter'!$L$5="",BC473='Tasks Filter'!$L$5),OR('Tasks Filter'!$O$3="",BD473='Tasks Filter'!$O$3),OR('Tasks Filter'!$O$4="Yes",BG473=0)),1,0))</f>
        <v/>
      </c>
      <c r="BJ473">
        <f>IF(BH473=0,"",IF('Tasks Filter'!$F$6="Descending",-1,1)*CHOOSE(MATCH('Tasks Filter'!$F$5,Lists!$G$2:$G$6,0),AW473,BF473,IFERROR(MATCH(AV473,Setup!$F$6:$F$15,0),99),IFERROR(MATCH(BC473,Setup!$H$6:$H$15,0),99),IFERROR(MATCH(AZ473,Setup!$J$6:$J$11,0),99))*1E+9+(AW473-40000)*10000+472)</f>
        <v/>
      </c>
      <c r="BK473">
        <f>IF(BI473=1,BJ473,"")</f>
        <v/>
      </c>
      <c r="BL473">
        <f>IF(AND(BH473=1,BG473=0,N(AW473)&lt;Setup!$D$7),(AW473-40000)*10000+472,"")</f>
        <v/>
      </c>
      <c r="BM473">
        <f>IF(AND(BH473=1,AZ473&lt;&gt;"Cancelled",N(AW473)&gt;=Dashboard!$AB$3,N(AW473)&lt;=Dashboard!$AB$3+6),(AW473-40000)*100000+BF473*10000+472,"")</f>
        <v/>
      </c>
      <c r="BN473">
        <f>IF(AND(BH473=1,AZ473&lt;&gt;"Cancelled"),BF473*10000+472,"")</f>
        <v/>
      </c>
    </row>
    <row r="474">
      <c r="AS474" t="inlineStr">
        <is>
          <t>R</t>
        </is>
      </c>
      <c r="AT474" t="n">
        <v>478</v>
      </c>
      <c r="AU474">
        <f>'Recurring Log'!C478&amp;""</f>
        <v/>
      </c>
      <c r="AV474">
        <f>'Recurring Log'!D478&amp;""</f>
        <v/>
      </c>
      <c r="AW474">
        <f>IF('Recurring Log'!E478="","",'Recurring Log'!E478)</f>
        <v/>
      </c>
      <c r="AX474">
        <f>IF('Recurring Log'!G478="","",'Recurring Log'!G478)</f>
        <v/>
      </c>
      <c r="AY474">
        <f>IF('Recurring Log'!H478="","",'Recurring Log'!H478)</f>
        <v/>
      </c>
      <c r="AZ474">
        <f>IF(AU474="","",IF('Recurring Log'!J478="","Not Started",'Recurring Log'!J478))</f>
        <v/>
      </c>
      <c r="BA474">
        <f>'Recurring Log'!L478&amp;""</f>
        <v/>
      </c>
      <c r="BB474">
        <f>'Recurring Log'!M478&amp;""</f>
        <v/>
      </c>
      <c r="BC474">
        <f>'Recurring Log'!N478&amp;""</f>
        <v/>
      </c>
      <c r="BD474">
        <f>'Recurring Log'!O478&amp;""</f>
        <v/>
      </c>
      <c r="BE474">
        <f>IF('Recurring Log'!K478="","",'Recurring Log'!K478)</f>
        <v/>
      </c>
      <c r="BF474">
        <f>IFERROR(MATCH(BA474,Setup!$L$6:$L$9,0),5)</f>
        <v/>
      </c>
      <c r="BG474">
        <f>IF(OR(AZ474="Done",AZ474="Cancelled"),1,0)</f>
        <v/>
      </c>
      <c r="BH474">
        <f>IF(AND(AU474&lt;&gt;"",ISNUMBER(AW474)),1,0)</f>
        <v/>
      </c>
      <c r="BI474">
        <f>IF(BH474=0,0,IF(AND(AW474&gt;='Tasks Filter'!$F$3,AW474&lt;='Tasks Filter'!$F$4,OR('Tasks Filter'!$I$3="",ISNUMBER(SEARCH('Tasks Filter'!$I$3,AU474))),OR('Tasks Filter'!$I$4="",BF474=IFERROR(MATCH('Tasks Filter'!$I$4,Setup!$L$6:$L$9,0),0)),OR('Tasks Filter'!$I$5="Both",AND('Tasks Filter'!$I$5="Yes",BB474="✓"),AND('Tasks Filter'!$I$5="No",BB474&lt;&gt;"✓")),OR('Tasks Filter'!$L$3="",AV474='Tasks Filter'!$L$3),OR('Tasks Filter'!$L$4="",AZ474='Tasks Filter'!$L$4),OR('Tasks Filter'!$L$5="",BC474='Tasks Filter'!$L$5),OR('Tasks Filter'!$O$3="",BD474='Tasks Filter'!$O$3),OR('Tasks Filter'!$O$4="Yes",BG474=0)),1,0))</f>
        <v/>
      </c>
      <c r="BJ474">
        <f>IF(BH474=0,"",IF('Tasks Filter'!$F$6="Descending",-1,1)*CHOOSE(MATCH('Tasks Filter'!$F$5,Lists!$G$2:$G$6,0),AW474,BF474,IFERROR(MATCH(AV474,Setup!$F$6:$F$15,0),99),IFERROR(MATCH(BC474,Setup!$H$6:$H$15,0),99),IFERROR(MATCH(AZ474,Setup!$J$6:$J$11,0),99))*1E+9+(AW474-40000)*10000+473)</f>
        <v/>
      </c>
      <c r="BK474">
        <f>IF(BI474=1,BJ474,"")</f>
        <v/>
      </c>
      <c r="BL474">
        <f>IF(AND(BH474=1,BG474=0,N(AW474)&lt;Setup!$D$7),(AW474-40000)*10000+473,"")</f>
        <v/>
      </c>
      <c r="BM474">
        <f>IF(AND(BH474=1,AZ474&lt;&gt;"Cancelled",N(AW474)&gt;=Dashboard!$AB$3,N(AW474)&lt;=Dashboard!$AB$3+6),(AW474-40000)*100000+BF474*10000+473,"")</f>
        <v/>
      </c>
      <c r="BN474">
        <f>IF(AND(BH474=1,AZ474&lt;&gt;"Cancelled"),BF474*10000+473,"")</f>
        <v/>
      </c>
    </row>
    <row r="475">
      <c r="AS475" t="inlineStr">
        <is>
          <t>R</t>
        </is>
      </c>
      <c r="AT475" t="n">
        <v>479</v>
      </c>
      <c r="AU475">
        <f>'Recurring Log'!C479&amp;""</f>
        <v/>
      </c>
      <c r="AV475">
        <f>'Recurring Log'!D479&amp;""</f>
        <v/>
      </c>
      <c r="AW475">
        <f>IF('Recurring Log'!E479="","",'Recurring Log'!E479)</f>
        <v/>
      </c>
      <c r="AX475">
        <f>IF('Recurring Log'!G479="","",'Recurring Log'!G479)</f>
        <v/>
      </c>
      <c r="AY475">
        <f>IF('Recurring Log'!H479="","",'Recurring Log'!H479)</f>
        <v/>
      </c>
      <c r="AZ475">
        <f>IF(AU475="","",IF('Recurring Log'!J479="","Not Started",'Recurring Log'!J479))</f>
        <v/>
      </c>
      <c r="BA475">
        <f>'Recurring Log'!L479&amp;""</f>
        <v/>
      </c>
      <c r="BB475">
        <f>'Recurring Log'!M479&amp;""</f>
        <v/>
      </c>
      <c r="BC475">
        <f>'Recurring Log'!N479&amp;""</f>
        <v/>
      </c>
      <c r="BD475">
        <f>'Recurring Log'!O479&amp;""</f>
        <v/>
      </c>
      <c r="BE475">
        <f>IF('Recurring Log'!K479="","",'Recurring Log'!K479)</f>
        <v/>
      </c>
      <c r="BF475">
        <f>IFERROR(MATCH(BA475,Setup!$L$6:$L$9,0),5)</f>
        <v/>
      </c>
      <c r="BG475">
        <f>IF(OR(AZ475="Done",AZ475="Cancelled"),1,0)</f>
        <v/>
      </c>
      <c r="BH475">
        <f>IF(AND(AU475&lt;&gt;"",ISNUMBER(AW475)),1,0)</f>
        <v/>
      </c>
      <c r="BI475">
        <f>IF(BH475=0,0,IF(AND(AW475&gt;='Tasks Filter'!$F$3,AW475&lt;='Tasks Filter'!$F$4,OR('Tasks Filter'!$I$3="",ISNUMBER(SEARCH('Tasks Filter'!$I$3,AU475))),OR('Tasks Filter'!$I$4="",BF475=IFERROR(MATCH('Tasks Filter'!$I$4,Setup!$L$6:$L$9,0),0)),OR('Tasks Filter'!$I$5="Both",AND('Tasks Filter'!$I$5="Yes",BB475="✓"),AND('Tasks Filter'!$I$5="No",BB475&lt;&gt;"✓")),OR('Tasks Filter'!$L$3="",AV475='Tasks Filter'!$L$3),OR('Tasks Filter'!$L$4="",AZ475='Tasks Filter'!$L$4),OR('Tasks Filter'!$L$5="",BC475='Tasks Filter'!$L$5),OR('Tasks Filter'!$O$3="",BD475='Tasks Filter'!$O$3),OR('Tasks Filter'!$O$4="Yes",BG475=0)),1,0))</f>
        <v/>
      </c>
      <c r="BJ475">
        <f>IF(BH475=0,"",IF('Tasks Filter'!$F$6="Descending",-1,1)*CHOOSE(MATCH('Tasks Filter'!$F$5,Lists!$G$2:$G$6,0),AW475,BF475,IFERROR(MATCH(AV475,Setup!$F$6:$F$15,0),99),IFERROR(MATCH(BC475,Setup!$H$6:$H$15,0),99),IFERROR(MATCH(AZ475,Setup!$J$6:$J$11,0),99))*1E+9+(AW475-40000)*10000+474)</f>
        <v/>
      </c>
      <c r="BK475">
        <f>IF(BI475=1,BJ475,"")</f>
        <v/>
      </c>
      <c r="BL475">
        <f>IF(AND(BH475=1,BG475=0,N(AW475)&lt;Setup!$D$7),(AW475-40000)*10000+474,"")</f>
        <v/>
      </c>
      <c r="BM475">
        <f>IF(AND(BH475=1,AZ475&lt;&gt;"Cancelled",N(AW475)&gt;=Dashboard!$AB$3,N(AW475)&lt;=Dashboard!$AB$3+6),(AW475-40000)*100000+BF475*10000+474,"")</f>
        <v/>
      </c>
      <c r="BN475">
        <f>IF(AND(BH475=1,AZ475&lt;&gt;"Cancelled"),BF475*10000+474,"")</f>
        <v/>
      </c>
    </row>
    <row r="476">
      <c r="AS476" t="inlineStr">
        <is>
          <t>R</t>
        </is>
      </c>
      <c r="AT476" t="n">
        <v>480</v>
      </c>
      <c r="AU476">
        <f>'Recurring Log'!C480&amp;""</f>
        <v/>
      </c>
      <c r="AV476">
        <f>'Recurring Log'!D480&amp;""</f>
        <v/>
      </c>
      <c r="AW476">
        <f>IF('Recurring Log'!E480="","",'Recurring Log'!E480)</f>
        <v/>
      </c>
      <c r="AX476">
        <f>IF('Recurring Log'!G480="","",'Recurring Log'!G480)</f>
        <v/>
      </c>
      <c r="AY476">
        <f>IF('Recurring Log'!H480="","",'Recurring Log'!H480)</f>
        <v/>
      </c>
      <c r="AZ476">
        <f>IF(AU476="","",IF('Recurring Log'!J480="","Not Started",'Recurring Log'!J480))</f>
        <v/>
      </c>
      <c r="BA476">
        <f>'Recurring Log'!L480&amp;""</f>
        <v/>
      </c>
      <c r="BB476">
        <f>'Recurring Log'!M480&amp;""</f>
        <v/>
      </c>
      <c r="BC476">
        <f>'Recurring Log'!N480&amp;""</f>
        <v/>
      </c>
      <c r="BD476">
        <f>'Recurring Log'!O480&amp;""</f>
        <v/>
      </c>
      <c r="BE476">
        <f>IF('Recurring Log'!K480="","",'Recurring Log'!K480)</f>
        <v/>
      </c>
      <c r="BF476">
        <f>IFERROR(MATCH(BA476,Setup!$L$6:$L$9,0),5)</f>
        <v/>
      </c>
      <c r="BG476">
        <f>IF(OR(AZ476="Done",AZ476="Cancelled"),1,0)</f>
        <v/>
      </c>
      <c r="BH476">
        <f>IF(AND(AU476&lt;&gt;"",ISNUMBER(AW476)),1,0)</f>
        <v/>
      </c>
      <c r="BI476">
        <f>IF(BH476=0,0,IF(AND(AW476&gt;='Tasks Filter'!$F$3,AW476&lt;='Tasks Filter'!$F$4,OR('Tasks Filter'!$I$3="",ISNUMBER(SEARCH('Tasks Filter'!$I$3,AU476))),OR('Tasks Filter'!$I$4="",BF476=IFERROR(MATCH('Tasks Filter'!$I$4,Setup!$L$6:$L$9,0),0)),OR('Tasks Filter'!$I$5="Both",AND('Tasks Filter'!$I$5="Yes",BB476="✓"),AND('Tasks Filter'!$I$5="No",BB476&lt;&gt;"✓")),OR('Tasks Filter'!$L$3="",AV476='Tasks Filter'!$L$3),OR('Tasks Filter'!$L$4="",AZ476='Tasks Filter'!$L$4),OR('Tasks Filter'!$L$5="",BC476='Tasks Filter'!$L$5),OR('Tasks Filter'!$O$3="",BD476='Tasks Filter'!$O$3),OR('Tasks Filter'!$O$4="Yes",BG476=0)),1,0))</f>
        <v/>
      </c>
      <c r="BJ476">
        <f>IF(BH476=0,"",IF('Tasks Filter'!$F$6="Descending",-1,1)*CHOOSE(MATCH('Tasks Filter'!$F$5,Lists!$G$2:$G$6,0),AW476,BF476,IFERROR(MATCH(AV476,Setup!$F$6:$F$15,0),99),IFERROR(MATCH(BC476,Setup!$H$6:$H$15,0),99),IFERROR(MATCH(AZ476,Setup!$J$6:$J$11,0),99))*1E+9+(AW476-40000)*10000+475)</f>
        <v/>
      </c>
      <c r="BK476">
        <f>IF(BI476=1,BJ476,"")</f>
        <v/>
      </c>
      <c r="BL476">
        <f>IF(AND(BH476=1,BG476=0,N(AW476)&lt;Setup!$D$7),(AW476-40000)*10000+475,"")</f>
        <v/>
      </c>
      <c r="BM476">
        <f>IF(AND(BH476=1,AZ476&lt;&gt;"Cancelled",N(AW476)&gt;=Dashboard!$AB$3,N(AW476)&lt;=Dashboard!$AB$3+6),(AW476-40000)*100000+BF476*10000+475,"")</f>
        <v/>
      </c>
      <c r="BN476">
        <f>IF(AND(BH476=1,AZ476&lt;&gt;"Cancelled"),BF476*10000+475,"")</f>
        <v/>
      </c>
    </row>
    <row r="477">
      <c r="AS477" t="inlineStr">
        <is>
          <t>R</t>
        </is>
      </c>
      <c r="AT477" t="n">
        <v>481</v>
      </c>
      <c r="AU477">
        <f>'Recurring Log'!C481&amp;""</f>
        <v/>
      </c>
      <c r="AV477">
        <f>'Recurring Log'!D481&amp;""</f>
        <v/>
      </c>
      <c r="AW477">
        <f>IF('Recurring Log'!E481="","",'Recurring Log'!E481)</f>
        <v/>
      </c>
      <c r="AX477">
        <f>IF('Recurring Log'!G481="","",'Recurring Log'!G481)</f>
        <v/>
      </c>
      <c r="AY477">
        <f>IF('Recurring Log'!H481="","",'Recurring Log'!H481)</f>
        <v/>
      </c>
      <c r="AZ477">
        <f>IF(AU477="","",IF('Recurring Log'!J481="","Not Started",'Recurring Log'!J481))</f>
        <v/>
      </c>
      <c r="BA477">
        <f>'Recurring Log'!L481&amp;""</f>
        <v/>
      </c>
      <c r="BB477">
        <f>'Recurring Log'!M481&amp;""</f>
        <v/>
      </c>
      <c r="BC477">
        <f>'Recurring Log'!N481&amp;""</f>
        <v/>
      </c>
      <c r="BD477">
        <f>'Recurring Log'!O481&amp;""</f>
        <v/>
      </c>
      <c r="BE477">
        <f>IF('Recurring Log'!K481="","",'Recurring Log'!K481)</f>
        <v/>
      </c>
      <c r="BF477">
        <f>IFERROR(MATCH(BA477,Setup!$L$6:$L$9,0),5)</f>
        <v/>
      </c>
      <c r="BG477">
        <f>IF(OR(AZ477="Done",AZ477="Cancelled"),1,0)</f>
        <v/>
      </c>
      <c r="BH477">
        <f>IF(AND(AU477&lt;&gt;"",ISNUMBER(AW477)),1,0)</f>
        <v/>
      </c>
      <c r="BI477">
        <f>IF(BH477=0,0,IF(AND(AW477&gt;='Tasks Filter'!$F$3,AW477&lt;='Tasks Filter'!$F$4,OR('Tasks Filter'!$I$3="",ISNUMBER(SEARCH('Tasks Filter'!$I$3,AU477))),OR('Tasks Filter'!$I$4="",BF477=IFERROR(MATCH('Tasks Filter'!$I$4,Setup!$L$6:$L$9,0),0)),OR('Tasks Filter'!$I$5="Both",AND('Tasks Filter'!$I$5="Yes",BB477="✓"),AND('Tasks Filter'!$I$5="No",BB477&lt;&gt;"✓")),OR('Tasks Filter'!$L$3="",AV477='Tasks Filter'!$L$3),OR('Tasks Filter'!$L$4="",AZ477='Tasks Filter'!$L$4),OR('Tasks Filter'!$L$5="",BC477='Tasks Filter'!$L$5),OR('Tasks Filter'!$O$3="",BD477='Tasks Filter'!$O$3),OR('Tasks Filter'!$O$4="Yes",BG477=0)),1,0))</f>
        <v/>
      </c>
      <c r="BJ477">
        <f>IF(BH477=0,"",IF('Tasks Filter'!$F$6="Descending",-1,1)*CHOOSE(MATCH('Tasks Filter'!$F$5,Lists!$G$2:$G$6,0),AW477,BF477,IFERROR(MATCH(AV477,Setup!$F$6:$F$15,0),99),IFERROR(MATCH(BC477,Setup!$H$6:$H$15,0),99),IFERROR(MATCH(AZ477,Setup!$J$6:$J$11,0),99))*1E+9+(AW477-40000)*10000+476)</f>
        <v/>
      </c>
      <c r="BK477">
        <f>IF(BI477=1,BJ477,"")</f>
        <v/>
      </c>
      <c r="BL477">
        <f>IF(AND(BH477=1,BG477=0,N(AW477)&lt;Setup!$D$7),(AW477-40000)*10000+476,"")</f>
        <v/>
      </c>
      <c r="BM477">
        <f>IF(AND(BH477=1,AZ477&lt;&gt;"Cancelled",N(AW477)&gt;=Dashboard!$AB$3,N(AW477)&lt;=Dashboard!$AB$3+6),(AW477-40000)*100000+BF477*10000+476,"")</f>
        <v/>
      </c>
      <c r="BN477">
        <f>IF(AND(BH477=1,AZ477&lt;&gt;"Cancelled"),BF477*10000+476,"")</f>
        <v/>
      </c>
    </row>
    <row r="478">
      <c r="AS478" t="inlineStr">
        <is>
          <t>R</t>
        </is>
      </c>
      <c r="AT478" t="n">
        <v>482</v>
      </c>
      <c r="AU478">
        <f>'Recurring Log'!C482&amp;""</f>
        <v/>
      </c>
      <c r="AV478">
        <f>'Recurring Log'!D482&amp;""</f>
        <v/>
      </c>
      <c r="AW478">
        <f>IF('Recurring Log'!E482="","",'Recurring Log'!E482)</f>
        <v/>
      </c>
      <c r="AX478">
        <f>IF('Recurring Log'!G482="","",'Recurring Log'!G482)</f>
        <v/>
      </c>
      <c r="AY478">
        <f>IF('Recurring Log'!H482="","",'Recurring Log'!H482)</f>
        <v/>
      </c>
      <c r="AZ478">
        <f>IF(AU478="","",IF('Recurring Log'!J482="","Not Started",'Recurring Log'!J482))</f>
        <v/>
      </c>
      <c r="BA478">
        <f>'Recurring Log'!L482&amp;""</f>
        <v/>
      </c>
      <c r="BB478">
        <f>'Recurring Log'!M482&amp;""</f>
        <v/>
      </c>
      <c r="BC478">
        <f>'Recurring Log'!N482&amp;""</f>
        <v/>
      </c>
      <c r="BD478">
        <f>'Recurring Log'!O482&amp;""</f>
        <v/>
      </c>
      <c r="BE478">
        <f>IF('Recurring Log'!K482="","",'Recurring Log'!K482)</f>
        <v/>
      </c>
      <c r="BF478">
        <f>IFERROR(MATCH(BA478,Setup!$L$6:$L$9,0),5)</f>
        <v/>
      </c>
      <c r="BG478">
        <f>IF(OR(AZ478="Done",AZ478="Cancelled"),1,0)</f>
        <v/>
      </c>
      <c r="BH478">
        <f>IF(AND(AU478&lt;&gt;"",ISNUMBER(AW478)),1,0)</f>
        <v/>
      </c>
      <c r="BI478">
        <f>IF(BH478=0,0,IF(AND(AW478&gt;='Tasks Filter'!$F$3,AW478&lt;='Tasks Filter'!$F$4,OR('Tasks Filter'!$I$3="",ISNUMBER(SEARCH('Tasks Filter'!$I$3,AU478))),OR('Tasks Filter'!$I$4="",BF478=IFERROR(MATCH('Tasks Filter'!$I$4,Setup!$L$6:$L$9,0),0)),OR('Tasks Filter'!$I$5="Both",AND('Tasks Filter'!$I$5="Yes",BB478="✓"),AND('Tasks Filter'!$I$5="No",BB478&lt;&gt;"✓")),OR('Tasks Filter'!$L$3="",AV478='Tasks Filter'!$L$3),OR('Tasks Filter'!$L$4="",AZ478='Tasks Filter'!$L$4),OR('Tasks Filter'!$L$5="",BC478='Tasks Filter'!$L$5),OR('Tasks Filter'!$O$3="",BD478='Tasks Filter'!$O$3),OR('Tasks Filter'!$O$4="Yes",BG478=0)),1,0))</f>
        <v/>
      </c>
      <c r="BJ478">
        <f>IF(BH478=0,"",IF('Tasks Filter'!$F$6="Descending",-1,1)*CHOOSE(MATCH('Tasks Filter'!$F$5,Lists!$G$2:$G$6,0),AW478,BF478,IFERROR(MATCH(AV478,Setup!$F$6:$F$15,0),99),IFERROR(MATCH(BC478,Setup!$H$6:$H$15,0),99),IFERROR(MATCH(AZ478,Setup!$J$6:$J$11,0),99))*1E+9+(AW478-40000)*10000+477)</f>
        <v/>
      </c>
      <c r="BK478">
        <f>IF(BI478=1,BJ478,"")</f>
        <v/>
      </c>
      <c r="BL478">
        <f>IF(AND(BH478=1,BG478=0,N(AW478)&lt;Setup!$D$7),(AW478-40000)*10000+477,"")</f>
        <v/>
      </c>
      <c r="BM478">
        <f>IF(AND(BH478=1,AZ478&lt;&gt;"Cancelled",N(AW478)&gt;=Dashboard!$AB$3,N(AW478)&lt;=Dashboard!$AB$3+6),(AW478-40000)*100000+BF478*10000+477,"")</f>
        <v/>
      </c>
      <c r="BN478">
        <f>IF(AND(BH478=1,AZ478&lt;&gt;"Cancelled"),BF478*10000+477,"")</f>
        <v/>
      </c>
    </row>
    <row r="479">
      <c r="AS479" t="inlineStr">
        <is>
          <t>R</t>
        </is>
      </c>
      <c r="AT479" t="n">
        <v>483</v>
      </c>
      <c r="AU479">
        <f>'Recurring Log'!C483&amp;""</f>
        <v/>
      </c>
      <c r="AV479">
        <f>'Recurring Log'!D483&amp;""</f>
        <v/>
      </c>
      <c r="AW479">
        <f>IF('Recurring Log'!E483="","",'Recurring Log'!E483)</f>
        <v/>
      </c>
      <c r="AX479">
        <f>IF('Recurring Log'!G483="","",'Recurring Log'!G483)</f>
        <v/>
      </c>
      <c r="AY479">
        <f>IF('Recurring Log'!H483="","",'Recurring Log'!H483)</f>
        <v/>
      </c>
      <c r="AZ479">
        <f>IF(AU479="","",IF('Recurring Log'!J483="","Not Started",'Recurring Log'!J483))</f>
        <v/>
      </c>
      <c r="BA479">
        <f>'Recurring Log'!L483&amp;""</f>
        <v/>
      </c>
      <c r="BB479">
        <f>'Recurring Log'!M483&amp;""</f>
        <v/>
      </c>
      <c r="BC479">
        <f>'Recurring Log'!N483&amp;""</f>
        <v/>
      </c>
      <c r="BD479">
        <f>'Recurring Log'!O483&amp;""</f>
        <v/>
      </c>
      <c r="BE479">
        <f>IF('Recurring Log'!K483="","",'Recurring Log'!K483)</f>
        <v/>
      </c>
      <c r="BF479">
        <f>IFERROR(MATCH(BA479,Setup!$L$6:$L$9,0),5)</f>
        <v/>
      </c>
      <c r="BG479">
        <f>IF(OR(AZ479="Done",AZ479="Cancelled"),1,0)</f>
        <v/>
      </c>
      <c r="BH479">
        <f>IF(AND(AU479&lt;&gt;"",ISNUMBER(AW479)),1,0)</f>
        <v/>
      </c>
      <c r="BI479">
        <f>IF(BH479=0,0,IF(AND(AW479&gt;='Tasks Filter'!$F$3,AW479&lt;='Tasks Filter'!$F$4,OR('Tasks Filter'!$I$3="",ISNUMBER(SEARCH('Tasks Filter'!$I$3,AU479))),OR('Tasks Filter'!$I$4="",BF479=IFERROR(MATCH('Tasks Filter'!$I$4,Setup!$L$6:$L$9,0),0)),OR('Tasks Filter'!$I$5="Both",AND('Tasks Filter'!$I$5="Yes",BB479="✓"),AND('Tasks Filter'!$I$5="No",BB479&lt;&gt;"✓")),OR('Tasks Filter'!$L$3="",AV479='Tasks Filter'!$L$3),OR('Tasks Filter'!$L$4="",AZ479='Tasks Filter'!$L$4),OR('Tasks Filter'!$L$5="",BC479='Tasks Filter'!$L$5),OR('Tasks Filter'!$O$3="",BD479='Tasks Filter'!$O$3),OR('Tasks Filter'!$O$4="Yes",BG479=0)),1,0))</f>
        <v/>
      </c>
      <c r="BJ479">
        <f>IF(BH479=0,"",IF('Tasks Filter'!$F$6="Descending",-1,1)*CHOOSE(MATCH('Tasks Filter'!$F$5,Lists!$G$2:$G$6,0),AW479,BF479,IFERROR(MATCH(AV479,Setup!$F$6:$F$15,0),99),IFERROR(MATCH(BC479,Setup!$H$6:$H$15,0),99),IFERROR(MATCH(AZ479,Setup!$J$6:$J$11,0),99))*1E+9+(AW479-40000)*10000+478)</f>
        <v/>
      </c>
      <c r="BK479">
        <f>IF(BI479=1,BJ479,"")</f>
        <v/>
      </c>
      <c r="BL479">
        <f>IF(AND(BH479=1,BG479=0,N(AW479)&lt;Setup!$D$7),(AW479-40000)*10000+478,"")</f>
        <v/>
      </c>
      <c r="BM479">
        <f>IF(AND(BH479=1,AZ479&lt;&gt;"Cancelled",N(AW479)&gt;=Dashboard!$AB$3,N(AW479)&lt;=Dashboard!$AB$3+6),(AW479-40000)*100000+BF479*10000+478,"")</f>
        <v/>
      </c>
      <c r="BN479">
        <f>IF(AND(BH479=1,AZ479&lt;&gt;"Cancelled"),BF479*10000+478,"")</f>
        <v/>
      </c>
    </row>
    <row r="480">
      <c r="AS480" t="inlineStr">
        <is>
          <t>R</t>
        </is>
      </c>
      <c r="AT480" t="n">
        <v>484</v>
      </c>
      <c r="AU480">
        <f>'Recurring Log'!C484&amp;""</f>
        <v/>
      </c>
      <c r="AV480">
        <f>'Recurring Log'!D484&amp;""</f>
        <v/>
      </c>
      <c r="AW480">
        <f>IF('Recurring Log'!E484="","",'Recurring Log'!E484)</f>
        <v/>
      </c>
      <c r="AX480">
        <f>IF('Recurring Log'!G484="","",'Recurring Log'!G484)</f>
        <v/>
      </c>
      <c r="AY480">
        <f>IF('Recurring Log'!H484="","",'Recurring Log'!H484)</f>
        <v/>
      </c>
      <c r="AZ480">
        <f>IF(AU480="","",IF('Recurring Log'!J484="","Not Started",'Recurring Log'!J484))</f>
        <v/>
      </c>
      <c r="BA480">
        <f>'Recurring Log'!L484&amp;""</f>
        <v/>
      </c>
      <c r="BB480">
        <f>'Recurring Log'!M484&amp;""</f>
        <v/>
      </c>
      <c r="BC480">
        <f>'Recurring Log'!N484&amp;""</f>
        <v/>
      </c>
      <c r="BD480">
        <f>'Recurring Log'!O484&amp;""</f>
        <v/>
      </c>
      <c r="BE480">
        <f>IF('Recurring Log'!K484="","",'Recurring Log'!K484)</f>
        <v/>
      </c>
      <c r="BF480">
        <f>IFERROR(MATCH(BA480,Setup!$L$6:$L$9,0),5)</f>
        <v/>
      </c>
      <c r="BG480">
        <f>IF(OR(AZ480="Done",AZ480="Cancelled"),1,0)</f>
        <v/>
      </c>
      <c r="BH480">
        <f>IF(AND(AU480&lt;&gt;"",ISNUMBER(AW480)),1,0)</f>
        <v/>
      </c>
      <c r="BI480">
        <f>IF(BH480=0,0,IF(AND(AW480&gt;='Tasks Filter'!$F$3,AW480&lt;='Tasks Filter'!$F$4,OR('Tasks Filter'!$I$3="",ISNUMBER(SEARCH('Tasks Filter'!$I$3,AU480))),OR('Tasks Filter'!$I$4="",BF480=IFERROR(MATCH('Tasks Filter'!$I$4,Setup!$L$6:$L$9,0),0)),OR('Tasks Filter'!$I$5="Both",AND('Tasks Filter'!$I$5="Yes",BB480="✓"),AND('Tasks Filter'!$I$5="No",BB480&lt;&gt;"✓")),OR('Tasks Filter'!$L$3="",AV480='Tasks Filter'!$L$3),OR('Tasks Filter'!$L$4="",AZ480='Tasks Filter'!$L$4),OR('Tasks Filter'!$L$5="",BC480='Tasks Filter'!$L$5),OR('Tasks Filter'!$O$3="",BD480='Tasks Filter'!$O$3),OR('Tasks Filter'!$O$4="Yes",BG480=0)),1,0))</f>
        <v/>
      </c>
      <c r="BJ480">
        <f>IF(BH480=0,"",IF('Tasks Filter'!$F$6="Descending",-1,1)*CHOOSE(MATCH('Tasks Filter'!$F$5,Lists!$G$2:$G$6,0),AW480,BF480,IFERROR(MATCH(AV480,Setup!$F$6:$F$15,0),99),IFERROR(MATCH(BC480,Setup!$H$6:$H$15,0),99),IFERROR(MATCH(AZ480,Setup!$J$6:$J$11,0),99))*1E+9+(AW480-40000)*10000+479)</f>
        <v/>
      </c>
      <c r="BK480">
        <f>IF(BI480=1,BJ480,"")</f>
        <v/>
      </c>
      <c r="BL480">
        <f>IF(AND(BH480=1,BG480=0,N(AW480)&lt;Setup!$D$7),(AW480-40000)*10000+479,"")</f>
        <v/>
      </c>
      <c r="BM480">
        <f>IF(AND(BH480=1,AZ480&lt;&gt;"Cancelled",N(AW480)&gt;=Dashboard!$AB$3,N(AW480)&lt;=Dashboard!$AB$3+6),(AW480-40000)*100000+BF480*10000+479,"")</f>
        <v/>
      </c>
      <c r="BN480">
        <f>IF(AND(BH480=1,AZ480&lt;&gt;"Cancelled"),BF480*10000+479,"")</f>
        <v/>
      </c>
    </row>
    <row r="481">
      <c r="AS481" t="inlineStr">
        <is>
          <t>R</t>
        </is>
      </c>
      <c r="AT481" t="n">
        <v>485</v>
      </c>
      <c r="AU481">
        <f>'Recurring Log'!C485&amp;""</f>
        <v/>
      </c>
      <c r="AV481">
        <f>'Recurring Log'!D485&amp;""</f>
        <v/>
      </c>
      <c r="AW481">
        <f>IF('Recurring Log'!E485="","",'Recurring Log'!E485)</f>
        <v/>
      </c>
      <c r="AX481">
        <f>IF('Recurring Log'!G485="","",'Recurring Log'!G485)</f>
        <v/>
      </c>
      <c r="AY481">
        <f>IF('Recurring Log'!H485="","",'Recurring Log'!H485)</f>
        <v/>
      </c>
      <c r="AZ481">
        <f>IF(AU481="","",IF('Recurring Log'!J485="","Not Started",'Recurring Log'!J485))</f>
        <v/>
      </c>
      <c r="BA481">
        <f>'Recurring Log'!L485&amp;""</f>
        <v/>
      </c>
      <c r="BB481">
        <f>'Recurring Log'!M485&amp;""</f>
        <v/>
      </c>
      <c r="BC481">
        <f>'Recurring Log'!N485&amp;""</f>
        <v/>
      </c>
      <c r="BD481">
        <f>'Recurring Log'!O485&amp;""</f>
        <v/>
      </c>
      <c r="BE481">
        <f>IF('Recurring Log'!K485="","",'Recurring Log'!K485)</f>
        <v/>
      </c>
      <c r="BF481">
        <f>IFERROR(MATCH(BA481,Setup!$L$6:$L$9,0),5)</f>
        <v/>
      </c>
      <c r="BG481">
        <f>IF(OR(AZ481="Done",AZ481="Cancelled"),1,0)</f>
        <v/>
      </c>
      <c r="BH481">
        <f>IF(AND(AU481&lt;&gt;"",ISNUMBER(AW481)),1,0)</f>
        <v/>
      </c>
      <c r="BI481">
        <f>IF(BH481=0,0,IF(AND(AW481&gt;='Tasks Filter'!$F$3,AW481&lt;='Tasks Filter'!$F$4,OR('Tasks Filter'!$I$3="",ISNUMBER(SEARCH('Tasks Filter'!$I$3,AU481))),OR('Tasks Filter'!$I$4="",BF481=IFERROR(MATCH('Tasks Filter'!$I$4,Setup!$L$6:$L$9,0),0)),OR('Tasks Filter'!$I$5="Both",AND('Tasks Filter'!$I$5="Yes",BB481="✓"),AND('Tasks Filter'!$I$5="No",BB481&lt;&gt;"✓")),OR('Tasks Filter'!$L$3="",AV481='Tasks Filter'!$L$3),OR('Tasks Filter'!$L$4="",AZ481='Tasks Filter'!$L$4),OR('Tasks Filter'!$L$5="",BC481='Tasks Filter'!$L$5),OR('Tasks Filter'!$O$3="",BD481='Tasks Filter'!$O$3),OR('Tasks Filter'!$O$4="Yes",BG481=0)),1,0))</f>
        <v/>
      </c>
      <c r="BJ481">
        <f>IF(BH481=0,"",IF('Tasks Filter'!$F$6="Descending",-1,1)*CHOOSE(MATCH('Tasks Filter'!$F$5,Lists!$G$2:$G$6,0),AW481,BF481,IFERROR(MATCH(AV481,Setup!$F$6:$F$15,0),99),IFERROR(MATCH(BC481,Setup!$H$6:$H$15,0),99),IFERROR(MATCH(AZ481,Setup!$J$6:$J$11,0),99))*1E+9+(AW481-40000)*10000+480)</f>
        <v/>
      </c>
      <c r="BK481">
        <f>IF(BI481=1,BJ481,"")</f>
        <v/>
      </c>
      <c r="BL481">
        <f>IF(AND(BH481=1,BG481=0,N(AW481)&lt;Setup!$D$7),(AW481-40000)*10000+480,"")</f>
        <v/>
      </c>
      <c r="BM481">
        <f>IF(AND(BH481=1,AZ481&lt;&gt;"Cancelled",N(AW481)&gt;=Dashboard!$AB$3,N(AW481)&lt;=Dashboard!$AB$3+6),(AW481-40000)*100000+BF481*10000+480,"")</f>
        <v/>
      </c>
      <c r="BN481">
        <f>IF(AND(BH481=1,AZ481&lt;&gt;"Cancelled"),BF481*10000+480,"")</f>
        <v/>
      </c>
    </row>
    <row r="482">
      <c r="AS482" t="inlineStr">
        <is>
          <t>R</t>
        </is>
      </c>
      <c r="AT482" t="n">
        <v>486</v>
      </c>
      <c r="AU482">
        <f>'Recurring Log'!C486&amp;""</f>
        <v/>
      </c>
      <c r="AV482">
        <f>'Recurring Log'!D486&amp;""</f>
        <v/>
      </c>
      <c r="AW482">
        <f>IF('Recurring Log'!E486="","",'Recurring Log'!E486)</f>
        <v/>
      </c>
      <c r="AX482">
        <f>IF('Recurring Log'!G486="","",'Recurring Log'!G486)</f>
        <v/>
      </c>
      <c r="AY482">
        <f>IF('Recurring Log'!H486="","",'Recurring Log'!H486)</f>
        <v/>
      </c>
      <c r="AZ482">
        <f>IF(AU482="","",IF('Recurring Log'!J486="","Not Started",'Recurring Log'!J486))</f>
        <v/>
      </c>
      <c r="BA482">
        <f>'Recurring Log'!L486&amp;""</f>
        <v/>
      </c>
      <c r="BB482">
        <f>'Recurring Log'!M486&amp;""</f>
        <v/>
      </c>
      <c r="BC482">
        <f>'Recurring Log'!N486&amp;""</f>
        <v/>
      </c>
      <c r="BD482">
        <f>'Recurring Log'!O486&amp;""</f>
        <v/>
      </c>
      <c r="BE482">
        <f>IF('Recurring Log'!K486="","",'Recurring Log'!K486)</f>
        <v/>
      </c>
      <c r="BF482">
        <f>IFERROR(MATCH(BA482,Setup!$L$6:$L$9,0),5)</f>
        <v/>
      </c>
      <c r="BG482">
        <f>IF(OR(AZ482="Done",AZ482="Cancelled"),1,0)</f>
        <v/>
      </c>
      <c r="BH482">
        <f>IF(AND(AU482&lt;&gt;"",ISNUMBER(AW482)),1,0)</f>
        <v/>
      </c>
      <c r="BI482">
        <f>IF(BH482=0,0,IF(AND(AW482&gt;='Tasks Filter'!$F$3,AW482&lt;='Tasks Filter'!$F$4,OR('Tasks Filter'!$I$3="",ISNUMBER(SEARCH('Tasks Filter'!$I$3,AU482))),OR('Tasks Filter'!$I$4="",BF482=IFERROR(MATCH('Tasks Filter'!$I$4,Setup!$L$6:$L$9,0),0)),OR('Tasks Filter'!$I$5="Both",AND('Tasks Filter'!$I$5="Yes",BB482="✓"),AND('Tasks Filter'!$I$5="No",BB482&lt;&gt;"✓")),OR('Tasks Filter'!$L$3="",AV482='Tasks Filter'!$L$3),OR('Tasks Filter'!$L$4="",AZ482='Tasks Filter'!$L$4),OR('Tasks Filter'!$L$5="",BC482='Tasks Filter'!$L$5),OR('Tasks Filter'!$O$3="",BD482='Tasks Filter'!$O$3),OR('Tasks Filter'!$O$4="Yes",BG482=0)),1,0))</f>
        <v/>
      </c>
      <c r="BJ482">
        <f>IF(BH482=0,"",IF('Tasks Filter'!$F$6="Descending",-1,1)*CHOOSE(MATCH('Tasks Filter'!$F$5,Lists!$G$2:$G$6,0),AW482,BF482,IFERROR(MATCH(AV482,Setup!$F$6:$F$15,0),99),IFERROR(MATCH(BC482,Setup!$H$6:$H$15,0),99),IFERROR(MATCH(AZ482,Setup!$J$6:$J$11,0),99))*1E+9+(AW482-40000)*10000+481)</f>
        <v/>
      </c>
      <c r="BK482">
        <f>IF(BI482=1,BJ482,"")</f>
        <v/>
      </c>
      <c r="BL482">
        <f>IF(AND(BH482=1,BG482=0,N(AW482)&lt;Setup!$D$7),(AW482-40000)*10000+481,"")</f>
        <v/>
      </c>
      <c r="BM482">
        <f>IF(AND(BH482=1,AZ482&lt;&gt;"Cancelled",N(AW482)&gt;=Dashboard!$AB$3,N(AW482)&lt;=Dashboard!$AB$3+6),(AW482-40000)*100000+BF482*10000+481,"")</f>
        <v/>
      </c>
      <c r="BN482">
        <f>IF(AND(BH482=1,AZ482&lt;&gt;"Cancelled"),BF482*10000+481,"")</f>
        <v/>
      </c>
    </row>
    <row r="483">
      <c r="AS483" t="inlineStr">
        <is>
          <t>R</t>
        </is>
      </c>
      <c r="AT483" t="n">
        <v>487</v>
      </c>
      <c r="AU483">
        <f>'Recurring Log'!C487&amp;""</f>
        <v/>
      </c>
      <c r="AV483">
        <f>'Recurring Log'!D487&amp;""</f>
        <v/>
      </c>
      <c r="AW483">
        <f>IF('Recurring Log'!E487="","",'Recurring Log'!E487)</f>
        <v/>
      </c>
      <c r="AX483">
        <f>IF('Recurring Log'!G487="","",'Recurring Log'!G487)</f>
        <v/>
      </c>
      <c r="AY483">
        <f>IF('Recurring Log'!H487="","",'Recurring Log'!H487)</f>
        <v/>
      </c>
      <c r="AZ483">
        <f>IF(AU483="","",IF('Recurring Log'!J487="","Not Started",'Recurring Log'!J487))</f>
        <v/>
      </c>
      <c r="BA483">
        <f>'Recurring Log'!L487&amp;""</f>
        <v/>
      </c>
      <c r="BB483">
        <f>'Recurring Log'!M487&amp;""</f>
        <v/>
      </c>
      <c r="BC483">
        <f>'Recurring Log'!N487&amp;""</f>
        <v/>
      </c>
      <c r="BD483">
        <f>'Recurring Log'!O487&amp;""</f>
        <v/>
      </c>
      <c r="BE483">
        <f>IF('Recurring Log'!K487="","",'Recurring Log'!K487)</f>
        <v/>
      </c>
      <c r="BF483">
        <f>IFERROR(MATCH(BA483,Setup!$L$6:$L$9,0),5)</f>
        <v/>
      </c>
      <c r="BG483">
        <f>IF(OR(AZ483="Done",AZ483="Cancelled"),1,0)</f>
        <v/>
      </c>
      <c r="BH483">
        <f>IF(AND(AU483&lt;&gt;"",ISNUMBER(AW483)),1,0)</f>
        <v/>
      </c>
      <c r="BI483">
        <f>IF(BH483=0,0,IF(AND(AW483&gt;='Tasks Filter'!$F$3,AW483&lt;='Tasks Filter'!$F$4,OR('Tasks Filter'!$I$3="",ISNUMBER(SEARCH('Tasks Filter'!$I$3,AU483))),OR('Tasks Filter'!$I$4="",BF483=IFERROR(MATCH('Tasks Filter'!$I$4,Setup!$L$6:$L$9,0),0)),OR('Tasks Filter'!$I$5="Both",AND('Tasks Filter'!$I$5="Yes",BB483="✓"),AND('Tasks Filter'!$I$5="No",BB483&lt;&gt;"✓")),OR('Tasks Filter'!$L$3="",AV483='Tasks Filter'!$L$3),OR('Tasks Filter'!$L$4="",AZ483='Tasks Filter'!$L$4),OR('Tasks Filter'!$L$5="",BC483='Tasks Filter'!$L$5),OR('Tasks Filter'!$O$3="",BD483='Tasks Filter'!$O$3),OR('Tasks Filter'!$O$4="Yes",BG483=0)),1,0))</f>
        <v/>
      </c>
      <c r="BJ483">
        <f>IF(BH483=0,"",IF('Tasks Filter'!$F$6="Descending",-1,1)*CHOOSE(MATCH('Tasks Filter'!$F$5,Lists!$G$2:$G$6,0),AW483,BF483,IFERROR(MATCH(AV483,Setup!$F$6:$F$15,0),99),IFERROR(MATCH(BC483,Setup!$H$6:$H$15,0),99),IFERROR(MATCH(AZ483,Setup!$J$6:$J$11,0),99))*1E+9+(AW483-40000)*10000+482)</f>
        <v/>
      </c>
      <c r="BK483">
        <f>IF(BI483=1,BJ483,"")</f>
        <v/>
      </c>
      <c r="BL483">
        <f>IF(AND(BH483=1,BG483=0,N(AW483)&lt;Setup!$D$7),(AW483-40000)*10000+482,"")</f>
        <v/>
      </c>
      <c r="BM483">
        <f>IF(AND(BH483=1,AZ483&lt;&gt;"Cancelled",N(AW483)&gt;=Dashboard!$AB$3,N(AW483)&lt;=Dashboard!$AB$3+6),(AW483-40000)*100000+BF483*10000+482,"")</f>
        <v/>
      </c>
      <c r="BN483">
        <f>IF(AND(BH483=1,AZ483&lt;&gt;"Cancelled"),BF483*10000+482,"")</f>
        <v/>
      </c>
    </row>
    <row r="484">
      <c r="AS484" t="inlineStr">
        <is>
          <t>R</t>
        </is>
      </c>
      <c r="AT484" t="n">
        <v>488</v>
      </c>
      <c r="AU484">
        <f>'Recurring Log'!C488&amp;""</f>
        <v/>
      </c>
      <c r="AV484">
        <f>'Recurring Log'!D488&amp;""</f>
        <v/>
      </c>
      <c r="AW484">
        <f>IF('Recurring Log'!E488="","",'Recurring Log'!E488)</f>
        <v/>
      </c>
      <c r="AX484">
        <f>IF('Recurring Log'!G488="","",'Recurring Log'!G488)</f>
        <v/>
      </c>
      <c r="AY484">
        <f>IF('Recurring Log'!H488="","",'Recurring Log'!H488)</f>
        <v/>
      </c>
      <c r="AZ484">
        <f>IF(AU484="","",IF('Recurring Log'!J488="","Not Started",'Recurring Log'!J488))</f>
        <v/>
      </c>
      <c r="BA484">
        <f>'Recurring Log'!L488&amp;""</f>
        <v/>
      </c>
      <c r="BB484">
        <f>'Recurring Log'!M488&amp;""</f>
        <v/>
      </c>
      <c r="BC484">
        <f>'Recurring Log'!N488&amp;""</f>
        <v/>
      </c>
      <c r="BD484">
        <f>'Recurring Log'!O488&amp;""</f>
        <v/>
      </c>
      <c r="BE484">
        <f>IF('Recurring Log'!K488="","",'Recurring Log'!K488)</f>
        <v/>
      </c>
      <c r="BF484">
        <f>IFERROR(MATCH(BA484,Setup!$L$6:$L$9,0),5)</f>
        <v/>
      </c>
      <c r="BG484">
        <f>IF(OR(AZ484="Done",AZ484="Cancelled"),1,0)</f>
        <v/>
      </c>
      <c r="BH484">
        <f>IF(AND(AU484&lt;&gt;"",ISNUMBER(AW484)),1,0)</f>
        <v/>
      </c>
      <c r="BI484">
        <f>IF(BH484=0,0,IF(AND(AW484&gt;='Tasks Filter'!$F$3,AW484&lt;='Tasks Filter'!$F$4,OR('Tasks Filter'!$I$3="",ISNUMBER(SEARCH('Tasks Filter'!$I$3,AU484))),OR('Tasks Filter'!$I$4="",BF484=IFERROR(MATCH('Tasks Filter'!$I$4,Setup!$L$6:$L$9,0),0)),OR('Tasks Filter'!$I$5="Both",AND('Tasks Filter'!$I$5="Yes",BB484="✓"),AND('Tasks Filter'!$I$5="No",BB484&lt;&gt;"✓")),OR('Tasks Filter'!$L$3="",AV484='Tasks Filter'!$L$3),OR('Tasks Filter'!$L$4="",AZ484='Tasks Filter'!$L$4),OR('Tasks Filter'!$L$5="",BC484='Tasks Filter'!$L$5),OR('Tasks Filter'!$O$3="",BD484='Tasks Filter'!$O$3),OR('Tasks Filter'!$O$4="Yes",BG484=0)),1,0))</f>
        <v/>
      </c>
      <c r="BJ484">
        <f>IF(BH484=0,"",IF('Tasks Filter'!$F$6="Descending",-1,1)*CHOOSE(MATCH('Tasks Filter'!$F$5,Lists!$G$2:$G$6,0),AW484,BF484,IFERROR(MATCH(AV484,Setup!$F$6:$F$15,0),99),IFERROR(MATCH(BC484,Setup!$H$6:$H$15,0),99),IFERROR(MATCH(AZ484,Setup!$J$6:$J$11,0),99))*1E+9+(AW484-40000)*10000+483)</f>
        <v/>
      </c>
      <c r="BK484">
        <f>IF(BI484=1,BJ484,"")</f>
        <v/>
      </c>
      <c r="BL484">
        <f>IF(AND(BH484=1,BG484=0,N(AW484)&lt;Setup!$D$7),(AW484-40000)*10000+483,"")</f>
        <v/>
      </c>
      <c r="BM484">
        <f>IF(AND(BH484=1,AZ484&lt;&gt;"Cancelled",N(AW484)&gt;=Dashboard!$AB$3,N(AW484)&lt;=Dashboard!$AB$3+6),(AW484-40000)*100000+BF484*10000+483,"")</f>
        <v/>
      </c>
      <c r="BN484">
        <f>IF(AND(BH484=1,AZ484&lt;&gt;"Cancelled"),BF484*10000+483,"")</f>
        <v/>
      </c>
    </row>
    <row r="485">
      <c r="AS485" t="inlineStr">
        <is>
          <t>R</t>
        </is>
      </c>
      <c r="AT485" t="n">
        <v>489</v>
      </c>
      <c r="AU485">
        <f>'Recurring Log'!C489&amp;""</f>
        <v/>
      </c>
      <c r="AV485">
        <f>'Recurring Log'!D489&amp;""</f>
        <v/>
      </c>
      <c r="AW485">
        <f>IF('Recurring Log'!E489="","",'Recurring Log'!E489)</f>
        <v/>
      </c>
      <c r="AX485">
        <f>IF('Recurring Log'!G489="","",'Recurring Log'!G489)</f>
        <v/>
      </c>
      <c r="AY485">
        <f>IF('Recurring Log'!H489="","",'Recurring Log'!H489)</f>
        <v/>
      </c>
      <c r="AZ485">
        <f>IF(AU485="","",IF('Recurring Log'!J489="","Not Started",'Recurring Log'!J489))</f>
        <v/>
      </c>
      <c r="BA485">
        <f>'Recurring Log'!L489&amp;""</f>
        <v/>
      </c>
      <c r="BB485">
        <f>'Recurring Log'!M489&amp;""</f>
        <v/>
      </c>
      <c r="BC485">
        <f>'Recurring Log'!N489&amp;""</f>
        <v/>
      </c>
      <c r="BD485">
        <f>'Recurring Log'!O489&amp;""</f>
        <v/>
      </c>
      <c r="BE485">
        <f>IF('Recurring Log'!K489="","",'Recurring Log'!K489)</f>
        <v/>
      </c>
      <c r="BF485">
        <f>IFERROR(MATCH(BA485,Setup!$L$6:$L$9,0),5)</f>
        <v/>
      </c>
      <c r="BG485">
        <f>IF(OR(AZ485="Done",AZ485="Cancelled"),1,0)</f>
        <v/>
      </c>
      <c r="BH485">
        <f>IF(AND(AU485&lt;&gt;"",ISNUMBER(AW485)),1,0)</f>
        <v/>
      </c>
      <c r="BI485">
        <f>IF(BH485=0,0,IF(AND(AW485&gt;='Tasks Filter'!$F$3,AW485&lt;='Tasks Filter'!$F$4,OR('Tasks Filter'!$I$3="",ISNUMBER(SEARCH('Tasks Filter'!$I$3,AU485))),OR('Tasks Filter'!$I$4="",BF485=IFERROR(MATCH('Tasks Filter'!$I$4,Setup!$L$6:$L$9,0),0)),OR('Tasks Filter'!$I$5="Both",AND('Tasks Filter'!$I$5="Yes",BB485="✓"),AND('Tasks Filter'!$I$5="No",BB485&lt;&gt;"✓")),OR('Tasks Filter'!$L$3="",AV485='Tasks Filter'!$L$3),OR('Tasks Filter'!$L$4="",AZ485='Tasks Filter'!$L$4),OR('Tasks Filter'!$L$5="",BC485='Tasks Filter'!$L$5),OR('Tasks Filter'!$O$3="",BD485='Tasks Filter'!$O$3),OR('Tasks Filter'!$O$4="Yes",BG485=0)),1,0))</f>
        <v/>
      </c>
      <c r="BJ485">
        <f>IF(BH485=0,"",IF('Tasks Filter'!$F$6="Descending",-1,1)*CHOOSE(MATCH('Tasks Filter'!$F$5,Lists!$G$2:$G$6,0),AW485,BF485,IFERROR(MATCH(AV485,Setup!$F$6:$F$15,0),99),IFERROR(MATCH(BC485,Setup!$H$6:$H$15,0),99),IFERROR(MATCH(AZ485,Setup!$J$6:$J$11,0),99))*1E+9+(AW485-40000)*10000+484)</f>
        <v/>
      </c>
      <c r="BK485">
        <f>IF(BI485=1,BJ485,"")</f>
        <v/>
      </c>
      <c r="BL485">
        <f>IF(AND(BH485=1,BG485=0,N(AW485)&lt;Setup!$D$7),(AW485-40000)*10000+484,"")</f>
        <v/>
      </c>
      <c r="BM485">
        <f>IF(AND(BH485=1,AZ485&lt;&gt;"Cancelled",N(AW485)&gt;=Dashboard!$AB$3,N(AW485)&lt;=Dashboard!$AB$3+6),(AW485-40000)*100000+BF485*10000+484,"")</f>
        <v/>
      </c>
      <c r="BN485">
        <f>IF(AND(BH485=1,AZ485&lt;&gt;"Cancelled"),BF485*10000+484,"")</f>
        <v/>
      </c>
    </row>
    <row r="486">
      <c r="AS486" t="inlineStr">
        <is>
          <t>R</t>
        </is>
      </c>
      <c r="AT486" t="n">
        <v>490</v>
      </c>
      <c r="AU486">
        <f>'Recurring Log'!C490&amp;""</f>
        <v/>
      </c>
      <c r="AV486">
        <f>'Recurring Log'!D490&amp;""</f>
        <v/>
      </c>
      <c r="AW486">
        <f>IF('Recurring Log'!E490="","",'Recurring Log'!E490)</f>
        <v/>
      </c>
      <c r="AX486">
        <f>IF('Recurring Log'!G490="","",'Recurring Log'!G490)</f>
        <v/>
      </c>
      <c r="AY486">
        <f>IF('Recurring Log'!H490="","",'Recurring Log'!H490)</f>
        <v/>
      </c>
      <c r="AZ486">
        <f>IF(AU486="","",IF('Recurring Log'!J490="","Not Started",'Recurring Log'!J490))</f>
        <v/>
      </c>
      <c r="BA486">
        <f>'Recurring Log'!L490&amp;""</f>
        <v/>
      </c>
      <c r="BB486">
        <f>'Recurring Log'!M490&amp;""</f>
        <v/>
      </c>
      <c r="BC486">
        <f>'Recurring Log'!N490&amp;""</f>
        <v/>
      </c>
      <c r="BD486">
        <f>'Recurring Log'!O490&amp;""</f>
        <v/>
      </c>
      <c r="BE486">
        <f>IF('Recurring Log'!K490="","",'Recurring Log'!K490)</f>
        <v/>
      </c>
      <c r="BF486">
        <f>IFERROR(MATCH(BA486,Setup!$L$6:$L$9,0),5)</f>
        <v/>
      </c>
      <c r="BG486">
        <f>IF(OR(AZ486="Done",AZ486="Cancelled"),1,0)</f>
        <v/>
      </c>
      <c r="BH486">
        <f>IF(AND(AU486&lt;&gt;"",ISNUMBER(AW486)),1,0)</f>
        <v/>
      </c>
      <c r="BI486">
        <f>IF(BH486=0,0,IF(AND(AW486&gt;='Tasks Filter'!$F$3,AW486&lt;='Tasks Filter'!$F$4,OR('Tasks Filter'!$I$3="",ISNUMBER(SEARCH('Tasks Filter'!$I$3,AU486))),OR('Tasks Filter'!$I$4="",BF486=IFERROR(MATCH('Tasks Filter'!$I$4,Setup!$L$6:$L$9,0),0)),OR('Tasks Filter'!$I$5="Both",AND('Tasks Filter'!$I$5="Yes",BB486="✓"),AND('Tasks Filter'!$I$5="No",BB486&lt;&gt;"✓")),OR('Tasks Filter'!$L$3="",AV486='Tasks Filter'!$L$3),OR('Tasks Filter'!$L$4="",AZ486='Tasks Filter'!$L$4),OR('Tasks Filter'!$L$5="",BC486='Tasks Filter'!$L$5),OR('Tasks Filter'!$O$3="",BD486='Tasks Filter'!$O$3),OR('Tasks Filter'!$O$4="Yes",BG486=0)),1,0))</f>
        <v/>
      </c>
      <c r="BJ486">
        <f>IF(BH486=0,"",IF('Tasks Filter'!$F$6="Descending",-1,1)*CHOOSE(MATCH('Tasks Filter'!$F$5,Lists!$G$2:$G$6,0),AW486,BF486,IFERROR(MATCH(AV486,Setup!$F$6:$F$15,0),99),IFERROR(MATCH(BC486,Setup!$H$6:$H$15,0),99),IFERROR(MATCH(AZ486,Setup!$J$6:$J$11,0),99))*1E+9+(AW486-40000)*10000+485)</f>
        <v/>
      </c>
      <c r="BK486">
        <f>IF(BI486=1,BJ486,"")</f>
        <v/>
      </c>
      <c r="BL486">
        <f>IF(AND(BH486=1,BG486=0,N(AW486)&lt;Setup!$D$7),(AW486-40000)*10000+485,"")</f>
        <v/>
      </c>
      <c r="BM486">
        <f>IF(AND(BH486=1,AZ486&lt;&gt;"Cancelled",N(AW486)&gt;=Dashboard!$AB$3,N(AW486)&lt;=Dashboard!$AB$3+6),(AW486-40000)*100000+BF486*10000+485,"")</f>
        <v/>
      </c>
      <c r="BN486">
        <f>IF(AND(BH486=1,AZ486&lt;&gt;"Cancelled"),BF486*10000+485,"")</f>
        <v/>
      </c>
    </row>
    <row r="487">
      <c r="AS487" t="inlineStr">
        <is>
          <t>R</t>
        </is>
      </c>
      <c r="AT487" t="n">
        <v>491</v>
      </c>
      <c r="AU487">
        <f>'Recurring Log'!C491&amp;""</f>
        <v/>
      </c>
      <c r="AV487">
        <f>'Recurring Log'!D491&amp;""</f>
        <v/>
      </c>
      <c r="AW487">
        <f>IF('Recurring Log'!E491="","",'Recurring Log'!E491)</f>
        <v/>
      </c>
      <c r="AX487">
        <f>IF('Recurring Log'!G491="","",'Recurring Log'!G491)</f>
        <v/>
      </c>
      <c r="AY487">
        <f>IF('Recurring Log'!H491="","",'Recurring Log'!H491)</f>
        <v/>
      </c>
      <c r="AZ487">
        <f>IF(AU487="","",IF('Recurring Log'!J491="","Not Started",'Recurring Log'!J491))</f>
        <v/>
      </c>
      <c r="BA487">
        <f>'Recurring Log'!L491&amp;""</f>
        <v/>
      </c>
      <c r="BB487">
        <f>'Recurring Log'!M491&amp;""</f>
        <v/>
      </c>
      <c r="BC487">
        <f>'Recurring Log'!N491&amp;""</f>
        <v/>
      </c>
      <c r="BD487">
        <f>'Recurring Log'!O491&amp;""</f>
        <v/>
      </c>
      <c r="BE487">
        <f>IF('Recurring Log'!K491="","",'Recurring Log'!K491)</f>
        <v/>
      </c>
      <c r="BF487">
        <f>IFERROR(MATCH(BA487,Setup!$L$6:$L$9,0),5)</f>
        <v/>
      </c>
      <c r="BG487">
        <f>IF(OR(AZ487="Done",AZ487="Cancelled"),1,0)</f>
        <v/>
      </c>
      <c r="BH487">
        <f>IF(AND(AU487&lt;&gt;"",ISNUMBER(AW487)),1,0)</f>
        <v/>
      </c>
      <c r="BI487">
        <f>IF(BH487=0,0,IF(AND(AW487&gt;='Tasks Filter'!$F$3,AW487&lt;='Tasks Filter'!$F$4,OR('Tasks Filter'!$I$3="",ISNUMBER(SEARCH('Tasks Filter'!$I$3,AU487))),OR('Tasks Filter'!$I$4="",BF487=IFERROR(MATCH('Tasks Filter'!$I$4,Setup!$L$6:$L$9,0),0)),OR('Tasks Filter'!$I$5="Both",AND('Tasks Filter'!$I$5="Yes",BB487="✓"),AND('Tasks Filter'!$I$5="No",BB487&lt;&gt;"✓")),OR('Tasks Filter'!$L$3="",AV487='Tasks Filter'!$L$3),OR('Tasks Filter'!$L$4="",AZ487='Tasks Filter'!$L$4),OR('Tasks Filter'!$L$5="",BC487='Tasks Filter'!$L$5),OR('Tasks Filter'!$O$3="",BD487='Tasks Filter'!$O$3),OR('Tasks Filter'!$O$4="Yes",BG487=0)),1,0))</f>
        <v/>
      </c>
      <c r="BJ487">
        <f>IF(BH487=0,"",IF('Tasks Filter'!$F$6="Descending",-1,1)*CHOOSE(MATCH('Tasks Filter'!$F$5,Lists!$G$2:$G$6,0),AW487,BF487,IFERROR(MATCH(AV487,Setup!$F$6:$F$15,0),99),IFERROR(MATCH(BC487,Setup!$H$6:$H$15,0),99),IFERROR(MATCH(AZ487,Setup!$J$6:$J$11,0),99))*1E+9+(AW487-40000)*10000+486)</f>
        <v/>
      </c>
      <c r="BK487">
        <f>IF(BI487=1,BJ487,"")</f>
        <v/>
      </c>
      <c r="BL487">
        <f>IF(AND(BH487=1,BG487=0,N(AW487)&lt;Setup!$D$7),(AW487-40000)*10000+486,"")</f>
        <v/>
      </c>
      <c r="BM487">
        <f>IF(AND(BH487=1,AZ487&lt;&gt;"Cancelled",N(AW487)&gt;=Dashboard!$AB$3,N(AW487)&lt;=Dashboard!$AB$3+6),(AW487-40000)*100000+BF487*10000+486,"")</f>
        <v/>
      </c>
      <c r="BN487">
        <f>IF(AND(BH487=1,AZ487&lt;&gt;"Cancelled"),BF487*10000+486,"")</f>
        <v/>
      </c>
    </row>
    <row r="488">
      <c r="AS488" t="inlineStr">
        <is>
          <t>R</t>
        </is>
      </c>
      <c r="AT488" t="n">
        <v>492</v>
      </c>
      <c r="AU488">
        <f>'Recurring Log'!C492&amp;""</f>
        <v/>
      </c>
      <c r="AV488">
        <f>'Recurring Log'!D492&amp;""</f>
        <v/>
      </c>
      <c r="AW488">
        <f>IF('Recurring Log'!E492="","",'Recurring Log'!E492)</f>
        <v/>
      </c>
      <c r="AX488">
        <f>IF('Recurring Log'!G492="","",'Recurring Log'!G492)</f>
        <v/>
      </c>
      <c r="AY488">
        <f>IF('Recurring Log'!H492="","",'Recurring Log'!H492)</f>
        <v/>
      </c>
      <c r="AZ488">
        <f>IF(AU488="","",IF('Recurring Log'!J492="","Not Started",'Recurring Log'!J492))</f>
        <v/>
      </c>
      <c r="BA488">
        <f>'Recurring Log'!L492&amp;""</f>
        <v/>
      </c>
      <c r="BB488">
        <f>'Recurring Log'!M492&amp;""</f>
        <v/>
      </c>
      <c r="BC488">
        <f>'Recurring Log'!N492&amp;""</f>
        <v/>
      </c>
      <c r="BD488">
        <f>'Recurring Log'!O492&amp;""</f>
        <v/>
      </c>
      <c r="BE488">
        <f>IF('Recurring Log'!K492="","",'Recurring Log'!K492)</f>
        <v/>
      </c>
      <c r="BF488">
        <f>IFERROR(MATCH(BA488,Setup!$L$6:$L$9,0),5)</f>
        <v/>
      </c>
      <c r="BG488">
        <f>IF(OR(AZ488="Done",AZ488="Cancelled"),1,0)</f>
        <v/>
      </c>
      <c r="BH488">
        <f>IF(AND(AU488&lt;&gt;"",ISNUMBER(AW488)),1,0)</f>
        <v/>
      </c>
      <c r="BI488">
        <f>IF(BH488=0,0,IF(AND(AW488&gt;='Tasks Filter'!$F$3,AW488&lt;='Tasks Filter'!$F$4,OR('Tasks Filter'!$I$3="",ISNUMBER(SEARCH('Tasks Filter'!$I$3,AU488))),OR('Tasks Filter'!$I$4="",BF488=IFERROR(MATCH('Tasks Filter'!$I$4,Setup!$L$6:$L$9,0),0)),OR('Tasks Filter'!$I$5="Both",AND('Tasks Filter'!$I$5="Yes",BB488="✓"),AND('Tasks Filter'!$I$5="No",BB488&lt;&gt;"✓")),OR('Tasks Filter'!$L$3="",AV488='Tasks Filter'!$L$3),OR('Tasks Filter'!$L$4="",AZ488='Tasks Filter'!$L$4),OR('Tasks Filter'!$L$5="",BC488='Tasks Filter'!$L$5),OR('Tasks Filter'!$O$3="",BD488='Tasks Filter'!$O$3),OR('Tasks Filter'!$O$4="Yes",BG488=0)),1,0))</f>
        <v/>
      </c>
      <c r="BJ488">
        <f>IF(BH488=0,"",IF('Tasks Filter'!$F$6="Descending",-1,1)*CHOOSE(MATCH('Tasks Filter'!$F$5,Lists!$G$2:$G$6,0),AW488,BF488,IFERROR(MATCH(AV488,Setup!$F$6:$F$15,0),99),IFERROR(MATCH(BC488,Setup!$H$6:$H$15,0),99),IFERROR(MATCH(AZ488,Setup!$J$6:$J$11,0),99))*1E+9+(AW488-40000)*10000+487)</f>
        <v/>
      </c>
      <c r="BK488">
        <f>IF(BI488=1,BJ488,"")</f>
        <v/>
      </c>
      <c r="BL488">
        <f>IF(AND(BH488=1,BG488=0,N(AW488)&lt;Setup!$D$7),(AW488-40000)*10000+487,"")</f>
        <v/>
      </c>
      <c r="BM488">
        <f>IF(AND(BH488=1,AZ488&lt;&gt;"Cancelled",N(AW488)&gt;=Dashboard!$AB$3,N(AW488)&lt;=Dashboard!$AB$3+6),(AW488-40000)*100000+BF488*10000+487,"")</f>
        <v/>
      </c>
      <c r="BN488">
        <f>IF(AND(BH488=1,AZ488&lt;&gt;"Cancelled"),BF488*10000+487,"")</f>
        <v/>
      </c>
    </row>
    <row r="489">
      <c r="AS489" t="inlineStr">
        <is>
          <t>R</t>
        </is>
      </c>
      <c r="AT489" t="n">
        <v>493</v>
      </c>
      <c r="AU489">
        <f>'Recurring Log'!C493&amp;""</f>
        <v/>
      </c>
      <c r="AV489">
        <f>'Recurring Log'!D493&amp;""</f>
        <v/>
      </c>
      <c r="AW489">
        <f>IF('Recurring Log'!E493="","",'Recurring Log'!E493)</f>
        <v/>
      </c>
      <c r="AX489">
        <f>IF('Recurring Log'!G493="","",'Recurring Log'!G493)</f>
        <v/>
      </c>
      <c r="AY489">
        <f>IF('Recurring Log'!H493="","",'Recurring Log'!H493)</f>
        <v/>
      </c>
      <c r="AZ489">
        <f>IF(AU489="","",IF('Recurring Log'!J493="","Not Started",'Recurring Log'!J493))</f>
        <v/>
      </c>
      <c r="BA489">
        <f>'Recurring Log'!L493&amp;""</f>
        <v/>
      </c>
      <c r="BB489">
        <f>'Recurring Log'!M493&amp;""</f>
        <v/>
      </c>
      <c r="BC489">
        <f>'Recurring Log'!N493&amp;""</f>
        <v/>
      </c>
      <c r="BD489">
        <f>'Recurring Log'!O493&amp;""</f>
        <v/>
      </c>
      <c r="BE489">
        <f>IF('Recurring Log'!K493="","",'Recurring Log'!K493)</f>
        <v/>
      </c>
      <c r="BF489">
        <f>IFERROR(MATCH(BA489,Setup!$L$6:$L$9,0),5)</f>
        <v/>
      </c>
      <c r="BG489">
        <f>IF(OR(AZ489="Done",AZ489="Cancelled"),1,0)</f>
        <v/>
      </c>
      <c r="BH489">
        <f>IF(AND(AU489&lt;&gt;"",ISNUMBER(AW489)),1,0)</f>
        <v/>
      </c>
      <c r="BI489">
        <f>IF(BH489=0,0,IF(AND(AW489&gt;='Tasks Filter'!$F$3,AW489&lt;='Tasks Filter'!$F$4,OR('Tasks Filter'!$I$3="",ISNUMBER(SEARCH('Tasks Filter'!$I$3,AU489))),OR('Tasks Filter'!$I$4="",BF489=IFERROR(MATCH('Tasks Filter'!$I$4,Setup!$L$6:$L$9,0),0)),OR('Tasks Filter'!$I$5="Both",AND('Tasks Filter'!$I$5="Yes",BB489="✓"),AND('Tasks Filter'!$I$5="No",BB489&lt;&gt;"✓")),OR('Tasks Filter'!$L$3="",AV489='Tasks Filter'!$L$3),OR('Tasks Filter'!$L$4="",AZ489='Tasks Filter'!$L$4),OR('Tasks Filter'!$L$5="",BC489='Tasks Filter'!$L$5),OR('Tasks Filter'!$O$3="",BD489='Tasks Filter'!$O$3),OR('Tasks Filter'!$O$4="Yes",BG489=0)),1,0))</f>
        <v/>
      </c>
      <c r="BJ489">
        <f>IF(BH489=0,"",IF('Tasks Filter'!$F$6="Descending",-1,1)*CHOOSE(MATCH('Tasks Filter'!$F$5,Lists!$G$2:$G$6,0),AW489,BF489,IFERROR(MATCH(AV489,Setup!$F$6:$F$15,0),99),IFERROR(MATCH(BC489,Setup!$H$6:$H$15,0),99),IFERROR(MATCH(AZ489,Setup!$J$6:$J$11,0),99))*1E+9+(AW489-40000)*10000+488)</f>
        <v/>
      </c>
      <c r="BK489">
        <f>IF(BI489=1,BJ489,"")</f>
        <v/>
      </c>
      <c r="BL489">
        <f>IF(AND(BH489=1,BG489=0,N(AW489)&lt;Setup!$D$7),(AW489-40000)*10000+488,"")</f>
        <v/>
      </c>
      <c r="BM489">
        <f>IF(AND(BH489=1,AZ489&lt;&gt;"Cancelled",N(AW489)&gt;=Dashboard!$AB$3,N(AW489)&lt;=Dashboard!$AB$3+6),(AW489-40000)*100000+BF489*10000+488,"")</f>
        <v/>
      </c>
      <c r="BN489">
        <f>IF(AND(BH489=1,AZ489&lt;&gt;"Cancelled"),BF489*10000+488,"")</f>
        <v/>
      </c>
    </row>
    <row r="490">
      <c r="AS490" t="inlineStr">
        <is>
          <t>R</t>
        </is>
      </c>
      <c r="AT490" t="n">
        <v>494</v>
      </c>
      <c r="AU490">
        <f>'Recurring Log'!C494&amp;""</f>
        <v/>
      </c>
      <c r="AV490">
        <f>'Recurring Log'!D494&amp;""</f>
        <v/>
      </c>
      <c r="AW490">
        <f>IF('Recurring Log'!E494="","",'Recurring Log'!E494)</f>
        <v/>
      </c>
      <c r="AX490">
        <f>IF('Recurring Log'!G494="","",'Recurring Log'!G494)</f>
        <v/>
      </c>
      <c r="AY490">
        <f>IF('Recurring Log'!H494="","",'Recurring Log'!H494)</f>
        <v/>
      </c>
      <c r="AZ490">
        <f>IF(AU490="","",IF('Recurring Log'!J494="","Not Started",'Recurring Log'!J494))</f>
        <v/>
      </c>
      <c r="BA490">
        <f>'Recurring Log'!L494&amp;""</f>
        <v/>
      </c>
      <c r="BB490">
        <f>'Recurring Log'!M494&amp;""</f>
        <v/>
      </c>
      <c r="BC490">
        <f>'Recurring Log'!N494&amp;""</f>
        <v/>
      </c>
      <c r="BD490">
        <f>'Recurring Log'!O494&amp;""</f>
        <v/>
      </c>
      <c r="BE490">
        <f>IF('Recurring Log'!K494="","",'Recurring Log'!K494)</f>
        <v/>
      </c>
      <c r="BF490">
        <f>IFERROR(MATCH(BA490,Setup!$L$6:$L$9,0),5)</f>
        <v/>
      </c>
      <c r="BG490">
        <f>IF(OR(AZ490="Done",AZ490="Cancelled"),1,0)</f>
        <v/>
      </c>
      <c r="BH490">
        <f>IF(AND(AU490&lt;&gt;"",ISNUMBER(AW490)),1,0)</f>
        <v/>
      </c>
      <c r="BI490">
        <f>IF(BH490=0,0,IF(AND(AW490&gt;='Tasks Filter'!$F$3,AW490&lt;='Tasks Filter'!$F$4,OR('Tasks Filter'!$I$3="",ISNUMBER(SEARCH('Tasks Filter'!$I$3,AU490))),OR('Tasks Filter'!$I$4="",BF490=IFERROR(MATCH('Tasks Filter'!$I$4,Setup!$L$6:$L$9,0),0)),OR('Tasks Filter'!$I$5="Both",AND('Tasks Filter'!$I$5="Yes",BB490="✓"),AND('Tasks Filter'!$I$5="No",BB490&lt;&gt;"✓")),OR('Tasks Filter'!$L$3="",AV490='Tasks Filter'!$L$3),OR('Tasks Filter'!$L$4="",AZ490='Tasks Filter'!$L$4),OR('Tasks Filter'!$L$5="",BC490='Tasks Filter'!$L$5),OR('Tasks Filter'!$O$3="",BD490='Tasks Filter'!$O$3),OR('Tasks Filter'!$O$4="Yes",BG490=0)),1,0))</f>
        <v/>
      </c>
      <c r="BJ490">
        <f>IF(BH490=0,"",IF('Tasks Filter'!$F$6="Descending",-1,1)*CHOOSE(MATCH('Tasks Filter'!$F$5,Lists!$G$2:$G$6,0),AW490,BF490,IFERROR(MATCH(AV490,Setup!$F$6:$F$15,0),99),IFERROR(MATCH(BC490,Setup!$H$6:$H$15,0),99),IFERROR(MATCH(AZ490,Setup!$J$6:$J$11,0),99))*1E+9+(AW490-40000)*10000+489)</f>
        <v/>
      </c>
      <c r="BK490">
        <f>IF(BI490=1,BJ490,"")</f>
        <v/>
      </c>
      <c r="BL490">
        <f>IF(AND(BH490=1,BG490=0,N(AW490)&lt;Setup!$D$7),(AW490-40000)*10000+489,"")</f>
        <v/>
      </c>
      <c r="BM490">
        <f>IF(AND(BH490=1,AZ490&lt;&gt;"Cancelled",N(AW490)&gt;=Dashboard!$AB$3,N(AW490)&lt;=Dashboard!$AB$3+6),(AW490-40000)*100000+BF490*10000+489,"")</f>
        <v/>
      </c>
      <c r="BN490">
        <f>IF(AND(BH490=1,AZ490&lt;&gt;"Cancelled"),BF490*10000+489,"")</f>
        <v/>
      </c>
    </row>
    <row r="491">
      <c r="AS491" t="inlineStr">
        <is>
          <t>R</t>
        </is>
      </c>
      <c r="AT491" t="n">
        <v>495</v>
      </c>
      <c r="AU491">
        <f>'Recurring Log'!C495&amp;""</f>
        <v/>
      </c>
      <c r="AV491">
        <f>'Recurring Log'!D495&amp;""</f>
        <v/>
      </c>
      <c r="AW491">
        <f>IF('Recurring Log'!E495="","",'Recurring Log'!E495)</f>
        <v/>
      </c>
      <c r="AX491">
        <f>IF('Recurring Log'!G495="","",'Recurring Log'!G495)</f>
        <v/>
      </c>
      <c r="AY491">
        <f>IF('Recurring Log'!H495="","",'Recurring Log'!H495)</f>
        <v/>
      </c>
      <c r="AZ491">
        <f>IF(AU491="","",IF('Recurring Log'!J495="","Not Started",'Recurring Log'!J495))</f>
        <v/>
      </c>
      <c r="BA491">
        <f>'Recurring Log'!L495&amp;""</f>
        <v/>
      </c>
      <c r="BB491">
        <f>'Recurring Log'!M495&amp;""</f>
        <v/>
      </c>
      <c r="BC491">
        <f>'Recurring Log'!N495&amp;""</f>
        <v/>
      </c>
      <c r="BD491">
        <f>'Recurring Log'!O495&amp;""</f>
        <v/>
      </c>
      <c r="BE491">
        <f>IF('Recurring Log'!K495="","",'Recurring Log'!K495)</f>
        <v/>
      </c>
      <c r="BF491">
        <f>IFERROR(MATCH(BA491,Setup!$L$6:$L$9,0),5)</f>
        <v/>
      </c>
      <c r="BG491">
        <f>IF(OR(AZ491="Done",AZ491="Cancelled"),1,0)</f>
        <v/>
      </c>
      <c r="BH491">
        <f>IF(AND(AU491&lt;&gt;"",ISNUMBER(AW491)),1,0)</f>
        <v/>
      </c>
      <c r="BI491">
        <f>IF(BH491=0,0,IF(AND(AW491&gt;='Tasks Filter'!$F$3,AW491&lt;='Tasks Filter'!$F$4,OR('Tasks Filter'!$I$3="",ISNUMBER(SEARCH('Tasks Filter'!$I$3,AU491))),OR('Tasks Filter'!$I$4="",BF491=IFERROR(MATCH('Tasks Filter'!$I$4,Setup!$L$6:$L$9,0),0)),OR('Tasks Filter'!$I$5="Both",AND('Tasks Filter'!$I$5="Yes",BB491="✓"),AND('Tasks Filter'!$I$5="No",BB491&lt;&gt;"✓")),OR('Tasks Filter'!$L$3="",AV491='Tasks Filter'!$L$3),OR('Tasks Filter'!$L$4="",AZ491='Tasks Filter'!$L$4),OR('Tasks Filter'!$L$5="",BC491='Tasks Filter'!$L$5),OR('Tasks Filter'!$O$3="",BD491='Tasks Filter'!$O$3),OR('Tasks Filter'!$O$4="Yes",BG491=0)),1,0))</f>
        <v/>
      </c>
      <c r="BJ491">
        <f>IF(BH491=0,"",IF('Tasks Filter'!$F$6="Descending",-1,1)*CHOOSE(MATCH('Tasks Filter'!$F$5,Lists!$G$2:$G$6,0),AW491,BF491,IFERROR(MATCH(AV491,Setup!$F$6:$F$15,0),99),IFERROR(MATCH(BC491,Setup!$H$6:$H$15,0),99),IFERROR(MATCH(AZ491,Setup!$J$6:$J$11,0),99))*1E+9+(AW491-40000)*10000+490)</f>
        <v/>
      </c>
      <c r="BK491">
        <f>IF(BI491=1,BJ491,"")</f>
        <v/>
      </c>
      <c r="BL491">
        <f>IF(AND(BH491=1,BG491=0,N(AW491)&lt;Setup!$D$7),(AW491-40000)*10000+490,"")</f>
        <v/>
      </c>
      <c r="BM491">
        <f>IF(AND(BH491=1,AZ491&lt;&gt;"Cancelled",N(AW491)&gt;=Dashboard!$AB$3,N(AW491)&lt;=Dashboard!$AB$3+6),(AW491-40000)*100000+BF491*10000+490,"")</f>
        <v/>
      </c>
      <c r="BN491">
        <f>IF(AND(BH491=1,AZ491&lt;&gt;"Cancelled"),BF491*10000+490,"")</f>
        <v/>
      </c>
    </row>
    <row r="492">
      <c r="AS492" t="inlineStr">
        <is>
          <t>R</t>
        </is>
      </c>
      <c r="AT492" t="n">
        <v>496</v>
      </c>
      <c r="AU492">
        <f>'Recurring Log'!C496&amp;""</f>
        <v/>
      </c>
      <c r="AV492">
        <f>'Recurring Log'!D496&amp;""</f>
        <v/>
      </c>
      <c r="AW492">
        <f>IF('Recurring Log'!E496="","",'Recurring Log'!E496)</f>
        <v/>
      </c>
      <c r="AX492">
        <f>IF('Recurring Log'!G496="","",'Recurring Log'!G496)</f>
        <v/>
      </c>
      <c r="AY492">
        <f>IF('Recurring Log'!H496="","",'Recurring Log'!H496)</f>
        <v/>
      </c>
      <c r="AZ492">
        <f>IF(AU492="","",IF('Recurring Log'!J496="","Not Started",'Recurring Log'!J496))</f>
        <v/>
      </c>
      <c r="BA492">
        <f>'Recurring Log'!L496&amp;""</f>
        <v/>
      </c>
      <c r="BB492">
        <f>'Recurring Log'!M496&amp;""</f>
        <v/>
      </c>
      <c r="BC492">
        <f>'Recurring Log'!N496&amp;""</f>
        <v/>
      </c>
      <c r="BD492">
        <f>'Recurring Log'!O496&amp;""</f>
        <v/>
      </c>
      <c r="BE492">
        <f>IF('Recurring Log'!K496="","",'Recurring Log'!K496)</f>
        <v/>
      </c>
      <c r="BF492">
        <f>IFERROR(MATCH(BA492,Setup!$L$6:$L$9,0),5)</f>
        <v/>
      </c>
      <c r="BG492">
        <f>IF(OR(AZ492="Done",AZ492="Cancelled"),1,0)</f>
        <v/>
      </c>
      <c r="BH492">
        <f>IF(AND(AU492&lt;&gt;"",ISNUMBER(AW492)),1,0)</f>
        <v/>
      </c>
      <c r="BI492">
        <f>IF(BH492=0,0,IF(AND(AW492&gt;='Tasks Filter'!$F$3,AW492&lt;='Tasks Filter'!$F$4,OR('Tasks Filter'!$I$3="",ISNUMBER(SEARCH('Tasks Filter'!$I$3,AU492))),OR('Tasks Filter'!$I$4="",BF492=IFERROR(MATCH('Tasks Filter'!$I$4,Setup!$L$6:$L$9,0),0)),OR('Tasks Filter'!$I$5="Both",AND('Tasks Filter'!$I$5="Yes",BB492="✓"),AND('Tasks Filter'!$I$5="No",BB492&lt;&gt;"✓")),OR('Tasks Filter'!$L$3="",AV492='Tasks Filter'!$L$3),OR('Tasks Filter'!$L$4="",AZ492='Tasks Filter'!$L$4),OR('Tasks Filter'!$L$5="",BC492='Tasks Filter'!$L$5),OR('Tasks Filter'!$O$3="",BD492='Tasks Filter'!$O$3),OR('Tasks Filter'!$O$4="Yes",BG492=0)),1,0))</f>
        <v/>
      </c>
      <c r="BJ492">
        <f>IF(BH492=0,"",IF('Tasks Filter'!$F$6="Descending",-1,1)*CHOOSE(MATCH('Tasks Filter'!$F$5,Lists!$G$2:$G$6,0),AW492,BF492,IFERROR(MATCH(AV492,Setup!$F$6:$F$15,0),99),IFERROR(MATCH(BC492,Setup!$H$6:$H$15,0),99),IFERROR(MATCH(AZ492,Setup!$J$6:$J$11,0),99))*1E+9+(AW492-40000)*10000+491)</f>
        <v/>
      </c>
      <c r="BK492">
        <f>IF(BI492=1,BJ492,"")</f>
        <v/>
      </c>
      <c r="BL492">
        <f>IF(AND(BH492=1,BG492=0,N(AW492)&lt;Setup!$D$7),(AW492-40000)*10000+491,"")</f>
        <v/>
      </c>
      <c r="BM492">
        <f>IF(AND(BH492=1,AZ492&lt;&gt;"Cancelled",N(AW492)&gt;=Dashboard!$AB$3,N(AW492)&lt;=Dashboard!$AB$3+6),(AW492-40000)*100000+BF492*10000+491,"")</f>
        <v/>
      </c>
      <c r="BN492">
        <f>IF(AND(BH492=1,AZ492&lt;&gt;"Cancelled"),BF492*10000+491,"")</f>
        <v/>
      </c>
    </row>
    <row r="493">
      <c r="AS493" t="inlineStr">
        <is>
          <t>R</t>
        </is>
      </c>
      <c r="AT493" t="n">
        <v>497</v>
      </c>
      <c r="AU493">
        <f>'Recurring Log'!C497&amp;""</f>
        <v/>
      </c>
      <c r="AV493">
        <f>'Recurring Log'!D497&amp;""</f>
        <v/>
      </c>
      <c r="AW493">
        <f>IF('Recurring Log'!E497="","",'Recurring Log'!E497)</f>
        <v/>
      </c>
      <c r="AX493">
        <f>IF('Recurring Log'!G497="","",'Recurring Log'!G497)</f>
        <v/>
      </c>
      <c r="AY493">
        <f>IF('Recurring Log'!H497="","",'Recurring Log'!H497)</f>
        <v/>
      </c>
      <c r="AZ493">
        <f>IF(AU493="","",IF('Recurring Log'!J497="","Not Started",'Recurring Log'!J497))</f>
        <v/>
      </c>
      <c r="BA493">
        <f>'Recurring Log'!L497&amp;""</f>
        <v/>
      </c>
      <c r="BB493">
        <f>'Recurring Log'!M497&amp;""</f>
        <v/>
      </c>
      <c r="BC493">
        <f>'Recurring Log'!N497&amp;""</f>
        <v/>
      </c>
      <c r="BD493">
        <f>'Recurring Log'!O497&amp;""</f>
        <v/>
      </c>
      <c r="BE493">
        <f>IF('Recurring Log'!K497="","",'Recurring Log'!K497)</f>
        <v/>
      </c>
      <c r="BF493">
        <f>IFERROR(MATCH(BA493,Setup!$L$6:$L$9,0),5)</f>
        <v/>
      </c>
      <c r="BG493">
        <f>IF(OR(AZ493="Done",AZ493="Cancelled"),1,0)</f>
        <v/>
      </c>
      <c r="BH493">
        <f>IF(AND(AU493&lt;&gt;"",ISNUMBER(AW493)),1,0)</f>
        <v/>
      </c>
      <c r="BI493">
        <f>IF(BH493=0,0,IF(AND(AW493&gt;='Tasks Filter'!$F$3,AW493&lt;='Tasks Filter'!$F$4,OR('Tasks Filter'!$I$3="",ISNUMBER(SEARCH('Tasks Filter'!$I$3,AU493))),OR('Tasks Filter'!$I$4="",BF493=IFERROR(MATCH('Tasks Filter'!$I$4,Setup!$L$6:$L$9,0),0)),OR('Tasks Filter'!$I$5="Both",AND('Tasks Filter'!$I$5="Yes",BB493="✓"),AND('Tasks Filter'!$I$5="No",BB493&lt;&gt;"✓")),OR('Tasks Filter'!$L$3="",AV493='Tasks Filter'!$L$3),OR('Tasks Filter'!$L$4="",AZ493='Tasks Filter'!$L$4),OR('Tasks Filter'!$L$5="",BC493='Tasks Filter'!$L$5),OR('Tasks Filter'!$O$3="",BD493='Tasks Filter'!$O$3),OR('Tasks Filter'!$O$4="Yes",BG493=0)),1,0))</f>
        <v/>
      </c>
      <c r="BJ493">
        <f>IF(BH493=0,"",IF('Tasks Filter'!$F$6="Descending",-1,1)*CHOOSE(MATCH('Tasks Filter'!$F$5,Lists!$G$2:$G$6,0),AW493,BF493,IFERROR(MATCH(AV493,Setup!$F$6:$F$15,0),99),IFERROR(MATCH(BC493,Setup!$H$6:$H$15,0),99),IFERROR(MATCH(AZ493,Setup!$J$6:$J$11,0),99))*1E+9+(AW493-40000)*10000+492)</f>
        <v/>
      </c>
      <c r="BK493">
        <f>IF(BI493=1,BJ493,"")</f>
        <v/>
      </c>
      <c r="BL493">
        <f>IF(AND(BH493=1,BG493=0,N(AW493)&lt;Setup!$D$7),(AW493-40000)*10000+492,"")</f>
        <v/>
      </c>
      <c r="BM493">
        <f>IF(AND(BH493=1,AZ493&lt;&gt;"Cancelled",N(AW493)&gt;=Dashboard!$AB$3,N(AW493)&lt;=Dashboard!$AB$3+6),(AW493-40000)*100000+BF493*10000+492,"")</f>
        <v/>
      </c>
      <c r="BN493">
        <f>IF(AND(BH493=1,AZ493&lt;&gt;"Cancelled"),BF493*10000+492,"")</f>
        <v/>
      </c>
    </row>
    <row r="494">
      <c r="AS494" t="inlineStr">
        <is>
          <t>R</t>
        </is>
      </c>
      <c r="AT494" t="n">
        <v>498</v>
      </c>
      <c r="AU494">
        <f>'Recurring Log'!C498&amp;""</f>
        <v/>
      </c>
      <c r="AV494">
        <f>'Recurring Log'!D498&amp;""</f>
        <v/>
      </c>
      <c r="AW494">
        <f>IF('Recurring Log'!E498="","",'Recurring Log'!E498)</f>
        <v/>
      </c>
      <c r="AX494">
        <f>IF('Recurring Log'!G498="","",'Recurring Log'!G498)</f>
        <v/>
      </c>
      <c r="AY494">
        <f>IF('Recurring Log'!H498="","",'Recurring Log'!H498)</f>
        <v/>
      </c>
      <c r="AZ494">
        <f>IF(AU494="","",IF('Recurring Log'!J498="","Not Started",'Recurring Log'!J498))</f>
        <v/>
      </c>
      <c r="BA494">
        <f>'Recurring Log'!L498&amp;""</f>
        <v/>
      </c>
      <c r="BB494">
        <f>'Recurring Log'!M498&amp;""</f>
        <v/>
      </c>
      <c r="BC494">
        <f>'Recurring Log'!N498&amp;""</f>
        <v/>
      </c>
      <c r="BD494">
        <f>'Recurring Log'!O498&amp;""</f>
        <v/>
      </c>
      <c r="BE494">
        <f>IF('Recurring Log'!K498="","",'Recurring Log'!K498)</f>
        <v/>
      </c>
      <c r="BF494">
        <f>IFERROR(MATCH(BA494,Setup!$L$6:$L$9,0),5)</f>
        <v/>
      </c>
      <c r="BG494">
        <f>IF(OR(AZ494="Done",AZ494="Cancelled"),1,0)</f>
        <v/>
      </c>
      <c r="BH494">
        <f>IF(AND(AU494&lt;&gt;"",ISNUMBER(AW494)),1,0)</f>
        <v/>
      </c>
      <c r="BI494">
        <f>IF(BH494=0,0,IF(AND(AW494&gt;='Tasks Filter'!$F$3,AW494&lt;='Tasks Filter'!$F$4,OR('Tasks Filter'!$I$3="",ISNUMBER(SEARCH('Tasks Filter'!$I$3,AU494))),OR('Tasks Filter'!$I$4="",BF494=IFERROR(MATCH('Tasks Filter'!$I$4,Setup!$L$6:$L$9,0),0)),OR('Tasks Filter'!$I$5="Both",AND('Tasks Filter'!$I$5="Yes",BB494="✓"),AND('Tasks Filter'!$I$5="No",BB494&lt;&gt;"✓")),OR('Tasks Filter'!$L$3="",AV494='Tasks Filter'!$L$3),OR('Tasks Filter'!$L$4="",AZ494='Tasks Filter'!$L$4),OR('Tasks Filter'!$L$5="",BC494='Tasks Filter'!$L$5),OR('Tasks Filter'!$O$3="",BD494='Tasks Filter'!$O$3),OR('Tasks Filter'!$O$4="Yes",BG494=0)),1,0))</f>
        <v/>
      </c>
      <c r="BJ494">
        <f>IF(BH494=0,"",IF('Tasks Filter'!$F$6="Descending",-1,1)*CHOOSE(MATCH('Tasks Filter'!$F$5,Lists!$G$2:$G$6,0),AW494,BF494,IFERROR(MATCH(AV494,Setup!$F$6:$F$15,0),99),IFERROR(MATCH(BC494,Setup!$H$6:$H$15,0),99),IFERROR(MATCH(AZ494,Setup!$J$6:$J$11,0),99))*1E+9+(AW494-40000)*10000+493)</f>
        <v/>
      </c>
      <c r="BK494">
        <f>IF(BI494=1,BJ494,"")</f>
        <v/>
      </c>
      <c r="BL494">
        <f>IF(AND(BH494=1,BG494=0,N(AW494)&lt;Setup!$D$7),(AW494-40000)*10000+493,"")</f>
        <v/>
      </c>
      <c r="BM494">
        <f>IF(AND(BH494=1,AZ494&lt;&gt;"Cancelled",N(AW494)&gt;=Dashboard!$AB$3,N(AW494)&lt;=Dashboard!$AB$3+6),(AW494-40000)*100000+BF494*10000+493,"")</f>
        <v/>
      </c>
      <c r="BN494">
        <f>IF(AND(BH494=1,AZ494&lt;&gt;"Cancelled"),BF494*10000+493,"")</f>
        <v/>
      </c>
    </row>
    <row r="495">
      <c r="AS495" t="inlineStr">
        <is>
          <t>R</t>
        </is>
      </c>
      <c r="AT495" t="n">
        <v>499</v>
      </c>
      <c r="AU495">
        <f>'Recurring Log'!C499&amp;""</f>
        <v/>
      </c>
      <c r="AV495">
        <f>'Recurring Log'!D499&amp;""</f>
        <v/>
      </c>
      <c r="AW495">
        <f>IF('Recurring Log'!E499="","",'Recurring Log'!E499)</f>
        <v/>
      </c>
      <c r="AX495">
        <f>IF('Recurring Log'!G499="","",'Recurring Log'!G499)</f>
        <v/>
      </c>
      <c r="AY495">
        <f>IF('Recurring Log'!H499="","",'Recurring Log'!H499)</f>
        <v/>
      </c>
      <c r="AZ495">
        <f>IF(AU495="","",IF('Recurring Log'!J499="","Not Started",'Recurring Log'!J499))</f>
        <v/>
      </c>
      <c r="BA495">
        <f>'Recurring Log'!L499&amp;""</f>
        <v/>
      </c>
      <c r="BB495">
        <f>'Recurring Log'!M499&amp;""</f>
        <v/>
      </c>
      <c r="BC495">
        <f>'Recurring Log'!N499&amp;""</f>
        <v/>
      </c>
      <c r="BD495">
        <f>'Recurring Log'!O499&amp;""</f>
        <v/>
      </c>
      <c r="BE495">
        <f>IF('Recurring Log'!K499="","",'Recurring Log'!K499)</f>
        <v/>
      </c>
      <c r="BF495">
        <f>IFERROR(MATCH(BA495,Setup!$L$6:$L$9,0),5)</f>
        <v/>
      </c>
      <c r="BG495">
        <f>IF(OR(AZ495="Done",AZ495="Cancelled"),1,0)</f>
        <v/>
      </c>
      <c r="BH495">
        <f>IF(AND(AU495&lt;&gt;"",ISNUMBER(AW495)),1,0)</f>
        <v/>
      </c>
      <c r="BI495">
        <f>IF(BH495=0,0,IF(AND(AW495&gt;='Tasks Filter'!$F$3,AW495&lt;='Tasks Filter'!$F$4,OR('Tasks Filter'!$I$3="",ISNUMBER(SEARCH('Tasks Filter'!$I$3,AU495))),OR('Tasks Filter'!$I$4="",BF495=IFERROR(MATCH('Tasks Filter'!$I$4,Setup!$L$6:$L$9,0),0)),OR('Tasks Filter'!$I$5="Both",AND('Tasks Filter'!$I$5="Yes",BB495="✓"),AND('Tasks Filter'!$I$5="No",BB495&lt;&gt;"✓")),OR('Tasks Filter'!$L$3="",AV495='Tasks Filter'!$L$3),OR('Tasks Filter'!$L$4="",AZ495='Tasks Filter'!$L$4),OR('Tasks Filter'!$L$5="",BC495='Tasks Filter'!$L$5),OR('Tasks Filter'!$O$3="",BD495='Tasks Filter'!$O$3),OR('Tasks Filter'!$O$4="Yes",BG495=0)),1,0))</f>
        <v/>
      </c>
      <c r="BJ495">
        <f>IF(BH495=0,"",IF('Tasks Filter'!$F$6="Descending",-1,1)*CHOOSE(MATCH('Tasks Filter'!$F$5,Lists!$G$2:$G$6,0),AW495,BF495,IFERROR(MATCH(AV495,Setup!$F$6:$F$15,0),99),IFERROR(MATCH(BC495,Setup!$H$6:$H$15,0),99),IFERROR(MATCH(AZ495,Setup!$J$6:$J$11,0),99))*1E+9+(AW495-40000)*10000+494)</f>
        <v/>
      </c>
      <c r="BK495">
        <f>IF(BI495=1,BJ495,"")</f>
        <v/>
      </c>
      <c r="BL495">
        <f>IF(AND(BH495=1,BG495=0,N(AW495)&lt;Setup!$D$7),(AW495-40000)*10000+494,"")</f>
        <v/>
      </c>
      <c r="BM495">
        <f>IF(AND(BH495=1,AZ495&lt;&gt;"Cancelled",N(AW495)&gt;=Dashboard!$AB$3,N(AW495)&lt;=Dashboard!$AB$3+6),(AW495-40000)*100000+BF495*10000+494,"")</f>
        <v/>
      </c>
      <c r="BN495">
        <f>IF(AND(BH495=1,AZ495&lt;&gt;"Cancelled"),BF495*10000+494,"")</f>
        <v/>
      </c>
    </row>
    <row r="496">
      <c r="AS496" t="inlineStr">
        <is>
          <t>R</t>
        </is>
      </c>
      <c r="AT496" t="n">
        <v>500</v>
      </c>
      <c r="AU496">
        <f>'Recurring Log'!C500&amp;""</f>
        <v/>
      </c>
      <c r="AV496">
        <f>'Recurring Log'!D500&amp;""</f>
        <v/>
      </c>
      <c r="AW496">
        <f>IF('Recurring Log'!E500="","",'Recurring Log'!E500)</f>
        <v/>
      </c>
      <c r="AX496">
        <f>IF('Recurring Log'!G500="","",'Recurring Log'!G500)</f>
        <v/>
      </c>
      <c r="AY496">
        <f>IF('Recurring Log'!H500="","",'Recurring Log'!H500)</f>
        <v/>
      </c>
      <c r="AZ496">
        <f>IF(AU496="","",IF('Recurring Log'!J500="","Not Started",'Recurring Log'!J500))</f>
        <v/>
      </c>
      <c r="BA496">
        <f>'Recurring Log'!L500&amp;""</f>
        <v/>
      </c>
      <c r="BB496">
        <f>'Recurring Log'!M500&amp;""</f>
        <v/>
      </c>
      <c r="BC496">
        <f>'Recurring Log'!N500&amp;""</f>
        <v/>
      </c>
      <c r="BD496">
        <f>'Recurring Log'!O500&amp;""</f>
        <v/>
      </c>
      <c r="BE496">
        <f>IF('Recurring Log'!K500="","",'Recurring Log'!K500)</f>
        <v/>
      </c>
      <c r="BF496">
        <f>IFERROR(MATCH(BA496,Setup!$L$6:$L$9,0),5)</f>
        <v/>
      </c>
      <c r="BG496">
        <f>IF(OR(AZ496="Done",AZ496="Cancelled"),1,0)</f>
        <v/>
      </c>
      <c r="BH496">
        <f>IF(AND(AU496&lt;&gt;"",ISNUMBER(AW496)),1,0)</f>
        <v/>
      </c>
      <c r="BI496">
        <f>IF(BH496=0,0,IF(AND(AW496&gt;='Tasks Filter'!$F$3,AW496&lt;='Tasks Filter'!$F$4,OR('Tasks Filter'!$I$3="",ISNUMBER(SEARCH('Tasks Filter'!$I$3,AU496))),OR('Tasks Filter'!$I$4="",BF496=IFERROR(MATCH('Tasks Filter'!$I$4,Setup!$L$6:$L$9,0),0)),OR('Tasks Filter'!$I$5="Both",AND('Tasks Filter'!$I$5="Yes",BB496="✓"),AND('Tasks Filter'!$I$5="No",BB496&lt;&gt;"✓")),OR('Tasks Filter'!$L$3="",AV496='Tasks Filter'!$L$3),OR('Tasks Filter'!$L$4="",AZ496='Tasks Filter'!$L$4),OR('Tasks Filter'!$L$5="",BC496='Tasks Filter'!$L$5),OR('Tasks Filter'!$O$3="",BD496='Tasks Filter'!$O$3),OR('Tasks Filter'!$O$4="Yes",BG496=0)),1,0))</f>
        <v/>
      </c>
      <c r="BJ496">
        <f>IF(BH496=0,"",IF('Tasks Filter'!$F$6="Descending",-1,1)*CHOOSE(MATCH('Tasks Filter'!$F$5,Lists!$G$2:$G$6,0),AW496,BF496,IFERROR(MATCH(AV496,Setup!$F$6:$F$15,0),99),IFERROR(MATCH(BC496,Setup!$H$6:$H$15,0),99),IFERROR(MATCH(AZ496,Setup!$J$6:$J$11,0),99))*1E+9+(AW496-40000)*10000+495)</f>
        <v/>
      </c>
      <c r="BK496">
        <f>IF(BI496=1,BJ496,"")</f>
        <v/>
      </c>
      <c r="BL496">
        <f>IF(AND(BH496=1,BG496=0,N(AW496)&lt;Setup!$D$7),(AW496-40000)*10000+495,"")</f>
        <v/>
      </c>
      <c r="BM496">
        <f>IF(AND(BH496=1,AZ496&lt;&gt;"Cancelled",N(AW496)&gt;=Dashboard!$AB$3,N(AW496)&lt;=Dashboard!$AB$3+6),(AW496-40000)*100000+BF496*10000+495,"")</f>
        <v/>
      </c>
      <c r="BN496">
        <f>IF(AND(BH496=1,AZ496&lt;&gt;"Cancelled"),BF496*10000+495,"")</f>
        <v/>
      </c>
    </row>
    <row r="497">
      <c r="AS497" t="inlineStr">
        <is>
          <t>R</t>
        </is>
      </c>
      <c r="AT497" t="n">
        <v>501</v>
      </c>
      <c r="AU497">
        <f>'Recurring Log'!C501&amp;""</f>
        <v/>
      </c>
      <c r="AV497">
        <f>'Recurring Log'!D501&amp;""</f>
        <v/>
      </c>
      <c r="AW497">
        <f>IF('Recurring Log'!E501="","",'Recurring Log'!E501)</f>
        <v/>
      </c>
      <c r="AX497">
        <f>IF('Recurring Log'!G501="","",'Recurring Log'!G501)</f>
        <v/>
      </c>
      <c r="AY497">
        <f>IF('Recurring Log'!H501="","",'Recurring Log'!H501)</f>
        <v/>
      </c>
      <c r="AZ497">
        <f>IF(AU497="","",IF('Recurring Log'!J501="","Not Started",'Recurring Log'!J501))</f>
        <v/>
      </c>
      <c r="BA497">
        <f>'Recurring Log'!L501&amp;""</f>
        <v/>
      </c>
      <c r="BB497">
        <f>'Recurring Log'!M501&amp;""</f>
        <v/>
      </c>
      <c r="BC497">
        <f>'Recurring Log'!N501&amp;""</f>
        <v/>
      </c>
      <c r="BD497">
        <f>'Recurring Log'!O501&amp;""</f>
        <v/>
      </c>
      <c r="BE497">
        <f>IF('Recurring Log'!K501="","",'Recurring Log'!K501)</f>
        <v/>
      </c>
      <c r="BF497">
        <f>IFERROR(MATCH(BA497,Setup!$L$6:$L$9,0),5)</f>
        <v/>
      </c>
      <c r="BG497">
        <f>IF(OR(AZ497="Done",AZ497="Cancelled"),1,0)</f>
        <v/>
      </c>
      <c r="BH497">
        <f>IF(AND(AU497&lt;&gt;"",ISNUMBER(AW497)),1,0)</f>
        <v/>
      </c>
      <c r="BI497">
        <f>IF(BH497=0,0,IF(AND(AW497&gt;='Tasks Filter'!$F$3,AW497&lt;='Tasks Filter'!$F$4,OR('Tasks Filter'!$I$3="",ISNUMBER(SEARCH('Tasks Filter'!$I$3,AU497))),OR('Tasks Filter'!$I$4="",BF497=IFERROR(MATCH('Tasks Filter'!$I$4,Setup!$L$6:$L$9,0),0)),OR('Tasks Filter'!$I$5="Both",AND('Tasks Filter'!$I$5="Yes",BB497="✓"),AND('Tasks Filter'!$I$5="No",BB497&lt;&gt;"✓")),OR('Tasks Filter'!$L$3="",AV497='Tasks Filter'!$L$3),OR('Tasks Filter'!$L$4="",AZ497='Tasks Filter'!$L$4),OR('Tasks Filter'!$L$5="",BC497='Tasks Filter'!$L$5),OR('Tasks Filter'!$O$3="",BD497='Tasks Filter'!$O$3),OR('Tasks Filter'!$O$4="Yes",BG497=0)),1,0))</f>
        <v/>
      </c>
      <c r="BJ497">
        <f>IF(BH497=0,"",IF('Tasks Filter'!$F$6="Descending",-1,1)*CHOOSE(MATCH('Tasks Filter'!$F$5,Lists!$G$2:$G$6,0),AW497,BF497,IFERROR(MATCH(AV497,Setup!$F$6:$F$15,0),99),IFERROR(MATCH(BC497,Setup!$H$6:$H$15,0),99),IFERROR(MATCH(AZ497,Setup!$J$6:$J$11,0),99))*1E+9+(AW497-40000)*10000+496)</f>
        <v/>
      </c>
      <c r="BK497">
        <f>IF(BI497=1,BJ497,"")</f>
        <v/>
      </c>
      <c r="BL497">
        <f>IF(AND(BH497=1,BG497=0,N(AW497)&lt;Setup!$D$7),(AW497-40000)*10000+496,"")</f>
        <v/>
      </c>
      <c r="BM497">
        <f>IF(AND(BH497=1,AZ497&lt;&gt;"Cancelled",N(AW497)&gt;=Dashboard!$AB$3,N(AW497)&lt;=Dashboard!$AB$3+6),(AW497-40000)*100000+BF497*10000+496,"")</f>
        <v/>
      </c>
      <c r="BN497">
        <f>IF(AND(BH497=1,AZ497&lt;&gt;"Cancelled"),BF497*10000+496,"")</f>
        <v/>
      </c>
    </row>
    <row r="498">
      <c r="AS498" t="inlineStr">
        <is>
          <t>R</t>
        </is>
      </c>
      <c r="AT498" t="n">
        <v>502</v>
      </c>
      <c r="AU498">
        <f>'Recurring Log'!C502&amp;""</f>
        <v/>
      </c>
      <c r="AV498">
        <f>'Recurring Log'!D502&amp;""</f>
        <v/>
      </c>
      <c r="AW498">
        <f>IF('Recurring Log'!E502="","",'Recurring Log'!E502)</f>
        <v/>
      </c>
      <c r="AX498">
        <f>IF('Recurring Log'!G502="","",'Recurring Log'!G502)</f>
        <v/>
      </c>
      <c r="AY498">
        <f>IF('Recurring Log'!H502="","",'Recurring Log'!H502)</f>
        <v/>
      </c>
      <c r="AZ498">
        <f>IF(AU498="","",IF('Recurring Log'!J502="","Not Started",'Recurring Log'!J502))</f>
        <v/>
      </c>
      <c r="BA498">
        <f>'Recurring Log'!L502&amp;""</f>
        <v/>
      </c>
      <c r="BB498">
        <f>'Recurring Log'!M502&amp;""</f>
        <v/>
      </c>
      <c r="BC498">
        <f>'Recurring Log'!N502&amp;""</f>
        <v/>
      </c>
      <c r="BD498">
        <f>'Recurring Log'!O502&amp;""</f>
        <v/>
      </c>
      <c r="BE498">
        <f>IF('Recurring Log'!K502="","",'Recurring Log'!K502)</f>
        <v/>
      </c>
      <c r="BF498">
        <f>IFERROR(MATCH(BA498,Setup!$L$6:$L$9,0),5)</f>
        <v/>
      </c>
      <c r="BG498">
        <f>IF(OR(AZ498="Done",AZ498="Cancelled"),1,0)</f>
        <v/>
      </c>
      <c r="BH498">
        <f>IF(AND(AU498&lt;&gt;"",ISNUMBER(AW498)),1,0)</f>
        <v/>
      </c>
      <c r="BI498">
        <f>IF(BH498=0,0,IF(AND(AW498&gt;='Tasks Filter'!$F$3,AW498&lt;='Tasks Filter'!$F$4,OR('Tasks Filter'!$I$3="",ISNUMBER(SEARCH('Tasks Filter'!$I$3,AU498))),OR('Tasks Filter'!$I$4="",BF498=IFERROR(MATCH('Tasks Filter'!$I$4,Setup!$L$6:$L$9,0),0)),OR('Tasks Filter'!$I$5="Both",AND('Tasks Filter'!$I$5="Yes",BB498="✓"),AND('Tasks Filter'!$I$5="No",BB498&lt;&gt;"✓")),OR('Tasks Filter'!$L$3="",AV498='Tasks Filter'!$L$3),OR('Tasks Filter'!$L$4="",AZ498='Tasks Filter'!$L$4),OR('Tasks Filter'!$L$5="",BC498='Tasks Filter'!$L$5),OR('Tasks Filter'!$O$3="",BD498='Tasks Filter'!$O$3),OR('Tasks Filter'!$O$4="Yes",BG498=0)),1,0))</f>
        <v/>
      </c>
      <c r="BJ498">
        <f>IF(BH498=0,"",IF('Tasks Filter'!$F$6="Descending",-1,1)*CHOOSE(MATCH('Tasks Filter'!$F$5,Lists!$G$2:$G$6,0),AW498,BF498,IFERROR(MATCH(AV498,Setup!$F$6:$F$15,0),99),IFERROR(MATCH(BC498,Setup!$H$6:$H$15,0),99),IFERROR(MATCH(AZ498,Setup!$J$6:$J$11,0),99))*1E+9+(AW498-40000)*10000+497)</f>
        <v/>
      </c>
      <c r="BK498">
        <f>IF(BI498=1,BJ498,"")</f>
        <v/>
      </c>
      <c r="BL498">
        <f>IF(AND(BH498=1,BG498=0,N(AW498)&lt;Setup!$D$7),(AW498-40000)*10000+497,"")</f>
        <v/>
      </c>
      <c r="BM498">
        <f>IF(AND(BH498=1,AZ498&lt;&gt;"Cancelled",N(AW498)&gt;=Dashboard!$AB$3,N(AW498)&lt;=Dashboard!$AB$3+6),(AW498-40000)*100000+BF498*10000+497,"")</f>
        <v/>
      </c>
      <c r="BN498">
        <f>IF(AND(BH498=1,AZ498&lt;&gt;"Cancelled"),BF498*10000+497,"")</f>
        <v/>
      </c>
    </row>
    <row r="499">
      <c r="AS499" t="inlineStr">
        <is>
          <t>R</t>
        </is>
      </c>
      <c r="AT499" t="n">
        <v>503</v>
      </c>
      <c r="AU499">
        <f>'Recurring Log'!C503&amp;""</f>
        <v/>
      </c>
      <c r="AV499">
        <f>'Recurring Log'!D503&amp;""</f>
        <v/>
      </c>
      <c r="AW499">
        <f>IF('Recurring Log'!E503="","",'Recurring Log'!E503)</f>
        <v/>
      </c>
      <c r="AX499">
        <f>IF('Recurring Log'!G503="","",'Recurring Log'!G503)</f>
        <v/>
      </c>
      <c r="AY499">
        <f>IF('Recurring Log'!H503="","",'Recurring Log'!H503)</f>
        <v/>
      </c>
      <c r="AZ499">
        <f>IF(AU499="","",IF('Recurring Log'!J503="","Not Started",'Recurring Log'!J503))</f>
        <v/>
      </c>
      <c r="BA499">
        <f>'Recurring Log'!L503&amp;""</f>
        <v/>
      </c>
      <c r="BB499">
        <f>'Recurring Log'!M503&amp;""</f>
        <v/>
      </c>
      <c r="BC499">
        <f>'Recurring Log'!N503&amp;""</f>
        <v/>
      </c>
      <c r="BD499">
        <f>'Recurring Log'!O503&amp;""</f>
        <v/>
      </c>
      <c r="BE499">
        <f>IF('Recurring Log'!K503="","",'Recurring Log'!K503)</f>
        <v/>
      </c>
      <c r="BF499">
        <f>IFERROR(MATCH(BA499,Setup!$L$6:$L$9,0),5)</f>
        <v/>
      </c>
      <c r="BG499">
        <f>IF(OR(AZ499="Done",AZ499="Cancelled"),1,0)</f>
        <v/>
      </c>
      <c r="BH499">
        <f>IF(AND(AU499&lt;&gt;"",ISNUMBER(AW499)),1,0)</f>
        <v/>
      </c>
      <c r="BI499">
        <f>IF(BH499=0,0,IF(AND(AW499&gt;='Tasks Filter'!$F$3,AW499&lt;='Tasks Filter'!$F$4,OR('Tasks Filter'!$I$3="",ISNUMBER(SEARCH('Tasks Filter'!$I$3,AU499))),OR('Tasks Filter'!$I$4="",BF499=IFERROR(MATCH('Tasks Filter'!$I$4,Setup!$L$6:$L$9,0),0)),OR('Tasks Filter'!$I$5="Both",AND('Tasks Filter'!$I$5="Yes",BB499="✓"),AND('Tasks Filter'!$I$5="No",BB499&lt;&gt;"✓")),OR('Tasks Filter'!$L$3="",AV499='Tasks Filter'!$L$3),OR('Tasks Filter'!$L$4="",AZ499='Tasks Filter'!$L$4),OR('Tasks Filter'!$L$5="",BC499='Tasks Filter'!$L$5),OR('Tasks Filter'!$O$3="",BD499='Tasks Filter'!$O$3),OR('Tasks Filter'!$O$4="Yes",BG499=0)),1,0))</f>
        <v/>
      </c>
      <c r="BJ499">
        <f>IF(BH499=0,"",IF('Tasks Filter'!$F$6="Descending",-1,1)*CHOOSE(MATCH('Tasks Filter'!$F$5,Lists!$G$2:$G$6,0),AW499,BF499,IFERROR(MATCH(AV499,Setup!$F$6:$F$15,0),99),IFERROR(MATCH(BC499,Setup!$H$6:$H$15,0),99),IFERROR(MATCH(AZ499,Setup!$J$6:$J$11,0),99))*1E+9+(AW499-40000)*10000+498)</f>
        <v/>
      </c>
      <c r="BK499">
        <f>IF(BI499=1,BJ499,"")</f>
        <v/>
      </c>
      <c r="BL499">
        <f>IF(AND(BH499=1,BG499=0,N(AW499)&lt;Setup!$D$7),(AW499-40000)*10000+498,"")</f>
        <v/>
      </c>
      <c r="BM499">
        <f>IF(AND(BH499=1,AZ499&lt;&gt;"Cancelled",N(AW499)&gt;=Dashboard!$AB$3,N(AW499)&lt;=Dashboard!$AB$3+6),(AW499-40000)*100000+BF499*10000+498,"")</f>
        <v/>
      </c>
      <c r="BN499">
        <f>IF(AND(BH499=1,AZ499&lt;&gt;"Cancelled"),BF499*10000+498,"")</f>
        <v/>
      </c>
    </row>
    <row r="500">
      <c r="AS500" t="inlineStr">
        <is>
          <t>R</t>
        </is>
      </c>
      <c r="AT500" t="n">
        <v>504</v>
      </c>
      <c r="AU500">
        <f>'Recurring Log'!C504&amp;""</f>
        <v/>
      </c>
      <c r="AV500">
        <f>'Recurring Log'!D504&amp;""</f>
        <v/>
      </c>
      <c r="AW500">
        <f>IF('Recurring Log'!E504="","",'Recurring Log'!E504)</f>
        <v/>
      </c>
      <c r="AX500">
        <f>IF('Recurring Log'!G504="","",'Recurring Log'!G504)</f>
        <v/>
      </c>
      <c r="AY500">
        <f>IF('Recurring Log'!H504="","",'Recurring Log'!H504)</f>
        <v/>
      </c>
      <c r="AZ500">
        <f>IF(AU500="","",IF('Recurring Log'!J504="","Not Started",'Recurring Log'!J504))</f>
        <v/>
      </c>
      <c r="BA500">
        <f>'Recurring Log'!L504&amp;""</f>
        <v/>
      </c>
      <c r="BB500">
        <f>'Recurring Log'!M504&amp;""</f>
        <v/>
      </c>
      <c r="BC500">
        <f>'Recurring Log'!N504&amp;""</f>
        <v/>
      </c>
      <c r="BD500">
        <f>'Recurring Log'!O504&amp;""</f>
        <v/>
      </c>
      <c r="BE500">
        <f>IF('Recurring Log'!K504="","",'Recurring Log'!K504)</f>
        <v/>
      </c>
      <c r="BF500">
        <f>IFERROR(MATCH(BA500,Setup!$L$6:$L$9,0),5)</f>
        <v/>
      </c>
      <c r="BG500">
        <f>IF(OR(AZ500="Done",AZ500="Cancelled"),1,0)</f>
        <v/>
      </c>
      <c r="BH500">
        <f>IF(AND(AU500&lt;&gt;"",ISNUMBER(AW500)),1,0)</f>
        <v/>
      </c>
      <c r="BI500">
        <f>IF(BH500=0,0,IF(AND(AW500&gt;='Tasks Filter'!$F$3,AW500&lt;='Tasks Filter'!$F$4,OR('Tasks Filter'!$I$3="",ISNUMBER(SEARCH('Tasks Filter'!$I$3,AU500))),OR('Tasks Filter'!$I$4="",BF500=IFERROR(MATCH('Tasks Filter'!$I$4,Setup!$L$6:$L$9,0),0)),OR('Tasks Filter'!$I$5="Both",AND('Tasks Filter'!$I$5="Yes",BB500="✓"),AND('Tasks Filter'!$I$5="No",BB500&lt;&gt;"✓")),OR('Tasks Filter'!$L$3="",AV500='Tasks Filter'!$L$3),OR('Tasks Filter'!$L$4="",AZ500='Tasks Filter'!$L$4),OR('Tasks Filter'!$L$5="",BC500='Tasks Filter'!$L$5),OR('Tasks Filter'!$O$3="",BD500='Tasks Filter'!$O$3),OR('Tasks Filter'!$O$4="Yes",BG500=0)),1,0))</f>
        <v/>
      </c>
      <c r="BJ500">
        <f>IF(BH500=0,"",IF('Tasks Filter'!$F$6="Descending",-1,1)*CHOOSE(MATCH('Tasks Filter'!$F$5,Lists!$G$2:$G$6,0),AW500,BF500,IFERROR(MATCH(AV500,Setup!$F$6:$F$15,0),99),IFERROR(MATCH(BC500,Setup!$H$6:$H$15,0),99),IFERROR(MATCH(AZ500,Setup!$J$6:$J$11,0),99))*1E+9+(AW500-40000)*10000+499)</f>
        <v/>
      </c>
      <c r="BK500">
        <f>IF(BI500=1,BJ500,"")</f>
        <v/>
      </c>
      <c r="BL500">
        <f>IF(AND(BH500=1,BG500=0,N(AW500)&lt;Setup!$D$7),(AW500-40000)*10000+499,"")</f>
        <v/>
      </c>
      <c r="BM500">
        <f>IF(AND(BH500=1,AZ500&lt;&gt;"Cancelled",N(AW500)&gt;=Dashboard!$AB$3,N(AW500)&lt;=Dashboard!$AB$3+6),(AW500-40000)*100000+BF500*10000+499,"")</f>
        <v/>
      </c>
      <c r="BN500">
        <f>IF(AND(BH500=1,AZ500&lt;&gt;"Cancelled"),BF500*10000+499,"")</f>
        <v/>
      </c>
    </row>
    <row r="501">
      <c r="AS501" t="inlineStr">
        <is>
          <t>R</t>
        </is>
      </c>
      <c r="AT501" t="n">
        <v>505</v>
      </c>
      <c r="AU501">
        <f>'Recurring Log'!C505&amp;""</f>
        <v/>
      </c>
      <c r="AV501">
        <f>'Recurring Log'!D505&amp;""</f>
        <v/>
      </c>
      <c r="AW501">
        <f>IF('Recurring Log'!E505="","",'Recurring Log'!E505)</f>
        <v/>
      </c>
      <c r="AX501">
        <f>IF('Recurring Log'!G505="","",'Recurring Log'!G505)</f>
        <v/>
      </c>
      <c r="AY501">
        <f>IF('Recurring Log'!H505="","",'Recurring Log'!H505)</f>
        <v/>
      </c>
      <c r="AZ501">
        <f>IF(AU501="","",IF('Recurring Log'!J505="","Not Started",'Recurring Log'!J505))</f>
        <v/>
      </c>
      <c r="BA501">
        <f>'Recurring Log'!L505&amp;""</f>
        <v/>
      </c>
      <c r="BB501">
        <f>'Recurring Log'!M505&amp;""</f>
        <v/>
      </c>
      <c r="BC501">
        <f>'Recurring Log'!N505&amp;""</f>
        <v/>
      </c>
      <c r="BD501">
        <f>'Recurring Log'!O505&amp;""</f>
        <v/>
      </c>
      <c r="BE501">
        <f>IF('Recurring Log'!K505="","",'Recurring Log'!K505)</f>
        <v/>
      </c>
      <c r="BF501">
        <f>IFERROR(MATCH(BA501,Setup!$L$6:$L$9,0),5)</f>
        <v/>
      </c>
      <c r="BG501">
        <f>IF(OR(AZ501="Done",AZ501="Cancelled"),1,0)</f>
        <v/>
      </c>
      <c r="BH501">
        <f>IF(AND(AU501&lt;&gt;"",ISNUMBER(AW501)),1,0)</f>
        <v/>
      </c>
      <c r="BI501">
        <f>IF(BH501=0,0,IF(AND(AW501&gt;='Tasks Filter'!$F$3,AW501&lt;='Tasks Filter'!$F$4,OR('Tasks Filter'!$I$3="",ISNUMBER(SEARCH('Tasks Filter'!$I$3,AU501))),OR('Tasks Filter'!$I$4="",BF501=IFERROR(MATCH('Tasks Filter'!$I$4,Setup!$L$6:$L$9,0),0)),OR('Tasks Filter'!$I$5="Both",AND('Tasks Filter'!$I$5="Yes",BB501="✓"),AND('Tasks Filter'!$I$5="No",BB501&lt;&gt;"✓")),OR('Tasks Filter'!$L$3="",AV501='Tasks Filter'!$L$3),OR('Tasks Filter'!$L$4="",AZ501='Tasks Filter'!$L$4),OR('Tasks Filter'!$L$5="",BC501='Tasks Filter'!$L$5),OR('Tasks Filter'!$O$3="",BD501='Tasks Filter'!$O$3),OR('Tasks Filter'!$O$4="Yes",BG501=0)),1,0))</f>
        <v/>
      </c>
      <c r="BJ501">
        <f>IF(BH501=0,"",IF('Tasks Filter'!$F$6="Descending",-1,1)*CHOOSE(MATCH('Tasks Filter'!$F$5,Lists!$G$2:$G$6,0),AW501,BF501,IFERROR(MATCH(AV501,Setup!$F$6:$F$15,0),99),IFERROR(MATCH(BC501,Setup!$H$6:$H$15,0),99),IFERROR(MATCH(AZ501,Setup!$J$6:$J$11,0),99))*1E+9+(AW501-40000)*10000+500)</f>
        <v/>
      </c>
      <c r="BK501">
        <f>IF(BI501=1,BJ501,"")</f>
        <v/>
      </c>
      <c r="BL501">
        <f>IF(AND(BH501=1,BG501=0,N(AW501)&lt;Setup!$D$7),(AW501-40000)*10000+500,"")</f>
        <v/>
      </c>
      <c r="BM501">
        <f>IF(AND(BH501=1,AZ501&lt;&gt;"Cancelled",N(AW501)&gt;=Dashboard!$AB$3,N(AW501)&lt;=Dashboard!$AB$3+6),(AW501-40000)*100000+BF501*10000+500,"")</f>
        <v/>
      </c>
      <c r="BN501">
        <f>IF(AND(BH501=1,AZ501&lt;&gt;"Cancelled"),BF501*10000+500,"")</f>
        <v/>
      </c>
    </row>
    <row r="502">
      <c r="AS502" t="inlineStr">
        <is>
          <t>R</t>
        </is>
      </c>
      <c r="AT502" t="n">
        <v>506</v>
      </c>
      <c r="AU502">
        <f>'Recurring Log'!C506&amp;""</f>
        <v/>
      </c>
      <c r="AV502">
        <f>'Recurring Log'!D506&amp;""</f>
        <v/>
      </c>
      <c r="AW502">
        <f>IF('Recurring Log'!E506="","",'Recurring Log'!E506)</f>
        <v/>
      </c>
      <c r="AX502">
        <f>IF('Recurring Log'!G506="","",'Recurring Log'!G506)</f>
        <v/>
      </c>
      <c r="AY502">
        <f>IF('Recurring Log'!H506="","",'Recurring Log'!H506)</f>
        <v/>
      </c>
      <c r="AZ502">
        <f>IF(AU502="","",IF('Recurring Log'!J506="","Not Started",'Recurring Log'!J506))</f>
        <v/>
      </c>
      <c r="BA502">
        <f>'Recurring Log'!L506&amp;""</f>
        <v/>
      </c>
      <c r="BB502">
        <f>'Recurring Log'!M506&amp;""</f>
        <v/>
      </c>
      <c r="BC502">
        <f>'Recurring Log'!N506&amp;""</f>
        <v/>
      </c>
      <c r="BD502">
        <f>'Recurring Log'!O506&amp;""</f>
        <v/>
      </c>
      <c r="BE502">
        <f>IF('Recurring Log'!K506="","",'Recurring Log'!K506)</f>
        <v/>
      </c>
      <c r="BF502">
        <f>IFERROR(MATCH(BA502,Setup!$L$6:$L$9,0),5)</f>
        <v/>
      </c>
      <c r="BG502">
        <f>IF(OR(AZ502="Done",AZ502="Cancelled"),1,0)</f>
        <v/>
      </c>
      <c r="BH502">
        <f>IF(AND(AU502&lt;&gt;"",ISNUMBER(AW502)),1,0)</f>
        <v/>
      </c>
      <c r="BI502">
        <f>IF(BH502=0,0,IF(AND(AW502&gt;='Tasks Filter'!$F$3,AW502&lt;='Tasks Filter'!$F$4,OR('Tasks Filter'!$I$3="",ISNUMBER(SEARCH('Tasks Filter'!$I$3,AU502))),OR('Tasks Filter'!$I$4="",BF502=IFERROR(MATCH('Tasks Filter'!$I$4,Setup!$L$6:$L$9,0),0)),OR('Tasks Filter'!$I$5="Both",AND('Tasks Filter'!$I$5="Yes",BB502="✓"),AND('Tasks Filter'!$I$5="No",BB502&lt;&gt;"✓")),OR('Tasks Filter'!$L$3="",AV502='Tasks Filter'!$L$3),OR('Tasks Filter'!$L$4="",AZ502='Tasks Filter'!$L$4),OR('Tasks Filter'!$L$5="",BC502='Tasks Filter'!$L$5),OR('Tasks Filter'!$O$3="",BD502='Tasks Filter'!$O$3),OR('Tasks Filter'!$O$4="Yes",BG502=0)),1,0))</f>
        <v/>
      </c>
      <c r="BJ502">
        <f>IF(BH502=0,"",IF('Tasks Filter'!$F$6="Descending",-1,1)*CHOOSE(MATCH('Tasks Filter'!$F$5,Lists!$G$2:$G$6,0),AW502,BF502,IFERROR(MATCH(AV502,Setup!$F$6:$F$15,0),99),IFERROR(MATCH(BC502,Setup!$H$6:$H$15,0),99),IFERROR(MATCH(AZ502,Setup!$J$6:$J$11,0),99))*1E+9+(AW502-40000)*10000+501)</f>
        <v/>
      </c>
      <c r="BK502">
        <f>IF(BI502=1,BJ502,"")</f>
        <v/>
      </c>
      <c r="BL502">
        <f>IF(AND(BH502=1,BG502=0,N(AW502)&lt;Setup!$D$7),(AW502-40000)*10000+501,"")</f>
        <v/>
      </c>
      <c r="BM502">
        <f>IF(AND(BH502=1,AZ502&lt;&gt;"Cancelled",N(AW502)&gt;=Dashboard!$AB$3,N(AW502)&lt;=Dashboard!$AB$3+6),(AW502-40000)*100000+BF502*10000+501,"")</f>
        <v/>
      </c>
      <c r="BN502">
        <f>IF(AND(BH502=1,AZ502&lt;&gt;"Cancelled"),BF502*10000+501,"")</f>
        <v/>
      </c>
    </row>
    <row r="503">
      <c r="AS503" t="inlineStr">
        <is>
          <t>R</t>
        </is>
      </c>
      <c r="AT503" t="n">
        <v>507</v>
      </c>
      <c r="AU503">
        <f>'Recurring Log'!C507&amp;""</f>
        <v/>
      </c>
      <c r="AV503">
        <f>'Recurring Log'!D507&amp;""</f>
        <v/>
      </c>
      <c r="AW503">
        <f>IF('Recurring Log'!E507="","",'Recurring Log'!E507)</f>
        <v/>
      </c>
      <c r="AX503">
        <f>IF('Recurring Log'!G507="","",'Recurring Log'!G507)</f>
        <v/>
      </c>
      <c r="AY503">
        <f>IF('Recurring Log'!H507="","",'Recurring Log'!H507)</f>
        <v/>
      </c>
      <c r="AZ503">
        <f>IF(AU503="","",IF('Recurring Log'!J507="","Not Started",'Recurring Log'!J507))</f>
        <v/>
      </c>
      <c r="BA503">
        <f>'Recurring Log'!L507&amp;""</f>
        <v/>
      </c>
      <c r="BB503">
        <f>'Recurring Log'!M507&amp;""</f>
        <v/>
      </c>
      <c r="BC503">
        <f>'Recurring Log'!N507&amp;""</f>
        <v/>
      </c>
      <c r="BD503">
        <f>'Recurring Log'!O507&amp;""</f>
        <v/>
      </c>
      <c r="BE503">
        <f>IF('Recurring Log'!K507="","",'Recurring Log'!K507)</f>
        <v/>
      </c>
      <c r="BF503">
        <f>IFERROR(MATCH(BA503,Setup!$L$6:$L$9,0),5)</f>
        <v/>
      </c>
      <c r="BG503">
        <f>IF(OR(AZ503="Done",AZ503="Cancelled"),1,0)</f>
        <v/>
      </c>
      <c r="BH503">
        <f>IF(AND(AU503&lt;&gt;"",ISNUMBER(AW503)),1,0)</f>
        <v/>
      </c>
      <c r="BI503">
        <f>IF(BH503=0,0,IF(AND(AW503&gt;='Tasks Filter'!$F$3,AW503&lt;='Tasks Filter'!$F$4,OR('Tasks Filter'!$I$3="",ISNUMBER(SEARCH('Tasks Filter'!$I$3,AU503))),OR('Tasks Filter'!$I$4="",BF503=IFERROR(MATCH('Tasks Filter'!$I$4,Setup!$L$6:$L$9,0),0)),OR('Tasks Filter'!$I$5="Both",AND('Tasks Filter'!$I$5="Yes",BB503="✓"),AND('Tasks Filter'!$I$5="No",BB503&lt;&gt;"✓")),OR('Tasks Filter'!$L$3="",AV503='Tasks Filter'!$L$3),OR('Tasks Filter'!$L$4="",AZ503='Tasks Filter'!$L$4),OR('Tasks Filter'!$L$5="",BC503='Tasks Filter'!$L$5),OR('Tasks Filter'!$O$3="",BD503='Tasks Filter'!$O$3),OR('Tasks Filter'!$O$4="Yes",BG503=0)),1,0))</f>
        <v/>
      </c>
      <c r="BJ503">
        <f>IF(BH503=0,"",IF('Tasks Filter'!$F$6="Descending",-1,1)*CHOOSE(MATCH('Tasks Filter'!$F$5,Lists!$G$2:$G$6,0),AW503,BF503,IFERROR(MATCH(AV503,Setup!$F$6:$F$15,0),99),IFERROR(MATCH(BC503,Setup!$H$6:$H$15,0),99),IFERROR(MATCH(AZ503,Setup!$J$6:$J$11,0),99))*1E+9+(AW503-40000)*10000+502)</f>
        <v/>
      </c>
      <c r="BK503">
        <f>IF(BI503=1,BJ503,"")</f>
        <v/>
      </c>
      <c r="BL503">
        <f>IF(AND(BH503=1,BG503=0,N(AW503)&lt;Setup!$D$7),(AW503-40000)*10000+502,"")</f>
        <v/>
      </c>
      <c r="BM503">
        <f>IF(AND(BH503=1,AZ503&lt;&gt;"Cancelled",N(AW503)&gt;=Dashboard!$AB$3,N(AW503)&lt;=Dashboard!$AB$3+6),(AW503-40000)*100000+BF503*10000+502,"")</f>
        <v/>
      </c>
      <c r="BN503">
        <f>IF(AND(BH503=1,AZ503&lt;&gt;"Cancelled"),BF503*10000+502,"")</f>
        <v/>
      </c>
    </row>
    <row r="504">
      <c r="AS504" t="inlineStr">
        <is>
          <t>R</t>
        </is>
      </c>
      <c r="AT504" t="n">
        <v>508</v>
      </c>
      <c r="AU504">
        <f>'Recurring Log'!C508&amp;""</f>
        <v/>
      </c>
      <c r="AV504">
        <f>'Recurring Log'!D508&amp;""</f>
        <v/>
      </c>
      <c r="AW504">
        <f>IF('Recurring Log'!E508="","",'Recurring Log'!E508)</f>
        <v/>
      </c>
      <c r="AX504">
        <f>IF('Recurring Log'!G508="","",'Recurring Log'!G508)</f>
        <v/>
      </c>
      <c r="AY504">
        <f>IF('Recurring Log'!H508="","",'Recurring Log'!H508)</f>
        <v/>
      </c>
      <c r="AZ504">
        <f>IF(AU504="","",IF('Recurring Log'!J508="","Not Started",'Recurring Log'!J508))</f>
        <v/>
      </c>
      <c r="BA504">
        <f>'Recurring Log'!L508&amp;""</f>
        <v/>
      </c>
      <c r="BB504">
        <f>'Recurring Log'!M508&amp;""</f>
        <v/>
      </c>
      <c r="BC504">
        <f>'Recurring Log'!N508&amp;""</f>
        <v/>
      </c>
      <c r="BD504">
        <f>'Recurring Log'!O508&amp;""</f>
        <v/>
      </c>
      <c r="BE504">
        <f>IF('Recurring Log'!K508="","",'Recurring Log'!K508)</f>
        <v/>
      </c>
      <c r="BF504">
        <f>IFERROR(MATCH(BA504,Setup!$L$6:$L$9,0),5)</f>
        <v/>
      </c>
      <c r="BG504">
        <f>IF(OR(AZ504="Done",AZ504="Cancelled"),1,0)</f>
        <v/>
      </c>
      <c r="BH504">
        <f>IF(AND(AU504&lt;&gt;"",ISNUMBER(AW504)),1,0)</f>
        <v/>
      </c>
      <c r="BI504">
        <f>IF(BH504=0,0,IF(AND(AW504&gt;='Tasks Filter'!$F$3,AW504&lt;='Tasks Filter'!$F$4,OR('Tasks Filter'!$I$3="",ISNUMBER(SEARCH('Tasks Filter'!$I$3,AU504))),OR('Tasks Filter'!$I$4="",BF504=IFERROR(MATCH('Tasks Filter'!$I$4,Setup!$L$6:$L$9,0),0)),OR('Tasks Filter'!$I$5="Both",AND('Tasks Filter'!$I$5="Yes",BB504="✓"),AND('Tasks Filter'!$I$5="No",BB504&lt;&gt;"✓")),OR('Tasks Filter'!$L$3="",AV504='Tasks Filter'!$L$3),OR('Tasks Filter'!$L$4="",AZ504='Tasks Filter'!$L$4),OR('Tasks Filter'!$L$5="",BC504='Tasks Filter'!$L$5),OR('Tasks Filter'!$O$3="",BD504='Tasks Filter'!$O$3),OR('Tasks Filter'!$O$4="Yes",BG504=0)),1,0))</f>
        <v/>
      </c>
      <c r="BJ504">
        <f>IF(BH504=0,"",IF('Tasks Filter'!$F$6="Descending",-1,1)*CHOOSE(MATCH('Tasks Filter'!$F$5,Lists!$G$2:$G$6,0),AW504,BF504,IFERROR(MATCH(AV504,Setup!$F$6:$F$15,0),99),IFERROR(MATCH(BC504,Setup!$H$6:$H$15,0),99),IFERROR(MATCH(AZ504,Setup!$J$6:$J$11,0),99))*1E+9+(AW504-40000)*10000+503)</f>
        <v/>
      </c>
      <c r="BK504">
        <f>IF(BI504=1,BJ504,"")</f>
        <v/>
      </c>
      <c r="BL504">
        <f>IF(AND(BH504=1,BG504=0,N(AW504)&lt;Setup!$D$7),(AW504-40000)*10000+503,"")</f>
        <v/>
      </c>
      <c r="BM504">
        <f>IF(AND(BH504=1,AZ504&lt;&gt;"Cancelled",N(AW504)&gt;=Dashboard!$AB$3,N(AW504)&lt;=Dashboard!$AB$3+6),(AW504-40000)*100000+BF504*10000+503,"")</f>
        <v/>
      </c>
      <c r="BN504">
        <f>IF(AND(BH504=1,AZ504&lt;&gt;"Cancelled"),BF504*10000+503,"")</f>
        <v/>
      </c>
    </row>
    <row r="505">
      <c r="AS505" t="inlineStr">
        <is>
          <t>R</t>
        </is>
      </c>
      <c r="AT505" t="n">
        <v>509</v>
      </c>
      <c r="AU505">
        <f>'Recurring Log'!C509&amp;""</f>
        <v/>
      </c>
      <c r="AV505">
        <f>'Recurring Log'!D509&amp;""</f>
        <v/>
      </c>
      <c r="AW505">
        <f>IF('Recurring Log'!E509="","",'Recurring Log'!E509)</f>
        <v/>
      </c>
      <c r="AX505">
        <f>IF('Recurring Log'!G509="","",'Recurring Log'!G509)</f>
        <v/>
      </c>
      <c r="AY505">
        <f>IF('Recurring Log'!H509="","",'Recurring Log'!H509)</f>
        <v/>
      </c>
      <c r="AZ505">
        <f>IF(AU505="","",IF('Recurring Log'!J509="","Not Started",'Recurring Log'!J509))</f>
        <v/>
      </c>
      <c r="BA505">
        <f>'Recurring Log'!L509&amp;""</f>
        <v/>
      </c>
      <c r="BB505">
        <f>'Recurring Log'!M509&amp;""</f>
        <v/>
      </c>
      <c r="BC505">
        <f>'Recurring Log'!N509&amp;""</f>
        <v/>
      </c>
      <c r="BD505">
        <f>'Recurring Log'!O509&amp;""</f>
        <v/>
      </c>
      <c r="BE505">
        <f>IF('Recurring Log'!K509="","",'Recurring Log'!K509)</f>
        <v/>
      </c>
      <c r="BF505">
        <f>IFERROR(MATCH(BA505,Setup!$L$6:$L$9,0),5)</f>
        <v/>
      </c>
      <c r="BG505">
        <f>IF(OR(AZ505="Done",AZ505="Cancelled"),1,0)</f>
        <v/>
      </c>
      <c r="BH505">
        <f>IF(AND(AU505&lt;&gt;"",ISNUMBER(AW505)),1,0)</f>
        <v/>
      </c>
      <c r="BI505">
        <f>IF(BH505=0,0,IF(AND(AW505&gt;='Tasks Filter'!$F$3,AW505&lt;='Tasks Filter'!$F$4,OR('Tasks Filter'!$I$3="",ISNUMBER(SEARCH('Tasks Filter'!$I$3,AU505))),OR('Tasks Filter'!$I$4="",BF505=IFERROR(MATCH('Tasks Filter'!$I$4,Setup!$L$6:$L$9,0),0)),OR('Tasks Filter'!$I$5="Both",AND('Tasks Filter'!$I$5="Yes",BB505="✓"),AND('Tasks Filter'!$I$5="No",BB505&lt;&gt;"✓")),OR('Tasks Filter'!$L$3="",AV505='Tasks Filter'!$L$3),OR('Tasks Filter'!$L$4="",AZ505='Tasks Filter'!$L$4),OR('Tasks Filter'!$L$5="",BC505='Tasks Filter'!$L$5),OR('Tasks Filter'!$O$3="",BD505='Tasks Filter'!$O$3),OR('Tasks Filter'!$O$4="Yes",BG505=0)),1,0))</f>
        <v/>
      </c>
      <c r="BJ505">
        <f>IF(BH505=0,"",IF('Tasks Filter'!$F$6="Descending",-1,1)*CHOOSE(MATCH('Tasks Filter'!$F$5,Lists!$G$2:$G$6,0),AW505,BF505,IFERROR(MATCH(AV505,Setup!$F$6:$F$15,0),99),IFERROR(MATCH(BC505,Setup!$H$6:$H$15,0),99),IFERROR(MATCH(AZ505,Setup!$J$6:$J$11,0),99))*1E+9+(AW505-40000)*10000+504)</f>
        <v/>
      </c>
      <c r="BK505">
        <f>IF(BI505=1,BJ505,"")</f>
        <v/>
      </c>
      <c r="BL505">
        <f>IF(AND(BH505=1,BG505=0,N(AW505)&lt;Setup!$D$7),(AW505-40000)*10000+504,"")</f>
        <v/>
      </c>
      <c r="BM505">
        <f>IF(AND(BH505=1,AZ505&lt;&gt;"Cancelled",N(AW505)&gt;=Dashboard!$AB$3,N(AW505)&lt;=Dashboard!$AB$3+6),(AW505-40000)*100000+BF505*10000+504,"")</f>
        <v/>
      </c>
      <c r="BN505">
        <f>IF(AND(BH505=1,AZ505&lt;&gt;"Cancelled"),BF505*10000+504,"")</f>
        <v/>
      </c>
    </row>
    <row r="506">
      <c r="AS506" t="inlineStr">
        <is>
          <t>R</t>
        </is>
      </c>
      <c r="AT506" t="n">
        <v>510</v>
      </c>
      <c r="AU506">
        <f>'Recurring Log'!C510&amp;""</f>
        <v/>
      </c>
      <c r="AV506">
        <f>'Recurring Log'!D510&amp;""</f>
        <v/>
      </c>
      <c r="AW506">
        <f>IF('Recurring Log'!E510="","",'Recurring Log'!E510)</f>
        <v/>
      </c>
      <c r="AX506">
        <f>IF('Recurring Log'!G510="","",'Recurring Log'!G510)</f>
        <v/>
      </c>
      <c r="AY506">
        <f>IF('Recurring Log'!H510="","",'Recurring Log'!H510)</f>
        <v/>
      </c>
      <c r="AZ506">
        <f>IF(AU506="","",IF('Recurring Log'!J510="","Not Started",'Recurring Log'!J510))</f>
        <v/>
      </c>
      <c r="BA506">
        <f>'Recurring Log'!L510&amp;""</f>
        <v/>
      </c>
      <c r="BB506">
        <f>'Recurring Log'!M510&amp;""</f>
        <v/>
      </c>
      <c r="BC506">
        <f>'Recurring Log'!N510&amp;""</f>
        <v/>
      </c>
      <c r="BD506">
        <f>'Recurring Log'!O510&amp;""</f>
        <v/>
      </c>
      <c r="BE506">
        <f>IF('Recurring Log'!K510="","",'Recurring Log'!K510)</f>
        <v/>
      </c>
      <c r="BF506">
        <f>IFERROR(MATCH(BA506,Setup!$L$6:$L$9,0),5)</f>
        <v/>
      </c>
      <c r="BG506">
        <f>IF(OR(AZ506="Done",AZ506="Cancelled"),1,0)</f>
        <v/>
      </c>
      <c r="BH506">
        <f>IF(AND(AU506&lt;&gt;"",ISNUMBER(AW506)),1,0)</f>
        <v/>
      </c>
      <c r="BI506">
        <f>IF(BH506=0,0,IF(AND(AW506&gt;='Tasks Filter'!$F$3,AW506&lt;='Tasks Filter'!$F$4,OR('Tasks Filter'!$I$3="",ISNUMBER(SEARCH('Tasks Filter'!$I$3,AU506))),OR('Tasks Filter'!$I$4="",BF506=IFERROR(MATCH('Tasks Filter'!$I$4,Setup!$L$6:$L$9,0),0)),OR('Tasks Filter'!$I$5="Both",AND('Tasks Filter'!$I$5="Yes",BB506="✓"),AND('Tasks Filter'!$I$5="No",BB506&lt;&gt;"✓")),OR('Tasks Filter'!$L$3="",AV506='Tasks Filter'!$L$3),OR('Tasks Filter'!$L$4="",AZ506='Tasks Filter'!$L$4),OR('Tasks Filter'!$L$5="",BC506='Tasks Filter'!$L$5),OR('Tasks Filter'!$O$3="",BD506='Tasks Filter'!$O$3),OR('Tasks Filter'!$O$4="Yes",BG506=0)),1,0))</f>
        <v/>
      </c>
      <c r="BJ506">
        <f>IF(BH506=0,"",IF('Tasks Filter'!$F$6="Descending",-1,1)*CHOOSE(MATCH('Tasks Filter'!$F$5,Lists!$G$2:$G$6,0),AW506,BF506,IFERROR(MATCH(AV506,Setup!$F$6:$F$15,0),99),IFERROR(MATCH(BC506,Setup!$H$6:$H$15,0),99),IFERROR(MATCH(AZ506,Setup!$J$6:$J$11,0),99))*1E+9+(AW506-40000)*10000+505)</f>
        <v/>
      </c>
      <c r="BK506">
        <f>IF(BI506=1,BJ506,"")</f>
        <v/>
      </c>
      <c r="BL506">
        <f>IF(AND(BH506=1,BG506=0,N(AW506)&lt;Setup!$D$7),(AW506-40000)*10000+505,"")</f>
        <v/>
      </c>
      <c r="BM506">
        <f>IF(AND(BH506=1,AZ506&lt;&gt;"Cancelled",N(AW506)&gt;=Dashboard!$AB$3,N(AW506)&lt;=Dashboard!$AB$3+6),(AW506-40000)*100000+BF506*10000+505,"")</f>
        <v/>
      </c>
      <c r="BN506">
        <f>IF(AND(BH506=1,AZ506&lt;&gt;"Cancelled"),BF506*10000+505,"")</f>
        <v/>
      </c>
    </row>
    <row r="507">
      <c r="AS507" t="inlineStr">
        <is>
          <t>R</t>
        </is>
      </c>
      <c r="AT507" t="n">
        <v>511</v>
      </c>
      <c r="AU507">
        <f>'Recurring Log'!C511&amp;""</f>
        <v/>
      </c>
      <c r="AV507">
        <f>'Recurring Log'!D511&amp;""</f>
        <v/>
      </c>
      <c r="AW507">
        <f>IF('Recurring Log'!E511="","",'Recurring Log'!E511)</f>
        <v/>
      </c>
      <c r="AX507">
        <f>IF('Recurring Log'!G511="","",'Recurring Log'!G511)</f>
        <v/>
      </c>
      <c r="AY507">
        <f>IF('Recurring Log'!H511="","",'Recurring Log'!H511)</f>
        <v/>
      </c>
      <c r="AZ507">
        <f>IF(AU507="","",IF('Recurring Log'!J511="","Not Started",'Recurring Log'!J511))</f>
        <v/>
      </c>
      <c r="BA507">
        <f>'Recurring Log'!L511&amp;""</f>
        <v/>
      </c>
      <c r="BB507">
        <f>'Recurring Log'!M511&amp;""</f>
        <v/>
      </c>
      <c r="BC507">
        <f>'Recurring Log'!N511&amp;""</f>
        <v/>
      </c>
      <c r="BD507">
        <f>'Recurring Log'!O511&amp;""</f>
        <v/>
      </c>
      <c r="BE507">
        <f>IF('Recurring Log'!K511="","",'Recurring Log'!K511)</f>
        <v/>
      </c>
      <c r="BF507">
        <f>IFERROR(MATCH(BA507,Setup!$L$6:$L$9,0),5)</f>
        <v/>
      </c>
      <c r="BG507">
        <f>IF(OR(AZ507="Done",AZ507="Cancelled"),1,0)</f>
        <v/>
      </c>
      <c r="BH507">
        <f>IF(AND(AU507&lt;&gt;"",ISNUMBER(AW507)),1,0)</f>
        <v/>
      </c>
      <c r="BI507">
        <f>IF(BH507=0,0,IF(AND(AW507&gt;='Tasks Filter'!$F$3,AW507&lt;='Tasks Filter'!$F$4,OR('Tasks Filter'!$I$3="",ISNUMBER(SEARCH('Tasks Filter'!$I$3,AU507))),OR('Tasks Filter'!$I$4="",BF507=IFERROR(MATCH('Tasks Filter'!$I$4,Setup!$L$6:$L$9,0),0)),OR('Tasks Filter'!$I$5="Both",AND('Tasks Filter'!$I$5="Yes",BB507="✓"),AND('Tasks Filter'!$I$5="No",BB507&lt;&gt;"✓")),OR('Tasks Filter'!$L$3="",AV507='Tasks Filter'!$L$3),OR('Tasks Filter'!$L$4="",AZ507='Tasks Filter'!$L$4),OR('Tasks Filter'!$L$5="",BC507='Tasks Filter'!$L$5),OR('Tasks Filter'!$O$3="",BD507='Tasks Filter'!$O$3),OR('Tasks Filter'!$O$4="Yes",BG507=0)),1,0))</f>
        <v/>
      </c>
      <c r="BJ507">
        <f>IF(BH507=0,"",IF('Tasks Filter'!$F$6="Descending",-1,1)*CHOOSE(MATCH('Tasks Filter'!$F$5,Lists!$G$2:$G$6,0),AW507,BF507,IFERROR(MATCH(AV507,Setup!$F$6:$F$15,0),99),IFERROR(MATCH(BC507,Setup!$H$6:$H$15,0),99),IFERROR(MATCH(AZ507,Setup!$J$6:$J$11,0),99))*1E+9+(AW507-40000)*10000+506)</f>
        <v/>
      </c>
      <c r="BK507">
        <f>IF(BI507=1,BJ507,"")</f>
        <v/>
      </c>
      <c r="BL507">
        <f>IF(AND(BH507=1,BG507=0,N(AW507)&lt;Setup!$D$7),(AW507-40000)*10000+506,"")</f>
        <v/>
      </c>
      <c r="BM507">
        <f>IF(AND(BH507=1,AZ507&lt;&gt;"Cancelled",N(AW507)&gt;=Dashboard!$AB$3,N(AW507)&lt;=Dashboard!$AB$3+6),(AW507-40000)*100000+BF507*10000+506,"")</f>
        <v/>
      </c>
      <c r="BN507">
        <f>IF(AND(BH507=1,AZ507&lt;&gt;"Cancelled"),BF507*10000+506,"")</f>
        <v/>
      </c>
    </row>
    <row r="508">
      <c r="AS508" t="inlineStr">
        <is>
          <t>R</t>
        </is>
      </c>
      <c r="AT508" t="n">
        <v>512</v>
      </c>
      <c r="AU508">
        <f>'Recurring Log'!C512&amp;""</f>
        <v/>
      </c>
      <c r="AV508">
        <f>'Recurring Log'!D512&amp;""</f>
        <v/>
      </c>
      <c r="AW508">
        <f>IF('Recurring Log'!E512="","",'Recurring Log'!E512)</f>
        <v/>
      </c>
      <c r="AX508">
        <f>IF('Recurring Log'!G512="","",'Recurring Log'!G512)</f>
        <v/>
      </c>
      <c r="AY508">
        <f>IF('Recurring Log'!H512="","",'Recurring Log'!H512)</f>
        <v/>
      </c>
      <c r="AZ508">
        <f>IF(AU508="","",IF('Recurring Log'!J512="","Not Started",'Recurring Log'!J512))</f>
        <v/>
      </c>
      <c r="BA508">
        <f>'Recurring Log'!L512&amp;""</f>
        <v/>
      </c>
      <c r="BB508">
        <f>'Recurring Log'!M512&amp;""</f>
        <v/>
      </c>
      <c r="BC508">
        <f>'Recurring Log'!N512&amp;""</f>
        <v/>
      </c>
      <c r="BD508">
        <f>'Recurring Log'!O512&amp;""</f>
        <v/>
      </c>
      <c r="BE508">
        <f>IF('Recurring Log'!K512="","",'Recurring Log'!K512)</f>
        <v/>
      </c>
      <c r="BF508">
        <f>IFERROR(MATCH(BA508,Setup!$L$6:$L$9,0),5)</f>
        <v/>
      </c>
      <c r="BG508">
        <f>IF(OR(AZ508="Done",AZ508="Cancelled"),1,0)</f>
        <v/>
      </c>
      <c r="BH508">
        <f>IF(AND(AU508&lt;&gt;"",ISNUMBER(AW508)),1,0)</f>
        <v/>
      </c>
      <c r="BI508">
        <f>IF(BH508=0,0,IF(AND(AW508&gt;='Tasks Filter'!$F$3,AW508&lt;='Tasks Filter'!$F$4,OR('Tasks Filter'!$I$3="",ISNUMBER(SEARCH('Tasks Filter'!$I$3,AU508))),OR('Tasks Filter'!$I$4="",BF508=IFERROR(MATCH('Tasks Filter'!$I$4,Setup!$L$6:$L$9,0),0)),OR('Tasks Filter'!$I$5="Both",AND('Tasks Filter'!$I$5="Yes",BB508="✓"),AND('Tasks Filter'!$I$5="No",BB508&lt;&gt;"✓")),OR('Tasks Filter'!$L$3="",AV508='Tasks Filter'!$L$3),OR('Tasks Filter'!$L$4="",AZ508='Tasks Filter'!$L$4),OR('Tasks Filter'!$L$5="",BC508='Tasks Filter'!$L$5),OR('Tasks Filter'!$O$3="",BD508='Tasks Filter'!$O$3),OR('Tasks Filter'!$O$4="Yes",BG508=0)),1,0))</f>
        <v/>
      </c>
      <c r="BJ508">
        <f>IF(BH508=0,"",IF('Tasks Filter'!$F$6="Descending",-1,1)*CHOOSE(MATCH('Tasks Filter'!$F$5,Lists!$G$2:$G$6,0),AW508,BF508,IFERROR(MATCH(AV508,Setup!$F$6:$F$15,0),99),IFERROR(MATCH(BC508,Setup!$H$6:$H$15,0),99),IFERROR(MATCH(AZ508,Setup!$J$6:$J$11,0),99))*1E+9+(AW508-40000)*10000+507)</f>
        <v/>
      </c>
      <c r="BK508">
        <f>IF(BI508=1,BJ508,"")</f>
        <v/>
      </c>
      <c r="BL508">
        <f>IF(AND(BH508=1,BG508=0,N(AW508)&lt;Setup!$D$7),(AW508-40000)*10000+507,"")</f>
        <v/>
      </c>
      <c r="BM508">
        <f>IF(AND(BH508=1,AZ508&lt;&gt;"Cancelled",N(AW508)&gt;=Dashboard!$AB$3,N(AW508)&lt;=Dashboard!$AB$3+6),(AW508-40000)*100000+BF508*10000+507,"")</f>
        <v/>
      </c>
      <c r="BN508">
        <f>IF(AND(BH508=1,AZ508&lt;&gt;"Cancelled"),BF508*10000+507,"")</f>
        <v/>
      </c>
    </row>
    <row r="509">
      <c r="AS509" t="inlineStr">
        <is>
          <t>R</t>
        </is>
      </c>
      <c r="AT509" t="n">
        <v>513</v>
      </c>
      <c r="AU509">
        <f>'Recurring Log'!C513&amp;""</f>
        <v/>
      </c>
      <c r="AV509">
        <f>'Recurring Log'!D513&amp;""</f>
        <v/>
      </c>
      <c r="AW509">
        <f>IF('Recurring Log'!E513="","",'Recurring Log'!E513)</f>
        <v/>
      </c>
      <c r="AX509">
        <f>IF('Recurring Log'!G513="","",'Recurring Log'!G513)</f>
        <v/>
      </c>
      <c r="AY509">
        <f>IF('Recurring Log'!H513="","",'Recurring Log'!H513)</f>
        <v/>
      </c>
      <c r="AZ509">
        <f>IF(AU509="","",IF('Recurring Log'!J513="","Not Started",'Recurring Log'!J513))</f>
        <v/>
      </c>
      <c r="BA509">
        <f>'Recurring Log'!L513&amp;""</f>
        <v/>
      </c>
      <c r="BB509">
        <f>'Recurring Log'!M513&amp;""</f>
        <v/>
      </c>
      <c r="BC509">
        <f>'Recurring Log'!N513&amp;""</f>
        <v/>
      </c>
      <c r="BD509">
        <f>'Recurring Log'!O513&amp;""</f>
        <v/>
      </c>
      <c r="BE509">
        <f>IF('Recurring Log'!K513="","",'Recurring Log'!K513)</f>
        <v/>
      </c>
      <c r="BF509">
        <f>IFERROR(MATCH(BA509,Setup!$L$6:$L$9,0),5)</f>
        <v/>
      </c>
      <c r="BG509">
        <f>IF(OR(AZ509="Done",AZ509="Cancelled"),1,0)</f>
        <v/>
      </c>
      <c r="BH509">
        <f>IF(AND(AU509&lt;&gt;"",ISNUMBER(AW509)),1,0)</f>
        <v/>
      </c>
      <c r="BI509">
        <f>IF(BH509=0,0,IF(AND(AW509&gt;='Tasks Filter'!$F$3,AW509&lt;='Tasks Filter'!$F$4,OR('Tasks Filter'!$I$3="",ISNUMBER(SEARCH('Tasks Filter'!$I$3,AU509))),OR('Tasks Filter'!$I$4="",BF509=IFERROR(MATCH('Tasks Filter'!$I$4,Setup!$L$6:$L$9,0),0)),OR('Tasks Filter'!$I$5="Both",AND('Tasks Filter'!$I$5="Yes",BB509="✓"),AND('Tasks Filter'!$I$5="No",BB509&lt;&gt;"✓")),OR('Tasks Filter'!$L$3="",AV509='Tasks Filter'!$L$3),OR('Tasks Filter'!$L$4="",AZ509='Tasks Filter'!$L$4),OR('Tasks Filter'!$L$5="",BC509='Tasks Filter'!$L$5),OR('Tasks Filter'!$O$3="",BD509='Tasks Filter'!$O$3),OR('Tasks Filter'!$O$4="Yes",BG509=0)),1,0))</f>
        <v/>
      </c>
      <c r="BJ509">
        <f>IF(BH509=0,"",IF('Tasks Filter'!$F$6="Descending",-1,1)*CHOOSE(MATCH('Tasks Filter'!$F$5,Lists!$G$2:$G$6,0),AW509,BF509,IFERROR(MATCH(AV509,Setup!$F$6:$F$15,0),99),IFERROR(MATCH(BC509,Setup!$H$6:$H$15,0),99),IFERROR(MATCH(AZ509,Setup!$J$6:$J$11,0),99))*1E+9+(AW509-40000)*10000+508)</f>
        <v/>
      </c>
      <c r="BK509">
        <f>IF(BI509=1,BJ509,"")</f>
        <v/>
      </c>
      <c r="BL509">
        <f>IF(AND(BH509=1,BG509=0,N(AW509)&lt;Setup!$D$7),(AW509-40000)*10000+508,"")</f>
        <v/>
      </c>
      <c r="BM509">
        <f>IF(AND(BH509=1,AZ509&lt;&gt;"Cancelled",N(AW509)&gt;=Dashboard!$AB$3,N(AW509)&lt;=Dashboard!$AB$3+6),(AW509-40000)*100000+BF509*10000+508,"")</f>
        <v/>
      </c>
      <c r="BN509">
        <f>IF(AND(BH509=1,AZ509&lt;&gt;"Cancelled"),BF509*10000+508,"")</f>
        <v/>
      </c>
    </row>
    <row r="510">
      <c r="AS510" t="inlineStr">
        <is>
          <t>R</t>
        </is>
      </c>
      <c r="AT510" t="n">
        <v>514</v>
      </c>
      <c r="AU510">
        <f>'Recurring Log'!C514&amp;""</f>
        <v/>
      </c>
      <c r="AV510">
        <f>'Recurring Log'!D514&amp;""</f>
        <v/>
      </c>
      <c r="AW510">
        <f>IF('Recurring Log'!E514="","",'Recurring Log'!E514)</f>
        <v/>
      </c>
      <c r="AX510">
        <f>IF('Recurring Log'!G514="","",'Recurring Log'!G514)</f>
        <v/>
      </c>
      <c r="AY510">
        <f>IF('Recurring Log'!H514="","",'Recurring Log'!H514)</f>
        <v/>
      </c>
      <c r="AZ510">
        <f>IF(AU510="","",IF('Recurring Log'!J514="","Not Started",'Recurring Log'!J514))</f>
        <v/>
      </c>
      <c r="BA510">
        <f>'Recurring Log'!L514&amp;""</f>
        <v/>
      </c>
      <c r="BB510">
        <f>'Recurring Log'!M514&amp;""</f>
        <v/>
      </c>
      <c r="BC510">
        <f>'Recurring Log'!N514&amp;""</f>
        <v/>
      </c>
      <c r="BD510">
        <f>'Recurring Log'!O514&amp;""</f>
        <v/>
      </c>
      <c r="BE510">
        <f>IF('Recurring Log'!K514="","",'Recurring Log'!K514)</f>
        <v/>
      </c>
      <c r="BF510">
        <f>IFERROR(MATCH(BA510,Setup!$L$6:$L$9,0),5)</f>
        <v/>
      </c>
      <c r="BG510">
        <f>IF(OR(AZ510="Done",AZ510="Cancelled"),1,0)</f>
        <v/>
      </c>
      <c r="BH510">
        <f>IF(AND(AU510&lt;&gt;"",ISNUMBER(AW510)),1,0)</f>
        <v/>
      </c>
      <c r="BI510">
        <f>IF(BH510=0,0,IF(AND(AW510&gt;='Tasks Filter'!$F$3,AW510&lt;='Tasks Filter'!$F$4,OR('Tasks Filter'!$I$3="",ISNUMBER(SEARCH('Tasks Filter'!$I$3,AU510))),OR('Tasks Filter'!$I$4="",BF510=IFERROR(MATCH('Tasks Filter'!$I$4,Setup!$L$6:$L$9,0),0)),OR('Tasks Filter'!$I$5="Both",AND('Tasks Filter'!$I$5="Yes",BB510="✓"),AND('Tasks Filter'!$I$5="No",BB510&lt;&gt;"✓")),OR('Tasks Filter'!$L$3="",AV510='Tasks Filter'!$L$3),OR('Tasks Filter'!$L$4="",AZ510='Tasks Filter'!$L$4),OR('Tasks Filter'!$L$5="",BC510='Tasks Filter'!$L$5),OR('Tasks Filter'!$O$3="",BD510='Tasks Filter'!$O$3),OR('Tasks Filter'!$O$4="Yes",BG510=0)),1,0))</f>
        <v/>
      </c>
      <c r="BJ510">
        <f>IF(BH510=0,"",IF('Tasks Filter'!$F$6="Descending",-1,1)*CHOOSE(MATCH('Tasks Filter'!$F$5,Lists!$G$2:$G$6,0),AW510,BF510,IFERROR(MATCH(AV510,Setup!$F$6:$F$15,0),99),IFERROR(MATCH(BC510,Setup!$H$6:$H$15,0),99),IFERROR(MATCH(AZ510,Setup!$J$6:$J$11,0),99))*1E+9+(AW510-40000)*10000+509)</f>
        <v/>
      </c>
      <c r="BK510">
        <f>IF(BI510=1,BJ510,"")</f>
        <v/>
      </c>
      <c r="BL510">
        <f>IF(AND(BH510=1,BG510=0,N(AW510)&lt;Setup!$D$7),(AW510-40000)*10000+509,"")</f>
        <v/>
      </c>
      <c r="BM510">
        <f>IF(AND(BH510=1,AZ510&lt;&gt;"Cancelled",N(AW510)&gt;=Dashboard!$AB$3,N(AW510)&lt;=Dashboard!$AB$3+6),(AW510-40000)*100000+BF510*10000+509,"")</f>
        <v/>
      </c>
      <c r="BN510">
        <f>IF(AND(BH510=1,AZ510&lt;&gt;"Cancelled"),BF510*10000+509,"")</f>
        <v/>
      </c>
    </row>
    <row r="511">
      <c r="AS511" t="inlineStr">
        <is>
          <t>R</t>
        </is>
      </c>
      <c r="AT511" t="n">
        <v>515</v>
      </c>
      <c r="AU511">
        <f>'Recurring Log'!C515&amp;""</f>
        <v/>
      </c>
      <c r="AV511">
        <f>'Recurring Log'!D515&amp;""</f>
        <v/>
      </c>
      <c r="AW511">
        <f>IF('Recurring Log'!E515="","",'Recurring Log'!E515)</f>
        <v/>
      </c>
      <c r="AX511">
        <f>IF('Recurring Log'!G515="","",'Recurring Log'!G515)</f>
        <v/>
      </c>
      <c r="AY511">
        <f>IF('Recurring Log'!H515="","",'Recurring Log'!H515)</f>
        <v/>
      </c>
      <c r="AZ511">
        <f>IF(AU511="","",IF('Recurring Log'!J515="","Not Started",'Recurring Log'!J515))</f>
        <v/>
      </c>
      <c r="BA511">
        <f>'Recurring Log'!L515&amp;""</f>
        <v/>
      </c>
      <c r="BB511">
        <f>'Recurring Log'!M515&amp;""</f>
        <v/>
      </c>
      <c r="BC511">
        <f>'Recurring Log'!N515&amp;""</f>
        <v/>
      </c>
      <c r="BD511">
        <f>'Recurring Log'!O515&amp;""</f>
        <v/>
      </c>
      <c r="BE511">
        <f>IF('Recurring Log'!K515="","",'Recurring Log'!K515)</f>
        <v/>
      </c>
      <c r="BF511">
        <f>IFERROR(MATCH(BA511,Setup!$L$6:$L$9,0),5)</f>
        <v/>
      </c>
      <c r="BG511">
        <f>IF(OR(AZ511="Done",AZ511="Cancelled"),1,0)</f>
        <v/>
      </c>
      <c r="BH511">
        <f>IF(AND(AU511&lt;&gt;"",ISNUMBER(AW511)),1,0)</f>
        <v/>
      </c>
      <c r="BI511">
        <f>IF(BH511=0,0,IF(AND(AW511&gt;='Tasks Filter'!$F$3,AW511&lt;='Tasks Filter'!$F$4,OR('Tasks Filter'!$I$3="",ISNUMBER(SEARCH('Tasks Filter'!$I$3,AU511))),OR('Tasks Filter'!$I$4="",BF511=IFERROR(MATCH('Tasks Filter'!$I$4,Setup!$L$6:$L$9,0),0)),OR('Tasks Filter'!$I$5="Both",AND('Tasks Filter'!$I$5="Yes",BB511="✓"),AND('Tasks Filter'!$I$5="No",BB511&lt;&gt;"✓")),OR('Tasks Filter'!$L$3="",AV511='Tasks Filter'!$L$3),OR('Tasks Filter'!$L$4="",AZ511='Tasks Filter'!$L$4),OR('Tasks Filter'!$L$5="",BC511='Tasks Filter'!$L$5),OR('Tasks Filter'!$O$3="",BD511='Tasks Filter'!$O$3),OR('Tasks Filter'!$O$4="Yes",BG511=0)),1,0))</f>
        <v/>
      </c>
      <c r="BJ511">
        <f>IF(BH511=0,"",IF('Tasks Filter'!$F$6="Descending",-1,1)*CHOOSE(MATCH('Tasks Filter'!$F$5,Lists!$G$2:$G$6,0),AW511,BF511,IFERROR(MATCH(AV511,Setup!$F$6:$F$15,0),99),IFERROR(MATCH(BC511,Setup!$H$6:$H$15,0),99),IFERROR(MATCH(AZ511,Setup!$J$6:$J$11,0),99))*1E+9+(AW511-40000)*10000+510)</f>
        <v/>
      </c>
      <c r="BK511">
        <f>IF(BI511=1,BJ511,"")</f>
        <v/>
      </c>
      <c r="BL511">
        <f>IF(AND(BH511=1,BG511=0,N(AW511)&lt;Setup!$D$7),(AW511-40000)*10000+510,"")</f>
        <v/>
      </c>
      <c r="BM511">
        <f>IF(AND(BH511=1,AZ511&lt;&gt;"Cancelled",N(AW511)&gt;=Dashboard!$AB$3,N(AW511)&lt;=Dashboard!$AB$3+6),(AW511-40000)*100000+BF511*10000+510,"")</f>
        <v/>
      </c>
      <c r="BN511">
        <f>IF(AND(BH511=1,AZ511&lt;&gt;"Cancelled"),BF511*10000+510,"")</f>
        <v/>
      </c>
    </row>
    <row r="512">
      <c r="AS512" t="inlineStr">
        <is>
          <t>R</t>
        </is>
      </c>
      <c r="AT512" t="n">
        <v>516</v>
      </c>
      <c r="AU512">
        <f>'Recurring Log'!C516&amp;""</f>
        <v/>
      </c>
      <c r="AV512">
        <f>'Recurring Log'!D516&amp;""</f>
        <v/>
      </c>
      <c r="AW512">
        <f>IF('Recurring Log'!E516="","",'Recurring Log'!E516)</f>
        <v/>
      </c>
      <c r="AX512">
        <f>IF('Recurring Log'!G516="","",'Recurring Log'!G516)</f>
        <v/>
      </c>
      <c r="AY512">
        <f>IF('Recurring Log'!H516="","",'Recurring Log'!H516)</f>
        <v/>
      </c>
      <c r="AZ512">
        <f>IF(AU512="","",IF('Recurring Log'!J516="","Not Started",'Recurring Log'!J516))</f>
        <v/>
      </c>
      <c r="BA512">
        <f>'Recurring Log'!L516&amp;""</f>
        <v/>
      </c>
      <c r="BB512">
        <f>'Recurring Log'!M516&amp;""</f>
        <v/>
      </c>
      <c r="BC512">
        <f>'Recurring Log'!N516&amp;""</f>
        <v/>
      </c>
      <c r="BD512">
        <f>'Recurring Log'!O516&amp;""</f>
        <v/>
      </c>
      <c r="BE512">
        <f>IF('Recurring Log'!K516="","",'Recurring Log'!K516)</f>
        <v/>
      </c>
      <c r="BF512">
        <f>IFERROR(MATCH(BA512,Setup!$L$6:$L$9,0),5)</f>
        <v/>
      </c>
      <c r="BG512">
        <f>IF(OR(AZ512="Done",AZ512="Cancelled"),1,0)</f>
        <v/>
      </c>
      <c r="BH512">
        <f>IF(AND(AU512&lt;&gt;"",ISNUMBER(AW512)),1,0)</f>
        <v/>
      </c>
      <c r="BI512">
        <f>IF(BH512=0,0,IF(AND(AW512&gt;='Tasks Filter'!$F$3,AW512&lt;='Tasks Filter'!$F$4,OR('Tasks Filter'!$I$3="",ISNUMBER(SEARCH('Tasks Filter'!$I$3,AU512))),OR('Tasks Filter'!$I$4="",BF512=IFERROR(MATCH('Tasks Filter'!$I$4,Setup!$L$6:$L$9,0),0)),OR('Tasks Filter'!$I$5="Both",AND('Tasks Filter'!$I$5="Yes",BB512="✓"),AND('Tasks Filter'!$I$5="No",BB512&lt;&gt;"✓")),OR('Tasks Filter'!$L$3="",AV512='Tasks Filter'!$L$3),OR('Tasks Filter'!$L$4="",AZ512='Tasks Filter'!$L$4),OR('Tasks Filter'!$L$5="",BC512='Tasks Filter'!$L$5),OR('Tasks Filter'!$O$3="",BD512='Tasks Filter'!$O$3),OR('Tasks Filter'!$O$4="Yes",BG512=0)),1,0))</f>
        <v/>
      </c>
      <c r="BJ512">
        <f>IF(BH512=0,"",IF('Tasks Filter'!$F$6="Descending",-1,1)*CHOOSE(MATCH('Tasks Filter'!$F$5,Lists!$G$2:$G$6,0),AW512,BF512,IFERROR(MATCH(AV512,Setup!$F$6:$F$15,0),99),IFERROR(MATCH(BC512,Setup!$H$6:$H$15,0),99),IFERROR(MATCH(AZ512,Setup!$J$6:$J$11,0),99))*1E+9+(AW512-40000)*10000+511)</f>
        <v/>
      </c>
      <c r="BK512">
        <f>IF(BI512=1,BJ512,"")</f>
        <v/>
      </c>
      <c r="BL512">
        <f>IF(AND(BH512=1,BG512=0,N(AW512)&lt;Setup!$D$7),(AW512-40000)*10000+511,"")</f>
        <v/>
      </c>
      <c r="BM512">
        <f>IF(AND(BH512=1,AZ512&lt;&gt;"Cancelled",N(AW512)&gt;=Dashboard!$AB$3,N(AW512)&lt;=Dashboard!$AB$3+6),(AW512-40000)*100000+BF512*10000+511,"")</f>
        <v/>
      </c>
      <c r="BN512">
        <f>IF(AND(BH512=1,AZ512&lt;&gt;"Cancelled"),BF512*10000+511,"")</f>
        <v/>
      </c>
    </row>
    <row r="513">
      <c r="AS513" t="inlineStr">
        <is>
          <t>R</t>
        </is>
      </c>
      <c r="AT513" t="n">
        <v>517</v>
      </c>
      <c r="AU513">
        <f>'Recurring Log'!C517&amp;""</f>
        <v/>
      </c>
      <c r="AV513">
        <f>'Recurring Log'!D517&amp;""</f>
        <v/>
      </c>
      <c r="AW513">
        <f>IF('Recurring Log'!E517="","",'Recurring Log'!E517)</f>
        <v/>
      </c>
      <c r="AX513">
        <f>IF('Recurring Log'!G517="","",'Recurring Log'!G517)</f>
        <v/>
      </c>
      <c r="AY513">
        <f>IF('Recurring Log'!H517="","",'Recurring Log'!H517)</f>
        <v/>
      </c>
      <c r="AZ513">
        <f>IF(AU513="","",IF('Recurring Log'!J517="","Not Started",'Recurring Log'!J517))</f>
        <v/>
      </c>
      <c r="BA513">
        <f>'Recurring Log'!L517&amp;""</f>
        <v/>
      </c>
      <c r="BB513">
        <f>'Recurring Log'!M517&amp;""</f>
        <v/>
      </c>
      <c r="BC513">
        <f>'Recurring Log'!N517&amp;""</f>
        <v/>
      </c>
      <c r="BD513">
        <f>'Recurring Log'!O517&amp;""</f>
        <v/>
      </c>
      <c r="BE513">
        <f>IF('Recurring Log'!K517="","",'Recurring Log'!K517)</f>
        <v/>
      </c>
      <c r="BF513">
        <f>IFERROR(MATCH(BA513,Setup!$L$6:$L$9,0),5)</f>
        <v/>
      </c>
      <c r="BG513">
        <f>IF(OR(AZ513="Done",AZ513="Cancelled"),1,0)</f>
        <v/>
      </c>
      <c r="BH513">
        <f>IF(AND(AU513&lt;&gt;"",ISNUMBER(AW513)),1,0)</f>
        <v/>
      </c>
      <c r="BI513">
        <f>IF(BH513=0,0,IF(AND(AW513&gt;='Tasks Filter'!$F$3,AW513&lt;='Tasks Filter'!$F$4,OR('Tasks Filter'!$I$3="",ISNUMBER(SEARCH('Tasks Filter'!$I$3,AU513))),OR('Tasks Filter'!$I$4="",BF513=IFERROR(MATCH('Tasks Filter'!$I$4,Setup!$L$6:$L$9,0),0)),OR('Tasks Filter'!$I$5="Both",AND('Tasks Filter'!$I$5="Yes",BB513="✓"),AND('Tasks Filter'!$I$5="No",BB513&lt;&gt;"✓")),OR('Tasks Filter'!$L$3="",AV513='Tasks Filter'!$L$3),OR('Tasks Filter'!$L$4="",AZ513='Tasks Filter'!$L$4),OR('Tasks Filter'!$L$5="",BC513='Tasks Filter'!$L$5),OR('Tasks Filter'!$O$3="",BD513='Tasks Filter'!$O$3),OR('Tasks Filter'!$O$4="Yes",BG513=0)),1,0))</f>
        <v/>
      </c>
      <c r="BJ513">
        <f>IF(BH513=0,"",IF('Tasks Filter'!$F$6="Descending",-1,1)*CHOOSE(MATCH('Tasks Filter'!$F$5,Lists!$G$2:$G$6,0),AW513,BF513,IFERROR(MATCH(AV513,Setup!$F$6:$F$15,0),99),IFERROR(MATCH(BC513,Setup!$H$6:$H$15,0),99),IFERROR(MATCH(AZ513,Setup!$J$6:$J$11,0),99))*1E+9+(AW513-40000)*10000+512)</f>
        <v/>
      </c>
      <c r="BK513">
        <f>IF(BI513=1,BJ513,"")</f>
        <v/>
      </c>
      <c r="BL513">
        <f>IF(AND(BH513=1,BG513=0,N(AW513)&lt;Setup!$D$7),(AW513-40000)*10000+512,"")</f>
        <v/>
      </c>
      <c r="BM513">
        <f>IF(AND(BH513=1,AZ513&lt;&gt;"Cancelled",N(AW513)&gt;=Dashboard!$AB$3,N(AW513)&lt;=Dashboard!$AB$3+6),(AW513-40000)*100000+BF513*10000+512,"")</f>
        <v/>
      </c>
      <c r="BN513">
        <f>IF(AND(BH513=1,AZ513&lt;&gt;"Cancelled"),BF513*10000+512,"")</f>
        <v/>
      </c>
    </row>
    <row r="514">
      <c r="AS514" t="inlineStr">
        <is>
          <t>R</t>
        </is>
      </c>
      <c r="AT514" t="n">
        <v>518</v>
      </c>
      <c r="AU514">
        <f>'Recurring Log'!C518&amp;""</f>
        <v/>
      </c>
      <c r="AV514">
        <f>'Recurring Log'!D518&amp;""</f>
        <v/>
      </c>
      <c r="AW514">
        <f>IF('Recurring Log'!E518="","",'Recurring Log'!E518)</f>
        <v/>
      </c>
      <c r="AX514">
        <f>IF('Recurring Log'!G518="","",'Recurring Log'!G518)</f>
        <v/>
      </c>
      <c r="AY514">
        <f>IF('Recurring Log'!H518="","",'Recurring Log'!H518)</f>
        <v/>
      </c>
      <c r="AZ514">
        <f>IF(AU514="","",IF('Recurring Log'!J518="","Not Started",'Recurring Log'!J518))</f>
        <v/>
      </c>
      <c r="BA514">
        <f>'Recurring Log'!L518&amp;""</f>
        <v/>
      </c>
      <c r="BB514">
        <f>'Recurring Log'!M518&amp;""</f>
        <v/>
      </c>
      <c r="BC514">
        <f>'Recurring Log'!N518&amp;""</f>
        <v/>
      </c>
      <c r="BD514">
        <f>'Recurring Log'!O518&amp;""</f>
        <v/>
      </c>
      <c r="BE514">
        <f>IF('Recurring Log'!K518="","",'Recurring Log'!K518)</f>
        <v/>
      </c>
      <c r="BF514">
        <f>IFERROR(MATCH(BA514,Setup!$L$6:$L$9,0),5)</f>
        <v/>
      </c>
      <c r="BG514">
        <f>IF(OR(AZ514="Done",AZ514="Cancelled"),1,0)</f>
        <v/>
      </c>
      <c r="BH514">
        <f>IF(AND(AU514&lt;&gt;"",ISNUMBER(AW514)),1,0)</f>
        <v/>
      </c>
      <c r="BI514">
        <f>IF(BH514=0,0,IF(AND(AW514&gt;='Tasks Filter'!$F$3,AW514&lt;='Tasks Filter'!$F$4,OR('Tasks Filter'!$I$3="",ISNUMBER(SEARCH('Tasks Filter'!$I$3,AU514))),OR('Tasks Filter'!$I$4="",BF514=IFERROR(MATCH('Tasks Filter'!$I$4,Setup!$L$6:$L$9,0),0)),OR('Tasks Filter'!$I$5="Both",AND('Tasks Filter'!$I$5="Yes",BB514="✓"),AND('Tasks Filter'!$I$5="No",BB514&lt;&gt;"✓")),OR('Tasks Filter'!$L$3="",AV514='Tasks Filter'!$L$3),OR('Tasks Filter'!$L$4="",AZ514='Tasks Filter'!$L$4),OR('Tasks Filter'!$L$5="",BC514='Tasks Filter'!$L$5),OR('Tasks Filter'!$O$3="",BD514='Tasks Filter'!$O$3),OR('Tasks Filter'!$O$4="Yes",BG514=0)),1,0))</f>
        <v/>
      </c>
      <c r="BJ514">
        <f>IF(BH514=0,"",IF('Tasks Filter'!$F$6="Descending",-1,1)*CHOOSE(MATCH('Tasks Filter'!$F$5,Lists!$G$2:$G$6,0),AW514,BF514,IFERROR(MATCH(AV514,Setup!$F$6:$F$15,0),99),IFERROR(MATCH(BC514,Setup!$H$6:$H$15,0),99),IFERROR(MATCH(AZ514,Setup!$J$6:$J$11,0),99))*1E+9+(AW514-40000)*10000+513)</f>
        <v/>
      </c>
      <c r="BK514">
        <f>IF(BI514=1,BJ514,"")</f>
        <v/>
      </c>
      <c r="BL514">
        <f>IF(AND(BH514=1,BG514=0,N(AW514)&lt;Setup!$D$7),(AW514-40000)*10000+513,"")</f>
        <v/>
      </c>
      <c r="BM514">
        <f>IF(AND(BH514=1,AZ514&lt;&gt;"Cancelled",N(AW514)&gt;=Dashboard!$AB$3,N(AW514)&lt;=Dashboard!$AB$3+6),(AW514-40000)*100000+BF514*10000+513,"")</f>
        <v/>
      </c>
      <c r="BN514">
        <f>IF(AND(BH514=1,AZ514&lt;&gt;"Cancelled"),BF514*10000+513,"")</f>
        <v/>
      </c>
    </row>
    <row r="515">
      <c r="AS515" t="inlineStr">
        <is>
          <t>R</t>
        </is>
      </c>
      <c r="AT515" t="n">
        <v>519</v>
      </c>
      <c r="AU515">
        <f>'Recurring Log'!C519&amp;""</f>
        <v/>
      </c>
      <c r="AV515">
        <f>'Recurring Log'!D519&amp;""</f>
        <v/>
      </c>
      <c r="AW515">
        <f>IF('Recurring Log'!E519="","",'Recurring Log'!E519)</f>
        <v/>
      </c>
      <c r="AX515">
        <f>IF('Recurring Log'!G519="","",'Recurring Log'!G519)</f>
        <v/>
      </c>
      <c r="AY515">
        <f>IF('Recurring Log'!H519="","",'Recurring Log'!H519)</f>
        <v/>
      </c>
      <c r="AZ515">
        <f>IF(AU515="","",IF('Recurring Log'!J519="","Not Started",'Recurring Log'!J519))</f>
        <v/>
      </c>
      <c r="BA515">
        <f>'Recurring Log'!L519&amp;""</f>
        <v/>
      </c>
      <c r="BB515">
        <f>'Recurring Log'!M519&amp;""</f>
        <v/>
      </c>
      <c r="BC515">
        <f>'Recurring Log'!N519&amp;""</f>
        <v/>
      </c>
      <c r="BD515">
        <f>'Recurring Log'!O519&amp;""</f>
        <v/>
      </c>
      <c r="BE515">
        <f>IF('Recurring Log'!K519="","",'Recurring Log'!K519)</f>
        <v/>
      </c>
      <c r="BF515">
        <f>IFERROR(MATCH(BA515,Setup!$L$6:$L$9,0),5)</f>
        <v/>
      </c>
      <c r="BG515">
        <f>IF(OR(AZ515="Done",AZ515="Cancelled"),1,0)</f>
        <v/>
      </c>
      <c r="BH515">
        <f>IF(AND(AU515&lt;&gt;"",ISNUMBER(AW515)),1,0)</f>
        <v/>
      </c>
      <c r="BI515">
        <f>IF(BH515=0,0,IF(AND(AW515&gt;='Tasks Filter'!$F$3,AW515&lt;='Tasks Filter'!$F$4,OR('Tasks Filter'!$I$3="",ISNUMBER(SEARCH('Tasks Filter'!$I$3,AU515))),OR('Tasks Filter'!$I$4="",BF515=IFERROR(MATCH('Tasks Filter'!$I$4,Setup!$L$6:$L$9,0),0)),OR('Tasks Filter'!$I$5="Both",AND('Tasks Filter'!$I$5="Yes",BB515="✓"),AND('Tasks Filter'!$I$5="No",BB515&lt;&gt;"✓")),OR('Tasks Filter'!$L$3="",AV515='Tasks Filter'!$L$3),OR('Tasks Filter'!$L$4="",AZ515='Tasks Filter'!$L$4),OR('Tasks Filter'!$L$5="",BC515='Tasks Filter'!$L$5),OR('Tasks Filter'!$O$3="",BD515='Tasks Filter'!$O$3),OR('Tasks Filter'!$O$4="Yes",BG515=0)),1,0))</f>
        <v/>
      </c>
      <c r="BJ515">
        <f>IF(BH515=0,"",IF('Tasks Filter'!$F$6="Descending",-1,1)*CHOOSE(MATCH('Tasks Filter'!$F$5,Lists!$G$2:$G$6,0),AW515,BF515,IFERROR(MATCH(AV515,Setup!$F$6:$F$15,0),99),IFERROR(MATCH(BC515,Setup!$H$6:$H$15,0),99),IFERROR(MATCH(AZ515,Setup!$J$6:$J$11,0),99))*1E+9+(AW515-40000)*10000+514)</f>
        <v/>
      </c>
      <c r="BK515">
        <f>IF(BI515=1,BJ515,"")</f>
        <v/>
      </c>
      <c r="BL515">
        <f>IF(AND(BH515=1,BG515=0,N(AW515)&lt;Setup!$D$7),(AW515-40000)*10000+514,"")</f>
        <v/>
      </c>
      <c r="BM515">
        <f>IF(AND(BH515=1,AZ515&lt;&gt;"Cancelled",N(AW515)&gt;=Dashboard!$AB$3,N(AW515)&lt;=Dashboard!$AB$3+6),(AW515-40000)*100000+BF515*10000+514,"")</f>
        <v/>
      </c>
      <c r="BN515">
        <f>IF(AND(BH515=1,AZ515&lt;&gt;"Cancelled"),BF515*10000+514,"")</f>
        <v/>
      </c>
    </row>
    <row r="516">
      <c r="AS516" t="inlineStr">
        <is>
          <t>R</t>
        </is>
      </c>
      <c r="AT516" t="n">
        <v>520</v>
      </c>
      <c r="AU516">
        <f>'Recurring Log'!C520&amp;""</f>
        <v/>
      </c>
      <c r="AV516">
        <f>'Recurring Log'!D520&amp;""</f>
        <v/>
      </c>
      <c r="AW516">
        <f>IF('Recurring Log'!E520="","",'Recurring Log'!E520)</f>
        <v/>
      </c>
      <c r="AX516">
        <f>IF('Recurring Log'!G520="","",'Recurring Log'!G520)</f>
        <v/>
      </c>
      <c r="AY516">
        <f>IF('Recurring Log'!H520="","",'Recurring Log'!H520)</f>
        <v/>
      </c>
      <c r="AZ516">
        <f>IF(AU516="","",IF('Recurring Log'!J520="","Not Started",'Recurring Log'!J520))</f>
        <v/>
      </c>
      <c r="BA516">
        <f>'Recurring Log'!L520&amp;""</f>
        <v/>
      </c>
      <c r="BB516">
        <f>'Recurring Log'!M520&amp;""</f>
        <v/>
      </c>
      <c r="BC516">
        <f>'Recurring Log'!N520&amp;""</f>
        <v/>
      </c>
      <c r="BD516">
        <f>'Recurring Log'!O520&amp;""</f>
        <v/>
      </c>
      <c r="BE516">
        <f>IF('Recurring Log'!K520="","",'Recurring Log'!K520)</f>
        <v/>
      </c>
      <c r="BF516">
        <f>IFERROR(MATCH(BA516,Setup!$L$6:$L$9,0),5)</f>
        <v/>
      </c>
      <c r="BG516">
        <f>IF(OR(AZ516="Done",AZ516="Cancelled"),1,0)</f>
        <v/>
      </c>
      <c r="BH516">
        <f>IF(AND(AU516&lt;&gt;"",ISNUMBER(AW516)),1,0)</f>
        <v/>
      </c>
      <c r="BI516">
        <f>IF(BH516=0,0,IF(AND(AW516&gt;='Tasks Filter'!$F$3,AW516&lt;='Tasks Filter'!$F$4,OR('Tasks Filter'!$I$3="",ISNUMBER(SEARCH('Tasks Filter'!$I$3,AU516))),OR('Tasks Filter'!$I$4="",BF516=IFERROR(MATCH('Tasks Filter'!$I$4,Setup!$L$6:$L$9,0),0)),OR('Tasks Filter'!$I$5="Both",AND('Tasks Filter'!$I$5="Yes",BB516="✓"),AND('Tasks Filter'!$I$5="No",BB516&lt;&gt;"✓")),OR('Tasks Filter'!$L$3="",AV516='Tasks Filter'!$L$3),OR('Tasks Filter'!$L$4="",AZ516='Tasks Filter'!$L$4),OR('Tasks Filter'!$L$5="",BC516='Tasks Filter'!$L$5),OR('Tasks Filter'!$O$3="",BD516='Tasks Filter'!$O$3),OR('Tasks Filter'!$O$4="Yes",BG516=0)),1,0))</f>
        <v/>
      </c>
      <c r="BJ516">
        <f>IF(BH516=0,"",IF('Tasks Filter'!$F$6="Descending",-1,1)*CHOOSE(MATCH('Tasks Filter'!$F$5,Lists!$G$2:$G$6,0),AW516,BF516,IFERROR(MATCH(AV516,Setup!$F$6:$F$15,0),99),IFERROR(MATCH(BC516,Setup!$H$6:$H$15,0),99),IFERROR(MATCH(AZ516,Setup!$J$6:$J$11,0),99))*1E+9+(AW516-40000)*10000+515)</f>
        <v/>
      </c>
      <c r="BK516">
        <f>IF(BI516=1,BJ516,"")</f>
        <v/>
      </c>
      <c r="BL516">
        <f>IF(AND(BH516=1,BG516=0,N(AW516)&lt;Setup!$D$7),(AW516-40000)*10000+515,"")</f>
        <v/>
      </c>
      <c r="BM516">
        <f>IF(AND(BH516=1,AZ516&lt;&gt;"Cancelled",N(AW516)&gt;=Dashboard!$AB$3,N(AW516)&lt;=Dashboard!$AB$3+6),(AW516-40000)*100000+BF516*10000+515,"")</f>
        <v/>
      </c>
      <c r="BN516">
        <f>IF(AND(BH516=1,AZ516&lt;&gt;"Cancelled"),BF516*10000+515,"")</f>
        <v/>
      </c>
    </row>
    <row r="517">
      <c r="AS517" t="inlineStr">
        <is>
          <t>R</t>
        </is>
      </c>
      <c r="AT517" t="n">
        <v>521</v>
      </c>
      <c r="AU517">
        <f>'Recurring Log'!C521&amp;""</f>
        <v/>
      </c>
      <c r="AV517">
        <f>'Recurring Log'!D521&amp;""</f>
        <v/>
      </c>
      <c r="AW517">
        <f>IF('Recurring Log'!E521="","",'Recurring Log'!E521)</f>
        <v/>
      </c>
      <c r="AX517">
        <f>IF('Recurring Log'!G521="","",'Recurring Log'!G521)</f>
        <v/>
      </c>
      <c r="AY517">
        <f>IF('Recurring Log'!H521="","",'Recurring Log'!H521)</f>
        <v/>
      </c>
      <c r="AZ517">
        <f>IF(AU517="","",IF('Recurring Log'!J521="","Not Started",'Recurring Log'!J521))</f>
        <v/>
      </c>
      <c r="BA517">
        <f>'Recurring Log'!L521&amp;""</f>
        <v/>
      </c>
      <c r="BB517">
        <f>'Recurring Log'!M521&amp;""</f>
        <v/>
      </c>
      <c r="BC517">
        <f>'Recurring Log'!N521&amp;""</f>
        <v/>
      </c>
      <c r="BD517">
        <f>'Recurring Log'!O521&amp;""</f>
        <v/>
      </c>
      <c r="BE517">
        <f>IF('Recurring Log'!K521="","",'Recurring Log'!K521)</f>
        <v/>
      </c>
      <c r="BF517">
        <f>IFERROR(MATCH(BA517,Setup!$L$6:$L$9,0),5)</f>
        <v/>
      </c>
      <c r="BG517">
        <f>IF(OR(AZ517="Done",AZ517="Cancelled"),1,0)</f>
        <v/>
      </c>
      <c r="BH517">
        <f>IF(AND(AU517&lt;&gt;"",ISNUMBER(AW517)),1,0)</f>
        <v/>
      </c>
      <c r="BI517">
        <f>IF(BH517=0,0,IF(AND(AW517&gt;='Tasks Filter'!$F$3,AW517&lt;='Tasks Filter'!$F$4,OR('Tasks Filter'!$I$3="",ISNUMBER(SEARCH('Tasks Filter'!$I$3,AU517))),OR('Tasks Filter'!$I$4="",BF517=IFERROR(MATCH('Tasks Filter'!$I$4,Setup!$L$6:$L$9,0),0)),OR('Tasks Filter'!$I$5="Both",AND('Tasks Filter'!$I$5="Yes",BB517="✓"),AND('Tasks Filter'!$I$5="No",BB517&lt;&gt;"✓")),OR('Tasks Filter'!$L$3="",AV517='Tasks Filter'!$L$3),OR('Tasks Filter'!$L$4="",AZ517='Tasks Filter'!$L$4),OR('Tasks Filter'!$L$5="",BC517='Tasks Filter'!$L$5),OR('Tasks Filter'!$O$3="",BD517='Tasks Filter'!$O$3),OR('Tasks Filter'!$O$4="Yes",BG517=0)),1,0))</f>
        <v/>
      </c>
      <c r="BJ517">
        <f>IF(BH517=0,"",IF('Tasks Filter'!$F$6="Descending",-1,1)*CHOOSE(MATCH('Tasks Filter'!$F$5,Lists!$G$2:$G$6,0),AW517,BF517,IFERROR(MATCH(AV517,Setup!$F$6:$F$15,0),99),IFERROR(MATCH(BC517,Setup!$H$6:$H$15,0),99),IFERROR(MATCH(AZ517,Setup!$J$6:$J$11,0),99))*1E+9+(AW517-40000)*10000+516)</f>
        <v/>
      </c>
      <c r="BK517">
        <f>IF(BI517=1,BJ517,"")</f>
        <v/>
      </c>
      <c r="BL517">
        <f>IF(AND(BH517=1,BG517=0,N(AW517)&lt;Setup!$D$7),(AW517-40000)*10000+516,"")</f>
        <v/>
      </c>
      <c r="BM517">
        <f>IF(AND(BH517=1,AZ517&lt;&gt;"Cancelled",N(AW517)&gt;=Dashboard!$AB$3,N(AW517)&lt;=Dashboard!$AB$3+6),(AW517-40000)*100000+BF517*10000+516,"")</f>
        <v/>
      </c>
      <c r="BN517">
        <f>IF(AND(BH517=1,AZ517&lt;&gt;"Cancelled"),BF517*10000+516,"")</f>
        <v/>
      </c>
    </row>
    <row r="518">
      <c r="AS518" t="inlineStr">
        <is>
          <t>R</t>
        </is>
      </c>
      <c r="AT518" t="n">
        <v>522</v>
      </c>
      <c r="AU518">
        <f>'Recurring Log'!C522&amp;""</f>
        <v/>
      </c>
      <c r="AV518">
        <f>'Recurring Log'!D522&amp;""</f>
        <v/>
      </c>
      <c r="AW518">
        <f>IF('Recurring Log'!E522="","",'Recurring Log'!E522)</f>
        <v/>
      </c>
      <c r="AX518">
        <f>IF('Recurring Log'!G522="","",'Recurring Log'!G522)</f>
        <v/>
      </c>
      <c r="AY518">
        <f>IF('Recurring Log'!H522="","",'Recurring Log'!H522)</f>
        <v/>
      </c>
      <c r="AZ518">
        <f>IF(AU518="","",IF('Recurring Log'!J522="","Not Started",'Recurring Log'!J522))</f>
        <v/>
      </c>
      <c r="BA518">
        <f>'Recurring Log'!L522&amp;""</f>
        <v/>
      </c>
      <c r="BB518">
        <f>'Recurring Log'!M522&amp;""</f>
        <v/>
      </c>
      <c r="BC518">
        <f>'Recurring Log'!N522&amp;""</f>
        <v/>
      </c>
      <c r="BD518">
        <f>'Recurring Log'!O522&amp;""</f>
        <v/>
      </c>
      <c r="BE518">
        <f>IF('Recurring Log'!K522="","",'Recurring Log'!K522)</f>
        <v/>
      </c>
      <c r="BF518">
        <f>IFERROR(MATCH(BA518,Setup!$L$6:$L$9,0),5)</f>
        <v/>
      </c>
      <c r="BG518">
        <f>IF(OR(AZ518="Done",AZ518="Cancelled"),1,0)</f>
        <v/>
      </c>
      <c r="BH518">
        <f>IF(AND(AU518&lt;&gt;"",ISNUMBER(AW518)),1,0)</f>
        <v/>
      </c>
      <c r="BI518">
        <f>IF(BH518=0,0,IF(AND(AW518&gt;='Tasks Filter'!$F$3,AW518&lt;='Tasks Filter'!$F$4,OR('Tasks Filter'!$I$3="",ISNUMBER(SEARCH('Tasks Filter'!$I$3,AU518))),OR('Tasks Filter'!$I$4="",BF518=IFERROR(MATCH('Tasks Filter'!$I$4,Setup!$L$6:$L$9,0),0)),OR('Tasks Filter'!$I$5="Both",AND('Tasks Filter'!$I$5="Yes",BB518="✓"),AND('Tasks Filter'!$I$5="No",BB518&lt;&gt;"✓")),OR('Tasks Filter'!$L$3="",AV518='Tasks Filter'!$L$3),OR('Tasks Filter'!$L$4="",AZ518='Tasks Filter'!$L$4),OR('Tasks Filter'!$L$5="",BC518='Tasks Filter'!$L$5),OR('Tasks Filter'!$O$3="",BD518='Tasks Filter'!$O$3),OR('Tasks Filter'!$O$4="Yes",BG518=0)),1,0))</f>
        <v/>
      </c>
      <c r="BJ518">
        <f>IF(BH518=0,"",IF('Tasks Filter'!$F$6="Descending",-1,1)*CHOOSE(MATCH('Tasks Filter'!$F$5,Lists!$G$2:$G$6,0),AW518,BF518,IFERROR(MATCH(AV518,Setup!$F$6:$F$15,0),99),IFERROR(MATCH(BC518,Setup!$H$6:$H$15,0),99),IFERROR(MATCH(AZ518,Setup!$J$6:$J$11,0),99))*1E+9+(AW518-40000)*10000+517)</f>
        <v/>
      </c>
      <c r="BK518">
        <f>IF(BI518=1,BJ518,"")</f>
        <v/>
      </c>
      <c r="BL518">
        <f>IF(AND(BH518=1,BG518=0,N(AW518)&lt;Setup!$D$7),(AW518-40000)*10000+517,"")</f>
        <v/>
      </c>
      <c r="BM518">
        <f>IF(AND(BH518=1,AZ518&lt;&gt;"Cancelled",N(AW518)&gt;=Dashboard!$AB$3,N(AW518)&lt;=Dashboard!$AB$3+6),(AW518-40000)*100000+BF518*10000+517,"")</f>
        <v/>
      </c>
      <c r="BN518">
        <f>IF(AND(BH518=1,AZ518&lt;&gt;"Cancelled"),BF518*10000+517,"")</f>
        <v/>
      </c>
    </row>
    <row r="519">
      <c r="AS519" t="inlineStr">
        <is>
          <t>R</t>
        </is>
      </c>
      <c r="AT519" t="n">
        <v>523</v>
      </c>
      <c r="AU519">
        <f>'Recurring Log'!C523&amp;""</f>
        <v/>
      </c>
      <c r="AV519">
        <f>'Recurring Log'!D523&amp;""</f>
        <v/>
      </c>
      <c r="AW519">
        <f>IF('Recurring Log'!E523="","",'Recurring Log'!E523)</f>
        <v/>
      </c>
      <c r="AX519">
        <f>IF('Recurring Log'!G523="","",'Recurring Log'!G523)</f>
        <v/>
      </c>
      <c r="AY519">
        <f>IF('Recurring Log'!H523="","",'Recurring Log'!H523)</f>
        <v/>
      </c>
      <c r="AZ519">
        <f>IF(AU519="","",IF('Recurring Log'!J523="","Not Started",'Recurring Log'!J523))</f>
        <v/>
      </c>
      <c r="BA519">
        <f>'Recurring Log'!L523&amp;""</f>
        <v/>
      </c>
      <c r="BB519">
        <f>'Recurring Log'!M523&amp;""</f>
        <v/>
      </c>
      <c r="BC519">
        <f>'Recurring Log'!N523&amp;""</f>
        <v/>
      </c>
      <c r="BD519">
        <f>'Recurring Log'!O523&amp;""</f>
        <v/>
      </c>
      <c r="BE519">
        <f>IF('Recurring Log'!K523="","",'Recurring Log'!K523)</f>
        <v/>
      </c>
      <c r="BF519">
        <f>IFERROR(MATCH(BA519,Setup!$L$6:$L$9,0),5)</f>
        <v/>
      </c>
      <c r="BG519">
        <f>IF(OR(AZ519="Done",AZ519="Cancelled"),1,0)</f>
        <v/>
      </c>
      <c r="BH519">
        <f>IF(AND(AU519&lt;&gt;"",ISNUMBER(AW519)),1,0)</f>
        <v/>
      </c>
      <c r="BI519">
        <f>IF(BH519=0,0,IF(AND(AW519&gt;='Tasks Filter'!$F$3,AW519&lt;='Tasks Filter'!$F$4,OR('Tasks Filter'!$I$3="",ISNUMBER(SEARCH('Tasks Filter'!$I$3,AU519))),OR('Tasks Filter'!$I$4="",BF519=IFERROR(MATCH('Tasks Filter'!$I$4,Setup!$L$6:$L$9,0),0)),OR('Tasks Filter'!$I$5="Both",AND('Tasks Filter'!$I$5="Yes",BB519="✓"),AND('Tasks Filter'!$I$5="No",BB519&lt;&gt;"✓")),OR('Tasks Filter'!$L$3="",AV519='Tasks Filter'!$L$3),OR('Tasks Filter'!$L$4="",AZ519='Tasks Filter'!$L$4),OR('Tasks Filter'!$L$5="",BC519='Tasks Filter'!$L$5),OR('Tasks Filter'!$O$3="",BD519='Tasks Filter'!$O$3),OR('Tasks Filter'!$O$4="Yes",BG519=0)),1,0))</f>
        <v/>
      </c>
      <c r="BJ519">
        <f>IF(BH519=0,"",IF('Tasks Filter'!$F$6="Descending",-1,1)*CHOOSE(MATCH('Tasks Filter'!$F$5,Lists!$G$2:$G$6,0),AW519,BF519,IFERROR(MATCH(AV519,Setup!$F$6:$F$15,0),99),IFERROR(MATCH(BC519,Setup!$H$6:$H$15,0),99),IFERROR(MATCH(AZ519,Setup!$J$6:$J$11,0),99))*1E+9+(AW519-40000)*10000+518)</f>
        <v/>
      </c>
      <c r="BK519">
        <f>IF(BI519=1,BJ519,"")</f>
        <v/>
      </c>
      <c r="BL519">
        <f>IF(AND(BH519=1,BG519=0,N(AW519)&lt;Setup!$D$7),(AW519-40000)*10000+518,"")</f>
        <v/>
      </c>
      <c r="BM519">
        <f>IF(AND(BH519=1,AZ519&lt;&gt;"Cancelled",N(AW519)&gt;=Dashboard!$AB$3,N(AW519)&lt;=Dashboard!$AB$3+6),(AW519-40000)*100000+BF519*10000+518,"")</f>
        <v/>
      </c>
      <c r="BN519">
        <f>IF(AND(BH519=1,AZ519&lt;&gt;"Cancelled"),BF519*10000+518,"")</f>
        <v/>
      </c>
    </row>
    <row r="520">
      <c r="AS520" t="inlineStr">
        <is>
          <t>R</t>
        </is>
      </c>
      <c r="AT520" t="n">
        <v>524</v>
      </c>
      <c r="AU520">
        <f>'Recurring Log'!C524&amp;""</f>
        <v/>
      </c>
      <c r="AV520">
        <f>'Recurring Log'!D524&amp;""</f>
        <v/>
      </c>
      <c r="AW520">
        <f>IF('Recurring Log'!E524="","",'Recurring Log'!E524)</f>
        <v/>
      </c>
      <c r="AX520">
        <f>IF('Recurring Log'!G524="","",'Recurring Log'!G524)</f>
        <v/>
      </c>
      <c r="AY520">
        <f>IF('Recurring Log'!H524="","",'Recurring Log'!H524)</f>
        <v/>
      </c>
      <c r="AZ520">
        <f>IF(AU520="","",IF('Recurring Log'!J524="","Not Started",'Recurring Log'!J524))</f>
        <v/>
      </c>
      <c r="BA520">
        <f>'Recurring Log'!L524&amp;""</f>
        <v/>
      </c>
      <c r="BB520">
        <f>'Recurring Log'!M524&amp;""</f>
        <v/>
      </c>
      <c r="BC520">
        <f>'Recurring Log'!N524&amp;""</f>
        <v/>
      </c>
      <c r="BD520">
        <f>'Recurring Log'!O524&amp;""</f>
        <v/>
      </c>
      <c r="BE520">
        <f>IF('Recurring Log'!K524="","",'Recurring Log'!K524)</f>
        <v/>
      </c>
      <c r="BF520">
        <f>IFERROR(MATCH(BA520,Setup!$L$6:$L$9,0),5)</f>
        <v/>
      </c>
      <c r="BG520">
        <f>IF(OR(AZ520="Done",AZ520="Cancelled"),1,0)</f>
        <v/>
      </c>
      <c r="BH520">
        <f>IF(AND(AU520&lt;&gt;"",ISNUMBER(AW520)),1,0)</f>
        <v/>
      </c>
      <c r="BI520">
        <f>IF(BH520=0,0,IF(AND(AW520&gt;='Tasks Filter'!$F$3,AW520&lt;='Tasks Filter'!$F$4,OR('Tasks Filter'!$I$3="",ISNUMBER(SEARCH('Tasks Filter'!$I$3,AU520))),OR('Tasks Filter'!$I$4="",BF520=IFERROR(MATCH('Tasks Filter'!$I$4,Setup!$L$6:$L$9,0),0)),OR('Tasks Filter'!$I$5="Both",AND('Tasks Filter'!$I$5="Yes",BB520="✓"),AND('Tasks Filter'!$I$5="No",BB520&lt;&gt;"✓")),OR('Tasks Filter'!$L$3="",AV520='Tasks Filter'!$L$3),OR('Tasks Filter'!$L$4="",AZ520='Tasks Filter'!$L$4),OR('Tasks Filter'!$L$5="",BC520='Tasks Filter'!$L$5),OR('Tasks Filter'!$O$3="",BD520='Tasks Filter'!$O$3),OR('Tasks Filter'!$O$4="Yes",BG520=0)),1,0))</f>
        <v/>
      </c>
      <c r="BJ520">
        <f>IF(BH520=0,"",IF('Tasks Filter'!$F$6="Descending",-1,1)*CHOOSE(MATCH('Tasks Filter'!$F$5,Lists!$G$2:$G$6,0),AW520,BF520,IFERROR(MATCH(AV520,Setup!$F$6:$F$15,0),99),IFERROR(MATCH(BC520,Setup!$H$6:$H$15,0),99),IFERROR(MATCH(AZ520,Setup!$J$6:$J$11,0),99))*1E+9+(AW520-40000)*10000+519)</f>
        <v/>
      </c>
      <c r="BK520">
        <f>IF(BI520=1,BJ520,"")</f>
        <v/>
      </c>
      <c r="BL520">
        <f>IF(AND(BH520=1,BG520=0,N(AW520)&lt;Setup!$D$7),(AW520-40000)*10000+519,"")</f>
        <v/>
      </c>
      <c r="BM520">
        <f>IF(AND(BH520=1,AZ520&lt;&gt;"Cancelled",N(AW520)&gt;=Dashboard!$AB$3,N(AW520)&lt;=Dashboard!$AB$3+6),(AW520-40000)*100000+BF520*10000+519,"")</f>
        <v/>
      </c>
      <c r="BN520">
        <f>IF(AND(BH520=1,AZ520&lt;&gt;"Cancelled"),BF520*10000+519,"")</f>
        <v/>
      </c>
    </row>
    <row r="521">
      <c r="AS521" t="inlineStr">
        <is>
          <t>R</t>
        </is>
      </c>
      <c r="AT521" t="n">
        <v>525</v>
      </c>
      <c r="AU521">
        <f>'Recurring Log'!C525&amp;""</f>
        <v/>
      </c>
      <c r="AV521">
        <f>'Recurring Log'!D525&amp;""</f>
        <v/>
      </c>
      <c r="AW521">
        <f>IF('Recurring Log'!E525="","",'Recurring Log'!E525)</f>
        <v/>
      </c>
      <c r="AX521">
        <f>IF('Recurring Log'!G525="","",'Recurring Log'!G525)</f>
        <v/>
      </c>
      <c r="AY521">
        <f>IF('Recurring Log'!H525="","",'Recurring Log'!H525)</f>
        <v/>
      </c>
      <c r="AZ521">
        <f>IF(AU521="","",IF('Recurring Log'!J525="","Not Started",'Recurring Log'!J525))</f>
        <v/>
      </c>
      <c r="BA521">
        <f>'Recurring Log'!L525&amp;""</f>
        <v/>
      </c>
      <c r="BB521">
        <f>'Recurring Log'!M525&amp;""</f>
        <v/>
      </c>
      <c r="BC521">
        <f>'Recurring Log'!N525&amp;""</f>
        <v/>
      </c>
      <c r="BD521">
        <f>'Recurring Log'!O525&amp;""</f>
        <v/>
      </c>
      <c r="BE521">
        <f>IF('Recurring Log'!K525="","",'Recurring Log'!K525)</f>
        <v/>
      </c>
      <c r="BF521">
        <f>IFERROR(MATCH(BA521,Setup!$L$6:$L$9,0),5)</f>
        <v/>
      </c>
      <c r="BG521">
        <f>IF(OR(AZ521="Done",AZ521="Cancelled"),1,0)</f>
        <v/>
      </c>
      <c r="BH521">
        <f>IF(AND(AU521&lt;&gt;"",ISNUMBER(AW521)),1,0)</f>
        <v/>
      </c>
      <c r="BI521">
        <f>IF(BH521=0,0,IF(AND(AW521&gt;='Tasks Filter'!$F$3,AW521&lt;='Tasks Filter'!$F$4,OR('Tasks Filter'!$I$3="",ISNUMBER(SEARCH('Tasks Filter'!$I$3,AU521))),OR('Tasks Filter'!$I$4="",BF521=IFERROR(MATCH('Tasks Filter'!$I$4,Setup!$L$6:$L$9,0),0)),OR('Tasks Filter'!$I$5="Both",AND('Tasks Filter'!$I$5="Yes",BB521="✓"),AND('Tasks Filter'!$I$5="No",BB521&lt;&gt;"✓")),OR('Tasks Filter'!$L$3="",AV521='Tasks Filter'!$L$3),OR('Tasks Filter'!$L$4="",AZ521='Tasks Filter'!$L$4),OR('Tasks Filter'!$L$5="",BC521='Tasks Filter'!$L$5),OR('Tasks Filter'!$O$3="",BD521='Tasks Filter'!$O$3),OR('Tasks Filter'!$O$4="Yes",BG521=0)),1,0))</f>
        <v/>
      </c>
      <c r="BJ521">
        <f>IF(BH521=0,"",IF('Tasks Filter'!$F$6="Descending",-1,1)*CHOOSE(MATCH('Tasks Filter'!$F$5,Lists!$G$2:$G$6,0),AW521,BF521,IFERROR(MATCH(AV521,Setup!$F$6:$F$15,0),99),IFERROR(MATCH(BC521,Setup!$H$6:$H$15,0),99),IFERROR(MATCH(AZ521,Setup!$J$6:$J$11,0),99))*1E+9+(AW521-40000)*10000+520)</f>
        <v/>
      </c>
      <c r="BK521">
        <f>IF(BI521=1,BJ521,"")</f>
        <v/>
      </c>
      <c r="BL521">
        <f>IF(AND(BH521=1,BG521=0,N(AW521)&lt;Setup!$D$7),(AW521-40000)*10000+520,"")</f>
        <v/>
      </c>
      <c r="BM521">
        <f>IF(AND(BH521=1,AZ521&lt;&gt;"Cancelled",N(AW521)&gt;=Dashboard!$AB$3,N(AW521)&lt;=Dashboard!$AB$3+6),(AW521-40000)*100000+BF521*10000+520,"")</f>
        <v/>
      </c>
      <c r="BN521">
        <f>IF(AND(BH521=1,AZ521&lt;&gt;"Cancelled"),BF521*10000+520,"")</f>
        <v/>
      </c>
    </row>
    <row r="522">
      <c r="AS522" t="inlineStr">
        <is>
          <t>R</t>
        </is>
      </c>
      <c r="AT522" t="n">
        <v>526</v>
      </c>
      <c r="AU522">
        <f>'Recurring Log'!C526&amp;""</f>
        <v/>
      </c>
      <c r="AV522">
        <f>'Recurring Log'!D526&amp;""</f>
        <v/>
      </c>
      <c r="AW522">
        <f>IF('Recurring Log'!E526="","",'Recurring Log'!E526)</f>
        <v/>
      </c>
      <c r="AX522">
        <f>IF('Recurring Log'!G526="","",'Recurring Log'!G526)</f>
        <v/>
      </c>
      <c r="AY522">
        <f>IF('Recurring Log'!H526="","",'Recurring Log'!H526)</f>
        <v/>
      </c>
      <c r="AZ522">
        <f>IF(AU522="","",IF('Recurring Log'!J526="","Not Started",'Recurring Log'!J526))</f>
        <v/>
      </c>
      <c r="BA522">
        <f>'Recurring Log'!L526&amp;""</f>
        <v/>
      </c>
      <c r="BB522">
        <f>'Recurring Log'!M526&amp;""</f>
        <v/>
      </c>
      <c r="BC522">
        <f>'Recurring Log'!N526&amp;""</f>
        <v/>
      </c>
      <c r="BD522">
        <f>'Recurring Log'!O526&amp;""</f>
        <v/>
      </c>
      <c r="BE522">
        <f>IF('Recurring Log'!K526="","",'Recurring Log'!K526)</f>
        <v/>
      </c>
      <c r="BF522">
        <f>IFERROR(MATCH(BA522,Setup!$L$6:$L$9,0),5)</f>
        <v/>
      </c>
      <c r="BG522">
        <f>IF(OR(AZ522="Done",AZ522="Cancelled"),1,0)</f>
        <v/>
      </c>
      <c r="BH522">
        <f>IF(AND(AU522&lt;&gt;"",ISNUMBER(AW522)),1,0)</f>
        <v/>
      </c>
      <c r="BI522">
        <f>IF(BH522=0,0,IF(AND(AW522&gt;='Tasks Filter'!$F$3,AW522&lt;='Tasks Filter'!$F$4,OR('Tasks Filter'!$I$3="",ISNUMBER(SEARCH('Tasks Filter'!$I$3,AU522))),OR('Tasks Filter'!$I$4="",BF522=IFERROR(MATCH('Tasks Filter'!$I$4,Setup!$L$6:$L$9,0),0)),OR('Tasks Filter'!$I$5="Both",AND('Tasks Filter'!$I$5="Yes",BB522="✓"),AND('Tasks Filter'!$I$5="No",BB522&lt;&gt;"✓")),OR('Tasks Filter'!$L$3="",AV522='Tasks Filter'!$L$3),OR('Tasks Filter'!$L$4="",AZ522='Tasks Filter'!$L$4),OR('Tasks Filter'!$L$5="",BC522='Tasks Filter'!$L$5),OR('Tasks Filter'!$O$3="",BD522='Tasks Filter'!$O$3),OR('Tasks Filter'!$O$4="Yes",BG522=0)),1,0))</f>
        <v/>
      </c>
      <c r="BJ522">
        <f>IF(BH522=0,"",IF('Tasks Filter'!$F$6="Descending",-1,1)*CHOOSE(MATCH('Tasks Filter'!$F$5,Lists!$G$2:$G$6,0),AW522,BF522,IFERROR(MATCH(AV522,Setup!$F$6:$F$15,0),99),IFERROR(MATCH(BC522,Setup!$H$6:$H$15,0),99),IFERROR(MATCH(AZ522,Setup!$J$6:$J$11,0),99))*1E+9+(AW522-40000)*10000+521)</f>
        <v/>
      </c>
      <c r="BK522">
        <f>IF(BI522=1,BJ522,"")</f>
        <v/>
      </c>
      <c r="BL522">
        <f>IF(AND(BH522=1,BG522=0,N(AW522)&lt;Setup!$D$7),(AW522-40000)*10000+521,"")</f>
        <v/>
      </c>
      <c r="BM522">
        <f>IF(AND(BH522=1,AZ522&lt;&gt;"Cancelled",N(AW522)&gt;=Dashboard!$AB$3,N(AW522)&lt;=Dashboard!$AB$3+6),(AW522-40000)*100000+BF522*10000+521,"")</f>
        <v/>
      </c>
      <c r="BN522">
        <f>IF(AND(BH522=1,AZ522&lt;&gt;"Cancelled"),BF522*10000+521,"")</f>
        <v/>
      </c>
    </row>
    <row r="523">
      <c r="AS523" t="inlineStr">
        <is>
          <t>R</t>
        </is>
      </c>
      <c r="AT523" t="n">
        <v>527</v>
      </c>
      <c r="AU523">
        <f>'Recurring Log'!C527&amp;""</f>
        <v/>
      </c>
      <c r="AV523">
        <f>'Recurring Log'!D527&amp;""</f>
        <v/>
      </c>
      <c r="AW523">
        <f>IF('Recurring Log'!E527="","",'Recurring Log'!E527)</f>
        <v/>
      </c>
      <c r="AX523">
        <f>IF('Recurring Log'!G527="","",'Recurring Log'!G527)</f>
        <v/>
      </c>
      <c r="AY523">
        <f>IF('Recurring Log'!H527="","",'Recurring Log'!H527)</f>
        <v/>
      </c>
      <c r="AZ523">
        <f>IF(AU523="","",IF('Recurring Log'!J527="","Not Started",'Recurring Log'!J527))</f>
        <v/>
      </c>
      <c r="BA523">
        <f>'Recurring Log'!L527&amp;""</f>
        <v/>
      </c>
      <c r="BB523">
        <f>'Recurring Log'!M527&amp;""</f>
        <v/>
      </c>
      <c r="BC523">
        <f>'Recurring Log'!N527&amp;""</f>
        <v/>
      </c>
      <c r="BD523">
        <f>'Recurring Log'!O527&amp;""</f>
        <v/>
      </c>
      <c r="BE523">
        <f>IF('Recurring Log'!K527="","",'Recurring Log'!K527)</f>
        <v/>
      </c>
      <c r="BF523">
        <f>IFERROR(MATCH(BA523,Setup!$L$6:$L$9,0),5)</f>
        <v/>
      </c>
      <c r="BG523">
        <f>IF(OR(AZ523="Done",AZ523="Cancelled"),1,0)</f>
        <v/>
      </c>
      <c r="BH523">
        <f>IF(AND(AU523&lt;&gt;"",ISNUMBER(AW523)),1,0)</f>
        <v/>
      </c>
      <c r="BI523">
        <f>IF(BH523=0,0,IF(AND(AW523&gt;='Tasks Filter'!$F$3,AW523&lt;='Tasks Filter'!$F$4,OR('Tasks Filter'!$I$3="",ISNUMBER(SEARCH('Tasks Filter'!$I$3,AU523))),OR('Tasks Filter'!$I$4="",BF523=IFERROR(MATCH('Tasks Filter'!$I$4,Setup!$L$6:$L$9,0),0)),OR('Tasks Filter'!$I$5="Both",AND('Tasks Filter'!$I$5="Yes",BB523="✓"),AND('Tasks Filter'!$I$5="No",BB523&lt;&gt;"✓")),OR('Tasks Filter'!$L$3="",AV523='Tasks Filter'!$L$3),OR('Tasks Filter'!$L$4="",AZ523='Tasks Filter'!$L$4),OR('Tasks Filter'!$L$5="",BC523='Tasks Filter'!$L$5),OR('Tasks Filter'!$O$3="",BD523='Tasks Filter'!$O$3),OR('Tasks Filter'!$O$4="Yes",BG523=0)),1,0))</f>
        <v/>
      </c>
      <c r="BJ523">
        <f>IF(BH523=0,"",IF('Tasks Filter'!$F$6="Descending",-1,1)*CHOOSE(MATCH('Tasks Filter'!$F$5,Lists!$G$2:$G$6,0),AW523,BF523,IFERROR(MATCH(AV523,Setup!$F$6:$F$15,0),99),IFERROR(MATCH(BC523,Setup!$H$6:$H$15,0),99),IFERROR(MATCH(AZ523,Setup!$J$6:$J$11,0),99))*1E+9+(AW523-40000)*10000+522)</f>
        <v/>
      </c>
      <c r="BK523">
        <f>IF(BI523=1,BJ523,"")</f>
        <v/>
      </c>
      <c r="BL523">
        <f>IF(AND(BH523=1,BG523=0,N(AW523)&lt;Setup!$D$7),(AW523-40000)*10000+522,"")</f>
        <v/>
      </c>
      <c r="BM523">
        <f>IF(AND(BH523=1,AZ523&lt;&gt;"Cancelled",N(AW523)&gt;=Dashboard!$AB$3,N(AW523)&lt;=Dashboard!$AB$3+6),(AW523-40000)*100000+BF523*10000+522,"")</f>
        <v/>
      </c>
      <c r="BN523">
        <f>IF(AND(BH523=1,AZ523&lt;&gt;"Cancelled"),BF523*10000+522,"")</f>
        <v/>
      </c>
    </row>
    <row r="524">
      <c r="AS524" t="inlineStr">
        <is>
          <t>R</t>
        </is>
      </c>
      <c r="AT524" t="n">
        <v>528</v>
      </c>
      <c r="AU524">
        <f>'Recurring Log'!C528&amp;""</f>
        <v/>
      </c>
      <c r="AV524">
        <f>'Recurring Log'!D528&amp;""</f>
        <v/>
      </c>
      <c r="AW524">
        <f>IF('Recurring Log'!E528="","",'Recurring Log'!E528)</f>
        <v/>
      </c>
      <c r="AX524">
        <f>IF('Recurring Log'!G528="","",'Recurring Log'!G528)</f>
        <v/>
      </c>
      <c r="AY524">
        <f>IF('Recurring Log'!H528="","",'Recurring Log'!H528)</f>
        <v/>
      </c>
      <c r="AZ524">
        <f>IF(AU524="","",IF('Recurring Log'!J528="","Not Started",'Recurring Log'!J528))</f>
        <v/>
      </c>
      <c r="BA524">
        <f>'Recurring Log'!L528&amp;""</f>
        <v/>
      </c>
      <c r="BB524">
        <f>'Recurring Log'!M528&amp;""</f>
        <v/>
      </c>
      <c r="BC524">
        <f>'Recurring Log'!N528&amp;""</f>
        <v/>
      </c>
      <c r="BD524">
        <f>'Recurring Log'!O528&amp;""</f>
        <v/>
      </c>
      <c r="BE524">
        <f>IF('Recurring Log'!K528="","",'Recurring Log'!K528)</f>
        <v/>
      </c>
      <c r="BF524">
        <f>IFERROR(MATCH(BA524,Setup!$L$6:$L$9,0),5)</f>
        <v/>
      </c>
      <c r="BG524">
        <f>IF(OR(AZ524="Done",AZ524="Cancelled"),1,0)</f>
        <v/>
      </c>
      <c r="BH524">
        <f>IF(AND(AU524&lt;&gt;"",ISNUMBER(AW524)),1,0)</f>
        <v/>
      </c>
      <c r="BI524">
        <f>IF(BH524=0,0,IF(AND(AW524&gt;='Tasks Filter'!$F$3,AW524&lt;='Tasks Filter'!$F$4,OR('Tasks Filter'!$I$3="",ISNUMBER(SEARCH('Tasks Filter'!$I$3,AU524))),OR('Tasks Filter'!$I$4="",BF524=IFERROR(MATCH('Tasks Filter'!$I$4,Setup!$L$6:$L$9,0),0)),OR('Tasks Filter'!$I$5="Both",AND('Tasks Filter'!$I$5="Yes",BB524="✓"),AND('Tasks Filter'!$I$5="No",BB524&lt;&gt;"✓")),OR('Tasks Filter'!$L$3="",AV524='Tasks Filter'!$L$3),OR('Tasks Filter'!$L$4="",AZ524='Tasks Filter'!$L$4),OR('Tasks Filter'!$L$5="",BC524='Tasks Filter'!$L$5),OR('Tasks Filter'!$O$3="",BD524='Tasks Filter'!$O$3),OR('Tasks Filter'!$O$4="Yes",BG524=0)),1,0))</f>
        <v/>
      </c>
      <c r="BJ524">
        <f>IF(BH524=0,"",IF('Tasks Filter'!$F$6="Descending",-1,1)*CHOOSE(MATCH('Tasks Filter'!$F$5,Lists!$G$2:$G$6,0),AW524,BF524,IFERROR(MATCH(AV524,Setup!$F$6:$F$15,0),99),IFERROR(MATCH(BC524,Setup!$H$6:$H$15,0),99),IFERROR(MATCH(AZ524,Setup!$J$6:$J$11,0),99))*1E+9+(AW524-40000)*10000+523)</f>
        <v/>
      </c>
      <c r="BK524">
        <f>IF(BI524=1,BJ524,"")</f>
        <v/>
      </c>
      <c r="BL524">
        <f>IF(AND(BH524=1,BG524=0,N(AW524)&lt;Setup!$D$7),(AW524-40000)*10000+523,"")</f>
        <v/>
      </c>
      <c r="BM524">
        <f>IF(AND(BH524=1,AZ524&lt;&gt;"Cancelled",N(AW524)&gt;=Dashboard!$AB$3,N(AW524)&lt;=Dashboard!$AB$3+6),(AW524-40000)*100000+BF524*10000+523,"")</f>
        <v/>
      </c>
      <c r="BN524">
        <f>IF(AND(BH524=1,AZ524&lt;&gt;"Cancelled"),BF524*10000+523,"")</f>
        <v/>
      </c>
    </row>
    <row r="525">
      <c r="AS525" t="inlineStr">
        <is>
          <t>R</t>
        </is>
      </c>
      <c r="AT525" t="n">
        <v>529</v>
      </c>
      <c r="AU525">
        <f>'Recurring Log'!C529&amp;""</f>
        <v/>
      </c>
      <c r="AV525">
        <f>'Recurring Log'!D529&amp;""</f>
        <v/>
      </c>
      <c r="AW525">
        <f>IF('Recurring Log'!E529="","",'Recurring Log'!E529)</f>
        <v/>
      </c>
      <c r="AX525">
        <f>IF('Recurring Log'!G529="","",'Recurring Log'!G529)</f>
        <v/>
      </c>
      <c r="AY525">
        <f>IF('Recurring Log'!H529="","",'Recurring Log'!H529)</f>
        <v/>
      </c>
      <c r="AZ525">
        <f>IF(AU525="","",IF('Recurring Log'!J529="","Not Started",'Recurring Log'!J529))</f>
        <v/>
      </c>
      <c r="BA525">
        <f>'Recurring Log'!L529&amp;""</f>
        <v/>
      </c>
      <c r="BB525">
        <f>'Recurring Log'!M529&amp;""</f>
        <v/>
      </c>
      <c r="BC525">
        <f>'Recurring Log'!N529&amp;""</f>
        <v/>
      </c>
      <c r="BD525">
        <f>'Recurring Log'!O529&amp;""</f>
        <v/>
      </c>
      <c r="BE525">
        <f>IF('Recurring Log'!K529="","",'Recurring Log'!K529)</f>
        <v/>
      </c>
      <c r="BF525">
        <f>IFERROR(MATCH(BA525,Setup!$L$6:$L$9,0),5)</f>
        <v/>
      </c>
      <c r="BG525">
        <f>IF(OR(AZ525="Done",AZ525="Cancelled"),1,0)</f>
        <v/>
      </c>
      <c r="BH525">
        <f>IF(AND(AU525&lt;&gt;"",ISNUMBER(AW525)),1,0)</f>
        <v/>
      </c>
      <c r="BI525">
        <f>IF(BH525=0,0,IF(AND(AW525&gt;='Tasks Filter'!$F$3,AW525&lt;='Tasks Filter'!$F$4,OR('Tasks Filter'!$I$3="",ISNUMBER(SEARCH('Tasks Filter'!$I$3,AU525))),OR('Tasks Filter'!$I$4="",BF525=IFERROR(MATCH('Tasks Filter'!$I$4,Setup!$L$6:$L$9,0),0)),OR('Tasks Filter'!$I$5="Both",AND('Tasks Filter'!$I$5="Yes",BB525="✓"),AND('Tasks Filter'!$I$5="No",BB525&lt;&gt;"✓")),OR('Tasks Filter'!$L$3="",AV525='Tasks Filter'!$L$3),OR('Tasks Filter'!$L$4="",AZ525='Tasks Filter'!$L$4),OR('Tasks Filter'!$L$5="",BC525='Tasks Filter'!$L$5),OR('Tasks Filter'!$O$3="",BD525='Tasks Filter'!$O$3),OR('Tasks Filter'!$O$4="Yes",BG525=0)),1,0))</f>
        <v/>
      </c>
      <c r="BJ525">
        <f>IF(BH525=0,"",IF('Tasks Filter'!$F$6="Descending",-1,1)*CHOOSE(MATCH('Tasks Filter'!$F$5,Lists!$G$2:$G$6,0),AW525,BF525,IFERROR(MATCH(AV525,Setup!$F$6:$F$15,0),99),IFERROR(MATCH(BC525,Setup!$H$6:$H$15,0),99),IFERROR(MATCH(AZ525,Setup!$J$6:$J$11,0),99))*1E+9+(AW525-40000)*10000+524)</f>
        <v/>
      </c>
      <c r="BK525">
        <f>IF(BI525=1,BJ525,"")</f>
        <v/>
      </c>
      <c r="BL525">
        <f>IF(AND(BH525=1,BG525=0,N(AW525)&lt;Setup!$D$7),(AW525-40000)*10000+524,"")</f>
        <v/>
      </c>
      <c r="BM525">
        <f>IF(AND(BH525=1,AZ525&lt;&gt;"Cancelled",N(AW525)&gt;=Dashboard!$AB$3,N(AW525)&lt;=Dashboard!$AB$3+6),(AW525-40000)*100000+BF525*10000+524,"")</f>
        <v/>
      </c>
      <c r="BN525">
        <f>IF(AND(BH525=1,AZ525&lt;&gt;"Cancelled"),BF525*10000+524,"")</f>
        <v/>
      </c>
    </row>
    <row r="526">
      <c r="AS526" t="inlineStr">
        <is>
          <t>R</t>
        </is>
      </c>
      <c r="AT526" t="n">
        <v>530</v>
      </c>
      <c r="AU526">
        <f>'Recurring Log'!C530&amp;""</f>
        <v/>
      </c>
      <c r="AV526">
        <f>'Recurring Log'!D530&amp;""</f>
        <v/>
      </c>
      <c r="AW526">
        <f>IF('Recurring Log'!E530="","",'Recurring Log'!E530)</f>
        <v/>
      </c>
      <c r="AX526">
        <f>IF('Recurring Log'!G530="","",'Recurring Log'!G530)</f>
        <v/>
      </c>
      <c r="AY526">
        <f>IF('Recurring Log'!H530="","",'Recurring Log'!H530)</f>
        <v/>
      </c>
      <c r="AZ526">
        <f>IF(AU526="","",IF('Recurring Log'!J530="","Not Started",'Recurring Log'!J530))</f>
        <v/>
      </c>
      <c r="BA526">
        <f>'Recurring Log'!L530&amp;""</f>
        <v/>
      </c>
      <c r="BB526">
        <f>'Recurring Log'!M530&amp;""</f>
        <v/>
      </c>
      <c r="BC526">
        <f>'Recurring Log'!N530&amp;""</f>
        <v/>
      </c>
      <c r="BD526">
        <f>'Recurring Log'!O530&amp;""</f>
        <v/>
      </c>
      <c r="BE526">
        <f>IF('Recurring Log'!K530="","",'Recurring Log'!K530)</f>
        <v/>
      </c>
      <c r="BF526">
        <f>IFERROR(MATCH(BA526,Setup!$L$6:$L$9,0),5)</f>
        <v/>
      </c>
      <c r="BG526">
        <f>IF(OR(AZ526="Done",AZ526="Cancelled"),1,0)</f>
        <v/>
      </c>
      <c r="BH526">
        <f>IF(AND(AU526&lt;&gt;"",ISNUMBER(AW526)),1,0)</f>
        <v/>
      </c>
      <c r="BI526">
        <f>IF(BH526=0,0,IF(AND(AW526&gt;='Tasks Filter'!$F$3,AW526&lt;='Tasks Filter'!$F$4,OR('Tasks Filter'!$I$3="",ISNUMBER(SEARCH('Tasks Filter'!$I$3,AU526))),OR('Tasks Filter'!$I$4="",BF526=IFERROR(MATCH('Tasks Filter'!$I$4,Setup!$L$6:$L$9,0),0)),OR('Tasks Filter'!$I$5="Both",AND('Tasks Filter'!$I$5="Yes",BB526="✓"),AND('Tasks Filter'!$I$5="No",BB526&lt;&gt;"✓")),OR('Tasks Filter'!$L$3="",AV526='Tasks Filter'!$L$3),OR('Tasks Filter'!$L$4="",AZ526='Tasks Filter'!$L$4),OR('Tasks Filter'!$L$5="",BC526='Tasks Filter'!$L$5),OR('Tasks Filter'!$O$3="",BD526='Tasks Filter'!$O$3),OR('Tasks Filter'!$O$4="Yes",BG526=0)),1,0))</f>
        <v/>
      </c>
      <c r="BJ526">
        <f>IF(BH526=0,"",IF('Tasks Filter'!$F$6="Descending",-1,1)*CHOOSE(MATCH('Tasks Filter'!$F$5,Lists!$G$2:$G$6,0),AW526,BF526,IFERROR(MATCH(AV526,Setup!$F$6:$F$15,0),99),IFERROR(MATCH(BC526,Setup!$H$6:$H$15,0),99),IFERROR(MATCH(AZ526,Setup!$J$6:$J$11,0),99))*1E+9+(AW526-40000)*10000+525)</f>
        <v/>
      </c>
      <c r="BK526">
        <f>IF(BI526=1,BJ526,"")</f>
        <v/>
      </c>
      <c r="BL526">
        <f>IF(AND(BH526=1,BG526=0,N(AW526)&lt;Setup!$D$7),(AW526-40000)*10000+525,"")</f>
        <v/>
      </c>
      <c r="BM526">
        <f>IF(AND(BH526=1,AZ526&lt;&gt;"Cancelled",N(AW526)&gt;=Dashboard!$AB$3,N(AW526)&lt;=Dashboard!$AB$3+6),(AW526-40000)*100000+BF526*10000+525,"")</f>
        <v/>
      </c>
      <c r="BN526">
        <f>IF(AND(BH526=1,AZ526&lt;&gt;"Cancelled"),BF526*10000+525,"")</f>
        <v/>
      </c>
    </row>
    <row r="527">
      <c r="AS527" t="inlineStr">
        <is>
          <t>R</t>
        </is>
      </c>
      <c r="AT527" t="n">
        <v>531</v>
      </c>
      <c r="AU527">
        <f>'Recurring Log'!C531&amp;""</f>
        <v/>
      </c>
      <c r="AV527">
        <f>'Recurring Log'!D531&amp;""</f>
        <v/>
      </c>
      <c r="AW527">
        <f>IF('Recurring Log'!E531="","",'Recurring Log'!E531)</f>
        <v/>
      </c>
      <c r="AX527">
        <f>IF('Recurring Log'!G531="","",'Recurring Log'!G531)</f>
        <v/>
      </c>
      <c r="AY527">
        <f>IF('Recurring Log'!H531="","",'Recurring Log'!H531)</f>
        <v/>
      </c>
      <c r="AZ527">
        <f>IF(AU527="","",IF('Recurring Log'!J531="","Not Started",'Recurring Log'!J531))</f>
        <v/>
      </c>
      <c r="BA527">
        <f>'Recurring Log'!L531&amp;""</f>
        <v/>
      </c>
      <c r="BB527">
        <f>'Recurring Log'!M531&amp;""</f>
        <v/>
      </c>
      <c r="BC527">
        <f>'Recurring Log'!N531&amp;""</f>
        <v/>
      </c>
      <c r="BD527">
        <f>'Recurring Log'!O531&amp;""</f>
        <v/>
      </c>
      <c r="BE527">
        <f>IF('Recurring Log'!K531="","",'Recurring Log'!K531)</f>
        <v/>
      </c>
      <c r="BF527">
        <f>IFERROR(MATCH(BA527,Setup!$L$6:$L$9,0),5)</f>
        <v/>
      </c>
      <c r="BG527">
        <f>IF(OR(AZ527="Done",AZ527="Cancelled"),1,0)</f>
        <v/>
      </c>
      <c r="BH527">
        <f>IF(AND(AU527&lt;&gt;"",ISNUMBER(AW527)),1,0)</f>
        <v/>
      </c>
      <c r="BI527">
        <f>IF(BH527=0,0,IF(AND(AW527&gt;='Tasks Filter'!$F$3,AW527&lt;='Tasks Filter'!$F$4,OR('Tasks Filter'!$I$3="",ISNUMBER(SEARCH('Tasks Filter'!$I$3,AU527))),OR('Tasks Filter'!$I$4="",BF527=IFERROR(MATCH('Tasks Filter'!$I$4,Setup!$L$6:$L$9,0),0)),OR('Tasks Filter'!$I$5="Both",AND('Tasks Filter'!$I$5="Yes",BB527="✓"),AND('Tasks Filter'!$I$5="No",BB527&lt;&gt;"✓")),OR('Tasks Filter'!$L$3="",AV527='Tasks Filter'!$L$3),OR('Tasks Filter'!$L$4="",AZ527='Tasks Filter'!$L$4),OR('Tasks Filter'!$L$5="",BC527='Tasks Filter'!$L$5),OR('Tasks Filter'!$O$3="",BD527='Tasks Filter'!$O$3),OR('Tasks Filter'!$O$4="Yes",BG527=0)),1,0))</f>
        <v/>
      </c>
      <c r="BJ527">
        <f>IF(BH527=0,"",IF('Tasks Filter'!$F$6="Descending",-1,1)*CHOOSE(MATCH('Tasks Filter'!$F$5,Lists!$G$2:$G$6,0),AW527,BF527,IFERROR(MATCH(AV527,Setup!$F$6:$F$15,0),99),IFERROR(MATCH(BC527,Setup!$H$6:$H$15,0),99),IFERROR(MATCH(AZ527,Setup!$J$6:$J$11,0),99))*1E+9+(AW527-40000)*10000+526)</f>
        <v/>
      </c>
      <c r="BK527">
        <f>IF(BI527=1,BJ527,"")</f>
        <v/>
      </c>
      <c r="BL527">
        <f>IF(AND(BH527=1,BG527=0,N(AW527)&lt;Setup!$D$7),(AW527-40000)*10000+526,"")</f>
        <v/>
      </c>
      <c r="BM527">
        <f>IF(AND(BH527=1,AZ527&lt;&gt;"Cancelled",N(AW527)&gt;=Dashboard!$AB$3,N(AW527)&lt;=Dashboard!$AB$3+6),(AW527-40000)*100000+BF527*10000+526,"")</f>
        <v/>
      </c>
      <c r="BN527">
        <f>IF(AND(BH527=1,AZ527&lt;&gt;"Cancelled"),BF527*10000+526,"")</f>
        <v/>
      </c>
    </row>
    <row r="528">
      <c r="AS528" t="inlineStr">
        <is>
          <t>R</t>
        </is>
      </c>
      <c r="AT528" t="n">
        <v>532</v>
      </c>
      <c r="AU528">
        <f>'Recurring Log'!C532&amp;""</f>
        <v/>
      </c>
      <c r="AV528">
        <f>'Recurring Log'!D532&amp;""</f>
        <v/>
      </c>
      <c r="AW528">
        <f>IF('Recurring Log'!E532="","",'Recurring Log'!E532)</f>
        <v/>
      </c>
      <c r="AX528">
        <f>IF('Recurring Log'!G532="","",'Recurring Log'!G532)</f>
        <v/>
      </c>
      <c r="AY528">
        <f>IF('Recurring Log'!H532="","",'Recurring Log'!H532)</f>
        <v/>
      </c>
      <c r="AZ528">
        <f>IF(AU528="","",IF('Recurring Log'!J532="","Not Started",'Recurring Log'!J532))</f>
        <v/>
      </c>
      <c r="BA528">
        <f>'Recurring Log'!L532&amp;""</f>
        <v/>
      </c>
      <c r="BB528">
        <f>'Recurring Log'!M532&amp;""</f>
        <v/>
      </c>
      <c r="BC528">
        <f>'Recurring Log'!N532&amp;""</f>
        <v/>
      </c>
      <c r="BD528">
        <f>'Recurring Log'!O532&amp;""</f>
        <v/>
      </c>
      <c r="BE528">
        <f>IF('Recurring Log'!K532="","",'Recurring Log'!K532)</f>
        <v/>
      </c>
      <c r="BF528">
        <f>IFERROR(MATCH(BA528,Setup!$L$6:$L$9,0),5)</f>
        <v/>
      </c>
      <c r="BG528">
        <f>IF(OR(AZ528="Done",AZ528="Cancelled"),1,0)</f>
        <v/>
      </c>
      <c r="BH528">
        <f>IF(AND(AU528&lt;&gt;"",ISNUMBER(AW528)),1,0)</f>
        <v/>
      </c>
      <c r="BI528">
        <f>IF(BH528=0,0,IF(AND(AW528&gt;='Tasks Filter'!$F$3,AW528&lt;='Tasks Filter'!$F$4,OR('Tasks Filter'!$I$3="",ISNUMBER(SEARCH('Tasks Filter'!$I$3,AU528))),OR('Tasks Filter'!$I$4="",BF528=IFERROR(MATCH('Tasks Filter'!$I$4,Setup!$L$6:$L$9,0),0)),OR('Tasks Filter'!$I$5="Both",AND('Tasks Filter'!$I$5="Yes",BB528="✓"),AND('Tasks Filter'!$I$5="No",BB528&lt;&gt;"✓")),OR('Tasks Filter'!$L$3="",AV528='Tasks Filter'!$L$3),OR('Tasks Filter'!$L$4="",AZ528='Tasks Filter'!$L$4),OR('Tasks Filter'!$L$5="",BC528='Tasks Filter'!$L$5),OR('Tasks Filter'!$O$3="",BD528='Tasks Filter'!$O$3),OR('Tasks Filter'!$O$4="Yes",BG528=0)),1,0))</f>
        <v/>
      </c>
      <c r="BJ528">
        <f>IF(BH528=0,"",IF('Tasks Filter'!$F$6="Descending",-1,1)*CHOOSE(MATCH('Tasks Filter'!$F$5,Lists!$G$2:$G$6,0),AW528,BF528,IFERROR(MATCH(AV528,Setup!$F$6:$F$15,0),99),IFERROR(MATCH(BC528,Setup!$H$6:$H$15,0),99),IFERROR(MATCH(AZ528,Setup!$J$6:$J$11,0),99))*1E+9+(AW528-40000)*10000+527)</f>
        <v/>
      </c>
      <c r="BK528">
        <f>IF(BI528=1,BJ528,"")</f>
        <v/>
      </c>
      <c r="BL528">
        <f>IF(AND(BH528=1,BG528=0,N(AW528)&lt;Setup!$D$7),(AW528-40000)*10000+527,"")</f>
        <v/>
      </c>
      <c r="BM528">
        <f>IF(AND(BH528=1,AZ528&lt;&gt;"Cancelled",N(AW528)&gt;=Dashboard!$AB$3,N(AW528)&lt;=Dashboard!$AB$3+6),(AW528-40000)*100000+BF528*10000+527,"")</f>
        <v/>
      </c>
      <c r="BN528">
        <f>IF(AND(BH528=1,AZ528&lt;&gt;"Cancelled"),BF528*10000+527,"")</f>
        <v/>
      </c>
    </row>
    <row r="529">
      <c r="AS529" t="inlineStr">
        <is>
          <t>R</t>
        </is>
      </c>
      <c r="AT529" t="n">
        <v>533</v>
      </c>
      <c r="AU529">
        <f>'Recurring Log'!C533&amp;""</f>
        <v/>
      </c>
      <c r="AV529">
        <f>'Recurring Log'!D533&amp;""</f>
        <v/>
      </c>
      <c r="AW529">
        <f>IF('Recurring Log'!E533="","",'Recurring Log'!E533)</f>
        <v/>
      </c>
      <c r="AX529">
        <f>IF('Recurring Log'!G533="","",'Recurring Log'!G533)</f>
        <v/>
      </c>
      <c r="AY529">
        <f>IF('Recurring Log'!H533="","",'Recurring Log'!H533)</f>
        <v/>
      </c>
      <c r="AZ529">
        <f>IF(AU529="","",IF('Recurring Log'!J533="","Not Started",'Recurring Log'!J533))</f>
        <v/>
      </c>
      <c r="BA529">
        <f>'Recurring Log'!L533&amp;""</f>
        <v/>
      </c>
      <c r="BB529">
        <f>'Recurring Log'!M533&amp;""</f>
        <v/>
      </c>
      <c r="BC529">
        <f>'Recurring Log'!N533&amp;""</f>
        <v/>
      </c>
      <c r="BD529">
        <f>'Recurring Log'!O533&amp;""</f>
        <v/>
      </c>
      <c r="BE529">
        <f>IF('Recurring Log'!K533="","",'Recurring Log'!K533)</f>
        <v/>
      </c>
      <c r="BF529">
        <f>IFERROR(MATCH(BA529,Setup!$L$6:$L$9,0),5)</f>
        <v/>
      </c>
      <c r="BG529">
        <f>IF(OR(AZ529="Done",AZ529="Cancelled"),1,0)</f>
        <v/>
      </c>
      <c r="BH529">
        <f>IF(AND(AU529&lt;&gt;"",ISNUMBER(AW529)),1,0)</f>
        <v/>
      </c>
      <c r="BI529">
        <f>IF(BH529=0,0,IF(AND(AW529&gt;='Tasks Filter'!$F$3,AW529&lt;='Tasks Filter'!$F$4,OR('Tasks Filter'!$I$3="",ISNUMBER(SEARCH('Tasks Filter'!$I$3,AU529))),OR('Tasks Filter'!$I$4="",BF529=IFERROR(MATCH('Tasks Filter'!$I$4,Setup!$L$6:$L$9,0),0)),OR('Tasks Filter'!$I$5="Both",AND('Tasks Filter'!$I$5="Yes",BB529="✓"),AND('Tasks Filter'!$I$5="No",BB529&lt;&gt;"✓")),OR('Tasks Filter'!$L$3="",AV529='Tasks Filter'!$L$3),OR('Tasks Filter'!$L$4="",AZ529='Tasks Filter'!$L$4),OR('Tasks Filter'!$L$5="",BC529='Tasks Filter'!$L$5),OR('Tasks Filter'!$O$3="",BD529='Tasks Filter'!$O$3),OR('Tasks Filter'!$O$4="Yes",BG529=0)),1,0))</f>
        <v/>
      </c>
      <c r="BJ529">
        <f>IF(BH529=0,"",IF('Tasks Filter'!$F$6="Descending",-1,1)*CHOOSE(MATCH('Tasks Filter'!$F$5,Lists!$G$2:$G$6,0),AW529,BF529,IFERROR(MATCH(AV529,Setup!$F$6:$F$15,0),99),IFERROR(MATCH(BC529,Setup!$H$6:$H$15,0),99),IFERROR(MATCH(AZ529,Setup!$J$6:$J$11,0),99))*1E+9+(AW529-40000)*10000+528)</f>
        <v/>
      </c>
      <c r="BK529">
        <f>IF(BI529=1,BJ529,"")</f>
        <v/>
      </c>
      <c r="BL529">
        <f>IF(AND(BH529=1,BG529=0,N(AW529)&lt;Setup!$D$7),(AW529-40000)*10000+528,"")</f>
        <v/>
      </c>
      <c r="BM529">
        <f>IF(AND(BH529=1,AZ529&lt;&gt;"Cancelled",N(AW529)&gt;=Dashboard!$AB$3,N(AW529)&lt;=Dashboard!$AB$3+6),(AW529-40000)*100000+BF529*10000+528,"")</f>
        <v/>
      </c>
      <c r="BN529">
        <f>IF(AND(BH529=1,AZ529&lt;&gt;"Cancelled"),BF529*10000+528,"")</f>
        <v/>
      </c>
    </row>
    <row r="530">
      <c r="AS530" t="inlineStr">
        <is>
          <t>R</t>
        </is>
      </c>
      <c r="AT530" t="n">
        <v>534</v>
      </c>
      <c r="AU530">
        <f>'Recurring Log'!C534&amp;""</f>
        <v/>
      </c>
      <c r="AV530">
        <f>'Recurring Log'!D534&amp;""</f>
        <v/>
      </c>
      <c r="AW530">
        <f>IF('Recurring Log'!E534="","",'Recurring Log'!E534)</f>
        <v/>
      </c>
      <c r="AX530">
        <f>IF('Recurring Log'!G534="","",'Recurring Log'!G534)</f>
        <v/>
      </c>
      <c r="AY530">
        <f>IF('Recurring Log'!H534="","",'Recurring Log'!H534)</f>
        <v/>
      </c>
      <c r="AZ530">
        <f>IF(AU530="","",IF('Recurring Log'!J534="","Not Started",'Recurring Log'!J534))</f>
        <v/>
      </c>
      <c r="BA530">
        <f>'Recurring Log'!L534&amp;""</f>
        <v/>
      </c>
      <c r="BB530">
        <f>'Recurring Log'!M534&amp;""</f>
        <v/>
      </c>
      <c r="BC530">
        <f>'Recurring Log'!N534&amp;""</f>
        <v/>
      </c>
      <c r="BD530">
        <f>'Recurring Log'!O534&amp;""</f>
        <v/>
      </c>
      <c r="BE530">
        <f>IF('Recurring Log'!K534="","",'Recurring Log'!K534)</f>
        <v/>
      </c>
      <c r="BF530">
        <f>IFERROR(MATCH(BA530,Setup!$L$6:$L$9,0),5)</f>
        <v/>
      </c>
      <c r="BG530">
        <f>IF(OR(AZ530="Done",AZ530="Cancelled"),1,0)</f>
        <v/>
      </c>
      <c r="BH530">
        <f>IF(AND(AU530&lt;&gt;"",ISNUMBER(AW530)),1,0)</f>
        <v/>
      </c>
      <c r="BI530">
        <f>IF(BH530=0,0,IF(AND(AW530&gt;='Tasks Filter'!$F$3,AW530&lt;='Tasks Filter'!$F$4,OR('Tasks Filter'!$I$3="",ISNUMBER(SEARCH('Tasks Filter'!$I$3,AU530))),OR('Tasks Filter'!$I$4="",BF530=IFERROR(MATCH('Tasks Filter'!$I$4,Setup!$L$6:$L$9,0),0)),OR('Tasks Filter'!$I$5="Both",AND('Tasks Filter'!$I$5="Yes",BB530="✓"),AND('Tasks Filter'!$I$5="No",BB530&lt;&gt;"✓")),OR('Tasks Filter'!$L$3="",AV530='Tasks Filter'!$L$3),OR('Tasks Filter'!$L$4="",AZ530='Tasks Filter'!$L$4),OR('Tasks Filter'!$L$5="",BC530='Tasks Filter'!$L$5),OR('Tasks Filter'!$O$3="",BD530='Tasks Filter'!$O$3),OR('Tasks Filter'!$O$4="Yes",BG530=0)),1,0))</f>
        <v/>
      </c>
      <c r="BJ530">
        <f>IF(BH530=0,"",IF('Tasks Filter'!$F$6="Descending",-1,1)*CHOOSE(MATCH('Tasks Filter'!$F$5,Lists!$G$2:$G$6,0),AW530,BF530,IFERROR(MATCH(AV530,Setup!$F$6:$F$15,0),99),IFERROR(MATCH(BC530,Setup!$H$6:$H$15,0),99),IFERROR(MATCH(AZ530,Setup!$J$6:$J$11,0),99))*1E+9+(AW530-40000)*10000+529)</f>
        <v/>
      </c>
      <c r="BK530">
        <f>IF(BI530=1,BJ530,"")</f>
        <v/>
      </c>
      <c r="BL530">
        <f>IF(AND(BH530=1,BG530=0,N(AW530)&lt;Setup!$D$7),(AW530-40000)*10000+529,"")</f>
        <v/>
      </c>
      <c r="BM530">
        <f>IF(AND(BH530=1,AZ530&lt;&gt;"Cancelled",N(AW530)&gt;=Dashboard!$AB$3,N(AW530)&lt;=Dashboard!$AB$3+6),(AW530-40000)*100000+BF530*10000+529,"")</f>
        <v/>
      </c>
      <c r="BN530">
        <f>IF(AND(BH530=1,AZ530&lt;&gt;"Cancelled"),BF530*10000+529,"")</f>
        <v/>
      </c>
    </row>
    <row r="531">
      <c r="AS531" t="inlineStr">
        <is>
          <t>R</t>
        </is>
      </c>
      <c r="AT531" t="n">
        <v>535</v>
      </c>
      <c r="AU531">
        <f>'Recurring Log'!C535&amp;""</f>
        <v/>
      </c>
      <c r="AV531">
        <f>'Recurring Log'!D535&amp;""</f>
        <v/>
      </c>
      <c r="AW531">
        <f>IF('Recurring Log'!E535="","",'Recurring Log'!E535)</f>
        <v/>
      </c>
      <c r="AX531">
        <f>IF('Recurring Log'!G535="","",'Recurring Log'!G535)</f>
        <v/>
      </c>
      <c r="AY531">
        <f>IF('Recurring Log'!H535="","",'Recurring Log'!H535)</f>
        <v/>
      </c>
      <c r="AZ531">
        <f>IF(AU531="","",IF('Recurring Log'!J535="","Not Started",'Recurring Log'!J535))</f>
        <v/>
      </c>
      <c r="BA531">
        <f>'Recurring Log'!L535&amp;""</f>
        <v/>
      </c>
      <c r="BB531">
        <f>'Recurring Log'!M535&amp;""</f>
        <v/>
      </c>
      <c r="BC531">
        <f>'Recurring Log'!N535&amp;""</f>
        <v/>
      </c>
      <c r="BD531">
        <f>'Recurring Log'!O535&amp;""</f>
        <v/>
      </c>
      <c r="BE531">
        <f>IF('Recurring Log'!K535="","",'Recurring Log'!K535)</f>
        <v/>
      </c>
      <c r="BF531">
        <f>IFERROR(MATCH(BA531,Setup!$L$6:$L$9,0),5)</f>
        <v/>
      </c>
      <c r="BG531">
        <f>IF(OR(AZ531="Done",AZ531="Cancelled"),1,0)</f>
        <v/>
      </c>
      <c r="BH531">
        <f>IF(AND(AU531&lt;&gt;"",ISNUMBER(AW531)),1,0)</f>
        <v/>
      </c>
      <c r="BI531">
        <f>IF(BH531=0,0,IF(AND(AW531&gt;='Tasks Filter'!$F$3,AW531&lt;='Tasks Filter'!$F$4,OR('Tasks Filter'!$I$3="",ISNUMBER(SEARCH('Tasks Filter'!$I$3,AU531))),OR('Tasks Filter'!$I$4="",BF531=IFERROR(MATCH('Tasks Filter'!$I$4,Setup!$L$6:$L$9,0),0)),OR('Tasks Filter'!$I$5="Both",AND('Tasks Filter'!$I$5="Yes",BB531="✓"),AND('Tasks Filter'!$I$5="No",BB531&lt;&gt;"✓")),OR('Tasks Filter'!$L$3="",AV531='Tasks Filter'!$L$3),OR('Tasks Filter'!$L$4="",AZ531='Tasks Filter'!$L$4),OR('Tasks Filter'!$L$5="",BC531='Tasks Filter'!$L$5),OR('Tasks Filter'!$O$3="",BD531='Tasks Filter'!$O$3),OR('Tasks Filter'!$O$4="Yes",BG531=0)),1,0))</f>
        <v/>
      </c>
      <c r="BJ531">
        <f>IF(BH531=0,"",IF('Tasks Filter'!$F$6="Descending",-1,1)*CHOOSE(MATCH('Tasks Filter'!$F$5,Lists!$G$2:$G$6,0),AW531,BF531,IFERROR(MATCH(AV531,Setup!$F$6:$F$15,0),99),IFERROR(MATCH(BC531,Setup!$H$6:$H$15,0),99),IFERROR(MATCH(AZ531,Setup!$J$6:$J$11,0),99))*1E+9+(AW531-40000)*10000+530)</f>
        <v/>
      </c>
      <c r="BK531">
        <f>IF(BI531=1,BJ531,"")</f>
        <v/>
      </c>
      <c r="BL531">
        <f>IF(AND(BH531=1,BG531=0,N(AW531)&lt;Setup!$D$7),(AW531-40000)*10000+530,"")</f>
        <v/>
      </c>
      <c r="BM531">
        <f>IF(AND(BH531=1,AZ531&lt;&gt;"Cancelled",N(AW531)&gt;=Dashboard!$AB$3,N(AW531)&lt;=Dashboard!$AB$3+6),(AW531-40000)*100000+BF531*10000+530,"")</f>
        <v/>
      </c>
      <c r="BN531">
        <f>IF(AND(BH531=1,AZ531&lt;&gt;"Cancelled"),BF531*10000+530,"")</f>
        <v/>
      </c>
    </row>
    <row r="532">
      <c r="AS532" t="inlineStr">
        <is>
          <t>R</t>
        </is>
      </c>
      <c r="AT532" t="n">
        <v>536</v>
      </c>
      <c r="AU532">
        <f>'Recurring Log'!C536&amp;""</f>
        <v/>
      </c>
      <c r="AV532">
        <f>'Recurring Log'!D536&amp;""</f>
        <v/>
      </c>
      <c r="AW532">
        <f>IF('Recurring Log'!E536="","",'Recurring Log'!E536)</f>
        <v/>
      </c>
      <c r="AX532">
        <f>IF('Recurring Log'!G536="","",'Recurring Log'!G536)</f>
        <v/>
      </c>
      <c r="AY532">
        <f>IF('Recurring Log'!H536="","",'Recurring Log'!H536)</f>
        <v/>
      </c>
      <c r="AZ532">
        <f>IF(AU532="","",IF('Recurring Log'!J536="","Not Started",'Recurring Log'!J536))</f>
        <v/>
      </c>
      <c r="BA532">
        <f>'Recurring Log'!L536&amp;""</f>
        <v/>
      </c>
      <c r="BB532">
        <f>'Recurring Log'!M536&amp;""</f>
        <v/>
      </c>
      <c r="BC532">
        <f>'Recurring Log'!N536&amp;""</f>
        <v/>
      </c>
      <c r="BD532">
        <f>'Recurring Log'!O536&amp;""</f>
        <v/>
      </c>
      <c r="BE532">
        <f>IF('Recurring Log'!K536="","",'Recurring Log'!K536)</f>
        <v/>
      </c>
      <c r="BF532">
        <f>IFERROR(MATCH(BA532,Setup!$L$6:$L$9,0),5)</f>
        <v/>
      </c>
      <c r="BG532">
        <f>IF(OR(AZ532="Done",AZ532="Cancelled"),1,0)</f>
        <v/>
      </c>
      <c r="BH532">
        <f>IF(AND(AU532&lt;&gt;"",ISNUMBER(AW532)),1,0)</f>
        <v/>
      </c>
      <c r="BI532">
        <f>IF(BH532=0,0,IF(AND(AW532&gt;='Tasks Filter'!$F$3,AW532&lt;='Tasks Filter'!$F$4,OR('Tasks Filter'!$I$3="",ISNUMBER(SEARCH('Tasks Filter'!$I$3,AU532))),OR('Tasks Filter'!$I$4="",BF532=IFERROR(MATCH('Tasks Filter'!$I$4,Setup!$L$6:$L$9,0),0)),OR('Tasks Filter'!$I$5="Both",AND('Tasks Filter'!$I$5="Yes",BB532="✓"),AND('Tasks Filter'!$I$5="No",BB532&lt;&gt;"✓")),OR('Tasks Filter'!$L$3="",AV532='Tasks Filter'!$L$3),OR('Tasks Filter'!$L$4="",AZ532='Tasks Filter'!$L$4),OR('Tasks Filter'!$L$5="",BC532='Tasks Filter'!$L$5),OR('Tasks Filter'!$O$3="",BD532='Tasks Filter'!$O$3),OR('Tasks Filter'!$O$4="Yes",BG532=0)),1,0))</f>
        <v/>
      </c>
      <c r="BJ532">
        <f>IF(BH532=0,"",IF('Tasks Filter'!$F$6="Descending",-1,1)*CHOOSE(MATCH('Tasks Filter'!$F$5,Lists!$G$2:$G$6,0),AW532,BF532,IFERROR(MATCH(AV532,Setup!$F$6:$F$15,0),99),IFERROR(MATCH(BC532,Setup!$H$6:$H$15,0),99),IFERROR(MATCH(AZ532,Setup!$J$6:$J$11,0),99))*1E+9+(AW532-40000)*10000+531)</f>
        <v/>
      </c>
      <c r="BK532">
        <f>IF(BI532=1,BJ532,"")</f>
        <v/>
      </c>
      <c r="BL532">
        <f>IF(AND(BH532=1,BG532=0,N(AW532)&lt;Setup!$D$7),(AW532-40000)*10000+531,"")</f>
        <v/>
      </c>
      <c r="BM532">
        <f>IF(AND(BH532=1,AZ532&lt;&gt;"Cancelled",N(AW532)&gt;=Dashboard!$AB$3,N(AW532)&lt;=Dashboard!$AB$3+6),(AW532-40000)*100000+BF532*10000+531,"")</f>
        <v/>
      </c>
      <c r="BN532">
        <f>IF(AND(BH532=1,AZ532&lt;&gt;"Cancelled"),BF532*10000+531,"")</f>
        <v/>
      </c>
    </row>
    <row r="533">
      <c r="AS533" t="inlineStr">
        <is>
          <t>R</t>
        </is>
      </c>
      <c r="AT533" t="n">
        <v>537</v>
      </c>
      <c r="AU533">
        <f>'Recurring Log'!C537&amp;""</f>
        <v/>
      </c>
      <c r="AV533">
        <f>'Recurring Log'!D537&amp;""</f>
        <v/>
      </c>
      <c r="AW533">
        <f>IF('Recurring Log'!E537="","",'Recurring Log'!E537)</f>
        <v/>
      </c>
      <c r="AX533">
        <f>IF('Recurring Log'!G537="","",'Recurring Log'!G537)</f>
        <v/>
      </c>
      <c r="AY533">
        <f>IF('Recurring Log'!H537="","",'Recurring Log'!H537)</f>
        <v/>
      </c>
      <c r="AZ533">
        <f>IF(AU533="","",IF('Recurring Log'!J537="","Not Started",'Recurring Log'!J537))</f>
        <v/>
      </c>
      <c r="BA533">
        <f>'Recurring Log'!L537&amp;""</f>
        <v/>
      </c>
      <c r="BB533">
        <f>'Recurring Log'!M537&amp;""</f>
        <v/>
      </c>
      <c r="BC533">
        <f>'Recurring Log'!N537&amp;""</f>
        <v/>
      </c>
      <c r="BD533">
        <f>'Recurring Log'!O537&amp;""</f>
        <v/>
      </c>
      <c r="BE533">
        <f>IF('Recurring Log'!K537="","",'Recurring Log'!K537)</f>
        <v/>
      </c>
      <c r="BF533">
        <f>IFERROR(MATCH(BA533,Setup!$L$6:$L$9,0),5)</f>
        <v/>
      </c>
      <c r="BG533">
        <f>IF(OR(AZ533="Done",AZ533="Cancelled"),1,0)</f>
        <v/>
      </c>
      <c r="BH533">
        <f>IF(AND(AU533&lt;&gt;"",ISNUMBER(AW533)),1,0)</f>
        <v/>
      </c>
      <c r="BI533">
        <f>IF(BH533=0,0,IF(AND(AW533&gt;='Tasks Filter'!$F$3,AW533&lt;='Tasks Filter'!$F$4,OR('Tasks Filter'!$I$3="",ISNUMBER(SEARCH('Tasks Filter'!$I$3,AU533))),OR('Tasks Filter'!$I$4="",BF533=IFERROR(MATCH('Tasks Filter'!$I$4,Setup!$L$6:$L$9,0),0)),OR('Tasks Filter'!$I$5="Both",AND('Tasks Filter'!$I$5="Yes",BB533="✓"),AND('Tasks Filter'!$I$5="No",BB533&lt;&gt;"✓")),OR('Tasks Filter'!$L$3="",AV533='Tasks Filter'!$L$3),OR('Tasks Filter'!$L$4="",AZ533='Tasks Filter'!$L$4),OR('Tasks Filter'!$L$5="",BC533='Tasks Filter'!$L$5),OR('Tasks Filter'!$O$3="",BD533='Tasks Filter'!$O$3),OR('Tasks Filter'!$O$4="Yes",BG533=0)),1,0))</f>
        <v/>
      </c>
      <c r="BJ533">
        <f>IF(BH533=0,"",IF('Tasks Filter'!$F$6="Descending",-1,1)*CHOOSE(MATCH('Tasks Filter'!$F$5,Lists!$G$2:$G$6,0),AW533,BF533,IFERROR(MATCH(AV533,Setup!$F$6:$F$15,0),99),IFERROR(MATCH(BC533,Setup!$H$6:$H$15,0),99),IFERROR(MATCH(AZ533,Setup!$J$6:$J$11,0),99))*1E+9+(AW533-40000)*10000+532)</f>
        <v/>
      </c>
      <c r="BK533">
        <f>IF(BI533=1,BJ533,"")</f>
        <v/>
      </c>
      <c r="BL533">
        <f>IF(AND(BH533=1,BG533=0,N(AW533)&lt;Setup!$D$7),(AW533-40000)*10000+532,"")</f>
        <v/>
      </c>
      <c r="BM533">
        <f>IF(AND(BH533=1,AZ533&lt;&gt;"Cancelled",N(AW533)&gt;=Dashboard!$AB$3,N(AW533)&lt;=Dashboard!$AB$3+6),(AW533-40000)*100000+BF533*10000+532,"")</f>
        <v/>
      </c>
      <c r="BN533">
        <f>IF(AND(BH533=1,AZ533&lt;&gt;"Cancelled"),BF533*10000+532,"")</f>
        <v/>
      </c>
    </row>
    <row r="534">
      <c r="AS534" t="inlineStr">
        <is>
          <t>R</t>
        </is>
      </c>
      <c r="AT534" t="n">
        <v>538</v>
      </c>
      <c r="AU534">
        <f>'Recurring Log'!C538&amp;""</f>
        <v/>
      </c>
      <c r="AV534">
        <f>'Recurring Log'!D538&amp;""</f>
        <v/>
      </c>
      <c r="AW534">
        <f>IF('Recurring Log'!E538="","",'Recurring Log'!E538)</f>
        <v/>
      </c>
      <c r="AX534">
        <f>IF('Recurring Log'!G538="","",'Recurring Log'!G538)</f>
        <v/>
      </c>
      <c r="AY534">
        <f>IF('Recurring Log'!H538="","",'Recurring Log'!H538)</f>
        <v/>
      </c>
      <c r="AZ534">
        <f>IF(AU534="","",IF('Recurring Log'!J538="","Not Started",'Recurring Log'!J538))</f>
        <v/>
      </c>
      <c r="BA534">
        <f>'Recurring Log'!L538&amp;""</f>
        <v/>
      </c>
      <c r="BB534">
        <f>'Recurring Log'!M538&amp;""</f>
        <v/>
      </c>
      <c r="BC534">
        <f>'Recurring Log'!N538&amp;""</f>
        <v/>
      </c>
      <c r="BD534">
        <f>'Recurring Log'!O538&amp;""</f>
        <v/>
      </c>
      <c r="BE534">
        <f>IF('Recurring Log'!K538="","",'Recurring Log'!K538)</f>
        <v/>
      </c>
      <c r="BF534">
        <f>IFERROR(MATCH(BA534,Setup!$L$6:$L$9,0),5)</f>
        <v/>
      </c>
      <c r="BG534">
        <f>IF(OR(AZ534="Done",AZ534="Cancelled"),1,0)</f>
        <v/>
      </c>
      <c r="BH534">
        <f>IF(AND(AU534&lt;&gt;"",ISNUMBER(AW534)),1,0)</f>
        <v/>
      </c>
      <c r="BI534">
        <f>IF(BH534=0,0,IF(AND(AW534&gt;='Tasks Filter'!$F$3,AW534&lt;='Tasks Filter'!$F$4,OR('Tasks Filter'!$I$3="",ISNUMBER(SEARCH('Tasks Filter'!$I$3,AU534))),OR('Tasks Filter'!$I$4="",BF534=IFERROR(MATCH('Tasks Filter'!$I$4,Setup!$L$6:$L$9,0),0)),OR('Tasks Filter'!$I$5="Both",AND('Tasks Filter'!$I$5="Yes",BB534="✓"),AND('Tasks Filter'!$I$5="No",BB534&lt;&gt;"✓")),OR('Tasks Filter'!$L$3="",AV534='Tasks Filter'!$L$3),OR('Tasks Filter'!$L$4="",AZ534='Tasks Filter'!$L$4),OR('Tasks Filter'!$L$5="",BC534='Tasks Filter'!$L$5),OR('Tasks Filter'!$O$3="",BD534='Tasks Filter'!$O$3),OR('Tasks Filter'!$O$4="Yes",BG534=0)),1,0))</f>
        <v/>
      </c>
      <c r="BJ534">
        <f>IF(BH534=0,"",IF('Tasks Filter'!$F$6="Descending",-1,1)*CHOOSE(MATCH('Tasks Filter'!$F$5,Lists!$G$2:$G$6,0),AW534,BF534,IFERROR(MATCH(AV534,Setup!$F$6:$F$15,0),99),IFERROR(MATCH(BC534,Setup!$H$6:$H$15,0),99),IFERROR(MATCH(AZ534,Setup!$J$6:$J$11,0),99))*1E+9+(AW534-40000)*10000+533)</f>
        <v/>
      </c>
      <c r="BK534">
        <f>IF(BI534=1,BJ534,"")</f>
        <v/>
      </c>
      <c r="BL534">
        <f>IF(AND(BH534=1,BG534=0,N(AW534)&lt;Setup!$D$7),(AW534-40000)*10000+533,"")</f>
        <v/>
      </c>
      <c r="BM534">
        <f>IF(AND(BH534=1,AZ534&lt;&gt;"Cancelled",N(AW534)&gt;=Dashboard!$AB$3,N(AW534)&lt;=Dashboard!$AB$3+6),(AW534-40000)*100000+BF534*10000+533,"")</f>
        <v/>
      </c>
      <c r="BN534">
        <f>IF(AND(BH534=1,AZ534&lt;&gt;"Cancelled"),BF534*10000+533,"")</f>
        <v/>
      </c>
    </row>
    <row r="535">
      <c r="AS535" t="inlineStr">
        <is>
          <t>R</t>
        </is>
      </c>
      <c r="AT535" t="n">
        <v>539</v>
      </c>
      <c r="AU535">
        <f>'Recurring Log'!C539&amp;""</f>
        <v/>
      </c>
      <c r="AV535">
        <f>'Recurring Log'!D539&amp;""</f>
        <v/>
      </c>
      <c r="AW535">
        <f>IF('Recurring Log'!E539="","",'Recurring Log'!E539)</f>
        <v/>
      </c>
      <c r="AX535">
        <f>IF('Recurring Log'!G539="","",'Recurring Log'!G539)</f>
        <v/>
      </c>
      <c r="AY535">
        <f>IF('Recurring Log'!H539="","",'Recurring Log'!H539)</f>
        <v/>
      </c>
      <c r="AZ535">
        <f>IF(AU535="","",IF('Recurring Log'!J539="","Not Started",'Recurring Log'!J539))</f>
        <v/>
      </c>
      <c r="BA535">
        <f>'Recurring Log'!L539&amp;""</f>
        <v/>
      </c>
      <c r="BB535">
        <f>'Recurring Log'!M539&amp;""</f>
        <v/>
      </c>
      <c r="BC535">
        <f>'Recurring Log'!N539&amp;""</f>
        <v/>
      </c>
      <c r="BD535">
        <f>'Recurring Log'!O539&amp;""</f>
        <v/>
      </c>
      <c r="BE535">
        <f>IF('Recurring Log'!K539="","",'Recurring Log'!K539)</f>
        <v/>
      </c>
      <c r="BF535">
        <f>IFERROR(MATCH(BA535,Setup!$L$6:$L$9,0),5)</f>
        <v/>
      </c>
      <c r="BG535">
        <f>IF(OR(AZ535="Done",AZ535="Cancelled"),1,0)</f>
        <v/>
      </c>
      <c r="BH535">
        <f>IF(AND(AU535&lt;&gt;"",ISNUMBER(AW535)),1,0)</f>
        <v/>
      </c>
      <c r="BI535">
        <f>IF(BH535=0,0,IF(AND(AW535&gt;='Tasks Filter'!$F$3,AW535&lt;='Tasks Filter'!$F$4,OR('Tasks Filter'!$I$3="",ISNUMBER(SEARCH('Tasks Filter'!$I$3,AU535))),OR('Tasks Filter'!$I$4="",BF535=IFERROR(MATCH('Tasks Filter'!$I$4,Setup!$L$6:$L$9,0),0)),OR('Tasks Filter'!$I$5="Both",AND('Tasks Filter'!$I$5="Yes",BB535="✓"),AND('Tasks Filter'!$I$5="No",BB535&lt;&gt;"✓")),OR('Tasks Filter'!$L$3="",AV535='Tasks Filter'!$L$3),OR('Tasks Filter'!$L$4="",AZ535='Tasks Filter'!$L$4),OR('Tasks Filter'!$L$5="",BC535='Tasks Filter'!$L$5),OR('Tasks Filter'!$O$3="",BD535='Tasks Filter'!$O$3),OR('Tasks Filter'!$O$4="Yes",BG535=0)),1,0))</f>
        <v/>
      </c>
      <c r="BJ535">
        <f>IF(BH535=0,"",IF('Tasks Filter'!$F$6="Descending",-1,1)*CHOOSE(MATCH('Tasks Filter'!$F$5,Lists!$G$2:$G$6,0),AW535,BF535,IFERROR(MATCH(AV535,Setup!$F$6:$F$15,0),99),IFERROR(MATCH(BC535,Setup!$H$6:$H$15,0),99),IFERROR(MATCH(AZ535,Setup!$J$6:$J$11,0),99))*1E+9+(AW535-40000)*10000+534)</f>
        <v/>
      </c>
      <c r="BK535">
        <f>IF(BI535=1,BJ535,"")</f>
        <v/>
      </c>
      <c r="BL535">
        <f>IF(AND(BH535=1,BG535=0,N(AW535)&lt;Setup!$D$7),(AW535-40000)*10000+534,"")</f>
        <v/>
      </c>
      <c r="BM535">
        <f>IF(AND(BH535=1,AZ535&lt;&gt;"Cancelled",N(AW535)&gt;=Dashboard!$AB$3,N(AW535)&lt;=Dashboard!$AB$3+6),(AW535-40000)*100000+BF535*10000+534,"")</f>
        <v/>
      </c>
      <c r="BN535">
        <f>IF(AND(BH535=1,AZ535&lt;&gt;"Cancelled"),BF535*10000+534,"")</f>
        <v/>
      </c>
    </row>
    <row r="536">
      <c r="AS536" t="inlineStr">
        <is>
          <t>R</t>
        </is>
      </c>
      <c r="AT536" t="n">
        <v>540</v>
      </c>
      <c r="AU536">
        <f>'Recurring Log'!C540&amp;""</f>
        <v/>
      </c>
      <c r="AV536">
        <f>'Recurring Log'!D540&amp;""</f>
        <v/>
      </c>
      <c r="AW536">
        <f>IF('Recurring Log'!E540="","",'Recurring Log'!E540)</f>
        <v/>
      </c>
      <c r="AX536">
        <f>IF('Recurring Log'!G540="","",'Recurring Log'!G540)</f>
        <v/>
      </c>
      <c r="AY536">
        <f>IF('Recurring Log'!H540="","",'Recurring Log'!H540)</f>
        <v/>
      </c>
      <c r="AZ536">
        <f>IF(AU536="","",IF('Recurring Log'!J540="","Not Started",'Recurring Log'!J540))</f>
        <v/>
      </c>
      <c r="BA536">
        <f>'Recurring Log'!L540&amp;""</f>
        <v/>
      </c>
      <c r="BB536">
        <f>'Recurring Log'!M540&amp;""</f>
        <v/>
      </c>
      <c r="BC536">
        <f>'Recurring Log'!N540&amp;""</f>
        <v/>
      </c>
      <c r="BD536">
        <f>'Recurring Log'!O540&amp;""</f>
        <v/>
      </c>
      <c r="BE536">
        <f>IF('Recurring Log'!K540="","",'Recurring Log'!K540)</f>
        <v/>
      </c>
      <c r="BF536">
        <f>IFERROR(MATCH(BA536,Setup!$L$6:$L$9,0),5)</f>
        <v/>
      </c>
      <c r="BG536">
        <f>IF(OR(AZ536="Done",AZ536="Cancelled"),1,0)</f>
        <v/>
      </c>
      <c r="BH536">
        <f>IF(AND(AU536&lt;&gt;"",ISNUMBER(AW536)),1,0)</f>
        <v/>
      </c>
      <c r="BI536">
        <f>IF(BH536=0,0,IF(AND(AW536&gt;='Tasks Filter'!$F$3,AW536&lt;='Tasks Filter'!$F$4,OR('Tasks Filter'!$I$3="",ISNUMBER(SEARCH('Tasks Filter'!$I$3,AU536))),OR('Tasks Filter'!$I$4="",BF536=IFERROR(MATCH('Tasks Filter'!$I$4,Setup!$L$6:$L$9,0),0)),OR('Tasks Filter'!$I$5="Both",AND('Tasks Filter'!$I$5="Yes",BB536="✓"),AND('Tasks Filter'!$I$5="No",BB536&lt;&gt;"✓")),OR('Tasks Filter'!$L$3="",AV536='Tasks Filter'!$L$3),OR('Tasks Filter'!$L$4="",AZ536='Tasks Filter'!$L$4),OR('Tasks Filter'!$L$5="",BC536='Tasks Filter'!$L$5),OR('Tasks Filter'!$O$3="",BD536='Tasks Filter'!$O$3),OR('Tasks Filter'!$O$4="Yes",BG536=0)),1,0))</f>
        <v/>
      </c>
      <c r="BJ536">
        <f>IF(BH536=0,"",IF('Tasks Filter'!$F$6="Descending",-1,1)*CHOOSE(MATCH('Tasks Filter'!$F$5,Lists!$G$2:$G$6,0),AW536,BF536,IFERROR(MATCH(AV536,Setup!$F$6:$F$15,0),99),IFERROR(MATCH(BC536,Setup!$H$6:$H$15,0),99),IFERROR(MATCH(AZ536,Setup!$J$6:$J$11,0),99))*1E+9+(AW536-40000)*10000+535)</f>
        <v/>
      </c>
      <c r="BK536">
        <f>IF(BI536=1,BJ536,"")</f>
        <v/>
      </c>
      <c r="BL536">
        <f>IF(AND(BH536=1,BG536=0,N(AW536)&lt;Setup!$D$7),(AW536-40000)*10000+535,"")</f>
        <v/>
      </c>
      <c r="BM536">
        <f>IF(AND(BH536=1,AZ536&lt;&gt;"Cancelled",N(AW536)&gt;=Dashboard!$AB$3,N(AW536)&lt;=Dashboard!$AB$3+6),(AW536-40000)*100000+BF536*10000+535,"")</f>
        <v/>
      </c>
      <c r="BN536">
        <f>IF(AND(BH536=1,AZ536&lt;&gt;"Cancelled"),BF536*10000+535,"")</f>
        <v/>
      </c>
    </row>
    <row r="537">
      <c r="AS537" t="inlineStr">
        <is>
          <t>R</t>
        </is>
      </c>
      <c r="AT537" t="n">
        <v>541</v>
      </c>
      <c r="AU537">
        <f>'Recurring Log'!C541&amp;""</f>
        <v/>
      </c>
      <c r="AV537">
        <f>'Recurring Log'!D541&amp;""</f>
        <v/>
      </c>
      <c r="AW537">
        <f>IF('Recurring Log'!E541="","",'Recurring Log'!E541)</f>
        <v/>
      </c>
      <c r="AX537">
        <f>IF('Recurring Log'!G541="","",'Recurring Log'!G541)</f>
        <v/>
      </c>
      <c r="AY537">
        <f>IF('Recurring Log'!H541="","",'Recurring Log'!H541)</f>
        <v/>
      </c>
      <c r="AZ537">
        <f>IF(AU537="","",IF('Recurring Log'!J541="","Not Started",'Recurring Log'!J541))</f>
        <v/>
      </c>
      <c r="BA537">
        <f>'Recurring Log'!L541&amp;""</f>
        <v/>
      </c>
      <c r="BB537">
        <f>'Recurring Log'!M541&amp;""</f>
        <v/>
      </c>
      <c r="BC537">
        <f>'Recurring Log'!N541&amp;""</f>
        <v/>
      </c>
      <c r="BD537">
        <f>'Recurring Log'!O541&amp;""</f>
        <v/>
      </c>
      <c r="BE537">
        <f>IF('Recurring Log'!K541="","",'Recurring Log'!K541)</f>
        <v/>
      </c>
      <c r="BF537">
        <f>IFERROR(MATCH(BA537,Setup!$L$6:$L$9,0),5)</f>
        <v/>
      </c>
      <c r="BG537">
        <f>IF(OR(AZ537="Done",AZ537="Cancelled"),1,0)</f>
        <v/>
      </c>
      <c r="BH537">
        <f>IF(AND(AU537&lt;&gt;"",ISNUMBER(AW537)),1,0)</f>
        <v/>
      </c>
      <c r="BI537">
        <f>IF(BH537=0,0,IF(AND(AW537&gt;='Tasks Filter'!$F$3,AW537&lt;='Tasks Filter'!$F$4,OR('Tasks Filter'!$I$3="",ISNUMBER(SEARCH('Tasks Filter'!$I$3,AU537))),OR('Tasks Filter'!$I$4="",BF537=IFERROR(MATCH('Tasks Filter'!$I$4,Setup!$L$6:$L$9,0),0)),OR('Tasks Filter'!$I$5="Both",AND('Tasks Filter'!$I$5="Yes",BB537="✓"),AND('Tasks Filter'!$I$5="No",BB537&lt;&gt;"✓")),OR('Tasks Filter'!$L$3="",AV537='Tasks Filter'!$L$3),OR('Tasks Filter'!$L$4="",AZ537='Tasks Filter'!$L$4),OR('Tasks Filter'!$L$5="",BC537='Tasks Filter'!$L$5),OR('Tasks Filter'!$O$3="",BD537='Tasks Filter'!$O$3),OR('Tasks Filter'!$O$4="Yes",BG537=0)),1,0))</f>
        <v/>
      </c>
      <c r="BJ537">
        <f>IF(BH537=0,"",IF('Tasks Filter'!$F$6="Descending",-1,1)*CHOOSE(MATCH('Tasks Filter'!$F$5,Lists!$G$2:$G$6,0),AW537,BF537,IFERROR(MATCH(AV537,Setup!$F$6:$F$15,0),99),IFERROR(MATCH(BC537,Setup!$H$6:$H$15,0),99),IFERROR(MATCH(AZ537,Setup!$J$6:$J$11,0),99))*1E+9+(AW537-40000)*10000+536)</f>
        <v/>
      </c>
      <c r="BK537">
        <f>IF(BI537=1,BJ537,"")</f>
        <v/>
      </c>
      <c r="BL537">
        <f>IF(AND(BH537=1,BG537=0,N(AW537)&lt;Setup!$D$7),(AW537-40000)*10000+536,"")</f>
        <v/>
      </c>
      <c r="BM537">
        <f>IF(AND(BH537=1,AZ537&lt;&gt;"Cancelled",N(AW537)&gt;=Dashboard!$AB$3,N(AW537)&lt;=Dashboard!$AB$3+6),(AW537-40000)*100000+BF537*10000+536,"")</f>
        <v/>
      </c>
      <c r="BN537">
        <f>IF(AND(BH537=1,AZ537&lt;&gt;"Cancelled"),BF537*10000+536,"")</f>
        <v/>
      </c>
    </row>
    <row r="538">
      <c r="AS538" t="inlineStr">
        <is>
          <t>R</t>
        </is>
      </c>
      <c r="AT538" t="n">
        <v>542</v>
      </c>
      <c r="AU538">
        <f>'Recurring Log'!C542&amp;""</f>
        <v/>
      </c>
      <c r="AV538">
        <f>'Recurring Log'!D542&amp;""</f>
        <v/>
      </c>
      <c r="AW538">
        <f>IF('Recurring Log'!E542="","",'Recurring Log'!E542)</f>
        <v/>
      </c>
      <c r="AX538">
        <f>IF('Recurring Log'!G542="","",'Recurring Log'!G542)</f>
        <v/>
      </c>
      <c r="AY538">
        <f>IF('Recurring Log'!H542="","",'Recurring Log'!H542)</f>
        <v/>
      </c>
      <c r="AZ538">
        <f>IF(AU538="","",IF('Recurring Log'!J542="","Not Started",'Recurring Log'!J542))</f>
        <v/>
      </c>
      <c r="BA538">
        <f>'Recurring Log'!L542&amp;""</f>
        <v/>
      </c>
      <c r="BB538">
        <f>'Recurring Log'!M542&amp;""</f>
        <v/>
      </c>
      <c r="BC538">
        <f>'Recurring Log'!N542&amp;""</f>
        <v/>
      </c>
      <c r="BD538">
        <f>'Recurring Log'!O542&amp;""</f>
        <v/>
      </c>
      <c r="BE538">
        <f>IF('Recurring Log'!K542="","",'Recurring Log'!K542)</f>
        <v/>
      </c>
      <c r="BF538">
        <f>IFERROR(MATCH(BA538,Setup!$L$6:$L$9,0),5)</f>
        <v/>
      </c>
      <c r="BG538">
        <f>IF(OR(AZ538="Done",AZ538="Cancelled"),1,0)</f>
        <v/>
      </c>
      <c r="BH538">
        <f>IF(AND(AU538&lt;&gt;"",ISNUMBER(AW538)),1,0)</f>
        <v/>
      </c>
      <c r="BI538">
        <f>IF(BH538=0,0,IF(AND(AW538&gt;='Tasks Filter'!$F$3,AW538&lt;='Tasks Filter'!$F$4,OR('Tasks Filter'!$I$3="",ISNUMBER(SEARCH('Tasks Filter'!$I$3,AU538))),OR('Tasks Filter'!$I$4="",BF538=IFERROR(MATCH('Tasks Filter'!$I$4,Setup!$L$6:$L$9,0),0)),OR('Tasks Filter'!$I$5="Both",AND('Tasks Filter'!$I$5="Yes",BB538="✓"),AND('Tasks Filter'!$I$5="No",BB538&lt;&gt;"✓")),OR('Tasks Filter'!$L$3="",AV538='Tasks Filter'!$L$3),OR('Tasks Filter'!$L$4="",AZ538='Tasks Filter'!$L$4),OR('Tasks Filter'!$L$5="",BC538='Tasks Filter'!$L$5),OR('Tasks Filter'!$O$3="",BD538='Tasks Filter'!$O$3),OR('Tasks Filter'!$O$4="Yes",BG538=0)),1,0))</f>
        <v/>
      </c>
      <c r="BJ538">
        <f>IF(BH538=0,"",IF('Tasks Filter'!$F$6="Descending",-1,1)*CHOOSE(MATCH('Tasks Filter'!$F$5,Lists!$G$2:$G$6,0),AW538,BF538,IFERROR(MATCH(AV538,Setup!$F$6:$F$15,0),99),IFERROR(MATCH(BC538,Setup!$H$6:$H$15,0),99),IFERROR(MATCH(AZ538,Setup!$J$6:$J$11,0),99))*1E+9+(AW538-40000)*10000+537)</f>
        <v/>
      </c>
      <c r="BK538">
        <f>IF(BI538=1,BJ538,"")</f>
        <v/>
      </c>
      <c r="BL538">
        <f>IF(AND(BH538=1,BG538=0,N(AW538)&lt;Setup!$D$7),(AW538-40000)*10000+537,"")</f>
        <v/>
      </c>
      <c r="BM538">
        <f>IF(AND(BH538=1,AZ538&lt;&gt;"Cancelled",N(AW538)&gt;=Dashboard!$AB$3,N(AW538)&lt;=Dashboard!$AB$3+6),(AW538-40000)*100000+BF538*10000+537,"")</f>
        <v/>
      </c>
      <c r="BN538">
        <f>IF(AND(BH538=1,AZ538&lt;&gt;"Cancelled"),BF538*10000+537,"")</f>
        <v/>
      </c>
    </row>
    <row r="539">
      <c r="AS539" t="inlineStr">
        <is>
          <t>R</t>
        </is>
      </c>
      <c r="AT539" t="n">
        <v>543</v>
      </c>
      <c r="AU539">
        <f>'Recurring Log'!C543&amp;""</f>
        <v/>
      </c>
      <c r="AV539">
        <f>'Recurring Log'!D543&amp;""</f>
        <v/>
      </c>
      <c r="AW539">
        <f>IF('Recurring Log'!E543="","",'Recurring Log'!E543)</f>
        <v/>
      </c>
      <c r="AX539">
        <f>IF('Recurring Log'!G543="","",'Recurring Log'!G543)</f>
        <v/>
      </c>
      <c r="AY539">
        <f>IF('Recurring Log'!H543="","",'Recurring Log'!H543)</f>
        <v/>
      </c>
      <c r="AZ539">
        <f>IF(AU539="","",IF('Recurring Log'!J543="","Not Started",'Recurring Log'!J543))</f>
        <v/>
      </c>
      <c r="BA539">
        <f>'Recurring Log'!L543&amp;""</f>
        <v/>
      </c>
      <c r="BB539">
        <f>'Recurring Log'!M543&amp;""</f>
        <v/>
      </c>
      <c r="BC539">
        <f>'Recurring Log'!N543&amp;""</f>
        <v/>
      </c>
      <c r="BD539">
        <f>'Recurring Log'!O543&amp;""</f>
        <v/>
      </c>
      <c r="BE539">
        <f>IF('Recurring Log'!K543="","",'Recurring Log'!K543)</f>
        <v/>
      </c>
      <c r="BF539">
        <f>IFERROR(MATCH(BA539,Setup!$L$6:$L$9,0),5)</f>
        <v/>
      </c>
      <c r="BG539">
        <f>IF(OR(AZ539="Done",AZ539="Cancelled"),1,0)</f>
        <v/>
      </c>
      <c r="BH539">
        <f>IF(AND(AU539&lt;&gt;"",ISNUMBER(AW539)),1,0)</f>
        <v/>
      </c>
      <c r="BI539">
        <f>IF(BH539=0,0,IF(AND(AW539&gt;='Tasks Filter'!$F$3,AW539&lt;='Tasks Filter'!$F$4,OR('Tasks Filter'!$I$3="",ISNUMBER(SEARCH('Tasks Filter'!$I$3,AU539))),OR('Tasks Filter'!$I$4="",BF539=IFERROR(MATCH('Tasks Filter'!$I$4,Setup!$L$6:$L$9,0),0)),OR('Tasks Filter'!$I$5="Both",AND('Tasks Filter'!$I$5="Yes",BB539="✓"),AND('Tasks Filter'!$I$5="No",BB539&lt;&gt;"✓")),OR('Tasks Filter'!$L$3="",AV539='Tasks Filter'!$L$3),OR('Tasks Filter'!$L$4="",AZ539='Tasks Filter'!$L$4),OR('Tasks Filter'!$L$5="",BC539='Tasks Filter'!$L$5),OR('Tasks Filter'!$O$3="",BD539='Tasks Filter'!$O$3),OR('Tasks Filter'!$O$4="Yes",BG539=0)),1,0))</f>
        <v/>
      </c>
      <c r="BJ539">
        <f>IF(BH539=0,"",IF('Tasks Filter'!$F$6="Descending",-1,1)*CHOOSE(MATCH('Tasks Filter'!$F$5,Lists!$G$2:$G$6,0),AW539,BF539,IFERROR(MATCH(AV539,Setup!$F$6:$F$15,0),99),IFERROR(MATCH(BC539,Setup!$H$6:$H$15,0),99),IFERROR(MATCH(AZ539,Setup!$J$6:$J$11,0),99))*1E+9+(AW539-40000)*10000+538)</f>
        <v/>
      </c>
      <c r="BK539">
        <f>IF(BI539=1,BJ539,"")</f>
        <v/>
      </c>
      <c r="BL539">
        <f>IF(AND(BH539=1,BG539=0,N(AW539)&lt;Setup!$D$7),(AW539-40000)*10000+538,"")</f>
        <v/>
      </c>
      <c r="BM539">
        <f>IF(AND(BH539=1,AZ539&lt;&gt;"Cancelled",N(AW539)&gt;=Dashboard!$AB$3,N(AW539)&lt;=Dashboard!$AB$3+6),(AW539-40000)*100000+BF539*10000+538,"")</f>
        <v/>
      </c>
      <c r="BN539">
        <f>IF(AND(BH539=1,AZ539&lt;&gt;"Cancelled"),BF539*10000+538,"")</f>
        <v/>
      </c>
    </row>
    <row r="540">
      <c r="AS540" t="inlineStr">
        <is>
          <t>R</t>
        </is>
      </c>
      <c r="AT540" t="n">
        <v>544</v>
      </c>
      <c r="AU540">
        <f>'Recurring Log'!C544&amp;""</f>
        <v/>
      </c>
      <c r="AV540">
        <f>'Recurring Log'!D544&amp;""</f>
        <v/>
      </c>
      <c r="AW540">
        <f>IF('Recurring Log'!E544="","",'Recurring Log'!E544)</f>
        <v/>
      </c>
      <c r="AX540">
        <f>IF('Recurring Log'!G544="","",'Recurring Log'!G544)</f>
        <v/>
      </c>
      <c r="AY540">
        <f>IF('Recurring Log'!H544="","",'Recurring Log'!H544)</f>
        <v/>
      </c>
      <c r="AZ540">
        <f>IF(AU540="","",IF('Recurring Log'!J544="","Not Started",'Recurring Log'!J544))</f>
        <v/>
      </c>
      <c r="BA540">
        <f>'Recurring Log'!L544&amp;""</f>
        <v/>
      </c>
      <c r="BB540">
        <f>'Recurring Log'!M544&amp;""</f>
        <v/>
      </c>
      <c r="BC540">
        <f>'Recurring Log'!N544&amp;""</f>
        <v/>
      </c>
      <c r="BD540">
        <f>'Recurring Log'!O544&amp;""</f>
        <v/>
      </c>
      <c r="BE540">
        <f>IF('Recurring Log'!K544="","",'Recurring Log'!K544)</f>
        <v/>
      </c>
      <c r="BF540">
        <f>IFERROR(MATCH(BA540,Setup!$L$6:$L$9,0),5)</f>
        <v/>
      </c>
      <c r="BG540">
        <f>IF(OR(AZ540="Done",AZ540="Cancelled"),1,0)</f>
        <v/>
      </c>
      <c r="BH540">
        <f>IF(AND(AU540&lt;&gt;"",ISNUMBER(AW540)),1,0)</f>
        <v/>
      </c>
      <c r="BI540">
        <f>IF(BH540=0,0,IF(AND(AW540&gt;='Tasks Filter'!$F$3,AW540&lt;='Tasks Filter'!$F$4,OR('Tasks Filter'!$I$3="",ISNUMBER(SEARCH('Tasks Filter'!$I$3,AU540))),OR('Tasks Filter'!$I$4="",BF540=IFERROR(MATCH('Tasks Filter'!$I$4,Setup!$L$6:$L$9,0),0)),OR('Tasks Filter'!$I$5="Both",AND('Tasks Filter'!$I$5="Yes",BB540="✓"),AND('Tasks Filter'!$I$5="No",BB540&lt;&gt;"✓")),OR('Tasks Filter'!$L$3="",AV540='Tasks Filter'!$L$3),OR('Tasks Filter'!$L$4="",AZ540='Tasks Filter'!$L$4),OR('Tasks Filter'!$L$5="",BC540='Tasks Filter'!$L$5),OR('Tasks Filter'!$O$3="",BD540='Tasks Filter'!$O$3),OR('Tasks Filter'!$O$4="Yes",BG540=0)),1,0))</f>
        <v/>
      </c>
      <c r="BJ540">
        <f>IF(BH540=0,"",IF('Tasks Filter'!$F$6="Descending",-1,1)*CHOOSE(MATCH('Tasks Filter'!$F$5,Lists!$G$2:$G$6,0),AW540,BF540,IFERROR(MATCH(AV540,Setup!$F$6:$F$15,0),99),IFERROR(MATCH(BC540,Setup!$H$6:$H$15,0),99),IFERROR(MATCH(AZ540,Setup!$J$6:$J$11,0),99))*1E+9+(AW540-40000)*10000+539)</f>
        <v/>
      </c>
      <c r="BK540">
        <f>IF(BI540=1,BJ540,"")</f>
        <v/>
      </c>
      <c r="BL540">
        <f>IF(AND(BH540=1,BG540=0,N(AW540)&lt;Setup!$D$7),(AW540-40000)*10000+539,"")</f>
        <v/>
      </c>
      <c r="BM540">
        <f>IF(AND(BH540=1,AZ540&lt;&gt;"Cancelled",N(AW540)&gt;=Dashboard!$AB$3,N(AW540)&lt;=Dashboard!$AB$3+6),(AW540-40000)*100000+BF540*10000+539,"")</f>
        <v/>
      </c>
      <c r="BN540">
        <f>IF(AND(BH540=1,AZ540&lt;&gt;"Cancelled"),BF540*10000+539,"")</f>
        <v/>
      </c>
    </row>
    <row r="541">
      <c r="AS541" t="inlineStr">
        <is>
          <t>R</t>
        </is>
      </c>
      <c r="AT541" t="n">
        <v>545</v>
      </c>
      <c r="AU541">
        <f>'Recurring Log'!C545&amp;""</f>
        <v/>
      </c>
      <c r="AV541">
        <f>'Recurring Log'!D545&amp;""</f>
        <v/>
      </c>
      <c r="AW541">
        <f>IF('Recurring Log'!E545="","",'Recurring Log'!E545)</f>
        <v/>
      </c>
      <c r="AX541">
        <f>IF('Recurring Log'!G545="","",'Recurring Log'!G545)</f>
        <v/>
      </c>
      <c r="AY541">
        <f>IF('Recurring Log'!H545="","",'Recurring Log'!H545)</f>
        <v/>
      </c>
      <c r="AZ541">
        <f>IF(AU541="","",IF('Recurring Log'!J545="","Not Started",'Recurring Log'!J545))</f>
        <v/>
      </c>
      <c r="BA541">
        <f>'Recurring Log'!L545&amp;""</f>
        <v/>
      </c>
      <c r="BB541">
        <f>'Recurring Log'!M545&amp;""</f>
        <v/>
      </c>
      <c r="BC541">
        <f>'Recurring Log'!N545&amp;""</f>
        <v/>
      </c>
      <c r="BD541">
        <f>'Recurring Log'!O545&amp;""</f>
        <v/>
      </c>
      <c r="BE541">
        <f>IF('Recurring Log'!K545="","",'Recurring Log'!K545)</f>
        <v/>
      </c>
      <c r="BF541">
        <f>IFERROR(MATCH(BA541,Setup!$L$6:$L$9,0),5)</f>
        <v/>
      </c>
      <c r="BG541">
        <f>IF(OR(AZ541="Done",AZ541="Cancelled"),1,0)</f>
        <v/>
      </c>
      <c r="BH541">
        <f>IF(AND(AU541&lt;&gt;"",ISNUMBER(AW541)),1,0)</f>
        <v/>
      </c>
      <c r="BI541">
        <f>IF(BH541=0,0,IF(AND(AW541&gt;='Tasks Filter'!$F$3,AW541&lt;='Tasks Filter'!$F$4,OR('Tasks Filter'!$I$3="",ISNUMBER(SEARCH('Tasks Filter'!$I$3,AU541))),OR('Tasks Filter'!$I$4="",BF541=IFERROR(MATCH('Tasks Filter'!$I$4,Setup!$L$6:$L$9,0),0)),OR('Tasks Filter'!$I$5="Both",AND('Tasks Filter'!$I$5="Yes",BB541="✓"),AND('Tasks Filter'!$I$5="No",BB541&lt;&gt;"✓")),OR('Tasks Filter'!$L$3="",AV541='Tasks Filter'!$L$3),OR('Tasks Filter'!$L$4="",AZ541='Tasks Filter'!$L$4),OR('Tasks Filter'!$L$5="",BC541='Tasks Filter'!$L$5),OR('Tasks Filter'!$O$3="",BD541='Tasks Filter'!$O$3),OR('Tasks Filter'!$O$4="Yes",BG541=0)),1,0))</f>
        <v/>
      </c>
      <c r="BJ541">
        <f>IF(BH541=0,"",IF('Tasks Filter'!$F$6="Descending",-1,1)*CHOOSE(MATCH('Tasks Filter'!$F$5,Lists!$G$2:$G$6,0),AW541,BF541,IFERROR(MATCH(AV541,Setup!$F$6:$F$15,0),99),IFERROR(MATCH(BC541,Setup!$H$6:$H$15,0),99),IFERROR(MATCH(AZ541,Setup!$J$6:$J$11,0),99))*1E+9+(AW541-40000)*10000+540)</f>
        <v/>
      </c>
      <c r="BK541">
        <f>IF(BI541=1,BJ541,"")</f>
        <v/>
      </c>
      <c r="BL541">
        <f>IF(AND(BH541=1,BG541=0,N(AW541)&lt;Setup!$D$7),(AW541-40000)*10000+540,"")</f>
        <v/>
      </c>
      <c r="BM541">
        <f>IF(AND(BH541=1,AZ541&lt;&gt;"Cancelled",N(AW541)&gt;=Dashboard!$AB$3,N(AW541)&lt;=Dashboard!$AB$3+6),(AW541-40000)*100000+BF541*10000+540,"")</f>
        <v/>
      </c>
      <c r="BN541">
        <f>IF(AND(BH541=1,AZ541&lt;&gt;"Cancelled"),BF541*10000+540,"")</f>
        <v/>
      </c>
    </row>
    <row r="542">
      <c r="AS542" t="inlineStr">
        <is>
          <t>R</t>
        </is>
      </c>
      <c r="AT542" t="n">
        <v>546</v>
      </c>
      <c r="AU542">
        <f>'Recurring Log'!C546&amp;""</f>
        <v/>
      </c>
      <c r="AV542">
        <f>'Recurring Log'!D546&amp;""</f>
        <v/>
      </c>
      <c r="AW542">
        <f>IF('Recurring Log'!E546="","",'Recurring Log'!E546)</f>
        <v/>
      </c>
      <c r="AX542">
        <f>IF('Recurring Log'!G546="","",'Recurring Log'!G546)</f>
        <v/>
      </c>
      <c r="AY542">
        <f>IF('Recurring Log'!H546="","",'Recurring Log'!H546)</f>
        <v/>
      </c>
      <c r="AZ542">
        <f>IF(AU542="","",IF('Recurring Log'!J546="","Not Started",'Recurring Log'!J546))</f>
        <v/>
      </c>
      <c r="BA542">
        <f>'Recurring Log'!L546&amp;""</f>
        <v/>
      </c>
      <c r="BB542">
        <f>'Recurring Log'!M546&amp;""</f>
        <v/>
      </c>
      <c r="BC542">
        <f>'Recurring Log'!N546&amp;""</f>
        <v/>
      </c>
      <c r="BD542">
        <f>'Recurring Log'!O546&amp;""</f>
        <v/>
      </c>
      <c r="BE542">
        <f>IF('Recurring Log'!K546="","",'Recurring Log'!K546)</f>
        <v/>
      </c>
      <c r="BF542">
        <f>IFERROR(MATCH(BA542,Setup!$L$6:$L$9,0),5)</f>
        <v/>
      </c>
      <c r="BG542">
        <f>IF(OR(AZ542="Done",AZ542="Cancelled"),1,0)</f>
        <v/>
      </c>
      <c r="BH542">
        <f>IF(AND(AU542&lt;&gt;"",ISNUMBER(AW542)),1,0)</f>
        <v/>
      </c>
      <c r="BI542">
        <f>IF(BH542=0,0,IF(AND(AW542&gt;='Tasks Filter'!$F$3,AW542&lt;='Tasks Filter'!$F$4,OR('Tasks Filter'!$I$3="",ISNUMBER(SEARCH('Tasks Filter'!$I$3,AU542))),OR('Tasks Filter'!$I$4="",BF542=IFERROR(MATCH('Tasks Filter'!$I$4,Setup!$L$6:$L$9,0),0)),OR('Tasks Filter'!$I$5="Both",AND('Tasks Filter'!$I$5="Yes",BB542="✓"),AND('Tasks Filter'!$I$5="No",BB542&lt;&gt;"✓")),OR('Tasks Filter'!$L$3="",AV542='Tasks Filter'!$L$3),OR('Tasks Filter'!$L$4="",AZ542='Tasks Filter'!$L$4),OR('Tasks Filter'!$L$5="",BC542='Tasks Filter'!$L$5),OR('Tasks Filter'!$O$3="",BD542='Tasks Filter'!$O$3),OR('Tasks Filter'!$O$4="Yes",BG542=0)),1,0))</f>
        <v/>
      </c>
      <c r="BJ542">
        <f>IF(BH542=0,"",IF('Tasks Filter'!$F$6="Descending",-1,1)*CHOOSE(MATCH('Tasks Filter'!$F$5,Lists!$G$2:$G$6,0),AW542,BF542,IFERROR(MATCH(AV542,Setup!$F$6:$F$15,0),99),IFERROR(MATCH(BC542,Setup!$H$6:$H$15,0),99),IFERROR(MATCH(AZ542,Setup!$J$6:$J$11,0),99))*1E+9+(AW542-40000)*10000+541)</f>
        <v/>
      </c>
      <c r="BK542">
        <f>IF(BI542=1,BJ542,"")</f>
        <v/>
      </c>
      <c r="BL542">
        <f>IF(AND(BH542=1,BG542=0,N(AW542)&lt;Setup!$D$7),(AW542-40000)*10000+541,"")</f>
        <v/>
      </c>
      <c r="BM542">
        <f>IF(AND(BH542=1,AZ542&lt;&gt;"Cancelled",N(AW542)&gt;=Dashboard!$AB$3,N(AW542)&lt;=Dashboard!$AB$3+6),(AW542-40000)*100000+BF542*10000+541,"")</f>
        <v/>
      </c>
      <c r="BN542">
        <f>IF(AND(BH542=1,AZ542&lt;&gt;"Cancelled"),BF542*10000+541,"")</f>
        <v/>
      </c>
    </row>
    <row r="543">
      <c r="AS543" t="inlineStr">
        <is>
          <t>R</t>
        </is>
      </c>
      <c r="AT543" t="n">
        <v>547</v>
      </c>
      <c r="AU543">
        <f>'Recurring Log'!C547&amp;""</f>
        <v/>
      </c>
      <c r="AV543">
        <f>'Recurring Log'!D547&amp;""</f>
        <v/>
      </c>
      <c r="AW543">
        <f>IF('Recurring Log'!E547="","",'Recurring Log'!E547)</f>
        <v/>
      </c>
      <c r="AX543">
        <f>IF('Recurring Log'!G547="","",'Recurring Log'!G547)</f>
        <v/>
      </c>
      <c r="AY543">
        <f>IF('Recurring Log'!H547="","",'Recurring Log'!H547)</f>
        <v/>
      </c>
      <c r="AZ543">
        <f>IF(AU543="","",IF('Recurring Log'!J547="","Not Started",'Recurring Log'!J547))</f>
        <v/>
      </c>
      <c r="BA543">
        <f>'Recurring Log'!L547&amp;""</f>
        <v/>
      </c>
      <c r="BB543">
        <f>'Recurring Log'!M547&amp;""</f>
        <v/>
      </c>
      <c r="BC543">
        <f>'Recurring Log'!N547&amp;""</f>
        <v/>
      </c>
      <c r="BD543">
        <f>'Recurring Log'!O547&amp;""</f>
        <v/>
      </c>
      <c r="BE543">
        <f>IF('Recurring Log'!K547="","",'Recurring Log'!K547)</f>
        <v/>
      </c>
      <c r="BF543">
        <f>IFERROR(MATCH(BA543,Setup!$L$6:$L$9,0),5)</f>
        <v/>
      </c>
      <c r="BG543">
        <f>IF(OR(AZ543="Done",AZ543="Cancelled"),1,0)</f>
        <v/>
      </c>
      <c r="BH543">
        <f>IF(AND(AU543&lt;&gt;"",ISNUMBER(AW543)),1,0)</f>
        <v/>
      </c>
      <c r="BI543">
        <f>IF(BH543=0,0,IF(AND(AW543&gt;='Tasks Filter'!$F$3,AW543&lt;='Tasks Filter'!$F$4,OR('Tasks Filter'!$I$3="",ISNUMBER(SEARCH('Tasks Filter'!$I$3,AU543))),OR('Tasks Filter'!$I$4="",BF543=IFERROR(MATCH('Tasks Filter'!$I$4,Setup!$L$6:$L$9,0),0)),OR('Tasks Filter'!$I$5="Both",AND('Tasks Filter'!$I$5="Yes",BB543="✓"),AND('Tasks Filter'!$I$5="No",BB543&lt;&gt;"✓")),OR('Tasks Filter'!$L$3="",AV543='Tasks Filter'!$L$3),OR('Tasks Filter'!$L$4="",AZ543='Tasks Filter'!$L$4),OR('Tasks Filter'!$L$5="",BC543='Tasks Filter'!$L$5),OR('Tasks Filter'!$O$3="",BD543='Tasks Filter'!$O$3),OR('Tasks Filter'!$O$4="Yes",BG543=0)),1,0))</f>
        <v/>
      </c>
      <c r="BJ543">
        <f>IF(BH543=0,"",IF('Tasks Filter'!$F$6="Descending",-1,1)*CHOOSE(MATCH('Tasks Filter'!$F$5,Lists!$G$2:$G$6,0),AW543,BF543,IFERROR(MATCH(AV543,Setup!$F$6:$F$15,0),99),IFERROR(MATCH(BC543,Setup!$H$6:$H$15,0),99),IFERROR(MATCH(AZ543,Setup!$J$6:$J$11,0),99))*1E+9+(AW543-40000)*10000+542)</f>
        <v/>
      </c>
      <c r="BK543">
        <f>IF(BI543=1,BJ543,"")</f>
        <v/>
      </c>
      <c r="BL543">
        <f>IF(AND(BH543=1,BG543=0,N(AW543)&lt;Setup!$D$7),(AW543-40000)*10000+542,"")</f>
        <v/>
      </c>
      <c r="BM543">
        <f>IF(AND(BH543=1,AZ543&lt;&gt;"Cancelled",N(AW543)&gt;=Dashboard!$AB$3,N(AW543)&lt;=Dashboard!$AB$3+6),(AW543-40000)*100000+BF543*10000+542,"")</f>
        <v/>
      </c>
      <c r="BN543">
        <f>IF(AND(BH543=1,AZ543&lt;&gt;"Cancelled"),BF543*10000+542,"")</f>
        <v/>
      </c>
    </row>
    <row r="544">
      <c r="AS544" t="inlineStr">
        <is>
          <t>R</t>
        </is>
      </c>
      <c r="AT544" t="n">
        <v>548</v>
      </c>
      <c r="AU544">
        <f>'Recurring Log'!C548&amp;""</f>
        <v/>
      </c>
      <c r="AV544">
        <f>'Recurring Log'!D548&amp;""</f>
        <v/>
      </c>
      <c r="AW544">
        <f>IF('Recurring Log'!E548="","",'Recurring Log'!E548)</f>
        <v/>
      </c>
      <c r="AX544">
        <f>IF('Recurring Log'!G548="","",'Recurring Log'!G548)</f>
        <v/>
      </c>
      <c r="AY544">
        <f>IF('Recurring Log'!H548="","",'Recurring Log'!H548)</f>
        <v/>
      </c>
      <c r="AZ544">
        <f>IF(AU544="","",IF('Recurring Log'!J548="","Not Started",'Recurring Log'!J548))</f>
        <v/>
      </c>
      <c r="BA544">
        <f>'Recurring Log'!L548&amp;""</f>
        <v/>
      </c>
      <c r="BB544">
        <f>'Recurring Log'!M548&amp;""</f>
        <v/>
      </c>
      <c r="BC544">
        <f>'Recurring Log'!N548&amp;""</f>
        <v/>
      </c>
      <c r="BD544">
        <f>'Recurring Log'!O548&amp;""</f>
        <v/>
      </c>
      <c r="BE544">
        <f>IF('Recurring Log'!K548="","",'Recurring Log'!K548)</f>
        <v/>
      </c>
      <c r="BF544">
        <f>IFERROR(MATCH(BA544,Setup!$L$6:$L$9,0),5)</f>
        <v/>
      </c>
      <c r="BG544">
        <f>IF(OR(AZ544="Done",AZ544="Cancelled"),1,0)</f>
        <v/>
      </c>
      <c r="BH544">
        <f>IF(AND(AU544&lt;&gt;"",ISNUMBER(AW544)),1,0)</f>
        <v/>
      </c>
      <c r="BI544">
        <f>IF(BH544=0,0,IF(AND(AW544&gt;='Tasks Filter'!$F$3,AW544&lt;='Tasks Filter'!$F$4,OR('Tasks Filter'!$I$3="",ISNUMBER(SEARCH('Tasks Filter'!$I$3,AU544))),OR('Tasks Filter'!$I$4="",BF544=IFERROR(MATCH('Tasks Filter'!$I$4,Setup!$L$6:$L$9,0),0)),OR('Tasks Filter'!$I$5="Both",AND('Tasks Filter'!$I$5="Yes",BB544="✓"),AND('Tasks Filter'!$I$5="No",BB544&lt;&gt;"✓")),OR('Tasks Filter'!$L$3="",AV544='Tasks Filter'!$L$3),OR('Tasks Filter'!$L$4="",AZ544='Tasks Filter'!$L$4),OR('Tasks Filter'!$L$5="",BC544='Tasks Filter'!$L$5),OR('Tasks Filter'!$O$3="",BD544='Tasks Filter'!$O$3),OR('Tasks Filter'!$O$4="Yes",BG544=0)),1,0))</f>
        <v/>
      </c>
      <c r="BJ544">
        <f>IF(BH544=0,"",IF('Tasks Filter'!$F$6="Descending",-1,1)*CHOOSE(MATCH('Tasks Filter'!$F$5,Lists!$G$2:$G$6,0),AW544,BF544,IFERROR(MATCH(AV544,Setup!$F$6:$F$15,0),99),IFERROR(MATCH(BC544,Setup!$H$6:$H$15,0),99),IFERROR(MATCH(AZ544,Setup!$J$6:$J$11,0),99))*1E+9+(AW544-40000)*10000+543)</f>
        <v/>
      </c>
      <c r="BK544">
        <f>IF(BI544=1,BJ544,"")</f>
        <v/>
      </c>
      <c r="BL544">
        <f>IF(AND(BH544=1,BG544=0,N(AW544)&lt;Setup!$D$7),(AW544-40000)*10000+543,"")</f>
        <v/>
      </c>
      <c r="BM544">
        <f>IF(AND(BH544=1,AZ544&lt;&gt;"Cancelled",N(AW544)&gt;=Dashboard!$AB$3,N(AW544)&lt;=Dashboard!$AB$3+6),(AW544-40000)*100000+BF544*10000+543,"")</f>
        <v/>
      </c>
      <c r="BN544">
        <f>IF(AND(BH544=1,AZ544&lt;&gt;"Cancelled"),BF544*10000+543,"")</f>
        <v/>
      </c>
    </row>
    <row r="545">
      <c r="AS545" t="inlineStr">
        <is>
          <t>R</t>
        </is>
      </c>
      <c r="AT545" t="n">
        <v>549</v>
      </c>
      <c r="AU545">
        <f>'Recurring Log'!C549&amp;""</f>
        <v/>
      </c>
      <c r="AV545">
        <f>'Recurring Log'!D549&amp;""</f>
        <v/>
      </c>
      <c r="AW545">
        <f>IF('Recurring Log'!E549="","",'Recurring Log'!E549)</f>
        <v/>
      </c>
      <c r="AX545">
        <f>IF('Recurring Log'!G549="","",'Recurring Log'!G549)</f>
        <v/>
      </c>
      <c r="AY545">
        <f>IF('Recurring Log'!H549="","",'Recurring Log'!H549)</f>
        <v/>
      </c>
      <c r="AZ545">
        <f>IF(AU545="","",IF('Recurring Log'!J549="","Not Started",'Recurring Log'!J549))</f>
        <v/>
      </c>
      <c r="BA545">
        <f>'Recurring Log'!L549&amp;""</f>
        <v/>
      </c>
      <c r="BB545">
        <f>'Recurring Log'!M549&amp;""</f>
        <v/>
      </c>
      <c r="BC545">
        <f>'Recurring Log'!N549&amp;""</f>
        <v/>
      </c>
      <c r="BD545">
        <f>'Recurring Log'!O549&amp;""</f>
        <v/>
      </c>
      <c r="BE545">
        <f>IF('Recurring Log'!K549="","",'Recurring Log'!K549)</f>
        <v/>
      </c>
      <c r="BF545">
        <f>IFERROR(MATCH(BA545,Setup!$L$6:$L$9,0),5)</f>
        <v/>
      </c>
      <c r="BG545">
        <f>IF(OR(AZ545="Done",AZ545="Cancelled"),1,0)</f>
        <v/>
      </c>
      <c r="BH545">
        <f>IF(AND(AU545&lt;&gt;"",ISNUMBER(AW545)),1,0)</f>
        <v/>
      </c>
      <c r="BI545">
        <f>IF(BH545=0,0,IF(AND(AW545&gt;='Tasks Filter'!$F$3,AW545&lt;='Tasks Filter'!$F$4,OR('Tasks Filter'!$I$3="",ISNUMBER(SEARCH('Tasks Filter'!$I$3,AU545))),OR('Tasks Filter'!$I$4="",BF545=IFERROR(MATCH('Tasks Filter'!$I$4,Setup!$L$6:$L$9,0),0)),OR('Tasks Filter'!$I$5="Both",AND('Tasks Filter'!$I$5="Yes",BB545="✓"),AND('Tasks Filter'!$I$5="No",BB545&lt;&gt;"✓")),OR('Tasks Filter'!$L$3="",AV545='Tasks Filter'!$L$3),OR('Tasks Filter'!$L$4="",AZ545='Tasks Filter'!$L$4),OR('Tasks Filter'!$L$5="",BC545='Tasks Filter'!$L$5),OR('Tasks Filter'!$O$3="",BD545='Tasks Filter'!$O$3),OR('Tasks Filter'!$O$4="Yes",BG545=0)),1,0))</f>
        <v/>
      </c>
      <c r="BJ545">
        <f>IF(BH545=0,"",IF('Tasks Filter'!$F$6="Descending",-1,1)*CHOOSE(MATCH('Tasks Filter'!$F$5,Lists!$G$2:$G$6,0),AW545,BF545,IFERROR(MATCH(AV545,Setup!$F$6:$F$15,0),99),IFERROR(MATCH(BC545,Setup!$H$6:$H$15,0),99),IFERROR(MATCH(AZ545,Setup!$J$6:$J$11,0),99))*1E+9+(AW545-40000)*10000+544)</f>
        <v/>
      </c>
      <c r="BK545">
        <f>IF(BI545=1,BJ545,"")</f>
        <v/>
      </c>
      <c r="BL545">
        <f>IF(AND(BH545=1,BG545=0,N(AW545)&lt;Setup!$D$7),(AW545-40000)*10000+544,"")</f>
        <v/>
      </c>
      <c r="BM545">
        <f>IF(AND(BH545=1,AZ545&lt;&gt;"Cancelled",N(AW545)&gt;=Dashboard!$AB$3,N(AW545)&lt;=Dashboard!$AB$3+6),(AW545-40000)*100000+BF545*10000+544,"")</f>
        <v/>
      </c>
      <c r="BN545">
        <f>IF(AND(BH545=1,AZ545&lt;&gt;"Cancelled"),BF545*10000+544,"")</f>
        <v/>
      </c>
    </row>
    <row r="546">
      <c r="AS546" t="inlineStr">
        <is>
          <t>R</t>
        </is>
      </c>
      <c r="AT546" t="n">
        <v>550</v>
      </c>
      <c r="AU546">
        <f>'Recurring Log'!C550&amp;""</f>
        <v/>
      </c>
      <c r="AV546">
        <f>'Recurring Log'!D550&amp;""</f>
        <v/>
      </c>
      <c r="AW546">
        <f>IF('Recurring Log'!E550="","",'Recurring Log'!E550)</f>
        <v/>
      </c>
      <c r="AX546">
        <f>IF('Recurring Log'!G550="","",'Recurring Log'!G550)</f>
        <v/>
      </c>
      <c r="AY546">
        <f>IF('Recurring Log'!H550="","",'Recurring Log'!H550)</f>
        <v/>
      </c>
      <c r="AZ546">
        <f>IF(AU546="","",IF('Recurring Log'!J550="","Not Started",'Recurring Log'!J550))</f>
        <v/>
      </c>
      <c r="BA546">
        <f>'Recurring Log'!L550&amp;""</f>
        <v/>
      </c>
      <c r="BB546">
        <f>'Recurring Log'!M550&amp;""</f>
        <v/>
      </c>
      <c r="BC546">
        <f>'Recurring Log'!N550&amp;""</f>
        <v/>
      </c>
      <c r="BD546">
        <f>'Recurring Log'!O550&amp;""</f>
        <v/>
      </c>
      <c r="BE546">
        <f>IF('Recurring Log'!K550="","",'Recurring Log'!K550)</f>
        <v/>
      </c>
      <c r="BF546">
        <f>IFERROR(MATCH(BA546,Setup!$L$6:$L$9,0),5)</f>
        <v/>
      </c>
      <c r="BG546">
        <f>IF(OR(AZ546="Done",AZ546="Cancelled"),1,0)</f>
        <v/>
      </c>
      <c r="BH546">
        <f>IF(AND(AU546&lt;&gt;"",ISNUMBER(AW546)),1,0)</f>
        <v/>
      </c>
      <c r="BI546">
        <f>IF(BH546=0,0,IF(AND(AW546&gt;='Tasks Filter'!$F$3,AW546&lt;='Tasks Filter'!$F$4,OR('Tasks Filter'!$I$3="",ISNUMBER(SEARCH('Tasks Filter'!$I$3,AU546))),OR('Tasks Filter'!$I$4="",BF546=IFERROR(MATCH('Tasks Filter'!$I$4,Setup!$L$6:$L$9,0),0)),OR('Tasks Filter'!$I$5="Both",AND('Tasks Filter'!$I$5="Yes",BB546="✓"),AND('Tasks Filter'!$I$5="No",BB546&lt;&gt;"✓")),OR('Tasks Filter'!$L$3="",AV546='Tasks Filter'!$L$3),OR('Tasks Filter'!$L$4="",AZ546='Tasks Filter'!$L$4),OR('Tasks Filter'!$L$5="",BC546='Tasks Filter'!$L$5),OR('Tasks Filter'!$O$3="",BD546='Tasks Filter'!$O$3),OR('Tasks Filter'!$O$4="Yes",BG546=0)),1,0))</f>
        <v/>
      </c>
      <c r="BJ546">
        <f>IF(BH546=0,"",IF('Tasks Filter'!$F$6="Descending",-1,1)*CHOOSE(MATCH('Tasks Filter'!$F$5,Lists!$G$2:$G$6,0),AW546,BF546,IFERROR(MATCH(AV546,Setup!$F$6:$F$15,0),99),IFERROR(MATCH(BC546,Setup!$H$6:$H$15,0),99),IFERROR(MATCH(AZ546,Setup!$J$6:$J$11,0),99))*1E+9+(AW546-40000)*10000+545)</f>
        <v/>
      </c>
      <c r="BK546">
        <f>IF(BI546=1,BJ546,"")</f>
        <v/>
      </c>
      <c r="BL546">
        <f>IF(AND(BH546=1,BG546=0,N(AW546)&lt;Setup!$D$7),(AW546-40000)*10000+545,"")</f>
        <v/>
      </c>
      <c r="BM546">
        <f>IF(AND(BH546=1,AZ546&lt;&gt;"Cancelled",N(AW546)&gt;=Dashboard!$AB$3,N(AW546)&lt;=Dashboard!$AB$3+6),(AW546-40000)*100000+BF546*10000+545,"")</f>
        <v/>
      </c>
      <c r="BN546">
        <f>IF(AND(BH546=1,AZ546&lt;&gt;"Cancelled"),BF546*10000+545,"")</f>
        <v/>
      </c>
    </row>
    <row r="547">
      <c r="AS547" t="inlineStr">
        <is>
          <t>R</t>
        </is>
      </c>
      <c r="AT547" t="n">
        <v>551</v>
      </c>
      <c r="AU547">
        <f>'Recurring Log'!C551&amp;""</f>
        <v/>
      </c>
      <c r="AV547">
        <f>'Recurring Log'!D551&amp;""</f>
        <v/>
      </c>
      <c r="AW547">
        <f>IF('Recurring Log'!E551="","",'Recurring Log'!E551)</f>
        <v/>
      </c>
      <c r="AX547">
        <f>IF('Recurring Log'!G551="","",'Recurring Log'!G551)</f>
        <v/>
      </c>
      <c r="AY547">
        <f>IF('Recurring Log'!H551="","",'Recurring Log'!H551)</f>
        <v/>
      </c>
      <c r="AZ547">
        <f>IF(AU547="","",IF('Recurring Log'!J551="","Not Started",'Recurring Log'!J551))</f>
        <v/>
      </c>
      <c r="BA547">
        <f>'Recurring Log'!L551&amp;""</f>
        <v/>
      </c>
      <c r="BB547">
        <f>'Recurring Log'!M551&amp;""</f>
        <v/>
      </c>
      <c r="BC547">
        <f>'Recurring Log'!N551&amp;""</f>
        <v/>
      </c>
      <c r="BD547">
        <f>'Recurring Log'!O551&amp;""</f>
        <v/>
      </c>
      <c r="BE547">
        <f>IF('Recurring Log'!K551="","",'Recurring Log'!K551)</f>
        <v/>
      </c>
      <c r="BF547">
        <f>IFERROR(MATCH(BA547,Setup!$L$6:$L$9,0),5)</f>
        <v/>
      </c>
      <c r="BG547">
        <f>IF(OR(AZ547="Done",AZ547="Cancelled"),1,0)</f>
        <v/>
      </c>
      <c r="BH547">
        <f>IF(AND(AU547&lt;&gt;"",ISNUMBER(AW547)),1,0)</f>
        <v/>
      </c>
      <c r="BI547">
        <f>IF(BH547=0,0,IF(AND(AW547&gt;='Tasks Filter'!$F$3,AW547&lt;='Tasks Filter'!$F$4,OR('Tasks Filter'!$I$3="",ISNUMBER(SEARCH('Tasks Filter'!$I$3,AU547))),OR('Tasks Filter'!$I$4="",BF547=IFERROR(MATCH('Tasks Filter'!$I$4,Setup!$L$6:$L$9,0),0)),OR('Tasks Filter'!$I$5="Both",AND('Tasks Filter'!$I$5="Yes",BB547="✓"),AND('Tasks Filter'!$I$5="No",BB547&lt;&gt;"✓")),OR('Tasks Filter'!$L$3="",AV547='Tasks Filter'!$L$3),OR('Tasks Filter'!$L$4="",AZ547='Tasks Filter'!$L$4),OR('Tasks Filter'!$L$5="",BC547='Tasks Filter'!$L$5),OR('Tasks Filter'!$O$3="",BD547='Tasks Filter'!$O$3),OR('Tasks Filter'!$O$4="Yes",BG547=0)),1,0))</f>
        <v/>
      </c>
      <c r="BJ547">
        <f>IF(BH547=0,"",IF('Tasks Filter'!$F$6="Descending",-1,1)*CHOOSE(MATCH('Tasks Filter'!$F$5,Lists!$G$2:$G$6,0),AW547,BF547,IFERROR(MATCH(AV547,Setup!$F$6:$F$15,0),99),IFERROR(MATCH(BC547,Setup!$H$6:$H$15,0),99),IFERROR(MATCH(AZ547,Setup!$J$6:$J$11,0),99))*1E+9+(AW547-40000)*10000+546)</f>
        <v/>
      </c>
      <c r="BK547">
        <f>IF(BI547=1,BJ547,"")</f>
        <v/>
      </c>
      <c r="BL547">
        <f>IF(AND(BH547=1,BG547=0,N(AW547)&lt;Setup!$D$7),(AW547-40000)*10000+546,"")</f>
        <v/>
      </c>
      <c r="BM547">
        <f>IF(AND(BH547=1,AZ547&lt;&gt;"Cancelled",N(AW547)&gt;=Dashboard!$AB$3,N(AW547)&lt;=Dashboard!$AB$3+6),(AW547-40000)*100000+BF547*10000+546,"")</f>
        <v/>
      </c>
      <c r="BN547">
        <f>IF(AND(BH547=1,AZ547&lt;&gt;"Cancelled"),BF547*10000+546,"")</f>
        <v/>
      </c>
    </row>
    <row r="548">
      <c r="AS548" t="inlineStr">
        <is>
          <t>R</t>
        </is>
      </c>
      <c r="AT548" t="n">
        <v>552</v>
      </c>
      <c r="AU548">
        <f>'Recurring Log'!C552&amp;""</f>
        <v/>
      </c>
      <c r="AV548">
        <f>'Recurring Log'!D552&amp;""</f>
        <v/>
      </c>
      <c r="AW548">
        <f>IF('Recurring Log'!E552="","",'Recurring Log'!E552)</f>
        <v/>
      </c>
      <c r="AX548">
        <f>IF('Recurring Log'!G552="","",'Recurring Log'!G552)</f>
        <v/>
      </c>
      <c r="AY548">
        <f>IF('Recurring Log'!H552="","",'Recurring Log'!H552)</f>
        <v/>
      </c>
      <c r="AZ548">
        <f>IF(AU548="","",IF('Recurring Log'!J552="","Not Started",'Recurring Log'!J552))</f>
        <v/>
      </c>
      <c r="BA548">
        <f>'Recurring Log'!L552&amp;""</f>
        <v/>
      </c>
      <c r="BB548">
        <f>'Recurring Log'!M552&amp;""</f>
        <v/>
      </c>
      <c r="BC548">
        <f>'Recurring Log'!N552&amp;""</f>
        <v/>
      </c>
      <c r="BD548">
        <f>'Recurring Log'!O552&amp;""</f>
        <v/>
      </c>
      <c r="BE548">
        <f>IF('Recurring Log'!K552="","",'Recurring Log'!K552)</f>
        <v/>
      </c>
      <c r="BF548">
        <f>IFERROR(MATCH(BA548,Setup!$L$6:$L$9,0),5)</f>
        <v/>
      </c>
      <c r="BG548">
        <f>IF(OR(AZ548="Done",AZ548="Cancelled"),1,0)</f>
        <v/>
      </c>
      <c r="BH548">
        <f>IF(AND(AU548&lt;&gt;"",ISNUMBER(AW548)),1,0)</f>
        <v/>
      </c>
      <c r="BI548">
        <f>IF(BH548=0,0,IF(AND(AW548&gt;='Tasks Filter'!$F$3,AW548&lt;='Tasks Filter'!$F$4,OR('Tasks Filter'!$I$3="",ISNUMBER(SEARCH('Tasks Filter'!$I$3,AU548))),OR('Tasks Filter'!$I$4="",BF548=IFERROR(MATCH('Tasks Filter'!$I$4,Setup!$L$6:$L$9,0),0)),OR('Tasks Filter'!$I$5="Both",AND('Tasks Filter'!$I$5="Yes",BB548="✓"),AND('Tasks Filter'!$I$5="No",BB548&lt;&gt;"✓")),OR('Tasks Filter'!$L$3="",AV548='Tasks Filter'!$L$3),OR('Tasks Filter'!$L$4="",AZ548='Tasks Filter'!$L$4),OR('Tasks Filter'!$L$5="",BC548='Tasks Filter'!$L$5),OR('Tasks Filter'!$O$3="",BD548='Tasks Filter'!$O$3),OR('Tasks Filter'!$O$4="Yes",BG548=0)),1,0))</f>
        <v/>
      </c>
      <c r="BJ548">
        <f>IF(BH548=0,"",IF('Tasks Filter'!$F$6="Descending",-1,1)*CHOOSE(MATCH('Tasks Filter'!$F$5,Lists!$G$2:$G$6,0),AW548,BF548,IFERROR(MATCH(AV548,Setup!$F$6:$F$15,0),99),IFERROR(MATCH(BC548,Setup!$H$6:$H$15,0),99),IFERROR(MATCH(AZ548,Setup!$J$6:$J$11,0),99))*1E+9+(AW548-40000)*10000+547)</f>
        <v/>
      </c>
      <c r="BK548">
        <f>IF(BI548=1,BJ548,"")</f>
        <v/>
      </c>
      <c r="BL548">
        <f>IF(AND(BH548=1,BG548=0,N(AW548)&lt;Setup!$D$7),(AW548-40000)*10000+547,"")</f>
        <v/>
      </c>
      <c r="BM548">
        <f>IF(AND(BH548=1,AZ548&lt;&gt;"Cancelled",N(AW548)&gt;=Dashboard!$AB$3,N(AW548)&lt;=Dashboard!$AB$3+6),(AW548-40000)*100000+BF548*10000+547,"")</f>
        <v/>
      </c>
      <c r="BN548">
        <f>IF(AND(BH548=1,AZ548&lt;&gt;"Cancelled"),BF548*10000+547,"")</f>
        <v/>
      </c>
    </row>
    <row r="549">
      <c r="AS549" t="inlineStr">
        <is>
          <t>R</t>
        </is>
      </c>
      <c r="AT549" t="n">
        <v>553</v>
      </c>
      <c r="AU549">
        <f>'Recurring Log'!C553&amp;""</f>
        <v/>
      </c>
      <c r="AV549">
        <f>'Recurring Log'!D553&amp;""</f>
        <v/>
      </c>
      <c r="AW549">
        <f>IF('Recurring Log'!E553="","",'Recurring Log'!E553)</f>
        <v/>
      </c>
      <c r="AX549">
        <f>IF('Recurring Log'!G553="","",'Recurring Log'!G553)</f>
        <v/>
      </c>
      <c r="AY549">
        <f>IF('Recurring Log'!H553="","",'Recurring Log'!H553)</f>
        <v/>
      </c>
      <c r="AZ549">
        <f>IF(AU549="","",IF('Recurring Log'!J553="","Not Started",'Recurring Log'!J553))</f>
        <v/>
      </c>
      <c r="BA549">
        <f>'Recurring Log'!L553&amp;""</f>
        <v/>
      </c>
      <c r="BB549">
        <f>'Recurring Log'!M553&amp;""</f>
        <v/>
      </c>
      <c r="BC549">
        <f>'Recurring Log'!N553&amp;""</f>
        <v/>
      </c>
      <c r="BD549">
        <f>'Recurring Log'!O553&amp;""</f>
        <v/>
      </c>
      <c r="BE549">
        <f>IF('Recurring Log'!K553="","",'Recurring Log'!K553)</f>
        <v/>
      </c>
      <c r="BF549">
        <f>IFERROR(MATCH(BA549,Setup!$L$6:$L$9,0),5)</f>
        <v/>
      </c>
      <c r="BG549">
        <f>IF(OR(AZ549="Done",AZ549="Cancelled"),1,0)</f>
        <v/>
      </c>
      <c r="BH549">
        <f>IF(AND(AU549&lt;&gt;"",ISNUMBER(AW549)),1,0)</f>
        <v/>
      </c>
      <c r="BI549">
        <f>IF(BH549=0,0,IF(AND(AW549&gt;='Tasks Filter'!$F$3,AW549&lt;='Tasks Filter'!$F$4,OR('Tasks Filter'!$I$3="",ISNUMBER(SEARCH('Tasks Filter'!$I$3,AU549))),OR('Tasks Filter'!$I$4="",BF549=IFERROR(MATCH('Tasks Filter'!$I$4,Setup!$L$6:$L$9,0),0)),OR('Tasks Filter'!$I$5="Both",AND('Tasks Filter'!$I$5="Yes",BB549="✓"),AND('Tasks Filter'!$I$5="No",BB549&lt;&gt;"✓")),OR('Tasks Filter'!$L$3="",AV549='Tasks Filter'!$L$3),OR('Tasks Filter'!$L$4="",AZ549='Tasks Filter'!$L$4),OR('Tasks Filter'!$L$5="",BC549='Tasks Filter'!$L$5),OR('Tasks Filter'!$O$3="",BD549='Tasks Filter'!$O$3),OR('Tasks Filter'!$O$4="Yes",BG549=0)),1,0))</f>
        <v/>
      </c>
      <c r="BJ549">
        <f>IF(BH549=0,"",IF('Tasks Filter'!$F$6="Descending",-1,1)*CHOOSE(MATCH('Tasks Filter'!$F$5,Lists!$G$2:$G$6,0),AW549,BF549,IFERROR(MATCH(AV549,Setup!$F$6:$F$15,0),99),IFERROR(MATCH(BC549,Setup!$H$6:$H$15,0),99),IFERROR(MATCH(AZ549,Setup!$J$6:$J$11,0),99))*1E+9+(AW549-40000)*10000+548)</f>
        <v/>
      </c>
      <c r="BK549">
        <f>IF(BI549=1,BJ549,"")</f>
        <v/>
      </c>
      <c r="BL549">
        <f>IF(AND(BH549=1,BG549=0,N(AW549)&lt;Setup!$D$7),(AW549-40000)*10000+548,"")</f>
        <v/>
      </c>
      <c r="BM549">
        <f>IF(AND(BH549=1,AZ549&lt;&gt;"Cancelled",N(AW549)&gt;=Dashboard!$AB$3,N(AW549)&lt;=Dashboard!$AB$3+6),(AW549-40000)*100000+BF549*10000+548,"")</f>
        <v/>
      </c>
      <c r="BN549">
        <f>IF(AND(BH549=1,AZ549&lt;&gt;"Cancelled"),BF549*10000+548,"")</f>
        <v/>
      </c>
    </row>
    <row r="550">
      <c r="AS550" t="inlineStr">
        <is>
          <t>R</t>
        </is>
      </c>
      <c r="AT550" t="n">
        <v>554</v>
      </c>
      <c r="AU550">
        <f>'Recurring Log'!C554&amp;""</f>
        <v/>
      </c>
      <c r="AV550">
        <f>'Recurring Log'!D554&amp;""</f>
        <v/>
      </c>
      <c r="AW550">
        <f>IF('Recurring Log'!E554="","",'Recurring Log'!E554)</f>
        <v/>
      </c>
      <c r="AX550">
        <f>IF('Recurring Log'!G554="","",'Recurring Log'!G554)</f>
        <v/>
      </c>
      <c r="AY550">
        <f>IF('Recurring Log'!H554="","",'Recurring Log'!H554)</f>
        <v/>
      </c>
      <c r="AZ550">
        <f>IF(AU550="","",IF('Recurring Log'!J554="","Not Started",'Recurring Log'!J554))</f>
        <v/>
      </c>
      <c r="BA550">
        <f>'Recurring Log'!L554&amp;""</f>
        <v/>
      </c>
      <c r="BB550">
        <f>'Recurring Log'!M554&amp;""</f>
        <v/>
      </c>
      <c r="BC550">
        <f>'Recurring Log'!N554&amp;""</f>
        <v/>
      </c>
      <c r="BD550">
        <f>'Recurring Log'!O554&amp;""</f>
        <v/>
      </c>
      <c r="BE550">
        <f>IF('Recurring Log'!K554="","",'Recurring Log'!K554)</f>
        <v/>
      </c>
      <c r="BF550">
        <f>IFERROR(MATCH(BA550,Setup!$L$6:$L$9,0),5)</f>
        <v/>
      </c>
      <c r="BG550">
        <f>IF(OR(AZ550="Done",AZ550="Cancelled"),1,0)</f>
        <v/>
      </c>
      <c r="BH550">
        <f>IF(AND(AU550&lt;&gt;"",ISNUMBER(AW550)),1,0)</f>
        <v/>
      </c>
      <c r="BI550">
        <f>IF(BH550=0,0,IF(AND(AW550&gt;='Tasks Filter'!$F$3,AW550&lt;='Tasks Filter'!$F$4,OR('Tasks Filter'!$I$3="",ISNUMBER(SEARCH('Tasks Filter'!$I$3,AU550))),OR('Tasks Filter'!$I$4="",BF550=IFERROR(MATCH('Tasks Filter'!$I$4,Setup!$L$6:$L$9,0),0)),OR('Tasks Filter'!$I$5="Both",AND('Tasks Filter'!$I$5="Yes",BB550="✓"),AND('Tasks Filter'!$I$5="No",BB550&lt;&gt;"✓")),OR('Tasks Filter'!$L$3="",AV550='Tasks Filter'!$L$3),OR('Tasks Filter'!$L$4="",AZ550='Tasks Filter'!$L$4),OR('Tasks Filter'!$L$5="",BC550='Tasks Filter'!$L$5),OR('Tasks Filter'!$O$3="",BD550='Tasks Filter'!$O$3),OR('Tasks Filter'!$O$4="Yes",BG550=0)),1,0))</f>
        <v/>
      </c>
      <c r="BJ550">
        <f>IF(BH550=0,"",IF('Tasks Filter'!$F$6="Descending",-1,1)*CHOOSE(MATCH('Tasks Filter'!$F$5,Lists!$G$2:$G$6,0),AW550,BF550,IFERROR(MATCH(AV550,Setup!$F$6:$F$15,0),99),IFERROR(MATCH(BC550,Setup!$H$6:$H$15,0),99),IFERROR(MATCH(AZ550,Setup!$J$6:$J$11,0),99))*1E+9+(AW550-40000)*10000+549)</f>
        <v/>
      </c>
      <c r="BK550">
        <f>IF(BI550=1,BJ550,"")</f>
        <v/>
      </c>
      <c r="BL550">
        <f>IF(AND(BH550=1,BG550=0,N(AW550)&lt;Setup!$D$7),(AW550-40000)*10000+549,"")</f>
        <v/>
      </c>
      <c r="BM550">
        <f>IF(AND(BH550=1,AZ550&lt;&gt;"Cancelled",N(AW550)&gt;=Dashboard!$AB$3,N(AW550)&lt;=Dashboard!$AB$3+6),(AW550-40000)*100000+BF550*10000+549,"")</f>
        <v/>
      </c>
      <c r="BN550">
        <f>IF(AND(BH550=1,AZ550&lt;&gt;"Cancelled"),BF550*10000+549,"")</f>
        <v/>
      </c>
    </row>
    <row r="551">
      <c r="AS551" t="inlineStr">
        <is>
          <t>R</t>
        </is>
      </c>
      <c r="AT551" t="n">
        <v>555</v>
      </c>
      <c r="AU551">
        <f>'Recurring Log'!C555&amp;""</f>
        <v/>
      </c>
      <c r="AV551">
        <f>'Recurring Log'!D555&amp;""</f>
        <v/>
      </c>
      <c r="AW551">
        <f>IF('Recurring Log'!E555="","",'Recurring Log'!E555)</f>
        <v/>
      </c>
      <c r="AX551">
        <f>IF('Recurring Log'!G555="","",'Recurring Log'!G555)</f>
        <v/>
      </c>
      <c r="AY551">
        <f>IF('Recurring Log'!H555="","",'Recurring Log'!H555)</f>
        <v/>
      </c>
      <c r="AZ551">
        <f>IF(AU551="","",IF('Recurring Log'!J555="","Not Started",'Recurring Log'!J555))</f>
        <v/>
      </c>
      <c r="BA551">
        <f>'Recurring Log'!L555&amp;""</f>
        <v/>
      </c>
      <c r="BB551">
        <f>'Recurring Log'!M555&amp;""</f>
        <v/>
      </c>
      <c r="BC551">
        <f>'Recurring Log'!N555&amp;""</f>
        <v/>
      </c>
      <c r="BD551">
        <f>'Recurring Log'!O555&amp;""</f>
        <v/>
      </c>
      <c r="BE551">
        <f>IF('Recurring Log'!K555="","",'Recurring Log'!K555)</f>
        <v/>
      </c>
      <c r="BF551">
        <f>IFERROR(MATCH(BA551,Setup!$L$6:$L$9,0),5)</f>
        <v/>
      </c>
      <c r="BG551">
        <f>IF(OR(AZ551="Done",AZ551="Cancelled"),1,0)</f>
        <v/>
      </c>
      <c r="BH551">
        <f>IF(AND(AU551&lt;&gt;"",ISNUMBER(AW551)),1,0)</f>
        <v/>
      </c>
      <c r="BI551">
        <f>IF(BH551=0,0,IF(AND(AW551&gt;='Tasks Filter'!$F$3,AW551&lt;='Tasks Filter'!$F$4,OR('Tasks Filter'!$I$3="",ISNUMBER(SEARCH('Tasks Filter'!$I$3,AU551))),OR('Tasks Filter'!$I$4="",BF551=IFERROR(MATCH('Tasks Filter'!$I$4,Setup!$L$6:$L$9,0),0)),OR('Tasks Filter'!$I$5="Both",AND('Tasks Filter'!$I$5="Yes",BB551="✓"),AND('Tasks Filter'!$I$5="No",BB551&lt;&gt;"✓")),OR('Tasks Filter'!$L$3="",AV551='Tasks Filter'!$L$3),OR('Tasks Filter'!$L$4="",AZ551='Tasks Filter'!$L$4),OR('Tasks Filter'!$L$5="",BC551='Tasks Filter'!$L$5),OR('Tasks Filter'!$O$3="",BD551='Tasks Filter'!$O$3),OR('Tasks Filter'!$O$4="Yes",BG551=0)),1,0))</f>
        <v/>
      </c>
      <c r="BJ551">
        <f>IF(BH551=0,"",IF('Tasks Filter'!$F$6="Descending",-1,1)*CHOOSE(MATCH('Tasks Filter'!$F$5,Lists!$G$2:$G$6,0),AW551,BF551,IFERROR(MATCH(AV551,Setup!$F$6:$F$15,0),99),IFERROR(MATCH(BC551,Setup!$H$6:$H$15,0),99),IFERROR(MATCH(AZ551,Setup!$J$6:$J$11,0),99))*1E+9+(AW551-40000)*10000+550)</f>
        <v/>
      </c>
      <c r="BK551">
        <f>IF(BI551=1,BJ551,"")</f>
        <v/>
      </c>
      <c r="BL551">
        <f>IF(AND(BH551=1,BG551=0,N(AW551)&lt;Setup!$D$7),(AW551-40000)*10000+550,"")</f>
        <v/>
      </c>
      <c r="BM551">
        <f>IF(AND(BH551=1,AZ551&lt;&gt;"Cancelled",N(AW551)&gt;=Dashboard!$AB$3,N(AW551)&lt;=Dashboard!$AB$3+6),(AW551-40000)*100000+BF551*10000+550,"")</f>
        <v/>
      </c>
      <c r="BN551">
        <f>IF(AND(BH551=1,AZ551&lt;&gt;"Cancelled"),BF551*10000+550,"")</f>
        <v/>
      </c>
    </row>
    <row r="552">
      <c r="AS552" t="inlineStr">
        <is>
          <t>R</t>
        </is>
      </c>
      <c r="AT552" t="n">
        <v>556</v>
      </c>
      <c r="AU552">
        <f>'Recurring Log'!C556&amp;""</f>
        <v/>
      </c>
      <c r="AV552">
        <f>'Recurring Log'!D556&amp;""</f>
        <v/>
      </c>
      <c r="AW552">
        <f>IF('Recurring Log'!E556="","",'Recurring Log'!E556)</f>
        <v/>
      </c>
      <c r="AX552">
        <f>IF('Recurring Log'!G556="","",'Recurring Log'!G556)</f>
        <v/>
      </c>
      <c r="AY552">
        <f>IF('Recurring Log'!H556="","",'Recurring Log'!H556)</f>
        <v/>
      </c>
      <c r="AZ552">
        <f>IF(AU552="","",IF('Recurring Log'!J556="","Not Started",'Recurring Log'!J556))</f>
        <v/>
      </c>
      <c r="BA552">
        <f>'Recurring Log'!L556&amp;""</f>
        <v/>
      </c>
      <c r="BB552">
        <f>'Recurring Log'!M556&amp;""</f>
        <v/>
      </c>
      <c r="BC552">
        <f>'Recurring Log'!N556&amp;""</f>
        <v/>
      </c>
      <c r="BD552">
        <f>'Recurring Log'!O556&amp;""</f>
        <v/>
      </c>
      <c r="BE552">
        <f>IF('Recurring Log'!K556="","",'Recurring Log'!K556)</f>
        <v/>
      </c>
      <c r="BF552">
        <f>IFERROR(MATCH(BA552,Setup!$L$6:$L$9,0),5)</f>
        <v/>
      </c>
      <c r="BG552">
        <f>IF(OR(AZ552="Done",AZ552="Cancelled"),1,0)</f>
        <v/>
      </c>
      <c r="BH552">
        <f>IF(AND(AU552&lt;&gt;"",ISNUMBER(AW552)),1,0)</f>
        <v/>
      </c>
      <c r="BI552">
        <f>IF(BH552=0,0,IF(AND(AW552&gt;='Tasks Filter'!$F$3,AW552&lt;='Tasks Filter'!$F$4,OR('Tasks Filter'!$I$3="",ISNUMBER(SEARCH('Tasks Filter'!$I$3,AU552))),OR('Tasks Filter'!$I$4="",BF552=IFERROR(MATCH('Tasks Filter'!$I$4,Setup!$L$6:$L$9,0),0)),OR('Tasks Filter'!$I$5="Both",AND('Tasks Filter'!$I$5="Yes",BB552="✓"),AND('Tasks Filter'!$I$5="No",BB552&lt;&gt;"✓")),OR('Tasks Filter'!$L$3="",AV552='Tasks Filter'!$L$3),OR('Tasks Filter'!$L$4="",AZ552='Tasks Filter'!$L$4),OR('Tasks Filter'!$L$5="",BC552='Tasks Filter'!$L$5),OR('Tasks Filter'!$O$3="",BD552='Tasks Filter'!$O$3),OR('Tasks Filter'!$O$4="Yes",BG552=0)),1,0))</f>
        <v/>
      </c>
      <c r="BJ552">
        <f>IF(BH552=0,"",IF('Tasks Filter'!$F$6="Descending",-1,1)*CHOOSE(MATCH('Tasks Filter'!$F$5,Lists!$G$2:$G$6,0),AW552,BF552,IFERROR(MATCH(AV552,Setup!$F$6:$F$15,0),99),IFERROR(MATCH(BC552,Setup!$H$6:$H$15,0),99),IFERROR(MATCH(AZ552,Setup!$J$6:$J$11,0),99))*1E+9+(AW552-40000)*10000+551)</f>
        <v/>
      </c>
      <c r="BK552">
        <f>IF(BI552=1,BJ552,"")</f>
        <v/>
      </c>
      <c r="BL552">
        <f>IF(AND(BH552=1,BG552=0,N(AW552)&lt;Setup!$D$7),(AW552-40000)*10000+551,"")</f>
        <v/>
      </c>
      <c r="BM552">
        <f>IF(AND(BH552=1,AZ552&lt;&gt;"Cancelled",N(AW552)&gt;=Dashboard!$AB$3,N(AW552)&lt;=Dashboard!$AB$3+6),(AW552-40000)*100000+BF552*10000+551,"")</f>
        <v/>
      </c>
      <c r="BN552">
        <f>IF(AND(BH552=1,AZ552&lt;&gt;"Cancelled"),BF552*10000+551,"")</f>
        <v/>
      </c>
    </row>
    <row r="553">
      <c r="AS553" t="inlineStr">
        <is>
          <t>R</t>
        </is>
      </c>
      <c r="AT553" t="n">
        <v>557</v>
      </c>
      <c r="AU553">
        <f>'Recurring Log'!C557&amp;""</f>
        <v/>
      </c>
      <c r="AV553">
        <f>'Recurring Log'!D557&amp;""</f>
        <v/>
      </c>
      <c r="AW553">
        <f>IF('Recurring Log'!E557="","",'Recurring Log'!E557)</f>
        <v/>
      </c>
      <c r="AX553">
        <f>IF('Recurring Log'!G557="","",'Recurring Log'!G557)</f>
        <v/>
      </c>
      <c r="AY553">
        <f>IF('Recurring Log'!H557="","",'Recurring Log'!H557)</f>
        <v/>
      </c>
      <c r="AZ553">
        <f>IF(AU553="","",IF('Recurring Log'!J557="","Not Started",'Recurring Log'!J557))</f>
        <v/>
      </c>
      <c r="BA553">
        <f>'Recurring Log'!L557&amp;""</f>
        <v/>
      </c>
      <c r="BB553">
        <f>'Recurring Log'!M557&amp;""</f>
        <v/>
      </c>
      <c r="BC553">
        <f>'Recurring Log'!N557&amp;""</f>
        <v/>
      </c>
      <c r="BD553">
        <f>'Recurring Log'!O557&amp;""</f>
        <v/>
      </c>
      <c r="BE553">
        <f>IF('Recurring Log'!K557="","",'Recurring Log'!K557)</f>
        <v/>
      </c>
      <c r="BF553">
        <f>IFERROR(MATCH(BA553,Setup!$L$6:$L$9,0),5)</f>
        <v/>
      </c>
      <c r="BG553">
        <f>IF(OR(AZ553="Done",AZ553="Cancelled"),1,0)</f>
        <v/>
      </c>
      <c r="BH553">
        <f>IF(AND(AU553&lt;&gt;"",ISNUMBER(AW553)),1,0)</f>
        <v/>
      </c>
      <c r="BI553">
        <f>IF(BH553=0,0,IF(AND(AW553&gt;='Tasks Filter'!$F$3,AW553&lt;='Tasks Filter'!$F$4,OR('Tasks Filter'!$I$3="",ISNUMBER(SEARCH('Tasks Filter'!$I$3,AU553))),OR('Tasks Filter'!$I$4="",BF553=IFERROR(MATCH('Tasks Filter'!$I$4,Setup!$L$6:$L$9,0),0)),OR('Tasks Filter'!$I$5="Both",AND('Tasks Filter'!$I$5="Yes",BB553="✓"),AND('Tasks Filter'!$I$5="No",BB553&lt;&gt;"✓")),OR('Tasks Filter'!$L$3="",AV553='Tasks Filter'!$L$3),OR('Tasks Filter'!$L$4="",AZ553='Tasks Filter'!$L$4),OR('Tasks Filter'!$L$5="",BC553='Tasks Filter'!$L$5),OR('Tasks Filter'!$O$3="",BD553='Tasks Filter'!$O$3),OR('Tasks Filter'!$O$4="Yes",BG553=0)),1,0))</f>
        <v/>
      </c>
      <c r="BJ553">
        <f>IF(BH553=0,"",IF('Tasks Filter'!$F$6="Descending",-1,1)*CHOOSE(MATCH('Tasks Filter'!$F$5,Lists!$G$2:$G$6,0),AW553,BF553,IFERROR(MATCH(AV553,Setup!$F$6:$F$15,0),99),IFERROR(MATCH(BC553,Setup!$H$6:$H$15,0),99),IFERROR(MATCH(AZ553,Setup!$J$6:$J$11,0),99))*1E+9+(AW553-40000)*10000+552)</f>
        <v/>
      </c>
      <c r="BK553">
        <f>IF(BI553=1,BJ553,"")</f>
        <v/>
      </c>
      <c r="BL553">
        <f>IF(AND(BH553=1,BG553=0,N(AW553)&lt;Setup!$D$7),(AW553-40000)*10000+552,"")</f>
        <v/>
      </c>
      <c r="BM553">
        <f>IF(AND(BH553=1,AZ553&lt;&gt;"Cancelled",N(AW553)&gt;=Dashboard!$AB$3,N(AW553)&lt;=Dashboard!$AB$3+6),(AW553-40000)*100000+BF553*10000+552,"")</f>
        <v/>
      </c>
      <c r="BN553">
        <f>IF(AND(BH553=1,AZ553&lt;&gt;"Cancelled"),BF553*10000+552,"")</f>
        <v/>
      </c>
    </row>
    <row r="554">
      <c r="AS554" t="inlineStr">
        <is>
          <t>R</t>
        </is>
      </c>
      <c r="AT554" t="n">
        <v>558</v>
      </c>
      <c r="AU554">
        <f>'Recurring Log'!C558&amp;""</f>
        <v/>
      </c>
      <c r="AV554">
        <f>'Recurring Log'!D558&amp;""</f>
        <v/>
      </c>
      <c r="AW554">
        <f>IF('Recurring Log'!E558="","",'Recurring Log'!E558)</f>
        <v/>
      </c>
      <c r="AX554">
        <f>IF('Recurring Log'!G558="","",'Recurring Log'!G558)</f>
        <v/>
      </c>
      <c r="AY554">
        <f>IF('Recurring Log'!H558="","",'Recurring Log'!H558)</f>
        <v/>
      </c>
      <c r="AZ554">
        <f>IF(AU554="","",IF('Recurring Log'!J558="","Not Started",'Recurring Log'!J558))</f>
        <v/>
      </c>
      <c r="BA554">
        <f>'Recurring Log'!L558&amp;""</f>
        <v/>
      </c>
      <c r="BB554">
        <f>'Recurring Log'!M558&amp;""</f>
        <v/>
      </c>
      <c r="BC554">
        <f>'Recurring Log'!N558&amp;""</f>
        <v/>
      </c>
      <c r="BD554">
        <f>'Recurring Log'!O558&amp;""</f>
        <v/>
      </c>
      <c r="BE554">
        <f>IF('Recurring Log'!K558="","",'Recurring Log'!K558)</f>
        <v/>
      </c>
      <c r="BF554">
        <f>IFERROR(MATCH(BA554,Setup!$L$6:$L$9,0),5)</f>
        <v/>
      </c>
      <c r="BG554">
        <f>IF(OR(AZ554="Done",AZ554="Cancelled"),1,0)</f>
        <v/>
      </c>
      <c r="BH554">
        <f>IF(AND(AU554&lt;&gt;"",ISNUMBER(AW554)),1,0)</f>
        <v/>
      </c>
      <c r="BI554">
        <f>IF(BH554=0,0,IF(AND(AW554&gt;='Tasks Filter'!$F$3,AW554&lt;='Tasks Filter'!$F$4,OR('Tasks Filter'!$I$3="",ISNUMBER(SEARCH('Tasks Filter'!$I$3,AU554))),OR('Tasks Filter'!$I$4="",BF554=IFERROR(MATCH('Tasks Filter'!$I$4,Setup!$L$6:$L$9,0),0)),OR('Tasks Filter'!$I$5="Both",AND('Tasks Filter'!$I$5="Yes",BB554="✓"),AND('Tasks Filter'!$I$5="No",BB554&lt;&gt;"✓")),OR('Tasks Filter'!$L$3="",AV554='Tasks Filter'!$L$3),OR('Tasks Filter'!$L$4="",AZ554='Tasks Filter'!$L$4),OR('Tasks Filter'!$L$5="",BC554='Tasks Filter'!$L$5),OR('Tasks Filter'!$O$3="",BD554='Tasks Filter'!$O$3),OR('Tasks Filter'!$O$4="Yes",BG554=0)),1,0))</f>
        <v/>
      </c>
      <c r="BJ554">
        <f>IF(BH554=0,"",IF('Tasks Filter'!$F$6="Descending",-1,1)*CHOOSE(MATCH('Tasks Filter'!$F$5,Lists!$G$2:$G$6,0),AW554,BF554,IFERROR(MATCH(AV554,Setup!$F$6:$F$15,0),99),IFERROR(MATCH(BC554,Setup!$H$6:$H$15,0),99),IFERROR(MATCH(AZ554,Setup!$J$6:$J$11,0),99))*1E+9+(AW554-40000)*10000+553)</f>
        <v/>
      </c>
      <c r="BK554">
        <f>IF(BI554=1,BJ554,"")</f>
        <v/>
      </c>
      <c r="BL554">
        <f>IF(AND(BH554=1,BG554=0,N(AW554)&lt;Setup!$D$7),(AW554-40000)*10000+553,"")</f>
        <v/>
      </c>
      <c r="BM554">
        <f>IF(AND(BH554=1,AZ554&lt;&gt;"Cancelled",N(AW554)&gt;=Dashboard!$AB$3,N(AW554)&lt;=Dashboard!$AB$3+6),(AW554-40000)*100000+BF554*10000+553,"")</f>
        <v/>
      </c>
      <c r="BN554">
        <f>IF(AND(BH554=1,AZ554&lt;&gt;"Cancelled"),BF554*10000+553,"")</f>
        <v/>
      </c>
    </row>
    <row r="555">
      <c r="AS555" t="inlineStr">
        <is>
          <t>R</t>
        </is>
      </c>
      <c r="AT555" t="n">
        <v>559</v>
      </c>
      <c r="AU555">
        <f>'Recurring Log'!C559&amp;""</f>
        <v/>
      </c>
      <c r="AV555">
        <f>'Recurring Log'!D559&amp;""</f>
        <v/>
      </c>
      <c r="AW555">
        <f>IF('Recurring Log'!E559="","",'Recurring Log'!E559)</f>
        <v/>
      </c>
      <c r="AX555">
        <f>IF('Recurring Log'!G559="","",'Recurring Log'!G559)</f>
        <v/>
      </c>
      <c r="AY555">
        <f>IF('Recurring Log'!H559="","",'Recurring Log'!H559)</f>
        <v/>
      </c>
      <c r="AZ555">
        <f>IF(AU555="","",IF('Recurring Log'!J559="","Not Started",'Recurring Log'!J559))</f>
        <v/>
      </c>
      <c r="BA555">
        <f>'Recurring Log'!L559&amp;""</f>
        <v/>
      </c>
      <c r="BB555">
        <f>'Recurring Log'!M559&amp;""</f>
        <v/>
      </c>
      <c r="BC555">
        <f>'Recurring Log'!N559&amp;""</f>
        <v/>
      </c>
      <c r="BD555">
        <f>'Recurring Log'!O559&amp;""</f>
        <v/>
      </c>
      <c r="BE555">
        <f>IF('Recurring Log'!K559="","",'Recurring Log'!K559)</f>
        <v/>
      </c>
      <c r="BF555">
        <f>IFERROR(MATCH(BA555,Setup!$L$6:$L$9,0),5)</f>
        <v/>
      </c>
      <c r="BG555">
        <f>IF(OR(AZ555="Done",AZ555="Cancelled"),1,0)</f>
        <v/>
      </c>
      <c r="BH555">
        <f>IF(AND(AU555&lt;&gt;"",ISNUMBER(AW555)),1,0)</f>
        <v/>
      </c>
      <c r="BI555">
        <f>IF(BH555=0,0,IF(AND(AW555&gt;='Tasks Filter'!$F$3,AW555&lt;='Tasks Filter'!$F$4,OR('Tasks Filter'!$I$3="",ISNUMBER(SEARCH('Tasks Filter'!$I$3,AU555))),OR('Tasks Filter'!$I$4="",BF555=IFERROR(MATCH('Tasks Filter'!$I$4,Setup!$L$6:$L$9,0),0)),OR('Tasks Filter'!$I$5="Both",AND('Tasks Filter'!$I$5="Yes",BB555="✓"),AND('Tasks Filter'!$I$5="No",BB555&lt;&gt;"✓")),OR('Tasks Filter'!$L$3="",AV555='Tasks Filter'!$L$3),OR('Tasks Filter'!$L$4="",AZ555='Tasks Filter'!$L$4),OR('Tasks Filter'!$L$5="",BC555='Tasks Filter'!$L$5),OR('Tasks Filter'!$O$3="",BD555='Tasks Filter'!$O$3),OR('Tasks Filter'!$O$4="Yes",BG555=0)),1,0))</f>
        <v/>
      </c>
      <c r="BJ555">
        <f>IF(BH555=0,"",IF('Tasks Filter'!$F$6="Descending",-1,1)*CHOOSE(MATCH('Tasks Filter'!$F$5,Lists!$G$2:$G$6,0),AW555,BF555,IFERROR(MATCH(AV555,Setup!$F$6:$F$15,0),99),IFERROR(MATCH(BC555,Setup!$H$6:$H$15,0),99),IFERROR(MATCH(AZ555,Setup!$J$6:$J$11,0),99))*1E+9+(AW555-40000)*10000+554)</f>
        <v/>
      </c>
      <c r="BK555">
        <f>IF(BI555=1,BJ555,"")</f>
        <v/>
      </c>
      <c r="BL555">
        <f>IF(AND(BH555=1,BG555=0,N(AW555)&lt;Setup!$D$7),(AW555-40000)*10000+554,"")</f>
        <v/>
      </c>
      <c r="BM555">
        <f>IF(AND(BH555=1,AZ555&lt;&gt;"Cancelled",N(AW555)&gt;=Dashboard!$AB$3,N(AW555)&lt;=Dashboard!$AB$3+6),(AW555-40000)*100000+BF555*10000+554,"")</f>
        <v/>
      </c>
      <c r="BN555">
        <f>IF(AND(BH555=1,AZ555&lt;&gt;"Cancelled"),BF555*10000+554,"")</f>
        <v/>
      </c>
    </row>
    <row r="556">
      <c r="AS556" t="inlineStr">
        <is>
          <t>R</t>
        </is>
      </c>
      <c r="AT556" t="n">
        <v>560</v>
      </c>
      <c r="AU556">
        <f>'Recurring Log'!C560&amp;""</f>
        <v/>
      </c>
      <c r="AV556">
        <f>'Recurring Log'!D560&amp;""</f>
        <v/>
      </c>
      <c r="AW556">
        <f>IF('Recurring Log'!E560="","",'Recurring Log'!E560)</f>
        <v/>
      </c>
      <c r="AX556">
        <f>IF('Recurring Log'!G560="","",'Recurring Log'!G560)</f>
        <v/>
      </c>
      <c r="AY556">
        <f>IF('Recurring Log'!H560="","",'Recurring Log'!H560)</f>
        <v/>
      </c>
      <c r="AZ556">
        <f>IF(AU556="","",IF('Recurring Log'!J560="","Not Started",'Recurring Log'!J560))</f>
        <v/>
      </c>
      <c r="BA556">
        <f>'Recurring Log'!L560&amp;""</f>
        <v/>
      </c>
      <c r="BB556">
        <f>'Recurring Log'!M560&amp;""</f>
        <v/>
      </c>
      <c r="BC556">
        <f>'Recurring Log'!N560&amp;""</f>
        <v/>
      </c>
      <c r="BD556">
        <f>'Recurring Log'!O560&amp;""</f>
        <v/>
      </c>
      <c r="BE556">
        <f>IF('Recurring Log'!K560="","",'Recurring Log'!K560)</f>
        <v/>
      </c>
      <c r="BF556">
        <f>IFERROR(MATCH(BA556,Setup!$L$6:$L$9,0),5)</f>
        <v/>
      </c>
      <c r="BG556">
        <f>IF(OR(AZ556="Done",AZ556="Cancelled"),1,0)</f>
        <v/>
      </c>
      <c r="BH556">
        <f>IF(AND(AU556&lt;&gt;"",ISNUMBER(AW556)),1,0)</f>
        <v/>
      </c>
      <c r="BI556">
        <f>IF(BH556=0,0,IF(AND(AW556&gt;='Tasks Filter'!$F$3,AW556&lt;='Tasks Filter'!$F$4,OR('Tasks Filter'!$I$3="",ISNUMBER(SEARCH('Tasks Filter'!$I$3,AU556))),OR('Tasks Filter'!$I$4="",BF556=IFERROR(MATCH('Tasks Filter'!$I$4,Setup!$L$6:$L$9,0),0)),OR('Tasks Filter'!$I$5="Both",AND('Tasks Filter'!$I$5="Yes",BB556="✓"),AND('Tasks Filter'!$I$5="No",BB556&lt;&gt;"✓")),OR('Tasks Filter'!$L$3="",AV556='Tasks Filter'!$L$3),OR('Tasks Filter'!$L$4="",AZ556='Tasks Filter'!$L$4),OR('Tasks Filter'!$L$5="",BC556='Tasks Filter'!$L$5),OR('Tasks Filter'!$O$3="",BD556='Tasks Filter'!$O$3),OR('Tasks Filter'!$O$4="Yes",BG556=0)),1,0))</f>
        <v/>
      </c>
      <c r="BJ556">
        <f>IF(BH556=0,"",IF('Tasks Filter'!$F$6="Descending",-1,1)*CHOOSE(MATCH('Tasks Filter'!$F$5,Lists!$G$2:$G$6,0),AW556,BF556,IFERROR(MATCH(AV556,Setup!$F$6:$F$15,0),99),IFERROR(MATCH(BC556,Setup!$H$6:$H$15,0),99),IFERROR(MATCH(AZ556,Setup!$J$6:$J$11,0),99))*1E+9+(AW556-40000)*10000+555)</f>
        <v/>
      </c>
      <c r="BK556">
        <f>IF(BI556=1,BJ556,"")</f>
        <v/>
      </c>
      <c r="BL556">
        <f>IF(AND(BH556=1,BG556=0,N(AW556)&lt;Setup!$D$7),(AW556-40000)*10000+555,"")</f>
        <v/>
      </c>
      <c r="BM556">
        <f>IF(AND(BH556=1,AZ556&lt;&gt;"Cancelled",N(AW556)&gt;=Dashboard!$AB$3,N(AW556)&lt;=Dashboard!$AB$3+6),(AW556-40000)*100000+BF556*10000+555,"")</f>
        <v/>
      </c>
      <c r="BN556">
        <f>IF(AND(BH556=1,AZ556&lt;&gt;"Cancelled"),BF556*10000+555,"")</f>
        <v/>
      </c>
    </row>
    <row r="557">
      <c r="AS557" t="inlineStr">
        <is>
          <t>R</t>
        </is>
      </c>
      <c r="AT557" t="n">
        <v>561</v>
      </c>
      <c r="AU557">
        <f>'Recurring Log'!C561&amp;""</f>
        <v/>
      </c>
      <c r="AV557">
        <f>'Recurring Log'!D561&amp;""</f>
        <v/>
      </c>
      <c r="AW557">
        <f>IF('Recurring Log'!E561="","",'Recurring Log'!E561)</f>
        <v/>
      </c>
      <c r="AX557">
        <f>IF('Recurring Log'!G561="","",'Recurring Log'!G561)</f>
        <v/>
      </c>
      <c r="AY557">
        <f>IF('Recurring Log'!H561="","",'Recurring Log'!H561)</f>
        <v/>
      </c>
      <c r="AZ557">
        <f>IF(AU557="","",IF('Recurring Log'!J561="","Not Started",'Recurring Log'!J561))</f>
        <v/>
      </c>
      <c r="BA557">
        <f>'Recurring Log'!L561&amp;""</f>
        <v/>
      </c>
      <c r="BB557">
        <f>'Recurring Log'!M561&amp;""</f>
        <v/>
      </c>
      <c r="BC557">
        <f>'Recurring Log'!N561&amp;""</f>
        <v/>
      </c>
      <c r="BD557">
        <f>'Recurring Log'!O561&amp;""</f>
        <v/>
      </c>
      <c r="BE557">
        <f>IF('Recurring Log'!K561="","",'Recurring Log'!K561)</f>
        <v/>
      </c>
      <c r="BF557">
        <f>IFERROR(MATCH(BA557,Setup!$L$6:$L$9,0),5)</f>
        <v/>
      </c>
      <c r="BG557">
        <f>IF(OR(AZ557="Done",AZ557="Cancelled"),1,0)</f>
        <v/>
      </c>
      <c r="BH557">
        <f>IF(AND(AU557&lt;&gt;"",ISNUMBER(AW557)),1,0)</f>
        <v/>
      </c>
      <c r="BI557">
        <f>IF(BH557=0,0,IF(AND(AW557&gt;='Tasks Filter'!$F$3,AW557&lt;='Tasks Filter'!$F$4,OR('Tasks Filter'!$I$3="",ISNUMBER(SEARCH('Tasks Filter'!$I$3,AU557))),OR('Tasks Filter'!$I$4="",BF557=IFERROR(MATCH('Tasks Filter'!$I$4,Setup!$L$6:$L$9,0),0)),OR('Tasks Filter'!$I$5="Both",AND('Tasks Filter'!$I$5="Yes",BB557="✓"),AND('Tasks Filter'!$I$5="No",BB557&lt;&gt;"✓")),OR('Tasks Filter'!$L$3="",AV557='Tasks Filter'!$L$3),OR('Tasks Filter'!$L$4="",AZ557='Tasks Filter'!$L$4),OR('Tasks Filter'!$L$5="",BC557='Tasks Filter'!$L$5),OR('Tasks Filter'!$O$3="",BD557='Tasks Filter'!$O$3),OR('Tasks Filter'!$O$4="Yes",BG557=0)),1,0))</f>
        <v/>
      </c>
      <c r="BJ557">
        <f>IF(BH557=0,"",IF('Tasks Filter'!$F$6="Descending",-1,1)*CHOOSE(MATCH('Tasks Filter'!$F$5,Lists!$G$2:$G$6,0),AW557,BF557,IFERROR(MATCH(AV557,Setup!$F$6:$F$15,0),99),IFERROR(MATCH(BC557,Setup!$H$6:$H$15,0),99),IFERROR(MATCH(AZ557,Setup!$J$6:$J$11,0),99))*1E+9+(AW557-40000)*10000+556)</f>
        <v/>
      </c>
      <c r="BK557">
        <f>IF(BI557=1,BJ557,"")</f>
        <v/>
      </c>
      <c r="BL557">
        <f>IF(AND(BH557=1,BG557=0,N(AW557)&lt;Setup!$D$7),(AW557-40000)*10000+556,"")</f>
        <v/>
      </c>
      <c r="BM557">
        <f>IF(AND(BH557=1,AZ557&lt;&gt;"Cancelled",N(AW557)&gt;=Dashboard!$AB$3,N(AW557)&lt;=Dashboard!$AB$3+6),(AW557-40000)*100000+BF557*10000+556,"")</f>
        <v/>
      </c>
      <c r="BN557">
        <f>IF(AND(BH557=1,AZ557&lt;&gt;"Cancelled"),BF557*10000+556,"")</f>
        <v/>
      </c>
    </row>
    <row r="558">
      <c r="AS558" t="inlineStr">
        <is>
          <t>R</t>
        </is>
      </c>
      <c r="AT558" t="n">
        <v>562</v>
      </c>
      <c r="AU558">
        <f>'Recurring Log'!C562&amp;""</f>
        <v/>
      </c>
      <c r="AV558">
        <f>'Recurring Log'!D562&amp;""</f>
        <v/>
      </c>
      <c r="AW558">
        <f>IF('Recurring Log'!E562="","",'Recurring Log'!E562)</f>
        <v/>
      </c>
      <c r="AX558">
        <f>IF('Recurring Log'!G562="","",'Recurring Log'!G562)</f>
        <v/>
      </c>
      <c r="AY558">
        <f>IF('Recurring Log'!H562="","",'Recurring Log'!H562)</f>
        <v/>
      </c>
      <c r="AZ558">
        <f>IF(AU558="","",IF('Recurring Log'!J562="","Not Started",'Recurring Log'!J562))</f>
        <v/>
      </c>
      <c r="BA558">
        <f>'Recurring Log'!L562&amp;""</f>
        <v/>
      </c>
      <c r="BB558">
        <f>'Recurring Log'!M562&amp;""</f>
        <v/>
      </c>
      <c r="BC558">
        <f>'Recurring Log'!N562&amp;""</f>
        <v/>
      </c>
      <c r="BD558">
        <f>'Recurring Log'!O562&amp;""</f>
        <v/>
      </c>
      <c r="BE558">
        <f>IF('Recurring Log'!K562="","",'Recurring Log'!K562)</f>
        <v/>
      </c>
      <c r="BF558">
        <f>IFERROR(MATCH(BA558,Setup!$L$6:$L$9,0),5)</f>
        <v/>
      </c>
      <c r="BG558">
        <f>IF(OR(AZ558="Done",AZ558="Cancelled"),1,0)</f>
        <v/>
      </c>
      <c r="BH558">
        <f>IF(AND(AU558&lt;&gt;"",ISNUMBER(AW558)),1,0)</f>
        <v/>
      </c>
      <c r="BI558">
        <f>IF(BH558=0,0,IF(AND(AW558&gt;='Tasks Filter'!$F$3,AW558&lt;='Tasks Filter'!$F$4,OR('Tasks Filter'!$I$3="",ISNUMBER(SEARCH('Tasks Filter'!$I$3,AU558))),OR('Tasks Filter'!$I$4="",BF558=IFERROR(MATCH('Tasks Filter'!$I$4,Setup!$L$6:$L$9,0),0)),OR('Tasks Filter'!$I$5="Both",AND('Tasks Filter'!$I$5="Yes",BB558="✓"),AND('Tasks Filter'!$I$5="No",BB558&lt;&gt;"✓")),OR('Tasks Filter'!$L$3="",AV558='Tasks Filter'!$L$3),OR('Tasks Filter'!$L$4="",AZ558='Tasks Filter'!$L$4),OR('Tasks Filter'!$L$5="",BC558='Tasks Filter'!$L$5),OR('Tasks Filter'!$O$3="",BD558='Tasks Filter'!$O$3),OR('Tasks Filter'!$O$4="Yes",BG558=0)),1,0))</f>
        <v/>
      </c>
      <c r="BJ558">
        <f>IF(BH558=0,"",IF('Tasks Filter'!$F$6="Descending",-1,1)*CHOOSE(MATCH('Tasks Filter'!$F$5,Lists!$G$2:$G$6,0),AW558,BF558,IFERROR(MATCH(AV558,Setup!$F$6:$F$15,0),99),IFERROR(MATCH(BC558,Setup!$H$6:$H$15,0),99),IFERROR(MATCH(AZ558,Setup!$J$6:$J$11,0),99))*1E+9+(AW558-40000)*10000+557)</f>
        <v/>
      </c>
      <c r="BK558">
        <f>IF(BI558=1,BJ558,"")</f>
        <v/>
      </c>
      <c r="BL558">
        <f>IF(AND(BH558=1,BG558=0,N(AW558)&lt;Setup!$D$7),(AW558-40000)*10000+557,"")</f>
        <v/>
      </c>
      <c r="BM558">
        <f>IF(AND(BH558=1,AZ558&lt;&gt;"Cancelled",N(AW558)&gt;=Dashboard!$AB$3,N(AW558)&lt;=Dashboard!$AB$3+6),(AW558-40000)*100000+BF558*10000+557,"")</f>
        <v/>
      </c>
      <c r="BN558">
        <f>IF(AND(BH558=1,AZ558&lt;&gt;"Cancelled"),BF558*10000+557,"")</f>
        <v/>
      </c>
    </row>
    <row r="559">
      <c r="AS559" t="inlineStr">
        <is>
          <t>R</t>
        </is>
      </c>
      <c r="AT559" t="n">
        <v>563</v>
      </c>
      <c r="AU559">
        <f>'Recurring Log'!C563&amp;""</f>
        <v/>
      </c>
      <c r="AV559">
        <f>'Recurring Log'!D563&amp;""</f>
        <v/>
      </c>
      <c r="AW559">
        <f>IF('Recurring Log'!E563="","",'Recurring Log'!E563)</f>
        <v/>
      </c>
      <c r="AX559">
        <f>IF('Recurring Log'!G563="","",'Recurring Log'!G563)</f>
        <v/>
      </c>
      <c r="AY559">
        <f>IF('Recurring Log'!H563="","",'Recurring Log'!H563)</f>
        <v/>
      </c>
      <c r="AZ559">
        <f>IF(AU559="","",IF('Recurring Log'!J563="","Not Started",'Recurring Log'!J563))</f>
        <v/>
      </c>
      <c r="BA559">
        <f>'Recurring Log'!L563&amp;""</f>
        <v/>
      </c>
      <c r="BB559">
        <f>'Recurring Log'!M563&amp;""</f>
        <v/>
      </c>
      <c r="BC559">
        <f>'Recurring Log'!N563&amp;""</f>
        <v/>
      </c>
      <c r="BD559">
        <f>'Recurring Log'!O563&amp;""</f>
        <v/>
      </c>
      <c r="BE559">
        <f>IF('Recurring Log'!K563="","",'Recurring Log'!K563)</f>
        <v/>
      </c>
      <c r="BF559">
        <f>IFERROR(MATCH(BA559,Setup!$L$6:$L$9,0),5)</f>
        <v/>
      </c>
      <c r="BG559">
        <f>IF(OR(AZ559="Done",AZ559="Cancelled"),1,0)</f>
        <v/>
      </c>
      <c r="BH559">
        <f>IF(AND(AU559&lt;&gt;"",ISNUMBER(AW559)),1,0)</f>
        <v/>
      </c>
      <c r="BI559">
        <f>IF(BH559=0,0,IF(AND(AW559&gt;='Tasks Filter'!$F$3,AW559&lt;='Tasks Filter'!$F$4,OR('Tasks Filter'!$I$3="",ISNUMBER(SEARCH('Tasks Filter'!$I$3,AU559))),OR('Tasks Filter'!$I$4="",BF559=IFERROR(MATCH('Tasks Filter'!$I$4,Setup!$L$6:$L$9,0),0)),OR('Tasks Filter'!$I$5="Both",AND('Tasks Filter'!$I$5="Yes",BB559="✓"),AND('Tasks Filter'!$I$5="No",BB559&lt;&gt;"✓")),OR('Tasks Filter'!$L$3="",AV559='Tasks Filter'!$L$3),OR('Tasks Filter'!$L$4="",AZ559='Tasks Filter'!$L$4),OR('Tasks Filter'!$L$5="",BC559='Tasks Filter'!$L$5),OR('Tasks Filter'!$O$3="",BD559='Tasks Filter'!$O$3),OR('Tasks Filter'!$O$4="Yes",BG559=0)),1,0))</f>
        <v/>
      </c>
      <c r="BJ559">
        <f>IF(BH559=0,"",IF('Tasks Filter'!$F$6="Descending",-1,1)*CHOOSE(MATCH('Tasks Filter'!$F$5,Lists!$G$2:$G$6,0),AW559,BF559,IFERROR(MATCH(AV559,Setup!$F$6:$F$15,0),99),IFERROR(MATCH(BC559,Setup!$H$6:$H$15,0),99),IFERROR(MATCH(AZ559,Setup!$J$6:$J$11,0),99))*1E+9+(AW559-40000)*10000+558)</f>
        <v/>
      </c>
      <c r="BK559">
        <f>IF(BI559=1,BJ559,"")</f>
        <v/>
      </c>
      <c r="BL559">
        <f>IF(AND(BH559=1,BG559=0,N(AW559)&lt;Setup!$D$7),(AW559-40000)*10000+558,"")</f>
        <v/>
      </c>
      <c r="BM559">
        <f>IF(AND(BH559=1,AZ559&lt;&gt;"Cancelled",N(AW559)&gt;=Dashboard!$AB$3,N(AW559)&lt;=Dashboard!$AB$3+6),(AW559-40000)*100000+BF559*10000+558,"")</f>
        <v/>
      </c>
      <c r="BN559">
        <f>IF(AND(BH559=1,AZ559&lt;&gt;"Cancelled"),BF559*10000+558,"")</f>
        <v/>
      </c>
    </row>
    <row r="560">
      <c r="AS560" t="inlineStr">
        <is>
          <t>R</t>
        </is>
      </c>
      <c r="AT560" t="n">
        <v>564</v>
      </c>
      <c r="AU560">
        <f>'Recurring Log'!C564&amp;""</f>
        <v/>
      </c>
      <c r="AV560">
        <f>'Recurring Log'!D564&amp;""</f>
        <v/>
      </c>
      <c r="AW560">
        <f>IF('Recurring Log'!E564="","",'Recurring Log'!E564)</f>
        <v/>
      </c>
      <c r="AX560">
        <f>IF('Recurring Log'!G564="","",'Recurring Log'!G564)</f>
        <v/>
      </c>
      <c r="AY560">
        <f>IF('Recurring Log'!H564="","",'Recurring Log'!H564)</f>
        <v/>
      </c>
      <c r="AZ560">
        <f>IF(AU560="","",IF('Recurring Log'!J564="","Not Started",'Recurring Log'!J564))</f>
        <v/>
      </c>
      <c r="BA560">
        <f>'Recurring Log'!L564&amp;""</f>
        <v/>
      </c>
      <c r="BB560">
        <f>'Recurring Log'!M564&amp;""</f>
        <v/>
      </c>
      <c r="BC560">
        <f>'Recurring Log'!N564&amp;""</f>
        <v/>
      </c>
      <c r="BD560">
        <f>'Recurring Log'!O564&amp;""</f>
        <v/>
      </c>
      <c r="BE560">
        <f>IF('Recurring Log'!K564="","",'Recurring Log'!K564)</f>
        <v/>
      </c>
      <c r="BF560">
        <f>IFERROR(MATCH(BA560,Setup!$L$6:$L$9,0),5)</f>
        <v/>
      </c>
      <c r="BG560">
        <f>IF(OR(AZ560="Done",AZ560="Cancelled"),1,0)</f>
        <v/>
      </c>
      <c r="BH560">
        <f>IF(AND(AU560&lt;&gt;"",ISNUMBER(AW560)),1,0)</f>
        <v/>
      </c>
      <c r="BI560">
        <f>IF(BH560=0,0,IF(AND(AW560&gt;='Tasks Filter'!$F$3,AW560&lt;='Tasks Filter'!$F$4,OR('Tasks Filter'!$I$3="",ISNUMBER(SEARCH('Tasks Filter'!$I$3,AU560))),OR('Tasks Filter'!$I$4="",BF560=IFERROR(MATCH('Tasks Filter'!$I$4,Setup!$L$6:$L$9,0),0)),OR('Tasks Filter'!$I$5="Both",AND('Tasks Filter'!$I$5="Yes",BB560="✓"),AND('Tasks Filter'!$I$5="No",BB560&lt;&gt;"✓")),OR('Tasks Filter'!$L$3="",AV560='Tasks Filter'!$L$3),OR('Tasks Filter'!$L$4="",AZ560='Tasks Filter'!$L$4),OR('Tasks Filter'!$L$5="",BC560='Tasks Filter'!$L$5),OR('Tasks Filter'!$O$3="",BD560='Tasks Filter'!$O$3),OR('Tasks Filter'!$O$4="Yes",BG560=0)),1,0))</f>
        <v/>
      </c>
      <c r="BJ560">
        <f>IF(BH560=0,"",IF('Tasks Filter'!$F$6="Descending",-1,1)*CHOOSE(MATCH('Tasks Filter'!$F$5,Lists!$G$2:$G$6,0),AW560,BF560,IFERROR(MATCH(AV560,Setup!$F$6:$F$15,0),99),IFERROR(MATCH(BC560,Setup!$H$6:$H$15,0),99),IFERROR(MATCH(AZ560,Setup!$J$6:$J$11,0),99))*1E+9+(AW560-40000)*10000+559)</f>
        <v/>
      </c>
      <c r="BK560">
        <f>IF(BI560=1,BJ560,"")</f>
        <v/>
      </c>
      <c r="BL560">
        <f>IF(AND(BH560=1,BG560=0,N(AW560)&lt;Setup!$D$7),(AW560-40000)*10000+559,"")</f>
        <v/>
      </c>
      <c r="BM560">
        <f>IF(AND(BH560=1,AZ560&lt;&gt;"Cancelled",N(AW560)&gt;=Dashboard!$AB$3,N(AW560)&lt;=Dashboard!$AB$3+6),(AW560-40000)*100000+BF560*10000+559,"")</f>
        <v/>
      </c>
      <c r="BN560">
        <f>IF(AND(BH560=1,AZ560&lt;&gt;"Cancelled"),BF560*10000+559,"")</f>
        <v/>
      </c>
    </row>
    <row r="561">
      <c r="AS561" t="inlineStr">
        <is>
          <t>R</t>
        </is>
      </c>
      <c r="AT561" t="n">
        <v>565</v>
      </c>
      <c r="AU561">
        <f>'Recurring Log'!C565&amp;""</f>
        <v/>
      </c>
      <c r="AV561">
        <f>'Recurring Log'!D565&amp;""</f>
        <v/>
      </c>
      <c r="AW561">
        <f>IF('Recurring Log'!E565="","",'Recurring Log'!E565)</f>
        <v/>
      </c>
      <c r="AX561">
        <f>IF('Recurring Log'!G565="","",'Recurring Log'!G565)</f>
        <v/>
      </c>
      <c r="AY561">
        <f>IF('Recurring Log'!H565="","",'Recurring Log'!H565)</f>
        <v/>
      </c>
      <c r="AZ561">
        <f>IF(AU561="","",IF('Recurring Log'!J565="","Not Started",'Recurring Log'!J565))</f>
        <v/>
      </c>
      <c r="BA561">
        <f>'Recurring Log'!L565&amp;""</f>
        <v/>
      </c>
      <c r="BB561">
        <f>'Recurring Log'!M565&amp;""</f>
        <v/>
      </c>
      <c r="BC561">
        <f>'Recurring Log'!N565&amp;""</f>
        <v/>
      </c>
      <c r="BD561">
        <f>'Recurring Log'!O565&amp;""</f>
        <v/>
      </c>
      <c r="BE561">
        <f>IF('Recurring Log'!K565="","",'Recurring Log'!K565)</f>
        <v/>
      </c>
      <c r="BF561">
        <f>IFERROR(MATCH(BA561,Setup!$L$6:$L$9,0),5)</f>
        <v/>
      </c>
      <c r="BG561">
        <f>IF(OR(AZ561="Done",AZ561="Cancelled"),1,0)</f>
        <v/>
      </c>
      <c r="BH561">
        <f>IF(AND(AU561&lt;&gt;"",ISNUMBER(AW561)),1,0)</f>
        <v/>
      </c>
      <c r="BI561">
        <f>IF(BH561=0,0,IF(AND(AW561&gt;='Tasks Filter'!$F$3,AW561&lt;='Tasks Filter'!$F$4,OR('Tasks Filter'!$I$3="",ISNUMBER(SEARCH('Tasks Filter'!$I$3,AU561))),OR('Tasks Filter'!$I$4="",BF561=IFERROR(MATCH('Tasks Filter'!$I$4,Setup!$L$6:$L$9,0),0)),OR('Tasks Filter'!$I$5="Both",AND('Tasks Filter'!$I$5="Yes",BB561="✓"),AND('Tasks Filter'!$I$5="No",BB561&lt;&gt;"✓")),OR('Tasks Filter'!$L$3="",AV561='Tasks Filter'!$L$3),OR('Tasks Filter'!$L$4="",AZ561='Tasks Filter'!$L$4),OR('Tasks Filter'!$L$5="",BC561='Tasks Filter'!$L$5),OR('Tasks Filter'!$O$3="",BD561='Tasks Filter'!$O$3),OR('Tasks Filter'!$O$4="Yes",BG561=0)),1,0))</f>
        <v/>
      </c>
      <c r="BJ561">
        <f>IF(BH561=0,"",IF('Tasks Filter'!$F$6="Descending",-1,1)*CHOOSE(MATCH('Tasks Filter'!$F$5,Lists!$G$2:$G$6,0),AW561,BF561,IFERROR(MATCH(AV561,Setup!$F$6:$F$15,0),99),IFERROR(MATCH(BC561,Setup!$H$6:$H$15,0),99),IFERROR(MATCH(AZ561,Setup!$J$6:$J$11,0),99))*1E+9+(AW561-40000)*10000+560)</f>
        <v/>
      </c>
      <c r="BK561">
        <f>IF(BI561=1,BJ561,"")</f>
        <v/>
      </c>
      <c r="BL561">
        <f>IF(AND(BH561=1,BG561=0,N(AW561)&lt;Setup!$D$7),(AW561-40000)*10000+560,"")</f>
        <v/>
      </c>
      <c r="BM561">
        <f>IF(AND(BH561=1,AZ561&lt;&gt;"Cancelled",N(AW561)&gt;=Dashboard!$AB$3,N(AW561)&lt;=Dashboard!$AB$3+6),(AW561-40000)*100000+BF561*10000+560,"")</f>
        <v/>
      </c>
      <c r="BN561">
        <f>IF(AND(BH561=1,AZ561&lt;&gt;"Cancelled"),BF561*10000+560,"")</f>
        <v/>
      </c>
    </row>
    <row r="562">
      <c r="AS562" t="inlineStr">
        <is>
          <t>R</t>
        </is>
      </c>
      <c r="AT562" t="n">
        <v>566</v>
      </c>
      <c r="AU562">
        <f>'Recurring Log'!C566&amp;""</f>
        <v/>
      </c>
      <c r="AV562">
        <f>'Recurring Log'!D566&amp;""</f>
        <v/>
      </c>
      <c r="AW562">
        <f>IF('Recurring Log'!E566="","",'Recurring Log'!E566)</f>
        <v/>
      </c>
      <c r="AX562">
        <f>IF('Recurring Log'!G566="","",'Recurring Log'!G566)</f>
        <v/>
      </c>
      <c r="AY562">
        <f>IF('Recurring Log'!H566="","",'Recurring Log'!H566)</f>
        <v/>
      </c>
      <c r="AZ562">
        <f>IF(AU562="","",IF('Recurring Log'!J566="","Not Started",'Recurring Log'!J566))</f>
        <v/>
      </c>
      <c r="BA562">
        <f>'Recurring Log'!L566&amp;""</f>
        <v/>
      </c>
      <c r="BB562">
        <f>'Recurring Log'!M566&amp;""</f>
        <v/>
      </c>
      <c r="BC562">
        <f>'Recurring Log'!N566&amp;""</f>
        <v/>
      </c>
      <c r="BD562">
        <f>'Recurring Log'!O566&amp;""</f>
        <v/>
      </c>
      <c r="BE562">
        <f>IF('Recurring Log'!K566="","",'Recurring Log'!K566)</f>
        <v/>
      </c>
      <c r="BF562">
        <f>IFERROR(MATCH(BA562,Setup!$L$6:$L$9,0),5)</f>
        <v/>
      </c>
      <c r="BG562">
        <f>IF(OR(AZ562="Done",AZ562="Cancelled"),1,0)</f>
        <v/>
      </c>
      <c r="BH562">
        <f>IF(AND(AU562&lt;&gt;"",ISNUMBER(AW562)),1,0)</f>
        <v/>
      </c>
      <c r="BI562">
        <f>IF(BH562=0,0,IF(AND(AW562&gt;='Tasks Filter'!$F$3,AW562&lt;='Tasks Filter'!$F$4,OR('Tasks Filter'!$I$3="",ISNUMBER(SEARCH('Tasks Filter'!$I$3,AU562))),OR('Tasks Filter'!$I$4="",BF562=IFERROR(MATCH('Tasks Filter'!$I$4,Setup!$L$6:$L$9,0),0)),OR('Tasks Filter'!$I$5="Both",AND('Tasks Filter'!$I$5="Yes",BB562="✓"),AND('Tasks Filter'!$I$5="No",BB562&lt;&gt;"✓")),OR('Tasks Filter'!$L$3="",AV562='Tasks Filter'!$L$3),OR('Tasks Filter'!$L$4="",AZ562='Tasks Filter'!$L$4),OR('Tasks Filter'!$L$5="",BC562='Tasks Filter'!$L$5),OR('Tasks Filter'!$O$3="",BD562='Tasks Filter'!$O$3),OR('Tasks Filter'!$O$4="Yes",BG562=0)),1,0))</f>
        <v/>
      </c>
      <c r="BJ562">
        <f>IF(BH562=0,"",IF('Tasks Filter'!$F$6="Descending",-1,1)*CHOOSE(MATCH('Tasks Filter'!$F$5,Lists!$G$2:$G$6,0),AW562,BF562,IFERROR(MATCH(AV562,Setup!$F$6:$F$15,0),99),IFERROR(MATCH(BC562,Setup!$H$6:$H$15,0),99),IFERROR(MATCH(AZ562,Setup!$J$6:$J$11,0),99))*1E+9+(AW562-40000)*10000+561)</f>
        <v/>
      </c>
      <c r="BK562">
        <f>IF(BI562=1,BJ562,"")</f>
        <v/>
      </c>
      <c r="BL562">
        <f>IF(AND(BH562=1,BG562=0,N(AW562)&lt;Setup!$D$7),(AW562-40000)*10000+561,"")</f>
        <v/>
      </c>
      <c r="BM562">
        <f>IF(AND(BH562=1,AZ562&lt;&gt;"Cancelled",N(AW562)&gt;=Dashboard!$AB$3,N(AW562)&lt;=Dashboard!$AB$3+6),(AW562-40000)*100000+BF562*10000+561,"")</f>
        <v/>
      </c>
      <c r="BN562">
        <f>IF(AND(BH562=1,AZ562&lt;&gt;"Cancelled"),BF562*10000+561,"")</f>
        <v/>
      </c>
    </row>
    <row r="563">
      <c r="AS563" t="inlineStr">
        <is>
          <t>R</t>
        </is>
      </c>
      <c r="AT563" t="n">
        <v>567</v>
      </c>
      <c r="AU563">
        <f>'Recurring Log'!C567&amp;""</f>
        <v/>
      </c>
      <c r="AV563">
        <f>'Recurring Log'!D567&amp;""</f>
        <v/>
      </c>
      <c r="AW563">
        <f>IF('Recurring Log'!E567="","",'Recurring Log'!E567)</f>
        <v/>
      </c>
      <c r="AX563">
        <f>IF('Recurring Log'!G567="","",'Recurring Log'!G567)</f>
        <v/>
      </c>
      <c r="AY563">
        <f>IF('Recurring Log'!H567="","",'Recurring Log'!H567)</f>
        <v/>
      </c>
      <c r="AZ563">
        <f>IF(AU563="","",IF('Recurring Log'!J567="","Not Started",'Recurring Log'!J567))</f>
        <v/>
      </c>
      <c r="BA563">
        <f>'Recurring Log'!L567&amp;""</f>
        <v/>
      </c>
      <c r="BB563">
        <f>'Recurring Log'!M567&amp;""</f>
        <v/>
      </c>
      <c r="BC563">
        <f>'Recurring Log'!N567&amp;""</f>
        <v/>
      </c>
      <c r="BD563">
        <f>'Recurring Log'!O567&amp;""</f>
        <v/>
      </c>
      <c r="BE563">
        <f>IF('Recurring Log'!K567="","",'Recurring Log'!K567)</f>
        <v/>
      </c>
      <c r="BF563">
        <f>IFERROR(MATCH(BA563,Setup!$L$6:$L$9,0),5)</f>
        <v/>
      </c>
      <c r="BG563">
        <f>IF(OR(AZ563="Done",AZ563="Cancelled"),1,0)</f>
        <v/>
      </c>
      <c r="BH563">
        <f>IF(AND(AU563&lt;&gt;"",ISNUMBER(AW563)),1,0)</f>
        <v/>
      </c>
      <c r="BI563">
        <f>IF(BH563=0,0,IF(AND(AW563&gt;='Tasks Filter'!$F$3,AW563&lt;='Tasks Filter'!$F$4,OR('Tasks Filter'!$I$3="",ISNUMBER(SEARCH('Tasks Filter'!$I$3,AU563))),OR('Tasks Filter'!$I$4="",BF563=IFERROR(MATCH('Tasks Filter'!$I$4,Setup!$L$6:$L$9,0),0)),OR('Tasks Filter'!$I$5="Both",AND('Tasks Filter'!$I$5="Yes",BB563="✓"),AND('Tasks Filter'!$I$5="No",BB563&lt;&gt;"✓")),OR('Tasks Filter'!$L$3="",AV563='Tasks Filter'!$L$3),OR('Tasks Filter'!$L$4="",AZ563='Tasks Filter'!$L$4),OR('Tasks Filter'!$L$5="",BC563='Tasks Filter'!$L$5),OR('Tasks Filter'!$O$3="",BD563='Tasks Filter'!$O$3),OR('Tasks Filter'!$O$4="Yes",BG563=0)),1,0))</f>
        <v/>
      </c>
      <c r="BJ563">
        <f>IF(BH563=0,"",IF('Tasks Filter'!$F$6="Descending",-1,1)*CHOOSE(MATCH('Tasks Filter'!$F$5,Lists!$G$2:$G$6,0),AW563,BF563,IFERROR(MATCH(AV563,Setup!$F$6:$F$15,0),99),IFERROR(MATCH(BC563,Setup!$H$6:$H$15,0),99),IFERROR(MATCH(AZ563,Setup!$J$6:$J$11,0),99))*1E+9+(AW563-40000)*10000+562)</f>
        <v/>
      </c>
      <c r="BK563">
        <f>IF(BI563=1,BJ563,"")</f>
        <v/>
      </c>
      <c r="BL563">
        <f>IF(AND(BH563=1,BG563=0,N(AW563)&lt;Setup!$D$7),(AW563-40000)*10000+562,"")</f>
        <v/>
      </c>
      <c r="BM563">
        <f>IF(AND(BH563=1,AZ563&lt;&gt;"Cancelled",N(AW563)&gt;=Dashboard!$AB$3,N(AW563)&lt;=Dashboard!$AB$3+6),(AW563-40000)*100000+BF563*10000+562,"")</f>
        <v/>
      </c>
      <c r="BN563">
        <f>IF(AND(BH563=1,AZ563&lt;&gt;"Cancelled"),BF563*10000+562,"")</f>
        <v/>
      </c>
    </row>
    <row r="564">
      <c r="AS564" t="inlineStr">
        <is>
          <t>R</t>
        </is>
      </c>
      <c r="AT564" t="n">
        <v>568</v>
      </c>
      <c r="AU564">
        <f>'Recurring Log'!C568&amp;""</f>
        <v/>
      </c>
      <c r="AV564">
        <f>'Recurring Log'!D568&amp;""</f>
        <v/>
      </c>
      <c r="AW564">
        <f>IF('Recurring Log'!E568="","",'Recurring Log'!E568)</f>
        <v/>
      </c>
      <c r="AX564">
        <f>IF('Recurring Log'!G568="","",'Recurring Log'!G568)</f>
        <v/>
      </c>
      <c r="AY564">
        <f>IF('Recurring Log'!H568="","",'Recurring Log'!H568)</f>
        <v/>
      </c>
      <c r="AZ564">
        <f>IF(AU564="","",IF('Recurring Log'!J568="","Not Started",'Recurring Log'!J568))</f>
        <v/>
      </c>
      <c r="BA564">
        <f>'Recurring Log'!L568&amp;""</f>
        <v/>
      </c>
      <c r="BB564">
        <f>'Recurring Log'!M568&amp;""</f>
        <v/>
      </c>
      <c r="BC564">
        <f>'Recurring Log'!N568&amp;""</f>
        <v/>
      </c>
      <c r="BD564">
        <f>'Recurring Log'!O568&amp;""</f>
        <v/>
      </c>
      <c r="BE564">
        <f>IF('Recurring Log'!K568="","",'Recurring Log'!K568)</f>
        <v/>
      </c>
      <c r="BF564">
        <f>IFERROR(MATCH(BA564,Setup!$L$6:$L$9,0),5)</f>
        <v/>
      </c>
      <c r="BG564">
        <f>IF(OR(AZ564="Done",AZ564="Cancelled"),1,0)</f>
        <v/>
      </c>
      <c r="BH564">
        <f>IF(AND(AU564&lt;&gt;"",ISNUMBER(AW564)),1,0)</f>
        <v/>
      </c>
      <c r="BI564">
        <f>IF(BH564=0,0,IF(AND(AW564&gt;='Tasks Filter'!$F$3,AW564&lt;='Tasks Filter'!$F$4,OR('Tasks Filter'!$I$3="",ISNUMBER(SEARCH('Tasks Filter'!$I$3,AU564))),OR('Tasks Filter'!$I$4="",BF564=IFERROR(MATCH('Tasks Filter'!$I$4,Setup!$L$6:$L$9,0),0)),OR('Tasks Filter'!$I$5="Both",AND('Tasks Filter'!$I$5="Yes",BB564="✓"),AND('Tasks Filter'!$I$5="No",BB564&lt;&gt;"✓")),OR('Tasks Filter'!$L$3="",AV564='Tasks Filter'!$L$3),OR('Tasks Filter'!$L$4="",AZ564='Tasks Filter'!$L$4),OR('Tasks Filter'!$L$5="",BC564='Tasks Filter'!$L$5),OR('Tasks Filter'!$O$3="",BD564='Tasks Filter'!$O$3),OR('Tasks Filter'!$O$4="Yes",BG564=0)),1,0))</f>
        <v/>
      </c>
      <c r="BJ564">
        <f>IF(BH564=0,"",IF('Tasks Filter'!$F$6="Descending",-1,1)*CHOOSE(MATCH('Tasks Filter'!$F$5,Lists!$G$2:$G$6,0),AW564,BF564,IFERROR(MATCH(AV564,Setup!$F$6:$F$15,0),99),IFERROR(MATCH(BC564,Setup!$H$6:$H$15,0),99),IFERROR(MATCH(AZ564,Setup!$J$6:$J$11,0),99))*1E+9+(AW564-40000)*10000+563)</f>
        <v/>
      </c>
      <c r="BK564">
        <f>IF(BI564=1,BJ564,"")</f>
        <v/>
      </c>
      <c r="BL564">
        <f>IF(AND(BH564=1,BG564=0,N(AW564)&lt;Setup!$D$7),(AW564-40000)*10000+563,"")</f>
        <v/>
      </c>
      <c r="BM564">
        <f>IF(AND(BH564=1,AZ564&lt;&gt;"Cancelled",N(AW564)&gt;=Dashboard!$AB$3,N(AW564)&lt;=Dashboard!$AB$3+6),(AW564-40000)*100000+BF564*10000+563,"")</f>
        <v/>
      </c>
      <c r="BN564">
        <f>IF(AND(BH564=1,AZ564&lt;&gt;"Cancelled"),BF564*10000+563,"")</f>
        <v/>
      </c>
    </row>
    <row r="565">
      <c r="AS565" t="inlineStr">
        <is>
          <t>R</t>
        </is>
      </c>
      <c r="AT565" t="n">
        <v>569</v>
      </c>
      <c r="AU565">
        <f>'Recurring Log'!C569&amp;""</f>
        <v/>
      </c>
      <c r="AV565">
        <f>'Recurring Log'!D569&amp;""</f>
        <v/>
      </c>
      <c r="AW565">
        <f>IF('Recurring Log'!E569="","",'Recurring Log'!E569)</f>
        <v/>
      </c>
      <c r="AX565">
        <f>IF('Recurring Log'!G569="","",'Recurring Log'!G569)</f>
        <v/>
      </c>
      <c r="AY565">
        <f>IF('Recurring Log'!H569="","",'Recurring Log'!H569)</f>
        <v/>
      </c>
      <c r="AZ565">
        <f>IF(AU565="","",IF('Recurring Log'!J569="","Not Started",'Recurring Log'!J569))</f>
        <v/>
      </c>
      <c r="BA565">
        <f>'Recurring Log'!L569&amp;""</f>
        <v/>
      </c>
      <c r="BB565">
        <f>'Recurring Log'!M569&amp;""</f>
        <v/>
      </c>
      <c r="BC565">
        <f>'Recurring Log'!N569&amp;""</f>
        <v/>
      </c>
      <c r="BD565">
        <f>'Recurring Log'!O569&amp;""</f>
        <v/>
      </c>
      <c r="BE565">
        <f>IF('Recurring Log'!K569="","",'Recurring Log'!K569)</f>
        <v/>
      </c>
      <c r="BF565">
        <f>IFERROR(MATCH(BA565,Setup!$L$6:$L$9,0),5)</f>
        <v/>
      </c>
      <c r="BG565">
        <f>IF(OR(AZ565="Done",AZ565="Cancelled"),1,0)</f>
        <v/>
      </c>
      <c r="BH565">
        <f>IF(AND(AU565&lt;&gt;"",ISNUMBER(AW565)),1,0)</f>
        <v/>
      </c>
      <c r="BI565">
        <f>IF(BH565=0,0,IF(AND(AW565&gt;='Tasks Filter'!$F$3,AW565&lt;='Tasks Filter'!$F$4,OR('Tasks Filter'!$I$3="",ISNUMBER(SEARCH('Tasks Filter'!$I$3,AU565))),OR('Tasks Filter'!$I$4="",BF565=IFERROR(MATCH('Tasks Filter'!$I$4,Setup!$L$6:$L$9,0),0)),OR('Tasks Filter'!$I$5="Both",AND('Tasks Filter'!$I$5="Yes",BB565="✓"),AND('Tasks Filter'!$I$5="No",BB565&lt;&gt;"✓")),OR('Tasks Filter'!$L$3="",AV565='Tasks Filter'!$L$3),OR('Tasks Filter'!$L$4="",AZ565='Tasks Filter'!$L$4),OR('Tasks Filter'!$L$5="",BC565='Tasks Filter'!$L$5),OR('Tasks Filter'!$O$3="",BD565='Tasks Filter'!$O$3),OR('Tasks Filter'!$O$4="Yes",BG565=0)),1,0))</f>
        <v/>
      </c>
      <c r="BJ565">
        <f>IF(BH565=0,"",IF('Tasks Filter'!$F$6="Descending",-1,1)*CHOOSE(MATCH('Tasks Filter'!$F$5,Lists!$G$2:$G$6,0),AW565,BF565,IFERROR(MATCH(AV565,Setup!$F$6:$F$15,0),99),IFERROR(MATCH(BC565,Setup!$H$6:$H$15,0),99),IFERROR(MATCH(AZ565,Setup!$J$6:$J$11,0),99))*1E+9+(AW565-40000)*10000+564)</f>
        <v/>
      </c>
      <c r="BK565">
        <f>IF(BI565=1,BJ565,"")</f>
        <v/>
      </c>
      <c r="BL565">
        <f>IF(AND(BH565=1,BG565=0,N(AW565)&lt;Setup!$D$7),(AW565-40000)*10000+564,"")</f>
        <v/>
      </c>
      <c r="BM565">
        <f>IF(AND(BH565=1,AZ565&lt;&gt;"Cancelled",N(AW565)&gt;=Dashboard!$AB$3,N(AW565)&lt;=Dashboard!$AB$3+6),(AW565-40000)*100000+BF565*10000+564,"")</f>
        <v/>
      </c>
      <c r="BN565">
        <f>IF(AND(BH565=1,AZ565&lt;&gt;"Cancelled"),BF565*10000+564,"")</f>
        <v/>
      </c>
    </row>
    <row r="566">
      <c r="AS566" t="inlineStr">
        <is>
          <t>R</t>
        </is>
      </c>
      <c r="AT566" t="n">
        <v>570</v>
      </c>
      <c r="AU566">
        <f>'Recurring Log'!C570&amp;""</f>
        <v/>
      </c>
      <c r="AV566">
        <f>'Recurring Log'!D570&amp;""</f>
        <v/>
      </c>
      <c r="AW566">
        <f>IF('Recurring Log'!E570="","",'Recurring Log'!E570)</f>
        <v/>
      </c>
      <c r="AX566">
        <f>IF('Recurring Log'!G570="","",'Recurring Log'!G570)</f>
        <v/>
      </c>
      <c r="AY566">
        <f>IF('Recurring Log'!H570="","",'Recurring Log'!H570)</f>
        <v/>
      </c>
      <c r="AZ566">
        <f>IF(AU566="","",IF('Recurring Log'!J570="","Not Started",'Recurring Log'!J570))</f>
        <v/>
      </c>
      <c r="BA566">
        <f>'Recurring Log'!L570&amp;""</f>
        <v/>
      </c>
      <c r="BB566">
        <f>'Recurring Log'!M570&amp;""</f>
        <v/>
      </c>
      <c r="BC566">
        <f>'Recurring Log'!N570&amp;""</f>
        <v/>
      </c>
      <c r="BD566">
        <f>'Recurring Log'!O570&amp;""</f>
        <v/>
      </c>
      <c r="BE566">
        <f>IF('Recurring Log'!K570="","",'Recurring Log'!K570)</f>
        <v/>
      </c>
      <c r="BF566">
        <f>IFERROR(MATCH(BA566,Setup!$L$6:$L$9,0),5)</f>
        <v/>
      </c>
      <c r="BG566">
        <f>IF(OR(AZ566="Done",AZ566="Cancelled"),1,0)</f>
        <v/>
      </c>
      <c r="BH566">
        <f>IF(AND(AU566&lt;&gt;"",ISNUMBER(AW566)),1,0)</f>
        <v/>
      </c>
      <c r="BI566">
        <f>IF(BH566=0,0,IF(AND(AW566&gt;='Tasks Filter'!$F$3,AW566&lt;='Tasks Filter'!$F$4,OR('Tasks Filter'!$I$3="",ISNUMBER(SEARCH('Tasks Filter'!$I$3,AU566))),OR('Tasks Filter'!$I$4="",BF566=IFERROR(MATCH('Tasks Filter'!$I$4,Setup!$L$6:$L$9,0),0)),OR('Tasks Filter'!$I$5="Both",AND('Tasks Filter'!$I$5="Yes",BB566="✓"),AND('Tasks Filter'!$I$5="No",BB566&lt;&gt;"✓")),OR('Tasks Filter'!$L$3="",AV566='Tasks Filter'!$L$3),OR('Tasks Filter'!$L$4="",AZ566='Tasks Filter'!$L$4),OR('Tasks Filter'!$L$5="",BC566='Tasks Filter'!$L$5),OR('Tasks Filter'!$O$3="",BD566='Tasks Filter'!$O$3),OR('Tasks Filter'!$O$4="Yes",BG566=0)),1,0))</f>
        <v/>
      </c>
      <c r="BJ566">
        <f>IF(BH566=0,"",IF('Tasks Filter'!$F$6="Descending",-1,1)*CHOOSE(MATCH('Tasks Filter'!$F$5,Lists!$G$2:$G$6,0),AW566,BF566,IFERROR(MATCH(AV566,Setup!$F$6:$F$15,0),99),IFERROR(MATCH(BC566,Setup!$H$6:$H$15,0),99),IFERROR(MATCH(AZ566,Setup!$J$6:$J$11,0),99))*1E+9+(AW566-40000)*10000+565)</f>
        <v/>
      </c>
      <c r="BK566">
        <f>IF(BI566=1,BJ566,"")</f>
        <v/>
      </c>
      <c r="BL566">
        <f>IF(AND(BH566=1,BG566=0,N(AW566)&lt;Setup!$D$7),(AW566-40000)*10000+565,"")</f>
        <v/>
      </c>
      <c r="BM566">
        <f>IF(AND(BH566=1,AZ566&lt;&gt;"Cancelled",N(AW566)&gt;=Dashboard!$AB$3,N(AW566)&lt;=Dashboard!$AB$3+6),(AW566-40000)*100000+BF566*10000+565,"")</f>
        <v/>
      </c>
      <c r="BN566">
        <f>IF(AND(BH566=1,AZ566&lt;&gt;"Cancelled"),BF566*10000+565,"")</f>
        <v/>
      </c>
    </row>
    <row r="567">
      <c r="AS567" t="inlineStr">
        <is>
          <t>R</t>
        </is>
      </c>
      <c r="AT567" t="n">
        <v>571</v>
      </c>
      <c r="AU567">
        <f>'Recurring Log'!C571&amp;""</f>
        <v/>
      </c>
      <c r="AV567">
        <f>'Recurring Log'!D571&amp;""</f>
        <v/>
      </c>
      <c r="AW567">
        <f>IF('Recurring Log'!E571="","",'Recurring Log'!E571)</f>
        <v/>
      </c>
      <c r="AX567">
        <f>IF('Recurring Log'!G571="","",'Recurring Log'!G571)</f>
        <v/>
      </c>
      <c r="AY567">
        <f>IF('Recurring Log'!H571="","",'Recurring Log'!H571)</f>
        <v/>
      </c>
      <c r="AZ567">
        <f>IF(AU567="","",IF('Recurring Log'!J571="","Not Started",'Recurring Log'!J571))</f>
        <v/>
      </c>
      <c r="BA567">
        <f>'Recurring Log'!L571&amp;""</f>
        <v/>
      </c>
      <c r="BB567">
        <f>'Recurring Log'!M571&amp;""</f>
        <v/>
      </c>
      <c r="BC567">
        <f>'Recurring Log'!N571&amp;""</f>
        <v/>
      </c>
      <c r="BD567">
        <f>'Recurring Log'!O571&amp;""</f>
        <v/>
      </c>
      <c r="BE567">
        <f>IF('Recurring Log'!K571="","",'Recurring Log'!K571)</f>
        <v/>
      </c>
      <c r="BF567">
        <f>IFERROR(MATCH(BA567,Setup!$L$6:$L$9,0),5)</f>
        <v/>
      </c>
      <c r="BG567">
        <f>IF(OR(AZ567="Done",AZ567="Cancelled"),1,0)</f>
        <v/>
      </c>
      <c r="BH567">
        <f>IF(AND(AU567&lt;&gt;"",ISNUMBER(AW567)),1,0)</f>
        <v/>
      </c>
      <c r="BI567">
        <f>IF(BH567=0,0,IF(AND(AW567&gt;='Tasks Filter'!$F$3,AW567&lt;='Tasks Filter'!$F$4,OR('Tasks Filter'!$I$3="",ISNUMBER(SEARCH('Tasks Filter'!$I$3,AU567))),OR('Tasks Filter'!$I$4="",BF567=IFERROR(MATCH('Tasks Filter'!$I$4,Setup!$L$6:$L$9,0),0)),OR('Tasks Filter'!$I$5="Both",AND('Tasks Filter'!$I$5="Yes",BB567="✓"),AND('Tasks Filter'!$I$5="No",BB567&lt;&gt;"✓")),OR('Tasks Filter'!$L$3="",AV567='Tasks Filter'!$L$3),OR('Tasks Filter'!$L$4="",AZ567='Tasks Filter'!$L$4),OR('Tasks Filter'!$L$5="",BC567='Tasks Filter'!$L$5),OR('Tasks Filter'!$O$3="",BD567='Tasks Filter'!$O$3),OR('Tasks Filter'!$O$4="Yes",BG567=0)),1,0))</f>
        <v/>
      </c>
      <c r="BJ567">
        <f>IF(BH567=0,"",IF('Tasks Filter'!$F$6="Descending",-1,1)*CHOOSE(MATCH('Tasks Filter'!$F$5,Lists!$G$2:$G$6,0),AW567,BF567,IFERROR(MATCH(AV567,Setup!$F$6:$F$15,0),99),IFERROR(MATCH(BC567,Setup!$H$6:$H$15,0),99),IFERROR(MATCH(AZ567,Setup!$J$6:$J$11,0),99))*1E+9+(AW567-40000)*10000+566)</f>
        <v/>
      </c>
      <c r="BK567">
        <f>IF(BI567=1,BJ567,"")</f>
        <v/>
      </c>
      <c r="BL567">
        <f>IF(AND(BH567=1,BG567=0,N(AW567)&lt;Setup!$D$7),(AW567-40000)*10000+566,"")</f>
        <v/>
      </c>
      <c r="BM567">
        <f>IF(AND(BH567=1,AZ567&lt;&gt;"Cancelled",N(AW567)&gt;=Dashboard!$AB$3,N(AW567)&lt;=Dashboard!$AB$3+6),(AW567-40000)*100000+BF567*10000+566,"")</f>
        <v/>
      </c>
      <c r="BN567">
        <f>IF(AND(BH567=1,AZ567&lt;&gt;"Cancelled"),BF567*10000+566,"")</f>
        <v/>
      </c>
    </row>
    <row r="568">
      <c r="AS568" t="inlineStr">
        <is>
          <t>R</t>
        </is>
      </c>
      <c r="AT568" t="n">
        <v>572</v>
      </c>
      <c r="AU568">
        <f>'Recurring Log'!C572&amp;""</f>
        <v/>
      </c>
      <c r="AV568">
        <f>'Recurring Log'!D572&amp;""</f>
        <v/>
      </c>
      <c r="AW568">
        <f>IF('Recurring Log'!E572="","",'Recurring Log'!E572)</f>
        <v/>
      </c>
      <c r="AX568">
        <f>IF('Recurring Log'!G572="","",'Recurring Log'!G572)</f>
        <v/>
      </c>
      <c r="AY568">
        <f>IF('Recurring Log'!H572="","",'Recurring Log'!H572)</f>
        <v/>
      </c>
      <c r="AZ568">
        <f>IF(AU568="","",IF('Recurring Log'!J572="","Not Started",'Recurring Log'!J572))</f>
        <v/>
      </c>
      <c r="BA568">
        <f>'Recurring Log'!L572&amp;""</f>
        <v/>
      </c>
      <c r="BB568">
        <f>'Recurring Log'!M572&amp;""</f>
        <v/>
      </c>
      <c r="BC568">
        <f>'Recurring Log'!N572&amp;""</f>
        <v/>
      </c>
      <c r="BD568">
        <f>'Recurring Log'!O572&amp;""</f>
        <v/>
      </c>
      <c r="BE568">
        <f>IF('Recurring Log'!K572="","",'Recurring Log'!K572)</f>
        <v/>
      </c>
      <c r="BF568">
        <f>IFERROR(MATCH(BA568,Setup!$L$6:$L$9,0),5)</f>
        <v/>
      </c>
      <c r="BG568">
        <f>IF(OR(AZ568="Done",AZ568="Cancelled"),1,0)</f>
        <v/>
      </c>
      <c r="BH568">
        <f>IF(AND(AU568&lt;&gt;"",ISNUMBER(AW568)),1,0)</f>
        <v/>
      </c>
      <c r="BI568">
        <f>IF(BH568=0,0,IF(AND(AW568&gt;='Tasks Filter'!$F$3,AW568&lt;='Tasks Filter'!$F$4,OR('Tasks Filter'!$I$3="",ISNUMBER(SEARCH('Tasks Filter'!$I$3,AU568))),OR('Tasks Filter'!$I$4="",BF568=IFERROR(MATCH('Tasks Filter'!$I$4,Setup!$L$6:$L$9,0),0)),OR('Tasks Filter'!$I$5="Both",AND('Tasks Filter'!$I$5="Yes",BB568="✓"),AND('Tasks Filter'!$I$5="No",BB568&lt;&gt;"✓")),OR('Tasks Filter'!$L$3="",AV568='Tasks Filter'!$L$3),OR('Tasks Filter'!$L$4="",AZ568='Tasks Filter'!$L$4),OR('Tasks Filter'!$L$5="",BC568='Tasks Filter'!$L$5),OR('Tasks Filter'!$O$3="",BD568='Tasks Filter'!$O$3),OR('Tasks Filter'!$O$4="Yes",BG568=0)),1,0))</f>
        <v/>
      </c>
      <c r="BJ568">
        <f>IF(BH568=0,"",IF('Tasks Filter'!$F$6="Descending",-1,1)*CHOOSE(MATCH('Tasks Filter'!$F$5,Lists!$G$2:$G$6,0),AW568,BF568,IFERROR(MATCH(AV568,Setup!$F$6:$F$15,0),99),IFERROR(MATCH(BC568,Setup!$H$6:$H$15,0),99),IFERROR(MATCH(AZ568,Setup!$J$6:$J$11,0),99))*1E+9+(AW568-40000)*10000+567)</f>
        <v/>
      </c>
      <c r="BK568">
        <f>IF(BI568=1,BJ568,"")</f>
        <v/>
      </c>
      <c r="BL568">
        <f>IF(AND(BH568=1,BG568=0,N(AW568)&lt;Setup!$D$7),(AW568-40000)*10000+567,"")</f>
        <v/>
      </c>
      <c r="BM568">
        <f>IF(AND(BH568=1,AZ568&lt;&gt;"Cancelled",N(AW568)&gt;=Dashboard!$AB$3,N(AW568)&lt;=Dashboard!$AB$3+6),(AW568-40000)*100000+BF568*10000+567,"")</f>
        <v/>
      </c>
      <c r="BN568">
        <f>IF(AND(BH568=1,AZ568&lt;&gt;"Cancelled"),BF568*10000+567,"")</f>
        <v/>
      </c>
    </row>
    <row r="569">
      <c r="AS569" t="inlineStr">
        <is>
          <t>R</t>
        </is>
      </c>
      <c r="AT569" t="n">
        <v>573</v>
      </c>
      <c r="AU569">
        <f>'Recurring Log'!C573&amp;""</f>
        <v/>
      </c>
      <c r="AV569">
        <f>'Recurring Log'!D573&amp;""</f>
        <v/>
      </c>
      <c r="AW569">
        <f>IF('Recurring Log'!E573="","",'Recurring Log'!E573)</f>
        <v/>
      </c>
      <c r="AX569">
        <f>IF('Recurring Log'!G573="","",'Recurring Log'!G573)</f>
        <v/>
      </c>
      <c r="AY569">
        <f>IF('Recurring Log'!H573="","",'Recurring Log'!H573)</f>
        <v/>
      </c>
      <c r="AZ569">
        <f>IF(AU569="","",IF('Recurring Log'!J573="","Not Started",'Recurring Log'!J573))</f>
        <v/>
      </c>
      <c r="BA569">
        <f>'Recurring Log'!L573&amp;""</f>
        <v/>
      </c>
      <c r="BB569">
        <f>'Recurring Log'!M573&amp;""</f>
        <v/>
      </c>
      <c r="BC569">
        <f>'Recurring Log'!N573&amp;""</f>
        <v/>
      </c>
      <c r="BD569">
        <f>'Recurring Log'!O573&amp;""</f>
        <v/>
      </c>
      <c r="BE569">
        <f>IF('Recurring Log'!K573="","",'Recurring Log'!K573)</f>
        <v/>
      </c>
      <c r="BF569">
        <f>IFERROR(MATCH(BA569,Setup!$L$6:$L$9,0),5)</f>
        <v/>
      </c>
      <c r="BG569">
        <f>IF(OR(AZ569="Done",AZ569="Cancelled"),1,0)</f>
        <v/>
      </c>
      <c r="BH569">
        <f>IF(AND(AU569&lt;&gt;"",ISNUMBER(AW569)),1,0)</f>
        <v/>
      </c>
      <c r="BI569">
        <f>IF(BH569=0,0,IF(AND(AW569&gt;='Tasks Filter'!$F$3,AW569&lt;='Tasks Filter'!$F$4,OR('Tasks Filter'!$I$3="",ISNUMBER(SEARCH('Tasks Filter'!$I$3,AU569))),OR('Tasks Filter'!$I$4="",BF569=IFERROR(MATCH('Tasks Filter'!$I$4,Setup!$L$6:$L$9,0),0)),OR('Tasks Filter'!$I$5="Both",AND('Tasks Filter'!$I$5="Yes",BB569="✓"),AND('Tasks Filter'!$I$5="No",BB569&lt;&gt;"✓")),OR('Tasks Filter'!$L$3="",AV569='Tasks Filter'!$L$3),OR('Tasks Filter'!$L$4="",AZ569='Tasks Filter'!$L$4),OR('Tasks Filter'!$L$5="",BC569='Tasks Filter'!$L$5),OR('Tasks Filter'!$O$3="",BD569='Tasks Filter'!$O$3),OR('Tasks Filter'!$O$4="Yes",BG569=0)),1,0))</f>
        <v/>
      </c>
      <c r="BJ569">
        <f>IF(BH569=0,"",IF('Tasks Filter'!$F$6="Descending",-1,1)*CHOOSE(MATCH('Tasks Filter'!$F$5,Lists!$G$2:$G$6,0),AW569,BF569,IFERROR(MATCH(AV569,Setup!$F$6:$F$15,0),99),IFERROR(MATCH(BC569,Setup!$H$6:$H$15,0),99),IFERROR(MATCH(AZ569,Setup!$J$6:$J$11,0),99))*1E+9+(AW569-40000)*10000+568)</f>
        <v/>
      </c>
      <c r="BK569">
        <f>IF(BI569=1,BJ569,"")</f>
        <v/>
      </c>
      <c r="BL569">
        <f>IF(AND(BH569=1,BG569=0,N(AW569)&lt;Setup!$D$7),(AW569-40000)*10000+568,"")</f>
        <v/>
      </c>
      <c r="BM569">
        <f>IF(AND(BH569=1,AZ569&lt;&gt;"Cancelled",N(AW569)&gt;=Dashboard!$AB$3,N(AW569)&lt;=Dashboard!$AB$3+6),(AW569-40000)*100000+BF569*10000+568,"")</f>
        <v/>
      </c>
      <c r="BN569">
        <f>IF(AND(BH569=1,AZ569&lt;&gt;"Cancelled"),BF569*10000+568,"")</f>
        <v/>
      </c>
    </row>
    <row r="570">
      <c r="AS570" t="inlineStr">
        <is>
          <t>R</t>
        </is>
      </c>
      <c r="AT570" t="n">
        <v>574</v>
      </c>
      <c r="AU570">
        <f>'Recurring Log'!C574&amp;""</f>
        <v/>
      </c>
      <c r="AV570">
        <f>'Recurring Log'!D574&amp;""</f>
        <v/>
      </c>
      <c r="AW570">
        <f>IF('Recurring Log'!E574="","",'Recurring Log'!E574)</f>
        <v/>
      </c>
      <c r="AX570">
        <f>IF('Recurring Log'!G574="","",'Recurring Log'!G574)</f>
        <v/>
      </c>
      <c r="AY570">
        <f>IF('Recurring Log'!H574="","",'Recurring Log'!H574)</f>
        <v/>
      </c>
      <c r="AZ570">
        <f>IF(AU570="","",IF('Recurring Log'!J574="","Not Started",'Recurring Log'!J574))</f>
        <v/>
      </c>
      <c r="BA570">
        <f>'Recurring Log'!L574&amp;""</f>
        <v/>
      </c>
      <c r="BB570">
        <f>'Recurring Log'!M574&amp;""</f>
        <v/>
      </c>
      <c r="BC570">
        <f>'Recurring Log'!N574&amp;""</f>
        <v/>
      </c>
      <c r="BD570">
        <f>'Recurring Log'!O574&amp;""</f>
        <v/>
      </c>
      <c r="BE570">
        <f>IF('Recurring Log'!K574="","",'Recurring Log'!K574)</f>
        <v/>
      </c>
      <c r="BF570">
        <f>IFERROR(MATCH(BA570,Setup!$L$6:$L$9,0),5)</f>
        <v/>
      </c>
      <c r="BG570">
        <f>IF(OR(AZ570="Done",AZ570="Cancelled"),1,0)</f>
        <v/>
      </c>
      <c r="BH570">
        <f>IF(AND(AU570&lt;&gt;"",ISNUMBER(AW570)),1,0)</f>
        <v/>
      </c>
      <c r="BI570">
        <f>IF(BH570=0,0,IF(AND(AW570&gt;='Tasks Filter'!$F$3,AW570&lt;='Tasks Filter'!$F$4,OR('Tasks Filter'!$I$3="",ISNUMBER(SEARCH('Tasks Filter'!$I$3,AU570))),OR('Tasks Filter'!$I$4="",BF570=IFERROR(MATCH('Tasks Filter'!$I$4,Setup!$L$6:$L$9,0),0)),OR('Tasks Filter'!$I$5="Both",AND('Tasks Filter'!$I$5="Yes",BB570="✓"),AND('Tasks Filter'!$I$5="No",BB570&lt;&gt;"✓")),OR('Tasks Filter'!$L$3="",AV570='Tasks Filter'!$L$3),OR('Tasks Filter'!$L$4="",AZ570='Tasks Filter'!$L$4),OR('Tasks Filter'!$L$5="",BC570='Tasks Filter'!$L$5),OR('Tasks Filter'!$O$3="",BD570='Tasks Filter'!$O$3),OR('Tasks Filter'!$O$4="Yes",BG570=0)),1,0))</f>
        <v/>
      </c>
      <c r="BJ570">
        <f>IF(BH570=0,"",IF('Tasks Filter'!$F$6="Descending",-1,1)*CHOOSE(MATCH('Tasks Filter'!$F$5,Lists!$G$2:$G$6,0),AW570,BF570,IFERROR(MATCH(AV570,Setup!$F$6:$F$15,0),99),IFERROR(MATCH(BC570,Setup!$H$6:$H$15,0),99),IFERROR(MATCH(AZ570,Setup!$J$6:$J$11,0),99))*1E+9+(AW570-40000)*10000+569)</f>
        <v/>
      </c>
      <c r="BK570">
        <f>IF(BI570=1,BJ570,"")</f>
        <v/>
      </c>
      <c r="BL570">
        <f>IF(AND(BH570=1,BG570=0,N(AW570)&lt;Setup!$D$7),(AW570-40000)*10000+569,"")</f>
        <v/>
      </c>
      <c r="BM570">
        <f>IF(AND(BH570=1,AZ570&lt;&gt;"Cancelled",N(AW570)&gt;=Dashboard!$AB$3,N(AW570)&lt;=Dashboard!$AB$3+6),(AW570-40000)*100000+BF570*10000+569,"")</f>
        <v/>
      </c>
      <c r="BN570">
        <f>IF(AND(BH570=1,AZ570&lt;&gt;"Cancelled"),BF570*10000+569,"")</f>
        <v/>
      </c>
    </row>
    <row r="571">
      <c r="AS571" t="inlineStr">
        <is>
          <t>R</t>
        </is>
      </c>
      <c r="AT571" t="n">
        <v>575</v>
      </c>
      <c r="AU571">
        <f>'Recurring Log'!C575&amp;""</f>
        <v/>
      </c>
      <c r="AV571">
        <f>'Recurring Log'!D575&amp;""</f>
        <v/>
      </c>
      <c r="AW571">
        <f>IF('Recurring Log'!E575="","",'Recurring Log'!E575)</f>
        <v/>
      </c>
      <c r="AX571">
        <f>IF('Recurring Log'!G575="","",'Recurring Log'!G575)</f>
        <v/>
      </c>
      <c r="AY571">
        <f>IF('Recurring Log'!H575="","",'Recurring Log'!H575)</f>
        <v/>
      </c>
      <c r="AZ571">
        <f>IF(AU571="","",IF('Recurring Log'!J575="","Not Started",'Recurring Log'!J575))</f>
        <v/>
      </c>
      <c r="BA571">
        <f>'Recurring Log'!L575&amp;""</f>
        <v/>
      </c>
      <c r="BB571">
        <f>'Recurring Log'!M575&amp;""</f>
        <v/>
      </c>
      <c r="BC571">
        <f>'Recurring Log'!N575&amp;""</f>
        <v/>
      </c>
      <c r="BD571">
        <f>'Recurring Log'!O575&amp;""</f>
        <v/>
      </c>
      <c r="BE571">
        <f>IF('Recurring Log'!K575="","",'Recurring Log'!K575)</f>
        <v/>
      </c>
      <c r="BF571">
        <f>IFERROR(MATCH(BA571,Setup!$L$6:$L$9,0),5)</f>
        <v/>
      </c>
      <c r="BG571">
        <f>IF(OR(AZ571="Done",AZ571="Cancelled"),1,0)</f>
        <v/>
      </c>
      <c r="BH571">
        <f>IF(AND(AU571&lt;&gt;"",ISNUMBER(AW571)),1,0)</f>
        <v/>
      </c>
      <c r="BI571">
        <f>IF(BH571=0,0,IF(AND(AW571&gt;='Tasks Filter'!$F$3,AW571&lt;='Tasks Filter'!$F$4,OR('Tasks Filter'!$I$3="",ISNUMBER(SEARCH('Tasks Filter'!$I$3,AU571))),OR('Tasks Filter'!$I$4="",BF571=IFERROR(MATCH('Tasks Filter'!$I$4,Setup!$L$6:$L$9,0),0)),OR('Tasks Filter'!$I$5="Both",AND('Tasks Filter'!$I$5="Yes",BB571="✓"),AND('Tasks Filter'!$I$5="No",BB571&lt;&gt;"✓")),OR('Tasks Filter'!$L$3="",AV571='Tasks Filter'!$L$3),OR('Tasks Filter'!$L$4="",AZ571='Tasks Filter'!$L$4),OR('Tasks Filter'!$L$5="",BC571='Tasks Filter'!$L$5),OR('Tasks Filter'!$O$3="",BD571='Tasks Filter'!$O$3),OR('Tasks Filter'!$O$4="Yes",BG571=0)),1,0))</f>
        <v/>
      </c>
      <c r="BJ571">
        <f>IF(BH571=0,"",IF('Tasks Filter'!$F$6="Descending",-1,1)*CHOOSE(MATCH('Tasks Filter'!$F$5,Lists!$G$2:$G$6,0),AW571,BF571,IFERROR(MATCH(AV571,Setup!$F$6:$F$15,0),99),IFERROR(MATCH(BC571,Setup!$H$6:$H$15,0),99),IFERROR(MATCH(AZ571,Setup!$J$6:$J$11,0),99))*1E+9+(AW571-40000)*10000+570)</f>
        <v/>
      </c>
      <c r="BK571">
        <f>IF(BI571=1,BJ571,"")</f>
        <v/>
      </c>
      <c r="BL571">
        <f>IF(AND(BH571=1,BG571=0,N(AW571)&lt;Setup!$D$7),(AW571-40000)*10000+570,"")</f>
        <v/>
      </c>
      <c r="BM571">
        <f>IF(AND(BH571=1,AZ571&lt;&gt;"Cancelled",N(AW571)&gt;=Dashboard!$AB$3,N(AW571)&lt;=Dashboard!$AB$3+6),(AW571-40000)*100000+BF571*10000+570,"")</f>
        <v/>
      </c>
      <c r="BN571">
        <f>IF(AND(BH571=1,AZ571&lt;&gt;"Cancelled"),BF571*10000+570,"")</f>
        <v/>
      </c>
    </row>
    <row r="572">
      <c r="AS572" t="inlineStr">
        <is>
          <t>R</t>
        </is>
      </c>
      <c r="AT572" t="n">
        <v>576</v>
      </c>
      <c r="AU572">
        <f>'Recurring Log'!C576&amp;""</f>
        <v/>
      </c>
      <c r="AV572">
        <f>'Recurring Log'!D576&amp;""</f>
        <v/>
      </c>
      <c r="AW572">
        <f>IF('Recurring Log'!E576="","",'Recurring Log'!E576)</f>
        <v/>
      </c>
      <c r="AX572">
        <f>IF('Recurring Log'!G576="","",'Recurring Log'!G576)</f>
        <v/>
      </c>
      <c r="AY572">
        <f>IF('Recurring Log'!H576="","",'Recurring Log'!H576)</f>
        <v/>
      </c>
      <c r="AZ572">
        <f>IF(AU572="","",IF('Recurring Log'!J576="","Not Started",'Recurring Log'!J576))</f>
        <v/>
      </c>
      <c r="BA572">
        <f>'Recurring Log'!L576&amp;""</f>
        <v/>
      </c>
      <c r="BB572">
        <f>'Recurring Log'!M576&amp;""</f>
        <v/>
      </c>
      <c r="BC572">
        <f>'Recurring Log'!N576&amp;""</f>
        <v/>
      </c>
      <c r="BD572">
        <f>'Recurring Log'!O576&amp;""</f>
        <v/>
      </c>
      <c r="BE572">
        <f>IF('Recurring Log'!K576="","",'Recurring Log'!K576)</f>
        <v/>
      </c>
      <c r="BF572">
        <f>IFERROR(MATCH(BA572,Setup!$L$6:$L$9,0),5)</f>
        <v/>
      </c>
      <c r="BG572">
        <f>IF(OR(AZ572="Done",AZ572="Cancelled"),1,0)</f>
        <v/>
      </c>
      <c r="BH572">
        <f>IF(AND(AU572&lt;&gt;"",ISNUMBER(AW572)),1,0)</f>
        <v/>
      </c>
      <c r="BI572">
        <f>IF(BH572=0,0,IF(AND(AW572&gt;='Tasks Filter'!$F$3,AW572&lt;='Tasks Filter'!$F$4,OR('Tasks Filter'!$I$3="",ISNUMBER(SEARCH('Tasks Filter'!$I$3,AU572))),OR('Tasks Filter'!$I$4="",BF572=IFERROR(MATCH('Tasks Filter'!$I$4,Setup!$L$6:$L$9,0),0)),OR('Tasks Filter'!$I$5="Both",AND('Tasks Filter'!$I$5="Yes",BB572="✓"),AND('Tasks Filter'!$I$5="No",BB572&lt;&gt;"✓")),OR('Tasks Filter'!$L$3="",AV572='Tasks Filter'!$L$3),OR('Tasks Filter'!$L$4="",AZ572='Tasks Filter'!$L$4),OR('Tasks Filter'!$L$5="",BC572='Tasks Filter'!$L$5),OR('Tasks Filter'!$O$3="",BD572='Tasks Filter'!$O$3),OR('Tasks Filter'!$O$4="Yes",BG572=0)),1,0))</f>
        <v/>
      </c>
      <c r="BJ572">
        <f>IF(BH572=0,"",IF('Tasks Filter'!$F$6="Descending",-1,1)*CHOOSE(MATCH('Tasks Filter'!$F$5,Lists!$G$2:$G$6,0),AW572,BF572,IFERROR(MATCH(AV572,Setup!$F$6:$F$15,0),99),IFERROR(MATCH(BC572,Setup!$H$6:$H$15,0),99),IFERROR(MATCH(AZ572,Setup!$J$6:$J$11,0),99))*1E+9+(AW572-40000)*10000+571)</f>
        <v/>
      </c>
      <c r="BK572">
        <f>IF(BI572=1,BJ572,"")</f>
        <v/>
      </c>
      <c r="BL572">
        <f>IF(AND(BH572=1,BG572=0,N(AW572)&lt;Setup!$D$7),(AW572-40000)*10000+571,"")</f>
        <v/>
      </c>
      <c r="BM572">
        <f>IF(AND(BH572=1,AZ572&lt;&gt;"Cancelled",N(AW572)&gt;=Dashboard!$AB$3,N(AW572)&lt;=Dashboard!$AB$3+6),(AW572-40000)*100000+BF572*10000+571,"")</f>
        <v/>
      </c>
      <c r="BN572">
        <f>IF(AND(BH572=1,AZ572&lt;&gt;"Cancelled"),BF572*10000+571,"")</f>
        <v/>
      </c>
    </row>
    <row r="573">
      <c r="AS573" t="inlineStr">
        <is>
          <t>R</t>
        </is>
      </c>
      <c r="AT573" t="n">
        <v>577</v>
      </c>
      <c r="AU573">
        <f>'Recurring Log'!C577&amp;""</f>
        <v/>
      </c>
      <c r="AV573">
        <f>'Recurring Log'!D577&amp;""</f>
        <v/>
      </c>
      <c r="AW573">
        <f>IF('Recurring Log'!E577="","",'Recurring Log'!E577)</f>
        <v/>
      </c>
      <c r="AX573">
        <f>IF('Recurring Log'!G577="","",'Recurring Log'!G577)</f>
        <v/>
      </c>
      <c r="AY573">
        <f>IF('Recurring Log'!H577="","",'Recurring Log'!H577)</f>
        <v/>
      </c>
      <c r="AZ573">
        <f>IF(AU573="","",IF('Recurring Log'!J577="","Not Started",'Recurring Log'!J577))</f>
        <v/>
      </c>
      <c r="BA573">
        <f>'Recurring Log'!L577&amp;""</f>
        <v/>
      </c>
      <c r="BB573">
        <f>'Recurring Log'!M577&amp;""</f>
        <v/>
      </c>
      <c r="BC573">
        <f>'Recurring Log'!N577&amp;""</f>
        <v/>
      </c>
      <c r="BD573">
        <f>'Recurring Log'!O577&amp;""</f>
        <v/>
      </c>
      <c r="BE573">
        <f>IF('Recurring Log'!K577="","",'Recurring Log'!K577)</f>
        <v/>
      </c>
      <c r="BF573">
        <f>IFERROR(MATCH(BA573,Setup!$L$6:$L$9,0),5)</f>
        <v/>
      </c>
      <c r="BG573">
        <f>IF(OR(AZ573="Done",AZ573="Cancelled"),1,0)</f>
        <v/>
      </c>
      <c r="BH573">
        <f>IF(AND(AU573&lt;&gt;"",ISNUMBER(AW573)),1,0)</f>
        <v/>
      </c>
      <c r="BI573">
        <f>IF(BH573=0,0,IF(AND(AW573&gt;='Tasks Filter'!$F$3,AW573&lt;='Tasks Filter'!$F$4,OR('Tasks Filter'!$I$3="",ISNUMBER(SEARCH('Tasks Filter'!$I$3,AU573))),OR('Tasks Filter'!$I$4="",BF573=IFERROR(MATCH('Tasks Filter'!$I$4,Setup!$L$6:$L$9,0),0)),OR('Tasks Filter'!$I$5="Both",AND('Tasks Filter'!$I$5="Yes",BB573="✓"),AND('Tasks Filter'!$I$5="No",BB573&lt;&gt;"✓")),OR('Tasks Filter'!$L$3="",AV573='Tasks Filter'!$L$3),OR('Tasks Filter'!$L$4="",AZ573='Tasks Filter'!$L$4),OR('Tasks Filter'!$L$5="",BC573='Tasks Filter'!$L$5),OR('Tasks Filter'!$O$3="",BD573='Tasks Filter'!$O$3),OR('Tasks Filter'!$O$4="Yes",BG573=0)),1,0))</f>
        <v/>
      </c>
      <c r="BJ573">
        <f>IF(BH573=0,"",IF('Tasks Filter'!$F$6="Descending",-1,1)*CHOOSE(MATCH('Tasks Filter'!$F$5,Lists!$G$2:$G$6,0),AW573,BF573,IFERROR(MATCH(AV573,Setup!$F$6:$F$15,0),99),IFERROR(MATCH(BC573,Setup!$H$6:$H$15,0),99),IFERROR(MATCH(AZ573,Setup!$J$6:$J$11,0),99))*1E+9+(AW573-40000)*10000+572)</f>
        <v/>
      </c>
      <c r="BK573">
        <f>IF(BI573=1,BJ573,"")</f>
        <v/>
      </c>
      <c r="BL573">
        <f>IF(AND(BH573=1,BG573=0,N(AW573)&lt;Setup!$D$7),(AW573-40000)*10000+572,"")</f>
        <v/>
      </c>
      <c r="BM573">
        <f>IF(AND(BH573=1,AZ573&lt;&gt;"Cancelled",N(AW573)&gt;=Dashboard!$AB$3,N(AW573)&lt;=Dashboard!$AB$3+6),(AW573-40000)*100000+BF573*10000+572,"")</f>
        <v/>
      </c>
      <c r="BN573">
        <f>IF(AND(BH573=1,AZ573&lt;&gt;"Cancelled"),BF573*10000+572,"")</f>
        <v/>
      </c>
    </row>
    <row r="574">
      <c r="AS574" t="inlineStr">
        <is>
          <t>R</t>
        </is>
      </c>
      <c r="AT574" t="n">
        <v>578</v>
      </c>
      <c r="AU574">
        <f>'Recurring Log'!C578&amp;""</f>
        <v/>
      </c>
      <c r="AV574">
        <f>'Recurring Log'!D578&amp;""</f>
        <v/>
      </c>
      <c r="AW574">
        <f>IF('Recurring Log'!E578="","",'Recurring Log'!E578)</f>
        <v/>
      </c>
      <c r="AX574">
        <f>IF('Recurring Log'!G578="","",'Recurring Log'!G578)</f>
        <v/>
      </c>
      <c r="AY574">
        <f>IF('Recurring Log'!H578="","",'Recurring Log'!H578)</f>
        <v/>
      </c>
      <c r="AZ574">
        <f>IF(AU574="","",IF('Recurring Log'!J578="","Not Started",'Recurring Log'!J578))</f>
        <v/>
      </c>
      <c r="BA574">
        <f>'Recurring Log'!L578&amp;""</f>
        <v/>
      </c>
      <c r="BB574">
        <f>'Recurring Log'!M578&amp;""</f>
        <v/>
      </c>
      <c r="BC574">
        <f>'Recurring Log'!N578&amp;""</f>
        <v/>
      </c>
      <c r="BD574">
        <f>'Recurring Log'!O578&amp;""</f>
        <v/>
      </c>
      <c r="BE574">
        <f>IF('Recurring Log'!K578="","",'Recurring Log'!K578)</f>
        <v/>
      </c>
      <c r="BF574">
        <f>IFERROR(MATCH(BA574,Setup!$L$6:$L$9,0),5)</f>
        <v/>
      </c>
      <c r="BG574">
        <f>IF(OR(AZ574="Done",AZ574="Cancelled"),1,0)</f>
        <v/>
      </c>
      <c r="BH574">
        <f>IF(AND(AU574&lt;&gt;"",ISNUMBER(AW574)),1,0)</f>
        <v/>
      </c>
      <c r="BI574">
        <f>IF(BH574=0,0,IF(AND(AW574&gt;='Tasks Filter'!$F$3,AW574&lt;='Tasks Filter'!$F$4,OR('Tasks Filter'!$I$3="",ISNUMBER(SEARCH('Tasks Filter'!$I$3,AU574))),OR('Tasks Filter'!$I$4="",BF574=IFERROR(MATCH('Tasks Filter'!$I$4,Setup!$L$6:$L$9,0),0)),OR('Tasks Filter'!$I$5="Both",AND('Tasks Filter'!$I$5="Yes",BB574="✓"),AND('Tasks Filter'!$I$5="No",BB574&lt;&gt;"✓")),OR('Tasks Filter'!$L$3="",AV574='Tasks Filter'!$L$3),OR('Tasks Filter'!$L$4="",AZ574='Tasks Filter'!$L$4),OR('Tasks Filter'!$L$5="",BC574='Tasks Filter'!$L$5),OR('Tasks Filter'!$O$3="",BD574='Tasks Filter'!$O$3),OR('Tasks Filter'!$O$4="Yes",BG574=0)),1,0))</f>
        <v/>
      </c>
      <c r="BJ574">
        <f>IF(BH574=0,"",IF('Tasks Filter'!$F$6="Descending",-1,1)*CHOOSE(MATCH('Tasks Filter'!$F$5,Lists!$G$2:$G$6,0),AW574,BF574,IFERROR(MATCH(AV574,Setup!$F$6:$F$15,0),99),IFERROR(MATCH(BC574,Setup!$H$6:$H$15,0),99),IFERROR(MATCH(AZ574,Setup!$J$6:$J$11,0),99))*1E+9+(AW574-40000)*10000+573)</f>
        <v/>
      </c>
      <c r="BK574">
        <f>IF(BI574=1,BJ574,"")</f>
        <v/>
      </c>
      <c r="BL574">
        <f>IF(AND(BH574=1,BG574=0,N(AW574)&lt;Setup!$D$7),(AW574-40000)*10000+573,"")</f>
        <v/>
      </c>
      <c r="BM574">
        <f>IF(AND(BH574=1,AZ574&lt;&gt;"Cancelled",N(AW574)&gt;=Dashboard!$AB$3,N(AW574)&lt;=Dashboard!$AB$3+6),(AW574-40000)*100000+BF574*10000+573,"")</f>
        <v/>
      </c>
      <c r="BN574">
        <f>IF(AND(BH574=1,AZ574&lt;&gt;"Cancelled"),BF574*10000+573,"")</f>
        <v/>
      </c>
    </row>
    <row r="575">
      <c r="AS575" t="inlineStr">
        <is>
          <t>R</t>
        </is>
      </c>
      <c r="AT575" t="n">
        <v>579</v>
      </c>
      <c r="AU575">
        <f>'Recurring Log'!C579&amp;""</f>
        <v/>
      </c>
      <c r="AV575">
        <f>'Recurring Log'!D579&amp;""</f>
        <v/>
      </c>
      <c r="AW575">
        <f>IF('Recurring Log'!E579="","",'Recurring Log'!E579)</f>
        <v/>
      </c>
      <c r="AX575">
        <f>IF('Recurring Log'!G579="","",'Recurring Log'!G579)</f>
        <v/>
      </c>
      <c r="AY575">
        <f>IF('Recurring Log'!H579="","",'Recurring Log'!H579)</f>
        <v/>
      </c>
      <c r="AZ575">
        <f>IF(AU575="","",IF('Recurring Log'!J579="","Not Started",'Recurring Log'!J579))</f>
        <v/>
      </c>
      <c r="BA575">
        <f>'Recurring Log'!L579&amp;""</f>
        <v/>
      </c>
      <c r="BB575">
        <f>'Recurring Log'!M579&amp;""</f>
        <v/>
      </c>
      <c r="BC575">
        <f>'Recurring Log'!N579&amp;""</f>
        <v/>
      </c>
      <c r="BD575">
        <f>'Recurring Log'!O579&amp;""</f>
        <v/>
      </c>
      <c r="BE575">
        <f>IF('Recurring Log'!K579="","",'Recurring Log'!K579)</f>
        <v/>
      </c>
      <c r="BF575">
        <f>IFERROR(MATCH(BA575,Setup!$L$6:$L$9,0),5)</f>
        <v/>
      </c>
      <c r="BG575">
        <f>IF(OR(AZ575="Done",AZ575="Cancelled"),1,0)</f>
        <v/>
      </c>
      <c r="BH575">
        <f>IF(AND(AU575&lt;&gt;"",ISNUMBER(AW575)),1,0)</f>
        <v/>
      </c>
      <c r="BI575">
        <f>IF(BH575=0,0,IF(AND(AW575&gt;='Tasks Filter'!$F$3,AW575&lt;='Tasks Filter'!$F$4,OR('Tasks Filter'!$I$3="",ISNUMBER(SEARCH('Tasks Filter'!$I$3,AU575))),OR('Tasks Filter'!$I$4="",BF575=IFERROR(MATCH('Tasks Filter'!$I$4,Setup!$L$6:$L$9,0),0)),OR('Tasks Filter'!$I$5="Both",AND('Tasks Filter'!$I$5="Yes",BB575="✓"),AND('Tasks Filter'!$I$5="No",BB575&lt;&gt;"✓")),OR('Tasks Filter'!$L$3="",AV575='Tasks Filter'!$L$3),OR('Tasks Filter'!$L$4="",AZ575='Tasks Filter'!$L$4),OR('Tasks Filter'!$L$5="",BC575='Tasks Filter'!$L$5),OR('Tasks Filter'!$O$3="",BD575='Tasks Filter'!$O$3),OR('Tasks Filter'!$O$4="Yes",BG575=0)),1,0))</f>
        <v/>
      </c>
      <c r="BJ575">
        <f>IF(BH575=0,"",IF('Tasks Filter'!$F$6="Descending",-1,1)*CHOOSE(MATCH('Tasks Filter'!$F$5,Lists!$G$2:$G$6,0),AW575,BF575,IFERROR(MATCH(AV575,Setup!$F$6:$F$15,0),99),IFERROR(MATCH(BC575,Setup!$H$6:$H$15,0),99),IFERROR(MATCH(AZ575,Setup!$J$6:$J$11,0),99))*1E+9+(AW575-40000)*10000+574)</f>
        <v/>
      </c>
      <c r="BK575">
        <f>IF(BI575=1,BJ575,"")</f>
        <v/>
      </c>
      <c r="BL575">
        <f>IF(AND(BH575=1,BG575=0,N(AW575)&lt;Setup!$D$7),(AW575-40000)*10000+574,"")</f>
        <v/>
      </c>
      <c r="BM575">
        <f>IF(AND(BH575=1,AZ575&lt;&gt;"Cancelled",N(AW575)&gt;=Dashboard!$AB$3,N(AW575)&lt;=Dashboard!$AB$3+6),(AW575-40000)*100000+BF575*10000+574,"")</f>
        <v/>
      </c>
      <c r="BN575">
        <f>IF(AND(BH575=1,AZ575&lt;&gt;"Cancelled"),BF575*10000+574,"")</f>
        <v/>
      </c>
    </row>
    <row r="576">
      <c r="AS576" t="inlineStr">
        <is>
          <t>R</t>
        </is>
      </c>
      <c r="AT576" t="n">
        <v>580</v>
      </c>
      <c r="AU576">
        <f>'Recurring Log'!C580&amp;""</f>
        <v/>
      </c>
      <c r="AV576">
        <f>'Recurring Log'!D580&amp;""</f>
        <v/>
      </c>
      <c r="AW576">
        <f>IF('Recurring Log'!E580="","",'Recurring Log'!E580)</f>
        <v/>
      </c>
      <c r="AX576">
        <f>IF('Recurring Log'!G580="","",'Recurring Log'!G580)</f>
        <v/>
      </c>
      <c r="AY576">
        <f>IF('Recurring Log'!H580="","",'Recurring Log'!H580)</f>
        <v/>
      </c>
      <c r="AZ576">
        <f>IF(AU576="","",IF('Recurring Log'!J580="","Not Started",'Recurring Log'!J580))</f>
        <v/>
      </c>
      <c r="BA576">
        <f>'Recurring Log'!L580&amp;""</f>
        <v/>
      </c>
      <c r="BB576">
        <f>'Recurring Log'!M580&amp;""</f>
        <v/>
      </c>
      <c r="BC576">
        <f>'Recurring Log'!N580&amp;""</f>
        <v/>
      </c>
      <c r="BD576">
        <f>'Recurring Log'!O580&amp;""</f>
        <v/>
      </c>
      <c r="BE576">
        <f>IF('Recurring Log'!K580="","",'Recurring Log'!K580)</f>
        <v/>
      </c>
      <c r="BF576">
        <f>IFERROR(MATCH(BA576,Setup!$L$6:$L$9,0),5)</f>
        <v/>
      </c>
      <c r="BG576">
        <f>IF(OR(AZ576="Done",AZ576="Cancelled"),1,0)</f>
        <v/>
      </c>
      <c r="BH576">
        <f>IF(AND(AU576&lt;&gt;"",ISNUMBER(AW576)),1,0)</f>
        <v/>
      </c>
      <c r="BI576">
        <f>IF(BH576=0,0,IF(AND(AW576&gt;='Tasks Filter'!$F$3,AW576&lt;='Tasks Filter'!$F$4,OR('Tasks Filter'!$I$3="",ISNUMBER(SEARCH('Tasks Filter'!$I$3,AU576))),OR('Tasks Filter'!$I$4="",BF576=IFERROR(MATCH('Tasks Filter'!$I$4,Setup!$L$6:$L$9,0),0)),OR('Tasks Filter'!$I$5="Both",AND('Tasks Filter'!$I$5="Yes",BB576="✓"),AND('Tasks Filter'!$I$5="No",BB576&lt;&gt;"✓")),OR('Tasks Filter'!$L$3="",AV576='Tasks Filter'!$L$3),OR('Tasks Filter'!$L$4="",AZ576='Tasks Filter'!$L$4),OR('Tasks Filter'!$L$5="",BC576='Tasks Filter'!$L$5),OR('Tasks Filter'!$O$3="",BD576='Tasks Filter'!$O$3),OR('Tasks Filter'!$O$4="Yes",BG576=0)),1,0))</f>
        <v/>
      </c>
      <c r="BJ576">
        <f>IF(BH576=0,"",IF('Tasks Filter'!$F$6="Descending",-1,1)*CHOOSE(MATCH('Tasks Filter'!$F$5,Lists!$G$2:$G$6,0),AW576,BF576,IFERROR(MATCH(AV576,Setup!$F$6:$F$15,0),99),IFERROR(MATCH(BC576,Setup!$H$6:$H$15,0),99),IFERROR(MATCH(AZ576,Setup!$J$6:$J$11,0),99))*1E+9+(AW576-40000)*10000+575)</f>
        <v/>
      </c>
      <c r="BK576">
        <f>IF(BI576=1,BJ576,"")</f>
        <v/>
      </c>
      <c r="BL576">
        <f>IF(AND(BH576=1,BG576=0,N(AW576)&lt;Setup!$D$7),(AW576-40000)*10000+575,"")</f>
        <v/>
      </c>
      <c r="BM576">
        <f>IF(AND(BH576=1,AZ576&lt;&gt;"Cancelled",N(AW576)&gt;=Dashboard!$AB$3,N(AW576)&lt;=Dashboard!$AB$3+6),(AW576-40000)*100000+BF576*10000+575,"")</f>
        <v/>
      </c>
      <c r="BN576">
        <f>IF(AND(BH576=1,AZ576&lt;&gt;"Cancelled"),BF576*10000+575,"")</f>
        <v/>
      </c>
    </row>
    <row r="577">
      <c r="AS577" t="inlineStr">
        <is>
          <t>R</t>
        </is>
      </c>
      <c r="AT577" t="n">
        <v>581</v>
      </c>
      <c r="AU577">
        <f>'Recurring Log'!C581&amp;""</f>
        <v/>
      </c>
      <c r="AV577">
        <f>'Recurring Log'!D581&amp;""</f>
        <v/>
      </c>
      <c r="AW577">
        <f>IF('Recurring Log'!E581="","",'Recurring Log'!E581)</f>
        <v/>
      </c>
      <c r="AX577">
        <f>IF('Recurring Log'!G581="","",'Recurring Log'!G581)</f>
        <v/>
      </c>
      <c r="AY577">
        <f>IF('Recurring Log'!H581="","",'Recurring Log'!H581)</f>
        <v/>
      </c>
      <c r="AZ577">
        <f>IF(AU577="","",IF('Recurring Log'!J581="","Not Started",'Recurring Log'!J581))</f>
        <v/>
      </c>
      <c r="BA577">
        <f>'Recurring Log'!L581&amp;""</f>
        <v/>
      </c>
      <c r="BB577">
        <f>'Recurring Log'!M581&amp;""</f>
        <v/>
      </c>
      <c r="BC577">
        <f>'Recurring Log'!N581&amp;""</f>
        <v/>
      </c>
      <c r="BD577">
        <f>'Recurring Log'!O581&amp;""</f>
        <v/>
      </c>
      <c r="BE577">
        <f>IF('Recurring Log'!K581="","",'Recurring Log'!K581)</f>
        <v/>
      </c>
      <c r="BF577">
        <f>IFERROR(MATCH(BA577,Setup!$L$6:$L$9,0),5)</f>
        <v/>
      </c>
      <c r="BG577">
        <f>IF(OR(AZ577="Done",AZ577="Cancelled"),1,0)</f>
        <v/>
      </c>
      <c r="BH577">
        <f>IF(AND(AU577&lt;&gt;"",ISNUMBER(AW577)),1,0)</f>
        <v/>
      </c>
      <c r="BI577">
        <f>IF(BH577=0,0,IF(AND(AW577&gt;='Tasks Filter'!$F$3,AW577&lt;='Tasks Filter'!$F$4,OR('Tasks Filter'!$I$3="",ISNUMBER(SEARCH('Tasks Filter'!$I$3,AU577))),OR('Tasks Filter'!$I$4="",BF577=IFERROR(MATCH('Tasks Filter'!$I$4,Setup!$L$6:$L$9,0),0)),OR('Tasks Filter'!$I$5="Both",AND('Tasks Filter'!$I$5="Yes",BB577="✓"),AND('Tasks Filter'!$I$5="No",BB577&lt;&gt;"✓")),OR('Tasks Filter'!$L$3="",AV577='Tasks Filter'!$L$3),OR('Tasks Filter'!$L$4="",AZ577='Tasks Filter'!$L$4),OR('Tasks Filter'!$L$5="",BC577='Tasks Filter'!$L$5),OR('Tasks Filter'!$O$3="",BD577='Tasks Filter'!$O$3),OR('Tasks Filter'!$O$4="Yes",BG577=0)),1,0))</f>
        <v/>
      </c>
      <c r="BJ577">
        <f>IF(BH577=0,"",IF('Tasks Filter'!$F$6="Descending",-1,1)*CHOOSE(MATCH('Tasks Filter'!$F$5,Lists!$G$2:$G$6,0),AW577,BF577,IFERROR(MATCH(AV577,Setup!$F$6:$F$15,0),99),IFERROR(MATCH(BC577,Setup!$H$6:$H$15,0),99),IFERROR(MATCH(AZ577,Setup!$J$6:$J$11,0),99))*1E+9+(AW577-40000)*10000+576)</f>
        <v/>
      </c>
      <c r="BK577">
        <f>IF(BI577=1,BJ577,"")</f>
        <v/>
      </c>
      <c r="BL577">
        <f>IF(AND(BH577=1,BG577=0,N(AW577)&lt;Setup!$D$7),(AW577-40000)*10000+576,"")</f>
        <v/>
      </c>
      <c r="BM577">
        <f>IF(AND(BH577=1,AZ577&lt;&gt;"Cancelled",N(AW577)&gt;=Dashboard!$AB$3,N(AW577)&lt;=Dashboard!$AB$3+6),(AW577-40000)*100000+BF577*10000+576,"")</f>
        <v/>
      </c>
      <c r="BN577">
        <f>IF(AND(BH577=1,AZ577&lt;&gt;"Cancelled"),BF577*10000+576,"")</f>
        <v/>
      </c>
    </row>
    <row r="578">
      <c r="AS578" t="inlineStr">
        <is>
          <t>R</t>
        </is>
      </c>
      <c r="AT578" t="n">
        <v>582</v>
      </c>
      <c r="AU578">
        <f>'Recurring Log'!C582&amp;""</f>
        <v/>
      </c>
      <c r="AV578">
        <f>'Recurring Log'!D582&amp;""</f>
        <v/>
      </c>
      <c r="AW578">
        <f>IF('Recurring Log'!E582="","",'Recurring Log'!E582)</f>
        <v/>
      </c>
      <c r="AX578">
        <f>IF('Recurring Log'!G582="","",'Recurring Log'!G582)</f>
        <v/>
      </c>
      <c r="AY578">
        <f>IF('Recurring Log'!H582="","",'Recurring Log'!H582)</f>
        <v/>
      </c>
      <c r="AZ578">
        <f>IF(AU578="","",IF('Recurring Log'!J582="","Not Started",'Recurring Log'!J582))</f>
        <v/>
      </c>
      <c r="BA578">
        <f>'Recurring Log'!L582&amp;""</f>
        <v/>
      </c>
      <c r="BB578">
        <f>'Recurring Log'!M582&amp;""</f>
        <v/>
      </c>
      <c r="BC578">
        <f>'Recurring Log'!N582&amp;""</f>
        <v/>
      </c>
      <c r="BD578">
        <f>'Recurring Log'!O582&amp;""</f>
        <v/>
      </c>
      <c r="BE578">
        <f>IF('Recurring Log'!K582="","",'Recurring Log'!K582)</f>
        <v/>
      </c>
      <c r="BF578">
        <f>IFERROR(MATCH(BA578,Setup!$L$6:$L$9,0),5)</f>
        <v/>
      </c>
      <c r="BG578">
        <f>IF(OR(AZ578="Done",AZ578="Cancelled"),1,0)</f>
        <v/>
      </c>
      <c r="BH578">
        <f>IF(AND(AU578&lt;&gt;"",ISNUMBER(AW578)),1,0)</f>
        <v/>
      </c>
      <c r="BI578">
        <f>IF(BH578=0,0,IF(AND(AW578&gt;='Tasks Filter'!$F$3,AW578&lt;='Tasks Filter'!$F$4,OR('Tasks Filter'!$I$3="",ISNUMBER(SEARCH('Tasks Filter'!$I$3,AU578))),OR('Tasks Filter'!$I$4="",BF578=IFERROR(MATCH('Tasks Filter'!$I$4,Setup!$L$6:$L$9,0),0)),OR('Tasks Filter'!$I$5="Both",AND('Tasks Filter'!$I$5="Yes",BB578="✓"),AND('Tasks Filter'!$I$5="No",BB578&lt;&gt;"✓")),OR('Tasks Filter'!$L$3="",AV578='Tasks Filter'!$L$3),OR('Tasks Filter'!$L$4="",AZ578='Tasks Filter'!$L$4),OR('Tasks Filter'!$L$5="",BC578='Tasks Filter'!$L$5),OR('Tasks Filter'!$O$3="",BD578='Tasks Filter'!$O$3),OR('Tasks Filter'!$O$4="Yes",BG578=0)),1,0))</f>
        <v/>
      </c>
      <c r="BJ578">
        <f>IF(BH578=0,"",IF('Tasks Filter'!$F$6="Descending",-1,1)*CHOOSE(MATCH('Tasks Filter'!$F$5,Lists!$G$2:$G$6,0),AW578,BF578,IFERROR(MATCH(AV578,Setup!$F$6:$F$15,0),99),IFERROR(MATCH(BC578,Setup!$H$6:$H$15,0),99),IFERROR(MATCH(AZ578,Setup!$J$6:$J$11,0),99))*1E+9+(AW578-40000)*10000+577)</f>
        <v/>
      </c>
      <c r="BK578">
        <f>IF(BI578=1,BJ578,"")</f>
        <v/>
      </c>
      <c r="BL578">
        <f>IF(AND(BH578=1,BG578=0,N(AW578)&lt;Setup!$D$7),(AW578-40000)*10000+577,"")</f>
        <v/>
      </c>
      <c r="BM578">
        <f>IF(AND(BH578=1,AZ578&lt;&gt;"Cancelled",N(AW578)&gt;=Dashboard!$AB$3,N(AW578)&lt;=Dashboard!$AB$3+6),(AW578-40000)*100000+BF578*10000+577,"")</f>
        <v/>
      </c>
      <c r="BN578">
        <f>IF(AND(BH578=1,AZ578&lt;&gt;"Cancelled"),BF578*10000+577,"")</f>
        <v/>
      </c>
    </row>
    <row r="579">
      <c r="AS579" t="inlineStr">
        <is>
          <t>R</t>
        </is>
      </c>
      <c r="AT579" t="n">
        <v>583</v>
      </c>
      <c r="AU579">
        <f>'Recurring Log'!C583&amp;""</f>
        <v/>
      </c>
      <c r="AV579">
        <f>'Recurring Log'!D583&amp;""</f>
        <v/>
      </c>
      <c r="AW579">
        <f>IF('Recurring Log'!E583="","",'Recurring Log'!E583)</f>
        <v/>
      </c>
      <c r="AX579">
        <f>IF('Recurring Log'!G583="","",'Recurring Log'!G583)</f>
        <v/>
      </c>
      <c r="AY579">
        <f>IF('Recurring Log'!H583="","",'Recurring Log'!H583)</f>
        <v/>
      </c>
      <c r="AZ579">
        <f>IF(AU579="","",IF('Recurring Log'!J583="","Not Started",'Recurring Log'!J583))</f>
        <v/>
      </c>
      <c r="BA579">
        <f>'Recurring Log'!L583&amp;""</f>
        <v/>
      </c>
      <c r="BB579">
        <f>'Recurring Log'!M583&amp;""</f>
        <v/>
      </c>
      <c r="BC579">
        <f>'Recurring Log'!N583&amp;""</f>
        <v/>
      </c>
      <c r="BD579">
        <f>'Recurring Log'!O583&amp;""</f>
        <v/>
      </c>
      <c r="BE579">
        <f>IF('Recurring Log'!K583="","",'Recurring Log'!K583)</f>
        <v/>
      </c>
      <c r="BF579">
        <f>IFERROR(MATCH(BA579,Setup!$L$6:$L$9,0),5)</f>
        <v/>
      </c>
      <c r="BG579">
        <f>IF(OR(AZ579="Done",AZ579="Cancelled"),1,0)</f>
        <v/>
      </c>
      <c r="BH579">
        <f>IF(AND(AU579&lt;&gt;"",ISNUMBER(AW579)),1,0)</f>
        <v/>
      </c>
      <c r="BI579">
        <f>IF(BH579=0,0,IF(AND(AW579&gt;='Tasks Filter'!$F$3,AW579&lt;='Tasks Filter'!$F$4,OR('Tasks Filter'!$I$3="",ISNUMBER(SEARCH('Tasks Filter'!$I$3,AU579))),OR('Tasks Filter'!$I$4="",BF579=IFERROR(MATCH('Tasks Filter'!$I$4,Setup!$L$6:$L$9,0),0)),OR('Tasks Filter'!$I$5="Both",AND('Tasks Filter'!$I$5="Yes",BB579="✓"),AND('Tasks Filter'!$I$5="No",BB579&lt;&gt;"✓")),OR('Tasks Filter'!$L$3="",AV579='Tasks Filter'!$L$3),OR('Tasks Filter'!$L$4="",AZ579='Tasks Filter'!$L$4),OR('Tasks Filter'!$L$5="",BC579='Tasks Filter'!$L$5),OR('Tasks Filter'!$O$3="",BD579='Tasks Filter'!$O$3),OR('Tasks Filter'!$O$4="Yes",BG579=0)),1,0))</f>
        <v/>
      </c>
      <c r="BJ579">
        <f>IF(BH579=0,"",IF('Tasks Filter'!$F$6="Descending",-1,1)*CHOOSE(MATCH('Tasks Filter'!$F$5,Lists!$G$2:$G$6,0),AW579,BF579,IFERROR(MATCH(AV579,Setup!$F$6:$F$15,0),99),IFERROR(MATCH(BC579,Setup!$H$6:$H$15,0),99),IFERROR(MATCH(AZ579,Setup!$J$6:$J$11,0),99))*1E+9+(AW579-40000)*10000+578)</f>
        <v/>
      </c>
      <c r="BK579">
        <f>IF(BI579=1,BJ579,"")</f>
        <v/>
      </c>
      <c r="BL579">
        <f>IF(AND(BH579=1,BG579=0,N(AW579)&lt;Setup!$D$7),(AW579-40000)*10000+578,"")</f>
        <v/>
      </c>
      <c r="BM579">
        <f>IF(AND(BH579=1,AZ579&lt;&gt;"Cancelled",N(AW579)&gt;=Dashboard!$AB$3,N(AW579)&lt;=Dashboard!$AB$3+6),(AW579-40000)*100000+BF579*10000+578,"")</f>
        <v/>
      </c>
      <c r="BN579">
        <f>IF(AND(BH579=1,AZ579&lt;&gt;"Cancelled"),BF579*10000+578,"")</f>
        <v/>
      </c>
    </row>
    <row r="580">
      <c r="AS580" t="inlineStr">
        <is>
          <t>R</t>
        </is>
      </c>
      <c r="AT580" t="n">
        <v>584</v>
      </c>
      <c r="AU580">
        <f>'Recurring Log'!C584&amp;""</f>
        <v/>
      </c>
      <c r="AV580">
        <f>'Recurring Log'!D584&amp;""</f>
        <v/>
      </c>
      <c r="AW580">
        <f>IF('Recurring Log'!E584="","",'Recurring Log'!E584)</f>
        <v/>
      </c>
      <c r="AX580">
        <f>IF('Recurring Log'!G584="","",'Recurring Log'!G584)</f>
        <v/>
      </c>
      <c r="AY580">
        <f>IF('Recurring Log'!H584="","",'Recurring Log'!H584)</f>
        <v/>
      </c>
      <c r="AZ580">
        <f>IF(AU580="","",IF('Recurring Log'!J584="","Not Started",'Recurring Log'!J584))</f>
        <v/>
      </c>
      <c r="BA580">
        <f>'Recurring Log'!L584&amp;""</f>
        <v/>
      </c>
      <c r="BB580">
        <f>'Recurring Log'!M584&amp;""</f>
        <v/>
      </c>
      <c r="BC580">
        <f>'Recurring Log'!N584&amp;""</f>
        <v/>
      </c>
      <c r="BD580">
        <f>'Recurring Log'!O584&amp;""</f>
        <v/>
      </c>
      <c r="BE580">
        <f>IF('Recurring Log'!K584="","",'Recurring Log'!K584)</f>
        <v/>
      </c>
      <c r="BF580">
        <f>IFERROR(MATCH(BA580,Setup!$L$6:$L$9,0),5)</f>
        <v/>
      </c>
      <c r="BG580">
        <f>IF(OR(AZ580="Done",AZ580="Cancelled"),1,0)</f>
        <v/>
      </c>
      <c r="BH580">
        <f>IF(AND(AU580&lt;&gt;"",ISNUMBER(AW580)),1,0)</f>
        <v/>
      </c>
      <c r="BI580">
        <f>IF(BH580=0,0,IF(AND(AW580&gt;='Tasks Filter'!$F$3,AW580&lt;='Tasks Filter'!$F$4,OR('Tasks Filter'!$I$3="",ISNUMBER(SEARCH('Tasks Filter'!$I$3,AU580))),OR('Tasks Filter'!$I$4="",BF580=IFERROR(MATCH('Tasks Filter'!$I$4,Setup!$L$6:$L$9,0),0)),OR('Tasks Filter'!$I$5="Both",AND('Tasks Filter'!$I$5="Yes",BB580="✓"),AND('Tasks Filter'!$I$5="No",BB580&lt;&gt;"✓")),OR('Tasks Filter'!$L$3="",AV580='Tasks Filter'!$L$3),OR('Tasks Filter'!$L$4="",AZ580='Tasks Filter'!$L$4),OR('Tasks Filter'!$L$5="",BC580='Tasks Filter'!$L$5),OR('Tasks Filter'!$O$3="",BD580='Tasks Filter'!$O$3),OR('Tasks Filter'!$O$4="Yes",BG580=0)),1,0))</f>
        <v/>
      </c>
      <c r="BJ580">
        <f>IF(BH580=0,"",IF('Tasks Filter'!$F$6="Descending",-1,1)*CHOOSE(MATCH('Tasks Filter'!$F$5,Lists!$G$2:$G$6,0),AW580,BF580,IFERROR(MATCH(AV580,Setup!$F$6:$F$15,0),99),IFERROR(MATCH(BC580,Setup!$H$6:$H$15,0),99),IFERROR(MATCH(AZ580,Setup!$J$6:$J$11,0),99))*1E+9+(AW580-40000)*10000+579)</f>
        <v/>
      </c>
      <c r="BK580">
        <f>IF(BI580=1,BJ580,"")</f>
        <v/>
      </c>
      <c r="BL580">
        <f>IF(AND(BH580=1,BG580=0,N(AW580)&lt;Setup!$D$7),(AW580-40000)*10000+579,"")</f>
        <v/>
      </c>
      <c r="BM580">
        <f>IF(AND(BH580=1,AZ580&lt;&gt;"Cancelled",N(AW580)&gt;=Dashboard!$AB$3,N(AW580)&lt;=Dashboard!$AB$3+6),(AW580-40000)*100000+BF580*10000+579,"")</f>
        <v/>
      </c>
      <c r="BN580">
        <f>IF(AND(BH580=1,AZ580&lt;&gt;"Cancelled"),BF580*10000+579,"")</f>
        <v/>
      </c>
    </row>
    <row r="581">
      <c r="AS581" t="inlineStr">
        <is>
          <t>R</t>
        </is>
      </c>
      <c r="AT581" t="n">
        <v>585</v>
      </c>
      <c r="AU581">
        <f>'Recurring Log'!C585&amp;""</f>
        <v/>
      </c>
      <c r="AV581">
        <f>'Recurring Log'!D585&amp;""</f>
        <v/>
      </c>
      <c r="AW581">
        <f>IF('Recurring Log'!E585="","",'Recurring Log'!E585)</f>
        <v/>
      </c>
      <c r="AX581">
        <f>IF('Recurring Log'!G585="","",'Recurring Log'!G585)</f>
        <v/>
      </c>
      <c r="AY581">
        <f>IF('Recurring Log'!H585="","",'Recurring Log'!H585)</f>
        <v/>
      </c>
      <c r="AZ581">
        <f>IF(AU581="","",IF('Recurring Log'!J585="","Not Started",'Recurring Log'!J585))</f>
        <v/>
      </c>
      <c r="BA581">
        <f>'Recurring Log'!L585&amp;""</f>
        <v/>
      </c>
      <c r="BB581">
        <f>'Recurring Log'!M585&amp;""</f>
        <v/>
      </c>
      <c r="BC581">
        <f>'Recurring Log'!N585&amp;""</f>
        <v/>
      </c>
      <c r="BD581">
        <f>'Recurring Log'!O585&amp;""</f>
        <v/>
      </c>
      <c r="BE581">
        <f>IF('Recurring Log'!K585="","",'Recurring Log'!K585)</f>
        <v/>
      </c>
      <c r="BF581">
        <f>IFERROR(MATCH(BA581,Setup!$L$6:$L$9,0),5)</f>
        <v/>
      </c>
      <c r="BG581">
        <f>IF(OR(AZ581="Done",AZ581="Cancelled"),1,0)</f>
        <v/>
      </c>
      <c r="BH581">
        <f>IF(AND(AU581&lt;&gt;"",ISNUMBER(AW581)),1,0)</f>
        <v/>
      </c>
      <c r="BI581">
        <f>IF(BH581=0,0,IF(AND(AW581&gt;='Tasks Filter'!$F$3,AW581&lt;='Tasks Filter'!$F$4,OR('Tasks Filter'!$I$3="",ISNUMBER(SEARCH('Tasks Filter'!$I$3,AU581))),OR('Tasks Filter'!$I$4="",BF581=IFERROR(MATCH('Tasks Filter'!$I$4,Setup!$L$6:$L$9,0),0)),OR('Tasks Filter'!$I$5="Both",AND('Tasks Filter'!$I$5="Yes",BB581="✓"),AND('Tasks Filter'!$I$5="No",BB581&lt;&gt;"✓")),OR('Tasks Filter'!$L$3="",AV581='Tasks Filter'!$L$3),OR('Tasks Filter'!$L$4="",AZ581='Tasks Filter'!$L$4),OR('Tasks Filter'!$L$5="",BC581='Tasks Filter'!$L$5),OR('Tasks Filter'!$O$3="",BD581='Tasks Filter'!$O$3),OR('Tasks Filter'!$O$4="Yes",BG581=0)),1,0))</f>
        <v/>
      </c>
      <c r="BJ581">
        <f>IF(BH581=0,"",IF('Tasks Filter'!$F$6="Descending",-1,1)*CHOOSE(MATCH('Tasks Filter'!$F$5,Lists!$G$2:$G$6,0),AW581,BF581,IFERROR(MATCH(AV581,Setup!$F$6:$F$15,0),99),IFERROR(MATCH(BC581,Setup!$H$6:$H$15,0),99),IFERROR(MATCH(AZ581,Setup!$J$6:$J$11,0),99))*1E+9+(AW581-40000)*10000+580)</f>
        <v/>
      </c>
      <c r="BK581">
        <f>IF(BI581=1,BJ581,"")</f>
        <v/>
      </c>
      <c r="BL581">
        <f>IF(AND(BH581=1,BG581=0,N(AW581)&lt;Setup!$D$7),(AW581-40000)*10000+580,"")</f>
        <v/>
      </c>
      <c r="BM581">
        <f>IF(AND(BH581=1,AZ581&lt;&gt;"Cancelled",N(AW581)&gt;=Dashboard!$AB$3,N(AW581)&lt;=Dashboard!$AB$3+6),(AW581-40000)*100000+BF581*10000+580,"")</f>
        <v/>
      </c>
      <c r="BN581">
        <f>IF(AND(BH581=1,AZ581&lt;&gt;"Cancelled"),BF581*10000+580,"")</f>
        <v/>
      </c>
    </row>
    <row r="582">
      <c r="AS582" t="inlineStr">
        <is>
          <t>R</t>
        </is>
      </c>
      <c r="AT582" t="n">
        <v>586</v>
      </c>
      <c r="AU582">
        <f>'Recurring Log'!C586&amp;""</f>
        <v/>
      </c>
      <c r="AV582">
        <f>'Recurring Log'!D586&amp;""</f>
        <v/>
      </c>
      <c r="AW582">
        <f>IF('Recurring Log'!E586="","",'Recurring Log'!E586)</f>
        <v/>
      </c>
      <c r="AX582">
        <f>IF('Recurring Log'!G586="","",'Recurring Log'!G586)</f>
        <v/>
      </c>
      <c r="AY582">
        <f>IF('Recurring Log'!H586="","",'Recurring Log'!H586)</f>
        <v/>
      </c>
      <c r="AZ582">
        <f>IF(AU582="","",IF('Recurring Log'!J586="","Not Started",'Recurring Log'!J586))</f>
        <v/>
      </c>
      <c r="BA582">
        <f>'Recurring Log'!L586&amp;""</f>
        <v/>
      </c>
      <c r="BB582">
        <f>'Recurring Log'!M586&amp;""</f>
        <v/>
      </c>
      <c r="BC582">
        <f>'Recurring Log'!N586&amp;""</f>
        <v/>
      </c>
      <c r="BD582">
        <f>'Recurring Log'!O586&amp;""</f>
        <v/>
      </c>
      <c r="BE582">
        <f>IF('Recurring Log'!K586="","",'Recurring Log'!K586)</f>
        <v/>
      </c>
      <c r="BF582">
        <f>IFERROR(MATCH(BA582,Setup!$L$6:$L$9,0),5)</f>
        <v/>
      </c>
      <c r="BG582">
        <f>IF(OR(AZ582="Done",AZ582="Cancelled"),1,0)</f>
        <v/>
      </c>
      <c r="BH582">
        <f>IF(AND(AU582&lt;&gt;"",ISNUMBER(AW582)),1,0)</f>
        <v/>
      </c>
      <c r="BI582">
        <f>IF(BH582=0,0,IF(AND(AW582&gt;='Tasks Filter'!$F$3,AW582&lt;='Tasks Filter'!$F$4,OR('Tasks Filter'!$I$3="",ISNUMBER(SEARCH('Tasks Filter'!$I$3,AU582))),OR('Tasks Filter'!$I$4="",BF582=IFERROR(MATCH('Tasks Filter'!$I$4,Setup!$L$6:$L$9,0),0)),OR('Tasks Filter'!$I$5="Both",AND('Tasks Filter'!$I$5="Yes",BB582="✓"),AND('Tasks Filter'!$I$5="No",BB582&lt;&gt;"✓")),OR('Tasks Filter'!$L$3="",AV582='Tasks Filter'!$L$3),OR('Tasks Filter'!$L$4="",AZ582='Tasks Filter'!$L$4),OR('Tasks Filter'!$L$5="",BC582='Tasks Filter'!$L$5),OR('Tasks Filter'!$O$3="",BD582='Tasks Filter'!$O$3),OR('Tasks Filter'!$O$4="Yes",BG582=0)),1,0))</f>
        <v/>
      </c>
      <c r="BJ582">
        <f>IF(BH582=0,"",IF('Tasks Filter'!$F$6="Descending",-1,1)*CHOOSE(MATCH('Tasks Filter'!$F$5,Lists!$G$2:$G$6,0),AW582,BF582,IFERROR(MATCH(AV582,Setup!$F$6:$F$15,0),99),IFERROR(MATCH(BC582,Setup!$H$6:$H$15,0),99),IFERROR(MATCH(AZ582,Setup!$J$6:$J$11,0),99))*1E+9+(AW582-40000)*10000+581)</f>
        <v/>
      </c>
      <c r="BK582">
        <f>IF(BI582=1,BJ582,"")</f>
        <v/>
      </c>
      <c r="BL582">
        <f>IF(AND(BH582=1,BG582=0,N(AW582)&lt;Setup!$D$7),(AW582-40000)*10000+581,"")</f>
        <v/>
      </c>
      <c r="BM582">
        <f>IF(AND(BH582=1,AZ582&lt;&gt;"Cancelled",N(AW582)&gt;=Dashboard!$AB$3,N(AW582)&lt;=Dashboard!$AB$3+6),(AW582-40000)*100000+BF582*10000+581,"")</f>
        <v/>
      </c>
      <c r="BN582">
        <f>IF(AND(BH582=1,AZ582&lt;&gt;"Cancelled"),BF582*10000+581,"")</f>
        <v/>
      </c>
    </row>
    <row r="583">
      <c r="AS583" t="inlineStr">
        <is>
          <t>R</t>
        </is>
      </c>
      <c r="AT583" t="n">
        <v>587</v>
      </c>
      <c r="AU583">
        <f>'Recurring Log'!C587&amp;""</f>
        <v/>
      </c>
      <c r="AV583">
        <f>'Recurring Log'!D587&amp;""</f>
        <v/>
      </c>
      <c r="AW583">
        <f>IF('Recurring Log'!E587="","",'Recurring Log'!E587)</f>
        <v/>
      </c>
      <c r="AX583">
        <f>IF('Recurring Log'!G587="","",'Recurring Log'!G587)</f>
        <v/>
      </c>
      <c r="AY583">
        <f>IF('Recurring Log'!H587="","",'Recurring Log'!H587)</f>
        <v/>
      </c>
      <c r="AZ583">
        <f>IF(AU583="","",IF('Recurring Log'!J587="","Not Started",'Recurring Log'!J587))</f>
        <v/>
      </c>
      <c r="BA583">
        <f>'Recurring Log'!L587&amp;""</f>
        <v/>
      </c>
      <c r="BB583">
        <f>'Recurring Log'!M587&amp;""</f>
        <v/>
      </c>
      <c r="BC583">
        <f>'Recurring Log'!N587&amp;""</f>
        <v/>
      </c>
      <c r="BD583">
        <f>'Recurring Log'!O587&amp;""</f>
        <v/>
      </c>
      <c r="BE583">
        <f>IF('Recurring Log'!K587="","",'Recurring Log'!K587)</f>
        <v/>
      </c>
      <c r="BF583">
        <f>IFERROR(MATCH(BA583,Setup!$L$6:$L$9,0),5)</f>
        <v/>
      </c>
      <c r="BG583">
        <f>IF(OR(AZ583="Done",AZ583="Cancelled"),1,0)</f>
        <v/>
      </c>
      <c r="BH583">
        <f>IF(AND(AU583&lt;&gt;"",ISNUMBER(AW583)),1,0)</f>
        <v/>
      </c>
      <c r="BI583">
        <f>IF(BH583=0,0,IF(AND(AW583&gt;='Tasks Filter'!$F$3,AW583&lt;='Tasks Filter'!$F$4,OR('Tasks Filter'!$I$3="",ISNUMBER(SEARCH('Tasks Filter'!$I$3,AU583))),OR('Tasks Filter'!$I$4="",BF583=IFERROR(MATCH('Tasks Filter'!$I$4,Setup!$L$6:$L$9,0),0)),OR('Tasks Filter'!$I$5="Both",AND('Tasks Filter'!$I$5="Yes",BB583="✓"),AND('Tasks Filter'!$I$5="No",BB583&lt;&gt;"✓")),OR('Tasks Filter'!$L$3="",AV583='Tasks Filter'!$L$3),OR('Tasks Filter'!$L$4="",AZ583='Tasks Filter'!$L$4),OR('Tasks Filter'!$L$5="",BC583='Tasks Filter'!$L$5),OR('Tasks Filter'!$O$3="",BD583='Tasks Filter'!$O$3),OR('Tasks Filter'!$O$4="Yes",BG583=0)),1,0))</f>
        <v/>
      </c>
      <c r="BJ583">
        <f>IF(BH583=0,"",IF('Tasks Filter'!$F$6="Descending",-1,1)*CHOOSE(MATCH('Tasks Filter'!$F$5,Lists!$G$2:$G$6,0),AW583,BF583,IFERROR(MATCH(AV583,Setup!$F$6:$F$15,0),99),IFERROR(MATCH(BC583,Setup!$H$6:$H$15,0),99),IFERROR(MATCH(AZ583,Setup!$J$6:$J$11,0),99))*1E+9+(AW583-40000)*10000+582)</f>
        <v/>
      </c>
      <c r="BK583">
        <f>IF(BI583=1,BJ583,"")</f>
        <v/>
      </c>
      <c r="BL583">
        <f>IF(AND(BH583=1,BG583=0,N(AW583)&lt;Setup!$D$7),(AW583-40000)*10000+582,"")</f>
        <v/>
      </c>
      <c r="BM583">
        <f>IF(AND(BH583=1,AZ583&lt;&gt;"Cancelled",N(AW583)&gt;=Dashboard!$AB$3,N(AW583)&lt;=Dashboard!$AB$3+6),(AW583-40000)*100000+BF583*10000+582,"")</f>
        <v/>
      </c>
      <c r="BN583">
        <f>IF(AND(BH583=1,AZ583&lt;&gt;"Cancelled"),BF583*10000+582,"")</f>
        <v/>
      </c>
    </row>
    <row r="584">
      <c r="AS584" t="inlineStr">
        <is>
          <t>R</t>
        </is>
      </c>
      <c r="AT584" t="n">
        <v>588</v>
      </c>
      <c r="AU584">
        <f>'Recurring Log'!C588&amp;""</f>
        <v/>
      </c>
      <c r="AV584">
        <f>'Recurring Log'!D588&amp;""</f>
        <v/>
      </c>
      <c r="AW584">
        <f>IF('Recurring Log'!E588="","",'Recurring Log'!E588)</f>
        <v/>
      </c>
      <c r="AX584">
        <f>IF('Recurring Log'!G588="","",'Recurring Log'!G588)</f>
        <v/>
      </c>
      <c r="AY584">
        <f>IF('Recurring Log'!H588="","",'Recurring Log'!H588)</f>
        <v/>
      </c>
      <c r="AZ584">
        <f>IF(AU584="","",IF('Recurring Log'!J588="","Not Started",'Recurring Log'!J588))</f>
        <v/>
      </c>
      <c r="BA584">
        <f>'Recurring Log'!L588&amp;""</f>
        <v/>
      </c>
      <c r="BB584">
        <f>'Recurring Log'!M588&amp;""</f>
        <v/>
      </c>
      <c r="BC584">
        <f>'Recurring Log'!N588&amp;""</f>
        <v/>
      </c>
      <c r="BD584">
        <f>'Recurring Log'!O588&amp;""</f>
        <v/>
      </c>
      <c r="BE584">
        <f>IF('Recurring Log'!K588="","",'Recurring Log'!K588)</f>
        <v/>
      </c>
      <c r="BF584">
        <f>IFERROR(MATCH(BA584,Setup!$L$6:$L$9,0),5)</f>
        <v/>
      </c>
      <c r="BG584">
        <f>IF(OR(AZ584="Done",AZ584="Cancelled"),1,0)</f>
        <v/>
      </c>
      <c r="BH584">
        <f>IF(AND(AU584&lt;&gt;"",ISNUMBER(AW584)),1,0)</f>
        <v/>
      </c>
      <c r="BI584">
        <f>IF(BH584=0,0,IF(AND(AW584&gt;='Tasks Filter'!$F$3,AW584&lt;='Tasks Filter'!$F$4,OR('Tasks Filter'!$I$3="",ISNUMBER(SEARCH('Tasks Filter'!$I$3,AU584))),OR('Tasks Filter'!$I$4="",BF584=IFERROR(MATCH('Tasks Filter'!$I$4,Setup!$L$6:$L$9,0),0)),OR('Tasks Filter'!$I$5="Both",AND('Tasks Filter'!$I$5="Yes",BB584="✓"),AND('Tasks Filter'!$I$5="No",BB584&lt;&gt;"✓")),OR('Tasks Filter'!$L$3="",AV584='Tasks Filter'!$L$3),OR('Tasks Filter'!$L$4="",AZ584='Tasks Filter'!$L$4),OR('Tasks Filter'!$L$5="",BC584='Tasks Filter'!$L$5),OR('Tasks Filter'!$O$3="",BD584='Tasks Filter'!$O$3),OR('Tasks Filter'!$O$4="Yes",BG584=0)),1,0))</f>
        <v/>
      </c>
      <c r="BJ584">
        <f>IF(BH584=0,"",IF('Tasks Filter'!$F$6="Descending",-1,1)*CHOOSE(MATCH('Tasks Filter'!$F$5,Lists!$G$2:$G$6,0),AW584,BF584,IFERROR(MATCH(AV584,Setup!$F$6:$F$15,0),99),IFERROR(MATCH(BC584,Setup!$H$6:$H$15,0),99),IFERROR(MATCH(AZ584,Setup!$J$6:$J$11,0),99))*1E+9+(AW584-40000)*10000+583)</f>
        <v/>
      </c>
      <c r="BK584">
        <f>IF(BI584=1,BJ584,"")</f>
        <v/>
      </c>
      <c r="BL584">
        <f>IF(AND(BH584=1,BG584=0,N(AW584)&lt;Setup!$D$7),(AW584-40000)*10000+583,"")</f>
        <v/>
      </c>
      <c r="BM584">
        <f>IF(AND(BH584=1,AZ584&lt;&gt;"Cancelled",N(AW584)&gt;=Dashboard!$AB$3,N(AW584)&lt;=Dashboard!$AB$3+6),(AW584-40000)*100000+BF584*10000+583,"")</f>
        <v/>
      </c>
      <c r="BN584">
        <f>IF(AND(BH584=1,AZ584&lt;&gt;"Cancelled"),BF584*10000+583,"")</f>
        <v/>
      </c>
    </row>
    <row r="585">
      <c r="AS585" t="inlineStr">
        <is>
          <t>R</t>
        </is>
      </c>
      <c r="AT585" t="n">
        <v>589</v>
      </c>
      <c r="AU585">
        <f>'Recurring Log'!C589&amp;""</f>
        <v/>
      </c>
      <c r="AV585">
        <f>'Recurring Log'!D589&amp;""</f>
        <v/>
      </c>
      <c r="AW585">
        <f>IF('Recurring Log'!E589="","",'Recurring Log'!E589)</f>
        <v/>
      </c>
      <c r="AX585">
        <f>IF('Recurring Log'!G589="","",'Recurring Log'!G589)</f>
        <v/>
      </c>
      <c r="AY585">
        <f>IF('Recurring Log'!H589="","",'Recurring Log'!H589)</f>
        <v/>
      </c>
      <c r="AZ585">
        <f>IF(AU585="","",IF('Recurring Log'!J589="","Not Started",'Recurring Log'!J589))</f>
        <v/>
      </c>
      <c r="BA585">
        <f>'Recurring Log'!L589&amp;""</f>
        <v/>
      </c>
      <c r="BB585">
        <f>'Recurring Log'!M589&amp;""</f>
        <v/>
      </c>
      <c r="BC585">
        <f>'Recurring Log'!N589&amp;""</f>
        <v/>
      </c>
      <c r="BD585">
        <f>'Recurring Log'!O589&amp;""</f>
        <v/>
      </c>
      <c r="BE585">
        <f>IF('Recurring Log'!K589="","",'Recurring Log'!K589)</f>
        <v/>
      </c>
      <c r="BF585">
        <f>IFERROR(MATCH(BA585,Setup!$L$6:$L$9,0),5)</f>
        <v/>
      </c>
      <c r="BG585">
        <f>IF(OR(AZ585="Done",AZ585="Cancelled"),1,0)</f>
        <v/>
      </c>
      <c r="BH585">
        <f>IF(AND(AU585&lt;&gt;"",ISNUMBER(AW585)),1,0)</f>
        <v/>
      </c>
      <c r="BI585">
        <f>IF(BH585=0,0,IF(AND(AW585&gt;='Tasks Filter'!$F$3,AW585&lt;='Tasks Filter'!$F$4,OR('Tasks Filter'!$I$3="",ISNUMBER(SEARCH('Tasks Filter'!$I$3,AU585))),OR('Tasks Filter'!$I$4="",BF585=IFERROR(MATCH('Tasks Filter'!$I$4,Setup!$L$6:$L$9,0),0)),OR('Tasks Filter'!$I$5="Both",AND('Tasks Filter'!$I$5="Yes",BB585="✓"),AND('Tasks Filter'!$I$5="No",BB585&lt;&gt;"✓")),OR('Tasks Filter'!$L$3="",AV585='Tasks Filter'!$L$3),OR('Tasks Filter'!$L$4="",AZ585='Tasks Filter'!$L$4),OR('Tasks Filter'!$L$5="",BC585='Tasks Filter'!$L$5),OR('Tasks Filter'!$O$3="",BD585='Tasks Filter'!$O$3),OR('Tasks Filter'!$O$4="Yes",BG585=0)),1,0))</f>
        <v/>
      </c>
      <c r="BJ585">
        <f>IF(BH585=0,"",IF('Tasks Filter'!$F$6="Descending",-1,1)*CHOOSE(MATCH('Tasks Filter'!$F$5,Lists!$G$2:$G$6,0),AW585,BF585,IFERROR(MATCH(AV585,Setup!$F$6:$F$15,0),99),IFERROR(MATCH(BC585,Setup!$H$6:$H$15,0),99),IFERROR(MATCH(AZ585,Setup!$J$6:$J$11,0),99))*1E+9+(AW585-40000)*10000+584)</f>
        <v/>
      </c>
      <c r="BK585">
        <f>IF(BI585=1,BJ585,"")</f>
        <v/>
      </c>
      <c r="BL585">
        <f>IF(AND(BH585=1,BG585=0,N(AW585)&lt;Setup!$D$7),(AW585-40000)*10000+584,"")</f>
        <v/>
      </c>
      <c r="BM585">
        <f>IF(AND(BH585=1,AZ585&lt;&gt;"Cancelled",N(AW585)&gt;=Dashboard!$AB$3,N(AW585)&lt;=Dashboard!$AB$3+6),(AW585-40000)*100000+BF585*10000+584,"")</f>
        <v/>
      </c>
      <c r="BN585">
        <f>IF(AND(BH585=1,AZ585&lt;&gt;"Cancelled"),BF585*10000+584,"")</f>
        <v/>
      </c>
    </row>
    <row r="586">
      <c r="AS586" t="inlineStr">
        <is>
          <t>R</t>
        </is>
      </c>
      <c r="AT586" t="n">
        <v>590</v>
      </c>
      <c r="AU586">
        <f>'Recurring Log'!C590&amp;""</f>
        <v/>
      </c>
      <c r="AV586">
        <f>'Recurring Log'!D590&amp;""</f>
        <v/>
      </c>
      <c r="AW586">
        <f>IF('Recurring Log'!E590="","",'Recurring Log'!E590)</f>
        <v/>
      </c>
      <c r="AX586">
        <f>IF('Recurring Log'!G590="","",'Recurring Log'!G590)</f>
        <v/>
      </c>
      <c r="AY586">
        <f>IF('Recurring Log'!H590="","",'Recurring Log'!H590)</f>
        <v/>
      </c>
      <c r="AZ586">
        <f>IF(AU586="","",IF('Recurring Log'!J590="","Not Started",'Recurring Log'!J590))</f>
        <v/>
      </c>
      <c r="BA586">
        <f>'Recurring Log'!L590&amp;""</f>
        <v/>
      </c>
      <c r="BB586">
        <f>'Recurring Log'!M590&amp;""</f>
        <v/>
      </c>
      <c r="BC586">
        <f>'Recurring Log'!N590&amp;""</f>
        <v/>
      </c>
      <c r="BD586">
        <f>'Recurring Log'!O590&amp;""</f>
        <v/>
      </c>
      <c r="BE586">
        <f>IF('Recurring Log'!K590="","",'Recurring Log'!K590)</f>
        <v/>
      </c>
      <c r="BF586">
        <f>IFERROR(MATCH(BA586,Setup!$L$6:$L$9,0),5)</f>
        <v/>
      </c>
      <c r="BG586">
        <f>IF(OR(AZ586="Done",AZ586="Cancelled"),1,0)</f>
        <v/>
      </c>
      <c r="BH586">
        <f>IF(AND(AU586&lt;&gt;"",ISNUMBER(AW586)),1,0)</f>
        <v/>
      </c>
      <c r="BI586">
        <f>IF(BH586=0,0,IF(AND(AW586&gt;='Tasks Filter'!$F$3,AW586&lt;='Tasks Filter'!$F$4,OR('Tasks Filter'!$I$3="",ISNUMBER(SEARCH('Tasks Filter'!$I$3,AU586))),OR('Tasks Filter'!$I$4="",BF586=IFERROR(MATCH('Tasks Filter'!$I$4,Setup!$L$6:$L$9,0),0)),OR('Tasks Filter'!$I$5="Both",AND('Tasks Filter'!$I$5="Yes",BB586="✓"),AND('Tasks Filter'!$I$5="No",BB586&lt;&gt;"✓")),OR('Tasks Filter'!$L$3="",AV586='Tasks Filter'!$L$3),OR('Tasks Filter'!$L$4="",AZ586='Tasks Filter'!$L$4),OR('Tasks Filter'!$L$5="",BC586='Tasks Filter'!$L$5),OR('Tasks Filter'!$O$3="",BD586='Tasks Filter'!$O$3),OR('Tasks Filter'!$O$4="Yes",BG586=0)),1,0))</f>
        <v/>
      </c>
      <c r="BJ586">
        <f>IF(BH586=0,"",IF('Tasks Filter'!$F$6="Descending",-1,1)*CHOOSE(MATCH('Tasks Filter'!$F$5,Lists!$G$2:$G$6,0),AW586,BF586,IFERROR(MATCH(AV586,Setup!$F$6:$F$15,0),99),IFERROR(MATCH(BC586,Setup!$H$6:$H$15,0),99),IFERROR(MATCH(AZ586,Setup!$J$6:$J$11,0),99))*1E+9+(AW586-40000)*10000+585)</f>
        <v/>
      </c>
      <c r="BK586">
        <f>IF(BI586=1,BJ586,"")</f>
        <v/>
      </c>
      <c r="BL586">
        <f>IF(AND(BH586=1,BG586=0,N(AW586)&lt;Setup!$D$7),(AW586-40000)*10000+585,"")</f>
        <v/>
      </c>
      <c r="BM586">
        <f>IF(AND(BH586=1,AZ586&lt;&gt;"Cancelled",N(AW586)&gt;=Dashboard!$AB$3,N(AW586)&lt;=Dashboard!$AB$3+6),(AW586-40000)*100000+BF586*10000+585,"")</f>
        <v/>
      </c>
      <c r="BN586">
        <f>IF(AND(BH586=1,AZ586&lt;&gt;"Cancelled"),BF586*10000+585,"")</f>
        <v/>
      </c>
    </row>
    <row r="587">
      <c r="AS587" t="inlineStr">
        <is>
          <t>R</t>
        </is>
      </c>
      <c r="AT587" t="n">
        <v>591</v>
      </c>
      <c r="AU587">
        <f>'Recurring Log'!C591&amp;""</f>
        <v/>
      </c>
      <c r="AV587">
        <f>'Recurring Log'!D591&amp;""</f>
        <v/>
      </c>
      <c r="AW587">
        <f>IF('Recurring Log'!E591="","",'Recurring Log'!E591)</f>
        <v/>
      </c>
      <c r="AX587">
        <f>IF('Recurring Log'!G591="","",'Recurring Log'!G591)</f>
        <v/>
      </c>
      <c r="AY587">
        <f>IF('Recurring Log'!H591="","",'Recurring Log'!H591)</f>
        <v/>
      </c>
      <c r="AZ587">
        <f>IF(AU587="","",IF('Recurring Log'!J591="","Not Started",'Recurring Log'!J591))</f>
        <v/>
      </c>
      <c r="BA587">
        <f>'Recurring Log'!L591&amp;""</f>
        <v/>
      </c>
      <c r="BB587">
        <f>'Recurring Log'!M591&amp;""</f>
        <v/>
      </c>
      <c r="BC587">
        <f>'Recurring Log'!N591&amp;""</f>
        <v/>
      </c>
      <c r="BD587">
        <f>'Recurring Log'!O591&amp;""</f>
        <v/>
      </c>
      <c r="BE587">
        <f>IF('Recurring Log'!K591="","",'Recurring Log'!K591)</f>
        <v/>
      </c>
      <c r="BF587">
        <f>IFERROR(MATCH(BA587,Setup!$L$6:$L$9,0),5)</f>
        <v/>
      </c>
      <c r="BG587">
        <f>IF(OR(AZ587="Done",AZ587="Cancelled"),1,0)</f>
        <v/>
      </c>
      <c r="BH587">
        <f>IF(AND(AU587&lt;&gt;"",ISNUMBER(AW587)),1,0)</f>
        <v/>
      </c>
      <c r="BI587">
        <f>IF(BH587=0,0,IF(AND(AW587&gt;='Tasks Filter'!$F$3,AW587&lt;='Tasks Filter'!$F$4,OR('Tasks Filter'!$I$3="",ISNUMBER(SEARCH('Tasks Filter'!$I$3,AU587))),OR('Tasks Filter'!$I$4="",BF587=IFERROR(MATCH('Tasks Filter'!$I$4,Setup!$L$6:$L$9,0),0)),OR('Tasks Filter'!$I$5="Both",AND('Tasks Filter'!$I$5="Yes",BB587="✓"),AND('Tasks Filter'!$I$5="No",BB587&lt;&gt;"✓")),OR('Tasks Filter'!$L$3="",AV587='Tasks Filter'!$L$3),OR('Tasks Filter'!$L$4="",AZ587='Tasks Filter'!$L$4),OR('Tasks Filter'!$L$5="",BC587='Tasks Filter'!$L$5),OR('Tasks Filter'!$O$3="",BD587='Tasks Filter'!$O$3),OR('Tasks Filter'!$O$4="Yes",BG587=0)),1,0))</f>
        <v/>
      </c>
      <c r="BJ587">
        <f>IF(BH587=0,"",IF('Tasks Filter'!$F$6="Descending",-1,1)*CHOOSE(MATCH('Tasks Filter'!$F$5,Lists!$G$2:$G$6,0),AW587,BF587,IFERROR(MATCH(AV587,Setup!$F$6:$F$15,0),99),IFERROR(MATCH(BC587,Setup!$H$6:$H$15,0),99),IFERROR(MATCH(AZ587,Setup!$J$6:$J$11,0),99))*1E+9+(AW587-40000)*10000+586)</f>
        <v/>
      </c>
      <c r="BK587">
        <f>IF(BI587=1,BJ587,"")</f>
        <v/>
      </c>
      <c r="BL587">
        <f>IF(AND(BH587=1,BG587=0,N(AW587)&lt;Setup!$D$7),(AW587-40000)*10000+586,"")</f>
        <v/>
      </c>
      <c r="BM587">
        <f>IF(AND(BH587=1,AZ587&lt;&gt;"Cancelled",N(AW587)&gt;=Dashboard!$AB$3,N(AW587)&lt;=Dashboard!$AB$3+6),(AW587-40000)*100000+BF587*10000+586,"")</f>
        <v/>
      </c>
      <c r="BN587">
        <f>IF(AND(BH587=1,AZ587&lt;&gt;"Cancelled"),BF587*10000+586,"")</f>
        <v/>
      </c>
    </row>
    <row r="588">
      <c r="AS588" t="inlineStr">
        <is>
          <t>R</t>
        </is>
      </c>
      <c r="AT588" t="n">
        <v>592</v>
      </c>
      <c r="AU588">
        <f>'Recurring Log'!C592&amp;""</f>
        <v/>
      </c>
      <c r="AV588">
        <f>'Recurring Log'!D592&amp;""</f>
        <v/>
      </c>
      <c r="AW588">
        <f>IF('Recurring Log'!E592="","",'Recurring Log'!E592)</f>
        <v/>
      </c>
      <c r="AX588">
        <f>IF('Recurring Log'!G592="","",'Recurring Log'!G592)</f>
        <v/>
      </c>
      <c r="AY588">
        <f>IF('Recurring Log'!H592="","",'Recurring Log'!H592)</f>
        <v/>
      </c>
      <c r="AZ588">
        <f>IF(AU588="","",IF('Recurring Log'!J592="","Not Started",'Recurring Log'!J592))</f>
        <v/>
      </c>
      <c r="BA588">
        <f>'Recurring Log'!L592&amp;""</f>
        <v/>
      </c>
      <c r="BB588">
        <f>'Recurring Log'!M592&amp;""</f>
        <v/>
      </c>
      <c r="BC588">
        <f>'Recurring Log'!N592&amp;""</f>
        <v/>
      </c>
      <c r="BD588">
        <f>'Recurring Log'!O592&amp;""</f>
        <v/>
      </c>
      <c r="BE588">
        <f>IF('Recurring Log'!K592="","",'Recurring Log'!K592)</f>
        <v/>
      </c>
      <c r="BF588">
        <f>IFERROR(MATCH(BA588,Setup!$L$6:$L$9,0),5)</f>
        <v/>
      </c>
      <c r="BG588">
        <f>IF(OR(AZ588="Done",AZ588="Cancelled"),1,0)</f>
        <v/>
      </c>
      <c r="BH588">
        <f>IF(AND(AU588&lt;&gt;"",ISNUMBER(AW588)),1,0)</f>
        <v/>
      </c>
      <c r="BI588">
        <f>IF(BH588=0,0,IF(AND(AW588&gt;='Tasks Filter'!$F$3,AW588&lt;='Tasks Filter'!$F$4,OR('Tasks Filter'!$I$3="",ISNUMBER(SEARCH('Tasks Filter'!$I$3,AU588))),OR('Tasks Filter'!$I$4="",BF588=IFERROR(MATCH('Tasks Filter'!$I$4,Setup!$L$6:$L$9,0),0)),OR('Tasks Filter'!$I$5="Both",AND('Tasks Filter'!$I$5="Yes",BB588="✓"),AND('Tasks Filter'!$I$5="No",BB588&lt;&gt;"✓")),OR('Tasks Filter'!$L$3="",AV588='Tasks Filter'!$L$3),OR('Tasks Filter'!$L$4="",AZ588='Tasks Filter'!$L$4),OR('Tasks Filter'!$L$5="",BC588='Tasks Filter'!$L$5),OR('Tasks Filter'!$O$3="",BD588='Tasks Filter'!$O$3),OR('Tasks Filter'!$O$4="Yes",BG588=0)),1,0))</f>
        <v/>
      </c>
      <c r="BJ588">
        <f>IF(BH588=0,"",IF('Tasks Filter'!$F$6="Descending",-1,1)*CHOOSE(MATCH('Tasks Filter'!$F$5,Lists!$G$2:$G$6,0),AW588,BF588,IFERROR(MATCH(AV588,Setup!$F$6:$F$15,0),99),IFERROR(MATCH(BC588,Setup!$H$6:$H$15,0),99),IFERROR(MATCH(AZ588,Setup!$J$6:$J$11,0),99))*1E+9+(AW588-40000)*10000+587)</f>
        <v/>
      </c>
      <c r="BK588">
        <f>IF(BI588=1,BJ588,"")</f>
        <v/>
      </c>
      <c r="BL588">
        <f>IF(AND(BH588=1,BG588=0,N(AW588)&lt;Setup!$D$7),(AW588-40000)*10000+587,"")</f>
        <v/>
      </c>
      <c r="BM588">
        <f>IF(AND(BH588=1,AZ588&lt;&gt;"Cancelled",N(AW588)&gt;=Dashboard!$AB$3,N(AW588)&lt;=Dashboard!$AB$3+6),(AW588-40000)*100000+BF588*10000+587,"")</f>
        <v/>
      </c>
      <c r="BN588">
        <f>IF(AND(BH588=1,AZ588&lt;&gt;"Cancelled"),BF588*10000+587,"")</f>
        <v/>
      </c>
    </row>
    <row r="589">
      <c r="AS589" t="inlineStr">
        <is>
          <t>R</t>
        </is>
      </c>
      <c r="AT589" t="n">
        <v>593</v>
      </c>
      <c r="AU589">
        <f>'Recurring Log'!C593&amp;""</f>
        <v/>
      </c>
      <c r="AV589">
        <f>'Recurring Log'!D593&amp;""</f>
        <v/>
      </c>
      <c r="AW589">
        <f>IF('Recurring Log'!E593="","",'Recurring Log'!E593)</f>
        <v/>
      </c>
      <c r="AX589">
        <f>IF('Recurring Log'!G593="","",'Recurring Log'!G593)</f>
        <v/>
      </c>
      <c r="AY589">
        <f>IF('Recurring Log'!H593="","",'Recurring Log'!H593)</f>
        <v/>
      </c>
      <c r="AZ589">
        <f>IF(AU589="","",IF('Recurring Log'!J593="","Not Started",'Recurring Log'!J593))</f>
        <v/>
      </c>
      <c r="BA589">
        <f>'Recurring Log'!L593&amp;""</f>
        <v/>
      </c>
      <c r="BB589">
        <f>'Recurring Log'!M593&amp;""</f>
        <v/>
      </c>
      <c r="BC589">
        <f>'Recurring Log'!N593&amp;""</f>
        <v/>
      </c>
      <c r="BD589">
        <f>'Recurring Log'!O593&amp;""</f>
        <v/>
      </c>
      <c r="BE589">
        <f>IF('Recurring Log'!K593="","",'Recurring Log'!K593)</f>
        <v/>
      </c>
      <c r="BF589">
        <f>IFERROR(MATCH(BA589,Setup!$L$6:$L$9,0),5)</f>
        <v/>
      </c>
      <c r="BG589">
        <f>IF(OR(AZ589="Done",AZ589="Cancelled"),1,0)</f>
        <v/>
      </c>
      <c r="BH589">
        <f>IF(AND(AU589&lt;&gt;"",ISNUMBER(AW589)),1,0)</f>
        <v/>
      </c>
      <c r="BI589">
        <f>IF(BH589=0,0,IF(AND(AW589&gt;='Tasks Filter'!$F$3,AW589&lt;='Tasks Filter'!$F$4,OR('Tasks Filter'!$I$3="",ISNUMBER(SEARCH('Tasks Filter'!$I$3,AU589))),OR('Tasks Filter'!$I$4="",BF589=IFERROR(MATCH('Tasks Filter'!$I$4,Setup!$L$6:$L$9,0),0)),OR('Tasks Filter'!$I$5="Both",AND('Tasks Filter'!$I$5="Yes",BB589="✓"),AND('Tasks Filter'!$I$5="No",BB589&lt;&gt;"✓")),OR('Tasks Filter'!$L$3="",AV589='Tasks Filter'!$L$3),OR('Tasks Filter'!$L$4="",AZ589='Tasks Filter'!$L$4),OR('Tasks Filter'!$L$5="",BC589='Tasks Filter'!$L$5),OR('Tasks Filter'!$O$3="",BD589='Tasks Filter'!$O$3),OR('Tasks Filter'!$O$4="Yes",BG589=0)),1,0))</f>
        <v/>
      </c>
      <c r="BJ589">
        <f>IF(BH589=0,"",IF('Tasks Filter'!$F$6="Descending",-1,1)*CHOOSE(MATCH('Tasks Filter'!$F$5,Lists!$G$2:$G$6,0),AW589,BF589,IFERROR(MATCH(AV589,Setup!$F$6:$F$15,0),99),IFERROR(MATCH(BC589,Setup!$H$6:$H$15,0),99),IFERROR(MATCH(AZ589,Setup!$J$6:$J$11,0),99))*1E+9+(AW589-40000)*10000+588)</f>
        <v/>
      </c>
      <c r="BK589">
        <f>IF(BI589=1,BJ589,"")</f>
        <v/>
      </c>
      <c r="BL589">
        <f>IF(AND(BH589=1,BG589=0,N(AW589)&lt;Setup!$D$7),(AW589-40000)*10000+588,"")</f>
        <v/>
      </c>
      <c r="BM589">
        <f>IF(AND(BH589=1,AZ589&lt;&gt;"Cancelled",N(AW589)&gt;=Dashboard!$AB$3,N(AW589)&lt;=Dashboard!$AB$3+6),(AW589-40000)*100000+BF589*10000+588,"")</f>
        <v/>
      </c>
      <c r="BN589">
        <f>IF(AND(BH589=1,AZ589&lt;&gt;"Cancelled"),BF589*10000+588,"")</f>
        <v/>
      </c>
    </row>
    <row r="590">
      <c r="AS590" t="inlineStr">
        <is>
          <t>R</t>
        </is>
      </c>
      <c r="AT590" t="n">
        <v>594</v>
      </c>
      <c r="AU590">
        <f>'Recurring Log'!C594&amp;""</f>
        <v/>
      </c>
      <c r="AV590">
        <f>'Recurring Log'!D594&amp;""</f>
        <v/>
      </c>
      <c r="AW590">
        <f>IF('Recurring Log'!E594="","",'Recurring Log'!E594)</f>
        <v/>
      </c>
      <c r="AX590">
        <f>IF('Recurring Log'!G594="","",'Recurring Log'!G594)</f>
        <v/>
      </c>
      <c r="AY590">
        <f>IF('Recurring Log'!H594="","",'Recurring Log'!H594)</f>
        <v/>
      </c>
      <c r="AZ590">
        <f>IF(AU590="","",IF('Recurring Log'!J594="","Not Started",'Recurring Log'!J594))</f>
        <v/>
      </c>
      <c r="BA590">
        <f>'Recurring Log'!L594&amp;""</f>
        <v/>
      </c>
      <c r="BB590">
        <f>'Recurring Log'!M594&amp;""</f>
        <v/>
      </c>
      <c r="BC590">
        <f>'Recurring Log'!N594&amp;""</f>
        <v/>
      </c>
      <c r="BD590">
        <f>'Recurring Log'!O594&amp;""</f>
        <v/>
      </c>
      <c r="BE590">
        <f>IF('Recurring Log'!K594="","",'Recurring Log'!K594)</f>
        <v/>
      </c>
      <c r="BF590">
        <f>IFERROR(MATCH(BA590,Setup!$L$6:$L$9,0),5)</f>
        <v/>
      </c>
      <c r="BG590">
        <f>IF(OR(AZ590="Done",AZ590="Cancelled"),1,0)</f>
        <v/>
      </c>
      <c r="BH590">
        <f>IF(AND(AU590&lt;&gt;"",ISNUMBER(AW590)),1,0)</f>
        <v/>
      </c>
      <c r="BI590">
        <f>IF(BH590=0,0,IF(AND(AW590&gt;='Tasks Filter'!$F$3,AW590&lt;='Tasks Filter'!$F$4,OR('Tasks Filter'!$I$3="",ISNUMBER(SEARCH('Tasks Filter'!$I$3,AU590))),OR('Tasks Filter'!$I$4="",BF590=IFERROR(MATCH('Tasks Filter'!$I$4,Setup!$L$6:$L$9,0),0)),OR('Tasks Filter'!$I$5="Both",AND('Tasks Filter'!$I$5="Yes",BB590="✓"),AND('Tasks Filter'!$I$5="No",BB590&lt;&gt;"✓")),OR('Tasks Filter'!$L$3="",AV590='Tasks Filter'!$L$3),OR('Tasks Filter'!$L$4="",AZ590='Tasks Filter'!$L$4),OR('Tasks Filter'!$L$5="",BC590='Tasks Filter'!$L$5),OR('Tasks Filter'!$O$3="",BD590='Tasks Filter'!$O$3),OR('Tasks Filter'!$O$4="Yes",BG590=0)),1,0))</f>
        <v/>
      </c>
      <c r="BJ590">
        <f>IF(BH590=0,"",IF('Tasks Filter'!$F$6="Descending",-1,1)*CHOOSE(MATCH('Tasks Filter'!$F$5,Lists!$G$2:$G$6,0),AW590,BF590,IFERROR(MATCH(AV590,Setup!$F$6:$F$15,0),99),IFERROR(MATCH(BC590,Setup!$H$6:$H$15,0),99),IFERROR(MATCH(AZ590,Setup!$J$6:$J$11,0),99))*1E+9+(AW590-40000)*10000+589)</f>
        <v/>
      </c>
      <c r="BK590">
        <f>IF(BI590=1,BJ590,"")</f>
        <v/>
      </c>
      <c r="BL590">
        <f>IF(AND(BH590=1,BG590=0,N(AW590)&lt;Setup!$D$7),(AW590-40000)*10000+589,"")</f>
        <v/>
      </c>
      <c r="BM590">
        <f>IF(AND(BH590=1,AZ590&lt;&gt;"Cancelled",N(AW590)&gt;=Dashboard!$AB$3,N(AW590)&lt;=Dashboard!$AB$3+6),(AW590-40000)*100000+BF590*10000+589,"")</f>
        <v/>
      </c>
      <c r="BN590">
        <f>IF(AND(BH590=1,AZ590&lt;&gt;"Cancelled"),BF590*10000+589,"")</f>
        <v/>
      </c>
    </row>
    <row r="591">
      <c r="AS591" t="inlineStr">
        <is>
          <t>R</t>
        </is>
      </c>
      <c r="AT591" t="n">
        <v>595</v>
      </c>
      <c r="AU591">
        <f>'Recurring Log'!C595&amp;""</f>
        <v/>
      </c>
      <c r="AV591">
        <f>'Recurring Log'!D595&amp;""</f>
        <v/>
      </c>
      <c r="AW591">
        <f>IF('Recurring Log'!E595="","",'Recurring Log'!E595)</f>
        <v/>
      </c>
      <c r="AX591">
        <f>IF('Recurring Log'!G595="","",'Recurring Log'!G595)</f>
        <v/>
      </c>
      <c r="AY591">
        <f>IF('Recurring Log'!H595="","",'Recurring Log'!H595)</f>
        <v/>
      </c>
      <c r="AZ591">
        <f>IF(AU591="","",IF('Recurring Log'!J595="","Not Started",'Recurring Log'!J595))</f>
        <v/>
      </c>
      <c r="BA591">
        <f>'Recurring Log'!L595&amp;""</f>
        <v/>
      </c>
      <c r="BB591">
        <f>'Recurring Log'!M595&amp;""</f>
        <v/>
      </c>
      <c r="BC591">
        <f>'Recurring Log'!N595&amp;""</f>
        <v/>
      </c>
      <c r="BD591">
        <f>'Recurring Log'!O595&amp;""</f>
        <v/>
      </c>
      <c r="BE591">
        <f>IF('Recurring Log'!K595="","",'Recurring Log'!K595)</f>
        <v/>
      </c>
      <c r="BF591">
        <f>IFERROR(MATCH(BA591,Setup!$L$6:$L$9,0),5)</f>
        <v/>
      </c>
      <c r="BG591">
        <f>IF(OR(AZ591="Done",AZ591="Cancelled"),1,0)</f>
        <v/>
      </c>
      <c r="BH591">
        <f>IF(AND(AU591&lt;&gt;"",ISNUMBER(AW591)),1,0)</f>
        <v/>
      </c>
      <c r="BI591">
        <f>IF(BH591=0,0,IF(AND(AW591&gt;='Tasks Filter'!$F$3,AW591&lt;='Tasks Filter'!$F$4,OR('Tasks Filter'!$I$3="",ISNUMBER(SEARCH('Tasks Filter'!$I$3,AU591))),OR('Tasks Filter'!$I$4="",BF591=IFERROR(MATCH('Tasks Filter'!$I$4,Setup!$L$6:$L$9,0),0)),OR('Tasks Filter'!$I$5="Both",AND('Tasks Filter'!$I$5="Yes",BB591="✓"),AND('Tasks Filter'!$I$5="No",BB591&lt;&gt;"✓")),OR('Tasks Filter'!$L$3="",AV591='Tasks Filter'!$L$3),OR('Tasks Filter'!$L$4="",AZ591='Tasks Filter'!$L$4),OR('Tasks Filter'!$L$5="",BC591='Tasks Filter'!$L$5),OR('Tasks Filter'!$O$3="",BD591='Tasks Filter'!$O$3),OR('Tasks Filter'!$O$4="Yes",BG591=0)),1,0))</f>
        <v/>
      </c>
      <c r="BJ591">
        <f>IF(BH591=0,"",IF('Tasks Filter'!$F$6="Descending",-1,1)*CHOOSE(MATCH('Tasks Filter'!$F$5,Lists!$G$2:$G$6,0),AW591,BF591,IFERROR(MATCH(AV591,Setup!$F$6:$F$15,0),99),IFERROR(MATCH(BC591,Setup!$H$6:$H$15,0),99),IFERROR(MATCH(AZ591,Setup!$J$6:$J$11,0),99))*1E+9+(AW591-40000)*10000+590)</f>
        <v/>
      </c>
      <c r="BK591">
        <f>IF(BI591=1,BJ591,"")</f>
        <v/>
      </c>
      <c r="BL591">
        <f>IF(AND(BH591=1,BG591=0,N(AW591)&lt;Setup!$D$7),(AW591-40000)*10000+590,"")</f>
        <v/>
      </c>
      <c r="BM591">
        <f>IF(AND(BH591=1,AZ591&lt;&gt;"Cancelled",N(AW591)&gt;=Dashboard!$AB$3,N(AW591)&lt;=Dashboard!$AB$3+6),(AW591-40000)*100000+BF591*10000+590,"")</f>
        <v/>
      </c>
      <c r="BN591">
        <f>IF(AND(BH591=1,AZ591&lt;&gt;"Cancelled"),BF591*10000+590,"")</f>
        <v/>
      </c>
    </row>
    <row r="592">
      <c r="AS592" t="inlineStr">
        <is>
          <t>R</t>
        </is>
      </c>
      <c r="AT592" t="n">
        <v>596</v>
      </c>
      <c r="AU592">
        <f>'Recurring Log'!C596&amp;""</f>
        <v/>
      </c>
      <c r="AV592">
        <f>'Recurring Log'!D596&amp;""</f>
        <v/>
      </c>
      <c r="AW592">
        <f>IF('Recurring Log'!E596="","",'Recurring Log'!E596)</f>
        <v/>
      </c>
      <c r="AX592">
        <f>IF('Recurring Log'!G596="","",'Recurring Log'!G596)</f>
        <v/>
      </c>
      <c r="AY592">
        <f>IF('Recurring Log'!H596="","",'Recurring Log'!H596)</f>
        <v/>
      </c>
      <c r="AZ592">
        <f>IF(AU592="","",IF('Recurring Log'!J596="","Not Started",'Recurring Log'!J596))</f>
        <v/>
      </c>
      <c r="BA592">
        <f>'Recurring Log'!L596&amp;""</f>
        <v/>
      </c>
      <c r="BB592">
        <f>'Recurring Log'!M596&amp;""</f>
        <v/>
      </c>
      <c r="BC592">
        <f>'Recurring Log'!N596&amp;""</f>
        <v/>
      </c>
      <c r="BD592">
        <f>'Recurring Log'!O596&amp;""</f>
        <v/>
      </c>
      <c r="BE592">
        <f>IF('Recurring Log'!K596="","",'Recurring Log'!K596)</f>
        <v/>
      </c>
      <c r="BF592">
        <f>IFERROR(MATCH(BA592,Setup!$L$6:$L$9,0),5)</f>
        <v/>
      </c>
      <c r="BG592">
        <f>IF(OR(AZ592="Done",AZ592="Cancelled"),1,0)</f>
        <v/>
      </c>
      <c r="BH592">
        <f>IF(AND(AU592&lt;&gt;"",ISNUMBER(AW592)),1,0)</f>
        <v/>
      </c>
      <c r="BI592">
        <f>IF(BH592=0,0,IF(AND(AW592&gt;='Tasks Filter'!$F$3,AW592&lt;='Tasks Filter'!$F$4,OR('Tasks Filter'!$I$3="",ISNUMBER(SEARCH('Tasks Filter'!$I$3,AU592))),OR('Tasks Filter'!$I$4="",BF592=IFERROR(MATCH('Tasks Filter'!$I$4,Setup!$L$6:$L$9,0),0)),OR('Tasks Filter'!$I$5="Both",AND('Tasks Filter'!$I$5="Yes",BB592="✓"),AND('Tasks Filter'!$I$5="No",BB592&lt;&gt;"✓")),OR('Tasks Filter'!$L$3="",AV592='Tasks Filter'!$L$3),OR('Tasks Filter'!$L$4="",AZ592='Tasks Filter'!$L$4),OR('Tasks Filter'!$L$5="",BC592='Tasks Filter'!$L$5),OR('Tasks Filter'!$O$3="",BD592='Tasks Filter'!$O$3),OR('Tasks Filter'!$O$4="Yes",BG592=0)),1,0))</f>
        <v/>
      </c>
      <c r="BJ592">
        <f>IF(BH592=0,"",IF('Tasks Filter'!$F$6="Descending",-1,1)*CHOOSE(MATCH('Tasks Filter'!$F$5,Lists!$G$2:$G$6,0),AW592,BF592,IFERROR(MATCH(AV592,Setup!$F$6:$F$15,0),99),IFERROR(MATCH(BC592,Setup!$H$6:$H$15,0),99),IFERROR(MATCH(AZ592,Setup!$J$6:$J$11,0),99))*1E+9+(AW592-40000)*10000+591)</f>
        <v/>
      </c>
      <c r="BK592">
        <f>IF(BI592=1,BJ592,"")</f>
        <v/>
      </c>
      <c r="BL592">
        <f>IF(AND(BH592=1,BG592=0,N(AW592)&lt;Setup!$D$7),(AW592-40000)*10000+591,"")</f>
        <v/>
      </c>
      <c r="BM592">
        <f>IF(AND(BH592=1,AZ592&lt;&gt;"Cancelled",N(AW592)&gt;=Dashboard!$AB$3,N(AW592)&lt;=Dashboard!$AB$3+6),(AW592-40000)*100000+BF592*10000+591,"")</f>
        <v/>
      </c>
      <c r="BN592">
        <f>IF(AND(BH592=1,AZ592&lt;&gt;"Cancelled"),BF592*10000+591,"")</f>
        <v/>
      </c>
    </row>
    <row r="593">
      <c r="AS593" t="inlineStr">
        <is>
          <t>R</t>
        </is>
      </c>
      <c r="AT593" t="n">
        <v>597</v>
      </c>
      <c r="AU593">
        <f>'Recurring Log'!C597&amp;""</f>
        <v/>
      </c>
      <c r="AV593">
        <f>'Recurring Log'!D597&amp;""</f>
        <v/>
      </c>
      <c r="AW593">
        <f>IF('Recurring Log'!E597="","",'Recurring Log'!E597)</f>
        <v/>
      </c>
      <c r="AX593">
        <f>IF('Recurring Log'!G597="","",'Recurring Log'!G597)</f>
        <v/>
      </c>
      <c r="AY593">
        <f>IF('Recurring Log'!H597="","",'Recurring Log'!H597)</f>
        <v/>
      </c>
      <c r="AZ593">
        <f>IF(AU593="","",IF('Recurring Log'!J597="","Not Started",'Recurring Log'!J597))</f>
        <v/>
      </c>
      <c r="BA593">
        <f>'Recurring Log'!L597&amp;""</f>
        <v/>
      </c>
      <c r="BB593">
        <f>'Recurring Log'!M597&amp;""</f>
        <v/>
      </c>
      <c r="BC593">
        <f>'Recurring Log'!N597&amp;""</f>
        <v/>
      </c>
      <c r="BD593">
        <f>'Recurring Log'!O597&amp;""</f>
        <v/>
      </c>
      <c r="BE593">
        <f>IF('Recurring Log'!K597="","",'Recurring Log'!K597)</f>
        <v/>
      </c>
      <c r="BF593">
        <f>IFERROR(MATCH(BA593,Setup!$L$6:$L$9,0),5)</f>
        <v/>
      </c>
      <c r="BG593">
        <f>IF(OR(AZ593="Done",AZ593="Cancelled"),1,0)</f>
        <v/>
      </c>
      <c r="BH593">
        <f>IF(AND(AU593&lt;&gt;"",ISNUMBER(AW593)),1,0)</f>
        <v/>
      </c>
      <c r="BI593">
        <f>IF(BH593=0,0,IF(AND(AW593&gt;='Tasks Filter'!$F$3,AW593&lt;='Tasks Filter'!$F$4,OR('Tasks Filter'!$I$3="",ISNUMBER(SEARCH('Tasks Filter'!$I$3,AU593))),OR('Tasks Filter'!$I$4="",BF593=IFERROR(MATCH('Tasks Filter'!$I$4,Setup!$L$6:$L$9,0),0)),OR('Tasks Filter'!$I$5="Both",AND('Tasks Filter'!$I$5="Yes",BB593="✓"),AND('Tasks Filter'!$I$5="No",BB593&lt;&gt;"✓")),OR('Tasks Filter'!$L$3="",AV593='Tasks Filter'!$L$3),OR('Tasks Filter'!$L$4="",AZ593='Tasks Filter'!$L$4),OR('Tasks Filter'!$L$5="",BC593='Tasks Filter'!$L$5),OR('Tasks Filter'!$O$3="",BD593='Tasks Filter'!$O$3),OR('Tasks Filter'!$O$4="Yes",BG593=0)),1,0))</f>
        <v/>
      </c>
      <c r="BJ593">
        <f>IF(BH593=0,"",IF('Tasks Filter'!$F$6="Descending",-1,1)*CHOOSE(MATCH('Tasks Filter'!$F$5,Lists!$G$2:$G$6,0),AW593,BF593,IFERROR(MATCH(AV593,Setup!$F$6:$F$15,0),99),IFERROR(MATCH(BC593,Setup!$H$6:$H$15,0),99),IFERROR(MATCH(AZ593,Setup!$J$6:$J$11,0),99))*1E+9+(AW593-40000)*10000+592)</f>
        <v/>
      </c>
      <c r="BK593">
        <f>IF(BI593=1,BJ593,"")</f>
        <v/>
      </c>
      <c r="BL593">
        <f>IF(AND(BH593=1,BG593=0,N(AW593)&lt;Setup!$D$7),(AW593-40000)*10000+592,"")</f>
        <v/>
      </c>
      <c r="BM593">
        <f>IF(AND(BH593=1,AZ593&lt;&gt;"Cancelled",N(AW593)&gt;=Dashboard!$AB$3,N(AW593)&lt;=Dashboard!$AB$3+6),(AW593-40000)*100000+BF593*10000+592,"")</f>
        <v/>
      </c>
      <c r="BN593">
        <f>IF(AND(BH593=1,AZ593&lt;&gt;"Cancelled"),BF593*10000+592,"")</f>
        <v/>
      </c>
    </row>
    <row r="594">
      <c r="AS594" t="inlineStr">
        <is>
          <t>R</t>
        </is>
      </c>
      <c r="AT594" t="n">
        <v>598</v>
      </c>
      <c r="AU594">
        <f>'Recurring Log'!C598&amp;""</f>
        <v/>
      </c>
      <c r="AV594">
        <f>'Recurring Log'!D598&amp;""</f>
        <v/>
      </c>
      <c r="AW594">
        <f>IF('Recurring Log'!E598="","",'Recurring Log'!E598)</f>
        <v/>
      </c>
      <c r="AX594">
        <f>IF('Recurring Log'!G598="","",'Recurring Log'!G598)</f>
        <v/>
      </c>
      <c r="AY594">
        <f>IF('Recurring Log'!H598="","",'Recurring Log'!H598)</f>
        <v/>
      </c>
      <c r="AZ594">
        <f>IF(AU594="","",IF('Recurring Log'!J598="","Not Started",'Recurring Log'!J598))</f>
        <v/>
      </c>
      <c r="BA594">
        <f>'Recurring Log'!L598&amp;""</f>
        <v/>
      </c>
      <c r="BB594">
        <f>'Recurring Log'!M598&amp;""</f>
        <v/>
      </c>
      <c r="BC594">
        <f>'Recurring Log'!N598&amp;""</f>
        <v/>
      </c>
      <c r="BD594">
        <f>'Recurring Log'!O598&amp;""</f>
        <v/>
      </c>
      <c r="BE594">
        <f>IF('Recurring Log'!K598="","",'Recurring Log'!K598)</f>
        <v/>
      </c>
      <c r="BF594">
        <f>IFERROR(MATCH(BA594,Setup!$L$6:$L$9,0),5)</f>
        <v/>
      </c>
      <c r="BG594">
        <f>IF(OR(AZ594="Done",AZ594="Cancelled"),1,0)</f>
        <v/>
      </c>
      <c r="BH594">
        <f>IF(AND(AU594&lt;&gt;"",ISNUMBER(AW594)),1,0)</f>
        <v/>
      </c>
      <c r="BI594">
        <f>IF(BH594=0,0,IF(AND(AW594&gt;='Tasks Filter'!$F$3,AW594&lt;='Tasks Filter'!$F$4,OR('Tasks Filter'!$I$3="",ISNUMBER(SEARCH('Tasks Filter'!$I$3,AU594))),OR('Tasks Filter'!$I$4="",BF594=IFERROR(MATCH('Tasks Filter'!$I$4,Setup!$L$6:$L$9,0),0)),OR('Tasks Filter'!$I$5="Both",AND('Tasks Filter'!$I$5="Yes",BB594="✓"),AND('Tasks Filter'!$I$5="No",BB594&lt;&gt;"✓")),OR('Tasks Filter'!$L$3="",AV594='Tasks Filter'!$L$3),OR('Tasks Filter'!$L$4="",AZ594='Tasks Filter'!$L$4),OR('Tasks Filter'!$L$5="",BC594='Tasks Filter'!$L$5),OR('Tasks Filter'!$O$3="",BD594='Tasks Filter'!$O$3),OR('Tasks Filter'!$O$4="Yes",BG594=0)),1,0))</f>
        <v/>
      </c>
      <c r="BJ594">
        <f>IF(BH594=0,"",IF('Tasks Filter'!$F$6="Descending",-1,1)*CHOOSE(MATCH('Tasks Filter'!$F$5,Lists!$G$2:$G$6,0),AW594,BF594,IFERROR(MATCH(AV594,Setup!$F$6:$F$15,0),99),IFERROR(MATCH(BC594,Setup!$H$6:$H$15,0),99),IFERROR(MATCH(AZ594,Setup!$J$6:$J$11,0),99))*1E+9+(AW594-40000)*10000+593)</f>
        <v/>
      </c>
      <c r="BK594">
        <f>IF(BI594=1,BJ594,"")</f>
        <v/>
      </c>
      <c r="BL594">
        <f>IF(AND(BH594=1,BG594=0,N(AW594)&lt;Setup!$D$7),(AW594-40000)*10000+593,"")</f>
        <v/>
      </c>
      <c r="BM594">
        <f>IF(AND(BH594=1,AZ594&lt;&gt;"Cancelled",N(AW594)&gt;=Dashboard!$AB$3,N(AW594)&lt;=Dashboard!$AB$3+6),(AW594-40000)*100000+BF594*10000+593,"")</f>
        <v/>
      </c>
      <c r="BN594">
        <f>IF(AND(BH594=1,AZ594&lt;&gt;"Cancelled"),BF594*10000+593,"")</f>
        <v/>
      </c>
    </row>
    <row r="595">
      <c r="AS595" t="inlineStr">
        <is>
          <t>R</t>
        </is>
      </c>
      <c r="AT595" t="n">
        <v>599</v>
      </c>
      <c r="AU595">
        <f>'Recurring Log'!C599&amp;""</f>
        <v/>
      </c>
      <c r="AV595">
        <f>'Recurring Log'!D599&amp;""</f>
        <v/>
      </c>
      <c r="AW595">
        <f>IF('Recurring Log'!E599="","",'Recurring Log'!E599)</f>
        <v/>
      </c>
      <c r="AX595">
        <f>IF('Recurring Log'!G599="","",'Recurring Log'!G599)</f>
        <v/>
      </c>
      <c r="AY595">
        <f>IF('Recurring Log'!H599="","",'Recurring Log'!H599)</f>
        <v/>
      </c>
      <c r="AZ595">
        <f>IF(AU595="","",IF('Recurring Log'!J599="","Not Started",'Recurring Log'!J599))</f>
        <v/>
      </c>
      <c r="BA595">
        <f>'Recurring Log'!L599&amp;""</f>
        <v/>
      </c>
      <c r="BB595">
        <f>'Recurring Log'!M599&amp;""</f>
        <v/>
      </c>
      <c r="BC595">
        <f>'Recurring Log'!N599&amp;""</f>
        <v/>
      </c>
      <c r="BD595">
        <f>'Recurring Log'!O599&amp;""</f>
        <v/>
      </c>
      <c r="BE595">
        <f>IF('Recurring Log'!K599="","",'Recurring Log'!K599)</f>
        <v/>
      </c>
      <c r="BF595">
        <f>IFERROR(MATCH(BA595,Setup!$L$6:$L$9,0),5)</f>
        <v/>
      </c>
      <c r="BG595">
        <f>IF(OR(AZ595="Done",AZ595="Cancelled"),1,0)</f>
        <v/>
      </c>
      <c r="BH595">
        <f>IF(AND(AU595&lt;&gt;"",ISNUMBER(AW595)),1,0)</f>
        <v/>
      </c>
      <c r="BI595">
        <f>IF(BH595=0,0,IF(AND(AW595&gt;='Tasks Filter'!$F$3,AW595&lt;='Tasks Filter'!$F$4,OR('Tasks Filter'!$I$3="",ISNUMBER(SEARCH('Tasks Filter'!$I$3,AU595))),OR('Tasks Filter'!$I$4="",BF595=IFERROR(MATCH('Tasks Filter'!$I$4,Setup!$L$6:$L$9,0),0)),OR('Tasks Filter'!$I$5="Both",AND('Tasks Filter'!$I$5="Yes",BB595="✓"),AND('Tasks Filter'!$I$5="No",BB595&lt;&gt;"✓")),OR('Tasks Filter'!$L$3="",AV595='Tasks Filter'!$L$3),OR('Tasks Filter'!$L$4="",AZ595='Tasks Filter'!$L$4),OR('Tasks Filter'!$L$5="",BC595='Tasks Filter'!$L$5),OR('Tasks Filter'!$O$3="",BD595='Tasks Filter'!$O$3),OR('Tasks Filter'!$O$4="Yes",BG595=0)),1,0))</f>
        <v/>
      </c>
      <c r="BJ595">
        <f>IF(BH595=0,"",IF('Tasks Filter'!$F$6="Descending",-1,1)*CHOOSE(MATCH('Tasks Filter'!$F$5,Lists!$G$2:$G$6,0),AW595,BF595,IFERROR(MATCH(AV595,Setup!$F$6:$F$15,0),99),IFERROR(MATCH(BC595,Setup!$H$6:$H$15,0),99),IFERROR(MATCH(AZ595,Setup!$J$6:$J$11,0),99))*1E+9+(AW595-40000)*10000+594)</f>
        <v/>
      </c>
      <c r="BK595">
        <f>IF(BI595=1,BJ595,"")</f>
        <v/>
      </c>
      <c r="BL595">
        <f>IF(AND(BH595=1,BG595=0,N(AW595)&lt;Setup!$D$7),(AW595-40000)*10000+594,"")</f>
        <v/>
      </c>
      <c r="BM595">
        <f>IF(AND(BH595=1,AZ595&lt;&gt;"Cancelled",N(AW595)&gt;=Dashboard!$AB$3,N(AW595)&lt;=Dashboard!$AB$3+6),(AW595-40000)*100000+BF595*10000+594,"")</f>
        <v/>
      </c>
      <c r="BN595">
        <f>IF(AND(BH595=1,AZ595&lt;&gt;"Cancelled"),BF595*10000+594,"")</f>
        <v/>
      </c>
    </row>
    <row r="596">
      <c r="AS596" t="inlineStr">
        <is>
          <t>R</t>
        </is>
      </c>
      <c r="AT596" t="n">
        <v>600</v>
      </c>
      <c r="AU596">
        <f>'Recurring Log'!C600&amp;""</f>
        <v/>
      </c>
      <c r="AV596">
        <f>'Recurring Log'!D600&amp;""</f>
        <v/>
      </c>
      <c r="AW596">
        <f>IF('Recurring Log'!E600="","",'Recurring Log'!E600)</f>
        <v/>
      </c>
      <c r="AX596">
        <f>IF('Recurring Log'!G600="","",'Recurring Log'!G600)</f>
        <v/>
      </c>
      <c r="AY596">
        <f>IF('Recurring Log'!H600="","",'Recurring Log'!H600)</f>
        <v/>
      </c>
      <c r="AZ596">
        <f>IF(AU596="","",IF('Recurring Log'!J600="","Not Started",'Recurring Log'!J600))</f>
        <v/>
      </c>
      <c r="BA596">
        <f>'Recurring Log'!L600&amp;""</f>
        <v/>
      </c>
      <c r="BB596">
        <f>'Recurring Log'!M600&amp;""</f>
        <v/>
      </c>
      <c r="BC596">
        <f>'Recurring Log'!N600&amp;""</f>
        <v/>
      </c>
      <c r="BD596">
        <f>'Recurring Log'!O600&amp;""</f>
        <v/>
      </c>
      <c r="BE596">
        <f>IF('Recurring Log'!K600="","",'Recurring Log'!K600)</f>
        <v/>
      </c>
      <c r="BF596">
        <f>IFERROR(MATCH(BA596,Setup!$L$6:$L$9,0),5)</f>
        <v/>
      </c>
      <c r="BG596">
        <f>IF(OR(AZ596="Done",AZ596="Cancelled"),1,0)</f>
        <v/>
      </c>
      <c r="BH596">
        <f>IF(AND(AU596&lt;&gt;"",ISNUMBER(AW596)),1,0)</f>
        <v/>
      </c>
      <c r="BI596">
        <f>IF(BH596=0,0,IF(AND(AW596&gt;='Tasks Filter'!$F$3,AW596&lt;='Tasks Filter'!$F$4,OR('Tasks Filter'!$I$3="",ISNUMBER(SEARCH('Tasks Filter'!$I$3,AU596))),OR('Tasks Filter'!$I$4="",BF596=IFERROR(MATCH('Tasks Filter'!$I$4,Setup!$L$6:$L$9,0),0)),OR('Tasks Filter'!$I$5="Both",AND('Tasks Filter'!$I$5="Yes",BB596="✓"),AND('Tasks Filter'!$I$5="No",BB596&lt;&gt;"✓")),OR('Tasks Filter'!$L$3="",AV596='Tasks Filter'!$L$3),OR('Tasks Filter'!$L$4="",AZ596='Tasks Filter'!$L$4),OR('Tasks Filter'!$L$5="",BC596='Tasks Filter'!$L$5),OR('Tasks Filter'!$O$3="",BD596='Tasks Filter'!$O$3),OR('Tasks Filter'!$O$4="Yes",BG596=0)),1,0))</f>
        <v/>
      </c>
      <c r="BJ596">
        <f>IF(BH596=0,"",IF('Tasks Filter'!$F$6="Descending",-1,1)*CHOOSE(MATCH('Tasks Filter'!$F$5,Lists!$G$2:$G$6,0),AW596,BF596,IFERROR(MATCH(AV596,Setup!$F$6:$F$15,0),99),IFERROR(MATCH(BC596,Setup!$H$6:$H$15,0),99),IFERROR(MATCH(AZ596,Setup!$J$6:$J$11,0),99))*1E+9+(AW596-40000)*10000+595)</f>
        <v/>
      </c>
      <c r="BK596">
        <f>IF(BI596=1,BJ596,"")</f>
        <v/>
      </c>
      <c r="BL596">
        <f>IF(AND(BH596=1,BG596=0,N(AW596)&lt;Setup!$D$7),(AW596-40000)*10000+595,"")</f>
        <v/>
      </c>
      <c r="BM596">
        <f>IF(AND(BH596=1,AZ596&lt;&gt;"Cancelled",N(AW596)&gt;=Dashboard!$AB$3,N(AW596)&lt;=Dashboard!$AB$3+6),(AW596-40000)*100000+BF596*10000+595,"")</f>
        <v/>
      </c>
      <c r="BN596">
        <f>IF(AND(BH596=1,AZ596&lt;&gt;"Cancelled"),BF596*10000+595,"")</f>
        <v/>
      </c>
    </row>
    <row r="597">
      <c r="AS597" t="inlineStr">
        <is>
          <t>R</t>
        </is>
      </c>
      <c r="AT597" t="n">
        <v>601</v>
      </c>
      <c r="AU597">
        <f>'Recurring Log'!C601&amp;""</f>
        <v/>
      </c>
      <c r="AV597">
        <f>'Recurring Log'!D601&amp;""</f>
        <v/>
      </c>
      <c r="AW597">
        <f>IF('Recurring Log'!E601="","",'Recurring Log'!E601)</f>
        <v/>
      </c>
      <c r="AX597">
        <f>IF('Recurring Log'!G601="","",'Recurring Log'!G601)</f>
        <v/>
      </c>
      <c r="AY597">
        <f>IF('Recurring Log'!H601="","",'Recurring Log'!H601)</f>
        <v/>
      </c>
      <c r="AZ597">
        <f>IF(AU597="","",IF('Recurring Log'!J601="","Not Started",'Recurring Log'!J601))</f>
        <v/>
      </c>
      <c r="BA597">
        <f>'Recurring Log'!L601&amp;""</f>
        <v/>
      </c>
      <c r="BB597">
        <f>'Recurring Log'!M601&amp;""</f>
        <v/>
      </c>
      <c r="BC597">
        <f>'Recurring Log'!N601&amp;""</f>
        <v/>
      </c>
      <c r="BD597">
        <f>'Recurring Log'!O601&amp;""</f>
        <v/>
      </c>
      <c r="BE597">
        <f>IF('Recurring Log'!K601="","",'Recurring Log'!K601)</f>
        <v/>
      </c>
      <c r="BF597">
        <f>IFERROR(MATCH(BA597,Setup!$L$6:$L$9,0),5)</f>
        <v/>
      </c>
      <c r="BG597">
        <f>IF(OR(AZ597="Done",AZ597="Cancelled"),1,0)</f>
        <v/>
      </c>
      <c r="BH597">
        <f>IF(AND(AU597&lt;&gt;"",ISNUMBER(AW597)),1,0)</f>
        <v/>
      </c>
      <c r="BI597">
        <f>IF(BH597=0,0,IF(AND(AW597&gt;='Tasks Filter'!$F$3,AW597&lt;='Tasks Filter'!$F$4,OR('Tasks Filter'!$I$3="",ISNUMBER(SEARCH('Tasks Filter'!$I$3,AU597))),OR('Tasks Filter'!$I$4="",BF597=IFERROR(MATCH('Tasks Filter'!$I$4,Setup!$L$6:$L$9,0),0)),OR('Tasks Filter'!$I$5="Both",AND('Tasks Filter'!$I$5="Yes",BB597="✓"),AND('Tasks Filter'!$I$5="No",BB597&lt;&gt;"✓")),OR('Tasks Filter'!$L$3="",AV597='Tasks Filter'!$L$3),OR('Tasks Filter'!$L$4="",AZ597='Tasks Filter'!$L$4),OR('Tasks Filter'!$L$5="",BC597='Tasks Filter'!$L$5),OR('Tasks Filter'!$O$3="",BD597='Tasks Filter'!$O$3),OR('Tasks Filter'!$O$4="Yes",BG597=0)),1,0))</f>
        <v/>
      </c>
      <c r="BJ597">
        <f>IF(BH597=0,"",IF('Tasks Filter'!$F$6="Descending",-1,1)*CHOOSE(MATCH('Tasks Filter'!$F$5,Lists!$G$2:$G$6,0),AW597,BF597,IFERROR(MATCH(AV597,Setup!$F$6:$F$15,0),99),IFERROR(MATCH(BC597,Setup!$H$6:$H$15,0),99),IFERROR(MATCH(AZ597,Setup!$J$6:$J$11,0),99))*1E+9+(AW597-40000)*10000+596)</f>
        <v/>
      </c>
      <c r="BK597">
        <f>IF(BI597=1,BJ597,"")</f>
        <v/>
      </c>
      <c r="BL597">
        <f>IF(AND(BH597=1,BG597=0,N(AW597)&lt;Setup!$D$7),(AW597-40000)*10000+596,"")</f>
        <v/>
      </c>
      <c r="BM597">
        <f>IF(AND(BH597=1,AZ597&lt;&gt;"Cancelled",N(AW597)&gt;=Dashboard!$AB$3,N(AW597)&lt;=Dashboard!$AB$3+6),(AW597-40000)*100000+BF597*10000+596,"")</f>
        <v/>
      </c>
      <c r="BN597">
        <f>IF(AND(BH597=1,AZ597&lt;&gt;"Cancelled"),BF597*10000+596,"")</f>
        <v/>
      </c>
    </row>
    <row r="598">
      <c r="AS598" t="inlineStr">
        <is>
          <t>R</t>
        </is>
      </c>
      <c r="AT598" t="n">
        <v>602</v>
      </c>
      <c r="AU598">
        <f>'Recurring Log'!C602&amp;""</f>
        <v/>
      </c>
      <c r="AV598">
        <f>'Recurring Log'!D602&amp;""</f>
        <v/>
      </c>
      <c r="AW598">
        <f>IF('Recurring Log'!E602="","",'Recurring Log'!E602)</f>
        <v/>
      </c>
      <c r="AX598">
        <f>IF('Recurring Log'!G602="","",'Recurring Log'!G602)</f>
        <v/>
      </c>
      <c r="AY598">
        <f>IF('Recurring Log'!H602="","",'Recurring Log'!H602)</f>
        <v/>
      </c>
      <c r="AZ598">
        <f>IF(AU598="","",IF('Recurring Log'!J602="","Not Started",'Recurring Log'!J602))</f>
        <v/>
      </c>
      <c r="BA598">
        <f>'Recurring Log'!L602&amp;""</f>
        <v/>
      </c>
      <c r="BB598">
        <f>'Recurring Log'!M602&amp;""</f>
        <v/>
      </c>
      <c r="BC598">
        <f>'Recurring Log'!N602&amp;""</f>
        <v/>
      </c>
      <c r="BD598">
        <f>'Recurring Log'!O602&amp;""</f>
        <v/>
      </c>
      <c r="BE598">
        <f>IF('Recurring Log'!K602="","",'Recurring Log'!K602)</f>
        <v/>
      </c>
      <c r="BF598">
        <f>IFERROR(MATCH(BA598,Setup!$L$6:$L$9,0),5)</f>
        <v/>
      </c>
      <c r="BG598">
        <f>IF(OR(AZ598="Done",AZ598="Cancelled"),1,0)</f>
        <v/>
      </c>
      <c r="BH598">
        <f>IF(AND(AU598&lt;&gt;"",ISNUMBER(AW598)),1,0)</f>
        <v/>
      </c>
      <c r="BI598">
        <f>IF(BH598=0,0,IF(AND(AW598&gt;='Tasks Filter'!$F$3,AW598&lt;='Tasks Filter'!$F$4,OR('Tasks Filter'!$I$3="",ISNUMBER(SEARCH('Tasks Filter'!$I$3,AU598))),OR('Tasks Filter'!$I$4="",BF598=IFERROR(MATCH('Tasks Filter'!$I$4,Setup!$L$6:$L$9,0),0)),OR('Tasks Filter'!$I$5="Both",AND('Tasks Filter'!$I$5="Yes",BB598="✓"),AND('Tasks Filter'!$I$5="No",BB598&lt;&gt;"✓")),OR('Tasks Filter'!$L$3="",AV598='Tasks Filter'!$L$3),OR('Tasks Filter'!$L$4="",AZ598='Tasks Filter'!$L$4),OR('Tasks Filter'!$L$5="",BC598='Tasks Filter'!$L$5),OR('Tasks Filter'!$O$3="",BD598='Tasks Filter'!$O$3),OR('Tasks Filter'!$O$4="Yes",BG598=0)),1,0))</f>
        <v/>
      </c>
      <c r="BJ598">
        <f>IF(BH598=0,"",IF('Tasks Filter'!$F$6="Descending",-1,1)*CHOOSE(MATCH('Tasks Filter'!$F$5,Lists!$G$2:$G$6,0),AW598,BF598,IFERROR(MATCH(AV598,Setup!$F$6:$F$15,0),99),IFERROR(MATCH(BC598,Setup!$H$6:$H$15,0),99),IFERROR(MATCH(AZ598,Setup!$J$6:$J$11,0),99))*1E+9+(AW598-40000)*10000+597)</f>
        <v/>
      </c>
      <c r="BK598">
        <f>IF(BI598=1,BJ598,"")</f>
        <v/>
      </c>
      <c r="BL598">
        <f>IF(AND(BH598=1,BG598=0,N(AW598)&lt;Setup!$D$7),(AW598-40000)*10000+597,"")</f>
        <v/>
      </c>
      <c r="BM598">
        <f>IF(AND(BH598=1,AZ598&lt;&gt;"Cancelled",N(AW598)&gt;=Dashboard!$AB$3,N(AW598)&lt;=Dashboard!$AB$3+6),(AW598-40000)*100000+BF598*10000+597,"")</f>
        <v/>
      </c>
      <c r="BN598">
        <f>IF(AND(BH598=1,AZ598&lt;&gt;"Cancelled"),BF598*10000+597,"")</f>
        <v/>
      </c>
    </row>
    <row r="599">
      <c r="AS599" t="inlineStr">
        <is>
          <t>R</t>
        </is>
      </c>
      <c r="AT599" t="n">
        <v>603</v>
      </c>
      <c r="AU599">
        <f>'Recurring Log'!C603&amp;""</f>
        <v/>
      </c>
      <c r="AV599">
        <f>'Recurring Log'!D603&amp;""</f>
        <v/>
      </c>
      <c r="AW599">
        <f>IF('Recurring Log'!E603="","",'Recurring Log'!E603)</f>
        <v/>
      </c>
      <c r="AX599">
        <f>IF('Recurring Log'!G603="","",'Recurring Log'!G603)</f>
        <v/>
      </c>
      <c r="AY599">
        <f>IF('Recurring Log'!H603="","",'Recurring Log'!H603)</f>
        <v/>
      </c>
      <c r="AZ599">
        <f>IF(AU599="","",IF('Recurring Log'!J603="","Not Started",'Recurring Log'!J603))</f>
        <v/>
      </c>
      <c r="BA599">
        <f>'Recurring Log'!L603&amp;""</f>
        <v/>
      </c>
      <c r="BB599">
        <f>'Recurring Log'!M603&amp;""</f>
        <v/>
      </c>
      <c r="BC599">
        <f>'Recurring Log'!N603&amp;""</f>
        <v/>
      </c>
      <c r="BD599">
        <f>'Recurring Log'!O603&amp;""</f>
        <v/>
      </c>
      <c r="BE599">
        <f>IF('Recurring Log'!K603="","",'Recurring Log'!K603)</f>
        <v/>
      </c>
      <c r="BF599">
        <f>IFERROR(MATCH(BA599,Setup!$L$6:$L$9,0),5)</f>
        <v/>
      </c>
      <c r="BG599">
        <f>IF(OR(AZ599="Done",AZ599="Cancelled"),1,0)</f>
        <v/>
      </c>
      <c r="BH599">
        <f>IF(AND(AU599&lt;&gt;"",ISNUMBER(AW599)),1,0)</f>
        <v/>
      </c>
      <c r="BI599">
        <f>IF(BH599=0,0,IF(AND(AW599&gt;='Tasks Filter'!$F$3,AW599&lt;='Tasks Filter'!$F$4,OR('Tasks Filter'!$I$3="",ISNUMBER(SEARCH('Tasks Filter'!$I$3,AU599))),OR('Tasks Filter'!$I$4="",BF599=IFERROR(MATCH('Tasks Filter'!$I$4,Setup!$L$6:$L$9,0),0)),OR('Tasks Filter'!$I$5="Both",AND('Tasks Filter'!$I$5="Yes",BB599="✓"),AND('Tasks Filter'!$I$5="No",BB599&lt;&gt;"✓")),OR('Tasks Filter'!$L$3="",AV599='Tasks Filter'!$L$3),OR('Tasks Filter'!$L$4="",AZ599='Tasks Filter'!$L$4),OR('Tasks Filter'!$L$5="",BC599='Tasks Filter'!$L$5),OR('Tasks Filter'!$O$3="",BD599='Tasks Filter'!$O$3),OR('Tasks Filter'!$O$4="Yes",BG599=0)),1,0))</f>
        <v/>
      </c>
      <c r="BJ599">
        <f>IF(BH599=0,"",IF('Tasks Filter'!$F$6="Descending",-1,1)*CHOOSE(MATCH('Tasks Filter'!$F$5,Lists!$G$2:$G$6,0),AW599,BF599,IFERROR(MATCH(AV599,Setup!$F$6:$F$15,0),99),IFERROR(MATCH(BC599,Setup!$H$6:$H$15,0),99),IFERROR(MATCH(AZ599,Setup!$J$6:$J$11,0),99))*1E+9+(AW599-40000)*10000+598)</f>
        <v/>
      </c>
      <c r="BK599">
        <f>IF(BI599=1,BJ599,"")</f>
        <v/>
      </c>
      <c r="BL599">
        <f>IF(AND(BH599=1,BG599=0,N(AW599)&lt;Setup!$D$7),(AW599-40000)*10000+598,"")</f>
        <v/>
      </c>
      <c r="BM599">
        <f>IF(AND(BH599=1,AZ599&lt;&gt;"Cancelled",N(AW599)&gt;=Dashboard!$AB$3,N(AW599)&lt;=Dashboard!$AB$3+6),(AW599-40000)*100000+BF599*10000+598,"")</f>
        <v/>
      </c>
      <c r="BN599">
        <f>IF(AND(BH599=1,AZ599&lt;&gt;"Cancelled"),BF599*10000+598,"")</f>
        <v/>
      </c>
    </row>
    <row r="600">
      <c r="AS600" t="inlineStr">
        <is>
          <t>R</t>
        </is>
      </c>
      <c r="AT600" t="n">
        <v>604</v>
      </c>
      <c r="AU600">
        <f>'Recurring Log'!C604&amp;""</f>
        <v/>
      </c>
      <c r="AV600">
        <f>'Recurring Log'!D604&amp;""</f>
        <v/>
      </c>
      <c r="AW600">
        <f>IF('Recurring Log'!E604="","",'Recurring Log'!E604)</f>
        <v/>
      </c>
      <c r="AX600">
        <f>IF('Recurring Log'!G604="","",'Recurring Log'!G604)</f>
        <v/>
      </c>
      <c r="AY600">
        <f>IF('Recurring Log'!H604="","",'Recurring Log'!H604)</f>
        <v/>
      </c>
      <c r="AZ600">
        <f>IF(AU600="","",IF('Recurring Log'!J604="","Not Started",'Recurring Log'!J604))</f>
        <v/>
      </c>
      <c r="BA600">
        <f>'Recurring Log'!L604&amp;""</f>
        <v/>
      </c>
      <c r="BB600">
        <f>'Recurring Log'!M604&amp;""</f>
        <v/>
      </c>
      <c r="BC600">
        <f>'Recurring Log'!N604&amp;""</f>
        <v/>
      </c>
      <c r="BD600">
        <f>'Recurring Log'!O604&amp;""</f>
        <v/>
      </c>
      <c r="BE600">
        <f>IF('Recurring Log'!K604="","",'Recurring Log'!K604)</f>
        <v/>
      </c>
      <c r="BF600">
        <f>IFERROR(MATCH(BA600,Setup!$L$6:$L$9,0),5)</f>
        <v/>
      </c>
      <c r="BG600">
        <f>IF(OR(AZ600="Done",AZ600="Cancelled"),1,0)</f>
        <v/>
      </c>
      <c r="BH600">
        <f>IF(AND(AU600&lt;&gt;"",ISNUMBER(AW600)),1,0)</f>
        <v/>
      </c>
      <c r="BI600">
        <f>IF(BH600=0,0,IF(AND(AW600&gt;='Tasks Filter'!$F$3,AW600&lt;='Tasks Filter'!$F$4,OR('Tasks Filter'!$I$3="",ISNUMBER(SEARCH('Tasks Filter'!$I$3,AU600))),OR('Tasks Filter'!$I$4="",BF600=IFERROR(MATCH('Tasks Filter'!$I$4,Setup!$L$6:$L$9,0),0)),OR('Tasks Filter'!$I$5="Both",AND('Tasks Filter'!$I$5="Yes",BB600="✓"),AND('Tasks Filter'!$I$5="No",BB600&lt;&gt;"✓")),OR('Tasks Filter'!$L$3="",AV600='Tasks Filter'!$L$3),OR('Tasks Filter'!$L$4="",AZ600='Tasks Filter'!$L$4),OR('Tasks Filter'!$L$5="",BC600='Tasks Filter'!$L$5),OR('Tasks Filter'!$O$3="",BD600='Tasks Filter'!$O$3),OR('Tasks Filter'!$O$4="Yes",BG600=0)),1,0))</f>
        <v/>
      </c>
      <c r="BJ600">
        <f>IF(BH600=0,"",IF('Tasks Filter'!$F$6="Descending",-1,1)*CHOOSE(MATCH('Tasks Filter'!$F$5,Lists!$G$2:$G$6,0),AW600,BF600,IFERROR(MATCH(AV600,Setup!$F$6:$F$15,0),99),IFERROR(MATCH(BC600,Setup!$H$6:$H$15,0),99),IFERROR(MATCH(AZ600,Setup!$J$6:$J$11,0),99))*1E+9+(AW600-40000)*10000+599)</f>
        <v/>
      </c>
      <c r="BK600">
        <f>IF(BI600=1,BJ600,"")</f>
        <v/>
      </c>
      <c r="BL600">
        <f>IF(AND(BH600=1,BG600=0,N(AW600)&lt;Setup!$D$7),(AW600-40000)*10000+599,"")</f>
        <v/>
      </c>
      <c r="BM600">
        <f>IF(AND(BH600=1,AZ600&lt;&gt;"Cancelled",N(AW600)&gt;=Dashboard!$AB$3,N(AW600)&lt;=Dashboard!$AB$3+6),(AW600-40000)*100000+BF600*10000+599,"")</f>
        <v/>
      </c>
      <c r="BN600">
        <f>IF(AND(BH600=1,AZ600&lt;&gt;"Cancelled"),BF600*10000+599,"")</f>
        <v/>
      </c>
    </row>
    <row r="601">
      <c r="AS601" t="inlineStr">
        <is>
          <t>R</t>
        </is>
      </c>
      <c r="AT601" t="n">
        <v>605</v>
      </c>
      <c r="AU601">
        <f>'Recurring Log'!C605&amp;""</f>
        <v/>
      </c>
      <c r="AV601">
        <f>'Recurring Log'!D605&amp;""</f>
        <v/>
      </c>
      <c r="AW601">
        <f>IF('Recurring Log'!E605="","",'Recurring Log'!E605)</f>
        <v/>
      </c>
      <c r="AX601">
        <f>IF('Recurring Log'!G605="","",'Recurring Log'!G605)</f>
        <v/>
      </c>
      <c r="AY601">
        <f>IF('Recurring Log'!H605="","",'Recurring Log'!H605)</f>
        <v/>
      </c>
      <c r="AZ601">
        <f>IF(AU601="","",IF('Recurring Log'!J605="","Not Started",'Recurring Log'!J605))</f>
        <v/>
      </c>
      <c r="BA601">
        <f>'Recurring Log'!L605&amp;""</f>
        <v/>
      </c>
      <c r="BB601">
        <f>'Recurring Log'!M605&amp;""</f>
        <v/>
      </c>
      <c r="BC601">
        <f>'Recurring Log'!N605&amp;""</f>
        <v/>
      </c>
      <c r="BD601">
        <f>'Recurring Log'!O605&amp;""</f>
        <v/>
      </c>
      <c r="BE601">
        <f>IF('Recurring Log'!K605="","",'Recurring Log'!K605)</f>
        <v/>
      </c>
      <c r="BF601">
        <f>IFERROR(MATCH(BA601,Setup!$L$6:$L$9,0),5)</f>
        <v/>
      </c>
      <c r="BG601">
        <f>IF(OR(AZ601="Done",AZ601="Cancelled"),1,0)</f>
        <v/>
      </c>
      <c r="BH601">
        <f>IF(AND(AU601&lt;&gt;"",ISNUMBER(AW601)),1,0)</f>
        <v/>
      </c>
      <c r="BI601">
        <f>IF(BH601=0,0,IF(AND(AW601&gt;='Tasks Filter'!$F$3,AW601&lt;='Tasks Filter'!$F$4,OR('Tasks Filter'!$I$3="",ISNUMBER(SEARCH('Tasks Filter'!$I$3,AU601))),OR('Tasks Filter'!$I$4="",BF601=IFERROR(MATCH('Tasks Filter'!$I$4,Setup!$L$6:$L$9,0),0)),OR('Tasks Filter'!$I$5="Both",AND('Tasks Filter'!$I$5="Yes",BB601="✓"),AND('Tasks Filter'!$I$5="No",BB601&lt;&gt;"✓")),OR('Tasks Filter'!$L$3="",AV601='Tasks Filter'!$L$3),OR('Tasks Filter'!$L$4="",AZ601='Tasks Filter'!$L$4),OR('Tasks Filter'!$L$5="",BC601='Tasks Filter'!$L$5),OR('Tasks Filter'!$O$3="",BD601='Tasks Filter'!$O$3),OR('Tasks Filter'!$O$4="Yes",BG601=0)),1,0))</f>
        <v/>
      </c>
      <c r="BJ601">
        <f>IF(BH601=0,"",IF('Tasks Filter'!$F$6="Descending",-1,1)*CHOOSE(MATCH('Tasks Filter'!$F$5,Lists!$G$2:$G$6,0),AW601,BF601,IFERROR(MATCH(AV601,Setup!$F$6:$F$15,0),99),IFERROR(MATCH(BC601,Setup!$H$6:$H$15,0),99),IFERROR(MATCH(AZ601,Setup!$J$6:$J$11,0),99))*1E+9+(AW601-40000)*10000+600)</f>
        <v/>
      </c>
      <c r="BK601">
        <f>IF(BI601=1,BJ601,"")</f>
        <v/>
      </c>
      <c r="BL601">
        <f>IF(AND(BH601=1,BG601=0,N(AW601)&lt;Setup!$D$7),(AW601-40000)*10000+600,"")</f>
        <v/>
      </c>
      <c r="BM601">
        <f>IF(AND(BH601=1,AZ601&lt;&gt;"Cancelled",N(AW601)&gt;=Dashboard!$AB$3,N(AW601)&lt;=Dashboard!$AB$3+6),(AW601-40000)*100000+BF601*10000+600,"")</f>
        <v/>
      </c>
      <c r="BN601">
        <f>IF(AND(BH601=1,AZ601&lt;&gt;"Cancelled"),BF601*10000+600,"")</f>
        <v/>
      </c>
    </row>
    <row r="602">
      <c r="AS602" t="inlineStr">
        <is>
          <t>R</t>
        </is>
      </c>
      <c r="AT602" t="n">
        <v>606</v>
      </c>
      <c r="AU602">
        <f>'Recurring Log'!C606&amp;""</f>
        <v/>
      </c>
      <c r="AV602">
        <f>'Recurring Log'!D606&amp;""</f>
        <v/>
      </c>
      <c r="AW602">
        <f>IF('Recurring Log'!E606="","",'Recurring Log'!E606)</f>
        <v/>
      </c>
      <c r="AX602">
        <f>IF('Recurring Log'!G606="","",'Recurring Log'!G606)</f>
        <v/>
      </c>
      <c r="AY602">
        <f>IF('Recurring Log'!H606="","",'Recurring Log'!H606)</f>
        <v/>
      </c>
      <c r="AZ602">
        <f>IF(AU602="","",IF('Recurring Log'!J606="","Not Started",'Recurring Log'!J606))</f>
        <v/>
      </c>
      <c r="BA602">
        <f>'Recurring Log'!L606&amp;""</f>
        <v/>
      </c>
      <c r="BB602">
        <f>'Recurring Log'!M606&amp;""</f>
        <v/>
      </c>
      <c r="BC602">
        <f>'Recurring Log'!N606&amp;""</f>
        <v/>
      </c>
      <c r="BD602">
        <f>'Recurring Log'!O606&amp;""</f>
        <v/>
      </c>
      <c r="BE602">
        <f>IF('Recurring Log'!K606="","",'Recurring Log'!K606)</f>
        <v/>
      </c>
      <c r="BF602">
        <f>IFERROR(MATCH(BA602,Setup!$L$6:$L$9,0),5)</f>
        <v/>
      </c>
      <c r="BG602">
        <f>IF(OR(AZ602="Done",AZ602="Cancelled"),1,0)</f>
        <v/>
      </c>
      <c r="BH602">
        <f>IF(AND(AU602&lt;&gt;"",ISNUMBER(AW602)),1,0)</f>
        <v/>
      </c>
      <c r="BI602">
        <f>IF(BH602=0,0,IF(AND(AW602&gt;='Tasks Filter'!$F$3,AW602&lt;='Tasks Filter'!$F$4,OR('Tasks Filter'!$I$3="",ISNUMBER(SEARCH('Tasks Filter'!$I$3,AU602))),OR('Tasks Filter'!$I$4="",BF602=IFERROR(MATCH('Tasks Filter'!$I$4,Setup!$L$6:$L$9,0),0)),OR('Tasks Filter'!$I$5="Both",AND('Tasks Filter'!$I$5="Yes",BB602="✓"),AND('Tasks Filter'!$I$5="No",BB602&lt;&gt;"✓")),OR('Tasks Filter'!$L$3="",AV602='Tasks Filter'!$L$3),OR('Tasks Filter'!$L$4="",AZ602='Tasks Filter'!$L$4),OR('Tasks Filter'!$L$5="",BC602='Tasks Filter'!$L$5),OR('Tasks Filter'!$O$3="",BD602='Tasks Filter'!$O$3),OR('Tasks Filter'!$O$4="Yes",BG602=0)),1,0))</f>
        <v/>
      </c>
      <c r="BJ602">
        <f>IF(BH602=0,"",IF('Tasks Filter'!$F$6="Descending",-1,1)*CHOOSE(MATCH('Tasks Filter'!$F$5,Lists!$G$2:$G$6,0),AW602,BF602,IFERROR(MATCH(AV602,Setup!$F$6:$F$15,0),99),IFERROR(MATCH(BC602,Setup!$H$6:$H$15,0),99),IFERROR(MATCH(AZ602,Setup!$J$6:$J$11,0),99))*1E+9+(AW602-40000)*10000+601)</f>
        <v/>
      </c>
      <c r="BK602">
        <f>IF(BI602=1,BJ602,"")</f>
        <v/>
      </c>
      <c r="BL602">
        <f>IF(AND(BH602=1,BG602=0,N(AW602)&lt;Setup!$D$7),(AW602-40000)*10000+601,"")</f>
        <v/>
      </c>
      <c r="BM602">
        <f>IF(AND(BH602=1,AZ602&lt;&gt;"Cancelled",N(AW602)&gt;=Dashboard!$AB$3,N(AW602)&lt;=Dashboard!$AB$3+6),(AW602-40000)*100000+BF602*10000+601,"")</f>
        <v/>
      </c>
      <c r="BN602">
        <f>IF(AND(BH602=1,AZ602&lt;&gt;"Cancelled"),BF602*10000+601,"")</f>
        <v/>
      </c>
    </row>
    <row r="603">
      <c r="AS603" t="inlineStr">
        <is>
          <t>R</t>
        </is>
      </c>
      <c r="AT603" t="n">
        <v>607</v>
      </c>
      <c r="AU603">
        <f>'Recurring Log'!C607&amp;""</f>
        <v/>
      </c>
      <c r="AV603">
        <f>'Recurring Log'!D607&amp;""</f>
        <v/>
      </c>
      <c r="AW603">
        <f>IF('Recurring Log'!E607="","",'Recurring Log'!E607)</f>
        <v/>
      </c>
      <c r="AX603">
        <f>IF('Recurring Log'!G607="","",'Recurring Log'!G607)</f>
        <v/>
      </c>
      <c r="AY603">
        <f>IF('Recurring Log'!H607="","",'Recurring Log'!H607)</f>
        <v/>
      </c>
      <c r="AZ603">
        <f>IF(AU603="","",IF('Recurring Log'!J607="","Not Started",'Recurring Log'!J607))</f>
        <v/>
      </c>
      <c r="BA603">
        <f>'Recurring Log'!L607&amp;""</f>
        <v/>
      </c>
      <c r="BB603">
        <f>'Recurring Log'!M607&amp;""</f>
        <v/>
      </c>
      <c r="BC603">
        <f>'Recurring Log'!N607&amp;""</f>
        <v/>
      </c>
      <c r="BD603">
        <f>'Recurring Log'!O607&amp;""</f>
        <v/>
      </c>
      <c r="BE603">
        <f>IF('Recurring Log'!K607="","",'Recurring Log'!K607)</f>
        <v/>
      </c>
      <c r="BF603">
        <f>IFERROR(MATCH(BA603,Setup!$L$6:$L$9,0),5)</f>
        <v/>
      </c>
      <c r="BG603">
        <f>IF(OR(AZ603="Done",AZ603="Cancelled"),1,0)</f>
        <v/>
      </c>
      <c r="BH603">
        <f>IF(AND(AU603&lt;&gt;"",ISNUMBER(AW603)),1,0)</f>
        <v/>
      </c>
      <c r="BI603">
        <f>IF(BH603=0,0,IF(AND(AW603&gt;='Tasks Filter'!$F$3,AW603&lt;='Tasks Filter'!$F$4,OR('Tasks Filter'!$I$3="",ISNUMBER(SEARCH('Tasks Filter'!$I$3,AU603))),OR('Tasks Filter'!$I$4="",BF603=IFERROR(MATCH('Tasks Filter'!$I$4,Setup!$L$6:$L$9,0),0)),OR('Tasks Filter'!$I$5="Both",AND('Tasks Filter'!$I$5="Yes",BB603="✓"),AND('Tasks Filter'!$I$5="No",BB603&lt;&gt;"✓")),OR('Tasks Filter'!$L$3="",AV603='Tasks Filter'!$L$3),OR('Tasks Filter'!$L$4="",AZ603='Tasks Filter'!$L$4),OR('Tasks Filter'!$L$5="",BC603='Tasks Filter'!$L$5),OR('Tasks Filter'!$O$3="",BD603='Tasks Filter'!$O$3),OR('Tasks Filter'!$O$4="Yes",BG603=0)),1,0))</f>
        <v/>
      </c>
      <c r="BJ603">
        <f>IF(BH603=0,"",IF('Tasks Filter'!$F$6="Descending",-1,1)*CHOOSE(MATCH('Tasks Filter'!$F$5,Lists!$G$2:$G$6,0),AW603,BF603,IFERROR(MATCH(AV603,Setup!$F$6:$F$15,0),99),IFERROR(MATCH(BC603,Setup!$H$6:$H$15,0),99),IFERROR(MATCH(AZ603,Setup!$J$6:$J$11,0),99))*1E+9+(AW603-40000)*10000+602)</f>
        <v/>
      </c>
      <c r="BK603">
        <f>IF(BI603=1,BJ603,"")</f>
        <v/>
      </c>
      <c r="BL603">
        <f>IF(AND(BH603=1,BG603=0,N(AW603)&lt;Setup!$D$7),(AW603-40000)*10000+602,"")</f>
        <v/>
      </c>
      <c r="BM603">
        <f>IF(AND(BH603=1,AZ603&lt;&gt;"Cancelled",N(AW603)&gt;=Dashboard!$AB$3,N(AW603)&lt;=Dashboard!$AB$3+6),(AW603-40000)*100000+BF603*10000+602,"")</f>
        <v/>
      </c>
      <c r="BN603">
        <f>IF(AND(BH603=1,AZ603&lt;&gt;"Cancelled"),BF603*10000+602,"")</f>
        <v/>
      </c>
    </row>
    <row r="604">
      <c r="AS604" t="inlineStr">
        <is>
          <t>R</t>
        </is>
      </c>
      <c r="AT604" t="n">
        <v>608</v>
      </c>
      <c r="AU604">
        <f>'Recurring Log'!C608&amp;""</f>
        <v/>
      </c>
      <c r="AV604">
        <f>'Recurring Log'!D608&amp;""</f>
        <v/>
      </c>
      <c r="AW604">
        <f>IF('Recurring Log'!E608="","",'Recurring Log'!E608)</f>
        <v/>
      </c>
      <c r="AX604">
        <f>IF('Recurring Log'!G608="","",'Recurring Log'!G608)</f>
        <v/>
      </c>
      <c r="AY604">
        <f>IF('Recurring Log'!H608="","",'Recurring Log'!H608)</f>
        <v/>
      </c>
      <c r="AZ604">
        <f>IF(AU604="","",IF('Recurring Log'!J608="","Not Started",'Recurring Log'!J608))</f>
        <v/>
      </c>
      <c r="BA604">
        <f>'Recurring Log'!L608&amp;""</f>
        <v/>
      </c>
      <c r="BB604">
        <f>'Recurring Log'!M608&amp;""</f>
        <v/>
      </c>
      <c r="BC604">
        <f>'Recurring Log'!N608&amp;""</f>
        <v/>
      </c>
      <c r="BD604">
        <f>'Recurring Log'!O608&amp;""</f>
        <v/>
      </c>
      <c r="BE604">
        <f>IF('Recurring Log'!K608="","",'Recurring Log'!K608)</f>
        <v/>
      </c>
      <c r="BF604">
        <f>IFERROR(MATCH(BA604,Setup!$L$6:$L$9,0),5)</f>
        <v/>
      </c>
      <c r="BG604">
        <f>IF(OR(AZ604="Done",AZ604="Cancelled"),1,0)</f>
        <v/>
      </c>
      <c r="BH604">
        <f>IF(AND(AU604&lt;&gt;"",ISNUMBER(AW604)),1,0)</f>
        <v/>
      </c>
      <c r="BI604">
        <f>IF(BH604=0,0,IF(AND(AW604&gt;='Tasks Filter'!$F$3,AW604&lt;='Tasks Filter'!$F$4,OR('Tasks Filter'!$I$3="",ISNUMBER(SEARCH('Tasks Filter'!$I$3,AU604))),OR('Tasks Filter'!$I$4="",BF604=IFERROR(MATCH('Tasks Filter'!$I$4,Setup!$L$6:$L$9,0),0)),OR('Tasks Filter'!$I$5="Both",AND('Tasks Filter'!$I$5="Yes",BB604="✓"),AND('Tasks Filter'!$I$5="No",BB604&lt;&gt;"✓")),OR('Tasks Filter'!$L$3="",AV604='Tasks Filter'!$L$3),OR('Tasks Filter'!$L$4="",AZ604='Tasks Filter'!$L$4),OR('Tasks Filter'!$L$5="",BC604='Tasks Filter'!$L$5),OR('Tasks Filter'!$O$3="",BD604='Tasks Filter'!$O$3),OR('Tasks Filter'!$O$4="Yes",BG604=0)),1,0))</f>
        <v/>
      </c>
      <c r="BJ604">
        <f>IF(BH604=0,"",IF('Tasks Filter'!$F$6="Descending",-1,1)*CHOOSE(MATCH('Tasks Filter'!$F$5,Lists!$G$2:$G$6,0),AW604,BF604,IFERROR(MATCH(AV604,Setup!$F$6:$F$15,0),99),IFERROR(MATCH(BC604,Setup!$H$6:$H$15,0),99),IFERROR(MATCH(AZ604,Setup!$J$6:$J$11,0),99))*1E+9+(AW604-40000)*10000+603)</f>
        <v/>
      </c>
      <c r="BK604">
        <f>IF(BI604=1,BJ604,"")</f>
        <v/>
      </c>
      <c r="BL604">
        <f>IF(AND(BH604=1,BG604=0,N(AW604)&lt;Setup!$D$7),(AW604-40000)*10000+603,"")</f>
        <v/>
      </c>
      <c r="BM604">
        <f>IF(AND(BH604=1,AZ604&lt;&gt;"Cancelled",N(AW604)&gt;=Dashboard!$AB$3,N(AW604)&lt;=Dashboard!$AB$3+6),(AW604-40000)*100000+BF604*10000+603,"")</f>
        <v/>
      </c>
      <c r="BN604">
        <f>IF(AND(BH604=1,AZ604&lt;&gt;"Cancelled"),BF604*10000+603,"")</f>
        <v/>
      </c>
    </row>
    <row r="605">
      <c r="AS605" t="inlineStr">
        <is>
          <t>R</t>
        </is>
      </c>
      <c r="AT605" t="n">
        <v>609</v>
      </c>
      <c r="AU605">
        <f>'Recurring Log'!C609&amp;""</f>
        <v/>
      </c>
      <c r="AV605">
        <f>'Recurring Log'!D609&amp;""</f>
        <v/>
      </c>
      <c r="AW605">
        <f>IF('Recurring Log'!E609="","",'Recurring Log'!E609)</f>
        <v/>
      </c>
      <c r="AX605">
        <f>IF('Recurring Log'!G609="","",'Recurring Log'!G609)</f>
        <v/>
      </c>
      <c r="AY605">
        <f>IF('Recurring Log'!H609="","",'Recurring Log'!H609)</f>
        <v/>
      </c>
      <c r="AZ605">
        <f>IF(AU605="","",IF('Recurring Log'!J609="","Not Started",'Recurring Log'!J609))</f>
        <v/>
      </c>
      <c r="BA605">
        <f>'Recurring Log'!L609&amp;""</f>
        <v/>
      </c>
      <c r="BB605">
        <f>'Recurring Log'!M609&amp;""</f>
        <v/>
      </c>
      <c r="BC605">
        <f>'Recurring Log'!N609&amp;""</f>
        <v/>
      </c>
      <c r="BD605">
        <f>'Recurring Log'!O609&amp;""</f>
        <v/>
      </c>
      <c r="BE605">
        <f>IF('Recurring Log'!K609="","",'Recurring Log'!K609)</f>
        <v/>
      </c>
      <c r="BF605">
        <f>IFERROR(MATCH(BA605,Setup!$L$6:$L$9,0),5)</f>
        <v/>
      </c>
      <c r="BG605">
        <f>IF(OR(AZ605="Done",AZ605="Cancelled"),1,0)</f>
        <v/>
      </c>
      <c r="BH605">
        <f>IF(AND(AU605&lt;&gt;"",ISNUMBER(AW605)),1,0)</f>
        <v/>
      </c>
      <c r="BI605">
        <f>IF(BH605=0,0,IF(AND(AW605&gt;='Tasks Filter'!$F$3,AW605&lt;='Tasks Filter'!$F$4,OR('Tasks Filter'!$I$3="",ISNUMBER(SEARCH('Tasks Filter'!$I$3,AU605))),OR('Tasks Filter'!$I$4="",BF605=IFERROR(MATCH('Tasks Filter'!$I$4,Setup!$L$6:$L$9,0),0)),OR('Tasks Filter'!$I$5="Both",AND('Tasks Filter'!$I$5="Yes",BB605="✓"),AND('Tasks Filter'!$I$5="No",BB605&lt;&gt;"✓")),OR('Tasks Filter'!$L$3="",AV605='Tasks Filter'!$L$3),OR('Tasks Filter'!$L$4="",AZ605='Tasks Filter'!$L$4),OR('Tasks Filter'!$L$5="",BC605='Tasks Filter'!$L$5),OR('Tasks Filter'!$O$3="",BD605='Tasks Filter'!$O$3),OR('Tasks Filter'!$O$4="Yes",BG605=0)),1,0))</f>
        <v/>
      </c>
      <c r="BJ605">
        <f>IF(BH605=0,"",IF('Tasks Filter'!$F$6="Descending",-1,1)*CHOOSE(MATCH('Tasks Filter'!$F$5,Lists!$G$2:$G$6,0),AW605,BF605,IFERROR(MATCH(AV605,Setup!$F$6:$F$15,0),99),IFERROR(MATCH(BC605,Setup!$H$6:$H$15,0),99),IFERROR(MATCH(AZ605,Setup!$J$6:$J$11,0),99))*1E+9+(AW605-40000)*10000+604)</f>
        <v/>
      </c>
      <c r="BK605">
        <f>IF(BI605=1,BJ605,"")</f>
        <v/>
      </c>
      <c r="BL605">
        <f>IF(AND(BH605=1,BG605=0,N(AW605)&lt;Setup!$D$7),(AW605-40000)*10000+604,"")</f>
        <v/>
      </c>
      <c r="BM605">
        <f>IF(AND(BH605=1,AZ605&lt;&gt;"Cancelled",N(AW605)&gt;=Dashboard!$AB$3,N(AW605)&lt;=Dashboard!$AB$3+6),(AW605-40000)*100000+BF605*10000+604,"")</f>
        <v/>
      </c>
      <c r="BN605">
        <f>IF(AND(BH605=1,AZ605&lt;&gt;"Cancelled"),BF605*10000+604,"")</f>
        <v/>
      </c>
    </row>
    <row r="606">
      <c r="AS606" t="inlineStr">
        <is>
          <t>R</t>
        </is>
      </c>
      <c r="AT606" t="n">
        <v>610</v>
      </c>
      <c r="AU606">
        <f>'Recurring Log'!C610&amp;""</f>
        <v/>
      </c>
      <c r="AV606">
        <f>'Recurring Log'!D610&amp;""</f>
        <v/>
      </c>
      <c r="AW606">
        <f>IF('Recurring Log'!E610="","",'Recurring Log'!E610)</f>
        <v/>
      </c>
      <c r="AX606">
        <f>IF('Recurring Log'!G610="","",'Recurring Log'!G610)</f>
        <v/>
      </c>
      <c r="AY606">
        <f>IF('Recurring Log'!H610="","",'Recurring Log'!H610)</f>
        <v/>
      </c>
      <c r="AZ606">
        <f>IF(AU606="","",IF('Recurring Log'!J610="","Not Started",'Recurring Log'!J610))</f>
        <v/>
      </c>
      <c r="BA606">
        <f>'Recurring Log'!L610&amp;""</f>
        <v/>
      </c>
      <c r="BB606">
        <f>'Recurring Log'!M610&amp;""</f>
        <v/>
      </c>
      <c r="BC606">
        <f>'Recurring Log'!N610&amp;""</f>
        <v/>
      </c>
      <c r="BD606">
        <f>'Recurring Log'!O610&amp;""</f>
        <v/>
      </c>
      <c r="BE606">
        <f>IF('Recurring Log'!K610="","",'Recurring Log'!K610)</f>
        <v/>
      </c>
      <c r="BF606">
        <f>IFERROR(MATCH(BA606,Setup!$L$6:$L$9,0),5)</f>
        <v/>
      </c>
      <c r="BG606">
        <f>IF(OR(AZ606="Done",AZ606="Cancelled"),1,0)</f>
        <v/>
      </c>
      <c r="BH606">
        <f>IF(AND(AU606&lt;&gt;"",ISNUMBER(AW606)),1,0)</f>
        <v/>
      </c>
      <c r="BI606">
        <f>IF(BH606=0,0,IF(AND(AW606&gt;='Tasks Filter'!$F$3,AW606&lt;='Tasks Filter'!$F$4,OR('Tasks Filter'!$I$3="",ISNUMBER(SEARCH('Tasks Filter'!$I$3,AU606))),OR('Tasks Filter'!$I$4="",BF606=IFERROR(MATCH('Tasks Filter'!$I$4,Setup!$L$6:$L$9,0),0)),OR('Tasks Filter'!$I$5="Both",AND('Tasks Filter'!$I$5="Yes",BB606="✓"),AND('Tasks Filter'!$I$5="No",BB606&lt;&gt;"✓")),OR('Tasks Filter'!$L$3="",AV606='Tasks Filter'!$L$3),OR('Tasks Filter'!$L$4="",AZ606='Tasks Filter'!$L$4),OR('Tasks Filter'!$L$5="",BC606='Tasks Filter'!$L$5),OR('Tasks Filter'!$O$3="",BD606='Tasks Filter'!$O$3),OR('Tasks Filter'!$O$4="Yes",BG606=0)),1,0))</f>
        <v/>
      </c>
      <c r="BJ606">
        <f>IF(BH606=0,"",IF('Tasks Filter'!$F$6="Descending",-1,1)*CHOOSE(MATCH('Tasks Filter'!$F$5,Lists!$G$2:$G$6,0),AW606,BF606,IFERROR(MATCH(AV606,Setup!$F$6:$F$15,0),99),IFERROR(MATCH(BC606,Setup!$H$6:$H$15,0),99),IFERROR(MATCH(AZ606,Setup!$J$6:$J$11,0),99))*1E+9+(AW606-40000)*10000+605)</f>
        <v/>
      </c>
      <c r="BK606">
        <f>IF(BI606=1,BJ606,"")</f>
        <v/>
      </c>
      <c r="BL606">
        <f>IF(AND(BH606=1,BG606=0,N(AW606)&lt;Setup!$D$7),(AW606-40000)*10000+605,"")</f>
        <v/>
      </c>
      <c r="BM606">
        <f>IF(AND(BH606=1,AZ606&lt;&gt;"Cancelled",N(AW606)&gt;=Dashboard!$AB$3,N(AW606)&lt;=Dashboard!$AB$3+6),(AW606-40000)*100000+BF606*10000+605,"")</f>
        <v/>
      </c>
      <c r="BN606">
        <f>IF(AND(BH606=1,AZ606&lt;&gt;"Cancelled"),BF606*10000+605,"")</f>
        <v/>
      </c>
    </row>
    <row r="607">
      <c r="AS607" t="inlineStr">
        <is>
          <t>R</t>
        </is>
      </c>
      <c r="AT607" t="n">
        <v>611</v>
      </c>
      <c r="AU607">
        <f>'Recurring Log'!C611&amp;""</f>
        <v/>
      </c>
      <c r="AV607">
        <f>'Recurring Log'!D611&amp;""</f>
        <v/>
      </c>
      <c r="AW607">
        <f>IF('Recurring Log'!E611="","",'Recurring Log'!E611)</f>
        <v/>
      </c>
      <c r="AX607">
        <f>IF('Recurring Log'!G611="","",'Recurring Log'!G611)</f>
        <v/>
      </c>
      <c r="AY607">
        <f>IF('Recurring Log'!H611="","",'Recurring Log'!H611)</f>
        <v/>
      </c>
      <c r="AZ607">
        <f>IF(AU607="","",IF('Recurring Log'!J611="","Not Started",'Recurring Log'!J611))</f>
        <v/>
      </c>
      <c r="BA607">
        <f>'Recurring Log'!L611&amp;""</f>
        <v/>
      </c>
      <c r="BB607">
        <f>'Recurring Log'!M611&amp;""</f>
        <v/>
      </c>
      <c r="BC607">
        <f>'Recurring Log'!N611&amp;""</f>
        <v/>
      </c>
      <c r="BD607">
        <f>'Recurring Log'!O611&amp;""</f>
        <v/>
      </c>
      <c r="BE607">
        <f>IF('Recurring Log'!K611="","",'Recurring Log'!K611)</f>
        <v/>
      </c>
      <c r="BF607">
        <f>IFERROR(MATCH(BA607,Setup!$L$6:$L$9,0),5)</f>
        <v/>
      </c>
      <c r="BG607">
        <f>IF(OR(AZ607="Done",AZ607="Cancelled"),1,0)</f>
        <v/>
      </c>
      <c r="BH607">
        <f>IF(AND(AU607&lt;&gt;"",ISNUMBER(AW607)),1,0)</f>
        <v/>
      </c>
      <c r="BI607">
        <f>IF(BH607=0,0,IF(AND(AW607&gt;='Tasks Filter'!$F$3,AW607&lt;='Tasks Filter'!$F$4,OR('Tasks Filter'!$I$3="",ISNUMBER(SEARCH('Tasks Filter'!$I$3,AU607))),OR('Tasks Filter'!$I$4="",BF607=IFERROR(MATCH('Tasks Filter'!$I$4,Setup!$L$6:$L$9,0),0)),OR('Tasks Filter'!$I$5="Both",AND('Tasks Filter'!$I$5="Yes",BB607="✓"),AND('Tasks Filter'!$I$5="No",BB607&lt;&gt;"✓")),OR('Tasks Filter'!$L$3="",AV607='Tasks Filter'!$L$3),OR('Tasks Filter'!$L$4="",AZ607='Tasks Filter'!$L$4),OR('Tasks Filter'!$L$5="",BC607='Tasks Filter'!$L$5),OR('Tasks Filter'!$O$3="",BD607='Tasks Filter'!$O$3),OR('Tasks Filter'!$O$4="Yes",BG607=0)),1,0))</f>
        <v/>
      </c>
      <c r="BJ607">
        <f>IF(BH607=0,"",IF('Tasks Filter'!$F$6="Descending",-1,1)*CHOOSE(MATCH('Tasks Filter'!$F$5,Lists!$G$2:$G$6,0),AW607,BF607,IFERROR(MATCH(AV607,Setup!$F$6:$F$15,0),99),IFERROR(MATCH(BC607,Setup!$H$6:$H$15,0),99),IFERROR(MATCH(AZ607,Setup!$J$6:$J$11,0),99))*1E+9+(AW607-40000)*10000+606)</f>
        <v/>
      </c>
      <c r="BK607">
        <f>IF(BI607=1,BJ607,"")</f>
        <v/>
      </c>
      <c r="BL607">
        <f>IF(AND(BH607=1,BG607=0,N(AW607)&lt;Setup!$D$7),(AW607-40000)*10000+606,"")</f>
        <v/>
      </c>
      <c r="BM607">
        <f>IF(AND(BH607=1,AZ607&lt;&gt;"Cancelled",N(AW607)&gt;=Dashboard!$AB$3,N(AW607)&lt;=Dashboard!$AB$3+6),(AW607-40000)*100000+BF607*10000+606,"")</f>
        <v/>
      </c>
      <c r="BN607">
        <f>IF(AND(BH607=1,AZ607&lt;&gt;"Cancelled"),BF607*10000+606,"")</f>
        <v/>
      </c>
    </row>
    <row r="608">
      <c r="AS608" t="inlineStr">
        <is>
          <t>R</t>
        </is>
      </c>
      <c r="AT608" t="n">
        <v>612</v>
      </c>
      <c r="AU608">
        <f>'Recurring Log'!C612&amp;""</f>
        <v/>
      </c>
      <c r="AV608">
        <f>'Recurring Log'!D612&amp;""</f>
        <v/>
      </c>
      <c r="AW608">
        <f>IF('Recurring Log'!E612="","",'Recurring Log'!E612)</f>
        <v/>
      </c>
      <c r="AX608">
        <f>IF('Recurring Log'!G612="","",'Recurring Log'!G612)</f>
        <v/>
      </c>
      <c r="AY608">
        <f>IF('Recurring Log'!H612="","",'Recurring Log'!H612)</f>
        <v/>
      </c>
      <c r="AZ608">
        <f>IF(AU608="","",IF('Recurring Log'!J612="","Not Started",'Recurring Log'!J612))</f>
        <v/>
      </c>
      <c r="BA608">
        <f>'Recurring Log'!L612&amp;""</f>
        <v/>
      </c>
      <c r="BB608">
        <f>'Recurring Log'!M612&amp;""</f>
        <v/>
      </c>
      <c r="BC608">
        <f>'Recurring Log'!N612&amp;""</f>
        <v/>
      </c>
      <c r="BD608">
        <f>'Recurring Log'!O612&amp;""</f>
        <v/>
      </c>
      <c r="BE608">
        <f>IF('Recurring Log'!K612="","",'Recurring Log'!K612)</f>
        <v/>
      </c>
      <c r="BF608">
        <f>IFERROR(MATCH(BA608,Setup!$L$6:$L$9,0),5)</f>
        <v/>
      </c>
      <c r="BG608">
        <f>IF(OR(AZ608="Done",AZ608="Cancelled"),1,0)</f>
        <v/>
      </c>
      <c r="BH608">
        <f>IF(AND(AU608&lt;&gt;"",ISNUMBER(AW608)),1,0)</f>
        <v/>
      </c>
      <c r="BI608">
        <f>IF(BH608=0,0,IF(AND(AW608&gt;='Tasks Filter'!$F$3,AW608&lt;='Tasks Filter'!$F$4,OR('Tasks Filter'!$I$3="",ISNUMBER(SEARCH('Tasks Filter'!$I$3,AU608))),OR('Tasks Filter'!$I$4="",BF608=IFERROR(MATCH('Tasks Filter'!$I$4,Setup!$L$6:$L$9,0),0)),OR('Tasks Filter'!$I$5="Both",AND('Tasks Filter'!$I$5="Yes",BB608="✓"),AND('Tasks Filter'!$I$5="No",BB608&lt;&gt;"✓")),OR('Tasks Filter'!$L$3="",AV608='Tasks Filter'!$L$3),OR('Tasks Filter'!$L$4="",AZ608='Tasks Filter'!$L$4),OR('Tasks Filter'!$L$5="",BC608='Tasks Filter'!$L$5),OR('Tasks Filter'!$O$3="",BD608='Tasks Filter'!$O$3),OR('Tasks Filter'!$O$4="Yes",BG608=0)),1,0))</f>
        <v/>
      </c>
      <c r="BJ608">
        <f>IF(BH608=0,"",IF('Tasks Filter'!$F$6="Descending",-1,1)*CHOOSE(MATCH('Tasks Filter'!$F$5,Lists!$G$2:$G$6,0),AW608,BF608,IFERROR(MATCH(AV608,Setup!$F$6:$F$15,0),99),IFERROR(MATCH(BC608,Setup!$H$6:$H$15,0),99),IFERROR(MATCH(AZ608,Setup!$J$6:$J$11,0),99))*1E+9+(AW608-40000)*10000+607)</f>
        <v/>
      </c>
      <c r="BK608">
        <f>IF(BI608=1,BJ608,"")</f>
        <v/>
      </c>
      <c r="BL608">
        <f>IF(AND(BH608=1,BG608=0,N(AW608)&lt;Setup!$D$7),(AW608-40000)*10000+607,"")</f>
        <v/>
      </c>
      <c r="BM608">
        <f>IF(AND(BH608=1,AZ608&lt;&gt;"Cancelled",N(AW608)&gt;=Dashboard!$AB$3,N(AW608)&lt;=Dashboard!$AB$3+6),(AW608-40000)*100000+BF608*10000+607,"")</f>
        <v/>
      </c>
      <c r="BN608">
        <f>IF(AND(BH608=1,AZ608&lt;&gt;"Cancelled"),BF608*10000+607,"")</f>
        <v/>
      </c>
    </row>
    <row r="609">
      <c r="AS609" t="inlineStr">
        <is>
          <t>R</t>
        </is>
      </c>
      <c r="AT609" t="n">
        <v>613</v>
      </c>
      <c r="AU609">
        <f>'Recurring Log'!C613&amp;""</f>
        <v/>
      </c>
      <c r="AV609">
        <f>'Recurring Log'!D613&amp;""</f>
        <v/>
      </c>
      <c r="AW609">
        <f>IF('Recurring Log'!E613="","",'Recurring Log'!E613)</f>
        <v/>
      </c>
      <c r="AX609">
        <f>IF('Recurring Log'!G613="","",'Recurring Log'!G613)</f>
        <v/>
      </c>
      <c r="AY609">
        <f>IF('Recurring Log'!H613="","",'Recurring Log'!H613)</f>
        <v/>
      </c>
      <c r="AZ609">
        <f>IF(AU609="","",IF('Recurring Log'!J613="","Not Started",'Recurring Log'!J613))</f>
        <v/>
      </c>
      <c r="BA609">
        <f>'Recurring Log'!L613&amp;""</f>
        <v/>
      </c>
      <c r="BB609">
        <f>'Recurring Log'!M613&amp;""</f>
        <v/>
      </c>
      <c r="BC609">
        <f>'Recurring Log'!N613&amp;""</f>
        <v/>
      </c>
      <c r="BD609">
        <f>'Recurring Log'!O613&amp;""</f>
        <v/>
      </c>
      <c r="BE609">
        <f>IF('Recurring Log'!K613="","",'Recurring Log'!K613)</f>
        <v/>
      </c>
      <c r="BF609">
        <f>IFERROR(MATCH(BA609,Setup!$L$6:$L$9,0),5)</f>
        <v/>
      </c>
      <c r="BG609">
        <f>IF(OR(AZ609="Done",AZ609="Cancelled"),1,0)</f>
        <v/>
      </c>
      <c r="BH609">
        <f>IF(AND(AU609&lt;&gt;"",ISNUMBER(AW609)),1,0)</f>
        <v/>
      </c>
      <c r="BI609">
        <f>IF(BH609=0,0,IF(AND(AW609&gt;='Tasks Filter'!$F$3,AW609&lt;='Tasks Filter'!$F$4,OR('Tasks Filter'!$I$3="",ISNUMBER(SEARCH('Tasks Filter'!$I$3,AU609))),OR('Tasks Filter'!$I$4="",BF609=IFERROR(MATCH('Tasks Filter'!$I$4,Setup!$L$6:$L$9,0),0)),OR('Tasks Filter'!$I$5="Both",AND('Tasks Filter'!$I$5="Yes",BB609="✓"),AND('Tasks Filter'!$I$5="No",BB609&lt;&gt;"✓")),OR('Tasks Filter'!$L$3="",AV609='Tasks Filter'!$L$3),OR('Tasks Filter'!$L$4="",AZ609='Tasks Filter'!$L$4),OR('Tasks Filter'!$L$5="",BC609='Tasks Filter'!$L$5),OR('Tasks Filter'!$O$3="",BD609='Tasks Filter'!$O$3),OR('Tasks Filter'!$O$4="Yes",BG609=0)),1,0))</f>
        <v/>
      </c>
      <c r="BJ609">
        <f>IF(BH609=0,"",IF('Tasks Filter'!$F$6="Descending",-1,1)*CHOOSE(MATCH('Tasks Filter'!$F$5,Lists!$G$2:$G$6,0),AW609,BF609,IFERROR(MATCH(AV609,Setup!$F$6:$F$15,0),99),IFERROR(MATCH(BC609,Setup!$H$6:$H$15,0),99),IFERROR(MATCH(AZ609,Setup!$J$6:$J$11,0),99))*1E+9+(AW609-40000)*10000+608)</f>
        <v/>
      </c>
      <c r="BK609">
        <f>IF(BI609=1,BJ609,"")</f>
        <v/>
      </c>
      <c r="BL609">
        <f>IF(AND(BH609=1,BG609=0,N(AW609)&lt;Setup!$D$7),(AW609-40000)*10000+608,"")</f>
        <v/>
      </c>
      <c r="BM609">
        <f>IF(AND(BH609=1,AZ609&lt;&gt;"Cancelled",N(AW609)&gt;=Dashboard!$AB$3,N(AW609)&lt;=Dashboard!$AB$3+6),(AW609-40000)*100000+BF609*10000+608,"")</f>
        <v/>
      </c>
      <c r="BN609">
        <f>IF(AND(BH609=1,AZ609&lt;&gt;"Cancelled"),BF609*10000+608,"")</f>
        <v/>
      </c>
    </row>
    <row r="610">
      <c r="AS610" t="inlineStr">
        <is>
          <t>R</t>
        </is>
      </c>
      <c r="AT610" t="n">
        <v>614</v>
      </c>
      <c r="AU610">
        <f>'Recurring Log'!C614&amp;""</f>
        <v/>
      </c>
      <c r="AV610">
        <f>'Recurring Log'!D614&amp;""</f>
        <v/>
      </c>
      <c r="AW610">
        <f>IF('Recurring Log'!E614="","",'Recurring Log'!E614)</f>
        <v/>
      </c>
      <c r="AX610">
        <f>IF('Recurring Log'!G614="","",'Recurring Log'!G614)</f>
        <v/>
      </c>
      <c r="AY610">
        <f>IF('Recurring Log'!H614="","",'Recurring Log'!H614)</f>
        <v/>
      </c>
      <c r="AZ610">
        <f>IF(AU610="","",IF('Recurring Log'!J614="","Not Started",'Recurring Log'!J614))</f>
        <v/>
      </c>
      <c r="BA610">
        <f>'Recurring Log'!L614&amp;""</f>
        <v/>
      </c>
      <c r="BB610">
        <f>'Recurring Log'!M614&amp;""</f>
        <v/>
      </c>
      <c r="BC610">
        <f>'Recurring Log'!N614&amp;""</f>
        <v/>
      </c>
      <c r="BD610">
        <f>'Recurring Log'!O614&amp;""</f>
        <v/>
      </c>
      <c r="BE610">
        <f>IF('Recurring Log'!K614="","",'Recurring Log'!K614)</f>
        <v/>
      </c>
      <c r="BF610">
        <f>IFERROR(MATCH(BA610,Setup!$L$6:$L$9,0),5)</f>
        <v/>
      </c>
      <c r="BG610">
        <f>IF(OR(AZ610="Done",AZ610="Cancelled"),1,0)</f>
        <v/>
      </c>
      <c r="BH610">
        <f>IF(AND(AU610&lt;&gt;"",ISNUMBER(AW610)),1,0)</f>
        <v/>
      </c>
      <c r="BI610">
        <f>IF(BH610=0,0,IF(AND(AW610&gt;='Tasks Filter'!$F$3,AW610&lt;='Tasks Filter'!$F$4,OR('Tasks Filter'!$I$3="",ISNUMBER(SEARCH('Tasks Filter'!$I$3,AU610))),OR('Tasks Filter'!$I$4="",BF610=IFERROR(MATCH('Tasks Filter'!$I$4,Setup!$L$6:$L$9,0),0)),OR('Tasks Filter'!$I$5="Both",AND('Tasks Filter'!$I$5="Yes",BB610="✓"),AND('Tasks Filter'!$I$5="No",BB610&lt;&gt;"✓")),OR('Tasks Filter'!$L$3="",AV610='Tasks Filter'!$L$3),OR('Tasks Filter'!$L$4="",AZ610='Tasks Filter'!$L$4),OR('Tasks Filter'!$L$5="",BC610='Tasks Filter'!$L$5),OR('Tasks Filter'!$O$3="",BD610='Tasks Filter'!$O$3),OR('Tasks Filter'!$O$4="Yes",BG610=0)),1,0))</f>
        <v/>
      </c>
      <c r="BJ610">
        <f>IF(BH610=0,"",IF('Tasks Filter'!$F$6="Descending",-1,1)*CHOOSE(MATCH('Tasks Filter'!$F$5,Lists!$G$2:$G$6,0),AW610,BF610,IFERROR(MATCH(AV610,Setup!$F$6:$F$15,0),99),IFERROR(MATCH(BC610,Setup!$H$6:$H$15,0),99),IFERROR(MATCH(AZ610,Setup!$J$6:$J$11,0),99))*1E+9+(AW610-40000)*10000+609)</f>
        <v/>
      </c>
      <c r="BK610">
        <f>IF(BI610=1,BJ610,"")</f>
        <v/>
      </c>
      <c r="BL610">
        <f>IF(AND(BH610=1,BG610=0,N(AW610)&lt;Setup!$D$7),(AW610-40000)*10000+609,"")</f>
        <v/>
      </c>
      <c r="BM610">
        <f>IF(AND(BH610=1,AZ610&lt;&gt;"Cancelled",N(AW610)&gt;=Dashboard!$AB$3,N(AW610)&lt;=Dashboard!$AB$3+6),(AW610-40000)*100000+BF610*10000+609,"")</f>
        <v/>
      </c>
      <c r="BN610">
        <f>IF(AND(BH610=1,AZ610&lt;&gt;"Cancelled"),BF610*10000+609,"")</f>
        <v/>
      </c>
    </row>
    <row r="611">
      <c r="AS611" t="inlineStr">
        <is>
          <t>R</t>
        </is>
      </c>
      <c r="AT611" t="n">
        <v>615</v>
      </c>
      <c r="AU611">
        <f>'Recurring Log'!C615&amp;""</f>
        <v/>
      </c>
      <c r="AV611">
        <f>'Recurring Log'!D615&amp;""</f>
        <v/>
      </c>
      <c r="AW611">
        <f>IF('Recurring Log'!E615="","",'Recurring Log'!E615)</f>
        <v/>
      </c>
      <c r="AX611">
        <f>IF('Recurring Log'!G615="","",'Recurring Log'!G615)</f>
        <v/>
      </c>
      <c r="AY611">
        <f>IF('Recurring Log'!H615="","",'Recurring Log'!H615)</f>
        <v/>
      </c>
      <c r="AZ611">
        <f>IF(AU611="","",IF('Recurring Log'!J615="","Not Started",'Recurring Log'!J615))</f>
        <v/>
      </c>
      <c r="BA611">
        <f>'Recurring Log'!L615&amp;""</f>
        <v/>
      </c>
      <c r="BB611">
        <f>'Recurring Log'!M615&amp;""</f>
        <v/>
      </c>
      <c r="BC611">
        <f>'Recurring Log'!N615&amp;""</f>
        <v/>
      </c>
      <c r="BD611">
        <f>'Recurring Log'!O615&amp;""</f>
        <v/>
      </c>
      <c r="BE611">
        <f>IF('Recurring Log'!K615="","",'Recurring Log'!K615)</f>
        <v/>
      </c>
      <c r="BF611">
        <f>IFERROR(MATCH(BA611,Setup!$L$6:$L$9,0),5)</f>
        <v/>
      </c>
      <c r="BG611">
        <f>IF(OR(AZ611="Done",AZ611="Cancelled"),1,0)</f>
        <v/>
      </c>
      <c r="BH611">
        <f>IF(AND(AU611&lt;&gt;"",ISNUMBER(AW611)),1,0)</f>
        <v/>
      </c>
      <c r="BI611">
        <f>IF(BH611=0,0,IF(AND(AW611&gt;='Tasks Filter'!$F$3,AW611&lt;='Tasks Filter'!$F$4,OR('Tasks Filter'!$I$3="",ISNUMBER(SEARCH('Tasks Filter'!$I$3,AU611))),OR('Tasks Filter'!$I$4="",BF611=IFERROR(MATCH('Tasks Filter'!$I$4,Setup!$L$6:$L$9,0),0)),OR('Tasks Filter'!$I$5="Both",AND('Tasks Filter'!$I$5="Yes",BB611="✓"),AND('Tasks Filter'!$I$5="No",BB611&lt;&gt;"✓")),OR('Tasks Filter'!$L$3="",AV611='Tasks Filter'!$L$3),OR('Tasks Filter'!$L$4="",AZ611='Tasks Filter'!$L$4),OR('Tasks Filter'!$L$5="",BC611='Tasks Filter'!$L$5),OR('Tasks Filter'!$O$3="",BD611='Tasks Filter'!$O$3),OR('Tasks Filter'!$O$4="Yes",BG611=0)),1,0))</f>
        <v/>
      </c>
      <c r="BJ611">
        <f>IF(BH611=0,"",IF('Tasks Filter'!$F$6="Descending",-1,1)*CHOOSE(MATCH('Tasks Filter'!$F$5,Lists!$G$2:$G$6,0),AW611,BF611,IFERROR(MATCH(AV611,Setup!$F$6:$F$15,0),99),IFERROR(MATCH(BC611,Setup!$H$6:$H$15,0),99),IFERROR(MATCH(AZ611,Setup!$J$6:$J$11,0),99))*1E+9+(AW611-40000)*10000+610)</f>
        <v/>
      </c>
      <c r="BK611">
        <f>IF(BI611=1,BJ611,"")</f>
        <v/>
      </c>
      <c r="BL611">
        <f>IF(AND(BH611=1,BG611=0,N(AW611)&lt;Setup!$D$7),(AW611-40000)*10000+610,"")</f>
        <v/>
      </c>
      <c r="BM611">
        <f>IF(AND(BH611=1,AZ611&lt;&gt;"Cancelled",N(AW611)&gt;=Dashboard!$AB$3,N(AW611)&lt;=Dashboard!$AB$3+6),(AW611-40000)*100000+BF611*10000+610,"")</f>
        <v/>
      </c>
      <c r="BN611">
        <f>IF(AND(BH611=1,AZ611&lt;&gt;"Cancelled"),BF611*10000+610,"")</f>
        <v/>
      </c>
    </row>
    <row r="612">
      <c r="AS612" t="inlineStr">
        <is>
          <t>R</t>
        </is>
      </c>
      <c r="AT612" t="n">
        <v>616</v>
      </c>
      <c r="AU612">
        <f>'Recurring Log'!C616&amp;""</f>
        <v/>
      </c>
      <c r="AV612">
        <f>'Recurring Log'!D616&amp;""</f>
        <v/>
      </c>
      <c r="AW612">
        <f>IF('Recurring Log'!E616="","",'Recurring Log'!E616)</f>
        <v/>
      </c>
      <c r="AX612">
        <f>IF('Recurring Log'!G616="","",'Recurring Log'!G616)</f>
        <v/>
      </c>
      <c r="AY612">
        <f>IF('Recurring Log'!H616="","",'Recurring Log'!H616)</f>
        <v/>
      </c>
      <c r="AZ612">
        <f>IF(AU612="","",IF('Recurring Log'!J616="","Not Started",'Recurring Log'!J616))</f>
        <v/>
      </c>
      <c r="BA612">
        <f>'Recurring Log'!L616&amp;""</f>
        <v/>
      </c>
      <c r="BB612">
        <f>'Recurring Log'!M616&amp;""</f>
        <v/>
      </c>
      <c r="BC612">
        <f>'Recurring Log'!N616&amp;""</f>
        <v/>
      </c>
      <c r="BD612">
        <f>'Recurring Log'!O616&amp;""</f>
        <v/>
      </c>
      <c r="BE612">
        <f>IF('Recurring Log'!K616="","",'Recurring Log'!K616)</f>
        <v/>
      </c>
      <c r="BF612">
        <f>IFERROR(MATCH(BA612,Setup!$L$6:$L$9,0),5)</f>
        <v/>
      </c>
      <c r="BG612">
        <f>IF(OR(AZ612="Done",AZ612="Cancelled"),1,0)</f>
        <v/>
      </c>
      <c r="BH612">
        <f>IF(AND(AU612&lt;&gt;"",ISNUMBER(AW612)),1,0)</f>
        <v/>
      </c>
      <c r="BI612">
        <f>IF(BH612=0,0,IF(AND(AW612&gt;='Tasks Filter'!$F$3,AW612&lt;='Tasks Filter'!$F$4,OR('Tasks Filter'!$I$3="",ISNUMBER(SEARCH('Tasks Filter'!$I$3,AU612))),OR('Tasks Filter'!$I$4="",BF612=IFERROR(MATCH('Tasks Filter'!$I$4,Setup!$L$6:$L$9,0),0)),OR('Tasks Filter'!$I$5="Both",AND('Tasks Filter'!$I$5="Yes",BB612="✓"),AND('Tasks Filter'!$I$5="No",BB612&lt;&gt;"✓")),OR('Tasks Filter'!$L$3="",AV612='Tasks Filter'!$L$3),OR('Tasks Filter'!$L$4="",AZ612='Tasks Filter'!$L$4),OR('Tasks Filter'!$L$5="",BC612='Tasks Filter'!$L$5),OR('Tasks Filter'!$O$3="",BD612='Tasks Filter'!$O$3),OR('Tasks Filter'!$O$4="Yes",BG612=0)),1,0))</f>
        <v/>
      </c>
      <c r="BJ612">
        <f>IF(BH612=0,"",IF('Tasks Filter'!$F$6="Descending",-1,1)*CHOOSE(MATCH('Tasks Filter'!$F$5,Lists!$G$2:$G$6,0),AW612,BF612,IFERROR(MATCH(AV612,Setup!$F$6:$F$15,0),99),IFERROR(MATCH(BC612,Setup!$H$6:$H$15,0),99),IFERROR(MATCH(AZ612,Setup!$J$6:$J$11,0),99))*1E+9+(AW612-40000)*10000+611)</f>
        <v/>
      </c>
      <c r="BK612">
        <f>IF(BI612=1,BJ612,"")</f>
        <v/>
      </c>
      <c r="BL612">
        <f>IF(AND(BH612=1,BG612=0,N(AW612)&lt;Setup!$D$7),(AW612-40000)*10000+611,"")</f>
        <v/>
      </c>
      <c r="BM612">
        <f>IF(AND(BH612=1,AZ612&lt;&gt;"Cancelled",N(AW612)&gt;=Dashboard!$AB$3,N(AW612)&lt;=Dashboard!$AB$3+6),(AW612-40000)*100000+BF612*10000+611,"")</f>
        <v/>
      </c>
      <c r="BN612">
        <f>IF(AND(BH612=1,AZ612&lt;&gt;"Cancelled"),BF612*10000+611,"")</f>
        <v/>
      </c>
    </row>
    <row r="613">
      <c r="AS613" t="inlineStr">
        <is>
          <t>R</t>
        </is>
      </c>
      <c r="AT613" t="n">
        <v>617</v>
      </c>
      <c r="AU613">
        <f>'Recurring Log'!C617&amp;""</f>
        <v/>
      </c>
      <c r="AV613">
        <f>'Recurring Log'!D617&amp;""</f>
        <v/>
      </c>
      <c r="AW613">
        <f>IF('Recurring Log'!E617="","",'Recurring Log'!E617)</f>
        <v/>
      </c>
      <c r="AX613">
        <f>IF('Recurring Log'!G617="","",'Recurring Log'!G617)</f>
        <v/>
      </c>
      <c r="AY613">
        <f>IF('Recurring Log'!H617="","",'Recurring Log'!H617)</f>
        <v/>
      </c>
      <c r="AZ613">
        <f>IF(AU613="","",IF('Recurring Log'!J617="","Not Started",'Recurring Log'!J617))</f>
        <v/>
      </c>
      <c r="BA613">
        <f>'Recurring Log'!L617&amp;""</f>
        <v/>
      </c>
      <c r="BB613">
        <f>'Recurring Log'!M617&amp;""</f>
        <v/>
      </c>
      <c r="BC613">
        <f>'Recurring Log'!N617&amp;""</f>
        <v/>
      </c>
      <c r="BD613">
        <f>'Recurring Log'!O617&amp;""</f>
        <v/>
      </c>
      <c r="BE613">
        <f>IF('Recurring Log'!K617="","",'Recurring Log'!K617)</f>
        <v/>
      </c>
      <c r="BF613">
        <f>IFERROR(MATCH(BA613,Setup!$L$6:$L$9,0),5)</f>
        <v/>
      </c>
      <c r="BG613">
        <f>IF(OR(AZ613="Done",AZ613="Cancelled"),1,0)</f>
        <v/>
      </c>
      <c r="BH613">
        <f>IF(AND(AU613&lt;&gt;"",ISNUMBER(AW613)),1,0)</f>
        <v/>
      </c>
      <c r="BI613">
        <f>IF(BH613=0,0,IF(AND(AW613&gt;='Tasks Filter'!$F$3,AW613&lt;='Tasks Filter'!$F$4,OR('Tasks Filter'!$I$3="",ISNUMBER(SEARCH('Tasks Filter'!$I$3,AU613))),OR('Tasks Filter'!$I$4="",BF613=IFERROR(MATCH('Tasks Filter'!$I$4,Setup!$L$6:$L$9,0),0)),OR('Tasks Filter'!$I$5="Both",AND('Tasks Filter'!$I$5="Yes",BB613="✓"),AND('Tasks Filter'!$I$5="No",BB613&lt;&gt;"✓")),OR('Tasks Filter'!$L$3="",AV613='Tasks Filter'!$L$3),OR('Tasks Filter'!$L$4="",AZ613='Tasks Filter'!$L$4),OR('Tasks Filter'!$L$5="",BC613='Tasks Filter'!$L$5),OR('Tasks Filter'!$O$3="",BD613='Tasks Filter'!$O$3),OR('Tasks Filter'!$O$4="Yes",BG613=0)),1,0))</f>
        <v/>
      </c>
      <c r="BJ613">
        <f>IF(BH613=0,"",IF('Tasks Filter'!$F$6="Descending",-1,1)*CHOOSE(MATCH('Tasks Filter'!$F$5,Lists!$G$2:$G$6,0),AW613,BF613,IFERROR(MATCH(AV613,Setup!$F$6:$F$15,0),99),IFERROR(MATCH(BC613,Setup!$H$6:$H$15,0),99),IFERROR(MATCH(AZ613,Setup!$J$6:$J$11,0),99))*1E+9+(AW613-40000)*10000+612)</f>
        <v/>
      </c>
      <c r="BK613">
        <f>IF(BI613=1,BJ613,"")</f>
        <v/>
      </c>
      <c r="BL613">
        <f>IF(AND(BH613=1,BG613=0,N(AW613)&lt;Setup!$D$7),(AW613-40000)*10000+612,"")</f>
        <v/>
      </c>
      <c r="BM613">
        <f>IF(AND(BH613=1,AZ613&lt;&gt;"Cancelled",N(AW613)&gt;=Dashboard!$AB$3,N(AW613)&lt;=Dashboard!$AB$3+6),(AW613-40000)*100000+BF613*10000+612,"")</f>
        <v/>
      </c>
      <c r="BN613">
        <f>IF(AND(BH613=1,AZ613&lt;&gt;"Cancelled"),BF613*10000+612,"")</f>
        <v/>
      </c>
    </row>
    <row r="614">
      <c r="AS614" t="inlineStr">
        <is>
          <t>R</t>
        </is>
      </c>
      <c r="AT614" t="n">
        <v>618</v>
      </c>
      <c r="AU614">
        <f>'Recurring Log'!C618&amp;""</f>
        <v/>
      </c>
      <c r="AV614">
        <f>'Recurring Log'!D618&amp;""</f>
        <v/>
      </c>
      <c r="AW614">
        <f>IF('Recurring Log'!E618="","",'Recurring Log'!E618)</f>
        <v/>
      </c>
      <c r="AX614">
        <f>IF('Recurring Log'!G618="","",'Recurring Log'!G618)</f>
        <v/>
      </c>
      <c r="AY614">
        <f>IF('Recurring Log'!H618="","",'Recurring Log'!H618)</f>
        <v/>
      </c>
      <c r="AZ614">
        <f>IF(AU614="","",IF('Recurring Log'!J618="","Not Started",'Recurring Log'!J618))</f>
        <v/>
      </c>
      <c r="BA614">
        <f>'Recurring Log'!L618&amp;""</f>
        <v/>
      </c>
      <c r="BB614">
        <f>'Recurring Log'!M618&amp;""</f>
        <v/>
      </c>
      <c r="BC614">
        <f>'Recurring Log'!N618&amp;""</f>
        <v/>
      </c>
      <c r="BD614">
        <f>'Recurring Log'!O618&amp;""</f>
        <v/>
      </c>
      <c r="BE614">
        <f>IF('Recurring Log'!K618="","",'Recurring Log'!K618)</f>
        <v/>
      </c>
      <c r="BF614">
        <f>IFERROR(MATCH(BA614,Setup!$L$6:$L$9,0),5)</f>
        <v/>
      </c>
      <c r="BG614">
        <f>IF(OR(AZ614="Done",AZ614="Cancelled"),1,0)</f>
        <v/>
      </c>
      <c r="BH614">
        <f>IF(AND(AU614&lt;&gt;"",ISNUMBER(AW614)),1,0)</f>
        <v/>
      </c>
      <c r="BI614">
        <f>IF(BH614=0,0,IF(AND(AW614&gt;='Tasks Filter'!$F$3,AW614&lt;='Tasks Filter'!$F$4,OR('Tasks Filter'!$I$3="",ISNUMBER(SEARCH('Tasks Filter'!$I$3,AU614))),OR('Tasks Filter'!$I$4="",BF614=IFERROR(MATCH('Tasks Filter'!$I$4,Setup!$L$6:$L$9,0),0)),OR('Tasks Filter'!$I$5="Both",AND('Tasks Filter'!$I$5="Yes",BB614="✓"),AND('Tasks Filter'!$I$5="No",BB614&lt;&gt;"✓")),OR('Tasks Filter'!$L$3="",AV614='Tasks Filter'!$L$3),OR('Tasks Filter'!$L$4="",AZ614='Tasks Filter'!$L$4),OR('Tasks Filter'!$L$5="",BC614='Tasks Filter'!$L$5),OR('Tasks Filter'!$O$3="",BD614='Tasks Filter'!$O$3),OR('Tasks Filter'!$O$4="Yes",BG614=0)),1,0))</f>
        <v/>
      </c>
      <c r="BJ614">
        <f>IF(BH614=0,"",IF('Tasks Filter'!$F$6="Descending",-1,1)*CHOOSE(MATCH('Tasks Filter'!$F$5,Lists!$G$2:$G$6,0),AW614,BF614,IFERROR(MATCH(AV614,Setup!$F$6:$F$15,0),99),IFERROR(MATCH(BC614,Setup!$H$6:$H$15,0),99),IFERROR(MATCH(AZ614,Setup!$J$6:$J$11,0),99))*1E+9+(AW614-40000)*10000+613)</f>
        <v/>
      </c>
      <c r="BK614">
        <f>IF(BI614=1,BJ614,"")</f>
        <v/>
      </c>
      <c r="BL614">
        <f>IF(AND(BH614=1,BG614=0,N(AW614)&lt;Setup!$D$7),(AW614-40000)*10000+613,"")</f>
        <v/>
      </c>
      <c r="BM614">
        <f>IF(AND(BH614=1,AZ614&lt;&gt;"Cancelled",N(AW614)&gt;=Dashboard!$AB$3,N(AW614)&lt;=Dashboard!$AB$3+6),(AW614-40000)*100000+BF614*10000+613,"")</f>
        <v/>
      </c>
      <c r="BN614">
        <f>IF(AND(BH614=1,AZ614&lt;&gt;"Cancelled"),BF614*10000+613,"")</f>
        <v/>
      </c>
    </row>
    <row r="615">
      <c r="AS615" t="inlineStr">
        <is>
          <t>R</t>
        </is>
      </c>
      <c r="AT615" t="n">
        <v>619</v>
      </c>
      <c r="AU615">
        <f>'Recurring Log'!C619&amp;""</f>
        <v/>
      </c>
      <c r="AV615">
        <f>'Recurring Log'!D619&amp;""</f>
        <v/>
      </c>
      <c r="AW615">
        <f>IF('Recurring Log'!E619="","",'Recurring Log'!E619)</f>
        <v/>
      </c>
      <c r="AX615">
        <f>IF('Recurring Log'!G619="","",'Recurring Log'!G619)</f>
        <v/>
      </c>
      <c r="AY615">
        <f>IF('Recurring Log'!H619="","",'Recurring Log'!H619)</f>
        <v/>
      </c>
      <c r="AZ615">
        <f>IF(AU615="","",IF('Recurring Log'!J619="","Not Started",'Recurring Log'!J619))</f>
        <v/>
      </c>
      <c r="BA615">
        <f>'Recurring Log'!L619&amp;""</f>
        <v/>
      </c>
      <c r="BB615">
        <f>'Recurring Log'!M619&amp;""</f>
        <v/>
      </c>
      <c r="BC615">
        <f>'Recurring Log'!N619&amp;""</f>
        <v/>
      </c>
      <c r="BD615">
        <f>'Recurring Log'!O619&amp;""</f>
        <v/>
      </c>
      <c r="BE615">
        <f>IF('Recurring Log'!K619="","",'Recurring Log'!K619)</f>
        <v/>
      </c>
      <c r="BF615">
        <f>IFERROR(MATCH(BA615,Setup!$L$6:$L$9,0),5)</f>
        <v/>
      </c>
      <c r="BG615">
        <f>IF(OR(AZ615="Done",AZ615="Cancelled"),1,0)</f>
        <v/>
      </c>
      <c r="BH615">
        <f>IF(AND(AU615&lt;&gt;"",ISNUMBER(AW615)),1,0)</f>
        <v/>
      </c>
      <c r="BI615">
        <f>IF(BH615=0,0,IF(AND(AW615&gt;='Tasks Filter'!$F$3,AW615&lt;='Tasks Filter'!$F$4,OR('Tasks Filter'!$I$3="",ISNUMBER(SEARCH('Tasks Filter'!$I$3,AU615))),OR('Tasks Filter'!$I$4="",BF615=IFERROR(MATCH('Tasks Filter'!$I$4,Setup!$L$6:$L$9,0),0)),OR('Tasks Filter'!$I$5="Both",AND('Tasks Filter'!$I$5="Yes",BB615="✓"),AND('Tasks Filter'!$I$5="No",BB615&lt;&gt;"✓")),OR('Tasks Filter'!$L$3="",AV615='Tasks Filter'!$L$3),OR('Tasks Filter'!$L$4="",AZ615='Tasks Filter'!$L$4),OR('Tasks Filter'!$L$5="",BC615='Tasks Filter'!$L$5),OR('Tasks Filter'!$O$3="",BD615='Tasks Filter'!$O$3),OR('Tasks Filter'!$O$4="Yes",BG615=0)),1,0))</f>
        <v/>
      </c>
      <c r="BJ615">
        <f>IF(BH615=0,"",IF('Tasks Filter'!$F$6="Descending",-1,1)*CHOOSE(MATCH('Tasks Filter'!$F$5,Lists!$G$2:$G$6,0),AW615,BF615,IFERROR(MATCH(AV615,Setup!$F$6:$F$15,0),99),IFERROR(MATCH(BC615,Setup!$H$6:$H$15,0),99),IFERROR(MATCH(AZ615,Setup!$J$6:$J$11,0),99))*1E+9+(AW615-40000)*10000+614)</f>
        <v/>
      </c>
      <c r="BK615">
        <f>IF(BI615=1,BJ615,"")</f>
        <v/>
      </c>
      <c r="BL615">
        <f>IF(AND(BH615=1,BG615=0,N(AW615)&lt;Setup!$D$7),(AW615-40000)*10000+614,"")</f>
        <v/>
      </c>
      <c r="BM615">
        <f>IF(AND(BH615=1,AZ615&lt;&gt;"Cancelled",N(AW615)&gt;=Dashboard!$AB$3,N(AW615)&lt;=Dashboard!$AB$3+6),(AW615-40000)*100000+BF615*10000+614,"")</f>
        <v/>
      </c>
      <c r="BN615">
        <f>IF(AND(BH615=1,AZ615&lt;&gt;"Cancelled"),BF615*10000+614,"")</f>
        <v/>
      </c>
    </row>
    <row r="616">
      <c r="AS616" t="inlineStr">
        <is>
          <t>R</t>
        </is>
      </c>
      <c r="AT616" t="n">
        <v>620</v>
      </c>
      <c r="AU616">
        <f>'Recurring Log'!C620&amp;""</f>
        <v/>
      </c>
      <c r="AV616">
        <f>'Recurring Log'!D620&amp;""</f>
        <v/>
      </c>
      <c r="AW616">
        <f>IF('Recurring Log'!E620="","",'Recurring Log'!E620)</f>
        <v/>
      </c>
      <c r="AX616">
        <f>IF('Recurring Log'!G620="","",'Recurring Log'!G620)</f>
        <v/>
      </c>
      <c r="AY616">
        <f>IF('Recurring Log'!H620="","",'Recurring Log'!H620)</f>
        <v/>
      </c>
      <c r="AZ616">
        <f>IF(AU616="","",IF('Recurring Log'!J620="","Not Started",'Recurring Log'!J620))</f>
        <v/>
      </c>
      <c r="BA616">
        <f>'Recurring Log'!L620&amp;""</f>
        <v/>
      </c>
      <c r="BB616">
        <f>'Recurring Log'!M620&amp;""</f>
        <v/>
      </c>
      <c r="BC616">
        <f>'Recurring Log'!N620&amp;""</f>
        <v/>
      </c>
      <c r="BD616">
        <f>'Recurring Log'!O620&amp;""</f>
        <v/>
      </c>
      <c r="BE616">
        <f>IF('Recurring Log'!K620="","",'Recurring Log'!K620)</f>
        <v/>
      </c>
      <c r="BF616">
        <f>IFERROR(MATCH(BA616,Setup!$L$6:$L$9,0),5)</f>
        <v/>
      </c>
      <c r="BG616">
        <f>IF(OR(AZ616="Done",AZ616="Cancelled"),1,0)</f>
        <v/>
      </c>
      <c r="BH616">
        <f>IF(AND(AU616&lt;&gt;"",ISNUMBER(AW616)),1,0)</f>
        <v/>
      </c>
      <c r="BI616">
        <f>IF(BH616=0,0,IF(AND(AW616&gt;='Tasks Filter'!$F$3,AW616&lt;='Tasks Filter'!$F$4,OR('Tasks Filter'!$I$3="",ISNUMBER(SEARCH('Tasks Filter'!$I$3,AU616))),OR('Tasks Filter'!$I$4="",BF616=IFERROR(MATCH('Tasks Filter'!$I$4,Setup!$L$6:$L$9,0),0)),OR('Tasks Filter'!$I$5="Both",AND('Tasks Filter'!$I$5="Yes",BB616="✓"),AND('Tasks Filter'!$I$5="No",BB616&lt;&gt;"✓")),OR('Tasks Filter'!$L$3="",AV616='Tasks Filter'!$L$3),OR('Tasks Filter'!$L$4="",AZ616='Tasks Filter'!$L$4),OR('Tasks Filter'!$L$5="",BC616='Tasks Filter'!$L$5),OR('Tasks Filter'!$O$3="",BD616='Tasks Filter'!$O$3),OR('Tasks Filter'!$O$4="Yes",BG616=0)),1,0))</f>
        <v/>
      </c>
      <c r="BJ616">
        <f>IF(BH616=0,"",IF('Tasks Filter'!$F$6="Descending",-1,1)*CHOOSE(MATCH('Tasks Filter'!$F$5,Lists!$G$2:$G$6,0),AW616,BF616,IFERROR(MATCH(AV616,Setup!$F$6:$F$15,0),99),IFERROR(MATCH(BC616,Setup!$H$6:$H$15,0),99),IFERROR(MATCH(AZ616,Setup!$J$6:$J$11,0),99))*1E+9+(AW616-40000)*10000+615)</f>
        <v/>
      </c>
      <c r="BK616">
        <f>IF(BI616=1,BJ616,"")</f>
        <v/>
      </c>
      <c r="BL616">
        <f>IF(AND(BH616=1,BG616=0,N(AW616)&lt;Setup!$D$7),(AW616-40000)*10000+615,"")</f>
        <v/>
      </c>
      <c r="BM616">
        <f>IF(AND(BH616=1,AZ616&lt;&gt;"Cancelled",N(AW616)&gt;=Dashboard!$AB$3,N(AW616)&lt;=Dashboard!$AB$3+6),(AW616-40000)*100000+BF616*10000+615,"")</f>
        <v/>
      </c>
      <c r="BN616">
        <f>IF(AND(BH616=1,AZ616&lt;&gt;"Cancelled"),BF616*10000+615,"")</f>
        <v/>
      </c>
    </row>
    <row r="617">
      <c r="AS617" t="inlineStr">
        <is>
          <t>R</t>
        </is>
      </c>
      <c r="AT617" t="n">
        <v>621</v>
      </c>
      <c r="AU617">
        <f>'Recurring Log'!C621&amp;""</f>
        <v/>
      </c>
      <c r="AV617">
        <f>'Recurring Log'!D621&amp;""</f>
        <v/>
      </c>
      <c r="AW617">
        <f>IF('Recurring Log'!E621="","",'Recurring Log'!E621)</f>
        <v/>
      </c>
      <c r="AX617">
        <f>IF('Recurring Log'!G621="","",'Recurring Log'!G621)</f>
        <v/>
      </c>
      <c r="AY617">
        <f>IF('Recurring Log'!H621="","",'Recurring Log'!H621)</f>
        <v/>
      </c>
      <c r="AZ617">
        <f>IF(AU617="","",IF('Recurring Log'!J621="","Not Started",'Recurring Log'!J621))</f>
        <v/>
      </c>
      <c r="BA617">
        <f>'Recurring Log'!L621&amp;""</f>
        <v/>
      </c>
      <c r="BB617">
        <f>'Recurring Log'!M621&amp;""</f>
        <v/>
      </c>
      <c r="BC617">
        <f>'Recurring Log'!N621&amp;""</f>
        <v/>
      </c>
      <c r="BD617">
        <f>'Recurring Log'!O621&amp;""</f>
        <v/>
      </c>
      <c r="BE617">
        <f>IF('Recurring Log'!K621="","",'Recurring Log'!K621)</f>
        <v/>
      </c>
      <c r="BF617">
        <f>IFERROR(MATCH(BA617,Setup!$L$6:$L$9,0),5)</f>
        <v/>
      </c>
      <c r="BG617">
        <f>IF(OR(AZ617="Done",AZ617="Cancelled"),1,0)</f>
        <v/>
      </c>
      <c r="BH617">
        <f>IF(AND(AU617&lt;&gt;"",ISNUMBER(AW617)),1,0)</f>
        <v/>
      </c>
      <c r="BI617">
        <f>IF(BH617=0,0,IF(AND(AW617&gt;='Tasks Filter'!$F$3,AW617&lt;='Tasks Filter'!$F$4,OR('Tasks Filter'!$I$3="",ISNUMBER(SEARCH('Tasks Filter'!$I$3,AU617))),OR('Tasks Filter'!$I$4="",BF617=IFERROR(MATCH('Tasks Filter'!$I$4,Setup!$L$6:$L$9,0),0)),OR('Tasks Filter'!$I$5="Both",AND('Tasks Filter'!$I$5="Yes",BB617="✓"),AND('Tasks Filter'!$I$5="No",BB617&lt;&gt;"✓")),OR('Tasks Filter'!$L$3="",AV617='Tasks Filter'!$L$3),OR('Tasks Filter'!$L$4="",AZ617='Tasks Filter'!$L$4),OR('Tasks Filter'!$L$5="",BC617='Tasks Filter'!$L$5),OR('Tasks Filter'!$O$3="",BD617='Tasks Filter'!$O$3),OR('Tasks Filter'!$O$4="Yes",BG617=0)),1,0))</f>
        <v/>
      </c>
      <c r="BJ617">
        <f>IF(BH617=0,"",IF('Tasks Filter'!$F$6="Descending",-1,1)*CHOOSE(MATCH('Tasks Filter'!$F$5,Lists!$G$2:$G$6,0),AW617,BF617,IFERROR(MATCH(AV617,Setup!$F$6:$F$15,0),99),IFERROR(MATCH(BC617,Setup!$H$6:$H$15,0),99),IFERROR(MATCH(AZ617,Setup!$J$6:$J$11,0),99))*1E+9+(AW617-40000)*10000+616)</f>
        <v/>
      </c>
      <c r="BK617">
        <f>IF(BI617=1,BJ617,"")</f>
        <v/>
      </c>
      <c r="BL617">
        <f>IF(AND(BH617=1,BG617=0,N(AW617)&lt;Setup!$D$7),(AW617-40000)*10000+616,"")</f>
        <v/>
      </c>
      <c r="BM617">
        <f>IF(AND(BH617=1,AZ617&lt;&gt;"Cancelled",N(AW617)&gt;=Dashboard!$AB$3,N(AW617)&lt;=Dashboard!$AB$3+6),(AW617-40000)*100000+BF617*10000+616,"")</f>
        <v/>
      </c>
      <c r="BN617">
        <f>IF(AND(BH617=1,AZ617&lt;&gt;"Cancelled"),BF617*10000+616,"")</f>
        <v/>
      </c>
    </row>
    <row r="618">
      <c r="AS618" t="inlineStr">
        <is>
          <t>R</t>
        </is>
      </c>
      <c r="AT618" t="n">
        <v>622</v>
      </c>
      <c r="AU618">
        <f>'Recurring Log'!C622&amp;""</f>
        <v/>
      </c>
      <c r="AV618">
        <f>'Recurring Log'!D622&amp;""</f>
        <v/>
      </c>
      <c r="AW618">
        <f>IF('Recurring Log'!E622="","",'Recurring Log'!E622)</f>
        <v/>
      </c>
      <c r="AX618">
        <f>IF('Recurring Log'!G622="","",'Recurring Log'!G622)</f>
        <v/>
      </c>
      <c r="AY618">
        <f>IF('Recurring Log'!H622="","",'Recurring Log'!H622)</f>
        <v/>
      </c>
      <c r="AZ618">
        <f>IF(AU618="","",IF('Recurring Log'!J622="","Not Started",'Recurring Log'!J622))</f>
        <v/>
      </c>
      <c r="BA618">
        <f>'Recurring Log'!L622&amp;""</f>
        <v/>
      </c>
      <c r="BB618">
        <f>'Recurring Log'!M622&amp;""</f>
        <v/>
      </c>
      <c r="BC618">
        <f>'Recurring Log'!N622&amp;""</f>
        <v/>
      </c>
      <c r="BD618">
        <f>'Recurring Log'!O622&amp;""</f>
        <v/>
      </c>
      <c r="BE618">
        <f>IF('Recurring Log'!K622="","",'Recurring Log'!K622)</f>
        <v/>
      </c>
      <c r="BF618">
        <f>IFERROR(MATCH(BA618,Setup!$L$6:$L$9,0),5)</f>
        <v/>
      </c>
      <c r="BG618">
        <f>IF(OR(AZ618="Done",AZ618="Cancelled"),1,0)</f>
        <v/>
      </c>
      <c r="BH618">
        <f>IF(AND(AU618&lt;&gt;"",ISNUMBER(AW618)),1,0)</f>
        <v/>
      </c>
      <c r="BI618">
        <f>IF(BH618=0,0,IF(AND(AW618&gt;='Tasks Filter'!$F$3,AW618&lt;='Tasks Filter'!$F$4,OR('Tasks Filter'!$I$3="",ISNUMBER(SEARCH('Tasks Filter'!$I$3,AU618))),OR('Tasks Filter'!$I$4="",BF618=IFERROR(MATCH('Tasks Filter'!$I$4,Setup!$L$6:$L$9,0),0)),OR('Tasks Filter'!$I$5="Both",AND('Tasks Filter'!$I$5="Yes",BB618="✓"),AND('Tasks Filter'!$I$5="No",BB618&lt;&gt;"✓")),OR('Tasks Filter'!$L$3="",AV618='Tasks Filter'!$L$3),OR('Tasks Filter'!$L$4="",AZ618='Tasks Filter'!$L$4),OR('Tasks Filter'!$L$5="",BC618='Tasks Filter'!$L$5),OR('Tasks Filter'!$O$3="",BD618='Tasks Filter'!$O$3),OR('Tasks Filter'!$O$4="Yes",BG618=0)),1,0))</f>
        <v/>
      </c>
      <c r="BJ618">
        <f>IF(BH618=0,"",IF('Tasks Filter'!$F$6="Descending",-1,1)*CHOOSE(MATCH('Tasks Filter'!$F$5,Lists!$G$2:$G$6,0),AW618,BF618,IFERROR(MATCH(AV618,Setup!$F$6:$F$15,0),99),IFERROR(MATCH(BC618,Setup!$H$6:$H$15,0),99),IFERROR(MATCH(AZ618,Setup!$J$6:$J$11,0),99))*1E+9+(AW618-40000)*10000+617)</f>
        <v/>
      </c>
      <c r="BK618">
        <f>IF(BI618=1,BJ618,"")</f>
        <v/>
      </c>
      <c r="BL618">
        <f>IF(AND(BH618=1,BG618=0,N(AW618)&lt;Setup!$D$7),(AW618-40000)*10000+617,"")</f>
        <v/>
      </c>
      <c r="BM618">
        <f>IF(AND(BH618=1,AZ618&lt;&gt;"Cancelled",N(AW618)&gt;=Dashboard!$AB$3,N(AW618)&lt;=Dashboard!$AB$3+6),(AW618-40000)*100000+BF618*10000+617,"")</f>
        <v/>
      </c>
      <c r="BN618">
        <f>IF(AND(BH618=1,AZ618&lt;&gt;"Cancelled"),BF618*10000+617,"")</f>
        <v/>
      </c>
    </row>
    <row r="619">
      <c r="AS619" t="inlineStr">
        <is>
          <t>R</t>
        </is>
      </c>
      <c r="AT619" t="n">
        <v>623</v>
      </c>
      <c r="AU619">
        <f>'Recurring Log'!C623&amp;""</f>
        <v/>
      </c>
      <c r="AV619">
        <f>'Recurring Log'!D623&amp;""</f>
        <v/>
      </c>
      <c r="AW619">
        <f>IF('Recurring Log'!E623="","",'Recurring Log'!E623)</f>
        <v/>
      </c>
      <c r="AX619">
        <f>IF('Recurring Log'!G623="","",'Recurring Log'!G623)</f>
        <v/>
      </c>
      <c r="AY619">
        <f>IF('Recurring Log'!H623="","",'Recurring Log'!H623)</f>
        <v/>
      </c>
      <c r="AZ619">
        <f>IF(AU619="","",IF('Recurring Log'!J623="","Not Started",'Recurring Log'!J623))</f>
        <v/>
      </c>
      <c r="BA619">
        <f>'Recurring Log'!L623&amp;""</f>
        <v/>
      </c>
      <c r="BB619">
        <f>'Recurring Log'!M623&amp;""</f>
        <v/>
      </c>
      <c r="BC619">
        <f>'Recurring Log'!N623&amp;""</f>
        <v/>
      </c>
      <c r="BD619">
        <f>'Recurring Log'!O623&amp;""</f>
        <v/>
      </c>
      <c r="BE619">
        <f>IF('Recurring Log'!K623="","",'Recurring Log'!K623)</f>
        <v/>
      </c>
      <c r="BF619">
        <f>IFERROR(MATCH(BA619,Setup!$L$6:$L$9,0),5)</f>
        <v/>
      </c>
      <c r="BG619">
        <f>IF(OR(AZ619="Done",AZ619="Cancelled"),1,0)</f>
        <v/>
      </c>
      <c r="BH619">
        <f>IF(AND(AU619&lt;&gt;"",ISNUMBER(AW619)),1,0)</f>
        <v/>
      </c>
      <c r="BI619">
        <f>IF(BH619=0,0,IF(AND(AW619&gt;='Tasks Filter'!$F$3,AW619&lt;='Tasks Filter'!$F$4,OR('Tasks Filter'!$I$3="",ISNUMBER(SEARCH('Tasks Filter'!$I$3,AU619))),OR('Tasks Filter'!$I$4="",BF619=IFERROR(MATCH('Tasks Filter'!$I$4,Setup!$L$6:$L$9,0),0)),OR('Tasks Filter'!$I$5="Both",AND('Tasks Filter'!$I$5="Yes",BB619="✓"),AND('Tasks Filter'!$I$5="No",BB619&lt;&gt;"✓")),OR('Tasks Filter'!$L$3="",AV619='Tasks Filter'!$L$3),OR('Tasks Filter'!$L$4="",AZ619='Tasks Filter'!$L$4),OR('Tasks Filter'!$L$5="",BC619='Tasks Filter'!$L$5),OR('Tasks Filter'!$O$3="",BD619='Tasks Filter'!$O$3),OR('Tasks Filter'!$O$4="Yes",BG619=0)),1,0))</f>
        <v/>
      </c>
      <c r="BJ619">
        <f>IF(BH619=0,"",IF('Tasks Filter'!$F$6="Descending",-1,1)*CHOOSE(MATCH('Tasks Filter'!$F$5,Lists!$G$2:$G$6,0),AW619,BF619,IFERROR(MATCH(AV619,Setup!$F$6:$F$15,0),99),IFERROR(MATCH(BC619,Setup!$H$6:$H$15,0),99),IFERROR(MATCH(AZ619,Setup!$J$6:$J$11,0),99))*1E+9+(AW619-40000)*10000+618)</f>
        <v/>
      </c>
      <c r="BK619">
        <f>IF(BI619=1,BJ619,"")</f>
        <v/>
      </c>
      <c r="BL619">
        <f>IF(AND(BH619=1,BG619=0,N(AW619)&lt;Setup!$D$7),(AW619-40000)*10000+618,"")</f>
        <v/>
      </c>
      <c r="BM619">
        <f>IF(AND(BH619=1,AZ619&lt;&gt;"Cancelled",N(AW619)&gt;=Dashboard!$AB$3,N(AW619)&lt;=Dashboard!$AB$3+6),(AW619-40000)*100000+BF619*10000+618,"")</f>
        <v/>
      </c>
      <c r="BN619">
        <f>IF(AND(BH619=1,AZ619&lt;&gt;"Cancelled"),BF619*10000+618,"")</f>
        <v/>
      </c>
    </row>
    <row r="620">
      <c r="AS620" t="inlineStr">
        <is>
          <t>R</t>
        </is>
      </c>
      <c r="AT620" t="n">
        <v>624</v>
      </c>
      <c r="AU620">
        <f>'Recurring Log'!C624&amp;""</f>
        <v/>
      </c>
      <c r="AV620">
        <f>'Recurring Log'!D624&amp;""</f>
        <v/>
      </c>
      <c r="AW620">
        <f>IF('Recurring Log'!E624="","",'Recurring Log'!E624)</f>
        <v/>
      </c>
      <c r="AX620">
        <f>IF('Recurring Log'!G624="","",'Recurring Log'!G624)</f>
        <v/>
      </c>
      <c r="AY620">
        <f>IF('Recurring Log'!H624="","",'Recurring Log'!H624)</f>
        <v/>
      </c>
      <c r="AZ620">
        <f>IF(AU620="","",IF('Recurring Log'!J624="","Not Started",'Recurring Log'!J624))</f>
        <v/>
      </c>
      <c r="BA620">
        <f>'Recurring Log'!L624&amp;""</f>
        <v/>
      </c>
      <c r="BB620">
        <f>'Recurring Log'!M624&amp;""</f>
        <v/>
      </c>
      <c r="BC620">
        <f>'Recurring Log'!N624&amp;""</f>
        <v/>
      </c>
      <c r="BD620">
        <f>'Recurring Log'!O624&amp;""</f>
        <v/>
      </c>
      <c r="BE620">
        <f>IF('Recurring Log'!K624="","",'Recurring Log'!K624)</f>
        <v/>
      </c>
      <c r="BF620">
        <f>IFERROR(MATCH(BA620,Setup!$L$6:$L$9,0),5)</f>
        <v/>
      </c>
      <c r="BG620">
        <f>IF(OR(AZ620="Done",AZ620="Cancelled"),1,0)</f>
        <v/>
      </c>
      <c r="BH620">
        <f>IF(AND(AU620&lt;&gt;"",ISNUMBER(AW620)),1,0)</f>
        <v/>
      </c>
      <c r="BI620">
        <f>IF(BH620=0,0,IF(AND(AW620&gt;='Tasks Filter'!$F$3,AW620&lt;='Tasks Filter'!$F$4,OR('Tasks Filter'!$I$3="",ISNUMBER(SEARCH('Tasks Filter'!$I$3,AU620))),OR('Tasks Filter'!$I$4="",BF620=IFERROR(MATCH('Tasks Filter'!$I$4,Setup!$L$6:$L$9,0),0)),OR('Tasks Filter'!$I$5="Both",AND('Tasks Filter'!$I$5="Yes",BB620="✓"),AND('Tasks Filter'!$I$5="No",BB620&lt;&gt;"✓")),OR('Tasks Filter'!$L$3="",AV620='Tasks Filter'!$L$3),OR('Tasks Filter'!$L$4="",AZ620='Tasks Filter'!$L$4),OR('Tasks Filter'!$L$5="",BC620='Tasks Filter'!$L$5),OR('Tasks Filter'!$O$3="",BD620='Tasks Filter'!$O$3),OR('Tasks Filter'!$O$4="Yes",BG620=0)),1,0))</f>
        <v/>
      </c>
      <c r="BJ620">
        <f>IF(BH620=0,"",IF('Tasks Filter'!$F$6="Descending",-1,1)*CHOOSE(MATCH('Tasks Filter'!$F$5,Lists!$G$2:$G$6,0),AW620,BF620,IFERROR(MATCH(AV620,Setup!$F$6:$F$15,0),99),IFERROR(MATCH(BC620,Setup!$H$6:$H$15,0),99),IFERROR(MATCH(AZ620,Setup!$J$6:$J$11,0),99))*1E+9+(AW620-40000)*10000+619)</f>
        <v/>
      </c>
      <c r="BK620">
        <f>IF(BI620=1,BJ620,"")</f>
        <v/>
      </c>
      <c r="BL620">
        <f>IF(AND(BH620=1,BG620=0,N(AW620)&lt;Setup!$D$7),(AW620-40000)*10000+619,"")</f>
        <v/>
      </c>
      <c r="BM620">
        <f>IF(AND(BH620=1,AZ620&lt;&gt;"Cancelled",N(AW620)&gt;=Dashboard!$AB$3,N(AW620)&lt;=Dashboard!$AB$3+6),(AW620-40000)*100000+BF620*10000+619,"")</f>
        <v/>
      </c>
      <c r="BN620">
        <f>IF(AND(BH620=1,AZ620&lt;&gt;"Cancelled"),BF620*10000+619,"")</f>
        <v/>
      </c>
    </row>
    <row r="621">
      <c r="AS621" t="inlineStr">
        <is>
          <t>R</t>
        </is>
      </c>
      <c r="AT621" t="n">
        <v>625</v>
      </c>
      <c r="AU621">
        <f>'Recurring Log'!C625&amp;""</f>
        <v/>
      </c>
      <c r="AV621">
        <f>'Recurring Log'!D625&amp;""</f>
        <v/>
      </c>
      <c r="AW621">
        <f>IF('Recurring Log'!E625="","",'Recurring Log'!E625)</f>
        <v/>
      </c>
      <c r="AX621">
        <f>IF('Recurring Log'!G625="","",'Recurring Log'!G625)</f>
        <v/>
      </c>
      <c r="AY621">
        <f>IF('Recurring Log'!H625="","",'Recurring Log'!H625)</f>
        <v/>
      </c>
      <c r="AZ621">
        <f>IF(AU621="","",IF('Recurring Log'!J625="","Not Started",'Recurring Log'!J625))</f>
        <v/>
      </c>
      <c r="BA621">
        <f>'Recurring Log'!L625&amp;""</f>
        <v/>
      </c>
      <c r="BB621">
        <f>'Recurring Log'!M625&amp;""</f>
        <v/>
      </c>
      <c r="BC621">
        <f>'Recurring Log'!N625&amp;""</f>
        <v/>
      </c>
      <c r="BD621">
        <f>'Recurring Log'!O625&amp;""</f>
        <v/>
      </c>
      <c r="BE621">
        <f>IF('Recurring Log'!K625="","",'Recurring Log'!K625)</f>
        <v/>
      </c>
      <c r="BF621">
        <f>IFERROR(MATCH(BA621,Setup!$L$6:$L$9,0),5)</f>
        <v/>
      </c>
      <c r="BG621">
        <f>IF(OR(AZ621="Done",AZ621="Cancelled"),1,0)</f>
        <v/>
      </c>
      <c r="BH621">
        <f>IF(AND(AU621&lt;&gt;"",ISNUMBER(AW621)),1,0)</f>
        <v/>
      </c>
      <c r="BI621">
        <f>IF(BH621=0,0,IF(AND(AW621&gt;='Tasks Filter'!$F$3,AW621&lt;='Tasks Filter'!$F$4,OR('Tasks Filter'!$I$3="",ISNUMBER(SEARCH('Tasks Filter'!$I$3,AU621))),OR('Tasks Filter'!$I$4="",BF621=IFERROR(MATCH('Tasks Filter'!$I$4,Setup!$L$6:$L$9,0),0)),OR('Tasks Filter'!$I$5="Both",AND('Tasks Filter'!$I$5="Yes",BB621="✓"),AND('Tasks Filter'!$I$5="No",BB621&lt;&gt;"✓")),OR('Tasks Filter'!$L$3="",AV621='Tasks Filter'!$L$3),OR('Tasks Filter'!$L$4="",AZ621='Tasks Filter'!$L$4),OR('Tasks Filter'!$L$5="",BC621='Tasks Filter'!$L$5),OR('Tasks Filter'!$O$3="",BD621='Tasks Filter'!$O$3),OR('Tasks Filter'!$O$4="Yes",BG621=0)),1,0))</f>
        <v/>
      </c>
      <c r="BJ621">
        <f>IF(BH621=0,"",IF('Tasks Filter'!$F$6="Descending",-1,1)*CHOOSE(MATCH('Tasks Filter'!$F$5,Lists!$G$2:$G$6,0),AW621,BF621,IFERROR(MATCH(AV621,Setup!$F$6:$F$15,0),99),IFERROR(MATCH(BC621,Setup!$H$6:$H$15,0),99),IFERROR(MATCH(AZ621,Setup!$J$6:$J$11,0),99))*1E+9+(AW621-40000)*10000+620)</f>
        <v/>
      </c>
      <c r="BK621">
        <f>IF(BI621=1,BJ621,"")</f>
        <v/>
      </c>
      <c r="BL621">
        <f>IF(AND(BH621=1,BG621=0,N(AW621)&lt;Setup!$D$7),(AW621-40000)*10000+620,"")</f>
        <v/>
      </c>
      <c r="BM621">
        <f>IF(AND(BH621=1,AZ621&lt;&gt;"Cancelled",N(AW621)&gt;=Dashboard!$AB$3,N(AW621)&lt;=Dashboard!$AB$3+6),(AW621-40000)*100000+BF621*10000+620,"")</f>
        <v/>
      </c>
      <c r="BN621">
        <f>IF(AND(BH621=1,AZ621&lt;&gt;"Cancelled"),BF621*10000+620,"")</f>
        <v/>
      </c>
    </row>
    <row r="622">
      <c r="AS622" t="inlineStr">
        <is>
          <t>R</t>
        </is>
      </c>
      <c r="AT622" t="n">
        <v>626</v>
      </c>
      <c r="AU622">
        <f>'Recurring Log'!C626&amp;""</f>
        <v/>
      </c>
      <c r="AV622">
        <f>'Recurring Log'!D626&amp;""</f>
        <v/>
      </c>
      <c r="AW622">
        <f>IF('Recurring Log'!E626="","",'Recurring Log'!E626)</f>
        <v/>
      </c>
      <c r="AX622">
        <f>IF('Recurring Log'!G626="","",'Recurring Log'!G626)</f>
        <v/>
      </c>
      <c r="AY622">
        <f>IF('Recurring Log'!H626="","",'Recurring Log'!H626)</f>
        <v/>
      </c>
      <c r="AZ622">
        <f>IF(AU622="","",IF('Recurring Log'!J626="","Not Started",'Recurring Log'!J626))</f>
        <v/>
      </c>
      <c r="BA622">
        <f>'Recurring Log'!L626&amp;""</f>
        <v/>
      </c>
      <c r="BB622">
        <f>'Recurring Log'!M626&amp;""</f>
        <v/>
      </c>
      <c r="BC622">
        <f>'Recurring Log'!N626&amp;""</f>
        <v/>
      </c>
      <c r="BD622">
        <f>'Recurring Log'!O626&amp;""</f>
        <v/>
      </c>
      <c r="BE622">
        <f>IF('Recurring Log'!K626="","",'Recurring Log'!K626)</f>
        <v/>
      </c>
      <c r="BF622">
        <f>IFERROR(MATCH(BA622,Setup!$L$6:$L$9,0),5)</f>
        <v/>
      </c>
      <c r="BG622">
        <f>IF(OR(AZ622="Done",AZ622="Cancelled"),1,0)</f>
        <v/>
      </c>
      <c r="BH622">
        <f>IF(AND(AU622&lt;&gt;"",ISNUMBER(AW622)),1,0)</f>
        <v/>
      </c>
      <c r="BI622">
        <f>IF(BH622=0,0,IF(AND(AW622&gt;='Tasks Filter'!$F$3,AW622&lt;='Tasks Filter'!$F$4,OR('Tasks Filter'!$I$3="",ISNUMBER(SEARCH('Tasks Filter'!$I$3,AU622))),OR('Tasks Filter'!$I$4="",BF622=IFERROR(MATCH('Tasks Filter'!$I$4,Setup!$L$6:$L$9,0),0)),OR('Tasks Filter'!$I$5="Both",AND('Tasks Filter'!$I$5="Yes",BB622="✓"),AND('Tasks Filter'!$I$5="No",BB622&lt;&gt;"✓")),OR('Tasks Filter'!$L$3="",AV622='Tasks Filter'!$L$3),OR('Tasks Filter'!$L$4="",AZ622='Tasks Filter'!$L$4),OR('Tasks Filter'!$L$5="",BC622='Tasks Filter'!$L$5),OR('Tasks Filter'!$O$3="",BD622='Tasks Filter'!$O$3),OR('Tasks Filter'!$O$4="Yes",BG622=0)),1,0))</f>
        <v/>
      </c>
      <c r="BJ622">
        <f>IF(BH622=0,"",IF('Tasks Filter'!$F$6="Descending",-1,1)*CHOOSE(MATCH('Tasks Filter'!$F$5,Lists!$G$2:$G$6,0),AW622,BF622,IFERROR(MATCH(AV622,Setup!$F$6:$F$15,0),99),IFERROR(MATCH(BC622,Setup!$H$6:$H$15,0),99),IFERROR(MATCH(AZ622,Setup!$J$6:$J$11,0),99))*1E+9+(AW622-40000)*10000+621)</f>
        <v/>
      </c>
      <c r="BK622">
        <f>IF(BI622=1,BJ622,"")</f>
        <v/>
      </c>
      <c r="BL622">
        <f>IF(AND(BH622=1,BG622=0,N(AW622)&lt;Setup!$D$7),(AW622-40000)*10000+621,"")</f>
        <v/>
      </c>
      <c r="BM622">
        <f>IF(AND(BH622=1,AZ622&lt;&gt;"Cancelled",N(AW622)&gt;=Dashboard!$AB$3,N(AW622)&lt;=Dashboard!$AB$3+6),(AW622-40000)*100000+BF622*10000+621,"")</f>
        <v/>
      </c>
      <c r="BN622">
        <f>IF(AND(BH622=1,AZ622&lt;&gt;"Cancelled"),BF622*10000+621,"")</f>
        <v/>
      </c>
    </row>
    <row r="623">
      <c r="AS623" t="inlineStr">
        <is>
          <t>R</t>
        </is>
      </c>
      <c r="AT623" t="n">
        <v>627</v>
      </c>
      <c r="AU623">
        <f>'Recurring Log'!C627&amp;""</f>
        <v/>
      </c>
      <c r="AV623">
        <f>'Recurring Log'!D627&amp;""</f>
        <v/>
      </c>
      <c r="AW623">
        <f>IF('Recurring Log'!E627="","",'Recurring Log'!E627)</f>
        <v/>
      </c>
      <c r="AX623">
        <f>IF('Recurring Log'!G627="","",'Recurring Log'!G627)</f>
        <v/>
      </c>
      <c r="AY623">
        <f>IF('Recurring Log'!H627="","",'Recurring Log'!H627)</f>
        <v/>
      </c>
      <c r="AZ623">
        <f>IF(AU623="","",IF('Recurring Log'!J627="","Not Started",'Recurring Log'!J627))</f>
        <v/>
      </c>
      <c r="BA623">
        <f>'Recurring Log'!L627&amp;""</f>
        <v/>
      </c>
      <c r="BB623">
        <f>'Recurring Log'!M627&amp;""</f>
        <v/>
      </c>
      <c r="BC623">
        <f>'Recurring Log'!N627&amp;""</f>
        <v/>
      </c>
      <c r="BD623">
        <f>'Recurring Log'!O627&amp;""</f>
        <v/>
      </c>
      <c r="BE623">
        <f>IF('Recurring Log'!K627="","",'Recurring Log'!K627)</f>
        <v/>
      </c>
      <c r="BF623">
        <f>IFERROR(MATCH(BA623,Setup!$L$6:$L$9,0),5)</f>
        <v/>
      </c>
      <c r="BG623">
        <f>IF(OR(AZ623="Done",AZ623="Cancelled"),1,0)</f>
        <v/>
      </c>
      <c r="BH623">
        <f>IF(AND(AU623&lt;&gt;"",ISNUMBER(AW623)),1,0)</f>
        <v/>
      </c>
      <c r="BI623">
        <f>IF(BH623=0,0,IF(AND(AW623&gt;='Tasks Filter'!$F$3,AW623&lt;='Tasks Filter'!$F$4,OR('Tasks Filter'!$I$3="",ISNUMBER(SEARCH('Tasks Filter'!$I$3,AU623))),OR('Tasks Filter'!$I$4="",BF623=IFERROR(MATCH('Tasks Filter'!$I$4,Setup!$L$6:$L$9,0),0)),OR('Tasks Filter'!$I$5="Both",AND('Tasks Filter'!$I$5="Yes",BB623="✓"),AND('Tasks Filter'!$I$5="No",BB623&lt;&gt;"✓")),OR('Tasks Filter'!$L$3="",AV623='Tasks Filter'!$L$3),OR('Tasks Filter'!$L$4="",AZ623='Tasks Filter'!$L$4),OR('Tasks Filter'!$L$5="",BC623='Tasks Filter'!$L$5),OR('Tasks Filter'!$O$3="",BD623='Tasks Filter'!$O$3),OR('Tasks Filter'!$O$4="Yes",BG623=0)),1,0))</f>
        <v/>
      </c>
      <c r="BJ623">
        <f>IF(BH623=0,"",IF('Tasks Filter'!$F$6="Descending",-1,1)*CHOOSE(MATCH('Tasks Filter'!$F$5,Lists!$G$2:$G$6,0),AW623,BF623,IFERROR(MATCH(AV623,Setup!$F$6:$F$15,0),99),IFERROR(MATCH(BC623,Setup!$H$6:$H$15,0),99),IFERROR(MATCH(AZ623,Setup!$J$6:$J$11,0),99))*1E+9+(AW623-40000)*10000+622)</f>
        <v/>
      </c>
      <c r="BK623">
        <f>IF(BI623=1,BJ623,"")</f>
        <v/>
      </c>
      <c r="BL623">
        <f>IF(AND(BH623=1,BG623=0,N(AW623)&lt;Setup!$D$7),(AW623-40000)*10000+622,"")</f>
        <v/>
      </c>
      <c r="BM623">
        <f>IF(AND(BH623=1,AZ623&lt;&gt;"Cancelled",N(AW623)&gt;=Dashboard!$AB$3,N(AW623)&lt;=Dashboard!$AB$3+6),(AW623-40000)*100000+BF623*10000+622,"")</f>
        <v/>
      </c>
      <c r="BN623">
        <f>IF(AND(BH623=1,AZ623&lt;&gt;"Cancelled"),BF623*10000+622,"")</f>
        <v/>
      </c>
    </row>
    <row r="624">
      <c r="AS624" t="inlineStr">
        <is>
          <t>R</t>
        </is>
      </c>
      <c r="AT624" t="n">
        <v>628</v>
      </c>
      <c r="AU624">
        <f>'Recurring Log'!C628&amp;""</f>
        <v/>
      </c>
      <c r="AV624">
        <f>'Recurring Log'!D628&amp;""</f>
        <v/>
      </c>
      <c r="AW624">
        <f>IF('Recurring Log'!E628="","",'Recurring Log'!E628)</f>
        <v/>
      </c>
      <c r="AX624">
        <f>IF('Recurring Log'!G628="","",'Recurring Log'!G628)</f>
        <v/>
      </c>
      <c r="AY624">
        <f>IF('Recurring Log'!H628="","",'Recurring Log'!H628)</f>
        <v/>
      </c>
      <c r="AZ624">
        <f>IF(AU624="","",IF('Recurring Log'!J628="","Not Started",'Recurring Log'!J628))</f>
        <v/>
      </c>
      <c r="BA624">
        <f>'Recurring Log'!L628&amp;""</f>
        <v/>
      </c>
      <c r="BB624">
        <f>'Recurring Log'!M628&amp;""</f>
        <v/>
      </c>
      <c r="BC624">
        <f>'Recurring Log'!N628&amp;""</f>
        <v/>
      </c>
      <c r="BD624">
        <f>'Recurring Log'!O628&amp;""</f>
        <v/>
      </c>
      <c r="BE624">
        <f>IF('Recurring Log'!K628="","",'Recurring Log'!K628)</f>
        <v/>
      </c>
      <c r="BF624">
        <f>IFERROR(MATCH(BA624,Setup!$L$6:$L$9,0),5)</f>
        <v/>
      </c>
      <c r="BG624">
        <f>IF(OR(AZ624="Done",AZ624="Cancelled"),1,0)</f>
        <v/>
      </c>
      <c r="BH624">
        <f>IF(AND(AU624&lt;&gt;"",ISNUMBER(AW624)),1,0)</f>
        <v/>
      </c>
      <c r="BI624">
        <f>IF(BH624=0,0,IF(AND(AW624&gt;='Tasks Filter'!$F$3,AW624&lt;='Tasks Filter'!$F$4,OR('Tasks Filter'!$I$3="",ISNUMBER(SEARCH('Tasks Filter'!$I$3,AU624))),OR('Tasks Filter'!$I$4="",BF624=IFERROR(MATCH('Tasks Filter'!$I$4,Setup!$L$6:$L$9,0),0)),OR('Tasks Filter'!$I$5="Both",AND('Tasks Filter'!$I$5="Yes",BB624="✓"),AND('Tasks Filter'!$I$5="No",BB624&lt;&gt;"✓")),OR('Tasks Filter'!$L$3="",AV624='Tasks Filter'!$L$3),OR('Tasks Filter'!$L$4="",AZ624='Tasks Filter'!$L$4),OR('Tasks Filter'!$L$5="",BC624='Tasks Filter'!$L$5),OR('Tasks Filter'!$O$3="",BD624='Tasks Filter'!$O$3),OR('Tasks Filter'!$O$4="Yes",BG624=0)),1,0))</f>
        <v/>
      </c>
      <c r="BJ624">
        <f>IF(BH624=0,"",IF('Tasks Filter'!$F$6="Descending",-1,1)*CHOOSE(MATCH('Tasks Filter'!$F$5,Lists!$G$2:$G$6,0),AW624,BF624,IFERROR(MATCH(AV624,Setup!$F$6:$F$15,0),99),IFERROR(MATCH(BC624,Setup!$H$6:$H$15,0),99),IFERROR(MATCH(AZ624,Setup!$J$6:$J$11,0),99))*1E+9+(AW624-40000)*10000+623)</f>
        <v/>
      </c>
      <c r="BK624">
        <f>IF(BI624=1,BJ624,"")</f>
        <v/>
      </c>
      <c r="BL624">
        <f>IF(AND(BH624=1,BG624=0,N(AW624)&lt;Setup!$D$7),(AW624-40000)*10000+623,"")</f>
        <v/>
      </c>
      <c r="BM624">
        <f>IF(AND(BH624=1,AZ624&lt;&gt;"Cancelled",N(AW624)&gt;=Dashboard!$AB$3,N(AW624)&lt;=Dashboard!$AB$3+6),(AW624-40000)*100000+BF624*10000+623,"")</f>
        <v/>
      </c>
      <c r="BN624">
        <f>IF(AND(BH624=1,AZ624&lt;&gt;"Cancelled"),BF624*10000+623,"")</f>
        <v/>
      </c>
    </row>
    <row r="625">
      <c r="AS625" t="inlineStr">
        <is>
          <t>R</t>
        </is>
      </c>
      <c r="AT625" t="n">
        <v>629</v>
      </c>
      <c r="AU625">
        <f>'Recurring Log'!C629&amp;""</f>
        <v/>
      </c>
      <c r="AV625">
        <f>'Recurring Log'!D629&amp;""</f>
        <v/>
      </c>
      <c r="AW625">
        <f>IF('Recurring Log'!E629="","",'Recurring Log'!E629)</f>
        <v/>
      </c>
      <c r="AX625">
        <f>IF('Recurring Log'!G629="","",'Recurring Log'!G629)</f>
        <v/>
      </c>
      <c r="AY625">
        <f>IF('Recurring Log'!H629="","",'Recurring Log'!H629)</f>
        <v/>
      </c>
      <c r="AZ625">
        <f>IF(AU625="","",IF('Recurring Log'!J629="","Not Started",'Recurring Log'!J629))</f>
        <v/>
      </c>
      <c r="BA625">
        <f>'Recurring Log'!L629&amp;""</f>
        <v/>
      </c>
      <c r="BB625">
        <f>'Recurring Log'!M629&amp;""</f>
        <v/>
      </c>
      <c r="BC625">
        <f>'Recurring Log'!N629&amp;""</f>
        <v/>
      </c>
      <c r="BD625">
        <f>'Recurring Log'!O629&amp;""</f>
        <v/>
      </c>
      <c r="BE625">
        <f>IF('Recurring Log'!K629="","",'Recurring Log'!K629)</f>
        <v/>
      </c>
      <c r="BF625">
        <f>IFERROR(MATCH(BA625,Setup!$L$6:$L$9,0),5)</f>
        <v/>
      </c>
      <c r="BG625">
        <f>IF(OR(AZ625="Done",AZ625="Cancelled"),1,0)</f>
        <v/>
      </c>
      <c r="BH625">
        <f>IF(AND(AU625&lt;&gt;"",ISNUMBER(AW625)),1,0)</f>
        <v/>
      </c>
      <c r="BI625">
        <f>IF(BH625=0,0,IF(AND(AW625&gt;='Tasks Filter'!$F$3,AW625&lt;='Tasks Filter'!$F$4,OR('Tasks Filter'!$I$3="",ISNUMBER(SEARCH('Tasks Filter'!$I$3,AU625))),OR('Tasks Filter'!$I$4="",BF625=IFERROR(MATCH('Tasks Filter'!$I$4,Setup!$L$6:$L$9,0),0)),OR('Tasks Filter'!$I$5="Both",AND('Tasks Filter'!$I$5="Yes",BB625="✓"),AND('Tasks Filter'!$I$5="No",BB625&lt;&gt;"✓")),OR('Tasks Filter'!$L$3="",AV625='Tasks Filter'!$L$3),OR('Tasks Filter'!$L$4="",AZ625='Tasks Filter'!$L$4),OR('Tasks Filter'!$L$5="",BC625='Tasks Filter'!$L$5),OR('Tasks Filter'!$O$3="",BD625='Tasks Filter'!$O$3),OR('Tasks Filter'!$O$4="Yes",BG625=0)),1,0))</f>
        <v/>
      </c>
      <c r="BJ625">
        <f>IF(BH625=0,"",IF('Tasks Filter'!$F$6="Descending",-1,1)*CHOOSE(MATCH('Tasks Filter'!$F$5,Lists!$G$2:$G$6,0),AW625,BF625,IFERROR(MATCH(AV625,Setup!$F$6:$F$15,0),99),IFERROR(MATCH(BC625,Setup!$H$6:$H$15,0),99),IFERROR(MATCH(AZ625,Setup!$J$6:$J$11,0),99))*1E+9+(AW625-40000)*10000+624)</f>
        <v/>
      </c>
      <c r="BK625">
        <f>IF(BI625=1,BJ625,"")</f>
        <v/>
      </c>
      <c r="BL625">
        <f>IF(AND(BH625=1,BG625=0,N(AW625)&lt;Setup!$D$7),(AW625-40000)*10000+624,"")</f>
        <v/>
      </c>
      <c r="BM625">
        <f>IF(AND(BH625=1,AZ625&lt;&gt;"Cancelled",N(AW625)&gt;=Dashboard!$AB$3,N(AW625)&lt;=Dashboard!$AB$3+6),(AW625-40000)*100000+BF625*10000+624,"")</f>
        <v/>
      </c>
      <c r="BN625">
        <f>IF(AND(BH625=1,AZ625&lt;&gt;"Cancelled"),BF625*10000+624,"")</f>
        <v/>
      </c>
    </row>
    <row r="626">
      <c r="AS626" t="inlineStr">
        <is>
          <t>R</t>
        </is>
      </c>
      <c r="AT626" t="n">
        <v>630</v>
      </c>
      <c r="AU626">
        <f>'Recurring Log'!C630&amp;""</f>
        <v/>
      </c>
      <c r="AV626">
        <f>'Recurring Log'!D630&amp;""</f>
        <v/>
      </c>
      <c r="AW626">
        <f>IF('Recurring Log'!E630="","",'Recurring Log'!E630)</f>
        <v/>
      </c>
      <c r="AX626">
        <f>IF('Recurring Log'!G630="","",'Recurring Log'!G630)</f>
        <v/>
      </c>
      <c r="AY626">
        <f>IF('Recurring Log'!H630="","",'Recurring Log'!H630)</f>
        <v/>
      </c>
      <c r="AZ626">
        <f>IF(AU626="","",IF('Recurring Log'!J630="","Not Started",'Recurring Log'!J630))</f>
        <v/>
      </c>
      <c r="BA626">
        <f>'Recurring Log'!L630&amp;""</f>
        <v/>
      </c>
      <c r="BB626">
        <f>'Recurring Log'!M630&amp;""</f>
        <v/>
      </c>
      <c r="BC626">
        <f>'Recurring Log'!N630&amp;""</f>
        <v/>
      </c>
      <c r="BD626">
        <f>'Recurring Log'!O630&amp;""</f>
        <v/>
      </c>
      <c r="BE626">
        <f>IF('Recurring Log'!K630="","",'Recurring Log'!K630)</f>
        <v/>
      </c>
      <c r="BF626">
        <f>IFERROR(MATCH(BA626,Setup!$L$6:$L$9,0),5)</f>
        <v/>
      </c>
      <c r="BG626">
        <f>IF(OR(AZ626="Done",AZ626="Cancelled"),1,0)</f>
        <v/>
      </c>
      <c r="BH626">
        <f>IF(AND(AU626&lt;&gt;"",ISNUMBER(AW626)),1,0)</f>
        <v/>
      </c>
      <c r="BI626">
        <f>IF(BH626=0,0,IF(AND(AW626&gt;='Tasks Filter'!$F$3,AW626&lt;='Tasks Filter'!$F$4,OR('Tasks Filter'!$I$3="",ISNUMBER(SEARCH('Tasks Filter'!$I$3,AU626))),OR('Tasks Filter'!$I$4="",BF626=IFERROR(MATCH('Tasks Filter'!$I$4,Setup!$L$6:$L$9,0),0)),OR('Tasks Filter'!$I$5="Both",AND('Tasks Filter'!$I$5="Yes",BB626="✓"),AND('Tasks Filter'!$I$5="No",BB626&lt;&gt;"✓")),OR('Tasks Filter'!$L$3="",AV626='Tasks Filter'!$L$3),OR('Tasks Filter'!$L$4="",AZ626='Tasks Filter'!$L$4),OR('Tasks Filter'!$L$5="",BC626='Tasks Filter'!$L$5),OR('Tasks Filter'!$O$3="",BD626='Tasks Filter'!$O$3),OR('Tasks Filter'!$O$4="Yes",BG626=0)),1,0))</f>
        <v/>
      </c>
      <c r="BJ626">
        <f>IF(BH626=0,"",IF('Tasks Filter'!$F$6="Descending",-1,1)*CHOOSE(MATCH('Tasks Filter'!$F$5,Lists!$G$2:$G$6,0),AW626,BF626,IFERROR(MATCH(AV626,Setup!$F$6:$F$15,0),99),IFERROR(MATCH(BC626,Setup!$H$6:$H$15,0),99),IFERROR(MATCH(AZ626,Setup!$J$6:$J$11,0),99))*1E+9+(AW626-40000)*10000+625)</f>
        <v/>
      </c>
      <c r="BK626">
        <f>IF(BI626=1,BJ626,"")</f>
        <v/>
      </c>
      <c r="BL626">
        <f>IF(AND(BH626=1,BG626=0,N(AW626)&lt;Setup!$D$7),(AW626-40000)*10000+625,"")</f>
        <v/>
      </c>
      <c r="BM626">
        <f>IF(AND(BH626=1,AZ626&lt;&gt;"Cancelled",N(AW626)&gt;=Dashboard!$AB$3,N(AW626)&lt;=Dashboard!$AB$3+6),(AW626-40000)*100000+BF626*10000+625,"")</f>
        <v/>
      </c>
      <c r="BN626">
        <f>IF(AND(BH626=1,AZ626&lt;&gt;"Cancelled"),BF626*10000+625,"")</f>
        <v/>
      </c>
    </row>
    <row r="627">
      <c r="AS627" t="inlineStr">
        <is>
          <t>R</t>
        </is>
      </c>
      <c r="AT627" t="n">
        <v>631</v>
      </c>
      <c r="AU627">
        <f>'Recurring Log'!C631&amp;""</f>
        <v/>
      </c>
      <c r="AV627">
        <f>'Recurring Log'!D631&amp;""</f>
        <v/>
      </c>
      <c r="AW627">
        <f>IF('Recurring Log'!E631="","",'Recurring Log'!E631)</f>
        <v/>
      </c>
      <c r="AX627">
        <f>IF('Recurring Log'!G631="","",'Recurring Log'!G631)</f>
        <v/>
      </c>
      <c r="AY627">
        <f>IF('Recurring Log'!H631="","",'Recurring Log'!H631)</f>
        <v/>
      </c>
      <c r="AZ627">
        <f>IF(AU627="","",IF('Recurring Log'!J631="","Not Started",'Recurring Log'!J631))</f>
        <v/>
      </c>
      <c r="BA627">
        <f>'Recurring Log'!L631&amp;""</f>
        <v/>
      </c>
      <c r="BB627">
        <f>'Recurring Log'!M631&amp;""</f>
        <v/>
      </c>
      <c r="BC627">
        <f>'Recurring Log'!N631&amp;""</f>
        <v/>
      </c>
      <c r="BD627">
        <f>'Recurring Log'!O631&amp;""</f>
        <v/>
      </c>
      <c r="BE627">
        <f>IF('Recurring Log'!K631="","",'Recurring Log'!K631)</f>
        <v/>
      </c>
      <c r="BF627">
        <f>IFERROR(MATCH(BA627,Setup!$L$6:$L$9,0),5)</f>
        <v/>
      </c>
      <c r="BG627">
        <f>IF(OR(AZ627="Done",AZ627="Cancelled"),1,0)</f>
        <v/>
      </c>
      <c r="BH627">
        <f>IF(AND(AU627&lt;&gt;"",ISNUMBER(AW627)),1,0)</f>
        <v/>
      </c>
      <c r="BI627">
        <f>IF(BH627=0,0,IF(AND(AW627&gt;='Tasks Filter'!$F$3,AW627&lt;='Tasks Filter'!$F$4,OR('Tasks Filter'!$I$3="",ISNUMBER(SEARCH('Tasks Filter'!$I$3,AU627))),OR('Tasks Filter'!$I$4="",BF627=IFERROR(MATCH('Tasks Filter'!$I$4,Setup!$L$6:$L$9,0),0)),OR('Tasks Filter'!$I$5="Both",AND('Tasks Filter'!$I$5="Yes",BB627="✓"),AND('Tasks Filter'!$I$5="No",BB627&lt;&gt;"✓")),OR('Tasks Filter'!$L$3="",AV627='Tasks Filter'!$L$3),OR('Tasks Filter'!$L$4="",AZ627='Tasks Filter'!$L$4),OR('Tasks Filter'!$L$5="",BC627='Tasks Filter'!$L$5),OR('Tasks Filter'!$O$3="",BD627='Tasks Filter'!$O$3),OR('Tasks Filter'!$O$4="Yes",BG627=0)),1,0))</f>
        <v/>
      </c>
      <c r="BJ627">
        <f>IF(BH627=0,"",IF('Tasks Filter'!$F$6="Descending",-1,1)*CHOOSE(MATCH('Tasks Filter'!$F$5,Lists!$G$2:$G$6,0),AW627,BF627,IFERROR(MATCH(AV627,Setup!$F$6:$F$15,0),99),IFERROR(MATCH(BC627,Setup!$H$6:$H$15,0),99),IFERROR(MATCH(AZ627,Setup!$J$6:$J$11,0),99))*1E+9+(AW627-40000)*10000+626)</f>
        <v/>
      </c>
      <c r="BK627">
        <f>IF(BI627=1,BJ627,"")</f>
        <v/>
      </c>
      <c r="BL627">
        <f>IF(AND(BH627=1,BG627=0,N(AW627)&lt;Setup!$D$7),(AW627-40000)*10000+626,"")</f>
        <v/>
      </c>
      <c r="BM627">
        <f>IF(AND(BH627=1,AZ627&lt;&gt;"Cancelled",N(AW627)&gt;=Dashboard!$AB$3,N(AW627)&lt;=Dashboard!$AB$3+6),(AW627-40000)*100000+BF627*10000+626,"")</f>
        <v/>
      </c>
      <c r="BN627">
        <f>IF(AND(BH627=1,AZ627&lt;&gt;"Cancelled"),BF627*10000+626,"")</f>
        <v/>
      </c>
    </row>
    <row r="628">
      <c r="AS628" t="inlineStr">
        <is>
          <t>R</t>
        </is>
      </c>
      <c r="AT628" t="n">
        <v>632</v>
      </c>
      <c r="AU628">
        <f>'Recurring Log'!C632&amp;""</f>
        <v/>
      </c>
      <c r="AV628">
        <f>'Recurring Log'!D632&amp;""</f>
        <v/>
      </c>
      <c r="AW628">
        <f>IF('Recurring Log'!E632="","",'Recurring Log'!E632)</f>
        <v/>
      </c>
      <c r="AX628">
        <f>IF('Recurring Log'!G632="","",'Recurring Log'!G632)</f>
        <v/>
      </c>
      <c r="AY628">
        <f>IF('Recurring Log'!H632="","",'Recurring Log'!H632)</f>
        <v/>
      </c>
      <c r="AZ628">
        <f>IF(AU628="","",IF('Recurring Log'!J632="","Not Started",'Recurring Log'!J632))</f>
        <v/>
      </c>
      <c r="BA628">
        <f>'Recurring Log'!L632&amp;""</f>
        <v/>
      </c>
      <c r="BB628">
        <f>'Recurring Log'!M632&amp;""</f>
        <v/>
      </c>
      <c r="BC628">
        <f>'Recurring Log'!N632&amp;""</f>
        <v/>
      </c>
      <c r="BD628">
        <f>'Recurring Log'!O632&amp;""</f>
        <v/>
      </c>
      <c r="BE628">
        <f>IF('Recurring Log'!K632="","",'Recurring Log'!K632)</f>
        <v/>
      </c>
      <c r="BF628">
        <f>IFERROR(MATCH(BA628,Setup!$L$6:$L$9,0),5)</f>
        <v/>
      </c>
      <c r="BG628">
        <f>IF(OR(AZ628="Done",AZ628="Cancelled"),1,0)</f>
        <v/>
      </c>
      <c r="BH628">
        <f>IF(AND(AU628&lt;&gt;"",ISNUMBER(AW628)),1,0)</f>
        <v/>
      </c>
      <c r="BI628">
        <f>IF(BH628=0,0,IF(AND(AW628&gt;='Tasks Filter'!$F$3,AW628&lt;='Tasks Filter'!$F$4,OR('Tasks Filter'!$I$3="",ISNUMBER(SEARCH('Tasks Filter'!$I$3,AU628))),OR('Tasks Filter'!$I$4="",BF628=IFERROR(MATCH('Tasks Filter'!$I$4,Setup!$L$6:$L$9,0),0)),OR('Tasks Filter'!$I$5="Both",AND('Tasks Filter'!$I$5="Yes",BB628="✓"),AND('Tasks Filter'!$I$5="No",BB628&lt;&gt;"✓")),OR('Tasks Filter'!$L$3="",AV628='Tasks Filter'!$L$3),OR('Tasks Filter'!$L$4="",AZ628='Tasks Filter'!$L$4),OR('Tasks Filter'!$L$5="",BC628='Tasks Filter'!$L$5),OR('Tasks Filter'!$O$3="",BD628='Tasks Filter'!$O$3),OR('Tasks Filter'!$O$4="Yes",BG628=0)),1,0))</f>
        <v/>
      </c>
      <c r="BJ628">
        <f>IF(BH628=0,"",IF('Tasks Filter'!$F$6="Descending",-1,1)*CHOOSE(MATCH('Tasks Filter'!$F$5,Lists!$G$2:$G$6,0),AW628,BF628,IFERROR(MATCH(AV628,Setup!$F$6:$F$15,0),99),IFERROR(MATCH(BC628,Setup!$H$6:$H$15,0),99),IFERROR(MATCH(AZ628,Setup!$J$6:$J$11,0),99))*1E+9+(AW628-40000)*10000+627)</f>
        <v/>
      </c>
      <c r="BK628">
        <f>IF(BI628=1,BJ628,"")</f>
        <v/>
      </c>
      <c r="BL628">
        <f>IF(AND(BH628=1,BG628=0,N(AW628)&lt;Setup!$D$7),(AW628-40000)*10000+627,"")</f>
        <v/>
      </c>
      <c r="BM628">
        <f>IF(AND(BH628=1,AZ628&lt;&gt;"Cancelled",N(AW628)&gt;=Dashboard!$AB$3,N(AW628)&lt;=Dashboard!$AB$3+6),(AW628-40000)*100000+BF628*10000+627,"")</f>
        <v/>
      </c>
      <c r="BN628">
        <f>IF(AND(BH628=1,AZ628&lt;&gt;"Cancelled"),BF628*10000+627,"")</f>
        <v/>
      </c>
    </row>
    <row r="629">
      <c r="AS629" t="inlineStr">
        <is>
          <t>R</t>
        </is>
      </c>
      <c r="AT629" t="n">
        <v>633</v>
      </c>
      <c r="AU629">
        <f>'Recurring Log'!C633&amp;""</f>
        <v/>
      </c>
      <c r="AV629">
        <f>'Recurring Log'!D633&amp;""</f>
        <v/>
      </c>
      <c r="AW629">
        <f>IF('Recurring Log'!E633="","",'Recurring Log'!E633)</f>
        <v/>
      </c>
      <c r="AX629">
        <f>IF('Recurring Log'!G633="","",'Recurring Log'!G633)</f>
        <v/>
      </c>
      <c r="AY629">
        <f>IF('Recurring Log'!H633="","",'Recurring Log'!H633)</f>
        <v/>
      </c>
      <c r="AZ629">
        <f>IF(AU629="","",IF('Recurring Log'!J633="","Not Started",'Recurring Log'!J633))</f>
        <v/>
      </c>
      <c r="BA629">
        <f>'Recurring Log'!L633&amp;""</f>
        <v/>
      </c>
      <c r="BB629">
        <f>'Recurring Log'!M633&amp;""</f>
        <v/>
      </c>
      <c r="BC629">
        <f>'Recurring Log'!N633&amp;""</f>
        <v/>
      </c>
      <c r="BD629">
        <f>'Recurring Log'!O633&amp;""</f>
        <v/>
      </c>
      <c r="BE629">
        <f>IF('Recurring Log'!K633="","",'Recurring Log'!K633)</f>
        <v/>
      </c>
      <c r="BF629">
        <f>IFERROR(MATCH(BA629,Setup!$L$6:$L$9,0),5)</f>
        <v/>
      </c>
      <c r="BG629">
        <f>IF(OR(AZ629="Done",AZ629="Cancelled"),1,0)</f>
        <v/>
      </c>
      <c r="BH629">
        <f>IF(AND(AU629&lt;&gt;"",ISNUMBER(AW629)),1,0)</f>
        <v/>
      </c>
      <c r="BI629">
        <f>IF(BH629=0,0,IF(AND(AW629&gt;='Tasks Filter'!$F$3,AW629&lt;='Tasks Filter'!$F$4,OR('Tasks Filter'!$I$3="",ISNUMBER(SEARCH('Tasks Filter'!$I$3,AU629))),OR('Tasks Filter'!$I$4="",BF629=IFERROR(MATCH('Tasks Filter'!$I$4,Setup!$L$6:$L$9,0),0)),OR('Tasks Filter'!$I$5="Both",AND('Tasks Filter'!$I$5="Yes",BB629="✓"),AND('Tasks Filter'!$I$5="No",BB629&lt;&gt;"✓")),OR('Tasks Filter'!$L$3="",AV629='Tasks Filter'!$L$3),OR('Tasks Filter'!$L$4="",AZ629='Tasks Filter'!$L$4),OR('Tasks Filter'!$L$5="",BC629='Tasks Filter'!$L$5),OR('Tasks Filter'!$O$3="",BD629='Tasks Filter'!$O$3),OR('Tasks Filter'!$O$4="Yes",BG629=0)),1,0))</f>
        <v/>
      </c>
      <c r="BJ629">
        <f>IF(BH629=0,"",IF('Tasks Filter'!$F$6="Descending",-1,1)*CHOOSE(MATCH('Tasks Filter'!$F$5,Lists!$G$2:$G$6,0),AW629,BF629,IFERROR(MATCH(AV629,Setup!$F$6:$F$15,0),99),IFERROR(MATCH(BC629,Setup!$H$6:$H$15,0),99),IFERROR(MATCH(AZ629,Setup!$J$6:$J$11,0),99))*1E+9+(AW629-40000)*10000+628)</f>
        <v/>
      </c>
      <c r="BK629">
        <f>IF(BI629=1,BJ629,"")</f>
        <v/>
      </c>
      <c r="BL629">
        <f>IF(AND(BH629=1,BG629=0,N(AW629)&lt;Setup!$D$7),(AW629-40000)*10000+628,"")</f>
        <v/>
      </c>
      <c r="BM629">
        <f>IF(AND(BH629=1,AZ629&lt;&gt;"Cancelled",N(AW629)&gt;=Dashboard!$AB$3,N(AW629)&lt;=Dashboard!$AB$3+6),(AW629-40000)*100000+BF629*10000+628,"")</f>
        <v/>
      </c>
      <c r="BN629">
        <f>IF(AND(BH629=1,AZ629&lt;&gt;"Cancelled"),BF629*10000+628,"")</f>
        <v/>
      </c>
    </row>
    <row r="630">
      <c r="AS630" t="inlineStr">
        <is>
          <t>R</t>
        </is>
      </c>
      <c r="AT630" t="n">
        <v>634</v>
      </c>
      <c r="AU630">
        <f>'Recurring Log'!C634&amp;""</f>
        <v/>
      </c>
      <c r="AV630">
        <f>'Recurring Log'!D634&amp;""</f>
        <v/>
      </c>
      <c r="AW630">
        <f>IF('Recurring Log'!E634="","",'Recurring Log'!E634)</f>
        <v/>
      </c>
      <c r="AX630">
        <f>IF('Recurring Log'!G634="","",'Recurring Log'!G634)</f>
        <v/>
      </c>
      <c r="AY630">
        <f>IF('Recurring Log'!H634="","",'Recurring Log'!H634)</f>
        <v/>
      </c>
      <c r="AZ630">
        <f>IF(AU630="","",IF('Recurring Log'!J634="","Not Started",'Recurring Log'!J634))</f>
        <v/>
      </c>
      <c r="BA630">
        <f>'Recurring Log'!L634&amp;""</f>
        <v/>
      </c>
      <c r="BB630">
        <f>'Recurring Log'!M634&amp;""</f>
        <v/>
      </c>
      <c r="BC630">
        <f>'Recurring Log'!N634&amp;""</f>
        <v/>
      </c>
      <c r="BD630">
        <f>'Recurring Log'!O634&amp;""</f>
        <v/>
      </c>
      <c r="BE630">
        <f>IF('Recurring Log'!K634="","",'Recurring Log'!K634)</f>
        <v/>
      </c>
      <c r="BF630">
        <f>IFERROR(MATCH(BA630,Setup!$L$6:$L$9,0),5)</f>
        <v/>
      </c>
      <c r="BG630">
        <f>IF(OR(AZ630="Done",AZ630="Cancelled"),1,0)</f>
        <v/>
      </c>
      <c r="BH630">
        <f>IF(AND(AU630&lt;&gt;"",ISNUMBER(AW630)),1,0)</f>
        <v/>
      </c>
      <c r="BI630">
        <f>IF(BH630=0,0,IF(AND(AW630&gt;='Tasks Filter'!$F$3,AW630&lt;='Tasks Filter'!$F$4,OR('Tasks Filter'!$I$3="",ISNUMBER(SEARCH('Tasks Filter'!$I$3,AU630))),OR('Tasks Filter'!$I$4="",BF630=IFERROR(MATCH('Tasks Filter'!$I$4,Setup!$L$6:$L$9,0),0)),OR('Tasks Filter'!$I$5="Both",AND('Tasks Filter'!$I$5="Yes",BB630="✓"),AND('Tasks Filter'!$I$5="No",BB630&lt;&gt;"✓")),OR('Tasks Filter'!$L$3="",AV630='Tasks Filter'!$L$3),OR('Tasks Filter'!$L$4="",AZ630='Tasks Filter'!$L$4),OR('Tasks Filter'!$L$5="",BC630='Tasks Filter'!$L$5),OR('Tasks Filter'!$O$3="",BD630='Tasks Filter'!$O$3),OR('Tasks Filter'!$O$4="Yes",BG630=0)),1,0))</f>
        <v/>
      </c>
      <c r="BJ630">
        <f>IF(BH630=0,"",IF('Tasks Filter'!$F$6="Descending",-1,1)*CHOOSE(MATCH('Tasks Filter'!$F$5,Lists!$G$2:$G$6,0),AW630,BF630,IFERROR(MATCH(AV630,Setup!$F$6:$F$15,0),99),IFERROR(MATCH(BC630,Setup!$H$6:$H$15,0),99),IFERROR(MATCH(AZ630,Setup!$J$6:$J$11,0),99))*1E+9+(AW630-40000)*10000+629)</f>
        <v/>
      </c>
      <c r="BK630">
        <f>IF(BI630=1,BJ630,"")</f>
        <v/>
      </c>
      <c r="BL630">
        <f>IF(AND(BH630=1,BG630=0,N(AW630)&lt;Setup!$D$7),(AW630-40000)*10000+629,"")</f>
        <v/>
      </c>
      <c r="BM630">
        <f>IF(AND(BH630=1,AZ630&lt;&gt;"Cancelled",N(AW630)&gt;=Dashboard!$AB$3,N(AW630)&lt;=Dashboard!$AB$3+6),(AW630-40000)*100000+BF630*10000+629,"")</f>
        <v/>
      </c>
      <c r="BN630">
        <f>IF(AND(BH630=1,AZ630&lt;&gt;"Cancelled"),BF630*10000+629,"")</f>
        <v/>
      </c>
    </row>
    <row r="631">
      <c r="AS631" t="inlineStr">
        <is>
          <t>R</t>
        </is>
      </c>
      <c r="AT631" t="n">
        <v>635</v>
      </c>
      <c r="AU631">
        <f>'Recurring Log'!C635&amp;""</f>
        <v/>
      </c>
      <c r="AV631">
        <f>'Recurring Log'!D635&amp;""</f>
        <v/>
      </c>
      <c r="AW631">
        <f>IF('Recurring Log'!E635="","",'Recurring Log'!E635)</f>
        <v/>
      </c>
      <c r="AX631">
        <f>IF('Recurring Log'!G635="","",'Recurring Log'!G635)</f>
        <v/>
      </c>
      <c r="AY631">
        <f>IF('Recurring Log'!H635="","",'Recurring Log'!H635)</f>
        <v/>
      </c>
      <c r="AZ631">
        <f>IF(AU631="","",IF('Recurring Log'!J635="","Not Started",'Recurring Log'!J635))</f>
        <v/>
      </c>
      <c r="BA631">
        <f>'Recurring Log'!L635&amp;""</f>
        <v/>
      </c>
      <c r="BB631">
        <f>'Recurring Log'!M635&amp;""</f>
        <v/>
      </c>
      <c r="BC631">
        <f>'Recurring Log'!N635&amp;""</f>
        <v/>
      </c>
      <c r="BD631">
        <f>'Recurring Log'!O635&amp;""</f>
        <v/>
      </c>
      <c r="BE631">
        <f>IF('Recurring Log'!K635="","",'Recurring Log'!K635)</f>
        <v/>
      </c>
      <c r="BF631">
        <f>IFERROR(MATCH(BA631,Setup!$L$6:$L$9,0),5)</f>
        <v/>
      </c>
      <c r="BG631">
        <f>IF(OR(AZ631="Done",AZ631="Cancelled"),1,0)</f>
        <v/>
      </c>
      <c r="BH631">
        <f>IF(AND(AU631&lt;&gt;"",ISNUMBER(AW631)),1,0)</f>
        <v/>
      </c>
      <c r="BI631">
        <f>IF(BH631=0,0,IF(AND(AW631&gt;='Tasks Filter'!$F$3,AW631&lt;='Tasks Filter'!$F$4,OR('Tasks Filter'!$I$3="",ISNUMBER(SEARCH('Tasks Filter'!$I$3,AU631))),OR('Tasks Filter'!$I$4="",BF631=IFERROR(MATCH('Tasks Filter'!$I$4,Setup!$L$6:$L$9,0),0)),OR('Tasks Filter'!$I$5="Both",AND('Tasks Filter'!$I$5="Yes",BB631="✓"),AND('Tasks Filter'!$I$5="No",BB631&lt;&gt;"✓")),OR('Tasks Filter'!$L$3="",AV631='Tasks Filter'!$L$3),OR('Tasks Filter'!$L$4="",AZ631='Tasks Filter'!$L$4),OR('Tasks Filter'!$L$5="",BC631='Tasks Filter'!$L$5),OR('Tasks Filter'!$O$3="",BD631='Tasks Filter'!$O$3),OR('Tasks Filter'!$O$4="Yes",BG631=0)),1,0))</f>
        <v/>
      </c>
      <c r="BJ631">
        <f>IF(BH631=0,"",IF('Tasks Filter'!$F$6="Descending",-1,1)*CHOOSE(MATCH('Tasks Filter'!$F$5,Lists!$G$2:$G$6,0),AW631,BF631,IFERROR(MATCH(AV631,Setup!$F$6:$F$15,0),99),IFERROR(MATCH(BC631,Setup!$H$6:$H$15,0),99),IFERROR(MATCH(AZ631,Setup!$J$6:$J$11,0),99))*1E+9+(AW631-40000)*10000+630)</f>
        <v/>
      </c>
      <c r="BK631">
        <f>IF(BI631=1,BJ631,"")</f>
        <v/>
      </c>
      <c r="BL631">
        <f>IF(AND(BH631=1,BG631=0,N(AW631)&lt;Setup!$D$7),(AW631-40000)*10000+630,"")</f>
        <v/>
      </c>
      <c r="BM631">
        <f>IF(AND(BH631=1,AZ631&lt;&gt;"Cancelled",N(AW631)&gt;=Dashboard!$AB$3,N(AW631)&lt;=Dashboard!$AB$3+6),(AW631-40000)*100000+BF631*10000+630,"")</f>
        <v/>
      </c>
      <c r="BN631">
        <f>IF(AND(BH631=1,AZ631&lt;&gt;"Cancelled"),BF631*10000+630,"")</f>
        <v/>
      </c>
    </row>
    <row r="632">
      <c r="AS632" t="inlineStr">
        <is>
          <t>R</t>
        </is>
      </c>
      <c r="AT632" t="n">
        <v>636</v>
      </c>
      <c r="AU632">
        <f>'Recurring Log'!C636&amp;""</f>
        <v/>
      </c>
      <c r="AV632">
        <f>'Recurring Log'!D636&amp;""</f>
        <v/>
      </c>
      <c r="AW632">
        <f>IF('Recurring Log'!E636="","",'Recurring Log'!E636)</f>
        <v/>
      </c>
      <c r="AX632">
        <f>IF('Recurring Log'!G636="","",'Recurring Log'!G636)</f>
        <v/>
      </c>
      <c r="AY632">
        <f>IF('Recurring Log'!H636="","",'Recurring Log'!H636)</f>
        <v/>
      </c>
      <c r="AZ632">
        <f>IF(AU632="","",IF('Recurring Log'!J636="","Not Started",'Recurring Log'!J636))</f>
        <v/>
      </c>
      <c r="BA632">
        <f>'Recurring Log'!L636&amp;""</f>
        <v/>
      </c>
      <c r="BB632">
        <f>'Recurring Log'!M636&amp;""</f>
        <v/>
      </c>
      <c r="BC632">
        <f>'Recurring Log'!N636&amp;""</f>
        <v/>
      </c>
      <c r="BD632">
        <f>'Recurring Log'!O636&amp;""</f>
        <v/>
      </c>
      <c r="BE632">
        <f>IF('Recurring Log'!K636="","",'Recurring Log'!K636)</f>
        <v/>
      </c>
      <c r="BF632">
        <f>IFERROR(MATCH(BA632,Setup!$L$6:$L$9,0),5)</f>
        <v/>
      </c>
      <c r="BG632">
        <f>IF(OR(AZ632="Done",AZ632="Cancelled"),1,0)</f>
        <v/>
      </c>
      <c r="BH632">
        <f>IF(AND(AU632&lt;&gt;"",ISNUMBER(AW632)),1,0)</f>
        <v/>
      </c>
      <c r="BI632">
        <f>IF(BH632=0,0,IF(AND(AW632&gt;='Tasks Filter'!$F$3,AW632&lt;='Tasks Filter'!$F$4,OR('Tasks Filter'!$I$3="",ISNUMBER(SEARCH('Tasks Filter'!$I$3,AU632))),OR('Tasks Filter'!$I$4="",BF632=IFERROR(MATCH('Tasks Filter'!$I$4,Setup!$L$6:$L$9,0),0)),OR('Tasks Filter'!$I$5="Both",AND('Tasks Filter'!$I$5="Yes",BB632="✓"),AND('Tasks Filter'!$I$5="No",BB632&lt;&gt;"✓")),OR('Tasks Filter'!$L$3="",AV632='Tasks Filter'!$L$3),OR('Tasks Filter'!$L$4="",AZ632='Tasks Filter'!$L$4),OR('Tasks Filter'!$L$5="",BC632='Tasks Filter'!$L$5),OR('Tasks Filter'!$O$3="",BD632='Tasks Filter'!$O$3),OR('Tasks Filter'!$O$4="Yes",BG632=0)),1,0))</f>
        <v/>
      </c>
      <c r="BJ632">
        <f>IF(BH632=0,"",IF('Tasks Filter'!$F$6="Descending",-1,1)*CHOOSE(MATCH('Tasks Filter'!$F$5,Lists!$G$2:$G$6,0),AW632,BF632,IFERROR(MATCH(AV632,Setup!$F$6:$F$15,0),99),IFERROR(MATCH(BC632,Setup!$H$6:$H$15,0),99),IFERROR(MATCH(AZ632,Setup!$J$6:$J$11,0),99))*1E+9+(AW632-40000)*10000+631)</f>
        <v/>
      </c>
      <c r="BK632">
        <f>IF(BI632=1,BJ632,"")</f>
        <v/>
      </c>
      <c r="BL632">
        <f>IF(AND(BH632=1,BG632=0,N(AW632)&lt;Setup!$D$7),(AW632-40000)*10000+631,"")</f>
        <v/>
      </c>
      <c r="BM632">
        <f>IF(AND(BH632=1,AZ632&lt;&gt;"Cancelled",N(AW632)&gt;=Dashboard!$AB$3,N(AW632)&lt;=Dashboard!$AB$3+6),(AW632-40000)*100000+BF632*10000+631,"")</f>
        <v/>
      </c>
      <c r="BN632">
        <f>IF(AND(BH632=1,AZ632&lt;&gt;"Cancelled"),BF632*10000+631,"")</f>
        <v/>
      </c>
    </row>
    <row r="633">
      <c r="AS633" t="inlineStr">
        <is>
          <t>R</t>
        </is>
      </c>
      <c r="AT633" t="n">
        <v>637</v>
      </c>
      <c r="AU633">
        <f>'Recurring Log'!C637&amp;""</f>
        <v/>
      </c>
      <c r="AV633">
        <f>'Recurring Log'!D637&amp;""</f>
        <v/>
      </c>
      <c r="AW633">
        <f>IF('Recurring Log'!E637="","",'Recurring Log'!E637)</f>
        <v/>
      </c>
      <c r="AX633">
        <f>IF('Recurring Log'!G637="","",'Recurring Log'!G637)</f>
        <v/>
      </c>
      <c r="AY633">
        <f>IF('Recurring Log'!H637="","",'Recurring Log'!H637)</f>
        <v/>
      </c>
      <c r="AZ633">
        <f>IF(AU633="","",IF('Recurring Log'!J637="","Not Started",'Recurring Log'!J637))</f>
        <v/>
      </c>
      <c r="BA633">
        <f>'Recurring Log'!L637&amp;""</f>
        <v/>
      </c>
      <c r="BB633">
        <f>'Recurring Log'!M637&amp;""</f>
        <v/>
      </c>
      <c r="BC633">
        <f>'Recurring Log'!N637&amp;""</f>
        <v/>
      </c>
      <c r="BD633">
        <f>'Recurring Log'!O637&amp;""</f>
        <v/>
      </c>
      <c r="BE633">
        <f>IF('Recurring Log'!K637="","",'Recurring Log'!K637)</f>
        <v/>
      </c>
      <c r="BF633">
        <f>IFERROR(MATCH(BA633,Setup!$L$6:$L$9,0),5)</f>
        <v/>
      </c>
      <c r="BG633">
        <f>IF(OR(AZ633="Done",AZ633="Cancelled"),1,0)</f>
        <v/>
      </c>
      <c r="BH633">
        <f>IF(AND(AU633&lt;&gt;"",ISNUMBER(AW633)),1,0)</f>
        <v/>
      </c>
      <c r="BI633">
        <f>IF(BH633=0,0,IF(AND(AW633&gt;='Tasks Filter'!$F$3,AW633&lt;='Tasks Filter'!$F$4,OR('Tasks Filter'!$I$3="",ISNUMBER(SEARCH('Tasks Filter'!$I$3,AU633))),OR('Tasks Filter'!$I$4="",BF633=IFERROR(MATCH('Tasks Filter'!$I$4,Setup!$L$6:$L$9,0),0)),OR('Tasks Filter'!$I$5="Both",AND('Tasks Filter'!$I$5="Yes",BB633="✓"),AND('Tasks Filter'!$I$5="No",BB633&lt;&gt;"✓")),OR('Tasks Filter'!$L$3="",AV633='Tasks Filter'!$L$3),OR('Tasks Filter'!$L$4="",AZ633='Tasks Filter'!$L$4),OR('Tasks Filter'!$L$5="",BC633='Tasks Filter'!$L$5),OR('Tasks Filter'!$O$3="",BD633='Tasks Filter'!$O$3),OR('Tasks Filter'!$O$4="Yes",BG633=0)),1,0))</f>
        <v/>
      </c>
      <c r="BJ633">
        <f>IF(BH633=0,"",IF('Tasks Filter'!$F$6="Descending",-1,1)*CHOOSE(MATCH('Tasks Filter'!$F$5,Lists!$G$2:$G$6,0),AW633,BF633,IFERROR(MATCH(AV633,Setup!$F$6:$F$15,0),99),IFERROR(MATCH(BC633,Setup!$H$6:$H$15,0),99),IFERROR(MATCH(AZ633,Setup!$J$6:$J$11,0),99))*1E+9+(AW633-40000)*10000+632)</f>
        <v/>
      </c>
      <c r="BK633">
        <f>IF(BI633=1,BJ633,"")</f>
        <v/>
      </c>
      <c r="BL633">
        <f>IF(AND(BH633=1,BG633=0,N(AW633)&lt;Setup!$D$7),(AW633-40000)*10000+632,"")</f>
        <v/>
      </c>
      <c r="BM633">
        <f>IF(AND(BH633=1,AZ633&lt;&gt;"Cancelled",N(AW633)&gt;=Dashboard!$AB$3,N(AW633)&lt;=Dashboard!$AB$3+6),(AW633-40000)*100000+BF633*10000+632,"")</f>
        <v/>
      </c>
      <c r="BN633">
        <f>IF(AND(BH633=1,AZ633&lt;&gt;"Cancelled"),BF633*10000+632,"")</f>
        <v/>
      </c>
    </row>
    <row r="634">
      <c r="AS634" t="inlineStr">
        <is>
          <t>R</t>
        </is>
      </c>
      <c r="AT634" t="n">
        <v>638</v>
      </c>
      <c r="AU634">
        <f>'Recurring Log'!C638&amp;""</f>
        <v/>
      </c>
      <c r="AV634">
        <f>'Recurring Log'!D638&amp;""</f>
        <v/>
      </c>
      <c r="AW634">
        <f>IF('Recurring Log'!E638="","",'Recurring Log'!E638)</f>
        <v/>
      </c>
      <c r="AX634">
        <f>IF('Recurring Log'!G638="","",'Recurring Log'!G638)</f>
        <v/>
      </c>
      <c r="AY634">
        <f>IF('Recurring Log'!H638="","",'Recurring Log'!H638)</f>
        <v/>
      </c>
      <c r="AZ634">
        <f>IF(AU634="","",IF('Recurring Log'!J638="","Not Started",'Recurring Log'!J638))</f>
        <v/>
      </c>
      <c r="BA634">
        <f>'Recurring Log'!L638&amp;""</f>
        <v/>
      </c>
      <c r="BB634">
        <f>'Recurring Log'!M638&amp;""</f>
        <v/>
      </c>
      <c r="BC634">
        <f>'Recurring Log'!N638&amp;""</f>
        <v/>
      </c>
      <c r="BD634">
        <f>'Recurring Log'!O638&amp;""</f>
        <v/>
      </c>
      <c r="BE634">
        <f>IF('Recurring Log'!K638="","",'Recurring Log'!K638)</f>
        <v/>
      </c>
      <c r="BF634">
        <f>IFERROR(MATCH(BA634,Setup!$L$6:$L$9,0),5)</f>
        <v/>
      </c>
      <c r="BG634">
        <f>IF(OR(AZ634="Done",AZ634="Cancelled"),1,0)</f>
        <v/>
      </c>
      <c r="BH634">
        <f>IF(AND(AU634&lt;&gt;"",ISNUMBER(AW634)),1,0)</f>
        <v/>
      </c>
      <c r="BI634">
        <f>IF(BH634=0,0,IF(AND(AW634&gt;='Tasks Filter'!$F$3,AW634&lt;='Tasks Filter'!$F$4,OR('Tasks Filter'!$I$3="",ISNUMBER(SEARCH('Tasks Filter'!$I$3,AU634))),OR('Tasks Filter'!$I$4="",BF634=IFERROR(MATCH('Tasks Filter'!$I$4,Setup!$L$6:$L$9,0),0)),OR('Tasks Filter'!$I$5="Both",AND('Tasks Filter'!$I$5="Yes",BB634="✓"),AND('Tasks Filter'!$I$5="No",BB634&lt;&gt;"✓")),OR('Tasks Filter'!$L$3="",AV634='Tasks Filter'!$L$3),OR('Tasks Filter'!$L$4="",AZ634='Tasks Filter'!$L$4),OR('Tasks Filter'!$L$5="",BC634='Tasks Filter'!$L$5),OR('Tasks Filter'!$O$3="",BD634='Tasks Filter'!$O$3),OR('Tasks Filter'!$O$4="Yes",BG634=0)),1,0))</f>
        <v/>
      </c>
      <c r="BJ634">
        <f>IF(BH634=0,"",IF('Tasks Filter'!$F$6="Descending",-1,1)*CHOOSE(MATCH('Tasks Filter'!$F$5,Lists!$G$2:$G$6,0),AW634,BF634,IFERROR(MATCH(AV634,Setup!$F$6:$F$15,0),99),IFERROR(MATCH(BC634,Setup!$H$6:$H$15,0),99),IFERROR(MATCH(AZ634,Setup!$J$6:$J$11,0),99))*1E+9+(AW634-40000)*10000+633)</f>
        <v/>
      </c>
      <c r="BK634">
        <f>IF(BI634=1,BJ634,"")</f>
        <v/>
      </c>
      <c r="BL634">
        <f>IF(AND(BH634=1,BG634=0,N(AW634)&lt;Setup!$D$7),(AW634-40000)*10000+633,"")</f>
        <v/>
      </c>
      <c r="BM634">
        <f>IF(AND(BH634=1,AZ634&lt;&gt;"Cancelled",N(AW634)&gt;=Dashboard!$AB$3,N(AW634)&lt;=Dashboard!$AB$3+6),(AW634-40000)*100000+BF634*10000+633,"")</f>
        <v/>
      </c>
      <c r="BN634">
        <f>IF(AND(BH634=1,AZ634&lt;&gt;"Cancelled"),BF634*10000+633,"")</f>
        <v/>
      </c>
    </row>
    <row r="635">
      <c r="AS635" t="inlineStr">
        <is>
          <t>R</t>
        </is>
      </c>
      <c r="AT635" t="n">
        <v>639</v>
      </c>
      <c r="AU635">
        <f>'Recurring Log'!C639&amp;""</f>
        <v/>
      </c>
      <c r="AV635">
        <f>'Recurring Log'!D639&amp;""</f>
        <v/>
      </c>
      <c r="AW635">
        <f>IF('Recurring Log'!E639="","",'Recurring Log'!E639)</f>
        <v/>
      </c>
      <c r="AX635">
        <f>IF('Recurring Log'!G639="","",'Recurring Log'!G639)</f>
        <v/>
      </c>
      <c r="AY635">
        <f>IF('Recurring Log'!H639="","",'Recurring Log'!H639)</f>
        <v/>
      </c>
      <c r="AZ635">
        <f>IF(AU635="","",IF('Recurring Log'!J639="","Not Started",'Recurring Log'!J639))</f>
        <v/>
      </c>
      <c r="BA635">
        <f>'Recurring Log'!L639&amp;""</f>
        <v/>
      </c>
      <c r="BB635">
        <f>'Recurring Log'!M639&amp;""</f>
        <v/>
      </c>
      <c r="BC635">
        <f>'Recurring Log'!N639&amp;""</f>
        <v/>
      </c>
      <c r="BD635">
        <f>'Recurring Log'!O639&amp;""</f>
        <v/>
      </c>
      <c r="BE635">
        <f>IF('Recurring Log'!K639="","",'Recurring Log'!K639)</f>
        <v/>
      </c>
      <c r="BF635">
        <f>IFERROR(MATCH(BA635,Setup!$L$6:$L$9,0),5)</f>
        <v/>
      </c>
      <c r="BG635">
        <f>IF(OR(AZ635="Done",AZ635="Cancelled"),1,0)</f>
        <v/>
      </c>
      <c r="BH635">
        <f>IF(AND(AU635&lt;&gt;"",ISNUMBER(AW635)),1,0)</f>
        <v/>
      </c>
      <c r="BI635">
        <f>IF(BH635=0,0,IF(AND(AW635&gt;='Tasks Filter'!$F$3,AW635&lt;='Tasks Filter'!$F$4,OR('Tasks Filter'!$I$3="",ISNUMBER(SEARCH('Tasks Filter'!$I$3,AU635))),OR('Tasks Filter'!$I$4="",BF635=IFERROR(MATCH('Tasks Filter'!$I$4,Setup!$L$6:$L$9,0),0)),OR('Tasks Filter'!$I$5="Both",AND('Tasks Filter'!$I$5="Yes",BB635="✓"),AND('Tasks Filter'!$I$5="No",BB635&lt;&gt;"✓")),OR('Tasks Filter'!$L$3="",AV635='Tasks Filter'!$L$3),OR('Tasks Filter'!$L$4="",AZ635='Tasks Filter'!$L$4),OR('Tasks Filter'!$L$5="",BC635='Tasks Filter'!$L$5),OR('Tasks Filter'!$O$3="",BD635='Tasks Filter'!$O$3),OR('Tasks Filter'!$O$4="Yes",BG635=0)),1,0))</f>
        <v/>
      </c>
      <c r="BJ635">
        <f>IF(BH635=0,"",IF('Tasks Filter'!$F$6="Descending",-1,1)*CHOOSE(MATCH('Tasks Filter'!$F$5,Lists!$G$2:$G$6,0),AW635,BF635,IFERROR(MATCH(AV635,Setup!$F$6:$F$15,0),99),IFERROR(MATCH(BC635,Setup!$H$6:$H$15,0),99),IFERROR(MATCH(AZ635,Setup!$J$6:$J$11,0),99))*1E+9+(AW635-40000)*10000+634)</f>
        <v/>
      </c>
      <c r="BK635">
        <f>IF(BI635=1,BJ635,"")</f>
        <v/>
      </c>
      <c r="BL635">
        <f>IF(AND(BH635=1,BG635=0,N(AW635)&lt;Setup!$D$7),(AW635-40000)*10000+634,"")</f>
        <v/>
      </c>
      <c r="BM635">
        <f>IF(AND(BH635=1,AZ635&lt;&gt;"Cancelled",N(AW635)&gt;=Dashboard!$AB$3,N(AW635)&lt;=Dashboard!$AB$3+6),(AW635-40000)*100000+BF635*10000+634,"")</f>
        <v/>
      </c>
      <c r="BN635">
        <f>IF(AND(BH635=1,AZ635&lt;&gt;"Cancelled"),BF635*10000+634,"")</f>
        <v/>
      </c>
    </row>
    <row r="636">
      <c r="AS636" t="inlineStr">
        <is>
          <t>R</t>
        </is>
      </c>
      <c r="AT636" t="n">
        <v>640</v>
      </c>
      <c r="AU636">
        <f>'Recurring Log'!C640&amp;""</f>
        <v/>
      </c>
      <c r="AV636">
        <f>'Recurring Log'!D640&amp;""</f>
        <v/>
      </c>
      <c r="AW636">
        <f>IF('Recurring Log'!E640="","",'Recurring Log'!E640)</f>
        <v/>
      </c>
      <c r="AX636">
        <f>IF('Recurring Log'!G640="","",'Recurring Log'!G640)</f>
        <v/>
      </c>
      <c r="AY636">
        <f>IF('Recurring Log'!H640="","",'Recurring Log'!H640)</f>
        <v/>
      </c>
      <c r="AZ636">
        <f>IF(AU636="","",IF('Recurring Log'!J640="","Not Started",'Recurring Log'!J640))</f>
        <v/>
      </c>
      <c r="BA636">
        <f>'Recurring Log'!L640&amp;""</f>
        <v/>
      </c>
      <c r="BB636">
        <f>'Recurring Log'!M640&amp;""</f>
        <v/>
      </c>
      <c r="BC636">
        <f>'Recurring Log'!N640&amp;""</f>
        <v/>
      </c>
      <c r="BD636">
        <f>'Recurring Log'!O640&amp;""</f>
        <v/>
      </c>
      <c r="BE636">
        <f>IF('Recurring Log'!K640="","",'Recurring Log'!K640)</f>
        <v/>
      </c>
      <c r="BF636">
        <f>IFERROR(MATCH(BA636,Setup!$L$6:$L$9,0),5)</f>
        <v/>
      </c>
      <c r="BG636">
        <f>IF(OR(AZ636="Done",AZ636="Cancelled"),1,0)</f>
        <v/>
      </c>
      <c r="BH636">
        <f>IF(AND(AU636&lt;&gt;"",ISNUMBER(AW636)),1,0)</f>
        <v/>
      </c>
      <c r="BI636">
        <f>IF(BH636=0,0,IF(AND(AW636&gt;='Tasks Filter'!$F$3,AW636&lt;='Tasks Filter'!$F$4,OR('Tasks Filter'!$I$3="",ISNUMBER(SEARCH('Tasks Filter'!$I$3,AU636))),OR('Tasks Filter'!$I$4="",BF636=IFERROR(MATCH('Tasks Filter'!$I$4,Setup!$L$6:$L$9,0),0)),OR('Tasks Filter'!$I$5="Both",AND('Tasks Filter'!$I$5="Yes",BB636="✓"),AND('Tasks Filter'!$I$5="No",BB636&lt;&gt;"✓")),OR('Tasks Filter'!$L$3="",AV636='Tasks Filter'!$L$3),OR('Tasks Filter'!$L$4="",AZ636='Tasks Filter'!$L$4),OR('Tasks Filter'!$L$5="",BC636='Tasks Filter'!$L$5),OR('Tasks Filter'!$O$3="",BD636='Tasks Filter'!$O$3),OR('Tasks Filter'!$O$4="Yes",BG636=0)),1,0))</f>
        <v/>
      </c>
      <c r="BJ636">
        <f>IF(BH636=0,"",IF('Tasks Filter'!$F$6="Descending",-1,1)*CHOOSE(MATCH('Tasks Filter'!$F$5,Lists!$G$2:$G$6,0),AW636,BF636,IFERROR(MATCH(AV636,Setup!$F$6:$F$15,0),99),IFERROR(MATCH(BC636,Setup!$H$6:$H$15,0),99),IFERROR(MATCH(AZ636,Setup!$J$6:$J$11,0),99))*1E+9+(AW636-40000)*10000+635)</f>
        <v/>
      </c>
      <c r="BK636">
        <f>IF(BI636=1,BJ636,"")</f>
        <v/>
      </c>
      <c r="BL636">
        <f>IF(AND(BH636=1,BG636=0,N(AW636)&lt;Setup!$D$7),(AW636-40000)*10000+635,"")</f>
        <v/>
      </c>
      <c r="BM636">
        <f>IF(AND(BH636=1,AZ636&lt;&gt;"Cancelled",N(AW636)&gt;=Dashboard!$AB$3,N(AW636)&lt;=Dashboard!$AB$3+6),(AW636-40000)*100000+BF636*10000+635,"")</f>
        <v/>
      </c>
      <c r="BN636">
        <f>IF(AND(BH636=1,AZ636&lt;&gt;"Cancelled"),BF636*10000+635,"")</f>
        <v/>
      </c>
    </row>
    <row r="637">
      <c r="AS637" t="inlineStr">
        <is>
          <t>R</t>
        </is>
      </c>
      <c r="AT637" t="n">
        <v>641</v>
      </c>
      <c r="AU637">
        <f>'Recurring Log'!C641&amp;""</f>
        <v/>
      </c>
      <c r="AV637">
        <f>'Recurring Log'!D641&amp;""</f>
        <v/>
      </c>
      <c r="AW637">
        <f>IF('Recurring Log'!E641="","",'Recurring Log'!E641)</f>
        <v/>
      </c>
      <c r="AX637">
        <f>IF('Recurring Log'!G641="","",'Recurring Log'!G641)</f>
        <v/>
      </c>
      <c r="AY637">
        <f>IF('Recurring Log'!H641="","",'Recurring Log'!H641)</f>
        <v/>
      </c>
      <c r="AZ637">
        <f>IF(AU637="","",IF('Recurring Log'!J641="","Not Started",'Recurring Log'!J641))</f>
        <v/>
      </c>
      <c r="BA637">
        <f>'Recurring Log'!L641&amp;""</f>
        <v/>
      </c>
      <c r="BB637">
        <f>'Recurring Log'!M641&amp;""</f>
        <v/>
      </c>
      <c r="BC637">
        <f>'Recurring Log'!N641&amp;""</f>
        <v/>
      </c>
      <c r="BD637">
        <f>'Recurring Log'!O641&amp;""</f>
        <v/>
      </c>
      <c r="BE637">
        <f>IF('Recurring Log'!K641="","",'Recurring Log'!K641)</f>
        <v/>
      </c>
      <c r="BF637">
        <f>IFERROR(MATCH(BA637,Setup!$L$6:$L$9,0),5)</f>
        <v/>
      </c>
      <c r="BG637">
        <f>IF(OR(AZ637="Done",AZ637="Cancelled"),1,0)</f>
        <v/>
      </c>
      <c r="BH637">
        <f>IF(AND(AU637&lt;&gt;"",ISNUMBER(AW637)),1,0)</f>
        <v/>
      </c>
      <c r="BI637">
        <f>IF(BH637=0,0,IF(AND(AW637&gt;='Tasks Filter'!$F$3,AW637&lt;='Tasks Filter'!$F$4,OR('Tasks Filter'!$I$3="",ISNUMBER(SEARCH('Tasks Filter'!$I$3,AU637))),OR('Tasks Filter'!$I$4="",BF637=IFERROR(MATCH('Tasks Filter'!$I$4,Setup!$L$6:$L$9,0),0)),OR('Tasks Filter'!$I$5="Both",AND('Tasks Filter'!$I$5="Yes",BB637="✓"),AND('Tasks Filter'!$I$5="No",BB637&lt;&gt;"✓")),OR('Tasks Filter'!$L$3="",AV637='Tasks Filter'!$L$3),OR('Tasks Filter'!$L$4="",AZ637='Tasks Filter'!$L$4),OR('Tasks Filter'!$L$5="",BC637='Tasks Filter'!$L$5),OR('Tasks Filter'!$O$3="",BD637='Tasks Filter'!$O$3),OR('Tasks Filter'!$O$4="Yes",BG637=0)),1,0))</f>
        <v/>
      </c>
      <c r="BJ637">
        <f>IF(BH637=0,"",IF('Tasks Filter'!$F$6="Descending",-1,1)*CHOOSE(MATCH('Tasks Filter'!$F$5,Lists!$G$2:$G$6,0),AW637,BF637,IFERROR(MATCH(AV637,Setup!$F$6:$F$15,0),99),IFERROR(MATCH(BC637,Setup!$H$6:$H$15,0),99),IFERROR(MATCH(AZ637,Setup!$J$6:$J$11,0),99))*1E+9+(AW637-40000)*10000+636)</f>
        <v/>
      </c>
      <c r="BK637">
        <f>IF(BI637=1,BJ637,"")</f>
        <v/>
      </c>
      <c r="BL637">
        <f>IF(AND(BH637=1,BG637=0,N(AW637)&lt;Setup!$D$7),(AW637-40000)*10000+636,"")</f>
        <v/>
      </c>
      <c r="BM637">
        <f>IF(AND(BH637=1,AZ637&lt;&gt;"Cancelled",N(AW637)&gt;=Dashboard!$AB$3,N(AW637)&lt;=Dashboard!$AB$3+6),(AW637-40000)*100000+BF637*10000+636,"")</f>
        <v/>
      </c>
      <c r="BN637">
        <f>IF(AND(BH637=1,AZ637&lt;&gt;"Cancelled"),BF637*10000+636,"")</f>
        <v/>
      </c>
    </row>
    <row r="638">
      <c r="AS638" t="inlineStr">
        <is>
          <t>R</t>
        </is>
      </c>
      <c r="AT638" t="n">
        <v>642</v>
      </c>
      <c r="AU638">
        <f>'Recurring Log'!C642&amp;""</f>
        <v/>
      </c>
      <c r="AV638">
        <f>'Recurring Log'!D642&amp;""</f>
        <v/>
      </c>
      <c r="AW638">
        <f>IF('Recurring Log'!E642="","",'Recurring Log'!E642)</f>
        <v/>
      </c>
      <c r="AX638">
        <f>IF('Recurring Log'!G642="","",'Recurring Log'!G642)</f>
        <v/>
      </c>
      <c r="AY638">
        <f>IF('Recurring Log'!H642="","",'Recurring Log'!H642)</f>
        <v/>
      </c>
      <c r="AZ638">
        <f>IF(AU638="","",IF('Recurring Log'!J642="","Not Started",'Recurring Log'!J642))</f>
        <v/>
      </c>
      <c r="BA638">
        <f>'Recurring Log'!L642&amp;""</f>
        <v/>
      </c>
      <c r="BB638">
        <f>'Recurring Log'!M642&amp;""</f>
        <v/>
      </c>
      <c r="BC638">
        <f>'Recurring Log'!N642&amp;""</f>
        <v/>
      </c>
      <c r="BD638">
        <f>'Recurring Log'!O642&amp;""</f>
        <v/>
      </c>
      <c r="BE638">
        <f>IF('Recurring Log'!K642="","",'Recurring Log'!K642)</f>
        <v/>
      </c>
      <c r="BF638">
        <f>IFERROR(MATCH(BA638,Setup!$L$6:$L$9,0),5)</f>
        <v/>
      </c>
      <c r="BG638">
        <f>IF(OR(AZ638="Done",AZ638="Cancelled"),1,0)</f>
        <v/>
      </c>
      <c r="BH638">
        <f>IF(AND(AU638&lt;&gt;"",ISNUMBER(AW638)),1,0)</f>
        <v/>
      </c>
      <c r="BI638">
        <f>IF(BH638=0,0,IF(AND(AW638&gt;='Tasks Filter'!$F$3,AW638&lt;='Tasks Filter'!$F$4,OR('Tasks Filter'!$I$3="",ISNUMBER(SEARCH('Tasks Filter'!$I$3,AU638))),OR('Tasks Filter'!$I$4="",BF638=IFERROR(MATCH('Tasks Filter'!$I$4,Setup!$L$6:$L$9,0),0)),OR('Tasks Filter'!$I$5="Both",AND('Tasks Filter'!$I$5="Yes",BB638="✓"),AND('Tasks Filter'!$I$5="No",BB638&lt;&gt;"✓")),OR('Tasks Filter'!$L$3="",AV638='Tasks Filter'!$L$3),OR('Tasks Filter'!$L$4="",AZ638='Tasks Filter'!$L$4),OR('Tasks Filter'!$L$5="",BC638='Tasks Filter'!$L$5),OR('Tasks Filter'!$O$3="",BD638='Tasks Filter'!$O$3),OR('Tasks Filter'!$O$4="Yes",BG638=0)),1,0))</f>
        <v/>
      </c>
      <c r="BJ638">
        <f>IF(BH638=0,"",IF('Tasks Filter'!$F$6="Descending",-1,1)*CHOOSE(MATCH('Tasks Filter'!$F$5,Lists!$G$2:$G$6,0),AW638,BF638,IFERROR(MATCH(AV638,Setup!$F$6:$F$15,0),99),IFERROR(MATCH(BC638,Setup!$H$6:$H$15,0),99),IFERROR(MATCH(AZ638,Setup!$J$6:$J$11,0),99))*1E+9+(AW638-40000)*10000+637)</f>
        <v/>
      </c>
      <c r="BK638">
        <f>IF(BI638=1,BJ638,"")</f>
        <v/>
      </c>
      <c r="BL638">
        <f>IF(AND(BH638=1,BG638=0,N(AW638)&lt;Setup!$D$7),(AW638-40000)*10000+637,"")</f>
        <v/>
      </c>
      <c r="BM638">
        <f>IF(AND(BH638=1,AZ638&lt;&gt;"Cancelled",N(AW638)&gt;=Dashboard!$AB$3,N(AW638)&lt;=Dashboard!$AB$3+6),(AW638-40000)*100000+BF638*10000+637,"")</f>
        <v/>
      </c>
      <c r="BN638">
        <f>IF(AND(BH638=1,AZ638&lt;&gt;"Cancelled"),BF638*10000+637,"")</f>
        <v/>
      </c>
    </row>
    <row r="639">
      <c r="AS639" t="inlineStr">
        <is>
          <t>R</t>
        </is>
      </c>
      <c r="AT639" t="n">
        <v>643</v>
      </c>
      <c r="AU639">
        <f>'Recurring Log'!C643&amp;""</f>
        <v/>
      </c>
      <c r="AV639">
        <f>'Recurring Log'!D643&amp;""</f>
        <v/>
      </c>
      <c r="AW639">
        <f>IF('Recurring Log'!E643="","",'Recurring Log'!E643)</f>
        <v/>
      </c>
      <c r="AX639">
        <f>IF('Recurring Log'!G643="","",'Recurring Log'!G643)</f>
        <v/>
      </c>
      <c r="AY639">
        <f>IF('Recurring Log'!H643="","",'Recurring Log'!H643)</f>
        <v/>
      </c>
      <c r="AZ639">
        <f>IF(AU639="","",IF('Recurring Log'!J643="","Not Started",'Recurring Log'!J643))</f>
        <v/>
      </c>
      <c r="BA639">
        <f>'Recurring Log'!L643&amp;""</f>
        <v/>
      </c>
      <c r="BB639">
        <f>'Recurring Log'!M643&amp;""</f>
        <v/>
      </c>
      <c r="BC639">
        <f>'Recurring Log'!N643&amp;""</f>
        <v/>
      </c>
      <c r="BD639">
        <f>'Recurring Log'!O643&amp;""</f>
        <v/>
      </c>
      <c r="BE639">
        <f>IF('Recurring Log'!K643="","",'Recurring Log'!K643)</f>
        <v/>
      </c>
      <c r="BF639">
        <f>IFERROR(MATCH(BA639,Setup!$L$6:$L$9,0),5)</f>
        <v/>
      </c>
      <c r="BG639">
        <f>IF(OR(AZ639="Done",AZ639="Cancelled"),1,0)</f>
        <v/>
      </c>
      <c r="BH639">
        <f>IF(AND(AU639&lt;&gt;"",ISNUMBER(AW639)),1,0)</f>
        <v/>
      </c>
      <c r="BI639">
        <f>IF(BH639=0,0,IF(AND(AW639&gt;='Tasks Filter'!$F$3,AW639&lt;='Tasks Filter'!$F$4,OR('Tasks Filter'!$I$3="",ISNUMBER(SEARCH('Tasks Filter'!$I$3,AU639))),OR('Tasks Filter'!$I$4="",BF639=IFERROR(MATCH('Tasks Filter'!$I$4,Setup!$L$6:$L$9,0),0)),OR('Tasks Filter'!$I$5="Both",AND('Tasks Filter'!$I$5="Yes",BB639="✓"),AND('Tasks Filter'!$I$5="No",BB639&lt;&gt;"✓")),OR('Tasks Filter'!$L$3="",AV639='Tasks Filter'!$L$3),OR('Tasks Filter'!$L$4="",AZ639='Tasks Filter'!$L$4),OR('Tasks Filter'!$L$5="",BC639='Tasks Filter'!$L$5),OR('Tasks Filter'!$O$3="",BD639='Tasks Filter'!$O$3),OR('Tasks Filter'!$O$4="Yes",BG639=0)),1,0))</f>
        <v/>
      </c>
      <c r="BJ639">
        <f>IF(BH639=0,"",IF('Tasks Filter'!$F$6="Descending",-1,1)*CHOOSE(MATCH('Tasks Filter'!$F$5,Lists!$G$2:$G$6,0),AW639,BF639,IFERROR(MATCH(AV639,Setup!$F$6:$F$15,0),99),IFERROR(MATCH(BC639,Setup!$H$6:$H$15,0),99),IFERROR(MATCH(AZ639,Setup!$J$6:$J$11,0),99))*1E+9+(AW639-40000)*10000+638)</f>
        <v/>
      </c>
      <c r="BK639">
        <f>IF(BI639=1,BJ639,"")</f>
        <v/>
      </c>
      <c r="BL639">
        <f>IF(AND(BH639=1,BG639=0,N(AW639)&lt;Setup!$D$7),(AW639-40000)*10000+638,"")</f>
        <v/>
      </c>
      <c r="BM639">
        <f>IF(AND(BH639=1,AZ639&lt;&gt;"Cancelled",N(AW639)&gt;=Dashboard!$AB$3,N(AW639)&lt;=Dashboard!$AB$3+6),(AW639-40000)*100000+BF639*10000+638,"")</f>
        <v/>
      </c>
      <c r="BN639">
        <f>IF(AND(BH639=1,AZ639&lt;&gt;"Cancelled"),BF639*10000+638,"")</f>
        <v/>
      </c>
    </row>
    <row r="640">
      <c r="AS640" t="inlineStr">
        <is>
          <t>R</t>
        </is>
      </c>
      <c r="AT640" t="n">
        <v>644</v>
      </c>
      <c r="AU640">
        <f>'Recurring Log'!C644&amp;""</f>
        <v/>
      </c>
      <c r="AV640">
        <f>'Recurring Log'!D644&amp;""</f>
        <v/>
      </c>
      <c r="AW640">
        <f>IF('Recurring Log'!E644="","",'Recurring Log'!E644)</f>
        <v/>
      </c>
      <c r="AX640">
        <f>IF('Recurring Log'!G644="","",'Recurring Log'!G644)</f>
        <v/>
      </c>
      <c r="AY640">
        <f>IF('Recurring Log'!H644="","",'Recurring Log'!H644)</f>
        <v/>
      </c>
      <c r="AZ640">
        <f>IF(AU640="","",IF('Recurring Log'!J644="","Not Started",'Recurring Log'!J644))</f>
        <v/>
      </c>
      <c r="BA640">
        <f>'Recurring Log'!L644&amp;""</f>
        <v/>
      </c>
      <c r="BB640">
        <f>'Recurring Log'!M644&amp;""</f>
        <v/>
      </c>
      <c r="BC640">
        <f>'Recurring Log'!N644&amp;""</f>
        <v/>
      </c>
      <c r="BD640">
        <f>'Recurring Log'!O644&amp;""</f>
        <v/>
      </c>
      <c r="BE640">
        <f>IF('Recurring Log'!K644="","",'Recurring Log'!K644)</f>
        <v/>
      </c>
      <c r="BF640">
        <f>IFERROR(MATCH(BA640,Setup!$L$6:$L$9,0),5)</f>
        <v/>
      </c>
      <c r="BG640">
        <f>IF(OR(AZ640="Done",AZ640="Cancelled"),1,0)</f>
        <v/>
      </c>
      <c r="BH640">
        <f>IF(AND(AU640&lt;&gt;"",ISNUMBER(AW640)),1,0)</f>
        <v/>
      </c>
      <c r="BI640">
        <f>IF(BH640=0,0,IF(AND(AW640&gt;='Tasks Filter'!$F$3,AW640&lt;='Tasks Filter'!$F$4,OR('Tasks Filter'!$I$3="",ISNUMBER(SEARCH('Tasks Filter'!$I$3,AU640))),OR('Tasks Filter'!$I$4="",BF640=IFERROR(MATCH('Tasks Filter'!$I$4,Setup!$L$6:$L$9,0),0)),OR('Tasks Filter'!$I$5="Both",AND('Tasks Filter'!$I$5="Yes",BB640="✓"),AND('Tasks Filter'!$I$5="No",BB640&lt;&gt;"✓")),OR('Tasks Filter'!$L$3="",AV640='Tasks Filter'!$L$3),OR('Tasks Filter'!$L$4="",AZ640='Tasks Filter'!$L$4),OR('Tasks Filter'!$L$5="",BC640='Tasks Filter'!$L$5),OR('Tasks Filter'!$O$3="",BD640='Tasks Filter'!$O$3),OR('Tasks Filter'!$O$4="Yes",BG640=0)),1,0))</f>
        <v/>
      </c>
      <c r="BJ640">
        <f>IF(BH640=0,"",IF('Tasks Filter'!$F$6="Descending",-1,1)*CHOOSE(MATCH('Tasks Filter'!$F$5,Lists!$G$2:$G$6,0),AW640,BF640,IFERROR(MATCH(AV640,Setup!$F$6:$F$15,0),99),IFERROR(MATCH(BC640,Setup!$H$6:$H$15,0),99),IFERROR(MATCH(AZ640,Setup!$J$6:$J$11,0),99))*1E+9+(AW640-40000)*10000+639)</f>
        <v/>
      </c>
      <c r="BK640">
        <f>IF(BI640=1,BJ640,"")</f>
        <v/>
      </c>
      <c r="BL640">
        <f>IF(AND(BH640=1,BG640=0,N(AW640)&lt;Setup!$D$7),(AW640-40000)*10000+639,"")</f>
        <v/>
      </c>
      <c r="BM640">
        <f>IF(AND(BH640=1,AZ640&lt;&gt;"Cancelled",N(AW640)&gt;=Dashboard!$AB$3,N(AW640)&lt;=Dashboard!$AB$3+6),(AW640-40000)*100000+BF640*10000+639,"")</f>
        <v/>
      </c>
      <c r="BN640">
        <f>IF(AND(BH640=1,AZ640&lt;&gt;"Cancelled"),BF640*10000+639,"")</f>
        <v/>
      </c>
    </row>
    <row r="641">
      <c r="AS641" t="inlineStr">
        <is>
          <t>R</t>
        </is>
      </c>
      <c r="AT641" t="n">
        <v>645</v>
      </c>
      <c r="AU641">
        <f>'Recurring Log'!C645&amp;""</f>
        <v/>
      </c>
      <c r="AV641">
        <f>'Recurring Log'!D645&amp;""</f>
        <v/>
      </c>
      <c r="AW641">
        <f>IF('Recurring Log'!E645="","",'Recurring Log'!E645)</f>
        <v/>
      </c>
      <c r="AX641">
        <f>IF('Recurring Log'!G645="","",'Recurring Log'!G645)</f>
        <v/>
      </c>
      <c r="AY641">
        <f>IF('Recurring Log'!H645="","",'Recurring Log'!H645)</f>
        <v/>
      </c>
      <c r="AZ641">
        <f>IF(AU641="","",IF('Recurring Log'!J645="","Not Started",'Recurring Log'!J645))</f>
        <v/>
      </c>
      <c r="BA641">
        <f>'Recurring Log'!L645&amp;""</f>
        <v/>
      </c>
      <c r="BB641">
        <f>'Recurring Log'!M645&amp;""</f>
        <v/>
      </c>
      <c r="BC641">
        <f>'Recurring Log'!N645&amp;""</f>
        <v/>
      </c>
      <c r="BD641">
        <f>'Recurring Log'!O645&amp;""</f>
        <v/>
      </c>
      <c r="BE641">
        <f>IF('Recurring Log'!K645="","",'Recurring Log'!K645)</f>
        <v/>
      </c>
      <c r="BF641">
        <f>IFERROR(MATCH(BA641,Setup!$L$6:$L$9,0),5)</f>
        <v/>
      </c>
      <c r="BG641">
        <f>IF(OR(AZ641="Done",AZ641="Cancelled"),1,0)</f>
        <v/>
      </c>
      <c r="BH641">
        <f>IF(AND(AU641&lt;&gt;"",ISNUMBER(AW641)),1,0)</f>
        <v/>
      </c>
      <c r="BI641">
        <f>IF(BH641=0,0,IF(AND(AW641&gt;='Tasks Filter'!$F$3,AW641&lt;='Tasks Filter'!$F$4,OR('Tasks Filter'!$I$3="",ISNUMBER(SEARCH('Tasks Filter'!$I$3,AU641))),OR('Tasks Filter'!$I$4="",BF641=IFERROR(MATCH('Tasks Filter'!$I$4,Setup!$L$6:$L$9,0),0)),OR('Tasks Filter'!$I$5="Both",AND('Tasks Filter'!$I$5="Yes",BB641="✓"),AND('Tasks Filter'!$I$5="No",BB641&lt;&gt;"✓")),OR('Tasks Filter'!$L$3="",AV641='Tasks Filter'!$L$3),OR('Tasks Filter'!$L$4="",AZ641='Tasks Filter'!$L$4),OR('Tasks Filter'!$L$5="",BC641='Tasks Filter'!$L$5),OR('Tasks Filter'!$O$3="",BD641='Tasks Filter'!$O$3),OR('Tasks Filter'!$O$4="Yes",BG641=0)),1,0))</f>
        <v/>
      </c>
      <c r="BJ641">
        <f>IF(BH641=0,"",IF('Tasks Filter'!$F$6="Descending",-1,1)*CHOOSE(MATCH('Tasks Filter'!$F$5,Lists!$G$2:$G$6,0),AW641,BF641,IFERROR(MATCH(AV641,Setup!$F$6:$F$15,0),99),IFERROR(MATCH(BC641,Setup!$H$6:$H$15,0),99),IFERROR(MATCH(AZ641,Setup!$J$6:$J$11,0),99))*1E+9+(AW641-40000)*10000+640)</f>
        <v/>
      </c>
      <c r="BK641">
        <f>IF(BI641=1,BJ641,"")</f>
        <v/>
      </c>
      <c r="BL641">
        <f>IF(AND(BH641=1,BG641=0,N(AW641)&lt;Setup!$D$7),(AW641-40000)*10000+640,"")</f>
        <v/>
      </c>
      <c r="BM641">
        <f>IF(AND(BH641=1,AZ641&lt;&gt;"Cancelled",N(AW641)&gt;=Dashboard!$AB$3,N(AW641)&lt;=Dashboard!$AB$3+6),(AW641-40000)*100000+BF641*10000+640,"")</f>
        <v/>
      </c>
      <c r="BN641">
        <f>IF(AND(BH641=1,AZ641&lt;&gt;"Cancelled"),BF641*10000+640,"")</f>
        <v/>
      </c>
    </row>
    <row r="642">
      <c r="AS642" t="inlineStr">
        <is>
          <t>R</t>
        </is>
      </c>
      <c r="AT642" t="n">
        <v>646</v>
      </c>
      <c r="AU642">
        <f>'Recurring Log'!C646&amp;""</f>
        <v/>
      </c>
      <c r="AV642">
        <f>'Recurring Log'!D646&amp;""</f>
        <v/>
      </c>
      <c r="AW642">
        <f>IF('Recurring Log'!E646="","",'Recurring Log'!E646)</f>
        <v/>
      </c>
      <c r="AX642">
        <f>IF('Recurring Log'!G646="","",'Recurring Log'!G646)</f>
        <v/>
      </c>
      <c r="AY642">
        <f>IF('Recurring Log'!H646="","",'Recurring Log'!H646)</f>
        <v/>
      </c>
      <c r="AZ642">
        <f>IF(AU642="","",IF('Recurring Log'!J646="","Not Started",'Recurring Log'!J646))</f>
        <v/>
      </c>
      <c r="BA642">
        <f>'Recurring Log'!L646&amp;""</f>
        <v/>
      </c>
      <c r="BB642">
        <f>'Recurring Log'!M646&amp;""</f>
        <v/>
      </c>
      <c r="BC642">
        <f>'Recurring Log'!N646&amp;""</f>
        <v/>
      </c>
      <c r="BD642">
        <f>'Recurring Log'!O646&amp;""</f>
        <v/>
      </c>
      <c r="BE642">
        <f>IF('Recurring Log'!K646="","",'Recurring Log'!K646)</f>
        <v/>
      </c>
      <c r="BF642">
        <f>IFERROR(MATCH(BA642,Setup!$L$6:$L$9,0),5)</f>
        <v/>
      </c>
      <c r="BG642">
        <f>IF(OR(AZ642="Done",AZ642="Cancelled"),1,0)</f>
        <v/>
      </c>
      <c r="BH642">
        <f>IF(AND(AU642&lt;&gt;"",ISNUMBER(AW642)),1,0)</f>
        <v/>
      </c>
      <c r="BI642">
        <f>IF(BH642=0,0,IF(AND(AW642&gt;='Tasks Filter'!$F$3,AW642&lt;='Tasks Filter'!$F$4,OR('Tasks Filter'!$I$3="",ISNUMBER(SEARCH('Tasks Filter'!$I$3,AU642))),OR('Tasks Filter'!$I$4="",BF642=IFERROR(MATCH('Tasks Filter'!$I$4,Setup!$L$6:$L$9,0),0)),OR('Tasks Filter'!$I$5="Both",AND('Tasks Filter'!$I$5="Yes",BB642="✓"),AND('Tasks Filter'!$I$5="No",BB642&lt;&gt;"✓")),OR('Tasks Filter'!$L$3="",AV642='Tasks Filter'!$L$3),OR('Tasks Filter'!$L$4="",AZ642='Tasks Filter'!$L$4),OR('Tasks Filter'!$L$5="",BC642='Tasks Filter'!$L$5),OR('Tasks Filter'!$O$3="",BD642='Tasks Filter'!$O$3),OR('Tasks Filter'!$O$4="Yes",BG642=0)),1,0))</f>
        <v/>
      </c>
      <c r="BJ642">
        <f>IF(BH642=0,"",IF('Tasks Filter'!$F$6="Descending",-1,1)*CHOOSE(MATCH('Tasks Filter'!$F$5,Lists!$G$2:$G$6,0),AW642,BF642,IFERROR(MATCH(AV642,Setup!$F$6:$F$15,0),99),IFERROR(MATCH(BC642,Setup!$H$6:$H$15,0),99),IFERROR(MATCH(AZ642,Setup!$J$6:$J$11,0),99))*1E+9+(AW642-40000)*10000+641)</f>
        <v/>
      </c>
      <c r="BK642">
        <f>IF(BI642=1,BJ642,"")</f>
        <v/>
      </c>
      <c r="BL642">
        <f>IF(AND(BH642=1,BG642=0,N(AW642)&lt;Setup!$D$7),(AW642-40000)*10000+641,"")</f>
        <v/>
      </c>
      <c r="BM642">
        <f>IF(AND(BH642=1,AZ642&lt;&gt;"Cancelled",N(AW642)&gt;=Dashboard!$AB$3,N(AW642)&lt;=Dashboard!$AB$3+6),(AW642-40000)*100000+BF642*10000+641,"")</f>
        <v/>
      </c>
      <c r="BN642">
        <f>IF(AND(BH642=1,AZ642&lt;&gt;"Cancelled"),BF642*10000+641,"")</f>
        <v/>
      </c>
    </row>
    <row r="643">
      <c r="AS643" t="inlineStr">
        <is>
          <t>R</t>
        </is>
      </c>
      <c r="AT643" t="n">
        <v>647</v>
      </c>
      <c r="AU643">
        <f>'Recurring Log'!C647&amp;""</f>
        <v/>
      </c>
      <c r="AV643">
        <f>'Recurring Log'!D647&amp;""</f>
        <v/>
      </c>
      <c r="AW643">
        <f>IF('Recurring Log'!E647="","",'Recurring Log'!E647)</f>
        <v/>
      </c>
      <c r="AX643">
        <f>IF('Recurring Log'!G647="","",'Recurring Log'!G647)</f>
        <v/>
      </c>
      <c r="AY643">
        <f>IF('Recurring Log'!H647="","",'Recurring Log'!H647)</f>
        <v/>
      </c>
      <c r="AZ643">
        <f>IF(AU643="","",IF('Recurring Log'!J647="","Not Started",'Recurring Log'!J647))</f>
        <v/>
      </c>
      <c r="BA643">
        <f>'Recurring Log'!L647&amp;""</f>
        <v/>
      </c>
      <c r="BB643">
        <f>'Recurring Log'!M647&amp;""</f>
        <v/>
      </c>
      <c r="BC643">
        <f>'Recurring Log'!N647&amp;""</f>
        <v/>
      </c>
      <c r="BD643">
        <f>'Recurring Log'!O647&amp;""</f>
        <v/>
      </c>
      <c r="BE643">
        <f>IF('Recurring Log'!K647="","",'Recurring Log'!K647)</f>
        <v/>
      </c>
      <c r="BF643">
        <f>IFERROR(MATCH(BA643,Setup!$L$6:$L$9,0),5)</f>
        <v/>
      </c>
      <c r="BG643">
        <f>IF(OR(AZ643="Done",AZ643="Cancelled"),1,0)</f>
        <v/>
      </c>
      <c r="BH643">
        <f>IF(AND(AU643&lt;&gt;"",ISNUMBER(AW643)),1,0)</f>
        <v/>
      </c>
      <c r="BI643">
        <f>IF(BH643=0,0,IF(AND(AW643&gt;='Tasks Filter'!$F$3,AW643&lt;='Tasks Filter'!$F$4,OR('Tasks Filter'!$I$3="",ISNUMBER(SEARCH('Tasks Filter'!$I$3,AU643))),OR('Tasks Filter'!$I$4="",BF643=IFERROR(MATCH('Tasks Filter'!$I$4,Setup!$L$6:$L$9,0),0)),OR('Tasks Filter'!$I$5="Both",AND('Tasks Filter'!$I$5="Yes",BB643="✓"),AND('Tasks Filter'!$I$5="No",BB643&lt;&gt;"✓")),OR('Tasks Filter'!$L$3="",AV643='Tasks Filter'!$L$3),OR('Tasks Filter'!$L$4="",AZ643='Tasks Filter'!$L$4),OR('Tasks Filter'!$L$5="",BC643='Tasks Filter'!$L$5),OR('Tasks Filter'!$O$3="",BD643='Tasks Filter'!$O$3),OR('Tasks Filter'!$O$4="Yes",BG643=0)),1,0))</f>
        <v/>
      </c>
      <c r="BJ643">
        <f>IF(BH643=0,"",IF('Tasks Filter'!$F$6="Descending",-1,1)*CHOOSE(MATCH('Tasks Filter'!$F$5,Lists!$G$2:$G$6,0),AW643,BF643,IFERROR(MATCH(AV643,Setup!$F$6:$F$15,0),99),IFERROR(MATCH(BC643,Setup!$H$6:$H$15,0),99),IFERROR(MATCH(AZ643,Setup!$J$6:$J$11,0),99))*1E+9+(AW643-40000)*10000+642)</f>
        <v/>
      </c>
      <c r="BK643">
        <f>IF(BI643=1,BJ643,"")</f>
        <v/>
      </c>
      <c r="BL643">
        <f>IF(AND(BH643=1,BG643=0,N(AW643)&lt;Setup!$D$7),(AW643-40000)*10000+642,"")</f>
        <v/>
      </c>
      <c r="BM643">
        <f>IF(AND(BH643=1,AZ643&lt;&gt;"Cancelled",N(AW643)&gt;=Dashboard!$AB$3,N(AW643)&lt;=Dashboard!$AB$3+6),(AW643-40000)*100000+BF643*10000+642,"")</f>
        <v/>
      </c>
      <c r="BN643">
        <f>IF(AND(BH643=1,AZ643&lt;&gt;"Cancelled"),BF643*10000+642,"")</f>
        <v/>
      </c>
    </row>
    <row r="644">
      <c r="AS644" t="inlineStr">
        <is>
          <t>R</t>
        </is>
      </c>
      <c r="AT644" t="n">
        <v>648</v>
      </c>
      <c r="AU644">
        <f>'Recurring Log'!C648&amp;""</f>
        <v/>
      </c>
      <c r="AV644">
        <f>'Recurring Log'!D648&amp;""</f>
        <v/>
      </c>
      <c r="AW644">
        <f>IF('Recurring Log'!E648="","",'Recurring Log'!E648)</f>
        <v/>
      </c>
      <c r="AX644">
        <f>IF('Recurring Log'!G648="","",'Recurring Log'!G648)</f>
        <v/>
      </c>
      <c r="AY644">
        <f>IF('Recurring Log'!H648="","",'Recurring Log'!H648)</f>
        <v/>
      </c>
      <c r="AZ644">
        <f>IF(AU644="","",IF('Recurring Log'!J648="","Not Started",'Recurring Log'!J648))</f>
        <v/>
      </c>
      <c r="BA644">
        <f>'Recurring Log'!L648&amp;""</f>
        <v/>
      </c>
      <c r="BB644">
        <f>'Recurring Log'!M648&amp;""</f>
        <v/>
      </c>
      <c r="BC644">
        <f>'Recurring Log'!N648&amp;""</f>
        <v/>
      </c>
      <c r="BD644">
        <f>'Recurring Log'!O648&amp;""</f>
        <v/>
      </c>
      <c r="BE644">
        <f>IF('Recurring Log'!K648="","",'Recurring Log'!K648)</f>
        <v/>
      </c>
      <c r="BF644">
        <f>IFERROR(MATCH(BA644,Setup!$L$6:$L$9,0),5)</f>
        <v/>
      </c>
      <c r="BG644">
        <f>IF(OR(AZ644="Done",AZ644="Cancelled"),1,0)</f>
        <v/>
      </c>
      <c r="BH644">
        <f>IF(AND(AU644&lt;&gt;"",ISNUMBER(AW644)),1,0)</f>
        <v/>
      </c>
      <c r="BI644">
        <f>IF(BH644=0,0,IF(AND(AW644&gt;='Tasks Filter'!$F$3,AW644&lt;='Tasks Filter'!$F$4,OR('Tasks Filter'!$I$3="",ISNUMBER(SEARCH('Tasks Filter'!$I$3,AU644))),OR('Tasks Filter'!$I$4="",BF644=IFERROR(MATCH('Tasks Filter'!$I$4,Setup!$L$6:$L$9,0),0)),OR('Tasks Filter'!$I$5="Both",AND('Tasks Filter'!$I$5="Yes",BB644="✓"),AND('Tasks Filter'!$I$5="No",BB644&lt;&gt;"✓")),OR('Tasks Filter'!$L$3="",AV644='Tasks Filter'!$L$3),OR('Tasks Filter'!$L$4="",AZ644='Tasks Filter'!$L$4),OR('Tasks Filter'!$L$5="",BC644='Tasks Filter'!$L$5),OR('Tasks Filter'!$O$3="",BD644='Tasks Filter'!$O$3),OR('Tasks Filter'!$O$4="Yes",BG644=0)),1,0))</f>
        <v/>
      </c>
      <c r="BJ644">
        <f>IF(BH644=0,"",IF('Tasks Filter'!$F$6="Descending",-1,1)*CHOOSE(MATCH('Tasks Filter'!$F$5,Lists!$G$2:$G$6,0),AW644,BF644,IFERROR(MATCH(AV644,Setup!$F$6:$F$15,0),99),IFERROR(MATCH(BC644,Setup!$H$6:$H$15,0),99),IFERROR(MATCH(AZ644,Setup!$J$6:$J$11,0),99))*1E+9+(AW644-40000)*10000+643)</f>
        <v/>
      </c>
      <c r="BK644">
        <f>IF(BI644=1,BJ644,"")</f>
        <v/>
      </c>
      <c r="BL644">
        <f>IF(AND(BH644=1,BG644=0,N(AW644)&lt;Setup!$D$7),(AW644-40000)*10000+643,"")</f>
        <v/>
      </c>
      <c r="BM644">
        <f>IF(AND(BH644=1,AZ644&lt;&gt;"Cancelled",N(AW644)&gt;=Dashboard!$AB$3,N(AW644)&lt;=Dashboard!$AB$3+6),(AW644-40000)*100000+BF644*10000+643,"")</f>
        <v/>
      </c>
      <c r="BN644">
        <f>IF(AND(BH644=1,AZ644&lt;&gt;"Cancelled"),BF644*10000+643,"")</f>
        <v/>
      </c>
    </row>
    <row r="645">
      <c r="AS645" t="inlineStr">
        <is>
          <t>R</t>
        </is>
      </c>
      <c r="AT645" t="n">
        <v>649</v>
      </c>
      <c r="AU645">
        <f>'Recurring Log'!C649&amp;""</f>
        <v/>
      </c>
      <c r="AV645">
        <f>'Recurring Log'!D649&amp;""</f>
        <v/>
      </c>
      <c r="AW645">
        <f>IF('Recurring Log'!E649="","",'Recurring Log'!E649)</f>
        <v/>
      </c>
      <c r="AX645">
        <f>IF('Recurring Log'!G649="","",'Recurring Log'!G649)</f>
        <v/>
      </c>
      <c r="AY645">
        <f>IF('Recurring Log'!H649="","",'Recurring Log'!H649)</f>
        <v/>
      </c>
      <c r="AZ645">
        <f>IF(AU645="","",IF('Recurring Log'!J649="","Not Started",'Recurring Log'!J649))</f>
        <v/>
      </c>
      <c r="BA645">
        <f>'Recurring Log'!L649&amp;""</f>
        <v/>
      </c>
      <c r="BB645">
        <f>'Recurring Log'!M649&amp;""</f>
        <v/>
      </c>
      <c r="BC645">
        <f>'Recurring Log'!N649&amp;""</f>
        <v/>
      </c>
      <c r="BD645">
        <f>'Recurring Log'!O649&amp;""</f>
        <v/>
      </c>
      <c r="BE645">
        <f>IF('Recurring Log'!K649="","",'Recurring Log'!K649)</f>
        <v/>
      </c>
      <c r="BF645">
        <f>IFERROR(MATCH(BA645,Setup!$L$6:$L$9,0),5)</f>
        <v/>
      </c>
      <c r="BG645">
        <f>IF(OR(AZ645="Done",AZ645="Cancelled"),1,0)</f>
        <v/>
      </c>
      <c r="BH645">
        <f>IF(AND(AU645&lt;&gt;"",ISNUMBER(AW645)),1,0)</f>
        <v/>
      </c>
      <c r="BI645">
        <f>IF(BH645=0,0,IF(AND(AW645&gt;='Tasks Filter'!$F$3,AW645&lt;='Tasks Filter'!$F$4,OR('Tasks Filter'!$I$3="",ISNUMBER(SEARCH('Tasks Filter'!$I$3,AU645))),OR('Tasks Filter'!$I$4="",BF645=IFERROR(MATCH('Tasks Filter'!$I$4,Setup!$L$6:$L$9,0),0)),OR('Tasks Filter'!$I$5="Both",AND('Tasks Filter'!$I$5="Yes",BB645="✓"),AND('Tasks Filter'!$I$5="No",BB645&lt;&gt;"✓")),OR('Tasks Filter'!$L$3="",AV645='Tasks Filter'!$L$3),OR('Tasks Filter'!$L$4="",AZ645='Tasks Filter'!$L$4),OR('Tasks Filter'!$L$5="",BC645='Tasks Filter'!$L$5),OR('Tasks Filter'!$O$3="",BD645='Tasks Filter'!$O$3),OR('Tasks Filter'!$O$4="Yes",BG645=0)),1,0))</f>
        <v/>
      </c>
      <c r="BJ645">
        <f>IF(BH645=0,"",IF('Tasks Filter'!$F$6="Descending",-1,1)*CHOOSE(MATCH('Tasks Filter'!$F$5,Lists!$G$2:$G$6,0),AW645,BF645,IFERROR(MATCH(AV645,Setup!$F$6:$F$15,0),99),IFERROR(MATCH(BC645,Setup!$H$6:$H$15,0),99),IFERROR(MATCH(AZ645,Setup!$J$6:$J$11,0),99))*1E+9+(AW645-40000)*10000+644)</f>
        <v/>
      </c>
      <c r="BK645">
        <f>IF(BI645=1,BJ645,"")</f>
        <v/>
      </c>
      <c r="BL645">
        <f>IF(AND(BH645=1,BG645=0,N(AW645)&lt;Setup!$D$7),(AW645-40000)*10000+644,"")</f>
        <v/>
      </c>
      <c r="BM645">
        <f>IF(AND(BH645=1,AZ645&lt;&gt;"Cancelled",N(AW645)&gt;=Dashboard!$AB$3,N(AW645)&lt;=Dashboard!$AB$3+6),(AW645-40000)*100000+BF645*10000+644,"")</f>
        <v/>
      </c>
      <c r="BN645">
        <f>IF(AND(BH645=1,AZ645&lt;&gt;"Cancelled"),BF645*10000+644,"")</f>
        <v/>
      </c>
    </row>
    <row r="646">
      <c r="AS646" t="inlineStr">
        <is>
          <t>R</t>
        </is>
      </c>
      <c r="AT646" t="n">
        <v>650</v>
      </c>
      <c r="AU646">
        <f>'Recurring Log'!C650&amp;""</f>
        <v/>
      </c>
      <c r="AV646">
        <f>'Recurring Log'!D650&amp;""</f>
        <v/>
      </c>
      <c r="AW646">
        <f>IF('Recurring Log'!E650="","",'Recurring Log'!E650)</f>
        <v/>
      </c>
      <c r="AX646">
        <f>IF('Recurring Log'!G650="","",'Recurring Log'!G650)</f>
        <v/>
      </c>
      <c r="AY646">
        <f>IF('Recurring Log'!H650="","",'Recurring Log'!H650)</f>
        <v/>
      </c>
      <c r="AZ646">
        <f>IF(AU646="","",IF('Recurring Log'!J650="","Not Started",'Recurring Log'!J650))</f>
        <v/>
      </c>
      <c r="BA646">
        <f>'Recurring Log'!L650&amp;""</f>
        <v/>
      </c>
      <c r="BB646">
        <f>'Recurring Log'!M650&amp;""</f>
        <v/>
      </c>
      <c r="BC646">
        <f>'Recurring Log'!N650&amp;""</f>
        <v/>
      </c>
      <c r="BD646">
        <f>'Recurring Log'!O650&amp;""</f>
        <v/>
      </c>
      <c r="BE646">
        <f>IF('Recurring Log'!K650="","",'Recurring Log'!K650)</f>
        <v/>
      </c>
      <c r="BF646">
        <f>IFERROR(MATCH(BA646,Setup!$L$6:$L$9,0),5)</f>
        <v/>
      </c>
      <c r="BG646">
        <f>IF(OR(AZ646="Done",AZ646="Cancelled"),1,0)</f>
        <v/>
      </c>
      <c r="BH646">
        <f>IF(AND(AU646&lt;&gt;"",ISNUMBER(AW646)),1,0)</f>
        <v/>
      </c>
      <c r="BI646">
        <f>IF(BH646=0,0,IF(AND(AW646&gt;='Tasks Filter'!$F$3,AW646&lt;='Tasks Filter'!$F$4,OR('Tasks Filter'!$I$3="",ISNUMBER(SEARCH('Tasks Filter'!$I$3,AU646))),OR('Tasks Filter'!$I$4="",BF646=IFERROR(MATCH('Tasks Filter'!$I$4,Setup!$L$6:$L$9,0),0)),OR('Tasks Filter'!$I$5="Both",AND('Tasks Filter'!$I$5="Yes",BB646="✓"),AND('Tasks Filter'!$I$5="No",BB646&lt;&gt;"✓")),OR('Tasks Filter'!$L$3="",AV646='Tasks Filter'!$L$3),OR('Tasks Filter'!$L$4="",AZ646='Tasks Filter'!$L$4),OR('Tasks Filter'!$L$5="",BC646='Tasks Filter'!$L$5),OR('Tasks Filter'!$O$3="",BD646='Tasks Filter'!$O$3),OR('Tasks Filter'!$O$4="Yes",BG646=0)),1,0))</f>
        <v/>
      </c>
      <c r="BJ646">
        <f>IF(BH646=0,"",IF('Tasks Filter'!$F$6="Descending",-1,1)*CHOOSE(MATCH('Tasks Filter'!$F$5,Lists!$G$2:$G$6,0),AW646,BF646,IFERROR(MATCH(AV646,Setup!$F$6:$F$15,0),99),IFERROR(MATCH(BC646,Setup!$H$6:$H$15,0),99),IFERROR(MATCH(AZ646,Setup!$J$6:$J$11,0),99))*1E+9+(AW646-40000)*10000+645)</f>
        <v/>
      </c>
      <c r="BK646">
        <f>IF(BI646=1,BJ646,"")</f>
        <v/>
      </c>
      <c r="BL646">
        <f>IF(AND(BH646=1,BG646=0,N(AW646)&lt;Setup!$D$7),(AW646-40000)*10000+645,"")</f>
        <v/>
      </c>
      <c r="BM646">
        <f>IF(AND(BH646=1,AZ646&lt;&gt;"Cancelled",N(AW646)&gt;=Dashboard!$AB$3,N(AW646)&lt;=Dashboard!$AB$3+6),(AW646-40000)*100000+BF646*10000+645,"")</f>
        <v/>
      </c>
      <c r="BN646">
        <f>IF(AND(BH646=1,AZ646&lt;&gt;"Cancelled"),BF646*10000+645,"")</f>
        <v/>
      </c>
    </row>
    <row r="647">
      <c r="AS647" t="inlineStr">
        <is>
          <t>R</t>
        </is>
      </c>
      <c r="AT647" t="n">
        <v>651</v>
      </c>
      <c r="AU647">
        <f>'Recurring Log'!C651&amp;""</f>
        <v/>
      </c>
      <c r="AV647">
        <f>'Recurring Log'!D651&amp;""</f>
        <v/>
      </c>
      <c r="AW647">
        <f>IF('Recurring Log'!E651="","",'Recurring Log'!E651)</f>
        <v/>
      </c>
      <c r="AX647">
        <f>IF('Recurring Log'!G651="","",'Recurring Log'!G651)</f>
        <v/>
      </c>
      <c r="AY647">
        <f>IF('Recurring Log'!H651="","",'Recurring Log'!H651)</f>
        <v/>
      </c>
      <c r="AZ647">
        <f>IF(AU647="","",IF('Recurring Log'!J651="","Not Started",'Recurring Log'!J651))</f>
        <v/>
      </c>
      <c r="BA647">
        <f>'Recurring Log'!L651&amp;""</f>
        <v/>
      </c>
      <c r="BB647">
        <f>'Recurring Log'!M651&amp;""</f>
        <v/>
      </c>
      <c r="BC647">
        <f>'Recurring Log'!N651&amp;""</f>
        <v/>
      </c>
      <c r="BD647">
        <f>'Recurring Log'!O651&amp;""</f>
        <v/>
      </c>
      <c r="BE647">
        <f>IF('Recurring Log'!K651="","",'Recurring Log'!K651)</f>
        <v/>
      </c>
      <c r="BF647">
        <f>IFERROR(MATCH(BA647,Setup!$L$6:$L$9,0),5)</f>
        <v/>
      </c>
      <c r="BG647">
        <f>IF(OR(AZ647="Done",AZ647="Cancelled"),1,0)</f>
        <v/>
      </c>
      <c r="BH647">
        <f>IF(AND(AU647&lt;&gt;"",ISNUMBER(AW647)),1,0)</f>
        <v/>
      </c>
      <c r="BI647">
        <f>IF(BH647=0,0,IF(AND(AW647&gt;='Tasks Filter'!$F$3,AW647&lt;='Tasks Filter'!$F$4,OR('Tasks Filter'!$I$3="",ISNUMBER(SEARCH('Tasks Filter'!$I$3,AU647))),OR('Tasks Filter'!$I$4="",BF647=IFERROR(MATCH('Tasks Filter'!$I$4,Setup!$L$6:$L$9,0),0)),OR('Tasks Filter'!$I$5="Both",AND('Tasks Filter'!$I$5="Yes",BB647="✓"),AND('Tasks Filter'!$I$5="No",BB647&lt;&gt;"✓")),OR('Tasks Filter'!$L$3="",AV647='Tasks Filter'!$L$3),OR('Tasks Filter'!$L$4="",AZ647='Tasks Filter'!$L$4),OR('Tasks Filter'!$L$5="",BC647='Tasks Filter'!$L$5),OR('Tasks Filter'!$O$3="",BD647='Tasks Filter'!$O$3),OR('Tasks Filter'!$O$4="Yes",BG647=0)),1,0))</f>
        <v/>
      </c>
      <c r="BJ647">
        <f>IF(BH647=0,"",IF('Tasks Filter'!$F$6="Descending",-1,1)*CHOOSE(MATCH('Tasks Filter'!$F$5,Lists!$G$2:$G$6,0),AW647,BF647,IFERROR(MATCH(AV647,Setup!$F$6:$F$15,0),99),IFERROR(MATCH(BC647,Setup!$H$6:$H$15,0),99),IFERROR(MATCH(AZ647,Setup!$J$6:$J$11,0),99))*1E+9+(AW647-40000)*10000+646)</f>
        <v/>
      </c>
      <c r="BK647">
        <f>IF(BI647=1,BJ647,"")</f>
        <v/>
      </c>
      <c r="BL647">
        <f>IF(AND(BH647=1,BG647=0,N(AW647)&lt;Setup!$D$7),(AW647-40000)*10000+646,"")</f>
        <v/>
      </c>
      <c r="BM647">
        <f>IF(AND(BH647=1,AZ647&lt;&gt;"Cancelled",N(AW647)&gt;=Dashboard!$AB$3,N(AW647)&lt;=Dashboard!$AB$3+6),(AW647-40000)*100000+BF647*10000+646,"")</f>
        <v/>
      </c>
      <c r="BN647">
        <f>IF(AND(BH647=1,AZ647&lt;&gt;"Cancelled"),BF647*10000+646,"")</f>
        <v/>
      </c>
    </row>
    <row r="648">
      <c r="AS648" t="inlineStr">
        <is>
          <t>R</t>
        </is>
      </c>
      <c r="AT648" t="n">
        <v>652</v>
      </c>
      <c r="AU648">
        <f>'Recurring Log'!C652&amp;""</f>
        <v/>
      </c>
      <c r="AV648">
        <f>'Recurring Log'!D652&amp;""</f>
        <v/>
      </c>
      <c r="AW648">
        <f>IF('Recurring Log'!E652="","",'Recurring Log'!E652)</f>
        <v/>
      </c>
      <c r="AX648">
        <f>IF('Recurring Log'!G652="","",'Recurring Log'!G652)</f>
        <v/>
      </c>
      <c r="AY648">
        <f>IF('Recurring Log'!H652="","",'Recurring Log'!H652)</f>
        <v/>
      </c>
      <c r="AZ648">
        <f>IF(AU648="","",IF('Recurring Log'!J652="","Not Started",'Recurring Log'!J652))</f>
        <v/>
      </c>
      <c r="BA648">
        <f>'Recurring Log'!L652&amp;""</f>
        <v/>
      </c>
      <c r="BB648">
        <f>'Recurring Log'!M652&amp;""</f>
        <v/>
      </c>
      <c r="BC648">
        <f>'Recurring Log'!N652&amp;""</f>
        <v/>
      </c>
      <c r="BD648">
        <f>'Recurring Log'!O652&amp;""</f>
        <v/>
      </c>
      <c r="BE648">
        <f>IF('Recurring Log'!K652="","",'Recurring Log'!K652)</f>
        <v/>
      </c>
      <c r="BF648">
        <f>IFERROR(MATCH(BA648,Setup!$L$6:$L$9,0),5)</f>
        <v/>
      </c>
      <c r="BG648">
        <f>IF(OR(AZ648="Done",AZ648="Cancelled"),1,0)</f>
        <v/>
      </c>
      <c r="BH648">
        <f>IF(AND(AU648&lt;&gt;"",ISNUMBER(AW648)),1,0)</f>
        <v/>
      </c>
      <c r="BI648">
        <f>IF(BH648=0,0,IF(AND(AW648&gt;='Tasks Filter'!$F$3,AW648&lt;='Tasks Filter'!$F$4,OR('Tasks Filter'!$I$3="",ISNUMBER(SEARCH('Tasks Filter'!$I$3,AU648))),OR('Tasks Filter'!$I$4="",BF648=IFERROR(MATCH('Tasks Filter'!$I$4,Setup!$L$6:$L$9,0),0)),OR('Tasks Filter'!$I$5="Both",AND('Tasks Filter'!$I$5="Yes",BB648="✓"),AND('Tasks Filter'!$I$5="No",BB648&lt;&gt;"✓")),OR('Tasks Filter'!$L$3="",AV648='Tasks Filter'!$L$3),OR('Tasks Filter'!$L$4="",AZ648='Tasks Filter'!$L$4),OR('Tasks Filter'!$L$5="",BC648='Tasks Filter'!$L$5),OR('Tasks Filter'!$O$3="",BD648='Tasks Filter'!$O$3),OR('Tasks Filter'!$O$4="Yes",BG648=0)),1,0))</f>
        <v/>
      </c>
      <c r="BJ648">
        <f>IF(BH648=0,"",IF('Tasks Filter'!$F$6="Descending",-1,1)*CHOOSE(MATCH('Tasks Filter'!$F$5,Lists!$G$2:$G$6,0),AW648,BF648,IFERROR(MATCH(AV648,Setup!$F$6:$F$15,0),99),IFERROR(MATCH(BC648,Setup!$H$6:$H$15,0),99),IFERROR(MATCH(AZ648,Setup!$J$6:$J$11,0),99))*1E+9+(AW648-40000)*10000+647)</f>
        <v/>
      </c>
      <c r="BK648">
        <f>IF(BI648=1,BJ648,"")</f>
        <v/>
      </c>
      <c r="BL648">
        <f>IF(AND(BH648=1,BG648=0,N(AW648)&lt;Setup!$D$7),(AW648-40000)*10000+647,"")</f>
        <v/>
      </c>
      <c r="BM648">
        <f>IF(AND(BH648=1,AZ648&lt;&gt;"Cancelled",N(AW648)&gt;=Dashboard!$AB$3,N(AW648)&lt;=Dashboard!$AB$3+6),(AW648-40000)*100000+BF648*10000+647,"")</f>
        <v/>
      </c>
      <c r="BN648">
        <f>IF(AND(BH648=1,AZ648&lt;&gt;"Cancelled"),BF648*10000+647,"")</f>
        <v/>
      </c>
    </row>
    <row r="649">
      <c r="AS649" t="inlineStr">
        <is>
          <t>R</t>
        </is>
      </c>
      <c r="AT649" t="n">
        <v>653</v>
      </c>
      <c r="AU649">
        <f>'Recurring Log'!C653&amp;""</f>
        <v/>
      </c>
      <c r="AV649">
        <f>'Recurring Log'!D653&amp;""</f>
        <v/>
      </c>
      <c r="AW649">
        <f>IF('Recurring Log'!E653="","",'Recurring Log'!E653)</f>
        <v/>
      </c>
      <c r="AX649">
        <f>IF('Recurring Log'!G653="","",'Recurring Log'!G653)</f>
        <v/>
      </c>
      <c r="AY649">
        <f>IF('Recurring Log'!H653="","",'Recurring Log'!H653)</f>
        <v/>
      </c>
      <c r="AZ649">
        <f>IF(AU649="","",IF('Recurring Log'!J653="","Not Started",'Recurring Log'!J653))</f>
        <v/>
      </c>
      <c r="BA649">
        <f>'Recurring Log'!L653&amp;""</f>
        <v/>
      </c>
      <c r="BB649">
        <f>'Recurring Log'!M653&amp;""</f>
        <v/>
      </c>
      <c r="BC649">
        <f>'Recurring Log'!N653&amp;""</f>
        <v/>
      </c>
      <c r="BD649">
        <f>'Recurring Log'!O653&amp;""</f>
        <v/>
      </c>
      <c r="BE649">
        <f>IF('Recurring Log'!K653="","",'Recurring Log'!K653)</f>
        <v/>
      </c>
      <c r="BF649">
        <f>IFERROR(MATCH(BA649,Setup!$L$6:$L$9,0),5)</f>
        <v/>
      </c>
      <c r="BG649">
        <f>IF(OR(AZ649="Done",AZ649="Cancelled"),1,0)</f>
        <v/>
      </c>
      <c r="BH649">
        <f>IF(AND(AU649&lt;&gt;"",ISNUMBER(AW649)),1,0)</f>
        <v/>
      </c>
      <c r="BI649">
        <f>IF(BH649=0,0,IF(AND(AW649&gt;='Tasks Filter'!$F$3,AW649&lt;='Tasks Filter'!$F$4,OR('Tasks Filter'!$I$3="",ISNUMBER(SEARCH('Tasks Filter'!$I$3,AU649))),OR('Tasks Filter'!$I$4="",BF649=IFERROR(MATCH('Tasks Filter'!$I$4,Setup!$L$6:$L$9,0),0)),OR('Tasks Filter'!$I$5="Both",AND('Tasks Filter'!$I$5="Yes",BB649="✓"),AND('Tasks Filter'!$I$5="No",BB649&lt;&gt;"✓")),OR('Tasks Filter'!$L$3="",AV649='Tasks Filter'!$L$3),OR('Tasks Filter'!$L$4="",AZ649='Tasks Filter'!$L$4),OR('Tasks Filter'!$L$5="",BC649='Tasks Filter'!$L$5),OR('Tasks Filter'!$O$3="",BD649='Tasks Filter'!$O$3),OR('Tasks Filter'!$O$4="Yes",BG649=0)),1,0))</f>
        <v/>
      </c>
      <c r="BJ649">
        <f>IF(BH649=0,"",IF('Tasks Filter'!$F$6="Descending",-1,1)*CHOOSE(MATCH('Tasks Filter'!$F$5,Lists!$G$2:$G$6,0),AW649,BF649,IFERROR(MATCH(AV649,Setup!$F$6:$F$15,0),99),IFERROR(MATCH(BC649,Setup!$H$6:$H$15,0),99),IFERROR(MATCH(AZ649,Setup!$J$6:$J$11,0),99))*1E+9+(AW649-40000)*10000+648)</f>
        <v/>
      </c>
      <c r="BK649">
        <f>IF(BI649=1,BJ649,"")</f>
        <v/>
      </c>
      <c r="BL649">
        <f>IF(AND(BH649=1,BG649=0,N(AW649)&lt;Setup!$D$7),(AW649-40000)*10000+648,"")</f>
        <v/>
      </c>
      <c r="BM649">
        <f>IF(AND(BH649=1,AZ649&lt;&gt;"Cancelled",N(AW649)&gt;=Dashboard!$AB$3,N(AW649)&lt;=Dashboard!$AB$3+6),(AW649-40000)*100000+BF649*10000+648,"")</f>
        <v/>
      </c>
      <c r="BN649">
        <f>IF(AND(BH649=1,AZ649&lt;&gt;"Cancelled"),BF649*10000+648,"")</f>
        <v/>
      </c>
    </row>
    <row r="650">
      <c r="AS650" t="inlineStr">
        <is>
          <t>R</t>
        </is>
      </c>
      <c r="AT650" t="n">
        <v>654</v>
      </c>
      <c r="AU650">
        <f>'Recurring Log'!C654&amp;""</f>
        <v/>
      </c>
      <c r="AV650">
        <f>'Recurring Log'!D654&amp;""</f>
        <v/>
      </c>
      <c r="AW650">
        <f>IF('Recurring Log'!E654="","",'Recurring Log'!E654)</f>
        <v/>
      </c>
      <c r="AX650">
        <f>IF('Recurring Log'!G654="","",'Recurring Log'!G654)</f>
        <v/>
      </c>
      <c r="AY650">
        <f>IF('Recurring Log'!H654="","",'Recurring Log'!H654)</f>
        <v/>
      </c>
      <c r="AZ650">
        <f>IF(AU650="","",IF('Recurring Log'!J654="","Not Started",'Recurring Log'!J654))</f>
        <v/>
      </c>
      <c r="BA650">
        <f>'Recurring Log'!L654&amp;""</f>
        <v/>
      </c>
      <c r="BB650">
        <f>'Recurring Log'!M654&amp;""</f>
        <v/>
      </c>
      <c r="BC650">
        <f>'Recurring Log'!N654&amp;""</f>
        <v/>
      </c>
      <c r="BD650">
        <f>'Recurring Log'!O654&amp;""</f>
        <v/>
      </c>
      <c r="BE650">
        <f>IF('Recurring Log'!K654="","",'Recurring Log'!K654)</f>
        <v/>
      </c>
      <c r="BF650">
        <f>IFERROR(MATCH(BA650,Setup!$L$6:$L$9,0),5)</f>
        <v/>
      </c>
      <c r="BG650">
        <f>IF(OR(AZ650="Done",AZ650="Cancelled"),1,0)</f>
        <v/>
      </c>
      <c r="BH650">
        <f>IF(AND(AU650&lt;&gt;"",ISNUMBER(AW650)),1,0)</f>
        <v/>
      </c>
      <c r="BI650">
        <f>IF(BH650=0,0,IF(AND(AW650&gt;='Tasks Filter'!$F$3,AW650&lt;='Tasks Filter'!$F$4,OR('Tasks Filter'!$I$3="",ISNUMBER(SEARCH('Tasks Filter'!$I$3,AU650))),OR('Tasks Filter'!$I$4="",BF650=IFERROR(MATCH('Tasks Filter'!$I$4,Setup!$L$6:$L$9,0),0)),OR('Tasks Filter'!$I$5="Both",AND('Tasks Filter'!$I$5="Yes",BB650="✓"),AND('Tasks Filter'!$I$5="No",BB650&lt;&gt;"✓")),OR('Tasks Filter'!$L$3="",AV650='Tasks Filter'!$L$3),OR('Tasks Filter'!$L$4="",AZ650='Tasks Filter'!$L$4),OR('Tasks Filter'!$L$5="",BC650='Tasks Filter'!$L$5),OR('Tasks Filter'!$O$3="",BD650='Tasks Filter'!$O$3),OR('Tasks Filter'!$O$4="Yes",BG650=0)),1,0))</f>
        <v/>
      </c>
      <c r="BJ650">
        <f>IF(BH650=0,"",IF('Tasks Filter'!$F$6="Descending",-1,1)*CHOOSE(MATCH('Tasks Filter'!$F$5,Lists!$G$2:$G$6,0),AW650,BF650,IFERROR(MATCH(AV650,Setup!$F$6:$F$15,0),99),IFERROR(MATCH(BC650,Setup!$H$6:$H$15,0),99),IFERROR(MATCH(AZ650,Setup!$J$6:$J$11,0),99))*1E+9+(AW650-40000)*10000+649)</f>
        <v/>
      </c>
      <c r="BK650">
        <f>IF(BI650=1,BJ650,"")</f>
        <v/>
      </c>
      <c r="BL650">
        <f>IF(AND(BH650=1,BG650=0,N(AW650)&lt;Setup!$D$7),(AW650-40000)*10000+649,"")</f>
        <v/>
      </c>
      <c r="BM650">
        <f>IF(AND(BH650=1,AZ650&lt;&gt;"Cancelled",N(AW650)&gt;=Dashboard!$AB$3,N(AW650)&lt;=Dashboard!$AB$3+6),(AW650-40000)*100000+BF650*10000+649,"")</f>
        <v/>
      </c>
      <c r="BN650">
        <f>IF(AND(BH650=1,AZ650&lt;&gt;"Cancelled"),BF650*10000+649,"")</f>
        <v/>
      </c>
    </row>
    <row r="651">
      <c r="AS651" t="inlineStr">
        <is>
          <t>R</t>
        </is>
      </c>
      <c r="AT651" t="n">
        <v>655</v>
      </c>
      <c r="AU651">
        <f>'Recurring Log'!C655&amp;""</f>
        <v/>
      </c>
      <c r="AV651">
        <f>'Recurring Log'!D655&amp;""</f>
        <v/>
      </c>
      <c r="AW651">
        <f>IF('Recurring Log'!E655="","",'Recurring Log'!E655)</f>
        <v/>
      </c>
      <c r="AX651">
        <f>IF('Recurring Log'!G655="","",'Recurring Log'!G655)</f>
        <v/>
      </c>
      <c r="AY651">
        <f>IF('Recurring Log'!H655="","",'Recurring Log'!H655)</f>
        <v/>
      </c>
      <c r="AZ651">
        <f>IF(AU651="","",IF('Recurring Log'!J655="","Not Started",'Recurring Log'!J655))</f>
        <v/>
      </c>
      <c r="BA651">
        <f>'Recurring Log'!L655&amp;""</f>
        <v/>
      </c>
      <c r="BB651">
        <f>'Recurring Log'!M655&amp;""</f>
        <v/>
      </c>
      <c r="BC651">
        <f>'Recurring Log'!N655&amp;""</f>
        <v/>
      </c>
      <c r="BD651">
        <f>'Recurring Log'!O655&amp;""</f>
        <v/>
      </c>
      <c r="BE651">
        <f>IF('Recurring Log'!K655="","",'Recurring Log'!K655)</f>
        <v/>
      </c>
      <c r="BF651">
        <f>IFERROR(MATCH(BA651,Setup!$L$6:$L$9,0),5)</f>
        <v/>
      </c>
      <c r="BG651">
        <f>IF(OR(AZ651="Done",AZ651="Cancelled"),1,0)</f>
        <v/>
      </c>
      <c r="BH651">
        <f>IF(AND(AU651&lt;&gt;"",ISNUMBER(AW651)),1,0)</f>
        <v/>
      </c>
      <c r="BI651">
        <f>IF(BH651=0,0,IF(AND(AW651&gt;='Tasks Filter'!$F$3,AW651&lt;='Tasks Filter'!$F$4,OR('Tasks Filter'!$I$3="",ISNUMBER(SEARCH('Tasks Filter'!$I$3,AU651))),OR('Tasks Filter'!$I$4="",BF651=IFERROR(MATCH('Tasks Filter'!$I$4,Setup!$L$6:$L$9,0),0)),OR('Tasks Filter'!$I$5="Both",AND('Tasks Filter'!$I$5="Yes",BB651="✓"),AND('Tasks Filter'!$I$5="No",BB651&lt;&gt;"✓")),OR('Tasks Filter'!$L$3="",AV651='Tasks Filter'!$L$3),OR('Tasks Filter'!$L$4="",AZ651='Tasks Filter'!$L$4),OR('Tasks Filter'!$L$5="",BC651='Tasks Filter'!$L$5),OR('Tasks Filter'!$O$3="",BD651='Tasks Filter'!$O$3),OR('Tasks Filter'!$O$4="Yes",BG651=0)),1,0))</f>
        <v/>
      </c>
      <c r="BJ651">
        <f>IF(BH651=0,"",IF('Tasks Filter'!$F$6="Descending",-1,1)*CHOOSE(MATCH('Tasks Filter'!$F$5,Lists!$G$2:$G$6,0),AW651,BF651,IFERROR(MATCH(AV651,Setup!$F$6:$F$15,0),99),IFERROR(MATCH(BC651,Setup!$H$6:$H$15,0),99),IFERROR(MATCH(AZ651,Setup!$J$6:$J$11,0),99))*1E+9+(AW651-40000)*10000+650)</f>
        <v/>
      </c>
      <c r="BK651">
        <f>IF(BI651=1,BJ651,"")</f>
        <v/>
      </c>
      <c r="BL651">
        <f>IF(AND(BH651=1,BG651=0,N(AW651)&lt;Setup!$D$7),(AW651-40000)*10000+650,"")</f>
        <v/>
      </c>
      <c r="BM651">
        <f>IF(AND(BH651=1,AZ651&lt;&gt;"Cancelled",N(AW651)&gt;=Dashboard!$AB$3,N(AW651)&lt;=Dashboard!$AB$3+6),(AW651-40000)*100000+BF651*10000+650,"")</f>
        <v/>
      </c>
      <c r="BN651">
        <f>IF(AND(BH651=1,AZ651&lt;&gt;"Cancelled"),BF651*10000+650,"")</f>
        <v/>
      </c>
    </row>
    <row r="652">
      <c r="AS652" t="inlineStr">
        <is>
          <t>R</t>
        </is>
      </c>
      <c r="AT652" t="n">
        <v>656</v>
      </c>
      <c r="AU652">
        <f>'Recurring Log'!C656&amp;""</f>
        <v/>
      </c>
      <c r="AV652">
        <f>'Recurring Log'!D656&amp;""</f>
        <v/>
      </c>
      <c r="AW652">
        <f>IF('Recurring Log'!E656="","",'Recurring Log'!E656)</f>
        <v/>
      </c>
      <c r="AX652">
        <f>IF('Recurring Log'!G656="","",'Recurring Log'!G656)</f>
        <v/>
      </c>
      <c r="AY652">
        <f>IF('Recurring Log'!H656="","",'Recurring Log'!H656)</f>
        <v/>
      </c>
      <c r="AZ652">
        <f>IF(AU652="","",IF('Recurring Log'!J656="","Not Started",'Recurring Log'!J656))</f>
        <v/>
      </c>
      <c r="BA652">
        <f>'Recurring Log'!L656&amp;""</f>
        <v/>
      </c>
      <c r="BB652">
        <f>'Recurring Log'!M656&amp;""</f>
        <v/>
      </c>
      <c r="BC652">
        <f>'Recurring Log'!N656&amp;""</f>
        <v/>
      </c>
      <c r="BD652">
        <f>'Recurring Log'!O656&amp;""</f>
        <v/>
      </c>
      <c r="BE652">
        <f>IF('Recurring Log'!K656="","",'Recurring Log'!K656)</f>
        <v/>
      </c>
      <c r="BF652">
        <f>IFERROR(MATCH(BA652,Setup!$L$6:$L$9,0),5)</f>
        <v/>
      </c>
      <c r="BG652">
        <f>IF(OR(AZ652="Done",AZ652="Cancelled"),1,0)</f>
        <v/>
      </c>
      <c r="BH652">
        <f>IF(AND(AU652&lt;&gt;"",ISNUMBER(AW652)),1,0)</f>
        <v/>
      </c>
      <c r="BI652">
        <f>IF(BH652=0,0,IF(AND(AW652&gt;='Tasks Filter'!$F$3,AW652&lt;='Tasks Filter'!$F$4,OR('Tasks Filter'!$I$3="",ISNUMBER(SEARCH('Tasks Filter'!$I$3,AU652))),OR('Tasks Filter'!$I$4="",BF652=IFERROR(MATCH('Tasks Filter'!$I$4,Setup!$L$6:$L$9,0),0)),OR('Tasks Filter'!$I$5="Both",AND('Tasks Filter'!$I$5="Yes",BB652="✓"),AND('Tasks Filter'!$I$5="No",BB652&lt;&gt;"✓")),OR('Tasks Filter'!$L$3="",AV652='Tasks Filter'!$L$3),OR('Tasks Filter'!$L$4="",AZ652='Tasks Filter'!$L$4),OR('Tasks Filter'!$L$5="",BC652='Tasks Filter'!$L$5),OR('Tasks Filter'!$O$3="",BD652='Tasks Filter'!$O$3),OR('Tasks Filter'!$O$4="Yes",BG652=0)),1,0))</f>
        <v/>
      </c>
      <c r="BJ652">
        <f>IF(BH652=0,"",IF('Tasks Filter'!$F$6="Descending",-1,1)*CHOOSE(MATCH('Tasks Filter'!$F$5,Lists!$G$2:$G$6,0),AW652,BF652,IFERROR(MATCH(AV652,Setup!$F$6:$F$15,0),99),IFERROR(MATCH(BC652,Setup!$H$6:$H$15,0),99),IFERROR(MATCH(AZ652,Setup!$J$6:$J$11,0),99))*1E+9+(AW652-40000)*10000+651)</f>
        <v/>
      </c>
      <c r="BK652">
        <f>IF(BI652=1,BJ652,"")</f>
        <v/>
      </c>
      <c r="BL652">
        <f>IF(AND(BH652=1,BG652=0,N(AW652)&lt;Setup!$D$7),(AW652-40000)*10000+651,"")</f>
        <v/>
      </c>
      <c r="BM652">
        <f>IF(AND(BH652=1,AZ652&lt;&gt;"Cancelled",N(AW652)&gt;=Dashboard!$AB$3,N(AW652)&lt;=Dashboard!$AB$3+6),(AW652-40000)*100000+BF652*10000+651,"")</f>
        <v/>
      </c>
      <c r="BN652">
        <f>IF(AND(BH652=1,AZ652&lt;&gt;"Cancelled"),BF652*10000+651,"")</f>
        <v/>
      </c>
    </row>
    <row r="653">
      <c r="AS653" t="inlineStr">
        <is>
          <t>R</t>
        </is>
      </c>
      <c r="AT653" t="n">
        <v>657</v>
      </c>
      <c r="AU653">
        <f>'Recurring Log'!C657&amp;""</f>
        <v/>
      </c>
      <c r="AV653">
        <f>'Recurring Log'!D657&amp;""</f>
        <v/>
      </c>
      <c r="AW653">
        <f>IF('Recurring Log'!E657="","",'Recurring Log'!E657)</f>
        <v/>
      </c>
      <c r="AX653">
        <f>IF('Recurring Log'!G657="","",'Recurring Log'!G657)</f>
        <v/>
      </c>
      <c r="AY653">
        <f>IF('Recurring Log'!H657="","",'Recurring Log'!H657)</f>
        <v/>
      </c>
      <c r="AZ653">
        <f>IF(AU653="","",IF('Recurring Log'!J657="","Not Started",'Recurring Log'!J657))</f>
        <v/>
      </c>
      <c r="BA653">
        <f>'Recurring Log'!L657&amp;""</f>
        <v/>
      </c>
      <c r="BB653">
        <f>'Recurring Log'!M657&amp;""</f>
        <v/>
      </c>
      <c r="BC653">
        <f>'Recurring Log'!N657&amp;""</f>
        <v/>
      </c>
      <c r="BD653">
        <f>'Recurring Log'!O657&amp;""</f>
        <v/>
      </c>
      <c r="BE653">
        <f>IF('Recurring Log'!K657="","",'Recurring Log'!K657)</f>
        <v/>
      </c>
      <c r="BF653">
        <f>IFERROR(MATCH(BA653,Setup!$L$6:$L$9,0),5)</f>
        <v/>
      </c>
      <c r="BG653">
        <f>IF(OR(AZ653="Done",AZ653="Cancelled"),1,0)</f>
        <v/>
      </c>
      <c r="BH653">
        <f>IF(AND(AU653&lt;&gt;"",ISNUMBER(AW653)),1,0)</f>
        <v/>
      </c>
      <c r="BI653">
        <f>IF(BH653=0,0,IF(AND(AW653&gt;='Tasks Filter'!$F$3,AW653&lt;='Tasks Filter'!$F$4,OR('Tasks Filter'!$I$3="",ISNUMBER(SEARCH('Tasks Filter'!$I$3,AU653))),OR('Tasks Filter'!$I$4="",BF653=IFERROR(MATCH('Tasks Filter'!$I$4,Setup!$L$6:$L$9,0),0)),OR('Tasks Filter'!$I$5="Both",AND('Tasks Filter'!$I$5="Yes",BB653="✓"),AND('Tasks Filter'!$I$5="No",BB653&lt;&gt;"✓")),OR('Tasks Filter'!$L$3="",AV653='Tasks Filter'!$L$3),OR('Tasks Filter'!$L$4="",AZ653='Tasks Filter'!$L$4),OR('Tasks Filter'!$L$5="",BC653='Tasks Filter'!$L$5),OR('Tasks Filter'!$O$3="",BD653='Tasks Filter'!$O$3),OR('Tasks Filter'!$O$4="Yes",BG653=0)),1,0))</f>
        <v/>
      </c>
      <c r="BJ653">
        <f>IF(BH653=0,"",IF('Tasks Filter'!$F$6="Descending",-1,1)*CHOOSE(MATCH('Tasks Filter'!$F$5,Lists!$G$2:$G$6,0),AW653,BF653,IFERROR(MATCH(AV653,Setup!$F$6:$F$15,0),99),IFERROR(MATCH(BC653,Setup!$H$6:$H$15,0),99),IFERROR(MATCH(AZ653,Setup!$J$6:$J$11,0),99))*1E+9+(AW653-40000)*10000+652)</f>
        <v/>
      </c>
      <c r="BK653">
        <f>IF(BI653=1,BJ653,"")</f>
        <v/>
      </c>
      <c r="BL653">
        <f>IF(AND(BH653=1,BG653=0,N(AW653)&lt;Setup!$D$7),(AW653-40000)*10000+652,"")</f>
        <v/>
      </c>
      <c r="BM653">
        <f>IF(AND(BH653=1,AZ653&lt;&gt;"Cancelled",N(AW653)&gt;=Dashboard!$AB$3,N(AW653)&lt;=Dashboard!$AB$3+6),(AW653-40000)*100000+BF653*10000+652,"")</f>
        <v/>
      </c>
      <c r="BN653">
        <f>IF(AND(BH653=1,AZ653&lt;&gt;"Cancelled"),BF653*10000+652,"")</f>
        <v/>
      </c>
    </row>
    <row r="654">
      <c r="AS654" t="inlineStr">
        <is>
          <t>R</t>
        </is>
      </c>
      <c r="AT654" t="n">
        <v>658</v>
      </c>
      <c r="AU654">
        <f>'Recurring Log'!C658&amp;""</f>
        <v/>
      </c>
      <c r="AV654">
        <f>'Recurring Log'!D658&amp;""</f>
        <v/>
      </c>
      <c r="AW654">
        <f>IF('Recurring Log'!E658="","",'Recurring Log'!E658)</f>
        <v/>
      </c>
      <c r="AX654">
        <f>IF('Recurring Log'!G658="","",'Recurring Log'!G658)</f>
        <v/>
      </c>
      <c r="AY654">
        <f>IF('Recurring Log'!H658="","",'Recurring Log'!H658)</f>
        <v/>
      </c>
      <c r="AZ654">
        <f>IF(AU654="","",IF('Recurring Log'!J658="","Not Started",'Recurring Log'!J658))</f>
        <v/>
      </c>
      <c r="BA654">
        <f>'Recurring Log'!L658&amp;""</f>
        <v/>
      </c>
      <c r="BB654">
        <f>'Recurring Log'!M658&amp;""</f>
        <v/>
      </c>
      <c r="BC654">
        <f>'Recurring Log'!N658&amp;""</f>
        <v/>
      </c>
      <c r="BD654">
        <f>'Recurring Log'!O658&amp;""</f>
        <v/>
      </c>
      <c r="BE654">
        <f>IF('Recurring Log'!K658="","",'Recurring Log'!K658)</f>
        <v/>
      </c>
      <c r="BF654">
        <f>IFERROR(MATCH(BA654,Setup!$L$6:$L$9,0),5)</f>
        <v/>
      </c>
      <c r="BG654">
        <f>IF(OR(AZ654="Done",AZ654="Cancelled"),1,0)</f>
        <v/>
      </c>
      <c r="BH654">
        <f>IF(AND(AU654&lt;&gt;"",ISNUMBER(AW654)),1,0)</f>
        <v/>
      </c>
      <c r="BI654">
        <f>IF(BH654=0,0,IF(AND(AW654&gt;='Tasks Filter'!$F$3,AW654&lt;='Tasks Filter'!$F$4,OR('Tasks Filter'!$I$3="",ISNUMBER(SEARCH('Tasks Filter'!$I$3,AU654))),OR('Tasks Filter'!$I$4="",BF654=IFERROR(MATCH('Tasks Filter'!$I$4,Setup!$L$6:$L$9,0),0)),OR('Tasks Filter'!$I$5="Both",AND('Tasks Filter'!$I$5="Yes",BB654="✓"),AND('Tasks Filter'!$I$5="No",BB654&lt;&gt;"✓")),OR('Tasks Filter'!$L$3="",AV654='Tasks Filter'!$L$3),OR('Tasks Filter'!$L$4="",AZ654='Tasks Filter'!$L$4),OR('Tasks Filter'!$L$5="",BC654='Tasks Filter'!$L$5),OR('Tasks Filter'!$O$3="",BD654='Tasks Filter'!$O$3),OR('Tasks Filter'!$O$4="Yes",BG654=0)),1,0))</f>
        <v/>
      </c>
      <c r="BJ654">
        <f>IF(BH654=0,"",IF('Tasks Filter'!$F$6="Descending",-1,1)*CHOOSE(MATCH('Tasks Filter'!$F$5,Lists!$G$2:$G$6,0),AW654,BF654,IFERROR(MATCH(AV654,Setup!$F$6:$F$15,0),99),IFERROR(MATCH(BC654,Setup!$H$6:$H$15,0),99),IFERROR(MATCH(AZ654,Setup!$J$6:$J$11,0),99))*1E+9+(AW654-40000)*10000+653)</f>
        <v/>
      </c>
      <c r="BK654">
        <f>IF(BI654=1,BJ654,"")</f>
        <v/>
      </c>
      <c r="BL654">
        <f>IF(AND(BH654=1,BG654=0,N(AW654)&lt;Setup!$D$7),(AW654-40000)*10000+653,"")</f>
        <v/>
      </c>
      <c r="BM654">
        <f>IF(AND(BH654=1,AZ654&lt;&gt;"Cancelled",N(AW654)&gt;=Dashboard!$AB$3,N(AW654)&lt;=Dashboard!$AB$3+6),(AW654-40000)*100000+BF654*10000+653,"")</f>
        <v/>
      </c>
      <c r="BN654">
        <f>IF(AND(BH654=1,AZ654&lt;&gt;"Cancelled"),BF654*10000+653,"")</f>
        <v/>
      </c>
    </row>
    <row r="655">
      <c r="AS655" t="inlineStr">
        <is>
          <t>R</t>
        </is>
      </c>
      <c r="AT655" t="n">
        <v>659</v>
      </c>
      <c r="AU655">
        <f>'Recurring Log'!C659&amp;""</f>
        <v/>
      </c>
      <c r="AV655">
        <f>'Recurring Log'!D659&amp;""</f>
        <v/>
      </c>
      <c r="AW655">
        <f>IF('Recurring Log'!E659="","",'Recurring Log'!E659)</f>
        <v/>
      </c>
      <c r="AX655">
        <f>IF('Recurring Log'!G659="","",'Recurring Log'!G659)</f>
        <v/>
      </c>
      <c r="AY655">
        <f>IF('Recurring Log'!H659="","",'Recurring Log'!H659)</f>
        <v/>
      </c>
      <c r="AZ655">
        <f>IF(AU655="","",IF('Recurring Log'!J659="","Not Started",'Recurring Log'!J659))</f>
        <v/>
      </c>
      <c r="BA655">
        <f>'Recurring Log'!L659&amp;""</f>
        <v/>
      </c>
      <c r="BB655">
        <f>'Recurring Log'!M659&amp;""</f>
        <v/>
      </c>
      <c r="BC655">
        <f>'Recurring Log'!N659&amp;""</f>
        <v/>
      </c>
      <c r="BD655">
        <f>'Recurring Log'!O659&amp;""</f>
        <v/>
      </c>
      <c r="BE655">
        <f>IF('Recurring Log'!K659="","",'Recurring Log'!K659)</f>
        <v/>
      </c>
      <c r="BF655">
        <f>IFERROR(MATCH(BA655,Setup!$L$6:$L$9,0),5)</f>
        <v/>
      </c>
      <c r="BG655">
        <f>IF(OR(AZ655="Done",AZ655="Cancelled"),1,0)</f>
        <v/>
      </c>
      <c r="BH655">
        <f>IF(AND(AU655&lt;&gt;"",ISNUMBER(AW655)),1,0)</f>
        <v/>
      </c>
      <c r="BI655">
        <f>IF(BH655=0,0,IF(AND(AW655&gt;='Tasks Filter'!$F$3,AW655&lt;='Tasks Filter'!$F$4,OR('Tasks Filter'!$I$3="",ISNUMBER(SEARCH('Tasks Filter'!$I$3,AU655))),OR('Tasks Filter'!$I$4="",BF655=IFERROR(MATCH('Tasks Filter'!$I$4,Setup!$L$6:$L$9,0),0)),OR('Tasks Filter'!$I$5="Both",AND('Tasks Filter'!$I$5="Yes",BB655="✓"),AND('Tasks Filter'!$I$5="No",BB655&lt;&gt;"✓")),OR('Tasks Filter'!$L$3="",AV655='Tasks Filter'!$L$3),OR('Tasks Filter'!$L$4="",AZ655='Tasks Filter'!$L$4),OR('Tasks Filter'!$L$5="",BC655='Tasks Filter'!$L$5),OR('Tasks Filter'!$O$3="",BD655='Tasks Filter'!$O$3),OR('Tasks Filter'!$O$4="Yes",BG655=0)),1,0))</f>
        <v/>
      </c>
      <c r="BJ655">
        <f>IF(BH655=0,"",IF('Tasks Filter'!$F$6="Descending",-1,1)*CHOOSE(MATCH('Tasks Filter'!$F$5,Lists!$G$2:$G$6,0),AW655,BF655,IFERROR(MATCH(AV655,Setup!$F$6:$F$15,0),99),IFERROR(MATCH(BC655,Setup!$H$6:$H$15,0),99),IFERROR(MATCH(AZ655,Setup!$J$6:$J$11,0),99))*1E+9+(AW655-40000)*10000+654)</f>
        <v/>
      </c>
      <c r="BK655">
        <f>IF(BI655=1,BJ655,"")</f>
        <v/>
      </c>
      <c r="BL655">
        <f>IF(AND(BH655=1,BG655=0,N(AW655)&lt;Setup!$D$7),(AW655-40000)*10000+654,"")</f>
        <v/>
      </c>
      <c r="BM655">
        <f>IF(AND(BH655=1,AZ655&lt;&gt;"Cancelled",N(AW655)&gt;=Dashboard!$AB$3,N(AW655)&lt;=Dashboard!$AB$3+6),(AW655-40000)*100000+BF655*10000+654,"")</f>
        <v/>
      </c>
      <c r="BN655">
        <f>IF(AND(BH655=1,AZ655&lt;&gt;"Cancelled"),BF655*10000+654,"")</f>
        <v/>
      </c>
    </row>
    <row r="656">
      <c r="AS656" t="inlineStr">
        <is>
          <t>R</t>
        </is>
      </c>
      <c r="AT656" t="n">
        <v>660</v>
      </c>
      <c r="AU656">
        <f>'Recurring Log'!C660&amp;""</f>
        <v/>
      </c>
      <c r="AV656">
        <f>'Recurring Log'!D660&amp;""</f>
        <v/>
      </c>
      <c r="AW656">
        <f>IF('Recurring Log'!E660="","",'Recurring Log'!E660)</f>
        <v/>
      </c>
      <c r="AX656">
        <f>IF('Recurring Log'!G660="","",'Recurring Log'!G660)</f>
        <v/>
      </c>
      <c r="AY656">
        <f>IF('Recurring Log'!H660="","",'Recurring Log'!H660)</f>
        <v/>
      </c>
      <c r="AZ656">
        <f>IF(AU656="","",IF('Recurring Log'!J660="","Not Started",'Recurring Log'!J660))</f>
        <v/>
      </c>
      <c r="BA656">
        <f>'Recurring Log'!L660&amp;""</f>
        <v/>
      </c>
      <c r="BB656">
        <f>'Recurring Log'!M660&amp;""</f>
        <v/>
      </c>
      <c r="BC656">
        <f>'Recurring Log'!N660&amp;""</f>
        <v/>
      </c>
      <c r="BD656">
        <f>'Recurring Log'!O660&amp;""</f>
        <v/>
      </c>
      <c r="BE656">
        <f>IF('Recurring Log'!K660="","",'Recurring Log'!K660)</f>
        <v/>
      </c>
      <c r="BF656">
        <f>IFERROR(MATCH(BA656,Setup!$L$6:$L$9,0),5)</f>
        <v/>
      </c>
      <c r="BG656">
        <f>IF(OR(AZ656="Done",AZ656="Cancelled"),1,0)</f>
        <v/>
      </c>
      <c r="BH656">
        <f>IF(AND(AU656&lt;&gt;"",ISNUMBER(AW656)),1,0)</f>
        <v/>
      </c>
      <c r="BI656">
        <f>IF(BH656=0,0,IF(AND(AW656&gt;='Tasks Filter'!$F$3,AW656&lt;='Tasks Filter'!$F$4,OR('Tasks Filter'!$I$3="",ISNUMBER(SEARCH('Tasks Filter'!$I$3,AU656))),OR('Tasks Filter'!$I$4="",BF656=IFERROR(MATCH('Tasks Filter'!$I$4,Setup!$L$6:$L$9,0),0)),OR('Tasks Filter'!$I$5="Both",AND('Tasks Filter'!$I$5="Yes",BB656="✓"),AND('Tasks Filter'!$I$5="No",BB656&lt;&gt;"✓")),OR('Tasks Filter'!$L$3="",AV656='Tasks Filter'!$L$3),OR('Tasks Filter'!$L$4="",AZ656='Tasks Filter'!$L$4),OR('Tasks Filter'!$L$5="",BC656='Tasks Filter'!$L$5),OR('Tasks Filter'!$O$3="",BD656='Tasks Filter'!$O$3),OR('Tasks Filter'!$O$4="Yes",BG656=0)),1,0))</f>
        <v/>
      </c>
      <c r="BJ656">
        <f>IF(BH656=0,"",IF('Tasks Filter'!$F$6="Descending",-1,1)*CHOOSE(MATCH('Tasks Filter'!$F$5,Lists!$G$2:$G$6,0),AW656,BF656,IFERROR(MATCH(AV656,Setup!$F$6:$F$15,0),99),IFERROR(MATCH(BC656,Setup!$H$6:$H$15,0),99),IFERROR(MATCH(AZ656,Setup!$J$6:$J$11,0),99))*1E+9+(AW656-40000)*10000+655)</f>
        <v/>
      </c>
      <c r="BK656">
        <f>IF(BI656=1,BJ656,"")</f>
        <v/>
      </c>
      <c r="BL656">
        <f>IF(AND(BH656=1,BG656=0,N(AW656)&lt;Setup!$D$7),(AW656-40000)*10000+655,"")</f>
        <v/>
      </c>
      <c r="BM656">
        <f>IF(AND(BH656=1,AZ656&lt;&gt;"Cancelled",N(AW656)&gt;=Dashboard!$AB$3,N(AW656)&lt;=Dashboard!$AB$3+6),(AW656-40000)*100000+BF656*10000+655,"")</f>
        <v/>
      </c>
      <c r="BN656">
        <f>IF(AND(BH656=1,AZ656&lt;&gt;"Cancelled"),BF656*10000+655,"")</f>
        <v/>
      </c>
    </row>
    <row r="657">
      <c r="AS657" t="inlineStr">
        <is>
          <t>R</t>
        </is>
      </c>
      <c r="AT657" t="n">
        <v>661</v>
      </c>
      <c r="AU657">
        <f>'Recurring Log'!C661&amp;""</f>
        <v/>
      </c>
      <c r="AV657">
        <f>'Recurring Log'!D661&amp;""</f>
        <v/>
      </c>
      <c r="AW657">
        <f>IF('Recurring Log'!E661="","",'Recurring Log'!E661)</f>
        <v/>
      </c>
      <c r="AX657">
        <f>IF('Recurring Log'!G661="","",'Recurring Log'!G661)</f>
        <v/>
      </c>
      <c r="AY657">
        <f>IF('Recurring Log'!H661="","",'Recurring Log'!H661)</f>
        <v/>
      </c>
      <c r="AZ657">
        <f>IF(AU657="","",IF('Recurring Log'!J661="","Not Started",'Recurring Log'!J661))</f>
        <v/>
      </c>
      <c r="BA657">
        <f>'Recurring Log'!L661&amp;""</f>
        <v/>
      </c>
      <c r="BB657">
        <f>'Recurring Log'!M661&amp;""</f>
        <v/>
      </c>
      <c r="BC657">
        <f>'Recurring Log'!N661&amp;""</f>
        <v/>
      </c>
      <c r="BD657">
        <f>'Recurring Log'!O661&amp;""</f>
        <v/>
      </c>
      <c r="BE657">
        <f>IF('Recurring Log'!K661="","",'Recurring Log'!K661)</f>
        <v/>
      </c>
      <c r="BF657">
        <f>IFERROR(MATCH(BA657,Setup!$L$6:$L$9,0),5)</f>
        <v/>
      </c>
      <c r="BG657">
        <f>IF(OR(AZ657="Done",AZ657="Cancelled"),1,0)</f>
        <v/>
      </c>
      <c r="BH657">
        <f>IF(AND(AU657&lt;&gt;"",ISNUMBER(AW657)),1,0)</f>
        <v/>
      </c>
      <c r="BI657">
        <f>IF(BH657=0,0,IF(AND(AW657&gt;='Tasks Filter'!$F$3,AW657&lt;='Tasks Filter'!$F$4,OR('Tasks Filter'!$I$3="",ISNUMBER(SEARCH('Tasks Filter'!$I$3,AU657))),OR('Tasks Filter'!$I$4="",BF657=IFERROR(MATCH('Tasks Filter'!$I$4,Setup!$L$6:$L$9,0),0)),OR('Tasks Filter'!$I$5="Both",AND('Tasks Filter'!$I$5="Yes",BB657="✓"),AND('Tasks Filter'!$I$5="No",BB657&lt;&gt;"✓")),OR('Tasks Filter'!$L$3="",AV657='Tasks Filter'!$L$3),OR('Tasks Filter'!$L$4="",AZ657='Tasks Filter'!$L$4),OR('Tasks Filter'!$L$5="",BC657='Tasks Filter'!$L$5),OR('Tasks Filter'!$O$3="",BD657='Tasks Filter'!$O$3),OR('Tasks Filter'!$O$4="Yes",BG657=0)),1,0))</f>
        <v/>
      </c>
      <c r="BJ657">
        <f>IF(BH657=0,"",IF('Tasks Filter'!$F$6="Descending",-1,1)*CHOOSE(MATCH('Tasks Filter'!$F$5,Lists!$G$2:$G$6,0),AW657,BF657,IFERROR(MATCH(AV657,Setup!$F$6:$F$15,0),99),IFERROR(MATCH(BC657,Setup!$H$6:$H$15,0),99),IFERROR(MATCH(AZ657,Setup!$J$6:$J$11,0),99))*1E+9+(AW657-40000)*10000+656)</f>
        <v/>
      </c>
      <c r="BK657">
        <f>IF(BI657=1,BJ657,"")</f>
        <v/>
      </c>
      <c r="BL657">
        <f>IF(AND(BH657=1,BG657=0,N(AW657)&lt;Setup!$D$7),(AW657-40000)*10000+656,"")</f>
        <v/>
      </c>
      <c r="BM657">
        <f>IF(AND(BH657=1,AZ657&lt;&gt;"Cancelled",N(AW657)&gt;=Dashboard!$AB$3,N(AW657)&lt;=Dashboard!$AB$3+6),(AW657-40000)*100000+BF657*10000+656,"")</f>
        <v/>
      </c>
      <c r="BN657">
        <f>IF(AND(BH657=1,AZ657&lt;&gt;"Cancelled"),BF657*10000+656,"")</f>
        <v/>
      </c>
    </row>
    <row r="658">
      <c r="AS658" t="inlineStr">
        <is>
          <t>R</t>
        </is>
      </c>
      <c r="AT658" t="n">
        <v>662</v>
      </c>
      <c r="AU658">
        <f>'Recurring Log'!C662&amp;""</f>
        <v/>
      </c>
      <c r="AV658">
        <f>'Recurring Log'!D662&amp;""</f>
        <v/>
      </c>
      <c r="AW658">
        <f>IF('Recurring Log'!E662="","",'Recurring Log'!E662)</f>
        <v/>
      </c>
      <c r="AX658">
        <f>IF('Recurring Log'!G662="","",'Recurring Log'!G662)</f>
        <v/>
      </c>
      <c r="AY658">
        <f>IF('Recurring Log'!H662="","",'Recurring Log'!H662)</f>
        <v/>
      </c>
      <c r="AZ658">
        <f>IF(AU658="","",IF('Recurring Log'!J662="","Not Started",'Recurring Log'!J662))</f>
        <v/>
      </c>
      <c r="BA658">
        <f>'Recurring Log'!L662&amp;""</f>
        <v/>
      </c>
      <c r="BB658">
        <f>'Recurring Log'!M662&amp;""</f>
        <v/>
      </c>
      <c r="BC658">
        <f>'Recurring Log'!N662&amp;""</f>
        <v/>
      </c>
      <c r="BD658">
        <f>'Recurring Log'!O662&amp;""</f>
        <v/>
      </c>
      <c r="BE658">
        <f>IF('Recurring Log'!K662="","",'Recurring Log'!K662)</f>
        <v/>
      </c>
      <c r="BF658">
        <f>IFERROR(MATCH(BA658,Setup!$L$6:$L$9,0),5)</f>
        <v/>
      </c>
      <c r="BG658">
        <f>IF(OR(AZ658="Done",AZ658="Cancelled"),1,0)</f>
        <v/>
      </c>
      <c r="BH658">
        <f>IF(AND(AU658&lt;&gt;"",ISNUMBER(AW658)),1,0)</f>
        <v/>
      </c>
      <c r="BI658">
        <f>IF(BH658=0,0,IF(AND(AW658&gt;='Tasks Filter'!$F$3,AW658&lt;='Tasks Filter'!$F$4,OR('Tasks Filter'!$I$3="",ISNUMBER(SEARCH('Tasks Filter'!$I$3,AU658))),OR('Tasks Filter'!$I$4="",BF658=IFERROR(MATCH('Tasks Filter'!$I$4,Setup!$L$6:$L$9,0),0)),OR('Tasks Filter'!$I$5="Both",AND('Tasks Filter'!$I$5="Yes",BB658="✓"),AND('Tasks Filter'!$I$5="No",BB658&lt;&gt;"✓")),OR('Tasks Filter'!$L$3="",AV658='Tasks Filter'!$L$3),OR('Tasks Filter'!$L$4="",AZ658='Tasks Filter'!$L$4),OR('Tasks Filter'!$L$5="",BC658='Tasks Filter'!$L$5),OR('Tasks Filter'!$O$3="",BD658='Tasks Filter'!$O$3),OR('Tasks Filter'!$O$4="Yes",BG658=0)),1,0))</f>
        <v/>
      </c>
      <c r="BJ658">
        <f>IF(BH658=0,"",IF('Tasks Filter'!$F$6="Descending",-1,1)*CHOOSE(MATCH('Tasks Filter'!$F$5,Lists!$G$2:$G$6,0),AW658,BF658,IFERROR(MATCH(AV658,Setup!$F$6:$F$15,0),99),IFERROR(MATCH(BC658,Setup!$H$6:$H$15,0),99),IFERROR(MATCH(AZ658,Setup!$J$6:$J$11,0),99))*1E+9+(AW658-40000)*10000+657)</f>
        <v/>
      </c>
      <c r="BK658">
        <f>IF(BI658=1,BJ658,"")</f>
        <v/>
      </c>
      <c r="BL658">
        <f>IF(AND(BH658=1,BG658=0,N(AW658)&lt;Setup!$D$7),(AW658-40000)*10000+657,"")</f>
        <v/>
      </c>
      <c r="BM658">
        <f>IF(AND(BH658=1,AZ658&lt;&gt;"Cancelled",N(AW658)&gt;=Dashboard!$AB$3,N(AW658)&lt;=Dashboard!$AB$3+6),(AW658-40000)*100000+BF658*10000+657,"")</f>
        <v/>
      </c>
      <c r="BN658">
        <f>IF(AND(BH658=1,AZ658&lt;&gt;"Cancelled"),BF658*10000+657,"")</f>
        <v/>
      </c>
    </row>
    <row r="659">
      <c r="AS659" t="inlineStr">
        <is>
          <t>R</t>
        </is>
      </c>
      <c r="AT659" t="n">
        <v>663</v>
      </c>
      <c r="AU659">
        <f>'Recurring Log'!C663&amp;""</f>
        <v/>
      </c>
      <c r="AV659">
        <f>'Recurring Log'!D663&amp;""</f>
        <v/>
      </c>
      <c r="AW659">
        <f>IF('Recurring Log'!E663="","",'Recurring Log'!E663)</f>
        <v/>
      </c>
      <c r="AX659">
        <f>IF('Recurring Log'!G663="","",'Recurring Log'!G663)</f>
        <v/>
      </c>
      <c r="AY659">
        <f>IF('Recurring Log'!H663="","",'Recurring Log'!H663)</f>
        <v/>
      </c>
      <c r="AZ659">
        <f>IF(AU659="","",IF('Recurring Log'!J663="","Not Started",'Recurring Log'!J663))</f>
        <v/>
      </c>
      <c r="BA659">
        <f>'Recurring Log'!L663&amp;""</f>
        <v/>
      </c>
      <c r="BB659">
        <f>'Recurring Log'!M663&amp;""</f>
        <v/>
      </c>
      <c r="BC659">
        <f>'Recurring Log'!N663&amp;""</f>
        <v/>
      </c>
      <c r="BD659">
        <f>'Recurring Log'!O663&amp;""</f>
        <v/>
      </c>
      <c r="BE659">
        <f>IF('Recurring Log'!K663="","",'Recurring Log'!K663)</f>
        <v/>
      </c>
      <c r="BF659">
        <f>IFERROR(MATCH(BA659,Setup!$L$6:$L$9,0),5)</f>
        <v/>
      </c>
      <c r="BG659">
        <f>IF(OR(AZ659="Done",AZ659="Cancelled"),1,0)</f>
        <v/>
      </c>
      <c r="BH659">
        <f>IF(AND(AU659&lt;&gt;"",ISNUMBER(AW659)),1,0)</f>
        <v/>
      </c>
      <c r="BI659">
        <f>IF(BH659=0,0,IF(AND(AW659&gt;='Tasks Filter'!$F$3,AW659&lt;='Tasks Filter'!$F$4,OR('Tasks Filter'!$I$3="",ISNUMBER(SEARCH('Tasks Filter'!$I$3,AU659))),OR('Tasks Filter'!$I$4="",BF659=IFERROR(MATCH('Tasks Filter'!$I$4,Setup!$L$6:$L$9,0),0)),OR('Tasks Filter'!$I$5="Both",AND('Tasks Filter'!$I$5="Yes",BB659="✓"),AND('Tasks Filter'!$I$5="No",BB659&lt;&gt;"✓")),OR('Tasks Filter'!$L$3="",AV659='Tasks Filter'!$L$3),OR('Tasks Filter'!$L$4="",AZ659='Tasks Filter'!$L$4),OR('Tasks Filter'!$L$5="",BC659='Tasks Filter'!$L$5),OR('Tasks Filter'!$O$3="",BD659='Tasks Filter'!$O$3),OR('Tasks Filter'!$O$4="Yes",BG659=0)),1,0))</f>
        <v/>
      </c>
      <c r="BJ659">
        <f>IF(BH659=0,"",IF('Tasks Filter'!$F$6="Descending",-1,1)*CHOOSE(MATCH('Tasks Filter'!$F$5,Lists!$G$2:$G$6,0),AW659,BF659,IFERROR(MATCH(AV659,Setup!$F$6:$F$15,0),99),IFERROR(MATCH(BC659,Setup!$H$6:$H$15,0),99),IFERROR(MATCH(AZ659,Setup!$J$6:$J$11,0),99))*1E+9+(AW659-40000)*10000+658)</f>
        <v/>
      </c>
      <c r="BK659">
        <f>IF(BI659=1,BJ659,"")</f>
        <v/>
      </c>
      <c r="BL659">
        <f>IF(AND(BH659=1,BG659=0,N(AW659)&lt;Setup!$D$7),(AW659-40000)*10000+658,"")</f>
        <v/>
      </c>
      <c r="BM659">
        <f>IF(AND(BH659=1,AZ659&lt;&gt;"Cancelled",N(AW659)&gt;=Dashboard!$AB$3,N(AW659)&lt;=Dashboard!$AB$3+6),(AW659-40000)*100000+BF659*10000+658,"")</f>
        <v/>
      </c>
      <c r="BN659">
        <f>IF(AND(BH659=1,AZ659&lt;&gt;"Cancelled"),BF659*10000+658,"")</f>
        <v/>
      </c>
    </row>
    <row r="660">
      <c r="AS660" t="inlineStr">
        <is>
          <t>R</t>
        </is>
      </c>
      <c r="AT660" t="n">
        <v>664</v>
      </c>
      <c r="AU660">
        <f>'Recurring Log'!C664&amp;""</f>
        <v/>
      </c>
      <c r="AV660">
        <f>'Recurring Log'!D664&amp;""</f>
        <v/>
      </c>
      <c r="AW660">
        <f>IF('Recurring Log'!E664="","",'Recurring Log'!E664)</f>
        <v/>
      </c>
      <c r="AX660">
        <f>IF('Recurring Log'!G664="","",'Recurring Log'!G664)</f>
        <v/>
      </c>
      <c r="AY660">
        <f>IF('Recurring Log'!H664="","",'Recurring Log'!H664)</f>
        <v/>
      </c>
      <c r="AZ660">
        <f>IF(AU660="","",IF('Recurring Log'!J664="","Not Started",'Recurring Log'!J664))</f>
        <v/>
      </c>
      <c r="BA660">
        <f>'Recurring Log'!L664&amp;""</f>
        <v/>
      </c>
      <c r="BB660">
        <f>'Recurring Log'!M664&amp;""</f>
        <v/>
      </c>
      <c r="BC660">
        <f>'Recurring Log'!N664&amp;""</f>
        <v/>
      </c>
      <c r="BD660">
        <f>'Recurring Log'!O664&amp;""</f>
        <v/>
      </c>
      <c r="BE660">
        <f>IF('Recurring Log'!K664="","",'Recurring Log'!K664)</f>
        <v/>
      </c>
      <c r="BF660">
        <f>IFERROR(MATCH(BA660,Setup!$L$6:$L$9,0),5)</f>
        <v/>
      </c>
      <c r="BG660">
        <f>IF(OR(AZ660="Done",AZ660="Cancelled"),1,0)</f>
        <v/>
      </c>
      <c r="BH660">
        <f>IF(AND(AU660&lt;&gt;"",ISNUMBER(AW660)),1,0)</f>
        <v/>
      </c>
      <c r="BI660">
        <f>IF(BH660=0,0,IF(AND(AW660&gt;='Tasks Filter'!$F$3,AW660&lt;='Tasks Filter'!$F$4,OR('Tasks Filter'!$I$3="",ISNUMBER(SEARCH('Tasks Filter'!$I$3,AU660))),OR('Tasks Filter'!$I$4="",BF660=IFERROR(MATCH('Tasks Filter'!$I$4,Setup!$L$6:$L$9,0),0)),OR('Tasks Filter'!$I$5="Both",AND('Tasks Filter'!$I$5="Yes",BB660="✓"),AND('Tasks Filter'!$I$5="No",BB660&lt;&gt;"✓")),OR('Tasks Filter'!$L$3="",AV660='Tasks Filter'!$L$3),OR('Tasks Filter'!$L$4="",AZ660='Tasks Filter'!$L$4),OR('Tasks Filter'!$L$5="",BC660='Tasks Filter'!$L$5),OR('Tasks Filter'!$O$3="",BD660='Tasks Filter'!$O$3),OR('Tasks Filter'!$O$4="Yes",BG660=0)),1,0))</f>
        <v/>
      </c>
      <c r="BJ660">
        <f>IF(BH660=0,"",IF('Tasks Filter'!$F$6="Descending",-1,1)*CHOOSE(MATCH('Tasks Filter'!$F$5,Lists!$G$2:$G$6,0),AW660,BF660,IFERROR(MATCH(AV660,Setup!$F$6:$F$15,0),99),IFERROR(MATCH(BC660,Setup!$H$6:$H$15,0),99),IFERROR(MATCH(AZ660,Setup!$J$6:$J$11,0),99))*1E+9+(AW660-40000)*10000+659)</f>
        <v/>
      </c>
      <c r="BK660">
        <f>IF(BI660=1,BJ660,"")</f>
        <v/>
      </c>
      <c r="BL660">
        <f>IF(AND(BH660=1,BG660=0,N(AW660)&lt;Setup!$D$7),(AW660-40000)*10000+659,"")</f>
        <v/>
      </c>
      <c r="BM660">
        <f>IF(AND(BH660=1,AZ660&lt;&gt;"Cancelled",N(AW660)&gt;=Dashboard!$AB$3,N(AW660)&lt;=Dashboard!$AB$3+6),(AW660-40000)*100000+BF660*10000+659,"")</f>
        <v/>
      </c>
      <c r="BN660">
        <f>IF(AND(BH660=1,AZ660&lt;&gt;"Cancelled"),BF660*10000+659,"")</f>
        <v/>
      </c>
    </row>
    <row r="661">
      <c r="AS661" t="inlineStr">
        <is>
          <t>R</t>
        </is>
      </c>
      <c r="AT661" t="n">
        <v>665</v>
      </c>
      <c r="AU661">
        <f>'Recurring Log'!C665&amp;""</f>
        <v/>
      </c>
      <c r="AV661">
        <f>'Recurring Log'!D665&amp;""</f>
        <v/>
      </c>
      <c r="AW661">
        <f>IF('Recurring Log'!E665="","",'Recurring Log'!E665)</f>
        <v/>
      </c>
      <c r="AX661">
        <f>IF('Recurring Log'!G665="","",'Recurring Log'!G665)</f>
        <v/>
      </c>
      <c r="AY661">
        <f>IF('Recurring Log'!H665="","",'Recurring Log'!H665)</f>
        <v/>
      </c>
      <c r="AZ661">
        <f>IF(AU661="","",IF('Recurring Log'!J665="","Not Started",'Recurring Log'!J665))</f>
        <v/>
      </c>
      <c r="BA661">
        <f>'Recurring Log'!L665&amp;""</f>
        <v/>
      </c>
      <c r="BB661">
        <f>'Recurring Log'!M665&amp;""</f>
        <v/>
      </c>
      <c r="BC661">
        <f>'Recurring Log'!N665&amp;""</f>
        <v/>
      </c>
      <c r="BD661">
        <f>'Recurring Log'!O665&amp;""</f>
        <v/>
      </c>
      <c r="BE661">
        <f>IF('Recurring Log'!K665="","",'Recurring Log'!K665)</f>
        <v/>
      </c>
      <c r="BF661">
        <f>IFERROR(MATCH(BA661,Setup!$L$6:$L$9,0),5)</f>
        <v/>
      </c>
      <c r="BG661">
        <f>IF(OR(AZ661="Done",AZ661="Cancelled"),1,0)</f>
        <v/>
      </c>
      <c r="BH661">
        <f>IF(AND(AU661&lt;&gt;"",ISNUMBER(AW661)),1,0)</f>
        <v/>
      </c>
      <c r="BI661">
        <f>IF(BH661=0,0,IF(AND(AW661&gt;='Tasks Filter'!$F$3,AW661&lt;='Tasks Filter'!$F$4,OR('Tasks Filter'!$I$3="",ISNUMBER(SEARCH('Tasks Filter'!$I$3,AU661))),OR('Tasks Filter'!$I$4="",BF661=IFERROR(MATCH('Tasks Filter'!$I$4,Setup!$L$6:$L$9,0),0)),OR('Tasks Filter'!$I$5="Both",AND('Tasks Filter'!$I$5="Yes",BB661="✓"),AND('Tasks Filter'!$I$5="No",BB661&lt;&gt;"✓")),OR('Tasks Filter'!$L$3="",AV661='Tasks Filter'!$L$3),OR('Tasks Filter'!$L$4="",AZ661='Tasks Filter'!$L$4),OR('Tasks Filter'!$L$5="",BC661='Tasks Filter'!$L$5),OR('Tasks Filter'!$O$3="",BD661='Tasks Filter'!$O$3),OR('Tasks Filter'!$O$4="Yes",BG661=0)),1,0))</f>
        <v/>
      </c>
      <c r="BJ661">
        <f>IF(BH661=0,"",IF('Tasks Filter'!$F$6="Descending",-1,1)*CHOOSE(MATCH('Tasks Filter'!$F$5,Lists!$G$2:$G$6,0),AW661,BF661,IFERROR(MATCH(AV661,Setup!$F$6:$F$15,0),99),IFERROR(MATCH(BC661,Setup!$H$6:$H$15,0),99),IFERROR(MATCH(AZ661,Setup!$J$6:$J$11,0),99))*1E+9+(AW661-40000)*10000+660)</f>
        <v/>
      </c>
      <c r="BK661">
        <f>IF(BI661=1,BJ661,"")</f>
        <v/>
      </c>
      <c r="BL661">
        <f>IF(AND(BH661=1,BG661=0,N(AW661)&lt;Setup!$D$7),(AW661-40000)*10000+660,"")</f>
        <v/>
      </c>
      <c r="BM661">
        <f>IF(AND(BH661=1,AZ661&lt;&gt;"Cancelled",N(AW661)&gt;=Dashboard!$AB$3,N(AW661)&lt;=Dashboard!$AB$3+6),(AW661-40000)*100000+BF661*10000+660,"")</f>
        <v/>
      </c>
      <c r="BN661">
        <f>IF(AND(BH661=1,AZ661&lt;&gt;"Cancelled"),BF661*10000+660,"")</f>
        <v/>
      </c>
    </row>
    <row r="662">
      <c r="AS662" t="inlineStr">
        <is>
          <t>R</t>
        </is>
      </c>
      <c r="AT662" t="n">
        <v>666</v>
      </c>
      <c r="AU662">
        <f>'Recurring Log'!C666&amp;""</f>
        <v/>
      </c>
      <c r="AV662">
        <f>'Recurring Log'!D666&amp;""</f>
        <v/>
      </c>
      <c r="AW662">
        <f>IF('Recurring Log'!E666="","",'Recurring Log'!E666)</f>
        <v/>
      </c>
      <c r="AX662">
        <f>IF('Recurring Log'!G666="","",'Recurring Log'!G666)</f>
        <v/>
      </c>
      <c r="AY662">
        <f>IF('Recurring Log'!H666="","",'Recurring Log'!H666)</f>
        <v/>
      </c>
      <c r="AZ662">
        <f>IF(AU662="","",IF('Recurring Log'!J666="","Not Started",'Recurring Log'!J666))</f>
        <v/>
      </c>
      <c r="BA662">
        <f>'Recurring Log'!L666&amp;""</f>
        <v/>
      </c>
      <c r="BB662">
        <f>'Recurring Log'!M666&amp;""</f>
        <v/>
      </c>
      <c r="BC662">
        <f>'Recurring Log'!N666&amp;""</f>
        <v/>
      </c>
      <c r="BD662">
        <f>'Recurring Log'!O666&amp;""</f>
        <v/>
      </c>
      <c r="BE662">
        <f>IF('Recurring Log'!K666="","",'Recurring Log'!K666)</f>
        <v/>
      </c>
      <c r="BF662">
        <f>IFERROR(MATCH(BA662,Setup!$L$6:$L$9,0),5)</f>
        <v/>
      </c>
      <c r="BG662">
        <f>IF(OR(AZ662="Done",AZ662="Cancelled"),1,0)</f>
        <v/>
      </c>
      <c r="BH662">
        <f>IF(AND(AU662&lt;&gt;"",ISNUMBER(AW662)),1,0)</f>
        <v/>
      </c>
      <c r="BI662">
        <f>IF(BH662=0,0,IF(AND(AW662&gt;='Tasks Filter'!$F$3,AW662&lt;='Tasks Filter'!$F$4,OR('Tasks Filter'!$I$3="",ISNUMBER(SEARCH('Tasks Filter'!$I$3,AU662))),OR('Tasks Filter'!$I$4="",BF662=IFERROR(MATCH('Tasks Filter'!$I$4,Setup!$L$6:$L$9,0),0)),OR('Tasks Filter'!$I$5="Both",AND('Tasks Filter'!$I$5="Yes",BB662="✓"),AND('Tasks Filter'!$I$5="No",BB662&lt;&gt;"✓")),OR('Tasks Filter'!$L$3="",AV662='Tasks Filter'!$L$3),OR('Tasks Filter'!$L$4="",AZ662='Tasks Filter'!$L$4),OR('Tasks Filter'!$L$5="",BC662='Tasks Filter'!$L$5),OR('Tasks Filter'!$O$3="",BD662='Tasks Filter'!$O$3),OR('Tasks Filter'!$O$4="Yes",BG662=0)),1,0))</f>
        <v/>
      </c>
      <c r="BJ662">
        <f>IF(BH662=0,"",IF('Tasks Filter'!$F$6="Descending",-1,1)*CHOOSE(MATCH('Tasks Filter'!$F$5,Lists!$G$2:$G$6,0),AW662,BF662,IFERROR(MATCH(AV662,Setup!$F$6:$F$15,0),99),IFERROR(MATCH(BC662,Setup!$H$6:$H$15,0),99),IFERROR(MATCH(AZ662,Setup!$J$6:$J$11,0),99))*1E+9+(AW662-40000)*10000+661)</f>
        <v/>
      </c>
      <c r="BK662">
        <f>IF(BI662=1,BJ662,"")</f>
        <v/>
      </c>
      <c r="BL662">
        <f>IF(AND(BH662=1,BG662=0,N(AW662)&lt;Setup!$D$7),(AW662-40000)*10000+661,"")</f>
        <v/>
      </c>
      <c r="BM662">
        <f>IF(AND(BH662=1,AZ662&lt;&gt;"Cancelled",N(AW662)&gt;=Dashboard!$AB$3,N(AW662)&lt;=Dashboard!$AB$3+6),(AW662-40000)*100000+BF662*10000+661,"")</f>
        <v/>
      </c>
      <c r="BN662">
        <f>IF(AND(BH662=1,AZ662&lt;&gt;"Cancelled"),BF662*10000+661,"")</f>
        <v/>
      </c>
    </row>
    <row r="663">
      <c r="AS663" t="inlineStr">
        <is>
          <t>R</t>
        </is>
      </c>
      <c r="AT663" t="n">
        <v>667</v>
      </c>
      <c r="AU663">
        <f>'Recurring Log'!C667&amp;""</f>
        <v/>
      </c>
      <c r="AV663">
        <f>'Recurring Log'!D667&amp;""</f>
        <v/>
      </c>
      <c r="AW663">
        <f>IF('Recurring Log'!E667="","",'Recurring Log'!E667)</f>
        <v/>
      </c>
      <c r="AX663">
        <f>IF('Recurring Log'!G667="","",'Recurring Log'!G667)</f>
        <v/>
      </c>
      <c r="AY663">
        <f>IF('Recurring Log'!H667="","",'Recurring Log'!H667)</f>
        <v/>
      </c>
      <c r="AZ663">
        <f>IF(AU663="","",IF('Recurring Log'!J667="","Not Started",'Recurring Log'!J667))</f>
        <v/>
      </c>
      <c r="BA663">
        <f>'Recurring Log'!L667&amp;""</f>
        <v/>
      </c>
      <c r="BB663">
        <f>'Recurring Log'!M667&amp;""</f>
        <v/>
      </c>
      <c r="BC663">
        <f>'Recurring Log'!N667&amp;""</f>
        <v/>
      </c>
      <c r="BD663">
        <f>'Recurring Log'!O667&amp;""</f>
        <v/>
      </c>
      <c r="BE663">
        <f>IF('Recurring Log'!K667="","",'Recurring Log'!K667)</f>
        <v/>
      </c>
      <c r="BF663">
        <f>IFERROR(MATCH(BA663,Setup!$L$6:$L$9,0),5)</f>
        <v/>
      </c>
      <c r="BG663">
        <f>IF(OR(AZ663="Done",AZ663="Cancelled"),1,0)</f>
        <v/>
      </c>
      <c r="BH663">
        <f>IF(AND(AU663&lt;&gt;"",ISNUMBER(AW663)),1,0)</f>
        <v/>
      </c>
      <c r="BI663">
        <f>IF(BH663=0,0,IF(AND(AW663&gt;='Tasks Filter'!$F$3,AW663&lt;='Tasks Filter'!$F$4,OR('Tasks Filter'!$I$3="",ISNUMBER(SEARCH('Tasks Filter'!$I$3,AU663))),OR('Tasks Filter'!$I$4="",BF663=IFERROR(MATCH('Tasks Filter'!$I$4,Setup!$L$6:$L$9,0),0)),OR('Tasks Filter'!$I$5="Both",AND('Tasks Filter'!$I$5="Yes",BB663="✓"),AND('Tasks Filter'!$I$5="No",BB663&lt;&gt;"✓")),OR('Tasks Filter'!$L$3="",AV663='Tasks Filter'!$L$3),OR('Tasks Filter'!$L$4="",AZ663='Tasks Filter'!$L$4),OR('Tasks Filter'!$L$5="",BC663='Tasks Filter'!$L$5),OR('Tasks Filter'!$O$3="",BD663='Tasks Filter'!$O$3),OR('Tasks Filter'!$O$4="Yes",BG663=0)),1,0))</f>
        <v/>
      </c>
      <c r="BJ663">
        <f>IF(BH663=0,"",IF('Tasks Filter'!$F$6="Descending",-1,1)*CHOOSE(MATCH('Tasks Filter'!$F$5,Lists!$G$2:$G$6,0),AW663,BF663,IFERROR(MATCH(AV663,Setup!$F$6:$F$15,0),99),IFERROR(MATCH(BC663,Setup!$H$6:$H$15,0),99),IFERROR(MATCH(AZ663,Setup!$J$6:$J$11,0),99))*1E+9+(AW663-40000)*10000+662)</f>
        <v/>
      </c>
      <c r="BK663">
        <f>IF(BI663=1,BJ663,"")</f>
        <v/>
      </c>
      <c r="BL663">
        <f>IF(AND(BH663=1,BG663=0,N(AW663)&lt;Setup!$D$7),(AW663-40000)*10000+662,"")</f>
        <v/>
      </c>
      <c r="BM663">
        <f>IF(AND(BH663=1,AZ663&lt;&gt;"Cancelled",N(AW663)&gt;=Dashboard!$AB$3,N(AW663)&lt;=Dashboard!$AB$3+6),(AW663-40000)*100000+BF663*10000+662,"")</f>
        <v/>
      </c>
      <c r="BN663">
        <f>IF(AND(BH663=1,AZ663&lt;&gt;"Cancelled"),BF663*10000+662,"")</f>
        <v/>
      </c>
    </row>
    <row r="664">
      <c r="AS664" t="inlineStr">
        <is>
          <t>R</t>
        </is>
      </c>
      <c r="AT664" t="n">
        <v>668</v>
      </c>
      <c r="AU664">
        <f>'Recurring Log'!C668&amp;""</f>
        <v/>
      </c>
      <c r="AV664">
        <f>'Recurring Log'!D668&amp;""</f>
        <v/>
      </c>
      <c r="AW664">
        <f>IF('Recurring Log'!E668="","",'Recurring Log'!E668)</f>
        <v/>
      </c>
      <c r="AX664">
        <f>IF('Recurring Log'!G668="","",'Recurring Log'!G668)</f>
        <v/>
      </c>
      <c r="AY664">
        <f>IF('Recurring Log'!H668="","",'Recurring Log'!H668)</f>
        <v/>
      </c>
      <c r="AZ664">
        <f>IF(AU664="","",IF('Recurring Log'!J668="","Not Started",'Recurring Log'!J668))</f>
        <v/>
      </c>
      <c r="BA664">
        <f>'Recurring Log'!L668&amp;""</f>
        <v/>
      </c>
      <c r="BB664">
        <f>'Recurring Log'!M668&amp;""</f>
        <v/>
      </c>
      <c r="BC664">
        <f>'Recurring Log'!N668&amp;""</f>
        <v/>
      </c>
      <c r="BD664">
        <f>'Recurring Log'!O668&amp;""</f>
        <v/>
      </c>
      <c r="BE664">
        <f>IF('Recurring Log'!K668="","",'Recurring Log'!K668)</f>
        <v/>
      </c>
      <c r="BF664">
        <f>IFERROR(MATCH(BA664,Setup!$L$6:$L$9,0),5)</f>
        <v/>
      </c>
      <c r="BG664">
        <f>IF(OR(AZ664="Done",AZ664="Cancelled"),1,0)</f>
        <v/>
      </c>
      <c r="BH664">
        <f>IF(AND(AU664&lt;&gt;"",ISNUMBER(AW664)),1,0)</f>
        <v/>
      </c>
      <c r="BI664">
        <f>IF(BH664=0,0,IF(AND(AW664&gt;='Tasks Filter'!$F$3,AW664&lt;='Tasks Filter'!$F$4,OR('Tasks Filter'!$I$3="",ISNUMBER(SEARCH('Tasks Filter'!$I$3,AU664))),OR('Tasks Filter'!$I$4="",BF664=IFERROR(MATCH('Tasks Filter'!$I$4,Setup!$L$6:$L$9,0),0)),OR('Tasks Filter'!$I$5="Both",AND('Tasks Filter'!$I$5="Yes",BB664="✓"),AND('Tasks Filter'!$I$5="No",BB664&lt;&gt;"✓")),OR('Tasks Filter'!$L$3="",AV664='Tasks Filter'!$L$3),OR('Tasks Filter'!$L$4="",AZ664='Tasks Filter'!$L$4),OR('Tasks Filter'!$L$5="",BC664='Tasks Filter'!$L$5),OR('Tasks Filter'!$O$3="",BD664='Tasks Filter'!$O$3),OR('Tasks Filter'!$O$4="Yes",BG664=0)),1,0))</f>
        <v/>
      </c>
      <c r="BJ664">
        <f>IF(BH664=0,"",IF('Tasks Filter'!$F$6="Descending",-1,1)*CHOOSE(MATCH('Tasks Filter'!$F$5,Lists!$G$2:$G$6,0),AW664,BF664,IFERROR(MATCH(AV664,Setup!$F$6:$F$15,0),99),IFERROR(MATCH(BC664,Setup!$H$6:$H$15,0),99),IFERROR(MATCH(AZ664,Setup!$J$6:$J$11,0),99))*1E+9+(AW664-40000)*10000+663)</f>
        <v/>
      </c>
      <c r="BK664">
        <f>IF(BI664=1,BJ664,"")</f>
        <v/>
      </c>
      <c r="BL664">
        <f>IF(AND(BH664=1,BG664=0,N(AW664)&lt;Setup!$D$7),(AW664-40000)*10000+663,"")</f>
        <v/>
      </c>
      <c r="BM664">
        <f>IF(AND(BH664=1,AZ664&lt;&gt;"Cancelled",N(AW664)&gt;=Dashboard!$AB$3,N(AW664)&lt;=Dashboard!$AB$3+6),(AW664-40000)*100000+BF664*10000+663,"")</f>
        <v/>
      </c>
      <c r="BN664">
        <f>IF(AND(BH664=1,AZ664&lt;&gt;"Cancelled"),BF664*10000+663,"")</f>
        <v/>
      </c>
    </row>
    <row r="665">
      <c r="AS665" t="inlineStr">
        <is>
          <t>R</t>
        </is>
      </c>
      <c r="AT665" t="n">
        <v>669</v>
      </c>
      <c r="AU665">
        <f>'Recurring Log'!C669&amp;""</f>
        <v/>
      </c>
      <c r="AV665">
        <f>'Recurring Log'!D669&amp;""</f>
        <v/>
      </c>
      <c r="AW665">
        <f>IF('Recurring Log'!E669="","",'Recurring Log'!E669)</f>
        <v/>
      </c>
      <c r="AX665">
        <f>IF('Recurring Log'!G669="","",'Recurring Log'!G669)</f>
        <v/>
      </c>
      <c r="AY665">
        <f>IF('Recurring Log'!H669="","",'Recurring Log'!H669)</f>
        <v/>
      </c>
      <c r="AZ665">
        <f>IF(AU665="","",IF('Recurring Log'!J669="","Not Started",'Recurring Log'!J669))</f>
        <v/>
      </c>
      <c r="BA665">
        <f>'Recurring Log'!L669&amp;""</f>
        <v/>
      </c>
      <c r="BB665">
        <f>'Recurring Log'!M669&amp;""</f>
        <v/>
      </c>
      <c r="BC665">
        <f>'Recurring Log'!N669&amp;""</f>
        <v/>
      </c>
      <c r="BD665">
        <f>'Recurring Log'!O669&amp;""</f>
        <v/>
      </c>
      <c r="BE665">
        <f>IF('Recurring Log'!K669="","",'Recurring Log'!K669)</f>
        <v/>
      </c>
      <c r="BF665">
        <f>IFERROR(MATCH(BA665,Setup!$L$6:$L$9,0),5)</f>
        <v/>
      </c>
      <c r="BG665">
        <f>IF(OR(AZ665="Done",AZ665="Cancelled"),1,0)</f>
        <v/>
      </c>
      <c r="BH665">
        <f>IF(AND(AU665&lt;&gt;"",ISNUMBER(AW665)),1,0)</f>
        <v/>
      </c>
      <c r="BI665">
        <f>IF(BH665=0,0,IF(AND(AW665&gt;='Tasks Filter'!$F$3,AW665&lt;='Tasks Filter'!$F$4,OR('Tasks Filter'!$I$3="",ISNUMBER(SEARCH('Tasks Filter'!$I$3,AU665))),OR('Tasks Filter'!$I$4="",BF665=IFERROR(MATCH('Tasks Filter'!$I$4,Setup!$L$6:$L$9,0),0)),OR('Tasks Filter'!$I$5="Both",AND('Tasks Filter'!$I$5="Yes",BB665="✓"),AND('Tasks Filter'!$I$5="No",BB665&lt;&gt;"✓")),OR('Tasks Filter'!$L$3="",AV665='Tasks Filter'!$L$3),OR('Tasks Filter'!$L$4="",AZ665='Tasks Filter'!$L$4),OR('Tasks Filter'!$L$5="",BC665='Tasks Filter'!$L$5),OR('Tasks Filter'!$O$3="",BD665='Tasks Filter'!$O$3),OR('Tasks Filter'!$O$4="Yes",BG665=0)),1,0))</f>
        <v/>
      </c>
      <c r="BJ665">
        <f>IF(BH665=0,"",IF('Tasks Filter'!$F$6="Descending",-1,1)*CHOOSE(MATCH('Tasks Filter'!$F$5,Lists!$G$2:$G$6,0),AW665,BF665,IFERROR(MATCH(AV665,Setup!$F$6:$F$15,0),99),IFERROR(MATCH(BC665,Setup!$H$6:$H$15,0),99),IFERROR(MATCH(AZ665,Setup!$J$6:$J$11,0),99))*1E+9+(AW665-40000)*10000+664)</f>
        <v/>
      </c>
      <c r="BK665">
        <f>IF(BI665=1,BJ665,"")</f>
        <v/>
      </c>
      <c r="BL665">
        <f>IF(AND(BH665=1,BG665=0,N(AW665)&lt;Setup!$D$7),(AW665-40000)*10000+664,"")</f>
        <v/>
      </c>
      <c r="BM665">
        <f>IF(AND(BH665=1,AZ665&lt;&gt;"Cancelled",N(AW665)&gt;=Dashboard!$AB$3,N(AW665)&lt;=Dashboard!$AB$3+6),(AW665-40000)*100000+BF665*10000+664,"")</f>
        <v/>
      </c>
      <c r="BN665">
        <f>IF(AND(BH665=1,AZ665&lt;&gt;"Cancelled"),BF665*10000+664,"")</f>
        <v/>
      </c>
    </row>
    <row r="666">
      <c r="AS666" t="inlineStr">
        <is>
          <t>R</t>
        </is>
      </c>
      <c r="AT666" t="n">
        <v>670</v>
      </c>
      <c r="AU666">
        <f>'Recurring Log'!C670&amp;""</f>
        <v/>
      </c>
      <c r="AV666">
        <f>'Recurring Log'!D670&amp;""</f>
        <v/>
      </c>
      <c r="AW666">
        <f>IF('Recurring Log'!E670="","",'Recurring Log'!E670)</f>
        <v/>
      </c>
      <c r="AX666">
        <f>IF('Recurring Log'!G670="","",'Recurring Log'!G670)</f>
        <v/>
      </c>
      <c r="AY666">
        <f>IF('Recurring Log'!H670="","",'Recurring Log'!H670)</f>
        <v/>
      </c>
      <c r="AZ666">
        <f>IF(AU666="","",IF('Recurring Log'!J670="","Not Started",'Recurring Log'!J670))</f>
        <v/>
      </c>
      <c r="BA666">
        <f>'Recurring Log'!L670&amp;""</f>
        <v/>
      </c>
      <c r="BB666">
        <f>'Recurring Log'!M670&amp;""</f>
        <v/>
      </c>
      <c r="BC666">
        <f>'Recurring Log'!N670&amp;""</f>
        <v/>
      </c>
      <c r="BD666">
        <f>'Recurring Log'!O670&amp;""</f>
        <v/>
      </c>
      <c r="BE666">
        <f>IF('Recurring Log'!K670="","",'Recurring Log'!K670)</f>
        <v/>
      </c>
      <c r="BF666">
        <f>IFERROR(MATCH(BA666,Setup!$L$6:$L$9,0),5)</f>
        <v/>
      </c>
      <c r="BG666">
        <f>IF(OR(AZ666="Done",AZ666="Cancelled"),1,0)</f>
        <v/>
      </c>
      <c r="BH666">
        <f>IF(AND(AU666&lt;&gt;"",ISNUMBER(AW666)),1,0)</f>
        <v/>
      </c>
      <c r="BI666">
        <f>IF(BH666=0,0,IF(AND(AW666&gt;='Tasks Filter'!$F$3,AW666&lt;='Tasks Filter'!$F$4,OR('Tasks Filter'!$I$3="",ISNUMBER(SEARCH('Tasks Filter'!$I$3,AU666))),OR('Tasks Filter'!$I$4="",BF666=IFERROR(MATCH('Tasks Filter'!$I$4,Setup!$L$6:$L$9,0),0)),OR('Tasks Filter'!$I$5="Both",AND('Tasks Filter'!$I$5="Yes",BB666="✓"),AND('Tasks Filter'!$I$5="No",BB666&lt;&gt;"✓")),OR('Tasks Filter'!$L$3="",AV666='Tasks Filter'!$L$3),OR('Tasks Filter'!$L$4="",AZ666='Tasks Filter'!$L$4),OR('Tasks Filter'!$L$5="",BC666='Tasks Filter'!$L$5),OR('Tasks Filter'!$O$3="",BD666='Tasks Filter'!$O$3),OR('Tasks Filter'!$O$4="Yes",BG666=0)),1,0))</f>
        <v/>
      </c>
      <c r="BJ666">
        <f>IF(BH666=0,"",IF('Tasks Filter'!$F$6="Descending",-1,1)*CHOOSE(MATCH('Tasks Filter'!$F$5,Lists!$G$2:$G$6,0),AW666,BF666,IFERROR(MATCH(AV666,Setup!$F$6:$F$15,0),99),IFERROR(MATCH(BC666,Setup!$H$6:$H$15,0),99),IFERROR(MATCH(AZ666,Setup!$J$6:$J$11,0),99))*1E+9+(AW666-40000)*10000+665)</f>
        <v/>
      </c>
      <c r="BK666">
        <f>IF(BI666=1,BJ666,"")</f>
        <v/>
      </c>
      <c r="BL666">
        <f>IF(AND(BH666=1,BG666=0,N(AW666)&lt;Setup!$D$7),(AW666-40000)*10000+665,"")</f>
        <v/>
      </c>
      <c r="BM666">
        <f>IF(AND(BH666=1,AZ666&lt;&gt;"Cancelled",N(AW666)&gt;=Dashboard!$AB$3,N(AW666)&lt;=Dashboard!$AB$3+6),(AW666-40000)*100000+BF666*10000+665,"")</f>
        <v/>
      </c>
      <c r="BN666">
        <f>IF(AND(BH666=1,AZ666&lt;&gt;"Cancelled"),BF666*10000+665,"")</f>
        <v/>
      </c>
    </row>
    <row r="667">
      <c r="AS667" t="inlineStr">
        <is>
          <t>R</t>
        </is>
      </c>
      <c r="AT667" t="n">
        <v>671</v>
      </c>
      <c r="AU667">
        <f>'Recurring Log'!C671&amp;""</f>
        <v/>
      </c>
      <c r="AV667">
        <f>'Recurring Log'!D671&amp;""</f>
        <v/>
      </c>
      <c r="AW667">
        <f>IF('Recurring Log'!E671="","",'Recurring Log'!E671)</f>
        <v/>
      </c>
      <c r="AX667">
        <f>IF('Recurring Log'!G671="","",'Recurring Log'!G671)</f>
        <v/>
      </c>
      <c r="AY667">
        <f>IF('Recurring Log'!H671="","",'Recurring Log'!H671)</f>
        <v/>
      </c>
      <c r="AZ667">
        <f>IF(AU667="","",IF('Recurring Log'!J671="","Not Started",'Recurring Log'!J671))</f>
        <v/>
      </c>
      <c r="BA667">
        <f>'Recurring Log'!L671&amp;""</f>
        <v/>
      </c>
      <c r="BB667">
        <f>'Recurring Log'!M671&amp;""</f>
        <v/>
      </c>
      <c r="BC667">
        <f>'Recurring Log'!N671&amp;""</f>
        <v/>
      </c>
      <c r="BD667">
        <f>'Recurring Log'!O671&amp;""</f>
        <v/>
      </c>
      <c r="BE667">
        <f>IF('Recurring Log'!K671="","",'Recurring Log'!K671)</f>
        <v/>
      </c>
      <c r="BF667">
        <f>IFERROR(MATCH(BA667,Setup!$L$6:$L$9,0),5)</f>
        <v/>
      </c>
      <c r="BG667">
        <f>IF(OR(AZ667="Done",AZ667="Cancelled"),1,0)</f>
        <v/>
      </c>
      <c r="BH667">
        <f>IF(AND(AU667&lt;&gt;"",ISNUMBER(AW667)),1,0)</f>
        <v/>
      </c>
      <c r="BI667">
        <f>IF(BH667=0,0,IF(AND(AW667&gt;='Tasks Filter'!$F$3,AW667&lt;='Tasks Filter'!$F$4,OR('Tasks Filter'!$I$3="",ISNUMBER(SEARCH('Tasks Filter'!$I$3,AU667))),OR('Tasks Filter'!$I$4="",BF667=IFERROR(MATCH('Tasks Filter'!$I$4,Setup!$L$6:$L$9,0),0)),OR('Tasks Filter'!$I$5="Both",AND('Tasks Filter'!$I$5="Yes",BB667="✓"),AND('Tasks Filter'!$I$5="No",BB667&lt;&gt;"✓")),OR('Tasks Filter'!$L$3="",AV667='Tasks Filter'!$L$3),OR('Tasks Filter'!$L$4="",AZ667='Tasks Filter'!$L$4),OR('Tasks Filter'!$L$5="",BC667='Tasks Filter'!$L$5),OR('Tasks Filter'!$O$3="",BD667='Tasks Filter'!$O$3),OR('Tasks Filter'!$O$4="Yes",BG667=0)),1,0))</f>
        <v/>
      </c>
      <c r="BJ667">
        <f>IF(BH667=0,"",IF('Tasks Filter'!$F$6="Descending",-1,1)*CHOOSE(MATCH('Tasks Filter'!$F$5,Lists!$G$2:$G$6,0),AW667,BF667,IFERROR(MATCH(AV667,Setup!$F$6:$F$15,0),99),IFERROR(MATCH(BC667,Setup!$H$6:$H$15,0),99),IFERROR(MATCH(AZ667,Setup!$J$6:$J$11,0),99))*1E+9+(AW667-40000)*10000+666)</f>
        <v/>
      </c>
      <c r="BK667">
        <f>IF(BI667=1,BJ667,"")</f>
        <v/>
      </c>
      <c r="BL667">
        <f>IF(AND(BH667=1,BG667=0,N(AW667)&lt;Setup!$D$7),(AW667-40000)*10000+666,"")</f>
        <v/>
      </c>
      <c r="BM667">
        <f>IF(AND(BH667=1,AZ667&lt;&gt;"Cancelled",N(AW667)&gt;=Dashboard!$AB$3,N(AW667)&lt;=Dashboard!$AB$3+6),(AW667-40000)*100000+BF667*10000+666,"")</f>
        <v/>
      </c>
      <c r="BN667">
        <f>IF(AND(BH667=1,AZ667&lt;&gt;"Cancelled"),BF667*10000+666,"")</f>
        <v/>
      </c>
    </row>
    <row r="668">
      <c r="AS668" t="inlineStr">
        <is>
          <t>R</t>
        </is>
      </c>
      <c r="AT668" t="n">
        <v>672</v>
      </c>
      <c r="AU668">
        <f>'Recurring Log'!C672&amp;""</f>
        <v/>
      </c>
      <c r="AV668">
        <f>'Recurring Log'!D672&amp;""</f>
        <v/>
      </c>
      <c r="AW668">
        <f>IF('Recurring Log'!E672="","",'Recurring Log'!E672)</f>
        <v/>
      </c>
      <c r="AX668">
        <f>IF('Recurring Log'!G672="","",'Recurring Log'!G672)</f>
        <v/>
      </c>
      <c r="AY668">
        <f>IF('Recurring Log'!H672="","",'Recurring Log'!H672)</f>
        <v/>
      </c>
      <c r="AZ668">
        <f>IF(AU668="","",IF('Recurring Log'!J672="","Not Started",'Recurring Log'!J672))</f>
        <v/>
      </c>
      <c r="BA668">
        <f>'Recurring Log'!L672&amp;""</f>
        <v/>
      </c>
      <c r="BB668">
        <f>'Recurring Log'!M672&amp;""</f>
        <v/>
      </c>
      <c r="BC668">
        <f>'Recurring Log'!N672&amp;""</f>
        <v/>
      </c>
      <c r="BD668">
        <f>'Recurring Log'!O672&amp;""</f>
        <v/>
      </c>
      <c r="BE668">
        <f>IF('Recurring Log'!K672="","",'Recurring Log'!K672)</f>
        <v/>
      </c>
      <c r="BF668">
        <f>IFERROR(MATCH(BA668,Setup!$L$6:$L$9,0),5)</f>
        <v/>
      </c>
      <c r="BG668">
        <f>IF(OR(AZ668="Done",AZ668="Cancelled"),1,0)</f>
        <v/>
      </c>
      <c r="BH668">
        <f>IF(AND(AU668&lt;&gt;"",ISNUMBER(AW668)),1,0)</f>
        <v/>
      </c>
      <c r="BI668">
        <f>IF(BH668=0,0,IF(AND(AW668&gt;='Tasks Filter'!$F$3,AW668&lt;='Tasks Filter'!$F$4,OR('Tasks Filter'!$I$3="",ISNUMBER(SEARCH('Tasks Filter'!$I$3,AU668))),OR('Tasks Filter'!$I$4="",BF668=IFERROR(MATCH('Tasks Filter'!$I$4,Setup!$L$6:$L$9,0),0)),OR('Tasks Filter'!$I$5="Both",AND('Tasks Filter'!$I$5="Yes",BB668="✓"),AND('Tasks Filter'!$I$5="No",BB668&lt;&gt;"✓")),OR('Tasks Filter'!$L$3="",AV668='Tasks Filter'!$L$3),OR('Tasks Filter'!$L$4="",AZ668='Tasks Filter'!$L$4),OR('Tasks Filter'!$L$5="",BC668='Tasks Filter'!$L$5),OR('Tasks Filter'!$O$3="",BD668='Tasks Filter'!$O$3),OR('Tasks Filter'!$O$4="Yes",BG668=0)),1,0))</f>
        <v/>
      </c>
      <c r="BJ668">
        <f>IF(BH668=0,"",IF('Tasks Filter'!$F$6="Descending",-1,1)*CHOOSE(MATCH('Tasks Filter'!$F$5,Lists!$G$2:$G$6,0),AW668,BF668,IFERROR(MATCH(AV668,Setup!$F$6:$F$15,0),99),IFERROR(MATCH(BC668,Setup!$H$6:$H$15,0),99),IFERROR(MATCH(AZ668,Setup!$J$6:$J$11,0),99))*1E+9+(AW668-40000)*10000+667)</f>
        <v/>
      </c>
      <c r="BK668">
        <f>IF(BI668=1,BJ668,"")</f>
        <v/>
      </c>
      <c r="BL668">
        <f>IF(AND(BH668=1,BG668=0,N(AW668)&lt;Setup!$D$7),(AW668-40000)*10000+667,"")</f>
        <v/>
      </c>
      <c r="BM668">
        <f>IF(AND(BH668=1,AZ668&lt;&gt;"Cancelled",N(AW668)&gt;=Dashboard!$AB$3,N(AW668)&lt;=Dashboard!$AB$3+6),(AW668-40000)*100000+BF668*10000+667,"")</f>
        <v/>
      </c>
      <c r="BN668">
        <f>IF(AND(BH668=1,AZ668&lt;&gt;"Cancelled"),BF668*10000+667,"")</f>
        <v/>
      </c>
    </row>
    <row r="669">
      <c r="AS669" t="inlineStr">
        <is>
          <t>R</t>
        </is>
      </c>
      <c r="AT669" t="n">
        <v>673</v>
      </c>
      <c r="AU669">
        <f>'Recurring Log'!C673&amp;""</f>
        <v/>
      </c>
      <c r="AV669">
        <f>'Recurring Log'!D673&amp;""</f>
        <v/>
      </c>
      <c r="AW669">
        <f>IF('Recurring Log'!E673="","",'Recurring Log'!E673)</f>
        <v/>
      </c>
      <c r="AX669">
        <f>IF('Recurring Log'!G673="","",'Recurring Log'!G673)</f>
        <v/>
      </c>
      <c r="AY669">
        <f>IF('Recurring Log'!H673="","",'Recurring Log'!H673)</f>
        <v/>
      </c>
      <c r="AZ669">
        <f>IF(AU669="","",IF('Recurring Log'!J673="","Not Started",'Recurring Log'!J673))</f>
        <v/>
      </c>
      <c r="BA669">
        <f>'Recurring Log'!L673&amp;""</f>
        <v/>
      </c>
      <c r="BB669">
        <f>'Recurring Log'!M673&amp;""</f>
        <v/>
      </c>
      <c r="BC669">
        <f>'Recurring Log'!N673&amp;""</f>
        <v/>
      </c>
      <c r="BD669">
        <f>'Recurring Log'!O673&amp;""</f>
        <v/>
      </c>
      <c r="BE669">
        <f>IF('Recurring Log'!K673="","",'Recurring Log'!K673)</f>
        <v/>
      </c>
      <c r="BF669">
        <f>IFERROR(MATCH(BA669,Setup!$L$6:$L$9,0),5)</f>
        <v/>
      </c>
      <c r="BG669">
        <f>IF(OR(AZ669="Done",AZ669="Cancelled"),1,0)</f>
        <v/>
      </c>
      <c r="BH669">
        <f>IF(AND(AU669&lt;&gt;"",ISNUMBER(AW669)),1,0)</f>
        <v/>
      </c>
      <c r="BI669">
        <f>IF(BH669=0,0,IF(AND(AW669&gt;='Tasks Filter'!$F$3,AW669&lt;='Tasks Filter'!$F$4,OR('Tasks Filter'!$I$3="",ISNUMBER(SEARCH('Tasks Filter'!$I$3,AU669))),OR('Tasks Filter'!$I$4="",BF669=IFERROR(MATCH('Tasks Filter'!$I$4,Setup!$L$6:$L$9,0),0)),OR('Tasks Filter'!$I$5="Both",AND('Tasks Filter'!$I$5="Yes",BB669="✓"),AND('Tasks Filter'!$I$5="No",BB669&lt;&gt;"✓")),OR('Tasks Filter'!$L$3="",AV669='Tasks Filter'!$L$3),OR('Tasks Filter'!$L$4="",AZ669='Tasks Filter'!$L$4),OR('Tasks Filter'!$L$5="",BC669='Tasks Filter'!$L$5),OR('Tasks Filter'!$O$3="",BD669='Tasks Filter'!$O$3),OR('Tasks Filter'!$O$4="Yes",BG669=0)),1,0))</f>
        <v/>
      </c>
      <c r="BJ669">
        <f>IF(BH669=0,"",IF('Tasks Filter'!$F$6="Descending",-1,1)*CHOOSE(MATCH('Tasks Filter'!$F$5,Lists!$G$2:$G$6,0),AW669,BF669,IFERROR(MATCH(AV669,Setup!$F$6:$F$15,0),99),IFERROR(MATCH(BC669,Setup!$H$6:$H$15,0),99),IFERROR(MATCH(AZ669,Setup!$J$6:$J$11,0),99))*1E+9+(AW669-40000)*10000+668)</f>
        <v/>
      </c>
      <c r="BK669">
        <f>IF(BI669=1,BJ669,"")</f>
        <v/>
      </c>
      <c r="BL669">
        <f>IF(AND(BH669=1,BG669=0,N(AW669)&lt;Setup!$D$7),(AW669-40000)*10000+668,"")</f>
        <v/>
      </c>
      <c r="BM669">
        <f>IF(AND(BH669=1,AZ669&lt;&gt;"Cancelled",N(AW669)&gt;=Dashboard!$AB$3,N(AW669)&lt;=Dashboard!$AB$3+6),(AW669-40000)*100000+BF669*10000+668,"")</f>
        <v/>
      </c>
      <c r="BN669">
        <f>IF(AND(BH669=1,AZ669&lt;&gt;"Cancelled"),BF669*10000+668,"")</f>
        <v/>
      </c>
    </row>
    <row r="670">
      <c r="AS670" t="inlineStr">
        <is>
          <t>R</t>
        </is>
      </c>
      <c r="AT670" t="n">
        <v>674</v>
      </c>
      <c r="AU670">
        <f>'Recurring Log'!C674&amp;""</f>
        <v/>
      </c>
      <c r="AV670">
        <f>'Recurring Log'!D674&amp;""</f>
        <v/>
      </c>
      <c r="AW670">
        <f>IF('Recurring Log'!E674="","",'Recurring Log'!E674)</f>
        <v/>
      </c>
      <c r="AX670">
        <f>IF('Recurring Log'!G674="","",'Recurring Log'!G674)</f>
        <v/>
      </c>
      <c r="AY670">
        <f>IF('Recurring Log'!H674="","",'Recurring Log'!H674)</f>
        <v/>
      </c>
      <c r="AZ670">
        <f>IF(AU670="","",IF('Recurring Log'!J674="","Not Started",'Recurring Log'!J674))</f>
        <v/>
      </c>
      <c r="BA670">
        <f>'Recurring Log'!L674&amp;""</f>
        <v/>
      </c>
      <c r="BB670">
        <f>'Recurring Log'!M674&amp;""</f>
        <v/>
      </c>
      <c r="BC670">
        <f>'Recurring Log'!N674&amp;""</f>
        <v/>
      </c>
      <c r="BD670">
        <f>'Recurring Log'!O674&amp;""</f>
        <v/>
      </c>
      <c r="BE670">
        <f>IF('Recurring Log'!K674="","",'Recurring Log'!K674)</f>
        <v/>
      </c>
      <c r="BF670">
        <f>IFERROR(MATCH(BA670,Setup!$L$6:$L$9,0),5)</f>
        <v/>
      </c>
      <c r="BG670">
        <f>IF(OR(AZ670="Done",AZ670="Cancelled"),1,0)</f>
        <v/>
      </c>
      <c r="BH670">
        <f>IF(AND(AU670&lt;&gt;"",ISNUMBER(AW670)),1,0)</f>
        <v/>
      </c>
      <c r="BI670">
        <f>IF(BH670=0,0,IF(AND(AW670&gt;='Tasks Filter'!$F$3,AW670&lt;='Tasks Filter'!$F$4,OR('Tasks Filter'!$I$3="",ISNUMBER(SEARCH('Tasks Filter'!$I$3,AU670))),OR('Tasks Filter'!$I$4="",BF670=IFERROR(MATCH('Tasks Filter'!$I$4,Setup!$L$6:$L$9,0),0)),OR('Tasks Filter'!$I$5="Both",AND('Tasks Filter'!$I$5="Yes",BB670="✓"),AND('Tasks Filter'!$I$5="No",BB670&lt;&gt;"✓")),OR('Tasks Filter'!$L$3="",AV670='Tasks Filter'!$L$3),OR('Tasks Filter'!$L$4="",AZ670='Tasks Filter'!$L$4),OR('Tasks Filter'!$L$5="",BC670='Tasks Filter'!$L$5),OR('Tasks Filter'!$O$3="",BD670='Tasks Filter'!$O$3),OR('Tasks Filter'!$O$4="Yes",BG670=0)),1,0))</f>
        <v/>
      </c>
      <c r="BJ670">
        <f>IF(BH670=0,"",IF('Tasks Filter'!$F$6="Descending",-1,1)*CHOOSE(MATCH('Tasks Filter'!$F$5,Lists!$G$2:$G$6,0),AW670,BF670,IFERROR(MATCH(AV670,Setup!$F$6:$F$15,0),99),IFERROR(MATCH(BC670,Setup!$H$6:$H$15,0),99),IFERROR(MATCH(AZ670,Setup!$J$6:$J$11,0),99))*1E+9+(AW670-40000)*10000+669)</f>
        <v/>
      </c>
      <c r="BK670">
        <f>IF(BI670=1,BJ670,"")</f>
        <v/>
      </c>
      <c r="BL670">
        <f>IF(AND(BH670=1,BG670=0,N(AW670)&lt;Setup!$D$7),(AW670-40000)*10000+669,"")</f>
        <v/>
      </c>
      <c r="BM670">
        <f>IF(AND(BH670=1,AZ670&lt;&gt;"Cancelled",N(AW670)&gt;=Dashboard!$AB$3,N(AW670)&lt;=Dashboard!$AB$3+6),(AW670-40000)*100000+BF670*10000+669,"")</f>
        <v/>
      </c>
      <c r="BN670">
        <f>IF(AND(BH670=1,AZ670&lt;&gt;"Cancelled"),BF670*10000+669,"")</f>
        <v/>
      </c>
    </row>
    <row r="671">
      <c r="AS671" t="inlineStr">
        <is>
          <t>R</t>
        </is>
      </c>
      <c r="AT671" t="n">
        <v>675</v>
      </c>
      <c r="AU671">
        <f>'Recurring Log'!C675&amp;""</f>
        <v/>
      </c>
      <c r="AV671">
        <f>'Recurring Log'!D675&amp;""</f>
        <v/>
      </c>
      <c r="AW671">
        <f>IF('Recurring Log'!E675="","",'Recurring Log'!E675)</f>
        <v/>
      </c>
      <c r="AX671">
        <f>IF('Recurring Log'!G675="","",'Recurring Log'!G675)</f>
        <v/>
      </c>
      <c r="AY671">
        <f>IF('Recurring Log'!H675="","",'Recurring Log'!H675)</f>
        <v/>
      </c>
      <c r="AZ671">
        <f>IF(AU671="","",IF('Recurring Log'!J675="","Not Started",'Recurring Log'!J675))</f>
        <v/>
      </c>
      <c r="BA671">
        <f>'Recurring Log'!L675&amp;""</f>
        <v/>
      </c>
      <c r="BB671">
        <f>'Recurring Log'!M675&amp;""</f>
        <v/>
      </c>
      <c r="BC671">
        <f>'Recurring Log'!N675&amp;""</f>
        <v/>
      </c>
      <c r="BD671">
        <f>'Recurring Log'!O675&amp;""</f>
        <v/>
      </c>
      <c r="BE671">
        <f>IF('Recurring Log'!K675="","",'Recurring Log'!K675)</f>
        <v/>
      </c>
      <c r="BF671">
        <f>IFERROR(MATCH(BA671,Setup!$L$6:$L$9,0),5)</f>
        <v/>
      </c>
      <c r="BG671">
        <f>IF(OR(AZ671="Done",AZ671="Cancelled"),1,0)</f>
        <v/>
      </c>
      <c r="BH671">
        <f>IF(AND(AU671&lt;&gt;"",ISNUMBER(AW671)),1,0)</f>
        <v/>
      </c>
      <c r="BI671">
        <f>IF(BH671=0,0,IF(AND(AW671&gt;='Tasks Filter'!$F$3,AW671&lt;='Tasks Filter'!$F$4,OR('Tasks Filter'!$I$3="",ISNUMBER(SEARCH('Tasks Filter'!$I$3,AU671))),OR('Tasks Filter'!$I$4="",BF671=IFERROR(MATCH('Tasks Filter'!$I$4,Setup!$L$6:$L$9,0),0)),OR('Tasks Filter'!$I$5="Both",AND('Tasks Filter'!$I$5="Yes",BB671="✓"),AND('Tasks Filter'!$I$5="No",BB671&lt;&gt;"✓")),OR('Tasks Filter'!$L$3="",AV671='Tasks Filter'!$L$3),OR('Tasks Filter'!$L$4="",AZ671='Tasks Filter'!$L$4),OR('Tasks Filter'!$L$5="",BC671='Tasks Filter'!$L$5),OR('Tasks Filter'!$O$3="",BD671='Tasks Filter'!$O$3),OR('Tasks Filter'!$O$4="Yes",BG671=0)),1,0))</f>
        <v/>
      </c>
      <c r="BJ671">
        <f>IF(BH671=0,"",IF('Tasks Filter'!$F$6="Descending",-1,1)*CHOOSE(MATCH('Tasks Filter'!$F$5,Lists!$G$2:$G$6,0),AW671,BF671,IFERROR(MATCH(AV671,Setup!$F$6:$F$15,0),99),IFERROR(MATCH(BC671,Setup!$H$6:$H$15,0),99),IFERROR(MATCH(AZ671,Setup!$J$6:$J$11,0),99))*1E+9+(AW671-40000)*10000+670)</f>
        <v/>
      </c>
      <c r="BK671">
        <f>IF(BI671=1,BJ671,"")</f>
        <v/>
      </c>
      <c r="BL671">
        <f>IF(AND(BH671=1,BG671=0,N(AW671)&lt;Setup!$D$7),(AW671-40000)*10000+670,"")</f>
        <v/>
      </c>
      <c r="BM671">
        <f>IF(AND(BH671=1,AZ671&lt;&gt;"Cancelled",N(AW671)&gt;=Dashboard!$AB$3,N(AW671)&lt;=Dashboard!$AB$3+6),(AW671-40000)*100000+BF671*10000+670,"")</f>
        <v/>
      </c>
      <c r="BN671">
        <f>IF(AND(BH671=1,AZ671&lt;&gt;"Cancelled"),BF671*10000+670,"")</f>
        <v/>
      </c>
    </row>
    <row r="672">
      <c r="AS672" t="inlineStr">
        <is>
          <t>R</t>
        </is>
      </c>
      <c r="AT672" t="n">
        <v>676</v>
      </c>
      <c r="AU672">
        <f>'Recurring Log'!C676&amp;""</f>
        <v/>
      </c>
      <c r="AV672">
        <f>'Recurring Log'!D676&amp;""</f>
        <v/>
      </c>
      <c r="AW672">
        <f>IF('Recurring Log'!E676="","",'Recurring Log'!E676)</f>
        <v/>
      </c>
      <c r="AX672">
        <f>IF('Recurring Log'!G676="","",'Recurring Log'!G676)</f>
        <v/>
      </c>
      <c r="AY672">
        <f>IF('Recurring Log'!H676="","",'Recurring Log'!H676)</f>
        <v/>
      </c>
      <c r="AZ672">
        <f>IF(AU672="","",IF('Recurring Log'!J676="","Not Started",'Recurring Log'!J676))</f>
        <v/>
      </c>
      <c r="BA672">
        <f>'Recurring Log'!L676&amp;""</f>
        <v/>
      </c>
      <c r="BB672">
        <f>'Recurring Log'!M676&amp;""</f>
        <v/>
      </c>
      <c r="BC672">
        <f>'Recurring Log'!N676&amp;""</f>
        <v/>
      </c>
      <c r="BD672">
        <f>'Recurring Log'!O676&amp;""</f>
        <v/>
      </c>
      <c r="BE672">
        <f>IF('Recurring Log'!K676="","",'Recurring Log'!K676)</f>
        <v/>
      </c>
      <c r="BF672">
        <f>IFERROR(MATCH(BA672,Setup!$L$6:$L$9,0),5)</f>
        <v/>
      </c>
      <c r="BG672">
        <f>IF(OR(AZ672="Done",AZ672="Cancelled"),1,0)</f>
        <v/>
      </c>
      <c r="BH672">
        <f>IF(AND(AU672&lt;&gt;"",ISNUMBER(AW672)),1,0)</f>
        <v/>
      </c>
      <c r="BI672">
        <f>IF(BH672=0,0,IF(AND(AW672&gt;='Tasks Filter'!$F$3,AW672&lt;='Tasks Filter'!$F$4,OR('Tasks Filter'!$I$3="",ISNUMBER(SEARCH('Tasks Filter'!$I$3,AU672))),OR('Tasks Filter'!$I$4="",BF672=IFERROR(MATCH('Tasks Filter'!$I$4,Setup!$L$6:$L$9,0),0)),OR('Tasks Filter'!$I$5="Both",AND('Tasks Filter'!$I$5="Yes",BB672="✓"),AND('Tasks Filter'!$I$5="No",BB672&lt;&gt;"✓")),OR('Tasks Filter'!$L$3="",AV672='Tasks Filter'!$L$3),OR('Tasks Filter'!$L$4="",AZ672='Tasks Filter'!$L$4),OR('Tasks Filter'!$L$5="",BC672='Tasks Filter'!$L$5),OR('Tasks Filter'!$O$3="",BD672='Tasks Filter'!$O$3),OR('Tasks Filter'!$O$4="Yes",BG672=0)),1,0))</f>
        <v/>
      </c>
      <c r="BJ672">
        <f>IF(BH672=0,"",IF('Tasks Filter'!$F$6="Descending",-1,1)*CHOOSE(MATCH('Tasks Filter'!$F$5,Lists!$G$2:$G$6,0),AW672,BF672,IFERROR(MATCH(AV672,Setup!$F$6:$F$15,0),99),IFERROR(MATCH(BC672,Setup!$H$6:$H$15,0),99),IFERROR(MATCH(AZ672,Setup!$J$6:$J$11,0),99))*1E+9+(AW672-40000)*10000+671)</f>
        <v/>
      </c>
      <c r="BK672">
        <f>IF(BI672=1,BJ672,"")</f>
        <v/>
      </c>
      <c r="BL672">
        <f>IF(AND(BH672=1,BG672=0,N(AW672)&lt;Setup!$D$7),(AW672-40000)*10000+671,"")</f>
        <v/>
      </c>
      <c r="BM672">
        <f>IF(AND(BH672=1,AZ672&lt;&gt;"Cancelled",N(AW672)&gt;=Dashboard!$AB$3,N(AW672)&lt;=Dashboard!$AB$3+6),(AW672-40000)*100000+BF672*10000+671,"")</f>
        <v/>
      </c>
      <c r="BN672">
        <f>IF(AND(BH672=1,AZ672&lt;&gt;"Cancelled"),BF672*10000+671,"")</f>
        <v/>
      </c>
    </row>
    <row r="673">
      <c r="AS673" t="inlineStr">
        <is>
          <t>R</t>
        </is>
      </c>
      <c r="AT673" t="n">
        <v>677</v>
      </c>
      <c r="AU673">
        <f>'Recurring Log'!C677&amp;""</f>
        <v/>
      </c>
      <c r="AV673">
        <f>'Recurring Log'!D677&amp;""</f>
        <v/>
      </c>
      <c r="AW673">
        <f>IF('Recurring Log'!E677="","",'Recurring Log'!E677)</f>
        <v/>
      </c>
      <c r="AX673">
        <f>IF('Recurring Log'!G677="","",'Recurring Log'!G677)</f>
        <v/>
      </c>
      <c r="AY673">
        <f>IF('Recurring Log'!H677="","",'Recurring Log'!H677)</f>
        <v/>
      </c>
      <c r="AZ673">
        <f>IF(AU673="","",IF('Recurring Log'!J677="","Not Started",'Recurring Log'!J677))</f>
        <v/>
      </c>
      <c r="BA673">
        <f>'Recurring Log'!L677&amp;""</f>
        <v/>
      </c>
      <c r="BB673">
        <f>'Recurring Log'!M677&amp;""</f>
        <v/>
      </c>
      <c r="BC673">
        <f>'Recurring Log'!N677&amp;""</f>
        <v/>
      </c>
      <c r="BD673">
        <f>'Recurring Log'!O677&amp;""</f>
        <v/>
      </c>
      <c r="BE673">
        <f>IF('Recurring Log'!K677="","",'Recurring Log'!K677)</f>
        <v/>
      </c>
      <c r="BF673">
        <f>IFERROR(MATCH(BA673,Setup!$L$6:$L$9,0),5)</f>
        <v/>
      </c>
      <c r="BG673">
        <f>IF(OR(AZ673="Done",AZ673="Cancelled"),1,0)</f>
        <v/>
      </c>
      <c r="BH673">
        <f>IF(AND(AU673&lt;&gt;"",ISNUMBER(AW673)),1,0)</f>
        <v/>
      </c>
      <c r="BI673">
        <f>IF(BH673=0,0,IF(AND(AW673&gt;='Tasks Filter'!$F$3,AW673&lt;='Tasks Filter'!$F$4,OR('Tasks Filter'!$I$3="",ISNUMBER(SEARCH('Tasks Filter'!$I$3,AU673))),OR('Tasks Filter'!$I$4="",BF673=IFERROR(MATCH('Tasks Filter'!$I$4,Setup!$L$6:$L$9,0),0)),OR('Tasks Filter'!$I$5="Both",AND('Tasks Filter'!$I$5="Yes",BB673="✓"),AND('Tasks Filter'!$I$5="No",BB673&lt;&gt;"✓")),OR('Tasks Filter'!$L$3="",AV673='Tasks Filter'!$L$3),OR('Tasks Filter'!$L$4="",AZ673='Tasks Filter'!$L$4),OR('Tasks Filter'!$L$5="",BC673='Tasks Filter'!$L$5),OR('Tasks Filter'!$O$3="",BD673='Tasks Filter'!$O$3),OR('Tasks Filter'!$O$4="Yes",BG673=0)),1,0))</f>
        <v/>
      </c>
      <c r="BJ673">
        <f>IF(BH673=0,"",IF('Tasks Filter'!$F$6="Descending",-1,1)*CHOOSE(MATCH('Tasks Filter'!$F$5,Lists!$G$2:$G$6,0),AW673,BF673,IFERROR(MATCH(AV673,Setup!$F$6:$F$15,0),99),IFERROR(MATCH(BC673,Setup!$H$6:$H$15,0),99),IFERROR(MATCH(AZ673,Setup!$J$6:$J$11,0),99))*1E+9+(AW673-40000)*10000+672)</f>
        <v/>
      </c>
      <c r="BK673">
        <f>IF(BI673=1,BJ673,"")</f>
        <v/>
      </c>
      <c r="BL673">
        <f>IF(AND(BH673=1,BG673=0,N(AW673)&lt;Setup!$D$7),(AW673-40000)*10000+672,"")</f>
        <v/>
      </c>
      <c r="BM673">
        <f>IF(AND(BH673=1,AZ673&lt;&gt;"Cancelled",N(AW673)&gt;=Dashboard!$AB$3,N(AW673)&lt;=Dashboard!$AB$3+6),(AW673-40000)*100000+BF673*10000+672,"")</f>
        <v/>
      </c>
      <c r="BN673">
        <f>IF(AND(BH673=1,AZ673&lt;&gt;"Cancelled"),BF673*10000+672,"")</f>
        <v/>
      </c>
    </row>
    <row r="674">
      <c r="AS674" t="inlineStr">
        <is>
          <t>R</t>
        </is>
      </c>
      <c r="AT674" t="n">
        <v>678</v>
      </c>
      <c r="AU674">
        <f>'Recurring Log'!C678&amp;""</f>
        <v/>
      </c>
      <c r="AV674">
        <f>'Recurring Log'!D678&amp;""</f>
        <v/>
      </c>
      <c r="AW674">
        <f>IF('Recurring Log'!E678="","",'Recurring Log'!E678)</f>
        <v/>
      </c>
      <c r="AX674">
        <f>IF('Recurring Log'!G678="","",'Recurring Log'!G678)</f>
        <v/>
      </c>
      <c r="AY674">
        <f>IF('Recurring Log'!H678="","",'Recurring Log'!H678)</f>
        <v/>
      </c>
      <c r="AZ674">
        <f>IF(AU674="","",IF('Recurring Log'!J678="","Not Started",'Recurring Log'!J678))</f>
        <v/>
      </c>
      <c r="BA674">
        <f>'Recurring Log'!L678&amp;""</f>
        <v/>
      </c>
      <c r="BB674">
        <f>'Recurring Log'!M678&amp;""</f>
        <v/>
      </c>
      <c r="BC674">
        <f>'Recurring Log'!N678&amp;""</f>
        <v/>
      </c>
      <c r="BD674">
        <f>'Recurring Log'!O678&amp;""</f>
        <v/>
      </c>
      <c r="BE674">
        <f>IF('Recurring Log'!K678="","",'Recurring Log'!K678)</f>
        <v/>
      </c>
      <c r="BF674">
        <f>IFERROR(MATCH(BA674,Setup!$L$6:$L$9,0),5)</f>
        <v/>
      </c>
      <c r="BG674">
        <f>IF(OR(AZ674="Done",AZ674="Cancelled"),1,0)</f>
        <v/>
      </c>
      <c r="BH674">
        <f>IF(AND(AU674&lt;&gt;"",ISNUMBER(AW674)),1,0)</f>
        <v/>
      </c>
      <c r="BI674">
        <f>IF(BH674=0,0,IF(AND(AW674&gt;='Tasks Filter'!$F$3,AW674&lt;='Tasks Filter'!$F$4,OR('Tasks Filter'!$I$3="",ISNUMBER(SEARCH('Tasks Filter'!$I$3,AU674))),OR('Tasks Filter'!$I$4="",BF674=IFERROR(MATCH('Tasks Filter'!$I$4,Setup!$L$6:$L$9,0),0)),OR('Tasks Filter'!$I$5="Both",AND('Tasks Filter'!$I$5="Yes",BB674="✓"),AND('Tasks Filter'!$I$5="No",BB674&lt;&gt;"✓")),OR('Tasks Filter'!$L$3="",AV674='Tasks Filter'!$L$3),OR('Tasks Filter'!$L$4="",AZ674='Tasks Filter'!$L$4),OR('Tasks Filter'!$L$5="",BC674='Tasks Filter'!$L$5),OR('Tasks Filter'!$O$3="",BD674='Tasks Filter'!$O$3),OR('Tasks Filter'!$O$4="Yes",BG674=0)),1,0))</f>
        <v/>
      </c>
      <c r="BJ674">
        <f>IF(BH674=0,"",IF('Tasks Filter'!$F$6="Descending",-1,1)*CHOOSE(MATCH('Tasks Filter'!$F$5,Lists!$G$2:$G$6,0),AW674,BF674,IFERROR(MATCH(AV674,Setup!$F$6:$F$15,0),99),IFERROR(MATCH(BC674,Setup!$H$6:$H$15,0),99),IFERROR(MATCH(AZ674,Setup!$J$6:$J$11,0),99))*1E+9+(AW674-40000)*10000+673)</f>
        <v/>
      </c>
      <c r="BK674">
        <f>IF(BI674=1,BJ674,"")</f>
        <v/>
      </c>
      <c r="BL674">
        <f>IF(AND(BH674=1,BG674=0,N(AW674)&lt;Setup!$D$7),(AW674-40000)*10000+673,"")</f>
        <v/>
      </c>
      <c r="BM674">
        <f>IF(AND(BH674=1,AZ674&lt;&gt;"Cancelled",N(AW674)&gt;=Dashboard!$AB$3,N(AW674)&lt;=Dashboard!$AB$3+6),(AW674-40000)*100000+BF674*10000+673,"")</f>
        <v/>
      </c>
      <c r="BN674">
        <f>IF(AND(BH674=1,AZ674&lt;&gt;"Cancelled"),BF674*10000+673,"")</f>
        <v/>
      </c>
    </row>
    <row r="675">
      <c r="AS675" t="inlineStr">
        <is>
          <t>R</t>
        </is>
      </c>
      <c r="AT675" t="n">
        <v>679</v>
      </c>
      <c r="AU675">
        <f>'Recurring Log'!C679&amp;""</f>
        <v/>
      </c>
      <c r="AV675">
        <f>'Recurring Log'!D679&amp;""</f>
        <v/>
      </c>
      <c r="AW675">
        <f>IF('Recurring Log'!E679="","",'Recurring Log'!E679)</f>
        <v/>
      </c>
      <c r="AX675">
        <f>IF('Recurring Log'!G679="","",'Recurring Log'!G679)</f>
        <v/>
      </c>
      <c r="AY675">
        <f>IF('Recurring Log'!H679="","",'Recurring Log'!H679)</f>
        <v/>
      </c>
      <c r="AZ675">
        <f>IF(AU675="","",IF('Recurring Log'!J679="","Not Started",'Recurring Log'!J679))</f>
        <v/>
      </c>
      <c r="BA675">
        <f>'Recurring Log'!L679&amp;""</f>
        <v/>
      </c>
      <c r="BB675">
        <f>'Recurring Log'!M679&amp;""</f>
        <v/>
      </c>
      <c r="BC675">
        <f>'Recurring Log'!N679&amp;""</f>
        <v/>
      </c>
      <c r="BD675">
        <f>'Recurring Log'!O679&amp;""</f>
        <v/>
      </c>
      <c r="BE675">
        <f>IF('Recurring Log'!K679="","",'Recurring Log'!K679)</f>
        <v/>
      </c>
      <c r="BF675">
        <f>IFERROR(MATCH(BA675,Setup!$L$6:$L$9,0),5)</f>
        <v/>
      </c>
      <c r="BG675">
        <f>IF(OR(AZ675="Done",AZ675="Cancelled"),1,0)</f>
        <v/>
      </c>
      <c r="BH675">
        <f>IF(AND(AU675&lt;&gt;"",ISNUMBER(AW675)),1,0)</f>
        <v/>
      </c>
      <c r="BI675">
        <f>IF(BH675=0,0,IF(AND(AW675&gt;='Tasks Filter'!$F$3,AW675&lt;='Tasks Filter'!$F$4,OR('Tasks Filter'!$I$3="",ISNUMBER(SEARCH('Tasks Filter'!$I$3,AU675))),OR('Tasks Filter'!$I$4="",BF675=IFERROR(MATCH('Tasks Filter'!$I$4,Setup!$L$6:$L$9,0),0)),OR('Tasks Filter'!$I$5="Both",AND('Tasks Filter'!$I$5="Yes",BB675="✓"),AND('Tasks Filter'!$I$5="No",BB675&lt;&gt;"✓")),OR('Tasks Filter'!$L$3="",AV675='Tasks Filter'!$L$3),OR('Tasks Filter'!$L$4="",AZ675='Tasks Filter'!$L$4),OR('Tasks Filter'!$L$5="",BC675='Tasks Filter'!$L$5),OR('Tasks Filter'!$O$3="",BD675='Tasks Filter'!$O$3),OR('Tasks Filter'!$O$4="Yes",BG675=0)),1,0))</f>
        <v/>
      </c>
      <c r="BJ675">
        <f>IF(BH675=0,"",IF('Tasks Filter'!$F$6="Descending",-1,1)*CHOOSE(MATCH('Tasks Filter'!$F$5,Lists!$G$2:$G$6,0),AW675,BF675,IFERROR(MATCH(AV675,Setup!$F$6:$F$15,0),99),IFERROR(MATCH(BC675,Setup!$H$6:$H$15,0),99),IFERROR(MATCH(AZ675,Setup!$J$6:$J$11,0),99))*1E+9+(AW675-40000)*10000+674)</f>
        <v/>
      </c>
      <c r="BK675">
        <f>IF(BI675=1,BJ675,"")</f>
        <v/>
      </c>
      <c r="BL675">
        <f>IF(AND(BH675=1,BG675=0,N(AW675)&lt;Setup!$D$7),(AW675-40000)*10000+674,"")</f>
        <v/>
      </c>
      <c r="BM675">
        <f>IF(AND(BH675=1,AZ675&lt;&gt;"Cancelled",N(AW675)&gt;=Dashboard!$AB$3,N(AW675)&lt;=Dashboard!$AB$3+6),(AW675-40000)*100000+BF675*10000+674,"")</f>
        <v/>
      </c>
      <c r="BN675">
        <f>IF(AND(BH675=1,AZ675&lt;&gt;"Cancelled"),BF675*10000+674,"")</f>
        <v/>
      </c>
    </row>
    <row r="676">
      <c r="AS676" t="inlineStr">
        <is>
          <t>R</t>
        </is>
      </c>
      <c r="AT676" t="n">
        <v>680</v>
      </c>
      <c r="AU676">
        <f>'Recurring Log'!C680&amp;""</f>
        <v/>
      </c>
      <c r="AV676">
        <f>'Recurring Log'!D680&amp;""</f>
        <v/>
      </c>
      <c r="AW676">
        <f>IF('Recurring Log'!E680="","",'Recurring Log'!E680)</f>
        <v/>
      </c>
      <c r="AX676">
        <f>IF('Recurring Log'!G680="","",'Recurring Log'!G680)</f>
        <v/>
      </c>
      <c r="AY676">
        <f>IF('Recurring Log'!H680="","",'Recurring Log'!H680)</f>
        <v/>
      </c>
      <c r="AZ676">
        <f>IF(AU676="","",IF('Recurring Log'!J680="","Not Started",'Recurring Log'!J680))</f>
        <v/>
      </c>
      <c r="BA676">
        <f>'Recurring Log'!L680&amp;""</f>
        <v/>
      </c>
      <c r="BB676">
        <f>'Recurring Log'!M680&amp;""</f>
        <v/>
      </c>
      <c r="BC676">
        <f>'Recurring Log'!N680&amp;""</f>
        <v/>
      </c>
      <c r="BD676">
        <f>'Recurring Log'!O680&amp;""</f>
        <v/>
      </c>
      <c r="BE676">
        <f>IF('Recurring Log'!K680="","",'Recurring Log'!K680)</f>
        <v/>
      </c>
      <c r="BF676">
        <f>IFERROR(MATCH(BA676,Setup!$L$6:$L$9,0),5)</f>
        <v/>
      </c>
      <c r="BG676">
        <f>IF(OR(AZ676="Done",AZ676="Cancelled"),1,0)</f>
        <v/>
      </c>
      <c r="BH676">
        <f>IF(AND(AU676&lt;&gt;"",ISNUMBER(AW676)),1,0)</f>
        <v/>
      </c>
      <c r="BI676">
        <f>IF(BH676=0,0,IF(AND(AW676&gt;='Tasks Filter'!$F$3,AW676&lt;='Tasks Filter'!$F$4,OR('Tasks Filter'!$I$3="",ISNUMBER(SEARCH('Tasks Filter'!$I$3,AU676))),OR('Tasks Filter'!$I$4="",BF676=IFERROR(MATCH('Tasks Filter'!$I$4,Setup!$L$6:$L$9,0),0)),OR('Tasks Filter'!$I$5="Both",AND('Tasks Filter'!$I$5="Yes",BB676="✓"),AND('Tasks Filter'!$I$5="No",BB676&lt;&gt;"✓")),OR('Tasks Filter'!$L$3="",AV676='Tasks Filter'!$L$3),OR('Tasks Filter'!$L$4="",AZ676='Tasks Filter'!$L$4),OR('Tasks Filter'!$L$5="",BC676='Tasks Filter'!$L$5),OR('Tasks Filter'!$O$3="",BD676='Tasks Filter'!$O$3),OR('Tasks Filter'!$O$4="Yes",BG676=0)),1,0))</f>
        <v/>
      </c>
      <c r="BJ676">
        <f>IF(BH676=0,"",IF('Tasks Filter'!$F$6="Descending",-1,1)*CHOOSE(MATCH('Tasks Filter'!$F$5,Lists!$G$2:$G$6,0),AW676,BF676,IFERROR(MATCH(AV676,Setup!$F$6:$F$15,0),99),IFERROR(MATCH(BC676,Setup!$H$6:$H$15,0),99),IFERROR(MATCH(AZ676,Setup!$J$6:$J$11,0),99))*1E+9+(AW676-40000)*10000+675)</f>
        <v/>
      </c>
      <c r="BK676">
        <f>IF(BI676=1,BJ676,"")</f>
        <v/>
      </c>
      <c r="BL676">
        <f>IF(AND(BH676=1,BG676=0,N(AW676)&lt;Setup!$D$7),(AW676-40000)*10000+675,"")</f>
        <v/>
      </c>
      <c r="BM676">
        <f>IF(AND(BH676=1,AZ676&lt;&gt;"Cancelled",N(AW676)&gt;=Dashboard!$AB$3,N(AW676)&lt;=Dashboard!$AB$3+6),(AW676-40000)*100000+BF676*10000+675,"")</f>
        <v/>
      </c>
      <c r="BN676">
        <f>IF(AND(BH676=1,AZ676&lt;&gt;"Cancelled"),BF676*10000+675,"")</f>
        <v/>
      </c>
    </row>
    <row r="677">
      <c r="AS677" t="inlineStr">
        <is>
          <t>R</t>
        </is>
      </c>
      <c r="AT677" t="n">
        <v>681</v>
      </c>
      <c r="AU677">
        <f>'Recurring Log'!C681&amp;""</f>
        <v/>
      </c>
      <c r="AV677">
        <f>'Recurring Log'!D681&amp;""</f>
        <v/>
      </c>
      <c r="AW677">
        <f>IF('Recurring Log'!E681="","",'Recurring Log'!E681)</f>
        <v/>
      </c>
      <c r="AX677">
        <f>IF('Recurring Log'!G681="","",'Recurring Log'!G681)</f>
        <v/>
      </c>
      <c r="AY677">
        <f>IF('Recurring Log'!H681="","",'Recurring Log'!H681)</f>
        <v/>
      </c>
      <c r="AZ677">
        <f>IF(AU677="","",IF('Recurring Log'!J681="","Not Started",'Recurring Log'!J681))</f>
        <v/>
      </c>
      <c r="BA677">
        <f>'Recurring Log'!L681&amp;""</f>
        <v/>
      </c>
      <c r="BB677">
        <f>'Recurring Log'!M681&amp;""</f>
        <v/>
      </c>
      <c r="BC677">
        <f>'Recurring Log'!N681&amp;""</f>
        <v/>
      </c>
      <c r="BD677">
        <f>'Recurring Log'!O681&amp;""</f>
        <v/>
      </c>
      <c r="BE677">
        <f>IF('Recurring Log'!K681="","",'Recurring Log'!K681)</f>
        <v/>
      </c>
      <c r="BF677">
        <f>IFERROR(MATCH(BA677,Setup!$L$6:$L$9,0),5)</f>
        <v/>
      </c>
      <c r="BG677">
        <f>IF(OR(AZ677="Done",AZ677="Cancelled"),1,0)</f>
        <v/>
      </c>
      <c r="BH677">
        <f>IF(AND(AU677&lt;&gt;"",ISNUMBER(AW677)),1,0)</f>
        <v/>
      </c>
      <c r="BI677">
        <f>IF(BH677=0,0,IF(AND(AW677&gt;='Tasks Filter'!$F$3,AW677&lt;='Tasks Filter'!$F$4,OR('Tasks Filter'!$I$3="",ISNUMBER(SEARCH('Tasks Filter'!$I$3,AU677))),OR('Tasks Filter'!$I$4="",BF677=IFERROR(MATCH('Tasks Filter'!$I$4,Setup!$L$6:$L$9,0),0)),OR('Tasks Filter'!$I$5="Both",AND('Tasks Filter'!$I$5="Yes",BB677="✓"),AND('Tasks Filter'!$I$5="No",BB677&lt;&gt;"✓")),OR('Tasks Filter'!$L$3="",AV677='Tasks Filter'!$L$3),OR('Tasks Filter'!$L$4="",AZ677='Tasks Filter'!$L$4),OR('Tasks Filter'!$L$5="",BC677='Tasks Filter'!$L$5),OR('Tasks Filter'!$O$3="",BD677='Tasks Filter'!$O$3),OR('Tasks Filter'!$O$4="Yes",BG677=0)),1,0))</f>
        <v/>
      </c>
      <c r="BJ677">
        <f>IF(BH677=0,"",IF('Tasks Filter'!$F$6="Descending",-1,1)*CHOOSE(MATCH('Tasks Filter'!$F$5,Lists!$G$2:$G$6,0),AW677,BF677,IFERROR(MATCH(AV677,Setup!$F$6:$F$15,0),99),IFERROR(MATCH(BC677,Setup!$H$6:$H$15,0),99),IFERROR(MATCH(AZ677,Setup!$J$6:$J$11,0),99))*1E+9+(AW677-40000)*10000+676)</f>
        <v/>
      </c>
      <c r="BK677">
        <f>IF(BI677=1,BJ677,"")</f>
        <v/>
      </c>
      <c r="BL677">
        <f>IF(AND(BH677=1,BG677=0,N(AW677)&lt;Setup!$D$7),(AW677-40000)*10000+676,"")</f>
        <v/>
      </c>
      <c r="BM677">
        <f>IF(AND(BH677=1,AZ677&lt;&gt;"Cancelled",N(AW677)&gt;=Dashboard!$AB$3,N(AW677)&lt;=Dashboard!$AB$3+6),(AW677-40000)*100000+BF677*10000+676,"")</f>
        <v/>
      </c>
      <c r="BN677">
        <f>IF(AND(BH677=1,AZ677&lt;&gt;"Cancelled"),BF677*10000+676,"")</f>
        <v/>
      </c>
    </row>
    <row r="678">
      <c r="AS678" t="inlineStr">
        <is>
          <t>R</t>
        </is>
      </c>
      <c r="AT678" t="n">
        <v>682</v>
      </c>
      <c r="AU678">
        <f>'Recurring Log'!C682&amp;""</f>
        <v/>
      </c>
      <c r="AV678">
        <f>'Recurring Log'!D682&amp;""</f>
        <v/>
      </c>
      <c r="AW678">
        <f>IF('Recurring Log'!E682="","",'Recurring Log'!E682)</f>
        <v/>
      </c>
      <c r="AX678">
        <f>IF('Recurring Log'!G682="","",'Recurring Log'!G682)</f>
        <v/>
      </c>
      <c r="AY678">
        <f>IF('Recurring Log'!H682="","",'Recurring Log'!H682)</f>
        <v/>
      </c>
      <c r="AZ678">
        <f>IF(AU678="","",IF('Recurring Log'!J682="","Not Started",'Recurring Log'!J682))</f>
        <v/>
      </c>
      <c r="BA678">
        <f>'Recurring Log'!L682&amp;""</f>
        <v/>
      </c>
      <c r="BB678">
        <f>'Recurring Log'!M682&amp;""</f>
        <v/>
      </c>
      <c r="BC678">
        <f>'Recurring Log'!N682&amp;""</f>
        <v/>
      </c>
      <c r="BD678">
        <f>'Recurring Log'!O682&amp;""</f>
        <v/>
      </c>
      <c r="BE678">
        <f>IF('Recurring Log'!K682="","",'Recurring Log'!K682)</f>
        <v/>
      </c>
      <c r="BF678">
        <f>IFERROR(MATCH(BA678,Setup!$L$6:$L$9,0),5)</f>
        <v/>
      </c>
      <c r="BG678">
        <f>IF(OR(AZ678="Done",AZ678="Cancelled"),1,0)</f>
        <v/>
      </c>
      <c r="BH678">
        <f>IF(AND(AU678&lt;&gt;"",ISNUMBER(AW678)),1,0)</f>
        <v/>
      </c>
      <c r="BI678">
        <f>IF(BH678=0,0,IF(AND(AW678&gt;='Tasks Filter'!$F$3,AW678&lt;='Tasks Filter'!$F$4,OR('Tasks Filter'!$I$3="",ISNUMBER(SEARCH('Tasks Filter'!$I$3,AU678))),OR('Tasks Filter'!$I$4="",BF678=IFERROR(MATCH('Tasks Filter'!$I$4,Setup!$L$6:$L$9,0),0)),OR('Tasks Filter'!$I$5="Both",AND('Tasks Filter'!$I$5="Yes",BB678="✓"),AND('Tasks Filter'!$I$5="No",BB678&lt;&gt;"✓")),OR('Tasks Filter'!$L$3="",AV678='Tasks Filter'!$L$3),OR('Tasks Filter'!$L$4="",AZ678='Tasks Filter'!$L$4),OR('Tasks Filter'!$L$5="",BC678='Tasks Filter'!$L$5),OR('Tasks Filter'!$O$3="",BD678='Tasks Filter'!$O$3),OR('Tasks Filter'!$O$4="Yes",BG678=0)),1,0))</f>
        <v/>
      </c>
      <c r="BJ678">
        <f>IF(BH678=0,"",IF('Tasks Filter'!$F$6="Descending",-1,1)*CHOOSE(MATCH('Tasks Filter'!$F$5,Lists!$G$2:$G$6,0),AW678,BF678,IFERROR(MATCH(AV678,Setup!$F$6:$F$15,0),99),IFERROR(MATCH(BC678,Setup!$H$6:$H$15,0),99),IFERROR(MATCH(AZ678,Setup!$J$6:$J$11,0),99))*1E+9+(AW678-40000)*10000+677)</f>
        <v/>
      </c>
      <c r="BK678">
        <f>IF(BI678=1,BJ678,"")</f>
        <v/>
      </c>
      <c r="BL678">
        <f>IF(AND(BH678=1,BG678=0,N(AW678)&lt;Setup!$D$7),(AW678-40000)*10000+677,"")</f>
        <v/>
      </c>
      <c r="BM678">
        <f>IF(AND(BH678=1,AZ678&lt;&gt;"Cancelled",N(AW678)&gt;=Dashboard!$AB$3,N(AW678)&lt;=Dashboard!$AB$3+6),(AW678-40000)*100000+BF678*10000+677,"")</f>
        <v/>
      </c>
      <c r="BN678">
        <f>IF(AND(BH678=1,AZ678&lt;&gt;"Cancelled"),BF678*10000+677,"")</f>
        <v/>
      </c>
    </row>
    <row r="679">
      <c r="AS679" t="inlineStr">
        <is>
          <t>R</t>
        </is>
      </c>
      <c r="AT679" t="n">
        <v>683</v>
      </c>
      <c r="AU679">
        <f>'Recurring Log'!C683&amp;""</f>
        <v/>
      </c>
      <c r="AV679">
        <f>'Recurring Log'!D683&amp;""</f>
        <v/>
      </c>
      <c r="AW679">
        <f>IF('Recurring Log'!E683="","",'Recurring Log'!E683)</f>
        <v/>
      </c>
      <c r="AX679">
        <f>IF('Recurring Log'!G683="","",'Recurring Log'!G683)</f>
        <v/>
      </c>
      <c r="AY679">
        <f>IF('Recurring Log'!H683="","",'Recurring Log'!H683)</f>
        <v/>
      </c>
      <c r="AZ679">
        <f>IF(AU679="","",IF('Recurring Log'!J683="","Not Started",'Recurring Log'!J683))</f>
        <v/>
      </c>
      <c r="BA679">
        <f>'Recurring Log'!L683&amp;""</f>
        <v/>
      </c>
      <c r="BB679">
        <f>'Recurring Log'!M683&amp;""</f>
        <v/>
      </c>
      <c r="BC679">
        <f>'Recurring Log'!N683&amp;""</f>
        <v/>
      </c>
      <c r="BD679">
        <f>'Recurring Log'!O683&amp;""</f>
        <v/>
      </c>
      <c r="BE679">
        <f>IF('Recurring Log'!K683="","",'Recurring Log'!K683)</f>
        <v/>
      </c>
      <c r="BF679">
        <f>IFERROR(MATCH(BA679,Setup!$L$6:$L$9,0),5)</f>
        <v/>
      </c>
      <c r="BG679">
        <f>IF(OR(AZ679="Done",AZ679="Cancelled"),1,0)</f>
        <v/>
      </c>
      <c r="BH679">
        <f>IF(AND(AU679&lt;&gt;"",ISNUMBER(AW679)),1,0)</f>
        <v/>
      </c>
      <c r="BI679">
        <f>IF(BH679=0,0,IF(AND(AW679&gt;='Tasks Filter'!$F$3,AW679&lt;='Tasks Filter'!$F$4,OR('Tasks Filter'!$I$3="",ISNUMBER(SEARCH('Tasks Filter'!$I$3,AU679))),OR('Tasks Filter'!$I$4="",BF679=IFERROR(MATCH('Tasks Filter'!$I$4,Setup!$L$6:$L$9,0),0)),OR('Tasks Filter'!$I$5="Both",AND('Tasks Filter'!$I$5="Yes",BB679="✓"),AND('Tasks Filter'!$I$5="No",BB679&lt;&gt;"✓")),OR('Tasks Filter'!$L$3="",AV679='Tasks Filter'!$L$3),OR('Tasks Filter'!$L$4="",AZ679='Tasks Filter'!$L$4),OR('Tasks Filter'!$L$5="",BC679='Tasks Filter'!$L$5),OR('Tasks Filter'!$O$3="",BD679='Tasks Filter'!$O$3),OR('Tasks Filter'!$O$4="Yes",BG679=0)),1,0))</f>
        <v/>
      </c>
      <c r="BJ679">
        <f>IF(BH679=0,"",IF('Tasks Filter'!$F$6="Descending",-1,1)*CHOOSE(MATCH('Tasks Filter'!$F$5,Lists!$G$2:$G$6,0),AW679,BF679,IFERROR(MATCH(AV679,Setup!$F$6:$F$15,0),99),IFERROR(MATCH(BC679,Setup!$H$6:$H$15,0),99),IFERROR(MATCH(AZ679,Setup!$J$6:$J$11,0),99))*1E+9+(AW679-40000)*10000+678)</f>
        <v/>
      </c>
      <c r="BK679">
        <f>IF(BI679=1,BJ679,"")</f>
        <v/>
      </c>
      <c r="BL679">
        <f>IF(AND(BH679=1,BG679=0,N(AW679)&lt;Setup!$D$7),(AW679-40000)*10000+678,"")</f>
        <v/>
      </c>
      <c r="BM679">
        <f>IF(AND(BH679=1,AZ679&lt;&gt;"Cancelled",N(AW679)&gt;=Dashboard!$AB$3,N(AW679)&lt;=Dashboard!$AB$3+6),(AW679-40000)*100000+BF679*10000+678,"")</f>
        <v/>
      </c>
      <c r="BN679">
        <f>IF(AND(BH679=1,AZ679&lt;&gt;"Cancelled"),BF679*10000+678,"")</f>
        <v/>
      </c>
    </row>
    <row r="680">
      <c r="AS680" t="inlineStr">
        <is>
          <t>R</t>
        </is>
      </c>
      <c r="AT680" t="n">
        <v>684</v>
      </c>
      <c r="AU680">
        <f>'Recurring Log'!C684&amp;""</f>
        <v/>
      </c>
      <c r="AV680">
        <f>'Recurring Log'!D684&amp;""</f>
        <v/>
      </c>
      <c r="AW680">
        <f>IF('Recurring Log'!E684="","",'Recurring Log'!E684)</f>
        <v/>
      </c>
      <c r="AX680">
        <f>IF('Recurring Log'!G684="","",'Recurring Log'!G684)</f>
        <v/>
      </c>
      <c r="AY680">
        <f>IF('Recurring Log'!H684="","",'Recurring Log'!H684)</f>
        <v/>
      </c>
      <c r="AZ680">
        <f>IF(AU680="","",IF('Recurring Log'!J684="","Not Started",'Recurring Log'!J684))</f>
        <v/>
      </c>
      <c r="BA680">
        <f>'Recurring Log'!L684&amp;""</f>
        <v/>
      </c>
      <c r="BB680">
        <f>'Recurring Log'!M684&amp;""</f>
        <v/>
      </c>
      <c r="BC680">
        <f>'Recurring Log'!N684&amp;""</f>
        <v/>
      </c>
      <c r="BD680">
        <f>'Recurring Log'!O684&amp;""</f>
        <v/>
      </c>
      <c r="BE680">
        <f>IF('Recurring Log'!K684="","",'Recurring Log'!K684)</f>
        <v/>
      </c>
      <c r="BF680">
        <f>IFERROR(MATCH(BA680,Setup!$L$6:$L$9,0),5)</f>
        <v/>
      </c>
      <c r="BG680">
        <f>IF(OR(AZ680="Done",AZ680="Cancelled"),1,0)</f>
        <v/>
      </c>
      <c r="BH680">
        <f>IF(AND(AU680&lt;&gt;"",ISNUMBER(AW680)),1,0)</f>
        <v/>
      </c>
      <c r="BI680">
        <f>IF(BH680=0,0,IF(AND(AW680&gt;='Tasks Filter'!$F$3,AW680&lt;='Tasks Filter'!$F$4,OR('Tasks Filter'!$I$3="",ISNUMBER(SEARCH('Tasks Filter'!$I$3,AU680))),OR('Tasks Filter'!$I$4="",BF680=IFERROR(MATCH('Tasks Filter'!$I$4,Setup!$L$6:$L$9,0),0)),OR('Tasks Filter'!$I$5="Both",AND('Tasks Filter'!$I$5="Yes",BB680="✓"),AND('Tasks Filter'!$I$5="No",BB680&lt;&gt;"✓")),OR('Tasks Filter'!$L$3="",AV680='Tasks Filter'!$L$3),OR('Tasks Filter'!$L$4="",AZ680='Tasks Filter'!$L$4),OR('Tasks Filter'!$L$5="",BC680='Tasks Filter'!$L$5),OR('Tasks Filter'!$O$3="",BD680='Tasks Filter'!$O$3),OR('Tasks Filter'!$O$4="Yes",BG680=0)),1,0))</f>
        <v/>
      </c>
      <c r="BJ680">
        <f>IF(BH680=0,"",IF('Tasks Filter'!$F$6="Descending",-1,1)*CHOOSE(MATCH('Tasks Filter'!$F$5,Lists!$G$2:$G$6,0),AW680,BF680,IFERROR(MATCH(AV680,Setup!$F$6:$F$15,0),99),IFERROR(MATCH(BC680,Setup!$H$6:$H$15,0),99),IFERROR(MATCH(AZ680,Setup!$J$6:$J$11,0),99))*1E+9+(AW680-40000)*10000+679)</f>
        <v/>
      </c>
      <c r="BK680">
        <f>IF(BI680=1,BJ680,"")</f>
        <v/>
      </c>
      <c r="BL680">
        <f>IF(AND(BH680=1,BG680=0,N(AW680)&lt;Setup!$D$7),(AW680-40000)*10000+679,"")</f>
        <v/>
      </c>
      <c r="BM680">
        <f>IF(AND(BH680=1,AZ680&lt;&gt;"Cancelled",N(AW680)&gt;=Dashboard!$AB$3,N(AW680)&lt;=Dashboard!$AB$3+6),(AW680-40000)*100000+BF680*10000+679,"")</f>
        <v/>
      </c>
      <c r="BN680">
        <f>IF(AND(BH680=1,AZ680&lt;&gt;"Cancelled"),BF680*10000+679,"")</f>
        <v/>
      </c>
    </row>
    <row r="681">
      <c r="AS681" t="inlineStr">
        <is>
          <t>R</t>
        </is>
      </c>
      <c r="AT681" t="n">
        <v>685</v>
      </c>
      <c r="AU681">
        <f>'Recurring Log'!C685&amp;""</f>
        <v/>
      </c>
      <c r="AV681">
        <f>'Recurring Log'!D685&amp;""</f>
        <v/>
      </c>
      <c r="AW681">
        <f>IF('Recurring Log'!E685="","",'Recurring Log'!E685)</f>
        <v/>
      </c>
      <c r="AX681">
        <f>IF('Recurring Log'!G685="","",'Recurring Log'!G685)</f>
        <v/>
      </c>
      <c r="AY681">
        <f>IF('Recurring Log'!H685="","",'Recurring Log'!H685)</f>
        <v/>
      </c>
      <c r="AZ681">
        <f>IF(AU681="","",IF('Recurring Log'!J685="","Not Started",'Recurring Log'!J685))</f>
        <v/>
      </c>
      <c r="BA681">
        <f>'Recurring Log'!L685&amp;""</f>
        <v/>
      </c>
      <c r="BB681">
        <f>'Recurring Log'!M685&amp;""</f>
        <v/>
      </c>
      <c r="BC681">
        <f>'Recurring Log'!N685&amp;""</f>
        <v/>
      </c>
      <c r="BD681">
        <f>'Recurring Log'!O685&amp;""</f>
        <v/>
      </c>
      <c r="BE681">
        <f>IF('Recurring Log'!K685="","",'Recurring Log'!K685)</f>
        <v/>
      </c>
      <c r="BF681">
        <f>IFERROR(MATCH(BA681,Setup!$L$6:$L$9,0),5)</f>
        <v/>
      </c>
      <c r="BG681">
        <f>IF(OR(AZ681="Done",AZ681="Cancelled"),1,0)</f>
        <v/>
      </c>
      <c r="BH681">
        <f>IF(AND(AU681&lt;&gt;"",ISNUMBER(AW681)),1,0)</f>
        <v/>
      </c>
      <c r="BI681">
        <f>IF(BH681=0,0,IF(AND(AW681&gt;='Tasks Filter'!$F$3,AW681&lt;='Tasks Filter'!$F$4,OR('Tasks Filter'!$I$3="",ISNUMBER(SEARCH('Tasks Filter'!$I$3,AU681))),OR('Tasks Filter'!$I$4="",BF681=IFERROR(MATCH('Tasks Filter'!$I$4,Setup!$L$6:$L$9,0),0)),OR('Tasks Filter'!$I$5="Both",AND('Tasks Filter'!$I$5="Yes",BB681="✓"),AND('Tasks Filter'!$I$5="No",BB681&lt;&gt;"✓")),OR('Tasks Filter'!$L$3="",AV681='Tasks Filter'!$L$3),OR('Tasks Filter'!$L$4="",AZ681='Tasks Filter'!$L$4),OR('Tasks Filter'!$L$5="",BC681='Tasks Filter'!$L$5),OR('Tasks Filter'!$O$3="",BD681='Tasks Filter'!$O$3),OR('Tasks Filter'!$O$4="Yes",BG681=0)),1,0))</f>
        <v/>
      </c>
      <c r="BJ681">
        <f>IF(BH681=0,"",IF('Tasks Filter'!$F$6="Descending",-1,1)*CHOOSE(MATCH('Tasks Filter'!$F$5,Lists!$G$2:$G$6,0),AW681,BF681,IFERROR(MATCH(AV681,Setup!$F$6:$F$15,0),99),IFERROR(MATCH(BC681,Setup!$H$6:$H$15,0),99),IFERROR(MATCH(AZ681,Setup!$J$6:$J$11,0),99))*1E+9+(AW681-40000)*10000+680)</f>
        <v/>
      </c>
      <c r="BK681">
        <f>IF(BI681=1,BJ681,"")</f>
        <v/>
      </c>
      <c r="BL681">
        <f>IF(AND(BH681=1,BG681=0,N(AW681)&lt;Setup!$D$7),(AW681-40000)*10000+680,"")</f>
        <v/>
      </c>
      <c r="BM681">
        <f>IF(AND(BH681=1,AZ681&lt;&gt;"Cancelled",N(AW681)&gt;=Dashboard!$AB$3,N(AW681)&lt;=Dashboard!$AB$3+6),(AW681-40000)*100000+BF681*10000+680,"")</f>
        <v/>
      </c>
      <c r="BN681">
        <f>IF(AND(BH681=1,AZ681&lt;&gt;"Cancelled"),BF681*10000+680,"")</f>
        <v/>
      </c>
    </row>
    <row r="682">
      <c r="AS682" t="inlineStr">
        <is>
          <t>R</t>
        </is>
      </c>
      <c r="AT682" t="n">
        <v>686</v>
      </c>
      <c r="AU682">
        <f>'Recurring Log'!C686&amp;""</f>
        <v/>
      </c>
      <c r="AV682">
        <f>'Recurring Log'!D686&amp;""</f>
        <v/>
      </c>
      <c r="AW682">
        <f>IF('Recurring Log'!E686="","",'Recurring Log'!E686)</f>
        <v/>
      </c>
      <c r="AX682">
        <f>IF('Recurring Log'!G686="","",'Recurring Log'!G686)</f>
        <v/>
      </c>
      <c r="AY682">
        <f>IF('Recurring Log'!H686="","",'Recurring Log'!H686)</f>
        <v/>
      </c>
      <c r="AZ682">
        <f>IF(AU682="","",IF('Recurring Log'!J686="","Not Started",'Recurring Log'!J686))</f>
        <v/>
      </c>
      <c r="BA682">
        <f>'Recurring Log'!L686&amp;""</f>
        <v/>
      </c>
      <c r="BB682">
        <f>'Recurring Log'!M686&amp;""</f>
        <v/>
      </c>
      <c r="BC682">
        <f>'Recurring Log'!N686&amp;""</f>
        <v/>
      </c>
      <c r="BD682">
        <f>'Recurring Log'!O686&amp;""</f>
        <v/>
      </c>
      <c r="BE682">
        <f>IF('Recurring Log'!K686="","",'Recurring Log'!K686)</f>
        <v/>
      </c>
      <c r="BF682">
        <f>IFERROR(MATCH(BA682,Setup!$L$6:$L$9,0),5)</f>
        <v/>
      </c>
      <c r="BG682">
        <f>IF(OR(AZ682="Done",AZ682="Cancelled"),1,0)</f>
        <v/>
      </c>
      <c r="BH682">
        <f>IF(AND(AU682&lt;&gt;"",ISNUMBER(AW682)),1,0)</f>
        <v/>
      </c>
      <c r="BI682">
        <f>IF(BH682=0,0,IF(AND(AW682&gt;='Tasks Filter'!$F$3,AW682&lt;='Tasks Filter'!$F$4,OR('Tasks Filter'!$I$3="",ISNUMBER(SEARCH('Tasks Filter'!$I$3,AU682))),OR('Tasks Filter'!$I$4="",BF682=IFERROR(MATCH('Tasks Filter'!$I$4,Setup!$L$6:$L$9,0),0)),OR('Tasks Filter'!$I$5="Both",AND('Tasks Filter'!$I$5="Yes",BB682="✓"),AND('Tasks Filter'!$I$5="No",BB682&lt;&gt;"✓")),OR('Tasks Filter'!$L$3="",AV682='Tasks Filter'!$L$3),OR('Tasks Filter'!$L$4="",AZ682='Tasks Filter'!$L$4),OR('Tasks Filter'!$L$5="",BC682='Tasks Filter'!$L$5),OR('Tasks Filter'!$O$3="",BD682='Tasks Filter'!$O$3),OR('Tasks Filter'!$O$4="Yes",BG682=0)),1,0))</f>
        <v/>
      </c>
      <c r="BJ682">
        <f>IF(BH682=0,"",IF('Tasks Filter'!$F$6="Descending",-1,1)*CHOOSE(MATCH('Tasks Filter'!$F$5,Lists!$G$2:$G$6,0),AW682,BF682,IFERROR(MATCH(AV682,Setup!$F$6:$F$15,0),99),IFERROR(MATCH(BC682,Setup!$H$6:$H$15,0),99),IFERROR(MATCH(AZ682,Setup!$J$6:$J$11,0),99))*1E+9+(AW682-40000)*10000+681)</f>
        <v/>
      </c>
      <c r="BK682">
        <f>IF(BI682=1,BJ682,"")</f>
        <v/>
      </c>
      <c r="BL682">
        <f>IF(AND(BH682=1,BG682=0,N(AW682)&lt;Setup!$D$7),(AW682-40000)*10000+681,"")</f>
        <v/>
      </c>
      <c r="BM682">
        <f>IF(AND(BH682=1,AZ682&lt;&gt;"Cancelled",N(AW682)&gt;=Dashboard!$AB$3,N(AW682)&lt;=Dashboard!$AB$3+6),(AW682-40000)*100000+BF682*10000+681,"")</f>
        <v/>
      </c>
      <c r="BN682">
        <f>IF(AND(BH682=1,AZ682&lt;&gt;"Cancelled"),BF682*10000+681,"")</f>
        <v/>
      </c>
    </row>
    <row r="683">
      <c r="AS683" t="inlineStr">
        <is>
          <t>R</t>
        </is>
      </c>
      <c r="AT683" t="n">
        <v>687</v>
      </c>
      <c r="AU683">
        <f>'Recurring Log'!C687&amp;""</f>
        <v/>
      </c>
      <c r="AV683">
        <f>'Recurring Log'!D687&amp;""</f>
        <v/>
      </c>
      <c r="AW683">
        <f>IF('Recurring Log'!E687="","",'Recurring Log'!E687)</f>
        <v/>
      </c>
      <c r="AX683">
        <f>IF('Recurring Log'!G687="","",'Recurring Log'!G687)</f>
        <v/>
      </c>
      <c r="AY683">
        <f>IF('Recurring Log'!H687="","",'Recurring Log'!H687)</f>
        <v/>
      </c>
      <c r="AZ683">
        <f>IF(AU683="","",IF('Recurring Log'!J687="","Not Started",'Recurring Log'!J687))</f>
        <v/>
      </c>
      <c r="BA683">
        <f>'Recurring Log'!L687&amp;""</f>
        <v/>
      </c>
      <c r="BB683">
        <f>'Recurring Log'!M687&amp;""</f>
        <v/>
      </c>
      <c r="BC683">
        <f>'Recurring Log'!N687&amp;""</f>
        <v/>
      </c>
      <c r="BD683">
        <f>'Recurring Log'!O687&amp;""</f>
        <v/>
      </c>
      <c r="BE683">
        <f>IF('Recurring Log'!K687="","",'Recurring Log'!K687)</f>
        <v/>
      </c>
      <c r="BF683">
        <f>IFERROR(MATCH(BA683,Setup!$L$6:$L$9,0),5)</f>
        <v/>
      </c>
      <c r="BG683">
        <f>IF(OR(AZ683="Done",AZ683="Cancelled"),1,0)</f>
        <v/>
      </c>
      <c r="BH683">
        <f>IF(AND(AU683&lt;&gt;"",ISNUMBER(AW683)),1,0)</f>
        <v/>
      </c>
      <c r="BI683">
        <f>IF(BH683=0,0,IF(AND(AW683&gt;='Tasks Filter'!$F$3,AW683&lt;='Tasks Filter'!$F$4,OR('Tasks Filter'!$I$3="",ISNUMBER(SEARCH('Tasks Filter'!$I$3,AU683))),OR('Tasks Filter'!$I$4="",BF683=IFERROR(MATCH('Tasks Filter'!$I$4,Setup!$L$6:$L$9,0),0)),OR('Tasks Filter'!$I$5="Both",AND('Tasks Filter'!$I$5="Yes",BB683="✓"),AND('Tasks Filter'!$I$5="No",BB683&lt;&gt;"✓")),OR('Tasks Filter'!$L$3="",AV683='Tasks Filter'!$L$3),OR('Tasks Filter'!$L$4="",AZ683='Tasks Filter'!$L$4),OR('Tasks Filter'!$L$5="",BC683='Tasks Filter'!$L$5),OR('Tasks Filter'!$O$3="",BD683='Tasks Filter'!$O$3),OR('Tasks Filter'!$O$4="Yes",BG683=0)),1,0))</f>
        <v/>
      </c>
      <c r="BJ683">
        <f>IF(BH683=0,"",IF('Tasks Filter'!$F$6="Descending",-1,1)*CHOOSE(MATCH('Tasks Filter'!$F$5,Lists!$G$2:$G$6,0),AW683,BF683,IFERROR(MATCH(AV683,Setup!$F$6:$F$15,0),99),IFERROR(MATCH(BC683,Setup!$H$6:$H$15,0),99),IFERROR(MATCH(AZ683,Setup!$J$6:$J$11,0),99))*1E+9+(AW683-40000)*10000+682)</f>
        <v/>
      </c>
      <c r="BK683">
        <f>IF(BI683=1,BJ683,"")</f>
        <v/>
      </c>
      <c r="BL683">
        <f>IF(AND(BH683=1,BG683=0,N(AW683)&lt;Setup!$D$7),(AW683-40000)*10000+682,"")</f>
        <v/>
      </c>
      <c r="BM683">
        <f>IF(AND(BH683=1,AZ683&lt;&gt;"Cancelled",N(AW683)&gt;=Dashboard!$AB$3,N(AW683)&lt;=Dashboard!$AB$3+6),(AW683-40000)*100000+BF683*10000+682,"")</f>
        <v/>
      </c>
      <c r="BN683">
        <f>IF(AND(BH683=1,AZ683&lt;&gt;"Cancelled"),BF683*10000+682,"")</f>
        <v/>
      </c>
    </row>
    <row r="684">
      <c r="AS684" t="inlineStr">
        <is>
          <t>R</t>
        </is>
      </c>
      <c r="AT684" t="n">
        <v>688</v>
      </c>
      <c r="AU684">
        <f>'Recurring Log'!C688&amp;""</f>
        <v/>
      </c>
      <c r="AV684">
        <f>'Recurring Log'!D688&amp;""</f>
        <v/>
      </c>
      <c r="AW684">
        <f>IF('Recurring Log'!E688="","",'Recurring Log'!E688)</f>
        <v/>
      </c>
      <c r="AX684">
        <f>IF('Recurring Log'!G688="","",'Recurring Log'!G688)</f>
        <v/>
      </c>
      <c r="AY684">
        <f>IF('Recurring Log'!H688="","",'Recurring Log'!H688)</f>
        <v/>
      </c>
      <c r="AZ684">
        <f>IF(AU684="","",IF('Recurring Log'!J688="","Not Started",'Recurring Log'!J688))</f>
        <v/>
      </c>
      <c r="BA684">
        <f>'Recurring Log'!L688&amp;""</f>
        <v/>
      </c>
      <c r="BB684">
        <f>'Recurring Log'!M688&amp;""</f>
        <v/>
      </c>
      <c r="BC684">
        <f>'Recurring Log'!N688&amp;""</f>
        <v/>
      </c>
      <c r="BD684">
        <f>'Recurring Log'!O688&amp;""</f>
        <v/>
      </c>
      <c r="BE684">
        <f>IF('Recurring Log'!K688="","",'Recurring Log'!K688)</f>
        <v/>
      </c>
      <c r="BF684">
        <f>IFERROR(MATCH(BA684,Setup!$L$6:$L$9,0),5)</f>
        <v/>
      </c>
      <c r="BG684">
        <f>IF(OR(AZ684="Done",AZ684="Cancelled"),1,0)</f>
        <v/>
      </c>
      <c r="BH684">
        <f>IF(AND(AU684&lt;&gt;"",ISNUMBER(AW684)),1,0)</f>
        <v/>
      </c>
      <c r="BI684">
        <f>IF(BH684=0,0,IF(AND(AW684&gt;='Tasks Filter'!$F$3,AW684&lt;='Tasks Filter'!$F$4,OR('Tasks Filter'!$I$3="",ISNUMBER(SEARCH('Tasks Filter'!$I$3,AU684))),OR('Tasks Filter'!$I$4="",BF684=IFERROR(MATCH('Tasks Filter'!$I$4,Setup!$L$6:$L$9,0),0)),OR('Tasks Filter'!$I$5="Both",AND('Tasks Filter'!$I$5="Yes",BB684="✓"),AND('Tasks Filter'!$I$5="No",BB684&lt;&gt;"✓")),OR('Tasks Filter'!$L$3="",AV684='Tasks Filter'!$L$3),OR('Tasks Filter'!$L$4="",AZ684='Tasks Filter'!$L$4),OR('Tasks Filter'!$L$5="",BC684='Tasks Filter'!$L$5),OR('Tasks Filter'!$O$3="",BD684='Tasks Filter'!$O$3),OR('Tasks Filter'!$O$4="Yes",BG684=0)),1,0))</f>
        <v/>
      </c>
      <c r="BJ684">
        <f>IF(BH684=0,"",IF('Tasks Filter'!$F$6="Descending",-1,1)*CHOOSE(MATCH('Tasks Filter'!$F$5,Lists!$G$2:$G$6,0),AW684,BF684,IFERROR(MATCH(AV684,Setup!$F$6:$F$15,0),99),IFERROR(MATCH(BC684,Setup!$H$6:$H$15,0),99),IFERROR(MATCH(AZ684,Setup!$J$6:$J$11,0),99))*1E+9+(AW684-40000)*10000+683)</f>
        <v/>
      </c>
      <c r="BK684">
        <f>IF(BI684=1,BJ684,"")</f>
        <v/>
      </c>
      <c r="BL684">
        <f>IF(AND(BH684=1,BG684=0,N(AW684)&lt;Setup!$D$7),(AW684-40000)*10000+683,"")</f>
        <v/>
      </c>
      <c r="BM684">
        <f>IF(AND(BH684=1,AZ684&lt;&gt;"Cancelled",N(AW684)&gt;=Dashboard!$AB$3,N(AW684)&lt;=Dashboard!$AB$3+6),(AW684-40000)*100000+BF684*10000+683,"")</f>
        <v/>
      </c>
      <c r="BN684">
        <f>IF(AND(BH684=1,AZ684&lt;&gt;"Cancelled"),BF684*10000+683,"")</f>
        <v/>
      </c>
    </row>
    <row r="685">
      <c r="AS685" t="inlineStr">
        <is>
          <t>R</t>
        </is>
      </c>
      <c r="AT685" t="n">
        <v>689</v>
      </c>
      <c r="AU685">
        <f>'Recurring Log'!C689&amp;""</f>
        <v/>
      </c>
      <c r="AV685">
        <f>'Recurring Log'!D689&amp;""</f>
        <v/>
      </c>
      <c r="AW685">
        <f>IF('Recurring Log'!E689="","",'Recurring Log'!E689)</f>
        <v/>
      </c>
      <c r="AX685">
        <f>IF('Recurring Log'!G689="","",'Recurring Log'!G689)</f>
        <v/>
      </c>
      <c r="AY685">
        <f>IF('Recurring Log'!H689="","",'Recurring Log'!H689)</f>
        <v/>
      </c>
      <c r="AZ685">
        <f>IF(AU685="","",IF('Recurring Log'!J689="","Not Started",'Recurring Log'!J689))</f>
        <v/>
      </c>
      <c r="BA685">
        <f>'Recurring Log'!L689&amp;""</f>
        <v/>
      </c>
      <c r="BB685">
        <f>'Recurring Log'!M689&amp;""</f>
        <v/>
      </c>
      <c r="BC685">
        <f>'Recurring Log'!N689&amp;""</f>
        <v/>
      </c>
      <c r="BD685">
        <f>'Recurring Log'!O689&amp;""</f>
        <v/>
      </c>
      <c r="BE685">
        <f>IF('Recurring Log'!K689="","",'Recurring Log'!K689)</f>
        <v/>
      </c>
      <c r="BF685">
        <f>IFERROR(MATCH(BA685,Setup!$L$6:$L$9,0),5)</f>
        <v/>
      </c>
      <c r="BG685">
        <f>IF(OR(AZ685="Done",AZ685="Cancelled"),1,0)</f>
        <v/>
      </c>
      <c r="BH685">
        <f>IF(AND(AU685&lt;&gt;"",ISNUMBER(AW685)),1,0)</f>
        <v/>
      </c>
      <c r="BI685">
        <f>IF(BH685=0,0,IF(AND(AW685&gt;='Tasks Filter'!$F$3,AW685&lt;='Tasks Filter'!$F$4,OR('Tasks Filter'!$I$3="",ISNUMBER(SEARCH('Tasks Filter'!$I$3,AU685))),OR('Tasks Filter'!$I$4="",BF685=IFERROR(MATCH('Tasks Filter'!$I$4,Setup!$L$6:$L$9,0),0)),OR('Tasks Filter'!$I$5="Both",AND('Tasks Filter'!$I$5="Yes",BB685="✓"),AND('Tasks Filter'!$I$5="No",BB685&lt;&gt;"✓")),OR('Tasks Filter'!$L$3="",AV685='Tasks Filter'!$L$3),OR('Tasks Filter'!$L$4="",AZ685='Tasks Filter'!$L$4),OR('Tasks Filter'!$L$5="",BC685='Tasks Filter'!$L$5),OR('Tasks Filter'!$O$3="",BD685='Tasks Filter'!$O$3),OR('Tasks Filter'!$O$4="Yes",BG685=0)),1,0))</f>
        <v/>
      </c>
      <c r="BJ685">
        <f>IF(BH685=0,"",IF('Tasks Filter'!$F$6="Descending",-1,1)*CHOOSE(MATCH('Tasks Filter'!$F$5,Lists!$G$2:$G$6,0),AW685,BF685,IFERROR(MATCH(AV685,Setup!$F$6:$F$15,0),99),IFERROR(MATCH(BC685,Setup!$H$6:$H$15,0),99),IFERROR(MATCH(AZ685,Setup!$J$6:$J$11,0),99))*1E+9+(AW685-40000)*10000+684)</f>
        <v/>
      </c>
      <c r="BK685">
        <f>IF(BI685=1,BJ685,"")</f>
        <v/>
      </c>
      <c r="BL685">
        <f>IF(AND(BH685=1,BG685=0,N(AW685)&lt;Setup!$D$7),(AW685-40000)*10000+684,"")</f>
        <v/>
      </c>
      <c r="BM685">
        <f>IF(AND(BH685=1,AZ685&lt;&gt;"Cancelled",N(AW685)&gt;=Dashboard!$AB$3,N(AW685)&lt;=Dashboard!$AB$3+6),(AW685-40000)*100000+BF685*10000+684,"")</f>
        <v/>
      </c>
      <c r="BN685">
        <f>IF(AND(BH685=1,AZ685&lt;&gt;"Cancelled"),BF685*10000+684,"")</f>
        <v/>
      </c>
    </row>
    <row r="686">
      <c r="AS686" t="inlineStr">
        <is>
          <t>R</t>
        </is>
      </c>
      <c r="AT686" t="n">
        <v>690</v>
      </c>
      <c r="AU686">
        <f>'Recurring Log'!C690&amp;""</f>
        <v/>
      </c>
      <c r="AV686">
        <f>'Recurring Log'!D690&amp;""</f>
        <v/>
      </c>
      <c r="AW686">
        <f>IF('Recurring Log'!E690="","",'Recurring Log'!E690)</f>
        <v/>
      </c>
      <c r="AX686">
        <f>IF('Recurring Log'!G690="","",'Recurring Log'!G690)</f>
        <v/>
      </c>
      <c r="AY686">
        <f>IF('Recurring Log'!H690="","",'Recurring Log'!H690)</f>
        <v/>
      </c>
      <c r="AZ686">
        <f>IF(AU686="","",IF('Recurring Log'!J690="","Not Started",'Recurring Log'!J690))</f>
        <v/>
      </c>
      <c r="BA686">
        <f>'Recurring Log'!L690&amp;""</f>
        <v/>
      </c>
      <c r="BB686">
        <f>'Recurring Log'!M690&amp;""</f>
        <v/>
      </c>
      <c r="BC686">
        <f>'Recurring Log'!N690&amp;""</f>
        <v/>
      </c>
      <c r="BD686">
        <f>'Recurring Log'!O690&amp;""</f>
        <v/>
      </c>
      <c r="BE686">
        <f>IF('Recurring Log'!K690="","",'Recurring Log'!K690)</f>
        <v/>
      </c>
      <c r="BF686">
        <f>IFERROR(MATCH(BA686,Setup!$L$6:$L$9,0),5)</f>
        <v/>
      </c>
      <c r="BG686">
        <f>IF(OR(AZ686="Done",AZ686="Cancelled"),1,0)</f>
        <v/>
      </c>
      <c r="BH686">
        <f>IF(AND(AU686&lt;&gt;"",ISNUMBER(AW686)),1,0)</f>
        <v/>
      </c>
      <c r="BI686">
        <f>IF(BH686=0,0,IF(AND(AW686&gt;='Tasks Filter'!$F$3,AW686&lt;='Tasks Filter'!$F$4,OR('Tasks Filter'!$I$3="",ISNUMBER(SEARCH('Tasks Filter'!$I$3,AU686))),OR('Tasks Filter'!$I$4="",BF686=IFERROR(MATCH('Tasks Filter'!$I$4,Setup!$L$6:$L$9,0),0)),OR('Tasks Filter'!$I$5="Both",AND('Tasks Filter'!$I$5="Yes",BB686="✓"),AND('Tasks Filter'!$I$5="No",BB686&lt;&gt;"✓")),OR('Tasks Filter'!$L$3="",AV686='Tasks Filter'!$L$3),OR('Tasks Filter'!$L$4="",AZ686='Tasks Filter'!$L$4),OR('Tasks Filter'!$L$5="",BC686='Tasks Filter'!$L$5),OR('Tasks Filter'!$O$3="",BD686='Tasks Filter'!$O$3),OR('Tasks Filter'!$O$4="Yes",BG686=0)),1,0))</f>
        <v/>
      </c>
      <c r="BJ686">
        <f>IF(BH686=0,"",IF('Tasks Filter'!$F$6="Descending",-1,1)*CHOOSE(MATCH('Tasks Filter'!$F$5,Lists!$G$2:$G$6,0),AW686,BF686,IFERROR(MATCH(AV686,Setup!$F$6:$F$15,0),99),IFERROR(MATCH(BC686,Setup!$H$6:$H$15,0),99),IFERROR(MATCH(AZ686,Setup!$J$6:$J$11,0),99))*1E+9+(AW686-40000)*10000+685)</f>
        <v/>
      </c>
      <c r="BK686">
        <f>IF(BI686=1,BJ686,"")</f>
        <v/>
      </c>
      <c r="BL686">
        <f>IF(AND(BH686=1,BG686=0,N(AW686)&lt;Setup!$D$7),(AW686-40000)*10000+685,"")</f>
        <v/>
      </c>
      <c r="BM686">
        <f>IF(AND(BH686=1,AZ686&lt;&gt;"Cancelled",N(AW686)&gt;=Dashboard!$AB$3,N(AW686)&lt;=Dashboard!$AB$3+6),(AW686-40000)*100000+BF686*10000+685,"")</f>
        <v/>
      </c>
      <c r="BN686">
        <f>IF(AND(BH686=1,AZ686&lt;&gt;"Cancelled"),BF686*10000+685,"")</f>
        <v/>
      </c>
    </row>
    <row r="687">
      <c r="AS687" t="inlineStr">
        <is>
          <t>R</t>
        </is>
      </c>
      <c r="AT687" t="n">
        <v>691</v>
      </c>
      <c r="AU687">
        <f>'Recurring Log'!C691&amp;""</f>
        <v/>
      </c>
      <c r="AV687">
        <f>'Recurring Log'!D691&amp;""</f>
        <v/>
      </c>
      <c r="AW687">
        <f>IF('Recurring Log'!E691="","",'Recurring Log'!E691)</f>
        <v/>
      </c>
      <c r="AX687">
        <f>IF('Recurring Log'!G691="","",'Recurring Log'!G691)</f>
        <v/>
      </c>
      <c r="AY687">
        <f>IF('Recurring Log'!H691="","",'Recurring Log'!H691)</f>
        <v/>
      </c>
      <c r="AZ687">
        <f>IF(AU687="","",IF('Recurring Log'!J691="","Not Started",'Recurring Log'!J691))</f>
        <v/>
      </c>
      <c r="BA687">
        <f>'Recurring Log'!L691&amp;""</f>
        <v/>
      </c>
      <c r="BB687">
        <f>'Recurring Log'!M691&amp;""</f>
        <v/>
      </c>
      <c r="BC687">
        <f>'Recurring Log'!N691&amp;""</f>
        <v/>
      </c>
      <c r="BD687">
        <f>'Recurring Log'!O691&amp;""</f>
        <v/>
      </c>
      <c r="BE687">
        <f>IF('Recurring Log'!K691="","",'Recurring Log'!K691)</f>
        <v/>
      </c>
      <c r="BF687">
        <f>IFERROR(MATCH(BA687,Setup!$L$6:$L$9,0),5)</f>
        <v/>
      </c>
      <c r="BG687">
        <f>IF(OR(AZ687="Done",AZ687="Cancelled"),1,0)</f>
        <v/>
      </c>
      <c r="BH687">
        <f>IF(AND(AU687&lt;&gt;"",ISNUMBER(AW687)),1,0)</f>
        <v/>
      </c>
      <c r="BI687">
        <f>IF(BH687=0,0,IF(AND(AW687&gt;='Tasks Filter'!$F$3,AW687&lt;='Tasks Filter'!$F$4,OR('Tasks Filter'!$I$3="",ISNUMBER(SEARCH('Tasks Filter'!$I$3,AU687))),OR('Tasks Filter'!$I$4="",BF687=IFERROR(MATCH('Tasks Filter'!$I$4,Setup!$L$6:$L$9,0),0)),OR('Tasks Filter'!$I$5="Both",AND('Tasks Filter'!$I$5="Yes",BB687="✓"),AND('Tasks Filter'!$I$5="No",BB687&lt;&gt;"✓")),OR('Tasks Filter'!$L$3="",AV687='Tasks Filter'!$L$3),OR('Tasks Filter'!$L$4="",AZ687='Tasks Filter'!$L$4),OR('Tasks Filter'!$L$5="",BC687='Tasks Filter'!$L$5),OR('Tasks Filter'!$O$3="",BD687='Tasks Filter'!$O$3),OR('Tasks Filter'!$O$4="Yes",BG687=0)),1,0))</f>
        <v/>
      </c>
      <c r="BJ687">
        <f>IF(BH687=0,"",IF('Tasks Filter'!$F$6="Descending",-1,1)*CHOOSE(MATCH('Tasks Filter'!$F$5,Lists!$G$2:$G$6,0),AW687,BF687,IFERROR(MATCH(AV687,Setup!$F$6:$F$15,0),99),IFERROR(MATCH(BC687,Setup!$H$6:$H$15,0),99),IFERROR(MATCH(AZ687,Setup!$J$6:$J$11,0),99))*1E+9+(AW687-40000)*10000+686)</f>
        <v/>
      </c>
      <c r="BK687">
        <f>IF(BI687=1,BJ687,"")</f>
        <v/>
      </c>
      <c r="BL687">
        <f>IF(AND(BH687=1,BG687=0,N(AW687)&lt;Setup!$D$7),(AW687-40000)*10000+686,"")</f>
        <v/>
      </c>
      <c r="BM687">
        <f>IF(AND(BH687=1,AZ687&lt;&gt;"Cancelled",N(AW687)&gt;=Dashboard!$AB$3,N(AW687)&lt;=Dashboard!$AB$3+6),(AW687-40000)*100000+BF687*10000+686,"")</f>
        <v/>
      </c>
      <c r="BN687">
        <f>IF(AND(BH687=1,AZ687&lt;&gt;"Cancelled"),BF687*10000+686,"")</f>
        <v/>
      </c>
    </row>
    <row r="688">
      <c r="AS688" t="inlineStr">
        <is>
          <t>R</t>
        </is>
      </c>
      <c r="AT688" t="n">
        <v>692</v>
      </c>
      <c r="AU688">
        <f>'Recurring Log'!C692&amp;""</f>
        <v/>
      </c>
      <c r="AV688">
        <f>'Recurring Log'!D692&amp;""</f>
        <v/>
      </c>
      <c r="AW688">
        <f>IF('Recurring Log'!E692="","",'Recurring Log'!E692)</f>
        <v/>
      </c>
      <c r="AX688">
        <f>IF('Recurring Log'!G692="","",'Recurring Log'!G692)</f>
        <v/>
      </c>
      <c r="AY688">
        <f>IF('Recurring Log'!H692="","",'Recurring Log'!H692)</f>
        <v/>
      </c>
      <c r="AZ688">
        <f>IF(AU688="","",IF('Recurring Log'!J692="","Not Started",'Recurring Log'!J692))</f>
        <v/>
      </c>
      <c r="BA688">
        <f>'Recurring Log'!L692&amp;""</f>
        <v/>
      </c>
      <c r="BB688">
        <f>'Recurring Log'!M692&amp;""</f>
        <v/>
      </c>
      <c r="BC688">
        <f>'Recurring Log'!N692&amp;""</f>
        <v/>
      </c>
      <c r="BD688">
        <f>'Recurring Log'!O692&amp;""</f>
        <v/>
      </c>
      <c r="BE688">
        <f>IF('Recurring Log'!K692="","",'Recurring Log'!K692)</f>
        <v/>
      </c>
      <c r="BF688">
        <f>IFERROR(MATCH(BA688,Setup!$L$6:$L$9,0),5)</f>
        <v/>
      </c>
      <c r="BG688">
        <f>IF(OR(AZ688="Done",AZ688="Cancelled"),1,0)</f>
        <v/>
      </c>
      <c r="BH688">
        <f>IF(AND(AU688&lt;&gt;"",ISNUMBER(AW688)),1,0)</f>
        <v/>
      </c>
      <c r="BI688">
        <f>IF(BH688=0,0,IF(AND(AW688&gt;='Tasks Filter'!$F$3,AW688&lt;='Tasks Filter'!$F$4,OR('Tasks Filter'!$I$3="",ISNUMBER(SEARCH('Tasks Filter'!$I$3,AU688))),OR('Tasks Filter'!$I$4="",BF688=IFERROR(MATCH('Tasks Filter'!$I$4,Setup!$L$6:$L$9,0),0)),OR('Tasks Filter'!$I$5="Both",AND('Tasks Filter'!$I$5="Yes",BB688="✓"),AND('Tasks Filter'!$I$5="No",BB688&lt;&gt;"✓")),OR('Tasks Filter'!$L$3="",AV688='Tasks Filter'!$L$3),OR('Tasks Filter'!$L$4="",AZ688='Tasks Filter'!$L$4),OR('Tasks Filter'!$L$5="",BC688='Tasks Filter'!$L$5),OR('Tasks Filter'!$O$3="",BD688='Tasks Filter'!$O$3),OR('Tasks Filter'!$O$4="Yes",BG688=0)),1,0))</f>
        <v/>
      </c>
      <c r="BJ688">
        <f>IF(BH688=0,"",IF('Tasks Filter'!$F$6="Descending",-1,1)*CHOOSE(MATCH('Tasks Filter'!$F$5,Lists!$G$2:$G$6,0),AW688,BF688,IFERROR(MATCH(AV688,Setup!$F$6:$F$15,0),99),IFERROR(MATCH(BC688,Setup!$H$6:$H$15,0),99),IFERROR(MATCH(AZ688,Setup!$J$6:$J$11,0),99))*1E+9+(AW688-40000)*10000+687)</f>
        <v/>
      </c>
      <c r="BK688">
        <f>IF(BI688=1,BJ688,"")</f>
        <v/>
      </c>
      <c r="BL688">
        <f>IF(AND(BH688=1,BG688=0,N(AW688)&lt;Setup!$D$7),(AW688-40000)*10000+687,"")</f>
        <v/>
      </c>
      <c r="BM688">
        <f>IF(AND(BH688=1,AZ688&lt;&gt;"Cancelled",N(AW688)&gt;=Dashboard!$AB$3,N(AW688)&lt;=Dashboard!$AB$3+6),(AW688-40000)*100000+BF688*10000+687,"")</f>
        <v/>
      </c>
      <c r="BN688">
        <f>IF(AND(BH688=1,AZ688&lt;&gt;"Cancelled"),BF688*10000+687,"")</f>
        <v/>
      </c>
    </row>
    <row r="689">
      <c r="AS689" t="inlineStr">
        <is>
          <t>R</t>
        </is>
      </c>
      <c r="AT689" t="n">
        <v>693</v>
      </c>
      <c r="AU689">
        <f>'Recurring Log'!C693&amp;""</f>
        <v/>
      </c>
      <c r="AV689">
        <f>'Recurring Log'!D693&amp;""</f>
        <v/>
      </c>
      <c r="AW689">
        <f>IF('Recurring Log'!E693="","",'Recurring Log'!E693)</f>
        <v/>
      </c>
      <c r="AX689">
        <f>IF('Recurring Log'!G693="","",'Recurring Log'!G693)</f>
        <v/>
      </c>
      <c r="AY689">
        <f>IF('Recurring Log'!H693="","",'Recurring Log'!H693)</f>
        <v/>
      </c>
      <c r="AZ689">
        <f>IF(AU689="","",IF('Recurring Log'!J693="","Not Started",'Recurring Log'!J693))</f>
        <v/>
      </c>
      <c r="BA689">
        <f>'Recurring Log'!L693&amp;""</f>
        <v/>
      </c>
      <c r="BB689">
        <f>'Recurring Log'!M693&amp;""</f>
        <v/>
      </c>
      <c r="BC689">
        <f>'Recurring Log'!N693&amp;""</f>
        <v/>
      </c>
      <c r="BD689">
        <f>'Recurring Log'!O693&amp;""</f>
        <v/>
      </c>
      <c r="BE689">
        <f>IF('Recurring Log'!K693="","",'Recurring Log'!K693)</f>
        <v/>
      </c>
      <c r="BF689">
        <f>IFERROR(MATCH(BA689,Setup!$L$6:$L$9,0),5)</f>
        <v/>
      </c>
      <c r="BG689">
        <f>IF(OR(AZ689="Done",AZ689="Cancelled"),1,0)</f>
        <v/>
      </c>
      <c r="BH689">
        <f>IF(AND(AU689&lt;&gt;"",ISNUMBER(AW689)),1,0)</f>
        <v/>
      </c>
      <c r="BI689">
        <f>IF(BH689=0,0,IF(AND(AW689&gt;='Tasks Filter'!$F$3,AW689&lt;='Tasks Filter'!$F$4,OR('Tasks Filter'!$I$3="",ISNUMBER(SEARCH('Tasks Filter'!$I$3,AU689))),OR('Tasks Filter'!$I$4="",BF689=IFERROR(MATCH('Tasks Filter'!$I$4,Setup!$L$6:$L$9,0),0)),OR('Tasks Filter'!$I$5="Both",AND('Tasks Filter'!$I$5="Yes",BB689="✓"),AND('Tasks Filter'!$I$5="No",BB689&lt;&gt;"✓")),OR('Tasks Filter'!$L$3="",AV689='Tasks Filter'!$L$3),OR('Tasks Filter'!$L$4="",AZ689='Tasks Filter'!$L$4),OR('Tasks Filter'!$L$5="",BC689='Tasks Filter'!$L$5),OR('Tasks Filter'!$O$3="",BD689='Tasks Filter'!$O$3),OR('Tasks Filter'!$O$4="Yes",BG689=0)),1,0))</f>
        <v/>
      </c>
      <c r="BJ689">
        <f>IF(BH689=0,"",IF('Tasks Filter'!$F$6="Descending",-1,1)*CHOOSE(MATCH('Tasks Filter'!$F$5,Lists!$G$2:$G$6,0),AW689,BF689,IFERROR(MATCH(AV689,Setup!$F$6:$F$15,0),99),IFERROR(MATCH(BC689,Setup!$H$6:$H$15,0),99),IFERROR(MATCH(AZ689,Setup!$J$6:$J$11,0),99))*1E+9+(AW689-40000)*10000+688)</f>
        <v/>
      </c>
      <c r="BK689">
        <f>IF(BI689=1,BJ689,"")</f>
        <v/>
      </c>
      <c r="BL689">
        <f>IF(AND(BH689=1,BG689=0,N(AW689)&lt;Setup!$D$7),(AW689-40000)*10000+688,"")</f>
        <v/>
      </c>
      <c r="BM689">
        <f>IF(AND(BH689=1,AZ689&lt;&gt;"Cancelled",N(AW689)&gt;=Dashboard!$AB$3,N(AW689)&lt;=Dashboard!$AB$3+6),(AW689-40000)*100000+BF689*10000+688,"")</f>
        <v/>
      </c>
      <c r="BN689">
        <f>IF(AND(BH689=1,AZ689&lt;&gt;"Cancelled"),BF689*10000+688,"")</f>
        <v/>
      </c>
    </row>
    <row r="690">
      <c r="AS690" t="inlineStr">
        <is>
          <t>R</t>
        </is>
      </c>
      <c r="AT690" t="n">
        <v>694</v>
      </c>
      <c r="AU690">
        <f>'Recurring Log'!C694&amp;""</f>
        <v/>
      </c>
      <c r="AV690">
        <f>'Recurring Log'!D694&amp;""</f>
        <v/>
      </c>
      <c r="AW690">
        <f>IF('Recurring Log'!E694="","",'Recurring Log'!E694)</f>
        <v/>
      </c>
      <c r="AX690">
        <f>IF('Recurring Log'!G694="","",'Recurring Log'!G694)</f>
        <v/>
      </c>
      <c r="AY690">
        <f>IF('Recurring Log'!H694="","",'Recurring Log'!H694)</f>
        <v/>
      </c>
      <c r="AZ690">
        <f>IF(AU690="","",IF('Recurring Log'!J694="","Not Started",'Recurring Log'!J694))</f>
        <v/>
      </c>
      <c r="BA690">
        <f>'Recurring Log'!L694&amp;""</f>
        <v/>
      </c>
      <c r="BB690">
        <f>'Recurring Log'!M694&amp;""</f>
        <v/>
      </c>
      <c r="BC690">
        <f>'Recurring Log'!N694&amp;""</f>
        <v/>
      </c>
      <c r="BD690">
        <f>'Recurring Log'!O694&amp;""</f>
        <v/>
      </c>
      <c r="BE690">
        <f>IF('Recurring Log'!K694="","",'Recurring Log'!K694)</f>
        <v/>
      </c>
      <c r="BF690">
        <f>IFERROR(MATCH(BA690,Setup!$L$6:$L$9,0),5)</f>
        <v/>
      </c>
      <c r="BG690">
        <f>IF(OR(AZ690="Done",AZ690="Cancelled"),1,0)</f>
        <v/>
      </c>
      <c r="BH690">
        <f>IF(AND(AU690&lt;&gt;"",ISNUMBER(AW690)),1,0)</f>
        <v/>
      </c>
      <c r="BI690">
        <f>IF(BH690=0,0,IF(AND(AW690&gt;='Tasks Filter'!$F$3,AW690&lt;='Tasks Filter'!$F$4,OR('Tasks Filter'!$I$3="",ISNUMBER(SEARCH('Tasks Filter'!$I$3,AU690))),OR('Tasks Filter'!$I$4="",BF690=IFERROR(MATCH('Tasks Filter'!$I$4,Setup!$L$6:$L$9,0),0)),OR('Tasks Filter'!$I$5="Both",AND('Tasks Filter'!$I$5="Yes",BB690="✓"),AND('Tasks Filter'!$I$5="No",BB690&lt;&gt;"✓")),OR('Tasks Filter'!$L$3="",AV690='Tasks Filter'!$L$3),OR('Tasks Filter'!$L$4="",AZ690='Tasks Filter'!$L$4),OR('Tasks Filter'!$L$5="",BC690='Tasks Filter'!$L$5),OR('Tasks Filter'!$O$3="",BD690='Tasks Filter'!$O$3),OR('Tasks Filter'!$O$4="Yes",BG690=0)),1,0))</f>
        <v/>
      </c>
      <c r="BJ690">
        <f>IF(BH690=0,"",IF('Tasks Filter'!$F$6="Descending",-1,1)*CHOOSE(MATCH('Tasks Filter'!$F$5,Lists!$G$2:$G$6,0),AW690,BF690,IFERROR(MATCH(AV690,Setup!$F$6:$F$15,0),99),IFERROR(MATCH(BC690,Setup!$H$6:$H$15,0),99),IFERROR(MATCH(AZ690,Setup!$J$6:$J$11,0),99))*1E+9+(AW690-40000)*10000+689)</f>
        <v/>
      </c>
      <c r="BK690">
        <f>IF(BI690=1,BJ690,"")</f>
        <v/>
      </c>
      <c r="BL690">
        <f>IF(AND(BH690=1,BG690=0,N(AW690)&lt;Setup!$D$7),(AW690-40000)*10000+689,"")</f>
        <v/>
      </c>
      <c r="BM690">
        <f>IF(AND(BH690=1,AZ690&lt;&gt;"Cancelled",N(AW690)&gt;=Dashboard!$AB$3,N(AW690)&lt;=Dashboard!$AB$3+6),(AW690-40000)*100000+BF690*10000+689,"")</f>
        <v/>
      </c>
      <c r="BN690">
        <f>IF(AND(BH690=1,AZ690&lt;&gt;"Cancelled"),BF690*10000+689,"")</f>
        <v/>
      </c>
    </row>
    <row r="691">
      <c r="AS691" t="inlineStr">
        <is>
          <t>R</t>
        </is>
      </c>
      <c r="AT691" t="n">
        <v>695</v>
      </c>
      <c r="AU691">
        <f>'Recurring Log'!C695&amp;""</f>
        <v/>
      </c>
      <c r="AV691">
        <f>'Recurring Log'!D695&amp;""</f>
        <v/>
      </c>
      <c r="AW691">
        <f>IF('Recurring Log'!E695="","",'Recurring Log'!E695)</f>
        <v/>
      </c>
      <c r="AX691">
        <f>IF('Recurring Log'!G695="","",'Recurring Log'!G695)</f>
        <v/>
      </c>
      <c r="AY691">
        <f>IF('Recurring Log'!H695="","",'Recurring Log'!H695)</f>
        <v/>
      </c>
      <c r="AZ691">
        <f>IF(AU691="","",IF('Recurring Log'!J695="","Not Started",'Recurring Log'!J695))</f>
        <v/>
      </c>
      <c r="BA691">
        <f>'Recurring Log'!L695&amp;""</f>
        <v/>
      </c>
      <c r="BB691">
        <f>'Recurring Log'!M695&amp;""</f>
        <v/>
      </c>
      <c r="BC691">
        <f>'Recurring Log'!N695&amp;""</f>
        <v/>
      </c>
      <c r="BD691">
        <f>'Recurring Log'!O695&amp;""</f>
        <v/>
      </c>
      <c r="BE691">
        <f>IF('Recurring Log'!K695="","",'Recurring Log'!K695)</f>
        <v/>
      </c>
      <c r="BF691">
        <f>IFERROR(MATCH(BA691,Setup!$L$6:$L$9,0),5)</f>
        <v/>
      </c>
      <c r="BG691">
        <f>IF(OR(AZ691="Done",AZ691="Cancelled"),1,0)</f>
        <v/>
      </c>
      <c r="BH691">
        <f>IF(AND(AU691&lt;&gt;"",ISNUMBER(AW691)),1,0)</f>
        <v/>
      </c>
      <c r="BI691">
        <f>IF(BH691=0,0,IF(AND(AW691&gt;='Tasks Filter'!$F$3,AW691&lt;='Tasks Filter'!$F$4,OR('Tasks Filter'!$I$3="",ISNUMBER(SEARCH('Tasks Filter'!$I$3,AU691))),OR('Tasks Filter'!$I$4="",BF691=IFERROR(MATCH('Tasks Filter'!$I$4,Setup!$L$6:$L$9,0),0)),OR('Tasks Filter'!$I$5="Both",AND('Tasks Filter'!$I$5="Yes",BB691="✓"),AND('Tasks Filter'!$I$5="No",BB691&lt;&gt;"✓")),OR('Tasks Filter'!$L$3="",AV691='Tasks Filter'!$L$3),OR('Tasks Filter'!$L$4="",AZ691='Tasks Filter'!$L$4),OR('Tasks Filter'!$L$5="",BC691='Tasks Filter'!$L$5),OR('Tasks Filter'!$O$3="",BD691='Tasks Filter'!$O$3),OR('Tasks Filter'!$O$4="Yes",BG691=0)),1,0))</f>
        <v/>
      </c>
      <c r="BJ691">
        <f>IF(BH691=0,"",IF('Tasks Filter'!$F$6="Descending",-1,1)*CHOOSE(MATCH('Tasks Filter'!$F$5,Lists!$G$2:$G$6,0),AW691,BF691,IFERROR(MATCH(AV691,Setup!$F$6:$F$15,0),99),IFERROR(MATCH(BC691,Setup!$H$6:$H$15,0),99),IFERROR(MATCH(AZ691,Setup!$J$6:$J$11,0),99))*1E+9+(AW691-40000)*10000+690)</f>
        <v/>
      </c>
      <c r="BK691">
        <f>IF(BI691=1,BJ691,"")</f>
        <v/>
      </c>
      <c r="BL691">
        <f>IF(AND(BH691=1,BG691=0,N(AW691)&lt;Setup!$D$7),(AW691-40000)*10000+690,"")</f>
        <v/>
      </c>
      <c r="BM691">
        <f>IF(AND(BH691=1,AZ691&lt;&gt;"Cancelled",N(AW691)&gt;=Dashboard!$AB$3,N(AW691)&lt;=Dashboard!$AB$3+6),(AW691-40000)*100000+BF691*10000+690,"")</f>
        <v/>
      </c>
      <c r="BN691">
        <f>IF(AND(BH691=1,AZ691&lt;&gt;"Cancelled"),BF691*10000+690,"")</f>
        <v/>
      </c>
    </row>
    <row r="692">
      <c r="AS692" t="inlineStr">
        <is>
          <t>R</t>
        </is>
      </c>
      <c r="AT692" t="n">
        <v>696</v>
      </c>
      <c r="AU692">
        <f>'Recurring Log'!C696&amp;""</f>
        <v/>
      </c>
      <c r="AV692">
        <f>'Recurring Log'!D696&amp;""</f>
        <v/>
      </c>
      <c r="AW692">
        <f>IF('Recurring Log'!E696="","",'Recurring Log'!E696)</f>
        <v/>
      </c>
      <c r="AX692">
        <f>IF('Recurring Log'!G696="","",'Recurring Log'!G696)</f>
        <v/>
      </c>
      <c r="AY692">
        <f>IF('Recurring Log'!H696="","",'Recurring Log'!H696)</f>
        <v/>
      </c>
      <c r="AZ692">
        <f>IF(AU692="","",IF('Recurring Log'!J696="","Not Started",'Recurring Log'!J696))</f>
        <v/>
      </c>
      <c r="BA692">
        <f>'Recurring Log'!L696&amp;""</f>
        <v/>
      </c>
      <c r="BB692">
        <f>'Recurring Log'!M696&amp;""</f>
        <v/>
      </c>
      <c r="BC692">
        <f>'Recurring Log'!N696&amp;""</f>
        <v/>
      </c>
      <c r="BD692">
        <f>'Recurring Log'!O696&amp;""</f>
        <v/>
      </c>
      <c r="BE692">
        <f>IF('Recurring Log'!K696="","",'Recurring Log'!K696)</f>
        <v/>
      </c>
      <c r="BF692">
        <f>IFERROR(MATCH(BA692,Setup!$L$6:$L$9,0),5)</f>
        <v/>
      </c>
      <c r="BG692">
        <f>IF(OR(AZ692="Done",AZ692="Cancelled"),1,0)</f>
        <v/>
      </c>
      <c r="BH692">
        <f>IF(AND(AU692&lt;&gt;"",ISNUMBER(AW692)),1,0)</f>
        <v/>
      </c>
      <c r="BI692">
        <f>IF(BH692=0,0,IF(AND(AW692&gt;='Tasks Filter'!$F$3,AW692&lt;='Tasks Filter'!$F$4,OR('Tasks Filter'!$I$3="",ISNUMBER(SEARCH('Tasks Filter'!$I$3,AU692))),OR('Tasks Filter'!$I$4="",BF692=IFERROR(MATCH('Tasks Filter'!$I$4,Setup!$L$6:$L$9,0),0)),OR('Tasks Filter'!$I$5="Both",AND('Tasks Filter'!$I$5="Yes",BB692="✓"),AND('Tasks Filter'!$I$5="No",BB692&lt;&gt;"✓")),OR('Tasks Filter'!$L$3="",AV692='Tasks Filter'!$L$3),OR('Tasks Filter'!$L$4="",AZ692='Tasks Filter'!$L$4),OR('Tasks Filter'!$L$5="",BC692='Tasks Filter'!$L$5),OR('Tasks Filter'!$O$3="",BD692='Tasks Filter'!$O$3),OR('Tasks Filter'!$O$4="Yes",BG692=0)),1,0))</f>
        <v/>
      </c>
      <c r="BJ692">
        <f>IF(BH692=0,"",IF('Tasks Filter'!$F$6="Descending",-1,1)*CHOOSE(MATCH('Tasks Filter'!$F$5,Lists!$G$2:$G$6,0),AW692,BF692,IFERROR(MATCH(AV692,Setup!$F$6:$F$15,0),99),IFERROR(MATCH(BC692,Setup!$H$6:$H$15,0),99),IFERROR(MATCH(AZ692,Setup!$J$6:$J$11,0),99))*1E+9+(AW692-40000)*10000+691)</f>
        <v/>
      </c>
      <c r="BK692">
        <f>IF(BI692=1,BJ692,"")</f>
        <v/>
      </c>
      <c r="BL692">
        <f>IF(AND(BH692=1,BG692=0,N(AW692)&lt;Setup!$D$7),(AW692-40000)*10000+691,"")</f>
        <v/>
      </c>
      <c r="BM692">
        <f>IF(AND(BH692=1,AZ692&lt;&gt;"Cancelled",N(AW692)&gt;=Dashboard!$AB$3,N(AW692)&lt;=Dashboard!$AB$3+6),(AW692-40000)*100000+BF692*10000+691,"")</f>
        <v/>
      </c>
      <c r="BN692">
        <f>IF(AND(BH692=1,AZ692&lt;&gt;"Cancelled"),BF692*10000+691,"")</f>
        <v/>
      </c>
    </row>
    <row r="693">
      <c r="AS693" t="inlineStr">
        <is>
          <t>R</t>
        </is>
      </c>
      <c r="AT693" t="n">
        <v>697</v>
      </c>
      <c r="AU693">
        <f>'Recurring Log'!C697&amp;""</f>
        <v/>
      </c>
      <c r="AV693">
        <f>'Recurring Log'!D697&amp;""</f>
        <v/>
      </c>
      <c r="AW693">
        <f>IF('Recurring Log'!E697="","",'Recurring Log'!E697)</f>
        <v/>
      </c>
      <c r="AX693">
        <f>IF('Recurring Log'!G697="","",'Recurring Log'!G697)</f>
        <v/>
      </c>
      <c r="AY693">
        <f>IF('Recurring Log'!H697="","",'Recurring Log'!H697)</f>
        <v/>
      </c>
      <c r="AZ693">
        <f>IF(AU693="","",IF('Recurring Log'!J697="","Not Started",'Recurring Log'!J697))</f>
        <v/>
      </c>
      <c r="BA693">
        <f>'Recurring Log'!L697&amp;""</f>
        <v/>
      </c>
      <c r="BB693">
        <f>'Recurring Log'!M697&amp;""</f>
        <v/>
      </c>
      <c r="BC693">
        <f>'Recurring Log'!N697&amp;""</f>
        <v/>
      </c>
      <c r="BD693">
        <f>'Recurring Log'!O697&amp;""</f>
        <v/>
      </c>
      <c r="BE693">
        <f>IF('Recurring Log'!K697="","",'Recurring Log'!K697)</f>
        <v/>
      </c>
      <c r="BF693">
        <f>IFERROR(MATCH(BA693,Setup!$L$6:$L$9,0),5)</f>
        <v/>
      </c>
      <c r="BG693">
        <f>IF(OR(AZ693="Done",AZ693="Cancelled"),1,0)</f>
        <v/>
      </c>
      <c r="BH693">
        <f>IF(AND(AU693&lt;&gt;"",ISNUMBER(AW693)),1,0)</f>
        <v/>
      </c>
      <c r="BI693">
        <f>IF(BH693=0,0,IF(AND(AW693&gt;='Tasks Filter'!$F$3,AW693&lt;='Tasks Filter'!$F$4,OR('Tasks Filter'!$I$3="",ISNUMBER(SEARCH('Tasks Filter'!$I$3,AU693))),OR('Tasks Filter'!$I$4="",BF693=IFERROR(MATCH('Tasks Filter'!$I$4,Setup!$L$6:$L$9,0),0)),OR('Tasks Filter'!$I$5="Both",AND('Tasks Filter'!$I$5="Yes",BB693="✓"),AND('Tasks Filter'!$I$5="No",BB693&lt;&gt;"✓")),OR('Tasks Filter'!$L$3="",AV693='Tasks Filter'!$L$3),OR('Tasks Filter'!$L$4="",AZ693='Tasks Filter'!$L$4),OR('Tasks Filter'!$L$5="",BC693='Tasks Filter'!$L$5),OR('Tasks Filter'!$O$3="",BD693='Tasks Filter'!$O$3),OR('Tasks Filter'!$O$4="Yes",BG693=0)),1,0))</f>
        <v/>
      </c>
      <c r="BJ693">
        <f>IF(BH693=0,"",IF('Tasks Filter'!$F$6="Descending",-1,1)*CHOOSE(MATCH('Tasks Filter'!$F$5,Lists!$G$2:$G$6,0),AW693,BF693,IFERROR(MATCH(AV693,Setup!$F$6:$F$15,0),99),IFERROR(MATCH(BC693,Setup!$H$6:$H$15,0),99),IFERROR(MATCH(AZ693,Setup!$J$6:$J$11,0),99))*1E+9+(AW693-40000)*10000+692)</f>
        <v/>
      </c>
      <c r="BK693">
        <f>IF(BI693=1,BJ693,"")</f>
        <v/>
      </c>
      <c r="BL693">
        <f>IF(AND(BH693=1,BG693=0,N(AW693)&lt;Setup!$D$7),(AW693-40000)*10000+692,"")</f>
        <v/>
      </c>
      <c r="BM693">
        <f>IF(AND(BH693=1,AZ693&lt;&gt;"Cancelled",N(AW693)&gt;=Dashboard!$AB$3,N(AW693)&lt;=Dashboard!$AB$3+6),(AW693-40000)*100000+BF693*10000+692,"")</f>
        <v/>
      </c>
      <c r="BN693">
        <f>IF(AND(BH693=1,AZ693&lt;&gt;"Cancelled"),BF693*10000+692,"")</f>
        <v/>
      </c>
    </row>
    <row r="694">
      <c r="AS694" t="inlineStr">
        <is>
          <t>R</t>
        </is>
      </c>
      <c r="AT694" t="n">
        <v>698</v>
      </c>
      <c r="AU694">
        <f>'Recurring Log'!C698&amp;""</f>
        <v/>
      </c>
      <c r="AV694">
        <f>'Recurring Log'!D698&amp;""</f>
        <v/>
      </c>
      <c r="AW694">
        <f>IF('Recurring Log'!E698="","",'Recurring Log'!E698)</f>
        <v/>
      </c>
      <c r="AX694">
        <f>IF('Recurring Log'!G698="","",'Recurring Log'!G698)</f>
        <v/>
      </c>
      <c r="AY694">
        <f>IF('Recurring Log'!H698="","",'Recurring Log'!H698)</f>
        <v/>
      </c>
      <c r="AZ694">
        <f>IF(AU694="","",IF('Recurring Log'!J698="","Not Started",'Recurring Log'!J698))</f>
        <v/>
      </c>
      <c r="BA694">
        <f>'Recurring Log'!L698&amp;""</f>
        <v/>
      </c>
      <c r="BB694">
        <f>'Recurring Log'!M698&amp;""</f>
        <v/>
      </c>
      <c r="BC694">
        <f>'Recurring Log'!N698&amp;""</f>
        <v/>
      </c>
      <c r="BD694">
        <f>'Recurring Log'!O698&amp;""</f>
        <v/>
      </c>
      <c r="BE694">
        <f>IF('Recurring Log'!K698="","",'Recurring Log'!K698)</f>
        <v/>
      </c>
      <c r="BF694">
        <f>IFERROR(MATCH(BA694,Setup!$L$6:$L$9,0),5)</f>
        <v/>
      </c>
      <c r="BG694">
        <f>IF(OR(AZ694="Done",AZ694="Cancelled"),1,0)</f>
        <v/>
      </c>
      <c r="BH694">
        <f>IF(AND(AU694&lt;&gt;"",ISNUMBER(AW694)),1,0)</f>
        <v/>
      </c>
      <c r="BI694">
        <f>IF(BH694=0,0,IF(AND(AW694&gt;='Tasks Filter'!$F$3,AW694&lt;='Tasks Filter'!$F$4,OR('Tasks Filter'!$I$3="",ISNUMBER(SEARCH('Tasks Filter'!$I$3,AU694))),OR('Tasks Filter'!$I$4="",BF694=IFERROR(MATCH('Tasks Filter'!$I$4,Setup!$L$6:$L$9,0),0)),OR('Tasks Filter'!$I$5="Both",AND('Tasks Filter'!$I$5="Yes",BB694="✓"),AND('Tasks Filter'!$I$5="No",BB694&lt;&gt;"✓")),OR('Tasks Filter'!$L$3="",AV694='Tasks Filter'!$L$3),OR('Tasks Filter'!$L$4="",AZ694='Tasks Filter'!$L$4),OR('Tasks Filter'!$L$5="",BC694='Tasks Filter'!$L$5),OR('Tasks Filter'!$O$3="",BD694='Tasks Filter'!$O$3),OR('Tasks Filter'!$O$4="Yes",BG694=0)),1,0))</f>
        <v/>
      </c>
      <c r="BJ694">
        <f>IF(BH694=0,"",IF('Tasks Filter'!$F$6="Descending",-1,1)*CHOOSE(MATCH('Tasks Filter'!$F$5,Lists!$G$2:$G$6,0),AW694,BF694,IFERROR(MATCH(AV694,Setup!$F$6:$F$15,0),99),IFERROR(MATCH(BC694,Setup!$H$6:$H$15,0),99),IFERROR(MATCH(AZ694,Setup!$J$6:$J$11,0),99))*1E+9+(AW694-40000)*10000+693)</f>
        <v/>
      </c>
      <c r="BK694">
        <f>IF(BI694=1,BJ694,"")</f>
        <v/>
      </c>
      <c r="BL694">
        <f>IF(AND(BH694=1,BG694=0,N(AW694)&lt;Setup!$D$7),(AW694-40000)*10000+693,"")</f>
        <v/>
      </c>
      <c r="BM694">
        <f>IF(AND(BH694=1,AZ694&lt;&gt;"Cancelled",N(AW694)&gt;=Dashboard!$AB$3,N(AW694)&lt;=Dashboard!$AB$3+6),(AW694-40000)*100000+BF694*10000+693,"")</f>
        <v/>
      </c>
      <c r="BN694">
        <f>IF(AND(BH694=1,AZ694&lt;&gt;"Cancelled"),BF694*10000+693,"")</f>
        <v/>
      </c>
    </row>
    <row r="695">
      <c r="AS695" t="inlineStr">
        <is>
          <t>R</t>
        </is>
      </c>
      <c r="AT695" t="n">
        <v>699</v>
      </c>
      <c r="AU695">
        <f>'Recurring Log'!C699&amp;""</f>
        <v/>
      </c>
      <c r="AV695">
        <f>'Recurring Log'!D699&amp;""</f>
        <v/>
      </c>
      <c r="AW695">
        <f>IF('Recurring Log'!E699="","",'Recurring Log'!E699)</f>
        <v/>
      </c>
      <c r="AX695">
        <f>IF('Recurring Log'!G699="","",'Recurring Log'!G699)</f>
        <v/>
      </c>
      <c r="AY695">
        <f>IF('Recurring Log'!H699="","",'Recurring Log'!H699)</f>
        <v/>
      </c>
      <c r="AZ695">
        <f>IF(AU695="","",IF('Recurring Log'!J699="","Not Started",'Recurring Log'!J699))</f>
        <v/>
      </c>
      <c r="BA695">
        <f>'Recurring Log'!L699&amp;""</f>
        <v/>
      </c>
      <c r="BB695">
        <f>'Recurring Log'!M699&amp;""</f>
        <v/>
      </c>
      <c r="BC695">
        <f>'Recurring Log'!N699&amp;""</f>
        <v/>
      </c>
      <c r="BD695">
        <f>'Recurring Log'!O699&amp;""</f>
        <v/>
      </c>
      <c r="BE695">
        <f>IF('Recurring Log'!K699="","",'Recurring Log'!K699)</f>
        <v/>
      </c>
      <c r="BF695">
        <f>IFERROR(MATCH(BA695,Setup!$L$6:$L$9,0),5)</f>
        <v/>
      </c>
      <c r="BG695">
        <f>IF(OR(AZ695="Done",AZ695="Cancelled"),1,0)</f>
        <v/>
      </c>
      <c r="BH695">
        <f>IF(AND(AU695&lt;&gt;"",ISNUMBER(AW695)),1,0)</f>
        <v/>
      </c>
      <c r="BI695">
        <f>IF(BH695=0,0,IF(AND(AW695&gt;='Tasks Filter'!$F$3,AW695&lt;='Tasks Filter'!$F$4,OR('Tasks Filter'!$I$3="",ISNUMBER(SEARCH('Tasks Filter'!$I$3,AU695))),OR('Tasks Filter'!$I$4="",BF695=IFERROR(MATCH('Tasks Filter'!$I$4,Setup!$L$6:$L$9,0),0)),OR('Tasks Filter'!$I$5="Both",AND('Tasks Filter'!$I$5="Yes",BB695="✓"),AND('Tasks Filter'!$I$5="No",BB695&lt;&gt;"✓")),OR('Tasks Filter'!$L$3="",AV695='Tasks Filter'!$L$3),OR('Tasks Filter'!$L$4="",AZ695='Tasks Filter'!$L$4),OR('Tasks Filter'!$L$5="",BC695='Tasks Filter'!$L$5),OR('Tasks Filter'!$O$3="",BD695='Tasks Filter'!$O$3),OR('Tasks Filter'!$O$4="Yes",BG695=0)),1,0))</f>
        <v/>
      </c>
      <c r="BJ695">
        <f>IF(BH695=0,"",IF('Tasks Filter'!$F$6="Descending",-1,1)*CHOOSE(MATCH('Tasks Filter'!$F$5,Lists!$G$2:$G$6,0),AW695,BF695,IFERROR(MATCH(AV695,Setup!$F$6:$F$15,0),99),IFERROR(MATCH(BC695,Setup!$H$6:$H$15,0),99),IFERROR(MATCH(AZ695,Setup!$J$6:$J$11,0),99))*1E+9+(AW695-40000)*10000+694)</f>
        <v/>
      </c>
      <c r="BK695">
        <f>IF(BI695=1,BJ695,"")</f>
        <v/>
      </c>
      <c r="BL695">
        <f>IF(AND(BH695=1,BG695=0,N(AW695)&lt;Setup!$D$7),(AW695-40000)*10000+694,"")</f>
        <v/>
      </c>
      <c r="BM695">
        <f>IF(AND(BH695=1,AZ695&lt;&gt;"Cancelled",N(AW695)&gt;=Dashboard!$AB$3,N(AW695)&lt;=Dashboard!$AB$3+6),(AW695-40000)*100000+BF695*10000+694,"")</f>
        <v/>
      </c>
      <c r="BN695">
        <f>IF(AND(BH695=1,AZ695&lt;&gt;"Cancelled"),BF695*10000+694,"")</f>
        <v/>
      </c>
    </row>
    <row r="696">
      <c r="AS696" t="inlineStr">
        <is>
          <t>R</t>
        </is>
      </c>
      <c r="AT696" t="n">
        <v>700</v>
      </c>
      <c r="AU696">
        <f>'Recurring Log'!C700&amp;""</f>
        <v/>
      </c>
      <c r="AV696">
        <f>'Recurring Log'!D700&amp;""</f>
        <v/>
      </c>
      <c r="AW696">
        <f>IF('Recurring Log'!E700="","",'Recurring Log'!E700)</f>
        <v/>
      </c>
      <c r="AX696">
        <f>IF('Recurring Log'!G700="","",'Recurring Log'!G700)</f>
        <v/>
      </c>
      <c r="AY696">
        <f>IF('Recurring Log'!H700="","",'Recurring Log'!H700)</f>
        <v/>
      </c>
      <c r="AZ696">
        <f>IF(AU696="","",IF('Recurring Log'!J700="","Not Started",'Recurring Log'!J700))</f>
        <v/>
      </c>
      <c r="BA696">
        <f>'Recurring Log'!L700&amp;""</f>
        <v/>
      </c>
      <c r="BB696">
        <f>'Recurring Log'!M700&amp;""</f>
        <v/>
      </c>
      <c r="BC696">
        <f>'Recurring Log'!N700&amp;""</f>
        <v/>
      </c>
      <c r="BD696">
        <f>'Recurring Log'!O700&amp;""</f>
        <v/>
      </c>
      <c r="BE696">
        <f>IF('Recurring Log'!K700="","",'Recurring Log'!K700)</f>
        <v/>
      </c>
      <c r="BF696">
        <f>IFERROR(MATCH(BA696,Setup!$L$6:$L$9,0),5)</f>
        <v/>
      </c>
      <c r="BG696">
        <f>IF(OR(AZ696="Done",AZ696="Cancelled"),1,0)</f>
        <v/>
      </c>
      <c r="BH696">
        <f>IF(AND(AU696&lt;&gt;"",ISNUMBER(AW696)),1,0)</f>
        <v/>
      </c>
      <c r="BI696">
        <f>IF(BH696=0,0,IF(AND(AW696&gt;='Tasks Filter'!$F$3,AW696&lt;='Tasks Filter'!$F$4,OR('Tasks Filter'!$I$3="",ISNUMBER(SEARCH('Tasks Filter'!$I$3,AU696))),OR('Tasks Filter'!$I$4="",BF696=IFERROR(MATCH('Tasks Filter'!$I$4,Setup!$L$6:$L$9,0),0)),OR('Tasks Filter'!$I$5="Both",AND('Tasks Filter'!$I$5="Yes",BB696="✓"),AND('Tasks Filter'!$I$5="No",BB696&lt;&gt;"✓")),OR('Tasks Filter'!$L$3="",AV696='Tasks Filter'!$L$3),OR('Tasks Filter'!$L$4="",AZ696='Tasks Filter'!$L$4),OR('Tasks Filter'!$L$5="",BC696='Tasks Filter'!$L$5),OR('Tasks Filter'!$O$3="",BD696='Tasks Filter'!$O$3),OR('Tasks Filter'!$O$4="Yes",BG696=0)),1,0))</f>
        <v/>
      </c>
      <c r="BJ696">
        <f>IF(BH696=0,"",IF('Tasks Filter'!$F$6="Descending",-1,1)*CHOOSE(MATCH('Tasks Filter'!$F$5,Lists!$G$2:$G$6,0),AW696,BF696,IFERROR(MATCH(AV696,Setup!$F$6:$F$15,0),99),IFERROR(MATCH(BC696,Setup!$H$6:$H$15,0),99),IFERROR(MATCH(AZ696,Setup!$J$6:$J$11,0),99))*1E+9+(AW696-40000)*10000+695)</f>
        <v/>
      </c>
      <c r="BK696">
        <f>IF(BI696=1,BJ696,"")</f>
        <v/>
      </c>
      <c r="BL696">
        <f>IF(AND(BH696=1,BG696=0,N(AW696)&lt;Setup!$D$7),(AW696-40000)*10000+695,"")</f>
        <v/>
      </c>
      <c r="BM696">
        <f>IF(AND(BH696=1,AZ696&lt;&gt;"Cancelled",N(AW696)&gt;=Dashboard!$AB$3,N(AW696)&lt;=Dashboard!$AB$3+6),(AW696-40000)*100000+BF696*10000+695,"")</f>
        <v/>
      </c>
      <c r="BN696">
        <f>IF(AND(BH696=1,AZ696&lt;&gt;"Cancelled"),BF696*10000+695,"")</f>
        <v/>
      </c>
    </row>
    <row r="697">
      <c r="AS697" t="inlineStr">
        <is>
          <t>R</t>
        </is>
      </c>
      <c r="AT697" t="n">
        <v>701</v>
      </c>
      <c r="AU697">
        <f>'Recurring Log'!C701&amp;""</f>
        <v/>
      </c>
      <c r="AV697">
        <f>'Recurring Log'!D701&amp;""</f>
        <v/>
      </c>
      <c r="AW697">
        <f>IF('Recurring Log'!E701="","",'Recurring Log'!E701)</f>
        <v/>
      </c>
      <c r="AX697">
        <f>IF('Recurring Log'!G701="","",'Recurring Log'!G701)</f>
        <v/>
      </c>
      <c r="AY697">
        <f>IF('Recurring Log'!H701="","",'Recurring Log'!H701)</f>
        <v/>
      </c>
      <c r="AZ697">
        <f>IF(AU697="","",IF('Recurring Log'!J701="","Not Started",'Recurring Log'!J701))</f>
        <v/>
      </c>
      <c r="BA697">
        <f>'Recurring Log'!L701&amp;""</f>
        <v/>
      </c>
      <c r="BB697">
        <f>'Recurring Log'!M701&amp;""</f>
        <v/>
      </c>
      <c r="BC697">
        <f>'Recurring Log'!N701&amp;""</f>
        <v/>
      </c>
      <c r="BD697">
        <f>'Recurring Log'!O701&amp;""</f>
        <v/>
      </c>
      <c r="BE697">
        <f>IF('Recurring Log'!K701="","",'Recurring Log'!K701)</f>
        <v/>
      </c>
      <c r="BF697">
        <f>IFERROR(MATCH(BA697,Setup!$L$6:$L$9,0),5)</f>
        <v/>
      </c>
      <c r="BG697">
        <f>IF(OR(AZ697="Done",AZ697="Cancelled"),1,0)</f>
        <v/>
      </c>
      <c r="BH697">
        <f>IF(AND(AU697&lt;&gt;"",ISNUMBER(AW697)),1,0)</f>
        <v/>
      </c>
      <c r="BI697">
        <f>IF(BH697=0,0,IF(AND(AW697&gt;='Tasks Filter'!$F$3,AW697&lt;='Tasks Filter'!$F$4,OR('Tasks Filter'!$I$3="",ISNUMBER(SEARCH('Tasks Filter'!$I$3,AU697))),OR('Tasks Filter'!$I$4="",BF697=IFERROR(MATCH('Tasks Filter'!$I$4,Setup!$L$6:$L$9,0),0)),OR('Tasks Filter'!$I$5="Both",AND('Tasks Filter'!$I$5="Yes",BB697="✓"),AND('Tasks Filter'!$I$5="No",BB697&lt;&gt;"✓")),OR('Tasks Filter'!$L$3="",AV697='Tasks Filter'!$L$3),OR('Tasks Filter'!$L$4="",AZ697='Tasks Filter'!$L$4),OR('Tasks Filter'!$L$5="",BC697='Tasks Filter'!$L$5),OR('Tasks Filter'!$O$3="",BD697='Tasks Filter'!$O$3),OR('Tasks Filter'!$O$4="Yes",BG697=0)),1,0))</f>
        <v/>
      </c>
      <c r="BJ697">
        <f>IF(BH697=0,"",IF('Tasks Filter'!$F$6="Descending",-1,1)*CHOOSE(MATCH('Tasks Filter'!$F$5,Lists!$G$2:$G$6,0),AW697,BF697,IFERROR(MATCH(AV697,Setup!$F$6:$F$15,0),99),IFERROR(MATCH(BC697,Setup!$H$6:$H$15,0),99),IFERROR(MATCH(AZ697,Setup!$J$6:$J$11,0),99))*1E+9+(AW697-40000)*10000+696)</f>
        <v/>
      </c>
      <c r="BK697">
        <f>IF(BI697=1,BJ697,"")</f>
        <v/>
      </c>
      <c r="BL697">
        <f>IF(AND(BH697=1,BG697=0,N(AW697)&lt;Setup!$D$7),(AW697-40000)*10000+696,"")</f>
        <v/>
      </c>
      <c r="BM697">
        <f>IF(AND(BH697=1,AZ697&lt;&gt;"Cancelled",N(AW697)&gt;=Dashboard!$AB$3,N(AW697)&lt;=Dashboard!$AB$3+6),(AW697-40000)*100000+BF697*10000+696,"")</f>
        <v/>
      </c>
      <c r="BN697">
        <f>IF(AND(BH697=1,AZ697&lt;&gt;"Cancelled"),BF697*10000+696,"")</f>
        <v/>
      </c>
    </row>
    <row r="698">
      <c r="AS698" t="inlineStr">
        <is>
          <t>R</t>
        </is>
      </c>
      <c r="AT698" t="n">
        <v>702</v>
      </c>
      <c r="AU698">
        <f>'Recurring Log'!C702&amp;""</f>
        <v/>
      </c>
      <c r="AV698">
        <f>'Recurring Log'!D702&amp;""</f>
        <v/>
      </c>
      <c r="AW698">
        <f>IF('Recurring Log'!E702="","",'Recurring Log'!E702)</f>
        <v/>
      </c>
      <c r="AX698">
        <f>IF('Recurring Log'!G702="","",'Recurring Log'!G702)</f>
        <v/>
      </c>
      <c r="AY698">
        <f>IF('Recurring Log'!H702="","",'Recurring Log'!H702)</f>
        <v/>
      </c>
      <c r="AZ698">
        <f>IF(AU698="","",IF('Recurring Log'!J702="","Not Started",'Recurring Log'!J702))</f>
        <v/>
      </c>
      <c r="BA698">
        <f>'Recurring Log'!L702&amp;""</f>
        <v/>
      </c>
      <c r="BB698">
        <f>'Recurring Log'!M702&amp;""</f>
        <v/>
      </c>
      <c r="BC698">
        <f>'Recurring Log'!N702&amp;""</f>
        <v/>
      </c>
      <c r="BD698">
        <f>'Recurring Log'!O702&amp;""</f>
        <v/>
      </c>
      <c r="BE698">
        <f>IF('Recurring Log'!K702="","",'Recurring Log'!K702)</f>
        <v/>
      </c>
      <c r="BF698">
        <f>IFERROR(MATCH(BA698,Setup!$L$6:$L$9,0),5)</f>
        <v/>
      </c>
      <c r="BG698">
        <f>IF(OR(AZ698="Done",AZ698="Cancelled"),1,0)</f>
        <v/>
      </c>
      <c r="BH698">
        <f>IF(AND(AU698&lt;&gt;"",ISNUMBER(AW698)),1,0)</f>
        <v/>
      </c>
      <c r="BI698">
        <f>IF(BH698=0,0,IF(AND(AW698&gt;='Tasks Filter'!$F$3,AW698&lt;='Tasks Filter'!$F$4,OR('Tasks Filter'!$I$3="",ISNUMBER(SEARCH('Tasks Filter'!$I$3,AU698))),OR('Tasks Filter'!$I$4="",BF698=IFERROR(MATCH('Tasks Filter'!$I$4,Setup!$L$6:$L$9,0),0)),OR('Tasks Filter'!$I$5="Both",AND('Tasks Filter'!$I$5="Yes",BB698="✓"),AND('Tasks Filter'!$I$5="No",BB698&lt;&gt;"✓")),OR('Tasks Filter'!$L$3="",AV698='Tasks Filter'!$L$3),OR('Tasks Filter'!$L$4="",AZ698='Tasks Filter'!$L$4),OR('Tasks Filter'!$L$5="",BC698='Tasks Filter'!$L$5),OR('Tasks Filter'!$O$3="",BD698='Tasks Filter'!$O$3),OR('Tasks Filter'!$O$4="Yes",BG698=0)),1,0))</f>
        <v/>
      </c>
      <c r="BJ698">
        <f>IF(BH698=0,"",IF('Tasks Filter'!$F$6="Descending",-1,1)*CHOOSE(MATCH('Tasks Filter'!$F$5,Lists!$G$2:$G$6,0),AW698,BF698,IFERROR(MATCH(AV698,Setup!$F$6:$F$15,0),99),IFERROR(MATCH(BC698,Setup!$H$6:$H$15,0),99),IFERROR(MATCH(AZ698,Setup!$J$6:$J$11,0),99))*1E+9+(AW698-40000)*10000+697)</f>
        <v/>
      </c>
      <c r="BK698">
        <f>IF(BI698=1,BJ698,"")</f>
        <v/>
      </c>
      <c r="BL698">
        <f>IF(AND(BH698=1,BG698=0,N(AW698)&lt;Setup!$D$7),(AW698-40000)*10000+697,"")</f>
        <v/>
      </c>
      <c r="BM698">
        <f>IF(AND(BH698=1,AZ698&lt;&gt;"Cancelled",N(AW698)&gt;=Dashboard!$AB$3,N(AW698)&lt;=Dashboard!$AB$3+6),(AW698-40000)*100000+BF698*10000+697,"")</f>
        <v/>
      </c>
      <c r="BN698">
        <f>IF(AND(BH698=1,AZ698&lt;&gt;"Cancelled"),BF698*10000+697,"")</f>
        <v/>
      </c>
    </row>
    <row r="699">
      <c r="AS699" t="inlineStr">
        <is>
          <t>R</t>
        </is>
      </c>
      <c r="AT699" t="n">
        <v>703</v>
      </c>
      <c r="AU699">
        <f>'Recurring Log'!C703&amp;""</f>
        <v/>
      </c>
      <c r="AV699">
        <f>'Recurring Log'!D703&amp;""</f>
        <v/>
      </c>
      <c r="AW699">
        <f>IF('Recurring Log'!E703="","",'Recurring Log'!E703)</f>
        <v/>
      </c>
      <c r="AX699">
        <f>IF('Recurring Log'!G703="","",'Recurring Log'!G703)</f>
        <v/>
      </c>
      <c r="AY699">
        <f>IF('Recurring Log'!H703="","",'Recurring Log'!H703)</f>
        <v/>
      </c>
      <c r="AZ699">
        <f>IF(AU699="","",IF('Recurring Log'!J703="","Not Started",'Recurring Log'!J703))</f>
        <v/>
      </c>
      <c r="BA699">
        <f>'Recurring Log'!L703&amp;""</f>
        <v/>
      </c>
      <c r="BB699">
        <f>'Recurring Log'!M703&amp;""</f>
        <v/>
      </c>
      <c r="BC699">
        <f>'Recurring Log'!N703&amp;""</f>
        <v/>
      </c>
      <c r="BD699">
        <f>'Recurring Log'!O703&amp;""</f>
        <v/>
      </c>
      <c r="BE699">
        <f>IF('Recurring Log'!K703="","",'Recurring Log'!K703)</f>
        <v/>
      </c>
      <c r="BF699">
        <f>IFERROR(MATCH(BA699,Setup!$L$6:$L$9,0),5)</f>
        <v/>
      </c>
      <c r="BG699">
        <f>IF(OR(AZ699="Done",AZ699="Cancelled"),1,0)</f>
        <v/>
      </c>
      <c r="BH699">
        <f>IF(AND(AU699&lt;&gt;"",ISNUMBER(AW699)),1,0)</f>
        <v/>
      </c>
      <c r="BI699">
        <f>IF(BH699=0,0,IF(AND(AW699&gt;='Tasks Filter'!$F$3,AW699&lt;='Tasks Filter'!$F$4,OR('Tasks Filter'!$I$3="",ISNUMBER(SEARCH('Tasks Filter'!$I$3,AU699))),OR('Tasks Filter'!$I$4="",BF699=IFERROR(MATCH('Tasks Filter'!$I$4,Setup!$L$6:$L$9,0),0)),OR('Tasks Filter'!$I$5="Both",AND('Tasks Filter'!$I$5="Yes",BB699="✓"),AND('Tasks Filter'!$I$5="No",BB699&lt;&gt;"✓")),OR('Tasks Filter'!$L$3="",AV699='Tasks Filter'!$L$3),OR('Tasks Filter'!$L$4="",AZ699='Tasks Filter'!$L$4),OR('Tasks Filter'!$L$5="",BC699='Tasks Filter'!$L$5),OR('Tasks Filter'!$O$3="",BD699='Tasks Filter'!$O$3),OR('Tasks Filter'!$O$4="Yes",BG699=0)),1,0))</f>
        <v/>
      </c>
      <c r="BJ699">
        <f>IF(BH699=0,"",IF('Tasks Filter'!$F$6="Descending",-1,1)*CHOOSE(MATCH('Tasks Filter'!$F$5,Lists!$G$2:$G$6,0),AW699,BF699,IFERROR(MATCH(AV699,Setup!$F$6:$F$15,0),99),IFERROR(MATCH(BC699,Setup!$H$6:$H$15,0),99),IFERROR(MATCH(AZ699,Setup!$J$6:$J$11,0),99))*1E+9+(AW699-40000)*10000+698)</f>
        <v/>
      </c>
      <c r="BK699">
        <f>IF(BI699=1,BJ699,"")</f>
        <v/>
      </c>
      <c r="BL699">
        <f>IF(AND(BH699=1,BG699=0,N(AW699)&lt;Setup!$D$7),(AW699-40000)*10000+698,"")</f>
        <v/>
      </c>
      <c r="BM699">
        <f>IF(AND(BH699=1,AZ699&lt;&gt;"Cancelled",N(AW699)&gt;=Dashboard!$AB$3,N(AW699)&lt;=Dashboard!$AB$3+6),(AW699-40000)*100000+BF699*10000+698,"")</f>
        <v/>
      </c>
      <c r="BN699">
        <f>IF(AND(BH699=1,AZ699&lt;&gt;"Cancelled"),BF699*10000+698,"")</f>
        <v/>
      </c>
    </row>
    <row r="700">
      <c r="AS700" t="inlineStr">
        <is>
          <t>R</t>
        </is>
      </c>
      <c r="AT700" t="n">
        <v>704</v>
      </c>
      <c r="AU700">
        <f>'Recurring Log'!C704&amp;""</f>
        <v/>
      </c>
      <c r="AV700">
        <f>'Recurring Log'!D704&amp;""</f>
        <v/>
      </c>
      <c r="AW700">
        <f>IF('Recurring Log'!E704="","",'Recurring Log'!E704)</f>
        <v/>
      </c>
      <c r="AX700">
        <f>IF('Recurring Log'!G704="","",'Recurring Log'!G704)</f>
        <v/>
      </c>
      <c r="AY700">
        <f>IF('Recurring Log'!H704="","",'Recurring Log'!H704)</f>
        <v/>
      </c>
      <c r="AZ700">
        <f>IF(AU700="","",IF('Recurring Log'!J704="","Not Started",'Recurring Log'!J704))</f>
        <v/>
      </c>
      <c r="BA700">
        <f>'Recurring Log'!L704&amp;""</f>
        <v/>
      </c>
      <c r="BB700">
        <f>'Recurring Log'!M704&amp;""</f>
        <v/>
      </c>
      <c r="BC700">
        <f>'Recurring Log'!N704&amp;""</f>
        <v/>
      </c>
      <c r="BD700">
        <f>'Recurring Log'!O704&amp;""</f>
        <v/>
      </c>
      <c r="BE700">
        <f>IF('Recurring Log'!K704="","",'Recurring Log'!K704)</f>
        <v/>
      </c>
      <c r="BF700">
        <f>IFERROR(MATCH(BA700,Setup!$L$6:$L$9,0),5)</f>
        <v/>
      </c>
      <c r="BG700">
        <f>IF(OR(AZ700="Done",AZ700="Cancelled"),1,0)</f>
        <v/>
      </c>
      <c r="BH700">
        <f>IF(AND(AU700&lt;&gt;"",ISNUMBER(AW700)),1,0)</f>
        <v/>
      </c>
      <c r="BI700">
        <f>IF(BH700=0,0,IF(AND(AW700&gt;='Tasks Filter'!$F$3,AW700&lt;='Tasks Filter'!$F$4,OR('Tasks Filter'!$I$3="",ISNUMBER(SEARCH('Tasks Filter'!$I$3,AU700))),OR('Tasks Filter'!$I$4="",BF700=IFERROR(MATCH('Tasks Filter'!$I$4,Setup!$L$6:$L$9,0),0)),OR('Tasks Filter'!$I$5="Both",AND('Tasks Filter'!$I$5="Yes",BB700="✓"),AND('Tasks Filter'!$I$5="No",BB700&lt;&gt;"✓")),OR('Tasks Filter'!$L$3="",AV700='Tasks Filter'!$L$3),OR('Tasks Filter'!$L$4="",AZ700='Tasks Filter'!$L$4),OR('Tasks Filter'!$L$5="",BC700='Tasks Filter'!$L$5),OR('Tasks Filter'!$O$3="",BD700='Tasks Filter'!$O$3),OR('Tasks Filter'!$O$4="Yes",BG700=0)),1,0))</f>
        <v/>
      </c>
      <c r="BJ700">
        <f>IF(BH700=0,"",IF('Tasks Filter'!$F$6="Descending",-1,1)*CHOOSE(MATCH('Tasks Filter'!$F$5,Lists!$G$2:$G$6,0),AW700,BF700,IFERROR(MATCH(AV700,Setup!$F$6:$F$15,0),99),IFERROR(MATCH(BC700,Setup!$H$6:$H$15,0),99),IFERROR(MATCH(AZ700,Setup!$J$6:$J$11,0),99))*1E+9+(AW700-40000)*10000+699)</f>
        <v/>
      </c>
      <c r="BK700">
        <f>IF(BI700=1,BJ700,"")</f>
        <v/>
      </c>
      <c r="BL700">
        <f>IF(AND(BH700=1,BG700=0,N(AW700)&lt;Setup!$D$7),(AW700-40000)*10000+699,"")</f>
        <v/>
      </c>
      <c r="BM700">
        <f>IF(AND(BH700=1,AZ700&lt;&gt;"Cancelled",N(AW700)&gt;=Dashboard!$AB$3,N(AW700)&lt;=Dashboard!$AB$3+6),(AW700-40000)*100000+BF700*10000+699,"")</f>
        <v/>
      </c>
      <c r="BN700">
        <f>IF(AND(BH700=1,AZ700&lt;&gt;"Cancelled"),BF700*10000+699,"")</f>
        <v/>
      </c>
    </row>
    <row r="701">
      <c r="AS701" t="inlineStr">
        <is>
          <t>R</t>
        </is>
      </c>
      <c r="AT701" t="n">
        <v>705</v>
      </c>
      <c r="AU701">
        <f>'Recurring Log'!C705&amp;""</f>
        <v/>
      </c>
      <c r="AV701">
        <f>'Recurring Log'!D705&amp;""</f>
        <v/>
      </c>
      <c r="AW701">
        <f>IF('Recurring Log'!E705="","",'Recurring Log'!E705)</f>
        <v/>
      </c>
      <c r="AX701">
        <f>IF('Recurring Log'!G705="","",'Recurring Log'!G705)</f>
        <v/>
      </c>
      <c r="AY701">
        <f>IF('Recurring Log'!H705="","",'Recurring Log'!H705)</f>
        <v/>
      </c>
      <c r="AZ701">
        <f>IF(AU701="","",IF('Recurring Log'!J705="","Not Started",'Recurring Log'!J705))</f>
        <v/>
      </c>
      <c r="BA701">
        <f>'Recurring Log'!L705&amp;""</f>
        <v/>
      </c>
      <c r="BB701">
        <f>'Recurring Log'!M705&amp;""</f>
        <v/>
      </c>
      <c r="BC701">
        <f>'Recurring Log'!N705&amp;""</f>
        <v/>
      </c>
      <c r="BD701">
        <f>'Recurring Log'!O705&amp;""</f>
        <v/>
      </c>
      <c r="BE701">
        <f>IF('Recurring Log'!K705="","",'Recurring Log'!K705)</f>
        <v/>
      </c>
      <c r="BF701">
        <f>IFERROR(MATCH(BA701,Setup!$L$6:$L$9,0),5)</f>
        <v/>
      </c>
      <c r="BG701">
        <f>IF(OR(AZ701="Done",AZ701="Cancelled"),1,0)</f>
        <v/>
      </c>
      <c r="BH701">
        <f>IF(AND(AU701&lt;&gt;"",ISNUMBER(AW701)),1,0)</f>
        <v/>
      </c>
      <c r="BI701">
        <f>IF(BH701=0,0,IF(AND(AW701&gt;='Tasks Filter'!$F$3,AW701&lt;='Tasks Filter'!$F$4,OR('Tasks Filter'!$I$3="",ISNUMBER(SEARCH('Tasks Filter'!$I$3,AU701))),OR('Tasks Filter'!$I$4="",BF701=IFERROR(MATCH('Tasks Filter'!$I$4,Setup!$L$6:$L$9,0),0)),OR('Tasks Filter'!$I$5="Both",AND('Tasks Filter'!$I$5="Yes",BB701="✓"),AND('Tasks Filter'!$I$5="No",BB701&lt;&gt;"✓")),OR('Tasks Filter'!$L$3="",AV701='Tasks Filter'!$L$3),OR('Tasks Filter'!$L$4="",AZ701='Tasks Filter'!$L$4),OR('Tasks Filter'!$L$5="",BC701='Tasks Filter'!$L$5),OR('Tasks Filter'!$O$3="",BD701='Tasks Filter'!$O$3),OR('Tasks Filter'!$O$4="Yes",BG701=0)),1,0))</f>
        <v/>
      </c>
      <c r="BJ701">
        <f>IF(BH701=0,"",IF('Tasks Filter'!$F$6="Descending",-1,1)*CHOOSE(MATCH('Tasks Filter'!$F$5,Lists!$G$2:$G$6,0),AW701,BF701,IFERROR(MATCH(AV701,Setup!$F$6:$F$15,0),99),IFERROR(MATCH(BC701,Setup!$H$6:$H$15,0),99),IFERROR(MATCH(AZ701,Setup!$J$6:$J$11,0),99))*1E+9+(AW701-40000)*10000+700)</f>
        <v/>
      </c>
      <c r="BK701">
        <f>IF(BI701=1,BJ701,"")</f>
        <v/>
      </c>
      <c r="BL701">
        <f>IF(AND(BH701=1,BG701=0,N(AW701)&lt;Setup!$D$7),(AW701-40000)*10000+700,"")</f>
        <v/>
      </c>
      <c r="BM701">
        <f>IF(AND(BH701=1,AZ701&lt;&gt;"Cancelled",N(AW701)&gt;=Dashboard!$AB$3,N(AW701)&lt;=Dashboard!$AB$3+6),(AW701-40000)*100000+BF701*10000+700,"")</f>
        <v/>
      </c>
      <c r="BN701">
        <f>IF(AND(BH701=1,AZ701&lt;&gt;"Cancelled"),BF701*10000+700,"")</f>
        <v/>
      </c>
    </row>
    <row r="702">
      <c r="AS702" t="inlineStr">
        <is>
          <t>R</t>
        </is>
      </c>
      <c r="AT702" t="n">
        <v>706</v>
      </c>
      <c r="AU702">
        <f>'Recurring Log'!C706&amp;""</f>
        <v/>
      </c>
      <c r="AV702">
        <f>'Recurring Log'!D706&amp;""</f>
        <v/>
      </c>
      <c r="AW702">
        <f>IF('Recurring Log'!E706="","",'Recurring Log'!E706)</f>
        <v/>
      </c>
      <c r="AX702">
        <f>IF('Recurring Log'!G706="","",'Recurring Log'!G706)</f>
        <v/>
      </c>
      <c r="AY702">
        <f>IF('Recurring Log'!H706="","",'Recurring Log'!H706)</f>
        <v/>
      </c>
      <c r="AZ702">
        <f>IF(AU702="","",IF('Recurring Log'!J706="","Not Started",'Recurring Log'!J706))</f>
        <v/>
      </c>
      <c r="BA702">
        <f>'Recurring Log'!L706&amp;""</f>
        <v/>
      </c>
      <c r="BB702">
        <f>'Recurring Log'!M706&amp;""</f>
        <v/>
      </c>
      <c r="BC702">
        <f>'Recurring Log'!N706&amp;""</f>
        <v/>
      </c>
      <c r="BD702">
        <f>'Recurring Log'!O706&amp;""</f>
        <v/>
      </c>
      <c r="BE702">
        <f>IF('Recurring Log'!K706="","",'Recurring Log'!K706)</f>
        <v/>
      </c>
      <c r="BF702">
        <f>IFERROR(MATCH(BA702,Setup!$L$6:$L$9,0),5)</f>
        <v/>
      </c>
      <c r="BG702">
        <f>IF(OR(AZ702="Done",AZ702="Cancelled"),1,0)</f>
        <v/>
      </c>
      <c r="BH702">
        <f>IF(AND(AU702&lt;&gt;"",ISNUMBER(AW702)),1,0)</f>
        <v/>
      </c>
      <c r="BI702">
        <f>IF(BH702=0,0,IF(AND(AW702&gt;='Tasks Filter'!$F$3,AW702&lt;='Tasks Filter'!$F$4,OR('Tasks Filter'!$I$3="",ISNUMBER(SEARCH('Tasks Filter'!$I$3,AU702))),OR('Tasks Filter'!$I$4="",BF702=IFERROR(MATCH('Tasks Filter'!$I$4,Setup!$L$6:$L$9,0),0)),OR('Tasks Filter'!$I$5="Both",AND('Tasks Filter'!$I$5="Yes",BB702="✓"),AND('Tasks Filter'!$I$5="No",BB702&lt;&gt;"✓")),OR('Tasks Filter'!$L$3="",AV702='Tasks Filter'!$L$3),OR('Tasks Filter'!$L$4="",AZ702='Tasks Filter'!$L$4),OR('Tasks Filter'!$L$5="",BC702='Tasks Filter'!$L$5),OR('Tasks Filter'!$O$3="",BD702='Tasks Filter'!$O$3),OR('Tasks Filter'!$O$4="Yes",BG702=0)),1,0))</f>
        <v/>
      </c>
      <c r="BJ702">
        <f>IF(BH702=0,"",IF('Tasks Filter'!$F$6="Descending",-1,1)*CHOOSE(MATCH('Tasks Filter'!$F$5,Lists!$G$2:$G$6,0),AW702,BF702,IFERROR(MATCH(AV702,Setup!$F$6:$F$15,0),99),IFERROR(MATCH(BC702,Setup!$H$6:$H$15,0),99),IFERROR(MATCH(AZ702,Setup!$J$6:$J$11,0),99))*1E+9+(AW702-40000)*10000+701)</f>
        <v/>
      </c>
      <c r="BK702">
        <f>IF(BI702=1,BJ702,"")</f>
        <v/>
      </c>
      <c r="BL702">
        <f>IF(AND(BH702=1,BG702=0,N(AW702)&lt;Setup!$D$7),(AW702-40000)*10000+701,"")</f>
        <v/>
      </c>
      <c r="BM702">
        <f>IF(AND(BH702=1,AZ702&lt;&gt;"Cancelled",N(AW702)&gt;=Dashboard!$AB$3,N(AW702)&lt;=Dashboard!$AB$3+6),(AW702-40000)*100000+BF702*10000+701,"")</f>
        <v/>
      </c>
      <c r="BN702">
        <f>IF(AND(BH702=1,AZ702&lt;&gt;"Cancelled"),BF702*10000+701,"")</f>
        <v/>
      </c>
    </row>
    <row r="703">
      <c r="AS703" t="inlineStr">
        <is>
          <t>R</t>
        </is>
      </c>
      <c r="AT703" t="n">
        <v>707</v>
      </c>
      <c r="AU703">
        <f>'Recurring Log'!C707&amp;""</f>
        <v/>
      </c>
      <c r="AV703">
        <f>'Recurring Log'!D707&amp;""</f>
        <v/>
      </c>
      <c r="AW703">
        <f>IF('Recurring Log'!E707="","",'Recurring Log'!E707)</f>
        <v/>
      </c>
      <c r="AX703">
        <f>IF('Recurring Log'!G707="","",'Recurring Log'!G707)</f>
        <v/>
      </c>
      <c r="AY703">
        <f>IF('Recurring Log'!H707="","",'Recurring Log'!H707)</f>
        <v/>
      </c>
      <c r="AZ703">
        <f>IF(AU703="","",IF('Recurring Log'!J707="","Not Started",'Recurring Log'!J707))</f>
        <v/>
      </c>
      <c r="BA703">
        <f>'Recurring Log'!L707&amp;""</f>
        <v/>
      </c>
      <c r="BB703">
        <f>'Recurring Log'!M707&amp;""</f>
        <v/>
      </c>
      <c r="BC703">
        <f>'Recurring Log'!N707&amp;""</f>
        <v/>
      </c>
      <c r="BD703">
        <f>'Recurring Log'!O707&amp;""</f>
        <v/>
      </c>
      <c r="BE703">
        <f>IF('Recurring Log'!K707="","",'Recurring Log'!K707)</f>
        <v/>
      </c>
      <c r="BF703">
        <f>IFERROR(MATCH(BA703,Setup!$L$6:$L$9,0),5)</f>
        <v/>
      </c>
      <c r="BG703">
        <f>IF(OR(AZ703="Done",AZ703="Cancelled"),1,0)</f>
        <v/>
      </c>
      <c r="BH703">
        <f>IF(AND(AU703&lt;&gt;"",ISNUMBER(AW703)),1,0)</f>
        <v/>
      </c>
      <c r="BI703">
        <f>IF(BH703=0,0,IF(AND(AW703&gt;='Tasks Filter'!$F$3,AW703&lt;='Tasks Filter'!$F$4,OR('Tasks Filter'!$I$3="",ISNUMBER(SEARCH('Tasks Filter'!$I$3,AU703))),OR('Tasks Filter'!$I$4="",BF703=IFERROR(MATCH('Tasks Filter'!$I$4,Setup!$L$6:$L$9,0),0)),OR('Tasks Filter'!$I$5="Both",AND('Tasks Filter'!$I$5="Yes",BB703="✓"),AND('Tasks Filter'!$I$5="No",BB703&lt;&gt;"✓")),OR('Tasks Filter'!$L$3="",AV703='Tasks Filter'!$L$3),OR('Tasks Filter'!$L$4="",AZ703='Tasks Filter'!$L$4),OR('Tasks Filter'!$L$5="",BC703='Tasks Filter'!$L$5),OR('Tasks Filter'!$O$3="",BD703='Tasks Filter'!$O$3),OR('Tasks Filter'!$O$4="Yes",BG703=0)),1,0))</f>
        <v/>
      </c>
      <c r="BJ703">
        <f>IF(BH703=0,"",IF('Tasks Filter'!$F$6="Descending",-1,1)*CHOOSE(MATCH('Tasks Filter'!$F$5,Lists!$G$2:$G$6,0),AW703,BF703,IFERROR(MATCH(AV703,Setup!$F$6:$F$15,0),99),IFERROR(MATCH(BC703,Setup!$H$6:$H$15,0),99),IFERROR(MATCH(AZ703,Setup!$J$6:$J$11,0),99))*1E+9+(AW703-40000)*10000+702)</f>
        <v/>
      </c>
      <c r="BK703">
        <f>IF(BI703=1,BJ703,"")</f>
        <v/>
      </c>
      <c r="BL703">
        <f>IF(AND(BH703=1,BG703=0,N(AW703)&lt;Setup!$D$7),(AW703-40000)*10000+702,"")</f>
        <v/>
      </c>
      <c r="BM703">
        <f>IF(AND(BH703=1,AZ703&lt;&gt;"Cancelled",N(AW703)&gt;=Dashboard!$AB$3,N(AW703)&lt;=Dashboard!$AB$3+6),(AW703-40000)*100000+BF703*10000+702,"")</f>
        <v/>
      </c>
      <c r="BN703">
        <f>IF(AND(BH703=1,AZ703&lt;&gt;"Cancelled"),BF703*10000+702,"")</f>
        <v/>
      </c>
    </row>
    <row r="704">
      <c r="AS704" t="inlineStr">
        <is>
          <t>R</t>
        </is>
      </c>
      <c r="AT704" t="n">
        <v>708</v>
      </c>
      <c r="AU704">
        <f>'Recurring Log'!C708&amp;""</f>
        <v/>
      </c>
      <c r="AV704">
        <f>'Recurring Log'!D708&amp;""</f>
        <v/>
      </c>
      <c r="AW704">
        <f>IF('Recurring Log'!E708="","",'Recurring Log'!E708)</f>
        <v/>
      </c>
      <c r="AX704">
        <f>IF('Recurring Log'!G708="","",'Recurring Log'!G708)</f>
        <v/>
      </c>
      <c r="AY704">
        <f>IF('Recurring Log'!H708="","",'Recurring Log'!H708)</f>
        <v/>
      </c>
      <c r="AZ704">
        <f>IF(AU704="","",IF('Recurring Log'!J708="","Not Started",'Recurring Log'!J708))</f>
        <v/>
      </c>
      <c r="BA704">
        <f>'Recurring Log'!L708&amp;""</f>
        <v/>
      </c>
      <c r="BB704">
        <f>'Recurring Log'!M708&amp;""</f>
        <v/>
      </c>
      <c r="BC704">
        <f>'Recurring Log'!N708&amp;""</f>
        <v/>
      </c>
      <c r="BD704">
        <f>'Recurring Log'!O708&amp;""</f>
        <v/>
      </c>
      <c r="BE704">
        <f>IF('Recurring Log'!K708="","",'Recurring Log'!K708)</f>
        <v/>
      </c>
      <c r="BF704">
        <f>IFERROR(MATCH(BA704,Setup!$L$6:$L$9,0),5)</f>
        <v/>
      </c>
      <c r="BG704">
        <f>IF(OR(AZ704="Done",AZ704="Cancelled"),1,0)</f>
        <v/>
      </c>
      <c r="BH704">
        <f>IF(AND(AU704&lt;&gt;"",ISNUMBER(AW704)),1,0)</f>
        <v/>
      </c>
      <c r="BI704">
        <f>IF(BH704=0,0,IF(AND(AW704&gt;='Tasks Filter'!$F$3,AW704&lt;='Tasks Filter'!$F$4,OR('Tasks Filter'!$I$3="",ISNUMBER(SEARCH('Tasks Filter'!$I$3,AU704))),OR('Tasks Filter'!$I$4="",BF704=IFERROR(MATCH('Tasks Filter'!$I$4,Setup!$L$6:$L$9,0),0)),OR('Tasks Filter'!$I$5="Both",AND('Tasks Filter'!$I$5="Yes",BB704="✓"),AND('Tasks Filter'!$I$5="No",BB704&lt;&gt;"✓")),OR('Tasks Filter'!$L$3="",AV704='Tasks Filter'!$L$3),OR('Tasks Filter'!$L$4="",AZ704='Tasks Filter'!$L$4),OR('Tasks Filter'!$L$5="",BC704='Tasks Filter'!$L$5),OR('Tasks Filter'!$O$3="",BD704='Tasks Filter'!$O$3),OR('Tasks Filter'!$O$4="Yes",BG704=0)),1,0))</f>
        <v/>
      </c>
      <c r="BJ704">
        <f>IF(BH704=0,"",IF('Tasks Filter'!$F$6="Descending",-1,1)*CHOOSE(MATCH('Tasks Filter'!$F$5,Lists!$G$2:$G$6,0),AW704,BF704,IFERROR(MATCH(AV704,Setup!$F$6:$F$15,0),99),IFERROR(MATCH(BC704,Setup!$H$6:$H$15,0),99),IFERROR(MATCH(AZ704,Setup!$J$6:$J$11,0),99))*1E+9+(AW704-40000)*10000+703)</f>
        <v/>
      </c>
      <c r="BK704">
        <f>IF(BI704=1,BJ704,"")</f>
        <v/>
      </c>
      <c r="BL704">
        <f>IF(AND(BH704=1,BG704=0,N(AW704)&lt;Setup!$D$7),(AW704-40000)*10000+703,"")</f>
        <v/>
      </c>
      <c r="BM704">
        <f>IF(AND(BH704=1,AZ704&lt;&gt;"Cancelled",N(AW704)&gt;=Dashboard!$AB$3,N(AW704)&lt;=Dashboard!$AB$3+6),(AW704-40000)*100000+BF704*10000+703,"")</f>
        <v/>
      </c>
      <c r="BN704">
        <f>IF(AND(BH704=1,AZ704&lt;&gt;"Cancelled"),BF704*10000+703,"")</f>
        <v/>
      </c>
    </row>
    <row r="705">
      <c r="AS705" t="inlineStr">
        <is>
          <t>R</t>
        </is>
      </c>
      <c r="AT705" t="n">
        <v>709</v>
      </c>
      <c r="AU705">
        <f>'Recurring Log'!C709&amp;""</f>
        <v/>
      </c>
      <c r="AV705">
        <f>'Recurring Log'!D709&amp;""</f>
        <v/>
      </c>
      <c r="AW705">
        <f>IF('Recurring Log'!E709="","",'Recurring Log'!E709)</f>
        <v/>
      </c>
      <c r="AX705">
        <f>IF('Recurring Log'!G709="","",'Recurring Log'!G709)</f>
        <v/>
      </c>
      <c r="AY705">
        <f>IF('Recurring Log'!H709="","",'Recurring Log'!H709)</f>
        <v/>
      </c>
      <c r="AZ705">
        <f>IF(AU705="","",IF('Recurring Log'!J709="","Not Started",'Recurring Log'!J709))</f>
        <v/>
      </c>
      <c r="BA705">
        <f>'Recurring Log'!L709&amp;""</f>
        <v/>
      </c>
      <c r="BB705">
        <f>'Recurring Log'!M709&amp;""</f>
        <v/>
      </c>
      <c r="BC705">
        <f>'Recurring Log'!N709&amp;""</f>
        <v/>
      </c>
      <c r="BD705">
        <f>'Recurring Log'!O709&amp;""</f>
        <v/>
      </c>
      <c r="BE705">
        <f>IF('Recurring Log'!K709="","",'Recurring Log'!K709)</f>
        <v/>
      </c>
      <c r="BF705">
        <f>IFERROR(MATCH(BA705,Setup!$L$6:$L$9,0),5)</f>
        <v/>
      </c>
      <c r="BG705">
        <f>IF(OR(AZ705="Done",AZ705="Cancelled"),1,0)</f>
        <v/>
      </c>
      <c r="BH705">
        <f>IF(AND(AU705&lt;&gt;"",ISNUMBER(AW705)),1,0)</f>
        <v/>
      </c>
      <c r="BI705">
        <f>IF(BH705=0,0,IF(AND(AW705&gt;='Tasks Filter'!$F$3,AW705&lt;='Tasks Filter'!$F$4,OR('Tasks Filter'!$I$3="",ISNUMBER(SEARCH('Tasks Filter'!$I$3,AU705))),OR('Tasks Filter'!$I$4="",BF705=IFERROR(MATCH('Tasks Filter'!$I$4,Setup!$L$6:$L$9,0),0)),OR('Tasks Filter'!$I$5="Both",AND('Tasks Filter'!$I$5="Yes",BB705="✓"),AND('Tasks Filter'!$I$5="No",BB705&lt;&gt;"✓")),OR('Tasks Filter'!$L$3="",AV705='Tasks Filter'!$L$3),OR('Tasks Filter'!$L$4="",AZ705='Tasks Filter'!$L$4),OR('Tasks Filter'!$L$5="",BC705='Tasks Filter'!$L$5),OR('Tasks Filter'!$O$3="",BD705='Tasks Filter'!$O$3),OR('Tasks Filter'!$O$4="Yes",BG705=0)),1,0))</f>
        <v/>
      </c>
      <c r="BJ705">
        <f>IF(BH705=0,"",IF('Tasks Filter'!$F$6="Descending",-1,1)*CHOOSE(MATCH('Tasks Filter'!$F$5,Lists!$G$2:$G$6,0),AW705,BF705,IFERROR(MATCH(AV705,Setup!$F$6:$F$15,0),99),IFERROR(MATCH(BC705,Setup!$H$6:$H$15,0),99),IFERROR(MATCH(AZ705,Setup!$J$6:$J$11,0),99))*1E+9+(AW705-40000)*10000+704)</f>
        <v/>
      </c>
      <c r="BK705">
        <f>IF(BI705=1,BJ705,"")</f>
        <v/>
      </c>
      <c r="BL705">
        <f>IF(AND(BH705=1,BG705=0,N(AW705)&lt;Setup!$D$7),(AW705-40000)*10000+704,"")</f>
        <v/>
      </c>
      <c r="BM705">
        <f>IF(AND(BH705=1,AZ705&lt;&gt;"Cancelled",N(AW705)&gt;=Dashboard!$AB$3,N(AW705)&lt;=Dashboard!$AB$3+6),(AW705-40000)*100000+BF705*10000+704,"")</f>
        <v/>
      </c>
      <c r="BN705">
        <f>IF(AND(BH705=1,AZ705&lt;&gt;"Cancelled"),BF705*10000+704,"")</f>
        <v/>
      </c>
    </row>
    <row r="706">
      <c r="AS706" t="inlineStr">
        <is>
          <t>R</t>
        </is>
      </c>
      <c r="AT706" t="n">
        <v>710</v>
      </c>
      <c r="AU706">
        <f>'Recurring Log'!C710&amp;""</f>
        <v/>
      </c>
      <c r="AV706">
        <f>'Recurring Log'!D710&amp;""</f>
        <v/>
      </c>
      <c r="AW706">
        <f>IF('Recurring Log'!E710="","",'Recurring Log'!E710)</f>
        <v/>
      </c>
      <c r="AX706">
        <f>IF('Recurring Log'!G710="","",'Recurring Log'!G710)</f>
        <v/>
      </c>
      <c r="AY706">
        <f>IF('Recurring Log'!H710="","",'Recurring Log'!H710)</f>
        <v/>
      </c>
      <c r="AZ706">
        <f>IF(AU706="","",IF('Recurring Log'!J710="","Not Started",'Recurring Log'!J710))</f>
        <v/>
      </c>
      <c r="BA706">
        <f>'Recurring Log'!L710&amp;""</f>
        <v/>
      </c>
      <c r="BB706">
        <f>'Recurring Log'!M710&amp;""</f>
        <v/>
      </c>
      <c r="BC706">
        <f>'Recurring Log'!N710&amp;""</f>
        <v/>
      </c>
      <c r="BD706">
        <f>'Recurring Log'!O710&amp;""</f>
        <v/>
      </c>
      <c r="BE706">
        <f>IF('Recurring Log'!K710="","",'Recurring Log'!K710)</f>
        <v/>
      </c>
      <c r="BF706">
        <f>IFERROR(MATCH(BA706,Setup!$L$6:$L$9,0),5)</f>
        <v/>
      </c>
      <c r="BG706">
        <f>IF(OR(AZ706="Done",AZ706="Cancelled"),1,0)</f>
        <v/>
      </c>
      <c r="BH706">
        <f>IF(AND(AU706&lt;&gt;"",ISNUMBER(AW706)),1,0)</f>
        <v/>
      </c>
      <c r="BI706">
        <f>IF(BH706=0,0,IF(AND(AW706&gt;='Tasks Filter'!$F$3,AW706&lt;='Tasks Filter'!$F$4,OR('Tasks Filter'!$I$3="",ISNUMBER(SEARCH('Tasks Filter'!$I$3,AU706))),OR('Tasks Filter'!$I$4="",BF706=IFERROR(MATCH('Tasks Filter'!$I$4,Setup!$L$6:$L$9,0),0)),OR('Tasks Filter'!$I$5="Both",AND('Tasks Filter'!$I$5="Yes",BB706="✓"),AND('Tasks Filter'!$I$5="No",BB706&lt;&gt;"✓")),OR('Tasks Filter'!$L$3="",AV706='Tasks Filter'!$L$3),OR('Tasks Filter'!$L$4="",AZ706='Tasks Filter'!$L$4),OR('Tasks Filter'!$L$5="",BC706='Tasks Filter'!$L$5),OR('Tasks Filter'!$O$3="",BD706='Tasks Filter'!$O$3),OR('Tasks Filter'!$O$4="Yes",BG706=0)),1,0))</f>
        <v/>
      </c>
      <c r="BJ706">
        <f>IF(BH706=0,"",IF('Tasks Filter'!$F$6="Descending",-1,1)*CHOOSE(MATCH('Tasks Filter'!$F$5,Lists!$G$2:$G$6,0),AW706,BF706,IFERROR(MATCH(AV706,Setup!$F$6:$F$15,0),99),IFERROR(MATCH(BC706,Setup!$H$6:$H$15,0),99),IFERROR(MATCH(AZ706,Setup!$J$6:$J$11,0),99))*1E+9+(AW706-40000)*10000+705)</f>
        <v/>
      </c>
      <c r="BK706">
        <f>IF(BI706=1,BJ706,"")</f>
        <v/>
      </c>
      <c r="BL706">
        <f>IF(AND(BH706=1,BG706=0,N(AW706)&lt;Setup!$D$7),(AW706-40000)*10000+705,"")</f>
        <v/>
      </c>
      <c r="BM706">
        <f>IF(AND(BH706=1,AZ706&lt;&gt;"Cancelled",N(AW706)&gt;=Dashboard!$AB$3,N(AW706)&lt;=Dashboard!$AB$3+6),(AW706-40000)*100000+BF706*10000+705,"")</f>
        <v/>
      </c>
      <c r="BN706">
        <f>IF(AND(BH706=1,AZ706&lt;&gt;"Cancelled"),BF706*10000+705,"")</f>
        <v/>
      </c>
    </row>
    <row r="707">
      <c r="AS707" t="inlineStr">
        <is>
          <t>R</t>
        </is>
      </c>
      <c r="AT707" t="n">
        <v>711</v>
      </c>
      <c r="AU707">
        <f>'Recurring Log'!C711&amp;""</f>
        <v/>
      </c>
      <c r="AV707">
        <f>'Recurring Log'!D711&amp;""</f>
        <v/>
      </c>
      <c r="AW707">
        <f>IF('Recurring Log'!E711="","",'Recurring Log'!E711)</f>
        <v/>
      </c>
      <c r="AX707">
        <f>IF('Recurring Log'!G711="","",'Recurring Log'!G711)</f>
        <v/>
      </c>
      <c r="AY707">
        <f>IF('Recurring Log'!H711="","",'Recurring Log'!H711)</f>
        <v/>
      </c>
      <c r="AZ707">
        <f>IF(AU707="","",IF('Recurring Log'!J711="","Not Started",'Recurring Log'!J711))</f>
        <v/>
      </c>
      <c r="BA707">
        <f>'Recurring Log'!L711&amp;""</f>
        <v/>
      </c>
      <c r="BB707">
        <f>'Recurring Log'!M711&amp;""</f>
        <v/>
      </c>
      <c r="BC707">
        <f>'Recurring Log'!N711&amp;""</f>
        <v/>
      </c>
      <c r="BD707">
        <f>'Recurring Log'!O711&amp;""</f>
        <v/>
      </c>
      <c r="BE707">
        <f>IF('Recurring Log'!K711="","",'Recurring Log'!K711)</f>
        <v/>
      </c>
      <c r="BF707">
        <f>IFERROR(MATCH(BA707,Setup!$L$6:$L$9,0),5)</f>
        <v/>
      </c>
      <c r="BG707">
        <f>IF(OR(AZ707="Done",AZ707="Cancelled"),1,0)</f>
        <v/>
      </c>
      <c r="BH707">
        <f>IF(AND(AU707&lt;&gt;"",ISNUMBER(AW707)),1,0)</f>
        <v/>
      </c>
      <c r="BI707">
        <f>IF(BH707=0,0,IF(AND(AW707&gt;='Tasks Filter'!$F$3,AW707&lt;='Tasks Filter'!$F$4,OR('Tasks Filter'!$I$3="",ISNUMBER(SEARCH('Tasks Filter'!$I$3,AU707))),OR('Tasks Filter'!$I$4="",BF707=IFERROR(MATCH('Tasks Filter'!$I$4,Setup!$L$6:$L$9,0),0)),OR('Tasks Filter'!$I$5="Both",AND('Tasks Filter'!$I$5="Yes",BB707="✓"),AND('Tasks Filter'!$I$5="No",BB707&lt;&gt;"✓")),OR('Tasks Filter'!$L$3="",AV707='Tasks Filter'!$L$3),OR('Tasks Filter'!$L$4="",AZ707='Tasks Filter'!$L$4),OR('Tasks Filter'!$L$5="",BC707='Tasks Filter'!$L$5),OR('Tasks Filter'!$O$3="",BD707='Tasks Filter'!$O$3),OR('Tasks Filter'!$O$4="Yes",BG707=0)),1,0))</f>
        <v/>
      </c>
      <c r="BJ707">
        <f>IF(BH707=0,"",IF('Tasks Filter'!$F$6="Descending",-1,1)*CHOOSE(MATCH('Tasks Filter'!$F$5,Lists!$G$2:$G$6,0),AW707,BF707,IFERROR(MATCH(AV707,Setup!$F$6:$F$15,0),99),IFERROR(MATCH(BC707,Setup!$H$6:$H$15,0),99),IFERROR(MATCH(AZ707,Setup!$J$6:$J$11,0),99))*1E+9+(AW707-40000)*10000+706)</f>
        <v/>
      </c>
      <c r="BK707">
        <f>IF(BI707=1,BJ707,"")</f>
        <v/>
      </c>
      <c r="BL707">
        <f>IF(AND(BH707=1,BG707=0,N(AW707)&lt;Setup!$D$7),(AW707-40000)*10000+706,"")</f>
        <v/>
      </c>
      <c r="BM707">
        <f>IF(AND(BH707=1,AZ707&lt;&gt;"Cancelled",N(AW707)&gt;=Dashboard!$AB$3,N(AW707)&lt;=Dashboard!$AB$3+6),(AW707-40000)*100000+BF707*10000+706,"")</f>
        <v/>
      </c>
      <c r="BN707">
        <f>IF(AND(BH707=1,AZ707&lt;&gt;"Cancelled"),BF707*10000+706,"")</f>
        <v/>
      </c>
    </row>
    <row r="708">
      <c r="AS708" t="inlineStr">
        <is>
          <t>R</t>
        </is>
      </c>
      <c r="AT708" t="n">
        <v>712</v>
      </c>
      <c r="AU708">
        <f>'Recurring Log'!C712&amp;""</f>
        <v/>
      </c>
      <c r="AV708">
        <f>'Recurring Log'!D712&amp;""</f>
        <v/>
      </c>
      <c r="AW708">
        <f>IF('Recurring Log'!E712="","",'Recurring Log'!E712)</f>
        <v/>
      </c>
      <c r="AX708">
        <f>IF('Recurring Log'!G712="","",'Recurring Log'!G712)</f>
        <v/>
      </c>
      <c r="AY708">
        <f>IF('Recurring Log'!H712="","",'Recurring Log'!H712)</f>
        <v/>
      </c>
      <c r="AZ708">
        <f>IF(AU708="","",IF('Recurring Log'!J712="","Not Started",'Recurring Log'!J712))</f>
        <v/>
      </c>
      <c r="BA708">
        <f>'Recurring Log'!L712&amp;""</f>
        <v/>
      </c>
      <c r="BB708">
        <f>'Recurring Log'!M712&amp;""</f>
        <v/>
      </c>
      <c r="BC708">
        <f>'Recurring Log'!N712&amp;""</f>
        <v/>
      </c>
      <c r="BD708">
        <f>'Recurring Log'!O712&amp;""</f>
        <v/>
      </c>
      <c r="BE708">
        <f>IF('Recurring Log'!K712="","",'Recurring Log'!K712)</f>
        <v/>
      </c>
      <c r="BF708">
        <f>IFERROR(MATCH(BA708,Setup!$L$6:$L$9,0),5)</f>
        <v/>
      </c>
      <c r="BG708">
        <f>IF(OR(AZ708="Done",AZ708="Cancelled"),1,0)</f>
        <v/>
      </c>
      <c r="BH708">
        <f>IF(AND(AU708&lt;&gt;"",ISNUMBER(AW708)),1,0)</f>
        <v/>
      </c>
      <c r="BI708">
        <f>IF(BH708=0,0,IF(AND(AW708&gt;='Tasks Filter'!$F$3,AW708&lt;='Tasks Filter'!$F$4,OR('Tasks Filter'!$I$3="",ISNUMBER(SEARCH('Tasks Filter'!$I$3,AU708))),OR('Tasks Filter'!$I$4="",BF708=IFERROR(MATCH('Tasks Filter'!$I$4,Setup!$L$6:$L$9,0),0)),OR('Tasks Filter'!$I$5="Both",AND('Tasks Filter'!$I$5="Yes",BB708="✓"),AND('Tasks Filter'!$I$5="No",BB708&lt;&gt;"✓")),OR('Tasks Filter'!$L$3="",AV708='Tasks Filter'!$L$3),OR('Tasks Filter'!$L$4="",AZ708='Tasks Filter'!$L$4),OR('Tasks Filter'!$L$5="",BC708='Tasks Filter'!$L$5),OR('Tasks Filter'!$O$3="",BD708='Tasks Filter'!$O$3),OR('Tasks Filter'!$O$4="Yes",BG708=0)),1,0))</f>
        <v/>
      </c>
      <c r="BJ708">
        <f>IF(BH708=0,"",IF('Tasks Filter'!$F$6="Descending",-1,1)*CHOOSE(MATCH('Tasks Filter'!$F$5,Lists!$G$2:$G$6,0),AW708,BF708,IFERROR(MATCH(AV708,Setup!$F$6:$F$15,0),99),IFERROR(MATCH(BC708,Setup!$H$6:$H$15,0),99),IFERROR(MATCH(AZ708,Setup!$J$6:$J$11,0),99))*1E+9+(AW708-40000)*10000+707)</f>
        <v/>
      </c>
      <c r="BK708">
        <f>IF(BI708=1,BJ708,"")</f>
        <v/>
      </c>
      <c r="BL708">
        <f>IF(AND(BH708=1,BG708=0,N(AW708)&lt;Setup!$D$7),(AW708-40000)*10000+707,"")</f>
        <v/>
      </c>
      <c r="BM708">
        <f>IF(AND(BH708=1,AZ708&lt;&gt;"Cancelled",N(AW708)&gt;=Dashboard!$AB$3,N(AW708)&lt;=Dashboard!$AB$3+6),(AW708-40000)*100000+BF708*10000+707,"")</f>
        <v/>
      </c>
      <c r="BN708">
        <f>IF(AND(BH708=1,AZ708&lt;&gt;"Cancelled"),BF708*10000+707,"")</f>
        <v/>
      </c>
    </row>
    <row r="709">
      <c r="AS709" t="inlineStr">
        <is>
          <t>R</t>
        </is>
      </c>
      <c r="AT709" t="n">
        <v>713</v>
      </c>
      <c r="AU709">
        <f>'Recurring Log'!C713&amp;""</f>
        <v/>
      </c>
      <c r="AV709">
        <f>'Recurring Log'!D713&amp;""</f>
        <v/>
      </c>
      <c r="AW709">
        <f>IF('Recurring Log'!E713="","",'Recurring Log'!E713)</f>
        <v/>
      </c>
      <c r="AX709">
        <f>IF('Recurring Log'!G713="","",'Recurring Log'!G713)</f>
        <v/>
      </c>
      <c r="AY709">
        <f>IF('Recurring Log'!H713="","",'Recurring Log'!H713)</f>
        <v/>
      </c>
      <c r="AZ709">
        <f>IF(AU709="","",IF('Recurring Log'!J713="","Not Started",'Recurring Log'!J713))</f>
        <v/>
      </c>
      <c r="BA709">
        <f>'Recurring Log'!L713&amp;""</f>
        <v/>
      </c>
      <c r="BB709">
        <f>'Recurring Log'!M713&amp;""</f>
        <v/>
      </c>
      <c r="BC709">
        <f>'Recurring Log'!N713&amp;""</f>
        <v/>
      </c>
      <c r="BD709">
        <f>'Recurring Log'!O713&amp;""</f>
        <v/>
      </c>
      <c r="BE709">
        <f>IF('Recurring Log'!K713="","",'Recurring Log'!K713)</f>
        <v/>
      </c>
      <c r="BF709">
        <f>IFERROR(MATCH(BA709,Setup!$L$6:$L$9,0),5)</f>
        <v/>
      </c>
      <c r="BG709">
        <f>IF(OR(AZ709="Done",AZ709="Cancelled"),1,0)</f>
        <v/>
      </c>
      <c r="BH709">
        <f>IF(AND(AU709&lt;&gt;"",ISNUMBER(AW709)),1,0)</f>
        <v/>
      </c>
      <c r="BI709">
        <f>IF(BH709=0,0,IF(AND(AW709&gt;='Tasks Filter'!$F$3,AW709&lt;='Tasks Filter'!$F$4,OR('Tasks Filter'!$I$3="",ISNUMBER(SEARCH('Tasks Filter'!$I$3,AU709))),OR('Tasks Filter'!$I$4="",BF709=IFERROR(MATCH('Tasks Filter'!$I$4,Setup!$L$6:$L$9,0),0)),OR('Tasks Filter'!$I$5="Both",AND('Tasks Filter'!$I$5="Yes",BB709="✓"),AND('Tasks Filter'!$I$5="No",BB709&lt;&gt;"✓")),OR('Tasks Filter'!$L$3="",AV709='Tasks Filter'!$L$3),OR('Tasks Filter'!$L$4="",AZ709='Tasks Filter'!$L$4),OR('Tasks Filter'!$L$5="",BC709='Tasks Filter'!$L$5),OR('Tasks Filter'!$O$3="",BD709='Tasks Filter'!$O$3),OR('Tasks Filter'!$O$4="Yes",BG709=0)),1,0))</f>
        <v/>
      </c>
      <c r="BJ709">
        <f>IF(BH709=0,"",IF('Tasks Filter'!$F$6="Descending",-1,1)*CHOOSE(MATCH('Tasks Filter'!$F$5,Lists!$G$2:$G$6,0),AW709,BF709,IFERROR(MATCH(AV709,Setup!$F$6:$F$15,0),99),IFERROR(MATCH(BC709,Setup!$H$6:$H$15,0),99),IFERROR(MATCH(AZ709,Setup!$J$6:$J$11,0),99))*1E+9+(AW709-40000)*10000+708)</f>
        <v/>
      </c>
      <c r="BK709">
        <f>IF(BI709=1,BJ709,"")</f>
        <v/>
      </c>
      <c r="BL709">
        <f>IF(AND(BH709=1,BG709=0,N(AW709)&lt;Setup!$D$7),(AW709-40000)*10000+708,"")</f>
        <v/>
      </c>
      <c r="BM709">
        <f>IF(AND(BH709=1,AZ709&lt;&gt;"Cancelled",N(AW709)&gt;=Dashboard!$AB$3,N(AW709)&lt;=Dashboard!$AB$3+6),(AW709-40000)*100000+BF709*10000+708,"")</f>
        <v/>
      </c>
      <c r="BN709">
        <f>IF(AND(BH709=1,AZ709&lt;&gt;"Cancelled"),BF709*10000+708,"")</f>
        <v/>
      </c>
    </row>
    <row r="710">
      <c r="AS710" t="inlineStr">
        <is>
          <t>R</t>
        </is>
      </c>
      <c r="AT710" t="n">
        <v>714</v>
      </c>
      <c r="AU710">
        <f>'Recurring Log'!C714&amp;""</f>
        <v/>
      </c>
      <c r="AV710">
        <f>'Recurring Log'!D714&amp;""</f>
        <v/>
      </c>
      <c r="AW710">
        <f>IF('Recurring Log'!E714="","",'Recurring Log'!E714)</f>
        <v/>
      </c>
      <c r="AX710">
        <f>IF('Recurring Log'!G714="","",'Recurring Log'!G714)</f>
        <v/>
      </c>
      <c r="AY710">
        <f>IF('Recurring Log'!H714="","",'Recurring Log'!H714)</f>
        <v/>
      </c>
      <c r="AZ710">
        <f>IF(AU710="","",IF('Recurring Log'!J714="","Not Started",'Recurring Log'!J714))</f>
        <v/>
      </c>
      <c r="BA710">
        <f>'Recurring Log'!L714&amp;""</f>
        <v/>
      </c>
      <c r="BB710">
        <f>'Recurring Log'!M714&amp;""</f>
        <v/>
      </c>
      <c r="BC710">
        <f>'Recurring Log'!N714&amp;""</f>
        <v/>
      </c>
      <c r="BD710">
        <f>'Recurring Log'!O714&amp;""</f>
        <v/>
      </c>
      <c r="BE710">
        <f>IF('Recurring Log'!K714="","",'Recurring Log'!K714)</f>
        <v/>
      </c>
      <c r="BF710">
        <f>IFERROR(MATCH(BA710,Setup!$L$6:$L$9,0),5)</f>
        <v/>
      </c>
      <c r="BG710">
        <f>IF(OR(AZ710="Done",AZ710="Cancelled"),1,0)</f>
        <v/>
      </c>
      <c r="BH710">
        <f>IF(AND(AU710&lt;&gt;"",ISNUMBER(AW710)),1,0)</f>
        <v/>
      </c>
      <c r="BI710">
        <f>IF(BH710=0,0,IF(AND(AW710&gt;='Tasks Filter'!$F$3,AW710&lt;='Tasks Filter'!$F$4,OR('Tasks Filter'!$I$3="",ISNUMBER(SEARCH('Tasks Filter'!$I$3,AU710))),OR('Tasks Filter'!$I$4="",BF710=IFERROR(MATCH('Tasks Filter'!$I$4,Setup!$L$6:$L$9,0),0)),OR('Tasks Filter'!$I$5="Both",AND('Tasks Filter'!$I$5="Yes",BB710="✓"),AND('Tasks Filter'!$I$5="No",BB710&lt;&gt;"✓")),OR('Tasks Filter'!$L$3="",AV710='Tasks Filter'!$L$3),OR('Tasks Filter'!$L$4="",AZ710='Tasks Filter'!$L$4),OR('Tasks Filter'!$L$5="",BC710='Tasks Filter'!$L$5),OR('Tasks Filter'!$O$3="",BD710='Tasks Filter'!$O$3),OR('Tasks Filter'!$O$4="Yes",BG710=0)),1,0))</f>
        <v/>
      </c>
      <c r="BJ710">
        <f>IF(BH710=0,"",IF('Tasks Filter'!$F$6="Descending",-1,1)*CHOOSE(MATCH('Tasks Filter'!$F$5,Lists!$G$2:$G$6,0),AW710,BF710,IFERROR(MATCH(AV710,Setup!$F$6:$F$15,0),99),IFERROR(MATCH(BC710,Setup!$H$6:$H$15,0),99),IFERROR(MATCH(AZ710,Setup!$J$6:$J$11,0),99))*1E+9+(AW710-40000)*10000+709)</f>
        <v/>
      </c>
      <c r="BK710">
        <f>IF(BI710=1,BJ710,"")</f>
        <v/>
      </c>
      <c r="BL710">
        <f>IF(AND(BH710=1,BG710=0,N(AW710)&lt;Setup!$D$7),(AW710-40000)*10000+709,"")</f>
        <v/>
      </c>
      <c r="BM710">
        <f>IF(AND(BH710=1,AZ710&lt;&gt;"Cancelled",N(AW710)&gt;=Dashboard!$AB$3,N(AW710)&lt;=Dashboard!$AB$3+6),(AW710-40000)*100000+BF710*10000+709,"")</f>
        <v/>
      </c>
      <c r="BN710">
        <f>IF(AND(BH710=1,AZ710&lt;&gt;"Cancelled"),BF710*10000+709,"")</f>
        <v/>
      </c>
    </row>
    <row r="711">
      <c r="AS711" t="inlineStr">
        <is>
          <t>R</t>
        </is>
      </c>
      <c r="AT711" t="n">
        <v>715</v>
      </c>
      <c r="AU711">
        <f>'Recurring Log'!C715&amp;""</f>
        <v/>
      </c>
      <c r="AV711">
        <f>'Recurring Log'!D715&amp;""</f>
        <v/>
      </c>
      <c r="AW711">
        <f>IF('Recurring Log'!E715="","",'Recurring Log'!E715)</f>
        <v/>
      </c>
      <c r="AX711">
        <f>IF('Recurring Log'!G715="","",'Recurring Log'!G715)</f>
        <v/>
      </c>
      <c r="AY711">
        <f>IF('Recurring Log'!H715="","",'Recurring Log'!H715)</f>
        <v/>
      </c>
      <c r="AZ711">
        <f>IF(AU711="","",IF('Recurring Log'!J715="","Not Started",'Recurring Log'!J715))</f>
        <v/>
      </c>
      <c r="BA711">
        <f>'Recurring Log'!L715&amp;""</f>
        <v/>
      </c>
      <c r="BB711">
        <f>'Recurring Log'!M715&amp;""</f>
        <v/>
      </c>
      <c r="BC711">
        <f>'Recurring Log'!N715&amp;""</f>
        <v/>
      </c>
      <c r="BD711">
        <f>'Recurring Log'!O715&amp;""</f>
        <v/>
      </c>
      <c r="BE711">
        <f>IF('Recurring Log'!K715="","",'Recurring Log'!K715)</f>
        <v/>
      </c>
      <c r="BF711">
        <f>IFERROR(MATCH(BA711,Setup!$L$6:$L$9,0),5)</f>
        <v/>
      </c>
      <c r="BG711">
        <f>IF(OR(AZ711="Done",AZ711="Cancelled"),1,0)</f>
        <v/>
      </c>
      <c r="BH711">
        <f>IF(AND(AU711&lt;&gt;"",ISNUMBER(AW711)),1,0)</f>
        <v/>
      </c>
      <c r="BI711">
        <f>IF(BH711=0,0,IF(AND(AW711&gt;='Tasks Filter'!$F$3,AW711&lt;='Tasks Filter'!$F$4,OR('Tasks Filter'!$I$3="",ISNUMBER(SEARCH('Tasks Filter'!$I$3,AU711))),OR('Tasks Filter'!$I$4="",BF711=IFERROR(MATCH('Tasks Filter'!$I$4,Setup!$L$6:$L$9,0),0)),OR('Tasks Filter'!$I$5="Both",AND('Tasks Filter'!$I$5="Yes",BB711="✓"),AND('Tasks Filter'!$I$5="No",BB711&lt;&gt;"✓")),OR('Tasks Filter'!$L$3="",AV711='Tasks Filter'!$L$3),OR('Tasks Filter'!$L$4="",AZ711='Tasks Filter'!$L$4),OR('Tasks Filter'!$L$5="",BC711='Tasks Filter'!$L$5),OR('Tasks Filter'!$O$3="",BD711='Tasks Filter'!$O$3),OR('Tasks Filter'!$O$4="Yes",BG711=0)),1,0))</f>
        <v/>
      </c>
      <c r="BJ711">
        <f>IF(BH711=0,"",IF('Tasks Filter'!$F$6="Descending",-1,1)*CHOOSE(MATCH('Tasks Filter'!$F$5,Lists!$G$2:$G$6,0),AW711,BF711,IFERROR(MATCH(AV711,Setup!$F$6:$F$15,0),99),IFERROR(MATCH(BC711,Setup!$H$6:$H$15,0),99),IFERROR(MATCH(AZ711,Setup!$J$6:$J$11,0),99))*1E+9+(AW711-40000)*10000+710)</f>
        <v/>
      </c>
      <c r="BK711">
        <f>IF(BI711=1,BJ711,"")</f>
        <v/>
      </c>
      <c r="BL711">
        <f>IF(AND(BH711=1,BG711=0,N(AW711)&lt;Setup!$D$7),(AW711-40000)*10000+710,"")</f>
        <v/>
      </c>
      <c r="BM711">
        <f>IF(AND(BH711=1,AZ711&lt;&gt;"Cancelled",N(AW711)&gt;=Dashboard!$AB$3,N(AW711)&lt;=Dashboard!$AB$3+6),(AW711-40000)*100000+BF711*10000+710,"")</f>
        <v/>
      </c>
      <c r="BN711">
        <f>IF(AND(BH711=1,AZ711&lt;&gt;"Cancelled"),BF711*10000+710,"")</f>
        <v/>
      </c>
    </row>
    <row r="712">
      <c r="AS712" t="inlineStr">
        <is>
          <t>R</t>
        </is>
      </c>
      <c r="AT712" t="n">
        <v>716</v>
      </c>
      <c r="AU712">
        <f>'Recurring Log'!C716&amp;""</f>
        <v/>
      </c>
      <c r="AV712">
        <f>'Recurring Log'!D716&amp;""</f>
        <v/>
      </c>
      <c r="AW712">
        <f>IF('Recurring Log'!E716="","",'Recurring Log'!E716)</f>
        <v/>
      </c>
      <c r="AX712">
        <f>IF('Recurring Log'!G716="","",'Recurring Log'!G716)</f>
        <v/>
      </c>
      <c r="AY712">
        <f>IF('Recurring Log'!H716="","",'Recurring Log'!H716)</f>
        <v/>
      </c>
      <c r="AZ712">
        <f>IF(AU712="","",IF('Recurring Log'!J716="","Not Started",'Recurring Log'!J716))</f>
        <v/>
      </c>
      <c r="BA712">
        <f>'Recurring Log'!L716&amp;""</f>
        <v/>
      </c>
      <c r="BB712">
        <f>'Recurring Log'!M716&amp;""</f>
        <v/>
      </c>
      <c r="BC712">
        <f>'Recurring Log'!N716&amp;""</f>
        <v/>
      </c>
      <c r="BD712">
        <f>'Recurring Log'!O716&amp;""</f>
        <v/>
      </c>
      <c r="BE712">
        <f>IF('Recurring Log'!K716="","",'Recurring Log'!K716)</f>
        <v/>
      </c>
      <c r="BF712">
        <f>IFERROR(MATCH(BA712,Setup!$L$6:$L$9,0),5)</f>
        <v/>
      </c>
      <c r="BG712">
        <f>IF(OR(AZ712="Done",AZ712="Cancelled"),1,0)</f>
        <v/>
      </c>
      <c r="BH712">
        <f>IF(AND(AU712&lt;&gt;"",ISNUMBER(AW712)),1,0)</f>
        <v/>
      </c>
      <c r="BI712">
        <f>IF(BH712=0,0,IF(AND(AW712&gt;='Tasks Filter'!$F$3,AW712&lt;='Tasks Filter'!$F$4,OR('Tasks Filter'!$I$3="",ISNUMBER(SEARCH('Tasks Filter'!$I$3,AU712))),OR('Tasks Filter'!$I$4="",BF712=IFERROR(MATCH('Tasks Filter'!$I$4,Setup!$L$6:$L$9,0),0)),OR('Tasks Filter'!$I$5="Both",AND('Tasks Filter'!$I$5="Yes",BB712="✓"),AND('Tasks Filter'!$I$5="No",BB712&lt;&gt;"✓")),OR('Tasks Filter'!$L$3="",AV712='Tasks Filter'!$L$3),OR('Tasks Filter'!$L$4="",AZ712='Tasks Filter'!$L$4),OR('Tasks Filter'!$L$5="",BC712='Tasks Filter'!$L$5),OR('Tasks Filter'!$O$3="",BD712='Tasks Filter'!$O$3),OR('Tasks Filter'!$O$4="Yes",BG712=0)),1,0))</f>
        <v/>
      </c>
      <c r="BJ712">
        <f>IF(BH712=0,"",IF('Tasks Filter'!$F$6="Descending",-1,1)*CHOOSE(MATCH('Tasks Filter'!$F$5,Lists!$G$2:$G$6,0),AW712,BF712,IFERROR(MATCH(AV712,Setup!$F$6:$F$15,0),99),IFERROR(MATCH(BC712,Setup!$H$6:$H$15,0),99),IFERROR(MATCH(AZ712,Setup!$J$6:$J$11,0),99))*1E+9+(AW712-40000)*10000+711)</f>
        <v/>
      </c>
      <c r="BK712">
        <f>IF(BI712=1,BJ712,"")</f>
        <v/>
      </c>
      <c r="BL712">
        <f>IF(AND(BH712=1,BG712=0,N(AW712)&lt;Setup!$D$7),(AW712-40000)*10000+711,"")</f>
        <v/>
      </c>
      <c r="BM712">
        <f>IF(AND(BH712=1,AZ712&lt;&gt;"Cancelled",N(AW712)&gt;=Dashboard!$AB$3,N(AW712)&lt;=Dashboard!$AB$3+6),(AW712-40000)*100000+BF712*10000+711,"")</f>
        <v/>
      </c>
      <c r="BN712">
        <f>IF(AND(BH712=1,AZ712&lt;&gt;"Cancelled"),BF712*10000+711,"")</f>
        <v/>
      </c>
    </row>
    <row r="713">
      <c r="AS713" t="inlineStr">
        <is>
          <t>R</t>
        </is>
      </c>
      <c r="AT713" t="n">
        <v>717</v>
      </c>
      <c r="AU713">
        <f>'Recurring Log'!C717&amp;""</f>
        <v/>
      </c>
      <c r="AV713">
        <f>'Recurring Log'!D717&amp;""</f>
        <v/>
      </c>
      <c r="AW713">
        <f>IF('Recurring Log'!E717="","",'Recurring Log'!E717)</f>
        <v/>
      </c>
      <c r="AX713">
        <f>IF('Recurring Log'!G717="","",'Recurring Log'!G717)</f>
        <v/>
      </c>
      <c r="AY713">
        <f>IF('Recurring Log'!H717="","",'Recurring Log'!H717)</f>
        <v/>
      </c>
      <c r="AZ713">
        <f>IF(AU713="","",IF('Recurring Log'!J717="","Not Started",'Recurring Log'!J717))</f>
        <v/>
      </c>
      <c r="BA713">
        <f>'Recurring Log'!L717&amp;""</f>
        <v/>
      </c>
      <c r="BB713">
        <f>'Recurring Log'!M717&amp;""</f>
        <v/>
      </c>
      <c r="BC713">
        <f>'Recurring Log'!N717&amp;""</f>
        <v/>
      </c>
      <c r="BD713">
        <f>'Recurring Log'!O717&amp;""</f>
        <v/>
      </c>
      <c r="BE713">
        <f>IF('Recurring Log'!K717="","",'Recurring Log'!K717)</f>
        <v/>
      </c>
      <c r="BF713">
        <f>IFERROR(MATCH(BA713,Setup!$L$6:$L$9,0),5)</f>
        <v/>
      </c>
      <c r="BG713">
        <f>IF(OR(AZ713="Done",AZ713="Cancelled"),1,0)</f>
        <v/>
      </c>
      <c r="BH713">
        <f>IF(AND(AU713&lt;&gt;"",ISNUMBER(AW713)),1,0)</f>
        <v/>
      </c>
      <c r="BI713">
        <f>IF(BH713=0,0,IF(AND(AW713&gt;='Tasks Filter'!$F$3,AW713&lt;='Tasks Filter'!$F$4,OR('Tasks Filter'!$I$3="",ISNUMBER(SEARCH('Tasks Filter'!$I$3,AU713))),OR('Tasks Filter'!$I$4="",BF713=IFERROR(MATCH('Tasks Filter'!$I$4,Setup!$L$6:$L$9,0),0)),OR('Tasks Filter'!$I$5="Both",AND('Tasks Filter'!$I$5="Yes",BB713="✓"),AND('Tasks Filter'!$I$5="No",BB713&lt;&gt;"✓")),OR('Tasks Filter'!$L$3="",AV713='Tasks Filter'!$L$3),OR('Tasks Filter'!$L$4="",AZ713='Tasks Filter'!$L$4),OR('Tasks Filter'!$L$5="",BC713='Tasks Filter'!$L$5),OR('Tasks Filter'!$O$3="",BD713='Tasks Filter'!$O$3),OR('Tasks Filter'!$O$4="Yes",BG713=0)),1,0))</f>
        <v/>
      </c>
      <c r="BJ713">
        <f>IF(BH713=0,"",IF('Tasks Filter'!$F$6="Descending",-1,1)*CHOOSE(MATCH('Tasks Filter'!$F$5,Lists!$G$2:$G$6,0),AW713,BF713,IFERROR(MATCH(AV713,Setup!$F$6:$F$15,0),99),IFERROR(MATCH(BC713,Setup!$H$6:$H$15,0),99),IFERROR(MATCH(AZ713,Setup!$J$6:$J$11,0),99))*1E+9+(AW713-40000)*10000+712)</f>
        <v/>
      </c>
      <c r="BK713">
        <f>IF(BI713=1,BJ713,"")</f>
        <v/>
      </c>
      <c r="BL713">
        <f>IF(AND(BH713=1,BG713=0,N(AW713)&lt;Setup!$D$7),(AW713-40000)*10000+712,"")</f>
        <v/>
      </c>
      <c r="BM713">
        <f>IF(AND(BH713=1,AZ713&lt;&gt;"Cancelled",N(AW713)&gt;=Dashboard!$AB$3,N(AW713)&lt;=Dashboard!$AB$3+6),(AW713-40000)*100000+BF713*10000+712,"")</f>
        <v/>
      </c>
      <c r="BN713">
        <f>IF(AND(BH713=1,AZ713&lt;&gt;"Cancelled"),BF713*10000+712,"")</f>
        <v/>
      </c>
    </row>
    <row r="714">
      <c r="AS714" t="inlineStr">
        <is>
          <t>R</t>
        </is>
      </c>
      <c r="AT714" t="n">
        <v>718</v>
      </c>
      <c r="AU714">
        <f>'Recurring Log'!C718&amp;""</f>
        <v/>
      </c>
      <c r="AV714">
        <f>'Recurring Log'!D718&amp;""</f>
        <v/>
      </c>
      <c r="AW714">
        <f>IF('Recurring Log'!E718="","",'Recurring Log'!E718)</f>
        <v/>
      </c>
      <c r="AX714">
        <f>IF('Recurring Log'!G718="","",'Recurring Log'!G718)</f>
        <v/>
      </c>
      <c r="AY714">
        <f>IF('Recurring Log'!H718="","",'Recurring Log'!H718)</f>
        <v/>
      </c>
      <c r="AZ714">
        <f>IF(AU714="","",IF('Recurring Log'!J718="","Not Started",'Recurring Log'!J718))</f>
        <v/>
      </c>
      <c r="BA714">
        <f>'Recurring Log'!L718&amp;""</f>
        <v/>
      </c>
      <c r="BB714">
        <f>'Recurring Log'!M718&amp;""</f>
        <v/>
      </c>
      <c r="BC714">
        <f>'Recurring Log'!N718&amp;""</f>
        <v/>
      </c>
      <c r="BD714">
        <f>'Recurring Log'!O718&amp;""</f>
        <v/>
      </c>
      <c r="BE714">
        <f>IF('Recurring Log'!K718="","",'Recurring Log'!K718)</f>
        <v/>
      </c>
      <c r="BF714">
        <f>IFERROR(MATCH(BA714,Setup!$L$6:$L$9,0),5)</f>
        <v/>
      </c>
      <c r="BG714">
        <f>IF(OR(AZ714="Done",AZ714="Cancelled"),1,0)</f>
        <v/>
      </c>
      <c r="BH714">
        <f>IF(AND(AU714&lt;&gt;"",ISNUMBER(AW714)),1,0)</f>
        <v/>
      </c>
      <c r="BI714">
        <f>IF(BH714=0,0,IF(AND(AW714&gt;='Tasks Filter'!$F$3,AW714&lt;='Tasks Filter'!$F$4,OR('Tasks Filter'!$I$3="",ISNUMBER(SEARCH('Tasks Filter'!$I$3,AU714))),OR('Tasks Filter'!$I$4="",BF714=IFERROR(MATCH('Tasks Filter'!$I$4,Setup!$L$6:$L$9,0),0)),OR('Tasks Filter'!$I$5="Both",AND('Tasks Filter'!$I$5="Yes",BB714="✓"),AND('Tasks Filter'!$I$5="No",BB714&lt;&gt;"✓")),OR('Tasks Filter'!$L$3="",AV714='Tasks Filter'!$L$3),OR('Tasks Filter'!$L$4="",AZ714='Tasks Filter'!$L$4),OR('Tasks Filter'!$L$5="",BC714='Tasks Filter'!$L$5),OR('Tasks Filter'!$O$3="",BD714='Tasks Filter'!$O$3),OR('Tasks Filter'!$O$4="Yes",BG714=0)),1,0))</f>
        <v/>
      </c>
      <c r="BJ714">
        <f>IF(BH714=0,"",IF('Tasks Filter'!$F$6="Descending",-1,1)*CHOOSE(MATCH('Tasks Filter'!$F$5,Lists!$G$2:$G$6,0),AW714,BF714,IFERROR(MATCH(AV714,Setup!$F$6:$F$15,0),99),IFERROR(MATCH(BC714,Setup!$H$6:$H$15,0),99),IFERROR(MATCH(AZ714,Setup!$J$6:$J$11,0),99))*1E+9+(AW714-40000)*10000+713)</f>
        <v/>
      </c>
      <c r="BK714">
        <f>IF(BI714=1,BJ714,"")</f>
        <v/>
      </c>
      <c r="BL714">
        <f>IF(AND(BH714=1,BG714=0,N(AW714)&lt;Setup!$D$7),(AW714-40000)*10000+713,"")</f>
        <v/>
      </c>
      <c r="BM714">
        <f>IF(AND(BH714=1,AZ714&lt;&gt;"Cancelled",N(AW714)&gt;=Dashboard!$AB$3,N(AW714)&lt;=Dashboard!$AB$3+6),(AW714-40000)*100000+BF714*10000+713,"")</f>
        <v/>
      </c>
      <c r="BN714">
        <f>IF(AND(BH714=1,AZ714&lt;&gt;"Cancelled"),BF714*10000+713,"")</f>
        <v/>
      </c>
    </row>
    <row r="715">
      <c r="AS715" t="inlineStr">
        <is>
          <t>R</t>
        </is>
      </c>
      <c r="AT715" t="n">
        <v>719</v>
      </c>
      <c r="AU715">
        <f>'Recurring Log'!C719&amp;""</f>
        <v/>
      </c>
      <c r="AV715">
        <f>'Recurring Log'!D719&amp;""</f>
        <v/>
      </c>
      <c r="AW715">
        <f>IF('Recurring Log'!E719="","",'Recurring Log'!E719)</f>
        <v/>
      </c>
      <c r="AX715">
        <f>IF('Recurring Log'!G719="","",'Recurring Log'!G719)</f>
        <v/>
      </c>
      <c r="AY715">
        <f>IF('Recurring Log'!H719="","",'Recurring Log'!H719)</f>
        <v/>
      </c>
      <c r="AZ715">
        <f>IF(AU715="","",IF('Recurring Log'!J719="","Not Started",'Recurring Log'!J719))</f>
        <v/>
      </c>
      <c r="BA715">
        <f>'Recurring Log'!L719&amp;""</f>
        <v/>
      </c>
      <c r="BB715">
        <f>'Recurring Log'!M719&amp;""</f>
        <v/>
      </c>
      <c r="BC715">
        <f>'Recurring Log'!N719&amp;""</f>
        <v/>
      </c>
      <c r="BD715">
        <f>'Recurring Log'!O719&amp;""</f>
        <v/>
      </c>
      <c r="BE715">
        <f>IF('Recurring Log'!K719="","",'Recurring Log'!K719)</f>
        <v/>
      </c>
      <c r="BF715">
        <f>IFERROR(MATCH(BA715,Setup!$L$6:$L$9,0),5)</f>
        <v/>
      </c>
      <c r="BG715">
        <f>IF(OR(AZ715="Done",AZ715="Cancelled"),1,0)</f>
        <v/>
      </c>
      <c r="BH715">
        <f>IF(AND(AU715&lt;&gt;"",ISNUMBER(AW715)),1,0)</f>
        <v/>
      </c>
      <c r="BI715">
        <f>IF(BH715=0,0,IF(AND(AW715&gt;='Tasks Filter'!$F$3,AW715&lt;='Tasks Filter'!$F$4,OR('Tasks Filter'!$I$3="",ISNUMBER(SEARCH('Tasks Filter'!$I$3,AU715))),OR('Tasks Filter'!$I$4="",BF715=IFERROR(MATCH('Tasks Filter'!$I$4,Setup!$L$6:$L$9,0),0)),OR('Tasks Filter'!$I$5="Both",AND('Tasks Filter'!$I$5="Yes",BB715="✓"),AND('Tasks Filter'!$I$5="No",BB715&lt;&gt;"✓")),OR('Tasks Filter'!$L$3="",AV715='Tasks Filter'!$L$3),OR('Tasks Filter'!$L$4="",AZ715='Tasks Filter'!$L$4),OR('Tasks Filter'!$L$5="",BC715='Tasks Filter'!$L$5),OR('Tasks Filter'!$O$3="",BD715='Tasks Filter'!$O$3),OR('Tasks Filter'!$O$4="Yes",BG715=0)),1,0))</f>
        <v/>
      </c>
      <c r="BJ715">
        <f>IF(BH715=0,"",IF('Tasks Filter'!$F$6="Descending",-1,1)*CHOOSE(MATCH('Tasks Filter'!$F$5,Lists!$G$2:$G$6,0),AW715,BF715,IFERROR(MATCH(AV715,Setup!$F$6:$F$15,0),99),IFERROR(MATCH(BC715,Setup!$H$6:$H$15,0),99),IFERROR(MATCH(AZ715,Setup!$J$6:$J$11,0),99))*1E+9+(AW715-40000)*10000+714)</f>
        <v/>
      </c>
      <c r="BK715">
        <f>IF(BI715=1,BJ715,"")</f>
        <v/>
      </c>
      <c r="BL715">
        <f>IF(AND(BH715=1,BG715=0,N(AW715)&lt;Setup!$D$7),(AW715-40000)*10000+714,"")</f>
        <v/>
      </c>
      <c r="BM715">
        <f>IF(AND(BH715=1,AZ715&lt;&gt;"Cancelled",N(AW715)&gt;=Dashboard!$AB$3,N(AW715)&lt;=Dashboard!$AB$3+6),(AW715-40000)*100000+BF715*10000+714,"")</f>
        <v/>
      </c>
      <c r="BN715">
        <f>IF(AND(BH715=1,AZ715&lt;&gt;"Cancelled"),BF715*10000+714,"")</f>
        <v/>
      </c>
    </row>
    <row r="716">
      <c r="AS716" t="inlineStr">
        <is>
          <t>R</t>
        </is>
      </c>
      <c r="AT716" t="n">
        <v>720</v>
      </c>
      <c r="AU716">
        <f>'Recurring Log'!C720&amp;""</f>
        <v/>
      </c>
      <c r="AV716">
        <f>'Recurring Log'!D720&amp;""</f>
        <v/>
      </c>
      <c r="AW716">
        <f>IF('Recurring Log'!E720="","",'Recurring Log'!E720)</f>
        <v/>
      </c>
      <c r="AX716">
        <f>IF('Recurring Log'!G720="","",'Recurring Log'!G720)</f>
        <v/>
      </c>
      <c r="AY716">
        <f>IF('Recurring Log'!H720="","",'Recurring Log'!H720)</f>
        <v/>
      </c>
      <c r="AZ716">
        <f>IF(AU716="","",IF('Recurring Log'!J720="","Not Started",'Recurring Log'!J720))</f>
        <v/>
      </c>
      <c r="BA716">
        <f>'Recurring Log'!L720&amp;""</f>
        <v/>
      </c>
      <c r="BB716">
        <f>'Recurring Log'!M720&amp;""</f>
        <v/>
      </c>
      <c r="BC716">
        <f>'Recurring Log'!N720&amp;""</f>
        <v/>
      </c>
      <c r="BD716">
        <f>'Recurring Log'!O720&amp;""</f>
        <v/>
      </c>
      <c r="BE716">
        <f>IF('Recurring Log'!K720="","",'Recurring Log'!K720)</f>
        <v/>
      </c>
      <c r="BF716">
        <f>IFERROR(MATCH(BA716,Setup!$L$6:$L$9,0),5)</f>
        <v/>
      </c>
      <c r="BG716">
        <f>IF(OR(AZ716="Done",AZ716="Cancelled"),1,0)</f>
        <v/>
      </c>
      <c r="BH716">
        <f>IF(AND(AU716&lt;&gt;"",ISNUMBER(AW716)),1,0)</f>
        <v/>
      </c>
      <c r="BI716">
        <f>IF(BH716=0,0,IF(AND(AW716&gt;='Tasks Filter'!$F$3,AW716&lt;='Tasks Filter'!$F$4,OR('Tasks Filter'!$I$3="",ISNUMBER(SEARCH('Tasks Filter'!$I$3,AU716))),OR('Tasks Filter'!$I$4="",BF716=IFERROR(MATCH('Tasks Filter'!$I$4,Setup!$L$6:$L$9,0),0)),OR('Tasks Filter'!$I$5="Both",AND('Tasks Filter'!$I$5="Yes",BB716="✓"),AND('Tasks Filter'!$I$5="No",BB716&lt;&gt;"✓")),OR('Tasks Filter'!$L$3="",AV716='Tasks Filter'!$L$3),OR('Tasks Filter'!$L$4="",AZ716='Tasks Filter'!$L$4),OR('Tasks Filter'!$L$5="",BC716='Tasks Filter'!$L$5),OR('Tasks Filter'!$O$3="",BD716='Tasks Filter'!$O$3),OR('Tasks Filter'!$O$4="Yes",BG716=0)),1,0))</f>
        <v/>
      </c>
      <c r="BJ716">
        <f>IF(BH716=0,"",IF('Tasks Filter'!$F$6="Descending",-1,1)*CHOOSE(MATCH('Tasks Filter'!$F$5,Lists!$G$2:$G$6,0),AW716,BF716,IFERROR(MATCH(AV716,Setup!$F$6:$F$15,0),99),IFERROR(MATCH(BC716,Setup!$H$6:$H$15,0),99),IFERROR(MATCH(AZ716,Setup!$J$6:$J$11,0),99))*1E+9+(AW716-40000)*10000+715)</f>
        <v/>
      </c>
      <c r="BK716">
        <f>IF(BI716=1,BJ716,"")</f>
        <v/>
      </c>
      <c r="BL716">
        <f>IF(AND(BH716=1,BG716=0,N(AW716)&lt;Setup!$D$7),(AW716-40000)*10000+715,"")</f>
        <v/>
      </c>
      <c r="BM716">
        <f>IF(AND(BH716=1,AZ716&lt;&gt;"Cancelled",N(AW716)&gt;=Dashboard!$AB$3,N(AW716)&lt;=Dashboard!$AB$3+6),(AW716-40000)*100000+BF716*10000+715,"")</f>
        <v/>
      </c>
      <c r="BN716">
        <f>IF(AND(BH716=1,AZ716&lt;&gt;"Cancelled"),BF716*10000+715,"")</f>
        <v/>
      </c>
    </row>
    <row r="717">
      <c r="AS717" t="inlineStr">
        <is>
          <t>R</t>
        </is>
      </c>
      <c r="AT717" t="n">
        <v>721</v>
      </c>
      <c r="AU717">
        <f>'Recurring Log'!C721&amp;""</f>
        <v/>
      </c>
      <c r="AV717">
        <f>'Recurring Log'!D721&amp;""</f>
        <v/>
      </c>
      <c r="AW717">
        <f>IF('Recurring Log'!E721="","",'Recurring Log'!E721)</f>
        <v/>
      </c>
      <c r="AX717">
        <f>IF('Recurring Log'!G721="","",'Recurring Log'!G721)</f>
        <v/>
      </c>
      <c r="AY717">
        <f>IF('Recurring Log'!H721="","",'Recurring Log'!H721)</f>
        <v/>
      </c>
      <c r="AZ717">
        <f>IF(AU717="","",IF('Recurring Log'!J721="","Not Started",'Recurring Log'!J721))</f>
        <v/>
      </c>
      <c r="BA717">
        <f>'Recurring Log'!L721&amp;""</f>
        <v/>
      </c>
      <c r="BB717">
        <f>'Recurring Log'!M721&amp;""</f>
        <v/>
      </c>
      <c r="BC717">
        <f>'Recurring Log'!N721&amp;""</f>
        <v/>
      </c>
      <c r="BD717">
        <f>'Recurring Log'!O721&amp;""</f>
        <v/>
      </c>
      <c r="BE717">
        <f>IF('Recurring Log'!K721="","",'Recurring Log'!K721)</f>
        <v/>
      </c>
      <c r="BF717">
        <f>IFERROR(MATCH(BA717,Setup!$L$6:$L$9,0),5)</f>
        <v/>
      </c>
      <c r="BG717">
        <f>IF(OR(AZ717="Done",AZ717="Cancelled"),1,0)</f>
        <v/>
      </c>
      <c r="BH717">
        <f>IF(AND(AU717&lt;&gt;"",ISNUMBER(AW717)),1,0)</f>
        <v/>
      </c>
      <c r="BI717">
        <f>IF(BH717=0,0,IF(AND(AW717&gt;='Tasks Filter'!$F$3,AW717&lt;='Tasks Filter'!$F$4,OR('Tasks Filter'!$I$3="",ISNUMBER(SEARCH('Tasks Filter'!$I$3,AU717))),OR('Tasks Filter'!$I$4="",BF717=IFERROR(MATCH('Tasks Filter'!$I$4,Setup!$L$6:$L$9,0),0)),OR('Tasks Filter'!$I$5="Both",AND('Tasks Filter'!$I$5="Yes",BB717="✓"),AND('Tasks Filter'!$I$5="No",BB717&lt;&gt;"✓")),OR('Tasks Filter'!$L$3="",AV717='Tasks Filter'!$L$3),OR('Tasks Filter'!$L$4="",AZ717='Tasks Filter'!$L$4),OR('Tasks Filter'!$L$5="",BC717='Tasks Filter'!$L$5),OR('Tasks Filter'!$O$3="",BD717='Tasks Filter'!$O$3),OR('Tasks Filter'!$O$4="Yes",BG717=0)),1,0))</f>
        <v/>
      </c>
      <c r="BJ717">
        <f>IF(BH717=0,"",IF('Tasks Filter'!$F$6="Descending",-1,1)*CHOOSE(MATCH('Tasks Filter'!$F$5,Lists!$G$2:$G$6,0),AW717,BF717,IFERROR(MATCH(AV717,Setup!$F$6:$F$15,0),99),IFERROR(MATCH(BC717,Setup!$H$6:$H$15,0),99),IFERROR(MATCH(AZ717,Setup!$J$6:$J$11,0),99))*1E+9+(AW717-40000)*10000+716)</f>
        <v/>
      </c>
      <c r="BK717">
        <f>IF(BI717=1,BJ717,"")</f>
        <v/>
      </c>
      <c r="BL717">
        <f>IF(AND(BH717=1,BG717=0,N(AW717)&lt;Setup!$D$7),(AW717-40000)*10000+716,"")</f>
        <v/>
      </c>
      <c r="BM717">
        <f>IF(AND(BH717=1,AZ717&lt;&gt;"Cancelled",N(AW717)&gt;=Dashboard!$AB$3,N(AW717)&lt;=Dashboard!$AB$3+6),(AW717-40000)*100000+BF717*10000+716,"")</f>
        <v/>
      </c>
      <c r="BN717">
        <f>IF(AND(BH717=1,AZ717&lt;&gt;"Cancelled"),BF717*10000+716,"")</f>
        <v/>
      </c>
    </row>
    <row r="718">
      <c r="AS718" t="inlineStr">
        <is>
          <t>R</t>
        </is>
      </c>
      <c r="AT718" t="n">
        <v>722</v>
      </c>
      <c r="AU718">
        <f>'Recurring Log'!C722&amp;""</f>
        <v/>
      </c>
      <c r="AV718">
        <f>'Recurring Log'!D722&amp;""</f>
        <v/>
      </c>
      <c r="AW718">
        <f>IF('Recurring Log'!E722="","",'Recurring Log'!E722)</f>
        <v/>
      </c>
      <c r="AX718">
        <f>IF('Recurring Log'!G722="","",'Recurring Log'!G722)</f>
        <v/>
      </c>
      <c r="AY718">
        <f>IF('Recurring Log'!H722="","",'Recurring Log'!H722)</f>
        <v/>
      </c>
      <c r="AZ718">
        <f>IF(AU718="","",IF('Recurring Log'!J722="","Not Started",'Recurring Log'!J722))</f>
        <v/>
      </c>
      <c r="BA718">
        <f>'Recurring Log'!L722&amp;""</f>
        <v/>
      </c>
      <c r="BB718">
        <f>'Recurring Log'!M722&amp;""</f>
        <v/>
      </c>
      <c r="BC718">
        <f>'Recurring Log'!N722&amp;""</f>
        <v/>
      </c>
      <c r="BD718">
        <f>'Recurring Log'!O722&amp;""</f>
        <v/>
      </c>
      <c r="BE718">
        <f>IF('Recurring Log'!K722="","",'Recurring Log'!K722)</f>
        <v/>
      </c>
      <c r="BF718">
        <f>IFERROR(MATCH(BA718,Setup!$L$6:$L$9,0),5)</f>
        <v/>
      </c>
      <c r="BG718">
        <f>IF(OR(AZ718="Done",AZ718="Cancelled"),1,0)</f>
        <v/>
      </c>
      <c r="BH718">
        <f>IF(AND(AU718&lt;&gt;"",ISNUMBER(AW718)),1,0)</f>
        <v/>
      </c>
      <c r="BI718">
        <f>IF(BH718=0,0,IF(AND(AW718&gt;='Tasks Filter'!$F$3,AW718&lt;='Tasks Filter'!$F$4,OR('Tasks Filter'!$I$3="",ISNUMBER(SEARCH('Tasks Filter'!$I$3,AU718))),OR('Tasks Filter'!$I$4="",BF718=IFERROR(MATCH('Tasks Filter'!$I$4,Setup!$L$6:$L$9,0),0)),OR('Tasks Filter'!$I$5="Both",AND('Tasks Filter'!$I$5="Yes",BB718="✓"),AND('Tasks Filter'!$I$5="No",BB718&lt;&gt;"✓")),OR('Tasks Filter'!$L$3="",AV718='Tasks Filter'!$L$3),OR('Tasks Filter'!$L$4="",AZ718='Tasks Filter'!$L$4),OR('Tasks Filter'!$L$5="",BC718='Tasks Filter'!$L$5),OR('Tasks Filter'!$O$3="",BD718='Tasks Filter'!$O$3),OR('Tasks Filter'!$O$4="Yes",BG718=0)),1,0))</f>
        <v/>
      </c>
      <c r="BJ718">
        <f>IF(BH718=0,"",IF('Tasks Filter'!$F$6="Descending",-1,1)*CHOOSE(MATCH('Tasks Filter'!$F$5,Lists!$G$2:$G$6,0),AW718,BF718,IFERROR(MATCH(AV718,Setup!$F$6:$F$15,0),99),IFERROR(MATCH(BC718,Setup!$H$6:$H$15,0),99),IFERROR(MATCH(AZ718,Setup!$J$6:$J$11,0),99))*1E+9+(AW718-40000)*10000+717)</f>
        <v/>
      </c>
      <c r="BK718">
        <f>IF(BI718=1,BJ718,"")</f>
        <v/>
      </c>
      <c r="BL718">
        <f>IF(AND(BH718=1,BG718=0,N(AW718)&lt;Setup!$D$7),(AW718-40000)*10000+717,"")</f>
        <v/>
      </c>
      <c r="BM718">
        <f>IF(AND(BH718=1,AZ718&lt;&gt;"Cancelled",N(AW718)&gt;=Dashboard!$AB$3,N(AW718)&lt;=Dashboard!$AB$3+6),(AW718-40000)*100000+BF718*10000+717,"")</f>
        <v/>
      </c>
      <c r="BN718">
        <f>IF(AND(BH718=1,AZ718&lt;&gt;"Cancelled"),BF718*10000+717,"")</f>
        <v/>
      </c>
    </row>
    <row r="719">
      <c r="AS719" t="inlineStr">
        <is>
          <t>R</t>
        </is>
      </c>
      <c r="AT719" t="n">
        <v>723</v>
      </c>
      <c r="AU719">
        <f>'Recurring Log'!C723&amp;""</f>
        <v/>
      </c>
      <c r="AV719">
        <f>'Recurring Log'!D723&amp;""</f>
        <v/>
      </c>
      <c r="AW719">
        <f>IF('Recurring Log'!E723="","",'Recurring Log'!E723)</f>
        <v/>
      </c>
      <c r="AX719">
        <f>IF('Recurring Log'!G723="","",'Recurring Log'!G723)</f>
        <v/>
      </c>
      <c r="AY719">
        <f>IF('Recurring Log'!H723="","",'Recurring Log'!H723)</f>
        <v/>
      </c>
      <c r="AZ719">
        <f>IF(AU719="","",IF('Recurring Log'!J723="","Not Started",'Recurring Log'!J723))</f>
        <v/>
      </c>
      <c r="BA719">
        <f>'Recurring Log'!L723&amp;""</f>
        <v/>
      </c>
      <c r="BB719">
        <f>'Recurring Log'!M723&amp;""</f>
        <v/>
      </c>
      <c r="BC719">
        <f>'Recurring Log'!N723&amp;""</f>
        <v/>
      </c>
      <c r="BD719">
        <f>'Recurring Log'!O723&amp;""</f>
        <v/>
      </c>
      <c r="BE719">
        <f>IF('Recurring Log'!K723="","",'Recurring Log'!K723)</f>
        <v/>
      </c>
      <c r="BF719">
        <f>IFERROR(MATCH(BA719,Setup!$L$6:$L$9,0),5)</f>
        <v/>
      </c>
      <c r="BG719">
        <f>IF(OR(AZ719="Done",AZ719="Cancelled"),1,0)</f>
        <v/>
      </c>
      <c r="BH719">
        <f>IF(AND(AU719&lt;&gt;"",ISNUMBER(AW719)),1,0)</f>
        <v/>
      </c>
      <c r="BI719">
        <f>IF(BH719=0,0,IF(AND(AW719&gt;='Tasks Filter'!$F$3,AW719&lt;='Tasks Filter'!$F$4,OR('Tasks Filter'!$I$3="",ISNUMBER(SEARCH('Tasks Filter'!$I$3,AU719))),OR('Tasks Filter'!$I$4="",BF719=IFERROR(MATCH('Tasks Filter'!$I$4,Setup!$L$6:$L$9,0),0)),OR('Tasks Filter'!$I$5="Both",AND('Tasks Filter'!$I$5="Yes",BB719="✓"),AND('Tasks Filter'!$I$5="No",BB719&lt;&gt;"✓")),OR('Tasks Filter'!$L$3="",AV719='Tasks Filter'!$L$3),OR('Tasks Filter'!$L$4="",AZ719='Tasks Filter'!$L$4),OR('Tasks Filter'!$L$5="",BC719='Tasks Filter'!$L$5),OR('Tasks Filter'!$O$3="",BD719='Tasks Filter'!$O$3),OR('Tasks Filter'!$O$4="Yes",BG719=0)),1,0))</f>
        <v/>
      </c>
      <c r="BJ719">
        <f>IF(BH719=0,"",IF('Tasks Filter'!$F$6="Descending",-1,1)*CHOOSE(MATCH('Tasks Filter'!$F$5,Lists!$G$2:$G$6,0),AW719,BF719,IFERROR(MATCH(AV719,Setup!$F$6:$F$15,0),99),IFERROR(MATCH(BC719,Setup!$H$6:$H$15,0),99),IFERROR(MATCH(AZ719,Setup!$J$6:$J$11,0),99))*1E+9+(AW719-40000)*10000+718)</f>
        <v/>
      </c>
      <c r="BK719">
        <f>IF(BI719=1,BJ719,"")</f>
        <v/>
      </c>
      <c r="BL719">
        <f>IF(AND(BH719=1,BG719=0,N(AW719)&lt;Setup!$D$7),(AW719-40000)*10000+718,"")</f>
        <v/>
      </c>
      <c r="BM719">
        <f>IF(AND(BH719=1,AZ719&lt;&gt;"Cancelled",N(AW719)&gt;=Dashboard!$AB$3,N(AW719)&lt;=Dashboard!$AB$3+6),(AW719-40000)*100000+BF719*10000+718,"")</f>
        <v/>
      </c>
      <c r="BN719">
        <f>IF(AND(BH719=1,AZ719&lt;&gt;"Cancelled"),BF719*10000+718,"")</f>
        <v/>
      </c>
    </row>
    <row r="720">
      <c r="AS720" t="inlineStr">
        <is>
          <t>R</t>
        </is>
      </c>
      <c r="AT720" t="n">
        <v>724</v>
      </c>
      <c r="AU720">
        <f>'Recurring Log'!C724&amp;""</f>
        <v/>
      </c>
      <c r="AV720">
        <f>'Recurring Log'!D724&amp;""</f>
        <v/>
      </c>
      <c r="AW720">
        <f>IF('Recurring Log'!E724="","",'Recurring Log'!E724)</f>
        <v/>
      </c>
      <c r="AX720">
        <f>IF('Recurring Log'!G724="","",'Recurring Log'!G724)</f>
        <v/>
      </c>
      <c r="AY720">
        <f>IF('Recurring Log'!H724="","",'Recurring Log'!H724)</f>
        <v/>
      </c>
      <c r="AZ720">
        <f>IF(AU720="","",IF('Recurring Log'!J724="","Not Started",'Recurring Log'!J724))</f>
        <v/>
      </c>
      <c r="BA720">
        <f>'Recurring Log'!L724&amp;""</f>
        <v/>
      </c>
      <c r="BB720">
        <f>'Recurring Log'!M724&amp;""</f>
        <v/>
      </c>
      <c r="BC720">
        <f>'Recurring Log'!N724&amp;""</f>
        <v/>
      </c>
      <c r="BD720">
        <f>'Recurring Log'!O724&amp;""</f>
        <v/>
      </c>
      <c r="BE720">
        <f>IF('Recurring Log'!K724="","",'Recurring Log'!K724)</f>
        <v/>
      </c>
      <c r="BF720">
        <f>IFERROR(MATCH(BA720,Setup!$L$6:$L$9,0),5)</f>
        <v/>
      </c>
      <c r="BG720">
        <f>IF(OR(AZ720="Done",AZ720="Cancelled"),1,0)</f>
        <v/>
      </c>
      <c r="BH720">
        <f>IF(AND(AU720&lt;&gt;"",ISNUMBER(AW720)),1,0)</f>
        <v/>
      </c>
      <c r="BI720">
        <f>IF(BH720=0,0,IF(AND(AW720&gt;='Tasks Filter'!$F$3,AW720&lt;='Tasks Filter'!$F$4,OR('Tasks Filter'!$I$3="",ISNUMBER(SEARCH('Tasks Filter'!$I$3,AU720))),OR('Tasks Filter'!$I$4="",BF720=IFERROR(MATCH('Tasks Filter'!$I$4,Setup!$L$6:$L$9,0),0)),OR('Tasks Filter'!$I$5="Both",AND('Tasks Filter'!$I$5="Yes",BB720="✓"),AND('Tasks Filter'!$I$5="No",BB720&lt;&gt;"✓")),OR('Tasks Filter'!$L$3="",AV720='Tasks Filter'!$L$3),OR('Tasks Filter'!$L$4="",AZ720='Tasks Filter'!$L$4),OR('Tasks Filter'!$L$5="",BC720='Tasks Filter'!$L$5),OR('Tasks Filter'!$O$3="",BD720='Tasks Filter'!$O$3),OR('Tasks Filter'!$O$4="Yes",BG720=0)),1,0))</f>
        <v/>
      </c>
      <c r="BJ720">
        <f>IF(BH720=0,"",IF('Tasks Filter'!$F$6="Descending",-1,1)*CHOOSE(MATCH('Tasks Filter'!$F$5,Lists!$G$2:$G$6,0),AW720,BF720,IFERROR(MATCH(AV720,Setup!$F$6:$F$15,0),99),IFERROR(MATCH(BC720,Setup!$H$6:$H$15,0),99),IFERROR(MATCH(AZ720,Setup!$J$6:$J$11,0),99))*1E+9+(AW720-40000)*10000+719)</f>
        <v/>
      </c>
      <c r="BK720">
        <f>IF(BI720=1,BJ720,"")</f>
        <v/>
      </c>
      <c r="BL720">
        <f>IF(AND(BH720=1,BG720=0,N(AW720)&lt;Setup!$D$7),(AW720-40000)*10000+719,"")</f>
        <v/>
      </c>
      <c r="BM720">
        <f>IF(AND(BH720=1,AZ720&lt;&gt;"Cancelled",N(AW720)&gt;=Dashboard!$AB$3,N(AW720)&lt;=Dashboard!$AB$3+6),(AW720-40000)*100000+BF720*10000+719,"")</f>
        <v/>
      </c>
      <c r="BN720">
        <f>IF(AND(BH720=1,AZ720&lt;&gt;"Cancelled"),BF720*10000+719,"")</f>
        <v/>
      </c>
    </row>
    <row r="721">
      <c r="AS721" t="inlineStr">
        <is>
          <t>R</t>
        </is>
      </c>
      <c r="AT721" t="n">
        <v>725</v>
      </c>
      <c r="AU721">
        <f>'Recurring Log'!C725&amp;""</f>
        <v/>
      </c>
      <c r="AV721">
        <f>'Recurring Log'!D725&amp;""</f>
        <v/>
      </c>
      <c r="AW721">
        <f>IF('Recurring Log'!E725="","",'Recurring Log'!E725)</f>
        <v/>
      </c>
      <c r="AX721">
        <f>IF('Recurring Log'!G725="","",'Recurring Log'!G725)</f>
        <v/>
      </c>
      <c r="AY721">
        <f>IF('Recurring Log'!H725="","",'Recurring Log'!H725)</f>
        <v/>
      </c>
      <c r="AZ721">
        <f>IF(AU721="","",IF('Recurring Log'!J725="","Not Started",'Recurring Log'!J725))</f>
        <v/>
      </c>
      <c r="BA721">
        <f>'Recurring Log'!L725&amp;""</f>
        <v/>
      </c>
      <c r="BB721">
        <f>'Recurring Log'!M725&amp;""</f>
        <v/>
      </c>
      <c r="BC721">
        <f>'Recurring Log'!N725&amp;""</f>
        <v/>
      </c>
      <c r="BD721">
        <f>'Recurring Log'!O725&amp;""</f>
        <v/>
      </c>
      <c r="BE721">
        <f>IF('Recurring Log'!K725="","",'Recurring Log'!K725)</f>
        <v/>
      </c>
      <c r="BF721">
        <f>IFERROR(MATCH(BA721,Setup!$L$6:$L$9,0),5)</f>
        <v/>
      </c>
      <c r="BG721">
        <f>IF(OR(AZ721="Done",AZ721="Cancelled"),1,0)</f>
        <v/>
      </c>
      <c r="BH721">
        <f>IF(AND(AU721&lt;&gt;"",ISNUMBER(AW721)),1,0)</f>
        <v/>
      </c>
      <c r="BI721">
        <f>IF(BH721=0,0,IF(AND(AW721&gt;='Tasks Filter'!$F$3,AW721&lt;='Tasks Filter'!$F$4,OR('Tasks Filter'!$I$3="",ISNUMBER(SEARCH('Tasks Filter'!$I$3,AU721))),OR('Tasks Filter'!$I$4="",BF721=IFERROR(MATCH('Tasks Filter'!$I$4,Setup!$L$6:$L$9,0),0)),OR('Tasks Filter'!$I$5="Both",AND('Tasks Filter'!$I$5="Yes",BB721="✓"),AND('Tasks Filter'!$I$5="No",BB721&lt;&gt;"✓")),OR('Tasks Filter'!$L$3="",AV721='Tasks Filter'!$L$3),OR('Tasks Filter'!$L$4="",AZ721='Tasks Filter'!$L$4),OR('Tasks Filter'!$L$5="",BC721='Tasks Filter'!$L$5),OR('Tasks Filter'!$O$3="",BD721='Tasks Filter'!$O$3),OR('Tasks Filter'!$O$4="Yes",BG721=0)),1,0))</f>
        <v/>
      </c>
      <c r="BJ721">
        <f>IF(BH721=0,"",IF('Tasks Filter'!$F$6="Descending",-1,1)*CHOOSE(MATCH('Tasks Filter'!$F$5,Lists!$G$2:$G$6,0),AW721,BF721,IFERROR(MATCH(AV721,Setup!$F$6:$F$15,0),99),IFERROR(MATCH(BC721,Setup!$H$6:$H$15,0),99),IFERROR(MATCH(AZ721,Setup!$J$6:$J$11,0),99))*1E+9+(AW721-40000)*10000+720)</f>
        <v/>
      </c>
      <c r="BK721">
        <f>IF(BI721=1,BJ721,"")</f>
        <v/>
      </c>
      <c r="BL721">
        <f>IF(AND(BH721=1,BG721=0,N(AW721)&lt;Setup!$D$7),(AW721-40000)*10000+720,"")</f>
        <v/>
      </c>
      <c r="BM721">
        <f>IF(AND(BH721=1,AZ721&lt;&gt;"Cancelled",N(AW721)&gt;=Dashboard!$AB$3,N(AW721)&lt;=Dashboard!$AB$3+6),(AW721-40000)*100000+BF721*10000+720,"")</f>
        <v/>
      </c>
      <c r="BN721">
        <f>IF(AND(BH721=1,AZ721&lt;&gt;"Cancelled"),BF721*10000+720,"")</f>
        <v/>
      </c>
    </row>
    <row r="722">
      <c r="AS722" t="inlineStr">
        <is>
          <t>R</t>
        </is>
      </c>
      <c r="AT722" t="n">
        <v>726</v>
      </c>
      <c r="AU722">
        <f>'Recurring Log'!C726&amp;""</f>
        <v/>
      </c>
      <c r="AV722">
        <f>'Recurring Log'!D726&amp;""</f>
        <v/>
      </c>
      <c r="AW722">
        <f>IF('Recurring Log'!E726="","",'Recurring Log'!E726)</f>
        <v/>
      </c>
      <c r="AX722">
        <f>IF('Recurring Log'!G726="","",'Recurring Log'!G726)</f>
        <v/>
      </c>
      <c r="AY722">
        <f>IF('Recurring Log'!H726="","",'Recurring Log'!H726)</f>
        <v/>
      </c>
      <c r="AZ722">
        <f>IF(AU722="","",IF('Recurring Log'!J726="","Not Started",'Recurring Log'!J726))</f>
        <v/>
      </c>
      <c r="BA722">
        <f>'Recurring Log'!L726&amp;""</f>
        <v/>
      </c>
      <c r="BB722">
        <f>'Recurring Log'!M726&amp;""</f>
        <v/>
      </c>
      <c r="BC722">
        <f>'Recurring Log'!N726&amp;""</f>
        <v/>
      </c>
      <c r="BD722">
        <f>'Recurring Log'!O726&amp;""</f>
        <v/>
      </c>
      <c r="BE722">
        <f>IF('Recurring Log'!K726="","",'Recurring Log'!K726)</f>
        <v/>
      </c>
      <c r="BF722">
        <f>IFERROR(MATCH(BA722,Setup!$L$6:$L$9,0),5)</f>
        <v/>
      </c>
      <c r="BG722">
        <f>IF(OR(AZ722="Done",AZ722="Cancelled"),1,0)</f>
        <v/>
      </c>
      <c r="BH722">
        <f>IF(AND(AU722&lt;&gt;"",ISNUMBER(AW722)),1,0)</f>
        <v/>
      </c>
      <c r="BI722">
        <f>IF(BH722=0,0,IF(AND(AW722&gt;='Tasks Filter'!$F$3,AW722&lt;='Tasks Filter'!$F$4,OR('Tasks Filter'!$I$3="",ISNUMBER(SEARCH('Tasks Filter'!$I$3,AU722))),OR('Tasks Filter'!$I$4="",BF722=IFERROR(MATCH('Tasks Filter'!$I$4,Setup!$L$6:$L$9,0),0)),OR('Tasks Filter'!$I$5="Both",AND('Tasks Filter'!$I$5="Yes",BB722="✓"),AND('Tasks Filter'!$I$5="No",BB722&lt;&gt;"✓")),OR('Tasks Filter'!$L$3="",AV722='Tasks Filter'!$L$3),OR('Tasks Filter'!$L$4="",AZ722='Tasks Filter'!$L$4),OR('Tasks Filter'!$L$5="",BC722='Tasks Filter'!$L$5),OR('Tasks Filter'!$O$3="",BD722='Tasks Filter'!$O$3),OR('Tasks Filter'!$O$4="Yes",BG722=0)),1,0))</f>
        <v/>
      </c>
      <c r="BJ722">
        <f>IF(BH722=0,"",IF('Tasks Filter'!$F$6="Descending",-1,1)*CHOOSE(MATCH('Tasks Filter'!$F$5,Lists!$G$2:$G$6,0),AW722,BF722,IFERROR(MATCH(AV722,Setup!$F$6:$F$15,0),99),IFERROR(MATCH(BC722,Setup!$H$6:$H$15,0),99),IFERROR(MATCH(AZ722,Setup!$J$6:$J$11,0),99))*1E+9+(AW722-40000)*10000+721)</f>
        <v/>
      </c>
      <c r="BK722">
        <f>IF(BI722=1,BJ722,"")</f>
        <v/>
      </c>
      <c r="BL722">
        <f>IF(AND(BH722=1,BG722=0,N(AW722)&lt;Setup!$D$7),(AW722-40000)*10000+721,"")</f>
        <v/>
      </c>
      <c r="BM722">
        <f>IF(AND(BH722=1,AZ722&lt;&gt;"Cancelled",N(AW722)&gt;=Dashboard!$AB$3,N(AW722)&lt;=Dashboard!$AB$3+6),(AW722-40000)*100000+BF722*10000+721,"")</f>
        <v/>
      </c>
      <c r="BN722">
        <f>IF(AND(BH722=1,AZ722&lt;&gt;"Cancelled"),BF722*10000+721,"")</f>
        <v/>
      </c>
    </row>
    <row r="723">
      <c r="AS723" t="inlineStr">
        <is>
          <t>R</t>
        </is>
      </c>
      <c r="AT723" t="n">
        <v>727</v>
      </c>
      <c r="AU723">
        <f>'Recurring Log'!C727&amp;""</f>
        <v/>
      </c>
      <c r="AV723">
        <f>'Recurring Log'!D727&amp;""</f>
        <v/>
      </c>
      <c r="AW723">
        <f>IF('Recurring Log'!E727="","",'Recurring Log'!E727)</f>
        <v/>
      </c>
      <c r="AX723">
        <f>IF('Recurring Log'!G727="","",'Recurring Log'!G727)</f>
        <v/>
      </c>
      <c r="AY723">
        <f>IF('Recurring Log'!H727="","",'Recurring Log'!H727)</f>
        <v/>
      </c>
      <c r="AZ723">
        <f>IF(AU723="","",IF('Recurring Log'!J727="","Not Started",'Recurring Log'!J727))</f>
        <v/>
      </c>
      <c r="BA723">
        <f>'Recurring Log'!L727&amp;""</f>
        <v/>
      </c>
      <c r="BB723">
        <f>'Recurring Log'!M727&amp;""</f>
        <v/>
      </c>
      <c r="BC723">
        <f>'Recurring Log'!N727&amp;""</f>
        <v/>
      </c>
      <c r="BD723">
        <f>'Recurring Log'!O727&amp;""</f>
        <v/>
      </c>
      <c r="BE723">
        <f>IF('Recurring Log'!K727="","",'Recurring Log'!K727)</f>
        <v/>
      </c>
      <c r="BF723">
        <f>IFERROR(MATCH(BA723,Setup!$L$6:$L$9,0),5)</f>
        <v/>
      </c>
      <c r="BG723">
        <f>IF(OR(AZ723="Done",AZ723="Cancelled"),1,0)</f>
        <v/>
      </c>
      <c r="BH723">
        <f>IF(AND(AU723&lt;&gt;"",ISNUMBER(AW723)),1,0)</f>
        <v/>
      </c>
      <c r="BI723">
        <f>IF(BH723=0,0,IF(AND(AW723&gt;='Tasks Filter'!$F$3,AW723&lt;='Tasks Filter'!$F$4,OR('Tasks Filter'!$I$3="",ISNUMBER(SEARCH('Tasks Filter'!$I$3,AU723))),OR('Tasks Filter'!$I$4="",BF723=IFERROR(MATCH('Tasks Filter'!$I$4,Setup!$L$6:$L$9,0),0)),OR('Tasks Filter'!$I$5="Both",AND('Tasks Filter'!$I$5="Yes",BB723="✓"),AND('Tasks Filter'!$I$5="No",BB723&lt;&gt;"✓")),OR('Tasks Filter'!$L$3="",AV723='Tasks Filter'!$L$3),OR('Tasks Filter'!$L$4="",AZ723='Tasks Filter'!$L$4),OR('Tasks Filter'!$L$5="",BC723='Tasks Filter'!$L$5),OR('Tasks Filter'!$O$3="",BD723='Tasks Filter'!$O$3),OR('Tasks Filter'!$O$4="Yes",BG723=0)),1,0))</f>
        <v/>
      </c>
      <c r="BJ723">
        <f>IF(BH723=0,"",IF('Tasks Filter'!$F$6="Descending",-1,1)*CHOOSE(MATCH('Tasks Filter'!$F$5,Lists!$G$2:$G$6,0),AW723,BF723,IFERROR(MATCH(AV723,Setup!$F$6:$F$15,0),99),IFERROR(MATCH(BC723,Setup!$H$6:$H$15,0),99),IFERROR(MATCH(AZ723,Setup!$J$6:$J$11,0),99))*1E+9+(AW723-40000)*10000+722)</f>
        <v/>
      </c>
      <c r="BK723">
        <f>IF(BI723=1,BJ723,"")</f>
        <v/>
      </c>
      <c r="BL723">
        <f>IF(AND(BH723=1,BG723=0,N(AW723)&lt;Setup!$D$7),(AW723-40000)*10000+722,"")</f>
        <v/>
      </c>
      <c r="BM723">
        <f>IF(AND(BH723=1,AZ723&lt;&gt;"Cancelled",N(AW723)&gt;=Dashboard!$AB$3,N(AW723)&lt;=Dashboard!$AB$3+6),(AW723-40000)*100000+BF723*10000+722,"")</f>
        <v/>
      </c>
      <c r="BN723">
        <f>IF(AND(BH723=1,AZ723&lt;&gt;"Cancelled"),BF723*10000+722,"")</f>
        <v/>
      </c>
    </row>
    <row r="724">
      <c r="AS724" t="inlineStr">
        <is>
          <t>R</t>
        </is>
      </c>
      <c r="AT724" t="n">
        <v>728</v>
      </c>
      <c r="AU724">
        <f>'Recurring Log'!C728&amp;""</f>
        <v/>
      </c>
      <c r="AV724">
        <f>'Recurring Log'!D728&amp;""</f>
        <v/>
      </c>
      <c r="AW724">
        <f>IF('Recurring Log'!E728="","",'Recurring Log'!E728)</f>
        <v/>
      </c>
      <c r="AX724">
        <f>IF('Recurring Log'!G728="","",'Recurring Log'!G728)</f>
        <v/>
      </c>
      <c r="AY724">
        <f>IF('Recurring Log'!H728="","",'Recurring Log'!H728)</f>
        <v/>
      </c>
      <c r="AZ724">
        <f>IF(AU724="","",IF('Recurring Log'!J728="","Not Started",'Recurring Log'!J728))</f>
        <v/>
      </c>
      <c r="BA724">
        <f>'Recurring Log'!L728&amp;""</f>
        <v/>
      </c>
      <c r="BB724">
        <f>'Recurring Log'!M728&amp;""</f>
        <v/>
      </c>
      <c r="BC724">
        <f>'Recurring Log'!N728&amp;""</f>
        <v/>
      </c>
      <c r="BD724">
        <f>'Recurring Log'!O728&amp;""</f>
        <v/>
      </c>
      <c r="BE724">
        <f>IF('Recurring Log'!K728="","",'Recurring Log'!K728)</f>
        <v/>
      </c>
      <c r="BF724">
        <f>IFERROR(MATCH(BA724,Setup!$L$6:$L$9,0),5)</f>
        <v/>
      </c>
      <c r="BG724">
        <f>IF(OR(AZ724="Done",AZ724="Cancelled"),1,0)</f>
        <v/>
      </c>
      <c r="BH724">
        <f>IF(AND(AU724&lt;&gt;"",ISNUMBER(AW724)),1,0)</f>
        <v/>
      </c>
      <c r="BI724">
        <f>IF(BH724=0,0,IF(AND(AW724&gt;='Tasks Filter'!$F$3,AW724&lt;='Tasks Filter'!$F$4,OR('Tasks Filter'!$I$3="",ISNUMBER(SEARCH('Tasks Filter'!$I$3,AU724))),OR('Tasks Filter'!$I$4="",BF724=IFERROR(MATCH('Tasks Filter'!$I$4,Setup!$L$6:$L$9,0),0)),OR('Tasks Filter'!$I$5="Both",AND('Tasks Filter'!$I$5="Yes",BB724="✓"),AND('Tasks Filter'!$I$5="No",BB724&lt;&gt;"✓")),OR('Tasks Filter'!$L$3="",AV724='Tasks Filter'!$L$3),OR('Tasks Filter'!$L$4="",AZ724='Tasks Filter'!$L$4),OR('Tasks Filter'!$L$5="",BC724='Tasks Filter'!$L$5),OR('Tasks Filter'!$O$3="",BD724='Tasks Filter'!$O$3),OR('Tasks Filter'!$O$4="Yes",BG724=0)),1,0))</f>
        <v/>
      </c>
      <c r="BJ724">
        <f>IF(BH724=0,"",IF('Tasks Filter'!$F$6="Descending",-1,1)*CHOOSE(MATCH('Tasks Filter'!$F$5,Lists!$G$2:$G$6,0),AW724,BF724,IFERROR(MATCH(AV724,Setup!$F$6:$F$15,0),99),IFERROR(MATCH(BC724,Setup!$H$6:$H$15,0),99),IFERROR(MATCH(AZ724,Setup!$J$6:$J$11,0),99))*1E+9+(AW724-40000)*10000+723)</f>
        <v/>
      </c>
      <c r="BK724">
        <f>IF(BI724=1,BJ724,"")</f>
        <v/>
      </c>
      <c r="BL724">
        <f>IF(AND(BH724=1,BG724=0,N(AW724)&lt;Setup!$D$7),(AW724-40000)*10000+723,"")</f>
        <v/>
      </c>
      <c r="BM724">
        <f>IF(AND(BH724=1,AZ724&lt;&gt;"Cancelled",N(AW724)&gt;=Dashboard!$AB$3,N(AW724)&lt;=Dashboard!$AB$3+6),(AW724-40000)*100000+BF724*10000+723,"")</f>
        <v/>
      </c>
      <c r="BN724">
        <f>IF(AND(BH724=1,AZ724&lt;&gt;"Cancelled"),BF724*10000+723,"")</f>
        <v/>
      </c>
    </row>
    <row r="725">
      <c r="AS725" t="inlineStr">
        <is>
          <t>R</t>
        </is>
      </c>
      <c r="AT725" t="n">
        <v>729</v>
      </c>
      <c r="AU725">
        <f>'Recurring Log'!C729&amp;""</f>
        <v/>
      </c>
      <c r="AV725">
        <f>'Recurring Log'!D729&amp;""</f>
        <v/>
      </c>
      <c r="AW725">
        <f>IF('Recurring Log'!E729="","",'Recurring Log'!E729)</f>
        <v/>
      </c>
      <c r="AX725">
        <f>IF('Recurring Log'!G729="","",'Recurring Log'!G729)</f>
        <v/>
      </c>
      <c r="AY725">
        <f>IF('Recurring Log'!H729="","",'Recurring Log'!H729)</f>
        <v/>
      </c>
      <c r="AZ725">
        <f>IF(AU725="","",IF('Recurring Log'!J729="","Not Started",'Recurring Log'!J729))</f>
        <v/>
      </c>
      <c r="BA725">
        <f>'Recurring Log'!L729&amp;""</f>
        <v/>
      </c>
      <c r="BB725">
        <f>'Recurring Log'!M729&amp;""</f>
        <v/>
      </c>
      <c r="BC725">
        <f>'Recurring Log'!N729&amp;""</f>
        <v/>
      </c>
      <c r="BD725">
        <f>'Recurring Log'!O729&amp;""</f>
        <v/>
      </c>
      <c r="BE725">
        <f>IF('Recurring Log'!K729="","",'Recurring Log'!K729)</f>
        <v/>
      </c>
      <c r="BF725">
        <f>IFERROR(MATCH(BA725,Setup!$L$6:$L$9,0),5)</f>
        <v/>
      </c>
      <c r="BG725">
        <f>IF(OR(AZ725="Done",AZ725="Cancelled"),1,0)</f>
        <v/>
      </c>
      <c r="BH725">
        <f>IF(AND(AU725&lt;&gt;"",ISNUMBER(AW725)),1,0)</f>
        <v/>
      </c>
      <c r="BI725">
        <f>IF(BH725=0,0,IF(AND(AW725&gt;='Tasks Filter'!$F$3,AW725&lt;='Tasks Filter'!$F$4,OR('Tasks Filter'!$I$3="",ISNUMBER(SEARCH('Tasks Filter'!$I$3,AU725))),OR('Tasks Filter'!$I$4="",BF725=IFERROR(MATCH('Tasks Filter'!$I$4,Setup!$L$6:$L$9,0),0)),OR('Tasks Filter'!$I$5="Both",AND('Tasks Filter'!$I$5="Yes",BB725="✓"),AND('Tasks Filter'!$I$5="No",BB725&lt;&gt;"✓")),OR('Tasks Filter'!$L$3="",AV725='Tasks Filter'!$L$3),OR('Tasks Filter'!$L$4="",AZ725='Tasks Filter'!$L$4),OR('Tasks Filter'!$L$5="",BC725='Tasks Filter'!$L$5),OR('Tasks Filter'!$O$3="",BD725='Tasks Filter'!$O$3),OR('Tasks Filter'!$O$4="Yes",BG725=0)),1,0))</f>
        <v/>
      </c>
      <c r="BJ725">
        <f>IF(BH725=0,"",IF('Tasks Filter'!$F$6="Descending",-1,1)*CHOOSE(MATCH('Tasks Filter'!$F$5,Lists!$G$2:$G$6,0),AW725,BF725,IFERROR(MATCH(AV725,Setup!$F$6:$F$15,0),99),IFERROR(MATCH(BC725,Setup!$H$6:$H$15,0),99),IFERROR(MATCH(AZ725,Setup!$J$6:$J$11,0),99))*1E+9+(AW725-40000)*10000+724)</f>
        <v/>
      </c>
      <c r="BK725">
        <f>IF(BI725=1,BJ725,"")</f>
        <v/>
      </c>
      <c r="BL725">
        <f>IF(AND(BH725=1,BG725=0,N(AW725)&lt;Setup!$D$7),(AW725-40000)*10000+724,"")</f>
        <v/>
      </c>
      <c r="BM725">
        <f>IF(AND(BH725=1,AZ725&lt;&gt;"Cancelled",N(AW725)&gt;=Dashboard!$AB$3,N(AW725)&lt;=Dashboard!$AB$3+6),(AW725-40000)*100000+BF725*10000+724,"")</f>
        <v/>
      </c>
      <c r="BN725">
        <f>IF(AND(BH725=1,AZ725&lt;&gt;"Cancelled"),BF725*10000+724,"")</f>
        <v/>
      </c>
    </row>
    <row r="726">
      <c r="AS726" t="inlineStr">
        <is>
          <t>R</t>
        </is>
      </c>
      <c r="AT726" t="n">
        <v>730</v>
      </c>
      <c r="AU726">
        <f>'Recurring Log'!C730&amp;""</f>
        <v/>
      </c>
      <c r="AV726">
        <f>'Recurring Log'!D730&amp;""</f>
        <v/>
      </c>
      <c r="AW726">
        <f>IF('Recurring Log'!E730="","",'Recurring Log'!E730)</f>
        <v/>
      </c>
      <c r="AX726">
        <f>IF('Recurring Log'!G730="","",'Recurring Log'!G730)</f>
        <v/>
      </c>
      <c r="AY726">
        <f>IF('Recurring Log'!H730="","",'Recurring Log'!H730)</f>
        <v/>
      </c>
      <c r="AZ726">
        <f>IF(AU726="","",IF('Recurring Log'!J730="","Not Started",'Recurring Log'!J730))</f>
        <v/>
      </c>
      <c r="BA726">
        <f>'Recurring Log'!L730&amp;""</f>
        <v/>
      </c>
      <c r="BB726">
        <f>'Recurring Log'!M730&amp;""</f>
        <v/>
      </c>
      <c r="BC726">
        <f>'Recurring Log'!N730&amp;""</f>
        <v/>
      </c>
      <c r="BD726">
        <f>'Recurring Log'!O730&amp;""</f>
        <v/>
      </c>
      <c r="BE726">
        <f>IF('Recurring Log'!K730="","",'Recurring Log'!K730)</f>
        <v/>
      </c>
      <c r="BF726">
        <f>IFERROR(MATCH(BA726,Setup!$L$6:$L$9,0),5)</f>
        <v/>
      </c>
      <c r="BG726">
        <f>IF(OR(AZ726="Done",AZ726="Cancelled"),1,0)</f>
        <v/>
      </c>
      <c r="BH726">
        <f>IF(AND(AU726&lt;&gt;"",ISNUMBER(AW726)),1,0)</f>
        <v/>
      </c>
      <c r="BI726">
        <f>IF(BH726=0,0,IF(AND(AW726&gt;='Tasks Filter'!$F$3,AW726&lt;='Tasks Filter'!$F$4,OR('Tasks Filter'!$I$3="",ISNUMBER(SEARCH('Tasks Filter'!$I$3,AU726))),OR('Tasks Filter'!$I$4="",BF726=IFERROR(MATCH('Tasks Filter'!$I$4,Setup!$L$6:$L$9,0),0)),OR('Tasks Filter'!$I$5="Both",AND('Tasks Filter'!$I$5="Yes",BB726="✓"),AND('Tasks Filter'!$I$5="No",BB726&lt;&gt;"✓")),OR('Tasks Filter'!$L$3="",AV726='Tasks Filter'!$L$3),OR('Tasks Filter'!$L$4="",AZ726='Tasks Filter'!$L$4),OR('Tasks Filter'!$L$5="",BC726='Tasks Filter'!$L$5),OR('Tasks Filter'!$O$3="",BD726='Tasks Filter'!$O$3),OR('Tasks Filter'!$O$4="Yes",BG726=0)),1,0))</f>
        <v/>
      </c>
      <c r="BJ726">
        <f>IF(BH726=0,"",IF('Tasks Filter'!$F$6="Descending",-1,1)*CHOOSE(MATCH('Tasks Filter'!$F$5,Lists!$G$2:$G$6,0),AW726,BF726,IFERROR(MATCH(AV726,Setup!$F$6:$F$15,0),99),IFERROR(MATCH(BC726,Setup!$H$6:$H$15,0),99),IFERROR(MATCH(AZ726,Setup!$J$6:$J$11,0),99))*1E+9+(AW726-40000)*10000+725)</f>
        <v/>
      </c>
      <c r="BK726">
        <f>IF(BI726=1,BJ726,"")</f>
        <v/>
      </c>
      <c r="BL726">
        <f>IF(AND(BH726=1,BG726=0,N(AW726)&lt;Setup!$D$7),(AW726-40000)*10000+725,"")</f>
        <v/>
      </c>
      <c r="BM726">
        <f>IF(AND(BH726=1,AZ726&lt;&gt;"Cancelled",N(AW726)&gt;=Dashboard!$AB$3,N(AW726)&lt;=Dashboard!$AB$3+6),(AW726-40000)*100000+BF726*10000+725,"")</f>
        <v/>
      </c>
      <c r="BN726">
        <f>IF(AND(BH726=1,AZ726&lt;&gt;"Cancelled"),BF726*10000+725,"")</f>
        <v/>
      </c>
    </row>
    <row r="727">
      <c r="AS727" t="inlineStr">
        <is>
          <t>R</t>
        </is>
      </c>
      <c r="AT727" t="n">
        <v>731</v>
      </c>
      <c r="AU727">
        <f>'Recurring Log'!C731&amp;""</f>
        <v/>
      </c>
      <c r="AV727">
        <f>'Recurring Log'!D731&amp;""</f>
        <v/>
      </c>
      <c r="AW727">
        <f>IF('Recurring Log'!E731="","",'Recurring Log'!E731)</f>
        <v/>
      </c>
      <c r="AX727">
        <f>IF('Recurring Log'!G731="","",'Recurring Log'!G731)</f>
        <v/>
      </c>
      <c r="AY727">
        <f>IF('Recurring Log'!H731="","",'Recurring Log'!H731)</f>
        <v/>
      </c>
      <c r="AZ727">
        <f>IF(AU727="","",IF('Recurring Log'!J731="","Not Started",'Recurring Log'!J731))</f>
        <v/>
      </c>
      <c r="BA727">
        <f>'Recurring Log'!L731&amp;""</f>
        <v/>
      </c>
      <c r="BB727">
        <f>'Recurring Log'!M731&amp;""</f>
        <v/>
      </c>
      <c r="BC727">
        <f>'Recurring Log'!N731&amp;""</f>
        <v/>
      </c>
      <c r="BD727">
        <f>'Recurring Log'!O731&amp;""</f>
        <v/>
      </c>
      <c r="BE727">
        <f>IF('Recurring Log'!K731="","",'Recurring Log'!K731)</f>
        <v/>
      </c>
      <c r="BF727">
        <f>IFERROR(MATCH(BA727,Setup!$L$6:$L$9,0),5)</f>
        <v/>
      </c>
      <c r="BG727">
        <f>IF(OR(AZ727="Done",AZ727="Cancelled"),1,0)</f>
        <v/>
      </c>
      <c r="BH727">
        <f>IF(AND(AU727&lt;&gt;"",ISNUMBER(AW727)),1,0)</f>
        <v/>
      </c>
      <c r="BI727">
        <f>IF(BH727=0,0,IF(AND(AW727&gt;='Tasks Filter'!$F$3,AW727&lt;='Tasks Filter'!$F$4,OR('Tasks Filter'!$I$3="",ISNUMBER(SEARCH('Tasks Filter'!$I$3,AU727))),OR('Tasks Filter'!$I$4="",BF727=IFERROR(MATCH('Tasks Filter'!$I$4,Setup!$L$6:$L$9,0),0)),OR('Tasks Filter'!$I$5="Both",AND('Tasks Filter'!$I$5="Yes",BB727="✓"),AND('Tasks Filter'!$I$5="No",BB727&lt;&gt;"✓")),OR('Tasks Filter'!$L$3="",AV727='Tasks Filter'!$L$3),OR('Tasks Filter'!$L$4="",AZ727='Tasks Filter'!$L$4),OR('Tasks Filter'!$L$5="",BC727='Tasks Filter'!$L$5),OR('Tasks Filter'!$O$3="",BD727='Tasks Filter'!$O$3),OR('Tasks Filter'!$O$4="Yes",BG727=0)),1,0))</f>
        <v/>
      </c>
      <c r="BJ727">
        <f>IF(BH727=0,"",IF('Tasks Filter'!$F$6="Descending",-1,1)*CHOOSE(MATCH('Tasks Filter'!$F$5,Lists!$G$2:$G$6,0),AW727,BF727,IFERROR(MATCH(AV727,Setup!$F$6:$F$15,0),99),IFERROR(MATCH(BC727,Setup!$H$6:$H$15,0),99),IFERROR(MATCH(AZ727,Setup!$J$6:$J$11,0),99))*1E+9+(AW727-40000)*10000+726)</f>
        <v/>
      </c>
      <c r="BK727">
        <f>IF(BI727=1,BJ727,"")</f>
        <v/>
      </c>
      <c r="BL727">
        <f>IF(AND(BH727=1,BG727=0,N(AW727)&lt;Setup!$D$7),(AW727-40000)*10000+726,"")</f>
        <v/>
      </c>
      <c r="BM727">
        <f>IF(AND(BH727=1,AZ727&lt;&gt;"Cancelled",N(AW727)&gt;=Dashboard!$AB$3,N(AW727)&lt;=Dashboard!$AB$3+6),(AW727-40000)*100000+BF727*10000+726,"")</f>
        <v/>
      </c>
      <c r="BN727">
        <f>IF(AND(BH727=1,AZ727&lt;&gt;"Cancelled"),BF727*10000+726,"")</f>
        <v/>
      </c>
    </row>
    <row r="728">
      <c r="AS728" t="inlineStr">
        <is>
          <t>R</t>
        </is>
      </c>
      <c r="AT728" t="n">
        <v>732</v>
      </c>
      <c r="AU728">
        <f>'Recurring Log'!C732&amp;""</f>
        <v/>
      </c>
      <c r="AV728">
        <f>'Recurring Log'!D732&amp;""</f>
        <v/>
      </c>
      <c r="AW728">
        <f>IF('Recurring Log'!E732="","",'Recurring Log'!E732)</f>
        <v/>
      </c>
      <c r="AX728">
        <f>IF('Recurring Log'!G732="","",'Recurring Log'!G732)</f>
        <v/>
      </c>
      <c r="AY728">
        <f>IF('Recurring Log'!H732="","",'Recurring Log'!H732)</f>
        <v/>
      </c>
      <c r="AZ728">
        <f>IF(AU728="","",IF('Recurring Log'!J732="","Not Started",'Recurring Log'!J732))</f>
        <v/>
      </c>
      <c r="BA728">
        <f>'Recurring Log'!L732&amp;""</f>
        <v/>
      </c>
      <c r="BB728">
        <f>'Recurring Log'!M732&amp;""</f>
        <v/>
      </c>
      <c r="BC728">
        <f>'Recurring Log'!N732&amp;""</f>
        <v/>
      </c>
      <c r="BD728">
        <f>'Recurring Log'!O732&amp;""</f>
        <v/>
      </c>
      <c r="BE728">
        <f>IF('Recurring Log'!K732="","",'Recurring Log'!K732)</f>
        <v/>
      </c>
      <c r="BF728">
        <f>IFERROR(MATCH(BA728,Setup!$L$6:$L$9,0),5)</f>
        <v/>
      </c>
      <c r="BG728">
        <f>IF(OR(AZ728="Done",AZ728="Cancelled"),1,0)</f>
        <v/>
      </c>
      <c r="BH728">
        <f>IF(AND(AU728&lt;&gt;"",ISNUMBER(AW728)),1,0)</f>
        <v/>
      </c>
      <c r="BI728">
        <f>IF(BH728=0,0,IF(AND(AW728&gt;='Tasks Filter'!$F$3,AW728&lt;='Tasks Filter'!$F$4,OR('Tasks Filter'!$I$3="",ISNUMBER(SEARCH('Tasks Filter'!$I$3,AU728))),OR('Tasks Filter'!$I$4="",BF728=IFERROR(MATCH('Tasks Filter'!$I$4,Setup!$L$6:$L$9,0),0)),OR('Tasks Filter'!$I$5="Both",AND('Tasks Filter'!$I$5="Yes",BB728="✓"),AND('Tasks Filter'!$I$5="No",BB728&lt;&gt;"✓")),OR('Tasks Filter'!$L$3="",AV728='Tasks Filter'!$L$3),OR('Tasks Filter'!$L$4="",AZ728='Tasks Filter'!$L$4),OR('Tasks Filter'!$L$5="",BC728='Tasks Filter'!$L$5),OR('Tasks Filter'!$O$3="",BD728='Tasks Filter'!$O$3),OR('Tasks Filter'!$O$4="Yes",BG728=0)),1,0))</f>
        <v/>
      </c>
      <c r="BJ728">
        <f>IF(BH728=0,"",IF('Tasks Filter'!$F$6="Descending",-1,1)*CHOOSE(MATCH('Tasks Filter'!$F$5,Lists!$G$2:$G$6,0),AW728,BF728,IFERROR(MATCH(AV728,Setup!$F$6:$F$15,0),99),IFERROR(MATCH(BC728,Setup!$H$6:$H$15,0),99),IFERROR(MATCH(AZ728,Setup!$J$6:$J$11,0),99))*1E+9+(AW728-40000)*10000+727)</f>
        <v/>
      </c>
      <c r="BK728">
        <f>IF(BI728=1,BJ728,"")</f>
        <v/>
      </c>
      <c r="BL728">
        <f>IF(AND(BH728=1,BG728=0,N(AW728)&lt;Setup!$D$7),(AW728-40000)*10000+727,"")</f>
        <v/>
      </c>
      <c r="BM728">
        <f>IF(AND(BH728=1,AZ728&lt;&gt;"Cancelled",N(AW728)&gt;=Dashboard!$AB$3,N(AW728)&lt;=Dashboard!$AB$3+6),(AW728-40000)*100000+BF728*10000+727,"")</f>
        <v/>
      </c>
      <c r="BN728">
        <f>IF(AND(BH728=1,AZ728&lt;&gt;"Cancelled"),BF728*10000+727,"")</f>
        <v/>
      </c>
    </row>
    <row r="729">
      <c r="AS729" t="inlineStr">
        <is>
          <t>R</t>
        </is>
      </c>
      <c r="AT729" t="n">
        <v>733</v>
      </c>
      <c r="AU729">
        <f>'Recurring Log'!C733&amp;""</f>
        <v/>
      </c>
      <c r="AV729">
        <f>'Recurring Log'!D733&amp;""</f>
        <v/>
      </c>
      <c r="AW729">
        <f>IF('Recurring Log'!E733="","",'Recurring Log'!E733)</f>
        <v/>
      </c>
      <c r="AX729">
        <f>IF('Recurring Log'!G733="","",'Recurring Log'!G733)</f>
        <v/>
      </c>
      <c r="AY729">
        <f>IF('Recurring Log'!H733="","",'Recurring Log'!H733)</f>
        <v/>
      </c>
      <c r="AZ729">
        <f>IF(AU729="","",IF('Recurring Log'!J733="","Not Started",'Recurring Log'!J733))</f>
        <v/>
      </c>
      <c r="BA729">
        <f>'Recurring Log'!L733&amp;""</f>
        <v/>
      </c>
      <c r="BB729">
        <f>'Recurring Log'!M733&amp;""</f>
        <v/>
      </c>
      <c r="BC729">
        <f>'Recurring Log'!N733&amp;""</f>
        <v/>
      </c>
      <c r="BD729">
        <f>'Recurring Log'!O733&amp;""</f>
        <v/>
      </c>
      <c r="BE729">
        <f>IF('Recurring Log'!K733="","",'Recurring Log'!K733)</f>
        <v/>
      </c>
      <c r="BF729">
        <f>IFERROR(MATCH(BA729,Setup!$L$6:$L$9,0),5)</f>
        <v/>
      </c>
      <c r="BG729">
        <f>IF(OR(AZ729="Done",AZ729="Cancelled"),1,0)</f>
        <v/>
      </c>
      <c r="BH729">
        <f>IF(AND(AU729&lt;&gt;"",ISNUMBER(AW729)),1,0)</f>
        <v/>
      </c>
      <c r="BI729">
        <f>IF(BH729=0,0,IF(AND(AW729&gt;='Tasks Filter'!$F$3,AW729&lt;='Tasks Filter'!$F$4,OR('Tasks Filter'!$I$3="",ISNUMBER(SEARCH('Tasks Filter'!$I$3,AU729))),OR('Tasks Filter'!$I$4="",BF729=IFERROR(MATCH('Tasks Filter'!$I$4,Setup!$L$6:$L$9,0),0)),OR('Tasks Filter'!$I$5="Both",AND('Tasks Filter'!$I$5="Yes",BB729="✓"),AND('Tasks Filter'!$I$5="No",BB729&lt;&gt;"✓")),OR('Tasks Filter'!$L$3="",AV729='Tasks Filter'!$L$3),OR('Tasks Filter'!$L$4="",AZ729='Tasks Filter'!$L$4),OR('Tasks Filter'!$L$5="",BC729='Tasks Filter'!$L$5),OR('Tasks Filter'!$O$3="",BD729='Tasks Filter'!$O$3),OR('Tasks Filter'!$O$4="Yes",BG729=0)),1,0))</f>
        <v/>
      </c>
      <c r="BJ729">
        <f>IF(BH729=0,"",IF('Tasks Filter'!$F$6="Descending",-1,1)*CHOOSE(MATCH('Tasks Filter'!$F$5,Lists!$G$2:$G$6,0),AW729,BF729,IFERROR(MATCH(AV729,Setup!$F$6:$F$15,0),99),IFERROR(MATCH(BC729,Setup!$H$6:$H$15,0),99),IFERROR(MATCH(AZ729,Setup!$J$6:$J$11,0),99))*1E+9+(AW729-40000)*10000+728)</f>
        <v/>
      </c>
      <c r="BK729">
        <f>IF(BI729=1,BJ729,"")</f>
        <v/>
      </c>
      <c r="BL729">
        <f>IF(AND(BH729=1,BG729=0,N(AW729)&lt;Setup!$D$7),(AW729-40000)*10000+728,"")</f>
        <v/>
      </c>
      <c r="BM729">
        <f>IF(AND(BH729=1,AZ729&lt;&gt;"Cancelled",N(AW729)&gt;=Dashboard!$AB$3,N(AW729)&lt;=Dashboard!$AB$3+6),(AW729-40000)*100000+BF729*10000+728,"")</f>
        <v/>
      </c>
      <c r="BN729">
        <f>IF(AND(BH729=1,AZ729&lt;&gt;"Cancelled"),BF729*10000+728,"")</f>
        <v/>
      </c>
    </row>
    <row r="730">
      <c r="AS730" t="inlineStr">
        <is>
          <t>R</t>
        </is>
      </c>
      <c r="AT730" t="n">
        <v>734</v>
      </c>
      <c r="AU730">
        <f>'Recurring Log'!C734&amp;""</f>
        <v/>
      </c>
      <c r="AV730">
        <f>'Recurring Log'!D734&amp;""</f>
        <v/>
      </c>
      <c r="AW730">
        <f>IF('Recurring Log'!E734="","",'Recurring Log'!E734)</f>
        <v/>
      </c>
      <c r="AX730">
        <f>IF('Recurring Log'!G734="","",'Recurring Log'!G734)</f>
        <v/>
      </c>
      <c r="AY730">
        <f>IF('Recurring Log'!H734="","",'Recurring Log'!H734)</f>
        <v/>
      </c>
      <c r="AZ730">
        <f>IF(AU730="","",IF('Recurring Log'!J734="","Not Started",'Recurring Log'!J734))</f>
        <v/>
      </c>
      <c r="BA730">
        <f>'Recurring Log'!L734&amp;""</f>
        <v/>
      </c>
      <c r="BB730">
        <f>'Recurring Log'!M734&amp;""</f>
        <v/>
      </c>
      <c r="BC730">
        <f>'Recurring Log'!N734&amp;""</f>
        <v/>
      </c>
      <c r="BD730">
        <f>'Recurring Log'!O734&amp;""</f>
        <v/>
      </c>
      <c r="BE730">
        <f>IF('Recurring Log'!K734="","",'Recurring Log'!K734)</f>
        <v/>
      </c>
      <c r="BF730">
        <f>IFERROR(MATCH(BA730,Setup!$L$6:$L$9,0),5)</f>
        <v/>
      </c>
      <c r="BG730">
        <f>IF(OR(AZ730="Done",AZ730="Cancelled"),1,0)</f>
        <v/>
      </c>
      <c r="BH730">
        <f>IF(AND(AU730&lt;&gt;"",ISNUMBER(AW730)),1,0)</f>
        <v/>
      </c>
      <c r="BI730">
        <f>IF(BH730=0,0,IF(AND(AW730&gt;='Tasks Filter'!$F$3,AW730&lt;='Tasks Filter'!$F$4,OR('Tasks Filter'!$I$3="",ISNUMBER(SEARCH('Tasks Filter'!$I$3,AU730))),OR('Tasks Filter'!$I$4="",BF730=IFERROR(MATCH('Tasks Filter'!$I$4,Setup!$L$6:$L$9,0),0)),OR('Tasks Filter'!$I$5="Both",AND('Tasks Filter'!$I$5="Yes",BB730="✓"),AND('Tasks Filter'!$I$5="No",BB730&lt;&gt;"✓")),OR('Tasks Filter'!$L$3="",AV730='Tasks Filter'!$L$3),OR('Tasks Filter'!$L$4="",AZ730='Tasks Filter'!$L$4),OR('Tasks Filter'!$L$5="",BC730='Tasks Filter'!$L$5),OR('Tasks Filter'!$O$3="",BD730='Tasks Filter'!$O$3),OR('Tasks Filter'!$O$4="Yes",BG730=0)),1,0))</f>
        <v/>
      </c>
      <c r="BJ730">
        <f>IF(BH730=0,"",IF('Tasks Filter'!$F$6="Descending",-1,1)*CHOOSE(MATCH('Tasks Filter'!$F$5,Lists!$G$2:$G$6,0),AW730,BF730,IFERROR(MATCH(AV730,Setup!$F$6:$F$15,0),99),IFERROR(MATCH(BC730,Setup!$H$6:$H$15,0),99),IFERROR(MATCH(AZ730,Setup!$J$6:$J$11,0),99))*1E+9+(AW730-40000)*10000+729)</f>
        <v/>
      </c>
      <c r="BK730">
        <f>IF(BI730=1,BJ730,"")</f>
        <v/>
      </c>
      <c r="BL730">
        <f>IF(AND(BH730=1,BG730=0,N(AW730)&lt;Setup!$D$7),(AW730-40000)*10000+729,"")</f>
        <v/>
      </c>
      <c r="BM730">
        <f>IF(AND(BH730=1,AZ730&lt;&gt;"Cancelled",N(AW730)&gt;=Dashboard!$AB$3,N(AW730)&lt;=Dashboard!$AB$3+6),(AW730-40000)*100000+BF730*10000+729,"")</f>
        <v/>
      </c>
      <c r="BN730">
        <f>IF(AND(BH730=1,AZ730&lt;&gt;"Cancelled"),BF730*10000+729,"")</f>
        <v/>
      </c>
    </row>
    <row r="731">
      <c r="AS731" t="inlineStr">
        <is>
          <t>R</t>
        </is>
      </c>
      <c r="AT731" t="n">
        <v>735</v>
      </c>
      <c r="AU731">
        <f>'Recurring Log'!C735&amp;""</f>
        <v/>
      </c>
      <c r="AV731">
        <f>'Recurring Log'!D735&amp;""</f>
        <v/>
      </c>
      <c r="AW731">
        <f>IF('Recurring Log'!E735="","",'Recurring Log'!E735)</f>
        <v/>
      </c>
      <c r="AX731">
        <f>IF('Recurring Log'!G735="","",'Recurring Log'!G735)</f>
        <v/>
      </c>
      <c r="AY731">
        <f>IF('Recurring Log'!H735="","",'Recurring Log'!H735)</f>
        <v/>
      </c>
      <c r="AZ731">
        <f>IF(AU731="","",IF('Recurring Log'!J735="","Not Started",'Recurring Log'!J735))</f>
        <v/>
      </c>
      <c r="BA731">
        <f>'Recurring Log'!L735&amp;""</f>
        <v/>
      </c>
      <c r="BB731">
        <f>'Recurring Log'!M735&amp;""</f>
        <v/>
      </c>
      <c r="BC731">
        <f>'Recurring Log'!N735&amp;""</f>
        <v/>
      </c>
      <c r="BD731">
        <f>'Recurring Log'!O735&amp;""</f>
        <v/>
      </c>
      <c r="BE731">
        <f>IF('Recurring Log'!K735="","",'Recurring Log'!K735)</f>
        <v/>
      </c>
      <c r="BF731">
        <f>IFERROR(MATCH(BA731,Setup!$L$6:$L$9,0),5)</f>
        <v/>
      </c>
      <c r="BG731">
        <f>IF(OR(AZ731="Done",AZ731="Cancelled"),1,0)</f>
        <v/>
      </c>
      <c r="BH731">
        <f>IF(AND(AU731&lt;&gt;"",ISNUMBER(AW731)),1,0)</f>
        <v/>
      </c>
      <c r="BI731">
        <f>IF(BH731=0,0,IF(AND(AW731&gt;='Tasks Filter'!$F$3,AW731&lt;='Tasks Filter'!$F$4,OR('Tasks Filter'!$I$3="",ISNUMBER(SEARCH('Tasks Filter'!$I$3,AU731))),OR('Tasks Filter'!$I$4="",BF731=IFERROR(MATCH('Tasks Filter'!$I$4,Setup!$L$6:$L$9,0),0)),OR('Tasks Filter'!$I$5="Both",AND('Tasks Filter'!$I$5="Yes",BB731="✓"),AND('Tasks Filter'!$I$5="No",BB731&lt;&gt;"✓")),OR('Tasks Filter'!$L$3="",AV731='Tasks Filter'!$L$3),OR('Tasks Filter'!$L$4="",AZ731='Tasks Filter'!$L$4),OR('Tasks Filter'!$L$5="",BC731='Tasks Filter'!$L$5),OR('Tasks Filter'!$O$3="",BD731='Tasks Filter'!$O$3),OR('Tasks Filter'!$O$4="Yes",BG731=0)),1,0))</f>
        <v/>
      </c>
      <c r="BJ731">
        <f>IF(BH731=0,"",IF('Tasks Filter'!$F$6="Descending",-1,1)*CHOOSE(MATCH('Tasks Filter'!$F$5,Lists!$G$2:$G$6,0),AW731,BF731,IFERROR(MATCH(AV731,Setup!$F$6:$F$15,0),99),IFERROR(MATCH(BC731,Setup!$H$6:$H$15,0),99),IFERROR(MATCH(AZ731,Setup!$J$6:$J$11,0),99))*1E+9+(AW731-40000)*10000+730)</f>
        <v/>
      </c>
      <c r="BK731">
        <f>IF(BI731=1,BJ731,"")</f>
        <v/>
      </c>
      <c r="BL731">
        <f>IF(AND(BH731=1,BG731=0,N(AW731)&lt;Setup!$D$7),(AW731-40000)*10000+730,"")</f>
        <v/>
      </c>
      <c r="BM731">
        <f>IF(AND(BH731=1,AZ731&lt;&gt;"Cancelled",N(AW731)&gt;=Dashboard!$AB$3,N(AW731)&lt;=Dashboard!$AB$3+6),(AW731-40000)*100000+BF731*10000+730,"")</f>
        <v/>
      </c>
      <c r="BN731">
        <f>IF(AND(BH731=1,AZ731&lt;&gt;"Cancelled"),BF731*10000+730,"")</f>
        <v/>
      </c>
    </row>
    <row r="732">
      <c r="AS732" t="inlineStr">
        <is>
          <t>R</t>
        </is>
      </c>
      <c r="AT732" t="n">
        <v>736</v>
      </c>
      <c r="AU732">
        <f>'Recurring Log'!C736&amp;""</f>
        <v/>
      </c>
      <c r="AV732">
        <f>'Recurring Log'!D736&amp;""</f>
        <v/>
      </c>
      <c r="AW732">
        <f>IF('Recurring Log'!E736="","",'Recurring Log'!E736)</f>
        <v/>
      </c>
      <c r="AX732">
        <f>IF('Recurring Log'!G736="","",'Recurring Log'!G736)</f>
        <v/>
      </c>
      <c r="AY732">
        <f>IF('Recurring Log'!H736="","",'Recurring Log'!H736)</f>
        <v/>
      </c>
      <c r="AZ732">
        <f>IF(AU732="","",IF('Recurring Log'!J736="","Not Started",'Recurring Log'!J736))</f>
        <v/>
      </c>
      <c r="BA732">
        <f>'Recurring Log'!L736&amp;""</f>
        <v/>
      </c>
      <c r="BB732">
        <f>'Recurring Log'!M736&amp;""</f>
        <v/>
      </c>
      <c r="BC732">
        <f>'Recurring Log'!N736&amp;""</f>
        <v/>
      </c>
      <c r="BD732">
        <f>'Recurring Log'!O736&amp;""</f>
        <v/>
      </c>
      <c r="BE732">
        <f>IF('Recurring Log'!K736="","",'Recurring Log'!K736)</f>
        <v/>
      </c>
      <c r="BF732">
        <f>IFERROR(MATCH(BA732,Setup!$L$6:$L$9,0),5)</f>
        <v/>
      </c>
      <c r="BG732">
        <f>IF(OR(AZ732="Done",AZ732="Cancelled"),1,0)</f>
        <v/>
      </c>
      <c r="BH732">
        <f>IF(AND(AU732&lt;&gt;"",ISNUMBER(AW732)),1,0)</f>
        <v/>
      </c>
      <c r="BI732">
        <f>IF(BH732=0,0,IF(AND(AW732&gt;='Tasks Filter'!$F$3,AW732&lt;='Tasks Filter'!$F$4,OR('Tasks Filter'!$I$3="",ISNUMBER(SEARCH('Tasks Filter'!$I$3,AU732))),OR('Tasks Filter'!$I$4="",BF732=IFERROR(MATCH('Tasks Filter'!$I$4,Setup!$L$6:$L$9,0),0)),OR('Tasks Filter'!$I$5="Both",AND('Tasks Filter'!$I$5="Yes",BB732="✓"),AND('Tasks Filter'!$I$5="No",BB732&lt;&gt;"✓")),OR('Tasks Filter'!$L$3="",AV732='Tasks Filter'!$L$3),OR('Tasks Filter'!$L$4="",AZ732='Tasks Filter'!$L$4),OR('Tasks Filter'!$L$5="",BC732='Tasks Filter'!$L$5),OR('Tasks Filter'!$O$3="",BD732='Tasks Filter'!$O$3),OR('Tasks Filter'!$O$4="Yes",BG732=0)),1,0))</f>
        <v/>
      </c>
      <c r="BJ732">
        <f>IF(BH732=0,"",IF('Tasks Filter'!$F$6="Descending",-1,1)*CHOOSE(MATCH('Tasks Filter'!$F$5,Lists!$G$2:$G$6,0),AW732,BF732,IFERROR(MATCH(AV732,Setup!$F$6:$F$15,0),99),IFERROR(MATCH(BC732,Setup!$H$6:$H$15,0),99),IFERROR(MATCH(AZ732,Setup!$J$6:$J$11,0),99))*1E+9+(AW732-40000)*10000+731)</f>
        <v/>
      </c>
      <c r="BK732">
        <f>IF(BI732=1,BJ732,"")</f>
        <v/>
      </c>
      <c r="BL732">
        <f>IF(AND(BH732=1,BG732=0,N(AW732)&lt;Setup!$D$7),(AW732-40000)*10000+731,"")</f>
        <v/>
      </c>
      <c r="BM732">
        <f>IF(AND(BH732=1,AZ732&lt;&gt;"Cancelled",N(AW732)&gt;=Dashboard!$AB$3,N(AW732)&lt;=Dashboard!$AB$3+6),(AW732-40000)*100000+BF732*10000+731,"")</f>
        <v/>
      </c>
      <c r="BN732">
        <f>IF(AND(BH732=1,AZ732&lt;&gt;"Cancelled"),BF732*10000+731,"")</f>
        <v/>
      </c>
    </row>
    <row r="733">
      <c r="AS733" t="inlineStr">
        <is>
          <t>R</t>
        </is>
      </c>
      <c r="AT733" t="n">
        <v>737</v>
      </c>
      <c r="AU733">
        <f>'Recurring Log'!C737&amp;""</f>
        <v/>
      </c>
      <c r="AV733">
        <f>'Recurring Log'!D737&amp;""</f>
        <v/>
      </c>
      <c r="AW733">
        <f>IF('Recurring Log'!E737="","",'Recurring Log'!E737)</f>
        <v/>
      </c>
      <c r="AX733">
        <f>IF('Recurring Log'!G737="","",'Recurring Log'!G737)</f>
        <v/>
      </c>
      <c r="AY733">
        <f>IF('Recurring Log'!H737="","",'Recurring Log'!H737)</f>
        <v/>
      </c>
      <c r="AZ733">
        <f>IF(AU733="","",IF('Recurring Log'!J737="","Not Started",'Recurring Log'!J737))</f>
        <v/>
      </c>
      <c r="BA733">
        <f>'Recurring Log'!L737&amp;""</f>
        <v/>
      </c>
      <c r="BB733">
        <f>'Recurring Log'!M737&amp;""</f>
        <v/>
      </c>
      <c r="BC733">
        <f>'Recurring Log'!N737&amp;""</f>
        <v/>
      </c>
      <c r="BD733">
        <f>'Recurring Log'!O737&amp;""</f>
        <v/>
      </c>
      <c r="BE733">
        <f>IF('Recurring Log'!K737="","",'Recurring Log'!K737)</f>
        <v/>
      </c>
      <c r="BF733">
        <f>IFERROR(MATCH(BA733,Setup!$L$6:$L$9,0),5)</f>
        <v/>
      </c>
      <c r="BG733">
        <f>IF(OR(AZ733="Done",AZ733="Cancelled"),1,0)</f>
        <v/>
      </c>
      <c r="BH733">
        <f>IF(AND(AU733&lt;&gt;"",ISNUMBER(AW733)),1,0)</f>
        <v/>
      </c>
      <c r="BI733">
        <f>IF(BH733=0,0,IF(AND(AW733&gt;='Tasks Filter'!$F$3,AW733&lt;='Tasks Filter'!$F$4,OR('Tasks Filter'!$I$3="",ISNUMBER(SEARCH('Tasks Filter'!$I$3,AU733))),OR('Tasks Filter'!$I$4="",BF733=IFERROR(MATCH('Tasks Filter'!$I$4,Setup!$L$6:$L$9,0),0)),OR('Tasks Filter'!$I$5="Both",AND('Tasks Filter'!$I$5="Yes",BB733="✓"),AND('Tasks Filter'!$I$5="No",BB733&lt;&gt;"✓")),OR('Tasks Filter'!$L$3="",AV733='Tasks Filter'!$L$3),OR('Tasks Filter'!$L$4="",AZ733='Tasks Filter'!$L$4),OR('Tasks Filter'!$L$5="",BC733='Tasks Filter'!$L$5),OR('Tasks Filter'!$O$3="",BD733='Tasks Filter'!$O$3),OR('Tasks Filter'!$O$4="Yes",BG733=0)),1,0))</f>
        <v/>
      </c>
      <c r="BJ733">
        <f>IF(BH733=0,"",IF('Tasks Filter'!$F$6="Descending",-1,1)*CHOOSE(MATCH('Tasks Filter'!$F$5,Lists!$G$2:$G$6,0),AW733,BF733,IFERROR(MATCH(AV733,Setup!$F$6:$F$15,0),99),IFERROR(MATCH(BC733,Setup!$H$6:$H$15,0),99),IFERROR(MATCH(AZ733,Setup!$J$6:$J$11,0),99))*1E+9+(AW733-40000)*10000+732)</f>
        <v/>
      </c>
      <c r="BK733">
        <f>IF(BI733=1,BJ733,"")</f>
        <v/>
      </c>
      <c r="BL733">
        <f>IF(AND(BH733=1,BG733=0,N(AW733)&lt;Setup!$D$7),(AW733-40000)*10000+732,"")</f>
        <v/>
      </c>
      <c r="BM733">
        <f>IF(AND(BH733=1,AZ733&lt;&gt;"Cancelled",N(AW733)&gt;=Dashboard!$AB$3,N(AW733)&lt;=Dashboard!$AB$3+6),(AW733-40000)*100000+BF733*10000+732,"")</f>
        <v/>
      </c>
      <c r="BN733">
        <f>IF(AND(BH733=1,AZ733&lt;&gt;"Cancelled"),BF733*10000+732,"")</f>
        <v/>
      </c>
    </row>
    <row r="734">
      <c r="AS734" t="inlineStr">
        <is>
          <t>R</t>
        </is>
      </c>
      <c r="AT734" t="n">
        <v>738</v>
      </c>
      <c r="AU734">
        <f>'Recurring Log'!C738&amp;""</f>
        <v/>
      </c>
      <c r="AV734">
        <f>'Recurring Log'!D738&amp;""</f>
        <v/>
      </c>
      <c r="AW734">
        <f>IF('Recurring Log'!E738="","",'Recurring Log'!E738)</f>
        <v/>
      </c>
      <c r="AX734">
        <f>IF('Recurring Log'!G738="","",'Recurring Log'!G738)</f>
        <v/>
      </c>
      <c r="AY734">
        <f>IF('Recurring Log'!H738="","",'Recurring Log'!H738)</f>
        <v/>
      </c>
      <c r="AZ734">
        <f>IF(AU734="","",IF('Recurring Log'!J738="","Not Started",'Recurring Log'!J738))</f>
        <v/>
      </c>
      <c r="BA734">
        <f>'Recurring Log'!L738&amp;""</f>
        <v/>
      </c>
      <c r="BB734">
        <f>'Recurring Log'!M738&amp;""</f>
        <v/>
      </c>
      <c r="BC734">
        <f>'Recurring Log'!N738&amp;""</f>
        <v/>
      </c>
      <c r="BD734">
        <f>'Recurring Log'!O738&amp;""</f>
        <v/>
      </c>
      <c r="BE734">
        <f>IF('Recurring Log'!K738="","",'Recurring Log'!K738)</f>
        <v/>
      </c>
      <c r="BF734">
        <f>IFERROR(MATCH(BA734,Setup!$L$6:$L$9,0),5)</f>
        <v/>
      </c>
      <c r="BG734">
        <f>IF(OR(AZ734="Done",AZ734="Cancelled"),1,0)</f>
        <v/>
      </c>
      <c r="BH734">
        <f>IF(AND(AU734&lt;&gt;"",ISNUMBER(AW734)),1,0)</f>
        <v/>
      </c>
      <c r="BI734">
        <f>IF(BH734=0,0,IF(AND(AW734&gt;='Tasks Filter'!$F$3,AW734&lt;='Tasks Filter'!$F$4,OR('Tasks Filter'!$I$3="",ISNUMBER(SEARCH('Tasks Filter'!$I$3,AU734))),OR('Tasks Filter'!$I$4="",BF734=IFERROR(MATCH('Tasks Filter'!$I$4,Setup!$L$6:$L$9,0),0)),OR('Tasks Filter'!$I$5="Both",AND('Tasks Filter'!$I$5="Yes",BB734="✓"),AND('Tasks Filter'!$I$5="No",BB734&lt;&gt;"✓")),OR('Tasks Filter'!$L$3="",AV734='Tasks Filter'!$L$3),OR('Tasks Filter'!$L$4="",AZ734='Tasks Filter'!$L$4),OR('Tasks Filter'!$L$5="",BC734='Tasks Filter'!$L$5),OR('Tasks Filter'!$O$3="",BD734='Tasks Filter'!$O$3),OR('Tasks Filter'!$O$4="Yes",BG734=0)),1,0))</f>
        <v/>
      </c>
      <c r="BJ734">
        <f>IF(BH734=0,"",IF('Tasks Filter'!$F$6="Descending",-1,1)*CHOOSE(MATCH('Tasks Filter'!$F$5,Lists!$G$2:$G$6,0),AW734,BF734,IFERROR(MATCH(AV734,Setup!$F$6:$F$15,0),99),IFERROR(MATCH(BC734,Setup!$H$6:$H$15,0),99),IFERROR(MATCH(AZ734,Setup!$J$6:$J$11,0),99))*1E+9+(AW734-40000)*10000+733)</f>
        <v/>
      </c>
      <c r="BK734">
        <f>IF(BI734=1,BJ734,"")</f>
        <v/>
      </c>
      <c r="BL734">
        <f>IF(AND(BH734=1,BG734=0,N(AW734)&lt;Setup!$D$7),(AW734-40000)*10000+733,"")</f>
        <v/>
      </c>
      <c r="BM734">
        <f>IF(AND(BH734=1,AZ734&lt;&gt;"Cancelled",N(AW734)&gt;=Dashboard!$AB$3,N(AW734)&lt;=Dashboard!$AB$3+6),(AW734-40000)*100000+BF734*10000+733,"")</f>
        <v/>
      </c>
      <c r="BN734">
        <f>IF(AND(BH734=1,AZ734&lt;&gt;"Cancelled"),BF734*10000+733,"")</f>
        <v/>
      </c>
    </row>
    <row r="735">
      <c r="AS735" t="inlineStr">
        <is>
          <t>R</t>
        </is>
      </c>
      <c r="AT735" t="n">
        <v>739</v>
      </c>
      <c r="AU735">
        <f>'Recurring Log'!C739&amp;""</f>
        <v/>
      </c>
      <c r="AV735">
        <f>'Recurring Log'!D739&amp;""</f>
        <v/>
      </c>
      <c r="AW735">
        <f>IF('Recurring Log'!E739="","",'Recurring Log'!E739)</f>
        <v/>
      </c>
      <c r="AX735">
        <f>IF('Recurring Log'!G739="","",'Recurring Log'!G739)</f>
        <v/>
      </c>
      <c r="AY735">
        <f>IF('Recurring Log'!H739="","",'Recurring Log'!H739)</f>
        <v/>
      </c>
      <c r="AZ735">
        <f>IF(AU735="","",IF('Recurring Log'!J739="","Not Started",'Recurring Log'!J739))</f>
        <v/>
      </c>
      <c r="BA735">
        <f>'Recurring Log'!L739&amp;""</f>
        <v/>
      </c>
      <c r="BB735">
        <f>'Recurring Log'!M739&amp;""</f>
        <v/>
      </c>
      <c r="BC735">
        <f>'Recurring Log'!N739&amp;""</f>
        <v/>
      </c>
      <c r="BD735">
        <f>'Recurring Log'!O739&amp;""</f>
        <v/>
      </c>
      <c r="BE735">
        <f>IF('Recurring Log'!K739="","",'Recurring Log'!K739)</f>
        <v/>
      </c>
      <c r="BF735">
        <f>IFERROR(MATCH(BA735,Setup!$L$6:$L$9,0),5)</f>
        <v/>
      </c>
      <c r="BG735">
        <f>IF(OR(AZ735="Done",AZ735="Cancelled"),1,0)</f>
        <v/>
      </c>
      <c r="BH735">
        <f>IF(AND(AU735&lt;&gt;"",ISNUMBER(AW735)),1,0)</f>
        <v/>
      </c>
      <c r="BI735">
        <f>IF(BH735=0,0,IF(AND(AW735&gt;='Tasks Filter'!$F$3,AW735&lt;='Tasks Filter'!$F$4,OR('Tasks Filter'!$I$3="",ISNUMBER(SEARCH('Tasks Filter'!$I$3,AU735))),OR('Tasks Filter'!$I$4="",BF735=IFERROR(MATCH('Tasks Filter'!$I$4,Setup!$L$6:$L$9,0),0)),OR('Tasks Filter'!$I$5="Both",AND('Tasks Filter'!$I$5="Yes",BB735="✓"),AND('Tasks Filter'!$I$5="No",BB735&lt;&gt;"✓")),OR('Tasks Filter'!$L$3="",AV735='Tasks Filter'!$L$3),OR('Tasks Filter'!$L$4="",AZ735='Tasks Filter'!$L$4),OR('Tasks Filter'!$L$5="",BC735='Tasks Filter'!$L$5),OR('Tasks Filter'!$O$3="",BD735='Tasks Filter'!$O$3),OR('Tasks Filter'!$O$4="Yes",BG735=0)),1,0))</f>
        <v/>
      </c>
      <c r="BJ735">
        <f>IF(BH735=0,"",IF('Tasks Filter'!$F$6="Descending",-1,1)*CHOOSE(MATCH('Tasks Filter'!$F$5,Lists!$G$2:$G$6,0),AW735,BF735,IFERROR(MATCH(AV735,Setup!$F$6:$F$15,0),99),IFERROR(MATCH(BC735,Setup!$H$6:$H$15,0),99),IFERROR(MATCH(AZ735,Setup!$J$6:$J$11,0),99))*1E+9+(AW735-40000)*10000+734)</f>
        <v/>
      </c>
      <c r="BK735">
        <f>IF(BI735=1,BJ735,"")</f>
        <v/>
      </c>
      <c r="BL735">
        <f>IF(AND(BH735=1,BG735=0,N(AW735)&lt;Setup!$D$7),(AW735-40000)*10000+734,"")</f>
        <v/>
      </c>
      <c r="BM735">
        <f>IF(AND(BH735=1,AZ735&lt;&gt;"Cancelled",N(AW735)&gt;=Dashboard!$AB$3,N(AW735)&lt;=Dashboard!$AB$3+6),(AW735-40000)*100000+BF735*10000+734,"")</f>
        <v/>
      </c>
      <c r="BN735">
        <f>IF(AND(BH735=1,AZ735&lt;&gt;"Cancelled"),BF735*10000+734,"")</f>
        <v/>
      </c>
    </row>
    <row r="736">
      <c r="AS736" t="inlineStr">
        <is>
          <t>R</t>
        </is>
      </c>
      <c r="AT736" t="n">
        <v>740</v>
      </c>
      <c r="AU736">
        <f>'Recurring Log'!C740&amp;""</f>
        <v/>
      </c>
      <c r="AV736">
        <f>'Recurring Log'!D740&amp;""</f>
        <v/>
      </c>
      <c r="AW736">
        <f>IF('Recurring Log'!E740="","",'Recurring Log'!E740)</f>
        <v/>
      </c>
      <c r="AX736">
        <f>IF('Recurring Log'!G740="","",'Recurring Log'!G740)</f>
        <v/>
      </c>
      <c r="AY736">
        <f>IF('Recurring Log'!H740="","",'Recurring Log'!H740)</f>
        <v/>
      </c>
      <c r="AZ736">
        <f>IF(AU736="","",IF('Recurring Log'!J740="","Not Started",'Recurring Log'!J740))</f>
        <v/>
      </c>
      <c r="BA736">
        <f>'Recurring Log'!L740&amp;""</f>
        <v/>
      </c>
      <c r="BB736">
        <f>'Recurring Log'!M740&amp;""</f>
        <v/>
      </c>
      <c r="BC736">
        <f>'Recurring Log'!N740&amp;""</f>
        <v/>
      </c>
      <c r="BD736">
        <f>'Recurring Log'!O740&amp;""</f>
        <v/>
      </c>
      <c r="BE736">
        <f>IF('Recurring Log'!K740="","",'Recurring Log'!K740)</f>
        <v/>
      </c>
      <c r="BF736">
        <f>IFERROR(MATCH(BA736,Setup!$L$6:$L$9,0),5)</f>
        <v/>
      </c>
      <c r="BG736">
        <f>IF(OR(AZ736="Done",AZ736="Cancelled"),1,0)</f>
        <v/>
      </c>
      <c r="BH736">
        <f>IF(AND(AU736&lt;&gt;"",ISNUMBER(AW736)),1,0)</f>
        <v/>
      </c>
      <c r="BI736">
        <f>IF(BH736=0,0,IF(AND(AW736&gt;='Tasks Filter'!$F$3,AW736&lt;='Tasks Filter'!$F$4,OR('Tasks Filter'!$I$3="",ISNUMBER(SEARCH('Tasks Filter'!$I$3,AU736))),OR('Tasks Filter'!$I$4="",BF736=IFERROR(MATCH('Tasks Filter'!$I$4,Setup!$L$6:$L$9,0),0)),OR('Tasks Filter'!$I$5="Both",AND('Tasks Filter'!$I$5="Yes",BB736="✓"),AND('Tasks Filter'!$I$5="No",BB736&lt;&gt;"✓")),OR('Tasks Filter'!$L$3="",AV736='Tasks Filter'!$L$3),OR('Tasks Filter'!$L$4="",AZ736='Tasks Filter'!$L$4),OR('Tasks Filter'!$L$5="",BC736='Tasks Filter'!$L$5),OR('Tasks Filter'!$O$3="",BD736='Tasks Filter'!$O$3),OR('Tasks Filter'!$O$4="Yes",BG736=0)),1,0))</f>
        <v/>
      </c>
      <c r="BJ736">
        <f>IF(BH736=0,"",IF('Tasks Filter'!$F$6="Descending",-1,1)*CHOOSE(MATCH('Tasks Filter'!$F$5,Lists!$G$2:$G$6,0),AW736,BF736,IFERROR(MATCH(AV736,Setup!$F$6:$F$15,0),99),IFERROR(MATCH(BC736,Setup!$H$6:$H$15,0),99),IFERROR(MATCH(AZ736,Setup!$J$6:$J$11,0),99))*1E+9+(AW736-40000)*10000+735)</f>
        <v/>
      </c>
      <c r="BK736">
        <f>IF(BI736=1,BJ736,"")</f>
        <v/>
      </c>
      <c r="BL736">
        <f>IF(AND(BH736=1,BG736=0,N(AW736)&lt;Setup!$D$7),(AW736-40000)*10000+735,"")</f>
        <v/>
      </c>
      <c r="BM736">
        <f>IF(AND(BH736=1,AZ736&lt;&gt;"Cancelled",N(AW736)&gt;=Dashboard!$AB$3,N(AW736)&lt;=Dashboard!$AB$3+6),(AW736-40000)*100000+BF736*10000+735,"")</f>
        <v/>
      </c>
      <c r="BN736">
        <f>IF(AND(BH736=1,AZ736&lt;&gt;"Cancelled"),BF736*10000+735,"")</f>
        <v/>
      </c>
    </row>
    <row r="737">
      <c r="AS737" t="inlineStr">
        <is>
          <t>R</t>
        </is>
      </c>
      <c r="AT737" t="n">
        <v>741</v>
      </c>
      <c r="AU737">
        <f>'Recurring Log'!C741&amp;""</f>
        <v/>
      </c>
      <c r="AV737">
        <f>'Recurring Log'!D741&amp;""</f>
        <v/>
      </c>
      <c r="AW737">
        <f>IF('Recurring Log'!E741="","",'Recurring Log'!E741)</f>
        <v/>
      </c>
      <c r="AX737">
        <f>IF('Recurring Log'!G741="","",'Recurring Log'!G741)</f>
        <v/>
      </c>
      <c r="AY737">
        <f>IF('Recurring Log'!H741="","",'Recurring Log'!H741)</f>
        <v/>
      </c>
      <c r="AZ737">
        <f>IF(AU737="","",IF('Recurring Log'!J741="","Not Started",'Recurring Log'!J741))</f>
        <v/>
      </c>
      <c r="BA737">
        <f>'Recurring Log'!L741&amp;""</f>
        <v/>
      </c>
      <c r="BB737">
        <f>'Recurring Log'!M741&amp;""</f>
        <v/>
      </c>
      <c r="BC737">
        <f>'Recurring Log'!N741&amp;""</f>
        <v/>
      </c>
      <c r="BD737">
        <f>'Recurring Log'!O741&amp;""</f>
        <v/>
      </c>
      <c r="BE737">
        <f>IF('Recurring Log'!K741="","",'Recurring Log'!K741)</f>
        <v/>
      </c>
      <c r="BF737">
        <f>IFERROR(MATCH(BA737,Setup!$L$6:$L$9,0),5)</f>
        <v/>
      </c>
      <c r="BG737">
        <f>IF(OR(AZ737="Done",AZ737="Cancelled"),1,0)</f>
        <v/>
      </c>
      <c r="BH737">
        <f>IF(AND(AU737&lt;&gt;"",ISNUMBER(AW737)),1,0)</f>
        <v/>
      </c>
      <c r="BI737">
        <f>IF(BH737=0,0,IF(AND(AW737&gt;='Tasks Filter'!$F$3,AW737&lt;='Tasks Filter'!$F$4,OR('Tasks Filter'!$I$3="",ISNUMBER(SEARCH('Tasks Filter'!$I$3,AU737))),OR('Tasks Filter'!$I$4="",BF737=IFERROR(MATCH('Tasks Filter'!$I$4,Setup!$L$6:$L$9,0),0)),OR('Tasks Filter'!$I$5="Both",AND('Tasks Filter'!$I$5="Yes",BB737="✓"),AND('Tasks Filter'!$I$5="No",BB737&lt;&gt;"✓")),OR('Tasks Filter'!$L$3="",AV737='Tasks Filter'!$L$3),OR('Tasks Filter'!$L$4="",AZ737='Tasks Filter'!$L$4),OR('Tasks Filter'!$L$5="",BC737='Tasks Filter'!$L$5),OR('Tasks Filter'!$O$3="",BD737='Tasks Filter'!$O$3),OR('Tasks Filter'!$O$4="Yes",BG737=0)),1,0))</f>
        <v/>
      </c>
      <c r="BJ737">
        <f>IF(BH737=0,"",IF('Tasks Filter'!$F$6="Descending",-1,1)*CHOOSE(MATCH('Tasks Filter'!$F$5,Lists!$G$2:$G$6,0),AW737,BF737,IFERROR(MATCH(AV737,Setup!$F$6:$F$15,0),99),IFERROR(MATCH(BC737,Setup!$H$6:$H$15,0),99),IFERROR(MATCH(AZ737,Setup!$J$6:$J$11,0),99))*1E+9+(AW737-40000)*10000+736)</f>
        <v/>
      </c>
      <c r="BK737">
        <f>IF(BI737=1,BJ737,"")</f>
        <v/>
      </c>
      <c r="BL737">
        <f>IF(AND(BH737=1,BG737=0,N(AW737)&lt;Setup!$D$7),(AW737-40000)*10000+736,"")</f>
        <v/>
      </c>
      <c r="BM737">
        <f>IF(AND(BH737=1,AZ737&lt;&gt;"Cancelled",N(AW737)&gt;=Dashboard!$AB$3,N(AW737)&lt;=Dashboard!$AB$3+6),(AW737-40000)*100000+BF737*10000+736,"")</f>
        <v/>
      </c>
      <c r="BN737">
        <f>IF(AND(BH737=1,AZ737&lt;&gt;"Cancelled"),BF737*10000+736,"")</f>
        <v/>
      </c>
    </row>
    <row r="738">
      <c r="AS738" t="inlineStr">
        <is>
          <t>R</t>
        </is>
      </c>
      <c r="AT738" t="n">
        <v>742</v>
      </c>
      <c r="AU738">
        <f>'Recurring Log'!C742&amp;""</f>
        <v/>
      </c>
      <c r="AV738">
        <f>'Recurring Log'!D742&amp;""</f>
        <v/>
      </c>
      <c r="AW738">
        <f>IF('Recurring Log'!E742="","",'Recurring Log'!E742)</f>
        <v/>
      </c>
      <c r="AX738">
        <f>IF('Recurring Log'!G742="","",'Recurring Log'!G742)</f>
        <v/>
      </c>
      <c r="AY738">
        <f>IF('Recurring Log'!H742="","",'Recurring Log'!H742)</f>
        <v/>
      </c>
      <c r="AZ738">
        <f>IF(AU738="","",IF('Recurring Log'!J742="","Not Started",'Recurring Log'!J742))</f>
        <v/>
      </c>
      <c r="BA738">
        <f>'Recurring Log'!L742&amp;""</f>
        <v/>
      </c>
      <c r="BB738">
        <f>'Recurring Log'!M742&amp;""</f>
        <v/>
      </c>
      <c r="BC738">
        <f>'Recurring Log'!N742&amp;""</f>
        <v/>
      </c>
      <c r="BD738">
        <f>'Recurring Log'!O742&amp;""</f>
        <v/>
      </c>
      <c r="BE738">
        <f>IF('Recurring Log'!K742="","",'Recurring Log'!K742)</f>
        <v/>
      </c>
      <c r="BF738">
        <f>IFERROR(MATCH(BA738,Setup!$L$6:$L$9,0),5)</f>
        <v/>
      </c>
      <c r="BG738">
        <f>IF(OR(AZ738="Done",AZ738="Cancelled"),1,0)</f>
        <v/>
      </c>
      <c r="BH738">
        <f>IF(AND(AU738&lt;&gt;"",ISNUMBER(AW738)),1,0)</f>
        <v/>
      </c>
      <c r="BI738">
        <f>IF(BH738=0,0,IF(AND(AW738&gt;='Tasks Filter'!$F$3,AW738&lt;='Tasks Filter'!$F$4,OR('Tasks Filter'!$I$3="",ISNUMBER(SEARCH('Tasks Filter'!$I$3,AU738))),OR('Tasks Filter'!$I$4="",BF738=IFERROR(MATCH('Tasks Filter'!$I$4,Setup!$L$6:$L$9,0),0)),OR('Tasks Filter'!$I$5="Both",AND('Tasks Filter'!$I$5="Yes",BB738="✓"),AND('Tasks Filter'!$I$5="No",BB738&lt;&gt;"✓")),OR('Tasks Filter'!$L$3="",AV738='Tasks Filter'!$L$3),OR('Tasks Filter'!$L$4="",AZ738='Tasks Filter'!$L$4),OR('Tasks Filter'!$L$5="",BC738='Tasks Filter'!$L$5),OR('Tasks Filter'!$O$3="",BD738='Tasks Filter'!$O$3),OR('Tasks Filter'!$O$4="Yes",BG738=0)),1,0))</f>
        <v/>
      </c>
      <c r="BJ738">
        <f>IF(BH738=0,"",IF('Tasks Filter'!$F$6="Descending",-1,1)*CHOOSE(MATCH('Tasks Filter'!$F$5,Lists!$G$2:$G$6,0),AW738,BF738,IFERROR(MATCH(AV738,Setup!$F$6:$F$15,0),99),IFERROR(MATCH(BC738,Setup!$H$6:$H$15,0),99),IFERROR(MATCH(AZ738,Setup!$J$6:$J$11,0),99))*1E+9+(AW738-40000)*10000+737)</f>
        <v/>
      </c>
      <c r="BK738">
        <f>IF(BI738=1,BJ738,"")</f>
        <v/>
      </c>
      <c r="BL738">
        <f>IF(AND(BH738=1,BG738=0,N(AW738)&lt;Setup!$D$7),(AW738-40000)*10000+737,"")</f>
        <v/>
      </c>
      <c r="BM738">
        <f>IF(AND(BH738=1,AZ738&lt;&gt;"Cancelled",N(AW738)&gt;=Dashboard!$AB$3,N(AW738)&lt;=Dashboard!$AB$3+6),(AW738-40000)*100000+BF738*10000+737,"")</f>
        <v/>
      </c>
      <c r="BN738">
        <f>IF(AND(BH738=1,AZ738&lt;&gt;"Cancelled"),BF738*10000+737,"")</f>
        <v/>
      </c>
    </row>
    <row r="739">
      <c r="AS739" t="inlineStr">
        <is>
          <t>R</t>
        </is>
      </c>
      <c r="AT739" t="n">
        <v>743</v>
      </c>
      <c r="AU739">
        <f>'Recurring Log'!C743&amp;""</f>
        <v/>
      </c>
      <c r="AV739">
        <f>'Recurring Log'!D743&amp;""</f>
        <v/>
      </c>
      <c r="AW739">
        <f>IF('Recurring Log'!E743="","",'Recurring Log'!E743)</f>
        <v/>
      </c>
      <c r="AX739">
        <f>IF('Recurring Log'!G743="","",'Recurring Log'!G743)</f>
        <v/>
      </c>
      <c r="AY739">
        <f>IF('Recurring Log'!H743="","",'Recurring Log'!H743)</f>
        <v/>
      </c>
      <c r="AZ739">
        <f>IF(AU739="","",IF('Recurring Log'!J743="","Not Started",'Recurring Log'!J743))</f>
        <v/>
      </c>
      <c r="BA739">
        <f>'Recurring Log'!L743&amp;""</f>
        <v/>
      </c>
      <c r="BB739">
        <f>'Recurring Log'!M743&amp;""</f>
        <v/>
      </c>
      <c r="BC739">
        <f>'Recurring Log'!N743&amp;""</f>
        <v/>
      </c>
      <c r="BD739">
        <f>'Recurring Log'!O743&amp;""</f>
        <v/>
      </c>
      <c r="BE739">
        <f>IF('Recurring Log'!K743="","",'Recurring Log'!K743)</f>
        <v/>
      </c>
      <c r="BF739">
        <f>IFERROR(MATCH(BA739,Setup!$L$6:$L$9,0),5)</f>
        <v/>
      </c>
      <c r="BG739">
        <f>IF(OR(AZ739="Done",AZ739="Cancelled"),1,0)</f>
        <v/>
      </c>
      <c r="BH739">
        <f>IF(AND(AU739&lt;&gt;"",ISNUMBER(AW739)),1,0)</f>
        <v/>
      </c>
      <c r="BI739">
        <f>IF(BH739=0,0,IF(AND(AW739&gt;='Tasks Filter'!$F$3,AW739&lt;='Tasks Filter'!$F$4,OR('Tasks Filter'!$I$3="",ISNUMBER(SEARCH('Tasks Filter'!$I$3,AU739))),OR('Tasks Filter'!$I$4="",BF739=IFERROR(MATCH('Tasks Filter'!$I$4,Setup!$L$6:$L$9,0),0)),OR('Tasks Filter'!$I$5="Both",AND('Tasks Filter'!$I$5="Yes",BB739="✓"),AND('Tasks Filter'!$I$5="No",BB739&lt;&gt;"✓")),OR('Tasks Filter'!$L$3="",AV739='Tasks Filter'!$L$3),OR('Tasks Filter'!$L$4="",AZ739='Tasks Filter'!$L$4),OR('Tasks Filter'!$L$5="",BC739='Tasks Filter'!$L$5),OR('Tasks Filter'!$O$3="",BD739='Tasks Filter'!$O$3),OR('Tasks Filter'!$O$4="Yes",BG739=0)),1,0))</f>
        <v/>
      </c>
      <c r="BJ739">
        <f>IF(BH739=0,"",IF('Tasks Filter'!$F$6="Descending",-1,1)*CHOOSE(MATCH('Tasks Filter'!$F$5,Lists!$G$2:$G$6,0),AW739,BF739,IFERROR(MATCH(AV739,Setup!$F$6:$F$15,0),99),IFERROR(MATCH(BC739,Setup!$H$6:$H$15,0),99),IFERROR(MATCH(AZ739,Setup!$J$6:$J$11,0),99))*1E+9+(AW739-40000)*10000+738)</f>
        <v/>
      </c>
      <c r="BK739">
        <f>IF(BI739=1,BJ739,"")</f>
        <v/>
      </c>
      <c r="BL739">
        <f>IF(AND(BH739=1,BG739=0,N(AW739)&lt;Setup!$D$7),(AW739-40000)*10000+738,"")</f>
        <v/>
      </c>
      <c r="BM739">
        <f>IF(AND(BH739=1,AZ739&lt;&gt;"Cancelled",N(AW739)&gt;=Dashboard!$AB$3,N(AW739)&lt;=Dashboard!$AB$3+6),(AW739-40000)*100000+BF739*10000+738,"")</f>
        <v/>
      </c>
      <c r="BN739">
        <f>IF(AND(BH739=1,AZ739&lt;&gt;"Cancelled"),BF739*10000+738,"")</f>
        <v/>
      </c>
    </row>
    <row r="740">
      <c r="AS740" t="inlineStr">
        <is>
          <t>R</t>
        </is>
      </c>
      <c r="AT740" t="n">
        <v>744</v>
      </c>
      <c r="AU740">
        <f>'Recurring Log'!C744&amp;""</f>
        <v/>
      </c>
      <c r="AV740">
        <f>'Recurring Log'!D744&amp;""</f>
        <v/>
      </c>
      <c r="AW740">
        <f>IF('Recurring Log'!E744="","",'Recurring Log'!E744)</f>
        <v/>
      </c>
      <c r="AX740">
        <f>IF('Recurring Log'!G744="","",'Recurring Log'!G744)</f>
        <v/>
      </c>
      <c r="AY740">
        <f>IF('Recurring Log'!H744="","",'Recurring Log'!H744)</f>
        <v/>
      </c>
      <c r="AZ740">
        <f>IF(AU740="","",IF('Recurring Log'!J744="","Not Started",'Recurring Log'!J744))</f>
        <v/>
      </c>
      <c r="BA740">
        <f>'Recurring Log'!L744&amp;""</f>
        <v/>
      </c>
      <c r="BB740">
        <f>'Recurring Log'!M744&amp;""</f>
        <v/>
      </c>
      <c r="BC740">
        <f>'Recurring Log'!N744&amp;""</f>
        <v/>
      </c>
      <c r="BD740">
        <f>'Recurring Log'!O744&amp;""</f>
        <v/>
      </c>
      <c r="BE740">
        <f>IF('Recurring Log'!K744="","",'Recurring Log'!K744)</f>
        <v/>
      </c>
      <c r="BF740">
        <f>IFERROR(MATCH(BA740,Setup!$L$6:$L$9,0),5)</f>
        <v/>
      </c>
      <c r="BG740">
        <f>IF(OR(AZ740="Done",AZ740="Cancelled"),1,0)</f>
        <v/>
      </c>
      <c r="BH740">
        <f>IF(AND(AU740&lt;&gt;"",ISNUMBER(AW740)),1,0)</f>
        <v/>
      </c>
      <c r="BI740">
        <f>IF(BH740=0,0,IF(AND(AW740&gt;='Tasks Filter'!$F$3,AW740&lt;='Tasks Filter'!$F$4,OR('Tasks Filter'!$I$3="",ISNUMBER(SEARCH('Tasks Filter'!$I$3,AU740))),OR('Tasks Filter'!$I$4="",BF740=IFERROR(MATCH('Tasks Filter'!$I$4,Setup!$L$6:$L$9,0),0)),OR('Tasks Filter'!$I$5="Both",AND('Tasks Filter'!$I$5="Yes",BB740="✓"),AND('Tasks Filter'!$I$5="No",BB740&lt;&gt;"✓")),OR('Tasks Filter'!$L$3="",AV740='Tasks Filter'!$L$3),OR('Tasks Filter'!$L$4="",AZ740='Tasks Filter'!$L$4),OR('Tasks Filter'!$L$5="",BC740='Tasks Filter'!$L$5),OR('Tasks Filter'!$O$3="",BD740='Tasks Filter'!$O$3),OR('Tasks Filter'!$O$4="Yes",BG740=0)),1,0))</f>
        <v/>
      </c>
      <c r="BJ740">
        <f>IF(BH740=0,"",IF('Tasks Filter'!$F$6="Descending",-1,1)*CHOOSE(MATCH('Tasks Filter'!$F$5,Lists!$G$2:$G$6,0),AW740,BF740,IFERROR(MATCH(AV740,Setup!$F$6:$F$15,0),99),IFERROR(MATCH(BC740,Setup!$H$6:$H$15,0),99),IFERROR(MATCH(AZ740,Setup!$J$6:$J$11,0),99))*1E+9+(AW740-40000)*10000+739)</f>
        <v/>
      </c>
      <c r="BK740">
        <f>IF(BI740=1,BJ740,"")</f>
        <v/>
      </c>
      <c r="BL740">
        <f>IF(AND(BH740=1,BG740=0,N(AW740)&lt;Setup!$D$7),(AW740-40000)*10000+739,"")</f>
        <v/>
      </c>
      <c r="BM740">
        <f>IF(AND(BH740=1,AZ740&lt;&gt;"Cancelled",N(AW740)&gt;=Dashboard!$AB$3,N(AW740)&lt;=Dashboard!$AB$3+6),(AW740-40000)*100000+BF740*10000+739,"")</f>
        <v/>
      </c>
      <c r="BN740">
        <f>IF(AND(BH740=1,AZ740&lt;&gt;"Cancelled"),BF740*10000+739,"")</f>
        <v/>
      </c>
    </row>
    <row r="741">
      <c r="AS741" t="inlineStr">
        <is>
          <t>R</t>
        </is>
      </c>
      <c r="AT741" t="n">
        <v>745</v>
      </c>
      <c r="AU741">
        <f>'Recurring Log'!C745&amp;""</f>
        <v/>
      </c>
      <c r="AV741">
        <f>'Recurring Log'!D745&amp;""</f>
        <v/>
      </c>
      <c r="AW741">
        <f>IF('Recurring Log'!E745="","",'Recurring Log'!E745)</f>
        <v/>
      </c>
      <c r="AX741">
        <f>IF('Recurring Log'!G745="","",'Recurring Log'!G745)</f>
        <v/>
      </c>
      <c r="AY741">
        <f>IF('Recurring Log'!H745="","",'Recurring Log'!H745)</f>
        <v/>
      </c>
      <c r="AZ741">
        <f>IF(AU741="","",IF('Recurring Log'!J745="","Not Started",'Recurring Log'!J745))</f>
        <v/>
      </c>
      <c r="BA741">
        <f>'Recurring Log'!L745&amp;""</f>
        <v/>
      </c>
      <c r="BB741">
        <f>'Recurring Log'!M745&amp;""</f>
        <v/>
      </c>
      <c r="BC741">
        <f>'Recurring Log'!N745&amp;""</f>
        <v/>
      </c>
      <c r="BD741">
        <f>'Recurring Log'!O745&amp;""</f>
        <v/>
      </c>
      <c r="BE741">
        <f>IF('Recurring Log'!K745="","",'Recurring Log'!K745)</f>
        <v/>
      </c>
      <c r="BF741">
        <f>IFERROR(MATCH(BA741,Setup!$L$6:$L$9,0),5)</f>
        <v/>
      </c>
      <c r="BG741">
        <f>IF(OR(AZ741="Done",AZ741="Cancelled"),1,0)</f>
        <v/>
      </c>
      <c r="BH741">
        <f>IF(AND(AU741&lt;&gt;"",ISNUMBER(AW741)),1,0)</f>
        <v/>
      </c>
      <c r="BI741">
        <f>IF(BH741=0,0,IF(AND(AW741&gt;='Tasks Filter'!$F$3,AW741&lt;='Tasks Filter'!$F$4,OR('Tasks Filter'!$I$3="",ISNUMBER(SEARCH('Tasks Filter'!$I$3,AU741))),OR('Tasks Filter'!$I$4="",BF741=IFERROR(MATCH('Tasks Filter'!$I$4,Setup!$L$6:$L$9,0),0)),OR('Tasks Filter'!$I$5="Both",AND('Tasks Filter'!$I$5="Yes",BB741="✓"),AND('Tasks Filter'!$I$5="No",BB741&lt;&gt;"✓")),OR('Tasks Filter'!$L$3="",AV741='Tasks Filter'!$L$3),OR('Tasks Filter'!$L$4="",AZ741='Tasks Filter'!$L$4),OR('Tasks Filter'!$L$5="",BC741='Tasks Filter'!$L$5),OR('Tasks Filter'!$O$3="",BD741='Tasks Filter'!$O$3),OR('Tasks Filter'!$O$4="Yes",BG741=0)),1,0))</f>
        <v/>
      </c>
      <c r="BJ741">
        <f>IF(BH741=0,"",IF('Tasks Filter'!$F$6="Descending",-1,1)*CHOOSE(MATCH('Tasks Filter'!$F$5,Lists!$G$2:$G$6,0),AW741,BF741,IFERROR(MATCH(AV741,Setup!$F$6:$F$15,0),99),IFERROR(MATCH(BC741,Setup!$H$6:$H$15,0),99),IFERROR(MATCH(AZ741,Setup!$J$6:$J$11,0),99))*1E+9+(AW741-40000)*10000+740)</f>
        <v/>
      </c>
      <c r="BK741">
        <f>IF(BI741=1,BJ741,"")</f>
        <v/>
      </c>
      <c r="BL741">
        <f>IF(AND(BH741=1,BG741=0,N(AW741)&lt;Setup!$D$7),(AW741-40000)*10000+740,"")</f>
        <v/>
      </c>
      <c r="BM741">
        <f>IF(AND(BH741=1,AZ741&lt;&gt;"Cancelled",N(AW741)&gt;=Dashboard!$AB$3,N(AW741)&lt;=Dashboard!$AB$3+6),(AW741-40000)*100000+BF741*10000+740,"")</f>
        <v/>
      </c>
      <c r="BN741">
        <f>IF(AND(BH741=1,AZ741&lt;&gt;"Cancelled"),BF741*10000+740,"")</f>
        <v/>
      </c>
    </row>
    <row r="742">
      <c r="AS742" t="inlineStr">
        <is>
          <t>R</t>
        </is>
      </c>
      <c r="AT742" t="n">
        <v>746</v>
      </c>
      <c r="AU742">
        <f>'Recurring Log'!C746&amp;""</f>
        <v/>
      </c>
      <c r="AV742">
        <f>'Recurring Log'!D746&amp;""</f>
        <v/>
      </c>
      <c r="AW742">
        <f>IF('Recurring Log'!E746="","",'Recurring Log'!E746)</f>
        <v/>
      </c>
      <c r="AX742">
        <f>IF('Recurring Log'!G746="","",'Recurring Log'!G746)</f>
        <v/>
      </c>
      <c r="AY742">
        <f>IF('Recurring Log'!H746="","",'Recurring Log'!H746)</f>
        <v/>
      </c>
      <c r="AZ742">
        <f>IF(AU742="","",IF('Recurring Log'!J746="","Not Started",'Recurring Log'!J746))</f>
        <v/>
      </c>
      <c r="BA742">
        <f>'Recurring Log'!L746&amp;""</f>
        <v/>
      </c>
      <c r="BB742">
        <f>'Recurring Log'!M746&amp;""</f>
        <v/>
      </c>
      <c r="BC742">
        <f>'Recurring Log'!N746&amp;""</f>
        <v/>
      </c>
      <c r="BD742">
        <f>'Recurring Log'!O746&amp;""</f>
        <v/>
      </c>
      <c r="BE742">
        <f>IF('Recurring Log'!K746="","",'Recurring Log'!K746)</f>
        <v/>
      </c>
      <c r="BF742">
        <f>IFERROR(MATCH(BA742,Setup!$L$6:$L$9,0),5)</f>
        <v/>
      </c>
      <c r="BG742">
        <f>IF(OR(AZ742="Done",AZ742="Cancelled"),1,0)</f>
        <v/>
      </c>
      <c r="BH742">
        <f>IF(AND(AU742&lt;&gt;"",ISNUMBER(AW742)),1,0)</f>
        <v/>
      </c>
      <c r="BI742">
        <f>IF(BH742=0,0,IF(AND(AW742&gt;='Tasks Filter'!$F$3,AW742&lt;='Tasks Filter'!$F$4,OR('Tasks Filter'!$I$3="",ISNUMBER(SEARCH('Tasks Filter'!$I$3,AU742))),OR('Tasks Filter'!$I$4="",BF742=IFERROR(MATCH('Tasks Filter'!$I$4,Setup!$L$6:$L$9,0),0)),OR('Tasks Filter'!$I$5="Both",AND('Tasks Filter'!$I$5="Yes",BB742="✓"),AND('Tasks Filter'!$I$5="No",BB742&lt;&gt;"✓")),OR('Tasks Filter'!$L$3="",AV742='Tasks Filter'!$L$3),OR('Tasks Filter'!$L$4="",AZ742='Tasks Filter'!$L$4),OR('Tasks Filter'!$L$5="",BC742='Tasks Filter'!$L$5),OR('Tasks Filter'!$O$3="",BD742='Tasks Filter'!$O$3),OR('Tasks Filter'!$O$4="Yes",BG742=0)),1,0))</f>
        <v/>
      </c>
      <c r="BJ742">
        <f>IF(BH742=0,"",IF('Tasks Filter'!$F$6="Descending",-1,1)*CHOOSE(MATCH('Tasks Filter'!$F$5,Lists!$G$2:$G$6,0),AW742,BF742,IFERROR(MATCH(AV742,Setup!$F$6:$F$15,0),99),IFERROR(MATCH(BC742,Setup!$H$6:$H$15,0),99),IFERROR(MATCH(AZ742,Setup!$J$6:$J$11,0),99))*1E+9+(AW742-40000)*10000+741)</f>
        <v/>
      </c>
      <c r="BK742">
        <f>IF(BI742=1,BJ742,"")</f>
        <v/>
      </c>
      <c r="BL742">
        <f>IF(AND(BH742=1,BG742=0,N(AW742)&lt;Setup!$D$7),(AW742-40000)*10000+741,"")</f>
        <v/>
      </c>
      <c r="BM742">
        <f>IF(AND(BH742=1,AZ742&lt;&gt;"Cancelled",N(AW742)&gt;=Dashboard!$AB$3,N(AW742)&lt;=Dashboard!$AB$3+6),(AW742-40000)*100000+BF742*10000+741,"")</f>
        <v/>
      </c>
      <c r="BN742">
        <f>IF(AND(BH742=1,AZ742&lt;&gt;"Cancelled"),BF742*10000+741,"")</f>
        <v/>
      </c>
    </row>
    <row r="743">
      <c r="AS743" t="inlineStr">
        <is>
          <t>R</t>
        </is>
      </c>
      <c r="AT743" t="n">
        <v>747</v>
      </c>
      <c r="AU743">
        <f>'Recurring Log'!C747&amp;""</f>
        <v/>
      </c>
      <c r="AV743">
        <f>'Recurring Log'!D747&amp;""</f>
        <v/>
      </c>
      <c r="AW743">
        <f>IF('Recurring Log'!E747="","",'Recurring Log'!E747)</f>
        <v/>
      </c>
      <c r="AX743">
        <f>IF('Recurring Log'!G747="","",'Recurring Log'!G747)</f>
        <v/>
      </c>
      <c r="AY743">
        <f>IF('Recurring Log'!H747="","",'Recurring Log'!H747)</f>
        <v/>
      </c>
      <c r="AZ743">
        <f>IF(AU743="","",IF('Recurring Log'!J747="","Not Started",'Recurring Log'!J747))</f>
        <v/>
      </c>
      <c r="BA743">
        <f>'Recurring Log'!L747&amp;""</f>
        <v/>
      </c>
      <c r="BB743">
        <f>'Recurring Log'!M747&amp;""</f>
        <v/>
      </c>
      <c r="BC743">
        <f>'Recurring Log'!N747&amp;""</f>
        <v/>
      </c>
      <c r="BD743">
        <f>'Recurring Log'!O747&amp;""</f>
        <v/>
      </c>
      <c r="BE743">
        <f>IF('Recurring Log'!K747="","",'Recurring Log'!K747)</f>
        <v/>
      </c>
      <c r="BF743">
        <f>IFERROR(MATCH(BA743,Setup!$L$6:$L$9,0),5)</f>
        <v/>
      </c>
      <c r="BG743">
        <f>IF(OR(AZ743="Done",AZ743="Cancelled"),1,0)</f>
        <v/>
      </c>
      <c r="BH743">
        <f>IF(AND(AU743&lt;&gt;"",ISNUMBER(AW743)),1,0)</f>
        <v/>
      </c>
      <c r="BI743">
        <f>IF(BH743=0,0,IF(AND(AW743&gt;='Tasks Filter'!$F$3,AW743&lt;='Tasks Filter'!$F$4,OR('Tasks Filter'!$I$3="",ISNUMBER(SEARCH('Tasks Filter'!$I$3,AU743))),OR('Tasks Filter'!$I$4="",BF743=IFERROR(MATCH('Tasks Filter'!$I$4,Setup!$L$6:$L$9,0),0)),OR('Tasks Filter'!$I$5="Both",AND('Tasks Filter'!$I$5="Yes",BB743="✓"),AND('Tasks Filter'!$I$5="No",BB743&lt;&gt;"✓")),OR('Tasks Filter'!$L$3="",AV743='Tasks Filter'!$L$3),OR('Tasks Filter'!$L$4="",AZ743='Tasks Filter'!$L$4),OR('Tasks Filter'!$L$5="",BC743='Tasks Filter'!$L$5),OR('Tasks Filter'!$O$3="",BD743='Tasks Filter'!$O$3),OR('Tasks Filter'!$O$4="Yes",BG743=0)),1,0))</f>
        <v/>
      </c>
      <c r="BJ743">
        <f>IF(BH743=0,"",IF('Tasks Filter'!$F$6="Descending",-1,1)*CHOOSE(MATCH('Tasks Filter'!$F$5,Lists!$G$2:$G$6,0),AW743,BF743,IFERROR(MATCH(AV743,Setup!$F$6:$F$15,0),99),IFERROR(MATCH(BC743,Setup!$H$6:$H$15,0),99),IFERROR(MATCH(AZ743,Setup!$J$6:$J$11,0),99))*1E+9+(AW743-40000)*10000+742)</f>
        <v/>
      </c>
      <c r="BK743">
        <f>IF(BI743=1,BJ743,"")</f>
        <v/>
      </c>
      <c r="BL743">
        <f>IF(AND(BH743=1,BG743=0,N(AW743)&lt;Setup!$D$7),(AW743-40000)*10000+742,"")</f>
        <v/>
      </c>
      <c r="BM743">
        <f>IF(AND(BH743=1,AZ743&lt;&gt;"Cancelled",N(AW743)&gt;=Dashboard!$AB$3,N(AW743)&lt;=Dashboard!$AB$3+6),(AW743-40000)*100000+BF743*10000+742,"")</f>
        <v/>
      </c>
      <c r="BN743">
        <f>IF(AND(BH743=1,AZ743&lt;&gt;"Cancelled"),BF743*10000+742,"")</f>
        <v/>
      </c>
    </row>
    <row r="744">
      <c r="AS744" t="inlineStr">
        <is>
          <t>R</t>
        </is>
      </c>
      <c r="AT744" t="n">
        <v>748</v>
      </c>
      <c r="AU744">
        <f>'Recurring Log'!C748&amp;""</f>
        <v/>
      </c>
      <c r="AV744">
        <f>'Recurring Log'!D748&amp;""</f>
        <v/>
      </c>
      <c r="AW744">
        <f>IF('Recurring Log'!E748="","",'Recurring Log'!E748)</f>
        <v/>
      </c>
      <c r="AX744">
        <f>IF('Recurring Log'!G748="","",'Recurring Log'!G748)</f>
        <v/>
      </c>
      <c r="AY744">
        <f>IF('Recurring Log'!H748="","",'Recurring Log'!H748)</f>
        <v/>
      </c>
      <c r="AZ744">
        <f>IF(AU744="","",IF('Recurring Log'!J748="","Not Started",'Recurring Log'!J748))</f>
        <v/>
      </c>
      <c r="BA744">
        <f>'Recurring Log'!L748&amp;""</f>
        <v/>
      </c>
      <c r="BB744">
        <f>'Recurring Log'!M748&amp;""</f>
        <v/>
      </c>
      <c r="BC744">
        <f>'Recurring Log'!N748&amp;""</f>
        <v/>
      </c>
      <c r="BD744">
        <f>'Recurring Log'!O748&amp;""</f>
        <v/>
      </c>
      <c r="BE744">
        <f>IF('Recurring Log'!K748="","",'Recurring Log'!K748)</f>
        <v/>
      </c>
      <c r="BF744">
        <f>IFERROR(MATCH(BA744,Setup!$L$6:$L$9,0),5)</f>
        <v/>
      </c>
      <c r="BG744">
        <f>IF(OR(AZ744="Done",AZ744="Cancelled"),1,0)</f>
        <v/>
      </c>
      <c r="BH744">
        <f>IF(AND(AU744&lt;&gt;"",ISNUMBER(AW744)),1,0)</f>
        <v/>
      </c>
      <c r="BI744">
        <f>IF(BH744=0,0,IF(AND(AW744&gt;='Tasks Filter'!$F$3,AW744&lt;='Tasks Filter'!$F$4,OR('Tasks Filter'!$I$3="",ISNUMBER(SEARCH('Tasks Filter'!$I$3,AU744))),OR('Tasks Filter'!$I$4="",BF744=IFERROR(MATCH('Tasks Filter'!$I$4,Setup!$L$6:$L$9,0),0)),OR('Tasks Filter'!$I$5="Both",AND('Tasks Filter'!$I$5="Yes",BB744="✓"),AND('Tasks Filter'!$I$5="No",BB744&lt;&gt;"✓")),OR('Tasks Filter'!$L$3="",AV744='Tasks Filter'!$L$3),OR('Tasks Filter'!$L$4="",AZ744='Tasks Filter'!$L$4),OR('Tasks Filter'!$L$5="",BC744='Tasks Filter'!$L$5),OR('Tasks Filter'!$O$3="",BD744='Tasks Filter'!$O$3),OR('Tasks Filter'!$O$4="Yes",BG744=0)),1,0))</f>
        <v/>
      </c>
      <c r="BJ744">
        <f>IF(BH744=0,"",IF('Tasks Filter'!$F$6="Descending",-1,1)*CHOOSE(MATCH('Tasks Filter'!$F$5,Lists!$G$2:$G$6,0),AW744,BF744,IFERROR(MATCH(AV744,Setup!$F$6:$F$15,0),99),IFERROR(MATCH(BC744,Setup!$H$6:$H$15,0),99),IFERROR(MATCH(AZ744,Setup!$J$6:$J$11,0),99))*1E+9+(AW744-40000)*10000+743)</f>
        <v/>
      </c>
      <c r="BK744">
        <f>IF(BI744=1,BJ744,"")</f>
        <v/>
      </c>
      <c r="BL744">
        <f>IF(AND(BH744=1,BG744=0,N(AW744)&lt;Setup!$D$7),(AW744-40000)*10000+743,"")</f>
        <v/>
      </c>
      <c r="BM744">
        <f>IF(AND(BH744=1,AZ744&lt;&gt;"Cancelled",N(AW744)&gt;=Dashboard!$AB$3,N(AW744)&lt;=Dashboard!$AB$3+6),(AW744-40000)*100000+BF744*10000+743,"")</f>
        <v/>
      </c>
      <c r="BN744">
        <f>IF(AND(BH744=1,AZ744&lt;&gt;"Cancelled"),BF744*10000+743,"")</f>
        <v/>
      </c>
    </row>
    <row r="745">
      <c r="AS745" t="inlineStr">
        <is>
          <t>R</t>
        </is>
      </c>
      <c r="AT745" t="n">
        <v>749</v>
      </c>
      <c r="AU745">
        <f>'Recurring Log'!C749&amp;""</f>
        <v/>
      </c>
      <c r="AV745">
        <f>'Recurring Log'!D749&amp;""</f>
        <v/>
      </c>
      <c r="AW745">
        <f>IF('Recurring Log'!E749="","",'Recurring Log'!E749)</f>
        <v/>
      </c>
      <c r="AX745">
        <f>IF('Recurring Log'!G749="","",'Recurring Log'!G749)</f>
        <v/>
      </c>
      <c r="AY745">
        <f>IF('Recurring Log'!H749="","",'Recurring Log'!H749)</f>
        <v/>
      </c>
      <c r="AZ745">
        <f>IF(AU745="","",IF('Recurring Log'!J749="","Not Started",'Recurring Log'!J749))</f>
        <v/>
      </c>
      <c r="BA745">
        <f>'Recurring Log'!L749&amp;""</f>
        <v/>
      </c>
      <c r="BB745">
        <f>'Recurring Log'!M749&amp;""</f>
        <v/>
      </c>
      <c r="BC745">
        <f>'Recurring Log'!N749&amp;""</f>
        <v/>
      </c>
      <c r="BD745">
        <f>'Recurring Log'!O749&amp;""</f>
        <v/>
      </c>
      <c r="BE745">
        <f>IF('Recurring Log'!K749="","",'Recurring Log'!K749)</f>
        <v/>
      </c>
      <c r="BF745">
        <f>IFERROR(MATCH(BA745,Setup!$L$6:$L$9,0),5)</f>
        <v/>
      </c>
      <c r="BG745">
        <f>IF(OR(AZ745="Done",AZ745="Cancelled"),1,0)</f>
        <v/>
      </c>
      <c r="BH745">
        <f>IF(AND(AU745&lt;&gt;"",ISNUMBER(AW745)),1,0)</f>
        <v/>
      </c>
      <c r="BI745">
        <f>IF(BH745=0,0,IF(AND(AW745&gt;='Tasks Filter'!$F$3,AW745&lt;='Tasks Filter'!$F$4,OR('Tasks Filter'!$I$3="",ISNUMBER(SEARCH('Tasks Filter'!$I$3,AU745))),OR('Tasks Filter'!$I$4="",BF745=IFERROR(MATCH('Tasks Filter'!$I$4,Setup!$L$6:$L$9,0),0)),OR('Tasks Filter'!$I$5="Both",AND('Tasks Filter'!$I$5="Yes",BB745="✓"),AND('Tasks Filter'!$I$5="No",BB745&lt;&gt;"✓")),OR('Tasks Filter'!$L$3="",AV745='Tasks Filter'!$L$3),OR('Tasks Filter'!$L$4="",AZ745='Tasks Filter'!$L$4),OR('Tasks Filter'!$L$5="",BC745='Tasks Filter'!$L$5),OR('Tasks Filter'!$O$3="",BD745='Tasks Filter'!$O$3),OR('Tasks Filter'!$O$4="Yes",BG745=0)),1,0))</f>
        <v/>
      </c>
      <c r="BJ745">
        <f>IF(BH745=0,"",IF('Tasks Filter'!$F$6="Descending",-1,1)*CHOOSE(MATCH('Tasks Filter'!$F$5,Lists!$G$2:$G$6,0),AW745,BF745,IFERROR(MATCH(AV745,Setup!$F$6:$F$15,0),99),IFERROR(MATCH(BC745,Setup!$H$6:$H$15,0),99),IFERROR(MATCH(AZ745,Setup!$J$6:$J$11,0),99))*1E+9+(AW745-40000)*10000+744)</f>
        <v/>
      </c>
      <c r="BK745">
        <f>IF(BI745=1,BJ745,"")</f>
        <v/>
      </c>
      <c r="BL745">
        <f>IF(AND(BH745=1,BG745=0,N(AW745)&lt;Setup!$D$7),(AW745-40000)*10000+744,"")</f>
        <v/>
      </c>
      <c r="BM745">
        <f>IF(AND(BH745=1,AZ745&lt;&gt;"Cancelled",N(AW745)&gt;=Dashboard!$AB$3,N(AW745)&lt;=Dashboard!$AB$3+6),(AW745-40000)*100000+BF745*10000+744,"")</f>
        <v/>
      </c>
      <c r="BN745">
        <f>IF(AND(BH745=1,AZ745&lt;&gt;"Cancelled"),BF745*10000+744,"")</f>
        <v/>
      </c>
    </row>
    <row r="746">
      <c r="AS746" t="inlineStr">
        <is>
          <t>R</t>
        </is>
      </c>
      <c r="AT746" t="n">
        <v>750</v>
      </c>
      <c r="AU746">
        <f>'Recurring Log'!C750&amp;""</f>
        <v/>
      </c>
      <c r="AV746">
        <f>'Recurring Log'!D750&amp;""</f>
        <v/>
      </c>
      <c r="AW746">
        <f>IF('Recurring Log'!E750="","",'Recurring Log'!E750)</f>
        <v/>
      </c>
      <c r="AX746">
        <f>IF('Recurring Log'!G750="","",'Recurring Log'!G750)</f>
        <v/>
      </c>
      <c r="AY746">
        <f>IF('Recurring Log'!H750="","",'Recurring Log'!H750)</f>
        <v/>
      </c>
      <c r="AZ746">
        <f>IF(AU746="","",IF('Recurring Log'!J750="","Not Started",'Recurring Log'!J750))</f>
        <v/>
      </c>
      <c r="BA746">
        <f>'Recurring Log'!L750&amp;""</f>
        <v/>
      </c>
      <c r="BB746">
        <f>'Recurring Log'!M750&amp;""</f>
        <v/>
      </c>
      <c r="BC746">
        <f>'Recurring Log'!N750&amp;""</f>
        <v/>
      </c>
      <c r="BD746">
        <f>'Recurring Log'!O750&amp;""</f>
        <v/>
      </c>
      <c r="BE746">
        <f>IF('Recurring Log'!K750="","",'Recurring Log'!K750)</f>
        <v/>
      </c>
      <c r="BF746">
        <f>IFERROR(MATCH(BA746,Setup!$L$6:$L$9,0),5)</f>
        <v/>
      </c>
      <c r="BG746">
        <f>IF(OR(AZ746="Done",AZ746="Cancelled"),1,0)</f>
        <v/>
      </c>
      <c r="BH746">
        <f>IF(AND(AU746&lt;&gt;"",ISNUMBER(AW746)),1,0)</f>
        <v/>
      </c>
      <c r="BI746">
        <f>IF(BH746=0,0,IF(AND(AW746&gt;='Tasks Filter'!$F$3,AW746&lt;='Tasks Filter'!$F$4,OR('Tasks Filter'!$I$3="",ISNUMBER(SEARCH('Tasks Filter'!$I$3,AU746))),OR('Tasks Filter'!$I$4="",BF746=IFERROR(MATCH('Tasks Filter'!$I$4,Setup!$L$6:$L$9,0),0)),OR('Tasks Filter'!$I$5="Both",AND('Tasks Filter'!$I$5="Yes",BB746="✓"),AND('Tasks Filter'!$I$5="No",BB746&lt;&gt;"✓")),OR('Tasks Filter'!$L$3="",AV746='Tasks Filter'!$L$3),OR('Tasks Filter'!$L$4="",AZ746='Tasks Filter'!$L$4),OR('Tasks Filter'!$L$5="",BC746='Tasks Filter'!$L$5),OR('Tasks Filter'!$O$3="",BD746='Tasks Filter'!$O$3),OR('Tasks Filter'!$O$4="Yes",BG746=0)),1,0))</f>
        <v/>
      </c>
      <c r="BJ746">
        <f>IF(BH746=0,"",IF('Tasks Filter'!$F$6="Descending",-1,1)*CHOOSE(MATCH('Tasks Filter'!$F$5,Lists!$G$2:$G$6,0),AW746,BF746,IFERROR(MATCH(AV746,Setup!$F$6:$F$15,0),99),IFERROR(MATCH(BC746,Setup!$H$6:$H$15,0),99),IFERROR(MATCH(AZ746,Setup!$J$6:$J$11,0),99))*1E+9+(AW746-40000)*10000+745)</f>
        <v/>
      </c>
      <c r="BK746">
        <f>IF(BI746=1,BJ746,"")</f>
        <v/>
      </c>
      <c r="BL746">
        <f>IF(AND(BH746=1,BG746=0,N(AW746)&lt;Setup!$D$7),(AW746-40000)*10000+745,"")</f>
        <v/>
      </c>
      <c r="BM746">
        <f>IF(AND(BH746=1,AZ746&lt;&gt;"Cancelled",N(AW746)&gt;=Dashboard!$AB$3,N(AW746)&lt;=Dashboard!$AB$3+6),(AW746-40000)*100000+BF746*10000+745,"")</f>
        <v/>
      </c>
      <c r="BN746">
        <f>IF(AND(BH746=1,AZ746&lt;&gt;"Cancelled"),BF746*10000+745,"")</f>
        <v/>
      </c>
    </row>
    <row r="747">
      <c r="AS747" t="inlineStr">
        <is>
          <t>R</t>
        </is>
      </c>
      <c r="AT747" t="n">
        <v>751</v>
      </c>
      <c r="AU747">
        <f>'Recurring Log'!C751&amp;""</f>
        <v/>
      </c>
      <c r="AV747">
        <f>'Recurring Log'!D751&amp;""</f>
        <v/>
      </c>
      <c r="AW747">
        <f>IF('Recurring Log'!E751="","",'Recurring Log'!E751)</f>
        <v/>
      </c>
      <c r="AX747">
        <f>IF('Recurring Log'!G751="","",'Recurring Log'!G751)</f>
        <v/>
      </c>
      <c r="AY747">
        <f>IF('Recurring Log'!H751="","",'Recurring Log'!H751)</f>
        <v/>
      </c>
      <c r="AZ747">
        <f>IF(AU747="","",IF('Recurring Log'!J751="","Not Started",'Recurring Log'!J751))</f>
        <v/>
      </c>
      <c r="BA747">
        <f>'Recurring Log'!L751&amp;""</f>
        <v/>
      </c>
      <c r="BB747">
        <f>'Recurring Log'!M751&amp;""</f>
        <v/>
      </c>
      <c r="BC747">
        <f>'Recurring Log'!N751&amp;""</f>
        <v/>
      </c>
      <c r="BD747">
        <f>'Recurring Log'!O751&amp;""</f>
        <v/>
      </c>
      <c r="BE747">
        <f>IF('Recurring Log'!K751="","",'Recurring Log'!K751)</f>
        <v/>
      </c>
      <c r="BF747">
        <f>IFERROR(MATCH(BA747,Setup!$L$6:$L$9,0),5)</f>
        <v/>
      </c>
      <c r="BG747">
        <f>IF(OR(AZ747="Done",AZ747="Cancelled"),1,0)</f>
        <v/>
      </c>
      <c r="BH747">
        <f>IF(AND(AU747&lt;&gt;"",ISNUMBER(AW747)),1,0)</f>
        <v/>
      </c>
      <c r="BI747">
        <f>IF(BH747=0,0,IF(AND(AW747&gt;='Tasks Filter'!$F$3,AW747&lt;='Tasks Filter'!$F$4,OR('Tasks Filter'!$I$3="",ISNUMBER(SEARCH('Tasks Filter'!$I$3,AU747))),OR('Tasks Filter'!$I$4="",BF747=IFERROR(MATCH('Tasks Filter'!$I$4,Setup!$L$6:$L$9,0),0)),OR('Tasks Filter'!$I$5="Both",AND('Tasks Filter'!$I$5="Yes",BB747="✓"),AND('Tasks Filter'!$I$5="No",BB747&lt;&gt;"✓")),OR('Tasks Filter'!$L$3="",AV747='Tasks Filter'!$L$3),OR('Tasks Filter'!$L$4="",AZ747='Tasks Filter'!$L$4),OR('Tasks Filter'!$L$5="",BC747='Tasks Filter'!$L$5),OR('Tasks Filter'!$O$3="",BD747='Tasks Filter'!$O$3),OR('Tasks Filter'!$O$4="Yes",BG747=0)),1,0))</f>
        <v/>
      </c>
      <c r="BJ747">
        <f>IF(BH747=0,"",IF('Tasks Filter'!$F$6="Descending",-1,1)*CHOOSE(MATCH('Tasks Filter'!$F$5,Lists!$G$2:$G$6,0),AW747,BF747,IFERROR(MATCH(AV747,Setup!$F$6:$F$15,0),99),IFERROR(MATCH(BC747,Setup!$H$6:$H$15,0),99),IFERROR(MATCH(AZ747,Setup!$J$6:$J$11,0),99))*1E+9+(AW747-40000)*10000+746)</f>
        <v/>
      </c>
      <c r="BK747">
        <f>IF(BI747=1,BJ747,"")</f>
        <v/>
      </c>
      <c r="BL747">
        <f>IF(AND(BH747=1,BG747=0,N(AW747)&lt;Setup!$D$7),(AW747-40000)*10000+746,"")</f>
        <v/>
      </c>
      <c r="BM747">
        <f>IF(AND(BH747=1,AZ747&lt;&gt;"Cancelled",N(AW747)&gt;=Dashboard!$AB$3,N(AW747)&lt;=Dashboard!$AB$3+6),(AW747-40000)*100000+BF747*10000+746,"")</f>
        <v/>
      </c>
      <c r="BN747">
        <f>IF(AND(BH747=1,AZ747&lt;&gt;"Cancelled"),BF747*10000+746,"")</f>
        <v/>
      </c>
    </row>
    <row r="748">
      <c r="AS748" t="inlineStr">
        <is>
          <t>R</t>
        </is>
      </c>
      <c r="AT748" t="n">
        <v>752</v>
      </c>
      <c r="AU748">
        <f>'Recurring Log'!C752&amp;""</f>
        <v/>
      </c>
      <c r="AV748">
        <f>'Recurring Log'!D752&amp;""</f>
        <v/>
      </c>
      <c r="AW748">
        <f>IF('Recurring Log'!E752="","",'Recurring Log'!E752)</f>
        <v/>
      </c>
      <c r="AX748">
        <f>IF('Recurring Log'!G752="","",'Recurring Log'!G752)</f>
        <v/>
      </c>
      <c r="AY748">
        <f>IF('Recurring Log'!H752="","",'Recurring Log'!H752)</f>
        <v/>
      </c>
      <c r="AZ748">
        <f>IF(AU748="","",IF('Recurring Log'!J752="","Not Started",'Recurring Log'!J752))</f>
        <v/>
      </c>
      <c r="BA748">
        <f>'Recurring Log'!L752&amp;""</f>
        <v/>
      </c>
      <c r="BB748">
        <f>'Recurring Log'!M752&amp;""</f>
        <v/>
      </c>
      <c r="BC748">
        <f>'Recurring Log'!N752&amp;""</f>
        <v/>
      </c>
      <c r="BD748">
        <f>'Recurring Log'!O752&amp;""</f>
        <v/>
      </c>
      <c r="BE748">
        <f>IF('Recurring Log'!K752="","",'Recurring Log'!K752)</f>
        <v/>
      </c>
      <c r="BF748">
        <f>IFERROR(MATCH(BA748,Setup!$L$6:$L$9,0),5)</f>
        <v/>
      </c>
      <c r="BG748">
        <f>IF(OR(AZ748="Done",AZ748="Cancelled"),1,0)</f>
        <v/>
      </c>
      <c r="BH748">
        <f>IF(AND(AU748&lt;&gt;"",ISNUMBER(AW748)),1,0)</f>
        <v/>
      </c>
      <c r="BI748">
        <f>IF(BH748=0,0,IF(AND(AW748&gt;='Tasks Filter'!$F$3,AW748&lt;='Tasks Filter'!$F$4,OR('Tasks Filter'!$I$3="",ISNUMBER(SEARCH('Tasks Filter'!$I$3,AU748))),OR('Tasks Filter'!$I$4="",BF748=IFERROR(MATCH('Tasks Filter'!$I$4,Setup!$L$6:$L$9,0),0)),OR('Tasks Filter'!$I$5="Both",AND('Tasks Filter'!$I$5="Yes",BB748="✓"),AND('Tasks Filter'!$I$5="No",BB748&lt;&gt;"✓")),OR('Tasks Filter'!$L$3="",AV748='Tasks Filter'!$L$3),OR('Tasks Filter'!$L$4="",AZ748='Tasks Filter'!$L$4),OR('Tasks Filter'!$L$5="",BC748='Tasks Filter'!$L$5),OR('Tasks Filter'!$O$3="",BD748='Tasks Filter'!$O$3),OR('Tasks Filter'!$O$4="Yes",BG748=0)),1,0))</f>
        <v/>
      </c>
      <c r="BJ748">
        <f>IF(BH748=0,"",IF('Tasks Filter'!$F$6="Descending",-1,1)*CHOOSE(MATCH('Tasks Filter'!$F$5,Lists!$G$2:$G$6,0),AW748,BF748,IFERROR(MATCH(AV748,Setup!$F$6:$F$15,0),99),IFERROR(MATCH(BC748,Setup!$H$6:$H$15,0),99),IFERROR(MATCH(AZ748,Setup!$J$6:$J$11,0),99))*1E+9+(AW748-40000)*10000+747)</f>
        <v/>
      </c>
      <c r="BK748">
        <f>IF(BI748=1,BJ748,"")</f>
        <v/>
      </c>
      <c r="BL748">
        <f>IF(AND(BH748=1,BG748=0,N(AW748)&lt;Setup!$D$7),(AW748-40000)*10000+747,"")</f>
        <v/>
      </c>
      <c r="BM748">
        <f>IF(AND(BH748=1,AZ748&lt;&gt;"Cancelled",N(AW748)&gt;=Dashboard!$AB$3,N(AW748)&lt;=Dashboard!$AB$3+6),(AW748-40000)*100000+BF748*10000+747,"")</f>
        <v/>
      </c>
      <c r="BN748">
        <f>IF(AND(BH748=1,AZ748&lt;&gt;"Cancelled"),BF748*10000+747,"")</f>
        <v/>
      </c>
    </row>
    <row r="749">
      <c r="AS749" t="inlineStr">
        <is>
          <t>R</t>
        </is>
      </c>
      <c r="AT749" t="n">
        <v>753</v>
      </c>
      <c r="AU749">
        <f>'Recurring Log'!C753&amp;""</f>
        <v/>
      </c>
      <c r="AV749">
        <f>'Recurring Log'!D753&amp;""</f>
        <v/>
      </c>
      <c r="AW749">
        <f>IF('Recurring Log'!E753="","",'Recurring Log'!E753)</f>
        <v/>
      </c>
      <c r="AX749">
        <f>IF('Recurring Log'!G753="","",'Recurring Log'!G753)</f>
        <v/>
      </c>
      <c r="AY749">
        <f>IF('Recurring Log'!H753="","",'Recurring Log'!H753)</f>
        <v/>
      </c>
      <c r="AZ749">
        <f>IF(AU749="","",IF('Recurring Log'!J753="","Not Started",'Recurring Log'!J753))</f>
        <v/>
      </c>
      <c r="BA749">
        <f>'Recurring Log'!L753&amp;""</f>
        <v/>
      </c>
      <c r="BB749">
        <f>'Recurring Log'!M753&amp;""</f>
        <v/>
      </c>
      <c r="BC749">
        <f>'Recurring Log'!N753&amp;""</f>
        <v/>
      </c>
      <c r="BD749">
        <f>'Recurring Log'!O753&amp;""</f>
        <v/>
      </c>
      <c r="BE749">
        <f>IF('Recurring Log'!K753="","",'Recurring Log'!K753)</f>
        <v/>
      </c>
      <c r="BF749">
        <f>IFERROR(MATCH(BA749,Setup!$L$6:$L$9,0),5)</f>
        <v/>
      </c>
      <c r="BG749">
        <f>IF(OR(AZ749="Done",AZ749="Cancelled"),1,0)</f>
        <v/>
      </c>
      <c r="BH749">
        <f>IF(AND(AU749&lt;&gt;"",ISNUMBER(AW749)),1,0)</f>
        <v/>
      </c>
      <c r="BI749">
        <f>IF(BH749=0,0,IF(AND(AW749&gt;='Tasks Filter'!$F$3,AW749&lt;='Tasks Filter'!$F$4,OR('Tasks Filter'!$I$3="",ISNUMBER(SEARCH('Tasks Filter'!$I$3,AU749))),OR('Tasks Filter'!$I$4="",BF749=IFERROR(MATCH('Tasks Filter'!$I$4,Setup!$L$6:$L$9,0),0)),OR('Tasks Filter'!$I$5="Both",AND('Tasks Filter'!$I$5="Yes",BB749="✓"),AND('Tasks Filter'!$I$5="No",BB749&lt;&gt;"✓")),OR('Tasks Filter'!$L$3="",AV749='Tasks Filter'!$L$3),OR('Tasks Filter'!$L$4="",AZ749='Tasks Filter'!$L$4),OR('Tasks Filter'!$L$5="",BC749='Tasks Filter'!$L$5),OR('Tasks Filter'!$O$3="",BD749='Tasks Filter'!$O$3),OR('Tasks Filter'!$O$4="Yes",BG749=0)),1,0))</f>
        <v/>
      </c>
      <c r="BJ749">
        <f>IF(BH749=0,"",IF('Tasks Filter'!$F$6="Descending",-1,1)*CHOOSE(MATCH('Tasks Filter'!$F$5,Lists!$G$2:$G$6,0),AW749,BF749,IFERROR(MATCH(AV749,Setup!$F$6:$F$15,0),99),IFERROR(MATCH(BC749,Setup!$H$6:$H$15,0),99),IFERROR(MATCH(AZ749,Setup!$J$6:$J$11,0),99))*1E+9+(AW749-40000)*10000+748)</f>
        <v/>
      </c>
      <c r="BK749">
        <f>IF(BI749=1,BJ749,"")</f>
        <v/>
      </c>
      <c r="BL749">
        <f>IF(AND(BH749=1,BG749=0,N(AW749)&lt;Setup!$D$7),(AW749-40000)*10000+748,"")</f>
        <v/>
      </c>
      <c r="BM749">
        <f>IF(AND(BH749=1,AZ749&lt;&gt;"Cancelled",N(AW749)&gt;=Dashboard!$AB$3,N(AW749)&lt;=Dashboard!$AB$3+6),(AW749-40000)*100000+BF749*10000+748,"")</f>
        <v/>
      </c>
      <c r="BN749">
        <f>IF(AND(BH749=1,AZ749&lt;&gt;"Cancelled"),BF749*10000+748,"")</f>
        <v/>
      </c>
    </row>
    <row r="750">
      <c r="AS750" t="inlineStr">
        <is>
          <t>R</t>
        </is>
      </c>
      <c r="AT750" t="n">
        <v>754</v>
      </c>
      <c r="AU750">
        <f>'Recurring Log'!C754&amp;""</f>
        <v/>
      </c>
      <c r="AV750">
        <f>'Recurring Log'!D754&amp;""</f>
        <v/>
      </c>
      <c r="AW750">
        <f>IF('Recurring Log'!E754="","",'Recurring Log'!E754)</f>
        <v/>
      </c>
      <c r="AX750">
        <f>IF('Recurring Log'!G754="","",'Recurring Log'!G754)</f>
        <v/>
      </c>
      <c r="AY750">
        <f>IF('Recurring Log'!H754="","",'Recurring Log'!H754)</f>
        <v/>
      </c>
      <c r="AZ750">
        <f>IF(AU750="","",IF('Recurring Log'!J754="","Not Started",'Recurring Log'!J754))</f>
        <v/>
      </c>
      <c r="BA750">
        <f>'Recurring Log'!L754&amp;""</f>
        <v/>
      </c>
      <c r="BB750">
        <f>'Recurring Log'!M754&amp;""</f>
        <v/>
      </c>
      <c r="BC750">
        <f>'Recurring Log'!N754&amp;""</f>
        <v/>
      </c>
      <c r="BD750">
        <f>'Recurring Log'!O754&amp;""</f>
        <v/>
      </c>
      <c r="BE750">
        <f>IF('Recurring Log'!K754="","",'Recurring Log'!K754)</f>
        <v/>
      </c>
      <c r="BF750">
        <f>IFERROR(MATCH(BA750,Setup!$L$6:$L$9,0),5)</f>
        <v/>
      </c>
      <c r="BG750">
        <f>IF(OR(AZ750="Done",AZ750="Cancelled"),1,0)</f>
        <v/>
      </c>
      <c r="BH750">
        <f>IF(AND(AU750&lt;&gt;"",ISNUMBER(AW750)),1,0)</f>
        <v/>
      </c>
      <c r="BI750">
        <f>IF(BH750=0,0,IF(AND(AW750&gt;='Tasks Filter'!$F$3,AW750&lt;='Tasks Filter'!$F$4,OR('Tasks Filter'!$I$3="",ISNUMBER(SEARCH('Tasks Filter'!$I$3,AU750))),OR('Tasks Filter'!$I$4="",BF750=IFERROR(MATCH('Tasks Filter'!$I$4,Setup!$L$6:$L$9,0),0)),OR('Tasks Filter'!$I$5="Both",AND('Tasks Filter'!$I$5="Yes",BB750="✓"),AND('Tasks Filter'!$I$5="No",BB750&lt;&gt;"✓")),OR('Tasks Filter'!$L$3="",AV750='Tasks Filter'!$L$3),OR('Tasks Filter'!$L$4="",AZ750='Tasks Filter'!$L$4),OR('Tasks Filter'!$L$5="",BC750='Tasks Filter'!$L$5),OR('Tasks Filter'!$O$3="",BD750='Tasks Filter'!$O$3),OR('Tasks Filter'!$O$4="Yes",BG750=0)),1,0))</f>
        <v/>
      </c>
      <c r="BJ750">
        <f>IF(BH750=0,"",IF('Tasks Filter'!$F$6="Descending",-1,1)*CHOOSE(MATCH('Tasks Filter'!$F$5,Lists!$G$2:$G$6,0),AW750,BF750,IFERROR(MATCH(AV750,Setup!$F$6:$F$15,0),99),IFERROR(MATCH(BC750,Setup!$H$6:$H$15,0),99),IFERROR(MATCH(AZ750,Setup!$J$6:$J$11,0),99))*1E+9+(AW750-40000)*10000+749)</f>
        <v/>
      </c>
      <c r="BK750">
        <f>IF(BI750=1,BJ750,"")</f>
        <v/>
      </c>
      <c r="BL750">
        <f>IF(AND(BH750=1,BG750=0,N(AW750)&lt;Setup!$D$7),(AW750-40000)*10000+749,"")</f>
        <v/>
      </c>
      <c r="BM750">
        <f>IF(AND(BH750=1,AZ750&lt;&gt;"Cancelled",N(AW750)&gt;=Dashboard!$AB$3,N(AW750)&lt;=Dashboard!$AB$3+6),(AW750-40000)*100000+BF750*10000+749,"")</f>
        <v/>
      </c>
      <c r="BN750">
        <f>IF(AND(BH750=1,AZ750&lt;&gt;"Cancelled"),BF750*10000+749,"")</f>
        <v/>
      </c>
    </row>
    <row r="751">
      <c r="AS751" t="inlineStr">
        <is>
          <t>R</t>
        </is>
      </c>
      <c r="AT751" t="n">
        <v>755</v>
      </c>
      <c r="AU751">
        <f>'Recurring Log'!C755&amp;""</f>
        <v/>
      </c>
      <c r="AV751">
        <f>'Recurring Log'!D755&amp;""</f>
        <v/>
      </c>
      <c r="AW751">
        <f>IF('Recurring Log'!E755="","",'Recurring Log'!E755)</f>
        <v/>
      </c>
      <c r="AX751">
        <f>IF('Recurring Log'!G755="","",'Recurring Log'!G755)</f>
        <v/>
      </c>
      <c r="AY751">
        <f>IF('Recurring Log'!H755="","",'Recurring Log'!H755)</f>
        <v/>
      </c>
      <c r="AZ751">
        <f>IF(AU751="","",IF('Recurring Log'!J755="","Not Started",'Recurring Log'!J755))</f>
        <v/>
      </c>
      <c r="BA751">
        <f>'Recurring Log'!L755&amp;""</f>
        <v/>
      </c>
      <c r="BB751">
        <f>'Recurring Log'!M755&amp;""</f>
        <v/>
      </c>
      <c r="BC751">
        <f>'Recurring Log'!N755&amp;""</f>
        <v/>
      </c>
      <c r="BD751">
        <f>'Recurring Log'!O755&amp;""</f>
        <v/>
      </c>
      <c r="BE751">
        <f>IF('Recurring Log'!K755="","",'Recurring Log'!K755)</f>
        <v/>
      </c>
      <c r="BF751">
        <f>IFERROR(MATCH(BA751,Setup!$L$6:$L$9,0),5)</f>
        <v/>
      </c>
      <c r="BG751">
        <f>IF(OR(AZ751="Done",AZ751="Cancelled"),1,0)</f>
        <v/>
      </c>
      <c r="BH751">
        <f>IF(AND(AU751&lt;&gt;"",ISNUMBER(AW751)),1,0)</f>
        <v/>
      </c>
      <c r="BI751">
        <f>IF(BH751=0,0,IF(AND(AW751&gt;='Tasks Filter'!$F$3,AW751&lt;='Tasks Filter'!$F$4,OR('Tasks Filter'!$I$3="",ISNUMBER(SEARCH('Tasks Filter'!$I$3,AU751))),OR('Tasks Filter'!$I$4="",BF751=IFERROR(MATCH('Tasks Filter'!$I$4,Setup!$L$6:$L$9,0),0)),OR('Tasks Filter'!$I$5="Both",AND('Tasks Filter'!$I$5="Yes",BB751="✓"),AND('Tasks Filter'!$I$5="No",BB751&lt;&gt;"✓")),OR('Tasks Filter'!$L$3="",AV751='Tasks Filter'!$L$3),OR('Tasks Filter'!$L$4="",AZ751='Tasks Filter'!$L$4),OR('Tasks Filter'!$L$5="",BC751='Tasks Filter'!$L$5),OR('Tasks Filter'!$O$3="",BD751='Tasks Filter'!$O$3),OR('Tasks Filter'!$O$4="Yes",BG751=0)),1,0))</f>
        <v/>
      </c>
      <c r="BJ751">
        <f>IF(BH751=0,"",IF('Tasks Filter'!$F$6="Descending",-1,1)*CHOOSE(MATCH('Tasks Filter'!$F$5,Lists!$G$2:$G$6,0),AW751,BF751,IFERROR(MATCH(AV751,Setup!$F$6:$F$15,0),99),IFERROR(MATCH(BC751,Setup!$H$6:$H$15,0),99),IFERROR(MATCH(AZ751,Setup!$J$6:$J$11,0),99))*1E+9+(AW751-40000)*10000+750)</f>
        <v/>
      </c>
      <c r="BK751">
        <f>IF(BI751=1,BJ751,"")</f>
        <v/>
      </c>
      <c r="BL751">
        <f>IF(AND(BH751=1,BG751=0,N(AW751)&lt;Setup!$D$7),(AW751-40000)*10000+750,"")</f>
        <v/>
      </c>
      <c r="BM751">
        <f>IF(AND(BH751=1,AZ751&lt;&gt;"Cancelled",N(AW751)&gt;=Dashboard!$AB$3,N(AW751)&lt;=Dashboard!$AB$3+6),(AW751-40000)*100000+BF751*10000+750,"")</f>
        <v/>
      </c>
      <c r="BN751">
        <f>IF(AND(BH751=1,AZ751&lt;&gt;"Cancelled"),BF751*10000+750,"")</f>
        <v/>
      </c>
    </row>
    <row r="752">
      <c r="AS752" t="inlineStr">
        <is>
          <t>R</t>
        </is>
      </c>
      <c r="AT752" t="n">
        <v>756</v>
      </c>
      <c r="AU752">
        <f>'Recurring Log'!C756&amp;""</f>
        <v/>
      </c>
      <c r="AV752">
        <f>'Recurring Log'!D756&amp;""</f>
        <v/>
      </c>
      <c r="AW752">
        <f>IF('Recurring Log'!E756="","",'Recurring Log'!E756)</f>
        <v/>
      </c>
      <c r="AX752">
        <f>IF('Recurring Log'!G756="","",'Recurring Log'!G756)</f>
        <v/>
      </c>
      <c r="AY752">
        <f>IF('Recurring Log'!H756="","",'Recurring Log'!H756)</f>
        <v/>
      </c>
      <c r="AZ752">
        <f>IF(AU752="","",IF('Recurring Log'!J756="","Not Started",'Recurring Log'!J756))</f>
        <v/>
      </c>
      <c r="BA752">
        <f>'Recurring Log'!L756&amp;""</f>
        <v/>
      </c>
      <c r="BB752">
        <f>'Recurring Log'!M756&amp;""</f>
        <v/>
      </c>
      <c r="BC752">
        <f>'Recurring Log'!N756&amp;""</f>
        <v/>
      </c>
      <c r="BD752">
        <f>'Recurring Log'!O756&amp;""</f>
        <v/>
      </c>
      <c r="BE752">
        <f>IF('Recurring Log'!K756="","",'Recurring Log'!K756)</f>
        <v/>
      </c>
      <c r="BF752">
        <f>IFERROR(MATCH(BA752,Setup!$L$6:$L$9,0),5)</f>
        <v/>
      </c>
      <c r="BG752">
        <f>IF(OR(AZ752="Done",AZ752="Cancelled"),1,0)</f>
        <v/>
      </c>
      <c r="BH752">
        <f>IF(AND(AU752&lt;&gt;"",ISNUMBER(AW752)),1,0)</f>
        <v/>
      </c>
      <c r="BI752">
        <f>IF(BH752=0,0,IF(AND(AW752&gt;='Tasks Filter'!$F$3,AW752&lt;='Tasks Filter'!$F$4,OR('Tasks Filter'!$I$3="",ISNUMBER(SEARCH('Tasks Filter'!$I$3,AU752))),OR('Tasks Filter'!$I$4="",BF752=IFERROR(MATCH('Tasks Filter'!$I$4,Setup!$L$6:$L$9,0),0)),OR('Tasks Filter'!$I$5="Both",AND('Tasks Filter'!$I$5="Yes",BB752="✓"),AND('Tasks Filter'!$I$5="No",BB752&lt;&gt;"✓")),OR('Tasks Filter'!$L$3="",AV752='Tasks Filter'!$L$3),OR('Tasks Filter'!$L$4="",AZ752='Tasks Filter'!$L$4),OR('Tasks Filter'!$L$5="",BC752='Tasks Filter'!$L$5),OR('Tasks Filter'!$O$3="",BD752='Tasks Filter'!$O$3),OR('Tasks Filter'!$O$4="Yes",BG752=0)),1,0))</f>
        <v/>
      </c>
      <c r="BJ752">
        <f>IF(BH752=0,"",IF('Tasks Filter'!$F$6="Descending",-1,1)*CHOOSE(MATCH('Tasks Filter'!$F$5,Lists!$G$2:$G$6,0),AW752,BF752,IFERROR(MATCH(AV752,Setup!$F$6:$F$15,0),99),IFERROR(MATCH(BC752,Setup!$H$6:$H$15,0),99),IFERROR(MATCH(AZ752,Setup!$J$6:$J$11,0),99))*1E+9+(AW752-40000)*10000+751)</f>
        <v/>
      </c>
      <c r="BK752">
        <f>IF(BI752=1,BJ752,"")</f>
        <v/>
      </c>
      <c r="BL752">
        <f>IF(AND(BH752=1,BG752=0,N(AW752)&lt;Setup!$D$7),(AW752-40000)*10000+751,"")</f>
        <v/>
      </c>
      <c r="BM752">
        <f>IF(AND(BH752=1,AZ752&lt;&gt;"Cancelled",N(AW752)&gt;=Dashboard!$AB$3,N(AW752)&lt;=Dashboard!$AB$3+6),(AW752-40000)*100000+BF752*10000+751,"")</f>
        <v/>
      </c>
      <c r="BN752">
        <f>IF(AND(BH752=1,AZ752&lt;&gt;"Cancelled"),BF752*10000+751,"")</f>
        <v/>
      </c>
    </row>
    <row r="753">
      <c r="AS753" t="inlineStr">
        <is>
          <t>R</t>
        </is>
      </c>
      <c r="AT753" t="n">
        <v>757</v>
      </c>
      <c r="AU753">
        <f>'Recurring Log'!C757&amp;""</f>
        <v/>
      </c>
      <c r="AV753">
        <f>'Recurring Log'!D757&amp;""</f>
        <v/>
      </c>
      <c r="AW753">
        <f>IF('Recurring Log'!E757="","",'Recurring Log'!E757)</f>
        <v/>
      </c>
      <c r="AX753">
        <f>IF('Recurring Log'!G757="","",'Recurring Log'!G757)</f>
        <v/>
      </c>
      <c r="AY753">
        <f>IF('Recurring Log'!H757="","",'Recurring Log'!H757)</f>
        <v/>
      </c>
      <c r="AZ753">
        <f>IF(AU753="","",IF('Recurring Log'!J757="","Not Started",'Recurring Log'!J757))</f>
        <v/>
      </c>
      <c r="BA753">
        <f>'Recurring Log'!L757&amp;""</f>
        <v/>
      </c>
      <c r="BB753">
        <f>'Recurring Log'!M757&amp;""</f>
        <v/>
      </c>
      <c r="BC753">
        <f>'Recurring Log'!N757&amp;""</f>
        <v/>
      </c>
      <c r="BD753">
        <f>'Recurring Log'!O757&amp;""</f>
        <v/>
      </c>
      <c r="BE753">
        <f>IF('Recurring Log'!K757="","",'Recurring Log'!K757)</f>
        <v/>
      </c>
      <c r="BF753">
        <f>IFERROR(MATCH(BA753,Setup!$L$6:$L$9,0),5)</f>
        <v/>
      </c>
      <c r="BG753">
        <f>IF(OR(AZ753="Done",AZ753="Cancelled"),1,0)</f>
        <v/>
      </c>
      <c r="BH753">
        <f>IF(AND(AU753&lt;&gt;"",ISNUMBER(AW753)),1,0)</f>
        <v/>
      </c>
      <c r="BI753">
        <f>IF(BH753=0,0,IF(AND(AW753&gt;='Tasks Filter'!$F$3,AW753&lt;='Tasks Filter'!$F$4,OR('Tasks Filter'!$I$3="",ISNUMBER(SEARCH('Tasks Filter'!$I$3,AU753))),OR('Tasks Filter'!$I$4="",BF753=IFERROR(MATCH('Tasks Filter'!$I$4,Setup!$L$6:$L$9,0),0)),OR('Tasks Filter'!$I$5="Both",AND('Tasks Filter'!$I$5="Yes",BB753="✓"),AND('Tasks Filter'!$I$5="No",BB753&lt;&gt;"✓")),OR('Tasks Filter'!$L$3="",AV753='Tasks Filter'!$L$3),OR('Tasks Filter'!$L$4="",AZ753='Tasks Filter'!$L$4),OR('Tasks Filter'!$L$5="",BC753='Tasks Filter'!$L$5),OR('Tasks Filter'!$O$3="",BD753='Tasks Filter'!$O$3),OR('Tasks Filter'!$O$4="Yes",BG753=0)),1,0))</f>
        <v/>
      </c>
      <c r="BJ753">
        <f>IF(BH753=0,"",IF('Tasks Filter'!$F$6="Descending",-1,1)*CHOOSE(MATCH('Tasks Filter'!$F$5,Lists!$G$2:$G$6,0),AW753,BF753,IFERROR(MATCH(AV753,Setup!$F$6:$F$15,0),99),IFERROR(MATCH(BC753,Setup!$H$6:$H$15,0),99),IFERROR(MATCH(AZ753,Setup!$J$6:$J$11,0),99))*1E+9+(AW753-40000)*10000+752)</f>
        <v/>
      </c>
      <c r="BK753">
        <f>IF(BI753=1,BJ753,"")</f>
        <v/>
      </c>
      <c r="BL753">
        <f>IF(AND(BH753=1,BG753=0,N(AW753)&lt;Setup!$D$7),(AW753-40000)*10000+752,"")</f>
        <v/>
      </c>
      <c r="BM753">
        <f>IF(AND(BH753=1,AZ753&lt;&gt;"Cancelled",N(AW753)&gt;=Dashboard!$AB$3,N(AW753)&lt;=Dashboard!$AB$3+6),(AW753-40000)*100000+BF753*10000+752,"")</f>
        <v/>
      </c>
      <c r="BN753">
        <f>IF(AND(BH753=1,AZ753&lt;&gt;"Cancelled"),BF753*10000+752,"")</f>
        <v/>
      </c>
    </row>
    <row r="754">
      <c r="AS754" t="inlineStr">
        <is>
          <t>R</t>
        </is>
      </c>
      <c r="AT754" t="n">
        <v>758</v>
      </c>
      <c r="AU754">
        <f>'Recurring Log'!C758&amp;""</f>
        <v/>
      </c>
      <c r="AV754">
        <f>'Recurring Log'!D758&amp;""</f>
        <v/>
      </c>
      <c r="AW754">
        <f>IF('Recurring Log'!E758="","",'Recurring Log'!E758)</f>
        <v/>
      </c>
      <c r="AX754">
        <f>IF('Recurring Log'!G758="","",'Recurring Log'!G758)</f>
        <v/>
      </c>
      <c r="AY754">
        <f>IF('Recurring Log'!H758="","",'Recurring Log'!H758)</f>
        <v/>
      </c>
      <c r="AZ754">
        <f>IF(AU754="","",IF('Recurring Log'!J758="","Not Started",'Recurring Log'!J758))</f>
        <v/>
      </c>
      <c r="BA754">
        <f>'Recurring Log'!L758&amp;""</f>
        <v/>
      </c>
      <c r="BB754">
        <f>'Recurring Log'!M758&amp;""</f>
        <v/>
      </c>
      <c r="BC754">
        <f>'Recurring Log'!N758&amp;""</f>
        <v/>
      </c>
      <c r="BD754">
        <f>'Recurring Log'!O758&amp;""</f>
        <v/>
      </c>
      <c r="BE754">
        <f>IF('Recurring Log'!K758="","",'Recurring Log'!K758)</f>
        <v/>
      </c>
      <c r="BF754">
        <f>IFERROR(MATCH(BA754,Setup!$L$6:$L$9,0),5)</f>
        <v/>
      </c>
      <c r="BG754">
        <f>IF(OR(AZ754="Done",AZ754="Cancelled"),1,0)</f>
        <v/>
      </c>
      <c r="BH754">
        <f>IF(AND(AU754&lt;&gt;"",ISNUMBER(AW754)),1,0)</f>
        <v/>
      </c>
      <c r="BI754">
        <f>IF(BH754=0,0,IF(AND(AW754&gt;='Tasks Filter'!$F$3,AW754&lt;='Tasks Filter'!$F$4,OR('Tasks Filter'!$I$3="",ISNUMBER(SEARCH('Tasks Filter'!$I$3,AU754))),OR('Tasks Filter'!$I$4="",BF754=IFERROR(MATCH('Tasks Filter'!$I$4,Setup!$L$6:$L$9,0),0)),OR('Tasks Filter'!$I$5="Both",AND('Tasks Filter'!$I$5="Yes",BB754="✓"),AND('Tasks Filter'!$I$5="No",BB754&lt;&gt;"✓")),OR('Tasks Filter'!$L$3="",AV754='Tasks Filter'!$L$3),OR('Tasks Filter'!$L$4="",AZ754='Tasks Filter'!$L$4),OR('Tasks Filter'!$L$5="",BC754='Tasks Filter'!$L$5),OR('Tasks Filter'!$O$3="",BD754='Tasks Filter'!$O$3),OR('Tasks Filter'!$O$4="Yes",BG754=0)),1,0))</f>
        <v/>
      </c>
      <c r="BJ754">
        <f>IF(BH754=0,"",IF('Tasks Filter'!$F$6="Descending",-1,1)*CHOOSE(MATCH('Tasks Filter'!$F$5,Lists!$G$2:$G$6,0),AW754,BF754,IFERROR(MATCH(AV754,Setup!$F$6:$F$15,0),99),IFERROR(MATCH(BC754,Setup!$H$6:$H$15,0),99),IFERROR(MATCH(AZ754,Setup!$J$6:$J$11,0),99))*1E+9+(AW754-40000)*10000+753)</f>
        <v/>
      </c>
      <c r="BK754">
        <f>IF(BI754=1,BJ754,"")</f>
        <v/>
      </c>
      <c r="BL754">
        <f>IF(AND(BH754=1,BG754=0,N(AW754)&lt;Setup!$D$7),(AW754-40000)*10000+753,"")</f>
        <v/>
      </c>
      <c r="BM754">
        <f>IF(AND(BH754=1,AZ754&lt;&gt;"Cancelled",N(AW754)&gt;=Dashboard!$AB$3,N(AW754)&lt;=Dashboard!$AB$3+6),(AW754-40000)*100000+BF754*10000+753,"")</f>
        <v/>
      </c>
      <c r="BN754">
        <f>IF(AND(BH754=1,AZ754&lt;&gt;"Cancelled"),BF754*10000+753,"")</f>
        <v/>
      </c>
    </row>
    <row r="755">
      <c r="AS755" t="inlineStr">
        <is>
          <t>R</t>
        </is>
      </c>
      <c r="AT755" t="n">
        <v>759</v>
      </c>
      <c r="AU755">
        <f>'Recurring Log'!C759&amp;""</f>
        <v/>
      </c>
      <c r="AV755">
        <f>'Recurring Log'!D759&amp;""</f>
        <v/>
      </c>
      <c r="AW755">
        <f>IF('Recurring Log'!E759="","",'Recurring Log'!E759)</f>
        <v/>
      </c>
      <c r="AX755">
        <f>IF('Recurring Log'!G759="","",'Recurring Log'!G759)</f>
        <v/>
      </c>
      <c r="AY755">
        <f>IF('Recurring Log'!H759="","",'Recurring Log'!H759)</f>
        <v/>
      </c>
      <c r="AZ755">
        <f>IF(AU755="","",IF('Recurring Log'!J759="","Not Started",'Recurring Log'!J759))</f>
        <v/>
      </c>
      <c r="BA755">
        <f>'Recurring Log'!L759&amp;""</f>
        <v/>
      </c>
      <c r="BB755">
        <f>'Recurring Log'!M759&amp;""</f>
        <v/>
      </c>
      <c r="BC755">
        <f>'Recurring Log'!N759&amp;""</f>
        <v/>
      </c>
      <c r="BD755">
        <f>'Recurring Log'!O759&amp;""</f>
        <v/>
      </c>
      <c r="BE755">
        <f>IF('Recurring Log'!K759="","",'Recurring Log'!K759)</f>
        <v/>
      </c>
      <c r="BF755">
        <f>IFERROR(MATCH(BA755,Setup!$L$6:$L$9,0),5)</f>
        <v/>
      </c>
      <c r="BG755">
        <f>IF(OR(AZ755="Done",AZ755="Cancelled"),1,0)</f>
        <v/>
      </c>
      <c r="BH755">
        <f>IF(AND(AU755&lt;&gt;"",ISNUMBER(AW755)),1,0)</f>
        <v/>
      </c>
      <c r="BI755">
        <f>IF(BH755=0,0,IF(AND(AW755&gt;='Tasks Filter'!$F$3,AW755&lt;='Tasks Filter'!$F$4,OR('Tasks Filter'!$I$3="",ISNUMBER(SEARCH('Tasks Filter'!$I$3,AU755))),OR('Tasks Filter'!$I$4="",BF755=IFERROR(MATCH('Tasks Filter'!$I$4,Setup!$L$6:$L$9,0),0)),OR('Tasks Filter'!$I$5="Both",AND('Tasks Filter'!$I$5="Yes",BB755="✓"),AND('Tasks Filter'!$I$5="No",BB755&lt;&gt;"✓")),OR('Tasks Filter'!$L$3="",AV755='Tasks Filter'!$L$3),OR('Tasks Filter'!$L$4="",AZ755='Tasks Filter'!$L$4),OR('Tasks Filter'!$L$5="",BC755='Tasks Filter'!$L$5),OR('Tasks Filter'!$O$3="",BD755='Tasks Filter'!$O$3),OR('Tasks Filter'!$O$4="Yes",BG755=0)),1,0))</f>
        <v/>
      </c>
      <c r="BJ755">
        <f>IF(BH755=0,"",IF('Tasks Filter'!$F$6="Descending",-1,1)*CHOOSE(MATCH('Tasks Filter'!$F$5,Lists!$G$2:$G$6,0),AW755,BF755,IFERROR(MATCH(AV755,Setup!$F$6:$F$15,0),99),IFERROR(MATCH(BC755,Setup!$H$6:$H$15,0),99),IFERROR(MATCH(AZ755,Setup!$J$6:$J$11,0),99))*1E+9+(AW755-40000)*10000+754)</f>
        <v/>
      </c>
      <c r="BK755">
        <f>IF(BI755=1,BJ755,"")</f>
        <v/>
      </c>
      <c r="BL755">
        <f>IF(AND(BH755=1,BG755=0,N(AW755)&lt;Setup!$D$7),(AW755-40000)*10000+754,"")</f>
        <v/>
      </c>
      <c r="BM755">
        <f>IF(AND(BH755=1,AZ755&lt;&gt;"Cancelled",N(AW755)&gt;=Dashboard!$AB$3,N(AW755)&lt;=Dashboard!$AB$3+6),(AW755-40000)*100000+BF755*10000+754,"")</f>
        <v/>
      </c>
      <c r="BN755">
        <f>IF(AND(BH755=1,AZ755&lt;&gt;"Cancelled"),BF755*10000+754,"")</f>
        <v/>
      </c>
    </row>
    <row r="756">
      <c r="AS756" t="inlineStr">
        <is>
          <t>R</t>
        </is>
      </c>
      <c r="AT756" t="n">
        <v>760</v>
      </c>
      <c r="AU756">
        <f>'Recurring Log'!C760&amp;""</f>
        <v/>
      </c>
      <c r="AV756">
        <f>'Recurring Log'!D760&amp;""</f>
        <v/>
      </c>
      <c r="AW756">
        <f>IF('Recurring Log'!E760="","",'Recurring Log'!E760)</f>
        <v/>
      </c>
      <c r="AX756">
        <f>IF('Recurring Log'!G760="","",'Recurring Log'!G760)</f>
        <v/>
      </c>
      <c r="AY756">
        <f>IF('Recurring Log'!H760="","",'Recurring Log'!H760)</f>
        <v/>
      </c>
      <c r="AZ756">
        <f>IF(AU756="","",IF('Recurring Log'!J760="","Not Started",'Recurring Log'!J760))</f>
        <v/>
      </c>
      <c r="BA756">
        <f>'Recurring Log'!L760&amp;""</f>
        <v/>
      </c>
      <c r="BB756">
        <f>'Recurring Log'!M760&amp;""</f>
        <v/>
      </c>
      <c r="BC756">
        <f>'Recurring Log'!N760&amp;""</f>
        <v/>
      </c>
      <c r="BD756">
        <f>'Recurring Log'!O760&amp;""</f>
        <v/>
      </c>
      <c r="BE756">
        <f>IF('Recurring Log'!K760="","",'Recurring Log'!K760)</f>
        <v/>
      </c>
      <c r="BF756">
        <f>IFERROR(MATCH(BA756,Setup!$L$6:$L$9,0),5)</f>
        <v/>
      </c>
      <c r="BG756">
        <f>IF(OR(AZ756="Done",AZ756="Cancelled"),1,0)</f>
        <v/>
      </c>
      <c r="BH756">
        <f>IF(AND(AU756&lt;&gt;"",ISNUMBER(AW756)),1,0)</f>
        <v/>
      </c>
      <c r="BI756">
        <f>IF(BH756=0,0,IF(AND(AW756&gt;='Tasks Filter'!$F$3,AW756&lt;='Tasks Filter'!$F$4,OR('Tasks Filter'!$I$3="",ISNUMBER(SEARCH('Tasks Filter'!$I$3,AU756))),OR('Tasks Filter'!$I$4="",BF756=IFERROR(MATCH('Tasks Filter'!$I$4,Setup!$L$6:$L$9,0),0)),OR('Tasks Filter'!$I$5="Both",AND('Tasks Filter'!$I$5="Yes",BB756="✓"),AND('Tasks Filter'!$I$5="No",BB756&lt;&gt;"✓")),OR('Tasks Filter'!$L$3="",AV756='Tasks Filter'!$L$3),OR('Tasks Filter'!$L$4="",AZ756='Tasks Filter'!$L$4),OR('Tasks Filter'!$L$5="",BC756='Tasks Filter'!$L$5),OR('Tasks Filter'!$O$3="",BD756='Tasks Filter'!$O$3),OR('Tasks Filter'!$O$4="Yes",BG756=0)),1,0))</f>
        <v/>
      </c>
      <c r="BJ756">
        <f>IF(BH756=0,"",IF('Tasks Filter'!$F$6="Descending",-1,1)*CHOOSE(MATCH('Tasks Filter'!$F$5,Lists!$G$2:$G$6,0),AW756,BF756,IFERROR(MATCH(AV756,Setup!$F$6:$F$15,0),99),IFERROR(MATCH(BC756,Setup!$H$6:$H$15,0),99),IFERROR(MATCH(AZ756,Setup!$J$6:$J$11,0),99))*1E+9+(AW756-40000)*10000+755)</f>
        <v/>
      </c>
      <c r="BK756">
        <f>IF(BI756=1,BJ756,"")</f>
        <v/>
      </c>
      <c r="BL756">
        <f>IF(AND(BH756=1,BG756=0,N(AW756)&lt;Setup!$D$7),(AW756-40000)*10000+755,"")</f>
        <v/>
      </c>
      <c r="BM756">
        <f>IF(AND(BH756=1,AZ756&lt;&gt;"Cancelled",N(AW756)&gt;=Dashboard!$AB$3,N(AW756)&lt;=Dashboard!$AB$3+6),(AW756-40000)*100000+BF756*10000+755,"")</f>
        <v/>
      </c>
      <c r="BN756">
        <f>IF(AND(BH756=1,AZ756&lt;&gt;"Cancelled"),BF756*10000+755,"")</f>
        <v/>
      </c>
    </row>
    <row r="757">
      <c r="AS757" t="inlineStr">
        <is>
          <t>R</t>
        </is>
      </c>
      <c r="AT757" t="n">
        <v>761</v>
      </c>
      <c r="AU757">
        <f>'Recurring Log'!C761&amp;""</f>
        <v/>
      </c>
      <c r="AV757">
        <f>'Recurring Log'!D761&amp;""</f>
        <v/>
      </c>
      <c r="AW757">
        <f>IF('Recurring Log'!E761="","",'Recurring Log'!E761)</f>
        <v/>
      </c>
      <c r="AX757">
        <f>IF('Recurring Log'!G761="","",'Recurring Log'!G761)</f>
        <v/>
      </c>
      <c r="AY757">
        <f>IF('Recurring Log'!H761="","",'Recurring Log'!H761)</f>
        <v/>
      </c>
      <c r="AZ757">
        <f>IF(AU757="","",IF('Recurring Log'!J761="","Not Started",'Recurring Log'!J761))</f>
        <v/>
      </c>
      <c r="BA757">
        <f>'Recurring Log'!L761&amp;""</f>
        <v/>
      </c>
      <c r="BB757">
        <f>'Recurring Log'!M761&amp;""</f>
        <v/>
      </c>
      <c r="BC757">
        <f>'Recurring Log'!N761&amp;""</f>
        <v/>
      </c>
      <c r="BD757">
        <f>'Recurring Log'!O761&amp;""</f>
        <v/>
      </c>
      <c r="BE757">
        <f>IF('Recurring Log'!K761="","",'Recurring Log'!K761)</f>
        <v/>
      </c>
      <c r="BF757">
        <f>IFERROR(MATCH(BA757,Setup!$L$6:$L$9,0),5)</f>
        <v/>
      </c>
      <c r="BG757">
        <f>IF(OR(AZ757="Done",AZ757="Cancelled"),1,0)</f>
        <v/>
      </c>
      <c r="BH757">
        <f>IF(AND(AU757&lt;&gt;"",ISNUMBER(AW757)),1,0)</f>
        <v/>
      </c>
      <c r="BI757">
        <f>IF(BH757=0,0,IF(AND(AW757&gt;='Tasks Filter'!$F$3,AW757&lt;='Tasks Filter'!$F$4,OR('Tasks Filter'!$I$3="",ISNUMBER(SEARCH('Tasks Filter'!$I$3,AU757))),OR('Tasks Filter'!$I$4="",BF757=IFERROR(MATCH('Tasks Filter'!$I$4,Setup!$L$6:$L$9,0),0)),OR('Tasks Filter'!$I$5="Both",AND('Tasks Filter'!$I$5="Yes",BB757="✓"),AND('Tasks Filter'!$I$5="No",BB757&lt;&gt;"✓")),OR('Tasks Filter'!$L$3="",AV757='Tasks Filter'!$L$3),OR('Tasks Filter'!$L$4="",AZ757='Tasks Filter'!$L$4),OR('Tasks Filter'!$L$5="",BC757='Tasks Filter'!$L$5),OR('Tasks Filter'!$O$3="",BD757='Tasks Filter'!$O$3),OR('Tasks Filter'!$O$4="Yes",BG757=0)),1,0))</f>
        <v/>
      </c>
      <c r="BJ757">
        <f>IF(BH757=0,"",IF('Tasks Filter'!$F$6="Descending",-1,1)*CHOOSE(MATCH('Tasks Filter'!$F$5,Lists!$G$2:$G$6,0),AW757,BF757,IFERROR(MATCH(AV757,Setup!$F$6:$F$15,0),99),IFERROR(MATCH(BC757,Setup!$H$6:$H$15,0),99),IFERROR(MATCH(AZ757,Setup!$J$6:$J$11,0),99))*1E+9+(AW757-40000)*10000+756)</f>
        <v/>
      </c>
      <c r="BK757">
        <f>IF(BI757=1,BJ757,"")</f>
        <v/>
      </c>
      <c r="BL757">
        <f>IF(AND(BH757=1,BG757=0,N(AW757)&lt;Setup!$D$7),(AW757-40000)*10000+756,"")</f>
        <v/>
      </c>
      <c r="BM757">
        <f>IF(AND(BH757=1,AZ757&lt;&gt;"Cancelled",N(AW757)&gt;=Dashboard!$AB$3,N(AW757)&lt;=Dashboard!$AB$3+6),(AW757-40000)*100000+BF757*10000+756,"")</f>
        <v/>
      </c>
      <c r="BN757">
        <f>IF(AND(BH757=1,AZ757&lt;&gt;"Cancelled"),BF757*10000+756,"")</f>
        <v/>
      </c>
    </row>
    <row r="758">
      <c r="AS758" t="inlineStr">
        <is>
          <t>R</t>
        </is>
      </c>
      <c r="AT758" t="n">
        <v>762</v>
      </c>
      <c r="AU758">
        <f>'Recurring Log'!C762&amp;""</f>
        <v/>
      </c>
      <c r="AV758">
        <f>'Recurring Log'!D762&amp;""</f>
        <v/>
      </c>
      <c r="AW758">
        <f>IF('Recurring Log'!E762="","",'Recurring Log'!E762)</f>
        <v/>
      </c>
      <c r="AX758">
        <f>IF('Recurring Log'!G762="","",'Recurring Log'!G762)</f>
        <v/>
      </c>
      <c r="AY758">
        <f>IF('Recurring Log'!H762="","",'Recurring Log'!H762)</f>
        <v/>
      </c>
      <c r="AZ758">
        <f>IF(AU758="","",IF('Recurring Log'!J762="","Not Started",'Recurring Log'!J762))</f>
        <v/>
      </c>
      <c r="BA758">
        <f>'Recurring Log'!L762&amp;""</f>
        <v/>
      </c>
      <c r="BB758">
        <f>'Recurring Log'!M762&amp;""</f>
        <v/>
      </c>
      <c r="BC758">
        <f>'Recurring Log'!N762&amp;""</f>
        <v/>
      </c>
      <c r="BD758">
        <f>'Recurring Log'!O762&amp;""</f>
        <v/>
      </c>
      <c r="BE758">
        <f>IF('Recurring Log'!K762="","",'Recurring Log'!K762)</f>
        <v/>
      </c>
      <c r="BF758">
        <f>IFERROR(MATCH(BA758,Setup!$L$6:$L$9,0),5)</f>
        <v/>
      </c>
      <c r="BG758">
        <f>IF(OR(AZ758="Done",AZ758="Cancelled"),1,0)</f>
        <v/>
      </c>
      <c r="BH758">
        <f>IF(AND(AU758&lt;&gt;"",ISNUMBER(AW758)),1,0)</f>
        <v/>
      </c>
      <c r="BI758">
        <f>IF(BH758=0,0,IF(AND(AW758&gt;='Tasks Filter'!$F$3,AW758&lt;='Tasks Filter'!$F$4,OR('Tasks Filter'!$I$3="",ISNUMBER(SEARCH('Tasks Filter'!$I$3,AU758))),OR('Tasks Filter'!$I$4="",BF758=IFERROR(MATCH('Tasks Filter'!$I$4,Setup!$L$6:$L$9,0),0)),OR('Tasks Filter'!$I$5="Both",AND('Tasks Filter'!$I$5="Yes",BB758="✓"),AND('Tasks Filter'!$I$5="No",BB758&lt;&gt;"✓")),OR('Tasks Filter'!$L$3="",AV758='Tasks Filter'!$L$3),OR('Tasks Filter'!$L$4="",AZ758='Tasks Filter'!$L$4),OR('Tasks Filter'!$L$5="",BC758='Tasks Filter'!$L$5),OR('Tasks Filter'!$O$3="",BD758='Tasks Filter'!$O$3),OR('Tasks Filter'!$O$4="Yes",BG758=0)),1,0))</f>
        <v/>
      </c>
      <c r="BJ758">
        <f>IF(BH758=0,"",IF('Tasks Filter'!$F$6="Descending",-1,1)*CHOOSE(MATCH('Tasks Filter'!$F$5,Lists!$G$2:$G$6,0),AW758,BF758,IFERROR(MATCH(AV758,Setup!$F$6:$F$15,0),99),IFERROR(MATCH(BC758,Setup!$H$6:$H$15,0),99),IFERROR(MATCH(AZ758,Setup!$J$6:$J$11,0),99))*1E+9+(AW758-40000)*10000+757)</f>
        <v/>
      </c>
      <c r="BK758">
        <f>IF(BI758=1,BJ758,"")</f>
        <v/>
      </c>
      <c r="BL758">
        <f>IF(AND(BH758=1,BG758=0,N(AW758)&lt;Setup!$D$7),(AW758-40000)*10000+757,"")</f>
        <v/>
      </c>
      <c r="BM758">
        <f>IF(AND(BH758=1,AZ758&lt;&gt;"Cancelled",N(AW758)&gt;=Dashboard!$AB$3,N(AW758)&lt;=Dashboard!$AB$3+6),(AW758-40000)*100000+BF758*10000+757,"")</f>
        <v/>
      </c>
      <c r="BN758">
        <f>IF(AND(BH758=1,AZ758&lt;&gt;"Cancelled"),BF758*10000+757,"")</f>
        <v/>
      </c>
    </row>
    <row r="759">
      <c r="AS759" t="inlineStr">
        <is>
          <t>R</t>
        </is>
      </c>
      <c r="AT759" t="n">
        <v>763</v>
      </c>
      <c r="AU759">
        <f>'Recurring Log'!C763&amp;""</f>
        <v/>
      </c>
      <c r="AV759">
        <f>'Recurring Log'!D763&amp;""</f>
        <v/>
      </c>
      <c r="AW759">
        <f>IF('Recurring Log'!E763="","",'Recurring Log'!E763)</f>
        <v/>
      </c>
      <c r="AX759">
        <f>IF('Recurring Log'!G763="","",'Recurring Log'!G763)</f>
        <v/>
      </c>
      <c r="AY759">
        <f>IF('Recurring Log'!H763="","",'Recurring Log'!H763)</f>
        <v/>
      </c>
      <c r="AZ759">
        <f>IF(AU759="","",IF('Recurring Log'!J763="","Not Started",'Recurring Log'!J763))</f>
        <v/>
      </c>
      <c r="BA759">
        <f>'Recurring Log'!L763&amp;""</f>
        <v/>
      </c>
      <c r="BB759">
        <f>'Recurring Log'!M763&amp;""</f>
        <v/>
      </c>
      <c r="BC759">
        <f>'Recurring Log'!N763&amp;""</f>
        <v/>
      </c>
      <c r="BD759">
        <f>'Recurring Log'!O763&amp;""</f>
        <v/>
      </c>
      <c r="BE759">
        <f>IF('Recurring Log'!K763="","",'Recurring Log'!K763)</f>
        <v/>
      </c>
      <c r="BF759">
        <f>IFERROR(MATCH(BA759,Setup!$L$6:$L$9,0),5)</f>
        <v/>
      </c>
      <c r="BG759">
        <f>IF(OR(AZ759="Done",AZ759="Cancelled"),1,0)</f>
        <v/>
      </c>
      <c r="BH759">
        <f>IF(AND(AU759&lt;&gt;"",ISNUMBER(AW759)),1,0)</f>
        <v/>
      </c>
      <c r="BI759">
        <f>IF(BH759=0,0,IF(AND(AW759&gt;='Tasks Filter'!$F$3,AW759&lt;='Tasks Filter'!$F$4,OR('Tasks Filter'!$I$3="",ISNUMBER(SEARCH('Tasks Filter'!$I$3,AU759))),OR('Tasks Filter'!$I$4="",BF759=IFERROR(MATCH('Tasks Filter'!$I$4,Setup!$L$6:$L$9,0),0)),OR('Tasks Filter'!$I$5="Both",AND('Tasks Filter'!$I$5="Yes",BB759="✓"),AND('Tasks Filter'!$I$5="No",BB759&lt;&gt;"✓")),OR('Tasks Filter'!$L$3="",AV759='Tasks Filter'!$L$3),OR('Tasks Filter'!$L$4="",AZ759='Tasks Filter'!$L$4),OR('Tasks Filter'!$L$5="",BC759='Tasks Filter'!$L$5),OR('Tasks Filter'!$O$3="",BD759='Tasks Filter'!$O$3),OR('Tasks Filter'!$O$4="Yes",BG759=0)),1,0))</f>
        <v/>
      </c>
      <c r="BJ759">
        <f>IF(BH759=0,"",IF('Tasks Filter'!$F$6="Descending",-1,1)*CHOOSE(MATCH('Tasks Filter'!$F$5,Lists!$G$2:$G$6,0),AW759,BF759,IFERROR(MATCH(AV759,Setup!$F$6:$F$15,0),99),IFERROR(MATCH(BC759,Setup!$H$6:$H$15,0),99),IFERROR(MATCH(AZ759,Setup!$J$6:$J$11,0),99))*1E+9+(AW759-40000)*10000+758)</f>
        <v/>
      </c>
      <c r="BK759">
        <f>IF(BI759=1,BJ759,"")</f>
        <v/>
      </c>
      <c r="BL759">
        <f>IF(AND(BH759=1,BG759=0,N(AW759)&lt;Setup!$D$7),(AW759-40000)*10000+758,"")</f>
        <v/>
      </c>
      <c r="BM759">
        <f>IF(AND(BH759=1,AZ759&lt;&gt;"Cancelled",N(AW759)&gt;=Dashboard!$AB$3,N(AW759)&lt;=Dashboard!$AB$3+6),(AW759-40000)*100000+BF759*10000+758,"")</f>
        <v/>
      </c>
      <c r="BN759">
        <f>IF(AND(BH759=1,AZ759&lt;&gt;"Cancelled"),BF759*10000+758,"")</f>
        <v/>
      </c>
    </row>
    <row r="760">
      <c r="AS760" t="inlineStr">
        <is>
          <t>R</t>
        </is>
      </c>
      <c r="AT760" t="n">
        <v>764</v>
      </c>
      <c r="AU760">
        <f>'Recurring Log'!C764&amp;""</f>
        <v/>
      </c>
      <c r="AV760">
        <f>'Recurring Log'!D764&amp;""</f>
        <v/>
      </c>
      <c r="AW760">
        <f>IF('Recurring Log'!E764="","",'Recurring Log'!E764)</f>
        <v/>
      </c>
      <c r="AX760">
        <f>IF('Recurring Log'!G764="","",'Recurring Log'!G764)</f>
        <v/>
      </c>
      <c r="AY760">
        <f>IF('Recurring Log'!H764="","",'Recurring Log'!H764)</f>
        <v/>
      </c>
      <c r="AZ760">
        <f>IF(AU760="","",IF('Recurring Log'!J764="","Not Started",'Recurring Log'!J764))</f>
        <v/>
      </c>
      <c r="BA760">
        <f>'Recurring Log'!L764&amp;""</f>
        <v/>
      </c>
      <c r="BB760">
        <f>'Recurring Log'!M764&amp;""</f>
        <v/>
      </c>
      <c r="BC760">
        <f>'Recurring Log'!N764&amp;""</f>
        <v/>
      </c>
      <c r="BD760">
        <f>'Recurring Log'!O764&amp;""</f>
        <v/>
      </c>
      <c r="BE760">
        <f>IF('Recurring Log'!K764="","",'Recurring Log'!K764)</f>
        <v/>
      </c>
      <c r="BF760">
        <f>IFERROR(MATCH(BA760,Setup!$L$6:$L$9,0),5)</f>
        <v/>
      </c>
      <c r="BG760">
        <f>IF(OR(AZ760="Done",AZ760="Cancelled"),1,0)</f>
        <v/>
      </c>
      <c r="BH760">
        <f>IF(AND(AU760&lt;&gt;"",ISNUMBER(AW760)),1,0)</f>
        <v/>
      </c>
      <c r="BI760">
        <f>IF(BH760=0,0,IF(AND(AW760&gt;='Tasks Filter'!$F$3,AW760&lt;='Tasks Filter'!$F$4,OR('Tasks Filter'!$I$3="",ISNUMBER(SEARCH('Tasks Filter'!$I$3,AU760))),OR('Tasks Filter'!$I$4="",BF760=IFERROR(MATCH('Tasks Filter'!$I$4,Setup!$L$6:$L$9,0),0)),OR('Tasks Filter'!$I$5="Both",AND('Tasks Filter'!$I$5="Yes",BB760="✓"),AND('Tasks Filter'!$I$5="No",BB760&lt;&gt;"✓")),OR('Tasks Filter'!$L$3="",AV760='Tasks Filter'!$L$3),OR('Tasks Filter'!$L$4="",AZ760='Tasks Filter'!$L$4),OR('Tasks Filter'!$L$5="",BC760='Tasks Filter'!$L$5),OR('Tasks Filter'!$O$3="",BD760='Tasks Filter'!$O$3),OR('Tasks Filter'!$O$4="Yes",BG760=0)),1,0))</f>
        <v/>
      </c>
      <c r="BJ760">
        <f>IF(BH760=0,"",IF('Tasks Filter'!$F$6="Descending",-1,1)*CHOOSE(MATCH('Tasks Filter'!$F$5,Lists!$G$2:$G$6,0),AW760,BF760,IFERROR(MATCH(AV760,Setup!$F$6:$F$15,0),99),IFERROR(MATCH(BC760,Setup!$H$6:$H$15,0),99),IFERROR(MATCH(AZ760,Setup!$J$6:$J$11,0),99))*1E+9+(AW760-40000)*10000+759)</f>
        <v/>
      </c>
      <c r="BK760">
        <f>IF(BI760=1,BJ760,"")</f>
        <v/>
      </c>
      <c r="BL760">
        <f>IF(AND(BH760=1,BG760=0,N(AW760)&lt;Setup!$D$7),(AW760-40000)*10000+759,"")</f>
        <v/>
      </c>
      <c r="BM760">
        <f>IF(AND(BH760=1,AZ760&lt;&gt;"Cancelled",N(AW760)&gt;=Dashboard!$AB$3,N(AW760)&lt;=Dashboard!$AB$3+6),(AW760-40000)*100000+BF760*10000+759,"")</f>
        <v/>
      </c>
      <c r="BN760">
        <f>IF(AND(BH760=1,AZ760&lt;&gt;"Cancelled"),BF760*10000+759,"")</f>
        <v/>
      </c>
    </row>
    <row r="761">
      <c r="AS761" t="inlineStr">
        <is>
          <t>R</t>
        </is>
      </c>
      <c r="AT761" t="n">
        <v>765</v>
      </c>
      <c r="AU761">
        <f>'Recurring Log'!C765&amp;""</f>
        <v/>
      </c>
      <c r="AV761">
        <f>'Recurring Log'!D765&amp;""</f>
        <v/>
      </c>
      <c r="AW761">
        <f>IF('Recurring Log'!E765="","",'Recurring Log'!E765)</f>
        <v/>
      </c>
      <c r="AX761">
        <f>IF('Recurring Log'!G765="","",'Recurring Log'!G765)</f>
        <v/>
      </c>
      <c r="AY761">
        <f>IF('Recurring Log'!H765="","",'Recurring Log'!H765)</f>
        <v/>
      </c>
      <c r="AZ761">
        <f>IF(AU761="","",IF('Recurring Log'!J765="","Not Started",'Recurring Log'!J765))</f>
        <v/>
      </c>
      <c r="BA761">
        <f>'Recurring Log'!L765&amp;""</f>
        <v/>
      </c>
      <c r="BB761">
        <f>'Recurring Log'!M765&amp;""</f>
        <v/>
      </c>
      <c r="BC761">
        <f>'Recurring Log'!N765&amp;""</f>
        <v/>
      </c>
      <c r="BD761">
        <f>'Recurring Log'!O765&amp;""</f>
        <v/>
      </c>
      <c r="BE761">
        <f>IF('Recurring Log'!K765="","",'Recurring Log'!K765)</f>
        <v/>
      </c>
      <c r="BF761">
        <f>IFERROR(MATCH(BA761,Setup!$L$6:$L$9,0),5)</f>
        <v/>
      </c>
      <c r="BG761">
        <f>IF(OR(AZ761="Done",AZ761="Cancelled"),1,0)</f>
        <v/>
      </c>
      <c r="BH761">
        <f>IF(AND(AU761&lt;&gt;"",ISNUMBER(AW761)),1,0)</f>
        <v/>
      </c>
      <c r="BI761">
        <f>IF(BH761=0,0,IF(AND(AW761&gt;='Tasks Filter'!$F$3,AW761&lt;='Tasks Filter'!$F$4,OR('Tasks Filter'!$I$3="",ISNUMBER(SEARCH('Tasks Filter'!$I$3,AU761))),OR('Tasks Filter'!$I$4="",BF761=IFERROR(MATCH('Tasks Filter'!$I$4,Setup!$L$6:$L$9,0),0)),OR('Tasks Filter'!$I$5="Both",AND('Tasks Filter'!$I$5="Yes",BB761="✓"),AND('Tasks Filter'!$I$5="No",BB761&lt;&gt;"✓")),OR('Tasks Filter'!$L$3="",AV761='Tasks Filter'!$L$3),OR('Tasks Filter'!$L$4="",AZ761='Tasks Filter'!$L$4),OR('Tasks Filter'!$L$5="",BC761='Tasks Filter'!$L$5),OR('Tasks Filter'!$O$3="",BD761='Tasks Filter'!$O$3),OR('Tasks Filter'!$O$4="Yes",BG761=0)),1,0))</f>
        <v/>
      </c>
      <c r="BJ761">
        <f>IF(BH761=0,"",IF('Tasks Filter'!$F$6="Descending",-1,1)*CHOOSE(MATCH('Tasks Filter'!$F$5,Lists!$G$2:$G$6,0),AW761,BF761,IFERROR(MATCH(AV761,Setup!$F$6:$F$15,0),99),IFERROR(MATCH(BC761,Setup!$H$6:$H$15,0),99),IFERROR(MATCH(AZ761,Setup!$J$6:$J$11,0),99))*1E+9+(AW761-40000)*10000+760)</f>
        <v/>
      </c>
      <c r="BK761">
        <f>IF(BI761=1,BJ761,"")</f>
        <v/>
      </c>
      <c r="BL761">
        <f>IF(AND(BH761=1,BG761=0,N(AW761)&lt;Setup!$D$7),(AW761-40000)*10000+760,"")</f>
        <v/>
      </c>
      <c r="BM761">
        <f>IF(AND(BH761=1,AZ761&lt;&gt;"Cancelled",N(AW761)&gt;=Dashboard!$AB$3,N(AW761)&lt;=Dashboard!$AB$3+6),(AW761-40000)*100000+BF761*10000+760,"")</f>
        <v/>
      </c>
      <c r="BN761">
        <f>IF(AND(BH761=1,AZ761&lt;&gt;"Cancelled"),BF761*10000+760,"")</f>
        <v/>
      </c>
    </row>
    <row r="762">
      <c r="AS762" t="inlineStr">
        <is>
          <t>R</t>
        </is>
      </c>
      <c r="AT762" t="n">
        <v>766</v>
      </c>
      <c r="AU762">
        <f>'Recurring Log'!C766&amp;""</f>
        <v/>
      </c>
      <c r="AV762">
        <f>'Recurring Log'!D766&amp;""</f>
        <v/>
      </c>
      <c r="AW762">
        <f>IF('Recurring Log'!E766="","",'Recurring Log'!E766)</f>
        <v/>
      </c>
      <c r="AX762">
        <f>IF('Recurring Log'!G766="","",'Recurring Log'!G766)</f>
        <v/>
      </c>
      <c r="AY762">
        <f>IF('Recurring Log'!H766="","",'Recurring Log'!H766)</f>
        <v/>
      </c>
      <c r="AZ762">
        <f>IF(AU762="","",IF('Recurring Log'!J766="","Not Started",'Recurring Log'!J766))</f>
        <v/>
      </c>
      <c r="BA762">
        <f>'Recurring Log'!L766&amp;""</f>
        <v/>
      </c>
      <c r="BB762">
        <f>'Recurring Log'!M766&amp;""</f>
        <v/>
      </c>
      <c r="BC762">
        <f>'Recurring Log'!N766&amp;""</f>
        <v/>
      </c>
      <c r="BD762">
        <f>'Recurring Log'!O766&amp;""</f>
        <v/>
      </c>
      <c r="BE762">
        <f>IF('Recurring Log'!K766="","",'Recurring Log'!K766)</f>
        <v/>
      </c>
      <c r="BF762">
        <f>IFERROR(MATCH(BA762,Setup!$L$6:$L$9,0),5)</f>
        <v/>
      </c>
      <c r="BG762">
        <f>IF(OR(AZ762="Done",AZ762="Cancelled"),1,0)</f>
        <v/>
      </c>
      <c r="BH762">
        <f>IF(AND(AU762&lt;&gt;"",ISNUMBER(AW762)),1,0)</f>
        <v/>
      </c>
      <c r="BI762">
        <f>IF(BH762=0,0,IF(AND(AW762&gt;='Tasks Filter'!$F$3,AW762&lt;='Tasks Filter'!$F$4,OR('Tasks Filter'!$I$3="",ISNUMBER(SEARCH('Tasks Filter'!$I$3,AU762))),OR('Tasks Filter'!$I$4="",BF762=IFERROR(MATCH('Tasks Filter'!$I$4,Setup!$L$6:$L$9,0),0)),OR('Tasks Filter'!$I$5="Both",AND('Tasks Filter'!$I$5="Yes",BB762="✓"),AND('Tasks Filter'!$I$5="No",BB762&lt;&gt;"✓")),OR('Tasks Filter'!$L$3="",AV762='Tasks Filter'!$L$3),OR('Tasks Filter'!$L$4="",AZ762='Tasks Filter'!$L$4),OR('Tasks Filter'!$L$5="",BC762='Tasks Filter'!$L$5),OR('Tasks Filter'!$O$3="",BD762='Tasks Filter'!$O$3),OR('Tasks Filter'!$O$4="Yes",BG762=0)),1,0))</f>
        <v/>
      </c>
      <c r="BJ762">
        <f>IF(BH762=0,"",IF('Tasks Filter'!$F$6="Descending",-1,1)*CHOOSE(MATCH('Tasks Filter'!$F$5,Lists!$G$2:$G$6,0),AW762,BF762,IFERROR(MATCH(AV762,Setup!$F$6:$F$15,0),99),IFERROR(MATCH(BC762,Setup!$H$6:$H$15,0),99),IFERROR(MATCH(AZ762,Setup!$J$6:$J$11,0),99))*1E+9+(AW762-40000)*10000+761)</f>
        <v/>
      </c>
      <c r="BK762">
        <f>IF(BI762=1,BJ762,"")</f>
        <v/>
      </c>
      <c r="BL762">
        <f>IF(AND(BH762=1,BG762=0,N(AW762)&lt;Setup!$D$7),(AW762-40000)*10000+761,"")</f>
        <v/>
      </c>
      <c r="BM762">
        <f>IF(AND(BH762=1,AZ762&lt;&gt;"Cancelled",N(AW762)&gt;=Dashboard!$AB$3,N(AW762)&lt;=Dashboard!$AB$3+6),(AW762-40000)*100000+BF762*10000+761,"")</f>
        <v/>
      </c>
      <c r="BN762">
        <f>IF(AND(BH762=1,AZ762&lt;&gt;"Cancelled"),BF762*10000+761,"")</f>
        <v/>
      </c>
    </row>
    <row r="763">
      <c r="AS763" t="inlineStr">
        <is>
          <t>R</t>
        </is>
      </c>
      <c r="AT763" t="n">
        <v>767</v>
      </c>
      <c r="AU763">
        <f>'Recurring Log'!C767&amp;""</f>
        <v/>
      </c>
      <c r="AV763">
        <f>'Recurring Log'!D767&amp;""</f>
        <v/>
      </c>
      <c r="AW763">
        <f>IF('Recurring Log'!E767="","",'Recurring Log'!E767)</f>
        <v/>
      </c>
      <c r="AX763">
        <f>IF('Recurring Log'!G767="","",'Recurring Log'!G767)</f>
        <v/>
      </c>
      <c r="AY763">
        <f>IF('Recurring Log'!H767="","",'Recurring Log'!H767)</f>
        <v/>
      </c>
      <c r="AZ763">
        <f>IF(AU763="","",IF('Recurring Log'!J767="","Not Started",'Recurring Log'!J767))</f>
        <v/>
      </c>
      <c r="BA763">
        <f>'Recurring Log'!L767&amp;""</f>
        <v/>
      </c>
      <c r="BB763">
        <f>'Recurring Log'!M767&amp;""</f>
        <v/>
      </c>
      <c r="BC763">
        <f>'Recurring Log'!N767&amp;""</f>
        <v/>
      </c>
      <c r="BD763">
        <f>'Recurring Log'!O767&amp;""</f>
        <v/>
      </c>
      <c r="BE763">
        <f>IF('Recurring Log'!K767="","",'Recurring Log'!K767)</f>
        <v/>
      </c>
      <c r="BF763">
        <f>IFERROR(MATCH(BA763,Setup!$L$6:$L$9,0),5)</f>
        <v/>
      </c>
      <c r="BG763">
        <f>IF(OR(AZ763="Done",AZ763="Cancelled"),1,0)</f>
        <v/>
      </c>
      <c r="BH763">
        <f>IF(AND(AU763&lt;&gt;"",ISNUMBER(AW763)),1,0)</f>
        <v/>
      </c>
      <c r="BI763">
        <f>IF(BH763=0,0,IF(AND(AW763&gt;='Tasks Filter'!$F$3,AW763&lt;='Tasks Filter'!$F$4,OR('Tasks Filter'!$I$3="",ISNUMBER(SEARCH('Tasks Filter'!$I$3,AU763))),OR('Tasks Filter'!$I$4="",BF763=IFERROR(MATCH('Tasks Filter'!$I$4,Setup!$L$6:$L$9,0),0)),OR('Tasks Filter'!$I$5="Both",AND('Tasks Filter'!$I$5="Yes",BB763="✓"),AND('Tasks Filter'!$I$5="No",BB763&lt;&gt;"✓")),OR('Tasks Filter'!$L$3="",AV763='Tasks Filter'!$L$3),OR('Tasks Filter'!$L$4="",AZ763='Tasks Filter'!$L$4),OR('Tasks Filter'!$L$5="",BC763='Tasks Filter'!$L$5),OR('Tasks Filter'!$O$3="",BD763='Tasks Filter'!$O$3),OR('Tasks Filter'!$O$4="Yes",BG763=0)),1,0))</f>
        <v/>
      </c>
      <c r="BJ763">
        <f>IF(BH763=0,"",IF('Tasks Filter'!$F$6="Descending",-1,1)*CHOOSE(MATCH('Tasks Filter'!$F$5,Lists!$G$2:$G$6,0),AW763,BF763,IFERROR(MATCH(AV763,Setup!$F$6:$F$15,0),99),IFERROR(MATCH(BC763,Setup!$H$6:$H$15,0),99),IFERROR(MATCH(AZ763,Setup!$J$6:$J$11,0),99))*1E+9+(AW763-40000)*10000+762)</f>
        <v/>
      </c>
      <c r="BK763">
        <f>IF(BI763=1,BJ763,"")</f>
        <v/>
      </c>
      <c r="BL763">
        <f>IF(AND(BH763=1,BG763=0,N(AW763)&lt;Setup!$D$7),(AW763-40000)*10000+762,"")</f>
        <v/>
      </c>
      <c r="BM763">
        <f>IF(AND(BH763=1,AZ763&lt;&gt;"Cancelled",N(AW763)&gt;=Dashboard!$AB$3,N(AW763)&lt;=Dashboard!$AB$3+6),(AW763-40000)*100000+BF763*10000+762,"")</f>
        <v/>
      </c>
      <c r="BN763">
        <f>IF(AND(BH763=1,AZ763&lt;&gt;"Cancelled"),BF763*10000+762,"")</f>
        <v/>
      </c>
    </row>
    <row r="764">
      <c r="AS764" t="inlineStr">
        <is>
          <t>R</t>
        </is>
      </c>
      <c r="AT764" t="n">
        <v>768</v>
      </c>
      <c r="AU764">
        <f>'Recurring Log'!C768&amp;""</f>
        <v/>
      </c>
      <c r="AV764">
        <f>'Recurring Log'!D768&amp;""</f>
        <v/>
      </c>
      <c r="AW764">
        <f>IF('Recurring Log'!E768="","",'Recurring Log'!E768)</f>
        <v/>
      </c>
      <c r="AX764">
        <f>IF('Recurring Log'!G768="","",'Recurring Log'!G768)</f>
        <v/>
      </c>
      <c r="AY764">
        <f>IF('Recurring Log'!H768="","",'Recurring Log'!H768)</f>
        <v/>
      </c>
      <c r="AZ764">
        <f>IF(AU764="","",IF('Recurring Log'!J768="","Not Started",'Recurring Log'!J768))</f>
        <v/>
      </c>
      <c r="BA764">
        <f>'Recurring Log'!L768&amp;""</f>
        <v/>
      </c>
      <c r="BB764">
        <f>'Recurring Log'!M768&amp;""</f>
        <v/>
      </c>
      <c r="BC764">
        <f>'Recurring Log'!N768&amp;""</f>
        <v/>
      </c>
      <c r="BD764">
        <f>'Recurring Log'!O768&amp;""</f>
        <v/>
      </c>
      <c r="BE764">
        <f>IF('Recurring Log'!K768="","",'Recurring Log'!K768)</f>
        <v/>
      </c>
      <c r="BF764">
        <f>IFERROR(MATCH(BA764,Setup!$L$6:$L$9,0),5)</f>
        <v/>
      </c>
      <c r="BG764">
        <f>IF(OR(AZ764="Done",AZ764="Cancelled"),1,0)</f>
        <v/>
      </c>
      <c r="BH764">
        <f>IF(AND(AU764&lt;&gt;"",ISNUMBER(AW764)),1,0)</f>
        <v/>
      </c>
      <c r="BI764">
        <f>IF(BH764=0,0,IF(AND(AW764&gt;='Tasks Filter'!$F$3,AW764&lt;='Tasks Filter'!$F$4,OR('Tasks Filter'!$I$3="",ISNUMBER(SEARCH('Tasks Filter'!$I$3,AU764))),OR('Tasks Filter'!$I$4="",BF764=IFERROR(MATCH('Tasks Filter'!$I$4,Setup!$L$6:$L$9,0),0)),OR('Tasks Filter'!$I$5="Both",AND('Tasks Filter'!$I$5="Yes",BB764="✓"),AND('Tasks Filter'!$I$5="No",BB764&lt;&gt;"✓")),OR('Tasks Filter'!$L$3="",AV764='Tasks Filter'!$L$3),OR('Tasks Filter'!$L$4="",AZ764='Tasks Filter'!$L$4),OR('Tasks Filter'!$L$5="",BC764='Tasks Filter'!$L$5),OR('Tasks Filter'!$O$3="",BD764='Tasks Filter'!$O$3),OR('Tasks Filter'!$O$4="Yes",BG764=0)),1,0))</f>
        <v/>
      </c>
      <c r="BJ764">
        <f>IF(BH764=0,"",IF('Tasks Filter'!$F$6="Descending",-1,1)*CHOOSE(MATCH('Tasks Filter'!$F$5,Lists!$G$2:$G$6,0),AW764,BF764,IFERROR(MATCH(AV764,Setup!$F$6:$F$15,0),99),IFERROR(MATCH(BC764,Setup!$H$6:$H$15,0),99),IFERROR(MATCH(AZ764,Setup!$J$6:$J$11,0),99))*1E+9+(AW764-40000)*10000+763)</f>
        <v/>
      </c>
      <c r="BK764">
        <f>IF(BI764=1,BJ764,"")</f>
        <v/>
      </c>
      <c r="BL764">
        <f>IF(AND(BH764=1,BG764=0,N(AW764)&lt;Setup!$D$7),(AW764-40000)*10000+763,"")</f>
        <v/>
      </c>
      <c r="BM764">
        <f>IF(AND(BH764=1,AZ764&lt;&gt;"Cancelled",N(AW764)&gt;=Dashboard!$AB$3,N(AW764)&lt;=Dashboard!$AB$3+6),(AW764-40000)*100000+BF764*10000+763,"")</f>
        <v/>
      </c>
      <c r="BN764">
        <f>IF(AND(BH764=1,AZ764&lt;&gt;"Cancelled"),BF764*10000+763,"")</f>
        <v/>
      </c>
    </row>
    <row r="765">
      <c r="AS765" t="inlineStr">
        <is>
          <t>R</t>
        </is>
      </c>
      <c r="AT765" t="n">
        <v>769</v>
      </c>
      <c r="AU765">
        <f>'Recurring Log'!C769&amp;""</f>
        <v/>
      </c>
      <c r="AV765">
        <f>'Recurring Log'!D769&amp;""</f>
        <v/>
      </c>
      <c r="AW765">
        <f>IF('Recurring Log'!E769="","",'Recurring Log'!E769)</f>
        <v/>
      </c>
      <c r="AX765">
        <f>IF('Recurring Log'!G769="","",'Recurring Log'!G769)</f>
        <v/>
      </c>
      <c r="AY765">
        <f>IF('Recurring Log'!H769="","",'Recurring Log'!H769)</f>
        <v/>
      </c>
      <c r="AZ765">
        <f>IF(AU765="","",IF('Recurring Log'!J769="","Not Started",'Recurring Log'!J769))</f>
        <v/>
      </c>
      <c r="BA765">
        <f>'Recurring Log'!L769&amp;""</f>
        <v/>
      </c>
      <c r="BB765">
        <f>'Recurring Log'!M769&amp;""</f>
        <v/>
      </c>
      <c r="BC765">
        <f>'Recurring Log'!N769&amp;""</f>
        <v/>
      </c>
      <c r="BD765">
        <f>'Recurring Log'!O769&amp;""</f>
        <v/>
      </c>
      <c r="BE765">
        <f>IF('Recurring Log'!K769="","",'Recurring Log'!K769)</f>
        <v/>
      </c>
      <c r="BF765">
        <f>IFERROR(MATCH(BA765,Setup!$L$6:$L$9,0),5)</f>
        <v/>
      </c>
      <c r="BG765">
        <f>IF(OR(AZ765="Done",AZ765="Cancelled"),1,0)</f>
        <v/>
      </c>
      <c r="BH765">
        <f>IF(AND(AU765&lt;&gt;"",ISNUMBER(AW765)),1,0)</f>
        <v/>
      </c>
      <c r="BI765">
        <f>IF(BH765=0,0,IF(AND(AW765&gt;='Tasks Filter'!$F$3,AW765&lt;='Tasks Filter'!$F$4,OR('Tasks Filter'!$I$3="",ISNUMBER(SEARCH('Tasks Filter'!$I$3,AU765))),OR('Tasks Filter'!$I$4="",BF765=IFERROR(MATCH('Tasks Filter'!$I$4,Setup!$L$6:$L$9,0),0)),OR('Tasks Filter'!$I$5="Both",AND('Tasks Filter'!$I$5="Yes",BB765="✓"),AND('Tasks Filter'!$I$5="No",BB765&lt;&gt;"✓")),OR('Tasks Filter'!$L$3="",AV765='Tasks Filter'!$L$3),OR('Tasks Filter'!$L$4="",AZ765='Tasks Filter'!$L$4),OR('Tasks Filter'!$L$5="",BC765='Tasks Filter'!$L$5),OR('Tasks Filter'!$O$3="",BD765='Tasks Filter'!$O$3),OR('Tasks Filter'!$O$4="Yes",BG765=0)),1,0))</f>
        <v/>
      </c>
      <c r="BJ765">
        <f>IF(BH765=0,"",IF('Tasks Filter'!$F$6="Descending",-1,1)*CHOOSE(MATCH('Tasks Filter'!$F$5,Lists!$G$2:$G$6,0),AW765,BF765,IFERROR(MATCH(AV765,Setup!$F$6:$F$15,0),99),IFERROR(MATCH(BC765,Setup!$H$6:$H$15,0),99),IFERROR(MATCH(AZ765,Setup!$J$6:$J$11,0),99))*1E+9+(AW765-40000)*10000+764)</f>
        <v/>
      </c>
      <c r="BK765">
        <f>IF(BI765=1,BJ765,"")</f>
        <v/>
      </c>
      <c r="BL765">
        <f>IF(AND(BH765=1,BG765=0,N(AW765)&lt;Setup!$D$7),(AW765-40000)*10000+764,"")</f>
        <v/>
      </c>
      <c r="BM765">
        <f>IF(AND(BH765=1,AZ765&lt;&gt;"Cancelled",N(AW765)&gt;=Dashboard!$AB$3,N(AW765)&lt;=Dashboard!$AB$3+6),(AW765-40000)*100000+BF765*10000+764,"")</f>
        <v/>
      </c>
      <c r="BN765">
        <f>IF(AND(BH765=1,AZ765&lt;&gt;"Cancelled"),BF765*10000+764,"")</f>
        <v/>
      </c>
    </row>
    <row r="766">
      <c r="AS766" t="inlineStr">
        <is>
          <t>R</t>
        </is>
      </c>
      <c r="AT766" t="n">
        <v>770</v>
      </c>
      <c r="AU766">
        <f>'Recurring Log'!C770&amp;""</f>
        <v/>
      </c>
      <c r="AV766">
        <f>'Recurring Log'!D770&amp;""</f>
        <v/>
      </c>
      <c r="AW766">
        <f>IF('Recurring Log'!E770="","",'Recurring Log'!E770)</f>
        <v/>
      </c>
      <c r="AX766">
        <f>IF('Recurring Log'!G770="","",'Recurring Log'!G770)</f>
        <v/>
      </c>
      <c r="AY766">
        <f>IF('Recurring Log'!H770="","",'Recurring Log'!H770)</f>
        <v/>
      </c>
      <c r="AZ766">
        <f>IF(AU766="","",IF('Recurring Log'!J770="","Not Started",'Recurring Log'!J770))</f>
        <v/>
      </c>
      <c r="BA766">
        <f>'Recurring Log'!L770&amp;""</f>
        <v/>
      </c>
      <c r="BB766">
        <f>'Recurring Log'!M770&amp;""</f>
        <v/>
      </c>
      <c r="BC766">
        <f>'Recurring Log'!N770&amp;""</f>
        <v/>
      </c>
      <c r="BD766">
        <f>'Recurring Log'!O770&amp;""</f>
        <v/>
      </c>
      <c r="BE766">
        <f>IF('Recurring Log'!K770="","",'Recurring Log'!K770)</f>
        <v/>
      </c>
      <c r="BF766">
        <f>IFERROR(MATCH(BA766,Setup!$L$6:$L$9,0),5)</f>
        <v/>
      </c>
      <c r="BG766">
        <f>IF(OR(AZ766="Done",AZ766="Cancelled"),1,0)</f>
        <v/>
      </c>
      <c r="BH766">
        <f>IF(AND(AU766&lt;&gt;"",ISNUMBER(AW766)),1,0)</f>
        <v/>
      </c>
      <c r="BI766">
        <f>IF(BH766=0,0,IF(AND(AW766&gt;='Tasks Filter'!$F$3,AW766&lt;='Tasks Filter'!$F$4,OR('Tasks Filter'!$I$3="",ISNUMBER(SEARCH('Tasks Filter'!$I$3,AU766))),OR('Tasks Filter'!$I$4="",BF766=IFERROR(MATCH('Tasks Filter'!$I$4,Setup!$L$6:$L$9,0),0)),OR('Tasks Filter'!$I$5="Both",AND('Tasks Filter'!$I$5="Yes",BB766="✓"),AND('Tasks Filter'!$I$5="No",BB766&lt;&gt;"✓")),OR('Tasks Filter'!$L$3="",AV766='Tasks Filter'!$L$3),OR('Tasks Filter'!$L$4="",AZ766='Tasks Filter'!$L$4),OR('Tasks Filter'!$L$5="",BC766='Tasks Filter'!$L$5),OR('Tasks Filter'!$O$3="",BD766='Tasks Filter'!$O$3),OR('Tasks Filter'!$O$4="Yes",BG766=0)),1,0))</f>
        <v/>
      </c>
      <c r="BJ766">
        <f>IF(BH766=0,"",IF('Tasks Filter'!$F$6="Descending",-1,1)*CHOOSE(MATCH('Tasks Filter'!$F$5,Lists!$G$2:$G$6,0),AW766,BF766,IFERROR(MATCH(AV766,Setup!$F$6:$F$15,0),99),IFERROR(MATCH(BC766,Setup!$H$6:$H$15,0),99),IFERROR(MATCH(AZ766,Setup!$J$6:$J$11,0),99))*1E+9+(AW766-40000)*10000+765)</f>
        <v/>
      </c>
      <c r="BK766">
        <f>IF(BI766=1,BJ766,"")</f>
        <v/>
      </c>
      <c r="BL766">
        <f>IF(AND(BH766=1,BG766=0,N(AW766)&lt;Setup!$D$7),(AW766-40000)*10000+765,"")</f>
        <v/>
      </c>
      <c r="BM766">
        <f>IF(AND(BH766=1,AZ766&lt;&gt;"Cancelled",N(AW766)&gt;=Dashboard!$AB$3,N(AW766)&lt;=Dashboard!$AB$3+6),(AW766-40000)*100000+BF766*10000+765,"")</f>
        <v/>
      </c>
      <c r="BN766">
        <f>IF(AND(BH766=1,AZ766&lt;&gt;"Cancelled"),BF766*10000+765,"")</f>
        <v/>
      </c>
    </row>
    <row r="767">
      <c r="AS767" t="inlineStr">
        <is>
          <t>R</t>
        </is>
      </c>
      <c r="AT767" t="n">
        <v>771</v>
      </c>
      <c r="AU767">
        <f>'Recurring Log'!C771&amp;""</f>
        <v/>
      </c>
      <c r="AV767">
        <f>'Recurring Log'!D771&amp;""</f>
        <v/>
      </c>
      <c r="AW767">
        <f>IF('Recurring Log'!E771="","",'Recurring Log'!E771)</f>
        <v/>
      </c>
      <c r="AX767">
        <f>IF('Recurring Log'!G771="","",'Recurring Log'!G771)</f>
        <v/>
      </c>
      <c r="AY767">
        <f>IF('Recurring Log'!H771="","",'Recurring Log'!H771)</f>
        <v/>
      </c>
      <c r="AZ767">
        <f>IF(AU767="","",IF('Recurring Log'!J771="","Not Started",'Recurring Log'!J771))</f>
        <v/>
      </c>
      <c r="BA767">
        <f>'Recurring Log'!L771&amp;""</f>
        <v/>
      </c>
      <c r="BB767">
        <f>'Recurring Log'!M771&amp;""</f>
        <v/>
      </c>
      <c r="BC767">
        <f>'Recurring Log'!N771&amp;""</f>
        <v/>
      </c>
      <c r="BD767">
        <f>'Recurring Log'!O771&amp;""</f>
        <v/>
      </c>
      <c r="BE767">
        <f>IF('Recurring Log'!K771="","",'Recurring Log'!K771)</f>
        <v/>
      </c>
      <c r="BF767">
        <f>IFERROR(MATCH(BA767,Setup!$L$6:$L$9,0),5)</f>
        <v/>
      </c>
      <c r="BG767">
        <f>IF(OR(AZ767="Done",AZ767="Cancelled"),1,0)</f>
        <v/>
      </c>
      <c r="BH767">
        <f>IF(AND(AU767&lt;&gt;"",ISNUMBER(AW767)),1,0)</f>
        <v/>
      </c>
      <c r="BI767">
        <f>IF(BH767=0,0,IF(AND(AW767&gt;='Tasks Filter'!$F$3,AW767&lt;='Tasks Filter'!$F$4,OR('Tasks Filter'!$I$3="",ISNUMBER(SEARCH('Tasks Filter'!$I$3,AU767))),OR('Tasks Filter'!$I$4="",BF767=IFERROR(MATCH('Tasks Filter'!$I$4,Setup!$L$6:$L$9,0),0)),OR('Tasks Filter'!$I$5="Both",AND('Tasks Filter'!$I$5="Yes",BB767="✓"),AND('Tasks Filter'!$I$5="No",BB767&lt;&gt;"✓")),OR('Tasks Filter'!$L$3="",AV767='Tasks Filter'!$L$3),OR('Tasks Filter'!$L$4="",AZ767='Tasks Filter'!$L$4),OR('Tasks Filter'!$L$5="",BC767='Tasks Filter'!$L$5),OR('Tasks Filter'!$O$3="",BD767='Tasks Filter'!$O$3),OR('Tasks Filter'!$O$4="Yes",BG767=0)),1,0))</f>
        <v/>
      </c>
      <c r="BJ767">
        <f>IF(BH767=0,"",IF('Tasks Filter'!$F$6="Descending",-1,1)*CHOOSE(MATCH('Tasks Filter'!$F$5,Lists!$G$2:$G$6,0),AW767,BF767,IFERROR(MATCH(AV767,Setup!$F$6:$F$15,0),99),IFERROR(MATCH(BC767,Setup!$H$6:$H$15,0),99),IFERROR(MATCH(AZ767,Setup!$J$6:$J$11,0),99))*1E+9+(AW767-40000)*10000+766)</f>
        <v/>
      </c>
      <c r="BK767">
        <f>IF(BI767=1,BJ767,"")</f>
        <v/>
      </c>
      <c r="BL767">
        <f>IF(AND(BH767=1,BG767=0,N(AW767)&lt;Setup!$D$7),(AW767-40000)*10000+766,"")</f>
        <v/>
      </c>
      <c r="BM767">
        <f>IF(AND(BH767=1,AZ767&lt;&gt;"Cancelled",N(AW767)&gt;=Dashboard!$AB$3,N(AW767)&lt;=Dashboard!$AB$3+6),(AW767-40000)*100000+BF767*10000+766,"")</f>
        <v/>
      </c>
      <c r="BN767">
        <f>IF(AND(BH767=1,AZ767&lt;&gt;"Cancelled"),BF767*10000+766,"")</f>
        <v/>
      </c>
    </row>
    <row r="768">
      <c r="AS768" t="inlineStr">
        <is>
          <t>R</t>
        </is>
      </c>
      <c r="AT768" t="n">
        <v>772</v>
      </c>
      <c r="AU768">
        <f>'Recurring Log'!C772&amp;""</f>
        <v/>
      </c>
      <c r="AV768">
        <f>'Recurring Log'!D772&amp;""</f>
        <v/>
      </c>
      <c r="AW768">
        <f>IF('Recurring Log'!E772="","",'Recurring Log'!E772)</f>
        <v/>
      </c>
      <c r="AX768">
        <f>IF('Recurring Log'!G772="","",'Recurring Log'!G772)</f>
        <v/>
      </c>
      <c r="AY768">
        <f>IF('Recurring Log'!H772="","",'Recurring Log'!H772)</f>
        <v/>
      </c>
      <c r="AZ768">
        <f>IF(AU768="","",IF('Recurring Log'!J772="","Not Started",'Recurring Log'!J772))</f>
        <v/>
      </c>
      <c r="BA768">
        <f>'Recurring Log'!L772&amp;""</f>
        <v/>
      </c>
      <c r="BB768">
        <f>'Recurring Log'!M772&amp;""</f>
        <v/>
      </c>
      <c r="BC768">
        <f>'Recurring Log'!N772&amp;""</f>
        <v/>
      </c>
      <c r="BD768">
        <f>'Recurring Log'!O772&amp;""</f>
        <v/>
      </c>
      <c r="BE768">
        <f>IF('Recurring Log'!K772="","",'Recurring Log'!K772)</f>
        <v/>
      </c>
      <c r="BF768">
        <f>IFERROR(MATCH(BA768,Setup!$L$6:$L$9,0),5)</f>
        <v/>
      </c>
      <c r="BG768">
        <f>IF(OR(AZ768="Done",AZ768="Cancelled"),1,0)</f>
        <v/>
      </c>
      <c r="BH768">
        <f>IF(AND(AU768&lt;&gt;"",ISNUMBER(AW768)),1,0)</f>
        <v/>
      </c>
      <c r="BI768">
        <f>IF(BH768=0,0,IF(AND(AW768&gt;='Tasks Filter'!$F$3,AW768&lt;='Tasks Filter'!$F$4,OR('Tasks Filter'!$I$3="",ISNUMBER(SEARCH('Tasks Filter'!$I$3,AU768))),OR('Tasks Filter'!$I$4="",BF768=IFERROR(MATCH('Tasks Filter'!$I$4,Setup!$L$6:$L$9,0),0)),OR('Tasks Filter'!$I$5="Both",AND('Tasks Filter'!$I$5="Yes",BB768="✓"),AND('Tasks Filter'!$I$5="No",BB768&lt;&gt;"✓")),OR('Tasks Filter'!$L$3="",AV768='Tasks Filter'!$L$3),OR('Tasks Filter'!$L$4="",AZ768='Tasks Filter'!$L$4),OR('Tasks Filter'!$L$5="",BC768='Tasks Filter'!$L$5),OR('Tasks Filter'!$O$3="",BD768='Tasks Filter'!$O$3),OR('Tasks Filter'!$O$4="Yes",BG768=0)),1,0))</f>
        <v/>
      </c>
      <c r="BJ768">
        <f>IF(BH768=0,"",IF('Tasks Filter'!$F$6="Descending",-1,1)*CHOOSE(MATCH('Tasks Filter'!$F$5,Lists!$G$2:$G$6,0),AW768,BF768,IFERROR(MATCH(AV768,Setup!$F$6:$F$15,0),99),IFERROR(MATCH(BC768,Setup!$H$6:$H$15,0),99),IFERROR(MATCH(AZ768,Setup!$J$6:$J$11,0),99))*1E+9+(AW768-40000)*10000+767)</f>
        <v/>
      </c>
      <c r="BK768">
        <f>IF(BI768=1,BJ768,"")</f>
        <v/>
      </c>
      <c r="BL768">
        <f>IF(AND(BH768=1,BG768=0,N(AW768)&lt;Setup!$D$7),(AW768-40000)*10000+767,"")</f>
        <v/>
      </c>
      <c r="BM768">
        <f>IF(AND(BH768=1,AZ768&lt;&gt;"Cancelled",N(AW768)&gt;=Dashboard!$AB$3,N(AW768)&lt;=Dashboard!$AB$3+6),(AW768-40000)*100000+BF768*10000+767,"")</f>
        <v/>
      </c>
      <c r="BN768">
        <f>IF(AND(BH768=1,AZ768&lt;&gt;"Cancelled"),BF768*10000+767,"")</f>
        <v/>
      </c>
    </row>
    <row r="769">
      <c r="AS769" t="inlineStr">
        <is>
          <t>R</t>
        </is>
      </c>
      <c r="AT769" t="n">
        <v>773</v>
      </c>
      <c r="AU769">
        <f>'Recurring Log'!C773&amp;""</f>
        <v/>
      </c>
      <c r="AV769">
        <f>'Recurring Log'!D773&amp;""</f>
        <v/>
      </c>
      <c r="AW769">
        <f>IF('Recurring Log'!E773="","",'Recurring Log'!E773)</f>
        <v/>
      </c>
      <c r="AX769">
        <f>IF('Recurring Log'!G773="","",'Recurring Log'!G773)</f>
        <v/>
      </c>
      <c r="AY769">
        <f>IF('Recurring Log'!H773="","",'Recurring Log'!H773)</f>
        <v/>
      </c>
      <c r="AZ769">
        <f>IF(AU769="","",IF('Recurring Log'!J773="","Not Started",'Recurring Log'!J773))</f>
        <v/>
      </c>
      <c r="BA769">
        <f>'Recurring Log'!L773&amp;""</f>
        <v/>
      </c>
      <c r="BB769">
        <f>'Recurring Log'!M773&amp;""</f>
        <v/>
      </c>
      <c r="BC769">
        <f>'Recurring Log'!N773&amp;""</f>
        <v/>
      </c>
      <c r="BD769">
        <f>'Recurring Log'!O773&amp;""</f>
        <v/>
      </c>
      <c r="BE769">
        <f>IF('Recurring Log'!K773="","",'Recurring Log'!K773)</f>
        <v/>
      </c>
      <c r="BF769">
        <f>IFERROR(MATCH(BA769,Setup!$L$6:$L$9,0),5)</f>
        <v/>
      </c>
      <c r="BG769">
        <f>IF(OR(AZ769="Done",AZ769="Cancelled"),1,0)</f>
        <v/>
      </c>
      <c r="BH769">
        <f>IF(AND(AU769&lt;&gt;"",ISNUMBER(AW769)),1,0)</f>
        <v/>
      </c>
      <c r="BI769">
        <f>IF(BH769=0,0,IF(AND(AW769&gt;='Tasks Filter'!$F$3,AW769&lt;='Tasks Filter'!$F$4,OR('Tasks Filter'!$I$3="",ISNUMBER(SEARCH('Tasks Filter'!$I$3,AU769))),OR('Tasks Filter'!$I$4="",BF769=IFERROR(MATCH('Tasks Filter'!$I$4,Setup!$L$6:$L$9,0),0)),OR('Tasks Filter'!$I$5="Both",AND('Tasks Filter'!$I$5="Yes",BB769="✓"),AND('Tasks Filter'!$I$5="No",BB769&lt;&gt;"✓")),OR('Tasks Filter'!$L$3="",AV769='Tasks Filter'!$L$3),OR('Tasks Filter'!$L$4="",AZ769='Tasks Filter'!$L$4),OR('Tasks Filter'!$L$5="",BC769='Tasks Filter'!$L$5),OR('Tasks Filter'!$O$3="",BD769='Tasks Filter'!$O$3),OR('Tasks Filter'!$O$4="Yes",BG769=0)),1,0))</f>
        <v/>
      </c>
      <c r="BJ769">
        <f>IF(BH769=0,"",IF('Tasks Filter'!$F$6="Descending",-1,1)*CHOOSE(MATCH('Tasks Filter'!$F$5,Lists!$G$2:$G$6,0),AW769,BF769,IFERROR(MATCH(AV769,Setup!$F$6:$F$15,0),99),IFERROR(MATCH(BC769,Setup!$H$6:$H$15,0),99),IFERROR(MATCH(AZ769,Setup!$J$6:$J$11,0),99))*1E+9+(AW769-40000)*10000+768)</f>
        <v/>
      </c>
      <c r="BK769">
        <f>IF(BI769=1,BJ769,"")</f>
        <v/>
      </c>
      <c r="BL769">
        <f>IF(AND(BH769=1,BG769=0,N(AW769)&lt;Setup!$D$7),(AW769-40000)*10000+768,"")</f>
        <v/>
      </c>
      <c r="BM769">
        <f>IF(AND(BH769=1,AZ769&lt;&gt;"Cancelled",N(AW769)&gt;=Dashboard!$AB$3,N(AW769)&lt;=Dashboard!$AB$3+6),(AW769-40000)*100000+BF769*10000+768,"")</f>
        <v/>
      </c>
      <c r="BN769">
        <f>IF(AND(BH769=1,AZ769&lt;&gt;"Cancelled"),BF769*10000+768,"")</f>
        <v/>
      </c>
    </row>
    <row r="770">
      <c r="AS770" t="inlineStr">
        <is>
          <t>R</t>
        </is>
      </c>
      <c r="AT770" t="n">
        <v>774</v>
      </c>
      <c r="AU770">
        <f>'Recurring Log'!C774&amp;""</f>
        <v/>
      </c>
      <c r="AV770">
        <f>'Recurring Log'!D774&amp;""</f>
        <v/>
      </c>
      <c r="AW770">
        <f>IF('Recurring Log'!E774="","",'Recurring Log'!E774)</f>
        <v/>
      </c>
      <c r="AX770">
        <f>IF('Recurring Log'!G774="","",'Recurring Log'!G774)</f>
        <v/>
      </c>
      <c r="AY770">
        <f>IF('Recurring Log'!H774="","",'Recurring Log'!H774)</f>
        <v/>
      </c>
      <c r="AZ770">
        <f>IF(AU770="","",IF('Recurring Log'!J774="","Not Started",'Recurring Log'!J774))</f>
        <v/>
      </c>
      <c r="BA770">
        <f>'Recurring Log'!L774&amp;""</f>
        <v/>
      </c>
      <c r="BB770">
        <f>'Recurring Log'!M774&amp;""</f>
        <v/>
      </c>
      <c r="BC770">
        <f>'Recurring Log'!N774&amp;""</f>
        <v/>
      </c>
      <c r="BD770">
        <f>'Recurring Log'!O774&amp;""</f>
        <v/>
      </c>
      <c r="BE770">
        <f>IF('Recurring Log'!K774="","",'Recurring Log'!K774)</f>
        <v/>
      </c>
      <c r="BF770">
        <f>IFERROR(MATCH(BA770,Setup!$L$6:$L$9,0),5)</f>
        <v/>
      </c>
      <c r="BG770">
        <f>IF(OR(AZ770="Done",AZ770="Cancelled"),1,0)</f>
        <v/>
      </c>
      <c r="BH770">
        <f>IF(AND(AU770&lt;&gt;"",ISNUMBER(AW770)),1,0)</f>
        <v/>
      </c>
      <c r="BI770">
        <f>IF(BH770=0,0,IF(AND(AW770&gt;='Tasks Filter'!$F$3,AW770&lt;='Tasks Filter'!$F$4,OR('Tasks Filter'!$I$3="",ISNUMBER(SEARCH('Tasks Filter'!$I$3,AU770))),OR('Tasks Filter'!$I$4="",BF770=IFERROR(MATCH('Tasks Filter'!$I$4,Setup!$L$6:$L$9,0),0)),OR('Tasks Filter'!$I$5="Both",AND('Tasks Filter'!$I$5="Yes",BB770="✓"),AND('Tasks Filter'!$I$5="No",BB770&lt;&gt;"✓")),OR('Tasks Filter'!$L$3="",AV770='Tasks Filter'!$L$3),OR('Tasks Filter'!$L$4="",AZ770='Tasks Filter'!$L$4),OR('Tasks Filter'!$L$5="",BC770='Tasks Filter'!$L$5),OR('Tasks Filter'!$O$3="",BD770='Tasks Filter'!$O$3),OR('Tasks Filter'!$O$4="Yes",BG770=0)),1,0))</f>
        <v/>
      </c>
      <c r="BJ770">
        <f>IF(BH770=0,"",IF('Tasks Filter'!$F$6="Descending",-1,1)*CHOOSE(MATCH('Tasks Filter'!$F$5,Lists!$G$2:$G$6,0),AW770,BF770,IFERROR(MATCH(AV770,Setup!$F$6:$F$15,0),99),IFERROR(MATCH(BC770,Setup!$H$6:$H$15,0),99),IFERROR(MATCH(AZ770,Setup!$J$6:$J$11,0),99))*1E+9+(AW770-40000)*10000+769)</f>
        <v/>
      </c>
      <c r="BK770">
        <f>IF(BI770=1,BJ770,"")</f>
        <v/>
      </c>
      <c r="BL770">
        <f>IF(AND(BH770=1,BG770=0,N(AW770)&lt;Setup!$D$7),(AW770-40000)*10000+769,"")</f>
        <v/>
      </c>
      <c r="BM770">
        <f>IF(AND(BH770=1,AZ770&lt;&gt;"Cancelled",N(AW770)&gt;=Dashboard!$AB$3,N(AW770)&lt;=Dashboard!$AB$3+6),(AW770-40000)*100000+BF770*10000+769,"")</f>
        <v/>
      </c>
      <c r="BN770">
        <f>IF(AND(BH770=1,AZ770&lt;&gt;"Cancelled"),BF770*10000+769,"")</f>
        <v/>
      </c>
    </row>
    <row r="771">
      <c r="AS771" t="inlineStr">
        <is>
          <t>R</t>
        </is>
      </c>
      <c r="AT771" t="n">
        <v>775</v>
      </c>
      <c r="AU771">
        <f>'Recurring Log'!C775&amp;""</f>
        <v/>
      </c>
      <c r="AV771">
        <f>'Recurring Log'!D775&amp;""</f>
        <v/>
      </c>
      <c r="AW771">
        <f>IF('Recurring Log'!E775="","",'Recurring Log'!E775)</f>
        <v/>
      </c>
      <c r="AX771">
        <f>IF('Recurring Log'!G775="","",'Recurring Log'!G775)</f>
        <v/>
      </c>
      <c r="AY771">
        <f>IF('Recurring Log'!H775="","",'Recurring Log'!H775)</f>
        <v/>
      </c>
      <c r="AZ771">
        <f>IF(AU771="","",IF('Recurring Log'!J775="","Not Started",'Recurring Log'!J775))</f>
        <v/>
      </c>
      <c r="BA771">
        <f>'Recurring Log'!L775&amp;""</f>
        <v/>
      </c>
      <c r="BB771">
        <f>'Recurring Log'!M775&amp;""</f>
        <v/>
      </c>
      <c r="BC771">
        <f>'Recurring Log'!N775&amp;""</f>
        <v/>
      </c>
      <c r="BD771">
        <f>'Recurring Log'!O775&amp;""</f>
        <v/>
      </c>
      <c r="BE771">
        <f>IF('Recurring Log'!K775="","",'Recurring Log'!K775)</f>
        <v/>
      </c>
      <c r="BF771">
        <f>IFERROR(MATCH(BA771,Setup!$L$6:$L$9,0),5)</f>
        <v/>
      </c>
      <c r="BG771">
        <f>IF(OR(AZ771="Done",AZ771="Cancelled"),1,0)</f>
        <v/>
      </c>
      <c r="BH771">
        <f>IF(AND(AU771&lt;&gt;"",ISNUMBER(AW771)),1,0)</f>
        <v/>
      </c>
      <c r="BI771">
        <f>IF(BH771=0,0,IF(AND(AW771&gt;='Tasks Filter'!$F$3,AW771&lt;='Tasks Filter'!$F$4,OR('Tasks Filter'!$I$3="",ISNUMBER(SEARCH('Tasks Filter'!$I$3,AU771))),OR('Tasks Filter'!$I$4="",BF771=IFERROR(MATCH('Tasks Filter'!$I$4,Setup!$L$6:$L$9,0),0)),OR('Tasks Filter'!$I$5="Both",AND('Tasks Filter'!$I$5="Yes",BB771="✓"),AND('Tasks Filter'!$I$5="No",BB771&lt;&gt;"✓")),OR('Tasks Filter'!$L$3="",AV771='Tasks Filter'!$L$3),OR('Tasks Filter'!$L$4="",AZ771='Tasks Filter'!$L$4),OR('Tasks Filter'!$L$5="",BC771='Tasks Filter'!$L$5),OR('Tasks Filter'!$O$3="",BD771='Tasks Filter'!$O$3),OR('Tasks Filter'!$O$4="Yes",BG771=0)),1,0))</f>
        <v/>
      </c>
      <c r="BJ771">
        <f>IF(BH771=0,"",IF('Tasks Filter'!$F$6="Descending",-1,1)*CHOOSE(MATCH('Tasks Filter'!$F$5,Lists!$G$2:$G$6,0),AW771,BF771,IFERROR(MATCH(AV771,Setup!$F$6:$F$15,0),99),IFERROR(MATCH(BC771,Setup!$H$6:$H$15,0),99),IFERROR(MATCH(AZ771,Setup!$J$6:$J$11,0),99))*1E+9+(AW771-40000)*10000+770)</f>
        <v/>
      </c>
      <c r="BK771">
        <f>IF(BI771=1,BJ771,"")</f>
        <v/>
      </c>
      <c r="BL771">
        <f>IF(AND(BH771=1,BG771=0,N(AW771)&lt;Setup!$D$7),(AW771-40000)*10000+770,"")</f>
        <v/>
      </c>
      <c r="BM771">
        <f>IF(AND(BH771=1,AZ771&lt;&gt;"Cancelled",N(AW771)&gt;=Dashboard!$AB$3,N(AW771)&lt;=Dashboard!$AB$3+6),(AW771-40000)*100000+BF771*10000+770,"")</f>
        <v/>
      </c>
      <c r="BN771">
        <f>IF(AND(BH771=1,AZ771&lt;&gt;"Cancelled"),BF771*10000+770,"")</f>
        <v/>
      </c>
    </row>
    <row r="772">
      <c r="AS772" t="inlineStr">
        <is>
          <t>R</t>
        </is>
      </c>
      <c r="AT772" t="n">
        <v>776</v>
      </c>
      <c r="AU772">
        <f>'Recurring Log'!C776&amp;""</f>
        <v/>
      </c>
      <c r="AV772">
        <f>'Recurring Log'!D776&amp;""</f>
        <v/>
      </c>
      <c r="AW772">
        <f>IF('Recurring Log'!E776="","",'Recurring Log'!E776)</f>
        <v/>
      </c>
      <c r="AX772">
        <f>IF('Recurring Log'!G776="","",'Recurring Log'!G776)</f>
        <v/>
      </c>
      <c r="AY772">
        <f>IF('Recurring Log'!H776="","",'Recurring Log'!H776)</f>
        <v/>
      </c>
      <c r="AZ772">
        <f>IF(AU772="","",IF('Recurring Log'!J776="","Not Started",'Recurring Log'!J776))</f>
        <v/>
      </c>
      <c r="BA772">
        <f>'Recurring Log'!L776&amp;""</f>
        <v/>
      </c>
      <c r="BB772">
        <f>'Recurring Log'!M776&amp;""</f>
        <v/>
      </c>
      <c r="BC772">
        <f>'Recurring Log'!N776&amp;""</f>
        <v/>
      </c>
      <c r="BD772">
        <f>'Recurring Log'!O776&amp;""</f>
        <v/>
      </c>
      <c r="BE772">
        <f>IF('Recurring Log'!K776="","",'Recurring Log'!K776)</f>
        <v/>
      </c>
      <c r="BF772">
        <f>IFERROR(MATCH(BA772,Setup!$L$6:$L$9,0),5)</f>
        <v/>
      </c>
      <c r="BG772">
        <f>IF(OR(AZ772="Done",AZ772="Cancelled"),1,0)</f>
        <v/>
      </c>
      <c r="BH772">
        <f>IF(AND(AU772&lt;&gt;"",ISNUMBER(AW772)),1,0)</f>
        <v/>
      </c>
      <c r="BI772">
        <f>IF(BH772=0,0,IF(AND(AW772&gt;='Tasks Filter'!$F$3,AW772&lt;='Tasks Filter'!$F$4,OR('Tasks Filter'!$I$3="",ISNUMBER(SEARCH('Tasks Filter'!$I$3,AU772))),OR('Tasks Filter'!$I$4="",BF772=IFERROR(MATCH('Tasks Filter'!$I$4,Setup!$L$6:$L$9,0),0)),OR('Tasks Filter'!$I$5="Both",AND('Tasks Filter'!$I$5="Yes",BB772="✓"),AND('Tasks Filter'!$I$5="No",BB772&lt;&gt;"✓")),OR('Tasks Filter'!$L$3="",AV772='Tasks Filter'!$L$3),OR('Tasks Filter'!$L$4="",AZ772='Tasks Filter'!$L$4),OR('Tasks Filter'!$L$5="",BC772='Tasks Filter'!$L$5),OR('Tasks Filter'!$O$3="",BD772='Tasks Filter'!$O$3),OR('Tasks Filter'!$O$4="Yes",BG772=0)),1,0))</f>
        <v/>
      </c>
      <c r="BJ772">
        <f>IF(BH772=0,"",IF('Tasks Filter'!$F$6="Descending",-1,1)*CHOOSE(MATCH('Tasks Filter'!$F$5,Lists!$G$2:$G$6,0),AW772,BF772,IFERROR(MATCH(AV772,Setup!$F$6:$F$15,0),99),IFERROR(MATCH(BC772,Setup!$H$6:$H$15,0),99),IFERROR(MATCH(AZ772,Setup!$J$6:$J$11,0),99))*1E+9+(AW772-40000)*10000+771)</f>
        <v/>
      </c>
      <c r="BK772">
        <f>IF(BI772=1,BJ772,"")</f>
        <v/>
      </c>
      <c r="BL772">
        <f>IF(AND(BH772=1,BG772=0,N(AW772)&lt;Setup!$D$7),(AW772-40000)*10000+771,"")</f>
        <v/>
      </c>
      <c r="BM772">
        <f>IF(AND(BH772=1,AZ772&lt;&gt;"Cancelled",N(AW772)&gt;=Dashboard!$AB$3,N(AW772)&lt;=Dashboard!$AB$3+6),(AW772-40000)*100000+BF772*10000+771,"")</f>
        <v/>
      </c>
      <c r="BN772">
        <f>IF(AND(BH772=1,AZ772&lt;&gt;"Cancelled"),BF772*10000+771,"")</f>
        <v/>
      </c>
    </row>
    <row r="773">
      <c r="AS773" t="inlineStr">
        <is>
          <t>R</t>
        </is>
      </c>
      <c r="AT773" t="n">
        <v>777</v>
      </c>
      <c r="AU773">
        <f>'Recurring Log'!C777&amp;""</f>
        <v/>
      </c>
      <c r="AV773">
        <f>'Recurring Log'!D777&amp;""</f>
        <v/>
      </c>
      <c r="AW773">
        <f>IF('Recurring Log'!E777="","",'Recurring Log'!E777)</f>
        <v/>
      </c>
      <c r="AX773">
        <f>IF('Recurring Log'!G777="","",'Recurring Log'!G777)</f>
        <v/>
      </c>
      <c r="AY773">
        <f>IF('Recurring Log'!H777="","",'Recurring Log'!H777)</f>
        <v/>
      </c>
      <c r="AZ773">
        <f>IF(AU773="","",IF('Recurring Log'!J777="","Not Started",'Recurring Log'!J777))</f>
        <v/>
      </c>
      <c r="BA773">
        <f>'Recurring Log'!L777&amp;""</f>
        <v/>
      </c>
      <c r="BB773">
        <f>'Recurring Log'!M777&amp;""</f>
        <v/>
      </c>
      <c r="BC773">
        <f>'Recurring Log'!N777&amp;""</f>
        <v/>
      </c>
      <c r="BD773">
        <f>'Recurring Log'!O777&amp;""</f>
        <v/>
      </c>
      <c r="BE773">
        <f>IF('Recurring Log'!K777="","",'Recurring Log'!K777)</f>
        <v/>
      </c>
      <c r="BF773">
        <f>IFERROR(MATCH(BA773,Setup!$L$6:$L$9,0),5)</f>
        <v/>
      </c>
      <c r="BG773">
        <f>IF(OR(AZ773="Done",AZ773="Cancelled"),1,0)</f>
        <v/>
      </c>
      <c r="BH773">
        <f>IF(AND(AU773&lt;&gt;"",ISNUMBER(AW773)),1,0)</f>
        <v/>
      </c>
      <c r="BI773">
        <f>IF(BH773=0,0,IF(AND(AW773&gt;='Tasks Filter'!$F$3,AW773&lt;='Tasks Filter'!$F$4,OR('Tasks Filter'!$I$3="",ISNUMBER(SEARCH('Tasks Filter'!$I$3,AU773))),OR('Tasks Filter'!$I$4="",BF773=IFERROR(MATCH('Tasks Filter'!$I$4,Setup!$L$6:$L$9,0),0)),OR('Tasks Filter'!$I$5="Both",AND('Tasks Filter'!$I$5="Yes",BB773="✓"),AND('Tasks Filter'!$I$5="No",BB773&lt;&gt;"✓")),OR('Tasks Filter'!$L$3="",AV773='Tasks Filter'!$L$3),OR('Tasks Filter'!$L$4="",AZ773='Tasks Filter'!$L$4),OR('Tasks Filter'!$L$5="",BC773='Tasks Filter'!$L$5),OR('Tasks Filter'!$O$3="",BD773='Tasks Filter'!$O$3),OR('Tasks Filter'!$O$4="Yes",BG773=0)),1,0))</f>
        <v/>
      </c>
      <c r="BJ773">
        <f>IF(BH773=0,"",IF('Tasks Filter'!$F$6="Descending",-1,1)*CHOOSE(MATCH('Tasks Filter'!$F$5,Lists!$G$2:$G$6,0),AW773,BF773,IFERROR(MATCH(AV773,Setup!$F$6:$F$15,0),99),IFERROR(MATCH(BC773,Setup!$H$6:$H$15,0),99),IFERROR(MATCH(AZ773,Setup!$J$6:$J$11,0),99))*1E+9+(AW773-40000)*10000+772)</f>
        <v/>
      </c>
      <c r="BK773">
        <f>IF(BI773=1,BJ773,"")</f>
        <v/>
      </c>
      <c r="BL773">
        <f>IF(AND(BH773=1,BG773=0,N(AW773)&lt;Setup!$D$7),(AW773-40000)*10000+772,"")</f>
        <v/>
      </c>
      <c r="BM773">
        <f>IF(AND(BH773=1,AZ773&lt;&gt;"Cancelled",N(AW773)&gt;=Dashboard!$AB$3,N(AW773)&lt;=Dashboard!$AB$3+6),(AW773-40000)*100000+BF773*10000+772,"")</f>
        <v/>
      </c>
      <c r="BN773">
        <f>IF(AND(BH773=1,AZ773&lt;&gt;"Cancelled"),BF773*10000+772,"")</f>
        <v/>
      </c>
    </row>
    <row r="774">
      <c r="AS774" t="inlineStr">
        <is>
          <t>R</t>
        </is>
      </c>
      <c r="AT774" t="n">
        <v>778</v>
      </c>
      <c r="AU774">
        <f>'Recurring Log'!C778&amp;""</f>
        <v/>
      </c>
      <c r="AV774">
        <f>'Recurring Log'!D778&amp;""</f>
        <v/>
      </c>
      <c r="AW774">
        <f>IF('Recurring Log'!E778="","",'Recurring Log'!E778)</f>
        <v/>
      </c>
      <c r="AX774">
        <f>IF('Recurring Log'!G778="","",'Recurring Log'!G778)</f>
        <v/>
      </c>
      <c r="AY774">
        <f>IF('Recurring Log'!H778="","",'Recurring Log'!H778)</f>
        <v/>
      </c>
      <c r="AZ774">
        <f>IF(AU774="","",IF('Recurring Log'!J778="","Not Started",'Recurring Log'!J778))</f>
        <v/>
      </c>
      <c r="BA774">
        <f>'Recurring Log'!L778&amp;""</f>
        <v/>
      </c>
      <c r="BB774">
        <f>'Recurring Log'!M778&amp;""</f>
        <v/>
      </c>
      <c r="BC774">
        <f>'Recurring Log'!N778&amp;""</f>
        <v/>
      </c>
      <c r="BD774">
        <f>'Recurring Log'!O778&amp;""</f>
        <v/>
      </c>
      <c r="BE774">
        <f>IF('Recurring Log'!K778="","",'Recurring Log'!K778)</f>
        <v/>
      </c>
      <c r="BF774">
        <f>IFERROR(MATCH(BA774,Setup!$L$6:$L$9,0),5)</f>
        <v/>
      </c>
      <c r="BG774">
        <f>IF(OR(AZ774="Done",AZ774="Cancelled"),1,0)</f>
        <v/>
      </c>
      <c r="BH774">
        <f>IF(AND(AU774&lt;&gt;"",ISNUMBER(AW774)),1,0)</f>
        <v/>
      </c>
      <c r="BI774">
        <f>IF(BH774=0,0,IF(AND(AW774&gt;='Tasks Filter'!$F$3,AW774&lt;='Tasks Filter'!$F$4,OR('Tasks Filter'!$I$3="",ISNUMBER(SEARCH('Tasks Filter'!$I$3,AU774))),OR('Tasks Filter'!$I$4="",BF774=IFERROR(MATCH('Tasks Filter'!$I$4,Setup!$L$6:$L$9,0),0)),OR('Tasks Filter'!$I$5="Both",AND('Tasks Filter'!$I$5="Yes",BB774="✓"),AND('Tasks Filter'!$I$5="No",BB774&lt;&gt;"✓")),OR('Tasks Filter'!$L$3="",AV774='Tasks Filter'!$L$3),OR('Tasks Filter'!$L$4="",AZ774='Tasks Filter'!$L$4),OR('Tasks Filter'!$L$5="",BC774='Tasks Filter'!$L$5),OR('Tasks Filter'!$O$3="",BD774='Tasks Filter'!$O$3),OR('Tasks Filter'!$O$4="Yes",BG774=0)),1,0))</f>
        <v/>
      </c>
      <c r="BJ774">
        <f>IF(BH774=0,"",IF('Tasks Filter'!$F$6="Descending",-1,1)*CHOOSE(MATCH('Tasks Filter'!$F$5,Lists!$G$2:$G$6,0),AW774,BF774,IFERROR(MATCH(AV774,Setup!$F$6:$F$15,0),99),IFERROR(MATCH(BC774,Setup!$H$6:$H$15,0),99),IFERROR(MATCH(AZ774,Setup!$J$6:$J$11,0),99))*1E+9+(AW774-40000)*10000+773)</f>
        <v/>
      </c>
      <c r="BK774">
        <f>IF(BI774=1,BJ774,"")</f>
        <v/>
      </c>
      <c r="BL774">
        <f>IF(AND(BH774=1,BG774=0,N(AW774)&lt;Setup!$D$7),(AW774-40000)*10000+773,"")</f>
        <v/>
      </c>
      <c r="BM774">
        <f>IF(AND(BH774=1,AZ774&lt;&gt;"Cancelled",N(AW774)&gt;=Dashboard!$AB$3,N(AW774)&lt;=Dashboard!$AB$3+6),(AW774-40000)*100000+BF774*10000+773,"")</f>
        <v/>
      </c>
      <c r="BN774">
        <f>IF(AND(BH774=1,AZ774&lt;&gt;"Cancelled"),BF774*10000+773,"")</f>
        <v/>
      </c>
    </row>
    <row r="775">
      <c r="AS775" t="inlineStr">
        <is>
          <t>R</t>
        </is>
      </c>
      <c r="AT775" t="n">
        <v>779</v>
      </c>
      <c r="AU775">
        <f>'Recurring Log'!C779&amp;""</f>
        <v/>
      </c>
      <c r="AV775">
        <f>'Recurring Log'!D779&amp;""</f>
        <v/>
      </c>
      <c r="AW775">
        <f>IF('Recurring Log'!E779="","",'Recurring Log'!E779)</f>
        <v/>
      </c>
      <c r="AX775">
        <f>IF('Recurring Log'!G779="","",'Recurring Log'!G779)</f>
        <v/>
      </c>
      <c r="AY775">
        <f>IF('Recurring Log'!H779="","",'Recurring Log'!H779)</f>
        <v/>
      </c>
      <c r="AZ775">
        <f>IF(AU775="","",IF('Recurring Log'!J779="","Not Started",'Recurring Log'!J779))</f>
        <v/>
      </c>
      <c r="BA775">
        <f>'Recurring Log'!L779&amp;""</f>
        <v/>
      </c>
      <c r="BB775">
        <f>'Recurring Log'!M779&amp;""</f>
        <v/>
      </c>
      <c r="BC775">
        <f>'Recurring Log'!N779&amp;""</f>
        <v/>
      </c>
      <c r="BD775">
        <f>'Recurring Log'!O779&amp;""</f>
        <v/>
      </c>
      <c r="BE775">
        <f>IF('Recurring Log'!K779="","",'Recurring Log'!K779)</f>
        <v/>
      </c>
      <c r="BF775">
        <f>IFERROR(MATCH(BA775,Setup!$L$6:$L$9,0),5)</f>
        <v/>
      </c>
      <c r="BG775">
        <f>IF(OR(AZ775="Done",AZ775="Cancelled"),1,0)</f>
        <v/>
      </c>
      <c r="BH775">
        <f>IF(AND(AU775&lt;&gt;"",ISNUMBER(AW775)),1,0)</f>
        <v/>
      </c>
      <c r="BI775">
        <f>IF(BH775=0,0,IF(AND(AW775&gt;='Tasks Filter'!$F$3,AW775&lt;='Tasks Filter'!$F$4,OR('Tasks Filter'!$I$3="",ISNUMBER(SEARCH('Tasks Filter'!$I$3,AU775))),OR('Tasks Filter'!$I$4="",BF775=IFERROR(MATCH('Tasks Filter'!$I$4,Setup!$L$6:$L$9,0),0)),OR('Tasks Filter'!$I$5="Both",AND('Tasks Filter'!$I$5="Yes",BB775="✓"),AND('Tasks Filter'!$I$5="No",BB775&lt;&gt;"✓")),OR('Tasks Filter'!$L$3="",AV775='Tasks Filter'!$L$3),OR('Tasks Filter'!$L$4="",AZ775='Tasks Filter'!$L$4),OR('Tasks Filter'!$L$5="",BC775='Tasks Filter'!$L$5),OR('Tasks Filter'!$O$3="",BD775='Tasks Filter'!$O$3),OR('Tasks Filter'!$O$4="Yes",BG775=0)),1,0))</f>
        <v/>
      </c>
      <c r="BJ775">
        <f>IF(BH775=0,"",IF('Tasks Filter'!$F$6="Descending",-1,1)*CHOOSE(MATCH('Tasks Filter'!$F$5,Lists!$G$2:$G$6,0),AW775,BF775,IFERROR(MATCH(AV775,Setup!$F$6:$F$15,0),99),IFERROR(MATCH(BC775,Setup!$H$6:$H$15,0),99),IFERROR(MATCH(AZ775,Setup!$J$6:$J$11,0),99))*1E+9+(AW775-40000)*10000+774)</f>
        <v/>
      </c>
      <c r="BK775">
        <f>IF(BI775=1,BJ775,"")</f>
        <v/>
      </c>
      <c r="BL775">
        <f>IF(AND(BH775=1,BG775=0,N(AW775)&lt;Setup!$D$7),(AW775-40000)*10000+774,"")</f>
        <v/>
      </c>
      <c r="BM775">
        <f>IF(AND(BH775=1,AZ775&lt;&gt;"Cancelled",N(AW775)&gt;=Dashboard!$AB$3,N(AW775)&lt;=Dashboard!$AB$3+6),(AW775-40000)*100000+BF775*10000+774,"")</f>
        <v/>
      </c>
      <c r="BN775">
        <f>IF(AND(BH775=1,AZ775&lt;&gt;"Cancelled"),BF775*10000+774,"")</f>
        <v/>
      </c>
    </row>
    <row r="776">
      <c r="AS776" t="inlineStr">
        <is>
          <t>R</t>
        </is>
      </c>
      <c r="AT776" t="n">
        <v>780</v>
      </c>
      <c r="AU776">
        <f>'Recurring Log'!C780&amp;""</f>
        <v/>
      </c>
      <c r="AV776">
        <f>'Recurring Log'!D780&amp;""</f>
        <v/>
      </c>
      <c r="AW776">
        <f>IF('Recurring Log'!E780="","",'Recurring Log'!E780)</f>
        <v/>
      </c>
      <c r="AX776">
        <f>IF('Recurring Log'!G780="","",'Recurring Log'!G780)</f>
        <v/>
      </c>
      <c r="AY776">
        <f>IF('Recurring Log'!H780="","",'Recurring Log'!H780)</f>
        <v/>
      </c>
      <c r="AZ776">
        <f>IF(AU776="","",IF('Recurring Log'!J780="","Not Started",'Recurring Log'!J780))</f>
        <v/>
      </c>
      <c r="BA776">
        <f>'Recurring Log'!L780&amp;""</f>
        <v/>
      </c>
      <c r="BB776">
        <f>'Recurring Log'!M780&amp;""</f>
        <v/>
      </c>
      <c r="BC776">
        <f>'Recurring Log'!N780&amp;""</f>
        <v/>
      </c>
      <c r="BD776">
        <f>'Recurring Log'!O780&amp;""</f>
        <v/>
      </c>
      <c r="BE776">
        <f>IF('Recurring Log'!K780="","",'Recurring Log'!K780)</f>
        <v/>
      </c>
      <c r="BF776">
        <f>IFERROR(MATCH(BA776,Setup!$L$6:$L$9,0),5)</f>
        <v/>
      </c>
      <c r="BG776">
        <f>IF(OR(AZ776="Done",AZ776="Cancelled"),1,0)</f>
        <v/>
      </c>
      <c r="BH776">
        <f>IF(AND(AU776&lt;&gt;"",ISNUMBER(AW776)),1,0)</f>
        <v/>
      </c>
      <c r="BI776">
        <f>IF(BH776=0,0,IF(AND(AW776&gt;='Tasks Filter'!$F$3,AW776&lt;='Tasks Filter'!$F$4,OR('Tasks Filter'!$I$3="",ISNUMBER(SEARCH('Tasks Filter'!$I$3,AU776))),OR('Tasks Filter'!$I$4="",BF776=IFERROR(MATCH('Tasks Filter'!$I$4,Setup!$L$6:$L$9,0),0)),OR('Tasks Filter'!$I$5="Both",AND('Tasks Filter'!$I$5="Yes",BB776="✓"),AND('Tasks Filter'!$I$5="No",BB776&lt;&gt;"✓")),OR('Tasks Filter'!$L$3="",AV776='Tasks Filter'!$L$3),OR('Tasks Filter'!$L$4="",AZ776='Tasks Filter'!$L$4),OR('Tasks Filter'!$L$5="",BC776='Tasks Filter'!$L$5),OR('Tasks Filter'!$O$3="",BD776='Tasks Filter'!$O$3),OR('Tasks Filter'!$O$4="Yes",BG776=0)),1,0))</f>
        <v/>
      </c>
      <c r="BJ776">
        <f>IF(BH776=0,"",IF('Tasks Filter'!$F$6="Descending",-1,1)*CHOOSE(MATCH('Tasks Filter'!$F$5,Lists!$G$2:$G$6,0),AW776,BF776,IFERROR(MATCH(AV776,Setup!$F$6:$F$15,0),99),IFERROR(MATCH(BC776,Setup!$H$6:$H$15,0),99),IFERROR(MATCH(AZ776,Setup!$J$6:$J$11,0),99))*1E+9+(AW776-40000)*10000+775)</f>
        <v/>
      </c>
      <c r="BK776">
        <f>IF(BI776=1,BJ776,"")</f>
        <v/>
      </c>
      <c r="BL776">
        <f>IF(AND(BH776=1,BG776=0,N(AW776)&lt;Setup!$D$7),(AW776-40000)*10000+775,"")</f>
        <v/>
      </c>
      <c r="BM776">
        <f>IF(AND(BH776=1,AZ776&lt;&gt;"Cancelled",N(AW776)&gt;=Dashboard!$AB$3,N(AW776)&lt;=Dashboard!$AB$3+6),(AW776-40000)*100000+BF776*10000+775,"")</f>
        <v/>
      </c>
      <c r="BN776">
        <f>IF(AND(BH776=1,AZ776&lt;&gt;"Cancelled"),BF776*10000+775,"")</f>
        <v/>
      </c>
    </row>
    <row r="777">
      <c r="AS777" t="inlineStr">
        <is>
          <t>R</t>
        </is>
      </c>
      <c r="AT777" t="n">
        <v>781</v>
      </c>
      <c r="AU777">
        <f>'Recurring Log'!C781&amp;""</f>
        <v/>
      </c>
      <c r="AV777">
        <f>'Recurring Log'!D781&amp;""</f>
        <v/>
      </c>
      <c r="AW777">
        <f>IF('Recurring Log'!E781="","",'Recurring Log'!E781)</f>
        <v/>
      </c>
      <c r="AX777">
        <f>IF('Recurring Log'!G781="","",'Recurring Log'!G781)</f>
        <v/>
      </c>
      <c r="AY777">
        <f>IF('Recurring Log'!H781="","",'Recurring Log'!H781)</f>
        <v/>
      </c>
      <c r="AZ777">
        <f>IF(AU777="","",IF('Recurring Log'!J781="","Not Started",'Recurring Log'!J781))</f>
        <v/>
      </c>
      <c r="BA777">
        <f>'Recurring Log'!L781&amp;""</f>
        <v/>
      </c>
      <c r="BB777">
        <f>'Recurring Log'!M781&amp;""</f>
        <v/>
      </c>
      <c r="BC777">
        <f>'Recurring Log'!N781&amp;""</f>
        <v/>
      </c>
      <c r="BD777">
        <f>'Recurring Log'!O781&amp;""</f>
        <v/>
      </c>
      <c r="BE777">
        <f>IF('Recurring Log'!K781="","",'Recurring Log'!K781)</f>
        <v/>
      </c>
      <c r="BF777">
        <f>IFERROR(MATCH(BA777,Setup!$L$6:$L$9,0),5)</f>
        <v/>
      </c>
      <c r="BG777">
        <f>IF(OR(AZ777="Done",AZ777="Cancelled"),1,0)</f>
        <v/>
      </c>
      <c r="BH777">
        <f>IF(AND(AU777&lt;&gt;"",ISNUMBER(AW777)),1,0)</f>
        <v/>
      </c>
      <c r="BI777">
        <f>IF(BH777=0,0,IF(AND(AW777&gt;='Tasks Filter'!$F$3,AW777&lt;='Tasks Filter'!$F$4,OR('Tasks Filter'!$I$3="",ISNUMBER(SEARCH('Tasks Filter'!$I$3,AU777))),OR('Tasks Filter'!$I$4="",BF777=IFERROR(MATCH('Tasks Filter'!$I$4,Setup!$L$6:$L$9,0),0)),OR('Tasks Filter'!$I$5="Both",AND('Tasks Filter'!$I$5="Yes",BB777="✓"),AND('Tasks Filter'!$I$5="No",BB777&lt;&gt;"✓")),OR('Tasks Filter'!$L$3="",AV777='Tasks Filter'!$L$3),OR('Tasks Filter'!$L$4="",AZ777='Tasks Filter'!$L$4),OR('Tasks Filter'!$L$5="",BC777='Tasks Filter'!$L$5),OR('Tasks Filter'!$O$3="",BD777='Tasks Filter'!$O$3),OR('Tasks Filter'!$O$4="Yes",BG777=0)),1,0))</f>
        <v/>
      </c>
      <c r="BJ777">
        <f>IF(BH777=0,"",IF('Tasks Filter'!$F$6="Descending",-1,1)*CHOOSE(MATCH('Tasks Filter'!$F$5,Lists!$G$2:$G$6,0),AW777,BF777,IFERROR(MATCH(AV777,Setup!$F$6:$F$15,0),99),IFERROR(MATCH(BC777,Setup!$H$6:$H$15,0),99),IFERROR(MATCH(AZ777,Setup!$J$6:$J$11,0),99))*1E+9+(AW777-40000)*10000+776)</f>
        <v/>
      </c>
      <c r="BK777">
        <f>IF(BI777=1,BJ777,"")</f>
        <v/>
      </c>
      <c r="BL777">
        <f>IF(AND(BH777=1,BG777=0,N(AW777)&lt;Setup!$D$7),(AW777-40000)*10000+776,"")</f>
        <v/>
      </c>
      <c r="BM777">
        <f>IF(AND(BH777=1,AZ777&lt;&gt;"Cancelled",N(AW777)&gt;=Dashboard!$AB$3,N(AW777)&lt;=Dashboard!$AB$3+6),(AW777-40000)*100000+BF777*10000+776,"")</f>
        <v/>
      </c>
      <c r="BN777">
        <f>IF(AND(BH777=1,AZ777&lt;&gt;"Cancelled"),BF777*10000+776,"")</f>
        <v/>
      </c>
    </row>
    <row r="778">
      <c r="AS778" t="inlineStr">
        <is>
          <t>R</t>
        </is>
      </c>
      <c r="AT778" t="n">
        <v>782</v>
      </c>
      <c r="AU778">
        <f>'Recurring Log'!C782&amp;""</f>
        <v/>
      </c>
      <c r="AV778">
        <f>'Recurring Log'!D782&amp;""</f>
        <v/>
      </c>
      <c r="AW778">
        <f>IF('Recurring Log'!E782="","",'Recurring Log'!E782)</f>
        <v/>
      </c>
      <c r="AX778">
        <f>IF('Recurring Log'!G782="","",'Recurring Log'!G782)</f>
        <v/>
      </c>
      <c r="AY778">
        <f>IF('Recurring Log'!H782="","",'Recurring Log'!H782)</f>
        <v/>
      </c>
      <c r="AZ778">
        <f>IF(AU778="","",IF('Recurring Log'!J782="","Not Started",'Recurring Log'!J782))</f>
        <v/>
      </c>
      <c r="BA778">
        <f>'Recurring Log'!L782&amp;""</f>
        <v/>
      </c>
      <c r="BB778">
        <f>'Recurring Log'!M782&amp;""</f>
        <v/>
      </c>
      <c r="BC778">
        <f>'Recurring Log'!N782&amp;""</f>
        <v/>
      </c>
      <c r="BD778">
        <f>'Recurring Log'!O782&amp;""</f>
        <v/>
      </c>
      <c r="BE778">
        <f>IF('Recurring Log'!K782="","",'Recurring Log'!K782)</f>
        <v/>
      </c>
      <c r="BF778">
        <f>IFERROR(MATCH(BA778,Setup!$L$6:$L$9,0),5)</f>
        <v/>
      </c>
      <c r="BG778">
        <f>IF(OR(AZ778="Done",AZ778="Cancelled"),1,0)</f>
        <v/>
      </c>
      <c r="BH778">
        <f>IF(AND(AU778&lt;&gt;"",ISNUMBER(AW778)),1,0)</f>
        <v/>
      </c>
      <c r="BI778">
        <f>IF(BH778=0,0,IF(AND(AW778&gt;='Tasks Filter'!$F$3,AW778&lt;='Tasks Filter'!$F$4,OR('Tasks Filter'!$I$3="",ISNUMBER(SEARCH('Tasks Filter'!$I$3,AU778))),OR('Tasks Filter'!$I$4="",BF778=IFERROR(MATCH('Tasks Filter'!$I$4,Setup!$L$6:$L$9,0),0)),OR('Tasks Filter'!$I$5="Both",AND('Tasks Filter'!$I$5="Yes",BB778="✓"),AND('Tasks Filter'!$I$5="No",BB778&lt;&gt;"✓")),OR('Tasks Filter'!$L$3="",AV778='Tasks Filter'!$L$3),OR('Tasks Filter'!$L$4="",AZ778='Tasks Filter'!$L$4),OR('Tasks Filter'!$L$5="",BC778='Tasks Filter'!$L$5),OR('Tasks Filter'!$O$3="",BD778='Tasks Filter'!$O$3),OR('Tasks Filter'!$O$4="Yes",BG778=0)),1,0))</f>
        <v/>
      </c>
      <c r="BJ778">
        <f>IF(BH778=0,"",IF('Tasks Filter'!$F$6="Descending",-1,1)*CHOOSE(MATCH('Tasks Filter'!$F$5,Lists!$G$2:$G$6,0),AW778,BF778,IFERROR(MATCH(AV778,Setup!$F$6:$F$15,0),99),IFERROR(MATCH(BC778,Setup!$H$6:$H$15,0),99),IFERROR(MATCH(AZ778,Setup!$J$6:$J$11,0),99))*1E+9+(AW778-40000)*10000+777)</f>
        <v/>
      </c>
      <c r="BK778">
        <f>IF(BI778=1,BJ778,"")</f>
        <v/>
      </c>
      <c r="BL778">
        <f>IF(AND(BH778=1,BG778=0,N(AW778)&lt;Setup!$D$7),(AW778-40000)*10000+777,"")</f>
        <v/>
      </c>
      <c r="BM778">
        <f>IF(AND(BH778=1,AZ778&lt;&gt;"Cancelled",N(AW778)&gt;=Dashboard!$AB$3,N(AW778)&lt;=Dashboard!$AB$3+6),(AW778-40000)*100000+BF778*10000+777,"")</f>
        <v/>
      </c>
      <c r="BN778">
        <f>IF(AND(BH778=1,AZ778&lt;&gt;"Cancelled"),BF778*10000+777,"")</f>
        <v/>
      </c>
    </row>
    <row r="779">
      <c r="AS779" t="inlineStr">
        <is>
          <t>R</t>
        </is>
      </c>
      <c r="AT779" t="n">
        <v>783</v>
      </c>
      <c r="AU779">
        <f>'Recurring Log'!C783&amp;""</f>
        <v/>
      </c>
      <c r="AV779">
        <f>'Recurring Log'!D783&amp;""</f>
        <v/>
      </c>
      <c r="AW779">
        <f>IF('Recurring Log'!E783="","",'Recurring Log'!E783)</f>
        <v/>
      </c>
      <c r="AX779">
        <f>IF('Recurring Log'!G783="","",'Recurring Log'!G783)</f>
        <v/>
      </c>
      <c r="AY779">
        <f>IF('Recurring Log'!H783="","",'Recurring Log'!H783)</f>
        <v/>
      </c>
      <c r="AZ779">
        <f>IF(AU779="","",IF('Recurring Log'!J783="","Not Started",'Recurring Log'!J783))</f>
        <v/>
      </c>
      <c r="BA779">
        <f>'Recurring Log'!L783&amp;""</f>
        <v/>
      </c>
      <c r="BB779">
        <f>'Recurring Log'!M783&amp;""</f>
        <v/>
      </c>
      <c r="BC779">
        <f>'Recurring Log'!N783&amp;""</f>
        <v/>
      </c>
      <c r="BD779">
        <f>'Recurring Log'!O783&amp;""</f>
        <v/>
      </c>
      <c r="BE779">
        <f>IF('Recurring Log'!K783="","",'Recurring Log'!K783)</f>
        <v/>
      </c>
      <c r="BF779">
        <f>IFERROR(MATCH(BA779,Setup!$L$6:$L$9,0),5)</f>
        <v/>
      </c>
      <c r="BG779">
        <f>IF(OR(AZ779="Done",AZ779="Cancelled"),1,0)</f>
        <v/>
      </c>
      <c r="BH779">
        <f>IF(AND(AU779&lt;&gt;"",ISNUMBER(AW779)),1,0)</f>
        <v/>
      </c>
      <c r="BI779">
        <f>IF(BH779=0,0,IF(AND(AW779&gt;='Tasks Filter'!$F$3,AW779&lt;='Tasks Filter'!$F$4,OR('Tasks Filter'!$I$3="",ISNUMBER(SEARCH('Tasks Filter'!$I$3,AU779))),OR('Tasks Filter'!$I$4="",BF779=IFERROR(MATCH('Tasks Filter'!$I$4,Setup!$L$6:$L$9,0),0)),OR('Tasks Filter'!$I$5="Both",AND('Tasks Filter'!$I$5="Yes",BB779="✓"),AND('Tasks Filter'!$I$5="No",BB779&lt;&gt;"✓")),OR('Tasks Filter'!$L$3="",AV779='Tasks Filter'!$L$3),OR('Tasks Filter'!$L$4="",AZ779='Tasks Filter'!$L$4),OR('Tasks Filter'!$L$5="",BC779='Tasks Filter'!$L$5),OR('Tasks Filter'!$O$3="",BD779='Tasks Filter'!$O$3),OR('Tasks Filter'!$O$4="Yes",BG779=0)),1,0))</f>
        <v/>
      </c>
      <c r="BJ779">
        <f>IF(BH779=0,"",IF('Tasks Filter'!$F$6="Descending",-1,1)*CHOOSE(MATCH('Tasks Filter'!$F$5,Lists!$G$2:$G$6,0),AW779,BF779,IFERROR(MATCH(AV779,Setup!$F$6:$F$15,0),99),IFERROR(MATCH(BC779,Setup!$H$6:$H$15,0),99),IFERROR(MATCH(AZ779,Setup!$J$6:$J$11,0),99))*1E+9+(AW779-40000)*10000+778)</f>
        <v/>
      </c>
      <c r="BK779">
        <f>IF(BI779=1,BJ779,"")</f>
        <v/>
      </c>
      <c r="BL779">
        <f>IF(AND(BH779=1,BG779=0,N(AW779)&lt;Setup!$D$7),(AW779-40000)*10000+778,"")</f>
        <v/>
      </c>
      <c r="BM779">
        <f>IF(AND(BH779=1,AZ779&lt;&gt;"Cancelled",N(AW779)&gt;=Dashboard!$AB$3,N(AW779)&lt;=Dashboard!$AB$3+6),(AW779-40000)*100000+BF779*10000+778,"")</f>
        <v/>
      </c>
      <c r="BN779">
        <f>IF(AND(BH779=1,AZ779&lt;&gt;"Cancelled"),BF779*10000+778,"")</f>
        <v/>
      </c>
    </row>
    <row r="780">
      <c r="AS780" t="inlineStr">
        <is>
          <t>R</t>
        </is>
      </c>
      <c r="AT780" t="n">
        <v>784</v>
      </c>
      <c r="AU780">
        <f>'Recurring Log'!C784&amp;""</f>
        <v/>
      </c>
      <c r="AV780">
        <f>'Recurring Log'!D784&amp;""</f>
        <v/>
      </c>
      <c r="AW780">
        <f>IF('Recurring Log'!E784="","",'Recurring Log'!E784)</f>
        <v/>
      </c>
      <c r="AX780">
        <f>IF('Recurring Log'!G784="","",'Recurring Log'!G784)</f>
        <v/>
      </c>
      <c r="AY780">
        <f>IF('Recurring Log'!H784="","",'Recurring Log'!H784)</f>
        <v/>
      </c>
      <c r="AZ780">
        <f>IF(AU780="","",IF('Recurring Log'!J784="","Not Started",'Recurring Log'!J784))</f>
        <v/>
      </c>
      <c r="BA780">
        <f>'Recurring Log'!L784&amp;""</f>
        <v/>
      </c>
      <c r="BB780">
        <f>'Recurring Log'!M784&amp;""</f>
        <v/>
      </c>
      <c r="BC780">
        <f>'Recurring Log'!N784&amp;""</f>
        <v/>
      </c>
      <c r="BD780">
        <f>'Recurring Log'!O784&amp;""</f>
        <v/>
      </c>
      <c r="BE780">
        <f>IF('Recurring Log'!K784="","",'Recurring Log'!K784)</f>
        <v/>
      </c>
      <c r="BF780">
        <f>IFERROR(MATCH(BA780,Setup!$L$6:$L$9,0),5)</f>
        <v/>
      </c>
      <c r="BG780">
        <f>IF(OR(AZ780="Done",AZ780="Cancelled"),1,0)</f>
        <v/>
      </c>
      <c r="BH780">
        <f>IF(AND(AU780&lt;&gt;"",ISNUMBER(AW780)),1,0)</f>
        <v/>
      </c>
      <c r="BI780">
        <f>IF(BH780=0,0,IF(AND(AW780&gt;='Tasks Filter'!$F$3,AW780&lt;='Tasks Filter'!$F$4,OR('Tasks Filter'!$I$3="",ISNUMBER(SEARCH('Tasks Filter'!$I$3,AU780))),OR('Tasks Filter'!$I$4="",BF780=IFERROR(MATCH('Tasks Filter'!$I$4,Setup!$L$6:$L$9,0),0)),OR('Tasks Filter'!$I$5="Both",AND('Tasks Filter'!$I$5="Yes",BB780="✓"),AND('Tasks Filter'!$I$5="No",BB780&lt;&gt;"✓")),OR('Tasks Filter'!$L$3="",AV780='Tasks Filter'!$L$3),OR('Tasks Filter'!$L$4="",AZ780='Tasks Filter'!$L$4),OR('Tasks Filter'!$L$5="",BC780='Tasks Filter'!$L$5),OR('Tasks Filter'!$O$3="",BD780='Tasks Filter'!$O$3),OR('Tasks Filter'!$O$4="Yes",BG780=0)),1,0))</f>
        <v/>
      </c>
      <c r="BJ780">
        <f>IF(BH780=0,"",IF('Tasks Filter'!$F$6="Descending",-1,1)*CHOOSE(MATCH('Tasks Filter'!$F$5,Lists!$G$2:$G$6,0),AW780,BF780,IFERROR(MATCH(AV780,Setup!$F$6:$F$15,0),99),IFERROR(MATCH(BC780,Setup!$H$6:$H$15,0),99),IFERROR(MATCH(AZ780,Setup!$J$6:$J$11,0),99))*1E+9+(AW780-40000)*10000+779)</f>
        <v/>
      </c>
      <c r="BK780">
        <f>IF(BI780=1,BJ780,"")</f>
        <v/>
      </c>
      <c r="BL780">
        <f>IF(AND(BH780=1,BG780=0,N(AW780)&lt;Setup!$D$7),(AW780-40000)*10000+779,"")</f>
        <v/>
      </c>
      <c r="BM780">
        <f>IF(AND(BH780=1,AZ780&lt;&gt;"Cancelled",N(AW780)&gt;=Dashboard!$AB$3,N(AW780)&lt;=Dashboard!$AB$3+6),(AW780-40000)*100000+BF780*10000+779,"")</f>
        <v/>
      </c>
      <c r="BN780">
        <f>IF(AND(BH780=1,AZ780&lt;&gt;"Cancelled"),BF780*10000+779,"")</f>
        <v/>
      </c>
    </row>
    <row r="781">
      <c r="AS781" t="inlineStr">
        <is>
          <t>R</t>
        </is>
      </c>
      <c r="AT781" t="n">
        <v>785</v>
      </c>
      <c r="AU781">
        <f>'Recurring Log'!C785&amp;""</f>
        <v/>
      </c>
      <c r="AV781">
        <f>'Recurring Log'!D785&amp;""</f>
        <v/>
      </c>
      <c r="AW781">
        <f>IF('Recurring Log'!E785="","",'Recurring Log'!E785)</f>
        <v/>
      </c>
      <c r="AX781">
        <f>IF('Recurring Log'!G785="","",'Recurring Log'!G785)</f>
        <v/>
      </c>
      <c r="AY781">
        <f>IF('Recurring Log'!H785="","",'Recurring Log'!H785)</f>
        <v/>
      </c>
      <c r="AZ781">
        <f>IF(AU781="","",IF('Recurring Log'!J785="","Not Started",'Recurring Log'!J785))</f>
        <v/>
      </c>
      <c r="BA781">
        <f>'Recurring Log'!L785&amp;""</f>
        <v/>
      </c>
      <c r="BB781">
        <f>'Recurring Log'!M785&amp;""</f>
        <v/>
      </c>
      <c r="BC781">
        <f>'Recurring Log'!N785&amp;""</f>
        <v/>
      </c>
      <c r="BD781">
        <f>'Recurring Log'!O785&amp;""</f>
        <v/>
      </c>
      <c r="BE781">
        <f>IF('Recurring Log'!K785="","",'Recurring Log'!K785)</f>
        <v/>
      </c>
      <c r="BF781">
        <f>IFERROR(MATCH(BA781,Setup!$L$6:$L$9,0),5)</f>
        <v/>
      </c>
      <c r="BG781">
        <f>IF(OR(AZ781="Done",AZ781="Cancelled"),1,0)</f>
        <v/>
      </c>
      <c r="BH781">
        <f>IF(AND(AU781&lt;&gt;"",ISNUMBER(AW781)),1,0)</f>
        <v/>
      </c>
      <c r="BI781">
        <f>IF(BH781=0,0,IF(AND(AW781&gt;='Tasks Filter'!$F$3,AW781&lt;='Tasks Filter'!$F$4,OR('Tasks Filter'!$I$3="",ISNUMBER(SEARCH('Tasks Filter'!$I$3,AU781))),OR('Tasks Filter'!$I$4="",BF781=IFERROR(MATCH('Tasks Filter'!$I$4,Setup!$L$6:$L$9,0),0)),OR('Tasks Filter'!$I$5="Both",AND('Tasks Filter'!$I$5="Yes",BB781="✓"),AND('Tasks Filter'!$I$5="No",BB781&lt;&gt;"✓")),OR('Tasks Filter'!$L$3="",AV781='Tasks Filter'!$L$3),OR('Tasks Filter'!$L$4="",AZ781='Tasks Filter'!$L$4),OR('Tasks Filter'!$L$5="",BC781='Tasks Filter'!$L$5),OR('Tasks Filter'!$O$3="",BD781='Tasks Filter'!$O$3),OR('Tasks Filter'!$O$4="Yes",BG781=0)),1,0))</f>
        <v/>
      </c>
      <c r="BJ781">
        <f>IF(BH781=0,"",IF('Tasks Filter'!$F$6="Descending",-1,1)*CHOOSE(MATCH('Tasks Filter'!$F$5,Lists!$G$2:$G$6,0),AW781,BF781,IFERROR(MATCH(AV781,Setup!$F$6:$F$15,0),99),IFERROR(MATCH(BC781,Setup!$H$6:$H$15,0),99),IFERROR(MATCH(AZ781,Setup!$J$6:$J$11,0),99))*1E+9+(AW781-40000)*10000+780)</f>
        <v/>
      </c>
      <c r="BK781">
        <f>IF(BI781=1,BJ781,"")</f>
        <v/>
      </c>
      <c r="BL781">
        <f>IF(AND(BH781=1,BG781=0,N(AW781)&lt;Setup!$D$7),(AW781-40000)*10000+780,"")</f>
        <v/>
      </c>
      <c r="BM781">
        <f>IF(AND(BH781=1,AZ781&lt;&gt;"Cancelled",N(AW781)&gt;=Dashboard!$AB$3,N(AW781)&lt;=Dashboard!$AB$3+6),(AW781-40000)*100000+BF781*10000+780,"")</f>
        <v/>
      </c>
      <c r="BN781">
        <f>IF(AND(BH781=1,AZ781&lt;&gt;"Cancelled"),BF781*10000+780,"")</f>
        <v/>
      </c>
    </row>
    <row r="782">
      <c r="AS782" t="inlineStr">
        <is>
          <t>R</t>
        </is>
      </c>
      <c r="AT782" t="n">
        <v>786</v>
      </c>
      <c r="AU782">
        <f>'Recurring Log'!C786&amp;""</f>
        <v/>
      </c>
      <c r="AV782">
        <f>'Recurring Log'!D786&amp;""</f>
        <v/>
      </c>
      <c r="AW782">
        <f>IF('Recurring Log'!E786="","",'Recurring Log'!E786)</f>
        <v/>
      </c>
      <c r="AX782">
        <f>IF('Recurring Log'!G786="","",'Recurring Log'!G786)</f>
        <v/>
      </c>
      <c r="AY782">
        <f>IF('Recurring Log'!H786="","",'Recurring Log'!H786)</f>
        <v/>
      </c>
      <c r="AZ782">
        <f>IF(AU782="","",IF('Recurring Log'!J786="","Not Started",'Recurring Log'!J786))</f>
        <v/>
      </c>
      <c r="BA782">
        <f>'Recurring Log'!L786&amp;""</f>
        <v/>
      </c>
      <c r="BB782">
        <f>'Recurring Log'!M786&amp;""</f>
        <v/>
      </c>
      <c r="BC782">
        <f>'Recurring Log'!N786&amp;""</f>
        <v/>
      </c>
      <c r="BD782">
        <f>'Recurring Log'!O786&amp;""</f>
        <v/>
      </c>
      <c r="BE782">
        <f>IF('Recurring Log'!K786="","",'Recurring Log'!K786)</f>
        <v/>
      </c>
      <c r="BF782">
        <f>IFERROR(MATCH(BA782,Setup!$L$6:$L$9,0),5)</f>
        <v/>
      </c>
      <c r="BG782">
        <f>IF(OR(AZ782="Done",AZ782="Cancelled"),1,0)</f>
        <v/>
      </c>
      <c r="BH782">
        <f>IF(AND(AU782&lt;&gt;"",ISNUMBER(AW782)),1,0)</f>
        <v/>
      </c>
      <c r="BI782">
        <f>IF(BH782=0,0,IF(AND(AW782&gt;='Tasks Filter'!$F$3,AW782&lt;='Tasks Filter'!$F$4,OR('Tasks Filter'!$I$3="",ISNUMBER(SEARCH('Tasks Filter'!$I$3,AU782))),OR('Tasks Filter'!$I$4="",BF782=IFERROR(MATCH('Tasks Filter'!$I$4,Setup!$L$6:$L$9,0),0)),OR('Tasks Filter'!$I$5="Both",AND('Tasks Filter'!$I$5="Yes",BB782="✓"),AND('Tasks Filter'!$I$5="No",BB782&lt;&gt;"✓")),OR('Tasks Filter'!$L$3="",AV782='Tasks Filter'!$L$3),OR('Tasks Filter'!$L$4="",AZ782='Tasks Filter'!$L$4),OR('Tasks Filter'!$L$5="",BC782='Tasks Filter'!$L$5),OR('Tasks Filter'!$O$3="",BD782='Tasks Filter'!$O$3),OR('Tasks Filter'!$O$4="Yes",BG782=0)),1,0))</f>
        <v/>
      </c>
      <c r="BJ782">
        <f>IF(BH782=0,"",IF('Tasks Filter'!$F$6="Descending",-1,1)*CHOOSE(MATCH('Tasks Filter'!$F$5,Lists!$G$2:$G$6,0),AW782,BF782,IFERROR(MATCH(AV782,Setup!$F$6:$F$15,0),99),IFERROR(MATCH(BC782,Setup!$H$6:$H$15,0),99),IFERROR(MATCH(AZ782,Setup!$J$6:$J$11,0),99))*1E+9+(AW782-40000)*10000+781)</f>
        <v/>
      </c>
      <c r="BK782">
        <f>IF(BI782=1,BJ782,"")</f>
        <v/>
      </c>
      <c r="BL782">
        <f>IF(AND(BH782=1,BG782=0,N(AW782)&lt;Setup!$D$7),(AW782-40000)*10000+781,"")</f>
        <v/>
      </c>
      <c r="BM782">
        <f>IF(AND(BH782=1,AZ782&lt;&gt;"Cancelled",N(AW782)&gt;=Dashboard!$AB$3,N(AW782)&lt;=Dashboard!$AB$3+6),(AW782-40000)*100000+BF782*10000+781,"")</f>
        <v/>
      </c>
      <c r="BN782">
        <f>IF(AND(BH782=1,AZ782&lt;&gt;"Cancelled"),BF782*10000+781,"")</f>
        <v/>
      </c>
    </row>
    <row r="783">
      <c r="AS783" t="inlineStr">
        <is>
          <t>R</t>
        </is>
      </c>
      <c r="AT783" t="n">
        <v>787</v>
      </c>
      <c r="AU783">
        <f>'Recurring Log'!C787&amp;""</f>
        <v/>
      </c>
      <c r="AV783">
        <f>'Recurring Log'!D787&amp;""</f>
        <v/>
      </c>
      <c r="AW783">
        <f>IF('Recurring Log'!E787="","",'Recurring Log'!E787)</f>
        <v/>
      </c>
      <c r="AX783">
        <f>IF('Recurring Log'!G787="","",'Recurring Log'!G787)</f>
        <v/>
      </c>
      <c r="AY783">
        <f>IF('Recurring Log'!H787="","",'Recurring Log'!H787)</f>
        <v/>
      </c>
      <c r="AZ783">
        <f>IF(AU783="","",IF('Recurring Log'!J787="","Not Started",'Recurring Log'!J787))</f>
        <v/>
      </c>
      <c r="BA783">
        <f>'Recurring Log'!L787&amp;""</f>
        <v/>
      </c>
      <c r="BB783">
        <f>'Recurring Log'!M787&amp;""</f>
        <v/>
      </c>
      <c r="BC783">
        <f>'Recurring Log'!N787&amp;""</f>
        <v/>
      </c>
      <c r="BD783">
        <f>'Recurring Log'!O787&amp;""</f>
        <v/>
      </c>
      <c r="BE783">
        <f>IF('Recurring Log'!K787="","",'Recurring Log'!K787)</f>
        <v/>
      </c>
      <c r="BF783">
        <f>IFERROR(MATCH(BA783,Setup!$L$6:$L$9,0),5)</f>
        <v/>
      </c>
      <c r="BG783">
        <f>IF(OR(AZ783="Done",AZ783="Cancelled"),1,0)</f>
        <v/>
      </c>
      <c r="BH783">
        <f>IF(AND(AU783&lt;&gt;"",ISNUMBER(AW783)),1,0)</f>
        <v/>
      </c>
      <c r="BI783">
        <f>IF(BH783=0,0,IF(AND(AW783&gt;='Tasks Filter'!$F$3,AW783&lt;='Tasks Filter'!$F$4,OR('Tasks Filter'!$I$3="",ISNUMBER(SEARCH('Tasks Filter'!$I$3,AU783))),OR('Tasks Filter'!$I$4="",BF783=IFERROR(MATCH('Tasks Filter'!$I$4,Setup!$L$6:$L$9,0),0)),OR('Tasks Filter'!$I$5="Both",AND('Tasks Filter'!$I$5="Yes",BB783="✓"),AND('Tasks Filter'!$I$5="No",BB783&lt;&gt;"✓")),OR('Tasks Filter'!$L$3="",AV783='Tasks Filter'!$L$3),OR('Tasks Filter'!$L$4="",AZ783='Tasks Filter'!$L$4),OR('Tasks Filter'!$L$5="",BC783='Tasks Filter'!$L$5),OR('Tasks Filter'!$O$3="",BD783='Tasks Filter'!$O$3),OR('Tasks Filter'!$O$4="Yes",BG783=0)),1,0))</f>
        <v/>
      </c>
      <c r="BJ783">
        <f>IF(BH783=0,"",IF('Tasks Filter'!$F$6="Descending",-1,1)*CHOOSE(MATCH('Tasks Filter'!$F$5,Lists!$G$2:$G$6,0),AW783,BF783,IFERROR(MATCH(AV783,Setup!$F$6:$F$15,0),99),IFERROR(MATCH(BC783,Setup!$H$6:$H$15,0),99),IFERROR(MATCH(AZ783,Setup!$J$6:$J$11,0),99))*1E+9+(AW783-40000)*10000+782)</f>
        <v/>
      </c>
      <c r="BK783">
        <f>IF(BI783=1,BJ783,"")</f>
        <v/>
      </c>
      <c r="BL783">
        <f>IF(AND(BH783=1,BG783=0,N(AW783)&lt;Setup!$D$7),(AW783-40000)*10000+782,"")</f>
        <v/>
      </c>
      <c r="BM783">
        <f>IF(AND(BH783=1,AZ783&lt;&gt;"Cancelled",N(AW783)&gt;=Dashboard!$AB$3,N(AW783)&lt;=Dashboard!$AB$3+6),(AW783-40000)*100000+BF783*10000+782,"")</f>
        <v/>
      </c>
      <c r="BN783">
        <f>IF(AND(BH783=1,AZ783&lt;&gt;"Cancelled"),BF783*10000+782,"")</f>
        <v/>
      </c>
    </row>
    <row r="784">
      <c r="AS784" t="inlineStr">
        <is>
          <t>R</t>
        </is>
      </c>
      <c r="AT784" t="n">
        <v>788</v>
      </c>
      <c r="AU784">
        <f>'Recurring Log'!C788&amp;""</f>
        <v/>
      </c>
      <c r="AV784">
        <f>'Recurring Log'!D788&amp;""</f>
        <v/>
      </c>
      <c r="AW784">
        <f>IF('Recurring Log'!E788="","",'Recurring Log'!E788)</f>
        <v/>
      </c>
      <c r="AX784">
        <f>IF('Recurring Log'!G788="","",'Recurring Log'!G788)</f>
        <v/>
      </c>
      <c r="AY784">
        <f>IF('Recurring Log'!H788="","",'Recurring Log'!H788)</f>
        <v/>
      </c>
      <c r="AZ784">
        <f>IF(AU784="","",IF('Recurring Log'!J788="","Not Started",'Recurring Log'!J788))</f>
        <v/>
      </c>
      <c r="BA784">
        <f>'Recurring Log'!L788&amp;""</f>
        <v/>
      </c>
      <c r="BB784">
        <f>'Recurring Log'!M788&amp;""</f>
        <v/>
      </c>
      <c r="BC784">
        <f>'Recurring Log'!N788&amp;""</f>
        <v/>
      </c>
      <c r="BD784">
        <f>'Recurring Log'!O788&amp;""</f>
        <v/>
      </c>
      <c r="BE784">
        <f>IF('Recurring Log'!K788="","",'Recurring Log'!K788)</f>
        <v/>
      </c>
      <c r="BF784">
        <f>IFERROR(MATCH(BA784,Setup!$L$6:$L$9,0),5)</f>
        <v/>
      </c>
      <c r="BG784">
        <f>IF(OR(AZ784="Done",AZ784="Cancelled"),1,0)</f>
        <v/>
      </c>
      <c r="BH784">
        <f>IF(AND(AU784&lt;&gt;"",ISNUMBER(AW784)),1,0)</f>
        <v/>
      </c>
      <c r="BI784">
        <f>IF(BH784=0,0,IF(AND(AW784&gt;='Tasks Filter'!$F$3,AW784&lt;='Tasks Filter'!$F$4,OR('Tasks Filter'!$I$3="",ISNUMBER(SEARCH('Tasks Filter'!$I$3,AU784))),OR('Tasks Filter'!$I$4="",BF784=IFERROR(MATCH('Tasks Filter'!$I$4,Setup!$L$6:$L$9,0),0)),OR('Tasks Filter'!$I$5="Both",AND('Tasks Filter'!$I$5="Yes",BB784="✓"),AND('Tasks Filter'!$I$5="No",BB784&lt;&gt;"✓")),OR('Tasks Filter'!$L$3="",AV784='Tasks Filter'!$L$3),OR('Tasks Filter'!$L$4="",AZ784='Tasks Filter'!$L$4),OR('Tasks Filter'!$L$5="",BC784='Tasks Filter'!$L$5),OR('Tasks Filter'!$O$3="",BD784='Tasks Filter'!$O$3),OR('Tasks Filter'!$O$4="Yes",BG784=0)),1,0))</f>
        <v/>
      </c>
      <c r="BJ784">
        <f>IF(BH784=0,"",IF('Tasks Filter'!$F$6="Descending",-1,1)*CHOOSE(MATCH('Tasks Filter'!$F$5,Lists!$G$2:$G$6,0),AW784,BF784,IFERROR(MATCH(AV784,Setup!$F$6:$F$15,0),99),IFERROR(MATCH(BC784,Setup!$H$6:$H$15,0),99),IFERROR(MATCH(AZ784,Setup!$J$6:$J$11,0),99))*1E+9+(AW784-40000)*10000+783)</f>
        <v/>
      </c>
      <c r="BK784">
        <f>IF(BI784=1,BJ784,"")</f>
        <v/>
      </c>
      <c r="BL784">
        <f>IF(AND(BH784=1,BG784=0,N(AW784)&lt;Setup!$D$7),(AW784-40000)*10000+783,"")</f>
        <v/>
      </c>
      <c r="BM784">
        <f>IF(AND(BH784=1,AZ784&lt;&gt;"Cancelled",N(AW784)&gt;=Dashboard!$AB$3,N(AW784)&lt;=Dashboard!$AB$3+6),(AW784-40000)*100000+BF784*10000+783,"")</f>
        <v/>
      </c>
      <c r="BN784">
        <f>IF(AND(BH784=1,AZ784&lt;&gt;"Cancelled"),BF784*10000+783,"")</f>
        <v/>
      </c>
    </row>
    <row r="785">
      <c r="AS785" t="inlineStr">
        <is>
          <t>R</t>
        </is>
      </c>
      <c r="AT785" t="n">
        <v>789</v>
      </c>
      <c r="AU785">
        <f>'Recurring Log'!C789&amp;""</f>
        <v/>
      </c>
      <c r="AV785">
        <f>'Recurring Log'!D789&amp;""</f>
        <v/>
      </c>
      <c r="AW785">
        <f>IF('Recurring Log'!E789="","",'Recurring Log'!E789)</f>
        <v/>
      </c>
      <c r="AX785">
        <f>IF('Recurring Log'!G789="","",'Recurring Log'!G789)</f>
        <v/>
      </c>
      <c r="AY785">
        <f>IF('Recurring Log'!H789="","",'Recurring Log'!H789)</f>
        <v/>
      </c>
      <c r="AZ785">
        <f>IF(AU785="","",IF('Recurring Log'!J789="","Not Started",'Recurring Log'!J789))</f>
        <v/>
      </c>
      <c r="BA785">
        <f>'Recurring Log'!L789&amp;""</f>
        <v/>
      </c>
      <c r="BB785">
        <f>'Recurring Log'!M789&amp;""</f>
        <v/>
      </c>
      <c r="BC785">
        <f>'Recurring Log'!N789&amp;""</f>
        <v/>
      </c>
      <c r="BD785">
        <f>'Recurring Log'!O789&amp;""</f>
        <v/>
      </c>
      <c r="BE785">
        <f>IF('Recurring Log'!K789="","",'Recurring Log'!K789)</f>
        <v/>
      </c>
      <c r="BF785">
        <f>IFERROR(MATCH(BA785,Setup!$L$6:$L$9,0),5)</f>
        <v/>
      </c>
      <c r="BG785">
        <f>IF(OR(AZ785="Done",AZ785="Cancelled"),1,0)</f>
        <v/>
      </c>
      <c r="BH785">
        <f>IF(AND(AU785&lt;&gt;"",ISNUMBER(AW785)),1,0)</f>
        <v/>
      </c>
      <c r="BI785">
        <f>IF(BH785=0,0,IF(AND(AW785&gt;='Tasks Filter'!$F$3,AW785&lt;='Tasks Filter'!$F$4,OR('Tasks Filter'!$I$3="",ISNUMBER(SEARCH('Tasks Filter'!$I$3,AU785))),OR('Tasks Filter'!$I$4="",BF785=IFERROR(MATCH('Tasks Filter'!$I$4,Setup!$L$6:$L$9,0),0)),OR('Tasks Filter'!$I$5="Both",AND('Tasks Filter'!$I$5="Yes",BB785="✓"),AND('Tasks Filter'!$I$5="No",BB785&lt;&gt;"✓")),OR('Tasks Filter'!$L$3="",AV785='Tasks Filter'!$L$3),OR('Tasks Filter'!$L$4="",AZ785='Tasks Filter'!$L$4),OR('Tasks Filter'!$L$5="",BC785='Tasks Filter'!$L$5),OR('Tasks Filter'!$O$3="",BD785='Tasks Filter'!$O$3),OR('Tasks Filter'!$O$4="Yes",BG785=0)),1,0))</f>
        <v/>
      </c>
      <c r="BJ785">
        <f>IF(BH785=0,"",IF('Tasks Filter'!$F$6="Descending",-1,1)*CHOOSE(MATCH('Tasks Filter'!$F$5,Lists!$G$2:$G$6,0),AW785,BF785,IFERROR(MATCH(AV785,Setup!$F$6:$F$15,0),99),IFERROR(MATCH(BC785,Setup!$H$6:$H$15,0),99),IFERROR(MATCH(AZ785,Setup!$J$6:$J$11,0),99))*1E+9+(AW785-40000)*10000+784)</f>
        <v/>
      </c>
      <c r="BK785">
        <f>IF(BI785=1,BJ785,"")</f>
        <v/>
      </c>
      <c r="BL785">
        <f>IF(AND(BH785=1,BG785=0,N(AW785)&lt;Setup!$D$7),(AW785-40000)*10000+784,"")</f>
        <v/>
      </c>
      <c r="BM785">
        <f>IF(AND(BH785=1,AZ785&lt;&gt;"Cancelled",N(AW785)&gt;=Dashboard!$AB$3,N(AW785)&lt;=Dashboard!$AB$3+6),(AW785-40000)*100000+BF785*10000+784,"")</f>
        <v/>
      </c>
      <c r="BN785">
        <f>IF(AND(BH785=1,AZ785&lt;&gt;"Cancelled"),BF785*10000+784,"")</f>
        <v/>
      </c>
    </row>
    <row r="786">
      <c r="AS786" t="inlineStr">
        <is>
          <t>R</t>
        </is>
      </c>
      <c r="AT786" t="n">
        <v>790</v>
      </c>
      <c r="AU786">
        <f>'Recurring Log'!C790&amp;""</f>
        <v/>
      </c>
      <c r="AV786">
        <f>'Recurring Log'!D790&amp;""</f>
        <v/>
      </c>
      <c r="AW786">
        <f>IF('Recurring Log'!E790="","",'Recurring Log'!E790)</f>
        <v/>
      </c>
      <c r="AX786">
        <f>IF('Recurring Log'!G790="","",'Recurring Log'!G790)</f>
        <v/>
      </c>
      <c r="AY786">
        <f>IF('Recurring Log'!H790="","",'Recurring Log'!H790)</f>
        <v/>
      </c>
      <c r="AZ786">
        <f>IF(AU786="","",IF('Recurring Log'!J790="","Not Started",'Recurring Log'!J790))</f>
        <v/>
      </c>
      <c r="BA786">
        <f>'Recurring Log'!L790&amp;""</f>
        <v/>
      </c>
      <c r="BB786">
        <f>'Recurring Log'!M790&amp;""</f>
        <v/>
      </c>
      <c r="BC786">
        <f>'Recurring Log'!N790&amp;""</f>
        <v/>
      </c>
      <c r="BD786">
        <f>'Recurring Log'!O790&amp;""</f>
        <v/>
      </c>
      <c r="BE786">
        <f>IF('Recurring Log'!K790="","",'Recurring Log'!K790)</f>
        <v/>
      </c>
      <c r="BF786">
        <f>IFERROR(MATCH(BA786,Setup!$L$6:$L$9,0),5)</f>
        <v/>
      </c>
      <c r="BG786">
        <f>IF(OR(AZ786="Done",AZ786="Cancelled"),1,0)</f>
        <v/>
      </c>
      <c r="BH786">
        <f>IF(AND(AU786&lt;&gt;"",ISNUMBER(AW786)),1,0)</f>
        <v/>
      </c>
      <c r="BI786">
        <f>IF(BH786=0,0,IF(AND(AW786&gt;='Tasks Filter'!$F$3,AW786&lt;='Tasks Filter'!$F$4,OR('Tasks Filter'!$I$3="",ISNUMBER(SEARCH('Tasks Filter'!$I$3,AU786))),OR('Tasks Filter'!$I$4="",BF786=IFERROR(MATCH('Tasks Filter'!$I$4,Setup!$L$6:$L$9,0),0)),OR('Tasks Filter'!$I$5="Both",AND('Tasks Filter'!$I$5="Yes",BB786="✓"),AND('Tasks Filter'!$I$5="No",BB786&lt;&gt;"✓")),OR('Tasks Filter'!$L$3="",AV786='Tasks Filter'!$L$3),OR('Tasks Filter'!$L$4="",AZ786='Tasks Filter'!$L$4),OR('Tasks Filter'!$L$5="",BC786='Tasks Filter'!$L$5),OR('Tasks Filter'!$O$3="",BD786='Tasks Filter'!$O$3),OR('Tasks Filter'!$O$4="Yes",BG786=0)),1,0))</f>
        <v/>
      </c>
      <c r="BJ786">
        <f>IF(BH786=0,"",IF('Tasks Filter'!$F$6="Descending",-1,1)*CHOOSE(MATCH('Tasks Filter'!$F$5,Lists!$G$2:$G$6,0),AW786,BF786,IFERROR(MATCH(AV786,Setup!$F$6:$F$15,0),99),IFERROR(MATCH(BC786,Setup!$H$6:$H$15,0),99),IFERROR(MATCH(AZ786,Setup!$J$6:$J$11,0),99))*1E+9+(AW786-40000)*10000+785)</f>
        <v/>
      </c>
      <c r="BK786">
        <f>IF(BI786=1,BJ786,"")</f>
        <v/>
      </c>
      <c r="BL786">
        <f>IF(AND(BH786=1,BG786=0,N(AW786)&lt;Setup!$D$7),(AW786-40000)*10000+785,"")</f>
        <v/>
      </c>
      <c r="BM786">
        <f>IF(AND(BH786=1,AZ786&lt;&gt;"Cancelled",N(AW786)&gt;=Dashboard!$AB$3,N(AW786)&lt;=Dashboard!$AB$3+6),(AW786-40000)*100000+BF786*10000+785,"")</f>
        <v/>
      </c>
      <c r="BN786">
        <f>IF(AND(BH786=1,AZ786&lt;&gt;"Cancelled"),BF786*10000+785,"")</f>
        <v/>
      </c>
    </row>
    <row r="787">
      <c r="AS787" t="inlineStr">
        <is>
          <t>R</t>
        </is>
      </c>
      <c r="AT787" t="n">
        <v>791</v>
      </c>
      <c r="AU787">
        <f>'Recurring Log'!C791&amp;""</f>
        <v/>
      </c>
      <c r="AV787">
        <f>'Recurring Log'!D791&amp;""</f>
        <v/>
      </c>
      <c r="AW787">
        <f>IF('Recurring Log'!E791="","",'Recurring Log'!E791)</f>
        <v/>
      </c>
      <c r="AX787">
        <f>IF('Recurring Log'!G791="","",'Recurring Log'!G791)</f>
        <v/>
      </c>
      <c r="AY787">
        <f>IF('Recurring Log'!H791="","",'Recurring Log'!H791)</f>
        <v/>
      </c>
      <c r="AZ787">
        <f>IF(AU787="","",IF('Recurring Log'!J791="","Not Started",'Recurring Log'!J791))</f>
        <v/>
      </c>
      <c r="BA787">
        <f>'Recurring Log'!L791&amp;""</f>
        <v/>
      </c>
      <c r="BB787">
        <f>'Recurring Log'!M791&amp;""</f>
        <v/>
      </c>
      <c r="BC787">
        <f>'Recurring Log'!N791&amp;""</f>
        <v/>
      </c>
      <c r="BD787">
        <f>'Recurring Log'!O791&amp;""</f>
        <v/>
      </c>
      <c r="BE787">
        <f>IF('Recurring Log'!K791="","",'Recurring Log'!K791)</f>
        <v/>
      </c>
      <c r="BF787">
        <f>IFERROR(MATCH(BA787,Setup!$L$6:$L$9,0),5)</f>
        <v/>
      </c>
      <c r="BG787">
        <f>IF(OR(AZ787="Done",AZ787="Cancelled"),1,0)</f>
        <v/>
      </c>
      <c r="BH787">
        <f>IF(AND(AU787&lt;&gt;"",ISNUMBER(AW787)),1,0)</f>
        <v/>
      </c>
      <c r="BI787">
        <f>IF(BH787=0,0,IF(AND(AW787&gt;='Tasks Filter'!$F$3,AW787&lt;='Tasks Filter'!$F$4,OR('Tasks Filter'!$I$3="",ISNUMBER(SEARCH('Tasks Filter'!$I$3,AU787))),OR('Tasks Filter'!$I$4="",BF787=IFERROR(MATCH('Tasks Filter'!$I$4,Setup!$L$6:$L$9,0),0)),OR('Tasks Filter'!$I$5="Both",AND('Tasks Filter'!$I$5="Yes",BB787="✓"),AND('Tasks Filter'!$I$5="No",BB787&lt;&gt;"✓")),OR('Tasks Filter'!$L$3="",AV787='Tasks Filter'!$L$3),OR('Tasks Filter'!$L$4="",AZ787='Tasks Filter'!$L$4),OR('Tasks Filter'!$L$5="",BC787='Tasks Filter'!$L$5),OR('Tasks Filter'!$O$3="",BD787='Tasks Filter'!$O$3),OR('Tasks Filter'!$O$4="Yes",BG787=0)),1,0))</f>
        <v/>
      </c>
      <c r="BJ787">
        <f>IF(BH787=0,"",IF('Tasks Filter'!$F$6="Descending",-1,1)*CHOOSE(MATCH('Tasks Filter'!$F$5,Lists!$G$2:$G$6,0),AW787,BF787,IFERROR(MATCH(AV787,Setup!$F$6:$F$15,0),99),IFERROR(MATCH(BC787,Setup!$H$6:$H$15,0),99),IFERROR(MATCH(AZ787,Setup!$J$6:$J$11,0),99))*1E+9+(AW787-40000)*10000+786)</f>
        <v/>
      </c>
      <c r="BK787">
        <f>IF(BI787=1,BJ787,"")</f>
        <v/>
      </c>
      <c r="BL787">
        <f>IF(AND(BH787=1,BG787=0,N(AW787)&lt;Setup!$D$7),(AW787-40000)*10000+786,"")</f>
        <v/>
      </c>
      <c r="BM787">
        <f>IF(AND(BH787=1,AZ787&lt;&gt;"Cancelled",N(AW787)&gt;=Dashboard!$AB$3,N(AW787)&lt;=Dashboard!$AB$3+6),(AW787-40000)*100000+BF787*10000+786,"")</f>
        <v/>
      </c>
      <c r="BN787">
        <f>IF(AND(BH787=1,AZ787&lt;&gt;"Cancelled"),BF787*10000+786,"")</f>
        <v/>
      </c>
    </row>
    <row r="788">
      <c r="AS788" t="inlineStr">
        <is>
          <t>R</t>
        </is>
      </c>
      <c r="AT788" t="n">
        <v>792</v>
      </c>
      <c r="AU788">
        <f>'Recurring Log'!C792&amp;""</f>
        <v/>
      </c>
      <c r="AV788">
        <f>'Recurring Log'!D792&amp;""</f>
        <v/>
      </c>
      <c r="AW788">
        <f>IF('Recurring Log'!E792="","",'Recurring Log'!E792)</f>
        <v/>
      </c>
      <c r="AX788">
        <f>IF('Recurring Log'!G792="","",'Recurring Log'!G792)</f>
        <v/>
      </c>
      <c r="AY788">
        <f>IF('Recurring Log'!H792="","",'Recurring Log'!H792)</f>
        <v/>
      </c>
      <c r="AZ788">
        <f>IF(AU788="","",IF('Recurring Log'!J792="","Not Started",'Recurring Log'!J792))</f>
        <v/>
      </c>
      <c r="BA788">
        <f>'Recurring Log'!L792&amp;""</f>
        <v/>
      </c>
      <c r="BB788">
        <f>'Recurring Log'!M792&amp;""</f>
        <v/>
      </c>
      <c r="BC788">
        <f>'Recurring Log'!N792&amp;""</f>
        <v/>
      </c>
      <c r="BD788">
        <f>'Recurring Log'!O792&amp;""</f>
        <v/>
      </c>
      <c r="BE788">
        <f>IF('Recurring Log'!K792="","",'Recurring Log'!K792)</f>
        <v/>
      </c>
      <c r="BF788">
        <f>IFERROR(MATCH(BA788,Setup!$L$6:$L$9,0),5)</f>
        <v/>
      </c>
      <c r="BG788">
        <f>IF(OR(AZ788="Done",AZ788="Cancelled"),1,0)</f>
        <v/>
      </c>
      <c r="BH788">
        <f>IF(AND(AU788&lt;&gt;"",ISNUMBER(AW788)),1,0)</f>
        <v/>
      </c>
      <c r="BI788">
        <f>IF(BH788=0,0,IF(AND(AW788&gt;='Tasks Filter'!$F$3,AW788&lt;='Tasks Filter'!$F$4,OR('Tasks Filter'!$I$3="",ISNUMBER(SEARCH('Tasks Filter'!$I$3,AU788))),OR('Tasks Filter'!$I$4="",BF788=IFERROR(MATCH('Tasks Filter'!$I$4,Setup!$L$6:$L$9,0),0)),OR('Tasks Filter'!$I$5="Both",AND('Tasks Filter'!$I$5="Yes",BB788="✓"),AND('Tasks Filter'!$I$5="No",BB788&lt;&gt;"✓")),OR('Tasks Filter'!$L$3="",AV788='Tasks Filter'!$L$3),OR('Tasks Filter'!$L$4="",AZ788='Tasks Filter'!$L$4),OR('Tasks Filter'!$L$5="",BC788='Tasks Filter'!$L$5),OR('Tasks Filter'!$O$3="",BD788='Tasks Filter'!$O$3),OR('Tasks Filter'!$O$4="Yes",BG788=0)),1,0))</f>
        <v/>
      </c>
      <c r="BJ788">
        <f>IF(BH788=0,"",IF('Tasks Filter'!$F$6="Descending",-1,1)*CHOOSE(MATCH('Tasks Filter'!$F$5,Lists!$G$2:$G$6,0),AW788,BF788,IFERROR(MATCH(AV788,Setup!$F$6:$F$15,0),99),IFERROR(MATCH(BC788,Setup!$H$6:$H$15,0),99),IFERROR(MATCH(AZ788,Setup!$J$6:$J$11,0),99))*1E+9+(AW788-40000)*10000+787)</f>
        <v/>
      </c>
      <c r="BK788">
        <f>IF(BI788=1,BJ788,"")</f>
        <v/>
      </c>
      <c r="BL788">
        <f>IF(AND(BH788=1,BG788=0,N(AW788)&lt;Setup!$D$7),(AW788-40000)*10000+787,"")</f>
        <v/>
      </c>
      <c r="BM788">
        <f>IF(AND(BH788=1,AZ788&lt;&gt;"Cancelled",N(AW788)&gt;=Dashboard!$AB$3,N(AW788)&lt;=Dashboard!$AB$3+6),(AW788-40000)*100000+BF788*10000+787,"")</f>
        <v/>
      </c>
      <c r="BN788">
        <f>IF(AND(BH788=1,AZ788&lt;&gt;"Cancelled"),BF788*10000+787,"")</f>
        <v/>
      </c>
    </row>
    <row r="789">
      <c r="AS789" t="inlineStr">
        <is>
          <t>R</t>
        </is>
      </c>
      <c r="AT789" t="n">
        <v>793</v>
      </c>
      <c r="AU789">
        <f>'Recurring Log'!C793&amp;""</f>
        <v/>
      </c>
      <c r="AV789">
        <f>'Recurring Log'!D793&amp;""</f>
        <v/>
      </c>
      <c r="AW789">
        <f>IF('Recurring Log'!E793="","",'Recurring Log'!E793)</f>
        <v/>
      </c>
      <c r="AX789">
        <f>IF('Recurring Log'!G793="","",'Recurring Log'!G793)</f>
        <v/>
      </c>
      <c r="AY789">
        <f>IF('Recurring Log'!H793="","",'Recurring Log'!H793)</f>
        <v/>
      </c>
      <c r="AZ789">
        <f>IF(AU789="","",IF('Recurring Log'!J793="","Not Started",'Recurring Log'!J793))</f>
        <v/>
      </c>
      <c r="BA789">
        <f>'Recurring Log'!L793&amp;""</f>
        <v/>
      </c>
      <c r="BB789">
        <f>'Recurring Log'!M793&amp;""</f>
        <v/>
      </c>
      <c r="BC789">
        <f>'Recurring Log'!N793&amp;""</f>
        <v/>
      </c>
      <c r="BD789">
        <f>'Recurring Log'!O793&amp;""</f>
        <v/>
      </c>
      <c r="BE789">
        <f>IF('Recurring Log'!K793="","",'Recurring Log'!K793)</f>
        <v/>
      </c>
      <c r="BF789">
        <f>IFERROR(MATCH(BA789,Setup!$L$6:$L$9,0),5)</f>
        <v/>
      </c>
      <c r="BG789">
        <f>IF(OR(AZ789="Done",AZ789="Cancelled"),1,0)</f>
        <v/>
      </c>
      <c r="BH789">
        <f>IF(AND(AU789&lt;&gt;"",ISNUMBER(AW789)),1,0)</f>
        <v/>
      </c>
      <c r="BI789">
        <f>IF(BH789=0,0,IF(AND(AW789&gt;='Tasks Filter'!$F$3,AW789&lt;='Tasks Filter'!$F$4,OR('Tasks Filter'!$I$3="",ISNUMBER(SEARCH('Tasks Filter'!$I$3,AU789))),OR('Tasks Filter'!$I$4="",BF789=IFERROR(MATCH('Tasks Filter'!$I$4,Setup!$L$6:$L$9,0),0)),OR('Tasks Filter'!$I$5="Both",AND('Tasks Filter'!$I$5="Yes",BB789="✓"),AND('Tasks Filter'!$I$5="No",BB789&lt;&gt;"✓")),OR('Tasks Filter'!$L$3="",AV789='Tasks Filter'!$L$3),OR('Tasks Filter'!$L$4="",AZ789='Tasks Filter'!$L$4),OR('Tasks Filter'!$L$5="",BC789='Tasks Filter'!$L$5),OR('Tasks Filter'!$O$3="",BD789='Tasks Filter'!$O$3),OR('Tasks Filter'!$O$4="Yes",BG789=0)),1,0))</f>
        <v/>
      </c>
      <c r="BJ789">
        <f>IF(BH789=0,"",IF('Tasks Filter'!$F$6="Descending",-1,1)*CHOOSE(MATCH('Tasks Filter'!$F$5,Lists!$G$2:$G$6,0),AW789,BF789,IFERROR(MATCH(AV789,Setup!$F$6:$F$15,0),99),IFERROR(MATCH(BC789,Setup!$H$6:$H$15,0),99),IFERROR(MATCH(AZ789,Setup!$J$6:$J$11,0),99))*1E+9+(AW789-40000)*10000+788)</f>
        <v/>
      </c>
      <c r="BK789">
        <f>IF(BI789=1,BJ789,"")</f>
        <v/>
      </c>
      <c r="BL789">
        <f>IF(AND(BH789=1,BG789=0,N(AW789)&lt;Setup!$D$7),(AW789-40000)*10000+788,"")</f>
        <v/>
      </c>
      <c r="BM789">
        <f>IF(AND(BH789=1,AZ789&lt;&gt;"Cancelled",N(AW789)&gt;=Dashboard!$AB$3,N(AW789)&lt;=Dashboard!$AB$3+6),(AW789-40000)*100000+BF789*10000+788,"")</f>
        <v/>
      </c>
      <c r="BN789">
        <f>IF(AND(BH789=1,AZ789&lt;&gt;"Cancelled"),BF789*10000+788,"")</f>
        <v/>
      </c>
    </row>
    <row r="790">
      <c r="AS790" t="inlineStr">
        <is>
          <t>R</t>
        </is>
      </c>
      <c r="AT790" t="n">
        <v>794</v>
      </c>
      <c r="AU790">
        <f>'Recurring Log'!C794&amp;""</f>
        <v/>
      </c>
      <c r="AV790">
        <f>'Recurring Log'!D794&amp;""</f>
        <v/>
      </c>
      <c r="AW790">
        <f>IF('Recurring Log'!E794="","",'Recurring Log'!E794)</f>
        <v/>
      </c>
      <c r="AX790">
        <f>IF('Recurring Log'!G794="","",'Recurring Log'!G794)</f>
        <v/>
      </c>
      <c r="AY790">
        <f>IF('Recurring Log'!H794="","",'Recurring Log'!H794)</f>
        <v/>
      </c>
      <c r="AZ790">
        <f>IF(AU790="","",IF('Recurring Log'!J794="","Not Started",'Recurring Log'!J794))</f>
        <v/>
      </c>
      <c r="BA790">
        <f>'Recurring Log'!L794&amp;""</f>
        <v/>
      </c>
      <c r="BB790">
        <f>'Recurring Log'!M794&amp;""</f>
        <v/>
      </c>
      <c r="BC790">
        <f>'Recurring Log'!N794&amp;""</f>
        <v/>
      </c>
      <c r="BD790">
        <f>'Recurring Log'!O794&amp;""</f>
        <v/>
      </c>
      <c r="BE790">
        <f>IF('Recurring Log'!K794="","",'Recurring Log'!K794)</f>
        <v/>
      </c>
      <c r="BF790">
        <f>IFERROR(MATCH(BA790,Setup!$L$6:$L$9,0),5)</f>
        <v/>
      </c>
      <c r="BG790">
        <f>IF(OR(AZ790="Done",AZ790="Cancelled"),1,0)</f>
        <v/>
      </c>
      <c r="BH790">
        <f>IF(AND(AU790&lt;&gt;"",ISNUMBER(AW790)),1,0)</f>
        <v/>
      </c>
      <c r="BI790">
        <f>IF(BH790=0,0,IF(AND(AW790&gt;='Tasks Filter'!$F$3,AW790&lt;='Tasks Filter'!$F$4,OR('Tasks Filter'!$I$3="",ISNUMBER(SEARCH('Tasks Filter'!$I$3,AU790))),OR('Tasks Filter'!$I$4="",BF790=IFERROR(MATCH('Tasks Filter'!$I$4,Setup!$L$6:$L$9,0),0)),OR('Tasks Filter'!$I$5="Both",AND('Tasks Filter'!$I$5="Yes",BB790="✓"),AND('Tasks Filter'!$I$5="No",BB790&lt;&gt;"✓")),OR('Tasks Filter'!$L$3="",AV790='Tasks Filter'!$L$3),OR('Tasks Filter'!$L$4="",AZ790='Tasks Filter'!$L$4),OR('Tasks Filter'!$L$5="",BC790='Tasks Filter'!$L$5),OR('Tasks Filter'!$O$3="",BD790='Tasks Filter'!$O$3),OR('Tasks Filter'!$O$4="Yes",BG790=0)),1,0))</f>
        <v/>
      </c>
      <c r="BJ790">
        <f>IF(BH790=0,"",IF('Tasks Filter'!$F$6="Descending",-1,1)*CHOOSE(MATCH('Tasks Filter'!$F$5,Lists!$G$2:$G$6,0),AW790,BF790,IFERROR(MATCH(AV790,Setup!$F$6:$F$15,0),99),IFERROR(MATCH(BC790,Setup!$H$6:$H$15,0),99),IFERROR(MATCH(AZ790,Setup!$J$6:$J$11,0),99))*1E+9+(AW790-40000)*10000+789)</f>
        <v/>
      </c>
      <c r="BK790">
        <f>IF(BI790=1,BJ790,"")</f>
        <v/>
      </c>
      <c r="BL790">
        <f>IF(AND(BH790=1,BG790=0,N(AW790)&lt;Setup!$D$7),(AW790-40000)*10000+789,"")</f>
        <v/>
      </c>
      <c r="BM790">
        <f>IF(AND(BH790=1,AZ790&lt;&gt;"Cancelled",N(AW790)&gt;=Dashboard!$AB$3,N(AW790)&lt;=Dashboard!$AB$3+6),(AW790-40000)*100000+BF790*10000+789,"")</f>
        <v/>
      </c>
      <c r="BN790">
        <f>IF(AND(BH790=1,AZ790&lt;&gt;"Cancelled"),BF790*10000+789,"")</f>
        <v/>
      </c>
    </row>
    <row r="791">
      <c r="AS791" t="inlineStr">
        <is>
          <t>R</t>
        </is>
      </c>
      <c r="AT791" t="n">
        <v>795</v>
      </c>
      <c r="AU791">
        <f>'Recurring Log'!C795&amp;""</f>
        <v/>
      </c>
      <c r="AV791">
        <f>'Recurring Log'!D795&amp;""</f>
        <v/>
      </c>
      <c r="AW791">
        <f>IF('Recurring Log'!E795="","",'Recurring Log'!E795)</f>
        <v/>
      </c>
      <c r="AX791">
        <f>IF('Recurring Log'!G795="","",'Recurring Log'!G795)</f>
        <v/>
      </c>
      <c r="AY791">
        <f>IF('Recurring Log'!H795="","",'Recurring Log'!H795)</f>
        <v/>
      </c>
      <c r="AZ791">
        <f>IF(AU791="","",IF('Recurring Log'!J795="","Not Started",'Recurring Log'!J795))</f>
        <v/>
      </c>
      <c r="BA791">
        <f>'Recurring Log'!L795&amp;""</f>
        <v/>
      </c>
      <c r="BB791">
        <f>'Recurring Log'!M795&amp;""</f>
        <v/>
      </c>
      <c r="BC791">
        <f>'Recurring Log'!N795&amp;""</f>
        <v/>
      </c>
      <c r="BD791">
        <f>'Recurring Log'!O795&amp;""</f>
        <v/>
      </c>
      <c r="BE791">
        <f>IF('Recurring Log'!K795="","",'Recurring Log'!K795)</f>
        <v/>
      </c>
      <c r="BF791">
        <f>IFERROR(MATCH(BA791,Setup!$L$6:$L$9,0),5)</f>
        <v/>
      </c>
      <c r="BG791">
        <f>IF(OR(AZ791="Done",AZ791="Cancelled"),1,0)</f>
        <v/>
      </c>
      <c r="BH791">
        <f>IF(AND(AU791&lt;&gt;"",ISNUMBER(AW791)),1,0)</f>
        <v/>
      </c>
      <c r="BI791">
        <f>IF(BH791=0,0,IF(AND(AW791&gt;='Tasks Filter'!$F$3,AW791&lt;='Tasks Filter'!$F$4,OR('Tasks Filter'!$I$3="",ISNUMBER(SEARCH('Tasks Filter'!$I$3,AU791))),OR('Tasks Filter'!$I$4="",BF791=IFERROR(MATCH('Tasks Filter'!$I$4,Setup!$L$6:$L$9,0),0)),OR('Tasks Filter'!$I$5="Both",AND('Tasks Filter'!$I$5="Yes",BB791="✓"),AND('Tasks Filter'!$I$5="No",BB791&lt;&gt;"✓")),OR('Tasks Filter'!$L$3="",AV791='Tasks Filter'!$L$3),OR('Tasks Filter'!$L$4="",AZ791='Tasks Filter'!$L$4),OR('Tasks Filter'!$L$5="",BC791='Tasks Filter'!$L$5),OR('Tasks Filter'!$O$3="",BD791='Tasks Filter'!$O$3),OR('Tasks Filter'!$O$4="Yes",BG791=0)),1,0))</f>
        <v/>
      </c>
      <c r="BJ791">
        <f>IF(BH791=0,"",IF('Tasks Filter'!$F$6="Descending",-1,1)*CHOOSE(MATCH('Tasks Filter'!$F$5,Lists!$G$2:$G$6,0),AW791,BF791,IFERROR(MATCH(AV791,Setup!$F$6:$F$15,0),99),IFERROR(MATCH(BC791,Setup!$H$6:$H$15,0),99),IFERROR(MATCH(AZ791,Setup!$J$6:$J$11,0),99))*1E+9+(AW791-40000)*10000+790)</f>
        <v/>
      </c>
      <c r="BK791">
        <f>IF(BI791=1,BJ791,"")</f>
        <v/>
      </c>
      <c r="BL791">
        <f>IF(AND(BH791=1,BG791=0,N(AW791)&lt;Setup!$D$7),(AW791-40000)*10000+790,"")</f>
        <v/>
      </c>
      <c r="BM791">
        <f>IF(AND(BH791=1,AZ791&lt;&gt;"Cancelled",N(AW791)&gt;=Dashboard!$AB$3,N(AW791)&lt;=Dashboard!$AB$3+6),(AW791-40000)*100000+BF791*10000+790,"")</f>
        <v/>
      </c>
      <c r="BN791">
        <f>IF(AND(BH791=1,AZ791&lt;&gt;"Cancelled"),BF791*10000+790,"")</f>
        <v/>
      </c>
    </row>
    <row r="792">
      <c r="AS792" t="inlineStr">
        <is>
          <t>R</t>
        </is>
      </c>
      <c r="AT792" t="n">
        <v>796</v>
      </c>
      <c r="AU792">
        <f>'Recurring Log'!C796&amp;""</f>
        <v/>
      </c>
      <c r="AV792">
        <f>'Recurring Log'!D796&amp;""</f>
        <v/>
      </c>
      <c r="AW792">
        <f>IF('Recurring Log'!E796="","",'Recurring Log'!E796)</f>
        <v/>
      </c>
      <c r="AX792">
        <f>IF('Recurring Log'!G796="","",'Recurring Log'!G796)</f>
        <v/>
      </c>
      <c r="AY792">
        <f>IF('Recurring Log'!H796="","",'Recurring Log'!H796)</f>
        <v/>
      </c>
      <c r="AZ792">
        <f>IF(AU792="","",IF('Recurring Log'!J796="","Not Started",'Recurring Log'!J796))</f>
        <v/>
      </c>
      <c r="BA792">
        <f>'Recurring Log'!L796&amp;""</f>
        <v/>
      </c>
      <c r="BB792">
        <f>'Recurring Log'!M796&amp;""</f>
        <v/>
      </c>
      <c r="BC792">
        <f>'Recurring Log'!N796&amp;""</f>
        <v/>
      </c>
      <c r="BD792">
        <f>'Recurring Log'!O796&amp;""</f>
        <v/>
      </c>
      <c r="BE792">
        <f>IF('Recurring Log'!K796="","",'Recurring Log'!K796)</f>
        <v/>
      </c>
      <c r="BF792">
        <f>IFERROR(MATCH(BA792,Setup!$L$6:$L$9,0),5)</f>
        <v/>
      </c>
      <c r="BG792">
        <f>IF(OR(AZ792="Done",AZ792="Cancelled"),1,0)</f>
        <v/>
      </c>
      <c r="BH792">
        <f>IF(AND(AU792&lt;&gt;"",ISNUMBER(AW792)),1,0)</f>
        <v/>
      </c>
      <c r="BI792">
        <f>IF(BH792=0,0,IF(AND(AW792&gt;='Tasks Filter'!$F$3,AW792&lt;='Tasks Filter'!$F$4,OR('Tasks Filter'!$I$3="",ISNUMBER(SEARCH('Tasks Filter'!$I$3,AU792))),OR('Tasks Filter'!$I$4="",BF792=IFERROR(MATCH('Tasks Filter'!$I$4,Setup!$L$6:$L$9,0),0)),OR('Tasks Filter'!$I$5="Both",AND('Tasks Filter'!$I$5="Yes",BB792="✓"),AND('Tasks Filter'!$I$5="No",BB792&lt;&gt;"✓")),OR('Tasks Filter'!$L$3="",AV792='Tasks Filter'!$L$3),OR('Tasks Filter'!$L$4="",AZ792='Tasks Filter'!$L$4),OR('Tasks Filter'!$L$5="",BC792='Tasks Filter'!$L$5),OR('Tasks Filter'!$O$3="",BD792='Tasks Filter'!$O$3),OR('Tasks Filter'!$O$4="Yes",BG792=0)),1,0))</f>
        <v/>
      </c>
      <c r="BJ792">
        <f>IF(BH792=0,"",IF('Tasks Filter'!$F$6="Descending",-1,1)*CHOOSE(MATCH('Tasks Filter'!$F$5,Lists!$G$2:$G$6,0),AW792,BF792,IFERROR(MATCH(AV792,Setup!$F$6:$F$15,0),99),IFERROR(MATCH(BC792,Setup!$H$6:$H$15,0),99),IFERROR(MATCH(AZ792,Setup!$J$6:$J$11,0),99))*1E+9+(AW792-40000)*10000+791)</f>
        <v/>
      </c>
      <c r="BK792">
        <f>IF(BI792=1,BJ792,"")</f>
        <v/>
      </c>
      <c r="BL792">
        <f>IF(AND(BH792=1,BG792=0,N(AW792)&lt;Setup!$D$7),(AW792-40000)*10000+791,"")</f>
        <v/>
      </c>
      <c r="BM792">
        <f>IF(AND(BH792=1,AZ792&lt;&gt;"Cancelled",N(AW792)&gt;=Dashboard!$AB$3,N(AW792)&lt;=Dashboard!$AB$3+6),(AW792-40000)*100000+BF792*10000+791,"")</f>
        <v/>
      </c>
      <c r="BN792">
        <f>IF(AND(BH792=1,AZ792&lt;&gt;"Cancelled"),BF792*10000+791,"")</f>
        <v/>
      </c>
    </row>
    <row r="793">
      <c r="AS793" t="inlineStr">
        <is>
          <t>R</t>
        </is>
      </c>
      <c r="AT793" t="n">
        <v>797</v>
      </c>
      <c r="AU793">
        <f>'Recurring Log'!C797&amp;""</f>
        <v/>
      </c>
      <c r="AV793">
        <f>'Recurring Log'!D797&amp;""</f>
        <v/>
      </c>
      <c r="AW793">
        <f>IF('Recurring Log'!E797="","",'Recurring Log'!E797)</f>
        <v/>
      </c>
      <c r="AX793">
        <f>IF('Recurring Log'!G797="","",'Recurring Log'!G797)</f>
        <v/>
      </c>
      <c r="AY793">
        <f>IF('Recurring Log'!H797="","",'Recurring Log'!H797)</f>
        <v/>
      </c>
      <c r="AZ793">
        <f>IF(AU793="","",IF('Recurring Log'!J797="","Not Started",'Recurring Log'!J797))</f>
        <v/>
      </c>
      <c r="BA793">
        <f>'Recurring Log'!L797&amp;""</f>
        <v/>
      </c>
      <c r="BB793">
        <f>'Recurring Log'!M797&amp;""</f>
        <v/>
      </c>
      <c r="BC793">
        <f>'Recurring Log'!N797&amp;""</f>
        <v/>
      </c>
      <c r="BD793">
        <f>'Recurring Log'!O797&amp;""</f>
        <v/>
      </c>
      <c r="BE793">
        <f>IF('Recurring Log'!K797="","",'Recurring Log'!K797)</f>
        <v/>
      </c>
      <c r="BF793">
        <f>IFERROR(MATCH(BA793,Setup!$L$6:$L$9,0),5)</f>
        <v/>
      </c>
      <c r="BG793">
        <f>IF(OR(AZ793="Done",AZ793="Cancelled"),1,0)</f>
        <v/>
      </c>
      <c r="BH793">
        <f>IF(AND(AU793&lt;&gt;"",ISNUMBER(AW793)),1,0)</f>
        <v/>
      </c>
      <c r="BI793">
        <f>IF(BH793=0,0,IF(AND(AW793&gt;='Tasks Filter'!$F$3,AW793&lt;='Tasks Filter'!$F$4,OR('Tasks Filter'!$I$3="",ISNUMBER(SEARCH('Tasks Filter'!$I$3,AU793))),OR('Tasks Filter'!$I$4="",BF793=IFERROR(MATCH('Tasks Filter'!$I$4,Setup!$L$6:$L$9,0),0)),OR('Tasks Filter'!$I$5="Both",AND('Tasks Filter'!$I$5="Yes",BB793="✓"),AND('Tasks Filter'!$I$5="No",BB793&lt;&gt;"✓")),OR('Tasks Filter'!$L$3="",AV793='Tasks Filter'!$L$3),OR('Tasks Filter'!$L$4="",AZ793='Tasks Filter'!$L$4),OR('Tasks Filter'!$L$5="",BC793='Tasks Filter'!$L$5),OR('Tasks Filter'!$O$3="",BD793='Tasks Filter'!$O$3),OR('Tasks Filter'!$O$4="Yes",BG793=0)),1,0))</f>
        <v/>
      </c>
      <c r="BJ793">
        <f>IF(BH793=0,"",IF('Tasks Filter'!$F$6="Descending",-1,1)*CHOOSE(MATCH('Tasks Filter'!$F$5,Lists!$G$2:$G$6,0),AW793,BF793,IFERROR(MATCH(AV793,Setup!$F$6:$F$15,0),99),IFERROR(MATCH(BC793,Setup!$H$6:$H$15,0),99),IFERROR(MATCH(AZ793,Setup!$J$6:$J$11,0),99))*1E+9+(AW793-40000)*10000+792)</f>
        <v/>
      </c>
      <c r="BK793">
        <f>IF(BI793=1,BJ793,"")</f>
        <v/>
      </c>
      <c r="BL793">
        <f>IF(AND(BH793=1,BG793=0,N(AW793)&lt;Setup!$D$7),(AW793-40000)*10000+792,"")</f>
        <v/>
      </c>
      <c r="BM793">
        <f>IF(AND(BH793=1,AZ793&lt;&gt;"Cancelled",N(AW793)&gt;=Dashboard!$AB$3,N(AW793)&lt;=Dashboard!$AB$3+6),(AW793-40000)*100000+BF793*10000+792,"")</f>
        <v/>
      </c>
      <c r="BN793">
        <f>IF(AND(BH793=1,AZ793&lt;&gt;"Cancelled"),BF793*10000+792,"")</f>
        <v/>
      </c>
    </row>
    <row r="794">
      <c r="AS794" t="inlineStr">
        <is>
          <t>R</t>
        </is>
      </c>
      <c r="AT794" t="n">
        <v>798</v>
      </c>
      <c r="AU794">
        <f>'Recurring Log'!C798&amp;""</f>
        <v/>
      </c>
      <c r="AV794">
        <f>'Recurring Log'!D798&amp;""</f>
        <v/>
      </c>
      <c r="AW794">
        <f>IF('Recurring Log'!E798="","",'Recurring Log'!E798)</f>
        <v/>
      </c>
      <c r="AX794">
        <f>IF('Recurring Log'!G798="","",'Recurring Log'!G798)</f>
        <v/>
      </c>
      <c r="AY794">
        <f>IF('Recurring Log'!H798="","",'Recurring Log'!H798)</f>
        <v/>
      </c>
      <c r="AZ794">
        <f>IF(AU794="","",IF('Recurring Log'!J798="","Not Started",'Recurring Log'!J798))</f>
        <v/>
      </c>
      <c r="BA794">
        <f>'Recurring Log'!L798&amp;""</f>
        <v/>
      </c>
      <c r="BB794">
        <f>'Recurring Log'!M798&amp;""</f>
        <v/>
      </c>
      <c r="BC794">
        <f>'Recurring Log'!N798&amp;""</f>
        <v/>
      </c>
      <c r="BD794">
        <f>'Recurring Log'!O798&amp;""</f>
        <v/>
      </c>
      <c r="BE794">
        <f>IF('Recurring Log'!K798="","",'Recurring Log'!K798)</f>
        <v/>
      </c>
      <c r="BF794">
        <f>IFERROR(MATCH(BA794,Setup!$L$6:$L$9,0),5)</f>
        <v/>
      </c>
      <c r="BG794">
        <f>IF(OR(AZ794="Done",AZ794="Cancelled"),1,0)</f>
        <v/>
      </c>
      <c r="BH794">
        <f>IF(AND(AU794&lt;&gt;"",ISNUMBER(AW794)),1,0)</f>
        <v/>
      </c>
      <c r="BI794">
        <f>IF(BH794=0,0,IF(AND(AW794&gt;='Tasks Filter'!$F$3,AW794&lt;='Tasks Filter'!$F$4,OR('Tasks Filter'!$I$3="",ISNUMBER(SEARCH('Tasks Filter'!$I$3,AU794))),OR('Tasks Filter'!$I$4="",BF794=IFERROR(MATCH('Tasks Filter'!$I$4,Setup!$L$6:$L$9,0),0)),OR('Tasks Filter'!$I$5="Both",AND('Tasks Filter'!$I$5="Yes",BB794="✓"),AND('Tasks Filter'!$I$5="No",BB794&lt;&gt;"✓")),OR('Tasks Filter'!$L$3="",AV794='Tasks Filter'!$L$3),OR('Tasks Filter'!$L$4="",AZ794='Tasks Filter'!$L$4),OR('Tasks Filter'!$L$5="",BC794='Tasks Filter'!$L$5),OR('Tasks Filter'!$O$3="",BD794='Tasks Filter'!$O$3),OR('Tasks Filter'!$O$4="Yes",BG794=0)),1,0))</f>
        <v/>
      </c>
      <c r="BJ794">
        <f>IF(BH794=0,"",IF('Tasks Filter'!$F$6="Descending",-1,1)*CHOOSE(MATCH('Tasks Filter'!$F$5,Lists!$G$2:$G$6,0),AW794,BF794,IFERROR(MATCH(AV794,Setup!$F$6:$F$15,0),99),IFERROR(MATCH(BC794,Setup!$H$6:$H$15,0),99),IFERROR(MATCH(AZ794,Setup!$J$6:$J$11,0),99))*1E+9+(AW794-40000)*10000+793)</f>
        <v/>
      </c>
      <c r="BK794">
        <f>IF(BI794=1,BJ794,"")</f>
        <v/>
      </c>
      <c r="BL794">
        <f>IF(AND(BH794=1,BG794=0,N(AW794)&lt;Setup!$D$7),(AW794-40000)*10000+793,"")</f>
        <v/>
      </c>
      <c r="BM794">
        <f>IF(AND(BH794=1,AZ794&lt;&gt;"Cancelled",N(AW794)&gt;=Dashboard!$AB$3,N(AW794)&lt;=Dashboard!$AB$3+6),(AW794-40000)*100000+BF794*10000+793,"")</f>
        <v/>
      </c>
      <c r="BN794">
        <f>IF(AND(BH794=1,AZ794&lt;&gt;"Cancelled"),BF794*10000+793,"")</f>
        <v/>
      </c>
    </row>
    <row r="795">
      <c r="AS795" t="inlineStr">
        <is>
          <t>R</t>
        </is>
      </c>
      <c r="AT795" t="n">
        <v>799</v>
      </c>
      <c r="AU795">
        <f>'Recurring Log'!C799&amp;""</f>
        <v/>
      </c>
      <c r="AV795">
        <f>'Recurring Log'!D799&amp;""</f>
        <v/>
      </c>
      <c r="AW795">
        <f>IF('Recurring Log'!E799="","",'Recurring Log'!E799)</f>
        <v/>
      </c>
      <c r="AX795">
        <f>IF('Recurring Log'!G799="","",'Recurring Log'!G799)</f>
        <v/>
      </c>
      <c r="AY795">
        <f>IF('Recurring Log'!H799="","",'Recurring Log'!H799)</f>
        <v/>
      </c>
      <c r="AZ795">
        <f>IF(AU795="","",IF('Recurring Log'!J799="","Not Started",'Recurring Log'!J799))</f>
        <v/>
      </c>
      <c r="BA795">
        <f>'Recurring Log'!L799&amp;""</f>
        <v/>
      </c>
      <c r="BB795">
        <f>'Recurring Log'!M799&amp;""</f>
        <v/>
      </c>
      <c r="BC795">
        <f>'Recurring Log'!N799&amp;""</f>
        <v/>
      </c>
      <c r="BD795">
        <f>'Recurring Log'!O799&amp;""</f>
        <v/>
      </c>
      <c r="BE795">
        <f>IF('Recurring Log'!K799="","",'Recurring Log'!K799)</f>
        <v/>
      </c>
      <c r="BF795">
        <f>IFERROR(MATCH(BA795,Setup!$L$6:$L$9,0),5)</f>
        <v/>
      </c>
      <c r="BG795">
        <f>IF(OR(AZ795="Done",AZ795="Cancelled"),1,0)</f>
        <v/>
      </c>
      <c r="BH795">
        <f>IF(AND(AU795&lt;&gt;"",ISNUMBER(AW795)),1,0)</f>
        <v/>
      </c>
      <c r="BI795">
        <f>IF(BH795=0,0,IF(AND(AW795&gt;='Tasks Filter'!$F$3,AW795&lt;='Tasks Filter'!$F$4,OR('Tasks Filter'!$I$3="",ISNUMBER(SEARCH('Tasks Filter'!$I$3,AU795))),OR('Tasks Filter'!$I$4="",BF795=IFERROR(MATCH('Tasks Filter'!$I$4,Setup!$L$6:$L$9,0),0)),OR('Tasks Filter'!$I$5="Both",AND('Tasks Filter'!$I$5="Yes",BB795="✓"),AND('Tasks Filter'!$I$5="No",BB795&lt;&gt;"✓")),OR('Tasks Filter'!$L$3="",AV795='Tasks Filter'!$L$3),OR('Tasks Filter'!$L$4="",AZ795='Tasks Filter'!$L$4),OR('Tasks Filter'!$L$5="",BC795='Tasks Filter'!$L$5),OR('Tasks Filter'!$O$3="",BD795='Tasks Filter'!$O$3),OR('Tasks Filter'!$O$4="Yes",BG795=0)),1,0))</f>
        <v/>
      </c>
      <c r="BJ795">
        <f>IF(BH795=0,"",IF('Tasks Filter'!$F$6="Descending",-1,1)*CHOOSE(MATCH('Tasks Filter'!$F$5,Lists!$G$2:$G$6,0),AW795,BF795,IFERROR(MATCH(AV795,Setup!$F$6:$F$15,0),99),IFERROR(MATCH(BC795,Setup!$H$6:$H$15,0),99),IFERROR(MATCH(AZ795,Setup!$J$6:$J$11,0),99))*1E+9+(AW795-40000)*10000+794)</f>
        <v/>
      </c>
      <c r="BK795">
        <f>IF(BI795=1,BJ795,"")</f>
        <v/>
      </c>
      <c r="BL795">
        <f>IF(AND(BH795=1,BG795=0,N(AW795)&lt;Setup!$D$7),(AW795-40000)*10000+794,"")</f>
        <v/>
      </c>
      <c r="BM795">
        <f>IF(AND(BH795=1,AZ795&lt;&gt;"Cancelled",N(AW795)&gt;=Dashboard!$AB$3,N(AW795)&lt;=Dashboard!$AB$3+6),(AW795-40000)*100000+BF795*10000+794,"")</f>
        <v/>
      </c>
      <c r="BN795">
        <f>IF(AND(BH795=1,AZ795&lt;&gt;"Cancelled"),BF795*10000+794,"")</f>
        <v/>
      </c>
    </row>
    <row r="796">
      <c r="AS796" t="inlineStr">
        <is>
          <t>R</t>
        </is>
      </c>
      <c r="AT796" t="n">
        <v>800</v>
      </c>
      <c r="AU796">
        <f>'Recurring Log'!C800&amp;""</f>
        <v/>
      </c>
      <c r="AV796">
        <f>'Recurring Log'!D800&amp;""</f>
        <v/>
      </c>
      <c r="AW796">
        <f>IF('Recurring Log'!E800="","",'Recurring Log'!E800)</f>
        <v/>
      </c>
      <c r="AX796">
        <f>IF('Recurring Log'!G800="","",'Recurring Log'!G800)</f>
        <v/>
      </c>
      <c r="AY796">
        <f>IF('Recurring Log'!H800="","",'Recurring Log'!H800)</f>
        <v/>
      </c>
      <c r="AZ796">
        <f>IF(AU796="","",IF('Recurring Log'!J800="","Not Started",'Recurring Log'!J800))</f>
        <v/>
      </c>
      <c r="BA796">
        <f>'Recurring Log'!L800&amp;""</f>
        <v/>
      </c>
      <c r="BB796">
        <f>'Recurring Log'!M800&amp;""</f>
        <v/>
      </c>
      <c r="BC796">
        <f>'Recurring Log'!N800&amp;""</f>
        <v/>
      </c>
      <c r="BD796">
        <f>'Recurring Log'!O800&amp;""</f>
        <v/>
      </c>
      <c r="BE796">
        <f>IF('Recurring Log'!K800="","",'Recurring Log'!K800)</f>
        <v/>
      </c>
      <c r="BF796">
        <f>IFERROR(MATCH(BA796,Setup!$L$6:$L$9,0),5)</f>
        <v/>
      </c>
      <c r="BG796">
        <f>IF(OR(AZ796="Done",AZ796="Cancelled"),1,0)</f>
        <v/>
      </c>
      <c r="BH796">
        <f>IF(AND(AU796&lt;&gt;"",ISNUMBER(AW796)),1,0)</f>
        <v/>
      </c>
      <c r="BI796">
        <f>IF(BH796=0,0,IF(AND(AW796&gt;='Tasks Filter'!$F$3,AW796&lt;='Tasks Filter'!$F$4,OR('Tasks Filter'!$I$3="",ISNUMBER(SEARCH('Tasks Filter'!$I$3,AU796))),OR('Tasks Filter'!$I$4="",BF796=IFERROR(MATCH('Tasks Filter'!$I$4,Setup!$L$6:$L$9,0),0)),OR('Tasks Filter'!$I$5="Both",AND('Tasks Filter'!$I$5="Yes",BB796="✓"),AND('Tasks Filter'!$I$5="No",BB796&lt;&gt;"✓")),OR('Tasks Filter'!$L$3="",AV796='Tasks Filter'!$L$3),OR('Tasks Filter'!$L$4="",AZ796='Tasks Filter'!$L$4),OR('Tasks Filter'!$L$5="",BC796='Tasks Filter'!$L$5),OR('Tasks Filter'!$O$3="",BD796='Tasks Filter'!$O$3),OR('Tasks Filter'!$O$4="Yes",BG796=0)),1,0))</f>
        <v/>
      </c>
      <c r="BJ796">
        <f>IF(BH796=0,"",IF('Tasks Filter'!$F$6="Descending",-1,1)*CHOOSE(MATCH('Tasks Filter'!$F$5,Lists!$G$2:$G$6,0),AW796,BF796,IFERROR(MATCH(AV796,Setup!$F$6:$F$15,0),99),IFERROR(MATCH(BC796,Setup!$H$6:$H$15,0),99),IFERROR(MATCH(AZ796,Setup!$J$6:$J$11,0),99))*1E+9+(AW796-40000)*10000+795)</f>
        <v/>
      </c>
      <c r="BK796">
        <f>IF(BI796=1,BJ796,"")</f>
        <v/>
      </c>
      <c r="BL796">
        <f>IF(AND(BH796=1,BG796=0,N(AW796)&lt;Setup!$D$7),(AW796-40000)*10000+795,"")</f>
        <v/>
      </c>
      <c r="BM796">
        <f>IF(AND(BH796=1,AZ796&lt;&gt;"Cancelled",N(AW796)&gt;=Dashboard!$AB$3,N(AW796)&lt;=Dashboard!$AB$3+6),(AW796-40000)*100000+BF796*10000+795,"")</f>
        <v/>
      </c>
      <c r="BN796">
        <f>IF(AND(BH796=1,AZ796&lt;&gt;"Cancelled"),BF796*10000+795,"")</f>
        <v/>
      </c>
    </row>
    <row r="797">
      <c r="AS797" t="inlineStr">
        <is>
          <t>R</t>
        </is>
      </c>
      <c r="AT797" t="n">
        <v>801</v>
      </c>
      <c r="AU797">
        <f>'Recurring Log'!C801&amp;""</f>
        <v/>
      </c>
      <c r="AV797">
        <f>'Recurring Log'!D801&amp;""</f>
        <v/>
      </c>
      <c r="AW797">
        <f>IF('Recurring Log'!E801="","",'Recurring Log'!E801)</f>
        <v/>
      </c>
      <c r="AX797">
        <f>IF('Recurring Log'!G801="","",'Recurring Log'!G801)</f>
        <v/>
      </c>
      <c r="AY797">
        <f>IF('Recurring Log'!H801="","",'Recurring Log'!H801)</f>
        <v/>
      </c>
      <c r="AZ797">
        <f>IF(AU797="","",IF('Recurring Log'!J801="","Not Started",'Recurring Log'!J801))</f>
        <v/>
      </c>
      <c r="BA797">
        <f>'Recurring Log'!L801&amp;""</f>
        <v/>
      </c>
      <c r="BB797">
        <f>'Recurring Log'!M801&amp;""</f>
        <v/>
      </c>
      <c r="BC797">
        <f>'Recurring Log'!N801&amp;""</f>
        <v/>
      </c>
      <c r="BD797">
        <f>'Recurring Log'!O801&amp;""</f>
        <v/>
      </c>
      <c r="BE797">
        <f>IF('Recurring Log'!K801="","",'Recurring Log'!K801)</f>
        <v/>
      </c>
      <c r="BF797">
        <f>IFERROR(MATCH(BA797,Setup!$L$6:$L$9,0),5)</f>
        <v/>
      </c>
      <c r="BG797">
        <f>IF(OR(AZ797="Done",AZ797="Cancelled"),1,0)</f>
        <v/>
      </c>
      <c r="BH797">
        <f>IF(AND(AU797&lt;&gt;"",ISNUMBER(AW797)),1,0)</f>
        <v/>
      </c>
      <c r="BI797">
        <f>IF(BH797=0,0,IF(AND(AW797&gt;='Tasks Filter'!$F$3,AW797&lt;='Tasks Filter'!$F$4,OR('Tasks Filter'!$I$3="",ISNUMBER(SEARCH('Tasks Filter'!$I$3,AU797))),OR('Tasks Filter'!$I$4="",BF797=IFERROR(MATCH('Tasks Filter'!$I$4,Setup!$L$6:$L$9,0),0)),OR('Tasks Filter'!$I$5="Both",AND('Tasks Filter'!$I$5="Yes",BB797="✓"),AND('Tasks Filter'!$I$5="No",BB797&lt;&gt;"✓")),OR('Tasks Filter'!$L$3="",AV797='Tasks Filter'!$L$3),OR('Tasks Filter'!$L$4="",AZ797='Tasks Filter'!$L$4),OR('Tasks Filter'!$L$5="",BC797='Tasks Filter'!$L$5),OR('Tasks Filter'!$O$3="",BD797='Tasks Filter'!$O$3),OR('Tasks Filter'!$O$4="Yes",BG797=0)),1,0))</f>
        <v/>
      </c>
      <c r="BJ797">
        <f>IF(BH797=0,"",IF('Tasks Filter'!$F$6="Descending",-1,1)*CHOOSE(MATCH('Tasks Filter'!$F$5,Lists!$G$2:$G$6,0),AW797,BF797,IFERROR(MATCH(AV797,Setup!$F$6:$F$15,0),99),IFERROR(MATCH(BC797,Setup!$H$6:$H$15,0),99),IFERROR(MATCH(AZ797,Setup!$J$6:$J$11,0),99))*1E+9+(AW797-40000)*10000+796)</f>
        <v/>
      </c>
      <c r="BK797">
        <f>IF(BI797=1,BJ797,"")</f>
        <v/>
      </c>
      <c r="BL797">
        <f>IF(AND(BH797=1,BG797=0,N(AW797)&lt;Setup!$D$7),(AW797-40000)*10000+796,"")</f>
        <v/>
      </c>
      <c r="BM797">
        <f>IF(AND(BH797=1,AZ797&lt;&gt;"Cancelled",N(AW797)&gt;=Dashboard!$AB$3,N(AW797)&lt;=Dashboard!$AB$3+6),(AW797-40000)*100000+BF797*10000+796,"")</f>
        <v/>
      </c>
      <c r="BN797">
        <f>IF(AND(BH797=1,AZ797&lt;&gt;"Cancelled"),BF797*10000+796,"")</f>
        <v/>
      </c>
    </row>
    <row r="798">
      <c r="AS798" t="inlineStr">
        <is>
          <t>R</t>
        </is>
      </c>
      <c r="AT798" t="n">
        <v>802</v>
      </c>
      <c r="AU798">
        <f>'Recurring Log'!C802&amp;""</f>
        <v/>
      </c>
      <c r="AV798">
        <f>'Recurring Log'!D802&amp;""</f>
        <v/>
      </c>
      <c r="AW798">
        <f>IF('Recurring Log'!E802="","",'Recurring Log'!E802)</f>
        <v/>
      </c>
      <c r="AX798">
        <f>IF('Recurring Log'!G802="","",'Recurring Log'!G802)</f>
        <v/>
      </c>
      <c r="AY798">
        <f>IF('Recurring Log'!H802="","",'Recurring Log'!H802)</f>
        <v/>
      </c>
      <c r="AZ798">
        <f>IF(AU798="","",IF('Recurring Log'!J802="","Not Started",'Recurring Log'!J802))</f>
        <v/>
      </c>
      <c r="BA798">
        <f>'Recurring Log'!L802&amp;""</f>
        <v/>
      </c>
      <c r="BB798">
        <f>'Recurring Log'!M802&amp;""</f>
        <v/>
      </c>
      <c r="BC798">
        <f>'Recurring Log'!N802&amp;""</f>
        <v/>
      </c>
      <c r="BD798">
        <f>'Recurring Log'!O802&amp;""</f>
        <v/>
      </c>
      <c r="BE798">
        <f>IF('Recurring Log'!K802="","",'Recurring Log'!K802)</f>
        <v/>
      </c>
      <c r="BF798">
        <f>IFERROR(MATCH(BA798,Setup!$L$6:$L$9,0),5)</f>
        <v/>
      </c>
      <c r="BG798">
        <f>IF(OR(AZ798="Done",AZ798="Cancelled"),1,0)</f>
        <v/>
      </c>
      <c r="BH798">
        <f>IF(AND(AU798&lt;&gt;"",ISNUMBER(AW798)),1,0)</f>
        <v/>
      </c>
      <c r="BI798">
        <f>IF(BH798=0,0,IF(AND(AW798&gt;='Tasks Filter'!$F$3,AW798&lt;='Tasks Filter'!$F$4,OR('Tasks Filter'!$I$3="",ISNUMBER(SEARCH('Tasks Filter'!$I$3,AU798))),OR('Tasks Filter'!$I$4="",BF798=IFERROR(MATCH('Tasks Filter'!$I$4,Setup!$L$6:$L$9,0),0)),OR('Tasks Filter'!$I$5="Both",AND('Tasks Filter'!$I$5="Yes",BB798="✓"),AND('Tasks Filter'!$I$5="No",BB798&lt;&gt;"✓")),OR('Tasks Filter'!$L$3="",AV798='Tasks Filter'!$L$3),OR('Tasks Filter'!$L$4="",AZ798='Tasks Filter'!$L$4),OR('Tasks Filter'!$L$5="",BC798='Tasks Filter'!$L$5),OR('Tasks Filter'!$O$3="",BD798='Tasks Filter'!$O$3),OR('Tasks Filter'!$O$4="Yes",BG798=0)),1,0))</f>
        <v/>
      </c>
      <c r="BJ798">
        <f>IF(BH798=0,"",IF('Tasks Filter'!$F$6="Descending",-1,1)*CHOOSE(MATCH('Tasks Filter'!$F$5,Lists!$G$2:$G$6,0),AW798,BF798,IFERROR(MATCH(AV798,Setup!$F$6:$F$15,0),99),IFERROR(MATCH(BC798,Setup!$H$6:$H$15,0),99),IFERROR(MATCH(AZ798,Setup!$J$6:$J$11,0),99))*1E+9+(AW798-40000)*10000+797)</f>
        <v/>
      </c>
      <c r="BK798">
        <f>IF(BI798=1,BJ798,"")</f>
        <v/>
      </c>
      <c r="BL798">
        <f>IF(AND(BH798=1,BG798=0,N(AW798)&lt;Setup!$D$7),(AW798-40000)*10000+797,"")</f>
        <v/>
      </c>
      <c r="BM798">
        <f>IF(AND(BH798=1,AZ798&lt;&gt;"Cancelled",N(AW798)&gt;=Dashboard!$AB$3,N(AW798)&lt;=Dashboard!$AB$3+6),(AW798-40000)*100000+BF798*10000+797,"")</f>
        <v/>
      </c>
      <c r="BN798">
        <f>IF(AND(BH798=1,AZ798&lt;&gt;"Cancelled"),BF798*10000+797,"")</f>
        <v/>
      </c>
    </row>
    <row r="799">
      <c r="AS799" t="inlineStr">
        <is>
          <t>R</t>
        </is>
      </c>
      <c r="AT799" t="n">
        <v>803</v>
      </c>
      <c r="AU799">
        <f>'Recurring Log'!C803&amp;""</f>
        <v/>
      </c>
      <c r="AV799">
        <f>'Recurring Log'!D803&amp;""</f>
        <v/>
      </c>
      <c r="AW799">
        <f>IF('Recurring Log'!E803="","",'Recurring Log'!E803)</f>
        <v/>
      </c>
      <c r="AX799">
        <f>IF('Recurring Log'!G803="","",'Recurring Log'!G803)</f>
        <v/>
      </c>
      <c r="AY799">
        <f>IF('Recurring Log'!H803="","",'Recurring Log'!H803)</f>
        <v/>
      </c>
      <c r="AZ799">
        <f>IF(AU799="","",IF('Recurring Log'!J803="","Not Started",'Recurring Log'!J803))</f>
        <v/>
      </c>
      <c r="BA799">
        <f>'Recurring Log'!L803&amp;""</f>
        <v/>
      </c>
      <c r="BB799">
        <f>'Recurring Log'!M803&amp;""</f>
        <v/>
      </c>
      <c r="BC799">
        <f>'Recurring Log'!N803&amp;""</f>
        <v/>
      </c>
      <c r="BD799">
        <f>'Recurring Log'!O803&amp;""</f>
        <v/>
      </c>
      <c r="BE799">
        <f>IF('Recurring Log'!K803="","",'Recurring Log'!K803)</f>
        <v/>
      </c>
      <c r="BF799">
        <f>IFERROR(MATCH(BA799,Setup!$L$6:$L$9,0),5)</f>
        <v/>
      </c>
      <c r="BG799">
        <f>IF(OR(AZ799="Done",AZ799="Cancelled"),1,0)</f>
        <v/>
      </c>
      <c r="BH799">
        <f>IF(AND(AU799&lt;&gt;"",ISNUMBER(AW799)),1,0)</f>
        <v/>
      </c>
      <c r="BI799">
        <f>IF(BH799=0,0,IF(AND(AW799&gt;='Tasks Filter'!$F$3,AW799&lt;='Tasks Filter'!$F$4,OR('Tasks Filter'!$I$3="",ISNUMBER(SEARCH('Tasks Filter'!$I$3,AU799))),OR('Tasks Filter'!$I$4="",BF799=IFERROR(MATCH('Tasks Filter'!$I$4,Setup!$L$6:$L$9,0),0)),OR('Tasks Filter'!$I$5="Both",AND('Tasks Filter'!$I$5="Yes",BB799="✓"),AND('Tasks Filter'!$I$5="No",BB799&lt;&gt;"✓")),OR('Tasks Filter'!$L$3="",AV799='Tasks Filter'!$L$3),OR('Tasks Filter'!$L$4="",AZ799='Tasks Filter'!$L$4),OR('Tasks Filter'!$L$5="",BC799='Tasks Filter'!$L$5),OR('Tasks Filter'!$O$3="",BD799='Tasks Filter'!$O$3),OR('Tasks Filter'!$O$4="Yes",BG799=0)),1,0))</f>
        <v/>
      </c>
      <c r="BJ799">
        <f>IF(BH799=0,"",IF('Tasks Filter'!$F$6="Descending",-1,1)*CHOOSE(MATCH('Tasks Filter'!$F$5,Lists!$G$2:$G$6,0),AW799,BF799,IFERROR(MATCH(AV799,Setup!$F$6:$F$15,0),99),IFERROR(MATCH(BC799,Setup!$H$6:$H$15,0),99),IFERROR(MATCH(AZ799,Setup!$J$6:$J$11,0),99))*1E+9+(AW799-40000)*10000+798)</f>
        <v/>
      </c>
      <c r="BK799">
        <f>IF(BI799=1,BJ799,"")</f>
        <v/>
      </c>
      <c r="BL799">
        <f>IF(AND(BH799=1,BG799=0,N(AW799)&lt;Setup!$D$7),(AW799-40000)*10000+798,"")</f>
        <v/>
      </c>
      <c r="BM799">
        <f>IF(AND(BH799=1,AZ799&lt;&gt;"Cancelled",N(AW799)&gt;=Dashboard!$AB$3,N(AW799)&lt;=Dashboard!$AB$3+6),(AW799-40000)*100000+BF799*10000+798,"")</f>
        <v/>
      </c>
      <c r="BN799">
        <f>IF(AND(BH799=1,AZ799&lt;&gt;"Cancelled"),BF799*10000+798,"")</f>
        <v/>
      </c>
    </row>
    <row r="800">
      <c r="AS800" t="inlineStr">
        <is>
          <t>R</t>
        </is>
      </c>
      <c r="AT800" t="n">
        <v>804</v>
      </c>
      <c r="AU800">
        <f>'Recurring Log'!C804&amp;""</f>
        <v/>
      </c>
      <c r="AV800">
        <f>'Recurring Log'!D804&amp;""</f>
        <v/>
      </c>
      <c r="AW800">
        <f>IF('Recurring Log'!E804="","",'Recurring Log'!E804)</f>
        <v/>
      </c>
      <c r="AX800">
        <f>IF('Recurring Log'!G804="","",'Recurring Log'!G804)</f>
        <v/>
      </c>
      <c r="AY800">
        <f>IF('Recurring Log'!H804="","",'Recurring Log'!H804)</f>
        <v/>
      </c>
      <c r="AZ800">
        <f>IF(AU800="","",IF('Recurring Log'!J804="","Not Started",'Recurring Log'!J804))</f>
        <v/>
      </c>
      <c r="BA800">
        <f>'Recurring Log'!L804&amp;""</f>
        <v/>
      </c>
      <c r="BB800">
        <f>'Recurring Log'!M804&amp;""</f>
        <v/>
      </c>
      <c r="BC800">
        <f>'Recurring Log'!N804&amp;""</f>
        <v/>
      </c>
      <c r="BD800">
        <f>'Recurring Log'!O804&amp;""</f>
        <v/>
      </c>
      <c r="BE800">
        <f>IF('Recurring Log'!K804="","",'Recurring Log'!K804)</f>
        <v/>
      </c>
      <c r="BF800">
        <f>IFERROR(MATCH(BA800,Setup!$L$6:$L$9,0),5)</f>
        <v/>
      </c>
      <c r="BG800">
        <f>IF(OR(AZ800="Done",AZ800="Cancelled"),1,0)</f>
        <v/>
      </c>
      <c r="BH800">
        <f>IF(AND(AU800&lt;&gt;"",ISNUMBER(AW800)),1,0)</f>
        <v/>
      </c>
      <c r="BI800">
        <f>IF(BH800=0,0,IF(AND(AW800&gt;='Tasks Filter'!$F$3,AW800&lt;='Tasks Filter'!$F$4,OR('Tasks Filter'!$I$3="",ISNUMBER(SEARCH('Tasks Filter'!$I$3,AU800))),OR('Tasks Filter'!$I$4="",BF800=IFERROR(MATCH('Tasks Filter'!$I$4,Setup!$L$6:$L$9,0),0)),OR('Tasks Filter'!$I$5="Both",AND('Tasks Filter'!$I$5="Yes",BB800="✓"),AND('Tasks Filter'!$I$5="No",BB800&lt;&gt;"✓")),OR('Tasks Filter'!$L$3="",AV800='Tasks Filter'!$L$3),OR('Tasks Filter'!$L$4="",AZ800='Tasks Filter'!$L$4),OR('Tasks Filter'!$L$5="",BC800='Tasks Filter'!$L$5),OR('Tasks Filter'!$O$3="",BD800='Tasks Filter'!$O$3),OR('Tasks Filter'!$O$4="Yes",BG800=0)),1,0))</f>
        <v/>
      </c>
      <c r="BJ800">
        <f>IF(BH800=0,"",IF('Tasks Filter'!$F$6="Descending",-1,1)*CHOOSE(MATCH('Tasks Filter'!$F$5,Lists!$G$2:$G$6,0),AW800,BF800,IFERROR(MATCH(AV800,Setup!$F$6:$F$15,0),99),IFERROR(MATCH(BC800,Setup!$H$6:$H$15,0),99),IFERROR(MATCH(AZ800,Setup!$J$6:$J$11,0),99))*1E+9+(AW800-40000)*10000+799)</f>
        <v/>
      </c>
      <c r="BK800">
        <f>IF(BI800=1,BJ800,"")</f>
        <v/>
      </c>
      <c r="BL800">
        <f>IF(AND(BH800=1,BG800=0,N(AW800)&lt;Setup!$D$7),(AW800-40000)*10000+799,"")</f>
        <v/>
      </c>
      <c r="BM800">
        <f>IF(AND(BH800=1,AZ800&lt;&gt;"Cancelled",N(AW800)&gt;=Dashboard!$AB$3,N(AW800)&lt;=Dashboard!$AB$3+6),(AW800-40000)*100000+BF800*10000+799,"")</f>
        <v/>
      </c>
      <c r="BN800">
        <f>IF(AND(BH800=1,AZ800&lt;&gt;"Cancelled"),BF800*10000+799,"")</f>
        <v/>
      </c>
    </row>
    <row r="801">
      <c r="AS801" t="inlineStr">
        <is>
          <t>R</t>
        </is>
      </c>
      <c r="AT801" t="n">
        <v>805</v>
      </c>
      <c r="AU801">
        <f>'Recurring Log'!C805&amp;""</f>
        <v/>
      </c>
      <c r="AV801">
        <f>'Recurring Log'!D805&amp;""</f>
        <v/>
      </c>
      <c r="AW801">
        <f>IF('Recurring Log'!E805="","",'Recurring Log'!E805)</f>
        <v/>
      </c>
      <c r="AX801">
        <f>IF('Recurring Log'!G805="","",'Recurring Log'!G805)</f>
        <v/>
      </c>
      <c r="AY801">
        <f>IF('Recurring Log'!H805="","",'Recurring Log'!H805)</f>
        <v/>
      </c>
      <c r="AZ801">
        <f>IF(AU801="","",IF('Recurring Log'!J805="","Not Started",'Recurring Log'!J805))</f>
        <v/>
      </c>
      <c r="BA801">
        <f>'Recurring Log'!L805&amp;""</f>
        <v/>
      </c>
      <c r="BB801">
        <f>'Recurring Log'!M805&amp;""</f>
        <v/>
      </c>
      <c r="BC801">
        <f>'Recurring Log'!N805&amp;""</f>
        <v/>
      </c>
      <c r="BD801">
        <f>'Recurring Log'!O805&amp;""</f>
        <v/>
      </c>
      <c r="BE801">
        <f>IF('Recurring Log'!K805="","",'Recurring Log'!K805)</f>
        <v/>
      </c>
      <c r="BF801">
        <f>IFERROR(MATCH(BA801,Setup!$L$6:$L$9,0),5)</f>
        <v/>
      </c>
      <c r="BG801">
        <f>IF(OR(AZ801="Done",AZ801="Cancelled"),1,0)</f>
        <v/>
      </c>
      <c r="BH801">
        <f>IF(AND(AU801&lt;&gt;"",ISNUMBER(AW801)),1,0)</f>
        <v/>
      </c>
      <c r="BI801">
        <f>IF(BH801=0,0,IF(AND(AW801&gt;='Tasks Filter'!$F$3,AW801&lt;='Tasks Filter'!$F$4,OR('Tasks Filter'!$I$3="",ISNUMBER(SEARCH('Tasks Filter'!$I$3,AU801))),OR('Tasks Filter'!$I$4="",BF801=IFERROR(MATCH('Tasks Filter'!$I$4,Setup!$L$6:$L$9,0),0)),OR('Tasks Filter'!$I$5="Both",AND('Tasks Filter'!$I$5="Yes",BB801="✓"),AND('Tasks Filter'!$I$5="No",BB801&lt;&gt;"✓")),OR('Tasks Filter'!$L$3="",AV801='Tasks Filter'!$L$3),OR('Tasks Filter'!$L$4="",AZ801='Tasks Filter'!$L$4),OR('Tasks Filter'!$L$5="",BC801='Tasks Filter'!$L$5),OR('Tasks Filter'!$O$3="",BD801='Tasks Filter'!$O$3),OR('Tasks Filter'!$O$4="Yes",BG801=0)),1,0))</f>
        <v/>
      </c>
      <c r="BJ801">
        <f>IF(BH801=0,"",IF('Tasks Filter'!$F$6="Descending",-1,1)*CHOOSE(MATCH('Tasks Filter'!$F$5,Lists!$G$2:$G$6,0),AW801,BF801,IFERROR(MATCH(AV801,Setup!$F$6:$F$15,0),99),IFERROR(MATCH(BC801,Setup!$H$6:$H$15,0),99),IFERROR(MATCH(AZ801,Setup!$J$6:$J$11,0),99))*1E+9+(AW801-40000)*10000+800)</f>
        <v/>
      </c>
      <c r="BK801">
        <f>IF(BI801=1,BJ801,"")</f>
        <v/>
      </c>
      <c r="BL801">
        <f>IF(AND(BH801=1,BG801=0,N(AW801)&lt;Setup!$D$7),(AW801-40000)*10000+800,"")</f>
        <v/>
      </c>
      <c r="BM801">
        <f>IF(AND(BH801=1,AZ801&lt;&gt;"Cancelled",N(AW801)&gt;=Dashboard!$AB$3,N(AW801)&lt;=Dashboard!$AB$3+6),(AW801-40000)*100000+BF801*10000+800,"")</f>
        <v/>
      </c>
      <c r="BN801">
        <f>IF(AND(BH801=1,AZ801&lt;&gt;"Cancelled"),BF801*10000+800,"")</f>
        <v/>
      </c>
    </row>
    <row r="802">
      <c r="AS802" t="inlineStr">
        <is>
          <t>R</t>
        </is>
      </c>
      <c r="AT802" t="n">
        <v>806</v>
      </c>
      <c r="AU802">
        <f>'Recurring Log'!C806&amp;""</f>
        <v/>
      </c>
      <c r="AV802">
        <f>'Recurring Log'!D806&amp;""</f>
        <v/>
      </c>
      <c r="AW802">
        <f>IF('Recurring Log'!E806="","",'Recurring Log'!E806)</f>
        <v/>
      </c>
      <c r="AX802">
        <f>IF('Recurring Log'!G806="","",'Recurring Log'!G806)</f>
        <v/>
      </c>
      <c r="AY802">
        <f>IF('Recurring Log'!H806="","",'Recurring Log'!H806)</f>
        <v/>
      </c>
      <c r="AZ802">
        <f>IF(AU802="","",IF('Recurring Log'!J806="","Not Started",'Recurring Log'!J806))</f>
        <v/>
      </c>
      <c r="BA802">
        <f>'Recurring Log'!L806&amp;""</f>
        <v/>
      </c>
      <c r="BB802">
        <f>'Recurring Log'!M806&amp;""</f>
        <v/>
      </c>
      <c r="BC802">
        <f>'Recurring Log'!N806&amp;""</f>
        <v/>
      </c>
      <c r="BD802">
        <f>'Recurring Log'!O806&amp;""</f>
        <v/>
      </c>
      <c r="BE802">
        <f>IF('Recurring Log'!K806="","",'Recurring Log'!K806)</f>
        <v/>
      </c>
      <c r="BF802">
        <f>IFERROR(MATCH(BA802,Setup!$L$6:$L$9,0),5)</f>
        <v/>
      </c>
      <c r="BG802">
        <f>IF(OR(AZ802="Done",AZ802="Cancelled"),1,0)</f>
        <v/>
      </c>
      <c r="BH802">
        <f>IF(AND(AU802&lt;&gt;"",ISNUMBER(AW802)),1,0)</f>
        <v/>
      </c>
      <c r="BI802">
        <f>IF(BH802=0,0,IF(AND(AW802&gt;='Tasks Filter'!$F$3,AW802&lt;='Tasks Filter'!$F$4,OR('Tasks Filter'!$I$3="",ISNUMBER(SEARCH('Tasks Filter'!$I$3,AU802))),OR('Tasks Filter'!$I$4="",BF802=IFERROR(MATCH('Tasks Filter'!$I$4,Setup!$L$6:$L$9,0),0)),OR('Tasks Filter'!$I$5="Both",AND('Tasks Filter'!$I$5="Yes",BB802="✓"),AND('Tasks Filter'!$I$5="No",BB802&lt;&gt;"✓")),OR('Tasks Filter'!$L$3="",AV802='Tasks Filter'!$L$3),OR('Tasks Filter'!$L$4="",AZ802='Tasks Filter'!$L$4),OR('Tasks Filter'!$L$5="",BC802='Tasks Filter'!$L$5),OR('Tasks Filter'!$O$3="",BD802='Tasks Filter'!$O$3),OR('Tasks Filter'!$O$4="Yes",BG802=0)),1,0))</f>
        <v/>
      </c>
      <c r="BJ802">
        <f>IF(BH802=0,"",IF('Tasks Filter'!$F$6="Descending",-1,1)*CHOOSE(MATCH('Tasks Filter'!$F$5,Lists!$G$2:$G$6,0),AW802,BF802,IFERROR(MATCH(AV802,Setup!$F$6:$F$15,0),99),IFERROR(MATCH(BC802,Setup!$H$6:$H$15,0),99),IFERROR(MATCH(AZ802,Setup!$J$6:$J$11,0),99))*1E+9+(AW802-40000)*10000+801)</f>
        <v/>
      </c>
      <c r="BK802">
        <f>IF(BI802=1,BJ802,"")</f>
        <v/>
      </c>
      <c r="BL802">
        <f>IF(AND(BH802=1,BG802=0,N(AW802)&lt;Setup!$D$7),(AW802-40000)*10000+801,"")</f>
        <v/>
      </c>
      <c r="BM802">
        <f>IF(AND(BH802=1,AZ802&lt;&gt;"Cancelled",N(AW802)&gt;=Dashboard!$AB$3,N(AW802)&lt;=Dashboard!$AB$3+6),(AW802-40000)*100000+BF802*10000+801,"")</f>
        <v/>
      </c>
      <c r="BN802">
        <f>IF(AND(BH802=1,AZ802&lt;&gt;"Cancelled"),BF802*10000+801,"")</f>
        <v/>
      </c>
    </row>
    <row r="803">
      <c r="AS803" t="inlineStr">
        <is>
          <t>R</t>
        </is>
      </c>
      <c r="AT803" t="n">
        <v>807</v>
      </c>
      <c r="AU803">
        <f>'Recurring Log'!C807&amp;""</f>
        <v/>
      </c>
      <c r="AV803">
        <f>'Recurring Log'!D807&amp;""</f>
        <v/>
      </c>
      <c r="AW803">
        <f>IF('Recurring Log'!E807="","",'Recurring Log'!E807)</f>
        <v/>
      </c>
      <c r="AX803">
        <f>IF('Recurring Log'!G807="","",'Recurring Log'!G807)</f>
        <v/>
      </c>
      <c r="AY803">
        <f>IF('Recurring Log'!H807="","",'Recurring Log'!H807)</f>
        <v/>
      </c>
      <c r="AZ803">
        <f>IF(AU803="","",IF('Recurring Log'!J807="","Not Started",'Recurring Log'!J807))</f>
        <v/>
      </c>
      <c r="BA803">
        <f>'Recurring Log'!L807&amp;""</f>
        <v/>
      </c>
      <c r="BB803">
        <f>'Recurring Log'!M807&amp;""</f>
        <v/>
      </c>
      <c r="BC803">
        <f>'Recurring Log'!N807&amp;""</f>
        <v/>
      </c>
      <c r="BD803">
        <f>'Recurring Log'!O807&amp;""</f>
        <v/>
      </c>
      <c r="BE803">
        <f>IF('Recurring Log'!K807="","",'Recurring Log'!K807)</f>
        <v/>
      </c>
      <c r="BF803">
        <f>IFERROR(MATCH(BA803,Setup!$L$6:$L$9,0),5)</f>
        <v/>
      </c>
      <c r="BG803">
        <f>IF(OR(AZ803="Done",AZ803="Cancelled"),1,0)</f>
        <v/>
      </c>
      <c r="BH803">
        <f>IF(AND(AU803&lt;&gt;"",ISNUMBER(AW803)),1,0)</f>
        <v/>
      </c>
      <c r="BI803">
        <f>IF(BH803=0,0,IF(AND(AW803&gt;='Tasks Filter'!$F$3,AW803&lt;='Tasks Filter'!$F$4,OR('Tasks Filter'!$I$3="",ISNUMBER(SEARCH('Tasks Filter'!$I$3,AU803))),OR('Tasks Filter'!$I$4="",BF803=IFERROR(MATCH('Tasks Filter'!$I$4,Setup!$L$6:$L$9,0),0)),OR('Tasks Filter'!$I$5="Both",AND('Tasks Filter'!$I$5="Yes",BB803="✓"),AND('Tasks Filter'!$I$5="No",BB803&lt;&gt;"✓")),OR('Tasks Filter'!$L$3="",AV803='Tasks Filter'!$L$3),OR('Tasks Filter'!$L$4="",AZ803='Tasks Filter'!$L$4),OR('Tasks Filter'!$L$5="",BC803='Tasks Filter'!$L$5),OR('Tasks Filter'!$O$3="",BD803='Tasks Filter'!$O$3),OR('Tasks Filter'!$O$4="Yes",BG803=0)),1,0))</f>
        <v/>
      </c>
      <c r="BJ803">
        <f>IF(BH803=0,"",IF('Tasks Filter'!$F$6="Descending",-1,1)*CHOOSE(MATCH('Tasks Filter'!$F$5,Lists!$G$2:$G$6,0),AW803,BF803,IFERROR(MATCH(AV803,Setup!$F$6:$F$15,0),99),IFERROR(MATCH(BC803,Setup!$H$6:$H$15,0),99),IFERROR(MATCH(AZ803,Setup!$J$6:$J$11,0),99))*1E+9+(AW803-40000)*10000+802)</f>
        <v/>
      </c>
      <c r="BK803">
        <f>IF(BI803=1,BJ803,"")</f>
        <v/>
      </c>
      <c r="BL803">
        <f>IF(AND(BH803=1,BG803=0,N(AW803)&lt;Setup!$D$7),(AW803-40000)*10000+802,"")</f>
        <v/>
      </c>
      <c r="BM803">
        <f>IF(AND(BH803=1,AZ803&lt;&gt;"Cancelled",N(AW803)&gt;=Dashboard!$AB$3,N(AW803)&lt;=Dashboard!$AB$3+6),(AW803-40000)*100000+BF803*10000+802,"")</f>
        <v/>
      </c>
      <c r="BN803">
        <f>IF(AND(BH803=1,AZ803&lt;&gt;"Cancelled"),BF803*10000+802,"")</f>
        <v/>
      </c>
    </row>
    <row r="804">
      <c r="AS804" t="inlineStr">
        <is>
          <t>R</t>
        </is>
      </c>
      <c r="AT804" t="n">
        <v>808</v>
      </c>
      <c r="AU804">
        <f>'Recurring Log'!C808&amp;""</f>
        <v/>
      </c>
      <c r="AV804">
        <f>'Recurring Log'!D808&amp;""</f>
        <v/>
      </c>
      <c r="AW804">
        <f>IF('Recurring Log'!E808="","",'Recurring Log'!E808)</f>
        <v/>
      </c>
      <c r="AX804">
        <f>IF('Recurring Log'!G808="","",'Recurring Log'!G808)</f>
        <v/>
      </c>
      <c r="AY804">
        <f>IF('Recurring Log'!H808="","",'Recurring Log'!H808)</f>
        <v/>
      </c>
      <c r="AZ804">
        <f>IF(AU804="","",IF('Recurring Log'!J808="","Not Started",'Recurring Log'!J808))</f>
        <v/>
      </c>
      <c r="BA804">
        <f>'Recurring Log'!L808&amp;""</f>
        <v/>
      </c>
      <c r="BB804">
        <f>'Recurring Log'!M808&amp;""</f>
        <v/>
      </c>
      <c r="BC804">
        <f>'Recurring Log'!N808&amp;""</f>
        <v/>
      </c>
      <c r="BD804">
        <f>'Recurring Log'!O808&amp;""</f>
        <v/>
      </c>
      <c r="BE804">
        <f>IF('Recurring Log'!K808="","",'Recurring Log'!K808)</f>
        <v/>
      </c>
      <c r="BF804">
        <f>IFERROR(MATCH(BA804,Setup!$L$6:$L$9,0),5)</f>
        <v/>
      </c>
      <c r="BG804">
        <f>IF(OR(AZ804="Done",AZ804="Cancelled"),1,0)</f>
        <v/>
      </c>
      <c r="BH804">
        <f>IF(AND(AU804&lt;&gt;"",ISNUMBER(AW804)),1,0)</f>
        <v/>
      </c>
      <c r="BI804">
        <f>IF(BH804=0,0,IF(AND(AW804&gt;='Tasks Filter'!$F$3,AW804&lt;='Tasks Filter'!$F$4,OR('Tasks Filter'!$I$3="",ISNUMBER(SEARCH('Tasks Filter'!$I$3,AU804))),OR('Tasks Filter'!$I$4="",BF804=IFERROR(MATCH('Tasks Filter'!$I$4,Setup!$L$6:$L$9,0),0)),OR('Tasks Filter'!$I$5="Both",AND('Tasks Filter'!$I$5="Yes",BB804="✓"),AND('Tasks Filter'!$I$5="No",BB804&lt;&gt;"✓")),OR('Tasks Filter'!$L$3="",AV804='Tasks Filter'!$L$3),OR('Tasks Filter'!$L$4="",AZ804='Tasks Filter'!$L$4),OR('Tasks Filter'!$L$5="",BC804='Tasks Filter'!$L$5),OR('Tasks Filter'!$O$3="",BD804='Tasks Filter'!$O$3),OR('Tasks Filter'!$O$4="Yes",BG804=0)),1,0))</f>
        <v/>
      </c>
      <c r="BJ804">
        <f>IF(BH804=0,"",IF('Tasks Filter'!$F$6="Descending",-1,1)*CHOOSE(MATCH('Tasks Filter'!$F$5,Lists!$G$2:$G$6,0),AW804,BF804,IFERROR(MATCH(AV804,Setup!$F$6:$F$15,0),99),IFERROR(MATCH(BC804,Setup!$H$6:$H$15,0),99),IFERROR(MATCH(AZ804,Setup!$J$6:$J$11,0),99))*1E+9+(AW804-40000)*10000+803)</f>
        <v/>
      </c>
      <c r="BK804">
        <f>IF(BI804=1,BJ804,"")</f>
        <v/>
      </c>
      <c r="BL804">
        <f>IF(AND(BH804=1,BG804=0,N(AW804)&lt;Setup!$D$7),(AW804-40000)*10000+803,"")</f>
        <v/>
      </c>
      <c r="BM804">
        <f>IF(AND(BH804=1,AZ804&lt;&gt;"Cancelled",N(AW804)&gt;=Dashboard!$AB$3,N(AW804)&lt;=Dashboard!$AB$3+6),(AW804-40000)*100000+BF804*10000+803,"")</f>
        <v/>
      </c>
      <c r="BN804">
        <f>IF(AND(BH804=1,AZ804&lt;&gt;"Cancelled"),BF804*10000+803,"")</f>
        <v/>
      </c>
    </row>
    <row r="805">
      <c r="AS805" t="inlineStr">
        <is>
          <t>R</t>
        </is>
      </c>
      <c r="AT805" t="n">
        <v>809</v>
      </c>
      <c r="AU805">
        <f>'Recurring Log'!C809&amp;""</f>
        <v/>
      </c>
      <c r="AV805">
        <f>'Recurring Log'!D809&amp;""</f>
        <v/>
      </c>
      <c r="AW805">
        <f>IF('Recurring Log'!E809="","",'Recurring Log'!E809)</f>
        <v/>
      </c>
      <c r="AX805">
        <f>IF('Recurring Log'!G809="","",'Recurring Log'!G809)</f>
        <v/>
      </c>
      <c r="AY805">
        <f>IF('Recurring Log'!H809="","",'Recurring Log'!H809)</f>
        <v/>
      </c>
      <c r="AZ805">
        <f>IF(AU805="","",IF('Recurring Log'!J809="","Not Started",'Recurring Log'!J809))</f>
        <v/>
      </c>
      <c r="BA805">
        <f>'Recurring Log'!L809&amp;""</f>
        <v/>
      </c>
      <c r="BB805">
        <f>'Recurring Log'!M809&amp;""</f>
        <v/>
      </c>
      <c r="BC805">
        <f>'Recurring Log'!N809&amp;""</f>
        <v/>
      </c>
      <c r="BD805">
        <f>'Recurring Log'!O809&amp;""</f>
        <v/>
      </c>
      <c r="BE805">
        <f>IF('Recurring Log'!K809="","",'Recurring Log'!K809)</f>
        <v/>
      </c>
      <c r="BF805">
        <f>IFERROR(MATCH(BA805,Setup!$L$6:$L$9,0),5)</f>
        <v/>
      </c>
      <c r="BG805">
        <f>IF(OR(AZ805="Done",AZ805="Cancelled"),1,0)</f>
        <v/>
      </c>
      <c r="BH805">
        <f>IF(AND(AU805&lt;&gt;"",ISNUMBER(AW805)),1,0)</f>
        <v/>
      </c>
      <c r="BI805">
        <f>IF(BH805=0,0,IF(AND(AW805&gt;='Tasks Filter'!$F$3,AW805&lt;='Tasks Filter'!$F$4,OR('Tasks Filter'!$I$3="",ISNUMBER(SEARCH('Tasks Filter'!$I$3,AU805))),OR('Tasks Filter'!$I$4="",BF805=IFERROR(MATCH('Tasks Filter'!$I$4,Setup!$L$6:$L$9,0),0)),OR('Tasks Filter'!$I$5="Both",AND('Tasks Filter'!$I$5="Yes",BB805="✓"),AND('Tasks Filter'!$I$5="No",BB805&lt;&gt;"✓")),OR('Tasks Filter'!$L$3="",AV805='Tasks Filter'!$L$3),OR('Tasks Filter'!$L$4="",AZ805='Tasks Filter'!$L$4),OR('Tasks Filter'!$L$5="",BC805='Tasks Filter'!$L$5),OR('Tasks Filter'!$O$3="",BD805='Tasks Filter'!$O$3),OR('Tasks Filter'!$O$4="Yes",BG805=0)),1,0))</f>
        <v/>
      </c>
      <c r="BJ805">
        <f>IF(BH805=0,"",IF('Tasks Filter'!$F$6="Descending",-1,1)*CHOOSE(MATCH('Tasks Filter'!$F$5,Lists!$G$2:$G$6,0),AW805,BF805,IFERROR(MATCH(AV805,Setup!$F$6:$F$15,0),99),IFERROR(MATCH(BC805,Setup!$H$6:$H$15,0),99),IFERROR(MATCH(AZ805,Setup!$J$6:$J$11,0),99))*1E+9+(AW805-40000)*10000+804)</f>
        <v/>
      </c>
      <c r="BK805">
        <f>IF(BI805=1,BJ805,"")</f>
        <v/>
      </c>
      <c r="BL805">
        <f>IF(AND(BH805=1,BG805=0,N(AW805)&lt;Setup!$D$7),(AW805-40000)*10000+804,"")</f>
        <v/>
      </c>
      <c r="BM805">
        <f>IF(AND(BH805=1,AZ805&lt;&gt;"Cancelled",N(AW805)&gt;=Dashboard!$AB$3,N(AW805)&lt;=Dashboard!$AB$3+6),(AW805-40000)*100000+BF805*10000+804,"")</f>
        <v/>
      </c>
      <c r="BN805">
        <f>IF(AND(BH805=1,AZ805&lt;&gt;"Cancelled"),BF805*10000+804,"")</f>
        <v/>
      </c>
    </row>
    <row r="806">
      <c r="AS806" t="inlineStr">
        <is>
          <t>R</t>
        </is>
      </c>
      <c r="AT806" t="n">
        <v>810</v>
      </c>
      <c r="AU806">
        <f>'Recurring Log'!C810&amp;""</f>
        <v/>
      </c>
      <c r="AV806">
        <f>'Recurring Log'!D810&amp;""</f>
        <v/>
      </c>
      <c r="AW806">
        <f>IF('Recurring Log'!E810="","",'Recurring Log'!E810)</f>
        <v/>
      </c>
      <c r="AX806">
        <f>IF('Recurring Log'!G810="","",'Recurring Log'!G810)</f>
        <v/>
      </c>
      <c r="AY806">
        <f>IF('Recurring Log'!H810="","",'Recurring Log'!H810)</f>
        <v/>
      </c>
      <c r="AZ806">
        <f>IF(AU806="","",IF('Recurring Log'!J810="","Not Started",'Recurring Log'!J810))</f>
        <v/>
      </c>
      <c r="BA806">
        <f>'Recurring Log'!L810&amp;""</f>
        <v/>
      </c>
      <c r="BB806">
        <f>'Recurring Log'!M810&amp;""</f>
        <v/>
      </c>
      <c r="BC806">
        <f>'Recurring Log'!N810&amp;""</f>
        <v/>
      </c>
      <c r="BD806">
        <f>'Recurring Log'!O810&amp;""</f>
        <v/>
      </c>
      <c r="BE806">
        <f>IF('Recurring Log'!K810="","",'Recurring Log'!K810)</f>
        <v/>
      </c>
      <c r="BF806">
        <f>IFERROR(MATCH(BA806,Setup!$L$6:$L$9,0),5)</f>
        <v/>
      </c>
      <c r="BG806">
        <f>IF(OR(AZ806="Done",AZ806="Cancelled"),1,0)</f>
        <v/>
      </c>
      <c r="BH806">
        <f>IF(AND(AU806&lt;&gt;"",ISNUMBER(AW806)),1,0)</f>
        <v/>
      </c>
      <c r="BI806">
        <f>IF(BH806=0,0,IF(AND(AW806&gt;='Tasks Filter'!$F$3,AW806&lt;='Tasks Filter'!$F$4,OR('Tasks Filter'!$I$3="",ISNUMBER(SEARCH('Tasks Filter'!$I$3,AU806))),OR('Tasks Filter'!$I$4="",BF806=IFERROR(MATCH('Tasks Filter'!$I$4,Setup!$L$6:$L$9,0),0)),OR('Tasks Filter'!$I$5="Both",AND('Tasks Filter'!$I$5="Yes",BB806="✓"),AND('Tasks Filter'!$I$5="No",BB806&lt;&gt;"✓")),OR('Tasks Filter'!$L$3="",AV806='Tasks Filter'!$L$3),OR('Tasks Filter'!$L$4="",AZ806='Tasks Filter'!$L$4),OR('Tasks Filter'!$L$5="",BC806='Tasks Filter'!$L$5),OR('Tasks Filter'!$O$3="",BD806='Tasks Filter'!$O$3),OR('Tasks Filter'!$O$4="Yes",BG806=0)),1,0))</f>
        <v/>
      </c>
      <c r="BJ806">
        <f>IF(BH806=0,"",IF('Tasks Filter'!$F$6="Descending",-1,1)*CHOOSE(MATCH('Tasks Filter'!$F$5,Lists!$G$2:$G$6,0),AW806,BF806,IFERROR(MATCH(AV806,Setup!$F$6:$F$15,0),99),IFERROR(MATCH(BC806,Setup!$H$6:$H$15,0),99),IFERROR(MATCH(AZ806,Setup!$J$6:$J$11,0),99))*1E+9+(AW806-40000)*10000+805)</f>
        <v/>
      </c>
      <c r="BK806">
        <f>IF(BI806=1,BJ806,"")</f>
        <v/>
      </c>
      <c r="BL806">
        <f>IF(AND(BH806=1,BG806=0,N(AW806)&lt;Setup!$D$7),(AW806-40000)*10000+805,"")</f>
        <v/>
      </c>
      <c r="BM806">
        <f>IF(AND(BH806=1,AZ806&lt;&gt;"Cancelled",N(AW806)&gt;=Dashboard!$AB$3,N(AW806)&lt;=Dashboard!$AB$3+6),(AW806-40000)*100000+BF806*10000+805,"")</f>
        <v/>
      </c>
      <c r="BN806">
        <f>IF(AND(BH806=1,AZ806&lt;&gt;"Cancelled"),BF806*10000+805,"")</f>
        <v/>
      </c>
    </row>
    <row r="807">
      <c r="AS807" t="inlineStr">
        <is>
          <t>R</t>
        </is>
      </c>
      <c r="AT807" t="n">
        <v>811</v>
      </c>
      <c r="AU807">
        <f>'Recurring Log'!C811&amp;""</f>
        <v/>
      </c>
      <c r="AV807">
        <f>'Recurring Log'!D811&amp;""</f>
        <v/>
      </c>
      <c r="AW807">
        <f>IF('Recurring Log'!E811="","",'Recurring Log'!E811)</f>
        <v/>
      </c>
      <c r="AX807">
        <f>IF('Recurring Log'!G811="","",'Recurring Log'!G811)</f>
        <v/>
      </c>
      <c r="AY807">
        <f>IF('Recurring Log'!H811="","",'Recurring Log'!H811)</f>
        <v/>
      </c>
      <c r="AZ807">
        <f>IF(AU807="","",IF('Recurring Log'!J811="","Not Started",'Recurring Log'!J811))</f>
        <v/>
      </c>
      <c r="BA807">
        <f>'Recurring Log'!L811&amp;""</f>
        <v/>
      </c>
      <c r="BB807">
        <f>'Recurring Log'!M811&amp;""</f>
        <v/>
      </c>
      <c r="BC807">
        <f>'Recurring Log'!N811&amp;""</f>
        <v/>
      </c>
      <c r="BD807">
        <f>'Recurring Log'!O811&amp;""</f>
        <v/>
      </c>
      <c r="BE807">
        <f>IF('Recurring Log'!K811="","",'Recurring Log'!K811)</f>
        <v/>
      </c>
      <c r="BF807">
        <f>IFERROR(MATCH(BA807,Setup!$L$6:$L$9,0),5)</f>
        <v/>
      </c>
      <c r="BG807">
        <f>IF(OR(AZ807="Done",AZ807="Cancelled"),1,0)</f>
        <v/>
      </c>
      <c r="BH807">
        <f>IF(AND(AU807&lt;&gt;"",ISNUMBER(AW807)),1,0)</f>
        <v/>
      </c>
      <c r="BI807">
        <f>IF(BH807=0,0,IF(AND(AW807&gt;='Tasks Filter'!$F$3,AW807&lt;='Tasks Filter'!$F$4,OR('Tasks Filter'!$I$3="",ISNUMBER(SEARCH('Tasks Filter'!$I$3,AU807))),OR('Tasks Filter'!$I$4="",BF807=IFERROR(MATCH('Tasks Filter'!$I$4,Setup!$L$6:$L$9,0),0)),OR('Tasks Filter'!$I$5="Both",AND('Tasks Filter'!$I$5="Yes",BB807="✓"),AND('Tasks Filter'!$I$5="No",BB807&lt;&gt;"✓")),OR('Tasks Filter'!$L$3="",AV807='Tasks Filter'!$L$3),OR('Tasks Filter'!$L$4="",AZ807='Tasks Filter'!$L$4),OR('Tasks Filter'!$L$5="",BC807='Tasks Filter'!$L$5),OR('Tasks Filter'!$O$3="",BD807='Tasks Filter'!$O$3),OR('Tasks Filter'!$O$4="Yes",BG807=0)),1,0))</f>
        <v/>
      </c>
      <c r="BJ807">
        <f>IF(BH807=0,"",IF('Tasks Filter'!$F$6="Descending",-1,1)*CHOOSE(MATCH('Tasks Filter'!$F$5,Lists!$G$2:$G$6,0),AW807,BF807,IFERROR(MATCH(AV807,Setup!$F$6:$F$15,0),99),IFERROR(MATCH(BC807,Setup!$H$6:$H$15,0),99),IFERROR(MATCH(AZ807,Setup!$J$6:$J$11,0),99))*1E+9+(AW807-40000)*10000+806)</f>
        <v/>
      </c>
      <c r="BK807">
        <f>IF(BI807=1,BJ807,"")</f>
        <v/>
      </c>
      <c r="BL807">
        <f>IF(AND(BH807=1,BG807=0,N(AW807)&lt;Setup!$D$7),(AW807-40000)*10000+806,"")</f>
        <v/>
      </c>
      <c r="BM807">
        <f>IF(AND(BH807=1,AZ807&lt;&gt;"Cancelled",N(AW807)&gt;=Dashboard!$AB$3,N(AW807)&lt;=Dashboard!$AB$3+6),(AW807-40000)*100000+BF807*10000+806,"")</f>
        <v/>
      </c>
      <c r="BN807">
        <f>IF(AND(BH807=1,AZ807&lt;&gt;"Cancelled"),BF807*10000+806,"")</f>
        <v/>
      </c>
    </row>
    <row r="808">
      <c r="AS808" t="inlineStr">
        <is>
          <t>R</t>
        </is>
      </c>
      <c r="AT808" t="n">
        <v>812</v>
      </c>
      <c r="AU808">
        <f>'Recurring Log'!C812&amp;""</f>
        <v/>
      </c>
      <c r="AV808">
        <f>'Recurring Log'!D812&amp;""</f>
        <v/>
      </c>
      <c r="AW808">
        <f>IF('Recurring Log'!E812="","",'Recurring Log'!E812)</f>
        <v/>
      </c>
      <c r="AX808">
        <f>IF('Recurring Log'!G812="","",'Recurring Log'!G812)</f>
        <v/>
      </c>
      <c r="AY808">
        <f>IF('Recurring Log'!H812="","",'Recurring Log'!H812)</f>
        <v/>
      </c>
      <c r="AZ808">
        <f>IF(AU808="","",IF('Recurring Log'!J812="","Not Started",'Recurring Log'!J812))</f>
        <v/>
      </c>
      <c r="BA808">
        <f>'Recurring Log'!L812&amp;""</f>
        <v/>
      </c>
      <c r="BB808">
        <f>'Recurring Log'!M812&amp;""</f>
        <v/>
      </c>
      <c r="BC808">
        <f>'Recurring Log'!N812&amp;""</f>
        <v/>
      </c>
      <c r="BD808">
        <f>'Recurring Log'!O812&amp;""</f>
        <v/>
      </c>
      <c r="BE808">
        <f>IF('Recurring Log'!K812="","",'Recurring Log'!K812)</f>
        <v/>
      </c>
      <c r="BF808">
        <f>IFERROR(MATCH(BA808,Setup!$L$6:$L$9,0),5)</f>
        <v/>
      </c>
      <c r="BG808">
        <f>IF(OR(AZ808="Done",AZ808="Cancelled"),1,0)</f>
        <v/>
      </c>
      <c r="BH808">
        <f>IF(AND(AU808&lt;&gt;"",ISNUMBER(AW808)),1,0)</f>
        <v/>
      </c>
      <c r="BI808">
        <f>IF(BH808=0,0,IF(AND(AW808&gt;='Tasks Filter'!$F$3,AW808&lt;='Tasks Filter'!$F$4,OR('Tasks Filter'!$I$3="",ISNUMBER(SEARCH('Tasks Filter'!$I$3,AU808))),OR('Tasks Filter'!$I$4="",BF808=IFERROR(MATCH('Tasks Filter'!$I$4,Setup!$L$6:$L$9,0),0)),OR('Tasks Filter'!$I$5="Both",AND('Tasks Filter'!$I$5="Yes",BB808="✓"),AND('Tasks Filter'!$I$5="No",BB808&lt;&gt;"✓")),OR('Tasks Filter'!$L$3="",AV808='Tasks Filter'!$L$3),OR('Tasks Filter'!$L$4="",AZ808='Tasks Filter'!$L$4),OR('Tasks Filter'!$L$5="",BC808='Tasks Filter'!$L$5),OR('Tasks Filter'!$O$3="",BD808='Tasks Filter'!$O$3),OR('Tasks Filter'!$O$4="Yes",BG808=0)),1,0))</f>
        <v/>
      </c>
      <c r="BJ808">
        <f>IF(BH808=0,"",IF('Tasks Filter'!$F$6="Descending",-1,1)*CHOOSE(MATCH('Tasks Filter'!$F$5,Lists!$G$2:$G$6,0),AW808,BF808,IFERROR(MATCH(AV808,Setup!$F$6:$F$15,0),99),IFERROR(MATCH(BC808,Setup!$H$6:$H$15,0),99),IFERROR(MATCH(AZ808,Setup!$J$6:$J$11,0),99))*1E+9+(AW808-40000)*10000+807)</f>
        <v/>
      </c>
      <c r="BK808">
        <f>IF(BI808=1,BJ808,"")</f>
        <v/>
      </c>
      <c r="BL808">
        <f>IF(AND(BH808=1,BG808=0,N(AW808)&lt;Setup!$D$7),(AW808-40000)*10000+807,"")</f>
        <v/>
      </c>
      <c r="BM808">
        <f>IF(AND(BH808=1,AZ808&lt;&gt;"Cancelled",N(AW808)&gt;=Dashboard!$AB$3,N(AW808)&lt;=Dashboard!$AB$3+6),(AW808-40000)*100000+BF808*10000+807,"")</f>
        <v/>
      </c>
      <c r="BN808">
        <f>IF(AND(BH808=1,AZ808&lt;&gt;"Cancelled"),BF808*10000+807,"")</f>
        <v/>
      </c>
    </row>
    <row r="809">
      <c r="AS809" t="inlineStr">
        <is>
          <t>R</t>
        </is>
      </c>
      <c r="AT809" t="n">
        <v>813</v>
      </c>
      <c r="AU809">
        <f>'Recurring Log'!C813&amp;""</f>
        <v/>
      </c>
      <c r="AV809">
        <f>'Recurring Log'!D813&amp;""</f>
        <v/>
      </c>
      <c r="AW809">
        <f>IF('Recurring Log'!E813="","",'Recurring Log'!E813)</f>
        <v/>
      </c>
      <c r="AX809">
        <f>IF('Recurring Log'!G813="","",'Recurring Log'!G813)</f>
        <v/>
      </c>
      <c r="AY809">
        <f>IF('Recurring Log'!H813="","",'Recurring Log'!H813)</f>
        <v/>
      </c>
      <c r="AZ809">
        <f>IF(AU809="","",IF('Recurring Log'!J813="","Not Started",'Recurring Log'!J813))</f>
        <v/>
      </c>
      <c r="BA809">
        <f>'Recurring Log'!L813&amp;""</f>
        <v/>
      </c>
      <c r="BB809">
        <f>'Recurring Log'!M813&amp;""</f>
        <v/>
      </c>
      <c r="BC809">
        <f>'Recurring Log'!N813&amp;""</f>
        <v/>
      </c>
      <c r="BD809">
        <f>'Recurring Log'!O813&amp;""</f>
        <v/>
      </c>
      <c r="BE809">
        <f>IF('Recurring Log'!K813="","",'Recurring Log'!K813)</f>
        <v/>
      </c>
      <c r="BF809">
        <f>IFERROR(MATCH(BA809,Setup!$L$6:$L$9,0),5)</f>
        <v/>
      </c>
      <c r="BG809">
        <f>IF(OR(AZ809="Done",AZ809="Cancelled"),1,0)</f>
        <v/>
      </c>
      <c r="BH809">
        <f>IF(AND(AU809&lt;&gt;"",ISNUMBER(AW809)),1,0)</f>
        <v/>
      </c>
      <c r="BI809">
        <f>IF(BH809=0,0,IF(AND(AW809&gt;='Tasks Filter'!$F$3,AW809&lt;='Tasks Filter'!$F$4,OR('Tasks Filter'!$I$3="",ISNUMBER(SEARCH('Tasks Filter'!$I$3,AU809))),OR('Tasks Filter'!$I$4="",BF809=IFERROR(MATCH('Tasks Filter'!$I$4,Setup!$L$6:$L$9,0),0)),OR('Tasks Filter'!$I$5="Both",AND('Tasks Filter'!$I$5="Yes",BB809="✓"),AND('Tasks Filter'!$I$5="No",BB809&lt;&gt;"✓")),OR('Tasks Filter'!$L$3="",AV809='Tasks Filter'!$L$3),OR('Tasks Filter'!$L$4="",AZ809='Tasks Filter'!$L$4),OR('Tasks Filter'!$L$5="",BC809='Tasks Filter'!$L$5),OR('Tasks Filter'!$O$3="",BD809='Tasks Filter'!$O$3),OR('Tasks Filter'!$O$4="Yes",BG809=0)),1,0))</f>
        <v/>
      </c>
      <c r="BJ809">
        <f>IF(BH809=0,"",IF('Tasks Filter'!$F$6="Descending",-1,1)*CHOOSE(MATCH('Tasks Filter'!$F$5,Lists!$G$2:$G$6,0),AW809,BF809,IFERROR(MATCH(AV809,Setup!$F$6:$F$15,0),99),IFERROR(MATCH(BC809,Setup!$H$6:$H$15,0),99),IFERROR(MATCH(AZ809,Setup!$J$6:$J$11,0),99))*1E+9+(AW809-40000)*10000+808)</f>
        <v/>
      </c>
      <c r="BK809">
        <f>IF(BI809=1,BJ809,"")</f>
        <v/>
      </c>
      <c r="BL809">
        <f>IF(AND(BH809=1,BG809=0,N(AW809)&lt;Setup!$D$7),(AW809-40000)*10000+808,"")</f>
        <v/>
      </c>
      <c r="BM809">
        <f>IF(AND(BH809=1,AZ809&lt;&gt;"Cancelled",N(AW809)&gt;=Dashboard!$AB$3,N(AW809)&lt;=Dashboard!$AB$3+6),(AW809-40000)*100000+BF809*10000+808,"")</f>
        <v/>
      </c>
      <c r="BN809">
        <f>IF(AND(BH809=1,AZ809&lt;&gt;"Cancelled"),BF809*10000+808,"")</f>
        <v/>
      </c>
    </row>
    <row r="810">
      <c r="AS810" t="inlineStr">
        <is>
          <t>R</t>
        </is>
      </c>
      <c r="AT810" t="n">
        <v>814</v>
      </c>
      <c r="AU810">
        <f>'Recurring Log'!C814&amp;""</f>
        <v/>
      </c>
      <c r="AV810">
        <f>'Recurring Log'!D814&amp;""</f>
        <v/>
      </c>
      <c r="AW810">
        <f>IF('Recurring Log'!E814="","",'Recurring Log'!E814)</f>
        <v/>
      </c>
      <c r="AX810">
        <f>IF('Recurring Log'!G814="","",'Recurring Log'!G814)</f>
        <v/>
      </c>
      <c r="AY810">
        <f>IF('Recurring Log'!H814="","",'Recurring Log'!H814)</f>
        <v/>
      </c>
      <c r="AZ810">
        <f>IF(AU810="","",IF('Recurring Log'!J814="","Not Started",'Recurring Log'!J814))</f>
        <v/>
      </c>
      <c r="BA810">
        <f>'Recurring Log'!L814&amp;""</f>
        <v/>
      </c>
      <c r="BB810">
        <f>'Recurring Log'!M814&amp;""</f>
        <v/>
      </c>
      <c r="BC810">
        <f>'Recurring Log'!N814&amp;""</f>
        <v/>
      </c>
      <c r="BD810">
        <f>'Recurring Log'!O814&amp;""</f>
        <v/>
      </c>
      <c r="BE810">
        <f>IF('Recurring Log'!K814="","",'Recurring Log'!K814)</f>
        <v/>
      </c>
      <c r="BF810">
        <f>IFERROR(MATCH(BA810,Setup!$L$6:$L$9,0),5)</f>
        <v/>
      </c>
      <c r="BG810">
        <f>IF(OR(AZ810="Done",AZ810="Cancelled"),1,0)</f>
        <v/>
      </c>
      <c r="BH810">
        <f>IF(AND(AU810&lt;&gt;"",ISNUMBER(AW810)),1,0)</f>
        <v/>
      </c>
      <c r="BI810">
        <f>IF(BH810=0,0,IF(AND(AW810&gt;='Tasks Filter'!$F$3,AW810&lt;='Tasks Filter'!$F$4,OR('Tasks Filter'!$I$3="",ISNUMBER(SEARCH('Tasks Filter'!$I$3,AU810))),OR('Tasks Filter'!$I$4="",BF810=IFERROR(MATCH('Tasks Filter'!$I$4,Setup!$L$6:$L$9,0),0)),OR('Tasks Filter'!$I$5="Both",AND('Tasks Filter'!$I$5="Yes",BB810="✓"),AND('Tasks Filter'!$I$5="No",BB810&lt;&gt;"✓")),OR('Tasks Filter'!$L$3="",AV810='Tasks Filter'!$L$3),OR('Tasks Filter'!$L$4="",AZ810='Tasks Filter'!$L$4),OR('Tasks Filter'!$L$5="",BC810='Tasks Filter'!$L$5),OR('Tasks Filter'!$O$3="",BD810='Tasks Filter'!$O$3),OR('Tasks Filter'!$O$4="Yes",BG810=0)),1,0))</f>
        <v/>
      </c>
      <c r="BJ810">
        <f>IF(BH810=0,"",IF('Tasks Filter'!$F$6="Descending",-1,1)*CHOOSE(MATCH('Tasks Filter'!$F$5,Lists!$G$2:$G$6,0),AW810,BF810,IFERROR(MATCH(AV810,Setup!$F$6:$F$15,0),99),IFERROR(MATCH(BC810,Setup!$H$6:$H$15,0),99),IFERROR(MATCH(AZ810,Setup!$J$6:$J$11,0),99))*1E+9+(AW810-40000)*10000+809)</f>
        <v/>
      </c>
      <c r="BK810">
        <f>IF(BI810=1,BJ810,"")</f>
        <v/>
      </c>
      <c r="BL810">
        <f>IF(AND(BH810=1,BG810=0,N(AW810)&lt;Setup!$D$7),(AW810-40000)*10000+809,"")</f>
        <v/>
      </c>
      <c r="BM810">
        <f>IF(AND(BH810=1,AZ810&lt;&gt;"Cancelled",N(AW810)&gt;=Dashboard!$AB$3,N(AW810)&lt;=Dashboard!$AB$3+6),(AW810-40000)*100000+BF810*10000+809,"")</f>
        <v/>
      </c>
      <c r="BN810">
        <f>IF(AND(BH810=1,AZ810&lt;&gt;"Cancelled"),BF810*10000+809,"")</f>
        <v/>
      </c>
    </row>
    <row r="811">
      <c r="AS811" t="inlineStr">
        <is>
          <t>R</t>
        </is>
      </c>
      <c r="AT811" t="n">
        <v>815</v>
      </c>
      <c r="AU811">
        <f>'Recurring Log'!C815&amp;""</f>
        <v/>
      </c>
      <c r="AV811">
        <f>'Recurring Log'!D815&amp;""</f>
        <v/>
      </c>
      <c r="AW811">
        <f>IF('Recurring Log'!E815="","",'Recurring Log'!E815)</f>
        <v/>
      </c>
      <c r="AX811">
        <f>IF('Recurring Log'!G815="","",'Recurring Log'!G815)</f>
        <v/>
      </c>
      <c r="AY811">
        <f>IF('Recurring Log'!H815="","",'Recurring Log'!H815)</f>
        <v/>
      </c>
      <c r="AZ811">
        <f>IF(AU811="","",IF('Recurring Log'!J815="","Not Started",'Recurring Log'!J815))</f>
        <v/>
      </c>
      <c r="BA811">
        <f>'Recurring Log'!L815&amp;""</f>
        <v/>
      </c>
      <c r="BB811">
        <f>'Recurring Log'!M815&amp;""</f>
        <v/>
      </c>
      <c r="BC811">
        <f>'Recurring Log'!N815&amp;""</f>
        <v/>
      </c>
      <c r="BD811">
        <f>'Recurring Log'!O815&amp;""</f>
        <v/>
      </c>
      <c r="BE811">
        <f>IF('Recurring Log'!K815="","",'Recurring Log'!K815)</f>
        <v/>
      </c>
      <c r="BF811">
        <f>IFERROR(MATCH(BA811,Setup!$L$6:$L$9,0),5)</f>
        <v/>
      </c>
      <c r="BG811">
        <f>IF(OR(AZ811="Done",AZ811="Cancelled"),1,0)</f>
        <v/>
      </c>
      <c r="BH811">
        <f>IF(AND(AU811&lt;&gt;"",ISNUMBER(AW811)),1,0)</f>
        <v/>
      </c>
      <c r="BI811">
        <f>IF(BH811=0,0,IF(AND(AW811&gt;='Tasks Filter'!$F$3,AW811&lt;='Tasks Filter'!$F$4,OR('Tasks Filter'!$I$3="",ISNUMBER(SEARCH('Tasks Filter'!$I$3,AU811))),OR('Tasks Filter'!$I$4="",BF811=IFERROR(MATCH('Tasks Filter'!$I$4,Setup!$L$6:$L$9,0),0)),OR('Tasks Filter'!$I$5="Both",AND('Tasks Filter'!$I$5="Yes",BB811="✓"),AND('Tasks Filter'!$I$5="No",BB811&lt;&gt;"✓")),OR('Tasks Filter'!$L$3="",AV811='Tasks Filter'!$L$3),OR('Tasks Filter'!$L$4="",AZ811='Tasks Filter'!$L$4),OR('Tasks Filter'!$L$5="",BC811='Tasks Filter'!$L$5),OR('Tasks Filter'!$O$3="",BD811='Tasks Filter'!$O$3),OR('Tasks Filter'!$O$4="Yes",BG811=0)),1,0))</f>
        <v/>
      </c>
      <c r="BJ811">
        <f>IF(BH811=0,"",IF('Tasks Filter'!$F$6="Descending",-1,1)*CHOOSE(MATCH('Tasks Filter'!$F$5,Lists!$G$2:$G$6,0),AW811,BF811,IFERROR(MATCH(AV811,Setup!$F$6:$F$15,0),99),IFERROR(MATCH(BC811,Setup!$H$6:$H$15,0),99),IFERROR(MATCH(AZ811,Setup!$J$6:$J$11,0),99))*1E+9+(AW811-40000)*10000+810)</f>
        <v/>
      </c>
      <c r="BK811">
        <f>IF(BI811=1,BJ811,"")</f>
        <v/>
      </c>
      <c r="BL811">
        <f>IF(AND(BH811=1,BG811=0,N(AW811)&lt;Setup!$D$7),(AW811-40000)*10000+810,"")</f>
        <v/>
      </c>
      <c r="BM811">
        <f>IF(AND(BH811=1,AZ811&lt;&gt;"Cancelled",N(AW811)&gt;=Dashboard!$AB$3,N(AW811)&lt;=Dashboard!$AB$3+6),(AW811-40000)*100000+BF811*10000+810,"")</f>
        <v/>
      </c>
      <c r="BN811">
        <f>IF(AND(BH811=1,AZ811&lt;&gt;"Cancelled"),BF811*10000+810,"")</f>
        <v/>
      </c>
    </row>
    <row r="812">
      <c r="AS812" t="inlineStr">
        <is>
          <t>R</t>
        </is>
      </c>
      <c r="AT812" t="n">
        <v>816</v>
      </c>
      <c r="AU812">
        <f>'Recurring Log'!C816&amp;""</f>
        <v/>
      </c>
      <c r="AV812">
        <f>'Recurring Log'!D816&amp;""</f>
        <v/>
      </c>
      <c r="AW812">
        <f>IF('Recurring Log'!E816="","",'Recurring Log'!E816)</f>
        <v/>
      </c>
      <c r="AX812">
        <f>IF('Recurring Log'!G816="","",'Recurring Log'!G816)</f>
        <v/>
      </c>
      <c r="AY812">
        <f>IF('Recurring Log'!H816="","",'Recurring Log'!H816)</f>
        <v/>
      </c>
      <c r="AZ812">
        <f>IF(AU812="","",IF('Recurring Log'!J816="","Not Started",'Recurring Log'!J816))</f>
        <v/>
      </c>
      <c r="BA812">
        <f>'Recurring Log'!L816&amp;""</f>
        <v/>
      </c>
      <c r="BB812">
        <f>'Recurring Log'!M816&amp;""</f>
        <v/>
      </c>
      <c r="BC812">
        <f>'Recurring Log'!N816&amp;""</f>
        <v/>
      </c>
      <c r="BD812">
        <f>'Recurring Log'!O816&amp;""</f>
        <v/>
      </c>
      <c r="BE812">
        <f>IF('Recurring Log'!K816="","",'Recurring Log'!K816)</f>
        <v/>
      </c>
      <c r="BF812">
        <f>IFERROR(MATCH(BA812,Setup!$L$6:$L$9,0),5)</f>
        <v/>
      </c>
      <c r="BG812">
        <f>IF(OR(AZ812="Done",AZ812="Cancelled"),1,0)</f>
        <v/>
      </c>
      <c r="BH812">
        <f>IF(AND(AU812&lt;&gt;"",ISNUMBER(AW812)),1,0)</f>
        <v/>
      </c>
      <c r="BI812">
        <f>IF(BH812=0,0,IF(AND(AW812&gt;='Tasks Filter'!$F$3,AW812&lt;='Tasks Filter'!$F$4,OR('Tasks Filter'!$I$3="",ISNUMBER(SEARCH('Tasks Filter'!$I$3,AU812))),OR('Tasks Filter'!$I$4="",BF812=IFERROR(MATCH('Tasks Filter'!$I$4,Setup!$L$6:$L$9,0),0)),OR('Tasks Filter'!$I$5="Both",AND('Tasks Filter'!$I$5="Yes",BB812="✓"),AND('Tasks Filter'!$I$5="No",BB812&lt;&gt;"✓")),OR('Tasks Filter'!$L$3="",AV812='Tasks Filter'!$L$3),OR('Tasks Filter'!$L$4="",AZ812='Tasks Filter'!$L$4),OR('Tasks Filter'!$L$5="",BC812='Tasks Filter'!$L$5),OR('Tasks Filter'!$O$3="",BD812='Tasks Filter'!$O$3),OR('Tasks Filter'!$O$4="Yes",BG812=0)),1,0))</f>
        <v/>
      </c>
      <c r="BJ812">
        <f>IF(BH812=0,"",IF('Tasks Filter'!$F$6="Descending",-1,1)*CHOOSE(MATCH('Tasks Filter'!$F$5,Lists!$G$2:$G$6,0),AW812,BF812,IFERROR(MATCH(AV812,Setup!$F$6:$F$15,0),99),IFERROR(MATCH(BC812,Setup!$H$6:$H$15,0),99),IFERROR(MATCH(AZ812,Setup!$J$6:$J$11,0),99))*1E+9+(AW812-40000)*10000+811)</f>
        <v/>
      </c>
      <c r="BK812">
        <f>IF(BI812=1,BJ812,"")</f>
        <v/>
      </c>
      <c r="BL812">
        <f>IF(AND(BH812=1,BG812=0,N(AW812)&lt;Setup!$D$7),(AW812-40000)*10000+811,"")</f>
        <v/>
      </c>
      <c r="BM812">
        <f>IF(AND(BH812=1,AZ812&lt;&gt;"Cancelled",N(AW812)&gt;=Dashboard!$AB$3,N(AW812)&lt;=Dashboard!$AB$3+6),(AW812-40000)*100000+BF812*10000+811,"")</f>
        <v/>
      </c>
      <c r="BN812">
        <f>IF(AND(BH812=1,AZ812&lt;&gt;"Cancelled"),BF812*10000+811,"")</f>
        <v/>
      </c>
    </row>
    <row r="813">
      <c r="AS813" t="inlineStr">
        <is>
          <t>R</t>
        </is>
      </c>
      <c r="AT813" t="n">
        <v>817</v>
      </c>
      <c r="AU813">
        <f>'Recurring Log'!C817&amp;""</f>
        <v/>
      </c>
      <c r="AV813">
        <f>'Recurring Log'!D817&amp;""</f>
        <v/>
      </c>
      <c r="AW813">
        <f>IF('Recurring Log'!E817="","",'Recurring Log'!E817)</f>
        <v/>
      </c>
      <c r="AX813">
        <f>IF('Recurring Log'!G817="","",'Recurring Log'!G817)</f>
        <v/>
      </c>
      <c r="AY813">
        <f>IF('Recurring Log'!H817="","",'Recurring Log'!H817)</f>
        <v/>
      </c>
      <c r="AZ813">
        <f>IF(AU813="","",IF('Recurring Log'!J817="","Not Started",'Recurring Log'!J817))</f>
        <v/>
      </c>
      <c r="BA813">
        <f>'Recurring Log'!L817&amp;""</f>
        <v/>
      </c>
      <c r="BB813">
        <f>'Recurring Log'!M817&amp;""</f>
        <v/>
      </c>
      <c r="BC813">
        <f>'Recurring Log'!N817&amp;""</f>
        <v/>
      </c>
      <c r="BD813">
        <f>'Recurring Log'!O817&amp;""</f>
        <v/>
      </c>
      <c r="BE813">
        <f>IF('Recurring Log'!K817="","",'Recurring Log'!K817)</f>
        <v/>
      </c>
      <c r="BF813">
        <f>IFERROR(MATCH(BA813,Setup!$L$6:$L$9,0),5)</f>
        <v/>
      </c>
      <c r="BG813">
        <f>IF(OR(AZ813="Done",AZ813="Cancelled"),1,0)</f>
        <v/>
      </c>
      <c r="BH813">
        <f>IF(AND(AU813&lt;&gt;"",ISNUMBER(AW813)),1,0)</f>
        <v/>
      </c>
      <c r="BI813">
        <f>IF(BH813=0,0,IF(AND(AW813&gt;='Tasks Filter'!$F$3,AW813&lt;='Tasks Filter'!$F$4,OR('Tasks Filter'!$I$3="",ISNUMBER(SEARCH('Tasks Filter'!$I$3,AU813))),OR('Tasks Filter'!$I$4="",BF813=IFERROR(MATCH('Tasks Filter'!$I$4,Setup!$L$6:$L$9,0),0)),OR('Tasks Filter'!$I$5="Both",AND('Tasks Filter'!$I$5="Yes",BB813="✓"),AND('Tasks Filter'!$I$5="No",BB813&lt;&gt;"✓")),OR('Tasks Filter'!$L$3="",AV813='Tasks Filter'!$L$3),OR('Tasks Filter'!$L$4="",AZ813='Tasks Filter'!$L$4),OR('Tasks Filter'!$L$5="",BC813='Tasks Filter'!$L$5),OR('Tasks Filter'!$O$3="",BD813='Tasks Filter'!$O$3),OR('Tasks Filter'!$O$4="Yes",BG813=0)),1,0))</f>
        <v/>
      </c>
      <c r="BJ813">
        <f>IF(BH813=0,"",IF('Tasks Filter'!$F$6="Descending",-1,1)*CHOOSE(MATCH('Tasks Filter'!$F$5,Lists!$G$2:$G$6,0),AW813,BF813,IFERROR(MATCH(AV813,Setup!$F$6:$F$15,0),99),IFERROR(MATCH(BC813,Setup!$H$6:$H$15,0),99),IFERROR(MATCH(AZ813,Setup!$J$6:$J$11,0),99))*1E+9+(AW813-40000)*10000+812)</f>
        <v/>
      </c>
      <c r="BK813">
        <f>IF(BI813=1,BJ813,"")</f>
        <v/>
      </c>
      <c r="BL813">
        <f>IF(AND(BH813=1,BG813=0,N(AW813)&lt;Setup!$D$7),(AW813-40000)*10000+812,"")</f>
        <v/>
      </c>
      <c r="BM813">
        <f>IF(AND(BH813=1,AZ813&lt;&gt;"Cancelled",N(AW813)&gt;=Dashboard!$AB$3,N(AW813)&lt;=Dashboard!$AB$3+6),(AW813-40000)*100000+BF813*10000+812,"")</f>
        <v/>
      </c>
      <c r="BN813">
        <f>IF(AND(BH813=1,AZ813&lt;&gt;"Cancelled"),BF813*10000+812,"")</f>
        <v/>
      </c>
    </row>
    <row r="814">
      <c r="AS814" t="inlineStr">
        <is>
          <t>R</t>
        </is>
      </c>
      <c r="AT814" t="n">
        <v>818</v>
      </c>
      <c r="AU814">
        <f>'Recurring Log'!C818&amp;""</f>
        <v/>
      </c>
      <c r="AV814">
        <f>'Recurring Log'!D818&amp;""</f>
        <v/>
      </c>
      <c r="AW814">
        <f>IF('Recurring Log'!E818="","",'Recurring Log'!E818)</f>
        <v/>
      </c>
      <c r="AX814">
        <f>IF('Recurring Log'!G818="","",'Recurring Log'!G818)</f>
        <v/>
      </c>
      <c r="AY814">
        <f>IF('Recurring Log'!H818="","",'Recurring Log'!H818)</f>
        <v/>
      </c>
      <c r="AZ814">
        <f>IF(AU814="","",IF('Recurring Log'!J818="","Not Started",'Recurring Log'!J818))</f>
        <v/>
      </c>
      <c r="BA814">
        <f>'Recurring Log'!L818&amp;""</f>
        <v/>
      </c>
      <c r="BB814">
        <f>'Recurring Log'!M818&amp;""</f>
        <v/>
      </c>
      <c r="BC814">
        <f>'Recurring Log'!N818&amp;""</f>
        <v/>
      </c>
      <c r="BD814">
        <f>'Recurring Log'!O818&amp;""</f>
        <v/>
      </c>
      <c r="BE814">
        <f>IF('Recurring Log'!K818="","",'Recurring Log'!K818)</f>
        <v/>
      </c>
      <c r="BF814">
        <f>IFERROR(MATCH(BA814,Setup!$L$6:$L$9,0),5)</f>
        <v/>
      </c>
      <c r="BG814">
        <f>IF(OR(AZ814="Done",AZ814="Cancelled"),1,0)</f>
        <v/>
      </c>
      <c r="BH814">
        <f>IF(AND(AU814&lt;&gt;"",ISNUMBER(AW814)),1,0)</f>
        <v/>
      </c>
      <c r="BI814">
        <f>IF(BH814=0,0,IF(AND(AW814&gt;='Tasks Filter'!$F$3,AW814&lt;='Tasks Filter'!$F$4,OR('Tasks Filter'!$I$3="",ISNUMBER(SEARCH('Tasks Filter'!$I$3,AU814))),OR('Tasks Filter'!$I$4="",BF814=IFERROR(MATCH('Tasks Filter'!$I$4,Setup!$L$6:$L$9,0),0)),OR('Tasks Filter'!$I$5="Both",AND('Tasks Filter'!$I$5="Yes",BB814="✓"),AND('Tasks Filter'!$I$5="No",BB814&lt;&gt;"✓")),OR('Tasks Filter'!$L$3="",AV814='Tasks Filter'!$L$3),OR('Tasks Filter'!$L$4="",AZ814='Tasks Filter'!$L$4),OR('Tasks Filter'!$L$5="",BC814='Tasks Filter'!$L$5),OR('Tasks Filter'!$O$3="",BD814='Tasks Filter'!$O$3),OR('Tasks Filter'!$O$4="Yes",BG814=0)),1,0))</f>
        <v/>
      </c>
      <c r="BJ814">
        <f>IF(BH814=0,"",IF('Tasks Filter'!$F$6="Descending",-1,1)*CHOOSE(MATCH('Tasks Filter'!$F$5,Lists!$G$2:$G$6,0),AW814,BF814,IFERROR(MATCH(AV814,Setup!$F$6:$F$15,0),99),IFERROR(MATCH(BC814,Setup!$H$6:$H$15,0),99),IFERROR(MATCH(AZ814,Setup!$J$6:$J$11,0),99))*1E+9+(AW814-40000)*10000+813)</f>
        <v/>
      </c>
      <c r="BK814">
        <f>IF(BI814=1,BJ814,"")</f>
        <v/>
      </c>
      <c r="BL814">
        <f>IF(AND(BH814=1,BG814=0,N(AW814)&lt;Setup!$D$7),(AW814-40000)*10000+813,"")</f>
        <v/>
      </c>
      <c r="BM814">
        <f>IF(AND(BH814=1,AZ814&lt;&gt;"Cancelled",N(AW814)&gt;=Dashboard!$AB$3,N(AW814)&lt;=Dashboard!$AB$3+6),(AW814-40000)*100000+BF814*10000+813,"")</f>
        <v/>
      </c>
      <c r="BN814">
        <f>IF(AND(BH814=1,AZ814&lt;&gt;"Cancelled"),BF814*10000+813,"")</f>
        <v/>
      </c>
    </row>
    <row r="815">
      <c r="AS815" t="inlineStr">
        <is>
          <t>R</t>
        </is>
      </c>
      <c r="AT815" t="n">
        <v>819</v>
      </c>
      <c r="AU815">
        <f>'Recurring Log'!C819&amp;""</f>
        <v/>
      </c>
      <c r="AV815">
        <f>'Recurring Log'!D819&amp;""</f>
        <v/>
      </c>
      <c r="AW815">
        <f>IF('Recurring Log'!E819="","",'Recurring Log'!E819)</f>
        <v/>
      </c>
      <c r="AX815">
        <f>IF('Recurring Log'!G819="","",'Recurring Log'!G819)</f>
        <v/>
      </c>
      <c r="AY815">
        <f>IF('Recurring Log'!H819="","",'Recurring Log'!H819)</f>
        <v/>
      </c>
      <c r="AZ815">
        <f>IF(AU815="","",IF('Recurring Log'!J819="","Not Started",'Recurring Log'!J819))</f>
        <v/>
      </c>
      <c r="BA815">
        <f>'Recurring Log'!L819&amp;""</f>
        <v/>
      </c>
      <c r="BB815">
        <f>'Recurring Log'!M819&amp;""</f>
        <v/>
      </c>
      <c r="BC815">
        <f>'Recurring Log'!N819&amp;""</f>
        <v/>
      </c>
      <c r="BD815">
        <f>'Recurring Log'!O819&amp;""</f>
        <v/>
      </c>
      <c r="BE815">
        <f>IF('Recurring Log'!K819="","",'Recurring Log'!K819)</f>
        <v/>
      </c>
      <c r="BF815">
        <f>IFERROR(MATCH(BA815,Setup!$L$6:$L$9,0),5)</f>
        <v/>
      </c>
      <c r="BG815">
        <f>IF(OR(AZ815="Done",AZ815="Cancelled"),1,0)</f>
        <v/>
      </c>
      <c r="BH815">
        <f>IF(AND(AU815&lt;&gt;"",ISNUMBER(AW815)),1,0)</f>
        <v/>
      </c>
      <c r="BI815">
        <f>IF(BH815=0,0,IF(AND(AW815&gt;='Tasks Filter'!$F$3,AW815&lt;='Tasks Filter'!$F$4,OR('Tasks Filter'!$I$3="",ISNUMBER(SEARCH('Tasks Filter'!$I$3,AU815))),OR('Tasks Filter'!$I$4="",BF815=IFERROR(MATCH('Tasks Filter'!$I$4,Setup!$L$6:$L$9,0),0)),OR('Tasks Filter'!$I$5="Both",AND('Tasks Filter'!$I$5="Yes",BB815="✓"),AND('Tasks Filter'!$I$5="No",BB815&lt;&gt;"✓")),OR('Tasks Filter'!$L$3="",AV815='Tasks Filter'!$L$3),OR('Tasks Filter'!$L$4="",AZ815='Tasks Filter'!$L$4),OR('Tasks Filter'!$L$5="",BC815='Tasks Filter'!$L$5),OR('Tasks Filter'!$O$3="",BD815='Tasks Filter'!$O$3),OR('Tasks Filter'!$O$4="Yes",BG815=0)),1,0))</f>
        <v/>
      </c>
      <c r="BJ815">
        <f>IF(BH815=0,"",IF('Tasks Filter'!$F$6="Descending",-1,1)*CHOOSE(MATCH('Tasks Filter'!$F$5,Lists!$G$2:$G$6,0),AW815,BF815,IFERROR(MATCH(AV815,Setup!$F$6:$F$15,0),99),IFERROR(MATCH(BC815,Setup!$H$6:$H$15,0),99),IFERROR(MATCH(AZ815,Setup!$J$6:$J$11,0),99))*1E+9+(AW815-40000)*10000+814)</f>
        <v/>
      </c>
      <c r="BK815">
        <f>IF(BI815=1,BJ815,"")</f>
        <v/>
      </c>
      <c r="BL815">
        <f>IF(AND(BH815=1,BG815=0,N(AW815)&lt;Setup!$D$7),(AW815-40000)*10000+814,"")</f>
        <v/>
      </c>
      <c r="BM815">
        <f>IF(AND(BH815=1,AZ815&lt;&gt;"Cancelled",N(AW815)&gt;=Dashboard!$AB$3,N(AW815)&lt;=Dashboard!$AB$3+6),(AW815-40000)*100000+BF815*10000+814,"")</f>
        <v/>
      </c>
      <c r="BN815">
        <f>IF(AND(BH815=1,AZ815&lt;&gt;"Cancelled"),BF815*10000+814,"")</f>
        <v/>
      </c>
    </row>
    <row r="816">
      <c r="AS816" t="inlineStr">
        <is>
          <t>R</t>
        </is>
      </c>
      <c r="AT816" t="n">
        <v>820</v>
      </c>
      <c r="AU816">
        <f>'Recurring Log'!C820&amp;""</f>
        <v/>
      </c>
      <c r="AV816">
        <f>'Recurring Log'!D820&amp;""</f>
        <v/>
      </c>
      <c r="AW816">
        <f>IF('Recurring Log'!E820="","",'Recurring Log'!E820)</f>
        <v/>
      </c>
      <c r="AX816">
        <f>IF('Recurring Log'!G820="","",'Recurring Log'!G820)</f>
        <v/>
      </c>
      <c r="AY816">
        <f>IF('Recurring Log'!H820="","",'Recurring Log'!H820)</f>
        <v/>
      </c>
      <c r="AZ816">
        <f>IF(AU816="","",IF('Recurring Log'!J820="","Not Started",'Recurring Log'!J820))</f>
        <v/>
      </c>
      <c r="BA816">
        <f>'Recurring Log'!L820&amp;""</f>
        <v/>
      </c>
      <c r="BB816">
        <f>'Recurring Log'!M820&amp;""</f>
        <v/>
      </c>
      <c r="BC816">
        <f>'Recurring Log'!N820&amp;""</f>
        <v/>
      </c>
      <c r="BD816">
        <f>'Recurring Log'!O820&amp;""</f>
        <v/>
      </c>
      <c r="BE816">
        <f>IF('Recurring Log'!K820="","",'Recurring Log'!K820)</f>
        <v/>
      </c>
      <c r="BF816">
        <f>IFERROR(MATCH(BA816,Setup!$L$6:$L$9,0),5)</f>
        <v/>
      </c>
      <c r="BG816">
        <f>IF(OR(AZ816="Done",AZ816="Cancelled"),1,0)</f>
        <v/>
      </c>
      <c r="BH816">
        <f>IF(AND(AU816&lt;&gt;"",ISNUMBER(AW816)),1,0)</f>
        <v/>
      </c>
      <c r="BI816">
        <f>IF(BH816=0,0,IF(AND(AW816&gt;='Tasks Filter'!$F$3,AW816&lt;='Tasks Filter'!$F$4,OR('Tasks Filter'!$I$3="",ISNUMBER(SEARCH('Tasks Filter'!$I$3,AU816))),OR('Tasks Filter'!$I$4="",BF816=IFERROR(MATCH('Tasks Filter'!$I$4,Setup!$L$6:$L$9,0),0)),OR('Tasks Filter'!$I$5="Both",AND('Tasks Filter'!$I$5="Yes",BB816="✓"),AND('Tasks Filter'!$I$5="No",BB816&lt;&gt;"✓")),OR('Tasks Filter'!$L$3="",AV816='Tasks Filter'!$L$3),OR('Tasks Filter'!$L$4="",AZ816='Tasks Filter'!$L$4),OR('Tasks Filter'!$L$5="",BC816='Tasks Filter'!$L$5),OR('Tasks Filter'!$O$3="",BD816='Tasks Filter'!$O$3),OR('Tasks Filter'!$O$4="Yes",BG816=0)),1,0))</f>
        <v/>
      </c>
      <c r="BJ816">
        <f>IF(BH816=0,"",IF('Tasks Filter'!$F$6="Descending",-1,1)*CHOOSE(MATCH('Tasks Filter'!$F$5,Lists!$G$2:$G$6,0),AW816,BF816,IFERROR(MATCH(AV816,Setup!$F$6:$F$15,0),99),IFERROR(MATCH(BC816,Setup!$H$6:$H$15,0),99),IFERROR(MATCH(AZ816,Setup!$J$6:$J$11,0),99))*1E+9+(AW816-40000)*10000+815)</f>
        <v/>
      </c>
      <c r="BK816">
        <f>IF(BI816=1,BJ816,"")</f>
        <v/>
      </c>
      <c r="BL816">
        <f>IF(AND(BH816=1,BG816=0,N(AW816)&lt;Setup!$D$7),(AW816-40000)*10000+815,"")</f>
        <v/>
      </c>
      <c r="BM816">
        <f>IF(AND(BH816=1,AZ816&lt;&gt;"Cancelled",N(AW816)&gt;=Dashboard!$AB$3,N(AW816)&lt;=Dashboard!$AB$3+6),(AW816-40000)*100000+BF816*10000+815,"")</f>
        <v/>
      </c>
      <c r="BN816">
        <f>IF(AND(BH816=1,AZ816&lt;&gt;"Cancelled"),BF816*10000+815,"")</f>
        <v/>
      </c>
    </row>
    <row r="817">
      <c r="AS817" t="inlineStr">
        <is>
          <t>R</t>
        </is>
      </c>
      <c r="AT817" t="n">
        <v>821</v>
      </c>
      <c r="AU817">
        <f>'Recurring Log'!C821&amp;""</f>
        <v/>
      </c>
      <c r="AV817">
        <f>'Recurring Log'!D821&amp;""</f>
        <v/>
      </c>
      <c r="AW817">
        <f>IF('Recurring Log'!E821="","",'Recurring Log'!E821)</f>
        <v/>
      </c>
      <c r="AX817">
        <f>IF('Recurring Log'!G821="","",'Recurring Log'!G821)</f>
        <v/>
      </c>
      <c r="AY817">
        <f>IF('Recurring Log'!H821="","",'Recurring Log'!H821)</f>
        <v/>
      </c>
      <c r="AZ817">
        <f>IF(AU817="","",IF('Recurring Log'!J821="","Not Started",'Recurring Log'!J821))</f>
        <v/>
      </c>
      <c r="BA817">
        <f>'Recurring Log'!L821&amp;""</f>
        <v/>
      </c>
      <c r="BB817">
        <f>'Recurring Log'!M821&amp;""</f>
        <v/>
      </c>
      <c r="BC817">
        <f>'Recurring Log'!N821&amp;""</f>
        <v/>
      </c>
      <c r="BD817">
        <f>'Recurring Log'!O821&amp;""</f>
        <v/>
      </c>
      <c r="BE817">
        <f>IF('Recurring Log'!K821="","",'Recurring Log'!K821)</f>
        <v/>
      </c>
      <c r="BF817">
        <f>IFERROR(MATCH(BA817,Setup!$L$6:$L$9,0),5)</f>
        <v/>
      </c>
      <c r="BG817">
        <f>IF(OR(AZ817="Done",AZ817="Cancelled"),1,0)</f>
        <v/>
      </c>
      <c r="BH817">
        <f>IF(AND(AU817&lt;&gt;"",ISNUMBER(AW817)),1,0)</f>
        <v/>
      </c>
      <c r="BI817">
        <f>IF(BH817=0,0,IF(AND(AW817&gt;='Tasks Filter'!$F$3,AW817&lt;='Tasks Filter'!$F$4,OR('Tasks Filter'!$I$3="",ISNUMBER(SEARCH('Tasks Filter'!$I$3,AU817))),OR('Tasks Filter'!$I$4="",BF817=IFERROR(MATCH('Tasks Filter'!$I$4,Setup!$L$6:$L$9,0),0)),OR('Tasks Filter'!$I$5="Both",AND('Tasks Filter'!$I$5="Yes",BB817="✓"),AND('Tasks Filter'!$I$5="No",BB817&lt;&gt;"✓")),OR('Tasks Filter'!$L$3="",AV817='Tasks Filter'!$L$3),OR('Tasks Filter'!$L$4="",AZ817='Tasks Filter'!$L$4),OR('Tasks Filter'!$L$5="",BC817='Tasks Filter'!$L$5),OR('Tasks Filter'!$O$3="",BD817='Tasks Filter'!$O$3),OR('Tasks Filter'!$O$4="Yes",BG817=0)),1,0))</f>
        <v/>
      </c>
      <c r="BJ817">
        <f>IF(BH817=0,"",IF('Tasks Filter'!$F$6="Descending",-1,1)*CHOOSE(MATCH('Tasks Filter'!$F$5,Lists!$G$2:$G$6,0),AW817,BF817,IFERROR(MATCH(AV817,Setup!$F$6:$F$15,0),99),IFERROR(MATCH(BC817,Setup!$H$6:$H$15,0),99),IFERROR(MATCH(AZ817,Setup!$J$6:$J$11,0),99))*1E+9+(AW817-40000)*10000+816)</f>
        <v/>
      </c>
      <c r="BK817">
        <f>IF(BI817=1,BJ817,"")</f>
        <v/>
      </c>
      <c r="BL817">
        <f>IF(AND(BH817=1,BG817=0,N(AW817)&lt;Setup!$D$7),(AW817-40000)*10000+816,"")</f>
        <v/>
      </c>
      <c r="BM817">
        <f>IF(AND(BH817=1,AZ817&lt;&gt;"Cancelled",N(AW817)&gt;=Dashboard!$AB$3,N(AW817)&lt;=Dashboard!$AB$3+6),(AW817-40000)*100000+BF817*10000+816,"")</f>
        <v/>
      </c>
      <c r="BN817">
        <f>IF(AND(BH817=1,AZ817&lt;&gt;"Cancelled"),BF817*10000+816,"")</f>
        <v/>
      </c>
    </row>
    <row r="818">
      <c r="AS818" t="inlineStr">
        <is>
          <t>R</t>
        </is>
      </c>
      <c r="AT818" t="n">
        <v>822</v>
      </c>
      <c r="AU818">
        <f>'Recurring Log'!C822&amp;""</f>
        <v/>
      </c>
      <c r="AV818">
        <f>'Recurring Log'!D822&amp;""</f>
        <v/>
      </c>
      <c r="AW818">
        <f>IF('Recurring Log'!E822="","",'Recurring Log'!E822)</f>
        <v/>
      </c>
      <c r="AX818">
        <f>IF('Recurring Log'!G822="","",'Recurring Log'!G822)</f>
        <v/>
      </c>
      <c r="AY818">
        <f>IF('Recurring Log'!H822="","",'Recurring Log'!H822)</f>
        <v/>
      </c>
      <c r="AZ818">
        <f>IF(AU818="","",IF('Recurring Log'!J822="","Not Started",'Recurring Log'!J822))</f>
        <v/>
      </c>
      <c r="BA818">
        <f>'Recurring Log'!L822&amp;""</f>
        <v/>
      </c>
      <c r="BB818">
        <f>'Recurring Log'!M822&amp;""</f>
        <v/>
      </c>
      <c r="BC818">
        <f>'Recurring Log'!N822&amp;""</f>
        <v/>
      </c>
      <c r="BD818">
        <f>'Recurring Log'!O822&amp;""</f>
        <v/>
      </c>
      <c r="BE818">
        <f>IF('Recurring Log'!K822="","",'Recurring Log'!K822)</f>
        <v/>
      </c>
      <c r="BF818">
        <f>IFERROR(MATCH(BA818,Setup!$L$6:$L$9,0),5)</f>
        <v/>
      </c>
      <c r="BG818">
        <f>IF(OR(AZ818="Done",AZ818="Cancelled"),1,0)</f>
        <v/>
      </c>
      <c r="BH818">
        <f>IF(AND(AU818&lt;&gt;"",ISNUMBER(AW818)),1,0)</f>
        <v/>
      </c>
      <c r="BI818">
        <f>IF(BH818=0,0,IF(AND(AW818&gt;='Tasks Filter'!$F$3,AW818&lt;='Tasks Filter'!$F$4,OR('Tasks Filter'!$I$3="",ISNUMBER(SEARCH('Tasks Filter'!$I$3,AU818))),OR('Tasks Filter'!$I$4="",BF818=IFERROR(MATCH('Tasks Filter'!$I$4,Setup!$L$6:$L$9,0),0)),OR('Tasks Filter'!$I$5="Both",AND('Tasks Filter'!$I$5="Yes",BB818="✓"),AND('Tasks Filter'!$I$5="No",BB818&lt;&gt;"✓")),OR('Tasks Filter'!$L$3="",AV818='Tasks Filter'!$L$3),OR('Tasks Filter'!$L$4="",AZ818='Tasks Filter'!$L$4),OR('Tasks Filter'!$L$5="",BC818='Tasks Filter'!$L$5),OR('Tasks Filter'!$O$3="",BD818='Tasks Filter'!$O$3),OR('Tasks Filter'!$O$4="Yes",BG818=0)),1,0))</f>
        <v/>
      </c>
      <c r="BJ818">
        <f>IF(BH818=0,"",IF('Tasks Filter'!$F$6="Descending",-1,1)*CHOOSE(MATCH('Tasks Filter'!$F$5,Lists!$G$2:$G$6,0),AW818,BF818,IFERROR(MATCH(AV818,Setup!$F$6:$F$15,0),99),IFERROR(MATCH(BC818,Setup!$H$6:$H$15,0),99),IFERROR(MATCH(AZ818,Setup!$J$6:$J$11,0),99))*1E+9+(AW818-40000)*10000+817)</f>
        <v/>
      </c>
      <c r="BK818">
        <f>IF(BI818=1,BJ818,"")</f>
        <v/>
      </c>
      <c r="BL818">
        <f>IF(AND(BH818=1,BG818=0,N(AW818)&lt;Setup!$D$7),(AW818-40000)*10000+817,"")</f>
        <v/>
      </c>
      <c r="BM818">
        <f>IF(AND(BH818=1,AZ818&lt;&gt;"Cancelled",N(AW818)&gt;=Dashboard!$AB$3,N(AW818)&lt;=Dashboard!$AB$3+6),(AW818-40000)*100000+BF818*10000+817,"")</f>
        <v/>
      </c>
      <c r="BN818">
        <f>IF(AND(BH818=1,AZ818&lt;&gt;"Cancelled"),BF818*10000+817,"")</f>
        <v/>
      </c>
    </row>
    <row r="819">
      <c r="AS819" t="inlineStr">
        <is>
          <t>R</t>
        </is>
      </c>
      <c r="AT819" t="n">
        <v>823</v>
      </c>
      <c r="AU819">
        <f>'Recurring Log'!C823&amp;""</f>
        <v/>
      </c>
      <c r="AV819">
        <f>'Recurring Log'!D823&amp;""</f>
        <v/>
      </c>
      <c r="AW819">
        <f>IF('Recurring Log'!E823="","",'Recurring Log'!E823)</f>
        <v/>
      </c>
      <c r="AX819">
        <f>IF('Recurring Log'!G823="","",'Recurring Log'!G823)</f>
        <v/>
      </c>
      <c r="AY819">
        <f>IF('Recurring Log'!H823="","",'Recurring Log'!H823)</f>
        <v/>
      </c>
      <c r="AZ819">
        <f>IF(AU819="","",IF('Recurring Log'!J823="","Not Started",'Recurring Log'!J823))</f>
        <v/>
      </c>
      <c r="BA819">
        <f>'Recurring Log'!L823&amp;""</f>
        <v/>
      </c>
      <c r="BB819">
        <f>'Recurring Log'!M823&amp;""</f>
        <v/>
      </c>
      <c r="BC819">
        <f>'Recurring Log'!N823&amp;""</f>
        <v/>
      </c>
      <c r="BD819">
        <f>'Recurring Log'!O823&amp;""</f>
        <v/>
      </c>
      <c r="BE819">
        <f>IF('Recurring Log'!K823="","",'Recurring Log'!K823)</f>
        <v/>
      </c>
      <c r="BF819">
        <f>IFERROR(MATCH(BA819,Setup!$L$6:$L$9,0),5)</f>
        <v/>
      </c>
      <c r="BG819">
        <f>IF(OR(AZ819="Done",AZ819="Cancelled"),1,0)</f>
        <v/>
      </c>
      <c r="BH819">
        <f>IF(AND(AU819&lt;&gt;"",ISNUMBER(AW819)),1,0)</f>
        <v/>
      </c>
      <c r="BI819">
        <f>IF(BH819=0,0,IF(AND(AW819&gt;='Tasks Filter'!$F$3,AW819&lt;='Tasks Filter'!$F$4,OR('Tasks Filter'!$I$3="",ISNUMBER(SEARCH('Tasks Filter'!$I$3,AU819))),OR('Tasks Filter'!$I$4="",BF819=IFERROR(MATCH('Tasks Filter'!$I$4,Setup!$L$6:$L$9,0),0)),OR('Tasks Filter'!$I$5="Both",AND('Tasks Filter'!$I$5="Yes",BB819="✓"),AND('Tasks Filter'!$I$5="No",BB819&lt;&gt;"✓")),OR('Tasks Filter'!$L$3="",AV819='Tasks Filter'!$L$3),OR('Tasks Filter'!$L$4="",AZ819='Tasks Filter'!$L$4),OR('Tasks Filter'!$L$5="",BC819='Tasks Filter'!$L$5),OR('Tasks Filter'!$O$3="",BD819='Tasks Filter'!$O$3),OR('Tasks Filter'!$O$4="Yes",BG819=0)),1,0))</f>
        <v/>
      </c>
      <c r="BJ819">
        <f>IF(BH819=0,"",IF('Tasks Filter'!$F$6="Descending",-1,1)*CHOOSE(MATCH('Tasks Filter'!$F$5,Lists!$G$2:$G$6,0),AW819,BF819,IFERROR(MATCH(AV819,Setup!$F$6:$F$15,0),99),IFERROR(MATCH(BC819,Setup!$H$6:$H$15,0),99),IFERROR(MATCH(AZ819,Setup!$J$6:$J$11,0),99))*1E+9+(AW819-40000)*10000+818)</f>
        <v/>
      </c>
      <c r="BK819">
        <f>IF(BI819=1,BJ819,"")</f>
        <v/>
      </c>
      <c r="BL819">
        <f>IF(AND(BH819=1,BG819=0,N(AW819)&lt;Setup!$D$7),(AW819-40000)*10000+818,"")</f>
        <v/>
      </c>
      <c r="BM819">
        <f>IF(AND(BH819=1,AZ819&lt;&gt;"Cancelled",N(AW819)&gt;=Dashboard!$AB$3,N(AW819)&lt;=Dashboard!$AB$3+6),(AW819-40000)*100000+BF819*10000+818,"")</f>
        <v/>
      </c>
      <c r="BN819">
        <f>IF(AND(BH819=1,AZ819&lt;&gt;"Cancelled"),BF819*10000+818,"")</f>
        <v/>
      </c>
    </row>
    <row r="820">
      <c r="AS820" t="inlineStr">
        <is>
          <t>R</t>
        </is>
      </c>
      <c r="AT820" t="n">
        <v>824</v>
      </c>
      <c r="AU820">
        <f>'Recurring Log'!C824&amp;""</f>
        <v/>
      </c>
      <c r="AV820">
        <f>'Recurring Log'!D824&amp;""</f>
        <v/>
      </c>
      <c r="AW820">
        <f>IF('Recurring Log'!E824="","",'Recurring Log'!E824)</f>
        <v/>
      </c>
      <c r="AX820">
        <f>IF('Recurring Log'!G824="","",'Recurring Log'!G824)</f>
        <v/>
      </c>
      <c r="AY820">
        <f>IF('Recurring Log'!H824="","",'Recurring Log'!H824)</f>
        <v/>
      </c>
      <c r="AZ820">
        <f>IF(AU820="","",IF('Recurring Log'!J824="","Not Started",'Recurring Log'!J824))</f>
        <v/>
      </c>
      <c r="BA820">
        <f>'Recurring Log'!L824&amp;""</f>
        <v/>
      </c>
      <c r="BB820">
        <f>'Recurring Log'!M824&amp;""</f>
        <v/>
      </c>
      <c r="BC820">
        <f>'Recurring Log'!N824&amp;""</f>
        <v/>
      </c>
      <c r="BD820">
        <f>'Recurring Log'!O824&amp;""</f>
        <v/>
      </c>
      <c r="BE820">
        <f>IF('Recurring Log'!K824="","",'Recurring Log'!K824)</f>
        <v/>
      </c>
      <c r="BF820">
        <f>IFERROR(MATCH(BA820,Setup!$L$6:$L$9,0),5)</f>
        <v/>
      </c>
      <c r="BG820">
        <f>IF(OR(AZ820="Done",AZ820="Cancelled"),1,0)</f>
        <v/>
      </c>
      <c r="BH820">
        <f>IF(AND(AU820&lt;&gt;"",ISNUMBER(AW820)),1,0)</f>
        <v/>
      </c>
      <c r="BI820">
        <f>IF(BH820=0,0,IF(AND(AW820&gt;='Tasks Filter'!$F$3,AW820&lt;='Tasks Filter'!$F$4,OR('Tasks Filter'!$I$3="",ISNUMBER(SEARCH('Tasks Filter'!$I$3,AU820))),OR('Tasks Filter'!$I$4="",BF820=IFERROR(MATCH('Tasks Filter'!$I$4,Setup!$L$6:$L$9,0),0)),OR('Tasks Filter'!$I$5="Both",AND('Tasks Filter'!$I$5="Yes",BB820="✓"),AND('Tasks Filter'!$I$5="No",BB820&lt;&gt;"✓")),OR('Tasks Filter'!$L$3="",AV820='Tasks Filter'!$L$3),OR('Tasks Filter'!$L$4="",AZ820='Tasks Filter'!$L$4),OR('Tasks Filter'!$L$5="",BC820='Tasks Filter'!$L$5),OR('Tasks Filter'!$O$3="",BD820='Tasks Filter'!$O$3),OR('Tasks Filter'!$O$4="Yes",BG820=0)),1,0))</f>
        <v/>
      </c>
      <c r="BJ820">
        <f>IF(BH820=0,"",IF('Tasks Filter'!$F$6="Descending",-1,1)*CHOOSE(MATCH('Tasks Filter'!$F$5,Lists!$G$2:$G$6,0),AW820,BF820,IFERROR(MATCH(AV820,Setup!$F$6:$F$15,0),99),IFERROR(MATCH(BC820,Setup!$H$6:$H$15,0),99),IFERROR(MATCH(AZ820,Setup!$J$6:$J$11,0),99))*1E+9+(AW820-40000)*10000+819)</f>
        <v/>
      </c>
      <c r="BK820">
        <f>IF(BI820=1,BJ820,"")</f>
        <v/>
      </c>
      <c r="BL820">
        <f>IF(AND(BH820=1,BG820=0,N(AW820)&lt;Setup!$D$7),(AW820-40000)*10000+819,"")</f>
        <v/>
      </c>
      <c r="BM820">
        <f>IF(AND(BH820=1,AZ820&lt;&gt;"Cancelled",N(AW820)&gt;=Dashboard!$AB$3,N(AW820)&lt;=Dashboard!$AB$3+6),(AW820-40000)*100000+BF820*10000+819,"")</f>
        <v/>
      </c>
      <c r="BN820">
        <f>IF(AND(BH820=1,AZ820&lt;&gt;"Cancelled"),BF820*10000+819,"")</f>
        <v/>
      </c>
    </row>
    <row r="821">
      <c r="AS821" t="inlineStr">
        <is>
          <t>R</t>
        </is>
      </c>
      <c r="AT821" t="n">
        <v>825</v>
      </c>
      <c r="AU821">
        <f>'Recurring Log'!C825&amp;""</f>
        <v/>
      </c>
      <c r="AV821">
        <f>'Recurring Log'!D825&amp;""</f>
        <v/>
      </c>
      <c r="AW821">
        <f>IF('Recurring Log'!E825="","",'Recurring Log'!E825)</f>
        <v/>
      </c>
      <c r="AX821">
        <f>IF('Recurring Log'!G825="","",'Recurring Log'!G825)</f>
        <v/>
      </c>
      <c r="AY821">
        <f>IF('Recurring Log'!H825="","",'Recurring Log'!H825)</f>
        <v/>
      </c>
      <c r="AZ821">
        <f>IF(AU821="","",IF('Recurring Log'!J825="","Not Started",'Recurring Log'!J825))</f>
        <v/>
      </c>
      <c r="BA821">
        <f>'Recurring Log'!L825&amp;""</f>
        <v/>
      </c>
      <c r="BB821">
        <f>'Recurring Log'!M825&amp;""</f>
        <v/>
      </c>
      <c r="BC821">
        <f>'Recurring Log'!N825&amp;""</f>
        <v/>
      </c>
      <c r="BD821">
        <f>'Recurring Log'!O825&amp;""</f>
        <v/>
      </c>
      <c r="BE821">
        <f>IF('Recurring Log'!K825="","",'Recurring Log'!K825)</f>
        <v/>
      </c>
      <c r="BF821">
        <f>IFERROR(MATCH(BA821,Setup!$L$6:$L$9,0),5)</f>
        <v/>
      </c>
      <c r="BG821">
        <f>IF(OR(AZ821="Done",AZ821="Cancelled"),1,0)</f>
        <v/>
      </c>
      <c r="BH821">
        <f>IF(AND(AU821&lt;&gt;"",ISNUMBER(AW821)),1,0)</f>
        <v/>
      </c>
      <c r="BI821">
        <f>IF(BH821=0,0,IF(AND(AW821&gt;='Tasks Filter'!$F$3,AW821&lt;='Tasks Filter'!$F$4,OR('Tasks Filter'!$I$3="",ISNUMBER(SEARCH('Tasks Filter'!$I$3,AU821))),OR('Tasks Filter'!$I$4="",BF821=IFERROR(MATCH('Tasks Filter'!$I$4,Setup!$L$6:$L$9,0),0)),OR('Tasks Filter'!$I$5="Both",AND('Tasks Filter'!$I$5="Yes",BB821="✓"),AND('Tasks Filter'!$I$5="No",BB821&lt;&gt;"✓")),OR('Tasks Filter'!$L$3="",AV821='Tasks Filter'!$L$3),OR('Tasks Filter'!$L$4="",AZ821='Tasks Filter'!$L$4),OR('Tasks Filter'!$L$5="",BC821='Tasks Filter'!$L$5),OR('Tasks Filter'!$O$3="",BD821='Tasks Filter'!$O$3),OR('Tasks Filter'!$O$4="Yes",BG821=0)),1,0))</f>
        <v/>
      </c>
      <c r="BJ821">
        <f>IF(BH821=0,"",IF('Tasks Filter'!$F$6="Descending",-1,1)*CHOOSE(MATCH('Tasks Filter'!$F$5,Lists!$G$2:$G$6,0),AW821,BF821,IFERROR(MATCH(AV821,Setup!$F$6:$F$15,0),99),IFERROR(MATCH(BC821,Setup!$H$6:$H$15,0),99),IFERROR(MATCH(AZ821,Setup!$J$6:$J$11,0),99))*1E+9+(AW821-40000)*10000+820)</f>
        <v/>
      </c>
      <c r="BK821">
        <f>IF(BI821=1,BJ821,"")</f>
        <v/>
      </c>
      <c r="BL821">
        <f>IF(AND(BH821=1,BG821=0,N(AW821)&lt;Setup!$D$7),(AW821-40000)*10000+820,"")</f>
        <v/>
      </c>
      <c r="BM821">
        <f>IF(AND(BH821=1,AZ821&lt;&gt;"Cancelled",N(AW821)&gt;=Dashboard!$AB$3,N(AW821)&lt;=Dashboard!$AB$3+6),(AW821-40000)*100000+BF821*10000+820,"")</f>
        <v/>
      </c>
      <c r="BN821">
        <f>IF(AND(BH821=1,AZ821&lt;&gt;"Cancelled"),BF821*10000+820,"")</f>
        <v/>
      </c>
    </row>
    <row r="822">
      <c r="AS822" t="inlineStr">
        <is>
          <t>R</t>
        </is>
      </c>
      <c r="AT822" t="n">
        <v>826</v>
      </c>
      <c r="AU822">
        <f>'Recurring Log'!C826&amp;""</f>
        <v/>
      </c>
      <c r="AV822">
        <f>'Recurring Log'!D826&amp;""</f>
        <v/>
      </c>
      <c r="AW822">
        <f>IF('Recurring Log'!E826="","",'Recurring Log'!E826)</f>
        <v/>
      </c>
      <c r="AX822">
        <f>IF('Recurring Log'!G826="","",'Recurring Log'!G826)</f>
        <v/>
      </c>
      <c r="AY822">
        <f>IF('Recurring Log'!H826="","",'Recurring Log'!H826)</f>
        <v/>
      </c>
      <c r="AZ822">
        <f>IF(AU822="","",IF('Recurring Log'!J826="","Not Started",'Recurring Log'!J826))</f>
        <v/>
      </c>
      <c r="BA822">
        <f>'Recurring Log'!L826&amp;""</f>
        <v/>
      </c>
      <c r="BB822">
        <f>'Recurring Log'!M826&amp;""</f>
        <v/>
      </c>
      <c r="BC822">
        <f>'Recurring Log'!N826&amp;""</f>
        <v/>
      </c>
      <c r="BD822">
        <f>'Recurring Log'!O826&amp;""</f>
        <v/>
      </c>
      <c r="BE822">
        <f>IF('Recurring Log'!K826="","",'Recurring Log'!K826)</f>
        <v/>
      </c>
      <c r="BF822">
        <f>IFERROR(MATCH(BA822,Setup!$L$6:$L$9,0),5)</f>
        <v/>
      </c>
      <c r="BG822">
        <f>IF(OR(AZ822="Done",AZ822="Cancelled"),1,0)</f>
        <v/>
      </c>
      <c r="BH822">
        <f>IF(AND(AU822&lt;&gt;"",ISNUMBER(AW822)),1,0)</f>
        <v/>
      </c>
      <c r="BI822">
        <f>IF(BH822=0,0,IF(AND(AW822&gt;='Tasks Filter'!$F$3,AW822&lt;='Tasks Filter'!$F$4,OR('Tasks Filter'!$I$3="",ISNUMBER(SEARCH('Tasks Filter'!$I$3,AU822))),OR('Tasks Filter'!$I$4="",BF822=IFERROR(MATCH('Tasks Filter'!$I$4,Setup!$L$6:$L$9,0),0)),OR('Tasks Filter'!$I$5="Both",AND('Tasks Filter'!$I$5="Yes",BB822="✓"),AND('Tasks Filter'!$I$5="No",BB822&lt;&gt;"✓")),OR('Tasks Filter'!$L$3="",AV822='Tasks Filter'!$L$3),OR('Tasks Filter'!$L$4="",AZ822='Tasks Filter'!$L$4),OR('Tasks Filter'!$L$5="",BC822='Tasks Filter'!$L$5),OR('Tasks Filter'!$O$3="",BD822='Tasks Filter'!$O$3),OR('Tasks Filter'!$O$4="Yes",BG822=0)),1,0))</f>
        <v/>
      </c>
      <c r="BJ822">
        <f>IF(BH822=0,"",IF('Tasks Filter'!$F$6="Descending",-1,1)*CHOOSE(MATCH('Tasks Filter'!$F$5,Lists!$G$2:$G$6,0),AW822,BF822,IFERROR(MATCH(AV822,Setup!$F$6:$F$15,0),99),IFERROR(MATCH(BC822,Setup!$H$6:$H$15,0),99),IFERROR(MATCH(AZ822,Setup!$J$6:$J$11,0),99))*1E+9+(AW822-40000)*10000+821)</f>
        <v/>
      </c>
      <c r="BK822">
        <f>IF(BI822=1,BJ822,"")</f>
        <v/>
      </c>
      <c r="BL822">
        <f>IF(AND(BH822=1,BG822=0,N(AW822)&lt;Setup!$D$7),(AW822-40000)*10000+821,"")</f>
        <v/>
      </c>
      <c r="BM822">
        <f>IF(AND(BH822=1,AZ822&lt;&gt;"Cancelled",N(AW822)&gt;=Dashboard!$AB$3,N(AW822)&lt;=Dashboard!$AB$3+6),(AW822-40000)*100000+BF822*10000+821,"")</f>
        <v/>
      </c>
      <c r="BN822">
        <f>IF(AND(BH822=1,AZ822&lt;&gt;"Cancelled"),BF822*10000+821,"")</f>
        <v/>
      </c>
    </row>
    <row r="823">
      <c r="AS823" t="inlineStr">
        <is>
          <t>R</t>
        </is>
      </c>
      <c r="AT823" t="n">
        <v>827</v>
      </c>
      <c r="AU823">
        <f>'Recurring Log'!C827&amp;""</f>
        <v/>
      </c>
      <c r="AV823">
        <f>'Recurring Log'!D827&amp;""</f>
        <v/>
      </c>
      <c r="AW823">
        <f>IF('Recurring Log'!E827="","",'Recurring Log'!E827)</f>
        <v/>
      </c>
      <c r="AX823">
        <f>IF('Recurring Log'!G827="","",'Recurring Log'!G827)</f>
        <v/>
      </c>
      <c r="AY823">
        <f>IF('Recurring Log'!H827="","",'Recurring Log'!H827)</f>
        <v/>
      </c>
      <c r="AZ823">
        <f>IF(AU823="","",IF('Recurring Log'!J827="","Not Started",'Recurring Log'!J827))</f>
        <v/>
      </c>
      <c r="BA823">
        <f>'Recurring Log'!L827&amp;""</f>
        <v/>
      </c>
      <c r="BB823">
        <f>'Recurring Log'!M827&amp;""</f>
        <v/>
      </c>
      <c r="BC823">
        <f>'Recurring Log'!N827&amp;""</f>
        <v/>
      </c>
      <c r="BD823">
        <f>'Recurring Log'!O827&amp;""</f>
        <v/>
      </c>
      <c r="BE823">
        <f>IF('Recurring Log'!K827="","",'Recurring Log'!K827)</f>
        <v/>
      </c>
      <c r="BF823">
        <f>IFERROR(MATCH(BA823,Setup!$L$6:$L$9,0),5)</f>
        <v/>
      </c>
      <c r="BG823">
        <f>IF(OR(AZ823="Done",AZ823="Cancelled"),1,0)</f>
        <v/>
      </c>
      <c r="BH823">
        <f>IF(AND(AU823&lt;&gt;"",ISNUMBER(AW823)),1,0)</f>
        <v/>
      </c>
      <c r="BI823">
        <f>IF(BH823=0,0,IF(AND(AW823&gt;='Tasks Filter'!$F$3,AW823&lt;='Tasks Filter'!$F$4,OR('Tasks Filter'!$I$3="",ISNUMBER(SEARCH('Tasks Filter'!$I$3,AU823))),OR('Tasks Filter'!$I$4="",BF823=IFERROR(MATCH('Tasks Filter'!$I$4,Setup!$L$6:$L$9,0),0)),OR('Tasks Filter'!$I$5="Both",AND('Tasks Filter'!$I$5="Yes",BB823="✓"),AND('Tasks Filter'!$I$5="No",BB823&lt;&gt;"✓")),OR('Tasks Filter'!$L$3="",AV823='Tasks Filter'!$L$3),OR('Tasks Filter'!$L$4="",AZ823='Tasks Filter'!$L$4),OR('Tasks Filter'!$L$5="",BC823='Tasks Filter'!$L$5),OR('Tasks Filter'!$O$3="",BD823='Tasks Filter'!$O$3),OR('Tasks Filter'!$O$4="Yes",BG823=0)),1,0))</f>
        <v/>
      </c>
      <c r="BJ823">
        <f>IF(BH823=0,"",IF('Tasks Filter'!$F$6="Descending",-1,1)*CHOOSE(MATCH('Tasks Filter'!$F$5,Lists!$G$2:$G$6,0),AW823,BF823,IFERROR(MATCH(AV823,Setup!$F$6:$F$15,0),99),IFERROR(MATCH(BC823,Setup!$H$6:$H$15,0),99),IFERROR(MATCH(AZ823,Setup!$J$6:$J$11,0),99))*1E+9+(AW823-40000)*10000+822)</f>
        <v/>
      </c>
      <c r="BK823">
        <f>IF(BI823=1,BJ823,"")</f>
        <v/>
      </c>
      <c r="BL823">
        <f>IF(AND(BH823=1,BG823=0,N(AW823)&lt;Setup!$D$7),(AW823-40000)*10000+822,"")</f>
        <v/>
      </c>
      <c r="BM823">
        <f>IF(AND(BH823=1,AZ823&lt;&gt;"Cancelled",N(AW823)&gt;=Dashboard!$AB$3,N(AW823)&lt;=Dashboard!$AB$3+6),(AW823-40000)*100000+BF823*10000+822,"")</f>
        <v/>
      </c>
      <c r="BN823">
        <f>IF(AND(BH823=1,AZ823&lt;&gt;"Cancelled"),BF823*10000+822,"")</f>
        <v/>
      </c>
    </row>
    <row r="824">
      <c r="AS824" t="inlineStr">
        <is>
          <t>R</t>
        </is>
      </c>
      <c r="AT824" t="n">
        <v>828</v>
      </c>
      <c r="AU824">
        <f>'Recurring Log'!C828&amp;""</f>
        <v/>
      </c>
      <c r="AV824">
        <f>'Recurring Log'!D828&amp;""</f>
        <v/>
      </c>
      <c r="AW824">
        <f>IF('Recurring Log'!E828="","",'Recurring Log'!E828)</f>
        <v/>
      </c>
      <c r="AX824">
        <f>IF('Recurring Log'!G828="","",'Recurring Log'!G828)</f>
        <v/>
      </c>
      <c r="AY824">
        <f>IF('Recurring Log'!H828="","",'Recurring Log'!H828)</f>
        <v/>
      </c>
      <c r="AZ824">
        <f>IF(AU824="","",IF('Recurring Log'!J828="","Not Started",'Recurring Log'!J828))</f>
        <v/>
      </c>
      <c r="BA824">
        <f>'Recurring Log'!L828&amp;""</f>
        <v/>
      </c>
      <c r="BB824">
        <f>'Recurring Log'!M828&amp;""</f>
        <v/>
      </c>
      <c r="BC824">
        <f>'Recurring Log'!N828&amp;""</f>
        <v/>
      </c>
      <c r="BD824">
        <f>'Recurring Log'!O828&amp;""</f>
        <v/>
      </c>
      <c r="BE824">
        <f>IF('Recurring Log'!K828="","",'Recurring Log'!K828)</f>
        <v/>
      </c>
      <c r="BF824">
        <f>IFERROR(MATCH(BA824,Setup!$L$6:$L$9,0),5)</f>
        <v/>
      </c>
      <c r="BG824">
        <f>IF(OR(AZ824="Done",AZ824="Cancelled"),1,0)</f>
        <v/>
      </c>
      <c r="BH824">
        <f>IF(AND(AU824&lt;&gt;"",ISNUMBER(AW824)),1,0)</f>
        <v/>
      </c>
      <c r="BI824">
        <f>IF(BH824=0,0,IF(AND(AW824&gt;='Tasks Filter'!$F$3,AW824&lt;='Tasks Filter'!$F$4,OR('Tasks Filter'!$I$3="",ISNUMBER(SEARCH('Tasks Filter'!$I$3,AU824))),OR('Tasks Filter'!$I$4="",BF824=IFERROR(MATCH('Tasks Filter'!$I$4,Setup!$L$6:$L$9,0),0)),OR('Tasks Filter'!$I$5="Both",AND('Tasks Filter'!$I$5="Yes",BB824="✓"),AND('Tasks Filter'!$I$5="No",BB824&lt;&gt;"✓")),OR('Tasks Filter'!$L$3="",AV824='Tasks Filter'!$L$3),OR('Tasks Filter'!$L$4="",AZ824='Tasks Filter'!$L$4),OR('Tasks Filter'!$L$5="",BC824='Tasks Filter'!$L$5),OR('Tasks Filter'!$O$3="",BD824='Tasks Filter'!$O$3),OR('Tasks Filter'!$O$4="Yes",BG824=0)),1,0))</f>
        <v/>
      </c>
      <c r="BJ824">
        <f>IF(BH824=0,"",IF('Tasks Filter'!$F$6="Descending",-1,1)*CHOOSE(MATCH('Tasks Filter'!$F$5,Lists!$G$2:$G$6,0),AW824,BF824,IFERROR(MATCH(AV824,Setup!$F$6:$F$15,0),99),IFERROR(MATCH(BC824,Setup!$H$6:$H$15,0),99),IFERROR(MATCH(AZ824,Setup!$J$6:$J$11,0),99))*1E+9+(AW824-40000)*10000+823)</f>
        <v/>
      </c>
      <c r="BK824">
        <f>IF(BI824=1,BJ824,"")</f>
        <v/>
      </c>
      <c r="BL824">
        <f>IF(AND(BH824=1,BG824=0,N(AW824)&lt;Setup!$D$7),(AW824-40000)*10000+823,"")</f>
        <v/>
      </c>
      <c r="BM824">
        <f>IF(AND(BH824=1,AZ824&lt;&gt;"Cancelled",N(AW824)&gt;=Dashboard!$AB$3,N(AW824)&lt;=Dashboard!$AB$3+6),(AW824-40000)*100000+BF824*10000+823,"")</f>
        <v/>
      </c>
      <c r="BN824">
        <f>IF(AND(BH824=1,AZ824&lt;&gt;"Cancelled"),BF824*10000+823,"")</f>
        <v/>
      </c>
    </row>
    <row r="825">
      <c r="AS825" t="inlineStr">
        <is>
          <t>R</t>
        </is>
      </c>
      <c r="AT825" t="n">
        <v>829</v>
      </c>
      <c r="AU825">
        <f>'Recurring Log'!C829&amp;""</f>
        <v/>
      </c>
      <c r="AV825">
        <f>'Recurring Log'!D829&amp;""</f>
        <v/>
      </c>
      <c r="AW825">
        <f>IF('Recurring Log'!E829="","",'Recurring Log'!E829)</f>
        <v/>
      </c>
      <c r="AX825">
        <f>IF('Recurring Log'!G829="","",'Recurring Log'!G829)</f>
        <v/>
      </c>
      <c r="AY825">
        <f>IF('Recurring Log'!H829="","",'Recurring Log'!H829)</f>
        <v/>
      </c>
      <c r="AZ825">
        <f>IF(AU825="","",IF('Recurring Log'!J829="","Not Started",'Recurring Log'!J829))</f>
        <v/>
      </c>
      <c r="BA825">
        <f>'Recurring Log'!L829&amp;""</f>
        <v/>
      </c>
      <c r="BB825">
        <f>'Recurring Log'!M829&amp;""</f>
        <v/>
      </c>
      <c r="BC825">
        <f>'Recurring Log'!N829&amp;""</f>
        <v/>
      </c>
      <c r="BD825">
        <f>'Recurring Log'!O829&amp;""</f>
        <v/>
      </c>
      <c r="BE825">
        <f>IF('Recurring Log'!K829="","",'Recurring Log'!K829)</f>
        <v/>
      </c>
      <c r="BF825">
        <f>IFERROR(MATCH(BA825,Setup!$L$6:$L$9,0),5)</f>
        <v/>
      </c>
      <c r="BG825">
        <f>IF(OR(AZ825="Done",AZ825="Cancelled"),1,0)</f>
        <v/>
      </c>
      <c r="BH825">
        <f>IF(AND(AU825&lt;&gt;"",ISNUMBER(AW825)),1,0)</f>
        <v/>
      </c>
      <c r="BI825">
        <f>IF(BH825=0,0,IF(AND(AW825&gt;='Tasks Filter'!$F$3,AW825&lt;='Tasks Filter'!$F$4,OR('Tasks Filter'!$I$3="",ISNUMBER(SEARCH('Tasks Filter'!$I$3,AU825))),OR('Tasks Filter'!$I$4="",BF825=IFERROR(MATCH('Tasks Filter'!$I$4,Setup!$L$6:$L$9,0),0)),OR('Tasks Filter'!$I$5="Both",AND('Tasks Filter'!$I$5="Yes",BB825="✓"),AND('Tasks Filter'!$I$5="No",BB825&lt;&gt;"✓")),OR('Tasks Filter'!$L$3="",AV825='Tasks Filter'!$L$3),OR('Tasks Filter'!$L$4="",AZ825='Tasks Filter'!$L$4),OR('Tasks Filter'!$L$5="",BC825='Tasks Filter'!$L$5),OR('Tasks Filter'!$O$3="",BD825='Tasks Filter'!$O$3),OR('Tasks Filter'!$O$4="Yes",BG825=0)),1,0))</f>
        <v/>
      </c>
      <c r="BJ825">
        <f>IF(BH825=0,"",IF('Tasks Filter'!$F$6="Descending",-1,1)*CHOOSE(MATCH('Tasks Filter'!$F$5,Lists!$G$2:$G$6,0),AW825,BF825,IFERROR(MATCH(AV825,Setup!$F$6:$F$15,0),99),IFERROR(MATCH(BC825,Setup!$H$6:$H$15,0),99),IFERROR(MATCH(AZ825,Setup!$J$6:$J$11,0),99))*1E+9+(AW825-40000)*10000+824)</f>
        <v/>
      </c>
      <c r="BK825">
        <f>IF(BI825=1,BJ825,"")</f>
        <v/>
      </c>
      <c r="BL825">
        <f>IF(AND(BH825=1,BG825=0,N(AW825)&lt;Setup!$D$7),(AW825-40000)*10000+824,"")</f>
        <v/>
      </c>
      <c r="BM825">
        <f>IF(AND(BH825=1,AZ825&lt;&gt;"Cancelled",N(AW825)&gt;=Dashboard!$AB$3,N(AW825)&lt;=Dashboard!$AB$3+6),(AW825-40000)*100000+BF825*10000+824,"")</f>
        <v/>
      </c>
      <c r="BN825">
        <f>IF(AND(BH825=1,AZ825&lt;&gt;"Cancelled"),BF825*10000+824,"")</f>
        <v/>
      </c>
    </row>
    <row r="826">
      <c r="AS826" t="inlineStr">
        <is>
          <t>R</t>
        </is>
      </c>
      <c r="AT826" t="n">
        <v>830</v>
      </c>
      <c r="AU826">
        <f>'Recurring Log'!C830&amp;""</f>
        <v/>
      </c>
      <c r="AV826">
        <f>'Recurring Log'!D830&amp;""</f>
        <v/>
      </c>
      <c r="AW826">
        <f>IF('Recurring Log'!E830="","",'Recurring Log'!E830)</f>
        <v/>
      </c>
      <c r="AX826">
        <f>IF('Recurring Log'!G830="","",'Recurring Log'!G830)</f>
        <v/>
      </c>
      <c r="AY826">
        <f>IF('Recurring Log'!H830="","",'Recurring Log'!H830)</f>
        <v/>
      </c>
      <c r="AZ826">
        <f>IF(AU826="","",IF('Recurring Log'!J830="","Not Started",'Recurring Log'!J830))</f>
        <v/>
      </c>
      <c r="BA826">
        <f>'Recurring Log'!L830&amp;""</f>
        <v/>
      </c>
      <c r="BB826">
        <f>'Recurring Log'!M830&amp;""</f>
        <v/>
      </c>
      <c r="BC826">
        <f>'Recurring Log'!N830&amp;""</f>
        <v/>
      </c>
      <c r="BD826">
        <f>'Recurring Log'!O830&amp;""</f>
        <v/>
      </c>
      <c r="BE826">
        <f>IF('Recurring Log'!K830="","",'Recurring Log'!K830)</f>
        <v/>
      </c>
      <c r="BF826">
        <f>IFERROR(MATCH(BA826,Setup!$L$6:$L$9,0),5)</f>
        <v/>
      </c>
      <c r="BG826">
        <f>IF(OR(AZ826="Done",AZ826="Cancelled"),1,0)</f>
        <v/>
      </c>
      <c r="BH826">
        <f>IF(AND(AU826&lt;&gt;"",ISNUMBER(AW826)),1,0)</f>
        <v/>
      </c>
      <c r="BI826">
        <f>IF(BH826=0,0,IF(AND(AW826&gt;='Tasks Filter'!$F$3,AW826&lt;='Tasks Filter'!$F$4,OR('Tasks Filter'!$I$3="",ISNUMBER(SEARCH('Tasks Filter'!$I$3,AU826))),OR('Tasks Filter'!$I$4="",BF826=IFERROR(MATCH('Tasks Filter'!$I$4,Setup!$L$6:$L$9,0),0)),OR('Tasks Filter'!$I$5="Both",AND('Tasks Filter'!$I$5="Yes",BB826="✓"),AND('Tasks Filter'!$I$5="No",BB826&lt;&gt;"✓")),OR('Tasks Filter'!$L$3="",AV826='Tasks Filter'!$L$3),OR('Tasks Filter'!$L$4="",AZ826='Tasks Filter'!$L$4),OR('Tasks Filter'!$L$5="",BC826='Tasks Filter'!$L$5),OR('Tasks Filter'!$O$3="",BD826='Tasks Filter'!$O$3),OR('Tasks Filter'!$O$4="Yes",BG826=0)),1,0))</f>
        <v/>
      </c>
      <c r="BJ826">
        <f>IF(BH826=0,"",IF('Tasks Filter'!$F$6="Descending",-1,1)*CHOOSE(MATCH('Tasks Filter'!$F$5,Lists!$G$2:$G$6,0),AW826,BF826,IFERROR(MATCH(AV826,Setup!$F$6:$F$15,0),99),IFERROR(MATCH(BC826,Setup!$H$6:$H$15,0),99),IFERROR(MATCH(AZ826,Setup!$J$6:$J$11,0),99))*1E+9+(AW826-40000)*10000+825)</f>
        <v/>
      </c>
      <c r="BK826">
        <f>IF(BI826=1,BJ826,"")</f>
        <v/>
      </c>
      <c r="BL826">
        <f>IF(AND(BH826=1,BG826=0,N(AW826)&lt;Setup!$D$7),(AW826-40000)*10000+825,"")</f>
        <v/>
      </c>
      <c r="BM826">
        <f>IF(AND(BH826=1,AZ826&lt;&gt;"Cancelled",N(AW826)&gt;=Dashboard!$AB$3,N(AW826)&lt;=Dashboard!$AB$3+6),(AW826-40000)*100000+BF826*10000+825,"")</f>
        <v/>
      </c>
      <c r="BN826">
        <f>IF(AND(BH826=1,AZ826&lt;&gt;"Cancelled"),BF826*10000+825,"")</f>
        <v/>
      </c>
    </row>
    <row r="827">
      <c r="AS827" t="inlineStr">
        <is>
          <t>R</t>
        </is>
      </c>
      <c r="AT827" t="n">
        <v>831</v>
      </c>
      <c r="AU827">
        <f>'Recurring Log'!C831&amp;""</f>
        <v/>
      </c>
      <c r="AV827">
        <f>'Recurring Log'!D831&amp;""</f>
        <v/>
      </c>
      <c r="AW827">
        <f>IF('Recurring Log'!E831="","",'Recurring Log'!E831)</f>
        <v/>
      </c>
      <c r="AX827">
        <f>IF('Recurring Log'!G831="","",'Recurring Log'!G831)</f>
        <v/>
      </c>
      <c r="AY827">
        <f>IF('Recurring Log'!H831="","",'Recurring Log'!H831)</f>
        <v/>
      </c>
      <c r="AZ827">
        <f>IF(AU827="","",IF('Recurring Log'!J831="","Not Started",'Recurring Log'!J831))</f>
        <v/>
      </c>
      <c r="BA827">
        <f>'Recurring Log'!L831&amp;""</f>
        <v/>
      </c>
      <c r="BB827">
        <f>'Recurring Log'!M831&amp;""</f>
        <v/>
      </c>
      <c r="BC827">
        <f>'Recurring Log'!N831&amp;""</f>
        <v/>
      </c>
      <c r="BD827">
        <f>'Recurring Log'!O831&amp;""</f>
        <v/>
      </c>
      <c r="BE827">
        <f>IF('Recurring Log'!K831="","",'Recurring Log'!K831)</f>
        <v/>
      </c>
      <c r="BF827">
        <f>IFERROR(MATCH(BA827,Setup!$L$6:$L$9,0),5)</f>
        <v/>
      </c>
      <c r="BG827">
        <f>IF(OR(AZ827="Done",AZ827="Cancelled"),1,0)</f>
        <v/>
      </c>
      <c r="BH827">
        <f>IF(AND(AU827&lt;&gt;"",ISNUMBER(AW827)),1,0)</f>
        <v/>
      </c>
      <c r="BI827">
        <f>IF(BH827=0,0,IF(AND(AW827&gt;='Tasks Filter'!$F$3,AW827&lt;='Tasks Filter'!$F$4,OR('Tasks Filter'!$I$3="",ISNUMBER(SEARCH('Tasks Filter'!$I$3,AU827))),OR('Tasks Filter'!$I$4="",BF827=IFERROR(MATCH('Tasks Filter'!$I$4,Setup!$L$6:$L$9,0),0)),OR('Tasks Filter'!$I$5="Both",AND('Tasks Filter'!$I$5="Yes",BB827="✓"),AND('Tasks Filter'!$I$5="No",BB827&lt;&gt;"✓")),OR('Tasks Filter'!$L$3="",AV827='Tasks Filter'!$L$3),OR('Tasks Filter'!$L$4="",AZ827='Tasks Filter'!$L$4),OR('Tasks Filter'!$L$5="",BC827='Tasks Filter'!$L$5),OR('Tasks Filter'!$O$3="",BD827='Tasks Filter'!$O$3),OR('Tasks Filter'!$O$4="Yes",BG827=0)),1,0))</f>
        <v/>
      </c>
      <c r="BJ827">
        <f>IF(BH827=0,"",IF('Tasks Filter'!$F$6="Descending",-1,1)*CHOOSE(MATCH('Tasks Filter'!$F$5,Lists!$G$2:$G$6,0),AW827,BF827,IFERROR(MATCH(AV827,Setup!$F$6:$F$15,0),99),IFERROR(MATCH(BC827,Setup!$H$6:$H$15,0),99),IFERROR(MATCH(AZ827,Setup!$J$6:$J$11,0),99))*1E+9+(AW827-40000)*10000+826)</f>
        <v/>
      </c>
      <c r="BK827">
        <f>IF(BI827=1,BJ827,"")</f>
        <v/>
      </c>
      <c r="BL827">
        <f>IF(AND(BH827=1,BG827=0,N(AW827)&lt;Setup!$D$7),(AW827-40000)*10000+826,"")</f>
        <v/>
      </c>
      <c r="BM827">
        <f>IF(AND(BH827=1,AZ827&lt;&gt;"Cancelled",N(AW827)&gt;=Dashboard!$AB$3,N(AW827)&lt;=Dashboard!$AB$3+6),(AW827-40000)*100000+BF827*10000+826,"")</f>
        <v/>
      </c>
      <c r="BN827">
        <f>IF(AND(BH827=1,AZ827&lt;&gt;"Cancelled"),BF827*10000+826,"")</f>
        <v/>
      </c>
    </row>
    <row r="828">
      <c r="AS828" t="inlineStr">
        <is>
          <t>R</t>
        </is>
      </c>
      <c r="AT828" t="n">
        <v>832</v>
      </c>
      <c r="AU828">
        <f>'Recurring Log'!C832&amp;""</f>
        <v/>
      </c>
      <c r="AV828">
        <f>'Recurring Log'!D832&amp;""</f>
        <v/>
      </c>
      <c r="AW828">
        <f>IF('Recurring Log'!E832="","",'Recurring Log'!E832)</f>
        <v/>
      </c>
      <c r="AX828">
        <f>IF('Recurring Log'!G832="","",'Recurring Log'!G832)</f>
        <v/>
      </c>
      <c r="AY828">
        <f>IF('Recurring Log'!H832="","",'Recurring Log'!H832)</f>
        <v/>
      </c>
      <c r="AZ828">
        <f>IF(AU828="","",IF('Recurring Log'!J832="","Not Started",'Recurring Log'!J832))</f>
        <v/>
      </c>
      <c r="BA828">
        <f>'Recurring Log'!L832&amp;""</f>
        <v/>
      </c>
      <c r="BB828">
        <f>'Recurring Log'!M832&amp;""</f>
        <v/>
      </c>
      <c r="BC828">
        <f>'Recurring Log'!N832&amp;""</f>
        <v/>
      </c>
      <c r="BD828">
        <f>'Recurring Log'!O832&amp;""</f>
        <v/>
      </c>
      <c r="BE828">
        <f>IF('Recurring Log'!K832="","",'Recurring Log'!K832)</f>
        <v/>
      </c>
      <c r="BF828">
        <f>IFERROR(MATCH(BA828,Setup!$L$6:$L$9,0),5)</f>
        <v/>
      </c>
      <c r="BG828">
        <f>IF(OR(AZ828="Done",AZ828="Cancelled"),1,0)</f>
        <v/>
      </c>
      <c r="BH828">
        <f>IF(AND(AU828&lt;&gt;"",ISNUMBER(AW828)),1,0)</f>
        <v/>
      </c>
      <c r="BI828">
        <f>IF(BH828=0,0,IF(AND(AW828&gt;='Tasks Filter'!$F$3,AW828&lt;='Tasks Filter'!$F$4,OR('Tasks Filter'!$I$3="",ISNUMBER(SEARCH('Tasks Filter'!$I$3,AU828))),OR('Tasks Filter'!$I$4="",BF828=IFERROR(MATCH('Tasks Filter'!$I$4,Setup!$L$6:$L$9,0),0)),OR('Tasks Filter'!$I$5="Both",AND('Tasks Filter'!$I$5="Yes",BB828="✓"),AND('Tasks Filter'!$I$5="No",BB828&lt;&gt;"✓")),OR('Tasks Filter'!$L$3="",AV828='Tasks Filter'!$L$3),OR('Tasks Filter'!$L$4="",AZ828='Tasks Filter'!$L$4),OR('Tasks Filter'!$L$5="",BC828='Tasks Filter'!$L$5),OR('Tasks Filter'!$O$3="",BD828='Tasks Filter'!$O$3),OR('Tasks Filter'!$O$4="Yes",BG828=0)),1,0))</f>
        <v/>
      </c>
      <c r="BJ828">
        <f>IF(BH828=0,"",IF('Tasks Filter'!$F$6="Descending",-1,1)*CHOOSE(MATCH('Tasks Filter'!$F$5,Lists!$G$2:$G$6,0),AW828,BF828,IFERROR(MATCH(AV828,Setup!$F$6:$F$15,0),99),IFERROR(MATCH(BC828,Setup!$H$6:$H$15,0),99),IFERROR(MATCH(AZ828,Setup!$J$6:$J$11,0),99))*1E+9+(AW828-40000)*10000+827)</f>
        <v/>
      </c>
      <c r="BK828">
        <f>IF(BI828=1,BJ828,"")</f>
        <v/>
      </c>
      <c r="BL828">
        <f>IF(AND(BH828=1,BG828=0,N(AW828)&lt;Setup!$D$7),(AW828-40000)*10000+827,"")</f>
        <v/>
      </c>
      <c r="BM828">
        <f>IF(AND(BH828=1,AZ828&lt;&gt;"Cancelled",N(AW828)&gt;=Dashboard!$AB$3,N(AW828)&lt;=Dashboard!$AB$3+6),(AW828-40000)*100000+BF828*10000+827,"")</f>
        <v/>
      </c>
      <c r="BN828">
        <f>IF(AND(BH828=1,AZ828&lt;&gt;"Cancelled"),BF828*10000+827,"")</f>
        <v/>
      </c>
    </row>
    <row r="829">
      <c r="AS829" t="inlineStr">
        <is>
          <t>R</t>
        </is>
      </c>
      <c r="AT829" t="n">
        <v>833</v>
      </c>
      <c r="AU829">
        <f>'Recurring Log'!C833&amp;""</f>
        <v/>
      </c>
      <c r="AV829">
        <f>'Recurring Log'!D833&amp;""</f>
        <v/>
      </c>
      <c r="AW829">
        <f>IF('Recurring Log'!E833="","",'Recurring Log'!E833)</f>
        <v/>
      </c>
      <c r="AX829">
        <f>IF('Recurring Log'!G833="","",'Recurring Log'!G833)</f>
        <v/>
      </c>
      <c r="AY829">
        <f>IF('Recurring Log'!H833="","",'Recurring Log'!H833)</f>
        <v/>
      </c>
      <c r="AZ829">
        <f>IF(AU829="","",IF('Recurring Log'!J833="","Not Started",'Recurring Log'!J833))</f>
        <v/>
      </c>
      <c r="BA829">
        <f>'Recurring Log'!L833&amp;""</f>
        <v/>
      </c>
      <c r="BB829">
        <f>'Recurring Log'!M833&amp;""</f>
        <v/>
      </c>
      <c r="BC829">
        <f>'Recurring Log'!N833&amp;""</f>
        <v/>
      </c>
      <c r="BD829">
        <f>'Recurring Log'!O833&amp;""</f>
        <v/>
      </c>
      <c r="BE829">
        <f>IF('Recurring Log'!K833="","",'Recurring Log'!K833)</f>
        <v/>
      </c>
      <c r="BF829">
        <f>IFERROR(MATCH(BA829,Setup!$L$6:$L$9,0),5)</f>
        <v/>
      </c>
      <c r="BG829">
        <f>IF(OR(AZ829="Done",AZ829="Cancelled"),1,0)</f>
        <v/>
      </c>
      <c r="BH829">
        <f>IF(AND(AU829&lt;&gt;"",ISNUMBER(AW829)),1,0)</f>
        <v/>
      </c>
      <c r="BI829">
        <f>IF(BH829=0,0,IF(AND(AW829&gt;='Tasks Filter'!$F$3,AW829&lt;='Tasks Filter'!$F$4,OR('Tasks Filter'!$I$3="",ISNUMBER(SEARCH('Tasks Filter'!$I$3,AU829))),OR('Tasks Filter'!$I$4="",BF829=IFERROR(MATCH('Tasks Filter'!$I$4,Setup!$L$6:$L$9,0),0)),OR('Tasks Filter'!$I$5="Both",AND('Tasks Filter'!$I$5="Yes",BB829="✓"),AND('Tasks Filter'!$I$5="No",BB829&lt;&gt;"✓")),OR('Tasks Filter'!$L$3="",AV829='Tasks Filter'!$L$3),OR('Tasks Filter'!$L$4="",AZ829='Tasks Filter'!$L$4),OR('Tasks Filter'!$L$5="",BC829='Tasks Filter'!$L$5),OR('Tasks Filter'!$O$3="",BD829='Tasks Filter'!$O$3),OR('Tasks Filter'!$O$4="Yes",BG829=0)),1,0))</f>
        <v/>
      </c>
      <c r="BJ829">
        <f>IF(BH829=0,"",IF('Tasks Filter'!$F$6="Descending",-1,1)*CHOOSE(MATCH('Tasks Filter'!$F$5,Lists!$G$2:$G$6,0),AW829,BF829,IFERROR(MATCH(AV829,Setup!$F$6:$F$15,0),99),IFERROR(MATCH(BC829,Setup!$H$6:$H$15,0),99),IFERROR(MATCH(AZ829,Setup!$J$6:$J$11,0),99))*1E+9+(AW829-40000)*10000+828)</f>
        <v/>
      </c>
      <c r="BK829">
        <f>IF(BI829=1,BJ829,"")</f>
        <v/>
      </c>
      <c r="BL829">
        <f>IF(AND(BH829=1,BG829=0,N(AW829)&lt;Setup!$D$7),(AW829-40000)*10000+828,"")</f>
        <v/>
      </c>
      <c r="BM829">
        <f>IF(AND(BH829=1,AZ829&lt;&gt;"Cancelled",N(AW829)&gt;=Dashboard!$AB$3,N(AW829)&lt;=Dashboard!$AB$3+6),(AW829-40000)*100000+BF829*10000+828,"")</f>
        <v/>
      </c>
      <c r="BN829">
        <f>IF(AND(BH829=1,AZ829&lt;&gt;"Cancelled"),BF829*10000+828,"")</f>
        <v/>
      </c>
    </row>
    <row r="830">
      <c r="AS830" t="inlineStr">
        <is>
          <t>R</t>
        </is>
      </c>
      <c r="AT830" t="n">
        <v>834</v>
      </c>
      <c r="AU830">
        <f>'Recurring Log'!C834&amp;""</f>
        <v/>
      </c>
      <c r="AV830">
        <f>'Recurring Log'!D834&amp;""</f>
        <v/>
      </c>
      <c r="AW830">
        <f>IF('Recurring Log'!E834="","",'Recurring Log'!E834)</f>
        <v/>
      </c>
      <c r="AX830">
        <f>IF('Recurring Log'!G834="","",'Recurring Log'!G834)</f>
        <v/>
      </c>
      <c r="AY830">
        <f>IF('Recurring Log'!H834="","",'Recurring Log'!H834)</f>
        <v/>
      </c>
      <c r="AZ830">
        <f>IF(AU830="","",IF('Recurring Log'!J834="","Not Started",'Recurring Log'!J834))</f>
        <v/>
      </c>
      <c r="BA830">
        <f>'Recurring Log'!L834&amp;""</f>
        <v/>
      </c>
      <c r="BB830">
        <f>'Recurring Log'!M834&amp;""</f>
        <v/>
      </c>
      <c r="BC830">
        <f>'Recurring Log'!N834&amp;""</f>
        <v/>
      </c>
      <c r="BD830">
        <f>'Recurring Log'!O834&amp;""</f>
        <v/>
      </c>
      <c r="BE830">
        <f>IF('Recurring Log'!K834="","",'Recurring Log'!K834)</f>
        <v/>
      </c>
      <c r="BF830">
        <f>IFERROR(MATCH(BA830,Setup!$L$6:$L$9,0),5)</f>
        <v/>
      </c>
      <c r="BG830">
        <f>IF(OR(AZ830="Done",AZ830="Cancelled"),1,0)</f>
        <v/>
      </c>
      <c r="BH830">
        <f>IF(AND(AU830&lt;&gt;"",ISNUMBER(AW830)),1,0)</f>
        <v/>
      </c>
      <c r="BI830">
        <f>IF(BH830=0,0,IF(AND(AW830&gt;='Tasks Filter'!$F$3,AW830&lt;='Tasks Filter'!$F$4,OR('Tasks Filter'!$I$3="",ISNUMBER(SEARCH('Tasks Filter'!$I$3,AU830))),OR('Tasks Filter'!$I$4="",BF830=IFERROR(MATCH('Tasks Filter'!$I$4,Setup!$L$6:$L$9,0),0)),OR('Tasks Filter'!$I$5="Both",AND('Tasks Filter'!$I$5="Yes",BB830="✓"),AND('Tasks Filter'!$I$5="No",BB830&lt;&gt;"✓")),OR('Tasks Filter'!$L$3="",AV830='Tasks Filter'!$L$3),OR('Tasks Filter'!$L$4="",AZ830='Tasks Filter'!$L$4),OR('Tasks Filter'!$L$5="",BC830='Tasks Filter'!$L$5),OR('Tasks Filter'!$O$3="",BD830='Tasks Filter'!$O$3),OR('Tasks Filter'!$O$4="Yes",BG830=0)),1,0))</f>
        <v/>
      </c>
      <c r="BJ830">
        <f>IF(BH830=0,"",IF('Tasks Filter'!$F$6="Descending",-1,1)*CHOOSE(MATCH('Tasks Filter'!$F$5,Lists!$G$2:$G$6,0),AW830,BF830,IFERROR(MATCH(AV830,Setup!$F$6:$F$15,0),99),IFERROR(MATCH(BC830,Setup!$H$6:$H$15,0),99),IFERROR(MATCH(AZ830,Setup!$J$6:$J$11,0),99))*1E+9+(AW830-40000)*10000+829)</f>
        <v/>
      </c>
      <c r="BK830">
        <f>IF(BI830=1,BJ830,"")</f>
        <v/>
      </c>
      <c r="BL830">
        <f>IF(AND(BH830=1,BG830=0,N(AW830)&lt;Setup!$D$7),(AW830-40000)*10000+829,"")</f>
        <v/>
      </c>
      <c r="BM830">
        <f>IF(AND(BH830=1,AZ830&lt;&gt;"Cancelled",N(AW830)&gt;=Dashboard!$AB$3,N(AW830)&lt;=Dashboard!$AB$3+6),(AW830-40000)*100000+BF830*10000+829,"")</f>
        <v/>
      </c>
      <c r="BN830">
        <f>IF(AND(BH830=1,AZ830&lt;&gt;"Cancelled"),BF830*10000+829,"")</f>
        <v/>
      </c>
    </row>
    <row r="831">
      <c r="AS831" t="inlineStr">
        <is>
          <t>R</t>
        </is>
      </c>
      <c r="AT831" t="n">
        <v>835</v>
      </c>
      <c r="AU831">
        <f>'Recurring Log'!C835&amp;""</f>
        <v/>
      </c>
      <c r="AV831">
        <f>'Recurring Log'!D835&amp;""</f>
        <v/>
      </c>
      <c r="AW831">
        <f>IF('Recurring Log'!E835="","",'Recurring Log'!E835)</f>
        <v/>
      </c>
      <c r="AX831">
        <f>IF('Recurring Log'!G835="","",'Recurring Log'!G835)</f>
        <v/>
      </c>
      <c r="AY831">
        <f>IF('Recurring Log'!H835="","",'Recurring Log'!H835)</f>
        <v/>
      </c>
      <c r="AZ831">
        <f>IF(AU831="","",IF('Recurring Log'!J835="","Not Started",'Recurring Log'!J835))</f>
        <v/>
      </c>
      <c r="BA831">
        <f>'Recurring Log'!L835&amp;""</f>
        <v/>
      </c>
      <c r="BB831">
        <f>'Recurring Log'!M835&amp;""</f>
        <v/>
      </c>
      <c r="BC831">
        <f>'Recurring Log'!N835&amp;""</f>
        <v/>
      </c>
      <c r="BD831">
        <f>'Recurring Log'!O835&amp;""</f>
        <v/>
      </c>
      <c r="BE831">
        <f>IF('Recurring Log'!K835="","",'Recurring Log'!K835)</f>
        <v/>
      </c>
      <c r="BF831">
        <f>IFERROR(MATCH(BA831,Setup!$L$6:$L$9,0),5)</f>
        <v/>
      </c>
      <c r="BG831">
        <f>IF(OR(AZ831="Done",AZ831="Cancelled"),1,0)</f>
        <v/>
      </c>
      <c r="BH831">
        <f>IF(AND(AU831&lt;&gt;"",ISNUMBER(AW831)),1,0)</f>
        <v/>
      </c>
      <c r="BI831">
        <f>IF(BH831=0,0,IF(AND(AW831&gt;='Tasks Filter'!$F$3,AW831&lt;='Tasks Filter'!$F$4,OR('Tasks Filter'!$I$3="",ISNUMBER(SEARCH('Tasks Filter'!$I$3,AU831))),OR('Tasks Filter'!$I$4="",BF831=IFERROR(MATCH('Tasks Filter'!$I$4,Setup!$L$6:$L$9,0),0)),OR('Tasks Filter'!$I$5="Both",AND('Tasks Filter'!$I$5="Yes",BB831="✓"),AND('Tasks Filter'!$I$5="No",BB831&lt;&gt;"✓")),OR('Tasks Filter'!$L$3="",AV831='Tasks Filter'!$L$3),OR('Tasks Filter'!$L$4="",AZ831='Tasks Filter'!$L$4),OR('Tasks Filter'!$L$5="",BC831='Tasks Filter'!$L$5),OR('Tasks Filter'!$O$3="",BD831='Tasks Filter'!$O$3),OR('Tasks Filter'!$O$4="Yes",BG831=0)),1,0))</f>
        <v/>
      </c>
      <c r="BJ831">
        <f>IF(BH831=0,"",IF('Tasks Filter'!$F$6="Descending",-1,1)*CHOOSE(MATCH('Tasks Filter'!$F$5,Lists!$G$2:$G$6,0),AW831,BF831,IFERROR(MATCH(AV831,Setup!$F$6:$F$15,0),99),IFERROR(MATCH(BC831,Setup!$H$6:$H$15,0),99),IFERROR(MATCH(AZ831,Setup!$J$6:$J$11,0),99))*1E+9+(AW831-40000)*10000+830)</f>
        <v/>
      </c>
      <c r="BK831">
        <f>IF(BI831=1,BJ831,"")</f>
        <v/>
      </c>
      <c r="BL831">
        <f>IF(AND(BH831=1,BG831=0,N(AW831)&lt;Setup!$D$7),(AW831-40000)*10000+830,"")</f>
        <v/>
      </c>
      <c r="BM831">
        <f>IF(AND(BH831=1,AZ831&lt;&gt;"Cancelled",N(AW831)&gt;=Dashboard!$AB$3,N(AW831)&lt;=Dashboard!$AB$3+6),(AW831-40000)*100000+BF831*10000+830,"")</f>
        <v/>
      </c>
      <c r="BN831">
        <f>IF(AND(BH831=1,AZ831&lt;&gt;"Cancelled"),BF831*10000+830,"")</f>
        <v/>
      </c>
    </row>
    <row r="832">
      <c r="AS832" t="inlineStr">
        <is>
          <t>R</t>
        </is>
      </c>
      <c r="AT832" t="n">
        <v>836</v>
      </c>
      <c r="AU832">
        <f>'Recurring Log'!C836&amp;""</f>
        <v/>
      </c>
      <c r="AV832">
        <f>'Recurring Log'!D836&amp;""</f>
        <v/>
      </c>
      <c r="AW832">
        <f>IF('Recurring Log'!E836="","",'Recurring Log'!E836)</f>
        <v/>
      </c>
      <c r="AX832">
        <f>IF('Recurring Log'!G836="","",'Recurring Log'!G836)</f>
        <v/>
      </c>
      <c r="AY832">
        <f>IF('Recurring Log'!H836="","",'Recurring Log'!H836)</f>
        <v/>
      </c>
      <c r="AZ832">
        <f>IF(AU832="","",IF('Recurring Log'!J836="","Not Started",'Recurring Log'!J836))</f>
        <v/>
      </c>
      <c r="BA832">
        <f>'Recurring Log'!L836&amp;""</f>
        <v/>
      </c>
      <c r="BB832">
        <f>'Recurring Log'!M836&amp;""</f>
        <v/>
      </c>
      <c r="BC832">
        <f>'Recurring Log'!N836&amp;""</f>
        <v/>
      </c>
      <c r="BD832">
        <f>'Recurring Log'!O836&amp;""</f>
        <v/>
      </c>
      <c r="BE832">
        <f>IF('Recurring Log'!K836="","",'Recurring Log'!K836)</f>
        <v/>
      </c>
      <c r="BF832">
        <f>IFERROR(MATCH(BA832,Setup!$L$6:$L$9,0),5)</f>
        <v/>
      </c>
      <c r="BG832">
        <f>IF(OR(AZ832="Done",AZ832="Cancelled"),1,0)</f>
        <v/>
      </c>
      <c r="BH832">
        <f>IF(AND(AU832&lt;&gt;"",ISNUMBER(AW832)),1,0)</f>
        <v/>
      </c>
      <c r="BI832">
        <f>IF(BH832=0,0,IF(AND(AW832&gt;='Tasks Filter'!$F$3,AW832&lt;='Tasks Filter'!$F$4,OR('Tasks Filter'!$I$3="",ISNUMBER(SEARCH('Tasks Filter'!$I$3,AU832))),OR('Tasks Filter'!$I$4="",BF832=IFERROR(MATCH('Tasks Filter'!$I$4,Setup!$L$6:$L$9,0),0)),OR('Tasks Filter'!$I$5="Both",AND('Tasks Filter'!$I$5="Yes",BB832="✓"),AND('Tasks Filter'!$I$5="No",BB832&lt;&gt;"✓")),OR('Tasks Filter'!$L$3="",AV832='Tasks Filter'!$L$3),OR('Tasks Filter'!$L$4="",AZ832='Tasks Filter'!$L$4),OR('Tasks Filter'!$L$5="",BC832='Tasks Filter'!$L$5),OR('Tasks Filter'!$O$3="",BD832='Tasks Filter'!$O$3),OR('Tasks Filter'!$O$4="Yes",BG832=0)),1,0))</f>
        <v/>
      </c>
      <c r="BJ832">
        <f>IF(BH832=0,"",IF('Tasks Filter'!$F$6="Descending",-1,1)*CHOOSE(MATCH('Tasks Filter'!$F$5,Lists!$G$2:$G$6,0),AW832,BF832,IFERROR(MATCH(AV832,Setup!$F$6:$F$15,0),99),IFERROR(MATCH(BC832,Setup!$H$6:$H$15,0),99),IFERROR(MATCH(AZ832,Setup!$J$6:$J$11,0),99))*1E+9+(AW832-40000)*10000+831)</f>
        <v/>
      </c>
      <c r="BK832">
        <f>IF(BI832=1,BJ832,"")</f>
        <v/>
      </c>
      <c r="BL832">
        <f>IF(AND(BH832=1,BG832=0,N(AW832)&lt;Setup!$D$7),(AW832-40000)*10000+831,"")</f>
        <v/>
      </c>
      <c r="BM832">
        <f>IF(AND(BH832=1,AZ832&lt;&gt;"Cancelled",N(AW832)&gt;=Dashboard!$AB$3,N(AW832)&lt;=Dashboard!$AB$3+6),(AW832-40000)*100000+BF832*10000+831,"")</f>
        <v/>
      </c>
      <c r="BN832">
        <f>IF(AND(BH832=1,AZ832&lt;&gt;"Cancelled"),BF832*10000+831,"")</f>
        <v/>
      </c>
    </row>
    <row r="833">
      <c r="AS833" t="inlineStr">
        <is>
          <t>R</t>
        </is>
      </c>
      <c r="AT833" t="n">
        <v>837</v>
      </c>
      <c r="AU833">
        <f>'Recurring Log'!C837&amp;""</f>
        <v/>
      </c>
      <c r="AV833">
        <f>'Recurring Log'!D837&amp;""</f>
        <v/>
      </c>
      <c r="AW833">
        <f>IF('Recurring Log'!E837="","",'Recurring Log'!E837)</f>
        <v/>
      </c>
      <c r="AX833">
        <f>IF('Recurring Log'!G837="","",'Recurring Log'!G837)</f>
        <v/>
      </c>
      <c r="AY833">
        <f>IF('Recurring Log'!H837="","",'Recurring Log'!H837)</f>
        <v/>
      </c>
      <c r="AZ833">
        <f>IF(AU833="","",IF('Recurring Log'!J837="","Not Started",'Recurring Log'!J837))</f>
        <v/>
      </c>
      <c r="BA833">
        <f>'Recurring Log'!L837&amp;""</f>
        <v/>
      </c>
      <c r="BB833">
        <f>'Recurring Log'!M837&amp;""</f>
        <v/>
      </c>
      <c r="BC833">
        <f>'Recurring Log'!N837&amp;""</f>
        <v/>
      </c>
      <c r="BD833">
        <f>'Recurring Log'!O837&amp;""</f>
        <v/>
      </c>
      <c r="BE833">
        <f>IF('Recurring Log'!K837="","",'Recurring Log'!K837)</f>
        <v/>
      </c>
      <c r="BF833">
        <f>IFERROR(MATCH(BA833,Setup!$L$6:$L$9,0),5)</f>
        <v/>
      </c>
      <c r="BG833">
        <f>IF(OR(AZ833="Done",AZ833="Cancelled"),1,0)</f>
        <v/>
      </c>
      <c r="BH833">
        <f>IF(AND(AU833&lt;&gt;"",ISNUMBER(AW833)),1,0)</f>
        <v/>
      </c>
      <c r="BI833">
        <f>IF(BH833=0,0,IF(AND(AW833&gt;='Tasks Filter'!$F$3,AW833&lt;='Tasks Filter'!$F$4,OR('Tasks Filter'!$I$3="",ISNUMBER(SEARCH('Tasks Filter'!$I$3,AU833))),OR('Tasks Filter'!$I$4="",BF833=IFERROR(MATCH('Tasks Filter'!$I$4,Setup!$L$6:$L$9,0),0)),OR('Tasks Filter'!$I$5="Both",AND('Tasks Filter'!$I$5="Yes",BB833="✓"),AND('Tasks Filter'!$I$5="No",BB833&lt;&gt;"✓")),OR('Tasks Filter'!$L$3="",AV833='Tasks Filter'!$L$3),OR('Tasks Filter'!$L$4="",AZ833='Tasks Filter'!$L$4),OR('Tasks Filter'!$L$5="",BC833='Tasks Filter'!$L$5),OR('Tasks Filter'!$O$3="",BD833='Tasks Filter'!$O$3),OR('Tasks Filter'!$O$4="Yes",BG833=0)),1,0))</f>
        <v/>
      </c>
      <c r="BJ833">
        <f>IF(BH833=0,"",IF('Tasks Filter'!$F$6="Descending",-1,1)*CHOOSE(MATCH('Tasks Filter'!$F$5,Lists!$G$2:$G$6,0),AW833,BF833,IFERROR(MATCH(AV833,Setup!$F$6:$F$15,0),99),IFERROR(MATCH(BC833,Setup!$H$6:$H$15,0),99),IFERROR(MATCH(AZ833,Setup!$J$6:$J$11,0),99))*1E+9+(AW833-40000)*10000+832)</f>
        <v/>
      </c>
      <c r="BK833">
        <f>IF(BI833=1,BJ833,"")</f>
        <v/>
      </c>
      <c r="BL833">
        <f>IF(AND(BH833=1,BG833=0,N(AW833)&lt;Setup!$D$7),(AW833-40000)*10000+832,"")</f>
        <v/>
      </c>
      <c r="BM833">
        <f>IF(AND(BH833=1,AZ833&lt;&gt;"Cancelled",N(AW833)&gt;=Dashboard!$AB$3,N(AW833)&lt;=Dashboard!$AB$3+6),(AW833-40000)*100000+BF833*10000+832,"")</f>
        <v/>
      </c>
      <c r="BN833">
        <f>IF(AND(BH833=1,AZ833&lt;&gt;"Cancelled"),BF833*10000+832,"")</f>
        <v/>
      </c>
    </row>
    <row r="834">
      <c r="AS834" t="inlineStr">
        <is>
          <t>R</t>
        </is>
      </c>
      <c r="AT834" t="n">
        <v>838</v>
      </c>
      <c r="AU834">
        <f>'Recurring Log'!C838&amp;""</f>
        <v/>
      </c>
      <c r="AV834">
        <f>'Recurring Log'!D838&amp;""</f>
        <v/>
      </c>
      <c r="AW834">
        <f>IF('Recurring Log'!E838="","",'Recurring Log'!E838)</f>
        <v/>
      </c>
      <c r="AX834">
        <f>IF('Recurring Log'!G838="","",'Recurring Log'!G838)</f>
        <v/>
      </c>
      <c r="AY834">
        <f>IF('Recurring Log'!H838="","",'Recurring Log'!H838)</f>
        <v/>
      </c>
      <c r="AZ834">
        <f>IF(AU834="","",IF('Recurring Log'!J838="","Not Started",'Recurring Log'!J838))</f>
        <v/>
      </c>
      <c r="BA834">
        <f>'Recurring Log'!L838&amp;""</f>
        <v/>
      </c>
      <c r="BB834">
        <f>'Recurring Log'!M838&amp;""</f>
        <v/>
      </c>
      <c r="BC834">
        <f>'Recurring Log'!N838&amp;""</f>
        <v/>
      </c>
      <c r="BD834">
        <f>'Recurring Log'!O838&amp;""</f>
        <v/>
      </c>
      <c r="BE834">
        <f>IF('Recurring Log'!K838="","",'Recurring Log'!K838)</f>
        <v/>
      </c>
      <c r="BF834">
        <f>IFERROR(MATCH(BA834,Setup!$L$6:$L$9,0),5)</f>
        <v/>
      </c>
      <c r="BG834">
        <f>IF(OR(AZ834="Done",AZ834="Cancelled"),1,0)</f>
        <v/>
      </c>
      <c r="BH834">
        <f>IF(AND(AU834&lt;&gt;"",ISNUMBER(AW834)),1,0)</f>
        <v/>
      </c>
      <c r="BI834">
        <f>IF(BH834=0,0,IF(AND(AW834&gt;='Tasks Filter'!$F$3,AW834&lt;='Tasks Filter'!$F$4,OR('Tasks Filter'!$I$3="",ISNUMBER(SEARCH('Tasks Filter'!$I$3,AU834))),OR('Tasks Filter'!$I$4="",BF834=IFERROR(MATCH('Tasks Filter'!$I$4,Setup!$L$6:$L$9,0),0)),OR('Tasks Filter'!$I$5="Both",AND('Tasks Filter'!$I$5="Yes",BB834="✓"),AND('Tasks Filter'!$I$5="No",BB834&lt;&gt;"✓")),OR('Tasks Filter'!$L$3="",AV834='Tasks Filter'!$L$3),OR('Tasks Filter'!$L$4="",AZ834='Tasks Filter'!$L$4),OR('Tasks Filter'!$L$5="",BC834='Tasks Filter'!$L$5),OR('Tasks Filter'!$O$3="",BD834='Tasks Filter'!$O$3),OR('Tasks Filter'!$O$4="Yes",BG834=0)),1,0))</f>
        <v/>
      </c>
      <c r="BJ834">
        <f>IF(BH834=0,"",IF('Tasks Filter'!$F$6="Descending",-1,1)*CHOOSE(MATCH('Tasks Filter'!$F$5,Lists!$G$2:$G$6,0),AW834,BF834,IFERROR(MATCH(AV834,Setup!$F$6:$F$15,0),99),IFERROR(MATCH(BC834,Setup!$H$6:$H$15,0),99),IFERROR(MATCH(AZ834,Setup!$J$6:$J$11,0),99))*1E+9+(AW834-40000)*10000+833)</f>
        <v/>
      </c>
      <c r="BK834">
        <f>IF(BI834=1,BJ834,"")</f>
        <v/>
      </c>
      <c r="BL834">
        <f>IF(AND(BH834=1,BG834=0,N(AW834)&lt;Setup!$D$7),(AW834-40000)*10000+833,"")</f>
        <v/>
      </c>
      <c r="BM834">
        <f>IF(AND(BH834=1,AZ834&lt;&gt;"Cancelled",N(AW834)&gt;=Dashboard!$AB$3,N(AW834)&lt;=Dashboard!$AB$3+6),(AW834-40000)*100000+BF834*10000+833,"")</f>
        <v/>
      </c>
      <c r="BN834">
        <f>IF(AND(BH834=1,AZ834&lt;&gt;"Cancelled"),BF834*10000+833,"")</f>
        <v/>
      </c>
    </row>
    <row r="835">
      <c r="AS835" t="inlineStr">
        <is>
          <t>R</t>
        </is>
      </c>
      <c r="AT835" t="n">
        <v>839</v>
      </c>
      <c r="AU835">
        <f>'Recurring Log'!C839&amp;""</f>
        <v/>
      </c>
      <c r="AV835">
        <f>'Recurring Log'!D839&amp;""</f>
        <v/>
      </c>
      <c r="AW835">
        <f>IF('Recurring Log'!E839="","",'Recurring Log'!E839)</f>
        <v/>
      </c>
      <c r="AX835">
        <f>IF('Recurring Log'!G839="","",'Recurring Log'!G839)</f>
        <v/>
      </c>
      <c r="AY835">
        <f>IF('Recurring Log'!H839="","",'Recurring Log'!H839)</f>
        <v/>
      </c>
      <c r="AZ835">
        <f>IF(AU835="","",IF('Recurring Log'!J839="","Not Started",'Recurring Log'!J839))</f>
        <v/>
      </c>
      <c r="BA835">
        <f>'Recurring Log'!L839&amp;""</f>
        <v/>
      </c>
      <c r="BB835">
        <f>'Recurring Log'!M839&amp;""</f>
        <v/>
      </c>
      <c r="BC835">
        <f>'Recurring Log'!N839&amp;""</f>
        <v/>
      </c>
      <c r="BD835">
        <f>'Recurring Log'!O839&amp;""</f>
        <v/>
      </c>
      <c r="BE835">
        <f>IF('Recurring Log'!K839="","",'Recurring Log'!K839)</f>
        <v/>
      </c>
      <c r="BF835">
        <f>IFERROR(MATCH(BA835,Setup!$L$6:$L$9,0),5)</f>
        <v/>
      </c>
      <c r="BG835">
        <f>IF(OR(AZ835="Done",AZ835="Cancelled"),1,0)</f>
        <v/>
      </c>
      <c r="BH835">
        <f>IF(AND(AU835&lt;&gt;"",ISNUMBER(AW835)),1,0)</f>
        <v/>
      </c>
      <c r="BI835">
        <f>IF(BH835=0,0,IF(AND(AW835&gt;='Tasks Filter'!$F$3,AW835&lt;='Tasks Filter'!$F$4,OR('Tasks Filter'!$I$3="",ISNUMBER(SEARCH('Tasks Filter'!$I$3,AU835))),OR('Tasks Filter'!$I$4="",BF835=IFERROR(MATCH('Tasks Filter'!$I$4,Setup!$L$6:$L$9,0),0)),OR('Tasks Filter'!$I$5="Both",AND('Tasks Filter'!$I$5="Yes",BB835="✓"),AND('Tasks Filter'!$I$5="No",BB835&lt;&gt;"✓")),OR('Tasks Filter'!$L$3="",AV835='Tasks Filter'!$L$3),OR('Tasks Filter'!$L$4="",AZ835='Tasks Filter'!$L$4),OR('Tasks Filter'!$L$5="",BC835='Tasks Filter'!$L$5),OR('Tasks Filter'!$O$3="",BD835='Tasks Filter'!$O$3),OR('Tasks Filter'!$O$4="Yes",BG835=0)),1,0))</f>
        <v/>
      </c>
      <c r="BJ835">
        <f>IF(BH835=0,"",IF('Tasks Filter'!$F$6="Descending",-1,1)*CHOOSE(MATCH('Tasks Filter'!$F$5,Lists!$G$2:$G$6,0),AW835,BF835,IFERROR(MATCH(AV835,Setup!$F$6:$F$15,0),99),IFERROR(MATCH(BC835,Setup!$H$6:$H$15,0),99),IFERROR(MATCH(AZ835,Setup!$J$6:$J$11,0),99))*1E+9+(AW835-40000)*10000+834)</f>
        <v/>
      </c>
      <c r="BK835">
        <f>IF(BI835=1,BJ835,"")</f>
        <v/>
      </c>
      <c r="BL835">
        <f>IF(AND(BH835=1,BG835=0,N(AW835)&lt;Setup!$D$7),(AW835-40000)*10000+834,"")</f>
        <v/>
      </c>
      <c r="BM835">
        <f>IF(AND(BH835=1,AZ835&lt;&gt;"Cancelled",N(AW835)&gt;=Dashboard!$AB$3,N(AW835)&lt;=Dashboard!$AB$3+6),(AW835-40000)*100000+BF835*10000+834,"")</f>
        <v/>
      </c>
      <c r="BN835">
        <f>IF(AND(BH835=1,AZ835&lt;&gt;"Cancelled"),BF835*10000+834,"")</f>
        <v/>
      </c>
    </row>
    <row r="836">
      <c r="AS836" t="inlineStr">
        <is>
          <t>R</t>
        </is>
      </c>
      <c r="AT836" t="n">
        <v>840</v>
      </c>
      <c r="AU836">
        <f>'Recurring Log'!C840&amp;""</f>
        <v/>
      </c>
      <c r="AV836">
        <f>'Recurring Log'!D840&amp;""</f>
        <v/>
      </c>
      <c r="AW836">
        <f>IF('Recurring Log'!E840="","",'Recurring Log'!E840)</f>
        <v/>
      </c>
      <c r="AX836">
        <f>IF('Recurring Log'!G840="","",'Recurring Log'!G840)</f>
        <v/>
      </c>
      <c r="AY836">
        <f>IF('Recurring Log'!H840="","",'Recurring Log'!H840)</f>
        <v/>
      </c>
      <c r="AZ836">
        <f>IF(AU836="","",IF('Recurring Log'!J840="","Not Started",'Recurring Log'!J840))</f>
        <v/>
      </c>
      <c r="BA836">
        <f>'Recurring Log'!L840&amp;""</f>
        <v/>
      </c>
      <c r="BB836">
        <f>'Recurring Log'!M840&amp;""</f>
        <v/>
      </c>
      <c r="BC836">
        <f>'Recurring Log'!N840&amp;""</f>
        <v/>
      </c>
      <c r="BD836">
        <f>'Recurring Log'!O840&amp;""</f>
        <v/>
      </c>
      <c r="BE836">
        <f>IF('Recurring Log'!K840="","",'Recurring Log'!K840)</f>
        <v/>
      </c>
      <c r="BF836">
        <f>IFERROR(MATCH(BA836,Setup!$L$6:$L$9,0),5)</f>
        <v/>
      </c>
      <c r="BG836">
        <f>IF(OR(AZ836="Done",AZ836="Cancelled"),1,0)</f>
        <v/>
      </c>
      <c r="BH836">
        <f>IF(AND(AU836&lt;&gt;"",ISNUMBER(AW836)),1,0)</f>
        <v/>
      </c>
      <c r="BI836">
        <f>IF(BH836=0,0,IF(AND(AW836&gt;='Tasks Filter'!$F$3,AW836&lt;='Tasks Filter'!$F$4,OR('Tasks Filter'!$I$3="",ISNUMBER(SEARCH('Tasks Filter'!$I$3,AU836))),OR('Tasks Filter'!$I$4="",BF836=IFERROR(MATCH('Tasks Filter'!$I$4,Setup!$L$6:$L$9,0),0)),OR('Tasks Filter'!$I$5="Both",AND('Tasks Filter'!$I$5="Yes",BB836="✓"),AND('Tasks Filter'!$I$5="No",BB836&lt;&gt;"✓")),OR('Tasks Filter'!$L$3="",AV836='Tasks Filter'!$L$3),OR('Tasks Filter'!$L$4="",AZ836='Tasks Filter'!$L$4),OR('Tasks Filter'!$L$5="",BC836='Tasks Filter'!$L$5),OR('Tasks Filter'!$O$3="",BD836='Tasks Filter'!$O$3),OR('Tasks Filter'!$O$4="Yes",BG836=0)),1,0))</f>
        <v/>
      </c>
      <c r="BJ836">
        <f>IF(BH836=0,"",IF('Tasks Filter'!$F$6="Descending",-1,1)*CHOOSE(MATCH('Tasks Filter'!$F$5,Lists!$G$2:$G$6,0),AW836,BF836,IFERROR(MATCH(AV836,Setup!$F$6:$F$15,0),99),IFERROR(MATCH(BC836,Setup!$H$6:$H$15,0),99),IFERROR(MATCH(AZ836,Setup!$J$6:$J$11,0),99))*1E+9+(AW836-40000)*10000+835)</f>
        <v/>
      </c>
      <c r="BK836">
        <f>IF(BI836=1,BJ836,"")</f>
        <v/>
      </c>
      <c r="BL836">
        <f>IF(AND(BH836=1,BG836=0,N(AW836)&lt;Setup!$D$7),(AW836-40000)*10000+835,"")</f>
        <v/>
      </c>
      <c r="BM836">
        <f>IF(AND(BH836=1,AZ836&lt;&gt;"Cancelled",N(AW836)&gt;=Dashboard!$AB$3,N(AW836)&lt;=Dashboard!$AB$3+6),(AW836-40000)*100000+BF836*10000+835,"")</f>
        <v/>
      </c>
      <c r="BN836">
        <f>IF(AND(BH836=1,AZ836&lt;&gt;"Cancelled"),BF836*10000+835,"")</f>
        <v/>
      </c>
    </row>
    <row r="837">
      <c r="AS837" t="inlineStr">
        <is>
          <t>R</t>
        </is>
      </c>
      <c r="AT837" t="n">
        <v>841</v>
      </c>
      <c r="AU837">
        <f>'Recurring Log'!C841&amp;""</f>
        <v/>
      </c>
      <c r="AV837">
        <f>'Recurring Log'!D841&amp;""</f>
        <v/>
      </c>
      <c r="AW837">
        <f>IF('Recurring Log'!E841="","",'Recurring Log'!E841)</f>
        <v/>
      </c>
      <c r="AX837">
        <f>IF('Recurring Log'!G841="","",'Recurring Log'!G841)</f>
        <v/>
      </c>
      <c r="AY837">
        <f>IF('Recurring Log'!H841="","",'Recurring Log'!H841)</f>
        <v/>
      </c>
      <c r="AZ837">
        <f>IF(AU837="","",IF('Recurring Log'!J841="","Not Started",'Recurring Log'!J841))</f>
        <v/>
      </c>
      <c r="BA837">
        <f>'Recurring Log'!L841&amp;""</f>
        <v/>
      </c>
      <c r="BB837">
        <f>'Recurring Log'!M841&amp;""</f>
        <v/>
      </c>
      <c r="BC837">
        <f>'Recurring Log'!N841&amp;""</f>
        <v/>
      </c>
      <c r="BD837">
        <f>'Recurring Log'!O841&amp;""</f>
        <v/>
      </c>
      <c r="BE837">
        <f>IF('Recurring Log'!K841="","",'Recurring Log'!K841)</f>
        <v/>
      </c>
      <c r="BF837">
        <f>IFERROR(MATCH(BA837,Setup!$L$6:$L$9,0),5)</f>
        <v/>
      </c>
      <c r="BG837">
        <f>IF(OR(AZ837="Done",AZ837="Cancelled"),1,0)</f>
        <v/>
      </c>
      <c r="BH837">
        <f>IF(AND(AU837&lt;&gt;"",ISNUMBER(AW837)),1,0)</f>
        <v/>
      </c>
      <c r="BI837">
        <f>IF(BH837=0,0,IF(AND(AW837&gt;='Tasks Filter'!$F$3,AW837&lt;='Tasks Filter'!$F$4,OR('Tasks Filter'!$I$3="",ISNUMBER(SEARCH('Tasks Filter'!$I$3,AU837))),OR('Tasks Filter'!$I$4="",BF837=IFERROR(MATCH('Tasks Filter'!$I$4,Setup!$L$6:$L$9,0),0)),OR('Tasks Filter'!$I$5="Both",AND('Tasks Filter'!$I$5="Yes",BB837="✓"),AND('Tasks Filter'!$I$5="No",BB837&lt;&gt;"✓")),OR('Tasks Filter'!$L$3="",AV837='Tasks Filter'!$L$3),OR('Tasks Filter'!$L$4="",AZ837='Tasks Filter'!$L$4),OR('Tasks Filter'!$L$5="",BC837='Tasks Filter'!$L$5),OR('Tasks Filter'!$O$3="",BD837='Tasks Filter'!$O$3),OR('Tasks Filter'!$O$4="Yes",BG837=0)),1,0))</f>
        <v/>
      </c>
      <c r="BJ837">
        <f>IF(BH837=0,"",IF('Tasks Filter'!$F$6="Descending",-1,1)*CHOOSE(MATCH('Tasks Filter'!$F$5,Lists!$G$2:$G$6,0),AW837,BF837,IFERROR(MATCH(AV837,Setup!$F$6:$F$15,0),99),IFERROR(MATCH(BC837,Setup!$H$6:$H$15,0),99),IFERROR(MATCH(AZ837,Setup!$J$6:$J$11,0),99))*1E+9+(AW837-40000)*10000+836)</f>
        <v/>
      </c>
      <c r="BK837">
        <f>IF(BI837=1,BJ837,"")</f>
        <v/>
      </c>
      <c r="BL837">
        <f>IF(AND(BH837=1,BG837=0,N(AW837)&lt;Setup!$D$7),(AW837-40000)*10000+836,"")</f>
        <v/>
      </c>
      <c r="BM837">
        <f>IF(AND(BH837=1,AZ837&lt;&gt;"Cancelled",N(AW837)&gt;=Dashboard!$AB$3,N(AW837)&lt;=Dashboard!$AB$3+6),(AW837-40000)*100000+BF837*10000+836,"")</f>
        <v/>
      </c>
      <c r="BN837">
        <f>IF(AND(BH837=1,AZ837&lt;&gt;"Cancelled"),BF837*10000+836,"")</f>
        <v/>
      </c>
    </row>
    <row r="838">
      <c r="AS838" t="inlineStr">
        <is>
          <t>R</t>
        </is>
      </c>
      <c r="AT838" t="n">
        <v>842</v>
      </c>
      <c r="AU838">
        <f>'Recurring Log'!C842&amp;""</f>
        <v/>
      </c>
      <c r="AV838">
        <f>'Recurring Log'!D842&amp;""</f>
        <v/>
      </c>
      <c r="AW838">
        <f>IF('Recurring Log'!E842="","",'Recurring Log'!E842)</f>
        <v/>
      </c>
      <c r="AX838">
        <f>IF('Recurring Log'!G842="","",'Recurring Log'!G842)</f>
        <v/>
      </c>
      <c r="AY838">
        <f>IF('Recurring Log'!H842="","",'Recurring Log'!H842)</f>
        <v/>
      </c>
      <c r="AZ838">
        <f>IF(AU838="","",IF('Recurring Log'!J842="","Not Started",'Recurring Log'!J842))</f>
        <v/>
      </c>
      <c r="BA838">
        <f>'Recurring Log'!L842&amp;""</f>
        <v/>
      </c>
      <c r="BB838">
        <f>'Recurring Log'!M842&amp;""</f>
        <v/>
      </c>
      <c r="BC838">
        <f>'Recurring Log'!N842&amp;""</f>
        <v/>
      </c>
      <c r="BD838">
        <f>'Recurring Log'!O842&amp;""</f>
        <v/>
      </c>
      <c r="BE838">
        <f>IF('Recurring Log'!K842="","",'Recurring Log'!K842)</f>
        <v/>
      </c>
      <c r="BF838">
        <f>IFERROR(MATCH(BA838,Setup!$L$6:$L$9,0),5)</f>
        <v/>
      </c>
      <c r="BG838">
        <f>IF(OR(AZ838="Done",AZ838="Cancelled"),1,0)</f>
        <v/>
      </c>
      <c r="BH838">
        <f>IF(AND(AU838&lt;&gt;"",ISNUMBER(AW838)),1,0)</f>
        <v/>
      </c>
      <c r="BI838">
        <f>IF(BH838=0,0,IF(AND(AW838&gt;='Tasks Filter'!$F$3,AW838&lt;='Tasks Filter'!$F$4,OR('Tasks Filter'!$I$3="",ISNUMBER(SEARCH('Tasks Filter'!$I$3,AU838))),OR('Tasks Filter'!$I$4="",BF838=IFERROR(MATCH('Tasks Filter'!$I$4,Setup!$L$6:$L$9,0),0)),OR('Tasks Filter'!$I$5="Both",AND('Tasks Filter'!$I$5="Yes",BB838="✓"),AND('Tasks Filter'!$I$5="No",BB838&lt;&gt;"✓")),OR('Tasks Filter'!$L$3="",AV838='Tasks Filter'!$L$3),OR('Tasks Filter'!$L$4="",AZ838='Tasks Filter'!$L$4),OR('Tasks Filter'!$L$5="",BC838='Tasks Filter'!$L$5),OR('Tasks Filter'!$O$3="",BD838='Tasks Filter'!$O$3),OR('Tasks Filter'!$O$4="Yes",BG838=0)),1,0))</f>
        <v/>
      </c>
      <c r="BJ838">
        <f>IF(BH838=0,"",IF('Tasks Filter'!$F$6="Descending",-1,1)*CHOOSE(MATCH('Tasks Filter'!$F$5,Lists!$G$2:$G$6,0),AW838,BF838,IFERROR(MATCH(AV838,Setup!$F$6:$F$15,0),99),IFERROR(MATCH(BC838,Setup!$H$6:$H$15,0),99),IFERROR(MATCH(AZ838,Setup!$J$6:$J$11,0),99))*1E+9+(AW838-40000)*10000+837)</f>
        <v/>
      </c>
      <c r="BK838">
        <f>IF(BI838=1,BJ838,"")</f>
        <v/>
      </c>
      <c r="BL838">
        <f>IF(AND(BH838=1,BG838=0,N(AW838)&lt;Setup!$D$7),(AW838-40000)*10000+837,"")</f>
        <v/>
      </c>
      <c r="BM838">
        <f>IF(AND(BH838=1,AZ838&lt;&gt;"Cancelled",N(AW838)&gt;=Dashboard!$AB$3,N(AW838)&lt;=Dashboard!$AB$3+6),(AW838-40000)*100000+BF838*10000+837,"")</f>
        <v/>
      </c>
      <c r="BN838">
        <f>IF(AND(BH838=1,AZ838&lt;&gt;"Cancelled"),BF838*10000+837,"")</f>
        <v/>
      </c>
    </row>
    <row r="839">
      <c r="AS839" t="inlineStr">
        <is>
          <t>R</t>
        </is>
      </c>
      <c r="AT839" t="n">
        <v>843</v>
      </c>
      <c r="AU839">
        <f>'Recurring Log'!C843&amp;""</f>
        <v/>
      </c>
      <c r="AV839">
        <f>'Recurring Log'!D843&amp;""</f>
        <v/>
      </c>
      <c r="AW839">
        <f>IF('Recurring Log'!E843="","",'Recurring Log'!E843)</f>
        <v/>
      </c>
      <c r="AX839">
        <f>IF('Recurring Log'!G843="","",'Recurring Log'!G843)</f>
        <v/>
      </c>
      <c r="AY839">
        <f>IF('Recurring Log'!H843="","",'Recurring Log'!H843)</f>
        <v/>
      </c>
      <c r="AZ839">
        <f>IF(AU839="","",IF('Recurring Log'!J843="","Not Started",'Recurring Log'!J843))</f>
        <v/>
      </c>
      <c r="BA839">
        <f>'Recurring Log'!L843&amp;""</f>
        <v/>
      </c>
      <c r="BB839">
        <f>'Recurring Log'!M843&amp;""</f>
        <v/>
      </c>
      <c r="BC839">
        <f>'Recurring Log'!N843&amp;""</f>
        <v/>
      </c>
      <c r="BD839">
        <f>'Recurring Log'!O843&amp;""</f>
        <v/>
      </c>
      <c r="BE839">
        <f>IF('Recurring Log'!K843="","",'Recurring Log'!K843)</f>
        <v/>
      </c>
      <c r="BF839">
        <f>IFERROR(MATCH(BA839,Setup!$L$6:$L$9,0),5)</f>
        <v/>
      </c>
      <c r="BG839">
        <f>IF(OR(AZ839="Done",AZ839="Cancelled"),1,0)</f>
        <v/>
      </c>
      <c r="BH839">
        <f>IF(AND(AU839&lt;&gt;"",ISNUMBER(AW839)),1,0)</f>
        <v/>
      </c>
      <c r="BI839">
        <f>IF(BH839=0,0,IF(AND(AW839&gt;='Tasks Filter'!$F$3,AW839&lt;='Tasks Filter'!$F$4,OR('Tasks Filter'!$I$3="",ISNUMBER(SEARCH('Tasks Filter'!$I$3,AU839))),OR('Tasks Filter'!$I$4="",BF839=IFERROR(MATCH('Tasks Filter'!$I$4,Setup!$L$6:$L$9,0),0)),OR('Tasks Filter'!$I$5="Both",AND('Tasks Filter'!$I$5="Yes",BB839="✓"),AND('Tasks Filter'!$I$5="No",BB839&lt;&gt;"✓")),OR('Tasks Filter'!$L$3="",AV839='Tasks Filter'!$L$3),OR('Tasks Filter'!$L$4="",AZ839='Tasks Filter'!$L$4),OR('Tasks Filter'!$L$5="",BC839='Tasks Filter'!$L$5),OR('Tasks Filter'!$O$3="",BD839='Tasks Filter'!$O$3),OR('Tasks Filter'!$O$4="Yes",BG839=0)),1,0))</f>
        <v/>
      </c>
      <c r="BJ839">
        <f>IF(BH839=0,"",IF('Tasks Filter'!$F$6="Descending",-1,1)*CHOOSE(MATCH('Tasks Filter'!$F$5,Lists!$G$2:$G$6,0),AW839,BF839,IFERROR(MATCH(AV839,Setup!$F$6:$F$15,0),99),IFERROR(MATCH(BC839,Setup!$H$6:$H$15,0),99),IFERROR(MATCH(AZ839,Setup!$J$6:$J$11,0),99))*1E+9+(AW839-40000)*10000+838)</f>
        <v/>
      </c>
      <c r="BK839">
        <f>IF(BI839=1,BJ839,"")</f>
        <v/>
      </c>
      <c r="BL839">
        <f>IF(AND(BH839=1,BG839=0,N(AW839)&lt;Setup!$D$7),(AW839-40000)*10000+838,"")</f>
        <v/>
      </c>
      <c r="BM839">
        <f>IF(AND(BH839=1,AZ839&lt;&gt;"Cancelled",N(AW839)&gt;=Dashboard!$AB$3,N(AW839)&lt;=Dashboard!$AB$3+6),(AW839-40000)*100000+BF839*10000+838,"")</f>
        <v/>
      </c>
      <c r="BN839">
        <f>IF(AND(BH839=1,AZ839&lt;&gt;"Cancelled"),BF839*10000+838,"")</f>
        <v/>
      </c>
    </row>
    <row r="840">
      <c r="AS840" t="inlineStr">
        <is>
          <t>R</t>
        </is>
      </c>
      <c r="AT840" t="n">
        <v>844</v>
      </c>
      <c r="AU840">
        <f>'Recurring Log'!C844&amp;""</f>
        <v/>
      </c>
      <c r="AV840">
        <f>'Recurring Log'!D844&amp;""</f>
        <v/>
      </c>
      <c r="AW840">
        <f>IF('Recurring Log'!E844="","",'Recurring Log'!E844)</f>
        <v/>
      </c>
      <c r="AX840">
        <f>IF('Recurring Log'!G844="","",'Recurring Log'!G844)</f>
        <v/>
      </c>
      <c r="AY840">
        <f>IF('Recurring Log'!H844="","",'Recurring Log'!H844)</f>
        <v/>
      </c>
      <c r="AZ840">
        <f>IF(AU840="","",IF('Recurring Log'!J844="","Not Started",'Recurring Log'!J844))</f>
        <v/>
      </c>
      <c r="BA840">
        <f>'Recurring Log'!L844&amp;""</f>
        <v/>
      </c>
      <c r="BB840">
        <f>'Recurring Log'!M844&amp;""</f>
        <v/>
      </c>
      <c r="BC840">
        <f>'Recurring Log'!N844&amp;""</f>
        <v/>
      </c>
      <c r="BD840">
        <f>'Recurring Log'!O844&amp;""</f>
        <v/>
      </c>
      <c r="BE840">
        <f>IF('Recurring Log'!K844="","",'Recurring Log'!K844)</f>
        <v/>
      </c>
      <c r="BF840">
        <f>IFERROR(MATCH(BA840,Setup!$L$6:$L$9,0),5)</f>
        <v/>
      </c>
      <c r="BG840">
        <f>IF(OR(AZ840="Done",AZ840="Cancelled"),1,0)</f>
        <v/>
      </c>
      <c r="BH840">
        <f>IF(AND(AU840&lt;&gt;"",ISNUMBER(AW840)),1,0)</f>
        <v/>
      </c>
      <c r="BI840">
        <f>IF(BH840=0,0,IF(AND(AW840&gt;='Tasks Filter'!$F$3,AW840&lt;='Tasks Filter'!$F$4,OR('Tasks Filter'!$I$3="",ISNUMBER(SEARCH('Tasks Filter'!$I$3,AU840))),OR('Tasks Filter'!$I$4="",BF840=IFERROR(MATCH('Tasks Filter'!$I$4,Setup!$L$6:$L$9,0),0)),OR('Tasks Filter'!$I$5="Both",AND('Tasks Filter'!$I$5="Yes",BB840="✓"),AND('Tasks Filter'!$I$5="No",BB840&lt;&gt;"✓")),OR('Tasks Filter'!$L$3="",AV840='Tasks Filter'!$L$3),OR('Tasks Filter'!$L$4="",AZ840='Tasks Filter'!$L$4),OR('Tasks Filter'!$L$5="",BC840='Tasks Filter'!$L$5),OR('Tasks Filter'!$O$3="",BD840='Tasks Filter'!$O$3),OR('Tasks Filter'!$O$4="Yes",BG840=0)),1,0))</f>
        <v/>
      </c>
      <c r="BJ840">
        <f>IF(BH840=0,"",IF('Tasks Filter'!$F$6="Descending",-1,1)*CHOOSE(MATCH('Tasks Filter'!$F$5,Lists!$G$2:$G$6,0),AW840,BF840,IFERROR(MATCH(AV840,Setup!$F$6:$F$15,0),99),IFERROR(MATCH(BC840,Setup!$H$6:$H$15,0),99),IFERROR(MATCH(AZ840,Setup!$J$6:$J$11,0),99))*1E+9+(AW840-40000)*10000+839)</f>
        <v/>
      </c>
      <c r="BK840">
        <f>IF(BI840=1,BJ840,"")</f>
        <v/>
      </c>
      <c r="BL840">
        <f>IF(AND(BH840=1,BG840=0,N(AW840)&lt;Setup!$D$7),(AW840-40000)*10000+839,"")</f>
        <v/>
      </c>
      <c r="BM840">
        <f>IF(AND(BH840=1,AZ840&lt;&gt;"Cancelled",N(AW840)&gt;=Dashboard!$AB$3,N(AW840)&lt;=Dashboard!$AB$3+6),(AW840-40000)*100000+BF840*10000+839,"")</f>
        <v/>
      </c>
      <c r="BN840">
        <f>IF(AND(BH840=1,AZ840&lt;&gt;"Cancelled"),BF840*10000+839,"")</f>
        <v/>
      </c>
    </row>
    <row r="841">
      <c r="AS841" t="inlineStr">
        <is>
          <t>R</t>
        </is>
      </c>
      <c r="AT841" t="n">
        <v>845</v>
      </c>
      <c r="AU841">
        <f>'Recurring Log'!C845&amp;""</f>
        <v/>
      </c>
      <c r="AV841">
        <f>'Recurring Log'!D845&amp;""</f>
        <v/>
      </c>
      <c r="AW841">
        <f>IF('Recurring Log'!E845="","",'Recurring Log'!E845)</f>
        <v/>
      </c>
      <c r="AX841">
        <f>IF('Recurring Log'!G845="","",'Recurring Log'!G845)</f>
        <v/>
      </c>
      <c r="AY841">
        <f>IF('Recurring Log'!H845="","",'Recurring Log'!H845)</f>
        <v/>
      </c>
      <c r="AZ841">
        <f>IF(AU841="","",IF('Recurring Log'!J845="","Not Started",'Recurring Log'!J845))</f>
        <v/>
      </c>
      <c r="BA841">
        <f>'Recurring Log'!L845&amp;""</f>
        <v/>
      </c>
      <c r="BB841">
        <f>'Recurring Log'!M845&amp;""</f>
        <v/>
      </c>
      <c r="BC841">
        <f>'Recurring Log'!N845&amp;""</f>
        <v/>
      </c>
      <c r="BD841">
        <f>'Recurring Log'!O845&amp;""</f>
        <v/>
      </c>
      <c r="BE841">
        <f>IF('Recurring Log'!K845="","",'Recurring Log'!K845)</f>
        <v/>
      </c>
      <c r="BF841">
        <f>IFERROR(MATCH(BA841,Setup!$L$6:$L$9,0),5)</f>
        <v/>
      </c>
      <c r="BG841">
        <f>IF(OR(AZ841="Done",AZ841="Cancelled"),1,0)</f>
        <v/>
      </c>
      <c r="BH841">
        <f>IF(AND(AU841&lt;&gt;"",ISNUMBER(AW841)),1,0)</f>
        <v/>
      </c>
      <c r="BI841">
        <f>IF(BH841=0,0,IF(AND(AW841&gt;='Tasks Filter'!$F$3,AW841&lt;='Tasks Filter'!$F$4,OR('Tasks Filter'!$I$3="",ISNUMBER(SEARCH('Tasks Filter'!$I$3,AU841))),OR('Tasks Filter'!$I$4="",BF841=IFERROR(MATCH('Tasks Filter'!$I$4,Setup!$L$6:$L$9,0),0)),OR('Tasks Filter'!$I$5="Both",AND('Tasks Filter'!$I$5="Yes",BB841="✓"),AND('Tasks Filter'!$I$5="No",BB841&lt;&gt;"✓")),OR('Tasks Filter'!$L$3="",AV841='Tasks Filter'!$L$3),OR('Tasks Filter'!$L$4="",AZ841='Tasks Filter'!$L$4),OR('Tasks Filter'!$L$5="",BC841='Tasks Filter'!$L$5),OR('Tasks Filter'!$O$3="",BD841='Tasks Filter'!$O$3),OR('Tasks Filter'!$O$4="Yes",BG841=0)),1,0))</f>
        <v/>
      </c>
      <c r="BJ841">
        <f>IF(BH841=0,"",IF('Tasks Filter'!$F$6="Descending",-1,1)*CHOOSE(MATCH('Tasks Filter'!$F$5,Lists!$G$2:$G$6,0),AW841,BF841,IFERROR(MATCH(AV841,Setup!$F$6:$F$15,0),99),IFERROR(MATCH(BC841,Setup!$H$6:$H$15,0),99),IFERROR(MATCH(AZ841,Setup!$J$6:$J$11,0),99))*1E+9+(AW841-40000)*10000+840)</f>
        <v/>
      </c>
      <c r="BK841">
        <f>IF(BI841=1,BJ841,"")</f>
        <v/>
      </c>
      <c r="BL841">
        <f>IF(AND(BH841=1,BG841=0,N(AW841)&lt;Setup!$D$7),(AW841-40000)*10000+840,"")</f>
        <v/>
      </c>
      <c r="BM841">
        <f>IF(AND(BH841=1,AZ841&lt;&gt;"Cancelled",N(AW841)&gt;=Dashboard!$AB$3,N(AW841)&lt;=Dashboard!$AB$3+6),(AW841-40000)*100000+BF841*10000+840,"")</f>
        <v/>
      </c>
      <c r="BN841">
        <f>IF(AND(BH841=1,AZ841&lt;&gt;"Cancelled"),BF841*10000+840,"")</f>
        <v/>
      </c>
    </row>
    <row r="842">
      <c r="AS842" t="inlineStr">
        <is>
          <t>R</t>
        </is>
      </c>
      <c r="AT842" t="n">
        <v>846</v>
      </c>
      <c r="AU842">
        <f>'Recurring Log'!C846&amp;""</f>
        <v/>
      </c>
      <c r="AV842">
        <f>'Recurring Log'!D846&amp;""</f>
        <v/>
      </c>
      <c r="AW842">
        <f>IF('Recurring Log'!E846="","",'Recurring Log'!E846)</f>
        <v/>
      </c>
      <c r="AX842">
        <f>IF('Recurring Log'!G846="","",'Recurring Log'!G846)</f>
        <v/>
      </c>
      <c r="AY842">
        <f>IF('Recurring Log'!H846="","",'Recurring Log'!H846)</f>
        <v/>
      </c>
      <c r="AZ842">
        <f>IF(AU842="","",IF('Recurring Log'!J846="","Not Started",'Recurring Log'!J846))</f>
        <v/>
      </c>
      <c r="BA842">
        <f>'Recurring Log'!L846&amp;""</f>
        <v/>
      </c>
      <c r="BB842">
        <f>'Recurring Log'!M846&amp;""</f>
        <v/>
      </c>
      <c r="BC842">
        <f>'Recurring Log'!N846&amp;""</f>
        <v/>
      </c>
      <c r="BD842">
        <f>'Recurring Log'!O846&amp;""</f>
        <v/>
      </c>
      <c r="BE842">
        <f>IF('Recurring Log'!K846="","",'Recurring Log'!K846)</f>
        <v/>
      </c>
      <c r="BF842">
        <f>IFERROR(MATCH(BA842,Setup!$L$6:$L$9,0),5)</f>
        <v/>
      </c>
      <c r="BG842">
        <f>IF(OR(AZ842="Done",AZ842="Cancelled"),1,0)</f>
        <v/>
      </c>
      <c r="BH842">
        <f>IF(AND(AU842&lt;&gt;"",ISNUMBER(AW842)),1,0)</f>
        <v/>
      </c>
      <c r="BI842">
        <f>IF(BH842=0,0,IF(AND(AW842&gt;='Tasks Filter'!$F$3,AW842&lt;='Tasks Filter'!$F$4,OR('Tasks Filter'!$I$3="",ISNUMBER(SEARCH('Tasks Filter'!$I$3,AU842))),OR('Tasks Filter'!$I$4="",BF842=IFERROR(MATCH('Tasks Filter'!$I$4,Setup!$L$6:$L$9,0),0)),OR('Tasks Filter'!$I$5="Both",AND('Tasks Filter'!$I$5="Yes",BB842="✓"),AND('Tasks Filter'!$I$5="No",BB842&lt;&gt;"✓")),OR('Tasks Filter'!$L$3="",AV842='Tasks Filter'!$L$3),OR('Tasks Filter'!$L$4="",AZ842='Tasks Filter'!$L$4),OR('Tasks Filter'!$L$5="",BC842='Tasks Filter'!$L$5),OR('Tasks Filter'!$O$3="",BD842='Tasks Filter'!$O$3),OR('Tasks Filter'!$O$4="Yes",BG842=0)),1,0))</f>
        <v/>
      </c>
      <c r="BJ842">
        <f>IF(BH842=0,"",IF('Tasks Filter'!$F$6="Descending",-1,1)*CHOOSE(MATCH('Tasks Filter'!$F$5,Lists!$G$2:$G$6,0),AW842,BF842,IFERROR(MATCH(AV842,Setup!$F$6:$F$15,0),99),IFERROR(MATCH(BC842,Setup!$H$6:$H$15,0),99),IFERROR(MATCH(AZ842,Setup!$J$6:$J$11,0),99))*1E+9+(AW842-40000)*10000+841)</f>
        <v/>
      </c>
      <c r="BK842">
        <f>IF(BI842=1,BJ842,"")</f>
        <v/>
      </c>
      <c r="BL842">
        <f>IF(AND(BH842=1,BG842=0,N(AW842)&lt;Setup!$D$7),(AW842-40000)*10000+841,"")</f>
        <v/>
      </c>
      <c r="BM842">
        <f>IF(AND(BH842=1,AZ842&lt;&gt;"Cancelled",N(AW842)&gt;=Dashboard!$AB$3,N(AW842)&lt;=Dashboard!$AB$3+6),(AW842-40000)*100000+BF842*10000+841,"")</f>
        <v/>
      </c>
      <c r="BN842">
        <f>IF(AND(BH842=1,AZ842&lt;&gt;"Cancelled"),BF842*10000+841,"")</f>
        <v/>
      </c>
    </row>
    <row r="843">
      <c r="AS843" t="inlineStr">
        <is>
          <t>R</t>
        </is>
      </c>
      <c r="AT843" t="n">
        <v>847</v>
      </c>
      <c r="AU843">
        <f>'Recurring Log'!C847&amp;""</f>
        <v/>
      </c>
      <c r="AV843">
        <f>'Recurring Log'!D847&amp;""</f>
        <v/>
      </c>
      <c r="AW843">
        <f>IF('Recurring Log'!E847="","",'Recurring Log'!E847)</f>
        <v/>
      </c>
      <c r="AX843">
        <f>IF('Recurring Log'!G847="","",'Recurring Log'!G847)</f>
        <v/>
      </c>
      <c r="AY843">
        <f>IF('Recurring Log'!H847="","",'Recurring Log'!H847)</f>
        <v/>
      </c>
      <c r="AZ843">
        <f>IF(AU843="","",IF('Recurring Log'!J847="","Not Started",'Recurring Log'!J847))</f>
        <v/>
      </c>
      <c r="BA843">
        <f>'Recurring Log'!L847&amp;""</f>
        <v/>
      </c>
      <c r="BB843">
        <f>'Recurring Log'!M847&amp;""</f>
        <v/>
      </c>
      <c r="BC843">
        <f>'Recurring Log'!N847&amp;""</f>
        <v/>
      </c>
      <c r="BD843">
        <f>'Recurring Log'!O847&amp;""</f>
        <v/>
      </c>
      <c r="BE843">
        <f>IF('Recurring Log'!K847="","",'Recurring Log'!K847)</f>
        <v/>
      </c>
      <c r="BF843">
        <f>IFERROR(MATCH(BA843,Setup!$L$6:$L$9,0),5)</f>
        <v/>
      </c>
      <c r="BG843">
        <f>IF(OR(AZ843="Done",AZ843="Cancelled"),1,0)</f>
        <v/>
      </c>
      <c r="BH843">
        <f>IF(AND(AU843&lt;&gt;"",ISNUMBER(AW843)),1,0)</f>
        <v/>
      </c>
      <c r="BI843">
        <f>IF(BH843=0,0,IF(AND(AW843&gt;='Tasks Filter'!$F$3,AW843&lt;='Tasks Filter'!$F$4,OR('Tasks Filter'!$I$3="",ISNUMBER(SEARCH('Tasks Filter'!$I$3,AU843))),OR('Tasks Filter'!$I$4="",BF843=IFERROR(MATCH('Tasks Filter'!$I$4,Setup!$L$6:$L$9,0),0)),OR('Tasks Filter'!$I$5="Both",AND('Tasks Filter'!$I$5="Yes",BB843="✓"),AND('Tasks Filter'!$I$5="No",BB843&lt;&gt;"✓")),OR('Tasks Filter'!$L$3="",AV843='Tasks Filter'!$L$3),OR('Tasks Filter'!$L$4="",AZ843='Tasks Filter'!$L$4),OR('Tasks Filter'!$L$5="",BC843='Tasks Filter'!$L$5),OR('Tasks Filter'!$O$3="",BD843='Tasks Filter'!$O$3),OR('Tasks Filter'!$O$4="Yes",BG843=0)),1,0))</f>
        <v/>
      </c>
      <c r="BJ843">
        <f>IF(BH843=0,"",IF('Tasks Filter'!$F$6="Descending",-1,1)*CHOOSE(MATCH('Tasks Filter'!$F$5,Lists!$G$2:$G$6,0),AW843,BF843,IFERROR(MATCH(AV843,Setup!$F$6:$F$15,0),99),IFERROR(MATCH(BC843,Setup!$H$6:$H$15,0),99),IFERROR(MATCH(AZ843,Setup!$J$6:$J$11,0),99))*1E+9+(AW843-40000)*10000+842)</f>
        <v/>
      </c>
      <c r="BK843">
        <f>IF(BI843=1,BJ843,"")</f>
        <v/>
      </c>
      <c r="BL843">
        <f>IF(AND(BH843=1,BG843=0,N(AW843)&lt;Setup!$D$7),(AW843-40000)*10000+842,"")</f>
        <v/>
      </c>
      <c r="BM843">
        <f>IF(AND(BH843=1,AZ843&lt;&gt;"Cancelled",N(AW843)&gt;=Dashboard!$AB$3,N(AW843)&lt;=Dashboard!$AB$3+6),(AW843-40000)*100000+BF843*10000+842,"")</f>
        <v/>
      </c>
      <c r="BN843">
        <f>IF(AND(BH843=1,AZ843&lt;&gt;"Cancelled"),BF843*10000+842,"")</f>
        <v/>
      </c>
    </row>
    <row r="844">
      <c r="AS844" t="inlineStr">
        <is>
          <t>R</t>
        </is>
      </c>
      <c r="AT844" t="n">
        <v>848</v>
      </c>
      <c r="AU844">
        <f>'Recurring Log'!C848&amp;""</f>
        <v/>
      </c>
      <c r="AV844">
        <f>'Recurring Log'!D848&amp;""</f>
        <v/>
      </c>
      <c r="AW844">
        <f>IF('Recurring Log'!E848="","",'Recurring Log'!E848)</f>
        <v/>
      </c>
      <c r="AX844">
        <f>IF('Recurring Log'!G848="","",'Recurring Log'!G848)</f>
        <v/>
      </c>
      <c r="AY844">
        <f>IF('Recurring Log'!H848="","",'Recurring Log'!H848)</f>
        <v/>
      </c>
      <c r="AZ844">
        <f>IF(AU844="","",IF('Recurring Log'!J848="","Not Started",'Recurring Log'!J848))</f>
        <v/>
      </c>
      <c r="BA844">
        <f>'Recurring Log'!L848&amp;""</f>
        <v/>
      </c>
      <c r="BB844">
        <f>'Recurring Log'!M848&amp;""</f>
        <v/>
      </c>
      <c r="BC844">
        <f>'Recurring Log'!N848&amp;""</f>
        <v/>
      </c>
      <c r="BD844">
        <f>'Recurring Log'!O848&amp;""</f>
        <v/>
      </c>
      <c r="BE844">
        <f>IF('Recurring Log'!K848="","",'Recurring Log'!K848)</f>
        <v/>
      </c>
      <c r="BF844">
        <f>IFERROR(MATCH(BA844,Setup!$L$6:$L$9,0),5)</f>
        <v/>
      </c>
      <c r="BG844">
        <f>IF(OR(AZ844="Done",AZ844="Cancelled"),1,0)</f>
        <v/>
      </c>
      <c r="BH844">
        <f>IF(AND(AU844&lt;&gt;"",ISNUMBER(AW844)),1,0)</f>
        <v/>
      </c>
      <c r="BI844">
        <f>IF(BH844=0,0,IF(AND(AW844&gt;='Tasks Filter'!$F$3,AW844&lt;='Tasks Filter'!$F$4,OR('Tasks Filter'!$I$3="",ISNUMBER(SEARCH('Tasks Filter'!$I$3,AU844))),OR('Tasks Filter'!$I$4="",BF844=IFERROR(MATCH('Tasks Filter'!$I$4,Setup!$L$6:$L$9,0),0)),OR('Tasks Filter'!$I$5="Both",AND('Tasks Filter'!$I$5="Yes",BB844="✓"),AND('Tasks Filter'!$I$5="No",BB844&lt;&gt;"✓")),OR('Tasks Filter'!$L$3="",AV844='Tasks Filter'!$L$3),OR('Tasks Filter'!$L$4="",AZ844='Tasks Filter'!$L$4),OR('Tasks Filter'!$L$5="",BC844='Tasks Filter'!$L$5),OR('Tasks Filter'!$O$3="",BD844='Tasks Filter'!$O$3),OR('Tasks Filter'!$O$4="Yes",BG844=0)),1,0))</f>
        <v/>
      </c>
      <c r="BJ844">
        <f>IF(BH844=0,"",IF('Tasks Filter'!$F$6="Descending",-1,1)*CHOOSE(MATCH('Tasks Filter'!$F$5,Lists!$G$2:$G$6,0),AW844,BF844,IFERROR(MATCH(AV844,Setup!$F$6:$F$15,0),99),IFERROR(MATCH(BC844,Setup!$H$6:$H$15,0),99),IFERROR(MATCH(AZ844,Setup!$J$6:$J$11,0),99))*1E+9+(AW844-40000)*10000+843)</f>
        <v/>
      </c>
      <c r="BK844">
        <f>IF(BI844=1,BJ844,"")</f>
        <v/>
      </c>
      <c r="BL844">
        <f>IF(AND(BH844=1,BG844=0,N(AW844)&lt;Setup!$D$7),(AW844-40000)*10000+843,"")</f>
        <v/>
      </c>
      <c r="BM844">
        <f>IF(AND(BH844=1,AZ844&lt;&gt;"Cancelled",N(AW844)&gt;=Dashboard!$AB$3,N(AW844)&lt;=Dashboard!$AB$3+6),(AW844-40000)*100000+BF844*10000+843,"")</f>
        <v/>
      </c>
      <c r="BN844">
        <f>IF(AND(BH844=1,AZ844&lt;&gt;"Cancelled"),BF844*10000+843,"")</f>
        <v/>
      </c>
    </row>
    <row r="845">
      <c r="AS845" t="inlineStr">
        <is>
          <t>R</t>
        </is>
      </c>
      <c r="AT845" t="n">
        <v>849</v>
      </c>
      <c r="AU845">
        <f>'Recurring Log'!C849&amp;""</f>
        <v/>
      </c>
      <c r="AV845">
        <f>'Recurring Log'!D849&amp;""</f>
        <v/>
      </c>
      <c r="AW845">
        <f>IF('Recurring Log'!E849="","",'Recurring Log'!E849)</f>
        <v/>
      </c>
      <c r="AX845">
        <f>IF('Recurring Log'!G849="","",'Recurring Log'!G849)</f>
        <v/>
      </c>
      <c r="AY845">
        <f>IF('Recurring Log'!H849="","",'Recurring Log'!H849)</f>
        <v/>
      </c>
      <c r="AZ845">
        <f>IF(AU845="","",IF('Recurring Log'!J849="","Not Started",'Recurring Log'!J849))</f>
        <v/>
      </c>
      <c r="BA845">
        <f>'Recurring Log'!L849&amp;""</f>
        <v/>
      </c>
      <c r="BB845">
        <f>'Recurring Log'!M849&amp;""</f>
        <v/>
      </c>
      <c r="BC845">
        <f>'Recurring Log'!N849&amp;""</f>
        <v/>
      </c>
      <c r="BD845">
        <f>'Recurring Log'!O849&amp;""</f>
        <v/>
      </c>
      <c r="BE845">
        <f>IF('Recurring Log'!K849="","",'Recurring Log'!K849)</f>
        <v/>
      </c>
      <c r="BF845">
        <f>IFERROR(MATCH(BA845,Setup!$L$6:$L$9,0),5)</f>
        <v/>
      </c>
      <c r="BG845">
        <f>IF(OR(AZ845="Done",AZ845="Cancelled"),1,0)</f>
        <v/>
      </c>
      <c r="BH845">
        <f>IF(AND(AU845&lt;&gt;"",ISNUMBER(AW845)),1,0)</f>
        <v/>
      </c>
      <c r="BI845">
        <f>IF(BH845=0,0,IF(AND(AW845&gt;='Tasks Filter'!$F$3,AW845&lt;='Tasks Filter'!$F$4,OR('Tasks Filter'!$I$3="",ISNUMBER(SEARCH('Tasks Filter'!$I$3,AU845))),OR('Tasks Filter'!$I$4="",BF845=IFERROR(MATCH('Tasks Filter'!$I$4,Setup!$L$6:$L$9,0),0)),OR('Tasks Filter'!$I$5="Both",AND('Tasks Filter'!$I$5="Yes",BB845="✓"),AND('Tasks Filter'!$I$5="No",BB845&lt;&gt;"✓")),OR('Tasks Filter'!$L$3="",AV845='Tasks Filter'!$L$3),OR('Tasks Filter'!$L$4="",AZ845='Tasks Filter'!$L$4),OR('Tasks Filter'!$L$5="",BC845='Tasks Filter'!$L$5),OR('Tasks Filter'!$O$3="",BD845='Tasks Filter'!$O$3),OR('Tasks Filter'!$O$4="Yes",BG845=0)),1,0))</f>
        <v/>
      </c>
      <c r="BJ845">
        <f>IF(BH845=0,"",IF('Tasks Filter'!$F$6="Descending",-1,1)*CHOOSE(MATCH('Tasks Filter'!$F$5,Lists!$G$2:$G$6,0),AW845,BF845,IFERROR(MATCH(AV845,Setup!$F$6:$F$15,0),99),IFERROR(MATCH(BC845,Setup!$H$6:$H$15,0),99),IFERROR(MATCH(AZ845,Setup!$J$6:$J$11,0),99))*1E+9+(AW845-40000)*10000+844)</f>
        <v/>
      </c>
      <c r="BK845">
        <f>IF(BI845=1,BJ845,"")</f>
        <v/>
      </c>
      <c r="BL845">
        <f>IF(AND(BH845=1,BG845=0,N(AW845)&lt;Setup!$D$7),(AW845-40000)*10000+844,"")</f>
        <v/>
      </c>
      <c r="BM845">
        <f>IF(AND(BH845=1,AZ845&lt;&gt;"Cancelled",N(AW845)&gt;=Dashboard!$AB$3,N(AW845)&lt;=Dashboard!$AB$3+6),(AW845-40000)*100000+BF845*10000+844,"")</f>
        <v/>
      </c>
      <c r="BN845">
        <f>IF(AND(BH845=1,AZ845&lt;&gt;"Cancelled"),BF845*10000+844,"")</f>
        <v/>
      </c>
    </row>
    <row r="846">
      <c r="AS846" t="inlineStr">
        <is>
          <t>R</t>
        </is>
      </c>
      <c r="AT846" t="n">
        <v>850</v>
      </c>
      <c r="AU846">
        <f>'Recurring Log'!C850&amp;""</f>
        <v/>
      </c>
      <c r="AV846">
        <f>'Recurring Log'!D850&amp;""</f>
        <v/>
      </c>
      <c r="AW846">
        <f>IF('Recurring Log'!E850="","",'Recurring Log'!E850)</f>
        <v/>
      </c>
      <c r="AX846">
        <f>IF('Recurring Log'!G850="","",'Recurring Log'!G850)</f>
        <v/>
      </c>
      <c r="AY846">
        <f>IF('Recurring Log'!H850="","",'Recurring Log'!H850)</f>
        <v/>
      </c>
      <c r="AZ846">
        <f>IF(AU846="","",IF('Recurring Log'!J850="","Not Started",'Recurring Log'!J850))</f>
        <v/>
      </c>
      <c r="BA846">
        <f>'Recurring Log'!L850&amp;""</f>
        <v/>
      </c>
      <c r="BB846">
        <f>'Recurring Log'!M850&amp;""</f>
        <v/>
      </c>
      <c r="BC846">
        <f>'Recurring Log'!N850&amp;""</f>
        <v/>
      </c>
      <c r="BD846">
        <f>'Recurring Log'!O850&amp;""</f>
        <v/>
      </c>
      <c r="BE846">
        <f>IF('Recurring Log'!K850="","",'Recurring Log'!K850)</f>
        <v/>
      </c>
      <c r="BF846">
        <f>IFERROR(MATCH(BA846,Setup!$L$6:$L$9,0),5)</f>
        <v/>
      </c>
      <c r="BG846">
        <f>IF(OR(AZ846="Done",AZ846="Cancelled"),1,0)</f>
        <v/>
      </c>
      <c r="BH846">
        <f>IF(AND(AU846&lt;&gt;"",ISNUMBER(AW846)),1,0)</f>
        <v/>
      </c>
      <c r="BI846">
        <f>IF(BH846=0,0,IF(AND(AW846&gt;='Tasks Filter'!$F$3,AW846&lt;='Tasks Filter'!$F$4,OR('Tasks Filter'!$I$3="",ISNUMBER(SEARCH('Tasks Filter'!$I$3,AU846))),OR('Tasks Filter'!$I$4="",BF846=IFERROR(MATCH('Tasks Filter'!$I$4,Setup!$L$6:$L$9,0),0)),OR('Tasks Filter'!$I$5="Both",AND('Tasks Filter'!$I$5="Yes",BB846="✓"),AND('Tasks Filter'!$I$5="No",BB846&lt;&gt;"✓")),OR('Tasks Filter'!$L$3="",AV846='Tasks Filter'!$L$3),OR('Tasks Filter'!$L$4="",AZ846='Tasks Filter'!$L$4),OR('Tasks Filter'!$L$5="",BC846='Tasks Filter'!$L$5),OR('Tasks Filter'!$O$3="",BD846='Tasks Filter'!$O$3),OR('Tasks Filter'!$O$4="Yes",BG846=0)),1,0))</f>
        <v/>
      </c>
      <c r="BJ846">
        <f>IF(BH846=0,"",IF('Tasks Filter'!$F$6="Descending",-1,1)*CHOOSE(MATCH('Tasks Filter'!$F$5,Lists!$G$2:$G$6,0),AW846,BF846,IFERROR(MATCH(AV846,Setup!$F$6:$F$15,0),99),IFERROR(MATCH(BC846,Setup!$H$6:$H$15,0),99),IFERROR(MATCH(AZ846,Setup!$J$6:$J$11,0),99))*1E+9+(AW846-40000)*10000+845)</f>
        <v/>
      </c>
      <c r="BK846">
        <f>IF(BI846=1,BJ846,"")</f>
        <v/>
      </c>
      <c r="BL846">
        <f>IF(AND(BH846=1,BG846=0,N(AW846)&lt;Setup!$D$7),(AW846-40000)*10000+845,"")</f>
        <v/>
      </c>
      <c r="BM846">
        <f>IF(AND(BH846=1,AZ846&lt;&gt;"Cancelled",N(AW846)&gt;=Dashboard!$AB$3,N(AW846)&lt;=Dashboard!$AB$3+6),(AW846-40000)*100000+BF846*10000+845,"")</f>
        <v/>
      </c>
      <c r="BN846">
        <f>IF(AND(BH846=1,AZ846&lt;&gt;"Cancelled"),BF846*10000+845,"")</f>
        <v/>
      </c>
    </row>
    <row r="847">
      <c r="AS847" t="inlineStr">
        <is>
          <t>R</t>
        </is>
      </c>
      <c r="AT847" t="n">
        <v>851</v>
      </c>
      <c r="AU847">
        <f>'Recurring Log'!C851&amp;""</f>
        <v/>
      </c>
      <c r="AV847">
        <f>'Recurring Log'!D851&amp;""</f>
        <v/>
      </c>
      <c r="AW847">
        <f>IF('Recurring Log'!E851="","",'Recurring Log'!E851)</f>
        <v/>
      </c>
      <c r="AX847">
        <f>IF('Recurring Log'!G851="","",'Recurring Log'!G851)</f>
        <v/>
      </c>
      <c r="AY847">
        <f>IF('Recurring Log'!H851="","",'Recurring Log'!H851)</f>
        <v/>
      </c>
      <c r="AZ847">
        <f>IF(AU847="","",IF('Recurring Log'!J851="","Not Started",'Recurring Log'!J851))</f>
        <v/>
      </c>
      <c r="BA847">
        <f>'Recurring Log'!L851&amp;""</f>
        <v/>
      </c>
      <c r="BB847">
        <f>'Recurring Log'!M851&amp;""</f>
        <v/>
      </c>
      <c r="BC847">
        <f>'Recurring Log'!N851&amp;""</f>
        <v/>
      </c>
      <c r="BD847">
        <f>'Recurring Log'!O851&amp;""</f>
        <v/>
      </c>
      <c r="BE847">
        <f>IF('Recurring Log'!K851="","",'Recurring Log'!K851)</f>
        <v/>
      </c>
      <c r="BF847">
        <f>IFERROR(MATCH(BA847,Setup!$L$6:$L$9,0),5)</f>
        <v/>
      </c>
      <c r="BG847">
        <f>IF(OR(AZ847="Done",AZ847="Cancelled"),1,0)</f>
        <v/>
      </c>
      <c r="BH847">
        <f>IF(AND(AU847&lt;&gt;"",ISNUMBER(AW847)),1,0)</f>
        <v/>
      </c>
      <c r="BI847">
        <f>IF(BH847=0,0,IF(AND(AW847&gt;='Tasks Filter'!$F$3,AW847&lt;='Tasks Filter'!$F$4,OR('Tasks Filter'!$I$3="",ISNUMBER(SEARCH('Tasks Filter'!$I$3,AU847))),OR('Tasks Filter'!$I$4="",BF847=IFERROR(MATCH('Tasks Filter'!$I$4,Setup!$L$6:$L$9,0),0)),OR('Tasks Filter'!$I$5="Both",AND('Tasks Filter'!$I$5="Yes",BB847="✓"),AND('Tasks Filter'!$I$5="No",BB847&lt;&gt;"✓")),OR('Tasks Filter'!$L$3="",AV847='Tasks Filter'!$L$3),OR('Tasks Filter'!$L$4="",AZ847='Tasks Filter'!$L$4),OR('Tasks Filter'!$L$5="",BC847='Tasks Filter'!$L$5),OR('Tasks Filter'!$O$3="",BD847='Tasks Filter'!$O$3),OR('Tasks Filter'!$O$4="Yes",BG847=0)),1,0))</f>
        <v/>
      </c>
      <c r="BJ847">
        <f>IF(BH847=0,"",IF('Tasks Filter'!$F$6="Descending",-1,1)*CHOOSE(MATCH('Tasks Filter'!$F$5,Lists!$G$2:$G$6,0),AW847,BF847,IFERROR(MATCH(AV847,Setup!$F$6:$F$15,0),99),IFERROR(MATCH(BC847,Setup!$H$6:$H$15,0),99),IFERROR(MATCH(AZ847,Setup!$J$6:$J$11,0),99))*1E+9+(AW847-40000)*10000+846)</f>
        <v/>
      </c>
      <c r="BK847">
        <f>IF(BI847=1,BJ847,"")</f>
        <v/>
      </c>
      <c r="BL847">
        <f>IF(AND(BH847=1,BG847=0,N(AW847)&lt;Setup!$D$7),(AW847-40000)*10000+846,"")</f>
        <v/>
      </c>
      <c r="BM847">
        <f>IF(AND(BH847=1,AZ847&lt;&gt;"Cancelled",N(AW847)&gt;=Dashboard!$AB$3,N(AW847)&lt;=Dashboard!$AB$3+6),(AW847-40000)*100000+BF847*10000+846,"")</f>
        <v/>
      </c>
      <c r="BN847">
        <f>IF(AND(BH847=1,AZ847&lt;&gt;"Cancelled"),BF847*10000+846,"")</f>
        <v/>
      </c>
    </row>
    <row r="848">
      <c r="AS848" t="inlineStr">
        <is>
          <t>R</t>
        </is>
      </c>
      <c r="AT848" t="n">
        <v>852</v>
      </c>
      <c r="AU848">
        <f>'Recurring Log'!C852&amp;""</f>
        <v/>
      </c>
      <c r="AV848">
        <f>'Recurring Log'!D852&amp;""</f>
        <v/>
      </c>
      <c r="AW848">
        <f>IF('Recurring Log'!E852="","",'Recurring Log'!E852)</f>
        <v/>
      </c>
      <c r="AX848">
        <f>IF('Recurring Log'!G852="","",'Recurring Log'!G852)</f>
        <v/>
      </c>
      <c r="AY848">
        <f>IF('Recurring Log'!H852="","",'Recurring Log'!H852)</f>
        <v/>
      </c>
      <c r="AZ848">
        <f>IF(AU848="","",IF('Recurring Log'!J852="","Not Started",'Recurring Log'!J852))</f>
        <v/>
      </c>
      <c r="BA848">
        <f>'Recurring Log'!L852&amp;""</f>
        <v/>
      </c>
      <c r="BB848">
        <f>'Recurring Log'!M852&amp;""</f>
        <v/>
      </c>
      <c r="BC848">
        <f>'Recurring Log'!N852&amp;""</f>
        <v/>
      </c>
      <c r="BD848">
        <f>'Recurring Log'!O852&amp;""</f>
        <v/>
      </c>
      <c r="BE848">
        <f>IF('Recurring Log'!K852="","",'Recurring Log'!K852)</f>
        <v/>
      </c>
      <c r="BF848">
        <f>IFERROR(MATCH(BA848,Setup!$L$6:$L$9,0),5)</f>
        <v/>
      </c>
      <c r="BG848">
        <f>IF(OR(AZ848="Done",AZ848="Cancelled"),1,0)</f>
        <v/>
      </c>
      <c r="BH848">
        <f>IF(AND(AU848&lt;&gt;"",ISNUMBER(AW848)),1,0)</f>
        <v/>
      </c>
      <c r="BI848">
        <f>IF(BH848=0,0,IF(AND(AW848&gt;='Tasks Filter'!$F$3,AW848&lt;='Tasks Filter'!$F$4,OR('Tasks Filter'!$I$3="",ISNUMBER(SEARCH('Tasks Filter'!$I$3,AU848))),OR('Tasks Filter'!$I$4="",BF848=IFERROR(MATCH('Tasks Filter'!$I$4,Setup!$L$6:$L$9,0),0)),OR('Tasks Filter'!$I$5="Both",AND('Tasks Filter'!$I$5="Yes",BB848="✓"),AND('Tasks Filter'!$I$5="No",BB848&lt;&gt;"✓")),OR('Tasks Filter'!$L$3="",AV848='Tasks Filter'!$L$3),OR('Tasks Filter'!$L$4="",AZ848='Tasks Filter'!$L$4),OR('Tasks Filter'!$L$5="",BC848='Tasks Filter'!$L$5),OR('Tasks Filter'!$O$3="",BD848='Tasks Filter'!$O$3),OR('Tasks Filter'!$O$4="Yes",BG848=0)),1,0))</f>
        <v/>
      </c>
      <c r="BJ848">
        <f>IF(BH848=0,"",IF('Tasks Filter'!$F$6="Descending",-1,1)*CHOOSE(MATCH('Tasks Filter'!$F$5,Lists!$G$2:$G$6,0),AW848,BF848,IFERROR(MATCH(AV848,Setup!$F$6:$F$15,0),99),IFERROR(MATCH(BC848,Setup!$H$6:$H$15,0),99),IFERROR(MATCH(AZ848,Setup!$J$6:$J$11,0),99))*1E+9+(AW848-40000)*10000+847)</f>
        <v/>
      </c>
      <c r="BK848">
        <f>IF(BI848=1,BJ848,"")</f>
        <v/>
      </c>
      <c r="BL848">
        <f>IF(AND(BH848=1,BG848=0,N(AW848)&lt;Setup!$D$7),(AW848-40000)*10000+847,"")</f>
        <v/>
      </c>
      <c r="BM848">
        <f>IF(AND(BH848=1,AZ848&lt;&gt;"Cancelled",N(AW848)&gt;=Dashboard!$AB$3,N(AW848)&lt;=Dashboard!$AB$3+6),(AW848-40000)*100000+BF848*10000+847,"")</f>
        <v/>
      </c>
      <c r="BN848">
        <f>IF(AND(BH848=1,AZ848&lt;&gt;"Cancelled"),BF848*10000+847,"")</f>
        <v/>
      </c>
    </row>
    <row r="849">
      <c r="AS849" t="inlineStr">
        <is>
          <t>R</t>
        </is>
      </c>
      <c r="AT849" t="n">
        <v>853</v>
      </c>
      <c r="AU849">
        <f>'Recurring Log'!C853&amp;""</f>
        <v/>
      </c>
      <c r="AV849">
        <f>'Recurring Log'!D853&amp;""</f>
        <v/>
      </c>
      <c r="AW849">
        <f>IF('Recurring Log'!E853="","",'Recurring Log'!E853)</f>
        <v/>
      </c>
      <c r="AX849">
        <f>IF('Recurring Log'!G853="","",'Recurring Log'!G853)</f>
        <v/>
      </c>
      <c r="AY849">
        <f>IF('Recurring Log'!H853="","",'Recurring Log'!H853)</f>
        <v/>
      </c>
      <c r="AZ849">
        <f>IF(AU849="","",IF('Recurring Log'!J853="","Not Started",'Recurring Log'!J853))</f>
        <v/>
      </c>
      <c r="BA849">
        <f>'Recurring Log'!L853&amp;""</f>
        <v/>
      </c>
      <c r="BB849">
        <f>'Recurring Log'!M853&amp;""</f>
        <v/>
      </c>
      <c r="BC849">
        <f>'Recurring Log'!N853&amp;""</f>
        <v/>
      </c>
      <c r="BD849">
        <f>'Recurring Log'!O853&amp;""</f>
        <v/>
      </c>
      <c r="BE849">
        <f>IF('Recurring Log'!K853="","",'Recurring Log'!K853)</f>
        <v/>
      </c>
      <c r="BF849">
        <f>IFERROR(MATCH(BA849,Setup!$L$6:$L$9,0),5)</f>
        <v/>
      </c>
      <c r="BG849">
        <f>IF(OR(AZ849="Done",AZ849="Cancelled"),1,0)</f>
        <v/>
      </c>
      <c r="BH849">
        <f>IF(AND(AU849&lt;&gt;"",ISNUMBER(AW849)),1,0)</f>
        <v/>
      </c>
      <c r="BI849">
        <f>IF(BH849=0,0,IF(AND(AW849&gt;='Tasks Filter'!$F$3,AW849&lt;='Tasks Filter'!$F$4,OR('Tasks Filter'!$I$3="",ISNUMBER(SEARCH('Tasks Filter'!$I$3,AU849))),OR('Tasks Filter'!$I$4="",BF849=IFERROR(MATCH('Tasks Filter'!$I$4,Setup!$L$6:$L$9,0),0)),OR('Tasks Filter'!$I$5="Both",AND('Tasks Filter'!$I$5="Yes",BB849="✓"),AND('Tasks Filter'!$I$5="No",BB849&lt;&gt;"✓")),OR('Tasks Filter'!$L$3="",AV849='Tasks Filter'!$L$3),OR('Tasks Filter'!$L$4="",AZ849='Tasks Filter'!$L$4),OR('Tasks Filter'!$L$5="",BC849='Tasks Filter'!$L$5),OR('Tasks Filter'!$O$3="",BD849='Tasks Filter'!$O$3),OR('Tasks Filter'!$O$4="Yes",BG849=0)),1,0))</f>
        <v/>
      </c>
      <c r="BJ849">
        <f>IF(BH849=0,"",IF('Tasks Filter'!$F$6="Descending",-1,1)*CHOOSE(MATCH('Tasks Filter'!$F$5,Lists!$G$2:$G$6,0),AW849,BF849,IFERROR(MATCH(AV849,Setup!$F$6:$F$15,0),99),IFERROR(MATCH(BC849,Setup!$H$6:$H$15,0),99),IFERROR(MATCH(AZ849,Setup!$J$6:$J$11,0),99))*1E+9+(AW849-40000)*10000+848)</f>
        <v/>
      </c>
      <c r="BK849">
        <f>IF(BI849=1,BJ849,"")</f>
        <v/>
      </c>
      <c r="BL849">
        <f>IF(AND(BH849=1,BG849=0,N(AW849)&lt;Setup!$D$7),(AW849-40000)*10000+848,"")</f>
        <v/>
      </c>
      <c r="BM849">
        <f>IF(AND(BH849=1,AZ849&lt;&gt;"Cancelled",N(AW849)&gt;=Dashboard!$AB$3,N(AW849)&lt;=Dashboard!$AB$3+6),(AW849-40000)*100000+BF849*10000+848,"")</f>
        <v/>
      </c>
      <c r="BN849">
        <f>IF(AND(BH849=1,AZ849&lt;&gt;"Cancelled"),BF849*10000+848,"")</f>
        <v/>
      </c>
    </row>
    <row r="850">
      <c r="AS850" t="inlineStr">
        <is>
          <t>R</t>
        </is>
      </c>
      <c r="AT850" t="n">
        <v>854</v>
      </c>
      <c r="AU850">
        <f>'Recurring Log'!C854&amp;""</f>
        <v/>
      </c>
      <c r="AV850">
        <f>'Recurring Log'!D854&amp;""</f>
        <v/>
      </c>
      <c r="AW850">
        <f>IF('Recurring Log'!E854="","",'Recurring Log'!E854)</f>
        <v/>
      </c>
      <c r="AX850">
        <f>IF('Recurring Log'!G854="","",'Recurring Log'!G854)</f>
        <v/>
      </c>
      <c r="AY850">
        <f>IF('Recurring Log'!H854="","",'Recurring Log'!H854)</f>
        <v/>
      </c>
      <c r="AZ850">
        <f>IF(AU850="","",IF('Recurring Log'!J854="","Not Started",'Recurring Log'!J854))</f>
        <v/>
      </c>
      <c r="BA850">
        <f>'Recurring Log'!L854&amp;""</f>
        <v/>
      </c>
      <c r="BB850">
        <f>'Recurring Log'!M854&amp;""</f>
        <v/>
      </c>
      <c r="BC850">
        <f>'Recurring Log'!N854&amp;""</f>
        <v/>
      </c>
      <c r="BD850">
        <f>'Recurring Log'!O854&amp;""</f>
        <v/>
      </c>
      <c r="BE850">
        <f>IF('Recurring Log'!K854="","",'Recurring Log'!K854)</f>
        <v/>
      </c>
      <c r="BF850">
        <f>IFERROR(MATCH(BA850,Setup!$L$6:$L$9,0),5)</f>
        <v/>
      </c>
      <c r="BG850">
        <f>IF(OR(AZ850="Done",AZ850="Cancelled"),1,0)</f>
        <v/>
      </c>
      <c r="BH850">
        <f>IF(AND(AU850&lt;&gt;"",ISNUMBER(AW850)),1,0)</f>
        <v/>
      </c>
      <c r="BI850">
        <f>IF(BH850=0,0,IF(AND(AW850&gt;='Tasks Filter'!$F$3,AW850&lt;='Tasks Filter'!$F$4,OR('Tasks Filter'!$I$3="",ISNUMBER(SEARCH('Tasks Filter'!$I$3,AU850))),OR('Tasks Filter'!$I$4="",BF850=IFERROR(MATCH('Tasks Filter'!$I$4,Setup!$L$6:$L$9,0),0)),OR('Tasks Filter'!$I$5="Both",AND('Tasks Filter'!$I$5="Yes",BB850="✓"),AND('Tasks Filter'!$I$5="No",BB850&lt;&gt;"✓")),OR('Tasks Filter'!$L$3="",AV850='Tasks Filter'!$L$3),OR('Tasks Filter'!$L$4="",AZ850='Tasks Filter'!$L$4),OR('Tasks Filter'!$L$5="",BC850='Tasks Filter'!$L$5),OR('Tasks Filter'!$O$3="",BD850='Tasks Filter'!$O$3),OR('Tasks Filter'!$O$4="Yes",BG850=0)),1,0))</f>
        <v/>
      </c>
      <c r="BJ850">
        <f>IF(BH850=0,"",IF('Tasks Filter'!$F$6="Descending",-1,1)*CHOOSE(MATCH('Tasks Filter'!$F$5,Lists!$G$2:$G$6,0),AW850,BF850,IFERROR(MATCH(AV850,Setup!$F$6:$F$15,0),99),IFERROR(MATCH(BC850,Setup!$H$6:$H$15,0),99),IFERROR(MATCH(AZ850,Setup!$J$6:$J$11,0),99))*1E+9+(AW850-40000)*10000+849)</f>
        <v/>
      </c>
      <c r="BK850">
        <f>IF(BI850=1,BJ850,"")</f>
        <v/>
      </c>
      <c r="BL850">
        <f>IF(AND(BH850=1,BG850=0,N(AW850)&lt;Setup!$D$7),(AW850-40000)*10000+849,"")</f>
        <v/>
      </c>
      <c r="BM850">
        <f>IF(AND(BH850=1,AZ850&lt;&gt;"Cancelled",N(AW850)&gt;=Dashboard!$AB$3,N(AW850)&lt;=Dashboard!$AB$3+6),(AW850-40000)*100000+BF850*10000+849,"")</f>
        <v/>
      </c>
      <c r="BN850">
        <f>IF(AND(BH850=1,AZ850&lt;&gt;"Cancelled"),BF850*10000+849,"")</f>
        <v/>
      </c>
    </row>
    <row r="851">
      <c r="AS851" t="inlineStr">
        <is>
          <t>R</t>
        </is>
      </c>
      <c r="AT851" t="n">
        <v>855</v>
      </c>
      <c r="AU851">
        <f>'Recurring Log'!C855&amp;""</f>
        <v/>
      </c>
      <c r="AV851">
        <f>'Recurring Log'!D855&amp;""</f>
        <v/>
      </c>
      <c r="AW851">
        <f>IF('Recurring Log'!E855="","",'Recurring Log'!E855)</f>
        <v/>
      </c>
      <c r="AX851">
        <f>IF('Recurring Log'!G855="","",'Recurring Log'!G855)</f>
        <v/>
      </c>
      <c r="AY851">
        <f>IF('Recurring Log'!H855="","",'Recurring Log'!H855)</f>
        <v/>
      </c>
      <c r="AZ851">
        <f>IF(AU851="","",IF('Recurring Log'!J855="","Not Started",'Recurring Log'!J855))</f>
        <v/>
      </c>
      <c r="BA851">
        <f>'Recurring Log'!L855&amp;""</f>
        <v/>
      </c>
      <c r="BB851">
        <f>'Recurring Log'!M855&amp;""</f>
        <v/>
      </c>
      <c r="BC851">
        <f>'Recurring Log'!N855&amp;""</f>
        <v/>
      </c>
      <c r="BD851">
        <f>'Recurring Log'!O855&amp;""</f>
        <v/>
      </c>
      <c r="BE851">
        <f>IF('Recurring Log'!K855="","",'Recurring Log'!K855)</f>
        <v/>
      </c>
      <c r="BF851">
        <f>IFERROR(MATCH(BA851,Setup!$L$6:$L$9,0),5)</f>
        <v/>
      </c>
      <c r="BG851">
        <f>IF(OR(AZ851="Done",AZ851="Cancelled"),1,0)</f>
        <v/>
      </c>
      <c r="BH851">
        <f>IF(AND(AU851&lt;&gt;"",ISNUMBER(AW851)),1,0)</f>
        <v/>
      </c>
      <c r="BI851">
        <f>IF(BH851=0,0,IF(AND(AW851&gt;='Tasks Filter'!$F$3,AW851&lt;='Tasks Filter'!$F$4,OR('Tasks Filter'!$I$3="",ISNUMBER(SEARCH('Tasks Filter'!$I$3,AU851))),OR('Tasks Filter'!$I$4="",BF851=IFERROR(MATCH('Tasks Filter'!$I$4,Setup!$L$6:$L$9,0),0)),OR('Tasks Filter'!$I$5="Both",AND('Tasks Filter'!$I$5="Yes",BB851="✓"),AND('Tasks Filter'!$I$5="No",BB851&lt;&gt;"✓")),OR('Tasks Filter'!$L$3="",AV851='Tasks Filter'!$L$3),OR('Tasks Filter'!$L$4="",AZ851='Tasks Filter'!$L$4),OR('Tasks Filter'!$L$5="",BC851='Tasks Filter'!$L$5),OR('Tasks Filter'!$O$3="",BD851='Tasks Filter'!$O$3),OR('Tasks Filter'!$O$4="Yes",BG851=0)),1,0))</f>
        <v/>
      </c>
      <c r="BJ851">
        <f>IF(BH851=0,"",IF('Tasks Filter'!$F$6="Descending",-1,1)*CHOOSE(MATCH('Tasks Filter'!$F$5,Lists!$G$2:$G$6,0),AW851,BF851,IFERROR(MATCH(AV851,Setup!$F$6:$F$15,0),99),IFERROR(MATCH(BC851,Setup!$H$6:$H$15,0),99),IFERROR(MATCH(AZ851,Setup!$J$6:$J$11,0),99))*1E+9+(AW851-40000)*10000+850)</f>
        <v/>
      </c>
      <c r="BK851">
        <f>IF(BI851=1,BJ851,"")</f>
        <v/>
      </c>
      <c r="BL851">
        <f>IF(AND(BH851=1,BG851=0,N(AW851)&lt;Setup!$D$7),(AW851-40000)*10000+850,"")</f>
        <v/>
      </c>
      <c r="BM851">
        <f>IF(AND(BH851=1,AZ851&lt;&gt;"Cancelled",N(AW851)&gt;=Dashboard!$AB$3,N(AW851)&lt;=Dashboard!$AB$3+6),(AW851-40000)*100000+BF851*10000+850,"")</f>
        <v/>
      </c>
      <c r="BN851">
        <f>IF(AND(BH851=1,AZ851&lt;&gt;"Cancelled"),BF851*10000+850,"")</f>
        <v/>
      </c>
    </row>
    <row r="852">
      <c r="AS852" t="inlineStr">
        <is>
          <t>R</t>
        </is>
      </c>
      <c r="AT852" t="n">
        <v>856</v>
      </c>
      <c r="AU852">
        <f>'Recurring Log'!C856&amp;""</f>
        <v/>
      </c>
      <c r="AV852">
        <f>'Recurring Log'!D856&amp;""</f>
        <v/>
      </c>
      <c r="AW852">
        <f>IF('Recurring Log'!E856="","",'Recurring Log'!E856)</f>
        <v/>
      </c>
      <c r="AX852">
        <f>IF('Recurring Log'!G856="","",'Recurring Log'!G856)</f>
        <v/>
      </c>
      <c r="AY852">
        <f>IF('Recurring Log'!H856="","",'Recurring Log'!H856)</f>
        <v/>
      </c>
      <c r="AZ852">
        <f>IF(AU852="","",IF('Recurring Log'!J856="","Not Started",'Recurring Log'!J856))</f>
        <v/>
      </c>
      <c r="BA852">
        <f>'Recurring Log'!L856&amp;""</f>
        <v/>
      </c>
      <c r="BB852">
        <f>'Recurring Log'!M856&amp;""</f>
        <v/>
      </c>
      <c r="BC852">
        <f>'Recurring Log'!N856&amp;""</f>
        <v/>
      </c>
      <c r="BD852">
        <f>'Recurring Log'!O856&amp;""</f>
        <v/>
      </c>
      <c r="BE852">
        <f>IF('Recurring Log'!K856="","",'Recurring Log'!K856)</f>
        <v/>
      </c>
      <c r="BF852">
        <f>IFERROR(MATCH(BA852,Setup!$L$6:$L$9,0),5)</f>
        <v/>
      </c>
      <c r="BG852">
        <f>IF(OR(AZ852="Done",AZ852="Cancelled"),1,0)</f>
        <v/>
      </c>
      <c r="BH852">
        <f>IF(AND(AU852&lt;&gt;"",ISNUMBER(AW852)),1,0)</f>
        <v/>
      </c>
      <c r="BI852">
        <f>IF(BH852=0,0,IF(AND(AW852&gt;='Tasks Filter'!$F$3,AW852&lt;='Tasks Filter'!$F$4,OR('Tasks Filter'!$I$3="",ISNUMBER(SEARCH('Tasks Filter'!$I$3,AU852))),OR('Tasks Filter'!$I$4="",BF852=IFERROR(MATCH('Tasks Filter'!$I$4,Setup!$L$6:$L$9,0),0)),OR('Tasks Filter'!$I$5="Both",AND('Tasks Filter'!$I$5="Yes",BB852="✓"),AND('Tasks Filter'!$I$5="No",BB852&lt;&gt;"✓")),OR('Tasks Filter'!$L$3="",AV852='Tasks Filter'!$L$3),OR('Tasks Filter'!$L$4="",AZ852='Tasks Filter'!$L$4),OR('Tasks Filter'!$L$5="",BC852='Tasks Filter'!$L$5),OR('Tasks Filter'!$O$3="",BD852='Tasks Filter'!$O$3),OR('Tasks Filter'!$O$4="Yes",BG852=0)),1,0))</f>
        <v/>
      </c>
      <c r="BJ852">
        <f>IF(BH852=0,"",IF('Tasks Filter'!$F$6="Descending",-1,1)*CHOOSE(MATCH('Tasks Filter'!$F$5,Lists!$G$2:$G$6,0),AW852,BF852,IFERROR(MATCH(AV852,Setup!$F$6:$F$15,0),99),IFERROR(MATCH(BC852,Setup!$H$6:$H$15,0),99),IFERROR(MATCH(AZ852,Setup!$J$6:$J$11,0),99))*1E+9+(AW852-40000)*10000+851)</f>
        <v/>
      </c>
      <c r="BK852">
        <f>IF(BI852=1,BJ852,"")</f>
        <v/>
      </c>
      <c r="BL852">
        <f>IF(AND(BH852=1,BG852=0,N(AW852)&lt;Setup!$D$7),(AW852-40000)*10000+851,"")</f>
        <v/>
      </c>
      <c r="BM852">
        <f>IF(AND(BH852=1,AZ852&lt;&gt;"Cancelled",N(AW852)&gt;=Dashboard!$AB$3,N(AW852)&lt;=Dashboard!$AB$3+6),(AW852-40000)*100000+BF852*10000+851,"")</f>
        <v/>
      </c>
      <c r="BN852">
        <f>IF(AND(BH852=1,AZ852&lt;&gt;"Cancelled"),BF852*10000+851,"")</f>
        <v/>
      </c>
    </row>
    <row r="853">
      <c r="AS853" t="inlineStr">
        <is>
          <t>R</t>
        </is>
      </c>
      <c r="AT853" t="n">
        <v>857</v>
      </c>
      <c r="AU853">
        <f>'Recurring Log'!C857&amp;""</f>
        <v/>
      </c>
      <c r="AV853">
        <f>'Recurring Log'!D857&amp;""</f>
        <v/>
      </c>
      <c r="AW853">
        <f>IF('Recurring Log'!E857="","",'Recurring Log'!E857)</f>
        <v/>
      </c>
      <c r="AX853">
        <f>IF('Recurring Log'!G857="","",'Recurring Log'!G857)</f>
        <v/>
      </c>
      <c r="AY853">
        <f>IF('Recurring Log'!H857="","",'Recurring Log'!H857)</f>
        <v/>
      </c>
      <c r="AZ853">
        <f>IF(AU853="","",IF('Recurring Log'!J857="","Not Started",'Recurring Log'!J857))</f>
        <v/>
      </c>
      <c r="BA853">
        <f>'Recurring Log'!L857&amp;""</f>
        <v/>
      </c>
      <c r="BB853">
        <f>'Recurring Log'!M857&amp;""</f>
        <v/>
      </c>
      <c r="BC853">
        <f>'Recurring Log'!N857&amp;""</f>
        <v/>
      </c>
      <c r="BD853">
        <f>'Recurring Log'!O857&amp;""</f>
        <v/>
      </c>
      <c r="BE853">
        <f>IF('Recurring Log'!K857="","",'Recurring Log'!K857)</f>
        <v/>
      </c>
      <c r="BF853">
        <f>IFERROR(MATCH(BA853,Setup!$L$6:$L$9,0),5)</f>
        <v/>
      </c>
      <c r="BG853">
        <f>IF(OR(AZ853="Done",AZ853="Cancelled"),1,0)</f>
        <v/>
      </c>
      <c r="BH853">
        <f>IF(AND(AU853&lt;&gt;"",ISNUMBER(AW853)),1,0)</f>
        <v/>
      </c>
      <c r="BI853">
        <f>IF(BH853=0,0,IF(AND(AW853&gt;='Tasks Filter'!$F$3,AW853&lt;='Tasks Filter'!$F$4,OR('Tasks Filter'!$I$3="",ISNUMBER(SEARCH('Tasks Filter'!$I$3,AU853))),OR('Tasks Filter'!$I$4="",BF853=IFERROR(MATCH('Tasks Filter'!$I$4,Setup!$L$6:$L$9,0),0)),OR('Tasks Filter'!$I$5="Both",AND('Tasks Filter'!$I$5="Yes",BB853="✓"),AND('Tasks Filter'!$I$5="No",BB853&lt;&gt;"✓")),OR('Tasks Filter'!$L$3="",AV853='Tasks Filter'!$L$3),OR('Tasks Filter'!$L$4="",AZ853='Tasks Filter'!$L$4),OR('Tasks Filter'!$L$5="",BC853='Tasks Filter'!$L$5),OR('Tasks Filter'!$O$3="",BD853='Tasks Filter'!$O$3),OR('Tasks Filter'!$O$4="Yes",BG853=0)),1,0))</f>
        <v/>
      </c>
      <c r="BJ853">
        <f>IF(BH853=0,"",IF('Tasks Filter'!$F$6="Descending",-1,1)*CHOOSE(MATCH('Tasks Filter'!$F$5,Lists!$G$2:$G$6,0),AW853,BF853,IFERROR(MATCH(AV853,Setup!$F$6:$F$15,0),99),IFERROR(MATCH(BC853,Setup!$H$6:$H$15,0),99),IFERROR(MATCH(AZ853,Setup!$J$6:$J$11,0),99))*1E+9+(AW853-40000)*10000+852)</f>
        <v/>
      </c>
      <c r="BK853">
        <f>IF(BI853=1,BJ853,"")</f>
        <v/>
      </c>
      <c r="BL853">
        <f>IF(AND(BH853=1,BG853=0,N(AW853)&lt;Setup!$D$7),(AW853-40000)*10000+852,"")</f>
        <v/>
      </c>
      <c r="BM853">
        <f>IF(AND(BH853=1,AZ853&lt;&gt;"Cancelled",N(AW853)&gt;=Dashboard!$AB$3,N(AW853)&lt;=Dashboard!$AB$3+6),(AW853-40000)*100000+BF853*10000+852,"")</f>
        <v/>
      </c>
      <c r="BN853">
        <f>IF(AND(BH853=1,AZ853&lt;&gt;"Cancelled"),BF853*10000+852,"")</f>
        <v/>
      </c>
    </row>
    <row r="854">
      <c r="AS854" t="inlineStr">
        <is>
          <t>R</t>
        </is>
      </c>
      <c r="AT854" t="n">
        <v>858</v>
      </c>
      <c r="AU854">
        <f>'Recurring Log'!C858&amp;""</f>
        <v/>
      </c>
      <c r="AV854">
        <f>'Recurring Log'!D858&amp;""</f>
        <v/>
      </c>
      <c r="AW854">
        <f>IF('Recurring Log'!E858="","",'Recurring Log'!E858)</f>
        <v/>
      </c>
      <c r="AX854">
        <f>IF('Recurring Log'!G858="","",'Recurring Log'!G858)</f>
        <v/>
      </c>
      <c r="AY854">
        <f>IF('Recurring Log'!H858="","",'Recurring Log'!H858)</f>
        <v/>
      </c>
      <c r="AZ854">
        <f>IF(AU854="","",IF('Recurring Log'!J858="","Not Started",'Recurring Log'!J858))</f>
        <v/>
      </c>
      <c r="BA854">
        <f>'Recurring Log'!L858&amp;""</f>
        <v/>
      </c>
      <c r="BB854">
        <f>'Recurring Log'!M858&amp;""</f>
        <v/>
      </c>
      <c r="BC854">
        <f>'Recurring Log'!N858&amp;""</f>
        <v/>
      </c>
      <c r="BD854">
        <f>'Recurring Log'!O858&amp;""</f>
        <v/>
      </c>
      <c r="BE854">
        <f>IF('Recurring Log'!K858="","",'Recurring Log'!K858)</f>
        <v/>
      </c>
      <c r="BF854">
        <f>IFERROR(MATCH(BA854,Setup!$L$6:$L$9,0),5)</f>
        <v/>
      </c>
      <c r="BG854">
        <f>IF(OR(AZ854="Done",AZ854="Cancelled"),1,0)</f>
        <v/>
      </c>
      <c r="BH854">
        <f>IF(AND(AU854&lt;&gt;"",ISNUMBER(AW854)),1,0)</f>
        <v/>
      </c>
      <c r="BI854">
        <f>IF(BH854=0,0,IF(AND(AW854&gt;='Tasks Filter'!$F$3,AW854&lt;='Tasks Filter'!$F$4,OR('Tasks Filter'!$I$3="",ISNUMBER(SEARCH('Tasks Filter'!$I$3,AU854))),OR('Tasks Filter'!$I$4="",BF854=IFERROR(MATCH('Tasks Filter'!$I$4,Setup!$L$6:$L$9,0),0)),OR('Tasks Filter'!$I$5="Both",AND('Tasks Filter'!$I$5="Yes",BB854="✓"),AND('Tasks Filter'!$I$5="No",BB854&lt;&gt;"✓")),OR('Tasks Filter'!$L$3="",AV854='Tasks Filter'!$L$3),OR('Tasks Filter'!$L$4="",AZ854='Tasks Filter'!$L$4),OR('Tasks Filter'!$L$5="",BC854='Tasks Filter'!$L$5),OR('Tasks Filter'!$O$3="",BD854='Tasks Filter'!$O$3),OR('Tasks Filter'!$O$4="Yes",BG854=0)),1,0))</f>
        <v/>
      </c>
      <c r="BJ854">
        <f>IF(BH854=0,"",IF('Tasks Filter'!$F$6="Descending",-1,1)*CHOOSE(MATCH('Tasks Filter'!$F$5,Lists!$G$2:$G$6,0),AW854,BF854,IFERROR(MATCH(AV854,Setup!$F$6:$F$15,0),99),IFERROR(MATCH(BC854,Setup!$H$6:$H$15,0),99),IFERROR(MATCH(AZ854,Setup!$J$6:$J$11,0),99))*1E+9+(AW854-40000)*10000+853)</f>
        <v/>
      </c>
      <c r="BK854">
        <f>IF(BI854=1,BJ854,"")</f>
        <v/>
      </c>
      <c r="BL854">
        <f>IF(AND(BH854=1,BG854=0,N(AW854)&lt;Setup!$D$7),(AW854-40000)*10000+853,"")</f>
        <v/>
      </c>
      <c r="BM854">
        <f>IF(AND(BH854=1,AZ854&lt;&gt;"Cancelled",N(AW854)&gt;=Dashboard!$AB$3,N(AW854)&lt;=Dashboard!$AB$3+6),(AW854-40000)*100000+BF854*10000+853,"")</f>
        <v/>
      </c>
      <c r="BN854">
        <f>IF(AND(BH854=1,AZ854&lt;&gt;"Cancelled"),BF854*10000+853,"")</f>
        <v/>
      </c>
    </row>
    <row r="855">
      <c r="AS855" t="inlineStr">
        <is>
          <t>R</t>
        </is>
      </c>
      <c r="AT855" t="n">
        <v>859</v>
      </c>
      <c r="AU855">
        <f>'Recurring Log'!C859&amp;""</f>
        <v/>
      </c>
      <c r="AV855">
        <f>'Recurring Log'!D859&amp;""</f>
        <v/>
      </c>
      <c r="AW855">
        <f>IF('Recurring Log'!E859="","",'Recurring Log'!E859)</f>
        <v/>
      </c>
      <c r="AX855">
        <f>IF('Recurring Log'!G859="","",'Recurring Log'!G859)</f>
        <v/>
      </c>
      <c r="AY855">
        <f>IF('Recurring Log'!H859="","",'Recurring Log'!H859)</f>
        <v/>
      </c>
      <c r="AZ855">
        <f>IF(AU855="","",IF('Recurring Log'!J859="","Not Started",'Recurring Log'!J859))</f>
        <v/>
      </c>
      <c r="BA855">
        <f>'Recurring Log'!L859&amp;""</f>
        <v/>
      </c>
      <c r="BB855">
        <f>'Recurring Log'!M859&amp;""</f>
        <v/>
      </c>
      <c r="BC855">
        <f>'Recurring Log'!N859&amp;""</f>
        <v/>
      </c>
      <c r="BD855">
        <f>'Recurring Log'!O859&amp;""</f>
        <v/>
      </c>
      <c r="BE855">
        <f>IF('Recurring Log'!K859="","",'Recurring Log'!K859)</f>
        <v/>
      </c>
      <c r="BF855">
        <f>IFERROR(MATCH(BA855,Setup!$L$6:$L$9,0),5)</f>
        <v/>
      </c>
      <c r="BG855">
        <f>IF(OR(AZ855="Done",AZ855="Cancelled"),1,0)</f>
        <v/>
      </c>
      <c r="BH855">
        <f>IF(AND(AU855&lt;&gt;"",ISNUMBER(AW855)),1,0)</f>
        <v/>
      </c>
      <c r="BI855">
        <f>IF(BH855=0,0,IF(AND(AW855&gt;='Tasks Filter'!$F$3,AW855&lt;='Tasks Filter'!$F$4,OR('Tasks Filter'!$I$3="",ISNUMBER(SEARCH('Tasks Filter'!$I$3,AU855))),OR('Tasks Filter'!$I$4="",BF855=IFERROR(MATCH('Tasks Filter'!$I$4,Setup!$L$6:$L$9,0),0)),OR('Tasks Filter'!$I$5="Both",AND('Tasks Filter'!$I$5="Yes",BB855="✓"),AND('Tasks Filter'!$I$5="No",BB855&lt;&gt;"✓")),OR('Tasks Filter'!$L$3="",AV855='Tasks Filter'!$L$3),OR('Tasks Filter'!$L$4="",AZ855='Tasks Filter'!$L$4),OR('Tasks Filter'!$L$5="",BC855='Tasks Filter'!$L$5),OR('Tasks Filter'!$O$3="",BD855='Tasks Filter'!$O$3),OR('Tasks Filter'!$O$4="Yes",BG855=0)),1,0))</f>
        <v/>
      </c>
      <c r="BJ855">
        <f>IF(BH855=0,"",IF('Tasks Filter'!$F$6="Descending",-1,1)*CHOOSE(MATCH('Tasks Filter'!$F$5,Lists!$G$2:$G$6,0),AW855,BF855,IFERROR(MATCH(AV855,Setup!$F$6:$F$15,0),99),IFERROR(MATCH(BC855,Setup!$H$6:$H$15,0),99),IFERROR(MATCH(AZ855,Setup!$J$6:$J$11,0),99))*1E+9+(AW855-40000)*10000+854)</f>
        <v/>
      </c>
      <c r="BK855">
        <f>IF(BI855=1,BJ855,"")</f>
        <v/>
      </c>
      <c r="BL855">
        <f>IF(AND(BH855=1,BG855=0,N(AW855)&lt;Setup!$D$7),(AW855-40000)*10000+854,"")</f>
        <v/>
      </c>
      <c r="BM855">
        <f>IF(AND(BH855=1,AZ855&lt;&gt;"Cancelled",N(AW855)&gt;=Dashboard!$AB$3,N(AW855)&lt;=Dashboard!$AB$3+6),(AW855-40000)*100000+BF855*10000+854,"")</f>
        <v/>
      </c>
      <c r="BN855">
        <f>IF(AND(BH855=1,AZ855&lt;&gt;"Cancelled"),BF855*10000+854,"")</f>
        <v/>
      </c>
    </row>
    <row r="856">
      <c r="AS856" t="inlineStr">
        <is>
          <t>R</t>
        </is>
      </c>
      <c r="AT856" t="n">
        <v>860</v>
      </c>
      <c r="AU856">
        <f>'Recurring Log'!C860&amp;""</f>
        <v/>
      </c>
      <c r="AV856">
        <f>'Recurring Log'!D860&amp;""</f>
        <v/>
      </c>
      <c r="AW856">
        <f>IF('Recurring Log'!E860="","",'Recurring Log'!E860)</f>
        <v/>
      </c>
      <c r="AX856">
        <f>IF('Recurring Log'!G860="","",'Recurring Log'!G860)</f>
        <v/>
      </c>
      <c r="AY856">
        <f>IF('Recurring Log'!H860="","",'Recurring Log'!H860)</f>
        <v/>
      </c>
      <c r="AZ856">
        <f>IF(AU856="","",IF('Recurring Log'!J860="","Not Started",'Recurring Log'!J860))</f>
        <v/>
      </c>
      <c r="BA856">
        <f>'Recurring Log'!L860&amp;""</f>
        <v/>
      </c>
      <c r="BB856">
        <f>'Recurring Log'!M860&amp;""</f>
        <v/>
      </c>
      <c r="BC856">
        <f>'Recurring Log'!N860&amp;""</f>
        <v/>
      </c>
      <c r="BD856">
        <f>'Recurring Log'!O860&amp;""</f>
        <v/>
      </c>
      <c r="BE856">
        <f>IF('Recurring Log'!K860="","",'Recurring Log'!K860)</f>
        <v/>
      </c>
      <c r="BF856">
        <f>IFERROR(MATCH(BA856,Setup!$L$6:$L$9,0),5)</f>
        <v/>
      </c>
      <c r="BG856">
        <f>IF(OR(AZ856="Done",AZ856="Cancelled"),1,0)</f>
        <v/>
      </c>
      <c r="BH856">
        <f>IF(AND(AU856&lt;&gt;"",ISNUMBER(AW856)),1,0)</f>
        <v/>
      </c>
      <c r="BI856">
        <f>IF(BH856=0,0,IF(AND(AW856&gt;='Tasks Filter'!$F$3,AW856&lt;='Tasks Filter'!$F$4,OR('Tasks Filter'!$I$3="",ISNUMBER(SEARCH('Tasks Filter'!$I$3,AU856))),OR('Tasks Filter'!$I$4="",BF856=IFERROR(MATCH('Tasks Filter'!$I$4,Setup!$L$6:$L$9,0),0)),OR('Tasks Filter'!$I$5="Both",AND('Tasks Filter'!$I$5="Yes",BB856="✓"),AND('Tasks Filter'!$I$5="No",BB856&lt;&gt;"✓")),OR('Tasks Filter'!$L$3="",AV856='Tasks Filter'!$L$3),OR('Tasks Filter'!$L$4="",AZ856='Tasks Filter'!$L$4),OR('Tasks Filter'!$L$5="",BC856='Tasks Filter'!$L$5),OR('Tasks Filter'!$O$3="",BD856='Tasks Filter'!$O$3),OR('Tasks Filter'!$O$4="Yes",BG856=0)),1,0))</f>
        <v/>
      </c>
      <c r="BJ856">
        <f>IF(BH856=0,"",IF('Tasks Filter'!$F$6="Descending",-1,1)*CHOOSE(MATCH('Tasks Filter'!$F$5,Lists!$G$2:$G$6,0),AW856,BF856,IFERROR(MATCH(AV856,Setup!$F$6:$F$15,0),99),IFERROR(MATCH(BC856,Setup!$H$6:$H$15,0),99),IFERROR(MATCH(AZ856,Setup!$J$6:$J$11,0),99))*1E+9+(AW856-40000)*10000+855)</f>
        <v/>
      </c>
      <c r="BK856">
        <f>IF(BI856=1,BJ856,"")</f>
        <v/>
      </c>
      <c r="BL856">
        <f>IF(AND(BH856=1,BG856=0,N(AW856)&lt;Setup!$D$7),(AW856-40000)*10000+855,"")</f>
        <v/>
      </c>
      <c r="BM856">
        <f>IF(AND(BH856=1,AZ856&lt;&gt;"Cancelled",N(AW856)&gt;=Dashboard!$AB$3,N(AW856)&lt;=Dashboard!$AB$3+6),(AW856-40000)*100000+BF856*10000+855,"")</f>
        <v/>
      </c>
      <c r="BN856">
        <f>IF(AND(BH856=1,AZ856&lt;&gt;"Cancelled"),BF856*10000+855,"")</f>
        <v/>
      </c>
    </row>
    <row r="857">
      <c r="AS857" t="inlineStr">
        <is>
          <t>R</t>
        </is>
      </c>
      <c r="AT857" t="n">
        <v>861</v>
      </c>
      <c r="AU857">
        <f>'Recurring Log'!C861&amp;""</f>
        <v/>
      </c>
      <c r="AV857">
        <f>'Recurring Log'!D861&amp;""</f>
        <v/>
      </c>
      <c r="AW857">
        <f>IF('Recurring Log'!E861="","",'Recurring Log'!E861)</f>
        <v/>
      </c>
      <c r="AX857">
        <f>IF('Recurring Log'!G861="","",'Recurring Log'!G861)</f>
        <v/>
      </c>
      <c r="AY857">
        <f>IF('Recurring Log'!H861="","",'Recurring Log'!H861)</f>
        <v/>
      </c>
      <c r="AZ857">
        <f>IF(AU857="","",IF('Recurring Log'!J861="","Not Started",'Recurring Log'!J861))</f>
        <v/>
      </c>
      <c r="BA857">
        <f>'Recurring Log'!L861&amp;""</f>
        <v/>
      </c>
      <c r="BB857">
        <f>'Recurring Log'!M861&amp;""</f>
        <v/>
      </c>
      <c r="BC857">
        <f>'Recurring Log'!N861&amp;""</f>
        <v/>
      </c>
      <c r="BD857">
        <f>'Recurring Log'!O861&amp;""</f>
        <v/>
      </c>
      <c r="BE857">
        <f>IF('Recurring Log'!K861="","",'Recurring Log'!K861)</f>
        <v/>
      </c>
      <c r="BF857">
        <f>IFERROR(MATCH(BA857,Setup!$L$6:$L$9,0),5)</f>
        <v/>
      </c>
      <c r="BG857">
        <f>IF(OR(AZ857="Done",AZ857="Cancelled"),1,0)</f>
        <v/>
      </c>
      <c r="BH857">
        <f>IF(AND(AU857&lt;&gt;"",ISNUMBER(AW857)),1,0)</f>
        <v/>
      </c>
      <c r="BI857">
        <f>IF(BH857=0,0,IF(AND(AW857&gt;='Tasks Filter'!$F$3,AW857&lt;='Tasks Filter'!$F$4,OR('Tasks Filter'!$I$3="",ISNUMBER(SEARCH('Tasks Filter'!$I$3,AU857))),OR('Tasks Filter'!$I$4="",BF857=IFERROR(MATCH('Tasks Filter'!$I$4,Setup!$L$6:$L$9,0),0)),OR('Tasks Filter'!$I$5="Both",AND('Tasks Filter'!$I$5="Yes",BB857="✓"),AND('Tasks Filter'!$I$5="No",BB857&lt;&gt;"✓")),OR('Tasks Filter'!$L$3="",AV857='Tasks Filter'!$L$3),OR('Tasks Filter'!$L$4="",AZ857='Tasks Filter'!$L$4),OR('Tasks Filter'!$L$5="",BC857='Tasks Filter'!$L$5),OR('Tasks Filter'!$O$3="",BD857='Tasks Filter'!$O$3),OR('Tasks Filter'!$O$4="Yes",BG857=0)),1,0))</f>
        <v/>
      </c>
      <c r="BJ857">
        <f>IF(BH857=0,"",IF('Tasks Filter'!$F$6="Descending",-1,1)*CHOOSE(MATCH('Tasks Filter'!$F$5,Lists!$G$2:$G$6,0),AW857,BF857,IFERROR(MATCH(AV857,Setup!$F$6:$F$15,0),99),IFERROR(MATCH(BC857,Setup!$H$6:$H$15,0),99),IFERROR(MATCH(AZ857,Setup!$J$6:$J$11,0),99))*1E+9+(AW857-40000)*10000+856)</f>
        <v/>
      </c>
      <c r="BK857">
        <f>IF(BI857=1,BJ857,"")</f>
        <v/>
      </c>
      <c r="BL857">
        <f>IF(AND(BH857=1,BG857=0,N(AW857)&lt;Setup!$D$7),(AW857-40000)*10000+856,"")</f>
        <v/>
      </c>
      <c r="BM857">
        <f>IF(AND(BH857=1,AZ857&lt;&gt;"Cancelled",N(AW857)&gt;=Dashboard!$AB$3,N(AW857)&lt;=Dashboard!$AB$3+6),(AW857-40000)*100000+BF857*10000+856,"")</f>
        <v/>
      </c>
      <c r="BN857">
        <f>IF(AND(BH857=1,AZ857&lt;&gt;"Cancelled"),BF857*10000+856,"")</f>
        <v/>
      </c>
    </row>
    <row r="858">
      <c r="AS858" t="inlineStr">
        <is>
          <t>R</t>
        </is>
      </c>
      <c r="AT858" t="n">
        <v>862</v>
      </c>
      <c r="AU858">
        <f>'Recurring Log'!C862&amp;""</f>
        <v/>
      </c>
      <c r="AV858">
        <f>'Recurring Log'!D862&amp;""</f>
        <v/>
      </c>
      <c r="AW858">
        <f>IF('Recurring Log'!E862="","",'Recurring Log'!E862)</f>
        <v/>
      </c>
      <c r="AX858">
        <f>IF('Recurring Log'!G862="","",'Recurring Log'!G862)</f>
        <v/>
      </c>
      <c r="AY858">
        <f>IF('Recurring Log'!H862="","",'Recurring Log'!H862)</f>
        <v/>
      </c>
      <c r="AZ858">
        <f>IF(AU858="","",IF('Recurring Log'!J862="","Not Started",'Recurring Log'!J862))</f>
        <v/>
      </c>
      <c r="BA858">
        <f>'Recurring Log'!L862&amp;""</f>
        <v/>
      </c>
      <c r="BB858">
        <f>'Recurring Log'!M862&amp;""</f>
        <v/>
      </c>
      <c r="BC858">
        <f>'Recurring Log'!N862&amp;""</f>
        <v/>
      </c>
      <c r="BD858">
        <f>'Recurring Log'!O862&amp;""</f>
        <v/>
      </c>
      <c r="BE858">
        <f>IF('Recurring Log'!K862="","",'Recurring Log'!K862)</f>
        <v/>
      </c>
      <c r="BF858">
        <f>IFERROR(MATCH(BA858,Setup!$L$6:$L$9,0),5)</f>
        <v/>
      </c>
      <c r="BG858">
        <f>IF(OR(AZ858="Done",AZ858="Cancelled"),1,0)</f>
        <v/>
      </c>
      <c r="BH858">
        <f>IF(AND(AU858&lt;&gt;"",ISNUMBER(AW858)),1,0)</f>
        <v/>
      </c>
      <c r="BI858">
        <f>IF(BH858=0,0,IF(AND(AW858&gt;='Tasks Filter'!$F$3,AW858&lt;='Tasks Filter'!$F$4,OR('Tasks Filter'!$I$3="",ISNUMBER(SEARCH('Tasks Filter'!$I$3,AU858))),OR('Tasks Filter'!$I$4="",BF858=IFERROR(MATCH('Tasks Filter'!$I$4,Setup!$L$6:$L$9,0),0)),OR('Tasks Filter'!$I$5="Both",AND('Tasks Filter'!$I$5="Yes",BB858="✓"),AND('Tasks Filter'!$I$5="No",BB858&lt;&gt;"✓")),OR('Tasks Filter'!$L$3="",AV858='Tasks Filter'!$L$3),OR('Tasks Filter'!$L$4="",AZ858='Tasks Filter'!$L$4),OR('Tasks Filter'!$L$5="",BC858='Tasks Filter'!$L$5),OR('Tasks Filter'!$O$3="",BD858='Tasks Filter'!$O$3),OR('Tasks Filter'!$O$4="Yes",BG858=0)),1,0))</f>
        <v/>
      </c>
      <c r="BJ858">
        <f>IF(BH858=0,"",IF('Tasks Filter'!$F$6="Descending",-1,1)*CHOOSE(MATCH('Tasks Filter'!$F$5,Lists!$G$2:$G$6,0),AW858,BF858,IFERROR(MATCH(AV858,Setup!$F$6:$F$15,0),99),IFERROR(MATCH(BC858,Setup!$H$6:$H$15,0),99),IFERROR(MATCH(AZ858,Setup!$J$6:$J$11,0),99))*1E+9+(AW858-40000)*10000+857)</f>
        <v/>
      </c>
      <c r="BK858">
        <f>IF(BI858=1,BJ858,"")</f>
        <v/>
      </c>
      <c r="BL858">
        <f>IF(AND(BH858=1,BG858=0,N(AW858)&lt;Setup!$D$7),(AW858-40000)*10000+857,"")</f>
        <v/>
      </c>
      <c r="BM858">
        <f>IF(AND(BH858=1,AZ858&lt;&gt;"Cancelled",N(AW858)&gt;=Dashboard!$AB$3,N(AW858)&lt;=Dashboard!$AB$3+6),(AW858-40000)*100000+BF858*10000+857,"")</f>
        <v/>
      </c>
      <c r="BN858">
        <f>IF(AND(BH858=1,AZ858&lt;&gt;"Cancelled"),BF858*10000+857,"")</f>
        <v/>
      </c>
    </row>
    <row r="859">
      <c r="AS859" t="inlineStr">
        <is>
          <t>R</t>
        </is>
      </c>
      <c r="AT859" t="n">
        <v>863</v>
      </c>
      <c r="AU859">
        <f>'Recurring Log'!C863&amp;""</f>
        <v/>
      </c>
      <c r="AV859">
        <f>'Recurring Log'!D863&amp;""</f>
        <v/>
      </c>
      <c r="AW859">
        <f>IF('Recurring Log'!E863="","",'Recurring Log'!E863)</f>
        <v/>
      </c>
      <c r="AX859">
        <f>IF('Recurring Log'!G863="","",'Recurring Log'!G863)</f>
        <v/>
      </c>
      <c r="AY859">
        <f>IF('Recurring Log'!H863="","",'Recurring Log'!H863)</f>
        <v/>
      </c>
      <c r="AZ859">
        <f>IF(AU859="","",IF('Recurring Log'!J863="","Not Started",'Recurring Log'!J863))</f>
        <v/>
      </c>
      <c r="BA859">
        <f>'Recurring Log'!L863&amp;""</f>
        <v/>
      </c>
      <c r="BB859">
        <f>'Recurring Log'!M863&amp;""</f>
        <v/>
      </c>
      <c r="BC859">
        <f>'Recurring Log'!N863&amp;""</f>
        <v/>
      </c>
      <c r="BD859">
        <f>'Recurring Log'!O863&amp;""</f>
        <v/>
      </c>
      <c r="BE859">
        <f>IF('Recurring Log'!K863="","",'Recurring Log'!K863)</f>
        <v/>
      </c>
      <c r="BF859">
        <f>IFERROR(MATCH(BA859,Setup!$L$6:$L$9,0),5)</f>
        <v/>
      </c>
      <c r="BG859">
        <f>IF(OR(AZ859="Done",AZ859="Cancelled"),1,0)</f>
        <v/>
      </c>
      <c r="BH859">
        <f>IF(AND(AU859&lt;&gt;"",ISNUMBER(AW859)),1,0)</f>
        <v/>
      </c>
      <c r="BI859">
        <f>IF(BH859=0,0,IF(AND(AW859&gt;='Tasks Filter'!$F$3,AW859&lt;='Tasks Filter'!$F$4,OR('Tasks Filter'!$I$3="",ISNUMBER(SEARCH('Tasks Filter'!$I$3,AU859))),OR('Tasks Filter'!$I$4="",BF859=IFERROR(MATCH('Tasks Filter'!$I$4,Setup!$L$6:$L$9,0),0)),OR('Tasks Filter'!$I$5="Both",AND('Tasks Filter'!$I$5="Yes",BB859="✓"),AND('Tasks Filter'!$I$5="No",BB859&lt;&gt;"✓")),OR('Tasks Filter'!$L$3="",AV859='Tasks Filter'!$L$3),OR('Tasks Filter'!$L$4="",AZ859='Tasks Filter'!$L$4),OR('Tasks Filter'!$L$5="",BC859='Tasks Filter'!$L$5),OR('Tasks Filter'!$O$3="",BD859='Tasks Filter'!$O$3),OR('Tasks Filter'!$O$4="Yes",BG859=0)),1,0))</f>
        <v/>
      </c>
      <c r="BJ859">
        <f>IF(BH859=0,"",IF('Tasks Filter'!$F$6="Descending",-1,1)*CHOOSE(MATCH('Tasks Filter'!$F$5,Lists!$G$2:$G$6,0),AW859,BF859,IFERROR(MATCH(AV859,Setup!$F$6:$F$15,0),99),IFERROR(MATCH(BC859,Setup!$H$6:$H$15,0),99),IFERROR(MATCH(AZ859,Setup!$J$6:$J$11,0),99))*1E+9+(AW859-40000)*10000+858)</f>
        <v/>
      </c>
      <c r="BK859">
        <f>IF(BI859=1,BJ859,"")</f>
        <v/>
      </c>
      <c r="BL859">
        <f>IF(AND(BH859=1,BG859=0,N(AW859)&lt;Setup!$D$7),(AW859-40000)*10000+858,"")</f>
        <v/>
      </c>
      <c r="BM859">
        <f>IF(AND(BH859=1,AZ859&lt;&gt;"Cancelled",N(AW859)&gt;=Dashboard!$AB$3,N(AW859)&lt;=Dashboard!$AB$3+6),(AW859-40000)*100000+BF859*10000+858,"")</f>
        <v/>
      </c>
      <c r="BN859">
        <f>IF(AND(BH859=1,AZ859&lt;&gt;"Cancelled"),BF859*10000+858,"")</f>
        <v/>
      </c>
    </row>
    <row r="860">
      <c r="AS860" t="inlineStr">
        <is>
          <t>R</t>
        </is>
      </c>
      <c r="AT860" t="n">
        <v>864</v>
      </c>
      <c r="AU860">
        <f>'Recurring Log'!C864&amp;""</f>
        <v/>
      </c>
      <c r="AV860">
        <f>'Recurring Log'!D864&amp;""</f>
        <v/>
      </c>
      <c r="AW860">
        <f>IF('Recurring Log'!E864="","",'Recurring Log'!E864)</f>
        <v/>
      </c>
      <c r="AX860">
        <f>IF('Recurring Log'!G864="","",'Recurring Log'!G864)</f>
        <v/>
      </c>
      <c r="AY860">
        <f>IF('Recurring Log'!H864="","",'Recurring Log'!H864)</f>
        <v/>
      </c>
      <c r="AZ860">
        <f>IF(AU860="","",IF('Recurring Log'!J864="","Not Started",'Recurring Log'!J864))</f>
        <v/>
      </c>
      <c r="BA860">
        <f>'Recurring Log'!L864&amp;""</f>
        <v/>
      </c>
      <c r="BB860">
        <f>'Recurring Log'!M864&amp;""</f>
        <v/>
      </c>
      <c r="BC860">
        <f>'Recurring Log'!N864&amp;""</f>
        <v/>
      </c>
      <c r="BD860">
        <f>'Recurring Log'!O864&amp;""</f>
        <v/>
      </c>
      <c r="BE860">
        <f>IF('Recurring Log'!K864="","",'Recurring Log'!K864)</f>
        <v/>
      </c>
      <c r="BF860">
        <f>IFERROR(MATCH(BA860,Setup!$L$6:$L$9,0),5)</f>
        <v/>
      </c>
      <c r="BG860">
        <f>IF(OR(AZ860="Done",AZ860="Cancelled"),1,0)</f>
        <v/>
      </c>
      <c r="BH860">
        <f>IF(AND(AU860&lt;&gt;"",ISNUMBER(AW860)),1,0)</f>
        <v/>
      </c>
      <c r="BI860">
        <f>IF(BH860=0,0,IF(AND(AW860&gt;='Tasks Filter'!$F$3,AW860&lt;='Tasks Filter'!$F$4,OR('Tasks Filter'!$I$3="",ISNUMBER(SEARCH('Tasks Filter'!$I$3,AU860))),OR('Tasks Filter'!$I$4="",BF860=IFERROR(MATCH('Tasks Filter'!$I$4,Setup!$L$6:$L$9,0),0)),OR('Tasks Filter'!$I$5="Both",AND('Tasks Filter'!$I$5="Yes",BB860="✓"),AND('Tasks Filter'!$I$5="No",BB860&lt;&gt;"✓")),OR('Tasks Filter'!$L$3="",AV860='Tasks Filter'!$L$3),OR('Tasks Filter'!$L$4="",AZ860='Tasks Filter'!$L$4),OR('Tasks Filter'!$L$5="",BC860='Tasks Filter'!$L$5),OR('Tasks Filter'!$O$3="",BD860='Tasks Filter'!$O$3),OR('Tasks Filter'!$O$4="Yes",BG860=0)),1,0))</f>
        <v/>
      </c>
      <c r="BJ860">
        <f>IF(BH860=0,"",IF('Tasks Filter'!$F$6="Descending",-1,1)*CHOOSE(MATCH('Tasks Filter'!$F$5,Lists!$G$2:$G$6,0),AW860,BF860,IFERROR(MATCH(AV860,Setup!$F$6:$F$15,0),99),IFERROR(MATCH(BC860,Setup!$H$6:$H$15,0),99),IFERROR(MATCH(AZ860,Setup!$J$6:$J$11,0),99))*1E+9+(AW860-40000)*10000+859)</f>
        <v/>
      </c>
      <c r="BK860">
        <f>IF(BI860=1,BJ860,"")</f>
        <v/>
      </c>
      <c r="BL860">
        <f>IF(AND(BH860=1,BG860=0,N(AW860)&lt;Setup!$D$7),(AW860-40000)*10000+859,"")</f>
        <v/>
      </c>
      <c r="BM860">
        <f>IF(AND(BH860=1,AZ860&lt;&gt;"Cancelled",N(AW860)&gt;=Dashboard!$AB$3,N(AW860)&lt;=Dashboard!$AB$3+6),(AW860-40000)*100000+BF860*10000+859,"")</f>
        <v/>
      </c>
      <c r="BN860">
        <f>IF(AND(BH860=1,AZ860&lt;&gt;"Cancelled"),BF860*10000+859,"")</f>
        <v/>
      </c>
    </row>
    <row r="861">
      <c r="AS861" t="inlineStr">
        <is>
          <t>R</t>
        </is>
      </c>
      <c r="AT861" t="n">
        <v>865</v>
      </c>
      <c r="AU861">
        <f>'Recurring Log'!C865&amp;""</f>
        <v/>
      </c>
      <c r="AV861">
        <f>'Recurring Log'!D865&amp;""</f>
        <v/>
      </c>
      <c r="AW861">
        <f>IF('Recurring Log'!E865="","",'Recurring Log'!E865)</f>
        <v/>
      </c>
      <c r="AX861">
        <f>IF('Recurring Log'!G865="","",'Recurring Log'!G865)</f>
        <v/>
      </c>
      <c r="AY861">
        <f>IF('Recurring Log'!H865="","",'Recurring Log'!H865)</f>
        <v/>
      </c>
      <c r="AZ861">
        <f>IF(AU861="","",IF('Recurring Log'!J865="","Not Started",'Recurring Log'!J865))</f>
        <v/>
      </c>
      <c r="BA861">
        <f>'Recurring Log'!L865&amp;""</f>
        <v/>
      </c>
      <c r="BB861">
        <f>'Recurring Log'!M865&amp;""</f>
        <v/>
      </c>
      <c r="BC861">
        <f>'Recurring Log'!N865&amp;""</f>
        <v/>
      </c>
      <c r="BD861">
        <f>'Recurring Log'!O865&amp;""</f>
        <v/>
      </c>
      <c r="BE861">
        <f>IF('Recurring Log'!K865="","",'Recurring Log'!K865)</f>
        <v/>
      </c>
      <c r="BF861">
        <f>IFERROR(MATCH(BA861,Setup!$L$6:$L$9,0),5)</f>
        <v/>
      </c>
      <c r="BG861">
        <f>IF(OR(AZ861="Done",AZ861="Cancelled"),1,0)</f>
        <v/>
      </c>
      <c r="BH861">
        <f>IF(AND(AU861&lt;&gt;"",ISNUMBER(AW861)),1,0)</f>
        <v/>
      </c>
      <c r="BI861">
        <f>IF(BH861=0,0,IF(AND(AW861&gt;='Tasks Filter'!$F$3,AW861&lt;='Tasks Filter'!$F$4,OR('Tasks Filter'!$I$3="",ISNUMBER(SEARCH('Tasks Filter'!$I$3,AU861))),OR('Tasks Filter'!$I$4="",BF861=IFERROR(MATCH('Tasks Filter'!$I$4,Setup!$L$6:$L$9,0),0)),OR('Tasks Filter'!$I$5="Both",AND('Tasks Filter'!$I$5="Yes",BB861="✓"),AND('Tasks Filter'!$I$5="No",BB861&lt;&gt;"✓")),OR('Tasks Filter'!$L$3="",AV861='Tasks Filter'!$L$3),OR('Tasks Filter'!$L$4="",AZ861='Tasks Filter'!$L$4),OR('Tasks Filter'!$L$5="",BC861='Tasks Filter'!$L$5),OR('Tasks Filter'!$O$3="",BD861='Tasks Filter'!$O$3),OR('Tasks Filter'!$O$4="Yes",BG861=0)),1,0))</f>
        <v/>
      </c>
      <c r="BJ861">
        <f>IF(BH861=0,"",IF('Tasks Filter'!$F$6="Descending",-1,1)*CHOOSE(MATCH('Tasks Filter'!$F$5,Lists!$G$2:$G$6,0),AW861,BF861,IFERROR(MATCH(AV861,Setup!$F$6:$F$15,0),99),IFERROR(MATCH(BC861,Setup!$H$6:$H$15,0),99),IFERROR(MATCH(AZ861,Setup!$J$6:$J$11,0),99))*1E+9+(AW861-40000)*10000+860)</f>
        <v/>
      </c>
      <c r="BK861">
        <f>IF(BI861=1,BJ861,"")</f>
        <v/>
      </c>
      <c r="BL861">
        <f>IF(AND(BH861=1,BG861=0,N(AW861)&lt;Setup!$D$7),(AW861-40000)*10000+860,"")</f>
        <v/>
      </c>
      <c r="BM861">
        <f>IF(AND(BH861=1,AZ861&lt;&gt;"Cancelled",N(AW861)&gt;=Dashboard!$AB$3,N(AW861)&lt;=Dashboard!$AB$3+6),(AW861-40000)*100000+BF861*10000+860,"")</f>
        <v/>
      </c>
      <c r="BN861">
        <f>IF(AND(BH861=1,AZ861&lt;&gt;"Cancelled"),BF861*10000+860,"")</f>
        <v/>
      </c>
    </row>
    <row r="862">
      <c r="AS862" t="inlineStr">
        <is>
          <t>R</t>
        </is>
      </c>
      <c r="AT862" t="n">
        <v>866</v>
      </c>
      <c r="AU862">
        <f>'Recurring Log'!C866&amp;""</f>
        <v/>
      </c>
      <c r="AV862">
        <f>'Recurring Log'!D866&amp;""</f>
        <v/>
      </c>
      <c r="AW862">
        <f>IF('Recurring Log'!E866="","",'Recurring Log'!E866)</f>
        <v/>
      </c>
      <c r="AX862">
        <f>IF('Recurring Log'!G866="","",'Recurring Log'!G866)</f>
        <v/>
      </c>
      <c r="AY862">
        <f>IF('Recurring Log'!H866="","",'Recurring Log'!H866)</f>
        <v/>
      </c>
      <c r="AZ862">
        <f>IF(AU862="","",IF('Recurring Log'!J866="","Not Started",'Recurring Log'!J866))</f>
        <v/>
      </c>
      <c r="BA862">
        <f>'Recurring Log'!L866&amp;""</f>
        <v/>
      </c>
      <c r="BB862">
        <f>'Recurring Log'!M866&amp;""</f>
        <v/>
      </c>
      <c r="BC862">
        <f>'Recurring Log'!N866&amp;""</f>
        <v/>
      </c>
      <c r="BD862">
        <f>'Recurring Log'!O866&amp;""</f>
        <v/>
      </c>
      <c r="BE862">
        <f>IF('Recurring Log'!K866="","",'Recurring Log'!K866)</f>
        <v/>
      </c>
      <c r="BF862">
        <f>IFERROR(MATCH(BA862,Setup!$L$6:$L$9,0),5)</f>
        <v/>
      </c>
      <c r="BG862">
        <f>IF(OR(AZ862="Done",AZ862="Cancelled"),1,0)</f>
        <v/>
      </c>
      <c r="BH862">
        <f>IF(AND(AU862&lt;&gt;"",ISNUMBER(AW862)),1,0)</f>
        <v/>
      </c>
      <c r="BI862">
        <f>IF(BH862=0,0,IF(AND(AW862&gt;='Tasks Filter'!$F$3,AW862&lt;='Tasks Filter'!$F$4,OR('Tasks Filter'!$I$3="",ISNUMBER(SEARCH('Tasks Filter'!$I$3,AU862))),OR('Tasks Filter'!$I$4="",BF862=IFERROR(MATCH('Tasks Filter'!$I$4,Setup!$L$6:$L$9,0),0)),OR('Tasks Filter'!$I$5="Both",AND('Tasks Filter'!$I$5="Yes",BB862="✓"),AND('Tasks Filter'!$I$5="No",BB862&lt;&gt;"✓")),OR('Tasks Filter'!$L$3="",AV862='Tasks Filter'!$L$3),OR('Tasks Filter'!$L$4="",AZ862='Tasks Filter'!$L$4),OR('Tasks Filter'!$L$5="",BC862='Tasks Filter'!$L$5),OR('Tasks Filter'!$O$3="",BD862='Tasks Filter'!$O$3),OR('Tasks Filter'!$O$4="Yes",BG862=0)),1,0))</f>
        <v/>
      </c>
      <c r="BJ862">
        <f>IF(BH862=0,"",IF('Tasks Filter'!$F$6="Descending",-1,1)*CHOOSE(MATCH('Tasks Filter'!$F$5,Lists!$G$2:$G$6,0),AW862,BF862,IFERROR(MATCH(AV862,Setup!$F$6:$F$15,0),99),IFERROR(MATCH(BC862,Setup!$H$6:$H$15,0),99),IFERROR(MATCH(AZ862,Setup!$J$6:$J$11,0),99))*1E+9+(AW862-40000)*10000+861)</f>
        <v/>
      </c>
      <c r="BK862">
        <f>IF(BI862=1,BJ862,"")</f>
        <v/>
      </c>
      <c r="BL862">
        <f>IF(AND(BH862=1,BG862=0,N(AW862)&lt;Setup!$D$7),(AW862-40000)*10000+861,"")</f>
        <v/>
      </c>
      <c r="BM862">
        <f>IF(AND(BH862=1,AZ862&lt;&gt;"Cancelled",N(AW862)&gt;=Dashboard!$AB$3,N(AW862)&lt;=Dashboard!$AB$3+6),(AW862-40000)*100000+BF862*10000+861,"")</f>
        <v/>
      </c>
      <c r="BN862">
        <f>IF(AND(BH862=1,AZ862&lt;&gt;"Cancelled"),BF862*10000+861,"")</f>
        <v/>
      </c>
    </row>
    <row r="863">
      <c r="AS863" t="inlineStr">
        <is>
          <t>R</t>
        </is>
      </c>
      <c r="AT863" t="n">
        <v>867</v>
      </c>
      <c r="AU863">
        <f>'Recurring Log'!C867&amp;""</f>
        <v/>
      </c>
      <c r="AV863">
        <f>'Recurring Log'!D867&amp;""</f>
        <v/>
      </c>
      <c r="AW863">
        <f>IF('Recurring Log'!E867="","",'Recurring Log'!E867)</f>
        <v/>
      </c>
      <c r="AX863">
        <f>IF('Recurring Log'!G867="","",'Recurring Log'!G867)</f>
        <v/>
      </c>
      <c r="AY863">
        <f>IF('Recurring Log'!H867="","",'Recurring Log'!H867)</f>
        <v/>
      </c>
      <c r="AZ863">
        <f>IF(AU863="","",IF('Recurring Log'!J867="","Not Started",'Recurring Log'!J867))</f>
        <v/>
      </c>
      <c r="BA863">
        <f>'Recurring Log'!L867&amp;""</f>
        <v/>
      </c>
      <c r="BB863">
        <f>'Recurring Log'!M867&amp;""</f>
        <v/>
      </c>
      <c r="BC863">
        <f>'Recurring Log'!N867&amp;""</f>
        <v/>
      </c>
      <c r="BD863">
        <f>'Recurring Log'!O867&amp;""</f>
        <v/>
      </c>
      <c r="BE863">
        <f>IF('Recurring Log'!K867="","",'Recurring Log'!K867)</f>
        <v/>
      </c>
      <c r="BF863">
        <f>IFERROR(MATCH(BA863,Setup!$L$6:$L$9,0),5)</f>
        <v/>
      </c>
      <c r="BG863">
        <f>IF(OR(AZ863="Done",AZ863="Cancelled"),1,0)</f>
        <v/>
      </c>
      <c r="BH863">
        <f>IF(AND(AU863&lt;&gt;"",ISNUMBER(AW863)),1,0)</f>
        <v/>
      </c>
      <c r="BI863">
        <f>IF(BH863=0,0,IF(AND(AW863&gt;='Tasks Filter'!$F$3,AW863&lt;='Tasks Filter'!$F$4,OR('Tasks Filter'!$I$3="",ISNUMBER(SEARCH('Tasks Filter'!$I$3,AU863))),OR('Tasks Filter'!$I$4="",BF863=IFERROR(MATCH('Tasks Filter'!$I$4,Setup!$L$6:$L$9,0),0)),OR('Tasks Filter'!$I$5="Both",AND('Tasks Filter'!$I$5="Yes",BB863="✓"),AND('Tasks Filter'!$I$5="No",BB863&lt;&gt;"✓")),OR('Tasks Filter'!$L$3="",AV863='Tasks Filter'!$L$3),OR('Tasks Filter'!$L$4="",AZ863='Tasks Filter'!$L$4),OR('Tasks Filter'!$L$5="",BC863='Tasks Filter'!$L$5),OR('Tasks Filter'!$O$3="",BD863='Tasks Filter'!$O$3),OR('Tasks Filter'!$O$4="Yes",BG863=0)),1,0))</f>
        <v/>
      </c>
      <c r="BJ863">
        <f>IF(BH863=0,"",IF('Tasks Filter'!$F$6="Descending",-1,1)*CHOOSE(MATCH('Tasks Filter'!$F$5,Lists!$G$2:$G$6,0),AW863,BF863,IFERROR(MATCH(AV863,Setup!$F$6:$F$15,0),99),IFERROR(MATCH(BC863,Setup!$H$6:$H$15,0),99),IFERROR(MATCH(AZ863,Setup!$J$6:$J$11,0),99))*1E+9+(AW863-40000)*10000+862)</f>
        <v/>
      </c>
      <c r="BK863">
        <f>IF(BI863=1,BJ863,"")</f>
        <v/>
      </c>
      <c r="BL863">
        <f>IF(AND(BH863=1,BG863=0,N(AW863)&lt;Setup!$D$7),(AW863-40000)*10000+862,"")</f>
        <v/>
      </c>
      <c r="BM863">
        <f>IF(AND(BH863=1,AZ863&lt;&gt;"Cancelled",N(AW863)&gt;=Dashboard!$AB$3,N(AW863)&lt;=Dashboard!$AB$3+6),(AW863-40000)*100000+BF863*10000+862,"")</f>
        <v/>
      </c>
      <c r="BN863">
        <f>IF(AND(BH863=1,AZ863&lt;&gt;"Cancelled"),BF863*10000+862,"")</f>
        <v/>
      </c>
    </row>
    <row r="864">
      <c r="AS864" t="inlineStr">
        <is>
          <t>R</t>
        </is>
      </c>
      <c r="AT864" t="n">
        <v>868</v>
      </c>
      <c r="AU864">
        <f>'Recurring Log'!C868&amp;""</f>
        <v/>
      </c>
      <c r="AV864">
        <f>'Recurring Log'!D868&amp;""</f>
        <v/>
      </c>
      <c r="AW864">
        <f>IF('Recurring Log'!E868="","",'Recurring Log'!E868)</f>
        <v/>
      </c>
      <c r="AX864">
        <f>IF('Recurring Log'!G868="","",'Recurring Log'!G868)</f>
        <v/>
      </c>
      <c r="AY864">
        <f>IF('Recurring Log'!H868="","",'Recurring Log'!H868)</f>
        <v/>
      </c>
      <c r="AZ864">
        <f>IF(AU864="","",IF('Recurring Log'!J868="","Not Started",'Recurring Log'!J868))</f>
        <v/>
      </c>
      <c r="BA864">
        <f>'Recurring Log'!L868&amp;""</f>
        <v/>
      </c>
      <c r="BB864">
        <f>'Recurring Log'!M868&amp;""</f>
        <v/>
      </c>
      <c r="BC864">
        <f>'Recurring Log'!N868&amp;""</f>
        <v/>
      </c>
      <c r="BD864">
        <f>'Recurring Log'!O868&amp;""</f>
        <v/>
      </c>
      <c r="BE864">
        <f>IF('Recurring Log'!K868="","",'Recurring Log'!K868)</f>
        <v/>
      </c>
      <c r="BF864">
        <f>IFERROR(MATCH(BA864,Setup!$L$6:$L$9,0),5)</f>
        <v/>
      </c>
      <c r="BG864">
        <f>IF(OR(AZ864="Done",AZ864="Cancelled"),1,0)</f>
        <v/>
      </c>
      <c r="BH864">
        <f>IF(AND(AU864&lt;&gt;"",ISNUMBER(AW864)),1,0)</f>
        <v/>
      </c>
      <c r="BI864">
        <f>IF(BH864=0,0,IF(AND(AW864&gt;='Tasks Filter'!$F$3,AW864&lt;='Tasks Filter'!$F$4,OR('Tasks Filter'!$I$3="",ISNUMBER(SEARCH('Tasks Filter'!$I$3,AU864))),OR('Tasks Filter'!$I$4="",BF864=IFERROR(MATCH('Tasks Filter'!$I$4,Setup!$L$6:$L$9,0),0)),OR('Tasks Filter'!$I$5="Both",AND('Tasks Filter'!$I$5="Yes",BB864="✓"),AND('Tasks Filter'!$I$5="No",BB864&lt;&gt;"✓")),OR('Tasks Filter'!$L$3="",AV864='Tasks Filter'!$L$3),OR('Tasks Filter'!$L$4="",AZ864='Tasks Filter'!$L$4),OR('Tasks Filter'!$L$5="",BC864='Tasks Filter'!$L$5),OR('Tasks Filter'!$O$3="",BD864='Tasks Filter'!$O$3),OR('Tasks Filter'!$O$4="Yes",BG864=0)),1,0))</f>
        <v/>
      </c>
      <c r="BJ864">
        <f>IF(BH864=0,"",IF('Tasks Filter'!$F$6="Descending",-1,1)*CHOOSE(MATCH('Tasks Filter'!$F$5,Lists!$G$2:$G$6,0),AW864,BF864,IFERROR(MATCH(AV864,Setup!$F$6:$F$15,0),99),IFERROR(MATCH(BC864,Setup!$H$6:$H$15,0),99),IFERROR(MATCH(AZ864,Setup!$J$6:$J$11,0),99))*1E+9+(AW864-40000)*10000+863)</f>
        <v/>
      </c>
      <c r="BK864">
        <f>IF(BI864=1,BJ864,"")</f>
        <v/>
      </c>
      <c r="BL864">
        <f>IF(AND(BH864=1,BG864=0,N(AW864)&lt;Setup!$D$7),(AW864-40000)*10000+863,"")</f>
        <v/>
      </c>
      <c r="BM864">
        <f>IF(AND(BH864=1,AZ864&lt;&gt;"Cancelled",N(AW864)&gt;=Dashboard!$AB$3,N(AW864)&lt;=Dashboard!$AB$3+6),(AW864-40000)*100000+BF864*10000+863,"")</f>
        <v/>
      </c>
      <c r="BN864">
        <f>IF(AND(BH864=1,AZ864&lt;&gt;"Cancelled"),BF864*10000+863,"")</f>
        <v/>
      </c>
    </row>
    <row r="865">
      <c r="AS865" t="inlineStr">
        <is>
          <t>R</t>
        </is>
      </c>
      <c r="AT865" t="n">
        <v>869</v>
      </c>
      <c r="AU865">
        <f>'Recurring Log'!C869&amp;""</f>
        <v/>
      </c>
      <c r="AV865">
        <f>'Recurring Log'!D869&amp;""</f>
        <v/>
      </c>
      <c r="AW865">
        <f>IF('Recurring Log'!E869="","",'Recurring Log'!E869)</f>
        <v/>
      </c>
      <c r="AX865">
        <f>IF('Recurring Log'!G869="","",'Recurring Log'!G869)</f>
        <v/>
      </c>
      <c r="AY865">
        <f>IF('Recurring Log'!H869="","",'Recurring Log'!H869)</f>
        <v/>
      </c>
      <c r="AZ865">
        <f>IF(AU865="","",IF('Recurring Log'!J869="","Not Started",'Recurring Log'!J869))</f>
        <v/>
      </c>
      <c r="BA865">
        <f>'Recurring Log'!L869&amp;""</f>
        <v/>
      </c>
      <c r="BB865">
        <f>'Recurring Log'!M869&amp;""</f>
        <v/>
      </c>
      <c r="BC865">
        <f>'Recurring Log'!N869&amp;""</f>
        <v/>
      </c>
      <c r="BD865">
        <f>'Recurring Log'!O869&amp;""</f>
        <v/>
      </c>
      <c r="BE865">
        <f>IF('Recurring Log'!K869="","",'Recurring Log'!K869)</f>
        <v/>
      </c>
      <c r="BF865">
        <f>IFERROR(MATCH(BA865,Setup!$L$6:$L$9,0),5)</f>
        <v/>
      </c>
      <c r="BG865">
        <f>IF(OR(AZ865="Done",AZ865="Cancelled"),1,0)</f>
        <v/>
      </c>
      <c r="BH865">
        <f>IF(AND(AU865&lt;&gt;"",ISNUMBER(AW865)),1,0)</f>
        <v/>
      </c>
      <c r="BI865">
        <f>IF(BH865=0,0,IF(AND(AW865&gt;='Tasks Filter'!$F$3,AW865&lt;='Tasks Filter'!$F$4,OR('Tasks Filter'!$I$3="",ISNUMBER(SEARCH('Tasks Filter'!$I$3,AU865))),OR('Tasks Filter'!$I$4="",BF865=IFERROR(MATCH('Tasks Filter'!$I$4,Setup!$L$6:$L$9,0),0)),OR('Tasks Filter'!$I$5="Both",AND('Tasks Filter'!$I$5="Yes",BB865="✓"),AND('Tasks Filter'!$I$5="No",BB865&lt;&gt;"✓")),OR('Tasks Filter'!$L$3="",AV865='Tasks Filter'!$L$3),OR('Tasks Filter'!$L$4="",AZ865='Tasks Filter'!$L$4),OR('Tasks Filter'!$L$5="",BC865='Tasks Filter'!$L$5),OR('Tasks Filter'!$O$3="",BD865='Tasks Filter'!$O$3),OR('Tasks Filter'!$O$4="Yes",BG865=0)),1,0))</f>
        <v/>
      </c>
      <c r="BJ865">
        <f>IF(BH865=0,"",IF('Tasks Filter'!$F$6="Descending",-1,1)*CHOOSE(MATCH('Tasks Filter'!$F$5,Lists!$G$2:$G$6,0),AW865,BF865,IFERROR(MATCH(AV865,Setup!$F$6:$F$15,0),99),IFERROR(MATCH(BC865,Setup!$H$6:$H$15,0),99),IFERROR(MATCH(AZ865,Setup!$J$6:$J$11,0),99))*1E+9+(AW865-40000)*10000+864)</f>
        <v/>
      </c>
      <c r="BK865">
        <f>IF(BI865=1,BJ865,"")</f>
        <v/>
      </c>
      <c r="BL865">
        <f>IF(AND(BH865=1,BG865=0,N(AW865)&lt;Setup!$D$7),(AW865-40000)*10000+864,"")</f>
        <v/>
      </c>
      <c r="BM865">
        <f>IF(AND(BH865=1,AZ865&lt;&gt;"Cancelled",N(AW865)&gt;=Dashboard!$AB$3,N(AW865)&lt;=Dashboard!$AB$3+6),(AW865-40000)*100000+BF865*10000+864,"")</f>
        <v/>
      </c>
      <c r="BN865">
        <f>IF(AND(BH865=1,AZ865&lt;&gt;"Cancelled"),BF865*10000+864,"")</f>
        <v/>
      </c>
    </row>
    <row r="866">
      <c r="AS866" t="inlineStr">
        <is>
          <t>R</t>
        </is>
      </c>
      <c r="AT866" t="n">
        <v>870</v>
      </c>
      <c r="AU866">
        <f>'Recurring Log'!C870&amp;""</f>
        <v/>
      </c>
      <c r="AV866">
        <f>'Recurring Log'!D870&amp;""</f>
        <v/>
      </c>
      <c r="AW866">
        <f>IF('Recurring Log'!E870="","",'Recurring Log'!E870)</f>
        <v/>
      </c>
      <c r="AX866">
        <f>IF('Recurring Log'!G870="","",'Recurring Log'!G870)</f>
        <v/>
      </c>
      <c r="AY866">
        <f>IF('Recurring Log'!H870="","",'Recurring Log'!H870)</f>
        <v/>
      </c>
      <c r="AZ866">
        <f>IF(AU866="","",IF('Recurring Log'!J870="","Not Started",'Recurring Log'!J870))</f>
        <v/>
      </c>
      <c r="BA866">
        <f>'Recurring Log'!L870&amp;""</f>
        <v/>
      </c>
      <c r="BB866">
        <f>'Recurring Log'!M870&amp;""</f>
        <v/>
      </c>
      <c r="BC866">
        <f>'Recurring Log'!N870&amp;""</f>
        <v/>
      </c>
      <c r="BD866">
        <f>'Recurring Log'!O870&amp;""</f>
        <v/>
      </c>
      <c r="BE866">
        <f>IF('Recurring Log'!K870="","",'Recurring Log'!K870)</f>
        <v/>
      </c>
      <c r="BF866">
        <f>IFERROR(MATCH(BA866,Setup!$L$6:$L$9,0),5)</f>
        <v/>
      </c>
      <c r="BG866">
        <f>IF(OR(AZ866="Done",AZ866="Cancelled"),1,0)</f>
        <v/>
      </c>
      <c r="BH866">
        <f>IF(AND(AU866&lt;&gt;"",ISNUMBER(AW866)),1,0)</f>
        <v/>
      </c>
      <c r="BI866">
        <f>IF(BH866=0,0,IF(AND(AW866&gt;='Tasks Filter'!$F$3,AW866&lt;='Tasks Filter'!$F$4,OR('Tasks Filter'!$I$3="",ISNUMBER(SEARCH('Tasks Filter'!$I$3,AU866))),OR('Tasks Filter'!$I$4="",BF866=IFERROR(MATCH('Tasks Filter'!$I$4,Setup!$L$6:$L$9,0),0)),OR('Tasks Filter'!$I$5="Both",AND('Tasks Filter'!$I$5="Yes",BB866="✓"),AND('Tasks Filter'!$I$5="No",BB866&lt;&gt;"✓")),OR('Tasks Filter'!$L$3="",AV866='Tasks Filter'!$L$3),OR('Tasks Filter'!$L$4="",AZ866='Tasks Filter'!$L$4),OR('Tasks Filter'!$L$5="",BC866='Tasks Filter'!$L$5),OR('Tasks Filter'!$O$3="",BD866='Tasks Filter'!$O$3),OR('Tasks Filter'!$O$4="Yes",BG866=0)),1,0))</f>
        <v/>
      </c>
      <c r="BJ866">
        <f>IF(BH866=0,"",IF('Tasks Filter'!$F$6="Descending",-1,1)*CHOOSE(MATCH('Tasks Filter'!$F$5,Lists!$G$2:$G$6,0),AW866,BF866,IFERROR(MATCH(AV866,Setup!$F$6:$F$15,0),99),IFERROR(MATCH(BC866,Setup!$H$6:$H$15,0),99),IFERROR(MATCH(AZ866,Setup!$J$6:$J$11,0),99))*1E+9+(AW866-40000)*10000+865)</f>
        <v/>
      </c>
      <c r="BK866">
        <f>IF(BI866=1,BJ866,"")</f>
        <v/>
      </c>
      <c r="BL866">
        <f>IF(AND(BH866=1,BG866=0,N(AW866)&lt;Setup!$D$7),(AW866-40000)*10000+865,"")</f>
        <v/>
      </c>
      <c r="BM866">
        <f>IF(AND(BH866=1,AZ866&lt;&gt;"Cancelled",N(AW866)&gt;=Dashboard!$AB$3,N(AW866)&lt;=Dashboard!$AB$3+6),(AW866-40000)*100000+BF866*10000+865,"")</f>
        <v/>
      </c>
      <c r="BN866">
        <f>IF(AND(BH866=1,AZ866&lt;&gt;"Cancelled"),BF866*10000+865,"")</f>
        <v/>
      </c>
    </row>
    <row r="867">
      <c r="AS867" t="inlineStr">
        <is>
          <t>R</t>
        </is>
      </c>
      <c r="AT867" t="n">
        <v>871</v>
      </c>
      <c r="AU867">
        <f>'Recurring Log'!C871&amp;""</f>
        <v/>
      </c>
      <c r="AV867">
        <f>'Recurring Log'!D871&amp;""</f>
        <v/>
      </c>
      <c r="AW867">
        <f>IF('Recurring Log'!E871="","",'Recurring Log'!E871)</f>
        <v/>
      </c>
      <c r="AX867">
        <f>IF('Recurring Log'!G871="","",'Recurring Log'!G871)</f>
        <v/>
      </c>
      <c r="AY867">
        <f>IF('Recurring Log'!H871="","",'Recurring Log'!H871)</f>
        <v/>
      </c>
      <c r="AZ867">
        <f>IF(AU867="","",IF('Recurring Log'!J871="","Not Started",'Recurring Log'!J871))</f>
        <v/>
      </c>
      <c r="BA867">
        <f>'Recurring Log'!L871&amp;""</f>
        <v/>
      </c>
      <c r="BB867">
        <f>'Recurring Log'!M871&amp;""</f>
        <v/>
      </c>
      <c r="BC867">
        <f>'Recurring Log'!N871&amp;""</f>
        <v/>
      </c>
      <c r="BD867">
        <f>'Recurring Log'!O871&amp;""</f>
        <v/>
      </c>
      <c r="BE867">
        <f>IF('Recurring Log'!K871="","",'Recurring Log'!K871)</f>
        <v/>
      </c>
      <c r="BF867">
        <f>IFERROR(MATCH(BA867,Setup!$L$6:$L$9,0),5)</f>
        <v/>
      </c>
      <c r="BG867">
        <f>IF(OR(AZ867="Done",AZ867="Cancelled"),1,0)</f>
        <v/>
      </c>
      <c r="BH867">
        <f>IF(AND(AU867&lt;&gt;"",ISNUMBER(AW867)),1,0)</f>
        <v/>
      </c>
      <c r="BI867">
        <f>IF(BH867=0,0,IF(AND(AW867&gt;='Tasks Filter'!$F$3,AW867&lt;='Tasks Filter'!$F$4,OR('Tasks Filter'!$I$3="",ISNUMBER(SEARCH('Tasks Filter'!$I$3,AU867))),OR('Tasks Filter'!$I$4="",BF867=IFERROR(MATCH('Tasks Filter'!$I$4,Setup!$L$6:$L$9,0),0)),OR('Tasks Filter'!$I$5="Both",AND('Tasks Filter'!$I$5="Yes",BB867="✓"),AND('Tasks Filter'!$I$5="No",BB867&lt;&gt;"✓")),OR('Tasks Filter'!$L$3="",AV867='Tasks Filter'!$L$3),OR('Tasks Filter'!$L$4="",AZ867='Tasks Filter'!$L$4),OR('Tasks Filter'!$L$5="",BC867='Tasks Filter'!$L$5),OR('Tasks Filter'!$O$3="",BD867='Tasks Filter'!$O$3),OR('Tasks Filter'!$O$4="Yes",BG867=0)),1,0))</f>
        <v/>
      </c>
      <c r="BJ867">
        <f>IF(BH867=0,"",IF('Tasks Filter'!$F$6="Descending",-1,1)*CHOOSE(MATCH('Tasks Filter'!$F$5,Lists!$G$2:$G$6,0),AW867,BF867,IFERROR(MATCH(AV867,Setup!$F$6:$F$15,0),99),IFERROR(MATCH(BC867,Setup!$H$6:$H$15,0),99),IFERROR(MATCH(AZ867,Setup!$J$6:$J$11,0),99))*1E+9+(AW867-40000)*10000+866)</f>
        <v/>
      </c>
      <c r="BK867">
        <f>IF(BI867=1,BJ867,"")</f>
        <v/>
      </c>
      <c r="BL867">
        <f>IF(AND(BH867=1,BG867=0,N(AW867)&lt;Setup!$D$7),(AW867-40000)*10000+866,"")</f>
        <v/>
      </c>
      <c r="BM867">
        <f>IF(AND(BH867=1,AZ867&lt;&gt;"Cancelled",N(AW867)&gt;=Dashboard!$AB$3,N(AW867)&lt;=Dashboard!$AB$3+6),(AW867-40000)*100000+BF867*10000+866,"")</f>
        <v/>
      </c>
      <c r="BN867">
        <f>IF(AND(BH867=1,AZ867&lt;&gt;"Cancelled"),BF867*10000+866,"")</f>
        <v/>
      </c>
    </row>
    <row r="868">
      <c r="AS868" t="inlineStr">
        <is>
          <t>R</t>
        </is>
      </c>
      <c r="AT868" t="n">
        <v>872</v>
      </c>
      <c r="AU868">
        <f>'Recurring Log'!C872&amp;""</f>
        <v/>
      </c>
      <c r="AV868">
        <f>'Recurring Log'!D872&amp;""</f>
        <v/>
      </c>
      <c r="AW868">
        <f>IF('Recurring Log'!E872="","",'Recurring Log'!E872)</f>
        <v/>
      </c>
      <c r="AX868">
        <f>IF('Recurring Log'!G872="","",'Recurring Log'!G872)</f>
        <v/>
      </c>
      <c r="AY868">
        <f>IF('Recurring Log'!H872="","",'Recurring Log'!H872)</f>
        <v/>
      </c>
      <c r="AZ868">
        <f>IF(AU868="","",IF('Recurring Log'!J872="","Not Started",'Recurring Log'!J872))</f>
        <v/>
      </c>
      <c r="BA868">
        <f>'Recurring Log'!L872&amp;""</f>
        <v/>
      </c>
      <c r="BB868">
        <f>'Recurring Log'!M872&amp;""</f>
        <v/>
      </c>
      <c r="BC868">
        <f>'Recurring Log'!N872&amp;""</f>
        <v/>
      </c>
      <c r="BD868">
        <f>'Recurring Log'!O872&amp;""</f>
        <v/>
      </c>
      <c r="BE868">
        <f>IF('Recurring Log'!K872="","",'Recurring Log'!K872)</f>
        <v/>
      </c>
      <c r="BF868">
        <f>IFERROR(MATCH(BA868,Setup!$L$6:$L$9,0),5)</f>
        <v/>
      </c>
      <c r="BG868">
        <f>IF(OR(AZ868="Done",AZ868="Cancelled"),1,0)</f>
        <v/>
      </c>
      <c r="BH868">
        <f>IF(AND(AU868&lt;&gt;"",ISNUMBER(AW868)),1,0)</f>
        <v/>
      </c>
      <c r="BI868">
        <f>IF(BH868=0,0,IF(AND(AW868&gt;='Tasks Filter'!$F$3,AW868&lt;='Tasks Filter'!$F$4,OR('Tasks Filter'!$I$3="",ISNUMBER(SEARCH('Tasks Filter'!$I$3,AU868))),OR('Tasks Filter'!$I$4="",BF868=IFERROR(MATCH('Tasks Filter'!$I$4,Setup!$L$6:$L$9,0),0)),OR('Tasks Filter'!$I$5="Both",AND('Tasks Filter'!$I$5="Yes",BB868="✓"),AND('Tasks Filter'!$I$5="No",BB868&lt;&gt;"✓")),OR('Tasks Filter'!$L$3="",AV868='Tasks Filter'!$L$3),OR('Tasks Filter'!$L$4="",AZ868='Tasks Filter'!$L$4),OR('Tasks Filter'!$L$5="",BC868='Tasks Filter'!$L$5),OR('Tasks Filter'!$O$3="",BD868='Tasks Filter'!$O$3),OR('Tasks Filter'!$O$4="Yes",BG868=0)),1,0))</f>
        <v/>
      </c>
      <c r="BJ868">
        <f>IF(BH868=0,"",IF('Tasks Filter'!$F$6="Descending",-1,1)*CHOOSE(MATCH('Tasks Filter'!$F$5,Lists!$G$2:$G$6,0),AW868,BF868,IFERROR(MATCH(AV868,Setup!$F$6:$F$15,0),99),IFERROR(MATCH(BC868,Setup!$H$6:$H$15,0),99),IFERROR(MATCH(AZ868,Setup!$J$6:$J$11,0),99))*1E+9+(AW868-40000)*10000+867)</f>
        <v/>
      </c>
      <c r="BK868">
        <f>IF(BI868=1,BJ868,"")</f>
        <v/>
      </c>
      <c r="BL868">
        <f>IF(AND(BH868=1,BG868=0,N(AW868)&lt;Setup!$D$7),(AW868-40000)*10000+867,"")</f>
        <v/>
      </c>
      <c r="BM868">
        <f>IF(AND(BH868=1,AZ868&lt;&gt;"Cancelled",N(AW868)&gt;=Dashboard!$AB$3,N(AW868)&lt;=Dashboard!$AB$3+6),(AW868-40000)*100000+BF868*10000+867,"")</f>
        <v/>
      </c>
      <c r="BN868">
        <f>IF(AND(BH868=1,AZ868&lt;&gt;"Cancelled"),BF868*10000+867,"")</f>
        <v/>
      </c>
    </row>
    <row r="869">
      <c r="AS869" t="inlineStr">
        <is>
          <t>R</t>
        </is>
      </c>
      <c r="AT869" t="n">
        <v>873</v>
      </c>
      <c r="AU869">
        <f>'Recurring Log'!C873&amp;""</f>
        <v/>
      </c>
      <c r="AV869">
        <f>'Recurring Log'!D873&amp;""</f>
        <v/>
      </c>
      <c r="AW869">
        <f>IF('Recurring Log'!E873="","",'Recurring Log'!E873)</f>
        <v/>
      </c>
      <c r="AX869">
        <f>IF('Recurring Log'!G873="","",'Recurring Log'!G873)</f>
        <v/>
      </c>
      <c r="AY869">
        <f>IF('Recurring Log'!H873="","",'Recurring Log'!H873)</f>
        <v/>
      </c>
      <c r="AZ869">
        <f>IF(AU869="","",IF('Recurring Log'!J873="","Not Started",'Recurring Log'!J873))</f>
        <v/>
      </c>
      <c r="BA869">
        <f>'Recurring Log'!L873&amp;""</f>
        <v/>
      </c>
      <c r="BB869">
        <f>'Recurring Log'!M873&amp;""</f>
        <v/>
      </c>
      <c r="BC869">
        <f>'Recurring Log'!N873&amp;""</f>
        <v/>
      </c>
      <c r="BD869">
        <f>'Recurring Log'!O873&amp;""</f>
        <v/>
      </c>
      <c r="BE869">
        <f>IF('Recurring Log'!K873="","",'Recurring Log'!K873)</f>
        <v/>
      </c>
      <c r="BF869">
        <f>IFERROR(MATCH(BA869,Setup!$L$6:$L$9,0),5)</f>
        <v/>
      </c>
      <c r="BG869">
        <f>IF(OR(AZ869="Done",AZ869="Cancelled"),1,0)</f>
        <v/>
      </c>
      <c r="BH869">
        <f>IF(AND(AU869&lt;&gt;"",ISNUMBER(AW869)),1,0)</f>
        <v/>
      </c>
      <c r="BI869">
        <f>IF(BH869=0,0,IF(AND(AW869&gt;='Tasks Filter'!$F$3,AW869&lt;='Tasks Filter'!$F$4,OR('Tasks Filter'!$I$3="",ISNUMBER(SEARCH('Tasks Filter'!$I$3,AU869))),OR('Tasks Filter'!$I$4="",BF869=IFERROR(MATCH('Tasks Filter'!$I$4,Setup!$L$6:$L$9,0),0)),OR('Tasks Filter'!$I$5="Both",AND('Tasks Filter'!$I$5="Yes",BB869="✓"),AND('Tasks Filter'!$I$5="No",BB869&lt;&gt;"✓")),OR('Tasks Filter'!$L$3="",AV869='Tasks Filter'!$L$3),OR('Tasks Filter'!$L$4="",AZ869='Tasks Filter'!$L$4),OR('Tasks Filter'!$L$5="",BC869='Tasks Filter'!$L$5),OR('Tasks Filter'!$O$3="",BD869='Tasks Filter'!$O$3),OR('Tasks Filter'!$O$4="Yes",BG869=0)),1,0))</f>
        <v/>
      </c>
      <c r="BJ869">
        <f>IF(BH869=0,"",IF('Tasks Filter'!$F$6="Descending",-1,1)*CHOOSE(MATCH('Tasks Filter'!$F$5,Lists!$G$2:$G$6,0),AW869,BF869,IFERROR(MATCH(AV869,Setup!$F$6:$F$15,0),99),IFERROR(MATCH(BC869,Setup!$H$6:$H$15,0),99),IFERROR(MATCH(AZ869,Setup!$J$6:$J$11,0),99))*1E+9+(AW869-40000)*10000+868)</f>
        <v/>
      </c>
      <c r="BK869">
        <f>IF(BI869=1,BJ869,"")</f>
        <v/>
      </c>
      <c r="BL869">
        <f>IF(AND(BH869=1,BG869=0,N(AW869)&lt;Setup!$D$7),(AW869-40000)*10000+868,"")</f>
        <v/>
      </c>
      <c r="BM869">
        <f>IF(AND(BH869=1,AZ869&lt;&gt;"Cancelled",N(AW869)&gt;=Dashboard!$AB$3,N(AW869)&lt;=Dashboard!$AB$3+6),(AW869-40000)*100000+BF869*10000+868,"")</f>
        <v/>
      </c>
      <c r="BN869">
        <f>IF(AND(BH869=1,AZ869&lt;&gt;"Cancelled"),BF869*10000+868,"")</f>
        <v/>
      </c>
    </row>
    <row r="870">
      <c r="AS870" t="inlineStr">
        <is>
          <t>R</t>
        </is>
      </c>
      <c r="AT870" t="n">
        <v>874</v>
      </c>
      <c r="AU870">
        <f>'Recurring Log'!C874&amp;""</f>
        <v/>
      </c>
      <c r="AV870">
        <f>'Recurring Log'!D874&amp;""</f>
        <v/>
      </c>
      <c r="AW870">
        <f>IF('Recurring Log'!E874="","",'Recurring Log'!E874)</f>
        <v/>
      </c>
      <c r="AX870">
        <f>IF('Recurring Log'!G874="","",'Recurring Log'!G874)</f>
        <v/>
      </c>
      <c r="AY870">
        <f>IF('Recurring Log'!H874="","",'Recurring Log'!H874)</f>
        <v/>
      </c>
      <c r="AZ870">
        <f>IF(AU870="","",IF('Recurring Log'!J874="","Not Started",'Recurring Log'!J874))</f>
        <v/>
      </c>
      <c r="BA870">
        <f>'Recurring Log'!L874&amp;""</f>
        <v/>
      </c>
      <c r="BB870">
        <f>'Recurring Log'!M874&amp;""</f>
        <v/>
      </c>
      <c r="BC870">
        <f>'Recurring Log'!N874&amp;""</f>
        <v/>
      </c>
      <c r="BD870">
        <f>'Recurring Log'!O874&amp;""</f>
        <v/>
      </c>
      <c r="BE870">
        <f>IF('Recurring Log'!K874="","",'Recurring Log'!K874)</f>
        <v/>
      </c>
      <c r="BF870">
        <f>IFERROR(MATCH(BA870,Setup!$L$6:$L$9,0),5)</f>
        <v/>
      </c>
      <c r="BG870">
        <f>IF(OR(AZ870="Done",AZ870="Cancelled"),1,0)</f>
        <v/>
      </c>
      <c r="BH870">
        <f>IF(AND(AU870&lt;&gt;"",ISNUMBER(AW870)),1,0)</f>
        <v/>
      </c>
      <c r="BI870">
        <f>IF(BH870=0,0,IF(AND(AW870&gt;='Tasks Filter'!$F$3,AW870&lt;='Tasks Filter'!$F$4,OR('Tasks Filter'!$I$3="",ISNUMBER(SEARCH('Tasks Filter'!$I$3,AU870))),OR('Tasks Filter'!$I$4="",BF870=IFERROR(MATCH('Tasks Filter'!$I$4,Setup!$L$6:$L$9,0),0)),OR('Tasks Filter'!$I$5="Both",AND('Tasks Filter'!$I$5="Yes",BB870="✓"),AND('Tasks Filter'!$I$5="No",BB870&lt;&gt;"✓")),OR('Tasks Filter'!$L$3="",AV870='Tasks Filter'!$L$3),OR('Tasks Filter'!$L$4="",AZ870='Tasks Filter'!$L$4),OR('Tasks Filter'!$L$5="",BC870='Tasks Filter'!$L$5),OR('Tasks Filter'!$O$3="",BD870='Tasks Filter'!$O$3),OR('Tasks Filter'!$O$4="Yes",BG870=0)),1,0))</f>
        <v/>
      </c>
      <c r="BJ870">
        <f>IF(BH870=0,"",IF('Tasks Filter'!$F$6="Descending",-1,1)*CHOOSE(MATCH('Tasks Filter'!$F$5,Lists!$G$2:$G$6,0),AW870,BF870,IFERROR(MATCH(AV870,Setup!$F$6:$F$15,0),99),IFERROR(MATCH(BC870,Setup!$H$6:$H$15,0),99),IFERROR(MATCH(AZ870,Setup!$J$6:$J$11,0),99))*1E+9+(AW870-40000)*10000+869)</f>
        <v/>
      </c>
      <c r="BK870">
        <f>IF(BI870=1,BJ870,"")</f>
        <v/>
      </c>
      <c r="BL870">
        <f>IF(AND(BH870=1,BG870=0,N(AW870)&lt;Setup!$D$7),(AW870-40000)*10000+869,"")</f>
        <v/>
      </c>
      <c r="BM870">
        <f>IF(AND(BH870=1,AZ870&lt;&gt;"Cancelled",N(AW870)&gt;=Dashboard!$AB$3,N(AW870)&lt;=Dashboard!$AB$3+6),(AW870-40000)*100000+BF870*10000+869,"")</f>
        <v/>
      </c>
      <c r="BN870">
        <f>IF(AND(BH870=1,AZ870&lt;&gt;"Cancelled"),BF870*10000+869,"")</f>
        <v/>
      </c>
    </row>
    <row r="871">
      <c r="AS871" t="inlineStr">
        <is>
          <t>R</t>
        </is>
      </c>
      <c r="AT871" t="n">
        <v>875</v>
      </c>
      <c r="AU871">
        <f>'Recurring Log'!C875&amp;""</f>
        <v/>
      </c>
      <c r="AV871">
        <f>'Recurring Log'!D875&amp;""</f>
        <v/>
      </c>
      <c r="AW871">
        <f>IF('Recurring Log'!E875="","",'Recurring Log'!E875)</f>
        <v/>
      </c>
      <c r="AX871">
        <f>IF('Recurring Log'!G875="","",'Recurring Log'!G875)</f>
        <v/>
      </c>
      <c r="AY871">
        <f>IF('Recurring Log'!H875="","",'Recurring Log'!H875)</f>
        <v/>
      </c>
      <c r="AZ871">
        <f>IF(AU871="","",IF('Recurring Log'!J875="","Not Started",'Recurring Log'!J875))</f>
        <v/>
      </c>
      <c r="BA871">
        <f>'Recurring Log'!L875&amp;""</f>
        <v/>
      </c>
      <c r="BB871">
        <f>'Recurring Log'!M875&amp;""</f>
        <v/>
      </c>
      <c r="BC871">
        <f>'Recurring Log'!N875&amp;""</f>
        <v/>
      </c>
      <c r="BD871">
        <f>'Recurring Log'!O875&amp;""</f>
        <v/>
      </c>
      <c r="BE871">
        <f>IF('Recurring Log'!K875="","",'Recurring Log'!K875)</f>
        <v/>
      </c>
      <c r="BF871">
        <f>IFERROR(MATCH(BA871,Setup!$L$6:$L$9,0),5)</f>
        <v/>
      </c>
      <c r="BG871">
        <f>IF(OR(AZ871="Done",AZ871="Cancelled"),1,0)</f>
        <v/>
      </c>
      <c r="BH871">
        <f>IF(AND(AU871&lt;&gt;"",ISNUMBER(AW871)),1,0)</f>
        <v/>
      </c>
      <c r="BI871">
        <f>IF(BH871=0,0,IF(AND(AW871&gt;='Tasks Filter'!$F$3,AW871&lt;='Tasks Filter'!$F$4,OR('Tasks Filter'!$I$3="",ISNUMBER(SEARCH('Tasks Filter'!$I$3,AU871))),OR('Tasks Filter'!$I$4="",BF871=IFERROR(MATCH('Tasks Filter'!$I$4,Setup!$L$6:$L$9,0),0)),OR('Tasks Filter'!$I$5="Both",AND('Tasks Filter'!$I$5="Yes",BB871="✓"),AND('Tasks Filter'!$I$5="No",BB871&lt;&gt;"✓")),OR('Tasks Filter'!$L$3="",AV871='Tasks Filter'!$L$3),OR('Tasks Filter'!$L$4="",AZ871='Tasks Filter'!$L$4),OR('Tasks Filter'!$L$5="",BC871='Tasks Filter'!$L$5),OR('Tasks Filter'!$O$3="",BD871='Tasks Filter'!$O$3),OR('Tasks Filter'!$O$4="Yes",BG871=0)),1,0))</f>
        <v/>
      </c>
      <c r="BJ871">
        <f>IF(BH871=0,"",IF('Tasks Filter'!$F$6="Descending",-1,1)*CHOOSE(MATCH('Tasks Filter'!$F$5,Lists!$G$2:$G$6,0),AW871,BF871,IFERROR(MATCH(AV871,Setup!$F$6:$F$15,0),99),IFERROR(MATCH(BC871,Setup!$H$6:$H$15,0),99),IFERROR(MATCH(AZ871,Setup!$J$6:$J$11,0),99))*1E+9+(AW871-40000)*10000+870)</f>
        <v/>
      </c>
      <c r="BK871">
        <f>IF(BI871=1,BJ871,"")</f>
        <v/>
      </c>
      <c r="BL871">
        <f>IF(AND(BH871=1,BG871=0,N(AW871)&lt;Setup!$D$7),(AW871-40000)*10000+870,"")</f>
        <v/>
      </c>
      <c r="BM871">
        <f>IF(AND(BH871=1,AZ871&lt;&gt;"Cancelled",N(AW871)&gt;=Dashboard!$AB$3,N(AW871)&lt;=Dashboard!$AB$3+6),(AW871-40000)*100000+BF871*10000+870,"")</f>
        <v/>
      </c>
      <c r="BN871">
        <f>IF(AND(BH871=1,AZ871&lt;&gt;"Cancelled"),BF871*10000+870,"")</f>
        <v/>
      </c>
    </row>
    <row r="872">
      <c r="AS872" t="inlineStr">
        <is>
          <t>R</t>
        </is>
      </c>
      <c r="AT872" t="n">
        <v>876</v>
      </c>
      <c r="AU872">
        <f>'Recurring Log'!C876&amp;""</f>
        <v/>
      </c>
      <c r="AV872">
        <f>'Recurring Log'!D876&amp;""</f>
        <v/>
      </c>
      <c r="AW872">
        <f>IF('Recurring Log'!E876="","",'Recurring Log'!E876)</f>
        <v/>
      </c>
      <c r="AX872">
        <f>IF('Recurring Log'!G876="","",'Recurring Log'!G876)</f>
        <v/>
      </c>
      <c r="AY872">
        <f>IF('Recurring Log'!H876="","",'Recurring Log'!H876)</f>
        <v/>
      </c>
      <c r="AZ872">
        <f>IF(AU872="","",IF('Recurring Log'!J876="","Not Started",'Recurring Log'!J876))</f>
        <v/>
      </c>
      <c r="BA872">
        <f>'Recurring Log'!L876&amp;""</f>
        <v/>
      </c>
      <c r="BB872">
        <f>'Recurring Log'!M876&amp;""</f>
        <v/>
      </c>
      <c r="BC872">
        <f>'Recurring Log'!N876&amp;""</f>
        <v/>
      </c>
      <c r="BD872">
        <f>'Recurring Log'!O876&amp;""</f>
        <v/>
      </c>
      <c r="BE872">
        <f>IF('Recurring Log'!K876="","",'Recurring Log'!K876)</f>
        <v/>
      </c>
      <c r="BF872">
        <f>IFERROR(MATCH(BA872,Setup!$L$6:$L$9,0),5)</f>
        <v/>
      </c>
      <c r="BG872">
        <f>IF(OR(AZ872="Done",AZ872="Cancelled"),1,0)</f>
        <v/>
      </c>
      <c r="BH872">
        <f>IF(AND(AU872&lt;&gt;"",ISNUMBER(AW872)),1,0)</f>
        <v/>
      </c>
      <c r="BI872">
        <f>IF(BH872=0,0,IF(AND(AW872&gt;='Tasks Filter'!$F$3,AW872&lt;='Tasks Filter'!$F$4,OR('Tasks Filter'!$I$3="",ISNUMBER(SEARCH('Tasks Filter'!$I$3,AU872))),OR('Tasks Filter'!$I$4="",BF872=IFERROR(MATCH('Tasks Filter'!$I$4,Setup!$L$6:$L$9,0),0)),OR('Tasks Filter'!$I$5="Both",AND('Tasks Filter'!$I$5="Yes",BB872="✓"),AND('Tasks Filter'!$I$5="No",BB872&lt;&gt;"✓")),OR('Tasks Filter'!$L$3="",AV872='Tasks Filter'!$L$3),OR('Tasks Filter'!$L$4="",AZ872='Tasks Filter'!$L$4),OR('Tasks Filter'!$L$5="",BC872='Tasks Filter'!$L$5),OR('Tasks Filter'!$O$3="",BD872='Tasks Filter'!$O$3),OR('Tasks Filter'!$O$4="Yes",BG872=0)),1,0))</f>
        <v/>
      </c>
      <c r="BJ872">
        <f>IF(BH872=0,"",IF('Tasks Filter'!$F$6="Descending",-1,1)*CHOOSE(MATCH('Tasks Filter'!$F$5,Lists!$G$2:$G$6,0),AW872,BF872,IFERROR(MATCH(AV872,Setup!$F$6:$F$15,0),99),IFERROR(MATCH(BC872,Setup!$H$6:$H$15,0),99),IFERROR(MATCH(AZ872,Setup!$J$6:$J$11,0),99))*1E+9+(AW872-40000)*10000+871)</f>
        <v/>
      </c>
      <c r="BK872">
        <f>IF(BI872=1,BJ872,"")</f>
        <v/>
      </c>
      <c r="BL872">
        <f>IF(AND(BH872=1,BG872=0,N(AW872)&lt;Setup!$D$7),(AW872-40000)*10000+871,"")</f>
        <v/>
      </c>
      <c r="BM872">
        <f>IF(AND(BH872=1,AZ872&lt;&gt;"Cancelled",N(AW872)&gt;=Dashboard!$AB$3,N(AW872)&lt;=Dashboard!$AB$3+6),(AW872-40000)*100000+BF872*10000+871,"")</f>
        <v/>
      </c>
      <c r="BN872">
        <f>IF(AND(BH872=1,AZ872&lt;&gt;"Cancelled"),BF872*10000+871,"")</f>
        <v/>
      </c>
    </row>
    <row r="873">
      <c r="AS873" t="inlineStr">
        <is>
          <t>R</t>
        </is>
      </c>
      <c r="AT873" t="n">
        <v>877</v>
      </c>
      <c r="AU873">
        <f>'Recurring Log'!C877&amp;""</f>
        <v/>
      </c>
      <c r="AV873">
        <f>'Recurring Log'!D877&amp;""</f>
        <v/>
      </c>
      <c r="AW873">
        <f>IF('Recurring Log'!E877="","",'Recurring Log'!E877)</f>
        <v/>
      </c>
      <c r="AX873">
        <f>IF('Recurring Log'!G877="","",'Recurring Log'!G877)</f>
        <v/>
      </c>
      <c r="AY873">
        <f>IF('Recurring Log'!H877="","",'Recurring Log'!H877)</f>
        <v/>
      </c>
      <c r="AZ873">
        <f>IF(AU873="","",IF('Recurring Log'!J877="","Not Started",'Recurring Log'!J877))</f>
        <v/>
      </c>
      <c r="BA873">
        <f>'Recurring Log'!L877&amp;""</f>
        <v/>
      </c>
      <c r="BB873">
        <f>'Recurring Log'!M877&amp;""</f>
        <v/>
      </c>
      <c r="BC873">
        <f>'Recurring Log'!N877&amp;""</f>
        <v/>
      </c>
      <c r="BD873">
        <f>'Recurring Log'!O877&amp;""</f>
        <v/>
      </c>
      <c r="BE873">
        <f>IF('Recurring Log'!K877="","",'Recurring Log'!K877)</f>
        <v/>
      </c>
      <c r="BF873">
        <f>IFERROR(MATCH(BA873,Setup!$L$6:$L$9,0),5)</f>
        <v/>
      </c>
      <c r="BG873">
        <f>IF(OR(AZ873="Done",AZ873="Cancelled"),1,0)</f>
        <v/>
      </c>
      <c r="BH873">
        <f>IF(AND(AU873&lt;&gt;"",ISNUMBER(AW873)),1,0)</f>
        <v/>
      </c>
      <c r="BI873">
        <f>IF(BH873=0,0,IF(AND(AW873&gt;='Tasks Filter'!$F$3,AW873&lt;='Tasks Filter'!$F$4,OR('Tasks Filter'!$I$3="",ISNUMBER(SEARCH('Tasks Filter'!$I$3,AU873))),OR('Tasks Filter'!$I$4="",BF873=IFERROR(MATCH('Tasks Filter'!$I$4,Setup!$L$6:$L$9,0),0)),OR('Tasks Filter'!$I$5="Both",AND('Tasks Filter'!$I$5="Yes",BB873="✓"),AND('Tasks Filter'!$I$5="No",BB873&lt;&gt;"✓")),OR('Tasks Filter'!$L$3="",AV873='Tasks Filter'!$L$3),OR('Tasks Filter'!$L$4="",AZ873='Tasks Filter'!$L$4),OR('Tasks Filter'!$L$5="",BC873='Tasks Filter'!$L$5),OR('Tasks Filter'!$O$3="",BD873='Tasks Filter'!$O$3),OR('Tasks Filter'!$O$4="Yes",BG873=0)),1,0))</f>
        <v/>
      </c>
      <c r="BJ873">
        <f>IF(BH873=0,"",IF('Tasks Filter'!$F$6="Descending",-1,1)*CHOOSE(MATCH('Tasks Filter'!$F$5,Lists!$G$2:$G$6,0),AW873,BF873,IFERROR(MATCH(AV873,Setup!$F$6:$F$15,0),99),IFERROR(MATCH(BC873,Setup!$H$6:$H$15,0),99),IFERROR(MATCH(AZ873,Setup!$J$6:$J$11,0),99))*1E+9+(AW873-40000)*10000+872)</f>
        <v/>
      </c>
      <c r="BK873">
        <f>IF(BI873=1,BJ873,"")</f>
        <v/>
      </c>
      <c r="BL873">
        <f>IF(AND(BH873=1,BG873=0,N(AW873)&lt;Setup!$D$7),(AW873-40000)*10000+872,"")</f>
        <v/>
      </c>
      <c r="BM873">
        <f>IF(AND(BH873=1,AZ873&lt;&gt;"Cancelled",N(AW873)&gt;=Dashboard!$AB$3,N(AW873)&lt;=Dashboard!$AB$3+6),(AW873-40000)*100000+BF873*10000+872,"")</f>
        <v/>
      </c>
      <c r="BN873">
        <f>IF(AND(BH873=1,AZ873&lt;&gt;"Cancelled"),BF873*10000+872,"")</f>
        <v/>
      </c>
    </row>
    <row r="874">
      <c r="AS874" t="inlineStr">
        <is>
          <t>R</t>
        </is>
      </c>
      <c r="AT874" t="n">
        <v>878</v>
      </c>
      <c r="AU874">
        <f>'Recurring Log'!C878&amp;""</f>
        <v/>
      </c>
      <c r="AV874">
        <f>'Recurring Log'!D878&amp;""</f>
        <v/>
      </c>
      <c r="AW874">
        <f>IF('Recurring Log'!E878="","",'Recurring Log'!E878)</f>
        <v/>
      </c>
      <c r="AX874">
        <f>IF('Recurring Log'!G878="","",'Recurring Log'!G878)</f>
        <v/>
      </c>
      <c r="AY874">
        <f>IF('Recurring Log'!H878="","",'Recurring Log'!H878)</f>
        <v/>
      </c>
      <c r="AZ874">
        <f>IF(AU874="","",IF('Recurring Log'!J878="","Not Started",'Recurring Log'!J878))</f>
        <v/>
      </c>
      <c r="BA874">
        <f>'Recurring Log'!L878&amp;""</f>
        <v/>
      </c>
      <c r="BB874">
        <f>'Recurring Log'!M878&amp;""</f>
        <v/>
      </c>
      <c r="BC874">
        <f>'Recurring Log'!N878&amp;""</f>
        <v/>
      </c>
      <c r="BD874">
        <f>'Recurring Log'!O878&amp;""</f>
        <v/>
      </c>
      <c r="BE874">
        <f>IF('Recurring Log'!K878="","",'Recurring Log'!K878)</f>
        <v/>
      </c>
      <c r="BF874">
        <f>IFERROR(MATCH(BA874,Setup!$L$6:$L$9,0),5)</f>
        <v/>
      </c>
      <c r="BG874">
        <f>IF(OR(AZ874="Done",AZ874="Cancelled"),1,0)</f>
        <v/>
      </c>
      <c r="BH874">
        <f>IF(AND(AU874&lt;&gt;"",ISNUMBER(AW874)),1,0)</f>
        <v/>
      </c>
      <c r="BI874">
        <f>IF(BH874=0,0,IF(AND(AW874&gt;='Tasks Filter'!$F$3,AW874&lt;='Tasks Filter'!$F$4,OR('Tasks Filter'!$I$3="",ISNUMBER(SEARCH('Tasks Filter'!$I$3,AU874))),OR('Tasks Filter'!$I$4="",BF874=IFERROR(MATCH('Tasks Filter'!$I$4,Setup!$L$6:$L$9,0),0)),OR('Tasks Filter'!$I$5="Both",AND('Tasks Filter'!$I$5="Yes",BB874="✓"),AND('Tasks Filter'!$I$5="No",BB874&lt;&gt;"✓")),OR('Tasks Filter'!$L$3="",AV874='Tasks Filter'!$L$3),OR('Tasks Filter'!$L$4="",AZ874='Tasks Filter'!$L$4),OR('Tasks Filter'!$L$5="",BC874='Tasks Filter'!$L$5),OR('Tasks Filter'!$O$3="",BD874='Tasks Filter'!$O$3),OR('Tasks Filter'!$O$4="Yes",BG874=0)),1,0))</f>
        <v/>
      </c>
      <c r="BJ874">
        <f>IF(BH874=0,"",IF('Tasks Filter'!$F$6="Descending",-1,1)*CHOOSE(MATCH('Tasks Filter'!$F$5,Lists!$G$2:$G$6,0),AW874,BF874,IFERROR(MATCH(AV874,Setup!$F$6:$F$15,0),99),IFERROR(MATCH(BC874,Setup!$H$6:$H$15,0),99),IFERROR(MATCH(AZ874,Setup!$J$6:$J$11,0),99))*1E+9+(AW874-40000)*10000+873)</f>
        <v/>
      </c>
      <c r="BK874">
        <f>IF(BI874=1,BJ874,"")</f>
        <v/>
      </c>
      <c r="BL874">
        <f>IF(AND(BH874=1,BG874=0,N(AW874)&lt;Setup!$D$7),(AW874-40000)*10000+873,"")</f>
        <v/>
      </c>
      <c r="BM874">
        <f>IF(AND(BH874=1,AZ874&lt;&gt;"Cancelled",N(AW874)&gt;=Dashboard!$AB$3,N(AW874)&lt;=Dashboard!$AB$3+6),(AW874-40000)*100000+BF874*10000+873,"")</f>
        <v/>
      </c>
      <c r="BN874">
        <f>IF(AND(BH874=1,AZ874&lt;&gt;"Cancelled"),BF874*10000+873,"")</f>
        <v/>
      </c>
    </row>
    <row r="875">
      <c r="AS875" t="inlineStr">
        <is>
          <t>R</t>
        </is>
      </c>
      <c r="AT875" t="n">
        <v>879</v>
      </c>
      <c r="AU875">
        <f>'Recurring Log'!C879&amp;""</f>
        <v/>
      </c>
      <c r="AV875">
        <f>'Recurring Log'!D879&amp;""</f>
        <v/>
      </c>
      <c r="AW875">
        <f>IF('Recurring Log'!E879="","",'Recurring Log'!E879)</f>
        <v/>
      </c>
      <c r="AX875">
        <f>IF('Recurring Log'!G879="","",'Recurring Log'!G879)</f>
        <v/>
      </c>
      <c r="AY875">
        <f>IF('Recurring Log'!H879="","",'Recurring Log'!H879)</f>
        <v/>
      </c>
      <c r="AZ875">
        <f>IF(AU875="","",IF('Recurring Log'!J879="","Not Started",'Recurring Log'!J879))</f>
        <v/>
      </c>
      <c r="BA875">
        <f>'Recurring Log'!L879&amp;""</f>
        <v/>
      </c>
      <c r="BB875">
        <f>'Recurring Log'!M879&amp;""</f>
        <v/>
      </c>
      <c r="BC875">
        <f>'Recurring Log'!N879&amp;""</f>
        <v/>
      </c>
      <c r="BD875">
        <f>'Recurring Log'!O879&amp;""</f>
        <v/>
      </c>
      <c r="BE875">
        <f>IF('Recurring Log'!K879="","",'Recurring Log'!K879)</f>
        <v/>
      </c>
      <c r="BF875">
        <f>IFERROR(MATCH(BA875,Setup!$L$6:$L$9,0),5)</f>
        <v/>
      </c>
      <c r="BG875">
        <f>IF(OR(AZ875="Done",AZ875="Cancelled"),1,0)</f>
        <v/>
      </c>
      <c r="BH875">
        <f>IF(AND(AU875&lt;&gt;"",ISNUMBER(AW875)),1,0)</f>
        <v/>
      </c>
      <c r="BI875">
        <f>IF(BH875=0,0,IF(AND(AW875&gt;='Tasks Filter'!$F$3,AW875&lt;='Tasks Filter'!$F$4,OR('Tasks Filter'!$I$3="",ISNUMBER(SEARCH('Tasks Filter'!$I$3,AU875))),OR('Tasks Filter'!$I$4="",BF875=IFERROR(MATCH('Tasks Filter'!$I$4,Setup!$L$6:$L$9,0),0)),OR('Tasks Filter'!$I$5="Both",AND('Tasks Filter'!$I$5="Yes",BB875="✓"),AND('Tasks Filter'!$I$5="No",BB875&lt;&gt;"✓")),OR('Tasks Filter'!$L$3="",AV875='Tasks Filter'!$L$3),OR('Tasks Filter'!$L$4="",AZ875='Tasks Filter'!$L$4),OR('Tasks Filter'!$L$5="",BC875='Tasks Filter'!$L$5),OR('Tasks Filter'!$O$3="",BD875='Tasks Filter'!$O$3),OR('Tasks Filter'!$O$4="Yes",BG875=0)),1,0))</f>
        <v/>
      </c>
      <c r="BJ875">
        <f>IF(BH875=0,"",IF('Tasks Filter'!$F$6="Descending",-1,1)*CHOOSE(MATCH('Tasks Filter'!$F$5,Lists!$G$2:$G$6,0),AW875,BF875,IFERROR(MATCH(AV875,Setup!$F$6:$F$15,0),99),IFERROR(MATCH(BC875,Setup!$H$6:$H$15,0),99),IFERROR(MATCH(AZ875,Setup!$J$6:$J$11,0),99))*1E+9+(AW875-40000)*10000+874)</f>
        <v/>
      </c>
      <c r="BK875">
        <f>IF(BI875=1,BJ875,"")</f>
        <v/>
      </c>
      <c r="BL875">
        <f>IF(AND(BH875=1,BG875=0,N(AW875)&lt;Setup!$D$7),(AW875-40000)*10000+874,"")</f>
        <v/>
      </c>
      <c r="BM875">
        <f>IF(AND(BH875=1,AZ875&lt;&gt;"Cancelled",N(AW875)&gt;=Dashboard!$AB$3,N(AW875)&lt;=Dashboard!$AB$3+6),(AW875-40000)*100000+BF875*10000+874,"")</f>
        <v/>
      </c>
      <c r="BN875">
        <f>IF(AND(BH875=1,AZ875&lt;&gt;"Cancelled"),BF875*10000+874,"")</f>
        <v/>
      </c>
    </row>
    <row r="876">
      <c r="AS876" t="inlineStr">
        <is>
          <t>R</t>
        </is>
      </c>
      <c r="AT876" t="n">
        <v>880</v>
      </c>
      <c r="AU876">
        <f>'Recurring Log'!C880&amp;""</f>
        <v/>
      </c>
      <c r="AV876">
        <f>'Recurring Log'!D880&amp;""</f>
        <v/>
      </c>
      <c r="AW876">
        <f>IF('Recurring Log'!E880="","",'Recurring Log'!E880)</f>
        <v/>
      </c>
      <c r="AX876">
        <f>IF('Recurring Log'!G880="","",'Recurring Log'!G880)</f>
        <v/>
      </c>
      <c r="AY876">
        <f>IF('Recurring Log'!H880="","",'Recurring Log'!H880)</f>
        <v/>
      </c>
      <c r="AZ876">
        <f>IF(AU876="","",IF('Recurring Log'!J880="","Not Started",'Recurring Log'!J880))</f>
        <v/>
      </c>
      <c r="BA876">
        <f>'Recurring Log'!L880&amp;""</f>
        <v/>
      </c>
      <c r="BB876">
        <f>'Recurring Log'!M880&amp;""</f>
        <v/>
      </c>
      <c r="BC876">
        <f>'Recurring Log'!N880&amp;""</f>
        <v/>
      </c>
      <c r="BD876">
        <f>'Recurring Log'!O880&amp;""</f>
        <v/>
      </c>
      <c r="BE876">
        <f>IF('Recurring Log'!K880="","",'Recurring Log'!K880)</f>
        <v/>
      </c>
      <c r="BF876">
        <f>IFERROR(MATCH(BA876,Setup!$L$6:$L$9,0),5)</f>
        <v/>
      </c>
      <c r="BG876">
        <f>IF(OR(AZ876="Done",AZ876="Cancelled"),1,0)</f>
        <v/>
      </c>
      <c r="BH876">
        <f>IF(AND(AU876&lt;&gt;"",ISNUMBER(AW876)),1,0)</f>
        <v/>
      </c>
      <c r="BI876">
        <f>IF(BH876=0,0,IF(AND(AW876&gt;='Tasks Filter'!$F$3,AW876&lt;='Tasks Filter'!$F$4,OR('Tasks Filter'!$I$3="",ISNUMBER(SEARCH('Tasks Filter'!$I$3,AU876))),OR('Tasks Filter'!$I$4="",BF876=IFERROR(MATCH('Tasks Filter'!$I$4,Setup!$L$6:$L$9,0),0)),OR('Tasks Filter'!$I$5="Both",AND('Tasks Filter'!$I$5="Yes",BB876="✓"),AND('Tasks Filter'!$I$5="No",BB876&lt;&gt;"✓")),OR('Tasks Filter'!$L$3="",AV876='Tasks Filter'!$L$3),OR('Tasks Filter'!$L$4="",AZ876='Tasks Filter'!$L$4),OR('Tasks Filter'!$L$5="",BC876='Tasks Filter'!$L$5),OR('Tasks Filter'!$O$3="",BD876='Tasks Filter'!$O$3),OR('Tasks Filter'!$O$4="Yes",BG876=0)),1,0))</f>
        <v/>
      </c>
      <c r="BJ876">
        <f>IF(BH876=0,"",IF('Tasks Filter'!$F$6="Descending",-1,1)*CHOOSE(MATCH('Tasks Filter'!$F$5,Lists!$G$2:$G$6,0),AW876,BF876,IFERROR(MATCH(AV876,Setup!$F$6:$F$15,0),99),IFERROR(MATCH(BC876,Setup!$H$6:$H$15,0),99),IFERROR(MATCH(AZ876,Setup!$J$6:$J$11,0),99))*1E+9+(AW876-40000)*10000+875)</f>
        <v/>
      </c>
      <c r="BK876">
        <f>IF(BI876=1,BJ876,"")</f>
        <v/>
      </c>
      <c r="BL876">
        <f>IF(AND(BH876=1,BG876=0,N(AW876)&lt;Setup!$D$7),(AW876-40000)*10000+875,"")</f>
        <v/>
      </c>
      <c r="BM876">
        <f>IF(AND(BH876=1,AZ876&lt;&gt;"Cancelled",N(AW876)&gt;=Dashboard!$AB$3,N(AW876)&lt;=Dashboard!$AB$3+6),(AW876-40000)*100000+BF876*10000+875,"")</f>
        <v/>
      </c>
      <c r="BN876">
        <f>IF(AND(BH876=1,AZ876&lt;&gt;"Cancelled"),BF876*10000+875,"")</f>
        <v/>
      </c>
    </row>
    <row r="877">
      <c r="AS877" t="inlineStr">
        <is>
          <t>R</t>
        </is>
      </c>
      <c r="AT877" t="n">
        <v>881</v>
      </c>
      <c r="AU877">
        <f>'Recurring Log'!C881&amp;""</f>
        <v/>
      </c>
      <c r="AV877">
        <f>'Recurring Log'!D881&amp;""</f>
        <v/>
      </c>
      <c r="AW877">
        <f>IF('Recurring Log'!E881="","",'Recurring Log'!E881)</f>
        <v/>
      </c>
      <c r="AX877">
        <f>IF('Recurring Log'!G881="","",'Recurring Log'!G881)</f>
        <v/>
      </c>
      <c r="AY877">
        <f>IF('Recurring Log'!H881="","",'Recurring Log'!H881)</f>
        <v/>
      </c>
      <c r="AZ877">
        <f>IF(AU877="","",IF('Recurring Log'!J881="","Not Started",'Recurring Log'!J881))</f>
        <v/>
      </c>
      <c r="BA877">
        <f>'Recurring Log'!L881&amp;""</f>
        <v/>
      </c>
      <c r="BB877">
        <f>'Recurring Log'!M881&amp;""</f>
        <v/>
      </c>
      <c r="BC877">
        <f>'Recurring Log'!N881&amp;""</f>
        <v/>
      </c>
      <c r="BD877">
        <f>'Recurring Log'!O881&amp;""</f>
        <v/>
      </c>
      <c r="BE877">
        <f>IF('Recurring Log'!K881="","",'Recurring Log'!K881)</f>
        <v/>
      </c>
      <c r="BF877">
        <f>IFERROR(MATCH(BA877,Setup!$L$6:$L$9,0),5)</f>
        <v/>
      </c>
      <c r="BG877">
        <f>IF(OR(AZ877="Done",AZ877="Cancelled"),1,0)</f>
        <v/>
      </c>
      <c r="BH877">
        <f>IF(AND(AU877&lt;&gt;"",ISNUMBER(AW877)),1,0)</f>
        <v/>
      </c>
      <c r="BI877">
        <f>IF(BH877=0,0,IF(AND(AW877&gt;='Tasks Filter'!$F$3,AW877&lt;='Tasks Filter'!$F$4,OR('Tasks Filter'!$I$3="",ISNUMBER(SEARCH('Tasks Filter'!$I$3,AU877))),OR('Tasks Filter'!$I$4="",BF877=IFERROR(MATCH('Tasks Filter'!$I$4,Setup!$L$6:$L$9,0),0)),OR('Tasks Filter'!$I$5="Both",AND('Tasks Filter'!$I$5="Yes",BB877="✓"),AND('Tasks Filter'!$I$5="No",BB877&lt;&gt;"✓")),OR('Tasks Filter'!$L$3="",AV877='Tasks Filter'!$L$3),OR('Tasks Filter'!$L$4="",AZ877='Tasks Filter'!$L$4),OR('Tasks Filter'!$L$5="",BC877='Tasks Filter'!$L$5),OR('Tasks Filter'!$O$3="",BD877='Tasks Filter'!$O$3),OR('Tasks Filter'!$O$4="Yes",BG877=0)),1,0))</f>
        <v/>
      </c>
      <c r="BJ877">
        <f>IF(BH877=0,"",IF('Tasks Filter'!$F$6="Descending",-1,1)*CHOOSE(MATCH('Tasks Filter'!$F$5,Lists!$G$2:$G$6,0),AW877,BF877,IFERROR(MATCH(AV877,Setup!$F$6:$F$15,0),99),IFERROR(MATCH(BC877,Setup!$H$6:$H$15,0),99),IFERROR(MATCH(AZ877,Setup!$J$6:$J$11,0),99))*1E+9+(AW877-40000)*10000+876)</f>
        <v/>
      </c>
      <c r="BK877">
        <f>IF(BI877=1,BJ877,"")</f>
        <v/>
      </c>
      <c r="BL877">
        <f>IF(AND(BH877=1,BG877=0,N(AW877)&lt;Setup!$D$7),(AW877-40000)*10000+876,"")</f>
        <v/>
      </c>
      <c r="BM877">
        <f>IF(AND(BH877=1,AZ877&lt;&gt;"Cancelled",N(AW877)&gt;=Dashboard!$AB$3,N(AW877)&lt;=Dashboard!$AB$3+6),(AW877-40000)*100000+BF877*10000+876,"")</f>
        <v/>
      </c>
      <c r="BN877">
        <f>IF(AND(BH877=1,AZ877&lt;&gt;"Cancelled"),BF877*10000+876,"")</f>
        <v/>
      </c>
    </row>
    <row r="878">
      <c r="AS878" t="inlineStr">
        <is>
          <t>R</t>
        </is>
      </c>
      <c r="AT878" t="n">
        <v>882</v>
      </c>
      <c r="AU878">
        <f>'Recurring Log'!C882&amp;""</f>
        <v/>
      </c>
      <c r="AV878">
        <f>'Recurring Log'!D882&amp;""</f>
        <v/>
      </c>
      <c r="AW878">
        <f>IF('Recurring Log'!E882="","",'Recurring Log'!E882)</f>
        <v/>
      </c>
      <c r="AX878">
        <f>IF('Recurring Log'!G882="","",'Recurring Log'!G882)</f>
        <v/>
      </c>
      <c r="AY878">
        <f>IF('Recurring Log'!H882="","",'Recurring Log'!H882)</f>
        <v/>
      </c>
      <c r="AZ878">
        <f>IF(AU878="","",IF('Recurring Log'!J882="","Not Started",'Recurring Log'!J882))</f>
        <v/>
      </c>
      <c r="BA878">
        <f>'Recurring Log'!L882&amp;""</f>
        <v/>
      </c>
      <c r="BB878">
        <f>'Recurring Log'!M882&amp;""</f>
        <v/>
      </c>
      <c r="BC878">
        <f>'Recurring Log'!N882&amp;""</f>
        <v/>
      </c>
      <c r="BD878">
        <f>'Recurring Log'!O882&amp;""</f>
        <v/>
      </c>
      <c r="BE878">
        <f>IF('Recurring Log'!K882="","",'Recurring Log'!K882)</f>
        <v/>
      </c>
      <c r="BF878">
        <f>IFERROR(MATCH(BA878,Setup!$L$6:$L$9,0),5)</f>
        <v/>
      </c>
      <c r="BG878">
        <f>IF(OR(AZ878="Done",AZ878="Cancelled"),1,0)</f>
        <v/>
      </c>
      <c r="BH878">
        <f>IF(AND(AU878&lt;&gt;"",ISNUMBER(AW878)),1,0)</f>
        <v/>
      </c>
      <c r="BI878">
        <f>IF(BH878=0,0,IF(AND(AW878&gt;='Tasks Filter'!$F$3,AW878&lt;='Tasks Filter'!$F$4,OR('Tasks Filter'!$I$3="",ISNUMBER(SEARCH('Tasks Filter'!$I$3,AU878))),OR('Tasks Filter'!$I$4="",BF878=IFERROR(MATCH('Tasks Filter'!$I$4,Setup!$L$6:$L$9,0),0)),OR('Tasks Filter'!$I$5="Both",AND('Tasks Filter'!$I$5="Yes",BB878="✓"),AND('Tasks Filter'!$I$5="No",BB878&lt;&gt;"✓")),OR('Tasks Filter'!$L$3="",AV878='Tasks Filter'!$L$3),OR('Tasks Filter'!$L$4="",AZ878='Tasks Filter'!$L$4),OR('Tasks Filter'!$L$5="",BC878='Tasks Filter'!$L$5),OR('Tasks Filter'!$O$3="",BD878='Tasks Filter'!$O$3),OR('Tasks Filter'!$O$4="Yes",BG878=0)),1,0))</f>
        <v/>
      </c>
      <c r="BJ878">
        <f>IF(BH878=0,"",IF('Tasks Filter'!$F$6="Descending",-1,1)*CHOOSE(MATCH('Tasks Filter'!$F$5,Lists!$G$2:$G$6,0),AW878,BF878,IFERROR(MATCH(AV878,Setup!$F$6:$F$15,0),99),IFERROR(MATCH(BC878,Setup!$H$6:$H$15,0),99),IFERROR(MATCH(AZ878,Setup!$J$6:$J$11,0),99))*1E+9+(AW878-40000)*10000+877)</f>
        <v/>
      </c>
      <c r="BK878">
        <f>IF(BI878=1,BJ878,"")</f>
        <v/>
      </c>
      <c r="BL878">
        <f>IF(AND(BH878=1,BG878=0,N(AW878)&lt;Setup!$D$7),(AW878-40000)*10000+877,"")</f>
        <v/>
      </c>
      <c r="BM878">
        <f>IF(AND(BH878=1,AZ878&lt;&gt;"Cancelled",N(AW878)&gt;=Dashboard!$AB$3,N(AW878)&lt;=Dashboard!$AB$3+6),(AW878-40000)*100000+BF878*10000+877,"")</f>
        <v/>
      </c>
      <c r="BN878">
        <f>IF(AND(BH878=1,AZ878&lt;&gt;"Cancelled"),BF878*10000+877,"")</f>
        <v/>
      </c>
    </row>
    <row r="879">
      <c r="AS879" t="inlineStr">
        <is>
          <t>R</t>
        </is>
      </c>
      <c r="AT879" t="n">
        <v>883</v>
      </c>
      <c r="AU879">
        <f>'Recurring Log'!C883&amp;""</f>
        <v/>
      </c>
      <c r="AV879">
        <f>'Recurring Log'!D883&amp;""</f>
        <v/>
      </c>
      <c r="AW879">
        <f>IF('Recurring Log'!E883="","",'Recurring Log'!E883)</f>
        <v/>
      </c>
      <c r="AX879">
        <f>IF('Recurring Log'!G883="","",'Recurring Log'!G883)</f>
        <v/>
      </c>
      <c r="AY879">
        <f>IF('Recurring Log'!H883="","",'Recurring Log'!H883)</f>
        <v/>
      </c>
      <c r="AZ879">
        <f>IF(AU879="","",IF('Recurring Log'!J883="","Not Started",'Recurring Log'!J883))</f>
        <v/>
      </c>
      <c r="BA879">
        <f>'Recurring Log'!L883&amp;""</f>
        <v/>
      </c>
      <c r="BB879">
        <f>'Recurring Log'!M883&amp;""</f>
        <v/>
      </c>
      <c r="BC879">
        <f>'Recurring Log'!N883&amp;""</f>
        <v/>
      </c>
      <c r="BD879">
        <f>'Recurring Log'!O883&amp;""</f>
        <v/>
      </c>
      <c r="BE879">
        <f>IF('Recurring Log'!K883="","",'Recurring Log'!K883)</f>
        <v/>
      </c>
      <c r="BF879">
        <f>IFERROR(MATCH(BA879,Setup!$L$6:$L$9,0),5)</f>
        <v/>
      </c>
      <c r="BG879">
        <f>IF(OR(AZ879="Done",AZ879="Cancelled"),1,0)</f>
        <v/>
      </c>
      <c r="BH879">
        <f>IF(AND(AU879&lt;&gt;"",ISNUMBER(AW879)),1,0)</f>
        <v/>
      </c>
      <c r="BI879">
        <f>IF(BH879=0,0,IF(AND(AW879&gt;='Tasks Filter'!$F$3,AW879&lt;='Tasks Filter'!$F$4,OR('Tasks Filter'!$I$3="",ISNUMBER(SEARCH('Tasks Filter'!$I$3,AU879))),OR('Tasks Filter'!$I$4="",BF879=IFERROR(MATCH('Tasks Filter'!$I$4,Setup!$L$6:$L$9,0),0)),OR('Tasks Filter'!$I$5="Both",AND('Tasks Filter'!$I$5="Yes",BB879="✓"),AND('Tasks Filter'!$I$5="No",BB879&lt;&gt;"✓")),OR('Tasks Filter'!$L$3="",AV879='Tasks Filter'!$L$3),OR('Tasks Filter'!$L$4="",AZ879='Tasks Filter'!$L$4),OR('Tasks Filter'!$L$5="",BC879='Tasks Filter'!$L$5),OR('Tasks Filter'!$O$3="",BD879='Tasks Filter'!$O$3),OR('Tasks Filter'!$O$4="Yes",BG879=0)),1,0))</f>
        <v/>
      </c>
      <c r="BJ879">
        <f>IF(BH879=0,"",IF('Tasks Filter'!$F$6="Descending",-1,1)*CHOOSE(MATCH('Tasks Filter'!$F$5,Lists!$G$2:$G$6,0),AW879,BF879,IFERROR(MATCH(AV879,Setup!$F$6:$F$15,0),99),IFERROR(MATCH(BC879,Setup!$H$6:$H$15,0),99),IFERROR(MATCH(AZ879,Setup!$J$6:$J$11,0),99))*1E+9+(AW879-40000)*10000+878)</f>
        <v/>
      </c>
      <c r="BK879">
        <f>IF(BI879=1,BJ879,"")</f>
        <v/>
      </c>
      <c r="BL879">
        <f>IF(AND(BH879=1,BG879=0,N(AW879)&lt;Setup!$D$7),(AW879-40000)*10000+878,"")</f>
        <v/>
      </c>
      <c r="BM879">
        <f>IF(AND(BH879=1,AZ879&lt;&gt;"Cancelled",N(AW879)&gt;=Dashboard!$AB$3,N(AW879)&lt;=Dashboard!$AB$3+6),(AW879-40000)*100000+BF879*10000+878,"")</f>
        <v/>
      </c>
      <c r="BN879">
        <f>IF(AND(BH879=1,AZ879&lt;&gt;"Cancelled"),BF879*10000+878,"")</f>
        <v/>
      </c>
    </row>
    <row r="880">
      <c r="AS880" t="inlineStr">
        <is>
          <t>R</t>
        </is>
      </c>
      <c r="AT880" t="n">
        <v>884</v>
      </c>
      <c r="AU880">
        <f>'Recurring Log'!C884&amp;""</f>
        <v/>
      </c>
      <c r="AV880">
        <f>'Recurring Log'!D884&amp;""</f>
        <v/>
      </c>
      <c r="AW880">
        <f>IF('Recurring Log'!E884="","",'Recurring Log'!E884)</f>
        <v/>
      </c>
      <c r="AX880">
        <f>IF('Recurring Log'!G884="","",'Recurring Log'!G884)</f>
        <v/>
      </c>
      <c r="AY880">
        <f>IF('Recurring Log'!H884="","",'Recurring Log'!H884)</f>
        <v/>
      </c>
      <c r="AZ880">
        <f>IF(AU880="","",IF('Recurring Log'!J884="","Not Started",'Recurring Log'!J884))</f>
        <v/>
      </c>
      <c r="BA880">
        <f>'Recurring Log'!L884&amp;""</f>
        <v/>
      </c>
      <c r="BB880">
        <f>'Recurring Log'!M884&amp;""</f>
        <v/>
      </c>
      <c r="BC880">
        <f>'Recurring Log'!N884&amp;""</f>
        <v/>
      </c>
      <c r="BD880">
        <f>'Recurring Log'!O884&amp;""</f>
        <v/>
      </c>
      <c r="BE880">
        <f>IF('Recurring Log'!K884="","",'Recurring Log'!K884)</f>
        <v/>
      </c>
      <c r="BF880">
        <f>IFERROR(MATCH(BA880,Setup!$L$6:$L$9,0),5)</f>
        <v/>
      </c>
      <c r="BG880">
        <f>IF(OR(AZ880="Done",AZ880="Cancelled"),1,0)</f>
        <v/>
      </c>
      <c r="BH880">
        <f>IF(AND(AU880&lt;&gt;"",ISNUMBER(AW880)),1,0)</f>
        <v/>
      </c>
      <c r="BI880">
        <f>IF(BH880=0,0,IF(AND(AW880&gt;='Tasks Filter'!$F$3,AW880&lt;='Tasks Filter'!$F$4,OR('Tasks Filter'!$I$3="",ISNUMBER(SEARCH('Tasks Filter'!$I$3,AU880))),OR('Tasks Filter'!$I$4="",BF880=IFERROR(MATCH('Tasks Filter'!$I$4,Setup!$L$6:$L$9,0),0)),OR('Tasks Filter'!$I$5="Both",AND('Tasks Filter'!$I$5="Yes",BB880="✓"),AND('Tasks Filter'!$I$5="No",BB880&lt;&gt;"✓")),OR('Tasks Filter'!$L$3="",AV880='Tasks Filter'!$L$3),OR('Tasks Filter'!$L$4="",AZ880='Tasks Filter'!$L$4),OR('Tasks Filter'!$L$5="",BC880='Tasks Filter'!$L$5),OR('Tasks Filter'!$O$3="",BD880='Tasks Filter'!$O$3),OR('Tasks Filter'!$O$4="Yes",BG880=0)),1,0))</f>
        <v/>
      </c>
      <c r="BJ880">
        <f>IF(BH880=0,"",IF('Tasks Filter'!$F$6="Descending",-1,1)*CHOOSE(MATCH('Tasks Filter'!$F$5,Lists!$G$2:$G$6,0),AW880,BF880,IFERROR(MATCH(AV880,Setup!$F$6:$F$15,0),99),IFERROR(MATCH(BC880,Setup!$H$6:$H$15,0),99),IFERROR(MATCH(AZ880,Setup!$J$6:$J$11,0),99))*1E+9+(AW880-40000)*10000+879)</f>
        <v/>
      </c>
      <c r="BK880">
        <f>IF(BI880=1,BJ880,"")</f>
        <v/>
      </c>
      <c r="BL880">
        <f>IF(AND(BH880=1,BG880=0,N(AW880)&lt;Setup!$D$7),(AW880-40000)*10000+879,"")</f>
        <v/>
      </c>
      <c r="BM880">
        <f>IF(AND(BH880=1,AZ880&lt;&gt;"Cancelled",N(AW880)&gt;=Dashboard!$AB$3,N(AW880)&lt;=Dashboard!$AB$3+6),(AW880-40000)*100000+BF880*10000+879,"")</f>
        <v/>
      </c>
      <c r="BN880">
        <f>IF(AND(BH880=1,AZ880&lt;&gt;"Cancelled"),BF880*10000+879,"")</f>
        <v/>
      </c>
    </row>
    <row r="881">
      <c r="AS881" t="inlineStr">
        <is>
          <t>R</t>
        </is>
      </c>
      <c r="AT881" t="n">
        <v>885</v>
      </c>
      <c r="AU881">
        <f>'Recurring Log'!C885&amp;""</f>
        <v/>
      </c>
      <c r="AV881">
        <f>'Recurring Log'!D885&amp;""</f>
        <v/>
      </c>
      <c r="AW881">
        <f>IF('Recurring Log'!E885="","",'Recurring Log'!E885)</f>
        <v/>
      </c>
      <c r="AX881">
        <f>IF('Recurring Log'!G885="","",'Recurring Log'!G885)</f>
        <v/>
      </c>
      <c r="AY881">
        <f>IF('Recurring Log'!H885="","",'Recurring Log'!H885)</f>
        <v/>
      </c>
      <c r="AZ881">
        <f>IF(AU881="","",IF('Recurring Log'!J885="","Not Started",'Recurring Log'!J885))</f>
        <v/>
      </c>
      <c r="BA881">
        <f>'Recurring Log'!L885&amp;""</f>
        <v/>
      </c>
      <c r="BB881">
        <f>'Recurring Log'!M885&amp;""</f>
        <v/>
      </c>
      <c r="BC881">
        <f>'Recurring Log'!N885&amp;""</f>
        <v/>
      </c>
      <c r="BD881">
        <f>'Recurring Log'!O885&amp;""</f>
        <v/>
      </c>
      <c r="BE881">
        <f>IF('Recurring Log'!K885="","",'Recurring Log'!K885)</f>
        <v/>
      </c>
      <c r="BF881">
        <f>IFERROR(MATCH(BA881,Setup!$L$6:$L$9,0),5)</f>
        <v/>
      </c>
      <c r="BG881">
        <f>IF(OR(AZ881="Done",AZ881="Cancelled"),1,0)</f>
        <v/>
      </c>
      <c r="BH881">
        <f>IF(AND(AU881&lt;&gt;"",ISNUMBER(AW881)),1,0)</f>
        <v/>
      </c>
      <c r="BI881">
        <f>IF(BH881=0,0,IF(AND(AW881&gt;='Tasks Filter'!$F$3,AW881&lt;='Tasks Filter'!$F$4,OR('Tasks Filter'!$I$3="",ISNUMBER(SEARCH('Tasks Filter'!$I$3,AU881))),OR('Tasks Filter'!$I$4="",BF881=IFERROR(MATCH('Tasks Filter'!$I$4,Setup!$L$6:$L$9,0),0)),OR('Tasks Filter'!$I$5="Both",AND('Tasks Filter'!$I$5="Yes",BB881="✓"),AND('Tasks Filter'!$I$5="No",BB881&lt;&gt;"✓")),OR('Tasks Filter'!$L$3="",AV881='Tasks Filter'!$L$3),OR('Tasks Filter'!$L$4="",AZ881='Tasks Filter'!$L$4),OR('Tasks Filter'!$L$5="",BC881='Tasks Filter'!$L$5),OR('Tasks Filter'!$O$3="",BD881='Tasks Filter'!$O$3),OR('Tasks Filter'!$O$4="Yes",BG881=0)),1,0))</f>
        <v/>
      </c>
      <c r="BJ881">
        <f>IF(BH881=0,"",IF('Tasks Filter'!$F$6="Descending",-1,1)*CHOOSE(MATCH('Tasks Filter'!$F$5,Lists!$G$2:$G$6,0),AW881,BF881,IFERROR(MATCH(AV881,Setup!$F$6:$F$15,0),99),IFERROR(MATCH(BC881,Setup!$H$6:$H$15,0),99),IFERROR(MATCH(AZ881,Setup!$J$6:$J$11,0),99))*1E+9+(AW881-40000)*10000+880)</f>
        <v/>
      </c>
      <c r="BK881">
        <f>IF(BI881=1,BJ881,"")</f>
        <v/>
      </c>
      <c r="BL881">
        <f>IF(AND(BH881=1,BG881=0,N(AW881)&lt;Setup!$D$7),(AW881-40000)*10000+880,"")</f>
        <v/>
      </c>
      <c r="BM881">
        <f>IF(AND(BH881=1,AZ881&lt;&gt;"Cancelled",N(AW881)&gt;=Dashboard!$AB$3,N(AW881)&lt;=Dashboard!$AB$3+6),(AW881-40000)*100000+BF881*10000+880,"")</f>
        <v/>
      </c>
      <c r="BN881">
        <f>IF(AND(BH881=1,AZ881&lt;&gt;"Cancelled"),BF881*10000+880,"")</f>
        <v/>
      </c>
    </row>
    <row r="882">
      <c r="AS882" t="inlineStr">
        <is>
          <t>R</t>
        </is>
      </c>
      <c r="AT882" t="n">
        <v>886</v>
      </c>
      <c r="AU882">
        <f>'Recurring Log'!C886&amp;""</f>
        <v/>
      </c>
      <c r="AV882">
        <f>'Recurring Log'!D886&amp;""</f>
        <v/>
      </c>
      <c r="AW882">
        <f>IF('Recurring Log'!E886="","",'Recurring Log'!E886)</f>
        <v/>
      </c>
      <c r="AX882">
        <f>IF('Recurring Log'!G886="","",'Recurring Log'!G886)</f>
        <v/>
      </c>
      <c r="AY882">
        <f>IF('Recurring Log'!H886="","",'Recurring Log'!H886)</f>
        <v/>
      </c>
      <c r="AZ882">
        <f>IF(AU882="","",IF('Recurring Log'!J886="","Not Started",'Recurring Log'!J886))</f>
        <v/>
      </c>
      <c r="BA882">
        <f>'Recurring Log'!L886&amp;""</f>
        <v/>
      </c>
      <c r="BB882">
        <f>'Recurring Log'!M886&amp;""</f>
        <v/>
      </c>
      <c r="BC882">
        <f>'Recurring Log'!N886&amp;""</f>
        <v/>
      </c>
      <c r="BD882">
        <f>'Recurring Log'!O886&amp;""</f>
        <v/>
      </c>
      <c r="BE882">
        <f>IF('Recurring Log'!K886="","",'Recurring Log'!K886)</f>
        <v/>
      </c>
      <c r="BF882">
        <f>IFERROR(MATCH(BA882,Setup!$L$6:$L$9,0),5)</f>
        <v/>
      </c>
      <c r="BG882">
        <f>IF(OR(AZ882="Done",AZ882="Cancelled"),1,0)</f>
        <v/>
      </c>
      <c r="BH882">
        <f>IF(AND(AU882&lt;&gt;"",ISNUMBER(AW882)),1,0)</f>
        <v/>
      </c>
      <c r="BI882">
        <f>IF(BH882=0,0,IF(AND(AW882&gt;='Tasks Filter'!$F$3,AW882&lt;='Tasks Filter'!$F$4,OR('Tasks Filter'!$I$3="",ISNUMBER(SEARCH('Tasks Filter'!$I$3,AU882))),OR('Tasks Filter'!$I$4="",BF882=IFERROR(MATCH('Tasks Filter'!$I$4,Setup!$L$6:$L$9,0),0)),OR('Tasks Filter'!$I$5="Both",AND('Tasks Filter'!$I$5="Yes",BB882="✓"),AND('Tasks Filter'!$I$5="No",BB882&lt;&gt;"✓")),OR('Tasks Filter'!$L$3="",AV882='Tasks Filter'!$L$3),OR('Tasks Filter'!$L$4="",AZ882='Tasks Filter'!$L$4),OR('Tasks Filter'!$L$5="",BC882='Tasks Filter'!$L$5),OR('Tasks Filter'!$O$3="",BD882='Tasks Filter'!$O$3),OR('Tasks Filter'!$O$4="Yes",BG882=0)),1,0))</f>
        <v/>
      </c>
      <c r="BJ882">
        <f>IF(BH882=0,"",IF('Tasks Filter'!$F$6="Descending",-1,1)*CHOOSE(MATCH('Tasks Filter'!$F$5,Lists!$G$2:$G$6,0),AW882,BF882,IFERROR(MATCH(AV882,Setup!$F$6:$F$15,0),99),IFERROR(MATCH(BC882,Setup!$H$6:$H$15,0),99),IFERROR(MATCH(AZ882,Setup!$J$6:$J$11,0),99))*1E+9+(AW882-40000)*10000+881)</f>
        <v/>
      </c>
      <c r="BK882">
        <f>IF(BI882=1,BJ882,"")</f>
        <v/>
      </c>
      <c r="BL882">
        <f>IF(AND(BH882=1,BG882=0,N(AW882)&lt;Setup!$D$7),(AW882-40000)*10000+881,"")</f>
        <v/>
      </c>
      <c r="BM882">
        <f>IF(AND(BH882=1,AZ882&lt;&gt;"Cancelled",N(AW882)&gt;=Dashboard!$AB$3,N(AW882)&lt;=Dashboard!$AB$3+6),(AW882-40000)*100000+BF882*10000+881,"")</f>
        <v/>
      </c>
      <c r="BN882">
        <f>IF(AND(BH882=1,AZ882&lt;&gt;"Cancelled"),BF882*10000+881,"")</f>
        <v/>
      </c>
    </row>
    <row r="883">
      <c r="AS883" t="inlineStr">
        <is>
          <t>R</t>
        </is>
      </c>
      <c r="AT883" t="n">
        <v>887</v>
      </c>
      <c r="AU883">
        <f>'Recurring Log'!C887&amp;""</f>
        <v/>
      </c>
      <c r="AV883">
        <f>'Recurring Log'!D887&amp;""</f>
        <v/>
      </c>
      <c r="AW883">
        <f>IF('Recurring Log'!E887="","",'Recurring Log'!E887)</f>
        <v/>
      </c>
      <c r="AX883">
        <f>IF('Recurring Log'!G887="","",'Recurring Log'!G887)</f>
        <v/>
      </c>
      <c r="AY883">
        <f>IF('Recurring Log'!H887="","",'Recurring Log'!H887)</f>
        <v/>
      </c>
      <c r="AZ883">
        <f>IF(AU883="","",IF('Recurring Log'!J887="","Not Started",'Recurring Log'!J887))</f>
        <v/>
      </c>
      <c r="BA883">
        <f>'Recurring Log'!L887&amp;""</f>
        <v/>
      </c>
      <c r="BB883">
        <f>'Recurring Log'!M887&amp;""</f>
        <v/>
      </c>
      <c r="BC883">
        <f>'Recurring Log'!N887&amp;""</f>
        <v/>
      </c>
      <c r="BD883">
        <f>'Recurring Log'!O887&amp;""</f>
        <v/>
      </c>
      <c r="BE883">
        <f>IF('Recurring Log'!K887="","",'Recurring Log'!K887)</f>
        <v/>
      </c>
      <c r="BF883">
        <f>IFERROR(MATCH(BA883,Setup!$L$6:$L$9,0),5)</f>
        <v/>
      </c>
      <c r="BG883">
        <f>IF(OR(AZ883="Done",AZ883="Cancelled"),1,0)</f>
        <v/>
      </c>
      <c r="BH883">
        <f>IF(AND(AU883&lt;&gt;"",ISNUMBER(AW883)),1,0)</f>
        <v/>
      </c>
      <c r="BI883">
        <f>IF(BH883=0,0,IF(AND(AW883&gt;='Tasks Filter'!$F$3,AW883&lt;='Tasks Filter'!$F$4,OR('Tasks Filter'!$I$3="",ISNUMBER(SEARCH('Tasks Filter'!$I$3,AU883))),OR('Tasks Filter'!$I$4="",BF883=IFERROR(MATCH('Tasks Filter'!$I$4,Setup!$L$6:$L$9,0),0)),OR('Tasks Filter'!$I$5="Both",AND('Tasks Filter'!$I$5="Yes",BB883="✓"),AND('Tasks Filter'!$I$5="No",BB883&lt;&gt;"✓")),OR('Tasks Filter'!$L$3="",AV883='Tasks Filter'!$L$3),OR('Tasks Filter'!$L$4="",AZ883='Tasks Filter'!$L$4),OR('Tasks Filter'!$L$5="",BC883='Tasks Filter'!$L$5),OR('Tasks Filter'!$O$3="",BD883='Tasks Filter'!$O$3),OR('Tasks Filter'!$O$4="Yes",BG883=0)),1,0))</f>
        <v/>
      </c>
      <c r="BJ883">
        <f>IF(BH883=0,"",IF('Tasks Filter'!$F$6="Descending",-1,1)*CHOOSE(MATCH('Tasks Filter'!$F$5,Lists!$G$2:$G$6,0),AW883,BF883,IFERROR(MATCH(AV883,Setup!$F$6:$F$15,0),99),IFERROR(MATCH(BC883,Setup!$H$6:$H$15,0),99),IFERROR(MATCH(AZ883,Setup!$J$6:$J$11,0),99))*1E+9+(AW883-40000)*10000+882)</f>
        <v/>
      </c>
      <c r="BK883">
        <f>IF(BI883=1,BJ883,"")</f>
        <v/>
      </c>
      <c r="BL883">
        <f>IF(AND(BH883=1,BG883=0,N(AW883)&lt;Setup!$D$7),(AW883-40000)*10000+882,"")</f>
        <v/>
      </c>
      <c r="BM883">
        <f>IF(AND(BH883=1,AZ883&lt;&gt;"Cancelled",N(AW883)&gt;=Dashboard!$AB$3,N(AW883)&lt;=Dashboard!$AB$3+6),(AW883-40000)*100000+BF883*10000+882,"")</f>
        <v/>
      </c>
      <c r="BN883">
        <f>IF(AND(BH883=1,AZ883&lt;&gt;"Cancelled"),BF883*10000+882,"")</f>
        <v/>
      </c>
    </row>
    <row r="884">
      <c r="AS884" t="inlineStr">
        <is>
          <t>R</t>
        </is>
      </c>
      <c r="AT884" t="n">
        <v>888</v>
      </c>
      <c r="AU884">
        <f>'Recurring Log'!C888&amp;""</f>
        <v/>
      </c>
      <c r="AV884">
        <f>'Recurring Log'!D888&amp;""</f>
        <v/>
      </c>
      <c r="AW884">
        <f>IF('Recurring Log'!E888="","",'Recurring Log'!E888)</f>
        <v/>
      </c>
      <c r="AX884">
        <f>IF('Recurring Log'!G888="","",'Recurring Log'!G888)</f>
        <v/>
      </c>
      <c r="AY884">
        <f>IF('Recurring Log'!H888="","",'Recurring Log'!H888)</f>
        <v/>
      </c>
      <c r="AZ884">
        <f>IF(AU884="","",IF('Recurring Log'!J888="","Not Started",'Recurring Log'!J888))</f>
        <v/>
      </c>
      <c r="BA884">
        <f>'Recurring Log'!L888&amp;""</f>
        <v/>
      </c>
      <c r="BB884">
        <f>'Recurring Log'!M888&amp;""</f>
        <v/>
      </c>
      <c r="BC884">
        <f>'Recurring Log'!N888&amp;""</f>
        <v/>
      </c>
      <c r="BD884">
        <f>'Recurring Log'!O888&amp;""</f>
        <v/>
      </c>
      <c r="BE884">
        <f>IF('Recurring Log'!K888="","",'Recurring Log'!K888)</f>
        <v/>
      </c>
      <c r="BF884">
        <f>IFERROR(MATCH(BA884,Setup!$L$6:$L$9,0),5)</f>
        <v/>
      </c>
      <c r="BG884">
        <f>IF(OR(AZ884="Done",AZ884="Cancelled"),1,0)</f>
        <v/>
      </c>
      <c r="BH884">
        <f>IF(AND(AU884&lt;&gt;"",ISNUMBER(AW884)),1,0)</f>
        <v/>
      </c>
      <c r="BI884">
        <f>IF(BH884=0,0,IF(AND(AW884&gt;='Tasks Filter'!$F$3,AW884&lt;='Tasks Filter'!$F$4,OR('Tasks Filter'!$I$3="",ISNUMBER(SEARCH('Tasks Filter'!$I$3,AU884))),OR('Tasks Filter'!$I$4="",BF884=IFERROR(MATCH('Tasks Filter'!$I$4,Setup!$L$6:$L$9,0),0)),OR('Tasks Filter'!$I$5="Both",AND('Tasks Filter'!$I$5="Yes",BB884="✓"),AND('Tasks Filter'!$I$5="No",BB884&lt;&gt;"✓")),OR('Tasks Filter'!$L$3="",AV884='Tasks Filter'!$L$3),OR('Tasks Filter'!$L$4="",AZ884='Tasks Filter'!$L$4),OR('Tasks Filter'!$L$5="",BC884='Tasks Filter'!$L$5),OR('Tasks Filter'!$O$3="",BD884='Tasks Filter'!$O$3),OR('Tasks Filter'!$O$4="Yes",BG884=0)),1,0))</f>
        <v/>
      </c>
      <c r="BJ884">
        <f>IF(BH884=0,"",IF('Tasks Filter'!$F$6="Descending",-1,1)*CHOOSE(MATCH('Tasks Filter'!$F$5,Lists!$G$2:$G$6,0),AW884,BF884,IFERROR(MATCH(AV884,Setup!$F$6:$F$15,0),99),IFERROR(MATCH(BC884,Setup!$H$6:$H$15,0),99),IFERROR(MATCH(AZ884,Setup!$J$6:$J$11,0),99))*1E+9+(AW884-40000)*10000+883)</f>
        <v/>
      </c>
      <c r="BK884">
        <f>IF(BI884=1,BJ884,"")</f>
        <v/>
      </c>
      <c r="BL884">
        <f>IF(AND(BH884=1,BG884=0,N(AW884)&lt;Setup!$D$7),(AW884-40000)*10000+883,"")</f>
        <v/>
      </c>
      <c r="BM884">
        <f>IF(AND(BH884=1,AZ884&lt;&gt;"Cancelled",N(AW884)&gt;=Dashboard!$AB$3,N(AW884)&lt;=Dashboard!$AB$3+6),(AW884-40000)*100000+BF884*10000+883,"")</f>
        <v/>
      </c>
      <c r="BN884">
        <f>IF(AND(BH884=1,AZ884&lt;&gt;"Cancelled"),BF884*10000+883,"")</f>
        <v/>
      </c>
    </row>
    <row r="885">
      <c r="AS885" t="inlineStr">
        <is>
          <t>R</t>
        </is>
      </c>
      <c r="AT885" t="n">
        <v>889</v>
      </c>
      <c r="AU885">
        <f>'Recurring Log'!C889&amp;""</f>
        <v/>
      </c>
      <c r="AV885">
        <f>'Recurring Log'!D889&amp;""</f>
        <v/>
      </c>
      <c r="AW885">
        <f>IF('Recurring Log'!E889="","",'Recurring Log'!E889)</f>
        <v/>
      </c>
      <c r="AX885">
        <f>IF('Recurring Log'!G889="","",'Recurring Log'!G889)</f>
        <v/>
      </c>
      <c r="AY885">
        <f>IF('Recurring Log'!H889="","",'Recurring Log'!H889)</f>
        <v/>
      </c>
      <c r="AZ885">
        <f>IF(AU885="","",IF('Recurring Log'!J889="","Not Started",'Recurring Log'!J889))</f>
        <v/>
      </c>
      <c r="BA885">
        <f>'Recurring Log'!L889&amp;""</f>
        <v/>
      </c>
      <c r="BB885">
        <f>'Recurring Log'!M889&amp;""</f>
        <v/>
      </c>
      <c r="BC885">
        <f>'Recurring Log'!N889&amp;""</f>
        <v/>
      </c>
      <c r="BD885">
        <f>'Recurring Log'!O889&amp;""</f>
        <v/>
      </c>
      <c r="BE885">
        <f>IF('Recurring Log'!K889="","",'Recurring Log'!K889)</f>
        <v/>
      </c>
      <c r="BF885">
        <f>IFERROR(MATCH(BA885,Setup!$L$6:$L$9,0),5)</f>
        <v/>
      </c>
      <c r="BG885">
        <f>IF(OR(AZ885="Done",AZ885="Cancelled"),1,0)</f>
        <v/>
      </c>
      <c r="BH885">
        <f>IF(AND(AU885&lt;&gt;"",ISNUMBER(AW885)),1,0)</f>
        <v/>
      </c>
      <c r="BI885">
        <f>IF(BH885=0,0,IF(AND(AW885&gt;='Tasks Filter'!$F$3,AW885&lt;='Tasks Filter'!$F$4,OR('Tasks Filter'!$I$3="",ISNUMBER(SEARCH('Tasks Filter'!$I$3,AU885))),OR('Tasks Filter'!$I$4="",BF885=IFERROR(MATCH('Tasks Filter'!$I$4,Setup!$L$6:$L$9,0),0)),OR('Tasks Filter'!$I$5="Both",AND('Tasks Filter'!$I$5="Yes",BB885="✓"),AND('Tasks Filter'!$I$5="No",BB885&lt;&gt;"✓")),OR('Tasks Filter'!$L$3="",AV885='Tasks Filter'!$L$3),OR('Tasks Filter'!$L$4="",AZ885='Tasks Filter'!$L$4),OR('Tasks Filter'!$L$5="",BC885='Tasks Filter'!$L$5),OR('Tasks Filter'!$O$3="",BD885='Tasks Filter'!$O$3),OR('Tasks Filter'!$O$4="Yes",BG885=0)),1,0))</f>
        <v/>
      </c>
      <c r="BJ885">
        <f>IF(BH885=0,"",IF('Tasks Filter'!$F$6="Descending",-1,1)*CHOOSE(MATCH('Tasks Filter'!$F$5,Lists!$G$2:$G$6,0),AW885,BF885,IFERROR(MATCH(AV885,Setup!$F$6:$F$15,0),99),IFERROR(MATCH(BC885,Setup!$H$6:$H$15,0),99),IFERROR(MATCH(AZ885,Setup!$J$6:$J$11,0),99))*1E+9+(AW885-40000)*10000+884)</f>
        <v/>
      </c>
      <c r="BK885">
        <f>IF(BI885=1,BJ885,"")</f>
        <v/>
      </c>
      <c r="BL885">
        <f>IF(AND(BH885=1,BG885=0,N(AW885)&lt;Setup!$D$7),(AW885-40000)*10000+884,"")</f>
        <v/>
      </c>
      <c r="BM885">
        <f>IF(AND(BH885=1,AZ885&lt;&gt;"Cancelled",N(AW885)&gt;=Dashboard!$AB$3,N(AW885)&lt;=Dashboard!$AB$3+6),(AW885-40000)*100000+BF885*10000+884,"")</f>
        <v/>
      </c>
      <c r="BN885">
        <f>IF(AND(BH885=1,AZ885&lt;&gt;"Cancelled"),BF885*10000+884,"")</f>
        <v/>
      </c>
    </row>
    <row r="886">
      <c r="AS886" t="inlineStr">
        <is>
          <t>R</t>
        </is>
      </c>
      <c r="AT886" t="n">
        <v>890</v>
      </c>
      <c r="AU886">
        <f>'Recurring Log'!C890&amp;""</f>
        <v/>
      </c>
      <c r="AV886">
        <f>'Recurring Log'!D890&amp;""</f>
        <v/>
      </c>
      <c r="AW886">
        <f>IF('Recurring Log'!E890="","",'Recurring Log'!E890)</f>
        <v/>
      </c>
      <c r="AX886">
        <f>IF('Recurring Log'!G890="","",'Recurring Log'!G890)</f>
        <v/>
      </c>
      <c r="AY886">
        <f>IF('Recurring Log'!H890="","",'Recurring Log'!H890)</f>
        <v/>
      </c>
      <c r="AZ886">
        <f>IF(AU886="","",IF('Recurring Log'!J890="","Not Started",'Recurring Log'!J890))</f>
        <v/>
      </c>
      <c r="BA886">
        <f>'Recurring Log'!L890&amp;""</f>
        <v/>
      </c>
      <c r="BB886">
        <f>'Recurring Log'!M890&amp;""</f>
        <v/>
      </c>
      <c r="BC886">
        <f>'Recurring Log'!N890&amp;""</f>
        <v/>
      </c>
      <c r="BD886">
        <f>'Recurring Log'!O890&amp;""</f>
        <v/>
      </c>
      <c r="BE886">
        <f>IF('Recurring Log'!K890="","",'Recurring Log'!K890)</f>
        <v/>
      </c>
      <c r="BF886">
        <f>IFERROR(MATCH(BA886,Setup!$L$6:$L$9,0),5)</f>
        <v/>
      </c>
      <c r="BG886">
        <f>IF(OR(AZ886="Done",AZ886="Cancelled"),1,0)</f>
        <v/>
      </c>
      <c r="BH886">
        <f>IF(AND(AU886&lt;&gt;"",ISNUMBER(AW886)),1,0)</f>
        <v/>
      </c>
      <c r="BI886">
        <f>IF(BH886=0,0,IF(AND(AW886&gt;='Tasks Filter'!$F$3,AW886&lt;='Tasks Filter'!$F$4,OR('Tasks Filter'!$I$3="",ISNUMBER(SEARCH('Tasks Filter'!$I$3,AU886))),OR('Tasks Filter'!$I$4="",BF886=IFERROR(MATCH('Tasks Filter'!$I$4,Setup!$L$6:$L$9,0),0)),OR('Tasks Filter'!$I$5="Both",AND('Tasks Filter'!$I$5="Yes",BB886="✓"),AND('Tasks Filter'!$I$5="No",BB886&lt;&gt;"✓")),OR('Tasks Filter'!$L$3="",AV886='Tasks Filter'!$L$3),OR('Tasks Filter'!$L$4="",AZ886='Tasks Filter'!$L$4),OR('Tasks Filter'!$L$5="",BC886='Tasks Filter'!$L$5),OR('Tasks Filter'!$O$3="",BD886='Tasks Filter'!$O$3),OR('Tasks Filter'!$O$4="Yes",BG886=0)),1,0))</f>
        <v/>
      </c>
      <c r="BJ886">
        <f>IF(BH886=0,"",IF('Tasks Filter'!$F$6="Descending",-1,1)*CHOOSE(MATCH('Tasks Filter'!$F$5,Lists!$G$2:$G$6,0),AW886,BF886,IFERROR(MATCH(AV886,Setup!$F$6:$F$15,0),99),IFERROR(MATCH(BC886,Setup!$H$6:$H$15,0),99),IFERROR(MATCH(AZ886,Setup!$J$6:$J$11,0),99))*1E+9+(AW886-40000)*10000+885)</f>
        <v/>
      </c>
      <c r="BK886">
        <f>IF(BI886=1,BJ886,"")</f>
        <v/>
      </c>
      <c r="BL886">
        <f>IF(AND(BH886=1,BG886=0,N(AW886)&lt;Setup!$D$7),(AW886-40000)*10000+885,"")</f>
        <v/>
      </c>
      <c r="BM886">
        <f>IF(AND(BH886=1,AZ886&lt;&gt;"Cancelled",N(AW886)&gt;=Dashboard!$AB$3,N(AW886)&lt;=Dashboard!$AB$3+6),(AW886-40000)*100000+BF886*10000+885,"")</f>
        <v/>
      </c>
      <c r="BN886">
        <f>IF(AND(BH886=1,AZ886&lt;&gt;"Cancelled"),BF886*10000+885,"")</f>
        <v/>
      </c>
    </row>
    <row r="887">
      <c r="AS887" t="inlineStr">
        <is>
          <t>R</t>
        </is>
      </c>
      <c r="AT887" t="n">
        <v>891</v>
      </c>
      <c r="AU887">
        <f>'Recurring Log'!C891&amp;""</f>
        <v/>
      </c>
      <c r="AV887">
        <f>'Recurring Log'!D891&amp;""</f>
        <v/>
      </c>
      <c r="AW887">
        <f>IF('Recurring Log'!E891="","",'Recurring Log'!E891)</f>
        <v/>
      </c>
      <c r="AX887">
        <f>IF('Recurring Log'!G891="","",'Recurring Log'!G891)</f>
        <v/>
      </c>
      <c r="AY887">
        <f>IF('Recurring Log'!H891="","",'Recurring Log'!H891)</f>
        <v/>
      </c>
      <c r="AZ887">
        <f>IF(AU887="","",IF('Recurring Log'!J891="","Not Started",'Recurring Log'!J891))</f>
        <v/>
      </c>
      <c r="BA887">
        <f>'Recurring Log'!L891&amp;""</f>
        <v/>
      </c>
      <c r="BB887">
        <f>'Recurring Log'!M891&amp;""</f>
        <v/>
      </c>
      <c r="BC887">
        <f>'Recurring Log'!N891&amp;""</f>
        <v/>
      </c>
      <c r="BD887">
        <f>'Recurring Log'!O891&amp;""</f>
        <v/>
      </c>
      <c r="BE887">
        <f>IF('Recurring Log'!K891="","",'Recurring Log'!K891)</f>
        <v/>
      </c>
      <c r="BF887">
        <f>IFERROR(MATCH(BA887,Setup!$L$6:$L$9,0),5)</f>
        <v/>
      </c>
      <c r="BG887">
        <f>IF(OR(AZ887="Done",AZ887="Cancelled"),1,0)</f>
        <v/>
      </c>
      <c r="BH887">
        <f>IF(AND(AU887&lt;&gt;"",ISNUMBER(AW887)),1,0)</f>
        <v/>
      </c>
      <c r="BI887">
        <f>IF(BH887=0,0,IF(AND(AW887&gt;='Tasks Filter'!$F$3,AW887&lt;='Tasks Filter'!$F$4,OR('Tasks Filter'!$I$3="",ISNUMBER(SEARCH('Tasks Filter'!$I$3,AU887))),OR('Tasks Filter'!$I$4="",BF887=IFERROR(MATCH('Tasks Filter'!$I$4,Setup!$L$6:$L$9,0),0)),OR('Tasks Filter'!$I$5="Both",AND('Tasks Filter'!$I$5="Yes",BB887="✓"),AND('Tasks Filter'!$I$5="No",BB887&lt;&gt;"✓")),OR('Tasks Filter'!$L$3="",AV887='Tasks Filter'!$L$3),OR('Tasks Filter'!$L$4="",AZ887='Tasks Filter'!$L$4),OR('Tasks Filter'!$L$5="",BC887='Tasks Filter'!$L$5),OR('Tasks Filter'!$O$3="",BD887='Tasks Filter'!$O$3),OR('Tasks Filter'!$O$4="Yes",BG887=0)),1,0))</f>
        <v/>
      </c>
      <c r="BJ887">
        <f>IF(BH887=0,"",IF('Tasks Filter'!$F$6="Descending",-1,1)*CHOOSE(MATCH('Tasks Filter'!$F$5,Lists!$G$2:$G$6,0),AW887,BF887,IFERROR(MATCH(AV887,Setup!$F$6:$F$15,0),99),IFERROR(MATCH(BC887,Setup!$H$6:$H$15,0),99),IFERROR(MATCH(AZ887,Setup!$J$6:$J$11,0),99))*1E+9+(AW887-40000)*10000+886)</f>
        <v/>
      </c>
      <c r="BK887">
        <f>IF(BI887=1,BJ887,"")</f>
        <v/>
      </c>
      <c r="BL887">
        <f>IF(AND(BH887=1,BG887=0,N(AW887)&lt;Setup!$D$7),(AW887-40000)*10000+886,"")</f>
        <v/>
      </c>
      <c r="BM887">
        <f>IF(AND(BH887=1,AZ887&lt;&gt;"Cancelled",N(AW887)&gt;=Dashboard!$AB$3,N(AW887)&lt;=Dashboard!$AB$3+6),(AW887-40000)*100000+BF887*10000+886,"")</f>
        <v/>
      </c>
      <c r="BN887">
        <f>IF(AND(BH887=1,AZ887&lt;&gt;"Cancelled"),BF887*10000+886,"")</f>
        <v/>
      </c>
    </row>
    <row r="888">
      <c r="AS888" t="inlineStr">
        <is>
          <t>R</t>
        </is>
      </c>
      <c r="AT888" t="n">
        <v>892</v>
      </c>
      <c r="AU888">
        <f>'Recurring Log'!C892&amp;""</f>
        <v/>
      </c>
      <c r="AV888">
        <f>'Recurring Log'!D892&amp;""</f>
        <v/>
      </c>
      <c r="AW888">
        <f>IF('Recurring Log'!E892="","",'Recurring Log'!E892)</f>
        <v/>
      </c>
      <c r="AX888">
        <f>IF('Recurring Log'!G892="","",'Recurring Log'!G892)</f>
        <v/>
      </c>
      <c r="AY888">
        <f>IF('Recurring Log'!H892="","",'Recurring Log'!H892)</f>
        <v/>
      </c>
      <c r="AZ888">
        <f>IF(AU888="","",IF('Recurring Log'!J892="","Not Started",'Recurring Log'!J892))</f>
        <v/>
      </c>
      <c r="BA888">
        <f>'Recurring Log'!L892&amp;""</f>
        <v/>
      </c>
      <c r="BB888">
        <f>'Recurring Log'!M892&amp;""</f>
        <v/>
      </c>
      <c r="BC888">
        <f>'Recurring Log'!N892&amp;""</f>
        <v/>
      </c>
      <c r="BD888">
        <f>'Recurring Log'!O892&amp;""</f>
        <v/>
      </c>
      <c r="BE888">
        <f>IF('Recurring Log'!K892="","",'Recurring Log'!K892)</f>
        <v/>
      </c>
      <c r="BF888">
        <f>IFERROR(MATCH(BA888,Setup!$L$6:$L$9,0),5)</f>
        <v/>
      </c>
      <c r="BG888">
        <f>IF(OR(AZ888="Done",AZ888="Cancelled"),1,0)</f>
        <v/>
      </c>
      <c r="BH888">
        <f>IF(AND(AU888&lt;&gt;"",ISNUMBER(AW888)),1,0)</f>
        <v/>
      </c>
      <c r="BI888">
        <f>IF(BH888=0,0,IF(AND(AW888&gt;='Tasks Filter'!$F$3,AW888&lt;='Tasks Filter'!$F$4,OR('Tasks Filter'!$I$3="",ISNUMBER(SEARCH('Tasks Filter'!$I$3,AU888))),OR('Tasks Filter'!$I$4="",BF888=IFERROR(MATCH('Tasks Filter'!$I$4,Setup!$L$6:$L$9,0),0)),OR('Tasks Filter'!$I$5="Both",AND('Tasks Filter'!$I$5="Yes",BB888="✓"),AND('Tasks Filter'!$I$5="No",BB888&lt;&gt;"✓")),OR('Tasks Filter'!$L$3="",AV888='Tasks Filter'!$L$3),OR('Tasks Filter'!$L$4="",AZ888='Tasks Filter'!$L$4),OR('Tasks Filter'!$L$5="",BC888='Tasks Filter'!$L$5),OR('Tasks Filter'!$O$3="",BD888='Tasks Filter'!$O$3),OR('Tasks Filter'!$O$4="Yes",BG888=0)),1,0))</f>
        <v/>
      </c>
      <c r="BJ888">
        <f>IF(BH888=0,"",IF('Tasks Filter'!$F$6="Descending",-1,1)*CHOOSE(MATCH('Tasks Filter'!$F$5,Lists!$G$2:$G$6,0),AW888,BF888,IFERROR(MATCH(AV888,Setup!$F$6:$F$15,0),99),IFERROR(MATCH(BC888,Setup!$H$6:$H$15,0),99),IFERROR(MATCH(AZ888,Setup!$J$6:$J$11,0),99))*1E+9+(AW888-40000)*10000+887)</f>
        <v/>
      </c>
      <c r="BK888">
        <f>IF(BI888=1,BJ888,"")</f>
        <v/>
      </c>
      <c r="BL888">
        <f>IF(AND(BH888=1,BG888=0,N(AW888)&lt;Setup!$D$7),(AW888-40000)*10000+887,"")</f>
        <v/>
      </c>
      <c r="BM888">
        <f>IF(AND(BH888=1,AZ888&lt;&gt;"Cancelled",N(AW888)&gt;=Dashboard!$AB$3,N(AW888)&lt;=Dashboard!$AB$3+6),(AW888-40000)*100000+BF888*10000+887,"")</f>
        <v/>
      </c>
      <c r="BN888">
        <f>IF(AND(BH888=1,AZ888&lt;&gt;"Cancelled"),BF888*10000+887,"")</f>
        <v/>
      </c>
    </row>
    <row r="889">
      <c r="AS889" t="inlineStr">
        <is>
          <t>R</t>
        </is>
      </c>
      <c r="AT889" t="n">
        <v>893</v>
      </c>
      <c r="AU889">
        <f>'Recurring Log'!C893&amp;""</f>
        <v/>
      </c>
      <c r="AV889">
        <f>'Recurring Log'!D893&amp;""</f>
        <v/>
      </c>
      <c r="AW889">
        <f>IF('Recurring Log'!E893="","",'Recurring Log'!E893)</f>
        <v/>
      </c>
      <c r="AX889">
        <f>IF('Recurring Log'!G893="","",'Recurring Log'!G893)</f>
        <v/>
      </c>
      <c r="AY889">
        <f>IF('Recurring Log'!H893="","",'Recurring Log'!H893)</f>
        <v/>
      </c>
      <c r="AZ889">
        <f>IF(AU889="","",IF('Recurring Log'!J893="","Not Started",'Recurring Log'!J893))</f>
        <v/>
      </c>
      <c r="BA889">
        <f>'Recurring Log'!L893&amp;""</f>
        <v/>
      </c>
      <c r="BB889">
        <f>'Recurring Log'!M893&amp;""</f>
        <v/>
      </c>
      <c r="BC889">
        <f>'Recurring Log'!N893&amp;""</f>
        <v/>
      </c>
      <c r="BD889">
        <f>'Recurring Log'!O893&amp;""</f>
        <v/>
      </c>
      <c r="BE889">
        <f>IF('Recurring Log'!K893="","",'Recurring Log'!K893)</f>
        <v/>
      </c>
      <c r="BF889">
        <f>IFERROR(MATCH(BA889,Setup!$L$6:$L$9,0),5)</f>
        <v/>
      </c>
      <c r="BG889">
        <f>IF(OR(AZ889="Done",AZ889="Cancelled"),1,0)</f>
        <v/>
      </c>
      <c r="BH889">
        <f>IF(AND(AU889&lt;&gt;"",ISNUMBER(AW889)),1,0)</f>
        <v/>
      </c>
      <c r="BI889">
        <f>IF(BH889=0,0,IF(AND(AW889&gt;='Tasks Filter'!$F$3,AW889&lt;='Tasks Filter'!$F$4,OR('Tasks Filter'!$I$3="",ISNUMBER(SEARCH('Tasks Filter'!$I$3,AU889))),OR('Tasks Filter'!$I$4="",BF889=IFERROR(MATCH('Tasks Filter'!$I$4,Setup!$L$6:$L$9,0),0)),OR('Tasks Filter'!$I$5="Both",AND('Tasks Filter'!$I$5="Yes",BB889="✓"),AND('Tasks Filter'!$I$5="No",BB889&lt;&gt;"✓")),OR('Tasks Filter'!$L$3="",AV889='Tasks Filter'!$L$3),OR('Tasks Filter'!$L$4="",AZ889='Tasks Filter'!$L$4),OR('Tasks Filter'!$L$5="",BC889='Tasks Filter'!$L$5),OR('Tasks Filter'!$O$3="",BD889='Tasks Filter'!$O$3),OR('Tasks Filter'!$O$4="Yes",BG889=0)),1,0))</f>
        <v/>
      </c>
      <c r="BJ889">
        <f>IF(BH889=0,"",IF('Tasks Filter'!$F$6="Descending",-1,1)*CHOOSE(MATCH('Tasks Filter'!$F$5,Lists!$G$2:$G$6,0),AW889,BF889,IFERROR(MATCH(AV889,Setup!$F$6:$F$15,0),99),IFERROR(MATCH(BC889,Setup!$H$6:$H$15,0),99),IFERROR(MATCH(AZ889,Setup!$J$6:$J$11,0),99))*1E+9+(AW889-40000)*10000+888)</f>
        <v/>
      </c>
      <c r="BK889">
        <f>IF(BI889=1,BJ889,"")</f>
        <v/>
      </c>
      <c r="BL889">
        <f>IF(AND(BH889=1,BG889=0,N(AW889)&lt;Setup!$D$7),(AW889-40000)*10000+888,"")</f>
        <v/>
      </c>
      <c r="BM889">
        <f>IF(AND(BH889=1,AZ889&lt;&gt;"Cancelled",N(AW889)&gt;=Dashboard!$AB$3,N(AW889)&lt;=Dashboard!$AB$3+6),(AW889-40000)*100000+BF889*10000+888,"")</f>
        <v/>
      </c>
      <c r="BN889">
        <f>IF(AND(BH889=1,AZ889&lt;&gt;"Cancelled"),BF889*10000+888,"")</f>
        <v/>
      </c>
    </row>
    <row r="890">
      <c r="AS890" t="inlineStr">
        <is>
          <t>R</t>
        </is>
      </c>
      <c r="AT890" t="n">
        <v>894</v>
      </c>
      <c r="AU890">
        <f>'Recurring Log'!C894&amp;""</f>
        <v/>
      </c>
      <c r="AV890">
        <f>'Recurring Log'!D894&amp;""</f>
        <v/>
      </c>
      <c r="AW890">
        <f>IF('Recurring Log'!E894="","",'Recurring Log'!E894)</f>
        <v/>
      </c>
      <c r="AX890">
        <f>IF('Recurring Log'!G894="","",'Recurring Log'!G894)</f>
        <v/>
      </c>
      <c r="AY890">
        <f>IF('Recurring Log'!H894="","",'Recurring Log'!H894)</f>
        <v/>
      </c>
      <c r="AZ890">
        <f>IF(AU890="","",IF('Recurring Log'!J894="","Not Started",'Recurring Log'!J894))</f>
        <v/>
      </c>
      <c r="BA890">
        <f>'Recurring Log'!L894&amp;""</f>
        <v/>
      </c>
      <c r="BB890">
        <f>'Recurring Log'!M894&amp;""</f>
        <v/>
      </c>
      <c r="BC890">
        <f>'Recurring Log'!N894&amp;""</f>
        <v/>
      </c>
      <c r="BD890">
        <f>'Recurring Log'!O894&amp;""</f>
        <v/>
      </c>
      <c r="BE890">
        <f>IF('Recurring Log'!K894="","",'Recurring Log'!K894)</f>
        <v/>
      </c>
      <c r="BF890">
        <f>IFERROR(MATCH(BA890,Setup!$L$6:$L$9,0),5)</f>
        <v/>
      </c>
      <c r="BG890">
        <f>IF(OR(AZ890="Done",AZ890="Cancelled"),1,0)</f>
        <v/>
      </c>
      <c r="BH890">
        <f>IF(AND(AU890&lt;&gt;"",ISNUMBER(AW890)),1,0)</f>
        <v/>
      </c>
      <c r="BI890">
        <f>IF(BH890=0,0,IF(AND(AW890&gt;='Tasks Filter'!$F$3,AW890&lt;='Tasks Filter'!$F$4,OR('Tasks Filter'!$I$3="",ISNUMBER(SEARCH('Tasks Filter'!$I$3,AU890))),OR('Tasks Filter'!$I$4="",BF890=IFERROR(MATCH('Tasks Filter'!$I$4,Setup!$L$6:$L$9,0),0)),OR('Tasks Filter'!$I$5="Both",AND('Tasks Filter'!$I$5="Yes",BB890="✓"),AND('Tasks Filter'!$I$5="No",BB890&lt;&gt;"✓")),OR('Tasks Filter'!$L$3="",AV890='Tasks Filter'!$L$3),OR('Tasks Filter'!$L$4="",AZ890='Tasks Filter'!$L$4),OR('Tasks Filter'!$L$5="",BC890='Tasks Filter'!$L$5),OR('Tasks Filter'!$O$3="",BD890='Tasks Filter'!$O$3),OR('Tasks Filter'!$O$4="Yes",BG890=0)),1,0))</f>
        <v/>
      </c>
      <c r="BJ890">
        <f>IF(BH890=0,"",IF('Tasks Filter'!$F$6="Descending",-1,1)*CHOOSE(MATCH('Tasks Filter'!$F$5,Lists!$G$2:$G$6,0),AW890,BF890,IFERROR(MATCH(AV890,Setup!$F$6:$F$15,0),99),IFERROR(MATCH(BC890,Setup!$H$6:$H$15,0),99),IFERROR(MATCH(AZ890,Setup!$J$6:$J$11,0),99))*1E+9+(AW890-40000)*10000+889)</f>
        <v/>
      </c>
      <c r="BK890">
        <f>IF(BI890=1,BJ890,"")</f>
        <v/>
      </c>
      <c r="BL890">
        <f>IF(AND(BH890=1,BG890=0,N(AW890)&lt;Setup!$D$7),(AW890-40000)*10000+889,"")</f>
        <v/>
      </c>
      <c r="BM890">
        <f>IF(AND(BH890=1,AZ890&lt;&gt;"Cancelled",N(AW890)&gt;=Dashboard!$AB$3,N(AW890)&lt;=Dashboard!$AB$3+6),(AW890-40000)*100000+BF890*10000+889,"")</f>
        <v/>
      </c>
      <c r="BN890">
        <f>IF(AND(BH890=1,AZ890&lt;&gt;"Cancelled"),BF890*10000+889,"")</f>
        <v/>
      </c>
    </row>
    <row r="891">
      <c r="AS891" t="inlineStr">
        <is>
          <t>R</t>
        </is>
      </c>
      <c r="AT891" t="n">
        <v>895</v>
      </c>
      <c r="AU891">
        <f>'Recurring Log'!C895&amp;""</f>
        <v/>
      </c>
      <c r="AV891">
        <f>'Recurring Log'!D895&amp;""</f>
        <v/>
      </c>
      <c r="AW891">
        <f>IF('Recurring Log'!E895="","",'Recurring Log'!E895)</f>
        <v/>
      </c>
      <c r="AX891">
        <f>IF('Recurring Log'!G895="","",'Recurring Log'!G895)</f>
        <v/>
      </c>
      <c r="AY891">
        <f>IF('Recurring Log'!H895="","",'Recurring Log'!H895)</f>
        <v/>
      </c>
      <c r="AZ891">
        <f>IF(AU891="","",IF('Recurring Log'!J895="","Not Started",'Recurring Log'!J895))</f>
        <v/>
      </c>
      <c r="BA891">
        <f>'Recurring Log'!L895&amp;""</f>
        <v/>
      </c>
      <c r="BB891">
        <f>'Recurring Log'!M895&amp;""</f>
        <v/>
      </c>
      <c r="BC891">
        <f>'Recurring Log'!N895&amp;""</f>
        <v/>
      </c>
      <c r="BD891">
        <f>'Recurring Log'!O895&amp;""</f>
        <v/>
      </c>
      <c r="BE891">
        <f>IF('Recurring Log'!K895="","",'Recurring Log'!K895)</f>
        <v/>
      </c>
      <c r="BF891">
        <f>IFERROR(MATCH(BA891,Setup!$L$6:$L$9,0),5)</f>
        <v/>
      </c>
      <c r="BG891">
        <f>IF(OR(AZ891="Done",AZ891="Cancelled"),1,0)</f>
        <v/>
      </c>
      <c r="BH891">
        <f>IF(AND(AU891&lt;&gt;"",ISNUMBER(AW891)),1,0)</f>
        <v/>
      </c>
      <c r="BI891">
        <f>IF(BH891=0,0,IF(AND(AW891&gt;='Tasks Filter'!$F$3,AW891&lt;='Tasks Filter'!$F$4,OR('Tasks Filter'!$I$3="",ISNUMBER(SEARCH('Tasks Filter'!$I$3,AU891))),OR('Tasks Filter'!$I$4="",BF891=IFERROR(MATCH('Tasks Filter'!$I$4,Setup!$L$6:$L$9,0),0)),OR('Tasks Filter'!$I$5="Both",AND('Tasks Filter'!$I$5="Yes",BB891="✓"),AND('Tasks Filter'!$I$5="No",BB891&lt;&gt;"✓")),OR('Tasks Filter'!$L$3="",AV891='Tasks Filter'!$L$3),OR('Tasks Filter'!$L$4="",AZ891='Tasks Filter'!$L$4),OR('Tasks Filter'!$L$5="",BC891='Tasks Filter'!$L$5),OR('Tasks Filter'!$O$3="",BD891='Tasks Filter'!$O$3),OR('Tasks Filter'!$O$4="Yes",BG891=0)),1,0))</f>
        <v/>
      </c>
      <c r="BJ891">
        <f>IF(BH891=0,"",IF('Tasks Filter'!$F$6="Descending",-1,1)*CHOOSE(MATCH('Tasks Filter'!$F$5,Lists!$G$2:$G$6,0),AW891,BF891,IFERROR(MATCH(AV891,Setup!$F$6:$F$15,0),99),IFERROR(MATCH(BC891,Setup!$H$6:$H$15,0),99),IFERROR(MATCH(AZ891,Setup!$J$6:$J$11,0),99))*1E+9+(AW891-40000)*10000+890)</f>
        <v/>
      </c>
      <c r="BK891">
        <f>IF(BI891=1,BJ891,"")</f>
        <v/>
      </c>
      <c r="BL891">
        <f>IF(AND(BH891=1,BG891=0,N(AW891)&lt;Setup!$D$7),(AW891-40000)*10000+890,"")</f>
        <v/>
      </c>
      <c r="BM891">
        <f>IF(AND(BH891=1,AZ891&lt;&gt;"Cancelled",N(AW891)&gt;=Dashboard!$AB$3,N(AW891)&lt;=Dashboard!$AB$3+6),(AW891-40000)*100000+BF891*10000+890,"")</f>
        <v/>
      </c>
      <c r="BN891">
        <f>IF(AND(BH891=1,AZ891&lt;&gt;"Cancelled"),BF891*10000+890,"")</f>
        <v/>
      </c>
    </row>
    <row r="892">
      <c r="AS892" t="inlineStr">
        <is>
          <t>R</t>
        </is>
      </c>
      <c r="AT892" t="n">
        <v>896</v>
      </c>
      <c r="AU892">
        <f>'Recurring Log'!C896&amp;""</f>
        <v/>
      </c>
      <c r="AV892">
        <f>'Recurring Log'!D896&amp;""</f>
        <v/>
      </c>
      <c r="AW892">
        <f>IF('Recurring Log'!E896="","",'Recurring Log'!E896)</f>
        <v/>
      </c>
      <c r="AX892">
        <f>IF('Recurring Log'!G896="","",'Recurring Log'!G896)</f>
        <v/>
      </c>
      <c r="AY892">
        <f>IF('Recurring Log'!H896="","",'Recurring Log'!H896)</f>
        <v/>
      </c>
      <c r="AZ892">
        <f>IF(AU892="","",IF('Recurring Log'!J896="","Not Started",'Recurring Log'!J896))</f>
        <v/>
      </c>
      <c r="BA892">
        <f>'Recurring Log'!L896&amp;""</f>
        <v/>
      </c>
      <c r="BB892">
        <f>'Recurring Log'!M896&amp;""</f>
        <v/>
      </c>
      <c r="BC892">
        <f>'Recurring Log'!N896&amp;""</f>
        <v/>
      </c>
      <c r="BD892">
        <f>'Recurring Log'!O896&amp;""</f>
        <v/>
      </c>
      <c r="BE892">
        <f>IF('Recurring Log'!K896="","",'Recurring Log'!K896)</f>
        <v/>
      </c>
      <c r="BF892">
        <f>IFERROR(MATCH(BA892,Setup!$L$6:$L$9,0),5)</f>
        <v/>
      </c>
      <c r="BG892">
        <f>IF(OR(AZ892="Done",AZ892="Cancelled"),1,0)</f>
        <v/>
      </c>
      <c r="BH892">
        <f>IF(AND(AU892&lt;&gt;"",ISNUMBER(AW892)),1,0)</f>
        <v/>
      </c>
      <c r="BI892">
        <f>IF(BH892=0,0,IF(AND(AW892&gt;='Tasks Filter'!$F$3,AW892&lt;='Tasks Filter'!$F$4,OR('Tasks Filter'!$I$3="",ISNUMBER(SEARCH('Tasks Filter'!$I$3,AU892))),OR('Tasks Filter'!$I$4="",BF892=IFERROR(MATCH('Tasks Filter'!$I$4,Setup!$L$6:$L$9,0),0)),OR('Tasks Filter'!$I$5="Both",AND('Tasks Filter'!$I$5="Yes",BB892="✓"),AND('Tasks Filter'!$I$5="No",BB892&lt;&gt;"✓")),OR('Tasks Filter'!$L$3="",AV892='Tasks Filter'!$L$3),OR('Tasks Filter'!$L$4="",AZ892='Tasks Filter'!$L$4),OR('Tasks Filter'!$L$5="",BC892='Tasks Filter'!$L$5),OR('Tasks Filter'!$O$3="",BD892='Tasks Filter'!$O$3),OR('Tasks Filter'!$O$4="Yes",BG892=0)),1,0))</f>
        <v/>
      </c>
      <c r="BJ892">
        <f>IF(BH892=0,"",IF('Tasks Filter'!$F$6="Descending",-1,1)*CHOOSE(MATCH('Tasks Filter'!$F$5,Lists!$G$2:$G$6,0),AW892,BF892,IFERROR(MATCH(AV892,Setup!$F$6:$F$15,0),99),IFERROR(MATCH(BC892,Setup!$H$6:$H$15,0),99),IFERROR(MATCH(AZ892,Setup!$J$6:$J$11,0),99))*1E+9+(AW892-40000)*10000+891)</f>
        <v/>
      </c>
      <c r="BK892">
        <f>IF(BI892=1,BJ892,"")</f>
        <v/>
      </c>
      <c r="BL892">
        <f>IF(AND(BH892=1,BG892=0,N(AW892)&lt;Setup!$D$7),(AW892-40000)*10000+891,"")</f>
        <v/>
      </c>
      <c r="BM892">
        <f>IF(AND(BH892=1,AZ892&lt;&gt;"Cancelled",N(AW892)&gt;=Dashboard!$AB$3,N(AW892)&lt;=Dashboard!$AB$3+6),(AW892-40000)*100000+BF892*10000+891,"")</f>
        <v/>
      </c>
      <c r="BN892">
        <f>IF(AND(BH892=1,AZ892&lt;&gt;"Cancelled"),BF892*10000+891,"")</f>
        <v/>
      </c>
    </row>
    <row r="893">
      <c r="AS893" t="inlineStr">
        <is>
          <t>R</t>
        </is>
      </c>
      <c r="AT893" t="n">
        <v>897</v>
      </c>
      <c r="AU893">
        <f>'Recurring Log'!C897&amp;""</f>
        <v/>
      </c>
      <c r="AV893">
        <f>'Recurring Log'!D897&amp;""</f>
        <v/>
      </c>
      <c r="AW893">
        <f>IF('Recurring Log'!E897="","",'Recurring Log'!E897)</f>
        <v/>
      </c>
      <c r="AX893">
        <f>IF('Recurring Log'!G897="","",'Recurring Log'!G897)</f>
        <v/>
      </c>
      <c r="AY893">
        <f>IF('Recurring Log'!H897="","",'Recurring Log'!H897)</f>
        <v/>
      </c>
      <c r="AZ893">
        <f>IF(AU893="","",IF('Recurring Log'!J897="","Not Started",'Recurring Log'!J897))</f>
        <v/>
      </c>
      <c r="BA893">
        <f>'Recurring Log'!L897&amp;""</f>
        <v/>
      </c>
      <c r="BB893">
        <f>'Recurring Log'!M897&amp;""</f>
        <v/>
      </c>
      <c r="BC893">
        <f>'Recurring Log'!N897&amp;""</f>
        <v/>
      </c>
      <c r="BD893">
        <f>'Recurring Log'!O897&amp;""</f>
        <v/>
      </c>
      <c r="BE893">
        <f>IF('Recurring Log'!K897="","",'Recurring Log'!K897)</f>
        <v/>
      </c>
      <c r="BF893">
        <f>IFERROR(MATCH(BA893,Setup!$L$6:$L$9,0),5)</f>
        <v/>
      </c>
      <c r="BG893">
        <f>IF(OR(AZ893="Done",AZ893="Cancelled"),1,0)</f>
        <v/>
      </c>
      <c r="BH893">
        <f>IF(AND(AU893&lt;&gt;"",ISNUMBER(AW893)),1,0)</f>
        <v/>
      </c>
      <c r="BI893">
        <f>IF(BH893=0,0,IF(AND(AW893&gt;='Tasks Filter'!$F$3,AW893&lt;='Tasks Filter'!$F$4,OR('Tasks Filter'!$I$3="",ISNUMBER(SEARCH('Tasks Filter'!$I$3,AU893))),OR('Tasks Filter'!$I$4="",BF893=IFERROR(MATCH('Tasks Filter'!$I$4,Setup!$L$6:$L$9,0),0)),OR('Tasks Filter'!$I$5="Both",AND('Tasks Filter'!$I$5="Yes",BB893="✓"),AND('Tasks Filter'!$I$5="No",BB893&lt;&gt;"✓")),OR('Tasks Filter'!$L$3="",AV893='Tasks Filter'!$L$3),OR('Tasks Filter'!$L$4="",AZ893='Tasks Filter'!$L$4),OR('Tasks Filter'!$L$5="",BC893='Tasks Filter'!$L$5),OR('Tasks Filter'!$O$3="",BD893='Tasks Filter'!$O$3),OR('Tasks Filter'!$O$4="Yes",BG893=0)),1,0))</f>
        <v/>
      </c>
      <c r="BJ893">
        <f>IF(BH893=0,"",IF('Tasks Filter'!$F$6="Descending",-1,1)*CHOOSE(MATCH('Tasks Filter'!$F$5,Lists!$G$2:$G$6,0),AW893,BF893,IFERROR(MATCH(AV893,Setup!$F$6:$F$15,0),99),IFERROR(MATCH(BC893,Setup!$H$6:$H$15,0),99),IFERROR(MATCH(AZ893,Setup!$J$6:$J$11,0),99))*1E+9+(AW893-40000)*10000+892)</f>
        <v/>
      </c>
      <c r="BK893">
        <f>IF(BI893=1,BJ893,"")</f>
        <v/>
      </c>
      <c r="BL893">
        <f>IF(AND(BH893=1,BG893=0,N(AW893)&lt;Setup!$D$7),(AW893-40000)*10000+892,"")</f>
        <v/>
      </c>
      <c r="BM893">
        <f>IF(AND(BH893=1,AZ893&lt;&gt;"Cancelled",N(AW893)&gt;=Dashboard!$AB$3,N(AW893)&lt;=Dashboard!$AB$3+6),(AW893-40000)*100000+BF893*10000+892,"")</f>
        <v/>
      </c>
      <c r="BN893">
        <f>IF(AND(BH893=1,AZ893&lt;&gt;"Cancelled"),BF893*10000+892,"")</f>
        <v/>
      </c>
    </row>
    <row r="894">
      <c r="AS894" t="inlineStr">
        <is>
          <t>R</t>
        </is>
      </c>
      <c r="AT894" t="n">
        <v>898</v>
      </c>
      <c r="AU894">
        <f>'Recurring Log'!C898&amp;""</f>
        <v/>
      </c>
      <c r="AV894">
        <f>'Recurring Log'!D898&amp;""</f>
        <v/>
      </c>
      <c r="AW894">
        <f>IF('Recurring Log'!E898="","",'Recurring Log'!E898)</f>
        <v/>
      </c>
      <c r="AX894">
        <f>IF('Recurring Log'!G898="","",'Recurring Log'!G898)</f>
        <v/>
      </c>
      <c r="AY894">
        <f>IF('Recurring Log'!H898="","",'Recurring Log'!H898)</f>
        <v/>
      </c>
      <c r="AZ894">
        <f>IF(AU894="","",IF('Recurring Log'!J898="","Not Started",'Recurring Log'!J898))</f>
        <v/>
      </c>
      <c r="BA894">
        <f>'Recurring Log'!L898&amp;""</f>
        <v/>
      </c>
      <c r="BB894">
        <f>'Recurring Log'!M898&amp;""</f>
        <v/>
      </c>
      <c r="BC894">
        <f>'Recurring Log'!N898&amp;""</f>
        <v/>
      </c>
      <c r="BD894">
        <f>'Recurring Log'!O898&amp;""</f>
        <v/>
      </c>
      <c r="BE894">
        <f>IF('Recurring Log'!K898="","",'Recurring Log'!K898)</f>
        <v/>
      </c>
      <c r="BF894">
        <f>IFERROR(MATCH(BA894,Setup!$L$6:$L$9,0),5)</f>
        <v/>
      </c>
      <c r="BG894">
        <f>IF(OR(AZ894="Done",AZ894="Cancelled"),1,0)</f>
        <v/>
      </c>
      <c r="BH894">
        <f>IF(AND(AU894&lt;&gt;"",ISNUMBER(AW894)),1,0)</f>
        <v/>
      </c>
      <c r="BI894">
        <f>IF(BH894=0,0,IF(AND(AW894&gt;='Tasks Filter'!$F$3,AW894&lt;='Tasks Filter'!$F$4,OR('Tasks Filter'!$I$3="",ISNUMBER(SEARCH('Tasks Filter'!$I$3,AU894))),OR('Tasks Filter'!$I$4="",BF894=IFERROR(MATCH('Tasks Filter'!$I$4,Setup!$L$6:$L$9,0),0)),OR('Tasks Filter'!$I$5="Both",AND('Tasks Filter'!$I$5="Yes",BB894="✓"),AND('Tasks Filter'!$I$5="No",BB894&lt;&gt;"✓")),OR('Tasks Filter'!$L$3="",AV894='Tasks Filter'!$L$3),OR('Tasks Filter'!$L$4="",AZ894='Tasks Filter'!$L$4),OR('Tasks Filter'!$L$5="",BC894='Tasks Filter'!$L$5),OR('Tasks Filter'!$O$3="",BD894='Tasks Filter'!$O$3),OR('Tasks Filter'!$O$4="Yes",BG894=0)),1,0))</f>
        <v/>
      </c>
      <c r="BJ894">
        <f>IF(BH894=0,"",IF('Tasks Filter'!$F$6="Descending",-1,1)*CHOOSE(MATCH('Tasks Filter'!$F$5,Lists!$G$2:$G$6,0),AW894,BF894,IFERROR(MATCH(AV894,Setup!$F$6:$F$15,0),99),IFERROR(MATCH(BC894,Setup!$H$6:$H$15,0),99),IFERROR(MATCH(AZ894,Setup!$J$6:$J$11,0),99))*1E+9+(AW894-40000)*10000+893)</f>
        <v/>
      </c>
      <c r="BK894">
        <f>IF(BI894=1,BJ894,"")</f>
        <v/>
      </c>
      <c r="BL894">
        <f>IF(AND(BH894=1,BG894=0,N(AW894)&lt;Setup!$D$7),(AW894-40000)*10000+893,"")</f>
        <v/>
      </c>
      <c r="BM894">
        <f>IF(AND(BH894=1,AZ894&lt;&gt;"Cancelled",N(AW894)&gt;=Dashboard!$AB$3,N(AW894)&lt;=Dashboard!$AB$3+6),(AW894-40000)*100000+BF894*10000+893,"")</f>
        <v/>
      </c>
      <c r="BN894">
        <f>IF(AND(BH894=1,AZ894&lt;&gt;"Cancelled"),BF894*10000+893,"")</f>
        <v/>
      </c>
    </row>
    <row r="895">
      <c r="AS895" t="inlineStr">
        <is>
          <t>R</t>
        </is>
      </c>
      <c r="AT895" t="n">
        <v>899</v>
      </c>
      <c r="AU895">
        <f>'Recurring Log'!C899&amp;""</f>
        <v/>
      </c>
      <c r="AV895">
        <f>'Recurring Log'!D899&amp;""</f>
        <v/>
      </c>
      <c r="AW895">
        <f>IF('Recurring Log'!E899="","",'Recurring Log'!E899)</f>
        <v/>
      </c>
      <c r="AX895">
        <f>IF('Recurring Log'!G899="","",'Recurring Log'!G899)</f>
        <v/>
      </c>
      <c r="AY895">
        <f>IF('Recurring Log'!H899="","",'Recurring Log'!H899)</f>
        <v/>
      </c>
      <c r="AZ895">
        <f>IF(AU895="","",IF('Recurring Log'!J899="","Not Started",'Recurring Log'!J899))</f>
        <v/>
      </c>
      <c r="BA895">
        <f>'Recurring Log'!L899&amp;""</f>
        <v/>
      </c>
      <c r="BB895">
        <f>'Recurring Log'!M899&amp;""</f>
        <v/>
      </c>
      <c r="BC895">
        <f>'Recurring Log'!N899&amp;""</f>
        <v/>
      </c>
      <c r="BD895">
        <f>'Recurring Log'!O899&amp;""</f>
        <v/>
      </c>
      <c r="BE895">
        <f>IF('Recurring Log'!K899="","",'Recurring Log'!K899)</f>
        <v/>
      </c>
      <c r="BF895">
        <f>IFERROR(MATCH(BA895,Setup!$L$6:$L$9,0),5)</f>
        <v/>
      </c>
      <c r="BG895">
        <f>IF(OR(AZ895="Done",AZ895="Cancelled"),1,0)</f>
        <v/>
      </c>
      <c r="BH895">
        <f>IF(AND(AU895&lt;&gt;"",ISNUMBER(AW895)),1,0)</f>
        <v/>
      </c>
      <c r="BI895">
        <f>IF(BH895=0,0,IF(AND(AW895&gt;='Tasks Filter'!$F$3,AW895&lt;='Tasks Filter'!$F$4,OR('Tasks Filter'!$I$3="",ISNUMBER(SEARCH('Tasks Filter'!$I$3,AU895))),OR('Tasks Filter'!$I$4="",BF895=IFERROR(MATCH('Tasks Filter'!$I$4,Setup!$L$6:$L$9,0),0)),OR('Tasks Filter'!$I$5="Both",AND('Tasks Filter'!$I$5="Yes",BB895="✓"),AND('Tasks Filter'!$I$5="No",BB895&lt;&gt;"✓")),OR('Tasks Filter'!$L$3="",AV895='Tasks Filter'!$L$3),OR('Tasks Filter'!$L$4="",AZ895='Tasks Filter'!$L$4),OR('Tasks Filter'!$L$5="",BC895='Tasks Filter'!$L$5),OR('Tasks Filter'!$O$3="",BD895='Tasks Filter'!$O$3),OR('Tasks Filter'!$O$4="Yes",BG895=0)),1,0))</f>
        <v/>
      </c>
      <c r="BJ895">
        <f>IF(BH895=0,"",IF('Tasks Filter'!$F$6="Descending",-1,1)*CHOOSE(MATCH('Tasks Filter'!$F$5,Lists!$G$2:$G$6,0),AW895,BF895,IFERROR(MATCH(AV895,Setup!$F$6:$F$15,0),99),IFERROR(MATCH(BC895,Setup!$H$6:$H$15,0),99),IFERROR(MATCH(AZ895,Setup!$J$6:$J$11,0),99))*1E+9+(AW895-40000)*10000+894)</f>
        <v/>
      </c>
      <c r="BK895">
        <f>IF(BI895=1,BJ895,"")</f>
        <v/>
      </c>
      <c r="BL895">
        <f>IF(AND(BH895=1,BG895=0,N(AW895)&lt;Setup!$D$7),(AW895-40000)*10000+894,"")</f>
        <v/>
      </c>
      <c r="BM895">
        <f>IF(AND(BH895=1,AZ895&lt;&gt;"Cancelled",N(AW895)&gt;=Dashboard!$AB$3,N(AW895)&lt;=Dashboard!$AB$3+6),(AW895-40000)*100000+BF895*10000+894,"")</f>
        <v/>
      </c>
      <c r="BN895">
        <f>IF(AND(BH895=1,AZ895&lt;&gt;"Cancelled"),BF895*10000+894,"")</f>
        <v/>
      </c>
    </row>
    <row r="896">
      <c r="AS896" t="inlineStr">
        <is>
          <t>R</t>
        </is>
      </c>
      <c r="AT896" t="n">
        <v>900</v>
      </c>
      <c r="AU896">
        <f>'Recurring Log'!C900&amp;""</f>
        <v/>
      </c>
      <c r="AV896">
        <f>'Recurring Log'!D900&amp;""</f>
        <v/>
      </c>
      <c r="AW896">
        <f>IF('Recurring Log'!E900="","",'Recurring Log'!E900)</f>
        <v/>
      </c>
      <c r="AX896">
        <f>IF('Recurring Log'!G900="","",'Recurring Log'!G900)</f>
        <v/>
      </c>
      <c r="AY896">
        <f>IF('Recurring Log'!H900="","",'Recurring Log'!H900)</f>
        <v/>
      </c>
      <c r="AZ896">
        <f>IF(AU896="","",IF('Recurring Log'!J900="","Not Started",'Recurring Log'!J900))</f>
        <v/>
      </c>
      <c r="BA896">
        <f>'Recurring Log'!L900&amp;""</f>
        <v/>
      </c>
      <c r="BB896">
        <f>'Recurring Log'!M900&amp;""</f>
        <v/>
      </c>
      <c r="BC896">
        <f>'Recurring Log'!N900&amp;""</f>
        <v/>
      </c>
      <c r="BD896">
        <f>'Recurring Log'!O900&amp;""</f>
        <v/>
      </c>
      <c r="BE896">
        <f>IF('Recurring Log'!K900="","",'Recurring Log'!K900)</f>
        <v/>
      </c>
      <c r="BF896">
        <f>IFERROR(MATCH(BA896,Setup!$L$6:$L$9,0),5)</f>
        <v/>
      </c>
      <c r="BG896">
        <f>IF(OR(AZ896="Done",AZ896="Cancelled"),1,0)</f>
        <v/>
      </c>
      <c r="BH896">
        <f>IF(AND(AU896&lt;&gt;"",ISNUMBER(AW896)),1,0)</f>
        <v/>
      </c>
      <c r="BI896">
        <f>IF(BH896=0,0,IF(AND(AW896&gt;='Tasks Filter'!$F$3,AW896&lt;='Tasks Filter'!$F$4,OR('Tasks Filter'!$I$3="",ISNUMBER(SEARCH('Tasks Filter'!$I$3,AU896))),OR('Tasks Filter'!$I$4="",BF896=IFERROR(MATCH('Tasks Filter'!$I$4,Setup!$L$6:$L$9,0),0)),OR('Tasks Filter'!$I$5="Both",AND('Tasks Filter'!$I$5="Yes",BB896="✓"),AND('Tasks Filter'!$I$5="No",BB896&lt;&gt;"✓")),OR('Tasks Filter'!$L$3="",AV896='Tasks Filter'!$L$3),OR('Tasks Filter'!$L$4="",AZ896='Tasks Filter'!$L$4),OR('Tasks Filter'!$L$5="",BC896='Tasks Filter'!$L$5),OR('Tasks Filter'!$O$3="",BD896='Tasks Filter'!$O$3),OR('Tasks Filter'!$O$4="Yes",BG896=0)),1,0))</f>
        <v/>
      </c>
      <c r="BJ896">
        <f>IF(BH896=0,"",IF('Tasks Filter'!$F$6="Descending",-1,1)*CHOOSE(MATCH('Tasks Filter'!$F$5,Lists!$G$2:$G$6,0),AW896,BF896,IFERROR(MATCH(AV896,Setup!$F$6:$F$15,0),99),IFERROR(MATCH(BC896,Setup!$H$6:$H$15,0),99),IFERROR(MATCH(AZ896,Setup!$J$6:$J$11,0),99))*1E+9+(AW896-40000)*10000+895)</f>
        <v/>
      </c>
      <c r="BK896">
        <f>IF(BI896=1,BJ896,"")</f>
        <v/>
      </c>
      <c r="BL896">
        <f>IF(AND(BH896=1,BG896=0,N(AW896)&lt;Setup!$D$7),(AW896-40000)*10000+895,"")</f>
        <v/>
      </c>
      <c r="BM896">
        <f>IF(AND(BH896=1,AZ896&lt;&gt;"Cancelled",N(AW896)&gt;=Dashboard!$AB$3,N(AW896)&lt;=Dashboard!$AB$3+6),(AW896-40000)*100000+BF896*10000+895,"")</f>
        <v/>
      </c>
      <c r="BN896">
        <f>IF(AND(BH896=1,AZ896&lt;&gt;"Cancelled"),BF896*10000+895,"")</f>
        <v/>
      </c>
    </row>
    <row r="897">
      <c r="AS897" t="inlineStr">
        <is>
          <t>R</t>
        </is>
      </c>
      <c r="AT897" t="n">
        <v>901</v>
      </c>
      <c r="AU897">
        <f>'Recurring Log'!C901&amp;""</f>
        <v/>
      </c>
      <c r="AV897">
        <f>'Recurring Log'!D901&amp;""</f>
        <v/>
      </c>
      <c r="AW897">
        <f>IF('Recurring Log'!E901="","",'Recurring Log'!E901)</f>
        <v/>
      </c>
      <c r="AX897">
        <f>IF('Recurring Log'!G901="","",'Recurring Log'!G901)</f>
        <v/>
      </c>
      <c r="AY897">
        <f>IF('Recurring Log'!H901="","",'Recurring Log'!H901)</f>
        <v/>
      </c>
      <c r="AZ897">
        <f>IF(AU897="","",IF('Recurring Log'!J901="","Not Started",'Recurring Log'!J901))</f>
        <v/>
      </c>
      <c r="BA897">
        <f>'Recurring Log'!L901&amp;""</f>
        <v/>
      </c>
      <c r="BB897">
        <f>'Recurring Log'!M901&amp;""</f>
        <v/>
      </c>
      <c r="BC897">
        <f>'Recurring Log'!N901&amp;""</f>
        <v/>
      </c>
      <c r="BD897">
        <f>'Recurring Log'!O901&amp;""</f>
        <v/>
      </c>
      <c r="BE897">
        <f>IF('Recurring Log'!K901="","",'Recurring Log'!K901)</f>
        <v/>
      </c>
      <c r="BF897">
        <f>IFERROR(MATCH(BA897,Setup!$L$6:$L$9,0),5)</f>
        <v/>
      </c>
      <c r="BG897">
        <f>IF(OR(AZ897="Done",AZ897="Cancelled"),1,0)</f>
        <v/>
      </c>
      <c r="BH897">
        <f>IF(AND(AU897&lt;&gt;"",ISNUMBER(AW897)),1,0)</f>
        <v/>
      </c>
      <c r="BI897">
        <f>IF(BH897=0,0,IF(AND(AW897&gt;='Tasks Filter'!$F$3,AW897&lt;='Tasks Filter'!$F$4,OR('Tasks Filter'!$I$3="",ISNUMBER(SEARCH('Tasks Filter'!$I$3,AU897))),OR('Tasks Filter'!$I$4="",BF897=IFERROR(MATCH('Tasks Filter'!$I$4,Setup!$L$6:$L$9,0),0)),OR('Tasks Filter'!$I$5="Both",AND('Tasks Filter'!$I$5="Yes",BB897="✓"),AND('Tasks Filter'!$I$5="No",BB897&lt;&gt;"✓")),OR('Tasks Filter'!$L$3="",AV897='Tasks Filter'!$L$3),OR('Tasks Filter'!$L$4="",AZ897='Tasks Filter'!$L$4),OR('Tasks Filter'!$L$5="",BC897='Tasks Filter'!$L$5),OR('Tasks Filter'!$O$3="",BD897='Tasks Filter'!$O$3),OR('Tasks Filter'!$O$4="Yes",BG897=0)),1,0))</f>
        <v/>
      </c>
      <c r="BJ897">
        <f>IF(BH897=0,"",IF('Tasks Filter'!$F$6="Descending",-1,1)*CHOOSE(MATCH('Tasks Filter'!$F$5,Lists!$G$2:$G$6,0),AW897,BF897,IFERROR(MATCH(AV897,Setup!$F$6:$F$15,0),99),IFERROR(MATCH(BC897,Setup!$H$6:$H$15,0),99),IFERROR(MATCH(AZ897,Setup!$J$6:$J$11,0),99))*1E+9+(AW897-40000)*10000+896)</f>
        <v/>
      </c>
      <c r="BK897">
        <f>IF(BI897=1,BJ897,"")</f>
        <v/>
      </c>
      <c r="BL897">
        <f>IF(AND(BH897=1,BG897=0,N(AW897)&lt;Setup!$D$7),(AW897-40000)*10000+896,"")</f>
        <v/>
      </c>
      <c r="BM897">
        <f>IF(AND(BH897=1,AZ897&lt;&gt;"Cancelled",N(AW897)&gt;=Dashboard!$AB$3,N(AW897)&lt;=Dashboard!$AB$3+6),(AW897-40000)*100000+BF897*10000+896,"")</f>
        <v/>
      </c>
      <c r="BN897">
        <f>IF(AND(BH897=1,AZ897&lt;&gt;"Cancelled"),BF897*10000+896,"")</f>
        <v/>
      </c>
    </row>
    <row r="898">
      <c r="AS898" t="inlineStr">
        <is>
          <t>R</t>
        </is>
      </c>
      <c r="AT898" t="n">
        <v>902</v>
      </c>
      <c r="AU898">
        <f>'Recurring Log'!C902&amp;""</f>
        <v/>
      </c>
      <c r="AV898">
        <f>'Recurring Log'!D902&amp;""</f>
        <v/>
      </c>
      <c r="AW898">
        <f>IF('Recurring Log'!E902="","",'Recurring Log'!E902)</f>
        <v/>
      </c>
      <c r="AX898">
        <f>IF('Recurring Log'!G902="","",'Recurring Log'!G902)</f>
        <v/>
      </c>
      <c r="AY898">
        <f>IF('Recurring Log'!H902="","",'Recurring Log'!H902)</f>
        <v/>
      </c>
      <c r="AZ898">
        <f>IF(AU898="","",IF('Recurring Log'!J902="","Not Started",'Recurring Log'!J902))</f>
        <v/>
      </c>
      <c r="BA898">
        <f>'Recurring Log'!L902&amp;""</f>
        <v/>
      </c>
      <c r="BB898">
        <f>'Recurring Log'!M902&amp;""</f>
        <v/>
      </c>
      <c r="BC898">
        <f>'Recurring Log'!N902&amp;""</f>
        <v/>
      </c>
      <c r="BD898">
        <f>'Recurring Log'!O902&amp;""</f>
        <v/>
      </c>
      <c r="BE898">
        <f>IF('Recurring Log'!K902="","",'Recurring Log'!K902)</f>
        <v/>
      </c>
      <c r="BF898">
        <f>IFERROR(MATCH(BA898,Setup!$L$6:$L$9,0),5)</f>
        <v/>
      </c>
      <c r="BG898">
        <f>IF(OR(AZ898="Done",AZ898="Cancelled"),1,0)</f>
        <v/>
      </c>
      <c r="BH898">
        <f>IF(AND(AU898&lt;&gt;"",ISNUMBER(AW898)),1,0)</f>
        <v/>
      </c>
      <c r="BI898">
        <f>IF(BH898=0,0,IF(AND(AW898&gt;='Tasks Filter'!$F$3,AW898&lt;='Tasks Filter'!$F$4,OR('Tasks Filter'!$I$3="",ISNUMBER(SEARCH('Tasks Filter'!$I$3,AU898))),OR('Tasks Filter'!$I$4="",BF898=IFERROR(MATCH('Tasks Filter'!$I$4,Setup!$L$6:$L$9,0),0)),OR('Tasks Filter'!$I$5="Both",AND('Tasks Filter'!$I$5="Yes",BB898="✓"),AND('Tasks Filter'!$I$5="No",BB898&lt;&gt;"✓")),OR('Tasks Filter'!$L$3="",AV898='Tasks Filter'!$L$3),OR('Tasks Filter'!$L$4="",AZ898='Tasks Filter'!$L$4),OR('Tasks Filter'!$L$5="",BC898='Tasks Filter'!$L$5),OR('Tasks Filter'!$O$3="",BD898='Tasks Filter'!$O$3),OR('Tasks Filter'!$O$4="Yes",BG898=0)),1,0))</f>
        <v/>
      </c>
      <c r="BJ898">
        <f>IF(BH898=0,"",IF('Tasks Filter'!$F$6="Descending",-1,1)*CHOOSE(MATCH('Tasks Filter'!$F$5,Lists!$G$2:$G$6,0),AW898,BF898,IFERROR(MATCH(AV898,Setup!$F$6:$F$15,0),99),IFERROR(MATCH(BC898,Setup!$H$6:$H$15,0),99),IFERROR(MATCH(AZ898,Setup!$J$6:$J$11,0),99))*1E+9+(AW898-40000)*10000+897)</f>
        <v/>
      </c>
      <c r="BK898">
        <f>IF(BI898=1,BJ898,"")</f>
        <v/>
      </c>
      <c r="BL898">
        <f>IF(AND(BH898=1,BG898=0,N(AW898)&lt;Setup!$D$7),(AW898-40000)*10000+897,"")</f>
        <v/>
      </c>
      <c r="BM898">
        <f>IF(AND(BH898=1,AZ898&lt;&gt;"Cancelled",N(AW898)&gt;=Dashboard!$AB$3,N(AW898)&lt;=Dashboard!$AB$3+6),(AW898-40000)*100000+BF898*10000+897,"")</f>
        <v/>
      </c>
      <c r="BN898">
        <f>IF(AND(BH898=1,AZ898&lt;&gt;"Cancelled"),BF898*10000+897,"")</f>
        <v/>
      </c>
    </row>
    <row r="899">
      <c r="AS899" t="inlineStr">
        <is>
          <t>R</t>
        </is>
      </c>
      <c r="AT899" t="n">
        <v>903</v>
      </c>
      <c r="AU899">
        <f>'Recurring Log'!C903&amp;""</f>
        <v/>
      </c>
      <c r="AV899">
        <f>'Recurring Log'!D903&amp;""</f>
        <v/>
      </c>
      <c r="AW899">
        <f>IF('Recurring Log'!E903="","",'Recurring Log'!E903)</f>
        <v/>
      </c>
      <c r="AX899">
        <f>IF('Recurring Log'!G903="","",'Recurring Log'!G903)</f>
        <v/>
      </c>
      <c r="AY899">
        <f>IF('Recurring Log'!H903="","",'Recurring Log'!H903)</f>
        <v/>
      </c>
      <c r="AZ899">
        <f>IF(AU899="","",IF('Recurring Log'!J903="","Not Started",'Recurring Log'!J903))</f>
        <v/>
      </c>
      <c r="BA899">
        <f>'Recurring Log'!L903&amp;""</f>
        <v/>
      </c>
      <c r="BB899">
        <f>'Recurring Log'!M903&amp;""</f>
        <v/>
      </c>
      <c r="BC899">
        <f>'Recurring Log'!N903&amp;""</f>
        <v/>
      </c>
      <c r="BD899">
        <f>'Recurring Log'!O903&amp;""</f>
        <v/>
      </c>
      <c r="BE899">
        <f>IF('Recurring Log'!K903="","",'Recurring Log'!K903)</f>
        <v/>
      </c>
      <c r="BF899">
        <f>IFERROR(MATCH(BA899,Setup!$L$6:$L$9,0),5)</f>
        <v/>
      </c>
      <c r="BG899">
        <f>IF(OR(AZ899="Done",AZ899="Cancelled"),1,0)</f>
        <v/>
      </c>
      <c r="BH899">
        <f>IF(AND(AU899&lt;&gt;"",ISNUMBER(AW899)),1,0)</f>
        <v/>
      </c>
      <c r="BI899">
        <f>IF(BH899=0,0,IF(AND(AW899&gt;='Tasks Filter'!$F$3,AW899&lt;='Tasks Filter'!$F$4,OR('Tasks Filter'!$I$3="",ISNUMBER(SEARCH('Tasks Filter'!$I$3,AU899))),OR('Tasks Filter'!$I$4="",BF899=IFERROR(MATCH('Tasks Filter'!$I$4,Setup!$L$6:$L$9,0),0)),OR('Tasks Filter'!$I$5="Both",AND('Tasks Filter'!$I$5="Yes",BB899="✓"),AND('Tasks Filter'!$I$5="No",BB899&lt;&gt;"✓")),OR('Tasks Filter'!$L$3="",AV899='Tasks Filter'!$L$3),OR('Tasks Filter'!$L$4="",AZ899='Tasks Filter'!$L$4),OR('Tasks Filter'!$L$5="",BC899='Tasks Filter'!$L$5),OR('Tasks Filter'!$O$3="",BD899='Tasks Filter'!$O$3),OR('Tasks Filter'!$O$4="Yes",BG899=0)),1,0))</f>
        <v/>
      </c>
      <c r="BJ899">
        <f>IF(BH899=0,"",IF('Tasks Filter'!$F$6="Descending",-1,1)*CHOOSE(MATCH('Tasks Filter'!$F$5,Lists!$G$2:$G$6,0),AW899,BF899,IFERROR(MATCH(AV899,Setup!$F$6:$F$15,0),99),IFERROR(MATCH(BC899,Setup!$H$6:$H$15,0),99),IFERROR(MATCH(AZ899,Setup!$J$6:$J$11,0),99))*1E+9+(AW899-40000)*10000+898)</f>
        <v/>
      </c>
      <c r="BK899">
        <f>IF(BI899=1,BJ899,"")</f>
        <v/>
      </c>
      <c r="BL899">
        <f>IF(AND(BH899=1,BG899=0,N(AW899)&lt;Setup!$D$7),(AW899-40000)*10000+898,"")</f>
        <v/>
      </c>
      <c r="BM899">
        <f>IF(AND(BH899=1,AZ899&lt;&gt;"Cancelled",N(AW899)&gt;=Dashboard!$AB$3,N(AW899)&lt;=Dashboard!$AB$3+6),(AW899-40000)*100000+BF899*10000+898,"")</f>
        <v/>
      </c>
      <c r="BN899">
        <f>IF(AND(BH899=1,AZ899&lt;&gt;"Cancelled"),BF899*10000+898,"")</f>
        <v/>
      </c>
    </row>
    <row r="900">
      <c r="AS900" t="inlineStr">
        <is>
          <t>R</t>
        </is>
      </c>
      <c r="AT900" t="n">
        <v>904</v>
      </c>
      <c r="AU900">
        <f>'Recurring Log'!C904&amp;""</f>
        <v/>
      </c>
      <c r="AV900">
        <f>'Recurring Log'!D904&amp;""</f>
        <v/>
      </c>
      <c r="AW900">
        <f>IF('Recurring Log'!E904="","",'Recurring Log'!E904)</f>
        <v/>
      </c>
      <c r="AX900">
        <f>IF('Recurring Log'!G904="","",'Recurring Log'!G904)</f>
        <v/>
      </c>
      <c r="AY900">
        <f>IF('Recurring Log'!H904="","",'Recurring Log'!H904)</f>
        <v/>
      </c>
      <c r="AZ900">
        <f>IF(AU900="","",IF('Recurring Log'!J904="","Not Started",'Recurring Log'!J904))</f>
        <v/>
      </c>
      <c r="BA900">
        <f>'Recurring Log'!L904&amp;""</f>
        <v/>
      </c>
      <c r="BB900">
        <f>'Recurring Log'!M904&amp;""</f>
        <v/>
      </c>
      <c r="BC900">
        <f>'Recurring Log'!N904&amp;""</f>
        <v/>
      </c>
      <c r="BD900">
        <f>'Recurring Log'!O904&amp;""</f>
        <v/>
      </c>
      <c r="BE900">
        <f>IF('Recurring Log'!K904="","",'Recurring Log'!K904)</f>
        <v/>
      </c>
      <c r="BF900">
        <f>IFERROR(MATCH(BA900,Setup!$L$6:$L$9,0),5)</f>
        <v/>
      </c>
      <c r="BG900">
        <f>IF(OR(AZ900="Done",AZ900="Cancelled"),1,0)</f>
        <v/>
      </c>
      <c r="BH900">
        <f>IF(AND(AU900&lt;&gt;"",ISNUMBER(AW900)),1,0)</f>
        <v/>
      </c>
      <c r="BI900">
        <f>IF(BH900=0,0,IF(AND(AW900&gt;='Tasks Filter'!$F$3,AW900&lt;='Tasks Filter'!$F$4,OR('Tasks Filter'!$I$3="",ISNUMBER(SEARCH('Tasks Filter'!$I$3,AU900))),OR('Tasks Filter'!$I$4="",BF900=IFERROR(MATCH('Tasks Filter'!$I$4,Setup!$L$6:$L$9,0),0)),OR('Tasks Filter'!$I$5="Both",AND('Tasks Filter'!$I$5="Yes",BB900="✓"),AND('Tasks Filter'!$I$5="No",BB900&lt;&gt;"✓")),OR('Tasks Filter'!$L$3="",AV900='Tasks Filter'!$L$3),OR('Tasks Filter'!$L$4="",AZ900='Tasks Filter'!$L$4),OR('Tasks Filter'!$L$5="",BC900='Tasks Filter'!$L$5),OR('Tasks Filter'!$O$3="",BD900='Tasks Filter'!$O$3),OR('Tasks Filter'!$O$4="Yes",BG900=0)),1,0))</f>
        <v/>
      </c>
      <c r="BJ900">
        <f>IF(BH900=0,"",IF('Tasks Filter'!$F$6="Descending",-1,1)*CHOOSE(MATCH('Tasks Filter'!$F$5,Lists!$G$2:$G$6,0),AW900,BF900,IFERROR(MATCH(AV900,Setup!$F$6:$F$15,0),99),IFERROR(MATCH(BC900,Setup!$H$6:$H$15,0),99),IFERROR(MATCH(AZ900,Setup!$J$6:$J$11,0),99))*1E+9+(AW900-40000)*10000+899)</f>
        <v/>
      </c>
      <c r="BK900">
        <f>IF(BI900=1,BJ900,"")</f>
        <v/>
      </c>
      <c r="BL900">
        <f>IF(AND(BH900=1,BG900=0,N(AW900)&lt;Setup!$D$7),(AW900-40000)*10000+899,"")</f>
        <v/>
      </c>
      <c r="BM900">
        <f>IF(AND(BH900=1,AZ900&lt;&gt;"Cancelled",N(AW900)&gt;=Dashboard!$AB$3,N(AW900)&lt;=Dashboard!$AB$3+6),(AW900-40000)*100000+BF900*10000+899,"")</f>
        <v/>
      </c>
      <c r="BN900">
        <f>IF(AND(BH900=1,AZ900&lt;&gt;"Cancelled"),BF900*10000+899,"")</f>
        <v/>
      </c>
    </row>
    <row r="901">
      <c r="AS901" t="inlineStr">
        <is>
          <t>R</t>
        </is>
      </c>
      <c r="AT901" t="n">
        <v>905</v>
      </c>
      <c r="AU901">
        <f>'Recurring Log'!C905&amp;""</f>
        <v/>
      </c>
      <c r="AV901">
        <f>'Recurring Log'!D905&amp;""</f>
        <v/>
      </c>
      <c r="AW901">
        <f>IF('Recurring Log'!E905="","",'Recurring Log'!E905)</f>
        <v/>
      </c>
      <c r="AX901">
        <f>IF('Recurring Log'!G905="","",'Recurring Log'!G905)</f>
        <v/>
      </c>
      <c r="AY901">
        <f>IF('Recurring Log'!H905="","",'Recurring Log'!H905)</f>
        <v/>
      </c>
      <c r="AZ901">
        <f>IF(AU901="","",IF('Recurring Log'!J905="","Not Started",'Recurring Log'!J905))</f>
        <v/>
      </c>
      <c r="BA901">
        <f>'Recurring Log'!L905&amp;""</f>
        <v/>
      </c>
      <c r="BB901">
        <f>'Recurring Log'!M905&amp;""</f>
        <v/>
      </c>
      <c r="BC901">
        <f>'Recurring Log'!N905&amp;""</f>
        <v/>
      </c>
      <c r="BD901">
        <f>'Recurring Log'!O905&amp;""</f>
        <v/>
      </c>
      <c r="BE901">
        <f>IF('Recurring Log'!K905="","",'Recurring Log'!K905)</f>
        <v/>
      </c>
      <c r="BF901">
        <f>IFERROR(MATCH(BA901,Setup!$L$6:$L$9,0),5)</f>
        <v/>
      </c>
      <c r="BG901">
        <f>IF(OR(AZ901="Done",AZ901="Cancelled"),1,0)</f>
        <v/>
      </c>
      <c r="BH901">
        <f>IF(AND(AU901&lt;&gt;"",ISNUMBER(AW901)),1,0)</f>
        <v/>
      </c>
      <c r="BI901">
        <f>IF(BH901=0,0,IF(AND(AW901&gt;='Tasks Filter'!$F$3,AW901&lt;='Tasks Filter'!$F$4,OR('Tasks Filter'!$I$3="",ISNUMBER(SEARCH('Tasks Filter'!$I$3,AU901))),OR('Tasks Filter'!$I$4="",BF901=IFERROR(MATCH('Tasks Filter'!$I$4,Setup!$L$6:$L$9,0),0)),OR('Tasks Filter'!$I$5="Both",AND('Tasks Filter'!$I$5="Yes",BB901="✓"),AND('Tasks Filter'!$I$5="No",BB901&lt;&gt;"✓")),OR('Tasks Filter'!$L$3="",AV901='Tasks Filter'!$L$3),OR('Tasks Filter'!$L$4="",AZ901='Tasks Filter'!$L$4),OR('Tasks Filter'!$L$5="",BC901='Tasks Filter'!$L$5),OR('Tasks Filter'!$O$3="",BD901='Tasks Filter'!$O$3),OR('Tasks Filter'!$O$4="Yes",BG901=0)),1,0))</f>
        <v/>
      </c>
      <c r="BJ901">
        <f>IF(BH901=0,"",IF('Tasks Filter'!$F$6="Descending",-1,1)*CHOOSE(MATCH('Tasks Filter'!$F$5,Lists!$G$2:$G$6,0),AW901,BF901,IFERROR(MATCH(AV901,Setup!$F$6:$F$15,0),99),IFERROR(MATCH(BC901,Setup!$H$6:$H$15,0),99),IFERROR(MATCH(AZ901,Setup!$J$6:$J$11,0),99))*1E+9+(AW901-40000)*10000+900)</f>
        <v/>
      </c>
      <c r="BK901">
        <f>IF(BI901=1,BJ901,"")</f>
        <v/>
      </c>
      <c r="BL901">
        <f>IF(AND(BH901=1,BG901=0,N(AW901)&lt;Setup!$D$7),(AW901-40000)*10000+900,"")</f>
        <v/>
      </c>
      <c r="BM901">
        <f>IF(AND(BH901=1,AZ901&lt;&gt;"Cancelled",N(AW901)&gt;=Dashboard!$AB$3,N(AW901)&lt;=Dashboard!$AB$3+6),(AW901-40000)*100000+BF901*10000+900,"")</f>
        <v/>
      </c>
      <c r="BN901">
        <f>IF(AND(BH901=1,AZ901&lt;&gt;"Cancelled"),BF901*10000+900,"")</f>
        <v/>
      </c>
    </row>
    <row r="902">
      <c r="AS902" t="inlineStr">
        <is>
          <t>R</t>
        </is>
      </c>
      <c r="AT902" t="n">
        <v>906</v>
      </c>
      <c r="AU902">
        <f>'Recurring Log'!C906&amp;""</f>
        <v/>
      </c>
      <c r="AV902">
        <f>'Recurring Log'!D906&amp;""</f>
        <v/>
      </c>
      <c r="AW902">
        <f>IF('Recurring Log'!E906="","",'Recurring Log'!E906)</f>
        <v/>
      </c>
      <c r="AX902">
        <f>IF('Recurring Log'!G906="","",'Recurring Log'!G906)</f>
        <v/>
      </c>
      <c r="AY902">
        <f>IF('Recurring Log'!H906="","",'Recurring Log'!H906)</f>
        <v/>
      </c>
      <c r="AZ902">
        <f>IF(AU902="","",IF('Recurring Log'!J906="","Not Started",'Recurring Log'!J906))</f>
        <v/>
      </c>
      <c r="BA902">
        <f>'Recurring Log'!L906&amp;""</f>
        <v/>
      </c>
      <c r="BB902">
        <f>'Recurring Log'!M906&amp;""</f>
        <v/>
      </c>
      <c r="BC902">
        <f>'Recurring Log'!N906&amp;""</f>
        <v/>
      </c>
      <c r="BD902">
        <f>'Recurring Log'!O906&amp;""</f>
        <v/>
      </c>
      <c r="BE902">
        <f>IF('Recurring Log'!K906="","",'Recurring Log'!K906)</f>
        <v/>
      </c>
      <c r="BF902">
        <f>IFERROR(MATCH(BA902,Setup!$L$6:$L$9,0),5)</f>
        <v/>
      </c>
      <c r="BG902">
        <f>IF(OR(AZ902="Done",AZ902="Cancelled"),1,0)</f>
        <v/>
      </c>
      <c r="BH902">
        <f>IF(AND(AU902&lt;&gt;"",ISNUMBER(AW902)),1,0)</f>
        <v/>
      </c>
      <c r="BI902">
        <f>IF(BH902=0,0,IF(AND(AW902&gt;='Tasks Filter'!$F$3,AW902&lt;='Tasks Filter'!$F$4,OR('Tasks Filter'!$I$3="",ISNUMBER(SEARCH('Tasks Filter'!$I$3,AU902))),OR('Tasks Filter'!$I$4="",BF902=IFERROR(MATCH('Tasks Filter'!$I$4,Setup!$L$6:$L$9,0),0)),OR('Tasks Filter'!$I$5="Both",AND('Tasks Filter'!$I$5="Yes",BB902="✓"),AND('Tasks Filter'!$I$5="No",BB902&lt;&gt;"✓")),OR('Tasks Filter'!$L$3="",AV902='Tasks Filter'!$L$3),OR('Tasks Filter'!$L$4="",AZ902='Tasks Filter'!$L$4),OR('Tasks Filter'!$L$5="",BC902='Tasks Filter'!$L$5),OR('Tasks Filter'!$O$3="",BD902='Tasks Filter'!$O$3),OR('Tasks Filter'!$O$4="Yes",BG902=0)),1,0))</f>
        <v/>
      </c>
      <c r="BJ902">
        <f>IF(BH902=0,"",IF('Tasks Filter'!$F$6="Descending",-1,1)*CHOOSE(MATCH('Tasks Filter'!$F$5,Lists!$G$2:$G$6,0),AW902,BF902,IFERROR(MATCH(AV902,Setup!$F$6:$F$15,0),99),IFERROR(MATCH(BC902,Setup!$H$6:$H$15,0),99),IFERROR(MATCH(AZ902,Setup!$J$6:$J$11,0),99))*1E+9+(AW902-40000)*10000+901)</f>
        <v/>
      </c>
      <c r="BK902">
        <f>IF(BI902=1,BJ902,"")</f>
        <v/>
      </c>
      <c r="BL902">
        <f>IF(AND(BH902=1,BG902=0,N(AW902)&lt;Setup!$D$7),(AW902-40000)*10000+901,"")</f>
        <v/>
      </c>
      <c r="BM902">
        <f>IF(AND(BH902=1,AZ902&lt;&gt;"Cancelled",N(AW902)&gt;=Dashboard!$AB$3,N(AW902)&lt;=Dashboard!$AB$3+6),(AW902-40000)*100000+BF902*10000+901,"")</f>
        <v/>
      </c>
      <c r="BN902">
        <f>IF(AND(BH902=1,AZ902&lt;&gt;"Cancelled"),BF902*10000+901,"")</f>
        <v/>
      </c>
    </row>
    <row r="903">
      <c r="AS903" t="inlineStr">
        <is>
          <t>R</t>
        </is>
      </c>
      <c r="AT903" t="n">
        <v>907</v>
      </c>
      <c r="AU903">
        <f>'Recurring Log'!C907&amp;""</f>
        <v/>
      </c>
      <c r="AV903">
        <f>'Recurring Log'!D907&amp;""</f>
        <v/>
      </c>
      <c r="AW903">
        <f>IF('Recurring Log'!E907="","",'Recurring Log'!E907)</f>
        <v/>
      </c>
      <c r="AX903">
        <f>IF('Recurring Log'!G907="","",'Recurring Log'!G907)</f>
        <v/>
      </c>
      <c r="AY903">
        <f>IF('Recurring Log'!H907="","",'Recurring Log'!H907)</f>
        <v/>
      </c>
      <c r="AZ903">
        <f>IF(AU903="","",IF('Recurring Log'!J907="","Not Started",'Recurring Log'!J907))</f>
        <v/>
      </c>
      <c r="BA903">
        <f>'Recurring Log'!L907&amp;""</f>
        <v/>
      </c>
      <c r="BB903">
        <f>'Recurring Log'!M907&amp;""</f>
        <v/>
      </c>
      <c r="BC903">
        <f>'Recurring Log'!N907&amp;""</f>
        <v/>
      </c>
      <c r="BD903">
        <f>'Recurring Log'!O907&amp;""</f>
        <v/>
      </c>
      <c r="BE903">
        <f>IF('Recurring Log'!K907="","",'Recurring Log'!K907)</f>
        <v/>
      </c>
      <c r="BF903">
        <f>IFERROR(MATCH(BA903,Setup!$L$6:$L$9,0),5)</f>
        <v/>
      </c>
      <c r="BG903">
        <f>IF(OR(AZ903="Done",AZ903="Cancelled"),1,0)</f>
        <v/>
      </c>
      <c r="BH903">
        <f>IF(AND(AU903&lt;&gt;"",ISNUMBER(AW903)),1,0)</f>
        <v/>
      </c>
      <c r="BI903">
        <f>IF(BH903=0,0,IF(AND(AW903&gt;='Tasks Filter'!$F$3,AW903&lt;='Tasks Filter'!$F$4,OR('Tasks Filter'!$I$3="",ISNUMBER(SEARCH('Tasks Filter'!$I$3,AU903))),OR('Tasks Filter'!$I$4="",BF903=IFERROR(MATCH('Tasks Filter'!$I$4,Setup!$L$6:$L$9,0),0)),OR('Tasks Filter'!$I$5="Both",AND('Tasks Filter'!$I$5="Yes",BB903="✓"),AND('Tasks Filter'!$I$5="No",BB903&lt;&gt;"✓")),OR('Tasks Filter'!$L$3="",AV903='Tasks Filter'!$L$3),OR('Tasks Filter'!$L$4="",AZ903='Tasks Filter'!$L$4),OR('Tasks Filter'!$L$5="",BC903='Tasks Filter'!$L$5),OR('Tasks Filter'!$O$3="",BD903='Tasks Filter'!$O$3),OR('Tasks Filter'!$O$4="Yes",BG903=0)),1,0))</f>
        <v/>
      </c>
      <c r="BJ903">
        <f>IF(BH903=0,"",IF('Tasks Filter'!$F$6="Descending",-1,1)*CHOOSE(MATCH('Tasks Filter'!$F$5,Lists!$G$2:$G$6,0),AW903,BF903,IFERROR(MATCH(AV903,Setup!$F$6:$F$15,0),99),IFERROR(MATCH(BC903,Setup!$H$6:$H$15,0),99),IFERROR(MATCH(AZ903,Setup!$J$6:$J$11,0),99))*1E+9+(AW903-40000)*10000+902)</f>
        <v/>
      </c>
      <c r="BK903">
        <f>IF(BI903=1,BJ903,"")</f>
        <v/>
      </c>
      <c r="BL903">
        <f>IF(AND(BH903=1,BG903=0,N(AW903)&lt;Setup!$D$7),(AW903-40000)*10000+902,"")</f>
        <v/>
      </c>
      <c r="BM903">
        <f>IF(AND(BH903=1,AZ903&lt;&gt;"Cancelled",N(AW903)&gt;=Dashboard!$AB$3,N(AW903)&lt;=Dashboard!$AB$3+6),(AW903-40000)*100000+BF903*10000+902,"")</f>
        <v/>
      </c>
      <c r="BN903">
        <f>IF(AND(BH903=1,AZ903&lt;&gt;"Cancelled"),BF903*10000+902,"")</f>
        <v/>
      </c>
    </row>
    <row r="904">
      <c r="AS904" t="inlineStr">
        <is>
          <t>R</t>
        </is>
      </c>
      <c r="AT904" t="n">
        <v>908</v>
      </c>
      <c r="AU904">
        <f>'Recurring Log'!C908&amp;""</f>
        <v/>
      </c>
      <c r="AV904">
        <f>'Recurring Log'!D908&amp;""</f>
        <v/>
      </c>
      <c r="AW904">
        <f>IF('Recurring Log'!E908="","",'Recurring Log'!E908)</f>
        <v/>
      </c>
      <c r="AX904">
        <f>IF('Recurring Log'!G908="","",'Recurring Log'!G908)</f>
        <v/>
      </c>
      <c r="AY904">
        <f>IF('Recurring Log'!H908="","",'Recurring Log'!H908)</f>
        <v/>
      </c>
      <c r="AZ904">
        <f>IF(AU904="","",IF('Recurring Log'!J908="","Not Started",'Recurring Log'!J908))</f>
        <v/>
      </c>
      <c r="BA904">
        <f>'Recurring Log'!L908&amp;""</f>
        <v/>
      </c>
      <c r="BB904">
        <f>'Recurring Log'!M908&amp;""</f>
        <v/>
      </c>
      <c r="BC904">
        <f>'Recurring Log'!N908&amp;""</f>
        <v/>
      </c>
      <c r="BD904">
        <f>'Recurring Log'!O908&amp;""</f>
        <v/>
      </c>
      <c r="BE904">
        <f>IF('Recurring Log'!K908="","",'Recurring Log'!K908)</f>
        <v/>
      </c>
      <c r="BF904">
        <f>IFERROR(MATCH(BA904,Setup!$L$6:$L$9,0),5)</f>
        <v/>
      </c>
      <c r="BG904">
        <f>IF(OR(AZ904="Done",AZ904="Cancelled"),1,0)</f>
        <v/>
      </c>
      <c r="BH904">
        <f>IF(AND(AU904&lt;&gt;"",ISNUMBER(AW904)),1,0)</f>
        <v/>
      </c>
      <c r="BI904">
        <f>IF(BH904=0,0,IF(AND(AW904&gt;='Tasks Filter'!$F$3,AW904&lt;='Tasks Filter'!$F$4,OR('Tasks Filter'!$I$3="",ISNUMBER(SEARCH('Tasks Filter'!$I$3,AU904))),OR('Tasks Filter'!$I$4="",BF904=IFERROR(MATCH('Tasks Filter'!$I$4,Setup!$L$6:$L$9,0),0)),OR('Tasks Filter'!$I$5="Both",AND('Tasks Filter'!$I$5="Yes",BB904="✓"),AND('Tasks Filter'!$I$5="No",BB904&lt;&gt;"✓")),OR('Tasks Filter'!$L$3="",AV904='Tasks Filter'!$L$3),OR('Tasks Filter'!$L$4="",AZ904='Tasks Filter'!$L$4),OR('Tasks Filter'!$L$5="",BC904='Tasks Filter'!$L$5),OR('Tasks Filter'!$O$3="",BD904='Tasks Filter'!$O$3),OR('Tasks Filter'!$O$4="Yes",BG904=0)),1,0))</f>
        <v/>
      </c>
      <c r="BJ904">
        <f>IF(BH904=0,"",IF('Tasks Filter'!$F$6="Descending",-1,1)*CHOOSE(MATCH('Tasks Filter'!$F$5,Lists!$G$2:$G$6,0),AW904,BF904,IFERROR(MATCH(AV904,Setup!$F$6:$F$15,0),99),IFERROR(MATCH(BC904,Setup!$H$6:$H$15,0),99),IFERROR(MATCH(AZ904,Setup!$J$6:$J$11,0),99))*1E+9+(AW904-40000)*10000+903)</f>
        <v/>
      </c>
      <c r="BK904">
        <f>IF(BI904=1,BJ904,"")</f>
        <v/>
      </c>
      <c r="BL904">
        <f>IF(AND(BH904=1,BG904=0,N(AW904)&lt;Setup!$D$7),(AW904-40000)*10000+903,"")</f>
        <v/>
      </c>
      <c r="BM904">
        <f>IF(AND(BH904=1,AZ904&lt;&gt;"Cancelled",N(AW904)&gt;=Dashboard!$AB$3,N(AW904)&lt;=Dashboard!$AB$3+6),(AW904-40000)*100000+BF904*10000+903,"")</f>
        <v/>
      </c>
      <c r="BN904">
        <f>IF(AND(BH904=1,AZ904&lt;&gt;"Cancelled"),BF904*10000+903,"")</f>
        <v/>
      </c>
    </row>
    <row r="905">
      <c r="AS905" t="inlineStr">
        <is>
          <t>R</t>
        </is>
      </c>
      <c r="AT905" t="n">
        <v>909</v>
      </c>
      <c r="AU905">
        <f>'Recurring Log'!C909&amp;""</f>
        <v/>
      </c>
      <c r="AV905">
        <f>'Recurring Log'!D909&amp;""</f>
        <v/>
      </c>
      <c r="AW905">
        <f>IF('Recurring Log'!E909="","",'Recurring Log'!E909)</f>
        <v/>
      </c>
      <c r="AX905">
        <f>IF('Recurring Log'!G909="","",'Recurring Log'!G909)</f>
        <v/>
      </c>
      <c r="AY905">
        <f>IF('Recurring Log'!H909="","",'Recurring Log'!H909)</f>
        <v/>
      </c>
      <c r="AZ905">
        <f>IF(AU905="","",IF('Recurring Log'!J909="","Not Started",'Recurring Log'!J909))</f>
        <v/>
      </c>
      <c r="BA905">
        <f>'Recurring Log'!L909&amp;""</f>
        <v/>
      </c>
      <c r="BB905">
        <f>'Recurring Log'!M909&amp;""</f>
        <v/>
      </c>
      <c r="BC905">
        <f>'Recurring Log'!N909&amp;""</f>
        <v/>
      </c>
      <c r="BD905">
        <f>'Recurring Log'!O909&amp;""</f>
        <v/>
      </c>
      <c r="BE905">
        <f>IF('Recurring Log'!K909="","",'Recurring Log'!K909)</f>
        <v/>
      </c>
      <c r="BF905">
        <f>IFERROR(MATCH(BA905,Setup!$L$6:$L$9,0),5)</f>
        <v/>
      </c>
      <c r="BG905">
        <f>IF(OR(AZ905="Done",AZ905="Cancelled"),1,0)</f>
        <v/>
      </c>
      <c r="BH905">
        <f>IF(AND(AU905&lt;&gt;"",ISNUMBER(AW905)),1,0)</f>
        <v/>
      </c>
      <c r="BI905">
        <f>IF(BH905=0,0,IF(AND(AW905&gt;='Tasks Filter'!$F$3,AW905&lt;='Tasks Filter'!$F$4,OR('Tasks Filter'!$I$3="",ISNUMBER(SEARCH('Tasks Filter'!$I$3,AU905))),OR('Tasks Filter'!$I$4="",BF905=IFERROR(MATCH('Tasks Filter'!$I$4,Setup!$L$6:$L$9,0),0)),OR('Tasks Filter'!$I$5="Both",AND('Tasks Filter'!$I$5="Yes",BB905="✓"),AND('Tasks Filter'!$I$5="No",BB905&lt;&gt;"✓")),OR('Tasks Filter'!$L$3="",AV905='Tasks Filter'!$L$3),OR('Tasks Filter'!$L$4="",AZ905='Tasks Filter'!$L$4),OR('Tasks Filter'!$L$5="",BC905='Tasks Filter'!$L$5),OR('Tasks Filter'!$O$3="",BD905='Tasks Filter'!$O$3),OR('Tasks Filter'!$O$4="Yes",BG905=0)),1,0))</f>
        <v/>
      </c>
      <c r="BJ905">
        <f>IF(BH905=0,"",IF('Tasks Filter'!$F$6="Descending",-1,1)*CHOOSE(MATCH('Tasks Filter'!$F$5,Lists!$G$2:$G$6,0),AW905,BF905,IFERROR(MATCH(AV905,Setup!$F$6:$F$15,0),99),IFERROR(MATCH(BC905,Setup!$H$6:$H$15,0),99),IFERROR(MATCH(AZ905,Setup!$J$6:$J$11,0),99))*1E+9+(AW905-40000)*10000+904)</f>
        <v/>
      </c>
      <c r="BK905">
        <f>IF(BI905=1,BJ905,"")</f>
        <v/>
      </c>
      <c r="BL905">
        <f>IF(AND(BH905=1,BG905=0,N(AW905)&lt;Setup!$D$7),(AW905-40000)*10000+904,"")</f>
        <v/>
      </c>
      <c r="BM905">
        <f>IF(AND(BH905=1,AZ905&lt;&gt;"Cancelled",N(AW905)&gt;=Dashboard!$AB$3,N(AW905)&lt;=Dashboard!$AB$3+6),(AW905-40000)*100000+BF905*10000+904,"")</f>
        <v/>
      </c>
      <c r="BN905">
        <f>IF(AND(BH905=1,AZ905&lt;&gt;"Cancelled"),BF905*10000+904,"")</f>
        <v/>
      </c>
    </row>
    <row r="906">
      <c r="AS906" t="inlineStr">
        <is>
          <t>R</t>
        </is>
      </c>
      <c r="AT906" t="n">
        <v>910</v>
      </c>
      <c r="AU906">
        <f>'Recurring Log'!C910&amp;""</f>
        <v/>
      </c>
      <c r="AV906">
        <f>'Recurring Log'!D910&amp;""</f>
        <v/>
      </c>
      <c r="AW906">
        <f>IF('Recurring Log'!E910="","",'Recurring Log'!E910)</f>
        <v/>
      </c>
      <c r="AX906">
        <f>IF('Recurring Log'!G910="","",'Recurring Log'!G910)</f>
        <v/>
      </c>
      <c r="AY906">
        <f>IF('Recurring Log'!H910="","",'Recurring Log'!H910)</f>
        <v/>
      </c>
      <c r="AZ906">
        <f>IF(AU906="","",IF('Recurring Log'!J910="","Not Started",'Recurring Log'!J910))</f>
        <v/>
      </c>
      <c r="BA906">
        <f>'Recurring Log'!L910&amp;""</f>
        <v/>
      </c>
      <c r="BB906">
        <f>'Recurring Log'!M910&amp;""</f>
        <v/>
      </c>
      <c r="BC906">
        <f>'Recurring Log'!N910&amp;""</f>
        <v/>
      </c>
      <c r="BD906">
        <f>'Recurring Log'!O910&amp;""</f>
        <v/>
      </c>
      <c r="BE906">
        <f>IF('Recurring Log'!K910="","",'Recurring Log'!K910)</f>
        <v/>
      </c>
      <c r="BF906">
        <f>IFERROR(MATCH(BA906,Setup!$L$6:$L$9,0),5)</f>
        <v/>
      </c>
      <c r="BG906">
        <f>IF(OR(AZ906="Done",AZ906="Cancelled"),1,0)</f>
        <v/>
      </c>
      <c r="BH906">
        <f>IF(AND(AU906&lt;&gt;"",ISNUMBER(AW906)),1,0)</f>
        <v/>
      </c>
      <c r="BI906">
        <f>IF(BH906=0,0,IF(AND(AW906&gt;='Tasks Filter'!$F$3,AW906&lt;='Tasks Filter'!$F$4,OR('Tasks Filter'!$I$3="",ISNUMBER(SEARCH('Tasks Filter'!$I$3,AU906))),OR('Tasks Filter'!$I$4="",BF906=IFERROR(MATCH('Tasks Filter'!$I$4,Setup!$L$6:$L$9,0),0)),OR('Tasks Filter'!$I$5="Both",AND('Tasks Filter'!$I$5="Yes",BB906="✓"),AND('Tasks Filter'!$I$5="No",BB906&lt;&gt;"✓")),OR('Tasks Filter'!$L$3="",AV906='Tasks Filter'!$L$3),OR('Tasks Filter'!$L$4="",AZ906='Tasks Filter'!$L$4),OR('Tasks Filter'!$L$5="",BC906='Tasks Filter'!$L$5),OR('Tasks Filter'!$O$3="",BD906='Tasks Filter'!$O$3),OR('Tasks Filter'!$O$4="Yes",BG906=0)),1,0))</f>
        <v/>
      </c>
      <c r="BJ906">
        <f>IF(BH906=0,"",IF('Tasks Filter'!$F$6="Descending",-1,1)*CHOOSE(MATCH('Tasks Filter'!$F$5,Lists!$G$2:$G$6,0),AW906,BF906,IFERROR(MATCH(AV906,Setup!$F$6:$F$15,0),99),IFERROR(MATCH(BC906,Setup!$H$6:$H$15,0),99),IFERROR(MATCH(AZ906,Setup!$J$6:$J$11,0),99))*1E+9+(AW906-40000)*10000+905)</f>
        <v/>
      </c>
      <c r="BK906">
        <f>IF(BI906=1,BJ906,"")</f>
        <v/>
      </c>
      <c r="BL906">
        <f>IF(AND(BH906=1,BG906=0,N(AW906)&lt;Setup!$D$7),(AW906-40000)*10000+905,"")</f>
        <v/>
      </c>
      <c r="BM906">
        <f>IF(AND(BH906=1,AZ906&lt;&gt;"Cancelled",N(AW906)&gt;=Dashboard!$AB$3,N(AW906)&lt;=Dashboard!$AB$3+6),(AW906-40000)*100000+BF906*10000+905,"")</f>
        <v/>
      </c>
      <c r="BN906">
        <f>IF(AND(BH906=1,AZ906&lt;&gt;"Cancelled"),BF906*10000+905,"")</f>
        <v/>
      </c>
    </row>
    <row r="907">
      <c r="AS907" t="inlineStr">
        <is>
          <t>R</t>
        </is>
      </c>
      <c r="AT907" t="n">
        <v>911</v>
      </c>
      <c r="AU907">
        <f>'Recurring Log'!C911&amp;""</f>
        <v/>
      </c>
      <c r="AV907">
        <f>'Recurring Log'!D911&amp;""</f>
        <v/>
      </c>
      <c r="AW907">
        <f>IF('Recurring Log'!E911="","",'Recurring Log'!E911)</f>
        <v/>
      </c>
      <c r="AX907">
        <f>IF('Recurring Log'!G911="","",'Recurring Log'!G911)</f>
        <v/>
      </c>
      <c r="AY907">
        <f>IF('Recurring Log'!H911="","",'Recurring Log'!H911)</f>
        <v/>
      </c>
      <c r="AZ907">
        <f>IF(AU907="","",IF('Recurring Log'!J911="","Not Started",'Recurring Log'!J911))</f>
        <v/>
      </c>
      <c r="BA907">
        <f>'Recurring Log'!L911&amp;""</f>
        <v/>
      </c>
      <c r="BB907">
        <f>'Recurring Log'!M911&amp;""</f>
        <v/>
      </c>
      <c r="BC907">
        <f>'Recurring Log'!N911&amp;""</f>
        <v/>
      </c>
      <c r="BD907">
        <f>'Recurring Log'!O911&amp;""</f>
        <v/>
      </c>
      <c r="BE907">
        <f>IF('Recurring Log'!K911="","",'Recurring Log'!K911)</f>
        <v/>
      </c>
      <c r="BF907">
        <f>IFERROR(MATCH(BA907,Setup!$L$6:$L$9,0),5)</f>
        <v/>
      </c>
      <c r="BG907">
        <f>IF(OR(AZ907="Done",AZ907="Cancelled"),1,0)</f>
        <v/>
      </c>
      <c r="BH907">
        <f>IF(AND(AU907&lt;&gt;"",ISNUMBER(AW907)),1,0)</f>
        <v/>
      </c>
      <c r="BI907">
        <f>IF(BH907=0,0,IF(AND(AW907&gt;='Tasks Filter'!$F$3,AW907&lt;='Tasks Filter'!$F$4,OR('Tasks Filter'!$I$3="",ISNUMBER(SEARCH('Tasks Filter'!$I$3,AU907))),OR('Tasks Filter'!$I$4="",BF907=IFERROR(MATCH('Tasks Filter'!$I$4,Setup!$L$6:$L$9,0),0)),OR('Tasks Filter'!$I$5="Both",AND('Tasks Filter'!$I$5="Yes",BB907="✓"),AND('Tasks Filter'!$I$5="No",BB907&lt;&gt;"✓")),OR('Tasks Filter'!$L$3="",AV907='Tasks Filter'!$L$3),OR('Tasks Filter'!$L$4="",AZ907='Tasks Filter'!$L$4),OR('Tasks Filter'!$L$5="",BC907='Tasks Filter'!$L$5),OR('Tasks Filter'!$O$3="",BD907='Tasks Filter'!$O$3),OR('Tasks Filter'!$O$4="Yes",BG907=0)),1,0))</f>
        <v/>
      </c>
      <c r="BJ907">
        <f>IF(BH907=0,"",IF('Tasks Filter'!$F$6="Descending",-1,1)*CHOOSE(MATCH('Tasks Filter'!$F$5,Lists!$G$2:$G$6,0),AW907,BF907,IFERROR(MATCH(AV907,Setup!$F$6:$F$15,0),99),IFERROR(MATCH(BC907,Setup!$H$6:$H$15,0),99),IFERROR(MATCH(AZ907,Setup!$J$6:$J$11,0),99))*1E+9+(AW907-40000)*10000+906)</f>
        <v/>
      </c>
      <c r="BK907">
        <f>IF(BI907=1,BJ907,"")</f>
        <v/>
      </c>
      <c r="BL907">
        <f>IF(AND(BH907=1,BG907=0,N(AW907)&lt;Setup!$D$7),(AW907-40000)*10000+906,"")</f>
        <v/>
      </c>
      <c r="BM907">
        <f>IF(AND(BH907=1,AZ907&lt;&gt;"Cancelled",N(AW907)&gt;=Dashboard!$AB$3,N(AW907)&lt;=Dashboard!$AB$3+6),(AW907-40000)*100000+BF907*10000+906,"")</f>
        <v/>
      </c>
      <c r="BN907">
        <f>IF(AND(BH907=1,AZ907&lt;&gt;"Cancelled"),BF907*10000+906,"")</f>
        <v/>
      </c>
    </row>
    <row r="908">
      <c r="AS908" t="inlineStr">
        <is>
          <t>R</t>
        </is>
      </c>
      <c r="AT908" t="n">
        <v>912</v>
      </c>
      <c r="AU908">
        <f>'Recurring Log'!C912&amp;""</f>
        <v/>
      </c>
      <c r="AV908">
        <f>'Recurring Log'!D912&amp;""</f>
        <v/>
      </c>
      <c r="AW908">
        <f>IF('Recurring Log'!E912="","",'Recurring Log'!E912)</f>
        <v/>
      </c>
      <c r="AX908">
        <f>IF('Recurring Log'!G912="","",'Recurring Log'!G912)</f>
        <v/>
      </c>
      <c r="AY908">
        <f>IF('Recurring Log'!H912="","",'Recurring Log'!H912)</f>
        <v/>
      </c>
      <c r="AZ908">
        <f>IF(AU908="","",IF('Recurring Log'!J912="","Not Started",'Recurring Log'!J912))</f>
        <v/>
      </c>
      <c r="BA908">
        <f>'Recurring Log'!L912&amp;""</f>
        <v/>
      </c>
      <c r="BB908">
        <f>'Recurring Log'!M912&amp;""</f>
        <v/>
      </c>
      <c r="BC908">
        <f>'Recurring Log'!N912&amp;""</f>
        <v/>
      </c>
      <c r="BD908">
        <f>'Recurring Log'!O912&amp;""</f>
        <v/>
      </c>
      <c r="BE908">
        <f>IF('Recurring Log'!K912="","",'Recurring Log'!K912)</f>
        <v/>
      </c>
      <c r="BF908">
        <f>IFERROR(MATCH(BA908,Setup!$L$6:$L$9,0),5)</f>
        <v/>
      </c>
      <c r="BG908">
        <f>IF(OR(AZ908="Done",AZ908="Cancelled"),1,0)</f>
        <v/>
      </c>
      <c r="BH908">
        <f>IF(AND(AU908&lt;&gt;"",ISNUMBER(AW908)),1,0)</f>
        <v/>
      </c>
      <c r="BI908">
        <f>IF(BH908=0,0,IF(AND(AW908&gt;='Tasks Filter'!$F$3,AW908&lt;='Tasks Filter'!$F$4,OR('Tasks Filter'!$I$3="",ISNUMBER(SEARCH('Tasks Filter'!$I$3,AU908))),OR('Tasks Filter'!$I$4="",BF908=IFERROR(MATCH('Tasks Filter'!$I$4,Setup!$L$6:$L$9,0),0)),OR('Tasks Filter'!$I$5="Both",AND('Tasks Filter'!$I$5="Yes",BB908="✓"),AND('Tasks Filter'!$I$5="No",BB908&lt;&gt;"✓")),OR('Tasks Filter'!$L$3="",AV908='Tasks Filter'!$L$3),OR('Tasks Filter'!$L$4="",AZ908='Tasks Filter'!$L$4),OR('Tasks Filter'!$L$5="",BC908='Tasks Filter'!$L$5),OR('Tasks Filter'!$O$3="",BD908='Tasks Filter'!$O$3),OR('Tasks Filter'!$O$4="Yes",BG908=0)),1,0))</f>
        <v/>
      </c>
      <c r="BJ908">
        <f>IF(BH908=0,"",IF('Tasks Filter'!$F$6="Descending",-1,1)*CHOOSE(MATCH('Tasks Filter'!$F$5,Lists!$G$2:$G$6,0),AW908,BF908,IFERROR(MATCH(AV908,Setup!$F$6:$F$15,0),99),IFERROR(MATCH(BC908,Setup!$H$6:$H$15,0),99),IFERROR(MATCH(AZ908,Setup!$J$6:$J$11,0),99))*1E+9+(AW908-40000)*10000+907)</f>
        <v/>
      </c>
      <c r="BK908">
        <f>IF(BI908=1,BJ908,"")</f>
        <v/>
      </c>
      <c r="BL908">
        <f>IF(AND(BH908=1,BG908=0,N(AW908)&lt;Setup!$D$7),(AW908-40000)*10000+907,"")</f>
        <v/>
      </c>
      <c r="BM908">
        <f>IF(AND(BH908=1,AZ908&lt;&gt;"Cancelled",N(AW908)&gt;=Dashboard!$AB$3,N(AW908)&lt;=Dashboard!$AB$3+6),(AW908-40000)*100000+BF908*10000+907,"")</f>
        <v/>
      </c>
      <c r="BN908">
        <f>IF(AND(BH908=1,AZ908&lt;&gt;"Cancelled"),BF908*10000+907,"")</f>
        <v/>
      </c>
    </row>
    <row r="909">
      <c r="AS909" t="inlineStr">
        <is>
          <t>R</t>
        </is>
      </c>
      <c r="AT909" t="n">
        <v>913</v>
      </c>
      <c r="AU909">
        <f>'Recurring Log'!C913&amp;""</f>
        <v/>
      </c>
      <c r="AV909">
        <f>'Recurring Log'!D913&amp;""</f>
        <v/>
      </c>
      <c r="AW909">
        <f>IF('Recurring Log'!E913="","",'Recurring Log'!E913)</f>
        <v/>
      </c>
      <c r="AX909">
        <f>IF('Recurring Log'!G913="","",'Recurring Log'!G913)</f>
        <v/>
      </c>
      <c r="AY909">
        <f>IF('Recurring Log'!H913="","",'Recurring Log'!H913)</f>
        <v/>
      </c>
      <c r="AZ909">
        <f>IF(AU909="","",IF('Recurring Log'!J913="","Not Started",'Recurring Log'!J913))</f>
        <v/>
      </c>
      <c r="BA909">
        <f>'Recurring Log'!L913&amp;""</f>
        <v/>
      </c>
      <c r="BB909">
        <f>'Recurring Log'!M913&amp;""</f>
        <v/>
      </c>
      <c r="BC909">
        <f>'Recurring Log'!N913&amp;""</f>
        <v/>
      </c>
      <c r="BD909">
        <f>'Recurring Log'!O913&amp;""</f>
        <v/>
      </c>
      <c r="BE909">
        <f>IF('Recurring Log'!K913="","",'Recurring Log'!K913)</f>
        <v/>
      </c>
      <c r="BF909">
        <f>IFERROR(MATCH(BA909,Setup!$L$6:$L$9,0),5)</f>
        <v/>
      </c>
      <c r="BG909">
        <f>IF(OR(AZ909="Done",AZ909="Cancelled"),1,0)</f>
        <v/>
      </c>
      <c r="BH909">
        <f>IF(AND(AU909&lt;&gt;"",ISNUMBER(AW909)),1,0)</f>
        <v/>
      </c>
      <c r="BI909">
        <f>IF(BH909=0,0,IF(AND(AW909&gt;='Tasks Filter'!$F$3,AW909&lt;='Tasks Filter'!$F$4,OR('Tasks Filter'!$I$3="",ISNUMBER(SEARCH('Tasks Filter'!$I$3,AU909))),OR('Tasks Filter'!$I$4="",BF909=IFERROR(MATCH('Tasks Filter'!$I$4,Setup!$L$6:$L$9,0),0)),OR('Tasks Filter'!$I$5="Both",AND('Tasks Filter'!$I$5="Yes",BB909="✓"),AND('Tasks Filter'!$I$5="No",BB909&lt;&gt;"✓")),OR('Tasks Filter'!$L$3="",AV909='Tasks Filter'!$L$3),OR('Tasks Filter'!$L$4="",AZ909='Tasks Filter'!$L$4),OR('Tasks Filter'!$L$5="",BC909='Tasks Filter'!$L$5),OR('Tasks Filter'!$O$3="",BD909='Tasks Filter'!$O$3),OR('Tasks Filter'!$O$4="Yes",BG909=0)),1,0))</f>
        <v/>
      </c>
      <c r="BJ909">
        <f>IF(BH909=0,"",IF('Tasks Filter'!$F$6="Descending",-1,1)*CHOOSE(MATCH('Tasks Filter'!$F$5,Lists!$G$2:$G$6,0),AW909,BF909,IFERROR(MATCH(AV909,Setup!$F$6:$F$15,0),99),IFERROR(MATCH(BC909,Setup!$H$6:$H$15,0),99),IFERROR(MATCH(AZ909,Setup!$J$6:$J$11,0),99))*1E+9+(AW909-40000)*10000+908)</f>
        <v/>
      </c>
      <c r="BK909">
        <f>IF(BI909=1,BJ909,"")</f>
        <v/>
      </c>
      <c r="BL909">
        <f>IF(AND(BH909=1,BG909=0,N(AW909)&lt;Setup!$D$7),(AW909-40000)*10000+908,"")</f>
        <v/>
      </c>
      <c r="BM909">
        <f>IF(AND(BH909=1,AZ909&lt;&gt;"Cancelled",N(AW909)&gt;=Dashboard!$AB$3,N(AW909)&lt;=Dashboard!$AB$3+6),(AW909-40000)*100000+BF909*10000+908,"")</f>
        <v/>
      </c>
      <c r="BN909">
        <f>IF(AND(BH909=1,AZ909&lt;&gt;"Cancelled"),BF909*10000+908,"")</f>
        <v/>
      </c>
    </row>
    <row r="910">
      <c r="AS910" t="inlineStr">
        <is>
          <t>R</t>
        </is>
      </c>
      <c r="AT910" t="n">
        <v>914</v>
      </c>
      <c r="AU910">
        <f>'Recurring Log'!C914&amp;""</f>
        <v/>
      </c>
      <c r="AV910">
        <f>'Recurring Log'!D914&amp;""</f>
        <v/>
      </c>
      <c r="AW910">
        <f>IF('Recurring Log'!E914="","",'Recurring Log'!E914)</f>
        <v/>
      </c>
      <c r="AX910">
        <f>IF('Recurring Log'!G914="","",'Recurring Log'!G914)</f>
        <v/>
      </c>
      <c r="AY910">
        <f>IF('Recurring Log'!H914="","",'Recurring Log'!H914)</f>
        <v/>
      </c>
      <c r="AZ910">
        <f>IF(AU910="","",IF('Recurring Log'!J914="","Not Started",'Recurring Log'!J914))</f>
        <v/>
      </c>
      <c r="BA910">
        <f>'Recurring Log'!L914&amp;""</f>
        <v/>
      </c>
      <c r="BB910">
        <f>'Recurring Log'!M914&amp;""</f>
        <v/>
      </c>
      <c r="BC910">
        <f>'Recurring Log'!N914&amp;""</f>
        <v/>
      </c>
      <c r="BD910">
        <f>'Recurring Log'!O914&amp;""</f>
        <v/>
      </c>
      <c r="BE910">
        <f>IF('Recurring Log'!K914="","",'Recurring Log'!K914)</f>
        <v/>
      </c>
      <c r="BF910">
        <f>IFERROR(MATCH(BA910,Setup!$L$6:$L$9,0),5)</f>
        <v/>
      </c>
      <c r="BG910">
        <f>IF(OR(AZ910="Done",AZ910="Cancelled"),1,0)</f>
        <v/>
      </c>
      <c r="BH910">
        <f>IF(AND(AU910&lt;&gt;"",ISNUMBER(AW910)),1,0)</f>
        <v/>
      </c>
      <c r="BI910">
        <f>IF(BH910=0,0,IF(AND(AW910&gt;='Tasks Filter'!$F$3,AW910&lt;='Tasks Filter'!$F$4,OR('Tasks Filter'!$I$3="",ISNUMBER(SEARCH('Tasks Filter'!$I$3,AU910))),OR('Tasks Filter'!$I$4="",BF910=IFERROR(MATCH('Tasks Filter'!$I$4,Setup!$L$6:$L$9,0),0)),OR('Tasks Filter'!$I$5="Both",AND('Tasks Filter'!$I$5="Yes",BB910="✓"),AND('Tasks Filter'!$I$5="No",BB910&lt;&gt;"✓")),OR('Tasks Filter'!$L$3="",AV910='Tasks Filter'!$L$3),OR('Tasks Filter'!$L$4="",AZ910='Tasks Filter'!$L$4),OR('Tasks Filter'!$L$5="",BC910='Tasks Filter'!$L$5),OR('Tasks Filter'!$O$3="",BD910='Tasks Filter'!$O$3),OR('Tasks Filter'!$O$4="Yes",BG910=0)),1,0))</f>
        <v/>
      </c>
      <c r="BJ910">
        <f>IF(BH910=0,"",IF('Tasks Filter'!$F$6="Descending",-1,1)*CHOOSE(MATCH('Tasks Filter'!$F$5,Lists!$G$2:$G$6,0),AW910,BF910,IFERROR(MATCH(AV910,Setup!$F$6:$F$15,0),99),IFERROR(MATCH(BC910,Setup!$H$6:$H$15,0),99),IFERROR(MATCH(AZ910,Setup!$J$6:$J$11,0),99))*1E+9+(AW910-40000)*10000+909)</f>
        <v/>
      </c>
      <c r="BK910">
        <f>IF(BI910=1,BJ910,"")</f>
        <v/>
      </c>
      <c r="BL910">
        <f>IF(AND(BH910=1,BG910=0,N(AW910)&lt;Setup!$D$7),(AW910-40000)*10000+909,"")</f>
        <v/>
      </c>
      <c r="BM910">
        <f>IF(AND(BH910=1,AZ910&lt;&gt;"Cancelled",N(AW910)&gt;=Dashboard!$AB$3,N(AW910)&lt;=Dashboard!$AB$3+6),(AW910-40000)*100000+BF910*10000+909,"")</f>
        <v/>
      </c>
      <c r="BN910">
        <f>IF(AND(BH910=1,AZ910&lt;&gt;"Cancelled"),BF910*10000+909,"")</f>
        <v/>
      </c>
    </row>
    <row r="911">
      <c r="AS911" t="inlineStr">
        <is>
          <t>R</t>
        </is>
      </c>
      <c r="AT911" t="n">
        <v>915</v>
      </c>
      <c r="AU911">
        <f>'Recurring Log'!C915&amp;""</f>
        <v/>
      </c>
      <c r="AV911">
        <f>'Recurring Log'!D915&amp;""</f>
        <v/>
      </c>
      <c r="AW911">
        <f>IF('Recurring Log'!E915="","",'Recurring Log'!E915)</f>
        <v/>
      </c>
      <c r="AX911">
        <f>IF('Recurring Log'!G915="","",'Recurring Log'!G915)</f>
        <v/>
      </c>
      <c r="AY911">
        <f>IF('Recurring Log'!H915="","",'Recurring Log'!H915)</f>
        <v/>
      </c>
      <c r="AZ911">
        <f>IF(AU911="","",IF('Recurring Log'!J915="","Not Started",'Recurring Log'!J915))</f>
        <v/>
      </c>
      <c r="BA911">
        <f>'Recurring Log'!L915&amp;""</f>
        <v/>
      </c>
      <c r="BB911">
        <f>'Recurring Log'!M915&amp;""</f>
        <v/>
      </c>
      <c r="BC911">
        <f>'Recurring Log'!N915&amp;""</f>
        <v/>
      </c>
      <c r="BD911">
        <f>'Recurring Log'!O915&amp;""</f>
        <v/>
      </c>
      <c r="BE911">
        <f>IF('Recurring Log'!K915="","",'Recurring Log'!K915)</f>
        <v/>
      </c>
      <c r="BF911">
        <f>IFERROR(MATCH(BA911,Setup!$L$6:$L$9,0),5)</f>
        <v/>
      </c>
      <c r="BG911">
        <f>IF(OR(AZ911="Done",AZ911="Cancelled"),1,0)</f>
        <v/>
      </c>
      <c r="BH911">
        <f>IF(AND(AU911&lt;&gt;"",ISNUMBER(AW911)),1,0)</f>
        <v/>
      </c>
      <c r="BI911">
        <f>IF(BH911=0,0,IF(AND(AW911&gt;='Tasks Filter'!$F$3,AW911&lt;='Tasks Filter'!$F$4,OR('Tasks Filter'!$I$3="",ISNUMBER(SEARCH('Tasks Filter'!$I$3,AU911))),OR('Tasks Filter'!$I$4="",BF911=IFERROR(MATCH('Tasks Filter'!$I$4,Setup!$L$6:$L$9,0),0)),OR('Tasks Filter'!$I$5="Both",AND('Tasks Filter'!$I$5="Yes",BB911="✓"),AND('Tasks Filter'!$I$5="No",BB911&lt;&gt;"✓")),OR('Tasks Filter'!$L$3="",AV911='Tasks Filter'!$L$3),OR('Tasks Filter'!$L$4="",AZ911='Tasks Filter'!$L$4),OR('Tasks Filter'!$L$5="",BC911='Tasks Filter'!$L$5),OR('Tasks Filter'!$O$3="",BD911='Tasks Filter'!$O$3),OR('Tasks Filter'!$O$4="Yes",BG911=0)),1,0))</f>
        <v/>
      </c>
      <c r="BJ911">
        <f>IF(BH911=0,"",IF('Tasks Filter'!$F$6="Descending",-1,1)*CHOOSE(MATCH('Tasks Filter'!$F$5,Lists!$G$2:$G$6,0),AW911,BF911,IFERROR(MATCH(AV911,Setup!$F$6:$F$15,0),99),IFERROR(MATCH(BC911,Setup!$H$6:$H$15,0),99),IFERROR(MATCH(AZ911,Setup!$J$6:$J$11,0),99))*1E+9+(AW911-40000)*10000+910)</f>
        <v/>
      </c>
      <c r="BK911">
        <f>IF(BI911=1,BJ911,"")</f>
        <v/>
      </c>
      <c r="BL911">
        <f>IF(AND(BH911=1,BG911=0,N(AW911)&lt;Setup!$D$7),(AW911-40000)*10000+910,"")</f>
        <v/>
      </c>
      <c r="BM911">
        <f>IF(AND(BH911=1,AZ911&lt;&gt;"Cancelled",N(AW911)&gt;=Dashboard!$AB$3,N(AW911)&lt;=Dashboard!$AB$3+6),(AW911-40000)*100000+BF911*10000+910,"")</f>
        <v/>
      </c>
      <c r="BN911">
        <f>IF(AND(BH911=1,AZ911&lt;&gt;"Cancelled"),BF911*10000+910,"")</f>
        <v/>
      </c>
    </row>
    <row r="912">
      <c r="AS912" t="inlineStr">
        <is>
          <t>R</t>
        </is>
      </c>
      <c r="AT912" t="n">
        <v>916</v>
      </c>
      <c r="AU912">
        <f>'Recurring Log'!C916&amp;""</f>
        <v/>
      </c>
      <c r="AV912">
        <f>'Recurring Log'!D916&amp;""</f>
        <v/>
      </c>
      <c r="AW912">
        <f>IF('Recurring Log'!E916="","",'Recurring Log'!E916)</f>
        <v/>
      </c>
      <c r="AX912">
        <f>IF('Recurring Log'!G916="","",'Recurring Log'!G916)</f>
        <v/>
      </c>
      <c r="AY912">
        <f>IF('Recurring Log'!H916="","",'Recurring Log'!H916)</f>
        <v/>
      </c>
      <c r="AZ912">
        <f>IF(AU912="","",IF('Recurring Log'!J916="","Not Started",'Recurring Log'!J916))</f>
        <v/>
      </c>
      <c r="BA912">
        <f>'Recurring Log'!L916&amp;""</f>
        <v/>
      </c>
      <c r="BB912">
        <f>'Recurring Log'!M916&amp;""</f>
        <v/>
      </c>
      <c r="BC912">
        <f>'Recurring Log'!N916&amp;""</f>
        <v/>
      </c>
      <c r="BD912">
        <f>'Recurring Log'!O916&amp;""</f>
        <v/>
      </c>
      <c r="BE912">
        <f>IF('Recurring Log'!K916="","",'Recurring Log'!K916)</f>
        <v/>
      </c>
      <c r="BF912">
        <f>IFERROR(MATCH(BA912,Setup!$L$6:$L$9,0),5)</f>
        <v/>
      </c>
      <c r="BG912">
        <f>IF(OR(AZ912="Done",AZ912="Cancelled"),1,0)</f>
        <v/>
      </c>
      <c r="BH912">
        <f>IF(AND(AU912&lt;&gt;"",ISNUMBER(AW912)),1,0)</f>
        <v/>
      </c>
      <c r="BI912">
        <f>IF(BH912=0,0,IF(AND(AW912&gt;='Tasks Filter'!$F$3,AW912&lt;='Tasks Filter'!$F$4,OR('Tasks Filter'!$I$3="",ISNUMBER(SEARCH('Tasks Filter'!$I$3,AU912))),OR('Tasks Filter'!$I$4="",BF912=IFERROR(MATCH('Tasks Filter'!$I$4,Setup!$L$6:$L$9,0),0)),OR('Tasks Filter'!$I$5="Both",AND('Tasks Filter'!$I$5="Yes",BB912="✓"),AND('Tasks Filter'!$I$5="No",BB912&lt;&gt;"✓")),OR('Tasks Filter'!$L$3="",AV912='Tasks Filter'!$L$3),OR('Tasks Filter'!$L$4="",AZ912='Tasks Filter'!$L$4),OR('Tasks Filter'!$L$5="",BC912='Tasks Filter'!$L$5),OR('Tasks Filter'!$O$3="",BD912='Tasks Filter'!$O$3),OR('Tasks Filter'!$O$4="Yes",BG912=0)),1,0))</f>
        <v/>
      </c>
      <c r="BJ912">
        <f>IF(BH912=0,"",IF('Tasks Filter'!$F$6="Descending",-1,1)*CHOOSE(MATCH('Tasks Filter'!$F$5,Lists!$G$2:$G$6,0),AW912,BF912,IFERROR(MATCH(AV912,Setup!$F$6:$F$15,0),99),IFERROR(MATCH(BC912,Setup!$H$6:$H$15,0),99),IFERROR(MATCH(AZ912,Setup!$J$6:$J$11,0),99))*1E+9+(AW912-40000)*10000+911)</f>
        <v/>
      </c>
      <c r="BK912">
        <f>IF(BI912=1,BJ912,"")</f>
        <v/>
      </c>
      <c r="BL912">
        <f>IF(AND(BH912=1,BG912=0,N(AW912)&lt;Setup!$D$7),(AW912-40000)*10000+911,"")</f>
        <v/>
      </c>
      <c r="BM912">
        <f>IF(AND(BH912=1,AZ912&lt;&gt;"Cancelled",N(AW912)&gt;=Dashboard!$AB$3,N(AW912)&lt;=Dashboard!$AB$3+6),(AW912-40000)*100000+BF912*10000+911,"")</f>
        <v/>
      </c>
      <c r="BN912">
        <f>IF(AND(BH912=1,AZ912&lt;&gt;"Cancelled"),BF912*10000+911,"")</f>
        <v/>
      </c>
    </row>
    <row r="913">
      <c r="AS913" t="inlineStr">
        <is>
          <t>R</t>
        </is>
      </c>
      <c r="AT913" t="n">
        <v>917</v>
      </c>
      <c r="AU913">
        <f>'Recurring Log'!C917&amp;""</f>
        <v/>
      </c>
      <c r="AV913">
        <f>'Recurring Log'!D917&amp;""</f>
        <v/>
      </c>
      <c r="AW913">
        <f>IF('Recurring Log'!E917="","",'Recurring Log'!E917)</f>
        <v/>
      </c>
      <c r="AX913">
        <f>IF('Recurring Log'!G917="","",'Recurring Log'!G917)</f>
        <v/>
      </c>
      <c r="AY913">
        <f>IF('Recurring Log'!H917="","",'Recurring Log'!H917)</f>
        <v/>
      </c>
      <c r="AZ913">
        <f>IF(AU913="","",IF('Recurring Log'!J917="","Not Started",'Recurring Log'!J917))</f>
        <v/>
      </c>
      <c r="BA913">
        <f>'Recurring Log'!L917&amp;""</f>
        <v/>
      </c>
      <c r="BB913">
        <f>'Recurring Log'!M917&amp;""</f>
        <v/>
      </c>
      <c r="BC913">
        <f>'Recurring Log'!N917&amp;""</f>
        <v/>
      </c>
      <c r="BD913">
        <f>'Recurring Log'!O917&amp;""</f>
        <v/>
      </c>
      <c r="BE913">
        <f>IF('Recurring Log'!K917="","",'Recurring Log'!K917)</f>
        <v/>
      </c>
      <c r="BF913">
        <f>IFERROR(MATCH(BA913,Setup!$L$6:$L$9,0),5)</f>
        <v/>
      </c>
      <c r="BG913">
        <f>IF(OR(AZ913="Done",AZ913="Cancelled"),1,0)</f>
        <v/>
      </c>
      <c r="BH913">
        <f>IF(AND(AU913&lt;&gt;"",ISNUMBER(AW913)),1,0)</f>
        <v/>
      </c>
      <c r="BI913">
        <f>IF(BH913=0,0,IF(AND(AW913&gt;='Tasks Filter'!$F$3,AW913&lt;='Tasks Filter'!$F$4,OR('Tasks Filter'!$I$3="",ISNUMBER(SEARCH('Tasks Filter'!$I$3,AU913))),OR('Tasks Filter'!$I$4="",BF913=IFERROR(MATCH('Tasks Filter'!$I$4,Setup!$L$6:$L$9,0),0)),OR('Tasks Filter'!$I$5="Both",AND('Tasks Filter'!$I$5="Yes",BB913="✓"),AND('Tasks Filter'!$I$5="No",BB913&lt;&gt;"✓")),OR('Tasks Filter'!$L$3="",AV913='Tasks Filter'!$L$3),OR('Tasks Filter'!$L$4="",AZ913='Tasks Filter'!$L$4),OR('Tasks Filter'!$L$5="",BC913='Tasks Filter'!$L$5),OR('Tasks Filter'!$O$3="",BD913='Tasks Filter'!$O$3),OR('Tasks Filter'!$O$4="Yes",BG913=0)),1,0))</f>
        <v/>
      </c>
      <c r="BJ913">
        <f>IF(BH913=0,"",IF('Tasks Filter'!$F$6="Descending",-1,1)*CHOOSE(MATCH('Tasks Filter'!$F$5,Lists!$G$2:$G$6,0),AW913,BF913,IFERROR(MATCH(AV913,Setup!$F$6:$F$15,0),99),IFERROR(MATCH(BC913,Setup!$H$6:$H$15,0),99),IFERROR(MATCH(AZ913,Setup!$J$6:$J$11,0),99))*1E+9+(AW913-40000)*10000+912)</f>
        <v/>
      </c>
      <c r="BK913">
        <f>IF(BI913=1,BJ913,"")</f>
        <v/>
      </c>
      <c r="BL913">
        <f>IF(AND(BH913=1,BG913=0,N(AW913)&lt;Setup!$D$7),(AW913-40000)*10000+912,"")</f>
        <v/>
      </c>
      <c r="BM913">
        <f>IF(AND(BH913=1,AZ913&lt;&gt;"Cancelled",N(AW913)&gt;=Dashboard!$AB$3,N(AW913)&lt;=Dashboard!$AB$3+6),(AW913-40000)*100000+BF913*10000+912,"")</f>
        <v/>
      </c>
      <c r="BN913">
        <f>IF(AND(BH913=1,AZ913&lt;&gt;"Cancelled"),BF913*10000+912,"")</f>
        <v/>
      </c>
    </row>
    <row r="914">
      <c r="AS914" t="inlineStr">
        <is>
          <t>R</t>
        </is>
      </c>
      <c r="AT914" t="n">
        <v>918</v>
      </c>
      <c r="AU914">
        <f>'Recurring Log'!C918&amp;""</f>
        <v/>
      </c>
      <c r="AV914">
        <f>'Recurring Log'!D918&amp;""</f>
        <v/>
      </c>
      <c r="AW914">
        <f>IF('Recurring Log'!E918="","",'Recurring Log'!E918)</f>
        <v/>
      </c>
      <c r="AX914">
        <f>IF('Recurring Log'!G918="","",'Recurring Log'!G918)</f>
        <v/>
      </c>
      <c r="AY914">
        <f>IF('Recurring Log'!H918="","",'Recurring Log'!H918)</f>
        <v/>
      </c>
      <c r="AZ914">
        <f>IF(AU914="","",IF('Recurring Log'!J918="","Not Started",'Recurring Log'!J918))</f>
        <v/>
      </c>
      <c r="BA914">
        <f>'Recurring Log'!L918&amp;""</f>
        <v/>
      </c>
      <c r="BB914">
        <f>'Recurring Log'!M918&amp;""</f>
        <v/>
      </c>
      <c r="BC914">
        <f>'Recurring Log'!N918&amp;""</f>
        <v/>
      </c>
      <c r="BD914">
        <f>'Recurring Log'!O918&amp;""</f>
        <v/>
      </c>
      <c r="BE914">
        <f>IF('Recurring Log'!K918="","",'Recurring Log'!K918)</f>
        <v/>
      </c>
      <c r="BF914">
        <f>IFERROR(MATCH(BA914,Setup!$L$6:$L$9,0),5)</f>
        <v/>
      </c>
      <c r="BG914">
        <f>IF(OR(AZ914="Done",AZ914="Cancelled"),1,0)</f>
        <v/>
      </c>
      <c r="BH914">
        <f>IF(AND(AU914&lt;&gt;"",ISNUMBER(AW914)),1,0)</f>
        <v/>
      </c>
      <c r="BI914">
        <f>IF(BH914=0,0,IF(AND(AW914&gt;='Tasks Filter'!$F$3,AW914&lt;='Tasks Filter'!$F$4,OR('Tasks Filter'!$I$3="",ISNUMBER(SEARCH('Tasks Filter'!$I$3,AU914))),OR('Tasks Filter'!$I$4="",BF914=IFERROR(MATCH('Tasks Filter'!$I$4,Setup!$L$6:$L$9,0),0)),OR('Tasks Filter'!$I$5="Both",AND('Tasks Filter'!$I$5="Yes",BB914="✓"),AND('Tasks Filter'!$I$5="No",BB914&lt;&gt;"✓")),OR('Tasks Filter'!$L$3="",AV914='Tasks Filter'!$L$3),OR('Tasks Filter'!$L$4="",AZ914='Tasks Filter'!$L$4),OR('Tasks Filter'!$L$5="",BC914='Tasks Filter'!$L$5),OR('Tasks Filter'!$O$3="",BD914='Tasks Filter'!$O$3),OR('Tasks Filter'!$O$4="Yes",BG914=0)),1,0))</f>
        <v/>
      </c>
      <c r="BJ914">
        <f>IF(BH914=0,"",IF('Tasks Filter'!$F$6="Descending",-1,1)*CHOOSE(MATCH('Tasks Filter'!$F$5,Lists!$G$2:$G$6,0),AW914,BF914,IFERROR(MATCH(AV914,Setup!$F$6:$F$15,0),99),IFERROR(MATCH(BC914,Setup!$H$6:$H$15,0),99),IFERROR(MATCH(AZ914,Setup!$J$6:$J$11,0),99))*1E+9+(AW914-40000)*10000+913)</f>
        <v/>
      </c>
      <c r="BK914">
        <f>IF(BI914=1,BJ914,"")</f>
        <v/>
      </c>
      <c r="BL914">
        <f>IF(AND(BH914=1,BG914=0,N(AW914)&lt;Setup!$D$7),(AW914-40000)*10000+913,"")</f>
        <v/>
      </c>
      <c r="BM914">
        <f>IF(AND(BH914=1,AZ914&lt;&gt;"Cancelled",N(AW914)&gt;=Dashboard!$AB$3,N(AW914)&lt;=Dashboard!$AB$3+6),(AW914-40000)*100000+BF914*10000+913,"")</f>
        <v/>
      </c>
      <c r="BN914">
        <f>IF(AND(BH914=1,AZ914&lt;&gt;"Cancelled"),BF914*10000+913,"")</f>
        <v/>
      </c>
    </row>
    <row r="915">
      <c r="AS915" t="inlineStr">
        <is>
          <t>R</t>
        </is>
      </c>
      <c r="AT915" t="n">
        <v>919</v>
      </c>
      <c r="AU915">
        <f>'Recurring Log'!C919&amp;""</f>
        <v/>
      </c>
      <c r="AV915">
        <f>'Recurring Log'!D919&amp;""</f>
        <v/>
      </c>
      <c r="AW915">
        <f>IF('Recurring Log'!E919="","",'Recurring Log'!E919)</f>
        <v/>
      </c>
      <c r="AX915">
        <f>IF('Recurring Log'!G919="","",'Recurring Log'!G919)</f>
        <v/>
      </c>
      <c r="AY915">
        <f>IF('Recurring Log'!H919="","",'Recurring Log'!H919)</f>
        <v/>
      </c>
      <c r="AZ915">
        <f>IF(AU915="","",IF('Recurring Log'!J919="","Not Started",'Recurring Log'!J919))</f>
        <v/>
      </c>
      <c r="BA915">
        <f>'Recurring Log'!L919&amp;""</f>
        <v/>
      </c>
      <c r="BB915">
        <f>'Recurring Log'!M919&amp;""</f>
        <v/>
      </c>
      <c r="BC915">
        <f>'Recurring Log'!N919&amp;""</f>
        <v/>
      </c>
      <c r="BD915">
        <f>'Recurring Log'!O919&amp;""</f>
        <v/>
      </c>
      <c r="BE915">
        <f>IF('Recurring Log'!K919="","",'Recurring Log'!K919)</f>
        <v/>
      </c>
      <c r="BF915">
        <f>IFERROR(MATCH(BA915,Setup!$L$6:$L$9,0),5)</f>
        <v/>
      </c>
      <c r="BG915">
        <f>IF(OR(AZ915="Done",AZ915="Cancelled"),1,0)</f>
        <v/>
      </c>
      <c r="BH915">
        <f>IF(AND(AU915&lt;&gt;"",ISNUMBER(AW915)),1,0)</f>
        <v/>
      </c>
      <c r="BI915">
        <f>IF(BH915=0,0,IF(AND(AW915&gt;='Tasks Filter'!$F$3,AW915&lt;='Tasks Filter'!$F$4,OR('Tasks Filter'!$I$3="",ISNUMBER(SEARCH('Tasks Filter'!$I$3,AU915))),OR('Tasks Filter'!$I$4="",BF915=IFERROR(MATCH('Tasks Filter'!$I$4,Setup!$L$6:$L$9,0),0)),OR('Tasks Filter'!$I$5="Both",AND('Tasks Filter'!$I$5="Yes",BB915="✓"),AND('Tasks Filter'!$I$5="No",BB915&lt;&gt;"✓")),OR('Tasks Filter'!$L$3="",AV915='Tasks Filter'!$L$3),OR('Tasks Filter'!$L$4="",AZ915='Tasks Filter'!$L$4),OR('Tasks Filter'!$L$5="",BC915='Tasks Filter'!$L$5),OR('Tasks Filter'!$O$3="",BD915='Tasks Filter'!$O$3),OR('Tasks Filter'!$O$4="Yes",BG915=0)),1,0))</f>
        <v/>
      </c>
      <c r="BJ915">
        <f>IF(BH915=0,"",IF('Tasks Filter'!$F$6="Descending",-1,1)*CHOOSE(MATCH('Tasks Filter'!$F$5,Lists!$G$2:$G$6,0),AW915,BF915,IFERROR(MATCH(AV915,Setup!$F$6:$F$15,0),99),IFERROR(MATCH(BC915,Setup!$H$6:$H$15,0),99),IFERROR(MATCH(AZ915,Setup!$J$6:$J$11,0),99))*1E+9+(AW915-40000)*10000+914)</f>
        <v/>
      </c>
      <c r="BK915">
        <f>IF(BI915=1,BJ915,"")</f>
        <v/>
      </c>
      <c r="BL915">
        <f>IF(AND(BH915=1,BG915=0,N(AW915)&lt;Setup!$D$7),(AW915-40000)*10000+914,"")</f>
        <v/>
      </c>
      <c r="BM915">
        <f>IF(AND(BH915=1,AZ915&lt;&gt;"Cancelled",N(AW915)&gt;=Dashboard!$AB$3,N(AW915)&lt;=Dashboard!$AB$3+6),(AW915-40000)*100000+BF915*10000+914,"")</f>
        <v/>
      </c>
      <c r="BN915">
        <f>IF(AND(BH915=1,AZ915&lt;&gt;"Cancelled"),BF915*10000+914,"")</f>
        <v/>
      </c>
    </row>
    <row r="916">
      <c r="AS916" t="inlineStr">
        <is>
          <t>R</t>
        </is>
      </c>
      <c r="AT916" t="n">
        <v>920</v>
      </c>
      <c r="AU916">
        <f>'Recurring Log'!C920&amp;""</f>
        <v/>
      </c>
      <c r="AV916">
        <f>'Recurring Log'!D920&amp;""</f>
        <v/>
      </c>
      <c r="AW916">
        <f>IF('Recurring Log'!E920="","",'Recurring Log'!E920)</f>
        <v/>
      </c>
      <c r="AX916">
        <f>IF('Recurring Log'!G920="","",'Recurring Log'!G920)</f>
        <v/>
      </c>
      <c r="AY916">
        <f>IF('Recurring Log'!H920="","",'Recurring Log'!H920)</f>
        <v/>
      </c>
      <c r="AZ916">
        <f>IF(AU916="","",IF('Recurring Log'!J920="","Not Started",'Recurring Log'!J920))</f>
        <v/>
      </c>
      <c r="BA916">
        <f>'Recurring Log'!L920&amp;""</f>
        <v/>
      </c>
      <c r="BB916">
        <f>'Recurring Log'!M920&amp;""</f>
        <v/>
      </c>
      <c r="BC916">
        <f>'Recurring Log'!N920&amp;""</f>
        <v/>
      </c>
      <c r="BD916">
        <f>'Recurring Log'!O920&amp;""</f>
        <v/>
      </c>
      <c r="BE916">
        <f>IF('Recurring Log'!K920="","",'Recurring Log'!K920)</f>
        <v/>
      </c>
      <c r="BF916">
        <f>IFERROR(MATCH(BA916,Setup!$L$6:$L$9,0),5)</f>
        <v/>
      </c>
      <c r="BG916">
        <f>IF(OR(AZ916="Done",AZ916="Cancelled"),1,0)</f>
        <v/>
      </c>
      <c r="BH916">
        <f>IF(AND(AU916&lt;&gt;"",ISNUMBER(AW916)),1,0)</f>
        <v/>
      </c>
      <c r="BI916">
        <f>IF(BH916=0,0,IF(AND(AW916&gt;='Tasks Filter'!$F$3,AW916&lt;='Tasks Filter'!$F$4,OR('Tasks Filter'!$I$3="",ISNUMBER(SEARCH('Tasks Filter'!$I$3,AU916))),OR('Tasks Filter'!$I$4="",BF916=IFERROR(MATCH('Tasks Filter'!$I$4,Setup!$L$6:$L$9,0),0)),OR('Tasks Filter'!$I$5="Both",AND('Tasks Filter'!$I$5="Yes",BB916="✓"),AND('Tasks Filter'!$I$5="No",BB916&lt;&gt;"✓")),OR('Tasks Filter'!$L$3="",AV916='Tasks Filter'!$L$3),OR('Tasks Filter'!$L$4="",AZ916='Tasks Filter'!$L$4),OR('Tasks Filter'!$L$5="",BC916='Tasks Filter'!$L$5),OR('Tasks Filter'!$O$3="",BD916='Tasks Filter'!$O$3),OR('Tasks Filter'!$O$4="Yes",BG916=0)),1,0))</f>
        <v/>
      </c>
      <c r="BJ916">
        <f>IF(BH916=0,"",IF('Tasks Filter'!$F$6="Descending",-1,1)*CHOOSE(MATCH('Tasks Filter'!$F$5,Lists!$G$2:$G$6,0),AW916,BF916,IFERROR(MATCH(AV916,Setup!$F$6:$F$15,0),99),IFERROR(MATCH(BC916,Setup!$H$6:$H$15,0),99),IFERROR(MATCH(AZ916,Setup!$J$6:$J$11,0),99))*1E+9+(AW916-40000)*10000+915)</f>
        <v/>
      </c>
      <c r="BK916">
        <f>IF(BI916=1,BJ916,"")</f>
        <v/>
      </c>
      <c r="BL916">
        <f>IF(AND(BH916=1,BG916=0,N(AW916)&lt;Setup!$D$7),(AW916-40000)*10000+915,"")</f>
        <v/>
      </c>
      <c r="BM916">
        <f>IF(AND(BH916=1,AZ916&lt;&gt;"Cancelled",N(AW916)&gt;=Dashboard!$AB$3,N(AW916)&lt;=Dashboard!$AB$3+6),(AW916-40000)*100000+BF916*10000+915,"")</f>
        <v/>
      </c>
      <c r="BN916">
        <f>IF(AND(BH916=1,AZ916&lt;&gt;"Cancelled"),BF916*10000+915,"")</f>
        <v/>
      </c>
    </row>
    <row r="917">
      <c r="AS917" t="inlineStr">
        <is>
          <t>R</t>
        </is>
      </c>
      <c r="AT917" t="n">
        <v>921</v>
      </c>
      <c r="AU917">
        <f>'Recurring Log'!C921&amp;""</f>
        <v/>
      </c>
      <c r="AV917">
        <f>'Recurring Log'!D921&amp;""</f>
        <v/>
      </c>
      <c r="AW917">
        <f>IF('Recurring Log'!E921="","",'Recurring Log'!E921)</f>
        <v/>
      </c>
      <c r="AX917">
        <f>IF('Recurring Log'!G921="","",'Recurring Log'!G921)</f>
        <v/>
      </c>
      <c r="AY917">
        <f>IF('Recurring Log'!H921="","",'Recurring Log'!H921)</f>
        <v/>
      </c>
      <c r="AZ917">
        <f>IF(AU917="","",IF('Recurring Log'!J921="","Not Started",'Recurring Log'!J921))</f>
        <v/>
      </c>
      <c r="BA917">
        <f>'Recurring Log'!L921&amp;""</f>
        <v/>
      </c>
      <c r="BB917">
        <f>'Recurring Log'!M921&amp;""</f>
        <v/>
      </c>
      <c r="BC917">
        <f>'Recurring Log'!N921&amp;""</f>
        <v/>
      </c>
      <c r="BD917">
        <f>'Recurring Log'!O921&amp;""</f>
        <v/>
      </c>
      <c r="BE917">
        <f>IF('Recurring Log'!K921="","",'Recurring Log'!K921)</f>
        <v/>
      </c>
      <c r="BF917">
        <f>IFERROR(MATCH(BA917,Setup!$L$6:$L$9,0),5)</f>
        <v/>
      </c>
      <c r="BG917">
        <f>IF(OR(AZ917="Done",AZ917="Cancelled"),1,0)</f>
        <v/>
      </c>
      <c r="BH917">
        <f>IF(AND(AU917&lt;&gt;"",ISNUMBER(AW917)),1,0)</f>
        <v/>
      </c>
      <c r="BI917">
        <f>IF(BH917=0,0,IF(AND(AW917&gt;='Tasks Filter'!$F$3,AW917&lt;='Tasks Filter'!$F$4,OR('Tasks Filter'!$I$3="",ISNUMBER(SEARCH('Tasks Filter'!$I$3,AU917))),OR('Tasks Filter'!$I$4="",BF917=IFERROR(MATCH('Tasks Filter'!$I$4,Setup!$L$6:$L$9,0),0)),OR('Tasks Filter'!$I$5="Both",AND('Tasks Filter'!$I$5="Yes",BB917="✓"),AND('Tasks Filter'!$I$5="No",BB917&lt;&gt;"✓")),OR('Tasks Filter'!$L$3="",AV917='Tasks Filter'!$L$3),OR('Tasks Filter'!$L$4="",AZ917='Tasks Filter'!$L$4),OR('Tasks Filter'!$L$5="",BC917='Tasks Filter'!$L$5),OR('Tasks Filter'!$O$3="",BD917='Tasks Filter'!$O$3),OR('Tasks Filter'!$O$4="Yes",BG917=0)),1,0))</f>
        <v/>
      </c>
      <c r="BJ917">
        <f>IF(BH917=0,"",IF('Tasks Filter'!$F$6="Descending",-1,1)*CHOOSE(MATCH('Tasks Filter'!$F$5,Lists!$G$2:$G$6,0),AW917,BF917,IFERROR(MATCH(AV917,Setup!$F$6:$F$15,0),99),IFERROR(MATCH(BC917,Setup!$H$6:$H$15,0),99),IFERROR(MATCH(AZ917,Setup!$J$6:$J$11,0),99))*1E+9+(AW917-40000)*10000+916)</f>
        <v/>
      </c>
      <c r="BK917">
        <f>IF(BI917=1,BJ917,"")</f>
        <v/>
      </c>
      <c r="BL917">
        <f>IF(AND(BH917=1,BG917=0,N(AW917)&lt;Setup!$D$7),(AW917-40000)*10000+916,"")</f>
        <v/>
      </c>
      <c r="BM917">
        <f>IF(AND(BH917=1,AZ917&lt;&gt;"Cancelled",N(AW917)&gt;=Dashboard!$AB$3,N(AW917)&lt;=Dashboard!$AB$3+6),(AW917-40000)*100000+BF917*10000+916,"")</f>
        <v/>
      </c>
      <c r="BN917">
        <f>IF(AND(BH917=1,AZ917&lt;&gt;"Cancelled"),BF917*10000+916,"")</f>
        <v/>
      </c>
    </row>
    <row r="918">
      <c r="AS918" t="inlineStr">
        <is>
          <t>R</t>
        </is>
      </c>
      <c r="AT918" t="n">
        <v>922</v>
      </c>
      <c r="AU918">
        <f>'Recurring Log'!C922&amp;""</f>
        <v/>
      </c>
      <c r="AV918">
        <f>'Recurring Log'!D922&amp;""</f>
        <v/>
      </c>
      <c r="AW918">
        <f>IF('Recurring Log'!E922="","",'Recurring Log'!E922)</f>
        <v/>
      </c>
      <c r="AX918">
        <f>IF('Recurring Log'!G922="","",'Recurring Log'!G922)</f>
        <v/>
      </c>
      <c r="AY918">
        <f>IF('Recurring Log'!H922="","",'Recurring Log'!H922)</f>
        <v/>
      </c>
      <c r="AZ918">
        <f>IF(AU918="","",IF('Recurring Log'!J922="","Not Started",'Recurring Log'!J922))</f>
        <v/>
      </c>
      <c r="BA918">
        <f>'Recurring Log'!L922&amp;""</f>
        <v/>
      </c>
      <c r="BB918">
        <f>'Recurring Log'!M922&amp;""</f>
        <v/>
      </c>
      <c r="BC918">
        <f>'Recurring Log'!N922&amp;""</f>
        <v/>
      </c>
      <c r="BD918">
        <f>'Recurring Log'!O922&amp;""</f>
        <v/>
      </c>
      <c r="BE918">
        <f>IF('Recurring Log'!K922="","",'Recurring Log'!K922)</f>
        <v/>
      </c>
      <c r="BF918">
        <f>IFERROR(MATCH(BA918,Setup!$L$6:$L$9,0),5)</f>
        <v/>
      </c>
      <c r="BG918">
        <f>IF(OR(AZ918="Done",AZ918="Cancelled"),1,0)</f>
        <v/>
      </c>
      <c r="BH918">
        <f>IF(AND(AU918&lt;&gt;"",ISNUMBER(AW918)),1,0)</f>
        <v/>
      </c>
      <c r="BI918">
        <f>IF(BH918=0,0,IF(AND(AW918&gt;='Tasks Filter'!$F$3,AW918&lt;='Tasks Filter'!$F$4,OR('Tasks Filter'!$I$3="",ISNUMBER(SEARCH('Tasks Filter'!$I$3,AU918))),OR('Tasks Filter'!$I$4="",BF918=IFERROR(MATCH('Tasks Filter'!$I$4,Setup!$L$6:$L$9,0),0)),OR('Tasks Filter'!$I$5="Both",AND('Tasks Filter'!$I$5="Yes",BB918="✓"),AND('Tasks Filter'!$I$5="No",BB918&lt;&gt;"✓")),OR('Tasks Filter'!$L$3="",AV918='Tasks Filter'!$L$3),OR('Tasks Filter'!$L$4="",AZ918='Tasks Filter'!$L$4),OR('Tasks Filter'!$L$5="",BC918='Tasks Filter'!$L$5),OR('Tasks Filter'!$O$3="",BD918='Tasks Filter'!$O$3),OR('Tasks Filter'!$O$4="Yes",BG918=0)),1,0))</f>
        <v/>
      </c>
      <c r="BJ918">
        <f>IF(BH918=0,"",IF('Tasks Filter'!$F$6="Descending",-1,1)*CHOOSE(MATCH('Tasks Filter'!$F$5,Lists!$G$2:$G$6,0),AW918,BF918,IFERROR(MATCH(AV918,Setup!$F$6:$F$15,0),99),IFERROR(MATCH(BC918,Setup!$H$6:$H$15,0),99),IFERROR(MATCH(AZ918,Setup!$J$6:$J$11,0),99))*1E+9+(AW918-40000)*10000+917)</f>
        <v/>
      </c>
      <c r="BK918">
        <f>IF(BI918=1,BJ918,"")</f>
        <v/>
      </c>
      <c r="BL918">
        <f>IF(AND(BH918=1,BG918=0,N(AW918)&lt;Setup!$D$7),(AW918-40000)*10000+917,"")</f>
        <v/>
      </c>
      <c r="BM918">
        <f>IF(AND(BH918=1,AZ918&lt;&gt;"Cancelled",N(AW918)&gt;=Dashboard!$AB$3,N(AW918)&lt;=Dashboard!$AB$3+6),(AW918-40000)*100000+BF918*10000+917,"")</f>
        <v/>
      </c>
      <c r="BN918">
        <f>IF(AND(BH918=1,AZ918&lt;&gt;"Cancelled"),BF918*10000+917,"")</f>
        <v/>
      </c>
    </row>
    <row r="919">
      <c r="AS919" t="inlineStr">
        <is>
          <t>R</t>
        </is>
      </c>
      <c r="AT919" t="n">
        <v>923</v>
      </c>
      <c r="AU919">
        <f>'Recurring Log'!C923&amp;""</f>
        <v/>
      </c>
      <c r="AV919">
        <f>'Recurring Log'!D923&amp;""</f>
        <v/>
      </c>
      <c r="AW919">
        <f>IF('Recurring Log'!E923="","",'Recurring Log'!E923)</f>
        <v/>
      </c>
      <c r="AX919">
        <f>IF('Recurring Log'!G923="","",'Recurring Log'!G923)</f>
        <v/>
      </c>
      <c r="AY919">
        <f>IF('Recurring Log'!H923="","",'Recurring Log'!H923)</f>
        <v/>
      </c>
      <c r="AZ919">
        <f>IF(AU919="","",IF('Recurring Log'!J923="","Not Started",'Recurring Log'!J923))</f>
        <v/>
      </c>
      <c r="BA919">
        <f>'Recurring Log'!L923&amp;""</f>
        <v/>
      </c>
      <c r="BB919">
        <f>'Recurring Log'!M923&amp;""</f>
        <v/>
      </c>
      <c r="BC919">
        <f>'Recurring Log'!N923&amp;""</f>
        <v/>
      </c>
      <c r="BD919">
        <f>'Recurring Log'!O923&amp;""</f>
        <v/>
      </c>
      <c r="BE919">
        <f>IF('Recurring Log'!K923="","",'Recurring Log'!K923)</f>
        <v/>
      </c>
      <c r="BF919">
        <f>IFERROR(MATCH(BA919,Setup!$L$6:$L$9,0),5)</f>
        <v/>
      </c>
      <c r="BG919">
        <f>IF(OR(AZ919="Done",AZ919="Cancelled"),1,0)</f>
        <v/>
      </c>
      <c r="BH919">
        <f>IF(AND(AU919&lt;&gt;"",ISNUMBER(AW919)),1,0)</f>
        <v/>
      </c>
      <c r="BI919">
        <f>IF(BH919=0,0,IF(AND(AW919&gt;='Tasks Filter'!$F$3,AW919&lt;='Tasks Filter'!$F$4,OR('Tasks Filter'!$I$3="",ISNUMBER(SEARCH('Tasks Filter'!$I$3,AU919))),OR('Tasks Filter'!$I$4="",BF919=IFERROR(MATCH('Tasks Filter'!$I$4,Setup!$L$6:$L$9,0),0)),OR('Tasks Filter'!$I$5="Both",AND('Tasks Filter'!$I$5="Yes",BB919="✓"),AND('Tasks Filter'!$I$5="No",BB919&lt;&gt;"✓")),OR('Tasks Filter'!$L$3="",AV919='Tasks Filter'!$L$3),OR('Tasks Filter'!$L$4="",AZ919='Tasks Filter'!$L$4),OR('Tasks Filter'!$L$5="",BC919='Tasks Filter'!$L$5),OR('Tasks Filter'!$O$3="",BD919='Tasks Filter'!$O$3),OR('Tasks Filter'!$O$4="Yes",BG919=0)),1,0))</f>
        <v/>
      </c>
      <c r="BJ919">
        <f>IF(BH919=0,"",IF('Tasks Filter'!$F$6="Descending",-1,1)*CHOOSE(MATCH('Tasks Filter'!$F$5,Lists!$G$2:$G$6,0),AW919,BF919,IFERROR(MATCH(AV919,Setup!$F$6:$F$15,0),99),IFERROR(MATCH(BC919,Setup!$H$6:$H$15,0),99),IFERROR(MATCH(AZ919,Setup!$J$6:$J$11,0),99))*1E+9+(AW919-40000)*10000+918)</f>
        <v/>
      </c>
      <c r="BK919">
        <f>IF(BI919=1,BJ919,"")</f>
        <v/>
      </c>
      <c r="BL919">
        <f>IF(AND(BH919=1,BG919=0,N(AW919)&lt;Setup!$D$7),(AW919-40000)*10000+918,"")</f>
        <v/>
      </c>
      <c r="BM919">
        <f>IF(AND(BH919=1,AZ919&lt;&gt;"Cancelled",N(AW919)&gt;=Dashboard!$AB$3,N(AW919)&lt;=Dashboard!$AB$3+6),(AW919-40000)*100000+BF919*10000+918,"")</f>
        <v/>
      </c>
      <c r="BN919">
        <f>IF(AND(BH919=1,AZ919&lt;&gt;"Cancelled"),BF919*10000+918,"")</f>
        <v/>
      </c>
    </row>
    <row r="920">
      <c r="AS920" t="inlineStr">
        <is>
          <t>R</t>
        </is>
      </c>
      <c r="AT920" t="n">
        <v>924</v>
      </c>
      <c r="AU920">
        <f>'Recurring Log'!C924&amp;""</f>
        <v/>
      </c>
      <c r="AV920">
        <f>'Recurring Log'!D924&amp;""</f>
        <v/>
      </c>
      <c r="AW920">
        <f>IF('Recurring Log'!E924="","",'Recurring Log'!E924)</f>
        <v/>
      </c>
      <c r="AX920">
        <f>IF('Recurring Log'!G924="","",'Recurring Log'!G924)</f>
        <v/>
      </c>
      <c r="AY920">
        <f>IF('Recurring Log'!H924="","",'Recurring Log'!H924)</f>
        <v/>
      </c>
      <c r="AZ920">
        <f>IF(AU920="","",IF('Recurring Log'!J924="","Not Started",'Recurring Log'!J924))</f>
        <v/>
      </c>
      <c r="BA920">
        <f>'Recurring Log'!L924&amp;""</f>
        <v/>
      </c>
      <c r="BB920">
        <f>'Recurring Log'!M924&amp;""</f>
        <v/>
      </c>
      <c r="BC920">
        <f>'Recurring Log'!N924&amp;""</f>
        <v/>
      </c>
      <c r="BD920">
        <f>'Recurring Log'!O924&amp;""</f>
        <v/>
      </c>
      <c r="BE920">
        <f>IF('Recurring Log'!K924="","",'Recurring Log'!K924)</f>
        <v/>
      </c>
      <c r="BF920">
        <f>IFERROR(MATCH(BA920,Setup!$L$6:$L$9,0),5)</f>
        <v/>
      </c>
      <c r="BG920">
        <f>IF(OR(AZ920="Done",AZ920="Cancelled"),1,0)</f>
        <v/>
      </c>
      <c r="BH920">
        <f>IF(AND(AU920&lt;&gt;"",ISNUMBER(AW920)),1,0)</f>
        <v/>
      </c>
      <c r="BI920">
        <f>IF(BH920=0,0,IF(AND(AW920&gt;='Tasks Filter'!$F$3,AW920&lt;='Tasks Filter'!$F$4,OR('Tasks Filter'!$I$3="",ISNUMBER(SEARCH('Tasks Filter'!$I$3,AU920))),OR('Tasks Filter'!$I$4="",BF920=IFERROR(MATCH('Tasks Filter'!$I$4,Setup!$L$6:$L$9,0),0)),OR('Tasks Filter'!$I$5="Both",AND('Tasks Filter'!$I$5="Yes",BB920="✓"),AND('Tasks Filter'!$I$5="No",BB920&lt;&gt;"✓")),OR('Tasks Filter'!$L$3="",AV920='Tasks Filter'!$L$3),OR('Tasks Filter'!$L$4="",AZ920='Tasks Filter'!$L$4),OR('Tasks Filter'!$L$5="",BC920='Tasks Filter'!$L$5),OR('Tasks Filter'!$O$3="",BD920='Tasks Filter'!$O$3),OR('Tasks Filter'!$O$4="Yes",BG920=0)),1,0))</f>
        <v/>
      </c>
      <c r="BJ920">
        <f>IF(BH920=0,"",IF('Tasks Filter'!$F$6="Descending",-1,1)*CHOOSE(MATCH('Tasks Filter'!$F$5,Lists!$G$2:$G$6,0),AW920,BF920,IFERROR(MATCH(AV920,Setup!$F$6:$F$15,0),99),IFERROR(MATCH(BC920,Setup!$H$6:$H$15,0),99),IFERROR(MATCH(AZ920,Setup!$J$6:$J$11,0),99))*1E+9+(AW920-40000)*10000+919)</f>
        <v/>
      </c>
      <c r="BK920">
        <f>IF(BI920=1,BJ920,"")</f>
        <v/>
      </c>
      <c r="BL920">
        <f>IF(AND(BH920=1,BG920=0,N(AW920)&lt;Setup!$D$7),(AW920-40000)*10000+919,"")</f>
        <v/>
      </c>
      <c r="BM920">
        <f>IF(AND(BH920=1,AZ920&lt;&gt;"Cancelled",N(AW920)&gt;=Dashboard!$AB$3,N(AW920)&lt;=Dashboard!$AB$3+6),(AW920-40000)*100000+BF920*10000+919,"")</f>
        <v/>
      </c>
      <c r="BN920">
        <f>IF(AND(BH920=1,AZ920&lt;&gt;"Cancelled"),BF920*10000+919,"")</f>
        <v/>
      </c>
    </row>
    <row r="921">
      <c r="AS921" t="inlineStr">
        <is>
          <t>R</t>
        </is>
      </c>
      <c r="AT921" t="n">
        <v>925</v>
      </c>
      <c r="AU921">
        <f>'Recurring Log'!C925&amp;""</f>
        <v/>
      </c>
      <c r="AV921">
        <f>'Recurring Log'!D925&amp;""</f>
        <v/>
      </c>
      <c r="AW921">
        <f>IF('Recurring Log'!E925="","",'Recurring Log'!E925)</f>
        <v/>
      </c>
      <c r="AX921">
        <f>IF('Recurring Log'!G925="","",'Recurring Log'!G925)</f>
        <v/>
      </c>
      <c r="AY921">
        <f>IF('Recurring Log'!H925="","",'Recurring Log'!H925)</f>
        <v/>
      </c>
      <c r="AZ921">
        <f>IF(AU921="","",IF('Recurring Log'!J925="","Not Started",'Recurring Log'!J925))</f>
        <v/>
      </c>
      <c r="BA921">
        <f>'Recurring Log'!L925&amp;""</f>
        <v/>
      </c>
      <c r="BB921">
        <f>'Recurring Log'!M925&amp;""</f>
        <v/>
      </c>
      <c r="BC921">
        <f>'Recurring Log'!N925&amp;""</f>
        <v/>
      </c>
      <c r="BD921">
        <f>'Recurring Log'!O925&amp;""</f>
        <v/>
      </c>
      <c r="BE921">
        <f>IF('Recurring Log'!K925="","",'Recurring Log'!K925)</f>
        <v/>
      </c>
      <c r="BF921">
        <f>IFERROR(MATCH(BA921,Setup!$L$6:$L$9,0),5)</f>
        <v/>
      </c>
      <c r="BG921">
        <f>IF(OR(AZ921="Done",AZ921="Cancelled"),1,0)</f>
        <v/>
      </c>
      <c r="BH921">
        <f>IF(AND(AU921&lt;&gt;"",ISNUMBER(AW921)),1,0)</f>
        <v/>
      </c>
      <c r="BI921">
        <f>IF(BH921=0,0,IF(AND(AW921&gt;='Tasks Filter'!$F$3,AW921&lt;='Tasks Filter'!$F$4,OR('Tasks Filter'!$I$3="",ISNUMBER(SEARCH('Tasks Filter'!$I$3,AU921))),OR('Tasks Filter'!$I$4="",BF921=IFERROR(MATCH('Tasks Filter'!$I$4,Setup!$L$6:$L$9,0),0)),OR('Tasks Filter'!$I$5="Both",AND('Tasks Filter'!$I$5="Yes",BB921="✓"),AND('Tasks Filter'!$I$5="No",BB921&lt;&gt;"✓")),OR('Tasks Filter'!$L$3="",AV921='Tasks Filter'!$L$3),OR('Tasks Filter'!$L$4="",AZ921='Tasks Filter'!$L$4),OR('Tasks Filter'!$L$5="",BC921='Tasks Filter'!$L$5),OR('Tasks Filter'!$O$3="",BD921='Tasks Filter'!$O$3),OR('Tasks Filter'!$O$4="Yes",BG921=0)),1,0))</f>
        <v/>
      </c>
      <c r="BJ921">
        <f>IF(BH921=0,"",IF('Tasks Filter'!$F$6="Descending",-1,1)*CHOOSE(MATCH('Tasks Filter'!$F$5,Lists!$G$2:$G$6,0),AW921,BF921,IFERROR(MATCH(AV921,Setup!$F$6:$F$15,0),99),IFERROR(MATCH(BC921,Setup!$H$6:$H$15,0),99),IFERROR(MATCH(AZ921,Setup!$J$6:$J$11,0),99))*1E+9+(AW921-40000)*10000+920)</f>
        <v/>
      </c>
      <c r="BK921">
        <f>IF(BI921=1,BJ921,"")</f>
        <v/>
      </c>
      <c r="BL921">
        <f>IF(AND(BH921=1,BG921=0,N(AW921)&lt;Setup!$D$7),(AW921-40000)*10000+920,"")</f>
        <v/>
      </c>
      <c r="BM921">
        <f>IF(AND(BH921=1,AZ921&lt;&gt;"Cancelled",N(AW921)&gt;=Dashboard!$AB$3,N(AW921)&lt;=Dashboard!$AB$3+6),(AW921-40000)*100000+BF921*10000+920,"")</f>
        <v/>
      </c>
      <c r="BN921">
        <f>IF(AND(BH921=1,AZ921&lt;&gt;"Cancelled"),BF921*10000+920,"")</f>
        <v/>
      </c>
    </row>
    <row r="922">
      <c r="AS922" t="inlineStr">
        <is>
          <t>R</t>
        </is>
      </c>
      <c r="AT922" t="n">
        <v>926</v>
      </c>
      <c r="AU922">
        <f>'Recurring Log'!C926&amp;""</f>
        <v/>
      </c>
      <c r="AV922">
        <f>'Recurring Log'!D926&amp;""</f>
        <v/>
      </c>
      <c r="AW922">
        <f>IF('Recurring Log'!E926="","",'Recurring Log'!E926)</f>
        <v/>
      </c>
      <c r="AX922">
        <f>IF('Recurring Log'!G926="","",'Recurring Log'!G926)</f>
        <v/>
      </c>
      <c r="AY922">
        <f>IF('Recurring Log'!H926="","",'Recurring Log'!H926)</f>
        <v/>
      </c>
      <c r="AZ922">
        <f>IF(AU922="","",IF('Recurring Log'!J926="","Not Started",'Recurring Log'!J926))</f>
        <v/>
      </c>
      <c r="BA922">
        <f>'Recurring Log'!L926&amp;""</f>
        <v/>
      </c>
      <c r="BB922">
        <f>'Recurring Log'!M926&amp;""</f>
        <v/>
      </c>
      <c r="BC922">
        <f>'Recurring Log'!N926&amp;""</f>
        <v/>
      </c>
      <c r="BD922">
        <f>'Recurring Log'!O926&amp;""</f>
        <v/>
      </c>
      <c r="BE922">
        <f>IF('Recurring Log'!K926="","",'Recurring Log'!K926)</f>
        <v/>
      </c>
      <c r="BF922">
        <f>IFERROR(MATCH(BA922,Setup!$L$6:$L$9,0),5)</f>
        <v/>
      </c>
      <c r="BG922">
        <f>IF(OR(AZ922="Done",AZ922="Cancelled"),1,0)</f>
        <v/>
      </c>
      <c r="BH922">
        <f>IF(AND(AU922&lt;&gt;"",ISNUMBER(AW922)),1,0)</f>
        <v/>
      </c>
      <c r="BI922">
        <f>IF(BH922=0,0,IF(AND(AW922&gt;='Tasks Filter'!$F$3,AW922&lt;='Tasks Filter'!$F$4,OR('Tasks Filter'!$I$3="",ISNUMBER(SEARCH('Tasks Filter'!$I$3,AU922))),OR('Tasks Filter'!$I$4="",BF922=IFERROR(MATCH('Tasks Filter'!$I$4,Setup!$L$6:$L$9,0),0)),OR('Tasks Filter'!$I$5="Both",AND('Tasks Filter'!$I$5="Yes",BB922="✓"),AND('Tasks Filter'!$I$5="No",BB922&lt;&gt;"✓")),OR('Tasks Filter'!$L$3="",AV922='Tasks Filter'!$L$3),OR('Tasks Filter'!$L$4="",AZ922='Tasks Filter'!$L$4),OR('Tasks Filter'!$L$5="",BC922='Tasks Filter'!$L$5),OR('Tasks Filter'!$O$3="",BD922='Tasks Filter'!$O$3),OR('Tasks Filter'!$O$4="Yes",BG922=0)),1,0))</f>
        <v/>
      </c>
      <c r="BJ922">
        <f>IF(BH922=0,"",IF('Tasks Filter'!$F$6="Descending",-1,1)*CHOOSE(MATCH('Tasks Filter'!$F$5,Lists!$G$2:$G$6,0),AW922,BF922,IFERROR(MATCH(AV922,Setup!$F$6:$F$15,0),99),IFERROR(MATCH(BC922,Setup!$H$6:$H$15,0),99),IFERROR(MATCH(AZ922,Setup!$J$6:$J$11,0),99))*1E+9+(AW922-40000)*10000+921)</f>
        <v/>
      </c>
      <c r="BK922">
        <f>IF(BI922=1,BJ922,"")</f>
        <v/>
      </c>
      <c r="BL922">
        <f>IF(AND(BH922=1,BG922=0,N(AW922)&lt;Setup!$D$7),(AW922-40000)*10000+921,"")</f>
        <v/>
      </c>
      <c r="BM922">
        <f>IF(AND(BH922=1,AZ922&lt;&gt;"Cancelled",N(AW922)&gt;=Dashboard!$AB$3,N(AW922)&lt;=Dashboard!$AB$3+6),(AW922-40000)*100000+BF922*10000+921,"")</f>
        <v/>
      </c>
      <c r="BN922">
        <f>IF(AND(BH922=1,AZ922&lt;&gt;"Cancelled"),BF922*10000+921,"")</f>
        <v/>
      </c>
    </row>
    <row r="923">
      <c r="AS923" t="inlineStr">
        <is>
          <t>R</t>
        </is>
      </c>
      <c r="AT923" t="n">
        <v>927</v>
      </c>
      <c r="AU923">
        <f>'Recurring Log'!C927&amp;""</f>
        <v/>
      </c>
      <c r="AV923">
        <f>'Recurring Log'!D927&amp;""</f>
        <v/>
      </c>
      <c r="AW923">
        <f>IF('Recurring Log'!E927="","",'Recurring Log'!E927)</f>
        <v/>
      </c>
      <c r="AX923">
        <f>IF('Recurring Log'!G927="","",'Recurring Log'!G927)</f>
        <v/>
      </c>
      <c r="AY923">
        <f>IF('Recurring Log'!H927="","",'Recurring Log'!H927)</f>
        <v/>
      </c>
      <c r="AZ923">
        <f>IF(AU923="","",IF('Recurring Log'!J927="","Not Started",'Recurring Log'!J927))</f>
        <v/>
      </c>
      <c r="BA923">
        <f>'Recurring Log'!L927&amp;""</f>
        <v/>
      </c>
      <c r="BB923">
        <f>'Recurring Log'!M927&amp;""</f>
        <v/>
      </c>
      <c r="BC923">
        <f>'Recurring Log'!N927&amp;""</f>
        <v/>
      </c>
      <c r="BD923">
        <f>'Recurring Log'!O927&amp;""</f>
        <v/>
      </c>
      <c r="BE923">
        <f>IF('Recurring Log'!K927="","",'Recurring Log'!K927)</f>
        <v/>
      </c>
      <c r="BF923">
        <f>IFERROR(MATCH(BA923,Setup!$L$6:$L$9,0),5)</f>
        <v/>
      </c>
      <c r="BG923">
        <f>IF(OR(AZ923="Done",AZ923="Cancelled"),1,0)</f>
        <v/>
      </c>
      <c r="BH923">
        <f>IF(AND(AU923&lt;&gt;"",ISNUMBER(AW923)),1,0)</f>
        <v/>
      </c>
      <c r="BI923">
        <f>IF(BH923=0,0,IF(AND(AW923&gt;='Tasks Filter'!$F$3,AW923&lt;='Tasks Filter'!$F$4,OR('Tasks Filter'!$I$3="",ISNUMBER(SEARCH('Tasks Filter'!$I$3,AU923))),OR('Tasks Filter'!$I$4="",BF923=IFERROR(MATCH('Tasks Filter'!$I$4,Setup!$L$6:$L$9,0),0)),OR('Tasks Filter'!$I$5="Both",AND('Tasks Filter'!$I$5="Yes",BB923="✓"),AND('Tasks Filter'!$I$5="No",BB923&lt;&gt;"✓")),OR('Tasks Filter'!$L$3="",AV923='Tasks Filter'!$L$3),OR('Tasks Filter'!$L$4="",AZ923='Tasks Filter'!$L$4),OR('Tasks Filter'!$L$5="",BC923='Tasks Filter'!$L$5),OR('Tasks Filter'!$O$3="",BD923='Tasks Filter'!$O$3),OR('Tasks Filter'!$O$4="Yes",BG923=0)),1,0))</f>
        <v/>
      </c>
      <c r="BJ923">
        <f>IF(BH923=0,"",IF('Tasks Filter'!$F$6="Descending",-1,1)*CHOOSE(MATCH('Tasks Filter'!$F$5,Lists!$G$2:$G$6,0),AW923,BF923,IFERROR(MATCH(AV923,Setup!$F$6:$F$15,0),99),IFERROR(MATCH(BC923,Setup!$H$6:$H$15,0),99),IFERROR(MATCH(AZ923,Setup!$J$6:$J$11,0),99))*1E+9+(AW923-40000)*10000+922)</f>
        <v/>
      </c>
      <c r="BK923">
        <f>IF(BI923=1,BJ923,"")</f>
        <v/>
      </c>
      <c r="BL923">
        <f>IF(AND(BH923=1,BG923=0,N(AW923)&lt;Setup!$D$7),(AW923-40000)*10000+922,"")</f>
        <v/>
      </c>
      <c r="BM923">
        <f>IF(AND(BH923=1,AZ923&lt;&gt;"Cancelled",N(AW923)&gt;=Dashboard!$AB$3,N(AW923)&lt;=Dashboard!$AB$3+6),(AW923-40000)*100000+BF923*10000+922,"")</f>
        <v/>
      </c>
      <c r="BN923">
        <f>IF(AND(BH923=1,AZ923&lt;&gt;"Cancelled"),BF923*10000+922,"")</f>
        <v/>
      </c>
    </row>
    <row r="924">
      <c r="AS924" t="inlineStr">
        <is>
          <t>R</t>
        </is>
      </c>
      <c r="AT924" t="n">
        <v>928</v>
      </c>
      <c r="AU924">
        <f>'Recurring Log'!C928&amp;""</f>
        <v/>
      </c>
      <c r="AV924">
        <f>'Recurring Log'!D928&amp;""</f>
        <v/>
      </c>
      <c r="AW924">
        <f>IF('Recurring Log'!E928="","",'Recurring Log'!E928)</f>
        <v/>
      </c>
      <c r="AX924">
        <f>IF('Recurring Log'!G928="","",'Recurring Log'!G928)</f>
        <v/>
      </c>
      <c r="AY924">
        <f>IF('Recurring Log'!H928="","",'Recurring Log'!H928)</f>
        <v/>
      </c>
      <c r="AZ924">
        <f>IF(AU924="","",IF('Recurring Log'!J928="","Not Started",'Recurring Log'!J928))</f>
        <v/>
      </c>
      <c r="BA924">
        <f>'Recurring Log'!L928&amp;""</f>
        <v/>
      </c>
      <c r="BB924">
        <f>'Recurring Log'!M928&amp;""</f>
        <v/>
      </c>
      <c r="BC924">
        <f>'Recurring Log'!N928&amp;""</f>
        <v/>
      </c>
      <c r="BD924">
        <f>'Recurring Log'!O928&amp;""</f>
        <v/>
      </c>
      <c r="BE924">
        <f>IF('Recurring Log'!K928="","",'Recurring Log'!K928)</f>
        <v/>
      </c>
      <c r="BF924">
        <f>IFERROR(MATCH(BA924,Setup!$L$6:$L$9,0),5)</f>
        <v/>
      </c>
      <c r="BG924">
        <f>IF(OR(AZ924="Done",AZ924="Cancelled"),1,0)</f>
        <v/>
      </c>
      <c r="BH924">
        <f>IF(AND(AU924&lt;&gt;"",ISNUMBER(AW924)),1,0)</f>
        <v/>
      </c>
      <c r="BI924">
        <f>IF(BH924=0,0,IF(AND(AW924&gt;='Tasks Filter'!$F$3,AW924&lt;='Tasks Filter'!$F$4,OR('Tasks Filter'!$I$3="",ISNUMBER(SEARCH('Tasks Filter'!$I$3,AU924))),OR('Tasks Filter'!$I$4="",BF924=IFERROR(MATCH('Tasks Filter'!$I$4,Setup!$L$6:$L$9,0),0)),OR('Tasks Filter'!$I$5="Both",AND('Tasks Filter'!$I$5="Yes",BB924="✓"),AND('Tasks Filter'!$I$5="No",BB924&lt;&gt;"✓")),OR('Tasks Filter'!$L$3="",AV924='Tasks Filter'!$L$3),OR('Tasks Filter'!$L$4="",AZ924='Tasks Filter'!$L$4),OR('Tasks Filter'!$L$5="",BC924='Tasks Filter'!$L$5),OR('Tasks Filter'!$O$3="",BD924='Tasks Filter'!$O$3),OR('Tasks Filter'!$O$4="Yes",BG924=0)),1,0))</f>
        <v/>
      </c>
      <c r="BJ924">
        <f>IF(BH924=0,"",IF('Tasks Filter'!$F$6="Descending",-1,1)*CHOOSE(MATCH('Tasks Filter'!$F$5,Lists!$G$2:$G$6,0),AW924,BF924,IFERROR(MATCH(AV924,Setup!$F$6:$F$15,0),99),IFERROR(MATCH(BC924,Setup!$H$6:$H$15,0),99),IFERROR(MATCH(AZ924,Setup!$J$6:$J$11,0),99))*1E+9+(AW924-40000)*10000+923)</f>
        <v/>
      </c>
      <c r="BK924">
        <f>IF(BI924=1,BJ924,"")</f>
        <v/>
      </c>
      <c r="BL924">
        <f>IF(AND(BH924=1,BG924=0,N(AW924)&lt;Setup!$D$7),(AW924-40000)*10000+923,"")</f>
        <v/>
      </c>
      <c r="BM924">
        <f>IF(AND(BH924=1,AZ924&lt;&gt;"Cancelled",N(AW924)&gt;=Dashboard!$AB$3,N(AW924)&lt;=Dashboard!$AB$3+6),(AW924-40000)*100000+BF924*10000+923,"")</f>
        <v/>
      </c>
      <c r="BN924">
        <f>IF(AND(BH924=1,AZ924&lt;&gt;"Cancelled"),BF924*10000+923,"")</f>
        <v/>
      </c>
    </row>
    <row r="925">
      <c r="AS925" t="inlineStr">
        <is>
          <t>R</t>
        </is>
      </c>
      <c r="AT925" t="n">
        <v>929</v>
      </c>
      <c r="AU925">
        <f>'Recurring Log'!C929&amp;""</f>
        <v/>
      </c>
      <c r="AV925">
        <f>'Recurring Log'!D929&amp;""</f>
        <v/>
      </c>
      <c r="AW925">
        <f>IF('Recurring Log'!E929="","",'Recurring Log'!E929)</f>
        <v/>
      </c>
      <c r="AX925">
        <f>IF('Recurring Log'!G929="","",'Recurring Log'!G929)</f>
        <v/>
      </c>
      <c r="AY925">
        <f>IF('Recurring Log'!H929="","",'Recurring Log'!H929)</f>
        <v/>
      </c>
      <c r="AZ925">
        <f>IF(AU925="","",IF('Recurring Log'!J929="","Not Started",'Recurring Log'!J929))</f>
        <v/>
      </c>
      <c r="BA925">
        <f>'Recurring Log'!L929&amp;""</f>
        <v/>
      </c>
      <c r="BB925">
        <f>'Recurring Log'!M929&amp;""</f>
        <v/>
      </c>
      <c r="BC925">
        <f>'Recurring Log'!N929&amp;""</f>
        <v/>
      </c>
      <c r="BD925">
        <f>'Recurring Log'!O929&amp;""</f>
        <v/>
      </c>
      <c r="BE925">
        <f>IF('Recurring Log'!K929="","",'Recurring Log'!K929)</f>
        <v/>
      </c>
      <c r="BF925">
        <f>IFERROR(MATCH(BA925,Setup!$L$6:$L$9,0),5)</f>
        <v/>
      </c>
      <c r="BG925">
        <f>IF(OR(AZ925="Done",AZ925="Cancelled"),1,0)</f>
        <v/>
      </c>
      <c r="BH925">
        <f>IF(AND(AU925&lt;&gt;"",ISNUMBER(AW925)),1,0)</f>
        <v/>
      </c>
      <c r="BI925">
        <f>IF(BH925=0,0,IF(AND(AW925&gt;='Tasks Filter'!$F$3,AW925&lt;='Tasks Filter'!$F$4,OR('Tasks Filter'!$I$3="",ISNUMBER(SEARCH('Tasks Filter'!$I$3,AU925))),OR('Tasks Filter'!$I$4="",BF925=IFERROR(MATCH('Tasks Filter'!$I$4,Setup!$L$6:$L$9,0),0)),OR('Tasks Filter'!$I$5="Both",AND('Tasks Filter'!$I$5="Yes",BB925="✓"),AND('Tasks Filter'!$I$5="No",BB925&lt;&gt;"✓")),OR('Tasks Filter'!$L$3="",AV925='Tasks Filter'!$L$3),OR('Tasks Filter'!$L$4="",AZ925='Tasks Filter'!$L$4),OR('Tasks Filter'!$L$5="",BC925='Tasks Filter'!$L$5),OR('Tasks Filter'!$O$3="",BD925='Tasks Filter'!$O$3),OR('Tasks Filter'!$O$4="Yes",BG925=0)),1,0))</f>
        <v/>
      </c>
      <c r="BJ925">
        <f>IF(BH925=0,"",IF('Tasks Filter'!$F$6="Descending",-1,1)*CHOOSE(MATCH('Tasks Filter'!$F$5,Lists!$G$2:$G$6,0),AW925,BF925,IFERROR(MATCH(AV925,Setup!$F$6:$F$15,0),99),IFERROR(MATCH(BC925,Setup!$H$6:$H$15,0),99),IFERROR(MATCH(AZ925,Setup!$J$6:$J$11,0),99))*1E+9+(AW925-40000)*10000+924)</f>
        <v/>
      </c>
      <c r="BK925">
        <f>IF(BI925=1,BJ925,"")</f>
        <v/>
      </c>
      <c r="BL925">
        <f>IF(AND(BH925=1,BG925=0,N(AW925)&lt;Setup!$D$7),(AW925-40000)*10000+924,"")</f>
        <v/>
      </c>
      <c r="BM925">
        <f>IF(AND(BH925=1,AZ925&lt;&gt;"Cancelled",N(AW925)&gt;=Dashboard!$AB$3,N(AW925)&lt;=Dashboard!$AB$3+6),(AW925-40000)*100000+BF925*10000+924,"")</f>
        <v/>
      </c>
      <c r="BN925">
        <f>IF(AND(BH925=1,AZ925&lt;&gt;"Cancelled"),BF925*10000+924,"")</f>
        <v/>
      </c>
    </row>
    <row r="926">
      <c r="AS926" t="inlineStr">
        <is>
          <t>R</t>
        </is>
      </c>
      <c r="AT926" t="n">
        <v>930</v>
      </c>
      <c r="AU926">
        <f>'Recurring Log'!C930&amp;""</f>
        <v/>
      </c>
      <c r="AV926">
        <f>'Recurring Log'!D930&amp;""</f>
        <v/>
      </c>
      <c r="AW926">
        <f>IF('Recurring Log'!E930="","",'Recurring Log'!E930)</f>
        <v/>
      </c>
      <c r="AX926">
        <f>IF('Recurring Log'!G930="","",'Recurring Log'!G930)</f>
        <v/>
      </c>
      <c r="AY926">
        <f>IF('Recurring Log'!H930="","",'Recurring Log'!H930)</f>
        <v/>
      </c>
      <c r="AZ926">
        <f>IF(AU926="","",IF('Recurring Log'!J930="","Not Started",'Recurring Log'!J930))</f>
        <v/>
      </c>
      <c r="BA926">
        <f>'Recurring Log'!L930&amp;""</f>
        <v/>
      </c>
      <c r="BB926">
        <f>'Recurring Log'!M930&amp;""</f>
        <v/>
      </c>
      <c r="BC926">
        <f>'Recurring Log'!N930&amp;""</f>
        <v/>
      </c>
      <c r="BD926">
        <f>'Recurring Log'!O930&amp;""</f>
        <v/>
      </c>
      <c r="BE926">
        <f>IF('Recurring Log'!K930="","",'Recurring Log'!K930)</f>
        <v/>
      </c>
      <c r="BF926">
        <f>IFERROR(MATCH(BA926,Setup!$L$6:$L$9,0),5)</f>
        <v/>
      </c>
      <c r="BG926">
        <f>IF(OR(AZ926="Done",AZ926="Cancelled"),1,0)</f>
        <v/>
      </c>
      <c r="BH926">
        <f>IF(AND(AU926&lt;&gt;"",ISNUMBER(AW926)),1,0)</f>
        <v/>
      </c>
      <c r="BI926">
        <f>IF(BH926=0,0,IF(AND(AW926&gt;='Tasks Filter'!$F$3,AW926&lt;='Tasks Filter'!$F$4,OR('Tasks Filter'!$I$3="",ISNUMBER(SEARCH('Tasks Filter'!$I$3,AU926))),OR('Tasks Filter'!$I$4="",BF926=IFERROR(MATCH('Tasks Filter'!$I$4,Setup!$L$6:$L$9,0),0)),OR('Tasks Filter'!$I$5="Both",AND('Tasks Filter'!$I$5="Yes",BB926="✓"),AND('Tasks Filter'!$I$5="No",BB926&lt;&gt;"✓")),OR('Tasks Filter'!$L$3="",AV926='Tasks Filter'!$L$3),OR('Tasks Filter'!$L$4="",AZ926='Tasks Filter'!$L$4),OR('Tasks Filter'!$L$5="",BC926='Tasks Filter'!$L$5),OR('Tasks Filter'!$O$3="",BD926='Tasks Filter'!$O$3),OR('Tasks Filter'!$O$4="Yes",BG926=0)),1,0))</f>
        <v/>
      </c>
      <c r="BJ926">
        <f>IF(BH926=0,"",IF('Tasks Filter'!$F$6="Descending",-1,1)*CHOOSE(MATCH('Tasks Filter'!$F$5,Lists!$G$2:$G$6,0),AW926,BF926,IFERROR(MATCH(AV926,Setup!$F$6:$F$15,0),99),IFERROR(MATCH(BC926,Setup!$H$6:$H$15,0),99),IFERROR(MATCH(AZ926,Setup!$J$6:$J$11,0),99))*1E+9+(AW926-40000)*10000+925)</f>
        <v/>
      </c>
      <c r="BK926">
        <f>IF(BI926=1,BJ926,"")</f>
        <v/>
      </c>
      <c r="BL926">
        <f>IF(AND(BH926=1,BG926=0,N(AW926)&lt;Setup!$D$7),(AW926-40000)*10000+925,"")</f>
        <v/>
      </c>
      <c r="BM926">
        <f>IF(AND(BH926=1,AZ926&lt;&gt;"Cancelled",N(AW926)&gt;=Dashboard!$AB$3,N(AW926)&lt;=Dashboard!$AB$3+6),(AW926-40000)*100000+BF926*10000+925,"")</f>
        <v/>
      </c>
      <c r="BN926">
        <f>IF(AND(BH926=1,AZ926&lt;&gt;"Cancelled"),BF926*10000+925,"")</f>
        <v/>
      </c>
    </row>
    <row r="927">
      <c r="AS927" t="inlineStr">
        <is>
          <t>R</t>
        </is>
      </c>
      <c r="AT927" t="n">
        <v>931</v>
      </c>
      <c r="AU927">
        <f>'Recurring Log'!C931&amp;""</f>
        <v/>
      </c>
      <c r="AV927">
        <f>'Recurring Log'!D931&amp;""</f>
        <v/>
      </c>
      <c r="AW927">
        <f>IF('Recurring Log'!E931="","",'Recurring Log'!E931)</f>
        <v/>
      </c>
      <c r="AX927">
        <f>IF('Recurring Log'!G931="","",'Recurring Log'!G931)</f>
        <v/>
      </c>
      <c r="AY927">
        <f>IF('Recurring Log'!H931="","",'Recurring Log'!H931)</f>
        <v/>
      </c>
      <c r="AZ927">
        <f>IF(AU927="","",IF('Recurring Log'!J931="","Not Started",'Recurring Log'!J931))</f>
        <v/>
      </c>
      <c r="BA927">
        <f>'Recurring Log'!L931&amp;""</f>
        <v/>
      </c>
      <c r="BB927">
        <f>'Recurring Log'!M931&amp;""</f>
        <v/>
      </c>
      <c r="BC927">
        <f>'Recurring Log'!N931&amp;""</f>
        <v/>
      </c>
      <c r="BD927">
        <f>'Recurring Log'!O931&amp;""</f>
        <v/>
      </c>
      <c r="BE927">
        <f>IF('Recurring Log'!K931="","",'Recurring Log'!K931)</f>
        <v/>
      </c>
      <c r="BF927">
        <f>IFERROR(MATCH(BA927,Setup!$L$6:$L$9,0),5)</f>
        <v/>
      </c>
      <c r="BG927">
        <f>IF(OR(AZ927="Done",AZ927="Cancelled"),1,0)</f>
        <v/>
      </c>
      <c r="BH927">
        <f>IF(AND(AU927&lt;&gt;"",ISNUMBER(AW927)),1,0)</f>
        <v/>
      </c>
      <c r="BI927">
        <f>IF(BH927=0,0,IF(AND(AW927&gt;='Tasks Filter'!$F$3,AW927&lt;='Tasks Filter'!$F$4,OR('Tasks Filter'!$I$3="",ISNUMBER(SEARCH('Tasks Filter'!$I$3,AU927))),OR('Tasks Filter'!$I$4="",BF927=IFERROR(MATCH('Tasks Filter'!$I$4,Setup!$L$6:$L$9,0),0)),OR('Tasks Filter'!$I$5="Both",AND('Tasks Filter'!$I$5="Yes",BB927="✓"),AND('Tasks Filter'!$I$5="No",BB927&lt;&gt;"✓")),OR('Tasks Filter'!$L$3="",AV927='Tasks Filter'!$L$3),OR('Tasks Filter'!$L$4="",AZ927='Tasks Filter'!$L$4),OR('Tasks Filter'!$L$5="",BC927='Tasks Filter'!$L$5),OR('Tasks Filter'!$O$3="",BD927='Tasks Filter'!$O$3),OR('Tasks Filter'!$O$4="Yes",BG927=0)),1,0))</f>
        <v/>
      </c>
      <c r="BJ927">
        <f>IF(BH927=0,"",IF('Tasks Filter'!$F$6="Descending",-1,1)*CHOOSE(MATCH('Tasks Filter'!$F$5,Lists!$G$2:$G$6,0),AW927,BF927,IFERROR(MATCH(AV927,Setup!$F$6:$F$15,0),99),IFERROR(MATCH(BC927,Setup!$H$6:$H$15,0),99),IFERROR(MATCH(AZ927,Setup!$J$6:$J$11,0),99))*1E+9+(AW927-40000)*10000+926)</f>
        <v/>
      </c>
      <c r="BK927">
        <f>IF(BI927=1,BJ927,"")</f>
        <v/>
      </c>
      <c r="BL927">
        <f>IF(AND(BH927=1,BG927=0,N(AW927)&lt;Setup!$D$7),(AW927-40000)*10000+926,"")</f>
        <v/>
      </c>
      <c r="BM927">
        <f>IF(AND(BH927=1,AZ927&lt;&gt;"Cancelled",N(AW927)&gt;=Dashboard!$AB$3,N(AW927)&lt;=Dashboard!$AB$3+6),(AW927-40000)*100000+BF927*10000+926,"")</f>
        <v/>
      </c>
      <c r="BN927">
        <f>IF(AND(BH927=1,AZ927&lt;&gt;"Cancelled"),BF927*10000+926,"")</f>
        <v/>
      </c>
    </row>
    <row r="928">
      <c r="AS928" t="inlineStr">
        <is>
          <t>R</t>
        </is>
      </c>
      <c r="AT928" t="n">
        <v>932</v>
      </c>
      <c r="AU928">
        <f>'Recurring Log'!C932&amp;""</f>
        <v/>
      </c>
      <c r="AV928">
        <f>'Recurring Log'!D932&amp;""</f>
        <v/>
      </c>
      <c r="AW928">
        <f>IF('Recurring Log'!E932="","",'Recurring Log'!E932)</f>
        <v/>
      </c>
      <c r="AX928">
        <f>IF('Recurring Log'!G932="","",'Recurring Log'!G932)</f>
        <v/>
      </c>
      <c r="AY928">
        <f>IF('Recurring Log'!H932="","",'Recurring Log'!H932)</f>
        <v/>
      </c>
      <c r="AZ928">
        <f>IF(AU928="","",IF('Recurring Log'!J932="","Not Started",'Recurring Log'!J932))</f>
        <v/>
      </c>
      <c r="BA928">
        <f>'Recurring Log'!L932&amp;""</f>
        <v/>
      </c>
      <c r="BB928">
        <f>'Recurring Log'!M932&amp;""</f>
        <v/>
      </c>
      <c r="BC928">
        <f>'Recurring Log'!N932&amp;""</f>
        <v/>
      </c>
      <c r="BD928">
        <f>'Recurring Log'!O932&amp;""</f>
        <v/>
      </c>
      <c r="BE928">
        <f>IF('Recurring Log'!K932="","",'Recurring Log'!K932)</f>
        <v/>
      </c>
      <c r="BF928">
        <f>IFERROR(MATCH(BA928,Setup!$L$6:$L$9,0),5)</f>
        <v/>
      </c>
      <c r="BG928">
        <f>IF(OR(AZ928="Done",AZ928="Cancelled"),1,0)</f>
        <v/>
      </c>
      <c r="BH928">
        <f>IF(AND(AU928&lt;&gt;"",ISNUMBER(AW928)),1,0)</f>
        <v/>
      </c>
      <c r="BI928">
        <f>IF(BH928=0,0,IF(AND(AW928&gt;='Tasks Filter'!$F$3,AW928&lt;='Tasks Filter'!$F$4,OR('Tasks Filter'!$I$3="",ISNUMBER(SEARCH('Tasks Filter'!$I$3,AU928))),OR('Tasks Filter'!$I$4="",BF928=IFERROR(MATCH('Tasks Filter'!$I$4,Setup!$L$6:$L$9,0),0)),OR('Tasks Filter'!$I$5="Both",AND('Tasks Filter'!$I$5="Yes",BB928="✓"),AND('Tasks Filter'!$I$5="No",BB928&lt;&gt;"✓")),OR('Tasks Filter'!$L$3="",AV928='Tasks Filter'!$L$3),OR('Tasks Filter'!$L$4="",AZ928='Tasks Filter'!$L$4),OR('Tasks Filter'!$L$5="",BC928='Tasks Filter'!$L$5),OR('Tasks Filter'!$O$3="",BD928='Tasks Filter'!$O$3),OR('Tasks Filter'!$O$4="Yes",BG928=0)),1,0))</f>
        <v/>
      </c>
      <c r="BJ928">
        <f>IF(BH928=0,"",IF('Tasks Filter'!$F$6="Descending",-1,1)*CHOOSE(MATCH('Tasks Filter'!$F$5,Lists!$G$2:$G$6,0),AW928,BF928,IFERROR(MATCH(AV928,Setup!$F$6:$F$15,0),99),IFERROR(MATCH(BC928,Setup!$H$6:$H$15,0),99),IFERROR(MATCH(AZ928,Setup!$J$6:$J$11,0),99))*1E+9+(AW928-40000)*10000+927)</f>
        <v/>
      </c>
      <c r="BK928">
        <f>IF(BI928=1,BJ928,"")</f>
        <v/>
      </c>
      <c r="BL928">
        <f>IF(AND(BH928=1,BG928=0,N(AW928)&lt;Setup!$D$7),(AW928-40000)*10000+927,"")</f>
        <v/>
      </c>
      <c r="BM928">
        <f>IF(AND(BH928=1,AZ928&lt;&gt;"Cancelled",N(AW928)&gt;=Dashboard!$AB$3,N(AW928)&lt;=Dashboard!$AB$3+6),(AW928-40000)*100000+BF928*10000+927,"")</f>
        <v/>
      </c>
      <c r="BN928">
        <f>IF(AND(BH928=1,AZ928&lt;&gt;"Cancelled"),BF928*10000+927,"")</f>
        <v/>
      </c>
    </row>
    <row r="929">
      <c r="AS929" t="inlineStr">
        <is>
          <t>R</t>
        </is>
      </c>
      <c r="AT929" t="n">
        <v>933</v>
      </c>
      <c r="AU929">
        <f>'Recurring Log'!C933&amp;""</f>
        <v/>
      </c>
      <c r="AV929">
        <f>'Recurring Log'!D933&amp;""</f>
        <v/>
      </c>
      <c r="AW929">
        <f>IF('Recurring Log'!E933="","",'Recurring Log'!E933)</f>
        <v/>
      </c>
      <c r="AX929">
        <f>IF('Recurring Log'!G933="","",'Recurring Log'!G933)</f>
        <v/>
      </c>
      <c r="AY929">
        <f>IF('Recurring Log'!H933="","",'Recurring Log'!H933)</f>
        <v/>
      </c>
      <c r="AZ929">
        <f>IF(AU929="","",IF('Recurring Log'!J933="","Not Started",'Recurring Log'!J933))</f>
        <v/>
      </c>
      <c r="BA929">
        <f>'Recurring Log'!L933&amp;""</f>
        <v/>
      </c>
      <c r="BB929">
        <f>'Recurring Log'!M933&amp;""</f>
        <v/>
      </c>
      <c r="BC929">
        <f>'Recurring Log'!N933&amp;""</f>
        <v/>
      </c>
      <c r="BD929">
        <f>'Recurring Log'!O933&amp;""</f>
        <v/>
      </c>
      <c r="BE929">
        <f>IF('Recurring Log'!K933="","",'Recurring Log'!K933)</f>
        <v/>
      </c>
      <c r="BF929">
        <f>IFERROR(MATCH(BA929,Setup!$L$6:$L$9,0),5)</f>
        <v/>
      </c>
      <c r="BG929">
        <f>IF(OR(AZ929="Done",AZ929="Cancelled"),1,0)</f>
        <v/>
      </c>
      <c r="BH929">
        <f>IF(AND(AU929&lt;&gt;"",ISNUMBER(AW929)),1,0)</f>
        <v/>
      </c>
      <c r="BI929">
        <f>IF(BH929=0,0,IF(AND(AW929&gt;='Tasks Filter'!$F$3,AW929&lt;='Tasks Filter'!$F$4,OR('Tasks Filter'!$I$3="",ISNUMBER(SEARCH('Tasks Filter'!$I$3,AU929))),OR('Tasks Filter'!$I$4="",BF929=IFERROR(MATCH('Tasks Filter'!$I$4,Setup!$L$6:$L$9,0),0)),OR('Tasks Filter'!$I$5="Both",AND('Tasks Filter'!$I$5="Yes",BB929="✓"),AND('Tasks Filter'!$I$5="No",BB929&lt;&gt;"✓")),OR('Tasks Filter'!$L$3="",AV929='Tasks Filter'!$L$3),OR('Tasks Filter'!$L$4="",AZ929='Tasks Filter'!$L$4),OR('Tasks Filter'!$L$5="",BC929='Tasks Filter'!$L$5),OR('Tasks Filter'!$O$3="",BD929='Tasks Filter'!$O$3),OR('Tasks Filter'!$O$4="Yes",BG929=0)),1,0))</f>
        <v/>
      </c>
      <c r="BJ929">
        <f>IF(BH929=0,"",IF('Tasks Filter'!$F$6="Descending",-1,1)*CHOOSE(MATCH('Tasks Filter'!$F$5,Lists!$G$2:$G$6,0),AW929,BF929,IFERROR(MATCH(AV929,Setup!$F$6:$F$15,0),99),IFERROR(MATCH(BC929,Setup!$H$6:$H$15,0),99),IFERROR(MATCH(AZ929,Setup!$J$6:$J$11,0),99))*1E+9+(AW929-40000)*10000+928)</f>
        <v/>
      </c>
      <c r="BK929">
        <f>IF(BI929=1,BJ929,"")</f>
        <v/>
      </c>
      <c r="BL929">
        <f>IF(AND(BH929=1,BG929=0,N(AW929)&lt;Setup!$D$7),(AW929-40000)*10000+928,"")</f>
        <v/>
      </c>
      <c r="BM929">
        <f>IF(AND(BH929=1,AZ929&lt;&gt;"Cancelled",N(AW929)&gt;=Dashboard!$AB$3,N(AW929)&lt;=Dashboard!$AB$3+6),(AW929-40000)*100000+BF929*10000+928,"")</f>
        <v/>
      </c>
      <c r="BN929">
        <f>IF(AND(BH929=1,AZ929&lt;&gt;"Cancelled"),BF929*10000+928,"")</f>
        <v/>
      </c>
    </row>
    <row r="930">
      <c r="AS930" t="inlineStr">
        <is>
          <t>R</t>
        </is>
      </c>
      <c r="AT930" t="n">
        <v>934</v>
      </c>
      <c r="AU930">
        <f>'Recurring Log'!C934&amp;""</f>
        <v/>
      </c>
      <c r="AV930">
        <f>'Recurring Log'!D934&amp;""</f>
        <v/>
      </c>
      <c r="AW930">
        <f>IF('Recurring Log'!E934="","",'Recurring Log'!E934)</f>
        <v/>
      </c>
      <c r="AX930">
        <f>IF('Recurring Log'!G934="","",'Recurring Log'!G934)</f>
        <v/>
      </c>
      <c r="AY930">
        <f>IF('Recurring Log'!H934="","",'Recurring Log'!H934)</f>
        <v/>
      </c>
      <c r="AZ930">
        <f>IF(AU930="","",IF('Recurring Log'!J934="","Not Started",'Recurring Log'!J934))</f>
        <v/>
      </c>
      <c r="BA930">
        <f>'Recurring Log'!L934&amp;""</f>
        <v/>
      </c>
      <c r="BB930">
        <f>'Recurring Log'!M934&amp;""</f>
        <v/>
      </c>
      <c r="BC930">
        <f>'Recurring Log'!N934&amp;""</f>
        <v/>
      </c>
      <c r="BD930">
        <f>'Recurring Log'!O934&amp;""</f>
        <v/>
      </c>
      <c r="BE930">
        <f>IF('Recurring Log'!K934="","",'Recurring Log'!K934)</f>
        <v/>
      </c>
      <c r="BF930">
        <f>IFERROR(MATCH(BA930,Setup!$L$6:$L$9,0),5)</f>
        <v/>
      </c>
      <c r="BG930">
        <f>IF(OR(AZ930="Done",AZ930="Cancelled"),1,0)</f>
        <v/>
      </c>
      <c r="BH930">
        <f>IF(AND(AU930&lt;&gt;"",ISNUMBER(AW930)),1,0)</f>
        <v/>
      </c>
      <c r="BI930">
        <f>IF(BH930=0,0,IF(AND(AW930&gt;='Tasks Filter'!$F$3,AW930&lt;='Tasks Filter'!$F$4,OR('Tasks Filter'!$I$3="",ISNUMBER(SEARCH('Tasks Filter'!$I$3,AU930))),OR('Tasks Filter'!$I$4="",BF930=IFERROR(MATCH('Tasks Filter'!$I$4,Setup!$L$6:$L$9,0),0)),OR('Tasks Filter'!$I$5="Both",AND('Tasks Filter'!$I$5="Yes",BB930="✓"),AND('Tasks Filter'!$I$5="No",BB930&lt;&gt;"✓")),OR('Tasks Filter'!$L$3="",AV930='Tasks Filter'!$L$3),OR('Tasks Filter'!$L$4="",AZ930='Tasks Filter'!$L$4),OR('Tasks Filter'!$L$5="",BC930='Tasks Filter'!$L$5),OR('Tasks Filter'!$O$3="",BD930='Tasks Filter'!$O$3),OR('Tasks Filter'!$O$4="Yes",BG930=0)),1,0))</f>
        <v/>
      </c>
      <c r="BJ930">
        <f>IF(BH930=0,"",IF('Tasks Filter'!$F$6="Descending",-1,1)*CHOOSE(MATCH('Tasks Filter'!$F$5,Lists!$G$2:$G$6,0),AW930,BF930,IFERROR(MATCH(AV930,Setup!$F$6:$F$15,0),99),IFERROR(MATCH(BC930,Setup!$H$6:$H$15,0),99),IFERROR(MATCH(AZ930,Setup!$J$6:$J$11,0),99))*1E+9+(AW930-40000)*10000+929)</f>
        <v/>
      </c>
      <c r="BK930">
        <f>IF(BI930=1,BJ930,"")</f>
        <v/>
      </c>
      <c r="BL930">
        <f>IF(AND(BH930=1,BG930=0,N(AW930)&lt;Setup!$D$7),(AW930-40000)*10000+929,"")</f>
        <v/>
      </c>
      <c r="BM930">
        <f>IF(AND(BH930=1,AZ930&lt;&gt;"Cancelled",N(AW930)&gt;=Dashboard!$AB$3,N(AW930)&lt;=Dashboard!$AB$3+6),(AW930-40000)*100000+BF930*10000+929,"")</f>
        <v/>
      </c>
      <c r="BN930">
        <f>IF(AND(BH930=1,AZ930&lt;&gt;"Cancelled"),BF930*10000+929,"")</f>
        <v/>
      </c>
    </row>
    <row r="931">
      <c r="AS931" t="inlineStr">
        <is>
          <t>R</t>
        </is>
      </c>
      <c r="AT931" t="n">
        <v>935</v>
      </c>
      <c r="AU931">
        <f>'Recurring Log'!C935&amp;""</f>
        <v/>
      </c>
      <c r="AV931">
        <f>'Recurring Log'!D935&amp;""</f>
        <v/>
      </c>
      <c r="AW931">
        <f>IF('Recurring Log'!E935="","",'Recurring Log'!E935)</f>
        <v/>
      </c>
      <c r="AX931">
        <f>IF('Recurring Log'!G935="","",'Recurring Log'!G935)</f>
        <v/>
      </c>
      <c r="AY931">
        <f>IF('Recurring Log'!H935="","",'Recurring Log'!H935)</f>
        <v/>
      </c>
      <c r="AZ931">
        <f>IF(AU931="","",IF('Recurring Log'!J935="","Not Started",'Recurring Log'!J935))</f>
        <v/>
      </c>
      <c r="BA931">
        <f>'Recurring Log'!L935&amp;""</f>
        <v/>
      </c>
      <c r="BB931">
        <f>'Recurring Log'!M935&amp;""</f>
        <v/>
      </c>
      <c r="BC931">
        <f>'Recurring Log'!N935&amp;""</f>
        <v/>
      </c>
      <c r="BD931">
        <f>'Recurring Log'!O935&amp;""</f>
        <v/>
      </c>
      <c r="BE931">
        <f>IF('Recurring Log'!K935="","",'Recurring Log'!K935)</f>
        <v/>
      </c>
      <c r="BF931">
        <f>IFERROR(MATCH(BA931,Setup!$L$6:$L$9,0),5)</f>
        <v/>
      </c>
      <c r="BG931">
        <f>IF(OR(AZ931="Done",AZ931="Cancelled"),1,0)</f>
        <v/>
      </c>
      <c r="BH931">
        <f>IF(AND(AU931&lt;&gt;"",ISNUMBER(AW931)),1,0)</f>
        <v/>
      </c>
      <c r="BI931">
        <f>IF(BH931=0,0,IF(AND(AW931&gt;='Tasks Filter'!$F$3,AW931&lt;='Tasks Filter'!$F$4,OR('Tasks Filter'!$I$3="",ISNUMBER(SEARCH('Tasks Filter'!$I$3,AU931))),OR('Tasks Filter'!$I$4="",BF931=IFERROR(MATCH('Tasks Filter'!$I$4,Setup!$L$6:$L$9,0),0)),OR('Tasks Filter'!$I$5="Both",AND('Tasks Filter'!$I$5="Yes",BB931="✓"),AND('Tasks Filter'!$I$5="No",BB931&lt;&gt;"✓")),OR('Tasks Filter'!$L$3="",AV931='Tasks Filter'!$L$3),OR('Tasks Filter'!$L$4="",AZ931='Tasks Filter'!$L$4),OR('Tasks Filter'!$L$5="",BC931='Tasks Filter'!$L$5),OR('Tasks Filter'!$O$3="",BD931='Tasks Filter'!$O$3),OR('Tasks Filter'!$O$4="Yes",BG931=0)),1,0))</f>
        <v/>
      </c>
      <c r="BJ931">
        <f>IF(BH931=0,"",IF('Tasks Filter'!$F$6="Descending",-1,1)*CHOOSE(MATCH('Tasks Filter'!$F$5,Lists!$G$2:$G$6,0),AW931,BF931,IFERROR(MATCH(AV931,Setup!$F$6:$F$15,0),99),IFERROR(MATCH(BC931,Setup!$H$6:$H$15,0),99),IFERROR(MATCH(AZ931,Setup!$J$6:$J$11,0),99))*1E+9+(AW931-40000)*10000+930)</f>
        <v/>
      </c>
      <c r="BK931">
        <f>IF(BI931=1,BJ931,"")</f>
        <v/>
      </c>
      <c r="BL931">
        <f>IF(AND(BH931=1,BG931=0,N(AW931)&lt;Setup!$D$7),(AW931-40000)*10000+930,"")</f>
        <v/>
      </c>
      <c r="BM931">
        <f>IF(AND(BH931=1,AZ931&lt;&gt;"Cancelled",N(AW931)&gt;=Dashboard!$AB$3,N(AW931)&lt;=Dashboard!$AB$3+6),(AW931-40000)*100000+BF931*10000+930,"")</f>
        <v/>
      </c>
      <c r="BN931">
        <f>IF(AND(BH931=1,AZ931&lt;&gt;"Cancelled"),BF931*10000+930,"")</f>
        <v/>
      </c>
    </row>
    <row r="932">
      <c r="AS932" t="inlineStr">
        <is>
          <t>R</t>
        </is>
      </c>
      <c r="AT932" t="n">
        <v>936</v>
      </c>
      <c r="AU932">
        <f>'Recurring Log'!C936&amp;""</f>
        <v/>
      </c>
      <c r="AV932">
        <f>'Recurring Log'!D936&amp;""</f>
        <v/>
      </c>
      <c r="AW932">
        <f>IF('Recurring Log'!E936="","",'Recurring Log'!E936)</f>
        <v/>
      </c>
      <c r="AX932">
        <f>IF('Recurring Log'!G936="","",'Recurring Log'!G936)</f>
        <v/>
      </c>
      <c r="AY932">
        <f>IF('Recurring Log'!H936="","",'Recurring Log'!H936)</f>
        <v/>
      </c>
      <c r="AZ932">
        <f>IF(AU932="","",IF('Recurring Log'!J936="","Not Started",'Recurring Log'!J936))</f>
        <v/>
      </c>
      <c r="BA932">
        <f>'Recurring Log'!L936&amp;""</f>
        <v/>
      </c>
      <c r="BB932">
        <f>'Recurring Log'!M936&amp;""</f>
        <v/>
      </c>
      <c r="BC932">
        <f>'Recurring Log'!N936&amp;""</f>
        <v/>
      </c>
      <c r="BD932">
        <f>'Recurring Log'!O936&amp;""</f>
        <v/>
      </c>
      <c r="BE932">
        <f>IF('Recurring Log'!K936="","",'Recurring Log'!K936)</f>
        <v/>
      </c>
      <c r="BF932">
        <f>IFERROR(MATCH(BA932,Setup!$L$6:$L$9,0),5)</f>
        <v/>
      </c>
      <c r="BG932">
        <f>IF(OR(AZ932="Done",AZ932="Cancelled"),1,0)</f>
        <v/>
      </c>
      <c r="BH932">
        <f>IF(AND(AU932&lt;&gt;"",ISNUMBER(AW932)),1,0)</f>
        <v/>
      </c>
      <c r="BI932">
        <f>IF(BH932=0,0,IF(AND(AW932&gt;='Tasks Filter'!$F$3,AW932&lt;='Tasks Filter'!$F$4,OR('Tasks Filter'!$I$3="",ISNUMBER(SEARCH('Tasks Filter'!$I$3,AU932))),OR('Tasks Filter'!$I$4="",BF932=IFERROR(MATCH('Tasks Filter'!$I$4,Setup!$L$6:$L$9,0),0)),OR('Tasks Filter'!$I$5="Both",AND('Tasks Filter'!$I$5="Yes",BB932="✓"),AND('Tasks Filter'!$I$5="No",BB932&lt;&gt;"✓")),OR('Tasks Filter'!$L$3="",AV932='Tasks Filter'!$L$3),OR('Tasks Filter'!$L$4="",AZ932='Tasks Filter'!$L$4),OR('Tasks Filter'!$L$5="",BC932='Tasks Filter'!$L$5),OR('Tasks Filter'!$O$3="",BD932='Tasks Filter'!$O$3),OR('Tasks Filter'!$O$4="Yes",BG932=0)),1,0))</f>
        <v/>
      </c>
      <c r="BJ932">
        <f>IF(BH932=0,"",IF('Tasks Filter'!$F$6="Descending",-1,1)*CHOOSE(MATCH('Tasks Filter'!$F$5,Lists!$G$2:$G$6,0),AW932,BF932,IFERROR(MATCH(AV932,Setup!$F$6:$F$15,0),99),IFERROR(MATCH(BC932,Setup!$H$6:$H$15,0),99),IFERROR(MATCH(AZ932,Setup!$J$6:$J$11,0),99))*1E+9+(AW932-40000)*10000+931)</f>
        <v/>
      </c>
      <c r="BK932">
        <f>IF(BI932=1,BJ932,"")</f>
        <v/>
      </c>
      <c r="BL932">
        <f>IF(AND(BH932=1,BG932=0,N(AW932)&lt;Setup!$D$7),(AW932-40000)*10000+931,"")</f>
        <v/>
      </c>
      <c r="BM932">
        <f>IF(AND(BH932=1,AZ932&lt;&gt;"Cancelled",N(AW932)&gt;=Dashboard!$AB$3,N(AW932)&lt;=Dashboard!$AB$3+6),(AW932-40000)*100000+BF932*10000+931,"")</f>
        <v/>
      </c>
      <c r="BN932">
        <f>IF(AND(BH932=1,AZ932&lt;&gt;"Cancelled"),BF932*10000+931,"")</f>
        <v/>
      </c>
    </row>
    <row r="933">
      <c r="AS933" t="inlineStr">
        <is>
          <t>R</t>
        </is>
      </c>
      <c r="AT933" t="n">
        <v>937</v>
      </c>
      <c r="AU933">
        <f>'Recurring Log'!C937&amp;""</f>
        <v/>
      </c>
      <c r="AV933">
        <f>'Recurring Log'!D937&amp;""</f>
        <v/>
      </c>
      <c r="AW933">
        <f>IF('Recurring Log'!E937="","",'Recurring Log'!E937)</f>
        <v/>
      </c>
      <c r="AX933">
        <f>IF('Recurring Log'!G937="","",'Recurring Log'!G937)</f>
        <v/>
      </c>
      <c r="AY933">
        <f>IF('Recurring Log'!H937="","",'Recurring Log'!H937)</f>
        <v/>
      </c>
      <c r="AZ933">
        <f>IF(AU933="","",IF('Recurring Log'!J937="","Not Started",'Recurring Log'!J937))</f>
        <v/>
      </c>
      <c r="BA933">
        <f>'Recurring Log'!L937&amp;""</f>
        <v/>
      </c>
      <c r="BB933">
        <f>'Recurring Log'!M937&amp;""</f>
        <v/>
      </c>
      <c r="BC933">
        <f>'Recurring Log'!N937&amp;""</f>
        <v/>
      </c>
      <c r="BD933">
        <f>'Recurring Log'!O937&amp;""</f>
        <v/>
      </c>
      <c r="BE933">
        <f>IF('Recurring Log'!K937="","",'Recurring Log'!K937)</f>
        <v/>
      </c>
      <c r="BF933">
        <f>IFERROR(MATCH(BA933,Setup!$L$6:$L$9,0),5)</f>
        <v/>
      </c>
      <c r="BG933">
        <f>IF(OR(AZ933="Done",AZ933="Cancelled"),1,0)</f>
        <v/>
      </c>
      <c r="BH933">
        <f>IF(AND(AU933&lt;&gt;"",ISNUMBER(AW933)),1,0)</f>
        <v/>
      </c>
      <c r="BI933">
        <f>IF(BH933=0,0,IF(AND(AW933&gt;='Tasks Filter'!$F$3,AW933&lt;='Tasks Filter'!$F$4,OR('Tasks Filter'!$I$3="",ISNUMBER(SEARCH('Tasks Filter'!$I$3,AU933))),OR('Tasks Filter'!$I$4="",BF933=IFERROR(MATCH('Tasks Filter'!$I$4,Setup!$L$6:$L$9,0),0)),OR('Tasks Filter'!$I$5="Both",AND('Tasks Filter'!$I$5="Yes",BB933="✓"),AND('Tasks Filter'!$I$5="No",BB933&lt;&gt;"✓")),OR('Tasks Filter'!$L$3="",AV933='Tasks Filter'!$L$3),OR('Tasks Filter'!$L$4="",AZ933='Tasks Filter'!$L$4),OR('Tasks Filter'!$L$5="",BC933='Tasks Filter'!$L$5),OR('Tasks Filter'!$O$3="",BD933='Tasks Filter'!$O$3),OR('Tasks Filter'!$O$4="Yes",BG933=0)),1,0))</f>
        <v/>
      </c>
      <c r="BJ933">
        <f>IF(BH933=0,"",IF('Tasks Filter'!$F$6="Descending",-1,1)*CHOOSE(MATCH('Tasks Filter'!$F$5,Lists!$G$2:$G$6,0),AW933,BF933,IFERROR(MATCH(AV933,Setup!$F$6:$F$15,0),99),IFERROR(MATCH(BC933,Setup!$H$6:$H$15,0),99),IFERROR(MATCH(AZ933,Setup!$J$6:$J$11,0),99))*1E+9+(AW933-40000)*10000+932)</f>
        <v/>
      </c>
      <c r="BK933">
        <f>IF(BI933=1,BJ933,"")</f>
        <v/>
      </c>
      <c r="BL933">
        <f>IF(AND(BH933=1,BG933=0,N(AW933)&lt;Setup!$D$7),(AW933-40000)*10000+932,"")</f>
        <v/>
      </c>
      <c r="BM933">
        <f>IF(AND(BH933=1,AZ933&lt;&gt;"Cancelled",N(AW933)&gt;=Dashboard!$AB$3,N(AW933)&lt;=Dashboard!$AB$3+6),(AW933-40000)*100000+BF933*10000+932,"")</f>
        <v/>
      </c>
      <c r="BN933">
        <f>IF(AND(BH933=1,AZ933&lt;&gt;"Cancelled"),BF933*10000+932,"")</f>
        <v/>
      </c>
    </row>
    <row r="934">
      <c r="AS934" t="inlineStr">
        <is>
          <t>R</t>
        </is>
      </c>
      <c r="AT934" t="n">
        <v>938</v>
      </c>
      <c r="AU934">
        <f>'Recurring Log'!C938&amp;""</f>
        <v/>
      </c>
      <c r="AV934">
        <f>'Recurring Log'!D938&amp;""</f>
        <v/>
      </c>
      <c r="AW934">
        <f>IF('Recurring Log'!E938="","",'Recurring Log'!E938)</f>
        <v/>
      </c>
      <c r="AX934">
        <f>IF('Recurring Log'!G938="","",'Recurring Log'!G938)</f>
        <v/>
      </c>
      <c r="AY934">
        <f>IF('Recurring Log'!H938="","",'Recurring Log'!H938)</f>
        <v/>
      </c>
      <c r="AZ934">
        <f>IF(AU934="","",IF('Recurring Log'!J938="","Not Started",'Recurring Log'!J938))</f>
        <v/>
      </c>
      <c r="BA934">
        <f>'Recurring Log'!L938&amp;""</f>
        <v/>
      </c>
      <c r="BB934">
        <f>'Recurring Log'!M938&amp;""</f>
        <v/>
      </c>
      <c r="BC934">
        <f>'Recurring Log'!N938&amp;""</f>
        <v/>
      </c>
      <c r="BD934">
        <f>'Recurring Log'!O938&amp;""</f>
        <v/>
      </c>
      <c r="BE934">
        <f>IF('Recurring Log'!K938="","",'Recurring Log'!K938)</f>
        <v/>
      </c>
      <c r="BF934">
        <f>IFERROR(MATCH(BA934,Setup!$L$6:$L$9,0),5)</f>
        <v/>
      </c>
      <c r="BG934">
        <f>IF(OR(AZ934="Done",AZ934="Cancelled"),1,0)</f>
        <v/>
      </c>
      <c r="BH934">
        <f>IF(AND(AU934&lt;&gt;"",ISNUMBER(AW934)),1,0)</f>
        <v/>
      </c>
      <c r="BI934">
        <f>IF(BH934=0,0,IF(AND(AW934&gt;='Tasks Filter'!$F$3,AW934&lt;='Tasks Filter'!$F$4,OR('Tasks Filter'!$I$3="",ISNUMBER(SEARCH('Tasks Filter'!$I$3,AU934))),OR('Tasks Filter'!$I$4="",BF934=IFERROR(MATCH('Tasks Filter'!$I$4,Setup!$L$6:$L$9,0),0)),OR('Tasks Filter'!$I$5="Both",AND('Tasks Filter'!$I$5="Yes",BB934="✓"),AND('Tasks Filter'!$I$5="No",BB934&lt;&gt;"✓")),OR('Tasks Filter'!$L$3="",AV934='Tasks Filter'!$L$3),OR('Tasks Filter'!$L$4="",AZ934='Tasks Filter'!$L$4),OR('Tasks Filter'!$L$5="",BC934='Tasks Filter'!$L$5),OR('Tasks Filter'!$O$3="",BD934='Tasks Filter'!$O$3),OR('Tasks Filter'!$O$4="Yes",BG934=0)),1,0))</f>
        <v/>
      </c>
      <c r="BJ934">
        <f>IF(BH934=0,"",IF('Tasks Filter'!$F$6="Descending",-1,1)*CHOOSE(MATCH('Tasks Filter'!$F$5,Lists!$G$2:$G$6,0),AW934,BF934,IFERROR(MATCH(AV934,Setup!$F$6:$F$15,0),99),IFERROR(MATCH(BC934,Setup!$H$6:$H$15,0),99),IFERROR(MATCH(AZ934,Setup!$J$6:$J$11,0),99))*1E+9+(AW934-40000)*10000+933)</f>
        <v/>
      </c>
      <c r="BK934">
        <f>IF(BI934=1,BJ934,"")</f>
        <v/>
      </c>
      <c r="BL934">
        <f>IF(AND(BH934=1,BG934=0,N(AW934)&lt;Setup!$D$7),(AW934-40000)*10000+933,"")</f>
        <v/>
      </c>
      <c r="BM934">
        <f>IF(AND(BH934=1,AZ934&lt;&gt;"Cancelled",N(AW934)&gt;=Dashboard!$AB$3,N(AW934)&lt;=Dashboard!$AB$3+6),(AW934-40000)*100000+BF934*10000+933,"")</f>
        <v/>
      </c>
      <c r="BN934">
        <f>IF(AND(BH934=1,AZ934&lt;&gt;"Cancelled"),BF934*10000+933,"")</f>
        <v/>
      </c>
    </row>
    <row r="935">
      <c r="AS935" t="inlineStr">
        <is>
          <t>R</t>
        </is>
      </c>
      <c r="AT935" t="n">
        <v>939</v>
      </c>
      <c r="AU935">
        <f>'Recurring Log'!C939&amp;""</f>
        <v/>
      </c>
      <c r="AV935">
        <f>'Recurring Log'!D939&amp;""</f>
        <v/>
      </c>
      <c r="AW935">
        <f>IF('Recurring Log'!E939="","",'Recurring Log'!E939)</f>
        <v/>
      </c>
      <c r="AX935">
        <f>IF('Recurring Log'!G939="","",'Recurring Log'!G939)</f>
        <v/>
      </c>
      <c r="AY935">
        <f>IF('Recurring Log'!H939="","",'Recurring Log'!H939)</f>
        <v/>
      </c>
      <c r="AZ935">
        <f>IF(AU935="","",IF('Recurring Log'!J939="","Not Started",'Recurring Log'!J939))</f>
        <v/>
      </c>
      <c r="BA935">
        <f>'Recurring Log'!L939&amp;""</f>
        <v/>
      </c>
      <c r="BB935">
        <f>'Recurring Log'!M939&amp;""</f>
        <v/>
      </c>
      <c r="BC935">
        <f>'Recurring Log'!N939&amp;""</f>
        <v/>
      </c>
      <c r="BD935">
        <f>'Recurring Log'!O939&amp;""</f>
        <v/>
      </c>
      <c r="BE935">
        <f>IF('Recurring Log'!K939="","",'Recurring Log'!K939)</f>
        <v/>
      </c>
      <c r="BF935">
        <f>IFERROR(MATCH(BA935,Setup!$L$6:$L$9,0),5)</f>
        <v/>
      </c>
      <c r="BG935">
        <f>IF(OR(AZ935="Done",AZ935="Cancelled"),1,0)</f>
        <v/>
      </c>
      <c r="BH935">
        <f>IF(AND(AU935&lt;&gt;"",ISNUMBER(AW935)),1,0)</f>
        <v/>
      </c>
      <c r="BI935">
        <f>IF(BH935=0,0,IF(AND(AW935&gt;='Tasks Filter'!$F$3,AW935&lt;='Tasks Filter'!$F$4,OR('Tasks Filter'!$I$3="",ISNUMBER(SEARCH('Tasks Filter'!$I$3,AU935))),OR('Tasks Filter'!$I$4="",BF935=IFERROR(MATCH('Tasks Filter'!$I$4,Setup!$L$6:$L$9,0),0)),OR('Tasks Filter'!$I$5="Both",AND('Tasks Filter'!$I$5="Yes",BB935="✓"),AND('Tasks Filter'!$I$5="No",BB935&lt;&gt;"✓")),OR('Tasks Filter'!$L$3="",AV935='Tasks Filter'!$L$3),OR('Tasks Filter'!$L$4="",AZ935='Tasks Filter'!$L$4),OR('Tasks Filter'!$L$5="",BC935='Tasks Filter'!$L$5),OR('Tasks Filter'!$O$3="",BD935='Tasks Filter'!$O$3),OR('Tasks Filter'!$O$4="Yes",BG935=0)),1,0))</f>
        <v/>
      </c>
      <c r="BJ935">
        <f>IF(BH935=0,"",IF('Tasks Filter'!$F$6="Descending",-1,1)*CHOOSE(MATCH('Tasks Filter'!$F$5,Lists!$G$2:$G$6,0),AW935,BF935,IFERROR(MATCH(AV935,Setup!$F$6:$F$15,0),99),IFERROR(MATCH(BC935,Setup!$H$6:$H$15,0),99),IFERROR(MATCH(AZ935,Setup!$J$6:$J$11,0),99))*1E+9+(AW935-40000)*10000+934)</f>
        <v/>
      </c>
      <c r="BK935">
        <f>IF(BI935=1,BJ935,"")</f>
        <v/>
      </c>
      <c r="BL935">
        <f>IF(AND(BH935=1,BG935=0,N(AW935)&lt;Setup!$D$7),(AW935-40000)*10000+934,"")</f>
        <v/>
      </c>
      <c r="BM935">
        <f>IF(AND(BH935=1,AZ935&lt;&gt;"Cancelled",N(AW935)&gt;=Dashboard!$AB$3,N(AW935)&lt;=Dashboard!$AB$3+6),(AW935-40000)*100000+BF935*10000+934,"")</f>
        <v/>
      </c>
      <c r="BN935">
        <f>IF(AND(BH935=1,AZ935&lt;&gt;"Cancelled"),BF935*10000+934,"")</f>
        <v/>
      </c>
    </row>
    <row r="936">
      <c r="AS936" t="inlineStr">
        <is>
          <t>R</t>
        </is>
      </c>
      <c r="AT936" t="n">
        <v>940</v>
      </c>
      <c r="AU936">
        <f>'Recurring Log'!C940&amp;""</f>
        <v/>
      </c>
      <c r="AV936">
        <f>'Recurring Log'!D940&amp;""</f>
        <v/>
      </c>
      <c r="AW936">
        <f>IF('Recurring Log'!E940="","",'Recurring Log'!E940)</f>
        <v/>
      </c>
      <c r="AX936">
        <f>IF('Recurring Log'!G940="","",'Recurring Log'!G940)</f>
        <v/>
      </c>
      <c r="AY936">
        <f>IF('Recurring Log'!H940="","",'Recurring Log'!H940)</f>
        <v/>
      </c>
      <c r="AZ936">
        <f>IF(AU936="","",IF('Recurring Log'!J940="","Not Started",'Recurring Log'!J940))</f>
        <v/>
      </c>
      <c r="BA936">
        <f>'Recurring Log'!L940&amp;""</f>
        <v/>
      </c>
      <c r="BB936">
        <f>'Recurring Log'!M940&amp;""</f>
        <v/>
      </c>
      <c r="BC936">
        <f>'Recurring Log'!N940&amp;""</f>
        <v/>
      </c>
      <c r="BD936">
        <f>'Recurring Log'!O940&amp;""</f>
        <v/>
      </c>
      <c r="BE936">
        <f>IF('Recurring Log'!K940="","",'Recurring Log'!K940)</f>
        <v/>
      </c>
      <c r="BF936">
        <f>IFERROR(MATCH(BA936,Setup!$L$6:$L$9,0),5)</f>
        <v/>
      </c>
      <c r="BG936">
        <f>IF(OR(AZ936="Done",AZ936="Cancelled"),1,0)</f>
        <v/>
      </c>
      <c r="BH936">
        <f>IF(AND(AU936&lt;&gt;"",ISNUMBER(AW936)),1,0)</f>
        <v/>
      </c>
      <c r="BI936">
        <f>IF(BH936=0,0,IF(AND(AW936&gt;='Tasks Filter'!$F$3,AW936&lt;='Tasks Filter'!$F$4,OR('Tasks Filter'!$I$3="",ISNUMBER(SEARCH('Tasks Filter'!$I$3,AU936))),OR('Tasks Filter'!$I$4="",BF936=IFERROR(MATCH('Tasks Filter'!$I$4,Setup!$L$6:$L$9,0),0)),OR('Tasks Filter'!$I$5="Both",AND('Tasks Filter'!$I$5="Yes",BB936="✓"),AND('Tasks Filter'!$I$5="No",BB936&lt;&gt;"✓")),OR('Tasks Filter'!$L$3="",AV936='Tasks Filter'!$L$3),OR('Tasks Filter'!$L$4="",AZ936='Tasks Filter'!$L$4),OR('Tasks Filter'!$L$5="",BC936='Tasks Filter'!$L$5),OR('Tasks Filter'!$O$3="",BD936='Tasks Filter'!$O$3),OR('Tasks Filter'!$O$4="Yes",BG936=0)),1,0))</f>
        <v/>
      </c>
      <c r="BJ936">
        <f>IF(BH936=0,"",IF('Tasks Filter'!$F$6="Descending",-1,1)*CHOOSE(MATCH('Tasks Filter'!$F$5,Lists!$G$2:$G$6,0),AW936,BF936,IFERROR(MATCH(AV936,Setup!$F$6:$F$15,0),99),IFERROR(MATCH(BC936,Setup!$H$6:$H$15,0),99),IFERROR(MATCH(AZ936,Setup!$J$6:$J$11,0),99))*1E+9+(AW936-40000)*10000+935)</f>
        <v/>
      </c>
      <c r="BK936">
        <f>IF(BI936=1,BJ936,"")</f>
        <v/>
      </c>
      <c r="BL936">
        <f>IF(AND(BH936=1,BG936=0,N(AW936)&lt;Setup!$D$7),(AW936-40000)*10000+935,"")</f>
        <v/>
      </c>
      <c r="BM936">
        <f>IF(AND(BH936=1,AZ936&lt;&gt;"Cancelled",N(AW936)&gt;=Dashboard!$AB$3,N(AW936)&lt;=Dashboard!$AB$3+6),(AW936-40000)*100000+BF936*10000+935,"")</f>
        <v/>
      </c>
      <c r="BN936">
        <f>IF(AND(BH936=1,AZ936&lt;&gt;"Cancelled"),BF936*10000+935,"")</f>
        <v/>
      </c>
    </row>
    <row r="937">
      <c r="AS937" t="inlineStr">
        <is>
          <t>R</t>
        </is>
      </c>
      <c r="AT937" t="n">
        <v>941</v>
      </c>
      <c r="AU937">
        <f>'Recurring Log'!C941&amp;""</f>
        <v/>
      </c>
      <c r="AV937">
        <f>'Recurring Log'!D941&amp;""</f>
        <v/>
      </c>
      <c r="AW937">
        <f>IF('Recurring Log'!E941="","",'Recurring Log'!E941)</f>
        <v/>
      </c>
      <c r="AX937">
        <f>IF('Recurring Log'!G941="","",'Recurring Log'!G941)</f>
        <v/>
      </c>
      <c r="AY937">
        <f>IF('Recurring Log'!H941="","",'Recurring Log'!H941)</f>
        <v/>
      </c>
      <c r="AZ937">
        <f>IF(AU937="","",IF('Recurring Log'!J941="","Not Started",'Recurring Log'!J941))</f>
        <v/>
      </c>
      <c r="BA937">
        <f>'Recurring Log'!L941&amp;""</f>
        <v/>
      </c>
      <c r="BB937">
        <f>'Recurring Log'!M941&amp;""</f>
        <v/>
      </c>
      <c r="BC937">
        <f>'Recurring Log'!N941&amp;""</f>
        <v/>
      </c>
      <c r="BD937">
        <f>'Recurring Log'!O941&amp;""</f>
        <v/>
      </c>
      <c r="BE937">
        <f>IF('Recurring Log'!K941="","",'Recurring Log'!K941)</f>
        <v/>
      </c>
      <c r="BF937">
        <f>IFERROR(MATCH(BA937,Setup!$L$6:$L$9,0),5)</f>
        <v/>
      </c>
      <c r="BG937">
        <f>IF(OR(AZ937="Done",AZ937="Cancelled"),1,0)</f>
        <v/>
      </c>
      <c r="BH937">
        <f>IF(AND(AU937&lt;&gt;"",ISNUMBER(AW937)),1,0)</f>
        <v/>
      </c>
      <c r="BI937">
        <f>IF(BH937=0,0,IF(AND(AW937&gt;='Tasks Filter'!$F$3,AW937&lt;='Tasks Filter'!$F$4,OR('Tasks Filter'!$I$3="",ISNUMBER(SEARCH('Tasks Filter'!$I$3,AU937))),OR('Tasks Filter'!$I$4="",BF937=IFERROR(MATCH('Tasks Filter'!$I$4,Setup!$L$6:$L$9,0),0)),OR('Tasks Filter'!$I$5="Both",AND('Tasks Filter'!$I$5="Yes",BB937="✓"),AND('Tasks Filter'!$I$5="No",BB937&lt;&gt;"✓")),OR('Tasks Filter'!$L$3="",AV937='Tasks Filter'!$L$3),OR('Tasks Filter'!$L$4="",AZ937='Tasks Filter'!$L$4),OR('Tasks Filter'!$L$5="",BC937='Tasks Filter'!$L$5),OR('Tasks Filter'!$O$3="",BD937='Tasks Filter'!$O$3),OR('Tasks Filter'!$O$4="Yes",BG937=0)),1,0))</f>
        <v/>
      </c>
      <c r="BJ937">
        <f>IF(BH937=0,"",IF('Tasks Filter'!$F$6="Descending",-1,1)*CHOOSE(MATCH('Tasks Filter'!$F$5,Lists!$G$2:$G$6,0),AW937,BF937,IFERROR(MATCH(AV937,Setup!$F$6:$F$15,0),99),IFERROR(MATCH(BC937,Setup!$H$6:$H$15,0),99),IFERROR(MATCH(AZ937,Setup!$J$6:$J$11,0),99))*1E+9+(AW937-40000)*10000+936)</f>
        <v/>
      </c>
      <c r="BK937">
        <f>IF(BI937=1,BJ937,"")</f>
        <v/>
      </c>
      <c r="BL937">
        <f>IF(AND(BH937=1,BG937=0,N(AW937)&lt;Setup!$D$7),(AW937-40000)*10000+936,"")</f>
        <v/>
      </c>
      <c r="BM937">
        <f>IF(AND(BH937=1,AZ937&lt;&gt;"Cancelled",N(AW937)&gt;=Dashboard!$AB$3,N(AW937)&lt;=Dashboard!$AB$3+6),(AW937-40000)*100000+BF937*10000+936,"")</f>
        <v/>
      </c>
      <c r="BN937">
        <f>IF(AND(BH937=1,AZ937&lt;&gt;"Cancelled"),BF937*10000+936,"")</f>
        <v/>
      </c>
    </row>
    <row r="938">
      <c r="AS938" t="inlineStr">
        <is>
          <t>R</t>
        </is>
      </c>
      <c r="AT938" t="n">
        <v>942</v>
      </c>
      <c r="AU938">
        <f>'Recurring Log'!C942&amp;""</f>
        <v/>
      </c>
      <c r="AV938">
        <f>'Recurring Log'!D942&amp;""</f>
        <v/>
      </c>
      <c r="AW938">
        <f>IF('Recurring Log'!E942="","",'Recurring Log'!E942)</f>
        <v/>
      </c>
      <c r="AX938">
        <f>IF('Recurring Log'!G942="","",'Recurring Log'!G942)</f>
        <v/>
      </c>
      <c r="AY938">
        <f>IF('Recurring Log'!H942="","",'Recurring Log'!H942)</f>
        <v/>
      </c>
      <c r="AZ938">
        <f>IF(AU938="","",IF('Recurring Log'!J942="","Not Started",'Recurring Log'!J942))</f>
        <v/>
      </c>
      <c r="BA938">
        <f>'Recurring Log'!L942&amp;""</f>
        <v/>
      </c>
      <c r="BB938">
        <f>'Recurring Log'!M942&amp;""</f>
        <v/>
      </c>
      <c r="BC938">
        <f>'Recurring Log'!N942&amp;""</f>
        <v/>
      </c>
      <c r="BD938">
        <f>'Recurring Log'!O942&amp;""</f>
        <v/>
      </c>
      <c r="BE938">
        <f>IF('Recurring Log'!K942="","",'Recurring Log'!K942)</f>
        <v/>
      </c>
      <c r="BF938">
        <f>IFERROR(MATCH(BA938,Setup!$L$6:$L$9,0),5)</f>
        <v/>
      </c>
      <c r="BG938">
        <f>IF(OR(AZ938="Done",AZ938="Cancelled"),1,0)</f>
        <v/>
      </c>
      <c r="BH938">
        <f>IF(AND(AU938&lt;&gt;"",ISNUMBER(AW938)),1,0)</f>
        <v/>
      </c>
      <c r="BI938">
        <f>IF(BH938=0,0,IF(AND(AW938&gt;='Tasks Filter'!$F$3,AW938&lt;='Tasks Filter'!$F$4,OR('Tasks Filter'!$I$3="",ISNUMBER(SEARCH('Tasks Filter'!$I$3,AU938))),OR('Tasks Filter'!$I$4="",BF938=IFERROR(MATCH('Tasks Filter'!$I$4,Setup!$L$6:$L$9,0),0)),OR('Tasks Filter'!$I$5="Both",AND('Tasks Filter'!$I$5="Yes",BB938="✓"),AND('Tasks Filter'!$I$5="No",BB938&lt;&gt;"✓")),OR('Tasks Filter'!$L$3="",AV938='Tasks Filter'!$L$3),OR('Tasks Filter'!$L$4="",AZ938='Tasks Filter'!$L$4),OR('Tasks Filter'!$L$5="",BC938='Tasks Filter'!$L$5),OR('Tasks Filter'!$O$3="",BD938='Tasks Filter'!$O$3),OR('Tasks Filter'!$O$4="Yes",BG938=0)),1,0))</f>
        <v/>
      </c>
      <c r="BJ938">
        <f>IF(BH938=0,"",IF('Tasks Filter'!$F$6="Descending",-1,1)*CHOOSE(MATCH('Tasks Filter'!$F$5,Lists!$G$2:$G$6,0),AW938,BF938,IFERROR(MATCH(AV938,Setup!$F$6:$F$15,0),99),IFERROR(MATCH(BC938,Setup!$H$6:$H$15,0),99),IFERROR(MATCH(AZ938,Setup!$J$6:$J$11,0),99))*1E+9+(AW938-40000)*10000+937)</f>
        <v/>
      </c>
      <c r="BK938">
        <f>IF(BI938=1,BJ938,"")</f>
        <v/>
      </c>
      <c r="BL938">
        <f>IF(AND(BH938=1,BG938=0,N(AW938)&lt;Setup!$D$7),(AW938-40000)*10000+937,"")</f>
        <v/>
      </c>
      <c r="BM938">
        <f>IF(AND(BH938=1,AZ938&lt;&gt;"Cancelled",N(AW938)&gt;=Dashboard!$AB$3,N(AW938)&lt;=Dashboard!$AB$3+6),(AW938-40000)*100000+BF938*10000+937,"")</f>
        <v/>
      </c>
      <c r="BN938">
        <f>IF(AND(BH938=1,AZ938&lt;&gt;"Cancelled"),BF938*10000+937,"")</f>
        <v/>
      </c>
    </row>
    <row r="939">
      <c r="AS939" t="inlineStr">
        <is>
          <t>R</t>
        </is>
      </c>
      <c r="AT939" t="n">
        <v>943</v>
      </c>
      <c r="AU939">
        <f>'Recurring Log'!C943&amp;""</f>
        <v/>
      </c>
      <c r="AV939">
        <f>'Recurring Log'!D943&amp;""</f>
        <v/>
      </c>
      <c r="AW939">
        <f>IF('Recurring Log'!E943="","",'Recurring Log'!E943)</f>
        <v/>
      </c>
      <c r="AX939">
        <f>IF('Recurring Log'!G943="","",'Recurring Log'!G943)</f>
        <v/>
      </c>
      <c r="AY939">
        <f>IF('Recurring Log'!H943="","",'Recurring Log'!H943)</f>
        <v/>
      </c>
      <c r="AZ939">
        <f>IF(AU939="","",IF('Recurring Log'!J943="","Not Started",'Recurring Log'!J943))</f>
        <v/>
      </c>
      <c r="BA939">
        <f>'Recurring Log'!L943&amp;""</f>
        <v/>
      </c>
      <c r="BB939">
        <f>'Recurring Log'!M943&amp;""</f>
        <v/>
      </c>
      <c r="BC939">
        <f>'Recurring Log'!N943&amp;""</f>
        <v/>
      </c>
      <c r="BD939">
        <f>'Recurring Log'!O943&amp;""</f>
        <v/>
      </c>
      <c r="BE939">
        <f>IF('Recurring Log'!K943="","",'Recurring Log'!K943)</f>
        <v/>
      </c>
      <c r="BF939">
        <f>IFERROR(MATCH(BA939,Setup!$L$6:$L$9,0),5)</f>
        <v/>
      </c>
      <c r="BG939">
        <f>IF(OR(AZ939="Done",AZ939="Cancelled"),1,0)</f>
        <v/>
      </c>
      <c r="BH939">
        <f>IF(AND(AU939&lt;&gt;"",ISNUMBER(AW939)),1,0)</f>
        <v/>
      </c>
      <c r="BI939">
        <f>IF(BH939=0,0,IF(AND(AW939&gt;='Tasks Filter'!$F$3,AW939&lt;='Tasks Filter'!$F$4,OR('Tasks Filter'!$I$3="",ISNUMBER(SEARCH('Tasks Filter'!$I$3,AU939))),OR('Tasks Filter'!$I$4="",BF939=IFERROR(MATCH('Tasks Filter'!$I$4,Setup!$L$6:$L$9,0),0)),OR('Tasks Filter'!$I$5="Both",AND('Tasks Filter'!$I$5="Yes",BB939="✓"),AND('Tasks Filter'!$I$5="No",BB939&lt;&gt;"✓")),OR('Tasks Filter'!$L$3="",AV939='Tasks Filter'!$L$3),OR('Tasks Filter'!$L$4="",AZ939='Tasks Filter'!$L$4),OR('Tasks Filter'!$L$5="",BC939='Tasks Filter'!$L$5),OR('Tasks Filter'!$O$3="",BD939='Tasks Filter'!$O$3),OR('Tasks Filter'!$O$4="Yes",BG939=0)),1,0))</f>
        <v/>
      </c>
      <c r="BJ939">
        <f>IF(BH939=0,"",IF('Tasks Filter'!$F$6="Descending",-1,1)*CHOOSE(MATCH('Tasks Filter'!$F$5,Lists!$G$2:$G$6,0),AW939,BF939,IFERROR(MATCH(AV939,Setup!$F$6:$F$15,0),99),IFERROR(MATCH(BC939,Setup!$H$6:$H$15,0),99),IFERROR(MATCH(AZ939,Setup!$J$6:$J$11,0),99))*1E+9+(AW939-40000)*10000+938)</f>
        <v/>
      </c>
      <c r="BK939">
        <f>IF(BI939=1,BJ939,"")</f>
        <v/>
      </c>
      <c r="BL939">
        <f>IF(AND(BH939=1,BG939=0,N(AW939)&lt;Setup!$D$7),(AW939-40000)*10000+938,"")</f>
        <v/>
      </c>
      <c r="BM939">
        <f>IF(AND(BH939=1,AZ939&lt;&gt;"Cancelled",N(AW939)&gt;=Dashboard!$AB$3,N(AW939)&lt;=Dashboard!$AB$3+6),(AW939-40000)*100000+BF939*10000+938,"")</f>
        <v/>
      </c>
      <c r="BN939">
        <f>IF(AND(BH939=1,AZ939&lt;&gt;"Cancelled"),BF939*10000+938,"")</f>
        <v/>
      </c>
    </row>
    <row r="940">
      <c r="AS940" t="inlineStr">
        <is>
          <t>R</t>
        </is>
      </c>
      <c r="AT940" t="n">
        <v>944</v>
      </c>
      <c r="AU940">
        <f>'Recurring Log'!C944&amp;""</f>
        <v/>
      </c>
      <c r="AV940">
        <f>'Recurring Log'!D944&amp;""</f>
        <v/>
      </c>
      <c r="AW940">
        <f>IF('Recurring Log'!E944="","",'Recurring Log'!E944)</f>
        <v/>
      </c>
      <c r="AX940">
        <f>IF('Recurring Log'!G944="","",'Recurring Log'!G944)</f>
        <v/>
      </c>
      <c r="AY940">
        <f>IF('Recurring Log'!H944="","",'Recurring Log'!H944)</f>
        <v/>
      </c>
      <c r="AZ940">
        <f>IF(AU940="","",IF('Recurring Log'!J944="","Not Started",'Recurring Log'!J944))</f>
        <v/>
      </c>
      <c r="BA940">
        <f>'Recurring Log'!L944&amp;""</f>
        <v/>
      </c>
      <c r="BB940">
        <f>'Recurring Log'!M944&amp;""</f>
        <v/>
      </c>
      <c r="BC940">
        <f>'Recurring Log'!N944&amp;""</f>
        <v/>
      </c>
      <c r="BD940">
        <f>'Recurring Log'!O944&amp;""</f>
        <v/>
      </c>
      <c r="BE940">
        <f>IF('Recurring Log'!K944="","",'Recurring Log'!K944)</f>
        <v/>
      </c>
      <c r="BF940">
        <f>IFERROR(MATCH(BA940,Setup!$L$6:$L$9,0),5)</f>
        <v/>
      </c>
      <c r="BG940">
        <f>IF(OR(AZ940="Done",AZ940="Cancelled"),1,0)</f>
        <v/>
      </c>
      <c r="BH940">
        <f>IF(AND(AU940&lt;&gt;"",ISNUMBER(AW940)),1,0)</f>
        <v/>
      </c>
      <c r="BI940">
        <f>IF(BH940=0,0,IF(AND(AW940&gt;='Tasks Filter'!$F$3,AW940&lt;='Tasks Filter'!$F$4,OR('Tasks Filter'!$I$3="",ISNUMBER(SEARCH('Tasks Filter'!$I$3,AU940))),OR('Tasks Filter'!$I$4="",BF940=IFERROR(MATCH('Tasks Filter'!$I$4,Setup!$L$6:$L$9,0),0)),OR('Tasks Filter'!$I$5="Both",AND('Tasks Filter'!$I$5="Yes",BB940="✓"),AND('Tasks Filter'!$I$5="No",BB940&lt;&gt;"✓")),OR('Tasks Filter'!$L$3="",AV940='Tasks Filter'!$L$3),OR('Tasks Filter'!$L$4="",AZ940='Tasks Filter'!$L$4),OR('Tasks Filter'!$L$5="",BC940='Tasks Filter'!$L$5),OR('Tasks Filter'!$O$3="",BD940='Tasks Filter'!$O$3),OR('Tasks Filter'!$O$4="Yes",BG940=0)),1,0))</f>
        <v/>
      </c>
      <c r="BJ940">
        <f>IF(BH940=0,"",IF('Tasks Filter'!$F$6="Descending",-1,1)*CHOOSE(MATCH('Tasks Filter'!$F$5,Lists!$G$2:$G$6,0),AW940,BF940,IFERROR(MATCH(AV940,Setup!$F$6:$F$15,0),99),IFERROR(MATCH(BC940,Setup!$H$6:$H$15,0),99),IFERROR(MATCH(AZ940,Setup!$J$6:$J$11,0),99))*1E+9+(AW940-40000)*10000+939)</f>
        <v/>
      </c>
      <c r="BK940">
        <f>IF(BI940=1,BJ940,"")</f>
        <v/>
      </c>
      <c r="BL940">
        <f>IF(AND(BH940=1,BG940=0,N(AW940)&lt;Setup!$D$7),(AW940-40000)*10000+939,"")</f>
        <v/>
      </c>
      <c r="BM940">
        <f>IF(AND(BH940=1,AZ940&lt;&gt;"Cancelled",N(AW940)&gt;=Dashboard!$AB$3,N(AW940)&lt;=Dashboard!$AB$3+6),(AW940-40000)*100000+BF940*10000+939,"")</f>
        <v/>
      </c>
      <c r="BN940">
        <f>IF(AND(BH940=1,AZ940&lt;&gt;"Cancelled"),BF940*10000+939,"")</f>
        <v/>
      </c>
    </row>
    <row r="941">
      <c r="AS941" t="inlineStr">
        <is>
          <t>R</t>
        </is>
      </c>
      <c r="AT941" t="n">
        <v>945</v>
      </c>
      <c r="AU941">
        <f>'Recurring Log'!C945&amp;""</f>
        <v/>
      </c>
      <c r="AV941">
        <f>'Recurring Log'!D945&amp;""</f>
        <v/>
      </c>
      <c r="AW941">
        <f>IF('Recurring Log'!E945="","",'Recurring Log'!E945)</f>
        <v/>
      </c>
      <c r="AX941">
        <f>IF('Recurring Log'!G945="","",'Recurring Log'!G945)</f>
        <v/>
      </c>
      <c r="AY941">
        <f>IF('Recurring Log'!H945="","",'Recurring Log'!H945)</f>
        <v/>
      </c>
      <c r="AZ941">
        <f>IF(AU941="","",IF('Recurring Log'!J945="","Not Started",'Recurring Log'!J945))</f>
        <v/>
      </c>
      <c r="BA941">
        <f>'Recurring Log'!L945&amp;""</f>
        <v/>
      </c>
      <c r="BB941">
        <f>'Recurring Log'!M945&amp;""</f>
        <v/>
      </c>
      <c r="BC941">
        <f>'Recurring Log'!N945&amp;""</f>
        <v/>
      </c>
      <c r="BD941">
        <f>'Recurring Log'!O945&amp;""</f>
        <v/>
      </c>
      <c r="BE941">
        <f>IF('Recurring Log'!K945="","",'Recurring Log'!K945)</f>
        <v/>
      </c>
      <c r="BF941">
        <f>IFERROR(MATCH(BA941,Setup!$L$6:$L$9,0),5)</f>
        <v/>
      </c>
      <c r="BG941">
        <f>IF(OR(AZ941="Done",AZ941="Cancelled"),1,0)</f>
        <v/>
      </c>
      <c r="BH941">
        <f>IF(AND(AU941&lt;&gt;"",ISNUMBER(AW941)),1,0)</f>
        <v/>
      </c>
      <c r="BI941">
        <f>IF(BH941=0,0,IF(AND(AW941&gt;='Tasks Filter'!$F$3,AW941&lt;='Tasks Filter'!$F$4,OR('Tasks Filter'!$I$3="",ISNUMBER(SEARCH('Tasks Filter'!$I$3,AU941))),OR('Tasks Filter'!$I$4="",BF941=IFERROR(MATCH('Tasks Filter'!$I$4,Setup!$L$6:$L$9,0),0)),OR('Tasks Filter'!$I$5="Both",AND('Tasks Filter'!$I$5="Yes",BB941="✓"),AND('Tasks Filter'!$I$5="No",BB941&lt;&gt;"✓")),OR('Tasks Filter'!$L$3="",AV941='Tasks Filter'!$L$3),OR('Tasks Filter'!$L$4="",AZ941='Tasks Filter'!$L$4),OR('Tasks Filter'!$L$5="",BC941='Tasks Filter'!$L$5),OR('Tasks Filter'!$O$3="",BD941='Tasks Filter'!$O$3),OR('Tasks Filter'!$O$4="Yes",BG941=0)),1,0))</f>
        <v/>
      </c>
      <c r="BJ941">
        <f>IF(BH941=0,"",IF('Tasks Filter'!$F$6="Descending",-1,1)*CHOOSE(MATCH('Tasks Filter'!$F$5,Lists!$G$2:$G$6,0),AW941,BF941,IFERROR(MATCH(AV941,Setup!$F$6:$F$15,0),99),IFERROR(MATCH(BC941,Setup!$H$6:$H$15,0),99),IFERROR(MATCH(AZ941,Setup!$J$6:$J$11,0),99))*1E+9+(AW941-40000)*10000+940)</f>
        <v/>
      </c>
      <c r="BK941">
        <f>IF(BI941=1,BJ941,"")</f>
        <v/>
      </c>
      <c r="BL941">
        <f>IF(AND(BH941=1,BG941=0,N(AW941)&lt;Setup!$D$7),(AW941-40000)*10000+940,"")</f>
        <v/>
      </c>
      <c r="BM941">
        <f>IF(AND(BH941=1,AZ941&lt;&gt;"Cancelled",N(AW941)&gt;=Dashboard!$AB$3,N(AW941)&lt;=Dashboard!$AB$3+6),(AW941-40000)*100000+BF941*10000+940,"")</f>
        <v/>
      </c>
      <c r="BN941">
        <f>IF(AND(BH941=1,AZ941&lt;&gt;"Cancelled"),BF941*10000+940,"")</f>
        <v/>
      </c>
    </row>
    <row r="942">
      <c r="AS942" t="inlineStr">
        <is>
          <t>R</t>
        </is>
      </c>
      <c r="AT942" t="n">
        <v>946</v>
      </c>
      <c r="AU942">
        <f>'Recurring Log'!C946&amp;""</f>
        <v/>
      </c>
      <c r="AV942">
        <f>'Recurring Log'!D946&amp;""</f>
        <v/>
      </c>
      <c r="AW942">
        <f>IF('Recurring Log'!E946="","",'Recurring Log'!E946)</f>
        <v/>
      </c>
      <c r="AX942">
        <f>IF('Recurring Log'!G946="","",'Recurring Log'!G946)</f>
        <v/>
      </c>
      <c r="AY942">
        <f>IF('Recurring Log'!H946="","",'Recurring Log'!H946)</f>
        <v/>
      </c>
      <c r="AZ942">
        <f>IF(AU942="","",IF('Recurring Log'!J946="","Not Started",'Recurring Log'!J946))</f>
        <v/>
      </c>
      <c r="BA942">
        <f>'Recurring Log'!L946&amp;""</f>
        <v/>
      </c>
      <c r="BB942">
        <f>'Recurring Log'!M946&amp;""</f>
        <v/>
      </c>
      <c r="BC942">
        <f>'Recurring Log'!N946&amp;""</f>
        <v/>
      </c>
      <c r="BD942">
        <f>'Recurring Log'!O946&amp;""</f>
        <v/>
      </c>
      <c r="BE942">
        <f>IF('Recurring Log'!K946="","",'Recurring Log'!K946)</f>
        <v/>
      </c>
      <c r="BF942">
        <f>IFERROR(MATCH(BA942,Setup!$L$6:$L$9,0),5)</f>
        <v/>
      </c>
      <c r="BG942">
        <f>IF(OR(AZ942="Done",AZ942="Cancelled"),1,0)</f>
        <v/>
      </c>
      <c r="BH942">
        <f>IF(AND(AU942&lt;&gt;"",ISNUMBER(AW942)),1,0)</f>
        <v/>
      </c>
      <c r="BI942">
        <f>IF(BH942=0,0,IF(AND(AW942&gt;='Tasks Filter'!$F$3,AW942&lt;='Tasks Filter'!$F$4,OR('Tasks Filter'!$I$3="",ISNUMBER(SEARCH('Tasks Filter'!$I$3,AU942))),OR('Tasks Filter'!$I$4="",BF942=IFERROR(MATCH('Tasks Filter'!$I$4,Setup!$L$6:$L$9,0),0)),OR('Tasks Filter'!$I$5="Both",AND('Tasks Filter'!$I$5="Yes",BB942="✓"),AND('Tasks Filter'!$I$5="No",BB942&lt;&gt;"✓")),OR('Tasks Filter'!$L$3="",AV942='Tasks Filter'!$L$3),OR('Tasks Filter'!$L$4="",AZ942='Tasks Filter'!$L$4),OR('Tasks Filter'!$L$5="",BC942='Tasks Filter'!$L$5),OR('Tasks Filter'!$O$3="",BD942='Tasks Filter'!$O$3),OR('Tasks Filter'!$O$4="Yes",BG942=0)),1,0))</f>
        <v/>
      </c>
      <c r="BJ942">
        <f>IF(BH942=0,"",IF('Tasks Filter'!$F$6="Descending",-1,1)*CHOOSE(MATCH('Tasks Filter'!$F$5,Lists!$G$2:$G$6,0),AW942,BF942,IFERROR(MATCH(AV942,Setup!$F$6:$F$15,0),99),IFERROR(MATCH(BC942,Setup!$H$6:$H$15,0),99),IFERROR(MATCH(AZ942,Setup!$J$6:$J$11,0),99))*1E+9+(AW942-40000)*10000+941)</f>
        <v/>
      </c>
      <c r="BK942">
        <f>IF(BI942=1,BJ942,"")</f>
        <v/>
      </c>
      <c r="BL942">
        <f>IF(AND(BH942=1,BG942=0,N(AW942)&lt;Setup!$D$7),(AW942-40000)*10000+941,"")</f>
        <v/>
      </c>
      <c r="BM942">
        <f>IF(AND(BH942=1,AZ942&lt;&gt;"Cancelled",N(AW942)&gt;=Dashboard!$AB$3,N(AW942)&lt;=Dashboard!$AB$3+6),(AW942-40000)*100000+BF942*10000+941,"")</f>
        <v/>
      </c>
      <c r="BN942">
        <f>IF(AND(BH942=1,AZ942&lt;&gt;"Cancelled"),BF942*10000+941,"")</f>
        <v/>
      </c>
    </row>
    <row r="943">
      <c r="AS943" t="inlineStr">
        <is>
          <t>R</t>
        </is>
      </c>
      <c r="AT943" t="n">
        <v>947</v>
      </c>
      <c r="AU943">
        <f>'Recurring Log'!C947&amp;""</f>
        <v/>
      </c>
      <c r="AV943">
        <f>'Recurring Log'!D947&amp;""</f>
        <v/>
      </c>
      <c r="AW943">
        <f>IF('Recurring Log'!E947="","",'Recurring Log'!E947)</f>
        <v/>
      </c>
      <c r="AX943">
        <f>IF('Recurring Log'!G947="","",'Recurring Log'!G947)</f>
        <v/>
      </c>
      <c r="AY943">
        <f>IF('Recurring Log'!H947="","",'Recurring Log'!H947)</f>
        <v/>
      </c>
      <c r="AZ943">
        <f>IF(AU943="","",IF('Recurring Log'!J947="","Not Started",'Recurring Log'!J947))</f>
        <v/>
      </c>
      <c r="BA943">
        <f>'Recurring Log'!L947&amp;""</f>
        <v/>
      </c>
      <c r="BB943">
        <f>'Recurring Log'!M947&amp;""</f>
        <v/>
      </c>
      <c r="BC943">
        <f>'Recurring Log'!N947&amp;""</f>
        <v/>
      </c>
      <c r="BD943">
        <f>'Recurring Log'!O947&amp;""</f>
        <v/>
      </c>
      <c r="BE943">
        <f>IF('Recurring Log'!K947="","",'Recurring Log'!K947)</f>
        <v/>
      </c>
      <c r="BF943">
        <f>IFERROR(MATCH(BA943,Setup!$L$6:$L$9,0),5)</f>
        <v/>
      </c>
      <c r="BG943">
        <f>IF(OR(AZ943="Done",AZ943="Cancelled"),1,0)</f>
        <v/>
      </c>
      <c r="BH943">
        <f>IF(AND(AU943&lt;&gt;"",ISNUMBER(AW943)),1,0)</f>
        <v/>
      </c>
      <c r="BI943">
        <f>IF(BH943=0,0,IF(AND(AW943&gt;='Tasks Filter'!$F$3,AW943&lt;='Tasks Filter'!$F$4,OR('Tasks Filter'!$I$3="",ISNUMBER(SEARCH('Tasks Filter'!$I$3,AU943))),OR('Tasks Filter'!$I$4="",BF943=IFERROR(MATCH('Tasks Filter'!$I$4,Setup!$L$6:$L$9,0),0)),OR('Tasks Filter'!$I$5="Both",AND('Tasks Filter'!$I$5="Yes",BB943="✓"),AND('Tasks Filter'!$I$5="No",BB943&lt;&gt;"✓")),OR('Tasks Filter'!$L$3="",AV943='Tasks Filter'!$L$3),OR('Tasks Filter'!$L$4="",AZ943='Tasks Filter'!$L$4),OR('Tasks Filter'!$L$5="",BC943='Tasks Filter'!$L$5),OR('Tasks Filter'!$O$3="",BD943='Tasks Filter'!$O$3),OR('Tasks Filter'!$O$4="Yes",BG943=0)),1,0))</f>
        <v/>
      </c>
      <c r="BJ943">
        <f>IF(BH943=0,"",IF('Tasks Filter'!$F$6="Descending",-1,1)*CHOOSE(MATCH('Tasks Filter'!$F$5,Lists!$G$2:$G$6,0),AW943,BF943,IFERROR(MATCH(AV943,Setup!$F$6:$F$15,0),99),IFERROR(MATCH(BC943,Setup!$H$6:$H$15,0),99),IFERROR(MATCH(AZ943,Setup!$J$6:$J$11,0),99))*1E+9+(AW943-40000)*10000+942)</f>
        <v/>
      </c>
      <c r="BK943">
        <f>IF(BI943=1,BJ943,"")</f>
        <v/>
      </c>
      <c r="BL943">
        <f>IF(AND(BH943=1,BG943=0,N(AW943)&lt;Setup!$D$7),(AW943-40000)*10000+942,"")</f>
        <v/>
      </c>
      <c r="BM943">
        <f>IF(AND(BH943=1,AZ943&lt;&gt;"Cancelled",N(AW943)&gt;=Dashboard!$AB$3,N(AW943)&lt;=Dashboard!$AB$3+6),(AW943-40000)*100000+BF943*10000+942,"")</f>
        <v/>
      </c>
      <c r="BN943">
        <f>IF(AND(BH943=1,AZ943&lt;&gt;"Cancelled"),BF943*10000+942,"")</f>
        <v/>
      </c>
    </row>
    <row r="944">
      <c r="AS944" t="inlineStr">
        <is>
          <t>R</t>
        </is>
      </c>
      <c r="AT944" t="n">
        <v>948</v>
      </c>
      <c r="AU944">
        <f>'Recurring Log'!C948&amp;""</f>
        <v/>
      </c>
      <c r="AV944">
        <f>'Recurring Log'!D948&amp;""</f>
        <v/>
      </c>
      <c r="AW944">
        <f>IF('Recurring Log'!E948="","",'Recurring Log'!E948)</f>
        <v/>
      </c>
      <c r="AX944">
        <f>IF('Recurring Log'!G948="","",'Recurring Log'!G948)</f>
        <v/>
      </c>
      <c r="AY944">
        <f>IF('Recurring Log'!H948="","",'Recurring Log'!H948)</f>
        <v/>
      </c>
      <c r="AZ944">
        <f>IF(AU944="","",IF('Recurring Log'!J948="","Not Started",'Recurring Log'!J948))</f>
        <v/>
      </c>
      <c r="BA944">
        <f>'Recurring Log'!L948&amp;""</f>
        <v/>
      </c>
      <c r="BB944">
        <f>'Recurring Log'!M948&amp;""</f>
        <v/>
      </c>
      <c r="BC944">
        <f>'Recurring Log'!N948&amp;""</f>
        <v/>
      </c>
      <c r="BD944">
        <f>'Recurring Log'!O948&amp;""</f>
        <v/>
      </c>
      <c r="BE944">
        <f>IF('Recurring Log'!K948="","",'Recurring Log'!K948)</f>
        <v/>
      </c>
      <c r="BF944">
        <f>IFERROR(MATCH(BA944,Setup!$L$6:$L$9,0),5)</f>
        <v/>
      </c>
      <c r="BG944">
        <f>IF(OR(AZ944="Done",AZ944="Cancelled"),1,0)</f>
        <v/>
      </c>
      <c r="BH944">
        <f>IF(AND(AU944&lt;&gt;"",ISNUMBER(AW944)),1,0)</f>
        <v/>
      </c>
      <c r="BI944">
        <f>IF(BH944=0,0,IF(AND(AW944&gt;='Tasks Filter'!$F$3,AW944&lt;='Tasks Filter'!$F$4,OR('Tasks Filter'!$I$3="",ISNUMBER(SEARCH('Tasks Filter'!$I$3,AU944))),OR('Tasks Filter'!$I$4="",BF944=IFERROR(MATCH('Tasks Filter'!$I$4,Setup!$L$6:$L$9,0),0)),OR('Tasks Filter'!$I$5="Both",AND('Tasks Filter'!$I$5="Yes",BB944="✓"),AND('Tasks Filter'!$I$5="No",BB944&lt;&gt;"✓")),OR('Tasks Filter'!$L$3="",AV944='Tasks Filter'!$L$3),OR('Tasks Filter'!$L$4="",AZ944='Tasks Filter'!$L$4),OR('Tasks Filter'!$L$5="",BC944='Tasks Filter'!$L$5),OR('Tasks Filter'!$O$3="",BD944='Tasks Filter'!$O$3),OR('Tasks Filter'!$O$4="Yes",BG944=0)),1,0))</f>
        <v/>
      </c>
      <c r="BJ944">
        <f>IF(BH944=0,"",IF('Tasks Filter'!$F$6="Descending",-1,1)*CHOOSE(MATCH('Tasks Filter'!$F$5,Lists!$G$2:$G$6,0),AW944,BF944,IFERROR(MATCH(AV944,Setup!$F$6:$F$15,0),99),IFERROR(MATCH(BC944,Setup!$H$6:$H$15,0),99),IFERROR(MATCH(AZ944,Setup!$J$6:$J$11,0),99))*1E+9+(AW944-40000)*10000+943)</f>
        <v/>
      </c>
      <c r="BK944">
        <f>IF(BI944=1,BJ944,"")</f>
        <v/>
      </c>
      <c r="BL944">
        <f>IF(AND(BH944=1,BG944=0,N(AW944)&lt;Setup!$D$7),(AW944-40000)*10000+943,"")</f>
        <v/>
      </c>
      <c r="BM944">
        <f>IF(AND(BH944=1,AZ944&lt;&gt;"Cancelled",N(AW944)&gt;=Dashboard!$AB$3,N(AW944)&lt;=Dashboard!$AB$3+6),(AW944-40000)*100000+BF944*10000+943,"")</f>
        <v/>
      </c>
      <c r="BN944">
        <f>IF(AND(BH944=1,AZ944&lt;&gt;"Cancelled"),BF944*10000+943,"")</f>
        <v/>
      </c>
    </row>
    <row r="945">
      <c r="AS945" t="inlineStr">
        <is>
          <t>R</t>
        </is>
      </c>
      <c r="AT945" t="n">
        <v>949</v>
      </c>
      <c r="AU945">
        <f>'Recurring Log'!C949&amp;""</f>
        <v/>
      </c>
      <c r="AV945">
        <f>'Recurring Log'!D949&amp;""</f>
        <v/>
      </c>
      <c r="AW945">
        <f>IF('Recurring Log'!E949="","",'Recurring Log'!E949)</f>
        <v/>
      </c>
      <c r="AX945">
        <f>IF('Recurring Log'!G949="","",'Recurring Log'!G949)</f>
        <v/>
      </c>
      <c r="AY945">
        <f>IF('Recurring Log'!H949="","",'Recurring Log'!H949)</f>
        <v/>
      </c>
      <c r="AZ945">
        <f>IF(AU945="","",IF('Recurring Log'!J949="","Not Started",'Recurring Log'!J949))</f>
        <v/>
      </c>
      <c r="BA945">
        <f>'Recurring Log'!L949&amp;""</f>
        <v/>
      </c>
      <c r="BB945">
        <f>'Recurring Log'!M949&amp;""</f>
        <v/>
      </c>
      <c r="BC945">
        <f>'Recurring Log'!N949&amp;""</f>
        <v/>
      </c>
      <c r="BD945">
        <f>'Recurring Log'!O949&amp;""</f>
        <v/>
      </c>
      <c r="BE945">
        <f>IF('Recurring Log'!K949="","",'Recurring Log'!K949)</f>
        <v/>
      </c>
      <c r="BF945">
        <f>IFERROR(MATCH(BA945,Setup!$L$6:$L$9,0),5)</f>
        <v/>
      </c>
      <c r="BG945">
        <f>IF(OR(AZ945="Done",AZ945="Cancelled"),1,0)</f>
        <v/>
      </c>
      <c r="BH945">
        <f>IF(AND(AU945&lt;&gt;"",ISNUMBER(AW945)),1,0)</f>
        <v/>
      </c>
      <c r="BI945">
        <f>IF(BH945=0,0,IF(AND(AW945&gt;='Tasks Filter'!$F$3,AW945&lt;='Tasks Filter'!$F$4,OR('Tasks Filter'!$I$3="",ISNUMBER(SEARCH('Tasks Filter'!$I$3,AU945))),OR('Tasks Filter'!$I$4="",BF945=IFERROR(MATCH('Tasks Filter'!$I$4,Setup!$L$6:$L$9,0),0)),OR('Tasks Filter'!$I$5="Both",AND('Tasks Filter'!$I$5="Yes",BB945="✓"),AND('Tasks Filter'!$I$5="No",BB945&lt;&gt;"✓")),OR('Tasks Filter'!$L$3="",AV945='Tasks Filter'!$L$3),OR('Tasks Filter'!$L$4="",AZ945='Tasks Filter'!$L$4),OR('Tasks Filter'!$L$5="",BC945='Tasks Filter'!$L$5),OR('Tasks Filter'!$O$3="",BD945='Tasks Filter'!$O$3),OR('Tasks Filter'!$O$4="Yes",BG945=0)),1,0))</f>
        <v/>
      </c>
      <c r="BJ945">
        <f>IF(BH945=0,"",IF('Tasks Filter'!$F$6="Descending",-1,1)*CHOOSE(MATCH('Tasks Filter'!$F$5,Lists!$G$2:$G$6,0),AW945,BF945,IFERROR(MATCH(AV945,Setup!$F$6:$F$15,0),99),IFERROR(MATCH(BC945,Setup!$H$6:$H$15,0),99),IFERROR(MATCH(AZ945,Setup!$J$6:$J$11,0),99))*1E+9+(AW945-40000)*10000+944)</f>
        <v/>
      </c>
      <c r="BK945">
        <f>IF(BI945=1,BJ945,"")</f>
        <v/>
      </c>
      <c r="BL945">
        <f>IF(AND(BH945=1,BG945=0,N(AW945)&lt;Setup!$D$7),(AW945-40000)*10000+944,"")</f>
        <v/>
      </c>
      <c r="BM945">
        <f>IF(AND(BH945=1,AZ945&lt;&gt;"Cancelled",N(AW945)&gt;=Dashboard!$AB$3,N(AW945)&lt;=Dashboard!$AB$3+6),(AW945-40000)*100000+BF945*10000+944,"")</f>
        <v/>
      </c>
      <c r="BN945">
        <f>IF(AND(BH945=1,AZ945&lt;&gt;"Cancelled"),BF945*10000+944,"")</f>
        <v/>
      </c>
    </row>
    <row r="946">
      <c r="AS946" t="inlineStr">
        <is>
          <t>R</t>
        </is>
      </c>
      <c r="AT946" t="n">
        <v>950</v>
      </c>
      <c r="AU946">
        <f>'Recurring Log'!C950&amp;""</f>
        <v/>
      </c>
      <c r="AV946">
        <f>'Recurring Log'!D950&amp;""</f>
        <v/>
      </c>
      <c r="AW946">
        <f>IF('Recurring Log'!E950="","",'Recurring Log'!E950)</f>
        <v/>
      </c>
      <c r="AX946">
        <f>IF('Recurring Log'!G950="","",'Recurring Log'!G950)</f>
        <v/>
      </c>
      <c r="AY946">
        <f>IF('Recurring Log'!H950="","",'Recurring Log'!H950)</f>
        <v/>
      </c>
      <c r="AZ946">
        <f>IF(AU946="","",IF('Recurring Log'!J950="","Not Started",'Recurring Log'!J950))</f>
        <v/>
      </c>
      <c r="BA946">
        <f>'Recurring Log'!L950&amp;""</f>
        <v/>
      </c>
      <c r="BB946">
        <f>'Recurring Log'!M950&amp;""</f>
        <v/>
      </c>
      <c r="BC946">
        <f>'Recurring Log'!N950&amp;""</f>
        <v/>
      </c>
      <c r="BD946">
        <f>'Recurring Log'!O950&amp;""</f>
        <v/>
      </c>
      <c r="BE946">
        <f>IF('Recurring Log'!K950="","",'Recurring Log'!K950)</f>
        <v/>
      </c>
      <c r="BF946">
        <f>IFERROR(MATCH(BA946,Setup!$L$6:$L$9,0),5)</f>
        <v/>
      </c>
      <c r="BG946">
        <f>IF(OR(AZ946="Done",AZ946="Cancelled"),1,0)</f>
        <v/>
      </c>
      <c r="BH946">
        <f>IF(AND(AU946&lt;&gt;"",ISNUMBER(AW946)),1,0)</f>
        <v/>
      </c>
      <c r="BI946">
        <f>IF(BH946=0,0,IF(AND(AW946&gt;='Tasks Filter'!$F$3,AW946&lt;='Tasks Filter'!$F$4,OR('Tasks Filter'!$I$3="",ISNUMBER(SEARCH('Tasks Filter'!$I$3,AU946))),OR('Tasks Filter'!$I$4="",BF946=IFERROR(MATCH('Tasks Filter'!$I$4,Setup!$L$6:$L$9,0),0)),OR('Tasks Filter'!$I$5="Both",AND('Tasks Filter'!$I$5="Yes",BB946="✓"),AND('Tasks Filter'!$I$5="No",BB946&lt;&gt;"✓")),OR('Tasks Filter'!$L$3="",AV946='Tasks Filter'!$L$3),OR('Tasks Filter'!$L$4="",AZ946='Tasks Filter'!$L$4),OR('Tasks Filter'!$L$5="",BC946='Tasks Filter'!$L$5),OR('Tasks Filter'!$O$3="",BD946='Tasks Filter'!$O$3),OR('Tasks Filter'!$O$4="Yes",BG946=0)),1,0))</f>
        <v/>
      </c>
      <c r="BJ946">
        <f>IF(BH946=0,"",IF('Tasks Filter'!$F$6="Descending",-1,1)*CHOOSE(MATCH('Tasks Filter'!$F$5,Lists!$G$2:$G$6,0),AW946,BF946,IFERROR(MATCH(AV946,Setup!$F$6:$F$15,0),99),IFERROR(MATCH(BC946,Setup!$H$6:$H$15,0),99),IFERROR(MATCH(AZ946,Setup!$J$6:$J$11,0),99))*1E+9+(AW946-40000)*10000+945)</f>
        <v/>
      </c>
      <c r="BK946">
        <f>IF(BI946=1,BJ946,"")</f>
        <v/>
      </c>
      <c r="BL946">
        <f>IF(AND(BH946=1,BG946=0,N(AW946)&lt;Setup!$D$7),(AW946-40000)*10000+945,"")</f>
        <v/>
      </c>
      <c r="BM946">
        <f>IF(AND(BH946=1,AZ946&lt;&gt;"Cancelled",N(AW946)&gt;=Dashboard!$AB$3,N(AW946)&lt;=Dashboard!$AB$3+6),(AW946-40000)*100000+BF946*10000+945,"")</f>
        <v/>
      </c>
      <c r="BN946">
        <f>IF(AND(BH946=1,AZ946&lt;&gt;"Cancelled"),BF946*10000+945,"")</f>
        <v/>
      </c>
    </row>
    <row r="947">
      <c r="AS947" t="inlineStr">
        <is>
          <t>R</t>
        </is>
      </c>
      <c r="AT947" t="n">
        <v>951</v>
      </c>
      <c r="AU947">
        <f>'Recurring Log'!C951&amp;""</f>
        <v/>
      </c>
      <c r="AV947">
        <f>'Recurring Log'!D951&amp;""</f>
        <v/>
      </c>
      <c r="AW947">
        <f>IF('Recurring Log'!E951="","",'Recurring Log'!E951)</f>
        <v/>
      </c>
      <c r="AX947">
        <f>IF('Recurring Log'!G951="","",'Recurring Log'!G951)</f>
        <v/>
      </c>
      <c r="AY947">
        <f>IF('Recurring Log'!H951="","",'Recurring Log'!H951)</f>
        <v/>
      </c>
      <c r="AZ947">
        <f>IF(AU947="","",IF('Recurring Log'!J951="","Not Started",'Recurring Log'!J951))</f>
        <v/>
      </c>
      <c r="BA947">
        <f>'Recurring Log'!L951&amp;""</f>
        <v/>
      </c>
      <c r="BB947">
        <f>'Recurring Log'!M951&amp;""</f>
        <v/>
      </c>
      <c r="BC947">
        <f>'Recurring Log'!N951&amp;""</f>
        <v/>
      </c>
      <c r="BD947">
        <f>'Recurring Log'!O951&amp;""</f>
        <v/>
      </c>
      <c r="BE947">
        <f>IF('Recurring Log'!K951="","",'Recurring Log'!K951)</f>
        <v/>
      </c>
      <c r="BF947">
        <f>IFERROR(MATCH(BA947,Setup!$L$6:$L$9,0),5)</f>
        <v/>
      </c>
      <c r="BG947">
        <f>IF(OR(AZ947="Done",AZ947="Cancelled"),1,0)</f>
        <v/>
      </c>
      <c r="BH947">
        <f>IF(AND(AU947&lt;&gt;"",ISNUMBER(AW947)),1,0)</f>
        <v/>
      </c>
      <c r="BI947">
        <f>IF(BH947=0,0,IF(AND(AW947&gt;='Tasks Filter'!$F$3,AW947&lt;='Tasks Filter'!$F$4,OR('Tasks Filter'!$I$3="",ISNUMBER(SEARCH('Tasks Filter'!$I$3,AU947))),OR('Tasks Filter'!$I$4="",BF947=IFERROR(MATCH('Tasks Filter'!$I$4,Setup!$L$6:$L$9,0),0)),OR('Tasks Filter'!$I$5="Both",AND('Tasks Filter'!$I$5="Yes",BB947="✓"),AND('Tasks Filter'!$I$5="No",BB947&lt;&gt;"✓")),OR('Tasks Filter'!$L$3="",AV947='Tasks Filter'!$L$3),OR('Tasks Filter'!$L$4="",AZ947='Tasks Filter'!$L$4),OR('Tasks Filter'!$L$5="",BC947='Tasks Filter'!$L$5),OR('Tasks Filter'!$O$3="",BD947='Tasks Filter'!$O$3),OR('Tasks Filter'!$O$4="Yes",BG947=0)),1,0))</f>
        <v/>
      </c>
      <c r="BJ947">
        <f>IF(BH947=0,"",IF('Tasks Filter'!$F$6="Descending",-1,1)*CHOOSE(MATCH('Tasks Filter'!$F$5,Lists!$G$2:$G$6,0),AW947,BF947,IFERROR(MATCH(AV947,Setup!$F$6:$F$15,0),99),IFERROR(MATCH(BC947,Setup!$H$6:$H$15,0),99),IFERROR(MATCH(AZ947,Setup!$J$6:$J$11,0),99))*1E+9+(AW947-40000)*10000+946)</f>
        <v/>
      </c>
      <c r="BK947">
        <f>IF(BI947=1,BJ947,"")</f>
        <v/>
      </c>
      <c r="BL947">
        <f>IF(AND(BH947=1,BG947=0,N(AW947)&lt;Setup!$D$7),(AW947-40000)*10000+946,"")</f>
        <v/>
      </c>
      <c r="BM947">
        <f>IF(AND(BH947=1,AZ947&lt;&gt;"Cancelled",N(AW947)&gt;=Dashboard!$AB$3,N(AW947)&lt;=Dashboard!$AB$3+6),(AW947-40000)*100000+BF947*10000+946,"")</f>
        <v/>
      </c>
      <c r="BN947">
        <f>IF(AND(BH947=1,AZ947&lt;&gt;"Cancelled"),BF947*10000+946,"")</f>
        <v/>
      </c>
    </row>
    <row r="948">
      <c r="AS948" t="inlineStr">
        <is>
          <t>R</t>
        </is>
      </c>
      <c r="AT948" t="n">
        <v>952</v>
      </c>
      <c r="AU948">
        <f>'Recurring Log'!C952&amp;""</f>
        <v/>
      </c>
      <c r="AV948">
        <f>'Recurring Log'!D952&amp;""</f>
        <v/>
      </c>
      <c r="AW948">
        <f>IF('Recurring Log'!E952="","",'Recurring Log'!E952)</f>
        <v/>
      </c>
      <c r="AX948">
        <f>IF('Recurring Log'!G952="","",'Recurring Log'!G952)</f>
        <v/>
      </c>
      <c r="AY948">
        <f>IF('Recurring Log'!H952="","",'Recurring Log'!H952)</f>
        <v/>
      </c>
      <c r="AZ948">
        <f>IF(AU948="","",IF('Recurring Log'!J952="","Not Started",'Recurring Log'!J952))</f>
        <v/>
      </c>
      <c r="BA948">
        <f>'Recurring Log'!L952&amp;""</f>
        <v/>
      </c>
      <c r="BB948">
        <f>'Recurring Log'!M952&amp;""</f>
        <v/>
      </c>
      <c r="BC948">
        <f>'Recurring Log'!N952&amp;""</f>
        <v/>
      </c>
      <c r="BD948">
        <f>'Recurring Log'!O952&amp;""</f>
        <v/>
      </c>
      <c r="BE948">
        <f>IF('Recurring Log'!K952="","",'Recurring Log'!K952)</f>
        <v/>
      </c>
      <c r="BF948">
        <f>IFERROR(MATCH(BA948,Setup!$L$6:$L$9,0),5)</f>
        <v/>
      </c>
      <c r="BG948">
        <f>IF(OR(AZ948="Done",AZ948="Cancelled"),1,0)</f>
        <v/>
      </c>
      <c r="BH948">
        <f>IF(AND(AU948&lt;&gt;"",ISNUMBER(AW948)),1,0)</f>
        <v/>
      </c>
      <c r="BI948">
        <f>IF(BH948=0,0,IF(AND(AW948&gt;='Tasks Filter'!$F$3,AW948&lt;='Tasks Filter'!$F$4,OR('Tasks Filter'!$I$3="",ISNUMBER(SEARCH('Tasks Filter'!$I$3,AU948))),OR('Tasks Filter'!$I$4="",BF948=IFERROR(MATCH('Tasks Filter'!$I$4,Setup!$L$6:$L$9,0),0)),OR('Tasks Filter'!$I$5="Both",AND('Tasks Filter'!$I$5="Yes",BB948="✓"),AND('Tasks Filter'!$I$5="No",BB948&lt;&gt;"✓")),OR('Tasks Filter'!$L$3="",AV948='Tasks Filter'!$L$3),OR('Tasks Filter'!$L$4="",AZ948='Tasks Filter'!$L$4),OR('Tasks Filter'!$L$5="",BC948='Tasks Filter'!$L$5),OR('Tasks Filter'!$O$3="",BD948='Tasks Filter'!$O$3),OR('Tasks Filter'!$O$4="Yes",BG948=0)),1,0))</f>
        <v/>
      </c>
      <c r="BJ948">
        <f>IF(BH948=0,"",IF('Tasks Filter'!$F$6="Descending",-1,1)*CHOOSE(MATCH('Tasks Filter'!$F$5,Lists!$G$2:$G$6,0),AW948,BF948,IFERROR(MATCH(AV948,Setup!$F$6:$F$15,0),99),IFERROR(MATCH(BC948,Setup!$H$6:$H$15,0),99),IFERROR(MATCH(AZ948,Setup!$J$6:$J$11,0),99))*1E+9+(AW948-40000)*10000+947)</f>
        <v/>
      </c>
      <c r="BK948">
        <f>IF(BI948=1,BJ948,"")</f>
        <v/>
      </c>
      <c r="BL948">
        <f>IF(AND(BH948=1,BG948=0,N(AW948)&lt;Setup!$D$7),(AW948-40000)*10000+947,"")</f>
        <v/>
      </c>
      <c r="BM948">
        <f>IF(AND(BH948=1,AZ948&lt;&gt;"Cancelled",N(AW948)&gt;=Dashboard!$AB$3,N(AW948)&lt;=Dashboard!$AB$3+6),(AW948-40000)*100000+BF948*10000+947,"")</f>
        <v/>
      </c>
      <c r="BN948">
        <f>IF(AND(BH948=1,AZ948&lt;&gt;"Cancelled"),BF948*10000+947,"")</f>
        <v/>
      </c>
    </row>
    <row r="949">
      <c r="AS949" t="inlineStr">
        <is>
          <t>R</t>
        </is>
      </c>
      <c r="AT949" t="n">
        <v>953</v>
      </c>
      <c r="AU949">
        <f>'Recurring Log'!C953&amp;""</f>
        <v/>
      </c>
      <c r="AV949">
        <f>'Recurring Log'!D953&amp;""</f>
        <v/>
      </c>
      <c r="AW949">
        <f>IF('Recurring Log'!E953="","",'Recurring Log'!E953)</f>
        <v/>
      </c>
      <c r="AX949">
        <f>IF('Recurring Log'!G953="","",'Recurring Log'!G953)</f>
        <v/>
      </c>
      <c r="AY949">
        <f>IF('Recurring Log'!H953="","",'Recurring Log'!H953)</f>
        <v/>
      </c>
      <c r="AZ949">
        <f>IF(AU949="","",IF('Recurring Log'!J953="","Not Started",'Recurring Log'!J953))</f>
        <v/>
      </c>
      <c r="BA949">
        <f>'Recurring Log'!L953&amp;""</f>
        <v/>
      </c>
      <c r="BB949">
        <f>'Recurring Log'!M953&amp;""</f>
        <v/>
      </c>
      <c r="BC949">
        <f>'Recurring Log'!N953&amp;""</f>
        <v/>
      </c>
      <c r="BD949">
        <f>'Recurring Log'!O953&amp;""</f>
        <v/>
      </c>
      <c r="BE949">
        <f>IF('Recurring Log'!K953="","",'Recurring Log'!K953)</f>
        <v/>
      </c>
      <c r="BF949">
        <f>IFERROR(MATCH(BA949,Setup!$L$6:$L$9,0),5)</f>
        <v/>
      </c>
      <c r="BG949">
        <f>IF(OR(AZ949="Done",AZ949="Cancelled"),1,0)</f>
        <v/>
      </c>
      <c r="BH949">
        <f>IF(AND(AU949&lt;&gt;"",ISNUMBER(AW949)),1,0)</f>
        <v/>
      </c>
      <c r="BI949">
        <f>IF(BH949=0,0,IF(AND(AW949&gt;='Tasks Filter'!$F$3,AW949&lt;='Tasks Filter'!$F$4,OR('Tasks Filter'!$I$3="",ISNUMBER(SEARCH('Tasks Filter'!$I$3,AU949))),OR('Tasks Filter'!$I$4="",BF949=IFERROR(MATCH('Tasks Filter'!$I$4,Setup!$L$6:$L$9,0),0)),OR('Tasks Filter'!$I$5="Both",AND('Tasks Filter'!$I$5="Yes",BB949="✓"),AND('Tasks Filter'!$I$5="No",BB949&lt;&gt;"✓")),OR('Tasks Filter'!$L$3="",AV949='Tasks Filter'!$L$3),OR('Tasks Filter'!$L$4="",AZ949='Tasks Filter'!$L$4),OR('Tasks Filter'!$L$5="",BC949='Tasks Filter'!$L$5),OR('Tasks Filter'!$O$3="",BD949='Tasks Filter'!$O$3),OR('Tasks Filter'!$O$4="Yes",BG949=0)),1,0))</f>
        <v/>
      </c>
      <c r="BJ949">
        <f>IF(BH949=0,"",IF('Tasks Filter'!$F$6="Descending",-1,1)*CHOOSE(MATCH('Tasks Filter'!$F$5,Lists!$G$2:$G$6,0),AW949,BF949,IFERROR(MATCH(AV949,Setup!$F$6:$F$15,0),99),IFERROR(MATCH(BC949,Setup!$H$6:$H$15,0),99),IFERROR(MATCH(AZ949,Setup!$J$6:$J$11,0),99))*1E+9+(AW949-40000)*10000+948)</f>
        <v/>
      </c>
      <c r="BK949">
        <f>IF(BI949=1,BJ949,"")</f>
        <v/>
      </c>
      <c r="BL949">
        <f>IF(AND(BH949=1,BG949=0,N(AW949)&lt;Setup!$D$7),(AW949-40000)*10000+948,"")</f>
        <v/>
      </c>
      <c r="BM949">
        <f>IF(AND(BH949=1,AZ949&lt;&gt;"Cancelled",N(AW949)&gt;=Dashboard!$AB$3,N(AW949)&lt;=Dashboard!$AB$3+6),(AW949-40000)*100000+BF949*10000+948,"")</f>
        <v/>
      </c>
      <c r="BN949">
        <f>IF(AND(BH949=1,AZ949&lt;&gt;"Cancelled"),BF949*10000+948,"")</f>
        <v/>
      </c>
    </row>
    <row r="950">
      <c r="AS950" t="inlineStr">
        <is>
          <t>R</t>
        </is>
      </c>
      <c r="AT950" t="n">
        <v>954</v>
      </c>
      <c r="AU950">
        <f>'Recurring Log'!C954&amp;""</f>
        <v/>
      </c>
      <c r="AV950">
        <f>'Recurring Log'!D954&amp;""</f>
        <v/>
      </c>
      <c r="AW950">
        <f>IF('Recurring Log'!E954="","",'Recurring Log'!E954)</f>
        <v/>
      </c>
      <c r="AX950">
        <f>IF('Recurring Log'!G954="","",'Recurring Log'!G954)</f>
        <v/>
      </c>
      <c r="AY950">
        <f>IF('Recurring Log'!H954="","",'Recurring Log'!H954)</f>
        <v/>
      </c>
      <c r="AZ950">
        <f>IF(AU950="","",IF('Recurring Log'!J954="","Not Started",'Recurring Log'!J954))</f>
        <v/>
      </c>
      <c r="BA950">
        <f>'Recurring Log'!L954&amp;""</f>
        <v/>
      </c>
      <c r="BB950">
        <f>'Recurring Log'!M954&amp;""</f>
        <v/>
      </c>
      <c r="BC950">
        <f>'Recurring Log'!N954&amp;""</f>
        <v/>
      </c>
      <c r="BD950">
        <f>'Recurring Log'!O954&amp;""</f>
        <v/>
      </c>
      <c r="BE950">
        <f>IF('Recurring Log'!K954="","",'Recurring Log'!K954)</f>
        <v/>
      </c>
      <c r="BF950">
        <f>IFERROR(MATCH(BA950,Setup!$L$6:$L$9,0),5)</f>
        <v/>
      </c>
      <c r="BG950">
        <f>IF(OR(AZ950="Done",AZ950="Cancelled"),1,0)</f>
        <v/>
      </c>
      <c r="BH950">
        <f>IF(AND(AU950&lt;&gt;"",ISNUMBER(AW950)),1,0)</f>
        <v/>
      </c>
      <c r="BI950">
        <f>IF(BH950=0,0,IF(AND(AW950&gt;='Tasks Filter'!$F$3,AW950&lt;='Tasks Filter'!$F$4,OR('Tasks Filter'!$I$3="",ISNUMBER(SEARCH('Tasks Filter'!$I$3,AU950))),OR('Tasks Filter'!$I$4="",BF950=IFERROR(MATCH('Tasks Filter'!$I$4,Setup!$L$6:$L$9,0),0)),OR('Tasks Filter'!$I$5="Both",AND('Tasks Filter'!$I$5="Yes",BB950="✓"),AND('Tasks Filter'!$I$5="No",BB950&lt;&gt;"✓")),OR('Tasks Filter'!$L$3="",AV950='Tasks Filter'!$L$3),OR('Tasks Filter'!$L$4="",AZ950='Tasks Filter'!$L$4),OR('Tasks Filter'!$L$5="",BC950='Tasks Filter'!$L$5),OR('Tasks Filter'!$O$3="",BD950='Tasks Filter'!$O$3),OR('Tasks Filter'!$O$4="Yes",BG950=0)),1,0))</f>
        <v/>
      </c>
      <c r="BJ950">
        <f>IF(BH950=0,"",IF('Tasks Filter'!$F$6="Descending",-1,1)*CHOOSE(MATCH('Tasks Filter'!$F$5,Lists!$G$2:$G$6,0),AW950,BF950,IFERROR(MATCH(AV950,Setup!$F$6:$F$15,0),99),IFERROR(MATCH(BC950,Setup!$H$6:$H$15,0),99),IFERROR(MATCH(AZ950,Setup!$J$6:$J$11,0),99))*1E+9+(AW950-40000)*10000+949)</f>
        <v/>
      </c>
      <c r="BK950">
        <f>IF(BI950=1,BJ950,"")</f>
        <v/>
      </c>
      <c r="BL950">
        <f>IF(AND(BH950=1,BG950=0,N(AW950)&lt;Setup!$D$7),(AW950-40000)*10000+949,"")</f>
        <v/>
      </c>
      <c r="BM950">
        <f>IF(AND(BH950=1,AZ950&lt;&gt;"Cancelled",N(AW950)&gt;=Dashboard!$AB$3,N(AW950)&lt;=Dashboard!$AB$3+6),(AW950-40000)*100000+BF950*10000+949,"")</f>
        <v/>
      </c>
      <c r="BN950">
        <f>IF(AND(BH950=1,AZ950&lt;&gt;"Cancelled"),BF950*10000+949,"")</f>
        <v/>
      </c>
    </row>
    <row r="951">
      <c r="AS951" t="inlineStr">
        <is>
          <t>R</t>
        </is>
      </c>
      <c r="AT951" t="n">
        <v>955</v>
      </c>
      <c r="AU951">
        <f>'Recurring Log'!C955&amp;""</f>
        <v/>
      </c>
      <c r="AV951">
        <f>'Recurring Log'!D955&amp;""</f>
        <v/>
      </c>
      <c r="AW951">
        <f>IF('Recurring Log'!E955="","",'Recurring Log'!E955)</f>
        <v/>
      </c>
      <c r="AX951">
        <f>IF('Recurring Log'!G955="","",'Recurring Log'!G955)</f>
        <v/>
      </c>
      <c r="AY951">
        <f>IF('Recurring Log'!H955="","",'Recurring Log'!H955)</f>
        <v/>
      </c>
      <c r="AZ951">
        <f>IF(AU951="","",IF('Recurring Log'!J955="","Not Started",'Recurring Log'!J955))</f>
        <v/>
      </c>
      <c r="BA951">
        <f>'Recurring Log'!L955&amp;""</f>
        <v/>
      </c>
      <c r="BB951">
        <f>'Recurring Log'!M955&amp;""</f>
        <v/>
      </c>
      <c r="BC951">
        <f>'Recurring Log'!N955&amp;""</f>
        <v/>
      </c>
      <c r="BD951">
        <f>'Recurring Log'!O955&amp;""</f>
        <v/>
      </c>
      <c r="BE951">
        <f>IF('Recurring Log'!K955="","",'Recurring Log'!K955)</f>
        <v/>
      </c>
      <c r="BF951">
        <f>IFERROR(MATCH(BA951,Setup!$L$6:$L$9,0),5)</f>
        <v/>
      </c>
      <c r="BG951">
        <f>IF(OR(AZ951="Done",AZ951="Cancelled"),1,0)</f>
        <v/>
      </c>
      <c r="BH951">
        <f>IF(AND(AU951&lt;&gt;"",ISNUMBER(AW951)),1,0)</f>
        <v/>
      </c>
      <c r="BI951">
        <f>IF(BH951=0,0,IF(AND(AW951&gt;='Tasks Filter'!$F$3,AW951&lt;='Tasks Filter'!$F$4,OR('Tasks Filter'!$I$3="",ISNUMBER(SEARCH('Tasks Filter'!$I$3,AU951))),OR('Tasks Filter'!$I$4="",BF951=IFERROR(MATCH('Tasks Filter'!$I$4,Setup!$L$6:$L$9,0),0)),OR('Tasks Filter'!$I$5="Both",AND('Tasks Filter'!$I$5="Yes",BB951="✓"),AND('Tasks Filter'!$I$5="No",BB951&lt;&gt;"✓")),OR('Tasks Filter'!$L$3="",AV951='Tasks Filter'!$L$3),OR('Tasks Filter'!$L$4="",AZ951='Tasks Filter'!$L$4),OR('Tasks Filter'!$L$5="",BC951='Tasks Filter'!$L$5),OR('Tasks Filter'!$O$3="",BD951='Tasks Filter'!$O$3),OR('Tasks Filter'!$O$4="Yes",BG951=0)),1,0))</f>
        <v/>
      </c>
      <c r="BJ951">
        <f>IF(BH951=0,"",IF('Tasks Filter'!$F$6="Descending",-1,1)*CHOOSE(MATCH('Tasks Filter'!$F$5,Lists!$G$2:$G$6,0),AW951,BF951,IFERROR(MATCH(AV951,Setup!$F$6:$F$15,0),99),IFERROR(MATCH(BC951,Setup!$H$6:$H$15,0),99),IFERROR(MATCH(AZ951,Setup!$J$6:$J$11,0),99))*1E+9+(AW951-40000)*10000+950)</f>
        <v/>
      </c>
      <c r="BK951">
        <f>IF(BI951=1,BJ951,"")</f>
        <v/>
      </c>
      <c r="BL951">
        <f>IF(AND(BH951=1,BG951=0,N(AW951)&lt;Setup!$D$7),(AW951-40000)*10000+950,"")</f>
        <v/>
      </c>
      <c r="BM951">
        <f>IF(AND(BH951=1,AZ951&lt;&gt;"Cancelled",N(AW951)&gt;=Dashboard!$AB$3,N(AW951)&lt;=Dashboard!$AB$3+6),(AW951-40000)*100000+BF951*10000+950,"")</f>
        <v/>
      </c>
      <c r="BN951">
        <f>IF(AND(BH951=1,AZ951&lt;&gt;"Cancelled"),BF951*10000+950,"")</f>
        <v/>
      </c>
    </row>
    <row r="952">
      <c r="AS952" t="inlineStr">
        <is>
          <t>R</t>
        </is>
      </c>
      <c r="AT952" t="n">
        <v>956</v>
      </c>
      <c r="AU952">
        <f>'Recurring Log'!C956&amp;""</f>
        <v/>
      </c>
      <c r="AV952">
        <f>'Recurring Log'!D956&amp;""</f>
        <v/>
      </c>
      <c r="AW952">
        <f>IF('Recurring Log'!E956="","",'Recurring Log'!E956)</f>
        <v/>
      </c>
      <c r="AX952">
        <f>IF('Recurring Log'!G956="","",'Recurring Log'!G956)</f>
        <v/>
      </c>
      <c r="AY952">
        <f>IF('Recurring Log'!H956="","",'Recurring Log'!H956)</f>
        <v/>
      </c>
      <c r="AZ952">
        <f>IF(AU952="","",IF('Recurring Log'!J956="","Not Started",'Recurring Log'!J956))</f>
        <v/>
      </c>
      <c r="BA952">
        <f>'Recurring Log'!L956&amp;""</f>
        <v/>
      </c>
      <c r="BB952">
        <f>'Recurring Log'!M956&amp;""</f>
        <v/>
      </c>
      <c r="BC952">
        <f>'Recurring Log'!N956&amp;""</f>
        <v/>
      </c>
      <c r="BD952">
        <f>'Recurring Log'!O956&amp;""</f>
        <v/>
      </c>
      <c r="BE952">
        <f>IF('Recurring Log'!K956="","",'Recurring Log'!K956)</f>
        <v/>
      </c>
      <c r="BF952">
        <f>IFERROR(MATCH(BA952,Setup!$L$6:$L$9,0),5)</f>
        <v/>
      </c>
      <c r="BG952">
        <f>IF(OR(AZ952="Done",AZ952="Cancelled"),1,0)</f>
        <v/>
      </c>
      <c r="BH952">
        <f>IF(AND(AU952&lt;&gt;"",ISNUMBER(AW952)),1,0)</f>
        <v/>
      </c>
      <c r="BI952">
        <f>IF(BH952=0,0,IF(AND(AW952&gt;='Tasks Filter'!$F$3,AW952&lt;='Tasks Filter'!$F$4,OR('Tasks Filter'!$I$3="",ISNUMBER(SEARCH('Tasks Filter'!$I$3,AU952))),OR('Tasks Filter'!$I$4="",BF952=IFERROR(MATCH('Tasks Filter'!$I$4,Setup!$L$6:$L$9,0),0)),OR('Tasks Filter'!$I$5="Both",AND('Tasks Filter'!$I$5="Yes",BB952="✓"),AND('Tasks Filter'!$I$5="No",BB952&lt;&gt;"✓")),OR('Tasks Filter'!$L$3="",AV952='Tasks Filter'!$L$3),OR('Tasks Filter'!$L$4="",AZ952='Tasks Filter'!$L$4),OR('Tasks Filter'!$L$5="",BC952='Tasks Filter'!$L$5),OR('Tasks Filter'!$O$3="",BD952='Tasks Filter'!$O$3),OR('Tasks Filter'!$O$4="Yes",BG952=0)),1,0))</f>
        <v/>
      </c>
      <c r="BJ952">
        <f>IF(BH952=0,"",IF('Tasks Filter'!$F$6="Descending",-1,1)*CHOOSE(MATCH('Tasks Filter'!$F$5,Lists!$G$2:$G$6,0),AW952,BF952,IFERROR(MATCH(AV952,Setup!$F$6:$F$15,0),99),IFERROR(MATCH(BC952,Setup!$H$6:$H$15,0),99),IFERROR(MATCH(AZ952,Setup!$J$6:$J$11,0),99))*1E+9+(AW952-40000)*10000+951)</f>
        <v/>
      </c>
      <c r="BK952">
        <f>IF(BI952=1,BJ952,"")</f>
        <v/>
      </c>
      <c r="BL952">
        <f>IF(AND(BH952=1,BG952=0,N(AW952)&lt;Setup!$D$7),(AW952-40000)*10000+951,"")</f>
        <v/>
      </c>
      <c r="BM952">
        <f>IF(AND(BH952=1,AZ952&lt;&gt;"Cancelled",N(AW952)&gt;=Dashboard!$AB$3,N(AW952)&lt;=Dashboard!$AB$3+6),(AW952-40000)*100000+BF952*10000+951,"")</f>
        <v/>
      </c>
      <c r="BN952">
        <f>IF(AND(BH952=1,AZ952&lt;&gt;"Cancelled"),BF952*10000+951,"")</f>
        <v/>
      </c>
    </row>
    <row r="953">
      <c r="AS953" t="inlineStr">
        <is>
          <t>R</t>
        </is>
      </c>
      <c r="AT953" t="n">
        <v>957</v>
      </c>
      <c r="AU953">
        <f>'Recurring Log'!C957&amp;""</f>
        <v/>
      </c>
      <c r="AV953">
        <f>'Recurring Log'!D957&amp;""</f>
        <v/>
      </c>
      <c r="AW953">
        <f>IF('Recurring Log'!E957="","",'Recurring Log'!E957)</f>
        <v/>
      </c>
      <c r="AX953">
        <f>IF('Recurring Log'!G957="","",'Recurring Log'!G957)</f>
        <v/>
      </c>
      <c r="AY953">
        <f>IF('Recurring Log'!H957="","",'Recurring Log'!H957)</f>
        <v/>
      </c>
      <c r="AZ953">
        <f>IF(AU953="","",IF('Recurring Log'!J957="","Not Started",'Recurring Log'!J957))</f>
        <v/>
      </c>
      <c r="BA953">
        <f>'Recurring Log'!L957&amp;""</f>
        <v/>
      </c>
      <c r="BB953">
        <f>'Recurring Log'!M957&amp;""</f>
        <v/>
      </c>
      <c r="BC953">
        <f>'Recurring Log'!N957&amp;""</f>
        <v/>
      </c>
      <c r="BD953">
        <f>'Recurring Log'!O957&amp;""</f>
        <v/>
      </c>
      <c r="BE953">
        <f>IF('Recurring Log'!K957="","",'Recurring Log'!K957)</f>
        <v/>
      </c>
      <c r="BF953">
        <f>IFERROR(MATCH(BA953,Setup!$L$6:$L$9,0),5)</f>
        <v/>
      </c>
      <c r="BG953">
        <f>IF(OR(AZ953="Done",AZ953="Cancelled"),1,0)</f>
        <v/>
      </c>
      <c r="BH953">
        <f>IF(AND(AU953&lt;&gt;"",ISNUMBER(AW953)),1,0)</f>
        <v/>
      </c>
      <c r="BI953">
        <f>IF(BH953=0,0,IF(AND(AW953&gt;='Tasks Filter'!$F$3,AW953&lt;='Tasks Filter'!$F$4,OR('Tasks Filter'!$I$3="",ISNUMBER(SEARCH('Tasks Filter'!$I$3,AU953))),OR('Tasks Filter'!$I$4="",BF953=IFERROR(MATCH('Tasks Filter'!$I$4,Setup!$L$6:$L$9,0),0)),OR('Tasks Filter'!$I$5="Both",AND('Tasks Filter'!$I$5="Yes",BB953="✓"),AND('Tasks Filter'!$I$5="No",BB953&lt;&gt;"✓")),OR('Tasks Filter'!$L$3="",AV953='Tasks Filter'!$L$3),OR('Tasks Filter'!$L$4="",AZ953='Tasks Filter'!$L$4),OR('Tasks Filter'!$L$5="",BC953='Tasks Filter'!$L$5),OR('Tasks Filter'!$O$3="",BD953='Tasks Filter'!$O$3),OR('Tasks Filter'!$O$4="Yes",BG953=0)),1,0))</f>
        <v/>
      </c>
      <c r="BJ953">
        <f>IF(BH953=0,"",IF('Tasks Filter'!$F$6="Descending",-1,1)*CHOOSE(MATCH('Tasks Filter'!$F$5,Lists!$G$2:$G$6,0),AW953,BF953,IFERROR(MATCH(AV953,Setup!$F$6:$F$15,0),99),IFERROR(MATCH(BC953,Setup!$H$6:$H$15,0),99),IFERROR(MATCH(AZ953,Setup!$J$6:$J$11,0),99))*1E+9+(AW953-40000)*10000+952)</f>
        <v/>
      </c>
      <c r="BK953">
        <f>IF(BI953=1,BJ953,"")</f>
        <v/>
      </c>
      <c r="BL953">
        <f>IF(AND(BH953=1,BG953=0,N(AW953)&lt;Setup!$D$7),(AW953-40000)*10000+952,"")</f>
        <v/>
      </c>
      <c r="BM953">
        <f>IF(AND(BH953=1,AZ953&lt;&gt;"Cancelled",N(AW953)&gt;=Dashboard!$AB$3,N(AW953)&lt;=Dashboard!$AB$3+6),(AW953-40000)*100000+BF953*10000+952,"")</f>
        <v/>
      </c>
      <c r="BN953">
        <f>IF(AND(BH953=1,AZ953&lt;&gt;"Cancelled"),BF953*10000+952,"")</f>
        <v/>
      </c>
    </row>
    <row r="954">
      <c r="AS954" t="inlineStr">
        <is>
          <t>R</t>
        </is>
      </c>
      <c r="AT954" t="n">
        <v>958</v>
      </c>
      <c r="AU954">
        <f>'Recurring Log'!C958&amp;""</f>
        <v/>
      </c>
      <c r="AV954">
        <f>'Recurring Log'!D958&amp;""</f>
        <v/>
      </c>
      <c r="AW954">
        <f>IF('Recurring Log'!E958="","",'Recurring Log'!E958)</f>
        <v/>
      </c>
      <c r="AX954">
        <f>IF('Recurring Log'!G958="","",'Recurring Log'!G958)</f>
        <v/>
      </c>
      <c r="AY954">
        <f>IF('Recurring Log'!H958="","",'Recurring Log'!H958)</f>
        <v/>
      </c>
      <c r="AZ954">
        <f>IF(AU954="","",IF('Recurring Log'!J958="","Not Started",'Recurring Log'!J958))</f>
        <v/>
      </c>
      <c r="BA954">
        <f>'Recurring Log'!L958&amp;""</f>
        <v/>
      </c>
      <c r="BB954">
        <f>'Recurring Log'!M958&amp;""</f>
        <v/>
      </c>
      <c r="BC954">
        <f>'Recurring Log'!N958&amp;""</f>
        <v/>
      </c>
      <c r="BD954">
        <f>'Recurring Log'!O958&amp;""</f>
        <v/>
      </c>
      <c r="BE954">
        <f>IF('Recurring Log'!K958="","",'Recurring Log'!K958)</f>
        <v/>
      </c>
      <c r="BF954">
        <f>IFERROR(MATCH(BA954,Setup!$L$6:$L$9,0),5)</f>
        <v/>
      </c>
      <c r="BG954">
        <f>IF(OR(AZ954="Done",AZ954="Cancelled"),1,0)</f>
        <v/>
      </c>
      <c r="BH954">
        <f>IF(AND(AU954&lt;&gt;"",ISNUMBER(AW954)),1,0)</f>
        <v/>
      </c>
      <c r="BI954">
        <f>IF(BH954=0,0,IF(AND(AW954&gt;='Tasks Filter'!$F$3,AW954&lt;='Tasks Filter'!$F$4,OR('Tasks Filter'!$I$3="",ISNUMBER(SEARCH('Tasks Filter'!$I$3,AU954))),OR('Tasks Filter'!$I$4="",BF954=IFERROR(MATCH('Tasks Filter'!$I$4,Setup!$L$6:$L$9,0),0)),OR('Tasks Filter'!$I$5="Both",AND('Tasks Filter'!$I$5="Yes",BB954="✓"),AND('Tasks Filter'!$I$5="No",BB954&lt;&gt;"✓")),OR('Tasks Filter'!$L$3="",AV954='Tasks Filter'!$L$3),OR('Tasks Filter'!$L$4="",AZ954='Tasks Filter'!$L$4),OR('Tasks Filter'!$L$5="",BC954='Tasks Filter'!$L$5),OR('Tasks Filter'!$O$3="",BD954='Tasks Filter'!$O$3),OR('Tasks Filter'!$O$4="Yes",BG954=0)),1,0))</f>
        <v/>
      </c>
      <c r="BJ954">
        <f>IF(BH954=0,"",IF('Tasks Filter'!$F$6="Descending",-1,1)*CHOOSE(MATCH('Tasks Filter'!$F$5,Lists!$G$2:$G$6,0),AW954,BF954,IFERROR(MATCH(AV954,Setup!$F$6:$F$15,0),99),IFERROR(MATCH(BC954,Setup!$H$6:$H$15,0),99),IFERROR(MATCH(AZ954,Setup!$J$6:$J$11,0),99))*1E+9+(AW954-40000)*10000+953)</f>
        <v/>
      </c>
      <c r="BK954">
        <f>IF(BI954=1,BJ954,"")</f>
        <v/>
      </c>
      <c r="BL954">
        <f>IF(AND(BH954=1,BG954=0,N(AW954)&lt;Setup!$D$7),(AW954-40000)*10000+953,"")</f>
        <v/>
      </c>
      <c r="BM954">
        <f>IF(AND(BH954=1,AZ954&lt;&gt;"Cancelled",N(AW954)&gt;=Dashboard!$AB$3,N(AW954)&lt;=Dashboard!$AB$3+6),(AW954-40000)*100000+BF954*10000+953,"")</f>
        <v/>
      </c>
      <c r="BN954">
        <f>IF(AND(BH954=1,AZ954&lt;&gt;"Cancelled"),BF954*10000+953,"")</f>
        <v/>
      </c>
    </row>
    <row r="955">
      <c r="AS955" t="inlineStr">
        <is>
          <t>R</t>
        </is>
      </c>
      <c r="AT955" t="n">
        <v>959</v>
      </c>
      <c r="AU955">
        <f>'Recurring Log'!C959&amp;""</f>
        <v/>
      </c>
      <c r="AV955">
        <f>'Recurring Log'!D959&amp;""</f>
        <v/>
      </c>
      <c r="AW955">
        <f>IF('Recurring Log'!E959="","",'Recurring Log'!E959)</f>
        <v/>
      </c>
      <c r="AX955">
        <f>IF('Recurring Log'!G959="","",'Recurring Log'!G959)</f>
        <v/>
      </c>
      <c r="AY955">
        <f>IF('Recurring Log'!H959="","",'Recurring Log'!H959)</f>
        <v/>
      </c>
      <c r="AZ955">
        <f>IF(AU955="","",IF('Recurring Log'!J959="","Not Started",'Recurring Log'!J959))</f>
        <v/>
      </c>
      <c r="BA955">
        <f>'Recurring Log'!L959&amp;""</f>
        <v/>
      </c>
      <c r="BB955">
        <f>'Recurring Log'!M959&amp;""</f>
        <v/>
      </c>
      <c r="BC955">
        <f>'Recurring Log'!N959&amp;""</f>
        <v/>
      </c>
      <c r="BD955">
        <f>'Recurring Log'!O959&amp;""</f>
        <v/>
      </c>
      <c r="BE955">
        <f>IF('Recurring Log'!K959="","",'Recurring Log'!K959)</f>
        <v/>
      </c>
      <c r="BF955">
        <f>IFERROR(MATCH(BA955,Setup!$L$6:$L$9,0),5)</f>
        <v/>
      </c>
      <c r="BG955">
        <f>IF(OR(AZ955="Done",AZ955="Cancelled"),1,0)</f>
        <v/>
      </c>
      <c r="BH955">
        <f>IF(AND(AU955&lt;&gt;"",ISNUMBER(AW955)),1,0)</f>
        <v/>
      </c>
      <c r="BI955">
        <f>IF(BH955=0,0,IF(AND(AW955&gt;='Tasks Filter'!$F$3,AW955&lt;='Tasks Filter'!$F$4,OR('Tasks Filter'!$I$3="",ISNUMBER(SEARCH('Tasks Filter'!$I$3,AU955))),OR('Tasks Filter'!$I$4="",BF955=IFERROR(MATCH('Tasks Filter'!$I$4,Setup!$L$6:$L$9,0),0)),OR('Tasks Filter'!$I$5="Both",AND('Tasks Filter'!$I$5="Yes",BB955="✓"),AND('Tasks Filter'!$I$5="No",BB955&lt;&gt;"✓")),OR('Tasks Filter'!$L$3="",AV955='Tasks Filter'!$L$3),OR('Tasks Filter'!$L$4="",AZ955='Tasks Filter'!$L$4),OR('Tasks Filter'!$L$5="",BC955='Tasks Filter'!$L$5),OR('Tasks Filter'!$O$3="",BD955='Tasks Filter'!$O$3),OR('Tasks Filter'!$O$4="Yes",BG955=0)),1,0))</f>
        <v/>
      </c>
      <c r="BJ955">
        <f>IF(BH955=0,"",IF('Tasks Filter'!$F$6="Descending",-1,1)*CHOOSE(MATCH('Tasks Filter'!$F$5,Lists!$G$2:$G$6,0),AW955,BF955,IFERROR(MATCH(AV955,Setup!$F$6:$F$15,0),99),IFERROR(MATCH(BC955,Setup!$H$6:$H$15,0),99),IFERROR(MATCH(AZ955,Setup!$J$6:$J$11,0),99))*1E+9+(AW955-40000)*10000+954)</f>
        <v/>
      </c>
      <c r="BK955">
        <f>IF(BI955=1,BJ955,"")</f>
        <v/>
      </c>
      <c r="BL955">
        <f>IF(AND(BH955=1,BG955=0,N(AW955)&lt;Setup!$D$7),(AW955-40000)*10000+954,"")</f>
        <v/>
      </c>
      <c r="BM955">
        <f>IF(AND(BH955=1,AZ955&lt;&gt;"Cancelled",N(AW955)&gt;=Dashboard!$AB$3,N(AW955)&lt;=Dashboard!$AB$3+6),(AW955-40000)*100000+BF955*10000+954,"")</f>
        <v/>
      </c>
      <c r="BN955">
        <f>IF(AND(BH955=1,AZ955&lt;&gt;"Cancelled"),BF955*10000+954,"")</f>
        <v/>
      </c>
    </row>
    <row r="956">
      <c r="AS956" t="inlineStr">
        <is>
          <t>R</t>
        </is>
      </c>
      <c r="AT956" t="n">
        <v>960</v>
      </c>
      <c r="AU956">
        <f>'Recurring Log'!C960&amp;""</f>
        <v/>
      </c>
      <c r="AV956">
        <f>'Recurring Log'!D960&amp;""</f>
        <v/>
      </c>
      <c r="AW956">
        <f>IF('Recurring Log'!E960="","",'Recurring Log'!E960)</f>
        <v/>
      </c>
      <c r="AX956">
        <f>IF('Recurring Log'!G960="","",'Recurring Log'!G960)</f>
        <v/>
      </c>
      <c r="AY956">
        <f>IF('Recurring Log'!H960="","",'Recurring Log'!H960)</f>
        <v/>
      </c>
      <c r="AZ956">
        <f>IF(AU956="","",IF('Recurring Log'!J960="","Not Started",'Recurring Log'!J960))</f>
        <v/>
      </c>
      <c r="BA956">
        <f>'Recurring Log'!L960&amp;""</f>
        <v/>
      </c>
      <c r="BB956">
        <f>'Recurring Log'!M960&amp;""</f>
        <v/>
      </c>
      <c r="BC956">
        <f>'Recurring Log'!N960&amp;""</f>
        <v/>
      </c>
      <c r="BD956">
        <f>'Recurring Log'!O960&amp;""</f>
        <v/>
      </c>
      <c r="BE956">
        <f>IF('Recurring Log'!K960="","",'Recurring Log'!K960)</f>
        <v/>
      </c>
      <c r="BF956">
        <f>IFERROR(MATCH(BA956,Setup!$L$6:$L$9,0),5)</f>
        <v/>
      </c>
      <c r="BG956">
        <f>IF(OR(AZ956="Done",AZ956="Cancelled"),1,0)</f>
        <v/>
      </c>
      <c r="BH956">
        <f>IF(AND(AU956&lt;&gt;"",ISNUMBER(AW956)),1,0)</f>
        <v/>
      </c>
      <c r="BI956">
        <f>IF(BH956=0,0,IF(AND(AW956&gt;='Tasks Filter'!$F$3,AW956&lt;='Tasks Filter'!$F$4,OR('Tasks Filter'!$I$3="",ISNUMBER(SEARCH('Tasks Filter'!$I$3,AU956))),OR('Tasks Filter'!$I$4="",BF956=IFERROR(MATCH('Tasks Filter'!$I$4,Setup!$L$6:$L$9,0),0)),OR('Tasks Filter'!$I$5="Both",AND('Tasks Filter'!$I$5="Yes",BB956="✓"),AND('Tasks Filter'!$I$5="No",BB956&lt;&gt;"✓")),OR('Tasks Filter'!$L$3="",AV956='Tasks Filter'!$L$3),OR('Tasks Filter'!$L$4="",AZ956='Tasks Filter'!$L$4),OR('Tasks Filter'!$L$5="",BC956='Tasks Filter'!$L$5),OR('Tasks Filter'!$O$3="",BD956='Tasks Filter'!$O$3),OR('Tasks Filter'!$O$4="Yes",BG956=0)),1,0))</f>
        <v/>
      </c>
      <c r="BJ956">
        <f>IF(BH956=0,"",IF('Tasks Filter'!$F$6="Descending",-1,1)*CHOOSE(MATCH('Tasks Filter'!$F$5,Lists!$G$2:$G$6,0),AW956,BF956,IFERROR(MATCH(AV956,Setup!$F$6:$F$15,0),99),IFERROR(MATCH(BC956,Setup!$H$6:$H$15,0),99),IFERROR(MATCH(AZ956,Setup!$J$6:$J$11,0),99))*1E+9+(AW956-40000)*10000+955)</f>
        <v/>
      </c>
      <c r="BK956">
        <f>IF(BI956=1,BJ956,"")</f>
        <v/>
      </c>
      <c r="BL956">
        <f>IF(AND(BH956=1,BG956=0,N(AW956)&lt;Setup!$D$7),(AW956-40000)*10000+955,"")</f>
        <v/>
      </c>
      <c r="BM956">
        <f>IF(AND(BH956=1,AZ956&lt;&gt;"Cancelled",N(AW956)&gt;=Dashboard!$AB$3,N(AW956)&lt;=Dashboard!$AB$3+6),(AW956-40000)*100000+BF956*10000+955,"")</f>
        <v/>
      </c>
      <c r="BN956">
        <f>IF(AND(BH956=1,AZ956&lt;&gt;"Cancelled"),BF956*10000+955,"")</f>
        <v/>
      </c>
    </row>
    <row r="957">
      <c r="AS957" t="inlineStr">
        <is>
          <t>R</t>
        </is>
      </c>
      <c r="AT957" t="n">
        <v>961</v>
      </c>
      <c r="AU957">
        <f>'Recurring Log'!C961&amp;""</f>
        <v/>
      </c>
      <c r="AV957">
        <f>'Recurring Log'!D961&amp;""</f>
        <v/>
      </c>
      <c r="AW957">
        <f>IF('Recurring Log'!E961="","",'Recurring Log'!E961)</f>
        <v/>
      </c>
      <c r="AX957">
        <f>IF('Recurring Log'!G961="","",'Recurring Log'!G961)</f>
        <v/>
      </c>
      <c r="AY957">
        <f>IF('Recurring Log'!H961="","",'Recurring Log'!H961)</f>
        <v/>
      </c>
      <c r="AZ957">
        <f>IF(AU957="","",IF('Recurring Log'!J961="","Not Started",'Recurring Log'!J961))</f>
        <v/>
      </c>
      <c r="BA957">
        <f>'Recurring Log'!L961&amp;""</f>
        <v/>
      </c>
      <c r="BB957">
        <f>'Recurring Log'!M961&amp;""</f>
        <v/>
      </c>
      <c r="BC957">
        <f>'Recurring Log'!N961&amp;""</f>
        <v/>
      </c>
      <c r="BD957">
        <f>'Recurring Log'!O961&amp;""</f>
        <v/>
      </c>
      <c r="BE957">
        <f>IF('Recurring Log'!K961="","",'Recurring Log'!K961)</f>
        <v/>
      </c>
      <c r="BF957">
        <f>IFERROR(MATCH(BA957,Setup!$L$6:$L$9,0),5)</f>
        <v/>
      </c>
      <c r="BG957">
        <f>IF(OR(AZ957="Done",AZ957="Cancelled"),1,0)</f>
        <v/>
      </c>
      <c r="BH957">
        <f>IF(AND(AU957&lt;&gt;"",ISNUMBER(AW957)),1,0)</f>
        <v/>
      </c>
      <c r="BI957">
        <f>IF(BH957=0,0,IF(AND(AW957&gt;='Tasks Filter'!$F$3,AW957&lt;='Tasks Filter'!$F$4,OR('Tasks Filter'!$I$3="",ISNUMBER(SEARCH('Tasks Filter'!$I$3,AU957))),OR('Tasks Filter'!$I$4="",BF957=IFERROR(MATCH('Tasks Filter'!$I$4,Setup!$L$6:$L$9,0),0)),OR('Tasks Filter'!$I$5="Both",AND('Tasks Filter'!$I$5="Yes",BB957="✓"),AND('Tasks Filter'!$I$5="No",BB957&lt;&gt;"✓")),OR('Tasks Filter'!$L$3="",AV957='Tasks Filter'!$L$3),OR('Tasks Filter'!$L$4="",AZ957='Tasks Filter'!$L$4),OR('Tasks Filter'!$L$5="",BC957='Tasks Filter'!$L$5),OR('Tasks Filter'!$O$3="",BD957='Tasks Filter'!$O$3),OR('Tasks Filter'!$O$4="Yes",BG957=0)),1,0))</f>
        <v/>
      </c>
      <c r="BJ957">
        <f>IF(BH957=0,"",IF('Tasks Filter'!$F$6="Descending",-1,1)*CHOOSE(MATCH('Tasks Filter'!$F$5,Lists!$G$2:$G$6,0),AW957,BF957,IFERROR(MATCH(AV957,Setup!$F$6:$F$15,0),99),IFERROR(MATCH(BC957,Setup!$H$6:$H$15,0),99),IFERROR(MATCH(AZ957,Setup!$J$6:$J$11,0),99))*1E+9+(AW957-40000)*10000+956)</f>
        <v/>
      </c>
      <c r="BK957">
        <f>IF(BI957=1,BJ957,"")</f>
        <v/>
      </c>
      <c r="BL957">
        <f>IF(AND(BH957=1,BG957=0,N(AW957)&lt;Setup!$D$7),(AW957-40000)*10000+956,"")</f>
        <v/>
      </c>
      <c r="BM957">
        <f>IF(AND(BH957=1,AZ957&lt;&gt;"Cancelled",N(AW957)&gt;=Dashboard!$AB$3,N(AW957)&lt;=Dashboard!$AB$3+6),(AW957-40000)*100000+BF957*10000+956,"")</f>
        <v/>
      </c>
      <c r="BN957">
        <f>IF(AND(BH957=1,AZ957&lt;&gt;"Cancelled"),BF957*10000+956,"")</f>
        <v/>
      </c>
    </row>
    <row r="958">
      <c r="AS958" t="inlineStr">
        <is>
          <t>R</t>
        </is>
      </c>
      <c r="AT958" t="n">
        <v>962</v>
      </c>
      <c r="AU958">
        <f>'Recurring Log'!C962&amp;""</f>
        <v/>
      </c>
      <c r="AV958">
        <f>'Recurring Log'!D962&amp;""</f>
        <v/>
      </c>
      <c r="AW958">
        <f>IF('Recurring Log'!E962="","",'Recurring Log'!E962)</f>
        <v/>
      </c>
      <c r="AX958">
        <f>IF('Recurring Log'!G962="","",'Recurring Log'!G962)</f>
        <v/>
      </c>
      <c r="AY958">
        <f>IF('Recurring Log'!H962="","",'Recurring Log'!H962)</f>
        <v/>
      </c>
      <c r="AZ958">
        <f>IF(AU958="","",IF('Recurring Log'!J962="","Not Started",'Recurring Log'!J962))</f>
        <v/>
      </c>
      <c r="BA958">
        <f>'Recurring Log'!L962&amp;""</f>
        <v/>
      </c>
      <c r="BB958">
        <f>'Recurring Log'!M962&amp;""</f>
        <v/>
      </c>
      <c r="BC958">
        <f>'Recurring Log'!N962&amp;""</f>
        <v/>
      </c>
      <c r="BD958">
        <f>'Recurring Log'!O962&amp;""</f>
        <v/>
      </c>
      <c r="BE958">
        <f>IF('Recurring Log'!K962="","",'Recurring Log'!K962)</f>
        <v/>
      </c>
      <c r="BF958">
        <f>IFERROR(MATCH(BA958,Setup!$L$6:$L$9,0),5)</f>
        <v/>
      </c>
      <c r="BG958">
        <f>IF(OR(AZ958="Done",AZ958="Cancelled"),1,0)</f>
        <v/>
      </c>
      <c r="BH958">
        <f>IF(AND(AU958&lt;&gt;"",ISNUMBER(AW958)),1,0)</f>
        <v/>
      </c>
      <c r="BI958">
        <f>IF(BH958=0,0,IF(AND(AW958&gt;='Tasks Filter'!$F$3,AW958&lt;='Tasks Filter'!$F$4,OR('Tasks Filter'!$I$3="",ISNUMBER(SEARCH('Tasks Filter'!$I$3,AU958))),OR('Tasks Filter'!$I$4="",BF958=IFERROR(MATCH('Tasks Filter'!$I$4,Setup!$L$6:$L$9,0),0)),OR('Tasks Filter'!$I$5="Both",AND('Tasks Filter'!$I$5="Yes",BB958="✓"),AND('Tasks Filter'!$I$5="No",BB958&lt;&gt;"✓")),OR('Tasks Filter'!$L$3="",AV958='Tasks Filter'!$L$3),OR('Tasks Filter'!$L$4="",AZ958='Tasks Filter'!$L$4),OR('Tasks Filter'!$L$5="",BC958='Tasks Filter'!$L$5),OR('Tasks Filter'!$O$3="",BD958='Tasks Filter'!$O$3),OR('Tasks Filter'!$O$4="Yes",BG958=0)),1,0))</f>
        <v/>
      </c>
      <c r="BJ958">
        <f>IF(BH958=0,"",IF('Tasks Filter'!$F$6="Descending",-1,1)*CHOOSE(MATCH('Tasks Filter'!$F$5,Lists!$G$2:$G$6,0),AW958,BF958,IFERROR(MATCH(AV958,Setup!$F$6:$F$15,0),99),IFERROR(MATCH(BC958,Setup!$H$6:$H$15,0),99),IFERROR(MATCH(AZ958,Setup!$J$6:$J$11,0),99))*1E+9+(AW958-40000)*10000+957)</f>
        <v/>
      </c>
      <c r="BK958">
        <f>IF(BI958=1,BJ958,"")</f>
        <v/>
      </c>
      <c r="BL958">
        <f>IF(AND(BH958=1,BG958=0,N(AW958)&lt;Setup!$D$7),(AW958-40000)*10000+957,"")</f>
        <v/>
      </c>
      <c r="BM958">
        <f>IF(AND(BH958=1,AZ958&lt;&gt;"Cancelled",N(AW958)&gt;=Dashboard!$AB$3,N(AW958)&lt;=Dashboard!$AB$3+6),(AW958-40000)*100000+BF958*10000+957,"")</f>
        <v/>
      </c>
      <c r="BN958">
        <f>IF(AND(BH958=1,AZ958&lt;&gt;"Cancelled"),BF958*10000+957,"")</f>
        <v/>
      </c>
    </row>
    <row r="959">
      <c r="AS959" t="inlineStr">
        <is>
          <t>R</t>
        </is>
      </c>
      <c r="AT959" t="n">
        <v>963</v>
      </c>
      <c r="AU959">
        <f>'Recurring Log'!C963&amp;""</f>
        <v/>
      </c>
      <c r="AV959">
        <f>'Recurring Log'!D963&amp;""</f>
        <v/>
      </c>
      <c r="AW959">
        <f>IF('Recurring Log'!E963="","",'Recurring Log'!E963)</f>
        <v/>
      </c>
      <c r="AX959">
        <f>IF('Recurring Log'!G963="","",'Recurring Log'!G963)</f>
        <v/>
      </c>
      <c r="AY959">
        <f>IF('Recurring Log'!H963="","",'Recurring Log'!H963)</f>
        <v/>
      </c>
      <c r="AZ959">
        <f>IF(AU959="","",IF('Recurring Log'!J963="","Not Started",'Recurring Log'!J963))</f>
        <v/>
      </c>
      <c r="BA959">
        <f>'Recurring Log'!L963&amp;""</f>
        <v/>
      </c>
      <c r="BB959">
        <f>'Recurring Log'!M963&amp;""</f>
        <v/>
      </c>
      <c r="BC959">
        <f>'Recurring Log'!N963&amp;""</f>
        <v/>
      </c>
      <c r="BD959">
        <f>'Recurring Log'!O963&amp;""</f>
        <v/>
      </c>
      <c r="BE959">
        <f>IF('Recurring Log'!K963="","",'Recurring Log'!K963)</f>
        <v/>
      </c>
      <c r="BF959">
        <f>IFERROR(MATCH(BA959,Setup!$L$6:$L$9,0),5)</f>
        <v/>
      </c>
      <c r="BG959">
        <f>IF(OR(AZ959="Done",AZ959="Cancelled"),1,0)</f>
        <v/>
      </c>
      <c r="BH959">
        <f>IF(AND(AU959&lt;&gt;"",ISNUMBER(AW959)),1,0)</f>
        <v/>
      </c>
      <c r="BI959">
        <f>IF(BH959=0,0,IF(AND(AW959&gt;='Tasks Filter'!$F$3,AW959&lt;='Tasks Filter'!$F$4,OR('Tasks Filter'!$I$3="",ISNUMBER(SEARCH('Tasks Filter'!$I$3,AU959))),OR('Tasks Filter'!$I$4="",BF959=IFERROR(MATCH('Tasks Filter'!$I$4,Setup!$L$6:$L$9,0),0)),OR('Tasks Filter'!$I$5="Both",AND('Tasks Filter'!$I$5="Yes",BB959="✓"),AND('Tasks Filter'!$I$5="No",BB959&lt;&gt;"✓")),OR('Tasks Filter'!$L$3="",AV959='Tasks Filter'!$L$3),OR('Tasks Filter'!$L$4="",AZ959='Tasks Filter'!$L$4),OR('Tasks Filter'!$L$5="",BC959='Tasks Filter'!$L$5),OR('Tasks Filter'!$O$3="",BD959='Tasks Filter'!$O$3),OR('Tasks Filter'!$O$4="Yes",BG959=0)),1,0))</f>
        <v/>
      </c>
      <c r="BJ959">
        <f>IF(BH959=0,"",IF('Tasks Filter'!$F$6="Descending",-1,1)*CHOOSE(MATCH('Tasks Filter'!$F$5,Lists!$G$2:$G$6,0),AW959,BF959,IFERROR(MATCH(AV959,Setup!$F$6:$F$15,0),99),IFERROR(MATCH(BC959,Setup!$H$6:$H$15,0),99),IFERROR(MATCH(AZ959,Setup!$J$6:$J$11,0),99))*1E+9+(AW959-40000)*10000+958)</f>
        <v/>
      </c>
      <c r="BK959">
        <f>IF(BI959=1,BJ959,"")</f>
        <v/>
      </c>
      <c r="BL959">
        <f>IF(AND(BH959=1,BG959=0,N(AW959)&lt;Setup!$D$7),(AW959-40000)*10000+958,"")</f>
        <v/>
      </c>
      <c r="BM959">
        <f>IF(AND(BH959=1,AZ959&lt;&gt;"Cancelled",N(AW959)&gt;=Dashboard!$AB$3,N(AW959)&lt;=Dashboard!$AB$3+6),(AW959-40000)*100000+BF959*10000+958,"")</f>
        <v/>
      </c>
      <c r="BN959">
        <f>IF(AND(BH959=1,AZ959&lt;&gt;"Cancelled"),BF959*10000+958,"")</f>
        <v/>
      </c>
    </row>
    <row r="960">
      <c r="AS960" t="inlineStr">
        <is>
          <t>R</t>
        </is>
      </c>
      <c r="AT960" t="n">
        <v>964</v>
      </c>
      <c r="AU960">
        <f>'Recurring Log'!C964&amp;""</f>
        <v/>
      </c>
      <c r="AV960">
        <f>'Recurring Log'!D964&amp;""</f>
        <v/>
      </c>
      <c r="AW960">
        <f>IF('Recurring Log'!E964="","",'Recurring Log'!E964)</f>
        <v/>
      </c>
      <c r="AX960">
        <f>IF('Recurring Log'!G964="","",'Recurring Log'!G964)</f>
        <v/>
      </c>
      <c r="AY960">
        <f>IF('Recurring Log'!H964="","",'Recurring Log'!H964)</f>
        <v/>
      </c>
      <c r="AZ960">
        <f>IF(AU960="","",IF('Recurring Log'!J964="","Not Started",'Recurring Log'!J964))</f>
        <v/>
      </c>
      <c r="BA960">
        <f>'Recurring Log'!L964&amp;""</f>
        <v/>
      </c>
      <c r="BB960">
        <f>'Recurring Log'!M964&amp;""</f>
        <v/>
      </c>
      <c r="BC960">
        <f>'Recurring Log'!N964&amp;""</f>
        <v/>
      </c>
      <c r="BD960">
        <f>'Recurring Log'!O964&amp;""</f>
        <v/>
      </c>
      <c r="BE960">
        <f>IF('Recurring Log'!K964="","",'Recurring Log'!K964)</f>
        <v/>
      </c>
      <c r="BF960">
        <f>IFERROR(MATCH(BA960,Setup!$L$6:$L$9,0),5)</f>
        <v/>
      </c>
      <c r="BG960">
        <f>IF(OR(AZ960="Done",AZ960="Cancelled"),1,0)</f>
        <v/>
      </c>
      <c r="BH960">
        <f>IF(AND(AU960&lt;&gt;"",ISNUMBER(AW960)),1,0)</f>
        <v/>
      </c>
      <c r="BI960">
        <f>IF(BH960=0,0,IF(AND(AW960&gt;='Tasks Filter'!$F$3,AW960&lt;='Tasks Filter'!$F$4,OR('Tasks Filter'!$I$3="",ISNUMBER(SEARCH('Tasks Filter'!$I$3,AU960))),OR('Tasks Filter'!$I$4="",BF960=IFERROR(MATCH('Tasks Filter'!$I$4,Setup!$L$6:$L$9,0),0)),OR('Tasks Filter'!$I$5="Both",AND('Tasks Filter'!$I$5="Yes",BB960="✓"),AND('Tasks Filter'!$I$5="No",BB960&lt;&gt;"✓")),OR('Tasks Filter'!$L$3="",AV960='Tasks Filter'!$L$3),OR('Tasks Filter'!$L$4="",AZ960='Tasks Filter'!$L$4),OR('Tasks Filter'!$L$5="",BC960='Tasks Filter'!$L$5),OR('Tasks Filter'!$O$3="",BD960='Tasks Filter'!$O$3),OR('Tasks Filter'!$O$4="Yes",BG960=0)),1,0))</f>
        <v/>
      </c>
      <c r="BJ960">
        <f>IF(BH960=0,"",IF('Tasks Filter'!$F$6="Descending",-1,1)*CHOOSE(MATCH('Tasks Filter'!$F$5,Lists!$G$2:$G$6,0),AW960,BF960,IFERROR(MATCH(AV960,Setup!$F$6:$F$15,0),99),IFERROR(MATCH(BC960,Setup!$H$6:$H$15,0),99),IFERROR(MATCH(AZ960,Setup!$J$6:$J$11,0),99))*1E+9+(AW960-40000)*10000+959)</f>
        <v/>
      </c>
      <c r="BK960">
        <f>IF(BI960=1,BJ960,"")</f>
        <v/>
      </c>
      <c r="BL960">
        <f>IF(AND(BH960=1,BG960=0,N(AW960)&lt;Setup!$D$7),(AW960-40000)*10000+959,"")</f>
        <v/>
      </c>
      <c r="BM960">
        <f>IF(AND(BH960=1,AZ960&lt;&gt;"Cancelled",N(AW960)&gt;=Dashboard!$AB$3,N(AW960)&lt;=Dashboard!$AB$3+6),(AW960-40000)*100000+BF960*10000+959,"")</f>
        <v/>
      </c>
      <c r="BN960">
        <f>IF(AND(BH960=1,AZ960&lt;&gt;"Cancelled"),BF960*10000+959,"")</f>
        <v/>
      </c>
    </row>
    <row r="961">
      <c r="AS961" t="inlineStr">
        <is>
          <t>R</t>
        </is>
      </c>
      <c r="AT961" t="n">
        <v>965</v>
      </c>
      <c r="AU961">
        <f>'Recurring Log'!C965&amp;""</f>
        <v/>
      </c>
      <c r="AV961">
        <f>'Recurring Log'!D965&amp;""</f>
        <v/>
      </c>
      <c r="AW961">
        <f>IF('Recurring Log'!E965="","",'Recurring Log'!E965)</f>
        <v/>
      </c>
      <c r="AX961">
        <f>IF('Recurring Log'!G965="","",'Recurring Log'!G965)</f>
        <v/>
      </c>
      <c r="AY961">
        <f>IF('Recurring Log'!H965="","",'Recurring Log'!H965)</f>
        <v/>
      </c>
      <c r="AZ961">
        <f>IF(AU961="","",IF('Recurring Log'!J965="","Not Started",'Recurring Log'!J965))</f>
        <v/>
      </c>
      <c r="BA961">
        <f>'Recurring Log'!L965&amp;""</f>
        <v/>
      </c>
      <c r="BB961">
        <f>'Recurring Log'!M965&amp;""</f>
        <v/>
      </c>
      <c r="BC961">
        <f>'Recurring Log'!N965&amp;""</f>
        <v/>
      </c>
      <c r="BD961">
        <f>'Recurring Log'!O965&amp;""</f>
        <v/>
      </c>
      <c r="BE961">
        <f>IF('Recurring Log'!K965="","",'Recurring Log'!K965)</f>
        <v/>
      </c>
      <c r="BF961">
        <f>IFERROR(MATCH(BA961,Setup!$L$6:$L$9,0),5)</f>
        <v/>
      </c>
      <c r="BG961">
        <f>IF(OR(AZ961="Done",AZ961="Cancelled"),1,0)</f>
        <v/>
      </c>
      <c r="BH961">
        <f>IF(AND(AU961&lt;&gt;"",ISNUMBER(AW961)),1,0)</f>
        <v/>
      </c>
      <c r="BI961">
        <f>IF(BH961=0,0,IF(AND(AW961&gt;='Tasks Filter'!$F$3,AW961&lt;='Tasks Filter'!$F$4,OR('Tasks Filter'!$I$3="",ISNUMBER(SEARCH('Tasks Filter'!$I$3,AU961))),OR('Tasks Filter'!$I$4="",BF961=IFERROR(MATCH('Tasks Filter'!$I$4,Setup!$L$6:$L$9,0),0)),OR('Tasks Filter'!$I$5="Both",AND('Tasks Filter'!$I$5="Yes",BB961="✓"),AND('Tasks Filter'!$I$5="No",BB961&lt;&gt;"✓")),OR('Tasks Filter'!$L$3="",AV961='Tasks Filter'!$L$3),OR('Tasks Filter'!$L$4="",AZ961='Tasks Filter'!$L$4),OR('Tasks Filter'!$L$5="",BC961='Tasks Filter'!$L$5),OR('Tasks Filter'!$O$3="",BD961='Tasks Filter'!$O$3),OR('Tasks Filter'!$O$4="Yes",BG961=0)),1,0))</f>
        <v/>
      </c>
      <c r="BJ961">
        <f>IF(BH961=0,"",IF('Tasks Filter'!$F$6="Descending",-1,1)*CHOOSE(MATCH('Tasks Filter'!$F$5,Lists!$G$2:$G$6,0),AW961,BF961,IFERROR(MATCH(AV961,Setup!$F$6:$F$15,0),99),IFERROR(MATCH(BC961,Setup!$H$6:$H$15,0),99),IFERROR(MATCH(AZ961,Setup!$J$6:$J$11,0),99))*1E+9+(AW961-40000)*10000+960)</f>
        <v/>
      </c>
      <c r="BK961">
        <f>IF(BI961=1,BJ961,"")</f>
        <v/>
      </c>
      <c r="BL961">
        <f>IF(AND(BH961=1,BG961=0,N(AW961)&lt;Setup!$D$7),(AW961-40000)*10000+960,"")</f>
        <v/>
      </c>
      <c r="BM961">
        <f>IF(AND(BH961=1,AZ961&lt;&gt;"Cancelled",N(AW961)&gt;=Dashboard!$AB$3,N(AW961)&lt;=Dashboard!$AB$3+6),(AW961-40000)*100000+BF961*10000+960,"")</f>
        <v/>
      </c>
      <c r="BN961">
        <f>IF(AND(BH961=1,AZ961&lt;&gt;"Cancelled"),BF961*10000+960,"")</f>
        <v/>
      </c>
    </row>
    <row r="962">
      <c r="AS962" t="inlineStr">
        <is>
          <t>R</t>
        </is>
      </c>
      <c r="AT962" t="n">
        <v>966</v>
      </c>
      <c r="AU962">
        <f>'Recurring Log'!C966&amp;""</f>
        <v/>
      </c>
      <c r="AV962">
        <f>'Recurring Log'!D966&amp;""</f>
        <v/>
      </c>
      <c r="AW962">
        <f>IF('Recurring Log'!E966="","",'Recurring Log'!E966)</f>
        <v/>
      </c>
      <c r="AX962">
        <f>IF('Recurring Log'!G966="","",'Recurring Log'!G966)</f>
        <v/>
      </c>
      <c r="AY962">
        <f>IF('Recurring Log'!H966="","",'Recurring Log'!H966)</f>
        <v/>
      </c>
      <c r="AZ962">
        <f>IF(AU962="","",IF('Recurring Log'!J966="","Not Started",'Recurring Log'!J966))</f>
        <v/>
      </c>
      <c r="BA962">
        <f>'Recurring Log'!L966&amp;""</f>
        <v/>
      </c>
      <c r="BB962">
        <f>'Recurring Log'!M966&amp;""</f>
        <v/>
      </c>
      <c r="BC962">
        <f>'Recurring Log'!N966&amp;""</f>
        <v/>
      </c>
      <c r="BD962">
        <f>'Recurring Log'!O966&amp;""</f>
        <v/>
      </c>
      <c r="BE962">
        <f>IF('Recurring Log'!K966="","",'Recurring Log'!K966)</f>
        <v/>
      </c>
      <c r="BF962">
        <f>IFERROR(MATCH(BA962,Setup!$L$6:$L$9,0),5)</f>
        <v/>
      </c>
      <c r="BG962">
        <f>IF(OR(AZ962="Done",AZ962="Cancelled"),1,0)</f>
        <v/>
      </c>
      <c r="BH962">
        <f>IF(AND(AU962&lt;&gt;"",ISNUMBER(AW962)),1,0)</f>
        <v/>
      </c>
      <c r="BI962">
        <f>IF(BH962=0,0,IF(AND(AW962&gt;='Tasks Filter'!$F$3,AW962&lt;='Tasks Filter'!$F$4,OR('Tasks Filter'!$I$3="",ISNUMBER(SEARCH('Tasks Filter'!$I$3,AU962))),OR('Tasks Filter'!$I$4="",BF962=IFERROR(MATCH('Tasks Filter'!$I$4,Setup!$L$6:$L$9,0),0)),OR('Tasks Filter'!$I$5="Both",AND('Tasks Filter'!$I$5="Yes",BB962="✓"),AND('Tasks Filter'!$I$5="No",BB962&lt;&gt;"✓")),OR('Tasks Filter'!$L$3="",AV962='Tasks Filter'!$L$3),OR('Tasks Filter'!$L$4="",AZ962='Tasks Filter'!$L$4),OR('Tasks Filter'!$L$5="",BC962='Tasks Filter'!$L$5),OR('Tasks Filter'!$O$3="",BD962='Tasks Filter'!$O$3),OR('Tasks Filter'!$O$4="Yes",BG962=0)),1,0))</f>
        <v/>
      </c>
      <c r="BJ962">
        <f>IF(BH962=0,"",IF('Tasks Filter'!$F$6="Descending",-1,1)*CHOOSE(MATCH('Tasks Filter'!$F$5,Lists!$G$2:$G$6,0),AW962,BF962,IFERROR(MATCH(AV962,Setup!$F$6:$F$15,0),99),IFERROR(MATCH(BC962,Setup!$H$6:$H$15,0),99),IFERROR(MATCH(AZ962,Setup!$J$6:$J$11,0),99))*1E+9+(AW962-40000)*10000+961)</f>
        <v/>
      </c>
      <c r="BK962">
        <f>IF(BI962=1,BJ962,"")</f>
        <v/>
      </c>
      <c r="BL962">
        <f>IF(AND(BH962=1,BG962=0,N(AW962)&lt;Setup!$D$7),(AW962-40000)*10000+961,"")</f>
        <v/>
      </c>
      <c r="BM962">
        <f>IF(AND(BH962=1,AZ962&lt;&gt;"Cancelled",N(AW962)&gt;=Dashboard!$AB$3,N(AW962)&lt;=Dashboard!$AB$3+6),(AW962-40000)*100000+BF962*10000+961,"")</f>
        <v/>
      </c>
      <c r="BN962">
        <f>IF(AND(BH962=1,AZ962&lt;&gt;"Cancelled"),BF962*10000+961,"")</f>
        <v/>
      </c>
    </row>
    <row r="963">
      <c r="AS963" t="inlineStr">
        <is>
          <t>R</t>
        </is>
      </c>
      <c r="AT963" t="n">
        <v>967</v>
      </c>
      <c r="AU963">
        <f>'Recurring Log'!C967&amp;""</f>
        <v/>
      </c>
      <c r="AV963">
        <f>'Recurring Log'!D967&amp;""</f>
        <v/>
      </c>
      <c r="AW963">
        <f>IF('Recurring Log'!E967="","",'Recurring Log'!E967)</f>
        <v/>
      </c>
      <c r="AX963">
        <f>IF('Recurring Log'!G967="","",'Recurring Log'!G967)</f>
        <v/>
      </c>
      <c r="AY963">
        <f>IF('Recurring Log'!H967="","",'Recurring Log'!H967)</f>
        <v/>
      </c>
      <c r="AZ963">
        <f>IF(AU963="","",IF('Recurring Log'!J967="","Not Started",'Recurring Log'!J967))</f>
        <v/>
      </c>
      <c r="BA963">
        <f>'Recurring Log'!L967&amp;""</f>
        <v/>
      </c>
      <c r="BB963">
        <f>'Recurring Log'!M967&amp;""</f>
        <v/>
      </c>
      <c r="BC963">
        <f>'Recurring Log'!N967&amp;""</f>
        <v/>
      </c>
      <c r="BD963">
        <f>'Recurring Log'!O967&amp;""</f>
        <v/>
      </c>
      <c r="BE963">
        <f>IF('Recurring Log'!K967="","",'Recurring Log'!K967)</f>
        <v/>
      </c>
      <c r="BF963">
        <f>IFERROR(MATCH(BA963,Setup!$L$6:$L$9,0),5)</f>
        <v/>
      </c>
      <c r="BG963">
        <f>IF(OR(AZ963="Done",AZ963="Cancelled"),1,0)</f>
        <v/>
      </c>
      <c r="BH963">
        <f>IF(AND(AU963&lt;&gt;"",ISNUMBER(AW963)),1,0)</f>
        <v/>
      </c>
      <c r="BI963">
        <f>IF(BH963=0,0,IF(AND(AW963&gt;='Tasks Filter'!$F$3,AW963&lt;='Tasks Filter'!$F$4,OR('Tasks Filter'!$I$3="",ISNUMBER(SEARCH('Tasks Filter'!$I$3,AU963))),OR('Tasks Filter'!$I$4="",BF963=IFERROR(MATCH('Tasks Filter'!$I$4,Setup!$L$6:$L$9,0),0)),OR('Tasks Filter'!$I$5="Both",AND('Tasks Filter'!$I$5="Yes",BB963="✓"),AND('Tasks Filter'!$I$5="No",BB963&lt;&gt;"✓")),OR('Tasks Filter'!$L$3="",AV963='Tasks Filter'!$L$3),OR('Tasks Filter'!$L$4="",AZ963='Tasks Filter'!$L$4),OR('Tasks Filter'!$L$5="",BC963='Tasks Filter'!$L$5),OR('Tasks Filter'!$O$3="",BD963='Tasks Filter'!$O$3),OR('Tasks Filter'!$O$4="Yes",BG963=0)),1,0))</f>
        <v/>
      </c>
      <c r="BJ963">
        <f>IF(BH963=0,"",IF('Tasks Filter'!$F$6="Descending",-1,1)*CHOOSE(MATCH('Tasks Filter'!$F$5,Lists!$G$2:$G$6,0),AW963,BF963,IFERROR(MATCH(AV963,Setup!$F$6:$F$15,0),99),IFERROR(MATCH(BC963,Setup!$H$6:$H$15,0),99),IFERROR(MATCH(AZ963,Setup!$J$6:$J$11,0),99))*1E+9+(AW963-40000)*10000+962)</f>
        <v/>
      </c>
      <c r="BK963">
        <f>IF(BI963=1,BJ963,"")</f>
        <v/>
      </c>
      <c r="BL963">
        <f>IF(AND(BH963=1,BG963=0,N(AW963)&lt;Setup!$D$7),(AW963-40000)*10000+962,"")</f>
        <v/>
      </c>
      <c r="BM963">
        <f>IF(AND(BH963=1,AZ963&lt;&gt;"Cancelled",N(AW963)&gt;=Dashboard!$AB$3,N(AW963)&lt;=Dashboard!$AB$3+6),(AW963-40000)*100000+BF963*10000+962,"")</f>
        <v/>
      </c>
      <c r="BN963">
        <f>IF(AND(BH963=1,AZ963&lt;&gt;"Cancelled"),BF963*10000+962,"")</f>
        <v/>
      </c>
    </row>
    <row r="964">
      <c r="AS964" t="inlineStr">
        <is>
          <t>R</t>
        </is>
      </c>
      <c r="AT964" t="n">
        <v>968</v>
      </c>
      <c r="AU964">
        <f>'Recurring Log'!C968&amp;""</f>
        <v/>
      </c>
      <c r="AV964">
        <f>'Recurring Log'!D968&amp;""</f>
        <v/>
      </c>
      <c r="AW964">
        <f>IF('Recurring Log'!E968="","",'Recurring Log'!E968)</f>
        <v/>
      </c>
      <c r="AX964">
        <f>IF('Recurring Log'!G968="","",'Recurring Log'!G968)</f>
        <v/>
      </c>
      <c r="AY964">
        <f>IF('Recurring Log'!H968="","",'Recurring Log'!H968)</f>
        <v/>
      </c>
      <c r="AZ964">
        <f>IF(AU964="","",IF('Recurring Log'!J968="","Not Started",'Recurring Log'!J968))</f>
        <v/>
      </c>
      <c r="BA964">
        <f>'Recurring Log'!L968&amp;""</f>
        <v/>
      </c>
      <c r="BB964">
        <f>'Recurring Log'!M968&amp;""</f>
        <v/>
      </c>
      <c r="BC964">
        <f>'Recurring Log'!N968&amp;""</f>
        <v/>
      </c>
      <c r="BD964">
        <f>'Recurring Log'!O968&amp;""</f>
        <v/>
      </c>
      <c r="BE964">
        <f>IF('Recurring Log'!K968="","",'Recurring Log'!K968)</f>
        <v/>
      </c>
      <c r="BF964">
        <f>IFERROR(MATCH(BA964,Setup!$L$6:$L$9,0),5)</f>
        <v/>
      </c>
      <c r="BG964">
        <f>IF(OR(AZ964="Done",AZ964="Cancelled"),1,0)</f>
        <v/>
      </c>
      <c r="BH964">
        <f>IF(AND(AU964&lt;&gt;"",ISNUMBER(AW964)),1,0)</f>
        <v/>
      </c>
      <c r="BI964">
        <f>IF(BH964=0,0,IF(AND(AW964&gt;='Tasks Filter'!$F$3,AW964&lt;='Tasks Filter'!$F$4,OR('Tasks Filter'!$I$3="",ISNUMBER(SEARCH('Tasks Filter'!$I$3,AU964))),OR('Tasks Filter'!$I$4="",BF964=IFERROR(MATCH('Tasks Filter'!$I$4,Setup!$L$6:$L$9,0),0)),OR('Tasks Filter'!$I$5="Both",AND('Tasks Filter'!$I$5="Yes",BB964="✓"),AND('Tasks Filter'!$I$5="No",BB964&lt;&gt;"✓")),OR('Tasks Filter'!$L$3="",AV964='Tasks Filter'!$L$3),OR('Tasks Filter'!$L$4="",AZ964='Tasks Filter'!$L$4),OR('Tasks Filter'!$L$5="",BC964='Tasks Filter'!$L$5),OR('Tasks Filter'!$O$3="",BD964='Tasks Filter'!$O$3),OR('Tasks Filter'!$O$4="Yes",BG964=0)),1,0))</f>
        <v/>
      </c>
      <c r="BJ964">
        <f>IF(BH964=0,"",IF('Tasks Filter'!$F$6="Descending",-1,1)*CHOOSE(MATCH('Tasks Filter'!$F$5,Lists!$G$2:$G$6,0),AW964,BF964,IFERROR(MATCH(AV964,Setup!$F$6:$F$15,0),99),IFERROR(MATCH(BC964,Setup!$H$6:$H$15,0),99),IFERROR(MATCH(AZ964,Setup!$J$6:$J$11,0),99))*1E+9+(AW964-40000)*10000+963)</f>
        <v/>
      </c>
      <c r="BK964">
        <f>IF(BI964=1,BJ964,"")</f>
        <v/>
      </c>
      <c r="BL964">
        <f>IF(AND(BH964=1,BG964=0,N(AW964)&lt;Setup!$D$7),(AW964-40000)*10000+963,"")</f>
        <v/>
      </c>
      <c r="BM964">
        <f>IF(AND(BH964=1,AZ964&lt;&gt;"Cancelled",N(AW964)&gt;=Dashboard!$AB$3,N(AW964)&lt;=Dashboard!$AB$3+6),(AW964-40000)*100000+BF964*10000+963,"")</f>
        <v/>
      </c>
      <c r="BN964">
        <f>IF(AND(BH964=1,AZ964&lt;&gt;"Cancelled"),BF964*10000+963,"")</f>
        <v/>
      </c>
    </row>
    <row r="965">
      <c r="AS965" t="inlineStr">
        <is>
          <t>R</t>
        </is>
      </c>
      <c r="AT965" t="n">
        <v>969</v>
      </c>
      <c r="AU965">
        <f>'Recurring Log'!C969&amp;""</f>
        <v/>
      </c>
      <c r="AV965">
        <f>'Recurring Log'!D969&amp;""</f>
        <v/>
      </c>
      <c r="AW965">
        <f>IF('Recurring Log'!E969="","",'Recurring Log'!E969)</f>
        <v/>
      </c>
      <c r="AX965">
        <f>IF('Recurring Log'!G969="","",'Recurring Log'!G969)</f>
        <v/>
      </c>
      <c r="AY965">
        <f>IF('Recurring Log'!H969="","",'Recurring Log'!H969)</f>
        <v/>
      </c>
      <c r="AZ965">
        <f>IF(AU965="","",IF('Recurring Log'!J969="","Not Started",'Recurring Log'!J969))</f>
        <v/>
      </c>
      <c r="BA965">
        <f>'Recurring Log'!L969&amp;""</f>
        <v/>
      </c>
      <c r="BB965">
        <f>'Recurring Log'!M969&amp;""</f>
        <v/>
      </c>
      <c r="BC965">
        <f>'Recurring Log'!N969&amp;""</f>
        <v/>
      </c>
      <c r="BD965">
        <f>'Recurring Log'!O969&amp;""</f>
        <v/>
      </c>
      <c r="BE965">
        <f>IF('Recurring Log'!K969="","",'Recurring Log'!K969)</f>
        <v/>
      </c>
      <c r="BF965">
        <f>IFERROR(MATCH(BA965,Setup!$L$6:$L$9,0),5)</f>
        <v/>
      </c>
      <c r="BG965">
        <f>IF(OR(AZ965="Done",AZ965="Cancelled"),1,0)</f>
        <v/>
      </c>
      <c r="BH965">
        <f>IF(AND(AU965&lt;&gt;"",ISNUMBER(AW965)),1,0)</f>
        <v/>
      </c>
      <c r="BI965">
        <f>IF(BH965=0,0,IF(AND(AW965&gt;='Tasks Filter'!$F$3,AW965&lt;='Tasks Filter'!$F$4,OR('Tasks Filter'!$I$3="",ISNUMBER(SEARCH('Tasks Filter'!$I$3,AU965))),OR('Tasks Filter'!$I$4="",BF965=IFERROR(MATCH('Tasks Filter'!$I$4,Setup!$L$6:$L$9,0),0)),OR('Tasks Filter'!$I$5="Both",AND('Tasks Filter'!$I$5="Yes",BB965="✓"),AND('Tasks Filter'!$I$5="No",BB965&lt;&gt;"✓")),OR('Tasks Filter'!$L$3="",AV965='Tasks Filter'!$L$3),OR('Tasks Filter'!$L$4="",AZ965='Tasks Filter'!$L$4),OR('Tasks Filter'!$L$5="",BC965='Tasks Filter'!$L$5),OR('Tasks Filter'!$O$3="",BD965='Tasks Filter'!$O$3),OR('Tasks Filter'!$O$4="Yes",BG965=0)),1,0))</f>
        <v/>
      </c>
      <c r="BJ965">
        <f>IF(BH965=0,"",IF('Tasks Filter'!$F$6="Descending",-1,1)*CHOOSE(MATCH('Tasks Filter'!$F$5,Lists!$G$2:$G$6,0),AW965,BF965,IFERROR(MATCH(AV965,Setup!$F$6:$F$15,0),99),IFERROR(MATCH(BC965,Setup!$H$6:$H$15,0),99),IFERROR(MATCH(AZ965,Setup!$J$6:$J$11,0),99))*1E+9+(AW965-40000)*10000+964)</f>
        <v/>
      </c>
      <c r="BK965">
        <f>IF(BI965=1,BJ965,"")</f>
        <v/>
      </c>
      <c r="BL965">
        <f>IF(AND(BH965=1,BG965=0,N(AW965)&lt;Setup!$D$7),(AW965-40000)*10000+964,"")</f>
        <v/>
      </c>
      <c r="BM965">
        <f>IF(AND(BH965=1,AZ965&lt;&gt;"Cancelled",N(AW965)&gt;=Dashboard!$AB$3,N(AW965)&lt;=Dashboard!$AB$3+6),(AW965-40000)*100000+BF965*10000+964,"")</f>
        <v/>
      </c>
      <c r="BN965">
        <f>IF(AND(BH965=1,AZ965&lt;&gt;"Cancelled"),BF965*10000+964,"")</f>
        <v/>
      </c>
    </row>
    <row r="966">
      <c r="AS966" t="inlineStr">
        <is>
          <t>R</t>
        </is>
      </c>
      <c r="AT966" t="n">
        <v>970</v>
      </c>
      <c r="AU966">
        <f>'Recurring Log'!C970&amp;""</f>
        <v/>
      </c>
      <c r="AV966">
        <f>'Recurring Log'!D970&amp;""</f>
        <v/>
      </c>
      <c r="AW966">
        <f>IF('Recurring Log'!E970="","",'Recurring Log'!E970)</f>
        <v/>
      </c>
      <c r="AX966">
        <f>IF('Recurring Log'!G970="","",'Recurring Log'!G970)</f>
        <v/>
      </c>
      <c r="AY966">
        <f>IF('Recurring Log'!H970="","",'Recurring Log'!H970)</f>
        <v/>
      </c>
      <c r="AZ966">
        <f>IF(AU966="","",IF('Recurring Log'!J970="","Not Started",'Recurring Log'!J970))</f>
        <v/>
      </c>
      <c r="BA966">
        <f>'Recurring Log'!L970&amp;""</f>
        <v/>
      </c>
      <c r="BB966">
        <f>'Recurring Log'!M970&amp;""</f>
        <v/>
      </c>
      <c r="BC966">
        <f>'Recurring Log'!N970&amp;""</f>
        <v/>
      </c>
      <c r="BD966">
        <f>'Recurring Log'!O970&amp;""</f>
        <v/>
      </c>
      <c r="BE966">
        <f>IF('Recurring Log'!K970="","",'Recurring Log'!K970)</f>
        <v/>
      </c>
      <c r="BF966">
        <f>IFERROR(MATCH(BA966,Setup!$L$6:$L$9,0),5)</f>
        <v/>
      </c>
      <c r="BG966">
        <f>IF(OR(AZ966="Done",AZ966="Cancelled"),1,0)</f>
        <v/>
      </c>
      <c r="BH966">
        <f>IF(AND(AU966&lt;&gt;"",ISNUMBER(AW966)),1,0)</f>
        <v/>
      </c>
      <c r="BI966">
        <f>IF(BH966=0,0,IF(AND(AW966&gt;='Tasks Filter'!$F$3,AW966&lt;='Tasks Filter'!$F$4,OR('Tasks Filter'!$I$3="",ISNUMBER(SEARCH('Tasks Filter'!$I$3,AU966))),OR('Tasks Filter'!$I$4="",BF966=IFERROR(MATCH('Tasks Filter'!$I$4,Setup!$L$6:$L$9,0),0)),OR('Tasks Filter'!$I$5="Both",AND('Tasks Filter'!$I$5="Yes",BB966="✓"),AND('Tasks Filter'!$I$5="No",BB966&lt;&gt;"✓")),OR('Tasks Filter'!$L$3="",AV966='Tasks Filter'!$L$3),OR('Tasks Filter'!$L$4="",AZ966='Tasks Filter'!$L$4),OR('Tasks Filter'!$L$5="",BC966='Tasks Filter'!$L$5),OR('Tasks Filter'!$O$3="",BD966='Tasks Filter'!$O$3),OR('Tasks Filter'!$O$4="Yes",BG966=0)),1,0))</f>
        <v/>
      </c>
      <c r="BJ966">
        <f>IF(BH966=0,"",IF('Tasks Filter'!$F$6="Descending",-1,1)*CHOOSE(MATCH('Tasks Filter'!$F$5,Lists!$G$2:$G$6,0),AW966,BF966,IFERROR(MATCH(AV966,Setup!$F$6:$F$15,0),99),IFERROR(MATCH(BC966,Setup!$H$6:$H$15,0),99),IFERROR(MATCH(AZ966,Setup!$J$6:$J$11,0),99))*1E+9+(AW966-40000)*10000+965)</f>
        <v/>
      </c>
      <c r="BK966">
        <f>IF(BI966=1,BJ966,"")</f>
        <v/>
      </c>
      <c r="BL966">
        <f>IF(AND(BH966=1,BG966=0,N(AW966)&lt;Setup!$D$7),(AW966-40000)*10000+965,"")</f>
        <v/>
      </c>
      <c r="BM966">
        <f>IF(AND(BH966=1,AZ966&lt;&gt;"Cancelled",N(AW966)&gt;=Dashboard!$AB$3,N(AW966)&lt;=Dashboard!$AB$3+6),(AW966-40000)*100000+BF966*10000+965,"")</f>
        <v/>
      </c>
      <c r="BN966">
        <f>IF(AND(BH966=1,AZ966&lt;&gt;"Cancelled"),BF966*10000+965,"")</f>
        <v/>
      </c>
    </row>
    <row r="967">
      <c r="AS967" t="inlineStr">
        <is>
          <t>R</t>
        </is>
      </c>
      <c r="AT967" t="n">
        <v>971</v>
      </c>
      <c r="AU967">
        <f>'Recurring Log'!C971&amp;""</f>
        <v/>
      </c>
      <c r="AV967">
        <f>'Recurring Log'!D971&amp;""</f>
        <v/>
      </c>
      <c r="AW967">
        <f>IF('Recurring Log'!E971="","",'Recurring Log'!E971)</f>
        <v/>
      </c>
      <c r="AX967">
        <f>IF('Recurring Log'!G971="","",'Recurring Log'!G971)</f>
        <v/>
      </c>
      <c r="AY967">
        <f>IF('Recurring Log'!H971="","",'Recurring Log'!H971)</f>
        <v/>
      </c>
      <c r="AZ967">
        <f>IF(AU967="","",IF('Recurring Log'!J971="","Not Started",'Recurring Log'!J971))</f>
        <v/>
      </c>
      <c r="BA967">
        <f>'Recurring Log'!L971&amp;""</f>
        <v/>
      </c>
      <c r="BB967">
        <f>'Recurring Log'!M971&amp;""</f>
        <v/>
      </c>
      <c r="BC967">
        <f>'Recurring Log'!N971&amp;""</f>
        <v/>
      </c>
      <c r="BD967">
        <f>'Recurring Log'!O971&amp;""</f>
        <v/>
      </c>
      <c r="BE967">
        <f>IF('Recurring Log'!K971="","",'Recurring Log'!K971)</f>
        <v/>
      </c>
      <c r="BF967">
        <f>IFERROR(MATCH(BA967,Setup!$L$6:$L$9,0),5)</f>
        <v/>
      </c>
      <c r="BG967">
        <f>IF(OR(AZ967="Done",AZ967="Cancelled"),1,0)</f>
        <v/>
      </c>
      <c r="BH967">
        <f>IF(AND(AU967&lt;&gt;"",ISNUMBER(AW967)),1,0)</f>
        <v/>
      </c>
      <c r="BI967">
        <f>IF(BH967=0,0,IF(AND(AW967&gt;='Tasks Filter'!$F$3,AW967&lt;='Tasks Filter'!$F$4,OR('Tasks Filter'!$I$3="",ISNUMBER(SEARCH('Tasks Filter'!$I$3,AU967))),OR('Tasks Filter'!$I$4="",BF967=IFERROR(MATCH('Tasks Filter'!$I$4,Setup!$L$6:$L$9,0),0)),OR('Tasks Filter'!$I$5="Both",AND('Tasks Filter'!$I$5="Yes",BB967="✓"),AND('Tasks Filter'!$I$5="No",BB967&lt;&gt;"✓")),OR('Tasks Filter'!$L$3="",AV967='Tasks Filter'!$L$3),OR('Tasks Filter'!$L$4="",AZ967='Tasks Filter'!$L$4),OR('Tasks Filter'!$L$5="",BC967='Tasks Filter'!$L$5),OR('Tasks Filter'!$O$3="",BD967='Tasks Filter'!$O$3),OR('Tasks Filter'!$O$4="Yes",BG967=0)),1,0))</f>
        <v/>
      </c>
      <c r="BJ967">
        <f>IF(BH967=0,"",IF('Tasks Filter'!$F$6="Descending",-1,1)*CHOOSE(MATCH('Tasks Filter'!$F$5,Lists!$G$2:$G$6,0),AW967,BF967,IFERROR(MATCH(AV967,Setup!$F$6:$F$15,0),99),IFERROR(MATCH(BC967,Setup!$H$6:$H$15,0),99),IFERROR(MATCH(AZ967,Setup!$J$6:$J$11,0),99))*1E+9+(AW967-40000)*10000+966)</f>
        <v/>
      </c>
      <c r="BK967">
        <f>IF(BI967=1,BJ967,"")</f>
        <v/>
      </c>
      <c r="BL967">
        <f>IF(AND(BH967=1,BG967=0,N(AW967)&lt;Setup!$D$7),(AW967-40000)*10000+966,"")</f>
        <v/>
      </c>
      <c r="BM967">
        <f>IF(AND(BH967=1,AZ967&lt;&gt;"Cancelled",N(AW967)&gt;=Dashboard!$AB$3,N(AW967)&lt;=Dashboard!$AB$3+6),(AW967-40000)*100000+BF967*10000+966,"")</f>
        <v/>
      </c>
      <c r="BN967">
        <f>IF(AND(BH967=1,AZ967&lt;&gt;"Cancelled"),BF967*10000+966,"")</f>
        <v/>
      </c>
    </row>
    <row r="968">
      <c r="AS968" t="inlineStr">
        <is>
          <t>R</t>
        </is>
      </c>
      <c r="AT968" t="n">
        <v>972</v>
      </c>
      <c r="AU968">
        <f>'Recurring Log'!C972&amp;""</f>
        <v/>
      </c>
      <c r="AV968">
        <f>'Recurring Log'!D972&amp;""</f>
        <v/>
      </c>
      <c r="AW968">
        <f>IF('Recurring Log'!E972="","",'Recurring Log'!E972)</f>
        <v/>
      </c>
      <c r="AX968">
        <f>IF('Recurring Log'!G972="","",'Recurring Log'!G972)</f>
        <v/>
      </c>
      <c r="AY968">
        <f>IF('Recurring Log'!H972="","",'Recurring Log'!H972)</f>
        <v/>
      </c>
      <c r="AZ968">
        <f>IF(AU968="","",IF('Recurring Log'!J972="","Not Started",'Recurring Log'!J972))</f>
        <v/>
      </c>
      <c r="BA968">
        <f>'Recurring Log'!L972&amp;""</f>
        <v/>
      </c>
      <c r="BB968">
        <f>'Recurring Log'!M972&amp;""</f>
        <v/>
      </c>
      <c r="BC968">
        <f>'Recurring Log'!N972&amp;""</f>
        <v/>
      </c>
      <c r="BD968">
        <f>'Recurring Log'!O972&amp;""</f>
        <v/>
      </c>
      <c r="BE968">
        <f>IF('Recurring Log'!K972="","",'Recurring Log'!K972)</f>
        <v/>
      </c>
      <c r="BF968">
        <f>IFERROR(MATCH(BA968,Setup!$L$6:$L$9,0),5)</f>
        <v/>
      </c>
      <c r="BG968">
        <f>IF(OR(AZ968="Done",AZ968="Cancelled"),1,0)</f>
        <v/>
      </c>
      <c r="BH968">
        <f>IF(AND(AU968&lt;&gt;"",ISNUMBER(AW968)),1,0)</f>
        <v/>
      </c>
      <c r="BI968">
        <f>IF(BH968=0,0,IF(AND(AW968&gt;='Tasks Filter'!$F$3,AW968&lt;='Tasks Filter'!$F$4,OR('Tasks Filter'!$I$3="",ISNUMBER(SEARCH('Tasks Filter'!$I$3,AU968))),OR('Tasks Filter'!$I$4="",BF968=IFERROR(MATCH('Tasks Filter'!$I$4,Setup!$L$6:$L$9,0),0)),OR('Tasks Filter'!$I$5="Both",AND('Tasks Filter'!$I$5="Yes",BB968="✓"),AND('Tasks Filter'!$I$5="No",BB968&lt;&gt;"✓")),OR('Tasks Filter'!$L$3="",AV968='Tasks Filter'!$L$3),OR('Tasks Filter'!$L$4="",AZ968='Tasks Filter'!$L$4),OR('Tasks Filter'!$L$5="",BC968='Tasks Filter'!$L$5),OR('Tasks Filter'!$O$3="",BD968='Tasks Filter'!$O$3),OR('Tasks Filter'!$O$4="Yes",BG968=0)),1,0))</f>
        <v/>
      </c>
      <c r="BJ968">
        <f>IF(BH968=0,"",IF('Tasks Filter'!$F$6="Descending",-1,1)*CHOOSE(MATCH('Tasks Filter'!$F$5,Lists!$G$2:$G$6,0),AW968,BF968,IFERROR(MATCH(AV968,Setup!$F$6:$F$15,0),99),IFERROR(MATCH(BC968,Setup!$H$6:$H$15,0),99),IFERROR(MATCH(AZ968,Setup!$J$6:$J$11,0),99))*1E+9+(AW968-40000)*10000+967)</f>
        <v/>
      </c>
      <c r="BK968">
        <f>IF(BI968=1,BJ968,"")</f>
        <v/>
      </c>
      <c r="BL968">
        <f>IF(AND(BH968=1,BG968=0,N(AW968)&lt;Setup!$D$7),(AW968-40000)*10000+967,"")</f>
        <v/>
      </c>
      <c r="BM968">
        <f>IF(AND(BH968=1,AZ968&lt;&gt;"Cancelled",N(AW968)&gt;=Dashboard!$AB$3,N(AW968)&lt;=Dashboard!$AB$3+6),(AW968-40000)*100000+BF968*10000+967,"")</f>
        <v/>
      </c>
      <c r="BN968">
        <f>IF(AND(BH968=1,AZ968&lt;&gt;"Cancelled"),BF968*10000+967,"")</f>
        <v/>
      </c>
    </row>
    <row r="969">
      <c r="AS969" t="inlineStr">
        <is>
          <t>R</t>
        </is>
      </c>
      <c r="AT969" t="n">
        <v>973</v>
      </c>
      <c r="AU969">
        <f>'Recurring Log'!C973&amp;""</f>
        <v/>
      </c>
      <c r="AV969">
        <f>'Recurring Log'!D973&amp;""</f>
        <v/>
      </c>
      <c r="AW969">
        <f>IF('Recurring Log'!E973="","",'Recurring Log'!E973)</f>
        <v/>
      </c>
      <c r="AX969">
        <f>IF('Recurring Log'!G973="","",'Recurring Log'!G973)</f>
        <v/>
      </c>
      <c r="AY969">
        <f>IF('Recurring Log'!H973="","",'Recurring Log'!H973)</f>
        <v/>
      </c>
      <c r="AZ969">
        <f>IF(AU969="","",IF('Recurring Log'!J973="","Not Started",'Recurring Log'!J973))</f>
        <v/>
      </c>
      <c r="BA969">
        <f>'Recurring Log'!L973&amp;""</f>
        <v/>
      </c>
      <c r="BB969">
        <f>'Recurring Log'!M973&amp;""</f>
        <v/>
      </c>
      <c r="BC969">
        <f>'Recurring Log'!N973&amp;""</f>
        <v/>
      </c>
      <c r="BD969">
        <f>'Recurring Log'!O973&amp;""</f>
        <v/>
      </c>
      <c r="BE969">
        <f>IF('Recurring Log'!K973="","",'Recurring Log'!K973)</f>
        <v/>
      </c>
      <c r="BF969">
        <f>IFERROR(MATCH(BA969,Setup!$L$6:$L$9,0),5)</f>
        <v/>
      </c>
      <c r="BG969">
        <f>IF(OR(AZ969="Done",AZ969="Cancelled"),1,0)</f>
        <v/>
      </c>
      <c r="BH969">
        <f>IF(AND(AU969&lt;&gt;"",ISNUMBER(AW969)),1,0)</f>
        <v/>
      </c>
      <c r="BI969">
        <f>IF(BH969=0,0,IF(AND(AW969&gt;='Tasks Filter'!$F$3,AW969&lt;='Tasks Filter'!$F$4,OR('Tasks Filter'!$I$3="",ISNUMBER(SEARCH('Tasks Filter'!$I$3,AU969))),OR('Tasks Filter'!$I$4="",BF969=IFERROR(MATCH('Tasks Filter'!$I$4,Setup!$L$6:$L$9,0),0)),OR('Tasks Filter'!$I$5="Both",AND('Tasks Filter'!$I$5="Yes",BB969="✓"),AND('Tasks Filter'!$I$5="No",BB969&lt;&gt;"✓")),OR('Tasks Filter'!$L$3="",AV969='Tasks Filter'!$L$3),OR('Tasks Filter'!$L$4="",AZ969='Tasks Filter'!$L$4),OR('Tasks Filter'!$L$5="",BC969='Tasks Filter'!$L$5),OR('Tasks Filter'!$O$3="",BD969='Tasks Filter'!$O$3),OR('Tasks Filter'!$O$4="Yes",BG969=0)),1,0))</f>
        <v/>
      </c>
      <c r="BJ969">
        <f>IF(BH969=0,"",IF('Tasks Filter'!$F$6="Descending",-1,1)*CHOOSE(MATCH('Tasks Filter'!$F$5,Lists!$G$2:$G$6,0),AW969,BF969,IFERROR(MATCH(AV969,Setup!$F$6:$F$15,0),99),IFERROR(MATCH(BC969,Setup!$H$6:$H$15,0),99),IFERROR(MATCH(AZ969,Setup!$J$6:$J$11,0),99))*1E+9+(AW969-40000)*10000+968)</f>
        <v/>
      </c>
      <c r="BK969">
        <f>IF(BI969=1,BJ969,"")</f>
        <v/>
      </c>
      <c r="BL969">
        <f>IF(AND(BH969=1,BG969=0,N(AW969)&lt;Setup!$D$7),(AW969-40000)*10000+968,"")</f>
        <v/>
      </c>
      <c r="BM969">
        <f>IF(AND(BH969=1,AZ969&lt;&gt;"Cancelled",N(AW969)&gt;=Dashboard!$AB$3,N(AW969)&lt;=Dashboard!$AB$3+6),(AW969-40000)*100000+BF969*10000+968,"")</f>
        <v/>
      </c>
      <c r="BN969">
        <f>IF(AND(BH969=1,AZ969&lt;&gt;"Cancelled"),BF969*10000+968,"")</f>
        <v/>
      </c>
    </row>
    <row r="970">
      <c r="AS970" t="inlineStr">
        <is>
          <t>R</t>
        </is>
      </c>
      <c r="AT970" t="n">
        <v>974</v>
      </c>
      <c r="AU970">
        <f>'Recurring Log'!C974&amp;""</f>
        <v/>
      </c>
      <c r="AV970">
        <f>'Recurring Log'!D974&amp;""</f>
        <v/>
      </c>
      <c r="AW970">
        <f>IF('Recurring Log'!E974="","",'Recurring Log'!E974)</f>
        <v/>
      </c>
      <c r="AX970">
        <f>IF('Recurring Log'!G974="","",'Recurring Log'!G974)</f>
        <v/>
      </c>
      <c r="AY970">
        <f>IF('Recurring Log'!H974="","",'Recurring Log'!H974)</f>
        <v/>
      </c>
      <c r="AZ970">
        <f>IF(AU970="","",IF('Recurring Log'!J974="","Not Started",'Recurring Log'!J974))</f>
        <v/>
      </c>
      <c r="BA970">
        <f>'Recurring Log'!L974&amp;""</f>
        <v/>
      </c>
      <c r="BB970">
        <f>'Recurring Log'!M974&amp;""</f>
        <v/>
      </c>
      <c r="BC970">
        <f>'Recurring Log'!N974&amp;""</f>
        <v/>
      </c>
      <c r="BD970">
        <f>'Recurring Log'!O974&amp;""</f>
        <v/>
      </c>
      <c r="BE970">
        <f>IF('Recurring Log'!K974="","",'Recurring Log'!K974)</f>
        <v/>
      </c>
      <c r="BF970">
        <f>IFERROR(MATCH(BA970,Setup!$L$6:$L$9,0),5)</f>
        <v/>
      </c>
      <c r="BG970">
        <f>IF(OR(AZ970="Done",AZ970="Cancelled"),1,0)</f>
        <v/>
      </c>
      <c r="BH970">
        <f>IF(AND(AU970&lt;&gt;"",ISNUMBER(AW970)),1,0)</f>
        <v/>
      </c>
      <c r="BI970">
        <f>IF(BH970=0,0,IF(AND(AW970&gt;='Tasks Filter'!$F$3,AW970&lt;='Tasks Filter'!$F$4,OR('Tasks Filter'!$I$3="",ISNUMBER(SEARCH('Tasks Filter'!$I$3,AU970))),OR('Tasks Filter'!$I$4="",BF970=IFERROR(MATCH('Tasks Filter'!$I$4,Setup!$L$6:$L$9,0),0)),OR('Tasks Filter'!$I$5="Both",AND('Tasks Filter'!$I$5="Yes",BB970="✓"),AND('Tasks Filter'!$I$5="No",BB970&lt;&gt;"✓")),OR('Tasks Filter'!$L$3="",AV970='Tasks Filter'!$L$3),OR('Tasks Filter'!$L$4="",AZ970='Tasks Filter'!$L$4),OR('Tasks Filter'!$L$5="",BC970='Tasks Filter'!$L$5),OR('Tasks Filter'!$O$3="",BD970='Tasks Filter'!$O$3),OR('Tasks Filter'!$O$4="Yes",BG970=0)),1,0))</f>
        <v/>
      </c>
      <c r="BJ970">
        <f>IF(BH970=0,"",IF('Tasks Filter'!$F$6="Descending",-1,1)*CHOOSE(MATCH('Tasks Filter'!$F$5,Lists!$G$2:$G$6,0),AW970,BF970,IFERROR(MATCH(AV970,Setup!$F$6:$F$15,0),99),IFERROR(MATCH(BC970,Setup!$H$6:$H$15,0),99),IFERROR(MATCH(AZ970,Setup!$J$6:$J$11,0),99))*1E+9+(AW970-40000)*10000+969)</f>
        <v/>
      </c>
      <c r="BK970">
        <f>IF(BI970=1,BJ970,"")</f>
        <v/>
      </c>
      <c r="BL970">
        <f>IF(AND(BH970=1,BG970=0,N(AW970)&lt;Setup!$D$7),(AW970-40000)*10000+969,"")</f>
        <v/>
      </c>
      <c r="BM970">
        <f>IF(AND(BH970=1,AZ970&lt;&gt;"Cancelled",N(AW970)&gt;=Dashboard!$AB$3,N(AW970)&lt;=Dashboard!$AB$3+6),(AW970-40000)*100000+BF970*10000+969,"")</f>
        <v/>
      </c>
      <c r="BN970">
        <f>IF(AND(BH970=1,AZ970&lt;&gt;"Cancelled"),BF970*10000+969,"")</f>
        <v/>
      </c>
    </row>
    <row r="971">
      <c r="AS971" t="inlineStr">
        <is>
          <t>R</t>
        </is>
      </c>
      <c r="AT971" t="n">
        <v>975</v>
      </c>
      <c r="AU971">
        <f>'Recurring Log'!C975&amp;""</f>
        <v/>
      </c>
      <c r="AV971">
        <f>'Recurring Log'!D975&amp;""</f>
        <v/>
      </c>
      <c r="AW971">
        <f>IF('Recurring Log'!E975="","",'Recurring Log'!E975)</f>
        <v/>
      </c>
      <c r="AX971">
        <f>IF('Recurring Log'!G975="","",'Recurring Log'!G975)</f>
        <v/>
      </c>
      <c r="AY971">
        <f>IF('Recurring Log'!H975="","",'Recurring Log'!H975)</f>
        <v/>
      </c>
      <c r="AZ971">
        <f>IF(AU971="","",IF('Recurring Log'!J975="","Not Started",'Recurring Log'!J975))</f>
        <v/>
      </c>
      <c r="BA971">
        <f>'Recurring Log'!L975&amp;""</f>
        <v/>
      </c>
      <c r="BB971">
        <f>'Recurring Log'!M975&amp;""</f>
        <v/>
      </c>
      <c r="BC971">
        <f>'Recurring Log'!N975&amp;""</f>
        <v/>
      </c>
      <c r="BD971">
        <f>'Recurring Log'!O975&amp;""</f>
        <v/>
      </c>
      <c r="BE971">
        <f>IF('Recurring Log'!K975="","",'Recurring Log'!K975)</f>
        <v/>
      </c>
      <c r="BF971">
        <f>IFERROR(MATCH(BA971,Setup!$L$6:$L$9,0),5)</f>
        <v/>
      </c>
      <c r="BG971">
        <f>IF(OR(AZ971="Done",AZ971="Cancelled"),1,0)</f>
        <v/>
      </c>
      <c r="BH971">
        <f>IF(AND(AU971&lt;&gt;"",ISNUMBER(AW971)),1,0)</f>
        <v/>
      </c>
      <c r="BI971">
        <f>IF(BH971=0,0,IF(AND(AW971&gt;='Tasks Filter'!$F$3,AW971&lt;='Tasks Filter'!$F$4,OR('Tasks Filter'!$I$3="",ISNUMBER(SEARCH('Tasks Filter'!$I$3,AU971))),OR('Tasks Filter'!$I$4="",BF971=IFERROR(MATCH('Tasks Filter'!$I$4,Setup!$L$6:$L$9,0),0)),OR('Tasks Filter'!$I$5="Both",AND('Tasks Filter'!$I$5="Yes",BB971="✓"),AND('Tasks Filter'!$I$5="No",BB971&lt;&gt;"✓")),OR('Tasks Filter'!$L$3="",AV971='Tasks Filter'!$L$3),OR('Tasks Filter'!$L$4="",AZ971='Tasks Filter'!$L$4),OR('Tasks Filter'!$L$5="",BC971='Tasks Filter'!$L$5),OR('Tasks Filter'!$O$3="",BD971='Tasks Filter'!$O$3),OR('Tasks Filter'!$O$4="Yes",BG971=0)),1,0))</f>
        <v/>
      </c>
      <c r="BJ971">
        <f>IF(BH971=0,"",IF('Tasks Filter'!$F$6="Descending",-1,1)*CHOOSE(MATCH('Tasks Filter'!$F$5,Lists!$G$2:$G$6,0),AW971,BF971,IFERROR(MATCH(AV971,Setup!$F$6:$F$15,0),99),IFERROR(MATCH(BC971,Setup!$H$6:$H$15,0),99),IFERROR(MATCH(AZ971,Setup!$J$6:$J$11,0),99))*1E+9+(AW971-40000)*10000+970)</f>
        <v/>
      </c>
      <c r="BK971">
        <f>IF(BI971=1,BJ971,"")</f>
        <v/>
      </c>
      <c r="BL971">
        <f>IF(AND(BH971=1,BG971=0,N(AW971)&lt;Setup!$D$7),(AW971-40000)*10000+970,"")</f>
        <v/>
      </c>
      <c r="BM971">
        <f>IF(AND(BH971=1,AZ971&lt;&gt;"Cancelled",N(AW971)&gt;=Dashboard!$AB$3,N(AW971)&lt;=Dashboard!$AB$3+6),(AW971-40000)*100000+BF971*10000+970,"")</f>
        <v/>
      </c>
      <c r="BN971">
        <f>IF(AND(BH971=1,AZ971&lt;&gt;"Cancelled"),BF971*10000+970,"")</f>
        <v/>
      </c>
    </row>
    <row r="972">
      <c r="AS972" t="inlineStr">
        <is>
          <t>R</t>
        </is>
      </c>
      <c r="AT972" t="n">
        <v>976</v>
      </c>
      <c r="AU972">
        <f>'Recurring Log'!C976&amp;""</f>
        <v/>
      </c>
      <c r="AV972">
        <f>'Recurring Log'!D976&amp;""</f>
        <v/>
      </c>
      <c r="AW972">
        <f>IF('Recurring Log'!E976="","",'Recurring Log'!E976)</f>
        <v/>
      </c>
      <c r="AX972">
        <f>IF('Recurring Log'!G976="","",'Recurring Log'!G976)</f>
        <v/>
      </c>
      <c r="AY972">
        <f>IF('Recurring Log'!H976="","",'Recurring Log'!H976)</f>
        <v/>
      </c>
      <c r="AZ972">
        <f>IF(AU972="","",IF('Recurring Log'!J976="","Not Started",'Recurring Log'!J976))</f>
        <v/>
      </c>
      <c r="BA972">
        <f>'Recurring Log'!L976&amp;""</f>
        <v/>
      </c>
      <c r="BB972">
        <f>'Recurring Log'!M976&amp;""</f>
        <v/>
      </c>
      <c r="BC972">
        <f>'Recurring Log'!N976&amp;""</f>
        <v/>
      </c>
      <c r="BD972">
        <f>'Recurring Log'!O976&amp;""</f>
        <v/>
      </c>
      <c r="BE972">
        <f>IF('Recurring Log'!K976="","",'Recurring Log'!K976)</f>
        <v/>
      </c>
      <c r="BF972">
        <f>IFERROR(MATCH(BA972,Setup!$L$6:$L$9,0),5)</f>
        <v/>
      </c>
      <c r="BG972">
        <f>IF(OR(AZ972="Done",AZ972="Cancelled"),1,0)</f>
        <v/>
      </c>
      <c r="BH972">
        <f>IF(AND(AU972&lt;&gt;"",ISNUMBER(AW972)),1,0)</f>
        <v/>
      </c>
      <c r="BI972">
        <f>IF(BH972=0,0,IF(AND(AW972&gt;='Tasks Filter'!$F$3,AW972&lt;='Tasks Filter'!$F$4,OR('Tasks Filter'!$I$3="",ISNUMBER(SEARCH('Tasks Filter'!$I$3,AU972))),OR('Tasks Filter'!$I$4="",BF972=IFERROR(MATCH('Tasks Filter'!$I$4,Setup!$L$6:$L$9,0),0)),OR('Tasks Filter'!$I$5="Both",AND('Tasks Filter'!$I$5="Yes",BB972="✓"),AND('Tasks Filter'!$I$5="No",BB972&lt;&gt;"✓")),OR('Tasks Filter'!$L$3="",AV972='Tasks Filter'!$L$3),OR('Tasks Filter'!$L$4="",AZ972='Tasks Filter'!$L$4),OR('Tasks Filter'!$L$5="",BC972='Tasks Filter'!$L$5),OR('Tasks Filter'!$O$3="",BD972='Tasks Filter'!$O$3),OR('Tasks Filter'!$O$4="Yes",BG972=0)),1,0))</f>
        <v/>
      </c>
      <c r="BJ972">
        <f>IF(BH972=0,"",IF('Tasks Filter'!$F$6="Descending",-1,1)*CHOOSE(MATCH('Tasks Filter'!$F$5,Lists!$G$2:$G$6,0),AW972,BF972,IFERROR(MATCH(AV972,Setup!$F$6:$F$15,0),99),IFERROR(MATCH(BC972,Setup!$H$6:$H$15,0),99),IFERROR(MATCH(AZ972,Setup!$J$6:$J$11,0),99))*1E+9+(AW972-40000)*10000+971)</f>
        <v/>
      </c>
      <c r="BK972">
        <f>IF(BI972=1,BJ972,"")</f>
        <v/>
      </c>
      <c r="BL972">
        <f>IF(AND(BH972=1,BG972=0,N(AW972)&lt;Setup!$D$7),(AW972-40000)*10000+971,"")</f>
        <v/>
      </c>
      <c r="BM972">
        <f>IF(AND(BH972=1,AZ972&lt;&gt;"Cancelled",N(AW972)&gt;=Dashboard!$AB$3,N(AW972)&lt;=Dashboard!$AB$3+6),(AW972-40000)*100000+BF972*10000+971,"")</f>
        <v/>
      </c>
      <c r="BN972">
        <f>IF(AND(BH972=1,AZ972&lt;&gt;"Cancelled"),BF972*10000+971,"")</f>
        <v/>
      </c>
    </row>
    <row r="973">
      <c r="AS973" t="inlineStr">
        <is>
          <t>R</t>
        </is>
      </c>
      <c r="AT973" t="n">
        <v>977</v>
      </c>
      <c r="AU973">
        <f>'Recurring Log'!C977&amp;""</f>
        <v/>
      </c>
      <c r="AV973">
        <f>'Recurring Log'!D977&amp;""</f>
        <v/>
      </c>
      <c r="AW973">
        <f>IF('Recurring Log'!E977="","",'Recurring Log'!E977)</f>
        <v/>
      </c>
      <c r="AX973">
        <f>IF('Recurring Log'!G977="","",'Recurring Log'!G977)</f>
        <v/>
      </c>
      <c r="AY973">
        <f>IF('Recurring Log'!H977="","",'Recurring Log'!H977)</f>
        <v/>
      </c>
      <c r="AZ973">
        <f>IF(AU973="","",IF('Recurring Log'!J977="","Not Started",'Recurring Log'!J977))</f>
        <v/>
      </c>
      <c r="BA973">
        <f>'Recurring Log'!L977&amp;""</f>
        <v/>
      </c>
      <c r="BB973">
        <f>'Recurring Log'!M977&amp;""</f>
        <v/>
      </c>
      <c r="BC973">
        <f>'Recurring Log'!N977&amp;""</f>
        <v/>
      </c>
      <c r="BD973">
        <f>'Recurring Log'!O977&amp;""</f>
        <v/>
      </c>
      <c r="BE973">
        <f>IF('Recurring Log'!K977="","",'Recurring Log'!K977)</f>
        <v/>
      </c>
      <c r="BF973">
        <f>IFERROR(MATCH(BA973,Setup!$L$6:$L$9,0),5)</f>
        <v/>
      </c>
      <c r="BG973">
        <f>IF(OR(AZ973="Done",AZ973="Cancelled"),1,0)</f>
        <v/>
      </c>
      <c r="BH973">
        <f>IF(AND(AU973&lt;&gt;"",ISNUMBER(AW973)),1,0)</f>
        <v/>
      </c>
      <c r="BI973">
        <f>IF(BH973=0,0,IF(AND(AW973&gt;='Tasks Filter'!$F$3,AW973&lt;='Tasks Filter'!$F$4,OR('Tasks Filter'!$I$3="",ISNUMBER(SEARCH('Tasks Filter'!$I$3,AU973))),OR('Tasks Filter'!$I$4="",BF973=IFERROR(MATCH('Tasks Filter'!$I$4,Setup!$L$6:$L$9,0),0)),OR('Tasks Filter'!$I$5="Both",AND('Tasks Filter'!$I$5="Yes",BB973="✓"),AND('Tasks Filter'!$I$5="No",BB973&lt;&gt;"✓")),OR('Tasks Filter'!$L$3="",AV973='Tasks Filter'!$L$3),OR('Tasks Filter'!$L$4="",AZ973='Tasks Filter'!$L$4),OR('Tasks Filter'!$L$5="",BC973='Tasks Filter'!$L$5),OR('Tasks Filter'!$O$3="",BD973='Tasks Filter'!$O$3),OR('Tasks Filter'!$O$4="Yes",BG973=0)),1,0))</f>
        <v/>
      </c>
      <c r="BJ973">
        <f>IF(BH973=0,"",IF('Tasks Filter'!$F$6="Descending",-1,1)*CHOOSE(MATCH('Tasks Filter'!$F$5,Lists!$G$2:$G$6,0),AW973,BF973,IFERROR(MATCH(AV973,Setup!$F$6:$F$15,0),99),IFERROR(MATCH(BC973,Setup!$H$6:$H$15,0),99),IFERROR(MATCH(AZ973,Setup!$J$6:$J$11,0),99))*1E+9+(AW973-40000)*10000+972)</f>
        <v/>
      </c>
      <c r="BK973">
        <f>IF(BI973=1,BJ973,"")</f>
        <v/>
      </c>
      <c r="BL973">
        <f>IF(AND(BH973=1,BG973=0,N(AW973)&lt;Setup!$D$7),(AW973-40000)*10000+972,"")</f>
        <v/>
      </c>
      <c r="BM973">
        <f>IF(AND(BH973=1,AZ973&lt;&gt;"Cancelled",N(AW973)&gt;=Dashboard!$AB$3,N(AW973)&lt;=Dashboard!$AB$3+6),(AW973-40000)*100000+BF973*10000+972,"")</f>
        <v/>
      </c>
      <c r="BN973">
        <f>IF(AND(BH973=1,AZ973&lt;&gt;"Cancelled"),BF973*10000+972,"")</f>
        <v/>
      </c>
    </row>
    <row r="974">
      <c r="AS974" t="inlineStr">
        <is>
          <t>R</t>
        </is>
      </c>
      <c r="AT974" t="n">
        <v>978</v>
      </c>
      <c r="AU974">
        <f>'Recurring Log'!C978&amp;""</f>
        <v/>
      </c>
      <c r="AV974">
        <f>'Recurring Log'!D978&amp;""</f>
        <v/>
      </c>
      <c r="AW974">
        <f>IF('Recurring Log'!E978="","",'Recurring Log'!E978)</f>
        <v/>
      </c>
      <c r="AX974">
        <f>IF('Recurring Log'!G978="","",'Recurring Log'!G978)</f>
        <v/>
      </c>
      <c r="AY974">
        <f>IF('Recurring Log'!H978="","",'Recurring Log'!H978)</f>
        <v/>
      </c>
      <c r="AZ974">
        <f>IF(AU974="","",IF('Recurring Log'!J978="","Not Started",'Recurring Log'!J978))</f>
        <v/>
      </c>
      <c r="BA974">
        <f>'Recurring Log'!L978&amp;""</f>
        <v/>
      </c>
      <c r="BB974">
        <f>'Recurring Log'!M978&amp;""</f>
        <v/>
      </c>
      <c r="BC974">
        <f>'Recurring Log'!N978&amp;""</f>
        <v/>
      </c>
      <c r="BD974">
        <f>'Recurring Log'!O978&amp;""</f>
        <v/>
      </c>
      <c r="BE974">
        <f>IF('Recurring Log'!K978="","",'Recurring Log'!K978)</f>
        <v/>
      </c>
      <c r="BF974">
        <f>IFERROR(MATCH(BA974,Setup!$L$6:$L$9,0),5)</f>
        <v/>
      </c>
      <c r="BG974">
        <f>IF(OR(AZ974="Done",AZ974="Cancelled"),1,0)</f>
        <v/>
      </c>
      <c r="BH974">
        <f>IF(AND(AU974&lt;&gt;"",ISNUMBER(AW974)),1,0)</f>
        <v/>
      </c>
      <c r="BI974">
        <f>IF(BH974=0,0,IF(AND(AW974&gt;='Tasks Filter'!$F$3,AW974&lt;='Tasks Filter'!$F$4,OR('Tasks Filter'!$I$3="",ISNUMBER(SEARCH('Tasks Filter'!$I$3,AU974))),OR('Tasks Filter'!$I$4="",BF974=IFERROR(MATCH('Tasks Filter'!$I$4,Setup!$L$6:$L$9,0),0)),OR('Tasks Filter'!$I$5="Both",AND('Tasks Filter'!$I$5="Yes",BB974="✓"),AND('Tasks Filter'!$I$5="No",BB974&lt;&gt;"✓")),OR('Tasks Filter'!$L$3="",AV974='Tasks Filter'!$L$3),OR('Tasks Filter'!$L$4="",AZ974='Tasks Filter'!$L$4),OR('Tasks Filter'!$L$5="",BC974='Tasks Filter'!$L$5),OR('Tasks Filter'!$O$3="",BD974='Tasks Filter'!$O$3),OR('Tasks Filter'!$O$4="Yes",BG974=0)),1,0))</f>
        <v/>
      </c>
      <c r="BJ974">
        <f>IF(BH974=0,"",IF('Tasks Filter'!$F$6="Descending",-1,1)*CHOOSE(MATCH('Tasks Filter'!$F$5,Lists!$G$2:$G$6,0),AW974,BF974,IFERROR(MATCH(AV974,Setup!$F$6:$F$15,0),99),IFERROR(MATCH(BC974,Setup!$H$6:$H$15,0),99),IFERROR(MATCH(AZ974,Setup!$J$6:$J$11,0),99))*1E+9+(AW974-40000)*10000+973)</f>
        <v/>
      </c>
      <c r="BK974">
        <f>IF(BI974=1,BJ974,"")</f>
        <v/>
      </c>
      <c r="BL974">
        <f>IF(AND(BH974=1,BG974=0,N(AW974)&lt;Setup!$D$7),(AW974-40000)*10000+973,"")</f>
        <v/>
      </c>
      <c r="BM974">
        <f>IF(AND(BH974=1,AZ974&lt;&gt;"Cancelled",N(AW974)&gt;=Dashboard!$AB$3,N(AW974)&lt;=Dashboard!$AB$3+6),(AW974-40000)*100000+BF974*10000+973,"")</f>
        <v/>
      </c>
      <c r="BN974">
        <f>IF(AND(BH974=1,AZ974&lt;&gt;"Cancelled"),BF974*10000+973,"")</f>
        <v/>
      </c>
    </row>
    <row r="975">
      <c r="AS975" t="inlineStr">
        <is>
          <t>R</t>
        </is>
      </c>
      <c r="AT975" t="n">
        <v>979</v>
      </c>
      <c r="AU975">
        <f>'Recurring Log'!C979&amp;""</f>
        <v/>
      </c>
      <c r="AV975">
        <f>'Recurring Log'!D979&amp;""</f>
        <v/>
      </c>
      <c r="AW975">
        <f>IF('Recurring Log'!E979="","",'Recurring Log'!E979)</f>
        <v/>
      </c>
      <c r="AX975">
        <f>IF('Recurring Log'!G979="","",'Recurring Log'!G979)</f>
        <v/>
      </c>
      <c r="AY975">
        <f>IF('Recurring Log'!H979="","",'Recurring Log'!H979)</f>
        <v/>
      </c>
      <c r="AZ975">
        <f>IF(AU975="","",IF('Recurring Log'!J979="","Not Started",'Recurring Log'!J979))</f>
        <v/>
      </c>
      <c r="BA975">
        <f>'Recurring Log'!L979&amp;""</f>
        <v/>
      </c>
      <c r="BB975">
        <f>'Recurring Log'!M979&amp;""</f>
        <v/>
      </c>
      <c r="BC975">
        <f>'Recurring Log'!N979&amp;""</f>
        <v/>
      </c>
      <c r="BD975">
        <f>'Recurring Log'!O979&amp;""</f>
        <v/>
      </c>
      <c r="BE975">
        <f>IF('Recurring Log'!K979="","",'Recurring Log'!K979)</f>
        <v/>
      </c>
      <c r="BF975">
        <f>IFERROR(MATCH(BA975,Setup!$L$6:$L$9,0),5)</f>
        <v/>
      </c>
      <c r="BG975">
        <f>IF(OR(AZ975="Done",AZ975="Cancelled"),1,0)</f>
        <v/>
      </c>
      <c r="BH975">
        <f>IF(AND(AU975&lt;&gt;"",ISNUMBER(AW975)),1,0)</f>
        <v/>
      </c>
      <c r="BI975">
        <f>IF(BH975=0,0,IF(AND(AW975&gt;='Tasks Filter'!$F$3,AW975&lt;='Tasks Filter'!$F$4,OR('Tasks Filter'!$I$3="",ISNUMBER(SEARCH('Tasks Filter'!$I$3,AU975))),OR('Tasks Filter'!$I$4="",BF975=IFERROR(MATCH('Tasks Filter'!$I$4,Setup!$L$6:$L$9,0),0)),OR('Tasks Filter'!$I$5="Both",AND('Tasks Filter'!$I$5="Yes",BB975="✓"),AND('Tasks Filter'!$I$5="No",BB975&lt;&gt;"✓")),OR('Tasks Filter'!$L$3="",AV975='Tasks Filter'!$L$3),OR('Tasks Filter'!$L$4="",AZ975='Tasks Filter'!$L$4),OR('Tasks Filter'!$L$5="",BC975='Tasks Filter'!$L$5),OR('Tasks Filter'!$O$3="",BD975='Tasks Filter'!$O$3),OR('Tasks Filter'!$O$4="Yes",BG975=0)),1,0))</f>
        <v/>
      </c>
      <c r="BJ975">
        <f>IF(BH975=0,"",IF('Tasks Filter'!$F$6="Descending",-1,1)*CHOOSE(MATCH('Tasks Filter'!$F$5,Lists!$G$2:$G$6,0),AW975,BF975,IFERROR(MATCH(AV975,Setup!$F$6:$F$15,0),99),IFERROR(MATCH(BC975,Setup!$H$6:$H$15,0),99),IFERROR(MATCH(AZ975,Setup!$J$6:$J$11,0),99))*1E+9+(AW975-40000)*10000+974)</f>
        <v/>
      </c>
      <c r="BK975">
        <f>IF(BI975=1,BJ975,"")</f>
        <v/>
      </c>
      <c r="BL975">
        <f>IF(AND(BH975=1,BG975=0,N(AW975)&lt;Setup!$D$7),(AW975-40000)*10000+974,"")</f>
        <v/>
      </c>
      <c r="BM975">
        <f>IF(AND(BH975=1,AZ975&lt;&gt;"Cancelled",N(AW975)&gt;=Dashboard!$AB$3,N(AW975)&lt;=Dashboard!$AB$3+6),(AW975-40000)*100000+BF975*10000+974,"")</f>
        <v/>
      </c>
      <c r="BN975">
        <f>IF(AND(BH975=1,AZ975&lt;&gt;"Cancelled"),BF975*10000+974,"")</f>
        <v/>
      </c>
    </row>
    <row r="976">
      <c r="AS976" t="inlineStr">
        <is>
          <t>R</t>
        </is>
      </c>
      <c r="AT976" t="n">
        <v>980</v>
      </c>
      <c r="AU976">
        <f>'Recurring Log'!C980&amp;""</f>
        <v/>
      </c>
      <c r="AV976">
        <f>'Recurring Log'!D980&amp;""</f>
        <v/>
      </c>
      <c r="AW976">
        <f>IF('Recurring Log'!E980="","",'Recurring Log'!E980)</f>
        <v/>
      </c>
      <c r="AX976">
        <f>IF('Recurring Log'!G980="","",'Recurring Log'!G980)</f>
        <v/>
      </c>
      <c r="AY976">
        <f>IF('Recurring Log'!H980="","",'Recurring Log'!H980)</f>
        <v/>
      </c>
      <c r="AZ976">
        <f>IF(AU976="","",IF('Recurring Log'!J980="","Not Started",'Recurring Log'!J980))</f>
        <v/>
      </c>
      <c r="BA976">
        <f>'Recurring Log'!L980&amp;""</f>
        <v/>
      </c>
      <c r="BB976">
        <f>'Recurring Log'!M980&amp;""</f>
        <v/>
      </c>
      <c r="BC976">
        <f>'Recurring Log'!N980&amp;""</f>
        <v/>
      </c>
      <c r="BD976">
        <f>'Recurring Log'!O980&amp;""</f>
        <v/>
      </c>
      <c r="BE976">
        <f>IF('Recurring Log'!K980="","",'Recurring Log'!K980)</f>
        <v/>
      </c>
      <c r="BF976">
        <f>IFERROR(MATCH(BA976,Setup!$L$6:$L$9,0),5)</f>
        <v/>
      </c>
      <c r="BG976">
        <f>IF(OR(AZ976="Done",AZ976="Cancelled"),1,0)</f>
        <v/>
      </c>
      <c r="BH976">
        <f>IF(AND(AU976&lt;&gt;"",ISNUMBER(AW976)),1,0)</f>
        <v/>
      </c>
      <c r="BI976">
        <f>IF(BH976=0,0,IF(AND(AW976&gt;='Tasks Filter'!$F$3,AW976&lt;='Tasks Filter'!$F$4,OR('Tasks Filter'!$I$3="",ISNUMBER(SEARCH('Tasks Filter'!$I$3,AU976))),OR('Tasks Filter'!$I$4="",BF976=IFERROR(MATCH('Tasks Filter'!$I$4,Setup!$L$6:$L$9,0),0)),OR('Tasks Filter'!$I$5="Both",AND('Tasks Filter'!$I$5="Yes",BB976="✓"),AND('Tasks Filter'!$I$5="No",BB976&lt;&gt;"✓")),OR('Tasks Filter'!$L$3="",AV976='Tasks Filter'!$L$3),OR('Tasks Filter'!$L$4="",AZ976='Tasks Filter'!$L$4),OR('Tasks Filter'!$L$5="",BC976='Tasks Filter'!$L$5),OR('Tasks Filter'!$O$3="",BD976='Tasks Filter'!$O$3),OR('Tasks Filter'!$O$4="Yes",BG976=0)),1,0))</f>
        <v/>
      </c>
      <c r="BJ976">
        <f>IF(BH976=0,"",IF('Tasks Filter'!$F$6="Descending",-1,1)*CHOOSE(MATCH('Tasks Filter'!$F$5,Lists!$G$2:$G$6,0),AW976,BF976,IFERROR(MATCH(AV976,Setup!$F$6:$F$15,0),99),IFERROR(MATCH(BC976,Setup!$H$6:$H$15,0),99),IFERROR(MATCH(AZ976,Setup!$J$6:$J$11,0),99))*1E+9+(AW976-40000)*10000+975)</f>
        <v/>
      </c>
      <c r="BK976">
        <f>IF(BI976=1,BJ976,"")</f>
        <v/>
      </c>
      <c r="BL976">
        <f>IF(AND(BH976=1,BG976=0,N(AW976)&lt;Setup!$D$7),(AW976-40000)*10000+975,"")</f>
        <v/>
      </c>
      <c r="BM976">
        <f>IF(AND(BH976=1,AZ976&lt;&gt;"Cancelled",N(AW976)&gt;=Dashboard!$AB$3,N(AW976)&lt;=Dashboard!$AB$3+6),(AW976-40000)*100000+BF976*10000+975,"")</f>
        <v/>
      </c>
      <c r="BN976">
        <f>IF(AND(BH976=1,AZ976&lt;&gt;"Cancelled"),BF976*10000+975,"")</f>
        <v/>
      </c>
    </row>
    <row r="977">
      <c r="AS977" t="inlineStr">
        <is>
          <t>R</t>
        </is>
      </c>
      <c r="AT977" t="n">
        <v>981</v>
      </c>
      <c r="AU977">
        <f>'Recurring Log'!C981&amp;""</f>
        <v/>
      </c>
      <c r="AV977">
        <f>'Recurring Log'!D981&amp;""</f>
        <v/>
      </c>
      <c r="AW977">
        <f>IF('Recurring Log'!E981="","",'Recurring Log'!E981)</f>
        <v/>
      </c>
      <c r="AX977">
        <f>IF('Recurring Log'!G981="","",'Recurring Log'!G981)</f>
        <v/>
      </c>
      <c r="AY977">
        <f>IF('Recurring Log'!H981="","",'Recurring Log'!H981)</f>
        <v/>
      </c>
      <c r="AZ977">
        <f>IF(AU977="","",IF('Recurring Log'!J981="","Not Started",'Recurring Log'!J981))</f>
        <v/>
      </c>
      <c r="BA977">
        <f>'Recurring Log'!L981&amp;""</f>
        <v/>
      </c>
      <c r="BB977">
        <f>'Recurring Log'!M981&amp;""</f>
        <v/>
      </c>
      <c r="BC977">
        <f>'Recurring Log'!N981&amp;""</f>
        <v/>
      </c>
      <c r="BD977">
        <f>'Recurring Log'!O981&amp;""</f>
        <v/>
      </c>
      <c r="BE977">
        <f>IF('Recurring Log'!K981="","",'Recurring Log'!K981)</f>
        <v/>
      </c>
      <c r="BF977">
        <f>IFERROR(MATCH(BA977,Setup!$L$6:$L$9,0),5)</f>
        <v/>
      </c>
      <c r="BG977">
        <f>IF(OR(AZ977="Done",AZ977="Cancelled"),1,0)</f>
        <v/>
      </c>
      <c r="BH977">
        <f>IF(AND(AU977&lt;&gt;"",ISNUMBER(AW977)),1,0)</f>
        <v/>
      </c>
      <c r="BI977">
        <f>IF(BH977=0,0,IF(AND(AW977&gt;='Tasks Filter'!$F$3,AW977&lt;='Tasks Filter'!$F$4,OR('Tasks Filter'!$I$3="",ISNUMBER(SEARCH('Tasks Filter'!$I$3,AU977))),OR('Tasks Filter'!$I$4="",BF977=IFERROR(MATCH('Tasks Filter'!$I$4,Setup!$L$6:$L$9,0),0)),OR('Tasks Filter'!$I$5="Both",AND('Tasks Filter'!$I$5="Yes",BB977="✓"),AND('Tasks Filter'!$I$5="No",BB977&lt;&gt;"✓")),OR('Tasks Filter'!$L$3="",AV977='Tasks Filter'!$L$3),OR('Tasks Filter'!$L$4="",AZ977='Tasks Filter'!$L$4),OR('Tasks Filter'!$L$5="",BC977='Tasks Filter'!$L$5),OR('Tasks Filter'!$O$3="",BD977='Tasks Filter'!$O$3),OR('Tasks Filter'!$O$4="Yes",BG977=0)),1,0))</f>
        <v/>
      </c>
      <c r="BJ977">
        <f>IF(BH977=0,"",IF('Tasks Filter'!$F$6="Descending",-1,1)*CHOOSE(MATCH('Tasks Filter'!$F$5,Lists!$G$2:$G$6,0),AW977,BF977,IFERROR(MATCH(AV977,Setup!$F$6:$F$15,0),99),IFERROR(MATCH(BC977,Setup!$H$6:$H$15,0),99),IFERROR(MATCH(AZ977,Setup!$J$6:$J$11,0),99))*1E+9+(AW977-40000)*10000+976)</f>
        <v/>
      </c>
      <c r="BK977">
        <f>IF(BI977=1,BJ977,"")</f>
        <v/>
      </c>
      <c r="BL977">
        <f>IF(AND(BH977=1,BG977=0,N(AW977)&lt;Setup!$D$7),(AW977-40000)*10000+976,"")</f>
        <v/>
      </c>
      <c r="BM977">
        <f>IF(AND(BH977=1,AZ977&lt;&gt;"Cancelled",N(AW977)&gt;=Dashboard!$AB$3,N(AW977)&lt;=Dashboard!$AB$3+6),(AW977-40000)*100000+BF977*10000+976,"")</f>
        <v/>
      </c>
      <c r="BN977">
        <f>IF(AND(BH977=1,AZ977&lt;&gt;"Cancelled"),BF977*10000+976,"")</f>
        <v/>
      </c>
    </row>
    <row r="978">
      <c r="AS978" t="inlineStr">
        <is>
          <t>R</t>
        </is>
      </c>
      <c r="AT978" t="n">
        <v>982</v>
      </c>
      <c r="AU978">
        <f>'Recurring Log'!C982&amp;""</f>
        <v/>
      </c>
      <c r="AV978">
        <f>'Recurring Log'!D982&amp;""</f>
        <v/>
      </c>
      <c r="AW978">
        <f>IF('Recurring Log'!E982="","",'Recurring Log'!E982)</f>
        <v/>
      </c>
      <c r="AX978">
        <f>IF('Recurring Log'!G982="","",'Recurring Log'!G982)</f>
        <v/>
      </c>
      <c r="AY978">
        <f>IF('Recurring Log'!H982="","",'Recurring Log'!H982)</f>
        <v/>
      </c>
      <c r="AZ978">
        <f>IF(AU978="","",IF('Recurring Log'!J982="","Not Started",'Recurring Log'!J982))</f>
        <v/>
      </c>
      <c r="BA978">
        <f>'Recurring Log'!L982&amp;""</f>
        <v/>
      </c>
      <c r="BB978">
        <f>'Recurring Log'!M982&amp;""</f>
        <v/>
      </c>
      <c r="BC978">
        <f>'Recurring Log'!N982&amp;""</f>
        <v/>
      </c>
      <c r="BD978">
        <f>'Recurring Log'!O982&amp;""</f>
        <v/>
      </c>
      <c r="BE978">
        <f>IF('Recurring Log'!K982="","",'Recurring Log'!K982)</f>
        <v/>
      </c>
      <c r="BF978">
        <f>IFERROR(MATCH(BA978,Setup!$L$6:$L$9,0),5)</f>
        <v/>
      </c>
      <c r="BG978">
        <f>IF(OR(AZ978="Done",AZ978="Cancelled"),1,0)</f>
        <v/>
      </c>
      <c r="BH978">
        <f>IF(AND(AU978&lt;&gt;"",ISNUMBER(AW978)),1,0)</f>
        <v/>
      </c>
      <c r="BI978">
        <f>IF(BH978=0,0,IF(AND(AW978&gt;='Tasks Filter'!$F$3,AW978&lt;='Tasks Filter'!$F$4,OR('Tasks Filter'!$I$3="",ISNUMBER(SEARCH('Tasks Filter'!$I$3,AU978))),OR('Tasks Filter'!$I$4="",BF978=IFERROR(MATCH('Tasks Filter'!$I$4,Setup!$L$6:$L$9,0),0)),OR('Tasks Filter'!$I$5="Both",AND('Tasks Filter'!$I$5="Yes",BB978="✓"),AND('Tasks Filter'!$I$5="No",BB978&lt;&gt;"✓")),OR('Tasks Filter'!$L$3="",AV978='Tasks Filter'!$L$3),OR('Tasks Filter'!$L$4="",AZ978='Tasks Filter'!$L$4),OR('Tasks Filter'!$L$5="",BC978='Tasks Filter'!$L$5),OR('Tasks Filter'!$O$3="",BD978='Tasks Filter'!$O$3),OR('Tasks Filter'!$O$4="Yes",BG978=0)),1,0))</f>
        <v/>
      </c>
      <c r="BJ978">
        <f>IF(BH978=0,"",IF('Tasks Filter'!$F$6="Descending",-1,1)*CHOOSE(MATCH('Tasks Filter'!$F$5,Lists!$G$2:$G$6,0),AW978,BF978,IFERROR(MATCH(AV978,Setup!$F$6:$F$15,0),99),IFERROR(MATCH(BC978,Setup!$H$6:$H$15,0),99),IFERROR(MATCH(AZ978,Setup!$J$6:$J$11,0),99))*1E+9+(AW978-40000)*10000+977)</f>
        <v/>
      </c>
      <c r="BK978">
        <f>IF(BI978=1,BJ978,"")</f>
        <v/>
      </c>
      <c r="BL978">
        <f>IF(AND(BH978=1,BG978=0,N(AW978)&lt;Setup!$D$7),(AW978-40000)*10000+977,"")</f>
        <v/>
      </c>
      <c r="BM978">
        <f>IF(AND(BH978=1,AZ978&lt;&gt;"Cancelled",N(AW978)&gt;=Dashboard!$AB$3,N(AW978)&lt;=Dashboard!$AB$3+6),(AW978-40000)*100000+BF978*10000+977,"")</f>
        <v/>
      </c>
      <c r="BN978">
        <f>IF(AND(BH978=1,AZ978&lt;&gt;"Cancelled"),BF978*10000+977,"")</f>
        <v/>
      </c>
    </row>
    <row r="979">
      <c r="AS979" t="inlineStr">
        <is>
          <t>R</t>
        </is>
      </c>
      <c r="AT979" t="n">
        <v>983</v>
      </c>
      <c r="AU979">
        <f>'Recurring Log'!C983&amp;""</f>
        <v/>
      </c>
      <c r="AV979">
        <f>'Recurring Log'!D983&amp;""</f>
        <v/>
      </c>
      <c r="AW979">
        <f>IF('Recurring Log'!E983="","",'Recurring Log'!E983)</f>
        <v/>
      </c>
      <c r="AX979">
        <f>IF('Recurring Log'!G983="","",'Recurring Log'!G983)</f>
        <v/>
      </c>
      <c r="AY979">
        <f>IF('Recurring Log'!H983="","",'Recurring Log'!H983)</f>
        <v/>
      </c>
      <c r="AZ979">
        <f>IF(AU979="","",IF('Recurring Log'!J983="","Not Started",'Recurring Log'!J983))</f>
        <v/>
      </c>
      <c r="BA979">
        <f>'Recurring Log'!L983&amp;""</f>
        <v/>
      </c>
      <c r="BB979">
        <f>'Recurring Log'!M983&amp;""</f>
        <v/>
      </c>
      <c r="BC979">
        <f>'Recurring Log'!N983&amp;""</f>
        <v/>
      </c>
      <c r="BD979">
        <f>'Recurring Log'!O983&amp;""</f>
        <v/>
      </c>
      <c r="BE979">
        <f>IF('Recurring Log'!K983="","",'Recurring Log'!K983)</f>
        <v/>
      </c>
      <c r="BF979">
        <f>IFERROR(MATCH(BA979,Setup!$L$6:$L$9,0),5)</f>
        <v/>
      </c>
      <c r="BG979">
        <f>IF(OR(AZ979="Done",AZ979="Cancelled"),1,0)</f>
        <v/>
      </c>
      <c r="BH979">
        <f>IF(AND(AU979&lt;&gt;"",ISNUMBER(AW979)),1,0)</f>
        <v/>
      </c>
      <c r="BI979">
        <f>IF(BH979=0,0,IF(AND(AW979&gt;='Tasks Filter'!$F$3,AW979&lt;='Tasks Filter'!$F$4,OR('Tasks Filter'!$I$3="",ISNUMBER(SEARCH('Tasks Filter'!$I$3,AU979))),OR('Tasks Filter'!$I$4="",BF979=IFERROR(MATCH('Tasks Filter'!$I$4,Setup!$L$6:$L$9,0),0)),OR('Tasks Filter'!$I$5="Both",AND('Tasks Filter'!$I$5="Yes",BB979="✓"),AND('Tasks Filter'!$I$5="No",BB979&lt;&gt;"✓")),OR('Tasks Filter'!$L$3="",AV979='Tasks Filter'!$L$3),OR('Tasks Filter'!$L$4="",AZ979='Tasks Filter'!$L$4),OR('Tasks Filter'!$L$5="",BC979='Tasks Filter'!$L$5),OR('Tasks Filter'!$O$3="",BD979='Tasks Filter'!$O$3),OR('Tasks Filter'!$O$4="Yes",BG979=0)),1,0))</f>
        <v/>
      </c>
      <c r="BJ979">
        <f>IF(BH979=0,"",IF('Tasks Filter'!$F$6="Descending",-1,1)*CHOOSE(MATCH('Tasks Filter'!$F$5,Lists!$G$2:$G$6,0),AW979,BF979,IFERROR(MATCH(AV979,Setup!$F$6:$F$15,0),99),IFERROR(MATCH(BC979,Setup!$H$6:$H$15,0),99),IFERROR(MATCH(AZ979,Setup!$J$6:$J$11,0),99))*1E+9+(AW979-40000)*10000+978)</f>
        <v/>
      </c>
      <c r="BK979">
        <f>IF(BI979=1,BJ979,"")</f>
        <v/>
      </c>
      <c r="BL979">
        <f>IF(AND(BH979=1,BG979=0,N(AW979)&lt;Setup!$D$7),(AW979-40000)*10000+978,"")</f>
        <v/>
      </c>
      <c r="BM979">
        <f>IF(AND(BH979=1,AZ979&lt;&gt;"Cancelled",N(AW979)&gt;=Dashboard!$AB$3,N(AW979)&lt;=Dashboard!$AB$3+6),(AW979-40000)*100000+BF979*10000+978,"")</f>
        <v/>
      </c>
      <c r="BN979">
        <f>IF(AND(BH979=1,AZ979&lt;&gt;"Cancelled"),BF979*10000+978,"")</f>
        <v/>
      </c>
    </row>
    <row r="980">
      <c r="AS980" t="inlineStr">
        <is>
          <t>R</t>
        </is>
      </c>
      <c r="AT980" t="n">
        <v>984</v>
      </c>
      <c r="AU980">
        <f>'Recurring Log'!C984&amp;""</f>
        <v/>
      </c>
      <c r="AV980">
        <f>'Recurring Log'!D984&amp;""</f>
        <v/>
      </c>
      <c r="AW980">
        <f>IF('Recurring Log'!E984="","",'Recurring Log'!E984)</f>
        <v/>
      </c>
      <c r="AX980">
        <f>IF('Recurring Log'!G984="","",'Recurring Log'!G984)</f>
        <v/>
      </c>
      <c r="AY980">
        <f>IF('Recurring Log'!H984="","",'Recurring Log'!H984)</f>
        <v/>
      </c>
      <c r="AZ980">
        <f>IF(AU980="","",IF('Recurring Log'!J984="","Not Started",'Recurring Log'!J984))</f>
        <v/>
      </c>
      <c r="BA980">
        <f>'Recurring Log'!L984&amp;""</f>
        <v/>
      </c>
      <c r="BB980">
        <f>'Recurring Log'!M984&amp;""</f>
        <v/>
      </c>
      <c r="BC980">
        <f>'Recurring Log'!N984&amp;""</f>
        <v/>
      </c>
      <c r="BD980">
        <f>'Recurring Log'!O984&amp;""</f>
        <v/>
      </c>
      <c r="BE980">
        <f>IF('Recurring Log'!K984="","",'Recurring Log'!K984)</f>
        <v/>
      </c>
      <c r="BF980">
        <f>IFERROR(MATCH(BA980,Setup!$L$6:$L$9,0),5)</f>
        <v/>
      </c>
      <c r="BG980">
        <f>IF(OR(AZ980="Done",AZ980="Cancelled"),1,0)</f>
        <v/>
      </c>
      <c r="BH980">
        <f>IF(AND(AU980&lt;&gt;"",ISNUMBER(AW980)),1,0)</f>
        <v/>
      </c>
      <c r="BI980">
        <f>IF(BH980=0,0,IF(AND(AW980&gt;='Tasks Filter'!$F$3,AW980&lt;='Tasks Filter'!$F$4,OR('Tasks Filter'!$I$3="",ISNUMBER(SEARCH('Tasks Filter'!$I$3,AU980))),OR('Tasks Filter'!$I$4="",BF980=IFERROR(MATCH('Tasks Filter'!$I$4,Setup!$L$6:$L$9,0),0)),OR('Tasks Filter'!$I$5="Both",AND('Tasks Filter'!$I$5="Yes",BB980="✓"),AND('Tasks Filter'!$I$5="No",BB980&lt;&gt;"✓")),OR('Tasks Filter'!$L$3="",AV980='Tasks Filter'!$L$3),OR('Tasks Filter'!$L$4="",AZ980='Tasks Filter'!$L$4),OR('Tasks Filter'!$L$5="",BC980='Tasks Filter'!$L$5),OR('Tasks Filter'!$O$3="",BD980='Tasks Filter'!$O$3),OR('Tasks Filter'!$O$4="Yes",BG980=0)),1,0))</f>
        <v/>
      </c>
      <c r="BJ980">
        <f>IF(BH980=0,"",IF('Tasks Filter'!$F$6="Descending",-1,1)*CHOOSE(MATCH('Tasks Filter'!$F$5,Lists!$G$2:$G$6,0),AW980,BF980,IFERROR(MATCH(AV980,Setup!$F$6:$F$15,0),99),IFERROR(MATCH(BC980,Setup!$H$6:$H$15,0),99),IFERROR(MATCH(AZ980,Setup!$J$6:$J$11,0),99))*1E+9+(AW980-40000)*10000+979)</f>
        <v/>
      </c>
      <c r="BK980">
        <f>IF(BI980=1,BJ980,"")</f>
        <v/>
      </c>
      <c r="BL980">
        <f>IF(AND(BH980=1,BG980=0,N(AW980)&lt;Setup!$D$7),(AW980-40000)*10000+979,"")</f>
        <v/>
      </c>
      <c r="BM980">
        <f>IF(AND(BH980=1,AZ980&lt;&gt;"Cancelled",N(AW980)&gt;=Dashboard!$AB$3,N(AW980)&lt;=Dashboard!$AB$3+6),(AW980-40000)*100000+BF980*10000+979,"")</f>
        <v/>
      </c>
      <c r="BN980">
        <f>IF(AND(BH980=1,AZ980&lt;&gt;"Cancelled"),BF980*10000+979,"")</f>
        <v/>
      </c>
    </row>
    <row r="981">
      <c r="AS981" t="inlineStr">
        <is>
          <t>R</t>
        </is>
      </c>
      <c r="AT981" t="n">
        <v>985</v>
      </c>
      <c r="AU981">
        <f>'Recurring Log'!C985&amp;""</f>
        <v/>
      </c>
      <c r="AV981">
        <f>'Recurring Log'!D985&amp;""</f>
        <v/>
      </c>
      <c r="AW981">
        <f>IF('Recurring Log'!E985="","",'Recurring Log'!E985)</f>
        <v/>
      </c>
      <c r="AX981">
        <f>IF('Recurring Log'!G985="","",'Recurring Log'!G985)</f>
        <v/>
      </c>
      <c r="AY981">
        <f>IF('Recurring Log'!H985="","",'Recurring Log'!H985)</f>
        <v/>
      </c>
      <c r="AZ981">
        <f>IF(AU981="","",IF('Recurring Log'!J985="","Not Started",'Recurring Log'!J985))</f>
        <v/>
      </c>
      <c r="BA981">
        <f>'Recurring Log'!L985&amp;""</f>
        <v/>
      </c>
      <c r="BB981">
        <f>'Recurring Log'!M985&amp;""</f>
        <v/>
      </c>
      <c r="BC981">
        <f>'Recurring Log'!N985&amp;""</f>
        <v/>
      </c>
      <c r="BD981">
        <f>'Recurring Log'!O985&amp;""</f>
        <v/>
      </c>
      <c r="BE981">
        <f>IF('Recurring Log'!K985="","",'Recurring Log'!K985)</f>
        <v/>
      </c>
      <c r="BF981">
        <f>IFERROR(MATCH(BA981,Setup!$L$6:$L$9,0),5)</f>
        <v/>
      </c>
      <c r="BG981">
        <f>IF(OR(AZ981="Done",AZ981="Cancelled"),1,0)</f>
        <v/>
      </c>
      <c r="BH981">
        <f>IF(AND(AU981&lt;&gt;"",ISNUMBER(AW981)),1,0)</f>
        <v/>
      </c>
      <c r="BI981">
        <f>IF(BH981=0,0,IF(AND(AW981&gt;='Tasks Filter'!$F$3,AW981&lt;='Tasks Filter'!$F$4,OR('Tasks Filter'!$I$3="",ISNUMBER(SEARCH('Tasks Filter'!$I$3,AU981))),OR('Tasks Filter'!$I$4="",BF981=IFERROR(MATCH('Tasks Filter'!$I$4,Setup!$L$6:$L$9,0),0)),OR('Tasks Filter'!$I$5="Both",AND('Tasks Filter'!$I$5="Yes",BB981="✓"),AND('Tasks Filter'!$I$5="No",BB981&lt;&gt;"✓")),OR('Tasks Filter'!$L$3="",AV981='Tasks Filter'!$L$3),OR('Tasks Filter'!$L$4="",AZ981='Tasks Filter'!$L$4),OR('Tasks Filter'!$L$5="",BC981='Tasks Filter'!$L$5),OR('Tasks Filter'!$O$3="",BD981='Tasks Filter'!$O$3),OR('Tasks Filter'!$O$4="Yes",BG981=0)),1,0))</f>
        <v/>
      </c>
      <c r="BJ981">
        <f>IF(BH981=0,"",IF('Tasks Filter'!$F$6="Descending",-1,1)*CHOOSE(MATCH('Tasks Filter'!$F$5,Lists!$G$2:$G$6,0),AW981,BF981,IFERROR(MATCH(AV981,Setup!$F$6:$F$15,0),99),IFERROR(MATCH(BC981,Setup!$H$6:$H$15,0),99),IFERROR(MATCH(AZ981,Setup!$J$6:$J$11,0),99))*1E+9+(AW981-40000)*10000+980)</f>
        <v/>
      </c>
      <c r="BK981">
        <f>IF(BI981=1,BJ981,"")</f>
        <v/>
      </c>
      <c r="BL981">
        <f>IF(AND(BH981=1,BG981=0,N(AW981)&lt;Setup!$D$7),(AW981-40000)*10000+980,"")</f>
        <v/>
      </c>
      <c r="BM981">
        <f>IF(AND(BH981=1,AZ981&lt;&gt;"Cancelled",N(AW981)&gt;=Dashboard!$AB$3,N(AW981)&lt;=Dashboard!$AB$3+6),(AW981-40000)*100000+BF981*10000+980,"")</f>
        <v/>
      </c>
      <c r="BN981">
        <f>IF(AND(BH981=1,AZ981&lt;&gt;"Cancelled"),BF981*10000+980,"")</f>
        <v/>
      </c>
    </row>
    <row r="982">
      <c r="AS982" t="inlineStr">
        <is>
          <t>R</t>
        </is>
      </c>
      <c r="AT982" t="n">
        <v>986</v>
      </c>
      <c r="AU982">
        <f>'Recurring Log'!C986&amp;""</f>
        <v/>
      </c>
      <c r="AV982">
        <f>'Recurring Log'!D986&amp;""</f>
        <v/>
      </c>
      <c r="AW982">
        <f>IF('Recurring Log'!E986="","",'Recurring Log'!E986)</f>
        <v/>
      </c>
      <c r="AX982">
        <f>IF('Recurring Log'!G986="","",'Recurring Log'!G986)</f>
        <v/>
      </c>
      <c r="AY982">
        <f>IF('Recurring Log'!H986="","",'Recurring Log'!H986)</f>
        <v/>
      </c>
      <c r="AZ982">
        <f>IF(AU982="","",IF('Recurring Log'!J986="","Not Started",'Recurring Log'!J986))</f>
        <v/>
      </c>
      <c r="BA982">
        <f>'Recurring Log'!L986&amp;""</f>
        <v/>
      </c>
      <c r="BB982">
        <f>'Recurring Log'!M986&amp;""</f>
        <v/>
      </c>
      <c r="BC982">
        <f>'Recurring Log'!N986&amp;""</f>
        <v/>
      </c>
      <c r="BD982">
        <f>'Recurring Log'!O986&amp;""</f>
        <v/>
      </c>
      <c r="BE982">
        <f>IF('Recurring Log'!K986="","",'Recurring Log'!K986)</f>
        <v/>
      </c>
      <c r="BF982">
        <f>IFERROR(MATCH(BA982,Setup!$L$6:$L$9,0),5)</f>
        <v/>
      </c>
      <c r="BG982">
        <f>IF(OR(AZ982="Done",AZ982="Cancelled"),1,0)</f>
        <v/>
      </c>
      <c r="BH982">
        <f>IF(AND(AU982&lt;&gt;"",ISNUMBER(AW982)),1,0)</f>
        <v/>
      </c>
      <c r="BI982">
        <f>IF(BH982=0,0,IF(AND(AW982&gt;='Tasks Filter'!$F$3,AW982&lt;='Tasks Filter'!$F$4,OR('Tasks Filter'!$I$3="",ISNUMBER(SEARCH('Tasks Filter'!$I$3,AU982))),OR('Tasks Filter'!$I$4="",BF982=IFERROR(MATCH('Tasks Filter'!$I$4,Setup!$L$6:$L$9,0),0)),OR('Tasks Filter'!$I$5="Both",AND('Tasks Filter'!$I$5="Yes",BB982="✓"),AND('Tasks Filter'!$I$5="No",BB982&lt;&gt;"✓")),OR('Tasks Filter'!$L$3="",AV982='Tasks Filter'!$L$3),OR('Tasks Filter'!$L$4="",AZ982='Tasks Filter'!$L$4),OR('Tasks Filter'!$L$5="",BC982='Tasks Filter'!$L$5),OR('Tasks Filter'!$O$3="",BD982='Tasks Filter'!$O$3),OR('Tasks Filter'!$O$4="Yes",BG982=0)),1,0))</f>
        <v/>
      </c>
      <c r="BJ982">
        <f>IF(BH982=0,"",IF('Tasks Filter'!$F$6="Descending",-1,1)*CHOOSE(MATCH('Tasks Filter'!$F$5,Lists!$G$2:$G$6,0),AW982,BF982,IFERROR(MATCH(AV982,Setup!$F$6:$F$15,0),99),IFERROR(MATCH(BC982,Setup!$H$6:$H$15,0),99),IFERROR(MATCH(AZ982,Setup!$J$6:$J$11,0),99))*1E+9+(AW982-40000)*10000+981)</f>
        <v/>
      </c>
      <c r="BK982">
        <f>IF(BI982=1,BJ982,"")</f>
        <v/>
      </c>
      <c r="BL982">
        <f>IF(AND(BH982=1,BG982=0,N(AW982)&lt;Setup!$D$7),(AW982-40000)*10000+981,"")</f>
        <v/>
      </c>
      <c r="BM982">
        <f>IF(AND(BH982=1,AZ982&lt;&gt;"Cancelled",N(AW982)&gt;=Dashboard!$AB$3,N(AW982)&lt;=Dashboard!$AB$3+6),(AW982-40000)*100000+BF982*10000+981,"")</f>
        <v/>
      </c>
      <c r="BN982">
        <f>IF(AND(BH982=1,AZ982&lt;&gt;"Cancelled"),BF982*10000+981,"")</f>
        <v/>
      </c>
    </row>
    <row r="983">
      <c r="AS983" t="inlineStr">
        <is>
          <t>R</t>
        </is>
      </c>
      <c r="AT983" t="n">
        <v>987</v>
      </c>
      <c r="AU983">
        <f>'Recurring Log'!C987&amp;""</f>
        <v/>
      </c>
      <c r="AV983">
        <f>'Recurring Log'!D987&amp;""</f>
        <v/>
      </c>
      <c r="AW983">
        <f>IF('Recurring Log'!E987="","",'Recurring Log'!E987)</f>
        <v/>
      </c>
      <c r="AX983">
        <f>IF('Recurring Log'!G987="","",'Recurring Log'!G987)</f>
        <v/>
      </c>
      <c r="AY983">
        <f>IF('Recurring Log'!H987="","",'Recurring Log'!H987)</f>
        <v/>
      </c>
      <c r="AZ983">
        <f>IF(AU983="","",IF('Recurring Log'!J987="","Not Started",'Recurring Log'!J987))</f>
        <v/>
      </c>
      <c r="BA983">
        <f>'Recurring Log'!L987&amp;""</f>
        <v/>
      </c>
      <c r="BB983">
        <f>'Recurring Log'!M987&amp;""</f>
        <v/>
      </c>
      <c r="BC983">
        <f>'Recurring Log'!N987&amp;""</f>
        <v/>
      </c>
      <c r="BD983">
        <f>'Recurring Log'!O987&amp;""</f>
        <v/>
      </c>
      <c r="BE983">
        <f>IF('Recurring Log'!K987="","",'Recurring Log'!K987)</f>
        <v/>
      </c>
      <c r="BF983">
        <f>IFERROR(MATCH(BA983,Setup!$L$6:$L$9,0),5)</f>
        <v/>
      </c>
      <c r="BG983">
        <f>IF(OR(AZ983="Done",AZ983="Cancelled"),1,0)</f>
        <v/>
      </c>
      <c r="BH983">
        <f>IF(AND(AU983&lt;&gt;"",ISNUMBER(AW983)),1,0)</f>
        <v/>
      </c>
      <c r="BI983">
        <f>IF(BH983=0,0,IF(AND(AW983&gt;='Tasks Filter'!$F$3,AW983&lt;='Tasks Filter'!$F$4,OR('Tasks Filter'!$I$3="",ISNUMBER(SEARCH('Tasks Filter'!$I$3,AU983))),OR('Tasks Filter'!$I$4="",BF983=IFERROR(MATCH('Tasks Filter'!$I$4,Setup!$L$6:$L$9,0),0)),OR('Tasks Filter'!$I$5="Both",AND('Tasks Filter'!$I$5="Yes",BB983="✓"),AND('Tasks Filter'!$I$5="No",BB983&lt;&gt;"✓")),OR('Tasks Filter'!$L$3="",AV983='Tasks Filter'!$L$3),OR('Tasks Filter'!$L$4="",AZ983='Tasks Filter'!$L$4),OR('Tasks Filter'!$L$5="",BC983='Tasks Filter'!$L$5),OR('Tasks Filter'!$O$3="",BD983='Tasks Filter'!$O$3),OR('Tasks Filter'!$O$4="Yes",BG983=0)),1,0))</f>
        <v/>
      </c>
      <c r="BJ983">
        <f>IF(BH983=0,"",IF('Tasks Filter'!$F$6="Descending",-1,1)*CHOOSE(MATCH('Tasks Filter'!$F$5,Lists!$G$2:$G$6,0),AW983,BF983,IFERROR(MATCH(AV983,Setup!$F$6:$F$15,0),99),IFERROR(MATCH(BC983,Setup!$H$6:$H$15,0),99),IFERROR(MATCH(AZ983,Setup!$J$6:$J$11,0),99))*1E+9+(AW983-40000)*10000+982)</f>
        <v/>
      </c>
      <c r="BK983">
        <f>IF(BI983=1,BJ983,"")</f>
        <v/>
      </c>
      <c r="BL983">
        <f>IF(AND(BH983=1,BG983=0,N(AW983)&lt;Setup!$D$7),(AW983-40000)*10000+982,"")</f>
        <v/>
      </c>
      <c r="BM983">
        <f>IF(AND(BH983=1,AZ983&lt;&gt;"Cancelled",N(AW983)&gt;=Dashboard!$AB$3,N(AW983)&lt;=Dashboard!$AB$3+6),(AW983-40000)*100000+BF983*10000+982,"")</f>
        <v/>
      </c>
      <c r="BN983">
        <f>IF(AND(BH983=1,AZ983&lt;&gt;"Cancelled"),BF983*10000+982,"")</f>
        <v/>
      </c>
    </row>
    <row r="984">
      <c r="AS984" t="inlineStr">
        <is>
          <t>R</t>
        </is>
      </c>
      <c r="AT984" t="n">
        <v>988</v>
      </c>
      <c r="AU984">
        <f>'Recurring Log'!C988&amp;""</f>
        <v/>
      </c>
      <c r="AV984">
        <f>'Recurring Log'!D988&amp;""</f>
        <v/>
      </c>
      <c r="AW984">
        <f>IF('Recurring Log'!E988="","",'Recurring Log'!E988)</f>
        <v/>
      </c>
      <c r="AX984">
        <f>IF('Recurring Log'!G988="","",'Recurring Log'!G988)</f>
        <v/>
      </c>
      <c r="AY984">
        <f>IF('Recurring Log'!H988="","",'Recurring Log'!H988)</f>
        <v/>
      </c>
      <c r="AZ984">
        <f>IF(AU984="","",IF('Recurring Log'!J988="","Not Started",'Recurring Log'!J988))</f>
        <v/>
      </c>
      <c r="BA984">
        <f>'Recurring Log'!L988&amp;""</f>
        <v/>
      </c>
      <c r="BB984">
        <f>'Recurring Log'!M988&amp;""</f>
        <v/>
      </c>
      <c r="BC984">
        <f>'Recurring Log'!N988&amp;""</f>
        <v/>
      </c>
      <c r="BD984">
        <f>'Recurring Log'!O988&amp;""</f>
        <v/>
      </c>
      <c r="BE984">
        <f>IF('Recurring Log'!K988="","",'Recurring Log'!K988)</f>
        <v/>
      </c>
      <c r="BF984">
        <f>IFERROR(MATCH(BA984,Setup!$L$6:$L$9,0),5)</f>
        <v/>
      </c>
      <c r="BG984">
        <f>IF(OR(AZ984="Done",AZ984="Cancelled"),1,0)</f>
        <v/>
      </c>
      <c r="BH984">
        <f>IF(AND(AU984&lt;&gt;"",ISNUMBER(AW984)),1,0)</f>
        <v/>
      </c>
      <c r="BI984">
        <f>IF(BH984=0,0,IF(AND(AW984&gt;='Tasks Filter'!$F$3,AW984&lt;='Tasks Filter'!$F$4,OR('Tasks Filter'!$I$3="",ISNUMBER(SEARCH('Tasks Filter'!$I$3,AU984))),OR('Tasks Filter'!$I$4="",BF984=IFERROR(MATCH('Tasks Filter'!$I$4,Setup!$L$6:$L$9,0),0)),OR('Tasks Filter'!$I$5="Both",AND('Tasks Filter'!$I$5="Yes",BB984="✓"),AND('Tasks Filter'!$I$5="No",BB984&lt;&gt;"✓")),OR('Tasks Filter'!$L$3="",AV984='Tasks Filter'!$L$3),OR('Tasks Filter'!$L$4="",AZ984='Tasks Filter'!$L$4),OR('Tasks Filter'!$L$5="",BC984='Tasks Filter'!$L$5),OR('Tasks Filter'!$O$3="",BD984='Tasks Filter'!$O$3),OR('Tasks Filter'!$O$4="Yes",BG984=0)),1,0))</f>
        <v/>
      </c>
      <c r="BJ984">
        <f>IF(BH984=0,"",IF('Tasks Filter'!$F$6="Descending",-1,1)*CHOOSE(MATCH('Tasks Filter'!$F$5,Lists!$G$2:$G$6,0),AW984,BF984,IFERROR(MATCH(AV984,Setup!$F$6:$F$15,0),99),IFERROR(MATCH(BC984,Setup!$H$6:$H$15,0),99),IFERROR(MATCH(AZ984,Setup!$J$6:$J$11,0),99))*1E+9+(AW984-40000)*10000+983)</f>
        <v/>
      </c>
      <c r="BK984">
        <f>IF(BI984=1,BJ984,"")</f>
        <v/>
      </c>
      <c r="BL984">
        <f>IF(AND(BH984=1,BG984=0,N(AW984)&lt;Setup!$D$7),(AW984-40000)*10000+983,"")</f>
        <v/>
      </c>
      <c r="BM984">
        <f>IF(AND(BH984=1,AZ984&lt;&gt;"Cancelled",N(AW984)&gt;=Dashboard!$AB$3,N(AW984)&lt;=Dashboard!$AB$3+6),(AW984-40000)*100000+BF984*10000+983,"")</f>
        <v/>
      </c>
      <c r="BN984">
        <f>IF(AND(BH984=1,AZ984&lt;&gt;"Cancelled"),BF984*10000+983,"")</f>
        <v/>
      </c>
    </row>
    <row r="985">
      <c r="AS985" t="inlineStr">
        <is>
          <t>R</t>
        </is>
      </c>
      <c r="AT985" t="n">
        <v>989</v>
      </c>
      <c r="AU985">
        <f>'Recurring Log'!C989&amp;""</f>
        <v/>
      </c>
      <c r="AV985">
        <f>'Recurring Log'!D989&amp;""</f>
        <v/>
      </c>
      <c r="AW985">
        <f>IF('Recurring Log'!E989="","",'Recurring Log'!E989)</f>
        <v/>
      </c>
      <c r="AX985">
        <f>IF('Recurring Log'!G989="","",'Recurring Log'!G989)</f>
        <v/>
      </c>
      <c r="AY985">
        <f>IF('Recurring Log'!H989="","",'Recurring Log'!H989)</f>
        <v/>
      </c>
      <c r="AZ985">
        <f>IF(AU985="","",IF('Recurring Log'!J989="","Not Started",'Recurring Log'!J989))</f>
        <v/>
      </c>
      <c r="BA985">
        <f>'Recurring Log'!L989&amp;""</f>
        <v/>
      </c>
      <c r="BB985">
        <f>'Recurring Log'!M989&amp;""</f>
        <v/>
      </c>
      <c r="BC985">
        <f>'Recurring Log'!N989&amp;""</f>
        <v/>
      </c>
      <c r="BD985">
        <f>'Recurring Log'!O989&amp;""</f>
        <v/>
      </c>
      <c r="BE985">
        <f>IF('Recurring Log'!K989="","",'Recurring Log'!K989)</f>
        <v/>
      </c>
      <c r="BF985">
        <f>IFERROR(MATCH(BA985,Setup!$L$6:$L$9,0),5)</f>
        <v/>
      </c>
      <c r="BG985">
        <f>IF(OR(AZ985="Done",AZ985="Cancelled"),1,0)</f>
        <v/>
      </c>
      <c r="BH985">
        <f>IF(AND(AU985&lt;&gt;"",ISNUMBER(AW985)),1,0)</f>
        <v/>
      </c>
      <c r="BI985">
        <f>IF(BH985=0,0,IF(AND(AW985&gt;='Tasks Filter'!$F$3,AW985&lt;='Tasks Filter'!$F$4,OR('Tasks Filter'!$I$3="",ISNUMBER(SEARCH('Tasks Filter'!$I$3,AU985))),OR('Tasks Filter'!$I$4="",BF985=IFERROR(MATCH('Tasks Filter'!$I$4,Setup!$L$6:$L$9,0),0)),OR('Tasks Filter'!$I$5="Both",AND('Tasks Filter'!$I$5="Yes",BB985="✓"),AND('Tasks Filter'!$I$5="No",BB985&lt;&gt;"✓")),OR('Tasks Filter'!$L$3="",AV985='Tasks Filter'!$L$3),OR('Tasks Filter'!$L$4="",AZ985='Tasks Filter'!$L$4),OR('Tasks Filter'!$L$5="",BC985='Tasks Filter'!$L$5),OR('Tasks Filter'!$O$3="",BD985='Tasks Filter'!$O$3),OR('Tasks Filter'!$O$4="Yes",BG985=0)),1,0))</f>
        <v/>
      </c>
      <c r="BJ985">
        <f>IF(BH985=0,"",IF('Tasks Filter'!$F$6="Descending",-1,1)*CHOOSE(MATCH('Tasks Filter'!$F$5,Lists!$G$2:$G$6,0),AW985,BF985,IFERROR(MATCH(AV985,Setup!$F$6:$F$15,0),99),IFERROR(MATCH(BC985,Setup!$H$6:$H$15,0),99),IFERROR(MATCH(AZ985,Setup!$J$6:$J$11,0),99))*1E+9+(AW985-40000)*10000+984)</f>
        <v/>
      </c>
      <c r="BK985">
        <f>IF(BI985=1,BJ985,"")</f>
        <v/>
      </c>
      <c r="BL985">
        <f>IF(AND(BH985=1,BG985=0,N(AW985)&lt;Setup!$D$7),(AW985-40000)*10000+984,"")</f>
        <v/>
      </c>
      <c r="BM985">
        <f>IF(AND(BH985=1,AZ985&lt;&gt;"Cancelled",N(AW985)&gt;=Dashboard!$AB$3,N(AW985)&lt;=Dashboard!$AB$3+6),(AW985-40000)*100000+BF985*10000+984,"")</f>
        <v/>
      </c>
      <c r="BN985">
        <f>IF(AND(BH985=1,AZ985&lt;&gt;"Cancelled"),BF985*10000+984,"")</f>
        <v/>
      </c>
    </row>
    <row r="986">
      <c r="AS986" t="inlineStr">
        <is>
          <t>R</t>
        </is>
      </c>
      <c r="AT986" t="n">
        <v>990</v>
      </c>
      <c r="AU986">
        <f>'Recurring Log'!C990&amp;""</f>
        <v/>
      </c>
      <c r="AV986">
        <f>'Recurring Log'!D990&amp;""</f>
        <v/>
      </c>
      <c r="AW986">
        <f>IF('Recurring Log'!E990="","",'Recurring Log'!E990)</f>
        <v/>
      </c>
      <c r="AX986">
        <f>IF('Recurring Log'!G990="","",'Recurring Log'!G990)</f>
        <v/>
      </c>
      <c r="AY986">
        <f>IF('Recurring Log'!H990="","",'Recurring Log'!H990)</f>
        <v/>
      </c>
      <c r="AZ986">
        <f>IF(AU986="","",IF('Recurring Log'!J990="","Not Started",'Recurring Log'!J990))</f>
        <v/>
      </c>
      <c r="BA986">
        <f>'Recurring Log'!L990&amp;""</f>
        <v/>
      </c>
      <c r="BB986">
        <f>'Recurring Log'!M990&amp;""</f>
        <v/>
      </c>
      <c r="BC986">
        <f>'Recurring Log'!N990&amp;""</f>
        <v/>
      </c>
      <c r="BD986">
        <f>'Recurring Log'!O990&amp;""</f>
        <v/>
      </c>
      <c r="BE986">
        <f>IF('Recurring Log'!K990="","",'Recurring Log'!K990)</f>
        <v/>
      </c>
      <c r="BF986">
        <f>IFERROR(MATCH(BA986,Setup!$L$6:$L$9,0),5)</f>
        <v/>
      </c>
      <c r="BG986">
        <f>IF(OR(AZ986="Done",AZ986="Cancelled"),1,0)</f>
        <v/>
      </c>
      <c r="BH986">
        <f>IF(AND(AU986&lt;&gt;"",ISNUMBER(AW986)),1,0)</f>
        <v/>
      </c>
      <c r="BI986">
        <f>IF(BH986=0,0,IF(AND(AW986&gt;='Tasks Filter'!$F$3,AW986&lt;='Tasks Filter'!$F$4,OR('Tasks Filter'!$I$3="",ISNUMBER(SEARCH('Tasks Filter'!$I$3,AU986))),OR('Tasks Filter'!$I$4="",BF986=IFERROR(MATCH('Tasks Filter'!$I$4,Setup!$L$6:$L$9,0),0)),OR('Tasks Filter'!$I$5="Both",AND('Tasks Filter'!$I$5="Yes",BB986="✓"),AND('Tasks Filter'!$I$5="No",BB986&lt;&gt;"✓")),OR('Tasks Filter'!$L$3="",AV986='Tasks Filter'!$L$3),OR('Tasks Filter'!$L$4="",AZ986='Tasks Filter'!$L$4),OR('Tasks Filter'!$L$5="",BC986='Tasks Filter'!$L$5),OR('Tasks Filter'!$O$3="",BD986='Tasks Filter'!$O$3),OR('Tasks Filter'!$O$4="Yes",BG986=0)),1,0))</f>
        <v/>
      </c>
      <c r="BJ986">
        <f>IF(BH986=0,"",IF('Tasks Filter'!$F$6="Descending",-1,1)*CHOOSE(MATCH('Tasks Filter'!$F$5,Lists!$G$2:$G$6,0),AW986,BF986,IFERROR(MATCH(AV986,Setup!$F$6:$F$15,0),99),IFERROR(MATCH(BC986,Setup!$H$6:$H$15,0),99),IFERROR(MATCH(AZ986,Setup!$J$6:$J$11,0),99))*1E+9+(AW986-40000)*10000+985)</f>
        <v/>
      </c>
      <c r="BK986">
        <f>IF(BI986=1,BJ986,"")</f>
        <v/>
      </c>
      <c r="BL986">
        <f>IF(AND(BH986=1,BG986=0,N(AW986)&lt;Setup!$D$7),(AW986-40000)*10000+985,"")</f>
        <v/>
      </c>
      <c r="BM986">
        <f>IF(AND(BH986=1,AZ986&lt;&gt;"Cancelled",N(AW986)&gt;=Dashboard!$AB$3,N(AW986)&lt;=Dashboard!$AB$3+6),(AW986-40000)*100000+BF986*10000+985,"")</f>
        <v/>
      </c>
      <c r="BN986">
        <f>IF(AND(BH986=1,AZ986&lt;&gt;"Cancelled"),BF986*10000+985,"")</f>
        <v/>
      </c>
    </row>
    <row r="987">
      <c r="AS987" t="inlineStr">
        <is>
          <t>R</t>
        </is>
      </c>
      <c r="AT987" t="n">
        <v>991</v>
      </c>
      <c r="AU987">
        <f>'Recurring Log'!C991&amp;""</f>
        <v/>
      </c>
      <c r="AV987">
        <f>'Recurring Log'!D991&amp;""</f>
        <v/>
      </c>
      <c r="AW987">
        <f>IF('Recurring Log'!E991="","",'Recurring Log'!E991)</f>
        <v/>
      </c>
      <c r="AX987">
        <f>IF('Recurring Log'!G991="","",'Recurring Log'!G991)</f>
        <v/>
      </c>
      <c r="AY987">
        <f>IF('Recurring Log'!H991="","",'Recurring Log'!H991)</f>
        <v/>
      </c>
      <c r="AZ987">
        <f>IF(AU987="","",IF('Recurring Log'!J991="","Not Started",'Recurring Log'!J991))</f>
        <v/>
      </c>
      <c r="BA987">
        <f>'Recurring Log'!L991&amp;""</f>
        <v/>
      </c>
      <c r="BB987">
        <f>'Recurring Log'!M991&amp;""</f>
        <v/>
      </c>
      <c r="BC987">
        <f>'Recurring Log'!N991&amp;""</f>
        <v/>
      </c>
      <c r="BD987">
        <f>'Recurring Log'!O991&amp;""</f>
        <v/>
      </c>
      <c r="BE987">
        <f>IF('Recurring Log'!K991="","",'Recurring Log'!K991)</f>
        <v/>
      </c>
      <c r="BF987">
        <f>IFERROR(MATCH(BA987,Setup!$L$6:$L$9,0),5)</f>
        <v/>
      </c>
      <c r="BG987">
        <f>IF(OR(AZ987="Done",AZ987="Cancelled"),1,0)</f>
        <v/>
      </c>
      <c r="BH987">
        <f>IF(AND(AU987&lt;&gt;"",ISNUMBER(AW987)),1,0)</f>
        <v/>
      </c>
      <c r="BI987">
        <f>IF(BH987=0,0,IF(AND(AW987&gt;='Tasks Filter'!$F$3,AW987&lt;='Tasks Filter'!$F$4,OR('Tasks Filter'!$I$3="",ISNUMBER(SEARCH('Tasks Filter'!$I$3,AU987))),OR('Tasks Filter'!$I$4="",BF987=IFERROR(MATCH('Tasks Filter'!$I$4,Setup!$L$6:$L$9,0),0)),OR('Tasks Filter'!$I$5="Both",AND('Tasks Filter'!$I$5="Yes",BB987="✓"),AND('Tasks Filter'!$I$5="No",BB987&lt;&gt;"✓")),OR('Tasks Filter'!$L$3="",AV987='Tasks Filter'!$L$3),OR('Tasks Filter'!$L$4="",AZ987='Tasks Filter'!$L$4),OR('Tasks Filter'!$L$5="",BC987='Tasks Filter'!$L$5),OR('Tasks Filter'!$O$3="",BD987='Tasks Filter'!$O$3),OR('Tasks Filter'!$O$4="Yes",BG987=0)),1,0))</f>
        <v/>
      </c>
      <c r="BJ987">
        <f>IF(BH987=0,"",IF('Tasks Filter'!$F$6="Descending",-1,1)*CHOOSE(MATCH('Tasks Filter'!$F$5,Lists!$G$2:$G$6,0),AW987,BF987,IFERROR(MATCH(AV987,Setup!$F$6:$F$15,0),99),IFERROR(MATCH(BC987,Setup!$H$6:$H$15,0),99),IFERROR(MATCH(AZ987,Setup!$J$6:$J$11,0),99))*1E+9+(AW987-40000)*10000+986)</f>
        <v/>
      </c>
      <c r="BK987">
        <f>IF(BI987=1,BJ987,"")</f>
        <v/>
      </c>
      <c r="BL987">
        <f>IF(AND(BH987=1,BG987=0,N(AW987)&lt;Setup!$D$7),(AW987-40000)*10000+986,"")</f>
        <v/>
      </c>
      <c r="BM987">
        <f>IF(AND(BH987=1,AZ987&lt;&gt;"Cancelled",N(AW987)&gt;=Dashboard!$AB$3,N(AW987)&lt;=Dashboard!$AB$3+6),(AW987-40000)*100000+BF987*10000+986,"")</f>
        <v/>
      </c>
      <c r="BN987">
        <f>IF(AND(BH987=1,AZ987&lt;&gt;"Cancelled"),BF987*10000+986,"")</f>
        <v/>
      </c>
    </row>
    <row r="988">
      <c r="AS988" t="inlineStr">
        <is>
          <t>R</t>
        </is>
      </c>
      <c r="AT988" t="n">
        <v>992</v>
      </c>
      <c r="AU988">
        <f>'Recurring Log'!C992&amp;""</f>
        <v/>
      </c>
      <c r="AV988">
        <f>'Recurring Log'!D992&amp;""</f>
        <v/>
      </c>
      <c r="AW988">
        <f>IF('Recurring Log'!E992="","",'Recurring Log'!E992)</f>
        <v/>
      </c>
      <c r="AX988">
        <f>IF('Recurring Log'!G992="","",'Recurring Log'!G992)</f>
        <v/>
      </c>
      <c r="AY988">
        <f>IF('Recurring Log'!H992="","",'Recurring Log'!H992)</f>
        <v/>
      </c>
      <c r="AZ988">
        <f>IF(AU988="","",IF('Recurring Log'!J992="","Not Started",'Recurring Log'!J992))</f>
        <v/>
      </c>
      <c r="BA988">
        <f>'Recurring Log'!L992&amp;""</f>
        <v/>
      </c>
      <c r="BB988">
        <f>'Recurring Log'!M992&amp;""</f>
        <v/>
      </c>
      <c r="BC988">
        <f>'Recurring Log'!N992&amp;""</f>
        <v/>
      </c>
      <c r="BD988">
        <f>'Recurring Log'!O992&amp;""</f>
        <v/>
      </c>
      <c r="BE988">
        <f>IF('Recurring Log'!K992="","",'Recurring Log'!K992)</f>
        <v/>
      </c>
      <c r="BF988">
        <f>IFERROR(MATCH(BA988,Setup!$L$6:$L$9,0),5)</f>
        <v/>
      </c>
      <c r="BG988">
        <f>IF(OR(AZ988="Done",AZ988="Cancelled"),1,0)</f>
        <v/>
      </c>
      <c r="BH988">
        <f>IF(AND(AU988&lt;&gt;"",ISNUMBER(AW988)),1,0)</f>
        <v/>
      </c>
      <c r="BI988">
        <f>IF(BH988=0,0,IF(AND(AW988&gt;='Tasks Filter'!$F$3,AW988&lt;='Tasks Filter'!$F$4,OR('Tasks Filter'!$I$3="",ISNUMBER(SEARCH('Tasks Filter'!$I$3,AU988))),OR('Tasks Filter'!$I$4="",BF988=IFERROR(MATCH('Tasks Filter'!$I$4,Setup!$L$6:$L$9,0),0)),OR('Tasks Filter'!$I$5="Both",AND('Tasks Filter'!$I$5="Yes",BB988="✓"),AND('Tasks Filter'!$I$5="No",BB988&lt;&gt;"✓")),OR('Tasks Filter'!$L$3="",AV988='Tasks Filter'!$L$3),OR('Tasks Filter'!$L$4="",AZ988='Tasks Filter'!$L$4),OR('Tasks Filter'!$L$5="",BC988='Tasks Filter'!$L$5),OR('Tasks Filter'!$O$3="",BD988='Tasks Filter'!$O$3),OR('Tasks Filter'!$O$4="Yes",BG988=0)),1,0))</f>
        <v/>
      </c>
      <c r="BJ988">
        <f>IF(BH988=0,"",IF('Tasks Filter'!$F$6="Descending",-1,1)*CHOOSE(MATCH('Tasks Filter'!$F$5,Lists!$G$2:$G$6,0),AW988,BF988,IFERROR(MATCH(AV988,Setup!$F$6:$F$15,0),99),IFERROR(MATCH(BC988,Setup!$H$6:$H$15,0),99),IFERROR(MATCH(AZ988,Setup!$J$6:$J$11,0),99))*1E+9+(AW988-40000)*10000+987)</f>
        <v/>
      </c>
      <c r="BK988">
        <f>IF(BI988=1,BJ988,"")</f>
        <v/>
      </c>
      <c r="BL988">
        <f>IF(AND(BH988=1,BG988=0,N(AW988)&lt;Setup!$D$7),(AW988-40000)*10000+987,"")</f>
        <v/>
      </c>
      <c r="BM988">
        <f>IF(AND(BH988=1,AZ988&lt;&gt;"Cancelled",N(AW988)&gt;=Dashboard!$AB$3,N(AW988)&lt;=Dashboard!$AB$3+6),(AW988-40000)*100000+BF988*10000+987,"")</f>
        <v/>
      </c>
      <c r="BN988">
        <f>IF(AND(BH988=1,AZ988&lt;&gt;"Cancelled"),BF988*10000+987,"")</f>
        <v/>
      </c>
    </row>
    <row r="989">
      <c r="AS989" t="inlineStr">
        <is>
          <t>R</t>
        </is>
      </c>
      <c r="AT989" t="n">
        <v>993</v>
      </c>
      <c r="AU989">
        <f>'Recurring Log'!C993&amp;""</f>
        <v/>
      </c>
      <c r="AV989">
        <f>'Recurring Log'!D993&amp;""</f>
        <v/>
      </c>
      <c r="AW989">
        <f>IF('Recurring Log'!E993="","",'Recurring Log'!E993)</f>
        <v/>
      </c>
      <c r="AX989">
        <f>IF('Recurring Log'!G993="","",'Recurring Log'!G993)</f>
        <v/>
      </c>
      <c r="AY989">
        <f>IF('Recurring Log'!H993="","",'Recurring Log'!H993)</f>
        <v/>
      </c>
      <c r="AZ989">
        <f>IF(AU989="","",IF('Recurring Log'!J993="","Not Started",'Recurring Log'!J993))</f>
        <v/>
      </c>
      <c r="BA989">
        <f>'Recurring Log'!L993&amp;""</f>
        <v/>
      </c>
      <c r="BB989">
        <f>'Recurring Log'!M993&amp;""</f>
        <v/>
      </c>
      <c r="BC989">
        <f>'Recurring Log'!N993&amp;""</f>
        <v/>
      </c>
      <c r="BD989">
        <f>'Recurring Log'!O993&amp;""</f>
        <v/>
      </c>
      <c r="BE989">
        <f>IF('Recurring Log'!K993="","",'Recurring Log'!K993)</f>
        <v/>
      </c>
      <c r="BF989">
        <f>IFERROR(MATCH(BA989,Setup!$L$6:$L$9,0),5)</f>
        <v/>
      </c>
      <c r="BG989">
        <f>IF(OR(AZ989="Done",AZ989="Cancelled"),1,0)</f>
        <v/>
      </c>
      <c r="BH989">
        <f>IF(AND(AU989&lt;&gt;"",ISNUMBER(AW989)),1,0)</f>
        <v/>
      </c>
      <c r="BI989">
        <f>IF(BH989=0,0,IF(AND(AW989&gt;='Tasks Filter'!$F$3,AW989&lt;='Tasks Filter'!$F$4,OR('Tasks Filter'!$I$3="",ISNUMBER(SEARCH('Tasks Filter'!$I$3,AU989))),OR('Tasks Filter'!$I$4="",BF989=IFERROR(MATCH('Tasks Filter'!$I$4,Setup!$L$6:$L$9,0),0)),OR('Tasks Filter'!$I$5="Both",AND('Tasks Filter'!$I$5="Yes",BB989="✓"),AND('Tasks Filter'!$I$5="No",BB989&lt;&gt;"✓")),OR('Tasks Filter'!$L$3="",AV989='Tasks Filter'!$L$3),OR('Tasks Filter'!$L$4="",AZ989='Tasks Filter'!$L$4),OR('Tasks Filter'!$L$5="",BC989='Tasks Filter'!$L$5),OR('Tasks Filter'!$O$3="",BD989='Tasks Filter'!$O$3),OR('Tasks Filter'!$O$4="Yes",BG989=0)),1,0))</f>
        <v/>
      </c>
      <c r="BJ989">
        <f>IF(BH989=0,"",IF('Tasks Filter'!$F$6="Descending",-1,1)*CHOOSE(MATCH('Tasks Filter'!$F$5,Lists!$G$2:$G$6,0),AW989,BF989,IFERROR(MATCH(AV989,Setup!$F$6:$F$15,0),99),IFERROR(MATCH(BC989,Setup!$H$6:$H$15,0),99),IFERROR(MATCH(AZ989,Setup!$J$6:$J$11,0),99))*1E+9+(AW989-40000)*10000+988)</f>
        <v/>
      </c>
      <c r="BK989">
        <f>IF(BI989=1,BJ989,"")</f>
        <v/>
      </c>
      <c r="BL989">
        <f>IF(AND(BH989=1,BG989=0,N(AW989)&lt;Setup!$D$7),(AW989-40000)*10000+988,"")</f>
        <v/>
      </c>
      <c r="BM989">
        <f>IF(AND(BH989=1,AZ989&lt;&gt;"Cancelled",N(AW989)&gt;=Dashboard!$AB$3,N(AW989)&lt;=Dashboard!$AB$3+6),(AW989-40000)*100000+BF989*10000+988,"")</f>
        <v/>
      </c>
      <c r="BN989">
        <f>IF(AND(BH989=1,AZ989&lt;&gt;"Cancelled"),BF989*10000+988,"")</f>
        <v/>
      </c>
    </row>
    <row r="990">
      <c r="AS990" t="inlineStr">
        <is>
          <t>R</t>
        </is>
      </c>
      <c r="AT990" t="n">
        <v>994</v>
      </c>
      <c r="AU990">
        <f>'Recurring Log'!C994&amp;""</f>
        <v/>
      </c>
      <c r="AV990">
        <f>'Recurring Log'!D994&amp;""</f>
        <v/>
      </c>
      <c r="AW990">
        <f>IF('Recurring Log'!E994="","",'Recurring Log'!E994)</f>
        <v/>
      </c>
      <c r="AX990">
        <f>IF('Recurring Log'!G994="","",'Recurring Log'!G994)</f>
        <v/>
      </c>
      <c r="AY990">
        <f>IF('Recurring Log'!H994="","",'Recurring Log'!H994)</f>
        <v/>
      </c>
      <c r="AZ990">
        <f>IF(AU990="","",IF('Recurring Log'!J994="","Not Started",'Recurring Log'!J994))</f>
        <v/>
      </c>
      <c r="BA990">
        <f>'Recurring Log'!L994&amp;""</f>
        <v/>
      </c>
      <c r="BB990">
        <f>'Recurring Log'!M994&amp;""</f>
        <v/>
      </c>
      <c r="BC990">
        <f>'Recurring Log'!N994&amp;""</f>
        <v/>
      </c>
      <c r="BD990">
        <f>'Recurring Log'!O994&amp;""</f>
        <v/>
      </c>
      <c r="BE990">
        <f>IF('Recurring Log'!K994="","",'Recurring Log'!K994)</f>
        <v/>
      </c>
      <c r="BF990">
        <f>IFERROR(MATCH(BA990,Setup!$L$6:$L$9,0),5)</f>
        <v/>
      </c>
      <c r="BG990">
        <f>IF(OR(AZ990="Done",AZ990="Cancelled"),1,0)</f>
        <v/>
      </c>
      <c r="BH990">
        <f>IF(AND(AU990&lt;&gt;"",ISNUMBER(AW990)),1,0)</f>
        <v/>
      </c>
      <c r="BI990">
        <f>IF(BH990=0,0,IF(AND(AW990&gt;='Tasks Filter'!$F$3,AW990&lt;='Tasks Filter'!$F$4,OR('Tasks Filter'!$I$3="",ISNUMBER(SEARCH('Tasks Filter'!$I$3,AU990))),OR('Tasks Filter'!$I$4="",BF990=IFERROR(MATCH('Tasks Filter'!$I$4,Setup!$L$6:$L$9,0),0)),OR('Tasks Filter'!$I$5="Both",AND('Tasks Filter'!$I$5="Yes",BB990="✓"),AND('Tasks Filter'!$I$5="No",BB990&lt;&gt;"✓")),OR('Tasks Filter'!$L$3="",AV990='Tasks Filter'!$L$3),OR('Tasks Filter'!$L$4="",AZ990='Tasks Filter'!$L$4),OR('Tasks Filter'!$L$5="",BC990='Tasks Filter'!$L$5),OR('Tasks Filter'!$O$3="",BD990='Tasks Filter'!$O$3),OR('Tasks Filter'!$O$4="Yes",BG990=0)),1,0))</f>
        <v/>
      </c>
      <c r="BJ990">
        <f>IF(BH990=0,"",IF('Tasks Filter'!$F$6="Descending",-1,1)*CHOOSE(MATCH('Tasks Filter'!$F$5,Lists!$G$2:$G$6,0),AW990,BF990,IFERROR(MATCH(AV990,Setup!$F$6:$F$15,0),99),IFERROR(MATCH(BC990,Setup!$H$6:$H$15,0),99),IFERROR(MATCH(AZ990,Setup!$J$6:$J$11,0),99))*1E+9+(AW990-40000)*10000+989)</f>
        <v/>
      </c>
      <c r="BK990">
        <f>IF(BI990=1,BJ990,"")</f>
        <v/>
      </c>
      <c r="BL990">
        <f>IF(AND(BH990=1,BG990=0,N(AW990)&lt;Setup!$D$7),(AW990-40000)*10000+989,"")</f>
        <v/>
      </c>
      <c r="BM990">
        <f>IF(AND(BH990=1,AZ990&lt;&gt;"Cancelled",N(AW990)&gt;=Dashboard!$AB$3,N(AW990)&lt;=Dashboard!$AB$3+6),(AW990-40000)*100000+BF990*10000+989,"")</f>
        <v/>
      </c>
      <c r="BN990">
        <f>IF(AND(BH990=1,AZ990&lt;&gt;"Cancelled"),BF990*10000+989,"")</f>
        <v/>
      </c>
    </row>
    <row r="991">
      <c r="AS991" t="inlineStr">
        <is>
          <t>R</t>
        </is>
      </c>
      <c r="AT991" t="n">
        <v>995</v>
      </c>
      <c r="AU991">
        <f>'Recurring Log'!C995&amp;""</f>
        <v/>
      </c>
      <c r="AV991">
        <f>'Recurring Log'!D995&amp;""</f>
        <v/>
      </c>
      <c r="AW991">
        <f>IF('Recurring Log'!E995="","",'Recurring Log'!E995)</f>
        <v/>
      </c>
      <c r="AX991">
        <f>IF('Recurring Log'!G995="","",'Recurring Log'!G995)</f>
        <v/>
      </c>
      <c r="AY991">
        <f>IF('Recurring Log'!H995="","",'Recurring Log'!H995)</f>
        <v/>
      </c>
      <c r="AZ991">
        <f>IF(AU991="","",IF('Recurring Log'!J995="","Not Started",'Recurring Log'!J995))</f>
        <v/>
      </c>
      <c r="BA991">
        <f>'Recurring Log'!L995&amp;""</f>
        <v/>
      </c>
      <c r="BB991">
        <f>'Recurring Log'!M995&amp;""</f>
        <v/>
      </c>
      <c r="BC991">
        <f>'Recurring Log'!N995&amp;""</f>
        <v/>
      </c>
      <c r="BD991">
        <f>'Recurring Log'!O995&amp;""</f>
        <v/>
      </c>
      <c r="BE991">
        <f>IF('Recurring Log'!K995="","",'Recurring Log'!K995)</f>
        <v/>
      </c>
      <c r="BF991">
        <f>IFERROR(MATCH(BA991,Setup!$L$6:$L$9,0),5)</f>
        <v/>
      </c>
      <c r="BG991">
        <f>IF(OR(AZ991="Done",AZ991="Cancelled"),1,0)</f>
        <v/>
      </c>
      <c r="BH991">
        <f>IF(AND(AU991&lt;&gt;"",ISNUMBER(AW991)),1,0)</f>
        <v/>
      </c>
      <c r="BI991">
        <f>IF(BH991=0,0,IF(AND(AW991&gt;='Tasks Filter'!$F$3,AW991&lt;='Tasks Filter'!$F$4,OR('Tasks Filter'!$I$3="",ISNUMBER(SEARCH('Tasks Filter'!$I$3,AU991))),OR('Tasks Filter'!$I$4="",BF991=IFERROR(MATCH('Tasks Filter'!$I$4,Setup!$L$6:$L$9,0),0)),OR('Tasks Filter'!$I$5="Both",AND('Tasks Filter'!$I$5="Yes",BB991="✓"),AND('Tasks Filter'!$I$5="No",BB991&lt;&gt;"✓")),OR('Tasks Filter'!$L$3="",AV991='Tasks Filter'!$L$3),OR('Tasks Filter'!$L$4="",AZ991='Tasks Filter'!$L$4),OR('Tasks Filter'!$L$5="",BC991='Tasks Filter'!$L$5),OR('Tasks Filter'!$O$3="",BD991='Tasks Filter'!$O$3),OR('Tasks Filter'!$O$4="Yes",BG991=0)),1,0))</f>
        <v/>
      </c>
      <c r="BJ991">
        <f>IF(BH991=0,"",IF('Tasks Filter'!$F$6="Descending",-1,1)*CHOOSE(MATCH('Tasks Filter'!$F$5,Lists!$G$2:$G$6,0),AW991,BF991,IFERROR(MATCH(AV991,Setup!$F$6:$F$15,0),99),IFERROR(MATCH(BC991,Setup!$H$6:$H$15,0),99),IFERROR(MATCH(AZ991,Setup!$J$6:$J$11,0),99))*1E+9+(AW991-40000)*10000+990)</f>
        <v/>
      </c>
      <c r="BK991">
        <f>IF(BI991=1,BJ991,"")</f>
        <v/>
      </c>
      <c r="BL991">
        <f>IF(AND(BH991=1,BG991=0,N(AW991)&lt;Setup!$D$7),(AW991-40000)*10000+990,"")</f>
        <v/>
      </c>
      <c r="BM991">
        <f>IF(AND(BH991=1,AZ991&lt;&gt;"Cancelled",N(AW991)&gt;=Dashboard!$AB$3,N(AW991)&lt;=Dashboard!$AB$3+6),(AW991-40000)*100000+BF991*10000+990,"")</f>
        <v/>
      </c>
      <c r="BN991">
        <f>IF(AND(BH991=1,AZ991&lt;&gt;"Cancelled"),BF991*10000+990,"")</f>
        <v/>
      </c>
    </row>
    <row r="992">
      <c r="AS992" t="inlineStr">
        <is>
          <t>R</t>
        </is>
      </c>
      <c r="AT992" t="n">
        <v>996</v>
      </c>
      <c r="AU992">
        <f>'Recurring Log'!C996&amp;""</f>
        <v/>
      </c>
      <c r="AV992">
        <f>'Recurring Log'!D996&amp;""</f>
        <v/>
      </c>
      <c r="AW992">
        <f>IF('Recurring Log'!E996="","",'Recurring Log'!E996)</f>
        <v/>
      </c>
      <c r="AX992">
        <f>IF('Recurring Log'!G996="","",'Recurring Log'!G996)</f>
        <v/>
      </c>
      <c r="AY992">
        <f>IF('Recurring Log'!H996="","",'Recurring Log'!H996)</f>
        <v/>
      </c>
      <c r="AZ992">
        <f>IF(AU992="","",IF('Recurring Log'!J996="","Not Started",'Recurring Log'!J996))</f>
        <v/>
      </c>
      <c r="BA992">
        <f>'Recurring Log'!L996&amp;""</f>
        <v/>
      </c>
      <c r="BB992">
        <f>'Recurring Log'!M996&amp;""</f>
        <v/>
      </c>
      <c r="BC992">
        <f>'Recurring Log'!N996&amp;""</f>
        <v/>
      </c>
      <c r="BD992">
        <f>'Recurring Log'!O996&amp;""</f>
        <v/>
      </c>
      <c r="BE992">
        <f>IF('Recurring Log'!K996="","",'Recurring Log'!K996)</f>
        <v/>
      </c>
      <c r="BF992">
        <f>IFERROR(MATCH(BA992,Setup!$L$6:$L$9,0),5)</f>
        <v/>
      </c>
      <c r="BG992">
        <f>IF(OR(AZ992="Done",AZ992="Cancelled"),1,0)</f>
        <v/>
      </c>
      <c r="BH992">
        <f>IF(AND(AU992&lt;&gt;"",ISNUMBER(AW992)),1,0)</f>
        <v/>
      </c>
      <c r="BI992">
        <f>IF(BH992=0,0,IF(AND(AW992&gt;='Tasks Filter'!$F$3,AW992&lt;='Tasks Filter'!$F$4,OR('Tasks Filter'!$I$3="",ISNUMBER(SEARCH('Tasks Filter'!$I$3,AU992))),OR('Tasks Filter'!$I$4="",BF992=IFERROR(MATCH('Tasks Filter'!$I$4,Setup!$L$6:$L$9,0),0)),OR('Tasks Filter'!$I$5="Both",AND('Tasks Filter'!$I$5="Yes",BB992="✓"),AND('Tasks Filter'!$I$5="No",BB992&lt;&gt;"✓")),OR('Tasks Filter'!$L$3="",AV992='Tasks Filter'!$L$3),OR('Tasks Filter'!$L$4="",AZ992='Tasks Filter'!$L$4),OR('Tasks Filter'!$L$5="",BC992='Tasks Filter'!$L$5),OR('Tasks Filter'!$O$3="",BD992='Tasks Filter'!$O$3),OR('Tasks Filter'!$O$4="Yes",BG992=0)),1,0))</f>
        <v/>
      </c>
      <c r="BJ992">
        <f>IF(BH992=0,"",IF('Tasks Filter'!$F$6="Descending",-1,1)*CHOOSE(MATCH('Tasks Filter'!$F$5,Lists!$G$2:$G$6,0),AW992,BF992,IFERROR(MATCH(AV992,Setup!$F$6:$F$15,0),99),IFERROR(MATCH(BC992,Setup!$H$6:$H$15,0),99),IFERROR(MATCH(AZ992,Setup!$J$6:$J$11,0),99))*1E+9+(AW992-40000)*10000+991)</f>
        <v/>
      </c>
      <c r="BK992">
        <f>IF(BI992=1,BJ992,"")</f>
        <v/>
      </c>
      <c r="BL992">
        <f>IF(AND(BH992=1,BG992=0,N(AW992)&lt;Setup!$D$7),(AW992-40000)*10000+991,"")</f>
        <v/>
      </c>
      <c r="BM992">
        <f>IF(AND(BH992=1,AZ992&lt;&gt;"Cancelled",N(AW992)&gt;=Dashboard!$AB$3,N(AW992)&lt;=Dashboard!$AB$3+6),(AW992-40000)*100000+BF992*10000+991,"")</f>
        <v/>
      </c>
      <c r="BN992">
        <f>IF(AND(BH992=1,AZ992&lt;&gt;"Cancelled"),BF992*10000+991,"")</f>
        <v/>
      </c>
    </row>
    <row r="993">
      <c r="AS993" t="inlineStr">
        <is>
          <t>R</t>
        </is>
      </c>
      <c r="AT993" t="n">
        <v>997</v>
      </c>
      <c r="AU993">
        <f>'Recurring Log'!C997&amp;""</f>
        <v/>
      </c>
      <c r="AV993">
        <f>'Recurring Log'!D997&amp;""</f>
        <v/>
      </c>
      <c r="AW993">
        <f>IF('Recurring Log'!E997="","",'Recurring Log'!E997)</f>
        <v/>
      </c>
      <c r="AX993">
        <f>IF('Recurring Log'!G997="","",'Recurring Log'!G997)</f>
        <v/>
      </c>
      <c r="AY993">
        <f>IF('Recurring Log'!H997="","",'Recurring Log'!H997)</f>
        <v/>
      </c>
      <c r="AZ993">
        <f>IF(AU993="","",IF('Recurring Log'!J997="","Not Started",'Recurring Log'!J997))</f>
        <v/>
      </c>
      <c r="BA993">
        <f>'Recurring Log'!L997&amp;""</f>
        <v/>
      </c>
      <c r="BB993">
        <f>'Recurring Log'!M997&amp;""</f>
        <v/>
      </c>
      <c r="BC993">
        <f>'Recurring Log'!N997&amp;""</f>
        <v/>
      </c>
      <c r="BD993">
        <f>'Recurring Log'!O997&amp;""</f>
        <v/>
      </c>
      <c r="BE993">
        <f>IF('Recurring Log'!K997="","",'Recurring Log'!K997)</f>
        <v/>
      </c>
      <c r="BF993">
        <f>IFERROR(MATCH(BA993,Setup!$L$6:$L$9,0),5)</f>
        <v/>
      </c>
      <c r="BG993">
        <f>IF(OR(AZ993="Done",AZ993="Cancelled"),1,0)</f>
        <v/>
      </c>
      <c r="BH993">
        <f>IF(AND(AU993&lt;&gt;"",ISNUMBER(AW993)),1,0)</f>
        <v/>
      </c>
      <c r="BI993">
        <f>IF(BH993=0,0,IF(AND(AW993&gt;='Tasks Filter'!$F$3,AW993&lt;='Tasks Filter'!$F$4,OR('Tasks Filter'!$I$3="",ISNUMBER(SEARCH('Tasks Filter'!$I$3,AU993))),OR('Tasks Filter'!$I$4="",BF993=IFERROR(MATCH('Tasks Filter'!$I$4,Setup!$L$6:$L$9,0),0)),OR('Tasks Filter'!$I$5="Both",AND('Tasks Filter'!$I$5="Yes",BB993="✓"),AND('Tasks Filter'!$I$5="No",BB993&lt;&gt;"✓")),OR('Tasks Filter'!$L$3="",AV993='Tasks Filter'!$L$3),OR('Tasks Filter'!$L$4="",AZ993='Tasks Filter'!$L$4),OR('Tasks Filter'!$L$5="",BC993='Tasks Filter'!$L$5),OR('Tasks Filter'!$O$3="",BD993='Tasks Filter'!$O$3),OR('Tasks Filter'!$O$4="Yes",BG993=0)),1,0))</f>
        <v/>
      </c>
      <c r="BJ993">
        <f>IF(BH993=0,"",IF('Tasks Filter'!$F$6="Descending",-1,1)*CHOOSE(MATCH('Tasks Filter'!$F$5,Lists!$G$2:$G$6,0),AW993,BF993,IFERROR(MATCH(AV993,Setup!$F$6:$F$15,0),99),IFERROR(MATCH(BC993,Setup!$H$6:$H$15,0),99),IFERROR(MATCH(AZ993,Setup!$J$6:$J$11,0),99))*1E+9+(AW993-40000)*10000+992)</f>
        <v/>
      </c>
      <c r="BK993">
        <f>IF(BI993=1,BJ993,"")</f>
        <v/>
      </c>
      <c r="BL993">
        <f>IF(AND(BH993=1,BG993=0,N(AW993)&lt;Setup!$D$7),(AW993-40000)*10000+992,"")</f>
        <v/>
      </c>
      <c r="BM993">
        <f>IF(AND(BH993=1,AZ993&lt;&gt;"Cancelled",N(AW993)&gt;=Dashboard!$AB$3,N(AW993)&lt;=Dashboard!$AB$3+6),(AW993-40000)*100000+BF993*10000+992,"")</f>
        <v/>
      </c>
      <c r="BN993">
        <f>IF(AND(BH993=1,AZ993&lt;&gt;"Cancelled"),BF993*10000+992,"")</f>
        <v/>
      </c>
    </row>
    <row r="994">
      <c r="AS994" t="inlineStr">
        <is>
          <t>R</t>
        </is>
      </c>
      <c r="AT994" t="n">
        <v>998</v>
      </c>
      <c r="AU994">
        <f>'Recurring Log'!C998&amp;""</f>
        <v/>
      </c>
      <c r="AV994">
        <f>'Recurring Log'!D998&amp;""</f>
        <v/>
      </c>
      <c r="AW994">
        <f>IF('Recurring Log'!E998="","",'Recurring Log'!E998)</f>
        <v/>
      </c>
      <c r="AX994">
        <f>IF('Recurring Log'!G998="","",'Recurring Log'!G998)</f>
        <v/>
      </c>
      <c r="AY994">
        <f>IF('Recurring Log'!H998="","",'Recurring Log'!H998)</f>
        <v/>
      </c>
      <c r="AZ994">
        <f>IF(AU994="","",IF('Recurring Log'!J998="","Not Started",'Recurring Log'!J998))</f>
        <v/>
      </c>
      <c r="BA994">
        <f>'Recurring Log'!L998&amp;""</f>
        <v/>
      </c>
      <c r="BB994">
        <f>'Recurring Log'!M998&amp;""</f>
        <v/>
      </c>
      <c r="BC994">
        <f>'Recurring Log'!N998&amp;""</f>
        <v/>
      </c>
      <c r="BD994">
        <f>'Recurring Log'!O998&amp;""</f>
        <v/>
      </c>
      <c r="BE994">
        <f>IF('Recurring Log'!K998="","",'Recurring Log'!K998)</f>
        <v/>
      </c>
      <c r="BF994">
        <f>IFERROR(MATCH(BA994,Setup!$L$6:$L$9,0),5)</f>
        <v/>
      </c>
      <c r="BG994">
        <f>IF(OR(AZ994="Done",AZ994="Cancelled"),1,0)</f>
        <v/>
      </c>
      <c r="BH994">
        <f>IF(AND(AU994&lt;&gt;"",ISNUMBER(AW994)),1,0)</f>
        <v/>
      </c>
      <c r="BI994">
        <f>IF(BH994=0,0,IF(AND(AW994&gt;='Tasks Filter'!$F$3,AW994&lt;='Tasks Filter'!$F$4,OR('Tasks Filter'!$I$3="",ISNUMBER(SEARCH('Tasks Filter'!$I$3,AU994))),OR('Tasks Filter'!$I$4="",BF994=IFERROR(MATCH('Tasks Filter'!$I$4,Setup!$L$6:$L$9,0),0)),OR('Tasks Filter'!$I$5="Both",AND('Tasks Filter'!$I$5="Yes",BB994="✓"),AND('Tasks Filter'!$I$5="No",BB994&lt;&gt;"✓")),OR('Tasks Filter'!$L$3="",AV994='Tasks Filter'!$L$3),OR('Tasks Filter'!$L$4="",AZ994='Tasks Filter'!$L$4),OR('Tasks Filter'!$L$5="",BC994='Tasks Filter'!$L$5),OR('Tasks Filter'!$O$3="",BD994='Tasks Filter'!$O$3),OR('Tasks Filter'!$O$4="Yes",BG994=0)),1,0))</f>
        <v/>
      </c>
      <c r="BJ994">
        <f>IF(BH994=0,"",IF('Tasks Filter'!$F$6="Descending",-1,1)*CHOOSE(MATCH('Tasks Filter'!$F$5,Lists!$G$2:$G$6,0),AW994,BF994,IFERROR(MATCH(AV994,Setup!$F$6:$F$15,0),99),IFERROR(MATCH(BC994,Setup!$H$6:$H$15,0),99),IFERROR(MATCH(AZ994,Setup!$J$6:$J$11,0),99))*1E+9+(AW994-40000)*10000+993)</f>
        <v/>
      </c>
      <c r="BK994">
        <f>IF(BI994=1,BJ994,"")</f>
        <v/>
      </c>
      <c r="BL994">
        <f>IF(AND(BH994=1,BG994=0,N(AW994)&lt;Setup!$D$7),(AW994-40000)*10000+993,"")</f>
        <v/>
      </c>
      <c r="BM994">
        <f>IF(AND(BH994=1,AZ994&lt;&gt;"Cancelled",N(AW994)&gt;=Dashboard!$AB$3,N(AW994)&lt;=Dashboard!$AB$3+6),(AW994-40000)*100000+BF994*10000+993,"")</f>
        <v/>
      </c>
      <c r="BN994">
        <f>IF(AND(BH994=1,AZ994&lt;&gt;"Cancelled"),BF994*10000+993,"")</f>
        <v/>
      </c>
    </row>
    <row r="995">
      <c r="AS995" t="inlineStr">
        <is>
          <t>R</t>
        </is>
      </c>
      <c r="AT995" t="n">
        <v>999</v>
      </c>
      <c r="AU995">
        <f>'Recurring Log'!C999&amp;""</f>
        <v/>
      </c>
      <c r="AV995">
        <f>'Recurring Log'!D999&amp;""</f>
        <v/>
      </c>
      <c r="AW995">
        <f>IF('Recurring Log'!E999="","",'Recurring Log'!E999)</f>
        <v/>
      </c>
      <c r="AX995">
        <f>IF('Recurring Log'!G999="","",'Recurring Log'!G999)</f>
        <v/>
      </c>
      <c r="AY995">
        <f>IF('Recurring Log'!H999="","",'Recurring Log'!H999)</f>
        <v/>
      </c>
      <c r="AZ995">
        <f>IF(AU995="","",IF('Recurring Log'!J999="","Not Started",'Recurring Log'!J999))</f>
        <v/>
      </c>
      <c r="BA995">
        <f>'Recurring Log'!L999&amp;""</f>
        <v/>
      </c>
      <c r="BB995">
        <f>'Recurring Log'!M999&amp;""</f>
        <v/>
      </c>
      <c r="BC995">
        <f>'Recurring Log'!N999&amp;""</f>
        <v/>
      </c>
      <c r="BD995">
        <f>'Recurring Log'!O999&amp;""</f>
        <v/>
      </c>
      <c r="BE995">
        <f>IF('Recurring Log'!K999="","",'Recurring Log'!K999)</f>
        <v/>
      </c>
      <c r="BF995">
        <f>IFERROR(MATCH(BA995,Setup!$L$6:$L$9,0),5)</f>
        <v/>
      </c>
      <c r="BG995">
        <f>IF(OR(AZ995="Done",AZ995="Cancelled"),1,0)</f>
        <v/>
      </c>
      <c r="BH995">
        <f>IF(AND(AU995&lt;&gt;"",ISNUMBER(AW995)),1,0)</f>
        <v/>
      </c>
      <c r="BI995">
        <f>IF(BH995=0,0,IF(AND(AW995&gt;='Tasks Filter'!$F$3,AW995&lt;='Tasks Filter'!$F$4,OR('Tasks Filter'!$I$3="",ISNUMBER(SEARCH('Tasks Filter'!$I$3,AU995))),OR('Tasks Filter'!$I$4="",BF995=IFERROR(MATCH('Tasks Filter'!$I$4,Setup!$L$6:$L$9,0),0)),OR('Tasks Filter'!$I$5="Both",AND('Tasks Filter'!$I$5="Yes",BB995="✓"),AND('Tasks Filter'!$I$5="No",BB995&lt;&gt;"✓")),OR('Tasks Filter'!$L$3="",AV995='Tasks Filter'!$L$3),OR('Tasks Filter'!$L$4="",AZ995='Tasks Filter'!$L$4),OR('Tasks Filter'!$L$5="",BC995='Tasks Filter'!$L$5),OR('Tasks Filter'!$O$3="",BD995='Tasks Filter'!$O$3),OR('Tasks Filter'!$O$4="Yes",BG995=0)),1,0))</f>
        <v/>
      </c>
      <c r="BJ995">
        <f>IF(BH995=0,"",IF('Tasks Filter'!$F$6="Descending",-1,1)*CHOOSE(MATCH('Tasks Filter'!$F$5,Lists!$G$2:$G$6,0),AW995,BF995,IFERROR(MATCH(AV995,Setup!$F$6:$F$15,0),99),IFERROR(MATCH(BC995,Setup!$H$6:$H$15,0),99),IFERROR(MATCH(AZ995,Setup!$J$6:$J$11,0),99))*1E+9+(AW995-40000)*10000+994)</f>
        <v/>
      </c>
      <c r="BK995">
        <f>IF(BI995=1,BJ995,"")</f>
        <v/>
      </c>
      <c r="BL995">
        <f>IF(AND(BH995=1,BG995=0,N(AW995)&lt;Setup!$D$7),(AW995-40000)*10000+994,"")</f>
        <v/>
      </c>
      <c r="BM995">
        <f>IF(AND(BH995=1,AZ995&lt;&gt;"Cancelled",N(AW995)&gt;=Dashboard!$AB$3,N(AW995)&lt;=Dashboard!$AB$3+6),(AW995-40000)*100000+BF995*10000+994,"")</f>
        <v/>
      </c>
      <c r="BN995">
        <f>IF(AND(BH995=1,AZ995&lt;&gt;"Cancelled"),BF995*10000+994,"")</f>
        <v/>
      </c>
    </row>
    <row r="996">
      <c r="AS996" t="inlineStr">
        <is>
          <t>R</t>
        </is>
      </c>
      <c r="AT996" t="n">
        <v>1000</v>
      </c>
      <c r="AU996">
        <f>'Recurring Log'!C1000&amp;""</f>
        <v/>
      </c>
      <c r="AV996">
        <f>'Recurring Log'!D1000&amp;""</f>
        <v/>
      </c>
      <c r="AW996">
        <f>IF('Recurring Log'!E1000="","",'Recurring Log'!E1000)</f>
        <v/>
      </c>
      <c r="AX996">
        <f>IF('Recurring Log'!G1000="","",'Recurring Log'!G1000)</f>
        <v/>
      </c>
      <c r="AY996">
        <f>IF('Recurring Log'!H1000="","",'Recurring Log'!H1000)</f>
        <v/>
      </c>
      <c r="AZ996">
        <f>IF(AU996="","",IF('Recurring Log'!J1000="","Not Started",'Recurring Log'!J1000))</f>
        <v/>
      </c>
      <c r="BA996">
        <f>'Recurring Log'!L1000&amp;""</f>
        <v/>
      </c>
      <c r="BB996">
        <f>'Recurring Log'!M1000&amp;""</f>
        <v/>
      </c>
      <c r="BC996">
        <f>'Recurring Log'!N1000&amp;""</f>
        <v/>
      </c>
      <c r="BD996">
        <f>'Recurring Log'!O1000&amp;""</f>
        <v/>
      </c>
      <c r="BE996">
        <f>IF('Recurring Log'!K1000="","",'Recurring Log'!K1000)</f>
        <v/>
      </c>
      <c r="BF996">
        <f>IFERROR(MATCH(BA996,Setup!$L$6:$L$9,0),5)</f>
        <v/>
      </c>
      <c r="BG996">
        <f>IF(OR(AZ996="Done",AZ996="Cancelled"),1,0)</f>
        <v/>
      </c>
      <c r="BH996">
        <f>IF(AND(AU996&lt;&gt;"",ISNUMBER(AW996)),1,0)</f>
        <v/>
      </c>
      <c r="BI996">
        <f>IF(BH996=0,0,IF(AND(AW996&gt;='Tasks Filter'!$F$3,AW996&lt;='Tasks Filter'!$F$4,OR('Tasks Filter'!$I$3="",ISNUMBER(SEARCH('Tasks Filter'!$I$3,AU996))),OR('Tasks Filter'!$I$4="",BF996=IFERROR(MATCH('Tasks Filter'!$I$4,Setup!$L$6:$L$9,0),0)),OR('Tasks Filter'!$I$5="Both",AND('Tasks Filter'!$I$5="Yes",BB996="✓"),AND('Tasks Filter'!$I$5="No",BB996&lt;&gt;"✓")),OR('Tasks Filter'!$L$3="",AV996='Tasks Filter'!$L$3),OR('Tasks Filter'!$L$4="",AZ996='Tasks Filter'!$L$4),OR('Tasks Filter'!$L$5="",BC996='Tasks Filter'!$L$5),OR('Tasks Filter'!$O$3="",BD996='Tasks Filter'!$O$3),OR('Tasks Filter'!$O$4="Yes",BG996=0)),1,0))</f>
        <v/>
      </c>
      <c r="BJ996">
        <f>IF(BH996=0,"",IF('Tasks Filter'!$F$6="Descending",-1,1)*CHOOSE(MATCH('Tasks Filter'!$F$5,Lists!$G$2:$G$6,0),AW996,BF996,IFERROR(MATCH(AV996,Setup!$F$6:$F$15,0),99),IFERROR(MATCH(BC996,Setup!$H$6:$H$15,0),99),IFERROR(MATCH(AZ996,Setup!$J$6:$J$11,0),99))*1E+9+(AW996-40000)*10000+995)</f>
        <v/>
      </c>
      <c r="BK996">
        <f>IF(BI996=1,BJ996,"")</f>
        <v/>
      </c>
      <c r="BL996">
        <f>IF(AND(BH996=1,BG996=0,N(AW996)&lt;Setup!$D$7),(AW996-40000)*10000+995,"")</f>
        <v/>
      </c>
      <c r="BM996">
        <f>IF(AND(BH996=1,AZ996&lt;&gt;"Cancelled",N(AW996)&gt;=Dashboard!$AB$3,N(AW996)&lt;=Dashboard!$AB$3+6),(AW996-40000)*100000+BF996*10000+995,"")</f>
        <v/>
      </c>
      <c r="BN996">
        <f>IF(AND(BH996=1,AZ996&lt;&gt;"Cancelled"),BF996*10000+995,"")</f>
        <v/>
      </c>
    </row>
    <row r="997">
      <c r="AS997" t="inlineStr">
        <is>
          <t>R</t>
        </is>
      </c>
      <c r="AT997" t="n">
        <v>1001</v>
      </c>
      <c r="AU997">
        <f>'Recurring Log'!C1001&amp;""</f>
        <v/>
      </c>
      <c r="AV997">
        <f>'Recurring Log'!D1001&amp;""</f>
        <v/>
      </c>
      <c r="AW997">
        <f>IF('Recurring Log'!E1001="","",'Recurring Log'!E1001)</f>
        <v/>
      </c>
      <c r="AX997">
        <f>IF('Recurring Log'!G1001="","",'Recurring Log'!G1001)</f>
        <v/>
      </c>
      <c r="AY997">
        <f>IF('Recurring Log'!H1001="","",'Recurring Log'!H1001)</f>
        <v/>
      </c>
      <c r="AZ997">
        <f>IF(AU997="","",IF('Recurring Log'!J1001="","Not Started",'Recurring Log'!J1001))</f>
        <v/>
      </c>
      <c r="BA997">
        <f>'Recurring Log'!L1001&amp;""</f>
        <v/>
      </c>
      <c r="BB997">
        <f>'Recurring Log'!M1001&amp;""</f>
        <v/>
      </c>
      <c r="BC997">
        <f>'Recurring Log'!N1001&amp;""</f>
        <v/>
      </c>
      <c r="BD997">
        <f>'Recurring Log'!O1001&amp;""</f>
        <v/>
      </c>
      <c r="BE997">
        <f>IF('Recurring Log'!K1001="","",'Recurring Log'!K1001)</f>
        <v/>
      </c>
      <c r="BF997">
        <f>IFERROR(MATCH(BA997,Setup!$L$6:$L$9,0),5)</f>
        <v/>
      </c>
      <c r="BG997">
        <f>IF(OR(AZ997="Done",AZ997="Cancelled"),1,0)</f>
        <v/>
      </c>
      <c r="BH997">
        <f>IF(AND(AU997&lt;&gt;"",ISNUMBER(AW997)),1,0)</f>
        <v/>
      </c>
      <c r="BI997">
        <f>IF(BH997=0,0,IF(AND(AW997&gt;='Tasks Filter'!$F$3,AW997&lt;='Tasks Filter'!$F$4,OR('Tasks Filter'!$I$3="",ISNUMBER(SEARCH('Tasks Filter'!$I$3,AU997))),OR('Tasks Filter'!$I$4="",BF997=IFERROR(MATCH('Tasks Filter'!$I$4,Setup!$L$6:$L$9,0),0)),OR('Tasks Filter'!$I$5="Both",AND('Tasks Filter'!$I$5="Yes",BB997="✓"),AND('Tasks Filter'!$I$5="No",BB997&lt;&gt;"✓")),OR('Tasks Filter'!$L$3="",AV997='Tasks Filter'!$L$3),OR('Tasks Filter'!$L$4="",AZ997='Tasks Filter'!$L$4),OR('Tasks Filter'!$L$5="",BC997='Tasks Filter'!$L$5),OR('Tasks Filter'!$O$3="",BD997='Tasks Filter'!$O$3),OR('Tasks Filter'!$O$4="Yes",BG997=0)),1,0))</f>
        <v/>
      </c>
      <c r="BJ997">
        <f>IF(BH997=0,"",IF('Tasks Filter'!$F$6="Descending",-1,1)*CHOOSE(MATCH('Tasks Filter'!$F$5,Lists!$G$2:$G$6,0),AW997,BF997,IFERROR(MATCH(AV997,Setup!$F$6:$F$15,0),99),IFERROR(MATCH(BC997,Setup!$H$6:$H$15,0),99),IFERROR(MATCH(AZ997,Setup!$J$6:$J$11,0),99))*1E+9+(AW997-40000)*10000+996)</f>
        <v/>
      </c>
      <c r="BK997">
        <f>IF(BI997=1,BJ997,"")</f>
        <v/>
      </c>
      <c r="BL997">
        <f>IF(AND(BH997=1,BG997=0,N(AW997)&lt;Setup!$D$7),(AW997-40000)*10000+996,"")</f>
        <v/>
      </c>
      <c r="BM997">
        <f>IF(AND(BH997=1,AZ997&lt;&gt;"Cancelled",N(AW997)&gt;=Dashboard!$AB$3,N(AW997)&lt;=Dashboard!$AB$3+6),(AW997-40000)*100000+BF997*10000+996,"")</f>
        <v/>
      </c>
      <c r="BN997">
        <f>IF(AND(BH997=1,AZ997&lt;&gt;"Cancelled"),BF997*10000+996,"")</f>
        <v/>
      </c>
    </row>
    <row r="998">
      <c r="AS998" t="inlineStr">
        <is>
          <t>R</t>
        </is>
      </c>
      <c r="AT998" t="n">
        <v>1002</v>
      </c>
      <c r="AU998">
        <f>'Recurring Log'!C1002&amp;""</f>
        <v/>
      </c>
      <c r="AV998">
        <f>'Recurring Log'!D1002&amp;""</f>
        <v/>
      </c>
      <c r="AW998">
        <f>IF('Recurring Log'!E1002="","",'Recurring Log'!E1002)</f>
        <v/>
      </c>
      <c r="AX998">
        <f>IF('Recurring Log'!G1002="","",'Recurring Log'!G1002)</f>
        <v/>
      </c>
      <c r="AY998">
        <f>IF('Recurring Log'!H1002="","",'Recurring Log'!H1002)</f>
        <v/>
      </c>
      <c r="AZ998">
        <f>IF(AU998="","",IF('Recurring Log'!J1002="","Not Started",'Recurring Log'!J1002))</f>
        <v/>
      </c>
      <c r="BA998">
        <f>'Recurring Log'!L1002&amp;""</f>
        <v/>
      </c>
      <c r="BB998">
        <f>'Recurring Log'!M1002&amp;""</f>
        <v/>
      </c>
      <c r="BC998">
        <f>'Recurring Log'!N1002&amp;""</f>
        <v/>
      </c>
      <c r="BD998">
        <f>'Recurring Log'!O1002&amp;""</f>
        <v/>
      </c>
      <c r="BE998">
        <f>IF('Recurring Log'!K1002="","",'Recurring Log'!K1002)</f>
        <v/>
      </c>
      <c r="BF998">
        <f>IFERROR(MATCH(BA998,Setup!$L$6:$L$9,0),5)</f>
        <v/>
      </c>
      <c r="BG998">
        <f>IF(OR(AZ998="Done",AZ998="Cancelled"),1,0)</f>
        <v/>
      </c>
      <c r="BH998">
        <f>IF(AND(AU998&lt;&gt;"",ISNUMBER(AW998)),1,0)</f>
        <v/>
      </c>
      <c r="BI998">
        <f>IF(BH998=0,0,IF(AND(AW998&gt;='Tasks Filter'!$F$3,AW998&lt;='Tasks Filter'!$F$4,OR('Tasks Filter'!$I$3="",ISNUMBER(SEARCH('Tasks Filter'!$I$3,AU998))),OR('Tasks Filter'!$I$4="",BF998=IFERROR(MATCH('Tasks Filter'!$I$4,Setup!$L$6:$L$9,0),0)),OR('Tasks Filter'!$I$5="Both",AND('Tasks Filter'!$I$5="Yes",BB998="✓"),AND('Tasks Filter'!$I$5="No",BB998&lt;&gt;"✓")),OR('Tasks Filter'!$L$3="",AV998='Tasks Filter'!$L$3),OR('Tasks Filter'!$L$4="",AZ998='Tasks Filter'!$L$4),OR('Tasks Filter'!$L$5="",BC998='Tasks Filter'!$L$5),OR('Tasks Filter'!$O$3="",BD998='Tasks Filter'!$O$3),OR('Tasks Filter'!$O$4="Yes",BG998=0)),1,0))</f>
        <v/>
      </c>
      <c r="BJ998">
        <f>IF(BH998=0,"",IF('Tasks Filter'!$F$6="Descending",-1,1)*CHOOSE(MATCH('Tasks Filter'!$F$5,Lists!$G$2:$G$6,0),AW998,BF998,IFERROR(MATCH(AV998,Setup!$F$6:$F$15,0),99),IFERROR(MATCH(BC998,Setup!$H$6:$H$15,0),99),IFERROR(MATCH(AZ998,Setup!$J$6:$J$11,0),99))*1E+9+(AW998-40000)*10000+997)</f>
        <v/>
      </c>
      <c r="BK998">
        <f>IF(BI998=1,BJ998,"")</f>
        <v/>
      </c>
      <c r="BL998">
        <f>IF(AND(BH998=1,BG998=0,N(AW998)&lt;Setup!$D$7),(AW998-40000)*10000+997,"")</f>
        <v/>
      </c>
      <c r="BM998">
        <f>IF(AND(BH998=1,AZ998&lt;&gt;"Cancelled",N(AW998)&gt;=Dashboard!$AB$3,N(AW998)&lt;=Dashboard!$AB$3+6),(AW998-40000)*100000+BF998*10000+997,"")</f>
        <v/>
      </c>
      <c r="BN998">
        <f>IF(AND(BH998=1,AZ998&lt;&gt;"Cancelled"),BF998*10000+997,"")</f>
        <v/>
      </c>
    </row>
    <row r="999">
      <c r="AS999" t="inlineStr">
        <is>
          <t>R</t>
        </is>
      </c>
      <c r="AT999" t="n">
        <v>1003</v>
      </c>
      <c r="AU999">
        <f>'Recurring Log'!C1003&amp;""</f>
        <v/>
      </c>
      <c r="AV999">
        <f>'Recurring Log'!D1003&amp;""</f>
        <v/>
      </c>
      <c r="AW999">
        <f>IF('Recurring Log'!E1003="","",'Recurring Log'!E1003)</f>
        <v/>
      </c>
      <c r="AX999">
        <f>IF('Recurring Log'!G1003="","",'Recurring Log'!G1003)</f>
        <v/>
      </c>
      <c r="AY999">
        <f>IF('Recurring Log'!H1003="","",'Recurring Log'!H1003)</f>
        <v/>
      </c>
      <c r="AZ999">
        <f>IF(AU999="","",IF('Recurring Log'!J1003="","Not Started",'Recurring Log'!J1003))</f>
        <v/>
      </c>
      <c r="BA999">
        <f>'Recurring Log'!L1003&amp;""</f>
        <v/>
      </c>
      <c r="BB999">
        <f>'Recurring Log'!M1003&amp;""</f>
        <v/>
      </c>
      <c r="BC999">
        <f>'Recurring Log'!N1003&amp;""</f>
        <v/>
      </c>
      <c r="BD999">
        <f>'Recurring Log'!O1003&amp;""</f>
        <v/>
      </c>
      <c r="BE999">
        <f>IF('Recurring Log'!K1003="","",'Recurring Log'!K1003)</f>
        <v/>
      </c>
      <c r="BF999">
        <f>IFERROR(MATCH(BA999,Setup!$L$6:$L$9,0),5)</f>
        <v/>
      </c>
      <c r="BG999">
        <f>IF(OR(AZ999="Done",AZ999="Cancelled"),1,0)</f>
        <v/>
      </c>
      <c r="BH999">
        <f>IF(AND(AU999&lt;&gt;"",ISNUMBER(AW999)),1,0)</f>
        <v/>
      </c>
      <c r="BI999">
        <f>IF(BH999=0,0,IF(AND(AW999&gt;='Tasks Filter'!$F$3,AW999&lt;='Tasks Filter'!$F$4,OR('Tasks Filter'!$I$3="",ISNUMBER(SEARCH('Tasks Filter'!$I$3,AU999))),OR('Tasks Filter'!$I$4="",BF999=IFERROR(MATCH('Tasks Filter'!$I$4,Setup!$L$6:$L$9,0),0)),OR('Tasks Filter'!$I$5="Both",AND('Tasks Filter'!$I$5="Yes",BB999="✓"),AND('Tasks Filter'!$I$5="No",BB999&lt;&gt;"✓")),OR('Tasks Filter'!$L$3="",AV999='Tasks Filter'!$L$3),OR('Tasks Filter'!$L$4="",AZ999='Tasks Filter'!$L$4),OR('Tasks Filter'!$L$5="",BC999='Tasks Filter'!$L$5),OR('Tasks Filter'!$O$3="",BD999='Tasks Filter'!$O$3),OR('Tasks Filter'!$O$4="Yes",BG999=0)),1,0))</f>
        <v/>
      </c>
      <c r="BJ999">
        <f>IF(BH999=0,"",IF('Tasks Filter'!$F$6="Descending",-1,1)*CHOOSE(MATCH('Tasks Filter'!$F$5,Lists!$G$2:$G$6,0),AW999,BF999,IFERROR(MATCH(AV999,Setup!$F$6:$F$15,0),99),IFERROR(MATCH(BC999,Setup!$H$6:$H$15,0),99),IFERROR(MATCH(AZ999,Setup!$J$6:$J$11,0),99))*1E+9+(AW999-40000)*10000+998)</f>
        <v/>
      </c>
      <c r="BK999">
        <f>IF(BI999=1,BJ999,"")</f>
        <v/>
      </c>
      <c r="BL999">
        <f>IF(AND(BH999=1,BG999=0,N(AW999)&lt;Setup!$D$7),(AW999-40000)*10000+998,"")</f>
        <v/>
      </c>
      <c r="BM999">
        <f>IF(AND(BH999=1,AZ999&lt;&gt;"Cancelled",N(AW999)&gt;=Dashboard!$AB$3,N(AW999)&lt;=Dashboard!$AB$3+6),(AW999-40000)*100000+BF999*10000+998,"")</f>
        <v/>
      </c>
      <c r="BN999">
        <f>IF(AND(BH999=1,AZ999&lt;&gt;"Cancelled"),BF999*10000+998,"")</f>
        <v/>
      </c>
    </row>
    <row r="1000">
      <c r="AS1000" t="inlineStr">
        <is>
          <t>R</t>
        </is>
      </c>
      <c r="AT1000" t="n">
        <v>1004</v>
      </c>
      <c r="AU1000">
        <f>'Recurring Log'!C1004&amp;""</f>
        <v/>
      </c>
      <c r="AV1000">
        <f>'Recurring Log'!D1004&amp;""</f>
        <v/>
      </c>
      <c r="AW1000">
        <f>IF('Recurring Log'!E1004="","",'Recurring Log'!E1004)</f>
        <v/>
      </c>
      <c r="AX1000">
        <f>IF('Recurring Log'!G1004="","",'Recurring Log'!G1004)</f>
        <v/>
      </c>
      <c r="AY1000">
        <f>IF('Recurring Log'!H1004="","",'Recurring Log'!H1004)</f>
        <v/>
      </c>
      <c r="AZ1000">
        <f>IF(AU1000="","",IF('Recurring Log'!J1004="","Not Started",'Recurring Log'!J1004))</f>
        <v/>
      </c>
      <c r="BA1000">
        <f>'Recurring Log'!L1004&amp;""</f>
        <v/>
      </c>
      <c r="BB1000">
        <f>'Recurring Log'!M1004&amp;""</f>
        <v/>
      </c>
      <c r="BC1000">
        <f>'Recurring Log'!N1004&amp;""</f>
        <v/>
      </c>
      <c r="BD1000">
        <f>'Recurring Log'!O1004&amp;""</f>
        <v/>
      </c>
      <c r="BE1000">
        <f>IF('Recurring Log'!K1004="","",'Recurring Log'!K1004)</f>
        <v/>
      </c>
      <c r="BF1000">
        <f>IFERROR(MATCH(BA1000,Setup!$L$6:$L$9,0),5)</f>
        <v/>
      </c>
      <c r="BG1000">
        <f>IF(OR(AZ1000="Done",AZ1000="Cancelled"),1,0)</f>
        <v/>
      </c>
      <c r="BH1000">
        <f>IF(AND(AU1000&lt;&gt;"",ISNUMBER(AW1000)),1,0)</f>
        <v/>
      </c>
      <c r="BI1000">
        <f>IF(BH1000=0,0,IF(AND(AW1000&gt;='Tasks Filter'!$F$3,AW1000&lt;='Tasks Filter'!$F$4,OR('Tasks Filter'!$I$3="",ISNUMBER(SEARCH('Tasks Filter'!$I$3,AU1000))),OR('Tasks Filter'!$I$4="",BF1000=IFERROR(MATCH('Tasks Filter'!$I$4,Setup!$L$6:$L$9,0),0)),OR('Tasks Filter'!$I$5="Both",AND('Tasks Filter'!$I$5="Yes",BB1000="✓"),AND('Tasks Filter'!$I$5="No",BB1000&lt;&gt;"✓")),OR('Tasks Filter'!$L$3="",AV1000='Tasks Filter'!$L$3),OR('Tasks Filter'!$L$4="",AZ1000='Tasks Filter'!$L$4),OR('Tasks Filter'!$L$5="",BC1000='Tasks Filter'!$L$5),OR('Tasks Filter'!$O$3="",BD1000='Tasks Filter'!$O$3),OR('Tasks Filter'!$O$4="Yes",BG1000=0)),1,0))</f>
        <v/>
      </c>
      <c r="BJ1000">
        <f>IF(BH1000=0,"",IF('Tasks Filter'!$F$6="Descending",-1,1)*CHOOSE(MATCH('Tasks Filter'!$F$5,Lists!$G$2:$G$6,0),AW1000,BF1000,IFERROR(MATCH(AV1000,Setup!$F$6:$F$15,0),99),IFERROR(MATCH(BC1000,Setup!$H$6:$H$15,0),99),IFERROR(MATCH(AZ1000,Setup!$J$6:$J$11,0),99))*1E+9+(AW1000-40000)*10000+999)</f>
        <v/>
      </c>
      <c r="BK1000">
        <f>IF(BI1000=1,BJ1000,"")</f>
        <v/>
      </c>
      <c r="BL1000">
        <f>IF(AND(BH1000=1,BG1000=0,N(AW1000)&lt;Setup!$D$7),(AW1000-40000)*10000+999,"")</f>
        <v/>
      </c>
      <c r="BM1000">
        <f>IF(AND(BH1000=1,AZ1000&lt;&gt;"Cancelled",N(AW1000)&gt;=Dashboard!$AB$3,N(AW1000)&lt;=Dashboard!$AB$3+6),(AW1000-40000)*100000+BF1000*10000+999,"")</f>
        <v/>
      </c>
      <c r="BN1000">
        <f>IF(AND(BH1000=1,AZ1000&lt;&gt;"Cancelled"),BF1000*10000+999,"")</f>
        <v/>
      </c>
    </row>
    <row r="1001">
      <c r="AS1001" t="inlineStr">
        <is>
          <t>R</t>
        </is>
      </c>
      <c r="AT1001" t="n">
        <v>1005</v>
      </c>
      <c r="AU1001">
        <f>'Recurring Log'!C1005&amp;""</f>
        <v/>
      </c>
      <c r="AV1001">
        <f>'Recurring Log'!D1005&amp;""</f>
        <v/>
      </c>
      <c r="AW1001">
        <f>IF('Recurring Log'!E1005="","",'Recurring Log'!E1005)</f>
        <v/>
      </c>
      <c r="AX1001">
        <f>IF('Recurring Log'!G1005="","",'Recurring Log'!G1005)</f>
        <v/>
      </c>
      <c r="AY1001">
        <f>IF('Recurring Log'!H1005="","",'Recurring Log'!H1005)</f>
        <v/>
      </c>
      <c r="AZ1001">
        <f>IF(AU1001="","",IF('Recurring Log'!J1005="","Not Started",'Recurring Log'!J1005))</f>
        <v/>
      </c>
      <c r="BA1001">
        <f>'Recurring Log'!L1005&amp;""</f>
        <v/>
      </c>
      <c r="BB1001">
        <f>'Recurring Log'!M1005&amp;""</f>
        <v/>
      </c>
      <c r="BC1001">
        <f>'Recurring Log'!N1005&amp;""</f>
        <v/>
      </c>
      <c r="BD1001">
        <f>'Recurring Log'!O1005&amp;""</f>
        <v/>
      </c>
      <c r="BE1001">
        <f>IF('Recurring Log'!K1005="","",'Recurring Log'!K1005)</f>
        <v/>
      </c>
      <c r="BF1001">
        <f>IFERROR(MATCH(BA1001,Setup!$L$6:$L$9,0),5)</f>
        <v/>
      </c>
      <c r="BG1001">
        <f>IF(OR(AZ1001="Done",AZ1001="Cancelled"),1,0)</f>
        <v/>
      </c>
      <c r="BH1001">
        <f>IF(AND(AU1001&lt;&gt;"",ISNUMBER(AW1001)),1,0)</f>
        <v/>
      </c>
      <c r="BI1001">
        <f>IF(BH1001=0,0,IF(AND(AW1001&gt;='Tasks Filter'!$F$3,AW1001&lt;='Tasks Filter'!$F$4,OR('Tasks Filter'!$I$3="",ISNUMBER(SEARCH('Tasks Filter'!$I$3,AU1001))),OR('Tasks Filter'!$I$4="",BF1001=IFERROR(MATCH('Tasks Filter'!$I$4,Setup!$L$6:$L$9,0),0)),OR('Tasks Filter'!$I$5="Both",AND('Tasks Filter'!$I$5="Yes",BB1001="✓"),AND('Tasks Filter'!$I$5="No",BB1001&lt;&gt;"✓")),OR('Tasks Filter'!$L$3="",AV1001='Tasks Filter'!$L$3),OR('Tasks Filter'!$L$4="",AZ1001='Tasks Filter'!$L$4),OR('Tasks Filter'!$L$5="",BC1001='Tasks Filter'!$L$5),OR('Tasks Filter'!$O$3="",BD1001='Tasks Filter'!$O$3),OR('Tasks Filter'!$O$4="Yes",BG1001=0)),1,0))</f>
        <v/>
      </c>
      <c r="BJ1001">
        <f>IF(BH1001=0,"",IF('Tasks Filter'!$F$6="Descending",-1,1)*CHOOSE(MATCH('Tasks Filter'!$F$5,Lists!$G$2:$G$6,0),AW1001,BF1001,IFERROR(MATCH(AV1001,Setup!$F$6:$F$15,0),99),IFERROR(MATCH(BC1001,Setup!$H$6:$H$15,0),99),IFERROR(MATCH(AZ1001,Setup!$J$6:$J$11,0),99))*1E+9+(AW1001-40000)*10000+1000)</f>
        <v/>
      </c>
      <c r="BK1001">
        <f>IF(BI1001=1,BJ1001,"")</f>
        <v/>
      </c>
      <c r="BL1001">
        <f>IF(AND(BH1001=1,BG1001=0,N(AW1001)&lt;Setup!$D$7),(AW1001-40000)*10000+1000,"")</f>
        <v/>
      </c>
      <c r="BM1001">
        <f>IF(AND(BH1001=1,AZ1001&lt;&gt;"Cancelled",N(AW1001)&gt;=Dashboard!$AB$3,N(AW1001)&lt;=Dashboard!$AB$3+6),(AW1001-40000)*100000+BF1001*10000+1000,"")</f>
        <v/>
      </c>
      <c r="BN1001">
        <f>IF(AND(BH1001=1,AZ1001&lt;&gt;"Cancelled"),BF1001*10000+1000,"")</f>
        <v/>
      </c>
    </row>
    <row r="1002">
      <c r="AS1002" t="inlineStr">
        <is>
          <t>R</t>
        </is>
      </c>
      <c r="AT1002" t="n">
        <v>1006</v>
      </c>
      <c r="AU1002">
        <f>'Recurring Log'!C1006&amp;""</f>
        <v/>
      </c>
      <c r="AV1002">
        <f>'Recurring Log'!D1006&amp;""</f>
        <v/>
      </c>
      <c r="AW1002">
        <f>IF('Recurring Log'!E1006="","",'Recurring Log'!E1006)</f>
        <v/>
      </c>
      <c r="AX1002">
        <f>IF('Recurring Log'!G1006="","",'Recurring Log'!G1006)</f>
        <v/>
      </c>
      <c r="AY1002">
        <f>IF('Recurring Log'!H1006="","",'Recurring Log'!H1006)</f>
        <v/>
      </c>
      <c r="AZ1002">
        <f>IF(AU1002="","",IF('Recurring Log'!J1006="","Not Started",'Recurring Log'!J1006))</f>
        <v/>
      </c>
      <c r="BA1002">
        <f>'Recurring Log'!L1006&amp;""</f>
        <v/>
      </c>
      <c r="BB1002">
        <f>'Recurring Log'!M1006&amp;""</f>
        <v/>
      </c>
      <c r="BC1002">
        <f>'Recurring Log'!N1006&amp;""</f>
        <v/>
      </c>
      <c r="BD1002">
        <f>'Recurring Log'!O1006&amp;""</f>
        <v/>
      </c>
      <c r="BE1002">
        <f>IF('Recurring Log'!K1006="","",'Recurring Log'!K1006)</f>
        <v/>
      </c>
      <c r="BF1002">
        <f>IFERROR(MATCH(BA1002,Setup!$L$6:$L$9,0),5)</f>
        <v/>
      </c>
      <c r="BG1002">
        <f>IF(OR(AZ1002="Done",AZ1002="Cancelled"),1,0)</f>
        <v/>
      </c>
      <c r="BH1002">
        <f>IF(AND(AU1002&lt;&gt;"",ISNUMBER(AW1002)),1,0)</f>
        <v/>
      </c>
      <c r="BI1002">
        <f>IF(BH1002=0,0,IF(AND(AW1002&gt;='Tasks Filter'!$F$3,AW1002&lt;='Tasks Filter'!$F$4,OR('Tasks Filter'!$I$3="",ISNUMBER(SEARCH('Tasks Filter'!$I$3,AU1002))),OR('Tasks Filter'!$I$4="",BF1002=IFERROR(MATCH('Tasks Filter'!$I$4,Setup!$L$6:$L$9,0),0)),OR('Tasks Filter'!$I$5="Both",AND('Tasks Filter'!$I$5="Yes",BB1002="✓"),AND('Tasks Filter'!$I$5="No",BB1002&lt;&gt;"✓")),OR('Tasks Filter'!$L$3="",AV1002='Tasks Filter'!$L$3),OR('Tasks Filter'!$L$4="",AZ1002='Tasks Filter'!$L$4),OR('Tasks Filter'!$L$5="",BC1002='Tasks Filter'!$L$5),OR('Tasks Filter'!$O$3="",BD1002='Tasks Filter'!$O$3),OR('Tasks Filter'!$O$4="Yes",BG1002=0)),1,0))</f>
        <v/>
      </c>
      <c r="BJ1002">
        <f>IF(BH1002=0,"",IF('Tasks Filter'!$F$6="Descending",-1,1)*CHOOSE(MATCH('Tasks Filter'!$F$5,Lists!$G$2:$G$6,0),AW1002,BF1002,IFERROR(MATCH(AV1002,Setup!$F$6:$F$15,0),99),IFERROR(MATCH(BC1002,Setup!$H$6:$H$15,0),99),IFERROR(MATCH(AZ1002,Setup!$J$6:$J$11,0),99))*1E+9+(AW1002-40000)*10000+1001)</f>
        <v/>
      </c>
      <c r="BK1002">
        <f>IF(BI1002=1,BJ1002,"")</f>
        <v/>
      </c>
      <c r="BL1002">
        <f>IF(AND(BH1002=1,BG1002=0,N(AW1002)&lt;Setup!$D$7),(AW1002-40000)*10000+1001,"")</f>
        <v/>
      </c>
      <c r="BM1002">
        <f>IF(AND(BH1002=1,AZ1002&lt;&gt;"Cancelled",N(AW1002)&gt;=Dashboard!$AB$3,N(AW1002)&lt;=Dashboard!$AB$3+6),(AW1002-40000)*100000+BF1002*10000+1001,"")</f>
        <v/>
      </c>
      <c r="BN1002">
        <f>IF(AND(BH1002=1,AZ1002&lt;&gt;"Cancelled"),BF1002*10000+1001,"")</f>
        <v/>
      </c>
    </row>
    <row r="1003">
      <c r="AS1003" t="inlineStr">
        <is>
          <t>R</t>
        </is>
      </c>
      <c r="AT1003" t="n">
        <v>1007</v>
      </c>
      <c r="AU1003">
        <f>'Recurring Log'!C1007&amp;""</f>
        <v/>
      </c>
      <c r="AV1003">
        <f>'Recurring Log'!D1007&amp;""</f>
        <v/>
      </c>
      <c r="AW1003">
        <f>IF('Recurring Log'!E1007="","",'Recurring Log'!E1007)</f>
        <v/>
      </c>
      <c r="AX1003">
        <f>IF('Recurring Log'!G1007="","",'Recurring Log'!G1007)</f>
        <v/>
      </c>
      <c r="AY1003">
        <f>IF('Recurring Log'!H1007="","",'Recurring Log'!H1007)</f>
        <v/>
      </c>
      <c r="AZ1003">
        <f>IF(AU1003="","",IF('Recurring Log'!J1007="","Not Started",'Recurring Log'!J1007))</f>
        <v/>
      </c>
      <c r="BA1003">
        <f>'Recurring Log'!L1007&amp;""</f>
        <v/>
      </c>
      <c r="BB1003">
        <f>'Recurring Log'!M1007&amp;""</f>
        <v/>
      </c>
      <c r="BC1003">
        <f>'Recurring Log'!N1007&amp;""</f>
        <v/>
      </c>
      <c r="BD1003">
        <f>'Recurring Log'!O1007&amp;""</f>
        <v/>
      </c>
      <c r="BE1003">
        <f>IF('Recurring Log'!K1007="","",'Recurring Log'!K1007)</f>
        <v/>
      </c>
      <c r="BF1003">
        <f>IFERROR(MATCH(BA1003,Setup!$L$6:$L$9,0),5)</f>
        <v/>
      </c>
      <c r="BG1003">
        <f>IF(OR(AZ1003="Done",AZ1003="Cancelled"),1,0)</f>
        <v/>
      </c>
      <c r="BH1003">
        <f>IF(AND(AU1003&lt;&gt;"",ISNUMBER(AW1003)),1,0)</f>
        <v/>
      </c>
      <c r="BI1003">
        <f>IF(BH1003=0,0,IF(AND(AW1003&gt;='Tasks Filter'!$F$3,AW1003&lt;='Tasks Filter'!$F$4,OR('Tasks Filter'!$I$3="",ISNUMBER(SEARCH('Tasks Filter'!$I$3,AU1003))),OR('Tasks Filter'!$I$4="",BF1003=IFERROR(MATCH('Tasks Filter'!$I$4,Setup!$L$6:$L$9,0),0)),OR('Tasks Filter'!$I$5="Both",AND('Tasks Filter'!$I$5="Yes",BB1003="✓"),AND('Tasks Filter'!$I$5="No",BB1003&lt;&gt;"✓")),OR('Tasks Filter'!$L$3="",AV1003='Tasks Filter'!$L$3),OR('Tasks Filter'!$L$4="",AZ1003='Tasks Filter'!$L$4),OR('Tasks Filter'!$L$5="",BC1003='Tasks Filter'!$L$5),OR('Tasks Filter'!$O$3="",BD1003='Tasks Filter'!$O$3),OR('Tasks Filter'!$O$4="Yes",BG1003=0)),1,0))</f>
        <v/>
      </c>
      <c r="BJ1003">
        <f>IF(BH1003=0,"",IF('Tasks Filter'!$F$6="Descending",-1,1)*CHOOSE(MATCH('Tasks Filter'!$F$5,Lists!$G$2:$G$6,0),AW1003,BF1003,IFERROR(MATCH(AV1003,Setup!$F$6:$F$15,0),99),IFERROR(MATCH(BC1003,Setup!$H$6:$H$15,0),99),IFERROR(MATCH(AZ1003,Setup!$J$6:$J$11,0),99))*1E+9+(AW1003-40000)*10000+1002)</f>
        <v/>
      </c>
      <c r="BK1003">
        <f>IF(BI1003=1,BJ1003,"")</f>
        <v/>
      </c>
      <c r="BL1003">
        <f>IF(AND(BH1003=1,BG1003=0,N(AW1003)&lt;Setup!$D$7),(AW1003-40000)*10000+1002,"")</f>
        <v/>
      </c>
      <c r="BM1003">
        <f>IF(AND(BH1003=1,AZ1003&lt;&gt;"Cancelled",N(AW1003)&gt;=Dashboard!$AB$3,N(AW1003)&lt;=Dashboard!$AB$3+6),(AW1003-40000)*100000+BF1003*10000+1002,"")</f>
        <v/>
      </c>
      <c r="BN1003">
        <f>IF(AND(BH1003=1,AZ1003&lt;&gt;"Cancelled"),BF1003*10000+1002,"")</f>
        <v/>
      </c>
    </row>
    <row r="1004">
      <c r="AS1004" t="inlineStr">
        <is>
          <t>R</t>
        </is>
      </c>
      <c r="AT1004" t="n">
        <v>1008</v>
      </c>
      <c r="AU1004">
        <f>'Recurring Log'!C1008&amp;""</f>
        <v/>
      </c>
      <c r="AV1004">
        <f>'Recurring Log'!D1008&amp;""</f>
        <v/>
      </c>
      <c r="AW1004">
        <f>IF('Recurring Log'!E1008="","",'Recurring Log'!E1008)</f>
        <v/>
      </c>
      <c r="AX1004">
        <f>IF('Recurring Log'!G1008="","",'Recurring Log'!G1008)</f>
        <v/>
      </c>
      <c r="AY1004">
        <f>IF('Recurring Log'!H1008="","",'Recurring Log'!H1008)</f>
        <v/>
      </c>
      <c r="AZ1004">
        <f>IF(AU1004="","",IF('Recurring Log'!J1008="","Not Started",'Recurring Log'!J1008))</f>
        <v/>
      </c>
      <c r="BA1004">
        <f>'Recurring Log'!L1008&amp;""</f>
        <v/>
      </c>
      <c r="BB1004">
        <f>'Recurring Log'!M1008&amp;""</f>
        <v/>
      </c>
      <c r="BC1004">
        <f>'Recurring Log'!N1008&amp;""</f>
        <v/>
      </c>
      <c r="BD1004">
        <f>'Recurring Log'!O1008&amp;""</f>
        <v/>
      </c>
      <c r="BE1004">
        <f>IF('Recurring Log'!K1008="","",'Recurring Log'!K1008)</f>
        <v/>
      </c>
      <c r="BF1004">
        <f>IFERROR(MATCH(BA1004,Setup!$L$6:$L$9,0),5)</f>
        <v/>
      </c>
      <c r="BG1004">
        <f>IF(OR(AZ1004="Done",AZ1004="Cancelled"),1,0)</f>
        <v/>
      </c>
      <c r="BH1004">
        <f>IF(AND(AU1004&lt;&gt;"",ISNUMBER(AW1004)),1,0)</f>
        <v/>
      </c>
      <c r="BI1004">
        <f>IF(BH1004=0,0,IF(AND(AW1004&gt;='Tasks Filter'!$F$3,AW1004&lt;='Tasks Filter'!$F$4,OR('Tasks Filter'!$I$3="",ISNUMBER(SEARCH('Tasks Filter'!$I$3,AU1004))),OR('Tasks Filter'!$I$4="",BF1004=IFERROR(MATCH('Tasks Filter'!$I$4,Setup!$L$6:$L$9,0),0)),OR('Tasks Filter'!$I$5="Both",AND('Tasks Filter'!$I$5="Yes",BB1004="✓"),AND('Tasks Filter'!$I$5="No",BB1004&lt;&gt;"✓")),OR('Tasks Filter'!$L$3="",AV1004='Tasks Filter'!$L$3),OR('Tasks Filter'!$L$4="",AZ1004='Tasks Filter'!$L$4),OR('Tasks Filter'!$L$5="",BC1004='Tasks Filter'!$L$5),OR('Tasks Filter'!$O$3="",BD1004='Tasks Filter'!$O$3),OR('Tasks Filter'!$O$4="Yes",BG1004=0)),1,0))</f>
        <v/>
      </c>
      <c r="BJ1004">
        <f>IF(BH1004=0,"",IF('Tasks Filter'!$F$6="Descending",-1,1)*CHOOSE(MATCH('Tasks Filter'!$F$5,Lists!$G$2:$G$6,0),AW1004,BF1004,IFERROR(MATCH(AV1004,Setup!$F$6:$F$15,0),99),IFERROR(MATCH(BC1004,Setup!$H$6:$H$15,0),99),IFERROR(MATCH(AZ1004,Setup!$J$6:$J$11,0),99))*1E+9+(AW1004-40000)*10000+1003)</f>
        <v/>
      </c>
      <c r="BK1004">
        <f>IF(BI1004=1,BJ1004,"")</f>
        <v/>
      </c>
      <c r="BL1004">
        <f>IF(AND(BH1004=1,BG1004=0,N(AW1004)&lt;Setup!$D$7),(AW1004-40000)*10000+1003,"")</f>
        <v/>
      </c>
      <c r="BM1004">
        <f>IF(AND(BH1004=1,AZ1004&lt;&gt;"Cancelled",N(AW1004)&gt;=Dashboard!$AB$3,N(AW1004)&lt;=Dashboard!$AB$3+6),(AW1004-40000)*100000+BF1004*10000+1003,"")</f>
        <v/>
      </c>
      <c r="BN1004">
        <f>IF(AND(BH1004=1,AZ1004&lt;&gt;"Cancelled"),BF1004*10000+1003,"")</f>
        <v/>
      </c>
    </row>
    <row r="1005">
      <c r="AS1005" t="inlineStr">
        <is>
          <t>R</t>
        </is>
      </c>
      <c r="AT1005" t="n">
        <v>1009</v>
      </c>
      <c r="AU1005">
        <f>'Recurring Log'!C1009&amp;""</f>
        <v/>
      </c>
      <c r="AV1005">
        <f>'Recurring Log'!D1009&amp;""</f>
        <v/>
      </c>
      <c r="AW1005">
        <f>IF('Recurring Log'!E1009="","",'Recurring Log'!E1009)</f>
        <v/>
      </c>
      <c r="AX1005">
        <f>IF('Recurring Log'!G1009="","",'Recurring Log'!G1009)</f>
        <v/>
      </c>
      <c r="AY1005">
        <f>IF('Recurring Log'!H1009="","",'Recurring Log'!H1009)</f>
        <v/>
      </c>
      <c r="AZ1005">
        <f>IF(AU1005="","",IF('Recurring Log'!J1009="","Not Started",'Recurring Log'!J1009))</f>
        <v/>
      </c>
      <c r="BA1005">
        <f>'Recurring Log'!L1009&amp;""</f>
        <v/>
      </c>
      <c r="BB1005">
        <f>'Recurring Log'!M1009&amp;""</f>
        <v/>
      </c>
      <c r="BC1005">
        <f>'Recurring Log'!N1009&amp;""</f>
        <v/>
      </c>
      <c r="BD1005">
        <f>'Recurring Log'!O1009&amp;""</f>
        <v/>
      </c>
      <c r="BE1005">
        <f>IF('Recurring Log'!K1009="","",'Recurring Log'!K1009)</f>
        <v/>
      </c>
      <c r="BF1005">
        <f>IFERROR(MATCH(BA1005,Setup!$L$6:$L$9,0),5)</f>
        <v/>
      </c>
      <c r="BG1005">
        <f>IF(OR(AZ1005="Done",AZ1005="Cancelled"),1,0)</f>
        <v/>
      </c>
      <c r="BH1005">
        <f>IF(AND(AU1005&lt;&gt;"",ISNUMBER(AW1005)),1,0)</f>
        <v/>
      </c>
      <c r="BI1005">
        <f>IF(BH1005=0,0,IF(AND(AW1005&gt;='Tasks Filter'!$F$3,AW1005&lt;='Tasks Filter'!$F$4,OR('Tasks Filter'!$I$3="",ISNUMBER(SEARCH('Tasks Filter'!$I$3,AU1005))),OR('Tasks Filter'!$I$4="",BF1005=IFERROR(MATCH('Tasks Filter'!$I$4,Setup!$L$6:$L$9,0),0)),OR('Tasks Filter'!$I$5="Both",AND('Tasks Filter'!$I$5="Yes",BB1005="✓"),AND('Tasks Filter'!$I$5="No",BB1005&lt;&gt;"✓")),OR('Tasks Filter'!$L$3="",AV1005='Tasks Filter'!$L$3),OR('Tasks Filter'!$L$4="",AZ1005='Tasks Filter'!$L$4),OR('Tasks Filter'!$L$5="",BC1005='Tasks Filter'!$L$5),OR('Tasks Filter'!$O$3="",BD1005='Tasks Filter'!$O$3),OR('Tasks Filter'!$O$4="Yes",BG1005=0)),1,0))</f>
        <v/>
      </c>
      <c r="BJ1005">
        <f>IF(BH1005=0,"",IF('Tasks Filter'!$F$6="Descending",-1,1)*CHOOSE(MATCH('Tasks Filter'!$F$5,Lists!$G$2:$G$6,0),AW1005,BF1005,IFERROR(MATCH(AV1005,Setup!$F$6:$F$15,0),99),IFERROR(MATCH(BC1005,Setup!$H$6:$H$15,0),99),IFERROR(MATCH(AZ1005,Setup!$J$6:$J$11,0),99))*1E+9+(AW1005-40000)*10000+1004)</f>
        <v/>
      </c>
      <c r="BK1005">
        <f>IF(BI1005=1,BJ1005,"")</f>
        <v/>
      </c>
      <c r="BL1005">
        <f>IF(AND(BH1005=1,BG1005=0,N(AW1005)&lt;Setup!$D$7),(AW1005-40000)*10000+1004,"")</f>
        <v/>
      </c>
      <c r="BM1005">
        <f>IF(AND(BH1005=1,AZ1005&lt;&gt;"Cancelled",N(AW1005)&gt;=Dashboard!$AB$3,N(AW1005)&lt;=Dashboard!$AB$3+6),(AW1005-40000)*100000+BF1005*10000+1004,"")</f>
        <v/>
      </c>
      <c r="BN1005">
        <f>IF(AND(BH1005=1,AZ1005&lt;&gt;"Cancelled"),BF1005*10000+1004,"")</f>
        <v/>
      </c>
    </row>
    <row r="1006">
      <c r="AS1006" t="inlineStr">
        <is>
          <t>R</t>
        </is>
      </c>
      <c r="AT1006" t="n">
        <v>1010</v>
      </c>
      <c r="AU1006">
        <f>'Recurring Log'!C1010&amp;""</f>
        <v/>
      </c>
      <c r="AV1006">
        <f>'Recurring Log'!D1010&amp;""</f>
        <v/>
      </c>
      <c r="AW1006">
        <f>IF('Recurring Log'!E1010="","",'Recurring Log'!E1010)</f>
        <v/>
      </c>
      <c r="AX1006">
        <f>IF('Recurring Log'!G1010="","",'Recurring Log'!G1010)</f>
        <v/>
      </c>
      <c r="AY1006">
        <f>IF('Recurring Log'!H1010="","",'Recurring Log'!H1010)</f>
        <v/>
      </c>
      <c r="AZ1006">
        <f>IF(AU1006="","",IF('Recurring Log'!J1010="","Not Started",'Recurring Log'!J1010))</f>
        <v/>
      </c>
      <c r="BA1006">
        <f>'Recurring Log'!L1010&amp;""</f>
        <v/>
      </c>
      <c r="BB1006">
        <f>'Recurring Log'!M1010&amp;""</f>
        <v/>
      </c>
      <c r="BC1006">
        <f>'Recurring Log'!N1010&amp;""</f>
        <v/>
      </c>
      <c r="BD1006">
        <f>'Recurring Log'!O1010&amp;""</f>
        <v/>
      </c>
      <c r="BE1006">
        <f>IF('Recurring Log'!K1010="","",'Recurring Log'!K1010)</f>
        <v/>
      </c>
      <c r="BF1006">
        <f>IFERROR(MATCH(BA1006,Setup!$L$6:$L$9,0),5)</f>
        <v/>
      </c>
      <c r="BG1006">
        <f>IF(OR(AZ1006="Done",AZ1006="Cancelled"),1,0)</f>
        <v/>
      </c>
      <c r="BH1006">
        <f>IF(AND(AU1006&lt;&gt;"",ISNUMBER(AW1006)),1,0)</f>
        <v/>
      </c>
      <c r="BI1006">
        <f>IF(BH1006=0,0,IF(AND(AW1006&gt;='Tasks Filter'!$F$3,AW1006&lt;='Tasks Filter'!$F$4,OR('Tasks Filter'!$I$3="",ISNUMBER(SEARCH('Tasks Filter'!$I$3,AU1006))),OR('Tasks Filter'!$I$4="",BF1006=IFERROR(MATCH('Tasks Filter'!$I$4,Setup!$L$6:$L$9,0),0)),OR('Tasks Filter'!$I$5="Both",AND('Tasks Filter'!$I$5="Yes",BB1006="✓"),AND('Tasks Filter'!$I$5="No",BB1006&lt;&gt;"✓")),OR('Tasks Filter'!$L$3="",AV1006='Tasks Filter'!$L$3),OR('Tasks Filter'!$L$4="",AZ1006='Tasks Filter'!$L$4),OR('Tasks Filter'!$L$5="",BC1006='Tasks Filter'!$L$5),OR('Tasks Filter'!$O$3="",BD1006='Tasks Filter'!$O$3),OR('Tasks Filter'!$O$4="Yes",BG1006=0)),1,0))</f>
        <v/>
      </c>
      <c r="BJ1006">
        <f>IF(BH1006=0,"",IF('Tasks Filter'!$F$6="Descending",-1,1)*CHOOSE(MATCH('Tasks Filter'!$F$5,Lists!$G$2:$G$6,0),AW1006,BF1006,IFERROR(MATCH(AV1006,Setup!$F$6:$F$15,0),99),IFERROR(MATCH(BC1006,Setup!$H$6:$H$15,0),99),IFERROR(MATCH(AZ1006,Setup!$J$6:$J$11,0),99))*1E+9+(AW1006-40000)*10000+1005)</f>
        <v/>
      </c>
      <c r="BK1006">
        <f>IF(BI1006=1,BJ1006,"")</f>
        <v/>
      </c>
      <c r="BL1006">
        <f>IF(AND(BH1006=1,BG1006=0,N(AW1006)&lt;Setup!$D$7),(AW1006-40000)*10000+1005,"")</f>
        <v/>
      </c>
      <c r="BM1006">
        <f>IF(AND(BH1006=1,AZ1006&lt;&gt;"Cancelled",N(AW1006)&gt;=Dashboard!$AB$3,N(AW1006)&lt;=Dashboard!$AB$3+6),(AW1006-40000)*100000+BF1006*10000+1005,"")</f>
        <v/>
      </c>
      <c r="BN1006">
        <f>IF(AND(BH1006=1,AZ1006&lt;&gt;"Cancelled"),BF1006*10000+1005,"")</f>
        <v/>
      </c>
    </row>
    <row r="1007">
      <c r="AS1007" t="inlineStr">
        <is>
          <t>R</t>
        </is>
      </c>
      <c r="AT1007" t="n">
        <v>1011</v>
      </c>
      <c r="AU1007">
        <f>'Recurring Log'!C1011&amp;""</f>
        <v/>
      </c>
      <c r="AV1007">
        <f>'Recurring Log'!D1011&amp;""</f>
        <v/>
      </c>
      <c r="AW1007">
        <f>IF('Recurring Log'!E1011="","",'Recurring Log'!E1011)</f>
        <v/>
      </c>
      <c r="AX1007">
        <f>IF('Recurring Log'!G1011="","",'Recurring Log'!G1011)</f>
        <v/>
      </c>
      <c r="AY1007">
        <f>IF('Recurring Log'!H1011="","",'Recurring Log'!H1011)</f>
        <v/>
      </c>
      <c r="AZ1007">
        <f>IF(AU1007="","",IF('Recurring Log'!J1011="","Not Started",'Recurring Log'!J1011))</f>
        <v/>
      </c>
      <c r="BA1007">
        <f>'Recurring Log'!L1011&amp;""</f>
        <v/>
      </c>
      <c r="BB1007">
        <f>'Recurring Log'!M1011&amp;""</f>
        <v/>
      </c>
      <c r="BC1007">
        <f>'Recurring Log'!N1011&amp;""</f>
        <v/>
      </c>
      <c r="BD1007">
        <f>'Recurring Log'!O1011&amp;""</f>
        <v/>
      </c>
      <c r="BE1007">
        <f>IF('Recurring Log'!K1011="","",'Recurring Log'!K1011)</f>
        <v/>
      </c>
      <c r="BF1007">
        <f>IFERROR(MATCH(BA1007,Setup!$L$6:$L$9,0),5)</f>
        <v/>
      </c>
      <c r="BG1007">
        <f>IF(OR(AZ1007="Done",AZ1007="Cancelled"),1,0)</f>
        <v/>
      </c>
      <c r="BH1007">
        <f>IF(AND(AU1007&lt;&gt;"",ISNUMBER(AW1007)),1,0)</f>
        <v/>
      </c>
      <c r="BI1007">
        <f>IF(BH1007=0,0,IF(AND(AW1007&gt;='Tasks Filter'!$F$3,AW1007&lt;='Tasks Filter'!$F$4,OR('Tasks Filter'!$I$3="",ISNUMBER(SEARCH('Tasks Filter'!$I$3,AU1007))),OR('Tasks Filter'!$I$4="",BF1007=IFERROR(MATCH('Tasks Filter'!$I$4,Setup!$L$6:$L$9,0),0)),OR('Tasks Filter'!$I$5="Both",AND('Tasks Filter'!$I$5="Yes",BB1007="✓"),AND('Tasks Filter'!$I$5="No",BB1007&lt;&gt;"✓")),OR('Tasks Filter'!$L$3="",AV1007='Tasks Filter'!$L$3),OR('Tasks Filter'!$L$4="",AZ1007='Tasks Filter'!$L$4),OR('Tasks Filter'!$L$5="",BC1007='Tasks Filter'!$L$5),OR('Tasks Filter'!$O$3="",BD1007='Tasks Filter'!$O$3),OR('Tasks Filter'!$O$4="Yes",BG1007=0)),1,0))</f>
        <v/>
      </c>
      <c r="BJ1007">
        <f>IF(BH1007=0,"",IF('Tasks Filter'!$F$6="Descending",-1,1)*CHOOSE(MATCH('Tasks Filter'!$F$5,Lists!$G$2:$G$6,0),AW1007,BF1007,IFERROR(MATCH(AV1007,Setup!$F$6:$F$15,0),99),IFERROR(MATCH(BC1007,Setup!$H$6:$H$15,0),99),IFERROR(MATCH(AZ1007,Setup!$J$6:$J$11,0),99))*1E+9+(AW1007-40000)*10000+1006)</f>
        <v/>
      </c>
      <c r="BK1007">
        <f>IF(BI1007=1,BJ1007,"")</f>
        <v/>
      </c>
      <c r="BL1007">
        <f>IF(AND(BH1007=1,BG1007=0,N(AW1007)&lt;Setup!$D$7),(AW1007-40000)*10000+1006,"")</f>
        <v/>
      </c>
      <c r="BM1007">
        <f>IF(AND(BH1007=1,AZ1007&lt;&gt;"Cancelled",N(AW1007)&gt;=Dashboard!$AB$3,N(AW1007)&lt;=Dashboard!$AB$3+6),(AW1007-40000)*100000+BF1007*10000+1006,"")</f>
        <v/>
      </c>
      <c r="BN1007">
        <f>IF(AND(BH1007=1,AZ1007&lt;&gt;"Cancelled"),BF1007*10000+1006,"")</f>
        <v/>
      </c>
    </row>
    <row r="1008">
      <c r="AS1008" t="inlineStr">
        <is>
          <t>R</t>
        </is>
      </c>
      <c r="AT1008" t="n">
        <v>1012</v>
      </c>
      <c r="AU1008">
        <f>'Recurring Log'!C1012&amp;""</f>
        <v/>
      </c>
      <c r="AV1008">
        <f>'Recurring Log'!D1012&amp;""</f>
        <v/>
      </c>
      <c r="AW1008">
        <f>IF('Recurring Log'!E1012="","",'Recurring Log'!E1012)</f>
        <v/>
      </c>
      <c r="AX1008">
        <f>IF('Recurring Log'!G1012="","",'Recurring Log'!G1012)</f>
        <v/>
      </c>
      <c r="AY1008">
        <f>IF('Recurring Log'!H1012="","",'Recurring Log'!H1012)</f>
        <v/>
      </c>
      <c r="AZ1008">
        <f>IF(AU1008="","",IF('Recurring Log'!J1012="","Not Started",'Recurring Log'!J1012))</f>
        <v/>
      </c>
      <c r="BA1008">
        <f>'Recurring Log'!L1012&amp;""</f>
        <v/>
      </c>
      <c r="BB1008">
        <f>'Recurring Log'!M1012&amp;""</f>
        <v/>
      </c>
      <c r="BC1008">
        <f>'Recurring Log'!N1012&amp;""</f>
        <v/>
      </c>
      <c r="BD1008">
        <f>'Recurring Log'!O1012&amp;""</f>
        <v/>
      </c>
      <c r="BE1008">
        <f>IF('Recurring Log'!K1012="","",'Recurring Log'!K1012)</f>
        <v/>
      </c>
      <c r="BF1008">
        <f>IFERROR(MATCH(BA1008,Setup!$L$6:$L$9,0),5)</f>
        <v/>
      </c>
      <c r="BG1008">
        <f>IF(OR(AZ1008="Done",AZ1008="Cancelled"),1,0)</f>
        <v/>
      </c>
      <c r="BH1008">
        <f>IF(AND(AU1008&lt;&gt;"",ISNUMBER(AW1008)),1,0)</f>
        <v/>
      </c>
      <c r="BI1008">
        <f>IF(BH1008=0,0,IF(AND(AW1008&gt;='Tasks Filter'!$F$3,AW1008&lt;='Tasks Filter'!$F$4,OR('Tasks Filter'!$I$3="",ISNUMBER(SEARCH('Tasks Filter'!$I$3,AU1008))),OR('Tasks Filter'!$I$4="",BF1008=IFERROR(MATCH('Tasks Filter'!$I$4,Setup!$L$6:$L$9,0),0)),OR('Tasks Filter'!$I$5="Both",AND('Tasks Filter'!$I$5="Yes",BB1008="✓"),AND('Tasks Filter'!$I$5="No",BB1008&lt;&gt;"✓")),OR('Tasks Filter'!$L$3="",AV1008='Tasks Filter'!$L$3),OR('Tasks Filter'!$L$4="",AZ1008='Tasks Filter'!$L$4),OR('Tasks Filter'!$L$5="",BC1008='Tasks Filter'!$L$5),OR('Tasks Filter'!$O$3="",BD1008='Tasks Filter'!$O$3),OR('Tasks Filter'!$O$4="Yes",BG1008=0)),1,0))</f>
        <v/>
      </c>
      <c r="BJ1008">
        <f>IF(BH1008=0,"",IF('Tasks Filter'!$F$6="Descending",-1,1)*CHOOSE(MATCH('Tasks Filter'!$F$5,Lists!$G$2:$G$6,0),AW1008,BF1008,IFERROR(MATCH(AV1008,Setup!$F$6:$F$15,0),99),IFERROR(MATCH(BC1008,Setup!$H$6:$H$15,0),99),IFERROR(MATCH(AZ1008,Setup!$J$6:$J$11,0),99))*1E+9+(AW1008-40000)*10000+1007)</f>
        <v/>
      </c>
      <c r="BK1008">
        <f>IF(BI1008=1,BJ1008,"")</f>
        <v/>
      </c>
      <c r="BL1008">
        <f>IF(AND(BH1008=1,BG1008=0,N(AW1008)&lt;Setup!$D$7),(AW1008-40000)*10000+1007,"")</f>
        <v/>
      </c>
      <c r="BM1008">
        <f>IF(AND(BH1008=1,AZ1008&lt;&gt;"Cancelled",N(AW1008)&gt;=Dashboard!$AB$3,N(AW1008)&lt;=Dashboard!$AB$3+6),(AW1008-40000)*100000+BF1008*10000+1007,"")</f>
        <v/>
      </c>
      <c r="BN1008">
        <f>IF(AND(BH1008=1,AZ1008&lt;&gt;"Cancelled"),BF1008*10000+1007,"")</f>
        <v/>
      </c>
    </row>
    <row r="1009">
      <c r="AS1009" t="inlineStr">
        <is>
          <t>R</t>
        </is>
      </c>
      <c r="AT1009" t="n">
        <v>1013</v>
      </c>
      <c r="AU1009">
        <f>'Recurring Log'!C1013&amp;""</f>
        <v/>
      </c>
      <c r="AV1009">
        <f>'Recurring Log'!D1013&amp;""</f>
        <v/>
      </c>
      <c r="AW1009">
        <f>IF('Recurring Log'!E1013="","",'Recurring Log'!E1013)</f>
        <v/>
      </c>
      <c r="AX1009">
        <f>IF('Recurring Log'!G1013="","",'Recurring Log'!G1013)</f>
        <v/>
      </c>
      <c r="AY1009">
        <f>IF('Recurring Log'!H1013="","",'Recurring Log'!H1013)</f>
        <v/>
      </c>
      <c r="AZ1009">
        <f>IF(AU1009="","",IF('Recurring Log'!J1013="","Not Started",'Recurring Log'!J1013))</f>
        <v/>
      </c>
      <c r="BA1009">
        <f>'Recurring Log'!L1013&amp;""</f>
        <v/>
      </c>
      <c r="BB1009">
        <f>'Recurring Log'!M1013&amp;""</f>
        <v/>
      </c>
      <c r="BC1009">
        <f>'Recurring Log'!N1013&amp;""</f>
        <v/>
      </c>
      <c r="BD1009">
        <f>'Recurring Log'!O1013&amp;""</f>
        <v/>
      </c>
      <c r="BE1009">
        <f>IF('Recurring Log'!K1013="","",'Recurring Log'!K1013)</f>
        <v/>
      </c>
      <c r="BF1009">
        <f>IFERROR(MATCH(BA1009,Setup!$L$6:$L$9,0),5)</f>
        <v/>
      </c>
      <c r="BG1009">
        <f>IF(OR(AZ1009="Done",AZ1009="Cancelled"),1,0)</f>
        <v/>
      </c>
      <c r="BH1009">
        <f>IF(AND(AU1009&lt;&gt;"",ISNUMBER(AW1009)),1,0)</f>
        <v/>
      </c>
      <c r="BI1009">
        <f>IF(BH1009=0,0,IF(AND(AW1009&gt;='Tasks Filter'!$F$3,AW1009&lt;='Tasks Filter'!$F$4,OR('Tasks Filter'!$I$3="",ISNUMBER(SEARCH('Tasks Filter'!$I$3,AU1009))),OR('Tasks Filter'!$I$4="",BF1009=IFERROR(MATCH('Tasks Filter'!$I$4,Setup!$L$6:$L$9,0),0)),OR('Tasks Filter'!$I$5="Both",AND('Tasks Filter'!$I$5="Yes",BB1009="✓"),AND('Tasks Filter'!$I$5="No",BB1009&lt;&gt;"✓")),OR('Tasks Filter'!$L$3="",AV1009='Tasks Filter'!$L$3),OR('Tasks Filter'!$L$4="",AZ1009='Tasks Filter'!$L$4),OR('Tasks Filter'!$L$5="",BC1009='Tasks Filter'!$L$5),OR('Tasks Filter'!$O$3="",BD1009='Tasks Filter'!$O$3),OR('Tasks Filter'!$O$4="Yes",BG1009=0)),1,0))</f>
        <v/>
      </c>
      <c r="BJ1009">
        <f>IF(BH1009=0,"",IF('Tasks Filter'!$F$6="Descending",-1,1)*CHOOSE(MATCH('Tasks Filter'!$F$5,Lists!$G$2:$G$6,0),AW1009,BF1009,IFERROR(MATCH(AV1009,Setup!$F$6:$F$15,0),99),IFERROR(MATCH(BC1009,Setup!$H$6:$H$15,0),99),IFERROR(MATCH(AZ1009,Setup!$J$6:$J$11,0),99))*1E+9+(AW1009-40000)*10000+1008)</f>
        <v/>
      </c>
      <c r="BK1009">
        <f>IF(BI1009=1,BJ1009,"")</f>
        <v/>
      </c>
      <c r="BL1009">
        <f>IF(AND(BH1009=1,BG1009=0,N(AW1009)&lt;Setup!$D$7),(AW1009-40000)*10000+1008,"")</f>
        <v/>
      </c>
      <c r="BM1009">
        <f>IF(AND(BH1009=1,AZ1009&lt;&gt;"Cancelled",N(AW1009)&gt;=Dashboard!$AB$3,N(AW1009)&lt;=Dashboard!$AB$3+6),(AW1009-40000)*100000+BF1009*10000+1008,"")</f>
        <v/>
      </c>
      <c r="BN1009">
        <f>IF(AND(BH1009=1,AZ1009&lt;&gt;"Cancelled"),BF1009*10000+1008,"")</f>
        <v/>
      </c>
    </row>
    <row r="1010">
      <c r="AS1010" t="inlineStr">
        <is>
          <t>R</t>
        </is>
      </c>
      <c r="AT1010" t="n">
        <v>1014</v>
      </c>
      <c r="AU1010">
        <f>'Recurring Log'!C1014&amp;""</f>
        <v/>
      </c>
      <c r="AV1010">
        <f>'Recurring Log'!D1014&amp;""</f>
        <v/>
      </c>
      <c r="AW1010">
        <f>IF('Recurring Log'!E1014="","",'Recurring Log'!E1014)</f>
        <v/>
      </c>
      <c r="AX1010">
        <f>IF('Recurring Log'!G1014="","",'Recurring Log'!G1014)</f>
        <v/>
      </c>
      <c r="AY1010">
        <f>IF('Recurring Log'!H1014="","",'Recurring Log'!H1014)</f>
        <v/>
      </c>
      <c r="AZ1010">
        <f>IF(AU1010="","",IF('Recurring Log'!J1014="","Not Started",'Recurring Log'!J1014))</f>
        <v/>
      </c>
      <c r="BA1010">
        <f>'Recurring Log'!L1014&amp;""</f>
        <v/>
      </c>
      <c r="BB1010">
        <f>'Recurring Log'!M1014&amp;""</f>
        <v/>
      </c>
      <c r="BC1010">
        <f>'Recurring Log'!N1014&amp;""</f>
        <v/>
      </c>
      <c r="BD1010">
        <f>'Recurring Log'!O1014&amp;""</f>
        <v/>
      </c>
      <c r="BE1010">
        <f>IF('Recurring Log'!K1014="","",'Recurring Log'!K1014)</f>
        <v/>
      </c>
      <c r="BF1010">
        <f>IFERROR(MATCH(BA1010,Setup!$L$6:$L$9,0),5)</f>
        <v/>
      </c>
      <c r="BG1010">
        <f>IF(OR(AZ1010="Done",AZ1010="Cancelled"),1,0)</f>
        <v/>
      </c>
      <c r="BH1010">
        <f>IF(AND(AU1010&lt;&gt;"",ISNUMBER(AW1010)),1,0)</f>
        <v/>
      </c>
      <c r="BI1010">
        <f>IF(BH1010=0,0,IF(AND(AW1010&gt;='Tasks Filter'!$F$3,AW1010&lt;='Tasks Filter'!$F$4,OR('Tasks Filter'!$I$3="",ISNUMBER(SEARCH('Tasks Filter'!$I$3,AU1010))),OR('Tasks Filter'!$I$4="",BF1010=IFERROR(MATCH('Tasks Filter'!$I$4,Setup!$L$6:$L$9,0),0)),OR('Tasks Filter'!$I$5="Both",AND('Tasks Filter'!$I$5="Yes",BB1010="✓"),AND('Tasks Filter'!$I$5="No",BB1010&lt;&gt;"✓")),OR('Tasks Filter'!$L$3="",AV1010='Tasks Filter'!$L$3),OR('Tasks Filter'!$L$4="",AZ1010='Tasks Filter'!$L$4),OR('Tasks Filter'!$L$5="",BC1010='Tasks Filter'!$L$5),OR('Tasks Filter'!$O$3="",BD1010='Tasks Filter'!$O$3),OR('Tasks Filter'!$O$4="Yes",BG1010=0)),1,0))</f>
        <v/>
      </c>
      <c r="BJ1010">
        <f>IF(BH1010=0,"",IF('Tasks Filter'!$F$6="Descending",-1,1)*CHOOSE(MATCH('Tasks Filter'!$F$5,Lists!$G$2:$G$6,0),AW1010,BF1010,IFERROR(MATCH(AV1010,Setup!$F$6:$F$15,0),99),IFERROR(MATCH(BC1010,Setup!$H$6:$H$15,0),99),IFERROR(MATCH(AZ1010,Setup!$J$6:$J$11,0),99))*1E+9+(AW1010-40000)*10000+1009)</f>
        <v/>
      </c>
      <c r="BK1010">
        <f>IF(BI1010=1,BJ1010,"")</f>
        <v/>
      </c>
      <c r="BL1010">
        <f>IF(AND(BH1010=1,BG1010=0,N(AW1010)&lt;Setup!$D$7),(AW1010-40000)*10000+1009,"")</f>
        <v/>
      </c>
      <c r="BM1010">
        <f>IF(AND(BH1010=1,AZ1010&lt;&gt;"Cancelled",N(AW1010)&gt;=Dashboard!$AB$3,N(AW1010)&lt;=Dashboard!$AB$3+6),(AW1010-40000)*100000+BF1010*10000+1009,"")</f>
        <v/>
      </c>
      <c r="BN1010">
        <f>IF(AND(BH1010=1,AZ1010&lt;&gt;"Cancelled"),BF1010*10000+1009,"")</f>
        <v/>
      </c>
    </row>
    <row r="1011">
      <c r="AS1011" t="inlineStr">
        <is>
          <t>R</t>
        </is>
      </c>
      <c r="AT1011" t="n">
        <v>1015</v>
      </c>
      <c r="AU1011">
        <f>'Recurring Log'!C1015&amp;""</f>
        <v/>
      </c>
      <c r="AV1011">
        <f>'Recurring Log'!D1015&amp;""</f>
        <v/>
      </c>
      <c r="AW1011">
        <f>IF('Recurring Log'!E1015="","",'Recurring Log'!E1015)</f>
        <v/>
      </c>
      <c r="AX1011">
        <f>IF('Recurring Log'!G1015="","",'Recurring Log'!G1015)</f>
        <v/>
      </c>
      <c r="AY1011">
        <f>IF('Recurring Log'!H1015="","",'Recurring Log'!H1015)</f>
        <v/>
      </c>
      <c r="AZ1011">
        <f>IF(AU1011="","",IF('Recurring Log'!J1015="","Not Started",'Recurring Log'!J1015))</f>
        <v/>
      </c>
      <c r="BA1011">
        <f>'Recurring Log'!L1015&amp;""</f>
        <v/>
      </c>
      <c r="BB1011">
        <f>'Recurring Log'!M1015&amp;""</f>
        <v/>
      </c>
      <c r="BC1011">
        <f>'Recurring Log'!N1015&amp;""</f>
        <v/>
      </c>
      <c r="BD1011">
        <f>'Recurring Log'!O1015&amp;""</f>
        <v/>
      </c>
      <c r="BE1011">
        <f>IF('Recurring Log'!K1015="","",'Recurring Log'!K1015)</f>
        <v/>
      </c>
      <c r="BF1011">
        <f>IFERROR(MATCH(BA1011,Setup!$L$6:$L$9,0),5)</f>
        <v/>
      </c>
      <c r="BG1011">
        <f>IF(OR(AZ1011="Done",AZ1011="Cancelled"),1,0)</f>
        <v/>
      </c>
      <c r="BH1011">
        <f>IF(AND(AU1011&lt;&gt;"",ISNUMBER(AW1011)),1,0)</f>
        <v/>
      </c>
      <c r="BI1011">
        <f>IF(BH1011=0,0,IF(AND(AW1011&gt;='Tasks Filter'!$F$3,AW1011&lt;='Tasks Filter'!$F$4,OR('Tasks Filter'!$I$3="",ISNUMBER(SEARCH('Tasks Filter'!$I$3,AU1011))),OR('Tasks Filter'!$I$4="",BF1011=IFERROR(MATCH('Tasks Filter'!$I$4,Setup!$L$6:$L$9,0),0)),OR('Tasks Filter'!$I$5="Both",AND('Tasks Filter'!$I$5="Yes",BB1011="✓"),AND('Tasks Filter'!$I$5="No",BB1011&lt;&gt;"✓")),OR('Tasks Filter'!$L$3="",AV1011='Tasks Filter'!$L$3),OR('Tasks Filter'!$L$4="",AZ1011='Tasks Filter'!$L$4),OR('Tasks Filter'!$L$5="",BC1011='Tasks Filter'!$L$5),OR('Tasks Filter'!$O$3="",BD1011='Tasks Filter'!$O$3),OR('Tasks Filter'!$O$4="Yes",BG1011=0)),1,0))</f>
        <v/>
      </c>
      <c r="BJ1011">
        <f>IF(BH1011=0,"",IF('Tasks Filter'!$F$6="Descending",-1,1)*CHOOSE(MATCH('Tasks Filter'!$F$5,Lists!$G$2:$G$6,0),AW1011,BF1011,IFERROR(MATCH(AV1011,Setup!$F$6:$F$15,0),99),IFERROR(MATCH(BC1011,Setup!$H$6:$H$15,0),99),IFERROR(MATCH(AZ1011,Setup!$J$6:$J$11,0),99))*1E+9+(AW1011-40000)*10000+1010)</f>
        <v/>
      </c>
      <c r="BK1011">
        <f>IF(BI1011=1,BJ1011,"")</f>
        <v/>
      </c>
      <c r="BL1011">
        <f>IF(AND(BH1011=1,BG1011=0,N(AW1011)&lt;Setup!$D$7),(AW1011-40000)*10000+1010,"")</f>
        <v/>
      </c>
      <c r="BM1011">
        <f>IF(AND(BH1011=1,AZ1011&lt;&gt;"Cancelled",N(AW1011)&gt;=Dashboard!$AB$3,N(AW1011)&lt;=Dashboard!$AB$3+6),(AW1011-40000)*100000+BF1011*10000+1010,"")</f>
        <v/>
      </c>
      <c r="BN1011">
        <f>IF(AND(BH1011=1,AZ1011&lt;&gt;"Cancelled"),BF1011*10000+1010,"")</f>
        <v/>
      </c>
    </row>
    <row r="1012">
      <c r="AS1012" t="inlineStr">
        <is>
          <t>R</t>
        </is>
      </c>
      <c r="AT1012" t="n">
        <v>1016</v>
      </c>
      <c r="AU1012">
        <f>'Recurring Log'!C1016&amp;""</f>
        <v/>
      </c>
      <c r="AV1012">
        <f>'Recurring Log'!D1016&amp;""</f>
        <v/>
      </c>
      <c r="AW1012">
        <f>IF('Recurring Log'!E1016="","",'Recurring Log'!E1016)</f>
        <v/>
      </c>
      <c r="AX1012">
        <f>IF('Recurring Log'!G1016="","",'Recurring Log'!G1016)</f>
        <v/>
      </c>
      <c r="AY1012">
        <f>IF('Recurring Log'!H1016="","",'Recurring Log'!H1016)</f>
        <v/>
      </c>
      <c r="AZ1012">
        <f>IF(AU1012="","",IF('Recurring Log'!J1016="","Not Started",'Recurring Log'!J1016))</f>
        <v/>
      </c>
      <c r="BA1012">
        <f>'Recurring Log'!L1016&amp;""</f>
        <v/>
      </c>
      <c r="BB1012">
        <f>'Recurring Log'!M1016&amp;""</f>
        <v/>
      </c>
      <c r="BC1012">
        <f>'Recurring Log'!N1016&amp;""</f>
        <v/>
      </c>
      <c r="BD1012">
        <f>'Recurring Log'!O1016&amp;""</f>
        <v/>
      </c>
      <c r="BE1012">
        <f>IF('Recurring Log'!K1016="","",'Recurring Log'!K1016)</f>
        <v/>
      </c>
      <c r="BF1012">
        <f>IFERROR(MATCH(BA1012,Setup!$L$6:$L$9,0),5)</f>
        <v/>
      </c>
      <c r="BG1012">
        <f>IF(OR(AZ1012="Done",AZ1012="Cancelled"),1,0)</f>
        <v/>
      </c>
      <c r="BH1012">
        <f>IF(AND(AU1012&lt;&gt;"",ISNUMBER(AW1012)),1,0)</f>
        <v/>
      </c>
      <c r="BI1012">
        <f>IF(BH1012=0,0,IF(AND(AW1012&gt;='Tasks Filter'!$F$3,AW1012&lt;='Tasks Filter'!$F$4,OR('Tasks Filter'!$I$3="",ISNUMBER(SEARCH('Tasks Filter'!$I$3,AU1012))),OR('Tasks Filter'!$I$4="",BF1012=IFERROR(MATCH('Tasks Filter'!$I$4,Setup!$L$6:$L$9,0),0)),OR('Tasks Filter'!$I$5="Both",AND('Tasks Filter'!$I$5="Yes",BB1012="✓"),AND('Tasks Filter'!$I$5="No",BB1012&lt;&gt;"✓")),OR('Tasks Filter'!$L$3="",AV1012='Tasks Filter'!$L$3),OR('Tasks Filter'!$L$4="",AZ1012='Tasks Filter'!$L$4),OR('Tasks Filter'!$L$5="",BC1012='Tasks Filter'!$L$5),OR('Tasks Filter'!$O$3="",BD1012='Tasks Filter'!$O$3),OR('Tasks Filter'!$O$4="Yes",BG1012=0)),1,0))</f>
        <v/>
      </c>
      <c r="BJ1012">
        <f>IF(BH1012=0,"",IF('Tasks Filter'!$F$6="Descending",-1,1)*CHOOSE(MATCH('Tasks Filter'!$F$5,Lists!$G$2:$G$6,0),AW1012,BF1012,IFERROR(MATCH(AV1012,Setup!$F$6:$F$15,0),99),IFERROR(MATCH(BC1012,Setup!$H$6:$H$15,0),99),IFERROR(MATCH(AZ1012,Setup!$J$6:$J$11,0),99))*1E+9+(AW1012-40000)*10000+1011)</f>
        <v/>
      </c>
      <c r="BK1012">
        <f>IF(BI1012=1,BJ1012,"")</f>
        <v/>
      </c>
      <c r="BL1012">
        <f>IF(AND(BH1012=1,BG1012=0,N(AW1012)&lt;Setup!$D$7),(AW1012-40000)*10000+1011,"")</f>
        <v/>
      </c>
      <c r="BM1012">
        <f>IF(AND(BH1012=1,AZ1012&lt;&gt;"Cancelled",N(AW1012)&gt;=Dashboard!$AB$3,N(AW1012)&lt;=Dashboard!$AB$3+6),(AW1012-40000)*100000+BF1012*10000+1011,"")</f>
        <v/>
      </c>
      <c r="BN1012">
        <f>IF(AND(BH1012=1,AZ1012&lt;&gt;"Cancelled"),BF1012*10000+1011,"")</f>
        <v/>
      </c>
    </row>
    <row r="1013">
      <c r="AS1013" t="inlineStr">
        <is>
          <t>R</t>
        </is>
      </c>
      <c r="AT1013" t="n">
        <v>1017</v>
      </c>
      <c r="AU1013">
        <f>'Recurring Log'!C1017&amp;""</f>
        <v/>
      </c>
      <c r="AV1013">
        <f>'Recurring Log'!D1017&amp;""</f>
        <v/>
      </c>
      <c r="AW1013">
        <f>IF('Recurring Log'!E1017="","",'Recurring Log'!E1017)</f>
        <v/>
      </c>
      <c r="AX1013">
        <f>IF('Recurring Log'!G1017="","",'Recurring Log'!G1017)</f>
        <v/>
      </c>
      <c r="AY1013">
        <f>IF('Recurring Log'!H1017="","",'Recurring Log'!H1017)</f>
        <v/>
      </c>
      <c r="AZ1013">
        <f>IF(AU1013="","",IF('Recurring Log'!J1017="","Not Started",'Recurring Log'!J1017))</f>
        <v/>
      </c>
      <c r="BA1013">
        <f>'Recurring Log'!L1017&amp;""</f>
        <v/>
      </c>
      <c r="BB1013">
        <f>'Recurring Log'!M1017&amp;""</f>
        <v/>
      </c>
      <c r="BC1013">
        <f>'Recurring Log'!N1017&amp;""</f>
        <v/>
      </c>
      <c r="BD1013">
        <f>'Recurring Log'!O1017&amp;""</f>
        <v/>
      </c>
      <c r="BE1013">
        <f>IF('Recurring Log'!K1017="","",'Recurring Log'!K1017)</f>
        <v/>
      </c>
      <c r="BF1013">
        <f>IFERROR(MATCH(BA1013,Setup!$L$6:$L$9,0),5)</f>
        <v/>
      </c>
      <c r="BG1013">
        <f>IF(OR(AZ1013="Done",AZ1013="Cancelled"),1,0)</f>
        <v/>
      </c>
      <c r="BH1013">
        <f>IF(AND(AU1013&lt;&gt;"",ISNUMBER(AW1013)),1,0)</f>
        <v/>
      </c>
      <c r="BI1013">
        <f>IF(BH1013=0,0,IF(AND(AW1013&gt;='Tasks Filter'!$F$3,AW1013&lt;='Tasks Filter'!$F$4,OR('Tasks Filter'!$I$3="",ISNUMBER(SEARCH('Tasks Filter'!$I$3,AU1013))),OR('Tasks Filter'!$I$4="",BF1013=IFERROR(MATCH('Tasks Filter'!$I$4,Setup!$L$6:$L$9,0),0)),OR('Tasks Filter'!$I$5="Both",AND('Tasks Filter'!$I$5="Yes",BB1013="✓"),AND('Tasks Filter'!$I$5="No",BB1013&lt;&gt;"✓")),OR('Tasks Filter'!$L$3="",AV1013='Tasks Filter'!$L$3),OR('Tasks Filter'!$L$4="",AZ1013='Tasks Filter'!$L$4),OR('Tasks Filter'!$L$5="",BC1013='Tasks Filter'!$L$5),OR('Tasks Filter'!$O$3="",BD1013='Tasks Filter'!$O$3),OR('Tasks Filter'!$O$4="Yes",BG1013=0)),1,0))</f>
        <v/>
      </c>
      <c r="BJ1013">
        <f>IF(BH1013=0,"",IF('Tasks Filter'!$F$6="Descending",-1,1)*CHOOSE(MATCH('Tasks Filter'!$F$5,Lists!$G$2:$G$6,0),AW1013,BF1013,IFERROR(MATCH(AV1013,Setup!$F$6:$F$15,0),99),IFERROR(MATCH(BC1013,Setup!$H$6:$H$15,0),99),IFERROR(MATCH(AZ1013,Setup!$J$6:$J$11,0),99))*1E+9+(AW1013-40000)*10000+1012)</f>
        <v/>
      </c>
      <c r="BK1013">
        <f>IF(BI1013=1,BJ1013,"")</f>
        <v/>
      </c>
      <c r="BL1013">
        <f>IF(AND(BH1013=1,BG1013=0,N(AW1013)&lt;Setup!$D$7),(AW1013-40000)*10000+1012,"")</f>
        <v/>
      </c>
      <c r="BM1013">
        <f>IF(AND(BH1013=1,AZ1013&lt;&gt;"Cancelled",N(AW1013)&gt;=Dashboard!$AB$3,N(AW1013)&lt;=Dashboard!$AB$3+6),(AW1013-40000)*100000+BF1013*10000+1012,"")</f>
        <v/>
      </c>
      <c r="BN1013">
        <f>IF(AND(BH1013=1,AZ1013&lt;&gt;"Cancelled"),BF1013*10000+1012,"")</f>
        <v/>
      </c>
    </row>
    <row r="1014">
      <c r="AS1014" t="inlineStr">
        <is>
          <t>R</t>
        </is>
      </c>
      <c r="AT1014" t="n">
        <v>1018</v>
      </c>
      <c r="AU1014">
        <f>'Recurring Log'!C1018&amp;""</f>
        <v/>
      </c>
      <c r="AV1014">
        <f>'Recurring Log'!D1018&amp;""</f>
        <v/>
      </c>
      <c r="AW1014">
        <f>IF('Recurring Log'!E1018="","",'Recurring Log'!E1018)</f>
        <v/>
      </c>
      <c r="AX1014">
        <f>IF('Recurring Log'!G1018="","",'Recurring Log'!G1018)</f>
        <v/>
      </c>
      <c r="AY1014">
        <f>IF('Recurring Log'!H1018="","",'Recurring Log'!H1018)</f>
        <v/>
      </c>
      <c r="AZ1014">
        <f>IF(AU1014="","",IF('Recurring Log'!J1018="","Not Started",'Recurring Log'!J1018))</f>
        <v/>
      </c>
      <c r="BA1014">
        <f>'Recurring Log'!L1018&amp;""</f>
        <v/>
      </c>
      <c r="BB1014">
        <f>'Recurring Log'!M1018&amp;""</f>
        <v/>
      </c>
      <c r="BC1014">
        <f>'Recurring Log'!N1018&amp;""</f>
        <v/>
      </c>
      <c r="BD1014">
        <f>'Recurring Log'!O1018&amp;""</f>
        <v/>
      </c>
      <c r="BE1014">
        <f>IF('Recurring Log'!K1018="","",'Recurring Log'!K1018)</f>
        <v/>
      </c>
      <c r="BF1014">
        <f>IFERROR(MATCH(BA1014,Setup!$L$6:$L$9,0),5)</f>
        <v/>
      </c>
      <c r="BG1014">
        <f>IF(OR(AZ1014="Done",AZ1014="Cancelled"),1,0)</f>
        <v/>
      </c>
      <c r="BH1014">
        <f>IF(AND(AU1014&lt;&gt;"",ISNUMBER(AW1014)),1,0)</f>
        <v/>
      </c>
      <c r="BI1014">
        <f>IF(BH1014=0,0,IF(AND(AW1014&gt;='Tasks Filter'!$F$3,AW1014&lt;='Tasks Filter'!$F$4,OR('Tasks Filter'!$I$3="",ISNUMBER(SEARCH('Tasks Filter'!$I$3,AU1014))),OR('Tasks Filter'!$I$4="",BF1014=IFERROR(MATCH('Tasks Filter'!$I$4,Setup!$L$6:$L$9,0),0)),OR('Tasks Filter'!$I$5="Both",AND('Tasks Filter'!$I$5="Yes",BB1014="✓"),AND('Tasks Filter'!$I$5="No",BB1014&lt;&gt;"✓")),OR('Tasks Filter'!$L$3="",AV1014='Tasks Filter'!$L$3),OR('Tasks Filter'!$L$4="",AZ1014='Tasks Filter'!$L$4),OR('Tasks Filter'!$L$5="",BC1014='Tasks Filter'!$L$5),OR('Tasks Filter'!$O$3="",BD1014='Tasks Filter'!$O$3),OR('Tasks Filter'!$O$4="Yes",BG1014=0)),1,0))</f>
        <v/>
      </c>
      <c r="BJ1014">
        <f>IF(BH1014=0,"",IF('Tasks Filter'!$F$6="Descending",-1,1)*CHOOSE(MATCH('Tasks Filter'!$F$5,Lists!$G$2:$G$6,0),AW1014,BF1014,IFERROR(MATCH(AV1014,Setup!$F$6:$F$15,0),99),IFERROR(MATCH(BC1014,Setup!$H$6:$H$15,0),99),IFERROR(MATCH(AZ1014,Setup!$J$6:$J$11,0),99))*1E+9+(AW1014-40000)*10000+1013)</f>
        <v/>
      </c>
      <c r="BK1014">
        <f>IF(BI1014=1,BJ1014,"")</f>
        <v/>
      </c>
      <c r="BL1014">
        <f>IF(AND(BH1014=1,BG1014=0,N(AW1014)&lt;Setup!$D$7),(AW1014-40000)*10000+1013,"")</f>
        <v/>
      </c>
      <c r="BM1014">
        <f>IF(AND(BH1014=1,AZ1014&lt;&gt;"Cancelled",N(AW1014)&gt;=Dashboard!$AB$3,N(AW1014)&lt;=Dashboard!$AB$3+6),(AW1014-40000)*100000+BF1014*10000+1013,"")</f>
        <v/>
      </c>
      <c r="BN1014">
        <f>IF(AND(BH1014=1,AZ1014&lt;&gt;"Cancelled"),BF1014*10000+1013,"")</f>
        <v/>
      </c>
    </row>
    <row r="1015">
      <c r="AS1015" t="inlineStr">
        <is>
          <t>R</t>
        </is>
      </c>
      <c r="AT1015" t="n">
        <v>1019</v>
      </c>
      <c r="AU1015">
        <f>'Recurring Log'!C1019&amp;""</f>
        <v/>
      </c>
      <c r="AV1015">
        <f>'Recurring Log'!D1019&amp;""</f>
        <v/>
      </c>
      <c r="AW1015">
        <f>IF('Recurring Log'!E1019="","",'Recurring Log'!E1019)</f>
        <v/>
      </c>
      <c r="AX1015">
        <f>IF('Recurring Log'!G1019="","",'Recurring Log'!G1019)</f>
        <v/>
      </c>
      <c r="AY1015">
        <f>IF('Recurring Log'!H1019="","",'Recurring Log'!H1019)</f>
        <v/>
      </c>
      <c r="AZ1015">
        <f>IF(AU1015="","",IF('Recurring Log'!J1019="","Not Started",'Recurring Log'!J1019))</f>
        <v/>
      </c>
      <c r="BA1015">
        <f>'Recurring Log'!L1019&amp;""</f>
        <v/>
      </c>
      <c r="BB1015">
        <f>'Recurring Log'!M1019&amp;""</f>
        <v/>
      </c>
      <c r="BC1015">
        <f>'Recurring Log'!N1019&amp;""</f>
        <v/>
      </c>
      <c r="BD1015">
        <f>'Recurring Log'!O1019&amp;""</f>
        <v/>
      </c>
      <c r="BE1015">
        <f>IF('Recurring Log'!K1019="","",'Recurring Log'!K1019)</f>
        <v/>
      </c>
      <c r="BF1015">
        <f>IFERROR(MATCH(BA1015,Setup!$L$6:$L$9,0),5)</f>
        <v/>
      </c>
      <c r="BG1015">
        <f>IF(OR(AZ1015="Done",AZ1015="Cancelled"),1,0)</f>
        <v/>
      </c>
      <c r="BH1015">
        <f>IF(AND(AU1015&lt;&gt;"",ISNUMBER(AW1015)),1,0)</f>
        <v/>
      </c>
      <c r="BI1015">
        <f>IF(BH1015=0,0,IF(AND(AW1015&gt;='Tasks Filter'!$F$3,AW1015&lt;='Tasks Filter'!$F$4,OR('Tasks Filter'!$I$3="",ISNUMBER(SEARCH('Tasks Filter'!$I$3,AU1015))),OR('Tasks Filter'!$I$4="",BF1015=IFERROR(MATCH('Tasks Filter'!$I$4,Setup!$L$6:$L$9,0),0)),OR('Tasks Filter'!$I$5="Both",AND('Tasks Filter'!$I$5="Yes",BB1015="✓"),AND('Tasks Filter'!$I$5="No",BB1015&lt;&gt;"✓")),OR('Tasks Filter'!$L$3="",AV1015='Tasks Filter'!$L$3),OR('Tasks Filter'!$L$4="",AZ1015='Tasks Filter'!$L$4),OR('Tasks Filter'!$L$5="",BC1015='Tasks Filter'!$L$5),OR('Tasks Filter'!$O$3="",BD1015='Tasks Filter'!$O$3),OR('Tasks Filter'!$O$4="Yes",BG1015=0)),1,0))</f>
        <v/>
      </c>
      <c r="BJ1015">
        <f>IF(BH1015=0,"",IF('Tasks Filter'!$F$6="Descending",-1,1)*CHOOSE(MATCH('Tasks Filter'!$F$5,Lists!$G$2:$G$6,0),AW1015,BF1015,IFERROR(MATCH(AV1015,Setup!$F$6:$F$15,0),99),IFERROR(MATCH(BC1015,Setup!$H$6:$H$15,0),99),IFERROR(MATCH(AZ1015,Setup!$J$6:$J$11,0),99))*1E+9+(AW1015-40000)*10000+1014)</f>
        <v/>
      </c>
      <c r="BK1015">
        <f>IF(BI1015=1,BJ1015,"")</f>
        <v/>
      </c>
      <c r="BL1015">
        <f>IF(AND(BH1015=1,BG1015=0,N(AW1015)&lt;Setup!$D$7),(AW1015-40000)*10000+1014,"")</f>
        <v/>
      </c>
      <c r="BM1015">
        <f>IF(AND(BH1015=1,AZ1015&lt;&gt;"Cancelled",N(AW1015)&gt;=Dashboard!$AB$3,N(AW1015)&lt;=Dashboard!$AB$3+6),(AW1015-40000)*100000+BF1015*10000+1014,"")</f>
        <v/>
      </c>
      <c r="BN1015">
        <f>IF(AND(BH1015=1,AZ1015&lt;&gt;"Cancelled"),BF1015*10000+1014,"")</f>
        <v/>
      </c>
    </row>
    <row r="1016">
      <c r="AS1016" t="inlineStr">
        <is>
          <t>R</t>
        </is>
      </c>
      <c r="AT1016" t="n">
        <v>1020</v>
      </c>
      <c r="AU1016">
        <f>'Recurring Log'!C1020&amp;""</f>
        <v/>
      </c>
      <c r="AV1016">
        <f>'Recurring Log'!D1020&amp;""</f>
        <v/>
      </c>
      <c r="AW1016">
        <f>IF('Recurring Log'!E1020="","",'Recurring Log'!E1020)</f>
        <v/>
      </c>
      <c r="AX1016">
        <f>IF('Recurring Log'!G1020="","",'Recurring Log'!G1020)</f>
        <v/>
      </c>
      <c r="AY1016">
        <f>IF('Recurring Log'!H1020="","",'Recurring Log'!H1020)</f>
        <v/>
      </c>
      <c r="AZ1016">
        <f>IF(AU1016="","",IF('Recurring Log'!J1020="","Not Started",'Recurring Log'!J1020))</f>
        <v/>
      </c>
      <c r="BA1016">
        <f>'Recurring Log'!L1020&amp;""</f>
        <v/>
      </c>
      <c r="BB1016">
        <f>'Recurring Log'!M1020&amp;""</f>
        <v/>
      </c>
      <c r="BC1016">
        <f>'Recurring Log'!N1020&amp;""</f>
        <v/>
      </c>
      <c r="BD1016">
        <f>'Recurring Log'!O1020&amp;""</f>
        <v/>
      </c>
      <c r="BE1016">
        <f>IF('Recurring Log'!K1020="","",'Recurring Log'!K1020)</f>
        <v/>
      </c>
      <c r="BF1016">
        <f>IFERROR(MATCH(BA1016,Setup!$L$6:$L$9,0),5)</f>
        <v/>
      </c>
      <c r="BG1016">
        <f>IF(OR(AZ1016="Done",AZ1016="Cancelled"),1,0)</f>
        <v/>
      </c>
      <c r="BH1016">
        <f>IF(AND(AU1016&lt;&gt;"",ISNUMBER(AW1016)),1,0)</f>
        <v/>
      </c>
      <c r="BI1016">
        <f>IF(BH1016=0,0,IF(AND(AW1016&gt;='Tasks Filter'!$F$3,AW1016&lt;='Tasks Filter'!$F$4,OR('Tasks Filter'!$I$3="",ISNUMBER(SEARCH('Tasks Filter'!$I$3,AU1016))),OR('Tasks Filter'!$I$4="",BF1016=IFERROR(MATCH('Tasks Filter'!$I$4,Setup!$L$6:$L$9,0),0)),OR('Tasks Filter'!$I$5="Both",AND('Tasks Filter'!$I$5="Yes",BB1016="✓"),AND('Tasks Filter'!$I$5="No",BB1016&lt;&gt;"✓")),OR('Tasks Filter'!$L$3="",AV1016='Tasks Filter'!$L$3),OR('Tasks Filter'!$L$4="",AZ1016='Tasks Filter'!$L$4),OR('Tasks Filter'!$L$5="",BC1016='Tasks Filter'!$L$5),OR('Tasks Filter'!$O$3="",BD1016='Tasks Filter'!$O$3),OR('Tasks Filter'!$O$4="Yes",BG1016=0)),1,0))</f>
        <v/>
      </c>
      <c r="BJ1016">
        <f>IF(BH1016=0,"",IF('Tasks Filter'!$F$6="Descending",-1,1)*CHOOSE(MATCH('Tasks Filter'!$F$5,Lists!$G$2:$G$6,0),AW1016,BF1016,IFERROR(MATCH(AV1016,Setup!$F$6:$F$15,0),99),IFERROR(MATCH(BC1016,Setup!$H$6:$H$15,0),99),IFERROR(MATCH(AZ1016,Setup!$J$6:$J$11,0),99))*1E+9+(AW1016-40000)*10000+1015)</f>
        <v/>
      </c>
      <c r="BK1016">
        <f>IF(BI1016=1,BJ1016,"")</f>
        <v/>
      </c>
      <c r="BL1016">
        <f>IF(AND(BH1016=1,BG1016=0,N(AW1016)&lt;Setup!$D$7),(AW1016-40000)*10000+1015,"")</f>
        <v/>
      </c>
      <c r="BM1016">
        <f>IF(AND(BH1016=1,AZ1016&lt;&gt;"Cancelled",N(AW1016)&gt;=Dashboard!$AB$3,N(AW1016)&lt;=Dashboard!$AB$3+6),(AW1016-40000)*100000+BF1016*10000+1015,"")</f>
        <v/>
      </c>
      <c r="BN1016">
        <f>IF(AND(BH1016=1,AZ1016&lt;&gt;"Cancelled"),BF1016*10000+1015,"")</f>
        <v/>
      </c>
    </row>
    <row r="1017">
      <c r="AS1017" t="inlineStr">
        <is>
          <t>R</t>
        </is>
      </c>
      <c r="AT1017" t="n">
        <v>1021</v>
      </c>
      <c r="AU1017">
        <f>'Recurring Log'!C1021&amp;""</f>
        <v/>
      </c>
      <c r="AV1017">
        <f>'Recurring Log'!D1021&amp;""</f>
        <v/>
      </c>
      <c r="AW1017">
        <f>IF('Recurring Log'!E1021="","",'Recurring Log'!E1021)</f>
        <v/>
      </c>
      <c r="AX1017">
        <f>IF('Recurring Log'!G1021="","",'Recurring Log'!G1021)</f>
        <v/>
      </c>
      <c r="AY1017">
        <f>IF('Recurring Log'!H1021="","",'Recurring Log'!H1021)</f>
        <v/>
      </c>
      <c r="AZ1017">
        <f>IF(AU1017="","",IF('Recurring Log'!J1021="","Not Started",'Recurring Log'!J1021))</f>
        <v/>
      </c>
      <c r="BA1017">
        <f>'Recurring Log'!L1021&amp;""</f>
        <v/>
      </c>
      <c r="BB1017">
        <f>'Recurring Log'!M1021&amp;""</f>
        <v/>
      </c>
      <c r="BC1017">
        <f>'Recurring Log'!N1021&amp;""</f>
        <v/>
      </c>
      <c r="BD1017">
        <f>'Recurring Log'!O1021&amp;""</f>
        <v/>
      </c>
      <c r="BE1017">
        <f>IF('Recurring Log'!K1021="","",'Recurring Log'!K1021)</f>
        <v/>
      </c>
      <c r="BF1017">
        <f>IFERROR(MATCH(BA1017,Setup!$L$6:$L$9,0),5)</f>
        <v/>
      </c>
      <c r="BG1017">
        <f>IF(OR(AZ1017="Done",AZ1017="Cancelled"),1,0)</f>
        <v/>
      </c>
      <c r="BH1017">
        <f>IF(AND(AU1017&lt;&gt;"",ISNUMBER(AW1017)),1,0)</f>
        <v/>
      </c>
      <c r="BI1017">
        <f>IF(BH1017=0,0,IF(AND(AW1017&gt;='Tasks Filter'!$F$3,AW1017&lt;='Tasks Filter'!$F$4,OR('Tasks Filter'!$I$3="",ISNUMBER(SEARCH('Tasks Filter'!$I$3,AU1017))),OR('Tasks Filter'!$I$4="",BF1017=IFERROR(MATCH('Tasks Filter'!$I$4,Setup!$L$6:$L$9,0),0)),OR('Tasks Filter'!$I$5="Both",AND('Tasks Filter'!$I$5="Yes",BB1017="✓"),AND('Tasks Filter'!$I$5="No",BB1017&lt;&gt;"✓")),OR('Tasks Filter'!$L$3="",AV1017='Tasks Filter'!$L$3),OR('Tasks Filter'!$L$4="",AZ1017='Tasks Filter'!$L$4),OR('Tasks Filter'!$L$5="",BC1017='Tasks Filter'!$L$5),OR('Tasks Filter'!$O$3="",BD1017='Tasks Filter'!$O$3),OR('Tasks Filter'!$O$4="Yes",BG1017=0)),1,0))</f>
        <v/>
      </c>
      <c r="BJ1017">
        <f>IF(BH1017=0,"",IF('Tasks Filter'!$F$6="Descending",-1,1)*CHOOSE(MATCH('Tasks Filter'!$F$5,Lists!$G$2:$G$6,0),AW1017,BF1017,IFERROR(MATCH(AV1017,Setup!$F$6:$F$15,0),99),IFERROR(MATCH(BC1017,Setup!$H$6:$H$15,0),99),IFERROR(MATCH(AZ1017,Setup!$J$6:$J$11,0),99))*1E+9+(AW1017-40000)*10000+1016)</f>
        <v/>
      </c>
      <c r="BK1017">
        <f>IF(BI1017=1,BJ1017,"")</f>
        <v/>
      </c>
      <c r="BL1017">
        <f>IF(AND(BH1017=1,BG1017=0,N(AW1017)&lt;Setup!$D$7),(AW1017-40000)*10000+1016,"")</f>
        <v/>
      </c>
      <c r="BM1017">
        <f>IF(AND(BH1017=1,AZ1017&lt;&gt;"Cancelled",N(AW1017)&gt;=Dashboard!$AB$3,N(AW1017)&lt;=Dashboard!$AB$3+6),(AW1017-40000)*100000+BF1017*10000+1016,"")</f>
        <v/>
      </c>
      <c r="BN1017">
        <f>IF(AND(BH1017=1,AZ1017&lt;&gt;"Cancelled"),BF1017*10000+1016,"")</f>
        <v/>
      </c>
    </row>
    <row r="1018">
      <c r="AS1018" t="inlineStr">
        <is>
          <t>R</t>
        </is>
      </c>
      <c r="AT1018" t="n">
        <v>1022</v>
      </c>
      <c r="AU1018">
        <f>'Recurring Log'!C1022&amp;""</f>
        <v/>
      </c>
      <c r="AV1018">
        <f>'Recurring Log'!D1022&amp;""</f>
        <v/>
      </c>
      <c r="AW1018">
        <f>IF('Recurring Log'!E1022="","",'Recurring Log'!E1022)</f>
        <v/>
      </c>
      <c r="AX1018">
        <f>IF('Recurring Log'!G1022="","",'Recurring Log'!G1022)</f>
        <v/>
      </c>
      <c r="AY1018">
        <f>IF('Recurring Log'!H1022="","",'Recurring Log'!H1022)</f>
        <v/>
      </c>
      <c r="AZ1018">
        <f>IF(AU1018="","",IF('Recurring Log'!J1022="","Not Started",'Recurring Log'!J1022))</f>
        <v/>
      </c>
      <c r="BA1018">
        <f>'Recurring Log'!L1022&amp;""</f>
        <v/>
      </c>
      <c r="BB1018">
        <f>'Recurring Log'!M1022&amp;""</f>
        <v/>
      </c>
      <c r="BC1018">
        <f>'Recurring Log'!N1022&amp;""</f>
        <v/>
      </c>
      <c r="BD1018">
        <f>'Recurring Log'!O1022&amp;""</f>
        <v/>
      </c>
      <c r="BE1018">
        <f>IF('Recurring Log'!K1022="","",'Recurring Log'!K1022)</f>
        <v/>
      </c>
      <c r="BF1018">
        <f>IFERROR(MATCH(BA1018,Setup!$L$6:$L$9,0),5)</f>
        <v/>
      </c>
      <c r="BG1018">
        <f>IF(OR(AZ1018="Done",AZ1018="Cancelled"),1,0)</f>
        <v/>
      </c>
      <c r="BH1018">
        <f>IF(AND(AU1018&lt;&gt;"",ISNUMBER(AW1018)),1,0)</f>
        <v/>
      </c>
      <c r="BI1018">
        <f>IF(BH1018=0,0,IF(AND(AW1018&gt;='Tasks Filter'!$F$3,AW1018&lt;='Tasks Filter'!$F$4,OR('Tasks Filter'!$I$3="",ISNUMBER(SEARCH('Tasks Filter'!$I$3,AU1018))),OR('Tasks Filter'!$I$4="",BF1018=IFERROR(MATCH('Tasks Filter'!$I$4,Setup!$L$6:$L$9,0),0)),OR('Tasks Filter'!$I$5="Both",AND('Tasks Filter'!$I$5="Yes",BB1018="✓"),AND('Tasks Filter'!$I$5="No",BB1018&lt;&gt;"✓")),OR('Tasks Filter'!$L$3="",AV1018='Tasks Filter'!$L$3),OR('Tasks Filter'!$L$4="",AZ1018='Tasks Filter'!$L$4),OR('Tasks Filter'!$L$5="",BC1018='Tasks Filter'!$L$5),OR('Tasks Filter'!$O$3="",BD1018='Tasks Filter'!$O$3),OR('Tasks Filter'!$O$4="Yes",BG1018=0)),1,0))</f>
        <v/>
      </c>
      <c r="BJ1018">
        <f>IF(BH1018=0,"",IF('Tasks Filter'!$F$6="Descending",-1,1)*CHOOSE(MATCH('Tasks Filter'!$F$5,Lists!$G$2:$G$6,0),AW1018,BF1018,IFERROR(MATCH(AV1018,Setup!$F$6:$F$15,0),99),IFERROR(MATCH(BC1018,Setup!$H$6:$H$15,0),99),IFERROR(MATCH(AZ1018,Setup!$J$6:$J$11,0),99))*1E+9+(AW1018-40000)*10000+1017)</f>
        <v/>
      </c>
      <c r="BK1018">
        <f>IF(BI1018=1,BJ1018,"")</f>
        <v/>
      </c>
      <c r="BL1018">
        <f>IF(AND(BH1018=1,BG1018=0,N(AW1018)&lt;Setup!$D$7),(AW1018-40000)*10000+1017,"")</f>
        <v/>
      </c>
      <c r="BM1018">
        <f>IF(AND(BH1018=1,AZ1018&lt;&gt;"Cancelled",N(AW1018)&gt;=Dashboard!$AB$3,N(AW1018)&lt;=Dashboard!$AB$3+6),(AW1018-40000)*100000+BF1018*10000+1017,"")</f>
        <v/>
      </c>
      <c r="BN1018">
        <f>IF(AND(BH1018=1,AZ1018&lt;&gt;"Cancelled"),BF1018*10000+1017,"")</f>
        <v/>
      </c>
    </row>
    <row r="1019">
      <c r="AS1019" t="inlineStr">
        <is>
          <t>R</t>
        </is>
      </c>
      <c r="AT1019" t="n">
        <v>1023</v>
      </c>
      <c r="AU1019">
        <f>'Recurring Log'!C1023&amp;""</f>
        <v/>
      </c>
      <c r="AV1019">
        <f>'Recurring Log'!D1023&amp;""</f>
        <v/>
      </c>
      <c r="AW1019">
        <f>IF('Recurring Log'!E1023="","",'Recurring Log'!E1023)</f>
        <v/>
      </c>
      <c r="AX1019">
        <f>IF('Recurring Log'!G1023="","",'Recurring Log'!G1023)</f>
        <v/>
      </c>
      <c r="AY1019">
        <f>IF('Recurring Log'!H1023="","",'Recurring Log'!H1023)</f>
        <v/>
      </c>
      <c r="AZ1019">
        <f>IF(AU1019="","",IF('Recurring Log'!J1023="","Not Started",'Recurring Log'!J1023))</f>
        <v/>
      </c>
      <c r="BA1019">
        <f>'Recurring Log'!L1023&amp;""</f>
        <v/>
      </c>
      <c r="BB1019">
        <f>'Recurring Log'!M1023&amp;""</f>
        <v/>
      </c>
      <c r="BC1019">
        <f>'Recurring Log'!N1023&amp;""</f>
        <v/>
      </c>
      <c r="BD1019">
        <f>'Recurring Log'!O1023&amp;""</f>
        <v/>
      </c>
      <c r="BE1019">
        <f>IF('Recurring Log'!K1023="","",'Recurring Log'!K1023)</f>
        <v/>
      </c>
      <c r="BF1019">
        <f>IFERROR(MATCH(BA1019,Setup!$L$6:$L$9,0),5)</f>
        <v/>
      </c>
      <c r="BG1019">
        <f>IF(OR(AZ1019="Done",AZ1019="Cancelled"),1,0)</f>
        <v/>
      </c>
      <c r="BH1019">
        <f>IF(AND(AU1019&lt;&gt;"",ISNUMBER(AW1019)),1,0)</f>
        <v/>
      </c>
      <c r="BI1019">
        <f>IF(BH1019=0,0,IF(AND(AW1019&gt;='Tasks Filter'!$F$3,AW1019&lt;='Tasks Filter'!$F$4,OR('Tasks Filter'!$I$3="",ISNUMBER(SEARCH('Tasks Filter'!$I$3,AU1019))),OR('Tasks Filter'!$I$4="",BF1019=IFERROR(MATCH('Tasks Filter'!$I$4,Setup!$L$6:$L$9,0),0)),OR('Tasks Filter'!$I$5="Both",AND('Tasks Filter'!$I$5="Yes",BB1019="✓"),AND('Tasks Filter'!$I$5="No",BB1019&lt;&gt;"✓")),OR('Tasks Filter'!$L$3="",AV1019='Tasks Filter'!$L$3),OR('Tasks Filter'!$L$4="",AZ1019='Tasks Filter'!$L$4),OR('Tasks Filter'!$L$5="",BC1019='Tasks Filter'!$L$5),OR('Tasks Filter'!$O$3="",BD1019='Tasks Filter'!$O$3),OR('Tasks Filter'!$O$4="Yes",BG1019=0)),1,0))</f>
        <v/>
      </c>
      <c r="BJ1019">
        <f>IF(BH1019=0,"",IF('Tasks Filter'!$F$6="Descending",-1,1)*CHOOSE(MATCH('Tasks Filter'!$F$5,Lists!$G$2:$G$6,0),AW1019,BF1019,IFERROR(MATCH(AV1019,Setup!$F$6:$F$15,0),99),IFERROR(MATCH(BC1019,Setup!$H$6:$H$15,0),99),IFERROR(MATCH(AZ1019,Setup!$J$6:$J$11,0),99))*1E+9+(AW1019-40000)*10000+1018)</f>
        <v/>
      </c>
      <c r="BK1019">
        <f>IF(BI1019=1,BJ1019,"")</f>
        <v/>
      </c>
      <c r="BL1019">
        <f>IF(AND(BH1019=1,BG1019=0,N(AW1019)&lt;Setup!$D$7),(AW1019-40000)*10000+1018,"")</f>
        <v/>
      </c>
      <c r="BM1019">
        <f>IF(AND(BH1019=1,AZ1019&lt;&gt;"Cancelled",N(AW1019)&gt;=Dashboard!$AB$3,N(AW1019)&lt;=Dashboard!$AB$3+6),(AW1019-40000)*100000+BF1019*10000+1018,"")</f>
        <v/>
      </c>
      <c r="BN1019">
        <f>IF(AND(BH1019=1,AZ1019&lt;&gt;"Cancelled"),BF1019*10000+1018,"")</f>
        <v/>
      </c>
    </row>
    <row r="1020">
      <c r="AS1020" t="inlineStr">
        <is>
          <t>R</t>
        </is>
      </c>
      <c r="AT1020" t="n">
        <v>1024</v>
      </c>
      <c r="AU1020">
        <f>'Recurring Log'!C1024&amp;""</f>
        <v/>
      </c>
      <c r="AV1020">
        <f>'Recurring Log'!D1024&amp;""</f>
        <v/>
      </c>
      <c r="AW1020">
        <f>IF('Recurring Log'!E1024="","",'Recurring Log'!E1024)</f>
        <v/>
      </c>
      <c r="AX1020">
        <f>IF('Recurring Log'!G1024="","",'Recurring Log'!G1024)</f>
        <v/>
      </c>
      <c r="AY1020">
        <f>IF('Recurring Log'!H1024="","",'Recurring Log'!H1024)</f>
        <v/>
      </c>
      <c r="AZ1020">
        <f>IF(AU1020="","",IF('Recurring Log'!J1024="","Not Started",'Recurring Log'!J1024))</f>
        <v/>
      </c>
      <c r="BA1020">
        <f>'Recurring Log'!L1024&amp;""</f>
        <v/>
      </c>
      <c r="BB1020">
        <f>'Recurring Log'!M1024&amp;""</f>
        <v/>
      </c>
      <c r="BC1020">
        <f>'Recurring Log'!N1024&amp;""</f>
        <v/>
      </c>
      <c r="BD1020">
        <f>'Recurring Log'!O1024&amp;""</f>
        <v/>
      </c>
      <c r="BE1020">
        <f>IF('Recurring Log'!K1024="","",'Recurring Log'!K1024)</f>
        <v/>
      </c>
      <c r="BF1020">
        <f>IFERROR(MATCH(BA1020,Setup!$L$6:$L$9,0),5)</f>
        <v/>
      </c>
      <c r="BG1020">
        <f>IF(OR(AZ1020="Done",AZ1020="Cancelled"),1,0)</f>
        <v/>
      </c>
      <c r="BH1020">
        <f>IF(AND(AU1020&lt;&gt;"",ISNUMBER(AW1020)),1,0)</f>
        <v/>
      </c>
      <c r="BI1020">
        <f>IF(BH1020=0,0,IF(AND(AW1020&gt;='Tasks Filter'!$F$3,AW1020&lt;='Tasks Filter'!$F$4,OR('Tasks Filter'!$I$3="",ISNUMBER(SEARCH('Tasks Filter'!$I$3,AU1020))),OR('Tasks Filter'!$I$4="",BF1020=IFERROR(MATCH('Tasks Filter'!$I$4,Setup!$L$6:$L$9,0),0)),OR('Tasks Filter'!$I$5="Both",AND('Tasks Filter'!$I$5="Yes",BB1020="✓"),AND('Tasks Filter'!$I$5="No",BB1020&lt;&gt;"✓")),OR('Tasks Filter'!$L$3="",AV1020='Tasks Filter'!$L$3),OR('Tasks Filter'!$L$4="",AZ1020='Tasks Filter'!$L$4),OR('Tasks Filter'!$L$5="",BC1020='Tasks Filter'!$L$5),OR('Tasks Filter'!$O$3="",BD1020='Tasks Filter'!$O$3),OR('Tasks Filter'!$O$4="Yes",BG1020=0)),1,0))</f>
        <v/>
      </c>
      <c r="BJ1020">
        <f>IF(BH1020=0,"",IF('Tasks Filter'!$F$6="Descending",-1,1)*CHOOSE(MATCH('Tasks Filter'!$F$5,Lists!$G$2:$G$6,0),AW1020,BF1020,IFERROR(MATCH(AV1020,Setup!$F$6:$F$15,0),99),IFERROR(MATCH(BC1020,Setup!$H$6:$H$15,0),99),IFERROR(MATCH(AZ1020,Setup!$J$6:$J$11,0),99))*1E+9+(AW1020-40000)*10000+1019)</f>
        <v/>
      </c>
      <c r="BK1020">
        <f>IF(BI1020=1,BJ1020,"")</f>
        <v/>
      </c>
      <c r="BL1020">
        <f>IF(AND(BH1020=1,BG1020=0,N(AW1020)&lt;Setup!$D$7),(AW1020-40000)*10000+1019,"")</f>
        <v/>
      </c>
      <c r="BM1020">
        <f>IF(AND(BH1020=1,AZ1020&lt;&gt;"Cancelled",N(AW1020)&gt;=Dashboard!$AB$3,N(AW1020)&lt;=Dashboard!$AB$3+6),(AW1020-40000)*100000+BF1020*10000+1019,"")</f>
        <v/>
      </c>
      <c r="BN1020">
        <f>IF(AND(BH1020=1,AZ1020&lt;&gt;"Cancelled"),BF1020*10000+1019,"")</f>
        <v/>
      </c>
    </row>
    <row r="1021">
      <c r="AS1021" t="inlineStr">
        <is>
          <t>R</t>
        </is>
      </c>
      <c r="AT1021" t="n">
        <v>1025</v>
      </c>
      <c r="AU1021">
        <f>'Recurring Log'!C1025&amp;""</f>
        <v/>
      </c>
      <c r="AV1021">
        <f>'Recurring Log'!D1025&amp;""</f>
        <v/>
      </c>
      <c r="AW1021">
        <f>IF('Recurring Log'!E1025="","",'Recurring Log'!E1025)</f>
        <v/>
      </c>
      <c r="AX1021">
        <f>IF('Recurring Log'!G1025="","",'Recurring Log'!G1025)</f>
        <v/>
      </c>
      <c r="AY1021">
        <f>IF('Recurring Log'!H1025="","",'Recurring Log'!H1025)</f>
        <v/>
      </c>
      <c r="AZ1021">
        <f>IF(AU1021="","",IF('Recurring Log'!J1025="","Not Started",'Recurring Log'!J1025))</f>
        <v/>
      </c>
      <c r="BA1021">
        <f>'Recurring Log'!L1025&amp;""</f>
        <v/>
      </c>
      <c r="BB1021">
        <f>'Recurring Log'!M1025&amp;""</f>
        <v/>
      </c>
      <c r="BC1021">
        <f>'Recurring Log'!N1025&amp;""</f>
        <v/>
      </c>
      <c r="BD1021">
        <f>'Recurring Log'!O1025&amp;""</f>
        <v/>
      </c>
      <c r="BE1021">
        <f>IF('Recurring Log'!K1025="","",'Recurring Log'!K1025)</f>
        <v/>
      </c>
      <c r="BF1021">
        <f>IFERROR(MATCH(BA1021,Setup!$L$6:$L$9,0),5)</f>
        <v/>
      </c>
      <c r="BG1021">
        <f>IF(OR(AZ1021="Done",AZ1021="Cancelled"),1,0)</f>
        <v/>
      </c>
      <c r="BH1021">
        <f>IF(AND(AU1021&lt;&gt;"",ISNUMBER(AW1021)),1,0)</f>
        <v/>
      </c>
      <c r="BI1021">
        <f>IF(BH1021=0,0,IF(AND(AW1021&gt;='Tasks Filter'!$F$3,AW1021&lt;='Tasks Filter'!$F$4,OR('Tasks Filter'!$I$3="",ISNUMBER(SEARCH('Tasks Filter'!$I$3,AU1021))),OR('Tasks Filter'!$I$4="",BF1021=IFERROR(MATCH('Tasks Filter'!$I$4,Setup!$L$6:$L$9,0),0)),OR('Tasks Filter'!$I$5="Both",AND('Tasks Filter'!$I$5="Yes",BB1021="✓"),AND('Tasks Filter'!$I$5="No",BB1021&lt;&gt;"✓")),OR('Tasks Filter'!$L$3="",AV1021='Tasks Filter'!$L$3),OR('Tasks Filter'!$L$4="",AZ1021='Tasks Filter'!$L$4),OR('Tasks Filter'!$L$5="",BC1021='Tasks Filter'!$L$5),OR('Tasks Filter'!$O$3="",BD1021='Tasks Filter'!$O$3),OR('Tasks Filter'!$O$4="Yes",BG1021=0)),1,0))</f>
        <v/>
      </c>
      <c r="BJ1021">
        <f>IF(BH1021=0,"",IF('Tasks Filter'!$F$6="Descending",-1,1)*CHOOSE(MATCH('Tasks Filter'!$F$5,Lists!$G$2:$G$6,0),AW1021,BF1021,IFERROR(MATCH(AV1021,Setup!$F$6:$F$15,0),99),IFERROR(MATCH(BC1021,Setup!$H$6:$H$15,0),99),IFERROR(MATCH(AZ1021,Setup!$J$6:$J$11,0),99))*1E+9+(AW1021-40000)*10000+1020)</f>
        <v/>
      </c>
      <c r="BK1021">
        <f>IF(BI1021=1,BJ1021,"")</f>
        <v/>
      </c>
      <c r="BL1021">
        <f>IF(AND(BH1021=1,BG1021=0,N(AW1021)&lt;Setup!$D$7),(AW1021-40000)*10000+1020,"")</f>
        <v/>
      </c>
      <c r="BM1021">
        <f>IF(AND(BH1021=1,AZ1021&lt;&gt;"Cancelled",N(AW1021)&gt;=Dashboard!$AB$3,N(AW1021)&lt;=Dashboard!$AB$3+6),(AW1021-40000)*100000+BF1021*10000+1020,"")</f>
        <v/>
      </c>
      <c r="BN1021">
        <f>IF(AND(BH1021=1,AZ1021&lt;&gt;"Cancelled"),BF1021*10000+1020,"")</f>
        <v/>
      </c>
    </row>
    <row r="1022">
      <c r="AS1022" t="inlineStr">
        <is>
          <t>R</t>
        </is>
      </c>
      <c r="AT1022" t="n">
        <v>1026</v>
      </c>
      <c r="AU1022">
        <f>'Recurring Log'!C1026&amp;""</f>
        <v/>
      </c>
      <c r="AV1022">
        <f>'Recurring Log'!D1026&amp;""</f>
        <v/>
      </c>
      <c r="AW1022">
        <f>IF('Recurring Log'!E1026="","",'Recurring Log'!E1026)</f>
        <v/>
      </c>
      <c r="AX1022">
        <f>IF('Recurring Log'!G1026="","",'Recurring Log'!G1026)</f>
        <v/>
      </c>
      <c r="AY1022">
        <f>IF('Recurring Log'!H1026="","",'Recurring Log'!H1026)</f>
        <v/>
      </c>
      <c r="AZ1022">
        <f>IF(AU1022="","",IF('Recurring Log'!J1026="","Not Started",'Recurring Log'!J1026))</f>
        <v/>
      </c>
      <c r="BA1022">
        <f>'Recurring Log'!L1026&amp;""</f>
        <v/>
      </c>
      <c r="BB1022">
        <f>'Recurring Log'!M1026&amp;""</f>
        <v/>
      </c>
      <c r="BC1022">
        <f>'Recurring Log'!N1026&amp;""</f>
        <v/>
      </c>
      <c r="BD1022">
        <f>'Recurring Log'!O1026&amp;""</f>
        <v/>
      </c>
      <c r="BE1022">
        <f>IF('Recurring Log'!K1026="","",'Recurring Log'!K1026)</f>
        <v/>
      </c>
      <c r="BF1022">
        <f>IFERROR(MATCH(BA1022,Setup!$L$6:$L$9,0),5)</f>
        <v/>
      </c>
      <c r="BG1022">
        <f>IF(OR(AZ1022="Done",AZ1022="Cancelled"),1,0)</f>
        <v/>
      </c>
      <c r="BH1022">
        <f>IF(AND(AU1022&lt;&gt;"",ISNUMBER(AW1022)),1,0)</f>
        <v/>
      </c>
      <c r="BI1022">
        <f>IF(BH1022=0,0,IF(AND(AW1022&gt;='Tasks Filter'!$F$3,AW1022&lt;='Tasks Filter'!$F$4,OR('Tasks Filter'!$I$3="",ISNUMBER(SEARCH('Tasks Filter'!$I$3,AU1022))),OR('Tasks Filter'!$I$4="",BF1022=IFERROR(MATCH('Tasks Filter'!$I$4,Setup!$L$6:$L$9,0),0)),OR('Tasks Filter'!$I$5="Both",AND('Tasks Filter'!$I$5="Yes",BB1022="✓"),AND('Tasks Filter'!$I$5="No",BB1022&lt;&gt;"✓")),OR('Tasks Filter'!$L$3="",AV1022='Tasks Filter'!$L$3),OR('Tasks Filter'!$L$4="",AZ1022='Tasks Filter'!$L$4),OR('Tasks Filter'!$L$5="",BC1022='Tasks Filter'!$L$5),OR('Tasks Filter'!$O$3="",BD1022='Tasks Filter'!$O$3),OR('Tasks Filter'!$O$4="Yes",BG1022=0)),1,0))</f>
        <v/>
      </c>
      <c r="BJ1022">
        <f>IF(BH1022=0,"",IF('Tasks Filter'!$F$6="Descending",-1,1)*CHOOSE(MATCH('Tasks Filter'!$F$5,Lists!$G$2:$G$6,0),AW1022,BF1022,IFERROR(MATCH(AV1022,Setup!$F$6:$F$15,0),99),IFERROR(MATCH(BC1022,Setup!$H$6:$H$15,0),99),IFERROR(MATCH(AZ1022,Setup!$J$6:$J$11,0),99))*1E+9+(AW1022-40000)*10000+1021)</f>
        <v/>
      </c>
      <c r="BK1022">
        <f>IF(BI1022=1,BJ1022,"")</f>
        <v/>
      </c>
      <c r="BL1022">
        <f>IF(AND(BH1022=1,BG1022=0,N(AW1022)&lt;Setup!$D$7),(AW1022-40000)*10000+1021,"")</f>
        <v/>
      </c>
      <c r="BM1022">
        <f>IF(AND(BH1022=1,AZ1022&lt;&gt;"Cancelled",N(AW1022)&gt;=Dashboard!$AB$3,N(AW1022)&lt;=Dashboard!$AB$3+6),(AW1022-40000)*100000+BF1022*10000+1021,"")</f>
        <v/>
      </c>
      <c r="BN1022">
        <f>IF(AND(BH1022=1,AZ1022&lt;&gt;"Cancelled"),BF1022*10000+1021,"")</f>
        <v/>
      </c>
    </row>
    <row r="1023">
      <c r="AS1023" t="inlineStr">
        <is>
          <t>R</t>
        </is>
      </c>
      <c r="AT1023" t="n">
        <v>1027</v>
      </c>
      <c r="AU1023">
        <f>'Recurring Log'!C1027&amp;""</f>
        <v/>
      </c>
      <c r="AV1023">
        <f>'Recurring Log'!D1027&amp;""</f>
        <v/>
      </c>
      <c r="AW1023">
        <f>IF('Recurring Log'!E1027="","",'Recurring Log'!E1027)</f>
        <v/>
      </c>
      <c r="AX1023">
        <f>IF('Recurring Log'!G1027="","",'Recurring Log'!G1027)</f>
        <v/>
      </c>
      <c r="AY1023">
        <f>IF('Recurring Log'!H1027="","",'Recurring Log'!H1027)</f>
        <v/>
      </c>
      <c r="AZ1023">
        <f>IF(AU1023="","",IF('Recurring Log'!J1027="","Not Started",'Recurring Log'!J1027))</f>
        <v/>
      </c>
      <c r="BA1023">
        <f>'Recurring Log'!L1027&amp;""</f>
        <v/>
      </c>
      <c r="BB1023">
        <f>'Recurring Log'!M1027&amp;""</f>
        <v/>
      </c>
      <c r="BC1023">
        <f>'Recurring Log'!N1027&amp;""</f>
        <v/>
      </c>
      <c r="BD1023">
        <f>'Recurring Log'!O1027&amp;""</f>
        <v/>
      </c>
      <c r="BE1023">
        <f>IF('Recurring Log'!K1027="","",'Recurring Log'!K1027)</f>
        <v/>
      </c>
      <c r="BF1023">
        <f>IFERROR(MATCH(BA1023,Setup!$L$6:$L$9,0),5)</f>
        <v/>
      </c>
      <c r="BG1023">
        <f>IF(OR(AZ1023="Done",AZ1023="Cancelled"),1,0)</f>
        <v/>
      </c>
      <c r="BH1023">
        <f>IF(AND(AU1023&lt;&gt;"",ISNUMBER(AW1023)),1,0)</f>
        <v/>
      </c>
      <c r="BI1023">
        <f>IF(BH1023=0,0,IF(AND(AW1023&gt;='Tasks Filter'!$F$3,AW1023&lt;='Tasks Filter'!$F$4,OR('Tasks Filter'!$I$3="",ISNUMBER(SEARCH('Tasks Filter'!$I$3,AU1023))),OR('Tasks Filter'!$I$4="",BF1023=IFERROR(MATCH('Tasks Filter'!$I$4,Setup!$L$6:$L$9,0),0)),OR('Tasks Filter'!$I$5="Both",AND('Tasks Filter'!$I$5="Yes",BB1023="✓"),AND('Tasks Filter'!$I$5="No",BB1023&lt;&gt;"✓")),OR('Tasks Filter'!$L$3="",AV1023='Tasks Filter'!$L$3),OR('Tasks Filter'!$L$4="",AZ1023='Tasks Filter'!$L$4),OR('Tasks Filter'!$L$5="",BC1023='Tasks Filter'!$L$5),OR('Tasks Filter'!$O$3="",BD1023='Tasks Filter'!$O$3),OR('Tasks Filter'!$O$4="Yes",BG1023=0)),1,0))</f>
        <v/>
      </c>
      <c r="BJ1023">
        <f>IF(BH1023=0,"",IF('Tasks Filter'!$F$6="Descending",-1,1)*CHOOSE(MATCH('Tasks Filter'!$F$5,Lists!$G$2:$G$6,0),AW1023,BF1023,IFERROR(MATCH(AV1023,Setup!$F$6:$F$15,0),99),IFERROR(MATCH(BC1023,Setup!$H$6:$H$15,0),99),IFERROR(MATCH(AZ1023,Setup!$J$6:$J$11,0),99))*1E+9+(AW1023-40000)*10000+1022)</f>
        <v/>
      </c>
      <c r="BK1023">
        <f>IF(BI1023=1,BJ1023,"")</f>
        <v/>
      </c>
      <c r="BL1023">
        <f>IF(AND(BH1023=1,BG1023=0,N(AW1023)&lt;Setup!$D$7),(AW1023-40000)*10000+1022,"")</f>
        <v/>
      </c>
      <c r="BM1023">
        <f>IF(AND(BH1023=1,AZ1023&lt;&gt;"Cancelled",N(AW1023)&gt;=Dashboard!$AB$3,N(AW1023)&lt;=Dashboard!$AB$3+6),(AW1023-40000)*100000+BF1023*10000+1022,"")</f>
        <v/>
      </c>
      <c r="BN1023">
        <f>IF(AND(BH1023=1,AZ1023&lt;&gt;"Cancelled"),BF1023*10000+1022,"")</f>
        <v/>
      </c>
    </row>
    <row r="1024">
      <c r="AS1024" t="inlineStr">
        <is>
          <t>R</t>
        </is>
      </c>
      <c r="AT1024" t="n">
        <v>1028</v>
      </c>
      <c r="AU1024">
        <f>'Recurring Log'!C1028&amp;""</f>
        <v/>
      </c>
      <c r="AV1024">
        <f>'Recurring Log'!D1028&amp;""</f>
        <v/>
      </c>
      <c r="AW1024">
        <f>IF('Recurring Log'!E1028="","",'Recurring Log'!E1028)</f>
        <v/>
      </c>
      <c r="AX1024">
        <f>IF('Recurring Log'!G1028="","",'Recurring Log'!G1028)</f>
        <v/>
      </c>
      <c r="AY1024">
        <f>IF('Recurring Log'!H1028="","",'Recurring Log'!H1028)</f>
        <v/>
      </c>
      <c r="AZ1024">
        <f>IF(AU1024="","",IF('Recurring Log'!J1028="","Not Started",'Recurring Log'!J1028))</f>
        <v/>
      </c>
      <c r="BA1024">
        <f>'Recurring Log'!L1028&amp;""</f>
        <v/>
      </c>
      <c r="BB1024">
        <f>'Recurring Log'!M1028&amp;""</f>
        <v/>
      </c>
      <c r="BC1024">
        <f>'Recurring Log'!N1028&amp;""</f>
        <v/>
      </c>
      <c r="BD1024">
        <f>'Recurring Log'!O1028&amp;""</f>
        <v/>
      </c>
      <c r="BE1024">
        <f>IF('Recurring Log'!K1028="","",'Recurring Log'!K1028)</f>
        <v/>
      </c>
      <c r="BF1024">
        <f>IFERROR(MATCH(BA1024,Setup!$L$6:$L$9,0),5)</f>
        <v/>
      </c>
      <c r="BG1024">
        <f>IF(OR(AZ1024="Done",AZ1024="Cancelled"),1,0)</f>
        <v/>
      </c>
      <c r="BH1024">
        <f>IF(AND(AU1024&lt;&gt;"",ISNUMBER(AW1024)),1,0)</f>
        <v/>
      </c>
      <c r="BI1024">
        <f>IF(BH1024=0,0,IF(AND(AW1024&gt;='Tasks Filter'!$F$3,AW1024&lt;='Tasks Filter'!$F$4,OR('Tasks Filter'!$I$3="",ISNUMBER(SEARCH('Tasks Filter'!$I$3,AU1024))),OR('Tasks Filter'!$I$4="",BF1024=IFERROR(MATCH('Tasks Filter'!$I$4,Setup!$L$6:$L$9,0),0)),OR('Tasks Filter'!$I$5="Both",AND('Tasks Filter'!$I$5="Yes",BB1024="✓"),AND('Tasks Filter'!$I$5="No",BB1024&lt;&gt;"✓")),OR('Tasks Filter'!$L$3="",AV1024='Tasks Filter'!$L$3),OR('Tasks Filter'!$L$4="",AZ1024='Tasks Filter'!$L$4),OR('Tasks Filter'!$L$5="",BC1024='Tasks Filter'!$L$5),OR('Tasks Filter'!$O$3="",BD1024='Tasks Filter'!$O$3),OR('Tasks Filter'!$O$4="Yes",BG1024=0)),1,0))</f>
        <v/>
      </c>
      <c r="BJ1024">
        <f>IF(BH1024=0,"",IF('Tasks Filter'!$F$6="Descending",-1,1)*CHOOSE(MATCH('Tasks Filter'!$F$5,Lists!$G$2:$G$6,0),AW1024,BF1024,IFERROR(MATCH(AV1024,Setup!$F$6:$F$15,0),99),IFERROR(MATCH(BC1024,Setup!$H$6:$H$15,0),99),IFERROR(MATCH(AZ1024,Setup!$J$6:$J$11,0),99))*1E+9+(AW1024-40000)*10000+1023)</f>
        <v/>
      </c>
      <c r="BK1024">
        <f>IF(BI1024=1,BJ1024,"")</f>
        <v/>
      </c>
      <c r="BL1024">
        <f>IF(AND(BH1024=1,BG1024=0,N(AW1024)&lt;Setup!$D$7),(AW1024-40000)*10000+1023,"")</f>
        <v/>
      </c>
      <c r="BM1024">
        <f>IF(AND(BH1024=1,AZ1024&lt;&gt;"Cancelled",N(AW1024)&gt;=Dashboard!$AB$3,N(AW1024)&lt;=Dashboard!$AB$3+6),(AW1024-40000)*100000+BF1024*10000+1023,"")</f>
        <v/>
      </c>
      <c r="BN1024">
        <f>IF(AND(BH1024=1,AZ1024&lt;&gt;"Cancelled"),BF1024*10000+1023,"")</f>
        <v/>
      </c>
    </row>
    <row r="1025">
      <c r="AS1025" t="inlineStr">
        <is>
          <t>R</t>
        </is>
      </c>
      <c r="AT1025" t="n">
        <v>1029</v>
      </c>
      <c r="AU1025">
        <f>'Recurring Log'!C1029&amp;""</f>
        <v/>
      </c>
      <c r="AV1025">
        <f>'Recurring Log'!D1029&amp;""</f>
        <v/>
      </c>
      <c r="AW1025">
        <f>IF('Recurring Log'!E1029="","",'Recurring Log'!E1029)</f>
        <v/>
      </c>
      <c r="AX1025">
        <f>IF('Recurring Log'!G1029="","",'Recurring Log'!G1029)</f>
        <v/>
      </c>
      <c r="AY1025">
        <f>IF('Recurring Log'!H1029="","",'Recurring Log'!H1029)</f>
        <v/>
      </c>
      <c r="AZ1025">
        <f>IF(AU1025="","",IF('Recurring Log'!J1029="","Not Started",'Recurring Log'!J1029))</f>
        <v/>
      </c>
      <c r="BA1025">
        <f>'Recurring Log'!L1029&amp;""</f>
        <v/>
      </c>
      <c r="BB1025">
        <f>'Recurring Log'!M1029&amp;""</f>
        <v/>
      </c>
      <c r="BC1025">
        <f>'Recurring Log'!N1029&amp;""</f>
        <v/>
      </c>
      <c r="BD1025">
        <f>'Recurring Log'!O1029&amp;""</f>
        <v/>
      </c>
      <c r="BE1025">
        <f>IF('Recurring Log'!K1029="","",'Recurring Log'!K1029)</f>
        <v/>
      </c>
      <c r="BF1025">
        <f>IFERROR(MATCH(BA1025,Setup!$L$6:$L$9,0),5)</f>
        <v/>
      </c>
      <c r="BG1025">
        <f>IF(OR(AZ1025="Done",AZ1025="Cancelled"),1,0)</f>
        <v/>
      </c>
      <c r="BH1025">
        <f>IF(AND(AU1025&lt;&gt;"",ISNUMBER(AW1025)),1,0)</f>
        <v/>
      </c>
      <c r="BI1025">
        <f>IF(BH1025=0,0,IF(AND(AW1025&gt;='Tasks Filter'!$F$3,AW1025&lt;='Tasks Filter'!$F$4,OR('Tasks Filter'!$I$3="",ISNUMBER(SEARCH('Tasks Filter'!$I$3,AU1025))),OR('Tasks Filter'!$I$4="",BF1025=IFERROR(MATCH('Tasks Filter'!$I$4,Setup!$L$6:$L$9,0),0)),OR('Tasks Filter'!$I$5="Both",AND('Tasks Filter'!$I$5="Yes",BB1025="✓"),AND('Tasks Filter'!$I$5="No",BB1025&lt;&gt;"✓")),OR('Tasks Filter'!$L$3="",AV1025='Tasks Filter'!$L$3),OR('Tasks Filter'!$L$4="",AZ1025='Tasks Filter'!$L$4),OR('Tasks Filter'!$L$5="",BC1025='Tasks Filter'!$L$5),OR('Tasks Filter'!$O$3="",BD1025='Tasks Filter'!$O$3),OR('Tasks Filter'!$O$4="Yes",BG1025=0)),1,0))</f>
        <v/>
      </c>
      <c r="BJ1025">
        <f>IF(BH1025=0,"",IF('Tasks Filter'!$F$6="Descending",-1,1)*CHOOSE(MATCH('Tasks Filter'!$F$5,Lists!$G$2:$G$6,0),AW1025,BF1025,IFERROR(MATCH(AV1025,Setup!$F$6:$F$15,0),99),IFERROR(MATCH(BC1025,Setup!$H$6:$H$15,0),99),IFERROR(MATCH(AZ1025,Setup!$J$6:$J$11,0),99))*1E+9+(AW1025-40000)*10000+1024)</f>
        <v/>
      </c>
      <c r="BK1025">
        <f>IF(BI1025=1,BJ1025,"")</f>
        <v/>
      </c>
      <c r="BL1025">
        <f>IF(AND(BH1025=1,BG1025=0,N(AW1025)&lt;Setup!$D$7),(AW1025-40000)*10000+1024,"")</f>
        <v/>
      </c>
      <c r="BM1025">
        <f>IF(AND(BH1025=1,AZ1025&lt;&gt;"Cancelled",N(AW1025)&gt;=Dashboard!$AB$3,N(AW1025)&lt;=Dashboard!$AB$3+6),(AW1025-40000)*100000+BF1025*10000+1024,"")</f>
        <v/>
      </c>
      <c r="BN1025">
        <f>IF(AND(BH1025=1,AZ1025&lt;&gt;"Cancelled"),BF1025*10000+1024,"")</f>
        <v/>
      </c>
    </row>
    <row r="1026">
      <c r="AS1026" t="inlineStr">
        <is>
          <t>R</t>
        </is>
      </c>
      <c r="AT1026" t="n">
        <v>1030</v>
      </c>
      <c r="AU1026">
        <f>'Recurring Log'!C1030&amp;""</f>
        <v/>
      </c>
      <c r="AV1026">
        <f>'Recurring Log'!D1030&amp;""</f>
        <v/>
      </c>
      <c r="AW1026">
        <f>IF('Recurring Log'!E1030="","",'Recurring Log'!E1030)</f>
        <v/>
      </c>
      <c r="AX1026">
        <f>IF('Recurring Log'!G1030="","",'Recurring Log'!G1030)</f>
        <v/>
      </c>
      <c r="AY1026">
        <f>IF('Recurring Log'!H1030="","",'Recurring Log'!H1030)</f>
        <v/>
      </c>
      <c r="AZ1026">
        <f>IF(AU1026="","",IF('Recurring Log'!J1030="","Not Started",'Recurring Log'!J1030))</f>
        <v/>
      </c>
      <c r="BA1026">
        <f>'Recurring Log'!L1030&amp;""</f>
        <v/>
      </c>
      <c r="BB1026">
        <f>'Recurring Log'!M1030&amp;""</f>
        <v/>
      </c>
      <c r="BC1026">
        <f>'Recurring Log'!N1030&amp;""</f>
        <v/>
      </c>
      <c r="BD1026">
        <f>'Recurring Log'!O1030&amp;""</f>
        <v/>
      </c>
      <c r="BE1026">
        <f>IF('Recurring Log'!K1030="","",'Recurring Log'!K1030)</f>
        <v/>
      </c>
      <c r="BF1026">
        <f>IFERROR(MATCH(BA1026,Setup!$L$6:$L$9,0),5)</f>
        <v/>
      </c>
      <c r="BG1026">
        <f>IF(OR(AZ1026="Done",AZ1026="Cancelled"),1,0)</f>
        <v/>
      </c>
      <c r="BH1026">
        <f>IF(AND(AU1026&lt;&gt;"",ISNUMBER(AW1026)),1,0)</f>
        <v/>
      </c>
      <c r="BI1026">
        <f>IF(BH1026=0,0,IF(AND(AW1026&gt;='Tasks Filter'!$F$3,AW1026&lt;='Tasks Filter'!$F$4,OR('Tasks Filter'!$I$3="",ISNUMBER(SEARCH('Tasks Filter'!$I$3,AU1026))),OR('Tasks Filter'!$I$4="",BF1026=IFERROR(MATCH('Tasks Filter'!$I$4,Setup!$L$6:$L$9,0),0)),OR('Tasks Filter'!$I$5="Both",AND('Tasks Filter'!$I$5="Yes",BB1026="✓"),AND('Tasks Filter'!$I$5="No",BB1026&lt;&gt;"✓")),OR('Tasks Filter'!$L$3="",AV1026='Tasks Filter'!$L$3),OR('Tasks Filter'!$L$4="",AZ1026='Tasks Filter'!$L$4),OR('Tasks Filter'!$L$5="",BC1026='Tasks Filter'!$L$5),OR('Tasks Filter'!$O$3="",BD1026='Tasks Filter'!$O$3),OR('Tasks Filter'!$O$4="Yes",BG1026=0)),1,0))</f>
        <v/>
      </c>
      <c r="BJ1026">
        <f>IF(BH1026=0,"",IF('Tasks Filter'!$F$6="Descending",-1,1)*CHOOSE(MATCH('Tasks Filter'!$F$5,Lists!$G$2:$G$6,0),AW1026,BF1026,IFERROR(MATCH(AV1026,Setup!$F$6:$F$15,0),99),IFERROR(MATCH(BC1026,Setup!$H$6:$H$15,0),99),IFERROR(MATCH(AZ1026,Setup!$J$6:$J$11,0),99))*1E+9+(AW1026-40000)*10000+1025)</f>
        <v/>
      </c>
      <c r="BK1026">
        <f>IF(BI1026=1,BJ1026,"")</f>
        <v/>
      </c>
      <c r="BL1026">
        <f>IF(AND(BH1026=1,BG1026=0,N(AW1026)&lt;Setup!$D$7),(AW1026-40000)*10000+1025,"")</f>
        <v/>
      </c>
      <c r="BM1026">
        <f>IF(AND(BH1026=1,AZ1026&lt;&gt;"Cancelled",N(AW1026)&gt;=Dashboard!$AB$3,N(AW1026)&lt;=Dashboard!$AB$3+6),(AW1026-40000)*100000+BF1026*10000+1025,"")</f>
        <v/>
      </c>
      <c r="BN1026">
        <f>IF(AND(BH1026=1,AZ1026&lt;&gt;"Cancelled"),BF1026*10000+1025,"")</f>
        <v/>
      </c>
    </row>
    <row r="1027">
      <c r="AS1027" t="inlineStr">
        <is>
          <t>R</t>
        </is>
      </c>
      <c r="AT1027" t="n">
        <v>1031</v>
      </c>
      <c r="AU1027">
        <f>'Recurring Log'!C1031&amp;""</f>
        <v/>
      </c>
      <c r="AV1027">
        <f>'Recurring Log'!D1031&amp;""</f>
        <v/>
      </c>
      <c r="AW1027">
        <f>IF('Recurring Log'!E1031="","",'Recurring Log'!E1031)</f>
        <v/>
      </c>
      <c r="AX1027">
        <f>IF('Recurring Log'!G1031="","",'Recurring Log'!G1031)</f>
        <v/>
      </c>
      <c r="AY1027">
        <f>IF('Recurring Log'!H1031="","",'Recurring Log'!H1031)</f>
        <v/>
      </c>
      <c r="AZ1027">
        <f>IF(AU1027="","",IF('Recurring Log'!J1031="","Not Started",'Recurring Log'!J1031))</f>
        <v/>
      </c>
      <c r="BA1027">
        <f>'Recurring Log'!L1031&amp;""</f>
        <v/>
      </c>
      <c r="BB1027">
        <f>'Recurring Log'!M1031&amp;""</f>
        <v/>
      </c>
      <c r="BC1027">
        <f>'Recurring Log'!N1031&amp;""</f>
        <v/>
      </c>
      <c r="BD1027">
        <f>'Recurring Log'!O1031&amp;""</f>
        <v/>
      </c>
      <c r="BE1027">
        <f>IF('Recurring Log'!K1031="","",'Recurring Log'!K1031)</f>
        <v/>
      </c>
      <c r="BF1027">
        <f>IFERROR(MATCH(BA1027,Setup!$L$6:$L$9,0),5)</f>
        <v/>
      </c>
      <c r="BG1027">
        <f>IF(OR(AZ1027="Done",AZ1027="Cancelled"),1,0)</f>
        <v/>
      </c>
      <c r="BH1027">
        <f>IF(AND(AU1027&lt;&gt;"",ISNUMBER(AW1027)),1,0)</f>
        <v/>
      </c>
      <c r="BI1027">
        <f>IF(BH1027=0,0,IF(AND(AW1027&gt;='Tasks Filter'!$F$3,AW1027&lt;='Tasks Filter'!$F$4,OR('Tasks Filter'!$I$3="",ISNUMBER(SEARCH('Tasks Filter'!$I$3,AU1027))),OR('Tasks Filter'!$I$4="",BF1027=IFERROR(MATCH('Tasks Filter'!$I$4,Setup!$L$6:$L$9,0),0)),OR('Tasks Filter'!$I$5="Both",AND('Tasks Filter'!$I$5="Yes",BB1027="✓"),AND('Tasks Filter'!$I$5="No",BB1027&lt;&gt;"✓")),OR('Tasks Filter'!$L$3="",AV1027='Tasks Filter'!$L$3),OR('Tasks Filter'!$L$4="",AZ1027='Tasks Filter'!$L$4),OR('Tasks Filter'!$L$5="",BC1027='Tasks Filter'!$L$5),OR('Tasks Filter'!$O$3="",BD1027='Tasks Filter'!$O$3),OR('Tasks Filter'!$O$4="Yes",BG1027=0)),1,0))</f>
        <v/>
      </c>
      <c r="BJ1027">
        <f>IF(BH1027=0,"",IF('Tasks Filter'!$F$6="Descending",-1,1)*CHOOSE(MATCH('Tasks Filter'!$F$5,Lists!$G$2:$G$6,0),AW1027,BF1027,IFERROR(MATCH(AV1027,Setup!$F$6:$F$15,0),99),IFERROR(MATCH(BC1027,Setup!$H$6:$H$15,0),99),IFERROR(MATCH(AZ1027,Setup!$J$6:$J$11,0),99))*1E+9+(AW1027-40000)*10000+1026)</f>
        <v/>
      </c>
      <c r="BK1027">
        <f>IF(BI1027=1,BJ1027,"")</f>
        <v/>
      </c>
      <c r="BL1027">
        <f>IF(AND(BH1027=1,BG1027=0,N(AW1027)&lt;Setup!$D$7),(AW1027-40000)*10000+1026,"")</f>
        <v/>
      </c>
      <c r="BM1027">
        <f>IF(AND(BH1027=1,AZ1027&lt;&gt;"Cancelled",N(AW1027)&gt;=Dashboard!$AB$3,N(AW1027)&lt;=Dashboard!$AB$3+6),(AW1027-40000)*100000+BF1027*10000+1026,"")</f>
        <v/>
      </c>
      <c r="BN1027">
        <f>IF(AND(BH1027=1,AZ1027&lt;&gt;"Cancelled"),BF1027*10000+1026,"")</f>
        <v/>
      </c>
    </row>
    <row r="1028">
      <c r="AS1028" t="inlineStr">
        <is>
          <t>R</t>
        </is>
      </c>
      <c r="AT1028" t="n">
        <v>1032</v>
      </c>
      <c r="AU1028">
        <f>'Recurring Log'!C1032&amp;""</f>
        <v/>
      </c>
      <c r="AV1028">
        <f>'Recurring Log'!D1032&amp;""</f>
        <v/>
      </c>
      <c r="AW1028">
        <f>IF('Recurring Log'!E1032="","",'Recurring Log'!E1032)</f>
        <v/>
      </c>
      <c r="AX1028">
        <f>IF('Recurring Log'!G1032="","",'Recurring Log'!G1032)</f>
        <v/>
      </c>
      <c r="AY1028">
        <f>IF('Recurring Log'!H1032="","",'Recurring Log'!H1032)</f>
        <v/>
      </c>
      <c r="AZ1028">
        <f>IF(AU1028="","",IF('Recurring Log'!J1032="","Not Started",'Recurring Log'!J1032))</f>
        <v/>
      </c>
      <c r="BA1028">
        <f>'Recurring Log'!L1032&amp;""</f>
        <v/>
      </c>
      <c r="BB1028">
        <f>'Recurring Log'!M1032&amp;""</f>
        <v/>
      </c>
      <c r="BC1028">
        <f>'Recurring Log'!N1032&amp;""</f>
        <v/>
      </c>
      <c r="BD1028">
        <f>'Recurring Log'!O1032&amp;""</f>
        <v/>
      </c>
      <c r="BE1028">
        <f>IF('Recurring Log'!K1032="","",'Recurring Log'!K1032)</f>
        <v/>
      </c>
      <c r="BF1028">
        <f>IFERROR(MATCH(BA1028,Setup!$L$6:$L$9,0),5)</f>
        <v/>
      </c>
      <c r="BG1028">
        <f>IF(OR(AZ1028="Done",AZ1028="Cancelled"),1,0)</f>
        <v/>
      </c>
      <c r="BH1028">
        <f>IF(AND(AU1028&lt;&gt;"",ISNUMBER(AW1028)),1,0)</f>
        <v/>
      </c>
      <c r="BI1028">
        <f>IF(BH1028=0,0,IF(AND(AW1028&gt;='Tasks Filter'!$F$3,AW1028&lt;='Tasks Filter'!$F$4,OR('Tasks Filter'!$I$3="",ISNUMBER(SEARCH('Tasks Filter'!$I$3,AU1028))),OR('Tasks Filter'!$I$4="",BF1028=IFERROR(MATCH('Tasks Filter'!$I$4,Setup!$L$6:$L$9,0),0)),OR('Tasks Filter'!$I$5="Both",AND('Tasks Filter'!$I$5="Yes",BB1028="✓"),AND('Tasks Filter'!$I$5="No",BB1028&lt;&gt;"✓")),OR('Tasks Filter'!$L$3="",AV1028='Tasks Filter'!$L$3),OR('Tasks Filter'!$L$4="",AZ1028='Tasks Filter'!$L$4),OR('Tasks Filter'!$L$5="",BC1028='Tasks Filter'!$L$5),OR('Tasks Filter'!$O$3="",BD1028='Tasks Filter'!$O$3),OR('Tasks Filter'!$O$4="Yes",BG1028=0)),1,0))</f>
        <v/>
      </c>
      <c r="BJ1028">
        <f>IF(BH1028=0,"",IF('Tasks Filter'!$F$6="Descending",-1,1)*CHOOSE(MATCH('Tasks Filter'!$F$5,Lists!$G$2:$G$6,0),AW1028,BF1028,IFERROR(MATCH(AV1028,Setup!$F$6:$F$15,0),99),IFERROR(MATCH(BC1028,Setup!$H$6:$H$15,0),99),IFERROR(MATCH(AZ1028,Setup!$J$6:$J$11,0),99))*1E+9+(AW1028-40000)*10000+1027)</f>
        <v/>
      </c>
      <c r="BK1028">
        <f>IF(BI1028=1,BJ1028,"")</f>
        <v/>
      </c>
      <c r="BL1028">
        <f>IF(AND(BH1028=1,BG1028=0,N(AW1028)&lt;Setup!$D$7),(AW1028-40000)*10000+1027,"")</f>
        <v/>
      </c>
      <c r="BM1028">
        <f>IF(AND(BH1028=1,AZ1028&lt;&gt;"Cancelled",N(AW1028)&gt;=Dashboard!$AB$3,N(AW1028)&lt;=Dashboard!$AB$3+6),(AW1028-40000)*100000+BF1028*10000+1027,"")</f>
        <v/>
      </c>
      <c r="BN1028">
        <f>IF(AND(BH1028=1,AZ1028&lt;&gt;"Cancelled"),BF1028*10000+1027,"")</f>
        <v/>
      </c>
    </row>
    <row r="1029">
      <c r="AS1029" t="inlineStr">
        <is>
          <t>R</t>
        </is>
      </c>
      <c r="AT1029" t="n">
        <v>1033</v>
      </c>
      <c r="AU1029">
        <f>'Recurring Log'!C1033&amp;""</f>
        <v/>
      </c>
      <c r="AV1029">
        <f>'Recurring Log'!D1033&amp;""</f>
        <v/>
      </c>
      <c r="AW1029">
        <f>IF('Recurring Log'!E1033="","",'Recurring Log'!E1033)</f>
        <v/>
      </c>
      <c r="AX1029">
        <f>IF('Recurring Log'!G1033="","",'Recurring Log'!G1033)</f>
        <v/>
      </c>
      <c r="AY1029">
        <f>IF('Recurring Log'!H1033="","",'Recurring Log'!H1033)</f>
        <v/>
      </c>
      <c r="AZ1029">
        <f>IF(AU1029="","",IF('Recurring Log'!J1033="","Not Started",'Recurring Log'!J1033))</f>
        <v/>
      </c>
      <c r="BA1029">
        <f>'Recurring Log'!L1033&amp;""</f>
        <v/>
      </c>
      <c r="BB1029">
        <f>'Recurring Log'!M1033&amp;""</f>
        <v/>
      </c>
      <c r="BC1029">
        <f>'Recurring Log'!N1033&amp;""</f>
        <v/>
      </c>
      <c r="BD1029">
        <f>'Recurring Log'!O1033&amp;""</f>
        <v/>
      </c>
      <c r="BE1029">
        <f>IF('Recurring Log'!K1033="","",'Recurring Log'!K1033)</f>
        <v/>
      </c>
      <c r="BF1029">
        <f>IFERROR(MATCH(BA1029,Setup!$L$6:$L$9,0),5)</f>
        <v/>
      </c>
      <c r="BG1029">
        <f>IF(OR(AZ1029="Done",AZ1029="Cancelled"),1,0)</f>
        <v/>
      </c>
      <c r="BH1029">
        <f>IF(AND(AU1029&lt;&gt;"",ISNUMBER(AW1029)),1,0)</f>
        <v/>
      </c>
      <c r="BI1029">
        <f>IF(BH1029=0,0,IF(AND(AW1029&gt;='Tasks Filter'!$F$3,AW1029&lt;='Tasks Filter'!$F$4,OR('Tasks Filter'!$I$3="",ISNUMBER(SEARCH('Tasks Filter'!$I$3,AU1029))),OR('Tasks Filter'!$I$4="",BF1029=IFERROR(MATCH('Tasks Filter'!$I$4,Setup!$L$6:$L$9,0),0)),OR('Tasks Filter'!$I$5="Both",AND('Tasks Filter'!$I$5="Yes",BB1029="✓"),AND('Tasks Filter'!$I$5="No",BB1029&lt;&gt;"✓")),OR('Tasks Filter'!$L$3="",AV1029='Tasks Filter'!$L$3),OR('Tasks Filter'!$L$4="",AZ1029='Tasks Filter'!$L$4),OR('Tasks Filter'!$L$5="",BC1029='Tasks Filter'!$L$5),OR('Tasks Filter'!$O$3="",BD1029='Tasks Filter'!$O$3),OR('Tasks Filter'!$O$4="Yes",BG1029=0)),1,0))</f>
        <v/>
      </c>
      <c r="BJ1029">
        <f>IF(BH1029=0,"",IF('Tasks Filter'!$F$6="Descending",-1,1)*CHOOSE(MATCH('Tasks Filter'!$F$5,Lists!$G$2:$G$6,0),AW1029,BF1029,IFERROR(MATCH(AV1029,Setup!$F$6:$F$15,0),99),IFERROR(MATCH(BC1029,Setup!$H$6:$H$15,0),99),IFERROR(MATCH(AZ1029,Setup!$J$6:$J$11,0),99))*1E+9+(AW1029-40000)*10000+1028)</f>
        <v/>
      </c>
      <c r="BK1029">
        <f>IF(BI1029=1,BJ1029,"")</f>
        <v/>
      </c>
      <c r="BL1029">
        <f>IF(AND(BH1029=1,BG1029=0,N(AW1029)&lt;Setup!$D$7),(AW1029-40000)*10000+1028,"")</f>
        <v/>
      </c>
      <c r="BM1029">
        <f>IF(AND(BH1029=1,AZ1029&lt;&gt;"Cancelled",N(AW1029)&gt;=Dashboard!$AB$3,N(AW1029)&lt;=Dashboard!$AB$3+6),(AW1029-40000)*100000+BF1029*10000+1028,"")</f>
        <v/>
      </c>
      <c r="BN1029">
        <f>IF(AND(BH1029=1,AZ1029&lt;&gt;"Cancelled"),BF1029*10000+1028,"")</f>
        <v/>
      </c>
    </row>
    <row r="1030">
      <c r="AS1030" t="inlineStr">
        <is>
          <t>R</t>
        </is>
      </c>
      <c r="AT1030" t="n">
        <v>1034</v>
      </c>
      <c r="AU1030">
        <f>'Recurring Log'!C1034&amp;""</f>
        <v/>
      </c>
      <c r="AV1030">
        <f>'Recurring Log'!D1034&amp;""</f>
        <v/>
      </c>
      <c r="AW1030">
        <f>IF('Recurring Log'!E1034="","",'Recurring Log'!E1034)</f>
        <v/>
      </c>
      <c r="AX1030">
        <f>IF('Recurring Log'!G1034="","",'Recurring Log'!G1034)</f>
        <v/>
      </c>
      <c r="AY1030">
        <f>IF('Recurring Log'!H1034="","",'Recurring Log'!H1034)</f>
        <v/>
      </c>
      <c r="AZ1030">
        <f>IF(AU1030="","",IF('Recurring Log'!J1034="","Not Started",'Recurring Log'!J1034))</f>
        <v/>
      </c>
      <c r="BA1030">
        <f>'Recurring Log'!L1034&amp;""</f>
        <v/>
      </c>
      <c r="BB1030">
        <f>'Recurring Log'!M1034&amp;""</f>
        <v/>
      </c>
      <c r="BC1030">
        <f>'Recurring Log'!N1034&amp;""</f>
        <v/>
      </c>
      <c r="BD1030">
        <f>'Recurring Log'!O1034&amp;""</f>
        <v/>
      </c>
      <c r="BE1030">
        <f>IF('Recurring Log'!K1034="","",'Recurring Log'!K1034)</f>
        <v/>
      </c>
      <c r="BF1030">
        <f>IFERROR(MATCH(BA1030,Setup!$L$6:$L$9,0),5)</f>
        <v/>
      </c>
      <c r="BG1030">
        <f>IF(OR(AZ1030="Done",AZ1030="Cancelled"),1,0)</f>
        <v/>
      </c>
      <c r="BH1030">
        <f>IF(AND(AU1030&lt;&gt;"",ISNUMBER(AW1030)),1,0)</f>
        <v/>
      </c>
      <c r="BI1030">
        <f>IF(BH1030=0,0,IF(AND(AW1030&gt;='Tasks Filter'!$F$3,AW1030&lt;='Tasks Filter'!$F$4,OR('Tasks Filter'!$I$3="",ISNUMBER(SEARCH('Tasks Filter'!$I$3,AU1030))),OR('Tasks Filter'!$I$4="",BF1030=IFERROR(MATCH('Tasks Filter'!$I$4,Setup!$L$6:$L$9,0),0)),OR('Tasks Filter'!$I$5="Both",AND('Tasks Filter'!$I$5="Yes",BB1030="✓"),AND('Tasks Filter'!$I$5="No",BB1030&lt;&gt;"✓")),OR('Tasks Filter'!$L$3="",AV1030='Tasks Filter'!$L$3),OR('Tasks Filter'!$L$4="",AZ1030='Tasks Filter'!$L$4),OR('Tasks Filter'!$L$5="",BC1030='Tasks Filter'!$L$5),OR('Tasks Filter'!$O$3="",BD1030='Tasks Filter'!$O$3),OR('Tasks Filter'!$O$4="Yes",BG1030=0)),1,0))</f>
        <v/>
      </c>
      <c r="BJ1030">
        <f>IF(BH1030=0,"",IF('Tasks Filter'!$F$6="Descending",-1,1)*CHOOSE(MATCH('Tasks Filter'!$F$5,Lists!$G$2:$G$6,0),AW1030,BF1030,IFERROR(MATCH(AV1030,Setup!$F$6:$F$15,0),99),IFERROR(MATCH(BC1030,Setup!$H$6:$H$15,0),99),IFERROR(MATCH(AZ1030,Setup!$J$6:$J$11,0),99))*1E+9+(AW1030-40000)*10000+1029)</f>
        <v/>
      </c>
      <c r="BK1030">
        <f>IF(BI1030=1,BJ1030,"")</f>
        <v/>
      </c>
      <c r="BL1030">
        <f>IF(AND(BH1030=1,BG1030=0,N(AW1030)&lt;Setup!$D$7),(AW1030-40000)*10000+1029,"")</f>
        <v/>
      </c>
      <c r="BM1030">
        <f>IF(AND(BH1030=1,AZ1030&lt;&gt;"Cancelled",N(AW1030)&gt;=Dashboard!$AB$3,N(AW1030)&lt;=Dashboard!$AB$3+6),(AW1030-40000)*100000+BF1030*10000+1029,"")</f>
        <v/>
      </c>
      <c r="BN1030">
        <f>IF(AND(BH1030=1,AZ1030&lt;&gt;"Cancelled"),BF1030*10000+1029,"")</f>
        <v/>
      </c>
    </row>
    <row r="1031">
      <c r="AS1031" t="inlineStr">
        <is>
          <t>R</t>
        </is>
      </c>
      <c r="AT1031" t="n">
        <v>1035</v>
      </c>
      <c r="AU1031">
        <f>'Recurring Log'!C1035&amp;""</f>
        <v/>
      </c>
      <c r="AV1031">
        <f>'Recurring Log'!D1035&amp;""</f>
        <v/>
      </c>
      <c r="AW1031">
        <f>IF('Recurring Log'!E1035="","",'Recurring Log'!E1035)</f>
        <v/>
      </c>
      <c r="AX1031">
        <f>IF('Recurring Log'!G1035="","",'Recurring Log'!G1035)</f>
        <v/>
      </c>
      <c r="AY1031">
        <f>IF('Recurring Log'!H1035="","",'Recurring Log'!H1035)</f>
        <v/>
      </c>
      <c r="AZ1031">
        <f>IF(AU1031="","",IF('Recurring Log'!J1035="","Not Started",'Recurring Log'!J1035))</f>
        <v/>
      </c>
      <c r="BA1031">
        <f>'Recurring Log'!L1035&amp;""</f>
        <v/>
      </c>
      <c r="BB1031">
        <f>'Recurring Log'!M1035&amp;""</f>
        <v/>
      </c>
      <c r="BC1031">
        <f>'Recurring Log'!N1035&amp;""</f>
        <v/>
      </c>
      <c r="BD1031">
        <f>'Recurring Log'!O1035&amp;""</f>
        <v/>
      </c>
      <c r="BE1031">
        <f>IF('Recurring Log'!K1035="","",'Recurring Log'!K1035)</f>
        <v/>
      </c>
      <c r="BF1031">
        <f>IFERROR(MATCH(BA1031,Setup!$L$6:$L$9,0),5)</f>
        <v/>
      </c>
      <c r="BG1031">
        <f>IF(OR(AZ1031="Done",AZ1031="Cancelled"),1,0)</f>
        <v/>
      </c>
      <c r="BH1031">
        <f>IF(AND(AU1031&lt;&gt;"",ISNUMBER(AW1031)),1,0)</f>
        <v/>
      </c>
      <c r="BI1031">
        <f>IF(BH1031=0,0,IF(AND(AW1031&gt;='Tasks Filter'!$F$3,AW1031&lt;='Tasks Filter'!$F$4,OR('Tasks Filter'!$I$3="",ISNUMBER(SEARCH('Tasks Filter'!$I$3,AU1031))),OR('Tasks Filter'!$I$4="",BF1031=IFERROR(MATCH('Tasks Filter'!$I$4,Setup!$L$6:$L$9,0),0)),OR('Tasks Filter'!$I$5="Both",AND('Tasks Filter'!$I$5="Yes",BB1031="✓"),AND('Tasks Filter'!$I$5="No",BB1031&lt;&gt;"✓")),OR('Tasks Filter'!$L$3="",AV1031='Tasks Filter'!$L$3),OR('Tasks Filter'!$L$4="",AZ1031='Tasks Filter'!$L$4),OR('Tasks Filter'!$L$5="",BC1031='Tasks Filter'!$L$5),OR('Tasks Filter'!$O$3="",BD1031='Tasks Filter'!$O$3),OR('Tasks Filter'!$O$4="Yes",BG1031=0)),1,0))</f>
        <v/>
      </c>
      <c r="BJ1031">
        <f>IF(BH1031=0,"",IF('Tasks Filter'!$F$6="Descending",-1,1)*CHOOSE(MATCH('Tasks Filter'!$F$5,Lists!$G$2:$G$6,0),AW1031,BF1031,IFERROR(MATCH(AV1031,Setup!$F$6:$F$15,0),99),IFERROR(MATCH(BC1031,Setup!$H$6:$H$15,0),99),IFERROR(MATCH(AZ1031,Setup!$J$6:$J$11,0),99))*1E+9+(AW1031-40000)*10000+1030)</f>
        <v/>
      </c>
      <c r="BK1031">
        <f>IF(BI1031=1,BJ1031,"")</f>
        <v/>
      </c>
      <c r="BL1031">
        <f>IF(AND(BH1031=1,BG1031=0,N(AW1031)&lt;Setup!$D$7),(AW1031-40000)*10000+1030,"")</f>
        <v/>
      </c>
      <c r="BM1031">
        <f>IF(AND(BH1031=1,AZ1031&lt;&gt;"Cancelled",N(AW1031)&gt;=Dashboard!$AB$3,N(AW1031)&lt;=Dashboard!$AB$3+6),(AW1031-40000)*100000+BF1031*10000+1030,"")</f>
        <v/>
      </c>
      <c r="BN1031">
        <f>IF(AND(BH1031=1,AZ1031&lt;&gt;"Cancelled"),BF1031*10000+1030,"")</f>
        <v/>
      </c>
    </row>
    <row r="1032">
      <c r="AS1032" t="inlineStr">
        <is>
          <t>R</t>
        </is>
      </c>
      <c r="AT1032" t="n">
        <v>1036</v>
      </c>
      <c r="AU1032">
        <f>'Recurring Log'!C1036&amp;""</f>
        <v/>
      </c>
      <c r="AV1032">
        <f>'Recurring Log'!D1036&amp;""</f>
        <v/>
      </c>
      <c r="AW1032">
        <f>IF('Recurring Log'!E1036="","",'Recurring Log'!E1036)</f>
        <v/>
      </c>
      <c r="AX1032">
        <f>IF('Recurring Log'!G1036="","",'Recurring Log'!G1036)</f>
        <v/>
      </c>
      <c r="AY1032">
        <f>IF('Recurring Log'!H1036="","",'Recurring Log'!H1036)</f>
        <v/>
      </c>
      <c r="AZ1032">
        <f>IF(AU1032="","",IF('Recurring Log'!J1036="","Not Started",'Recurring Log'!J1036))</f>
        <v/>
      </c>
      <c r="BA1032">
        <f>'Recurring Log'!L1036&amp;""</f>
        <v/>
      </c>
      <c r="BB1032">
        <f>'Recurring Log'!M1036&amp;""</f>
        <v/>
      </c>
      <c r="BC1032">
        <f>'Recurring Log'!N1036&amp;""</f>
        <v/>
      </c>
      <c r="BD1032">
        <f>'Recurring Log'!O1036&amp;""</f>
        <v/>
      </c>
      <c r="BE1032">
        <f>IF('Recurring Log'!K1036="","",'Recurring Log'!K1036)</f>
        <v/>
      </c>
      <c r="BF1032">
        <f>IFERROR(MATCH(BA1032,Setup!$L$6:$L$9,0),5)</f>
        <v/>
      </c>
      <c r="BG1032">
        <f>IF(OR(AZ1032="Done",AZ1032="Cancelled"),1,0)</f>
        <v/>
      </c>
      <c r="BH1032">
        <f>IF(AND(AU1032&lt;&gt;"",ISNUMBER(AW1032)),1,0)</f>
        <v/>
      </c>
      <c r="BI1032">
        <f>IF(BH1032=0,0,IF(AND(AW1032&gt;='Tasks Filter'!$F$3,AW1032&lt;='Tasks Filter'!$F$4,OR('Tasks Filter'!$I$3="",ISNUMBER(SEARCH('Tasks Filter'!$I$3,AU1032))),OR('Tasks Filter'!$I$4="",BF1032=IFERROR(MATCH('Tasks Filter'!$I$4,Setup!$L$6:$L$9,0),0)),OR('Tasks Filter'!$I$5="Both",AND('Tasks Filter'!$I$5="Yes",BB1032="✓"),AND('Tasks Filter'!$I$5="No",BB1032&lt;&gt;"✓")),OR('Tasks Filter'!$L$3="",AV1032='Tasks Filter'!$L$3),OR('Tasks Filter'!$L$4="",AZ1032='Tasks Filter'!$L$4),OR('Tasks Filter'!$L$5="",BC1032='Tasks Filter'!$L$5),OR('Tasks Filter'!$O$3="",BD1032='Tasks Filter'!$O$3),OR('Tasks Filter'!$O$4="Yes",BG1032=0)),1,0))</f>
        <v/>
      </c>
      <c r="BJ1032">
        <f>IF(BH1032=0,"",IF('Tasks Filter'!$F$6="Descending",-1,1)*CHOOSE(MATCH('Tasks Filter'!$F$5,Lists!$G$2:$G$6,0),AW1032,BF1032,IFERROR(MATCH(AV1032,Setup!$F$6:$F$15,0),99),IFERROR(MATCH(BC1032,Setup!$H$6:$H$15,0),99),IFERROR(MATCH(AZ1032,Setup!$J$6:$J$11,0),99))*1E+9+(AW1032-40000)*10000+1031)</f>
        <v/>
      </c>
      <c r="BK1032">
        <f>IF(BI1032=1,BJ1032,"")</f>
        <v/>
      </c>
      <c r="BL1032">
        <f>IF(AND(BH1032=1,BG1032=0,N(AW1032)&lt;Setup!$D$7),(AW1032-40000)*10000+1031,"")</f>
        <v/>
      </c>
      <c r="BM1032">
        <f>IF(AND(BH1032=1,AZ1032&lt;&gt;"Cancelled",N(AW1032)&gt;=Dashboard!$AB$3,N(AW1032)&lt;=Dashboard!$AB$3+6),(AW1032-40000)*100000+BF1032*10000+1031,"")</f>
        <v/>
      </c>
      <c r="BN1032">
        <f>IF(AND(BH1032=1,AZ1032&lt;&gt;"Cancelled"),BF1032*10000+1031,"")</f>
        <v/>
      </c>
    </row>
    <row r="1033">
      <c r="AS1033" t="inlineStr">
        <is>
          <t>R</t>
        </is>
      </c>
      <c r="AT1033" t="n">
        <v>1037</v>
      </c>
      <c r="AU1033">
        <f>'Recurring Log'!C1037&amp;""</f>
        <v/>
      </c>
      <c r="AV1033">
        <f>'Recurring Log'!D1037&amp;""</f>
        <v/>
      </c>
      <c r="AW1033">
        <f>IF('Recurring Log'!E1037="","",'Recurring Log'!E1037)</f>
        <v/>
      </c>
      <c r="AX1033">
        <f>IF('Recurring Log'!G1037="","",'Recurring Log'!G1037)</f>
        <v/>
      </c>
      <c r="AY1033">
        <f>IF('Recurring Log'!H1037="","",'Recurring Log'!H1037)</f>
        <v/>
      </c>
      <c r="AZ1033">
        <f>IF(AU1033="","",IF('Recurring Log'!J1037="","Not Started",'Recurring Log'!J1037))</f>
        <v/>
      </c>
      <c r="BA1033">
        <f>'Recurring Log'!L1037&amp;""</f>
        <v/>
      </c>
      <c r="BB1033">
        <f>'Recurring Log'!M1037&amp;""</f>
        <v/>
      </c>
      <c r="BC1033">
        <f>'Recurring Log'!N1037&amp;""</f>
        <v/>
      </c>
      <c r="BD1033">
        <f>'Recurring Log'!O1037&amp;""</f>
        <v/>
      </c>
      <c r="BE1033">
        <f>IF('Recurring Log'!K1037="","",'Recurring Log'!K1037)</f>
        <v/>
      </c>
      <c r="BF1033">
        <f>IFERROR(MATCH(BA1033,Setup!$L$6:$L$9,0),5)</f>
        <v/>
      </c>
      <c r="BG1033">
        <f>IF(OR(AZ1033="Done",AZ1033="Cancelled"),1,0)</f>
        <v/>
      </c>
      <c r="BH1033">
        <f>IF(AND(AU1033&lt;&gt;"",ISNUMBER(AW1033)),1,0)</f>
        <v/>
      </c>
      <c r="BI1033">
        <f>IF(BH1033=0,0,IF(AND(AW1033&gt;='Tasks Filter'!$F$3,AW1033&lt;='Tasks Filter'!$F$4,OR('Tasks Filter'!$I$3="",ISNUMBER(SEARCH('Tasks Filter'!$I$3,AU1033))),OR('Tasks Filter'!$I$4="",BF1033=IFERROR(MATCH('Tasks Filter'!$I$4,Setup!$L$6:$L$9,0),0)),OR('Tasks Filter'!$I$5="Both",AND('Tasks Filter'!$I$5="Yes",BB1033="✓"),AND('Tasks Filter'!$I$5="No",BB1033&lt;&gt;"✓")),OR('Tasks Filter'!$L$3="",AV1033='Tasks Filter'!$L$3),OR('Tasks Filter'!$L$4="",AZ1033='Tasks Filter'!$L$4),OR('Tasks Filter'!$L$5="",BC1033='Tasks Filter'!$L$5),OR('Tasks Filter'!$O$3="",BD1033='Tasks Filter'!$O$3),OR('Tasks Filter'!$O$4="Yes",BG1033=0)),1,0))</f>
        <v/>
      </c>
      <c r="BJ1033">
        <f>IF(BH1033=0,"",IF('Tasks Filter'!$F$6="Descending",-1,1)*CHOOSE(MATCH('Tasks Filter'!$F$5,Lists!$G$2:$G$6,0),AW1033,BF1033,IFERROR(MATCH(AV1033,Setup!$F$6:$F$15,0),99),IFERROR(MATCH(BC1033,Setup!$H$6:$H$15,0),99),IFERROR(MATCH(AZ1033,Setup!$J$6:$J$11,0),99))*1E+9+(AW1033-40000)*10000+1032)</f>
        <v/>
      </c>
      <c r="BK1033">
        <f>IF(BI1033=1,BJ1033,"")</f>
        <v/>
      </c>
      <c r="BL1033">
        <f>IF(AND(BH1033=1,BG1033=0,N(AW1033)&lt;Setup!$D$7),(AW1033-40000)*10000+1032,"")</f>
        <v/>
      </c>
      <c r="BM1033">
        <f>IF(AND(BH1033=1,AZ1033&lt;&gt;"Cancelled",N(AW1033)&gt;=Dashboard!$AB$3,N(AW1033)&lt;=Dashboard!$AB$3+6),(AW1033-40000)*100000+BF1033*10000+1032,"")</f>
        <v/>
      </c>
      <c r="BN1033">
        <f>IF(AND(BH1033=1,AZ1033&lt;&gt;"Cancelled"),BF1033*10000+1032,"")</f>
        <v/>
      </c>
    </row>
    <row r="1034">
      <c r="AS1034" t="inlineStr">
        <is>
          <t>R</t>
        </is>
      </c>
      <c r="AT1034" t="n">
        <v>1038</v>
      </c>
      <c r="AU1034">
        <f>'Recurring Log'!C1038&amp;""</f>
        <v/>
      </c>
      <c r="AV1034">
        <f>'Recurring Log'!D1038&amp;""</f>
        <v/>
      </c>
      <c r="AW1034">
        <f>IF('Recurring Log'!E1038="","",'Recurring Log'!E1038)</f>
        <v/>
      </c>
      <c r="AX1034">
        <f>IF('Recurring Log'!G1038="","",'Recurring Log'!G1038)</f>
        <v/>
      </c>
      <c r="AY1034">
        <f>IF('Recurring Log'!H1038="","",'Recurring Log'!H1038)</f>
        <v/>
      </c>
      <c r="AZ1034">
        <f>IF(AU1034="","",IF('Recurring Log'!J1038="","Not Started",'Recurring Log'!J1038))</f>
        <v/>
      </c>
      <c r="BA1034">
        <f>'Recurring Log'!L1038&amp;""</f>
        <v/>
      </c>
      <c r="BB1034">
        <f>'Recurring Log'!M1038&amp;""</f>
        <v/>
      </c>
      <c r="BC1034">
        <f>'Recurring Log'!N1038&amp;""</f>
        <v/>
      </c>
      <c r="BD1034">
        <f>'Recurring Log'!O1038&amp;""</f>
        <v/>
      </c>
      <c r="BE1034">
        <f>IF('Recurring Log'!K1038="","",'Recurring Log'!K1038)</f>
        <v/>
      </c>
      <c r="BF1034">
        <f>IFERROR(MATCH(BA1034,Setup!$L$6:$L$9,0),5)</f>
        <v/>
      </c>
      <c r="BG1034">
        <f>IF(OR(AZ1034="Done",AZ1034="Cancelled"),1,0)</f>
        <v/>
      </c>
      <c r="BH1034">
        <f>IF(AND(AU1034&lt;&gt;"",ISNUMBER(AW1034)),1,0)</f>
        <v/>
      </c>
      <c r="BI1034">
        <f>IF(BH1034=0,0,IF(AND(AW1034&gt;='Tasks Filter'!$F$3,AW1034&lt;='Tasks Filter'!$F$4,OR('Tasks Filter'!$I$3="",ISNUMBER(SEARCH('Tasks Filter'!$I$3,AU1034))),OR('Tasks Filter'!$I$4="",BF1034=IFERROR(MATCH('Tasks Filter'!$I$4,Setup!$L$6:$L$9,0),0)),OR('Tasks Filter'!$I$5="Both",AND('Tasks Filter'!$I$5="Yes",BB1034="✓"),AND('Tasks Filter'!$I$5="No",BB1034&lt;&gt;"✓")),OR('Tasks Filter'!$L$3="",AV1034='Tasks Filter'!$L$3),OR('Tasks Filter'!$L$4="",AZ1034='Tasks Filter'!$L$4),OR('Tasks Filter'!$L$5="",BC1034='Tasks Filter'!$L$5),OR('Tasks Filter'!$O$3="",BD1034='Tasks Filter'!$O$3),OR('Tasks Filter'!$O$4="Yes",BG1034=0)),1,0))</f>
        <v/>
      </c>
      <c r="BJ1034">
        <f>IF(BH1034=0,"",IF('Tasks Filter'!$F$6="Descending",-1,1)*CHOOSE(MATCH('Tasks Filter'!$F$5,Lists!$G$2:$G$6,0),AW1034,BF1034,IFERROR(MATCH(AV1034,Setup!$F$6:$F$15,0),99),IFERROR(MATCH(BC1034,Setup!$H$6:$H$15,0),99),IFERROR(MATCH(AZ1034,Setup!$J$6:$J$11,0),99))*1E+9+(AW1034-40000)*10000+1033)</f>
        <v/>
      </c>
      <c r="BK1034">
        <f>IF(BI1034=1,BJ1034,"")</f>
        <v/>
      </c>
      <c r="BL1034">
        <f>IF(AND(BH1034=1,BG1034=0,N(AW1034)&lt;Setup!$D$7),(AW1034-40000)*10000+1033,"")</f>
        <v/>
      </c>
      <c r="BM1034">
        <f>IF(AND(BH1034=1,AZ1034&lt;&gt;"Cancelled",N(AW1034)&gt;=Dashboard!$AB$3,N(AW1034)&lt;=Dashboard!$AB$3+6),(AW1034-40000)*100000+BF1034*10000+1033,"")</f>
        <v/>
      </c>
      <c r="BN1034">
        <f>IF(AND(BH1034=1,AZ1034&lt;&gt;"Cancelled"),BF1034*10000+1033,"")</f>
        <v/>
      </c>
    </row>
    <row r="1035">
      <c r="AS1035" t="inlineStr">
        <is>
          <t>R</t>
        </is>
      </c>
      <c r="AT1035" t="n">
        <v>1039</v>
      </c>
      <c r="AU1035">
        <f>'Recurring Log'!C1039&amp;""</f>
        <v/>
      </c>
      <c r="AV1035">
        <f>'Recurring Log'!D1039&amp;""</f>
        <v/>
      </c>
      <c r="AW1035">
        <f>IF('Recurring Log'!E1039="","",'Recurring Log'!E1039)</f>
        <v/>
      </c>
      <c r="AX1035">
        <f>IF('Recurring Log'!G1039="","",'Recurring Log'!G1039)</f>
        <v/>
      </c>
      <c r="AY1035">
        <f>IF('Recurring Log'!H1039="","",'Recurring Log'!H1039)</f>
        <v/>
      </c>
      <c r="AZ1035">
        <f>IF(AU1035="","",IF('Recurring Log'!J1039="","Not Started",'Recurring Log'!J1039))</f>
        <v/>
      </c>
      <c r="BA1035">
        <f>'Recurring Log'!L1039&amp;""</f>
        <v/>
      </c>
      <c r="BB1035">
        <f>'Recurring Log'!M1039&amp;""</f>
        <v/>
      </c>
      <c r="BC1035">
        <f>'Recurring Log'!N1039&amp;""</f>
        <v/>
      </c>
      <c r="BD1035">
        <f>'Recurring Log'!O1039&amp;""</f>
        <v/>
      </c>
      <c r="BE1035">
        <f>IF('Recurring Log'!K1039="","",'Recurring Log'!K1039)</f>
        <v/>
      </c>
      <c r="BF1035">
        <f>IFERROR(MATCH(BA1035,Setup!$L$6:$L$9,0),5)</f>
        <v/>
      </c>
      <c r="BG1035">
        <f>IF(OR(AZ1035="Done",AZ1035="Cancelled"),1,0)</f>
        <v/>
      </c>
      <c r="BH1035">
        <f>IF(AND(AU1035&lt;&gt;"",ISNUMBER(AW1035)),1,0)</f>
        <v/>
      </c>
      <c r="BI1035">
        <f>IF(BH1035=0,0,IF(AND(AW1035&gt;='Tasks Filter'!$F$3,AW1035&lt;='Tasks Filter'!$F$4,OR('Tasks Filter'!$I$3="",ISNUMBER(SEARCH('Tasks Filter'!$I$3,AU1035))),OR('Tasks Filter'!$I$4="",BF1035=IFERROR(MATCH('Tasks Filter'!$I$4,Setup!$L$6:$L$9,0),0)),OR('Tasks Filter'!$I$5="Both",AND('Tasks Filter'!$I$5="Yes",BB1035="✓"),AND('Tasks Filter'!$I$5="No",BB1035&lt;&gt;"✓")),OR('Tasks Filter'!$L$3="",AV1035='Tasks Filter'!$L$3),OR('Tasks Filter'!$L$4="",AZ1035='Tasks Filter'!$L$4),OR('Tasks Filter'!$L$5="",BC1035='Tasks Filter'!$L$5),OR('Tasks Filter'!$O$3="",BD1035='Tasks Filter'!$O$3),OR('Tasks Filter'!$O$4="Yes",BG1035=0)),1,0))</f>
        <v/>
      </c>
      <c r="BJ1035">
        <f>IF(BH1035=0,"",IF('Tasks Filter'!$F$6="Descending",-1,1)*CHOOSE(MATCH('Tasks Filter'!$F$5,Lists!$G$2:$G$6,0),AW1035,BF1035,IFERROR(MATCH(AV1035,Setup!$F$6:$F$15,0),99),IFERROR(MATCH(BC1035,Setup!$H$6:$H$15,0),99),IFERROR(MATCH(AZ1035,Setup!$J$6:$J$11,0),99))*1E+9+(AW1035-40000)*10000+1034)</f>
        <v/>
      </c>
      <c r="BK1035">
        <f>IF(BI1035=1,BJ1035,"")</f>
        <v/>
      </c>
      <c r="BL1035">
        <f>IF(AND(BH1035=1,BG1035=0,N(AW1035)&lt;Setup!$D$7),(AW1035-40000)*10000+1034,"")</f>
        <v/>
      </c>
      <c r="BM1035">
        <f>IF(AND(BH1035=1,AZ1035&lt;&gt;"Cancelled",N(AW1035)&gt;=Dashboard!$AB$3,N(AW1035)&lt;=Dashboard!$AB$3+6),(AW1035-40000)*100000+BF1035*10000+1034,"")</f>
        <v/>
      </c>
      <c r="BN1035">
        <f>IF(AND(BH1035=1,AZ1035&lt;&gt;"Cancelled"),BF1035*10000+1034,"")</f>
        <v/>
      </c>
    </row>
    <row r="1036">
      <c r="AS1036" t="inlineStr">
        <is>
          <t>R</t>
        </is>
      </c>
      <c r="AT1036" t="n">
        <v>1040</v>
      </c>
      <c r="AU1036">
        <f>'Recurring Log'!C1040&amp;""</f>
        <v/>
      </c>
      <c r="AV1036">
        <f>'Recurring Log'!D1040&amp;""</f>
        <v/>
      </c>
      <c r="AW1036">
        <f>IF('Recurring Log'!E1040="","",'Recurring Log'!E1040)</f>
        <v/>
      </c>
      <c r="AX1036">
        <f>IF('Recurring Log'!G1040="","",'Recurring Log'!G1040)</f>
        <v/>
      </c>
      <c r="AY1036">
        <f>IF('Recurring Log'!H1040="","",'Recurring Log'!H1040)</f>
        <v/>
      </c>
      <c r="AZ1036">
        <f>IF(AU1036="","",IF('Recurring Log'!J1040="","Not Started",'Recurring Log'!J1040))</f>
        <v/>
      </c>
      <c r="BA1036">
        <f>'Recurring Log'!L1040&amp;""</f>
        <v/>
      </c>
      <c r="BB1036">
        <f>'Recurring Log'!M1040&amp;""</f>
        <v/>
      </c>
      <c r="BC1036">
        <f>'Recurring Log'!N1040&amp;""</f>
        <v/>
      </c>
      <c r="BD1036">
        <f>'Recurring Log'!O1040&amp;""</f>
        <v/>
      </c>
      <c r="BE1036">
        <f>IF('Recurring Log'!K1040="","",'Recurring Log'!K1040)</f>
        <v/>
      </c>
      <c r="BF1036">
        <f>IFERROR(MATCH(BA1036,Setup!$L$6:$L$9,0),5)</f>
        <v/>
      </c>
      <c r="BG1036">
        <f>IF(OR(AZ1036="Done",AZ1036="Cancelled"),1,0)</f>
        <v/>
      </c>
      <c r="BH1036">
        <f>IF(AND(AU1036&lt;&gt;"",ISNUMBER(AW1036)),1,0)</f>
        <v/>
      </c>
      <c r="BI1036">
        <f>IF(BH1036=0,0,IF(AND(AW1036&gt;='Tasks Filter'!$F$3,AW1036&lt;='Tasks Filter'!$F$4,OR('Tasks Filter'!$I$3="",ISNUMBER(SEARCH('Tasks Filter'!$I$3,AU1036))),OR('Tasks Filter'!$I$4="",BF1036=IFERROR(MATCH('Tasks Filter'!$I$4,Setup!$L$6:$L$9,0),0)),OR('Tasks Filter'!$I$5="Both",AND('Tasks Filter'!$I$5="Yes",BB1036="✓"),AND('Tasks Filter'!$I$5="No",BB1036&lt;&gt;"✓")),OR('Tasks Filter'!$L$3="",AV1036='Tasks Filter'!$L$3),OR('Tasks Filter'!$L$4="",AZ1036='Tasks Filter'!$L$4),OR('Tasks Filter'!$L$5="",BC1036='Tasks Filter'!$L$5),OR('Tasks Filter'!$O$3="",BD1036='Tasks Filter'!$O$3),OR('Tasks Filter'!$O$4="Yes",BG1036=0)),1,0))</f>
        <v/>
      </c>
      <c r="BJ1036">
        <f>IF(BH1036=0,"",IF('Tasks Filter'!$F$6="Descending",-1,1)*CHOOSE(MATCH('Tasks Filter'!$F$5,Lists!$G$2:$G$6,0),AW1036,BF1036,IFERROR(MATCH(AV1036,Setup!$F$6:$F$15,0),99),IFERROR(MATCH(BC1036,Setup!$H$6:$H$15,0),99),IFERROR(MATCH(AZ1036,Setup!$J$6:$J$11,0),99))*1E+9+(AW1036-40000)*10000+1035)</f>
        <v/>
      </c>
      <c r="BK1036">
        <f>IF(BI1036=1,BJ1036,"")</f>
        <v/>
      </c>
      <c r="BL1036">
        <f>IF(AND(BH1036=1,BG1036=0,N(AW1036)&lt;Setup!$D$7),(AW1036-40000)*10000+1035,"")</f>
        <v/>
      </c>
      <c r="BM1036">
        <f>IF(AND(BH1036=1,AZ1036&lt;&gt;"Cancelled",N(AW1036)&gt;=Dashboard!$AB$3,N(AW1036)&lt;=Dashboard!$AB$3+6),(AW1036-40000)*100000+BF1036*10000+1035,"")</f>
        <v/>
      </c>
      <c r="BN1036">
        <f>IF(AND(BH1036=1,AZ1036&lt;&gt;"Cancelled"),BF1036*10000+1035,"")</f>
        <v/>
      </c>
    </row>
    <row r="1037">
      <c r="AS1037" t="inlineStr">
        <is>
          <t>R</t>
        </is>
      </c>
      <c r="AT1037" t="n">
        <v>1041</v>
      </c>
      <c r="AU1037">
        <f>'Recurring Log'!C1041&amp;""</f>
        <v/>
      </c>
      <c r="AV1037">
        <f>'Recurring Log'!D1041&amp;""</f>
        <v/>
      </c>
      <c r="AW1037">
        <f>IF('Recurring Log'!E1041="","",'Recurring Log'!E1041)</f>
        <v/>
      </c>
      <c r="AX1037">
        <f>IF('Recurring Log'!G1041="","",'Recurring Log'!G1041)</f>
        <v/>
      </c>
      <c r="AY1037">
        <f>IF('Recurring Log'!H1041="","",'Recurring Log'!H1041)</f>
        <v/>
      </c>
      <c r="AZ1037">
        <f>IF(AU1037="","",IF('Recurring Log'!J1041="","Not Started",'Recurring Log'!J1041))</f>
        <v/>
      </c>
      <c r="BA1037">
        <f>'Recurring Log'!L1041&amp;""</f>
        <v/>
      </c>
      <c r="BB1037">
        <f>'Recurring Log'!M1041&amp;""</f>
        <v/>
      </c>
      <c r="BC1037">
        <f>'Recurring Log'!N1041&amp;""</f>
        <v/>
      </c>
      <c r="BD1037">
        <f>'Recurring Log'!O1041&amp;""</f>
        <v/>
      </c>
      <c r="BE1037">
        <f>IF('Recurring Log'!K1041="","",'Recurring Log'!K1041)</f>
        <v/>
      </c>
      <c r="BF1037">
        <f>IFERROR(MATCH(BA1037,Setup!$L$6:$L$9,0),5)</f>
        <v/>
      </c>
      <c r="BG1037">
        <f>IF(OR(AZ1037="Done",AZ1037="Cancelled"),1,0)</f>
        <v/>
      </c>
      <c r="BH1037">
        <f>IF(AND(AU1037&lt;&gt;"",ISNUMBER(AW1037)),1,0)</f>
        <v/>
      </c>
      <c r="BI1037">
        <f>IF(BH1037=0,0,IF(AND(AW1037&gt;='Tasks Filter'!$F$3,AW1037&lt;='Tasks Filter'!$F$4,OR('Tasks Filter'!$I$3="",ISNUMBER(SEARCH('Tasks Filter'!$I$3,AU1037))),OR('Tasks Filter'!$I$4="",BF1037=IFERROR(MATCH('Tasks Filter'!$I$4,Setup!$L$6:$L$9,0),0)),OR('Tasks Filter'!$I$5="Both",AND('Tasks Filter'!$I$5="Yes",BB1037="✓"),AND('Tasks Filter'!$I$5="No",BB1037&lt;&gt;"✓")),OR('Tasks Filter'!$L$3="",AV1037='Tasks Filter'!$L$3),OR('Tasks Filter'!$L$4="",AZ1037='Tasks Filter'!$L$4),OR('Tasks Filter'!$L$5="",BC1037='Tasks Filter'!$L$5),OR('Tasks Filter'!$O$3="",BD1037='Tasks Filter'!$O$3),OR('Tasks Filter'!$O$4="Yes",BG1037=0)),1,0))</f>
        <v/>
      </c>
      <c r="BJ1037">
        <f>IF(BH1037=0,"",IF('Tasks Filter'!$F$6="Descending",-1,1)*CHOOSE(MATCH('Tasks Filter'!$F$5,Lists!$G$2:$G$6,0),AW1037,BF1037,IFERROR(MATCH(AV1037,Setup!$F$6:$F$15,0),99),IFERROR(MATCH(BC1037,Setup!$H$6:$H$15,0),99),IFERROR(MATCH(AZ1037,Setup!$J$6:$J$11,0),99))*1E+9+(AW1037-40000)*10000+1036)</f>
        <v/>
      </c>
      <c r="BK1037">
        <f>IF(BI1037=1,BJ1037,"")</f>
        <v/>
      </c>
      <c r="BL1037">
        <f>IF(AND(BH1037=1,BG1037=0,N(AW1037)&lt;Setup!$D$7),(AW1037-40000)*10000+1036,"")</f>
        <v/>
      </c>
      <c r="BM1037">
        <f>IF(AND(BH1037=1,AZ1037&lt;&gt;"Cancelled",N(AW1037)&gt;=Dashboard!$AB$3,N(AW1037)&lt;=Dashboard!$AB$3+6),(AW1037-40000)*100000+BF1037*10000+1036,"")</f>
        <v/>
      </c>
      <c r="BN1037">
        <f>IF(AND(BH1037=1,AZ1037&lt;&gt;"Cancelled"),BF1037*10000+1036,"")</f>
        <v/>
      </c>
    </row>
    <row r="1038">
      <c r="AS1038" t="inlineStr">
        <is>
          <t>R</t>
        </is>
      </c>
      <c r="AT1038" t="n">
        <v>1042</v>
      </c>
      <c r="AU1038">
        <f>'Recurring Log'!C1042&amp;""</f>
        <v/>
      </c>
      <c r="AV1038">
        <f>'Recurring Log'!D1042&amp;""</f>
        <v/>
      </c>
      <c r="AW1038">
        <f>IF('Recurring Log'!E1042="","",'Recurring Log'!E1042)</f>
        <v/>
      </c>
      <c r="AX1038">
        <f>IF('Recurring Log'!G1042="","",'Recurring Log'!G1042)</f>
        <v/>
      </c>
      <c r="AY1038">
        <f>IF('Recurring Log'!H1042="","",'Recurring Log'!H1042)</f>
        <v/>
      </c>
      <c r="AZ1038">
        <f>IF(AU1038="","",IF('Recurring Log'!J1042="","Not Started",'Recurring Log'!J1042))</f>
        <v/>
      </c>
      <c r="BA1038">
        <f>'Recurring Log'!L1042&amp;""</f>
        <v/>
      </c>
      <c r="BB1038">
        <f>'Recurring Log'!M1042&amp;""</f>
        <v/>
      </c>
      <c r="BC1038">
        <f>'Recurring Log'!N1042&amp;""</f>
        <v/>
      </c>
      <c r="BD1038">
        <f>'Recurring Log'!O1042&amp;""</f>
        <v/>
      </c>
      <c r="BE1038">
        <f>IF('Recurring Log'!K1042="","",'Recurring Log'!K1042)</f>
        <v/>
      </c>
      <c r="BF1038">
        <f>IFERROR(MATCH(BA1038,Setup!$L$6:$L$9,0),5)</f>
        <v/>
      </c>
      <c r="BG1038">
        <f>IF(OR(AZ1038="Done",AZ1038="Cancelled"),1,0)</f>
        <v/>
      </c>
      <c r="BH1038">
        <f>IF(AND(AU1038&lt;&gt;"",ISNUMBER(AW1038)),1,0)</f>
        <v/>
      </c>
      <c r="BI1038">
        <f>IF(BH1038=0,0,IF(AND(AW1038&gt;='Tasks Filter'!$F$3,AW1038&lt;='Tasks Filter'!$F$4,OR('Tasks Filter'!$I$3="",ISNUMBER(SEARCH('Tasks Filter'!$I$3,AU1038))),OR('Tasks Filter'!$I$4="",BF1038=IFERROR(MATCH('Tasks Filter'!$I$4,Setup!$L$6:$L$9,0),0)),OR('Tasks Filter'!$I$5="Both",AND('Tasks Filter'!$I$5="Yes",BB1038="✓"),AND('Tasks Filter'!$I$5="No",BB1038&lt;&gt;"✓")),OR('Tasks Filter'!$L$3="",AV1038='Tasks Filter'!$L$3),OR('Tasks Filter'!$L$4="",AZ1038='Tasks Filter'!$L$4),OR('Tasks Filter'!$L$5="",BC1038='Tasks Filter'!$L$5),OR('Tasks Filter'!$O$3="",BD1038='Tasks Filter'!$O$3),OR('Tasks Filter'!$O$4="Yes",BG1038=0)),1,0))</f>
        <v/>
      </c>
      <c r="BJ1038">
        <f>IF(BH1038=0,"",IF('Tasks Filter'!$F$6="Descending",-1,1)*CHOOSE(MATCH('Tasks Filter'!$F$5,Lists!$G$2:$G$6,0),AW1038,BF1038,IFERROR(MATCH(AV1038,Setup!$F$6:$F$15,0),99),IFERROR(MATCH(BC1038,Setup!$H$6:$H$15,0),99),IFERROR(MATCH(AZ1038,Setup!$J$6:$J$11,0),99))*1E+9+(AW1038-40000)*10000+1037)</f>
        <v/>
      </c>
      <c r="BK1038">
        <f>IF(BI1038=1,BJ1038,"")</f>
        <v/>
      </c>
      <c r="BL1038">
        <f>IF(AND(BH1038=1,BG1038=0,N(AW1038)&lt;Setup!$D$7),(AW1038-40000)*10000+1037,"")</f>
        <v/>
      </c>
      <c r="BM1038">
        <f>IF(AND(BH1038=1,AZ1038&lt;&gt;"Cancelled",N(AW1038)&gt;=Dashboard!$AB$3,N(AW1038)&lt;=Dashboard!$AB$3+6),(AW1038-40000)*100000+BF1038*10000+1037,"")</f>
        <v/>
      </c>
      <c r="BN1038">
        <f>IF(AND(BH1038=1,AZ1038&lt;&gt;"Cancelled"),BF1038*10000+1037,"")</f>
        <v/>
      </c>
    </row>
    <row r="1039">
      <c r="AS1039" t="inlineStr">
        <is>
          <t>R</t>
        </is>
      </c>
      <c r="AT1039" t="n">
        <v>1043</v>
      </c>
      <c r="AU1039">
        <f>'Recurring Log'!C1043&amp;""</f>
        <v/>
      </c>
      <c r="AV1039">
        <f>'Recurring Log'!D1043&amp;""</f>
        <v/>
      </c>
      <c r="AW1039">
        <f>IF('Recurring Log'!E1043="","",'Recurring Log'!E1043)</f>
        <v/>
      </c>
      <c r="AX1039">
        <f>IF('Recurring Log'!G1043="","",'Recurring Log'!G1043)</f>
        <v/>
      </c>
      <c r="AY1039">
        <f>IF('Recurring Log'!H1043="","",'Recurring Log'!H1043)</f>
        <v/>
      </c>
      <c r="AZ1039">
        <f>IF(AU1039="","",IF('Recurring Log'!J1043="","Not Started",'Recurring Log'!J1043))</f>
        <v/>
      </c>
      <c r="BA1039">
        <f>'Recurring Log'!L1043&amp;""</f>
        <v/>
      </c>
      <c r="BB1039">
        <f>'Recurring Log'!M1043&amp;""</f>
        <v/>
      </c>
      <c r="BC1039">
        <f>'Recurring Log'!N1043&amp;""</f>
        <v/>
      </c>
      <c r="BD1039">
        <f>'Recurring Log'!O1043&amp;""</f>
        <v/>
      </c>
      <c r="BE1039">
        <f>IF('Recurring Log'!K1043="","",'Recurring Log'!K1043)</f>
        <v/>
      </c>
      <c r="BF1039">
        <f>IFERROR(MATCH(BA1039,Setup!$L$6:$L$9,0),5)</f>
        <v/>
      </c>
      <c r="BG1039">
        <f>IF(OR(AZ1039="Done",AZ1039="Cancelled"),1,0)</f>
        <v/>
      </c>
      <c r="BH1039">
        <f>IF(AND(AU1039&lt;&gt;"",ISNUMBER(AW1039)),1,0)</f>
        <v/>
      </c>
      <c r="BI1039">
        <f>IF(BH1039=0,0,IF(AND(AW1039&gt;='Tasks Filter'!$F$3,AW1039&lt;='Tasks Filter'!$F$4,OR('Tasks Filter'!$I$3="",ISNUMBER(SEARCH('Tasks Filter'!$I$3,AU1039))),OR('Tasks Filter'!$I$4="",BF1039=IFERROR(MATCH('Tasks Filter'!$I$4,Setup!$L$6:$L$9,0),0)),OR('Tasks Filter'!$I$5="Both",AND('Tasks Filter'!$I$5="Yes",BB1039="✓"),AND('Tasks Filter'!$I$5="No",BB1039&lt;&gt;"✓")),OR('Tasks Filter'!$L$3="",AV1039='Tasks Filter'!$L$3),OR('Tasks Filter'!$L$4="",AZ1039='Tasks Filter'!$L$4),OR('Tasks Filter'!$L$5="",BC1039='Tasks Filter'!$L$5),OR('Tasks Filter'!$O$3="",BD1039='Tasks Filter'!$O$3),OR('Tasks Filter'!$O$4="Yes",BG1039=0)),1,0))</f>
        <v/>
      </c>
      <c r="BJ1039">
        <f>IF(BH1039=0,"",IF('Tasks Filter'!$F$6="Descending",-1,1)*CHOOSE(MATCH('Tasks Filter'!$F$5,Lists!$G$2:$G$6,0),AW1039,BF1039,IFERROR(MATCH(AV1039,Setup!$F$6:$F$15,0),99),IFERROR(MATCH(BC1039,Setup!$H$6:$H$15,0),99),IFERROR(MATCH(AZ1039,Setup!$J$6:$J$11,0),99))*1E+9+(AW1039-40000)*10000+1038)</f>
        <v/>
      </c>
      <c r="BK1039">
        <f>IF(BI1039=1,BJ1039,"")</f>
        <v/>
      </c>
      <c r="BL1039">
        <f>IF(AND(BH1039=1,BG1039=0,N(AW1039)&lt;Setup!$D$7),(AW1039-40000)*10000+1038,"")</f>
        <v/>
      </c>
      <c r="BM1039">
        <f>IF(AND(BH1039=1,AZ1039&lt;&gt;"Cancelled",N(AW1039)&gt;=Dashboard!$AB$3,N(AW1039)&lt;=Dashboard!$AB$3+6),(AW1039-40000)*100000+BF1039*10000+1038,"")</f>
        <v/>
      </c>
      <c r="BN1039">
        <f>IF(AND(BH1039=1,AZ1039&lt;&gt;"Cancelled"),BF1039*10000+1038,"")</f>
        <v/>
      </c>
    </row>
    <row r="1040">
      <c r="AS1040" t="inlineStr">
        <is>
          <t>R</t>
        </is>
      </c>
      <c r="AT1040" t="n">
        <v>1044</v>
      </c>
      <c r="AU1040">
        <f>'Recurring Log'!C1044&amp;""</f>
        <v/>
      </c>
      <c r="AV1040">
        <f>'Recurring Log'!D1044&amp;""</f>
        <v/>
      </c>
      <c r="AW1040">
        <f>IF('Recurring Log'!E1044="","",'Recurring Log'!E1044)</f>
        <v/>
      </c>
      <c r="AX1040">
        <f>IF('Recurring Log'!G1044="","",'Recurring Log'!G1044)</f>
        <v/>
      </c>
      <c r="AY1040">
        <f>IF('Recurring Log'!H1044="","",'Recurring Log'!H1044)</f>
        <v/>
      </c>
      <c r="AZ1040">
        <f>IF(AU1040="","",IF('Recurring Log'!J1044="","Not Started",'Recurring Log'!J1044))</f>
        <v/>
      </c>
      <c r="BA1040">
        <f>'Recurring Log'!L1044&amp;""</f>
        <v/>
      </c>
      <c r="BB1040">
        <f>'Recurring Log'!M1044&amp;""</f>
        <v/>
      </c>
      <c r="BC1040">
        <f>'Recurring Log'!N1044&amp;""</f>
        <v/>
      </c>
      <c r="BD1040">
        <f>'Recurring Log'!O1044&amp;""</f>
        <v/>
      </c>
      <c r="BE1040">
        <f>IF('Recurring Log'!K1044="","",'Recurring Log'!K1044)</f>
        <v/>
      </c>
      <c r="BF1040">
        <f>IFERROR(MATCH(BA1040,Setup!$L$6:$L$9,0),5)</f>
        <v/>
      </c>
      <c r="BG1040">
        <f>IF(OR(AZ1040="Done",AZ1040="Cancelled"),1,0)</f>
        <v/>
      </c>
      <c r="BH1040">
        <f>IF(AND(AU1040&lt;&gt;"",ISNUMBER(AW1040)),1,0)</f>
        <v/>
      </c>
      <c r="BI1040">
        <f>IF(BH1040=0,0,IF(AND(AW1040&gt;='Tasks Filter'!$F$3,AW1040&lt;='Tasks Filter'!$F$4,OR('Tasks Filter'!$I$3="",ISNUMBER(SEARCH('Tasks Filter'!$I$3,AU1040))),OR('Tasks Filter'!$I$4="",BF1040=IFERROR(MATCH('Tasks Filter'!$I$4,Setup!$L$6:$L$9,0),0)),OR('Tasks Filter'!$I$5="Both",AND('Tasks Filter'!$I$5="Yes",BB1040="✓"),AND('Tasks Filter'!$I$5="No",BB1040&lt;&gt;"✓")),OR('Tasks Filter'!$L$3="",AV1040='Tasks Filter'!$L$3),OR('Tasks Filter'!$L$4="",AZ1040='Tasks Filter'!$L$4),OR('Tasks Filter'!$L$5="",BC1040='Tasks Filter'!$L$5),OR('Tasks Filter'!$O$3="",BD1040='Tasks Filter'!$O$3),OR('Tasks Filter'!$O$4="Yes",BG1040=0)),1,0))</f>
        <v/>
      </c>
      <c r="BJ1040">
        <f>IF(BH1040=0,"",IF('Tasks Filter'!$F$6="Descending",-1,1)*CHOOSE(MATCH('Tasks Filter'!$F$5,Lists!$G$2:$G$6,0),AW1040,BF1040,IFERROR(MATCH(AV1040,Setup!$F$6:$F$15,0),99),IFERROR(MATCH(BC1040,Setup!$H$6:$H$15,0),99),IFERROR(MATCH(AZ1040,Setup!$J$6:$J$11,0),99))*1E+9+(AW1040-40000)*10000+1039)</f>
        <v/>
      </c>
      <c r="BK1040">
        <f>IF(BI1040=1,BJ1040,"")</f>
        <v/>
      </c>
      <c r="BL1040">
        <f>IF(AND(BH1040=1,BG1040=0,N(AW1040)&lt;Setup!$D$7),(AW1040-40000)*10000+1039,"")</f>
        <v/>
      </c>
      <c r="BM1040">
        <f>IF(AND(BH1040=1,AZ1040&lt;&gt;"Cancelled",N(AW1040)&gt;=Dashboard!$AB$3,N(AW1040)&lt;=Dashboard!$AB$3+6),(AW1040-40000)*100000+BF1040*10000+1039,"")</f>
        <v/>
      </c>
      <c r="BN1040">
        <f>IF(AND(BH1040=1,AZ1040&lt;&gt;"Cancelled"),BF1040*10000+1039,"")</f>
        <v/>
      </c>
    </row>
    <row r="1041">
      <c r="AS1041" t="inlineStr">
        <is>
          <t>R</t>
        </is>
      </c>
      <c r="AT1041" t="n">
        <v>1045</v>
      </c>
      <c r="AU1041">
        <f>'Recurring Log'!C1045&amp;""</f>
        <v/>
      </c>
      <c r="AV1041">
        <f>'Recurring Log'!D1045&amp;""</f>
        <v/>
      </c>
      <c r="AW1041">
        <f>IF('Recurring Log'!E1045="","",'Recurring Log'!E1045)</f>
        <v/>
      </c>
      <c r="AX1041">
        <f>IF('Recurring Log'!G1045="","",'Recurring Log'!G1045)</f>
        <v/>
      </c>
      <c r="AY1041">
        <f>IF('Recurring Log'!H1045="","",'Recurring Log'!H1045)</f>
        <v/>
      </c>
      <c r="AZ1041">
        <f>IF(AU1041="","",IF('Recurring Log'!J1045="","Not Started",'Recurring Log'!J1045))</f>
        <v/>
      </c>
      <c r="BA1041">
        <f>'Recurring Log'!L1045&amp;""</f>
        <v/>
      </c>
      <c r="BB1041">
        <f>'Recurring Log'!M1045&amp;""</f>
        <v/>
      </c>
      <c r="BC1041">
        <f>'Recurring Log'!N1045&amp;""</f>
        <v/>
      </c>
      <c r="BD1041">
        <f>'Recurring Log'!O1045&amp;""</f>
        <v/>
      </c>
      <c r="BE1041">
        <f>IF('Recurring Log'!K1045="","",'Recurring Log'!K1045)</f>
        <v/>
      </c>
      <c r="BF1041">
        <f>IFERROR(MATCH(BA1041,Setup!$L$6:$L$9,0),5)</f>
        <v/>
      </c>
      <c r="BG1041">
        <f>IF(OR(AZ1041="Done",AZ1041="Cancelled"),1,0)</f>
        <v/>
      </c>
      <c r="BH1041">
        <f>IF(AND(AU1041&lt;&gt;"",ISNUMBER(AW1041)),1,0)</f>
        <v/>
      </c>
      <c r="BI1041">
        <f>IF(BH1041=0,0,IF(AND(AW1041&gt;='Tasks Filter'!$F$3,AW1041&lt;='Tasks Filter'!$F$4,OR('Tasks Filter'!$I$3="",ISNUMBER(SEARCH('Tasks Filter'!$I$3,AU1041))),OR('Tasks Filter'!$I$4="",BF1041=IFERROR(MATCH('Tasks Filter'!$I$4,Setup!$L$6:$L$9,0),0)),OR('Tasks Filter'!$I$5="Both",AND('Tasks Filter'!$I$5="Yes",BB1041="✓"),AND('Tasks Filter'!$I$5="No",BB1041&lt;&gt;"✓")),OR('Tasks Filter'!$L$3="",AV1041='Tasks Filter'!$L$3),OR('Tasks Filter'!$L$4="",AZ1041='Tasks Filter'!$L$4),OR('Tasks Filter'!$L$5="",BC1041='Tasks Filter'!$L$5),OR('Tasks Filter'!$O$3="",BD1041='Tasks Filter'!$O$3),OR('Tasks Filter'!$O$4="Yes",BG1041=0)),1,0))</f>
        <v/>
      </c>
      <c r="BJ1041">
        <f>IF(BH1041=0,"",IF('Tasks Filter'!$F$6="Descending",-1,1)*CHOOSE(MATCH('Tasks Filter'!$F$5,Lists!$G$2:$G$6,0),AW1041,BF1041,IFERROR(MATCH(AV1041,Setup!$F$6:$F$15,0),99),IFERROR(MATCH(BC1041,Setup!$H$6:$H$15,0),99),IFERROR(MATCH(AZ1041,Setup!$J$6:$J$11,0),99))*1E+9+(AW1041-40000)*10000+1040)</f>
        <v/>
      </c>
      <c r="BK1041">
        <f>IF(BI1041=1,BJ1041,"")</f>
        <v/>
      </c>
      <c r="BL1041">
        <f>IF(AND(BH1041=1,BG1041=0,N(AW1041)&lt;Setup!$D$7),(AW1041-40000)*10000+1040,"")</f>
        <v/>
      </c>
      <c r="BM1041">
        <f>IF(AND(BH1041=1,AZ1041&lt;&gt;"Cancelled",N(AW1041)&gt;=Dashboard!$AB$3,N(AW1041)&lt;=Dashboard!$AB$3+6),(AW1041-40000)*100000+BF1041*10000+1040,"")</f>
        <v/>
      </c>
      <c r="BN1041">
        <f>IF(AND(BH1041=1,AZ1041&lt;&gt;"Cancelled"),BF1041*10000+1040,"")</f>
        <v/>
      </c>
    </row>
    <row r="1042">
      <c r="AS1042" t="inlineStr">
        <is>
          <t>R</t>
        </is>
      </c>
      <c r="AT1042" t="n">
        <v>1046</v>
      </c>
      <c r="AU1042">
        <f>'Recurring Log'!C1046&amp;""</f>
        <v/>
      </c>
      <c r="AV1042">
        <f>'Recurring Log'!D1046&amp;""</f>
        <v/>
      </c>
      <c r="AW1042">
        <f>IF('Recurring Log'!E1046="","",'Recurring Log'!E1046)</f>
        <v/>
      </c>
      <c r="AX1042">
        <f>IF('Recurring Log'!G1046="","",'Recurring Log'!G1046)</f>
        <v/>
      </c>
      <c r="AY1042">
        <f>IF('Recurring Log'!H1046="","",'Recurring Log'!H1046)</f>
        <v/>
      </c>
      <c r="AZ1042">
        <f>IF(AU1042="","",IF('Recurring Log'!J1046="","Not Started",'Recurring Log'!J1046))</f>
        <v/>
      </c>
      <c r="BA1042">
        <f>'Recurring Log'!L1046&amp;""</f>
        <v/>
      </c>
      <c r="BB1042">
        <f>'Recurring Log'!M1046&amp;""</f>
        <v/>
      </c>
      <c r="BC1042">
        <f>'Recurring Log'!N1046&amp;""</f>
        <v/>
      </c>
      <c r="BD1042">
        <f>'Recurring Log'!O1046&amp;""</f>
        <v/>
      </c>
      <c r="BE1042">
        <f>IF('Recurring Log'!K1046="","",'Recurring Log'!K1046)</f>
        <v/>
      </c>
      <c r="BF1042">
        <f>IFERROR(MATCH(BA1042,Setup!$L$6:$L$9,0),5)</f>
        <v/>
      </c>
      <c r="BG1042">
        <f>IF(OR(AZ1042="Done",AZ1042="Cancelled"),1,0)</f>
        <v/>
      </c>
      <c r="BH1042">
        <f>IF(AND(AU1042&lt;&gt;"",ISNUMBER(AW1042)),1,0)</f>
        <v/>
      </c>
      <c r="BI1042">
        <f>IF(BH1042=0,0,IF(AND(AW1042&gt;='Tasks Filter'!$F$3,AW1042&lt;='Tasks Filter'!$F$4,OR('Tasks Filter'!$I$3="",ISNUMBER(SEARCH('Tasks Filter'!$I$3,AU1042))),OR('Tasks Filter'!$I$4="",BF1042=IFERROR(MATCH('Tasks Filter'!$I$4,Setup!$L$6:$L$9,0),0)),OR('Tasks Filter'!$I$5="Both",AND('Tasks Filter'!$I$5="Yes",BB1042="✓"),AND('Tasks Filter'!$I$5="No",BB1042&lt;&gt;"✓")),OR('Tasks Filter'!$L$3="",AV1042='Tasks Filter'!$L$3),OR('Tasks Filter'!$L$4="",AZ1042='Tasks Filter'!$L$4),OR('Tasks Filter'!$L$5="",BC1042='Tasks Filter'!$L$5),OR('Tasks Filter'!$O$3="",BD1042='Tasks Filter'!$O$3),OR('Tasks Filter'!$O$4="Yes",BG1042=0)),1,0))</f>
        <v/>
      </c>
      <c r="BJ1042">
        <f>IF(BH1042=0,"",IF('Tasks Filter'!$F$6="Descending",-1,1)*CHOOSE(MATCH('Tasks Filter'!$F$5,Lists!$G$2:$G$6,0),AW1042,BF1042,IFERROR(MATCH(AV1042,Setup!$F$6:$F$15,0),99),IFERROR(MATCH(BC1042,Setup!$H$6:$H$15,0),99),IFERROR(MATCH(AZ1042,Setup!$J$6:$J$11,0),99))*1E+9+(AW1042-40000)*10000+1041)</f>
        <v/>
      </c>
      <c r="BK1042">
        <f>IF(BI1042=1,BJ1042,"")</f>
        <v/>
      </c>
      <c r="BL1042">
        <f>IF(AND(BH1042=1,BG1042=0,N(AW1042)&lt;Setup!$D$7),(AW1042-40000)*10000+1041,"")</f>
        <v/>
      </c>
      <c r="BM1042">
        <f>IF(AND(BH1042=1,AZ1042&lt;&gt;"Cancelled",N(AW1042)&gt;=Dashboard!$AB$3,N(AW1042)&lt;=Dashboard!$AB$3+6),(AW1042-40000)*100000+BF1042*10000+1041,"")</f>
        <v/>
      </c>
      <c r="BN1042">
        <f>IF(AND(BH1042=1,AZ1042&lt;&gt;"Cancelled"),BF1042*10000+1041,"")</f>
        <v/>
      </c>
    </row>
    <row r="1043">
      <c r="AS1043" t="inlineStr">
        <is>
          <t>R</t>
        </is>
      </c>
      <c r="AT1043" t="n">
        <v>1047</v>
      </c>
      <c r="AU1043">
        <f>'Recurring Log'!C1047&amp;""</f>
        <v/>
      </c>
      <c r="AV1043">
        <f>'Recurring Log'!D1047&amp;""</f>
        <v/>
      </c>
      <c r="AW1043">
        <f>IF('Recurring Log'!E1047="","",'Recurring Log'!E1047)</f>
        <v/>
      </c>
      <c r="AX1043">
        <f>IF('Recurring Log'!G1047="","",'Recurring Log'!G1047)</f>
        <v/>
      </c>
      <c r="AY1043">
        <f>IF('Recurring Log'!H1047="","",'Recurring Log'!H1047)</f>
        <v/>
      </c>
      <c r="AZ1043">
        <f>IF(AU1043="","",IF('Recurring Log'!J1047="","Not Started",'Recurring Log'!J1047))</f>
        <v/>
      </c>
      <c r="BA1043">
        <f>'Recurring Log'!L1047&amp;""</f>
        <v/>
      </c>
      <c r="BB1043">
        <f>'Recurring Log'!M1047&amp;""</f>
        <v/>
      </c>
      <c r="BC1043">
        <f>'Recurring Log'!N1047&amp;""</f>
        <v/>
      </c>
      <c r="BD1043">
        <f>'Recurring Log'!O1047&amp;""</f>
        <v/>
      </c>
      <c r="BE1043">
        <f>IF('Recurring Log'!K1047="","",'Recurring Log'!K1047)</f>
        <v/>
      </c>
      <c r="BF1043">
        <f>IFERROR(MATCH(BA1043,Setup!$L$6:$L$9,0),5)</f>
        <v/>
      </c>
      <c r="BG1043">
        <f>IF(OR(AZ1043="Done",AZ1043="Cancelled"),1,0)</f>
        <v/>
      </c>
      <c r="BH1043">
        <f>IF(AND(AU1043&lt;&gt;"",ISNUMBER(AW1043)),1,0)</f>
        <v/>
      </c>
      <c r="BI1043">
        <f>IF(BH1043=0,0,IF(AND(AW1043&gt;='Tasks Filter'!$F$3,AW1043&lt;='Tasks Filter'!$F$4,OR('Tasks Filter'!$I$3="",ISNUMBER(SEARCH('Tasks Filter'!$I$3,AU1043))),OR('Tasks Filter'!$I$4="",BF1043=IFERROR(MATCH('Tasks Filter'!$I$4,Setup!$L$6:$L$9,0),0)),OR('Tasks Filter'!$I$5="Both",AND('Tasks Filter'!$I$5="Yes",BB1043="✓"),AND('Tasks Filter'!$I$5="No",BB1043&lt;&gt;"✓")),OR('Tasks Filter'!$L$3="",AV1043='Tasks Filter'!$L$3),OR('Tasks Filter'!$L$4="",AZ1043='Tasks Filter'!$L$4),OR('Tasks Filter'!$L$5="",BC1043='Tasks Filter'!$L$5),OR('Tasks Filter'!$O$3="",BD1043='Tasks Filter'!$O$3),OR('Tasks Filter'!$O$4="Yes",BG1043=0)),1,0))</f>
        <v/>
      </c>
      <c r="BJ1043">
        <f>IF(BH1043=0,"",IF('Tasks Filter'!$F$6="Descending",-1,1)*CHOOSE(MATCH('Tasks Filter'!$F$5,Lists!$G$2:$G$6,0),AW1043,BF1043,IFERROR(MATCH(AV1043,Setup!$F$6:$F$15,0),99),IFERROR(MATCH(BC1043,Setup!$H$6:$H$15,0),99),IFERROR(MATCH(AZ1043,Setup!$J$6:$J$11,0),99))*1E+9+(AW1043-40000)*10000+1042)</f>
        <v/>
      </c>
      <c r="BK1043">
        <f>IF(BI1043=1,BJ1043,"")</f>
        <v/>
      </c>
      <c r="BL1043">
        <f>IF(AND(BH1043=1,BG1043=0,N(AW1043)&lt;Setup!$D$7),(AW1043-40000)*10000+1042,"")</f>
        <v/>
      </c>
      <c r="BM1043">
        <f>IF(AND(BH1043=1,AZ1043&lt;&gt;"Cancelled",N(AW1043)&gt;=Dashboard!$AB$3,N(AW1043)&lt;=Dashboard!$AB$3+6),(AW1043-40000)*100000+BF1043*10000+1042,"")</f>
        <v/>
      </c>
      <c r="BN1043">
        <f>IF(AND(BH1043=1,AZ1043&lt;&gt;"Cancelled"),BF1043*10000+1042,"")</f>
        <v/>
      </c>
    </row>
    <row r="1044">
      <c r="AS1044" t="inlineStr">
        <is>
          <t>R</t>
        </is>
      </c>
      <c r="AT1044" t="n">
        <v>1048</v>
      </c>
      <c r="AU1044">
        <f>'Recurring Log'!C1048&amp;""</f>
        <v/>
      </c>
      <c r="AV1044">
        <f>'Recurring Log'!D1048&amp;""</f>
        <v/>
      </c>
      <c r="AW1044">
        <f>IF('Recurring Log'!E1048="","",'Recurring Log'!E1048)</f>
        <v/>
      </c>
      <c r="AX1044">
        <f>IF('Recurring Log'!G1048="","",'Recurring Log'!G1048)</f>
        <v/>
      </c>
      <c r="AY1044">
        <f>IF('Recurring Log'!H1048="","",'Recurring Log'!H1048)</f>
        <v/>
      </c>
      <c r="AZ1044">
        <f>IF(AU1044="","",IF('Recurring Log'!J1048="","Not Started",'Recurring Log'!J1048))</f>
        <v/>
      </c>
      <c r="BA1044">
        <f>'Recurring Log'!L1048&amp;""</f>
        <v/>
      </c>
      <c r="BB1044">
        <f>'Recurring Log'!M1048&amp;""</f>
        <v/>
      </c>
      <c r="BC1044">
        <f>'Recurring Log'!N1048&amp;""</f>
        <v/>
      </c>
      <c r="BD1044">
        <f>'Recurring Log'!O1048&amp;""</f>
        <v/>
      </c>
      <c r="BE1044">
        <f>IF('Recurring Log'!K1048="","",'Recurring Log'!K1048)</f>
        <v/>
      </c>
      <c r="BF1044">
        <f>IFERROR(MATCH(BA1044,Setup!$L$6:$L$9,0),5)</f>
        <v/>
      </c>
      <c r="BG1044">
        <f>IF(OR(AZ1044="Done",AZ1044="Cancelled"),1,0)</f>
        <v/>
      </c>
      <c r="BH1044">
        <f>IF(AND(AU1044&lt;&gt;"",ISNUMBER(AW1044)),1,0)</f>
        <v/>
      </c>
      <c r="BI1044">
        <f>IF(BH1044=0,0,IF(AND(AW1044&gt;='Tasks Filter'!$F$3,AW1044&lt;='Tasks Filter'!$F$4,OR('Tasks Filter'!$I$3="",ISNUMBER(SEARCH('Tasks Filter'!$I$3,AU1044))),OR('Tasks Filter'!$I$4="",BF1044=IFERROR(MATCH('Tasks Filter'!$I$4,Setup!$L$6:$L$9,0),0)),OR('Tasks Filter'!$I$5="Both",AND('Tasks Filter'!$I$5="Yes",BB1044="✓"),AND('Tasks Filter'!$I$5="No",BB1044&lt;&gt;"✓")),OR('Tasks Filter'!$L$3="",AV1044='Tasks Filter'!$L$3),OR('Tasks Filter'!$L$4="",AZ1044='Tasks Filter'!$L$4),OR('Tasks Filter'!$L$5="",BC1044='Tasks Filter'!$L$5),OR('Tasks Filter'!$O$3="",BD1044='Tasks Filter'!$O$3),OR('Tasks Filter'!$O$4="Yes",BG1044=0)),1,0))</f>
        <v/>
      </c>
      <c r="BJ1044">
        <f>IF(BH1044=0,"",IF('Tasks Filter'!$F$6="Descending",-1,1)*CHOOSE(MATCH('Tasks Filter'!$F$5,Lists!$G$2:$G$6,0),AW1044,BF1044,IFERROR(MATCH(AV1044,Setup!$F$6:$F$15,0),99),IFERROR(MATCH(BC1044,Setup!$H$6:$H$15,0),99),IFERROR(MATCH(AZ1044,Setup!$J$6:$J$11,0),99))*1E+9+(AW1044-40000)*10000+1043)</f>
        <v/>
      </c>
      <c r="BK1044">
        <f>IF(BI1044=1,BJ1044,"")</f>
        <v/>
      </c>
      <c r="BL1044">
        <f>IF(AND(BH1044=1,BG1044=0,N(AW1044)&lt;Setup!$D$7),(AW1044-40000)*10000+1043,"")</f>
        <v/>
      </c>
      <c r="BM1044">
        <f>IF(AND(BH1044=1,AZ1044&lt;&gt;"Cancelled",N(AW1044)&gt;=Dashboard!$AB$3,N(AW1044)&lt;=Dashboard!$AB$3+6),(AW1044-40000)*100000+BF1044*10000+1043,"")</f>
        <v/>
      </c>
      <c r="BN1044">
        <f>IF(AND(BH1044=1,AZ1044&lt;&gt;"Cancelled"),BF1044*10000+1043,"")</f>
        <v/>
      </c>
    </row>
    <row r="1045">
      <c r="AS1045" t="inlineStr">
        <is>
          <t>R</t>
        </is>
      </c>
      <c r="AT1045" t="n">
        <v>1049</v>
      </c>
      <c r="AU1045">
        <f>'Recurring Log'!C1049&amp;""</f>
        <v/>
      </c>
      <c r="AV1045">
        <f>'Recurring Log'!D1049&amp;""</f>
        <v/>
      </c>
      <c r="AW1045">
        <f>IF('Recurring Log'!E1049="","",'Recurring Log'!E1049)</f>
        <v/>
      </c>
      <c r="AX1045">
        <f>IF('Recurring Log'!G1049="","",'Recurring Log'!G1049)</f>
        <v/>
      </c>
      <c r="AY1045">
        <f>IF('Recurring Log'!H1049="","",'Recurring Log'!H1049)</f>
        <v/>
      </c>
      <c r="AZ1045">
        <f>IF(AU1045="","",IF('Recurring Log'!J1049="","Not Started",'Recurring Log'!J1049))</f>
        <v/>
      </c>
      <c r="BA1045">
        <f>'Recurring Log'!L1049&amp;""</f>
        <v/>
      </c>
      <c r="BB1045">
        <f>'Recurring Log'!M1049&amp;""</f>
        <v/>
      </c>
      <c r="BC1045">
        <f>'Recurring Log'!N1049&amp;""</f>
        <v/>
      </c>
      <c r="BD1045">
        <f>'Recurring Log'!O1049&amp;""</f>
        <v/>
      </c>
      <c r="BE1045">
        <f>IF('Recurring Log'!K1049="","",'Recurring Log'!K1049)</f>
        <v/>
      </c>
      <c r="BF1045">
        <f>IFERROR(MATCH(BA1045,Setup!$L$6:$L$9,0),5)</f>
        <v/>
      </c>
      <c r="BG1045">
        <f>IF(OR(AZ1045="Done",AZ1045="Cancelled"),1,0)</f>
        <v/>
      </c>
      <c r="BH1045">
        <f>IF(AND(AU1045&lt;&gt;"",ISNUMBER(AW1045)),1,0)</f>
        <v/>
      </c>
      <c r="BI1045">
        <f>IF(BH1045=0,0,IF(AND(AW1045&gt;='Tasks Filter'!$F$3,AW1045&lt;='Tasks Filter'!$F$4,OR('Tasks Filter'!$I$3="",ISNUMBER(SEARCH('Tasks Filter'!$I$3,AU1045))),OR('Tasks Filter'!$I$4="",BF1045=IFERROR(MATCH('Tasks Filter'!$I$4,Setup!$L$6:$L$9,0),0)),OR('Tasks Filter'!$I$5="Both",AND('Tasks Filter'!$I$5="Yes",BB1045="✓"),AND('Tasks Filter'!$I$5="No",BB1045&lt;&gt;"✓")),OR('Tasks Filter'!$L$3="",AV1045='Tasks Filter'!$L$3),OR('Tasks Filter'!$L$4="",AZ1045='Tasks Filter'!$L$4),OR('Tasks Filter'!$L$5="",BC1045='Tasks Filter'!$L$5),OR('Tasks Filter'!$O$3="",BD1045='Tasks Filter'!$O$3),OR('Tasks Filter'!$O$4="Yes",BG1045=0)),1,0))</f>
        <v/>
      </c>
      <c r="BJ1045">
        <f>IF(BH1045=0,"",IF('Tasks Filter'!$F$6="Descending",-1,1)*CHOOSE(MATCH('Tasks Filter'!$F$5,Lists!$G$2:$G$6,0),AW1045,BF1045,IFERROR(MATCH(AV1045,Setup!$F$6:$F$15,0),99),IFERROR(MATCH(BC1045,Setup!$H$6:$H$15,0),99),IFERROR(MATCH(AZ1045,Setup!$J$6:$J$11,0),99))*1E+9+(AW1045-40000)*10000+1044)</f>
        <v/>
      </c>
      <c r="BK1045">
        <f>IF(BI1045=1,BJ1045,"")</f>
        <v/>
      </c>
      <c r="BL1045">
        <f>IF(AND(BH1045=1,BG1045=0,N(AW1045)&lt;Setup!$D$7),(AW1045-40000)*10000+1044,"")</f>
        <v/>
      </c>
      <c r="BM1045">
        <f>IF(AND(BH1045=1,AZ1045&lt;&gt;"Cancelled",N(AW1045)&gt;=Dashboard!$AB$3,N(AW1045)&lt;=Dashboard!$AB$3+6),(AW1045-40000)*100000+BF1045*10000+1044,"")</f>
        <v/>
      </c>
      <c r="BN1045">
        <f>IF(AND(BH1045=1,AZ1045&lt;&gt;"Cancelled"),BF1045*10000+1044,"")</f>
        <v/>
      </c>
    </row>
    <row r="1046">
      <c r="AS1046" t="inlineStr">
        <is>
          <t>R</t>
        </is>
      </c>
      <c r="AT1046" t="n">
        <v>1050</v>
      </c>
      <c r="AU1046">
        <f>'Recurring Log'!C1050&amp;""</f>
        <v/>
      </c>
      <c r="AV1046">
        <f>'Recurring Log'!D1050&amp;""</f>
        <v/>
      </c>
      <c r="AW1046">
        <f>IF('Recurring Log'!E1050="","",'Recurring Log'!E1050)</f>
        <v/>
      </c>
      <c r="AX1046">
        <f>IF('Recurring Log'!G1050="","",'Recurring Log'!G1050)</f>
        <v/>
      </c>
      <c r="AY1046">
        <f>IF('Recurring Log'!H1050="","",'Recurring Log'!H1050)</f>
        <v/>
      </c>
      <c r="AZ1046">
        <f>IF(AU1046="","",IF('Recurring Log'!J1050="","Not Started",'Recurring Log'!J1050))</f>
        <v/>
      </c>
      <c r="BA1046">
        <f>'Recurring Log'!L1050&amp;""</f>
        <v/>
      </c>
      <c r="BB1046">
        <f>'Recurring Log'!M1050&amp;""</f>
        <v/>
      </c>
      <c r="BC1046">
        <f>'Recurring Log'!N1050&amp;""</f>
        <v/>
      </c>
      <c r="BD1046">
        <f>'Recurring Log'!O1050&amp;""</f>
        <v/>
      </c>
      <c r="BE1046">
        <f>IF('Recurring Log'!K1050="","",'Recurring Log'!K1050)</f>
        <v/>
      </c>
      <c r="BF1046">
        <f>IFERROR(MATCH(BA1046,Setup!$L$6:$L$9,0),5)</f>
        <v/>
      </c>
      <c r="BG1046">
        <f>IF(OR(AZ1046="Done",AZ1046="Cancelled"),1,0)</f>
        <v/>
      </c>
      <c r="BH1046">
        <f>IF(AND(AU1046&lt;&gt;"",ISNUMBER(AW1046)),1,0)</f>
        <v/>
      </c>
      <c r="BI1046">
        <f>IF(BH1046=0,0,IF(AND(AW1046&gt;='Tasks Filter'!$F$3,AW1046&lt;='Tasks Filter'!$F$4,OR('Tasks Filter'!$I$3="",ISNUMBER(SEARCH('Tasks Filter'!$I$3,AU1046))),OR('Tasks Filter'!$I$4="",BF1046=IFERROR(MATCH('Tasks Filter'!$I$4,Setup!$L$6:$L$9,0),0)),OR('Tasks Filter'!$I$5="Both",AND('Tasks Filter'!$I$5="Yes",BB1046="✓"),AND('Tasks Filter'!$I$5="No",BB1046&lt;&gt;"✓")),OR('Tasks Filter'!$L$3="",AV1046='Tasks Filter'!$L$3),OR('Tasks Filter'!$L$4="",AZ1046='Tasks Filter'!$L$4),OR('Tasks Filter'!$L$5="",BC1046='Tasks Filter'!$L$5),OR('Tasks Filter'!$O$3="",BD1046='Tasks Filter'!$O$3),OR('Tasks Filter'!$O$4="Yes",BG1046=0)),1,0))</f>
        <v/>
      </c>
      <c r="BJ1046">
        <f>IF(BH1046=0,"",IF('Tasks Filter'!$F$6="Descending",-1,1)*CHOOSE(MATCH('Tasks Filter'!$F$5,Lists!$G$2:$G$6,0),AW1046,BF1046,IFERROR(MATCH(AV1046,Setup!$F$6:$F$15,0),99),IFERROR(MATCH(BC1046,Setup!$H$6:$H$15,0),99),IFERROR(MATCH(AZ1046,Setup!$J$6:$J$11,0),99))*1E+9+(AW1046-40000)*10000+1045)</f>
        <v/>
      </c>
      <c r="BK1046">
        <f>IF(BI1046=1,BJ1046,"")</f>
        <v/>
      </c>
      <c r="BL1046">
        <f>IF(AND(BH1046=1,BG1046=0,N(AW1046)&lt;Setup!$D$7),(AW1046-40000)*10000+1045,"")</f>
        <v/>
      </c>
      <c r="BM1046">
        <f>IF(AND(BH1046=1,AZ1046&lt;&gt;"Cancelled",N(AW1046)&gt;=Dashboard!$AB$3,N(AW1046)&lt;=Dashboard!$AB$3+6),(AW1046-40000)*100000+BF1046*10000+1045,"")</f>
        <v/>
      </c>
      <c r="BN1046">
        <f>IF(AND(BH1046=1,AZ1046&lt;&gt;"Cancelled"),BF1046*10000+1045,"")</f>
        <v/>
      </c>
    </row>
    <row r="1047">
      <c r="AS1047" t="inlineStr">
        <is>
          <t>R</t>
        </is>
      </c>
      <c r="AT1047" t="n">
        <v>1051</v>
      </c>
      <c r="AU1047">
        <f>'Recurring Log'!C1051&amp;""</f>
        <v/>
      </c>
      <c r="AV1047">
        <f>'Recurring Log'!D1051&amp;""</f>
        <v/>
      </c>
      <c r="AW1047">
        <f>IF('Recurring Log'!E1051="","",'Recurring Log'!E1051)</f>
        <v/>
      </c>
      <c r="AX1047">
        <f>IF('Recurring Log'!G1051="","",'Recurring Log'!G1051)</f>
        <v/>
      </c>
      <c r="AY1047">
        <f>IF('Recurring Log'!H1051="","",'Recurring Log'!H1051)</f>
        <v/>
      </c>
      <c r="AZ1047">
        <f>IF(AU1047="","",IF('Recurring Log'!J1051="","Not Started",'Recurring Log'!J1051))</f>
        <v/>
      </c>
      <c r="BA1047">
        <f>'Recurring Log'!L1051&amp;""</f>
        <v/>
      </c>
      <c r="BB1047">
        <f>'Recurring Log'!M1051&amp;""</f>
        <v/>
      </c>
      <c r="BC1047">
        <f>'Recurring Log'!N1051&amp;""</f>
        <v/>
      </c>
      <c r="BD1047">
        <f>'Recurring Log'!O1051&amp;""</f>
        <v/>
      </c>
      <c r="BE1047">
        <f>IF('Recurring Log'!K1051="","",'Recurring Log'!K1051)</f>
        <v/>
      </c>
      <c r="BF1047">
        <f>IFERROR(MATCH(BA1047,Setup!$L$6:$L$9,0),5)</f>
        <v/>
      </c>
      <c r="BG1047">
        <f>IF(OR(AZ1047="Done",AZ1047="Cancelled"),1,0)</f>
        <v/>
      </c>
      <c r="BH1047">
        <f>IF(AND(AU1047&lt;&gt;"",ISNUMBER(AW1047)),1,0)</f>
        <v/>
      </c>
      <c r="BI1047">
        <f>IF(BH1047=0,0,IF(AND(AW1047&gt;='Tasks Filter'!$F$3,AW1047&lt;='Tasks Filter'!$F$4,OR('Tasks Filter'!$I$3="",ISNUMBER(SEARCH('Tasks Filter'!$I$3,AU1047))),OR('Tasks Filter'!$I$4="",BF1047=IFERROR(MATCH('Tasks Filter'!$I$4,Setup!$L$6:$L$9,0),0)),OR('Tasks Filter'!$I$5="Both",AND('Tasks Filter'!$I$5="Yes",BB1047="✓"),AND('Tasks Filter'!$I$5="No",BB1047&lt;&gt;"✓")),OR('Tasks Filter'!$L$3="",AV1047='Tasks Filter'!$L$3),OR('Tasks Filter'!$L$4="",AZ1047='Tasks Filter'!$L$4),OR('Tasks Filter'!$L$5="",BC1047='Tasks Filter'!$L$5),OR('Tasks Filter'!$O$3="",BD1047='Tasks Filter'!$O$3),OR('Tasks Filter'!$O$4="Yes",BG1047=0)),1,0))</f>
        <v/>
      </c>
      <c r="BJ1047">
        <f>IF(BH1047=0,"",IF('Tasks Filter'!$F$6="Descending",-1,1)*CHOOSE(MATCH('Tasks Filter'!$F$5,Lists!$G$2:$G$6,0),AW1047,BF1047,IFERROR(MATCH(AV1047,Setup!$F$6:$F$15,0),99),IFERROR(MATCH(BC1047,Setup!$H$6:$H$15,0),99),IFERROR(MATCH(AZ1047,Setup!$J$6:$J$11,0),99))*1E+9+(AW1047-40000)*10000+1046)</f>
        <v/>
      </c>
      <c r="BK1047">
        <f>IF(BI1047=1,BJ1047,"")</f>
        <v/>
      </c>
      <c r="BL1047">
        <f>IF(AND(BH1047=1,BG1047=0,N(AW1047)&lt;Setup!$D$7),(AW1047-40000)*10000+1046,"")</f>
        <v/>
      </c>
      <c r="BM1047">
        <f>IF(AND(BH1047=1,AZ1047&lt;&gt;"Cancelled",N(AW1047)&gt;=Dashboard!$AB$3,N(AW1047)&lt;=Dashboard!$AB$3+6),(AW1047-40000)*100000+BF1047*10000+1046,"")</f>
        <v/>
      </c>
      <c r="BN1047">
        <f>IF(AND(BH1047=1,AZ1047&lt;&gt;"Cancelled"),BF1047*10000+1046,"")</f>
        <v/>
      </c>
    </row>
    <row r="1048">
      <c r="AS1048" t="inlineStr">
        <is>
          <t>R</t>
        </is>
      </c>
      <c r="AT1048" t="n">
        <v>1052</v>
      </c>
      <c r="AU1048">
        <f>'Recurring Log'!C1052&amp;""</f>
        <v/>
      </c>
      <c r="AV1048">
        <f>'Recurring Log'!D1052&amp;""</f>
        <v/>
      </c>
      <c r="AW1048">
        <f>IF('Recurring Log'!E1052="","",'Recurring Log'!E1052)</f>
        <v/>
      </c>
      <c r="AX1048">
        <f>IF('Recurring Log'!G1052="","",'Recurring Log'!G1052)</f>
        <v/>
      </c>
      <c r="AY1048">
        <f>IF('Recurring Log'!H1052="","",'Recurring Log'!H1052)</f>
        <v/>
      </c>
      <c r="AZ1048">
        <f>IF(AU1048="","",IF('Recurring Log'!J1052="","Not Started",'Recurring Log'!J1052))</f>
        <v/>
      </c>
      <c r="BA1048">
        <f>'Recurring Log'!L1052&amp;""</f>
        <v/>
      </c>
      <c r="BB1048">
        <f>'Recurring Log'!M1052&amp;""</f>
        <v/>
      </c>
      <c r="BC1048">
        <f>'Recurring Log'!N1052&amp;""</f>
        <v/>
      </c>
      <c r="BD1048">
        <f>'Recurring Log'!O1052&amp;""</f>
        <v/>
      </c>
      <c r="BE1048">
        <f>IF('Recurring Log'!K1052="","",'Recurring Log'!K1052)</f>
        <v/>
      </c>
      <c r="BF1048">
        <f>IFERROR(MATCH(BA1048,Setup!$L$6:$L$9,0),5)</f>
        <v/>
      </c>
      <c r="BG1048">
        <f>IF(OR(AZ1048="Done",AZ1048="Cancelled"),1,0)</f>
        <v/>
      </c>
      <c r="BH1048">
        <f>IF(AND(AU1048&lt;&gt;"",ISNUMBER(AW1048)),1,0)</f>
        <v/>
      </c>
      <c r="BI1048">
        <f>IF(BH1048=0,0,IF(AND(AW1048&gt;='Tasks Filter'!$F$3,AW1048&lt;='Tasks Filter'!$F$4,OR('Tasks Filter'!$I$3="",ISNUMBER(SEARCH('Tasks Filter'!$I$3,AU1048))),OR('Tasks Filter'!$I$4="",BF1048=IFERROR(MATCH('Tasks Filter'!$I$4,Setup!$L$6:$L$9,0),0)),OR('Tasks Filter'!$I$5="Both",AND('Tasks Filter'!$I$5="Yes",BB1048="✓"),AND('Tasks Filter'!$I$5="No",BB1048&lt;&gt;"✓")),OR('Tasks Filter'!$L$3="",AV1048='Tasks Filter'!$L$3),OR('Tasks Filter'!$L$4="",AZ1048='Tasks Filter'!$L$4),OR('Tasks Filter'!$L$5="",BC1048='Tasks Filter'!$L$5),OR('Tasks Filter'!$O$3="",BD1048='Tasks Filter'!$O$3),OR('Tasks Filter'!$O$4="Yes",BG1048=0)),1,0))</f>
        <v/>
      </c>
      <c r="BJ1048">
        <f>IF(BH1048=0,"",IF('Tasks Filter'!$F$6="Descending",-1,1)*CHOOSE(MATCH('Tasks Filter'!$F$5,Lists!$G$2:$G$6,0),AW1048,BF1048,IFERROR(MATCH(AV1048,Setup!$F$6:$F$15,0),99),IFERROR(MATCH(BC1048,Setup!$H$6:$H$15,0),99),IFERROR(MATCH(AZ1048,Setup!$J$6:$J$11,0),99))*1E+9+(AW1048-40000)*10000+1047)</f>
        <v/>
      </c>
      <c r="BK1048">
        <f>IF(BI1048=1,BJ1048,"")</f>
        <v/>
      </c>
      <c r="BL1048">
        <f>IF(AND(BH1048=1,BG1048=0,N(AW1048)&lt;Setup!$D$7),(AW1048-40000)*10000+1047,"")</f>
        <v/>
      </c>
      <c r="BM1048">
        <f>IF(AND(BH1048=1,AZ1048&lt;&gt;"Cancelled",N(AW1048)&gt;=Dashboard!$AB$3,N(AW1048)&lt;=Dashboard!$AB$3+6),(AW1048-40000)*100000+BF1048*10000+1047,"")</f>
        <v/>
      </c>
      <c r="BN1048">
        <f>IF(AND(BH1048=1,AZ1048&lt;&gt;"Cancelled"),BF1048*10000+1047,"")</f>
        <v/>
      </c>
    </row>
    <row r="1049">
      <c r="AS1049" t="inlineStr">
        <is>
          <t>R</t>
        </is>
      </c>
      <c r="AT1049" t="n">
        <v>1053</v>
      </c>
      <c r="AU1049">
        <f>'Recurring Log'!C1053&amp;""</f>
        <v/>
      </c>
      <c r="AV1049">
        <f>'Recurring Log'!D1053&amp;""</f>
        <v/>
      </c>
      <c r="AW1049">
        <f>IF('Recurring Log'!E1053="","",'Recurring Log'!E1053)</f>
        <v/>
      </c>
      <c r="AX1049">
        <f>IF('Recurring Log'!G1053="","",'Recurring Log'!G1053)</f>
        <v/>
      </c>
      <c r="AY1049">
        <f>IF('Recurring Log'!H1053="","",'Recurring Log'!H1053)</f>
        <v/>
      </c>
      <c r="AZ1049">
        <f>IF(AU1049="","",IF('Recurring Log'!J1053="","Not Started",'Recurring Log'!J1053))</f>
        <v/>
      </c>
      <c r="BA1049">
        <f>'Recurring Log'!L1053&amp;""</f>
        <v/>
      </c>
      <c r="BB1049">
        <f>'Recurring Log'!M1053&amp;""</f>
        <v/>
      </c>
      <c r="BC1049">
        <f>'Recurring Log'!N1053&amp;""</f>
        <v/>
      </c>
      <c r="BD1049">
        <f>'Recurring Log'!O1053&amp;""</f>
        <v/>
      </c>
      <c r="BE1049">
        <f>IF('Recurring Log'!K1053="","",'Recurring Log'!K1053)</f>
        <v/>
      </c>
      <c r="BF1049">
        <f>IFERROR(MATCH(BA1049,Setup!$L$6:$L$9,0),5)</f>
        <v/>
      </c>
      <c r="BG1049">
        <f>IF(OR(AZ1049="Done",AZ1049="Cancelled"),1,0)</f>
        <v/>
      </c>
      <c r="BH1049">
        <f>IF(AND(AU1049&lt;&gt;"",ISNUMBER(AW1049)),1,0)</f>
        <v/>
      </c>
      <c r="BI1049">
        <f>IF(BH1049=0,0,IF(AND(AW1049&gt;='Tasks Filter'!$F$3,AW1049&lt;='Tasks Filter'!$F$4,OR('Tasks Filter'!$I$3="",ISNUMBER(SEARCH('Tasks Filter'!$I$3,AU1049))),OR('Tasks Filter'!$I$4="",BF1049=IFERROR(MATCH('Tasks Filter'!$I$4,Setup!$L$6:$L$9,0),0)),OR('Tasks Filter'!$I$5="Both",AND('Tasks Filter'!$I$5="Yes",BB1049="✓"),AND('Tasks Filter'!$I$5="No",BB1049&lt;&gt;"✓")),OR('Tasks Filter'!$L$3="",AV1049='Tasks Filter'!$L$3),OR('Tasks Filter'!$L$4="",AZ1049='Tasks Filter'!$L$4),OR('Tasks Filter'!$L$5="",BC1049='Tasks Filter'!$L$5),OR('Tasks Filter'!$O$3="",BD1049='Tasks Filter'!$O$3),OR('Tasks Filter'!$O$4="Yes",BG1049=0)),1,0))</f>
        <v/>
      </c>
      <c r="BJ1049">
        <f>IF(BH1049=0,"",IF('Tasks Filter'!$F$6="Descending",-1,1)*CHOOSE(MATCH('Tasks Filter'!$F$5,Lists!$G$2:$G$6,0),AW1049,BF1049,IFERROR(MATCH(AV1049,Setup!$F$6:$F$15,0),99),IFERROR(MATCH(BC1049,Setup!$H$6:$H$15,0),99),IFERROR(MATCH(AZ1049,Setup!$J$6:$J$11,0),99))*1E+9+(AW1049-40000)*10000+1048)</f>
        <v/>
      </c>
      <c r="BK1049">
        <f>IF(BI1049=1,BJ1049,"")</f>
        <v/>
      </c>
      <c r="BL1049">
        <f>IF(AND(BH1049=1,BG1049=0,N(AW1049)&lt;Setup!$D$7),(AW1049-40000)*10000+1048,"")</f>
        <v/>
      </c>
      <c r="BM1049">
        <f>IF(AND(BH1049=1,AZ1049&lt;&gt;"Cancelled",N(AW1049)&gt;=Dashboard!$AB$3,N(AW1049)&lt;=Dashboard!$AB$3+6),(AW1049-40000)*100000+BF1049*10000+1048,"")</f>
        <v/>
      </c>
      <c r="BN1049">
        <f>IF(AND(BH1049=1,AZ1049&lt;&gt;"Cancelled"),BF1049*10000+1048,"")</f>
        <v/>
      </c>
    </row>
    <row r="1050">
      <c r="AS1050" t="inlineStr">
        <is>
          <t>R</t>
        </is>
      </c>
      <c r="AT1050" t="n">
        <v>1054</v>
      </c>
      <c r="AU1050">
        <f>'Recurring Log'!C1054&amp;""</f>
        <v/>
      </c>
      <c r="AV1050">
        <f>'Recurring Log'!D1054&amp;""</f>
        <v/>
      </c>
      <c r="AW1050">
        <f>IF('Recurring Log'!E1054="","",'Recurring Log'!E1054)</f>
        <v/>
      </c>
      <c r="AX1050">
        <f>IF('Recurring Log'!G1054="","",'Recurring Log'!G1054)</f>
        <v/>
      </c>
      <c r="AY1050">
        <f>IF('Recurring Log'!H1054="","",'Recurring Log'!H1054)</f>
        <v/>
      </c>
      <c r="AZ1050">
        <f>IF(AU1050="","",IF('Recurring Log'!J1054="","Not Started",'Recurring Log'!J1054))</f>
        <v/>
      </c>
      <c r="BA1050">
        <f>'Recurring Log'!L1054&amp;""</f>
        <v/>
      </c>
      <c r="BB1050">
        <f>'Recurring Log'!M1054&amp;""</f>
        <v/>
      </c>
      <c r="BC1050">
        <f>'Recurring Log'!N1054&amp;""</f>
        <v/>
      </c>
      <c r="BD1050">
        <f>'Recurring Log'!O1054&amp;""</f>
        <v/>
      </c>
      <c r="BE1050">
        <f>IF('Recurring Log'!K1054="","",'Recurring Log'!K1054)</f>
        <v/>
      </c>
      <c r="BF1050">
        <f>IFERROR(MATCH(BA1050,Setup!$L$6:$L$9,0),5)</f>
        <v/>
      </c>
      <c r="BG1050">
        <f>IF(OR(AZ1050="Done",AZ1050="Cancelled"),1,0)</f>
        <v/>
      </c>
      <c r="BH1050">
        <f>IF(AND(AU1050&lt;&gt;"",ISNUMBER(AW1050)),1,0)</f>
        <v/>
      </c>
      <c r="BI1050">
        <f>IF(BH1050=0,0,IF(AND(AW1050&gt;='Tasks Filter'!$F$3,AW1050&lt;='Tasks Filter'!$F$4,OR('Tasks Filter'!$I$3="",ISNUMBER(SEARCH('Tasks Filter'!$I$3,AU1050))),OR('Tasks Filter'!$I$4="",BF1050=IFERROR(MATCH('Tasks Filter'!$I$4,Setup!$L$6:$L$9,0),0)),OR('Tasks Filter'!$I$5="Both",AND('Tasks Filter'!$I$5="Yes",BB1050="✓"),AND('Tasks Filter'!$I$5="No",BB1050&lt;&gt;"✓")),OR('Tasks Filter'!$L$3="",AV1050='Tasks Filter'!$L$3),OR('Tasks Filter'!$L$4="",AZ1050='Tasks Filter'!$L$4),OR('Tasks Filter'!$L$5="",BC1050='Tasks Filter'!$L$5),OR('Tasks Filter'!$O$3="",BD1050='Tasks Filter'!$O$3),OR('Tasks Filter'!$O$4="Yes",BG1050=0)),1,0))</f>
        <v/>
      </c>
      <c r="BJ1050">
        <f>IF(BH1050=0,"",IF('Tasks Filter'!$F$6="Descending",-1,1)*CHOOSE(MATCH('Tasks Filter'!$F$5,Lists!$G$2:$G$6,0),AW1050,BF1050,IFERROR(MATCH(AV1050,Setup!$F$6:$F$15,0),99),IFERROR(MATCH(BC1050,Setup!$H$6:$H$15,0),99),IFERROR(MATCH(AZ1050,Setup!$J$6:$J$11,0),99))*1E+9+(AW1050-40000)*10000+1049)</f>
        <v/>
      </c>
      <c r="BK1050">
        <f>IF(BI1050=1,BJ1050,"")</f>
        <v/>
      </c>
      <c r="BL1050">
        <f>IF(AND(BH1050=1,BG1050=0,N(AW1050)&lt;Setup!$D$7),(AW1050-40000)*10000+1049,"")</f>
        <v/>
      </c>
      <c r="BM1050">
        <f>IF(AND(BH1050=1,AZ1050&lt;&gt;"Cancelled",N(AW1050)&gt;=Dashboard!$AB$3,N(AW1050)&lt;=Dashboard!$AB$3+6),(AW1050-40000)*100000+BF1050*10000+1049,"")</f>
        <v/>
      </c>
      <c r="BN1050">
        <f>IF(AND(BH1050=1,AZ1050&lt;&gt;"Cancelled"),BF1050*10000+1049,"")</f>
        <v/>
      </c>
    </row>
    <row r="1051">
      <c r="AS1051" t="inlineStr">
        <is>
          <t>R</t>
        </is>
      </c>
      <c r="AT1051" t="n">
        <v>1055</v>
      </c>
      <c r="AU1051">
        <f>'Recurring Log'!C1055&amp;""</f>
        <v/>
      </c>
      <c r="AV1051">
        <f>'Recurring Log'!D1055&amp;""</f>
        <v/>
      </c>
      <c r="AW1051">
        <f>IF('Recurring Log'!E1055="","",'Recurring Log'!E1055)</f>
        <v/>
      </c>
      <c r="AX1051">
        <f>IF('Recurring Log'!G1055="","",'Recurring Log'!G1055)</f>
        <v/>
      </c>
      <c r="AY1051">
        <f>IF('Recurring Log'!H1055="","",'Recurring Log'!H1055)</f>
        <v/>
      </c>
      <c r="AZ1051">
        <f>IF(AU1051="","",IF('Recurring Log'!J1055="","Not Started",'Recurring Log'!J1055))</f>
        <v/>
      </c>
      <c r="BA1051">
        <f>'Recurring Log'!L1055&amp;""</f>
        <v/>
      </c>
      <c r="BB1051">
        <f>'Recurring Log'!M1055&amp;""</f>
        <v/>
      </c>
      <c r="BC1051">
        <f>'Recurring Log'!N1055&amp;""</f>
        <v/>
      </c>
      <c r="BD1051">
        <f>'Recurring Log'!O1055&amp;""</f>
        <v/>
      </c>
      <c r="BE1051">
        <f>IF('Recurring Log'!K1055="","",'Recurring Log'!K1055)</f>
        <v/>
      </c>
      <c r="BF1051">
        <f>IFERROR(MATCH(BA1051,Setup!$L$6:$L$9,0),5)</f>
        <v/>
      </c>
      <c r="BG1051">
        <f>IF(OR(AZ1051="Done",AZ1051="Cancelled"),1,0)</f>
        <v/>
      </c>
      <c r="BH1051">
        <f>IF(AND(AU1051&lt;&gt;"",ISNUMBER(AW1051)),1,0)</f>
        <v/>
      </c>
      <c r="BI1051">
        <f>IF(BH1051=0,0,IF(AND(AW1051&gt;='Tasks Filter'!$F$3,AW1051&lt;='Tasks Filter'!$F$4,OR('Tasks Filter'!$I$3="",ISNUMBER(SEARCH('Tasks Filter'!$I$3,AU1051))),OR('Tasks Filter'!$I$4="",BF1051=IFERROR(MATCH('Tasks Filter'!$I$4,Setup!$L$6:$L$9,0),0)),OR('Tasks Filter'!$I$5="Both",AND('Tasks Filter'!$I$5="Yes",BB1051="✓"),AND('Tasks Filter'!$I$5="No",BB1051&lt;&gt;"✓")),OR('Tasks Filter'!$L$3="",AV1051='Tasks Filter'!$L$3),OR('Tasks Filter'!$L$4="",AZ1051='Tasks Filter'!$L$4),OR('Tasks Filter'!$L$5="",BC1051='Tasks Filter'!$L$5),OR('Tasks Filter'!$O$3="",BD1051='Tasks Filter'!$O$3),OR('Tasks Filter'!$O$4="Yes",BG1051=0)),1,0))</f>
        <v/>
      </c>
      <c r="BJ1051">
        <f>IF(BH1051=0,"",IF('Tasks Filter'!$F$6="Descending",-1,1)*CHOOSE(MATCH('Tasks Filter'!$F$5,Lists!$G$2:$G$6,0),AW1051,BF1051,IFERROR(MATCH(AV1051,Setup!$F$6:$F$15,0),99),IFERROR(MATCH(BC1051,Setup!$H$6:$H$15,0),99),IFERROR(MATCH(AZ1051,Setup!$J$6:$J$11,0),99))*1E+9+(AW1051-40000)*10000+1050)</f>
        <v/>
      </c>
      <c r="BK1051">
        <f>IF(BI1051=1,BJ1051,"")</f>
        <v/>
      </c>
      <c r="BL1051">
        <f>IF(AND(BH1051=1,BG1051=0,N(AW1051)&lt;Setup!$D$7),(AW1051-40000)*10000+1050,"")</f>
        <v/>
      </c>
      <c r="BM1051">
        <f>IF(AND(BH1051=1,AZ1051&lt;&gt;"Cancelled",N(AW1051)&gt;=Dashboard!$AB$3,N(AW1051)&lt;=Dashboard!$AB$3+6),(AW1051-40000)*100000+BF1051*10000+1050,"")</f>
        <v/>
      </c>
      <c r="BN1051">
        <f>IF(AND(BH1051=1,AZ1051&lt;&gt;"Cancelled"),BF1051*10000+1050,"")</f>
        <v/>
      </c>
    </row>
    <row r="1052">
      <c r="AS1052" t="inlineStr">
        <is>
          <t>R</t>
        </is>
      </c>
      <c r="AT1052" t="n">
        <v>1056</v>
      </c>
      <c r="AU1052">
        <f>'Recurring Log'!C1056&amp;""</f>
        <v/>
      </c>
      <c r="AV1052">
        <f>'Recurring Log'!D1056&amp;""</f>
        <v/>
      </c>
      <c r="AW1052">
        <f>IF('Recurring Log'!E1056="","",'Recurring Log'!E1056)</f>
        <v/>
      </c>
      <c r="AX1052">
        <f>IF('Recurring Log'!G1056="","",'Recurring Log'!G1056)</f>
        <v/>
      </c>
      <c r="AY1052">
        <f>IF('Recurring Log'!H1056="","",'Recurring Log'!H1056)</f>
        <v/>
      </c>
      <c r="AZ1052">
        <f>IF(AU1052="","",IF('Recurring Log'!J1056="","Not Started",'Recurring Log'!J1056))</f>
        <v/>
      </c>
      <c r="BA1052">
        <f>'Recurring Log'!L1056&amp;""</f>
        <v/>
      </c>
      <c r="BB1052">
        <f>'Recurring Log'!M1056&amp;""</f>
        <v/>
      </c>
      <c r="BC1052">
        <f>'Recurring Log'!N1056&amp;""</f>
        <v/>
      </c>
      <c r="BD1052">
        <f>'Recurring Log'!O1056&amp;""</f>
        <v/>
      </c>
      <c r="BE1052">
        <f>IF('Recurring Log'!K1056="","",'Recurring Log'!K1056)</f>
        <v/>
      </c>
      <c r="BF1052">
        <f>IFERROR(MATCH(BA1052,Setup!$L$6:$L$9,0),5)</f>
        <v/>
      </c>
      <c r="BG1052">
        <f>IF(OR(AZ1052="Done",AZ1052="Cancelled"),1,0)</f>
        <v/>
      </c>
      <c r="BH1052">
        <f>IF(AND(AU1052&lt;&gt;"",ISNUMBER(AW1052)),1,0)</f>
        <v/>
      </c>
      <c r="BI1052">
        <f>IF(BH1052=0,0,IF(AND(AW1052&gt;='Tasks Filter'!$F$3,AW1052&lt;='Tasks Filter'!$F$4,OR('Tasks Filter'!$I$3="",ISNUMBER(SEARCH('Tasks Filter'!$I$3,AU1052))),OR('Tasks Filter'!$I$4="",BF1052=IFERROR(MATCH('Tasks Filter'!$I$4,Setup!$L$6:$L$9,0),0)),OR('Tasks Filter'!$I$5="Both",AND('Tasks Filter'!$I$5="Yes",BB1052="✓"),AND('Tasks Filter'!$I$5="No",BB1052&lt;&gt;"✓")),OR('Tasks Filter'!$L$3="",AV1052='Tasks Filter'!$L$3),OR('Tasks Filter'!$L$4="",AZ1052='Tasks Filter'!$L$4),OR('Tasks Filter'!$L$5="",BC1052='Tasks Filter'!$L$5),OR('Tasks Filter'!$O$3="",BD1052='Tasks Filter'!$O$3),OR('Tasks Filter'!$O$4="Yes",BG1052=0)),1,0))</f>
        <v/>
      </c>
      <c r="BJ1052">
        <f>IF(BH1052=0,"",IF('Tasks Filter'!$F$6="Descending",-1,1)*CHOOSE(MATCH('Tasks Filter'!$F$5,Lists!$G$2:$G$6,0),AW1052,BF1052,IFERROR(MATCH(AV1052,Setup!$F$6:$F$15,0),99),IFERROR(MATCH(BC1052,Setup!$H$6:$H$15,0),99),IFERROR(MATCH(AZ1052,Setup!$J$6:$J$11,0),99))*1E+9+(AW1052-40000)*10000+1051)</f>
        <v/>
      </c>
      <c r="BK1052">
        <f>IF(BI1052=1,BJ1052,"")</f>
        <v/>
      </c>
      <c r="BL1052">
        <f>IF(AND(BH1052=1,BG1052=0,N(AW1052)&lt;Setup!$D$7),(AW1052-40000)*10000+1051,"")</f>
        <v/>
      </c>
      <c r="BM1052">
        <f>IF(AND(BH1052=1,AZ1052&lt;&gt;"Cancelled",N(AW1052)&gt;=Dashboard!$AB$3,N(AW1052)&lt;=Dashboard!$AB$3+6),(AW1052-40000)*100000+BF1052*10000+1051,"")</f>
        <v/>
      </c>
      <c r="BN1052">
        <f>IF(AND(BH1052=1,AZ1052&lt;&gt;"Cancelled"),BF1052*10000+1051,"")</f>
        <v/>
      </c>
    </row>
    <row r="1053">
      <c r="AS1053" t="inlineStr">
        <is>
          <t>R</t>
        </is>
      </c>
      <c r="AT1053" t="n">
        <v>1057</v>
      </c>
      <c r="AU1053">
        <f>'Recurring Log'!C1057&amp;""</f>
        <v/>
      </c>
      <c r="AV1053">
        <f>'Recurring Log'!D1057&amp;""</f>
        <v/>
      </c>
      <c r="AW1053">
        <f>IF('Recurring Log'!E1057="","",'Recurring Log'!E1057)</f>
        <v/>
      </c>
      <c r="AX1053">
        <f>IF('Recurring Log'!G1057="","",'Recurring Log'!G1057)</f>
        <v/>
      </c>
      <c r="AY1053">
        <f>IF('Recurring Log'!H1057="","",'Recurring Log'!H1057)</f>
        <v/>
      </c>
      <c r="AZ1053">
        <f>IF(AU1053="","",IF('Recurring Log'!J1057="","Not Started",'Recurring Log'!J1057))</f>
        <v/>
      </c>
      <c r="BA1053">
        <f>'Recurring Log'!L1057&amp;""</f>
        <v/>
      </c>
      <c r="BB1053">
        <f>'Recurring Log'!M1057&amp;""</f>
        <v/>
      </c>
      <c r="BC1053">
        <f>'Recurring Log'!N1057&amp;""</f>
        <v/>
      </c>
      <c r="BD1053">
        <f>'Recurring Log'!O1057&amp;""</f>
        <v/>
      </c>
      <c r="BE1053">
        <f>IF('Recurring Log'!K1057="","",'Recurring Log'!K1057)</f>
        <v/>
      </c>
      <c r="BF1053">
        <f>IFERROR(MATCH(BA1053,Setup!$L$6:$L$9,0),5)</f>
        <v/>
      </c>
      <c r="BG1053">
        <f>IF(OR(AZ1053="Done",AZ1053="Cancelled"),1,0)</f>
        <v/>
      </c>
      <c r="BH1053">
        <f>IF(AND(AU1053&lt;&gt;"",ISNUMBER(AW1053)),1,0)</f>
        <v/>
      </c>
      <c r="BI1053">
        <f>IF(BH1053=0,0,IF(AND(AW1053&gt;='Tasks Filter'!$F$3,AW1053&lt;='Tasks Filter'!$F$4,OR('Tasks Filter'!$I$3="",ISNUMBER(SEARCH('Tasks Filter'!$I$3,AU1053))),OR('Tasks Filter'!$I$4="",BF1053=IFERROR(MATCH('Tasks Filter'!$I$4,Setup!$L$6:$L$9,0),0)),OR('Tasks Filter'!$I$5="Both",AND('Tasks Filter'!$I$5="Yes",BB1053="✓"),AND('Tasks Filter'!$I$5="No",BB1053&lt;&gt;"✓")),OR('Tasks Filter'!$L$3="",AV1053='Tasks Filter'!$L$3),OR('Tasks Filter'!$L$4="",AZ1053='Tasks Filter'!$L$4),OR('Tasks Filter'!$L$5="",BC1053='Tasks Filter'!$L$5),OR('Tasks Filter'!$O$3="",BD1053='Tasks Filter'!$O$3),OR('Tasks Filter'!$O$4="Yes",BG1053=0)),1,0))</f>
        <v/>
      </c>
      <c r="BJ1053">
        <f>IF(BH1053=0,"",IF('Tasks Filter'!$F$6="Descending",-1,1)*CHOOSE(MATCH('Tasks Filter'!$F$5,Lists!$G$2:$G$6,0),AW1053,BF1053,IFERROR(MATCH(AV1053,Setup!$F$6:$F$15,0),99),IFERROR(MATCH(BC1053,Setup!$H$6:$H$15,0),99),IFERROR(MATCH(AZ1053,Setup!$J$6:$J$11,0),99))*1E+9+(AW1053-40000)*10000+1052)</f>
        <v/>
      </c>
      <c r="BK1053">
        <f>IF(BI1053=1,BJ1053,"")</f>
        <v/>
      </c>
      <c r="BL1053">
        <f>IF(AND(BH1053=1,BG1053=0,N(AW1053)&lt;Setup!$D$7),(AW1053-40000)*10000+1052,"")</f>
        <v/>
      </c>
      <c r="BM1053">
        <f>IF(AND(BH1053=1,AZ1053&lt;&gt;"Cancelled",N(AW1053)&gt;=Dashboard!$AB$3,N(AW1053)&lt;=Dashboard!$AB$3+6),(AW1053-40000)*100000+BF1053*10000+1052,"")</f>
        <v/>
      </c>
      <c r="BN1053">
        <f>IF(AND(BH1053=1,AZ1053&lt;&gt;"Cancelled"),BF1053*10000+1052,"")</f>
        <v/>
      </c>
    </row>
    <row r="1054">
      <c r="AS1054" t="inlineStr">
        <is>
          <t>R</t>
        </is>
      </c>
      <c r="AT1054" t="n">
        <v>1058</v>
      </c>
      <c r="AU1054">
        <f>'Recurring Log'!C1058&amp;""</f>
        <v/>
      </c>
      <c r="AV1054">
        <f>'Recurring Log'!D1058&amp;""</f>
        <v/>
      </c>
      <c r="AW1054">
        <f>IF('Recurring Log'!E1058="","",'Recurring Log'!E1058)</f>
        <v/>
      </c>
      <c r="AX1054">
        <f>IF('Recurring Log'!G1058="","",'Recurring Log'!G1058)</f>
        <v/>
      </c>
      <c r="AY1054">
        <f>IF('Recurring Log'!H1058="","",'Recurring Log'!H1058)</f>
        <v/>
      </c>
      <c r="AZ1054">
        <f>IF(AU1054="","",IF('Recurring Log'!J1058="","Not Started",'Recurring Log'!J1058))</f>
        <v/>
      </c>
      <c r="BA1054">
        <f>'Recurring Log'!L1058&amp;""</f>
        <v/>
      </c>
      <c r="BB1054">
        <f>'Recurring Log'!M1058&amp;""</f>
        <v/>
      </c>
      <c r="BC1054">
        <f>'Recurring Log'!N1058&amp;""</f>
        <v/>
      </c>
      <c r="BD1054">
        <f>'Recurring Log'!O1058&amp;""</f>
        <v/>
      </c>
      <c r="BE1054">
        <f>IF('Recurring Log'!K1058="","",'Recurring Log'!K1058)</f>
        <v/>
      </c>
      <c r="BF1054">
        <f>IFERROR(MATCH(BA1054,Setup!$L$6:$L$9,0),5)</f>
        <v/>
      </c>
      <c r="BG1054">
        <f>IF(OR(AZ1054="Done",AZ1054="Cancelled"),1,0)</f>
        <v/>
      </c>
      <c r="BH1054">
        <f>IF(AND(AU1054&lt;&gt;"",ISNUMBER(AW1054)),1,0)</f>
        <v/>
      </c>
      <c r="BI1054">
        <f>IF(BH1054=0,0,IF(AND(AW1054&gt;='Tasks Filter'!$F$3,AW1054&lt;='Tasks Filter'!$F$4,OR('Tasks Filter'!$I$3="",ISNUMBER(SEARCH('Tasks Filter'!$I$3,AU1054))),OR('Tasks Filter'!$I$4="",BF1054=IFERROR(MATCH('Tasks Filter'!$I$4,Setup!$L$6:$L$9,0),0)),OR('Tasks Filter'!$I$5="Both",AND('Tasks Filter'!$I$5="Yes",BB1054="✓"),AND('Tasks Filter'!$I$5="No",BB1054&lt;&gt;"✓")),OR('Tasks Filter'!$L$3="",AV1054='Tasks Filter'!$L$3),OR('Tasks Filter'!$L$4="",AZ1054='Tasks Filter'!$L$4),OR('Tasks Filter'!$L$5="",BC1054='Tasks Filter'!$L$5),OR('Tasks Filter'!$O$3="",BD1054='Tasks Filter'!$O$3),OR('Tasks Filter'!$O$4="Yes",BG1054=0)),1,0))</f>
        <v/>
      </c>
      <c r="BJ1054">
        <f>IF(BH1054=0,"",IF('Tasks Filter'!$F$6="Descending",-1,1)*CHOOSE(MATCH('Tasks Filter'!$F$5,Lists!$G$2:$G$6,0),AW1054,BF1054,IFERROR(MATCH(AV1054,Setup!$F$6:$F$15,0),99),IFERROR(MATCH(BC1054,Setup!$H$6:$H$15,0),99),IFERROR(MATCH(AZ1054,Setup!$J$6:$J$11,0),99))*1E+9+(AW1054-40000)*10000+1053)</f>
        <v/>
      </c>
      <c r="BK1054">
        <f>IF(BI1054=1,BJ1054,"")</f>
        <v/>
      </c>
      <c r="BL1054">
        <f>IF(AND(BH1054=1,BG1054=0,N(AW1054)&lt;Setup!$D$7),(AW1054-40000)*10000+1053,"")</f>
        <v/>
      </c>
      <c r="BM1054">
        <f>IF(AND(BH1054=1,AZ1054&lt;&gt;"Cancelled",N(AW1054)&gt;=Dashboard!$AB$3,N(AW1054)&lt;=Dashboard!$AB$3+6),(AW1054-40000)*100000+BF1054*10000+1053,"")</f>
        <v/>
      </c>
      <c r="BN1054">
        <f>IF(AND(BH1054=1,AZ1054&lt;&gt;"Cancelled"),BF1054*10000+1053,"")</f>
        <v/>
      </c>
    </row>
    <row r="1055">
      <c r="AS1055" t="inlineStr">
        <is>
          <t>R</t>
        </is>
      </c>
      <c r="AT1055" t="n">
        <v>1059</v>
      </c>
      <c r="AU1055">
        <f>'Recurring Log'!C1059&amp;""</f>
        <v/>
      </c>
      <c r="AV1055">
        <f>'Recurring Log'!D1059&amp;""</f>
        <v/>
      </c>
      <c r="AW1055">
        <f>IF('Recurring Log'!E1059="","",'Recurring Log'!E1059)</f>
        <v/>
      </c>
      <c r="AX1055">
        <f>IF('Recurring Log'!G1059="","",'Recurring Log'!G1059)</f>
        <v/>
      </c>
      <c r="AY1055">
        <f>IF('Recurring Log'!H1059="","",'Recurring Log'!H1059)</f>
        <v/>
      </c>
      <c r="AZ1055">
        <f>IF(AU1055="","",IF('Recurring Log'!J1059="","Not Started",'Recurring Log'!J1059))</f>
        <v/>
      </c>
      <c r="BA1055">
        <f>'Recurring Log'!L1059&amp;""</f>
        <v/>
      </c>
      <c r="BB1055">
        <f>'Recurring Log'!M1059&amp;""</f>
        <v/>
      </c>
      <c r="BC1055">
        <f>'Recurring Log'!N1059&amp;""</f>
        <v/>
      </c>
      <c r="BD1055">
        <f>'Recurring Log'!O1059&amp;""</f>
        <v/>
      </c>
      <c r="BE1055">
        <f>IF('Recurring Log'!K1059="","",'Recurring Log'!K1059)</f>
        <v/>
      </c>
      <c r="BF1055">
        <f>IFERROR(MATCH(BA1055,Setup!$L$6:$L$9,0),5)</f>
        <v/>
      </c>
      <c r="BG1055">
        <f>IF(OR(AZ1055="Done",AZ1055="Cancelled"),1,0)</f>
        <v/>
      </c>
      <c r="BH1055">
        <f>IF(AND(AU1055&lt;&gt;"",ISNUMBER(AW1055)),1,0)</f>
        <v/>
      </c>
      <c r="BI1055">
        <f>IF(BH1055=0,0,IF(AND(AW1055&gt;='Tasks Filter'!$F$3,AW1055&lt;='Tasks Filter'!$F$4,OR('Tasks Filter'!$I$3="",ISNUMBER(SEARCH('Tasks Filter'!$I$3,AU1055))),OR('Tasks Filter'!$I$4="",BF1055=IFERROR(MATCH('Tasks Filter'!$I$4,Setup!$L$6:$L$9,0),0)),OR('Tasks Filter'!$I$5="Both",AND('Tasks Filter'!$I$5="Yes",BB1055="✓"),AND('Tasks Filter'!$I$5="No",BB1055&lt;&gt;"✓")),OR('Tasks Filter'!$L$3="",AV1055='Tasks Filter'!$L$3),OR('Tasks Filter'!$L$4="",AZ1055='Tasks Filter'!$L$4),OR('Tasks Filter'!$L$5="",BC1055='Tasks Filter'!$L$5),OR('Tasks Filter'!$O$3="",BD1055='Tasks Filter'!$O$3),OR('Tasks Filter'!$O$4="Yes",BG1055=0)),1,0))</f>
        <v/>
      </c>
      <c r="BJ1055">
        <f>IF(BH1055=0,"",IF('Tasks Filter'!$F$6="Descending",-1,1)*CHOOSE(MATCH('Tasks Filter'!$F$5,Lists!$G$2:$G$6,0),AW1055,BF1055,IFERROR(MATCH(AV1055,Setup!$F$6:$F$15,0),99),IFERROR(MATCH(BC1055,Setup!$H$6:$H$15,0),99),IFERROR(MATCH(AZ1055,Setup!$J$6:$J$11,0),99))*1E+9+(AW1055-40000)*10000+1054)</f>
        <v/>
      </c>
      <c r="BK1055">
        <f>IF(BI1055=1,BJ1055,"")</f>
        <v/>
      </c>
      <c r="BL1055">
        <f>IF(AND(BH1055=1,BG1055=0,N(AW1055)&lt;Setup!$D$7),(AW1055-40000)*10000+1054,"")</f>
        <v/>
      </c>
      <c r="BM1055">
        <f>IF(AND(BH1055=1,AZ1055&lt;&gt;"Cancelled",N(AW1055)&gt;=Dashboard!$AB$3,N(AW1055)&lt;=Dashboard!$AB$3+6),(AW1055-40000)*100000+BF1055*10000+1054,"")</f>
        <v/>
      </c>
      <c r="BN1055">
        <f>IF(AND(BH1055=1,AZ1055&lt;&gt;"Cancelled"),BF1055*10000+1054,"")</f>
        <v/>
      </c>
    </row>
    <row r="1056">
      <c r="AS1056" t="inlineStr">
        <is>
          <t>R</t>
        </is>
      </c>
      <c r="AT1056" t="n">
        <v>1060</v>
      </c>
      <c r="AU1056">
        <f>'Recurring Log'!C1060&amp;""</f>
        <v/>
      </c>
      <c r="AV1056">
        <f>'Recurring Log'!D1060&amp;""</f>
        <v/>
      </c>
      <c r="AW1056">
        <f>IF('Recurring Log'!E1060="","",'Recurring Log'!E1060)</f>
        <v/>
      </c>
      <c r="AX1056">
        <f>IF('Recurring Log'!G1060="","",'Recurring Log'!G1060)</f>
        <v/>
      </c>
      <c r="AY1056">
        <f>IF('Recurring Log'!H1060="","",'Recurring Log'!H1060)</f>
        <v/>
      </c>
      <c r="AZ1056">
        <f>IF(AU1056="","",IF('Recurring Log'!J1060="","Not Started",'Recurring Log'!J1060))</f>
        <v/>
      </c>
      <c r="BA1056">
        <f>'Recurring Log'!L1060&amp;""</f>
        <v/>
      </c>
      <c r="BB1056">
        <f>'Recurring Log'!M1060&amp;""</f>
        <v/>
      </c>
      <c r="BC1056">
        <f>'Recurring Log'!N1060&amp;""</f>
        <v/>
      </c>
      <c r="BD1056">
        <f>'Recurring Log'!O1060&amp;""</f>
        <v/>
      </c>
      <c r="BE1056">
        <f>IF('Recurring Log'!K1060="","",'Recurring Log'!K1060)</f>
        <v/>
      </c>
      <c r="BF1056">
        <f>IFERROR(MATCH(BA1056,Setup!$L$6:$L$9,0),5)</f>
        <v/>
      </c>
      <c r="BG1056">
        <f>IF(OR(AZ1056="Done",AZ1056="Cancelled"),1,0)</f>
        <v/>
      </c>
      <c r="BH1056">
        <f>IF(AND(AU1056&lt;&gt;"",ISNUMBER(AW1056)),1,0)</f>
        <v/>
      </c>
      <c r="BI1056">
        <f>IF(BH1056=0,0,IF(AND(AW1056&gt;='Tasks Filter'!$F$3,AW1056&lt;='Tasks Filter'!$F$4,OR('Tasks Filter'!$I$3="",ISNUMBER(SEARCH('Tasks Filter'!$I$3,AU1056))),OR('Tasks Filter'!$I$4="",BF1056=IFERROR(MATCH('Tasks Filter'!$I$4,Setup!$L$6:$L$9,0),0)),OR('Tasks Filter'!$I$5="Both",AND('Tasks Filter'!$I$5="Yes",BB1056="✓"),AND('Tasks Filter'!$I$5="No",BB1056&lt;&gt;"✓")),OR('Tasks Filter'!$L$3="",AV1056='Tasks Filter'!$L$3),OR('Tasks Filter'!$L$4="",AZ1056='Tasks Filter'!$L$4),OR('Tasks Filter'!$L$5="",BC1056='Tasks Filter'!$L$5),OR('Tasks Filter'!$O$3="",BD1056='Tasks Filter'!$O$3),OR('Tasks Filter'!$O$4="Yes",BG1056=0)),1,0))</f>
        <v/>
      </c>
      <c r="BJ1056">
        <f>IF(BH1056=0,"",IF('Tasks Filter'!$F$6="Descending",-1,1)*CHOOSE(MATCH('Tasks Filter'!$F$5,Lists!$G$2:$G$6,0),AW1056,BF1056,IFERROR(MATCH(AV1056,Setup!$F$6:$F$15,0),99),IFERROR(MATCH(BC1056,Setup!$H$6:$H$15,0),99),IFERROR(MATCH(AZ1056,Setup!$J$6:$J$11,0),99))*1E+9+(AW1056-40000)*10000+1055)</f>
        <v/>
      </c>
      <c r="BK1056">
        <f>IF(BI1056=1,BJ1056,"")</f>
        <v/>
      </c>
      <c r="BL1056">
        <f>IF(AND(BH1056=1,BG1056=0,N(AW1056)&lt;Setup!$D$7),(AW1056-40000)*10000+1055,"")</f>
        <v/>
      </c>
      <c r="BM1056">
        <f>IF(AND(BH1056=1,AZ1056&lt;&gt;"Cancelled",N(AW1056)&gt;=Dashboard!$AB$3,N(AW1056)&lt;=Dashboard!$AB$3+6),(AW1056-40000)*100000+BF1056*10000+1055,"")</f>
        <v/>
      </c>
      <c r="BN1056">
        <f>IF(AND(BH1056=1,AZ1056&lt;&gt;"Cancelled"),BF1056*10000+1055,"")</f>
        <v/>
      </c>
    </row>
    <row r="1057">
      <c r="AS1057" t="inlineStr">
        <is>
          <t>R</t>
        </is>
      </c>
      <c r="AT1057" t="n">
        <v>1061</v>
      </c>
      <c r="AU1057">
        <f>'Recurring Log'!C1061&amp;""</f>
        <v/>
      </c>
      <c r="AV1057">
        <f>'Recurring Log'!D1061&amp;""</f>
        <v/>
      </c>
      <c r="AW1057">
        <f>IF('Recurring Log'!E1061="","",'Recurring Log'!E1061)</f>
        <v/>
      </c>
      <c r="AX1057">
        <f>IF('Recurring Log'!G1061="","",'Recurring Log'!G1061)</f>
        <v/>
      </c>
      <c r="AY1057">
        <f>IF('Recurring Log'!H1061="","",'Recurring Log'!H1061)</f>
        <v/>
      </c>
      <c r="AZ1057">
        <f>IF(AU1057="","",IF('Recurring Log'!J1061="","Not Started",'Recurring Log'!J1061))</f>
        <v/>
      </c>
      <c r="BA1057">
        <f>'Recurring Log'!L1061&amp;""</f>
        <v/>
      </c>
      <c r="BB1057">
        <f>'Recurring Log'!M1061&amp;""</f>
        <v/>
      </c>
      <c r="BC1057">
        <f>'Recurring Log'!N1061&amp;""</f>
        <v/>
      </c>
      <c r="BD1057">
        <f>'Recurring Log'!O1061&amp;""</f>
        <v/>
      </c>
      <c r="BE1057">
        <f>IF('Recurring Log'!K1061="","",'Recurring Log'!K1061)</f>
        <v/>
      </c>
      <c r="BF1057">
        <f>IFERROR(MATCH(BA1057,Setup!$L$6:$L$9,0),5)</f>
        <v/>
      </c>
      <c r="BG1057">
        <f>IF(OR(AZ1057="Done",AZ1057="Cancelled"),1,0)</f>
        <v/>
      </c>
      <c r="BH1057">
        <f>IF(AND(AU1057&lt;&gt;"",ISNUMBER(AW1057)),1,0)</f>
        <v/>
      </c>
      <c r="BI1057">
        <f>IF(BH1057=0,0,IF(AND(AW1057&gt;='Tasks Filter'!$F$3,AW1057&lt;='Tasks Filter'!$F$4,OR('Tasks Filter'!$I$3="",ISNUMBER(SEARCH('Tasks Filter'!$I$3,AU1057))),OR('Tasks Filter'!$I$4="",BF1057=IFERROR(MATCH('Tasks Filter'!$I$4,Setup!$L$6:$L$9,0),0)),OR('Tasks Filter'!$I$5="Both",AND('Tasks Filter'!$I$5="Yes",BB1057="✓"),AND('Tasks Filter'!$I$5="No",BB1057&lt;&gt;"✓")),OR('Tasks Filter'!$L$3="",AV1057='Tasks Filter'!$L$3),OR('Tasks Filter'!$L$4="",AZ1057='Tasks Filter'!$L$4),OR('Tasks Filter'!$L$5="",BC1057='Tasks Filter'!$L$5),OR('Tasks Filter'!$O$3="",BD1057='Tasks Filter'!$O$3),OR('Tasks Filter'!$O$4="Yes",BG1057=0)),1,0))</f>
        <v/>
      </c>
      <c r="BJ1057">
        <f>IF(BH1057=0,"",IF('Tasks Filter'!$F$6="Descending",-1,1)*CHOOSE(MATCH('Tasks Filter'!$F$5,Lists!$G$2:$G$6,0),AW1057,BF1057,IFERROR(MATCH(AV1057,Setup!$F$6:$F$15,0),99),IFERROR(MATCH(BC1057,Setup!$H$6:$H$15,0),99),IFERROR(MATCH(AZ1057,Setup!$J$6:$J$11,0),99))*1E+9+(AW1057-40000)*10000+1056)</f>
        <v/>
      </c>
      <c r="BK1057">
        <f>IF(BI1057=1,BJ1057,"")</f>
        <v/>
      </c>
      <c r="BL1057">
        <f>IF(AND(BH1057=1,BG1057=0,N(AW1057)&lt;Setup!$D$7),(AW1057-40000)*10000+1056,"")</f>
        <v/>
      </c>
      <c r="BM1057">
        <f>IF(AND(BH1057=1,AZ1057&lt;&gt;"Cancelled",N(AW1057)&gt;=Dashboard!$AB$3,N(AW1057)&lt;=Dashboard!$AB$3+6),(AW1057-40000)*100000+BF1057*10000+1056,"")</f>
        <v/>
      </c>
      <c r="BN1057">
        <f>IF(AND(BH1057=1,AZ1057&lt;&gt;"Cancelled"),BF1057*10000+1056,"")</f>
        <v/>
      </c>
    </row>
    <row r="1058">
      <c r="AS1058" t="inlineStr">
        <is>
          <t>R</t>
        </is>
      </c>
      <c r="AT1058" t="n">
        <v>1062</v>
      </c>
      <c r="AU1058">
        <f>'Recurring Log'!C1062&amp;""</f>
        <v/>
      </c>
      <c r="AV1058">
        <f>'Recurring Log'!D1062&amp;""</f>
        <v/>
      </c>
      <c r="AW1058">
        <f>IF('Recurring Log'!E1062="","",'Recurring Log'!E1062)</f>
        <v/>
      </c>
      <c r="AX1058">
        <f>IF('Recurring Log'!G1062="","",'Recurring Log'!G1062)</f>
        <v/>
      </c>
      <c r="AY1058">
        <f>IF('Recurring Log'!H1062="","",'Recurring Log'!H1062)</f>
        <v/>
      </c>
      <c r="AZ1058">
        <f>IF(AU1058="","",IF('Recurring Log'!J1062="","Not Started",'Recurring Log'!J1062))</f>
        <v/>
      </c>
      <c r="BA1058">
        <f>'Recurring Log'!L1062&amp;""</f>
        <v/>
      </c>
      <c r="BB1058">
        <f>'Recurring Log'!M1062&amp;""</f>
        <v/>
      </c>
      <c r="BC1058">
        <f>'Recurring Log'!N1062&amp;""</f>
        <v/>
      </c>
      <c r="BD1058">
        <f>'Recurring Log'!O1062&amp;""</f>
        <v/>
      </c>
      <c r="BE1058">
        <f>IF('Recurring Log'!K1062="","",'Recurring Log'!K1062)</f>
        <v/>
      </c>
      <c r="BF1058">
        <f>IFERROR(MATCH(BA1058,Setup!$L$6:$L$9,0),5)</f>
        <v/>
      </c>
      <c r="BG1058">
        <f>IF(OR(AZ1058="Done",AZ1058="Cancelled"),1,0)</f>
        <v/>
      </c>
      <c r="BH1058">
        <f>IF(AND(AU1058&lt;&gt;"",ISNUMBER(AW1058)),1,0)</f>
        <v/>
      </c>
      <c r="BI1058">
        <f>IF(BH1058=0,0,IF(AND(AW1058&gt;='Tasks Filter'!$F$3,AW1058&lt;='Tasks Filter'!$F$4,OR('Tasks Filter'!$I$3="",ISNUMBER(SEARCH('Tasks Filter'!$I$3,AU1058))),OR('Tasks Filter'!$I$4="",BF1058=IFERROR(MATCH('Tasks Filter'!$I$4,Setup!$L$6:$L$9,0),0)),OR('Tasks Filter'!$I$5="Both",AND('Tasks Filter'!$I$5="Yes",BB1058="✓"),AND('Tasks Filter'!$I$5="No",BB1058&lt;&gt;"✓")),OR('Tasks Filter'!$L$3="",AV1058='Tasks Filter'!$L$3),OR('Tasks Filter'!$L$4="",AZ1058='Tasks Filter'!$L$4),OR('Tasks Filter'!$L$5="",BC1058='Tasks Filter'!$L$5),OR('Tasks Filter'!$O$3="",BD1058='Tasks Filter'!$O$3),OR('Tasks Filter'!$O$4="Yes",BG1058=0)),1,0))</f>
        <v/>
      </c>
      <c r="BJ1058">
        <f>IF(BH1058=0,"",IF('Tasks Filter'!$F$6="Descending",-1,1)*CHOOSE(MATCH('Tasks Filter'!$F$5,Lists!$G$2:$G$6,0),AW1058,BF1058,IFERROR(MATCH(AV1058,Setup!$F$6:$F$15,0),99),IFERROR(MATCH(BC1058,Setup!$H$6:$H$15,0),99),IFERROR(MATCH(AZ1058,Setup!$J$6:$J$11,0),99))*1E+9+(AW1058-40000)*10000+1057)</f>
        <v/>
      </c>
      <c r="BK1058">
        <f>IF(BI1058=1,BJ1058,"")</f>
        <v/>
      </c>
      <c r="BL1058">
        <f>IF(AND(BH1058=1,BG1058=0,N(AW1058)&lt;Setup!$D$7),(AW1058-40000)*10000+1057,"")</f>
        <v/>
      </c>
      <c r="BM1058">
        <f>IF(AND(BH1058=1,AZ1058&lt;&gt;"Cancelled",N(AW1058)&gt;=Dashboard!$AB$3,N(AW1058)&lt;=Dashboard!$AB$3+6),(AW1058-40000)*100000+BF1058*10000+1057,"")</f>
        <v/>
      </c>
      <c r="BN1058">
        <f>IF(AND(BH1058=1,AZ1058&lt;&gt;"Cancelled"),BF1058*10000+1057,"")</f>
        <v/>
      </c>
    </row>
    <row r="1059">
      <c r="AS1059" t="inlineStr">
        <is>
          <t>R</t>
        </is>
      </c>
      <c r="AT1059" t="n">
        <v>1063</v>
      </c>
      <c r="AU1059">
        <f>'Recurring Log'!C1063&amp;""</f>
        <v/>
      </c>
      <c r="AV1059">
        <f>'Recurring Log'!D1063&amp;""</f>
        <v/>
      </c>
      <c r="AW1059">
        <f>IF('Recurring Log'!E1063="","",'Recurring Log'!E1063)</f>
        <v/>
      </c>
      <c r="AX1059">
        <f>IF('Recurring Log'!G1063="","",'Recurring Log'!G1063)</f>
        <v/>
      </c>
      <c r="AY1059">
        <f>IF('Recurring Log'!H1063="","",'Recurring Log'!H1063)</f>
        <v/>
      </c>
      <c r="AZ1059">
        <f>IF(AU1059="","",IF('Recurring Log'!J1063="","Not Started",'Recurring Log'!J1063))</f>
        <v/>
      </c>
      <c r="BA1059">
        <f>'Recurring Log'!L1063&amp;""</f>
        <v/>
      </c>
      <c r="BB1059">
        <f>'Recurring Log'!M1063&amp;""</f>
        <v/>
      </c>
      <c r="BC1059">
        <f>'Recurring Log'!N1063&amp;""</f>
        <v/>
      </c>
      <c r="BD1059">
        <f>'Recurring Log'!O1063&amp;""</f>
        <v/>
      </c>
      <c r="BE1059">
        <f>IF('Recurring Log'!K1063="","",'Recurring Log'!K1063)</f>
        <v/>
      </c>
      <c r="BF1059">
        <f>IFERROR(MATCH(BA1059,Setup!$L$6:$L$9,0),5)</f>
        <v/>
      </c>
      <c r="BG1059">
        <f>IF(OR(AZ1059="Done",AZ1059="Cancelled"),1,0)</f>
        <v/>
      </c>
      <c r="BH1059">
        <f>IF(AND(AU1059&lt;&gt;"",ISNUMBER(AW1059)),1,0)</f>
        <v/>
      </c>
      <c r="BI1059">
        <f>IF(BH1059=0,0,IF(AND(AW1059&gt;='Tasks Filter'!$F$3,AW1059&lt;='Tasks Filter'!$F$4,OR('Tasks Filter'!$I$3="",ISNUMBER(SEARCH('Tasks Filter'!$I$3,AU1059))),OR('Tasks Filter'!$I$4="",BF1059=IFERROR(MATCH('Tasks Filter'!$I$4,Setup!$L$6:$L$9,0),0)),OR('Tasks Filter'!$I$5="Both",AND('Tasks Filter'!$I$5="Yes",BB1059="✓"),AND('Tasks Filter'!$I$5="No",BB1059&lt;&gt;"✓")),OR('Tasks Filter'!$L$3="",AV1059='Tasks Filter'!$L$3),OR('Tasks Filter'!$L$4="",AZ1059='Tasks Filter'!$L$4),OR('Tasks Filter'!$L$5="",BC1059='Tasks Filter'!$L$5),OR('Tasks Filter'!$O$3="",BD1059='Tasks Filter'!$O$3),OR('Tasks Filter'!$O$4="Yes",BG1059=0)),1,0))</f>
        <v/>
      </c>
      <c r="BJ1059">
        <f>IF(BH1059=0,"",IF('Tasks Filter'!$F$6="Descending",-1,1)*CHOOSE(MATCH('Tasks Filter'!$F$5,Lists!$G$2:$G$6,0),AW1059,BF1059,IFERROR(MATCH(AV1059,Setup!$F$6:$F$15,0),99),IFERROR(MATCH(BC1059,Setup!$H$6:$H$15,0),99),IFERROR(MATCH(AZ1059,Setup!$J$6:$J$11,0),99))*1E+9+(AW1059-40000)*10000+1058)</f>
        <v/>
      </c>
      <c r="BK1059">
        <f>IF(BI1059=1,BJ1059,"")</f>
        <v/>
      </c>
      <c r="BL1059">
        <f>IF(AND(BH1059=1,BG1059=0,N(AW1059)&lt;Setup!$D$7),(AW1059-40000)*10000+1058,"")</f>
        <v/>
      </c>
      <c r="BM1059">
        <f>IF(AND(BH1059=1,AZ1059&lt;&gt;"Cancelled",N(AW1059)&gt;=Dashboard!$AB$3,N(AW1059)&lt;=Dashboard!$AB$3+6),(AW1059-40000)*100000+BF1059*10000+1058,"")</f>
        <v/>
      </c>
      <c r="BN1059">
        <f>IF(AND(BH1059=1,AZ1059&lt;&gt;"Cancelled"),BF1059*10000+1058,"")</f>
        <v/>
      </c>
    </row>
    <row r="1060">
      <c r="AS1060" t="inlineStr">
        <is>
          <t>R</t>
        </is>
      </c>
      <c r="AT1060" t="n">
        <v>1064</v>
      </c>
      <c r="AU1060">
        <f>'Recurring Log'!C1064&amp;""</f>
        <v/>
      </c>
      <c r="AV1060">
        <f>'Recurring Log'!D1064&amp;""</f>
        <v/>
      </c>
      <c r="AW1060">
        <f>IF('Recurring Log'!E1064="","",'Recurring Log'!E1064)</f>
        <v/>
      </c>
      <c r="AX1060">
        <f>IF('Recurring Log'!G1064="","",'Recurring Log'!G1064)</f>
        <v/>
      </c>
      <c r="AY1060">
        <f>IF('Recurring Log'!H1064="","",'Recurring Log'!H1064)</f>
        <v/>
      </c>
      <c r="AZ1060">
        <f>IF(AU1060="","",IF('Recurring Log'!J1064="","Not Started",'Recurring Log'!J1064))</f>
        <v/>
      </c>
      <c r="BA1060">
        <f>'Recurring Log'!L1064&amp;""</f>
        <v/>
      </c>
      <c r="BB1060">
        <f>'Recurring Log'!M1064&amp;""</f>
        <v/>
      </c>
      <c r="BC1060">
        <f>'Recurring Log'!N1064&amp;""</f>
        <v/>
      </c>
      <c r="BD1060">
        <f>'Recurring Log'!O1064&amp;""</f>
        <v/>
      </c>
      <c r="BE1060">
        <f>IF('Recurring Log'!K1064="","",'Recurring Log'!K1064)</f>
        <v/>
      </c>
      <c r="BF1060">
        <f>IFERROR(MATCH(BA1060,Setup!$L$6:$L$9,0),5)</f>
        <v/>
      </c>
      <c r="BG1060">
        <f>IF(OR(AZ1060="Done",AZ1060="Cancelled"),1,0)</f>
        <v/>
      </c>
      <c r="BH1060">
        <f>IF(AND(AU1060&lt;&gt;"",ISNUMBER(AW1060)),1,0)</f>
        <v/>
      </c>
      <c r="BI1060">
        <f>IF(BH1060=0,0,IF(AND(AW1060&gt;='Tasks Filter'!$F$3,AW1060&lt;='Tasks Filter'!$F$4,OR('Tasks Filter'!$I$3="",ISNUMBER(SEARCH('Tasks Filter'!$I$3,AU1060))),OR('Tasks Filter'!$I$4="",BF1060=IFERROR(MATCH('Tasks Filter'!$I$4,Setup!$L$6:$L$9,0),0)),OR('Tasks Filter'!$I$5="Both",AND('Tasks Filter'!$I$5="Yes",BB1060="✓"),AND('Tasks Filter'!$I$5="No",BB1060&lt;&gt;"✓")),OR('Tasks Filter'!$L$3="",AV1060='Tasks Filter'!$L$3),OR('Tasks Filter'!$L$4="",AZ1060='Tasks Filter'!$L$4),OR('Tasks Filter'!$L$5="",BC1060='Tasks Filter'!$L$5),OR('Tasks Filter'!$O$3="",BD1060='Tasks Filter'!$O$3),OR('Tasks Filter'!$O$4="Yes",BG1060=0)),1,0))</f>
        <v/>
      </c>
      <c r="BJ1060">
        <f>IF(BH1060=0,"",IF('Tasks Filter'!$F$6="Descending",-1,1)*CHOOSE(MATCH('Tasks Filter'!$F$5,Lists!$G$2:$G$6,0),AW1060,BF1060,IFERROR(MATCH(AV1060,Setup!$F$6:$F$15,0),99),IFERROR(MATCH(BC1060,Setup!$H$6:$H$15,0),99),IFERROR(MATCH(AZ1060,Setup!$J$6:$J$11,0),99))*1E+9+(AW1060-40000)*10000+1059)</f>
        <v/>
      </c>
      <c r="BK1060">
        <f>IF(BI1060=1,BJ1060,"")</f>
        <v/>
      </c>
      <c r="BL1060">
        <f>IF(AND(BH1060=1,BG1060=0,N(AW1060)&lt;Setup!$D$7),(AW1060-40000)*10000+1059,"")</f>
        <v/>
      </c>
      <c r="BM1060">
        <f>IF(AND(BH1060=1,AZ1060&lt;&gt;"Cancelled",N(AW1060)&gt;=Dashboard!$AB$3,N(AW1060)&lt;=Dashboard!$AB$3+6),(AW1060-40000)*100000+BF1060*10000+1059,"")</f>
        <v/>
      </c>
      <c r="BN1060">
        <f>IF(AND(BH1060=1,AZ1060&lt;&gt;"Cancelled"),BF1060*10000+1059,"")</f>
        <v/>
      </c>
    </row>
    <row r="1061">
      <c r="AS1061" t="inlineStr">
        <is>
          <t>R</t>
        </is>
      </c>
      <c r="AT1061" t="n">
        <v>1065</v>
      </c>
      <c r="AU1061">
        <f>'Recurring Log'!C1065&amp;""</f>
        <v/>
      </c>
      <c r="AV1061">
        <f>'Recurring Log'!D1065&amp;""</f>
        <v/>
      </c>
      <c r="AW1061">
        <f>IF('Recurring Log'!E1065="","",'Recurring Log'!E1065)</f>
        <v/>
      </c>
      <c r="AX1061">
        <f>IF('Recurring Log'!G1065="","",'Recurring Log'!G1065)</f>
        <v/>
      </c>
      <c r="AY1061">
        <f>IF('Recurring Log'!H1065="","",'Recurring Log'!H1065)</f>
        <v/>
      </c>
      <c r="AZ1061">
        <f>IF(AU1061="","",IF('Recurring Log'!J1065="","Not Started",'Recurring Log'!J1065))</f>
        <v/>
      </c>
      <c r="BA1061">
        <f>'Recurring Log'!L1065&amp;""</f>
        <v/>
      </c>
      <c r="BB1061">
        <f>'Recurring Log'!M1065&amp;""</f>
        <v/>
      </c>
      <c r="BC1061">
        <f>'Recurring Log'!N1065&amp;""</f>
        <v/>
      </c>
      <c r="BD1061">
        <f>'Recurring Log'!O1065&amp;""</f>
        <v/>
      </c>
      <c r="BE1061">
        <f>IF('Recurring Log'!K1065="","",'Recurring Log'!K1065)</f>
        <v/>
      </c>
      <c r="BF1061">
        <f>IFERROR(MATCH(BA1061,Setup!$L$6:$L$9,0),5)</f>
        <v/>
      </c>
      <c r="BG1061">
        <f>IF(OR(AZ1061="Done",AZ1061="Cancelled"),1,0)</f>
        <v/>
      </c>
      <c r="BH1061">
        <f>IF(AND(AU1061&lt;&gt;"",ISNUMBER(AW1061)),1,0)</f>
        <v/>
      </c>
      <c r="BI1061">
        <f>IF(BH1061=0,0,IF(AND(AW1061&gt;='Tasks Filter'!$F$3,AW1061&lt;='Tasks Filter'!$F$4,OR('Tasks Filter'!$I$3="",ISNUMBER(SEARCH('Tasks Filter'!$I$3,AU1061))),OR('Tasks Filter'!$I$4="",BF1061=IFERROR(MATCH('Tasks Filter'!$I$4,Setup!$L$6:$L$9,0),0)),OR('Tasks Filter'!$I$5="Both",AND('Tasks Filter'!$I$5="Yes",BB1061="✓"),AND('Tasks Filter'!$I$5="No",BB1061&lt;&gt;"✓")),OR('Tasks Filter'!$L$3="",AV1061='Tasks Filter'!$L$3),OR('Tasks Filter'!$L$4="",AZ1061='Tasks Filter'!$L$4),OR('Tasks Filter'!$L$5="",BC1061='Tasks Filter'!$L$5),OR('Tasks Filter'!$O$3="",BD1061='Tasks Filter'!$O$3),OR('Tasks Filter'!$O$4="Yes",BG1061=0)),1,0))</f>
        <v/>
      </c>
      <c r="BJ1061">
        <f>IF(BH1061=0,"",IF('Tasks Filter'!$F$6="Descending",-1,1)*CHOOSE(MATCH('Tasks Filter'!$F$5,Lists!$G$2:$G$6,0),AW1061,BF1061,IFERROR(MATCH(AV1061,Setup!$F$6:$F$15,0),99),IFERROR(MATCH(BC1061,Setup!$H$6:$H$15,0),99),IFERROR(MATCH(AZ1061,Setup!$J$6:$J$11,0),99))*1E+9+(AW1061-40000)*10000+1060)</f>
        <v/>
      </c>
      <c r="BK1061">
        <f>IF(BI1061=1,BJ1061,"")</f>
        <v/>
      </c>
      <c r="BL1061">
        <f>IF(AND(BH1061=1,BG1061=0,N(AW1061)&lt;Setup!$D$7),(AW1061-40000)*10000+1060,"")</f>
        <v/>
      </c>
      <c r="BM1061">
        <f>IF(AND(BH1061=1,AZ1061&lt;&gt;"Cancelled",N(AW1061)&gt;=Dashboard!$AB$3,N(AW1061)&lt;=Dashboard!$AB$3+6),(AW1061-40000)*100000+BF1061*10000+1060,"")</f>
        <v/>
      </c>
      <c r="BN1061">
        <f>IF(AND(BH1061=1,AZ1061&lt;&gt;"Cancelled"),BF1061*10000+1060,"")</f>
        <v/>
      </c>
    </row>
    <row r="1062">
      <c r="AS1062" t="inlineStr">
        <is>
          <t>R</t>
        </is>
      </c>
      <c r="AT1062" t="n">
        <v>1066</v>
      </c>
      <c r="AU1062">
        <f>'Recurring Log'!C1066&amp;""</f>
        <v/>
      </c>
      <c r="AV1062">
        <f>'Recurring Log'!D1066&amp;""</f>
        <v/>
      </c>
      <c r="AW1062">
        <f>IF('Recurring Log'!E1066="","",'Recurring Log'!E1066)</f>
        <v/>
      </c>
      <c r="AX1062">
        <f>IF('Recurring Log'!G1066="","",'Recurring Log'!G1066)</f>
        <v/>
      </c>
      <c r="AY1062">
        <f>IF('Recurring Log'!H1066="","",'Recurring Log'!H1066)</f>
        <v/>
      </c>
      <c r="AZ1062">
        <f>IF(AU1062="","",IF('Recurring Log'!J1066="","Not Started",'Recurring Log'!J1066))</f>
        <v/>
      </c>
      <c r="BA1062">
        <f>'Recurring Log'!L1066&amp;""</f>
        <v/>
      </c>
      <c r="BB1062">
        <f>'Recurring Log'!M1066&amp;""</f>
        <v/>
      </c>
      <c r="BC1062">
        <f>'Recurring Log'!N1066&amp;""</f>
        <v/>
      </c>
      <c r="BD1062">
        <f>'Recurring Log'!O1066&amp;""</f>
        <v/>
      </c>
      <c r="BE1062">
        <f>IF('Recurring Log'!K1066="","",'Recurring Log'!K1066)</f>
        <v/>
      </c>
      <c r="BF1062">
        <f>IFERROR(MATCH(BA1062,Setup!$L$6:$L$9,0),5)</f>
        <v/>
      </c>
      <c r="BG1062">
        <f>IF(OR(AZ1062="Done",AZ1062="Cancelled"),1,0)</f>
        <v/>
      </c>
      <c r="BH1062">
        <f>IF(AND(AU1062&lt;&gt;"",ISNUMBER(AW1062)),1,0)</f>
        <v/>
      </c>
      <c r="BI1062">
        <f>IF(BH1062=0,0,IF(AND(AW1062&gt;='Tasks Filter'!$F$3,AW1062&lt;='Tasks Filter'!$F$4,OR('Tasks Filter'!$I$3="",ISNUMBER(SEARCH('Tasks Filter'!$I$3,AU1062))),OR('Tasks Filter'!$I$4="",BF1062=IFERROR(MATCH('Tasks Filter'!$I$4,Setup!$L$6:$L$9,0),0)),OR('Tasks Filter'!$I$5="Both",AND('Tasks Filter'!$I$5="Yes",BB1062="✓"),AND('Tasks Filter'!$I$5="No",BB1062&lt;&gt;"✓")),OR('Tasks Filter'!$L$3="",AV1062='Tasks Filter'!$L$3),OR('Tasks Filter'!$L$4="",AZ1062='Tasks Filter'!$L$4),OR('Tasks Filter'!$L$5="",BC1062='Tasks Filter'!$L$5),OR('Tasks Filter'!$O$3="",BD1062='Tasks Filter'!$O$3),OR('Tasks Filter'!$O$4="Yes",BG1062=0)),1,0))</f>
        <v/>
      </c>
      <c r="BJ1062">
        <f>IF(BH1062=0,"",IF('Tasks Filter'!$F$6="Descending",-1,1)*CHOOSE(MATCH('Tasks Filter'!$F$5,Lists!$G$2:$G$6,0),AW1062,BF1062,IFERROR(MATCH(AV1062,Setup!$F$6:$F$15,0),99),IFERROR(MATCH(BC1062,Setup!$H$6:$H$15,0),99),IFERROR(MATCH(AZ1062,Setup!$J$6:$J$11,0),99))*1E+9+(AW1062-40000)*10000+1061)</f>
        <v/>
      </c>
      <c r="BK1062">
        <f>IF(BI1062=1,BJ1062,"")</f>
        <v/>
      </c>
      <c r="BL1062">
        <f>IF(AND(BH1062=1,BG1062=0,N(AW1062)&lt;Setup!$D$7),(AW1062-40000)*10000+1061,"")</f>
        <v/>
      </c>
      <c r="BM1062">
        <f>IF(AND(BH1062=1,AZ1062&lt;&gt;"Cancelled",N(AW1062)&gt;=Dashboard!$AB$3,N(AW1062)&lt;=Dashboard!$AB$3+6),(AW1062-40000)*100000+BF1062*10000+1061,"")</f>
        <v/>
      </c>
      <c r="BN1062">
        <f>IF(AND(BH1062=1,AZ1062&lt;&gt;"Cancelled"),BF1062*10000+1061,"")</f>
        <v/>
      </c>
    </row>
    <row r="1063">
      <c r="AS1063" t="inlineStr">
        <is>
          <t>R</t>
        </is>
      </c>
      <c r="AT1063" t="n">
        <v>1067</v>
      </c>
      <c r="AU1063">
        <f>'Recurring Log'!C1067&amp;""</f>
        <v/>
      </c>
      <c r="AV1063">
        <f>'Recurring Log'!D1067&amp;""</f>
        <v/>
      </c>
      <c r="AW1063">
        <f>IF('Recurring Log'!E1067="","",'Recurring Log'!E1067)</f>
        <v/>
      </c>
      <c r="AX1063">
        <f>IF('Recurring Log'!G1067="","",'Recurring Log'!G1067)</f>
        <v/>
      </c>
      <c r="AY1063">
        <f>IF('Recurring Log'!H1067="","",'Recurring Log'!H1067)</f>
        <v/>
      </c>
      <c r="AZ1063">
        <f>IF(AU1063="","",IF('Recurring Log'!J1067="","Not Started",'Recurring Log'!J1067))</f>
        <v/>
      </c>
      <c r="BA1063">
        <f>'Recurring Log'!L1067&amp;""</f>
        <v/>
      </c>
      <c r="BB1063">
        <f>'Recurring Log'!M1067&amp;""</f>
        <v/>
      </c>
      <c r="BC1063">
        <f>'Recurring Log'!N1067&amp;""</f>
        <v/>
      </c>
      <c r="BD1063">
        <f>'Recurring Log'!O1067&amp;""</f>
        <v/>
      </c>
      <c r="BE1063">
        <f>IF('Recurring Log'!K1067="","",'Recurring Log'!K1067)</f>
        <v/>
      </c>
      <c r="BF1063">
        <f>IFERROR(MATCH(BA1063,Setup!$L$6:$L$9,0),5)</f>
        <v/>
      </c>
      <c r="BG1063">
        <f>IF(OR(AZ1063="Done",AZ1063="Cancelled"),1,0)</f>
        <v/>
      </c>
      <c r="BH1063">
        <f>IF(AND(AU1063&lt;&gt;"",ISNUMBER(AW1063)),1,0)</f>
        <v/>
      </c>
      <c r="BI1063">
        <f>IF(BH1063=0,0,IF(AND(AW1063&gt;='Tasks Filter'!$F$3,AW1063&lt;='Tasks Filter'!$F$4,OR('Tasks Filter'!$I$3="",ISNUMBER(SEARCH('Tasks Filter'!$I$3,AU1063))),OR('Tasks Filter'!$I$4="",BF1063=IFERROR(MATCH('Tasks Filter'!$I$4,Setup!$L$6:$L$9,0),0)),OR('Tasks Filter'!$I$5="Both",AND('Tasks Filter'!$I$5="Yes",BB1063="✓"),AND('Tasks Filter'!$I$5="No",BB1063&lt;&gt;"✓")),OR('Tasks Filter'!$L$3="",AV1063='Tasks Filter'!$L$3),OR('Tasks Filter'!$L$4="",AZ1063='Tasks Filter'!$L$4),OR('Tasks Filter'!$L$5="",BC1063='Tasks Filter'!$L$5),OR('Tasks Filter'!$O$3="",BD1063='Tasks Filter'!$O$3),OR('Tasks Filter'!$O$4="Yes",BG1063=0)),1,0))</f>
        <v/>
      </c>
      <c r="BJ1063">
        <f>IF(BH1063=0,"",IF('Tasks Filter'!$F$6="Descending",-1,1)*CHOOSE(MATCH('Tasks Filter'!$F$5,Lists!$G$2:$G$6,0),AW1063,BF1063,IFERROR(MATCH(AV1063,Setup!$F$6:$F$15,0),99),IFERROR(MATCH(BC1063,Setup!$H$6:$H$15,0),99),IFERROR(MATCH(AZ1063,Setup!$J$6:$J$11,0),99))*1E+9+(AW1063-40000)*10000+1062)</f>
        <v/>
      </c>
      <c r="BK1063">
        <f>IF(BI1063=1,BJ1063,"")</f>
        <v/>
      </c>
      <c r="BL1063">
        <f>IF(AND(BH1063=1,BG1063=0,N(AW1063)&lt;Setup!$D$7),(AW1063-40000)*10000+1062,"")</f>
        <v/>
      </c>
      <c r="BM1063">
        <f>IF(AND(BH1063=1,AZ1063&lt;&gt;"Cancelled",N(AW1063)&gt;=Dashboard!$AB$3,N(AW1063)&lt;=Dashboard!$AB$3+6),(AW1063-40000)*100000+BF1063*10000+1062,"")</f>
        <v/>
      </c>
      <c r="BN1063">
        <f>IF(AND(BH1063=1,AZ1063&lt;&gt;"Cancelled"),BF1063*10000+1062,"")</f>
        <v/>
      </c>
    </row>
    <row r="1064">
      <c r="AS1064" t="inlineStr">
        <is>
          <t>R</t>
        </is>
      </c>
      <c r="AT1064" t="n">
        <v>1068</v>
      </c>
      <c r="AU1064">
        <f>'Recurring Log'!C1068&amp;""</f>
        <v/>
      </c>
      <c r="AV1064">
        <f>'Recurring Log'!D1068&amp;""</f>
        <v/>
      </c>
      <c r="AW1064">
        <f>IF('Recurring Log'!E1068="","",'Recurring Log'!E1068)</f>
        <v/>
      </c>
      <c r="AX1064">
        <f>IF('Recurring Log'!G1068="","",'Recurring Log'!G1068)</f>
        <v/>
      </c>
      <c r="AY1064">
        <f>IF('Recurring Log'!H1068="","",'Recurring Log'!H1068)</f>
        <v/>
      </c>
      <c r="AZ1064">
        <f>IF(AU1064="","",IF('Recurring Log'!J1068="","Not Started",'Recurring Log'!J1068))</f>
        <v/>
      </c>
      <c r="BA1064">
        <f>'Recurring Log'!L1068&amp;""</f>
        <v/>
      </c>
      <c r="BB1064">
        <f>'Recurring Log'!M1068&amp;""</f>
        <v/>
      </c>
      <c r="BC1064">
        <f>'Recurring Log'!N1068&amp;""</f>
        <v/>
      </c>
      <c r="BD1064">
        <f>'Recurring Log'!O1068&amp;""</f>
        <v/>
      </c>
      <c r="BE1064">
        <f>IF('Recurring Log'!K1068="","",'Recurring Log'!K1068)</f>
        <v/>
      </c>
      <c r="BF1064">
        <f>IFERROR(MATCH(BA1064,Setup!$L$6:$L$9,0),5)</f>
        <v/>
      </c>
      <c r="BG1064">
        <f>IF(OR(AZ1064="Done",AZ1064="Cancelled"),1,0)</f>
        <v/>
      </c>
      <c r="BH1064">
        <f>IF(AND(AU1064&lt;&gt;"",ISNUMBER(AW1064)),1,0)</f>
        <v/>
      </c>
      <c r="BI1064">
        <f>IF(BH1064=0,0,IF(AND(AW1064&gt;='Tasks Filter'!$F$3,AW1064&lt;='Tasks Filter'!$F$4,OR('Tasks Filter'!$I$3="",ISNUMBER(SEARCH('Tasks Filter'!$I$3,AU1064))),OR('Tasks Filter'!$I$4="",BF1064=IFERROR(MATCH('Tasks Filter'!$I$4,Setup!$L$6:$L$9,0),0)),OR('Tasks Filter'!$I$5="Both",AND('Tasks Filter'!$I$5="Yes",BB1064="✓"),AND('Tasks Filter'!$I$5="No",BB1064&lt;&gt;"✓")),OR('Tasks Filter'!$L$3="",AV1064='Tasks Filter'!$L$3),OR('Tasks Filter'!$L$4="",AZ1064='Tasks Filter'!$L$4),OR('Tasks Filter'!$L$5="",BC1064='Tasks Filter'!$L$5),OR('Tasks Filter'!$O$3="",BD1064='Tasks Filter'!$O$3),OR('Tasks Filter'!$O$4="Yes",BG1064=0)),1,0))</f>
        <v/>
      </c>
      <c r="BJ1064">
        <f>IF(BH1064=0,"",IF('Tasks Filter'!$F$6="Descending",-1,1)*CHOOSE(MATCH('Tasks Filter'!$F$5,Lists!$G$2:$G$6,0),AW1064,BF1064,IFERROR(MATCH(AV1064,Setup!$F$6:$F$15,0),99),IFERROR(MATCH(BC1064,Setup!$H$6:$H$15,0),99),IFERROR(MATCH(AZ1064,Setup!$J$6:$J$11,0),99))*1E+9+(AW1064-40000)*10000+1063)</f>
        <v/>
      </c>
      <c r="BK1064">
        <f>IF(BI1064=1,BJ1064,"")</f>
        <v/>
      </c>
      <c r="BL1064">
        <f>IF(AND(BH1064=1,BG1064=0,N(AW1064)&lt;Setup!$D$7),(AW1064-40000)*10000+1063,"")</f>
        <v/>
      </c>
      <c r="BM1064">
        <f>IF(AND(BH1064=1,AZ1064&lt;&gt;"Cancelled",N(AW1064)&gt;=Dashboard!$AB$3,N(AW1064)&lt;=Dashboard!$AB$3+6),(AW1064-40000)*100000+BF1064*10000+1063,"")</f>
        <v/>
      </c>
      <c r="BN1064">
        <f>IF(AND(BH1064=1,AZ1064&lt;&gt;"Cancelled"),BF1064*10000+1063,"")</f>
        <v/>
      </c>
    </row>
    <row r="1065">
      <c r="AS1065" t="inlineStr">
        <is>
          <t>R</t>
        </is>
      </c>
      <c r="AT1065" t="n">
        <v>1069</v>
      </c>
      <c r="AU1065">
        <f>'Recurring Log'!C1069&amp;""</f>
        <v/>
      </c>
      <c r="AV1065">
        <f>'Recurring Log'!D1069&amp;""</f>
        <v/>
      </c>
      <c r="AW1065">
        <f>IF('Recurring Log'!E1069="","",'Recurring Log'!E1069)</f>
        <v/>
      </c>
      <c r="AX1065">
        <f>IF('Recurring Log'!G1069="","",'Recurring Log'!G1069)</f>
        <v/>
      </c>
      <c r="AY1065">
        <f>IF('Recurring Log'!H1069="","",'Recurring Log'!H1069)</f>
        <v/>
      </c>
      <c r="AZ1065">
        <f>IF(AU1065="","",IF('Recurring Log'!J1069="","Not Started",'Recurring Log'!J1069))</f>
        <v/>
      </c>
      <c r="BA1065">
        <f>'Recurring Log'!L1069&amp;""</f>
        <v/>
      </c>
      <c r="BB1065">
        <f>'Recurring Log'!M1069&amp;""</f>
        <v/>
      </c>
      <c r="BC1065">
        <f>'Recurring Log'!N1069&amp;""</f>
        <v/>
      </c>
      <c r="BD1065">
        <f>'Recurring Log'!O1069&amp;""</f>
        <v/>
      </c>
      <c r="BE1065">
        <f>IF('Recurring Log'!K1069="","",'Recurring Log'!K1069)</f>
        <v/>
      </c>
      <c r="BF1065">
        <f>IFERROR(MATCH(BA1065,Setup!$L$6:$L$9,0),5)</f>
        <v/>
      </c>
      <c r="BG1065">
        <f>IF(OR(AZ1065="Done",AZ1065="Cancelled"),1,0)</f>
        <v/>
      </c>
      <c r="BH1065">
        <f>IF(AND(AU1065&lt;&gt;"",ISNUMBER(AW1065)),1,0)</f>
        <v/>
      </c>
      <c r="BI1065">
        <f>IF(BH1065=0,0,IF(AND(AW1065&gt;='Tasks Filter'!$F$3,AW1065&lt;='Tasks Filter'!$F$4,OR('Tasks Filter'!$I$3="",ISNUMBER(SEARCH('Tasks Filter'!$I$3,AU1065))),OR('Tasks Filter'!$I$4="",BF1065=IFERROR(MATCH('Tasks Filter'!$I$4,Setup!$L$6:$L$9,0),0)),OR('Tasks Filter'!$I$5="Both",AND('Tasks Filter'!$I$5="Yes",BB1065="✓"),AND('Tasks Filter'!$I$5="No",BB1065&lt;&gt;"✓")),OR('Tasks Filter'!$L$3="",AV1065='Tasks Filter'!$L$3),OR('Tasks Filter'!$L$4="",AZ1065='Tasks Filter'!$L$4),OR('Tasks Filter'!$L$5="",BC1065='Tasks Filter'!$L$5),OR('Tasks Filter'!$O$3="",BD1065='Tasks Filter'!$O$3),OR('Tasks Filter'!$O$4="Yes",BG1065=0)),1,0))</f>
        <v/>
      </c>
      <c r="BJ1065">
        <f>IF(BH1065=0,"",IF('Tasks Filter'!$F$6="Descending",-1,1)*CHOOSE(MATCH('Tasks Filter'!$F$5,Lists!$G$2:$G$6,0),AW1065,BF1065,IFERROR(MATCH(AV1065,Setup!$F$6:$F$15,0),99),IFERROR(MATCH(BC1065,Setup!$H$6:$H$15,0),99),IFERROR(MATCH(AZ1065,Setup!$J$6:$J$11,0),99))*1E+9+(AW1065-40000)*10000+1064)</f>
        <v/>
      </c>
      <c r="BK1065">
        <f>IF(BI1065=1,BJ1065,"")</f>
        <v/>
      </c>
      <c r="BL1065">
        <f>IF(AND(BH1065=1,BG1065=0,N(AW1065)&lt;Setup!$D$7),(AW1065-40000)*10000+1064,"")</f>
        <v/>
      </c>
      <c r="BM1065">
        <f>IF(AND(BH1065=1,AZ1065&lt;&gt;"Cancelled",N(AW1065)&gt;=Dashboard!$AB$3,N(AW1065)&lt;=Dashboard!$AB$3+6),(AW1065-40000)*100000+BF1065*10000+1064,"")</f>
        <v/>
      </c>
      <c r="BN1065">
        <f>IF(AND(BH1065=1,AZ1065&lt;&gt;"Cancelled"),BF1065*10000+1064,"")</f>
        <v/>
      </c>
    </row>
    <row r="1066">
      <c r="AS1066" t="inlineStr">
        <is>
          <t>R</t>
        </is>
      </c>
      <c r="AT1066" t="n">
        <v>1070</v>
      </c>
      <c r="AU1066">
        <f>'Recurring Log'!C1070&amp;""</f>
        <v/>
      </c>
      <c r="AV1066">
        <f>'Recurring Log'!D1070&amp;""</f>
        <v/>
      </c>
      <c r="AW1066">
        <f>IF('Recurring Log'!E1070="","",'Recurring Log'!E1070)</f>
        <v/>
      </c>
      <c r="AX1066">
        <f>IF('Recurring Log'!G1070="","",'Recurring Log'!G1070)</f>
        <v/>
      </c>
      <c r="AY1066">
        <f>IF('Recurring Log'!H1070="","",'Recurring Log'!H1070)</f>
        <v/>
      </c>
      <c r="AZ1066">
        <f>IF(AU1066="","",IF('Recurring Log'!J1070="","Not Started",'Recurring Log'!J1070))</f>
        <v/>
      </c>
      <c r="BA1066">
        <f>'Recurring Log'!L1070&amp;""</f>
        <v/>
      </c>
      <c r="BB1066">
        <f>'Recurring Log'!M1070&amp;""</f>
        <v/>
      </c>
      <c r="BC1066">
        <f>'Recurring Log'!N1070&amp;""</f>
        <v/>
      </c>
      <c r="BD1066">
        <f>'Recurring Log'!O1070&amp;""</f>
        <v/>
      </c>
      <c r="BE1066">
        <f>IF('Recurring Log'!K1070="","",'Recurring Log'!K1070)</f>
        <v/>
      </c>
      <c r="BF1066">
        <f>IFERROR(MATCH(BA1066,Setup!$L$6:$L$9,0),5)</f>
        <v/>
      </c>
      <c r="BG1066">
        <f>IF(OR(AZ1066="Done",AZ1066="Cancelled"),1,0)</f>
        <v/>
      </c>
      <c r="BH1066">
        <f>IF(AND(AU1066&lt;&gt;"",ISNUMBER(AW1066)),1,0)</f>
        <v/>
      </c>
      <c r="BI1066">
        <f>IF(BH1066=0,0,IF(AND(AW1066&gt;='Tasks Filter'!$F$3,AW1066&lt;='Tasks Filter'!$F$4,OR('Tasks Filter'!$I$3="",ISNUMBER(SEARCH('Tasks Filter'!$I$3,AU1066))),OR('Tasks Filter'!$I$4="",BF1066=IFERROR(MATCH('Tasks Filter'!$I$4,Setup!$L$6:$L$9,0),0)),OR('Tasks Filter'!$I$5="Both",AND('Tasks Filter'!$I$5="Yes",BB1066="✓"),AND('Tasks Filter'!$I$5="No",BB1066&lt;&gt;"✓")),OR('Tasks Filter'!$L$3="",AV1066='Tasks Filter'!$L$3),OR('Tasks Filter'!$L$4="",AZ1066='Tasks Filter'!$L$4),OR('Tasks Filter'!$L$5="",BC1066='Tasks Filter'!$L$5),OR('Tasks Filter'!$O$3="",BD1066='Tasks Filter'!$O$3),OR('Tasks Filter'!$O$4="Yes",BG1066=0)),1,0))</f>
        <v/>
      </c>
      <c r="BJ1066">
        <f>IF(BH1066=0,"",IF('Tasks Filter'!$F$6="Descending",-1,1)*CHOOSE(MATCH('Tasks Filter'!$F$5,Lists!$G$2:$G$6,0),AW1066,BF1066,IFERROR(MATCH(AV1066,Setup!$F$6:$F$15,0),99),IFERROR(MATCH(BC1066,Setup!$H$6:$H$15,0),99),IFERROR(MATCH(AZ1066,Setup!$J$6:$J$11,0),99))*1E+9+(AW1066-40000)*10000+1065)</f>
        <v/>
      </c>
      <c r="BK1066">
        <f>IF(BI1066=1,BJ1066,"")</f>
        <v/>
      </c>
      <c r="BL1066">
        <f>IF(AND(BH1066=1,BG1066=0,N(AW1066)&lt;Setup!$D$7),(AW1066-40000)*10000+1065,"")</f>
        <v/>
      </c>
      <c r="BM1066">
        <f>IF(AND(BH1066=1,AZ1066&lt;&gt;"Cancelled",N(AW1066)&gt;=Dashboard!$AB$3,N(AW1066)&lt;=Dashboard!$AB$3+6),(AW1066-40000)*100000+BF1066*10000+1065,"")</f>
        <v/>
      </c>
      <c r="BN1066">
        <f>IF(AND(BH1066=1,AZ1066&lt;&gt;"Cancelled"),BF1066*10000+1065,"")</f>
        <v/>
      </c>
    </row>
    <row r="1067">
      <c r="AS1067" t="inlineStr">
        <is>
          <t>R</t>
        </is>
      </c>
      <c r="AT1067" t="n">
        <v>1071</v>
      </c>
      <c r="AU1067">
        <f>'Recurring Log'!C1071&amp;""</f>
        <v/>
      </c>
      <c r="AV1067">
        <f>'Recurring Log'!D1071&amp;""</f>
        <v/>
      </c>
      <c r="AW1067">
        <f>IF('Recurring Log'!E1071="","",'Recurring Log'!E1071)</f>
        <v/>
      </c>
      <c r="AX1067">
        <f>IF('Recurring Log'!G1071="","",'Recurring Log'!G1071)</f>
        <v/>
      </c>
      <c r="AY1067">
        <f>IF('Recurring Log'!H1071="","",'Recurring Log'!H1071)</f>
        <v/>
      </c>
      <c r="AZ1067">
        <f>IF(AU1067="","",IF('Recurring Log'!J1071="","Not Started",'Recurring Log'!J1071))</f>
        <v/>
      </c>
      <c r="BA1067">
        <f>'Recurring Log'!L1071&amp;""</f>
        <v/>
      </c>
      <c r="BB1067">
        <f>'Recurring Log'!M1071&amp;""</f>
        <v/>
      </c>
      <c r="BC1067">
        <f>'Recurring Log'!N1071&amp;""</f>
        <v/>
      </c>
      <c r="BD1067">
        <f>'Recurring Log'!O1071&amp;""</f>
        <v/>
      </c>
      <c r="BE1067">
        <f>IF('Recurring Log'!K1071="","",'Recurring Log'!K1071)</f>
        <v/>
      </c>
      <c r="BF1067">
        <f>IFERROR(MATCH(BA1067,Setup!$L$6:$L$9,0),5)</f>
        <v/>
      </c>
      <c r="BG1067">
        <f>IF(OR(AZ1067="Done",AZ1067="Cancelled"),1,0)</f>
        <v/>
      </c>
      <c r="BH1067">
        <f>IF(AND(AU1067&lt;&gt;"",ISNUMBER(AW1067)),1,0)</f>
        <v/>
      </c>
      <c r="BI1067">
        <f>IF(BH1067=0,0,IF(AND(AW1067&gt;='Tasks Filter'!$F$3,AW1067&lt;='Tasks Filter'!$F$4,OR('Tasks Filter'!$I$3="",ISNUMBER(SEARCH('Tasks Filter'!$I$3,AU1067))),OR('Tasks Filter'!$I$4="",BF1067=IFERROR(MATCH('Tasks Filter'!$I$4,Setup!$L$6:$L$9,0),0)),OR('Tasks Filter'!$I$5="Both",AND('Tasks Filter'!$I$5="Yes",BB1067="✓"),AND('Tasks Filter'!$I$5="No",BB1067&lt;&gt;"✓")),OR('Tasks Filter'!$L$3="",AV1067='Tasks Filter'!$L$3),OR('Tasks Filter'!$L$4="",AZ1067='Tasks Filter'!$L$4),OR('Tasks Filter'!$L$5="",BC1067='Tasks Filter'!$L$5),OR('Tasks Filter'!$O$3="",BD1067='Tasks Filter'!$O$3),OR('Tasks Filter'!$O$4="Yes",BG1067=0)),1,0))</f>
        <v/>
      </c>
      <c r="BJ1067">
        <f>IF(BH1067=0,"",IF('Tasks Filter'!$F$6="Descending",-1,1)*CHOOSE(MATCH('Tasks Filter'!$F$5,Lists!$G$2:$G$6,0),AW1067,BF1067,IFERROR(MATCH(AV1067,Setup!$F$6:$F$15,0),99),IFERROR(MATCH(BC1067,Setup!$H$6:$H$15,0),99),IFERROR(MATCH(AZ1067,Setup!$J$6:$J$11,0),99))*1E+9+(AW1067-40000)*10000+1066)</f>
        <v/>
      </c>
      <c r="BK1067">
        <f>IF(BI1067=1,BJ1067,"")</f>
        <v/>
      </c>
      <c r="BL1067">
        <f>IF(AND(BH1067=1,BG1067=0,N(AW1067)&lt;Setup!$D$7),(AW1067-40000)*10000+1066,"")</f>
        <v/>
      </c>
      <c r="BM1067">
        <f>IF(AND(BH1067=1,AZ1067&lt;&gt;"Cancelled",N(AW1067)&gt;=Dashboard!$AB$3,N(AW1067)&lt;=Dashboard!$AB$3+6),(AW1067-40000)*100000+BF1067*10000+1066,"")</f>
        <v/>
      </c>
      <c r="BN1067">
        <f>IF(AND(BH1067=1,AZ1067&lt;&gt;"Cancelled"),BF1067*10000+1066,"")</f>
        <v/>
      </c>
    </row>
    <row r="1068">
      <c r="AS1068" t="inlineStr">
        <is>
          <t>R</t>
        </is>
      </c>
      <c r="AT1068" t="n">
        <v>1072</v>
      </c>
      <c r="AU1068">
        <f>'Recurring Log'!C1072&amp;""</f>
        <v/>
      </c>
      <c r="AV1068">
        <f>'Recurring Log'!D1072&amp;""</f>
        <v/>
      </c>
      <c r="AW1068">
        <f>IF('Recurring Log'!E1072="","",'Recurring Log'!E1072)</f>
        <v/>
      </c>
      <c r="AX1068">
        <f>IF('Recurring Log'!G1072="","",'Recurring Log'!G1072)</f>
        <v/>
      </c>
      <c r="AY1068">
        <f>IF('Recurring Log'!H1072="","",'Recurring Log'!H1072)</f>
        <v/>
      </c>
      <c r="AZ1068">
        <f>IF(AU1068="","",IF('Recurring Log'!J1072="","Not Started",'Recurring Log'!J1072))</f>
        <v/>
      </c>
      <c r="BA1068">
        <f>'Recurring Log'!L1072&amp;""</f>
        <v/>
      </c>
      <c r="BB1068">
        <f>'Recurring Log'!M1072&amp;""</f>
        <v/>
      </c>
      <c r="BC1068">
        <f>'Recurring Log'!N1072&amp;""</f>
        <v/>
      </c>
      <c r="BD1068">
        <f>'Recurring Log'!O1072&amp;""</f>
        <v/>
      </c>
      <c r="BE1068">
        <f>IF('Recurring Log'!K1072="","",'Recurring Log'!K1072)</f>
        <v/>
      </c>
      <c r="BF1068">
        <f>IFERROR(MATCH(BA1068,Setup!$L$6:$L$9,0),5)</f>
        <v/>
      </c>
      <c r="BG1068">
        <f>IF(OR(AZ1068="Done",AZ1068="Cancelled"),1,0)</f>
        <v/>
      </c>
      <c r="BH1068">
        <f>IF(AND(AU1068&lt;&gt;"",ISNUMBER(AW1068)),1,0)</f>
        <v/>
      </c>
      <c r="BI1068">
        <f>IF(BH1068=0,0,IF(AND(AW1068&gt;='Tasks Filter'!$F$3,AW1068&lt;='Tasks Filter'!$F$4,OR('Tasks Filter'!$I$3="",ISNUMBER(SEARCH('Tasks Filter'!$I$3,AU1068))),OR('Tasks Filter'!$I$4="",BF1068=IFERROR(MATCH('Tasks Filter'!$I$4,Setup!$L$6:$L$9,0),0)),OR('Tasks Filter'!$I$5="Both",AND('Tasks Filter'!$I$5="Yes",BB1068="✓"),AND('Tasks Filter'!$I$5="No",BB1068&lt;&gt;"✓")),OR('Tasks Filter'!$L$3="",AV1068='Tasks Filter'!$L$3),OR('Tasks Filter'!$L$4="",AZ1068='Tasks Filter'!$L$4),OR('Tasks Filter'!$L$5="",BC1068='Tasks Filter'!$L$5),OR('Tasks Filter'!$O$3="",BD1068='Tasks Filter'!$O$3),OR('Tasks Filter'!$O$4="Yes",BG1068=0)),1,0))</f>
        <v/>
      </c>
      <c r="BJ1068">
        <f>IF(BH1068=0,"",IF('Tasks Filter'!$F$6="Descending",-1,1)*CHOOSE(MATCH('Tasks Filter'!$F$5,Lists!$G$2:$G$6,0),AW1068,BF1068,IFERROR(MATCH(AV1068,Setup!$F$6:$F$15,0),99),IFERROR(MATCH(BC1068,Setup!$H$6:$H$15,0),99),IFERROR(MATCH(AZ1068,Setup!$J$6:$J$11,0),99))*1E+9+(AW1068-40000)*10000+1067)</f>
        <v/>
      </c>
      <c r="BK1068">
        <f>IF(BI1068=1,BJ1068,"")</f>
        <v/>
      </c>
      <c r="BL1068">
        <f>IF(AND(BH1068=1,BG1068=0,N(AW1068)&lt;Setup!$D$7),(AW1068-40000)*10000+1067,"")</f>
        <v/>
      </c>
      <c r="BM1068">
        <f>IF(AND(BH1068=1,AZ1068&lt;&gt;"Cancelled",N(AW1068)&gt;=Dashboard!$AB$3,N(AW1068)&lt;=Dashboard!$AB$3+6),(AW1068-40000)*100000+BF1068*10000+1067,"")</f>
        <v/>
      </c>
      <c r="BN1068">
        <f>IF(AND(BH1068=1,AZ1068&lt;&gt;"Cancelled"),BF1068*10000+1067,"")</f>
        <v/>
      </c>
    </row>
    <row r="1069">
      <c r="AS1069" t="inlineStr">
        <is>
          <t>R</t>
        </is>
      </c>
      <c r="AT1069" t="n">
        <v>1073</v>
      </c>
      <c r="AU1069">
        <f>'Recurring Log'!C1073&amp;""</f>
        <v/>
      </c>
      <c r="AV1069">
        <f>'Recurring Log'!D1073&amp;""</f>
        <v/>
      </c>
      <c r="AW1069">
        <f>IF('Recurring Log'!E1073="","",'Recurring Log'!E1073)</f>
        <v/>
      </c>
      <c r="AX1069">
        <f>IF('Recurring Log'!G1073="","",'Recurring Log'!G1073)</f>
        <v/>
      </c>
      <c r="AY1069">
        <f>IF('Recurring Log'!H1073="","",'Recurring Log'!H1073)</f>
        <v/>
      </c>
      <c r="AZ1069">
        <f>IF(AU1069="","",IF('Recurring Log'!J1073="","Not Started",'Recurring Log'!J1073))</f>
        <v/>
      </c>
      <c r="BA1069">
        <f>'Recurring Log'!L1073&amp;""</f>
        <v/>
      </c>
      <c r="BB1069">
        <f>'Recurring Log'!M1073&amp;""</f>
        <v/>
      </c>
      <c r="BC1069">
        <f>'Recurring Log'!N1073&amp;""</f>
        <v/>
      </c>
      <c r="BD1069">
        <f>'Recurring Log'!O1073&amp;""</f>
        <v/>
      </c>
      <c r="BE1069">
        <f>IF('Recurring Log'!K1073="","",'Recurring Log'!K1073)</f>
        <v/>
      </c>
      <c r="BF1069">
        <f>IFERROR(MATCH(BA1069,Setup!$L$6:$L$9,0),5)</f>
        <v/>
      </c>
      <c r="BG1069">
        <f>IF(OR(AZ1069="Done",AZ1069="Cancelled"),1,0)</f>
        <v/>
      </c>
      <c r="BH1069">
        <f>IF(AND(AU1069&lt;&gt;"",ISNUMBER(AW1069)),1,0)</f>
        <v/>
      </c>
      <c r="BI1069">
        <f>IF(BH1069=0,0,IF(AND(AW1069&gt;='Tasks Filter'!$F$3,AW1069&lt;='Tasks Filter'!$F$4,OR('Tasks Filter'!$I$3="",ISNUMBER(SEARCH('Tasks Filter'!$I$3,AU1069))),OR('Tasks Filter'!$I$4="",BF1069=IFERROR(MATCH('Tasks Filter'!$I$4,Setup!$L$6:$L$9,0),0)),OR('Tasks Filter'!$I$5="Both",AND('Tasks Filter'!$I$5="Yes",BB1069="✓"),AND('Tasks Filter'!$I$5="No",BB1069&lt;&gt;"✓")),OR('Tasks Filter'!$L$3="",AV1069='Tasks Filter'!$L$3),OR('Tasks Filter'!$L$4="",AZ1069='Tasks Filter'!$L$4),OR('Tasks Filter'!$L$5="",BC1069='Tasks Filter'!$L$5),OR('Tasks Filter'!$O$3="",BD1069='Tasks Filter'!$O$3),OR('Tasks Filter'!$O$4="Yes",BG1069=0)),1,0))</f>
        <v/>
      </c>
      <c r="BJ1069">
        <f>IF(BH1069=0,"",IF('Tasks Filter'!$F$6="Descending",-1,1)*CHOOSE(MATCH('Tasks Filter'!$F$5,Lists!$G$2:$G$6,0),AW1069,BF1069,IFERROR(MATCH(AV1069,Setup!$F$6:$F$15,0),99),IFERROR(MATCH(BC1069,Setup!$H$6:$H$15,0),99),IFERROR(MATCH(AZ1069,Setup!$J$6:$J$11,0),99))*1E+9+(AW1069-40000)*10000+1068)</f>
        <v/>
      </c>
      <c r="BK1069">
        <f>IF(BI1069=1,BJ1069,"")</f>
        <v/>
      </c>
      <c r="BL1069">
        <f>IF(AND(BH1069=1,BG1069=0,N(AW1069)&lt;Setup!$D$7),(AW1069-40000)*10000+1068,"")</f>
        <v/>
      </c>
      <c r="BM1069">
        <f>IF(AND(BH1069=1,AZ1069&lt;&gt;"Cancelled",N(AW1069)&gt;=Dashboard!$AB$3,N(AW1069)&lt;=Dashboard!$AB$3+6),(AW1069-40000)*100000+BF1069*10000+1068,"")</f>
        <v/>
      </c>
      <c r="BN1069">
        <f>IF(AND(BH1069=1,AZ1069&lt;&gt;"Cancelled"),BF1069*10000+1068,"")</f>
        <v/>
      </c>
    </row>
    <row r="1070">
      <c r="AS1070" t="inlineStr">
        <is>
          <t>R</t>
        </is>
      </c>
      <c r="AT1070" t="n">
        <v>1074</v>
      </c>
      <c r="AU1070">
        <f>'Recurring Log'!C1074&amp;""</f>
        <v/>
      </c>
      <c r="AV1070">
        <f>'Recurring Log'!D1074&amp;""</f>
        <v/>
      </c>
      <c r="AW1070">
        <f>IF('Recurring Log'!E1074="","",'Recurring Log'!E1074)</f>
        <v/>
      </c>
      <c r="AX1070">
        <f>IF('Recurring Log'!G1074="","",'Recurring Log'!G1074)</f>
        <v/>
      </c>
      <c r="AY1070">
        <f>IF('Recurring Log'!H1074="","",'Recurring Log'!H1074)</f>
        <v/>
      </c>
      <c r="AZ1070">
        <f>IF(AU1070="","",IF('Recurring Log'!J1074="","Not Started",'Recurring Log'!J1074))</f>
        <v/>
      </c>
      <c r="BA1070">
        <f>'Recurring Log'!L1074&amp;""</f>
        <v/>
      </c>
      <c r="BB1070">
        <f>'Recurring Log'!M1074&amp;""</f>
        <v/>
      </c>
      <c r="BC1070">
        <f>'Recurring Log'!N1074&amp;""</f>
        <v/>
      </c>
      <c r="BD1070">
        <f>'Recurring Log'!O1074&amp;""</f>
        <v/>
      </c>
      <c r="BE1070">
        <f>IF('Recurring Log'!K1074="","",'Recurring Log'!K1074)</f>
        <v/>
      </c>
      <c r="BF1070">
        <f>IFERROR(MATCH(BA1070,Setup!$L$6:$L$9,0),5)</f>
        <v/>
      </c>
      <c r="BG1070">
        <f>IF(OR(AZ1070="Done",AZ1070="Cancelled"),1,0)</f>
        <v/>
      </c>
      <c r="BH1070">
        <f>IF(AND(AU1070&lt;&gt;"",ISNUMBER(AW1070)),1,0)</f>
        <v/>
      </c>
      <c r="BI1070">
        <f>IF(BH1070=0,0,IF(AND(AW1070&gt;='Tasks Filter'!$F$3,AW1070&lt;='Tasks Filter'!$F$4,OR('Tasks Filter'!$I$3="",ISNUMBER(SEARCH('Tasks Filter'!$I$3,AU1070))),OR('Tasks Filter'!$I$4="",BF1070=IFERROR(MATCH('Tasks Filter'!$I$4,Setup!$L$6:$L$9,0),0)),OR('Tasks Filter'!$I$5="Both",AND('Tasks Filter'!$I$5="Yes",BB1070="✓"),AND('Tasks Filter'!$I$5="No",BB1070&lt;&gt;"✓")),OR('Tasks Filter'!$L$3="",AV1070='Tasks Filter'!$L$3),OR('Tasks Filter'!$L$4="",AZ1070='Tasks Filter'!$L$4),OR('Tasks Filter'!$L$5="",BC1070='Tasks Filter'!$L$5),OR('Tasks Filter'!$O$3="",BD1070='Tasks Filter'!$O$3),OR('Tasks Filter'!$O$4="Yes",BG1070=0)),1,0))</f>
        <v/>
      </c>
      <c r="BJ1070">
        <f>IF(BH1070=0,"",IF('Tasks Filter'!$F$6="Descending",-1,1)*CHOOSE(MATCH('Tasks Filter'!$F$5,Lists!$G$2:$G$6,0),AW1070,BF1070,IFERROR(MATCH(AV1070,Setup!$F$6:$F$15,0),99),IFERROR(MATCH(BC1070,Setup!$H$6:$H$15,0),99),IFERROR(MATCH(AZ1070,Setup!$J$6:$J$11,0),99))*1E+9+(AW1070-40000)*10000+1069)</f>
        <v/>
      </c>
      <c r="BK1070">
        <f>IF(BI1070=1,BJ1070,"")</f>
        <v/>
      </c>
      <c r="BL1070">
        <f>IF(AND(BH1070=1,BG1070=0,N(AW1070)&lt;Setup!$D$7),(AW1070-40000)*10000+1069,"")</f>
        <v/>
      </c>
      <c r="BM1070">
        <f>IF(AND(BH1070=1,AZ1070&lt;&gt;"Cancelled",N(AW1070)&gt;=Dashboard!$AB$3,N(AW1070)&lt;=Dashboard!$AB$3+6),(AW1070-40000)*100000+BF1070*10000+1069,"")</f>
        <v/>
      </c>
      <c r="BN1070">
        <f>IF(AND(BH1070=1,AZ1070&lt;&gt;"Cancelled"),BF1070*10000+1069,"")</f>
        <v/>
      </c>
    </row>
    <row r="1071">
      <c r="AS1071" t="inlineStr">
        <is>
          <t>R</t>
        </is>
      </c>
      <c r="AT1071" t="n">
        <v>1075</v>
      </c>
      <c r="AU1071">
        <f>'Recurring Log'!C1075&amp;""</f>
        <v/>
      </c>
      <c r="AV1071">
        <f>'Recurring Log'!D1075&amp;""</f>
        <v/>
      </c>
      <c r="AW1071">
        <f>IF('Recurring Log'!E1075="","",'Recurring Log'!E1075)</f>
        <v/>
      </c>
      <c r="AX1071">
        <f>IF('Recurring Log'!G1075="","",'Recurring Log'!G1075)</f>
        <v/>
      </c>
      <c r="AY1071">
        <f>IF('Recurring Log'!H1075="","",'Recurring Log'!H1075)</f>
        <v/>
      </c>
      <c r="AZ1071">
        <f>IF(AU1071="","",IF('Recurring Log'!J1075="","Not Started",'Recurring Log'!J1075))</f>
        <v/>
      </c>
      <c r="BA1071">
        <f>'Recurring Log'!L1075&amp;""</f>
        <v/>
      </c>
      <c r="BB1071">
        <f>'Recurring Log'!M1075&amp;""</f>
        <v/>
      </c>
      <c r="BC1071">
        <f>'Recurring Log'!N1075&amp;""</f>
        <v/>
      </c>
      <c r="BD1071">
        <f>'Recurring Log'!O1075&amp;""</f>
        <v/>
      </c>
      <c r="BE1071">
        <f>IF('Recurring Log'!K1075="","",'Recurring Log'!K1075)</f>
        <v/>
      </c>
      <c r="BF1071">
        <f>IFERROR(MATCH(BA1071,Setup!$L$6:$L$9,0),5)</f>
        <v/>
      </c>
      <c r="BG1071">
        <f>IF(OR(AZ1071="Done",AZ1071="Cancelled"),1,0)</f>
        <v/>
      </c>
      <c r="BH1071">
        <f>IF(AND(AU1071&lt;&gt;"",ISNUMBER(AW1071)),1,0)</f>
        <v/>
      </c>
      <c r="BI1071">
        <f>IF(BH1071=0,0,IF(AND(AW1071&gt;='Tasks Filter'!$F$3,AW1071&lt;='Tasks Filter'!$F$4,OR('Tasks Filter'!$I$3="",ISNUMBER(SEARCH('Tasks Filter'!$I$3,AU1071))),OR('Tasks Filter'!$I$4="",BF1071=IFERROR(MATCH('Tasks Filter'!$I$4,Setup!$L$6:$L$9,0),0)),OR('Tasks Filter'!$I$5="Both",AND('Tasks Filter'!$I$5="Yes",BB1071="✓"),AND('Tasks Filter'!$I$5="No",BB1071&lt;&gt;"✓")),OR('Tasks Filter'!$L$3="",AV1071='Tasks Filter'!$L$3),OR('Tasks Filter'!$L$4="",AZ1071='Tasks Filter'!$L$4),OR('Tasks Filter'!$L$5="",BC1071='Tasks Filter'!$L$5),OR('Tasks Filter'!$O$3="",BD1071='Tasks Filter'!$O$3),OR('Tasks Filter'!$O$4="Yes",BG1071=0)),1,0))</f>
        <v/>
      </c>
      <c r="BJ1071">
        <f>IF(BH1071=0,"",IF('Tasks Filter'!$F$6="Descending",-1,1)*CHOOSE(MATCH('Tasks Filter'!$F$5,Lists!$G$2:$G$6,0),AW1071,BF1071,IFERROR(MATCH(AV1071,Setup!$F$6:$F$15,0),99),IFERROR(MATCH(BC1071,Setup!$H$6:$H$15,0),99),IFERROR(MATCH(AZ1071,Setup!$J$6:$J$11,0),99))*1E+9+(AW1071-40000)*10000+1070)</f>
        <v/>
      </c>
      <c r="BK1071">
        <f>IF(BI1071=1,BJ1071,"")</f>
        <v/>
      </c>
      <c r="BL1071">
        <f>IF(AND(BH1071=1,BG1071=0,N(AW1071)&lt;Setup!$D$7),(AW1071-40000)*10000+1070,"")</f>
        <v/>
      </c>
      <c r="BM1071">
        <f>IF(AND(BH1071=1,AZ1071&lt;&gt;"Cancelled",N(AW1071)&gt;=Dashboard!$AB$3,N(AW1071)&lt;=Dashboard!$AB$3+6),(AW1071-40000)*100000+BF1071*10000+1070,"")</f>
        <v/>
      </c>
      <c r="BN1071">
        <f>IF(AND(BH1071=1,AZ1071&lt;&gt;"Cancelled"),BF1071*10000+1070,"")</f>
        <v/>
      </c>
    </row>
    <row r="1072">
      <c r="AS1072" t="inlineStr">
        <is>
          <t>R</t>
        </is>
      </c>
      <c r="AT1072" t="n">
        <v>1076</v>
      </c>
      <c r="AU1072">
        <f>'Recurring Log'!C1076&amp;""</f>
        <v/>
      </c>
      <c r="AV1072">
        <f>'Recurring Log'!D1076&amp;""</f>
        <v/>
      </c>
      <c r="AW1072">
        <f>IF('Recurring Log'!E1076="","",'Recurring Log'!E1076)</f>
        <v/>
      </c>
      <c r="AX1072">
        <f>IF('Recurring Log'!G1076="","",'Recurring Log'!G1076)</f>
        <v/>
      </c>
      <c r="AY1072">
        <f>IF('Recurring Log'!H1076="","",'Recurring Log'!H1076)</f>
        <v/>
      </c>
      <c r="AZ1072">
        <f>IF(AU1072="","",IF('Recurring Log'!J1076="","Not Started",'Recurring Log'!J1076))</f>
        <v/>
      </c>
      <c r="BA1072">
        <f>'Recurring Log'!L1076&amp;""</f>
        <v/>
      </c>
      <c r="BB1072">
        <f>'Recurring Log'!M1076&amp;""</f>
        <v/>
      </c>
      <c r="BC1072">
        <f>'Recurring Log'!N1076&amp;""</f>
        <v/>
      </c>
      <c r="BD1072">
        <f>'Recurring Log'!O1076&amp;""</f>
        <v/>
      </c>
      <c r="BE1072">
        <f>IF('Recurring Log'!K1076="","",'Recurring Log'!K1076)</f>
        <v/>
      </c>
      <c r="BF1072">
        <f>IFERROR(MATCH(BA1072,Setup!$L$6:$L$9,0),5)</f>
        <v/>
      </c>
      <c r="BG1072">
        <f>IF(OR(AZ1072="Done",AZ1072="Cancelled"),1,0)</f>
        <v/>
      </c>
      <c r="BH1072">
        <f>IF(AND(AU1072&lt;&gt;"",ISNUMBER(AW1072)),1,0)</f>
        <v/>
      </c>
      <c r="BI1072">
        <f>IF(BH1072=0,0,IF(AND(AW1072&gt;='Tasks Filter'!$F$3,AW1072&lt;='Tasks Filter'!$F$4,OR('Tasks Filter'!$I$3="",ISNUMBER(SEARCH('Tasks Filter'!$I$3,AU1072))),OR('Tasks Filter'!$I$4="",BF1072=IFERROR(MATCH('Tasks Filter'!$I$4,Setup!$L$6:$L$9,0),0)),OR('Tasks Filter'!$I$5="Both",AND('Tasks Filter'!$I$5="Yes",BB1072="✓"),AND('Tasks Filter'!$I$5="No",BB1072&lt;&gt;"✓")),OR('Tasks Filter'!$L$3="",AV1072='Tasks Filter'!$L$3),OR('Tasks Filter'!$L$4="",AZ1072='Tasks Filter'!$L$4),OR('Tasks Filter'!$L$5="",BC1072='Tasks Filter'!$L$5),OR('Tasks Filter'!$O$3="",BD1072='Tasks Filter'!$O$3),OR('Tasks Filter'!$O$4="Yes",BG1072=0)),1,0))</f>
        <v/>
      </c>
      <c r="BJ1072">
        <f>IF(BH1072=0,"",IF('Tasks Filter'!$F$6="Descending",-1,1)*CHOOSE(MATCH('Tasks Filter'!$F$5,Lists!$G$2:$G$6,0),AW1072,BF1072,IFERROR(MATCH(AV1072,Setup!$F$6:$F$15,0),99),IFERROR(MATCH(BC1072,Setup!$H$6:$H$15,0),99),IFERROR(MATCH(AZ1072,Setup!$J$6:$J$11,0),99))*1E+9+(AW1072-40000)*10000+1071)</f>
        <v/>
      </c>
      <c r="BK1072">
        <f>IF(BI1072=1,BJ1072,"")</f>
        <v/>
      </c>
      <c r="BL1072">
        <f>IF(AND(BH1072=1,BG1072=0,N(AW1072)&lt;Setup!$D$7),(AW1072-40000)*10000+1071,"")</f>
        <v/>
      </c>
      <c r="BM1072">
        <f>IF(AND(BH1072=1,AZ1072&lt;&gt;"Cancelled",N(AW1072)&gt;=Dashboard!$AB$3,N(AW1072)&lt;=Dashboard!$AB$3+6),(AW1072-40000)*100000+BF1072*10000+1071,"")</f>
        <v/>
      </c>
      <c r="BN1072">
        <f>IF(AND(BH1072=1,AZ1072&lt;&gt;"Cancelled"),BF1072*10000+1071,"")</f>
        <v/>
      </c>
    </row>
    <row r="1073">
      <c r="AS1073" t="inlineStr">
        <is>
          <t>R</t>
        </is>
      </c>
      <c r="AT1073" t="n">
        <v>1077</v>
      </c>
      <c r="AU1073">
        <f>'Recurring Log'!C1077&amp;""</f>
        <v/>
      </c>
      <c r="AV1073">
        <f>'Recurring Log'!D1077&amp;""</f>
        <v/>
      </c>
      <c r="AW1073">
        <f>IF('Recurring Log'!E1077="","",'Recurring Log'!E1077)</f>
        <v/>
      </c>
      <c r="AX1073">
        <f>IF('Recurring Log'!G1077="","",'Recurring Log'!G1077)</f>
        <v/>
      </c>
      <c r="AY1073">
        <f>IF('Recurring Log'!H1077="","",'Recurring Log'!H1077)</f>
        <v/>
      </c>
      <c r="AZ1073">
        <f>IF(AU1073="","",IF('Recurring Log'!J1077="","Not Started",'Recurring Log'!J1077))</f>
        <v/>
      </c>
      <c r="BA1073">
        <f>'Recurring Log'!L1077&amp;""</f>
        <v/>
      </c>
      <c r="BB1073">
        <f>'Recurring Log'!M1077&amp;""</f>
        <v/>
      </c>
      <c r="BC1073">
        <f>'Recurring Log'!N1077&amp;""</f>
        <v/>
      </c>
      <c r="BD1073">
        <f>'Recurring Log'!O1077&amp;""</f>
        <v/>
      </c>
      <c r="BE1073">
        <f>IF('Recurring Log'!K1077="","",'Recurring Log'!K1077)</f>
        <v/>
      </c>
      <c r="BF1073">
        <f>IFERROR(MATCH(BA1073,Setup!$L$6:$L$9,0),5)</f>
        <v/>
      </c>
      <c r="BG1073">
        <f>IF(OR(AZ1073="Done",AZ1073="Cancelled"),1,0)</f>
        <v/>
      </c>
      <c r="BH1073">
        <f>IF(AND(AU1073&lt;&gt;"",ISNUMBER(AW1073)),1,0)</f>
        <v/>
      </c>
      <c r="BI1073">
        <f>IF(BH1073=0,0,IF(AND(AW1073&gt;='Tasks Filter'!$F$3,AW1073&lt;='Tasks Filter'!$F$4,OR('Tasks Filter'!$I$3="",ISNUMBER(SEARCH('Tasks Filter'!$I$3,AU1073))),OR('Tasks Filter'!$I$4="",BF1073=IFERROR(MATCH('Tasks Filter'!$I$4,Setup!$L$6:$L$9,0),0)),OR('Tasks Filter'!$I$5="Both",AND('Tasks Filter'!$I$5="Yes",BB1073="✓"),AND('Tasks Filter'!$I$5="No",BB1073&lt;&gt;"✓")),OR('Tasks Filter'!$L$3="",AV1073='Tasks Filter'!$L$3),OR('Tasks Filter'!$L$4="",AZ1073='Tasks Filter'!$L$4),OR('Tasks Filter'!$L$5="",BC1073='Tasks Filter'!$L$5),OR('Tasks Filter'!$O$3="",BD1073='Tasks Filter'!$O$3),OR('Tasks Filter'!$O$4="Yes",BG1073=0)),1,0))</f>
        <v/>
      </c>
      <c r="BJ1073">
        <f>IF(BH1073=0,"",IF('Tasks Filter'!$F$6="Descending",-1,1)*CHOOSE(MATCH('Tasks Filter'!$F$5,Lists!$G$2:$G$6,0),AW1073,BF1073,IFERROR(MATCH(AV1073,Setup!$F$6:$F$15,0),99),IFERROR(MATCH(BC1073,Setup!$H$6:$H$15,0),99),IFERROR(MATCH(AZ1073,Setup!$J$6:$J$11,0),99))*1E+9+(AW1073-40000)*10000+1072)</f>
        <v/>
      </c>
      <c r="BK1073">
        <f>IF(BI1073=1,BJ1073,"")</f>
        <v/>
      </c>
      <c r="BL1073">
        <f>IF(AND(BH1073=1,BG1073=0,N(AW1073)&lt;Setup!$D$7),(AW1073-40000)*10000+1072,"")</f>
        <v/>
      </c>
      <c r="BM1073">
        <f>IF(AND(BH1073=1,AZ1073&lt;&gt;"Cancelled",N(AW1073)&gt;=Dashboard!$AB$3,N(AW1073)&lt;=Dashboard!$AB$3+6),(AW1073-40000)*100000+BF1073*10000+1072,"")</f>
        <v/>
      </c>
      <c r="BN1073">
        <f>IF(AND(BH1073=1,AZ1073&lt;&gt;"Cancelled"),BF1073*10000+1072,"")</f>
        <v/>
      </c>
    </row>
    <row r="1074">
      <c r="AS1074" t="inlineStr">
        <is>
          <t>R</t>
        </is>
      </c>
      <c r="AT1074" t="n">
        <v>1078</v>
      </c>
      <c r="AU1074">
        <f>'Recurring Log'!C1078&amp;""</f>
        <v/>
      </c>
      <c r="AV1074">
        <f>'Recurring Log'!D1078&amp;""</f>
        <v/>
      </c>
      <c r="AW1074">
        <f>IF('Recurring Log'!E1078="","",'Recurring Log'!E1078)</f>
        <v/>
      </c>
      <c r="AX1074">
        <f>IF('Recurring Log'!G1078="","",'Recurring Log'!G1078)</f>
        <v/>
      </c>
      <c r="AY1074">
        <f>IF('Recurring Log'!H1078="","",'Recurring Log'!H1078)</f>
        <v/>
      </c>
      <c r="AZ1074">
        <f>IF(AU1074="","",IF('Recurring Log'!J1078="","Not Started",'Recurring Log'!J1078))</f>
        <v/>
      </c>
      <c r="BA1074">
        <f>'Recurring Log'!L1078&amp;""</f>
        <v/>
      </c>
      <c r="BB1074">
        <f>'Recurring Log'!M1078&amp;""</f>
        <v/>
      </c>
      <c r="BC1074">
        <f>'Recurring Log'!N1078&amp;""</f>
        <v/>
      </c>
      <c r="BD1074">
        <f>'Recurring Log'!O1078&amp;""</f>
        <v/>
      </c>
      <c r="BE1074">
        <f>IF('Recurring Log'!K1078="","",'Recurring Log'!K1078)</f>
        <v/>
      </c>
      <c r="BF1074">
        <f>IFERROR(MATCH(BA1074,Setup!$L$6:$L$9,0),5)</f>
        <v/>
      </c>
      <c r="BG1074">
        <f>IF(OR(AZ1074="Done",AZ1074="Cancelled"),1,0)</f>
        <v/>
      </c>
      <c r="BH1074">
        <f>IF(AND(AU1074&lt;&gt;"",ISNUMBER(AW1074)),1,0)</f>
        <v/>
      </c>
      <c r="BI1074">
        <f>IF(BH1074=0,0,IF(AND(AW1074&gt;='Tasks Filter'!$F$3,AW1074&lt;='Tasks Filter'!$F$4,OR('Tasks Filter'!$I$3="",ISNUMBER(SEARCH('Tasks Filter'!$I$3,AU1074))),OR('Tasks Filter'!$I$4="",BF1074=IFERROR(MATCH('Tasks Filter'!$I$4,Setup!$L$6:$L$9,0),0)),OR('Tasks Filter'!$I$5="Both",AND('Tasks Filter'!$I$5="Yes",BB1074="✓"),AND('Tasks Filter'!$I$5="No",BB1074&lt;&gt;"✓")),OR('Tasks Filter'!$L$3="",AV1074='Tasks Filter'!$L$3),OR('Tasks Filter'!$L$4="",AZ1074='Tasks Filter'!$L$4),OR('Tasks Filter'!$L$5="",BC1074='Tasks Filter'!$L$5),OR('Tasks Filter'!$O$3="",BD1074='Tasks Filter'!$O$3),OR('Tasks Filter'!$O$4="Yes",BG1074=0)),1,0))</f>
        <v/>
      </c>
      <c r="BJ1074">
        <f>IF(BH1074=0,"",IF('Tasks Filter'!$F$6="Descending",-1,1)*CHOOSE(MATCH('Tasks Filter'!$F$5,Lists!$G$2:$G$6,0),AW1074,BF1074,IFERROR(MATCH(AV1074,Setup!$F$6:$F$15,0),99),IFERROR(MATCH(BC1074,Setup!$H$6:$H$15,0),99),IFERROR(MATCH(AZ1074,Setup!$J$6:$J$11,0),99))*1E+9+(AW1074-40000)*10000+1073)</f>
        <v/>
      </c>
      <c r="BK1074">
        <f>IF(BI1074=1,BJ1074,"")</f>
        <v/>
      </c>
      <c r="BL1074">
        <f>IF(AND(BH1074=1,BG1074=0,N(AW1074)&lt;Setup!$D$7),(AW1074-40000)*10000+1073,"")</f>
        <v/>
      </c>
      <c r="BM1074">
        <f>IF(AND(BH1074=1,AZ1074&lt;&gt;"Cancelled",N(AW1074)&gt;=Dashboard!$AB$3,N(AW1074)&lt;=Dashboard!$AB$3+6),(AW1074-40000)*100000+BF1074*10000+1073,"")</f>
        <v/>
      </c>
      <c r="BN1074">
        <f>IF(AND(BH1074=1,AZ1074&lt;&gt;"Cancelled"),BF1074*10000+1073,"")</f>
        <v/>
      </c>
    </row>
    <row r="1075">
      <c r="AS1075" t="inlineStr">
        <is>
          <t>R</t>
        </is>
      </c>
      <c r="AT1075" t="n">
        <v>1079</v>
      </c>
      <c r="AU1075">
        <f>'Recurring Log'!C1079&amp;""</f>
        <v/>
      </c>
      <c r="AV1075">
        <f>'Recurring Log'!D1079&amp;""</f>
        <v/>
      </c>
      <c r="AW1075">
        <f>IF('Recurring Log'!E1079="","",'Recurring Log'!E1079)</f>
        <v/>
      </c>
      <c r="AX1075">
        <f>IF('Recurring Log'!G1079="","",'Recurring Log'!G1079)</f>
        <v/>
      </c>
      <c r="AY1075">
        <f>IF('Recurring Log'!H1079="","",'Recurring Log'!H1079)</f>
        <v/>
      </c>
      <c r="AZ1075">
        <f>IF(AU1075="","",IF('Recurring Log'!J1079="","Not Started",'Recurring Log'!J1079))</f>
        <v/>
      </c>
      <c r="BA1075">
        <f>'Recurring Log'!L1079&amp;""</f>
        <v/>
      </c>
      <c r="BB1075">
        <f>'Recurring Log'!M1079&amp;""</f>
        <v/>
      </c>
      <c r="BC1075">
        <f>'Recurring Log'!N1079&amp;""</f>
        <v/>
      </c>
      <c r="BD1075">
        <f>'Recurring Log'!O1079&amp;""</f>
        <v/>
      </c>
      <c r="BE1075">
        <f>IF('Recurring Log'!K1079="","",'Recurring Log'!K1079)</f>
        <v/>
      </c>
      <c r="BF1075">
        <f>IFERROR(MATCH(BA1075,Setup!$L$6:$L$9,0),5)</f>
        <v/>
      </c>
      <c r="BG1075">
        <f>IF(OR(AZ1075="Done",AZ1075="Cancelled"),1,0)</f>
        <v/>
      </c>
      <c r="BH1075">
        <f>IF(AND(AU1075&lt;&gt;"",ISNUMBER(AW1075)),1,0)</f>
        <v/>
      </c>
      <c r="BI1075">
        <f>IF(BH1075=0,0,IF(AND(AW1075&gt;='Tasks Filter'!$F$3,AW1075&lt;='Tasks Filter'!$F$4,OR('Tasks Filter'!$I$3="",ISNUMBER(SEARCH('Tasks Filter'!$I$3,AU1075))),OR('Tasks Filter'!$I$4="",BF1075=IFERROR(MATCH('Tasks Filter'!$I$4,Setup!$L$6:$L$9,0),0)),OR('Tasks Filter'!$I$5="Both",AND('Tasks Filter'!$I$5="Yes",BB1075="✓"),AND('Tasks Filter'!$I$5="No",BB1075&lt;&gt;"✓")),OR('Tasks Filter'!$L$3="",AV1075='Tasks Filter'!$L$3),OR('Tasks Filter'!$L$4="",AZ1075='Tasks Filter'!$L$4),OR('Tasks Filter'!$L$5="",BC1075='Tasks Filter'!$L$5),OR('Tasks Filter'!$O$3="",BD1075='Tasks Filter'!$O$3),OR('Tasks Filter'!$O$4="Yes",BG1075=0)),1,0))</f>
        <v/>
      </c>
      <c r="BJ1075">
        <f>IF(BH1075=0,"",IF('Tasks Filter'!$F$6="Descending",-1,1)*CHOOSE(MATCH('Tasks Filter'!$F$5,Lists!$G$2:$G$6,0),AW1075,BF1075,IFERROR(MATCH(AV1075,Setup!$F$6:$F$15,0),99),IFERROR(MATCH(BC1075,Setup!$H$6:$H$15,0),99),IFERROR(MATCH(AZ1075,Setup!$J$6:$J$11,0),99))*1E+9+(AW1075-40000)*10000+1074)</f>
        <v/>
      </c>
      <c r="BK1075">
        <f>IF(BI1075=1,BJ1075,"")</f>
        <v/>
      </c>
      <c r="BL1075">
        <f>IF(AND(BH1075=1,BG1075=0,N(AW1075)&lt;Setup!$D$7),(AW1075-40000)*10000+1074,"")</f>
        <v/>
      </c>
      <c r="BM1075">
        <f>IF(AND(BH1075=1,AZ1075&lt;&gt;"Cancelled",N(AW1075)&gt;=Dashboard!$AB$3,N(AW1075)&lt;=Dashboard!$AB$3+6),(AW1075-40000)*100000+BF1075*10000+1074,"")</f>
        <v/>
      </c>
      <c r="BN1075">
        <f>IF(AND(BH1075=1,AZ1075&lt;&gt;"Cancelled"),BF1075*10000+1074,"")</f>
        <v/>
      </c>
    </row>
    <row r="1076">
      <c r="AS1076" t="inlineStr">
        <is>
          <t>R</t>
        </is>
      </c>
      <c r="AT1076" t="n">
        <v>1080</v>
      </c>
      <c r="AU1076">
        <f>'Recurring Log'!C1080&amp;""</f>
        <v/>
      </c>
      <c r="AV1076">
        <f>'Recurring Log'!D1080&amp;""</f>
        <v/>
      </c>
      <c r="AW1076">
        <f>IF('Recurring Log'!E1080="","",'Recurring Log'!E1080)</f>
        <v/>
      </c>
      <c r="AX1076">
        <f>IF('Recurring Log'!G1080="","",'Recurring Log'!G1080)</f>
        <v/>
      </c>
      <c r="AY1076">
        <f>IF('Recurring Log'!H1080="","",'Recurring Log'!H1080)</f>
        <v/>
      </c>
      <c r="AZ1076">
        <f>IF(AU1076="","",IF('Recurring Log'!J1080="","Not Started",'Recurring Log'!J1080))</f>
        <v/>
      </c>
      <c r="BA1076">
        <f>'Recurring Log'!L1080&amp;""</f>
        <v/>
      </c>
      <c r="BB1076">
        <f>'Recurring Log'!M1080&amp;""</f>
        <v/>
      </c>
      <c r="BC1076">
        <f>'Recurring Log'!N1080&amp;""</f>
        <v/>
      </c>
      <c r="BD1076">
        <f>'Recurring Log'!O1080&amp;""</f>
        <v/>
      </c>
      <c r="BE1076">
        <f>IF('Recurring Log'!K1080="","",'Recurring Log'!K1080)</f>
        <v/>
      </c>
      <c r="BF1076">
        <f>IFERROR(MATCH(BA1076,Setup!$L$6:$L$9,0),5)</f>
        <v/>
      </c>
      <c r="BG1076">
        <f>IF(OR(AZ1076="Done",AZ1076="Cancelled"),1,0)</f>
        <v/>
      </c>
      <c r="BH1076">
        <f>IF(AND(AU1076&lt;&gt;"",ISNUMBER(AW1076)),1,0)</f>
        <v/>
      </c>
      <c r="BI1076">
        <f>IF(BH1076=0,0,IF(AND(AW1076&gt;='Tasks Filter'!$F$3,AW1076&lt;='Tasks Filter'!$F$4,OR('Tasks Filter'!$I$3="",ISNUMBER(SEARCH('Tasks Filter'!$I$3,AU1076))),OR('Tasks Filter'!$I$4="",BF1076=IFERROR(MATCH('Tasks Filter'!$I$4,Setup!$L$6:$L$9,0),0)),OR('Tasks Filter'!$I$5="Both",AND('Tasks Filter'!$I$5="Yes",BB1076="✓"),AND('Tasks Filter'!$I$5="No",BB1076&lt;&gt;"✓")),OR('Tasks Filter'!$L$3="",AV1076='Tasks Filter'!$L$3),OR('Tasks Filter'!$L$4="",AZ1076='Tasks Filter'!$L$4),OR('Tasks Filter'!$L$5="",BC1076='Tasks Filter'!$L$5),OR('Tasks Filter'!$O$3="",BD1076='Tasks Filter'!$O$3),OR('Tasks Filter'!$O$4="Yes",BG1076=0)),1,0))</f>
        <v/>
      </c>
      <c r="BJ1076">
        <f>IF(BH1076=0,"",IF('Tasks Filter'!$F$6="Descending",-1,1)*CHOOSE(MATCH('Tasks Filter'!$F$5,Lists!$G$2:$G$6,0),AW1076,BF1076,IFERROR(MATCH(AV1076,Setup!$F$6:$F$15,0),99),IFERROR(MATCH(BC1076,Setup!$H$6:$H$15,0),99),IFERROR(MATCH(AZ1076,Setup!$J$6:$J$11,0),99))*1E+9+(AW1076-40000)*10000+1075)</f>
        <v/>
      </c>
      <c r="BK1076">
        <f>IF(BI1076=1,BJ1076,"")</f>
        <v/>
      </c>
      <c r="BL1076">
        <f>IF(AND(BH1076=1,BG1076=0,N(AW1076)&lt;Setup!$D$7),(AW1076-40000)*10000+1075,"")</f>
        <v/>
      </c>
      <c r="BM1076">
        <f>IF(AND(BH1076=1,AZ1076&lt;&gt;"Cancelled",N(AW1076)&gt;=Dashboard!$AB$3,N(AW1076)&lt;=Dashboard!$AB$3+6),(AW1076-40000)*100000+BF1076*10000+1075,"")</f>
        <v/>
      </c>
      <c r="BN1076">
        <f>IF(AND(BH1076=1,AZ1076&lt;&gt;"Cancelled"),BF1076*10000+1075,"")</f>
        <v/>
      </c>
    </row>
    <row r="1077">
      <c r="AS1077" t="inlineStr">
        <is>
          <t>R</t>
        </is>
      </c>
      <c r="AT1077" t="n">
        <v>1081</v>
      </c>
      <c r="AU1077">
        <f>'Recurring Log'!C1081&amp;""</f>
        <v/>
      </c>
      <c r="AV1077">
        <f>'Recurring Log'!D1081&amp;""</f>
        <v/>
      </c>
      <c r="AW1077">
        <f>IF('Recurring Log'!E1081="","",'Recurring Log'!E1081)</f>
        <v/>
      </c>
      <c r="AX1077">
        <f>IF('Recurring Log'!G1081="","",'Recurring Log'!G1081)</f>
        <v/>
      </c>
      <c r="AY1077">
        <f>IF('Recurring Log'!H1081="","",'Recurring Log'!H1081)</f>
        <v/>
      </c>
      <c r="AZ1077">
        <f>IF(AU1077="","",IF('Recurring Log'!J1081="","Not Started",'Recurring Log'!J1081))</f>
        <v/>
      </c>
      <c r="BA1077">
        <f>'Recurring Log'!L1081&amp;""</f>
        <v/>
      </c>
      <c r="BB1077">
        <f>'Recurring Log'!M1081&amp;""</f>
        <v/>
      </c>
      <c r="BC1077">
        <f>'Recurring Log'!N1081&amp;""</f>
        <v/>
      </c>
      <c r="BD1077">
        <f>'Recurring Log'!O1081&amp;""</f>
        <v/>
      </c>
      <c r="BE1077">
        <f>IF('Recurring Log'!K1081="","",'Recurring Log'!K1081)</f>
        <v/>
      </c>
      <c r="BF1077">
        <f>IFERROR(MATCH(BA1077,Setup!$L$6:$L$9,0),5)</f>
        <v/>
      </c>
      <c r="BG1077">
        <f>IF(OR(AZ1077="Done",AZ1077="Cancelled"),1,0)</f>
        <v/>
      </c>
      <c r="BH1077">
        <f>IF(AND(AU1077&lt;&gt;"",ISNUMBER(AW1077)),1,0)</f>
        <v/>
      </c>
      <c r="BI1077">
        <f>IF(BH1077=0,0,IF(AND(AW1077&gt;='Tasks Filter'!$F$3,AW1077&lt;='Tasks Filter'!$F$4,OR('Tasks Filter'!$I$3="",ISNUMBER(SEARCH('Tasks Filter'!$I$3,AU1077))),OR('Tasks Filter'!$I$4="",BF1077=IFERROR(MATCH('Tasks Filter'!$I$4,Setup!$L$6:$L$9,0),0)),OR('Tasks Filter'!$I$5="Both",AND('Tasks Filter'!$I$5="Yes",BB1077="✓"),AND('Tasks Filter'!$I$5="No",BB1077&lt;&gt;"✓")),OR('Tasks Filter'!$L$3="",AV1077='Tasks Filter'!$L$3),OR('Tasks Filter'!$L$4="",AZ1077='Tasks Filter'!$L$4),OR('Tasks Filter'!$L$5="",BC1077='Tasks Filter'!$L$5),OR('Tasks Filter'!$O$3="",BD1077='Tasks Filter'!$O$3),OR('Tasks Filter'!$O$4="Yes",BG1077=0)),1,0))</f>
        <v/>
      </c>
      <c r="BJ1077">
        <f>IF(BH1077=0,"",IF('Tasks Filter'!$F$6="Descending",-1,1)*CHOOSE(MATCH('Tasks Filter'!$F$5,Lists!$G$2:$G$6,0),AW1077,BF1077,IFERROR(MATCH(AV1077,Setup!$F$6:$F$15,0),99),IFERROR(MATCH(BC1077,Setup!$H$6:$H$15,0),99),IFERROR(MATCH(AZ1077,Setup!$J$6:$J$11,0),99))*1E+9+(AW1077-40000)*10000+1076)</f>
        <v/>
      </c>
      <c r="BK1077">
        <f>IF(BI1077=1,BJ1077,"")</f>
        <v/>
      </c>
      <c r="BL1077">
        <f>IF(AND(BH1077=1,BG1077=0,N(AW1077)&lt;Setup!$D$7),(AW1077-40000)*10000+1076,"")</f>
        <v/>
      </c>
      <c r="BM1077">
        <f>IF(AND(BH1077=1,AZ1077&lt;&gt;"Cancelled",N(AW1077)&gt;=Dashboard!$AB$3,N(AW1077)&lt;=Dashboard!$AB$3+6),(AW1077-40000)*100000+BF1077*10000+1076,"")</f>
        <v/>
      </c>
      <c r="BN1077">
        <f>IF(AND(BH1077=1,AZ1077&lt;&gt;"Cancelled"),BF1077*10000+1076,"")</f>
        <v/>
      </c>
    </row>
    <row r="1078">
      <c r="AS1078" t="inlineStr">
        <is>
          <t>R</t>
        </is>
      </c>
      <c r="AT1078" t="n">
        <v>1082</v>
      </c>
      <c r="AU1078">
        <f>'Recurring Log'!C1082&amp;""</f>
        <v/>
      </c>
      <c r="AV1078">
        <f>'Recurring Log'!D1082&amp;""</f>
        <v/>
      </c>
      <c r="AW1078">
        <f>IF('Recurring Log'!E1082="","",'Recurring Log'!E1082)</f>
        <v/>
      </c>
      <c r="AX1078">
        <f>IF('Recurring Log'!G1082="","",'Recurring Log'!G1082)</f>
        <v/>
      </c>
      <c r="AY1078">
        <f>IF('Recurring Log'!H1082="","",'Recurring Log'!H1082)</f>
        <v/>
      </c>
      <c r="AZ1078">
        <f>IF(AU1078="","",IF('Recurring Log'!J1082="","Not Started",'Recurring Log'!J1082))</f>
        <v/>
      </c>
      <c r="BA1078">
        <f>'Recurring Log'!L1082&amp;""</f>
        <v/>
      </c>
      <c r="BB1078">
        <f>'Recurring Log'!M1082&amp;""</f>
        <v/>
      </c>
      <c r="BC1078">
        <f>'Recurring Log'!N1082&amp;""</f>
        <v/>
      </c>
      <c r="BD1078">
        <f>'Recurring Log'!O1082&amp;""</f>
        <v/>
      </c>
      <c r="BE1078">
        <f>IF('Recurring Log'!K1082="","",'Recurring Log'!K1082)</f>
        <v/>
      </c>
      <c r="BF1078">
        <f>IFERROR(MATCH(BA1078,Setup!$L$6:$L$9,0),5)</f>
        <v/>
      </c>
      <c r="BG1078">
        <f>IF(OR(AZ1078="Done",AZ1078="Cancelled"),1,0)</f>
        <v/>
      </c>
      <c r="BH1078">
        <f>IF(AND(AU1078&lt;&gt;"",ISNUMBER(AW1078)),1,0)</f>
        <v/>
      </c>
      <c r="BI1078">
        <f>IF(BH1078=0,0,IF(AND(AW1078&gt;='Tasks Filter'!$F$3,AW1078&lt;='Tasks Filter'!$F$4,OR('Tasks Filter'!$I$3="",ISNUMBER(SEARCH('Tasks Filter'!$I$3,AU1078))),OR('Tasks Filter'!$I$4="",BF1078=IFERROR(MATCH('Tasks Filter'!$I$4,Setup!$L$6:$L$9,0),0)),OR('Tasks Filter'!$I$5="Both",AND('Tasks Filter'!$I$5="Yes",BB1078="✓"),AND('Tasks Filter'!$I$5="No",BB1078&lt;&gt;"✓")),OR('Tasks Filter'!$L$3="",AV1078='Tasks Filter'!$L$3),OR('Tasks Filter'!$L$4="",AZ1078='Tasks Filter'!$L$4),OR('Tasks Filter'!$L$5="",BC1078='Tasks Filter'!$L$5),OR('Tasks Filter'!$O$3="",BD1078='Tasks Filter'!$O$3),OR('Tasks Filter'!$O$4="Yes",BG1078=0)),1,0))</f>
        <v/>
      </c>
      <c r="BJ1078">
        <f>IF(BH1078=0,"",IF('Tasks Filter'!$F$6="Descending",-1,1)*CHOOSE(MATCH('Tasks Filter'!$F$5,Lists!$G$2:$G$6,0),AW1078,BF1078,IFERROR(MATCH(AV1078,Setup!$F$6:$F$15,0),99),IFERROR(MATCH(BC1078,Setup!$H$6:$H$15,0),99),IFERROR(MATCH(AZ1078,Setup!$J$6:$J$11,0),99))*1E+9+(AW1078-40000)*10000+1077)</f>
        <v/>
      </c>
      <c r="BK1078">
        <f>IF(BI1078=1,BJ1078,"")</f>
        <v/>
      </c>
      <c r="BL1078">
        <f>IF(AND(BH1078=1,BG1078=0,N(AW1078)&lt;Setup!$D$7),(AW1078-40000)*10000+1077,"")</f>
        <v/>
      </c>
      <c r="BM1078">
        <f>IF(AND(BH1078=1,AZ1078&lt;&gt;"Cancelled",N(AW1078)&gt;=Dashboard!$AB$3,N(AW1078)&lt;=Dashboard!$AB$3+6),(AW1078-40000)*100000+BF1078*10000+1077,"")</f>
        <v/>
      </c>
      <c r="BN1078">
        <f>IF(AND(BH1078=1,AZ1078&lt;&gt;"Cancelled"),BF1078*10000+1077,"")</f>
        <v/>
      </c>
    </row>
    <row r="1079">
      <c r="AS1079" t="inlineStr">
        <is>
          <t>R</t>
        </is>
      </c>
      <c r="AT1079" t="n">
        <v>1083</v>
      </c>
      <c r="AU1079">
        <f>'Recurring Log'!C1083&amp;""</f>
        <v/>
      </c>
      <c r="AV1079">
        <f>'Recurring Log'!D1083&amp;""</f>
        <v/>
      </c>
      <c r="AW1079">
        <f>IF('Recurring Log'!E1083="","",'Recurring Log'!E1083)</f>
        <v/>
      </c>
      <c r="AX1079">
        <f>IF('Recurring Log'!G1083="","",'Recurring Log'!G1083)</f>
        <v/>
      </c>
      <c r="AY1079">
        <f>IF('Recurring Log'!H1083="","",'Recurring Log'!H1083)</f>
        <v/>
      </c>
      <c r="AZ1079">
        <f>IF(AU1079="","",IF('Recurring Log'!J1083="","Not Started",'Recurring Log'!J1083))</f>
        <v/>
      </c>
      <c r="BA1079">
        <f>'Recurring Log'!L1083&amp;""</f>
        <v/>
      </c>
      <c r="BB1079">
        <f>'Recurring Log'!M1083&amp;""</f>
        <v/>
      </c>
      <c r="BC1079">
        <f>'Recurring Log'!N1083&amp;""</f>
        <v/>
      </c>
      <c r="BD1079">
        <f>'Recurring Log'!O1083&amp;""</f>
        <v/>
      </c>
      <c r="BE1079">
        <f>IF('Recurring Log'!K1083="","",'Recurring Log'!K1083)</f>
        <v/>
      </c>
      <c r="BF1079">
        <f>IFERROR(MATCH(BA1079,Setup!$L$6:$L$9,0),5)</f>
        <v/>
      </c>
      <c r="BG1079">
        <f>IF(OR(AZ1079="Done",AZ1079="Cancelled"),1,0)</f>
        <v/>
      </c>
      <c r="BH1079">
        <f>IF(AND(AU1079&lt;&gt;"",ISNUMBER(AW1079)),1,0)</f>
        <v/>
      </c>
      <c r="BI1079">
        <f>IF(BH1079=0,0,IF(AND(AW1079&gt;='Tasks Filter'!$F$3,AW1079&lt;='Tasks Filter'!$F$4,OR('Tasks Filter'!$I$3="",ISNUMBER(SEARCH('Tasks Filter'!$I$3,AU1079))),OR('Tasks Filter'!$I$4="",BF1079=IFERROR(MATCH('Tasks Filter'!$I$4,Setup!$L$6:$L$9,0),0)),OR('Tasks Filter'!$I$5="Both",AND('Tasks Filter'!$I$5="Yes",BB1079="✓"),AND('Tasks Filter'!$I$5="No",BB1079&lt;&gt;"✓")),OR('Tasks Filter'!$L$3="",AV1079='Tasks Filter'!$L$3),OR('Tasks Filter'!$L$4="",AZ1079='Tasks Filter'!$L$4),OR('Tasks Filter'!$L$5="",BC1079='Tasks Filter'!$L$5),OR('Tasks Filter'!$O$3="",BD1079='Tasks Filter'!$O$3),OR('Tasks Filter'!$O$4="Yes",BG1079=0)),1,0))</f>
        <v/>
      </c>
      <c r="BJ1079">
        <f>IF(BH1079=0,"",IF('Tasks Filter'!$F$6="Descending",-1,1)*CHOOSE(MATCH('Tasks Filter'!$F$5,Lists!$G$2:$G$6,0),AW1079,BF1079,IFERROR(MATCH(AV1079,Setup!$F$6:$F$15,0),99),IFERROR(MATCH(BC1079,Setup!$H$6:$H$15,0),99),IFERROR(MATCH(AZ1079,Setup!$J$6:$J$11,0),99))*1E+9+(AW1079-40000)*10000+1078)</f>
        <v/>
      </c>
      <c r="BK1079">
        <f>IF(BI1079=1,BJ1079,"")</f>
        <v/>
      </c>
      <c r="BL1079">
        <f>IF(AND(BH1079=1,BG1079=0,N(AW1079)&lt;Setup!$D$7),(AW1079-40000)*10000+1078,"")</f>
        <v/>
      </c>
      <c r="BM1079">
        <f>IF(AND(BH1079=1,AZ1079&lt;&gt;"Cancelled",N(AW1079)&gt;=Dashboard!$AB$3,N(AW1079)&lt;=Dashboard!$AB$3+6),(AW1079-40000)*100000+BF1079*10000+1078,"")</f>
        <v/>
      </c>
      <c r="BN1079">
        <f>IF(AND(BH1079=1,AZ1079&lt;&gt;"Cancelled"),BF1079*10000+1078,"")</f>
        <v/>
      </c>
    </row>
    <row r="1080">
      <c r="AS1080" t="inlineStr">
        <is>
          <t>R</t>
        </is>
      </c>
      <c r="AT1080" t="n">
        <v>1084</v>
      </c>
      <c r="AU1080">
        <f>'Recurring Log'!C1084&amp;""</f>
        <v/>
      </c>
      <c r="AV1080">
        <f>'Recurring Log'!D1084&amp;""</f>
        <v/>
      </c>
      <c r="AW1080">
        <f>IF('Recurring Log'!E1084="","",'Recurring Log'!E1084)</f>
        <v/>
      </c>
      <c r="AX1080">
        <f>IF('Recurring Log'!G1084="","",'Recurring Log'!G1084)</f>
        <v/>
      </c>
      <c r="AY1080">
        <f>IF('Recurring Log'!H1084="","",'Recurring Log'!H1084)</f>
        <v/>
      </c>
      <c r="AZ1080">
        <f>IF(AU1080="","",IF('Recurring Log'!J1084="","Not Started",'Recurring Log'!J1084))</f>
        <v/>
      </c>
      <c r="BA1080">
        <f>'Recurring Log'!L1084&amp;""</f>
        <v/>
      </c>
      <c r="BB1080">
        <f>'Recurring Log'!M1084&amp;""</f>
        <v/>
      </c>
      <c r="BC1080">
        <f>'Recurring Log'!N1084&amp;""</f>
        <v/>
      </c>
      <c r="BD1080">
        <f>'Recurring Log'!O1084&amp;""</f>
        <v/>
      </c>
      <c r="BE1080">
        <f>IF('Recurring Log'!K1084="","",'Recurring Log'!K1084)</f>
        <v/>
      </c>
      <c r="BF1080">
        <f>IFERROR(MATCH(BA1080,Setup!$L$6:$L$9,0),5)</f>
        <v/>
      </c>
      <c r="BG1080">
        <f>IF(OR(AZ1080="Done",AZ1080="Cancelled"),1,0)</f>
        <v/>
      </c>
      <c r="BH1080">
        <f>IF(AND(AU1080&lt;&gt;"",ISNUMBER(AW1080)),1,0)</f>
        <v/>
      </c>
      <c r="BI1080">
        <f>IF(BH1080=0,0,IF(AND(AW1080&gt;='Tasks Filter'!$F$3,AW1080&lt;='Tasks Filter'!$F$4,OR('Tasks Filter'!$I$3="",ISNUMBER(SEARCH('Tasks Filter'!$I$3,AU1080))),OR('Tasks Filter'!$I$4="",BF1080=IFERROR(MATCH('Tasks Filter'!$I$4,Setup!$L$6:$L$9,0),0)),OR('Tasks Filter'!$I$5="Both",AND('Tasks Filter'!$I$5="Yes",BB1080="✓"),AND('Tasks Filter'!$I$5="No",BB1080&lt;&gt;"✓")),OR('Tasks Filter'!$L$3="",AV1080='Tasks Filter'!$L$3),OR('Tasks Filter'!$L$4="",AZ1080='Tasks Filter'!$L$4),OR('Tasks Filter'!$L$5="",BC1080='Tasks Filter'!$L$5),OR('Tasks Filter'!$O$3="",BD1080='Tasks Filter'!$O$3),OR('Tasks Filter'!$O$4="Yes",BG1080=0)),1,0))</f>
        <v/>
      </c>
      <c r="BJ1080">
        <f>IF(BH1080=0,"",IF('Tasks Filter'!$F$6="Descending",-1,1)*CHOOSE(MATCH('Tasks Filter'!$F$5,Lists!$G$2:$G$6,0),AW1080,BF1080,IFERROR(MATCH(AV1080,Setup!$F$6:$F$15,0),99),IFERROR(MATCH(BC1080,Setup!$H$6:$H$15,0),99),IFERROR(MATCH(AZ1080,Setup!$J$6:$J$11,0),99))*1E+9+(AW1080-40000)*10000+1079)</f>
        <v/>
      </c>
      <c r="BK1080">
        <f>IF(BI1080=1,BJ1080,"")</f>
        <v/>
      </c>
      <c r="BL1080">
        <f>IF(AND(BH1080=1,BG1080=0,N(AW1080)&lt;Setup!$D$7),(AW1080-40000)*10000+1079,"")</f>
        <v/>
      </c>
      <c r="BM1080">
        <f>IF(AND(BH1080=1,AZ1080&lt;&gt;"Cancelled",N(AW1080)&gt;=Dashboard!$AB$3,N(AW1080)&lt;=Dashboard!$AB$3+6),(AW1080-40000)*100000+BF1080*10000+1079,"")</f>
        <v/>
      </c>
      <c r="BN1080">
        <f>IF(AND(BH1080=1,AZ1080&lt;&gt;"Cancelled"),BF1080*10000+1079,"")</f>
        <v/>
      </c>
    </row>
    <row r="1081">
      <c r="AS1081" t="inlineStr">
        <is>
          <t>R</t>
        </is>
      </c>
      <c r="AT1081" t="n">
        <v>1085</v>
      </c>
      <c r="AU1081">
        <f>'Recurring Log'!C1085&amp;""</f>
        <v/>
      </c>
      <c r="AV1081">
        <f>'Recurring Log'!D1085&amp;""</f>
        <v/>
      </c>
      <c r="AW1081">
        <f>IF('Recurring Log'!E1085="","",'Recurring Log'!E1085)</f>
        <v/>
      </c>
      <c r="AX1081">
        <f>IF('Recurring Log'!G1085="","",'Recurring Log'!G1085)</f>
        <v/>
      </c>
      <c r="AY1081">
        <f>IF('Recurring Log'!H1085="","",'Recurring Log'!H1085)</f>
        <v/>
      </c>
      <c r="AZ1081">
        <f>IF(AU1081="","",IF('Recurring Log'!J1085="","Not Started",'Recurring Log'!J1085))</f>
        <v/>
      </c>
      <c r="BA1081">
        <f>'Recurring Log'!L1085&amp;""</f>
        <v/>
      </c>
      <c r="BB1081">
        <f>'Recurring Log'!M1085&amp;""</f>
        <v/>
      </c>
      <c r="BC1081">
        <f>'Recurring Log'!N1085&amp;""</f>
        <v/>
      </c>
      <c r="BD1081">
        <f>'Recurring Log'!O1085&amp;""</f>
        <v/>
      </c>
      <c r="BE1081">
        <f>IF('Recurring Log'!K1085="","",'Recurring Log'!K1085)</f>
        <v/>
      </c>
      <c r="BF1081">
        <f>IFERROR(MATCH(BA1081,Setup!$L$6:$L$9,0),5)</f>
        <v/>
      </c>
      <c r="BG1081">
        <f>IF(OR(AZ1081="Done",AZ1081="Cancelled"),1,0)</f>
        <v/>
      </c>
      <c r="BH1081">
        <f>IF(AND(AU1081&lt;&gt;"",ISNUMBER(AW1081)),1,0)</f>
        <v/>
      </c>
      <c r="BI1081">
        <f>IF(BH1081=0,0,IF(AND(AW1081&gt;='Tasks Filter'!$F$3,AW1081&lt;='Tasks Filter'!$F$4,OR('Tasks Filter'!$I$3="",ISNUMBER(SEARCH('Tasks Filter'!$I$3,AU1081))),OR('Tasks Filter'!$I$4="",BF1081=IFERROR(MATCH('Tasks Filter'!$I$4,Setup!$L$6:$L$9,0),0)),OR('Tasks Filter'!$I$5="Both",AND('Tasks Filter'!$I$5="Yes",BB1081="✓"),AND('Tasks Filter'!$I$5="No",BB1081&lt;&gt;"✓")),OR('Tasks Filter'!$L$3="",AV1081='Tasks Filter'!$L$3),OR('Tasks Filter'!$L$4="",AZ1081='Tasks Filter'!$L$4),OR('Tasks Filter'!$L$5="",BC1081='Tasks Filter'!$L$5),OR('Tasks Filter'!$O$3="",BD1081='Tasks Filter'!$O$3),OR('Tasks Filter'!$O$4="Yes",BG1081=0)),1,0))</f>
        <v/>
      </c>
      <c r="BJ1081">
        <f>IF(BH1081=0,"",IF('Tasks Filter'!$F$6="Descending",-1,1)*CHOOSE(MATCH('Tasks Filter'!$F$5,Lists!$G$2:$G$6,0),AW1081,BF1081,IFERROR(MATCH(AV1081,Setup!$F$6:$F$15,0),99),IFERROR(MATCH(BC1081,Setup!$H$6:$H$15,0),99),IFERROR(MATCH(AZ1081,Setup!$J$6:$J$11,0),99))*1E+9+(AW1081-40000)*10000+1080)</f>
        <v/>
      </c>
      <c r="BK1081">
        <f>IF(BI1081=1,BJ1081,"")</f>
        <v/>
      </c>
      <c r="BL1081">
        <f>IF(AND(BH1081=1,BG1081=0,N(AW1081)&lt;Setup!$D$7),(AW1081-40000)*10000+1080,"")</f>
        <v/>
      </c>
      <c r="BM1081">
        <f>IF(AND(BH1081=1,AZ1081&lt;&gt;"Cancelled",N(AW1081)&gt;=Dashboard!$AB$3,N(AW1081)&lt;=Dashboard!$AB$3+6),(AW1081-40000)*100000+BF1081*10000+1080,"")</f>
        <v/>
      </c>
      <c r="BN1081">
        <f>IF(AND(BH1081=1,AZ1081&lt;&gt;"Cancelled"),BF1081*10000+1080,"")</f>
        <v/>
      </c>
    </row>
    <row r="1082">
      <c r="AS1082" t="inlineStr">
        <is>
          <t>R</t>
        </is>
      </c>
      <c r="AT1082" t="n">
        <v>1086</v>
      </c>
      <c r="AU1082">
        <f>'Recurring Log'!C1086&amp;""</f>
        <v/>
      </c>
      <c r="AV1082">
        <f>'Recurring Log'!D1086&amp;""</f>
        <v/>
      </c>
      <c r="AW1082">
        <f>IF('Recurring Log'!E1086="","",'Recurring Log'!E1086)</f>
        <v/>
      </c>
      <c r="AX1082">
        <f>IF('Recurring Log'!G1086="","",'Recurring Log'!G1086)</f>
        <v/>
      </c>
      <c r="AY1082">
        <f>IF('Recurring Log'!H1086="","",'Recurring Log'!H1086)</f>
        <v/>
      </c>
      <c r="AZ1082">
        <f>IF(AU1082="","",IF('Recurring Log'!J1086="","Not Started",'Recurring Log'!J1086))</f>
        <v/>
      </c>
      <c r="BA1082">
        <f>'Recurring Log'!L1086&amp;""</f>
        <v/>
      </c>
      <c r="BB1082">
        <f>'Recurring Log'!M1086&amp;""</f>
        <v/>
      </c>
      <c r="BC1082">
        <f>'Recurring Log'!N1086&amp;""</f>
        <v/>
      </c>
      <c r="BD1082">
        <f>'Recurring Log'!O1086&amp;""</f>
        <v/>
      </c>
      <c r="BE1082">
        <f>IF('Recurring Log'!K1086="","",'Recurring Log'!K1086)</f>
        <v/>
      </c>
      <c r="BF1082">
        <f>IFERROR(MATCH(BA1082,Setup!$L$6:$L$9,0),5)</f>
        <v/>
      </c>
      <c r="BG1082">
        <f>IF(OR(AZ1082="Done",AZ1082="Cancelled"),1,0)</f>
        <v/>
      </c>
      <c r="BH1082">
        <f>IF(AND(AU1082&lt;&gt;"",ISNUMBER(AW1082)),1,0)</f>
        <v/>
      </c>
      <c r="BI1082">
        <f>IF(BH1082=0,0,IF(AND(AW1082&gt;='Tasks Filter'!$F$3,AW1082&lt;='Tasks Filter'!$F$4,OR('Tasks Filter'!$I$3="",ISNUMBER(SEARCH('Tasks Filter'!$I$3,AU1082))),OR('Tasks Filter'!$I$4="",BF1082=IFERROR(MATCH('Tasks Filter'!$I$4,Setup!$L$6:$L$9,0),0)),OR('Tasks Filter'!$I$5="Both",AND('Tasks Filter'!$I$5="Yes",BB1082="✓"),AND('Tasks Filter'!$I$5="No",BB1082&lt;&gt;"✓")),OR('Tasks Filter'!$L$3="",AV1082='Tasks Filter'!$L$3),OR('Tasks Filter'!$L$4="",AZ1082='Tasks Filter'!$L$4),OR('Tasks Filter'!$L$5="",BC1082='Tasks Filter'!$L$5),OR('Tasks Filter'!$O$3="",BD1082='Tasks Filter'!$O$3),OR('Tasks Filter'!$O$4="Yes",BG1082=0)),1,0))</f>
        <v/>
      </c>
      <c r="BJ1082">
        <f>IF(BH1082=0,"",IF('Tasks Filter'!$F$6="Descending",-1,1)*CHOOSE(MATCH('Tasks Filter'!$F$5,Lists!$G$2:$G$6,0),AW1082,BF1082,IFERROR(MATCH(AV1082,Setup!$F$6:$F$15,0),99),IFERROR(MATCH(BC1082,Setup!$H$6:$H$15,0),99),IFERROR(MATCH(AZ1082,Setup!$J$6:$J$11,0),99))*1E+9+(AW1082-40000)*10000+1081)</f>
        <v/>
      </c>
      <c r="BK1082">
        <f>IF(BI1082=1,BJ1082,"")</f>
        <v/>
      </c>
      <c r="BL1082">
        <f>IF(AND(BH1082=1,BG1082=0,N(AW1082)&lt;Setup!$D$7),(AW1082-40000)*10000+1081,"")</f>
        <v/>
      </c>
      <c r="BM1082">
        <f>IF(AND(BH1082=1,AZ1082&lt;&gt;"Cancelled",N(AW1082)&gt;=Dashboard!$AB$3,N(AW1082)&lt;=Dashboard!$AB$3+6),(AW1082-40000)*100000+BF1082*10000+1081,"")</f>
        <v/>
      </c>
      <c r="BN1082">
        <f>IF(AND(BH1082=1,AZ1082&lt;&gt;"Cancelled"),BF1082*10000+1081,"")</f>
        <v/>
      </c>
    </row>
    <row r="1083">
      <c r="AS1083" t="inlineStr">
        <is>
          <t>R</t>
        </is>
      </c>
      <c r="AT1083" t="n">
        <v>1087</v>
      </c>
      <c r="AU1083">
        <f>'Recurring Log'!C1087&amp;""</f>
        <v/>
      </c>
      <c r="AV1083">
        <f>'Recurring Log'!D1087&amp;""</f>
        <v/>
      </c>
      <c r="AW1083">
        <f>IF('Recurring Log'!E1087="","",'Recurring Log'!E1087)</f>
        <v/>
      </c>
      <c r="AX1083">
        <f>IF('Recurring Log'!G1087="","",'Recurring Log'!G1087)</f>
        <v/>
      </c>
      <c r="AY1083">
        <f>IF('Recurring Log'!H1087="","",'Recurring Log'!H1087)</f>
        <v/>
      </c>
      <c r="AZ1083">
        <f>IF(AU1083="","",IF('Recurring Log'!J1087="","Not Started",'Recurring Log'!J1087))</f>
        <v/>
      </c>
      <c r="BA1083">
        <f>'Recurring Log'!L1087&amp;""</f>
        <v/>
      </c>
      <c r="BB1083">
        <f>'Recurring Log'!M1087&amp;""</f>
        <v/>
      </c>
      <c r="BC1083">
        <f>'Recurring Log'!N1087&amp;""</f>
        <v/>
      </c>
      <c r="BD1083">
        <f>'Recurring Log'!O1087&amp;""</f>
        <v/>
      </c>
      <c r="BE1083">
        <f>IF('Recurring Log'!K1087="","",'Recurring Log'!K1087)</f>
        <v/>
      </c>
      <c r="BF1083">
        <f>IFERROR(MATCH(BA1083,Setup!$L$6:$L$9,0),5)</f>
        <v/>
      </c>
      <c r="BG1083">
        <f>IF(OR(AZ1083="Done",AZ1083="Cancelled"),1,0)</f>
        <v/>
      </c>
      <c r="BH1083">
        <f>IF(AND(AU1083&lt;&gt;"",ISNUMBER(AW1083)),1,0)</f>
        <v/>
      </c>
      <c r="BI1083">
        <f>IF(BH1083=0,0,IF(AND(AW1083&gt;='Tasks Filter'!$F$3,AW1083&lt;='Tasks Filter'!$F$4,OR('Tasks Filter'!$I$3="",ISNUMBER(SEARCH('Tasks Filter'!$I$3,AU1083))),OR('Tasks Filter'!$I$4="",BF1083=IFERROR(MATCH('Tasks Filter'!$I$4,Setup!$L$6:$L$9,0),0)),OR('Tasks Filter'!$I$5="Both",AND('Tasks Filter'!$I$5="Yes",BB1083="✓"),AND('Tasks Filter'!$I$5="No",BB1083&lt;&gt;"✓")),OR('Tasks Filter'!$L$3="",AV1083='Tasks Filter'!$L$3),OR('Tasks Filter'!$L$4="",AZ1083='Tasks Filter'!$L$4),OR('Tasks Filter'!$L$5="",BC1083='Tasks Filter'!$L$5),OR('Tasks Filter'!$O$3="",BD1083='Tasks Filter'!$O$3),OR('Tasks Filter'!$O$4="Yes",BG1083=0)),1,0))</f>
        <v/>
      </c>
      <c r="BJ1083">
        <f>IF(BH1083=0,"",IF('Tasks Filter'!$F$6="Descending",-1,1)*CHOOSE(MATCH('Tasks Filter'!$F$5,Lists!$G$2:$G$6,0),AW1083,BF1083,IFERROR(MATCH(AV1083,Setup!$F$6:$F$15,0),99),IFERROR(MATCH(BC1083,Setup!$H$6:$H$15,0),99),IFERROR(MATCH(AZ1083,Setup!$J$6:$J$11,0),99))*1E+9+(AW1083-40000)*10000+1082)</f>
        <v/>
      </c>
      <c r="BK1083">
        <f>IF(BI1083=1,BJ1083,"")</f>
        <v/>
      </c>
      <c r="BL1083">
        <f>IF(AND(BH1083=1,BG1083=0,N(AW1083)&lt;Setup!$D$7),(AW1083-40000)*10000+1082,"")</f>
        <v/>
      </c>
      <c r="BM1083">
        <f>IF(AND(BH1083=1,AZ1083&lt;&gt;"Cancelled",N(AW1083)&gt;=Dashboard!$AB$3,N(AW1083)&lt;=Dashboard!$AB$3+6),(AW1083-40000)*100000+BF1083*10000+1082,"")</f>
        <v/>
      </c>
      <c r="BN1083">
        <f>IF(AND(BH1083=1,AZ1083&lt;&gt;"Cancelled"),BF1083*10000+1082,"")</f>
        <v/>
      </c>
    </row>
    <row r="1084">
      <c r="AS1084" t="inlineStr">
        <is>
          <t>R</t>
        </is>
      </c>
      <c r="AT1084" t="n">
        <v>1088</v>
      </c>
      <c r="AU1084">
        <f>'Recurring Log'!C1088&amp;""</f>
        <v/>
      </c>
      <c r="AV1084">
        <f>'Recurring Log'!D1088&amp;""</f>
        <v/>
      </c>
      <c r="AW1084">
        <f>IF('Recurring Log'!E1088="","",'Recurring Log'!E1088)</f>
        <v/>
      </c>
      <c r="AX1084">
        <f>IF('Recurring Log'!G1088="","",'Recurring Log'!G1088)</f>
        <v/>
      </c>
      <c r="AY1084">
        <f>IF('Recurring Log'!H1088="","",'Recurring Log'!H1088)</f>
        <v/>
      </c>
      <c r="AZ1084">
        <f>IF(AU1084="","",IF('Recurring Log'!J1088="","Not Started",'Recurring Log'!J1088))</f>
        <v/>
      </c>
      <c r="BA1084">
        <f>'Recurring Log'!L1088&amp;""</f>
        <v/>
      </c>
      <c r="BB1084">
        <f>'Recurring Log'!M1088&amp;""</f>
        <v/>
      </c>
      <c r="BC1084">
        <f>'Recurring Log'!N1088&amp;""</f>
        <v/>
      </c>
      <c r="BD1084">
        <f>'Recurring Log'!O1088&amp;""</f>
        <v/>
      </c>
      <c r="BE1084">
        <f>IF('Recurring Log'!K1088="","",'Recurring Log'!K1088)</f>
        <v/>
      </c>
      <c r="BF1084">
        <f>IFERROR(MATCH(BA1084,Setup!$L$6:$L$9,0),5)</f>
        <v/>
      </c>
      <c r="BG1084">
        <f>IF(OR(AZ1084="Done",AZ1084="Cancelled"),1,0)</f>
        <v/>
      </c>
      <c r="BH1084">
        <f>IF(AND(AU1084&lt;&gt;"",ISNUMBER(AW1084)),1,0)</f>
        <v/>
      </c>
      <c r="BI1084">
        <f>IF(BH1084=0,0,IF(AND(AW1084&gt;='Tasks Filter'!$F$3,AW1084&lt;='Tasks Filter'!$F$4,OR('Tasks Filter'!$I$3="",ISNUMBER(SEARCH('Tasks Filter'!$I$3,AU1084))),OR('Tasks Filter'!$I$4="",BF1084=IFERROR(MATCH('Tasks Filter'!$I$4,Setup!$L$6:$L$9,0),0)),OR('Tasks Filter'!$I$5="Both",AND('Tasks Filter'!$I$5="Yes",BB1084="✓"),AND('Tasks Filter'!$I$5="No",BB1084&lt;&gt;"✓")),OR('Tasks Filter'!$L$3="",AV1084='Tasks Filter'!$L$3),OR('Tasks Filter'!$L$4="",AZ1084='Tasks Filter'!$L$4),OR('Tasks Filter'!$L$5="",BC1084='Tasks Filter'!$L$5),OR('Tasks Filter'!$O$3="",BD1084='Tasks Filter'!$O$3),OR('Tasks Filter'!$O$4="Yes",BG1084=0)),1,0))</f>
        <v/>
      </c>
      <c r="BJ1084">
        <f>IF(BH1084=0,"",IF('Tasks Filter'!$F$6="Descending",-1,1)*CHOOSE(MATCH('Tasks Filter'!$F$5,Lists!$G$2:$G$6,0),AW1084,BF1084,IFERROR(MATCH(AV1084,Setup!$F$6:$F$15,0),99),IFERROR(MATCH(BC1084,Setup!$H$6:$H$15,0),99),IFERROR(MATCH(AZ1084,Setup!$J$6:$J$11,0),99))*1E+9+(AW1084-40000)*10000+1083)</f>
        <v/>
      </c>
      <c r="BK1084">
        <f>IF(BI1084=1,BJ1084,"")</f>
        <v/>
      </c>
      <c r="BL1084">
        <f>IF(AND(BH1084=1,BG1084=0,N(AW1084)&lt;Setup!$D$7),(AW1084-40000)*10000+1083,"")</f>
        <v/>
      </c>
      <c r="BM1084">
        <f>IF(AND(BH1084=1,AZ1084&lt;&gt;"Cancelled",N(AW1084)&gt;=Dashboard!$AB$3,N(AW1084)&lt;=Dashboard!$AB$3+6),(AW1084-40000)*100000+BF1084*10000+1083,"")</f>
        <v/>
      </c>
      <c r="BN1084">
        <f>IF(AND(BH1084=1,AZ1084&lt;&gt;"Cancelled"),BF1084*10000+1083,"")</f>
        <v/>
      </c>
    </row>
    <row r="1085">
      <c r="AS1085" t="inlineStr">
        <is>
          <t>R</t>
        </is>
      </c>
      <c r="AT1085" t="n">
        <v>1089</v>
      </c>
      <c r="AU1085">
        <f>'Recurring Log'!C1089&amp;""</f>
        <v/>
      </c>
      <c r="AV1085">
        <f>'Recurring Log'!D1089&amp;""</f>
        <v/>
      </c>
      <c r="AW1085">
        <f>IF('Recurring Log'!E1089="","",'Recurring Log'!E1089)</f>
        <v/>
      </c>
      <c r="AX1085">
        <f>IF('Recurring Log'!G1089="","",'Recurring Log'!G1089)</f>
        <v/>
      </c>
      <c r="AY1085">
        <f>IF('Recurring Log'!H1089="","",'Recurring Log'!H1089)</f>
        <v/>
      </c>
      <c r="AZ1085">
        <f>IF(AU1085="","",IF('Recurring Log'!J1089="","Not Started",'Recurring Log'!J1089))</f>
        <v/>
      </c>
      <c r="BA1085">
        <f>'Recurring Log'!L1089&amp;""</f>
        <v/>
      </c>
      <c r="BB1085">
        <f>'Recurring Log'!M1089&amp;""</f>
        <v/>
      </c>
      <c r="BC1085">
        <f>'Recurring Log'!N1089&amp;""</f>
        <v/>
      </c>
      <c r="BD1085">
        <f>'Recurring Log'!O1089&amp;""</f>
        <v/>
      </c>
      <c r="BE1085">
        <f>IF('Recurring Log'!K1089="","",'Recurring Log'!K1089)</f>
        <v/>
      </c>
      <c r="BF1085">
        <f>IFERROR(MATCH(BA1085,Setup!$L$6:$L$9,0),5)</f>
        <v/>
      </c>
      <c r="BG1085">
        <f>IF(OR(AZ1085="Done",AZ1085="Cancelled"),1,0)</f>
        <v/>
      </c>
      <c r="BH1085">
        <f>IF(AND(AU1085&lt;&gt;"",ISNUMBER(AW1085)),1,0)</f>
        <v/>
      </c>
      <c r="BI1085">
        <f>IF(BH1085=0,0,IF(AND(AW1085&gt;='Tasks Filter'!$F$3,AW1085&lt;='Tasks Filter'!$F$4,OR('Tasks Filter'!$I$3="",ISNUMBER(SEARCH('Tasks Filter'!$I$3,AU1085))),OR('Tasks Filter'!$I$4="",BF1085=IFERROR(MATCH('Tasks Filter'!$I$4,Setup!$L$6:$L$9,0),0)),OR('Tasks Filter'!$I$5="Both",AND('Tasks Filter'!$I$5="Yes",BB1085="✓"),AND('Tasks Filter'!$I$5="No",BB1085&lt;&gt;"✓")),OR('Tasks Filter'!$L$3="",AV1085='Tasks Filter'!$L$3),OR('Tasks Filter'!$L$4="",AZ1085='Tasks Filter'!$L$4),OR('Tasks Filter'!$L$5="",BC1085='Tasks Filter'!$L$5),OR('Tasks Filter'!$O$3="",BD1085='Tasks Filter'!$O$3),OR('Tasks Filter'!$O$4="Yes",BG1085=0)),1,0))</f>
        <v/>
      </c>
      <c r="BJ1085">
        <f>IF(BH1085=0,"",IF('Tasks Filter'!$F$6="Descending",-1,1)*CHOOSE(MATCH('Tasks Filter'!$F$5,Lists!$G$2:$G$6,0),AW1085,BF1085,IFERROR(MATCH(AV1085,Setup!$F$6:$F$15,0),99),IFERROR(MATCH(BC1085,Setup!$H$6:$H$15,0),99),IFERROR(MATCH(AZ1085,Setup!$J$6:$J$11,0),99))*1E+9+(AW1085-40000)*10000+1084)</f>
        <v/>
      </c>
      <c r="BK1085">
        <f>IF(BI1085=1,BJ1085,"")</f>
        <v/>
      </c>
      <c r="BL1085">
        <f>IF(AND(BH1085=1,BG1085=0,N(AW1085)&lt;Setup!$D$7),(AW1085-40000)*10000+1084,"")</f>
        <v/>
      </c>
      <c r="BM1085">
        <f>IF(AND(BH1085=1,AZ1085&lt;&gt;"Cancelled",N(AW1085)&gt;=Dashboard!$AB$3,N(AW1085)&lt;=Dashboard!$AB$3+6),(AW1085-40000)*100000+BF1085*10000+1084,"")</f>
        <v/>
      </c>
      <c r="BN1085">
        <f>IF(AND(BH1085=1,AZ1085&lt;&gt;"Cancelled"),BF1085*10000+1084,"")</f>
        <v/>
      </c>
    </row>
    <row r="1086">
      <c r="AS1086" t="inlineStr">
        <is>
          <t>R</t>
        </is>
      </c>
      <c r="AT1086" t="n">
        <v>1090</v>
      </c>
      <c r="AU1086">
        <f>'Recurring Log'!C1090&amp;""</f>
        <v/>
      </c>
      <c r="AV1086">
        <f>'Recurring Log'!D1090&amp;""</f>
        <v/>
      </c>
      <c r="AW1086">
        <f>IF('Recurring Log'!E1090="","",'Recurring Log'!E1090)</f>
        <v/>
      </c>
      <c r="AX1086">
        <f>IF('Recurring Log'!G1090="","",'Recurring Log'!G1090)</f>
        <v/>
      </c>
      <c r="AY1086">
        <f>IF('Recurring Log'!H1090="","",'Recurring Log'!H1090)</f>
        <v/>
      </c>
      <c r="AZ1086">
        <f>IF(AU1086="","",IF('Recurring Log'!J1090="","Not Started",'Recurring Log'!J1090))</f>
        <v/>
      </c>
      <c r="BA1086">
        <f>'Recurring Log'!L1090&amp;""</f>
        <v/>
      </c>
      <c r="BB1086">
        <f>'Recurring Log'!M1090&amp;""</f>
        <v/>
      </c>
      <c r="BC1086">
        <f>'Recurring Log'!N1090&amp;""</f>
        <v/>
      </c>
      <c r="BD1086">
        <f>'Recurring Log'!O1090&amp;""</f>
        <v/>
      </c>
      <c r="BE1086">
        <f>IF('Recurring Log'!K1090="","",'Recurring Log'!K1090)</f>
        <v/>
      </c>
      <c r="BF1086">
        <f>IFERROR(MATCH(BA1086,Setup!$L$6:$L$9,0),5)</f>
        <v/>
      </c>
      <c r="BG1086">
        <f>IF(OR(AZ1086="Done",AZ1086="Cancelled"),1,0)</f>
        <v/>
      </c>
      <c r="BH1086">
        <f>IF(AND(AU1086&lt;&gt;"",ISNUMBER(AW1086)),1,0)</f>
        <v/>
      </c>
      <c r="BI1086">
        <f>IF(BH1086=0,0,IF(AND(AW1086&gt;='Tasks Filter'!$F$3,AW1086&lt;='Tasks Filter'!$F$4,OR('Tasks Filter'!$I$3="",ISNUMBER(SEARCH('Tasks Filter'!$I$3,AU1086))),OR('Tasks Filter'!$I$4="",BF1086=IFERROR(MATCH('Tasks Filter'!$I$4,Setup!$L$6:$L$9,0),0)),OR('Tasks Filter'!$I$5="Both",AND('Tasks Filter'!$I$5="Yes",BB1086="✓"),AND('Tasks Filter'!$I$5="No",BB1086&lt;&gt;"✓")),OR('Tasks Filter'!$L$3="",AV1086='Tasks Filter'!$L$3),OR('Tasks Filter'!$L$4="",AZ1086='Tasks Filter'!$L$4),OR('Tasks Filter'!$L$5="",BC1086='Tasks Filter'!$L$5),OR('Tasks Filter'!$O$3="",BD1086='Tasks Filter'!$O$3),OR('Tasks Filter'!$O$4="Yes",BG1086=0)),1,0))</f>
        <v/>
      </c>
      <c r="BJ1086">
        <f>IF(BH1086=0,"",IF('Tasks Filter'!$F$6="Descending",-1,1)*CHOOSE(MATCH('Tasks Filter'!$F$5,Lists!$G$2:$G$6,0),AW1086,BF1086,IFERROR(MATCH(AV1086,Setup!$F$6:$F$15,0),99),IFERROR(MATCH(BC1086,Setup!$H$6:$H$15,0),99),IFERROR(MATCH(AZ1086,Setup!$J$6:$J$11,0),99))*1E+9+(AW1086-40000)*10000+1085)</f>
        <v/>
      </c>
      <c r="BK1086">
        <f>IF(BI1086=1,BJ1086,"")</f>
        <v/>
      </c>
      <c r="BL1086">
        <f>IF(AND(BH1086=1,BG1086=0,N(AW1086)&lt;Setup!$D$7),(AW1086-40000)*10000+1085,"")</f>
        <v/>
      </c>
      <c r="BM1086">
        <f>IF(AND(BH1086=1,AZ1086&lt;&gt;"Cancelled",N(AW1086)&gt;=Dashboard!$AB$3,N(AW1086)&lt;=Dashboard!$AB$3+6),(AW1086-40000)*100000+BF1086*10000+1085,"")</f>
        <v/>
      </c>
      <c r="BN1086">
        <f>IF(AND(BH1086=1,AZ1086&lt;&gt;"Cancelled"),BF1086*10000+1085,"")</f>
        <v/>
      </c>
    </row>
    <row r="1087">
      <c r="AS1087" t="inlineStr">
        <is>
          <t>R</t>
        </is>
      </c>
      <c r="AT1087" t="n">
        <v>1091</v>
      </c>
      <c r="AU1087">
        <f>'Recurring Log'!C1091&amp;""</f>
        <v/>
      </c>
      <c r="AV1087">
        <f>'Recurring Log'!D1091&amp;""</f>
        <v/>
      </c>
      <c r="AW1087">
        <f>IF('Recurring Log'!E1091="","",'Recurring Log'!E1091)</f>
        <v/>
      </c>
      <c r="AX1087">
        <f>IF('Recurring Log'!G1091="","",'Recurring Log'!G1091)</f>
        <v/>
      </c>
      <c r="AY1087">
        <f>IF('Recurring Log'!H1091="","",'Recurring Log'!H1091)</f>
        <v/>
      </c>
      <c r="AZ1087">
        <f>IF(AU1087="","",IF('Recurring Log'!J1091="","Not Started",'Recurring Log'!J1091))</f>
        <v/>
      </c>
      <c r="BA1087">
        <f>'Recurring Log'!L1091&amp;""</f>
        <v/>
      </c>
      <c r="BB1087">
        <f>'Recurring Log'!M1091&amp;""</f>
        <v/>
      </c>
      <c r="BC1087">
        <f>'Recurring Log'!N1091&amp;""</f>
        <v/>
      </c>
      <c r="BD1087">
        <f>'Recurring Log'!O1091&amp;""</f>
        <v/>
      </c>
      <c r="BE1087">
        <f>IF('Recurring Log'!K1091="","",'Recurring Log'!K1091)</f>
        <v/>
      </c>
      <c r="BF1087">
        <f>IFERROR(MATCH(BA1087,Setup!$L$6:$L$9,0),5)</f>
        <v/>
      </c>
      <c r="BG1087">
        <f>IF(OR(AZ1087="Done",AZ1087="Cancelled"),1,0)</f>
        <v/>
      </c>
      <c r="BH1087">
        <f>IF(AND(AU1087&lt;&gt;"",ISNUMBER(AW1087)),1,0)</f>
        <v/>
      </c>
      <c r="BI1087">
        <f>IF(BH1087=0,0,IF(AND(AW1087&gt;='Tasks Filter'!$F$3,AW1087&lt;='Tasks Filter'!$F$4,OR('Tasks Filter'!$I$3="",ISNUMBER(SEARCH('Tasks Filter'!$I$3,AU1087))),OR('Tasks Filter'!$I$4="",BF1087=IFERROR(MATCH('Tasks Filter'!$I$4,Setup!$L$6:$L$9,0),0)),OR('Tasks Filter'!$I$5="Both",AND('Tasks Filter'!$I$5="Yes",BB1087="✓"),AND('Tasks Filter'!$I$5="No",BB1087&lt;&gt;"✓")),OR('Tasks Filter'!$L$3="",AV1087='Tasks Filter'!$L$3),OR('Tasks Filter'!$L$4="",AZ1087='Tasks Filter'!$L$4),OR('Tasks Filter'!$L$5="",BC1087='Tasks Filter'!$L$5),OR('Tasks Filter'!$O$3="",BD1087='Tasks Filter'!$O$3),OR('Tasks Filter'!$O$4="Yes",BG1087=0)),1,0))</f>
        <v/>
      </c>
      <c r="BJ1087">
        <f>IF(BH1087=0,"",IF('Tasks Filter'!$F$6="Descending",-1,1)*CHOOSE(MATCH('Tasks Filter'!$F$5,Lists!$G$2:$G$6,0),AW1087,BF1087,IFERROR(MATCH(AV1087,Setup!$F$6:$F$15,0),99),IFERROR(MATCH(BC1087,Setup!$H$6:$H$15,0),99),IFERROR(MATCH(AZ1087,Setup!$J$6:$J$11,0),99))*1E+9+(AW1087-40000)*10000+1086)</f>
        <v/>
      </c>
      <c r="BK1087">
        <f>IF(BI1087=1,BJ1087,"")</f>
        <v/>
      </c>
      <c r="BL1087">
        <f>IF(AND(BH1087=1,BG1087=0,N(AW1087)&lt;Setup!$D$7),(AW1087-40000)*10000+1086,"")</f>
        <v/>
      </c>
      <c r="BM1087">
        <f>IF(AND(BH1087=1,AZ1087&lt;&gt;"Cancelled",N(AW1087)&gt;=Dashboard!$AB$3,N(AW1087)&lt;=Dashboard!$AB$3+6),(AW1087-40000)*100000+BF1087*10000+1086,"")</f>
        <v/>
      </c>
      <c r="BN1087">
        <f>IF(AND(BH1087=1,AZ1087&lt;&gt;"Cancelled"),BF1087*10000+1086,"")</f>
        <v/>
      </c>
    </row>
    <row r="1088">
      <c r="AS1088" t="inlineStr">
        <is>
          <t>R</t>
        </is>
      </c>
      <c r="AT1088" t="n">
        <v>1092</v>
      </c>
      <c r="AU1088">
        <f>'Recurring Log'!C1092&amp;""</f>
        <v/>
      </c>
      <c r="AV1088">
        <f>'Recurring Log'!D1092&amp;""</f>
        <v/>
      </c>
      <c r="AW1088">
        <f>IF('Recurring Log'!E1092="","",'Recurring Log'!E1092)</f>
        <v/>
      </c>
      <c r="AX1088">
        <f>IF('Recurring Log'!G1092="","",'Recurring Log'!G1092)</f>
        <v/>
      </c>
      <c r="AY1088">
        <f>IF('Recurring Log'!H1092="","",'Recurring Log'!H1092)</f>
        <v/>
      </c>
      <c r="AZ1088">
        <f>IF(AU1088="","",IF('Recurring Log'!J1092="","Not Started",'Recurring Log'!J1092))</f>
        <v/>
      </c>
      <c r="BA1088">
        <f>'Recurring Log'!L1092&amp;""</f>
        <v/>
      </c>
      <c r="BB1088">
        <f>'Recurring Log'!M1092&amp;""</f>
        <v/>
      </c>
      <c r="BC1088">
        <f>'Recurring Log'!N1092&amp;""</f>
        <v/>
      </c>
      <c r="BD1088">
        <f>'Recurring Log'!O1092&amp;""</f>
        <v/>
      </c>
      <c r="BE1088">
        <f>IF('Recurring Log'!K1092="","",'Recurring Log'!K1092)</f>
        <v/>
      </c>
      <c r="BF1088">
        <f>IFERROR(MATCH(BA1088,Setup!$L$6:$L$9,0),5)</f>
        <v/>
      </c>
      <c r="BG1088">
        <f>IF(OR(AZ1088="Done",AZ1088="Cancelled"),1,0)</f>
        <v/>
      </c>
      <c r="BH1088">
        <f>IF(AND(AU1088&lt;&gt;"",ISNUMBER(AW1088)),1,0)</f>
        <v/>
      </c>
      <c r="BI1088">
        <f>IF(BH1088=0,0,IF(AND(AW1088&gt;='Tasks Filter'!$F$3,AW1088&lt;='Tasks Filter'!$F$4,OR('Tasks Filter'!$I$3="",ISNUMBER(SEARCH('Tasks Filter'!$I$3,AU1088))),OR('Tasks Filter'!$I$4="",BF1088=IFERROR(MATCH('Tasks Filter'!$I$4,Setup!$L$6:$L$9,0),0)),OR('Tasks Filter'!$I$5="Both",AND('Tasks Filter'!$I$5="Yes",BB1088="✓"),AND('Tasks Filter'!$I$5="No",BB1088&lt;&gt;"✓")),OR('Tasks Filter'!$L$3="",AV1088='Tasks Filter'!$L$3),OR('Tasks Filter'!$L$4="",AZ1088='Tasks Filter'!$L$4),OR('Tasks Filter'!$L$5="",BC1088='Tasks Filter'!$L$5),OR('Tasks Filter'!$O$3="",BD1088='Tasks Filter'!$O$3),OR('Tasks Filter'!$O$4="Yes",BG1088=0)),1,0))</f>
        <v/>
      </c>
      <c r="BJ1088">
        <f>IF(BH1088=0,"",IF('Tasks Filter'!$F$6="Descending",-1,1)*CHOOSE(MATCH('Tasks Filter'!$F$5,Lists!$G$2:$G$6,0),AW1088,BF1088,IFERROR(MATCH(AV1088,Setup!$F$6:$F$15,0),99),IFERROR(MATCH(BC1088,Setup!$H$6:$H$15,0),99),IFERROR(MATCH(AZ1088,Setup!$J$6:$J$11,0),99))*1E+9+(AW1088-40000)*10000+1087)</f>
        <v/>
      </c>
      <c r="BK1088">
        <f>IF(BI1088=1,BJ1088,"")</f>
        <v/>
      </c>
      <c r="BL1088">
        <f>IF(AND(BH1088=1,BG1088=0,N(AW1088)&lt;Setup!$D$7),(AW1088-40000)*10000+1087,"")</f>
        <v/>
      </c>
      <c r="BM1088">
        <f>IF(AND(BH1088=1,AZ1088&lt;&gt;"Cancelled",N(AW1088)&gt;=Dashboard!$AB$3,N(AW1088)&lt;=Dashboard!$AB$3+6),(AW1088-40000)*100000+BF1088*10000+1087,"")</f>
        <v/>
      </c>
      <c r="BN1088">
        <f>IF(AND(BH1088=1,AZ1088&lt;&gt;"Cancelled"),BF1088*10000+1087,"")</f>
        <v/>
      </c>
    </row>
    <row r="1089">
      <c r="AS1089" t="inlineStr">
        <is>
          <t>R</t>
        </is>
      </c>
      <c r="AT1089" t="n">
        <v>1093</v>
      </c>
      <c r="AU1089">
        <f>'Recurring Log'!C1093&amp;""</f>
        <v/>
      </c>
      <c r="AV1089">
        <f>'Recurring Log'!D1093&amp;""</f>
        <v/>
      </c>
      <c r="AW1089">
        <f>IF('Recurring Log'!E1093="","",'Recurring Log'!E1093)</f>
        <v/>
      </c>
      <c r="AX1089">
        <f>IF('Recurring Log'!G1093="","",'Recurring Log'!G1093)</f>
        <v/>
      </c>
      <c r="AY1089">
        <f>IF('Recurring Log'!H1093="","",'Recurring Log'!H1093)</f>
        <v/>
      </c>
      <c r="AZ1089">
        <f>IF(AU1089="","",IF('Recurring Log'!J1093="","Not Started",'Recurring Log'!J1093))</f>
        <v/>
      </c>
      <c r="BA1089">
        <f>'Recurring Log'!L1093&amp;""</f>
        <v/>
      </c>
      <c r="BB1089">
        <f>'Recurring Log'!M1093&amp;""</f>
        <v/>
      </c>
      <c r="BC1089">
        <f>'Recurring Log'!N1093&amp;""</f>
        <v/>
      </c>
      <c r="BD1089">
        <f>'Recurring Log'!O1093&amp;""</f>
        <v/>
      </c>
      <c r="BE1089">
        <f>IF('Recurring Log'!K1093="","",'Recurring Log'!K1093)</f>
        <v/>
      </c>
      <c r="BF1089">
        <f>IFERROR(MATCH(BA1089,Setup!$L$6:$L$9,0),5)</f>
        <v/>
      </c>
      <c r="BG1089">
        <f>IF(OR(AZ1089="Done",AZ1089="Cancelled"),1,0)</f>
        <v/>
      </c>
      <c r="BH1089">
        <f>IF(AND(AU1089&lt;&gt;"",ISNUMBER(AW1089)),1,0)</f>
        <v/>
      </c>
      <c r="BI1089">
        <f>IF(BH1089=0,0,IF(AND(AW1089&gt;='Tasks Filter'!$F$3,AW1089&lt;='Tasks Filter'!$F$4,OR('Tasks Filter'!$I$3="",ISNUMBER(SEARCH('Tasks Filter'!$I$3,AU1089))),OR('Tasks Filter'!$I$4="",BF1089=IFERROR(MATCH('Tasks Filter'!$I$4,Setup!$L$6:$L$9,0),0)),OR('Tasks Filter'!$I$5="Both",AND('Tasks Filter'!$I$5="Yes",BB1089="✓"),AND('Tasks Filter'!$I$5="No",BB1089&lt;&gt;"✓")),OR('Tasks Filter'!$L$3="",AV1089='Tasks Filter'!$L$3),OR('Tasks Filter'!$L$4="",AZ1089='Tasks Filter'!$L$4),OR('Tasks Filter'!$L$5="",BC1089='Tasks Filter'!$L$5),OR('Tasks Filter'!$O$3="",BD1089='Tasks Filter'!$O$3),OR('Tasks Filter'!$O$4="Yes",BG1089=0)),1,0))</f>
        <v/>
      </c>
      <c r="BJ1089">
        <f>IF(BH1089=0,"",IF('Tasks Filter'!$F$6="Descending",-1,1)*CHOOSE(MATCH('Tasks Filter'!$F$5,Lists!$G$2:$G$6,0),AW1089,BF1089,IFERROR(MATCH(AV1089,Setup!$F$6:$F$15,0),99),IFERROR(MATCH(BC1089,Setup!$H$6:$H$15,0),99),IFERROR(MATCH(AZ1089,Setup!$J$6:$J$11,0),99))*1E+9+(AW1089-40000)*10000+1088)</f>
        <v/>
      </c>
      <c r="BK1089">
        <f>IF(BI1089=1,BJ1089,"")</f>
        <v/>
      </c>
      <c r="BL1089">
        <f>IF(AND(BH1089=1,BG1089=0,N(AW1089)&lt;Setup!$D$7),(AW1089-40000)*10000+1088,"")</f>
        <v/>
      </c>
      <c r="BM1089">
        <f>IF(AND(BH1089=1,AZ1089&lt;&gt;"Cancelled",N(AW1089)&gt;=Dashboard!$AB$3,N(AW1089)&lt;=Dashboard!$AB$3+6),(AW1089-40000)*100000+BF1089*10000+1088,"")</f>
        <v/>
      </c>
      <c r="BN1089">
        <f>IF(AND(BH1089=1,AZ1089&lt;&gt;"Cancelled"),BF1089*10000+1088,"")</f>
        <v/>
      </c>
    </row>
    <row r="1090">
      <c r="AS1090" t="inlineStr">
        <is>
          <t>R</t>
        </is>
      </c>
      <c r="AT1090" t="n">
        <v>1094</v>
      </c>
      <c r="AU1090">
        <f>'Recurring Log'!C1094&amp;""</f>
        <v/>
      </c>
      <c r="AV1090">
        <f>'Recurring Log'!D1094&amp;""</f>
        <v/>
      </c>
      <c r="AW1090">
        <f>IF('Recurring Log'!E1094="","",'Recurring Log'!E1094)</f>
        <v/>
      </c>
      <c r="AX1090">
        <f>IF('Recurring Log'!G1094="","",'Recurring Log'!G1094)</f>
        <v/>
      </c>
      <c r="AY1090">
        <f>IF('Recurring Log'!H1094="","",'Recurring Log'!H1094)</f>
        <v/>
      </c>
      <c r="AZ1090">
        <f>IF(AU1090="","",IF('Recurring Log'!J1094="","Not Started",'Recurring Log'!J1094))</f>
        <v/>
      </c>
      <c r="BA1090">
        <f>'Recurring Log'!L1094&amp;""</f>
        <v/>
      </c>
      <c r="BB1090">
        <f>'Recurring Log'!M1094&amp;""</f>
        <v/>
      </c>
      <c r="BC1090">
        <f>'Recurring Log'!N1094&amp;""</f>
        <v/>
      </c>
      <c r="BD1090">
        <f>'Recurring Log'!O1094&amp;""</f>
        <v/>
      </c>
      <c r="BE1090">
        <f>IF('Recurring Log'!K1094="","",'Recurring Log'!K1094)</f>
        <v/>
      </c>
      <c r="BF1090">
        <f>IFERROR(MATCH(BA1090,Setup!$L$6:$L$9,0),5)</f>
        <v/>
      </c>
      <c r="BG1090">
        <f>IF(OR(AZ1090="Done",AZ1090="Cancelled"),1,0)</f>
        <v/>
      </c>
      <c r="BH1090">
        <f>IF(AND(AU1090&lt;&gt;"",ISNUMBER(AW1090)),1,0)</f>
        <v/>
      </c>
      <c r="BI1090">
        <f>IF(BH1090=0,0,IF(AND(AW1090&gt;='Tasks Filter'!$F$3,AW1090&lt;='Tasks Filter'!$F$4,OR('Tasks Filter'!$I$3="",ISNUMBER(SEARCH('Tasks Filter'!$I$3,AU1090))),OR('Tasks Filter'!$I$4="",BF1090=IFERROR(MATCH('Tasks Filter'!$I$4,Setup!$L$6:$L$9,0),0)),OR('Tasks Filter'!$I$5="Both",AND('Tasks Filter'!$I$5="Yes",BB1090="✓"),AND('Tasks Filter'!$I$5="No",BB1090&lt;&gt;"✓")),OR('Tasks Filter'!$L$3="",AV1090='Tasks Filter'!$L$3),OR('Tasks Filter'!$L$4="",AZ1090='Tasks Filter'!$L$4),OR('Tasks Filter'!$L$5="",BC1090='Tasks Filter'!$L$5),OR('Tasks Filter'!$O$3="",BD1090='Tasks Filter'!$O$3),OR('Tasks Filter'!$O$4="Yes",BG1090=0)),1,0))</f>
        <v/>
      </c>
      <c r="BJ1090">
        <f>IF(BH1090=0,"",IF('Tasks Filter'!$F$6="Descending",-1,1)*CHOOSE(MATCH('Tasks Filter'!$F$5,Lists!$G$2:$G$6,0),AW1090,BF1090,IFERROR(MATCH(AV1090,Setup!$F$6:$F$15,0),99),IFERROR(MATCH(BC1090,Setup!$H$6:$H$15,0),99),IFERROR(MATCH(AZ1090,Setup!$J$6:$J$11,0),99))*1E+9+(AW1090-40000)*10000+1089)</f>
        <v/>
      </c>
      <c r="BK1090">
        <f>IF(BI1090=1,BJ1090,"")</f>
        <v/>
      </c>
      <c r="BL1090">
        <f>IF(AND(BH1090=1,BG1090=0,N(AW1090)&lt;Setup!$D$7),(AW1090-40000)*10000+1089,"")</f>
        <v/>
      </c>
      <c r="BM1090">
        <f>IF(AND(BH1090=1,AZ1090&lt;&gt;"Cancelled",N(AW1090)&gt;=Dashboard!$AB$3,N(AW1090)&lt;=Dashboard!$AB$3+6),(AW1090-40000)*100000+BF1090*10000+1089,"")</f>
        <v/>
      </c>
      <c r="BN1090">
        <f>IF(AND(BH1090=1,AZ1090&lt;&gt;"Cancelled"),BF1090*10000+1089,"")</f>
        <v/>
      </c>
    </row>
    <row r="1091">
      <c r="AS1091" t="inlineStr">
        <is>
          <t>R</t>
        </is>
      </c>
      <c r="AT1091" t="n">
        <v>1095</v>
      </c>
      <c r="AU1091">
        <f>'Recurring Log'!C1095&amp;""</f>
        <v/>
      </c>
      <c r="AV1091">
        <f>'Recurring Log'!D1095&amp;""</f>
        <v/>
      </c>
      <c r="AW1091">
        <f>IF('Recurring Log'!E1095="","",'Recurring Log'!E1095)</f>
        <v/>
      </c>
      <c r="AX1091">
        <f>IF('Recurring Log'!G1095="","",'Recurring Log'!G1095)</f>
        <v/>
      </c>
      <c r="AY1091">
        <f>IF('Recurring Log'!H1095="","",'Recurring Log'!H1095)</f>
        <v/>
      </c>
      <c r="AZ1091">
        <f>IF(AU1091="","",IF('Recurring Log'!J1095="","Not Started",'Recurring Log'!J1095))</f>
        <v/>
      </c>
      <c r="BA1091">
        <f>'Recurring Log'!L1095&amp;""</f>
        <v/>
      </c>
      <c r="BB1091">
        <f>'Recurring Log'!M1095&amp;""</f>
        <v/>
      </c>
      <c r="BC1091">
        <f>'Recurring Log'!N1095&amp;""</f>
        <v/>
      </c>
      <c r="BD1091">
        <f>'Recurring Log'!O1095&amp;""</f>
        <v/>
      </c>
      <c r="BE1091">
        <f>IF('Recurring Log'!K1095="","",'Recurring Log'!K1095)</f>
        <v/>
      </c>
      <c r="BF1091">
        <f>IFERROR(MATCH(BA1091,Setup!$L$6:$L$9,0),5)</f>
        <v/>
      </c>
      <c r="BG1091">
        <f>IF(OR(AZ1091="Done",AZ1091="Cancelled"),1,0)</f>
        <v/>
      </c>
      <c r="BH1091">
        <f>IF(AND(AU1091&lt;&gt;"",ISNUMBER(AW1091)),1,0)</f>
        <v/>
      </c>
      <c r="BI1091">
        <f>IF(BH1091=0,0,IF(AND(AW1091&gt;='Tasks Filter'!$F$3,AW1091&lt;='Tasks Filter'!$F$4,OR('Tasks Filter'!$I$3="",ISNUMBER(SEARCH('Tasks Filter'!$I$3,AU1091))),OR('Tasks Filter'!$I$4="",BF1091=IFERROR(MATCH('Tasks Filter'!$I$4,Setup!$L$6:$L$9,0),0)),OR('Tasks Filter'!$I$5="Both",AND('Tasks Filter'!$I$5="Yes",BB1091="✓"),AND('Tasks Filter'!$I$5="No",BB1091&lt;&gt;"✓")),OR('Tasks Filter'!$L$3="",AV1091='Tasks Filter'!$L$3),OR('Tasks Filter'!$L$4="",AZ1091='Tasks Filter'!$L$4),OR('Tasks Filter'!$L$5="",BC1091='Tasks Filter'!$L$5),OR('Tasks Filter'!$O$3="",BD1091='Tasks Filter'!$O$3),OR('Tasks Filter'!$O$4="Yes",BG1091=0)),1,0))</f>
        <v/>
      </c>
      <c r="BJ1091">
        <f>IF(BH1091=0,"",IF('Tasks Filter'!$F$6="Descending",-1,1)*CHOOSE(MATCH('Tasks Filter'!$F$5,Lists!$G$2:$G$6,0),AW1091,BF1091,IFERROR(MATCH(AV1091,Setup!$F$6:$F$15,0),99),IFERROR(MATCH(BC1091,Setup!$H$6:$H$15,0),99),IFERROR(MATCH(AZ1091,Setup!$J$6:$J$11,0),99))*1E+9+(AW1091-40000)*10000+1090)</f>
        <v/>
      </c>
      <c r="BK1091">
        <f>IF(BI1091=1,BJ1091,"")</f>
        <v/>
      </c>
      <c r="BL1091">
        <f>IF(AND(BH1091=1,BG1091=0,N(AW1091)&lt;Setup!$D$7),(AW1091-40000)*10000+1090,"")</f>
        <v/>
      </c>
      <c r="BM1091">
        <f>IF(AND(BH1091=1,AZ1091&lt;&gt;"Cancelled",N(AW1091)&gt;=Dashboard!$AB$3,N(AW1091)&lt;=Dashboard!$AB$3+6),(AW1091-40000)*100000+BF1091*10000+1090,"")</f>
        <v/>
      </c>
      <c r="BN1091">
        <f>IF(AND(BH1091=1,AZ1091&lt;&gt;"Cancelled"),BF1091*10000+1090,"")</f>
        <v/>
      </c>
    </row>
    <row r="1092">
      <c r="AS1092" t="inlineStr">
        <is>
          <t>R</t>
        </is>
      </c>
      <c r="AT1092" t="n">
        <v>1096</v>
      </c>
      <c r="AU1092">
        <f>'Recurring Log'!C1096&amp;""</f>
        <v/>
      </c>
      <c r="AV1092">
        <f>'Recurring Log'!D1096&amp;""</f>
        <v/>
      </c>
      <c r="AW1092">
        <f>IF('Recurring Log'!E1096="","",'Recurring Log'!E1096)</f>
        <v/>
      </c>
      <c r="AX1092">
        <f>IF('Recurring Log'!G1096="","",'Recurring Log'!G1096)</f>
        <v/>
      </c>
      <c r="AY1092">
        <f>IF('Recurring Log'!H1096="","",'Recurring Log'!H1096)</f>
        <v/>
      </c>
      <c r="AZ1092">
        <f>IF(AU1092="","",IF('Recurring Log'!J1096="","Not Started",'Recurring Log'!J1096))</f>
        <v/>
      </c>
      <c r="BA1092">
        <f>'Recurring Log'!L1096&amp;""</f>
        <v/>
      </c>
      <c r="BB1092">
        <f>'Recurring Log'!M1096&amp;""</f>
        <v/>
      </c>
      <c r="BC1092">
        <f>'Recurring Log'!N1096&amp;""</f>
        <v/>
      </c>
      <c r="BD1092">
        <f>'Recurring Log'!O1096&amp;""</f>
        <v/>
      </c>
      <c r="BE1092">
        <f>IF('Recurring Log'!K1096="","",'Recurring Log'!K1096)</f>
        <v/>
      </c>
      <c r="BF1092">
        <f>IFERROR(MATCH(BA1092,Setup!$L$6:$L$9,0),5)</f>
        <v/>
      </c>
      <c r="BG1092">
        <f>IF(OR(AZ1092="Done",AZ1092="Cancelled"),1,0)</f>
        <v/>
      </c>
      <c r="BH1092">
        <f>IF(AND(AU1092&lt;&gt;"",ISNUMBER(AW1092)),1,0)</f>
        <v/>
      </c>
      <c r="BI1092">
        <f>IF(BH1092=0,0,IF(AND(AW1092&gt;='Tasks Filter'!$F$3,AW1092&lt;='Tasks Filter'!$F$4,OR('Tasks Filter'!$I$3="",ISNUMBER(SEARCH('Tasks Filter'!$I$3,AU1092))),OR('Tasks Filter'!$I$4="",BF1092=IFERROR(MATCH('Tasks Filter'!$I$4,Setup!$L$6:$L$9,0),0)),OR('Tasks Filter'!$I$5="Both",AND('Tasks Filter'!$I$5="Yes",BB1092="✓"),AND('Tasks Filter'!$I$5="No",BB1092&lt;&gt;"✓")),OR('Tasks Filter'!$L$3="",AV1092='Tasks Filter'!$L$3),OR('Tasks Filter'!$L$4="",AZ1092='Tasks Filter'!$L$4),OR('Tasks Filter'!$L$5="",BC1092='Tasks Filter'!$L$5),OR('Tasks Filter'!$O$3="",BD1092='Tasks Filter'!$O$3),OR('Tasks Filter'!$O$4="Yes",BG1092=0)),1,0))</f>
        <v/>
      </c>
      <c r="BJ1092">
        <f>IF(BH1092=0,"",IF('Tasks Filter'!$F$6="Descending",-1,1)*CHOOSE(MATCH('Tasks Filter'!$F$5,Lists!$G$2:$G$6,0),AW1092,BF1092,IFERROR(MATCH(AV1092,Setup!$F$6:$F$15,0),99),IFERROR(MATCH(BC1092,Setup!$H$6:$H$15,0),99),IFERROR(MATCH(AZ1092,Setup!$J$6:$J$11,0),99))*1E+9+(AW1092-40000)*10000+1091)</f>
        <v/>
      </c>
      <c r="BK1092">
        <f>IF(BI1092=1,BJ1092,"")</f>
        <v/>
      </c>
      <c r="BL1092">
        <f>IF(AND(BH1092=1,BG1092=0,N(AW1092)&lt;Setup!$D$7),(AW1092-40000)*10000+1091,"")</f>
        <v/>
      </c>
      <c r="BM1092">
        <f>IF(AND(BH1092=1,AZ1092&lt;&gt;"Cancelled",N(AW1092)&gt;=Dashboard!$AB$3,N(AW1092)&lt;=Dashboard!$AB$3+6),(AW1092-40000)*100000+BF1092*10000+1091,"")</f>
        <v/>
      </c>
      <c r="BN1092">
        <f>IF(AND(BH1092=1,AZ1092&lt;&gt;"Cancelled"),BF1092*10000+1091,"")</f>
        <v/>
      </c>
    </row>
    <row r="1093">
      <c r="AS1093" t="inlineStr">
        <is>
          <t>R</t>
        </is>
      </c>
      <c r="AT1093" t="n">
        <v>1097</v>
      </c>
      <c r="AU1093">
        <f>'Recurring Log'!C1097&amp;""</f>
        <v/>
      </c>
      <c r="AV1093">
        <f>'Recurring Log'!D1097&amp;""</f>
        <v/>
      </c>
      <c r="AW1093">
        <f>IF('Recurring Log'!E1097="","",'Recurring Log'!E1097)</f>
        <v/>
      </c>
      <c r="AX1093">
        <f>IF('Recurring Log'!G1097="","",'Recurring Log'!G1097)</f>
        <v/>
      </c>
      <c r="AY1093">
        <f>IF('Recurring Log'!H1097="","",'Recurring Log'!H1097)</f>
        <v/>
      </c>
      <c r="AZ1093">
        <f>IF(AU1093="","",IF('Recurring Log'!J1097="","Not Started",'Recurring Log'!J1097))</f>
        <v/>
      </c>
      <c r="BA1093">
        <f>'Recurring Log'!L1097&amp;""</f>
        <v/>
      </c>
      <c r="BB1093">
        <f>'Recurring Log'!M1097&amp;""</f>
        <v/>
      </c>
      <c r="BC1093">
        <f>'Recurring Log'!N1097&amp;""</f>
        <v/>
      </c>
      <c r="BD1093">
        <f>'Recurring Log'!O1097&amp;""</f>
        <v/>
      </c>
      <c r="BE1093">
        <f>IF('Recurring Log'!K1097="","",'Recurring Log'!K1097)</f>
        <v/>
      </c>
      <c r="BF1093">
        <f>IFERROR(MATCH(BA1093,Setup!$L$6:$L$9,0),5)</f>
        <v/>
      </c>
      <c r="BG1093">
        <f>IF(OR(AZ1093="Done",AZ1093="Cancelled"),1,0)</f>
        <v/>
      </c>
      <c r="BH1093">
        <f>IF(AND(AU1093&lt;&gt;"",ISNUMBER(AW1093)),1,0)</f>
        <v/>
      </c>
      <c r="BI1093">
        <f>IF(BH1093=0,0,IF(AND(AW1093&gt;='Tasks Filter'!$F$3,AW1093&lt;='Tasks Filter'!$F$4,OR('Tasks Filter'!$I$3="",ISNUMBER(SEARCH('Tasks Filter'!$I$3,AU1093))),OR('Tasks Filter'!$I$4="",BF1093=IFERROR(MATCH('Tasks Filter'!$I$4,Setup!$L$6:$L$9,0),0)),OR('Tasks Filter'!$I$5="Both",AND('Tasks Filter'!$I$5="Yes",BB1093="✓"),AND('Tasks Filter'!$I$5="No",BB1093&lt;&gt;"✓")),OR('Tasks Filter'!$L$3="",AV1093='Tasks Filter'!$L$3),OR('Tasks Filter'!$L$4="",AZ1093='Tasks Filter'!$L$4),OR('Tasks Filter'!$L$5="",BC1093='Tasks Filter'!$L$5),OR('Tasks Filter'!$O$3="",BD1093='Tasks Filter'!$O$3),OR('Tasks Filter'!$O$4="Yes",BG1093=0)),1,0))</f>
        <v/>
      </c>
      <c r="BJ1093">
        <f>IF(BH1093=0,"",IF('Tasks Filter'!$F$6="Descending",-1,1)*CHOOSE(MATCH('Tasks Filter'!$F$5,Lists!$G$2:$G$6,0),AW1093,BF1093,IFERROR(MATCH(AV1093,Setup!$F$6:$F$15,0),99),IFERROR(MATCH(BC1093,Setup!$H$6:$H$15,0),99),IFERROR(MATCH(AZ1093,Setup!$J$6:$J$11,0),99))*1E+9+(AW1093-40000)*10000+1092)</f>
        <v/>
      </c>
      <c r="BK1093">
        <f>IF(BI1093=1,BJ1093,"")</f>
        <v/>
      </c>
      <c r="BL1093">
        <f>IF(AND(BH1093=1,BG1093=0,N(AW1093)&lt;Setup!$D$7),(AW1093-40000)*10000+1092,"")</f>
        <v/>
      </c>
      <c r="BM1093">
        <f>IF(AND(BH1093=1,AZ1093&lt;&gt;"Cancelled",N(AW1093)&gt;=Dashboard!$AB$3,N(AW1093)&lt;=Dashboard!$AB$3+6),(AW1093-40000)*100000+BF1093*10000+1092,"")</f>
        <v/>
      </c>
      <c r="BN1093">
        <f>IF(AND(BH1093=1,AZ1093&lt;&gt;"Cancelled"),BF1093*10000+1092,"")</f>
        <v/>
      </c>
    </row>
    <row r="1094">
      <c r="AS1094" t="inlineStr">
        <is>
          <t>R</t>
        </is>
      </c>
      <c r="AT1094" t="n">
        <v>1098</v>
      </c>
      <c r="AU1094">
        <f>'Recurring Log'!C1098&amp;""</f>
        <v/>
      </c>
      <c r="AV1094">
        <f>'Recurring Log'!D1098&amp;""</f>
        <v/>
      </c>
      <c r="AW1094">
        <f>IF('Recurring Log'!E1098="","",'Recurring Log'!E1098)</f>
        <v/>
      </c>
      <c r="AX1094">
        <f>IF('Recurring Log'!G1098="","",'Recurring Log'!G1098)</f>
        <v/>
      </c>
      <c r="AY1094">
        <f>IF('Recurring Log'!H1098="","",'Recurring Log'!H1098)</f>
        <v/>
      </c>
      <c r="AZ1094">
        <f>IF(AU1094="","",IF('Recurring Log'!J1098="","Not Started",'Recurring Log'!J1098))</f>
        <v/>
      </c>
      <c r="BA1094">
        <f>'Recurring Log'!L1098&amp;""</f>
        <v/>
      </c>
      <c r="BB1094">
        <f>'Recurring Log'!M1098&amp;""</f>
        <v/>
      </c>
      <c r="BC1094">
        <f>'Recurring Log'!N1098&amp;""</f>
        <v/>
      </c>
      <c r="BD1094">
        <f>'Recurring Log'!O1098&amp;""</f>
        <v/>
      </c>
      <c r="BE1094">
        <f>IF('Recurring Log'!K1098="","",'Recurring Log'!K1098)</f>
        <v/>
      </c>
      <c r="BF1094">
        <f>IFERROR(MATCH(BA1094,Setup!$L$6:$L$9,0),5)</f>
        <v/>
      </c>
      <c r="BG1094">
        <f>IF(OR(AZ1094="Done",AZ1094="Cancelled"),1,0)</f>
        <v/>
      </c>
      <c r="BH1094">
        <f>IF(AND(AU1094&lt;&gt;"",ISNUMBER(AW1094)),1,0)</f>
        <v/>
      </c>
      <c r="BI1094">
        <f>IF(BH1094=0,0,IF(AND(AW1094&gt;='Tasks Filter'!$F$3,AW1094&lt;='Tasks Filter'!$F$4,OR('Tasks Filter'!$I$3="",ISNUMBER(SEARCH('Tasks Filter'!$I$3,AU1094))),OR('Tasks Filter'!$I$4="",BF1094=IFERROR(MATCH('Tasks Filter'!$I$4,Setup!$L$6:$L$9,0),0)),OR('Tasks Filter'!$I$5="Both",AND('Tasks Filter'!$I$5="Yes",BB1094="✓"),AND('Tasks Filter'!$I$5="No",BB1094&lt;&gt;"✓")),OR('Tasks Filter'!$L$3="",AV1094='Tasks Filter'!$L$3),OR('Tasks Filter'!$L$4="",AZ1094='Tasks Filter'!$L$4),OR('Tasks Filter'!$L$5="",BC1094='Tasks Filter'!$L$5),OR('Tasks Filter'!$O$3="",BD1094='Tasks Filter'!$O$3),OR('Tasks Filter'!$O$4="Yes",BG1094=0)),1,0))</f>
        <v/>
      </c>
      <c r="BJ1094">
        <f>IF(BH1094=0,"",IF('Tasks Filter'!$F$6="Descending",-1,1)*CHOOSE(MATCH('Tasks Filter'!$F$5,Lists!$G$2:$G$6,0),AW1094,BF1094,IFERROR(MATCH(AV1094,Setup!$F$6:$F$15,0),99),IFERROR(MATCH(BC1094,Setup!$H$6:$H$15,0),99),IFERROR(MATCH(AZ1094,Setup!$J$6:$J$11,0),99))*1E+9+(AW1094-40000)*10000+1093)</f>
        <v/>
      </c>
      <c r="BK1094">
        <f>IF(BI1094=1,BJ1094,"")</f>
        <v/>
      </c>
      <c r="BL1094">
        <f>IF(AND(BH1094=1,BG1094=0,N(AW1094)&lt;Setup!$D$7),(AW1094-40000)*10000+1093,"")</f>
        <v/>
      </c>
      <c r="BM1094">
        <f>IF(AND(BH1094=1,AZ1094&lt;&gt;"Cancelled",N(AW1094)&gt;=Dashboard!$AB$3,N(AW1094)&lt;=Dashboard!$AB$3+6),(AW1094-40000)*100000+BF1094*10000+1093,"")</f>
        <v/>
      </c>
      <c r="BN1094">
        <f>IF(AND(BH1094=1,AZ1094&lt;&gt;"Cancelled"),BF1094*10000+1093,"")</f>
        <v/>
      </c>
    </row>
    <row r="1095">
      <c r="AS1095" t="inlineStr">
        <is>
          <t>R</t>
        </is>
      </c>
      <c r="AT1095" t="n">
        <v>1099</v>
      </c>
      <c r="AU1095">
        <f>'Recurring Log'!C1099&amp;""</f>
        <v/>
      </c>
      <c r="AV1095">
        <f>'Recurring Log'!D1099&amp;""</f>
        <v/>
      </c>
      <c r="AW1095">
        <f>IF('Recurring Log'!E1099="","",'Recurring Log'!E1099)</f>
        <v/>
      </c>
      <c r="AX1095">
        <f>IF('Recurring Log'!G1099="","",'Recurring Log'!G1099)</f>
        <v/>
      </c>
      <c r="AY1095">
        <f>IF('Recurring Log'!H1099="","",'Recurring Log'!H1099)</f>
        <v/>
      </c>
      <c r="AZ1095">
        <f>IF(AU1095="","",IF('Recurring Log'!J1099="","Not Started",'Recurring Log'!J1099))</f>
        <v/>
      </c>
      <c r="BA1095">
        <f>'Recurring Log'!L1099&amp;""</f>
        <v/>
      </c>
      <c r="BB1095">
        <f>'Recurring Log'!M1099&amp;""</f>
        <v/>
      </c>
      <c r="BC1095">
        <f>'Recurring Log'!N1099&amp;""</f>
        <v/>
      </c>
      <c r="BD1095">
        <f>'Recurring Log'!O1099&amp;""</f>
        <v/>
      </c>
      <c r="BE1095">
        <f>IF('Recurring Log'!K1099="","",'Recurring Log'!K1099)</f>
        <v/>
      </c>
      <c r="BF1095">
        <f>IFERROR(MATCH(BA1095,Setup!$L$6:$L$9,0),5)</f>
        <v/>
      </c>
      <c r="BG1095">
        <f>IF(OR(AZ1095="Done",AZ1095="Cancelled"),1,0)</f>
        <v/>
      </c>
      <c r="BH1095">
        <f>IF(AND(AU1095&lt;&gt;"",ISNUMBER(AW1095)),1,0)</f>
        <v/>
      </c>
      <c r="BI1095">
        <f>IF(BH1095=0,0,IF(AND(AW1095&gt;='Tasks Filter'!$F$3,AW1095&lt;='Tasks Filter'!$F$4,OR('Tasks Filter'!$I$3="",ISNUMBER(SEARCH('Tasks Filter'!$I$3,AU1095))),OR('Tasks Filter'!$I$4="",BF1095=IFERROR(MATCH('Tasks Filter'!$I$4,Setup!$L$6:$L$9,0),0)),OR('Tasks Filter'!$I$5="Both",AND('Tasks Filter'!$I$5="Yes",BB1095="✓"),AND('Tasks Filter'!$I$5="No",BB1095&lt;&gt;"✓")),OR('Tasks Filter'!$L$3="",AV1095='Tasks Filter'!$L$3),OR('Tasks Filter'!$L$4="",AZ1095='Tasks Filter'!$L$4),OR('Tasks Filter'!$L$5="",BC1095='Tasks Filter'!$L$5),OR('Tasks Filter'!$O$3="",BD1095='Tasks Filter'!$O$3),OR('Tasks Filter'!$O$4="Yes",BG1095=0)),1,0))</f>
        <v/>
      </c>
      <c r="BJ1095">
        <f>IF(BH1095=0,"",IF('Tasks Filter'!$F$6="Descending",-1,1)*CHOOSE(MATCH('Tasks Filter'!$F$5,Lists!$G$2:$G$6,0),AW1095,BF1095,IFERROR(MATCH(AV1095,Setup!$F$6:$F$15,0),99),IFERROR(MATCH(BC1095,Setup!$H$6:$H$15,0),99),IFERROR(MATCH(AZ1095,Setup!$J$6:$J$11,0),99))*1E+9+(AW1095-40000)*10000+1094)</f>
        <v/>
      </c>
      <c r="BK1095">
        <f>IF(BI1095=1,BJ1095,"")</f>
        <v/>
      </c>
      <c r="BL1095">
        <f>IF(AND(BH1095=1,BG1095=0,N(AW1095)&lt;Setup!$D$7),(AW1095-40000)*10000+1094,"")</f>
        <v/>
      </c>
      <c r="BM1095">
        <f>IF(AND(BH1095=1,AZ1095&lt;&gt;"Cancelled",N(AW1095)&gt;=Dashboard!$AB$3,N(AW1095)&lt;=Dashboard!$AB$3+6),(AW1095-40000)*100000+BF1095*10000+1094,"")</f>
        <v/>
      </c>
      <c r="BN1095">
        <f>IF(AND(BH1095=1,AZ1095&lt;&gt;"Cancelled"),BF1095*10000+1094,"")</f>
        <v/>
      </c>
    </row>
    <row r="1096">
      <c r="AS1096" t="inlineStr">
        <is>
          <t>R</t>
        </is>
      </c>
      <c r="AT1096" t="n">
        <v>1100</v>
      </c>
      <c r="AU1096">
        <f>'Recurring Log'!C1100&amp;""</f>
        <v/>
      </c>
      <c r="AV1096">
        <f>'Recurring Log'!D1100&amp;""</f>
        <v/>
      </c>
      <c r="AW1096">
        <f>IF('Recurring Log'!E1100="","",'Recurring Log'!E1100)</f>
        <v/>
      </c>
      <c r="AX1096">
        <f>IF('Recurring Log'!G1100="","",'Recurring Log'!G1100)</f>
        <v/>
      </c>
      <c r="AY1096">
        <f>IF('Recurring Log'!H1100="","",'Recurring Log'!H1100)</f>
        <v/>
      </c>
      <c r="AZ1096">
        <f>IF(AU1096="","",IF('Recurring Log'!J1100="","Not Started",'Recurring Log'!J1100))</f>
        <v/>
      </c>
      <c r="BA1096">
        <f>'Recurring Log'!L1100&amp;""</f>
        <v/>
      </c>
      <c r="BB1096">
        <f>'Recurring Log'!M1100&amp;""</f>
        <v/>
      </c>
      <c r="BC1096">
        <f>'Recurring Log'!N1100&amp;""</f>
        <v/>
      </c>
      <c r="BD1096">
        <f>'Recurring Log'!O1100&amp;""</f>
        <v/>
      </c>
      <c r="BE1096">
        <f>IF('Recurring Log'!K1100="","",'Recurring Log'!K1100)</f>
        <v/>
      </c>
      <c r="BF1096">
        <f>IFERROR(MATCH(BA1096,Setup!$L$6:$L$9,0),5)</f>
        <v/>
      </c>
      <c r="BG1096">
        <f>IF(OR(AZ1096="Done",AZ1096="Cancelled"),1,0)</f>
        <v/>
      </c>
      <c r="BH1096">
        <f>IF(AND(AU1096&lt;&gt;"",ISNUMBER(AW1096)),1,0)</f>
        <v/>
      </c>
      <c r="BI1096">
        <f>IF(BH1096=0,0,IF(AND(AW1096&gt;='Tasks Filter'!$F$3,AW1096&lt;='Tasks Filter'!$F$4,OR('Tasks Filter'!$I$3="",ISNUMBER(SEARCH('Tasks Filter'!$I$3,AU1096))),OR('Tasks Filter'!$I$4="",BF1096=IFERROR(MATCH('Tasks Filter'!$I$4,Setup!$L$6:$L$9,0),0)),OR('Tasks Filter'!$I$5="Both",AND('Tasks Filter'!$I$5="Yes",BB1096="✓"),AND('Tasks Filter'!$I$5="No",BB1096&lt;&gt;"✓")),OR('Tasks Filter'!$L$3="",AV1096='Tasks Filter'!$L$3),OR('Tasks Filter'!$L$4="",AZ1096='Tasks Filter'!$L$4),OR('Tasks Filter'!$L$5="",BC1096='Tasks Filter'!$L$5),OR('Tasks Filter'!$O$3="",BD1096='Tasks Filter'!$O$3),OR('Tasks Filter'!$O$4="Yes",BG1096=0)),1,0))</f>
        <v/>
      </c>
      <c r="BJ1096">
        <f>IF(BH1096=0,"",IF('Tasks Filter'!$F$6="Descending",-1,1)*CHOOSE(MATCH('Tasks Filter'!$F$5,Lists!$G$2:$G$6,0),AW1096,BF1096,IFERROR(MATCH(AV1096,Setup!$F$6:$F$15,0),99),IFERROR(MATCH(BC1096,Setup!$H$6:$H$15,0),99),IFERROR(MATCH(AZ1096,Setup!$J$6:$J$11,0),99))*1E+9+(AW1096-40000)*10000+1095)</f>
        <v/>
      </c>
      <c r="BK1096">
        <f>IF(BI1096=1,BJ1096,"")</f>
        <v/>
      </c>
      <c r="BL1096">
        <f>IF(AND(BH1096=1,BG1096=0,N(AW1096)&lt;Setup!$D$7),(AW1096-40000)*10000+1095,"")</f>
        <v/>
      </c>
      <c r="BM1096">
        <f>IF(AND(BH1096=1,AZ1096&lt;&gt;"Cancelled",N(AW1096)&gt;=Dashboard!$AB$3,N(AW1096)&lt;=Dashboard!$AB$3+6),(AW1096-40000)*100000+BF1096*10000+1095,"")</f>
        <v/>
      </c>
      <c r="BN1096">
        <f>IF(AND(BH1096=1,AZ1096&lt;&gt;"Cancelled"),BF1096*10000+1095,"")</f>
        <v/>
      </c>
    </row>
    <row r="1097">
      <c r="AS1097" t="inlineStr">
        <is>
          <t>R</t>
        </is>
      </c>
      <c r="AT1097" t="n">
        <v>1101</v>
      </c>
      <c r="AU1097">
        <f>'Recurring Log'!C1101&amp;""</f>
        <v/>
      </c>
      <c r="AV1097">
        <f>'Recurring Log'!D1101&amp;""</f>
        <v/>
      </c>
      <c r="AW1097">
        <f>IF('Recurring Log'!E1101="","",'Recurring Log'!E1101)</f>
        <v/>
      </c>
      <c r="AX1097">
        <f>IF('Recurring Log'!G1101="","",'Recurring Log'!G1101)</f>
        <v/>
      </c>
      <c r="AY1097">
        <f>IF('Recurring Log'!H1101="","",'Recurring Log'!H1101)</f>
        <v/>
      </c>
      <c r="AZ1097">
        <f>IF(AU1097="","",IF('Recurring Log'!J1101="","Not Started",'Recurring Log'!J1101))</f>
        <v/>
      </c>
      <c r="BA1097">
        <f>'Recurring Log'!L1101&amp;""</f>
        <v/>
      </c>
      <c r="BB1097">
        <f>'Recurring Log'!M1101&amp;""</f>
        <v/>
      </c>
      <c r="BC1097">
        <f>'Recurring Log'!N1101&amp;""</f>
        <v/>
      </c>
      <c r="BD1097">
        <f>'Recurring Log'!O1101&amp;""</f>
        <v/>
      </c>
      <c r="BE1097">
        <f>IF('Recurring Log'!K1101="","",'Recurring Log'!K1101)</f>
        <v/>
      </c>
      <c r="BF1097">
        <f>IFERROR(MATCH(BA1097,Setup!$L$6:$L$9,0),5)</f>
        <v/>
      </c>
      <c r="BG1097">
        <f>IF(OR(AZ1097="Done",AZ1097="Cancelled"),1,0)</f>
        <v/>
      </c>
      <c r="BH1097">
        <f>IF(AND(AU1097&lt;&gt;"",ISNUMBER(AW1097)),1,0)</f>
        <v/>
      </c>
      <c r="BI1097">
        <f>IF(BH1097=0,0,IF(AND(AW1097&gt;='Tasks Filter'!$F$3,AW1097&lt;='Tasks Filter'!$F$4,OR('Tasks Filter'!$I$3="",ISNUMBER(SEARCH('Tasks Filter'!$I$3,AU1097))),OR('Tasks Filter'!$I$4="",BF1097=IFERROR(MATCH('Tasks Filter'!$I$4,Setup!$L$6:$L$9,0),0)),OR('Tasks Filter'!$I$5="Both",AND('Tasks Filter'!$I$5="Yes",BB1097="✓"),AND('Tasks Filter'!$I$5="No",BB1097&lt;&gt;"✓")),OR('Tasks Filter'!$L$3="",AV1097='Tasks Filter'!$L$3),OR('Tasks Filter'!$L$4="",AZ1097='Tasks Filter'!$L$4),OR('Tasks Filter'!$L$5="",BC1097='Tasks Filter'!$L$5),OR('Tasks Filter'!$O$3="",BD1097='Tasks Filter'!$O$3),OR('Tasks Filter'!$O$4="Yes",BG1097=0)),1,0))</f>
        <v/>
      </c>
      <c r="BJ1097">
        <f>IF(BH1097=0,"",IF('Tasks Filter'!$F$6="Descending",-1,1)*CHOOSE(MATCH('Tasks Filter'!$F$5,Lists!$G$2:$G$6,0),AW1097,BF1097,IFERROR(MATCH(AV1097,Setup!$F$6:$F$15,0),99),IFERROR(MATCH(BC1097,Setup!$H$6:$H$15,0),99),IFERROR(MATCH(AZ1097,Setup!$J$6:$J$11,0),99))*1E+9+(AW1097-40000)*10000+1096)</f>
        <v/>
      </c>
      <c r="BK1097">
        <f>IF(BI1097=1,BJ1097,"")</f>
        <v/>
      </c>
      <c r="BL1097">
        <f>IF(AND(BH1097=1,BG1097=0,N(AW1097)&lt;Setup!$D$7),(AW1097-40000)*10000+1096,"")</f>
        <v/>
      </c>
      <c r="BM1097">
        <f>IF(AND(BH1097=1,AZ1097&lt;&gt;"Cancelled",N(AW1097)&gt;=Dashboard!$AB$3,N(AW1097)&lt;=Dashboard!$AB$3+6),(AW1097-40000)*100000+BF1097*10000+1096,"")</f>
        <v/>
      </c>
      <c r="BN1097">
        <f>IF(AND(BH1097=1,AZ1097&lt;&gt;"Cancelled"),BF1097*10000+1096,"")</f>
        <v/>
      </c>
    </row>
    <row r="1098">
      <c r="AS1098" t="inlineStr">
        <is>
          <t>R</t>
        </is>
      </c>
      <c r="AT1098" t="n">
        <v>1102</v>
      </c>
      <c r="AU1098">
        <f>'Recurring Log'!C1102&amp;""</f>
        <v/>
      </c>
      <c r="AV1098">
        <f>'Recurring Log'!D1102&amp;""</f>
        <v/>
      </c>
      <c r="AW1098">
        <f>IF('Recurring Log'!E1102="","",'Recurring Log'!E1102)</f>
        <v/>
      </c>
      <c r="AX1098">
        <f>IF('Recurring Log'!G1102="","",'Recurring Log'!G1102)</f>
        <v/>
      </c>
      <c r="AY1098">
        <f>IF('Recurring Log'!H1102="","",'Recurring Log'!H1102)</f>
        <v/>
      </c>
      <c r="AZ1098">
        <f>IF(AU1098="","",IF('Recurring Log'!J1102="","Not Started",'Recurring Log'!J1102))</f>
        <v/>
      </c>
      <c r="BA1098">
        <f>'Recurring Log'!L1102&amp;""</f>
        <v/>
      </c>
      <c r="BB1098">
        <f>'Recurring Log'!M1102&amp;""</f>
        <v/>
      </c>
      <c r="BC1098">
        <f>'Recurring Log'!N1102&amp;""</f>
        <v/>
      </c>
      <c r="BD1098">
        <f>'Recurring Log'!O1102&amp;""</f>
        <v/>
      </c>
      <c r="BE1098">
        <f>IF('Recurring Log'!K1102="","",'Recurring Log'!K1102)</f>
        <v/>
      </c>
      <c r="BF1098">
        <f>IFERROR(MATCH(BA1098,Setup!$L$6:$L$9,0),5)</f>
        <v/>
      </c>
      <c r="BG1098">
        <f>IF(OR(AZ1098="Done",AZ1098="Cancelled"),1,0)</f>
        <v/>
      </c>
      <c r="BH1098">
        <f>IF(AND(AU1098&lt;&gt;"",ISNUMBER(AW1098)),1,0)</f>
        <v/>
      </c>
      <c r="BI1098">
        <f>IF(BH1098=0,0,IF(AND(AW1098&gt;='Tasks Filter'!$F$3,AW1098&lt;='Tasks Filter'!$F$4,OR('Tasks Filter'!$I$3="",ISNUMBER(SEARCH('Tasks Filter'!$I$3,AU1098))),OR('Tasks Filter'!$I$4="",BF1098=IFERROR(MATCH('Tasks Filter'!$I$4,Setup!$L$6:$L$9,0),0)),OR('Tasks Filter'!$I$5="Both",AND('Tasks Filter'!$I$5="Yes",BB1098="✓"),AND('Tasks Filter'!$I$5="No",BB1098&lt;&gt;"✓")),OR('Tasks Filter'!$L$3="",AV1098='Tasks Filter'!$L$3),OR('Tasks Filter'!$L$4="",AZ1098='Tasks Filter'!$L$4),OR('Tasks Filter'!$L$5="",BC1098='Tasks Filter'!$L$5),OR('Tasks Filter'!$O$3="",BD1098='Tasks Filter'!$O$3),OR('Tasks Filter'!$O$4="Yes",BG1098=0)),1,0))</f>
        <v/>
      </c>
      <c r="BJ1098">
        <f>IF(BH1098=0,"",IF('Tasks Filter'!$F$6="Descending",-1,1)*CHOOSE(MATCH('Tasks Filter'!$F$5,Lists!$G$2:$G$6,0),AW1098,BF1098,IFERROR(MATCH(AV1098,Setup!$F$6:$F$15,0),99),IFERROR(MATCH(BC1098,Setup!$H$6:$H$15,0),99),IFERROR(MATCH(AZ1098,Setup!$J$6:$J$11,0),99))*1E+9+(AW1098-40000)*10000+1097)</f>
        <v/>
      </c>
      <c r="BK1098">
        <f>IF(BI1098=1,BJ1098,"")</f>
        <v/>
      </c>
      <c r="BL1098">
        <f>IF(AND(BH1098=1,BG1098=0,N(AW1098)&lt;Setup!$D$7),(AW1098-40000)*10000+1097,"")</f>
        <v/>
      </c>
      <c r="BM1098">
        <f>IF(AND(BH1098=1,AZ1098&lt;&gt;"Cancelled",N(AW1098)&gt;=Dashboard!$AB$3,N(AW1098)&lt;=Dashboard!$AB$3+6),(AW1098-40000)*100000+BF1098*10000+1097,"")</f>
        <v/>
      </c>
      <c r="BN1098">
        <f>IF(AND(BH1098=1,AZ1098&lt;&gt;"Cancelled"),BF1098*10000+1097,"")</f>
        <v/>
      </c>
    </row>
    <row r="1099">
      <c r="AS1099" t="inlineStr">
        <is>
          <t>R</t>
        </is>
      </c>
      <c r="AT1099" t="n">
        <v>1103</v>
      </c>
      <c r="AU1099">
        <f>'Recurring Log'!C1103&amp;""</f>
        <v/>
      </c>
      <c r="AV1099">
        <f>'Recurring Log'!D1103&amp;""</f>
        <v/>
      </c>
      <c r="AW1099">
        <f>IF('Recurring Log'!E1103="","",'Recurring Log'!E1103)</f>
        <v/>
      </c>
      <c r="AX1099">
        <f>IF('Recurring Log'!G1103="","",'Recurring Log'!G1103)</f>
        <v/>
      </c>
      <c r="AY1099">
        <f>IF('Recurring Log'!H1103="","",'Recurring Log'!H1103)</f>
        <v/>
      </c>
      <c r="AZ1099">
        <f>IF(AU1099="","",IF('Recurring Log'!J1103="","Not Started",'Recurring Log'!J1103))</f>
        <v/>
      </c>
      <c r="BA1099">
        <f>'Recurring Log'!L1103&amp;""</f>
        <v/>
      </c>
      <c r="BB1099">
        <f>'Recurring Log'!M1103&amp;""</f>
        <v/>
      </c>
      <c r="BC1099">
        <f>'Recurring Log'!N1103&amp;""</f>
        <v/>
      </c>
      <c r="BD1099">
        <f>'Recurring Log'!O1103&amp;""</f>
        <v/>
      </c>
      <c r="BE1099">
        <f>IF('Recurring Log'!K1103="","",'Recurring Log'!K1103)</f>
        <v/>
      </c>
      <c r="BF1099">
        <f>IFERROR(MATCH(BA1099,Setup!$L$6:$L$9,0),5)</f>
        <v/>
      </c>
      <c r="BG1099">
        <f>IF(OR(AZ1099="Done",AZ1099="Cancelled"),1,0)</f>
        <v/>
      </c>
      <c r="BH1099">
        <f>IF(AND(AU1099&lt;&gt;"",ISNUMBER(AW1099)),1,0)</f>
        <v/>
      </c>
      <c r="BI1099">
        <f>IF(BH1099=0,0,IF(AND(AW1099&gt;='Tasks Filter'!$F$3,AW1099&lt;='Tasks Filter'!$F$4,OR('Tasks Filter'!$I$3="",ISNUMBER(SEARCH('Tasks Filter'!$I$3,AU1099))),OR('Tasks Filter'!$I$4="",BF1099=IFERROR(MATCH('Tasks Filter'!$I$4,Setup!$L$6:$L$9,0),0)),OR('Tasks Filter'!$I$5="Both",AND('Tasks Filter'!$I$5="Yes",BB1099="✓"),AND('Tasks Filter'!$I$5="No",BB1099&lt;&gt;"✓")),OR('Tasks Filter'!$L$3="",AV1099='Tasks Filter'!$L$3),OR('Tasks Filter'!$L$4="",AZ1099='Tasks Filter'!$L$4),OR('Tasks Filter'!$L$5="",BC1099='Tasks Filter'!$L$5),OR('Tasks Filter'!$O$3="",BD1099='Tasks Filter'!$O$3),OR('Tasks Filter'!$O$4="Yes",BG1099=0)),1,0))</f>
        <v/>
      </c>
      <c r="BJ1099">
        <f>IF(BH1099=0,"",IF('Tasks Filter'!$F$6="Descending",-1,1)*CHOOSE(MATCH('Tasks Filter'!$F$5,Lists!$G$2:$G$6,0),AW1099,BF1099,IFERROR(MATCH(AV1099,Setup!$F$6:$F$15,0),99),IFERROR(MATCH(BC1099,Setup!$H$6:$H$15,0),99),IFERROR(MATCH(AZ1099,Setup!$J$6:$J$11,0),99))*1E+9+(AW1099-40000)*10000+1098)</f>
        <v/>
      </c>
      <c r="BK1099">
        <f>IF(BI1099=1,BJ1099,"")</f>
        <v/>
      </c>
      <c r="BL1099">
        <f>IF(AND(BH1099=1,BG1099=0,N(AW1099)&lt;Setup!$D$7),(AW1099-40000)*10000+1098,"")</f>
        <v/>
      </c>
      <c r="BM1099">
        <f>IF(AND(BH1099=1,AZ1099&lt;&gt;"Cancelled",N(AW1099)&gt;=Dashboard!$AB$3,N(AW1099)&lt;=Dashboard!$AB$3+6),(AW1099-40000)*100000+BF1099*10000+1098,"")</f>
        <v/>
      </c>
      <c r="BN1099">
        <f>IF(AND(BH1099=1,AZ1099&lt;&gt;"Cancelled"),BF1099*10000+1098,"")</f>
        <v/>
      </c>
    </row>
    <row r="1100">
      <c r="AS1100" t="inlineStr">
        <is>
          <t>R</t>
        </is>
      </c>
      <c r="AT1100" t="n">
        <v>1104</v>
      </c>
      <c r="AU1100">
        <f>'Recurring Log'!C1104&amp;""</f>
        <v/>
      </c>
      <c r="AV1100">
        <f>'Recurring Log'!D1104&amp;""</f>
        <v/>
      </c>
      <c r="AW1100">
        <f>IF('Recurring Log'!E1104="","",'Recurring Log'!E1104)</f>
        <v/>
      </c>
      <c r="AX1100">
        <f>IF('Recurring Log'!G1104="","",'Recurring Log'!G1104)</f>
        <v/>
      </c>
      <c r="AY1100">
        <f>IF('Recurring Log'!H1104="","",'Recurring Log'!H1104)</f>
        <v/>
      </c>
      <c r="AZ1100">
        <f>IF(AU1100="","",IF('Recurring Log'!J1104="","Not Started",'Recurring Log'!J1104))</f>
        <v/>
      </c>
      <c r="BA1100">
        <f>'Recurring Log'!L1104&amp;""</f>
        <v/>
      </c>
      <c r="BB1100">
        <f>'Recurring Log'!M1104&amp;""</f>
        <v/>
      </c>
      <c r="BC1100">
        <f>'Recurring Log'!N1104&amp;""</f>
        <v/>
      </c>
      <c r="BD1100">
        <f>'Recurring Log'!O1104&amp;""</f>
        <v/>
      </c>
      <c r="BE1100">
        <f>IF('Recurring Log'!K1104="","",'Recurring Log'!K1104)</f>
        <v/>
      </c>
      <c r="BF1100">
        <f>IFERROR(MATCH(BA1100,Setup!$L$6:$L$9,0),5)</f>
        <v/>
      </c>
      <c r="BG1100">
        <f>IF(OR(AZ1100="Done",AZ1100="Cancelled"),1,0)</f>
        <v/>
      </c>
      <c r="BH1100">
        <f>IF(AND(AU1100&lt;&gt;"",ISNUMBER(AW1100)),1,0)</f>
        <v/>
      </c>
      <c r="BI1100">
        <f>IF(BH1100=0,0,IF(AND(AW1100&gt;='Tasks Filter'!$F$3,AW1100&lt;='Tasks Filter'!$F$4,OR('Tasks Filter'!$I$3="",ISNUMBER(SEARCH('Tasks Filter'!$I$3,AU1100))),OR('Tasks Filter'!$I$4="",BF1100=IFERROR(MATCH('Tasks Filter'!$I$4,Setup!$L$6:$L$9,0),0)),OR('Tasks Filter'!$I$5="Both",AND('Tasks Filter'!$I$5="Yes",BB1100="✓"),AND('Tasks Filter'!$I$5="No",BB1100&lt;&gt;"✓")),OR('Tasks Filter'!$L$3="",AV1100='Tasks Filter'!$L$3),OR('Tasks Filter'!$L$4="",AZ1100='Tasks Filter'!$L$4),OR('Tasks Filter'!$L$5="",BC1100='Tasks Filter'!$L$5),OR('Tasks Filter'!$O$3="",BD1100='Tasks Filter'!$O$3),OR('Tasks Filter'!$O$4="Yes",BG1100=0)),1,0))</f>
        <v/>
      </c>
      <c r="BJ1100">
        <f>IF(BH1100=0,"",IF('Tasks Filter'!$F$6="Descending",-1,1)*CHOOSE(MATCH('Tasks Filter'!$F$5,Lists!$G$2:$G$6,0),AW1100,BF1100,IFERROR(MATCH(AV1100,Setup!$F$6:$F$15,0),99),IFERROR(MATCH(BC1100,Setup!$H$6:$H$15,0),99),IFERROR(MATCH(AZ1100,Setup!$J$6:$J$11,0),99))*1E+9+(AW1100-40000)*10000+1099)</f>
        <v/>
      </c>
      <c r="BK1100">
        <f>IF(BI1100=1,BJ1100,"")</f>
        <v/>
      </c>
      <c r="BL1100">
        <f>IF(AND(BH1100=1,BG1100=0,N(AW1100)&lt;Setup!$D$7),(AW1100-40000)*10000+1099,"")</f>
        <v/>
      </c>
      <c r="BM1100">
        <f>IF(AND(BH1100=1,AZ1100&lt;&gt;"Cancelled",N(AW1100)&gt;=Dashboard!$AB$3,N(AW1100)&lt;=Dashboard!$AB$3+6),(AW1100-40000)*100000+BF1100*10000+1099,"")</f>
        <v/>
      </c>
      <c r="BN1100">
        <f>IF(AND(BH1100=1,AZ1100&lt;&gt;"Cancelled"),BF1100*10000+1099,"")</f>
        <v/>
      </c>
    </row>
    <row r="1101">
      <c r="AS1101" t="inlineStr">
        <is>
          <t>R</t>
        </is>
      </c>
      <c r="AT1101" t="n">
        <v>1105</v>
      </c>
      <c r="AU1101">
        <f>'Recurring Log'!C1105&amp;""</f>
        <v/>
      </c>
      <c r="AV1101">
        <f>'Recurring Log'!D1105&amp;""</f>
        <v/>
      </c>
      <c r="AW1101">
        <f>IF('Recurring Log'!E1105="","",'Recurring Log'!E1105)</f>
        <v/>
      </c>
      <c r="AX1101">
        <f>IF('Recurring Log'!G1105="","",'Recurring Log'!G1105)</f>
        <v/>
      </c>
      <c r="AY1101">
        <f>IF('Recurring Log'!H1105="","",'Recurring Log'!H1105)</f>
        <v/>
      </c>
      <c r="AZ1101">
        <f>IF(AU1101="","",IF('Recurring Log'!J1105="","Not Started",'Recurring Log'!J1105))</f>
        <v/>
      </c>
      <c r="BA1101">
        <f>'Recurring Log'!L1105&amp;""</f>
        <v/>
      </c>
      <c r="BB1101">
        <f>'Recurring Log'!M1105&amp;""</f>
        <v/>
      </c>
      <c r="BC1101">
        <f>'Recurring Log'!N1105&amp;""</f>
        <v/>
      </c>
      <c r="BD1101">
        <f>'Recurring Log'!O1105&amp;""</f>
        <v/>
      </c>
      <c r="BE1101">
        <f>IF('Recurring Log'!K1105="","",'Recurring Log'!K1105)</f>
        <v/>
      </c>
      <c r="BF1101">
        <f>IFERROR(MATCH(BA1101,Setup!$L$6:$L$9,0),5)</f>
        <v/>
      </c>
      <c r="BG1101">
        <f>IF(OR(AZ1101="Done",AZ1101="Cancelled"),1,0)</f>
        <v/>
      </c>
      <c r="BH1101">
        <f>IF(AND(AU1101&lt;&gt;"",ISNUMBER(AW1101)),1,0)</f>
        <v/>
      </c>
      <c r="BI1101">
        <f>IF(BH1101=0,0,IF(AND(AW1101&gt;='Tasks Filter'!$F$3,AW1101&lt;='Tasks Filter'!$F$4,OR('Tasks Filter'!$I$3="",ISNUMBER(SEARCH('Tasks Filter'!$I$3,AU1101))),OR('Tasks Filter'!$I$4="",BF1101=IFERROR(MATCH('Tasks Filter'!$I$4,Setup!$L$6:$L$9,0),0)),OR('Tasks Filter'!$I$5="Both",AND('Tasks Filter'!$I$5="Yes",BB1101="✓"),AND('Tasks Filter'!$I$5="No",BB1101&lt;&gt;"✓")),OR('Tasks Filter'!$L$3="",AV1101='Tasks Filter'!$L$3),OR('Tasks Filter'!$L$4="",AZ1101='Tasks Filter'!$L$4),OR('Tasks Filter'!$L$5="",BC1101='Tasks Filter'!$L$5),OR('Tasks Filter'!$O$3="",BD1101='Tasks Filter'!$O$3),OR('Tasks Filter'!$O$4="Yes",BG1101=0)),1,0))</f>
        <v/>
      </c>
      <c r="BJ1101">
        <f>IF(BH1101=0,"",IF('Tasks Filter'!$F$6="Descending",-1,1)*CHOOSE(MATCH('Tasks Filter'!$F$5,Lists!$G$2:$G$6,0),AW1101,BF1101,IFERROR(MATCH(AV1101,Setup!$F$6:$F$15,0),99),IFERROR(MATCH(BC1101,Setup!$H$6:$H$15,0),99),IFERROR(MATCH(AZ1101,Setup!$J$6:$J$11,0),99))*1E+9+(AW1101-40000)*10000+1100)</f>
        <v/>
      </c>
      <c r="BK1101">
        <f>IF(BI1101=1,BJ1101,"")</f>
        <v/>
      </c>
      <c r="BL1101">
        <f>IF(AND(BH1101=1,BG1101=0,N(AW1101)&lt;Setup!$D$7),(AW1101-40000)*10000+1100,"")</f>
        <v/>
      </c>
      <c r="BM1101">
        <f>IF(AND(BH1101=1,AZ1101&lt;&gt;"Cancelled",N(AW1101)&gt;=Dashboard!$AB$3,N(AW1101)&lt;=Dashboard!$AB$3+6),(AW1101-40000)*100000+BF1101*10000+1100,"")</f>
        <v/>
      </c>
      <c r="BN1101">
        <f>IF(AND(BH1101=1,AZ1101&lt;&gt;"Cancelled"),BF1101*10000+1100,"")</f>
        <v/>
      </c>
    </row>
    <row r="1102">
      <c r="AS1102" t="inlineStr">
        <is>
          <t>R</t>
        </is>
      </c>
      <c r="AT1102" t="n">
        <v>1106</v>
      </c>
      <c r="AU1102">
        <f>'Recurring Log'!C1106&amp;""</f>
        <v/>
      </c>
      <c r="AV1102">
        <f>'Recurring Log'!D1106&amp;""</f>
        <v/>
      </c>
      <c r="AW1102">
        <f>IF('Recurring Log'!E1106="","",'Recurring Log'!E1106)</f>
        <v/>
      </c>
      <c r="AX1102">
        <f>IF('Recurring Log'!G1106="","",'Recurring Log'!G1106)</f>
        <v/>
      </c>
      <c r="AY1102">
        <f>IF('Recurring Log'!H1106="","",'Recurring Log'!H1106)</f>
        <v/>
      </c>
      <c r="AZ1102">
        <f>IF(AU1102="","",IF('Recurring Log'!J1106="","Not Started",'Recurring Log'!J1106))</f>
        <v/>
      </c>
      <c r="BA1102">
        <f>'Recurring Log'!L1106&amp;""</f>
        <v/>
      </c>
      <c r="BB1102">
        <f>'Recurring Log'!M1106&amp;""</f>
        <v/>
      </c>
      <c r="BC1102">
        <f>'Recurring Log'!N1106&amp;""</f>
        <v/>
      </c>
      <c r="BD1102">
        <f>'Recurring Log'!O1106&amp;""</f>
        <v/>
      </c>
      <c r="BE1102">
        <f>IF('Recurring Log'!K1106="","",'Recurring Log'!K1106)</f>
        <v/>
      </c>
      <c r="BF1102">
        <f>IFERROR(MATCH(BA1102,Setup!$L$6:$L$9,0),5)</f>
        <v/>
      </c>
      <c r="BG1102">
        <f>IF(OR(AZ1102="Done",AZ1102="Cancelled"),1,0)</f>
        <v/>
      </c>
      <c r="BH1102">
        <f>IF(AND(AU1102&lt;&gt;"",ISNUMBER(AW1102)),1,0)</f>
        <v/>
      </c>
      <c r="BI1102">
        <f>IF(BH1102=0,0,IF(AND(AW1102&gt;='Tasks Filter'!$F$3,AW1102&lt;='Tasks Filter'!$F$4,OR('Tasks Filter'!$I$3="",ISNUMBER(SEARCH('Tasks Filter'!$I$3,AU1102))),OR('Tasks Filter'!$I$4="",BF1102=IFERROR(MATCH('Tasks Filter'!$I$4,Setup!$L$6:$L$9,0),0)),OR('Tasks Filter'!$I$5="Both",AND('Tasks Filter'!$I$5="Yes",BB1102="✓"),AND('Tasks Filter'!$I$5="No",BB1102&lt;&gt;"✓")),OR('Tasks Filter'!$L$3="",AV1102='Tasks Filter'!$L$3),OR('Tasks Filter'!$L$4="",AZ1102='Tasks Filter'!$L$4),OR('Tasks Filter'!$L$5="",BC1102='Tasks Filter'!$L$5),OR('Tasks Filter'!$O$3="",BD1102='Tasks Filter'!$O$3),OR('Tasks Filter'!$O$4="Yes",BG1102=0)),1,0))</f>
        <v/>
      </c>
      <c r="BJ1102">
        <f>IF(BH1102=0,"",IF('Tasks Filter'!$F$6="Descending",-1,1)*CHOOSE(MATCH('Tasks Filter'!$F$5,Lists!$G$2:$G$6,0),AW1102,BF1102,IFERROR(MATCH(AV1102,Setup!$F$6:$F$15,0),99),IFERROR(MATCH(BC1102,Setup!$H$6:$H$15,0),99),IFERROR(MATCH(AZ1102,Setup!$J$6:$J$11,0),99))*1E+9+(AW1102-40000)*10000+1101)</f>
        <v/>
      </c>
      <c r="BK1102">
        <f>IF(BI1102=1,BJ1102,"")</f>
        <v/>
      </c>
      <c r="BL1102">
        <f>IF(AND(BH1102=1,BG1102=0,N(AW1102)&lt;Setup!$D$7),(AW1102-40000)*10000+1101,"")</f>
        <v/>
      </c>
      <c r="BM1102">
        <f>IF(AND(BH1102=1,AZ1102&lt;&gt;"Cancelled",N(AW1102)&gt;=Dashboard!$AB$3,N(AW1102)&lt;=Dashboard!$AB$3+6),(AW1102-40000)*100000+BF1102*10000+1101,"")</f>
        <v/>
      </c>
      <c r="BN1102">
        <f>IF(AND(BH1102=1,AZ1102&lt;&gt;"Cancelled"),BF1102*10000+1101,"")</f>
        <v/>
      </c>
    </row>
    <row r="1103">
      <c r="AS1103" t="inlineStr">
        <is>
          <t>R</t>
        </is>
      </c>
      <c r="AT1103" t="n">
        <v>1107</v>
      </c>
      <c r="AU1103">
        <f>'Recurring Log'!C1107&amp;""</f>
        <v/>
      </c>
      <c r="AV1103">
        <f>'Recurring Log'!D1107&amp;""</f>
        <v/>
      </c>
      <c r="AW1103">
        <f>IF('Recurring Log'!E1107="","",'Recurring Log'!E1107)</f>
        <v/>
      </c>
      <c r="AX1103">
        <f>IF('Recurring Log'!G1107="","",'Recurring Log'!G1107)</f>
        <v/>
      </c>
      <c r="AY1103">
        <f>IF('Recurring Log'!H1107="","",'Recurring Log'!H1107)</f>
        <v/>
      </c>
      <c r="AZ1103">
        <f>IF(AU1103="","",IF('Recurring Log'!J1107="","Not Started",'Recurring Log'!J1107))</f>
        <v/>
      </c>
      <c r="BA1103">
        <f>'Recurring Log'!L1107&amp;""</f>
        <v/>
      </c>
      <c r="BB1103">
        <f>'Recurring Log'!M1107&amp;""</f>
        <v/>
      </c>
      <c r="BC1103">
        <f>'Recurring Log'!N1107&amp;""</f>
        <v/>
      </c>
      <c r="BD1103">
        <f>'Recurring Log'!O1107&amp;""</f>
        <v/>
      </c>
      <c r="BE1103">
        <f>IF('Recurring Log'!K1107="","",'Recurring Log'!K1107)</f>
        <v/>
      </c>
      <c r="BF1103">
        <f>IFERROR(MATCH(BA1103,Setup!$L$6:$L$9,0),5)</f>
        <v/>
      </c>
      <c r="BG1103">
        <f>IF(OR(AZ1103="Done",AZ1103="Cancelled"),1,0)</f>
        <v/>
      </c>
      <c r="BH1103">
        <f>IF(AND(AU1103&lt;&gt;"",ISNUMBER(AW1103)),1,0)</f>
        <v/>
      </c>
      <c r="BI1103">
        <f>IF(BH1103=0,0,IF(AND(AW1103&gt;='Tasks Filter'!$F$3,AW1103&lt;='Tasks Filter'!$F$4,OR('Tasks Filter'!$I$3="",ISNUMBER(SEARCH('Tasks Filter'!$I$3,AU1103))),OR('Tasks Filter'!$I$4="",BF1103=IFERROR(MATCH('Tasks Filter'!$I$4,Setup!$L$6:$L$9,0),0)),OR('Tasks Filter'!$I$5="Both",AND('Tasks Filter'!$I$5="Yes",BB1103="✓"),AND('Tasks Filter'!$I$5="No",BB1103&lt;&gt;"✓")),OR('Tasks Filter'!$L$3="",AV1103='Tasks Filter'!$L$3),OR('Tasks Filter'!$L$4="",AZ1103='Tasks Filter'!$L$4),OR('Tasks Filter'!$L$5="",BC1103='Tasks Filter'!$L$5),OR('Tasks Filter'!$O$3="",BD1103='Tasks Filter'!$O$3),OR('Tasks Filter'!$O$4="Yes",BG1103=0)),1,0))</f>
        <v/>
      </c>
      <c r="BJ1103">
        <f>IF(BH1103=0,"",IF('Tasks Filter'!$F$6="Descending",-1,1)*CHOOSE(MATCH('Tasks Filter'!$F$5,Lists!$G$2:$G$6,0),AW1103,BF1103,IFERROR(MATCH(AV1103,Setup!$F$6:$F$15,0),99),IFERROR(MATCH(BC1103,Setup!$H$6:$H$15,0),99),IFERROR(MATCH(AZ1103,Setup!$J$6:$J$11,0),99))*1E+9+(AW1103-40000)*10000+1102)</f>
        <v/>
      </c>
      <c r="BK1103">
        <f>IF(BI1103=1,BJ1103,"")</f>
        <v/>
      </c>
      <c r="BL1103">
        <f>IF(AND(BH1103=1,BG1103=0,N(AW1103)&lt;Setup!$D$7),(AW1103-40000)*10000+1102,"")</f>
        <v/>
      </c>
      <c r="BM1103">
        <f>IF(AND(BH1103=1,AZ1103&lt;&gt;"Cancelled",N(AW1103)&gt;=Dashboard!$AB$3,N(AW1103)&lt;=Dashboard!$AB$3+6),(AW1103-40000)*100000+BF1103*10000+1102,"")</f>
        <v/>
      </c>
      <c r="BN1103">
        <f>IF(AND(BH1103=1,AZ1103&lt;&gt;"Cancelled"),BF1103*10000+1102,"")</f>
        <v/>
      </c>
    </row>
    <row r="1104">
      <c r="AS1104" t="inlineStr">
        <is>
          <t>R</t>
        </is>
      </c>
      <c r="AT1104" t="n">
        <v>1108</v>
      </c>
      <c r="AU1104">
        <f>'Recurring Log'!C1108&amp;""</f>
        <v/>
      </c>
      <c r="AV1104">
        <f>'Recurring Log'!D1108&amp;""</f>
        <v/>
      </c>
      <c r="AW1104">
        <f>IF('Recurring Log'!E1108="","",'Recurring Log'!E1108)</f>
        <v/>
      </c>
      <c r="AX1104">
        <f>IF('Recurring Log'!G1108="","",'Recurring Log'!G1108)</f>
        <v/>
      </c>
      <c r="AY1104">
        <f>IF('Recurring Log'!H1108="","",'Recurring Log'!H1108)</f>
        <v/>
      </c>
      <c r="AZ1104">
        <f>IF(AU1104="","",IF('Recurring Log'!J1108="","Not Started",'Recurring Log'!J1108))</f>
        <v/>
      </c>
      <c r="BA1104">
        <f>'Recurring Log'!L1108&amp;""</f>
        <v/>
      </c>
      <c r="BB1104">
        <f>'Recurring Log'!M1108&amp;""</f>
        <v/>
      </c>
      <c r="BC1104">
        <f>'Recurring Log'!N1108&amp;""</f>
        <v/>
      </c>
      <c r="BD1104">
        <f>'Recurring Log'!O1108&amp;""</f>
        <v/>
      </c>
      <c r="BE1104">
        <f>IF('Recurring Log'!K1108="","",'Recurring Log'!K1108)</f>
        <v/>
      </c>
      <c r="BF1104">
        <f>IFERROR(MATCH(BA1104,Setup!$L$6:$L$9,0),5)</f>
        <v/>
      </c>
      <c r="BG1104">
        <f>IF(OR(AZ1104="Done",AZ1104="Cancelled"),1,0)</f>
        <v/>
      </c>
      <c r="BH1104">
        <f>IF(AND(AU1104&lt;&gt;"",ISNUMBER(AW1104)),1,0)</f>
        <v/>
      </c>
      <c r="BI1104">
        <f>IF(BH1104=0,0,IF(AND(AW1104&gt;='Tasks Filter'!$F$3,AW1104&lt;='Tasks Filter'!$F$4,OR('Tasks Filter'!$I$3="",ISNUMBER(SEARCH('Tasks Filter'!$I$3,AU1104))),OR('Tasks Filter'!$I$4="",BF1104=IFERROR(MATCH('Tasks Filter'!$I$4,Setup!$L$6:$L$9,0),0)),OR('Tasks Filter'!$I$5="Both",AND('Tasks Filter'!$I$5="Yes",BB1104="✓"),AND('Tasks Filter'!$I$5="No",BB1104&lt;&gt;"✓")),OR('Tasks Filter'!$L$3="",AV1104='Tasks Filter'!$L$3),OR('Tasks Filter'!$L$4="",AZ1104='Tasks Filter'!$L$4),OR('Tasks Filter'!$L$5="",BC1104='Tasks Filter'!$L$5),OR('Tasks Filter'!$O$3="",BD1104='Tasks Filter'!$O$3),OR('Tasks Filter'!$O$4="Yes",BG1104=0)),1,0))</f>
        <v/>
      </c>
      <c r="BJ1104">
        <f>IF(BH1104=0,"",IF('Tasks Filter'!$F$6="Descending",-1,1)*CHOOSE(MATCH('Tasks Filter'!$F$5,Lists!$G$2:$G$6,0),AW1104,BF1104,IFERROR(MATCH(AV1104,Setup!$F$6:$F$15,0),99),IFERROR(MATCH(BC1104,Setup!$H$6:$H$15,0),99),IFERROR(MATCH(AZ1104,Setup!$J$6:$J$11,0),99))*1E+9+(AW1104-40000)*10000+1103)</f>
        <v/>
      </c>
      <c r="BK1104">
        <f>IF(BI1104=1,BJ1104,"")</f>
        <v/>
      </c>
      <c r="BL1104">
        <f>IF(AND(BH1104=1,BG1104=0,N(AW1104)&lt;Setup!$D$7),(AW1104-40000)*10000+1103,"")</f>
        <v/>
      </c>
      <c r="BM1104">
        <f>IF(AND(BH1104=1,AZ1104&lt;&gt;"Cancelled",N(AW1104)&gt;=Dashboard!$AB$3,N(AW1104)&lt;=Dashboard!$AB$3+6),(AW1104-40000)*100000+BF1104*10000+1103,"")</f>
        <v/>
      </c>
      <c r="BN1104">
        <f>IF(AND(BH1104=1,AZ1104&lt;&gt;"Cancelled"),BF1104*10000+1103,"")</f>
        <v/>
      </c>
    </row>
    <row r="1105">
      <c r="AS1105" t="inlineStr">
        <is>
          <t>R</t>
        </is>
      </c>
      <c r="AT1105" t="n">
        <v>1109</v>
      </c>
      <c r="AU1105">
        <f>'Recurring Log'!C1109&amp;""</f>
        <v/>
      </c>
      <c r="AV1105">
        <f>'Recurring Log'!D1109&amp;""</f>
        <v/>
      </c>
      <c r="AW1105">
        <f>IF('Recurring Log'!E1109="","",'Recurring Log'!E1109)</f>
        <v/>
      </c>
      <c r="AX1105">
        <f>IF('Recurring Log'!G1109="","",'Recurring Log'!G1109)</f>
        <v/>
      </c>
      <c r="AY1105">
        <f>IF('Recurring Log'!H1109="","",'Recurring Log'!H1109)</f>
        <v/>
      </c>
      <c r="AZ1105">
        <f>IF(AU1105="","",IF('Recurring Log'!J1109="","Not Started",'Recurring Log'!J1109))</f>
        <v/>
      </c>
      <c r="BA1105">
        <f>'Recurring Log'!L1109&amp;""</f>
        <v/>
      </c>
      <c r="BB1105">
        <f>'Recurring Log'!M1109&amp;""</f>
        <v/>
      </c>
      <c r="BC1105">
        <f>'Recurring Log'!N1109&amp;""</f>
        <v/>
      </c>
      <c r="BD1105">
        <f>'Recurring Log'!O1109&amp;""</f>
        <v/>
      </c>
      <c r="BE1105">
        <f>IF('Recurring Log'!K1109="","",'Recurring Log'!K1109)</f>
        <v/>
      </c>
      <c r="BF1105">
        <f>IFERROR(MATCH(BA1105,Setup!$L$6:$L$9,0),5)</f>
        <v/>
      </c>
      <c r="BG1105">
        <f>IF(OR(AZ1105="Done",AZ1105="Cancelled"),1,0)</f>
        <v/>
      </c>
      <c r="BH1105">
        <f>IF(AND(AU1105&lt;&gt;"",ISNUMBER(AW1105)),1,0)</f>
        <v/>
      </c>
      <c r="BI1105">
        <f>IF(BH1105=0,0,IF(AND(AW1105&gt;='Tasks Filter'!$F$3,AW1105&lt;='Tasks Filter'!$F$4,OR('Tasks Filter'!$I$3="",ISNUMBER(SEARCH('Tasks Filter'!$I$3,AU1105))),OR('Tasks Filter'!$I$4="",BF1105=IFERROR(MATCH('Tasks Filter'!$I$4,Setup!$L$6:$L$9,0),0)),OR('Tasks Filter'!$I$5="Both",AND('Tasks Filter'!$I$5="Yes",BB1105="✓"),AND('Tasks Filter'!$I$5="No",BB1105&lt;&gt;"✓")),OR('Tasks Filter'!$L$3="",AV1105='Tasks Filter'!$L$3),OR('Tasks Filter'!$L$4="",AZ1105='Tasks Filter'!$L$4),OR('Tasks Filter'!$L$5="",BC1105='Tasks Filter'!$L$5),OR('Tasks Filter'!$O$3="",BD1105='Tasks Filter'!$O$3),OR('Tasks Filter'!$O$4="Yes",BG1105=0)),1,0))</f>
        <v/>
      </c>
      <c r="BJ1105">
        <f>IF(BH1105=0,"",IF('Tasks Filter'!$F$6="Descending",-1,1)*CHOOSE(MATCH('Tasks Filter'!$F$5,Lists!$G$2:$G$6,0),AW1105,BF1105,IFERROR(MATCH(AV1105,Setup!$F$6:$F$15,0),99),IFERROR(MATCH(BC1105,Setup!$H$6:$H$15,0),99),IFERROR(MATCH(AZ1105,Setup!$J$6:$J$11,0),99))*1E+9+(AW1105-40000)*10000+1104)</f>
        <v/>
      </c>
      <c r="BK1105">
        <f>IF(BI1105=1,BJ1105,"")</f>
        <v/>
      </c>
      <c r="BL1105">
        <f>IF(AND(BH1105=1,BG1105=0,N(AW1105)&lt;Setup!$D$7),(AW1105-40000)*10000+1104,"")</f>
        <v/>
      </c>
      <c r="BM1105">
        <f>IF(AND(BH1105=1,AZ1105&lt;&gt;"Cancelled",N(AW1105)&gt;=Dashboard!$AB$3,N(AW1105)&lt;=Dashboard!$AB$3+6),(AW1105-40000)*100000+BF1105*10000+1104,"")</f>
        <v/>
      </c>
      <c r="BN1105">
        <f>IF(AND(BH1105=1,AZ1105&lt;&gt;"Cancelled"),BF1105*10000+1104,"")</f>
        <v/>
      </c>
    </row>
    <row r="1106">
      <c r="AS1106" t="inlineStr">
        <is>
          <t>R</t>
        </is>
      </c>
      <c r="AT1106" t="n">
        <v>1110</v>
      </c>
      <c r="AU1106">
        <f>'Recurring Log'!C1110&amp;""</f>
        <v/>
      </c>
      <c r="AV1106">
        <f>'Recurring Log'!D1110&amp;""</f>
        <v/>
      </c>
      <c r="AW1106">
        <f>IF('Recurring Log'!E1110="","",'Recurring Log'!E1110)</f>
        <v/>
      </c>
      <c r="AX1106">
        <f>IF('Recurring Log'!G1110="","",'Recurring Log'!G1110)</f>
        <v/>
      </c>
      <c r="AY1106">
        <f>IF('Recurring Log'!H1110="","",'Recurring Log'!H1110)</f>
        <v/>
      </c>
      <c r="AZ1106">
        <f>IF(AU1106="","",IF('Recurring Log'!J1110="","Not Started",'Recurring Log'!J1110))</f>
        <v/>
      </c>
      <c r="BA1106">
        <f>'Recurring Log'!L1110&amp;""</f>
        <v/>
      </c>
      <c r="BB1106">
        <f>'Recurring Log'!M1110&amp;""</f>
        <v/>
      </c>
      <c r="BC1106">
        <f>'Recurring Log'!N1110&amp;""</f>
        <v/>
      </c>
      <c r="BD1106">
        <f>'Recurring Log'!O1110&amp;""</f>
        <v/>
      </c>
      <c r="BE1106">
        <f>IF('Recurring Log'!K1110="","",'Recurring Log'!K1110)</f>
        <v/>
      </c>
      <c r="BF1106">
        <f>IFERROR(MATCH(BA1106,Setup!$L$6:$L$9,0),5)</f>
        <v/>
      </c>
      <c r="BG1106">
        <f>IF(OR(AZ1106="Done",AZ1106="Cancelled"),1,0)</f>
        <v/>
      </c>
      <c r="BH1106">
        <f>IF(AND(AU1106&lt;&gt;"",ISNUMBER(AW1106)),1,0)</f>
        <v/>
      </c>
      <c r="BI1106">
        <f>IF(BH1106=0,0,IF(AND(AW1106&gt;='Tasks Filter'!$F$3,AW1106&lt;='Tasks Filter'!$F$4,OR('Tasks Filter'!$I$3="",ISNUMBER(SEARCH('Tasks Filter'!$I$3,AU1106))),OR('Tasks Filter'!$I$4="",BF1106=IFERROR(MATCH('Tasks Filter'!$I$4,Setup!$L$6:$L$9,0),0)),OR('Tasks Filter'!$I$5="Both",AND('Tasks Filter'!$I$5="Yes",BB1106="✓"),AND('Tasks Filter'!$I$5="No",BB1106&lt;&gt;"✓")),OR('Tasks Filter'!$L$3="",AV1106='Tasks Filter'!$L$3),OR('Tasks Filter'!$L$4="",AZ1106='Tasks Filter'!$L$4),OR('Tasks Filter'!$L$5="",BC1106='Tasks Filter'!$L$5),OR('Tasks Filter'!$O$3="",BD1106='Tasks Filter'!$O$3),OR('Tasks Filter'!$O$4="Yes",BG1106=0)),1,0))</f>
        <v/>
      </c>
      <c r="BJ1106">
        <f>IF(BH1106=0,"",IF('Tasks Filter'!$F$6="Descending",-1,1)*CHOOSE(MATCH('Tasks Filter'!$F$5,Lists!$G$2:$G$6,0),AW1106,BF1106,IFERROR(MATCH(AV1106,Setup!$F$6:$F$15,0),99),IFERROR(MATCH(BC1106,Setup!$H$6:$H$15,0),99),IFERROR(MATCH(AZ1106,Setup!$J$6:$J$11,0),99))*1E+9+(AW1106-40000)*10000+1105)</f>
        <v/>
      </c>
      <c r="BK1106">
        <f>IF(BI1106=1,BJ1106,"")</f>
        <v/>
      </c>
      <c r="BL1106">
        <f>IF(AND(BH1106=1,BG1106=0,N(AW1106)&lt;Setup!$D$7),(AW1106-40000)*10000+1105,"")</f>
        <v/>
      </c>
      <c r="BM1106">
        <f>IF(AND(BH1106=1,AZ1106&lt;&gt;"Cancelled",N(AW1106)&gt;=Dashboard!$AB$3,N(AW1106)&lt;=Dashboard!$AB$3+6),(AW1106-40000)*100000+BF1106*10000+1105,"")</f>
        <v/>
      </c>
      <c r="BN1106">
        <f>IF(AND(BH1106=1,AZ1106&lt;&gt;"Cancelled"),BF1106*10000+1105,"")</f>
        <v/>
      </c>
    </row>
    <row r="1107">
      <c r="AS1107" t="inlineStr">
        <is>
          <t>R</t>
        </is>
      </c>
      <c r="AT1107" t="n">
        <v>1111</v>
      </c>
      <c r="AU1107">
        <f>'Recurring Log'!C1111&amp;""</f>
        <v/>
      </c>
      <c r="AV1107">
        <f>'Recurring Log'!D1111&amp;""</f>
        <v/>
      </c>
      <c r="AW1107">
        <f>IF('Recurring Log'!E1111="","",'Recurring Log'!E1111)</f>
        <v/>
      </c>
      <c r="AX1107">
        <f>IF('Recurring Log'!G1111="","",'Recurring Log'!G1111)</f>
        <v/>
      </c>
      <c r="AY1107">
        <f>IF('Recurring Log'!H1111="","",'Recurring Log'!H1111)</f>
        <v/>
      </c>
      <c r="AZ1107">
        <f>IF(AU1107="","",IF('Recurring Log'!J1111="","Not Started",'Recurring Log'!J1111))</f>
        <v/>
      </c>
      <c r="BA1107">
        <f>'Recurring Log'!L1111&amp;""</f>
        <v/>
      </c>
      <c r="BB1107">
        <f>'Recurring Log'!M1111&amp;""</f>
        <v/>
      </c>
      <c r="BC1107">
        <f>'Recurring Log'!N1111&amp;""</f>
        <v/>
      </c>
      <c r="BD1107">
        <f>'Recurring Log'!O1111&amp;""</f>
        <v/>
      </c>
      <c r="BE1107">
        <f>IF('Recurring Log'!K1111="","",'Recurring Log'!K1111)</f>
        <v/>
      </c>
      <c r="BF1107">
        <f>IFERROR(MATCH(BA1107,Setup!$L$6:$L$9,0),5)</f>
        <v/>
      </c>
      <c r="BG1107">
        <f>IF(OR(AZ1107="Done",AZ1107="Cancelled"),1,0)</f>
        <v/>
      </c>
      <c r="BH1107">
        <f>IF(AND(AU1107&lt;&gt;"",ISNUMBER(AW1107)),1,0)</f>
        <v/>
      </c>
      <c r="BI1107">
        <f>IF(BH1107=0,0,IF(AND(AW1107&gt;='Tasks Filter'!$F$3,AW1107&lt;='Tasks Filter'!$F$4,OR('Tasks Filter'!$I$3="",ISNUMBER(SEARCH('Tasks Filter'!$I$3,AU1107))),OR('Tasks Filter'!$I$4="",BF1107=IFERROR(MATCH('Tasks Filter'!$I$4,Setup!$L$6:$L$9,0),0)),OR('Tasks Filter'!$I$5="Both",AND('Tasks Filter'!$I$5="Yes",BB1107="✓"),AND('Tasks Filter'!$I$5="No",BB1107&lt;&gt;"✓")),OR('Tasks Filter'!$L$3="",AV1107='Tasks Filter'!$L$3),OR('Tasks Filter'!$L$4="",AZ1107='Tasks Filter'!$L$4),OR('Tasks Filter'!$L$5="",BC1107='Tasks Filter'!$L$5),OR('Tasks Filter'!$O$3="",BD1107='Tasks Filter'!$O$3),OR('Tasks Filter'!$O$4="Yes",BG1107=0)),1,0))</f>
        <v/>
      </c>
      <c r="BJ1107">
        <f>IF(BH1107=0,"",IF('Tasks Filter'!$F$6="Descending",-1,1)*CHOOSE(MATCH('Tasks Filter'!$F$5,Lists!$G$2:$G$6,0),AW1107,BF1107,IFERROR(MATCH(AV1107,Setup!$F$6:$F$15,0),99),IFERROR(MATCH(BC1107,Setup!$H$6:$H$15,0),99),IFERROR(MATCH(AZ1107,Setup!$J$6:$J$11,0),99))*1E+9+(AW1107-40000)*10000+1106)</f>
        <v/>
      </c>
      <c r="BK1107">
        <f>IF(BI1107=1,BJ1107,"")</f>
        <v/>
      </c>
      <c r="BL1107">
        <f>IF(AND(BH1107=1,BG1107=0,N(AW1107)&lt;Setup!$D$7),(AW1107-40000)*10000+1106,"")</f>
        <v/>
      </c>
      <c r="BM1107">
        <f>IF(AND(BH1107=1,AZ1107&lt;&gt;"Cancelled",N(AW1107)&gt;=Dashboard!$AB$3,N(AW1107)&lt;=Dashboard!$AB$3+6),(AW1107-40000)*100000+BF1107*10000+1106,"")</f>
        <v/>
      </c>
      <c r="BN1107">
        <f>IF(AND(BH1107=1,AZ1107&lt;&gt;"Cancelled"),BF1107*10000+1106,"")</f>
        <v/>
      </c>
    </row>
    <row r="1108">
      <c r="AS1108" t="inlineStr">
        <is>
          <t>R</t>
        </is>
      </c>
      <c r="AT1108" t="n">
        <v>1112</v>
      </c>
      <c r="AU1108">
        <f>'Recurring Log'!C1112&amp;""</f>
        <v/>
      </c>
      <c r="AV1108">
        <f>'Recurring Log'!D1112&amp;""</f>
        <v/>
      </c>
      <c r="AW1108">
        <f>IF('Recurring Log'!E1112="","",'Recurring Log'!E1112)</f>
        <v/>
      </c>
      <c r="AX1108">
        <f>IF('Recurring Log'!G1112="","",'Recurring Log'!G1112)</f>
        <v/>
      </c>
      <c r="AY1108">
        <f>IF('Recurring Log'!H1112="","",'Recurring Log'!H1112)</f>
        <v/>
      </c>
      <c r="AZ1108">
        <f>IF(AU1108="","",IF('Recurring Log'!J1112="","Not Started",'Recurring Log'!J1112))</f>
        <v/>
      </c>
      <c r="BA1108">
        <f>'Recurring Log'!L1112&amp;""</f>
        <v/>
      </c>
      <c r="BB1108">
        <f>'Recurring Log'!M1112&amp;""</f>
        <v/>
      </c>
      <c r="BC1108">
        <f>'Recurring Log'!N1112&amp;""</f>
        <v/>
      </c>
      <c r="BD1108">
        <f>'Recurring Log'!O1112&amp;""</f>
        <v/>
      </c>
      <c r="BE1108">
        <f>IF('Recurring Log'!K1112="","",'Recurring Log'!K1112)</f>
        <v/>
      </c>
      <c r="BF1108">
        <f>IFERROR(MATCH(BA1108,Setup!$L$6:$L$9,0),5)</f>
        <v/>
      </c>
      <c r="BG1108">
        <f>IF(OR(AZ1108="Done",AZ1108="Cancelled"),1,0)</f>
        <v/>
      </c>
      <c r="BH1108">
        <f>IF(AND(AU1108&lt;&gt;"",ISNUMBER(AW1108)),1,0)</f>
        <v/>
      </c>
      <c r="BI1108">
        <f>IF(BH1108=0,0,IF(AND(AW1108&gt;='Tasks Filter'!$F$3,AW1108&lt;='Tasks Filter'!$F$4,OR('Tasks Filter'!$I$3="",ISNUMBER(SEARCH('Tasks Filter'!$I$3,AU1108))),OR('Tasks Filter'!$I$4="",BF1108=IFERROR(MATCH('Tasks Filter'!$I$4,Setup!$L$6:$L$9,0),0)),OR('Tasks Filter'!$I$5="Both",AND('Tasks Filter'!$I$5="Yes",BB1108="✓"),AND('Tasks Filter'!$I$5="No",BB1108&lt;&gt;"✓")),OR('Tasks Filter'!$L$3="",AV1108='Tasks Filter'!$L$3),OR('Tasks Filter'!$L$4="",AZ1108='Tasks Filter'!$L$4),OR('Tasks Filter'!$L$5="",BC1108='Tasks Filter'!$L$5),OR('Tasks Filter'!$O$3="",BD1108='Tasks Filter'!$O$3),OR('Tasks Filter'!$O$4="Yes",BG1108=0)),1,0))</f>
        <v/>
      </c>
      <c r="BJ1108">
        <f>IF(BH1108=0,"",IF('Tasks Filter'!$F$6="Descending",-1,1)*CHOOSE(MATCH('Tasks Filter'!$F$5,Lists!$G$2:$G$6,0),AW1108,BF1108,IFERROR(MATCH(AV1108,Setup!$F$6:$F$15,0),99),IFERROR(MATCH(BC1108,Setup!$H$6:$H$15,0),99),IFERROR(MATCH(AZ1108,Setup!$J$6:$J$11,0),99))*1E+9+(AW1108-40000)*10000+1107)</f>
        <v/>
      </c>
      <c r="BK1108">
        <f>IF(BI1108=1,BJ1108,"")</f>
        <v/>
      </c>
      <c r="BL1108">
        <f>IF(AND(BH1108=1,BG1108=0,N(AW1108)&lt;Setup!$D$7),(AW1108-40000)*10000+1107,"")</f>
        <v/>
      </c>
      <c r="BM1108">
        <f>IF(AND(BH1108=1,AZ1108&lt;&gt;"Cancelled",N(AW1108)&gt;=Dashboard!$AB$3,N(AW1108)&lt;=Dashboard!$AB$3+6),(AW1108-40000)*100000+BF1108*10000+1107,"")</f>
        <v/>
      </c>
      <c r="BN1108">
        <f>IF(AND(BH1108=1,AZ1108&lt;&gt;"Cancelled"),BF1108*10000+1107,"")</f>
        <v/>
      </c>
    </row>
    <row r="1109">
      <c r="AS1109" t="inlineStr">
        <is>
          <t>R</t>
        </is>
      </c>
      <c r="AT1109" t="n">
        <v>1113</v>
      </c>
      <c r="AU1109">
        <f>'Recurring Log'!C1113&amp;""</f>
        <v/>
      </c>
      <c r="AV1109">
        <f>'Recurring Log'!D1113&amp;""</f>
        <v/>
      </c>
      <c r="AW1109">
        <f>IF('Recurring Log'!E1113="","",'Recurring Log'!E1113)</f>
        <v/>
      </c>
      <c r="AX1109">
        <f>IF('Recurring Log'!G1113="","",'Recurring Log'!G1113)</f>
        <v/>
      </c>
      <c r="AY1109">
        <f>IF('Recurring Log'!H1113="","",'Recurring Log'!H1113)</f>
        <v/>
      </c>
      <c r="AZ1109">
        <f>IF(AU1109="","",IF('Recurring Log'!J1113="","Not Started",'Recurring Log'!J1113))</f>
        <v/>
      </c>
      <c r="BA1109">
        <f>'Recurring Log'!L1113&amp;""</f>
        <v/>
      </c>
      <c r="BB1109">
        <f>'Recurring Log'!M1113&amp;""</f>
        <v/>
      </c>
      <c r="BC1109">
        <f>'Recurring Log'!N1113&amp;""</f>
        <v/>
      </c>
      <c r="BD1109">
        <f>'Recurring Log'!O1113&amp;""</f>
        <v/>
      </c>
      <c r="BE1109">
        <f>IF('Recurring Log'!K1113="","",'Recurring Log'!K1113)</f>
        <v/>
      </c>
      <c r="BF1109">
        <f>IFERROR(MATCH(BA1109,Setup!$L$6:$L$9,0),5)</f>
        <v/>
      </c>
      <c r="BG1109">
        <f>IF(OR(AZ1109="Done",AZ1109="Cancelled"),1,0)</f>
        <v/>
      </c>
      <c r="BH1109">
        <f>IF(AND(AU1109&lt;&gt;"",ISNUMBER(AW1109)),1,0)</f>
        <v/>
      </c>
      <c r="BI1109">
        <f>IF(BH1109=0,0,IF(AND(AW1109&gt;='Tasks Filter'!$F$3,AW1109&lt;='Tasks Filter'!$F$4,OR('Tasks Filter'!$I$3="",ISNUMBER(SEARCH('Tasks Filter'!$I$3,AU1109))),OR('Tasks Filter'!$I$4="",BF1109=IFERROR(MATCH('Tasks Filter'!$I$4,Setup!$L$6:$L$9,0),0)),OR('Tasks Filter'!$I$5="Both",AND('Tasks Filter'!$I$5="Yes",BB1109="✓"),AND('Tasks Filter'!$I$5="No",BB1109&lt;&gt;"✓")),OR('Tasks Filter'!$L$3="",AV1109='Tasks Filter'!$L$3),OR('Tasks Filter'!$L$4="",AZ1109='Tasks Filter'!$L$4),OR('Tasks Filter'!$L$5="",BC1109='Tasks Filter'!$L$5),OR('Tasks Filter'!$O$3="",BD1109='Tasks Filter'!$O$3),OR('Tasks Filter'!$O$4="Yes",BG1109=0)),1,0))</f>
        <v/>
      </c>
      <c r="BJ1109">
        <f>IF(BH1109=0,"",IF('Tasks Filter'!$F$6="Descending",-1,1)*CHOOSE(MATCH('Tasks Filter'!$F$5,Lists!$G$2:$G$6,0),AW1109,BF1109,IFERROR(MATCH(AV1109,Setup!$F$6:$F$15,0),99),IFERROR(MATCH(BC1109,Setup!$H$6:$H$15,0),99),IFERROR(MATCH(AZ1109,Setup!$J$6:$J$11,0),99))*1E+9+(AW1109-40000)*10000+1108)</f>
        <v/>
      </c>
      <c r="BK1109">
        <f>IF(BI1109=1,BJ1109,"")</f>
        <v/>
      </c>
      <c r="BL1109">
        <f>IF(AND(BH1109=1,BG1109=0,N(AW1109)&lt;Setup!$D$7),(AW1109-40000)*10000+1108,"")</f>
        <v/>
      </c>
      <c r="BM1109">
        <f>IF(AND(BH1109=1,AZ1109&lt;&gt;"Cancelled",N(AW1109)&gt;=Dashboard!$AB$3,N(AW1109)&lt;=Dashboard!$AB$3+6),(AW1109-40000)*100000+BF1109*10000+1108,"")</f>
        <v/>
      </c>
      <c r="BN1109">
        <f>IF(AND(BH1109=1,AZ1109&lt;&gt;"Cancelled"),BF1109*10000+1108,"")</f>
        <v/>
      </c>
    </row>
    <row r="1110">
      <c r="AS1110" t="inlineStr">
        <is>
          <t>R</t>
        </is>
      </c>
      <c r="AT1110" t="n">
        <v>1114</v>
      </c>
      <c r="AU1110">
        <f>'Recurring Log'!C1114&amp;""</f>
        <v/>
      </c>
      <c r="AV1110">
        <f>'Recurring Log'!D1114&amp;""</f>
        <v/>
      </c>
      <c r="AW1110">
        <f>IF('Recurring Log'!E1114="","",'Recurring Log'!E1114)</f>
        <v/>
      </c>
      <c r="AX1110">
        <f>IF('Recurring Log'!G1114="","",'Recurring Log'!G1114)</f>
        <v/>
      </c>
      <c r="AY1110">
        <f>IF('Recurring Log'!H1114="","",'Recurring Log'!H1114)</f>
        <v/>
      </c>
      <c r="AZ1110">
        <f>IF(AU1110="","",IF('Recurring Log'!J1114="","Not Started",'Recurring Log'!J1114))</f>
        <v/>
      </c>
      <c r="BA1110">
        <f>'Recurring Log'!L1114&amp;""</f>
        <v/>
      </c>
      <c r="BB1110">
        <f>'Recurring Log'!M1114&amp;""</f>
        <v/>
      </c>
      <c r="BC1110">
        <f>'Recurring Log'!N1114&amp;""</f>
        <v/>
      </c>
      <c r="BD1110">
        <f>'Recurring Log'!O1114&amp;""</f>
        <v/>
      </c>
      <c r="BE1110">
        <f>IF('Recurring Log'!K1114="","",'Recurring Log'!K1114)</f>
        <v/>
      </c>
      <c r="BF1110">
        <f>IFERROR(MATCH(BA1110,Setup!$L$6:$L$9,0),5)</f>
        <v/>
      </c>
      <c r="BG1110">
        <f>IF(OR(AZ1110="Done",AZ1110="Cancelled"),1,0)</f>
        <v/>
      </c>
      <c r="BH1110">
        <f>IF(AND(AU1110&lt;&gt;"",ISNUMBER(AW1110)),1,0)</f>
        <v/>
      </c>
      <c r="BI1110">
        <f>IF(BH1110=0,0,IF(AND(AW1110&gt;='Tasks Filter'!$F$3,AW1110&lt;='Tasks Filter'!$F$4,OR('Tasks Filter'!$I$3="",ISNUMBER(SEARCH('Tasks Filter'!$I$3,AU1110))),OR('Tasks Filter'!$I$4="",BF1110=IFERROR(MATCH('Tasks Filter'!$I$4,Setup!$L$6:$L$9,0),0)),OR('Tasks Filter'!$I$5="Both",AND('Tasks Filter'!$I$5="Yes",BB1110="✓"),AND('Tasks Filter'!$I$5="No",BB1110&lt;&gt;"✓")),OR('Tasks Filter'!$L$3="",AV1110='Tasks Filter'!$L$3),OR('Tasks Filter'!$L$4="",AZ1110='Tasks Filter'!$L$4),OR('Tasks Filter'!$L$5="",BC1110='Tasks Filter'!$L$5),OR('Tasks Filter'!$O$3="",BD1110='Tasks Filter'!$O$3),OR('Tasks Filter'!$O$4="Yes",BG1110=0)),1,0))</f>
        <v/>
      </c>
      <c r="BJ1110">
        <f>IF(BH1110=0,"",IF('Tasks Filter'!$F$6="Descending",-1,1)*CHOOSE(MATCH('Tasks Filter'!$F$5,Lists!$G$2:$G$6,0),AW1110,BF1110,IFERROR(MATCH(AV1110,Setup!$F$6:$F$15,0),99),IFERROR(MATCH(BC1110,Setup!$H$6:$H$15,0),99),IFERROR(MATCH(AZ1110,Setup!$J$6:$J$11,0),99))*1E+9+(AW1110-40000)*10000+1109)</f>
        <v/>
      </c>
      <c r="BK1110">
        <f>IF(BI1110=1,BJ1110,"")</f>
        <v/>
      </c>
      <c r="BL1110">
        <f>IF(AND(BH1110=1,BG1110=0,N(AW1110)&lt;Setup!$D$7),(AW1110-40000)*10000+1109,"")</f>
        <v/>
      </c>
      <c r="BM1110">
        <f>IF(AND(BH1110=1,AZ1110&lt;&gt;"Cancelled",N(AW1110)&gt;=Dashboard!$AB$3,N(AW1110)&lt;=Dashboard!$AB$3+6),(AW1110-40000)*100000+BF1110*10000+1109,"")</f>
        <v/>
      </c>
      <c r="BN1110">
        <f>IF(AND(BH1110=1,AZ1110&lt;&gt;"Cancelled"),BF1110*10000+1109,"")</f>
        <v/>
      </c>
    </row>
    <row r="1111">
      <c r="AS1111" t="inlineStr">
        <is>
          <t>R</t>
        </is>
      </c>
      <c r="AT1111" t="n">
        <v>1115</v>
      </c>
      <c r="AU1111">
        <f>'Recurring Log'!C1115&amp;""</f>
        <v/>
      </c>
      <c r="AV1111">
        <f>'Recurring Log'!D1115&amp;""</f>
        <v/>
      </c>
      <c r="AW1111">
        <f>IF('Recurring Log'!E1115="","",'Recurring Log'!E1115)</f>
        <v/>
      </c>
      <c r="AX1111">
        <f>IF('Recurring Log'!G1115="","",'Recurring Log'!G1115)</f>
        <v/>
      </c>
      <c r="AY1111">
        <f>IF('Recurring Log'!H1115="","",'Recurring Log'!H1115)</f>
        <v/>
      </c>
      <c r="AZ1111">
        <f>IF(AU1111="","",IF('Recurring Log'!J1115="","Not Started",'Recurring Log'!J1115))</f>
        <v/>
      </c>
      <c r="BA1111">
        <f>'Recurring Log'!L1115&amp;""</f>
        <v/>
      </c>
      <c r="BB1111">
        <f>'Recurring Log'!M1115&amp;""</f>
        <v/>
      </c>
      <c r="BC1111">
        <f>'Recurring Log'!N1115&amp;""</f>
        <v/>
      </c>
      <c r="BD1111">
        <f>'Recurring Log'!O1115&amp;""</f>
        <v/>
      </c>
      <c r="BE1111">
        <f>IF('Recurring Log'!K1115="","",'Recurring Log'!K1115)</f>
        <v/>
      </c>
      <c r="BF1111">
        <f>IFERROR(MATCH(BA1111,Setup!$L$6:$L$9,0),5)</f>
        <v/>
      </c>
      <c r="BG1111">
        <f>IF(OR(AZ1111="Done",AZ1111="Cancelled"),1,0)</f>
        <v/>
      </c>
      <c r="BH1111">
        <f>IF(AND(AU1111&lt;&gt;"",ISNUMBER(AW1111)),1,0)</f>
        <v/>
      </c>
      <c r="BI1111">
        <f>IF(BH1111=0,0,IF(AND(AW1111&gt;='Tasks Filter'!$F$3,AW1111&lt;='Tasks Filter'!$F$4,OR('Tasks Filter'!$I$3="",ISNUMBER(SEARCH('Tasks Filter'!$I$3,AU1111))),OR('Tasks Filter'!$I$4="",BF1111=IFERROR(MATCH('Tasks Filter'!$I$4,Setup!$L$6:$L$9,0),0)),OR('Tasks Filter'!$I$5="Both",AND('Tasks Filter'!$I$5="Yes",BB1111="✓"),AND('Tasks Filter'!$I$5="No",BB1111&lt;&gt;"✓")),OR('Tasks Filter'!$L$3="",AV1111='Tasks Filter'!$L$3),OR('Tasks Filter'!$L$4="",AZ1111='Tasks Filter'!$L$4),OR('Tasks Filter'!$L$5="",BC1111='Tasks Filter'!$L$5),OR('Tasks Filter'!$O$3="",BD1111='Tasks Filter'!$O$3),OR('Tasks Filter'!$O$4="Yes",BG1111=0)),1,0))</f>
        <v/>
      </c>
      <c r="BJ1111">
        <f>IF(BH1111=0,"",IF('Tasks Filter'!$F$6="Descending",-1,1)*CHOOSE(MATCH('Tasks Filter'!$F$5,Lists!$G$2:$G$6,0),AW1111,BF1111,IFERROR(MATCH(AV1111,Setup!$F$6:$F$15,0),99),IFERROR(MATCH(BC1111,Setup!$H$6:$H$15,0),99),IFERROR(MATCH(AZ1111,Setup!$J$6:$J$11,0),99))*1E+9+(AW1111-40000)*10000+1110)</f>
        <v/>
      </c>
      <c r="BK1111">
        <f>IF(BI1111=1,BJ1111,"")</f>
        <v/>
      </c>
      <c r="BL1111">
        <f>IF(AND(BH1111=1,BG1111=0,N(AW1111)&lt;Setup!$D$7),(AW1111-40000)*10000+1110,"")</f>
        <v/>
      </c>
      <c r="BM1111">
        <f>IF(AND(BH1111=1,AZ1111&lt;&gt;"Cancelled",N(AW1111)&gt;=Dashboard!$AB$3,N(AW1111)&lt;=Dashboard!$AB$3+6),(AW1111-40000)*100000+BF1111*10000+1110,"")</f>
        <v/>
      </c>
      <c r="BN1111">
        <f>IF(AND(BH1111=1,AZ1111&lt;&gt;"Cancelled"),BF1111*10000+1110,"")</f>
        <v/>
      </c>
    </row>
    <row r="1112">
      <c r="AS1112" t="inlineStr">
        <is>
          <t>R</t>
        </is>
      </c>
      <c r="AT1112" t="n">
        <v>1116</v>
      </c>
      <c r="AU1112">
        <f>'Recurring Log'!C1116&amp;""</f>
        <v/>
      </c>
      <c r="AV1112">
        <f>'Recurring Log'!D1116&amp;""</f>
        <v/>
      </c>
      <c r="AW1112">
        <f>IF('Recurring Log'!E1116="","",'Recurring Log'!E1116)</f>
        <v/>
      </c>
      <c r="AX1112">
        <f>IF('Recurring Log'!G1116="","",'Recurring Log'!G1116)</f>
        <v/>
      </c>
      <c r="AY1112">
        <f>IF('Recurring Log'!H1116="","",'Recurring Log'!H1116)</f>
        <v/>
      </c>
      <c r="AZ1112">
        <f>IF(AU1112="","",IF('Recurring Log'!J1116="","Not Started",'Recurring Log'!J1116))</f>
        <v/>
      </c>
      <c r="BA1112">
        <f>'Recurring Log'!L1116&amp;""</f>
        <v/>
      </c>
      <c r="BB1112">
        <f>'Recurring Log'!M1116&amp;""</f>
        <v/>
      </c>
      <c r="BC1112">
        <f>'Recurring Log'!N1116&amp;""</f>
        <v/>
      </c>
      <c r="BD1112">
        <f>'Recurring Log'!O1116&amp;""</f>
        <v/>
      </c>
      <c r="BE1112">
        <f>IF('Recurring Log'!K1116="","",'Recurring Log'!K1116)</f>
        <v/>
      </c>
      <c r="BF1112">
        <f>IFERROR(MATCH(BA1112,Setup!$L$6:$L$9,0),5)</f>
        <v/>
      </c>
      <c r="BG1112">
        <f>IF(OR(AZ1112="Done",AZ1112="Cancelled"),1,0)</f>
        <v/>
      </c>
      <c r="BH1112">
        <f>IF(AND(AU1112&lt;&gt;"",ISNUMBER(AW1112)),1,0)</f>
        <v/>
      </c>
      <c r="BI1112">
        <f>IF(BH1112=0,0,IF(AND(AW1112&gt;='Tasks Filter'!$F$3,AW1112&lt;='Tasks Filter'!$F$4,OR('Tasks Filter'!$I$3="",ISNUMBER(SEARCH('Tasks Filter'!$I$3,AU1112))),OR('Tasks Filter'!$I$4="",BF1112=IFERROR(MATCH('Tasks Filter'!$I$4,Setup!$L$6:$L$9,0),0)),OR('Tasks Filter'!$I$5="Both",AND('Tasks Filter'!$I$5="Yes",BB1112="✓"),AND('Tasks Filter'!$I$5="No",BB1112&lt;&gt;"✓")),OR('Tasks Filter'!$L$3="",AV1112='Tasks Filter'!$L$3),OR('Tasks Filter'!$L$4="",AZ1112='Tasks Filter'!$L$4),OR('Tasks Filter'!$L$5="",BC1112='Tasks Filter'!$L$5),OR('Tasks Filter'!$O$3="",BD1112='Tasks Filter'!$O$3),OR('Tasks Filter'!$O$4="Yes",BG1112=0)),1,0))</f>
        <v/>
      </c>
      <c r="BJ1112">
        <f>IF(BH1112=0,"",IF('Tasks Filter'!$F$6="Descending",-1,1)*CHOOSE(MATCH('Tasks Filter'!$F$5,Lists!$G$2:$G$6,0),AW1112,BF1112,IFERROR(MATCH(AV1112,Setup!$F$6:$F$15,0),99),IFERROR(MATCH(BC1112,Setup!$H$6:$H$15,0),99),IFERROR(MATCH(AZ1112,Setup!$J$6:$J$11,0),99))*1E+9+(AW1112-40000)*10000+1111)</f>
        <v/>
      </c>
      <c r="BK1112">
        <f>IF(BI1112=1,BJ1112,"")</f>
        <v/>
      </c>
      <c r="BL1112">
        <f>IF(AND(BH1112=1,BG1112=0,N(AW1112)&lt;Setup!$D$7),(AW1112-40000)*10000+1111,"")</f>
        <v/>
      </c>
      <c r="BM1112">
        <f>IF(AND(BH1112=1,AZ1112&lt;&gt;"Cancelled",N(AW1112)&gt;=Dashboard!$AB$3,N(AW1112)&lt;=Dashboard!$AB$3+6),(AW1112-40000)*100000+BF1112*10000+1111,"")</f>
        <v/>
      </c>
      <c r="BN1112">
        <f>IF(AND(BH1112=1,AZ1112&lt;&gt;"Cancelled"),BF1112*10000+1111,"")</f>
        <v/>
      </c>
    </row>
    <row r="1113">
      <c r="AS1113" t="inlineStr">
        <is>
          <t>R</t>
        </is>
      </c>
      <c r="AT1113" t="n">
        <v>1117</v>
      </c>
      <c r="AU1113">
        <f>'Recurring Log'!C1117&amp;""</f>
        <v/>
      </c>
      <c r="AV1113">
        <f>'Recurring Log'!D1117&amp;""</f>
        <v/>
      </c>
      <c r="AW1113">
        <f>IF('Recurring Log'!E1117="","",'Recurring Log'!E1117)</f>
        <v/>
      </c>
      <c r="AX1113">
        <f>IF('Recurring Log'!G1117="","",'Recurring Log'!G1117)</f>
        <v/>
      </c>
      <c r="AY1113">
        <f>IF('Recurring Log'!H1117="","",'Recurring Log'!H1117)</f>
        <v/>
      </c>
      <c r="AZ1113">
        <f>IF(AU1113="","",IF('Recurring Log'!J1117="","Not Started",'Recurring Log'!J1117))</f>
        <v/>
      </c>
      <c r="BA1113">
        <f>'Recurring Log'!L1117&amp;""</f>
        <v/>
      </c>
      <c r="BB1113">
        <f>'Recurring Log'!M1117&amp;""</f>
        <v/>
      </c>
      <c r="BC1113">
        <f>'Recurring Log'!N1117&amp;""</f>
        <v/>
      </c>
      <c r="BD1113">
        <f>'Recurring Log'!O1117&amp;""</f>
        <v/>
      </c>
      <c r="BE1113">
        <f>IF('Recurring Log'!K1117="","",'Recurring Log'!K1117)</f>
        <v/>
      </c>
      <c r="BF1113">
        <f>IFERROR(MATCH(BA1113,Setup!$L$6:$L$9,0),5)</f>
        <v/>
      </c>
      <c r="BG1113">
        <f>IF(OR(AZ1113="Done",AZ1113="Cancelled"),1,0)</f>
        <v/>
      </c>
      <c r="BH1113">
        <f>IF(AND(AU1113&lt;&gt;"",ISNUMBER(AW1113)),1,0)</f>
        <v/>
      </c>
      <c r="BI1113">
        <f>IF(BH1113=0,0,IF(AND(AW1113&gt;='Tasks Filter'!$F$3,AW1113&lt;='Tasks Filter'!$F$4,OR('Tasks Filter'!$I$3="",ISNUMBER(SEARCH('Tasks Filter'!$I$3,AU1113))),OR('Tasks Filter'!$I$4="",BF1113=IFERROR(MATCH('Tasks Filter'!$I$4,Setup!$L$6:$L$9,0),0)),OR('Tasks Filter'!$I$5="Both",AND('Tasks Filter'!$I$5="Yes",BB1113="✓"),AND('Tasks Filter'!$I$5="No",BB1113&lt;&gt;"✓")),OR('Tasks Filter'!$L$3="",AV1113='Tasks Filter'!$L$3),OR('Tasks Filter'!$L$4="",AZ1113='Tasks Filter'!$L$4),OR('Tasks Filter'!$L$5="",BC1113='Tasks Filter'!$L$5),OR('Tasks Filter'!$O$3="",BD1113='Tasks Filter'!$O$3),OR('Tasks Filter'!$O$4="Yes",BG1113=0)),1,0))</f>
        <v/>
      </c>
      <c r="BJ1113">
        <f>IF(BH1113=0,"",IF('Tasks Filter'!$F$6="Descending",-1,1)*CHOOSE(MATCH('Tasks Filter'!$F$5,Lists!$G$2:$G$6,0),AW1113,BF1113,IFERROR(MATCH(AV1113,Setup!$F$6:$F$15,0),99),IFERROR(MATCH(BC1113,Setup!$H$6:$H$15,0),99),IFERROR(MATCH(AZ1113,Setup!$J$6:$J$11,0),99))*1E+9+(AW1113-40000)*10000+1112)</f>
        <v/>
      </c>
      <c r="BK1113">
        <f>IF(BI1113=1,BJ1113,"")</f>
        <v/>
      </c>
      <c r="BL1113">
        <f>IF(AND(BH1113=1,BG1113=0,N(AW1113)&lt;Setup!$D$7),(AW1113-40000)*10000+1112,"")</f>
        <v/>
      </c>
      <c r="BM1113">
        <f>IF(AND(BH1113=1,AZ1113&lt;&gt;"Cancelled",N(AW1113)&gt;=Dashboard!$AB$3,N(AW1113)&lt;=Dashboard!$AB$3+6),(AW1113-40000)*100000+BF1113*10000+1112,"")</f>
        <v/>
      </c>
      <c r="BN1113">
        <f>IF(AND(BH1113=1,AZ1113&lt;&gt;"Cancelled"),BF1113*10000+1112,"")</f>
        <v/>
      </c>
    </row>
    <row r="1114">
      <c r="AS1114" t="inlineStr">
        <is>
          <t>R</t>
        </is>
      </c>
      <c r="AT1114" t="n">
        <v>1118</v>
      </c>
      <c r="AU1114">
        <f>'Recurring Log'!C1118&amp;""</f>
        <v/>
      </c>
      <c r="AV1114">
        <f>'Recurring Log'!D1118&amp;""</f>
        <v/>
      </c>
      <c r="AW1114">
        <f>IF('Recurring Log'!E1118="","",'Recurring Log'!E1118)</f>
        <v/>
      </c>
      <c r="AX1114">
        <f>IF('Recurring Log'!G1118="","",'Recurring Log'!G1118)</f>
        <v/>
      </c>
      <c r="AY1114">
        <f>IF('Recurring Log'!H1118="","",'Recurring Log'!H1118)</f>
        <v/>
      </c>
      <c r="AZ1114">
        <f>IF(AU1114="","",IF('Recurring Log'!J1118="","Not Started",'Recurring Log'!J1118))</f>
        <v/>
      </c>
      <c r="BA1114">
        <f>'Recurring Log'!L1118&amp;""</f>
        <v/>
      </c>
      <c r="BB1114">
        <f>'Recurring Log'!M1118&amp;""</f>
        <v/>
      </c>
      <c r="BC1114">
        <f>'Recurring Log'!N1118&amp;""</f>
        <v/>
      </c>
      <c r="BD1114">
        <f>'Recurring Log'!O1118&amp;""</f>
        <v/>
      </c>
      <c r="BE1114">
        <f>IF('Recurring Log'!K1118="","",'Recurring Log'!K1118)</f>
        <v/>
      </c>
      <c r="BF1114">
        <f>IFERROR(MATCH(BA1114,Setup!$L$6:$L$9,0),5)</f>
        <v/>
      </c>
      <c r="BG1114">
        <f>IF(OR(AZ1114="Done",AZ1114="Cancelled"),1,0)</f>
        <v/>
      </c>
      <c r="BH1114">
        <f>IF(AND(AU1114&lt;&gt;"",ISNUMBER(AW1114)),1,0)</f>
        <v/>
      </c>
      <c r="BI1114">
        <f>IF(BH1114=0,0,IF(AND(AW1114&gt;='Tasks Filter'!$F$3,AW1114&lt;='Tasks Filter'!$F$4,OR('Tasks Filter'!$I$3="",ISNUMBER(SEARCH('Tasks Filter'!$I$3,AU1114))),OR('Tasks Filter'!$I$4="",BF1114=IFERROR(MATCH('Tasks Filter'!$I$4,Setup!$L$6:$L$9,0),0)),OR('Tasks Filter'!$I$5="Both",AND('Tasks Filter'!$I$5="Yes",BB1114="✓"),AND('Tasks Filter'!$I$5="No",BB1114&lt;&gt;"✓")),OR('Tasks Filter'!$L$3="",AV1114='Tasks Filter'!$L$3),OR('Tasks Filter'!$L$4="",AZ1114='Tasks Filter'!$L$4),OR('Tasks Filter'!$L$5="",BC1114='Tasks Filter'!$L$5),OR('Tasks Filter'!$O$3="",BD1114='Tasks Filter'!$O$3),OR('Tasks Filter'!$O$4="Yes",BG1114=0)),1,0))</f>
        <v/>
      </c>
      <c r="BJ1114">
        <f>IF(BH1114=0,"",IF('Tasks Filter'!$F$6="Descending",-1,1)*CHOOSE(MATCH('Tasks Filter'!$F$5,Lists!$G$2:$G$6,0),AW1114,BF1114,IFERROR(MATCH(AV1114,Setup!$F$6:$F$15,0),99),IFERROR(MATCH(BC1114,Setup!$H$6:$H$15,0),99),IFERROR(MATCH(AZ1114,Setup!$J$6:$J$11,0),99))*1E+9+(AW1114-40000)*10000+1113)</f>
        <v/>
      </c>
      <c r="BK1114">
        <f>IF(BI1114=1,BJ1114,"")</f>
        <v/>
      </c>
      <c r="BL1114">
        <f>IF(AND(BH1114=1,BG1114=0,N(AW1114)&lt;Setup!$D$7),(AW1114-40000)*10000+1113,"")</f>
        <v/>
      </c>
      <c r="BM1114">
        <f>IF(AND(BH1114=1,AZ1114&lt;&gt;"Cancelled",N(AW1114)&gt;=Dashboard!$AB$3,N(AW1114)&lt;=Dashboard!$AB$3+6),(AW1114-40000)*100000+BF1114*10000+1113,"")</f>
        <v/>
      </c>
      <c r="BN1114">
        <f>IF(AND(BH1114=1,AZ1114&lt;&gt;"Cancelled"),BF1114*10000+1113,"")</f>
        <v/>
      </c>
    </row>
    <row r="1115">
      <c r="AS1115" t="inlineStr">
        <is>
          <t>R</t>
        </is>
      </c>
      <c r="AT1115" t="n">
        <v>1119</v>
      </c>
      <c r="AU1115">
        <f>'Recurring Log'!C1119&amp;""</f>
        <v/>
      </c>
      <c r="AV1115">
        <f>'Recurring Log'!D1119&amp;""</f>
        <v/>
      </c>
      <c r="AW1115">
        <f>IF('Recurring Log'!E1119="","",'Recurring Log'!E1119)</f>
        <v/>
      </c>
      <c r="AX1115">
        <f>IF('Recurring Log'!G1119="","",'Recurring Log'!G1119)</f>
        <v/>
      </c>
      <c r="AY1115">
        <f>IF('Recurring Log'!H1119="","",'Recurring Log'!H1119)</f>
        <v/>
      </c>
      <c r="AZ1115">
        <f>IF(AU1115="","",IF('Recurring Log'!J1119="","Not Started",'Recurring Log'!J1119))</f>
        <v/>
      </c>
      <c r="BA1115">
        <f>'Recurring Log'!L1119&amp;""</f>
        <v/>
      </c>
      <c r="BB1115">
        <f>'Recurring Log'!M1119&amp;""</f>
        <v/>
      </c>
      <c r="BC1115">
        <f>'Recurring Log'!N1119&amp;""</f>
        <v/>
      </c>
      <c r="BD1115">
        <f>'Recurring Log'!O1119&amp;""</f>
        <v/>
      </c>
      <c r="BE1115">
        <f>IF('Recurring Log'!K1119="","",'Recurring Log'!K1119)</f>
        <v/>
      </c>
      <c r="BF1115">
        <f>IFERROR(MATCH(BA1115,Setup!$L$6:$L$9,0),5)</f>
        <v/>
      </c>
      <c r="BG1115">
        <f>IF(OR(AZ1115="Done",AZ1115="Cancelled"),1,0)</f>
        <v/>
      </c>
      <c r="BH1115">
        <f>IF(AND(AU1115&lt;&gt;"",ISNUMBER(AW1115)),1,0)</f>
        <v/>
      </c>
      <c r="BI1115">
        <f>IF(BH1115=0,0,IF(AND(AW1115&gt;='Tasks Filter'!$F$3,AW1115&lt;='Tasks Filter'!$F$4,OR('Tasks Filter'!$I$3="",ISNUMBER(SEARCH('Tasks Filter'!$I$3,AU1115))),OR('Tasks Filter'!$I$4="",BF1115=IFERROR(MATCH('Tasks Filter'!$I$4,Setup!$L$6:$L$9,0),0)),OR('Tasks Filter'!$I$5="Both",AND('Tasks Filter'!$I$5="Yes",BB1115="✓"),AND('Tasks Filter'!$I$5="No",BB1115&lt;&gt;"✓")),OR('Tasks Filter'!$L$3="",AV1115='Tasks Filter'!$L$3),OR('Tasks Filter'!$L$4="",AZ1115='Tasks Filter'!$L$4),OR('Tasks Filter'!$L$5="",BC1115='Tasks Filter'!$L$5),OR('Tasks Filter'!$O$3="",BD1115='Tasks Filter'!$O$3),OR('Tasks Filter'!$O$4="Yes",BG1115=0)),1,0))</f>
        <v/>
      </c>
      <c r="BJ1115">
        <f>IF(BH1115=0,"",IF('Tasks Filter'!$F$6="Descending",-1,1)*CHOOSE(MATCH('Tasks Filter'!$F$5,Lists!$G$2:$G$6,0),AW1115,BF1115,IFERROR(MATCH(AV1115,Setup!$F$6:$F$15,0),99),IFERROR(MATCH(BC1115,Setup!$H$6:$H$15,0),99),IFERROR(MATCH(AZ1115,Setup!$J$6:$J$11,0),99))*1E+9+(AW1115-40000)*10000+1114)</f>
        <v/>
      </c>
      <c r="BK1115">
        <f>IF(BI1115=1,BJ1115,"")</f>
        <v/>
      </c>
      <c r="BL1115">
        <f>IF(AND(BH1115=1,BG1115=0,N(AW1115)&lt;Setup!$D$7),(AW1115-40000)*10000+1114,"")</f>
        <v/>
      </c>
      <c r="BM1115">
        <f>IF(AND(BH1115=1,AZ1115&lt;&gt;"Cancelled",N(AW1115)&gt;=Dashboard!$AB$3,N(AW1115)&lt;=Dashboard!$AB$3+6),(AW1115-40000)*100000+BF1115*10000+1114,"")</f>
        <v/>
      </c>
      <c r="BN1115">
        <f>IF(AND(BH1115=1,AZ1115&lt;&gt;"Cancelled"),BF1115*10000+1114,"")</f>
        <v/>
      </c>
    </row>
    <row r="1116">
      <c r="AS1116" t="inlineStr">
        <is>
          <t>R</t>
        </is>
      </c>
      <c r="AT1116" t="n">
        <v>1120</v>
      </c>
      <c r="AU1116">
        <f>'Recurring Log'!C1120&amp;""</f>
        <v/>
      </c>
      <c r="AV1116">
        <f>'Recurring Log'!D1120&amp;""</f>
        <v/>
      </c>
      <c r="AW1116">
        <f>IF('Recurring Log'!E1120="","",'Recurring Log'!E1120)</f>
        <v/>
      </c>
      <c r="AX1116">
        <f>IF('Recurring Log'!G1120="","",'Recurring Log'!G1120)</f>
        <v/>
      </c>
      <c r="AY1116">
        <f>IF('Recurring Log'!H1120="","",'Recurring Log'!H1120)</f>
        <v/>
      </c>
      <c r="AZ1116">
        <f>IF(AU1116="","",IF('Recurring Log'!J1120="","Not Started",'Recurring Log'!J1120))</f>
        <v/>
      </c>
      <c r="BA1116">
        <f>'Recurring Log'!L1120&amp;""</f>
        <v/>
      </c>
      <c r="BB1116">
        <f>'Recurring Log'!M1120&amp;""</f>
        <v/>
      </c>
      <c r="BC1116">
        <f>'Recurring Log'!N1120&amp;""</f>
        <v/>
      </c>
      <c r="BD1116">
        <f>'Recurring Log'!O1120&amp;""</f>
        <v/>
      </c>
      <c r="BE1116">
        <f>IF('Recurring Log'!K1120="","",'Recurring Log'!K1120)</f>
        <v/>
      </c>
      <c r="BF1116">
        <f>IFERROR(MATCH(BA1116,Setup!$L$6:$L$9,0),5)</f>
        <v/>
      </c>
      <c r="BG1116">
        <f>IF(OR(AZ1116="Done",AZ1116="Cancelled"),1,0)</f>
        <v/>
      </c>
      <c r="BH1116">
        <f>IF(AND(AU1116&lt;&gt;"",ISNUMBER(AW1116)),1,0)</f>
        <v/>
      </c>
      <c r="BI1116">
        <f>IF(BH1116=0,0,IF(AND(AW1116&gt;='Tasks Filter'!$F$3,AW1116&lt;='Tasks Filter'!$F$4,OR('Tasks Filter'!$I$3="",ISNUMBER(SEARCH('Tasks Filter'!$I$3,AU1116))),OR('Tasks Filter'!$I$4="",BF1116=IFERROR(MATCH('Tasks Filter'!$I$4,Setup!$L$6:$L$9,0),0)),OR('Tasks Filter'!$I$5="Both",AND('Tasks Filter'!$I$5="Yes",BB1116="✓"),AND('Tasks Filter'!$I$5="No",BB1116&lt;&gt;"✓")),OR('Tasks Filter'!$L$3="",AV1116='Tasks Filter'!$L$3),OR('Tasks Filter'!$L$4="",AZ1116='Tasks Filter'!$L$4),OR('Tasks Filter'!$L$5="",BC1116='Tasks Filter'!$L$5),OR('Tasks Filter'!$O$3="",BD1116='Tasks Filter'!$O$3),OR('Tasks Filter'!$O$4="Yes",BG1116=0)),1,0))</f>
        <v/>
      </c>
      <c r="BJ1116">
        <f>IF(BH1116=0,"",IF('Tasks Filter'!$F$6="Descending",-1,1)*CHOOSE(MATCH('Tasks Filter'!$F$5,Lists!$G$2:$G$6,0),AW1116,BF1116,IFERROR(MATCH(AV1116,Setup!$F$6:$F$15,0),99),IFERROR(MATCH(BC1116,Setup!$H$6:$H$15,0),99),IFERROR(MATCH(AZ1116,Setup!$J$6:$J$11,0),99))*1E+9+(AW1116-40000)*10000+1115)</f>
        <v/>
      </c>
      <c r="BK1116">
        <f>IF(BI1116=1,BJ1116,"")</f>
        <v/>
      </c>
      <c r="BL1116">
        <f>IF(AND(BH1116=1,BG1116=0,N(AW1116)&lt;Setup!$D$7),(AW1116-40000)*10000+1115,"")</f>
        <v/>
      </c>
      <c r="BM1116">
        <f>IF(AND(BH1116=1,AZ1116&lt;&gt;"Cancelled",N(AW1116)&gt;=Dashboard!$AB$3,N(AW1116)&lt;=Dashboard!$AB$3+6),(AW1116-40000)*100000+BF1116*10000+1115,"")</f>
        <v/>
      </c>
      <c r="BN1116">
        <f>IF(AND(BH1116=1,AZ1116&lt;&gt;"Cancelled"),BF1116*10000+1115,"")</f>
        <v/>
      </c>
    </row>
    <row r="1117">
      <c r="AS1117" t="inlineStr">
        <is>
          <t>R</t>
        </is>
      </c>
      <c r="AT1117" t="n">
        <v>1121</v>
      </c>
      <c r="AU1117">
        <f>'Recurring Log'!C1121&amp;""</f>
        <v/>
      </c>
      <c r="AV1117">
        <f>'Recurring Log'!D1121&amp;""</f>
        <v/>
      </c>
      <c r="AW1117">
        <f>IF('Recurring Log'!E1121="","",'Recurring Log'!E1121)</f>
        <v/>
      </c>
      <c r="AX1117">
        <f>IF('Recurring Log'!G1121="","",'Recurring Log'!G1121)</f>
        <v/>
      </c>
      <c r="AY1117">
        <f>IF('Recurring Log'!H1121="","",'Recurring Log'!H1121)</f>
        <v/>
      </c>
      <c r="AZ1117">
        <f>IF(AU1117="","",IF('Recurring Log'!J1121="","Not Started",'Recurring Log'!J1121))</f>
        <v/>
      </c>
      <c r="BA1117">
        <f>'Recurring Log'!L1121&amp;""</f>
        <v/>
      </c>
      <c r="BB1117">
        <f>'Recurring Log'!M1121&amp;""</f>
        <v/>
      </c>
      <c r="BC1117">
        <f>'Recurring Log'!N1121&amp;""</f>
        <v/>
      </c>
      <c r="BD1117">
        <f>'Recurring Log'!O1121&amp;""</f>
        <v/>
      </c>
      <c r="BE1117">
        <f>IF('Recurring Log'!K1121="","",'Recurring Log'!K1121)</f>
        <v/>
      </c>
      <c r="BF1117">
        <f>IFERROR(MATCH(BA1117,Setup!$L$6:$L$9,0),5)</f>
        <v/>
      </c>
      <c r="BG1117">
        <f>IF(OR(AZ1117="Done",AZ1117="Cancelled"),1,0)</f>
        <v/>
      </c>
      <c r="BH1117">
        <f>IF(AND(AU1117&lt;&gt;"",ISNUMBER(AW1117)),1,0)</f>
        <v/>
      </c>
      <c r="BI1117">
        <f>IF(BH1117=0,0,IF(AND(AW1117&gt;='Tasks Filter'!$F$3,AW1117&lt;='Tasks Filter'!$F$4,OR('Tasks Filter'!$I$3="",ISNUMBER(SEARCH('Tasks Filter'!$I$3,AU1117))),OR('Tasks Filter'!$I$4="",BF1117=IFERROR(MATCH('Tasks Filter'!$I$4,Setup!$L$6:$L$9,0),0)),OR('Tasks Filter'!$I$5="Both",AND('Tasks Filter'!$I$5="Yes",BB1117="✓"),AND('Tasks Filter'!$I$5="No",BB1117&lt;&gt;"✓")),OR('Tasks Filter'!$L$3="",AV1117='Tasks Filter'!$L$3),OR('Tasks Filter'!$L$4="",AZ1117='Tasks Filter'!$L$4),OR('Tasks Filter'!$L$5="",BC1117='Tasks Filter'!$L$5),OR('Tasks Filter'!$O$3="",BD1117='Tasks Filter'!$O$3),OR('Tasks Filter'!$O$4="Yes",BG1117=0)),1,0))</f>
        <v/>
      </c>
      <c r="BJ1117">
        <f>IF(BH1117=0,"",IF('Tasks Filter'!$F$6="Descending",-1,1)*CHOOSE(MATCH('Tasks Filter'!$F$5,Lists!$G$2:$G$6,0),AW1117,BF1117,IFERROR(MATCH(AV1117,Setup!$F$6:$F$15,0),99),IFERROR(MATCH(BC1117,Setup!$H$6:$H$15,0),99),IFERROR(MATCH(AZ1117,Setup!$J$6:$J$11,0),99))*1E+9+(AW1117-40000)*10000+1116)</f>
        <v/>
      </c>
      <c r="BK1117">
        <f>IF(BI1117=1,BJ1117,"")</f>
        <v/>
      </c>
      <c r="BL1117">
        <f>IF(AND(BH1117=1,BG1117=0,N(AW1117)&lt;Setup!$D$7),(AW1117-40000)*10000+1116,"")</f>
        <v/>
      </c>
      <c r="BM1117">
        <f>IF(AND(BH1117=1,AZ1117&lt;&gt;"Cancelled",N(AW1117)&gt;=Dashboard!$AB$3,N(AW1117)&lt;=Dashboard!$AB$3+6),(AW1117-40000)*100000+BF1117*10000+1116,"")</f>
        <v/>
      </c>
      <c r="BN1117">
        <f>IF(AND(BH1117=1,AZ1117&lt;&gt;"Cancelled"),BF1117*10000+1116,"")</f>
        <v/>
      </c>
    </row>
    <row r="1118">
      <c r="AS1118" t="inlineStr">
        <is>
          <t>R</t>
        </is>
      </c>
      <c r="AT1118" t="n">
        <v>1122</v>
      </c>
      <c r="AU1118">
        <f>'Recurring Log'!C1122&amp;""</f>
        <v/>
      </c>
      <c r="AV1118">
        <f>'Recurring Log'!D1122&amp;""</f>
        <v/>
      </c>
      <c r="AW1118">
        <f>IF('Recurring Log'!E1122="","",'Recurring Log'!E1122)</f>
        <v/>
      </c>
      <c r="AX1118">
        <f>IF('Recurring Log'!G1122="","",'Recurring Log'!G1122)</f>
        <v/>
      </c>
      <c r="AY1118">
        <f>IF('Recurring Log'!H1122="","",'Recurring Log'!H1122)</f>
        <v/>
      </c>
      <c r="AZ1118">
        <f>IF(AU1118="","",IF('Recurring Log'!J1122="","Not Started",'Recurring Log'!J1122))</f>
        <v/>
      </c>
      <c r="BA1118">
        <f>'Recurring Log'!L1122&amp;""</f>
        <v/>
      </c>
      <c r="BB1118">
        <f>'Recurring Log'!M1122&amp;""</f>
        <v/>
      </c>
      <c r="BC1118">
        <f>'Recurring Log'!N1122&amp;""</f>
        <v/>
      </c>
      <c r="BD1118">
        <f>'Recurring Log'!O1122&amp;""</f>
        <v/>
      </c>
      <c r="BE1118">
        <f>IF('Recurring Log'!K1122="","",'Recurring Log'!K1122)</f>
        <v/>
      </c>
      <c r="BF1118">
        <f>IFERROR(MATCH(BA1118,Setup!$L$6:$L$9,0),5)</f>
        <v/>
      </c>
      <c r="BG1118">
        <f>IF(OR(AZ1118="Done",AZ1118="Cancelled"),1,0)</f>
        <v/>
      </c>
      <c r="BH1118">
        <f>IF(AND(AU1118&lt;&gt;"",ISNUMBER(AW1118)),1,0)</f>
        <v/>
      </c>
      <c r="BI1118">
        <f>IF(BH1118=0,0,IF(AND(AW1118&gt;='Tasks Filter'!$F$3,AW1118&lt;='Tasks Filter'!$F$4,OR('Tasks Filter'!$I$3="",ISNUMBER(SEARCH('Tasks Filter'!$I$3,AU1118))),OR('Tasks Filter'!$I$4="",BF1118=IFERROR(MATCH('Tasks Filter'!$I$4,Setup!$L$6:$L$9,0),0)),OR('Tasks Filter'!$I$5="Both",AND('Tasks Filter'!$I$5="Yes",BB1118="✓"),AND('Tasks Filter'!$I$5="No",BB1118&lt;&gt;"✓")),OR('Tasks Filter'!$L$3="",AV1118='Tasks Filter'!$L$3),OR('Tasks Filter'!$L$4="",AZ1118='Tasks Filter'!$L$4),OR('Tasks Filter'!$L$5="",BC1118='Tasks Filter'!$L$5),OR('Tasks Filter'!$O$3="",BD1118='Tasks Filter'!$O$3),OR('Tasks Filter'!$O$4="Yes",BG1118=0)),1,0))</f>
        <v/>
      </c>
      <c r="BJ1118">
        <f>IF(BH1118=0,"",IF('Tasks Filter'!$F$6="Descending",-1,1)*CHOOSE(MATCH('Tasks Filter'!$F$5,Lists!$G$2:$G$6,0),AW1118,BF1118,IFERROR(MATCH(AV1118,Setup!$F$6:$F$15,0),99),IFERROR(MATCH(BC1118,Setup!$H$6:$H$15,0),99),IFERROR(MATCH(AZ1118,Setup!$J$6:$J$11,0),99))*1E+9+(AW1118-40000)*10000+1117)</f>
        <v/>
      </c>
      <c r="BK1118">
        <f>IF(BI1118=1,BJ1118,"")</f>
        <v/>
      </c>
      <c r="BL1118">
        <f>IF(AND(BH1118=1,BG1118=0,N(AW1118)&lt;Setup!$D$7),(AW1118-40000)*10000+1117,"")</f>
        <v/>
      </c>
      <c r="BM1118">
        <f>IF(AND(BH1118=1,AZ1118&lt;&gt;"Cancelled",N(AW1118)&gt;=Dashboard!$AB$3,N(AW1118)&lt;=Dashboard!$AB$3+6),(AW1118-40000)*100000+BF1118*10000+1117,"")</f>
        <v/>
      </c>
      <c r="BN1118">
        <f>IF(AND(BH1118=1,AZ1118&lt;&gt;"Cancelled"),BF1118*10000+1117,"")</f>
        <v/>
      </c>
    </row>
    <row r="1119">
      <c r="AS1119" t="inlineStr">
        <is>
          <t>R</t>
        </is>
      </c>
      <c r="AT1119" t="n">
        <v>1123</v>
      </c>
      <c r="AU1119">
        <f>'Recurring Log'!C1123&amp;""</f>
        <v/>
      </c>
      <c r="AV1119">
        <f>'Recurring Log'!D1123&amp;""</f>
        <v/>
      </c>
      <c r="AW1119">
        <f>IF('Recurring Log'!E1123="","",'Recurring Log'!E1123)</f>
        <v/>
      </c>
      <c r="AX1119">
        <f>IF('Recurring Log'!G1123="","",'Recurring Log'!G1123)</f>
        <v/>
      </c>
      <c r="AY1119">
        <f>IF('Recurring Log'!H1123="","",'Recurring Log'!H1123)</f>
        <v/>
      </c>
      <c r="AZ1119">
        <f>IF(AU1119="","",IF('Recurring Log'!J1123="","Not Started",'Recurring Log'!J1123))</f>
        <v/>
      </c>
      <c r="BA1119">
        <f>'Recurring Log'!L1123&amp;""</f>
        <v/>
      </c>
      <c r="BB1119">
        <f>'Recurring Log'!M1123&amp;""</f>
        <v/>
      </c>
      <c r="BC1119">
        <f>'Recurring Log'!N1123&amp;""</f>
        <v/>
      </c>
      <c r="BD1119">
        <f>'Recurring Log'!O1123&amp;""</f>
        <v/>
      </c>
      <c r="BE1119">
        <f>IF('Recurring Log'!K1123="","",'Recurring Log'!K1123)</f>
        <v/>
      </c>
      <c r="BF1119">
        <f>IFERROR(MATCH(BA1119,Setup!$L$6:$L$9,0),5)</f>
        <v/>
      </c>
      <c r="BG1119">
        <f>IF(OR(AZ1119="Done",AZ1119="Cancelled"),1,0)</f>
        <v/>
      </c>
      <c r="BH1119">
        <f>IF(AND(AU1119&lt;&gt;"",ISNUMBER(AW1119)),1,0)</f>
        <v/>
      </c>
      <c r="BI1119">
        <f>IF(BH1119=0,0,IF(AND(AW1119&gt;='Tasks Filter'!$F$3,AW1119&lt;='Tasks Filter'!$F$4,OR('Tasks Filter'!$I$3="",ISNUMBER(SEARCH('Tasks Filter'!$I$3,AU1119))),OR('Tasks Filter'!$I$4="",BF1119=IFERROR(MATCH('Tasks Filter'!$I$4,Setup!$L$6:$L$9,0),0)),OR('Tasks Filter'!$I$5="Both",AND('Tasks Filter'!$I$5="Yes",BB1119="✓"),AND('Tasks Filter'!$I$5="No",BB1119&lt;&gt;"✓")),OR('Tasks Filter'!$L$3="",AV1119='Tasks Filter'!$L$3),OR('Tasks Filter'!$L$4="",AZ1119='Tasks Filter'!$L$4),OR('Tasks Filter'!$L$5="",BC1119='Tasks Filter'!$L$5),OR('Tasks Filter'!$O$3="",BD1119='Tasks Filter'!$O$3),OR('Tasks Filter'!$O$4="Yes",BG1119=0)),1,0))</f>
        <v/>
      </c>
      <c r="BJ1119">
        <f>IF(BH1119=0,"",IF('Tasks Filter'!$F$6="Descending",-1,1)*CHOOSE(MATCH('Tasks Filter'!$F$5,Lists!$G$2:$G$6,0),AW1119,BF1119,IFERROR(MATCH(AV1119,Setup!$F$6:$F$15,0),99),IFERROR(MATCH(BC1119,Setup!$H$6:$H$15,0),99),IFERROR(MATCH(AZ1119,Setup!$J$6:$J$11,0),99))*1E+9+(AW1119-40000)*10000+1118)</f>
        <v/>
      </c>
      <c r="BK1119">
        <f>IF(BI1119=1,BJ1119,"")</f>
        <v/>
      </c>
      <c r="BL1119">
        <f>IF(AND(BH1119=1,BG1119=0,N(AW1119)&lt;Setup!$D$7),(AW1119-40000)*10000+1118,"")</f>
        <v/>
      </c>
      <c r="BM1119">
        <f>IF(AND(BH1119=1,AZ1119&lt;&gt;"Cancelled",N(AW1119)&gt;=Dashboard!$AB$3,N(AW1119)&lt;=Dashboard!$AB$3+6),(AW1119-40000)*100000+BF1119*10000+1118,"")</f>
        <v/>
      </c>
      <c r="BN1119">
        <f>IF(AND(BH1119=1,AZ1119&lt;&gt;"Cancelled"),BF1119*10000+1118,"")</f>
        <v/>
      </c>
    </row>
    <row r="1120">
      <c r="AS1120" t="inlineStr">
        <is>
          <t>R</t>
        </is>
      </c>
      <c r="AT1120" t="n">
        <v>1124</v>
      </c>
      <c r="AU1120">
        <f>'Recurring Log'!C1124&amp;""</f>
        <v/>
      </c>
      <c r="AV1120">
        <f>'Recurring Log'!D1124&amp;""</f>
        <v/>
      </c>
      <c r="AW1120">
        <f>IF('Recurring Log'!E1124="","",'Recurring Log'!E1124)</f>
        <v/>
      </c>
      <c r="AX1120">
        <f>IF('Recurring Log'!G1124="","",'Recurring Log'!G1124)</f>
        <v/>
      </c>
      <c r="AY1120">
        <f>IF('Recurring Log'!H1124="","",'Recurring Log'!H1124)</f>
        <v/>
      </c>
      <c r="AZ1120">
        <f>IF(AU1120="","",IF('Recurring Log'!J1124="","Not Started",'Recurring Log'!J1124))</f>
        <v/>
      </c>
      <c r="BA1120">
        <f>'Recurring Log'!L1124&amp;""</f>
        <v/>
      </c>
      <c r="BB1120">
        <f>'Recurring Log'!M1124&amp;""</f>
        <v/>
      </c>
      <c r="BC1120">
        <f>'Recurring Log'!N1124&amp;""</f>
        <v/>
      </c>
      <c r="BD1120">
        <f>'Recurring Log'!O1124&amp;""</f>
        <v/>
      </c>
      <c r="BE1120">
        <f>IF('Recurring Log'!K1124="","",'Recurring Log'!K1124)</f>
        <v/>
      </c>
      <c r="BF1120">
        <f>IFERROR(MATCH(BA1120,Setup!$L$6:$L$9,0),5)</f>
        <v/>
      </c>
      <c r="BG1120">
        <f>IF(OR(AZ1120="Done",AZ1120="Cancelled"),1,0)</f>
        <v/>
      </c>
      <c r="BH1120">
        <f>IF(AND(AU1120&lt;&gt;"",ISNUMBER(AW1120)),1,0)</f>
        <v/>
      </c>
      <c r="BI1120">
        <f>IF(BH1120=0,0,IF(AND(AW1120&gt;='Tasks Filter'!$F$3,AW1120&lt;='Tasks Filter'!$F$4,OR('Tasks Filter'!$I$3="",ISNUMBER(SEARCH('Tasks Filter'!$I$3,AU1120))),OR('Tasks Filter'!$I$4="",BF1120=IFERROR(MATCH('Tasks Filter'!$I$4,Setup!$L$6:$L$9,0),0)),OR('Tasks Filter'!$I$5="Both",AND('Tasks Filter'!$I$5="Yes",BB1120="✓"),AND('Tasks Filter'!$I$5="No",BB1120&lt;&gt;"✓")),OR('Tasks Filter'!$L$3="",AV1120='Tasks Filter'!$L$3),OR('Tasks Filter'!$L$4="",AZ1120='Tasks Filter'!$L$4),OR('Tasks Filter'!$L$5="",BC1120='Tasks Filter'!$L$5),OR('Tasks Filter'!$O$3="",BD1120='Tasks Filter'!$O$3),OR('Tasks Filter'!$O$4="Yes",BG1120=0)),1,0))</f>
        <v/>
      </c>
      <c r="BJ1120">
        <f>IF(BH1120=0,"",IF('Tasks Filter'!$F$6="Descending",-1,1)*CHOOSE(MATCH('Tasks Filter'!$F$5,Lists!$G$2:$G$6,0),AW1120,BF1120,IFERROR(MATCH(AV1120,Setup!$F$6:$F$15,0),99),IFERROR(MATCH(BC1120,Setup!$H$6:$H$15,0),99),IFERROR(MATCH(AZ1120,Setup!$J$6:$J$11,0),99))*1E+9+(AW1120-40000)*10000+1119)</f>
        <v/>
      </c>
      <c r="BK1120">
        <f>IF(BI1120=1,BJ1120,"")</f>
        <v/>
      </c>
      <c r="BL1120">
        <f>IF(AND(BH1120=1,BG1120=0,N(AW1120)&lt;Setup!$D$7),(AW1120-40000)*10000+1119,"")</f>
        <v/>
      </c>
      <c r="BM1120">
        <f>IF(AND(BH1120=1,AZ1120&lt;&gt;"Cancelled",N(AW1120)&gt;=Dashboard!$AB$3,N(AW1120)&lt;=Dashboard!$AB$3+6),(AW1120-40000)*100000+BF1120*10000+1119,"")</f>
        <v/>
      </c>
      <c r="BN1120">
        <f>IF(AND(BH1120=1,AZ1120&lt;&gt;"Cancelled"),BF1120*10000+1119,"")</f>
        <v/>
      </c>
    </row>
    <row r="1121">
      <c r="AS1121" t="inlineStr">
        <is>
          <t>R</t>
        </is>
      </c>
      <c r="AT1121" t="n">
        <v>1125</v>
      </c>
      <c r="AU1121">
        <f>'Recurring Log'!C1125&amp;""</f>
        <v/>
      </c>
      <c r="AV1121">
        <f>'Recurring Log'!D1125&amp;""</f>
        <v/>
      </c>
      <c r="AW1121">
        <f>IF('Recurring Log'!E1125="","",'Recurring Log'!E1125)</f>
        <v/>
      </c>
      <c r="AX1121">
        <f>IF('Recurring Log'!G1125="","",'Recurring Log'!G1125)</f>
        <v/>
      </c>
      <c r="AY1121">
        <f>IF('Recurring Log'!H1125="","",'Recurring Log'!H1125)</f>
        <v/>
      </c>
      <c r="AZ1121">
        <f>IF(AU1121="","",IF('Recurring Log'!J1125="","Not Started",'Recurring Log'!J1125))</f>
        <v/>
      </c>
      <c r="BA1121">
        <f>'Recurring Log'!L1125&amp;""</f>
        <v/>
      </c>
      <c r="BB1121">
        <f>'Recurring Log'!M1125&amp;""</f>
        <v/>
      </c>
      <c r="BC1121">
        <f>'Recurring Log'!N1125&amp;""</f>
        <v/>
      </c>
      <c r="BD1121">
        <f>'Recurring Log'!O1125&amp;""</f>
        <v/>
      </c>
      <c r="BE1121">
        <f>IF('Recurring Log'!K1125="","",'Recurring Log'!K1125)</f>
        <v/>
      </c>
      <c r="BF1121">
        <f>IFERROR(MATCH(BA1121,Setup!$L$6:$L$9,0),5)</f>
        <v/>
      </c>
      <c r="BG1121">
        <f>IF(OR(AZ1121="Done",AZ1121="Cancelled"),1,0)</f>
        <v/>
      </c>
      <c r="BH1121">
        <f>IF(AND(AU1121&lt;&gt;"",ISNUMBER(AW1121)),1,0)</f>
        <v/>
      </c>
      <c r="BI1121">
        <f>IF(BH1121=0,0,IF(AND(AW1121&gt;='Tasks Filter'!$F$3,AW1121&lt;='Tasks Filter'!$F$4,OR('Tasks Filter'!$I$3="",ISNUMBER(SEARCH('Tasks Filter'!$I$3,AU1121))),OR('Tasks Filter'!$I$4="",BF1121=IFERROR(MATCH('Tasks Filter'!$I$4,Setup!$L$6:$L$9,0),0)),OR('Tasks Filter'!$I$5="Both",AND('Tasks Filter'!$I$5="Yes",BB1121="✓"),AND('Tasks Filter'!$I$5="No",BB1121&lt;&gt;"✓")),OR('Tasks Filter'!$L$3="",AV1121='Tasks Filter'!$L$3),OR('Tasks Filter'!$L$4="",AZ1121='Tasks Filter'!$L$4),OR('Tasks Filter'!$L$5="",BC1121='Tasks Filter'!$L$5),OR('Tasks Filter'!$O$3="",BD1121='Tasks Filter'!$O$3),OR('Tasks Filter'!$O$4="Yes",BG1121=0)),1,0))</f>
        <v/>
      </c>
      <c r="BJ1121">
        <f>IF(BH1121=0,"",IF('Tasks Filter'!$F$6="Descending",-1,1)*CHOOSE(MATCH('Tasks Filter'!$F$5,Lists!$G$2:$G$6,0),AW1121,BF1121,IFERROR(MATCH(AV1121,Setup!$F$6:$F$15,0),99),IFERROR(MATCH(BC1121,Setup!$H$6:$H$15,0),99),IFERROR(MATCH(AZ1121,Setup!$J$6:$J$11,0),99))*1E+9+(AW1121-40000)*10000+1120)</f>
        <v/>
      </c>
      <c r="BK1121">
        <f>IF(BI1121=1,BJ1121,"")</f>
        <v/>
      </c>
      <c r="BL1121">
        <f>IF(AND(BH1121=1,BG1121=0,N(AW1121)&lt;Setup!$D$7),(AW1121-40000)*10000+1120,"")</f>
        <v/>
      </c>
      <c r="BM1121">
        <f>IF(AND(BH1121=1,AZ1121&lt;&gt;"Cancelled",N(AW1121)&gt;=Dashboard!$AB$3,N(AW1121)&lt;=Dashboard!$AB$3+6),(AW1121-40000)*100000+BF1121*10000+1120,"")</f>
        <v/>
      </c>
      <c r="BN1121">
        <f>IF(AND(BH1121=1,AZ1121&lt;&gt;"Cancelled"),BF1121*10000+1120,"")</f>
        <v/>
      </c>
    </row>
    <row r="1122">
      <c r="AS1122" t="inlineStr">
        <is>
          <t>R</t>
        </is>
      </c>
      <c r="AT1122" t="n">
        <v>1126</v>
      </c>
      <c r="AU1122">
        <f>'Recurring Log'!C1126&amp;""</f>
        <v/>
      </c>
      <c r="AV1122">
        <f>'Recurring Log'!D1126&amp;""</f>
        <v/>
      </c>
      <c r="AW1122">
        <f>IF('Recurring Log'!E1126="","",'Recurring Log'!E1126)</f>
        <v/>
      </c>
      <c r="AX1122">
        <f>IF('Recurring Log'!G1126="","",'Recurring Log'!G1126)</f>
        <v/>
      </c>
      <c r="AY1122">
        <f>IF('Recurring Log'!H1126="","",'Recurring Log'!H1126)</f>
        <v/>
      </c>
      <c r="AZ1122">
        <f>IF(AU1122="","",IF('Recurring Log'!J1126="","Not Started",'Recurring Log'!J1126))</f>
        <v/>
      </c>
      <c r="BA1122">
        <f>'Recurring Log'!L1126&amp;""</f>
        <v/>
      </c>
      <c r="BB1122">
        <f>'Recurring Log'!M1126&amp;""</f>
        <v/>
      </c>
      <c r="BC1122">
        <f>'Recurring Log'!N1126&amp;""</f>
        <v/>
      </c>
      <c r="BD1122">
        <f>'Recurring Log'!O1126&amp;""</f>
        <v/>
      </c>
      <c r="BE1122">
        <f>IF('Recurring Log'!K1126="","",'Recurring Log'!K1126)</f>
        <v/>
      </c>
      <c r="BF1122">
        <f>IFERROR(MATCH(BA1122,Setup!$L$6:$L$9,0),5)</f>
        <v/>
      </c>
      <c r="BG1122">
        <f>IF(OR(AZ1122="Done",AZ1122="Cancelled"),1,0)</f>
        <v/>
      </c>
      <c r="BH1122">
        <f>IF(AND(AU1122&lt;&gt;"",ISNUMBER(AW1122)),1,0)</f>
        <v/>
      </c>
      <c r="BI1122">
        <f>IF(BH1122=0,0,IF(AND(AW1122&gt;='Tasks Filter'!$F$3,AW1122&lt;='Tasks Filter'!$F$4,OR('Tasks Filter'!$I$3="",ISNUMBER(SEARCH('Tasks Filter'!$I$3,AU1122))),OR('Tasks Filter'!$I$4="",BF1122=IFERROR(MATCH('Tasks Filter'!$I$4,Setup!$L$6:$L$9,0),0)),OR('Tasks Filter'!$I$5="Both",AND('Tasks Filter'!$I$5="Yes",BB1122="✓"),AND('Tasks Filter'!$I$5="No",BB1122&lt;&gt;"✓")),OR('Tasks Filter'!$L$3="",AV1122='Tasks Filter'!$L$3),OR('Tasks Filter'!$L$4="",AZ1122='Tasks Filter'!$L$4),OR('Tasks Filter'!$L$5="",BC1122='Tasks Filter'!$L$5),OR('Tasks Filter'!$O$3="",BD1122='Tasks Filter'!$O$3),OR('Tasks Filter'!$O$4="Yes",BG1122=0)),1,0))</f>
        <v/>
      </c>
      <c r="BJ1122">
        <f>IF(BH1122=0,"",IF('Tasks Filter'!$F$6="Descending",-1,1)*CHOOSE(MATCH('Tasks Filter'!$F$5,Lists!$G$2:$G$6,0),AW1122,BF1122,IFERROR(MATCH(AV1122,Setup!$F$6:$F$15,0),99),IFERROR(MATCH(BC1122,Setup!$H$6:$H$15,0),99),IFERROR(MATCH(AZ1122,Setup!$J$6:$J$11,0),99))*1E+9+(AW1122-40000)*10000+1121)</f>
        <v/>
      </c>
      <c r="BK1122">
        <f>IF(BI1122=1,BJ1122,"")</f>
        <v/>
      </c>
      <c r="BL1122">
        <f>IF(AND(BH1122=1,BG1122=0,N(AW1122)&lt;Setup!$D$7),(AW1122-40000)*10000+1121,"")</f>
        <v/>
      </c>
      <c r="BM1122">
        <f>IF(AND(BH1122=1,AZ1122&lt;&gt;"Cancelled",N(AW1122)&gt;=Dashboard!$AB$3,N(AW1122)&lt;=Dashboard!$AB$3+6),(AW1122-40000)*100000+BF1122*10000+1121,"")</f>
        <v/>
      </c>
      <c r="BN1122">
        <f>IF(AND(BH1122=1,AZ1122&lt;&gt;"Cancelled"),BF1122*10000+1121,"")</f>
        <v/>
      </c>
    </row>
    <row r="1123">
      <c r="AS1123" t="inlineStr">
        <is>
          <t>R</t>
        </is>
      </c>
      <c r="AT1123" t="n">
        <v>1127</v>
      </c>
      <c r="AU1123">
        <f>'Recurring Log'!C1127&amp;""</f>
        <v/>
      </c>
      <c r="AV1123">
        <f>'Recurring Log'!D1127&amp;""</f>
        <v/>
      </c>
      <c r="AW1123">
        <f>IF('Recurring Log'!E1127="","",'Recurring Log'!E1127)</f>
        <v/>
      </c>
      <c r="AX1123">
        <f>IF('Recurring Log'!G1127="","",'Recurring Log'!G1127)</f>
        <v/>
      </c>
      <c r="AY1123">
        <f>IF('Recurring Log'!H1127="","",'Recurring Log'!H1127)</f>
        <v/>
      </c>
      <c r="AZ1123">
        <f>IF(AU1123="","",IF('Recurring Log'!J1127="","Not Started",'Recurring Log'!J1127))</f>
        <v/>
      </c>
      <c r="BA1123">
        <f>'Recurring Log'!L1127&amp;""</f>
        <v/>
      </c>
      <c r="BB1123">
        <f>'Recurring Log'!M1127&amp;""</f>
        <v/>
      </c>
      <c r="BC1123">
        <f>'Recurring Log'!N1127&amp;""</f>
        <v/>
      </c>
      <c r="BD1123">
        <f>'Recurring Log'!O1127&amp;""</f>
        <v/>
      </c>
      <c r="BE1123">
        <f>IF('Recurring Log'!K1127="","",'Recurring Log'!K1127)</f>
        <v/>
      </c>
      <c r="BF1123">
        <f>IFERROR(MATCH(BA1123,Setup!$L$6:$L$9,0),5)</f>
        <v/>
      </c>
      <c r="BG1123">
        <f>IF(OR(AZ1123="Done",AZ1123="Cancelled"),1,0)</f>
        <v/>
      </c>
      <c r="BH1123">
        <f>IF(AND(AU1123&lt;&gt;"",ISNUMBER(AW1123)),1,0)</f>
        <v/>
      </c>
      <c r="BI1123">
        <f>IF(BH1123=0,0,IF(AND(AW1123&gt;='Tasks Filter'!$F$3,AW1123&lt;='Tasks Filter'!$F$4,OR('Tasks Filter'!$I$3="",ISNUMBER(SEARCH('Tasks Filter'!$I$3,AU1123))),OR('Tasks Filter'!$I$4="",BF1123=IFERROR(MATCH('Tasks Filter'!$I$4,Setup!$L$6:$L$9,0),0)),OR('Tasks Filter'!$I$5="Both",AND('Tasks Filter'!$I$5="Yes",BB1123="✓"),AND('Tasks Filter'!$I$5="No",BB1123&lt;&gt;"✓")),OR('Tasks Filter'!$L$3="",AV1123='Tasks Filter'!$L$3),OR('Tasks Filter'!$L$4="",AZ1123='Tasks Filter'!$L$4),OR('Tasks Filter'!$L$5="",BC1123='Tasks Filter'!$L$5),OR('Tasks Filter'!$O$3="",BD1123='Tasks Filter'!$O$3),OR('Tasks Filter'!$O$4="Yes",BG1123=0)),1,0))</f>
        <v/>
      </c>
      <c r="BJ1123">
        <f>IF(BH1123=0,"",IF('Tasks Filter'!$F$6="Descending",-1,1)*CHOOSE(MATCH('Tasks Filter'!$F$5,Lists!$G$2:$G$6,0),AW1123,BF1123,IFERROR(MATCH(AV1123,Setup!$F$6:$F$15,0),99),IFERROR(MATCH(BC1123,Setup!$H$6:$H$15,0),99),IFERROR(MATCH(AZ1123,Setup!$J$6:$J$11,0),99))*1E+9+(AW1123-40000)*10000+1122)</f>
        <v/>
      </c>
      <c r="BK1123">
        <f>IF(BI1123=1,BJ1123,"")</f>
        <v/>
      </c>
      <c r="BL1123">
        <f>IF(AND(BH1123=1,BG1123=0,N(AW1123)&lt;Setup!$D$7),(AW1123-40000)*10000+1122,"")</f>
        <v/>
      </c>
      <c r="BM1123">
        <f>IF(AND(BH1123=1,AZ1123&lt;&gt;"Cancelled",N(AW1123)&gt;=Dashboard!$AB$3,N(AW1123)&lt;=Dashboard!$AB$3+6),(AW1123-40000)*100000+BF1123*10000+1122,"")</f>
        <v/>
      </c>
      <c r="BN1123">
        <f>IF(AND(BH1123=1,AZ1123&lt;&gt;"Cancelled"),BF1123*10000+1122,"")</f>
        <v/>
      </c>
    </row>
    <row r="1124">
      <c r="AS1124" t="inlineStr">
        <is>
          <t>R</t>
        </is>
      </c>
      <c r="AT1124" t="n">
        <v>1128</v>
      </c>
      <c r="AU1124">
        <f>'Recurring Log'!C1128&amp;""</f>
        <v/>
      </c>
      <c r="AV1124">
        <f>'Recurring Log'!D1128&amp;""</f>
        <v/>
      </c>
      <c r="AW1124">
        <f>IF('Recurring Log'!E1128="","",'Recurring Log'!E1128)</f>
        <v/>
      </c>
      <c r="AX1124">
        <f>IF('Recurring Log'!G1128="","",'Recurring Log'!G1128)</f>
        <v/>
      </c>
      <c r="AY1124">
        <f>IF('Recurring Log'!H1128="","",'Recurring Log'!H1128)</f>
        <v/>
      </c>
      <c r="AZ1124">
        <f>IF(AU1124="","",IF('Recurring Log'!J1128="","Not Started",'Recurring Log'!J1128))</f>
        <v/>
      </c>
      <c r="BA1124">
        <f>'Recurring Log'!L1128&amp;""</f>
        <v/>
      </c>
      <c r="BB1124">
        <f>'Recurring Log'!M1128&amp;""</f>
        <v/>
      </c>
      <c r="BC1124">
        <f>'Recurring Log'!N1128&amp;""</f>
        <v/>
      </c>
      <c r="BD1124">
        <f>'Recurring Log'!O1128&amp;""</f>
        <v/>
      </c>
      <c r="BE1124">
        <f>IF('Recurring Log'!K1128="","",'Recurring Log'!K1128)</f>
        <v/>
      </c>
      <c r="BF1124">
        <f>IFERROR(MATCH(BA1124,Setup!$L$6:$L$9,0),5)</f>
        <v/>
      </c>
      <c r="BG1124">
        <f>IF(OR(AZ1124="Done",AZ1124="Cancelled"),1,0)</f>
        <v/>
      </c>
      <c r="BH1124">
        <f>IF(AND(AU1124&lt;&gt;"",ISNUMBER(AW1124)),1,0)</f>
        <v/>
      </c>
      <c r="BI1124">
        <f>IF(BH1124=0,0,IF(AND(AW1124&gt;='Tasks Filter'!$F$3,AW1124&lt;='Tasks Filter'!$F$4,OR('Tasks Filter'!$I$3="",ISNUMBER(SEARCH('Tasks Filter'!$I$3,AU1124))),OR('Tasks Filter'!$I$4="",BF1124=IFERROR(MATCH('Tasks Filter'!$I$4,Setup!$L$6:$L$9,0),0)),OR('Tasks Filter'!$I$5="Both",AND('Tasks Filter'!$I$5="Yes",BB1124="✓"),AND('Tasks Filter'!$I$5="No",BB1124&lt;&gt;"✓")),OR('Tasks Filter'!$L$3="",AV1124='Tasks Filter'!$L$3),OR('Tasks Filter'!$L$4="",AZ1124='Tasks Filter'!$L$4),OR('Tasks Filter'!$L$5="",BC1124='Tasks Filter'!$L$5),OR('Tasks Filter'!$O$3="",BD1124='Tasks Filter'!$O$3),OR('Tasks Filter'!$O$4="Yes",BG1124=0)),1,0))</f>
        <v/>
      </c>
      <c r="BJ1124">
        <f>IF(BH1124=0,"",IF('Tasks Filter'!$F$6="Descending",-1,1)*CHOOSE(MATCH('Tasks Filter'!$F$5,Lists!$G$2:$G$6,0),AW1124,BF1124,IFERROR(MATCH(AV1124,Setup!$F$6:$F$15,0),99),IFERROR(MATCH(BC1124,Setup!$H$6:$H$15,0),99),IFERROR(MATCH(AZ1124,Setup!$J$6:$J$11,0),99))*1E+9+(AW1124-40000)*10000+1123)</f>
        <v/>
      </c>
      <c r="BK1124">
        <f>IF(BI1124=1,BJ1124,"")</f>
        <v/>
      </c>
      <c r="BL1124">
        <f>IF(AND(BH1124=1,BG1124=0,N(AW1124)&lt;Setup!$D$7),(AW1124-40000)*10000+1123,"")</f>
        <v/>
      </c>
      <c r="BM1124">
        <f>IF(AND(BH1124=1,AZ1124&lt;&gt;"Cancelled",N(AW1124)&gt;=Dashboard!$AB$3,N(AW1124)&lt;=Dashboard!$AB$3+6),(AW1124-40000)*100000+BF1124*10000+1123,"")</f>
        <v/>
      </c>
      <c r="BN1124">
        <f>IF(AND(BH1124=1,AZ1124&lt;&gt;"Cancelled"),BF1124*10000+1123,"")</f>
        <v/>
      </c>
    </row>
    <row r="1125">
      <c r="AS1125" t="inlineStr">
        <is>
          <t>R</t>
        </is>
      </c>
      <c r="AT1125" t="n">
        <v>1129</v>
      </c>
      <c r="AU1125">
        <f>'Recurring Log'!C1129&amp;""</f>
        <v/>
      </c>
      <c r="AV1125">
        <f>'Recurring Log'!D1129&amp;""</f>
        <v/>
      </c>
      <c r="AW1125">
        <f>IF('Recurring Log'!E1129="","",'Recurring Log'!E1129)</f>
        <v/>
      </c>
      <c r="AX1125">
        <f>IF('Recurring Log'!G1129="","",'Recurring Log'!G1129)</f>
        <v/>
      </c>
      <c r="AY1125">
        <f>IF('Recurring Log'!H1129="","",'Recurring Log'!H1129)</f>
        <v/>
      </c>
      <c r="AZ1125">
        <f>IF(AU1125="","",IF('Recurring Log'!J1129="","Not Started",'Recurring Log'!J1129))</f>
        <v/>
      </c>
      <c r="BA1125">
        <f>'Recurring Log'!L1129&amp;""</f>
        <v/>
      </c>
      <c r="BB1125">
        <f>'Recurring Log'!M1129&amp;""</f>
        <v/>
      </c>
      <c r="BC1125">
        <f>'Recurring Log'!N1129&amp;""</f>
        <v/>
      </c>
      <c r="BD1125">
        <f>'Recurring Log'!O1129&amp;""</f>
        <v/>
      </c>
      <c r="BE1125">
        <f>IF('Recurring Log'!K1129="","",'Recurring Log'!K1129)</f>
        <v/>
      </c>
      <c r="BF1125">
        <f>IFERROR(MATCH(BA1125,Setup!$L$6:$L$9,0),5)</f>
        <v/>
      </c>
      <c r="BG1125">
        <f>IF(OR(AZ1125="Done",AZ1125="Cancelled"),1,0)</f>
        <v/>
      </c>
      <c r="BH1125">
        <f>IF(AND(AU1125&lt;&gt;"",ISNUMBER(AW1125)),1,0)</f>
        <v/>
      </c>
      <c r="BI1125">
        <f>IF(BH1125=0,0,IF(AND(AW1125&gt;='Tasks Filter'!$F$3,AW1125&lt;='Tasks Filter'!$F$4,OR('Tasks Filter'!$I$3="",ISNUMBER(SEARCH('Tasks Filter'!$I$3,AU1125))),OR('Tasks Filter'!$I$4="",BF1125=IFERROR(MATCH('Tasks Filter'!$I$4,Setup!$L$6:$L$9,0),0)),OR('Tasks Filter'!$I$5="Both",AND('Tasks Filter'!$I$5="Yes",BB1125="✓"),AND('Tasks Filter'!$I$5="No",BB1125&lt;&gt;"✓")),OR('Tasks Filter'!$L$3="",AV1125='Tasks Filter'!$L$3),OR('Tasks Filter'!$L$4="",AZ1125='Tasks Filter'!$L$4),OR('Tasks Filter'!$L$5="",BC1125='Tasks Filter'!$L$5),OR('Tasks Filter'!$O$3="",BD1125='Tasks Filter'!$O$3),OR('Tasks Filter'!$O$4="Yes",BG1125=0)),1,0))</f>
        <v/>
      </c>
      <c r="BJ1125">
        <f>IF(BH1125=0,"",IF('Tasks Filter'!$F$6="Descending",-1,1)*CHOOSE(MATCH('Tasks Filter'!$F$5,Lists!$G$2:$G$6,0),AW1125,BF1125,IFERROR(MATCH(AV1125,Setup!$F$6:$F$15,0),99),IFERROR(MATCH(BC1125,Setup!$H$6:$H$15,0),99),IFERROR(MATCH(AZ1125,Setup!$J$6:$J$11,0),99))*1E+9+(AW1125-40000)*10000+1124)</f>
        <v/>
      </c>
      <c r="BK1125">
        <f>IF(BI1125=1,BJ1125,"")</f>
        <v/>
      </c>
      <c r="BL1125">
        <f>IF(AND(BH1125=1,BG1125=0,N(AW1125)&lt;Setup!$D$7),(AW1125-40000)*10000+1124,"")</f>
        <v/>
      </c>
      <c r="BM1125">
        <f>IF(AND(BH1125=1,AZ1125&lt;&gt;"Cancelled",N(AW1125)&gt;=Dashboard!$AB$3,N(AW1125)&lt;=Dashboard!$AB$3+6),(AW1125-40000)*100000+BF1125*10000+1124,"")</f>
        <v/>
      </c>
      <c r="BN1125">
        <f>IF(AND(BH1125=1,AZ1125&lt;&gt;"Cancelled"),BF1125*10000+1124,"")</f>
        <v/>
      </c>
    </row>
    <row r="1126">
      <c r="AS1126" t="inlineStr">
        <is>
          <t>R</t>
        </is>
      </c>
      <c r="AT1126" t="n">
        <v>1130</v>
      </c>
      <c r="AU1126">
        <f>'Recurring Log'!C1130&amp;""</f>
        <v/>
      </c>
      <c r="AV1126">
        <f>'Recurring Log'!D1130&amp;""</f>
        <v/>
      </c>
      <c r="AW1126">
        <f>IF('Recurring Log'!E1130="","",'Recurring Log'!E1130)</f>
        <v/>
      </c>
      <c r="AX1126">
        <f>IF('Recurring Log'!G1130="","",'Recurring Log'!G1130)</f>
        <v/>
      </c>
      <c r="AY1126">
        <f>IF('Recurring Log'!H1130="","",'Recurring Log'!H1130)</f>
        <v/>
      </c>
      <c r="AZ1126">
        <f>IF(AU1126="","",IF('Recurring Log'!J1130="","Not Started",'Recurring Log'!J1130))</f>
        <v/>
      </c>
      <c r="BA1126">
        <f>'Recurring Log'!L1130&amp;""</f>
        <v/>
      </c>
      <c r="BB1126">
        <f>'Recurring Log'!M1130&amp;""</f>
        <v/>
      </c>
      <c r="BC1126">
        <f>'Recurring Log'!N1130&amp;""</f>
        <v/>
      </c>
      <c r="BD1126">
        <f>'Recurring Log'!O1130&amp;""</f>
        <v/>
      </c>
      <c r="BE1126">
        <f>IF('Recurring Log'!K1130="","",'Recurring Log'!K1130)</f>
        <v/>
      </c>
      <c r="BF1126">
        <f>IFERROR(MATCH(BA1126,Setup!$L$6:$L$9,0),5)</f>
        <v/>
      </c>
      <c r="BG1126">
        <f>IF(OR(AZ1126="Done",AZ1126="Cancelled"),1,0)</f>
        <v/>
      </c>
      <c r="BH1126">
        <f>IF(AND(AU1126&lt;&gt;"",ISNUMBER(AW1126)),1,0)</f>
        <v/>
      </c>
      <c r="BI1126">
        <f>IF(BH1126=0,0,IF(AND(AW1126&gt;='Tasks Filter'!$F$3,AW1126&lt;='Tasks Filter'!$F$4,OR('Tasks Filter'!$I$3="",ISNUMBER(SEARCH('Tasks Filter'!$I$3,AU1126))),OR('Tasks Filter'!$I$4="",BF1126=IFERROR(MATCH('Tasks Filter'!$I$4,Setup!$L$6:$L$9,0),0)),OR('Tasks Filter'!$I$5="Both",AND('Tasks Filter'!$I$5="Yes",BB1126="✓"),AND('Tasks Filter'!$I$5="No",BB1126&lt;&gt;"✓")),OR('Tasks Filter'!$L$3="",AV1126='Tasks Filter'!$L$3),OR('Tasks Filter'!$L$4="",AZ1126='Tasks Filter'!$L$4),OR('Tasks Filter'!$L$5="",BC1126='Tasks Filter'!$L$5),OR('Tasks Filter'!$O$3="",BD1126='Tasks Filter'!$O$3),OR('Tasks Filter'!$O$4="Yes",BG1126=0)),1,0))</f>
        <v/>
      </c>
      <c r="BJ1126">
        <f>IF(BH1126=0,"",IF('Tasks Filter'!$F$6="Descending",-1,1)*CHOOSE(MATCH('Tasks Filter'!$F$5,Lists!$G$2:$G$6,0),AW1126,BF1126,IFERROR(MATCH(AV1126,Setup!$F$6:$F$15,0),99),IFERROR(MATCH(BC1126,Setup!$H$6:$H$15,0),99),IFERROR(MATCH(AZ1126,Setup!$J$6:$J$11,0),99))*1E+9+(AW1126-40000)*10000+1125)</f>
        <v/>
      </c>
      <c r="BK1126">
        <f>IF(BI1126=1,BJ1126,"")</f>
        <v/>
      </c>
      <c r="BL1126">
        <f>IF(AND(BH1126=1,BG1126=0,N(AW1126)&lt;Setup!$D$7),(AW1126-40000)*10000+1125,"")</f>
        <v/>
      </c>
      <c r="BM1126">
        <f>IF(AND(BH1126=1,AZ1126&lt;&gt;"Cancelled",N(AW1126)&gt;=Dashboard!$AB$3,N(AW1126)&lt;=Dashboard!$AB$3+6),(AW1126-40000)*100000+BF1126*10000+1125,"")</f>
        <v/>
      </c>
      <c r="BN1126">
        <f>IF(AND(BH1126=1,AZ1126&lt;&gt;"Cancelled"),BF1126*10000+1125,"")</f>
        <v/>
      </c>
    </row>
    <row r="1127">
      <c r="AS1127" t="inlineStr">
        <is>
          <t>R</t>
        </is>
      </c>
      <c r="AT1127" t="n">
        <v>1131</v>
      </c>
      <c r="AU1127">
        <f>'Recurring Log'!C1131&amp;""</f>
        <v/>
      </c>
      <c r="AV1127">
        <f>'Recurring Log'!D1131&amp;""</f>
        <v/>
      </c>
      <c r="AW1127">
        <f>IF('Recurring Log'!E1131="","",'Recurring Log'!E1131)</f>
        <v/>
      </c>
      <c r="AX1127">
        <f>IF('Recurring Log'!G1131="","",'Recurring Log'!G1131)</f>
        <v/>
      </c>
      <c r="AY1127">
        <f>IF('Recurring Log'!H1131="","",'Recurring Log'!H1131)</f>
        <v/>
      </c>
      <c r="AZ1127">
        <f>IF(AU1127="","",IF('Recurring Log'!J1131="","Not Started",'Recurring Log'!J1131))</f>
        <v/>
      </c>
      <c r="BA1127">
        <f>'Recurring Log'!L1131&amp;""</f>
        <v/>
      </c>
      <c r="BB1127">
        <f>'Recurring Log'!M1131&amp;""</f>
        <v/>
      </c>
      <c r="BC1127">
        <f>'Recurring Log'!N1131&amp;""</f>
        <v/>
      </c>
      <c r="BD1127">
        <f>'Recurring Log'!O1131&amp;""</f>
        <v/>
      </c>
      <c r="BE1127">
        <f>IF('Recurring Log'!K1131="","",'Recurring Log'!K1131)</f>
        <v/>
      </c>
      <c r="BF1127">
        <f>IFERROR(MATCH(BA1127,Setup!$L$6:$L$9,0),5)</f>
        <v/>
      </c>
      <c r="BG1127">
        <f>IF(OR(AZ1127="Done",AZ1127="Cancelled"),1,0)</f>
        <v/>
      </c>
      <c r="BH1127">
        <f>IF(AND(AU1127&lt;&gt;"",ISNUMBER(AW1127)),1,0)</f>
        <v/>
      </c>
      <c r="BI1127">
        <f>IF(BH1127=0,0,IF(AND(AW1127&gt;='Tasks Filter'!$F$3,AW1127&lt;='Tasks Filter'!$F$4,OR('Tasks Filter'!$I$3="",ISNUMBER(SEARCH('Tasks Filter'!$I$3,AU1127))),OR('Tasks Filter'!$I$4="",BF1127=IFERROR(MATCH('Tasks Filter'!$I$4,Setup!$L$6:$L$9,0),0)),OR('Tasks Filter'!$I$5="Both",AND('Tasks Filter'!$I$5="Yes",BB1127="✓"),AND('Tasks Filter'!$I$5="No",BB1127&lt;&gt;"✓")),OR('Tasks Filter'!$L$3="",AV1127='Tasks Filter'!$L$3),OR('Tasks Filter'!$L$4="",AZ1127='Tasks Filter'!$L$4),OR('Tasks Filter'!$L$5="",BC1127='Tasks Filter'!$L$5),OR('Tasks Filter'!$O$3="",BD1127='Tasks Filter'!$O$3),OR('Tasks Filter'!$O$4="Yes",BG1127=0)),1,0))</f>
        <v/>
      </c>
      <c r="BJ1127">
        <f>IF(BH1127=0,"",IF('Tasks Filter'!$F$6="Descending",-1,1)*CHOOSE(MATCH('Tasks Filter'!$F$5,Lists!$G$2:$G$6,0),AW1127,BF1127,IFERROR(MATCH(AV1127,Setup!$F$6:$F$15,0),99),IFERROR(MATCH(BC1127,Setup!$H$6:$H$15,0),99),IFERROR(MATCH(AZ1127,Setup!$J$6:$J$11,0),99))*1E+9+(AW1127-40000)*10000+1126)</f>
        <v/>
      </c>
      <c r="BK1127">
        <f>IF(BI1127=1,BJ1127,"")</f>
        <v/>
      </c>
      <c r="BL1127">
        <f>IF(AND(BH1127=1,BG1127=0,N(AW1127)&lt;Setup!$D$7),(AW1127-40000)*10000+1126,"")</f>
        <v/>
      </c>
      <c r="BM1127">
        <f>IF(AND(BH1127=1,AZ1127&lt;&gt;"Cancelled",N(AW1127)&gt;=Dashboard!$AB$3,N(AW1127)&lt;=Dashboard!$AB$3+6),(AW1127-40000)*100000+BF1127*10000+1126,"")</f>
        <v/>
      </c>
      <c r="BN1127">
        <f>IF(AND(BH1127=1,AZ1127&lt;&gt;"Cancelled"),BF1127*10000+1126,"")</f>
        <v/>
      </c>
    </row>
    <row r="1128">
      <c r="AS1128" t="inlineStr">
        <is>
          <t>R</t>
        </is>
      </c>
      <c r="AT1128" t="n">
        <v>1132</v>
      </c>
      <c r="AU1128">
        <f>'Recurring Log'!C1132&amp;""</f>
        <v/>
      </c>
      <c r="AV1128">
        <f>'Recurring Log'!D1132&amp;""</f>
        <v/>
      </c>
      <c r="AW1128">
        <f>IF('Recurring Log'!E1132="","",'Recurring Log'!E1132)</f>
        <v/>
      </c>
      <c r="AX1128">
        <f>IF('Recurring Log'!G1132="","",'Recurring Log'!G1132)</f>
        <v/>
      </c>
      <c r="AY1128">
        <f>IF('Recurring Log'!H1132="","",'Recurring Log'!H1132)</f>
        <v/>
      </c>
      <c r="AZ1128">
        <f>IF(AU1128="","",IF('Recurring Log'!J1132="","Not Started",'Recurring Log'!J1132))</f>
        <v/>
      </c>
      <c r="BA1128">
        <f>'Recurring Log'!L1132&amp;""</f>
        <v/>
      </c>
      <c r="BB1128">
        <f>'Recurring Log'!M1132&amp;""</f>
        <v/>
      </c>
      <c r="BC1128">
        <f>'Recurring Log'!N1132&amp;""</f>
        <v/>
      </c>
      <c r="BD1128">
        <f>'Recurring Log'!O1132&amp;""</f>
        <v/>
      </c>
      <c r="BE1128">
        <f>IF('Recurring Log'!K1132="","",'Recurring Log'!K1132)</f>
        <v/>
      </c>
      <c r="BF1128">
        <f>IFERROR(MATCH(BA1128,Setup!$L$6:$L$9,0),5)</f>
        <v/>
      </c>
      <c r="BG1128">
        <f>IF(OR(AZ1128="Done",AZ1128="Cancelled"),1,0)</f>
        <v/>
      </c>
      <c r="BH1128">
        <f>IF(AND(AU1128&lt;&gt;"",ISNUMBER(AW1128)),1,0)</f>
        <v/>
      </c>
      <c r="BI1128">
        <f>IF(BH1128=0,0,IF(AND(AW1128&gt;='Tasks Filter'!$F$3,AW1128&lt;='Tasks Filter'!$F$4,OR('Tasks Filter'!$I$3="",ISNUMBER(SEARCH('Tasks Filter'!$I$3,AU1128))),OR('Tasks Filter'!$I$4="",BF1128=IFERROR(MATCH('Tasks Filter'!$I$4,Setup!$L$6:$L$9,0),0)),OR('Tasks Filter'!$I$5="Both",AND('Tasks Filter'!$I$5="Yes",BB1128="✓"),AND('Tasks Filter'!$I$5="No",BB1128&lt;&gt;"✓")),OR('Tasks Filter'!$L$3="",AV1128='Tasks Filter'!$L$3),OR('Tasks Filter'!$L$4="",AZ1128='Tasks Filter'!$L$4),OR('Tasks Filter'!$L$5="",BC1128='Tasks Filter'!$L$5),OR('Tasks Filter'!$O$3="",BD1128='Tasks Filter'!$O$3),OR('Tasks Filter'!$O$4="Yes",BG1128=0)),1,0))</f>
        <v/>
      </c>
      <c r="BJ1128">
        <f>IF(BH1128=0,"",IF('Tasks Filter'!$F$6="Descending",-1,1)*CHOOSE(MATCH('Tasks Filter'!$F$5,Lists!$G$2:$G$6,0),AW1128,BF1128,IFERROR(MATCH(AV1128,Setup!$F$6:$F$15,0),99),IFERROR(MATCH(BC1128,Setup!$H$6:$H$15,0),99),IFERROR(MATCH(AZ1128,Setup!$J$6:$J$11,0),99))*1E+9+(AW1128-40000)*10000+1127)</f>
        <v/>
      </c>
      <c r="BK1128">
        <f>IF(BI1128=1,BJ1128,"")</f>
        <v/>
      </c>
      <c r="BL1128">
        <f>IF(AND(BH1128=1,BG1128=0,N(AW1128)&lt;Setup!$D$7),(AW1128-40000)*10000+1127,"")</f>
        <v/>
      </c>
      <c r="BM1128">
        <f>IF(AND(BH1128=1,AZ1128&lt;&gt;"Cancelled",N(AW1128)&gt;=Dashboard!$AB$3,N(AW1128)&lt;=Dashboard!$AB$3+6),(AW1128-40000)*100000+BF1128*10000+1127,"")</f>
        <v/>
      </c>
      <c r="BN1128">
        <f>IF(AND(BH1128=1,AZ1128&lt;&gt;"Cancelled"),BF1128*10000+1127,"")</f>
        <v/>
      </c>
    </row>
    <row r="1129">
      <c r="AS1129" t="inlineStr">
        <is>
          <t>R</t>
        </is>
      </c>
      <c r="AT1129" t="n">
        <v>1133</v>
      </c>
      <c r="AU1129">
        <f>'Recurring Log'!C1133&amp;""</f>
        <v/>
      </c>
      <c r="AV1129">
        <f>'Recurring Log'!D1133&amp;""</f>
        <v/>
      </c>
      <c r="AW1129">
        <f>IF('Recurring Log'!E1133="","",'Recurring Log'!E1133)</f>
        <v/>
      </c>
      <c r="AX1129">
        <f>IF('Recurring Log'!G1133="","",'Recurring Log'!G1133)</f>
        <v/>
      </c>
      <c r="AY1129">
        <f>IF('Recurring Log'!H1133="","",'Recurring Log'!H1133)</f>
        <v/>
      </c>
      <c r="AZ1129">
        <f>IF(AU1129="","",IF('Recurring Log'!J1133="","Not Started",'Recurring Log'!J1133))</f>
        <v/>
      </c>
      <c r="BA1129">
        <f>'Recurring Log'!L1133&amp;""</f>
        <v/>
      </c>
      <c r="BB1129">
        <f>'Recurring Log'!M1133&amp;""</f>
        <v/>
      </c>
      <c r="BC1129">
        <f>'Recurring Log'!N1133&amp;""</f>
        <v/>
      </c>
      <c r="BD1129">
        <f>'Recurring Log'!O1133&amp;""</f>
        <v/>
      </c>
      <c r="BE1129">
        <f>IF('Recurring Log'!K1133="","",'Recurring Log'!K1133)</f>
        <v/>
      </c>
      <c r="BF1129">
        <f>IFERROR(MATCH(BA1129,Setup!$L$6:$L$9,0),5)</f>
        <v/>
      </c>
      <c r="BG1129">
        <f>IF(OR(AZ1129="Done",AZ1129="Cancelled"),1,0)</f>
        <v/>
      </c>
      <c r="BH1129">
        <f>IF(AND(AU1129&lt;&gt;"",ISNUMBER(AW1129)),1,0)</f>
        <v/>
      </c>
      <c r="BI1129">
        <f>IF(BH1129=0,0,IF(AND(AW1129&gt;='Tasks Filter'!$F$3,AW1129&lt;='Tasks Filter'!$F$4,OR('Tasks Filter'!$I$3="",ISNUMBER(SEARCH('Tasks Filter'!$I$3,AU1129))),OR('Tasks Filter'!$I$4="",BF1129=IFERROR(MATCH('Tasks Filter'!$I$4,Setup!$L$6:$L$9,0),0)),OR('Tasks Filter'!$I$5="Both",AND('Tasks Filter'!$I$5="Yes",BB1129="✓"),AND('Tasks Filter'!$I$5="No",BB1129&lt;&gt;"✓")),OR('Tasks Filter'!$L$3="",AV1129='Tasks Filter'!$L$3),OR('Tasks Filter'!$L$4="",AZ1129='Tasks Filter'!$L$4),OR('Tasks Filter'!$L$5="",BC1129='Tasks Filter'!$L$5),OR('Tasks Filter'!$O$3="",BD1129='Tasks Filter'!$O$3),OR('Tasks Filter'!$O$4="Yes",BG1129=0)),1,0))</f>
        <v/>
      </c>
      <c r="BJ1129">
        <f>IF(BH1129=0,"",IF('Tasks Filter'!$F$6="Descending",-1,1)*CHOOSE(MATCH('Tasks Filter'!$F$5,Lists!$G$2:$G$6,0),AW1129,BF1129,IFERROR(MATCH(AV1129,Setup!$F$6:$F$15,0),99),IFERROR(MATCH(BC1129,Setup!$H$6:$H$15,0),99),IFERROR(MATCH(AZ1129,Setup!$J$6:$J$11,0),99))*1E+9+(AW1129-40000)*10000+1128)</f>
        <v/>
      </c>
      <c r="BK1129">
        <f>IF(BI1129=1,BJ1129,"")</f>
        <v/>
      </c>
      <c r="BL1129">
        <f>IF(AND(BH1129=1,BG1129=0,N(AW1129)&lt;Setup!$D$7),(AW1129-40000)*10000+1128,"")</f>
        <v/>
      </c>
      <c r="BM1129">
        <f>IF(AND(BH1129=1,AZ1129&lt;&gt;"Cancelled",N(AW1129)&gt;=Dashboard!$AB$3,N(AW1129)&lt;=Dashboard!$AB$3+6),(AW1129-40000)*100000+BF1129*10000+1128,"")</f>
        <v/>
      </c>
      <c r="BN1129">
        <f>IF(AND(BH1129=1,AZ1129&lt;&gt;"Cancelled"),BF1129*10000+1128,"")</f>
        <v/>
      </c>
    </row>
    <row r="1130">
      <c r="AS1130" t="inlineStr">
        <is>
          <t>R</t>
        </is>
      </c>
      <c r="AT1130" t="n">
        <v>1134</v>
      </c>
      <c r="AU1130">
        <f>'Recurring Log'!C1134&amp;""</f>
        <v/>
      </c>
      <c r="AV1130">
        <f>'Recurring Log'!D1134&amp;""</f>
        <v/>
      </c>
      <c r="AW1130">
        <f>IF('Recurring Log'!E1134="","",'Recurring Log'!E1134)</f>
        <v/>
      </c>
      <c r="AX1130">
        <f>IF('Recurring Log'!G1134="","",'Recurring Log'!G1134)</f>
        <v/>
      </c>
      <c r="AY1130">
        <f>IF('Recurring Log'!H1134="","",'Recurring Log'!H1134)</f>
        <v/>
      </c>
      <c r="AZ1130">
        <f>IF(AU1130="","",IF('Recurring Log'!J1134="","Not Started",'Recurring Log'!J1134))</f>
        <v/>
      </c>
      <c r="BA1130">
        <f>'Recurring Log'!L1134&amp;""</f>
        <v/>
      </c>
      <c r="BB1130">
        <f>'Recurring Log'!M1134&amp;""</f>
        <v/>
      </c>
      <c r="BC1130">
        <f>'Recurring Log'!N1134&amp;""</f>
        <v/>
      </c>
      <c r="BD1130">
        <f>'Recurring Log'!O1134&amp;""</f>
        <v/>
      </c>
      <c r="BE1130">
        <f>IF('Recurring Log'!K1134="","",'Recurring Log'!K1134)</f>
        <v/>
      </c>
      <c r="BF1130">
        <f>IFERROR(MATCH(BA1130,Setup!$L$6:$L$9,0),5)</f>
        <v/>
      </c>
      <c r="BG1130">
        <f>IF(OR(AZ1130="Done",AZ1130="Cancelled"),1,0)</f>
        <v/>
      </c>
      <c r="BH1130">
        <f>IF(AND(AU1130&lt;&gt;"",ISNUMBER(AW1130)),1,0)</f>
        <v/>
      </c>
      <c r="BI1130">
        <f>IF(BH1130=0,0,IF(AND(AW1130&gt;='Tasks Filter'!$F$3,AW1130&lt;='Tasks Filter'!$F$4,OR('Tasks Filter'!$I$3="",ISNUMBER(SEARCH('Tasks Filter'!$I$3,AU1130))),OR('Tasks Filter'!$I$4="",BF1130=IFERROR(MATCH('Tasks Filter'!$I$4,Setup!$L$6:$L$9,0),0)),OR('Tasks Filter'!$I$5="Both",AND('Tasks Filter'!$I$5="Yes",BB1130="✓"),AND('Tasks Filter'!$I$5="No",BB1130&lt;&gt;"✓")),OR('Tasks Filter'!$L$3="",AV1130='Tasks Filter'!$L$3),OR('Tasks Filter'!$L$4="",AZ1130='Tasks Filter'!$L$4),OR('Tasks Filter'!$L$5="",BC1130='Tasks Filter'!$L$5),OR('Tasks Filter'!$O$3="",BD1130='Tasks Filter'!$O$3),OR('Tasks Filter'!$O$4="Yes",BG1130=0)),1,0))</f>
        <v/>
      </c>
      <c r="BJ1130">
        <f>IF(BH1130=0,"",IF('Tasks Filter'!$F$6="Descending",-1,1)*CHOOSE(MATCH('Tasks Filter'!$F$5,Lists!$G$2:$G$6,0),AW1130,BF1130,IFERROR(MATCH(AV1130,Setup!$F$6:$F$15,0),99),IFERROR(MATCH(BC1130,Setup!$H$6:$H$15,0),99),IFERROR(MATCH(AZ1130,Setup!$J$6:$J$11,0),99))*1E+9+(AW1130-40000)*10000+1129)</f>
        <v/>
      </c>
      <c r="BK1130">
        <f>IF(BI1130=1,BJ1130,"")</f>
        <v/>
      </c>
      <c r="BL1130">
        <f>IF(AND(BH1130=1,BG1130=0,N(AW1130)&lt;Setup!$D$7),(AW1130-40000)*10000+1129,"")</f>
        <v/>
      </c>
      <c r="BM1130">
        <f>IF(AND(BH1130=1,AZ1130&lt;&gt;"Cancelled",N(AW1130)&gt;=Dashboard!$AB$3,N(AW1130)&lt;=Dashboard!$AB$3+6),(AW1130-40000)*100000+BF1130*10000+1129,"")</f>
        <v/>
      </c>
      <c r="BN1130">
        <f>IF(AND(BH1130=1,AZ1130&lt;&gt;"Cancelled"),BF1130*10000+1129,"")</f>
        <v/>
      </c>
    </row>
    <row r="1131">
      <c r="AS1131" t="inlineStr">
        <is>
          <t>R</t>
        </is>
      </c>
      <c r="AT1131" t="n">
        <v>1135</v>
      </c>
      <c r="AU1131">
        <f>'Recurring Log'!C1135&amp;""</f>
        <v/>
      </c>
      <c r="AV1131">
        <f>'Recurring Log'!D1135&amp;""</f>
        <v/>
      </c>
      <c r="AW1131">
        <f>IF('Recurring Log'!E1135="","",'Recurring Log'!E1135)</f>
        <v/>
      </c>
      <c r="AX1131">
        <f>IF('Recurring Log'!G1135="","",'Recurring Log'!G1135)</f>
        <v/>
      </c>
      <c r="AY1131">
        <f>IF('Recurring Log'!H1135="","",'Recurring Log'!H1135)</f>
        <v/>
      </c>
      <c r="AZ1131">
        <f>IF(AU1131="","",IF('Recurring Log'!J1135="","Not Started",'Recurring Log'!J1135))</f>
        <v/>
      </c>
      <c r="BA1131">
        <f>'Recurring Log'!L1135&amp;""</f>
        <v/>
      </c>
      <c r="BB1131">
        <f>'Recurring Log'!M1135&amp;""</f>
        <v/>
      </c>
      <c r="BC1131">
        <f>'Recurring Log'!N1135&amp;""</f>
        <v/>
      </c>
      <c r="BD1131">
        <f>'Recurring Log'!O1135&amp;""</f>
        <v/>
      </c>
      <c r="BE1131">
        <f>IF('Recurring Log'!K1135="","",'Recurring Log'!K1135)</f>
        <v/>
      </c>
      <c r="BF1131">
        <f>IFERROR(MATCH(BA1131,Setup!$L$6:$L$9,0),5)</f>
        <v/>
      </c>
      <c r="BG1131">
        <f>IF(OR(AZ1131="Done",AZ1131="Cancelled"),1,0)</f>
        <v/>
      </c>
      <c r="BH1131">
        <f>IF(AND(AU1131&lt;&gt;"",ISNUMBER(AW1131)),1,0)</f>
        <v/>
      </c>
      <c r="BI1131">
        <f>IF(BH1131=0,0,IF(AND(AW1131&gt;='Tasks Filter'!$F$3,AW1131&lt;='Tasks Filter'!$F$4,OR('Tasks Filter'!$I$3="",ISNUMBER(SEARCH('Tasks Filter'!$I$3,AU1131))),OR('Tasks Filter'!$I$4="",BF1131=IFERROR(MATCH('Tasks Filter'!$I$4,Setup!$L$6:$L$9,0),0)),OR('Tasks Filter'!$I$5="Both",AND('Tasks Filter'!$I$5="Yes",BB1131="✓"),AND('Tasks Filter'!$I$5="No",BB1131&lt;&gt;"✓")),OR('Tasks Filter'!$L$3="",AV1131='Tasks Filter'!$L$3),OR('Tasks Filter'!$L$4="",AZ1131='Tasks Filter'!$L$4),OR('Tasks Filter'!$L$5="",BC1131='Tasks Filter'!$L$5),OR('Tasks Filter'!$O$3="",BD1131='Tasks Filter'!$O$3),OR('Tasks Filter'!$O$4="Yes",BG1131=0)),1,0))</f>
        <v/>
      </c>
      <c r="BJ1131">
        <f>IF(BH1131=0,"",IF('Tasks Filter'!$F$6="Descending",-1,1)*CHOOSE(MATCH('Tasks Filter'!$F$5,Lists!$G$2:$G$6,0),AW1131,BF1131,IFERROR(MATCH(AV1131,Setup!$F$6:$F$15,0),99),IFERROR(MATCH(BC1131,Setup!$H$6:$H$15,0),99),IFERROR(MATCH(AZ1131,Setup!$J$6:$J$11,0),99))*1E+9+(AW1131-40000)*10000+1130)</f>
        <v/>
      </c>
      <c r="BK1131">
        <f>IF(BI1131=1,BJ1131,"")</f>
        <v/>
      </c>
      <c r="BL1131">
        <f>IF(AND(BH1131=1,BG1131=0,N(AW1131)&lt;Setup!$D$7),(AW1131-40000)*10000+1130,"")</f>
        <v/>
      </c>
      <c r="BM1131">
        <f>IF(AND(BH1131=1,AZ1131&lt;&gt;"Cancelled",N(AW1131)&gt;=Dashboard!$AB$3,N(AW1131)&lt;=Dashboard!$AB$3+6),(AW1131-40000)*100000+BF1131*10000+1130,"")</f>
        <v/>
      </c>
      <c r="BN1131">
        <f>IF(AND(BH1131=1,AZ1131&lt;&gt;"Cancelled"),BF1131*10000+1130,"")</f>
        <v/>
      </c>
    </row>
    <row r="1132">
      <c r="AS1132" t="inlineStr">
        <is>
          <t>R</t>
        </is>
      </c>
      <c r="AT1132" t="n">
        <v>1136</v>
      </c>
      <c r="AU1132">
        <f>'Recurring Log'!C1136&amp;""</f>
        <v/>
      </c>
      <c r="AV1132">
        <f>'Recurring Log'!D1136&amp;""</f>
        <v/>
      </c>
      <c r="AW1132">
        <f>IF('Recurring Log'!E1136="","",'Recurring Log'!E1136)</f>
        <v/>
      </c>
      <c r="AX1132">
        <f>IF('Recurring Log'!G1136="","",'Recurring Log'!G1136)</f>
        <v/>
      </c>
      <c r="AY1132">
        <f>IF('Recurring Log'!H1136="","",'Recurring Log'!H1136)</f>
        <v/>
      </c>
      <c r="AZ1132">
        <f>IF(AU1132="","",IF('Recurring Log'!J1136="","Not Started",'Recurring Log'!J1136))</f>
        <v/>
      </c>
      <c r="BA1132">
        <f>'Recurring Log'!L1136&amp;""</f>
        <v/>
      </c>
      <c r="BB1132">
        <f>'Recurring Log'!M1136&amp;""</f>
        <v/>
      </c>
      <c r="BC1132">
        <f>'Recurring Log'!N1136&amp;""</f>
        <v/>
      </c>
      <c r="BD1132">
        <f>'Recurring Log'!O1136&amp;""</f>
        <v/>
      </c>
      <c r="BE1132">
        <f>IF('Recurring Log'!K1136="","",'Recurring Log'!K1136)</f>
        <v/>
      </c>
      <c r="BF1132">
        <f>IFERROR(MATCH(BA1132,Setup!$L$6:$L$9,0),5)</f>
        <v/>
      </c>
      <c r="BG1132">
        <f>IF(OR(AZ1132="Done",AZ1132="Cancelled"),1,0)</f>
        <v/>
      </c>
      <c r="BH1132">
        <f>IF(AND(AU1132&lt;&gt;"",ISNUMBER(AW1132)),1,0)</f>
        <v/>
      </c>
      <c r="BI1132">
        <f>IF(BH1132=0,0,IF(AND(AW1132&gt;='Tasks Filter'!$F$3,AW1132&lt;='Tasks Filter'!$F$4,OR('Tasks Filter'!$I$3="",ISNUMBER(SEARCH('Tasks Filter'!$I$3,AU1132))),OR('Tasks Filter'!$I$4="",BF1132=IFERROR(MATCH('Tasks Filter'!$I$4,Setup!$L$6:$L$9,0),0)),OR('Tasks Filter'!$I$5="Both",AND('Tasks Filter'!$I$5="Yes",BB1132="✓"),AND('Tasks Filter'!$I$5="No",BB1132&lt;&gt;"✓")),OR('Tasks Filter'!$L$3="",AV1132='Tasks Filter'!$L$3),OR('Tasks Filter'!$L$4="",AZ1132='Tasks Filter'!$L$4),OR('Tasks Filter'!$L$5="",BC1132='Tasks Filter'!$L$5),OR('Tasks Filter'!$O$3="",BD1132='Tasks Filter'!$O$3),OR('Tasks Filter'!$O$4="Yes",BG1132=0)),1,0))</f>
        <v/>
      </c>
      <c r="BJ1132">
        <f>IF(BH1132=0,"",IF('Tasks Filter'!$F$6="Descending",-1,1)*CHOOSE(MATCH('Tasks Filter'!$F$5,Lists!$G$2:$G$6,0),AW1132,BF1132,IFERROR(MATCH(AV1132,Setup!$F$6:$F$15,0),99),IFERROR(MATCH(BC1132,Setup!$H$6:$H$15,0),99),IFERROR(MATCH(AZ1132,Setup!$J$6:$J$11,0),99))*1E+9+(AW1132-40000)*10000+1131)</f>
        <v/>
      </c>
      <c r="BK1132">
        <f>IF(BI1132=1,BJ1132,"")</f>
        <v/>
      </c>
      <c r="BL1132">
        <f>IF(AND(BH1132=1,BG1132=0,N(AW1132)&lt;Setup!$D$7),(AW1132-40000)*10000+1131,"")</f>
        <v/>
      </c>
      <c r="BM1132">
        <f>IF(AND(BH1132=1,AZ1132&lt;&gt;"Cancelled",N(AW1132)&gt;=Dashboard!$AB$3,N(AW1132)&lt;=Dashboard!$AB$3+6),(AW1132-40000)*100000+BF1132*10000+1131,"")</f>
        <v/>
      </c>
      <c r="BN1132">
        <f>IF(AND(BH1132=1,AZ1132&lt;&gt;"Cancelled"),BF1132*10000+1131,"")</f>
        <v/>
      </c>
    </row>
    <row r="1133">
      <c r="AS1133" t="inlineStr">
        <is>
          <t>R</t>
        </is>
      </c>
      <c r="AT1133" t="n">
        <v>1137</v>
      </c>
      <c r="AU1133">
        <f>'Recurring Log'!C1137&amp;""</f>
        <v/>
      </c>
      <c r="AV1133">
        <f>'Recurring Log'!D1137&amp;""</f>
        <v/>
      </c>
      <c r="AW1133">
        <f>IF('Recurring Log'!E1137="","",'Recurring Log'!E1137)</f>
        <v/>
      </c>
      <c r="AX1133">
        <f>IF('Recurring Log'!G1137="","",'Recurring Log'!G1137)</f>
        <v/>
      </c>
      <c r="AY1133">
        <f>IF('Recurring Log'!H1137="","",'Recurring Log'!H1137)</f>
        <v/>
      </c>
      <c r="AZ1133">
        <f>IF(AU1133="","",IF('Recurring Log'!J1137="","Not Started",'Recurring Log'!J1137))</f>
        <v/>
      </c>
      <c r="BA1133">
        <f>'Recurring Log'!L1137&amp;""</f>
        <v/>
      </c>
      <c r="BB1133">
        <f>'Recurring Log'!M1137&amp;""</f>
        <v/>
      </c>
      <c r="BC1133">
        <f>'Recurring Log'!N1137&amp;""</f>
        <v/>
      </c>
      <c r="BD1133">
        <f>'Recurring Log'!O1137&amp;""</f>
        <v/>
      </c>
      <c r="BE1133">
        <f>IF('Recurring Log'!K1137="","",'Recurring Log'!K1137)</f>
        <v/>
      </c>
      <c r="BF1133">
        <f>IFERROR(MATCH(BA1133,Setup!$L$6:$L$9,0),5)</f>
        <v/>
      </c>
      <c r="BG1133">
        <f>IF(OR(AZ1133="Done",AZ1133="Cancelled"),1,0)</f>
        <v/>
      </c>
      <c r="BH1133">
        <f>IF(AND(AU1133&lt;&gt;"",ISNUMBER(AW1133)),1,0)</f>
        <v/>
      </c>
      <c r="BI1133">
        <f>IF(BH1133=0,0,IF(AND(AW1133&gt;='Tasks Filter'!$F$3,AW1133&lt;='Tasks Filter'!$F$4,OR('Tasks Filter'!$I$3="",ISNUMBER(SEARCH('Tasks Filter'!$I$3,AU1133))),OR('Tasks Filter'!$I$4="",BF1133=IFERROR(MATCH('Tasks Filter'!$I$4,Setup!$L$6:$L$9,0),0)),OR('Tasks Filter'!$I$5="Both",AND('Tasks Filter'!$I$5="Yes",BB1133="✓"),AND('Tasks Filter'!$I$5="No",BB1133&lt;&gt;"✓")),OR('Tasks Filter'!$L$3="",AV1133='Tasks Filter'!$L$3),OR('Tasks Filter'!$L$4="",AZ1133='Tasks Filter'!$L$4),OR('Tasks Filter'!$L$5="",BC1133='Tasks Filter'!$L$5),OR('Tasks Filter'!$O$3="",BD1133='Tasks Filter'!$O$3),OR('Tasks Filter'!$O$4="Yes",BG1133=0)),1,0))</f>
        <v/>
      </c>
      <c r="BJ1133">
        <f>IF(BH1133=0,"",IF('Tasks Filter'!$F$6="Descending",-1,1)*CHOOSE(MATCH('Tasks Filter'!$F$5,Lists!$G$2:$G$6,0),AW1133,BF1133,IFERROR(MATCH(AV1133,Setup!$F$6:$F$15,0),99),IFERROR(MATCH(BC1133,Setup!$H$6:$H$15,0),99),IFERROR(MATCH(AZ1133,Setup!$J$6:$J$11,0),99))*1E+9+(AW1133-40000)*10000+1132)</f>
        <v/>
      </c>
      <c r="BK1133">
        <f>IF(BI1133=1,BJ1133,"")</f>
        <v/>
      </c>
      <c r="BL1133">
        <f>IF(AND(BH1133=1,BG1133=0,N(AW1133)&lt;Setup!$D$7),(AW1133-40000)*10000+1132,"")</f>
        <v/>
      </c>
      <c r="BM1133">
        <f>IF(AND(BH1133=1,AZ1133&lt;&gt;"Cancelled",N(AW1133)&gt;=Dashboard!$AB$3,N(AW1133)&lt;=Dashboard!$AB$3+6),(AW1133-40000)*100000+BF1133*10000+1132,"")</f>
        <v/>
      </c>
      <c r="BN1133">
        <f>IF(AND(BH1133=1,AZ1133&lt;&gt;"Cancelled"),BF1133*10000+1132,"")</f>
        <v/>
      </c>
    </row>
    <row r="1134">
      <c r="AS1134" t="inlineStr">
        <is>
          <t>R</t>
        </is>
      </c>
      <c r="AT1134" t="n">
        <v>1138</v>
      </c>
      <c r="AU1134">
        <f>'Recurring Log'!C1138&amp;""</f>
        <v/>
      </c>
      <c r="AV1134">
        <f>'Recurring Log'!D1138&amp;""</f>
        <v/>
      </c>
      <c r="AW1134">
        <f>IF('Recurring Log'!E1138="","",'Recurring Log'!E1138)</f>
        <v/>
      </c>
      <c r="AX1134">
        <f>IF('Recurring Log'!G1138="","",'Recurring Log'!G1138)</f>
        <v/>
      </c>
      <c r="AY1134">
        <f>IF('Recurring Log'!H1138="","",'Recurring Log'!H1138)</f>
        <v/>
      </c>
      <c r="AZ1134">
        <f>IF(AU1134="","",IF('Recurring Log'!J1138="","Not Started",'Recurring Log'!J1138))</f>
        <v/>
      </c>
      <c r="BA1134">
        <f>'Recurring Log'!L1138&amp;""</f>
        <v/>
      </c>
      <c r="BB1134">
        <f>'Recurring Log'!M1138&amp;""</f>
        <v/>
      </c>
      <c r="BC1134">
        <f>'Recurring Log'!N1138&amp;""</f>
        <v/>
      </c>
      <c r="BD1134">
        <f>'Recurring Log'!O1138&amp;""</f>
        <v/>
      </c>
      <c r="BE1134">
        <f>IF('Recurring Log'!K1138="","",'Recurring Log'!K1138)</f>
        <v/>
      </c>
      <c r="BF1134">
        <f>IFERROR(MATCH(BA1134,Setup!$L$6:$L$9,0),5)</f>
        <v/>
      </c>
      <c r="BG1134">
        <f>IF(OR(AZ1134="Done",AZ1134="Cancelled"),1,0)</f>
        <v/>
      </c>
      <c r="BH1134">
        <f>IF(AND(AU1134&lt;&gt;"",ISNUMBER(AW1134)),1,0)</f>
        <v/>
      </c>
      <c r="BI1134">
        <f>IF(BH1134=0,0,IF(AND(AW1134&gt;='Tasks Filter'!$F$3,AW1134&lt;='Tasks Filter'!$F$4,OR('Tasks Filter'!$I$3="",ISNUMBER(SEARCH('Tasks Filter'!$I$3,AU1134))),OR('Tasks Filter'!$I$4="",BF1134=IFERROR(MATCH('Tasks Filter'!$I$4,Setup!$L$6:$L$9,0),0)),OR('Tasks Filter'!$I$5="Both",AND('Tasks Filter'!$I$5="Yes",BB1134="✓"),AND('Tasks Filter'!$I$5="No",BB1134&lt;&gt;"✓")),OR('Tasks Filter'!$L$3="",AV1134='Tasks Filter'!$L$3),OR('Tasks Filter'!$L$4="",AZ1134='Tasks Filter'!$L$4),OR('Tasks Filter'!$L$5="",BC1134='Tasks Filter'!$L$5),OR('Tasks Filter'!$O$3="",BD1134='Tasks Filter'!$O$3),OR('Tasks Filter'!$O$4="Yes",BG1134=0)),1,0))</f>
        <v/>
      </c>
      <c r="BJ1134">
        <f>IF(BH1134=0,"",IF('Tasks Filter'!$F$6="Descending",-1,1)*CHOOSE(MATCH('Tasks Filter'!$F$5,Lists!$G$2:$G$6,0),AW1134,BF1134,IFERROR(MATCH(AV1134,Setup!$F$6:$F$15,0),99),IFERROR(MATCH(BC1134,Setup!$H$6:$H$15,0),99),IFERROR(MATCH(AZ1134,Setup!$J$6:$J$11,0),99))*1E+9+(AW1134-40000)*10000+1133)</f>
        <v/>
      </c>
      <c r="BK1134">
        <f>IF(BI1134=1,BJ1134,"")</f>
        <v/>
      </c>
      <c r="BL1134">
        <f>IF(AND(BH1134=1,BG1134=0,N(AW1134)&lt;Setup!$D$7),(AW1134-40000)*10000+1133,"")</f>
        <v/>
      </c>
      <c r="BM1134">
        <f>IF(AND(BH1134=1,AZ1134&lt;&gt;"Cancelled",N(AW1134)&gt;=Dashboard!$AB$3,N(AW1134)&lt;=Dashboard!$AB$3+6),(AW1134-40000)*100000+BF1134*10000+1133,"")</f>
        <v/>
      </c>
      <c r="BN1134">
        <f>IF(AND(BH1134=1,AZ1134&lt;&gt;"Cancelled"),BF1134*10000+1133,"")</f>
        <v/>
      </c>
    </row>
    <row r="1135">
      <c r="AS1135" t="inlineStr">
        <is>
          <t>R</t>
        </is>
      </c>
      <c r="AT1135" t="n">
        <v>1139</v>
      </c>
      <c r="AU1135">
        <f>'Recurring Log'!C1139&amp;""</f>
        <v/>
      </c>
      <c r="AV1135">
        <f>'Recurring Log'!D1139&amp;""</f>
        <v/>
      </c>
      <c r="AW1135">
        <f>IF('Recurring Log'!E1139="","",'Recurring Log'!E1139)</f>
        <v/>
      </c>
      <c r="AX1135">
        <f>IF('Recurring Log'!G1139="","",'Recurring Log'!G1139)</f>
        <v/>
      </c>
      <c r="AY1135">
        <f>IF('Recurring Log'!H1139="","",'Recurring Log'!H1139)</f>
        <v/>
      </c>
      <c r="AZ1135">
        <f>IF(AU1135="","",IF('Recurring Log'!J1139="","Not Started",'Recurring Log'!J1139))</f>
        <v/>
      </c>
      <c r="BA1135">
        <f>'Recurring Log'!L1139&amp;""</f>
        <v/>
      </c>
      <c r="BB1135">
        <f>'Recurring Log'!M1139&amp;""</f>
        <v/>
      </c>
      <c r="BC1135">
        <f>'Recurring Log'!N1139&amp;""</f>
        <v/>
      </c>
      <c r="BD1135">
        <f>'Recurring Log'!O1139&amp;""</f>
        <v/>
      </c>
      <c r="BE1135">
        <f>IF('Recurring Log'!K1139="","",'Recurring Log'!K1139)</f>
        <v/>
      </c>
      <c r="BF1135">
        <f>IFERROR(MATCH(BA1135,Setup!$L$6:$L$9,0),5)</f>
        <v/>
      </c>
      <c r="BG1135">
        <f>IF(OR(AZ1135="Done",AZ1135="Cancelled"),1,0)</f>
        <v/>
      </c>
      <c r="BH1135">
        <f>IF(AND(AU1135&lt;&gt;"",ISNUMBER(AW1135)),1,0)</f>
        <v/>
      </c>
      <c r="BI1135">
        <f>IF(BH1135=0,0,IF(AND(AW1135&gt;='Tasks Filter'!$F$3,AW1135&lt;='Tasks Filter'!$F$4,OR('Tasks Filter'!$I$3="",ISNUMBER(SEARCH('Tasks Filter'!$I$3,AU1135))),OR('Tasks Filter'!$I$4="",BF1135=IFERROR(MATCH('Tasks Filter'!$I$4,Setup!$L$6:$L$9,0),0)),OR('Tasks Filter'!$I$5="Both",AND('Tasks Filter'!$I$5="Yes",BB1135="✓"),AND('Tasks Filter'!$I$5="No",BB1135&lt;&gt;"✓")),OR('Tasks Filter'!$L$3="",AV1135='Tasks Filter'!$L$3),OR('Tasks Filter'!$L$4="",AZ1135='Tasks Filter'!$L$4),OR('Tasks Filter'!$L$5="",BC1135='Tasks Filter'!$L$5),OR('Tasks Filter'!$O$3="",BD1135='Tasks Filter'!$O$3),OR('Tasks Filter'!$O$4="Yes",BG1135=0)),1,0))</f>
        <v/>
      </c>
      <c r="BJ1135">
        <f>IF(BH1135=0,"",IF('Tasks Filter'!$F$6="Descending",-1,1)*CHOOSE(MATCH('Tasks Filter'!$F$5,Lists!$G$2:$G$6,0),AW1135,BF1135,IFERROR(MATCH(AV1135,Setup!$F$6:$F$15,0),99),IFERROR(MATCH(BC1135,Setup!$H$6:$H$15,0),99),IFERROR(MATCH(AZ1135,Setup!$J$6:$J$11,0),99))*1E+9+(AW1135-40000)*10000+1134)</f>
        <v/>
      </c>
      <c r="BK1135">
        <f>IF(BI1135=1,BJ1135,"")</f>
        <v/>
      </c>
      <c r="BL1135">
        <f>IF(AND(BH1135=1,BG1135=0,N(AW1135)&lt;Setup!$D$7),(AW1135-40000)*10000+1134,"")</f>
        <v/>
      </c>
      <c r="BM1135">
        <f>IF(AND(BH1135=1,AZ1135&lt;&gt;"Cancelled",N(AW1135)&gt;=Dashboard!$AB$3,N(AW1135)&lt;=Dashboard!$AB$3+6),(AW1135-40000)*100000+BF1135*10000+1134,"")</f>
        <v/>
      </c>
      <c r="BN1135">
        <f>IF(AND(BH1135=1,AZ1135&lt;&gt;"Cancelled"),BF1135*10000+1134,"")</f>
        <v/>
      </c>
    </row>
    <row r="1136">
      <c r="AS1136" t="inlineStr">
        <is>
          <t>R</t>
        </is>
      </c>
      <c r="AT1136" t="n">
        <v>1140</v>
      </c>
      <c r="AU1136">
        <f>'Recurring Log'!C1140&amp;""</f>
        <v/>
      </c>
      <c r="AV1136">
        <f>'Recurring Log'!D1140&amp;""</f>
        <v/>
      </c>
      <c r="AW1136">
        <f>IF('Recurring Log'!E1140="","",'Recurring Log'!E1140)</f>
        <v/>
      </c>
      <c r="AX1136">
        <f>IF('Recurring Log'!G1140="","",'Recurring Log'!G1140)</f>
        <v/>
      </c>
      <c r="AY1136">
        <f>IF('Recurring Log'!H1140="","",'Recurring Log'!H1140)</f>
        <v/>
      </c>
      <c r="AZ1136">
        <f>IF(AU1136="","",IF('Recurring Log'!J1140="","Not Started",'Recurring Log'!J1140))</f>
        <v/>
      </c>
      <c r="BA1136">
        <f>'Recurring Log'!L1140&amp;""</f>
        <v/>
      </c>
      <c r="BB1136">
        <f>'Recurring Log'!M1140&amp;""</f>
        <v/>
      </c>
      <c r="BC1136">
        <f>'Recurring Log'!N1140&amp;""</f>
        <v/>
      </c>
      <c r="BD1136">
        <f>'Recurring Log'!O1140&amp;""</f>
        <v/>
      </c>
      <c r="BE1136">
        <f>IF('Recurring Log'!K1140="","",'Recurring Log'!K1140)</f>
        <v/>
      </c>
      <c r="BF1136">
        <f>IFERROR(MATCH(BA1136,Setup!$L$6:$L$9,0),5)</f>
        <v/>
      </c>
      <c r="BG1136">
        <f>IF(OR(AZ1136="Done",AZ1136="Cancelled"),1,0)</f>
        <v/>
      </c>
      <c r="BH1136">
        <f>IF(AND(AU1136&lt;&gt;"",ISNUMBER(AW1136)),1,0)</f>
        <v/>
      </c>
      <c r="BI1136">
        <f>IF(BH1136=0,0,IF(AND(AW1136&gt;='Tasks Filter'!$F$3,AW1136&lt;='Tasks Filter'!$F$4,OR('Tasks Filter'!$I$3="",ISNUMBER(SEARCH('Tasks Filter'!$I$3,AU1136))),OR('Tasks Filter'!$I$4="",BF1136=IFERROR(MATCH('Tasks Filter'!$I$4,Setup!$L$6:$L$9,0),0)),OR('Tasks Filter'!$I$5="Both",AND('Tasks Filter'!$I$5="Yes",BB1136="✓"),AND('Tasks Filter'!$I$5="No",BB1136&lt;&gt;"✓")),OR('Tasks Filter'!$L$3="",AV1136='Tasks Filter'!$L$3),OR('Tasks Filter'!$L$4="",AZ1136='Tasks Filter'!$L$4),OR('Tasks Filter'!$L$5="",BC1136='Tasks Filter'!$L$5),OR('Tasks Filter'!$O$3="",BD1136='Tasks Filter'!$O$3),OR('Tasks Filter'!$O$4="Yes",BG1136=0)),1,0))</f>
        <v/>
      </c>
      <c r="BJ1136">
        <f>IF(BH1136=0,"",IF('Tasks Filter'!$F$6="Descending",-1,1)*CHOOSE(MATCH('Tasks Filter'!$F$5,Lists!$G$2:$G$6,0),AW1136,BF1136,IFERROR(MATCH(AV1136,Setup!$F$6:$F$15,0),99),IFERROR(MATCH(BC1136,Setup!$H$6:$H$15,0),99),IFERROR(MATCH(AZ1136,Setup!$J$6:$J$11,0),99))*1E+9+(AW1136-40000)*10000+1135)</f>
        <v/>
      </c>
      <c r="BK1136">
        <f>IF(BI1136=1,BJ1136,"")</f>
        <v/>
      </c>
      <c r="BL1136">
        <f>IF(AND(BH1136=1,BG1136=0,N(AW1136)&lt;Setup!$D$7),(AW1136-40000)*10000+1135,"")</f>
        <v/>
      </c>
      <c r="BM1136">
        <f>IF(AND(BH1136=1,AZ1136&lt;&gt;"Cancelled",N(AW1136)&gt;=Dashboard!$AB$3,N(AW1136)&lt;=Dashboard!$AB$3+6),(AW1136-40000)*100000+BF1136*10000+1135,"")</f>
        <v/>
      </c>
      <c r="BN1136">
        <f>IF(AND(BH1136=1,AZ1136&lt;&gt;"Cancelled"),BF1136*10000+1135,"")</f>
        <v/>
      </c>
    </row>
    <row r="1137">
      <c r="AS1137" t="inlineStr">
        <is>
          <t>R</t>
        </is>
      </c>
      <c r="AT1137" t="n">
        <v>1141</v>
      </c>
      <c r="AU1137">
        <f>'Recurring Log'!C1141&amp;""</f>
        <v/>
      </c>
      <c r="AV1137">
        <f>'Recurring Log'!D1141&amp;""</f>
        <v/>
      </c>
      <c r="AW1137">
        <f>IF('Recurring Log'!E1141="","",'Recurring Log'!E1141)</f>
        <v/>
      </c>
      <c r="AX1137">
        <f>IF('Recurring Log'!G1141="","",'Recurring Log'!G1141)</f>
        <v/>
      </c>
      <c r="AY1137">
        <f>IF('Recurring Log'!H1141="","",'Recurring Log'!H1141)</f>
        <v/>
      </c>
      <c r="AZ1137">
        <f>IF(AU1137="","",IF('Recurring Log'!J1141="","Not Started",'Recurring Log'!J1141))</f>
        <v/>
      </c>
      <c r="BA1137">
        <f>'Recurring Log'!L1141&amp;""</f>
        <v/>
      </c>
      <c r="BB1137">
        <f>'Recurring Log'!M1141&amp;""</f>
        <v/>
      </c>
      <c r="BC1137">
        <f>'Recurring Log'!N1141&amp;""</f>
        <v/>
      </c>
      <c r="BD1137">
        <f>'Recurring Log'!O1141&amp;""</f>
        <v/>
      </c>
      <c r="BE1137">
        <f>IF('Recurring Log'!K1141="","",'Recurring Log'!K1141)</f>
        <v/>
      </c>
      <c r="BF1137">
        <f>IFERROR(MATCH(BA1137,Setup!$L$6:$L$9,0),5)</f>
        <v/>
      </c>
      <c r="BG1137">
        <f>IF(OR(AZ1137="Done",AZ1137="Cancelled"),1,0)</f>
        <v/>
      </c>
      <c r="BH1137">
        <f>IF(AND(AU1137&lt;&gt;"",ISNUMBER(AW1137)),1,0)</f>
        <v/>
      </c>
      <c r="BI1137">
        <f>IF(BH1137=0,0,IF(AND(AW1137&gt;='Tasks Filter'!$F$3,AW1137&lt;='Tasks Filter'!$F$4,OR('Tasks Filter'!$I$3="",ISNUMBER(SEARCH('Tasks Filter'!$I$3,AU1137))),OR('Tasks Filter'!$I$4="",BF1137=IFERROR(MATCH('Tasks Filter'!$I$4,Setup!$L$6:$L$9,0),0)),OR('Tasks Filter'!$I$5="Both",AND('Tasks Filter'!$I$5="Yes",BB1137="✓"),AND('Tasks Filter'!$I$5="No",BB1137&lt;&gt;"✓")),OR('Tasks Filter'!$L$3="",AV1137='Tasks Filter'!$L$3),OR('Tasks Filter'!$L$4="",AZ1137='Tasks Filter'!$L$4),OR('Tasks Filter'!$L$5="",BC1137='Tasks Filter'!$L$5),OR('Tasks Filter'!$O$3="",BD1137='Tasks Filter'!$O$3),OR('Tasks Filter'!$O$4="Yes",BG1137=0)),1,0))</f>
        <v/>
      </c>
      <c r="BJ1137">
        <f>IF(BH1137=0,"",IF('Tasks Filter'!$F$6="Descending",-1,1)*CHOOSE(MATCH('Tasks Filter'!$F$5,Lists!$G$2:$G$6,0),AW1137,BF1137,IFERROR(MATCH(AV1137,Setup!$F$6:$F$15,0),99),IFERROR(MATCH(BC1137,Setup!$H$6:$H$15,0),99),IFERROR(MATCH(AZ1137,Setup!$J$6:$J$11,0),99))*1E+9+(AW1137-40000)*10000+1136)</f>
        <v/>
      </c>
      <c r="BK1137">
        <f>IF(BI1137=1,BJ1137,"")</f>
        <v/>
      </c>
      <c r="BL1137">
        <f>IF(AND(BH1137=1,BG1137=0,N(AW1137)&lt;Setup!$D$7),(AW1137-40000)*10000+1136,"")</f>
        <v/>
      </c>
      <c r="BM1137">
        <f>IF(AND(BH1137=1,AZ1137&lt;&gt;"Cancelled",N(AW1137)&gt;=Dashboard!$AB$3,N(AW1137)&lt;=Dashboard!$AB$3+6),(AW1137-40000)*100000+BF1137*10000+1136,"")</f>
        <v/>
      </c>
      <c r="BN1137">
        <f>IF(AND(BH1137=1,AZ1137&lt;&gt;"Cancelled"),BF1137*10000+1136,"")</f>
        <v/>
      </c>
    </row>
    <row r="1138">
      <c r="AS1138" t="inlineStr">
        <is>
          <t>R</t>
        </is>
      </c>
      <c r="AT1138" t="n">
        <v>1142</v>
      </c>
      <c r="AU1138">
        <f>'Recurring Log'!C1142&amp;""</f>
        <v/>
      </c>
      <c r="AV1138">
        <f>'Recurring Log'!D1142&amp;""</f>
        <v/>
      </c>
      <c r="AW1138">
        <f>IF('Recurring Log'!E1142="","",'Recurring Log'!E1142)</f>
        <v/>
      </c>
      <c r="AX1138">
        <f>IF('Recurring Log'!G1142="","",'Recurring Log'!G1142)</f>
        <v/>
      </c>
      <c r="AY1138">
        <f>IF('Recurring Log'!H1142="","",'Recurring Log'!H1142)</f>
        <v/>
      </c>
      <c r="AZ1138">
        <f>IF(AU1138="","",IF('Recurring Log'!J1142="","Not Started",'Recurring Log'!J1142))</f>
        <v/>
      </c>
      <c r="BA1138">
        <f>'Recurring Log'!L1142&amp;""</f>
        <v/>
      </c>
      <c r="BB1138">
        <f>'Recurring Log'!M1142&amp;""</f>
        <v/>
      </c>
      <c r="BC1138">
        <f>'Recurring Log'!N1142&amp;""</f>
        <v/>
      </c>
      <c r="BD1138">
        <f>'Recurring Log'!O1142&amp;""</f>
        <v/>
      </c>
      <c r="BE1138">
        <f>IF('Recurring Log'!K1142="","",'Recurring Log'!K1142)</f>
        <v/>
      </c>
      <c r="BF1138">
        <f>IFERROR(MATCH(BA1138,Setup!$L$6:$L$9,0),5)</f>
        <v/>
      </c>
      <c r="BG1138">
        <f>IF(OR(AZ1138="Done",AZ1138="Cancelled"),1,0)</f>
        <v/>
      </c>
      <c r="BH1138">
        <f>IF(AND(AU1138&lt;&gt;"",ISNUMBER(AW1138)),1,0)</f>
        <v/>
      </c>
      <c r="BI1138">
        <f>IF(BH1138=0,0,IF(AND(AW1138&gt;='Tasks Filter'!$F$3,AW1138&lt;='Tasks Filter'!$F$4,OR('Tasks Filter'!$I$3="",ISNUMBER(SEARCH('Tasks Filter'!$I$3,AU1138))),OR('Tasks Filter'!$I$4="",BF1138=IFERROR(MATCH('Tasks Filter'!$I$4,Setup!$L$6:$L$9,0),0)),OR('Tasks Filter'!$I$5="Both",AND('Tasks Filter'!$I$5="Yes",BB1138="✓"),AND('Tasks Filter'!$I$5="No",BB1138&lt;&gt;"✓")),OR('Tasks Filter'!$L$3="",AV1138='Tasks Filter'!$L$3),OR('Tasks Filter'!$L$4="",AZ1138='Tasks Filter'!$L$4),OR('Tasks Filter'!$L$5="",BC1138='Tasks Filter'!$L$5),OR('Tasks Filter'!$O$3="",BD1138='Tasks Filter'!$O$3),OR('Tasks Filter'!$O$4="Yes",BG1138=0)),1,0))</f>
        <v/>
      </c>
      <c r="BJ1138">
        <f>IF(BH1138=0,"",IF('Tasks Filter'!$F$6="Descending",-1,1)*CHOOSE(MATCH('Tasks Filter'!$F$5,Lists!$G$2:$G$6,0),AW1138,BF1138,IFERROR(MATCH(AV1138,Setup!$F$6:$F$15,0),99),IFERROR(MATCH(BC1138,Setup!$H$6:$H$15,0),99),IFERROR(MATCH(AZ1138,Setup!$J$6:$J$11,0),99))*1E+9+(AW1138-40000)*10000+1137)</f>
        <v/>
      </c>
      <c r="BK1138">
        <f>IF(BI1138=1,BJ1138,"")</f>
        <v/>
      </c>
      <c r="BL1138">
        <f>IF(AND(BH1138=1,BG1138=0,N(AW1138)&lt;Setup!$D$7),(AW1138-40000)*10000+1137,"")</f>
        <v/>
      </c>
      <c r="BM1138">
        <f>IF(AND(BH1138=1,AZ1138&lt;&gt;"Cancelled",N(AW1138)&gt;=Dashboard!$AB$3,N(AW1138)&lt;=Dashboard!$AB$3+6),(AW1138-40000)*100000+BF1138*10000+1137,"")</f>
        <v/>
      </c>
      <c r="BN1138">
        <f>IF(AND(BH1138=1,AZ1138&lt;&gt;"Cancelled"),BF1138*10000+1137,"")</f>
        <v/>
      </c>
    </row>
    <row r="1139">
      <c r="AS1139" t="inlineStr">
        <is>
          <t>R</t>
        </is>
      </c>
      <c r="AT1139" t="n">
        <v>1143</v>
      </c>
      <c r="AU1139">
        <f>'Recurring Log'!C1143&amp;""</f>
        <v/>
      </c>
      <c r="AV1139">
        <f>'Recurring Log'!D1143&amp;""</f>
        <v/>
      </c>
      <c r="AW1139">
        <f>IF('Recurring Log'!E1143="","",'Recurring Log'!E1143)</f>
        <v/>
      </c>
      <c r="AX1139">
        <f>IF('Recurring Log'!G1143="","",'Recurring Log'!G1143)</f>
        <v/>
      </c>
      <c r="AY1139">
        <f>IF('Recurring Log'!H1143="","",'Recurring Log'!H1143)</f>
        <v/>
      </c>
      <c r="AZ1139">
        <f>IF(AU1139="","",IF('Recurring Log'!J1143="","Not Started",'Recurring Log'!J1143))</f>
        <v/>
      </c>
      <c r="BA1139">
        <f>'Recurring Log'!L1143&amp;""</f>
        <v/>
      </c>
      <c r="BB1139">
        <f>'Recurring Log'!M1143&amp;""</f>
        <v/>
      </c>
      <c r="BC1139">
        <f>'Recurring Log'!N1143&amp;""</f>
        <v/>
      </c>
      <c r="BD1139">
        <f>'Recurring Log'!O1143&amp;""</f>
        <v/>
      </c>
      <c r="BE1139">
        <f>IF('Recurring Log'!K1143="","",'Recurring Log'!K1143)</f>
        <v/>
      </c>
      <c r="BF1139">
        <f>IFERROR(MATCH(BA1139,Setup!$L$6:$L$9,0),5)</f>
        <v/>
      </c>
      <c r="BG1139">
        <f>IF(OR(AZ1139="Done",AZ1139="Cancelled"),1,0)</f>
        <v/>
      </c>
      <c r="BH1139">
        <f>IF(AND(AU1139&lt;&gt;"",ISNUMBER(AW1139)),1,0)</f>
        <v/>
      </c>
      <c r="BI1139">
        <f>IF(BH1139=0,0,IF(AND(AW1139&gt;='Tasks Filter'!$F$3,AW1139&lt;='Tasks Filter'!$F$4,OR('Tasks Filter'!$I$3="",ISNUMBER(SEARCH('Tasks Filter'!$I$3,AU1139))),OR('Tasks Filter'!$I$4="",BF1139=IFERROR(MATCH('Tasks Filter'!$I$4,Setup!$L$6:$L$9,0),0)),OR('Tasks Filter'!$I$5="Both",AND('Tasks Filter'!$I$5="Yes",BB1139="✓"),AND('Tasks Filter'!$I$5="No",BB1139&lt;&gt;"✓")),OR('Tasks Filter'!$L$3="",AV1139='Tasks Filter'!$L$3),OR('Tasks Filter'!$L$4="",AZ1139='Tasks Filter'!$L$4),OR('Tasks Filter'!$L$5="",BC1139='Tasks Filter'!$L$5),OR('Tasks Filter'!$O$3="",BD1139='Tasks Filter'!$O$3),OR('Tasks Filter'!$O$4="Yes",BG1139=0)),1,0))</f>
        <v/>
      </c>
      <c r="BJ1139">
        <f>IF(BH1139=0,"",IF('Tasks Filter'!$F$6="Descending",-1,1)*CHOOSE(MATCH('Tasks Filter'!$F$5,Lists!$G$2:$G$6,0),AW1139,BF1139,IFERROR(MATCH(AV1139,Setup!$F$6:$F$15,0),99),IFERROR(MATCH(BC1139,Setup!$H$6:$H$15,0),99),IFERROR(MATCH(AZ1139,Setup!$J$6:$J$11,0),99))*1E+9+(AW1139-40000)*10000+1138)</f>
        <v/>
      </c>
      <c r="BK1139">
        <f>IF(BI1139=1,BJ1139,"")</f>
        <v/>
      </c>
      <c r="BL1139">
        <f>IF(AND(BH1139=1,BG1139=0,N(AW1139)&lt;Setup!$D$7),(AW1139-40000)*10000+1138,"")</f>
        <v/>
      </c>
      <c r="BM1139">
        <f>IF(AND(BH1139=1,AZ1139&lt;&gt;"Cancelled",N(AW1139)&gt;=Dashboard!$AB$3,N(AW1139)&lt;=Dashboard!$AB$3+6),(AW1139-40000)*100000+BF1139*10000+1138,"")</f>
        <v/>
      </c>
      <c r="BN1139">
        <f>IF(AND(BH1139=1,AZ1139&lt;&gt;"Cancelled"),BF1139*10000+1138,"")</f>
        <v/>
      </c>
    </row>
    <row r="1140">
      <c r="AS1140" t="inlineStr">
        <is>
          <t>R</t>
        </is>
      </c>
      <c r="AT1140" t="n">
        <v>1144</v>
      </c>
      <c r="AU1140">
        <f>'Recurring Log'!C1144&amp;""</f>
        <v/>
      </c>
      <c r="AV1140">
        <f>'Recurring Log'!D1144&amp;""</f>
        <v/>
      </c>
      <c r="AW1140">
        <f>IF('Recurring Log'!E1144="","",'Recurring Log'!E1144)</f>
        <v/>
      </c>
      <c r="AX1140">
        <f>IF('Recurring Log'!G1144="","",'Recurring Log'!G1144)</f>
        <v/>
      </c>
      <c r="AY1140">
        <f>IF('Recurring Log'!H1144="","",'Recurring Log'!H1144)</f>
        <v/>
      </c>
      <c r="AZ1140">
        <f>IF(AU1140="","",IF('Recurring Log'!J1144="","Not Started",'Recurring Log'!J1144))</f>
        <v/>
      </c>
      <c r="BA1140">
        <f>'Recurring Log'!L1144&amp;""</f>
        <v/>
      </c>
      <c r="BB1140">
        <f>'Recurring Log'!M1144&amp;""</f>
        <v/>
      </c>
      <c r="BC1140">
        <f>'Recurring Log'!N1144&amp;""</f>
        <v/>
      </c>
      <c r="BD1140">
        <f>'Recurring Log'!O1144&amp;""</f>
        <v/>
      </c>
      <c r="BE1140">
        <f>IF('Recurring Log'!K1144="","",'Recurring Log'!K1144)</f>
        <v/>
      </c>
      <c r="BF1140">
        <f>IFERROR(MATCH(BA1140,Setup!$L$6:$L$9,0),5)</f>
        <v/>
      </c>
      <c r="BG1140">
        <f>IF(OR(AZ1140="Done",AZ1140="Cancelled"),1,0)</f>
        <v/>
      </c>
      <c r="BH1140">
        <f>IF(AND(AU1140&lt;&gt;"",ISNUMBER(AW1140)),1,0)</f>
        <v/>
      </c>
      <c r="BI1140">
        <f>IF(BH1140=0,0,IF(AND(AW1140&gt;='Tasks Filter'!$F$3,AW1140&lt;='Tasks Filter'!$F$4,OR('Tasks Filter'!$I$3="",ISNUMBER(SEARCH('Tasks Filter'!$I$3,AU1140))),OR('Tasks Filter'!$I$4="",BF1140=IFERROR(MATCH('Tasks Filter'!$I$4,Setup!$L$6:$L$9,0),0)),OR('Tasks Filter'!$I$5="Both",AND('Tasks Filter'!$I$5="Yes",BB1140="✓"),AND('Tasks Filter'!$I$5="No",BB1140&lt;&gt;"✓")),OR('Tasks Filter'!$L$3="",AV1140='Tasks Filter'!$L$3),OR('Tasks Filter'!$L$4="",AZ1140='Tasks Filter'!$L$4),OR('Tasks Filter'!$L$5="",BC1140='Tasks Filter'!$L$5),OR('Tasks Filter'!$O$3="",BD1140='Tasks Filter'!$O$3),OR('Tasks Filter'!$O$4="Yes",BG1140=0)),1,0))</f>
        <v/>
      </c>
      <c r="BJ1140">
        <f>IF(BH1140=0,"",IF('Tasks Filter'!$F$6="Descending",-1,1)*CHOOSE(MATCH('Tasks Filter'!$F$5,Lists!$G$2:$G$6,0),AW1140,BF1140,IFERROR(MATCH(AV1140,Setup!$F$6:$F$15,0),99),IFERROR(MATCH(BC1140,Setup!$H$6:$H$15,0),99),IFERROR(MATCH(AZ1140,Setup!$J$6:$J$11,0),99))*1E+9+(AW1140-40000)*10000+1139)</f>
        <v/>
      </c>
      <c r="BK1140">
        <f>IF(BI1140=1,BJ1140,"")</f>
        <v/>
      </c>
      <c r="BL1140">
        <f>IF(AND(BH1140=1,BG1140=0,N(AW1140)&lt;Setup!$D$7),(AW1140-40000)*10000+1139,"")</f>
        <v/>
      </c>
      <c r="BM1140">
        <f>IF(AND(BH1140=1,AZ1140&lt;&gt;"Cancelled",N(AW1140)&gt;=Dashboard!$AB$3,N(AW1140)&lt;=Dashboard!$AB$3+6),(AW1140-40000)*100000+BF1140*10000+1139,"")</f>
        <v/>
      </c>
      <c r="BN1140">
        <f>IF(AND(BH1140=1,AZ1140&lt;&gt;"Cancelled"),BF1140*10000+1139,"")</f>
        <v/>
      </c>
    </row>
    <row r="1141">
      <c r="AS1141" t="inlineStr">
        <is>
          <t>R</t>
        </is>
      </c>
      <c r="AT1141" t="n">
        <v>1145</v>
      </c>
      <c r="AU1141">
        <f>'Recurring Log'!C1145&amp;""</f>
        <v/>
      </c>
      <c r="AV1141">
        <f>'Recurring Log'!D1145&amp;""</f>
        <v/>
      </c>
      <c r="AW1141">
        <f>IF('Recurring Log'!E1145="","",'Recurring Log'!E1145)</f>
        <v/>
      </c>
      <c r="AX1141">
        <f>IF('Recurring Log'!G1145="","",'Recurring Log'!G1145)</f>
        <v/>
      </c>
      <c r="AY1141">
        <f>IF('Recurring Log'!H1145="","",'Recurring Log'!H1145)</f>
        <v/>
      </c>
      <c r="AZ1141">
        <f>IF(AU1141="","",IF('Recurring Log'!J1145="","Not Started",'Recurring Log'!J1145))</f>
        <v/>
      </c>
      <c r="BA1141">
        <f>'Recurring Log'!L1145&amp;""</f>
        <v/>
      </c>
      <c r="BB1141">
        <f>'Recurring Log'!M1145&amp;""</f>
        <v/>
      </c>
      <c r="BC1141">
        <f>'Recurring Log'!N1145&amp;""</f>
        <v/>
      </c>
      <c r="BD1141">
        <f>'Recurring Log'!O1145&amp;""</f>
        <v/>
      </c>
      <c r="BE1141">
        <f>IF('Recurring Log'!K1145="","",'Recurring Log'!K1145)</f>
        <v/>
      </c>
      <c r="BF1141">
        <f>IFERROR(MATCH(BA1141,Setup!$L$6:$L$9,0),5)</f>
        <v/>
      </c>
      <c r="BG1141">
        <f>IF(OR(AZ1141="Done",AZ1141="Cancelled"),1,0)</f>
        <v/>
      </c>
      <c r="BH1141">
        <f>IF(AND(AU1141&lt;&gt;"",ISNUMBER(AW1141)),1,0)</f>
        <v/>
      </c>
      <c r="BI1141">
        <f>IF(BH1141=0,0,IF(AND(AW1141&gt;='Tasks Filter'!$F$3,AW1141&lt;='Tasks Filter'!$F$4,OR('Tasks Filter'!$I$3="",ISNUMBER(SEARCH('Tasks Filter'!$I$3,AU1141))),OR('Tasks Filter'!$I$4="",BF1141=IFERROR(MATCH('Tasks Filter'!$I$4,Setup!$L$6:$L$9,0),0)),OR('Tasks Filter'!$I$5="Both",AND('Tasks Filter'!$I$5="Yes",BB1141="✓"),AND('Tasks Filter'!$I$5="No",BB1141&lt;&gt;"✓")),OR('Tasks Filter'!$L$3="",AV1141='Tasks Filter'!$L$3),OR('Tasks Filter'!$L$4="",AZ1141='Tasks Filter'!$L$4),OR('Tasks Filter'!$L$5="",BC1141='Tasks Filter'!$L$5),OR('Tasks Filter'!$O$3="",BD1141='Tasks Filter'!$O$3),OR('Tasks Filter'!$O$4="Yes",BG1141=0)),1,0))</f>
        <v/>
      </c>
      <c r="BJ1141">
        <f>IF(BH1141=0,"",IF('Tasks Filter'!$F$6="Descending",-1,1)*CHOOSE(MATCH('Tasks Filter'!$F$5,Lists!$G$2:$G$6,0),AW1141,BF1141,IFERROR(MATCH(AV1141,Setup!$F$6:$F$15,0),99),IFERROR(MATCH(BC1141,Setup!$H$6:$H$15,0),99),IFERROR(MATCH(AZ1141,Setup!$J$6:$J$11,0),99))*1E+9+(AW1141-40000)*10000+1140)</f>
        <v/>
      </c>
      <c r="BK1141">
        <f>IF(BI1141=1,BJ1141,"")</f>
        <v/>
      </c>
      <c r="BL1141">
        <f>IF(AND(BH1141=1,BG1141=0,N(AW1141)&lt;Setup!$D$7),(AW1141-40000)*10000+1140,"")</f>
        <v/>
      </c>
      <c r="BM1141">
        <f>IF(AND(BH1141=1,AZ1141&lt;&gt;"Cancelled",N(AW1141)&gt;=Dashboard!$AB$3,N(AW1141)&lt;=Dashboard!$AB$3+6),(AW1141-40000)*100000+BF1141*10000+1140,"")</f>
        <v/>
      </c>
      <c r="BN1141">
        <f>IF(AND(BH1141=1,AZ1141&lt;&gt;"Cancelled"),BF1141*10000+1140,"")</f>
        <v/>
      </c>
    </row>
    <row r="1142">
      <c r="AS1142" t="inlineStr">
        <is>
          <t>R</t>
        </is>
      </c>
      <c r="AT1142" t="n">
        <v>1146</v>
      </c>
      <c r="AU1142">
        <f>'Recurring Log'!C1146&amp;""</f>
        <v/>
      </c>
      <c r="AV1142">
        <f>'Recurring Log'!D1146&amp;""</f>
        <v/>
      </c>
      <c r="AW1142">
        <f>IF('Recurring Log'!E1146="","",'Recurring Log'!E1146)</f>
        <v/>
      </c>
      <c r="AX1142">
        <f>IF('Recurring Log'!G1146="","",'Recurring Log'!G1146)</f>
        <v/>
      </c>
      <c r="AY1142">
        <f>IF('Recurring Log'!H1146="","",'Recurring Log'!H1146)</f>
        <v/>
      </c>
      <c r="AZ1142">
        <f>IF(AU1142="","",IF('Recurring Log'!J1146="","Not Started",'Recurring Log'!J1146))</f>
        <v/>
      </c>
      <c r="BA1142">
        <f>'Recurring Log'!L1146&amp;""</f>
        <v/>
      </c>
      <c r="BB1142">
        <f>'Recurring Log'!M1146&amp;""</f>
        <v/>
      </c>
      <c r="BC1142">
        <f>'Recurring Log'!N1146&amp;""</f>
        <v/>
      </c>
      <c r="BD1142">
        <f>'Recurring Log'!O1146&amp;""</f>
        <v/>
      </c>
      <c r="BE1142">
        <f>IF('Recurring Log'!K1146="","",'Recurring Log'!K1146)</f>
        <v/>
      </c>
      <c r="BF1142">
        <f>IFERROR(MATCH(BA1142,Setup!$L$6:$L$9,0),5)</f>
        <v/>
      </c>
      <c r="BG1142">
        <f>IF(OR(AZ1142="Done",AZ1142="Cancelled"),1,0)</f>
        <v/>
      </c>
      <c r="BH1142">
        <f>IF(AND(AU1142&lt;&gt;"",ISNUMBER(AW1142)),1,0)</f>
        <v/>
      </c>
      <c r="BI1142">
        <f>IF(BH1142=0,0,IF(AND(AW1142&gt;='Tasks Filter'!$F$3,AW1142&lt;='Tasks Filter'!$F$4,OR('Tasks Filter'!$I$3="",ISNUMBER(SEARCH('Tasks Filter'!$I$3,AU1142))),OR('Tasks Filter'!$I$4="",BF1142=IFERROR(MATCH('Tasks Filter'!$I$4,Setup!$L$6:$L$9,0),0)),OR('Tasks Filter'!$I$5="Both",AND('Tasks Filter'!$I$5="Yes",BB1142="✓"),AND('Tasks Filter'!$I$5="No",BB1142&lt;&gt;"✓")),OR('Tasks Filter'!$L$3="",AV1142='Tasks Filter'!$L$3),OR('Tasks Filter'!$L$4="",AZ1142='Tasks Filter'!$L$4),OR('Tasks Filter'!$L$5="",BC1142='Tasks Filter'!$L$5),OR('Tasks Filter'!$O$3="",BD1142='Tasks Filter'!$O$3),OR('Tasks Filter'!$O$4="Yes",BG1142=0)),1,0))</f>
        <v/>
      </c>
      <c r="BJ1142">
        <f>IF(BH1142=0,"",IF('Tasks Filter'!$F$6="Descending",-1,1)*CHOOSE(MATCH('Tasks Filter'!$F$5,Lists!$G$2:$G$6,0),AW1142,BF1142,IFERROR(MATCH(AV1142,Setup!$F$6:$F$15,0),99),IFERROR(MATCH(BC1142,Setup!$H$6:$H$15,0),99),IFERROR(MATCH(AZ1142,Setup!$J$6:$J$11,0),99))*1E+9+(AW1142-40000)*10000+1141)</f>
        <v/>
      </c>
      <c r="BK1142">
        <f>IF(BI1142=1,BJ1142,"")</f>
        <v/>
      </c>
      <c r="BL1142">
        <f>IF(AND(BH1142=1,BG1142=0,N(AW1142)&lt;Setup!$D$7),(AW1142-40000)*10000+1141,"")</f>
        <v/>
      </c>
      <c r="BM1142">
        <f>IF(AND(BH1142=1,AZ1142&lt;&gt;"Cancelled",N(AW1142)&gt;=Dashboard!$AB$3,N(AW1142)&lt;=Dashboard!$AB$3+6),(AW1142-40000)*100000+BF1142*10000+1141,"")</f>
        <v/>
      </c>
      <c r="BN1142">
        <f>IF(AND(BH1142=1,AZ1142&lt;&gt;"Cancelled"),BF1142*10000+1141,"")</f>
        <v/>
      </c>
    </row>
    <row r="1143">
      <c r="AS1143" t="inlineStr">
        <is>
          <t>R</t>
        </is>
      </c>
      <c r="AT1143" t="n">
        <v>1147</v>
      </c>
      <c r="AU1143">
        <f>'Recurring Log'!C1147&amp;""</f>
        <v/>
      </c>
      <c r="AV1143">
        <f>'Recurring Log'!D1147&amp;""</f>
        <v/>
      </c>
      <c r="AW1143">
        <f>IF('Recurring Log'!E1147="","",'Recurring Log'!E1147)</f>
        <v/>
      </c>
      <c r="AX1143">
        <f>IF('Recurring Log'!G1147="","",'Recurring Log'!G1147)</f>
        <v/>
      </c>
      <c r="AY1143">
        <f>IF('Recurring Log'!H1147="","",'Recurring Log'!H1147)</f>
        <v/>
      </c>
      <c r="AZ1143">
        <f>IF(AU1143="","",IF('Recurring Log'!J1147="","Not Started",'Recurring Log'!J1147))</f>
        <v/>
      </c>
      <c r="BA1143">
        <f>'Recurring Log'!L1147&amp;""</f>
        <v/>
      </c>
      <c r="BB1143">
        <f>'Recurring Log'!M1147&amp;""</f>
        <v/>
      </c>
      <c r="BC1143">
        <f>'Recurring Log'!N1147&amp;""</f>
        <v/>
      </c>
      <c r="BD1143">
        <f>'Recurring Log'!O1147&amp;""</f>
        <v/>
      </c>
      <c r="BE1143">
        <f>IF('Recurring Log'!K1147="","",'Recurring Log'!K1147)</f>
        <v/>
      </c>
      <c r="BF1143">
        <f>IFERROR(MATCH(BA1143,Setup!$L$6:$L$9,0),5)</f>
        <v/>
      </c>
      <c r="BG1143">
        <f>IF(OR(AZ1143="Done",AZ1143="Cancelled"),1,0)</f>
        <v/>
      </c>
      <c r="BH1143">
        <f>IF(AND(AU1143&lt;&gt;"",ISNUMBER(AW1143)),1,0)</f>
        <v/>
      </c>
      <c r="BI1143">
        <f>IF(BH1143=0,0,IF(AND(AW1143&gt;='Tasks Filter'!$F$3,AW1143&lt;='Tasks Filter'!$F$4,OR('Tasks Filter'!$I$3="",ISNUMBER(SEARCH('Tasks Filter'!$I$3,AU1143))),OR('Tasks Filter'!$I$4="",BF1143=IFERROR(MATCH('Tasks Filter'!$I$4,Setup!$L$6:$L$9,0),0)),OR('Tasks Filter'!$I$5="Both",AND('Tasks Filter'!$I$5="Yes",BB1143="✓"),AND('Tasks Filter'!$I$5="No",BB1143&lt;&gt;"✓")),OR('Tasks Filter'!$L$3="",AV1143='Tasks Filter'!$L$3),OR('Tasks Filter'!$L$4="",AZ1143='Tasks Filter'!$L$4),OR('Tasks Filter'!$L$5="",BC1143='Tasks Filter'!$L$5),OR('Tasks Filter'!$O$3="",BD1143='Tasks Filter'!$O$3),OR('Tasks Filter'!$O$4="Yes",BG1143=0)),1,0))</f>
        <v/>
      </c>
      <c r="BJ1143">
        <f>IF(BH1143=0,"",IF('Tasks Filter'!$F$6="Descending",-1,1)*CHOOSE(MATCH('Tasks Filter'!$F$5,Lists!$G$2:$G$6,0),AW1143,BF1143,IFERROR(MATCH(AV1143,Setup!$F$6:$F$15,0),99),IFERROR(MATCH(BC1143,Setup!$H$6:$H$15,0),99),IFERROR(MATCH(AZ1143,Setup!$J$6:$J$11,0),99))*1E+9+(AW1143-40000)*10000+1142)</f>
        <v/>
      </c>
      <c r="BK1143">
        <f>IF(BI1143=1,BJ1143,"")</f>
        <v/>
      </c>
      <c r="BL1143">
        <f>IF(AND(BH1143=1,BG1143=0,N(AW1143)&lt;Setup!$D$7),(AW1143-40000)*10000+1142,"")</f>
        <v/>
      </c>
      <c r="BM1143">
        <f>IF(AND(BH1143=1,AZ1143&lt;&gt;"Cancelled",N(AW1143)&gt;=Dashboard!$AB$3,N(AW1143)&lt;=Dashboard!$AB$3+6),(AW1143-40000)*100000+BF1143*10000+1142,"")</f>
        <v/>
      </c>
      <c r="BN1143">
        <f>IF(AND(BH1143=1,AZ1143&lt;&gt;"Cancelled"),BF1143*10000+1142,"")</f>
        <v/>
      </c>
    </row>
    <row r="1144">
      <c r="AS1144" t="inlineStr">
        <is>
          <t>R</t>
        </is>
      </c>
      <c r="AT1144" t="n">
        <v>1148</v>
      </c>
      <c r="AU1144">
        <f>'Recurring Log'!C1148&amp;""</f>
        <v/>
      </c>
      <c r="AV1144">
        <f>'Recurring Log'!D1148&amp;""</f>
        <v/>
      </c>
      <c r="AW1144">
        <f>IF('Recurring Log'!E1148="","",'Recurring Log'!E1148)</f>
        <v/>
      </c>
      <c r="AX1144">
        <f>IF('Recurring Log'!G1148="","",'Recurring Log'!G1148)</f>
        <v/>
      </c>
      <c r="AY1144">
        <f>IF('Recurring Log'!H1148="","",'Recurring Log'!H1148)</f>
        <v/>
      </c>
      <c r="AZ1144">
        <f>IF(AU1144="","",IF('Recurring Log'!J1148="","Not Started",'Recurring Log'!J1148))</f>
        <v/>
      </c>
      <c r="BA1144">
        <f>'Recurring Log'!L1148&amp;""</f>
        <v/>
      </c>
      <c r="BB1144">
        <f>'Recurring Log'!M1148&amp;""</f>
        <v/>
      </c>
      <c r="BC1144">
        <f>'Recurring Log'!N1148&amp;""</f>
        <v/>
      </c>
      <c r="BD1144">
        <f>'Recurring Log'!O1148&amp;""</f>
        <v/>
      </c>
      <c r="BE1144">
        <f>IF('Recurring Log'!K1148="","",'Recurring Log'!K1148)</f>
        <v/>
      </c>
      <c r="BF1144">
        <f>IFERROR(MATCH(BA1144,Setup!$L$6:$L$9,0),5)</f>
        <v/>
      </c>
      <c r="BG1144">
        <f>IF(OR(AZ1144="Done",AZ1144="Cancelled"),1,0)</f>
        <v/>
      </c>
      <c r="BH1144">
        <f>IF(AND(AU1144&lt;&gt;"",ISNUMBER(AW1144)),1,0)</f>
        <v/>
      </c>
      <c r="BI1144">
        <f>IF(BH1144=0,0,IF(AND(AW1144&gt;='Tasks Filter'!$F$3,AW1144&lt;='Tasks Filter'!$F$4,OR('Tasks Filter'!$I$3="",ISNUMBER(SEARCH('Tasks Filter'!$I$3,AU1144))),OR('Tasks Filter'!$I$4="",BF1144=IFERROR(MATCH('Tasks Filter'!$I$4,Setup!$L$6:$L$9,0),0)),OR('Tasks Filter'!$I$5="Both",AND('Tasks Filter'!$I$5="Yes",BB1144="✓"),AND('Tasks Filter'!$I$5="No",BB1144&lt;&gt;"✓")),OR('Tasks Filter'!$L$3="",AV1144='Tasks Filter'!$L$3),OR('Tasks Filter'!$L$4="",AZ1144='Tasks Filter'!$L$4),OR('Tasks Filter'!$L$5="",BC1144='Tasks Filter'!$L$5),OR('Tasks Filter'!$O$3="",BD1144='Tasks Filter'!$O$3),OR('Tasks Filter'!$O$4="Yes",BG1144=0)),1,0))</f>
        <v/>
      </c>
      <c r="BJ1144">
        <f>IF(BH1144=0,"",IF('Tasks Filter'!$F$6="Descending",-1,1)*CHOOSE(MATCH('Tasks Filter'!$F$5,Lists!$G$2:$G$6,0),AW1144,BF1144,IFERROR(MATCH(AV1144,Setup!$F$6:$F$15,0),99),IFERROR(MATCH(BC1144,Setup!$H$6:$H$15,0),99),IFERROR(MATCH(AZ1144,Setup!$J$6:$J$11,0),99))*1E+9+(AW1144-40000)*10000+1143)</f>
        <v/>
      </c>
      <c r="BK1144">
        <f>IF(BI1144=1,BJ1144,"")</f>
        <v/>
      </c>
      <c r="BL1144">
        <f>IF(AND(BH1144=1,BG1144=0,N(AW1144)&lt;Setup!$D$7),(AW1144-40000)*10000+1143,"")</f>
        <v/>
      </c>
      <c r="BM1144">
        <f>IF(AND(BH1144=1,AZ1144&lt;&gt;"Cancelled",N(AW1144)&gt;=Dashboard!$AB$3,N(AW1144)&lt;=Dashboard!$AB$3+6),(AW1144-40000)*100000+BF1144*10000+1143,"")</f>
        <v/>
      </c>
      <c r="BN1144">
        <f>IF(AND(BH1144=1,AZ1144&lt;&gt;"Cancelled"),BF1144*10000+1143,"")</f>
        <v/>
      </c>
    </row>
    <row r="1145">
      <c r="AS1145" t="inlineStr">
        <is>
          <t>R</t>
        </is>
      </c>
      <c r="AT1145" t="n">
        <v>1149</v>
      </c>
      <c r="AU1145">
        <f>'Recurring Log'!C1149&amp;""</f>
        <v/>
      </c>
      <c r="AV1145">
        <f>'Recurring Log'!D1149&amp;""</f>
        <v/>
      </c>
      <c r="AW1145">
        <f>IF('Recurring Log'!E1149="","",'Recurring Log'!E1149)</f>
        <v/>
      </c>
      <c r="AX1145">
        <f>IF('Recurring Log'!G1149="","",'Recurring Log'!G1149)</f>
        <v/>
      </c>
      <c r="AY1145">
        <f>IF('Recurring Log'!H1149="","",'Recurring Log'!H1149)</f>
        <v/>
      </c>
      <c r="AZ1145">
        <f>IF(AU1145="","",IF('Recurring Log'!J1149="","Not Started",'Recurring Log'!J1149))</f>
        <v/>
      </c>
      <c r="BA1145">
        <f>'Recurring Log'!L1149&amp;""</f>
        <v/>
      </c>
      <c r="BB1145">
        <f>'Recurring Log'!M1149&amp;""</f>
        <v/>
      </c>
      <c r="BC1145">
        <f>'Recurring Log'!N1149&amp;""</f>
        <v/>
      </c>
      <c r="BD1145">
        <f>'Recurring Log'!O1149&amp;""</f>
        <v/>
      </c>
      <c r="BE1145">
        <f>IF('Recurring Log'!K1149="","",'Recurring Log'!K1149)</f>
        <v/>
      </c>
      <c r="BF1145">
        <f>IFERROR(MATCH(BA1145,Setup!$L$6:$L$9,0),5)</f>
        <v/>
      </c>
      <c r="BG1145">
        <f>IF(OR(AZ1145="Done",AZ1145="Cancelled"),1,0)</f>
        <v/>
      </c>
      <c r="BH1145">
        <f>IF(AND(AU1145&lt;&gt;"",ISNUMBER(AW1145)),1,0)</f>
        <v/>
      </c>
      <c r="BI1145">
        <f>IF(BH1145=0,0,IF(AND(AW1145&gt;='Tasks Filter'!$F$3,AW1145&lt;='Tasks Filter'!$F$4,OR('Tasks Filter'!$I$3="",ISNUMBER(SEARCH('Tasks Filter'!$I$3,AU1145))),OR('Tasks Filter'!$I$4="",BF1145=IFERROR(MATCH('Tasks Filter'!$I$4,Setup!$L$6:$L$9,0),0)),OR('Tasks Filter'!$I$5="Both",AND('Tasks Filter'!$I$5="Yes",BB1145="✓"),AND('Tasks Filter'!$I$5="No",BB1145&lt;&gt;"✓")),OR('Tasks Filter'!$L$3="",AV1145='Tasks Filter'!$L$3),OR('Tasks Filter'!$L$4="",AZ1145='Tasks Filter'!$L$4),OR('Tasks Filter'!$L$5="",BC1145='Tasks Filter'!$L$5),OR('Tasks Filter'!$O$3="",BD1145='Tasks Filter'!$O$3),OR('Tasks Filter'!$O$4="Yes",BG1145=0)),1,0))</f>
        <v/>
      </c>
      <c r="BJ1145">
        <f>IF(BH1145=0,"",IF('Tasks Filter'!$F$6="Descending",-1,1)*CHOOSE(MATCH('Tasks Filter'!$F$5,Lists!$G$2:$G$6,0),AW1145,BF1145,IFERROR(MATCH(AV1145,Setup!$F$6:$F$15,0),99),IFERROR(MATCH(BC1145,Setup!$H$6:$H$15,0),99),IFERROR(MATCH(AZ1145,Setup!$J$6:$J$11,0),99))*1E+9+(AW1145-40000)*10000+1144)</f>
        <v/>
      </c>
      <c r="BK1145">
        <f>IF(BI1145=1,BJ1145,"")</f>
        <v/>
      </c>
      <c r="BL1145">
        <f>IF(AND(BH1145=1,BG1145=0,N(AW1145)&lt;Setup!$D$7),(AW1145-40000)*10000+1144,"")</f>
        <v/>
      </c>
      <c r="BM1145">
        <f>IF(AND(BH1145=1,AZ1145&lt;&gt;"Cancelled",N(AW1145)&gt;=Dashboard!$AB$3,N(AW1145)&lt;=Dashboard!$AB$3+6),(AW1145-40000)*100000+BF1145*10000+1144,"")</f>
        <v/>
      </c>
      <c r="BN1145">
        <f>IF(AND(BH1145=1,AZ1145&lt;&gt;"Cancelled"),BF1145*10000+1144,"")</f>
        <v/>
      </c>
    </row>
    <row r="1146">
      <c r="AS1146" t="inlineStr">
        <is>
          <t>R</t>
        </is>
      </c>
      <c r="AT1146" t="n">
        <v>1150</v>
      </c>
      <c r="AU1146">
        <f>'Recurring Log'!C1150&amp;""</f>
        <v/>
      </c>
      <c r="AV1146">
        <f>'Recurring Log'!D1150&amp;""</f>
        <v/>
      </c>
      <c r="AW1146">
        <f>IF('Recurring Log'!E1150="","",'Recurring Log'!E1150)</f>
        <v/>
      </c>
      <c r="AX1146">
        <f>IF('Recurring Log'!G1150="","",'Recurring Log'!G1150)</f>
        <v/>
      </c>
      <c r="AY1146">
        <f>IF('Recurring Log'!H1150="","",'Recurring Log'!H1150)</f>
        <v/>
      </c>
      <c r="AZ1146">
        <f>IF(AU1146="","",IF('Recurring Log'!J1150="","Not Started",'Recurring Log'!J1150))</f>
        <v/>
      </c>
      <c r="BA1146">
        <f>'Recurring Log'!L1150&amp;""</f>
        <v/>
      </c>
      <c r="BB1146">
        <f>'Recurring Log'!M1150&amp;""</f>
        <v/>
      </c>
      <c r="BC1146">
        <f>'Recurring Log'!N1150&amp;""</f>
        <v/>
      </c>
      <c r="BD1146">
        <f>'Recurring Log'!O1150&amp;""</f>
        <v/>
      </c>
      <c r="BE1146">
        <f>IF('Recurring Log'!K1150="","",'Recurring Log'!K1150)</f>
        <v/>
      </c>
      <c r="BF1146">
        <f>IFERROR(MATCH(BA1146,Setup!$L$6:$L$9,0),5)</f>
        <v/>
      </c>
      <c r="BG1146">
        <f>IF(OR(AZ1146="Done",AZ1146="Cancelled"),1,0)</f>
        <v/>
      </c>
      <c r="BH1146">
        <f>IF(AND(AU1146&lt;&gt;"",ISNUMBER(AW1146)),1,0)</f>
        <v/>
      </c>
      <c r="BI1146">
        <f>IF(BH1146=0,0,IF(AND(AW1146&gt;='Tasks Filter'!$F$3,AW1146&lt;='Tasks Filter'!$F$4,OR('Tasks Filter'!$I$3="",ISNUMBER(SEARCH('Tasks Filter'!$I$3,AU1146))),OR('Tasks Filter'!$I$4="",BF1146=IFERROR(MATCH('Tasks Filter'!$I$4,Setup!$L$6:$L$9,0),0)),OR('Tasks Filter'!$I$5="Both",AND('Tasks Filter'!$I$5="Yes",BB1146="✓"),AND('Tasks Filter'!$I$5="No",BB1146&lt;&gt;"✓")),OR('Tasks Filter'!$L$3="",AV1146='Tasks Filter'!$L$3),OR('Tasks Filter'!$L$4="",AZ1146='Tasks Filter'!$L$4),OR('Tasks Filter'!$L$5="",BC1146='Tasks Filter'!$L$5),OR('Tasks Filter'!$O$3="",BD1146='Tasks Filter'!$O$3),OR('Tasks Filter'!$O$4="Yes",BG1146=0)),1,0))</f>
        <v/>
      </c>
      <c r="BJ1146">
        <f>IF(BH1146=0,"",IF('Tasks Filter'!$F$6="Descending",-1,1)*CHOOSE(MATCH('Tasks Filter'!$F$5,Lists!$G$2:$G$6,0),AW1146,BF1146,IFERROR(MATCH(AV1146,Setup!$F$6:$F$15,0),99),IFERROR(MATCH(BC1146,Setup!$H$6:$H$15,0),99),IFERROR(MATCH(AZ1146,Setup!$J$6:$J$11,0),99))*1E+9+(AW1146-40000)*10000+1145)</f>
        <v/>
      </c>
      <c r="BK1146">
        <f>IF(BI1146=1,BJ1146,"")</f>
        <v/>
      </c>
      <c r="BL1146">
        <f>IF(AND(BH1146=1,BG1146=0,N(AW1146)&lt;Setup!$D$7),(AW1146-40000)*10000+1145,"")</f>
        <v/>
      </c>
      <c r="BM1146">
        <f>IF(AND(BH1146=1,AZ1146&lt;&gt;"Cancelled",N(AW1146)&gt;=Dashboard!$AB$3,N(AW1146)&lt;=Dashboard!$AB$3+6),(AW1146-40000)*100000+BF1146*10000+1145,"")</f>
        <v/>
      </c>
      <c r="BN1146">
        <f>IF(AND(BH1146=1,AZ1146&lt;&gt;"Cancelled"),BF1146*10000+1145,"")</f>
        <v/>
      </c>
    </row>
    <row r="1147">
      <c r="AS1147" t="inlineStr">
        <is>
          <t>R</t>
        </is>
      </c>
      <c r="AT1147" t="n">
        <v>1151</v>
      </c>
      <c r="AU1147">
        <f>'Recurring Log'!C1151&amp;""</f>
        <v/>
      </c>
      <c r="AV1147">
        <f>'Recurring Log'!D1151&amp;""</f>
        <v/>
      </c>
      <c r="AW1147">
        <f>IF('Recurring Log'!E1151="","",'Recurring Log'!E1151)</f>
        <v/>
      </c>
      <c r="AX1147">
        <f>IF('Recurring Log'!G1151="","",'Recurring Log'!G1151)</f>
        <v/>
      </c>
      <c r="AY1147">
        <f>IF('Recurring Log'!H1151="","",'Recurring Log'!H1151)</f>
        <v/>
      </c>
      <c r="AZ1147">
        <f>IF(AU1147="","",IF('Recurring Log'!J1151="","Not Started",'Recurring Log'!J1151))</f>
        <v/>
      </c>
      <c r="BA1147">
        <f>'Recurring Log'!L1151&amp;""</f>
        <v/>
      </c>
      <c r="BB1147">
        <f>'Recurring Log'!M1151&amp;""</f>
        <v/>
      </c>
      <c r="BC1147">
        <f>'Recurring Log'!N1151&amp;""</f>
        <v/>
      </c>
      <c r="BD1147">
        <f>'Recurring Log'!O1151&amp;""</f>
        <v/>
      </c>
      <c r="BE1147">
        <f>IF('Recurring Log'!K1151="","",'Recurring Log'!K1151)</f>
        <v/>
      </c>
      <c r="BF1147">
        <f>IFERROR(MATCH(BA1147,Setup!$L$6:$L$9,0),5)</f>
        <v/>
      </c>
      <c r="BG1147">
        <f>IF(OR(AZ1147="Done",AZ1147="Cancelled"),1,0)</f>
        <v/>
      </c>
      <c r="BH1147">
        <f>IF(AND(AU1147&lt;&gt;"",ISNUMBER(AW1147)),1,0)</f>
        <v/>
      </c>
      <c r="BI1147">
        <f>IF(BH1147=0,0,IF(AND(AW1147&gt;='Tasks Filter'!$F$3,AW1147&lt;='Tasks Filter'!$F$4,OR('Tasks Filter'!$I$3="",ISNUMBER(SEARCH('Tasks Filter'!$I$3,AU1147))),OR('Tasks Filter'!$I$4="",BF1147=IFERROR(MATCH('Tasks Filter'!$I$4,Setup!$L$6:$L$9,0),0)),OR('Tasks Filter'!$I$5="Both",AND('Tasks Filter'!$I$5="Yes",BB1147="✓"),AND('Tasks Filter'!$I$5="No",BB1147&lt;&gt;"✓")),OR('Tasks Filter'!$L$3="",AV1147='Tasks Filter'!$L$3),OR('Tasks Filter'!$L$4="",AZ1147='Tasks Filter'!$L$4),OR('Tasks Filter'!$L$5="",BC1147='Tasks Filter'!$L$5),OR('Tasks Filter'!$O$3="",BD1147='Tasks Filter'!$O$3),OR('Tasks Filter'!$O$4="Yes",BG1147=0)),1,0))</f>
        <v/>
      </c>
      <c r="BJ1147">
        <f>IF(BH1147=0,"",IF('Tasks Filter'!$F$6="Descending",-1,1)*CHOOSE(MATCH('Tasks Filter'!$F$5,Lists!$G$2:$G$6,0),AW1147,BF1147,IFERROR(MATCH(AV1147,Setup!$F$6:$F$15,0),99),IFERROR(MATCH(BC1147,Setup!$H$6:$H$15,0),99),IFERROR(MATCH(AZ1147,Setup!$J$6:$J$11,0),99))*1E+9+(AW1147-40000)*10000+1146)</f>
        <v/>
      </c>
      <c r="BK1147">
        <f>IF(BI1147=1,BJ1147,"")</f>
        <v/>
      </c>
      <c r="BL1147">
        <f>IF(AND(BH1147=1,BG1147=0,N(AW1147)&lt;Setup!$D$7),(AW1147-40000)*10000+1146,"")</f>
        <v/>
      </c>
      <c r="BM1147">
        <f>IF(AND(BH1147=1,AZ1147&lt;&gt;"Cancelled",N(AW1147)&gt;=Dashboard!$AB$3,N(AW1147)&lt;=Dashboard!$AB$3+6),(AW1147-40000)*100000+BF1147*10000+1146,"")</f>
        <v/>
      </c>
      <c r="BN1147">
        <f>IF(AND(BH1147=1,AZ1147&lt;&gt;"Cancelled"),BF1147*10000+1146,"")</f>
        <v/>
      </c>
    </row>
    <row r="1148">
      <c r="AS1148" t="inlineStr">
        <is>
          <t>R</t>
        </is>
      </c>
      <c r="AT1148" t="n">
        <v>1152</v>
      </c>
      <c r="AU1148">
        <f>'Recurring Log'!C1152&amp;""</f>
        <v/>
      </c>
      <c r="AV1148">
        <f>'Recurring Log'!D1152&amp;""</f>
        <v/>
      </c>
      <c r="AW1148">
        <f>IF('Recurring Log'!E1152="","",'Recurring Log'!E1152)</f>
        <v/>
      </c>
      <c r="AX1148">
        <f>IF('Recurring Log'!G1152="","",'Recurring Log'!G1152)</f>
        <v/>
      </c>
      <c r="AY1148">
        <f>IF('Recurring Log'!H1152="","",'Recurring Log'!H1152)</f>
        <v/>
      </c>
      <c r="AZ1148">
        <f>IF(AU1148="","",IF('Recurring Log'!J1152="","Not Started",'Recurring Log'!J1152))</f>
        <v/>
      </c>
      <c r="BA1148">
        <f>'Recurring Log'!L1152&amp;""</f>
        <v/>
      </c>
      <c r="BB1148">
        <f>'Recurring Log'!M1152&amp;""</f>
        <v/>
      </c>
      <c r="BC1148">
        <f>'Recurring Log'!N1152&amp;""</f>
        <v/>
      </c>
      <c r="BD1148">
        <f>'Recurring Log'!O1152&amp;""</f>
        <v/>
      </c>
      <c r="BE1148">
        <f>IF('Recurring Log'!K1152="","",'Recurring Log'!K1152)</f>
        <v/>
      </c>
      <c r="BF1148">
        <f>IFERROR(MATCH(BA1148,Setup!$L$6:$L$9,0),5)</f>
        <v/>
      </c>
      <c r="BG1148">
        <f>IF(OR(AZ1148="Done",AZ1148="Cancelled"),1,0)</f>
        <v/>
      </c>
      <c r="BH1148">
        <f>IF(AND(AU1148&lt;&gt;"",ISNUMBER(AW1148)),1,0)</f>
        <v/>
      </c>
      <c r="BI1148">
        <f>IF(BH1148=0,0,IF(AND(AW1148&gt;='Tasks Filter'!$F$3,AW1148&lt;='Tasks Filter'!$F$4,OR('Tasks Filter'!$I$3="",ISNUMBER(SEARCH('Tasks Filter'!$I$3,AU1148))),OR('Tasks Filter'!$I$4="",BF1148=IFERROR(MATCH('Tasks Filter'!$I$4,Setup!$L$6:$L$9,0),0)),OR('Tasks Filter'!$I$5="Both",AND('Tasks Filter'!$I$5="Yes",BB1148="✓"),AND('Tasks Filter'!$I$5="No",BB1148&lt;&gt;"✓")),OR('Tasks Filter'!$L$3="",AV1148='Tasks Filter'!$L$3),OR('Tasks Filter'!$L$4="",AZ1148='Tasks Filter'!$L$4),OR('Tasks Filter'!$L$5="",BC1148='Tasks Filter'!$L$5),OR('Tasks Filter'!$O$3="",BD1148='Tasks Filter'!$O$3),OR('Tasks Filter'!$O$4="Yes",BG1148=0)),1,0))</f>
        <v/>
      </c>
      <c r="BJ1148">
        <f>IF(BH1148=0,"",IF('Tasks Filter'!$F$6="Descending",-1,1)*CHOOSE(MATCH('Tasks Filter'!$F$5,Lists!$G$2:$G$6,0),AW1148,BF1148,IFERROR(MATCH(AV1148,Setup!$F$6:$F$15,0),99),IFERROR(MATCH(BC1148,Setup!$H$6:$H$15,0),99),IFERROR(MATCH(AZ1148,Setup!$J$6:$J$11,0),99))*1E+9+(AW1148-40000)*10000+1147)</f>
        <v/>
      </c>
      <c r="BK1148">
        <f>IF(BI1148=1,BJ1148,"")</f>
        <v/>
      </c>
      <c r="BL1148">
        <f>IF(AND(BH1148=1,BG1148=0,N(AW1148)&lt;Setup!$D$7),(AW1148-40000)*10000+1147,"")</f>
        <v/>
      </c>
      <c r="BM1148">
        <f>IF(AND(BH1148=1,AZ1148&lt;&gt;"Cancelled",N(AW1148)&gt;=Dashboard!$AB$3,N(AW1148)&lt;=Dashboard!$AB$3+6),(AW1148-40000)*100000+BF1148*10000+1147,"")</f>
        <v/>
      </c>
      <c r="BN1148">
        <f>IF(AND(BH1148=1,AZ1148&lt;&gt;"Cancelled"),BF1148*10000+1147,"")</f>
        <v/>
      </c>
    </row>
    <row r="1149">
      <c r="AS1149" t="inlineStr">
        <is>
          <t>R</t>
        </is>
      </c>
      <c r="AT1149" t="n">
        <v>1153</v>
      </c>
      <c r="AU1149">
        <f>'Recurring Log'!C1153&amp;""</f>
        <v/>
      </c>
      <c r="AV1149">
        <f>'Recurring Log'!D1153&amp;""</f>
        <v/>
      </c>
      <c r="AW1149">
        <f>IF('Recurring Log'!E1153="","",'Recurring Log'!E1153)</f>
        <v/>
      </c>
      <c r="AX1149">
        <f>IF('Recurring Log'!G1153="","",'Recurring Log'!G1153)</f>
        <v/>
      </c>
      <c r="AY1149">
        <f>IF('Recurring Log'!H1153="","",'Recurring Log'!H1153)</f>
        <v/>
      </c>
      <c r="AZ1149">
        <f>IF(AU1149="","",IF('Recurring Log'!J1153="","Not Started",'Recurring Log'!J1153))</f>
        <v/>
      </c>
      <c r="BA1149">
        <f>'Recurring Log'!L1153&amp;""</f>
        <v/>
      </c>
      <c r="BB1149">
        <f>'Recurring Log'!M1153&amp;""</f>
        <v/>
      </c>
      <c r="BC1149">
        <f>'Recurring Log'!N1153&amp;""</f>
        <v/>
      </c>
      <c r="BD1149">
        <f>'Recurring Log'!O1153&amp;""</f>
        <v/>
      </c>
      <c r="BE1149">
        <f>IF('Recurring Log'!K1153="","",'Recurring Log'!K1153)</f>
        <v/>
      </c>
      <c r="BF1149">
        <f>IFERROR(MATCH(BA1149,Setup!$L$6:$L$9,0),5)</f>
        <v/>
      </c>
      <c r="BG1149">
        <f>IF(OR(AZ1149="Done",AZ1149="Cancelled"),1,0)</f>
        <v/>
      </c>
      <c r="BH1149">
        <f>IF(AND(AU1149&lt;&gt;"",ISNUMBER(AW1149)),1,0)</f>
        <v/>
      </c>
      <c r="BI1149">
        <f>IF(BH1149=0,0,IF(AND(AW1149&gt;='Tasks Filter'!$F$3,AW1149&lt;='Tasks Filter'!$F$4,OR('Tasks Filter'!$I$3="",ISNUMBER(SEARCH('Tasks Filter'!$I$3,AU1149))),OR('Tasks Filter'!$I$4="",BF1149=IFERROR(MATCH('Tasks Filter'!$I$4,Setup!$L$6:$L$9,0),0)),OR('Tasks Filter'!$I$5="Both",AND('Tasks Filter'!$I$5="Yes",BB1149="✓"),AND('Tasks Filter'!$I$5="No",BB1149&lt;&gt;"✓")),OR('Tasks Filter'!$L$3="",AV1149='Tasks Filter'!$L$3),OR('Tasks Filter'!$L$4="",AZ1149='Tasks Filter'!$L$4),OR('Tasks Filter'!$L$5="",BC1149='Tasks Filter'!$L$5),OR('Tasks Filter'!$O$3="",BD1149='Tasks Filter'!$O$3),OR('Tasks Filter'!$O$4="Yes",BG1149=0)),1,0))</f>
        <v/>
      </c>
      <c r="BJ1149">
        <f>IF(BH1149=0,"",IF('Tasks Filter'!$F$6="Descending",-1,1)*CHOOSE(MATCH('Tasks Filter'!$F$5,Lists!$G$2:$G$6,0),AW1149,BF1149,IFERROR(MATCH(AV1149,Setup!$F$6:$F$15,0),99),IFERROR(MATCH(BC1149,Setup!$H$6:$H$15,0),99),IFERROR(MATCH(AZ1149,Setup!$J$6:$J$11,0),99))*1E+9+(AW1149-40000)*10000+1148)</f>
        <v/>
      </c>
      <c r="BK1149">
        <f>IF(BI1149=1,BJ1149,"")</f>
        <v/>
      </c>
      <c r="BL1149">
        <f>IF(AND(BH1149=1,BG1149=0,N(AW1149)&lt;Setup!$D$7),(AW1149-40000)*10000+1148,"")</f>
        <v/>
      </c>
      <c r="BM1149">
        <f>IF(AND(BH1149=1,AZ1149&lt;&gt;"Cancelled",N(AW1149)&gt;=Dashboard!$AB$3,N(AW1149)&lt;=Dashboard!$AB$3+6),(AW1149-40000)*100000+BF1149*10000+1148,"")</f>
        <v/>
      </c>
      <c r="BN1149">
        <f>IF(AND(BH1149=1,AZ1149&lt;&gt;"Cancelled"),BF1149*10000+1148,"")</f>
        <v/>
      </c>
    </row>
    <row r="1150">
      <c r="AS1150" t="inlineStr">
        <is>
          <t>R</t>
        </is>
      </c>
      <c r="AT1150" t="n">
        <v>1154</v>
      </c>
      <c r="AU1150">
        <f>'Recurring Log'!C1154&amp;""</f>
        <v/>
      </c>
      <c r="AV1150">
        <f>'Recurring Log'!D1154&amp;""</f>
        <v/>
      </c>
      <c r="AW1150">
        <f>IF('Recurring Log'!E1154="","",'Recurring Log'!E1154)</f>
        <v/>
      </c>
      <c r="AX1150">
        <f>IF('Recurring Log'!G1154="","",'Recurring Log'!G1154)</f>
        <v/>
      </c>
      <c r="AY1150">
        <f>IF('Recurring Log'!H1154="","",'Recurring Log'!H1154)</f>
        <v/>
      </c>
      <c r="AZ1150">
        <f>IF(AU1150="","",IF('Recurring Log'!J1154="","Not Started",'Recurring Log'!J1154))</f>
        <v/>
      </c>
      <c r="BA1150">
        <f>'Recurring Log'!L1154&amp;""</f>
        <v/>
      </c>
      <c r="BB1150">
        <f>'Recurring Log'!M1154&amp;""</f>
        <v/>
      </c>
      <c r="BC1150">
        <f>'Recurring Log'!N1154&amp;""</f>
        <v/>
      </c>
      <c r="BD1150">
        <f>'Recurring Log'!O1154&amp;""</f>
        <v/>
      </c>
      <c r="BE1150">
        <f>IF('Recurring Log'!K1154="","",'Recurring Log'!K1154)</f>
        <v/>
      </c>
      <c r="BF1150">
        <f>IFERROR(MATCH(BA1150,Setup!$L$6:$L$9,0),5)</f>
        <v/>
      </c>
      <c r="BG1150">
        <f>IF(OR(AZ1150="Done",AZ1150="Cancelled"),1,0)</f>
        <v/>
      </c>
      <c r="BH1150">
        <f>IF(AND(AU1150&lt;&gt;"",ISNUMBER(AW1150)),1,0)</f>
        <v/>
      </c>
      <c r="BI1150">
        <f>IF(BH1150=0,0,IF(AND(AW1150&gt;='Tasks Filter'!$F$3,AW1150&lt;='Tasks Filter'!$F$4,OR('Tasks Filter'!$I$3="",ISNUMBER(SEARCH('Tasks Filter'!$I$3,AU1150))),OR('Tasks Filter'!$I$4="",BF1150=IFERROR(MATCH('Tasks Filter'!$I$4,Setup!$L$6:$L$9,0),0)),OR('Tasks Filter'!$I$5="Both",AND('Tasks Filter'!$I$5="Yes",BB1150="✓"),AND('Tasks Filter'!$I$5="No",BB1150&lt;&gt;"✓")),OR('Tasks Filter'!$L$3="",AV1150='Tasks Filter'!$L$3),OR('Tasks Filter'!$L$4="",AZ1150='Tasks Filter'!$L$4),OR('Tasks Filter'!$L$5="",BC1150='Tasks Filter'!$L$5),OR('Tasks Filter'!$O$3="",BD1150='Tasks Filter'!$O$3),OR('Tasks Filter'!$O$4="Yes",BG1150=0)),1,0))</f>
        <v/>
      </c>
      <c r="BJ1150">
        <f>IF(BH1150=0,"",IF('Tasks Filter'!$F$6="Descending",-1,1)*CHOOSE(MATCH('Tasks Filter'!$F$5,Lists!$G$2:$G$6,0),AW1150,BF1150,IFERROR(MATCH(AV1150,Setup!$F$6:$F$15,0),99),IFERROR(MATCH(BC1150,Setup!$H$6:$H$15,0),99),IFERROR(MATCH(AZ1150,Setup!$J$6:$J$11,0),99))*1E+9+(AW1150-40000)*10000+1149)</f>
        <v/>
      </c>
      <c r="BK1150">
        <f>IF(BI1150=1,BJ1150,"")</f>
        <v/>
      </c>
      <c r="BL1150">
        <f>IF(AND(BH1150=1,BG1150=0,N(AW1150)&lt;Setup!$D$7),(AW1150-40000)*10000+1149,"")</f>
        <v/>
      </c>
      <c r="BM1150">
        <f>IF(AND(BH1150=1,AZ1150&lt;&gt;"Cancelled",N(AW1150)&gt;=Dashboard!$AB$3,N(AW1150)&lt;=Dashboard!$AB$3+6),(AW1150-40000)*100000+BF1150*10000+1149,"")</f>
        <v/>
      </c>
      <c r="BN1150">
        <f>IF(AND(BH1150=1,AZ1150&lt;&gt;"Cancelled"),BF1150*10000+1149,"")</f>
        <v/>
      </c>
    </row>
    <row r="1151">
      <c r="AS1151" t="inlineStr">
        <is>
          <t>R</t>
        </is>
      </c>
      <c r="AT1151" t="n">
        <v>1155</v>
      </c>
      <c r="AU1151">
        <f>'Recurring Log'!C1155&amp;""</f>
        <v/>
      </c>
      <c r="AV1151">
        <f>'Recurring Log'!D1155&amp;""</f>
        <v/>
      </c>
      <c r="AW1151">
        <f>IF('Recurring Log'!E1155="","",'Recurring Log'!E1155)</f>
        <v/>
      </c>
      <c r="AX1151">
        <f>IF('Recurring Log'!G1155="","",'Recurring Log'!G1155)</f>
        <v/>
      </c>
      <c r="AY1151">
        <f>IF('Recurring Log'!H1155="","",'Recurring Log'!H1155)</f>
        <v/>
      </c>
      <c r="AZ1151">
        <f>IF(AU1151="","",IF('Recurring Log'!J1155="","Not Started",'Recurring Log'!J1155))</f>
        <v/>
      </c>
      <c r="BA1151">
        <f>'Recurring Log'!L1155&amp;""</f>
        <v/>
      </c>
      <c r="BB1151">
        <f>'Recurring Log'!M1155&amp;""</f>
        <v/>
      </c>
      <c r="BC1151">
        <f>'Recurring Log'!N1155&amp;""</f>
        <v/>
      </c>
      <c r="BD1151">
        <f>'Recurring Log'!O1155&amp;""</f>
        <v/>
      </c>
      <c r="BE1151">
        <f>IF('Recurring Log'!K1155="","",'Recurring Log'!K1155)</f>
        <v/>
      </c>
      <c r="BF1151">
        <f>IFERROR(MATCH(BA1151,Setup!$L$6:$L$9,0),5)</f>
        <v/>
      </c>
      <c r="BG1151">
        <f>IF(OR(AZ1151="Done",AZ1151="Cancelled"),1,0)</f>
        <v/>
      </c>
      <c r="BH1151">
        <f>IF(AND(AU1151&lt;&gt;"",ISNUMBER(AW1151)),1,0)</f>
        <v/>
      </c>
      <c r="BI1151">
        <f>IF(BH1151=0,0,IF(AND(AW1151&gt;='Tasks Filter'!$F$3,AW1151&lt;='Tasks Filter'!$F$4,OR('Tasks Filter'!$I$3="",ISNUMBER(SEARCH('Tasks Filter'!$I$3,AU1151))),OR('Tasks Filter'!$I$4="",BF1151=IFERROR(MATCH('Tasks Filter'!$I$4,Setup!$L$6:$L$9,0),0)),OR('Tasks Filter'!$I$5="Both",AND('Tasks Filter'!$I$5="Yes",BB1151="✓"),AND('Tasks Filter'!$I$5="No",BB1151&lt;&gt;"✓")),OR('Tasks Filter'!$L$3="",AV1151='Tasks Filter'!$L$3),OR('Tasks Filter'!$L$4="",AZ1151='Tasks Filter'!$L$4),OR('Tasks Filter'!$L$5="",BC1151='Tasks Filter'!$L$5),OR('Tasks Filter'!$O$3="",BD1151='Tasks Filter'!$O$3),OR('Tasks Filter'!$O$4="Yes",BG1151=0)),1,0))</f>
        <v/>
      </c>
      <c r="BJ1151">
        <f>IF(BH1151=0,"",IF('Tasks Filter'!$F$6="Descending",-1,1)*CHOOSE(MATCH('Tasks Filter'!$F$5,Lists!$G$2:$G$6,0),AW1151,BF1151,IFERROR(MATCH(AV1151,Setup!$F$6:$F$15,0),99),IFERROR(MATCH(BC1151,Setup!$H$6:$H$15,0),99),IFERROR(MATCH(AZ1151,Setup!$J$6:$J$11,0),99))*1E+9+(AW1151-40000)*10000+1150)</f>
        <v/>
      </c>
      <c r="BK1151">
        <f>IF(BI1151=1,BJ1151,"")</f>
        <v/>
      </c>
      <c r="BL1151">
        <f>IF(AND(BH1151=1,BG1151=0,N(AW1151)&lt;Setup!$D$7),(AW1151-40000)*10000+1150,"")</f>
        <v/>
      </c>
      <c r="BM1151">
        <f>IF(AND(BH1151=1,AZ1151&lt;&gt;"Cancelled",N(AW1151)&gt;=Dashboard!$AB$3,N(AW1151)&lt;=Dashboard!$AB$3+6),(AW1151-40000)*100000+BF1151*10000+1150,"")</f>
        <v/>
      </c>
      <c r="BN1151">
        <f>IF(AND(BH1151=1,AZ1151&lt;&gt;"Cancelled"),BF1151*10000+1150,"")</f>
        <v/>
      </c>
    </row>
    <row r="1152">
      <c r="AS1152" t="inlineStr">
        <is>
          <t>R</t>
        </is>
      </c>
      <c r="AT1152" t="n">
        <v>1156</v>
      </c>
      <c r="AU1152">
        <f>'Recurring Log'!C1156&amp;""</f>
        <v/>
      </c>
      <c r="AV1152">
        <f>'Recurring Log'!D1156&amp;""</f>
        <v/>
      </c>
      <c r="AW1152">
        <f>IF('Recurring Log'!E1156="","",'Recurring Log'!E1156)</f>
        <v/>
      </c>
      <c r="AX1152">
        <f>IF('Recurring Log'!G1156="","",'Recurring Log'!G1156)</f>
        <v/>
      </c>
      <c r="AY1152">
        <f>IF('Recurring Log'!H1156="","",'Recurring Log'!H1156)</f>
        <v/>
      </c>
      <c r="AZ1152">
        <f>IF(AU1152="","",IF('Recurring Log'!J1156="","Not Started",'Recurring Log'!J1156))</f>
        <v/>
      </c>
      <c r="BA1152">
        <f>'Recurring Log'!L1156&amp;""</f>
        <v/>
      </c>
      <c r="BB1152">
        <f>'Recurring Log'!M1156&amp;""</f>
        <v/>
      </c>
      <c r="BC1152">
        <f>'Recurring Log'!N1156&amp;""</f>
        <v/>
      </c>
      <c r="BD1152">
        <f>'Recurring Log'!O1156&amp;""</f>
        <v/>
      </c>
      <c r="BE1152">
        <f>IF('Recurring Log'!K1156="","",'Recurring Log'!K1156)</f>
        <v/>
      </c>
      <c r="BF1152">
        <f>IFERROR(MATCH(BA1152,Setup!$L$6:$L$9,0),5)</f>
        <v/>
      </c>
      <c r="BG1152">
        <f>IF(OR(AZ1152="Done",AZ1152="Cancelled"),1,0)</f>
        <v/>
      </c>
      <c r="BH1152">
        <f>IF(AND(AU1152&lt;&gt;"",ISNUMBER(AW1152)),1,0)</f>
        <v/>
      </c>
      <c r="BI1152">
        <f>IF(BH1152=0,0,IF(AND(AW1152&gt;='Tasks Filter'!$F$3,AW1152&lt;='Tasks Filter'!$F$4,OR('Tasks Filter'!$I$3="",ISNUMBER(SEARCH('Tasks Filter'!$I$3,AU1152))),OR('Tasks Filter'!$I$4="",BF1152=IFERROR(MATCH('Tasks Filter'!$I$4,Setup!$L$6:$L$9,0),0)),OR('Tasks Filter'!$I$5="Both",AND('Tasks Filter'!$I$5="Yes",BB1152="✓"),AND('Tasks Filter'!$I$5="No",BB1152&lt;&gt;"✓")),OR('Tasks Filter'!$L$3="",AV1152='Tasks Filter'!$L$3),OR('Tasks Filter'!$L$4="",AZ1152='Tasks Filter'!$L$4),OR('Tasks Filter'!$L$5="",BC1152='Tasks Filter'!$L$5),OR('Tasks Filter'!$O$3="",BD1152='Tasks Filter'!$O$3),OR('Tasks Filter'!$O$4="Yes",BG1152=0)),1,0))</f>
        <v/>
      </c>
      <c r="BJ1152">
        <f>IF(BH1152=0,"",IF('Tasks Filter'!$F$6="Descending",-1,1)*CHOOSE(MATCH('Tasks Filter'!$F$5,Lists!$G$2:$G$6,0),AW1152,BF1152,IFERROR(MATCH(AV1152,Setup!$F$6:$F$15,0),99),IFERROR(MATCH(BC1152,Setup!$H$6:$H$15,0),99),IFERROR(MATCH(AZ1152,Setup!$J$6:$J$11,0),99))*1E+9+(AW1152-40000)*10000+1151)</f>
        <v/>
      </c>
      <c r="BK1152">
        <f>IF(BI1152=1,BJ1152,"")</f>
        <v/>
      </c>
      <c r="BL1152">
        <f>IF(AND(BH1152=1,BG1152=0,N(AW1152)&lt;Setup!$D$7),(AW1152-40000)*10000+1151,"")</f>
        <v/>
      </c>
      <c r="BM1152">
        <f>IF(AND(BH1152=1,AZ1152&lt;&gt;"Cancelled",N(AW1152)&gt;=Dashboard!$AB$3,N(AW1152)&lt;=Dashboard!$AB$3+6),(AW1152-40000)*100000+BF1152*10000+1151,"")</f>
        <v/>
      </c>
      <c r="BN1152">
        <f>IF(AND(BH1152=1,AZ1152&lt;&gt;"Cancelled"),BF1152*10000+1151,"")</f>
        <v/>
      </c>
    </row>
    <row r="1153">
      <c r="AS1153" t="inlineStr">
        <is>
          <t>R</t>
        </is>
      </c>
      <c r="AT1153" t="n">
        <v>1157</v>
      </c>
      <c r="AU1153">
        <f>'Recurring Log'!C1157&amp;""</f>
        <v/>
      </c>
      <c r="AV1153">
        <f>'Recurring Log'!D1157&amp;""</f>
        <v/>
      </c>
      <c r="AW1153">
        <f>IF('Recurring Log'!E1157="","",'Recurring Log'!E1157)</f>
        <v/>
      </c>
      <c r="AX1153">
        <f>IF('Recurring Log'!G1157="","",'Recurring Log'!G1157)</f>
        <v/>
      </c>
      <c r="AY1153">
        <f>IF('Recurring Log'!H1157="","",'Recurring Log'!H1157)</f>
        <v/>
      </c>
      <c r="AZ1153">
        <f>IF(AU1153="","",IF('Recurring Log'!J1157="","Not Started",'Recurring Log'!J1157))</f>
        <v/>
      </c>
      <c r="BA1153">
        <f>'Recurring Log'!L1157&amp;""</f>
        <v/>
      </c>
      <c r="BB1153">
        <f>'Recurring Log'!M1157&amp;""</f>
        <v/>
      </c>
      <c r="BC1153">
        <f>'Recurring Log'!N1157&amp;""</f>
        <v/>
      </c>
      <c r="BD1153">
        <f>'Recurring Log'!O1157&amp;""</f>
        <v/>
      </c>
      <c r="BE1153">
        <f>IF('Recurring Log'!K1157="","",'Recurring Log'!K1157)</f>
        <v/>
      </c>
      <c r="BF1153">
        <f>IFERROR(MATCH(BA1153,Setup!$L$6:$L$9,0),5)</f>
        <v/>
      </c>
      <c r="BG1153">
        <f>IF(OR(AZ1153="Done",AZ1153="Cancelled"),1,0)</f>
        <v/>
      </c>
      <c r="BH1153">
        <f>IF(AND(AU1153&lt;&gt;"",ISNUMBER(AW1153)),1,0)</f>
        <v/>
      </c>
      <c r="BI1153">
        <f>IF(BH1153=0,0,IF(AND(AW1153&gt;='Tasks Filter'!$F$3,AW1153&lt;='Tasks Filter'!$F$4,OR('Tasks Filter'!$I$3="",ISNUMBER(SEARCH('Tasks Filter'!$I$3,AU1153))),OR('Tasks Filter'!$I$4="",BF1153=IFERROR(MATCH('Tasks Filter'!$I$4,Setup!$L$6:$L$9,0),0)),OR('Tasks Filter'!$I$5="Both",AND('Tasks Filter'!$I$5="Yes",BB1153="✓"),AND('Tasks Filter'!$I$5="No",BB1153&lt;&gt;"✓")),OR('Tasks Filter'!$L$3="",AV1153='Tasks Filter'!$L$3),OR('Tasks Filter'!$L$4="",AZ1153='Tasks Filter'!$L$4),OR('Tasks Filter'!$L$5="",BC1153='Tasks Filter'!$L$5),OR('Tasks Filter'!$O$3="",BD1153='Tasks Filter'!$O$3),OR('Tasks Filter'!$O$4="Yes",BG1153=0)),1,0))</f>
        <v/>
      </c>
      <c r="BJ1153">
        <f>IF(BH1153=0,"",IF('Tasks Filter'!$F$6="Descending",-1,1)*CHOOSE(MATCH('Tasks Filter'!$F$5,Lists!$G$2:$G$6,0),AW1153,BF1153,IFERROR(MATCH(AV1153,Setup!$F$6:$F$15,0),99),IFERROR(MATCH(BC1153,Setup!$H$6:$H$15,0),99),IFERROR(MATCH(AZ1153,Setup!$J$6:$J$11,0),99))*1E+9+(AW1153-40000)*10000+1152)</f>
        <v/>
      </c>
      <c r="BK1153">
        <f>IF(BI1153=1,BJ1153,"")</f>
        <v/>
      </c>
      <c r="BL1153">
        <f>IF(AND(BH1153=1,BG1153=0,N(AW1153)&lt;Setup!$D$7),(AW1153-40000)*10000+1152,"")</f>
        <v/>
      </c>
      <c r="BM1153">
        <f>IF(AND(BH1153=1,AZ1153&lt;&gt;"Cancelled",N(AW1153)&gt;=Dashboard!$AB$3,N(AW1153)&lt;=Dashboard!$AB$3+6),(AW1153-40000)*100000+BF1153*10000+1152,"")</f>
        <v/>
      </c>
      <c r="BN1153">
        <f>IF(AND(BH1153=1,AZ1153&lt;&gt;"Cancelled"),BF1153*10000+1152,"")</f>
        <v/>
      </c>
    </row>
    <row r="1154">
      <c r="AS1154" t="inlineStr">
        <is>
          <t>R</t>
        </is>
      </c>
      <c r="AT1154" t="n">
        <v>1158</v>
      </c>
      <c r="AU1154">
        <f>'Recurring Log'!C1158&amp;""</f>
        <v/>
      </c>
      <c r="AV1154">
        <f>'Recurring Log'!D1158&amp;""</f>
        <v/>
      </c>
      <c r="AW1154">
        <f>IF('Recurring Log'!E1158="","",'Recurring Log'!E1158)</f>
        <v/>
      </c>
      <c r="AX1154">
        <f>IF('Recurring Log'!G1158="","",'Recurring Log'!G1158)</f>
        <v/>
      </c>
      <c r="AY1154">
        <f>IF('Recurring Log'!H1158="","",'Recurring Log'!H1158)</f>
        <v/>
      </c>
      <c r="AZ1154">
        <f>IF(AU1154="","",IF('Recurring Log'!J1158="","Not Started",'Recurring Log'!J1158))</f>
        <v/>
      </c>
      <c r="BA1154">
        <f>'Recurring Log'!L1158&amp;""</f>
        <v/>
      </c>
      <c r="BB1154">
        <f>'Recurring Log'!M1158&amp;""</f>
        <v/>
      </c>
      <c r="BC1154">
        <f>'Recurring Log'!N1158&amp;""</f>
        <v/>
      </c>
      <c r="BD1154">
        <f>'Recurring Log'!O1158&amp;""</f>
        <v/>
      </c>
      <c r="BE1154">
        <f>IF('Recurring Log'!K1158="","",'Recurring Log'!K1158)</f>
        <v/>
      </c>
      <c r="BF1154">
        <f>IFERROR(MATCH(BA1154,Setup!$L$6:$L$9,0),5)</f>
        <v/>
      </c>
      <c r="BG1154">
        <f>IF(OR(AZ1154="Done",AZ1154="Cancelled"),1,0)</f>
        <v/>
      </c>
      <c r="BH1154">
        <f>IF(AND(AU1154&lt;&gt;"",ISNUMBER(AW1154)),1,0)</f>
        <v/>
      </c>
      <c r="BI1154">
        <f>IF(BH1154=0,0,IF(AND(AW1154&gt;='Tasks Filter'!$F$3,AW1154&lt;='Tasks Filter'!$F$4,OR('Tasks Filter'!$I$3="",ISNUMBER(SEARCH('Tasks Filter'!$I$3,AU1154))),OR('Tasks Filter'!$I$4="",BF1154=IFERROR(MATCH('Tasks Filter'!$I$4,Setup!$L$6:$L$9,0),0)),OR('Tasks Filter'!$I$5="Both",AND('Tasks Filter'!$I$5="Yes",BB1154="✓"),AND('Tasks Filter'!$I$5="No",BB1154&lt;&gt;"✓")),OR('Tasks Filter'!$L$3="",AV1154='Tasks Filter'!$L$3),OR('Tasks Filter'!$L$4="",AZ1154='Tasks Filter'!$L$4),OR('Tasks Filter'!$L$5="",BC1154='Tasks Filter'!$L$5),OR('Tasks Filter'!$O$3="",BD1154='Tasks Filter'!$O$3),OR('Tasks Filter'!$O$4="Yes",BG1154=0)),1,0))</f>
        <v/>
      </c>
      <c r="BJ1154">
        <f>IF(BH1154=0,"",IF('Tasks Filter'!$F$6="Descending",-1,1)*CHOOSE(MATCH('Tasks Filter'!$F$5,Lists!$G$2:$G$6,0),AW1154,BF1154,IFERROR(MATCH(AV1154,Setup!$F$6:$F$15,0),99),IFERROR(MATCH(BC1154,Setup!$H$6:$H$15,0),99),IFERROR(MATCH(AZ1154,Setup!$J$6:$J$11,0),99))*1E+9+(AW1154-40000)*10000+1153)</f>
        <v/>
      </c>
      <c r="BK1154">
        <f>IF(BI1154=1,BJ1154,"")</f>
        <v/>
      </c>
      <c r="BL1154">
        <f>IF(AND(BH1154=1,BG1154=0,N(AW1154)&lt;Setup!$D$7),(AW1154-40000)*10000+1153,"")</f>
        <v/>
      </c>
      <c r="BM1154">
        <f>IF(AND(BH1154=1,AZ1154&lt;&gt;"Cancelled",N(AW1154)&gt;=Dashboard!$AB$3,N(AW1154)&lt;=Dashboard!$AB$3+6),(AW1154-40000)*100000+BF1154*10000+1153,"")</f>
        <v/>
      </c>
      <c r="BN1154">
        <f>IF(AND(BH1154=1,AZ1154&lt;&gt;"Cancelled"),BF1154*10000+1153,"")</f>
        <v/>
      </c>
    </row>
    <row r="1155">
      <c r="AS1155" t="inlineStr">
        <is>
          <t>R</t>
        </is>
      </c>
      <c r="AT1155" t="n">
        <v>1159</v>
      </c>
      <c r="AU1155">
        <f>'Recurring Log'!C1159&amp;""</f>
        <v/>
      </c>
      <c r="AV1155">
        <f>'Recurring Log'!D1159&amp;""</f>
        <v/>
      </c>
      <c r="AW1155">
        <f>IF('Recurring Log'!E1159="","",'Recurring Log'!E1159)</f>
        <v/>
      </c>
      <c r="AX1155">
        <f>IF('Recurring Log'!G1159="","",'Recurring Log'!G1159)</f>
        <v/>
      </c>
      <c r="AY1155">
        <f>IF('Recurring Log'!H1159="","",'Recurring Log'!H1159)</f>
        <v/>
      </c>
      <c r="AZ1155">
        <f>IF(AU1155="","",IF('Recurring Log'!J1159="","Not Started",'Recurring Log'!J1159))</f>
        <v/>
      </c>
      <c r="BA1155">
        <f>'Recurring Log'!L1159&amp;""</f>
        <v/>
      </c>
      <c r="BB1155">
        <f>'Recurring Log'!M1159&amp;""</f>
        <v/>
      </c>
      <c r="BC1155">
        <f>'Recurring Log'!N1159&amp;""</f>
        <v/>
      </c>
      <c r="BD1155">
        <f>'Recurring Log'!O1159&amp;""</f>
        <v/>
      </c>
      <c r="BE1155">
        <f>IF('Recurring Log'!K1159="","",'Recurring Log'!K1159)</f>
        <v/>
      </c>
      <c r="BF1155">
        <f>IFERROR(MATCH(BA1155,Setup!$L$6:$L$9,0),5)</f>
        <v/>
      </c>
      <c r="BG1155">
        <f>IF(OR(AZ1155="Done",AZ1155="Cancelled"),1,0)</f>
        <v/>
      </c>
      <c r="BH1155">
        <f>IF(AND(AU1155&lt;&gt;"",ISNUMBER(AW1155)),1,0)</f>
        <v/>
      </c>
      <c r="BI1155">
        <f>IF(BH1155=0,0,IF(AND(AW1155&gt;='Tasks Filter'!$F$3,AW1155&lt;='Tasks Filter'!$F$4,OR('Tasks Filter'!$I$3="",ISNUMBER(SEARCH('Tasks Filter'!$I$3,AU1155))),OR('Tasks Filter'!$I$4="",BF1155=IFERROR(MATCH('Tasks Filter'!$I$4,Setup!$L$6:$L$9,0),0)),OR('Tasks Filter'!$I$5="Both",AND('Tasks Filter'!$I$5="Yes",BB1155="✓"),AND('Tasks Filter'!$I$5="No",BB1155&lt;&gt;"✓")),OR('Tasks Filter'!$L$3="",AV1155='Tasks Filter'!$L$3),OR('Tasks Filter'!$L$4="",AZ1155='Tasks Filter'!$L$4),OR('Tasks Filter'!$L$5="",BC1155='Tasks Filter'!$L$5),OR('Tasks Filter'!$O$3="",BD1155='Tasks Filter'!$O$3),OR('Tasks Filter'!$O$4="Yes",BG1155=0)),1,0))</f>
        <v/>
      </c>
      <c r="BJ1155">
        <f>IF(BH1155=0,"",IF('Tasks Filter'!$F$6="Descending",-1,1)*CHOOSE(MATCH('Tasks Filter'!$F$5,Lists!$G$2:$G$6,0),AW1155,BF1155,IFERROR(MATCH(AV1155,Setup!$F$6:$F$15,0),99),IFERROR(MATCH(BC1155,Setup!$H$6:$H$15,0),99),IFERROR(MATCH(AZ1155,Setup!$J$6:$J$11,0),99))*1E+9+(AW1155-40000)*10000+1154)</f>
        <v/>
      </c>
      <c r="BK1155">
        <f>IF(BI1155=1,BJ1155,"")</f>
        <v/>
      </c>
      <c r="BL1155">
        <f>IF(AND(BH1155=1,BG1155=0,N(AW1155)&lt;Setup!$D$7),(AW1155-40000)*10000+1154,"")</f>
        <v/>
      </c>
      <c r="BM1155">
        <f>IF(AND(BH1155=1,AZ1155&lt;&gt;"Cancelled",N(AW1155)&gt;=Dashboard!$AB$3,N(AW1155)&lt;=Dashboard!$AB$3+6),(AW1155-40000)*100000+BF1155*10000+1154,"")</f>
        <v/>
      </c>
      <c r="BN1155">
        <f>IF(AND(BH1155=1,AZ1155&lt;&gt;"Cancelled"),BF1155*10000+1154,"")</f>
        <v/>
      </c>
    </row>
    <row r="1156">
      <c r="AS1156" t="inlineStr">
        <is>
          <t>R</t>
        </is>
      </c>
      <c r="AT1156" t="n">
        <v>1160</v>
      </c>
      <c r="AU1156">
        <f>'Recurring Log'!C1160&amp;""</f>
        <v/>
      </c>
      <c r="AV1156">
        <f>'Recurring Log'!D1160&amp;""</f>
        <v/>
      </c>
      <c r="AW1156">
        <f>IF('Recurring Log'!E1160="","",'Recurring Log'!E1160)</f>
        <v/>
      </c>
      <c r="AX1156">
        <f>IF('Recurring Log'!G1160="","",'Recurring Log'!G1160)</f>
        <v/>
      </c>
      <c r="AY1156">
        <f>IF('Recurring Log'!H1160="","",'Recurring Log'!H1160)</f>
        <v/>
      </c>
      <c r="AZ1156">
        <f>IF(AU1156="","",IF('Recurring Log'!J1160="","Not Started",'Recurring Log'!J1160))</f>
        <v/>
      </c>
      <c r="BA1156">
        <f>'Recurring Log'!L1160&amp;""</f>
        <v/>
      </c>
      <c r="BB1156">
        <f>'Recurring Log'!M1160&amp;""</f>
        <v/>
      </c>
      <c r="BC1156">
        <f>'Recurring Log'!N1160&amp;""</f>
        <v/>
      </c>
      <c r="BD1156">
        <f>'Recurring Log'!O1160&amp;""</f>
        <v/>
      </c>
      <c r="BE1156">
        <f>IF('Recurring Log'!K1160="","",'Recurring Log'!K1160)</f>
        <v/>
      </c>
      <c r="BF1156">
        <f>IFERROR(MATCH(BA1156,Setup!$L$6:$L$9,0),5)</f>
        <v/>
      </c>
      <c r="BG1156">
        <f>IF(OR(AZ1156="Done",AZ1156="Cancelled"),1,0)</f>
        <v/>
      </c>
      <c r="BH1156">
        <f>IF(AND(AU1156&lt;&gt;"",ISNUMBER(AW1156)),1,0)</f>
        <v/>
      </c>
      <c r="BI1156">
        <f>IF(BH1156=0,0,IF(AND(AW1156&gt;='Tasks Filter'!$F$3,AW1156&lt;='Tasks Filter'!$F$4,OR('Tasks Filter'!$I$3="",ISNUMBER(SEARCH('Tasks Filter'!$I$3,AU1156))),OR('Tasks Filter'!$I$4="",BF1156=IFERROR(MATCH('Tasks Filter'!$I$4,Setup!$L$6:$L$9,0),0)),OR('Tasks Filter'!$I$5="Both",AND('Tasks Filter'!$I$5="Yes",BB1156="✓"),AND('Tasks Filter'!$I$5="No",BB1156&lt;&gt;"✓")),OR('Tasks Filter'!$L$3="",AV1156='Tasks Filter'!$L$3),OR('Tasks Filter'!$L$4="",AZ1156='Tasks Filter'!$L$4),OR('Tasks Filter'!$L$5="",BC1156='Tasks Filter'!$L$5),OR('Tasks Filter'!$O$3="",BD1156='Tasks Filter'!$O$3),OR('Tasks Filter'!$O$4="Yes",BG1156=0)),1,0))</f>
        <v/>
      </c>
      <c r="BJ1156">
        <f>IF(BH1156=0,"",IF('Tasks Filter'!$F$6="Descending",-1,1)*CHOOSE(MATCH('Tasks Filter'!$F$5,Lists!$G$2:$G$6,0),AW1156,BF1156,IFERROR(MATCH(AV1156,Setup!$F$6:$F$15,0),99),IFERROR(MATCH(BC1156,Setup!$H$6:$H$15,0),99),IFERROR(MATCH(AZ1156,Setup!$J$6:$J$11,0),99))*1E+9+(AW1156-40000)*10000+1155)</f>
        <v/>
      </c>
      <c r="BK1156">
        <f>IF(BI1156=1,BJ1156,"")</f>
        <v/>
      </c>
      <c r="BL1156">
        <f>IF(AND(BH1156=1,BG1156=0,N(AW1156)&lt;Setup!$D$7),(AW1156-40000)*10000+1155,"")</f>
        <v/>
      </c>
      <c r="BM1156">
        <f>IF(AND(BH1156=1,AZ1156&lt;&gt;"Cancelled",N(AW1156)&gt;=Dashboard!$AB$3,N(AW1156)&lt;=Dashboard!$AB$3+6),(AW1156-40000)*100000+BF1156*10000+1155,"")</f>
        <v/>
      </c>
      <c r="BN1156">
        <f>IF(AND(BH1156=1,AZ1156&lt;&gt;"Cancelled"),BF1156*10000+1155,"")</f>
        <v/>
      </c>
    </row>
    <row r="1157">
      <c r="AS1157" t="inlineStr">
        <is>
          <t>R</t>
        </is>
      </c>
      <c r="AT1157" t="n">
        <v>1161</v>
      </c>
      <c r="AU1157">
        <f>'Recurring Log'!C1161&amp;""</f>
        <v/>
      </c>
      <c r="AV1157">
        <f>'Recurring Log'!D1161&amp;""</f>
        <v/>
      </c>
      <c r="AW1157">
        <f>IF('Recurring Log'!E1161="","",'Recurring Log'!E1161)</f>
        <v/>
      </c>
      <c r="AX1157">
        <f>IF('Recurring Log'!G1161="","",'Recurring Log'!G1161)</f>
        <v/>
      </c>
      <c r="AY1157">
        <f>IF('Recurring Log'!H1161="","",'Recurring Log'!H1161)</f>
        <v/>
      </c>
      <c r="AZ1157">
        <f>IF(AU1157="","",IF('Recurring Log'!J1161="","Not Started",'Recurring Log'!J1161))</f>
        <v/>
      </c>
      <c r="BA1157">
        <f>'Recurring Log'!L1161&amp;""</f>
        <v/>
      </c>
      <c r="BB1157">
        <f>'Recurring Log'!M1161&amp;""</f>
        <v/>
      </c>
      <c r="BC1157">
        <f>'Recurring Log'!N1161&amp;""</f>
        <v/>
      </c>
      <c r="BD1157">
        <f>'Recurring Log'!O1161&amp;""</f>
        <v/>
      </c>
      <c r="BE1157">
        <f>IF('Recurring Log'!K1161="","",'Recurring Log'!K1161)</f>
        <v/>
      </c>
      <c r="BF1157">
        <f>IFERROR(MATCH(BA1157,Setup!$L$6:$L$9,0),5)</f>
        <v/>
      </c>
      <c r="BG1157">
        <f>IF(OR(AZ1157="Done",AZ1157="Cancelled"),1,0)</f>
        <v/>
      </c>
      <c r="BH1157">
        <f>IF(AND(AU1157&lt;&gt;"",ISNUMBER(AW1157)),1,0)</f>
        <v/>
      </c>
      <c r="BI1157">
        <f>IF(BH1157=0,0,IF(AND(AW1157&gt;='Tasks Filter'!$F$3,AW1157&lt;='Tasks Filter'!$F$4,OR('Tasks Filter'!$I$3="",ISNUMBER(SEARCH('Tasks Filter'!$I$3,AU1157))),OR('Tasks Filter'!$I$4="",BF1157=IFERROR(MATCH('Tasks Filter'!$I$4,Setup!$L$6:$L$9,0),0)),OR('Tasks Filter'!$I$5="Both",AND('Tasks Filter'!$I$5="Yes",BB1157="✓"),AND('Tasks Filter'!$I$5="No",BB1157&lt;&gt;"✓")),OR('Tasks Filter'!$L$3="",AV1157='Tasks Filter'!$L$3),OR('Tasks Filter'!$L$4="",AZ1157='Tasks Filter'!$L$4),OR('Tasks Filter'!$L$5="",BC1157='Tasks Filter'!$L$5),OR('Tasks Filter'!$O$3="",BD1157='Tasks Filter'!$O$3),OR('Tasks Filter'!$O$4="Yes",BG1157=0)),1,0))</f>
        <v/>
      </c>
      <c r="BJ1157">
        <f>IF(BH1157=0,"",IF('Tasks Filter'!$F$6="Descending",-1,1)*CHOOSE(MATCH('Tasks Filter'!$F$5,Lists!$G$2:$G$6,0),AW1157,BF1157,IFERROR(MATCH(AV1157,Setup!$F$6:$F$15,0),99),IFERROR(MATCH(BC1157,Setup!$H$6:$H$15,0),99),IFERROR(MATCH(AZ1157,Setup!$J$6:$J$11,0),99))*1E+9+(AW1157-40000)*10000+1156)</f>
        <v/>
      </c>
      <c r="BK1157">
        <f>IF(BI1157=1,BJ1157,"")</f>
        <v/>
      </c>
      <c r="BL1157">
        <f>IF(AND(BH1157=1,BG1157=0,N(AW1157)&lt;Setup!$D$7),(AW1157-40000)*10000+1156,"")</f>
        <v/>
      </c>
      <c r="BM1157">
        <f>IF(AND(BH1157=1,AZ1157&lt;&gt;"Cancelled",N(AW1157)&gt;=Dashboard!$AB$3,N(AW1157)&lt;=Dashboard!$AB$3+6),(AW1157-40000)*100000+BF1157*10000+1156,"")</f>
        <v/>
      </c>
      <c r="BN1157">
        <f>IF(AND(BH1157=1,AZ1157&lt;&gt;"Cancelled"),BF1157*10000+1156,"")</f>
        <v/>
      </c>
    </row>
    <row r="1158">
      <c r="AS1158" t="inlineStr">
        <is>
          <t>R</t>
        </is>
      </c>
      <c r="AT1158" t="n">
        <v>1162</v>
      </c>
      <c r="AU1158">
        <f>'Recurring Log'!C1162&amp;""</f>
        <v/>
      </c>
      <c r="AV1158">
        <f>'Recurring Log'!D1162&amp;""</f>
        <v/>
      </c>
      <c r="AW1158">
        <f>IF('Recurring Log'!E1162="","",'Recurring Log'!E1162)</f>
        <v/>
      </c>
      <c r="AX1158">
        <f>IF('Recurring Log'!G1162="","",'Recurring Log'!G1162)</f>
        <v/>
      </c>
      <c r="AY1158">
        <f>IF('Recurring Log'!H1162="","",'Recurring Log'!H1162)</f>
        <v/>
      </c>
      <c r="AZ1158">
        <f>IF(AU1158="","",IF('Recurring Log'!J1162="","Not Started",'Recurring Log'!J1162))</f>
        <v/>
      </c>
      <c r="BA1158">
        <f>'Recurring Log'!L1162&amp;""</f>
        <v/>
      </c>
      <c r="BB1158">
        <f>'Recurring Log'!M1162&amp;""</f>
        <v/>
      </c>
      <c r="BC1158">
        <f>'Recurring Log'!N1162&amp;""</f>
        <v/>
      </c>
      <c r="BD1158">
        <f>'Recurring Log'!O1162&amp;""</f>
        <v/>
      </c>
      <c r="BE1158">
        <f>IF('Recurring Log'!K1162="","",'Recurring Log'!K1162)</f>
        <v/>
      </c>
      <c r="BF1158">
        <f>IFERROR(MATCH(BA1158,Setup!$L$6:$L$9,0),5)</f>
        <v/>
      </c>
      <c r="BG1158">
        <f>IF(OR(AZ1158="Done",AZ1158="Cancelled"),1,0)</f>
        <v/>
      </c>
      <c r="BH1158">
        <f>IF(AND(AU1158&lt;&gt;"",ISNUMBER(AW1158)),1,0)</f>
        <v/>
      </c>
      <c r="BI1158">
        <f>IF(BH1158=0,0,IF(AND(AW1158&gt;='Tasks Filter'!$F$3,AW1158&lt;='Tasks Filter'!$F$4,OR('Tasks Filter'!$I$3="",ISNUMBER(SEARCH('Tasks Filter'!$I$3,AU1158))),OR('Tasks Filter'!$I$4="",BF1158=IFERROR(MATCH('Tasks Filter'!$I$4,Setup!$L$6:$L$9,0),0)),OR('Tasks Filter'!$I$5="Both",AND('Tasks Filter'!$I$5="Yes",BB1158="✓"),AND('Tasks Filter'!$I$5="No",BB1158&lt;&gt;"✓")),OR('Tasks Filter'!$L$3="",AV1158='Tasks Filter'!$L$3),OR('Tasks Filter'!$L$4="",AZ1158='Tasks Filter'!$L$4),OR('Tasks Filter'!$L$5="",BC1158='Tasks Filter'!$L$5),OR('Tasks Filter'!$O$3="",BD1158='Tasks Filter'!$O$3),OR('Tasks Filter'!$O$4="Yes",BG1158=0)),1,0))</f>
        <v/>
      </c>
      <c r="BJ1158">
        <f>IF(BH1158=0,"",IF('Tasks Filter'!$F$6="Descending",-1,1)*CHOOSE(MATCH('Tasks Filter'!$F$5,Lists!$G$2:$G$6,0),AW1158,BF1158,IFERROR(MATCH(AV1158,Setup!$F$6:$F$15,0),99),IFERROR(MATCH(BC1158,Setup!$H$6:$H$15,0),99),IFERROR(MATCH(AZ1158,Setup!$J$6:$J$11,0),99))*1E+9+(AW1158-40000)*10000+1157)</f>
        <v/>
      </c>
      <c r="BK1158">
        <f>IF(BI1158=1,BJ1158,"")</f>
        <v/>
      </c>
      <c r="BL1158">
        <f>IF(AND(BH1158=1,BG1158=0,N(AW1158)&lt;Setup!$D$7),(AW1158-40000)*10000+1157,"")</f>
        <v/>
      </c>
      <c r="BM1158">
        <f>IF(AND(BH1158=1,AZ1158&lt;&gt;"Cancelled",N(AW1158)&gt;=Dashboard!$AB$3,N(AW1158)&lt;=Dashboard!$AB$3+6),(AW1158-40000)*100000+BF1158*10000+1157,"")</f>
        <v/>
      </c>
      <c r="BN1158">
        <f>IF(AND(BH1158=1,AZ1158&lt;&gt;"Cancelled"),BF1158*10000+1157,"")</f>
        <v/>
      </c>
    </row>
    <row r="1159">
      <c r="AS1159" t="inlineStr">
        <is>
          <t>R</t>
        </is>
      </c>
      <c r="AT1159" t="n">
        <v>1163</v>
      </c>
      <c r="AU1159">
        <f>'Recurring Log'!C1163&amp;""</f>
        <v/>
      </c>
      <c r="AV1159">
        <f>'Recurring Log'!D1163&amp;""</f>
        <v/>
      </c>
      <c r="AW1159">
        <f>IF('Recurring Log'!E1163="","",'Recurring Log'!E1163)</f>
        <v/>
      </c>
      <c r="AX1159">
        <f>IF('Recurring Log'!G1163="","",'Recurring Log'!G1163)</f>
        <v/>
      </c>
      <c r="AY1159">
        <f>IF('Recurring Log'!H1163="","",'Recurring Log'!H1163)</f>
        <v/>
      </c>
      <c r="AZ1159">
        <f>IF(AU1159="","",IF('Recurring Log'!J1163="","Not Started",'Recurring Log'!J1163))</f>
        <v/>
      </c>
      <c r="BA1159">
        <f>'Recurring Log'!L1163&amp;""</f>
        <v/>
      </c>
      <c r="BB1159">
        <f>'Recurring Log'!M1163&amp;""</f>
        <v/>
      </c>
      <c r="BC1159">
        <f>'Recurring Log'!N1163&amp;""</f>
        <v/>
      </c>
      <c r="BD1159">
        <f>'Recurring Log'!O1163&amp;""</f>
        <v/>
      </c>
      <c r="BE1159">
        <f>IF('Recurring Log'!K1163="","",'Recurring Log'!K1163)</f>
        <v/>
      </c>
      <c r="BF1159">
        <f>IFERROR(MATCH(BA1159,Setup!$L$6:$L$9,0),5)</f>
        <v/>
      </c>
      <c r="BG1159">
        <f>IF(OR(AZ1159="Done",AZ1159="Cancelled"),1,0)</f>
        <v/>
      </c>
      <c r="BH1159">
        <f>IF(AND(AU1159&lt;&gt;"",ISNUMBER(AW1159)),1,0)</f>
        <v/>
      </c>
      <c r="BI1159">
        <f>IF(BH1159=0,0,IF(AND(AW1159&gt;='Tasks Filter'!$F$3,AW1159&lt;='Tasks Filter'!$F$4,OR('Tasks Filter'!$I$3="",ISNUMBER(SEARCH('Tasks Filter'!$I$3,AU1159))),OR('Tasks Filter'!$I$4="",BF1159=IFERROR(MATCH('Tasks Filter'!$I$4,Setup!$L$6:$L$9,0),0)),OR('Tasks Filter'!$I$5="Both",AND('Tasks Filter'!$I$5="Yes",BB1159="✓"),AND('Tasks Filter'!$I$5="No",BB1159&lt;&gt;"✓")),OR('Tasks Filter'!$L$3="",AV1159='Tasks Filter'!$L$3),OR('Tasks Filter'!$L$4="",AZ1159='Tasks Filter'!$L$4),OR('Tasks Filter'!$L$5="",BC1159='Tasks Filter'!$L$5),OR('Tasks Filter'!$O$3="",BD1159='Tasks Filter'!$O$3),OR('Tasks Filter'!$O$4="Yes",BG1159=0)),1,0))</f>
        <v/>
      </c>
      <c r="BJ1159">
        <f>IF(BH1159=0,"",IF('Tasks Filter'!$F$6="Descending",-1,1)*CHOOSE(MATCH('Tasks Filter'!$F$5,Lists!$G$2:$G$6,0),AW1159,BF1159,IFERROR(MATCH(AV1159,Setup!$F$6:$F$15,0),99),IFERROR(MATCH(BC1159,Setup!$H$6:$H$15,0),99),IFERROR(MATCH(AZ1159,Setup!$J$6:$J$11,0),99))*1E+9+(AW1159-40000)*10000+1158)</f>
        <v/>
      </c>
      <c r="BK1159">
        <f>IF(BI1159=1,BJ1159,"")</f>
        <v/>
      </c>
      <c r="BL1159">
        <f>IF(AND(BH1159=1,BG1159=0,N(AW1159)&lt;Setup!$D$7),(AW1159-40000)*10000+1158,"")</f>
        <v/>
      </c>
      <c r="BM1159">
        <f>IF(AND(BH1159=1,AZ1159&lt;&gt;"Cancelled",N(AW1159)&gt;=Dashboard!$AB$3,N(AW1159)&lt;=Dashboard!$AB$3+6),(AW1159-40000)*100000+BF1159*10000+1158,"")</f>
        <v/>
      </c>
      <c r="BN1159">
        <f>IF(AND(BH1159=1,AZ1159&lt;&gt;"Cancelled"),BF1159*10000+1158,"")</f>
        <v/>
      </c>
    </row>
    <row r="1160">
      <c r="AS1160" t="inlineStr">
        <is>
          <t>R</t>
        </is>
      </c>
      <c r="AT1160" t="n">
        <v>1164</v>
      </c>
      <c r="AU1160">
        <f>'Recurring Log'!C1164&amp;""</f>
        <v/>
      </c>
      <c r="AV1160">
        <f>'Recurring Log'!D1164&amp;""</f>
        <v/>
      </c>
      <c r="AW1160">
        <f>IF('Recurring Log'!E1164="","",'Recurring Log'!E1164)</f>
        <v/>
      </c>
      <c r="AX1160">
        <f>IF('Recurring Log'!G1164="","",'Recurring Log'!G1164)</f>
        <v/>
      </c>
      <c r="AY1160">
        <f>IF('Recurring Log'!H1164="","",'Recurring Log'!H1164)</f>
        <v/>
      </c>
      <c r="AZ1160">
        <f>IF(AU1160="","",IF('Recurring Log'!J1164="","Not Started",'Recurring Log'!J1164))</f>
        <v/>
      </c>
      <c r="BA1160">
        <f>'Recurring Log'!L1164&amp;""</f>
        <v/>
      </c>
      <c r="BB1160">
        <f>'Recurring Log'!M1164&amp;""</f>
        <v/>
      </c>
      <c r="BC1160">
        <f>'Recurring Log'!N1164&amp;""</f>
        <v/>
      </c>
      <c r="BD1160">
        <f>'Recurring Log'!O1164&amp;""</f>
        <v/>
      </c>
      <c r="BE1160">
        <f>IF('Recurring Log'!K1164="","",'Recurring Log'!K1164)</f>
        <v/>
      </c>
      <c r="BF1160">
        <f>IFERROR(MATCH(BA1160,Setup!$L$6:$L$9,0),5)</f>
        <v/>
      </c>
      <c r="BG1160">
        <f>IF(OR(AZ1160="Done",AZ1160="Cancelled"),1,0)</f>
        <v/>
      </c>
      <c r="BH1160">
        <f>IF(AND(AU1160&lt;&gt;"",ISNUMBER(AW1160)),1,0)</f>
        <v/>
      </c>
      <c r="BI1160">
        <f>IF(BH1160=0,0,IF(AND(AW1160&gt;='Tasks Filter'!$F$3,AW1160&lt;='Tasks Filter'!$F$4,OR('Tasks Filter'!$I$3="",ISNUMBER(SEARCH('Tasks Filter'!$I$3,AU1160))),OR('Tasks Filter'!$I$4="",BF1160=IFERROR(MATCH('Tasks Filter'!$I$4,Setup!$L$6:$L$9,0),0)),OR('Tasks Filter'!$I$5="Both",AND('Tasks Filter'!$I$5="Yes",BB1160="✓"),AND('Tasks Filter'!$I$5="No",BB1160&lt;&gt;"✓")),OR('Tasks Filter'!$L$3="",AV1160='Tasks Filter'!$L$3),OR('Tasks Filter'!$L$4="",AZ1160='Tasks Filter'!$L$4),OR('Tasks Filter'!$L$5="",BC1160='Tasks Filter'!$L$5),OR('Tasks Filter'!$O$3="",BD1160='Tasks Filter'!$O$3),OR('Tasks Filter'!$O$4="Yes",BG1160=0)),1,0))</f>
        <v/>
      </c>
      <c r="BJ1160">
        <f>IF(BH1160=0,"",IF('Tasks Filter'!$F$6="Descending",-1,1)*CHOOSE(MATCH('Tasks Filter'!$F$5,Lists!$G$2:$G$6,0),AW1160,BF1160,IFERROR(MATCH(AV1160,Setup!$F$6:$F$15,0),99),IFERROR(MATCH(BC1160,Setup!$H$6:$H$15,0),99),IFERROR(MATCH(AZ1160,Setup!$J$6:$J$11,0),99))*1E+9+(AW1160-40000)*10000+1159)</f>
        <v/>
      </c>
      <c r="BK1160">
        <f>IF(BI1160=1,BJ1160,"")</f>
        <v/>
      </c>
      <c r="BL1160">
        <f>IF(AND(BH1160=1,BG1160=0,N(AW1160)&lt;Setup!$D$7),(AW1160-40000)*10000+1159,"")</f>
        <v/>
      </c>
      <c r="BM1160">
        <f>IF(AND(BH1160=1,AZ1160&lt;&gt;"Cancelled",N(AW1160)&gt;=Dashboard!$AB$3,N(AW1160)&lt;=Dashboard!$AB$3+6),(AW1160-40000)*100000+BF1160*10000+1159,"")</f>
        <v/>
      </c>
      <c r="BN1160">
        <f>IF(AND(BH1160=1,AZ1160&lt;&gt;"Cancelled"),BF1160*10000+1159,"")</f>
        <v/>
      </c>
    </row>
    <row r="1161">
      <c r="AS1161" t="inlineStr">
        <is>
          <t>R</t>
        </is>
      </c>
      <c r="AT1161" t="n">
        <v>1165</v>
      </c>
      <c r="AU1161">
        <f>'Recurring Log'!C1165&amp;""</f>
        <v/>
      </c>
      <c r="AV1161">
        <f>'Recurring Log'!D1165&amp;""</f>
        <v/>
      </c>
      <c r="AW1161">
        <f>IF('Recurring Log'!E1165="","",'Recurring Log'!E1165)</f>
        <v/>
      </c>
      <c r="AX1161">
        <f>IF('Recurring Log'!G1165="","",'Recurring Log'!G1165)</f>
        <v/>
      </c>
      <c r="AY1161">
        <f>IF('Recurring Log'!H1165="","",'Recurring Log'!H1165)</f>
        <v/>
      </c>
      <c r="AZ1161">
        <f>IF(AU1161="","",IF('Recurring Log'!J1165="","Not Started",'Recurring Log'!J1165))</f>
        <v/>
      </c>
      <c r="BA1161">
        <f>'Recurring Log'!L1165&amp;""</f>
        <v/>
      </c>
      <c r="BB1161">
        <f>'Recurring Log'!M1165&amp;""</f>
        <v/>
      </c>
      <c r="BC1161">
        <f>'Recurring Log'!N1165&amp;""</f>
        <v/>
      </c>
      <c r="BD1161">
        <f>'Recurring Log'!O1165&amp;""</f>
        <v/>
      </c>
      <c r="BE1161">
        <f>IF('Recurring Log'!K1165="","",'Recurring Log'!K1165)</f>
        <v/>
      </c>
      <c r="BF1161">
        <f>IFERROR(MATCH(BA1161,Setup!$L$6:$L$9,0),5)</f>
        <v/>
      </c>
      <c r="BG1161">
        <f>IF(OR(AZ1161="Done",AZ1161="Cancelled"),1,0)</f>
        <v/>
      </c>
      <c r="BH1161">
        <f>IF(AND(AU1161&lt;&gt;"",ISNUMBER(AW1161)),1,0)</f>
        <v/>
      </c>
      <c r="BI1161">
        <f>IF(BH1161=0,0,IF(AND(AW1161&gt;='Tasks Filter'!$F$3,AW1161&lt;='Tasks Filter'!$F$4,OR('Tasks Filter'!$I$3="",ISNUMBER(SEARCH('Tasks Filter'!$I$3,AU1161))),OR('Tasks Filter'!$I$4="",BF1161=IFERROR(MATCH('Tasks Filter'!$I$4,Setup!$L$6:$L$9,0),0)),OR('Tasks Filter'!$I$5="Both",AND('Tasks Filter'!$I$5="Yes",BB1161="✓"),AND('Tasks Filter'!$I$5="No",BB1161&lt;&gt;"✓")),OR('Tasks Filter'!$L$3="",AV1161='Tasks Filter'!$L$3),OR('Tasks Filter'!$L$4="",AZ1161='Tasks Filter'!$L$4),OR('Tasks Filter'!$L$5="",BC1161='Tasks Filter'!$L$5),OR('Tasks Filter'!$O$3="",BD1161='Tasks Filter'!$O$3),OR('Tasks Filter'!$O$4="Yes",BG1161=0)),1,0))</f>
        <v/>
      </c>
      <c r="BJ1161">
        <f>IF(BH1161=0,"",IF('Tasks Filter'!$F$6="Descending",-1,1)*CHOOSE(MATCH('Tasks Filter'!$F$5,Lists!$G$2:$G$6,0),AW1161,BF1161,IFERROR(MATCH(AV1161,Setup!$F$6:$F$15,0),99),IFERROR(MATCH(BC1161,Setup!$H$6:$H$15,0),99),IFERROR(MATCH(AZ1161,Setup!$J$6:$J$11,0),99))*1E+9+(AW1161-40000)*10000+1160)</f>
        <v/>
      </c>
      <c r="BK1161">
        <f>IF(BI1161=1,BJ1161,"")</f>
        <v/>
      </c>
      <c r="BL1161">
        <f>IF(AND(BH1161=1,BG1161=0,N(AW1161)&lt;Setup!$D$7),(AW1161-40000)*10000+1160,"")</f>
        <v/>
      </c>
      <c r="BM1161">
        <f>IF(AND(BH1161=1,AZ1161&lt;&gt;"Cancelled",N(AW1161)&gt;=Dashboard!$AB$3,N(AW1161)&lt;=Dashboard!$AB$3+6),(AW1161-40000)*100000+BF1161*10000+1160,"")</f>
        <v/>
      </c>
      <c r="BN1161">
        <f>IF(AND(BH1161=1,AZ1161&lt;&gt;"Cancelled"),BF1161*10000+1160,"")</f>
        <v/>
      </c>
    </row>
    <row r="1162">
      <c r="AS1162" t="inlineStr">
        <is>
          <t>R</t>
        </is>
      </c>
      <c r="AT1162" t="n">
        <v>1166</v>
      </c>
      <c r="AU1162">
        <f>'Recurring Log'!C1166&amp;""</f>
        <v/>
      </c>
      <c r="AV1162">
        <f>'Recurring Log'!D1166&amp;""</f>
        <v/>
      </c>
      <c r="AW1162">
        <f>IF('Recurring Log'!E1166="","",'Recurring Log'!E1166)</f>
        <v/>
      </c>
      <c r="AX1162">
        <f>IF('Recurring Log'!G1166="","",'Recurring Log'!G1166)</f>
        <v/>
      </c>
      <c r="AY1162">
        <f>IF('Recurring Log'!H1166="","",'Recurring Log'!H1166)</f>
        <v/>
      </c>
      <c r="AZ1162">
        <f>IF(AU1162="","",IF('Recurring Log'!J1166="","Not Started",'Recurring Log'!J1166))</f>
        <v/>
      </c>
      <c r="BA1162">
        <f>'Recurring Log'!L1166&amp;""</f>
        <v/>
      </c>
      <c r="BB1162">
        <f>'Recurring Log'!M1166&amp;""</f>
        <v/>
      </c>
      <c r="BC1162">
        <f>'Recurring Log'!N1166&amp;""</f>
        <v/>
      </c>
      <c r="BD1162">
        <f>'Recurring Log'!O1166&amp;""</f>
        <v/>
      </c>
      <c r="BE1162">
        <f>IF('Recurring Log'!K1166="","",'Recurring Log'!K1166)</f>
        <v/>
      </c>
      <c r="BF1162">
        <f>IFERROR(MATCH(BA1162,Setup!$L$6:$L$9,0),5)</f>
        <v/>
      </c>
      <c r="BG1162">
        <f>IF(OR(AZ1162="Done",AZ1162="Cancelled"),1,0)</f>
        <v/>
      </c>
      <c r="BH1162">
        <f>IF(AND(AU1162&lt;&gt;"",ISNUMBER(AW1162)),1,0)</f>
        <v/>
      </c>
      <c r="BI1162">
        <f>IF(BH1162=0,0,IF(AND(AW1162&gt;='Tasks Filter'!$F$3,AW1162&lt;='Tasks Filter'!$F$4,OR('Tasks Filter'!$I$3="",ISNUMBER(SEARCH('Tasks Filter'!$I$3,AU1162))),OR('Tasks Filter'!$I$4="",BF1162=IFERROR(MATCH('Tasks Filter'!$I$4,Setup!$L$6:$L$9,0),0)),OR('Tasks Filter'!$I$5="Both",AND('Tasks Filter'!$I$5="Yes",BB1162="✓"),AND('Tasks Filter'!$I$5="No",BB1162&lt;&gt;"✓")),OR('Tasks Filter'!$L$3="",AV1162='Tasks Filter'!$L$3),OR('Tasks Filter'!$L$4="",AZ1162='Tasks Filter'!$L$4),OR('Tasks Filter'!$L$5="",BC1162='Tasks Filter'!$L$5),OR('Tasks Filter'!$O$3="",BD1162='Tasks Filter'!$O$3),OR('Tasks Filter'!$O$4="Yes",BG1162=0)),1,0))</f>
        <v/>
      </c>
      <c r="BJ1162">
        <f>IF(BH1162=0,"",IF('Tasks Filter'!$F$6="Descending",-1,1)*CHOOSE(MATCH('Tasks Filter'!$F$5,Lists!$G$2:$G$6,0),AW1162,BF1162,IFERROR(MATCH(AV1162,Setup!$F$6:$F$15,0),99),IFERROR(MATCH(BC1162,Setup!$H$6:$H$15,0),99),IFERROR(MATCH(AZ1162,Setup!$J$6:$J$11,0),99))*1E+9+(AW1162-40000)*10000+1161)</f>
        <v/>
      </c>
      <c r="BK1162">
        <f>IF(BI1162=1,BJ1162,"")</f>
        <v/>
      </c>
      <c r="BL1162">
        <f>IF(AND(BH1162=1,BG1162=0,N(AW1162)&lt;Setup!$D$7),(AW1162-40000)*10000+1161,"")</f>
        <v/>
      </c>
      <c r="BM1162">
        <f>IF(AND(BH1162=1,AZ1162&lt;&gt;"Cancelled",N(AW1162)&gt;=Dashboard!$AB$3,N(AW1162)&lt;=Dashboard!$AB$3+6),(AW1162-40000)*100000+BF1162*10000+1161,"")</f>
        <v/>
      </c>
      <c r="BN1162">
        <f>IF(AND(BH1162=1,AZ1162&lt;&gt;"Cancelled"),BF1162*10000+1161,"")</f>
        <v/>
      </c>
    </row>
    <row r="1163">
      <c r="AS1163" t="inlineStr">
        <is>
          <t>R</t>
        </is>
      </c>
      <c r="AT1163" t="n">
        <v>1167</v>
      </c>
      <c r="AU1163">
        <f>'Recurring Log'!C1167&amp;""</f>
        <v/>
      </c>
      <c r="AV1163">
        <f>'Recurring Log'!D1167&amp;""</f>
        <v/>
      </c>
      <c r="AW1163">
        <f>IF('Recurring Log'!E1167="","",'Recurring Log'!E1167)</f>
        <v/>
      </c>
      <c r="AX1163">
        <f>IF('Recurring Log'!G1167="","",'Recurring Log'!G1167)</f>
        <v/>
      </c>
      <c r="AY1163">
        <f>IF('Recurring Log'!H1167="","",'Recurring Log'!H1167)</f>
        <v/>
      </c>
      <c r="AZ1163">
        <f>IF(AU1163="","",IF('Recurring Log'!J1167="","Not Started",'Recurring Log'!J1167))</f>
        <v/>
      </c>
      <c r="BA1163">
        <f>'Recurring Log'!L1167&amp;""</f>
        <v/>
      </c>
      <c r="BB1163">
        <f>'Recurring Log'!M1167&amp;""</f>
        <v/>
      </c>
      <c r="BC1163">
        <f>'Recurring Log'!N1167&amp;""</f>
        <v/>
      </c>
      <c r="BD1163">
        <f>'Recurring Log'!O1167&amp;""</f>
        <v/>
      </c>
      <c r="BE1163">
        <f>IF('Recurring Log'!K1167="","",'Recurring Log'!K1167)</f>
        <v/>
      </c>
      <c r="BF1163">
        <f>IFERROR(MATCH(BA1163,Setup!$L$6:$L$9,0),5)</f>
        <v/>
      </c>
      <c r="BG1163">
        <f>IF(OR(AZ1163="Done",AZ1163="Cancelled"),1,0)</f>
        <v/>
      </c>
      <c r="BH1163">
        <f>IF(AND(AU1163&lt;&gt;"",ISNUMBER(AW1163)),1,0)</f>
        <v/>
      </c>
      <c r="BI1163">
        <f>IF(BH1163=0,0,IF(AND(AW1163&gt;='Tasks Filter'!$F$3,AW1163&lt;='Tasks Filter'!$F$4,OR('Tasks Filter'!$I$3="",ISNUMBER(SEARCH('Tasks Filter'!$I$3,AU1163))),OR('Tasks Filter'!$I$4="",BF1163=IFERROR(MATCH('Tasks Filter'!$I$4,Setup!$L$6:$L$9,0),0)),OR('Tasks Filter'!$I$5="Both",AND('Tasks Filter'!$I$5="Yes",BB1163="✓"),AND('Tasks Filter'!$I$5="No",BB1163&lt;&gt;"✓")),OR('Tasks Filter'!$L$3="",AV1163='Tasks Filter'!$L$3),OR('Tasks Filter'!$L$4="",AZ1163='Tasks Filter'!$L$4),OR('Tasks Filter'!$L$5="",BC1163='Tasks Filter'!$L$5),OR('Tasks Filter'!$O$3="",BD1163='Tasks Filter'!$O$3),OR('Tasks Filter'!$O$4="Yes",BG1163=0)),1,0))</f>
        <v/>
      </c>
      <c r="BJ1163">
        <f>IF(BH1163=0,"",IF('Tasks Filter'!$F$6="Descending",-1,1)*CHOOSE(MATCH('Tasks Filter'!$F$5,Lists!$G$2:$G$6,0),AW1163,BF1163,IFERROR(MATCH(AV1163,Setup!$F$6:$F$15,0),99),IFERROR(MATCH(BC1163,Setup!$H$6:$H$15,0),99),IFERROR(MATCH(AZ1163,Setup!$J$6:$J$11,0),99))*1E+9+(AW1163-40000)*10000+1162)</f>
        <v/>
      </c>
      <c r="BK1163">
        <f>IF(BI1163=1,BJ1163,"")</f>
        <v/>
      </c>
      <c r="BL1163">
        <f>IF(AND(BH1163=1,BG1163=0,N(AW1163)&lt;Setup!$D$7),(AW1163-40000)*10000+1162,"")</f>
        <v/>
      </c>
      <c r="BM1163">
        <f>IF(AND(BH1163=1,AZ1163&lt;&gt;"Cancelled",N(AW1163)&gt;=Dashboard!$AB$3,N(AW1163)&lt;=Dashboard!$AB$3+6),(AW1163-40000)*100000+BF1163*10000+1162,"")</f>
        <v/>
      </c>
      <c r="BN1163">
        <f>IF(AND(BH1163=1,AZ1163&lt;&gt;"Cancelled"),BF1163*10000+1162,"")</f>
        <v/>
      </c>
    </row>
    <row r="1164">
      <c r="AS1164" t="inlineStr">
        <is>
          <t>R</t>
        </is>
      </c>
      <c r="AT1164" t="n">
        <v>1168</v>
      </c>
      <c r="AU1164">
        <f>'Recurring Log'!C1168&amp;""</f>
        <v/>
      </c>
      <c r="AV1164">
        <f>'Recurring Log'!D1168&amp;""</f>
        <v/>
      </c>
      <c r="AW1164">
        <f>IF('Recurring Log'!E1168="","",'Recurring Log'!E1168)</f>
        <v/>
      </c>
      <c r="AX1164">
        <f>IF('Recurring Log'!G1168="","",'Recurring Log'!G1168)</f>
        <v/>
      </c>
      <c r="AY1164">
        <f>IF('Recurring Log'!H1168="","",'Recurring Log'!H1168)</f>
        <v/>
      </c>
      <c r="AZ1164">
        <f>IF(AU1164="","",IF('Recurring Log'!J1168="","Not Started",'Recurring Log'!J1168))</f>
        <v/>
      </c>
      <c r="BA1164">
        <f>'Recurring Log'!L1168&amp;""</f>
        <v/>
      </c>
      <c r="BB1164">
        <f>'Recurring Log'!M1168&amp;""</f>
        <v/>
      </c>
      <c r="BC1164">
        <f>'Recurring Log'!N1168&amp;""</f>
        <v/>
      </c>
      <c r="BD1164">
        <f>'Recurring Log'!O1168&amp;""</f>
        <v/>
      </c>
      <c r="BE1164">
        <f>IF('Recurring Log'!K1168="","",'Recurring Log'!K1168)</f>
        <v/>
      </c>
      <c r="BF1164">
        <f>IFERROR(MATCH(BA1164,Setup!$L$6:$L$9,0),5)</f>
        <v/>
      </c>
      <c r="BG1164">
        <f>IF(OR(AZ1164="Done",AZ1164="Cancelled"),1,0)</f>
        <v/>
      </c>
      <c r="BH1164">
        <f>IF(AND(AU1164&lt;&gt;"",ISNUMBER(AW1164)),1,0)</f>
        <v/>
      </c>
      <c r="BI1164">
        <f>IF(BH1164=0,0,IF(AND(AW1164&gt;='Tasks Filter'!$F$3,AW1164&lt;='Tasks Filter'!$F$4,OR('Tasks Filter'!$I$3="",ISNUMBER(SEARCH('Tasks Filter'!$I$3,AU1164))),OR('Tasks Filter'!$I$4="",BF1164=IFERROR(MATCH('Tasks Filter'!$I$4,Setup!$L$6:$L$9,0),0)),OR('Tasks Filter'!$I$5="Both",AND('Tasks Filter'!$I$5="Yes",BB1164="✓"),AND('Tasks Filter'!$I$5="No",BB1164&lt;&gt;"✓")),OR('Tasks Filter'!$L$3="",AV1164='Tasks Filter'!$L$3),OR('Tasks Filter'!$L$4="",AZ1164='Tasks Filter'!$L$4),OR('Tasks Filter'!$L$5="",BC1164='Tasks Filter'!$L$5),OR('Tasks Filter'!$O$3="",BD1164='Tasks Filter'!$O$3),OR('Tasks Filter'!$O$4="Yes",BG1164=0)),1,0))</f>
        <v/>
      </c>
      <c r="BJ1164">
        <f>IF(BH1164=0,"",IF('Tasks Filter'!$F$6="Descending",-1,1)*CHOOSE(MATCH('Tasks Filter'!$F$5,Lists!$G$2:$G$6,0),AW1164,BF1164,IFERROR(MATCH(AV1164,Setup!$F$6:$F$15,0),99),IFERROR(MATCH(BC1164,Setup!$H$6:$H$15,0),99),IFERROR(MATCH(AZ1164,Setup!$J$6:$J$11,0),99))*1E+9+(AW1164-40000)*10000+1163)</f>
        <v/>
      </c>
      <c r="BK1164">
        <f>IF(BI1164=1,BJ1164,"")</f>
        <v/>
      </c>
      <c r="BL1164">
        <f>IF(AND(BH1164=1,BG1164=0,N(AW1164)&lt;Setup!$D$7),(AW1164-40000)*10000+1163,"")</f>
        <v/>
      </c>
      <c r="BM1164">
        <f>IF(AND(BH1164=1,AZ1164&lt;&gt;"Cancelled",N(AW1164)&gt;=Dashboard!$AB$3,N(AW1164)&lt;=Dashboard!$AB$3+6),(AW1164-40000)*100000+BF1164*10000+1163,"")</f>
        <v/>
      </c>
      <c r="BN1164">
        <f>IF(AND(BH1164=1,AZ1164&lt;&gt;"Cancelled"),BF1164*10000+1163,"")</f>
        <v/>
      </c>
    </row>
    <row r="1165">
      <c r="AS1165" t="inlineStr">
        <is>
          <t>R</t>
        </is>
      </c>
      <c r="AT1165" t="n">
        <v>1169</v>
      </c>
      <c r="AU1165">
        <f>'Recurring Log'!C1169&amp;""</f>
        <v/>
      </c>
      <c r="AV1165">
        <f>'Recurring Log'!D1169&amp;""</f>
        <v/>
      </c>
      <c r="AW1165">
        <f>IF('Recurring Log'!E1169="","",'Recurring Log'!E1169)</f>
        <v/>
      </c>
      <c r="AX1165">
        <f>IF('Recurring Log'!G1169="","",'Recurring Log'!G1169)</f>
        <v/>
      </c>
      <c r="AY1165">
        <f>IF('Recurring Log'!H1169="","",'Recurring Log'!H1169)</f>
        <v/>
      </c>
      <c r="AZ1165">
        <f>IF(AU1165="","",IF('Recurring Log'!J1169="","Not Started",'Recurring Log'!J1169))</f>
        <v/>
      </c>
      <c r="BA1165">
        <f>'Recurring Log'!L1169&amp;""</f>
        <v/>
      </c>
      <c r="BB1165">
        <f>'Recurring Log'!M1169&amp;""</f>
        <v/>
      </c>
      <c r="BC1165">
        <f>'Recurring Log'!N1169&amp;""</f>
        <v/>
      </c>
      <c r="BD1165">
        <f>'Recurring Log'!O1169&amp;""</f>
        <v/>
      </c>
      <c r="BE1165">
        <f>IF('Recurring Log'!K1169="","",'Recurring Log'!K1169)</f>
        <v/>
      </c>
      <c r="BF1165">
        <f>IFERROR(MATCH(BA1165,Setup!$L$6:$L$9,0),5)</f>
        <v/>
      </c>
      <c r="BG1165">
        <f>IF(OR(AZ1165="Done",AZ1165="Cancelled"),1,0)</f>
        <v/>
      </c>
      <c r="BH1165">
        <f>IF(AND(AU1165&lt;&gt;"",ISNUMBER(AW1165)),1,0)</f>
        <v/>
      </c>
      <c r="BI1165">
        <f>IF(BH1165=0,0,IF(AND(AW1165&gt;='Tasks Filter'!$F$3,AW1165&lt;='Tasks Filter'!$F$4,OR('Tasks Filter'!$I$3="",ISNUMBER(SEARCH('Tasks Filter'!$I$3,AU1165))),OR('Tasks Filter'!$I$4="",BF1165=IFERROR(MATCH('Tasks Filter'!$I$4,Setup!$L$6:$L$9,0),0)),OR('Tasks Filter'!$I$5="Both",AND('Tasks Filter'!$I$5="Yes",BB1165="✓"),AND('Tasks Filter'!$I$5="No",BB1165&lt;&gt;"✓")),OR('Tasks Filter'!$L$3="",AV1165='Tasks Filter'!$L$3),OR('Tasks Filter'!$L$4="",AZ1165='Tasks Filter'!$L$4),OR('Tasks Filter'!$L$5="",BC1165='Tasks Filter'!$L$5),OR('Tasks Filter'!$O$3="",BD1165='Tasks Filter'!$O$3),OR('Tasks Filter'!$O$4="Yes",BG1165=0)),1,0))</f>
        <v/>
      </c>
      <c r="BJ1165">
        <f>IF(BH1165=0,"",IF('Tasks Filter'!$F$6="Descending",-1,1)*CHOOSE(MATCH('Tasks Filter'!$F$5,Lists!$G$2:$G$6,0),AW1165,BF1165,IFERROR(MATCH(AV1165,Setup!$F$6:$F$15,0),99),IFERROR(MATCH(BC1165,Setup!$H$6:$H$15,0),99),IFERROR(MATCH(AZ1165,Setup!$J$6:$J$11,0),99))*1E+9+(AW1165-40000)*10000+1164)</f>
        <v/>
      </c>
      <c r="BK1165">
        <f>IF(BI1165=1,BJ1165,"")</f>
        <v/>
      </c>
      <c r="BL1165">
        <f>IF(AND(BH1165=1,BG1165=0,N(AW1165)&lt;Setup!$D$7),(AW1165-40000)*10000+1164,"")</f>
        <v/>
      </c>
      <c r="BM1165">
        <f>IF(AND(BH1165=1,AZ1165&lt;&gt;"Cancelled",N(AW1165)&gt;=Dashboard!$AB$3,N(AW1165)&lt;=Dashboard!$AB$3+6),(AW1165-40000)*100000+BF1165*10000+1164,"")</f>
        <v/>
      </c>
      <c r="BN1165">
        <f>IF(AND(BH1165=1,AZ1165&lt;&gt;"Cancelled"),BF1165*10000+1164,"")</f>
        <v/>
      </c>
    </row>
    <row r="1166">
      <c r="AS1166" t="inlineStr">
        <is>
          <t>R</t>
        </is>
      </c>
      <c r="AT1166" t="n">
        <v>1170</v>
      </c>
      <c r="AU1166">
        <f>'Recurring Log'!C1170&amp;""</f>
        <v/>
      </c>
      <c r="AV1166">
        <f>'Recurring Log'!D1170&amp;""</f>
        <v/>
      </c>
      <c r="AW1166">
        <f>IF('Recurring Log'!E1170="","",'Recurring Log'!E1170)</f>
        <v/>
      </c>
      <c r="AX1166">
        <f>IF('Recurring Log'!G1170="","",'Recurring Log'!G1170)</f>
        <v/>
      </c>
      <c r="AY1166">
        <f>IF('Recurring Log'!H1170="","",'Recurring Log'!H1170)</f>
        <v/>
      </c>
      <c r="AZ1166">
        <f>IF(AU1166="","",IF('Recurring Log'!J1170="","Not Started",'Recurring Log'!J1170))</f>
        <v/>
      </c>
      <c r="BA1166">
        <f>'Recurring Log'!L1170&amp;""</f>
        <v/>
      </c>
      <c r="BB1166">
        <f>'Recurring Log'!M1170&amp;""</f>
        <v/>
      </c>
      <c r="BC1166">
        <f>'Recurring Log'!N1170&amp;""</f>
        <v/>
      </c>
      <c r="BD1166">
        <f>'Recurring Log'!O1170&amp;""</f>
        <v/>
      </c>
      <c r="BE1166">
        <f>IF('Recurring Log'!K1170="","",'Recurring Log'!K1170)</f>
        <v/>
      </c>
      <c r="BF1166">
        <f>IFERROR(MATCH(BA1166,Setup!$L$6:$L$9,0),5)</f>
        <v/>
      </c>
      <c r="BG1166">
        <f>IF(OR(AZ1166="Done",AZ1166="Cancelled"),1,0)</f>
        <v/>
      </c>
      <c r="BH1166">
        <f>IF(AND(AU1166&lt;&gt;"",ISNUMBER(AW1166)),1,0)</f>
        <v/>
      </c>
      <c r="BI1166">
        <f>IF(BH1166=0,0,IF(AND(AW1166&gt;='Tasks Filter'!$F$3,AW1166&lt;='Tasks Filter'!$F$4,OR('Tasks Filter'!$I$3="",ISNUMBER(SEARCH('Tasks Filter'!$I$3,AU1166))),OR('Tasks Filter'!$I$4="",BF1166=IFERROR(MATCH('Tasks Filter'!$I$4,Setup!$L$6:$L$9,0),0)),OR('Tasks Filter'!$I$5="Both",AND('Tasks Filter'!$I$5="Yes",BB1166="✓"),AND('Tasks Filter'!$I$5="No",BB1166&lt;&gt;"✓")),OR('Tasks Filter'!$L$3="",AV1166='Tasks Filter'!$L$3),OR('Tasks Filter'!$L$4="",AZ1166='Tasks Filter'!$L$4),OR('Tasks Filter'!$L$5="",BC1166='Tasks Filter'!$L$5),OR('Tasks Filter'!$O$3="",BD1166='Tasks Filter'!$O$3),OR('Tasks Filter'!$O$4="Yes",BG1166=0)),1,0))</f>
        <v/>
      </c>
      <c r="BJ1166">
        <f>IF(BH1166=0,"",IF('Tasks Filter'!$F$6="Descending",-1,1)*CHOOSE(MATCH('Tasks Filter'!$F$5,Lists!$G$2:$G$6,0),AW1166,BF1166,IFERROR(MATCH(AV1166,Setup!$F$6:$F$15,0),99),IFERROR(MATCH(BC1166,Setup!$H$6:$H$15,0),99),IFERROR(MATCH(AZ1166,Setup!$J$6:$J$11,0),99))*1E+9+(AW1166-40000)*10000+1165)</f>
        <v/>
      </c>
      <c r="BK1166">
        <f>IF(BI1166=1,BJ1166,"")</f>
        <v/>
      </c>
      <c r="BL1166">
        <f>IF(AND(BH1166=1,BG1166=0,N(AW1166)&lt;Setup!$D$7),(AW1166-40000)*10000+1165,"")</f>
        <v/>
      </c>
      <c r="BM1166">
        <f>IF(AND(BH1166=1,AZ1166&lt;&gt;"Cancelled",N(AW1166)&gt;=Dashboard!$AB$3,N(AW1166)&lt;=Dashboard!$AB$3+6),(AW1166-40000)*100000+BF1166*10000+1165,"")</f>
        <v/>
      </c>
      <c r="BN1166">
        <f>IF(AND(BH1166=1,AZ1166&lt;&gt;"Cancelled"),BF1166*10000+1165,"")</f>
        <v/>
      </c>
    </row>
    <row r="1167">
      <c r="AS1167" t="inlineStr">
        <is>
          <t>R</t>
        </is>
      </c>
      <c r="AT1167" t="n">
        <v>1171</v>
      </c>
      <c r="AU1167">
        <f>'Recurring Log'!C1171&amp;""</f>
        <v/>
      </c>
      <c r="AV1167">
        <f>'Recurring Log'!D1171&amp;""</f>
        <v/>
      </c>
      <c r="AW1167">
        <f>IF('Recurring Log'!E1171="","",'Recurring Log'!E1171)</f>
        <v/>
      </c>
      <c r="AX1167">
        <f>IF('Recurring Log'!G1171="","",'Recurring Log'!G1171)</f>
        <v/>
      </c>
      <c r="AY1167">
        <f>IF('Recurring Log'!H1171="","",'Recurring Log'!H1171)</f>
        <v/>
      </c>
      <c r="AZ1167">
        <f>IF(AU1167="","",IF('Recurring Log'!J1171="","Not Started",'Recurring Log'!J1171))</f>
        <v/>
      </c>
      <c r="BA1167">
        <f>'Recurring Log'!L1171&amp;""</f>
        <v/>
      </c>
      <c r="BB1167">
        <f>'Recurring Log'!M1171&amp;""</f>
        <v/>
      </c>
      <c r="BC1167">
        <f>'Recurring Log'!N1171&amp;""</f>
        <v/>
      </c>
      <c r="BD1167">
        <f>'Recurring Log'!O1171&amp;""</f>
        <v/>
      </c>
      <c r="BE1167">
        <f>IF('Recurring Log'!K1171="","",'Recurring Log'!K1171)</f>
        <v/>
      </c>
      <c r="BF1167">
        <f>IFERROR(MATCH(BA1167,Setup!$L$6:$L$9,0),5)</f>
        <v/>
      </c>
      <c r="BG1167">
        <f>IF(OR(AZ1167="Done",AZ1167="Cancelled"),1,0)</f>
        <v/>
      </c>
      <c r="BH1167">
        <f>IF(AND(AU1167&lt;&gt;"",ISNUMBER(AW1167)),1,0)</f>
        <v/>
      </c>
      <c r="BI1167">
        <f>IF(BH1167=0,0,IF(AND(AW1167&gt;='Tasks Filter'!$F$3,AW1167&lt;='Tasks Filter'!$F$4,OR('Tasks Filter'!$I$3="",ISNUMBER(SEARCH('Tasks Filter'!$I$3,AU1167))),OR('Tasks Filter'!$I$4="",BF1167=IFERROR(MATCH('Tasks Filter'!$I$4,Setup!$L$6:$L$9,0),0)),OR('Tasks Filter'!$I$5="Both",AND('Tasks Filter'!$I$5="Yes",BB1167="✓"),AND('Tasks Filter'!$I$5="No",BB1167&lt;&gt;"✓")),OR('Tasks Filter'!$L$3="",AV1167='Tasks Filter'!$L$3),OR('Tasks Filter'!$L$4="",AZ1167='Tasks Filter'!$L$4),OR('Tasks Filter'!$L$5="",BC1167='Tasks Filter'!$L$5),OR('Tasks Filter'!$O$3="",BD1167='Tasks Filter'!$O$3),OR('Tasks Filter'!$O$4="Yes",BG1167=0)),1,0))</f>
        <v/>
      </c>
      <c r="BJ1167">
        <f>IF(BH1167=0,"",IF('Tasks Filter'!$F$6="Descending",-1,1)*CHOOSE(MATCH('Tasks Filter'!$F$5,Lists!$G$2:$G$6,0),AW1167,BF1167,IFERROR(MATCH(AV1167,Setup!$F$6:$F$15,0),99),IFERROR(MATCH(BC1167,Setup!$H$6:$H$15,0),99),IFERROR(MATCH(AZ1167,Setup!$J$6:$J$11,0),99))*1E+9+(AW1167-40000)*10000+1166)</f>
        <v/>
      </c>
      <c r="BK1167">
        <f>IF(BI1167=1,BJ1167,"")</f>
        <v/>
      </c>
      <c r="BL1167">
        <f>IF(AND(BH1167=1,BG1167=0,N(AW1167)&lt;Setup!$D$7),(AW1167-40000)*10000+1166,"")</f>
        <v/>
      </c>
      <c r="BM1167">
        <f>IF(AND(BH1167=1,AZ1167&lt;&gt;"Cancelled",N(AW1167)&gt;=Dashboard!$AB$3,N(AW1167)&lt;=Dashboard!$AB$3+6),(AW1167-40000)*100000+BF1167*10000+1166,"")</f>
        <v/>
      </c>
      <c r="BN1167">
        <f>IF(AND(BH1167=1,AZ1167&lt;&gt;"Cancelled"),BF1167*10000+1166,"")</f>
        <v/>
      </c>
    </row>
    <row r="1168">
      <c r="AS1168" t="inlineStr">
        <is>
          <t>R</t>
        </is>
      </c>
      <c r="AT1168" t="n">
        <v>1172</v>
      </c>
      <c r="AU1168">
        <f>'Recurring Log'!C1172&amp;""</f>
        <v/>
      </c>
      <c r="AV1168">
        <f>'Recurring Log'!D1172&amp;""</f>
        <v/>
      </c>
      <c r="AW1168">
        <f>IF('Recurring Log'!E1172="","",'Recurring Log'!E1172)</f>
        <v/>
      </c>
      <c r="AX1168">
        <f>IF('Recurring Log'!G1172="","",'Recurring Log'!G1172)</f>
        <v/>
      </c>
      <c r="AY1168">
        <f>IF('Recurring Log'!H1172="","",'Recurring Log'!H1172)</f>
        <v/>
      </c>
      <c r="AZ1168">
        <f>IF(AU1168="","",IF('Recurring Log'!J1172="","Not Started",'Recurring Log'!J1172))</f>
        <v/>
      </c>
      <c r="BA1168">
        <f>'Recurring Log'!L1172&amp;""</f>
        <v/>
      </c>
      <c r="BB1168">
        <f>'Recurring Log'!M1172&amp;""</f>
        <v/>
      </c>
      <c r="BC1168">
        <f>'Recurring Log'!N1172&amp;""</f>
        <v/>
      </c>
      <c r="BD1168">
        <f>'Recurring Log'!O1172&amp;""</f>
        <v/>
      </c>
      <c r="BE1168">
        <f>IF('Recurring Log'!K1172="","",'Recurring Log'!K1172)</f>
        <v/>
      </c>
      <c r="BF1168">
        <f>IFERROR(MATCH(BA1168,Setup!$L$6:$L$9,0),5)</f>
        <v/>
      </c>
      <c r="BG1168">
        <f>IF(OR(AZ1168="Done",AZ1168="Cancelled"),1,0)</f>
        <v/>
      </c>
      <c r="BH1168">
        <f>IF(AND(AU1168&lt;&gt;"",ISNUMBER(AW1168)),1,0)</f>
        <v/>
      </c>
      <c r="BI1168">
        <f>IF(BH1168=0,0,IF(AND(AW1168&gt;='Tasks Filter'!$F$3,AW1168&lt;='Tasks Filter'!$F$4,OR('Tasks Filter'!$I$3="",ISNUMBER(SEARCH('Tasks Filter'!$I$3,AU1168))),OR('Tasks Filter'!$I$4="",BF1168=IFERROR(MATCH('Tasks Filter'!$I$4,Setup!$L$6:$L$9,0),0)),OR('Tasks Filter'!$I$5="Both",AND('Tasks Filter'!$I$5="Yes",BB1168="✓"),AND('Tasks Filter'!$I$5="No",BB1168&lt;&gt;"✓")),OR('Tasks Filter'!$L$3="",AV1168='Tasks Filter'!$L$3),OR('Tasks Filter'!$L$4="",AZ1168='Tasks Filter'!$L$4),OR('Tasks Filter'!$L$5="",BC1168='Tasks Filter'!$L$5),OR('Tasks Filter'!$O$3="",BD1168='Tasks Filter'!$O$3),OR('Tasks Filter'!$O$4="Yes",BG1168=0)),1,0))</f>
        <v/>
      </c>
      <c r="BJ1168">
        <f>IF(BH1168=0,"",IF('Tasks Filter'!$F$6="Descending",-1,1)*CHOOSE(MATCH('Tasks Filter'!$F$5,Lists!$G$2:$G$6,0),AW1168,BF1168,IFERROR(MATCH(AV1168,Setup!$F$6:$F$15,0),99),IFERROR(MATCH(BC1168,Setup!$H$6:$H$15,0),99),IFERROR(MATCH(AZ1168,Setup!$J$6:$J$11,0),99))*1E+9+(AW1168-40000)*10000+1167)</f>
        <v/>
      </c>
      <c r="BK1168">
        <f>IF(BI1168=1,BJ1168,"")</f>
        <v/>
      </c>
      <c r="BL1168">
        <f>IF(AND(BH1168=1,BG1168=0,N(AW1168)&lt;Setup!$D$7),(AW1168-40000)*10000+1167,"")</f>
        <v/>
      </c>
      <c r="BM1168">
        <f>IF(AND(BH1168=1,AZ1168&lt;&gt;"Cancelled",N(AW1168)&gt;=Dashboard!$AB$3,N(AW1168)&lt;=Dashboard!$AB$3+6),(AW1168-40000)*100000+BF1168*10000+1167,"")</f>
        <v/>
      </c>
      <c r="BN1168">
        <f>IF(AND(BH1168=1,AZ1168&lt;&gt;"Cancelled"),BF1168*10000+1167,"")</f>
        <v/>
      </c>
    </row>
    <row r="1169">
      <c r="AS1169" t="inlineStr">
        <is>
          <t>R</t>
        </is>
      </c>
      <c r="AT1169" t="n">
        <v>1173</v>
      </c>
      <c r="AU1169">
        <f>'Recurring Log'!C1173&amp;""</f>
        <v/>
      </c>
      <c r="AV1169">
        <f>'Recurring Log'!D1173&amp;""</f>
        <v/>
      </c>
      <c r="AW1169">
        <f>IF('Recurring Log'!E1173="","",'Recurring Log'!E1173)</f>
        <v/>
      </c>
      <c r="AX1169">
        <f>IF('Recurring Log'!G1173="","",'Recurring Log'!G1173)</f>
        <v/>
      </c>
      <c r="AY1169">
        <f>IF('Recurring Log'!H1173="","",'Recurring Log'!H1173)</f>
        <v/>
      </c>
      <c r="AZ1169">
        <f>IF(AU1169="","",IF('Recurring Log'!J1173="","Not Started",'Recurring Log'!J1173))</f>
        <v/>
      </c>
      <c r="BA1169">
        <f>'Recurring Log'!L1173&amp;""</f>
        <v/>
      </c>
      <c r="BB1169">
        <f>'Recurring Log'!M1173&amp;""</f>
        <v/>
      </c>
      <c r="BC1169">
        <f>'Recurring Log'!N1173&amp;""</f>
        <v/>
      </c>
      <c r="BD1169">
        <f>'Recurring Log'!O1173&amp;""</f>
        <v/>
      </c>
      <c r="BE1169">
        <f>IF('Recurring Log'!K1173="","",'Recurring Log'!K1173)</f>
        <v/>
      </c>
      <c r="BF1169">
        <f>IFERROR(MATCH(BA1169,Setup!$L$6:$L$9,0),5)</f>
        <v/>
      </c>
      <c r="BG1169">
        <f>IF(OR(AZ1169="Done",AZ1169="Cancelled"),1,0)</f>
        <v/>
      </c>
      <c r="BH1169">
        <f>IF(AND(AU1169&lt;&gt;"",ISNUMBER(AW1169)),1,0)</f>
        <v/>
      </c>
      <c r="BI1169">
        <f>IF(BH1169=0,0,IF(AND(AW1169&gt;='Tasks Filter'!$F$3,AW1169&lt;='Tasks Filter'!$F$4,OR('Tasks Filter'!$I$3="",ISNUMBER(SEARCH('Tasks Filter'!$I$3,AU1169))),OR('Tasks Filter'!$I$4="",BF1169=IFERROR(MATCH('Tasks Filter'!$I$4,Setup!$L$6:$L$9,0),0)),OR('Tasks Filter'!$I$5="Both",AND('Tasks Filter'!$I$5="Yes",BB1169="✓"),AND('Tasks Filter'!$I$5="No",BB1169&lt;&gt;"✓")),OR('Tasks Filter'!$L$3="",AV1169='Tasks Filter'!$L$3),OR('Tasks Filter'!$L$4="",AZ1169='Tasks Filter'!$L$4),OR('Tasks Filter'!$L$5="",BC1169='Tasks Filter'!$L$5),OR('Tasks Filter'!$O$3="",BD1169='Tasks Filter'!$O$3),OR('Tasks Filter'!$O$4="Yes",BG1169=0)),1,0))</f>
        <v/>
      </c>
      <c r="BJ1169">
        <f>IF(BH1169=0,"",IF('Tasks Filter'!$F$6="Descending",-1,1)*CHOOSE(MATCH('Tasks Filter'!$F$5,Lists!$G$2:$G$6,0),AW1169,BF1169,IFERROR(MATCH(AV1169,Setup!$F$6:$F$15,0),99),IFERROR(MATCH(BC1169,Setup!$H$6:$H$15,0),99),IFERROR(MATCH(AZ1169,Setup!$J$6:$J$11,0),99))*1E+9+(AW1169-40000)*10000+1168)</f>
        <v/>
      </c>
      <c r="BK1169">
        <f>IF(BI1169=1,BJ1169,"")</f>
        <v/>
      </c>
      <c r="BL1169">
        <f>IF(AND(BH1169=1,BG1169=0,N(AW1169)&lt;Setup!$D$7),(AW1169-40000)*10000+1168,"")</f>
        <v/>
      </c>
      <c r="BM1169">
        <f>IF(AND(BH1169=1,AZ1169&lt;&gt;"Cancelled",N(AW1169)&gt;=Dashboard!$AB$3,N(AW1169)&lt;=Dashboard!$AB$3+6),(AW1169-40000)*100000+BF1169*10000+1168,"")</f>
        <v/>
      </c>
      <c r="BN1169">
        <f>IF(AND(BH1169=1,AZ1169&lt;&gt;"Cancelled"),BF1169*10000+1168,"")</f>
        <v/>
      </c>
    </row>
    <row r="1170">
      <c r="AS1170" t="inlineStr">
        <is>
          <t>R</t>
        </is>
      </c>
      <c r="AT1170" t="n">
        <v>1174</v>
      </c>
      <c r="AU1170">
        <f>'Recurring Log'!C1174&amp;""</f>
        <v/>
      </c>
      <c r="AV1170">
        <f>'Recurring Log'!D1174&amp;""</f>
        <v/>
      </c>
      <c r="AW1170">
        <f>IF('Recurring Log'!E1174="","",'Recurring Log'!E1174)</f>
        <v/>
      </c>
      <c r="AX1170">
        <f>IF('Recurring Log'!G1174="","",'Recurring Log'!G1174)</f>
        <v/>
      </c>
      <c r="AY1170">
        <f>IF('Recurring Log'!H1174="","",'Recurring Log'!H1174)</f>
        <v/>
      </c>
      <c r="AZ1170">
        <f>IF(AU1170="","",IF('Recurring Log'!J1174="","Not Started",'Recurring Log'!J1174))</f>
        <v/>
      </c>
      <c r="BA1170">
        <f>'Recurring Log'!L1174&amp;""</f>
        <v/>
      </c>
      <c r="BB1170">
        <f>'Recurring Log'!M1174&amp;""</f>
        <v/>
      </c>
      <c r="BC1170">
        <f>'Recurring Log'!N1174&amp;""</f>
        <v/>
      </c>
      <c r="BD1170">
        <f>'Recurring Log'!O1174&amp;""</f>
        <v/>
      </c>
      <c r="BE1170">
        <f>IF('Recurring Log'!K1174="","",'Recurring Log'!K1174)</f>
        <v/>
      </c>
      <c r="BF1170">
        <f>IFERROR(MATCH(BA1170,Setup!$L$6:$L$9,0),5)</f>
        <v/>
      </c>
      <c r="BG1170">
        <f>IF(OR(AZ1170="Done",AZ1170="Cancelled"),1,0)</f>
        <v/>
      </c>
      <c r="BH1170">
        <f>IF(AND(AU1170&lt;&gt;"",ISNUMBER(AW1170)),1,0)</f>
        <v/>
      </c>
      <c r="BI1170">
        <f>IF(BH1170=0,0,IF(AND(AW1170&gt;='Tasks Filter'!$F$3,AW1170&lt;='Tasks Filter'!$F$4,OR('Tasks Filter'!$I$3="",ISNUMBER(SEARCH('Tasks Filter'!$I$3,AU1170))),OR('Tasks Filter'!$I$4="",BF1170=IFERROR(MATCH('Tasks Filter'!$I$4,Setup!$L$6:$L$9,0),0)),OR('Tasks Filter'!$I$5="Both",AND('Tasks Filter'!$I$5="Yes",BB1170="✓"),AND('Tasks Filter'!$I$5="No",BB1170&lt;&gt;"✓")),OR('Tasks Filter'!$L$3="",AV1170='Tasks Filter'!$L$3),OR('Tasks Filter'!$L$4="",AZ1170='Tasks Filter'!$L$4),OR('Tasks Filter'!$L$5="",BC1170='Tasks Filter'!$L$5),OR('Tasks Filter'!$O$3="",BD1170='Tasks Filter'!$O$3),OR('Tasks Filter'!$O$4="Yes",BG1170=0)),1,0))</f>
        <v/>
      </c>
      <c r="BJ1170">
        <f>IF(BH1170=0,"",IF('Tasks Filter'!$F$6="Descending",-1,1)*CHOOSE(MATCH('Tasks Filter'!$F$5,Lists!$G$2:$G$6,0),AW1170,BF1170,IFERROR(MATCH(AV1170,Setup!$F$6:$F$15,0),99),IFERROR(MATCH(BC1170,Setup!$H$6:$H$15,0),99),IFERROR(MATCH(AZ1170,Setup!$J$6:$J$11,0),99))*1E+9+(AW1170-40000)*10000+1169)</f>
        <v/>
      </c>
      <c r="BK1170">
        <f>IF(BI1170=1,BJ1170,"")</f>
        <v/>
      </c>
      <c r="BL1170">
        <f>IF(AND(BH1170=1,BG1170=0,N(AW1170)&lt;Setup!$D$7),(AW1170-40000)*10000+1169,"")</f>
        <v/>
      </c>
      <c r="BM1170">
        <f>IF(AND(BH1170=1,AZ1170&lt;&gt;"Cancelled",N(AW1170)&gt;=Dashboard!$AB$3,N(AW1170)&lt;=Dashboard!$AB$3+6),(AW1170-40000)*100000+BF1170*10000+1169,"")</f>
        <v/>
      </c>
      <c r="BN1170">
        <f>IF(AND(BH1170=1,AZ1170&lt;&gt;"Cancelled"),BF1170*10000+1169,"")</f>
        <v/>
      </c>
    </row>
    <row r="1171">
      <c r="AS1171" t="inlineStr">
        <is>
          <t>R</t>
        </is>
      </c>
      <c r="AT1171" t="n">
        <v>1175</v>
      </c>
      <c r="AU1171">
        <f>'Recurring Log'!C1175&amp;""</f>
        <v/>
      </c>
      <c r="AV1171">
        <f>'Recurring Log'!D1175&amp;""</f>
        <v/>
      </c>
      <c r="AW1171">
        <f>IF('Recurring Log'!E1175="","",'Recurring Log'!E1175)</f>
        <v/>
      </c>
      <c r="AX1171">
        <f>IF('Recurring Log'!G1175="","",'Recurring Log'!G1175)</f>
        <v/>
      </c>
      <c r="AY1171">
        <f>IF('Recurring Log'!H1175="","",'Recurring Log'!H1175)</f>
        <v/>
      </c>
      <c r="AZ1171">
        <f>IF(AU1171="","",IF('Recurring Log'!J1175="","Not Started",'Recurring Log'!J1175))</f>
        <v/>
      </c>
      <c r="BA1171">
        <f>'Recurring Log'!L1175&amp;""</f>
        <v/>
      </c>
      <c r="BB1171">
        <f>'Recurring Log'!M1175&amp;""</f>
        <v/>
      </c>
      <c r="BC1171">
        <f>'Recurring Log'!N1175&amp;""</f>
        <v/>
      </c>
      <c r="BD1171">
        <f>'Recurring Log'!O1175&amp;""</f>
        <v/>
      </c>
      <c r="BE1171">
        <f>IF('Recurring Log'!K1175="","",'Recurring Log'!K1175)</f>
        <v/>
      </c>
      <c r="BF1171">
        <f>IFERROR(MATCH(BA1171,Setup!$L$6:$L$9,0),5)</f>
        <v/>
      </c>
      <c r="BG1171">
        <f>IF(OR(AZ1171="Done",AZ1171="Cancelled"),1,0)</f>
        <v/>
      </c>
      <c r="BH1171">
        <f>IF(AND(AU1171&lt;&gt;"",ISNUMBER(AW1171)),1,0)</f>
        <v/>
      </c>
      <c r="BI1171">
        <f>IF(BH1171=0,0,IF(AND(AW1171&gt;='Tasks Filter'!$F$3,AW1171&lt;='Tasks Filter'!$F$4,OR('Tasks Filter'!$I$3="",ISNUMBER(SEARCH('Tasks Filter'!$I$3,AU1171))),OR('Tasks Filter'!$I$4="",BF1171=IFERROR(MATCH('Tasks Filter'!$I$4,Setup!$L$6:$L$9,0),0)),OR('Tasks Filter'!$I$5="Both",AND('Tasks Filter'!$I$5="Yes",BB1171="✓"),AND('Tasks Filter'!$I$5="No",BB1171&lt;&gt;"✓")),OR('Tasks Filter'!$L$3="",AV1171='Tasks Filter'!$L$3),OR('Tasks Filter'!$L$4="",AZ1171='Tasks Filter'!$L$4),OR('Tasks Filter'!$L$5="",BC1171='Tasks Filter'!$L$5),OR('Tasks Filter'!$O$3="",BD1171='Tasks Filter'!$O$3),OR('Tasks Filter'!$O$4="Yes",BG1171=0)),1,0))</f>
        <v/>
      </c>
      <c r="BJ1171">
        <f>IF(BH1171=0,"",IF('Tasks Filter'!$F$6="Descending",-1,1)*CHOOSE(MATCH('Tasks Filter'!$F$5,Lists!$G$2:$G$6,0),AW1171,BF1171,IFERROR(MATCH(AV1171,Setup!$F$6:$F$15,0),99),IFERROR(MATCH(BC1171,Setup!$H$6:$H$15,0),99),IFERROR(MATCH(AZ1171,Setup!$J$6:$J$11,0),99))*1E+9+(AW1171-40000)*10000+1170)</f>
        <v/>
      </c>
      <c r="BK1171">
        <f>IF(BI1171=1,BJ1171,"")</f>
        <v/>
      </c>
      <c r="BL1171">
        <f>IF(AND(BH1171=1,BG1171=0,N(AW1171)&lt;Setup!$D$7),(AW1171-40000)*10000+1170,"")</f>
        <v/>
      </c>
      <c r="BM1171">
        <f>IF(AND(BH1171=1,AZ1171&lt;&gt;"Cancelled",N(AW1171)&gt;=Dashboard!$AB$3,N(AW1171)&lt;=Dashboard!$AB$3+6),(AW1171-40000)*100000+BF1171*10000+1170,"")</f>
        <v/>
      </c>
      <c r="BN1171">
        <f>IF(AND(BH1171=1,AZ1171&lt;&gt;"Cancelled"),BF1171*10000+1170,"")</f>
        <v/>
      </c>
    </row>
    <row r="1172">
      <c r="AS1172" t="inlineStr">
        <is>
          <t>R</t>
        </is>
      </c>
      <c r="AT1172" t="n">
        <v>1176</v>
      </c>
      <c r="AU1172">
        <f>'Recurring Log'!C1176&amp;""</f>
        <v/>
      </c>
      <c r="AV1172">
        <f>'Recurring Log'!D1176&amp;""</f>
        <v/>
      </c>
      <c r="AW1172">
        <f>IF('Recurring Log'!E1176="","",'Recurring Log'!E1176)</f>
        <v/>
      </c>
      <c r="AX1172">
        <f>IF('Recurring Log'!G1176="","",'Recurring Log'!G1176)</f>
        <v/>
      </c>
      <c r="AY1172">
        <f>IF('Recurring Log'!H1176="","",'Recurring Log'!H1176)</f>
        <v/>
      </c>
      <c r="AZ1172">
        <f>IF(AU1172="","",IF('Recurring Log'!J1176="","Not Started",'Recurring Log'!J1176))</f>
        <v/>
      </c>
      <c r="BA1172">
        <f>'Recurring Log'!L1176&amp;""</f>
        <v/>
      </c>
      <c r="BB1172">
        <f>'Recurring Log'!M1176&amp;""</f>
        <v/>
      </c>
      <c r="BC1172">
        <f>'Recurring Log'!N1176&amp;""</f>
        <v/>
      </c>
      <c r="BD1172">
        <f>'Recurring Log'!O1176&amp;""</f>
        <v/>
      </c>
      <c r="BE1172">
        <f>IF('Recurring Log'!K1176="","",'Recurring Log'!K1176)</f>
        <v/>
      </c>
      <c r="BF1172">
        <f>IFERROR(MATCH(BA1172,Setup!$L$6:$L$9,0),5)</f>
        <v/>
      </c>
      <c r="BG1172">
        <f>IF(OR(AZ1172="Done",AZ1172="Cancelled"),1,0)</f>
        <v/>
      </c>
      <c r="BH1172">
        <f>IF(AND(AU1172&lt;&gt;"",ISNUMBER(AW1172)),1,0)</f>
        <v/>
      </c>
      <c r="BI1172">
        <f>IF(BH1172=0,0,IF(AND(AW1172&gt;='Tasks Filter'!$F$3,AW1172&lt;='Tasks Filter'!$F$4,OR('Tasks Filter'!$I$3="",ISNUMBER(SEARCH('Tasks Filter'!$I$3,AU1172))),OR('Tasks Filter'!$I$4="",BF1172=IFERROR(MATCH('Tasks Filter'!$I$4,Setup!$L$6:$L$9,0),0)),OR('Tasks Filter'!$I$5="Both",AND('Tasks Filter'!$I$5="Yes",BB1172="✓"),AND('Tasks Filter'!$I$5="No",BB1172&lt;&gt;"✓")),OR('Tasks Filter'!$L$3="",AV1172='Tasks Filter'!$L$3),OR('Tasks Filter'!$L$4="",AZ1172='Tasks Filter'!$L$4),OR('Tasks Filter'!$L$5="",BC1172='Tasks Filter'!$L$5),OR('Tasks Filter'!$O$3="",BD1172='Tasks Filter'!$O$3),OR('Tasks Filter'!$O$4="Yes",BG1172=0)),1,0))</f>
        <v/>
      </c>
      <c r="BJ1172">
        <f>IF(BH1172=0,"",IF('Tasks Filter'!$F$6="Descending",-1,1)*CHOOSE(MATCH('Tasks Filter'!$F$5,Lists!$G$2:$G$6,0),AW1172,BF1172,IFERROR(MATCH(AV1172,Setup!$F$6:$F$15,0),99),IFERROR(MATCH(BC1172,Setup!$H$6:$H$15,0),99),IFERROR(MATCH(AZ1172,Setup!$J$6:$J$11,0),99))*1E+9+(AW1172-40000)*10000+1171)</f>
        <v/>
      </c>
      <c r="BK1172">
        <f>IF(BI1172=1,BJ1172,"")</f>
        <v/>
      </c>
      <c r="BL1172">
        <f>IF(AND(BH1172=1,BG1172=0,N(AW1172)&lt;Setup!$D$7),(AW1172-40000)*10000+1171,"")</f>
        <v/>
      </c>
      <c r="BM1172">
        <f>IF(AND(BH1172=1,AZ1172&lt;&gt;"Cancelled",N(AW1172)&gt;=Dashboard!$AB$3,N(AW1172)&lt;=Dashboard!$AB$3+6),(AW1172-40000)*100000+BF1172*10000+1171,"")</f>
        <v/>
      </c>
      <c r="BN1172">
        <f>IF(AND(BH1172=1,AZ1172&lt;&gt;"Cancelled"),BF1172*10000+1171,"")</f>
        <v/>
      </c>
    </row>
    <row r="1173">
      <c r="AS1173" t="inlineStr">
        <is>
          <t>R</t>
        </is>
      </c>
      <c r="AT1173" t="n">
        <v>1177</v>
      </c>
      <c r="AU1173">
        <f>'Recurring Log'!C1177&amp;""</f>
        <v/>
      </c>
      <c r="AV1173">
        <f>'Recurring Log'!D1177&amp;""</f>
        <v/>
      </c>
      <c r="AW1173">
        <f>IF('Recurring Log'!E1177="","",'Recurring Log'!E1177)</f>
        <v/>
      </c>
      <c r="AX1173">
        <f>IF('Recurring Log'!G1177="","",'Recurring Log'!G1177)</f>
        <v/>
      </c>
      <c r="AY1173">
        <f>IF('Recurring Log'!H1177="","",'Recurring Log'!H1177)</f>
        <v/>
      </c>
      <c r="AZ1173">
        <f>IF(AU1173="","",IF('Recurring Log'!J1177="","Not Started",'Recurring Log'!J1177))</f>
        <v/>
      </c>
      <c r="BA1173">
        <f>'Recurring Log'!L1177&amp;""</f>
        <v/>
      </c>
      <c r="BB1173">
        <f>'Recurring Log'!M1177&amp;""</f>
        <v/>
      </c>
      <c r="BC1173">
        <f>'Recurring Log'!N1177&amp;""</f>
        <v/>
      </c>
      <c r="BD1173">
        <f>'Recurring Log'!O1177&amp;""</f>
        <v/>
      </c>
      <c r="BE1173">
        <f>IF('Recurring Log'!K1177="","",'Recurring Log'!K1177)</f>
        <v/>
      </c>
      <c r="BF1173">
        <f>IFERROR(MATCH(BA1173,Setup!$L$6:$L$9,0),5)</f>
        <v/>
      </c>
      <c r="BG1173">
        <f>IF(OR(AZ1173="Done",AZ1173="Cancelled"),1,0)</f>
        <v/>
      </c>
      <c r="BH1173">
        <f>IF(AND(AU1173&lt;&gt;"",ISNUMBER(AW1173)),1,0)</f>
        <v/>
      </c>
      <c r="BI1173">
        <f>IF(BH1173=0,0,IF(AND(AW1173&gt;='Tasks Filter'!$F$3,AW1173&lt;='Tasks Filter'!$F$4,OR('Tasks Filter'!$I$3="",ISNUMBER(SEARCH('Tasks Filter'!$I$3,AU1173))),OR('Tasks Filter'!$I$4="",BF1173=IFERROR(MATCH('Tasks Filter'!$I$4,Setup!$L$6:$L$9,0),0)),OR('Tasks Filter'!$I$5="Both",AND('Tasks Filter'!$I$5="Yes",BB1173="✓"),AND('Tasks Filter'!$I$5="No",BB1173&lt;&gt;"✓")),OR('Tasks Filter'!$L$3="",AV1173='Tasks Filter'!$L$3),OR('Tasks Filter'!$L$4="",AZ1173='Tasks Filter'!$L$4),OR('Tasks Filter'!$L$5="",BC1173='Tasks Filter'!$L$5),OR('Tasks Filter'!$O$3="",BD1173='Tasks Filter'!$O$3),OR('Tasks Filter'!$O$4="Yes",BG1173=0)),1,0))</f>
        <v/>
      </c>
      <c r="BJ1173">
        <f>IF(BH1173=0,"",IF('Tasks Filter'!$F$6="Descending",-1,1)*CHOOSE(MATCH('Tasks Filter'!$F$5,Lists!$G$2:$G$6,0),AW1173,BF1173,IFERROR(MATCH(AV1173,Setup!$F$6:$F$15,0),99),IFERROR(MATCH(BC1173,Setup!$H$6:$H$15,0),99),IFERROR(MATCH(AZ1173,Setup!$J$6:$J$11,0),99))*1E+9+(AW1173-40000)*10000+1172)</f>
        <v/>
      </c>
      <c r="BK1173">
        <f>IF(BI1173=1,BJ1173,"")</f>
        <v/>
      </c>
      <c r="BL1173">
        <f>IF(AND(BH1173=1,BG1173=0,N(AW1173)&lt;Setup!$D$7),(AW1173-40000)*10000+1172,"")</f>
        <v/>
      </c>
      <c r="BM1173">
        <f>IF(AND(BH1173=1,AZ1173&lt;&gt;"Cancelled",N(AW1173)&gt;=Dashboard!$AB$3,N(AW1173)&lt;=Dashboard!$AB$3+6),(AW1173-40000)*100000+BF1173*10000+1172,"")</f>
        <v/>
      </c>
      <c r="BN1173">
        <f>IF(AND(BH1173=1,AZ1173&lt;&gt;"Cancelled"),BF1173*10000+1172,"")</f>
        <v/>
      </c>
    </row>
    <row r="1174">
      <c r="AS1174" t="inlineStr">
        <is>
          <t>R</t>
        </is>
      </c>
      <c r="AT1174" t="n">
        <v>1178</v>
      </c>
      <c r="AU1174">
        <f>'Recurring Log'!C1178&amp;""</f>
        <v/>
      </c>
      <c r="AV1174">
        <f>'Recurring Log'!D1178&amp;""</f>
        <v/>
      </c>
      <c r="AW1174">
        <f>IF('Recurring Log'!E1178="","",'Recurring Log'!E1178)</f>
        <v/>
      </c>
      <c r="AX1174">
        <f>IF('Recurring Log'!G1178="","",'Recurring Log'!G1178)</f>
        <v/>
      </c>
      <c r="AY1174">
        <f>IF('Recurring Log'!H1178="","",'Recurring Log'!H1178)</f>
        <v/>
      </c>
      <c r="AZ1174">
        <f>IF(AU1174="","",IF('Recurring Log'!J1178="","Not Started",'Recurring Log'!J1178))</f>
        <v/>
      </c>
      <c r="BA1174">
        <f>'Recurring Log'!L1178&amp;""</f>
        <v/>
      </c>
      <c r="BB1174">
        <f>'Recurring Log'!M1178&amp;""</f>
        <v/>
      </c>
      <c r="BC1174">
        <f>'Recurring Log'!N1178&amp;""</f>
        <v/>
      </c>
      <c r="BD1174">
        <f>'Recurring Log'!O1178&amp;""</f>
        <v/>
      </c>
      <c r="BE1174">
        <f>IF('Recurring Log'!K1178="","",'Recurring Log'!K1178)</f>
        <v/>
      </c>
      <c r="BF1174">
        <f>IFERROR(MATCH(BA1174,Setup!$L$6:$L$9,0),5)</f>
        <v/>
      </c>
      <c r="BG1174">
        <f>IF(OR(AZ1174="Done",AZ1174="Cancelled"),1,0)</f>
        <v/>
      </c>
      <c r="BH1174">
        <f>IF(AND(AU1174&lt;&gt;"",ISNUMBER(AW1174)),1,0)</f>
        <v/>
      </c>
      <c r="BI1174">
        <f>IF(BH1174=0,0,IF(AND(AW1174&gt;='Tasks Filter'!$F$3,AW1174&lt;='Tasks Filter'!$F$4,OR('Tasks Filter'!$I$3="",ISNUMBER(SEARCH('Tasks Filter'!$I$3,AU1174))),OR('Tasks Filter'!$I$4="",BF1174=IFERROR(MATCH('Tasks Filter'!$I$4,Setup!$L$6:$L$9,0),0)),OR('Tasks Filter'!$I$5="Both",AND('Tasks Filter'!$I$5="Yes",BB1174="✓"),AND('Tasks Filter'!$I$5="No",BB1174&lt;&gt;"✓")),OR('Tasks Filter'!$L$3="",AV1174='Tasks Filter'!$L$3),OR('Tasks Filter'!$L$4="",AZ1174='Tasks Filter'!$L$4),OR('Tasks Filter'!$L$5="",BC1174='Tasks Filter'!$L$5),OR('Tasks Filter'!$O$3="",BD1174='Tasks Filter'!$O$3),OR('Tasks Filter'!$O$4="Yes",BG1174=0)),1,0))</f>
        <v/>
      </c>
      <c r="BJ1174">
        <f>IF(BH1174=0,"",IF('Tasks Filter'!$F$6="Descending",-1,1)*CHOOSE(MATCH('Tasks Filter'!$F$5,Lists!$G$2:$G$6,0),AW1174,BF1174,IFERROR(MATCH(AV1174,Setup!$F$6:$F$15,0),99),IFERROR(MATCH(BC1174,Setup!$H$6:$H$15,0),99),IFERROR(MATCH(AZ1174,Setup!$J$6:$J$11,0),99))*1E+9+(AW1174-40000)*10000+1173)</f>
        <v/>
      </c>
      <c r="BK1174">
        <f>IF(BI1174=1,BJ1174,"")</f>
        <v/>
      </c>
      <c r="BL1174">
        <f>IF(AND(BH1174=1,BG1174=0,N(AW1174)&lt;Setup!$D$7),(AW1174-40000)*10000+1173,"")</f>
        <v/>
      </c>
      <c r="BM1174">
        <f>IF(AND(BH1174=1,AZ1174&lt;&gt;"Cancelled",N(AW1174)&gt;=Dashboard!$AB$3,N(AW1174)&lt;=Dashboard!$AB$3+6),(AW1174-40000)*100000+BF1174*10000+1173,"")</f>
        <v/>
      </c>
      <c r="BN1174">
        <f>IF(AND(BH1174=1,AZ1174&lt;&gt;"Cancelled"),BF1174*10000+1173,"")</f>
        <v/>
      </c>
    </row>
    <row r="1175">
      <c r="AS1175" t="inlineStr">
        <is>
          <t>R</t>
        </is>
      </c>
      <c r="AT1175" t="n">
        <v>1179</v>
      </c>
      <c r="AU1175">
        <f>'Recurring Log'!C1179&amp;""</f>
        <v/>
      </c>
      <c r="AV1175">
        <f>'Recurring Log'!D1179&amp;""</f>
        <v/>
      </c>
      <c r="AW1175">
        <f>IF('Recurring Log'!E1179="","",'Recurring Log'!E1179)</f>
        <v/>
      </c>
      <c r="AX1175">
        <f>IF('Recurring Log'!G1179="","",'Recurring Log'!G1179)</f>
        <v/>
      </c>
      <c r="AY1175">
        <f>IF('Recurring Log'!H1179="","",'Recurring Log'!H1179)</f>
        <v/>
      </c>
      <c r="AZ1175">
        <f>IF(AU1175="","",IF('Recurring Log'!J1179="","Not Started",'Recurring Log'!J1179))</f>
        <v/>
      </c>
      <c r="BA1175">
        <f>'Recurring Log'!L1179&amp;""</f>
        <v/>
      </c>
      <c r="BB1175">
        <f>'Recurring Log'!M1179&amp;""</f>
        <v/>
      </c>
      <c r="BC1175">
        <f>'Recurring Log'!N1179&amp;""</f>
        <v/>
      </c>
      <c r="BD1175">
        <f>'Recurring Log'!O1179&amp;""</f>
        <v/>
      </c>
      <c r="BE1175">
        <f>IF('Recurring Log'!K1179="","",'Recurring Log'!K1179)</f>
        <v/>
      </c>
      <c r="BF1175">
        <f>IFERROR(MATCH(BA1175,Setup!$L$6:$L$9,0),5)</f>
        <v/>
      </c>
      <c r="BG1175">
        <f>IF(OR(AZ1175="Done",AZ1175="Cancelled"),1,0)</f>
        <v/>
      </c>
      <c r="BH1175">
        <f>IF(AND(AU1175&lt;&gt;"",ISNUMBER(AW1175)),1,0)</f>
        <v/>
      </c>
      <c r="BI1175">
        <f>IF(BH1175=0,0,IF(AND(AW1175&gt;='Tasks Filter'!$F$3,AW1175&lt;='Tasks Filter'!$F$4,OR('Tasks Filter'!$I$3="",ISNUMBER(SEARCH('Tasks Filter'!$I$3,AU1175))),OR('Tasks Filter'!$I$4="",BF1175=IFERROR(MATCH('Tasks Filter'!$I$4,Setup!$L$6:$L$9,0),0)),OR('Tasks Filter'!$I$5="Both",AND('Tasks Filter'!$I$5="Yes",BB1175="✓"),AND('Tasks Filter'!$I$5="No",BB1175&lt;&gt;"✓")),OR('Tasks Filter'!$L$3="",AV1175='Tasks Filter'!$L$3),OR('Tasks Filter'!$L$4="",AZ1175='Tasks Filter'!$L$4),OR('Tasks Filter'!$L$5="",BC1175='Tasks Filter'!$L$5),OR('Tasks Filter'!$O$3="",BD1175='Tasks Filter'!$O$3),OR('Tasks Filter'!$O$4="Yes",BG1175=0)),1,0))</f>
        <v/>
      </c>
      <c r="BJ1175">
        <f>IF(BH1175=0,"",IF('Tasks Filter'!$F$6="Descending",-1,1)*CHOOSE(MATCH('Tasks Filter'!$F$5,Lists!$G$2:$G$6,0),AW1175,BF1175,IFERROR(MATCH(AV1175,Setup!$F$6:$F$15,0),99),IFERROR(MATCH(BC1175,Setup!$H$6:$H$15,0),99),IFERROR(MATCH(AZ1175,Setup!$J$6:$J$11,0),99))*1E+9+(AW1175-40000)*10000+1174)</f>
        <v/>
      </c>
      <c r="BK1175">
        <f>IF(BI1175=1,BJ1175,"")</f>
        <v/>
      </c>
      <c r="BL1175">
        <f>IF(AND(BH1175=1,BG1175=0,N(AW1175)&lt;Setup!$D$7),(AW1175-40000)*10000+1174,"")</f>
        <v/>
      </c>
      <c r="BM1175">
        <f>IF(AND(BH1175=1,AZ1175&lt;&gt;"Cancelled",N(AW1175)&gt;=Dashboard!$AB$3,N(AW1175)&lt;=Dashboard!$AB$3+6),(AW1175-40000)*100000+BF1175*10000+1174,"")</f>
        <v/>
      </c>
      <c r="BN1175">
        <f>IF(AND(BH1175=1,AZ1175&lt;&gt;"Cancelled"),BF1175*10000+1174,"")</f>
        <v/>
      </c>
    </row>
    <row r="1176">
      <c r="AS1176" t="inlineStr">
        <is>
          <t>R</t>
        </is>
      </c>
      <c r="AT1176" t="n">
        <v>1180</v>
      </c>
      <c r="AU1176">
        <f>'Recurring Log'!C1180&amp;""</f>
        <v/>
      </c>
      <c r="AV1176">
        <f>'Recurring Log'!D1180&amp;""</f>
        <v/>
      </c>
      <c r="AW1176">
        <f>IF('Recurring Log'!E1180="","",'Recurring Log'!E1180)</f>
        <v/>
      </c>
      <c r="AX1176">
        <f>IF('Recurring Log'!G1180="","",'Recurring Log'!G1180)</f>
        <v/>
      </c>
      <c r="AY1176">
        <f>IF('Recurring Log'!H1180="","",'Recurring Log'!H1180)</f>
        <v/>
      </c>
      <c r="AZ1176">
        <f>IF(AU1176="","",IF('Recurring Log'!J1180="","Not Started",'Recurring Log'!J1180))</f>
        <v/>
      </c>
      <c r="BA1176">
        <f>'Recurring Log'!L1180&amp;""</f>
        <v/>
      </c>
      <c r="BB1176">
        <f>'Recurring Log'!M1180&amp;""</f>
        <v/>
      </c>
      <c r="BC1176">
        <f>'Recurring Log'!N1180&amp;""</f>
        <v/>
      </c>
      <c r="BD1176">
        <f>'Recurring Log'!O1180&amp;""</f>
        <v/>
      </c>
      <c r="BE1176">
        <f>IF('Recurring Log'!K1180="","",'Recurring Log'!K1180)</f>
        <v/>
      </c>
      <c r="BF1176">
        <f>IFERROR(MATCH(BA1176,Setup!$L$6:$L$9,0),5)</f>
        <v/>
      </c>
      <c r="BG1176">
        <f>IF(OR(AZ1176="Done",AZ1176="Cancelled"),1,0)</f>
        <v/>
      </c>
      <c r="BH1176">
        <f>IF(AND(AU1176&lt;&gt;"",ISNUMBER(AW1176)),1,0)</f>
        <v/>
      </c>
      <c r="BI1176">
        <f>IF(BH1176=0,0,IF(AND(AW1176&gt;='Tasks Filter'!$F$3,AW1176&lt;='Tasks Filter'!$F$4,OR('Tasks Filter'!$I$3="",ISNUMBER(SEARCH('Tasks Filter'!$I$3,AU1176))),OR('Tasks Filter'!$I$4="",BF1176=IFERROR(MATCH('Tasks Filter'!$I$4,Setup!$L$6:$L$9,0),0)),OR('Tasks Filter'!$I$5="Both",AND('Tasks Filter'!$I$5="Yes",BB1176="✓"),AND('Tasks Filter'!$I$5="No",BB1176&lt;&gt;"✓")),OR('Tasks Filter'!$L$3="",AV1176='Tasks Filter'!$L$3),OR('Tasks Filter'!$L$4="",AZ1176='Tasks Filter'!$L$4),OR('Tasks Filter'!$L$5="",BC1176='Tasks Filter'!$L$5),OR('Tasks Filter'!$O$3="",BD1176='Tasks Filter'!$O$3),OR('Tasks Filter'!$O$4="Yes",BG1176=0)),1,0))</f>
        <v/>
      </c>
      <c r="BJ1176">
        <f>IF(BH1176=0,"",IF('Tasks Filter'!$F$6="Descending",-1,1)*CHOOSE(MATCH('Tasks Filter'!$F$5,Lists!$G$2:$G$6,0),AW1176,BF1176,IFERROR(MATCH(AV1176,Setup!$F$6:$F$15,0),99),IFERROR(MATCH(BC1176,Setup!$H$6:$H$15,0),99),IFERROR(MATCH(AZ1176,Setup!$J$6:$J$11,0),99))*1E+9+(AW1176-40000)*10000+1175)</f>
        <v/>
      </c>
      <c r="BK1176">
        <f>IF(BI1176=1,BJ1176,"")</f>
        <v/>
      </c>
      <c r="BL1176">
        <f>IF(AND(BH1176=1,BG1176=0,N(AW1176)&lt;Setup!$D$7),(AW1176-40000)*10000+1175,"")</f>
        <v/>
      </c>
      <c r="BM1176">
        <f>IF(AND(BH1176=1,AZ1176&lt;&gt;"Cancelled",N(AW1176)&gt;=Dashboard!$AB$3,N(AW1176)&lt;=Dashboard!$AB$3+6),(AW1176-40000)*100000+BF1176*10000+1175,"")</f>
        <v/>
      </c>
      <c r="BN1176">
        <f>IF(AND(BH1176=1,AZ1176&lt;&gt;"Cancelled"),BF1176*10000+1175,"")</f>
        <v/>
      </c>
    </row>
    <row r="1177">
      <c r="AS1177" t="inlineStr">
        <is>
          <t>R</t>
        </is>
      </c>
      <c r="AT1177" t="n">
        <v>1181</v>
      </c>
      <c r="AU1177">
        <f>'Recurring Log'!C1181&amp;""</f>
        <v/>
      </c>
      <c r="AV1177">
        <f>'Recurring Log'!D1181&amp;""</f>
        <v/>
      </c>
      <c r="AW1177">
        <f>IF('Recurring Log'!E1181="","",'Recurring Log'!E1181)</f>
        <v/>
      </c>
      <c r="AX1177">
        <f>IF('Recurring Log'!G1181="","",'Recurring Log'!G1181)</f>
        <v/>
      </c>
      <c r="AY1177">
        <f>IF('Recurring Log'!H1181="","",'Recurring Log'!H1181)</f>
        <v/>
      </c>
      <c r="AZ1177">
        <f>IF(AU1177="","",IF('Recurring Log'!J1181="","Not Started",'Recurring Log'!J1181))</f>
        <v/>
      </c>
      <c r="BA1177">
        <f>'Recurring Log'!L1181&amp;""</f>
        <v/>
      </c>
      <c r="BB1177">
        <f>'Recurring Log'!M1181&amp;""</f>
        <v/>
      </c>
      <c r="BC1177">
        <f>'Recurring Log'!N1181&amp;""</f>
        <v/>
      </c>
      <c r="BD1177">
        <f>'Recurring Log'!O1181&amp;""</f>
        <v/>
      </c>
      <c r="BE1177">
        <f>IF('Recurring Log'!K1181="","",'Recurring Log'!K1181)</f>
        <v/>
      </c>
      <c r="BF1177">
        <f>IFERROR(MATCH(BA1177,Setup!$L$6:$L$9,0),5)</f>
        <v/>
      </c>
      <c r="BG1177">
        <f>IF(OR(AZ1177="Done",AZ1177="Cancelled"),1,0)</f>
        <v/>
      </c>
      <c r="BH1177">
        <f>IF(AND(AU1177&lt;&gt;"",ISNUMBER(AW1177)),1,0)</f>
        <v/>
      </c>
      <c r="BI1177">
        <f>IF(BH1177=0,0,IF(AND(AW1177&gt;='Tasks Filter'!$F$3,AW1177&lt;='Tasks Filter'!$F$4,OR('Tasks Filter'!$I$3="",ISNUMBER(SEARCH('Tasks Filter'!$I$3,AU1177))),OR('Tasks Filter'!$I$4="",BF1177=IFERROR(MATCH('Tasks Filter'!$I$4,Setup!$L$6:$L$9,0),0)),OR('Tasks Filter'!$I$5="Both",AND('Tasks Filter'!$I$5="Yes",BB1177="✓"),AND('Tasks Filter'!$I$5="No",BB1177&lt;&gt;"✓")),OR('Tasks Filter'!$L$3="",AV1177='Tasks Filter'!$L$3),OR('Tasks Filter'!$L$4="",AZ1177='Tasks Filter'!$L$4),OR('Tasks Filter'!$L$5="",BC1177='Tasks Filter'!$L$5),OR('Tasks Filter'!$O$3="",BD1177='Tasks Filter'!$O$3),OR('Tasks Filter'!$O$4="Yes",BG1177=0)),1,0))</f>
        <v/>
      </c>
      <c r="BJ1177">
        <f>IF(BH1177=0,"",IF('Tasks Filter'!$F$6="Descending",-1,1)*CHOOSE(MATCH('Tasks Filter'!$F$5,Lists!$G$2:$G$6,0),AW1177,BF1177,IFERROR(MATCH(AV1177,Setup!$F$6:$F$15,0),99),IFERROR(MATCH(BC1177,Setup!$H$6:$H$15,0),99),IFERROR(MATCH(AZ1177,Setup!$J$6:$J$11,0),99))*1E+9+(AW1177-40000)*10000+1176)</f>
        <v/>
      </c>
      <c r="BK1177">
        <f>IF(BI1177=1,BJ1177,"")</f>
        <v/>
      </c>
      <c r="BL1177">
        <f>IF(AND(BH1177=1,BG1177=0,N(AW1177)&lt;Setup!$D$7),(AW1177-40000)*10000+1176,"")</f>
        <v/>
      </c>
      <c r="BM1177">
        <f>IF(AND(BH1177=1,AZ1177&lt;&gt;"Cancelled",N(AW1177)&gt;=Dashboard!$AB$3,N(AW1177)&lt;=Dashboard!$AB$3+6),(AW1177-40000)*100000+BF1177*10000+1176,"")</f>
        <v/>
      </c>
      <c r="BN1177">
        <f>IF(AND(BH1177=1,AZ1177&lt;&gt;"Cancelled"),BF1177*10000+1176,"")</f>
        <v/>
      </c>
    </row>
    <row r="1178">
      <c r="AS1178" t="inlineStr">
        <is>
          <t>R</t>
        </is>
      </c>
      <c r="AT1178" t="n">
        <v>1182</v>
      </c>
      <c r="AU1178">
        <f>'Recurring Log'!C1182&amp;""</f>
        <v/>
      </c>
      <c r="AV1178">
        <f>'Recurring Log'!D1182&amp;""</f>
        <v/>
      </c>
      <c r="AW1178">
        <f>IF('Recurring Log'!E1182="","",'Recurring Log'!E1182)</f>
        <v/>
      </c>
      <c r="AX1178">
        <f>IF('Recurring Log'!G1182="","",'Recurring Log'!G1182)</f>
        <v/>
      </c>
      <c r="AY1178">
        <f>IF('Recurring Log'!H1182="","",'Recurring Log'!H1182)</f>
        <v/>
      </c>
      <c r="AZ1178">
        <f>IF(AU1178="","",IF('Recurring Log'!J1182="","Not Started",'Recurring Log'!J1182))</f>
        <v/>
      </c>
      <c r="BA1178">
        <f>'Recurring Log'!L1182&amp;""</f>
        <v/>
      </c>
      <c r="BB1178">
        <f>'Recurring Log'!M1182&amp;""</f>
        <v/>
      </c>
      <c r="BC1178">
        <f>'Recurring Log'!N1182&amp;""</f>
        <v/>
      </c>
      <c r="BD1178">
        <f>'Recurring Log'!O1182&amp;""</f>
        <v/>
      </c>
      <c r="BE1178">
        <f>IF('Recurring Log'!K1182="","",'Recurring Log'!K1182)</f>
        <v/>
      </c>
      <c r="BF1178">
        <f>IFERROR(MATCH(BA1178,Setup!$L$6:$L$9,0),5)</f>
        <v/>
      </c>
      <c r="BG1178">
        <f>IF(OR(AZ1178="Done",AZ1178="Cancelled"),1,0)</f>
        <v/>
      </c>
      <c r="BH1178">
        <f>IF(AND(AU1178&lt;&gt;"",ISNUMBER(AW1178)),1,0)</f>
        <v/>
      </c>
      <c r="BI1178">
        <f>IF(BH1178=0,0,IF(AND(AW1178&gt;='Tasks Filter'!$F$3,AW1178&lt;='Tasks Filter'!$F$4,OR('Tasks Filter'!$I$3="",ISNUMBER(SEARCH('Tasks Filter'!$I$3,AU1178))),OR('Tasks Filter'!$I$4="",BF1178=IFERROR(MATCH('Tasks Filter'!$I$4,Setup!$L$6:$L$9,0),0)),OR('Tasks Filter'!$I$5="Both",AND('Tasks Filter'!$I$5="Yes",BB1178="✓"),AND('Tasks Filter'!$I$5="No",BB1178&lt;&gt;"✓")),OR('Tasks Filter'!$L$3="",AV1178='Tasks Filter'!$L$3),OR('Tasks Filter'!$L$4="",AZ1178='Tasks Filter'!$L$4),OR('Tasks Filter'!$L$5="",BC1178='Tasks Filter'!$L$5),OR('Tasks Filter'!$O$3="",BD1178='Tasks Filter'!$O$3),OR('Tasks Filter'!$O$4="Yes",BG1178=0)),1,0))</f>
        <v/>
      </c>
      <c r="BJ1178">
        <f>IF(BH1178=0,"",IF('Tasks Filter'!$F$6="Descending",-1,1)*CHOOSE(MATCH('Tasks Filter'!$F$5,Lists!$G$2:$G$6,0),AW1178,BF1178,IFERROR(MATCH(AV1178,Setup!$F$6:$F$15,0),99),IFERROR(MATCH(BC1178,Setup!$H$6:$H$15,0),99),IFERROR(MATCH(AZ1178,Setup!$J$6:$J$11,0),99))*1E+9+(AW1178-40000)*10000+1177)</f>
        <v/>
      </c>
      <c r="BK1178">
        <f>IF(BI1178=1,BJ1178,"")</f>
        <v/>
      </c>
      <c r="BL1178">
        <f>IF(AND(BH1178=1,BG1178=0,N(AW1178)&lt;Setup!$D$7),(AW1178-40000)*10000+1177,"")</f>
        <v/>
      </c>
      <c r="BM1178">
        <f>IF(AND(BH1178=1,AZ1178&lt;&gt;"Cancelled",N(AW1178)&gt;=Dashboard!$AB$3,N(AW1178)&lt;=Dashboard!$AB$3+6),(AW1178-40000)*100000+BF1178*10000+1177,"")</f>
        <v/>
      </c>
      <c r="BN1178">
        <f>IF(AND(BH1178=1,AZ1178&lt;&gt;"Cancelled"),BF1178*10000+1177,"")</f>
        <v/>
      </c>
    </row>
    <row r="1179">
      <c r="AS1179" t="inlineStr">
        <is>
          <t>R</t>
        </is>
      </c>
      <c r="AT1179" t="n">
        <v>1183</v>
      </c>
      <c r="AU1179">
        <f>'Recurring Log'!C1183&amp;""</f>
        <v/>
      </c>
      <c r="AV1179">
        <f>'Recurring Log'!D1183&amp;""</f>
        <v/>
      </c>
      <c r="AW1179">
        <f>IF('Recurring Log'!E1183="","",'Recurring Log'!E1183)</f>
        <v/>
      </c>
      <c r="AX1179">
        <f>IF('Recurring Log'!G1183="","",'Recurring Log'!G1183)</f>
        <v/>
      </c>
      <c r="AY1179">
        <f>IF('Recurring Log'!H1183="","",'Recurring Log'!H1183)</f>
        <v/>
      </c>
      <c r="AZ1179">
        <f>IF(AU1179="","",IF('Recurring Log'!J1183="","Not Started",'Recurring Log'!J1183))</f>
        <v/>
      </c>
      <c r="BA1179">
        <f>'Recurring Log'!L1183&amp;""</f>
        <v/>
      </c>
      <c r="BB1179">
        <f>'Recurring Log'!M1183&amp;""</f>
        <v/>
      </c>
      <c r="BC1179">
        <f>'Recurring Log'!N1183&amp;""</f>
        <v/>
      </c>
      <c r="BD1179">
        <f>'Recurring Log'!O1183&amp;""</f>
        <v/>
      </c>
      <c r="BE1179">
        <f>IF('Recurring Log'!K1183="","",'Recurring Log'!K1183)</f>
        <v/>
      </c>
      <c r="BF1179">
        <f>IFERROR(MATCH(BA1179,Setup!$L$6:$L$9,0),5)</f>
        <v/>
      </c>
      <c r="BG1179">
        <f>IF(OR(AZ1179="Done",AZ1179="Cancelled"),1,0)</f>
        <v/>
      </c>
      <c r="BH1179">
        <f>IF(AND(AU1179&lt;&gt;"",ISNUMBER(AW1179)),1,0)</f>
        <v/>
      </c>
      <c r="BI1179">
        <f>IF(BH1179=0,0,IF(AND(AW1179&gt;='Tasks Filter'!$F$3,AW1179&lt;='Tasks Filter'!$F$4,OR('Tasks Filter'!$I$3="",ISNUMBER(SEARCH('Tasks Filter'!$I$3,AU1179))),OR('Tasks Filter'!$I$4="",BF1179=IFERROR(MATCH('Tasks Filter'!$I$4,Setup!$L$6:$L$9,0),0)),OR('Tasks Filter'!$I$5="Both",AND('Tasks Filter'!$I$5="Yes",BB1179="✓"),AND('Tasks Filter'!$I$5="No",BB1179&lt;&gt;"✓")),OR('Tasks Filter'!$L$3="",AV1179='Tasks Filter'!$L$3),OR('Tasks Filter'!$L$4="",AZ1179='Tasks Filter'!$L$4),OR('Tasks Filter'!$L$5="",BC1179='Tasks Filter'!$L$5),OR('Tasks Filter'!$O$3="",BD1179='Tasks Filter'!$O$3),OR('Tasks Filter'!$O$4="Yes",BG1179=0)),1,0))</f>
        <v/>
      </c>
      <c r="BJ1179">
        <f>IF(BH1179=0,"",IF('Tasks Filter'!$F$6="Descending",-1,1)*CHOOSE(MATCH('Tasks Filter'!$F$5,Lists!$G$2:$G$6,0),AW1179,BF1179,IFERROR(MATCH(AV1179,Setup!$F$6:$F$15,0),99),IFERROR(MATCH(BC1179,Setup!$H$6:$H$15,0),99),IFERROR(MATCH(AZ1179,Setup!$J$6:$J$11,0),99))*1E+9+(AW1179-40000)*10000+1178)</f>
        <v/>
      </c>
      <c r="BK1179">
        <f>IF(BI1179=1,BJ1179,"")</f>
        <v/>
      </c>
      <c r="BL1179">
        <f>IF(AND(BH1179=1,BG1179=0,N(AW1179)&lt;Setup!$D$7),(AW1179-40000)*10000+1178,"")</f>
        <v/>
      </c>
      <c r="BM1179">
        <f>IF(AND(BH1179=1,AZ1179&lt;&gt;"Cancelled",N(AW1179)&gt;=Dashboard!$AB$3,N(AW1179)&lt;=Dashboard!$AB$3+6),(AW1179-40000)*100000+BF1179*10000+1178,"")</f>
        <v/>
      </c>
      <c r="BN1179">
        <f>IF(AND(BH1179=1,AZ1179&lt;&gt;"Cancelled"),BF1179*10000+1178,"")</f>
        <v/>
      </c>
    </row>
    <row r="1180">
      <c r="AS1180" t="inlineStr">
        <is>
          <t>R</t>
        </is>
      </c>
      <c r="AT1180" t="n">
        <v>1184</v>
      </c>
      <c r="AU1180">
        <f>'Recurring Log'!C1184&amp;""</f>
        <v/>
      </c>
      <c r="AV1180">
        <f>'Recurring Log'!D1184&amp;""</f>
        <v/>
      </c>
      <c r="AW1180">
        <f>IF('Recurring Log'!E1184="","",'Recurring Log'!E1184)</f>
        <v/>
      </c>
      <c r="AX1180">
        <f>IF('Recurring Log'!G1184="","",'Recurring Log'!G1184)</f>
        <v/>
      </c>
      <c r="AY1180">
        <f>IF('Recurring Log'!H1184="","",'Recurring Log'!H1184)</f>
        <v/>
      </c>
      <c r="AZ1180">
        <f>IF(AU1180="","",IF('Recurring Log'!J1184="","Not Started",'Recurring Log'!J1184))</f>
        <v/>
      </c>
      <c r="BA1180">
        <f>'Recurring Log'!L1184&amp;""</f>
        <v/>
      </c>
      <c r="BB1180">
        <f>'Recurring Log'!M1184&amp;""</f>
        <v/>
      </c>
      <c r="BC1180">
        <f>'Recurring Log'!N1184&amp;""</f>
        <v/>
      </c>
      <c r="BD1180">
        <f>'Recurring Log'!O1184&amp;""</f>
        <v/>
      </c>
      <c r="BE1180">
        <f>IF('Recurring Log'!K1184="","",'Recurring Log'!K1184)</f>
        <v/>
      </c>
      <c r="BF1180">
        <f>IFERROR(MATCH(BA1180,Setup!$L$6:$L$9,0),5)</f>
        <v/>
      </c>
      <c r="BG1180">
        <f>IF(OR(AZ1180="Done",AZ1180="Cancelled"),1,0)</f>
        <v/>
      </c>
      <c r="BH1180">
        <f>IF(AND(AU1180&lt;&gt;"",ISNUMBER(AW1180)),1,0)</f>
        <v/>
      </c>
      <c r="BI1180">
        <f>IF(BH1180=0,0,IF(AND(AW1180&gt;='Tasks Filter'!$F$3,AW1180&lt;='Tasks Filter'!$F$4,OR('Tasks Filter'!$I$3="",ISNUMBER(SEARCH('Tasks Filter'!$I$3,AU1180))),OR('Tasks Filter'!$I$4="",BF1180=IFERROR(MATCH('Tasks Filter'!$I$4,Setup!$L$6:$L$9,0),0)),OR('Tasks Filter'!$I$5="Both",AND('Tasks Filter'!$I$5="Yes",BB1180="✓"),AND('Tasks Filter'!$I$5="No",BB1180&lt;&gt;"✓")),OR('Tasks Filter'!$L$3="",AV1180='Tasks Filter'!$L$3),OR('Tasks Filter'!$L$4="",AZ1180='Tasks Filter'!$L$4),OR('Tasks Filter'!$L$5="",BC1180='Tasks Filter'!$L$5),OR('Tasks Filter'!$O$3="",BD1180='Tasks Filter'!$O$3),OR('Tasks Filter'!$O$4="Yes",BG1180=0)),1,0))</f>
        <v/>
      </c>
      <c r="BJ1180">
        <f>IF(BH1180=0,"",IF('Tasks Filter'!$F$6="Descending",-1,1)*CHOOSE(MATCH('Tasks Filter'!$F$5,Lists!$G$2:$G$6,0),AW1180,BF1180,IFERROR(MATCH(AV1180,Setup!$F$6:$F$15,0),99),IFERROR(MATCH(BC1180,Setup!$H$6:$H$15,0),99),IFERROR(MATCH(AZ1180,Setup!$J$6:$J$11,0),99))*1E+9+(AW1180-40000)*10000+1179)</f>
        <v/>
      </c>
      <c r="BK1180">
        <f>IF(BI1180=1,BJ1180,"")</f>
        <v/>
      </c>
      <c r="BL1180">
        <f>IF(AND(BH1180=1,BG1180=0,N(AW1180)&lt;Setup!$D$7),(AW1180-40000)*10000+1179,"")</f>
        <v/>
      </c>
      <c r="BM1180">
        <f>IF(AND(BH1180=1,AZ1180&lt;&gt;"Cancelled",N(AW1180)&gt;=Dashboard!$AB$3,N(AW1180)&lt;=Dashboard!$AB$3+6),(AW1180-40000)*100000+BF1180*10000+1179,"")</f>
        <v/>
      </c>
      <c r="BN1180">
        <f>IF(AND(BH1180=1,AZ1180&lt;&gt;"Cancelled"),BF1180*10000+1179,"")</f>
        <v/>
      </c>
    </row>
    <row r="1181">
      <c r="AS1181" t="inlineStr">
        <is>
          <t>R</t>
        </is>
      </c>
      <c r="AT1181" t="n">
        <v>1185</v>
      </c>
      <c r="AU1181">
        <f>'Recurring Log'!C1185&amp;""</f>
        <v/>
      </c>
      <c r="AV1181">
        <f>'Recurring Log'!D1185&amp;""</f>
        <v/>
      </c>
      <c r="AW1181">
        <f>IF('Recurring Log'!E1185="","",'Recurring Log'!E1185)</f>
        <v/>
      </c>
      <c r="AX1181">
        <f>IF('Recurring Log'!G1185="","",'Recurring Log'!G1185)</f>
        <v/>
      </c>
      <c r="AY1181">
        <f>IF('Recurring Log'!H1185="","",'Recurring Log'!H1185)</f>
        <v/>
      </c>
      <c r="AZ1181">
        <f>IF(AU1181="","",IF('Recurring Log'!J1185="","Not Started",'Recurring Log'!J1185))</f>
        <v/>
      </c>
      <c r="BA1181">
        <f>'Recurring Log'!L1185&amp;""</f>
        <v/>
      </c>
      <c r="BB1181">
        <f>'Recurring Log'!M1185&amp;""</f>
        <v/>
      </c>
      <c r="BC1181">
        <f>'Recurring Log'!N1185&amp;""</f>
        <v/>
      </c>
      <c r="BD1181">
        <f>'Recurring Log'!O1185&amp;""</f>
        <v/>
      </c>
      <c r="BE1181">
        <f>IF('Recurring Log'!K1185="","",'Recurring Log'!K1185)</f>
        <v/>
      </c>
      <c r="BF1181">
        <f>IFERROR(MATCH(BA1181,Setup!$L$6:$L$9,0),5)</f>
        <v/>
      </c>
      <c r="BG1181">
        <f>IF(OR(AZ1181="Done",AZ1181="Cancelled"),1,0)</f>
        <v/>
      </c>
      <c r="BH1181">
        <f>IF(AND(AU1181&lt;&gt;"",ISNUMBER(AW1181)),1,0)</f>
        <v/>
      </c>
      <c r="BI1181">
        <f>IF(BH1181=0,0,IF(AND(AW1181&gt;='Tasks Filter'!$F$3,AW1181&lt;='Tasks Filter'!$F$4,OR('Tasks Filter'!$I$3="",ISNUMBER(SEARCH('Tasks Filter'!$I$3,AU1181))),OR('Tasks Filter'!$I$4="",BF1181=IFERROR(MATCH('Tasks Filter'!$I$4,Setup!$L$6:$L$9,0),0)),OR('Tasks Filter'!$I$5="Both",AND('Tasks Filter'!$I$5="Yes",BB1181="✓"),AND('Tasks Filter'!$I$5="No",BB1181&lt;&gt;"✓")),OR('Tasks Filter'!$L$3="",AV1181='Tasks Filter'!$L$3),OR('Tasks Filter'!$L$4="",AZ1181='Tasks Filter'!$L$4),OR('Tasks Filter'!$L$5="",BC1181='Tasks Filter'!$L$5),OR('Tasks Filter'!$O$3="",BD1181='Tasks Filter'!$O$3),OR('Tasks Filter'!$O$4="Yes",BG1181=0)),1,0))</f>
        <v/>
      </c>
      <c r="BJ1181">
        <f>IF(BH1181=0,"",IF('Tasks Filter'!$F$6="Descending",-1,1)*CHOOSE(MATCH('Tasks Filter'!$F$5,Lists!$G$2:$G$6,0),AW1181,BF1181,IFERROR(MATCH(AV1181,Setup!$F$6:$F$15,0),99),IFERROR(MATCH(BC1181,Setup!$H$6:$H$15,0),99),IFERROR(MATCH(AZ1181,Setup!$J$6:$J$11,0),99))*1E+9+(AW1181-40000)*10000+1180)</f>
        <v/>
      </c>
      <c r="BK1181">
        <f>IF(BI1181=1,BJ1181,"")</f>
        <v/>
      </c>
      <c r="BL1181">
        <f>IF(AND(BH1181=1,BG1181=0,N(AW1181)&lt;Setup!$D$7),(AW1181-40000)*10000+1180,"")</f>
        <v/>
      </c>
      <c r="BM1181">
        <f>IF(AND(BH1181=1,AZ1181&lt;&gt;"Cancelled",N(AW1181)&gt;=Dashboard!$AB$3,N(AW1181)&lt;=Dashboard!$AB$3+6),(AW1181-40000)*100000+BF1181*10000+1180,"")</f>
        <v/>
      </c>
      <c r="BN1181">
        <f>IF(AND(BH1181=1,AZ1181&lt;&gt;"Cancelled"),BF1181*10000+1180,"")</f>
        <v/>
      </c>
    </row>
    <row r="1182">
      <c r="AS1182" t="inlineStr">
        <is>
          <t>R</t>
        </is>
      </c>
      <c r="AT1182" t="n">
        <v>1186</v>
      </c>
      <c r="AU1182">
        <f>'Recurring Log'!C1186&amp;""</f>
        <v/>
      </c>
      <c r="AV1182">
        <f>'Recurring Log'!D1186&amp;""</f>
        <v/>
      </c>
      <c r="AW1182">
        <f>IF('Recurring Log'!E1186="","",'Recurring Log'!E1186)</f>
        <v/>
      </c>
      <c r="AX1182">
        <f>IF('Recurring Log'!G1186="","",'Recurring Log'!G1186)</f>
        <v/>
      </c>
      <c r="AY1182">
        <f>IF('Recurring Log'!H1186="","",'Recurring Log'!H1186)</f>
        <v/>
      </c>
      <c r="AZ1182">
        <f>IF(AU1182="","",IF('Recurring Log'!J1186="","Not Started",'Recurring Log'!J1186))</f>
        <v/>
      </c>
      <c r="BA1182">
        <f>'Recurring Log'!L1186&amp;""</f>
        <v/>
      </c>
      <c r="BB1182">
        <f>'Recurring Log'!M1186&amp;""</f>
        <v/>
      </c>
      <c r="BC1182">
        <f>'Recurring Log'!N1186&amp;""</f>
        <v/>
      </c>
      <c r="BD1182">
        <f>'Recurring Log'!O1186&amp;""</f>
        <v/>
      </c>
      <c r="BE1182">
        <f>IF('Recurring Log'!K1186="","",'Recurring Log'!K1186)</f>
        <v/>
      </c>
      <c r="BF1182">
        <f>IFERROR(MATCH(BA1182,Setup!$L$6:$L$9,0),5)</f>
        <v/>
      </c>
      <c r="BG1182">
        <f>IF(OR(AZ1182="Done",AZ1182="Cancelled"),1,0)</f>
        <v/>
      </c>
      <c r="BH1182">
        <f>IF(AND(AU1182&lt;&gt;"",ISNUMBER(AW1182)),1,0)</f>
        <v/>
      </c>
      <c r="BI1182">
        <f>IF(BH1182=0,0,IF(AND(AW1182&gt;='Tasks Filter'!$F$3,AW1182&lt;='Tasks Filter'!$F$4,OR('Tasks Filter'!$I$3="",ISNUMBER(SEARCH('Tasks Filter'!$I$3,AU1182))),OR('Tasks Filter'!$I$4="",BF1182=IFERROR(MATCH('Tasks Filter'!$I$4,Setup!$L$6:$L$9,0),0)),OR('Tasks Filter'!$I$5="Both",AND('Tasks Filter'!$I$5="Yes",BB1182="✓"),AND('Tasks Filter'!$I$5="No",BB1182&lt;&gt;"✓")),OR('Tasks Filter'!$L$3="",AV1182='Tasks Filter'!$L$3),OR('Tasks Filter'!$L$4="",AZ1182='Tasks Filter'!$L$4),OR('Tasks Filter'!$L$5="",BC1182='Tasks Filter'!$L$5),OR('Tasks Filter'!$O$3="",BD1182='Tasks Filter'!$O$3),OR('Tasks Filter'!$O$4="Yes",BG1182=0)),1,0))</f>
        <v/>
      </c>
      <c r="BJ1182">
        <f>IF(BH1182=0,"",IF('Tasks Filter'!$F$6="Descending",-1,1)*CHOOSE(MATCH('Tasks Filter'!$F$5,Lists!$G$2:$G$6,0),AW1182,BF1182,IFERROR(MATCH(AV1182,Setup!$F$6:$F$15,0),99),IFERROR(MATCH(BC1182,Setup!$H$6:$H$15,0),99),IFERROR(MATCH(AZ1182,Setup!$J$6:$J$11,0),99))*1E+9+(AW1182-40000)*10000+1181)</f>
        <v/>
      </c>
      <c r="BK1182">
        <f>IF(BI1182=1,BJ1182,"")</f>
        <v/>
      </c>
      <c r="BL1182">
        <f>IF(AND(BH1182=1,BG1182=0,N(AW1182)&lt;Setup!$D$7),(AW1182-40000)*10000+1181,"")</f>
        <v/>
      </c>
      <c r="BM1182">
        <f>IF(AND(BH1182=1,AZ1182&lt;&gt;"Cancelled",N(AW1182)&gt;=Dashboard!$AB$3,N(AW1182)&lt;=Dashboard!$AB$3+6),(AW1182-40000)*100000+BF1182*10000+1181,"")</f>
        <v/>
      </c>
      <c r="BN1182">
        <f>IF(AND(BH1182=1,AZ1182&lt;&gt;"Cancelled"),BF1182*10000+1181,"")</f>
        <v/>
      </c>
    </row>
    <row r="1183">
      <c r="AS1183" t="inlineStr">
        <is>
          <t>R</t>
        </is>
      </c>
      <c r="AT1183" t="n">
        <v>1187</v>
      </c>
      <c r="AU1183">
        <f>'Recurring Log'!C1187&amp;""</f>
        <v/>
      </c>
      <c r="AV1183">
        <f>'Recurring Log'!D1187&amp;""</f>
        <v/>
      </c>
      <c r="AW1183">
        <f>IF('Recurring Log'!E1187="","",'Recurring Log'!E1187)</f>
        <v/>
      </c>
      <c r="AX1183">
        <f>IF('Recurring Log'!G1187="","",'Recurring Log'!G1187)</f>
        <v/>
      </c>
      <c r="AY1183">
        <f>IF('Recurring Log'!H1187="","",'Recurring Log'!H1187)</f>
        <v/>
      </c>
      <c r="AZ1183">
        <f>IF(AU1183="","",IF('Recurring Log'!J1187="","Not Started",'Recurring Log'!J1187))</f>
        <v/>
      </c>
      <c r="BA1183">
        <f>'Recurring Log'!L1187&amp;""</f>
        <v/>
      </c>
      <c r="BB1183">
        <f>'Recurring Log'!M1187&amp;""</f>
        <v/>
      </c>
      <c r="BC1183">
        <f>'Recurring Log'!N1187&amp;""</f>
        <v/>
      </c>
      <c r="BD1183">
        <f>'Recurring Log'!O1187&amp;""</f>
        <v/>
      </c>
      <c r="BE1183">
        <f>IF('Recurring Log'!K1187="","",'Recurring Log'!K1187)</f>
        <v/>
      </c>
      <c r="BF1183">
        <f>IFERROR(MATCH(BA1183,Setup!$L$6:$L$9,0),5)</f>
        <v/>
      </c>
      <c r="BG1183">
        <f>IF(OR(AZ1183="Done",AZ1183="Cancelled"),1,0)</f>
        <v/>
      </c>
      <c r="BH1183">
        <f>IF(AND(AU1183&lt;&gt;"",ISNUMBER(AW1183)),1,0)</f>
        <v/>
      </c>
      <c r="BI1183">
        <f>IF(BH1183=0,0,IF(AND(AW1183&gt;='Tasks Filter'!$F$3,AW1183&lt;='Tasks Filter'!$F$4,OR('Tasks Filter'!$I$3="",ISNUMBER(SEARCH('Tasks Filter'!$I$3,AU1183))),OR('Tasks Filter'!$I$4="",BF1183=IFERROR(MATCH('Tasks Filter'!$I$4,Setup!$L$6:$L$9,0),0)),OR('Tasks Filter'!$I$5="Both",AND('Tasks Filter'!$I$5="Yes",BB1183="✓"),AND('Tasks Filter'!$I$5="No",BB1183&lt;&gt;"✓")),OR('Tasks Filter'!$L$3="",AV1183='Tasks Filter'!$L$3),OR('Tasks Filter'!$L$4="",AZ1183='Tasks Filter'!$L$4),OR('Tasks Filter'!$L$5="",BC1183='Tasks Filter'!$L$5),OR('Tasks Filter'!$O$3="",BD1183='Tasks Filter'!$O$3),OR('Tasks Filter'!$O$4="Yes",BG1183=0)),1,0))</f>
        <v/>
      </c>
      <c r="BJ1183">
        <f>IF(BH1183=0,"",IF('Tasks Filter'!$F$6="Descending",-1,1)*CHOOSE(MATCH('Tasks Filter'!$F$5,Lists!$G$2:$G$6,0),AW1183,BF1183,IFERROR(MATCH(AV1183,Setup!$F$6:$F$15,0),99),IFERROR(MATCH(BC1183,Setup!$H$6:$H$15,0),99),IFERROR(MATCH(AZ1183,Setup!$J$6:$J$11,0),99))*1E+9+(AW1183-40000)*10000+1182)</f>
        <v/>
      </c>
      <c r="BK1183">
        <f>IF(BI1183=1,BJ1183,"")</f>
        <v/>
      </c>
      <c r="BL1183">
        <f>IF(AND(BH1183=1,BG1183=0,N(AW1183)&lt;Setup!$D$7),(AW1183-40000)*10000+1182,"")</f>
        <v/>
      </c>
      <c r="BM1183">
        <f>IF(AND(BH1183=1,AZ1183&lt;&gt;"Cancelled",N(AW1183)&gt;=Dashboard!$AB$3,N(AW1183)&lt;=Dashboard!$AB$3+6),(AW1183-40000)*100000+BF1183*10000+1182,"")</f>
        <v/>
      </c>
      <c r="BN1183">
        <f>IF(AND(BH1183=1,AZ1183&lt;&gt;"Cancelled"),BF1183*10000+1182,"")</f>
        <v/>
      </c>
    </row>
    <row r="1184">
      <c r="AS1184" t="inlineStr">
        <is>
          <t>R</t>
        </is>
      </c>
      <c r="AT1184" t="n">
        <v>1188</v>
      </c>
      <c r="AU1184">
        <f>'Recurring Log'!C1188&amp;""</f>
        <v/>
      </c>
      <c r="AV1184">
        <f>'Recurring Log'!D1188&amp;""</f>
        <v/>
      </c>
      <c r="AW1184">
        <f>IF('Recurring Log'!E1188="","",'Recurring Log'!E1188)</f>
        <v/>
      </c>
      <c r="AX1184">
        <f>IF('Recurring Log'!G1188="","",'Recurring Log'!G1188)</f>
        <v/>
      </c>
      <c r="AY1184">
        <f>IF('Recurring Log'!H1188="","",'Recurring Log'!H1188)</f>
        <v/>
      </c>
      <c r="AZ1184">
        <f>IF(AU1184="","",IF('Recurring Log'!J1188="","Not Started",'Recurring Log'!J1188))</f>
        <v/>
      </c>
      <c r="BA1184">
        <f>'Recurring Log'!L1188&amp;""</f>
        <v/>
      </c>
      <c r="BB1184">
        <f>'Recurring Log'!M1188&amp;""</f>
        <v/>
      </c>
      <c r="BC1184">
        <f>'Recurring Log'!N1188&amp;""</f>
        <v/>
      </c>
      <c r="BD1184">
        <f>'Recurring Log'!O1188&amp;""</f>
        <v/>
      </c>
      <c r="BE1184">
        <f>IF('Recurring Log'!K1188="","",'Recurring Log'!K1188)</f>
        <v/>
      </c>
      <c r="BF1184">
        <f>IFERROR(MATCH(BA1184,Setup!$L$6:$L$9,0),5)</f>
        <v/>
      </c>
      <c r="BG1184">
        <f>IF(OR(AZ1184="Done",AZ1184="Cancelled"),1,0)</f>
        <v/>
      </c>
      <c r="BH1184">
        <f>IF(AND(AU1184&lt;&gt;"",ISNUMBER(AW1184)),1,0)</f>
        <v/>
      </c>
      <c r="BI1184">
        <f>IF(BH1184=0,0,IF(AND(AW1184&gt;='Tasks Filter'!$F$3,AW1184&lt;='Tasks Filter'!$F$4,OR('Tasks Filter'!$I$3="",ISNUMBER(SEARCH('Tasks Filter'!$I$3,AU1184))),OR('Tasks Filter'!$I$4="",BF1184=IFERROR(MATCH('Tasks Filter'!$I$4,Setup!$L$6:$L$9,0),0)),OR('Tasks Filter'!$I$5="Both",AND('Tasks Filter'!$I$5="Yes",BB1184="✓"),AND('Tasks Filter'!$I$5="No",BB1184&lt;&gt;"✓")),OR('Tasks Filter'!$L$3="",AV1184='Tasks Filter'!$L$3),OR('Tasks Filter'!$L$4="",AZ1184='Tasks Filter'!$L$4),OR('Tasks Filter'!$L$5="",BC1184='Tasks Filter'!$L$5),OR('Tasks Filter'!$O$3="",BD1184='Tasks Filter'!$O$3),OR('Tasks Filter'!$O$4="Yes",BG1184=0)),1,0))</f>
        <v/>
      </c>
      <c r="BJ1184">
        <f>IF(BH1184=0,"",IF('Tasks Filter'!$F$6="Descending",-1,1)*CHOOSE(MATCH('Tasks Filter'!$F$5,Lists!$G$2:$G$6,0),AW1184,BF1184,IFERROR(MATCH(AV1184,Setup!$F$6:$F$15,0),99),IFERROR(MATCH(BC1184,Setup!$H$6:$H$15,0),99),IFERROR(MATCH(AZ1184,Setup!$J$6:$J$11,0),99))*1E+9+(AW1184-40000)*10000+1183)</f>
        <v/>
      </c>
      <c r="BK1184">
        <f>IF(BI1184=1,BJ1184,"")</f>
        <v/>
      </c>
      <c r="BL1184">
        <f>IF(AND(BH1184=1,BG1184=0,N(AW1184)&lt;Setup!$D$7),(AW1184-40000)*10000+1183,"")</f>
        <v/>
      </c>
      <c r="BM1184">
        <f>IF(AND(BH1184=1,AZ1184&lt;&gt;"Cancelled",N(AW1184)&gt;=Dashboard!$AB$3,N(AW1184)&lt;=Dashboard!$AB$3+6),(AW1184-40000)*100000+BF1184*10000+1183,"")</f>
        <v/>
      </c>
      <c r="BN1184">
        <f>IF(AND(BH1184=1,AZ1184&lt;&gt;"Cancelled"),BF1184*10000+1183,"")</f>
        <v/>
      </c>
    </row>
    <row r="1185">
      <c r="AS1185" t="inlineStr">
        <is>
          <t>R</t>
        </is>
      </c>
      <c r="AT1185" t="n">
        <v>1189</v>
      </c>
      <c r="AU1185">
        <f>'Recurring Log'!C1189&amp;""</f>
        <v/>
      </c>
      <c r="AV1185">
        <f>'Recurring Log'!D1189&amp;""</f>
        <v/>
      </c>
      <c r="AW1185">
        <f>IF('Recurring Log'!E1189="","",'Recurring Log'!E1189)</f>
        <v/>
      </c>
      <c r="AX1185">
        <f>IF('Recurring Log'!G1189="","",'Recurring Log'!G1189)</f>
        <v/>
      </c>
      <c r="AY1185">
        <f>IF('Recurring Log'!H1189="","",'Recurring Log'!H1189)</f>
        <v/>
      </c>
      <c r="AZ1185">
        <f>IF(AU1185="","",IF('Recurring Log'!J1189="","Not Started",'Recurring Log'!J1189))</f>
        <v/>
      </c>
      <c r="BA1185">
        <f>'Recurring Log'!L1189&amp;""</f>
        <v/>
      </c>
      <c r="BB1185">
        <f>'Recurring Log'!M1189&amp;""</f>
        <v/>
      </c>
      <c r="BC1185">
        <f>'Recurring Log'!N1189&amp;""</f>
        <v/>
      </c>
      <c r="BD1185">
        <f>'Recurring Log'!O1189&amp;""</f>
        <v/>
      </c>
      <c r="BE1185">
        <f>IF('Recurring Log'!K1189="","",'Recurring Log'!K1189)</f>
        <v/>
      </c>
      <c r="BF1185">
        <f>IFERROR(MATCH(BA1185,Setup!$L$6:$L$9,0),5)</f>
        <v/>
      </c>
      <c r="BG1185">
        <f>IF(OR(AZ1185="Done",AZ1185="Cancelled"),1,0)</f>
        <v/>
      </c>
      <c r="BH1185">
        <f>IF(AND(AU1185&lt;&gt;"",ISNUMBER(AW1185)),1,0)</f>
        <v/>
      </c>
      <c r="BI1185">
        <f>IF(BH1185=0,0,IF(AND(AW1185&gt;='Tasks Filter'!$F$3,AW1185&lt;='Tasks Filter'!$F$4,OR('Tasks Filter'!$I$3="",ISNUMBER(SEARCH('Tasks Filter'!$I$3,AU1185))),OR('Tasks Filter'!$I$4="",BF1185=IFERROR(MATCH('Tasks Filter'!$I$4,Setup!$L$6:$L$9,0),0)),OR('Tasks Filter'!$I$5="Both",AND('Tasks Filter'!$I$5="Yes",BB1185="✓"),AND('Tasks Filter'!$I$5="No",BB1185&lt;&gt;"✓")),OR('Tasks Filter'!$L$3="",AV1185='Tasks Filter'!$L$3),OR('Tasks Filter'!$L$4="",AZ1185='Tasks Filter'!$L$4),OR('Tasks Filter'!$L$5="",BC1185='Tasks Filter'!$L$5),OR('Tasks Filter'!$O$3="",BD1185='Tasks Filter'!$O$3),OR('Tasks Filter'!$O$4="Yes",BG1185=0)),1,0))</f>
        <v/>
      </c>
      <c r="BJ1185">
        <f>IF(BH1185=0,"",IF('Tasks Filter'!$F$6="Descending",-1,1)*CHOOSE(MATCH('Tasks Filter'!$F$5,Lists!$G$2:$G$6,0),AW1185,BF1185,IFERROR(MATCH(AV1185,Setup!$F$6:$F$15,0),99),IFERROR(MATCH(BC1185,Setup!$H$6:$H$15,0),99),IFERROR(MATCH(AZ1185,Setup!$J$6:$J$11,0),99))*1E+9+(AW1185-40000)*10000+1184)</f>
        <v/>
      </c>
      <c r="BK1185">
        <f>IF(BI1185=1,BJ1185,"")</f>
        <v/>
      </c>
      <c r="BL1185">
        <f>IF(AND(BH1185=1,BG1185=0,N(AW1185)&lt;Setup!$D$7),(AW1185-40000)*10000+1184,"")</f>
        <v/>
      </c>
      <c r="BM1185">
        <f>IF(AND(BH1185=1,AZ1185&lt;&gt;"Cancelled",N(AW1185)&gt;=Dashboard!$AB$3,N(AW1185)&lt;=Dashboard!$AB$3+6),(AW1185-40000)*100000+BF1185*10000+1184,"")</f>
        <v/>
      </c>
      <c r="BN1185">
        <f>IF(AND(BH1185=1,AZ1185&lt;&gt;"Cancelled"),BF1185*10000+1184,"")</f>
        <v/>
      </c>
    </row>
    <row r="1186">
      <c r="AS1186" t="inlineStr">
        <is>
          <t>R</t>
        </is>
      </c>
      <c r="AT1186" t="n">
        <v>1190</v>
      </c>
      <c r="AU1186">
        <f>'Recurring Log'!C1190&amp;""</f>
        <v/>
      </c>
      <c r="AV1186">
        <f>'Recurring Log'!D1190&amp;""</f>
        <v/>
      </c>
      <c r="AW1186">
        <f>IF('Recurring Log'!E1190="","",'Recurring Log'!E1190)</f>
        <v/>
      </c>
      <c r="AX1186">
        <f>IF('Recurring Log'!G1190="","",'Recurring Log'!G1190)</f>
        <v/>
      </c>
      <c r="AY1186">
        <f>IF('Recurring Log'!H1190="","",'Recurring Log'!H1190)</f>
        <v/>
      </c>
      <c r="AZ1186">
        <f>IF(AU1186="","",IF('Recurring Log'!J1190="","Not Started",'Recurring Log'!J1190))</f>
        <v/>
      </c>
      <c r="BA1186">
        <f>'Recurring Log'!L1190&amp;""</f>
        <v/>
      </c>
      <c r="BB1186">
        <f>'Recurring Log'!M1190&amp;""</f>
        <v/>
      </c>
      <c r="BC1186">
        <f>'Recurring Log'!N1190&amp;""</f>
        <v/>
      </c>
      <c r="BD1186">
        <f>'Recurring Log'!O1190&amp;""</f>
        <v/>
      </c>
      <c r="BE1186">
        <f>IF('Recurring Log'!K1190="","",'Recurring Log'!K1190)</f>
        <v/>
      </c>
      <c r="BF1186">
        <f>IFERROR(MATCH(BA1186,Setup!$L$6:$L$9,0),5)</f>
        <v/>
      </c>
      <c r="BG1186">
        <f>IF(OR(AZ1186="Done",AZ1186="Cancelled"),1,0)</f>
        <v/>
      </c>
      <c r="BH1186">
        <f>IF(AND(AU1186&lt;&gt;"",ISNUMBER(AW1186)),1,0)</f>
        <v/>
      </c>
      <c r="BI1186">
        <f>IF(BH1186=0,0,IF(AND(AW1186&gt;='Tasks Filter'!$F$3,AW1186&lt;='Tasks Filter'!$F$4,OR('Tasks Filter'!$I$3="",ISNUMBER(SEARCH('Tasks Filter'!$I$3,AU1186))),OR('Tasks Filter'!$I$4="",BF1186=IFERROR(MATCH('Tasks Filter'!$I$4,Setup!$L$6:$L$9,0),0)),OR('Tasks Filter'!$I$5="Both",AND('Tasks Filter'!$I$5="Yes",BB1186="✓"),AND('Tasks Filter'!$I$5="No",BB1186&lt;&gt;"✓")),OR('Tasks Filter'!$L$3="",AV1186='Tasks Filter'!$L$3),OR('Tasks Filter'!$L$4="",AZ1186='Tasks Filter'!$L$4),OR('Tasks Filter'!$L$5="",BC1186='Tasks Filter'!$L$5),OR('Tasks Filter'!$O$3="",BD1186='Tasks Filter'!$O$3),OR('Tasks Filter'!$O$4="Yes",BG1186=0)),1,0))</f>
        <v/>
      </c>
      <c r="BJ1186">
        <f>IF(BH1186=0,"",IF('Tasks Filter'!$F$6="Descending",-1,1)*CHOOSE(MATCH('Tasks Filter'!$F$5,Lists!$G$2:$G$6,0),AW1186,BF1186,IFERROR(MATCH(AV1186,Setup!$F$6:$F$15,0),99),IFERROR(MATCH(BC1186,Setup!$H$6:$H$15,0),99),IFERROR(MATCH(AZ1186,Setup!$J$6:$J$11,0),99))*1E+9+(AW1186-40000)*10000+1185)</f>
        <v/>
      </c>
      <c r="BK1186">
        <f>IF(BI1186=1,BJ1186,"")</f>
        <v/>
      </c>
      <c r="BL1186">
        <f>IF(AND(BH1186=1,BG1186=0,N(AW1186)&lt;Setup!$D$7),(AW1186-40000)*10000+1185,"")</f>
        <v/>
      </c>
      <c r="BM1186">
        <f>IF(AND(BH1186=1,AZ1186&lt;&gt;"Cancelled",N(AW1186)&gt;=Dashboard!$AB$3,N(AW1186)&lt;=Dashboard!$AB$3+6),(AW1186-40000)*100000+BF1186*10000+1185,"")</f>
        <v/>
      </c>
      <c r="BN1186">
        <f>IF(AND(BH1186=1,AZ1186&lt;&gt;"Cancelled"),BF1186*10000+1185,"")</f>
        <v/>
      </c>
    </row>
    <row r="1187">
      <c r="AS1187" t="inlineStr">
        <is>
          <t>R</t>
        </is>
      </c>
      <c r="AT1187" t="n">
        <v>1191</v>
      </c>
      <c r="AU1187">
        <f>'Recurring Log'!C1191&amp;""</f>
        <v/>
      </c>
      <c r="AV1187">
        <f>'Recurring Log'!D1191&amp;""</f>
        <v/>
      </c>
      <c r="AW1187">
        <f>IF('Recurring Log'!E1191="","",'Recurring Log'!E1191)</f>
        <v/>
      </c>
      <c r="AX1187">
        <f>IF('Recurring Log'!G1191="","",'Recurring Log'!G1191)</f>
        <v/>
      </c>
      <c r="AY1187">
        <f>IF('Recurring Log'!H1191="","",'Recurring Log'!H1191)</f>
        <v/>
      </c>
      <c r="AZ1187">
        <f>IF(AU1187="","",IF('Recurring Log'!J1191="","Not Started",'Recurring Log'!J1191))</f>
        <v/>
      </c>
      <c r="BA1187">
        <f>'Recurring Log'!L1191&amp;""</f>
        <v/>
      </c>
      <c r="BB1187">
        <f>'Recurring Log'!M1191&amp;""</f>
        <v/>
      </c>
      <c r="BC1187">
        <f>'Recurring Log'!N1191&amp;""</f>
        <v/>
      </c>
      <c r="BD1187">
        <f>'Recurring Log'!O1191&amp;""</f>
        <v/>
      </c>
      <c r="BE1187">
        <f>IF('Recurring Log'!K1191="","",'Recurring Log'!K1191)</f>
        <v/>
      </c>
      <c r="BF1187">
        <f>IFERROR(MATCH(BA1187,Setup!$L$6:$L$9,0),5)</f>
        <v/>
      </c>
      <c r="BG1187">
        <f>IF(OR(AZ1187="Done",AZ1187="Cancelled"),1,0)</f>
        <v/>
      </c>
      <c r="BH1187">
        <f>IF(AND(AU1187&lt;&gt;"",ISNUMBER(AW1187)),1,0)</f>
        <v/>
      </c>
      <c r="BI1187">
        <f>IF(BH1187=0,0,IF(AND(AW1187&gt;='Tasks Filter'!$F$3,AW1187&lt;='Tasks Filter'!$F$4,OR('Tasks Filter'!$I$3="",ISNUMBER(SEARCH('Tasks Filter'!$I$3,AU1187))),OR('Tasks Filter'!$I$4="",BF1187=IFERROR(MATCH('Tasks Filter'!$I$4,Setup!$L$6:$L$9,0),0)),OR('Tasks Filter'!$I$5="Both",AND('Tasks Filter'!$I$5="Yes",BB1187="✓"),AND('Tasks Filter'!$I$5="No",BB1187&lt;&gt;"✓")),OR('Tasks Filter'!$L$3="",AV1187='Tasks Filter'!$L$3),OR('Tasks Filter'!$L$4="",AZ1187='Tasks Filter'!$L$4),OR('Tasks Filter'!$L$5="",BC1187='Tasks Filter'!$L$5),OR('Tasks Filter'!$O$3="",BD1187='Tasks Filter'!$O$3),OR('Tasks Filter'!$O$4="Yes",BG1187=0)),1,0))</f>
        <v/>
      </c>
      <c r="BJ1187">
        <f>IF(BH1187=0,"",IF('Tasks Filter'!$F$6="Descending",-1,1)*CHOOSE(MATCH('Tasks Filter'!$F$5,Lists!$G$2:$G$6,0),AW1187,BF1187,IFERROR(MATCH(AV1187,Setup!$F$6:$F$15,0),99),IFERROR(MATCH(BC1187,Setup!$H$6:$H$15,0),99),IFERROR(MATCH(AZ1187,Setup!$J$6:$J$11,0),99))*1E+9+(AW1187-40000)*10000+1186)</f>
        <v/>
      </c>
      <c r="BK1187">
        <f>IF(BI1187=1,BJ1187,"")</f>
        <v/>
      </c>
      <c r="BL1187">
        <f>IF(AND(BH1187=1,BG1187=0,N(AW1187)&lt;Setup!$D$7),(AW1187-40000)*10000+1186,"")</f>
        <v/>
      </c>
      <c r="BM1187">
        <f>IF(AND(BH1187=1,AZ1187&lt;&gt;"Cancelled",N(AW1187)&gt;=Dashboard!$AB$3,N(AW1187)&lt;=Dashboard!$AB$3+6),(AW1187-40000)*100000+BF1187*10000+1186,"")</f>
        <v/>
      </c>
      <c r="BN1187">
        <f>IF(AND(BH1187=1,AZ1187&lt;&gt;"Cancelled"),BF1187*10000+1186,"")</f>
        <v/>
      </c>
    </row>
    <row r="1188">
      <c r="AS1188" t="inlineStr">
        <is>
          <t>R</t>
        </is>
      </c>
      <c r="AT1188" t="n">
        <v>1192</v>
      </c>
      <c r="AU1188">
        <f>'Recurring Log'!C1192&amp;""</f>
        <v/>
      </c>
      <c r="AV1188">
        <f>'Recurring Log'!D1192&amp;""</f>
        <v/>
      </c>
      <c r="AW1188">
        <f>IF('Recurring Log'!E1192="","",'Recurring Log'!E1192)</f>
        <v/>
      </c>
      <c r="AX1188">
        <f>IF('Recurring Log'!G1192="","",'Recurring Log'!G1192)</f>
        <v/>
      </c>
      <c r="AY1188">
        <f>IF('Recurring Log'!H1192="","",'Recurring Log'!H1192)</f>
        <v/>
      </c>
      <c r="AZ1188">
        <f>IF(AU1188="","",IF('Recurring Log'!J1192="","Not Started",'Recurring Log'!J1192))</f>
        <v/>
      </c>
      <c r="BA1188">
        <f>'Recurring Log'!L1192&amp;""</f>
        <v/>
      </c>
      <c r="BB1188">
        <f>'Recurring Log'!M1192&amp;""</f>
        <v/>
      </c>
      <c r="BC1188">
        <f>'Recurring Log'!N1192&amp;""</f>
        <v/>
      </c>
      <c r="BD1188">
        <f>'Recurring Log'!O1192&amp;""</f>
        <v/>
      </c>
      <c r="BE1188">
        <f>IF('Recurring Log'!K1192="","",'Recurring Log'!K1192)</f>
        <v/>
      </c>
      <c r="BF1188">
        <f>IFERROR(MATCH(BA1188,Setup!$L$6:$L$9,0),5)</f>
        <v/>
      </c>
      <c r="BG1188">
        <f>IF(OR(AZ1188="Done",AZ1188="Cancelled"),1,0)</f>
        <v/>
      </c>
      <c r="BH1188">
        <f>IF(AND(AU1188&lt;&gt;"",ISNUMBER(AW1188)),1,0)</f>
        <v/>
      </c>
      <c r="BI1188">
        <f>IF(BH1188=0,0,IF(AND(AW1188&gt;='Tasks Filter'!$F$3,AW1188&lt;='Tasks Filter'!$F$4,OR('Tasks Filter'!$I$3="",ISNUMBER(SEARCH('Tasks Filter'!$I$3,AU1188))),OR('Tasks Filter'!$I$4="",BF1188=IFERROR(MATCH('Tasks Filter'!$I$4,Setup!$L$6:$L$9,0),0)),OR('Tasks Filter'!$I$5="Both",AND('Tasks Filter'!$I$5="Yes",BB1188="✓"),AND('Tasks Filter'!$I$5="No",BB1188&lt;&gt;"✓")),OR('Tasks Filter'!$L$3="",AV1188='Tasks Filter'!$L$3),OR('Tasks Filter'!$L$4="",AZ1188='Tasks Filter'!$L$4),OR('Tasks Filter'!$L$5="",BC1188='Tasks Filter'!$L$5),OR('Tasks Filter'!$O$3="",BD1188='Tasks Filter'!$O$3),OR('Tasks Filter'!$O$4="Yes",BG1188=0)),1,0))</f>
        <v/>
      </c>
      <c r="BJ1188">
        <f>IF(BH1188=0,"",IF('Tasks Filter'!$F$6="Descending",-1,1)*CHOOSE(MATCH('Tasks Filter'!$F$5,Lists!$G$2:$G$6,0),AW1188,BF1188,IFERROR(MATCH(AV1188,Setup!$F$6:$F$15,0),99),IFERROR(MATCH(BC1188,Setup!$H$6:$H$15,0),99),IFERROR(MATCH(AZ1188,Setup!$J$6:$J$11,0),99))*1E+9+(AW1188-40000)*10000+1187)</f>
        <v/>
      </c>
      <c r="BK1188">
        <f>IF(BI1188=1,BJ1188,"")</f>
        <v/>
      </c>
      <c r="BL1188">
        <f>IF(AND(BH1188=1,BG1188=0,N(AW1188)&lt;Setup!$D$7),(AW1188-40000)*10000+1187,"")</f>
        <v/>
      </c>
      <c r="BM1188">
        <f>IF(AND(BH1188=1,AZ1188&lt;&gt;"Cancelled",N(AW1188)&gt;=Dashboard!$AB$3,N(AW1188)&lt;=Dashboard!$AB$3+6),(AW1188-40000)*100000+BF1188*10000+1187,"")</f>
        <v/>
      </c>
      <c r="BN1188">
        <f>IF(AND(BH1188=1,AZ1188&lt;&gt;"Cancelled"),BF1188*10000+1187,"")</f>
        <v/>
      </c>
    </row>
    <row r="1189">
      <c r="AS1189" t="inlineStr">
        <is>
          <t>R</t>
        </is>
      </c>
      <c r="AT1189" t="n">
        <v>1193</v>
      </c>
      <c r="AU1189">
        <f>'Recurring Log'!C1193&amp;""</f>
        <v/>
      </c>
      <c r="AV1189">
        <f>'Recurring Log'!D1193&amp;""</f>
        <v/>
      </c>
      <c r="AW1189">
        <f>IF('Recurring Log'!E1193="","",'Recurring Log'!E1193)</f>
        <v/>
      </c>
      <c r="AX1189">
        <f>IF('Recurring Log'!G1193="","",'Recurring Log'!G1193)</f>
        <v/>
      </c>
      <c r="AY1189">
        <f>IF('Recurring Log'!H1193="","",'Recurring Log'!H1193)</f>
        <v/>
      </c>
      <c r="AZ1189">
        <f>IF(AU1189="","",IF('Recurring Log'!J1193="","Not Started",'Recurring Log'!J1193))</f>
        <v/>
      </c>
      <c r="BA1189">
        <f>'Recurring Log'!L1193&amp;""</f>
        <v/>
      </c>
      <c r="BB1189">
        <f>'Recurring Log'!M1193&amp;""</f>
        <v/>
      </c>
      <c r="BC1189">
        <f>'Recurring Log'!N1193&amp;""</f>
        <v/>
      </c>
      <c r="BD1189">
        <f>'Recurring Log'!O1193&amp;""</f>
        <v/>
      </c>
      <c r="BE1189">
        <f>IF('Recurring Log'!K1193="","",'Recurring Log'!K1193)</f>
        <v/>
      </c>
      <c r="BF1189">
        <f>IFERROR(MATCH(BA1189,Setup!$L$6:$L$9,0),5)</f>
        <v/>
      </c>
      <c r="BG1189">
        <f>IF(OR(AZ1189="Done",AZ1189="Cancelled"),1,0)</f>
        <v/>
      </c>
      <c r="BH1189">
        <f>IF(AND(AU1189&lt;&gt;"",ISNUMBER(AW1189)),1,0)</f>
        <v/>
      </c>
      <c r="BI1189">
        <f>IF(BH1189=0,0,IF(AND(AW1189&gt;='Tasks Filter'!$F$3,AW1189&lt;='Tasks Filter'!$F$4,OR('Tasks Filter'!$I$3="",ISNUMBER(SEARCH('Tasks Filter'!$I$3,AU1189))),OR('Tasks Filter'!$I$4="",BF1189=IFERROR(MATCH('Tasks Filter'!$I$4,Setup!$L$6:$L$9,0),0)),OR('Tasks Filter'!$I$5="Both",AND('Tasks Filter'!$I$5="Yes",BB1189="✓"),AND('Tasks Filter'!$I$5="No",BB1189&lt;&gt;"✓")),OR('Tasks Filter'!$L$3="",AV1189='Tasks Filter'!$L$3),OR('Tasks Filter'!$L$4="",AZ1189='Tasks Filter'!$L$4),OR('Tasks Filter'!$L$5="",BC1189='Tasks Filter'!$L$5),OR('Tasks Filter'!$O$3="",BD1189='Tasks Filter'!$O$3),OR('Tasks Filter'!$O$4="Yes",BG1189=0)),1,0))</f>
        <v/>
      </c>
      <c r="BJ1189">
        <f>IF(BH1189=0,"",IF('Tasks Filter'!$F$6="Descending",-1,1)*CHOOSE(MATCH('Tasks Filter'!$F$5,Lists!$G$2:$G$6,0),AW1189,BF1189,IFERROR(MATCH(AV1189,Setup!$F$6:$F$15,0),99),IFERROR(MATCH(BC1189,Setup!$H$6:$H$15,0),99),IFERROR(MATCH(AZ1189,Setup!$J$6:$J$11,0),99))*1E+9+(AW1189-40000)*10000+1188)</f>
        <v/>
      </c>
      <c r="BK1189">
        <f>IF(BI1189=1,BJ1189,"")</f>
        <v/>
      </c>
      <c r="BL1189">
        <f>IF(AND(BH1189=1,BG1189=0,N(AW1189)&lt;Setup!$D$7),(AW1189-40000)*10000+1188,"")</f>
        <v/>
      </c>
      <c r="BM1189">
        <f>IF(AND(BH1189=1,AZ1189&lt;&gt;"Cancelled",N(AW1189)&gt;=Dashboard!$AB$3,N(AW1189)&lt;=Dashboard!$AB$3+6),(AW1189-40000)*100000+BF1189*10000+1188,"")</f>
        <v/>
      </c>
      <c r="BN1189">
        <f>IF(AND(BH1189=1,AZ1189&lt;&gt;"Cancelled"),BF1189*10000+1188,"")</f>
        <v/>
      </c>
    </row>
    <row r="1190">
      <c r="AS1190" t="inlineStr">
        <is>
          <t>R</t>
        </is>
      </c>
      <c r="AT1190" t="n">
        <v>1194</v>
      </c>
      <c r="AU1190">
        <f>'Recurring Log'!C1194&amp;""</f>
        <v/>
      </c>
      <c r="AV1190">
        <f>'Recurring Log'!D1194&amp;""</f>
        <v/>
      </c>
      <c r="AW1190">
        <f>IF('Recurring Log'!E1194="","",'Recurring Log'!E1194)</f>
        <v/>
      </c>
      <c r="AX1190">
        <f>IF('Recurring Log'!G1194="","",'Recurring Log'!G1194)</f>
        <v/>
      </c>
      <c r="AY1190">
        <f>IF('Recurring Log'!H1194="","",'Recurring Log'!H1194)</f>
        <v/>
      </c>
      <c r="AZ1190">
        <f>IF(AU1190="","",IF('Recurring Log'!J1194="","Not Started",'Recurring Log'!J1194))</f>
        <v/>
      </c>
      <c r="BA1190">
        <f>'Recurring Log'!L1194&amp;""</f>
        <v/>
      </c>
      <c r="BB1190">
        <f>'Recurring Log'!M1194&amp;""</f>
        <v/>
      </c>
      <c r="BC1190">
        <f>'Recurring Log'!N1194&amp;""</f>
        <v/>
      </c>
      <c r="BD1190">
        <f>'Recurring Log'!O1194&amp;""</f>
        <v/>
      </c>
      <c r="BE1190">
        <f>IF('Recurring Log'!K1194="","",'Recurring Log'!K1194)</f>
        <v/>
      </c>
      <c r="BF1190">
        <f>IFERROR(MATCH(BA1190,Setup!$L$6:$L$9,0),5)</f>
        <v/>
      </c>
      <c r="BG1190">
        <f>IF(OR(AZ1190="Done",AZ1190="Cancelled"),1,0)</f>
        <v/>
      </c>
      <c r="BH1190">
        <f>IF(AND(AU1190&lt;&gt;"",ISNUMBER(AW1190)),1,0)</f>
        <v/>
      </c>
      <c r="BI1190">
        <f>IF(BH1190=0,0,IF(AND(AW1190&gt;='Tasks Filter'!$F$3,AW1190&lt;='Tasks Filter'!$F$4,OR('Tasks Filter'!$I$3="",ISNUMBER(SEARCH('Tasks Filter'!$I$3,AU1190))),OR('Tasks Filter'!$I$4="",BF1190=IFERROR(MATCH('Tasks Filter'!$I$4,Setup!$L$6:$L$9,0),0)),OR('Tasks Filter'!$I$5="Both",AND('Tasks Filter'!$I$5="Yes",BB1190="✓"),AND('Tasks Filter'!$I$5="No",BB1190&lt;&gt;"✓")),OR('Tasks Filter'!$L$3="",AV1190='Tasks Filter'!$L$3),OR('Tasks Filter'!$L$4="",AZ1190='Tasks Filter'!$L$4),OR('Tasks Filter'!$L$5="",BC1190='Tasks Filter'!$L$5),OR('Tasks Filter'!$O$3="",BD1190='Tasks Filter'!$O$3),OR('Tasks Filter'!$O$4="Yes",BG1190=0)),1,0))</f>
        <v/>
      </c>
      <c r="BJ1190">
        <f>IF(BH1190=0,"",IF('Tasks Filter'!$F$6="Descending",-1,1)*CHOOSE(MATCH('Tasks Filter'!$F$5,Lists!$G$2:$G$6,0),AW1190,BF1190,IFERROR(MATCH(AV1190,Setup!$F$6:$F$15,0),99),IFERROR(MATCH(BC1190,Setup!$H$6:$H$15,0),99),IFERROR(MATCH(AZ1190,Setup!$J$6:$J$11,0),99))*1E+9+(AW1190-40000)*10000+1189)</f>
        <v/>
      </c>
      <c r="BK1190">
        <f>IF(BI1190=1,BJ1190,"")</f>
        <v/>
      </c>
      <c r="BL1190">
        <f>IF(AND(BH1190=1,BG1190=0,N(AW1190)&lt;Setup!$D$7),(AW1190-40000)*10000+1189,"")</f>
        <v/>
      </c>
      <c r="BM1190">
        <f>IF(AND(BH1190=1,AZ1190&lt;&gt;"Cancelled",N(AW1190)&gt;=Dashboard!$AB$3,N(AW1190)&lt;=Dashboard!$AB$3+6),(AW1190-40000)*100000+BF1190*10000+1189,"")</f>
        <v/>
      </c>
      <c r="BN1190">
        <f>IF(AND(BH1190=1,AZ1190&lt;&gt;"Cancelled"),BF1190*10000+1189,"")</f>
        <v/>
      </c>
    </row>
    <row r="1191">
      <c r="AS1191" t="inlineStr">
        <is>
          <t>R</t>
        </is>
      </c>
      <c r="AT1191" t="n">
        <v>1195</v>
      </c>
      <c r="AU1191">
        <f>'Recurring Log'!C1195&amp;""</f>
        <v/>
      </c>
      <c r="AV1191">
        <f>'Recurring Log'!D1195&amp;""</f>
        <v/>
      </c>
      <c r="AW1191">
        <f>IF('Recurring Log'!E1195="","",'Recurring Log'!E1195)</f>
        <v/>
      </c>
      <c r="AX1191">
        <f>IF('Recurring Log'!G1195="","",'Recurring Log'!G1195)</f>
        <v/>
      </c>
      <c r="AY1191">
        <f>IF('Recurring Log'!H1195="","",'Recurring Log'!H1195)</f>
        <v/>
      </c>
      <c r="AZ1191">
        <f>IF(AU1191="","",IF('Recurring Log'!J1195="","Not Started",'Recurring Log'!J1195))</f>
        <v/>
      </c>
      <c r="BA1191">
        <f>'Recurring Log'!L1195&amp;""</f>
        <v/>
      </c>
      <c r="BB1191">
        <f>'Recurring Log'!M1195&amp;""</f>
        <v/>
      </c>
      <c r="BC1191">
        <f>'Recurring Log'!N1195&amp;""</f>
        <v/>
      </c>
      <c r="BD1191">
        <f>'Recurring Log'!O1195&amp;""</f>
        <v/>
      </c>
      <c r="BE1191">
        <f>IF('Recurring Log'!K1195="","",'Recurring Log'!K1195)</f>
        <v/>
      </c>
      <c r="BF1191">
        <f>IFERROR(MATCH(BA1191,Setup!$L$6:$L$9,0),5)</f>
        <v/>
      </c>
      <c r="BG1191">
        <f>IF(OR(AZ1191="Done",AZ1191="Cancelled"),1,0)</f>
        <v/>
      </c>
      <c r="BH1191">
        <f>IF(AND(AU1191&lt;&gt;"",ISNUMBER(AW1191)),1,0)</f>
        <v/>
      </c>
      <c r="BI1191">
        <f>IF(BH1191=0,0,IF(AND(AW1191&gt;='Tasks Filter'!$F$3,AW1191&lt;='Tasks Filter'!$F$4,OR('Tasks Filter'!$I$3="",ISNUMBER(SEARCH('Tasks Filter'!$I$3,AU1191))),OR('Tasks Filter'!$I$4="",BF1191=IFERROR(MATCH('Tasks Filter'!$I$4,Setup!$L$6:$L$9,0),0)),OR('Tasks Filter'!$I$5="Both",AND('Tasks Filter'!$I$5="Yes",BB1191="✓"),AND('Tasks Filter'!$I$5="No",BB1191&lt;&gt;"✓")),OR('Tasks Filter'!$L$3="",AV1191='Tasks Filter'!$L$3),OR('Tasks Filter'!$L$4="",AZ1191='Tasks Filter'!$L$4),OR('Tasks Filter'!$L$5="",BC1191='Tasks Filter'!$L$5),OR('Tasks Filter'!$O$3="",BD1191='Tasks Filter'!$O$3),OR('Tasks Filter'!$O$4="Yes",BG1191=0)),1,0))</f>
        <v/>
      </c>
      <c r="BJ1191">
        <f>IF(BH1191=0,"",IF('Tasks Filter'!$F$6="Descending",-1,1)*CHOOSE(MATCH('Tasks Filter'!$F$5,Lists!$G$2:$G$6,0),AW1191,BF1191,IFERROR(MATCH(AV1191,Setup!$F$6:$F$15,0),99),IFERROR(MATCH(BC1191,Setup!$H$6:$H$15,0),99),IFERROR(MATCH(AZ1191,Setup!$J$6:$J$11,0),99))*1E+9+(AW1191-40000)*10000+1190)</f>
        <v/>
      </c>
      <c r="BK1191">
        <f>IF(BI1191=1,BJ1191,"")</f>
        <v/>
      </c>
      <c r="BL1191">
        <f>IF(AND(BH1191=1,BG1191=0,N(AW1191)&lt;Setup!$D$7),(AW1191-40000)*10000+1190,"")</f>
        <v/>
      </c>
      <c r="BM1191">
        <f>IF(AND(BH1191=1,AZ1191&lt;&gt;"Cancelled",N(AW1191)&gt;=Dashboard!$AB$3,N(AW1191)&lt;=Dashboard!$AB$3+6),(AW1191-40000)*100000+BF1191*10000+1190,"")</f>
        <v/>
      </c>
      <c r="BN1191">
        <f>IF(AND(BH1191=1,AZ1191&lt;&gt;"Cancelled"),BF1191*10000+1190,"")</f>
        <v/>
      </c>
    </row>
    <row r="1192">
      <c r="AS1192" t="inlineStr">
        <is>
          <t>R</t>
        </is>
      </c>
      <c r="AT1192" t="n">
        <v>1196</v>
      </c>
      <c r="AU1192">
        <f>'Recurring Log'!C1196&amp;""</f>
        <v/>
      </c>
      <c r="AV1192">
        <f>'Recurring Log'!D1196&amp;""</f>
        <v/>
      </c>
      <c r="AW1192">
        <f>IF('Recurring Log'!E1196="","",'Recurring Log'!E1196)</f>
        <v/>
      </c>
      <c r="AX1192">
        <f>IF('Recurring Log'!G1196="","",'Recurring Log'!G1196)</f>
        <v/>
      </c>
      <c r="AY1192">
        <f>IF('Recurring Log'!H1196="","",'Recurring Log'!H1196)</f>
        <v/>
      </c>
      <c r="AZ1192">
        <f>IF(AU1192="","",IF('Recurring Log'!J1196="","Not Started",'Recurring Log'!J1196))</f>
        <v/>
      </c>
      <c r="BA1192">
        <f>'Recurring Log'!L1196&amp;""</f>
        <v/>
      </c>
      <c r="BB1192">
        <f>'Recurring Log'!M1196&amp;""</f>
        <v/>
      </c>
      <c r="BC1192">
        <f>'Recurring Log'!N1196&amp;""</f>
        <v/>
      </c>
      <c r="BD1192">
        <f>'Recurring Log'!O1196&amp;""</f>
        <v/>
      </c>
      <c r="BE1192">
        <f>IF('Recurring Log'!K1196="","",'Recurring Log'!K1196)</f>
        <v/>
      </c>
      <c r="BF1192">
        <f>IFERROR(MATCH(BA1192,Setup!$L$6:$L$9,0),5)</f>
        <v/>
      </c>
      <c r="BG1192">
        <f>IF(OR(AZ1192="Done",AZ1192="Cancelled"),1,0)</f>
        <v/>
      </c>
      <c r="BH1192">
        <f>IF(AND(AU1192&lt;&gt;"",ISNUMBER(AW1192)),1,0)</f>
        <v/>
      </c>
      <c r="BI1192">
        <f>IF(BH1192=0,0,IF(AND(AW1192&gt;='Tasks Filter'!$F$3,AW1192&lt;='Tasks Filter'!$F$4,OR('Tasks Filter'!$I$3="",ISNUMBER(SEARCH('Tasks Filter'!$I$3,AU1192))),OR('Tasks Filter'!$I$4="",BF1192=IFERROR(MATCH('Tasks Filter'!$I$4,Setup!$L$6:$L$9,0),0)),OR('Tasks Filter'!$I$5="Both",AND('Tasks Filter'!$I$5="Yes",BB1192="✓"),AND('Tasks Filter'!$I$5="No",BB1192&lt;&gt;"✓")),OR('Tasks Filter'!$L$3="",AV1192='Tasks Filter'!$L$3),OR('Tasks Filter'!$L$4="",AZ1192='Tasks Filter'!$L$4),OR('Tasks Filter'!$L$5="",BC1192='Tasks Filter'!$L$5),OR('Tasks Filter'!$O$3="",BD1192='Tasks Filter'!$O$3),OR('Tasks Filter'!$O$4="Yes",BG1192=0)),1,0))</f>
        <v/>
      </c>
      <c r="BJ1192">
        <f>IF(BH1192=0,"",IF('Tasks Filter'!$F$6="Descending",-1,1)*CHOOSE(MATCH('Tasks Filter'!$F$5,Lists!$G$2:$G$6,0),AW1192,BF1192,IFERROR(MATCH(AV1192,Setup!$F$6:$F$15,0),99),IFERROR(MATCH(BC1192,Setup!$H$6:$H$15,0),99),IFERROR(MATCH(AZ1192,Setup!$J$6:$J$11,0),99))*1E+9+(AW1192-40000)*10000+1191)</f>
        <v/>
      </c>
      <c r="BK1192">
        <f>IF(BI1192=1,BJ1192,"")</f>
        <v/>
      </c>
      <c r="BL1192">
        <f>IF(AND(BH1192=1,BG1192=0,N(AW1192)&lt;Setup!$D$7),(AW1192-40000)*10000+1191,"")</f>
        <v/>
      </c>
      <c r="BM1192">
        <f>IF(AND(BH1192=1,AZ1192&lt;&gt;"Cancelled",N(AW1192)&gt;=Dashboard!$AB$3,N(AW1192)&lt;=Dashboard!$AB$3+6),(AW1192-40000)*100000+BF1192*10000+1191,"")</f>
        <v/>
      </c>
      <c r="BN1192">
        <f>IF(AND(BH1192=1,AZ1192&lt;&gt;"Cancelled"),BF1192*10000+1191,"")</f>
        <v/>
      </c>
    </row>
    <row r="1193">
      <c r="AS1193" t="inlineStr">
        <is>
          <t>R</t>
        </is>
      </c>
      <c r="AT1193" t="n">
        <v>1197</v>
      </c>
      <c r="AU1193">
        <f>'Recurring Log'!C1197&amp;""</f>
        <v/>
      </c>
      <c r="AV1193">
        <f>'Recurring Log'!D1197&amp;""</f>
        <v/>
      </c>
      <c r="AW1193">
        <f>IF('Recurring Log'!E1197="","",'Recurring Log'!E1197)</f>
        <v/>
      </c>
      <c r="AX1193">
        <f>IF('Recurring Log'!G1197="","",'Recurring Log'!G1197)</f>
        <v/>
      </c>
      <c r="AY1193">
        <f>IF('Recurring Log'!H1197="","",'Recurring Log'!H1197)</f>
        <v/>
      </c>
      <c r="AZ1193">
        <f>IF(AU1193="","",IF('Recurring Log'!J1197="","Not Started",'Recurring Log'!J1197))</f>
        <v/>
      </c>
      <c r="BA1193">
        <f>'Recurring Log'!L1197&amp;""</f>
        <v/>
      </c>
      <c r="BB1193">
        <f>'Recurring Log'!M1197&amp;""</f>
        <v/>
      </c>
      <c r="BC1193">
        <f>'Recurring Log'!N1197&amp;""</f>
        <v/>
      </c>
      <c r="BD1193">
        <f>'Recurring Log'!O1197&amp;""</f>
        <v/>
      </c>
      <c r="BE1193">
        <f>IF('Recurring Log'!K1197="","",'Recurring Log'!K1197)</f>
        <v/>
      </c>
      <c r="BF1193">
        <f>IFERROR(MATCH(BA1193,Setup!$L$6:$L$9,0),5)</f>
        <v/>
      </c>
      <c r="BG1193">
        <f>IF(OR(AZ1193="Done",AZ1193="Cancelled"),1,0)</f>
        <v/>
      </c>
      <c r="BH1193">
        <f>IF(AND(AU1193&lt;&gt;"",ISNUMBER(AW1193)),1,0)</f>
        <v/>
      </c>
      <c r="BI1193">
        <f>IF(BH1193=0,0,IF(AND(AW1193&gt;='Tasks Filter'!$F$3,AW1193&lt;='Tasks Filter'!$F$4,OR('Tasks Filter'!$I$3="",ISNUMBER(SEARCH('Tasks Filter'!$I$3,AU1193))),OR('Tasks Filter'!$I$4="",BF1193=IFERROR(MATCH('Tasks Filter'!$I$4,Setup!$L$6:$L$9,0),0)),OR('Tasks Filter'!$I$5="Both",AND('Tasks Filter'!$I$5="Yes",BB1193="✓"),AND('Tasks Filter'!$I$5="No",BB1193&lt;&gt;"✓")),OR('Tasks Filter'!$L$3="",AV1193='Tasks Filter'!$L$3),OR('Tasks Filter'!$L$4="",AZ1193='Tasks Filter'!$L$4),OR('Tasks Filter'!$L$5="",BC1193='Tasks Filter'!$L$5),OR('Tasks Filter'!$O$3="",BD1193='Tasks Filter'!$O$3),OR('Tasks Filter'!$O$4="Yes",BG1193=0)),1,0))</f>
        <v/>
      </c>
      <c r="BJ1193">
        <f>IF(BH1193=0,"",IF('Tasks Filter'!$F$6="Descending",-1,1)*CHOOSE(MATCH('Tasks Filter'!$F$5,Lists!$G$2:$G$6,0),AW1193,BF1193,IFERROR(MATCH(AV1193,Setup!$F$6:$F$15,0),99),IFERROR(MATCH(BC1193,Setup!$H$6:$H$15,0),99),IFERROR(MATCH(AZ1193,Setup!$J$6:$J$11,0),99))*1E+9+(AW1193-40000)*10000+1192)</f>
        <v/>
      </c>
      <c r="BK1193">
        <f>IF(BI1193=1,BJ1193,"")</f>
        <v/>
      </c>
      <c r="BL1193">
        <f>IF(AND(BH1193=1,BG1193=0,N(AW1193)&lt;Setup!$D$7),(AW1193-40000)*10000+1192,"")</f>
        <v/>
      </c>
      <c r="BM1193">
        <f>IF(AND(BH1193=1,AZ1193&lt;&gt;"Cancelled",N(AW1193)&gt;=Dashboard!$AB$3,N(AW1193)&lt;=Dashboard!$AB$3+6),(AW1193-40000)*100000+BF1193*10000+1192,"")</f>
        <v/>
      </c>
      <c r="BN1193">
        <f>IF(AND(BH1193=1,AZ1193&lt;&gt;"Cancelled"),BF1193*10000+1192,"")</f>
        <v/>
      </c>
    </row>
    <row r="1194">
      <c r="AS1194" t="inlineStr">
        <is>
          <t>R</t>
        </is>
      </c>
      <c r="AT1194" t="n">
        <v>1198</v>
      </c>
      <c r="AU1194">
        <f>'Recurring Log'!C1198&amp;""</f>
        <v/>
      </c>
      <c r="AV1194">
        <f>'Recurring Log'!D1198&amp;""</f>
        <v/>
      </c>
      <c r="AW1194">
        <f>IF('Recurring Log'!E1198="","",'Recurring Log'!E1198)</f>
        <v/>
      </c>
      <c r="AX1194">
        <f>IF('Recurring Log'!G1198="","",'Recurring Log'!G1198)</f>
        <v/>
      </c>
      <c r="AY1194">
        <f>IF('Recurring Log'!H1198="","",'Recurring Log'!H1198)</f>
        <v/>
      </c>
      <c r="AZ1194">
        <f>IF(AU1194="","",IF('Recurring Log'!J1198="","Not Started",'Recurring Log'!J1198))</f>
        <v/>
      </c>
      <c r="BA1194">
        <f>'Recurring Log'!L1198&amp;""</f>
        <v/>
      </c>
      <c r="BB1194">
        <f>'Recurring Log'!M1198&amp;""</f>
        <v/>
      </c>
      <c r="BC1194">
        <f>'Recurring Log'!N1198&amp;""</f>
        <v/>
      </c>
      <c r="BD1194">
        <f>'Recurring Log'!O1198&amp;""</f>
        <v/>
      </c>
      <c r="BE1194">
        <f>IF('Recurring Log'!K1198="","",'Recurring Log'!K1198)</f>
        <v/>
      </c>
      <c r="BF1194">
        <f>IFERROR(MATCH(BA1194,Setup!$L$6:$L$9,0),5)</f>
        <v/>
      </c>
      <c r="BG1194">
        <f>IF(OR(AZ1194="Done",AZ1194="Cancelled"),1,0)</f>
        <v/>
      </c>
      <c r="BH1194">
        <f>IF(AND(AU1194&lt;&gt;"",ISNUMBER(AW1194)),1,0)</f>
        <v/>
      </c>
      <c r="BI1194">
        <f>IF(BH1194=0,0,IF(AND(AW1194&gt;='Tasks Filter'!$F$3,AW1194&lt;='Tasks Filter'!$F$4,OR('Tasks Filter'!$I$3="",ISNUMBER(SEARCH('Tasks Filter'!$I$3,AU1194))),OR('Tasks Filter'!$I$4="",BF1194=IFERROR(MATCH('Tasks Filter'!$I$4,Setup!$L$6:$L$9,0),0)),OR('Tasks Filter'!$I$5="Both",AND('Tasks Filter'!$I$5="Yes",BB1194="✓"),AND('Tasks Filter'!$I$5="No",BB1194&lt;&gt;"✓")),OR('Tasks Filter'!$L$3="",AV1194='Tasks Filter'!$L$3),OR('Tasks Filter'!$L$4="",AZ1194='Tasks Filter'!$L$4),OR('Tasks Filter'!$L$5="",BC1194='Tasks Filter'!$L$5),OR('Tasks Filter'!$O$3="",BD1194='Tasks Filter'!$O$3),OR('Tasks Filter'!$O$4="Yes",BG1194=0)),1,0))</f>
        <v/>
      </c>
      <c r="BJ1194">
        <f>IF(BH1194=0,"",IF('Tasks Filter'!$F$6="Descending",-1,1)*CHOOSE(MATCH('Tasks Filter'!$F$5,Lists!$G$2:$G$6,0),AW1194,BF1194,IFERROR(MATCH(AV1194,Setup!$F$6:$F$15,0),99),IFERROR(MATCH(BC1194,Setup!$H$6:$H$15,0),99),IFERROR(MATCH(AZ1194,Setup!$J$6:$J$11,0),99))*1E+9+(AW1194-40000)*10000+1193)</f>
        <v/>
      </c>
      <c r="BK1194">
        <f>IF(BI1194=1,BJ1194,"")</f>
        <v/>
      </c>
      <c r="BL1194">
        <f>IF(AND(BH1194=1,BG1194=0,N(AW1194)&lt;Setup!$D$7),(AW1194-40000)*10000+1193,"")</f>
        <v/>
      </c>
      <c r="BM1194">
        <f>IF(AND(BH1194=1,AZ1194&lt;&gt;"Cancelled",N(AW1194)&gt;=Dashboard!$AB$3,N(AW1194)&lt;=Dashboard!$AB$3+6),(AW1194-40000)*100000+BF1194*10000+1193,"")</f>
        <v/>
      </c>
      <c r="BN1194">
        <f>IF(AND(BH1194=1,AZ1194&lt;&gt;"Cancelled"),BF1194*10000+1193,"")</f>
        <v/>
      </c>
    </row>
    <row r="1195">
      <c r="AS1195" t="inlineStr">
        <is>
          <t>R</t>
        </is>
      </c>
      <c r="AT1195" t="n">
        <v>1199</v>
      </c>
      <c r="AU1195">
        <f>'Recurring Log'!C1199&amp;""</f>
        <v/>
      </c>
      <c r="AV1195">
        <f>'Recurring Log'!D1199&amp;""</f>
        <v/>
      </c>
      <c r="AW1195">
        <f>IF('Recurring Log'!E1199="","",'Recurring Log'!E1199)</f>
        <v/>
      </c>
      <c r="AX1195">
        <f>IF('Recurring Log'!G1199="","",'Recurring Log'!G1199)</f>
        <v/>
      </c>
      <c r="AY1195">
        <f>IF('Recurring Log'!H1199="","",'Recurring Log'!H1199)</f>
        <v/>
      </c>
      <c r="AZ1195">
        <f>IF(AU1195="","",IF('Recurring Log'!J1199="","Not Started",'Recurring Log'!J1199))</f>
        <v/>
      </c>
      <c r="BA1195">
        <f>'Recurring Log'!L1199&amp;""</f>
        <v/>
      </c>
      <c r="BB1195">
        <f>'Recurring Log'!M1199&amp;""</f>
        <v/>
      </c>
      <c r="BC1195">
        <f>'Recurring Log'!N1199&amp;""</f>
        <v/>
      </c>
      <c r="BD1195">
        <f>'Recurring Log'!O1199&amp;""</f>
        <v/>
      </c>
      <c r="BE1195">
        <f>IF('Recurring Log'!K1199="","",'Recurring Log'!K1199)</f>
        <v/>
      </c>
      <c r="BF1195">
        <f>IFERROR(MATCH(BA1195,Setup!$L$6:$L$9,0),5)</f>
        <v/>
      </c>
      <c r="BG1195">
        <f>IF(OR(AZ1195="Done",AZ1195="Cancelled"),1,0)</f>
        <v/>
      </c>
      <c r="BH1195">
        <f>IF(AND(AU1195&lt;&gt;"",ISNUMBER(AW1195)),1,0)</f>
        <v/>
      </c>
      <c r="BI1195">
        <f>IF(BH1195=0,0,IF(AND(AW1195&gt;='Tasks Filter'!$F$3,AW1195&lt;='Tasks Filter'!$F$4,OR('Tasks Filter'!$I$3="",ISNUMBER(SEARCH('Tasks Filter'!$I$3,AU1195))),OR('Tasks Filter'!$I$4="",BF1195=IFERROR(MATCH('Tasks Filter'!$I$4,Setup!$L$6:$L$9,0),0)),OR('Tasks Filter'!$I$5="Both",AND('Tasks Filter'!$I$5="Yes",BB1195="✓"),AND('Tasks Filter'!$I$5="No",BB1195&lt;&gt;"✓")),OR('Tasks Filter'!$L$3="",AV1195='Tasks Filter'!$L$3),OR('Tasks Filter'!$L$4="",AZ1195='Tasks Filter'!$L$4),OR('Tasks Filter'!$L$5="",BC1195='Tasks Filter'!$L$5),OR('Tasks Filter'!$O$3="",BD1195='Tasks Filter'!$O$3),OR('Tasks Filter'!$O$4="Yes",BG1195=0)),1,0))</f>
        <v/>
      </c>
      <c r="BJ1195">
        <f>IF(BH1195=0,"",IF('Tasks Filter'!$F$6="Descending",-1,1)*CHOOSE(MATCH('Tasks Filter'!$F$5,Lists!$G$2:$G$6,0),AW1195,BF1195,IFERROR(MATCH(AV1195,Setup!$F$6:$F$15,0),99),IFERROR(MATCH(BC1195,Setup!$H$6:$H$15,0),99),IFERROR(MATCH(AZ1195,Setup!$J$6:$J$11,0),99))*1E+9+(AW1195-40000)*10000+1194)</f>
        <v/>
      </c>
      <c r="BK1195">
        <f>IF(BI1195=1,BJ1195,"")</f>
        <v/>
      </c>
      <c r="BL1195">
        <f>IF(AND(BH1195=1,BG1195=0,N(AW1195)&lt;Setup!$D$7),(AW1195-40000)*10000+1194,"")</f>
        <v/>
      </c>
      <c r="BM1195">
        <f>IF(AND(BH1195=1,AZ1195&lt;&gt;"Cancelled",N(AW1195)&gt;=Dashboard!$AB$3,N(AW1195)&lt;=Dashboard!$AB$3+6),(AW1195-40000)*100000+BF1195*10000+1194,"")</f>
        <v/>
      </c>
      <c r="BN1195">
        <f>IF(AND(BH1195=1,AZ1195&lt;&gt;"Cancelled"),BF1195*10000+1194,"")</f>
        <v/>
      </c>
    </row>
    <row r="1196">
      <c r="AS1196" t="inlineStr">
        <is>
          <t>R</t>
        </is>
      </c>
      <c r="AT1196" t="n">
        <v>1200</v>
      </c>
      <c r="AU1196">
        <f>'Recurring Log'!C1200&amp;""</f>
        <v/>
      </c>
      <c r="AV1196">
        <f>'Recurring Log'!D1200&amp;""</f>
        <v/>
      </c>
      <c r="AW1196">
        <f>IF('Recurring Log'!E1200="","",'Recurring Log'!E1200)</f>
        <v/>
      </c>
      <c r="AX1196">
        <f>IF('Recurring Log'!G1200="","",'Recurring Log'!G1200)</f>
        <v/>
      </c>
      <c r="AY1196">
        <f>IF('Recurring Log'!H1200="","",'Recurring Log'!H1200)</f>
        <v/>
      </c>
      <c r="AZ1196">
        <f>IF(AU1196="","",IF('Recurring Log'!J1200="","Not Started",'Recurring Log'!J1200))</f>
        <v/>
      </c>
      <c r="BA1196">
        <f>'Recurring Log'!L1200&amp;""</f>
        <v/>
      </c>
      <c r="BB1196">
        <f>'Recurring Log'!M1200&amp;""</f>
        <v/>
      </c>
      <c r="BC1196">
        <f>'Recurring Log'!N1200&amp;""</f>
        <v/>
      </c>
      <c r="BD1196">
        <f>'Recurring Log'!O1200&amp;""</f>
        <v/>
      </c>
      <c r="BE1196">
        <f>IF('Recurring Log'!K1200="","",'Recurring Log'!K1200)</f>
        <v/>
      </c>
      <c r="BF1196">
        <f>IFERROR(MATCH(BA1196,Setup!$L$6:$L$9,0),5)</f>
        <v/>
      </c>
      <c r="BG1196">
        <f>IF(OR(AZ1196="Done",AZ1196="Cancelled"),1,0)</f>
        <v/>
      </c>
      <c r="BH1196">
        <f>IF(AND(AU1196&lt;&gt;"",ISNUMBER(AW1196)),1,0)</f>
        <v/>
      </c>
      <c r="BI1196">
        <f>IF(BH1196=0,0,IF(AND(AW1196&gt;='Tasks Filter'!$F$3,AW1196&lt;='Tasks Filter'!$F$4,OR('Tasks Filter'!$I$3="",ISNUMBER(SEARCH('Tasks Filter'!$I$3,AU1196))),OR('Tasks Filter'!$I$4="",BF1196=IFERROR(MATCH('Tasks Filter'!$I$4,Setup!$L$6:$L$9,0),0)),OR('Tasks Filter'!$I$5="Both",AND('Tasks Filter'!$I$5="Yes",BB1196="✓"),AND('Tasks Filter'!$I$5="No",BB1196&lt;&gt;"✓")),OR('Tasks Filter'!$L$3="",AV1196='Tasks Filter'!$L$3),OR('Tasks Filter'!$L$4="",AZ1196='Tasks Filter'!$L$4),OR('Tasks Filter'!$L$5="",BC1196='Tasks Filter'!$L$5),OR('Tasks Filter'!$O$3="",BD1196='Tasks Filter'!$O$3),OR('Tasks Filter'!$O$4="Yes",BG1196=0)),1,0))</f>
        <v/>
      </c>
      <c r="BJ1196">
        <f>IF(BH1196=0,"",IF('Tasks Filter'!$F$6="Descending",-1,1)*CHOOSE(MATCH('Tasks Filter'!$F$5,Lists!$G$2:$G$6,0),AW1196,BF1196,IFERROR(MATCH(AV1196,Setup!$F$6:$F$15,0),99),IFERROR(MATCH(BC1196,Setup!$H$6:$H$15,0),99),IFERROR(MATCH(AZ1196,Setup!$J$6:$J$11,0),99))*1E+9+(AW1196-40000)*10000+1195)</f>
        <v/>
      </c>
      <c r="BK1196">
        <f>IF(BI1196=1,BJ1196,"")</f>
        <v/>
      </c>
      <c r="BL1196">
        <f>IF(AND(BH1196=1,BG1196=0,N(AW1196)&lt;Setup!$D$7),(AW1196-40000)*10000+1195,"")</f>
        <v/>
      </c>
      <c r="BM1196">
        <f>IF(AND(BH1196=1,AZ1196&lt;&gt;"Cancelled",N(AW1196)&gt;=Dashboard!$AB$3,N(AW1196)&lt;=Dashboard!$AB$3+6),(AW1196-40000)*100000+BF1196*10000+1195,"")</f>
        <v/>
      </c>
      <c r="BN1196">
        <f>IF(AND(BH1196=1,AZ1196&lt;&gt;"Cancelled"),BF1196*10000+1195,"")</f>
        <v/>
      </c>
    </row>
    <row r="1197">
      <c r="AS1197" t="inlineStr">
        <is>
          <t>R</t>
        </is>
      </c>
      <c r="AT1197" t="n">
        <v>1201</v>
      </c>
      <c r="AU1197">
        <f>'Recurring Log'!C1201&amp;""</f>
        <v/>
      </c>
      <c r="AV1197">
        <f>'Recurring Log'!D1201&amp;""</f>
        <v/>
      </c>
      <c r="AW1197">
        <f>IF('Recurring Log'!E1201="","",'Recurring Log'!E1201)</f>
        <v/>
      </c>
      <c r="AX1197">
        <f>IF('Recurring Log'!G1201="","",'Recurring Log'!G1201)</f>
        <v/>
      </c>
      <c r="AY1197">
        <f>IF('Recurring Log'!H1201="","",'Recurring Log'!H1201)</f>
        <v/>
      </c>
      <c r="AZ1197">
        <f>IF(AU1197="","",IF('Recurring Log'!J1201="","Not Started",'Recurring Log'!J1201))</f>
        <v/>
      </c>
      <c r="BA1197">
        <f>'Recurring Log'!L1201&amp;""</f>
        <v/>
      </c>
      <c r="BB1197">
        <f>'Recurring Log'!M1201&amp;""</f>
        <v/>
      </c>
      <c r="BC1197">
        <f>'Recurring Log'!N1201&amp;""</f>
        <v/>
      </c>
      <c r="BD1197">
        <f>'Recurring Log'!O1201&amp;""</f>
        <v/>
      </c>
      <c r="BE1197">
        <f>IF('Recurring Log'!K1201="","",'Recurring Log'!K1201)</f>
        <v/>
      </c>
      <c r="BF1197">
        <f>IFERROR(MATCH(BA1197,Setup!$L$6:$L$9,0),5)</f>
        <v/>
      </c>
      <c r="BG1197">
        <f>IF(OR(AZ1197="Done",AZ1197="Cancelled"),1,0)</f>
        <v/>
      </c>
      <c r="BH1197">
        <f>IF(AND(AU1197&lt;&gt;"",ISNUMBER(AW1197)),1,0)</f>
        <v/>
      </c>
      <c r="BI1197">
        <f>IF(BH1197=0,0,IF(AND(AW1197&gt;='Tasks Filter'!$F$3,AW1197&lt;='Tasks Filter'!$F$4,OR('Tasks Filter'!$I$3="",ISNUMBER(SEARCH('Tasks Filter'!$I$3,AU1197))),OR('Tasks Filter'!$I$4="",BF1197=IFERROR(MATCH('Tasks Filter'!$I$4,Setup!$L$6:$L$9,0),0)),OR('Tasks Filter'!$I$5="Both",AND('Tasks Filter'!$I$5="Yes",BB1197="✓"),AND('Tasks Filter'!$I$5="No",BB1197&lt;&gt;"✓")),OR('Tasks Filter'!$L$3="",AV1197='Tasks Filter'!$L$3),OR('Tasks Filter'!$L$4="",AZ1197='Tasks Filter'!$L$4),OR('Tasks Filter'!$L$5="",BC1197='Tasks Filter'!$L$5),OR('Tasks Filter'!$O$3="",BD1197='Tasks Filter'!$O$3),OR('Tasks Filter'!$O$4="Yes",BG1197=0)),1,0))</f>
        <v/>
      </c>
      <c r="BJ1197">
        <f>IF(BH1197=0,"",IF('Tasks Filter'!$F$6="Descending",-1,1)*CHOOSE(MATCH('Tasks Filter'!$F$5,Lists!$G$2:$G$6,0),AW1197,BF1197,IFERROR(MATCH(AV1197,Setup!$F$6:$F$15,0),99),IFERROR(MATCH(BC1197,Setup!$H$6:$H$15,0),99),IFERROR(MATCH(AZ1197,Setup!$J$6:$J$11,0),99))*1E+9+(AW1197-40000)*10000+1196)</f>
        <v/>
      </c>
      <c r="BK1197">
        <f>IF(BI1197=1,BJ1197,"")</f>
        <v/>
      </c>
      <c r="BL1197">
        <f>IF(AND(BH1197=1,BG1197=0,N(AW1197)&lt;Setup!$D$7),(AW1197-40000)*10000+1196,"")</f>
        <v/>
      </c>
      <c r="BM1197">
        <f>IF(AND(BH1197=1,AZ1197&lt;&gt;"Cancelled",N(AW1197)&gt;=Dashboard!$AB$3,N(AW1197)&lt;=Dashboard!$AB$3+6),(AW1197-40000)*100000+BF1197*10000+1196,"")</f>
        <v/>
      </c>
      <c r="BN1197">
        <f>IF(AND(BH1197=1,AZ1197&lt;&gt;"Cancelled"),BF1197*10000+1196,"")</f>
        <v/>
      </c>
    </row>
    <row r="1198">
      <c r="AS1198" t="inlineStr">
        <is>
          <t>R</t>
        </is>
      </c>
      <c r="AT1198" t="n">
        <v>1202</v>
      </c>
      <c r="AU1198">
        <f>'Recurring Log'!C1202&amp;""</f>
        <v/>
      </c>
      <c r="AV1198">
        <f>'Recurring Log'!D1202&amp;""</f>
        <v/>
      </c>
      <c r="AW1198">
        <f>IF('Recurring Log'!E1202="","",'Recurring Log'!E1202)</f>
        <v/>
      </c>
      <c r="AX1198">
        <f>IF('Recurring Log'!G1202="","",'Recurring Log'!G1202)</f>
        <v/>
      </c>
      <c r="AY1198">
        <f>IF('Recurring Log'!H1202="","",'Recurring Log'!H1202)</f>
        <v/>
      </c>
      <c r="AZ1198">
        <f>IF(AU1198="","",IF('Recurring Log'!J1202="","Not Started",'Recurring Log'!J1202))</f>
        <v/>
      </c>
      <c r="BA1198">
        <f>'Recurring Log'!L1202&amp;""</f>
        <v/>
      </c>
      <c r="BB1198">
        <f>'Recurring Log'!M1202&amp;""</f>
        <v/>
      </c>
      <c r="BC1198">
        <f>'Recurring Log'!N1202&amp;""</f>
        <v/>
      </c>
      <c r="BD1198">
        <f>'Recurring Log'!O1202&amp;""</f>
        <v/>
      </c>
      <c r="BE1198">
        <f>IF('Recurring Log'!K1202="","",'Recurring Log'!K1202)</f>
        <v/>
      </c>
      <c r="BF1198">
        <f>IFERROR(MATCH(BA1198,Setup!$L$6:$L$9,0),5)</f>
        <v/>
      </c>
      <c r="BG1198">
        <f>IF(OR(AZ1198="Done",AZ1198="Cancelled"),1,0)</f>
        <v/>
      </c>
      <c r="BH1198">
        <f>IF(AND(AU1198&lt;&gt;"",ISNUMBER(AW1198)),1,0)</f>
        <v/>
      </c>
      <c r="BI1198">
        <f>IF(BH1198=0,0,IF(AND(AW1198&gt;='Tasks Filter'!$F$3,AW1198&lt;='Tasks Filter'!$F$4,OR('Tasks Filter'!$I$3="",ISNUMBER(SEARCH('Tasks Filter'!$I$3,AU1198))),OR('Tasks Filter'!$I$4="",BF1198=IFERROR(MATCH('Tasks Filter'!$I$4,Setup!$L$6:$L$9,0),0)),OR('Tasks Filter'!$I$5="Both",AND('Tasks Filter'!$I$5="Yes",BB1198="✓"),AND('Tasks Filter'!$I$5="No",BB1198&lt;&gt;"✓")),OR('Tasks Filter'!$L$3="",AV1198='Tasks Filter'!$L$3),OR('Tasks Filter'!$L$4="",AZ1198='Tasks Filter'!$L$4),OR('Tasks Filter'!$L$5="",BC1198='Tasks Filter'!$L$5),OR('Tasks Filter'!$O$3="",BD1198='Tasks Filter'!$O$3),OR('Tasks Filter'!$O$4="Yes",BG1198=0)),1,0))</f>
        <v/>
      </c>
      <c r="BJ1198">
        <f>IF(BH1198=0,"",IF('Tasks Filter'!$F$6="Descending",-1,1)*CHOOSE(MATCH('Tasks Filter'!$F$5,Lists!$G$2:$G$6,0),AW1198,BF1198,IFERROR(MATCH(AV1198,Setup!$F$6:$F$15,0),99),IFERROR(MATCH(BC1198,Setup!$H$6:$H$15,0),99),IFERROR(MATCH(AZ1198,Setup!$J$6:$J$11,0),99))*1E+9+(AW1198-40000)*10000+1197)</f>
        <v/>
      </c>
      <c r="BK1198">
        <f>IF(BI1198=1,BJ1198,"")</f>
        <v/>
      </c>
      <c r="BL1198">
        <f>IF(AND(BH1198=1,BG1198=0,N(AW1198)&lt;Setup!$D$7),(AW1198-40000)*10000+1197,"")</f>
        <v/>
      </c>
      <c r="BM1198">
        <f>IF(AND(BH1198=1,AZ1198&lt;&gt;"Cancelled",N(AW1198)&gt;=Dashboard!$AB$3,N(AW1198)&lt;=Dashboard!$AB$3+6),(AW1198-40000)*100000+BF1198*10000+1197,"")</f>
        <v/>
      </c>
      <c r="BN1198">
        <f>IF(AND(BH1198=1,AZ1198&lt;&gt;"Cancelled"),BF1198*10000+1197,"")</f>
        <v/>
      </c>
    </row>
    <row r="1199">
      <c r="AS1199" t="inlineStr">
        <is>
          <t>R</t>
        </is>
      </c>
      <c r="AT1199" t="n">
        <v>1203</v>
      </c>
      <c r="AU1199">
        <f>'Recurring Log'!C1203&amp;""</f>
        <v/>
      </c>
      <c r="AV1199">
        <f>'Recurring Log'!D1203&amp;""</f>
        <v/>
      </c>
      <c r="AW1199">
        <f>IF('Recurring Log'!E1203="","",'Recurring Log'!E1203)</f>
        <v/>
      </c>
      <c r="AX1199">
        <f>IF('Recurring Log'!G1203="","",'Recurring Log'!G1203)</f>
        <v/>
      </c>
      <c r="AY1199">
        <f>IF('Recurring Log'!H1203="","",'Recurring Log'!H1203)</f>
        <v/>
      </c>
      <c r="AZ1199">
        <f>IF(AU1199="","",IF('Recurring Log'!J1203="","Not Started",'Recurring Log'!J1203))</f>
        <v/>
      </c>
      <c r="BA1199">
        <f>'Recurring Log'!L1203&amp;""</f>
        <v/>
      </c>
      <c r="BB1199">
        <f>'Recurring Log'!M1203&amp;""</f>
        <v/>
      </c>
      <c r="BC1199">
        <f>'Recurring Log'!N1203&amp;""</f>
        <v/>
      </c>
      <c r="BD1199">
        <f>'Recurring Log'!O1203&amp;""</f>
        <v/>
      </c>
      <c r="BE1199">
        <f>IF('Recurring Log'!K1203="","",'Recurring Log'!K1203)</f>
        <v/>
      </c>
      <c r="BF1199">
        <f>IFERROR(MATCH(BA1199,Setup!$L$6:$L$9,0),5)</f>
        <v/>
      </c>
      <c r="BG1199">
        <f>IF(OR(AZ1199="Done",AZ1199="Cancelled"),1,0)</f>
        <v/>
      </c>
      <c r="BH1199">
        <f>IF(AND(AU1199&lt;&gt;"",ISNUMBER(AW1199)),1,0)</f>
        <v/>
      </c>
      <c r="BI1199">
        <f>IF(BH1199=0,0,IF(AND(AW1199&gt;='Tasks Filter'!$F$3,AW1199&lt;='Tasks Filter'!$F$4,OR('Tasks Filter'!$I$3="",ISNUMBER(SEARCH('Tasks Filter'!$I$3,AU1199))),OR('Tasks Filter'!$I$4="",BF1199=IFERROR(MATCH('Tasks Filter'!$I$4,Setup!$L$6:$L$9,0),0)),OR('Tasks Filter'!$I$5="Both",AND('Tasks Filter'!$I$5="Yes",BB1199="✓"),AND('Tasks Filter'!$I$5="No",BB1199&lt;&gt;"✓")),OR('Tasks Filter'!$L$3="",AV1199='Tasks Filter'!$L$3),OR('Tasks Filter'!$L$4="",AZ1199='Tasks Filter'!$L$4),OR('Tasks Filter'!$L$5="",BC1199='Tasks Filter'!$L$5),OR('Tasks Filter'!$O$3="",BD1199='Tasks Filter'!$O$3),OR('Tasks Filter'!$O$4="Yes",BG1199=0)),1,0))</f>
        <v/>
      </c>
      <c r="BJ1199">
        <f>IF(BH1199=0,"",IF('Tasks Filter'!$F$6="Descending",-1,1)*CHOOSE(MATCH('Tasks Filter'!$F$5,Lists!$G$2:$G$6,0),AW1199,BF1199,IFERROR(MATCH(AV1199,Setup!$F$6:$F$15,0),99),IFERROR(MATCH(BC1199,Setup!$H$6:$H$15,0),99),IFERROR(MATCH(AZ1199,Setup!$J$6:$J$11,0),99))*1E+9+(AW1199-40000)*10000+1198)</f>
        <v/>
      </c>
      <c r="BK1199">
        <f>IF(BI1199=1,BJ1199,"")</f>
        <v/>
      </c>
      <c r="BL1199">
        <f>IF(AND(BH1199=1,BG1199=0,N(AW1199)&lt;Setup!$D$7),(AW1199-40000)*10000+1198,"")</f>
        <v/>
      </c>
      <c r="BM1199">
        <f>IF(AND(BH1199=1,AZ1199&lt;&gt;"Cancelled",N(AW1199)&gt;=Dashboard!$AB$3,N(AW1199)&lt;=Dashboard!$AB$3+6),(AW1199-40000)*100000+BF1199*10000+1198,"")</f>
        <v/>
      </c>
      <c r="BN1199">
        <f>IF(AND(BH1199=1,AZ1199&lt;&gt;"Cancelled"),BF1199*10000+1198,"")</f>
        <v/>
      </c>
    </row>
    <row r="1200">
      <c r="AS1200" t="inlineStr">
        <is>
          <t>R</t>
        </is>
      </c>
      <c r="AT1200" t="n">
        <v>1204</v>
      </c>
      <c r="AU1200">
        <f>'Recurring Log'!C1204&amp;""</f>
        <v/>
      </c>
      <c r="AV1200">
        <f>'Recurring Log'!D1204&amp;""</f>
        <v/>
      </c>
      <c r="AW1200">
        <f>IF('Recurring Log'!E1204="","",'Recurring Log'!E1204)</f>
        <v/>
      </c>
      <c r="AX1200">
        <f>IF('Recurring Log'!G1204="","",'Recurring Log'!G1204)</f>
        <v/>
      </c>
      <c r="AY1200">
        <f>IF('Recurring Log'!H1204="","",'Recurring Log'!H1204)</f>
        <v/>
      </c>
      <c r="AZ1200">
        <f>IF(AU1200="","",IF('Recurring Log'!J1204="","Not Started",'Recurring Log'!J1204))</f>
        <v/>
      </c>
      <c r="BA1200">
        <f>'Recurring Log'!L1204&amp;""</f>
        <v/>
      </c>
      <c r="BB1200">
        <f>'Recurring Log'!M1204&amp;""</f>
        <v/>
      </c>
      <c r="BC1200">
        <f>'Recurring Log'!N1204&amp;""</f>
        <v/>
      </c>
      <c r="BD1200">
        <f>'Recurring Log'!O1204&amp;""</f>
        <v/>
      </c>
      <c r="BE1200">
        <f>IF('Recurring Log'!K1204="","",'Recurring Log'!K1204)</f>
        <v/>
      </c>
      <c r="BF1200">
        <f>IFERROR(MATCH(BA1200,Setup!$L$6:$L$9,0),5)</f>
        <v/>
      </c>
      <c r="BG1200">
        <f>IF(OR(AZ1200="Done",AZ1200="Cancelled"),1,0)</f>
        <v/>
      </c>
      <c r="BH1200">
        <f>IF(AND(AU1200&lt;&gt;"",ISNUMBER(AW1200)),1,0)</f>
        <v/>
      </c>
      <c r="BI1200">
        <f>IF(BH1200=0,0,IF(AND(AW1200&gt;='Tasks Filter'!$F$3,AW1200&lt;='Tasks Filter'!$F$4,OR('Tasks Filter'!$I$3="",ISNUMBER(SEARCH('Tasks Filter'!$I$3,AU1200))),OR('Tasks Filter'!$I$4="",BF1200=IFERROR(MATCH('Tasks Filter'!$I$4,Setup!$L$6:$L$9,0),0)),OR('Tasks Filter'!$I$5="Both",AND('Tasks Filter'!$I$5="Yes",BB1200="✓"),AND('Tasks Filter'!$I$5="No",BB1200&lt;&gt;"✓")),OR('Tasks Filter'!$L$3="",AV1200='Tasks Filter'!$L$3),OR('Tasks Filter'!$L$4="",AZ1200='Tasks Filter'!$L$4),OR('Tasks Filter'!$L$5="",BC1200='Tasks Filter'!$L$5),OR('Tasks Filter'!$O$3="",BD1200='Tasks Filter'!$O$3),OR('Tasks Filter'!$O$4="Yes",BG1200=0)),1,0))</f>
        <v/>
      </c>
      <c r="BJ1200">
        <f>IF(BH1200=0,"",IF('Tasks Filter'!$F$6="Descending",-1,1)*CHOOSE(MATCH('Tasks Filter'!$F$5,Lists!$G$2:$G$6,0),AW1200,BF1200,IFERROR(MATCH(AV1200,Setup!$F$6:$F$15,0),99),IFERROR(MATCH(BC1200,Setup!$H$6:$H$15,0),99),IFERROR(MATCH(AZ1200,Setup!$J$6:$J$11,0),99))*1E+9+(AW1200-40000)*10000+1199)</f>
        <v/>
      </c>
      <c r="BK1200">
        <f>IF(BI1200=1,BJ1200,"")</f>
        <v/>
      </c>
      <c r="BL1200">
        <f>IF(AND(BH1200=1,BG1200=0,N(AW1200)&lt;Setup!$D$7),(AW1200-40000)*10000+1199,"")</f>
        <v/>
      </c>
      <c r="BM1200">
        <f>IF(AND(BH1200=1,AZ1200&lt;&gt;"Cancelled",N(AW1200)&gt;=Dashboard!$AB$3,N(AW1200)&lt;=Dashboard!$AB$3+6),(AW1200-40000)*100000+BF1200*10000+1199,"")</f>
        <v/>
      </c>
      <c r="BN1200">
        <f>IF(AND(BH1200=1,AZ1200&lt;&gt;"Cancelled"),BF1200*10000+1199,"")</f>
        <v/>
      </c>
    </row>
    <row r="1201">
      <c r="AS1201" t="inlineStr">
        <is>
          <t>R</t>
        </is>
      </c>
      <c r="AT1201" t="n">
        <v>1205</v>
      </c>
      <c r="AU1201">
        <f>'Recurring Log'!C1205&amp;""</f>
        <v/>
      </c>
      <c r="AV1201">
        <f>'Recurring Log'!D1205&amp;""</f>
        <v/>
      </c>
      <c r="AW1201">
        <f>IF('Recurring Log'!E1205="","",'Recurring Log'!E1205)</f>
        <v/>
      </c>
      <c r="AX1201">
        <f>IF('Recurring Log'!G1205="","",'Recurring Log'!G1205)</f>
        <v/>
      </c>
      <c r="AY1201">
        <f>IF('Recurring Log'!H1205="","",'Recurring Log'!H1205)</f>
        <v/>
      </c>
      <c r="AZ1201">
        <f>IF(AU1201="","",IF('Recurring Log'!J1205="","Not Started",'Recurring Log'!J1205))</f>
        <v/>
      </c>
      <c r="BA1201">
        <f>'Recurring Log'!L1205&amp;""</f>
        <v/>
      </c>
      <c r="BB1201">
        <f>'Recurring Log'!M1205&amp;""</f>
        <v/>
      </c>
      <c r="BC1201">
        <f>'Recurring Log'!N1205&amp;""</f>
        <v/>
      </c>
      <c r="BD1201">
        <f>'Recurring Log'!O1205&amp;""</f>
        <v/>
      </c>
      <c r="BE1201">
        <f>IF('Recurring Log'!K1205="","",'Recurring Log'!K1205)</f>
        <v/>
      </c>
      <c r="BF1201">
        <f>IFERROR(MATCH(BA1201,Setup!$L$6:$L$9,0),5)</f>
        <v/>
      </c>
      <c r="BG1201">
        <f>IF(OR(AZ1201="Done",AZ1201="Cancelled"),1,0)</f>
        <v/>
      </c>
      <c r="BH1201">
        <f>IF(AND(AU1201&lt;&gt;"",ISNUMBER(AW1201)),1,0)</f>
        <v/>
      </c>
      <c r="BI1201">
        <f>IF(BH1201=0,0,IF(AND(AW1201&gt;='Tasks Filter'!$F$3,AW1201&lt;='Tasks Filter'!$F$4,OR('Tasks Filter'!$I$3="",ISNUMBER(SEARCH('Tasks Filter'!$I$3,AU1201))),OR('Tasks Filter'!$I$4="",BF1201=IFERROR(MATCH('Tasks Filter'!$I$4,Setup!$L$6:$L$9,0),0)),OR('Tasks Filter'!$I$5="Both",AND('Tasks Filter'!$I$5="Yes",BB1201="✓"),AND('Tasks Filter'!$I$5="No",BB1201&lt;&gt;"✓")),OR('Tasks Filter'!$L$3="",AV1201='Tasks Filter'!$L$3),OR('Tasks Filter'!$L$4="",AZ1201='Tasks Filter'!$L$4),OR('Tasks Filter'!$L$5="",BC1201='Tasks Filter'!$L$5),OR('Tasks Filter'!$O$3="",BD1201='Tasks Filter'!$O$3),OR('Tasks Filter'!$O$4="Yes",BG1201=0)),1,0))</f>
        <v/>
      </c>
      <c r="BJ1201">
        <f>IF(BH1201=0,"",IF('Tasks Filter'!$F$6="Descending",-1,1)*CHOOSE(MATCH('Tasks Filter'!$F$5,Lists!$G$2:$G$6,0),AW1201,BF1201,IFERROR(MATCH(AV1201,Setup!$F$6:$F$15,0),99),IFERROR(MATCH(BC1201,Setup!$H$6:$H$15,0),99),IFERROR(MATCH(AZ1201,Setup!$J$6:$J$11,0),99))*1E+9+(AW1201-40000)*10000+1200)</f>
        <v/>
      </c>
      <c r="BK1201">
        <f>IF(BI1201=1,BJ1201,"")</f>
        <v/>
      </c>
      <c r="BL1201">
        <f>IF(AND(BH1201=1,BG1201=0,N(AW1201)&lt;Setup!$D$7),(AW1201-40000)*10000+1200,"")</f>
        <v/>
      </c>
      <c r="BM1201">
        <f>IF(AND(BH1201=1,AZ1201&lt;&gt;"Cancelled",N(AW1201)&gt;=Dashboard!$AB$3,N(AW1201)&lt;=Dashboard!$AB$3+6),(AW1201-40000)*100000+BF1201*10000+1200,"")</f>
        <v/>
      </c>
      <c r="BN1201">
        <f>IF(AND(BH1201=1,AZ1201&lt;&gt;"Cancelled"),BF1201*10000+1200,"")</f>
        <v/>
      </c>
    </row>
    <row r="1202">
      <c r="AS1202" t="inlineStr">
        <is>
          <t>R</t>
        </is>
      </c>
      <c r="AT1202" t="n">
        <v>1206</v>
      </c>
      <c r="AU1202">
        <f>'Recurring Log'!C1206&amp;""</f>
        <v/>
      </c>
      <c r="AV1202">
        <f>'Recurring Log'!D1206&amp;""</f>
        <v/>
      </c>
      <c r="AW1202">
        <f>IF('Recurring Log'!E1206="","",'Recurring Log'!E1206)</f>
        <v/>
      </c>
      <c r="AX1202">
        <f>IF('Recurring Log'!G1206="","",'Recurring Log'!G1206)</f>
        <v/>
      </c>
      <c r="AY1202">
        <f>IF('Recurring Log'!H1206="","",'Recurring Log'!H1206)</f>
        <v/>
      </c>
      <c r="AZ1202">
        <f>IF(AU1202="","",IF('Recurring Log'!J1206="","Not Started",'Recurring Log'!J1206))</f>
        <v/>
      </c>
      <c r="BA1202">
        <f>'Recurring Log'!L1206&amp;""</f>
        <v/>
      </c>
      <c r="BB1202">
        <f>'Recurring Log'!M1206&amp;""</f>
        <v/>
      </c>
      <c r="BC1202">
        <f>'Recurring Log'!N1206&amp;""</f>
        <v/>
      </c>
      <c r="BD1202">
        <f>'Recurring Log'!O1206&amp;""</f>
        <v/>
      </c>
      <c r="BE1202">
        <f>IF('Recurring Log'!K1206="","",'Recurring Log'!K1206)</f>
        <v/>
      </c>
      <c r="BF1202">
        <f>IFERROR(MATCH(BA1202,Setup!$L$6:$L$9,0),5)</f>
        <v/>
      </c>
      <c r="BG1202">
        <f>IF(OR(AZ1202="Done",AZ1202="Cancelled"),1,0)</f>
        <v/>
      </c>
      <c r="BH1202">
        <f>IF(AND(AU1202&lt;&gt;"",ISNUMBER(AW1202)),1,0)</f>
        <v/>
      </c>
      <c r="BI1202">
        <f>IF(BH1202=0,0,IF(AND(AW1202&gt;='Tasks Filter'!$F$3,AW1202&lt;='Tasks Filter'!$F$4,OR('Tasks Filter'!$I$3="",ISNUMBER(SEARCH('Tasks Filter'!$I$3,AU1202))),OR('Tasks Filter'!$I$4="",BF1202=IFERROR(MATCH('Tasks Filter'!$I$4,Setup!$L$6:$L$9,0),0)),OR('Tasks Filter'!$I$5="Both",AND('Tasks Filter'!$I$5="Yes",BB1202="✓"),AND('Tasks Filter'!$I$5="No",BB1202&lt;&gt;"✓")),OR('Tasks Filter'!$L$3="",AV1202='Tasks Filter'!$L$3),OR('Tasks Filter'!$L$4="",AZ1202='Tasks Filter'!$L$4),OR('Tasks Filter'!$L$5="",BC1202='Tasks Filter'!$L$5),OR('Tasks Filter'!$O$3="",BD1202='Tasks Filter'!$O$3),OR('Tasks Filter'!$O$4="Yes",BG1202=0)),1,0))</f>
        <v/>
      </c>
      <c r="BJ1202">
        <f>IF(BH1202=0,"",IF('Tasks Filter'!$F$6="Descending",-1,1)*CHOOSE(MATCH('Tasks Filter'!$F$5,Lists!$G$2:$G$6,0),AW1202,BF1202,IFERROR(MATCH(AV1202,Setup!$F$6:$F$15,0),99),IFERROR(MATCH(BC1202,Setup!$H$6:$H$15,0),99),IFERROR(MATCH(AZ1202,Setup!$J$6:$J$11,0),99))*1E+9+(AW1202-40000)*10000+1201)</f>
        <v/>
      </c>
      <c r="BK1202">
        <f>IF(BI1202=1,BJ1202,"")</f>
        <v/>
      </c>
      <c r="BL1202">
        <f>IF(AND(BH1202=1,BG1202=0,N(AW1202)&lt;Setup!$D$7),(AW1202-40000)*10000+1201,"")</f>
        <v/>
      </c>
      <c r="BM1202">
        <f>IF(AND(BH1202=1,AZ1202&lt;&gt;"Cancelled",N(AW1202)&gt;=Dashboard!$AB$3,N(AW1202)&lt;=Dashboard!$AB$3+6),(AW1202-40000)*100000+BF1202*10000+1201,"")</f>
        <v/>
      </c>
      <c r="BN1202">
        <f>IF(AND(BH1202=1,AZ1202&lt;&gt;"Cancelled"),BF1202*10000+1201,"")</f>
        <v/>
      </c>
    </row>
    <row r="1203">
      <c r="AS1203" t="inlineStr">
        <is>
          <t>R</t>
        </is>
      </c>
      <c r="AT1203" t="n">
        <v>1207</v>
      </c>
      <c r="AU1203">
        <f>'Recurring Log'!C1207&amp;""</f>
        <v/>
      </c>
      <c r="AV1203">
        <f>'Recurring Log'!D1207&amp;""</f>
        <v/>
      </c>
      <c r="AW1203">
        <f>IF('Recurring Log'!E1207="","",'Recurring Log'!E1207)</f>
        <v/>
      </c>
      <c r="AX1203">
        <f>IF('Recurring Log'!G1207="","",'Recurring Log'!G1207)</f>
        <v/>
      </c>
      <c r="AY1203">
        <f>IF('Recurring Log'!H1207="","",'Recurring Log'!H1207)</f>
        <v/>
      </c>
      <c r="AZ1203">
        <f>IF(AU1203="","",IF('Recurring Log'!J1207="","Not Started",'Recurring Log'!J1207))</f>
        <v/>
      </c>
      <c r="BA1203">
        <f>'Recurring Log'!L1207&amp;""</f>
        <v/>
      </c>
      <c r="BB1203">
        <f>'Recurring Log'!M1207&amp;""</f>
        <v/>
      </c>
      <c r="BC1203">
        <f>'Recurring Log'!N1207&amp;""</f>
        <v/>
      </c>
      <c r="BD1203">
        <f>'Recurring Log'!O1207&amp;""</f>
        <v/>
      </c>
      <c r="BE1203">
        <f>IF('Recurring Log'!K1207="","",'Recurring Log'!K1207)</f>
        <v/>
      </c>
      <c r="BF1203">
        <f>IFERROR(MATCH(BA1203,Setup!$L$6:$L$9,0),5)</f>
        <v/>
      </c>
      <c r="BG1203">
        <f>IF(OR(AZ1203="Done",AZ1203="Cancelled"),1,0)</f>
        <v/>
      </c>
      <c r="BH1203">
        <f>IF(AND(AU1203&lt;&gt;"",ISNUMBER(AW1203)),1,0)</f>
        <v/>
      </c>
      <c r="BI1203">
        <f>IF(BH1203=0,0,IF(AND(AW1203&gt;='Tasks Filter'!$F$3,AW1203&lt;='Tasks Filter'!$F$4,OR('Tasks Filter'!$I$3="",ISNUMBER(SEARCH('Tasks Filter'!$I$3,AU1203))),OR('Tasks Filter'!$I$4="",BF1203=IFERROR(MATCH('Tasks Filter'!$I$4,Setup!$L$6:$L$9,0),0)),OR('Tasks Filter'!$I$5="Both",AND('Tasks Filter'!$I$5="Yes",BB1203="✓"),AND('Tasks Filter'!$I$5="No",BB1203&lt;&gt;"✓")),OR('Tasks Filter'!$L$3="",AV1203='Tasks Filter'!$L$3),OR('Tasks Filter'!$L$4="",AZ1203='Tasks Filter'!$L$4),OR('Tasks Filter'!$L$5="",BC1203='Tasks Filter'!$L$5),OR('Tasks Filter'!$O$3="",BD1203='Tasks Filter'!$O$3),OR('Tasks Filter'!$O$4="Yes",BG1203=0)),1,0))</f>
        <v/>
      </c>
      <c r="BJ1203">
        <f>IF(BH1203=0,"",IF('Tasks Filter'!$F$6="Descending",-1,1)*CHOOSE(MATCH('Tasks Filter'!$F$5,Lists!$G$2:$G$6,0),AW1203,BF1203,IFERROR(MATCH(AV1203,Setup!$F$6:$F$15,0),99),IFERROR(MATCH(BC1203,Setup!$H$6:$H$15,0),99),IFERROR(MATCH(AZ1203,Setup!$J$6:$J$11,0),99))*1E+9+(AW1203-40000)*10000+1202)</f>
        <v/>
      </c>
      <c r="BK1203">
        <f>IF(BI1203=1,BJ1203,"")</f>
        <v/>
      </c>
      <c r="BL1203">
        <f>IF(AND(BH1203=1,BG1203=0,N(AW1203)&lt;Setup!$D$7),(AW1203-40000)*10000+1202,"")</f>
        <v/>
      </c>
      <c r="BM1203">
        <f>IF(AND(BH1203=1,AZ1203&lt;&gt;"Cancelled",N(AW1203)&gt;=Dashboard!$AB$3,N(AW1203)&lt;=Dashboard!$AB$3+6),(AW1203-40000)*100000+BF1203*10000+1202,"")</f>
        <v/>
      </c>
      <c r="BN1203">
        <f>IF(AND(BH1203=1,AZ1203&lt;&gt;"Cancelled"),BF1203*10000+1202,"")</f>
        <v/>
      </c>
    </row>
    <row r="1204">
      <c r="AS1204" t="inlineStr">
        <is>
          <t>R</t>
        </is>
      </c>
      <c r="AT1204" t="n">
        <v>1208</v>
      </c>
      <c r="AU1204">
        <f>'Recurring Log'!C1208&amp;""</f>
        <v/>
      </c>
      <c r="AV1204">
        <f>'Recurring Log'!D1208&amp;""</f>
        <v/>
      </c>
      <c r="AW1204">
        <f>IF('Recurring Log'!E1208="","",'Recurring Log'!E1208)</f>
        <v/>
      </c>
      <c r="AX1204">
        <f>IF('Recurring Log'!G1208="","",'Recurring Log'!G1208)</f>
        <v/>
      </c>
      <c r="AY1204">
        <f>IF('Recurring Log'!H1208="","",'Recurring Log'!H1208)</f>
        <v/>
      </c>
      <c r="AZ1204">
        <f>IF(AU1204="","",IF('Recurring Log'!J1208="","Not Started",'Recurring Log'!J1208))</f>
        <v/>
      </c>
      <c r="BA1204">
        <f>'Recurring Log'!L1208&amp;""</f>
        <v/>
      </c>
      <c r="BB1204">
        <f>'Recurring Log'!M1208&amp;""</f>
        <v/>
      </c>
      <c r="BC1204">
        <f>'Recurring Log'!N1208&amp;""</f>
        <v/>
      </c>
      <c r="BD1204">
        <f>'Recurring Log'!O1208&amp;""</f>
        <v/>
      </c>
      <c r="BE1204">
        <f>IF('Recurring Log'!K1208="","",'Recurring Log'!K1208)</f>
        <v/>
      </c>
      <c r="BF1204">
        <f>IFERROR(MATCH(BA1204,Setup!$L$6:$L$9,0),5)</f>
        <v/>
      </c>
      <c r="BG1204">
        <f>IF(OR(AZ1204="Done",AZ1204="Cancelled"),1,0)</f>
        <v/>
      </c>
      <c r="BH1204">
        <f>IF(AND(AU1204&lt;&gt;"",ISNUMBER(AW1204)),1,0)</f>
        <v/>
      </c>
      <c r="BI1204">
        <f>IF(BH1204=0,0,IF(AND(AW1204&gt;='Tasks Filter'!$F$3,AW1204&lt;='Tasks Filter'!$F$4,OR('Tasks Filter'!$I$3="",ISNUMBER(SEARCH('Tasks Filter'!$I$3,AU1204))),OR('Tasks Filter'!$I$4="",BF1204=IFERROR(MATCH('Tasks Filter'!$I$4,Setup!$L$6:$L$9,0),0)),OR('Tasks Filter'!$I$5="Both",AND('Tasks Filter'!$I$5="Yes",BB1204="✓"),AND('Tasks Filter'!$I$5="No",BB1204&lt;&gt;"✓")),OR('Tasks Filter'!$L$3="",AV1204='Tasks Filter'!$L$3),OR('Tasks Filter'!$L$4="",AZ1204='Tasks Filter'!$L$4),OR('Tasks Filter'!$L$5="",BC1204='Tasks Filter'!$L$5),OR('Tasks Filter'!$O$3="",BD1204='Tasks Filter'!$O$3),OR('Tasks Filter'!$O$4="Yes",BG1204=0)),1,0))</f>
        <v/>
      </c>
      <c r="BJ1204">
        <f>IF(BH1204=0,"",IF('Tasks Filter'!$F$6="Descending",-1,1)*CHOOSE(MATCH('Tasks Filter'!$F$5,Lists!$G$2:$G$6,0),AW1204,BF1204,IFERROR(MATCH(AV1204,Setup!$F$6:$F$15,0),99),IFERROR(MATCH(BC1204,Setup!$H$6:$H$15,0),99),IFERROR(MATCH(AZ1204,Setup!$J$6:$J$11,0),99))*1E+9+(AW1204-40000)*10000+1203)</f>
        <v/>
      </c>
      <c r="BK1204">
        <f>IF(BI1204=1,BJ1204,"")</f>
        <v/>
      </c>
      <c r="BL1204">
        <f>IF(AND(BH1204=1,BG1204=0,N(AW1204)&lt;Setup!$D$7),(AW1204-40000)*10000+1203,"")</f>
        <v/>
      </c>
      <c r="BM1204">
        <f>IF(AND(BH1204=1,AZ1204&lt;&gt;"Cancelled",N(AW1204)&gt;=Dashboard!$AB$3,N(AW1204)&lt;=Dashboard!$AB$3+6),(AW1204-40000)*100000+BF1204*10000+1203,"")</f>
        <v/>
      </c>
      <c r="BN1204">
        <f>IF(AND(BH1204=1,AZ1204&lt;&gt;"Cancelled"),BF1204*10000+1203,"")</f>
        <v/>
      </c>
    </row>
    <row r="1205">
      <c r="AS1205" t="inlineStr">
        <is>
          <t>R</t>
        </is>
      </c>
      <c r="AT1205" t="n">
        <v>1209</v>
      </c>
      <c r="AU1205">
        <f>'Recurring Log'!C1209&amp;""</f>
        <v/>
      </c>
      <c r="AV1205">
        <f>'Recurring Log'!D1209&amp;""</f>
        <v/>
      </c>
      <c r="AW1205">
        <f>IF('Recurring Log'!E1209="","",'Recurring Log'!E1209)</f>
        <v/>
      </c>
      <c r="AX1205">
        <f>IF('Recurring Log'!G1209="","",'Recurring Log'!G1209)</f>
        <v/>
      </c>
      <c r="AY1205">
        <f>IF('Recurring Log'!H1209="","",'Recurring Log'!H1209)</f>
        <v/>
      </c>
      <c r="AZ1205">
        <f>IF(AU1205="","",IF('Recurring Log'!J1209="","Not Started",'Recurring Log'!J1209))</f>
        <v/>
      </c>
      <c r="BA1205">
        <f>'Recurring Log'!L1209&amp;""</f>
        <v/>
      </c>
      <c r="BB1205">
        <f>'Recurring Log'!M1209&amp;""</f>
        <v/>
      </c>
      <c r="BC1205">
        <f>'Recurring Log'!N1209&amp;""</f>
        <v/>
      </c>
      <c r="BD1205">
        <f>'Recurring Log'!O1209&amp;""</f>
        <v/>
      </c>
      <c r="BE1205">
        <f>IF('Recurring Log'!K1209="","",'Recurring Log'!K1209)</f>
        <v/>
      </c>
      <c r="BF1205">
        <f>IFERROR(MATCH(BA1205,Setup!$L$6:$L$9,0),5)</f>
        <v/>
      </c>
      <c r="BG1205">
        <f>IF(OR(AZ1205="Done",AZ1205="Cancelled"),1,0)</f>
        <v/>
      </c>
      <c r="BH1205">
        <f>IF(AND(AU1205&lt;&gt;"",ISNUMBER(AW1205)),1,0)</f>
        <v/>
      </c>
      <c r="BI1205">
        <f>IF(BH1205=0,0,IF(AND(AW1205&gt;='Tasks Filter'!$F$3,AW1205&lt;='Tasks Filter'!$F$4,OR('Tasks Filter'!$I$3="",ISNUMBER(SEARCH('Tasks Filter'!$I$3,AU1205))),OR('Tasks Filter'!$I$4="",BF1205=IFERROR(MATCH('Tasks Filter'!$I$4,Setup!$L$6:$L$9,0),0)),OR('Tasks Filter'!$I$5="Both",AND('Tasks Filter'!$I$5="Yes",BB1205="✓"),AND('Tasks Filter'!$I$5="No",BB1205&lt;&gt;"✓")),OR('Tasks Filter'!$L$3="",AV1205='Tasks Filter'!$L$3),OR('Tasks Filter'!$L$4="",AZ1205='Tasks Filter'!$L$4),OR('Tasks Filter'!$L$5="",BC1205='Tasks Filter'!$L$5),OR('Tasks Filter'!$O$3="",BD1205='Tasks Filter'!$O$3),OR('Tasks Filter'!$O$4="Yes",BG1205=0)),1,0))</f>
        <v/>
      </c>
      <c r="BJ1205">
        <f>IF(BH1205=0,"",IF('Tasks Filter'!$F$6="Descending",-1,1)*CHOOSE(MATCH('Tasks Filter'!$F$5,Lists!$G$2:$G$6,0),AW1205,BF1205,IFERROR(MATCH(AV1205,Setup!$F$6:$F$15,0),99),IFERROR(MATCH(BC1205,Setup!$H$6:$H$15,0),99),IFERROR(MATCH(AZ1205,Setup!$J$6:$J$11,0),99))*1E+9+(AW1205-40000)*10000+1204)</f>
        <v/>
      </c>
      <c r="BK1205">
        <f>IF(BI1205=1,BJ1205,"")</f>
        <v/>
      </c>
      <c r="BL1205">
        <f>IF(AND(BH1205=1,BG1205=0,N(AW1205)&lt;Setup!$D$7),(AW1205-40000)*10000+1204,"")</f>
        <v/>
      </c>
      <c r="BM1205">
        <f>IF(AND(BH1205=1,AZ1205&lt;&gt;"Cancelled",N(AW1205)&gt;=Dashboard!$AB$3,N(AW1205)&lt;=Dashboard!$AB$3+6),(AW1205-40000)*100000+BF1205*10000+1204,"")</f>
        <v/>
      </c>
      <c r="BN1205">
        <f>IF(AND(BH1205=1,AZ1205&lt;&gt;"Cancelled"),BF1205*10000+1204,"")</f>
        <v/>
      </c>
    </row>
    <row r="1206">
      <c r="AS1206" t="inlineStr">
        <is>
          <t>R</t>
        </is>
      </c>
      <c r="AT1206" t="n">
        <v>1210</v>
      </c>
      <c r="AU1206">
        <f>'Recurring Log'!C1210&amp;""</f>
        <v/>
      </c>
      <c r="AV1206">
        <f>'Recurring Log'!D1210&amp;""</f>
        <v/>
      </c>
      <c r="AW1206">
        <f>IF('Recurring Log'!E1210="","",'Recurring Log'!E1210)</f>
        <v/>
      </c>
      <c r="AX1206">
        <f>IF('Recurring Log'!G1210="","",'Recurring Log'!G1210)</f>
        <v/>
      </c>
      <c r="AY1206">
        <f>IF('Recurring Log'!H1210="","",'Recurring Log'!H1210)</f>
        <v/>
      </c>
      <c r="AZ1206">
        <f>IF(AU1206="","",IF('Recurring Log'!J1210="","Not Started",'Recurring Log'!J1210))</f>
        <v/>
      </c>
      <c r="BA1206">
        <f>'Recurring Log'!L1210&amp;""</f>
        <v/>
      </c>
      <c r="BB1206">
        <f>'Recurring Log'!M1210&amp;""</f>
        <v/>
      </c>
      <c r="BC1206">
        <f>'Recurring Log'!N1210&amp;""</f>
        <v/>
      </c>
      <c r="BD1206">
        <f>'Recurring Log'!O1210&amp;""</f>
        <v/>
      </c>
      <c r="BE1206">
        <f>IF('Recurring Log'!K1210="","",'Recurring Log'!K1210)</f>
        <v/>
      </c>
      <c r="BF1206">
        <f>IFERROR(MATCH(BA1206,Setup!$L$6:$L$9,0),5)</f>
        <v/>
      </c>
      <c r="BG1206">
        <f>IF(OR(AZ1206="Done",AZ1206="Cancelled"),1,0)</f>
        <v/>
      </c>
      <c r="BH1206">
        <f>IF(AND(AU1206&lt;&gt;"",ISNUMBER(AW1206)),1,0)</f>
        <v/>
      </c>
      <c r="BI1206">
        <f>IF(BH1206=0,0,IF(AND(AW1206&gt;='Tasks Filter'!$F$3,AW1206&lt;='Tasks Filter'!$F$4,OR('Tasks Filter'!$I$3="",ISNUMBER(SEARCH('Tasks Filter'!$I$3,AU1206))),OR('Tasks Filter'!$I$4="",BF1206=IFERROR(MATCH('Tasks Filter'!$I$4,Setup!$L$6:$L$9,0),0)),OR('Tasks Filter'!$I$5="Both",AND('Tasks Filter'!$I$5="Yes",BB1206="✓"),AND('Tasks Filter'!$I$5="No",BB1206&lt;&gt;"✓")),OR('Tasks Filter'!$L$3="",AV1206='Tasks Filter'!$L$3),OR('Tasks Filter'!$L$4="",AZ1206='Tasks Filter'!$L$4),OR('Tasks Filter'!$L$5="",BC1206='Tasks Filter'!$L$5),OR('Tasks Filter'!$O$3="",BD1206='Tasks Filter'!$O$3),OR('Tasks Filter'!$O$4="Yes",BG1206=0)),1,0))</f>
        <v/>
      </c>
      <c r="BJ1206">
        <f>IF(BH1206=0,"",IF('Tasks Filter'!$F$6="Descending",-1,1)*CHOOSE(MATCH('Tasks Filter'!$F$5,Lists!$G$2:$G$6,0),AW1206,BF1206,IFERROR(MATCH(AV1206,Setup!$F$6:$F$15,0),99),IFERROR(MATCH(BC1206,Setup!$H$6:$H$15,0),99),IFERROR(MATCH(AZ1206,Setup!$J$6:$J$11,0),99))*1E+9+(AW1206-40000)*10000+1205)</f>
        <v/>
      </c>
      <c r="BK1206">
        <f>IF(BI1206=1,BJ1206,"")</f>
        <v/>
      </c>
      <c r="BL1206">
        <f>IF(AND(BH1206=1,BG1206=0,N(AW1206)&lt;Setup!$D$7),(AW1206-40000)*10000+1205,"")</f>
        <v/>
      </c>
      <c r="BM1206">
        <f>IF(AND(BH1206=1,AZ1206&lt;&gt;"Cancelled",N(AW1206)&gt;=Dashboard!$AB$3,N(AW1206)&lt;=Dashboard!$AB$3+6),(AW1206-40000)*100000+BF1206*10000+1205,"")</f>
        <v/>
      </c>
      <c r="BN1206">
        <f>IF(AND(BH1206=1,AZ1206&lt;&gt;"Cancelled"),BF1206*10000+1205,"")</f>
        <v/>
      </c>
    </row>
    <row r="1207">
      <c r="AS1207" t="inlineStr">
        <is>
          <t>R</t>
        </is>
      </c>
      <c r="AT1207" t="n">
        <v>1211</v>
      </c>
      <c r="AU1207">
        <f>'Recurring Log'!C1211&amp;""</f>
        <v/>
      </c>
      <c r="AV1207">
        <f>'Recurring Log'!D1211&amp;""</f>
        <v/>
      </c>
      <c r="AW1207">
        <f>IF('Recurring Log'!E1211="","",'Recurring Log'!E1211)</f>
        <v/>
      </c>
      <c r="AX1207">
        <f>IF('Recurring Log'!G1211="","",'Recurring Log'!G1211)</f>
        <v/>
      </c>
      <c r="AY1207">
        <f>IF('Recurring Log'!H1211="","",'Recurring Log'!H1211)</f>
        <v/>
      </c>
      <c r="AZ1207">
        <f>IF(AU1207="","",IF('Recurring Log'!J1211="","Not Started",'Recurring Log'!J1211))</f>
        <v/>
      </c>
      <c r="BA1207">
        <f>'Recurring Log'!L1211&amp;""</f>
        <v/>
      </c>
      <c r="BB1207">
        <f>'Recurring Log'!M1211&amp;""</f>
        <v/>
      </c>
      <c r="BC1207">
        <f>'Recurring Log'!N1211&amp;""</f>
        <v/>
      </c>
      <c r="BD1207">
        <f>'Recurring Log'!O1211&amp;""</f>
        <v/>
      </c>
      <c r="BE1207">
        <f>IF('Recurring Log'!K1211="","",'Recurring Log'!K1211)</f>
        <v/>
      </c>
      <c r="BF1207">
        <f>IFERROR(MATCH(BA1207,Setup!$L$6:$L$9,0),5)</f>
        <v/>
      </c>
      <c r="BG1207">
        <f>IF(OR(AZ1207="Done",AZ1207="Cancelled"),1,0)</f>
        <v/>
      </c>
      <c r="BH1207">
        <f>IF(AND(AU1207&lt;&gt;"",ISNUMBER(AW1207)),1,0)</f>
        <v/>
      </c>
      <c r="BI1207">
        <f>IF(BH1207=0,0,IF(AND(AW1207&gt;='Tasks Filter'!$F$3,AW1207&lt;='Tasks Filter'!$F$4,OR('Tasks Filter'!$I$3="",ISNUMBER(SEARCH('Tasks Filter'!$I$3,AU1207))),OR('Tasks Filter'!$I$4="",BF1207=IFERROR(MATCH('Tasks Filter'!$I$4,Setup!$L$6:$L$9,0),0)),OR('Tasks Filter'!$I$5="Both",AND('Tasks Filter'!$I$5="Yes",BB1207="✓"),AND('Tasks Filter'!$I$5="No",BB1207&lt;&gt;"✓")),OR('Tasks Filter'!$L$3="",AV1207='Tasks Filter'!$L$3),OR('Tasks Filter'!$L$4="",AZ1207='Tasks Filter'!$L$4),OR('Tasks Filter'!$L$5="",BC1207='Tasks Filter'!$L$5),OR('Tasks Filter'!$O$3="",BD1207='Tasks Filter'!$O$3),OR('Tasks Filter'!$O$4="Yes",BG1207=0)),1,0))</f>
        <v/>
      </c>
      <c r="BJ1207">
        <f>IF(BH1207=0,"",IF('Tasks Filter'!$F$6="Descending",-1,1)*CHOOSE(MATCH('Tasks Filter'!$F$5,Lists!$G$2:$G$6,0),AW1207,BF1207,IFERROR(MATCH(AV1207,Setup!$F$6:$F$15,0),99),IFERROR(MATCH(BC1207,Setup!$H$6:$H$15,0),99),IFERROR(MATCH(AZ1207,Setup!$J$6:$J$11,0),99))*1E+9+(AW1207-40000)*10000+1206)</f>
        <v/>
      </c>
      <c r="BK1207">
        <f>IF(BI1207=1,BJ1207,"")</f>
        <v/>
      </c>
      <c r="BL1207">
        <f>IF(AND(BH1207=1,BG1207=0,N(AW1207)&lt;Setup!$D$7),(AW1207-40000)*10000+1206,"")</f>
        <v/>
      </c>
      <c r="BM1207">
        <f>IF(AND(BH1207=1,AZ1207&lt;&gt;"Cancelled",N(AW1207)&gt;=Dashboard!$AB$3,N(AW1207)&lt;=Dashboard!$AB$3+6),(AW1207-40000)*100000+BF1207*10000+1206,"")</f>
        <v/>
      </c>
      <c r="BN1207">
        <f>IF(AND(BH1207=1,AZ1207&lt;&gt;"Cancelled"),BF1207*10000+1206,"")</f>
        <v/>
      </c>
    </row>
    <row r="1208">
      <c r="AS1208" t="inlineStr">
        <is>
          <t>R</t>
        </is>
      </c>
      <c r="AT1208" t="n">
        <v>1212</v>
      </c>
      <c r="AU1208">
        <f>'Recurring Log'!C1212&amp;""</f>
        <v/>
      </c>
      <c r="AV1208">
        <f>'Recurring Log'!D1212&amp;""</f>
        <v/>
      </c>
      <c r="AW1208">
        <f>IF('Recurring Log'!E1212="","",'Recurring Log'!E1212)</f>
        <v/>
      </c>
      <c r="AX1208">
        <f>IF('Recurring Log'!G1212="","",'Recurring Log'!G1212)</f>
        <v/>
      </c>
      <c r="AY1208">
        <f>IF('Recurring Log'!H1212="","",'Recurring Log'!H1212)</f>
        <v/>
      </c>
      <c r="AZ1208">
        <f>IF(AU1208="","",IF('Recurring Log'!J1212="","Not Started",'Recurring Log'!J1212))</f>
        <v/>
      </c>
      <c r="BA1208">
        <f>'Recurring Log'!L1212&amp;""</f>
        <v/>
      </c>
      <c r="BB1208">
        <f>'Recurring Log'!M1212&amp;""</f>
        <v/>
      </c>
      <c r="BC1208">
        <f>'Recurring Log'!N1212&amp;""</f>
        <v/>
      </c>
      <c r="BD1208">
        <f>'Recurring Log'!O1212&amp;""</f>
        <v/>
      </c>
      <c r="BE1208">
        <f>IF('Recurring Log'!K1212="","",'Recurring Log'!K1212)</f>
        <v/>
      </c>
      <c r="BF1208">
        <f>IFERROR(MATCH(BA1208,Setup!$L$6:$L$9,0),5)</f>
        <v/>
      </c>
      <c r="BG1208">
        <f>IF(OR(AZ1208="Done",AZ1208="Cancelled"),1,0)</f>
        <v/>
      </c>
      <c r="BH1208">
        <f>IF(AND(AU1208&lt;&gt;"",ISNUMBER(AW1208)),1,0)</f>
        <v/>
      </c>
      <c r="BI1208">
        <f>IF(BH1208=0,0,IF(AND(AW1208&gt;='Tasks Filter'!$F$3,AW1208&lt;='Tasks Filter'!$F$4,OR('Tasks Filter'!$I$3="",ISNUMBER(SEARCH('Tasks Filter'!$I$3,AU1208))),OR('Tasks Filter'!$I$4="",BF1208=IFERROR(MATCH('Tasks Filter'!$I$4,Setup!$L$6:$L$9,0),0)),OR('Tasks Filter'!$I$5="Both",AND('Tasks Filter'!$I$5="Yes",BB1208="✓"),AND('Tasks Filter'!$I$5="No",BB1208&lt;&gt;"✓")),OR('Tasks Filter'!$L$3="",AV1208='Tasks Filter'!$L$3),OR('Tasks Filter'!$L$4="",AZ1208='Tasks Filter'!$L$4),OR('Tasks Filter'!$L$5="",BC1208='Tasks Filter'!$L$5),OR('Tasks Filter'!$O$3="",BD1208='Tasks Filter'!$O$3),OR('Tasks Filter'!$O$4="Yes",BG1208=0)),1,0))</f>
        <v/>
      </c>
      <c r="BJ1208">
        <f>IF(BH1208=0,"",IF('Tasks Filter'!$F$6="Descending",-1,1)*CHOOSE(MATCH('Tasks Filter'!$F$5,Lists!$G$2:$G$6,0),AW1208,BF1208,IFERROR(MATCH(AV1208,Setup!$F$6:$F$15,0),99),IFERROR(MATCH(BC1208,Setup!$H$6:$H$15,0),99),IFERROR(MATCH(AZ1208,Setup!$J$6:$J$11,0),99))*1E+9+(AW1208-40000)*10000+1207)</f>
        <v/>
      </c>
      <c r="BK1208">
        <f>IF(BI1208=1,BJ1208,"")</f>
        <v/>
      </c>
      <c r="BL1208">
        <f>IF(AND(BH1208=1,BG1208=0,N(AW1208)&lt;Setup!$D$7),(AW1208-40000)*10000+1207,"")</f>
        <v/>
      </c>
      <c r="BM1208">
        <f>IF(AND(BH1208=1,AZ1208&lt;&gt;"Cancelled",N(AW1208)&gt;=Dashboard!$AB$3,N(AW1208)&lt;=Dashboard!$AB$3+6),(AW1208-40000)*100000+BF1208*10000+1207,"")</f>
        <v/>
      </c>
      <c r="BN1208">
        <f>IF(AND(BH1208=1,AZ1208&lt;&gt;"Cancelled"),BF1208*10000+1207,"")</f>
        <v/>
      </c>
    </row>
    <row r="1209">
      <c r="AS1209" t="inlineStr">
        <is>
          <t>R</t>
        </is>
      </c>
      <c r="AT1209" t="n">
        <v>1213</v>
      </c>
      <c r="AU1209">
        <f>'Recurring Log'!C1213&amp;""</f>
        <v/>
      </c>
      <c r="AV1209">
        <f>'Recurring Log'!D1213&amp;""</f>
        <v/>
      </c>
      <c r="AW1209">
        <f>IF('Recurring Log'!E1213="","",'Recurring Log'!E1213)</f>
        <v/>
      </c>
      <c r="AX1209">
        <f>IF('Recurring Log'!G1213="","",'Recurring Log'!G1213)</f>
        <v/>
      </c>
      <c r="AY1209">
        <f>IF('Recurring Log'!H1213="","",'Recurring Log'!H1213)</f>
        <v/>
      </c>
      <c r="AZ1209">
        <f>IF(AU1209="","",IF('Recurring Log'!J1213="","Not Started",'Recurring Log'!J1213))</f>
        <v/>
      </c>
      <c r="BA1209">
        <f>'Recurring Log'!L1213&amp;""</f>
        <v/>
      </c>
      <c r="BB1209">
        <f>'Recurring Log'!M1213&amp;""</f>
        <v/>
      </c>
      <c r="BC1209">
        <f>'Recurring Log'!N1213&amp;""</f>
        <v/>
      </c>
      <c r="BD1209">
        <f>'Recurring Log'!O1213&amp;""</f>
        <v/>
      </c>
      <c r="BE1209">
        <f>IF('Recurring Log'!K1213="","",'Recurring Log'!K1213)</f>
        <v/>
      </c>
      <c r="BF1209">
        <f>IFERROR(MATCH(BA1209,Setup!$L$6:$L$9,0),5)</f>
        <v/>
      </c>
      <c r="BG1209">
        <f>IF(OR(AZ1209="Done",AZ1209="Cancelled"),1,0)</f>
        <v/>
      </c>
      <c r="BH1209">
        <f>IF(AND(AU1209&lt;&gt;"",ISNUMBER(AW1209)),1,0)</f>
        <v/>
      </c>
      <c r="BI1209">
        <f>IF(BH1209=0,0,IF(AND(AW1209&gt;='Tasks Filter'!$F$3,AW1209&lt;='Tasks Filter'!$F$4,OR('Tasks Filter'!$I$3="",ISNUMBER(SEARCH('Tasks Filter'!$I$3,AU1209))),OR('Tasks Filter'!$I$4="",BF1209=IFERROR(MATCH('Tasks Filter'!$I$4,Setup!$L$6:$L$9,0),0)),OR('Tasks Filter'!$I$5="Both",AND('Tasks Filter'!$I$5="Yes",BB1209="✓"),AND('Tasks Filter'!$I$5="No",BB1209&lt;&gt;"✓")),OR('Tasks Filter'!$L$3="",AV1209='Tasks Filter'!$L$3),OR('Tasks Filter'!$L$4="",AZ1209='Tasks Filter'!$L$4),OR('Tasks Filter'!$L$5="",BC1209='Tasks Filter'!$L$5),OR('Tasks Filter'!$O$3="",BD1209='Tasks Filter'!$O$3),OR('Tasks Filter'!$O$4="Yes",BG1209=0)),1,0))</f>
        <v/>
      </c>
      <c r="BJ1209">
        <f>IF(BH1209=0,"",IF('Tasks Filter'!$F$6="Descending",-1,1)*CHOOSE(MATCH('Tasks Filter'!$F$5,Lists!$G$2:$G$6,0),AW1209,BF1209,IFERROR(MATCH(AV1209,Setup!$F$6:$F$15,0),99),IFERROR(MATCH(BC1209,Setup!$H$6:$H$15,0),99),IFERROR(MATCH(AZ1209,Setup!$J$6:$J$11,0),99))*1E+9+(AW1209-40000)*10000+1208)</f>
        <v/>
      </c>
      <c r="BK1209">
        <f>IF(BI1209=1,BJ1209,"")</f>
        <v/>
      </c>
      <c r="BL1209">
        <f>IF(AND(BH1209=1,BG1209=0,N(AW1209)&lt;Setup!$D$7),(AW1209-40000)*10000+1208,"")</f>
        <v/>
      </c>
      <c r="BM1209">
        <f>IF(AND(BH1209=1,AZ1209&lt;&gt;"Cancelled",N(AW1209)&gt;=Dashboard!$AB$3,N(AW1209)&lt;=Dashboard!$AB$3+6),(AW1209-40000)*100000+BF1209*10000+1208,"")</f>
        <v/>
      </c>
      <c r="BN1209">
        <f>IF(AND(BH1209=1,AZ1209&lt;&gt;"Cancelled"),BF1209*10000+1208,"")</f>
        <v/>
      </c>
    </row>
    <row r="1210">
      <c r="AS1210" t="inlineStr">
        <is>
          <t>R</t>
        </is>
      </c>
      <c r="AT1210" t="n">
        <v>1214</v>
      </c>
      <c r="AU1210">
        <f>'Recurring Log'!C1214&amp;""</f>
        <v/>
      </c>
      <c r="AV1210">
        <f>'Recurring Log'!D1214&amp;""</f>
        <v/>
      </c>
      <c r="AW1210">
        <f>IF('Recurring Log'!E1214="","",'Recurring Log'!E1214)</f>
        <v/>
      </c>
      <c r="AX1210">
        <f>IF('Recurring Log'!G1214="","",'Recurring Log'!G1214)</f>
        <v/>
      </c>
      <c r="AY1210">
        <f>IF('Recurring Log'!H1214="","",'Recurring Log'!H1214)</f>
        <v/>
      </c>
      <c r="AZ1210">
        <f>IF(AU1210="","",IF('Recurring Log'!J1214="","Not Started",'Recurring Log'!J1214))</f>
        <v/>
      </c>
      <c r="BA1210">
        <f>'Recurring Log'!L1214&amp;""</f>
        <v/>
      </c>
      <c r="BB1210">
        <f>'Recurring Log'!M1214&amp;""</f>
        <v/>
      </c>
      <c r="BC1210">
        <f>'Recurring Log'!N1214&amp;""</f>
        <v/>
      </c>
      <c r="BD1210">
        <f>'Recurring Log'!O1214&amp;""</f>
        <v/>
      </c>
      <c r="BE1210">
        <f>IF('Recurring Log'!K1214="","",'Recurring Log'!K1214)</f>
        <v/>
      </c>
      <c r="BF1210">
        <f>IFERROR(MATCH(BA1210,Setup!$L$6:$L$9,0),5)</f>
        <v/>
      </c>
      <c r="BG1210">
        <f>IF(OR(AZ1210="Done",AZ1210="Cancelled"),1,0)</f>
        <v/>
      </c>
      <c r="BH1210">
        <f>IF(AND(AU1210&lt;&gt;"",ISNUMBER(AW1210)),1,0)</f>
        <v/>
      </c>
      <c r="BI1210">
        <f>IF(BH1210=0,0,IF(AND(AW1210&gt;='Tasks Filter'!$F$3,AW1210&lt;='Tasks Filter'!$F$4,OR('Tasks Filter'!$I$3="",ISNUMBER(SEARCH('Tasks Filter'!$I$3,AU1210))),OR('Tasks Filter'!$I$4="",BF1210=IFERROR(MATCH('Tasks Filter'!$I$4,Setup!$L$6:$L$9,0),0)),OR('Tasks Filter'!$I$5="Both",AND('Tasks Filter'!$I$5="Yes",BB1210="✓"),AND('Tasks Filter'!$I$5="No",BB1210&lt;&gt;"✓")),OR('Tasks Filter'!$L$3="",AV1210='Tasks Filter'!$L$3),OR('Tasks Filter'!$L$4="",AZ1210='Tasks Filter'!$L$4),OR('Tasks Filter'!$L$5="",BC1210='Tasks Filter'!$L$5),OR('Tasks Filter'!$O$3="",BD1210='Tasks Filter'!$O$3),OR('Tasks Filter'!$O$4="Yes",BG1210=0)),1,0))</f>
        <v/>
      </c>
      <c r="BJ1210">
        <f>IF(BH1210=0,"",IF('Tasks Filter'!$F$6="Descending",-1,1)*CHOOSE(MATCH('Tasks Filter'!$F$5,Lists!$G$2:$G$6,0),AW1210,BF1210,IFERROR(MATCH(AV1210,Setup!$F$6:$F$15,0),99),IFERROR(MATCH(BC1210,Setup!$H$6:$H$15,0),99),IFERROR(MATCH(AZ1210,Setup!$J$6:$J$11,0),99))*1E+9+(AW1210-40000)*10000+1209)</f>
        <v/>
      </c>
      <c r="BK1210">
        <f>IF(BI1210=1,BJ1210,"")</f>
        <v/>
      </c>
      <c r="BL1210">
        <f>IF(AND(BH1210=1,BG1210=0,N(AW1210)&lt;Setup!$D$7),(AW1210-40000)*10000+1209,"")</f>
        <v/>
      </c>
      <c r="BM1210">
        <f>IF(AND(BH1210=1,AZ1210&lt;&gt;"Cancelled",N(AW1210)&gt;=Dashboard!$AB$3,N(AW1210)&lt;=Dashboard!$AB$3+6),(AW1210-40000)*100000+BF1210*10000+1209,"")</f>
        <v/>
      </c>
      <c r="BN1210">
        <f>IF(AND(BH1210=1,AZ1210&lt;&gt;"Cancelled"),BF1210*10000+1209,"")</f>
        <v/>
      </c>
    </row>
    <row r="1211">
      <c r="AS1211" t="inlineStr">
        <is>
          <t>R</t>
        </is>
      </c>
      <c r="AT1211" t="n">
        <v>1215</v>
      </c>
      <c r="AU1211">
        <f>'Recurring Log'!C1215&amp;""</f>
        <v/>
      </c>
      <c r="AV1211">
        <f>'Recurring Log'!D1215&amp;""</f>
        <v/>
      </c>
      <c r="AW1211">
        <f>IF('Recurring Log'!E1215="","",'Recurring Log'!E1215)</f>
        <v/>
      </c>
      <c r="AX1211">
        <f>IF('Recurring Log'!G1215="","",'Recurring Log'!G1215)</f>
        <v/>
      </c>
      <c r="AY1211">
        <f>IF('Recurring Log'!H1215="","",'Recurring Log'!H1215)</f>
        <v/>
      </c>
      <c r="AZ1211">
        <f>IF(AU1211="","",IF('Recurring Log'!J1215="","Not Started",'Recurring Log'!J1215))</f>
        <v/>
      </c>
      <c r="BA1211">
        <f>'Recurring Log'!L1215&amp;""</f>
        <v/>
      </c>
      <c r="BB1211">
        <f>'Recurring Log'!M1215&amp;""</f>
        <v/>
      </c>
      <c r="BC1211">
        <f>'Recurring Log'!N1215&amp;""</f>
        <v/>
      </c>
      <c r="BD1211">
        <f>'Recurring Log'!O1215&amp;""</f>
        <v/>
      </c>
      <c r="BE1211">
        <f>IF('Recurring Log'!K1215="","",'Recurring Log'!K1215)</f>
        <v/>
      </c>
      <c r="BF1211">
        <f>IFERROR(MATCH(BA1211,Setup!$L$6:$L$9,0),5)</f>
        <v/>
      </c>
      <c r="BG1211">
        <f>IF(OR(AZ1211="Done",AZ1211="Cancelled"),1,0)</f>
        <v/>
      </c>
      <c r="BH1211">
        <f>IF(AND(AU1211&lt;&gt;"",ISNUMBER(AW1211)),1,0)</f>
        <v/>
      </c>
      <c r="BI1211">
        <f>IF(BH1211=0,0,IF(AND(AW1211&gt;='Tasks Filter'!$F$3,AW1211&lt;='Tasks Filter'!$F$4,OR('Tasks Filter'!$I$3="",ISNUMBER(SEARCH('Tasks Filter'!$I$3,AU1211))),OR('Tasks Filter'!$I$4="",BF1211=IFERROR(MATCH('Tasks Filter'!$I$4,Setup!$L$6:$L$9,0),0)),OR('Tasks Filter'!$I$5="Both",AND('Tasks Filter'!$I$5="Yes",BB1211="✓"),AND('Tasks Filter'!$I$5="No",BB1211&lt;&gt;"✓")),OR('Tasks Filter'!$L$3="",AV1211='Tasks Filter'!$L$3),OR('Tasks Filter'!$L$4="",AZ1211='Tasks Filter'!$L$4),OR('Tasks Filter'!$L$5="",BC1211='Tasks Filter'!$L$5),OR('Tasks Filter'!$O$3="",BD1211='Tasks Filter'!$O$3),OR('Tasks Filter'!$O$4="Yes",BG1211=0)),1,0))</f>
        <v/>
      </c>
      <c r="BJ1211">
        <f>IF(BH1211=0,"",IF('Tasks Filter'!$F$6="Descending",-1,1)*CHOOSE(MATCH('Tasks Filter'!$F$5,Lists!$G$2:$G$6,0),AW1211,BF1211,IFERROR(MATCH(AV1211,Setup!$F$6:$F$15,0),99),IFERROR(MATCH(BC1211,Setup!$H$6:$H$15,0),99),IFERROR(MATCH(AZ1211,Setup!$J$6:$J$11,0),99))*1E+9+(AW1211-40000)*10000+1210)</f>
        <v/>
      </c>
      <c r="BK1211">
        <f>IF(BI1211=1,BJ1211,"")</f>
        <v/>
      </c>
      <c r="BL1211">
        <f>IF(AND(BH1211=1,BG1211=0,N(AW1211)&lt;Setup!$D$7),(AW1211-40000)*10000+1210,"")</f>
        <v/>
      </c>
      <c r="BM1211">
        <f>IF(AND(BH1211=1,AZ1211&lt;&gt;"Cancelled",N(AW1211)&gt;=Dashboard!$AB$3,N(AW1211)&lt;=Dashboard!$AB$3+6),(AW1211-40000)*100000+BF1211*10000+1210,"")</f>
        <v/>
      </c>
      <c r="BN1211">
        <f>IF(AND(BH1211=1,AZ1211&lt;&gt;"Cancelled"),BF1211*10000+1210,"")</f>
        <v/>
      </c>
    </row>
    <row r="1212">
      <c r="AS1212" t="inlineStr">
        <is>
          <t>R</t>
        </is>
      </c>
      <c r="AT1212" t="n">
        <v>1216</v>
      </c>
      <c r="AU1212">
        <f>'Recurring Log'!C1216&amp;""</f>
        <v/>
      </c>
      <c r="AV1212">
        <f>'Recurring Log'!D1216&amp;""</f>
        <v/>
      </c>
      <c r="AW1212">
        <f>IF('Recurring Log'!E1216="","",'Recurring Log'!E1216)</f>
        <v/>
      </c>
      <c r="AX1212">
        <f>IF('Recurring Log'!G1216="","",'Recurring Log'!G1216)</f>
        <v/>
      </c>
      <c r="AY1212">
        <f>IF('Recurring Log'!H1216="","",'Recurring Log'!H1216)</f>
        <v/>
      </c>
      <c r="AZ1212">
        <f>IF(AU1212="","",IF('Recurring Log'!J1216="","Not Started",'Recurring Log'!J1216))</f>
        <v/>
      </c>
      <c r="BA1212">
        <f>'Recurring Log'!L1216&amp;""</f>
        <v/>
      </c>
      <c r="BB1212">
        <f>'Recurring Log'!M1216&amp;""</f>
        <v/>
      </c>
      <c r="BC1212">
        <f>'Recurring Log'!N1216&amp;""</f>
        <v/>
      </c>
      <c r="BD1212">
        <f>'Recurring Log'!O1216&amp;""</f>
        <v/>
      </c>
      <c r="BE1212">
        <f>IF('Recurring Log'!K1216="","",'Recurring Log'!K1216)</f>
        <v/>
      </c>
      <c r="BF1212">
        <f>IFERROR(MATCH(BA1212,Setup!$L$6:$L$9,0),5)</f>
        <v/>
      </c>
      <c r="BG1212">
        <f>IF(OR(AZ1212="Done",AZ1212="Cancelled"),1,0)</f>
        <v/>
      </c>
      <c r="BH1212">
        <f>IF(AND(AU1212&lt;&gt;"",ISNUMBER(AW1212)),1,0)</f>
        <v/>
      </c>
      <c r="BI1212">
        <f>IF(BH1212=0,0,IF(AND(AW1212&gt;='Tasks Filter'!$F$3,AW1212&lt;='Tasks Filter'!$F$4,OR('Tasks Filter'!$I$3="",ISNUMBER(SEARCH('Tasks Filter'!$I$3,AU1212))),OR('Tasks Filter'!$I$4="",BF1212=IFERROR(MATCH('Tasks Filter'!$I$4,Setup!$L$6:$L$9,0),0)),OR('Tasks Filter'!$I$5="Both",AND('Tasks Filter'!$I$5="Yes",BB1212="✓"),AND('Tasks Filter'!$I$5="No",BB1212&lt;&gt;"✓")),OR('Tasks Filter'!$L$3="",AV1212='Tasks Filter'!$L$3),OR('Tasks Filter'!$L$4="",AZ1212='Tasks Filter'!$L$4),OR('Tasks Filter'!$L$5="",BC1212='Tasks Filter'!$L$5),OR('Tasks Filter'!$O$3="",BD1212='Tasks Filter'!$O$3),OR('Tasks Filter'!$O$4="Yes",BG1212=0)),1,0))</f>
        <v/>
      </c>
      <c r="BJ1212">
        <f>IF(BH1212=0,"",IF('Tasks Filter'!$F$6="Descending",-1,1)*CHOOSE(MATCH('Tasks Filter'!$F$5,Lists!$G$2:$G$6,0),AW1212,BF1212,IFERROR(MATCH(AV1212,Setup!$F$6:$F$15,0),99),IFERROR(MATCH(BC1212,Setup!$H$6:$H$15,0),99),IFERROR(MATCH(AZ1212,Setup!$J$6:$J$11,0),99))*1E+9+(AW1212-40000)*10000+1211)</f>
        <v/>
      </c>
      <c r="BK1212">
        <f>IF(BI1212=1,BJ1212,"")</f>
        <v/>
      </c>
      <c r="BL1212">
        <f>IF(AND(BH1212=1,BG1212=0,N(AW1212)&lt;Setup!$D$7),(AW1212-40000)*10000+1211,"")</f>
        <v/>
      </c>
      <c r="BM1212">
        <f>IF(AND(BH1212=1,AZ1212&lt;&gt;"Cancelled",N(AW1212)&gt;=Dashboard!$AB$3,N(AW1212)&lt;=Dashboard!$AB$3+6),(AW1212-40000)*100000+BF1212*10000+1211,"")</f>
        <v/>
      </c>
      <c r="BN1212">
        <f>IF(AND(BH1212=1,AZ1212&lt;&gt;"Cancelled"),BF1212*10000+1211,"")</f>
        <v/>
      </c>
    </row>
    <row r="1213">
      <c r="AS1213" t="inlineStr">
        <is>
          <t>R</t>
        </is>
      </c>
      <c r="AT1213" t="n">
        <v>1217</v>
      </c>
      <c r="AU1213">
        <f>'Recurring Log'!C1217&amp;""</f>
        <v/>
      </c>
      <c r="AV1213">
        <f>'Recurring Log'!D1217&amp;""</f>
        <v/>
      </c>
      <c r="AW1213">
        <f>IF('Recurring Log'!E1217="","",'Recurring Log'!E1217)</f>
        <v/>
      </c>
      <c r="AX1213">
        <f>IF('Recurring Log'!G1217="","",'Recurring Log'!G1217)</f>
        <v/>
      </c>
      <c r="AY1213">
        <f>IF('Recurring Log'!H1217="","",'Recurring Log'!H1217)</f>
        <v/>
      </c>
      <c r="AZ1213">
        <f>IF(AU1213="","",IF('Recurring Log'!J1217="","Not Started",'Recurring Log'!J1217))</f>
        <v/>
      </c>
      <c r="BA1213">
        <f>'Recurring Log'!L1217&amp;""</f>
        <v/>
      </c>
      <c r="BB1213">
        <f>'Recurring Log'!M1217&amp;""</f>
        <v/>
      </c>
      <c r="BC1213">
        <f>'Recurring Log'!N1217&amp;""</f>
        <v/>
      </c>
      <c r="BD1213">
        <f>'Recurring Log'!O1217&amp;""</f>
        <v/>
      </c>
      <c r="BE1213">
        <f>IF('Recurring Log'!K1217="","",'Recurring Log'!K1217)</f>
        <v/>
      </c>
      <c r="BF1213">
        <f>IFERROR(MATCH(BA1213,Setup!$L$6:$L$9,0),5)</f>
        <v/>
      </c>
      <c r="BG1213">
        <f>IF(OR(AZ1213="Done",AZ1213="Cancelled"),1,0)</f>
        <v/>
      </c>
      <c r="BH1213">
        <f>IF(AND(AU1213&lt;&gt;"",ISNUMBER(AW1213)),1,0)</f>
        <v/>
      </c>
      <c r="BI1213">
        <f>IF(BH1213=0,0,IF(AND(AW1213&gt;='Tasks Filter'!$F$3,AW1213&lt;='Tasks Filter'!$F$4,OR('Tasks Filter'!$I$3="",ISNUMBER(SEARCH('Tasks Filter'!$I$3,AU1213))),OR('Tasks Filter'!$I$4="",BF1213=IFERROR(MATCH('Tasks Filter'!$I$4,Setup!$L$6:$L$9,0),0)),OR('Tasks Filter'!$I$5="Both",AND('Tasks Filter'!$I$5="Yes",BB1213="✓"),AND('Tasks Filter'!$I$5="No",BB1213&lt;&gt;"✓")),OR('Tasks Filter'!$L$3="",AV1213='Tasks Filter'!$L$3),OR('Tasks Filter'!$L$4="",AZ1213='Tasks Filter'!$L$4),OR('Tasks Filter'!$L$5="",BC1213='Tasks Filter'!$L$5),OR('Tasks Filter'!$O$3="",BD1213='Tasks Filter'!$O$3),OR('Tasks Filter'!$O$4="Yes",BG1213=0)),1,0))</f>
        <v/>
      </c>
      <c r="BJ1213">
        <f>IF(BH1213=0,"",IF('Tasks Filter'!$F$6="Descending",-1,1)*CHOOSE(MATCH('Tasks Filter'!$F$5,Lists!$G$2:$G$6,0),AW1213,BF1213,IFERROR(MATCH(AV1213,Setup!$F$6:$F$15,0),99),IFERROR(MATCH(BC1213,Setup!$H$6:$H$15,0),99),IFERROR(MATCH(AZ1213,Setup!$J$6:$J$11,0),99))*1E+9+(AW1213-40000)*10000+1212)</f>
        <v/>
      </c>
      <c r="BK1213">
        <f>IF(BI1213=1,BJ1213,"")</f>
        <v/>
      </c>
      <c r="BL1213">
        <f>IF(AND(BH1213=1,BG1213=0,N(AW1213)&lt;Setup!$D$7),(AW1213-40000)*10000+1212,"")</f>
        <v/>
      </c>
      <c r="BM1213">
        <f>IF(AND(BH1213=1,AZ1213&lt;&gt;"Cancelled",N(AW1213)&gt;=Dashboard!$AB$3,N(AW1213)&lt;=Dashboard!$AB$3+6),(AW1213-40000)*100000+BF1213*10000+1212,"")</f>
        <v/>
      </c>
      <c r="BN1213">
        <f>IF(AND(BH1213=1,AZ1213&lt;&gt;"Cancelled"),BF1213*10000+1212,"")</f>
        <v/>
      </c>
    </row>
    <row r="1214">
      <c r="AS1214" t="inlineStr">
        <is>
          <t>R</t>
        </is>
      </c>
      <c r="AT1214" t="n">
        <v>1218</v>
      </c>
      <c r="AU1214">
        <f>'Recurring Log'!C1218&amp;""</f>
        <v/>
      </c>
      <c r="AV1214">
        <f>'Recurring Log'!D1218&amp;""</f>
        <v/>
      </c>
      <c r="AW1214">
        <f>IF('Recurring Log'!E1218="","",'Recurring Log'!E1218)</f>
        <v/>
      </c>
      <c r="AX1214">
        <f>IF('Recurring Log'!G1218="","",'Recurring Log'!G1218)</f>
        <v/>
      </c>
      <c r="AY1214">
        <f>IF('Recurring Log'!H1218="","",'Recurring Log'!H1218)</f>
        <v/>
      </c>
      <c r="AZ1214">
        <f>IF(AU1214="","",IF('Recurring Log'!J1218="","Not Started",'Recurring Log'!J1218))</f>
        <v/>
      </c>
      <c r="BA1214">
        <f>'Recurring Log'!L1218&amp;""</f>
        <v/>
      </c>
      <c r="BB1214">
        <f>'Recurring Log'!M1218&amp;""</f>
        <v/>
      </c>
      <c r="BC1214">
        <f>'Recurring Log'!N1218&amp;""</f>
        <v/>
      </c>
      <c r="BD1214">
        <f>'Recurring Log'!O1218&amp;""</f>
        <v/>
      </c>
      <c r="BE1214">
        <f>IF('Recurring Log'!K1218="","",'Recurring Log'!K1218)</f>
        <v/>
      </c>
      <c r="BF1214">
        <f>IFERROR(MATCH(BA1214,Setup!$L$6:$L$9,0),5)</f>
        <v/>
      </c>
      <c r="BG1214">
        <f>IF(OR(AZ1214="Done",AZ1214="Cancelled"),1,0)</f>
        <v/>
      </c>
      <c r="BH1214">
        <f>IF(AND(AU1214&lt;&gt;"",ISNUMBER(AW1214)),1,0)</f>
        <v/>
      </c>
      <c r="BI1214">
        <f>IF(BH1214=0,0,IF(AND(AW1214&gt;='Tasks Filter'!$F$3,AW1214&lt;='Tasks Filter'!$F$4,OR('Tasks Filter'!$I$3="",ISNUMBER(SEARCH('Tasks Filter'!$I$3,AU1214))),OR('Tasks Filter'!$I$4="",BF1214=IFERROR(MATCH('Tasks Filter'!$I$4,Setup!$L$6:$L$9,0),0)),OR('Tasks Filter'!$I$5="Both",AND('Tasks Filter'!$I$5="Yes",BB1214="✓"),AND('Tasks Filter'!$I$5="No",BB1214&lt;&gt;"✓")),OR('Tasks Filter'!$L$3="",AV1214='Tasks Filter'!$L$3),OR('Tasks Filter'!$L$4="",AZ1214='Tasks Filter'!$L$4),OR('Tasks Filter'!$L$5="",BC1214='Tasks Filter'!$L$5),OR('Tasks Filter'!$O$3="",BD1214='Tasks Filter'!$O$3),OR('Tasks Filter'!$O$4="Yes",BG1214=0)),1,0))</f>
        <v/>
      </c>
      <c r="BJ1214">
        <f>IF(BH1214=0,"",IF('Tasks Filter'!$F$6="Descending",-1,1)*CHOOSE(MATCH('Tasks Filter'!$F$5,Lists!$G$2:$G$6,0),AW1214,BF1214,IFERROR(MATCH(AV1214,Setup!$F$6:$F$15,0),99),IFERROR(MATCH(BC1214,Setup!$H$6:$H$15,0),99),IFERROR(MATCH(AZ1214,Setup!$J$6:$J$11,0),99))*1E+9+(AW1214-40000)*10000+1213)</f>
        <v/>
      </c>
      <c r="BK1214">
        <f>IF(BI1214=1,BJ1214,"")</f>
        <v/>
      </c>
      <c r="BL1214">
        <f>IF(AND(BH1214=1,BG1214=0,N(AW1214)&lt;Setup!$D$7),(AW1214-40000)*10000+1213,"")</f>
        <v/>
      </c>
      <c r="BM1214">
        <f>IF(AND(BH1214=1,AZ1214&lt;&gt;"Cancelled",N(AW1214)&gt;=Dashboard!$AB$3,N(AW1214)&lt;=Dashboard!$AB$3+6),(AW1214-40000)*100000+BF1214*10000+1213,"")</f>
        <v/>
      </c>
      <c r="BN1214">
        <f>IF(AND(BH1214=1,AZ1214&lt;&gt;"Cancelled"),BF1214*10000+1213,"")</f>
        <v/>
      </c>
    </row>
    <row r="1215">
      <c r="AS1215" t="inlineStr">
        <is>
          <t>R</t>
        </is>
      </c>
      <c r="AT1215" t="n">
        <v>1219</v>
      </c>
      <c r="AU1215">
        <f>'Recurring Log'!C1219&amp;""</f>
        <v/>
      </c>
      <c r="AV1215">
        <f>'Recurring Log'!D1219&amp;""</f>
        <v/>
      </c>
      <c r="AW1215">
        <f>IF('Recurring Log'!E1219="","",'Recurring Log'!E1219)</f>
        <v/>
      </c>
      <c r="AX1215">
        <f>IF('Recurring Log'!G1219="","",'Recurring Log'!G1219)</f>
        <v/>
      </c>
      <c r="AY1215">
        <f>IF('Recurring Log'!H1219="","",'Recurring Log'!H1219)</f>
        <v/>
      </c>
      <c r="AZ1215">
        <f>IF(AU1215="","",IF('Recurring Log'!J1219="","Not Started",'Recurring Log'!J1219))</f>
        <v/>
      </c>
      <c r="BA1215">
        <f>'Recurring Log'!L1219&amp;""</f>
        <v/>
      </c>
      <c r="BB1215">
        <f>'Recurring Log'!M1219&amp;""</f>
        <v/>
      </c>
      <c r="BC1215">
        <f>'Recurring Log'!N1219&amp;""</f>
        <v/>
      </c>
      <c r="BD1215">
        <f>'Recurring Log'!O1219&amp;""</f>
        <v/>
      </c>
      <c r="BE1215">
        <f>IF('Recurring Log'!K1219="","",'Recurring Log'!K1219)</f>
        <v/>
      </c>
      <c r="BF1215">
        <f>IFERROR(MATCH(BA1215,Setup!$L$6:$L$9,0),5)</f>
        <v/>
      </c>
      <c r="BG1215">
        <f>IF(OR(AZ1215="Done",AZ1215="Cancelled"),1,0)</f>
        <v/>
      </c>
      <c r="BH1215">
        <f>IF(AND(AU1215&lt;&gt;"",ISNUMBER(AW1215)),1,0)</f>
        <v/>
      </c>
      <c r="BI1215">
        <f>IF(BH1215=0,0,IF(AND(AW1215&gt;='Tasks Filter'!$F$3,AW1215&lt;='Tasks Filter'!$F$4,OR('Tasks Filter'!$I$3="",ISNUMBER(SEARCH('Tasks Filter'!$I$3,AU1215))),OR('Tasks Filter'!$I$4="",BF1215=IFERROR(MATCH('Tasks Filter'!$I$4,Setup!$L$6:$L$9,0),0)),OR('Tasks Filter'!$I$5="Both",AND('Tasks Filter'!$I$5="Yes",BB1215="✓"),AND('Tasks Filter'!$I$5="No",BB1215&lt;&gt;"✓")),OR('Tasks Filter'!$L$3="",AV1215='Tasks Filter'!$L$3),OR('Tasks Filter'!$L$4="",AZ1215='Tasks Filter'!$L$4),OR('Tasks Filter'!$L$5="",BC1215='Tasks Filter'!$L$5),OR('Tasks Filter'!$O$3="",BD1215='Tasks Filter'!$O$3),OR('Tasks Filter'!$O$4="Yes",BG1215=0)),1,0))</f>
        <v/>
      </c>
      <c r="BJ1215">
        <f>IF(BH1215=0,"",IF('Tasks Filter'!$F$6="Descending",-1,1)*CHOOSE(MATCH('Tasks Filter'!$F$5,Lists!$G$2:$G$6,0),AW1215,BF1215,IFERROR(MATCH(AV1215,Setup!$F$6:$F$15,0),99),IFERROR(MATCH(BC1215,Setup!$H$6:$H$15,0),99),IFERROR(MATCH(AZ1215,Setup!$J$6:$J$11,0),99))*1E+9+(AW1215-40000)*10000+1214)</f>
        <v/>
      </c>
      <c r="BK1215">
        <f>IF(BI1215=1,BJ1215,"")</f>
        <v/>
      </c>
      <c r="BL1215">
        <f>IF(AND(BH1215=1,BG1215=0,N(AW1215)&lt;Setup!$D$7),(AW1215-40000)*10000+1214,"")</f>
        <v/>
      </c>
      <c r="BM1215">
        <f>IF(AND(BH1215=1,AZ1215&lt;&gt;"Cancelled",N(AW1215)&gt;=Dashboard!$AB$3,N(AW1215)&lt;=Dashboard!$AB$3+6),(AW1215-40000)*100000+BF1215*10000+1214,"")</f>
        <v/>
      </c>
      <c r="BN1215">
        <f>IF(AND(BH1215=1,AZ1215&lt;&gt;"Cancelled"),BF1215*10000+1214,"")</f>
        <v/>
      </c>
    </row>
    <row r="1216">
      <c r="AS1216" t="inlineStr">
        <is>
          <t>R</t>
        </is>
      </c>
      <c r="AT1216" t="n">
        <v>1220</v>
      </c>
      <c r="AU1216">
        <f>'Recurring Log'!C1220&amp;""</f>
        <v/>
      </c>
      <c r="AV1216">
        <f>'Recurring Log'!D1220&amp;""</f>
        <v/>
      </c>
      <c r="AW1216">
        <f>IF('Recurring Log'!E1220="","",'Recurring Log'!E1220)</f>
        <v/>
      </c>
      <c r="AX1216">
        <f>IF('Recurring Log'!G1220="","",'Recurring Log'!G1220)</f>
        <v/>
      </c>
      <c r="AY1216">
        <f>IF('Recurring Log'!H1220="","",'Recurring Log'!H1220)</f>
        <v/>
      </c>
      <c r="AZ1216">
        <f>IF(AU1216="","",IF('Recurring Log'!J1220="","Not Started",'Recurring Log'!J1220))</f>
        <v/>
      </c>
      <c r="BA1216">
        <f>'Recurring Log'!L1220&amp;""</f>
        <v/>
      </c>
      <c r="BB1216">
        <f>'Recurring Log'!M1220&amp;""</f>
        <v/>
      </c>
      <c r="BC1216">
        <f>'Recurring Log'!N1220&amp;""</f>
        <v/>
      </c>
      <c r="BD1216">
        <f>'Recurring Log'!O1220&amp;""</f>
        <v/>
      </c>
      <c r="BE1216">
        <f>IF('Recurring Log'!K1220="","",'Recurring Log'!K1220)</f>
        <v/>
      </c>
      <c r="BF1216">
        <f>IFERROR(MATCH(BA1216,Setup!$L$6:$L$9,0),5)</f>
        <v/>
      </c>
      <c r="BG1216">
        <f>IF(OR(AZ1216="Done",AZ1216="Cancelled"),1,0)</f>
        <v/>
      </c>
      <c r="BH1216">
        <f>IF(AND(AU1216&lt;&gt;"",ISNUMBER(AW1216)),1,0)</f>
        <v/>
      </c>
      <c r="BI1216">
        <f>IF(BH1216=0,0,IF(AND(AW1216&gt;='Tasks Filter'!$F$3,AW1216&lt;='Tasks Filter'!$F$4,OR('Tasks Filter'!$I$3="",ISNUMBER(SEARCH('Tasks Filter'!$I$3,AU1216))),OR('Tasks Filter'!$I$4="",BF1216=IFERROR(MATCH('Tasks Filter'!$I$4,Setup!$L$6:$L$9,0),0)),OR('Tasks Filter'!$I$5="Both",AND('Tasks Filter'!$I$5="Yes",BB1216="✓"),AND('Tasks Filter'!$I$5="No",BB1216&lt;&gt;"✓")),OR('Tasks Filter'!$L$3="",AV1216='Tasks Filter'!$L$3),OR('Tasks Filter'!$L$4="",AZ1216='Tasks Filter'!$L$4),OR('Tasks Filter'!$L$5="",BC1216='Tasks Filter'!$L$5),OR('Tasks Filter'!$O$3="",BD1216='Tasks Filter'!$O$3),OR('Tasks Filter'!$O$4="Yes",BG1216=0)),1,0))</f>
        <v/>
      </c>
      <c r="BJ1216">
        <f>IF(BH1216=0,"",IF('Tasks Filter'!$F$6="Descending",-1,1)*CHOOSE(MATCH('Tasks Filter'!$F$5,Lists!$G$2:$G$6,0),AW1216,BF1216,IFERROR(MATCH(AV1216,Setup!$F$6:$F$15,0),99),IFERROR(MATCH(BC1216,Setup!$H$6:$H$15,0),99),IFERROR(MATCH(AZ1216,Setup!$J$6:$J$11,0),99))*1E+9+(AW1216-40000)*10000+1215)</f>
        <v/>
      </c>
      <c r="BK1216">
        <f>IF(BI1216=1,BJ1216,"")</f>
        <v/>
      </c>
      <c r="BL1216">
        <f>IF(AND(BH1216=1,BG1216=0,N(AW1216)&lt;Setup!$D$7),(AW1216-40000)*10000+1215,"")</f>
        <v/>
      </c>
      <c r="BM1216">
        <f>IF(AND(BH1216=1,AZ1216&lt;&gt;"Cancelled",N(AW1216)&gt;=Dashboard!$AB$3,N(AW1216)&lt;=Dashboard!$AB$3+6),(AW1216-40000)*100000+BF1216*10000+1215,"")</f>
        <v/>
      </c>
      <c r="BN1216">
        <f>IF(AND(BH1216=1,AZ1216&lt;&gt;"Cancelled"),BF1216*10000+1215,"")</f>
        <v/>
      </c>
    </row>
    <row r="1217">
      <c r="AS1217" t="inlineStr">
        <is>
          <t>R</t>
        </is>
      </c>
      <c r="AT1217" t="n">
        <v>1221</v>
      </c>
      <c r="AU1217">
        <f>'Recurring Log'!C1221&amp;""</f>
        <v/>
      </c>
      <c r="AV1217">
        <f>'Recurring Log'!D1221&amp;""</f>
        <v/>
      </c>
      <c r="AW1217">
        <f>IF('Recurring Log'!E1221="","",'Recurring Log'!E1221)</f>
        <v/>
      </c>
      <c r="AX1217">
        <f>IF('Recurring Log'!G1221="","",'Recurring Log'!G1221)</f>
        <v/>
      </c>
      <c r="AY1217">
        <f>IF('Recurring Log'!H1221="","",'Recurring Log'!H1221)</f>
        <v/>
      </c>
      <c r="AZ1217">
        <f>IF(AU1217="","",IF('Recurring Log'!J1221="","Not Started",'Recurring Log'!J1221))</f>
        <v/>
      </c>
      <c r="BA1217">
        <f>'Recurring Log'!L1221&amp;""</f>
        <v/>
      </c>
      <c r="BB1217">
        <f>'Recurring Log'!M1221&amp;""</f>
        <v/>
      </c>
      <c r="BC1217">
        <f>'Recurring Log'!N1221&amp;""</f>
        <v/>
      </c>
      <c r="BD1217">
        <f>'Recurring Log'!O1221&amp;""</f>
        <v/>
      </c>
      <c r="BE1217">
        <f>IF('Recurring Log'!K1221="","",'Recurring Log'!K1221)</f>
        <v/>
      </c>
      <c r="BF1217">
        <f>IFERROR(MATCH(BA1217,Setup!$L$6:$L$9,0),5)</f>
        <v/>
      </c>
      <c r="BG1217">
        <f>IF(OR(AZ1217="Done",AZ1217="Cancelled"),1,0)</f>
        <v/>
      </c>
      <c r="BH1217">
        <f>IF(AND(AU1217&lt;&gt;"",ISNUMBER(AW1217)),1,0)</f>
        <v/>
      </c>
      <c r="BI1217">
        <f>IF(BH1217=0,0,IF(AND(AW1217&gt;='Tasks Filter'!$F$3,AW1217&lt;='Tasks Filter'!$F$4,OR('Tasks Filter'!$I$3="",ISNUMBER(SEARCH('Tasks Filter'!$I$3,AU1217))),OR('Tasks Filter'!$I$4="",BF1217=IFERROR(MATCH('Tasks Filter'!$I$4,Setup!$L$6:$L$9,0),0)),OR('Tasks Filter'!$I$5="Both",AND('Tasks Filter'!$I$5="Yes",BB1217="✓"),AND('Tasks Filter'!$I$5="No",BB1217&lt;&gt;"✓")),OR('Tasks Filter'!$L$3="",AV1217='Tasks Filter'!$L$3),OR('Tasks Filter'!$L$4="",AZ1217='Tasks Filter'!$L$4),OR('Tasks Filter'!$L$5="",BC1217='Tasks Filter'!$L$5),OR('Tasks Filter'!$O$3="",BD1217='Tasks Filter'!$O$3),OR('Tasks Filter'!$O$4="Yes",BG1217=0)),1,0))</f>
        <v/>
      </c>
      <c r="BJ1217">
        <f>IF(BH1217=0,"",IF('Tasks Filter'!$F$6="Descending",-1,1)*CHOOSE(MATCH('Tasks Filter'!$F$5,Lists!$G$2:$G$6,0),AW1217,BF1217,IFERROR(MATCH(AV1217,Setup!$F$6:$F$15,0),99),IFERROR(MATCH(BC1217,Setup!$H$6:$H$15,0),99),IFERROR(MATCH(AZ1217,Setup!$J$6:$J$11,0),99))*1E+9+(AW1217-40000)*10000+1216)</f>
        <v/>
      </c>
      <c r="BK1217">
        <f>IF(BI1217=1,BJ1217,"")</f>
        <v/>
      </c>
      <c r="BL1217">
        <f>IF(AND(BH1217=1,BG1217=0,N(AW1217)&lt;Setup!$D$7),(AW1217-40000)*10000+1216,"")</f>
        <v/>
      </c>
      <c r="BM1217">
        <f>IF(AND(BH1217=1,AZ1217&lt;&gt;"Cancelled",N(AW1217)&gt;=Dashboard!$AB$3,N(AW1217)&lt;=Dashboard!$AB$3+6),(AW1217-40000)*100000+BF1217*10000+1216,"")</f>
        <v/>
      </c>
      <c r="BN1217">
        <f>IF(AND(BH1217=1,AZ1217&lt;&gt;"Cancelled"),BF1217*10000+1216,"")</f>
        <v/>
      </c>
    </row>
    <row r="1218">
      <c r="AS1218" t="inlineStr">
        <is>
          <t>R</t>
        </is>
      </c>
      <c r="AT1218" t="n">
        <v>1222</v>
      </c>
      <c r="AU1218">
        <f>'Recurring Log'!C1222&amp;""</f>
        <v/>
      </c>
      <c r="AV1218">
        <f>'Recurring Log'!D1222&amp;""</f>
        <v/>
      </c>
      <c r="AW1218">
        <f>IF('Recurring Log'!E1222="","",'Recurring Log'!E1222)</f>
        <v/>
      </c>
      <c r="AX1218">
        <f>IF('Recurring Log'!G1222="","",'Recurring Log'!G1222)</f>
        <v/>
      </c>
      <c r="AY1218">
        <f>IF('Recurring Log'!H1222="","",'Recurring Log'!H1222)</f>
        <v/>
      </c>
      <c r="AZ1218">
        <f>IF(AU1218="","",IF('Recurring Log'!J1222="","Not Started",'Recurring Log'!J1222))</f>
        <v/>
      </c>
      <c r="BA1218">
        <f>'Recurring Log'!L1222&amp;""</f>
        <v/>
      </c>
      <c r="BB1218">
        <f>'Recurring Log'!M1222&amp;""</f>
        <v/>
      </c>
      <c r="BC1218">
        <f>'Recurring Log'!N1222&amp;""</f>
        <v/>
      </c>
      <c r="BD1218">
        <f>'Recurring Log'!O1222&amp;""</f>
        <v/>
      </c>
      <c r="BE1218">
        <f>IF('Recurring Log'!K1222="","",'Recurring Log'!K1222)</f>
        <v/>
      </c>
      <c r="BF1218">
        <f>IFERROR(MATCH(BA1218,Setup!$L$6:$L$9,0),5)</f>
        <v/>
      </c>
      <c r="BG1218">
        <f>IF(OR(AZ1218="Done",AZ1218="Cancelled"),1,0)</f>
        <v/>
      </c>
      <c r="BH1218">
        <f>IF(AND(AU1218&lt;&gt;"",ISNUMBER(AW1218)),1,0)</f>
        <v/>
      </c>
      <c r="BI1218">
        <f>IF(BH1218=0,0,IF(AND(AW1218&gt;='Tasks Filter'!$F$3,AW1218&lt;='Tasks Filter'!$F$4,OR('Tasks Filter'!$I$3="",ISNUMBER(SEARCH('Tasks Filter'!$I$3,AU1218))),OR('Tasks Filter'!$I$4="",BF1218=IFERROR(MATCH('Tasks Filter'!$I$4,Setup!$L$6:$L$9,0),0)),OR('Tasks Filter'!$I$5="Both",AND('Tasks Filter'!$I$5="Yes",BB1218="✓"),AND('Tasks Filter'!$I$5="No",BB1218&lt;&gt;"✓")),OR('Tasks Filter'!$L$3="",AV1218='Tasks Filter'!$L$3),OR('Tasks Filter'!$L$4="",AZ1218='Tasks Filter'!$L$4),OR('Tasks Filter'!$L$5="",BC1218='Tasks Filter'!$L$5),OR('Tasks Filter'!$O$3="",BD1218='Tasks Filter'!$O$3),OR('Tasks Filter'!$O$4="Yes",BG1218=0)),1,0))</f>
        <v/>
      </c>
      <c r="BJ1218">
        <f>IF(BH1218=0,"",IF('Tasks Filter'!$F$6="Descending",-1,1)*CHOOSE(MATCH('Tasks Filter'!$F$5,Lists!$G$2:$G$6,0),AW1218,BF1218,IFERROR(MATCH(AV1218,Setup!$F$6:$F$15,0),99),IFERROR(MATCH(BC1218,Setup!$H$6:$H$15,0),99),IFERROR(MATCH(AZ1218,Setup!$J$6:$J$11,0),99))*1E+9+(AW1218-40000)*10000+1217)</f>
        <v/>
      </c>
      <c r="BK1218">
        <f>IF(BI1218=1,BJ1218,"")</f>
        <v/>
      </c>
      <c r="BL1218">
        <f>IF(AND(BH1218=1,BG1218=0,N(AW1218)&lt;Setup!$D$7),(AW1218-40000)*10000+1217,"")</f>
        <v/>
      </c>
      <c r="BM1218">
        <f>IF(AND(BH1218=1,AZ1218&lt;&gt;"Cancelled",N(AW1218)&gt;=Dashboard!$AB$3,N(AW1218)&lt;=Dashboard!$AB$3+6),(AW1218-40000)*100000+BF1218*10000+1217,"")</f>
        <v/>
      </c>
      <c r="BN1218">
        <f>IF(AND(BH1218=1,AZ1218&lt;&gt;"Cancelled"),BF1218*10000+1217,"")</f>
        <v/>
      </c>
    </row>
    <row r="1219">
      <c r="AS1219" t="inlineStr">
        <is>
          <t>R</t>
        </is>
      </c>
      <c r="AT1219" t="n">
        <v>1223</v>
      </c>
      <c r="AU1219">
        <f>'Recurring Log'!C1223&amp;""</f>
        <v/>
      </c>
      <c r="AV1219">
        <f>'Recurring Log'!D1223&amp;""</f>
        <v/>
      </c>
      <c r="AW1219">
        <f>IF('Recurring Log'!E1223="","",'Recurring Log'!E1223)</f>
        <v/>
      </c>
      <c r="AX1219">
        <f>IF('Recurring Log'!G1223="","",'Recurring Log'!G1223)</f>
        <v/>
      </c>
      <c r="AY1219">
        <f>IF('Recurring Log'!H1223="","",'Recurring Log'!H1223)</f>
        <v/>
      </c>
      <c r="AZ1219">
        <f>IF(AU1219="","",IF('Recurring Log'!J1223="","Not Started",'Recurring Log'!J1223))</f>
        <v/>
      </c>
      <c r="BA1219">
        <f>'Recurring Log'!L1223&amp;""</f>
        <v/>
      </c>
      <c r="BB1219">
        <f>'Recurring Log'!M1223&amp;""</f>
        <v/>
      </c>
      <c r="BC1219">
        <f>'Recurring Log'!N1223&amp;""</f>
        <v/>
      </c>
      <c r="BD1219">
        <f>'Recurring Log'!O1223&amp;""</f>
        <v/>
      </c>
      <c r="BE1219">
        <f>IF('Recurring Log'!K1223="","",'Recurring Log'!K1223)</f>
        <v/>
      </c>
      <c r="BF1219">
        <f>IFERROR(MATCH(BA1219,Setup!$L$6:$L$9,0),5)</f>
        <v/>
      </c>
      <c r="BG1219">
        <f>IF(OR(AZ1219="Done",AZ1219="Cancelled"),1,0)</f>
        <v/>
      </c>
      <c r="BH1219">
        <f>IF(AND(AU1219&lt;&gt;"",ISNUMBER(AW1219)),1,0)</f>
        <v/>
      </c>
      <c r="BI1219">
        <f>IF(BH1219=0,0,IF(AND(AW1219&gt;='Tasks Filter'!$F$3,AW1219&lt;='Tasks Filter'!$F$4,OR('Tasks Filter'!$I$3="",ISNUMBER(SEARCH('Tasks Filter'!$I$3,AU1219))),OR('Tasks Filter'!$I$4="",BF1219=IFERROR(MATCH('Tasks Filter'!$I$4,Setup!$L$6:$L$9,0),0)),OR('Tasks Filter'!$I$5="Both",AND('Tasks Filter'!$I$5="Yes",BB1219="✓"),AND('Tasks Filter'!$I$5="No",BB1219&lt;&gt;"✓")),OR('Tasks Filter'!$L$3="",AV1219='Tasks Filter'!$L$3),OR('Tasks Filter'!$L$4="",AZ1219='Tasks Filter'!$L$4),OR('Tasks Filter'!$L$5="",BC1219='Tasks Filter'!$L$5),OR('Tasks Filter'!$O$3="",BD1219='Tasks Filter'!$O$3),OR('Tasks Filter'!$O$4="Yes",BG1219=0)),1,0))</f>
        <v/>
      </c>
      <c r="BJ1219">
        <f>IF(BH1219=0,"",IF('Tasks Filter'!$F$6="Descending",-1,1)*CHOOSE(MATCH('Tasks Filter'!$F$5,Lists!$G$2:$G$6,0),AW1219,BF1219,IFERROR(MATCH(AV1219,Setup!$F$6:$F$15,0),99),IFERROR(MATCH(BC1219,Setup!$H$6:$H$15,0),99),IFERROR(MATCH(AZ1219,Setup!$J$6:$J$11,0),99))*1E+9+(AW1219-40000)*10000+1218)</f>
        <v/>
      </c>
      <c r="BK1219">
        <f>IF(BI1219=1,BJ1219,"")</f>
        <v/>
      </c>
      <c r="BL1219">
        <f>IF(AND(BH1219=1,BG1219=0,N(AW1219)&lt;Setup!$D$7),(AW1219-40000)*10000+1218,"")</f>
        <v/>
      </c>
      <c r="BM1219">
        <f>IF(AND(BH1219=1,AZ1219&lt;&gt;"Cancelled",N(AW1219)&gt;=Dashboard!$AB$3,N(AW1219)&lt;=Dashboard!$AB$3+6),(AW1219-40000)*100000+BF1219*10000+1218,"")</f>
        <v/>
      </c>
      <c r="BN1219">
        <f>IF(AND(BH1219=1,AZ1219&lt;&gt;"Cancelled"),BF1219*10000+1218,"")</f>
        <v/>
      </c>
    </row>
    <row r="1220">
      <c r="AS1220" t="inlineStr">
        <is>
          <t>R</t>
        </is>
      </c>
      <c r="AT1220" t="n">
        <v>1224</v>
      </c>
      <c r="AU1220">
        <f>'Recurring Log'!C1224&amp;""</f>
        <v/>
      </c>
      <c r="AV1220">
        <f>'Recurring Log'!D1224&amp;""</f>
        <v/>
      </c>
      <c r="AW1220">
        <f>IF('Recurring Log'!E1224="","",'Recurring Log'!E1224)</f>
        <v/>
      </c>
      <c r="AX1220">
        <f>IF('Recurring Log'!G1224="","",'Recurring Log'!G1224)</f>
        <v/>
      </c>
      <c r="AY1220">
        <f>IF('Recurring Log'!H1224="","",'Recurring Log'!H1224)</f>
        <v/>
      </c>
      <c r="AZ1220">
        <f>IF(AU1220="","",IF('Recurring Log'!J1224="","Not Started",'Recurring Log'!J1224))</f>
        <v/>
      </c>
      <c r="BA1220">
        <f>'Recurring Log'!L1224&amp;""</f>
        <v/>
      </c>
      <c r="BB1220">
        <f>'Recurring Log'!M1224&amp;""</f>
        <v/>
      </c>
      <c r="BC1220">
        <f>'Recurring Log'!N1224&amp;""</f>
        <v/>
      </c>
      <c r="BD1220">
        <f>'Recurring Log'!O1224&amp;""</f>
        <v/>
      </c>
      <c r="BE1220">
        <f>IF('Recurring Log'!K1224="","",'Recurring Log'!K1224)</f>
        <v/>
      </c>
      <c r="BF1220">
        <f>IFERROR(MATCH(BA1220,Setup!$L$6:$L$9,0),5)</f>
        <v/>
      </c>
      <c r="BG1220">
        <f>IF(OR(AZ1220="Done",AZ1220="Cancelled"),1,0)</f>
        <v/>
      </c>
      <c r="BH1220">
        <f>IF(AND(AU1220&lt;&gt;"",ISNUMBER(AW1220)),1,0)</f>
        <v/>
      </c>
      <c r="BI1220">
        <f>IF(BH1220=0,0,IF(AND(AW1220&gt;='Tasks Filter'!$F$3,AW1220&lt;='Tasks Filter'!$F$4,OR('Tasks Filter'!$I$3="",ISNUMBER(SEARCH('Tasks Filter'!$I$3,AU1220))),OR('Tasks Filter'!$I$4="",BF1220=IFERROR(MATCH('Tasks Filter'!$I$4,Setup!$L$6:$L$9,0),0)),OR('Tasks Filter'!$I$5="Both",AND('Tasks Filter'!$I$5="Yes",BB1220="✓"),AND('Tasks Filter'!$I$5="No",BB1220&lt;&gt;"✓")),OR('Tasks Filter'!$L$3="",AV1220='Tasks Filter'!$L$3),OR('Tasks Filter'!$L$4="",AZ1220='Tasks Filter'!$L$4),OR('Tasks Filter'!$L$5="",BC1220='Tasks Filter'!$L$5),OR('Tasks Filter'!$O$3="",BD1220='Tasks Filter'!$O$3),OR('Tasks Filter'!$O$4="Yes",BG1220=0)),1,0))</f>
        <v/>
      </c>
      <c r="BJ1220">
        <f>IF(BH1220=0,"",IF('Tasks Filter'!$F$6="Descending",-1,1)*CHOOSE(MATCH('Tasks Filter'!$F$5,Lists!$G$2:$G$6,0),AW1220,BF1220,IFERROR(MATCH(AV1220,Setup!$F$6:$F$15,0),99),IFERROR(MATCH(BC1220,Setup!$H$6:$H$15,0),99),IFERROR(MATCH(AZ1220,Setup!$J$6:$J$11,0),99))*1E+9+(AW1220-40000)*10000+1219)</f>
        <v/>
      </c>
      <c r="BK1220">
        <f>IF(BI1220=1,BJ1220,"")</f>
        <v/>
      </c>
      <c r="BL1220">
        <f>IF(AND(BH1220=1,BG1220=0,N(AW1220)&lt;Setup!$D$7),(AW1220-40000)*10000+1219,"")</f>
        <v/>
      </c>
      <c r="BM1220">
        <f>IF(AND(BH1220=1,AZ1220&lt;&gt;"Cancelled",N(AW1220)&gt;=Dashboard!$AB$3,N(AW1220)&lt;=Dashboard!$AB$3+6),(AW1220-40000)*100000+BF1220*10000+1219,"")</f>
        <v/>
      </c>
      <c r="BN1220">
        <f>IF(AND(BH1220=1,AZ1220&lt;&gt;"Cancelled"),BF1220*10000+1219,"")</f>
        <v/>
      </c>
    </row>
    <row r="1221">
      <c r="AS1221" t="inlineStr">
        <is>
          <t>R</t>
        </is>
      </c>
      <c r="AT1221" t="n">
        <v>1225</v>
      </c>
      <c r="AU1221">
        <f>'Recurring Log'!C1225&amp;""</f>
        <v/>
      </c>
      <c r="AV1221">
        <f>'Recurring Log'!D1225&amp;""</f>
        <v/>
      </c>
      <c r="AW1221">
        <f>IF('Recurring Log'!E1225="","",'Recurring Log'!E1225)</f>
        <v/>
      </c>
      <c r="AX1221">
        <f>IF('Recurring Log'!G1225="","",'Recurring Log'!G1225)</f>
        <v/>
      </c>
      <c r="AY1221">
        <f>IF('Recurring Log'!H1225="","",'Recurring Log'!H1225)</f>
        <v/>
      </c>
      <c r="AZ1221">
        <f>IF(AU1221="","",IF('Recurring Log'!J1225="","Not Started",'Recurring Log'!J1225))</f>
        <v/>
      </c>
      <c r="BA1221">
        <f>'Recurring Log'!L1225&amp;""</f>
        <v/>
      </c>
      <c r="BB1221">
        <f>'Recurring Log'!M1225&amp;""</f>
        <v/>
      </c>
      <c r="BC1221">
        <f>'Recurring Log'!N1225&amp;""</f>
        <v/>
      </c>
      <c r="BD1221">
        <f>'Recurring Log'!O1225&amp;""</f>
        <v/>
      </c>
      <c r="BE1221">
        <f>IF('Recurring Log'!K1225="","",'Recurring Log'!K1225)</f>
        <v/>
      </c>
      <c r="BF1221">
        <f>IFERROR(MATCH(BA1221,Setup!$L$6:$L$9,0),5)</f>
        <v/>
      </c>
      <c r="BG1221">
        <f>IF(OR(AZ1221="Done",AZ1221="Cancelled"),1,0)</f>
        <v/>
      </c>
      <c r="BH1221">
        <f>IF(AND(AU1221&lt;&gt;"",ISNUMBER(AW1221)),1,0)</f>
        <v/>
      </c>
      <c r="BI1221">
        <f>IF(BH1221=0,0,IF(AND(AW1221&gt;='Tasks Filter'!$F$3,AW1221&lt;='Tasks Filter'!$F$4,OR('Tasks Filter'!$I$3="",ISNUMBER(SEARCH('Tasks Filter'!$I$3,AU1221))),OR('Tasks Filter'!$I$4="",BF1221=IFERROR(MATCH('Tasks Filter'!$I$4,Setup!$L$6:$L$9,0),0)),OR('Tasks Filter'!$I$5="Both",AND('Tasks Filter'!$I$5="Yes",BB1221="✓"),AND('Tasks Filter'!$I$5="No",BB1221&lt;&gt;"✓")),OR('Tasks Filter'!$L$3="",AV1221='Tasks Filter'!$L$3),OR('Tasks Filter'!$L$4="",AZ1221='Tasks Filter'!$L$4),OR('Tasks Filter'!$L$5="",BC1221='Tasks Filter'!$L$5),OR('Tasks Filter'!$O$3="",BD1221='Tasks Filter'!$O$3),OR('Tasks Filter'!$O$4="Yes",BG1221=0)),1,0))</f>
        <v/>
      </c>
      <c r="BJ1221">
        <f>IF(BH1221=0,"",IF('Tasks Filter'!$F$6="Descending",-1,1)*CHOOSE(MATCH('Tasks Filter'!$F$5,Lists!$G$2:$G$6,0),AW1221,BF1221,IFERROR(MATCH(AV1221,Setup!$F$6:$F$15,0),99),IFERROR(MATCH(BC1221,Setup!$H$6:$H$15,0),99),IFERROR(MATCH(AZ1221,Setup!$J$6:$J$11,0),99))*1E+9+(AW1221-40000)*10000+1220)</f>
        <v/>
      </c>
      <c r="BK1221">
        <f>IF(BI1221=1,BJ1221,"")</f>
        <v/>
      </c>
      <c r="BL1221">
        <f>IF(AND(BH1221=1,BG1221=0,N(AW1221)&lt;Setup!$D$7),(AW1221-40000)*10000+1220,"")</f>
        <v/>
      </c>
      <c r="BM1221">
        <f>IF(AND(BH1221=1,AZ1221&lt;&gt;"Cancelled",N(AW1221)&gt;=Dashboard!$AB$3,N(AW1221)&lt;=Dashboard!$AB$3+6),(AW1221-40000)*100000+BF1221*10000+1220,"")</f>
        <v/>
      </c>
      <c r="BN1221">
        <f>IF(AND(BH1221=1,AZ1221&lt;&gt;"Cancelled"),BF1221*10000+1220,"")</f>
        <v/>
      </c>
    </row>
    <row r="1222">
      <c r="AS1222" t="inlineStr">
        <is>
          <t>R</t>
        </is>
      </c>
      <c r="AT1222" t="n">
        <v>1226</v>
      </c>
      <c r="AU1222">
        <f>'Recurring Log'!C1226&amp;""</f>
        <v/>
      </c>
      <c r="AV1222">
        <f>'Recurring Log'!D1226&amp;""</f>
        <v/>
      </c>
      <c r="AW1222">
        <f>IF('Recurring Log'!E1226="","",'Recurring Log'!E1226)</f>
        <v/>
      </c>
      <c r="AX1222">
        <f>IF('Recurring Log'!G1226="","",'Recurring Log'!G1226)</f>
        <v/>
      </c>
      <c r="AY1222">
        <f>IF('Recurring Log'!H1226="","",'Recurring Log'!H1226)</f>
        <v/>
      </c>
      <c r="AZ1222">
        <f>IF(AU1222="","",IF('Recurring Log'!J1226="","Not Started",'Recurring Log'!J1226))</f>
        <v/>
      </c>
      <c r="BA1222">
        <f>'Recurring Log'!L1226&amp;""</f>
        <v/>
      </c>
      <c r="BB1222">
        <f>'Recurring Log'!M1226&amp;""</f>
        <v/>
      </c>
      <c r="BC1222">
        <f>'Recurring Log'!N1226&amp;""</f>
        <v/>
      </c>
      <c r="BD1222">
        <f>'Recurring Log'!O1226&amp;""</f>
        <v/>
      </c>
      <c r="BE1222">
        <f>IF('Recurring Log'!K1226="","",'Recurring Log'!K1226)</f>
        <v/>
      </c>
      <c r="BF1222">
        <f>IFERROR(MATCH(BA1222,Setup!$L$6:$L$9,0),5)</f>
        <v/>
      </c>
      <c r="BG1222">
        <f>IF(OR(AZ1222="Done",AZ1222="Cancelled"),1,0)</f>
        <v/>
      </c>
      <c r="BH1222">
        <f>IF(AND(AU1222&lt;&gt;"",ISNUMBER(AW1222)),1,0)</f>
        <v/>
      </c>
      <c r="BI1222">
        <f>IF(BH1222=0,0,IF(AND(AW1222&gt;='Tasks Filter'!$F$3,AW1222&lt;='Tasks Filter'!$F$4,OR('Tasks Filter'!$I$3="",ISNUMBER(SEARCH('Tasks Filter'!$I$3,AU1222))),OR('Tasks Filter'!$I$4="",BF1222=IFERROR(MATCH('Tasks Filter'!$I$4,Setup!$L$6:$L$9,0),0)),OR('Tasks Filter'!$I$5="Both",AND('Tasks Filter'!$I$5="Yes",BB1222="✓"),AND('Tasks Filter'!$I$5="No",BB1222&lt;&gt;"✓")),OR('Tasks Filter'!$L$3="",AV1222='Tasks Filter'!$L$3),OR('Tasks Filter'!$L$4="",AZ1222='Tasks Filter'!$L$4),OR('Tasks Filter'!$L$5="",BC1222='Tasks Filter'!$L$5),OR('Tasks Filter'!$O$3="",BD1222='Tasks Filter'!$O$3),OR('Tasks Filter'!$O$4="Yes",BG1222=0)),1,0))</f>
        <v/>
      </c>
      <c r="BJ1222">
        <f>IF(BH1222=0,"",IF('Tasks Filter'!$F$6="Descending",-1,1)*CHOOSE(MATCH('Tasks Filter'!$F$5,Lists!$G$2:$G$6,0),AW1222,BF1222,IFERROR(MATCH(AV1222,Setup!$F$6:$F$15,0),99),IFERROR(MATCH(BC1222,Setup!$H$6:$H$15,0),99),IFERROR(MATCH(AZ1222,Setup!$J$6:$J$11,0),99))*1E+9+(AW1222-40000)*10000+1221)</f>
        <v/>
      </c>
      <c r="BK1222">
        <f>IF(BI1222=1,BJ1222,"")</f>
        <v/>
      </c>
      <c r="BL1222">
        <f>IF(AND(BH1222=1,BG1222=0,N(AW1222)&lt;Setup!$D$7),(AW1222-40000)*10000+1221,"")</f>
        <v/>
      </c>
      <c r="BM1222">
        <f>IF(AND(BH1222=1,AZ1222&lt;&gt;"Cancelled",N(AW1222)&gt;=Dashboard!$AB$3,N(AW1222)&lt;=Dashboard!$AB$3+6),(AW1222-40000)*100000+BF1222*10000+1221,"")</f>
        <v/>
      </c>
      <c r="BN1222">
        <f>IF(AND(BH1222=1,AZ1222&lt;&gt;"Cancelled"),BF1222*10000+1221,"")</f>
        <v/>
      </c>
    </row>
    <row r="1223">
      <c r="AS1223" t="inlineStr">
        <is>
          <t>R</t>
        </is>
      </c>
      <c r="AT1223" t="n">
        <v>1227</v>
      </c>
      <c r="AU1223">
        <f>'Recurring Log'!C1227&amp;""</f>
        <v/>
      </c>
      <c r="AV1223">
        <f>'Recurring Log'!D1227&amp;""</f>
        <v/>
      </c>
      <c r="AW1223">
        <f>IF('Recurring Log'!E1227="","",'Recurring Log'!E1227)</f>
        <v/>
      </c>
      <c r="AX1223">
        <f>IF('Recurring Log'!G1227="","",'Recurring Log'!G1227)</f>
        <v/>
      </c>
      <c r="AY1223">
        <f>IF('Recurring Log'!H1227="","",'Recurring Log'!H1227)</f>
        <v/>
      </c>
      <c r="AZ1223">
        <f>IF(AU1223="","",IF('Recurring Log'!J1227="","Not Started",'Recurring Log'!J1227))</f>
        <v/>
      </c>
      <c r="BA1223">
        <f>'Recurring Log'!L1227&amp;""</f>
        <v/>
      </c>
      <c r="BB1223">
        <f>'Recurring Log'!M1227&amp;""</f>
        <v/>
      </c>
      <c r="BC1223">
        <f>'Recurring Log'!N1227&amp;""</f>
        <v/>
      </c>
      <c r="BD1223">
        <f>'Recurring Log'!O1227&amp;""</f>
        <v/>
      </c>
      <c r="BE1223">
        <f>IF('Recurring Log'!K1227="","",'Recurring Log'!K1227)</f>
        <v/>
      </c>
      <c r="BF1223">
        <f>IFERROR(MATCH(BA1223,Setup!$L$6:$L$9,0),5)</f>
        <v/>
      </c>
      <c r="BG1223">
        <f>IF(OR(AZ1223="Done",AZ1223="Cancelled"),1,0)</f>
        <v/>
      </c>
      <c r="BH1223">
        <f>IF(AND(AU1223&lt;&gt;"",ISNUMBER(AW1223)),1,0)</f>
        <v/>
      </c>
      <c r="BI1223">
        <f>IF(BH1223=0,0,IF(AND(AW1223&gt;='Tasks Filter'!$F$3,AW1223&lt;='Tasks Filter'!$F$4,OR('Tasks Filter'!$I$3="",ISNUMBER(SEARCH('Tasks Filter'!$I$3,AU1223))),OR('Tasks Filter'!$I$4="",BF1223=IFERROR(MATCH('Tasks Filter'!$I$4,Setup!$L$6:$L$9,0),0)),OR('Tasks Filter'!$I$5="Both",AND('Tasks Filter'!$I$5="Yes",BB1223="✓"),AND('Tasks Filter'!$I$5="No",BB1223&lt;&gt;"✓")),OR('Tasks Filter'!$L$3="",AV1223='Tasks Filter'!$L$3),OR('Tasks Filter'!$L$4="",AZ1223='Tasks Filter'!$L$4),OR('Tasks Filter'!$L$5="",BC1223='Tasks Filter'!$L$5),OR('Tasks Filter'!$O$3="",BD1223='Tasks Filter'!$O$3),OR('Tasks Filter'!$O$4="Yes",BG1223=0)),1,0))</f>
        <v/>
      </c>
      <c r="BJ1223">
        <f>IF(BH1223=0,"",IF('Tasks Filter'!$F$6="Descending",-1,1)*CHOOSE(MATCH('Tasks Filter'!$F$5,Lists!$G$2:$G$6,0),AW1223,BF1223,IFERROR(MATCH(AV1223,Setup!$F$6:$F$15,0),99),IFERROR(MATCH(BC1223,Setup!$H$6:$H$15,0),99),IFERROR(MATCH(AZ1223,Setup!$J$6:$J$11,0),99))*1E+9+(AW1223-40000)*10000+1222)</f>
        <v/>
      </c>
      <c r="BK1223">
        <f>IF(BI1223=1,BJ1223,"")</f>
        <v/>
      </c>
      <c r="BL1223">
        <f>IF(AND(BH1223=1,BG1223=0,N(AW1223)&lt;Setup!$D$7),(AW1223-40000)*10000+1222,"")</f>
        <v/>
      </c>
      <c r="BM1223">
        <f>IF(AND(BH1223=1,AZ1223&lt;&gt;"Cancelled",N(AW1223)&gt;=Dashboard!$AB$3,N(AW1223)&lt;=Dashboard!$AB$3+6),(AW1223-40000)*100000+BF1223*10000+1222,"")</f>
        <v/>
      </c>
      <c r="BN1223">
        <f>IF(AND(BH1223=1,AZ1223&lt;&gt;"Cancelled"),BF1223*10000+1222,"")</f>
        <v/>
      </c>
    </row>
    <row r="1224">
      <c r="AS1224" t="inlineStr">
        <is>
          <t>R</t>
        </is>
      </c>
      <c r="AT1224" t="n">
        <v>1228</v>
      </c>
      <c r="AU1224">
        <f>'Recurring Log'!C1228&amp;""</f>
        <v/>
      </c>
      <c r="AV1224">
        <f>'Recurring Log'!D1228&amp;""</f>
        <v/>
      </c>
      <c r="AW1224">
        <f>IF('Recurring Log'!E1228="","",'Recurring Log'!E1228)</f>
        <v/>
      </c>
      <c r="AX1224">
        <f>IF('Recurring Log'!G1228="","",'Recurring Log'!G1228)</f>
        <v/>
      </c>
      <c r="AY1224">
        <f>IF('Recurring Log'!H1228="","",'Recurring Log'!H1228)</f>
        <v/>
      </c>
      <c r="AZ1224">
        <f>IF(AU1224="","",IF('Recurring Log'!J1228="","Not Started",'Recurring Log'!J1228))</f>
        <v/>
      </c>
      <c r="BA1224">
        <f>'Recurring Log'!L1228&amp;""</f>
        <v/>
      </c>
      <c r="BB1224">
        <f>'Recurring Log'!M1228&amp;""</f>
        <v/>
      </c>
      <c r="BC1224">
        <f>'Recurring Log'!N1228&amp;""</f>
        <v/>
      </c>
      <c r="BD1224">
        <f>'Recurring Log'!O1228&amp;""</f>
        <v/>
      </c>
      <c r="BE1224">
        <f>IF('Recurring Log'!K1228="","",'Recurring Log'!K1228)</f>
        <v/>
      </c>
      <c r="BF1224">
        <f>IFERROR(MATCH(BA1224,Setup!$L$6:$L$9,0),5)</f>
        <v/>
      </c>
      <c r="BG1224">
        <f>IF(OR(AZ1224="Done",AZ1224="Cancelled"),1,0)</f>
        <v/>
      </c>
      <c r="BH1224">
        <f>IF(AND(AU1224&lt;&gt;"",ISNUMBER(AW1224)),1,0)</f>
        <v/>
      </c>
      <c r="BI1224">
        <f>IF(BH1224=0,0,IF(AND(AW1224&gt;='Tasks Filter'!$F$3,AW1224&lt;='Tasks Filter'!$F$4,OR('Tasks Filter'!$I$3="",ISNUMBER(SEARCH('Tasks Filter'!$I$3,AU1224))),OR('Tasks Filter'!$I$4="",BF1224=IFERROR(MATCH('Tasks Filter'!$I$4,Setup!$L$6:$L$9,0),0)),OR('Tasks Filter'!$I$5="Both",AND('Tasks Filter'!$I$5="Yes",BB1224="✓"),AND('Tasks Filter'!$I$5="No",BB1224&lt;&gt;"✓")),OR('Tasks Filter'!$L$3="",AV1224='Tasks Filter'!$L$3),OR('Tasks Filter'!$L$4="",AZ1224='Tasks Filter'!$L$4),OR('Tasks Filter'!$L$5="",BC1224='Tasks Filter'!$L$5),OR('Tasks Filter'!$O$3="",BD1224='Tasks Filter'!$O$3),OR('Tasks Filter'!$O$4="Yes",BG1224=0)),1,0))</f>
        <v/>
      </c>
      <c r="BJ1224">
        <f>IF(BH1224=0,"",IF('Tasks Filter'!$F$6="Descending",-1,1)*CHOOSE(MATCH('Tasks Filter'!$F$5,Lists!$G$2:$G$6,0),AW1224,BF1224,IFERROR(MATCH(AV1224,Setup!$F$6:$F$15,0),99),IFERROR(MATCH(BC1224,Setup!$H$6:$H$15,0),99),IFERROR(MATCH(AZ1224,Setup!$J$6:$J$11,0),99))*1E+9+(AW1224-40000)*10000+1223)</f>
        <v/>
      </c>
      <c r="BK1224">
        <f>IF(BI1224=1,BJ1224,"")</f>
        <v/>
      </c>
      <c r="BL1224">
        <f>IF(AND(BH1224=1,BG1224=0,N(AW1224)&lt;Setup!$D$7),(AW1224-40000)*10000+1223,"")</f>
        <v/>
      </c>
      <c r="BM1224">
        <f>IF(AND(BH1224=1,AZ1224&lt;&gt;"Cancelled",N(AW1224)&gt;=Dashboard!$AB$3,N(AW1224)&lt;=Dashboard!$AB$3+6),(AW1224-40000)*100000+BF1224*10000+1223,"")</f>
        <v/>
      </c>
      <c r="BN1224">
        <f>IF(AND(BH1224=1,AZ1224&lt;&gt;"Cancelled"),BF1224*10000+1223,"")</f>
        <v/>
      </c>
    </row>
    <row r="1225">
      <c r="AS1225" t="inlineStr">
        <is>
          <t>R</t>
        </is>
      </c>
      <c r="AT1225" t="n">
        <v>1229</v>
      </c>
      <c r="AU1225">
        <f>'Recurring Log'!C1229&amp;""</f>
        <v/>
      </c>
      <c r="AV1225">
        <f>'Recurring Log'!D1229&amp;""</f>
        <v/>
      </c>
      <c r="AW1225">
        <f>IF('Recurring Log'!E1229="","",'Recurring Log'!E1229)</f>
        <v/>
      </c>
      <c r="AX1225">
        <f>IF('Recurring Log'!G1229="","",'Recurring Log'!G1229)</f>
        <v/>
      </c>
      <c r="AY1225">
        <f>IF('Recurring Log'!H1229="","",'Recurring Log'!H1229)</f>
        <v/>
      </c>
      <c r="AZ1225">
        <f>IF(AU1225="","",IF('Recurring Log'!J1229="","Not Started",'Recurring Log'!J1229))</f>
        <v/>
      </c>
      <c r="BA1225">
        <f>'Recurring Log'!L1229&amp;""</f>
        <v/>
      </c>
      <c r="BB1225">
        <f>'Recurring Log'!M1229&amp;""</f>
        <v/>
      </c>
      <c r="BC1225">
        <f>'Recurring Log'!N1229&amp;""</f>
        <v/>
      </c>
      <c r="BD1225">
        <f>'Recurring Log'!O1229&amp;""</f>
        <v/>
      </c>
      <c r="BE1225">
        <f>IF('Recurring Log'!K1229="","",'Recurring Log'!K1229)</f>
        <v/>
      </c>
      <c r="BF1225">
        <f>IFERROR(MATCH(BA1225,Setup!$L$6:$L$9,0),5)</f>
        <v/>
      </c>
      <c r="BG1225">
        <f>IF(OR(AZ1225="Done",AZ1225="Cancelled"),1,0)</f>
        <v/>
      </c>
      <c r="BH1225">
        <f>IF(AND(AU1225&lt;&gt;"",ISNUMBER(AW1225)),1,0)</f>
        <v/>
      </c>
      <c r="BI1225">
        <f>IF(BH1225=0,0,IF(AND(AW1225&gt;='Tasks Filter'!$F$3,AW1225&lt;='Tasks Filter'!$F$4,OR('Tasks Filter'!$I$3="",ISNUMBER(SEARCH('Tasks Filter'!$I$3,AU1225))),OR('Tasks Filter'!$I$4="",BF1225=IFERROR(MATCH('Tasks Filter'!$I$4,Setup!$L$6:$L$9,0),0)),OR('Tasks Filter'!$I$5="Both",AND('Tasks Filter'!$I$5="Yes",BB1225="✓"),AND('Tasks Filter'!$I$5="No",BB1225&lt;&gt;"✓")),OR('Tasks Filter'!$L$3="",AV1225='Tasks Filter'!$L$3),OR('Tasks Filter'!$L$4="",AZ1225='Tasks Filter'!$L$4),OR('Tasks Filter'!$L$5="",BC1225='Tasks Filter'!$L$5),OR('Tasks Filter'!$O$3="",BD1225='Tasks Filter'!$O$3),OR('Tasks Filter'!$O$4="Yes",BG1225=0)),1,0))</f>
        <v/>
      </c>
      <c r="BJ1225">
        <f>IF(BH1225=0,"",IF('Tasks Filter'!$F$6="Descending",-1,1)*CHOOSE(MATCH('Tasks Filter'!$F$5,Lists!$G$2:$G$6,0),AW1225,BF1225,IFERROR(MATCH(AV1225,Setup!$F$6:$F$15,0),99),IFERROR(MATCH(BC1225,Setup!$H$6:$H$15,0),99),IFERROR(MATCH(AZ1225,Setup!$J$6:$J$11,0),99))*1E+9+(AW1225-40000)*10000+1224)</f>
        <v/>
      </c>
      <c r="BK1225">
        <f>IF(BI1225=1,BJ1225,"")</f>
        <v/>
      </c>
      <c r="BL1225">
        <f>IF(AND(BH1225=1,BG1225=0,N(AW1225)&lt;Setup!$D$7),(AW1225-40000)*10000+1224,"")</f>
        <v/>
      </c>
      <c r="BM1225">
        <f>IF(AND(BH1225=1,AZ1225&lt;&gt;"Cancelled",N(AW1225)&gt;=Dashboard!$AB$3,N(AW1225)&lt;=Dashboard!$AB$3+6),(AW1225-40000)*100000+BF1225*10000+1224,"")</f>
        <v/>
      </c>
      <c r="BN1225">
        <f>IF(AND(BH1225=1,AZ1225&lt;&gt;"Cancelled"),BF1225*10000+1224,"")</f>
        <v/>
      </c>
    </row>
    <row r="1226">
      <c r="AS1226" t="inlineStr">
        <is>
          <t>R</t>
        </is>
      </c>
      <c r="AT1226" t="n">
        <v>1230</v>
      </c>
      <c r="AU1226">
        <f>'Recurring Log'!C1230&amp;""</f>
        <v/>
      </c>
      <c r="AV1226">
        <f>'Recurring Log'!D1230&amp;""</f>
        <v/>
      </c>
      <c r="AW1226">
        <f>IF('Recurring Log'!E1230="","",'Recurring Log'!E1230)</f>
        <v/>
      </c>
      <c r="AX1226">
        <f>IF('Recurring Log'!G1230="","",'Recurring Log'!G1230)</f>
        <v/>
      </c>
      <c r="AY1226">
        <f>IF('Recurring Log'!H1230="","",'Recurring Log'!H1230)</f>
        <v/>
      </c>
      <c r="AZ1226">
        <f>IF(AU1226="","",IF('Recurring Log'!J1230="","Not Started",'Recurring Log'!J1230))</f>
        <v/>
      </c>
      <c r="BA1226">
        <f>'Recurring Log'!L1230&amp;""</f>
        <v/>
      </c>
      <c r="BB1226">
        <f>'Recurring Log'!M1230&amp;""</f>
        <v/>
      </c>
      <c r="BC1226">
        <f>'Recurring Log'!N1230&amp;""</f>
        <v/>
      </c>
      <c r="BD1226">
        <f>'Recurring Log'!O1230&amp;""</f>
        <v/>
      </c>
      <c r="BE1226">
        <f>IF('Recurring Log'!K1230="","",'Recurring Log'!K1230)</f>
        <v/>
      </c>
      <c r="BF1226">
        <f>IFERROR(MATCH(BA1226,Setup!$L$6:$L$9,0),5)</f>
        <v/>
      </c>
      <c r="BG1226">
        <f>IF(OR(AZ1226="Done",AZ1226="Cancelled"),1,0)</f>
        <v/>
      </c>
      <c r="BH1226">
        <f>IF(AND(AU1226&lt;&gt;"",ISNUMBER(AW1226)),1,0)</f>
        <v/>
      </c>
      <c r="BI1226">
        <f>IF(BH1226=0,0,IF(AND(AW1226&gt;='Tasks Filter'!$F$3,AW1226&lt;='Tasks Filter'!$F$4,OR('Tasks Filter'!$I$3="",ISNUMBER(SEARCH('Tasks Filter'!$I$3,AU1226))),OR('Tasks Filter'!$I$4="",BF1226=IFERROR(MATCH('Tasks Filter'!$I$4,Setup!$L$6:$L$9,0),0)),OR('Tasks Filter'!$I$5="Both",AND('Tasks Filter'!$I$5="Yes",BB1226="✓"),AND('Tasks Filter'!$I$5="No",BB1226&lt;&gt;"✓")),OR('Tasks Filter'!$L$3="",AV1226='Tasks Filter'!$L$3),OR('Tasks Filter'!$L$4="",AZ1226='Tasks Filter'!$L$4),OR('Tasks Filter'!$L$5="",BC1226='Tasks Filter'!$L$5),OR('Tasks Filter'!$O$3="",BD1226='Tasks Filter'!$O$3),OR('Tasks Filter'!$O$4="Yes",BG1226=0)),1,0))</f>
        <v/>
      </c>
      <c r="BJ1226">
        <f>IF(BH1226=0,"",IF('Tasks Filter'!$F$6="Descending",-1,1)*CHOOSE(MATCH('Tasks Filter'!$F$5,Lists!$G$2:$G$6,0),AW1226,BF1226,IFERROR(MATCH(AV1226,Setup!$F$6:$F$15,0),99),IFERROR(MATCH(BC1226,Setup!$H$6:$H$15,0),99),IFERROR(MATCH(AZ1226,Setup!$J$6:$J$11,0),99))*1E+9+(AW1226-40000)*10000+1225)</f>
        <v/>
      </c>
      <c r="BK1226">
        <f>IF(BI1226=1,BJ1226,"")</f>
        <v/>
      </c>
      <c r="BL1226">
        <f>IF(AND(BH1226=1,BG1226=0,N(AW1226)&lt;Setup!$D$7),(AW1226-40000)*10000+1225,"")</f>
        <v/>
      </c>
      <c r="BM1226">
        <f>IF(AND(BH1226=1,AZ1226&lt;&gt;"Cancelled",N(AW1226)&gt;=Dashboard!$AB$3,N(AW1226)&lt;=Dashboard!$AB$3+6),(AW1226-40000)*100000+BF1226*10000+1225,"")</f>
        <v/>
      </c>
      <c r="BN1226">
        <f>IF(AND(BH1226=1,AZ1226&lt;&gt;"Cancelled"),BF1226*10000+1225,"")</f>
        <v/>
      </c>
    </row>
    <row r="1227">
      <c r="AS1227" t="inlineStr">
        <is>
          <t>R</t>
        </is>
      </c>
      <c r="AT1227" t="n">
        <v>1231</v>
      </c>
      <c r="AU1227">
        <f>'Recurring Log'!C1231&amp;""</f>
        <v/>
      </c>
      <c r="AV1227">
        <f>'Recurring Log'!D1231&amp;""</f>
        <v/>
      </c>
      <c r="AW1227">
        <f>IF('Recurring Log'!E1231="","",'Recurring Log'!E1231)</f>
        <v/>
      </c>
      <c r="AX1227">
        <f>IF('Recurring Log'!G1231="","",'Recurring Log'!G1231)</f>
        <v/>
      </c>
      <c r="AY1227">
        <f>IF('Recurring Log'!H1231="","",'Recurring Log'!H1231)</f>
        <v/>
      </c>
      <c r="AZ1227">
        <f>IF(AU1227="","",IF('Recurring Log'!J1231="","Not Started",'Recurring Log'!J1231))</f>
        <v/>
      </c>
      <c r="BA1227">
        <f>'Recurring Log'!L1231&amp;""</f>
        <v/>
      </c>
      <c r="BB1227">
        <f>'Recurring Log'!M1231&amp;""</f>
        <v/>
      </c>
      <c r="BC1227">
        <f>'Recurring Log'!N1231&amp;""</f>
        <v/>
      </c>
      <c r="BD1227">
        <f>'Recurring Log'!O1231&amp;""</f>
        <v/>
      </c>
      <c r="BE1227">
        <f>IF('Recurring Log'!K1231="","",'Recurring Log'!K1231)</f>
        <v/>
      </c>
      <c r="BF1227">
        <f>IFERROR(MATCH(BA1227,Setup!$L$6:$L$9,0),5)</f>
        <v/>
      </c>
      <c r="BG1227">
        <f>IF(OR(AZ1227="Done",AZ1227="Cancelled"),1,0)</f>
        <v/>
      </c>
      <c r="BH1227">
        <f>IF(AND(AU1227&lt;&gt;"",ISNUMBER(AW1227)),1,0)</f>
        <v/>
      </c>
      <c r="BI1227">
        <f>IF(BH1227=0,0,IF(AND(AW1227&gt;='Tasks Filter'!$F$3,AW1227&lt;='Tasks Filter'!$F$4,OR('Tasks Filter'!$I$3="",ISNUMBER(SEARCH('Tasks Filter'!$I$3,AU1227))),OR('Tasks Filter'!$I$4="",BF1227=IFERROR(MATCH('Tasks Filter'!$I$4,Setup!$L$6:$L$9,0),0)),OR('Tasks Filter'!$I$5="Both",AND('Tasks Filter'!$I$5="Yes",BB1227="✓"),AND('Tasks Filter'!$I$5="No",BB1227&lt;&gt;"✓")),OR('Tasks Filter'!$L$3="",AV1227='Tasks Filter'!$L$3),OR('Tasks Filter'!$L$4="",AZ1227='Tasks Filter'!$L$4),OR('Tasks Filter'!$L$5="",BC1227='Tasks Filter'!$L$5),OR('Tasks Filter'!$O$3="",BD1227='Tasks Filter'!$O$3),OR('Tasks Filter'!$O$4="Yes",BG1227=0)),1,0))</f>
        <v/>
      </c>
      <c r="BJ1227">
        <f>IF(BH1227=0,"",IF('Tasks Filter'!$F$6="Descending",-1,1)*CHOOSE(MATCH('Tasks Filter'!$F$5,Lists!$G$2:$G$6,0),AW1227,BF1227,IFERROR(MATCH(AV1227,Setup!$F$6:$F$15,0),99),IFERROR(MATCH(BC1227,Setup!$H$6:$H$15,0),99),IFERROR(MATCH(AZ1227,Setup!$J$6:$J$11,0),99))*1E+9+(AW1227-40000)*10000+1226)</f>
        <v/>
      </c>
      <c r="BK1227">
        <f>IF(BI1227=1,BJ1227,"")</f>
        <v/>
      </c>
      <c r="BL1227">
        <f>IF(AND(BH1227=1,BG1227=0,N(AW1227)&lt;Setup!$D$7),(AW1227-40000)*10000+1226,"")</f>
        <v/>
      </c>
      <c r="BM1227">
        <f>IF(AND(BH1227=1,AZ1227&lt;&gt;"Cancelled",N(AW1227)&gt;=Dashboard!$AB$3,N(AW1227)&lt;=Dashboard!$AB$3+6),(AW1227-40000)*100000+BF1227*10000+1226,"")</f>
        <v/>
      </c>
      <c r="BN1227">
        <f>IF(AND(BH1227=1,AZ1227&lt;&gt;"Cancelled"),BF1227*10000+1226,"")</f>
        <v/>
      </c>
    </row>
    <row r="1228">
      <c r="AS1228" t="inlineStr">
        <is>
          <t>R</t>
        </is>
      </c>
      <c r="AT1228" t="n">
        <v>1232</v>
      </c>
      <c r="AU1228">
        <f>'Recurring Log'!C1232&amp;""</f>
        <v/>
      </c>
      <c r="AV1228">
        <f>'Recurring Log'!D1232&amp;""</f>
        <v/>
      </c>
      <c r="AW1228">
        <f>IF('Recurring Log'!E1232="","",'Recurring Log'!E1232)</f>
        <v/>
      </c>
      <c r="AX1228">
        <f>IF('Recurring Log'!G1232="","",'Recurring Log'!G1232)</f>
        <v/>
      </c>
      <c r="AY1228">
        <f>IF('Recurring Log'!H1232="","",'Recurring Log'!H1232)</f>
        <v/>
      </c>
      <c r="AZ1228">
        <f>IF(AU1228="","",IF('Recurring Log'!J1232="","Not Started",'Recurring Log'!J1232))</f>
        <v/>
      </c>
      <c r="BA1228">
        <f>'Recurring Log'!L1232&amp;""</f>
        <v/>
      </c>
      <c r="BB1228">
        <f>'Recurring Log'!M1232&amp;""</f>
        <v/>
      </c>
      <c r="BC1228">
        <f>'Recurring Log'!N1232&amp;""</f>
        <v/>
      </c>
      <c r="BD1228">
        <f>'Recurring Log'!O1232&amp;""</f>
        <v/>
      </c>
      <c r="BE1228">
        <f>IF('Recurring Log'!K1232="","",'Recurring Log'!K1232)</f>
        <v/>
      </c>
      <c r="BF1228">
        <f>IFERROR(MATCH(BA1228,Setup!$L$6:$L$9,0),5)</f>
        <v/>
      </c>
      <c r="BG1228">
        <f>IF(OR(AZ1228="Done",AZ1228="Cancelled"),1,0)</f>
        <v/>
      </c>
      <c r="BH1228">
        <f>IF(AND(AU1228&lt;&gt;"",ISNUMBER(AW1228)),1,0)</f>
        <v/>
      </c>
      <c r="BI1228">
        <f>IF(BH1228=0,0,IF(AND(AW1228&gt;='Tasks Filter'!$F$3,AW1228&lt;='Tasks Filter'!$F$4,OR('Tasks Filter'!$I$3="",ISNUMBER(SEARCH('Tasks Filter'!$I$3,AU1228))),OR('Tasks Filter'!$I$4="",BF1228=IFERROR(MATCH('Tasks Filter'!$I$4,Setup!$L$6:$L$9,0),0)),OR('Tasks Filter'!$I$5="Both",AND('Tasks Filter'!$I$5="Yes",BB1228="✓"),AND('Tasks Filter'!$I$5="No",BB1228&lt;&gt;"✓")),OR('Tasks Filter'!$L$3="",AV1228='Tasks Filter'!$L$3),OR('Tasks Filter'!$L$4="",AZ1228='Tasks Filter'!$L$4),OR('Tasks Filter'!$L$5="",BC1228='Tasks Filter'!$L$5),OR('Tasks Filter'!$O$3="",BD1228='Tasks Filter'!$O$3),OR('Tasks Filter'!$O$4="Yes",BG1228=0)),1,0))</f>
        <v/>
      </c>
      <c r="BJ1228">
        <f>IF(BH1228=0,"",IF('Tasks Filter'!$F$6="Descending",-1,1)*CHOOSE(MATCH('Tasks Filter'!$F$5,Lists!$G$2:$G$6,0),AW1228,BF1228,IFERROR(MATCH(AV1228,Setup!$F$6:$F$15,0),99),IFERROR(MATCH(BC1228,Setup!$H$6:$H$15,0),99),IFERROR(MATCH(AZ1228,Setup!$J$6:$J$11,0),99))*1E+9+(AW1228-40000)*10000+1227)</f>
        <v/>
      </c>
      <c r="BK1228">
        <f>IF(BI1228=1,BJ1228,"")</f>
        <v/>
      </c>
      <c r="BL1228">
        <f>IF(AND(BH1228=1,BG1228=0,N(AW1228)&lt;Setup!$D$7),(AW1228-40000)*10000+1227,"")</f>
        <v/>
      </c>
      <c r="BM1228">
        <f>IF(AND(BH1228=1,AZ1228&lt;&gt;"Cancelled",N(AW1228)&gt;=Dashboard!$AB$3,N(AW1228)&lt;=Dashboard!$AB$3+6),(AW1228-40000)*100000+BF1228*10000+1227,"")</f>
        <v/>
      </c>
      <c r="BN1228">
        <f>IF(AND(BH1228=1,AZ1228&lt;&gt;"Cancelled"),BF1228*10000+1227,"")</f>
        <v/>
      </c>
    </row>
    <row r="1229">
      <c r="AS1229" t="inlineStr">
        <is>
          <t>R</t>
        </is>
      </c>
      <c r="AT1229" t="n">
        <v>1233</v>
      </c>
      <c r="AU1229">
        <f>'Recurring Log'!C1233&amp;""</f>
        <v/>
      </c>
      <c r="AV1229">
        <f>'Recurring Log'!D1233&amp;""</f>
        <v/>
      </c>
      <c r="AW1229">
        <f>IF('Recurring Log'!E1233="","",'Recurring Log'!E1233)</f>
        <v/>
      </c>
      <c r="AX1229">
        <f>IF('Recurring Log'!G1233="","",'Recurring Log'!G1233)</f>
        <v/>
      </c>
      <c r="AY1229">
        <f>IF('Recurring Log'!H1233="","",'Recurring Log'!H1233)</f>
        <v/>
      </c>
      <c r="AZ1229">
        <f>IF(AU1229="","",IF('Recurring Log'!J1233="","Not Started",'Recurring Log'!J1233))</f>
        <v/>
      </c>
      <c r="BA1229">
        <f>'Recurring Log'!L1233&amp;""</f>
        <v/>
      </c>
      <c r="BB1229">
        <f>'Recurring Log'!M1233&amp;""</f>
        <v/>
      </c>
      <c r="BC1229">
        <f>'Recurring Log'!N1233&amp;""</f>
        <v/>
      </c>
      <c r="BD1229">
        <f>'Recurring Log'!O1233&amp;""</f>
        <v/>
      </c>
      <c r="BE1229">
        <f>IF('Recurring Log'!K1233="","",'Recurring Log'!K1233)</f>
        <v/>
      </c>
      <c r="BF1229">
        <f>IFERROR(MATCH(BA1229,Setup!$L$6:$L$9,0),5)</f>
        <v/>
      </c>
      <c r="BG1229">
        <f>IF(OR(AZ1229="Done",AZ1229="Cancelled"),1,0)</f>
        <v/>
      </c>
      <c r="BH1229">
        <f>IF(AND(AU1229&lt;&gt;"",ISNUMBER(AW1229)),1,0)</f>
        <v/>
      </c>
      <c r="BI1229">
        <f>IF(BH1229=0,0,IF(AND(AW1229&gt;='Tasks Filter'!$F$3,AW1229&lt;='Tasks Filter'!$F$4,OR('Tasks Filter'!$I$3="",ISNUMBER(SEARCH('Tasks Filter'!$I$3,AU1229))),OR('Tasks Filter'!$I$4="",BF1229=IFERROR(MATCH('Tasks Filter'!$I$4,Setup!$L$6:$L$9,0),0)),OR('Tasks Filter'!$I$5="Both",AND('Tasks Filter'!$I$5="Yes",BB1229="✓"),AND('Tasks Filter'!$I$5="No",BB1229&lt;&gt;"✓")),OR('Tasks Filter'!$L$3="",AV1229='Tasks Filter'!$L$3),OR('Tasks Filter'!$L$4="",AZ1229='Tasks Filter'!$L$4),OR('Tasks Filter'!$L$5="",BC1229='Tasks Filter'!$L$5),OR('Tasks Filter'!$O$3="",BD1229='Tasks Filter'!$O$3),OR('Tasks Filter'!$O$4="Yes",BG1229=0)),1,0))</f>
        <v/>
      </c>
      <c r="BJ1229">
        <f>IF(BH1229=0,"",IF('Tasks Filter'!$F$6="Descending",-1,1)*CHOOSE(MATCH('Tasks Filter'!$F$5,Lists!$G$2:$G$6,0),AW1229,BF1229,IFERROR(MATCH(AV1229,Setup!$F$6:$F$15,0),99),IFERROR(MATCH(BC1229,Setup!$H$6:$H$15,0),99),IFERROR(MATCH(AZ1229,Setup!$J$6:$J$11,0),99))*1E+9+(AW1229-40000)*10000+1228)</f>
        <v/>
      </c>
      <c r="BK1229">
        <f>IF(BI1229=1,BJ1229,"")</f>
        <v/>
      </c>
      <c r="BL1229">
        <f>IF(AND(BH1229=1,BG1229=0,N(AW1229)&lt;Setup!$D$7),(AW1229-40000)*10000+1228,"")</f>
        <v/>
      </c>
      <c r="BM1229">
        <f>IF(AND(BH1229=1,AZ1229&lt;&gt;"Cancelled",N(AW1229)&gt;=Dashboard!$AB$3,N(AW1229)&lt;=Dashboard!$AB$3+6),(AW1229-40000)*100000+BF1229*10000+1228,"")</f>
        <v/>
      </c>
      <c r="BN1229">
        <f>IF(AND(BH1229=1,AZ1229&lt;&gt;"Cancelled"),BF1229*10000+1228,"")</f>
        <v/>
      </c>
    </row>
    <row r="1230">
      <c r="AS1230" t="inlineStr">
        <is>
          <t>R</t>
        </is>
      </c>
      <c r="AT1230" t="n">
        <v>1234</v>
      </c>
      <c r="AU1230">
        <f>'Recurring Log'!C1234&amp;""</f>
        <v/>
      </c>
      <c r="AV1230">
        <f>'Recurring Log'!D1234&amp;""</f>
        <v/>
      </c>
      <c r="AW1230">
        <f>IF('Recurring Log'!E1234="","",'Recurring Log'!E1234)</f>
        <v/>
      </c>
      <c r="AX1230">
        <f>IF('Recurring Log'!G1234="","",'Recurring Log'!G1234)</f>
        <v/>
      </c>
      <c r="AY1230">
        <f>IF('Recurring Log'!H1234="","",'Recurring Log'!H1234)</f>
        <v/>
      </c>
      <c r="AZ1230">
        <f>IF(AU1230="","",IF('Recurring Log'!J1234="","Not Started",'Recurring Log'!J1234))</f>
        <v/>
      </c>
      <c r="BA1230">
        <f>'Recurring Log'!L1234&amp;""</f>
        <v/>
      </c>
      <c r="BB1230">
        <f>'Recurring Log'!M1234&amp;""</f>
        <v/>
      </c>
      <c r="BC1230">
        <f>'Recurring Log'!N1234&amp;""</f>
        <v/>
      </c>
      <c r="BD1230">
        <f>'Recurring Log'!O1234&amp;""</f>
        <v/>
      </c>
      <c r="BE1230">
        <f>IF('Recurring Log'!K1234="","",'Recurring Log'!K1234)</f>
        <v/>
      </c>
      <c r="BF1230">
        <f>IFERROR(MATCH(BA1230,Setup!$L$6:$L$9,0),5)</f>
        <v/>
      </c>
      <c r="BG1230">
        <f>IF(OR(AZ1230="Done",AZ1230="Cancelled"),1,0)</f>
        <v/>
      </c>
      <c r="BH1230">
        <f>IF(AND(AU1230&lt;&gt;"",ISNUMBER(AW1230)),1,0)</f>
        <v/>
      </c>
      <c r="BI1230">
        <f>IF(BH1230=0,0,IF(AND(AW1230&gt;='Tasks Filter'!$F$3,AW1230&lt;='Tasks Filter'!$F$4,OR('Tasks Filter'!$I$3="",ISNUMBER(SEARCH('Tasks Filter'!$I$3,AU1230))),OR('Tasks Filter'!$I$4="",BF1230=IFERROR(MATCH('Tasks Filter'!$I$4,Setup!$L$6:$L$9,0),0)),OR('Tasks Filter'!$I$5="Both",AND('Tasks Filter'!$I$5="Yes",BB1230="✓"),AND('Tasks Filter'!$I$5="No",BB1230&lt;&gt;"✓")),OR('Tasks Filter'!$L$3="",AV1230='Tasks Filter'!$L$3),OR('Tasks Filter'!$L$4="",AZ1230='Tasks Filter'!$L$4),OR('Tasks Filter'!$L$5="",BC1230='Tasks Filter'!$L$5),OR('Tasks Filter'!$O$3="",BD1230='Tasks Filter'!$O$3),OR('Tasks Filter'!$O$4="Yes",BG1230=0)),1,0))</f>
        <v/>
      </c>
      <c r="BJ1230">
        <f>IF(BH1230=0,"",IF('Tasks Filter'!$F$6="Descending",-1,1)*CHOOSE(MATCH('Tasks Filter'!$F$5,Lists!$G$2:$G$6,0),AW1230,BF1230,IFERROR(MATCH(AV1230,Setup!$F$6:$F$15,0),99),IFERROR(MATCH(BC1230,Setup!$H$6:$H$15,0),99),IFERROR(MATCH(AZ1230,Setup!$J$6:$J$11,0),99))*1E+9+(AW1230-40000)*10000+1229)</f>
        <v/>
      </c>
      <c r="BK1230">
        <f>IF(BI1230=1,BJ1230,"")</f>
        <v/>
      </c>
      <c r="BL1230">
        <f>IF(AND(BH1230=1,BG1230=0,N(AW1230)&lt;Setup!$D$7),(AW1230-40000)*10000+1229,"")</f>
        <v/>
      </c>
      <c r="BM1230">
        <f>IF(AND(BH1230=1,AZ1230&lt;&gt;"Cancelled",N(AW1230)&gt;=Dashboard!$AB$3,N(AW1230)&lt;=Dashboard!$AB$3+6),(AW1230-40000)*100000+BF1230*10000+1229,"")</f>
        <v/>
      </c>
      <c r="BN1230">
        <f>IF(AND(BH1230=1,AZ1230&lt;&gt;"Cancelled"),BF1230*10000+1229,"")</f>
        <v/>
      </c>
    </row>
    <row r="1231">
      <c r="AS1231" t="inlineStr">
        <is>
          <t>R</t>
        </is>
      </c>
      <c r="AT1231" t="n">
        <v>1235</v>
      </c>
      <c r="AU1231">
        <f>'Recurring Log'!C1235&amp;""</f>
        <v/>
      </c>
      <c r="AV1231">
        <f>'Recurring Log'!D1235&amp;""</f>
        <v/>
      </c>
      <c r="AW1231">
        <f>IF('Recurring Log'!E1235="","",'Recurring Log'!E1235)</f>
        <v/>
      </c>
      <c r="AX1231">
        <f>IF('Recurring Log'!G1235="","",'Recurring Log'!G1235)</f>
        <v/>
      </c>
      <c r="AY1231">
        <f>IF('Recurring Log'!H1235="","",'Recurring Log'!H1235)</f>
        <v/>
      </c>
      <c r="AZ1231">
        <f>IF(AU1231="","",IF('Recurring Log'!J1235="","Not Started",'Recurring Log'!J1235))</f>
        <v/>
      </c>
      <c r="BA1231">
        <f>'Recurring Log'!L1235&amp;""</f>
        <v/>
      </c>
      <c r="BB1231">
        <f>'Recurring Log'!M1235&amp;""</f>
        <v/>
      </c>
      <c r="BC1231">
        <f>'Recurring Log'!N1235&amp;""</f>
        <v/>
      </c>
      <c r="BD1231">
        <f>'Recurring Log'!O1235&amp;""</f>
        <v/>
      </c>
      <c r="BE1231">
        <f>IF('Recurring Log'!K1235="","",'Recurring Log'!K1235)</f>
        <v/>
      </c>
      <c r="BF1231">
        <f>IFERROR(MATCH(BA1231,Setup!$L$6:$L$9,0),5)</f>
        <v/>
      </c>
      <c r="BG1231">
        <f>IF(OR(AZ1231="Done",AZ1231="Cancelled"),1,0)</f>
        <v/>
      </c>
      <c r="BH1231">
        <f>IF(AND(AU1231&lt;&gt;"",ISNUMBER(AW1231)),1,0)</f>
        <v/>
      </c>
      <c r="BI1231">
        <f>IF(BH1231=0,0,IF(AND(AW1231&gt;='Tasks Filter'!$F$3,AW1231&lt;='Tasks Filter'!$F$4,OR('Tasks Filter'!$I$3="",ISNUMBER(SEARCH('Tasks Filter'!$I$3,AU1231))),OR('Tasks Filter'!$I$4="",BF1231=IFERROR(MATCH('Tasks Filter'!$I$4,Setup!$L$6:$L$9,0),0)),OR('Tasks Filter'!$I$5="Both",AND('Tasks Filter'!$I$5="Yes",BB1231="✓"),AND('Tasks Filter'!$I$5="No",BB1231&lt;&gt;"✓")),OR('Tasks Filter'!$L$3="",AV1231='Tasks Filter'!$L$3),OR('Tasks Filter'!$L$4="",AZ1231='Tasks Filter'!$L$4),OR('Tasks Filter'!$L$5="",BC1231='Tasks Filter'!$L$5),OR('Tasks Filter'!$O$3="",BD1231='Tasks Filter'!$O$3),OR('Tasks Filter'!$O$4="Yes",BG1231=0)),1,0))</f>
        <v/>
      </c>
      <c r="BJ1231">
        <f>IF(BH1231=0,"",IF('Tasks Filter'!$F$6="Descending",-1,1)*CHOOSE(MATCH('Tasks Filter'!$F$5,Lists!$G$2:$G$6,0),AW1231,BF1231,IFERROR(MATCH(AV1231,Setup!$F$6:$F$15,0),99),IFERROR(MATCH(BC1231,Setup!$H$6:$H$15,0),99),IFERROR(MATCH(AZ1231,Setup!$J$6:$J$11,0),99))*1E+9+(AW1231-40000)*10000+1230)</f>
        <v/>
      </c>
      <c r="BK1231">
        <f>IF(BI1231=1,BJ1231,"")</f>
        <v/>
      </c>
      <c r="BL1231">
        <f>IF(AND(BH1231=1,BG1231=0,N(AW1231)&lt;Setup!$D$7),(AW1231-40000)*10000+1230,"")</f>
        <v/>
      </c>
      <c r="BM1231">
        <f>IF(AND(BH1231=1,AZ1231&lt;&gt;"Cancelled",N(AW1231)&gt;=Dashboard!$AB$3,N(AW1231)&lt;=Dashboard!$AB$3+6),(AW1231-40000)*100000+BF1231*10000+1230,"")</f>
        <v/>
      </c>
      <c r="BN1231">
        <f>IF(AND(BH1231=1,AZ1231&lt;&gt;"Cancelled"),BF1231*10000+1230,"")</f>
        <v/>
      </c>
    </row>
    <row r="1232">
      <c r="AS1232" t="inlineStr">
        <is>
          <t>R</t>
        </is>
      </c>
      <c r="AT1232" t="n">
        <v>1236</v>
      </c>
      <c r="AU1232">
        <f>'Recurring Log'!C1236&amp;""</f>
        <v/>
      </c>
      <c r="AV1232">
        <f>'Recurring Log'!D1236&amp;""</f>
        <v/>
      </c>
      <c r="AW1232">
        <f>IF('Recurring Log'!E1236="","",'Recurring Log'!E1236)</f>
        <v/>
      </c>
      <c r="AX1232">
        <f>IF('Recurring Log'!G1236="","",'Recurring Log'!G1236)</f>
        <v/>
      </c>
      <c r="AY1232">
        <f>IF('Recurring Log'!H1236="","",'Recurring Log'!H1236)</f>
        <v/>
      </c>
      <c r="AZ1232">
        <f>IF(AU1232="","",IF('Recurring Log'!J1236="","Not Started",'Recurring Log'!J1236))</f>
        <v/>
      </c>
      <c r="BA1232">
        <f>'Recurring Log'!L1236&amp;""</f>
        <v/>
      </c>
      <c r="BB1232">
        <f>'Recurring Log'!M1236&amp;""</f>
        <v/>
      </c>
      <c r="BC1232">
        <f>'Recurring Log'!N1236&amp;""</f>
        <v/>
      </c>
      <c r="BD1232">
        <f>'Recurring Log'!O1236&amp;""</f>
        <v/>
      </c>
      <c r="BE1232">
        <f>IF('Recurring Log'!K1236="","",'Recurring Log'!K1236)</f>
        <v/>
      </c>
      <c r="BF1232">
        <f>IFERROR(MATCH(BA1232,Setup!$L$6:$L$9,0),5)</f>
        <v/>
      </c>
      <c r="BG1232">
        <f>IF(OR(AZ1232="Done",AZ1232="Cancelled"),1,0)</f>
        <v/>
      </c>
      <c r="BH1232">
        <f>IF(AND(AU1232&lt;&gt;"",ISNUMBER(AW1232)),1,0)</f>
        <v/>
      </c>
      <c r="BI1232">
        <f>IF(BH1232=0,0,IF(AND(AW1232&gt;='Tasks Filter'!$F$3,AW1232&lt;='Tasks Filter'!$F$4,OR('Tasks Filter'!$I$3="",ISNUMBER(SEARCH('Tasks Filter'!$I$3,AU1232))),OR('Tasks Filter'!$I$4="",BF1232=IFERROR(MATCH('Tasks Filter'!$I$4,Setup!$L$6:$L$9,0),0)),OR('Tasks Filter'!$I$5="Both",AND('Tasks Filter'!$I$5="Yes",BB1232="✓"),AND('Tasks Filter'!$I$5="No",BB1232&lt;&gt;"✓")),OR('Tasks Filter'!$L$3="",AV1232='Tasks Filter'!$L$3),OR('Tasks Filter'!$L$4="",AZ1232='Tasks Filter'!$L$4),OR('Tasks Filter'!$L$5="",BC1232='Tasks Filter'!$L$5),OR('Tasks Filter'!$O$3="",BD1232='Tasks Filter'!$O$3),OR('Tasks Filter'!$O$4="Yes",BG1232=0)),1,0))</f>
        <v/>
      </c>
      <c r="BJ1232">
        <f>IF(BH1232=0,"",IF('Tasks Filter'!$F$6="Descending",-1,1)*CHOOSE(MATCH('Tasks Filter'!$F$5,Lists!$G$2:$G$6,0),AW1232,BF1232,IFERROR(MATCH(AV1232,Setup!$F$6:$F$15,0),99),IFERROR(MATCH(BC1232,Setup!$H$6:$H$15,0),99),IFERROR(MATCH(AZ1232,Setup!$J$6:$J$11,0),99))*1E+9+(AW1232-40000)*10000+1231)</f>
        <v/>
      </c>
      <c r="BK1232">
        <f>IF(BI1232=1,BJ1232,"")</f>
        <v/>
      </c>
      <c r="BL1232">
        <f>IF(AND(BH1232=1,BG1232=0,N(AW1232)&lt;Setup!$D$7),(AW1232-40000)*10000+1231,"")</f>
        <v/>
      </c>
      <c r="BM1232">
        <f>IF(AND(BH1232=1,AZ1232&lt;&gt;"Cancelled",N(AW1232)&gt;=Dashboard!$AB$3,N(AW1232)&lt;=Dashboard!$AB$3+6),(AW1232-40000)*100000+BF1232*10000+1231,"")</f>
        <v/>
      </c>
      <c r="BN1232">
        <f>IF(AND(BH1232=1,AZ1232&lt;&gt;"Cancelled"),BF1232*10000+1231,"")</f>
        <v/>
      </c>
    </row>
    <row r="1233">
      <c r="AS1233" t="inlineStr">
        <is>
          <t>R</t>
        </is>
      </c>
      <c r="AT1233" t="n">
        <v>1237</v>
      </c>
      <c r="AU1233">
        <f>'Recurring Log'!C1237&amp;""</f>
        <v/>
      </c>
      <c r="AV1233">
        <f>'Recurring Log'!D1237&amp;""</f>
        <v/>
      </c>
      <c r="AW1233">
        <f>IF('Recurring Log'!E1237="","",'Recurring Log'!E1237)</f>
        <v/>
      </c>
      <c r="AX1233">
        <f>IF('Recurring Log'!G1237="","",'Recurring Log'!G1237)</f>
        <v/>
      </c>
      <c r="AY1233">
        <f>IF('Recurring Log'!H1237="","",'Recurring Log'!H1237)</f>
        <v/>
      </c>
      <c r="AZ1233">
        <f>IF(AU1233="","",IF('Recurring Log'!J1237="","Not Started",'Recurring Log'!J1237))</f>
        <v/>
      </c>
      <c r="BA1233">
        <f>'Recurring Log'!L1237&amp;""</f>
        <v/>
      </c>
      <c r="BB1233">
        <f>'Recurring Log'!M1237&amp;""</f>
        <v/>
      </c>
      <c r="BC1233">
        <f>'Recurring Log'!N1237&amp;""</f>
        <v/>
      </c>
      <c r="BD1233">
        <f>'Recurring Log'!O1237&amp;""</f>
        <v/>
      </c>
      <c r="BE1233">
        <f>IF('Recurring Log'!K1237="","",'Recurring Log'!K1237)</f>
        <v/>
      </c>
      <c r="BF1233">
        <f>IFERROR(MATCH(BA1233,Setup!$L$6:$L$9,0),5)</f>
        <v/>
      </c>
      <c r="BG1233">
        <f>IF(OR(AZ1233="Done",AZ1233="Cancelled"),1,0)</f>
        <v/>
      </c>
      <c r="BH1233">
        <f>IF(AND(AU1233&lt;&gt;"",ISNUMBER(AW1233)),1,0)</f>
        <v/>
      </c>
      <c r="BI1233">
        <f>IF(BH1233=0,0,IF(AND(AW1233&gt;='Tasks Filter'!$F$3,AW1233&lt;='Tasks Filter'!$F$4,OR('Tasks Filter'!$I$3="",ISNUMBER(SEARCH('Tasks Filter'!$I$3,AU1233))),OR('Tasks Filter'!$I$4="",BF1233=IFERROR(MATCH('Tasks Filter'!$I$4,Setup!$L$6:$L$9,0),0)),OR('Tasks Filter'!$I$5="Both",AND('Tasks Filter'!$I$5="Yes",BB1233="✓"),AND('Tasks Filter'!$I$5="No",BB1233&lt;&gt;"✓")),OR('Tasks Filter'!$L$3="",AV1233='Tasks Filter'!$L$3),OR('Tasks Filter'!$L$4="",AZ1233='Tasks Filter'!$L$4),OR('Tasks Filter'!$L$5="",BC1233='Tasks Filter'!$L$5),OR('Tasks Filter'!$O$3="",BD1233='Tasks Filter'!$O$3),OR('Tasks Filter'!$O$4="Yes",BG1233=0)),1,0))</f>
        <v/>
      </c>
      <c r="BJ1233">
        <f>IF(BH1233=0,"",IF('Tasks Filter'!$F$6="Descending",-1,1)*CHOOSE(MATCH('Tasks Filter'!$F$5,Lists!$G$2:$G$6,0),AW1233,BF1233,IFERROR(MATCH(AV1233,Setup!$F$6:$F$15,0),99),IFERROR(MATCH(BC1233,Setup!$H$6:$H$15,0),99),IFERROR(MATCH(AZ1233,Setup!$J$6:$J$11,0),99))*1E+9+(AW1233-40000)*10000+1232)</f>
        <v/>
      </c>
      <c r="BK1233">
        <f>IF(BI1233=1,BJ1233,"")</f>
        <v/>
      </c>
      <c r="BL1233">
        <f>IF(AND(BH1233=1,BG1233=0,N(AW1233)&lt;Setup!$D$7),(AW1233-40000)*10000+1232,"")</f>
        <v/>
      </c>
      <c r="BM1233">
        <f>IF(AND(BH1233=1,AZ1233&lt;&gt;"Cancelled",N(AW1233)&gt;=Dashboard!$AB$3,N(AW1233)&lt;=Dashboard!$AB$3+6),(AW1233-40000)*100000+BF1233*10000+1232,"")</f>
        <v/>
      </c>
      <c r="BN1233">
        <f>IF(AND(BH1233=1,AZ1233&lt;&gt;"Cancelled"),BF1233*10000+1232,"")</f>
        <v/>
      </c>
    </row>
    <row r="1234">
      <c r="AS1234" t="inlineStr">
        <is>
          <t>R</t>
        </is>
      </c>
      <c r="AT1234" t="n">
        <v>1238</v>
      </c>
      <c r="AU1234">
        <f>'Recurring Log'!C1238&amp;""</f>
        <v/>
      </c>
      <c r="AV1234">
        <f>'Recurring Log'!D1238&amp;""</f>
        <v/>
      </c>
      <c r="AW1234">
        <f>IF('Recurring Log'!E1238="","",'Recurring Log'!E1238)</f>
        <v/>
      </c>
      <c r="AX1234">
        <f>IF('Recurring Log'!G1238="","",'Recurring Log'!G1238)</f>
        <v/>
      </c>
      <c r="AY1234">
        <f>IF('Recurring Log'!H1238="","",'Recurring Log'!H1238)</f>
        <v/>
      </c>
      <c r="AZ1234">
        <f>IF(AU1234="","",IF('Recurring Log'!J1238="","Not Started",'Recurring Log'!J1238))</f>
        <v/>
      </c>
      <c r="BA1234">
        <f>'Recurring Log'!L1238&amp;""</f>
        <v/>
      </c>
      <c r="BB1234">
        <f>'Recurring Log'!M1238&amp;""</f>
        <v/>
      </c>
      <c r="BC1234">
        <f>'Recurring Log'!N1238&amp;""</f>
        <v/>
      </c>
      <c r="BD1234">
        <f>'Recurring Log'!O1238&amp;""</f>
        <v/>
      </c>
      <c r="BE1234">
        <f>IF('Recurring Log'!K1238="","",'Recurring Log'!K1238)</f>
        <v/>
      </c>
      <c r="BF1234">
        <f>IFERROR(MATCH(BA1234,Setup!$L$6:$L$9,0),5)</f>
        <v/>
      </c>
      <c r="BG1234">
        <f>IF(OR(AZ1234="Done",AZ1234="Cancelled"),1,0)</f>
        <v/>
      </c>
      <c r="BH1234">
        <f>IF(AND(AU1234&lt;&gt;"",ISNUMBER(AW1234)),1,0)</f>
        <v/>
      </c>
      <c r="BI1234">
        <f>IF(BH1234=0,0,IF(AND(AW1234&gt;='Tasks Filter'!$F$3,AW1234&lt;='Tasks Filter'!$F$4,OR('Tasks Filter'!$I$3="",ISNUMBER(SEARCH('Tasks Filter'!$I$3,AU1234))),OR('Tasks Filter'!$I$4="",BF1234=IFERROR(MATCH('Tasks Filter'!$I$4,Setup!$L$6:$L$9,0),0)),OR('Tasks Filter'!$I$5="Both",AND('Tasks Filter'!$I$5="Yes",BB1234="✓"),AND('Tasks Filter'!$I$5="No",BB1234&lt;&gt;"✓")),OR('Tasks Filter'!$L$3="",AV1234='Tasks Filter'!$L$3),OR('Tasks Filter'!$L$4="",AZ1234='Tasks Filter'!$L$4),OR('Tasks Filter'!$L$5="",BC1234='Tasks Filter'!$L$5),OR('Tasks Filter'!$O$3="",BD1234='Tasks Filter'!$O$3),OR('Tasks Filter'!$O$4="Yes",BG1234=0)),1,0))</f>
        <v/>
      </c>
      <c r="BJ1234">
        <f>IF(BH1234=0,"",IF('Tasks Filter'!$F$6="Descending",-1,1)*CHOOSE(MATCH('Tasks Filter'!$F$5,Lists!$G$2:$G$6,0),AW1234,BF1234,IFERROR(MATCH(AV1234,Setup!$F$6:$F$15,0),99),IFERROR(MATCH(BC1234,Setup!$H$6:$H$15,0),99),IFERROR(MATCH(AZ1234,Setup!$J$6:$J$11,0),99))*1E+9+(AW1234-40000)*10000+1233)</f>
        <v/>
      </c>
      <c r="BK1234">
        <f>IF(BI1234=1,BJ1234,"")</f>
        <v/>
      </c>
      <c r="BL1234">
        <f>IF(AND(BH1234=1,BG1234=0,N(AW1234)&lt;Setup!$D$7),(AW1234-40000)*10000+1233,"")</f>
        <v/>
      </c>
      <c r="BM1234">
        <f>IF(AND(BH1234=1,AZ1234&lt;&gt;"Cancelled",N(AW1234)&gt;=Dashboard!$AB$3,N(AW1234)&lt;=Dashboard!$AB$3+6),(AW1234-40000)*100000+BF1234*10000+1233,"")</f>
        <v/>
      </c>
      <c r="BN1234">
        <f>IF(AND(BH1234=1,AZ1234&lt;&gt;"Cancelled"),BF1234*10000+1233,"")</f>
        <v/>
      </c>
    </row>
    <row r="1235">
      <c r="AS1235" t="inlineStr">
        <is>
          <t>R</t>
        </is>
      </c>
      <c r="AT1235" t="n">
        <v>1239</v>
      </c>
      <c r="AU1235">
        <f>'Recurring Log'!C1239&amp;""</f>
        <v/>
      </c>
      <c r="AV1235">
        <f>'Recurring Log'!D1239&amp;""</f>
        <v/>
      </c>
      <c r="AW1235">
        <f>IF('Recurring Log'!E1239="","",'Recurring Log'!E1239)</f>
        <v/>
      </c>
      <c r="AX1235">
        <f>IF('Recurring Log'!G1239="","",'Recurring Log'!G1239)</f>
        <v/>
      </c>
      <c r="AY1235">
        <f>IF('Recurring Log'!H1239="","",'Recurring Log'!H1239)</f>
        <v/>
      </c>
      <c r="AZ1235">
        <f>IF(AU1235="","",IF('Recurring Log'!J1239="","Not Started",'Recurring Log'!J1239))</f>
        <v/>
      </c>
      <c r="BA1235">
        <f>'Recurring Log'!L1239&amp;""</f>
        <v/>
      </c>
      <c r="BB1235">
        <f>'Recurring Log'!M1239&amp;""</f>
        <v/>
      </c>
      <c r="BC1235">
        <f>'Recurring Log'!N1239&amp;""</f>
        <v/>
      </c>
      <c r="BD1235">
        <f>'Recurring Log'!O1239&amp;""</f>
        <v/>
      </c>
      <c r="BE1235">
        <f>IF('Recurring Log'!K1239="","",'Recurring Log'!K1239)</f>
        <v/>
      </c>
      <c r="BF1235">
        <f>IFERROR(MATCH(BA1235,Setup!$L$6:$L$9,0),5)</f>
        <v/>
      </c>
      <c r="BG1235">
        <f>IF(OR(AZ1235="Done",AZ1235="Cancelled"),1,0)</f>
        <v/>
      </c>
      <c r="BH1235">
        <f>IF(AND(AU1235&lt;&gt;"",ISNUMBER(AW1235)),1,0)</f>
        <v/>
      </c>
      <c r="BI1235">
        <f>IF(BH1235=0,0,IF(AND(AW1235&gt;='Tasks Filter'!$F$3,AW1235&lt;='Tasks Filter'!$F$4,OR('Tasks Filter'!$I$3="",ISNUMBER(SEARCH('Tasks Filter'!$I$3,AU1235))),OR('Tasks Filter'!$I$4="",BF1235=IFERROR(MATCH('Tasks Filter'!$I$4,Setup!$L$6:$L$9,0),0)),OR('Tasks Filter'!$I$5="Both",AND('Tasks Filter'!$I$5="Yes",BB1235="✓"),AND('Tasks Filter'!$I$5="No",BB1235&lt;&gt;"✓")),OR('Tasks Filter'!$L$3="",AV1235='Tasks Filter'!$L$3),OR('Tasks Filter'!$L$4="",AZ1235='Tasks Filter'!$L$4),OR('Tasks Filter'!$L$5="",BC1235='Tasks Filter'!$L$5),OR('Tasks Filter'!$O$3="",BD1235='Tasks Filter'!$O$3),OR('Tasks Filter'!$O$4="Yes",BG1235=0)),1,0))</f>
        <v/>
      </c>
      <c r="BJ1235">
        <f>IF(BH1235=0,"",IF('Tasks Filter'!$F$6="Descending",-1,1)*CHOOSE(MATCH('Tasks Filter'!$F$5,Lists!$G$2:$G$6,0),AW1235,BF1235,IFERROR(MATCH(AV1235,Setup!$F$6:$F$15,0),99),IFERROR(MATCH(BC1235,Setup!$H$6:$H$15,0),99),IFERROR(MATCH(AZ1235,Setup!$J$6:$J$11,0),99))*1E+9+(AW1235-40000)*10000+1234)</f>
        <v/>
      </c>
      <c r="BK1235">
        <f>IF(BI1235=1,BJ1235,"")</f>
        <v/>
      </c>
      <c r="BL1235">
        <f>IF(AND(BH1235=1,BG1235=0,N(AW1235)&lt;Setup!$D$7),(AW1235-40000)*10000+1234,"")</f>
        <v/>
      </c>
      <c r="BM1235">
        <f>IF(AND(BH1235=1,AZ1235&lt;&gt;"Cancelled",N(AW1235)&gt;=Dashboard!$AB$3,N(AW1235)&lt;=Dashboard!$AB$3+6),(AW1235-40000)*100000+BF1235*10000+1234,"")</f>
        <v/>
      </c>
      <c r="BN1235">
        <f>IF(AND(BH1235=1,AZ1235&lt;&gt;"Cancelled"),BF1235*10000+1234,"")</f>
        <v/>
      </c>
    </row>
    <row r="1236">
      <c r="AS1236" t="inlineStr">
        <is>
          <t>R</t>
        </is>
      </c>
      <c r="AT1236" t="n">
        <v>1240</v>
      </c>
      <c r="AU1236">
        <f>'Recurring Log'!C1240&amp;""</f>
        <v/>
      </c>
      <c r="AV1236">
        <f>'Recurring Log'!D1240&amp;""</f>
        <v/>
      </c>
      <c r="AW1236">
        <f>IF('Recurring Log'!E1240="","",'Recurring Log'!E1240)</f>
        <v/>
      </c>
      <c r="AX1236">
        <f>IF('Recurring Log'!G1240="","",'Recurring Log'!G1240)</f>
        <v/>
      </c>
      <c r="AY1236">
        <f>IF('Recurring Log'!H1240="","",'Recurring Log'!H1240)</f>
        <v/>
      </c>
      <c r="AZ1236">
        <f>IF(AU1236="","",IF('Recurring Log'!J1240="","Not Started",'Recurring Log'!J1240))</f>
        <v/>
      </c>
      <c r="BA1236">
        <f>'Recurring Log'!L1240&amp;""</f>
        <v/>
      </c>
      <c r="BB1236">
        <f>'Recurring Log'!M1240&amp;""</f>
        <v/>
      </c>
      <c r="BC1236">
        <f>'Recurring Log'!N1240&amp;""</f>
        <v/>
      </c>
      <c r="BD1236">
        <f>'Recurring Log'!O1240&amp;""</f>
        <v/>
      </c>
      <c r="BE1236">
        <f>IF('Recurring Log'!K1240="","",'Recurring Log'!K1240)</f>
        <v/>
      </c>
      <c r="BF1236">
        <f>IFERROR(MATCH(BA1236,Setup!$L$6:$L$9,0),5)</f>
        <v/>
      </c>
      <c r="BG1236">
        <f>IF(OR(AZ1236="Done",AZ1236="Cancelled"),1,0)</f>
        <v/>
      </c>
      <c r="BH1236">
        <f>IF(AND(AU1236&lt;&gt;"",ISNUMBER(AW1236)),1,0)</f>
        <v/>
      </c>
      <c r="BI1236">
        <f>IF(BH1236=0,0,IF(AND(AW1236&gt;='Tasks Filter'!$F$3,AW1236&lt;='Tasks Filter'!$F$4,OR('Tasks Filter'!$I$3="",ISNUMBER(SEARCH('Tasks Filter'!$I$3,AU1236))),OR('Tasks Filter'!$I$4="",BF1236=IFERROR(MATCH('Tasks Filter'!$I$4,Setup!$L$6:$L$9,0),0)),OR('Tasks Filter'!$I$5="Both",AND('Tasks Filter'!$I$5="Yes",BB1236="✓"),AND('Tasks Filter'!$I$5="No",BB1236&lt;&gt;"✓")),OR('Tasks Filter'!$L$3="",AV1236='Tasks Filter'!$L$3),OR('Tasks Filter'!$L$4="",AZ1236='Tasks Filter'!$L$4),OR('Tasks Filter'!$L$5="",BC1236='Tasks Filter'!$L$5),OR('Tasks Filter'!$O$3="",BD1236='Tasks Filter'!$O$3),OR('Tasks Filter'!$O$4="Yes",BG1236=0)),1,0))</f>
        <v/>
      </c>
      <c r="BJ1236">
        <f>IF(BH1236=0,"",IF('Tasks Filter'!$F$6="Descending",-1,1)*CHOOSE(MATCH('Tasks Filter'!$F$5,Lists!$G$2:$G$6,0),AW1236,BF1236,IFERROR(MATCH(AV1236,Setup!$F$6:$F$15,0),99),IFERROR(MATCH(BC1236,Setup!$H$6:$H$15,0),99),IFERROR(MATCH(AZ1236,Setup!$J$6:$J$11,0),99))*1E+9+(AW1236-40000)*10000+1235)</f>
        <v/>
      </c>
      <c r="BK1236">
        <f>IF(BI1236=1,BJ1236,"")</f>
        <v/>
      </c>
      <c r="BL1236">
        <f>IF(AND(BH1236=1,BG1236=0,N(AW1236)&lt;Setup!$D$7),(AW1236-40000)*10000+1235,"")</f>
        <v/>
      </c>
      <c r="BM1236">
        <f>IF(AND(BH1236=1,AZ1236&lt;&gt;"Cancelled",N(AW1236)&gt;=Dashboard!$AB$3,N(AW1236)&lt;=Dashboard!$AB$3+6),(AW1236-40000)*100000+BF1236*10000+1235,"")</f>
        <v/>
      </c>
      <c r="BN1236">
        <f>IF(AND(BH1236=1,AZ1236&lt;&gt;"Cancelled"),BF1236*10000+1235,"")</f>
        <v/>
      </c>
    </row>
    <row r="1237">
      <c r="AS1237" t="inlineStr">
        <is>
          <t>R</t>
        </is>
      </c>
      <c r="AT1237" t="n">
        <v>1241</v>
      </c>
      <c r="AU1237">
        <f>'Recurring Log'!C1241&amp;""</f>
        <v/>
      </c>
      <c r="AV1237">
        <f>'Recurring Log'!D1241&amp;""</f>
        <v/>
      </c>
      <c r="AW1237">
        <f>IF('Recurring Log'!E1241="","",'Recurring Log'!E1241)</f>
        <v/>
      </c>
      <c r="AX1237">
        <f>IF('Recurring Log'!G1241="","",'Recurring Log'!G1241)</f>
        <v/>
      </c>
      <c r="AY1237">
        <f>IF('Recurring Log'!H1241="","",'Recurring Log'!H1241)</f>
        <v/>
      </c>
      <c r="AZ1237">
        <f>IF(AU1237="","",IF('Recurring Log'!J1241="","Not Started",'Recurring Log'!J1241))</f>
        <v/>
      </c>
      <c r="BA1237">
        <f>'Recurring Log'!L1241&amp;""</f>
        <v/>
      </c>
      <c r="BB1237">
        <f>'Recurring Log'!M1241&amp;""</f>
        <v/>
      </c>
      <c r="BC1237">
        <f>'Recurring Log'!N1241&amp;""</f>
        <v/>
      </c>
      <c r="BD1237">
        <f>'Recurring Log'!O1241&amp;""</f>
        <v/>
      </c>
      <c r="BE1237">
        <f>IF('Recurring Log'!K1241="","",'Recurring Log'!K1241)</f>
        <v/>
      </c>
      <c r="BF1237">
        <f>IFERROR(MATCH(BA1237,Setup!$L$6:$L$9,0),5)</f>
        <v/>
      </c>
      <c r="BG1237">
        <f>IF(OR(AZ1237="Done",AZ1237="Cancelled"),1,0)</f>
        <v/>
      </c>
      <c r="BH1237">
        <f>IF(AND(AU1237&lt;&gt;"",ISNUMBER(AW1237)),1,0)</f>
        <v/>
      </c>
      <c r="BI1237">
        <f>IF(BH1237=0,0,IF(AND(AW1237&gt;='Tasks Filter'!$F$3,AW1237&lt;='Tasks Filter'!$F$4,OR('Tasks Filter'!$I$3="",ISNUMBER(SEARCH('Tasks Filter'!$I$3,AU1237))),OR('Tasks Filter'!$I$4="",BF1237=IFERROR(MATCH('Tasks Filter'!$I$4,Setup!$L$6:$L$9,0),0)),OR('Tasks Filter'!$I$5="Both",AND('Tasks Filter'!$I$5="Yes",BB1237="✓"),AND('Tasks Filter'!$I$5="No",BB1237&lt;&gt;"✓")),OR('Tasks Filter'!$L$3="",AV1237='Tasks Filter'!$L$3),OR('Tasks Filter'!$L$4="",AZ1237='Tasks Filter'!$L$4),OR('Tasks Filter'!$L$5="",BC1237='Tasks Filter'!$L$5),OR('Tasks Filter'!$O$3="",BD1237='Tasks Filter'!$O$3),OR('Tasks Filter'!$O$4="Yes",BG1237=0)),1,0))</f>
        <v/>
      </c>
      <c r="BJ1237">
        <f>IF(BH1237=0,"",IF('Tasks Filter'!$F$6="Descending",-1,1)*CHOOSE(MATCH('Tasks Filter'!$F$5,Lists!$G$2:$G$6,0),AW1237,BF1237,IFERROR(MATCH(AV1237,Setup!$F$6:$F$15,0),99),IFERROR(MATCH(BC1237,Setup!$H$6:$H$15,0),99),IFERROR(MATCH(AZ1237,Setup!$J$6:$J$11,0),99))*1E+9+(AW1237-40000)*10000+1236)</f>
        <v/>
      </c>
      <c r="BK1237">
        <f>IF(BI1237=1,BJ1237,"")</f>
        <v/>
      </c>
      <c r="BL1237">
        <f>IF(AND(BH1237=1,BG1237=0,N(AW1237)&lt;Setup!$D$7),(AW1237-40000)*10000+1236,"")</f>
        <v/>
      </c>
      <c r="BM1237">
        <f>IF(AND(BH1237=1,AZ1237&lt;&gt;"Cancelled",N(AW1237)&gt;=Dashboard!$AB$3,N(AW1237)&lt;=Dashboard!$AB$3+6),(AW1237-40000)*100000+BF1237*10000+1236,"")</f>
        <v/>
      </c>
      <c r="BN1237">
        <f>IF(AND(BH1237=1,AZ1237&lt;&gt;"Cancelled"),BF1237*10000+1236,"")</f>
        <v/>
      </c>
    </row>
    <row r="1238">
      <c r="AS1238" t="inlineStr">
        <is>
          <t>R</t>
        </is>
      </c>
      <c r="AT1238" t="n">
        <v>1242</v>
      </c>
      <c r="AU1238">
        <f>'Recurring Log'!C1242&amp;""</f>
        <v/>
      </c>
      <c r="AV1238">
        <f>'Recurring Log'!D1242&amp;""</f>
        <v/>
      </c>
      <c r="AW1238">
        <f>IF('Recurring Log'!E1242="","",'Recurring Log'!E1242)</f>
        <v/>
      </c>
      <c r="AX1238">
        <f>IF('Recurring Log'!G1242="","",'Recurring Log'!G1242)</f>
        <v/>
      </c>
      <c r="AY1238">
        <f>IF('Recurring Log'!H1242="","",'Recurring Log'!H1242)</f>
        <v/>
      </c>
      <c r="AZ1238">
        <f>IF(AU1238="","",IF('Recurring Log'!J1242="","Not Started",'Recurring Log'!J1242))</f>
        <v/>
      </c>
      <c r="BA1238">
        <f>'Recurring Log'!L1242&amp;""</f>
        <v/>
      </c>
      <c r="BB1238">
        <f>'Recurring Log'!M1242&amp;""</f>
        <v/>
      </c>
      <c r="BC1238">
        <f>'Recurring Log'!N1242&amp;""</f>
        <v/>
      </c>
      <c r="BD1238">
        <f>'Recurring Log'!O1242&amp;""</f>
        <v/>
      </c>
      <c r="BE1238">
        <f>IF('Recurring Log'!K1242="","",'Recurring Log'!K1242)</f>
        <v/>
      </c>
      <c r="BF1238">
        <f>IFERROR(MATCH(BA1238,Setup!$L$6:$L$9,0),5)</f>
        <v/>
      </c>
      <c r="BG1238">
        <f>IF(OR(AZ1238="Done",AZ1238="Cancelled"),1,0)</f>
        <v/>
      </c>
      <c r="BH1238">
        <f>IF(AND(AU1238&lt;&gt;"",ISNUMBER(AW1238)),1,0)</f>
        <v/>
      </c>
      <c r="BI1238">
        <f>IF(BH1238=0,0,IF(AND(AW1238&gt;='Tasks Filter'!$F$3,AW1238&lt;='Tasks Filter'!$F$4,OR('Tasks Filter'!$I$3="",ISNUMBER(SEARCH('Tasks Filter'!$I$3,AU1238))),OR('Tasks Filter'!$I$4="",BF1238=IFERROR(MATCH('Tasks Filter'!$I$4,Setup!$L$6:$L$9,0),0)),OR('Tasks Filter'!$I$5="Both",AND('Tasks Filter'!$I$5="Yes",BB1238="✓"),AND('Tasks Filter'!$I$5="No",BB1238&lt;&gt;"✓")),OR('Tasks Filter'!$L$3="",AV1238='Tasks Filter'!$L$3),OR('Tasks Filter'!$L$4="",AZ1238='Tasks Filter'!$L$4),OR('Tasks Filter'!$L$5="",BC1238='Tasks Filter'!$L$5),OR('Tasks Filter'!$O$3="",BD1238='Tasks Filter'!$O$3),OR('Tasks Filter'!$O$4="Yes",BG1238=0)),1,0))</f>
        <v/>
      </c>
      <c r="BJ1238">
        <f>IF(BH1238=0,"",IF('Tasks Filter'!$F$6="Descending",-1,1)*CHOOSE(MATCH('Tasks Filter'!$F$5,Lists!$G$2:$G$6,0),AW1238,BF1238,IFERROR(MATCH(AV1238,Setup!$F$6:$F$15,0),99),IFERROR(MATCH(BC1238,Setup!$H$6:$H$15,0),99),IFERROR(MATCH(AZ1238,Setup!$J$6:$J$11,0),99))*1E+9+(AW1238-40000)*10000+1237)</f>
        <v/>
      </c>
      <c r="BK1238">
        <f>IF(BI1238=1,BJ1238,"")</f>
        <v/>
      </c>
      <c r="BL1238">
        <f>IF(AND(BH1238=1,BG1238=0,N(AW1238)&lt;Setup!$D$7),(AW1238-40000)*10000+1237,"")</f>
        <v/>
      </c>
      <c r="BM1238">
        <f>IF(AND(BH1238=1,AZ1238&lt;&gt;"Cancelled",N(AW1238)&gt;=Dashboard!$AB$3,N(AW1238)&lt;=Dashboard!$AB$3+6),(AW1238-40000)*100000+BF1238*10000+1237,"")</f>
        <v/>
      </c>
      <c r="BN1238">
        <f>IF(AND(BH1238=1,AZ1238&lt;&gt;"Cancelled"),BF1238*10000+1237,"")</f>
        <v/>
      </c>
    </row>
    <row r="1239">
      <c r="AS1239" t="inlineStr">
        <is>
          <t>R</t>
        </is>
      </c>
      <c r="AT1239" t="n">
        <v>1243</v>
      </c>
      <c r="AU1239">
        <f>'Recurring Log'!C1243&amp;""</f>
        <v/>
      </c>
      <c r="AV1239">
        <f>'Recurring Log'!D1243&amp;""</f>
        <v/>
      </c>
      <c r="AW1239">
        <f>IF('Recurring Log'!E1243="","",'Recurring Log'!E1243)</f>
        <v/>
      </c>
      <c r="AX1239">
        <f>IF('Recurring Log'!G1243="","",'Recurring Log'!G1243)</f>
        <v/>
      </c>
      <c r="AY1239">
        <f>IF('Recurring Log'!H1243="","",'Recurring Log'!H1243)</f>
        <v/>
      </c>
      <c r="AZ1239">
        <f>IF(AU1239="","",IF('Recurring Log'!J1243="","Not Started",'Recurring Log'!J1243))</f>
        <v/>
      </c>
      <c r="BA1239">
        <f>'Recurring Log'!L1243&amp;""</f>
        <v/>
      </c>
      <c r="BB1239">
        <f>'Recurring Log'!M1243&amp;""</f>
        <v/>
      </c>
      <c r="BC1239">
        <f>'Recurring Log'!N1243&amp;""</f>
        <v/>
      </c>
      <c r="BD1239">
        <f>'Recurring Log'!O1243&amp;""</f>
        <v/>
      </c>
      <c r="BE1239">
        <f>IF('Recurring Log'!K1243="","",'Recurring Log'!K1243)</f>
        <v/>
      </c>
      <c r="BF1239">
        <f>IFERROR(MATCH(BA1239,Setup!$L$6:$L$9,0),5)</f>
        <v/>
      </c>
      <c r="BG1239">
        <f>IF(OR(AZ1239="Done",AZ1239="Cancelled"),1,0)</f>
        <v/>
      </c>
      <c r="BH1239">
        <f>IF(AND(AU1239&lt;&gt;"",ISNUMBER(AW1239)),1,0)</f>
        <v/>
      </c>
      <c r="BI1239">
        <f>IF(BH1239=0,0,IF(AND(AW1239&gt;='Tasks Filter'!$F$3,AW1239&lt;='Tasks Filter'!$F$4,OR('Tasks Filter'!$I$3="",ISNUMBER(SEARCH('Tasks Filter'!$I$3,AU1239))),OR('Tasks Filter'!$I$4="",BF1239=IFERROR(MATCH('Tasks Filter'!$I$4,Setup!$L$6:$L$9,0),0)),OR('Tasks Filter'!$I$5="Both",AND('Tasks Filter'!$I$5="Yes",BB1239="✓"),AND('Tasks Filter'!$I$5="No",BB1239&lt;&gt;"✓")),OR('Tasks Filter'!$L$3="",AV1239='Tasks Filter'!$L$3),OR('Tasks Filter'!$L$4="",AZ1239='Tasks Filter'!$L$4),OR('Tasks Filter'!$L$5="",BC1239='Tasks Filter'!$L$5),OR('Tasks Filter'!$O$3="",BD1239='Tasks Filter'!$O$3),OR('Tasks Filter'!$O$4="Yes",BG1239=0)),1,0))</f>
        <v/>
      </c>
      <c r="BJ1239">
        <f>IF(BH1239=0,"",IF('Tasks Filter'!$F$6="Descending",-1,1)*CHOOSE(MATCH('Tasks Filter'!$F$5,Lists!$G$2:$G$6,0),AW1239,BF1239,IFERROR(MATCH(AV1239,Setup!$F$6:$F$15,0),99),IFERROR(MATCH(BC1239,Setup!$H$6:$H$15,0),99),IFERROR(MATCH(AZ1239,Setup!$J$6:$J$11,0),99))*1E+9+(AW1239-40000)*10000+1238)</f>
        <v/>
      </c>
      <c r="BK1239">
        <f>IF(BI1239=1,BJ1239,"")</f>
        <v/>
      </c>
      <c r="BL1239">
        <f>IF(AND(BH1239=1,BG1239=0,N(AW1239)&lt;Setup!$D$7),(AW1239-40000)*10000+1238,"")</f>
        <v/>
      </c>
      <c r="BM1239">
        <f>IF(AND(BH1239=1,AZ1239&lt;&gt;"Cancelled",N(AW1239)&gt;=Dashboard!$AB$3,N(AW1239)&lt;=Dashboard!$AB$3+6),(AW1239-40000)*100000+BF1239*10000+1238,"")</f>
        <v/>
      </c>
      <c r="BN1239">
        <f>IF(AND(BH1239=1,AZ1239&lt;&gt;"Cancelled"),BF1239*10000+1238,"")</f>
        <v/>
      </c>
    </row>
    <row r="1240">
      <c r="AS1240" t="inlineStr">
        <is>
          <t>R</t>
        </is>
      </c>
      <c r="AT1240" t="n">
        <v>1244</v>
      </c>
      <c r="AU1240">
        <f>'Recurring Log'!C1244&amp;""</f>
        <v/>
      </c>
      <c r="AV1240">
        <f>'Recurring Log'!D1244&amp;""</f>
        <v/>
      </c>
      <c r="AW1240">
        <f>IF('Recurring Log'!E1244="","",'Recurring Log'!E1244)</f>
        <v/>
      </c>
      <c r="AX1240">
        <f>IF('Recurring Log'!G1244="","",'Recurring Log'!G1244)</f>
        <v/>
      </c>
      <c r="AY1240">
        <f>IF('Recurring Log'!H1244="","",'Recurring Log'!H1244)</f>
        <v/>
      </c>
      <c r="AZ1240">
        <f>IF(AU1240="","",IF('Recurring Log'!J1244="","Not Started",'Recurring Log'!J1244))</f>
        <v/>
      </c>
      <c r="BA1240">
        <f>'Recurring Log'!L1244&amp;""</f>
        <v/>
      </c>
      <c r="BB1240">
        <f>'Recurring Log'!M1244&amp;""</f>
        <v/>
      </c>
      <c r="BC1240">
        <f>'Recurring Log'!N1244&amp;""</f>
        <v/>
      </c>
      <c r="BD1240">
        <f>'Recurring Log'!O1244&amp;""</f>
        <v/>
      </c>
      <c r="BE1240">
        <f>IF('Recurring Log'!K1244="","",'Recurring Log'!K1244)</f>
        <v/>
      </c>
      <c r="BF1240">
        <f>IFERROR(MATCH(BA1240,Setup!$L$6:$L$9,0),5)</f>
        <v/>
      </c>
      <c r="BG1240">
        <f>IF(OR(AZ1240="Done",AZ1240="Cancelled"),1,0)</f>
        <v/>
      </c>
      <c r="BH1240">
        <f>IF(AND(AU1240&lt;&gt;"",ISNUMBER(AW1240)),1,0)</f>
        <v/>
      </c>
      <c r="BI1240">
        <f>IF(BH1240=0,0,IF(AND(AW1240&gt;='Tasks Filter'!$F$3,AW1240&lt;='Tasks Filter'!$F$4,OR('Tasks Filter'!$I$3="",ISNUMBER(SEARCH('Tasks Filter'!$I$3,AU1240))),OR('Tasks Filter'!$I$4="",BF1240=IFERROR(MATCH('Tasks Filter'!$I$4,Setup!$L$6:$L$9,0),0)),OR('Tasks Filter'!$I$5="Both",AND('Tasks Filter'!$I$5="Yes",BB1240="✓"),AND('Tasks Filter'!$I$5="No",BB1240&lt;&gt;"✓")),OR('Tasks Filter'!$L$3="",AV1240='Tasks Filter'!$L$3),OR('Tasks Filter'!$L$4="",AZ1240='Tasks Filter'!$L$4),OR('Tasks Filter'!$L$5="",BC1240='Tasks Filter'!$L$5),OR('Tasks Filter'!$O$3="",BD1240='Tasks Filter'!$O$3),OR('Tasks Filter'!$O$4="Yes",BG1240=0)),1,0))</f>
        <v/>
      </c>
      <c r="BJ1240">
        <f>IF(BH1240=0,"",IF('Tasks Filter'!$F$6="Descending",-1,1)*CHOOSE(MATCH('Tasks Filter'!$F$5,Lists!$G$2:$G$6,0),AW1240,BF1240,IFERROR(MATCH(AV1240,Setup!$F$6:$F$15,0),99),IFERROR(MATCH(BC1240,Setup!$H$6:$H$15,0),99),IFERROR(MATCH(AZ1240,Setup!$J$6:$J$11,0),99))*1E+9+(AW1240-40000)*10000+1239)</f>
        <v/>
      </c>
      <c r="BK1240">
        <f>IF(BI1240=1,BJ1240,"")</f>
        <v/>
      </c>
      <c r="BL1240">
        <f>IF(AND(BH1240=1,BG1240=0,N(AW1240)&lt;Setup!$D$7),(AW1240-40000)*10000+1239,"")</f>
        <v/>
      </c>
      <c r="BM1240">
        <f>IF(AND(BH1240=1,AZ1240&lt;&gt;"Cancelled",N(AW1240)&gt;=Dashboard!$AB$3,N(AW1240)&lt;=Dashboard!$AB$3+6),(AW1240-40000)*100000+BF1240*10000+1239,"")</f>
        <v/>
      </c>
      <c r="BN1240">
        <f>IF(AND(BH1240=1,AZ1240&lt;&gt;"Cancelled"),BF1240*10000+1239,"")</f>
        <v/>
      </c>
    </row>
    <row r="1241">
      <c r="AS1241" t="inlineStr">
        <is>
          <t>R</t>
        </is>
      </c>
      <c r="AT1241" t="n">
        <v>1245</v>
      </c>
      <c r="AU1241">
        <f>'Recurring Log'!C1245&amp;""</f>
        <v/>
      </c>
      <c r="AV1241">
        <f>'Recurring Log'!D1245&amp;""</f>
        <v/>
      </c>
      <c r="AW1241">
        <f>IF('Recurring Log'!E1245="","",'Recurring Log'!E1245)</f>
        <v/>
      </c>
      <c r="AX1241">
        <f>IF('Recurring Log'!G1245="","",'Recurring Log'!G1245)</f>
        <v/>
      </c>
      <c r="AY1241">
        <f>IF('Recurring Log'!H1245="","",'Recurring Log'!H1245)</f>
        <v/>
      </c>
      <c r="AZ1241">
        <f>IF(AU1241="","",IF('Recurring Log'!J1245="","Not Started",'Recurring Log'!J1245))</f>
        <v/>
      </c>
      <c r="BA1241">
        <f>'Recurring Log'!L1245&amp;""</f>
        <v/>
      </c>
      <c r="BB1241">
        <f>'Recurring Log'!M1245&amp;""</f>
        <v/>
      </c>
      <c r="BC1241">
        <f>'Recurring Log'!N1245&amp;""</f>
        <v/>
      </c>
      <c r="BD1241">
        <f>'Recurring Log'!O1245&amp;""</f>
        <v/>
      </c>
      <c r="BE1241">
        <f>IF('Recurring Log'!K1245="","",'Recurring Log'!K1245)</f>
        <v/>
      </c>
      <c r="BF1241">
        <f>IFERROR(MATCH(BA1241,Setup!$L$6:$L$9,0),5)</f>
        <v/>
      </c>
      <c r="BG1241">
        <f>IF(OR(AZ1241="Done",AZ1241="Cancelled"),1,0)</f>
        <v/>
      </c>
      <c r="BH1241">
        <f>IF(AND(AU1241&lt;&gt;"",ISNUMBER(AW1241)),1,0)</f>
        <v/>
      </c>
      <c r="BI1241">
        <f>IF(BH1241=0,0,IF(AND(AW1241&gt;='Tasks Filter'!$F$3,AW1241&lt;='Tasks Filter'!$F$4,OR('Tasks Filter'!$I$3="",ISNUMBER(SEARCH('Tasks Filter'!$I$3,AU1241))),OR('Tasks Filter'!$I$4="",BF1241=IFERROR(MATCH('Tasks Filter'!$I$4,Setup!$L$6:$L$9,0),0)),OR('Tasks Filter'!$I$5="Both",AND('Tasks Filter'!$I$5="Yes",BB1241="✓"),AND('Tasks Filter'!$I$5="No",BB1241&lt;&gt;"✓")),OR('Tasks Filter'!$L$3="",AV1241='Tasks Filter'!$L$3),OR('Tasks Filter'!$L$4="",AZ1241='Tasks Filter'!$L$4),OR('Tasks Filter'!$L$5="",BC1241='Tasks Filter'!$L$5),OR('Tasks Filter'!$O$3="",BD1241='Tasks Filter'!$O$3),OR('Tasks Filter'!$O$4="Yes",BG1241=0)),1,0))</f>
        <v/>
      </c>
      <c r="BJ1241">
        <f>IF(BH1241=0,"",IF('Tasks Filter'!$F$6="Descending",-1,1)*CHOOSE(MATCH('Tasks Filter'!$F$5,Lists!$G$2:$G$6,0),AW1241,BF1241,IFERROR(MATCH(AV1241,Setup!$F$6:$F$15,0),99),IFERROR(MATCH(BC1241,Setup!$H$6:$H$15,0),99),IFERROR(MATCH(AZ1241,Setup!$J$6:$J$11,0),99))*1E+9+(AW1241-40000)*10000+1240)</f>
        <v/>
      </c>
      <c r="BK1241">
        <f>IF(BI1241=1,BJ1241,"")</f>
        <v/>
      </c>
      <c r="BL1241">
        <f>IF(AND(BH1241=1,BG1241=0,N(AW1241)&lt;Setup!$D$7),(AW1241-40000)*10000+1240,"")</f>
        <v/>
      </c>
      <c r="BM1241">
        <f>IF(AND(BH1241=1,AZ1241&lt;&gt;"Cancelled",N(AW1241)&gt;=Dashboard!$AB$3,N(AW1241)&lt;=Dashboard!$AB$3+6),(AW1241-40000)*100000+BF1241*10000+1240,"")</f>
        <v/>
      </c>
      <c r="BN1241">
        <f>IF(AND(BH1241=1,AZ1241&lt;&gt;"Cancelled"),BF1241*10000+1240,"")</f>
        <v/>
      </c>
    </row>
    <row r="1242">
      <c r="AS1242" t="inlineStr">
        <is>
          <t>R</t>
        </is>
      </c>
      <c r="AT1242" t="n">
        <v>1246</v>
      </c>
      <c r="AU1242">
        <f>'Recurring Log'!C1246&amp;""</f>
        <v/>
      </c>
      <c r="AV1242">
        <f>'Recurring Log'!D1246&amp;""</f>
        <v/>
      </c>
      <c r="AW1242">
        <f>IF('Recurring Log'!E1246="","",'Recurring Log'!E1246)</f>
        <v/>
      </c>
      <c r="AX1242">
        <f>IF('Recurring Log'!G1246="","",'Recurring Log'!G1246)</f>
        <v/>
      </c>
      <c r="AY1242">
        <f>IF('Recurring Log'!H1246="","",'Recurring Log'!H1246)</f>
        <v/>
      </c>
      <c r="AZ1242">
        <f>IF(AU1242="","",IF('Recurring Log'!J1246="","Not Started",'Recurring Log'!J1246))</f>
        <v/>
      </c>
      <c r="BA1242">
        <f>'Recurring Log'!L1246&amp;""</f>
        <v/>
      </c>
      <c r="BB1242">
        <f>'Recurring Log'!M1246&amp;""</f>
        <v/>
      </c>
      <c r="BC1242">
        <f>'Recurring Log'!N1246&amp;""</f>
        <v/>
      </c>
      <c r="BD1242">
        <f>'Recurring Log'!O1246&amp;""</f>
        <v/>
      </c>
      <c r="BE1242">
        <f>IF('Recurring Log'!K1246="","",'Recurring Log'!K1246)</f>
        <v/>
      </c>
      <c r="BF1242">
        <f>IFERROR(MATCH(BA1242,Setup!$L$6:$L$9,0),5)</f>
        <v/>
      </c>
      <c r="BG1242">
        <f>IF(OR(AZ1242="Done",AZ1242="Cancelled"),1,0)</f>
        <v/>
      </c>
      <c r="BH1242">
        <f>IF(AND(AU1242&lt;&gt;"",ISNUMBER(AW1242)),1,0)</f>
        <v/>
      </c>
      <c r="BI1242">
        <f>IF(BH1242=0,0,IF(AND(AW1242&gt;='Tasks Filter'!$F$3,AW1242&lt;='Tasks Filter'!$F$4,OR('Tasks Filter'!$I$3="",ISNUMBER(SEARCH('Tasks Filter'!$I$3,AU1242))),OR('Tasks Filter'!$I$4="",BF1242=IFERROR(MATCH('Tasks Filter'!$I$4,Setup!$L$6:$L$9,0),0)),OR('Tasks Filter'!$I$5="Both",AND('Tasks Filter'!$I$5="Yes",BB1242="✓"),AND('Tasks Filter'!$I$5="No",BB1242&lt;&gt;"✓")),OR('Tasks Filter'!$L$3="",AV1242='Tasks Filter'!$L$3),OR('Tasks Filter'!$L$4="",AZ1242='Tasks Filter'!$L$4),OR('Tasks Filter'!$L$5="",BC1242='Tasks Filter'!$L$5),OR('Tasks Filter'!$O$3="",BD1242='Tasks Filter'!$O$3),OR('Tasks Filter'!$O$4="Yes",BG1242=0)),1,0))</f>
        <v/>
      </c>
      <c r="BJ1242">
        <f>IF(BH1242=0,"",IF('Tasks Filter'!$F$6="Descending",-1,1)*CHOOSE(MATCH('Tasks Filter'!$F$5,Lists!$G$2:$G$6,0),AW1242,BF1242,IFERROR(MATCH(AV1242,Setup!$F$6:$F$15,0),99),IFERROR(MATCH(BC1242,Setup!$H$6:$H$15,0),99),IFERROR(MATCH(AZ1242,Setup!$J$6:$J$11,0),99))*1E+9+(AW1242-40000)*10000+1241)</f>
        <v/>
      </c>
      <c r="BK1242">
        <f>IF(BI1242=1,BJ1242,"")</f>
        <v/>
      </c>
      <c r="BL1242">
        <f>IF(AND(BH1242=1,BG1242=0,N(AW1242)&lt;Setup!$D$7),(AW1242-40000)*10000+1241,"")</f>
        <v/>
      </c>
      <c r="BM1242">
        <f>IF(AND(BH1242=1,AZ1242&lt;&gt;"Cancelled",N(AW1242)&gt;=Dashboard!$AB$3,N(AW1242)&lt;=Dashboard!$AB$3+6),(AW1242-40000)*100000+BF1242*10000+1241,"")</f>
        <v/>
      </c>
      <c r="BN1242">
        <f>IF(AND(BH1242=1,AZ1242&lt;&gt;"Cancelled"),BF1242*10000+1241,"")</f>
        <v/>
      </c>
    </row>
    <row r="1243">
      <c r="AS1243" t="inlineStr">
        <is>
          <t>R</t>
        </is>
      </c>
      <c r="AT1243" t="n">
        <v>1247</v>
      </c>
      <c r="AU1243">
        <f>'Recurring Log'!C1247&amp;""</f>
        <v/>
      </c>
      <c r="AV1243">
        <f>'Recurring Log'!D1247&amp;""</f>
        <v/>
      </c>
      <c r="AW1243">
        <f>IF('Recurring Log'!E1247="","",'Recurring Log'!E1247)</f>
        <v/>
      </c>
      <c r="AX1243">
        <f>IF('Recurring Log'!G1247="","",'Recurring Log'!G1247)</f>
        <v/>
      </c>
      <c r="AY1243">
        <f>IF('Recurring Log'!H1247="","",'Recurring Log'!H1247)</f>
        <v/>
      </c>
      <c r="AZ1243">
        <f>IF(AU1243="","",IF('Recurring Log'!J1247="","Not Started",'Recurring Log'!J1247))</f>
        <v/>
      </c>
      <c r="BA1243">
        <f>'Recurring Log'!L1247&amp;""</f>
        <v/>
      </c>
      <c r="BB1243">
        <f>'Recurring Log'!M1247&amp;""</f>
        <v/>
      </c>
      <c r="BC1243">
        <f>'Recurring Log'!N1247&amp;""</f>
        <v/>
      </c>
      <c r="BD1243">
        <f>'Recurring Log'!O1247&amp;""</f>
        <v/>
      </c>
      <c r="BE1243">
        <f>IF('Recurring Log'!K1247="","",'Recurring Log'!K1247)</f>
        <v/>
      </c>
      <c r="BF1243">
        <f>IFERROR(MATCH(BA1243,Setup!$L$6:$L$9,0),5)</f>
        <v/>
      </c>
      <c r="BG1243">
        <f>IF(OR(AZ1243="Done",AZ1243="Cancelled"),1,0)</f>
        <v/>
      </c>
      <c r="BH1243">
        <f>IF(AND(AU1243&lt;&gt;"",ISNUMBER(AW1243)),1,0)</f>
        <v/>
      </c>
      <c r="BI1243">
        <f>IF(BH1243=0,0,IF(AND(AW1243&gt;='Tasks Filter'!$F$3,AW1243&lt;='Tasks Filter'!$F$4,OR('Tasks Filter'!$I$3="",ISNUMBER(SEARCH('Tasks Filter'!$I$3,AU1243))),OR('Tasks Filter'!$I$4="",BF1243=IFERROR(MATCH('Tasks Filter'!$I$4,Setup!$L$6:$L$9,0),0)),OR('Tasks Filter'!$I$5="Both",AND('Tasks Filter'!$I$5="Yes",BB1243="✓"),AND('Tasks Filter'!$I$5="No",BB1243&lt;&gt;"✓")),OR('Tasks Filter'!$L$3="",AV1243='Tasks Filter'!$L$3),OR('Tasks Filter'!$L$4="",AZ1243='Tasks Filter'!$L$4),OR('Tasks Filter'!$L$5="",BC1243='Tasks Filter'!$L$5),OR('Tasks Filter'!$O$3="",BD1243='Tasks Filter'!$O$3),OR('Tasks Filter'!$O$4="Yes",BG1243=0)),1,0))</f>
        <v/>
      </c>
      <c r="BJ1243">
        <f>IF(BH1243=0,"",IF('Tasks Filter'!$F$6="Descending",-1,1)*CHOOSE(MATCH('Tasks Filter'!$F$5,Lists!$G$2:$G$6,0),AW1243,BF1243,IFERROR(MATCH(AV1243,Setup!$F$6:$F$15,0),99),IFERROR(MATCH(BC1243,Setup!$H$6:$H$15,0),99),IFERROR(MATCH(AZ1243,Setup!$J$6:$J$11,0),99))*1E+9+(AW1243-40000)*10000+1242)</f>
        <v/>
      </c>
      <c r="BK1243">
        <f>IF(BI1243=1,BJ1243,"")</f>
        <v/>
      </c>
      <c r="BL1243">
        <f>IF(AND(BH1243=1,BG1243=0,N(AW1243)&lt;Setup!$D$7),(AW1243-40000)*10000+1242,"")</f>
        <v/>
      </c>
      <c r="BM1243">
        <f>IF(AND(BH1243=1,AZ1243&lt;&gt;"Cancelled",N(AW1243)&gt;=Dashboard!$AB$3,N(AW1243)&lt;=Dashboard!$AB$3+6),(AW1243-40000)*100000+BF1243*10000+1242,"")</f>
        <v/>
      </c>
      <c r="BN1243">
        <f>IF(AND(BH1243=1,AZ1243&lt;&gt;"Cancelled"),BF1243*10000+1242,"")</f>
        <v/>
      </c>
    </row>
    <row r="1244">
      <c r="AS1244" t="inlineStr">
        <is>
          <t>R</t>
        </is>
      </c>
      <c r="AT1244" t="n">
        <v>1248</v>
      </c>
      <c r="AU1244">
        <f>'Recurring Log'!C1248&amp;""</f>
        <v/>
      </c>
      <c r="AV1244">
        <f>'Recurring Log'!D1248&amp;""</f>
        <v/>
      </c>
      <c r="AW1244">
        <f>IF('Recurring Log'!E1248="","",'Recurring Log'!E1248)</f>
        <v/>
      </c>
      <c r="AX1244">
        <f>IF('Recurring Log'!G1248="","",'Recurring Log'!G1248)</f>
        <v/>
      </c>
      <c r="AY1244">
        <f>IF('Recurring Log'!H1248="","",'Recurring Log'!H1248)</f>
        <v/>
      </c>
      <c r="AZ1244">
        <f>IF(AU1244="","",IF('Recurring Log'!J1248="","Not Started",'Recurring Log'!J1248))</f>
        <v/>
      </c>
      <c r="BA1244">
        <f>'Recurring Log'!L1248&amp;""</f>
        <v/>
      </c>
      <c r="BB1244">
        <f>'Recurring Log'!M1248&amp;""</f>
        <v/>
      </c>
      <c r="BC1244">
        <f>'Recurring Log'!N1248&amp;""</f>
        <v/>
      </c>
      <c r="BD1244">
        <f>'Recurring Log'!O1248&amp;""</f>
        <v/>
      </c>
      <c r="BE1244">
        <f>IF('Recurring Log'!K1248="","",'Recurring Log'!K1248)</f>
        <v/>
      </c>
      <c r="BF1244">
        <f>IFERROR(MATCH(BA1244,Setup!$L$6:$L$9,0),5)</f>
        <v/>
      </c>
      <c r="BG1244">
        <f>IF(OR(AZ1244="Done",AZ1244="Cancelled"),1,0)</f>
        <v/>
      </c>
      <c r="BH1244">
        <f>IF(AND(AU1244&lt;&gt;"",ISNUMBER(AW1244)),1,0)</f>
        <v/>
      </c>
      <c r="BI1244">
        <f>IF(BH1244=0,0,IF(AND(AW1244&gt;='Tasks Filter'!$F$3,AW1244&lt;='Tasks Filter'!$F$4,OR('Tasks Filter'!$I$3="",ISNUMBER(SEARCH('Tasks Filter'!$I$3,AU1244))),OR('Tasks Filter'!$I$4="",BF1244=IFERROR(MATCH('Tasks Filter'!$I$4,Setup!$L$6:$L$9,0),0)),OR('Tasks Filter'!$I$5="Both",AND('Tasks Filter'!$I$5="Yes",BB1244="✓"),AND('Tasks Filter'!$I$5="No",BB1244&lt;&gt;"✓")),OR('Tasks Filter'!$L$3="",AV1244='Tasks Filter'!$L$3),OR('Tasks Filter'!$L$4="",AZ1244='Tasks Filter'!$L$4),OR('Tasks Filter'!$L$5="",BC1244='Tasks Filter'!$L$5),OR('Tasks Filter'!$O$3="",BD1244='Tasks Filter'!$O$3),OR('Tasks Filter'!$O$4="Yes",BG1244=0)),1,0))</f>
        <v/>
      </c>
      <c r="BJ1244">
        <f>IF(BH1244=0,"",IF('Tasks Filter'!$F$6="Descending",-1,1)*CHOOSE(MATCH('Tasks Filter'!$F$5,Lists!$G$2:$G$6,0),AW1244,BF1244,IFERROR(MATCH(AV1244,Setup!$F$6:$F$15,0),99),IFERROR(MATCH(BC1244,Setup!$H$6:$H$15,0),99),IFERROR(MATCH(AZ1244,Setup!$J$6:$J$11,0),99))*1E+9+(AW1244-40000)*10000+1243)</f>
        <v/>
      </c>
      <c r="BK1244">
        <f>IF(BI1244=1,BJ1244,"")</f>
        <v/>
      </c>
      <c r="BL1244">
        <f>IF(AND(BH1244=1,BG1244=0,N(AW1244)&lt;Setup!$D$7),(AW1244-40000)*10000+1243,"")</f>
        <v/>
      </c>
      <c r="BM1244">
        <f>IF(AND(BH1244=1,AZ1244&lt;&gt;"Cancelled",N(AW1244)&gt;=Dashboard!$AB$3,N(AW1244)&lt;=Dashboard!$AB$3+6),(AW1244-40000)*100000+BF1244*10000+1243,"")</f>
        <v/>
      </c>
      <c r="BN1244">
        <f>IF(AND(BH1244=1,AZ1244&lt;&gt;"Cancelled"),BF1244*10000+1243,"")</f>
        <v/>
      </c>
    </row>
    <row r="1245">
      <c r="AS1245" t="inlineStr">
        <is>
          <t>R</t>
        </is>
      </c>
      <c r="AT1245" t="n">
        <v>1249</v>
      </c>
      <c r="AU1245">
        <f>'Recurring Log'!C1249&amp;""</f>
        <v/>
      </c>
      <c r="AV1245">
        <f>'Recurring Log'!D1249&amp;""</f>
        <v/>
      </c>
      <c r="AW1245">
        <f>IF('Recurring Log'!E1249="","",'Recurring Log'!E1249)</f>
        <v/>
      </c>
      <c r="AX1245">
        <f>IF('Recurring Log'!G1249="","",'Recurring Log'!G1249)</f>
        <v/>
      </c>
      <c r="AY1245">
        <f>IF('Recurring Log'!H1249="","",'Recurring Log'!H1249)</f>
        <v/>
      </c>
      <c r="AZ1245">
        <f>IF(AU1245="","",IF('Recurring Log'!J1249="","Not Started",'Recurring Log'!J1249))</f>
        <v/>
      </c>
      <c r="BA1245">
        <f>'Recurring Log'!L1249&amp;""</f>
        <v/>
      </c>
      <c r="BB1245">
        <f>'Recurring Log'!M1249&amp;""</f>
        <v/>
      </c>
      <c r="BC1245">
        <f>'Recurring Log'!N1249&amp;""</f>
        <v/>
      </c>
      <c r="BD1245">
        <f>'Recurring Log'!O1249&amp;""</f>
        <v/>
      </c>
      <c r="BE1245">
        <f>IF('Recurring Log'!K1249="","",'Recurring Log'!K1249)</f>
        <v/>
      </c>
      <c r="BF1245">
        <f>IFERROR(MATCH(BA1245,Setup!$L$6:$L$9,0),5)</f>
        <v/>
      </c>
      <c r="BG1245">
        <f>IF(OR(AZ1245="Done",AZ1245="Cancelled"),1,0)</f>
        <v/>
      </c>
      <c r="BH1245">
        <f>IF(AND(AU1245&lt;&gt;"",ISNUMBER(AW1245)),1,0)</f>
        <v/>
      </c>
      <c r="BI1245">
        <f>IF(BH1245=0,0,IF(AND(AW1245&gt;='Tasks Filter'!$F$3,AW1245&lt;='Tasks Filter'!$F$4,OR('Tasks Filter'!$I$3="",ISNUMBER(SEARCH('Tasks Filter'!$I$3,AU1245))),OR('Tasks Filter'!$I$4="",BF1245=IFERROR(MATCH('Tasks Filter'!$I$4,Setup!$L$6:$L$9,0),0)),OR('Tasks Filter'!$I$5="Both",AND('Tasks Filter'!$I$5="Yes",BB1245="✓"),AND('Tasks Filter'!$I$5="No",BB1245&lt;&gt;"✓")),OR('Tasks Filter'!$L$3="",AV1245='Tasks Filter'!$L$3),OR('Tasks Filter'!$L$4="",AZ1245='Tasks Filter'!$L$4),OR('Tasks Filter'!$L$5="",BC1245='Tasks Filter'!$L$5),OR('Tasks Filter'!$O$3="",BD1245='Tasks Filter'!$O$3),OR('Tasks Filter'!$O$4="Yes",BG1245=0)),1,0))</f>
        <v/>
      </c>
      <c r="BJ1245">
        <f>IF(BH1245=0,"",IF('Tasks Filter'!$F$6="Descending",-1,1)*CHOOSE(MATCH('Tasks Filter'!$F$5,Lists!$G$2:$G$6,0),AW1245,BF1245,IFERROR(MATCH(AV1245,Setup!$F$6:$F$15,0),99),IFERROR(MATCH(BC1245,Setup!$H$6:$H$15,0),99),IFERROR(MATCH(AZ1245,Setup!$J$6:$J$11,0),99))*1E+9+(AW1245-40000)*10000+1244)</f>
        <v/>
      </c>
      <c r="BK1245">
        <f>IF(BI1245=1,BJ1245,"")</f>
        <v/>
      </c>
      <c r="BL1245">
        <f>IF(AND(BH1245=1,BG1245=0,N(AW1245)&lt;Setup!$D$7),(AW1245-40000)*10000+1244,"")</f>
        <v/>
      </c>
      <c r="BM1245">
        <f>IF(AND(BH1245=1,AZ1245&lt;&gt;"Cancelled",N(AW1245)&gt;=Dashboard!$AB$3,N(AW1245)&lt;=Dashboard!$AB$3+6),(AW1245-40000)*100000+BF1245*10000+1244,"")</f>
        <v/>
      </c>
      <c r="BN1245">
        <f>IF(AND(BH1245=1,AZ1245&lt;&gt;"Cancelled"),BF1245*10000+1244,"")</f>
        <v/>
      </c>
    </row>
    <row r="1246">
      <c r="AS1246" t="inlineStr">
        <is>
          <t>R</t>
        </is>
      </c>
      <c r="AT1246" t="n">
        <v>1250</v>
      </c>
      <c r="AU1246">
        <f>'Recurring Log'!C1250&amp;""</f>
        <v/>
      </c>
      <c r="AV1246">
        <f>'Recurring Log'!D1250&amp;""</f>
        <v/>
      </c>
      <c r="AW1246">
        <f>IF('Recurring Log'!E1250="","",'Recurring Log'!E1250)</f>
        <v/>
      </c>
      <c r="AX1246">
        <f>IF('Recurring Log'!G1250="","",'Recurring Log'!G1250)</f>
        <v/>
      </c>
      <c r="AY1246">
        <f>IF('Recurring Log'!H1250="","",'Recurring Log'!H1250)</f>
        <v/>
      </c>
      <c r="AZ1246">
        <f>IF(AU1246="","",IF('Recurring Log'!J1250="","Not Started",'Recurring Log'!J1250))</f>
        <v/>
      </c>
      <c r="BA1246">
        <f>'Recurring Log'!L1250&amp;""</f>
        <v/>
      </c>
      <c r="BB1246">
        <f>'Recurring Log'!M1250&amp;""</f>
        <v/>
      </c>
      <c r="BC1246">
        <f>'Recurring Log'!N1250&amp;""</f>
        <v/>
      </c>
      <c r="BD1246">
        <f>'Recurring Log'!O1250&amp;""</f>
        <v/>
      </c>
      <c r="BE1246">
        <f>IF('Recurring Log'!K1250="","",'Recurring Log'!K1250)</f>
        <v/>
      </c>
      <c r="BF1246">
        <f>IFERROR(MATCH(BA1246,Setup!$L$6:$L$9,0),5)</f>
        <v/>
      </c>
      <c r="BG1246">
        <f>IF(OR(AZ1246="Done",AZ1246="Cancelled"),1,0)</f>
        <v/>
      </c>
      <c r="BH1246">
        <f>IF(AND(AU1246&lt;&gt;"",ISNUMBER(AW1246)),1,0)</f>
        <v/>
      </c>
      <c r="BI1246">
        <f>IF(BH1246=0,0,IF(AND(AW1246&gt;='Tasks Filter'!$F$3,AW1246&lt;='Tasks Filter'!$F$4,OR('Tasks Filter'!$I$3="",ISNUMBER(SEARCH('Tasks Filter'!$I$3,AU1246))),OR('Tasks Filter'!$I$4="",BF1246=IFERROR(MATCH('Tasks Filter'!$I$4,Setup!$L$6:$L$9,0),0)),OR('Tasks Filter'!$I$5="Both",AND('Tasks Filter'!$I$5="Yes",BB1246="✓"),AND('Tasks Filter'!$I$5="No",BB1246&lt;&gt;"✓")),OR('Tasks Filter'!$L$3="",AV1246='Tasks Filter'!$L$3),OR('Tasks Filter'!$L$4="",AZ1246='Tasks Filter'!$L$4),OR('Tasks Filter'!$L$5="",BC1246='Tasks Filter'!$L$5),OR('Tasks Filter'!$O$3="",BD1246='Tasks Filter'!$O$3),OR('Tasks Filter'!$O$4="Yes",BG1246=0)),1,0))</f>
        <v/>
      </c>
      <c r="BJ1246">
        <f>IF(BH1246=0,"",IF('Tasks Filter'!$F$6="Descending",-1,1)*CHOOSE(MATCH('Tasks Filter'!$F$5,Lists!$G$2:$G$6,0),AW1246,BF1246,IFERROR(MATCH(AV1246,Setup!$F$6:$F$15,0),99),IFERROR(MATCH(BC1246,Setup!$H$6:$H$15,0),99),IFERROR(MATCH(AZ1246,Setup!$J$6:$J$11,0),99))*1E+9+(AW1246-40000)*10000+1245)</f>
        <v/>
      </c>
      <c r="BK1246">
        <f>IF(BI1246=1,BJ1246,"")</f>
        <v/>
      </c>
      <c r="BL1246">
        <f>IF(AND(BH1246=1,BG1246=0,N(AW1246)&lt;Setup!$D$7),(AW1246-40000)*10000+1245,"")</f>
        <v/>
      </c>
      <c r="BM1246">
        <f>IF(AND(BH1246=1,AZ1246&lt;&gt;"Cancelled",N(AW1246)&gt;=Dashboard!$AB$3,N(AW1246)&lt;=Dashboard!$AB$3+6),(AW1246-40000)*100000+BF1246*10000+1245,"")</f>
        <v/>
      </c>
      <c r="BN1246">
        <f>IF(AND(BH1246=1,AZ1246&lt;&gt;"Cancelled"),BF1246*10000+1245,"")</f>
        <v/>
      </c>
    </row>
    <row r="1247">
      <c r="AS1247" t="inlineStr">
        <is>
          <t>R</t>
        </is>
      </c>
      <c r="AT1247" t="n">
        <v>1251</v>
      </c>
      <c r="AU1247">
        <f>'Recurring Log'!C1251&amp;""</f>
        <v/>
      </c>
      <c r="AV1247">
        <f>'Recurring Log'!D1251&amp;""</f>
        <v/>
      </c>
      <c r="AW1247">
        <f>IF('Recurring Log'!E1251="","",'Recurring Log'!E1251)</f>
        <v/>
      </c>
      <c r="AX1247">
        <f>IF('Recurring Log'!G1251="","",'Recurring Log'!G1251)</f>
        <v/>
      </c>
      <c r="AY1247">
        <f>IF('Recurring Log'!H1251="","",'Recurring Log'!H1251)</f>
        <v/>
      </c>
      <c r="AZ1247">
        <f>IF(AU1247="","",IF('Recurring Log'!J1251="","Not Started",'Recurring Log'!J1251))</f>
        <v/>
      </c>
      <c r="BA1247">
        <f>'Recurring Log'!L1251&amp;""</f>
        <v/>
      </c>
      <c r="BB1247">
        <f>'Recurring Log'!M1251&amp;""</f>
        <v/>
      </c>
      <c r="BC1247">
        <f>'Recurring Log'!N1251&amp;""</f>
        <v/>
      </c>
      <c r="BD1247">
        <f>'Recurring Log'!O1251&amp;""</f>
        <v/>
      </c>
      <c r="BE1247">
        <f>IF('Recurring Log'!K1251="","",'Recurring Log'!K1251)</f>
        <v/>
      </c>
      <c r="BF1247">
        <f>IFERROR(MATCH(BA1247,Setup!$L$6:$L$9,0),5)</f>
        <v/>
      </c>
      <c r="BG1247">
        <f>IF(OR(AZ1247="Done",AZ1247="Cancelled"),1,0)</f>
        <v/>
      </c>
      <c r="BH1247">
        <f>IF(AND(AU1247&lt;&gt;"",ISNUMBER(AW1247)),1,0)</f>
        <v/>
      </c>
      <c r="BI1247">
        <f>IF(BH1247=0,0,IF(AND(AW1247&gt;='Tasks Filter'!$F$3,AW1247&lt;='Tasks Filter'!$F$4,OR('Tasks Filter'!$I$3="",ISNUMBER(SEARCH('Tasks Filter'!$I$3,AU1247))),OR('Tasks Filter'!$I$4="",BF1247=IFERROR(MATCH('Tasks Filter'!$I$4,Setup!$L$6:$L$9,0),0)),OR('Tasks Filter'!$I$5="Both",AND('Tasks Filter'!$I$5="Yes",BB1247="✓"),AND('Tasks Filter'!$I$5="No",BB1247&lt;&gt;"✓")),OR('Tasks Filter'!$L$3="",AV1247='Tasks Filter'!$L$3),OR('Tasks Filter'!$L$4="",AZ1247='Tasks Filter'!$L$4),OR('Tasks Filter'!$L$5="",BC1247='Tasks Filter'!$L$5),OR('Tasks Filter'!$O$3="",BD1247='Tasks Filter'!$O$3),OR('Tasks Filter'!$O$4="Yes",BG1247=0)),1,0))</f>
        <v/>
      </c>
      <c r="BJ1247">
        <f>IF(BH1247=0,"",IF('Tasks Filter'!$F$6="Descending",-1,1)*CHOOSE(MATCH('Tasks Filter'!$F$5,Lists!$G$2:$G$6,0),AW1247,BF1247,IFERROR(MATCH(AV1247,Setup!$F$6:$F$15,0),99),IFERROR(MATCH(BC1247,Setup!$H$6:$H$15,0),99),IFERROR(MATCH(AZ1247,Setup!$J$6:$J$11,0),99))*1E+9+(AW1247-40000)*10000+1246)</f>
        <v/>
      </c>
      <c r="BK1247">
        <f>IF(BI1247=1,BJ1247,"")</f>
        <v/>
      </c>
      <c r="BL1247">
        <f>IF(AND(BH1247=1,BG1247=0,N(AW1247)&lt;Setup!$D$7),(AW1247-40000)*10000+1246,"")</f>
        <v/>
      </c>
      <c r="BM1247">
        <f>IF(AND(BH1247=1,AZ1247&lt;&gt;"Cancelled",N(AW1247)&gt;=Dashboard!$AB$3,N(AW1247)&lt;=Dashboard!$AB$3+6),(AW1247-40000)*100000+BF1247*10000+1246,"")</f>
        <v/>
      </c>
      <c r="BN1247">
        <f>IF(AND(BH1247=1,AZ1247&lt;&gt;"Cancelled"),BF1247*10000+1246,"")</f>
        <v/>
      </c>
    </row>
    <row r="1248">
      <c r="AS1248" t="inlineStr">
        <is>
          <t>R</t>
        </is>
      </c>
      <c r="AT1248" t="n">
        <v>1252</v>
      </c>
      <c r="AU1248">
        <f>'Recurring Log'!C1252&amp;""</f>
        <v/>
      </c>
      <c r="AV1248">
        <f>'Recurring Log'!D1252&amp;""</f>
        <v/>
      </c>
      <c r="AW1248">
        <f>IF('Recurring Log'!E1252="","",'Recurring Log'!E1252)</f>
        <v/>
      </c>
      <c r="AX1248">
        <f>IF('Recurring Log'!G1252="","",'Recurring Log'!G1252)</f>
        <v/>
      </c>
      <c r="AY1248">
        <f>IF('Recurring Log'!H1252="","",'Recurring Log'!H1252)</f>
        <v/>
      </c>
      <c r="AZ1248">
        <f>IF(AU1248="","",IF('Recurring Log'!J1252="","Not Started",'Recurring Log'!J1252))</f>
        <v/>
      </c>
      <c r="BA1248">
        <f>'Recurring Log'!L1252&amp;""</f>
        <v/>
      </c>
      <c r="BB1248">
        <f>'Recurring Log'!M1252&amp;""</f>
        <v/>
      </c>
      <c r="BC1248">
        <f>'Recurring Log'!N1252&amp;""</f>
        <v/>
      </c>
      <c r="BD1248">
        <f>'Recurring Log'!O1252&amp;""</f>
        <v/>
      </c>
      <c r="BE1248">
        <f>IF('Recurring Log'!K1252="","",'Recurring Log'!K1252)</f>
        <v/>
      </c>
      <c r="BF1248">
        <f>IFERROR(MATCH(BA1248,Setup!$L$6:$L$9,0),5)</f>
        <v/>
      </c>
      <c r="BG1248">
        <f>IF(OR(AZ1248="Done",AZ1248="Cancelled"),1,0)</f>
        <v/>
      </c>
      <c r="BH1248">
        <f>IF(AND(AU1248&lt;&gt;"",ISNUMBER(AW1248)),1,0)</f>
        <v/>
      </c>
      <c r="BI1248">
        <f>IF(BH1248=0,0,IF(AND(AW1248&gt;='Tasks Filter'!$F$3,AW1248&lt;='Tasks Filter'!$F$4,OR('Tasks Filter'!$I$3="",ISNUMBER(SEARCH('Tasks Filter'!$I$3,AU1248))),OR('Tasks Filter'!$I$4="",BF1248=IFERROR(MATCH('Tasks Filter'!$I$4,Setup!$L$6:$L$9,0),0)),OR('Tasks Filter'!$I$5="Both",AND('Tasks Filter'!$I$5="Yes",BB1248="✓"),AND('Tasks Filter'!$I$5="No",BB1248&lt;&gt;"✓")),OR('Tasks Filter'!$L$3="",AV1248='Tasks Filter'!$L$3),OR('Tasks Filter'!$L$4="",AZ1248='Tasks Filter'!$L$4),OR('Tasks Filter'!$L$5="",BC1248='Tasks Filter'!$L$5),OR('Tasks Filter'!$O$3="",BD1248='Tasks Filter'!$O$3),OR('Tasks Filter'!$O$4="Yes",BG1248=0)),1,0))</f>
        <v/>
      </c>
      <c r="BJ1248">
        <f>IF(BH1248=0,"",IF('Tasks Filter'!$F$6="Descending",-1,1)*CHOOSE(MATCH('Tasks Filter'!$F$5,Lists!$G$2:$G$6,0),AW1248,BF1248,IFERROR(MATCH(AV1248,Setup!$F$6:$F$15,0),99),IFERROR(MATCH(BC1248,Setup!$H$6:$H$15,0),99),IFERROR(MATCH(AZ1248,Setup!$J$6:$J$11,0),99))*1E+9+(AW1248-40000)*10000+1247)</f>
        <v/>
      </c>
      <c r="BK1248">
        <f>IF(BI1248=1,BJ1248,"")</f>
        <v/>
      </c>
      <c r="BL1248">
        <f>IF(AND(BH1248=1,BG1248=0,N(AW1248)&lt;Setup!$D$7),(AW1248-40000)*10000+1247,"")</f>
        <v/>
      </c>
      <c r="BM1248">
        <f>IF(AND(BH1248=1,AZ1248&lt;&gt;"Cancelled",N(AW1248)&gt;=Dashboard!$AB$3,N(AW1248)&lt;=Dashboard!$AB$3+6),(AW1248-40000)*100000+BF1248*10000+1247,"")</f>
        <v/>
      </c>
      <c r="BN1248">
        <f>IF(AND(BH1248=1,AZ1248&lt;&gt;"Cancelled"),BF1248*10000+1247,"")</f>
        <v/>
      </c>
    </row>
    <row r="1249">
      <c r="AS1249" t="inlineStr">
        <is>
          <t>R</t>
        </is>
      </c>
      <c r="AT1249" t="n">
        <v>1253</v>
      </c>
      <c r="AU1249">
        <f>'Recurring Log'!C1253&amp;""</f>
        <v/>
      </c>
      <c r="AV1249">
        <f>'Recurring Log'!D1253&amp;""</f>
        <v/>
      </c>
      <c r="AW1249">
        <f>IF('Recurring Log'!E1253="","",'Recurring Log'!E1253)</f>
        <v/>
      </c>
      <c r="AX1249">
        <f>IF('Recurring Log'!G1253="","",'Recurring Log'!G1253)</f>
        <v/>
      </c>
      <c r="AY1249">
        <f>IF('Recurring Log'!H1253="","",'Recurring Log'!H1253)</f>
        <v/>
      </c>
      <c r="AZ1249">
        <f>IF(AU1249="","",IF('Recurring Log'!J1253="","Not Started",'Recurring Log'!J1253))</f>
        <v/>
      </c>
      <c r="BA1249">
        <f>'Recurring Log'!L1253&amp;""</f>
        <v/>
      </c>
      <c r="BB1249">
        <f>'Recurring Log'!M1253&amp;""</f>
        <v/>
      </c>
      <c r="BC1249">
        <f>'Recurring Log'!N1253&amp;""</f>
        <v/>
      </c>
      <c r="BD1249">
        <f>'Recurring Log'!O1253&amp;""</f>
        <v/>
      </c>
      <c r="BE1249">
        <f>IF('Recurring Log'!K1253="","",'Recurring Log'!K1253)</f>
        <v/>
      </c>
      <c r="BF1249">
        <f>IFERROR(MATCH(BA1249,Setup!$L$6:$L$9,0),5)</f>
        <v/>
      </c>
      <c r="BG1249">
        <f>IF(OR(AZ1249="Done",AZ1249="Cancelled"),1,0)</f>
        <v/>
      </c>
      <c r="BH1249">
        <f>IF(AND(AU1249&lt;&gt;"",ISNUMBER(AW1249)),1,0)</f>
        <v/>
      </c>
      <c r="BI1249">
        <f>IF(BH1249=0,0,IF(AND(AW1249&gt;='Tasks Filter'!$F$3,AW1249&lt;='Tasks Filter'!$F$4,OR('Tasks Filter'!$I$3="",ISNUMBER(SEARCH('Tasks Filter'!$I$3,AU1249))),OR('Tasks Filter'!$I$4="",BF1249=IFERROR(MATCH('Tasks Filter'!$I$4,Setup!$L$6:$L$9,0),0)),OR('Tasks Filter'!$I$5="Both",AND('Tasks Filter'!$I$5="Yes",BB1249="✓"),AND('Tasks Filter'!$I$5="No",BB1249&lt;&gt;"✓")),OR('Tasks Filter'!$L$3="",AV1249='Tasks Filter'!$L$3),OR('Tasks Filter'!$L$4="",AZ1249='Tasks Filter'!$L$4),OR('Tasks Filter'!$L$5="",BC1249='Tasks Filter'!$L$5),OR('Tasks Filter'!$O$3="",BD1249='Tasks Filter'!$O$3),OR('Tasks Filter'!$O$4="Yes",BG1249=0)),1,0))</f>
        <v/>
      </c>
      <c r="BJ1249">
        <f>IF(BH1249=0,"",IF('Tasks Filter'!$F$6="Descending",-1,1)*CHOOSE(MATCH('Tasks Filter'!$F$5,Lists!$G$2:$G$6,0),AW1249,BF1249,IFERROR(MATCH(AV1249,Setup!$F$6:$F$15,0),99),IFERROR(MATCH(BC1249,Setup!$H$6:$H$15,0),99),IFERROR(MATCH(AZ1249,Setup!$J$6:$J$11,0),99))*1E+9+(AW1249-40000)*10000+1248)</f>
        <v/>
      </c>
      <c r="BK1249">
        <f>IF(BI1249=1,BJ1249,"")</f>
        <v/>
      </c>
      <c r="BL1249">
        <f>IF(AND(BH1249=1,BG1249=0,N(AW1249)&lt;Setup!$D$7),(AW1249-40000)*10000+1248,"")</f>
        <v/>
      </c>
      <c r="BM1249">
        <f>IF(AND(BH1249=1,AZ1249&lt;&gt;"Cancelled",N(AW1249)&gt;=Dashboard!$AB$3,N(AW1249)&lt;=Dashboard!$AB$3+6),(AW1249-40000)*100000+BF1249*10000+1248,"")</f>
        <v/>
      </c>
      <c r="BN1249">
        <f>IF(AND(BH1249=1,AZ1249&lt;&gt;"Cancelled"),BF1249*10000+1248,"")</f>
        <v/>
      </c>
    </row>
    <row r="1250">
      <c r="AS1250" t="inlineStr">
        <is>
          <t>R</t>
        </is>
      </c>
      <c r="AT1250" t="n">
        <v>1254</v>
      </c>
      <c r="AU1250">
        <f>'Recurring Log'!C1254&amp;""</f>
        <v/>
      </c>
      <c r="AV1250">
        <f>'Recurring Log'!D1254&amp;""</f>
        <v/>
      </c>
      <c r="AW1250">
        <f>IF('Recurring Log'!E1254="","",'Recurring Log'!E1254)</f>
        <v/>
      </c>
      <c r="AX1250">
        <f>IF('Recurring Log'!G1254="","",'Recurring Log'!G1254)</f>
        <v/>
      </c>
      <c r="AY1250">
        <f>IF('Recurring Log'!H1254="","",'Recurring Log'!H1254)</f>
        <v/>
      </c>
      <c r="AZ1250">
        <f>IF(AU1250="","",IF('Recurring Log'!J1254="","Not Started",'Recurring Log'!J1254))</f>
        <v/>
      </c>
      <c r="BA1250">
        <f>'Recurring Log'!L1254&amp;""</f>
        <v/>
      </c>
      <c r="BB1250">
        <f>'Recurring Log'!M1254&amp;""</f>
        <v/>
      </c>
      <c r="BC1250">
        <f>'Recurring Log'!N1254&amp;""</f>
        <v/>
      </c>
      <c r="BD1250">
        <f>'Recurring Log'!O1254&amp;""</f>
        <v/>
      </c>
      <c r="BE1250">
        <f>IF('Recurring Log'!K1254="","",'Recurring Log'!K1254)</f>
        <v/>
      </c>
      <c r="BF1250">
        <f>IFERROR(MATCH(BA1250,Setup!$L$6:$L$9,0),5)</f>
        <v/>
      </c>
      <c r="BG1250">
        <f>IF(OR(AZ1250="Done",AZ1250="Cancelled"),1,0)</f>
        <v/>
      </c>
      <c r="BH1250">
        <f>IF(AND(AU1250&lt;&gt;"",ISNUMBER(AW1250)),1,0)</f>
        <v/>
      </c>
      <c r="BI1250">
        <f>IF(BH1250=0,0,IF(AND(AW1250&gt;='Tasks Filter'!$F$3,AW1250&lt;='Tasks Filter'!$F$4,OR('Tasks Filter'!$I$3="",ISNUMBER(SEARCH('Tasks Filter'!$I$3,AU1250))),OR('Tasks Filter'!$I$4="",BF1250=IFERROR(MATCH('Tasks Filter'!$I$4,Setup!$L$6:$L$9,0),0)),OR('Tasks Filter'!$I$5="Both",AND('Tasks Filter'!$I$5="Yes",BB1250="✓"),AND('Tasks Filter'!$I$5="No",BB1250&lt;&gt;"✓")),OR('Tasks Filter'!$L$3="",AV1250='Tasks Filter'!$L$3),OR('Tasks Filter'!$L$4="",AZ1250='Tasks Filter'!$L$4),OR('Tasks Filter'!$L$5="",BC1250='Tasks Filter'!$L$5),OR('Tasks Filter'!$O$3="",BD1250='Tasks Filter'!$O$3),OR('Tasks Filter'!$O$4="Yes",BG1250=0)),1,0))</f>
        <v/>
      </c>
      <c r="BJ1250">
        <f>IF(BH1250=0,"",IF('Tasks Filter'!$F$6="Descending",-1,1)*CHOOSE(MATCH('Tasks Filter'!$F$5,Lists!$G$2:$G$6,0),AW1250,BF1250,IFERROR(MATCH(AV1250,Setup!$F$6:$F$15,0),99),IFERROR(MATCH(BC1250,Setup!$H$6:$H$15,0),99),IFERROR(MATCH(AZ1250,Setup!$J$6:$J$11,0),99))*1E+9+(AW1250-40000)*10000+1249)</f>
        <v/>
      </c>
      <c r="BK1250">
        <f>IF(BI1250=1,BJ1250,"")</f>
        <v/>
      </c>
      <c r="BL1250">
        <f>IF(AND(BH1250=1,BG1250=0,N(AW1250)&lt;Setup!$D$7),(AW1250-40000)*10000+1249,"")</f>
        <v/>
      </c>
      <c r="BM1250">
        <f>IF(AND(BH1250=1,AZ1250&lt;&gt;"Cancelled",N(AW1250)&gt;=Dashboard!$AB$3,N(AW1250)&lt;=Dashboard!$AB$3+6),(AW1250-40000)*100000+BF1250*10000+1249,"")</f>
        <v/>
      </c>
      <c r="BN1250">
        <f>IF(AND(BH1250=1,AZ1250&lt;&gt;"Cancelled"),BF1250*10000+1249,"")</f>
        <v/>
      </c>
    </row>
    <row r="1251">
      <c r="AS1251" t="inlineStr">
        <is>
          <t>R</t>
        </is>
      </c>
      <c r="AT1251" t="n">
        <v>1255</v>
      </c>
      <c r="AU1251">
        <f>'Recurring Log'!C1255&amp;""</f>
        <v/>
      </c>
      <c r="AV1251">
        <f>'Recurring Log'!D1255&amp;""</f>
        <v/>
      </c>
      <c r="AW1251">
        <f>IF('Recurring Log'!E1255="","",'Recurring Log'!E1255)</f>
        <v/>
      </c>
      <c r="AX1251">
        <f>IF('Recurring Log'!G1255="","",'Recurring Log'!G1255)</f>
        <v/>
      </c>
      <c r="AY1251">
        <f>IF('Recurring Log'!H1255="","",'Recurring Log'!H1255)</f>
        <v/>
      </c>
      <c r="AZ1251">
        <f>IF(AU1251="","",IF('Recurring Log'!J1255="","Not Started",'Recurring Log'!J1255))</f>
        <v/>
      </c>
      <c r="BA1251">
        <f>'Recurring Log'!L1255&amp;""</f>
        <v/>
      </c>
      <c r="BB1251">
        <f>'Recurring Log'!M1255&amp;""</f>
        <v/>
      </c>
      <c r="BC1251">
        <f>'Recurring Log'!N1255&amp;""</f>
        <v/>
      </c>
      <c r="BD1251">
        <f>'Recurring Log'!O1255&amp;""</f>
        <v/>
      </c>
      <c r="BE1251">
        <f>IF('Recurring Log'!K1255="","",'Recurring Log'!K1255)</f>
        <v/>
      </c>
      <c r="BF1251">
        <f>IFERROR(MATCH(BA1251,Setup!$L$6:$L$9,0),5)</f>
        <v/>
      </c>
      <c r="BG1251">
        <f>IF(OR(AZ1251="Done",AZ1251="Cancelled"),1,0)</f>
        <v/>
      </c>
      <c r="BH1251">
        <f>IF(AND(AU1251&lt;&gt;"",ISNUMBER(AW1251)),1,0)</f>
        <v/>
      </c>
      <c r="BI1251">
        <f>IF(BH1251=0,0,IF(AND(AW1251&gt;='Tasks Filter'!$F$3,AW1251&lt;='Tasks Filter'!$F$4,OR('Tasks Filter'!$I$3="",ISNUMBER(SEARCH('Tasks Filter'!$I$3,AU1251))),OR('Tasks Filter'!$I$4="",BF1251=IFERROR(MATCH('Tasks Filter'!$I$4,Setup!$L$6:$L$9,0),0)),OR('Tasks Filter'!$I$5="Both",AND('Tasks Filter'!$I$5="Yes",BB1251="✓"),AND('Tasks Filter'!$I$5="No",BB1251&lt;&gt;"✓")),OR('Tasks Filter'!$L$3="",AV1251='Tasks Filter'!$L$3),OR('Tasks Filter'!$L$4="",AZ1251='Tasks Filter'!$L$4),OR('Tasks Filter'!$L$5="",BC1251='Tasks Filter'!$L$5),OR('Tasks Filter'!$O$3="",BD1251='Tasks Filter'!$O$3),OR('Tasks Filter'!$O$4="Yes",BG1251=0)),1,0))</f>
        <v/>
      </c>
      <c r="BJ1251">
        <f>IF(BH1251=0,"",IF('Tasks Filter'!$F$6="Descending",-1,1)*CHOOSE(MATCH('Tasks Filter'!$F$5,Lists!$G$2:$G$6,0),AW1251,BF1251,IFERROR(MATCH(AV1251,Setup!$F$6:$F$15,0),99),IFERROR(MATCH(BC1251,Setup!$H$6:$H$15,0),99),IFERROR(MATCH(AZ1251,Setup!$J$6:$J$11,0),99))*1E+9+(AW1251-40000)*10000+1250)</f>
        <v/>
      </c>
      <c r="BK1251">
        <f>IF(BI1251=1,BJ1251,"")</f>
        <v/>
      </c>
      <c r="BL1251">
        <f>IF(AND(BH1251=1,BG1251=0,N(AW1251)&lt;Setup!$D$7),(AW1251-40000)*10000+1250,"")</f>
        <v/>
      </c>
      <c r="BM1251">
        <f>IF(AND(BH1251=1,AZ1251&lt;&gt;"Cancelled",N(AW1251)&gt;=Dashboard!$AB$3,N(AW1251)&lt;=Dashboard!$AB$3+6),(AW1251-40000)*100000+BF1251*10000+1250,"")</f>
        <v/>
      </c>
      <c r="BN1251">
        <f>IF(AND(BH1251=1,AZ1251&lt;&gt;"Cancelled"),BF1251*10000+1250,"")</f>
        <v/>
      </c>
    </row>
    <row r="1252">
      <c r="AS1252" t="inlineStr">
        <is>
          <t>R</t>
        </is>
      </c>
      <c r="AT1252" t="n">
        <v>1256</v>
      </c>
      <c r="AU1252">
        <f>'Recurring Log'!C1256&amp;""</f>
        <v/>
      </c>
      <c r="AV1252">
        <f>'Recurring Log'!D1256&amp;""</f>
        <v/>
      </c>
      <c r="AW1252">
        <f>IF('Recurring Log'!E1256="","",'Recurring Log'!E1256)</f>
        <v/>
      </c>
      <c r="AX1252">
        <f>IF('Recurring Log'!G1256="","",'Recurring Log'!G1256)</f>
        <v/>
      </c>
      <c r="AY1252">
        <f>IF('Recurring Log'!H1256="","",'Recurring Log'!H1256)</f>
        <v/>
      </c>
      <c r="AZ1252">
        <f>IF(AU1252="","",IF('Recurring Log'!J1256="","Not Started",'Recurring Log'!J1256))</f>
        <v/>
      </c>
      <c r="BA1252">
        <f>'Recurring Log'!L1256&amp;""</f>
        <v/>
      </c>
      <c r="BB1252">
        <f>'Recurring Log'!M1256&amp;""</f>
        <v/>
      </c>
      <c r="BC1252">
        <f>'Recurring Log'!N1256&amp;""</f>
        <v/>
      </c>
      <c r="BD1252">
        <f>'Recurring Log'!O1256&amp;""</f>
        <v/>
      </c>
      <c r="BE1252">
        <f>IF('Recurring Log'!K1256="","",'Recurring Log'!K1256)</f>
        <v/>
      </c>
      <c r="BF1252">
        <f>IFERROR(MATCH(BA1252,Setup!$L$6:$L$9,0),5)</f>
        <v/>
      </c>
      <c r="BG1252">
        <f>IF(OR(AZ1252="Done",AZ1252="Cancelled"),1,0)</f>
        <v/>
      </c>
      <c r="BH1252">
        <f>IF(AND(AU1252&lt;&gt;"",ISNUMBER(AW1252)),1,0)</f>
        <v/>
      </c>
      <c r="BI1252">
        <f>IF(BH1252=0,0,IF(AND(AW1252&gt;='Tasks Filter'!$F$3,AW1252&lt;='Tasks Filter'!$F$4,OR('Tasks Filter'!$I$3="",ISNUMBER(SEARCH('Tasks Filter'!$I$3,AU1252))),OR('Tasks Filter'!$I$4="",BF1252=IFERROR(MATCH('Tasks Filter'!$I$4,Setup!$L$6:$L$9,0),0)),OR('Tasks Filter'!$I$5="Both",AND('Tasks Filter'!$I$5="Yes",BB1252="✓"),AND('Tasks Filter'!$I$5="No",BB1252&lt;&gt;"✓")),OR('Tasks Filter'!$L$3="",AV1252='Tasks Filter'!$L$3),OR('Tasks Filter'!$L$4="",AZ1252='Tasks Filter'!$L$4),OR('Tasks Filter'!$L$5="",BC1252='Tasks Filter'!$L$5),OR('Tasks Filter'!$O$3="",BD1252='Tasks Filter'!$O$3),OR('Tasks Filter'!$O$4="Yes",BG1252=0)),1,0))</f>
        <v/>
      </c>
      <c r="BJ1252">
        <f>IF(BH1252=0,"",IF('Tasks Filter'!$F$6="Descending",-1,1)*CHOOSE(MATCH('Tasks Filter'!$F$5,Lists!$G$2:$G$6,0),AW1252,BF1252,IFERROR(MATCH(AV1252,Setup!$F$6:$F$15,0),99),IFERROR(MATCH(BC1252,Setup!$H$6:$H$15,0),99),IFERROR(MATCH(AZ1252,Setup!$J$6:$J$11,0),99))*1E+9+(AW1252-40000)*10000+1251)</f>
        <v/>
      </c>
      <c r="BK1252">
        <f>IF(BI1252=1,BJ1252,"")</f>
        <v/>
      </c>
      <c r="BL1252">
        <f>IF(AND(BH1252=1,BG1252=0,N(AW1252)&lt;Setup!$D$7),(AW1252-40000)*10000+1251,"")</f>
        <v/>
      </c>
      <c r="BM1252">
        <f>IF(AND(BH1252=1,AZ1252&lt;&gt;"Cancelled",N(AW1252)&gt;=Dashboard!$AB$3,N(AW1252)&lt;=Dashboard!$AB$3+6),(AW1252-40000)*100000+BF1252*10000+1251,"")</f>
        <v/>
      </c>
      <c r="BN1252">
        <f>IF(AND(BH1252=1,AZ1252&lt;&gt;"Cancelled"),BF1252*10000+1251,"")</f>
        <v/>
      </c>
    </row>
    <row r="1253">
      <c r="AS1253" t="inlineStr">
        <is>
          <t>R</t>
        </is>
      </c>
      <c r="AT1253" t="n">
        <v>1257</v>
      </c>
      <c r="AU1253">
        <f>'Recurring Log'!C1257&amp;""</f>
        <v/>
      </c>
      <c r="AV1253">
        <f>'Recurring Log'!D1257&amp;""</f>
        <v/>
      </c>
      <c r="AW1253">
        <f>IF('Recurring Log'!E1257="","",'Recurring Log'!E1257)</f>
        <v/>
      </c>
      <c r="AX1253">
        <f>IF('Recurring Log'!G1257="","",'Recurring Log'!G1257)</f>
        <v/>
      </c>
      <c r="AY1253">
        <f>IF('Recurring Log'!H1257="","",'Recurring Log'!H1257)</f>
        <v/>
      </c>
      <c r="AZ1253">
        <f>IF(AU1253="","",IF('Recurring Log'!J1257="","Not Started",'Recurring Log'!J1257))</f>
        <v/>
      </c>
      <c r="BA1253">
        <f>'Recurring Log'!L1257&amp;""</f>
        <v/>
      </c>
      <c r="BB1253">
        <f>'Recurring Log'!M1257&amp;""</f>
        <v/>
      </c>
      <c r="BC1253">
        <f>'Recurring Log'!N1257&amp;""</f>
        <v/>
      </c>
      <c r="BD1253">
        <f>'Recurring Log'!O1257&amp;""</f>
        <v/>
      </c>
      <c r="BE1253">
        <f>IF('Recurring Log'!K1257="","",'Recurring Log'!K1257)</f>
        <v/>
      </c>
      <c r="BF1253">
        <f>IFERROR(MATCH(BA1253,Setup!$L$6:$L$9,0),5)</f>
        <v/>
      </c>
      <c r="BG1253">
        <f>IF(OR(AZ1253="Done",AZ1253="Cancelled"),1,0)</f>
        <v/>
      </c>
      <c r="BH1253">
        <f>IF(AND(AU1253&lt;&gt;"",ISNUMBER(AW1253)),1,0)</f>
        <v/>
      </c>
      <c r="BI1253">
        <f>IF(BH1253=0,0,IF(AND(AW1253&gt;='Tasks Filter'!$F$3,AW1253&lt;='Tasks Filter'!$F$4,OR('Tasks Filter'!$I$3="",ISNUMBER(SEARCH('Tasks Filter'!$I$3,AU1253))),OR('Tasks Filter'!$I$4="",BF1253=IFERROR(MATCH('Tasks Filter'!$I$4,Setup!$L$6:$L$9,0),0)),OR('Tasks Filter'!$I$5="Both",AND('Tasks Filter'!$I$5="Yes",BB1253="✓"),AND('Tasks Filter'!$I$5="No",BB1253&lt;&gt;"✓")),OR('Tasks Filter'!$L$3="",AV1253='Tasks Filter'!$L$3),OR('Tasks Filter'!$L$4="",AZ1253='Tasks Filter'!$L$4),OR('Tasks Filter'!$L$5="",BC1253='Tasks Filter'!$L$5),OR('Tasks Filter'!$O$3="",BD1253='Tasks Filter'!$O$3),OR('Tasks Filter'!$O$4="Yes",BG1253=0)),1,0))</f>
        <v/>
      </c>
      <c r="BJ1253">
        <f>IF(BH1253=0,"",IF('Tasks Filter'!$F$6="Descending",-1,1)*CHOOSE(MATCH('Tasks Filter'!$F$5,Lists!$G$2:$G$6,0),AW1253,BF1253,IFERROR(MATCH(AV1253,Setup!$F$6:$F$15,0),99),IFERROR(MATCH(BC1253,Setup!$H$6:$H$15,0),99),IFERROR(MATCH(AZ1253,Setup!$J$6:$J$11,0),99))*1E+9+(AW1253-40000)*10000+1252)</f>
        <v/>
      </c>
      <c r="BK1253">
        <f>IF(BI1253=1,BJ1253,"")</f>
        <v/>
      </c>
      <c r="BL1253">
        <f>IF(AND(BH1253=1,BG1253=0,N(AW1253)&lt;Setup!$D$7),(AW1253-40000)*10000+1252,"")</f>
        <v/>
      </c>
      <c r="BM1253">
        <f>IF(AND(BH1253=1,AZ1253&lt;&gt;"Cancelled",N(AW1253)&gt;=Dashboard!$AB$3,N(AW1253)&lt;=Dashboard!$AB$3+6),(AW1253-40000)*100000+BF1253*10000+1252,"")</f>
        <v/>
      </c>
      <c r="BN1253">
        <f>IF(AND(BH1253=1,AZ1253&lt;&gt;"Cancelled"),BF1253*10000+1252,"")</f>
        <v/>
      </c>
    </row>
    <row r="1254">
      <c r="AS1254" t="inlineStr">
        <is>
          <t>R</t>
        </is>
      </c>
      <c r="AT1254" t="n">
        <v>1258</v>
      </c>
      <c r="AU1254">
        <f>'Recurring Log'!C1258&amp;""</f>
        <v/>
      </c>
      <c r="AV1254">
        <f>'Recurring Log'!D1258&amp;""</f>
        <v/>
      </c>
      <c r="AW1254">
        <f>IF('Recurring Log'!E1258="","",'Recurring Log'!E1258)</f>
        <v/>
      </c>
      <c r="AX1254">
        <f>IF('Recurring Log'!G1258="","",'Recurring Log'!G1258)</f>
        <v/>
      </c>
      <c r="AY1254">
        <f>IF('Recurring Log'!H1258="","",'Recurring Log'!H1258)</f>
        <v/>
      </c>
      <c r="AZ1254">
        <f>IF(AU1254="","",IF('Recurring Log'!J1258="","Not Started",'Recurring Log'!J1258))</f>
        <v/>
      </c>
      <c r="BA1254">
        <f>'Recurring Log'!L1258&amp;""</f>
        <v/>
      </c>
      <c r="BB1254">
        <f>'Recurring Log'!M1258&amp;""</f>
        <v/>
      </c>
      <c r="BC1254">
        <f>'Recurring Log'!N1258&amp;""</f>
        <v/>
      </c>
      <c r="BD1254">
        <f>'Recurring Log'!O1258&amp;""</f>
        <v/>
      </c>
      <c r="BE1254">
        <f>IF('Recurring Log'!K1258="","",'Recurring Log'!K1258)</f>
        <v/>
      </c>
      <c r="BF1254">
        <f>IFERROR(MATCH(BA1254,Setup!$L$6:$L$9,0),5)</f>
        <v/>
      </c>
      <c r="BG1254">
        <f>IF(OR(AZ1254="Done",AZ1254="Cancelled"),1,0)</f>
        <v/>
      </c>
      <c r="BH1254">
        <f>IF(AND(AU1254&lt;&gt;"",ISNUMBER(AW1254)),1,0)</f>
        <v/>
      </c>
      <c r="BI1254">
        <f>IF(BH1254=0,0,IF(AND(AW1254&gt;='Tasks Filter'!$F$3,AW1254&lt;='Tasks Filter'!$F$4,OR('Tasks Filter'!$I$3="",ISNUMBER(SEARCH('Tasks Filter'!$I$3,AU1254))),OR('Tasks Filter'!$I$4="",BF1254=IFERROR(MATCH('Tasks Filter'!$I$4,Setup!$L$6:$L$9,0),0)),OR('Tasks Filter'!$I$5="Both",AND('Tasks Filter'!$I$5="Yes",BB1254="✓"),AND('Tasks Filter'!$I$5="No",BB1254&lt;&gt;"✓")),OR('Tasks Filter'!$L$3="",AV1254='Tasks Filter'!$L$3),OR('Tasks Filter'!$L$4="",AZ1254='Tasks Filter'!$L$4),OR('Tasks Filter'!$L$5="",BC1254='Tasks Filter'!$L$5),OR('Tasks Filter'!$O$3="",BD1254='Tasks Filter'!$O$3),OR('Tasks Filter'!$O$4="Yes",BG1254=0)),1,0))</f>
        <v/>
      </c>
      <c r="BJ1254">
        <f>IF(BH1254=0,"",IF('Tasks Filter'!$F$6="Descending",-1,1)*CHOOSE(MATCH('Tasks Filter'!$F$5,Lists!$G$2:$G$6,0),AW1254,BF1254,IFERROR(MATCH(AV1254,Setup!$F$6:$F$15,0),99),IFERROR(MATCH(BC1254,Setup!$H$6:$H$15,0),99),IFERROR(MATCH(AZ1254,Setup!$J$6:$J$11,0),99))*1E+9+(AW1254-40000)*10000+1253)</f>
        <v/>
      </c>
      <c r="BK1254">
        <f>IF(BI1254=1,BJ1254,"")</f>
        <v/>
      </c>
      <c r="BL1254">
        <f>IF(AND(BH1254=1,BG1254=0,N(AW1254)&lt;Setup!$D$7),(AW1254-40000)*10000+1253,"")</f>
        <v/>
      </c>
      <c r="BM1254">
        <f>IF(AND(BH1254=1,AZ1254&lt;&gt;"Cancelled",N(AW1254)&gt;=Dashboard!$AB$3,N(AW1254)&lt;=Dashboard!$AB$3+6),(AW1254-40000)*100000+BF1254*10000+1253,"")</f>
        <v/>
      </c>
      <c r="BN1254">
        <f>IF(AND(BH1254=1,AZ1254&lt;&gt;"Cancelled"),BF1254*10000+1253,"")</f>
        <v/>
      </c>
    </row>
    <row r="1255">
      <c r="AS1255" t="inlineStr">
        <is>
          <t>R</t>
        </is>
      </c>
      <c r="AT1255" t="n">
        <v>1259</v>
      </c>
      <c r="AU1255">
        <f>'Recurring Log'!C1259&amp;""</f>
        <v/>
      </c>
      <c r="AV1255">
        <f>'Recurring Log'!D1259&amp;""</f>
        <v/>
      </c>
      <c r="AW1255">
        <f>IF('Recurring Log'!E1259="","",'Recurring Log'!E1259)</f>
        <v/>
      </c>
      <c r="AX1255">
        <f>IF('Recurring Log'!G1259="","",'Recurring Log'!G1259)</f>
        <v/>
      </c>
      <c r="AY1255">
        <f>IF('Recurring Log'!H1259="","",'Recurring Log'!H1259)</f>
        <v/>
      </c>
      <c r="AZ1255">
        <f>IF(AU1255="","",IF('Recurring Log'!J1259="","Not Started",'Recurring Log'!J1259))</f>
        <v/>
      </c>
      <c r="BA1255">
        <f>'Recurring Log'!L1259&amp;""</f>
        <v/>
      </c>
      <c r="BB1255">
        <f>'Recurring Log'!M1259&amp;""</f>
        <v/>
      </c>
      <c r="BC1255">
        <f>'Recurring Log'!N1259&amp;""</f>
        <v/>
      </c>
      <c r="BD1255">
        <f>'Recurring Log'!O1259&amp;""</f>
        <v/>
      </c>
      <c r="BE1255">
        <f>IF('Recurring Log'!K1259="","",'Recurring Log'!K1259)</f>
        <v/>
      </c>
      <c r="BF1255">
        <f>IFERROR(MATCH(BA1255,Setup!$L$6:$L$9,0),5)</f>
        <v/>
      </c>
      <c r="BG1255">
        <f>IF(OR(AZ1255="Done",AZ1255="Cancelled"),1,0)</f>
        <v/>
      </c>
      <c r="BH1255">
        <f>IF(AND(AU1255&lt;&gt;"",ISNUMBER(AW1255)),1,0)</f>
        <v/>
      </c>
      <c r="BI1255">
        <f>IF(BH1255=0,0,IF(AND(AW1255&gt;='Tasks Filter'!$F$3,AW1255&lt;='Tasks Filter'!$F$4,OR('Tasks Filter'!$I$3="",ISNUMBER(SEARCH('Tasks Filter'!$I$3,AU1255))),OR('Tasks Filter'!$I$4="",BF1255=IFERROR(MATCH('Tasks Filter'!$I$4,Setup!$L$6:$L$9,0),0)),OR('Tasks Filter'!$I$5="Both",AND('Tasks Filter'!$I$5="Yes",BB1255="✓"),AND('Tasks Filter'!$I$5="No",BB1255&lt;&gt;"✓")),OR('Tasks Filter'!$L$3="",AV1255='Tasks Filter'!$L$3),OR('Tasks Filter'!$L$4="",AZ1255='Tasks Filter'!$L$4),OR('Tasks Filter'!$L$5="",BC1255='Tasks Filter'!$L$5),OR('Tasks Filter'!$O$3="",BD1255='Tasks Filter'!$O$3),OR('Tasks Filter'!$O$4="Yes",BG1255=0)),1,0))</f>
        <v/>
      </c>
      <c r="BJ1255">
        <f>IF(BH1255=0,"",IF('Tasks Filter'!$F$6="Descending",-1,1)*CHOOSE(MATCH('Tasks Filter'!$F$5,Lists!$G$2:$G$6,0),AW1255,BF1255,IFERROR(MATCH(AV1255,Setup!$F$6:$F$15,0),99),IFERROR(MATCH(BC1255,Setup!$H$6:$H$15,0),99),IFERROR(MATCH(AZ1255,Setup!$J$6:$J$11,0),99))*1E+9+(AW1255-40000)*10000+1254)</f>
        <v/>
      </c>
      <c r="BK1255">
        <f>IF(BI1255=1,BJ1255,"")</f>
        <v/>
      </c>
      <c r="BL1255">
        <f>IF(AND(BH1255=1,BG1255=0,N(AW1255)&lt;Setup!$D$7),(AW1255-40000)*10000+1254,"")</f>
        <v/>
      </c>
      <c r="BM1255">
        <f>IF(AND(BH1255=1,AZ1255&lt;&gt;"Cancelled",N(AW1255)&gt;=Dashboard!$AB$3,N(AW1255)&lt;=Dashboard!$AB$3+6),(AW1255-40000)*100000+BF1255*10000+1254,"")</f>
        <v/>
      </c>
      <c r="BN1255">
        <f>IF(AND(BH1255=1,AZ1255&lt;&gt;"Cancelled"),BF1255*10000+1254,"")</f>
        <v/>
      </c>
    </row>
    <row r="1256">
      <c r="AS1256" t="inlineStr">
        <is>
          <t>R</t>
        </is>
      </c>
      <c r="AT1256" t="n">
        <v>1260</v>
      </c>
      <c r="AU1256">
        <f>'Recurring Log'!C1260&amp;""</f>
        <v/>
      </c>
      <c r="AV1256">
        <f>'Recurring Log'!D1260&amp;""</f>
        <v/>
      </c>
      <c r="AW1256">
        <f>IF('Recurring Log'!E1260="","",'Recurring Log'!E1260)</f>
        <v/>
      </c>
      <c r="AX1256">
        <f>IF('Recurring Log'!G1260="","",'Recurring Log'!G1260)</f>
        <v/>
      </c>
      <c r="AY1256">
        <f>IF('Recurring Log'!H1260="","",'Recurring Log'!H1260)</f>
        <v/>
      </c>
      <c r="AZ1256">
        <f>IF(AU1256="","",IF('Recurring Log'!J1260="","Not Started",'Recurring Log'!J1260))</f>
        <v/>
      </c>
      <c r="BA1256">
        <f>'Recurring Log'!L1260&amp;""</f>
        <v/>
      </c>
      <c r="BB1256">
        <f>'Recurring Log'!M1260&amp;""</f>
        <v/>
      </c>
      <c r="BC1256">
        <f>'Recurring Log'!N1260&amp;""</f>
        <v/>
      </c>
      <c r="BD1256">
        <f>'Recurring Log'!O1260&amp;""</f>
        <v/>
      </c>
      <c r="BE1256">
        <f>IF('Recurring Log'!K1260="","",'Recurring Log'!K1260)</f>
        <v/>
      </c>
      <c r="BF1256">
        <f>IFERROR(MATCH(BA1256,Setup!$L$6:$L$9,0),5)</f>
        <v/>
      </c>
      <c r="BG1256">
        <f>IF(OR(AZ1256="Done",AZ1256="Cancelled"),1,0)</f>
        <v/>
      </c>
      <c r="BH1256">
        <f>IF(AND(AU1256&lt;&gt;"",ISNUMBER(AW1256)),1,0)</f>
        <v/>
      </c>
      <c r="BI1256">
        <f>IF(BH1256=0,0,IF(AND(AW1256&gt;='Tasks Filter'!$F$3,AW1256&lt;='Tasks Filter'!$F$4,OR('Tasks Filter'!$I$3="",ISNUMBER(SEARCH('Tasks Filter'!$I$3,AU1256))),OR('Tasks Filter'!$I$4="",BF1256=IFERROR(MATCH('Tasks Filter'!$I$4,Setup!$L$6:$L$9,0),0)),OR('Tasks Filter'!$I$5="Both",AND('Tasks Filter'!$I$5="Yes",BB1256="✓"),AND('Tasks Filter'!$I$5="No",BB1256&lt;&gt;"✓")),OR('Tasks Filter'!$L$3="",AV1256='Tasks Filter'!$L$3),OR('Tasks Filter'!$L$4="",AZ1256='Tasks Filter'!$L$4),OR('Tasks Filter'!$L$5="",BC1256='Tasks Filter'!$L$5),OR('Tasks Filter'!$O$3="",BD1256='Tasks Filter'!$O$3),OR('Tasks Filter'!$O$4="Yes",BG1256=0)),1,0))</f>
        <v/>
      </c>
      <c r="BJ1256">
        <f>IF(BH1256=0,"",IF('Tasks Filter'!$F$6="Descending",-1,1)*CHOOSE(MATCH('Tasks Filter'!$F$5,Lists!$G$2:$G$6,0),AW1256,BF1256,IFERROR(MATCH(AV1256,Setup!$F$6:$F$15,0),99),IFERROR(MATCH(BC1256,Setup!$H$6:$H$15,0),99),IFERROR(MATCH(AZ1256,Setup!$J$6:$J$11,0),99))*1E+9+(AW1256-40000)*10000+1255)</f>
        <v/>
      </c>
      <c r="BK1256">
        <f>IF(BI1256=1,BJ1256,"")</f>
        <v/>
      </c>
      <c r="BL1256">
        <f>IF(AND(BH1256=1,BG1256=0,N(AW1256)&lt;Setup!$D$7),(AW1256-40000)*10000+1255,"")</f>
        <v/>
      </c>
      <c r="BM1256">
        <f>IF(AND(BH1256=1,AZ1256&lt;&gt;"Cancelled",N(AW1256)&gt;=Dashboard!$AB$3,N(AW1256)&lt;=Dashboard!$AB$3+6),(AW1256-40000)*100000+BF1256*10000+1255,"")</f>
        <v/>
      </c>
      <c r="BN1256">
        <f>IF(AND(BH1256=1,AZ1256&lt;&gt;"Cancelled"),BF1256*10000+1255,"")</f>
        <v/>
      </c>
    </row>
    <row r="1257">
      <c r="AS1257" t="inlineStr">
        <is>
          <t>R</t>
        </is>
      </c>
      <c r="AT1257" t="n">
        <v>1261</v>
      </c>
      <c r="AU1257">
        <f>'Recurring Log'!C1261&amp;""</f>
        <v/>
      </c>
      <c r="AV1257">
        <f>'Recurring Log'!D1261&amp;""</f>
        <v/>
      </c>
      <c r="AW1257">
        <f>IF('Recurring Log'!E1261="","",'Recurring Log'!E1261)</f>
        <v/>
      </c>
      <c r="AX1257">
        <f>IF('Recurring Log'!G1261="","",'Recurring Log'!G1261)</f>
        <v/>
      </c>
      <c r="AY1257">
        <f>IF('Recurring Log'!H1261="","",'Recurring Log'!H1261)</f>
        <v/>
      </c>
      <c r="AZ1257">
        <f>IF(AU1257="","",IF('Recurring Log'!J1261="","Not Started",'Recurring Log'!J1261))</f>
        <v/>
      </c>
      <c r="BA1257">
        <f>'Recurring Log'!L1261&amp;""</f>
        <v/>
      </c>
      <c r="BB1257">
        <f>'Recurring Log'!M1261&amp;""</f>
        <v/>
      </c>
      <c r="BC1257">
        <f>'Recurring Log'!N1261&amp;""</f>
        <v/>
      </c>
      <c r="BD1257">
        <f>'Recurring Log'!O1261&amp;""</f>
        <v/>
      </c>
      <c r="BE1257">
        <f>IF('Recurring Log'!K1261="","",'Recurring Log'!K1261)</f>
        <v/>
      </c>
      <c r="BF1257">
        <f>IFERROR(MATCH(BA1257,Setup!$L$6:$L$9,0),5)</f>
        <v/>
      </c>
      <c r="BG1257">
        <f>IF(OR(AZ1257="Done",AZ1257="Cancelled"),1,0)</f>
        <v/>
      </c>
      <c r="BH1257">
        <f>IF(AND(AU1257&lt;&gt;"",ISNUMBER(AW1257)),1,0)</f>
        <v/>
      </c>
      <c r="BI1257">
        <f>IF(BH1257=0,0,IF(AND(AW1257&gt;='Tasks Filter'!$F$3,AW1257&lt;='Tasks Filter'!$F$4,OR('Tasks Filter'!$I$3="",ISNUMBER(SEARCH('Tasks Filter'!$I$3,AU1257))),OR('Tasks Filter'!$I$4="",BF1257=IFERROR(MATCH('Tasks Filter'!$I$4,Setup!$L$6:$L$9,0),0)),OR('Tasks Filter'!$I$5="Both",AND('Tasks Filter'!$I$5="Yes",BB1257="✓"),AND('Tasks Filter'!$I$5="No",BB1257&lt;&gt;"✓")),OR('Tasks Filter'!$L$3="",AV1257='Tasks Filter'!$L$3),OR('Tasks Filter'!$L$4="",AZ1257='Tasks Filter'!$L$4),OR('Tasks Filter'!$L$5="",BC1257='Tasks Filter'!$L$5),OR('Tasks Filter'!$O$3="",BD1257='Tasks Filter'!$O$3),OR('Tasks Filter'!$O$4="Yes",BG1257=0)),1,0))</f>
        <v/>
      </c>
      <c r="BJ1257">
        <f>IF(BH1257=0,"",IF('Tasks Filter'!$F$6="Descending",-1,1)*CHOOSE(MATCH('Tasks Filter'!$F$5,Lists!$G$2:$G$6,0),AW1257,BF1257,IFERROR(MATCH(AV1257,Setup!$F$6:$F$15,0),99),IFERROR(MATCH(BC1257,Setup!$H$6:$H$15,0),99),IFERROR(MATCH(AZ1257,Setup!$J$6:$J$11,0),99))*1E+9+(AW1257-40000)*10000+1256)</f>
        <v/>
      </c>
      <c r="BK1257">
        <f>IF(BI1257=1,BJ1257,"")</f>
        <v/>
      </c>
      <c r="BL1257">
        <f>IF(AND(BH1257=1,BG1257=0,N(AW1257)&lt;Setup!$D$7),(AW1257-40000)*10000+1256,"")</f>
        <v/>
      </c>
      <c r="BM1257">
        <f>IF(AND(BH1257=1,AZ1257&lt;&gt;"Cancelled",N(AW1257)&gt;=Dashboard!$AB$3,N(AW1257)&lt;=Dashboard!$AB$3+6),(AW1257-40000)*100000+BF1257*10000+1256,"")</f>
        <v/>
      </c>
      <c r="BN1257">
        <f>IF(AND(BH1257=1,AZ1257&lt;&gt;"Cancelled"),BF1257*10000+1256,"")</f>
        <v/>
      </c>
    </row>
    <row r="1258">
      <c r="AS1258" t="inlineStr">
        <is>
          <t>R</t>
        </is>
      </c>
      <c r="AT1258" t="n">
        <v>1262</v>
      </c>
      <c r="AU1258">
        <f>'Recurring Log'!C1262&amp;""</f>
        <v/>
      </c>
      <c r="AV1258">
        <f>'Recurring Log'!D1262&amp;""</f>
        <v/>
      </c>
      <c r="AW1258">
        <f>IF('Recurring Log'!E1262="","",'Recurring Log'!E1262)</f>
        <v/>
      </c>
      <c r="AX1258">
        <f>IF('Recurring Log'!G1262="","",'Recurring Log'!G1262)</f>
        <v/>
      </c>
      <c r="AY1258">
        <f>IF('Recurring Log'!H1262="","",'Recurring Log'!H1262)</f>
        <v/>
      </c>
      <c r="AZ1258">
        <f>IF(AU1258="","",IF('Recurring Log'!J1262="","Not Started",'Recurring Log'!J1262))</f>
        <v/>
      </c>
      <c r="BA1258">
        <f>'Recurring Log'!L1262&amp;""</f>
        <v/>
      </c>
      <c r="BB1258">
        <f>'Recurring Log'!M1262&amp;""</f>
        <v/>
      </c>
      <c r="BC1258">
        <f>'Recurring Log'!N1262&amp;""</f>
        <v/>
      </c>
      <c r="BD1258">
        <f>'Recurring Log'!O1262&amp;""</f>
        <v/>
      </c>
      <c r="BE1258">
        <f>IF('Recurring Log'!K1262="","",'Recurring Log'!K1262)</f>
        <v/>
      </c>
      <c r="BF1258">
        <f>IFERROR(MATCH(BA1258,Setup!$L$6:$L$9,0),5)</f>
        <v/>
      </c>
      <c r="BG1258">
        <f>IF(OR(AZ1258="Done",AZ1258="Cancelled"),1,0)</f>
        <v/>
      </c>
      <c r="BH1258">
        <f>IF(AND(AU1258&lt;&gt;"",ISNUMBER(AW1258)),1,0)</f>
        <v/>
      </c>
      <c r="BI1258">
        <f>IF(BH1258=0,0,IF(AND(AW1258&gt;='Tasks Filter'!$F$3,AW1258&lt;='Tasks Filter'!$F$4,OR('Tasks Filter'!$I$3="",ISNUMBER(SEARCH('Tasks Filter'!$I$3,AU1258))),OR('Tasks Filter'!$I$4="",BF1258=IFERROR(MATCH('Tasks Filter'!$I$4,Setup!$L$6:$L$9,0),0)),OR('Tasks Filter'!$I$5="Both",AND('Tasks Filter'!$I$5="Yes",BB1258="✓"),AND('Tasks Filter'!$I$5="No",BB1258&lt;&gt;"✓")),OR('Tasks Filter'!$L$3="",AV1258='Tasks Filter'!$L$3),OR('Tasks Filter'!$L$4="",AZ1258='Tasks Filter'!$L$4),OR('Tasks Filter'!$L$5="",BC1258='Tasks Filter'!$L$5),OR('Tasks Filter'!$O$3="",BD1258='Tasks Filter'!$O$3),OR('Tasks Filter'!$O$4="Yes",BG1258=0)),1,0))</f>
        <v/>
      </c>
      <c r="BJ1258">
        <f>IF(BH1258=0,"",IF('Tasks Filter'!$F$6="Descending",-1,1)*CHOOSE(MATCH('Tasks Filter'!$F$5,Lists!$G$2:$G$6,0),AW1258,BF1258,IFERROR(MATCH(AV1258,Setup!$F$6:$F$15,0),99),IFERROR(MATCH(BC1258,Setup!$H$6:$H$15,0),99),IFERROR(MATCH(AZ1258,Setup!$J$6:$J$11,0),99))*1E+9+(AW1258-40000)*10000+1257)</f>
        <v/>
      </c>
      <c r="BK1258">
        <f>IF(BI1258=1,BJ1258,"")</f>
        <v/>
      </c>
      <c r="BL1258">
        <f>IF(AND(BH1258=1,BG1258=0,N(AW1258)&lt;Setup!$D$7),(AW1258-40000)*10000+1257,"")</f>
        <v/>
      </c>
      <c r="BM1258">
        <f>IF(AND(BH1258=1,AZ1258&lt;&gt;"Cancelled",N(AW1258)&gt;=Dashboard!$AB$3,N(AW1258)&lt;=Dashboard!$AB$3+6),(AW1258-40000)*100000+BF1258*10000+1257,"")</f>
        <v/>
      </c>
      <c r="BN1258">
        <f>IF(AND(BH1258=1,AZ1258&lt;&gt;"Cancelled"),BF1258*10000+1257,"")</f>
        <v/>
      </c>
    </row>
    <row r="1259">
      <c r="AS1259" t="inlineStr">
        <is>
          <t>R</t>
        </is>
      </c>
      <c r="AT1259" t="n">
        <v>1263</v>
      </c>
      <c r="AU1259">
        <f>'Recurring Log'!C1263&amp;""</f>
        <v/>
      </c>
      <c r="AV1259">
        <f>'Recurring Log'!D1263&amp;""</f>
        <v/>
      </c>
      <c r="AW1259">
        <f>IF('Recurring Log'!E1263="","",'Recurring Log'!E1263)</f>
        <v/>
      </c>
      <c r="AX1259">
        <f>IF('Recurring Log'!G1263="","",'Recurring Log'!G1263)</f>
        <v/>
      </c>
      <c r="AY1259">
        <f>IF('Recurring Log'!H1263="","",'Recurring Log'!H1263)</f>
        <v/>
      </c>
      <c r="AZ1259">
        <f>IF(AU1259="","",IF('Recurring Log'!J1263="","Not Started",'Recurring Log'!J1263))</f>
        <v/>
      </c>
      <c r="BA1259">
        <f>'Recurring Log'!L1263&amp;""</f>
        <v/>
      </c>
      <c r="BB1259">
        <f>'Recurring Log'!M1263&amp;""</f>
        <v/>
      </c>
      <c r="BC1259">
        <f>'Recurring Log'!N1263&amp;""</f>
        <v/>
      </c>
      <c r="BD1259">
        <f>'Recurring Log'!O1263&amp;""</f>
        <v/>
      </c>
      <c r="BE1259">
        <f>IF('Recurring Log'!K1263="","",'Recurring Log'!K1263)</f>
        <v/>
      </c>
      <c r="BF1259">
        <f>IFERROR(MATCH(BA1259,Setup!$L$6:$L$9,0),5)</f>
        <v/>
      </c>
      <c r="BG1259">
        <f>IF(OR(AZ1259="Done",AZ1259="Cancelled"),1,0)</f>
        <v/>
      </c>
      <c r="BH1259">
        <f>IF(AND(AU1259&lt;&gt;"",ISNUMBER(AW1259)),1,0)</f>
        <v/>
      </c>
      <c r="BI1259">
        <f>IF(BH1259=0,0,IF(AND(AW1259&gt;='Tasks Filter'!$F$3,AW1259&lt;='Tasks Filter'!$F$4,OR('Tasks Filter'!$I$3="",ISNUMBER(SEARCH('Tasks Filter'!$I$3,AU1259))),OR('Tasks Filter'!$I$4="",BF1259=IFERROR(MATCH('Tasks Filter'!$I$4,Setup!$L$6:$L$9,0),0)),OR('Tasks Filter'!$I$5="Both",AND('Tasks Filter'!$I$5="Yes",BB1259="✓"),AND('Tasks Filter'!$I$5="No",BB1259&lt;&gt;"✓")),OR('Tasks Filter'!$L$3="",AV1259='Tasks Filter'!$L$3),OR('Tasks Filter'!$L$4="",AZ1259='Tasks Filter'!$L$4),OR('Tasks Filter'!$L$5="",BC1259='Tasks Filter'!$L$5),OR('Tasks Filter'!$O$3="",BD1259='Tasks Filter'!$O$3),OR('Tasks Filter'!$O$4="Yes",BG1259=0)),1,0))</f>
        <v/>
      </c>
      <c r="BJ1259">
        <f>IF(BH1259=0,"",IF('Tasks Filter'!$F$6="Descending",-1,1)*CHOOSE(MATCH('Tasks Filter'!$F$5,Lists!$G$2:$G$6,0),AW1259,BF1259,IFERROR(MATCH(AV1259,Setup!$F$6:$F$15,0),99),IFERROR(MATCH(BC1259,Setup!$H$6:$H$15,0),99),IFERROR(MATCH(AZ1259,Setup!$J$6:$J$11,0),99))*1E+9+(AW1259-40000)*10000+1258)</f>
        <v/>
      </c>
      <c r="BK1259">
        <f>IF(BI1259=1,BJ1259,"")</f>
        <v/>
      </c>
      <c r="BL1259">
        <f>IF(AND(BH1259=1,BG1259=0,N(AW1259)&lt;Setup!$D$7),(AW1259-40000)*10000+1258,"")</f>
        <v/>
      </c>
      <c r="BM1259">
        <f>IF(AND(BH1259=1,AZ1259&lt;&gt;"Cancelled",N(AW1259)&gt;=Dashboard!$AB$3,N(AW1259)&lt;=Dashboard!$AB$3+6),(AW1259-40000)*100000+BF1259*10000+1258,"")</f>
        <v/>
      </c>
      <c r="BN1259">
        <f>IF(AND(BH1259=1,AZ1259&lt;&gt;"Cancelled"),BF1259*10000+1258,"")</f>
        <v/>
      </c>
    </row>
    <row r="1260">
      <c r="AS1260" t="inlineStr">
        <is>
          <t>R</t>
        </is>
      </c>
      <c r="AT1260" t="n">
        <v>1264</v>
      </c>
      <c r="AU1260">
        <f>'Recurring Log'!C1264&amp;""</f>
        <v/>
      </c>
      <c r="AV1260">
        <f>'Recurring Log'!D1264&amp;""</f>
        <v/>
      </c>
      <c r="AW1260">
        <f>IF('Recurring Log'!E1264="","",'Recurring Log'!E1264)</f>
        <v/>
      </c>
      <c r="AX1260">
        <f>IF('Recurring Log'!G1264="","",'Recurring Log'!G1264)</f>
        <v/>
      </c>
      <c r="AY1260">
        <f>IF('Recurring Log'!H1264="","",'Recurring Log'!H1264)</f>
        <v/>
      </c>
      <c r="AZ1260">
        <f>IF(AU1260="","",IF('Recurring Log'!J1264="","Not Started",'Recurring Log'!J1264))</f>
        <v/>
      </c>
      <c r="BA1260">
        <f>'Recurring Log'!L1264&amp;""</f>
        <v/>
      </c>
      <c r="BB1260">
        <f>'Recurring Log'!M1264&amp;""</f>
        <v/>
      </c>
      <c r="BC1260">
        <f>'Recurring Log'!N1264&amp;""</f>
        <v/>
      </c>
      <c r="BD1260">
        <f>'Recurring Log'!O1264&amp;""</f>
        <v/>
      </c>
      <c r="BE1260">
        <f>IF('Recurring Log'!K1264="","",'Recurring Log'!K1264)</f>
        <v/>
      </c>
      <c r="BF1260">
        <f>IFERROR(MATCH(BA1260,Setup!$L$6:$L$9,0),5)</f>
        <v/>
      </c>
      <c r="BG1260">
        <f>IF(OR(AZ1260="Done",AZ1260="Cancelled"),1,0)</f>
        <v/>
      </c>
      <c r="BH1260">
        <f>IF(AND(AU1260&lt;&gt;"",ISNUMBER(AW1260)),1,0)</f>
        <v/>
      </c>
      <c r="BI1260">
        <f>IF(BH1260=0,0,IF(AND(AW1260&gt;='Tasks Filter'!$F$3,AW1260&lt;='Tasks Filter'!$F$4,OR('Tasks Filter'!$I$3="",ISNUMBER(SEARCH('Tasks Filter'!$I$3,AU1260))),OR('Tasks Filter'!$I$4="",BF1260=IFERROR(MATCH('Tasks Filter'!$I$4,Setup!$L$6:$L$9,0),0)),OR('Tasks Filter'!$I$5="Both",AND('Tasks Filter'!$I$5="Yes",BB1260="✓"),AND('Tasks Filter'!$I$5="No",BB1260&lt;&gt;"✓")),OR('Tasks Filter'!$L$3="",AV1260='Tasks Filter'!$L$3),OR('Tasks Filter'!$L$4="",AZ1260='Tasks Filter'!$L$4),OR('Tasks Filter'!$L$5="",BC1260='Tasks Filter'!$L$5),OR('Tasks Filter'!$O$3="",BD1260='Tasks Filter'!$O$3),OR('Tasks Filter'!$O$4="Yes",BG1260=0)),1,0))</f>
        <v/>
      </c>
      <c r="BJ1260">
        <f>IF(BH1260=0,"",IF('Tasks Filter'!$F$6="Descending",-1,1)*CHOOSE(MATCH('Tasks Filter'!$F$5,Lists!$G$2:$G$6,0),AW1260,BF1260,IFERROR(MATCH(AV1260,Setup!$F$6:$F$15,0),99),IFERROR(MATCH(BC1260,Setup!$H$6:$H$15,0),99),IFERROR(MATCH(AZ1260,Setup!$J$6:$J$11,0),99))*1E+9+(AW1260-40000)*10000+1259)</f>
        <v/>
      </c>
      <c r="BK1260">
        <f>IF(BI1260=1,BJ1260,"")</f>
        <v/>
      </c>
      <c r="BL1260">
        <f>IF(AND(BH1260=1,BG1260=0,N(AW1260)&lt;Setup!$D$7),(AW1260-40000)*10000+1259,"")</f>
        <v/>
      </c>
      <c r="BM1260">
        <f>IF(AND(BH1260=1,AZ1260&lt;&gt;"Cancelled",N(AW1260)&gt;=Dashboard!$AB$3,N(AW1260)&lt;=Dashboard!$AB$3+6),(AW1260-40000)*100000+BF1260*10000+1259,"")</f>
        <v/>
      </c>
      <c r="BN1260">
        <f>IF(AND(BH1260=1,AZ1260&lt;&gt;"Cancelled"),BF1260*10000+1259,"")</f>
        <v/>
      </c>
    </row>
    <row r="1261">
      <c r="AS1261" t="inlineStr">
        <is>
          <t>R</t>
        </is>
      </c>
      <c r="AT1261" t="n">
        <v>1265</v>
      </c>
      <c r="AU1261">
        <f>'Recurring Log'!C1265&amp;""</f>
        <v/>
      </c>
      <c r="AV1261">
        <f>'Recurring Log'!D1265&amp;""</f>
        <v/>
      </c>
      <c r="AW1261">
        <f>IF('Recurring Log'!E1265="","",'Recurring Log'!E1265)</f>
        <v/>
      </c>
      <c r="AX1261">
        <f>IF('Recurring Log'!G1265="","",'Recurring Log'!G1265)</f>
        <v/>
      </c>
      <c r="AY1261">
        <f>IF('Recurring Log'!H1265="","",'Recurring Log'!H1265)</f>
        <v/>
      </c>
      <c r="AZ1261">
        <f>IF(AU1261="","",IF('Recurring Log'!J1265="","Not Started",'Recurring Log'!J1265))</f>
        <v/>
      </c>
      <c r="BA1261">
        <f>'Recurring Log'!L1265&amp;""</f>
        <v/>
      </c>
      <c r="BB1261">
        <f>'Recurring Log'!M1265&amp;""</f>
        <v/>
      </c>
      <c r="BC1261">
        <f>'Recurring Log'!N1265&amp;""</f>
        <v/>
      </c>
      <c r="BD1261">
        <f>'Recurring Log'!O1265&amp;""</f>
        <v/>
      </c>
      <c r="BE1261">
        <f>IF('Recurring Log'!K1265="","",'Recurring Log'!K1265)</f>
        <v/>
      </c>
      <c r="BF1261">
        <f>IFERROR(MATCH(BA1261,Setup!$L$6:$L$9,0),5)</f>
        <v/>
      </c>
      <c r="BG1261">
        <f>IF(OR(AZ1261="Done",AZ1261="Cancelled"),1,0)</f>
        <v/>
      </c>
      <c r="BH1261">
        <f>IF(AND(AU1261&lt;&gt;"",ISNUMBER(AW1261)),1,0)</f>
        <v/>
      </c>
      <c r="BI1261">
        <f>IF(BH1261=0,0,IF(AND(AW1261&gt;='Tasks Filter'!$F$3,AW1261&lt;='Tasks Filter'!$F$4,OR('Tasks Filter'!$I$3="",ISNUMBER(SEARCH('Tasks Filter'!$I$3,AU1261))),OR('Tasks Filter'!$I$4="",BF1261=IFERROR(MATCH('Tasks Filter'!$I$4,Setup!$L$6:$L$9,0),0)),OR('Tasks Filter'!$I$5="Both",AND('Tasks Filter'!$I$5="Yes",BB1261="✓"),AND('Tasks Filter'!$I$5="No",BB1261&lt;&gt;"✓")),OR('Tasks Filter'!$L$3="",AV1261='Tasks Filter'!$L$3),OR('Tasks Filter'!$L$4="",AZ1261='Tasks Filter'!$L$4),OR('Tasks Filter'!$L$5="",BC1261='Tasks Filter'!$L$5),OR('Tasks Filter'!$O$3="",BD1261='Tasks Filter'!$O$3),OR('Tasks Filter'!$O$4="Yes",BG1261=0)),1,0))</f>
        <v/>
      </c>
      <c r="BJ1261">
        <f>IF(BH1261=0,"",IF('Tasks Filter'!$F$6="Descending",-1,1)*CHOOSE(MATCH('Tasks Filter'!$F$5,Lists!$G$2:$G$6,0),AW1261,BF1261,IFERROR(MATCH(AV1261,Setup!$F$6:$F$15,0),99),IFERROR(MATCH(BC1261,Setup!$H$6:$H$15,0),99),IFERROR(MATCH(AZ1261,Setup!$J$6:$J$11,0),99))*1E+9+(AW1261-40000)*10000+1260)</f>
        <v/>
      </c>
      <c r="BK1261">
        <f>IF(BI1261=1,BJ1261,"")</f>
        <v/>
      </c>
      <c r="BL1261">
        <f>IF(AND(BH1261=1,BG1261=0,N(AW1261)&lt;Setup!$D$7),(AW1261-40000)*10000+1260,"")</f>
        <v/>
      </c>
      <c r="BM1261">
        <f>IF(AND(BH1261=1,AZ1261&lt;&gt;"Cancelled",N(AW1261)&gt;=Dashboard!$AB$3,N(AW1261)&lt;=Dashboard!$AB$3+6),(AW1261-40000)*100000+BF1261*10000+1260,"")</f>
        <v/>
      </c>
      <c r="BN1261">
        <f>IF(AND(BH1261=1,AZ1261&lt;&gt;"Cancelled"),BF1261*10000+1260,"")</f>
        <v/>
      </c>
    </row>
    <row r="1262">
      <c r="AS1262" t="inlineStr">
        <is>
          <t>R</t>
        </is>
      </c>
      <c r="AT1262" t="n">
        <v>1266</v>
      </c>
      <c r="AU1262">
        <f>'Recurring Log'!C1266&amp;""</f>
        <v/>
      </c>
      <c r="AV1262">
        <f>'Recurring Log'!D1266&amp;""</f>
        <v/>
      </c>
      <c r="AW1262">
        <f>IF('Recurring Log'!E1266="","",'Recurring Log'!E1266)</f>
        <v/>
      </c>
      <c r="AX1262">
        <f>IF('Recurring Log'!G1266="","",'Recurring Log'!G1266)</f>
        <v/>
      </c>
      <c r="AY1262">
        <f>IF('Recurring Log'!H1266="","",'Recurring Log'!H1266)</f>
        <v/>
      </c>
      <c r="AZ1262">
        <f>IF(AU1262="","",IF('Recurring Log'!J1266="","Not Started",'Recurring Log'!J1266))</f>
        <v/>
      </c>
      <c r="BA1262">
        <f>'Recurring Log'!L1266&amp;""</f>
        <v/>
      </c>
      <c r="BB1262">
        <f>'Recurring Log'!M1266&amp;""</f>
        <v/>
      </c>
      <c r="BC1262">
        <f>'Recurring Log'!N1266&amp;""</f>
        <v/>
      </c>
      <c r="BD1262">
        <f>'Recurring Log'!O1266&amp;""</f>
        <v/>
      </c>
      <c r="BE1262">
        <f>IF('Recurring Log'!K1266="","",'Recurring Log'!K1266)</f>
        <v/>
      </c>
      <c r="BF1262">
        <f>IFERROR(MATCH(BA1262,Setup!$L$6:$L$9,0),5)</f>
        <v/>
      </c>
      <c r="BG1262">
        <f>IF(OR(AZ1262="Done",AZ1262="Cancelled"),1,0)</f>
        <v/>
      </c>
      <c r="BH1262">
        <f>IF(AND(AU1262&lt;&gt;"",ISNUMBER(AW1262)),1,0)</f>
        <v/>
      </c>
      <c r="BI1262">
        <f>IF(BH1262=0,0,IF(AND(AW1262&gt;='Tasks Filter'!$F$3,AW1262&lt;='Tasks Filter'!$F$4,OR('Tasks Filter'!$I$3="",ISNUMBER(SEARCH('Tasks Filter'!$I$3,AU1262))),OR('Tasks Filter'!$I$4="",BF1262=IFERROR(MATCH('Tasks Filter'!$I$4,Setup!$L$6:$L$9,0),0)),OR('Tasks Filter'!$I$5="Both",AND('Tasks Filter'!$I$5="Yes",BB1262="✓"),AND('Tasks Filter'!$I$5="No",BB1262&lt;&gt;"✓")),OR('Tasks Filter'!$L$3="",AV1262='Tasks Filter'!$L$3),OR('Tasks Filter'!$L$4="",AZ1262='Tasks Filter'!$L$4),OR('Tasks Filter'!$L$5="",BC1262='Tasks Filter'!$L$5),OR('Tasks Filter'!$O$3="",BD1262='Tasks Filter'!$O$3),OR('Tasks Filter'!$O$4="Yes",BG1262=0)),1,0))</f>
        <v/>
      </c>
      <c r="BJ1262">
        <f>IF(BH1262=0,"",IF('Tasks Filter'!$F$6="Descending",-1,1)*CHOOSE(MATCH('Tasks Filter'!$F$5,Lists!$G$2:$G$6,0),AW1262,BF1262,IFERROR(MATCH(AV1262,Setup!$F$6:$F$15,0),99),IFERROR(MATCH(BC1262,Setup!$H$6:$H$15,0),99),IFERROR(MATCH(AZ1262,Setup!$J$6:$J$11,0),99))*1E+9+(AW1262-40000)*10000+1261)</f>
        <v/>
      </c>
      <c r="BK1262">
        <f>IF(BI1262=1,BJ1262,"")</f>
        <v/>
      </c>
      <c r="BL1262">
        <f>IF(AND(BH1262=1,BG1262=0,N(AW1262)&lt;Setup!$D$7),(AW1262-40000)*10000+1261,"")</f>
        <v/>
      </c>
      <c r="BM1262">
        <f>IF(AND(BH1262=1,AZ1262&lt;&gt;"Cancelled",N(AW1262)&gt;=Dashboard!$AB$3,N(AW1262)&lt;=Dashboard!$AB$3+6),(AW1262-40000)*100000+BF1262*10000+1261,"")</f>
        <v/>
      </c>
      <c r="BN1262">
        <f>IF(AND(BH1262=1,AZ1262&lt;&gt;"Cancelled"),BF1262*10000+1261,"")</f>
        <v/>
      </c>
    </row>
    <row r="1263">
      <c r="AS1263" t="inlineStr">
        <is>
          <t>R</t>
        </is>
      </c>
      <c r="AT1263" t="n">
        <v>1267</v>
      </c>
      <c r="AU1263">
        <f>'Recurring Log'!C1267&amp;""</f>
        <v/>
      </c>
      <c r="AV1263">
        <f>'Recurring Log'!D1267&amp;""</f>
        <v/>
      </c>
      <c r="AW1263">
        <f>IF('Recurring Log'!E1267="","",'Recurring Log'!E1267)</f>
        <v/>
      </c>
      <c r="AX1263">
        <f>IF('Recurring Log'!G1267="","",'Recurring Log'!G1267)</f>
        <v/>
      </c>
      <c r="AY1263">
        <f>IF('Recurring Log'!H1267="","",'Recurring Log'!H1267)</f>
        <v/>
      </c>
      <c r="AZ1263">
        <f>IF(AU1263="","",IF('Recurring Log'!J1267="","Not Started",'Recurring Log'!J1267))</f>
        <v/>
      </c>
      <c r="BA1263">
        <f>'Recurring Log'!L1267&amp;""</f>
        <v/>
      </c>
      <c r="BB1263">
        <f>'Recurring Log'!M1267&amp;""</f>
        <v/>
      </c>
      <c r="BC1263">
        <f>'Recurring Log'!N1267&amp;""</f>
        <v/>
      </c>
      <c r="BD1263">
        <f>'Recurring Log'!O1267&amp;""</f>
        <v/>
      </c>
      <c r="BE1263">
        <f>IF('Recurring Log'!K1267="","",'Recurring Log'!K1267)</f>
        <v/>
      </c>
      <c r="BF1263">
        <f>IFERROR(MATCH(BA1263,Setup!$L$6:$L$9,0),5)</f>
        <v/>
      </c>
      <c r="BG1263">
        <f>IF(OR(AZ1263="Done",AZ1263="Cancelled"),1,0)</f>
        <v/>
      </c>
      <c r="BH1263">
        <f>IF(AND(AU1263&lt;&gt;"",ISNUMBER(AW1263)),1,0)</f>
        <v/>
      </c>
      <c r="BI1263">
        <f>IF(BH1263=0,0,IF(AND(AW1263&gt;='Tasks Filter'!$F$3,AW1263&lt;='Tasks Filter'!$F$4,OR('Tasks Filter'!$I$3="",ISNUMBER(SEARCH('Tasks Filter'!$I$3,AU1263))),OR('Tasks Filter'!$I$4="",BF1263=IFERROR(MATCH('Tasks Filter'!$I$4,Setup!$L$6:$L$9,0),0)),OR('Tasks Filter'!$I$5="Both",AND('Tasks Filter'!$I$5="Yes",BB1263="✓"),AND('Tasks Filter'!$I$5="No",BB1263&lt;&gt;"✓")),OR('Tasks Filter'!$L$3="",AV1263='Tasks Filter'!$L$3),OR('Tasks Filter'!$L$4="",AZ1263='Tasks Filter'!$L$4),OR('Tasks Filter'!$L$5="",BC1263='Tasks Filter'!$L$5),OR('Tasks Filter'!$O$3="",BD1263='Tasks Filter'!$O$3),OR('Tasks Filter'!$O$4="Yes",BG1263=0)),1,0))</f>
        <v/>
      </c>
      <c r="BJ1263">
        <f>IF(BH1263=0,"",IF('Tasks Filter'!$F$6="Descending",-1,1)*CHOOSE(MATCH('Tasks Filter'!$F$5,Lists!$G$2:$G$6,0),AW1263,BF1263,IFERROR(MATCH(AV1263,Setup!$F$6:$F$15,0),99),IFERROR(MATCH(BC1263,Setup!$H$6:$H$15,0),99),IFERROR(MATCH(AZ1263,Setup!$J$6:$J$11,0),99))*1E+9+(AW1263-40000)*10000+1262)</f>
        <v/>
      </c>
      <c r="BK1263">
        <f>IF(BI1263=1,BJ1263,"")</f>
        <v/>
      </c>
      <c r="BL1263">
        <f>IF(AND(BH1263=1,BG1263=0,N(AW1263)&lt;Setup!$D$7),(AW1263-40000)*10000+1262,"")</f>
        <v/>
      </c>
      <c r="BM1263">
        <f>IF(AND(BH1263=1,AZ1263&lt;&gt;"Cancelled",N(AW1263)&gt;=Dashboard!$AB$3,N(AW1263)&lt;=Dashboard!$AB$3+6),(AW1263-40000)*100000+BF1263*10000+1262,"")</f>
        <v/>
      </c>
      <c r="BN1263">
        <f>IF(AND(BH1263=1,AZ1263&lt;&gt;"Cancelled"),BF1263*10000+1262,"")</f>
        <v/>
      </c>
    </row>
    <row r="1264">
      <c r="AS1264" t="inlineStr">
        <is>
          <t>R</t>
        </is>
      </c>
      <c r="AT1264" t="n">
        <v>1268</v>
      </c>
      <c r="AU1264">
        <f>'Recurring Log'!C1268&amp;""</f>
        <v/>
      </c>
      <c r="AV1264">
        <f>'Recurring Log'!D1268&amp;""</f>
        <v/>
      </c>
      <c r="AW1264">
        <f>IF('Recurring Log'!E1268="","",'Recurring Log'!E1268)</f>
        <v/>
      </c>
      <c r="AX1264">
        <f>IF('Recurring Log'!G1268="","",'Recurring Log'!G1268)</f>
        <v/>
      </c>
      <c r="AY1264">
        <f>IF('Recurring Log'!H1268="","",'Recurring Log'!H1268)</f>
        <v/>
      </c>
      <c r="AZ1264">
        <f>IF(AU1264="","",IF('Recurring Log'!J1268="","Not Started",'Recurring Log'!J1268))</f>
        <v/>
      </c>
      <c r="BA1264">
        <f>'Recurring Log'!L1268&amp;""</f>
        <v/>
      </c>
      <c r="BB1264">
        <f>'Recurring Log'!M1268&amp;""</f>
        <v/>
      </c>
      <c r="BC1264">
        <f>'Recurring Log'!N1268&amp;""</f>
        <v/>
      </c>
      <c r="BD1264">
        <f>'Recurring Log'!O1268&amp;""</f>
        <v/>
      </c>
      <c r="BE1264">
        <f>IF('Recurring Log'!K1268="","",'Recurring Log'!K1268)</f>
        <v/>
      </c>
      <c r="BF1264">
        <f>IFERROR(MATCH(BA1264,Setup!$L$6:$L$9,0),5)</f>
        <v/>
      </c>
      <c r="BG1264">
        <f>IF(OR(AZ1264="Done",AZ1264="Cancelled"),1,0)</f>
        <v/>
      </c>
      <c r="BH1264">
        <f>IF(AND(AU1264&lt;&gt;"",ISNUMBER(AW1264)),1,0)</f>
        <v/>
      </c>
      <c r="BI1264">
        <f>IF(BH1264=0,0,IF(AND(AW1264&gt;='Tasks Filter'!$F$3,AW1264&lt;='Tasks Filter'!$F$4,OR('Tasks Filter'!$I$3="",ISNUMBER(SEARCH('Tasks Filter'!$I$3,AU1264))),OR('Tasks Filter'!$I$4="",BF1264=IFERROR(MATCH('Tasks Filter'!$I$4,Setup!$L$6:$L$9,0),0)),OR('Tasks Filter'!$I$5="Both",AND('Tasks Filter'!$I$5="Yes",BB1264="✓"),AND('Tasks Filter'!$I$5="No",BB1264&lt;&gt;"✓")),OR('Tasks Filter'!$L$3="",AV1264='Tasks Filter'!$L$3),OR('Tasks Filter'!$L$4="",AZ1264='Tasks Filter'!$L$4),OR('Tasks Filter'!$L$5="",BC1264='Tasks Filter'!$L$5),OR('Tasks Filter'!$O$3="",BD1264='Tasks Filter'!$O$3),OR('Tasks Filter'!$O$4="Yes",BG1264=0)),1,0))</f>
        <v/>
      </c>
      <c r="BJ1264">
        <f>IF(BH1264=0,"",IF('Tasks Filter'!$F$6="Descending",-1,1)*CHOOSE(MATCH('Tasks Filter'!$F$5,Lists!$G$2:$G$6,0),AW1264,BF1264,IFERROR(MATCH(AV1264,Setup!$F$6:$F$15,0),99),IFERROR(MATCH(BC1264,Setup!$H$6:$H$15,0),99),IFERROR(MATCH(AZ1264,Setup!$J$6:$J$11,0),99))*1E+9+(AW1264-40000)*10000+1263)</f>
        <v/>
      </c>
      <c r="BK1264">
        <f>IF(BI1264=1,BJ1264,"")</f>
        <v/>
      </c>
      <c r="BL1264">
        <f>IF(AND(BH1264=1,BG1264=0,N(AW1264)&lt;Setup!$D$7),(AW1264-40000)*10000+1263,"")</f>
        <v/>
      </c>
      <c r="BM1264">
        <f>IF(AND(BH1264=1,AZ1264&lt;&gt;"Cancelled",N(AW1264)&gt;=Dashboard!$AB$3,N(AW1264)&lt;=Dashboard!$AB$3+6),(AW1264-40000)*100000+BF1264*10000+1263,"")</f>
        <v/>
      </c>
      <c r="BN1264">
        <f>IF(AND(BH1264=1,AZ1264&lt;&gt;"Cancelled"),BF1264*10000+1263,"")</f>
        <v/>
      </c>
    </row>
    <row r="1265">
      <c r="AS1265" t="inlineStr">
        <is>
          <t>R</t>
        </is>
      </c>
      <c r="AT1265" t="n">
        <v>1269</v>
      </c>
      <c r="AU1265">
        <f>'Recurring Log'!C1269&amp;""</f>
        <v/>
      </c>
      <c r="AV1265">
        <f>'Recurring Log'!D1269&amp;""</f>
        <v/>
      </c>
      <c r="AW1265">
        <f>IF('Recurring Log'!E1269="","",'Recurring Log'!E1269)</f>
        <v/>
      </c>
      <c r="AX1265">
        <f>IF('Recurring Log'!G1269="","",'Recurring Log'!G1269)</f>
        <v/>
      </c>
      <c r="AY1265">
        <f>IF('Recurring Log'!H1269="","",'Recurring Log'!H1269)</f>
        <v/>
      </c>
      <c r="AZ1265">
        <f>IF(AU1265="","",IF('Recurring Log'!J1269="","Not Started",'Recurring Log'!J1269))</f>
        <v/>
      </c>
      <c r="BA1265">
        <f>'Recurring Log'!L1269&amp;""</f>
        <v/>
      </c>
      <c r="BB1265">
        <f>'Recurring Log'!M1269&amp;""</f>
        <v/>
      </c>
      <c r="BC1265">
        <f>'Recurring Log'!N1269&amp;""</f>
        <v/>
      </c>
      <c r="BD1265">
        <f>'Recurring Log'!O1269&amp;""</f>
        <v/>
      </c>
      <c r="BE1265">
        <f>IF('Recurring Log'!K1269="","",'Recurring Log'!K1269)</f>
        <v/>
      </c>
      <c r="BF1265">
        <f>IFERROR(MATCH(BA1265,Setup!$L$6:$L$9,0),5)</f>
        <v/>
      </c>
      <c r="BG1265">
        <f>IF(OR(AZ1265="Done",AZ1265="Cancelled"),1,0)</f>
        <v/>
      </c>
      <c r="BH1265">
        <f>IF(AND(AU1265&lt;&gt;"",ISNUMBER(AW1265)),1,0)</f>
        <v/>
      </c>
      <c r="BI1265">
        <f>IF(BH1265=0,0,IF(AND(AW1265&gt;='Tasks Filter'!$F$3,AW1265&lt;='Tasks Filter'!$F$4,OR('Tasks Filter'!$I$3="",ISNUMBER(SEARCH('Tasks Filter'!$I$3,AU1265))),OR('Tasks Filter'!$I$4="",BF1265=IFERROR(MATCH('Tasks Filter'!$I$4,Setup!$L$6:$L$9,0),0)),OR('Tasks Filter'!$I$5="Both",AND('Tasks Filter'!$I$5="Yes",BB1265="✓"),AND('Tasks Filter'!$I$5="No",BB1265&lt;&gt;"✓")),OR('Tasks Filter'!$L$3="",AV1265='Tasks Filter'!$L$3),OR('Tasks Filter'!$L$4="",AZ1265='Tasks Filter'!$L$4),OR('Tasks Filter'!$L$5="",BC1265='Tasks Filter'!$L$5),OR('Tasks Filter'!$O$3="",BD1265='Tasks Filter'!$O$3),OR('Tasks Filter'!$O$4="Yes",BG1265=0)),1,0))</f>
        <v/>
      </c>
      <c r="BJ1265">
        <f>IF(BH1265=0,"",IF('Tasks Filter'!$F$6="Descending",-1,1)*CHOOSE(MATCH('Tasks Filter'!$F$5,Lists!$G$2:$G$6,0),AW1265,BF1265,IFERROR(MATCH(AV1265,Setup!$F$6:$F$15,0),99),IFERROR(MATCH(BC1265,Setup!$H$6:$H$15,0),99),IFERROR(MATCH(AZ1265,Setup!$J$6:$J$11,0),99))*1E+9+(AW1265-40000)*10000+1264)</f>
        <v/>
      </c>
      <c r="BK1265">
        <f>IF(BI1265=1,BJ1265,"")</f>
        <v/>
      </c>
      <c r="BL1265">
        <f>IF(AND(BH1265=1,BG1265=0,N(AW1265)&lt;Setup!$D$7),(AW1265-40000)*10000+1264,"")</f>
        <v/>
      </c>
      <c r="BM1265">
        <f>IF(AND(BH1265=1,AZ1265&lt;&gt;"Cancelled",N(AW1265)&gt;=Dashboard!$AB$3,N(AW1265)&lt;=Dashboard!$AB$3+6),(AW1265-40000)*100000+BF1265*10000+1264,"")</f>
        <v/>
      </c>
      <c r="BN1265">
        <f>IF(AND(BH1265=1,AZ1265&lt;&gt;"Cancelled"),BF1265*10000+1264,"")</f>
        <v/>
      </c>
    </row>
    <row r="1266">
      <c r="AS1266" t="inlineStr">
        <is>
          <t>R</t>
        </is>
      </c>
      <c r="AT1266" t="n">
        <v>1270</v>
      </c>
      <c r="AU1266">
        <f>'Recurring Log'!C1270&amp;""</f>
        <v/>
      </c>
      <c r="AV1266">
        <f>'Recurring Log'!D1270&amp;""</f>
        <v/>
      </c>
      <c r="AW1266">
        <f>IF('Recurring Log'!E1270="","",'Recurring Log'!E1270)</f>
        <v/>
      </c>
      <c r="AX1266">
        <f>IF('Recurring Log'!G1270="","",'Recurring Log'!G1270)</f>
        <v/>
      </c>
      <c r="AY1266">
        <f>IF('Recurring Log'!H1270="","",'Recurring Log'!H1270)</f>
        <v/>
      </c>
      <c r="AZ1266">
        <f>IF(AU1266="","",IF('Recurring Log'!J1270="","Not Started",'Recurring Log'!J1270))</f>
        <v/>
      </c>
      <c r="BA1266">
        <f>'Recurring Log'!L1270&amp;""</f>
        <v/>
      </c>
      <c r="BB1266">
        <f>'Recurring Log'!M1270&amp;""</f>
        <v/>
      </c>
      <c r="BC1266">
        <f>'Recurring Log'!N1270&amp;""</f>
        <v/>
      </c>
      <c r="BD1266">
        <f>'Recurring Log'!O1270&amp;""</f>
        <v/>
      </c>
      <c r="BE1266">
        <f>IF('Recurring Log'!K1270="","",'Recurring Log'!K1270)</f>
        <v/>
      </c>
      <c r="BF1266">
        <f>IFERROR(MATCH(BA1266,Setup!$L$6:$L$9,0),5)</f>
        <v/>
      </c>
      <c r="BG1266">
        <f>IF(OR(AZ1266="Done",AZ1266="Cancelled"),1,0)</f>
        <v/>
      </c>
      <c r="BH1266">
        <f>IF(AND(AU1266&lt;&gt;"",ISNUMBER(AW1266)),1,0)</f>
        <v/>
      </c>
      <c r="BI1266">
        <f>IF(BH1266=0,0,IF(AND(AW1266&gt;='Tasks Filter'!$F$3,AW1266&lt;='Tasks Filter'!$F$4,OR('Tasks Filter'!$I$3="",ISNUMBER(SEARCH('Tasks Filter'!$I$3,AU1266))),OR('Tasks Filter'!$I$4="",BF1266=IFERROR(MATCH('Tasks Filter'!$I$4,Setup!$L$6:$L$9,0),0)),OR('Tasks Filter'!$I$5="Both",AND('Tasks Filter'!$I$5="Yes",BB1266="✓"),AND('Tasks Filter'!$I$5="No",BB1266&lt;&gt;"✓")),OR('Tasks Filter'!$L$3="",AV1266='Tasks Filter'!$L$3),OR('Tasks Filter'!$L$4="",AZ1266='Tasks Filter'!$L$4),OR('Tasks Filter'!$L$5="",BC1266='Tasks Filter'!$L$5),OR('Tasks Filter'!$O$3="",BD1266='Tasks Filter'!$O$3),OR('Tasks Filter'!$O$4="Yes",BG1266=0)),1,0))</f>
        <v/>
      </c>
      <c r="BJ1266">
        <f>IF(BH1266=0,"",IF('Tasks Filter'!$F$6="Descending",-1,1)*CHOOSE(MATCH('Tasks Filter'!$F$5,Lists!$G$2:$G$6,0),AW1266,BF1266,IFERROR(MATCH(AV1266,Setup!$F$6:$F$15,0),99),IFERROR(MATCH(BC1266,Setup!$H$6:$H$15,0),99),IFERROR(MATCH(AZ1266,Setup!$J$6:$J$11,0),99))*1E+9+(AW1266-40000)*10000+1265)</f>
        <v/>
      </c>
      <c r="BK1266">
        <f>IF(BI1266=1,BJ1266,"")</f>
        <v/>
      </c>
      <c r="BL1266">
        <f>IF(AND(BH1266=1,BG1266=0,N(AW1266)&lt;Setup!$D$7),(AW1266-40000)*10000+1265,"")</f>
        <v/>
      </c>
      <c r="BM1266">
        <f>IF(AND(BH1266=1,AZ1266&lt;&gt;"Cancelled",N(AW1266)&gt;=Dashboard!$AB$3,N(AW1266)&lt;=Dashboard!$AB$3+6),(AW1266-40000)*100000+BF1266*10000+1265,"")</f>
        <v/>
      </c>
      <c r="BN1266">
        <f>IF(AND(BH1266=1,AZ1266&lt;&gt;"Cancelled"),BF1266*10000+1265,"")</f>
        <v/>
      </c>
    </row>
    <row r="1267">
      <c r="AS1267" t="inlineStr">
        <is>
          <t>R</t>
        </is>
      </c>
      <c r="AT1267" t="n">
        <v>1271</v>
      </c>
      <c r="AU1267">
        <f>'Recurring Log'!C1271&amp;""</f>
        <v/>
      </c>
      <c r="AV1267">
        <f>'Recurring Log'!D1271&amp;""</f>
        <v/>
      </c>
      <c r="AW1267">
        <f>IF('Recurring Log'!E1271="","",'Recurring Log'!E1271)</f>
        <v/>
      </c>
      <c r="AX1267">
        <f>IF('Recurring Log'!G1271="","",'Recurring Log'!G1271)</f>
        <v/>
      </c>
      <c r="AY1267">
        <f>IF('Recurring Log'!H1271="","",'Recurring Log'!H1271)</f>
        <v/>
      </c>
      <c r="AZ1267">
        <f>IF(AU1267="","",IF('Recurring Log'!J1271="","Not Started",'Recurring Log'!J1271))</f>
        <v/>
      </c>
      <c r="BA1267">
        <f>'Recurring Log'!L1271&amp;""</f>
        <v/>
      </c>
      <c r="BB1267">
        <f>'Recurring Log'!M1271&amp;""</f>
        <v/>
      </c>
      <c r="BC1267">
        <f>'Recurring Log'!N1271&amp;""</f>
        <v/>
      </c>
      <c r="BD1267">
        <f>'Recurring Log'!O1271&amp;""</f>
        <v/>
      </c>
      <c r="BE1267">
        <f>IF('Recurring Log'!K1271="","",'Recurring Log'!K1271)</f>
        <v/>
      </c>
      <c r="BF1267">
        <f>IFERROR(MATCH(BA1267,Setup!$L$6:$L$9,0),5)</f>
        <v/>
      </c>
      <c r="BG1267">
        <f>IF(OR(AZ1267="Done",AZ1267="Cancelled"),1,0)</f>
        <v/>
      </c>
      <c r="BH1267">
        <f>IF(AND(AU1267&lt;&gt;"",ISNUMBER(AW1267)),1,0)</f>
        <v/>
      </c>
      <c r="BI1267">
        <f>IF(BH1267=0,0,IF(AND(AW1267&gt;='Tasks Filter'!$F$3,AW1267&lt;='Tasks Filter'!$F$4,OR('Tasks Filter'!$I$3="",ISNUMBER(SEARCH('Tasks Filter'!$I$3,AU1267))),OR('Tasks Filter'!$I$4="",BF1267=IFERROR(MATCH('Tasks Filter'!$I$4,Setup!$L$6:$L$9,0),0)),OR('Tasks Filter'!$I$5="Both",AND('Tasks Filter'!$I$5="Yes",BB1267="✓"),AND('Tasks Filter'!$I$5="No",BB1267&lt;&gt;"✓")),OR('Tasks Filter'!$L$3="",AV1267='Tasks Filter'!$L$3),OR('Tasks Filter'!$L$4="",AZ1267='Tasks Filter'!$L$4),OR('Tasks Filter'!$L$5="",BC1267='Tasks Filter'!$L$5),OR('Tasks Filter'!$O$3="",BD1267='Tasks Filter'!$O$3),OR('Tasks Filter'!$O$4="Yes",BG1267=0)),1,0))</f>
        <v/>
      </c>
      <c r="BJ1267">
        <f>IF(BH1267=0,"",IF('Tasks Filter'!$F$6="Descending",-1,1)*CHOOSE(MATCH('Tasks Filter'!$F$5,Lists!$G$2:$G$6,0),AW1267,BF1267,IFERROR(MATCH(AV1267,Setup!$F$6:$F$15,0),99),IFERROR(MATCH(BC1267,Setup!$H$6:$H$15,0),99),IFERROR(MATCH(AZ1267,Setup!$J$6:$J$11,0),99))*1E+9+(AW1267-40000)*10000+1266)</f>
        <v/>
      </c>
      <c r="BK1267">
        <f>IF(BI1267=1,BJ1267,"")</f>
        <v/>
      </c>
      <c r="BL1267">
        <f>IF(AND(BH1267=1,BG1267=0,N(AW1267)&lt;Setup!$D$7),(AW1267-40000)*10000+1266,"")</f>
        <v/>
      </c>
      <c r="BM1267">
        <f>IF(AND(BH1267=1,AZ1267&lt;&gt;"Cancelled",N(AW1267)&gt;=Dashboard!$AB$3,N(AW1267)&lt;=Dashboard!$AB$3+6),(AW1267-40000)*100000+BF1267*10000+1266,"")</f>
        <v/>
      </c>
      <c r="BN1267">
        <f>IF(AND(BH1267=1,AZ1267&lt;&gt;"Cancelled"),BF1267*10000+1266,"")</f>
        <v/>
      </c>
    </row>
    <row r="1268">
      <c r="AS1268" t="inlineStr">
        <is>
          <t>R</t>
        </is>
      </c>
      <c r="AT1268" t="n">
        <v>1272</v>
      </c>
      <c r="AU1268">
        <f>'Recurring Log'!C1272&amp;""</f>
        <v/>
      </c>
      <c r="AV1268">
        <f>'Recurring Log'!D1272&amp;""</f>
        <v/>
      </c>
      <c r="AW1268">
        <f>IF('Recurring Log'!E1272="","",'Recurring Log'!E1272)</f>
        <v/>
      </c>
      <c r="AX1268">
        <f>IF('Recurring Log'!G1272="","",'Recurring Log'!G1272)</f>
        <v/>
      </c>
      <c r="AY1268">
        <f>IF('Recurring Log'!H1272="","",'Recurring Log'!H1272)</f>
        <v/>
      </c>
      <c r="AZ1268">
        <f>IF(AU1268="","",IF('Recurring Log'!J1272="","Not Started",'Recurring Log'!J1272))</f>
        <v/>
      </c>
      <c r="BA1268">
        <f>'Recurring Log'!L1272&amp;""</f>
        <v/>
      </c>
      <c r="BB1268">
        <f>'Recurring Log'!M1272&amp;""</f>
        <v/>
      </c>
      <c r="BC1268">
        <f>'Recurring Log'!N1272&amp;""</f>
        <v/>
      </c>
      <c r="BD1268">
        <f>'Recurring Log'!O1272&amp;""</f>
        <v/>
      </c>
      <c r="BE1268">
        <f>IF('Recurring Log'!K1272="","",'Recurring Log'!K1272)</f>
        <v/>
      </c>
      <c r="BF1268">
        <f>IFERROR(MATCH(BA1268,Setup!$L$6:$L$9,0),5)</f>
        <v/>
      </c>
      <c r="BG1268">
        <f>IF(OR(AZ1268="Done",AZ1268="Cancelled"),1,0)</f>
        <v/>
      </c>
      <c r="BH1268">
        <f>IF(AND(AU1268&lt;&gt;"",ISNUMBER(AW1268)),1,0)</f>
        <v/>
      </c>
      <c r="BI1268">
        <f>IF(BH1268=0,0,IF(AND(AW1268&gt;='Tasks Filter'!$F$3,AW1268&lt;='Tasks Filter'!$F$4,OR('Tasks Filter'!$I$3="",ISNUMBER(SEARCH('Tasks Filter'!$I$3,AU1268))),OR('Tasks Filter'!$I$4="",BF1268=IFERROR(MATCH('Tasks Filter'!$I$4,Setup!$L$6:$L$9,0),0)),OR('Tasks Filter'!$I$5="Both",AND('Tasks Filter'!$I$5="Yes",BB1268="✓"),AND('Tasks Filter'!$I$5="No",BB1268&lt;&gt;"✓")),OR('Tasks Filter'!$L$3="",AV1268='Tasks Filter'!$L$3),OR('Tasks Filter'!$L$4="",AZ1268='Tasks Filter'!$L$4),OR('Tasks Filter'!$L$5="",BC1268='Tasks Filter'!$L$5),OR('Tasks Filter'!$O$3="",BD1268='Tasks Filter'!$O$3),OR('Tasks Filter'!$O$4="Yes",BG1268=0)),1,0))</f>
        <v/>
      </c>
      <c r="BJ1268">
        <f>IF(BH1268=0,"",IF('Tasks Filter'!$F$6="Descending",-1,1)*CHOOSE(MATCH('Tasks Filter'!$F$5,Lists!$G$2:$G$6,0),AW1268,BF1268,IFERROR(MATCH(AV1268,Setup!$F$6:$F$15,0),99),IFERROR(MATCH(BC1268,Setup!$H$6:$H$15,0),99),IFERROR(MATCH(AZ1268,Setup!$J$6:$J$11,0),99))*1E+9+(AW1268-40000)*10000+1267)</f>
        <v/>
      </c>
      <c r="BK1268">
        <f>IF(BI1268=1,BJ1268,"")</f>
        <v/>
      </c>
      <c r="BL1268">
        <f>IF(AND(BH1268=1,BG1268=0,N(AW1268)&lt;Setup!$D$7),(AW1268-40000)*10000+1267,"")</f>
        <v/>
      </c>
      <c r="BM1268">
        <f>IF(AND(BH1268=1,AZ1268&lt;&gt;"Cancelled",N(AW1268)&gt;=Dashboard!$AB$3,N(AW1268)&lt;=Dashboard!$AB$3+6),(AW1268-40000)*100000+BF1268*10000+1267,"")</f>
        <v/>
      </c>
      <c r="BN1268">
        <f>IF(AND(BH1268=1,AZ1268&lt;&gt;"Cancelled"),BF1268*10000+1267,"")</f>
        <v/>
      </c>
    </row>
    <row r="1269">
      <c r="AS1269" t="inlineStr">
        <is>
          <t>R</t>
        </is>
      </c>
      <c r="AT1269" t="n">
        <v>1273</v>
      </c>
      <c r="AU1269">
        <f>'Recurring Log'!C1273&amp;""</f>
        <v/>
      </c>
      <c r="AV1269">
        <f>'Recurring Log'!D1273&amp;""</f>
        <v/>
      </c>
      <c r="AW1269">
        <f>IF('Recurring Log'!E1273="","",'Recurring Log'!E1273)</f>
        <v/>
      </c>
      <c r="AX1269">
        <f>IF('Recurring Log'!G1273="","",'Recurring Log'!G1273)</f>
        <v/>
      </c>
      <c r="AY1269">
        <f>IF('Recurring Log'!H1273="","",'Recurring Log'!H1273)</f>
        <v/>
      </c>
      <c r="AZ1269">
        <f>IF(AU1269="","",IF('Recurring Log'!J1273="","Not Started",'Recurring Log'!J1273))</f>
        <v/>
      </c>
      <c r="BA1269">
        <f>'Recurring Log'!L1273&amp;""</f>
        <v/>
      </c>
      <c r="BB1269">
        <f>'Recurring Log'!M1273&amp;""</f>
        <v/>
      </c>
      <c r="BC1269">
        <f>'Recurring Log'!N1273&amp;""</f>
        <v/>
      </c>
      <c r="BD1269">
        <f>'Recurring Log'!O1273&amp;""</f>
        <v/>
      </c>
      <c r="BE1269">
        <f>IF('Recurring Log'!K1273="","",'Recurring Log'!K1273)</f>
        <v/>
      </c>
      <c r="BF1269">
        <f>IFERROR(MATCH(BA1269,Setup!$L$6:$L$9,0),5)</f>
        <v/>
      </c>
      <c r="BG1269">
        <f>IF(OR(AZ1269="Done",AZ1269="Cancelled"),1,0)</f>
        <v/>
      </c>
      <c r="BH1269">
        <f>IF(AND(AU1269&lt;&gt;"",ISNUMBER(AW1269)),1,0)</f>
        <v/>
      </c>
      <c r="BI1269">
        <f>IF(BH1269=0,0,IF(AND(AW1269&gt;='Tasks Filter'!$F$3,AW1269&lt;='Tasks Filter'!$F$4,OR('Tasks Filter'!$I$3="",ISNUMBER(SEARCH('Tasks Filter'!$I$3,AU1269))),OR('Tasks Filter'!$I$4="",BF1269=IFERROR(MATCH('Tasks Filter'!$I$4,Setup!$L$6:$L$9,0),0)),OR('Tasks Filter'!$I$5="Both",AND('Tasks Filter'!$I$5="Yes",BB1269="✓"),AND('Tasks Filter'!$I$5="No",BB1269&lt;&gt;"✓")),OR('Tasks Filter'!$L$3="",AV1269='Tasks Filter'!$L$3),OR('Tasks Filter'!$L$4="",AZ1269='Tasks Filter'!$L$4),OR('Tasks Filter'!$L$5="",BC1269='Tasks Filter'!$L$5),OR('Tasks Filter'!$O$3="",BD1269='Tasks Filter'!$O$3),OR('Tasks Filter'!$O$4="Yes",BG1269=0)),1,0))</f>
        <v/>
      </c>
      <c r="BJ1269">
        <f>IF(BH1269=0,"",IF('Tasks Filter'!$F$6="Descending",-1,1)*CHOOSE(MATCH('Tasks Filter'!$F$5,Lists!$G$2:$G$6,0),AW1269,BF1269,IFERROR(MATCH(AV1269,Setup!$F$6:$F$15,0),99),IFERROR(MATCH(BC1269,Setup!$H$6:$H$15,0),99),IFERROR(MATCH(AZ1269,Setup!$J$6:$J$11,0),99))*1E+9+(AW1269-40000)*10000+1268)</f>
        <v/>
      </c>
      <c r="BK1269">
        <f>IF(BI1269=1,BJ1269,"")</f>
        <v/>
      </c>
      <c r="BL1269">
        <f>IF(AND(BH1269=1,BG1269=0,N(AW1269)&lt;Setup!$D$7),(AW1269-40000)*10000+1268,"")</f>
        <v/>
      </c>
      <c r="BM1269">
        <f>IF(AND(BH1269=1,AZ1269&lt;&gt;"Cancelled",N(AW1269)&gt;=Dashboard!$AB$3,N(AW1269)&lt;=Dashboard!$AB$3+6),(AW1269-40000)*100000+BF1269*10000+1268,"")</f>
        <v/>
      </c>
      <c r="BN1269">
        <f>IF(AND(BH1269=1,AZ1269&lt;&gt;"Cancelled"),BF1269*10000+1268,"")</f>
        <v/>
      </c>
    </row>
    <row r="1270">
      <c r="AS1270" t="inlineStr">
        <is>
          <t>R</t>
        </is>
      </c>
      <c r="AT1270" t="n">
        <v>1274</v>
      </c>
      <c r="AU1270">
        <f>'Recurring Log'!C1274&amp;""</f>
        <v/>
      </c>
      <c r="AV1270">
        <f>'Recurring Log'!D1274&amp;""</f>
        <v/>
      </c>
      <c r="AW1270">
        <f>IF('Recurring Log'!E1274="","",'Recurring Log'!E1274)</f>
        <v/>
      </c>
      <c r="AX1270">
        <f>IF('Recurring Log'!G1274="","",'Recurring Log'!G1274)</f>
        <v/>
      </c>
      <c r="AY1270">
        <f>IF('Recurring Log'!H1274="","",'Recurring Log'!H1274)</f>
        <v/>
      </c>
      <c r="AZ1270">
        <f>IF(AU1270="","",IF('Recurring Log'!J1274="","Not Started",'Recurring Log'!J1274))</f>
        <v/>
      </c>
      <c r="BA1270">
        <f>'Recurring Log'!L1274&amp;""</f>
        <v/>
      </c>
      <c r="BB1270">
        <f>'Recurring Log'!M1274&amp;""</f>
        <v/>
      </c>
      <c r="BC1270">
        <f>'Recurring Log'!N1274&amp;""</f>
        <v/>
      </c>
      <c r="BD1270">
        <f>'Recurring Log'!O1274&amp;""</f>
        <v/>
      </c>
      <c r="BE1270">
        <f>IF('Recurring Log'!K1274="","",'Recurring Log'!K1274)</f>
        <v/>
      </c>
      <c r="BF1270">
        <f>IFERROR(MATCH(BA1270,Setup!$L$6:$L$9,0),5)</f>
        <v/>
      </c>
      <c r="BG1270">
        <f>IF(OR(AZ1270="Done",AZ1270="Cancelled"),1,0)</f>
        <v/>
      </c>
      <c r="BH1270">
        <f>IF(AND(AU1270&lt;&gt;"",ISNUMBER(AW1270)),1,0)</f>
        <v/>
      </c>
      <c r="BI1270">
        <f>IF(BH1270=0,0,IF(AND(AW1270&gt;='Tasks Filter'!$F$3,AW1270&lt;='Tasks Filter'!$F$4,OR('Tasks Filter'!$I$3="",ISNUMBER(SEARCH('Tasks Filter'!$I$3,AU1270))),OR('Tasks Filter'!$I$4="",BF1270=IFERROR(MATCH('Tasks Filter'!$I$4,Setup!$L$6:$L$9,0),0)),OR('Tasks Filter'!$I$5="Both",AND('Tasks Filter'!$I$5="Yes",BB1270="✓"),AND('Tasks Filter'!$I$5="No",BB1270&lt;&gt;"✓")),OR('Tasks Filter'!$L$3="",AV1270='Tasks Filter'!$L$3),OR('Tasks Filter'!$L$4="",AZ1270='Tasks Filter'!$L$4),OR('Tasks Filter'!$L$5="",BC1270='Tasks Filter'!$L$5),OR('Tasks Filter'!$O$3="",BD1270='Tasks Filter'!$O$3),OR('Tasks Filter'!$O$4="Yes",BG1270=0)),1,0))</f>
        <v/>
      </c>
      <c r="BJ1270">
        <f>IF(BH1270=0,"",IF('Tasks Filter'!$F$6="Descending",-1,1)*CHOOSE(MATCH('Tasks Filter'!$F$5,Lists!$G$2:$G$6,0),AW1270,BF1270,IFERROR(MATCH(AV1270,Setup!$F$6:$F$15,0),99),IFERROR(MATCH(BC1270,Setup!$H$6:$H$15,0),99),IFERROR(MATCH(AZ1270,Setup!$J$6:$J$11,0),99))*1E+9+(AW1270-40000)*10000+1269)</f>
        <v/>
      </c>
      <c r="BK1270">
        <f>IF(BI1270=1,BJ1270,"")</f>
        <v/>
      </c>
      <c r="BL1270">
        <f>IF(AND(BH1270=1,BG1270=0,N(AW1270)&lt;Setup!$D$7),(AW1270-40000)*10000+1269,"")</f>
        <v/>
      </c>
      <c r="BM1270">
        <f>IF(AND(BH1270=1,AZ1270&lt;&gt;"Cancelled",N(AW1270)&gt;=Dashboard!$AB$3,N(AW1270)&lt;=Dashboard!$AB$3+6),(AW1270-40000)*100000+BF1270*10000+1269,"")</f>
        <v/>
      </c>
      <c r="BN1270">
        <f>IF(AND(BH1270=1,AZ1270&lt;&gt;"Cancelled"),BF1270*10000+1269,"")</f>
        <v/>
      </c>
    </row>
    <row r="1271">
      <c r="AS1271" t="inlineStr">
        <is>
          <t>R</t>
        </is>
      </c>
      <c r="AT1271" t="n">
        <v>1275</v>
      </c>
      <c r="AU1271">
        <f>'Recurring Log'!C1275&amp;""</f>
        <v/>
      </c>
      <c r="AV1271">
        <f>'Recurring Log'!D1275&amp;""</f>
        <v/>
      </c>
      <c r="AW1271">
        <f>IF('Recurring Log'!E1275="","",'Recurring Log'!E1275)</f>
        <v/>
      </c>
      <c r="AX1271">
        <f>IF('Recurring Log'!G1275="","",'Recurring Log'!G1275)</f>
        <v/>
      </c>
      <c r="AY1271">
        <f>IF('Recurring Log'!H1275="","",'Recurring Log'!H1275)</f>
        <v/>
      </c>
      <c r="AZ1271">
        <f>IF(AU1271="","",IF('Recurring Log'!J1275="","Not Started",'Recurring Log'!J1275))</f>
        <v/>
      </c>
      <c r="BA1271">
        <f>'Recurring Log'!L1275&amp;""</f>
        <v/>
      </c>
      <c r="BB1271">
        <f>'Recurring Log'!M1275&amp;""</f>
        <v/>
      </c>
      <c r="BC1271">
        <f>'Recurring Log'!N1275&amp;""</f>
        <v/>
      </c>
      <c r="BD1271">
        <f>'Recurring Log'!O1275&amp;""</f>
        <v/>
      </c>
      <c r="BE1271">
        <f>IF('Recurring Log'!K1275="","",'Recurring Log'!K1275)</f>
        <v/>
      </c>
      <c r="BF1271">
        <f>IFERROR(MATCH(BA1271,Setup!$L$6:$L$9,0),5)</f>
        <v/>
      </c>
      <c r="BG1271">
        <f>IF(OR(AZ1271="Done",AZ1271="Cancelled"),1,0)</f>
        <v/>
      </c>
      <c r="BH1271">
        <f>IF(AND(AU1271&lt;&gt;"",ISNUMBER(AW1271)),1,0)</f>
        <v/>
      </c>
      <c r="BI1271">
        <f>IF(BH1271=0,0,IF(AND(AW1271&gt;='Tasks Filter'!$F$3,AW1271&lt;='Tasks Filter'!$F$4,OR('Tasks Filter'!$I$3="",ISNUMBER(SEARCH('Tasks Filter'!$I$3,AU1271))),OR('Tasks Filter'!$I$4="",BF1271=IFERROR(MATCH('Tasks Filter'!$I$4,Setup!$L$6:$L$9,0),0)),OR('Tasks Filter'!$I$5="Both",AND('Tasks Filter'!$I$5="Yes",BB1271="✓"),AND('Tasks Filter'!$I$5="No",BB1271&lt;&gt;"✓")),OR('Tasks Filter'!$L$3="",AV1271='Tasks Filter'!$L$3),OR('Tasks Filter'!$L$4="",AZ1271='Tasks Filter'!$L$4),OR('Tasks Filter'!$L$5="",BC1271='Tasks Filter'!$L$5),OR('Tasks Filter'!$O$3="",BD1271='Tasks Filter'!$O$3),OR('Tasks Filter'!$O$4="Yes",BG1271=0)),1,0))</f>
        <v/>
      </c>
      <c r="BJ1271">
        <f>IF(BH1271=0,"",IF('Tasks Filter'!$F$6="Descending",-1,1)*CHOOSE(MATCH('Tasks Filter'!$F$5,Lists!$G$2:$G$6,0),AW1271,BF1271,IFERROR(MATCH(AV1271,Setup!$F$6:$F$15,0),99),IFERROR(MATCH(BC1271,Setup!$H$6:$H$15,0),99),IFERROR(MATCH(AZ1271,Setup!$J$6:$J$11,0),99))*1E+9+(AW1271-40000)*10000+1270)</f>
        <v/>
      </c>
      <c r="BK1271">
        <f>IF(BI1271=1,BJ1271,"")</f>
        <v/>
      </c>
      <c r="BL1271">
        <f>IF(AND(BH1271=1,BG1271=0,N(AW1271)&lt;Setup!$D$7),(AW1271-40000)*10000+1270,"")</f>
        <v/>
      </c>
      <c r="BM1271">
        <f>IF(AND(BH1271=1,AZ1271&lt;&gt;"Cancelled",N(AW1271)&gt;=Dashboard!$AB$3,N(AW1271)&lt;=Dashboard!$AB$3+6),(AW1271-40000)*100000+BF1271*10000+1270,"")</f>
        <v/>
      </c>
      <c r="BN1271">
        <f>IF(AND(BH1271=1,AZ1271&lt;&gt;"Cancelled"),BF1271*10000+1270,"")</f>
        <v/>
      </c>
    </row>
    <row r="1272">
      <c r="AS1272" t="inlineStr">
        <is>
          <t>R</t>
        </is>
      </c>
      <c r="AT1272" t="n">
        <v>1276</v>
      </c>
      <c r="AU1272">
        <f>'Recurring Log'!C1276&amp;""</f>
        <v/>
      </c>
      <c r="AV1272">
        <f>'Recurring Log'!D1276&amp;""</f>
        <v/>
      </c>
      <c r="AW1272">
        <f>IF('Recurring Log'!E1276="","",'Recurring Log'!E1276)</f>
        <v/>
      </c>
      <c r="AX1272">
        <f>IF('Recurring Log'!G1276="","",'Recurring Log'!G1276)</f>
        <v/>
      </c>
      <c r="AY1272">
        <f>IF('Recurring Log'!H1276="","",'Recurring Log'!H1276)</f>
        <v/>
      </c>
      <c r="AZ1272">
        <f>IF(AU1272="","",IF('Recurring Log'!J1276="","Not Started",'Recurring Log'!J1276))</f>
        <v/>
      </c>
      <c r="BA1272">
        <f>'Recurring Log'!L1276&amp;""</f>
        <v/>
      </c>
      <c r="BB1272">
        <f>'Recurring Log'!M1276&amp;""</f>
        <v/>
      </c>
      <c r="BC1272">
        <f>'Recurring Log'!N1276&amp;""</f>
        <v/>
      </c>
      <c r="BD1272">
        <f>'Recurring Log'!O1276&amp;""</f>
        <v/>
      </c>
      <c r="BE1272">
        <f>IF('Recurring Log'!K1276="","",'Recurring Log'!K1276)</f>
        <v/>
      </c>
      <c r="BF1272">
        <f>IFERROR(MATCH(BA1272,Setup!$L$6:$L$9,0),5)</f>
        <v/>
      </c>
      <c r="BG1272">
        <f>IF(OR(AZ1272="Done",AZ1272="Cancelled"),1,0)</f>
        <v/>
      </c>
      <c r="BH1272">
        <f>IF(AND(AU1272&lt;&gt;"",ISNUMBER(AW1272)),1,0)</f>
        <v/>
      </c>
      <c r="BI1272">
        <f>IF(BH1272=0,0,IF(AND(AW1272&gt;='Tasks Filter'!$F$3,AW1272&lt;='Tasks Filter'!$F$4,OR('Tasks Filter'!$I$3="",ISNUMBER(SEARCH('Tasks Filter'!$I$3,AU1272))),OR('Tasks Filter'!$I$4="",BF1272=IFERROR(MATCH('Tasks Filter'!$I$4,Setup!$L$6:$L$9,0),0)),OR('Tasks Filter'!$I$5="Both",AND('Tasks Filter'!$I$5="Yes",BB1272="✓"),AND('Tasks Filter'!$I$5="No",BB1272&lt;&gt;"✓")),OR('Tasks Filter'!$L$3="",AV1272='Tasks Filter'!$L$3),OR('Tasks Filter'!$L$4="",AZ1272='Tasks Filter'!$L$4),OR('Tasks Filter'!$L$5="",BC1272='Tasks Filter'!$L$5),OR('Tasks Filter'!$O$3="",BD1272='Tasks Filter'!$O$3),OR('Tasks Filter'!$O$4="Yes",BG1272=0)),1,0))</f>
        <v/>
      </c>
      <c r="BJ1272">
        <f>IF(BH1272=0,"",IF('Tasks Filter'!$F$6="Descending",-1,1)*CHOOSE(MATCH('Tasks Filter'!$F$5,Lists!$G$2:$G$6,0),AW1272,BF1272,IFERROR(MATCH(AV1272,Setup!$F$6:$F$15,0),99),IFERROR(MATCH(BC1272,Setup!$H$6:$H$15,0),99),IFERROR(MATCH(AZ1272,Setup!$J$6:$J$11,0),99))*1E+9+(AW1272-40000)*10000+1271)</f>
        <v/>
      </c>
      <c r="BK1272">
        <f>IF(BI1272=1,BJ1272,"")</f>
        <v/>
      </c>
      <c r="BL1272">
        <f>IF(AND(BH1272=1,BG1272=0,N(AW1272)&lt;Setup!$D$7),(AW1272-40000)*10000+1271,"")</f>
        <v/>
      </c>
      <c r="BM1272">
        <f>IF(AND(BH1272=1,AZ1272&lt;&gt;"Cancelled",N(AW1272)&gt;=Dashboard!$AB$3,N(AW1272)&lt;=Dashboard!$AB$3+6),(AW1272-40000)*100000+BF1272*10000+1271,"")</f>
        <v/>
      </c>
      <c r="BN1272">
        <f>IF(AND(BH1272=1,AZ1272&lt;&gt;"Cancelled"),BF1272*10000+1271,"")</f>
        <v/>
      </c>
    </row>
    <row r="1273">
      <c r="AS1273" t="inlineStr">
        <is>
          <t>R</t>
        </is>
      </c>
      <c r="AT1273" t="n">
        <v>1277</v>
      </c>
      <c r="AU1273">
        <f>'Recurring Log'!C1277&amp;""</f>
        <v/>
      </c>
      <c r="AV1273">
        <f>'Recurring Log'!D1277&amp;""</f>
        <v/>
      </c>
      <c r="AW1273">
        <f>IF('Recurring Log'!E1277="","",'Recurring Log'!E1277)</f>
        <v/>
      </c>
      <c r="AX1273">
        <f>IF('Recurring Log'!G1277="","",'Recurring Log'!G1277)</f>
        <v/>
      </c>
      <c r="AY1273">
        <f>IF('Recurring Log'!H1277="","",'Recurring Log'!H1277)</f>
        <v/>
      </c>
      <c r="AZ1273">
        <f>IF(AU1273="","",IF('Recurring Log'!J1277="","Not Started",'Recurring Log'!J1277))</f>
        <v/>
      </c>
      <c r="BA1273">
        <f>'Recurring Log'!L1277&amp;""</f>
        <v/>
      </c>
      <c r="BB1273">
        <f>'Recurring Log'!M1277&amp;""</f>
        <v/>
      </c>
      <c r="BC1273">
        <f>'Recurring Log'!N1277&amp;""</f>
        <v/>
      </c>
      <c r="BD1273">
        <f>'Recurring Log'!O1277&amp;""</f>
        <v/>
      </c>
      <c r="BE1273">
        <f>IF('Recurring Log'!K1277="","",'Recurring Log'!K1277)</f>
        <v/>
      </c>
      <c r="BF1273">
        <f>IFERROR(MATCH(BA1273,Setup!$L$6:$L$9,0),5)</f>
        <v/>
      </c>
      <c r="BG1273">
        <f>IF(OR(AZ1273="Done",AZ1273="Cancelled"),1,0)</f>
        <v/>
      </c>
      <c r="BH1273">
        <f>IF(AND(AU1273&lt;&gt;"",ISNUMBER(AW1273)),1,0)</f>
        <v/>
      </c>
      <c r="BI1273">
        <f>IF(BH1273=0,0,IF(AND(AW1273&gt;='Tasks Filter'!$F$3,AW1273&lt;='Tasks Filter'!$F$4,OR('Tasks Filter'!$I$3="",ISNUMBER(SEARCH('Tasks Filter'!$I$3,AU1273))),OR('Tasks Filter'!$I$4="",BF1273=IFERROR(MATCH('Tasks Filter'!$I$4,Setup!$L$6:$L$9,0),0)),OR('Tasks Filter'!$I$5="Both",AND('Tasks Filter'!$I$5="Yes",BB1273="✓"),AND('Tasks Filter'!$I$5="No",BB1273&lt;&gt;"✓")),OR('Tasks Filter'!$L$3="",AV1273='Tasks Filter'!$L$3),OR('Tasks Filter'!$L$4="",AZ1273='Tasks Filter'!$L$4),OR('Tasks Filter'!$L$5="",BC1273='Tasks Filter'!$L$5),OR('Tasks Filter'!$O$3="",BD1273='Tasks Filter'!$O$3),OR('Tasks Filter'!$O$4="Yes",BG1273=0)),1,0))</f>
        <v/>
      </c>
      <c r="BJ1273">
        <f>IF(BH1273=0,"",IF('Tasks Filter'!$F$6="Descending",-1,1)*CHOOSE(MATCH('Tasks Filter'!$F$5,Lists!$G$2:$G$6,0),AW1273,BF1273,IFERROR(MATCH(AV1273,Setup!$F$6:$F$15,0),99),IFERROR(MATCH(BC1273,Setup!$H$6:$H$15,0),99),IFERROR(MATCH(AZ1273,Setup!$J$6:$J$11,0),99))*1E+9+(AW1273-40000)*10000+1272)</f>
        <v/>
      </c>
      <c r="BK1273">
        <f>IF(BI1273=1,BJ1273,"")</f>
        <v/>
      </c>
      <c r="BL1273">
        <f>IF(AND(BH1273=1,BG1273=0,N(AW1273)&lt;Setup!$D$7),(AW1273-40000)*10000+1272,"")</f>
        <v/>
      </c>
      <c r="BM1273">
        <f>IF(AND(BH1273=1,AZ1273&lt;&gt;"Cancelled",N(AW1273)&gt;=Dashboard!$AB$3,N(AW1273)&lt;=Dashboard!$AB$3+6),(AW1273-40000)*100000+BF1273*10000+1272,"")</f>
        <v/>
      </c>
      <c r="BN1273">
        <f>IF(AND(BH1273=1,AZ1273&lt;&gt;"Cancelled"),BF1273*10000+1272,"")</f>
        <v/>
      </c>
    </row>
    <row r="1274">
      <c r="AS1274" t="inlineStr">
        <is>
          <t>R</t>
        </is>
      </c>
      <c r="AT1274" t="n">
        <v>1278</v>
      </c>
      <c r="AU1274">
        <f>'Recurring Log'!C1278&amp;""</f>
        <v/>
      </c>
      <c r="AV1274">
        <f>'Recurring Log'!D1278&amp;""</f>
        <v/>
      </c>
      <c r="AW1274">
        <f>IF('Recurring Log'!E1278="","",'Recurring Log'!E1278)</f>
        <v/>
      </c>
      <c r="AX1274">
        <f>IF('Recurring Log'!G1278="","",'Recurring Log'!G1278)</f>
        <v/>
      </c>
      <c r="AY1274">
        <f>IF('Recurring Log'!H1278="","",'Recurring Log'!H1278)</f>
        <v/>
      </c>
      <c r="AZ1274">
        <f>IF(AU1274="","",IF('Recurring Log'!J1278="","Not Started",'Recurring Log'!J1278))</f>
        <v/>
      </c>
      <c r="BA1274">
        <f>'Recurring Log'!L1278&amp;""</f>
        <v/>
      </c>
      <c r="BB1274">
        <f>'Recurring Log'!M1278&amp;""</f>
        <v/>
      </c>
      <c r="BC1274">
        <f>'Recurring Log'!N1278&amp;""</f>
        <v/>
      </c>
      <c r="BD1274">
        <f>'Recurring Log'!O1278&amp;""</f>
        <v/>
      </c>
      <c r="BE1274">
        <f>IF('Recurring Log'!K1278="","",'Recurring Log'!K1278)</f>
        <v/>
      </c>
      <c r="BF1274">
        <f>IFERROR(MATCH(BA1274,Setup!$L$6:$L$9,0),5)</f>
        <v/>
      </c>
      <c r="BG1274">
        <f>IF(OR(AZ1274="Done",AZ1274="Cancelled"),1,0)</f>
        <v/>
      </c>
      <c r="BH1274">
        <f>IF(AND(AU1274&lt;&gt;"",ISNUMBER(AW1274)),1,0)</f>
        <v/>
      </c>
      <c r="BI1274">
        <f>IF(BH1274=0,0,IF(AND(AW1274&gt;='Tasks Filter'!$F$3,AW1274&lt;='Tasks Filter'!$F$4,OR('Tasks Filter'!$I$3="",ISNUMBER(SEARCH('Tasks Filter'!$I$3,AU1274))),OR('Tasks Filter'!$I$4="",BF1274=IFERROR(MATCH('Tasks Filter'!$I$4,Setup!$L$6:$L$9,0),0)),OR('Tasks Filter'!$I$5="Both",AND('Tasks Filter'!$I$5="Yes",BB1274="✓"),AND('Tasks Filter'!$I$5="No",BB1274&lt;&gt;"✓")),OR('Tasks Filter'!$L$3="",AV1274='Tasks Filter'!$L$3),OR('Tasks Filter'!$L$4="",AZ1274='Tasks Filter'!$L$4),OR('Tasks Filter'!$L$5="",BC1274='Tasks Filter'!$L$5),OR('Tasks Filter'!$O$3="",BD1274='Tasks Filter'!$O$3),OR('Tasks Filter'!$O$4="Yes",BG1274=0)),1,0))</f>
        <v/>
      </c>
      <c r="BJ1274">
        <f>IF(BH1274=0,"",IF('Tasks Filter'!$F$6="Descending",-1,1)*CHOOSE(MATCH('Tasks Filter'!$F$5,Lists!$G$2:$G$6,0),AW1274,BF1274,IFERROR(MATCH(AV1274,Setup!$F$6:$F$15,0),99),IFERROR(MATCH(BC1274,Setup!$H$6:$H$15,0),99),IFERROR(MATCH(AZ1274,Setup!$J$6:$J$11,0),99))*1E+9+(AW1274-40000)*10000+1273)</f>
        <v/>
      </c>
      <c r="BK1274">
        <f>IF(BI1274=1,BJ1274,"")</f>
        <v/>
      </c>
      <c r="BL1274">
        <f>IF(AND(BH1274=1,BG1274=0,N(AW1274)&lt;Setup!$D$7),(AW1274-40000)*10000+1273,"")</f>
        <v/>
      </c>
      <c r="BM1274">
        <f>IF(AND(BH1274=1,AZ1274&lt;&gt;"Cancelled",N(AW1274)&gt;=Dashboard!$AB$3,N(AW1274)&lt;=Dashboard!$AB$3+6),(AW1274-40000)*100000+BF1274*10000+1273,"")</f>
        <v/>
      </c>
      <c r="BN1274">
        <f>IF(AND(BH1274=1,AZ1274&lt;&gt;"Cancelled"),BF1274*10000+1273,"")</f>
        <v/>
      </c>
    </row>
    <row r="1275">
      <c r="AS1275" t="inlineStr">
        <is>
          <t>R</t>
        </is>
      </c>
      <c r="AT1275" t="n">
        <v>1279</v>
      </c>
      <c r="AU1275">
        <f>'Recurring Log'!C1279&amp;""</f>
        <v/>
      </c>
      <c r="AV1275">
        <f>'Recurring Log'!D1279&amp;""</f>
        <v/>
      </c>
      <c r="AW1275">
        <f>IF('Recurring Log'!E1279="","",'Recurring Log'!E1279)</f>
        <v/>
      </c>
      <c r="AX1275">
        <f>IF('Recurring Log'!G1279="","",'Recurring Log'!G1279)</f>
        <v/>
      </c>
      <c r="AY1275">
        <f>IF('Recurring Log'!H1279="","",'Recurring Log'!H1279)</f>
        <v/>
      </c>
      <c r="AZ1275">
        <f>IF(AU1275="","",IF('Recurring Log'!J1279="","Not Started",'Recurring Log'!J1279))</f>
        <v/>
      </c>
      <c r="BA1275">
        <f>'Recurring Log'!L1279&amp;""</f>
        <v/>
      </c>
      <c r="BB1275">
        <f>'Recurring Log'!M1279&amp;""</f>
        <v/>
      </c>
      <c r="BC1275">
        <f>'Recurring Log'!N1279&amp;""</f>
        <v/>
      </c>
      <c r="BD1275">
        <f>'Recurring Log'!O1279&amp;""</f>
        <v/>
      </c>
      <c r="BE1275">
        <f>IF('Recurring Log'!K1279="","",'Recurring Log'!K1279)</f>
        <v/>
      </c>
      <c r="BF1275">
        <f>IFERROR(MATCH(BA1275,Setup!$L$6:$L$9,0),5)</f>
        <v/>
      </c>
      <c r="BG1275">
        <f>IF(OR(AZ1275="Done",AZ1275="Cancelled"),1,0)</f>
        <v/>
      </c>
      <c r="BH1275">
        <f>IF(AND(AU1275&lt;&gt;"",ISNUMBER(AW1275)),1,0)</f>
        <v/>
      </c>
      <c r="BI1275">
        <f>IF(BH1275=0,0,IF(AND(AW1275&gt;='Tasks Filter'!$F$3,AW1275&lt;='Tasks Filter'!$F$4,OR('Tasks Filter'!$I$3="",ISNUMBER(SEARCH('Tasks Filter'!$I$3,AU1275))),OR('Tasks Filter'!$I$4="",BF1275=IFERROR(MATCH('Tasks Filter'!$I$4,Setup!$L$6:$L$9,0),0)),OR('Tasks Filter'!$I$5="Both",AND('Tasks Filter'!$I$5="Yes",BB1275="✓"),AND('Tasks Filter'!$I$5="No",BB1275&lt;&gt;"✓")),OR('Tasks Filter'!$L$3="",AV1275='Tasks Filter'!$L$3),OR('Tasks Filter'!$L$4="",AZ1275='Tasks Filter'!$L$4),OR('Tasks Filter'!$L$5="",BC1275='Tasks Filter'!$L$5),OR('Tasks Filter'!$O$3="",BD1275='Tasks Filter'!$O$3),OR('Tasks Filter'!$O$4="Yes",BG1275=0)),1,0))</f>
        <v/>
      </c>
      <c r="BJ1275">
        <f>IF(BH1275=0,"",IF('Tasks Filter'!$F$6="Descending",-1,1)*CHOOSE(MATCH('Tasks Filter'!$F$5,Lists!$G$2:$G$6,0),AW1275,BF1275,IFERROR(MATCH(AV1275,Setup!$F$6:$F$15,0),99),IFERROR(MATCH(BC1275,Setup!$H$6:$H$15,0),99),IFERROR(MATCH(AZ1275,Setup!$J$6:$J$11,0),99))*1E+9+(AW1275-40000)*10000+1274)</f>
        <v/>
      </c>
      <c r="BK1275">
        <f>IF(BI1275=1,BJ1275,"")</f>
        <v/>
      </c>
      <c r="BL1275">
        <f>IF(AND(BH1275=1,BG1275=0,N(AW1275)&lt;Setup!$D$7),(AW1275-40000)*10000+1274,"")</f>
        <v/>
      </c>
      <c r="BM1275">
        <f>IF(AND(BH1275=1,AZ1275&lt;&gt;"Cancelled",N(AW1275)&gt;=Dashboard!$AB$3,N(AW1275)&lt;=Dashboard!$AB$3+6),(AW1275-40000)*100000+BF1275*10000+1274,"")</f>
        <v/>
      </c>
      <c r="BN1275">
        <f>IF(AND(BH1275=1,AZ1275&lt;&gt;"Cancelled"),BF1275*10000+1274,"")</f>
        <v/>
      </c>
    </row>
    <row r="1276">
      <c r="AS1276" t="inlineStr">
        <is>
          <t>R</t>
        </is>
      </c>
      <c r="AT1276" t="n">
        <v>1280</v>
      </c>
      <c r="AU1276">
        <f>'Recurring Log'!C1280&amp;""</f>
        <v/>
      </c>
      <c r="AV1276">
        <f>'Recurring Log'!D1280&amp;""</f>
        <v/>
      </c>
      <c r="AW1276">
        <f>IF('Recurring Log'!E1280="","",'Recurring Log'!E1280)</f>
        <v/>
      </c>
      <c r="AX1276">
        <f>IF('Recurring Log'!G1280="","",'Recurring Log'!G1280)</f>
        <v/>
      </c>
      <c r="AY1276">
        <f>IF('Recurring Log'!H1280="","",'Recurring Log'!H1280)</f>
        <v/>
      </c>
      <c r="AZ1276">
        <f>IF(AU1276="","",IF('Recurring Log'!J1280="","Not Started",'Recurring Log'!J1280))</f>
        <v/>
      </c>
      <c r="BA1276">
        <f>'Recurring Log'!L1280&amp;""</f>
        <v/>
      </c>
      <c r="BB1276">
        <f>'Recurring Log'!M1280&amp;""</f>
        <v/>
      </c>
      <c r="BC1276">
        <f>'Recurring Log'!N1280&amp;""</f>
        <v/>
      </c>
      <c r="BD1276">
        <f>'Recurring Log'!O1280&amp;""</f>
        <v/>
      </c>
      <c r="BE1276">
        <f>IF('Recurring Log'!K1280="","",'Recurring Log'!K1280)</f>
        <v/>
      </c>
      <c r="BF1276">
        <f>IFERROR(MATCH(BA1276,Setup!$L$6:$L$9,0),5)</f>
        <v/>
      </c>
      <c r="BG1276">
        <f>IF(OR(AZ1276="Done",AZ1276="Cancelled"),1,0)</f>
        <v/>
      </c>
      <c r="BH1276">
        <f>IF(AND(AU1276&lt;&gt;"",ISNUMBER(AW1276)),1,0)</f>
        <v/>
      </c>
      <c r="BI1276">
        <f>IF(BH1276=0,0,IF(AND(AW1276&gt;='Tasks Filter'!$F$3,AW1276&lt;='Tasks Filter'!$F$4,OR('Tasks Filter'!$I$3="",ISNUMBER(SEARCH('Tasks Filter'!$I$3,AU1276))),OR('Tasks Filter'!$I$4="",BF1276=IFERROR(MATCH('Tasks Filter'!$I$4,Setup!$L$6:$L$9,0),0)),OR('Tasks Filter'!$I$5="Both",AND('Tasks Filter'!$I$5="Yes",BB1276="✓"),AND('Tasks Filter'!$I$5="No",BB1276&lt;&gt;"✓")),OR('Tasks Filter'!$L$3="",AV1276='Tasks Filter'!$L$3),OR('Tasks Filter'!$L$4="",AZ1276='Tasks Filter'!$L$4),OR('Tasks Filter'!$L$5="",BC1276='Tasks Filter'!$L$5),OR('Tasks Filter'!$O$3="",BD1276='Tasks Filter'!$O$3),OR('Tasks Filter'!$O$4="Yes",BG1276=0)),1,0))</f>
        <v/>
      </c>
      <c r="BJ1276">
        <f>IF(BH1276=0,"",IF('Tasks Filter'!$F$6="Descending",-1,1)*CHOOSE(MATCH('Tasks Filter'!$F$5,Lists!$G$2:$G$6,0),AW1276,BF1276,IFERROR(MATCH(AV1276,Setup!$F$6:$F$15,0),99),IFERROR(MATCH(BC1276,Setup!$H$6:$H$15,0),99),IFERROR(MATCH(AZ1276,Setup!$J$6:$J$11,0),99))*1E+9+(AW1276-40000)*10000+1275)</f>
        <v/>
      </c>
      <c r="BK1276">
        <f>IF(BI1276=1,BJ1276,"")</f>
        <v/>
      </c>
      <c r="BL1276">
        <f>IF(AND(BH1276=1,BG1276=0,N(AW1276)&lt;Setup!$D$7),(AW1276-40000)*10000+1275,"")</f>
        <v/>
      </c>
      <c r="BM1276">
        <f>IF(AND(BH1276=1,AZ1276&lt;&gt;"Cancelled",N(AW1276)&gt;=Dashboard!$AB$3,N(AW1276)&lt;=Dashboard!$AB$3+6),(AW1276-40000)*100000+BF1276*10000+1275,"")</f>
        <v/>
      </c>
      <c r="BN1276">
        <f>IF(AND(BH1276=1,AZ1276&lt;&gt;"Cancelled"),BF1276*10000+1275,"")</f>
        <v/>
      </c>
    </row>
    <row r="1277">
      <c r="AS1277" t="inlineStr">
        <is>
          <t>R</t>
        </is>
      </c>
      <c r="AT1277" t="n">
        <v>1281</v>
      </c>
      <c r="AU1277">
        <f>'Recurring Log'!C1281&amp;""</f>
        <v/>
      </c>
      <c r="AV1277">
        <f>'Recurring Log'!D1281&amp;""</f>
        <v/>
      </c>
      <c r="AW1277">
        <f>IF('Recurring Log'!E1281="","",'Recurring Log'!E1281)</f>
        <v/>
      </c>
      <c r="AX1277">
        <f>IF('Recurring Log'!G1281="","",'Recurring Log'!G1281)</f>
        <v/>
      </c>
      <c r="AY1277">
        <f>IF('Recurring Log'!H1281="","",'Recurring Log'!H1281)</f>
        <v/>
      </c>
      <c r="AZ1277">
        <f>IF(AU1277="","",IF('Recurring Log'!J1281="","Not Started",'Recurring Log'!J1281))</f>
        <v/>
      </c>
      <c r="BA1277">
        <f>'Recurring Log'!L1281&amp;""</f>
        <v/>
      </c>
      <c r="BB1277">
        <f>'Recurring Log'!M1281&amp;""</f>
        <v/>
      </c>
      <c r="BC1277">
        <f>'Recurring Log'!N1281&amp;""</f>
        <v/>
      </c>
      <c r="BD1277">
        <f>'Recurring Log'!O1281&amp;""</f>
        <v/>
      </c>
      <c r="BE1277">
        <f>IF('Recurring Log'!K1281="","",'Recurring Log'!K1281)</f>
        <v/>
      </c>
      <c r="BF1277">
        <f>IFERROR(MATCH(BA1277,Setup!$L$6:$L$9,0),5)</f>
        <v/>
      </c>
      <c r="BG1277">
        <f>IF(OR(AZ1277="Done",AZ1277="Cancelled"),1,0)</f>
        <v/>
      </c>
      <c r="BH1277">
        <f>IF(AND(AU1277&lt;&gt;"",ISNUMBER(AW1277)),1,0)</f>
        <v/>
      </c>
      <c r="BI1277">
        <f>IF(BH1277=0,0,IF(AND(AW1277&gt;='Tasks Filter'!$F$3,AW1277&lt;='Tasks Filter'!$F$4,OR('Tasks Filter'!$I$3="",ISNUMBER(SEARCH('Tasks Filter'!$I$3,AU1277))),OR('Tasks Filter'!$I$4="",BF1277=IFERROR(MATCH('Tasks Filter'!$I$4,Setup!$L$6:$L$9,0),0)),OR('Tasks Filter'!$I$5="Both",AND('Tasks Filter'!$I$5="Yes",BB1277="✓"),AND('Tasks Filter'!$I$5="No",BB1277&lt;&gt;"✓")),OR('Tasks Filter'!$L$3="",AV1277='Tasks Filter'!$L$3),OR('Tasks Filter'!$L$4="",AZ1277='Tasks Filter'!$L$4),OR('Tasks Filter'!$L$5="",BC1277='Tasks Filter'!$L$5),OR('Tasks Filter'!$O$3="",BD1277='Tasks Filter'!$O$3),OR('Tasks Filter'!$O$4="Yes",BG1277=0)),1,0))</f>
        <v/>
      </c>
      <c r="BJ1277">
        <f>IF(BH1277=0,"",IF('Tasks Filter'!$F$6="Descending",-1,1)*CHOOSE(MATCH('Tasks Filter'!$F$5,Lists!$G$2:$G$6,0),AW1277,BF1277,IFERROR(MATCH(AV1277,Setup!$F$6:$F$15,0),99),IFERROR(MATCH(BC1277,Setup!$H$6:$H$15,0),99),IFERROR(MATCH(AZ1277,Setup!$J$6:$J$11,0),99))*1E+9+(AW1277-40000)*10000+1276)</f>
        <v/>
      </c>
      <c r="BK1277">
        <f>IF(BI1277=1,BJ1277,"")</f>
        <v/>
      </c>
      <c r="BL1277">
        <f>IF(AND(BH1277=1,BG1277=0,N(AW1277)&lt;Setup!$D$7),(AW1277-40000)*10000+1276,"")</f>
        <v/>
      </c>
      <c r="BM1277">
        <f>IF(AND(BH1277=1,AZ1277&lt;&gt;"Cancelled",N(AW1277)&gt;=Dashboard!$AB$3,N(AW1277)&lt;=Dashboard!$AB$3+6),(AW1277-40000)*100000+BF1277*10000+1276,"")</f>
        <v/>
      </c>
      <c r="BN1277">
        <f>IF(AND(BH1277=1,AZ1277&lt;&gt;"Cancelled"),BF1277*10000+1276,"")</f>
        <v/>
      </c>
    </row>
    <row r="1278">
      <c r="AS1278" t="inlineStr">
        <is>
          <t>R</t>
        </is>
      </c>
      <c r="AT1278" t="n">
        <v>1282</v>
      </c>
      <c r="AU1278">
        <f>'Recurring Log'!C1282&amp;""</f>
        <v/>
      </c>
      <c r="AV1278">
        <f>'Recurring Log'!D1282&amp;""</f>
        <v/>
      </c>
      <c r="AW1278">
        <f>IF('Recurring Log'!E1282="","",'Recurring Log'!E1282)</f>
        <v/>
      </c>
      <c r="AX1278">
        <f>IF('Recurring Log'!G1282="","",'Recurring Log'!G1282)</f>
        <v/>
      </c>
      <c r="AY1278">
        <f>IF('Recurring Log'!H1282="","",'Recurring Log'!H1282)</f>
        <v/>
      </c>
      <c r="AZ1278">
        <f>IF(AU1278="","",IF('Recurring Log'!J1282="","Not Started",'Recurring Log'!J1282))</f>
        <v/>
      </c>
      <c r="BA1278">
        <f>'Recurring Log'!L1282&amp;""</f>
        <v/>
      </c>
      <c r="BB1278">
        <f>'Recurring Log'!M1282&amp;""</f>
        <v/>
      </c>
      <c r="BC1278">
        <f>'Recurring Log'!N1282&amp;""</f>
        <v/>
      </c>
      <c r="BD1278">
        <f>'Recurring Log'!O1282&amp;""</f>
        <v/>
      </c>
      <c r="BE1278">
        <f>IF('Recurring Log'!K1282="","",'Recurring Log'!K1282)</f>
        <v/>
      </c>
      <c r="BF1278">
        <f>IFERROR(MATCH(BA1278,Setup!$L$6:$L$9,0),5)</f>
        <v/>
      </c>
      <c r="BG1278">
        <f>IF(OR(AZ1278="Done",AZ1278="Cancelled"),1,0)</f>
        <v/>
      </c>
      <c r="BH1278">
        <f>IF(AND(AU1278&lt;&gt;"",ISNUMBER(AW1278)),1,0)</f>
        <v/>
      </c>
      <c r="BI1278">
        <f>IF(BH1278=0,0,IF(AND(AW1278&gt;='Tasks Filter'!$F$3,AW1278&lt;='Tasks Filter'!$F$4,OR('Tasks Filter'!$I$3="",ISNUMBER(SEARCH('Tasks Filter'!$I$3,AU1278))),OR('Tasks Filter'!$I$4="",BF1278=IFERROR(MATCH('Tasks Filter'!$I$4,Setup!$L$6:$L$9,0),0)),OR('Tasks Filter'!$I$5="Both",AND('Tasks Filter'!$I$5="Yes",BB1278="✓"),AND('Tasks Filter'!$I$5="No",BB1278&lt;&gt;"✓")),OR('Tasks Filter'!$L$3="",AV1278='Tasks Filter'!$L$3),OR('Tasks Filter'!$L$4="",AZ1278='Tasks Filter'!$L$4),OR('Tasks Filter'!$L$5="",BC1278='Tasks Filter'!$L$5),OR('Tasks Filter'!$O$3="",BD1278='Tasks Filter'!$O$3),OR('Tasks Filter'!$O$4="Yes",BG1278=0)),1,0))</f>
        <v/>
      </c>
      <c r="BJ1278">
        <f>IF(BH1278=0,"",IF('Tasks Filter'!$F$6="Descending",-1,1)*CHOOSE(MATCH('Tasks Filter'!$F$5,Lists!$G$2:$G$6,0),AW1278,BF1278,IFERROR(MATCH(AV1278,Setup!$F$6:$F$15,0),99),IFERROR(MATCH(BC1278,Setup!$H$6:$H$15,0),99),IFERROR(MATCH(AZ1278,Setup!$J$6:$J$11,0),99))*1E+9+(AW1278-40000)*10000+1277)</f>
        <v/>
      </c>
      <c r="BK1278">
        <f>IF(BI1278=1,BJ1278,"")</f>
        <v/>
      </c>
      <c r="BL1278">
        <f>IF(AND(BH1278=1,BG1278=0,N(AW1278)&lt;Setup!$D$7),(AW1278-40000)*10000+1277,"")</f>
        <v/>
      </c>
      <c r="BM1278">
        <f>IF(AND(BH1278=1,AZ1278&lt;&gt;"Cancelled",N(AW1278)&gt;=Dashboard!$AB$3,N(AW1278)&lt;=Dashboard!$AB$3+6),(AW1278-40000)*100000+BF1278*10000+1277,"")</f>
        <v/>
      </c>
      <c r="BN1278">
        <f>IF(AND(BH1278=1,AZ1278&lt;&gt;"Cancelled"),BF1278*10000+1277,"")</f>
        <v/>
      </c>
    </row>
    <row r="1279">
      <c r="AS1279" t="inlineStr">
        <is>
          <t>R</t>
        </is>
      </c>
      <c r="AT1279" t="n">
        <v>1283</v>
      </c>
      <c r="AU1279">
        <f>'Recurring Log'!C1283&amp;""</f>
        <v/>
      </c>
      <c r="AV1279">
        <f>'Recurring Log'!D1283&amp;""</f>
        <v/>
      </c>
      <c r="AW1279">
        <f>IF('Recurring Log'!E1283="","",'Recurring Log'!E1283)</f>
        <v/>
      </c>
      <c r="AX1279">
        <f>IF('Recurring Log'!G1283="","",'Recurring Log'!G1283)</f>
        <v/>
      </c>
      <c r="AY1279">
        <f>IF('Recurring Log'!H1283="","",'Recurring Log'!H1283)</f>
        <v/>
      </c>
      <c r="AZ1279">
        <f>IF(AU1279="","",IF('Recurring Log'!J1283="","Not Started",'Recurring Log'!J1283))</f>
        <v/>
      </c>
      <c r="BA1279">
        <f>'Recurring Log'!L1283&amp;""</f>
        <v/>
      </c>
      <c r="BB1279">
        <f>'Recurring Log'!M1283&amp;""</f>
        <v/>
      </c>
      <c r="BC1279">
        <f>'Recurring Log'!N1283&amp;""</f>
        <v/>
      </c>
      <c r="BD1279">
        <f>'Recurring Log'!O1283&amp;""</f>
        <v/>
      </c>
      <c r="BE1279">
        <f>IF('Recurring Log'!K1283="","",'Recurring Log'!K1283)</f>
        <v/>
      </c>
      <c r="BF1279">
        <f>IFERROR(MATCH(BA1279,Setup!$L$6:$L$9,0),5)</f>
        <v/>
      </c>
      <c r="BG1279">
        <f>IF(OR(AZ1279="Done",AZ1279="Cancelled"),1,0)</f>
        <v/>
      </c>
      <c r="BH1279">
        <f>IF(AND(AU1279&lt;&gt;"",ISNUMBER(AW1279)),1,0)</f>
        <v/>
      </c>
      <c r="BI1279">
        <f>IF(BH1279=0,0,IF(AND(AW1279&gt;='Tasks Filter'!$F$3,AW1279&lt;='Tasks Filter'!$F$4,OR('Tasks Filter'!$I$3="",ISNUMBER(SEARCH('Tasks Filter'!$I$3,AU1279))),OR('Tasks Filter'!$I$4="",BF1279=IFERROR(MATCH('Tasks Filter'!$I$4,Setup!$L$6:$L$9,0),0)),OR('Tasks Filter'!$I$5="Both",AND('Tasks Filter'!$I$5="Yes",BB1279="✓"),AND('Tasks Filter'!$I$5="No",BB1279&lt;&gt;"✓")),OR('Tasks Filter'!$L$3="",AV1279='Tasks Filter'!$L$3),OR('Tasks Filter'!$L$4="",AZ1279='Tasks Filter'!$L$4),OR('Tasks Filter'!$L$5="",BC1279='Tasks Filter'!$L$5),OR('Tasks Filter'!$O$3="",BD1279='Tasks Filter'!$O$3),OR('Tasks Filter'!$O$4="Yes",BG1279=0)),1,0))</f>
        <v/>
      </c>
      <c r="BJ1279">
        <f>IF(BH1279=0,"",IF('Tasks Filter'!$F$6="Descending",-1,1)*CHOOSE(MATCH('Tasks Filter'!$F$5,Lists!$G$2:$G$6,0),AW1279,BF1279,IFERROR(MATCH(AV1279,Setup!$F$6:$F$15,0),99),IFERROR(MATCH(BC1279,Setup!$H$6:$H$15,0),99),IFERROR(MATCH(AZ1279,Setup!$J$6:$J$11,0),99))*1E+9+(AW1279-40000)*10000+1278)</f>
        <v/>
      </c>
      <c r="BK1279">
        <f>IF(BI1279=1,BJ1279,"")</f>
        <v/>
      </c>
      <c r="BL1279">
        <f>IF(AND(BH1279=1,BG1279=0,N(AW1279)&lt;Setup!$D$7),(AW1279-40000)*10000+1278,"")</f>
        <v/>
      </c>
      <c r="BM1279">
        <f>IF(AND(BH1279=1,AZ1279&lt;&gt;"Cancelled",N(AW1279)&gt;=Dashboard!$AB$3,N(AW1279)&lt;=Dashboard!$AB$3+6),(AW1279-40000)*100000+BF1279*10000+1278,"")</f>
        <v/>
      </c>
      <c r="BN1279">
        <f>IF(AND(BH1279=1,AZ1279&lt;&gt;"Cancelled"),BF1279*10000+1278,"")</f>
        <v/>
      </c>
    </row>
    <row r="1280">
      <c r="AS1280" t="inlineStr">
        <is>
          <t>R</t>
        </is>
      </c>
      <c r="AT1280" t="n">
        <v>1284</v>
      </c>
      <c r="AU1280">
        <f>'Recurring Log'!C1284&amp;""</f>
        <v/>
      </c>
      <c r="AV1280">
        <f>'Recurring Log'!D1284&amp;""</f>
        <v/>
      </c>
      <c r="AW1280">
        <f>IF('Recurring Log'!E1284="","",'Recurring Log'!E1284)</f>
        <v/>
      </c>
      <c r="AX1280">
        <f>IF('Recurring Log'!G1284="","",'Recurring Log'!G1284)</f>
        <v/>
      </c>
      <c r="AY1280">
        <f>IF('Recurring Log'!H1284="","",'Recurring Log'!H1284)</f>
        <v/>
      </c>
      <c r="AZ1280">
        <f>IF(AU1280="","",IF('Recurring Log'!J1284="","Not Started",'Recurring Log'!J1284))</f>
        <v/>
      </c>
      <c r="BA1280">
        <f>'Recurring Log'!L1284&amp;""</f>
        <v/>
      </c>
      <c r="BB1280">
        <f>'Recurring Log'!M1284&amp;""</f>
        <v/>
      </c>
      <c r="BC1280">
        <f>'Recurring Log'!N1284&amp;""</f>
        <v/>
      </c>
      <c r="BD1280">
        <f>'Recurring Log'!O1284&amp;""</f>
        <v/>
      </c>
      <c r="BE1280">
        <f>IF('Recurring Log'!K1284="","",'Recurring Log'!K1284)</f>
        <v/>
      </c>
      <c r="BF1280">
        <f>IFERROR(MATCH(BA1280,Setup!$L$6:$L$9,0),5)</f>
        <v/>
      </c>
      <c r="BG1280">
        <f>IF(OR(AZ1280="Done",AZ1280="Cancelled"),1,0)</f>
        <v/>
      </c>
      <c r="BH1280">
        <f>IF(AND(AU1280&lt;&gt;"",ISNUMBER(AW1280)),1,0)</f>
        <v/>
      </c>
      <c r="BI1280">
        <f>IF(BH1280=0,0,IF(AND(AW1280&gt;='Tasks Filter'!$F$3,AW1280&lt;='Tasks Filter'!$F$4,OR('Tasks Filter'!$I$3="",ISNUMBER(SEARCH('Tasks Filter'!$I$3,AU1280))),OR('Tasks Filter'!$I$4="",BF1280=IFERROR(MATCH('Tasks Filter'!$I$4,Setup!$L$6:$L$9,0),0)),OR('Tasks Filter'!$I$5="Both",AND('Tasks Filter'!$I$5="Yes",BB1280="✓"),AND('Tasks Filter'!$I$5="No",BB1280&lt;&gt;"✓")),OR('Tasks Filter'!$L$3="",AV1280='Tasks Filter'!$L$3),OR('Tasks Filter'!$L$4="",AZ1280='Tasks Filter'!$L$4),OR('Tasks Filter'!$L$5="",BC1280='Tasks Filter'!$L$5),OR('Tasks Filter'!$O$3="",BD1280='Tasks Filter'!$O$3),OR('Tasks Filter'!$O$4="Yes",BG1280=0)),1,0))</f>
        <v/>
      </c>
      <c r="BJ1280">
        <f>IF(BH1280=0,"",IF('Tasks Filter'!$F$6="Descending",-1,1)*CHOOSE(MATCH('Tasks Filter'!$F$5,Lists!$G$2:$G$6,0),AW1280,BF1280,IFERROR(MATCH(AV1280,Setup!$F$6:$F$15,0),99),IFERROR(MATCH(BC1280,Setup!$H$6:$H$15,0),99),IFERROR(MATCH(AZ1280,Setup!$J$6:$J$11,0),99))*1E+9+(AW1280-40000)*10000+1279)</f>
        <v/>
      </c>
      <c r="BK1280">
        <f>IF(BI1280=1,BJ1280,"")</f>
        <v/>
      </c>
      <c r="BL1280">
        <f>IF(AND(BH1280=1,BG1280=0,N(AW1280)&lt;Setup!$D$7),(AW1280-40000)*10000+1279,"")</f>
        <v/>
      </c>
      <c r="BM1280">
        <f>IF(AND(BH1280=1,AZ1280&lt;&gt;"Cancelled",N(AW1280)&gt;=Dashboard!$AB$3,N(AW1280)&lt;=Dashboard!$AB$3+6),(AW1280-40000)*100000+BF1280*10000+1279,"")</f>
        <v/>
      </c>
      <c r="BN1280">
        <f>IF(AND(BH1280=1,AZ1280&lt;&gt;"Cancelled"),BF1280*10000+1279,"")</f>
        <v/>
      </c>
    </row>
    <row r="1281">
      <c r="AS1281" t="inlineStr">
        <is>
          <t>R</t>
        </is>
      </c>
      <c r="AT1281" t="n">
        <v>1285</v>
      </c>
      <c r="AU1281">
        <f>'Recurring Log'!C1285&amp;""</f>
        <v/>
      </c>
      <c r="AV1281">
        <f>'Recurring Log'!D1285&amp;""</f>
        <v/>
      </c>
      <c r="AW1281">
        <f>IF('Recurring Log'!E1285="","",'Recurring Log'!E1285)</f>
        <v/>
      </c>
      <c r="AX1281">
        <f>IF('Recurring Log'!G1285="","",'Recurring Log'!G1285)</f>
        <v/>
      </c>
      <c r="AY1281">
        <f>IF('Recurring Log'!H1285="","",'Recurring Log'!H1285)</f>
        <v/>
      </c>
      <c r="AZ1281">
        <f>IF(AU1281="","",IF('Recurring Log'!J1285="","Not Started",'Recurring Log'!J1285))</f>
        <v/>
      </c>
      <c r="BA1281">
        <f>'Recurring Log'!L1285&amp;""</f>
        <v/>
      </c>
      <c r="BB1281">
        <f>'Recurring Log'!M1285&amp;""</f>
        <v/>
      </c>
      <c r="BC1281">
        <f>'Recurring Log'!N1285&amp;""</f>
        <v/>
      </c>
      <c r="BD1281">
        <f>'Recurring Log'!O1285&amp;""</f>
        <v/>
      </c>
      <c r="BE1281">
        <f>IF('Recurring Log'!K1285="","",'Recurring Log'!K1285)</f>
        <v/>
      </c>
      <c r="BF1281">
        <f>IFERROR(MATCH(BA1281,Setup!$L$6:$L$9,0),5)</f>
        <v/>
      </c>
      <c r="BG1281">
        <f>IF(OR(AZ1281="Done",AZ1281="Cancelled"),1,0)</f>
        <v/>
      </c>
      <c r="BH1281">
        <f>IF(AND(AU1281&lt;&gt;"",ISNUMBER(AW1281)),1,0)</f>
        <v/>
      </c>
      <c r="BI1281">
        <f>IF(BH1281=0,0,IF(AND(AW1281&gt;='Tasks Filter'!$F$3,AW1281&lt;='Tasks Filter'!$F$4,OR('Tasks Filter'!$I$3="",ISNUMBER(SEARCH('Tasks Filter'!$I$3,AU1281))),OR('Tasks Filter'!$I$4="",BF1281=IFERROR(MATCH('Tasks Filter'!$I$4,Setup!$L$6:$L$9,0),0)),OR('Tasks Filter'!$I$5="Both",AND('Tasks Filter'!$I$5="Yes",BB1281="✓"),AND('Tasks Filter'!$I$5="No",BB1281&lt;&gt;"✓")),OR('Tasks Filter'!$L$3="",AV1281='Tasks Filter'!$L$3),OR('Tasks Filter'!$L$4="",AZ1281='Tasks Filter'!$L$4),OR('Tasks Filter'!$L$5="",BC1281='Tasks Filter'!$L$5),OR('Tasks Filter'!$O$3="",BD1281='Tasks Filter'!$O$3),OR('Tasks Filter'!$O$4="Yes",BG1281=0)),1,0))</f>
        <v/>
      </c>
      <c r="BJ1281">
        <f>IF(BH1281=0,"",IF('Tasks Filter'!$F$6="Descending",-1,1)*CHOOSE(MATCH('Tasks Filter'!$F$5,Lists!$G$2:$G$6,0),AW1281,BF1281,IFERROR(MATCH(AV1281,Setup!$F$6:$F$15,0),99),IFERROR(MATCH(BC1281,Setup!$H$6:$H$15,0),99),IFERROR(MATCH(AZ1281,Setup!$J$6:$J$11,0),99))*1E+9+(AW1281-40000)*10000+1280)</f>
        <v/>
      </c>
      <c r="BK1281">
        <f>IF(BI1281=1,BJ1281,"")</f>
        <v/>
      </c>
      <c r="BL1281">
        <f>IF(AND(BH1281=1,BG1281=0,N(AW1281)&lt;Setup!$D$7),(AW1281-40000)*10000+1280,"")</f>
        <v/>
      </c>
      <c r="BM1281">
        <f>IF(AND(BH1281=1,AZ1281&lt;&gt;"Cancelled",N(AW1281)&gt;=Dashboard!$AB$3,N(AW1281)&lt;=Dashboard!$AB$3+6),(AW1281-40000)*100000+BF1281*10000+1280,"")</f>
        <v/>
      </c>
      <c r="BN1281">
        <f>IF(AND(BH1281=1,AZ1281&lt;&gt;"Cancelled"),BF1281*10000+1280,"")</f>
        <v/>
      </c>
    </row>
    <row r="1282">
      <c r="AS1282" t="inlineStr">
        <is>
          <t>R</t>
        </is>
      </c>
      <c r="AT1282" t="n">
        <v>1286</v>
      </c>
      <c r="AU1282">
        <f>'Recurring Log'!C1286&amp;""</f>
        <v/>
      </c>
      <c r="AV1282">
        <f>'Recurring Log'!D1286&amp;""</f>
        <v/>
      </c>
      <c r="AW1282">
        <f>IF('Recurring Log'!E1286="","",'Recurring Log'!E1286)</f>
        <v/>
      </c>
      <c r="AX1282">
        <f>IF('Recurring Log'!G1286="","",'Recurring Log'!G1286)</f>
        <v/>
      </c>
      <c r="AY1282">
        <f>IF('Recurring Log'!H1286="","",'Recurring Log'!H1286)</f>
        <v/>
      </c>
      <c r="AZ1282">
        <f>IF(AU1282="","",IF('Recurring Log'!J1286="","Not Started",'Recurring Log'!J1286))</f>
        <v/>
      </c>
      <c r="BA1282">
        <f>'Recurring Log'!L1286&amp;""</f>
        <v/>
      </c>
      <c r="BB1282">
        <f>'Recurring Log'!M1286&amp;""</f>
        <v/>
      </c>
      <c r="BC1282">
        <f>'Recurring Log'!N1286&amp;""</f>
        <v/>
      </c>
      <c r="BD1282">
        <f>'Recurring Log'!O1286&amp;""</f>
        <v/>
      </c>
      <c r="BE1282">
        <f>IF('Recurring Log'!K1286="","",'Recurring Log'!K1286)</f>
        <v/>
      </c>
      <c r="BF1282">
        <f>IFERROR(MATCH(BA1282,Setup!$L$6:$L$9,0),5)</f>
        <v/>
      </c>
      <c r="BG1282">
        <f>IF(OR(AZ1282="Done",AZ1282="Cancelled"),1,0)</f>
        <v/>
      </c>
      <c r="BH1282">
        <f>IF(AND(AU1282&lt;&gt;"",ISNUMBER(AW1282)),1,0)</f>
        <v/>
      </c>
      <c r="BI1282">
        <f>IF(BH1282=0,0,IF(AND(AW1282&gt;='Tasks Filter'!$F$3,AW1282&lt;='Tasks Filter'!$F$4,OR('Tasks Filter'!$I$3="",ISNUMBER(SEARCH('Tasks Filter'!$I$3,AU1282))),OR('Tasks Filter'!$I$4="",BF1282=IFERROR(MATCH('Tasks Filter'!$I$4,Setup!$L$6:$L$9,0),0)),OR('Tasks Filter'!$I$5="Both",AND('Tasks Filter'!$I$5="Yes",BB1282="✓"),AND('Tasks Filter'!$I$5="No",BB1282&lt;&gt;"✓")),OR('Tasks Filter'!$L$3="",AV1282='Tasks Filter'!$L$3),OR('Tasks Filter'!$L$4="",AZ1282='Tasks Filter'!$L$4),OR('Tasks Filter'!$L$5="",BC1282='Tasks Filter'!$L$5),OR('Tasks Filter'!$O$3="",BD1282='Tasks Filter'!$O$3),OR('Tasks Filter'!$O$4="Yes",BG1282=0)),1,0))</f>
        <v/>
      </c>
      <c r="BJ1282">
        <f>IF(BH1282=0,"",IF('Tasks Filter'!$F$6="Descending",-1,1)*CHOOSE(MATCH('Tasks Filter'!$F$5,Lists!$G$2:$G$6,0),AW1282,BF1282,IFERROR(MATCH(AV1282,Setup!$F$6:$F$15,0),99),IFERROR(MATCH(BC1282,Setup!$H$6:$H$15,0),99),IFERROR(MATCH(AZ1282,Setup!$J$6:$J$11,0),99))*1E+9+(AW1282-40000)*10000+1281)</f>
        <v/>
      </c>
      <c r="BK1282">
        <f>IF(BI1282=1,BJ1282,"")</f>
        <v/>
      </c>
      <c r="BL1282">
        <f>IF(AND(BH1282=1,BG1282=0,N(AW1282)&lt;Setup!$D$7),(AW1282-40000)*10000+1281,"")</f>
        <v/>
      </c>
      <c r="BM1282">
        <f>IF(AND(BH1282=1,AZ1282&lt;&gt;"Cancelled",N(AW1282)&gt;=Dashboard!$AB$3,N(AW1282)&lt;=Dashboard!$AB$3+6),(AW1282-40000)*100000+BF1282*10000+1281,"")</f>
        <v/>
      </c>
      <c r="BN1282">
        <f>IF(AND(BH1282=1,AZ1282&lt;&gt;"Cancelled"),BF1282*10000+1281,"")</f>
        <v/>
      </c>
    </row>
    <row r="1283">
      <c r="AS1283" t="inlineStr">
        <is>
          <t>R</t>
        </is>
      </c>
      <c r="AT1283" t="n">
        <v>1287</v>
      </c>
      <c r="AU1283">
        <f>'Recurring Log'!C1287&amp;""</f>
        <v/>
      </c>
      <c r="AV1283">
        <f>'Recurring Log'!D1287&amp;""</f>
        <v/>
      </c>
      <c r="AW1283">
        <f>IF('Recurring Log'!E1287="","",'Recurring Log'!E1287)</f>
        <v/>
      </c>
      <c r="AX1283">
        <f>IF('Recurring Log'!G1287="","",'Recurring Log'!G1287)</f>
        <v/>
      </c>
      <c r="AY1283">
        <f>IF('Recurring Log'!H1287="","",'Recurring Log'!H1287)</f>
        <v/>
      </c>
      <c r="AZ1283">
        <f>IF(AU1283="","",IF('Recurring Log'!J1287="","Not Started",'Recurring Log'!J1287))</f>
        <v/>
      </c>
      <c r="BA1283">
        <f>'Recurring Log'!L1287&amp;""</f>
        <v/>
      </c>
      <c r="BB1283">
        <f>'Recurring Log'!M1287&amp;""</f>
        <v/>
      </c>
      <c r="BC1283">
        <f>'Recurring Log'!N1287&amp;""</f>
        <v/>
      </c>
      <c r="BD1283">
        <f>'Recurring Log'!O1287&amp;""</f>
        <v/>
      </c>
      <c r="BE1283">
        <f>IF('Recurring Log'!K1287="","",'Recurring Log'!K1287)</f>
        <v/>
      </c>
      <c r="BF1283">
        <f>IFERROR(MATCH(BA1283,Setup!$L$6:$L$9,0),5)</f>
        <v/>
      </c>
      <c r="BG1283">
        <f>IF(OR(AZ1283="Done",AZ1283="Cancelled"),1,0)</f>
        <v/>
      </c>
      <c r="BH1283">
        <f>IF(AND(AU1283&lt;&gt;"",ISNUMBER(AW1283)),1,0)</f>
        <v/>
      </c>
      <c r="BI1283">
        <f>IF(BH1283=0,0,IF(AND(AW1283&gt;='Tasks Filter'!$F$3,AW1283&lt;='Tasks Filter'!$F$4,OR('Tasks Filter'!$I$3="",ISNUMBER(SEARCH('Tasks Filter'!$I$3,AU1283))),OR('Tasks Filter'!$I$4="",BF1283=IFERROR(MATCH('Tasks Filter'!$I$4,Setup!$L$6:$L$9,0),0)),OR('Tasks Filter'!$I$5="Both",AND('Tasks Filter'!$I$5="Yes",BB1283="✓"),AND('Tasks Filter'!$I$5="No",BB1283&lt;&gt;"✓")),OR('Tasks Filter'!$L$3="",AV1283='Tasks Filter'!$L$3),OR('Tasks Filter'!$L$4="",AZ1283='Tasks Filter'!$L$4),OR('Tasks Filter'!$L$5="",BC1283='Tasks Filter'!$L$5),OR('Tasks Filter'!$O$3="",BD1283='Tasks Filter'!$O$3),OR('Tasks Filter'!$O$4="Yes",BG1283=0)),1,0))</f>
        <v/>
      </c>
      <c r="BJ1283">
        <f>IF(BH1283=0,"",IF('Tasks Filter'!$F$6="Descending",-1,1)*CHOOSE(MATCH('Tasks Filter'!$F$5,Lists!$G$2:$G$6,0),AW1283,BF1283,IFERROR(MATCH(AV1283,Setup!$F$6:$F$15,0),99),IFERROR(MATCH(BC1283,Setup!$H$6:$H$15,0),99),IFERROR(MATCH(AZ1283,Setup!$J$6:$J$11,0),99))*1E+9+(AW1283-40000)*10000+1282)</f>
        <v/>
      </c>
      <c r="BK1283">
        <f>IF(BI1283=1,BJ1283,"")</f>
        <v/>
      </c>
      <c r="BL1283">
        <f>IF(AND(BH1283=1,BG1283=0,N(AW1283)&lt;Setup!$D$7),(AW1283-40000)*10000+1282,"")</f>
        <v/>
      </c>
      <c r="BM1283">
        <f>IF(AND(BH1283=1,AZ1283&lt;&gt;"Cancelled",N(AW1283)&gt;=Dashboard!$AB$3,N(AW1283)&lt;=Dashboard!$AB$3+6),(AW1283-40000)*100000+BF1283*10000+1282,"")</f>
        <v/>
      </c>
      <c r="BN1283">
        <f>IF(AND(BH1283=1,AZ1283&lt;&gt;"Cancelled"),BF1283*10000+1282,"")</f>
        <v/>
      </c>
    </row>
    <row r="1284">
      <c r="AS1284" t="inlineStr">
        <is>
          <t>R</t>
        </is>
      </c>
      <c r="AT1284" t="n">
        <v>1288</v>
      </c>
      <c r="AU1284">
        <f>'Recurring Log'!C1288&amp;""</f>
        <v/>
      </c>
      <c r="AV1284">
        <f>'Recurring Log'!D1288&amp;""</f>
        <v/>
      </c>
      <c r="AW1284">
        <f>IF('Recurring Log'!E1288="","",'Recurring Log'!E1288)</f>
        <v/>
      </c>
      <c r="AX1284">
        <f>IF('Recurring Log'!G1288="","",'Recurring Log'!G1288)</f>
        <v/>
      </c>
      <c r="AY1284">
        <f>IF('Recurring Log'!H1288="","",'Recurring Log'!H1288)</f>
        <v/>
      </c>
      <c r="AZ1284">
        <f>IF(AU1284="","",IF('Recurring Log'!J1288="","Not Started",'Recurring Log'!J1288))</f>
        <v/>
      </c>
      <c r="BA1284">
        <f>'Recurring Log'!L1288&amp;""</f>
        <v/>
      </c>
      <c r="BB1284">
        <f>'Recurring Log'!M1288&amp;""</f>
        <v/>
      </c>
      <c r="BC1284">
        <f>'Recurring Log'!N1288&amp;""</f>
        <v/>
      </c>
      <c r="BD1284">
        <f>'Recurring Log'!O1288&amp;""</f>
        <v/>
      </c>
      <c r="BE1284">
        <f>IF('Recurring Log'!K1288="","",'Recurring Log'!K1288)</f>
        <v/>
      </c>
      <c r="BF1284">
        <f>IFERROR(MATCH(BA1284,Setup!$L$6:$L$9,0),5)</f>
        <v/>
      </c>
      <c r="BG1284">
        <f>IF(OR(AZ1284="Done",AZ1284="Cancelled"),1,0)</f>
        <v/>
      </c>
      <c r="BH1284">
        <f>IF(AND(AU1284&lt;&gt;"",ISNUMBER(AW1284)),1,0)</f>
        <v/>
      </c>
      <c r="BI1284">
        <f>IF(BH1284=0,0,IF(AND(AW1284&gt;='Tasks Filter'!$F$3,AW1284&lt;='Tasks Filter'!$F$4,OR('Tasks Filter'!$I$3="",ISNUMBER(SEARCH('Tasks Filter'!$I$3,AU1284))),OR('Tasks Filter'!$I$4="",BF1284=IFERROR(MATCH('Tasks Filter'!$I$4,Setup!$L$6:$L$9,0),0)),OR('Tasks Filter'!$I$5="Both",AND('Tasks Filter'!$I$5="Yes",BB1284="✓"),AND('Tasks Filter'!$I$5="No",BB1284&lt;&gt;"✓")),OR('Tasks Filter'!$L$3="",AV1284='Tasks Filter'!$L$3),OR('Tasks Filter'!$L$4="",AZ1284='Tasks Filter'!$L$4),OR('Tasks Filter'!$L$5="",BC1284='Tasks Filter'!$L$5),OR('Tasks Filter'!$O$3="",BD1284='Tasks Filter'!$O$3),OR('Tasks Filter'!$O$4="Yes",BG1284=0)),1,0))</f>
        <v/>
      </c>
      <c r="BJ1284">
        <f>IF(BH1284=0,"",IF('Tasks Filter'!$F$6="Descending",-1,1)*CHOOSE(MATCH('Tasks Filter'!$F$5,Lists!$G$2:$G$6,0),AW1284,BF1284,IFERROR(MATCH(AV1284,Setup!$F$6:$F$15,0),99),IFERROR(MATCH(BC1284,Setup!$H$6:$H$15,0),99),IFERROR(MATCH(AZ1284,Setup!$J$6:$J$11,0),99))*1E+9+(AW1284-40000)*10000+1283)</f>
        <v/>
      </c>
      <c r="BK1284">
        <f>IF(BI1284=1,BJ1284,"")</f>
        <v/>
      </c>
      <c r="BL1284">
        <f>IF(AND(BH1284=1,BG1284=0,N(AW1284)&lt;Setup!$D$7),(AW1284-40000)*10000+1283,"")</f>
        <v/>
      </c>
      <c r="BM1284">
        <f>IF(AND(BH1284=1,AZ1284&lt;&gt;"Cancelled",N(AW1284)&gt;=Dashboard!$AB$3,N(AW1284)&lt;=Dashboard!$AB$3+6),(AW1284-40000)*100000+BF1284*10000+1283,"")</f>
        <v/>
      </c>
      <c r="BN1284">
        <f>IF(AND(BH1284=1,AZ1284&lt;&gt;"Cancelled"),BF1284*10000+1283,"")</f>
        <v/>
      </c>
    </row>
    <row r="1285">
      <c r="AS1285" t="inlineStr">
        <is>
          <t>R</t>
        </is>
      </c>
      <c r="AT1285" t="n">
        <v>1289</v>
      </c>
      <c r="AU1285">
        <f>'Recurring Log'!C1289&amp;""</f>
        <v/>
      </c>
      <c r="AV1285">
        <f>'Recurring Log'!D1289&amp;""</f>
        <v/>
      </c>
      <c r="AW1285">
        <f>IF('Recurring Log'!E1289="","",'Recurring Log'!E1289)</f>
        <v/>
      </c>
      <c r="AX1285">
        <f>IF('Recurring Log'!G1289="","",'Recurring Log'!G1289)</f>
        <v/>
      </c>
      <c r="AY1285">
        <f>IF('Recurring Log'!H1289="","",'Recurring Log'!H1289)</f>
        <v/>
      </c>
      <c r="AZ1285">
        <f>IF(AU1285="","",IF('Recurring Log'!J1289="","Not Started",'Recurring Log'!J1289))</f>
        <v/>
      </c>
      <c r="BA1285">
        <f>'Recurring Log'!L1289&amp;""</f>
        <v/>
      </c>
      <c r="BB1285">
        <f>'Recurring Log'!M1289&amp;""</f>
        <v/>
      </c>
      <c r="BC1285">
        <f>'Recurring Log'!N1289&amp;""</f>
        <v/>
      </c>
      <c r="BD1285">
        <f>'Recurring Log'!O1289&amp;""</f>
        <v/>
      </c>
      <c r="BE1285">
        <f>IF('Recurring Log'!K1289="","",'Recurring Log'!K1289)</f>
        <v/>
      </c>
      <c r="BF1285">
        <f>IFERROR(MATCH(BA1285,Setup!$L$6:$L$9,0),5)</f>
        <v/>
      </c>
      <c r="BG1285">
        <f>IF(OR(AZ1285="Done",AZ1285="Cancelled"),1,0)</f>
        <v/>
      </c>
      <c r="BH1285">
        <f>IF(AND(AU1285&lt;&gt;"",ISNUMBER(AW1285)),1,0)</f>
        <v/>
      </c>
      <c r="BI1285">
        <f>IF(BH1285=0,0,IF(AND(AW1285&gt;='Tasks Filter'!$F$3,AW1285&lt;='Tasks Filter'!$F$4,OR('Tasks Filter'!$I$3="",ISNUMBER(SEARCH('Tasks Filter'!$I$3,AU1285))),OR('Tasks Filter'!$I$4="",BF1285=IFERROR(MATCH('Tasks Filter'!$I$4,Setup!$L$6:$L$9,0),0)),OR('Tasks Filter'!$I$5="Both",AND('Tasks Filter'!$I$5="Yes",BB1285="✓"),AND('Tasks Filter'!$I$5="No",BB1285&lt;&gt;"✓")),OR('Tasks Filter'!$L$3="",AV1285='Tasks Filter'!$L$3),OR('Tasks Filter'!$L$4="",AZ1285='Tasks Filter'!$L$4),OR('Tasks Filter'!$L$5="",BC1285='Tasks Filter'!$L$5),OR('Tasks Filter'!$O$3="",BD1285='Tasks Filter'!$O$3),OR('Tasks Filter'!$O$4="Yes",BG1285=0)),1,0))</f>
        <v/>
      </c>
      <c r="BJ1285">
        <f>IF(BH1285=0,"",IF('Tasks Filter'!$F$6="Descending",-1,1)*CHOOSE(MATCH('Tasks Filter'!$F$5,Lists!$G$2:$G$6,0),AW1285,BF1285,IFERROR(MATCH(AV1285,Setup!$F$6:$F$15,0),99),IFERROR(MATCH(BC1285,Setup!$H$6:$H$15,0),99),IFERROR(MATCH(AZ1285,Setup!$J$6:$J$11,0),99))*1E+9+(AW1285-40000)*10000+1284)</f>
        <v/>
      </c>
      <c r="BK1285">
        <f>IF(BI1285=1,BJ1285,"")</f>
        <v/>
      </c>
      <c r="BL1285">
        <f>IF(AND(BH1285=1,BG1285=0,N(AW1285)&lt;Setup!$D$7),(AW1285-40000)*10000+1284,"")</f>
        <v/>
      </c>
      <c r="BM1285">
        <f>IF(AND(BH1285=1,AZ1285&lt;&gt;"Cancelled",N(AW1285)&gt;=Dashboard!$AB$3,N(AW1285)&lt;=Dashboard!$AB$3+6),(AW1285-40000)*100000+BF1285*10000+1284,"")</f>
        <v/>
      </c>
      <c r="BN1285">
        <f>IF(AND(BH1285=1,AZ1285&lt;&gt;"Cancelled"),BF1285*10000+1284,"")</f>
        <v/>
      </c>
    </row>
    <row r="1286">
      <c r="AS1286" t="inlineStr">
        <is>
          <t>R</t>
        </is>
      </c>
      <c r="AT1286" t="n">
        <v>1290</v>
      </c>
      <c r="AU1286">
        <f>'Recurring Log'!C1290&amp;""</f>
        <v/>
      </c>
      <c r="AV1286">
        <f>'Recurring Log'!D1290&amp;""</f>
        <v/>
      </c>
      <c r="AW1286">
        <f>IF('Recurring Log'!E1290="","",'Recurring Log'!E1290)</f>
        <v/>
      </c>
      <c r="AX1286">
        <f>IF('Recurring Log'!G1290="","",'Recurring Log'!G1290)</f>
        <v/>
      </c>
      <c r="AY1286">
        <f>IF('Recurring Log'!H1290="","",'Recurring Log'!H1290)</f>
        <v/>
      </c>
      <c r="AZ1286">
        <f>IF(AU1286="","",IF('Recurring Log'!J1290="","Not Started",'Recurring Log'!J1290))</f>
        <v/>
      </c>
      <c r="BA1286">
        <f>'Recurring Log'!L1290&amp;""</f>
        <v/>
      </c>
      <c r="BB1286">
        <f>'Recurring Log'!M1290&amp;""</f>
        <v/>
      </c>
      <c r="BC1286">
        <f>'Recurring Log'!N1290&amp;""</f>
        <v/>
      </c>
      <c r="BD1286">
        <f>'Recurring Log'!O1290&amp;""</f>
        <v/>
      </c>
      <c r="BE1286">
        <f>IF('Recurring Log'!K1290="","",'Recurring Log'!K1290)</f>
        <v/>
      </c>
      <c r="BF1286">
        <f>IFERROR(MATCH(BA1286,Setup!$L$6:$L$9,0),5)</f>
        <v/>
      </c>
      <c r="BG1286">
        <f>IF(OR(AZ1286="Done",AZ1286="Cancelled"),1,0)</f>
        <v/>
      </c>
      <c r="BH1286">
        <f>IF(AND(AU1286&lt;&gt;"",ISNUMBER(AW1286)),1,0)</f>
        <v/>
      </c>
      <c r="BI1286">
        <f>IF(BH1286=0,0,IF(AND(AW1286&gt;='Tasks Filter'!$F$3,AW1286&lt;='Tasks Filter'!$F$4,OR('Tasks Filter'!$I$3="",ISNUMBER(SEARCH('Tasks Filter'!$I$3,AU1286))),OR('Tasks Filter'!$I$4="",BF1286=IFERROR(MATCH('Tasks Filter'!$I$4,Setup!$L$6:$L$9,0),0)),OR('Tasks Filter'!$I$5="Both",AND('Tasks Filter'!$I$5="Yes",BB1286="✓"),AND('Tasks Filter'!$I$5="No",BB1286&lt;&gt;"✓")),OR('Tasks Filter'!$L$3="",AV1286='Tasks Filter'!$L$3),OR('Tasks Filter'!$L$4="",AZ1286='Tasks Filter'!$L$4),OR('Tasks Filter'!$L$5="",BC1286='Tasks Filter'!$L$5),OR('Tasks Filter'!$O$3="",BD1286='Tasks Filter'!$O$3),OR('Tasks Filter'!$O$4="Yes",BG1286=0)),1,0))</f>
        <v/>
      </c>
      <c r="BJ1286">
        <f>IF(BH1286=0,"",IF('Tasks Filter'!$F$6="Descending",-1,1)*CHOOSE(MATCH('Tasks Filter'!$F$5,Lists!$G$2:$G$6,0),AW1286,BF1286,IFERROR(MATCH(AV1286,Setup!$F$6:$F$15,0),99),IFERROR(MATCH(BC1286,Setup!$H$6:$H$15,0),99),IFERROR(MATCH(AZ1286,Setup!$J$6:$J$11,0),99))*1E+9+(AW1286-40000)*10000+1285)</f>
        <v/>
      </c>
      <c r="BK1286">
        <f>IF(BI1286=1,BJ1286,"")</f>
        <v/>
      </c>
      <c r="BL1286">
        <f>IF(AND(BH1286=1,BG1286=0,N(AW1286)&lt;Setup!$D$7),(AW1286-40000)*10000+1285,"")</f>
        <v/>
      </c>
      <c r="BM1286">
        <f>IF(AND(BH1286=1,AZ1286&lt;&gt;"Cancelled",N(AW1286)&gt;=Dashboard!$AB$3,N(AW1286)&lt;=Dashboard!$AB$3+6),(AW1286-40000)*100000+BF1286*10000+1285,"")</f>
        <v/>
      </c>
      <c r="BN1286">
        <f>IF(AND(BH1286=1,AZ1286&lt;&gt;"Cancelled"),BF1286*10000+1285,"")</f>
        <v/>
      </c>
    </row>
    <row r="1287">
      <c r="AS1287" t="inlineStr">
        <is>
          <t>R</t>
        </is>
      </c>
      <c r="AT1287" t="n">
        <v>1291</v>
      </c>
      <c r="AU1287">
        <f>'Recurring Log'!C1291&amp;""</f>
        <v/>
      </c>
      <c r="AV1287">
        <f>'Recurring Log'!D1291&amp;""</f>
        <v/>
      </c>
      <c r="AW1287">
        <f>IF('Recurring Log'!E1291="","",'Recurring Log'!E1291)</f>
        <v/>
      </c>
      <c r="AX1287">
        <f>IF('Recurring Log'!G1291="","",'Recurring Log'!G1291)</f>
        <v/>
      </c>
      <c r="AY1287">
        <f>IF('Recurring Log'!H1291="","",'Recurring Log'!H1291)</f>
        <v/>
      </c>
      <c r="AZ1287">
        <f>IF(AU1287="","",IF('Recurring Log'!J1291="","Not Started",'Recurring Log'!J1291))</f>
        <v/>
      </c>
      <c r="BA1287">
        <f>'Recurring Log'!L1291&amp;""</f>
        <v/>
      </c>
      <c r="BB1287">
        <f>'Recurring Log'!M1291&amp;""</f>
        <v/>
      </c>
      <c r="BC1287">
        <f>'Recurring Log'!N1291&amp;""</f>
        <v/>
      </c>
      <c r="BD1287">
        <f>'Recurring Log'!O1291&amp;""</f>
        <v/>
      </c>
      <c r="BE1287">
        <f>IF('Recurring Log'!K1291="","",'Recurring Log'!K1291)</f>
        <v/>
      </c>
      <c r="BF1287">
        <f>IFERROR(MATCH(BA1287,Setup!$L$6:$L$9,0),5)</f>
        <v/>
      </c>
      <c r="BG1287">
        <f>IF(OR(AZ1287="Done",AZ1287="Cancelled"),1,0)</f>
        <v/>
      </c>
      <c r="BH1287">
        <f>IF(AND(AU1287&lt;&gt;"",ISNUMBER(AW1287)),1,0)</f>
        <v/>
      </c>
      <c r="BI1287">
        <f>IF(BH1287=0,0,IF(AND(AW1287&gt;='Tasks Filter'!$F$3,AW1287&lt;='Tasks Filter'!$F$4,OR('Tasks Filter'!$I$3="",ISNUMBER(SEARCH('Tasks Filter'!$I$3,AU1287))),OR('Tasks Filter'!$I$4="",BF1287=IFERROR(MATCH('Tasks Filter'!$I$4,Setup!$L$6:$L$9,0),0)),OR('Tasks Filter'!$I$5="Both",AND('Tasks Filter'!$I$5="Yes",BB1287="✓"),AND('Tasks Filter'!$I$5="No",BB1287&lt;&gt;"✓")),OR('Tasks Filter'!$L$3="",AV1287='Tasks Filter'!$L$3),OR('Tasks Filter'!$L$4="",AZ1287='Tasks Filter'!$L$4),OR('Tasks Filter'!$L$5="",BC1287='Tasks Filter'!$L$5),OR('Tasks Filter'!$O$3="",BD1287='Tasks Filter'!$O$3),OR('Tasks Filter'!$O$4="Yes",BG1287=0)),1,0))</f>
        <v/>
      </c>
      <c r="BJ1287">
        <f>IF(BH1287=0,"",IF('Tasks Filter'!$F$6="Descending",-1,1)*CHOOSE(MATCH('Tasks Filter'!$F$5,Lists!$G$2:$G$6,0),AW1287,BF1287,IFERROR(MATCH(AV1287,Setup!$F$6:$F$15,0),99),IFERROR(MATCH(BC1287,Setup!$H$6:$H$15,0),99),IFERROR(MATCH(AZ1287,Setup!$J$6:$J$11,0),99))*1E+9+(AW1287-40000)*10000+1286)</f>
        <v/>
      </c>
      <c r="BK1287">
        <f>IF(BI1287=1,BJ1287,"")</f>
        <v/>
      </c>
      <c r="BL1287">
        <f>IF(AND(BH1287=1,BG1287=0,N(AW1287)&lt;Setup!$D$7),(AW1287-40000)*10000+1286,"")</f>
        <v/>
      </c>
      <c r="BM1287">
        <f>IF(AND(BH1287=1,AZ1287&lt;&gt;"Cancelled",N(AW1287)&gt;=Dashboard!$AB$3,N(AW1287)&lt;=Dashboard!$AB$3+6),(AW1287-40000)*100000+BF1287*10000+1286,"")</f>
        <v/>
      </c>
      <c r="BN1287">
        <f>IF(AND(BH1287=1,AZ1287&lt;&gt;"Cancelled"),BF1287*10000+1286,"")</f>
        <v/>
      </c>
    </row>
    <row r="1288">
      <c r="AS1288" t="inlineStr">
        <is>
          <t>R</t>
        </is>
      </c>
      <c r="AT1288" t="n">
        <v>1292</v>
      </c>
      <c r="AU1288">
        <f>'Recurring Log'!C1292&amp;""</f>
        <v/>
      </c>
      <c r="AV1288">
        <f>'Recurring Log'!D1292&amp;""</f>
        <v/>
      </c>
      <c r="AW1288">
        <f>IF('Recurring Log'!E1292="","",'Recurring Log'!E1292)</f>
        <v/>
      </c>
      <c r="AX1288">
        <f>IF('Recurring Log'!G1292="","",'Recurring Log'!G1292)</f>
        <v/>
      </c>
      <c r="AY1288">
        <f>IF('Recurring Log'!H1292="","",'Recurring Log'!H1292)</f>
        <v/>
      </c>
      <c r="AZ1288">
        <f>IF(AU1288="","",IF('Recurring Log'!J1292="","Not Started",'Recurring Log'!J1292))</f>
        <v/>
      </c>
      <c r="BA1288">
        <f>'Recurring Log'!L1292&amp;""</f>
        <v/>
      </c>
      <c r="BB1288">
        <f>'Recurring Log'!M1292&amp;""</f>
        <v/>
      </c>
      <c r="BC1288">
        <f>'Recurring Log'!N1292&amp;""</f>
        <v/>
      </c>
      <c r="BD1288">
        <f>'Recurring Log'!O1292&amp;""</f>
        <v/>
      </c>
      <c r="BE1288">
        <f>IF('Recurring Log'!K1292="","",'Recurring Log'!K1292)</f>
        <v/>
      </c>
      <c r="BF1288">
        <f>IFERROR(MATCH(BA1288,Setup!$L$6:$L$9,0),5)</f>
        <v/>
      </c>
      <c r="BG1288">
        <f>IF(OR(AZ1288="Done",AZ1288="Cancelled"),1,0)</f>
        <v/>
      </c>
      <c r="BH1288">
        <f>IF(AND(AU1288&lt;&gt;"",ISNUMBER(AW1288)),1,0)</f>
        <v/>
      </c>
      <c r="BI1288">
        <f>IF(BH1288=0,0,IF(AND(AW1288&gt;='Tasks Filter'!$F$3,AW1288&lt;='Tasks Filter'!$F$4,OR('Tasks Filter'!$I$3="",ISNUMBER(SEARCH('Tasks Filter'!$I$3,AU1288))),OR('Tasks Filter'!$I$4="",BF1288=IFERROR(MATCH('Tasks Filter'!$I$4,Setup!$L$6:$L$9,0),0)),OR('Tasks Filter'!$I$5="Both",AND('Tasks Filter'!$I$5="Yes",BB1288="✓"),AND('Tasks Filter'!$I$5="No",BB1288&lt;&gt;"✓")),OR('Tasks Filter'!$L$3="",AV1288='Tasks Filter'!$L$3),OR('Tasks Filter'!$L$4="",AZ1288='Tasks Filter'!$L$4),OR('Tasks Filter'!$L$5="",BC1288='Tasks Filter'!$L$5),OR('Tasks Filter'!$O$3="",BD1288='Tasks Filter'!$O$3),OR('Tasks Filter'!$O$4="Yes",BG1288=0)),1,0))</f>
        <v/>
      </c>
      <c r="BJ1288">
        <f>IF(BH1288=0,"",IF('Tasks Filter'!$F$6="Descending",-1,1)*CHOOSE(MATCH('Tasks Filter'!$F$5,Lists!$G$2:$G$6,0),AW1288,BF1288,IFERROR(MATCH(AV1288,Setup!$F$6:$F$15,0),99),IFERROR(MATCH(BC1288,Setup!$H$6:$H$15,0),99),IFERROR(MATCH(AZ1288,Setup!$J$6:$J$11,0),99))*1E+9+(AW1288-40000)*10000+1287)</f>
        <v/>
      </c>
      <c r="BK1288">
        <f>IF(BI1288=1,BJ1288,"")</f>
        <v/>
      </c>
      <c r="BL1288">
        <f>IF(AND(BH1288=1,BG1288=0,N(AW1288)&lt;Setup!$D$7),(AW1288-40000)*10000+1287,"")</f>
        <v/>
      </c>
      <c r="BM1288">
        <f>IF(AND(BH1288=1,AZ1288&lt;&gt;"Cancelled",N(AW1288)&gt;=Dashboard!$AB$3,N(AW1288)&lt;=Dashboard!$AB$3+6),(AW1288-40000)*100000+BF1288*10000+1287,"")</f>
        <v/>
      </c>
      <c r="BN1288">
        <f>IF(AND(BH1288=1,AZ1288&lt;&gt;"Cancelled"),BF1288*10000+1287,"")</f>
        <v/>
      </c>
    </row>
    <row r="1289">
      <c r="AS1289" t="inlineStr">
        <is>
          <t>R</t>
        </is>
      </c>
      <c r="AT1289" t="n">
        <v>1293</v>
      </c>
      <c r="AU1289">
        <f>'Recurring Log'!C1293&amp;""</f>
        <v/>
      </c>
      <c r="AV1289">
        <f>'Recurring Log'!D1293&amp;""</f>
        <v/>
      </c>
      <c r="AW1289">
        <f>IF('Recurring Log'!E1293="","",'Recurring Log'!E1293)</f>
        <v/>
      </c>
      <c r="AX1289">
        <f>IF('Recurring Log'!G1293="","",'Recurring Log'!G1293)</f>
        <v/>
      </c>
      <c r="AY1289">
        <f>IF('Recurring Log'!H1293="","",'Recurring Log'!H1293)</f>
        <v/>
      </c>
      <c r="AZ1289">
        <f>IF(AU1289="","",IF('Recurring Log'!J1293="","Not Started",'Recurring Log'!J1293))</f>
        <v/>
      </c>
      <c r="BA1289">
        <f>'Recurring Log'!L1293&amp;""</f>
        <v/>
      </c>
      <c r="BB1289">
        <f>'Recurring Log'!M1293&amp;""</f>
        <v/>
      </c>
      <c r="BC1289">
        <f>'Recurring Log'!N1293&amp;""</f>
        <v/>
      </c>
      <c r="BD1289">
        <f>'Recurring Log'!O1293&amp;""</f>
        <v/>
      </c>
      <c r="BE1289">
        <f>IF('Recurring Log'!K1293="","",'Recurring Log'!K1293)</f>
        <v/>
      </c>
      <c r="BF1289">
        <f>IFERROR(MATCH(BA1289,Setup!$L$6:$L$9,0),5)</f>
        <v/>
      </c>
      <c r="BG1289">
        <f>IF(OR(AZ1289="Done",AZ1289="Cancelled"),1,0)</f>
        <v/>
      </c>
      <c r="BH1289">
        <f>IF(AND(AU1289&lt;&gt;"",ISNUMBER(AW1289)),1,0)</f>
        <v/>
      </c>
      <c r="BI1289">
        <f>IF(BH1289=0,0,IF(AND(AW1289&gt;='Tasks Filter'!$F$3,AW1289&lt;='Tasks Filter'!$F$4,OR('Tasks Filter'!$I$3="",ISNUMBER(SEARCH('Tasks Filter'!$I$3,AU1289))),OR('Tasks Filter'!$I$4="",BF1289=IFERROR(MATCH('Tasks Filter'!$I$4,Setup!$L$6:$L$9,0),0)),OR('Tasks Filter'!$I$5="Both",AND('Tasks Filter'!$I$5="Yes",BB1289="✓"),AND('Tasks Filter'!$I$5="No",BB1289&lt;&gt;"✓")),OR('Tasks Filter'!$L$3="",AV1289='Tasks Filter'!$L$3),OR('Tasks Filter'!$L$4="",AZ1289='Tasks Filter'!$L$4),OR('Tasks Filter'!$L$5="",BC1289='Tasks Filter'!$L$5),OR('Tasks Filter'!$O$3="",BD1289='Tasks Filter'!$O$3),OR('Tasks Filter'!$O$4="Yes",BG1289=0)),1,0))</f>
        <v/>
      </c>
      <c r="BJ1289">
        <f>IF(BH1289=0,"",IF('Tasks Filter'!$F$6="Descending",-1,1)*CHOOSE(MATCH('Tasks Filter'!$F$5,Lists!$G$2:$G$6,0),AW1289,BF1289,IFERROR(MATCH(AV1289,Setup!$F$6:$F$15,0),99),IFERROR(MATCH(BC1289,Setup!$H$6:$H$15,0),99),IFERROR(MATCH(AZ1289,Setup!$J$6:$J$11,0),99))*1E+9+(AW1289-40000)*10000+1288)</f>
        <v/>
      </c>
      <c r="BK1289">
        <f>IF(BI1289=1,BJ1289,"")</f>
        <v/>
      </c>
      <c r="BL1289">
        <f>IF(AND(BH1289=1,BG1289=0,N(AW1289)&lt;Setup!$D$7),(AW1289-40000)*10000+1288,"")</f>
        <v/>
      </c>
      <c r="BM1289">
        <f>IF(AND(BH1289=1,AZ1289&lt;&gt;"Cancelled",N(AW1289)&gt;=Dashboard!$AB$3,N(AW1289)&lt;=Dashboard!$AB$3+6),(AW1289-40000)*100000+BF1289*10000+1288,"")</f>
        <v/>
      </c>
      <c r="BN1289">
        <f>IF(AND(BH1289=1,AZ1289&lt;&gt;"Cancelled"),BF1289*10000+1288,"")</f>
        <v/>
      </c>
    </row>
    <row r="1290">
      <c r="AS1290" t="inlineStr">
        <is>
          <t>R</t>
        </is>
      </c>
      <c r="AT1290" t="n">
        <v>1294</v>
      </c>
      <c r="AU1290">
        <f>'Recurring Log'!C1294&amp;""</f>
        <v/>
      </c>
      <c r="AV1290">
        <f>'Recurring Log'!D1294&amp;""</f>
        <v/>
      </c>
      <c r="AW1290">
        <f>IF('Recurring Log'!E1294="","",'Recurring Log'!E1294)</f>
        <v/>
      </c>
      <c r="AX1290">
        <f>IF('Recurring Log'!G1294="","",'Recurring Log'!G1294)</f>
        <v/>
      </c>
      <c r="AY1290">
        <f>IF('Recurring Log'!H1294="","",'Recurring Log'!H1294)</f>
        <v/>
      </c>
      <c r="AZ1290">
        <f>IF(AU1290="","",IF('Recurring Log'!J1294="","Not Started",'Recurring Log'!J1294))</f>
        <v/>
      </c>
      <c r="BA1290">
        <f>'Recurring Log'!L1294&amp;""</f>
        <v/>
      </c>
      <c r="BB1290">
        <f>'Recurring Log'!M1294&amp;""</f>
        <v/>
      </c>
      <c r="BC1290">
        <f>'Recurring Log'!N1294&amp;""</f>
        <v/>
      </c>
      <c r="BD1290">
        <f>'Recurring Log'!O1294&amp;""</f>
        <v/>
      </c>
      <c r="BE1290">
        <f>IF('Recurring Log'!K1294="","",'Recurring Log'!K1294)</f>
        <v/>
      </c>
      <c r="BF1290">
        <f>IFERROR(MATCH(BA1290,Setup!$L$6:$L$9,0),5)</f>
        <v/>
      </c>
      <c r="BG1290">
        <f>IF(OR(AZ1290="Done",AZ1290="Cancelled"),1,0)</f>
        <v/>
      </c>
      <c r="BH1290">
        <f>IF(AND(AU1290&lt;&gt;"",ISNUMBER(AW1290)),1,0)</f>
        <v/>
      </c>
      <c r="BI1290">
        <f>IF(BH1290=0,0,IF(AND(AW1290&gt;='Tasks Filter'!$F$3,AW1290&lt;='Tasks Filter'!$F$4,OR('Tasks Filter'!$I$3="",ISNUMBER(SEARCH('Tasks Filter'!$I$3,AU1290))),OR('Tasks Filter'!$I$4="",BF1290=IFERROR(MATCH('Tasks Filter'!$I$4,Setup!$L$6:$L$9,0),0)),OR('Tasks Filter'!$I$5="Both",AND('Tasks Filter'!$I$5="Yes",BB1290="✓"),AND('Tasks Filter'!$I$5="No",BB1290&lt;&gt;"✓")),OR('Tasks Filter'!$L$3="",AV1290='Tasks Filter'!$L$3),OR('Tasks Filter'!$L$4="",AZ1290='Tasks Filter'!$L$4),OR('Tasks Filter'!$L$5="",BC1290='Tasks Filter'!$L$5),OR('Tasks Filter'!$O$3="",BD1290='Tasks Filter'!$O$3),OR('Tasks Filter'!$O$4="Yes",BG1290=0)),1,0))</f>
        <v/>
      </c>
      <c r="BJ1290">
        <f>IF(BH1290=0,"",IF('Tasks Filter'!$F$6="Descending",-1,1)*CHOOSE(MATCH('Tasks Filter'!$F$5,Lists!$G$2:$G$6,0),AW1290,BF1290,IFERROR(MATCH(AV1290,Setup!$F$6:$F$15,0),99),IFERROR(MATCH(BC1290,Setup!$H$6:$H$15,0),99),IFERROR(MATCH(AZ1290,Setup!$J$6:$J$11,0),99))*1E+9+(AW1290-40000)*10000+1289)</f>
        <v/>
      </c>
      <c r="BK1290">
        <f>IF(BI1290=1,BJ1290,"")</f>
        <v/>
      </c>
      <c r="BL1290">
        <f>IF(AND(BH1290=1,BG1290=0,N(AW1290)&lt;Setup!$D$7),(AW1290-40000)*10000+1289,"")</f>
        <v/>
      </c>
      <c r="BM1290">
        <f>IF(AND(BH1290=1,AZ1290&lt;&gt;"Cancelled",N(AW1290)&gt;=Dashboard!$AB$3,N(AW1290)&lt;=Dashboard!$AB$3+6),(AW1290-40000)*100000+BF1290*10000+1289,"")</f>
        <v/>
      </c>
      <c r="BN1290">
        <f>IF(AND(BH1290=1,AZ1290&lt;&gt;"Cancelled"),BF1290*10000+1289,"")</f>
        <v/>
      </c>
    </row>
    <row r="1291">
      <c r="AS1291" t="inlineStr">
        <is>
          <t>R</t>
        </is>
      </c>
      <c r="AT1291" t="n">
        <v>1295</v>
      </c>
      <c r="AU1291">
        <f>'Recurring Log'!C1295&amp;""</f>
        <v/>
      </c>
      <c r="AV1291">
        <f>'Recurring Log'!D1295&amp;""</f>
        <v/>
      </c>
      <c r="AW1291">
        <f>IF('Recurring Log'!E1295="","",'Recurring Log'!E1295)</f>
        <v/>
      </c>
      <c r="AX1291">
        <f>IF('Recurring Log'!G1295="","",'Recurring Log'!G1295)</f>
        <v/>
      </c>
      <c r="AY1291">
        <f>IF('Recurring Log'!H1295="","",'Recurring Log'!H1295)</f>
        <v/>
      </c>
      <c r="AZ1291">
        <f>IF(AU1291="","",IF('Recurring Log'!J1295="","Not Started",'Recurring Log'!J1295))</f>
        <v/>
      </c>
      <c r="BA1291">
        <f>'Recurring Log'!L1295&amp;""</f>
        <v/>
      </c>
      <c r="BB1291">
        <f>'Recurring Log'!M1295&amp;""</f>
        <v/>
      </c>
      <c r="BC1291">
        <f>'Recurring Log'!N1295&amp;""</f>
        <v/>
      </c>
      <c r="BD1291">
        <f>'Recurring Log'!O1295&amp;""</f>
        <v/>
      </c>
      <c r="BE1291">
        <f>IF('Recurring Log'!K1295="","",'Recurring Log'!K1295)</f>
        <v/>
      </c>
      <c r="BF1291">
        <f>IFERROR(MATCH(BA1291,Setup!$L$6:$L$9,0),5)</f>
        <v/>
      </c>
      <c r="BG1291">
        <f>IF(OR(AZ1291="Done",AZ1291="Cancelled"),1,0)</f>
        <v/>
      </c>
      <c r="BH1291">
        <f>IF(AND(AU1291&lt;&gt;"",ISNUMBER(AW1291)),1,0)</f>
        <v/>
      </c>
      <c r="BI1291">
        <f>IF(BH1291=0,0,IF(AND(AW1291&gt;='Tasks Filter'!$F$3,AW1291&lt;='Tasks Filter'!$F$4,OR('Tasks Filter'!$I$3="",ISNUMBER(SEARCH('Tasks Filter'!$I$3,AU1291))),OR('Tasks Filter'!$I$4="",BF1291=IFERROR(MATCH('Tasks Filter'!$I$4,Setup!$L$6:$L$9,0),0)),OR('Tasks Filter'!$I$5="Both",AND('Tasks Filter'!$I$5="Yes",BB1291="✓"),AND('Tasks Filter'!$I$5="No",BB1291&lt;&gt;"✓")),OR('Tasks Filter'!$L$3="",AV1291='Tasks Filter'!$L$3),OR('Tasks Filter'!$L$4="",AZ1291='Tasks Filter'!$L$4),OR('Tasks Filter'!$L$5="",BC1291='Tasks Filter'!$L$5),OR('Tasks Filter'!$O$3="",BD1291='Tasks Filter'!$O$3),OR('Tasks Filter'!$O$4="Yes",BG1291=0)),1,0))</f>
        <v/>
      </c>
      <c r="BJ1291">
        <f>IF(BH1291=0,"",IF('Tasks Filter'!$F$6="Descending",-1,1)*CHOOSE(MATCH('Tasks Filter'!$F$5,Lists!$G$2:$G$6,0),AW1291,BF1291,IFERROR(MATCH(AV1291,Setup!$F$6:$F$15,0),99),IFERROR(MATCH(BC1291,Setup!$H$6:$H$15,0),99),IFERROR(MATCH(AZ1291,Setup!$J$6:$J$11,0),99))*1E+9+(AW1291-40000)*10000+1290)</f>
        <v/>
      </c>
      <c r="BK1291">
        <f>IF(BI1291=1,BJ1291,"")</f>
        <v/>
      </c>
      <c r="BL1291">
        <f>IF(AND(BH1291=1,BG1291=0,N(AW1291)&lt;Setup!$D$7),(AW1291-40000)*10000+1290,"")</f>
        <v/>
      </c>
      <c r="BM1291">
        <f>IF(AND(BH1291=1,AZ1291&lt;&gt;"Cancelled",N(AW1291)&gt;=Dashboard!$AB$3,N(AW1291)&lt;=Dashboard!$AB$3+6),(AW1291-40000)*100000+BF1291*10000+1290,"")</f>
        <v/>
      </c>
      <c r="BN1291">
        <f>IF(AND(BH1291=1,AZ1291&lt;&gt;"Cancelled"),BF1291*10000+1290,"")</f>
        <v/>
      </c>
    </row>
    <row r="1292">
      <c r="AS1292" t="inlineStr">
        <is>
          <t>R</t>
        </is>
      </c>
      <c r="AT1292" t="n">
        <v>1296</v>
      </c>
      <c r="AU1292">
        <f>'Recurring Log'!C1296&amp;""</f>
        <v/>
      </c>
      <c r="AV1292">
        <f>'Recurring Log'!D1296&amp;""</f>
        <v/>
      </c>
      <c r="AW1292">
        <f>IF('Recurring Log'!E1296="","",'Recurring Log'!E1296)</f>
        <v/>
      </c>
      <c r="AX1292">
        <f>IF('Recurring Log'!G1296="","",'Recurring Log'!G1296)</f>
        <v/>
      </c>
      <c r="AY1292">
        <f>IF('Recurring Log'!H1296="","",'Recurring Log'!H1296)</f>
        <v/>
      </c>
      <c r="AZ1292">
        <f>IF(AU1292="","",IF('Recurring Log'!J1296="","Not Started",'Recurring Log'!J1296))</f>
        <v/>
      </c>
      <c r="BA1292">
        <f>'Recurring Log'!L1296&amp;""</f>
        <v/>
      </c>
      <c r="BB1292">
        <f>'Recurring Log'!M1296&amp;""</f>
        <v/>
      </c>
      <c r="BC1292">
        <f>'Recurring Log'!N1296&amp;""</f>
        <v/>
      </c>
      <c r="BD1292">
        <f>'Recurring Log'!O1296&amp;""</f>
        <v/>
      </c>
      <c r="BE1292">
        <f>IF('Recurring Log'!K1296="","",'Recurring Log'!K1296)</f>
        <v/>
      </c>
      <c r="BF1292">
        <f>IFERROR(MATCH(BA1292,Setup!$L$6:$L$9,0),5)</f>
        <v/>
      </c>
      <c r="BG1292">
        <f>IF(OR(AZ1292="Done",AZ1292="Cancelled"),1,0)</f>
        <v/>
      </c>
      <c r="BH1292">
        <f>IF(AND(AU1292&lt;&gt;"",ISNUMBER(AW1292)),1,0)</f>
        <v/>
      </c>
      <c r="BI1292">
        <f>IF(BH1292=0,0,IF(AND(AW1292&gt;='Tasks Filter'!$F$3,AW1292&lt;='Tasks Filter'!$F$4,OR('Tasks Filter'!$I$3="",ISNUMBER(SEARCH('Tasks Filter'!$I$3,AU1292))),OR('Tasks Filter'!$I$4="",BF1292=IFERROR(MATCH('Tasks Filter'!$I$4,Setup!$L$6:$L$9,0),0)),OR('Tasks Filter'!$I$5="Both",AND('Tasks Filter'!$I$5="Yes",BB1292="✓"),AND('Tasks Filter'!$I$5="No",BB1292&lt;&gt;"✓")),OR('Tasks Filter'!$L$3="",AV1292='Tasks Filter'!$L$3),OR('Tasks Filter'!$L$4="",AZ1292='Tasks Filter'!$L$4),OR('Tasks Filter'!$L$5="",BC1292='Tasks Filter'!$L$5),OR('Tasks Filter'!$O$3="",BD1292='Tasks Filter'!$O$3),OR('Tasks Filter'!$O$4="Yes",BG1292=0)),1,0))</f>
        <v/>
      </c>
      <c r="BJ1292">
        <f>IF(BH1292=0,"",IF('Tasks Filter'!$F$6="Descending",-1,1)*CHOOSE(MATCH('Tasks Filter'!$F$5,Lists!$G$2:$G$6,0),AW1292,BF1292,IFERROR(MATCH(AV1292,Setup!$F$6:$F$15,0),99),IFERROR(MATCH(BC1292,Setup!$H$6:$H$15,0),99),IFERROR(MATCH(AZ1292,Setup!$J$6:$J$11,0),99))*1E+9+(AW1292-40000)*10000+1291)</f>
        <v/>
      </c>
      <c r="BK1292">
        <f>IF(BI1292=1,BJ1292,"")</f>
        <v/>
      </c>
      <c r="BL1292">
        <f>IF(AND(BH1292=1,BG1292=0,N(AW1292)&lt;Setup!$D$7),(AW1292-40000)*10000+1291,"")</f>
        <v/>
      </c>
      <c r="BM1292">
        <f>IF(AND(BH1292=1,AZ1292&lt;&gt;"Cancelled",N(AW1292)&gt;=Dashboard!$AB$3,N(AW1292)&lt;=Dashboard!$AB$3+6),(AW1292-40000)*100000+BF1292*10000+1291,"")</f>
        <v/>
      </c>
      <c r="BN1292">
        <f>IF(AND(BH1292=1,AZ1292&lt;&gt;"Cancelled"),BF1292*10000+1291,"")</f>
        <v/>
      </c>
    </row>
    <row r="1293">
      <c r="AS1293" t="inlineStr">
        <is>
          <t>R</t>
        </is>
      </c>
      <c r="AT1293" t="n">
        <v>1297</v>
      </c>
      <c r="AU1293">
        <f>'Recurring Log'!C1297&amp;""</f>
        <v/>
      </c>
      <c r="AV1293">
        <f>'Recurring Log'!D1297&amp;""</f>
        <v/>
      </c>
      <c r="AW1293">
        <f>IF('Recurring Log'!E1297="","",'Recurring Log'!E1297)</f>
        <v/>
      </c>
      <c r="AX1293">
        <f>IF('Recurring Log'!G1297="","",'Recurring Log'!G1297)</f>
        <v/>
      </c>
      <c r="AY1293">
        <f>IF('Recurring Log'!H1297="","",'Recurring Log'!H1297)</f>
        <v/>
      </c>
      <c r="AZ1293">
        <f>IF(AU1293="","",IF('Recurring Log'!J1297="","Not Started",'Recurring Log'!J1297))</f>
        <v/>
      </c>
      <c r="BA1293">
        <f>'Recurring Log'!L1297&amp;""</f>
        <v/>
      </c>
      <c r="BB1293">
        <f>'Recurring Log'!M1297&amp;""</f>
        <v/>
      </c>
      <c r="BC1293">
        <f>'Recurring Log'!N1297&amp;""</f>
        <v/>
      </c>
      <c r="BD1293">
        <f>'Recurring Log'!O1297&amp;""</f>
        <v/>
      </c>
      <c r="BE1293">
        <f>IF('Recurring Log'!K1297="","",'Recurring Log'!K1297)</f>
        <v/>
      </c>
      <c r="BF1293">
        <f>IFERROR(MATCH(BA1293,Setup!$L$6:$L$9,0),5)</f>
        <v/>
      </c>
      <c r="BG1293">
        <f>IF(OR(AZ1293="Done",AZ1293="Cancelled"),1,0)</f>
        <v/>
      </c>
      <c r="BH1293">
        <f>IF(AND(AU1293&lt;&gt;"",ISNUMBER(AW1293)),1,0)</f>
        <v/>
      </c>
      <c r="BI1293">
        <f>IF(BH1293=0,0,IF(AND(AW1293&gt;='Tasks Filter'!$F$3,AW1293&lt;='Tasks Filter'!$F$4,OR('Tasks Filter'!$I$3="",ISNUMBER(SEARCH('Tasks Filter'!$I$3,AU1293))),OR('Tasks Filter'!$I$4="",BF1293=IFERROR(MATCH('Tasks Filter'!$I$4,Setup!$L$6:$L$9,0),0)),OR('Tasks Filter'!$I$5="Both",AND('Tasks Filter'!$I$5="Yes",BB1293="✓"),AND('Tasks Filter'!$I$5="No",BB1293&lt;&gt;"✓")),OR('Tasks Filter'!$L$3="",AV1293='Tasks Filter'!$L$3),OR('Tasks Filter'!$L$4="",AZ1293='Tasks Filter'!$L$4),OR('Tasks Filter'!$L$5="",BC1293='Tasks Filter'!$L$5),OR('Tasks Filter'!$O$3="",BD1293='Tasks Filter'!$O$3),OR('Tasks Filter'!$O$4="Yes",BG1293=0)),1,0))</f>
        <v/>
      </c>
      <c r="BJ1293">
        <f>IF(BH1293=0,"",IF('Tasks Filter'!$F$6="Descending",-1,1)*CHOOSE(MATCH('Tasks Filter'!$F$5,Lists!$G$2:$G$6,0),AW1293,BF1293,IFERROR(MATCH(AV1293,Setup!$F$6:$F$15,0),99),IFERROR(MATCH(BC1293,Setup!$H$6:$H$15,0),99),IFERROR(MATCH(AZ1293,Setup!$J$6:$J$11,0),99))*1E+9+(AW1293-40000)*10000+1292)</f>
        <v/>
      </c>
      <c r="BK1293">
        <f>IF(BI1293=1,BJ1293,"")</f>
        <v/>
      </c>
      <c r="BL1293">
        <f>IF(AND(BH1293=1,BG1293=0,N(AW1293)&lt;Setup!$D$7),(AW1293-40000)*10000+1292,"")</f>
        <v/>
      </c>
      <c r="BM1293">
        <f>IF(AND(BH1293=1,AZ1293&lt;&gt;"Cancelled",N(AW1293)&gt;=Dashboard!$AB$3,N(AW1293)&lt;=Dashboard!$AB$3+6),(AW1293-40000)*100000+BF1293*10000+1292,"")</f>
        <v/>
      </c>
      <c r="BN1293">
        <f>IF(AND(BH1293=1,AZ1293&lt;&gt;"Cancelled"),BF1293*10000+1292,"")</f>
        <v/>
      </c>
    </row>
    <row r="1294">
      <c r="AS1294" t="inlineStr">
        <is>
          <t>R</t>
        </is>
      </c>
      <c r="AT1294" t="n">
        <v>1298</v>
      </c>
      <c r="AU1294">
        <f>'Recurring Log'!C1298&amp;""</f>
        <v/>
      </c>
      <c r="AV1294">
        <f>'Recurring Log'!D1298&amp;""</f>
        <v/>
      </c>
      <c r="AW1294">
        <f>IF('Recurring Log'!E1298="","",'Recurring Log'!E1298)</f>
        <v/>
      </c>
      <c r="AX1294">
        <f>IF('Recurring Log'!G1298="","",'Recurring Log'!G1298)</f>
        <v/>
      </c>
      <c r="AY1294">
        <f>IF('Recurring Log'!H1298="","",'Recurring Log'!H1298)</f>
        <v/>
      </c>
      <c r="AZ1294">
        <f>IF(AU1294="","",IF('Recurring Log'!J1298="","Not Started",'Recurring Log'!J1298))</f>
        <v/>
      </c>
      <c r="BA1294">
        <f>'Recurring Log'!L1298&amp;""</f>
        <v/>
      </c>
      <c r="BB1294">
        <f>'Recurring Log'!M1298&amp;""</f>
        <v/>
      </c>
      <c r="BC1294">
        <f>'Recurring Log'!N1298&amp;""</f>
        <v/>
      </c>
      <c r="BD1294">
        <f>'Recurring Log'!O1298&amp;""</f>
        <v/>
      </c>
      <c r="BE1294">
        <f>IF('Recurring Log'!K1298="","",'Recurring Log'!K1298)</f>
        <v/>
      </c>
      <c r="BF1294">
        <f>IFERROR(MATCH(BA1294,Setup!$L$6:$L$9,0),5)</f>
        <v/>
      </c>
      <c r="BG1294">
        <f>IF(OR(AZ1294="Done",AZ1294="Cancelled"),1,0)</f>
        <v/>
      </c>
      <c r="BH1294">
        <f>IF(AND(AU1294&lt;&gt;"",ISNUMBER(AW1294)),1,0)</f>
        <v/>
      </c>
      <c r="BI1294">
        <f>IF(BH1294=0,0,IF(AND(AW1294&gt;='Tasks Filter'!$F$3,AW1294&lt;='Tasks Filter'!$F$4,OR('Tasks Filter'!$I$3="",ISNUMBER(SEARCH('Tasks Filter'!$I$3,AU1294))),OR('Tasks Filter'!$I$4="",BF1294=IFERROR(MATCH('Tasks Filter'!$I$4,Setup!$L$6:$L$9,0),0)),OR('Tasks Filter'!$I$5="Both",AND('Tasks Filter'!$I$5="Yes",BB1294="✓"),AND('Tasks Filter'!$I$5="No",BB1294&lt;&gt;"✓")),OR('Tasks Filter'!$L$3="",AV1294='Tasks Filter'!$L$3),OR('Tasks Filter'!$L$4="",AZ1294='Tasks Filter'!$L$4),OR('Tasks Filter'!$L$5="",BC1294='Tasks Filter'!$L$5),OR('Tasks Filter'!$O$3="",BD1294='Tasks Filter'!$O$3),OR('Tasks Filter'!$O$4="Yes",BG1294=0)),1,0))</f>
        <v/>
      </c>
      <c r="BJ1294">
        <f>IF(BH1294=0,"",IF('Tasks Filter'!$F$6="Descending",-1,1)*CHOOSE(MATCH('Tasks Filter'!$F$5,Lists!$G$2:$G$6,0),AW1294,BF1294,IFERROR(MATCH(AV1294,Setup!$F$6:$F$15,0),99),IFERROR(MATCH(BC1294,Setup!$H$6:$H$15,0),99),IFERROR(MATCH(AZ1294,Setup!$J$6:$J$11,0),99))*1E+9+(AW1294-40000)*10000+1293)</f>
        <v/>
      </c>
      <c r="BK1294">
        <f>IF(BI1294=1,BJ1294,"")</f>
        <v/>
      </c>
      <c r="BL1294">
        <f>IF(AND(BH1294=1,BG1294=0,N(AW1294)&lt;Setup!$D$7),(AW1294-40000)*10000+1293,"")</f>
        <v/>
      </c>
      <c r="BM1294">
        <f>IF(AND(BH1294=1,AZ1294&lt;&gt;"Cancelled",N(AW1294)&gt;=Dashboard!$AB$3,N(AW1294)&lt;=Dashboard!$AB$3+6),(AW1294-40000)*100000+BF1294*10000+1293,"")</f>
        <v/>
      </c>
      <c r="BN1294">
        <f>IF(AND(BH1294=1,AZ1294&lt;&gt;"Cancelled"),BF1294*10000+1293,"")</f>
        <v/>
      </c>
    </row>
    <row r="1295">
      <c r="AS1295" t="inlineStr">
        <is>
          <t>R</t>
        </is>
      </c>
      <c r="AT1295" t="n">
        <v>1299</v>
      </c>
      <c r="AU1295">
        <f>'Recurring Log'!C1299&amp;""</f>
        <v/>
      </c>
      <c r="AV1295">
        <f>'Recurring Log'!D1299&amp;""</f>
        <v/>
      </c>
      <c r="AW1295">
        <f>IF('Recurring Log'!E1299="","",'Recurring Log'!E1299)</f>
        <v/>
      </c>
      <c r="AX1295">
        <f>IF('Recurring Log'!G1299="","",'Recurring Log'!G1299)</f>
        <v/>
      </c>
      <c r="AY1295">
        <f>IF('Recurring Log'!H1299="","",'Recurring Log'!H1299)</f>
        <v/>
      </c>
      <c r="AZ1295">
        <f>IF(AU1295="","",IF('Recurring Log'!J1299="","Not Started",'Recurring Log'!J1299))</f>
        <v/>
      </c>
      <c r="BA1295">
        <f>'Recurring Log'!L1299&amp;""</f>
        <v/>
      </c>
      <c r="BB1295">
        <f>'Recurring Log'!M1299&amp;""</f>
        <v/>
      </c>
      <c r="BC1295">
        <f>'Recurring Log'!N1299&amp;""</f>
        <v/>
      </c>
      <c r="BD1295">
        <f>'Recurring Log'!O1299&amp;""</f>
        <v/>
      </c>
      <c r="BE1295">
        <f>IF('Recurring Log'!K1299="","",'Recurring Log'!K1299)</f>
        <v/>
      </c>
      <c r="BF1295">
        <f>IFERROR(MATCH(BA1295,Setup!$L$6:$L$9,0),5)</f>
        <v/>
      </c>
      <c r="BG1295">
        <f>IF(OR(AZ1295="Done",AZ1295="Cancelled"),1,0)</f>
        <v/>
      </c>
      <c r="BH1295">
        <f>IF(AND(AU1295&lt;&gt;"",ISNUMBER(AW1295)),1,0)</f>
        <v/>
      </c>
      <c r="BI1295">
        <f>IF(BH1295=0,0,IF(AND(AW1295&gt;='Tasks Filter'!$F$3,AW1295&lt;='Tasks Filter'!$F$4,OR('Tasks Filter'!$I$3="",ISNUMBER(SEARCH('Tasks Filter'!$I$3,AU1295))),OR('Tasks Filter'!$I$4="",BF1295=IFERROR(MATCH('Tasks Filter'!$I$4,Setup!$L$6:$L$9,0),0)),OR('Tasks Filter'!$I$5="Both",AND('Tasks Filter'!$I$5="Yes",BB1295="✓"),AND('Tasks Filter'!$I$5="No",BB1295&lt;&gt;"✓")),OR('Tasks Filter'!$L$3="",AV1295='Tasks Filter'!$L$3),OR('Tasks Filter'!$L$4="",AZ1295='Tasks Filter'!$L$4),OR('Tasks Filter'!$L$5="",BC1295='Tasks Filter'!$L$5),OR('Tasks Filter'!$O$3="",BD1295='Tasks Filter'!$O$3),OR('Tasks Filter'!$O$4="Yes",BG1295=0)),1,0))</f>
        <v/>
      </c>
      <c r="BJ1295">
        <f>IF(BH1295=0,"",IF('Tasks Filter'!$F$6="Descending",-1,1)*CHOOSE(MATCH('Tasks Filter'!$F$5,Lists!$G$2:$G$6,0),AW1295,BF1295,IFERROR(MATCH(AV1295,Setup!$F$6:$F$15,0),99),IFERROR(MATCH(BC1295,Setup!$H$6:$H$15,0),99),IFERROR(MATCH(AZ1295,Setup!$J$6:$J$11,0),99))*1E+9+(AW1295-40000)*10000+1294)</f>
        <v/>
      </c>
      <c r="BK1295">
        <f>IF(BI1295=1,BJ1295,"")</f>
        <v/>
      </c>
      <c r="BL1295">
        <f>IF(AND(BH1295=1,BG1295=0,N(AW1295)&lt;Setup!$D$7),(AW1295-40000)*10000+1294,"")</f>
        <v/>
      </c>
      <c r="BM1295">
        <f>IF(AND(BH1295=1,AZ1295&lt;&gt;"Cancelled",N(AW1295)&gt;=Dashboard!$AB$3,N(AW1295)&lt;=Dashboard!$AB$3+6),(AW1295-40000)*100000+BF1295*10000+1294,"")</f>
        <v/>
      </c>
      <c r="BN1295">
        <f>IF(AND(BH1295=1,AZ1295&lt;&gt;"Cancelled"),BF1295*10000+1294,"")</f>
        <v/>
      </c>
    </row>
    <row r="1296">
      <c r="AS1296" t="inlineStr">
        <is>
          <t>R</t>
        </is>
      </c>
      <c r="AT1296" t="n">
        <v>1300</v>
      </c>
      <c r="AU1296">
        <f>'Recurring Log'!C1300&amp;""</f>
        <v/>
      </c>
      <c r="AV1296">
        <f>'Recurring Log'!D1300&amp;""</f>
        <v/>
      </c>
      <c r="AW1296">
        <f>IF('Recurring Log'!E1300="","",'Recurring Log'!E1300)</f>
        <v/>
      </c>
      <c r="AX1296">
        <f>IF('Recurring Log'!G1300="","",'Recurring Log'!G1300)</f>
        <v/>
      </c>
      <c r="AY1296">
        <f>IF('Recurring Log'!H1300="","",'Recurring Log'!H1300)</f>
        <v/>
      </c>
      <c r="AZ1296">
        <f>IF(AU1296="","",IF('Recurring Log'!J1300="","Not Started",'Recurring Log'!J1300))</f>
        <v/>
      </c>
      <c r="BA1296">
        <f>'Recurring Log'!L1300&amp;""</f>
        <v/>
      </c>
      <c r="BB1296">
        <f>'Recurring Log'!M1300&amp;""</f>
        <v/>
      </c>
      <c r="BC1296">
        <f>'Recurring Log'!N1300&amp;""</f>
        <v/>
      </c>
      <c r="BD1296">
        <f>'Recurring Log'!O1300&amp;""</f>
        <v/>
      </c>
      <c r="BE1296">
        <f>IF('Recurring Log'!K1300="","",'Recurring Log'!K1300)</f>
        <v/>
      </c>
      <c r="BF1296">
        <f>IFERROR(MATCH(BA1296,Setup!$L$6:$L$9,0),5)</f>
        <v/>
      </c>
      <c r="BG1296">
        <f>IF(OR(AZ1296="Done",AZ1296="Cancelled"),1,0)</f>
        <v/>
      </c>
      <c r="BH1296">
        <f>IF(AND(AU1296&lt;&gt;"",ISNUMBER(AW1296)),1,0)</f>
        <v/>
      </c>
      <c r="BI1296">
        <f>IF(BH1296=0,0,IF(AND(AW1296&gt;='Tasks Filter'!$F$3,AW1296&lt;='Tasks Filter'!$F$4,OR('Tasks Filter'!$I$3="",ISNUMBER(SEARCH('Tasks Filter'!$I$3,AU1296))),OR('Tasks Filter'!$I$4="",BF1296=IFERROR(MATCH('Tasks Filter'!$I$4,Setup!$L$6:$L$9,0),0)),OR('Tasks Filter'!$I$5="Both",AND('Tasks Filter'!$I$5="Yes",BB1296="✓"),AND('Tasks Filter'!$I$5="No",BB1296&lt;&gt;"✓")),OR('Tasks Filter'!$L$3="",AV1296='Tasks Filter'!$L$3),OR('Tasks Filter'!$L$4="",AZ1296='Tasks Filter'!$L$4),OR('Tasks Filter'!$L$5="",BC1296='Tasks Filter'!$L$5),OR('Tasks Filter'!$O$3="",BD1296='Tasks Filter'!$O$3),OR('Tasks Filter'!$O$4="Yes",BG1296=0)),1,0))</f>
        <v/>
      </c>
      <c r="BJ1296">
        <f>IF(BH1296=0,"",IF('Tasks Filter'!$F$6="Descending",-1,1)*CHOOSE(MATCH('Tasks Filter'!$F$5,Lists!$G$2:$G$6,0),AW1296,BF1296,IFERROR(MATCH(AV1296,Setup!$F$6:$F$15,0),99),IFERROR(MATCH(BC1296,Setup!$H$6:$H$15,0),99),IFERROR(MATCH(AZ1296,Setup!$J$6:$J$11,0),99))*1E+9+(AW1296-40000)*10000+1295)</f>
        <v/>
      </c>
      <c r="BK1296">
        <f>IF(BI1296=1,BJ1296,"")</f>
        <v/>
      </c>
      <c r="BL1296">
        <f>IF(AND(BH1296=1,BG1296=0,N(AW1296)&lt;Setup!$D$7),(AW1296-40000)*10000+1295,"")</f>
        <v/>
      </c>
      <c r="BM1296">
        <f>IF(AND(BH1296=1,AZ1296&lt;&gt;"Cancelled",N(AW1296)&gt;=Dashboard!$AB$3,N(AW1296)&lt;=Dashboard!$AB$3+6),(AW1296-40000)*100000+BF1296*10000+1295,"")</f>
        <v/>
      </c>
      <c r="BN1296">
        <f>IF(AND(BH1296=1,AZ1296&lt;&gt;"Cancelled"),BF1296*10000+1295,"")</f>
        <v/>
      </c>
    </row>
    <row r="1297">
      <c r="AS1297" t="inlineStr">
        <is>
          <t>R</t>
        </is>
      </c>
      <c r="AT1297" t="n">
        <v>1301</v>
      </c>
      <c r="AU1297">
        <f>'Recurring Log'!C1301&amp;""</f>
        <v/>
      </c>
      <c r="AV1297">
        <f>'Recurring Log'!D1301&amp;""</f>
        <v/>
      </c>
      <c r="AW1297">
        <f>IF('Recurring Log'!E1301="","",'Recurring Log'!E1301)</f>
        <v/>
      </c>
      <c r="AX1297">
        <f>IF('Recurring Log'!G1301="","",'Recurring Log'!G1301)</f>
        <v/>
      </c>
      <c r="AY1297">
        <f>IF('Recurring Log'!H1301="","",'Recurring Log'!H1301)</f>
        <v/>
      </c>
      <c r="AZ1297">
        <f>IF(AU1297="","",IF('Recurring Log'!J1301="","Not Started",'Recurring Log'!J1301))</f>
        <v/>
      </c>
      <c r="BA1297">
        <f>'Recurring Log'!L1301&amp;""</f>
        <v/>
      </c>
      <c r="BB1297">
        <f>'Recurring Log'!M1301&amp;""</f>
        <v/>
      </c>
      <c r="BC1297">
        <f>'Recurring Log'!N1301&amp;""</f>
        <v/>
      </c>
      <c r="BD1297">
        <f>'Recurring Log'!O1301&amp;""</f>
        <v/>
      </c>
      <c r="BE1297">
        <f>IF('Recurring Log'!K1301="","",'Recurring Log'!K1301)</f>
        <v/>
      </c>
      <c r="BF1297">
        <f>IFERROR(MATCH(BA1297,Setup!$L$6:$L$9,0),5)</f>
        <v/>
      </c>
      <c r="BG1297">
        <f>IF(OR(AZ1297="Done",AZ1297="Cancelled"),1,0)</f>
        <v/>
      </c>
      <c r="BH1297">
        <f>IF(AND(AU1297&lt;&gt;"",ISNUMBER(AW1297)),1,0)</f>
        <v/>
      </c>
      <c r="BI1297">
        <f>IF(BH1297=0,0,IF(AND(AW1297&gt;='Tasks Filter'!$F$3,AW1297&lt;='Tasks Filter'!$F$4,OR('Tasks Filter'!$I$3="",ISNUMBER(SEARCH('Tasks Filter'!$I$3,AU1297))),OR('Tasks Filter'!$I$4="",BF1297=IFERROR(MATCH('Tasks Filter'!$I$4,Setup!$L$6:$L$9,0),0)),OR('Tasks Filter'!$I$5="Both",AND('Tasks Filter'!$I$5="Yes",BB1297="✓"),AND('Tasks Filter'!$I$5="No",BB1297&lt;&gt;"✓")),OR('Tasks Filter'!$L$3="",AV1297='Tasks Filter'!$L$3),OR('Tasks Filter'!$L$4="",AZ1297='Tasks Filter'!$L$4),OR('Tasks Filter'!$L$5="",BC1297='Tasks Filter'!$L$5),OR('Tasks Filter'!$O$3="",BD1297='Tasks Filter'!$O$3),OR('Tasks Filter'!$O$4="Yes",BG1297=0)),1,0))</f>
        <v/>
      </c>
      <c r="BJ1297">
        <f>IF(BH1297=0,"",IF('Tasks Filter'!$F$6="Descending",-1,1)*CHOOSE(MATCH('Tasks Filter'!$F$5,Lists!$G$2:$G$6,0),AW1297,BF1297,IFERROR(MATCH(AV1297,Setup!$F$6:$F$15,0),99),IFERROR(MATCH(BC1297,Setup!$H$6:$H$15,0),99),IFERROR(MATCH(AZ1297,Setup!$J$6:$J$11,0),99))*1E+9+(AW1297-40000)*10000+1296)</f>
        <v/>
      </c>
      <c r="BK1297">
        <f>IF(BI1297=1,BJ1297,"")</f>
        <v/>
      </c>
      <c r="BL1297">
        <f>IF(AND(BH1297=1,BG1297=0,N(AW1297)&lt;Setup!$D$7),(AW1297-40000)*10000+1296,"")</f>
        <v/>
      </c>
      <c r="BM1297">
        <f>IF(AND(BH1297=1,AZ1297&lt;&gt;"Cancelled",N(AW1297)&gt;=Dashboard!$AB$3,N(AW1297)&lt;=Dashboard!$AB$3+6),(AW1297-40000)*100000+BF1297*10000+1296,"")</f>
        <v/>
      </c>
      <c r="BN1297">
        <f>IF(AND(BH1297=1,AZ1297&lt;&gt;"Cancelled"),BF1297*10000+1296,"")</f>
        <v/>
      </c>
    </row>
    <row r="1298">
      <c r="AS1298" t="inlineStr">
        <is>
          <t>R</t>
        </is>
      </c>
      <c r="AT1298" t="n">
        <v>1302</v>
      </c>
      <c r="AU1298">
        <f>'Recurring Log'!C1302&amp;""</f>
        <v/>
      </c>
      <c r="AV1298">
        <f>'Recurring Log'!D1302&amp;""</f>
        <v/>
      </c>
      <c r="AW1298">
        <f>IF('Recurring Log'!E1302="","",'Recurring Log'!E1302)</f>
        <v/>
      </c>
      <c r="AX1298">
        <f>IF('Recurring Log'!G1302="","",'Recurring Log'!G1302)</f>
        <v/>
      </c>
      <c r="AY1298">
        <f>IF('Recurring Log'!H1302="","",'Recurring Log'!H1302)</f>
        <v/>
      </c>
      <c r="AZ1298">
        <f>IF(AU1298="","",IF('Recurring Log'!J1302="","Not Started",'Recurring Log'!J1302))</f>
        <v/>
      </c>
      <c r="BA1298">
        <f>'Recurring Log'!L1302&amp;""</f>
        <v/>
      </c>
      <c r="BB1298">
        <f>'Recurring Log'!M1302&amp;""</f>
        <v/>
      </c>
      <c r="BC1298">
        <f>'Recurring Log'!N1302&amp;""</f>
        <v/>
      </c>
      <c r="BD1298">
        <f>'Recurring Log'!O1302&amp;""</f>
        <v/>
      </c>
      <c r="BE1298">
        <f>IF('Recurring Log'!K1302="","",'Recurring Log'!K1302)</f>
        <v/>
      </c>
      <c r="BF1298">
        <f>IFERROR(MATCH(BA1298,Setup!$L$6:$L$9,0),5)</f>
        <v/>
      </c>
      <c r="BG1298">
        <f>IF(OR(AZ1298="Done",AZ1298="Cancelled"),1,0)</f>
        <v/>
      </c>
      <c r="BH1298">
        <f>IF(AND(AU1298&lt;&gt;"",ISNUMBER(AW1298)),1,0)</f>
        <v/>
      </c>
      <c r="BI1298">
        <f>IF(BH1298=0,0,IF(AND(AW1298&gt;='Tasks Filter'!$F$3,AW1298&lt;='Tasks Filter'!$F$4,OR('Tasks Filter'!$I$3="",ISNUMBER(SEARCH('Tasks Filter'!$I$3,AU1298))),OR('Tasks Filter'!$I$4="",BF1298=IFERROR(MATCH('Tasks Filter'!$I$4,Setup!$L$6:$L$9,0),0)),OR('Tasks Filter'!$I$5="Both",AND('Tasks Filter'!$I$5="Yes",BB1298="✓"),AND('Tasks Filter'!$I$5="No",BB1298&lt;&gt;"✓")),OR('Tasks Filter'!$L$3="",AV1298='Tasks Filter'!$L$3),OR('Tasks Filter'!$L$4="",AZ1298='Tasks Filter'!$L$4),OR('Tasks Filter'!$L$5="",BC1298='Tasks Filter'!$L$5),OR('Tasks Filter'!$O$3="",BD1298='Tasks Filter'!$O$3),OR('Tasks Filter'!$O$4="Yes",BG1298=0)),1,0))</f>
        <v/>
      </c>
      <c r="BJ1298">
        <f>IF(BH1298=0,"",IF('Tasks Filter'!$F$6="Descending",-1,1)*CHOOSE(MATCH('Tasks Filter'!$F$5,Lists!$G$2:$G$6,0),AW1298,BF1298,IFERROR(MATCH(AV1298,Setup!$F$6:$F$15,0),99),IFERROR(MATCH(BC1298,Setup!$H$6:$H$15,0),99),IFERROR(MATCH(AZ1298,Setup!$J$6:$J$11,0),99))*1E+9+(AW1298-40000)*10000+1297)</f>
        <v/>
      </c>
      <c r="BK1298">
        <f>IF(BI1298=1,BJ1298,"")</f>
        <v/>
      </c>
      <c r="BL1298">
        <f>IF(AND(BH1298=1,BG1298=0,N(AW1298)&lt;Setup!$D$7),(AW1298-40000)*10000+1297,"")</f>
        <v/>
      </c>
      <c r="BM1298">
        <f>IF(AND(BH1298=1,AZ1298&lt;&gt;"Cancelled",N(AW1298)&gt;=Dashboard!$AB$3,N(AW1298)&lt;=Dashboard!$AB$3+6),(AW1298-40000)*100000+BF1298*10000+1297,"")</f>
        <v/>
      </c>
      <c r="BN1298">
        <f>IF(AND(BH1298=1,AZ1298&lt;&gt;"Cancelled"),BF1298*10000+1297,"")</f>
        <v/>
      </c>
    </row>
    <row r="1299">
      <c r="AS1299" t="inlineStr">
        <is>
          <t>R</t>
        </is>
      </c>
      <c r="AT1299" t="n">
        <v>1303</v>
      </c>
      <c r="AU1299">
        <f>'Recurring Log'!C1303&amp;""</f>
        <v/>
      </c>
      <c r="AV1299">
        <f>'Recurring Log'!D1303&amp;""</f>
        <v/>
      </c>
      <c r="AW1299">
        <f>IF('Recurring Log'!E1303="","",'Recurring Log'!E1303)</f>
        <v/>
      </c>
      <c r="AX1299">
        <f>IF('Recurring Log'!G1303="","",'Recurring Log'!G1303)</f>
        <v/>
      </c>
      <c r="AY1299">
        <f>IF('Recurring Log'!H1303="","",'Recurring Log'!H1303)</f>
        <v/>
      </c>
      <c r="AZ1299">
        <f>IF(AU1299="","",IF('Recurring Log'!J1303="","Not Started",'Recurring Log'!J1303))</f>
        <v/>
      </c>
      <c r="BA1299">
        <f>'Recurring Log'!L1303&amp;""</f>
        <v/>
      </c>
      <c r="BB1299">
        <f>'Recurring Log'!M1303&amp;""</f>
        <v/>
      </c>
      <c r="BC1299">
        <f>'Recurring Log'!N1303&amp;""</f>
        <v/>
      </c>
      <c r="BD1299">
        <f>'Recurring Log'!O1303&amp;""</f>
        <v/>
      </c>
      <c r="BE1299">
        <f>IF('Recurring Log'!K1303="","",'Recurring Log'!K1303)</f>
        <v/>
      </c>
      <c r="BF1299">
        <f>IFERROR(MATCH(BA1299,Setup!$L$6:$L$9,0),5)</f>
        <v/>
      </c>
      <c r="BG1299">
        <f>IF(OR(AZ1299="Done",AZ1299="Cancelled"),1,0)</f>
        <v/>
      </c>
      <c r="BH1299">
        <f>IF(AND(AU1299&lt;&gt;"",ISNUMBER(AW1299)),1,0)</f>
        <v/>
      </c>
      <c r="BI1299">
        <f>IF(BH1299=0,0,IF(AND(AW1299&gt;='Tasks Filter'!$F$3,AW1299&lt;='Tasks Filter'!$F$4,OR('Tasks Filter'!$I$3="",ISNUMBER(SEARCH('Tasks Filter'!$I$3,AU1299))),OR('Tasks Filter'!$I$4="",BF1299=IFERROR(MATCH('Tasks Filter'!$I$4,Setup!$L$6:$L$9,0),0)),OR('Tasks Filter'!$I$5="Both",AND('Tasks Filter'!$I$5="Yes",BB1299="✓"),AND('Tasks Filter'!$I$5="No",BB1299&lt;&gt;"✓")),OR('Tasks Filter'!$L$3="",AV1299='Tasks Filter'!$L$3),OR('Tasks Filter'!$L$4="",AZ1299='Tasks Filter'!$L$4),OR('Tasks Filter'!$L$5="",BC1299='Tasks Filter'!$L$5),OR('Tasks Filter'!$O$3="",BD1299='Tasks Filter'!$O$3),OR('Tasks Filter'!$O$4="Yes",BG1299=0)),1,0))</f>
        <v/>
      </c>
      <c r="BJ1299">
        <f>IF(BH1299=0,"",IF('Tasks Filter'!$F$6="Descending",-1,1)*CHOOSE(MATCH('Tasks Filter'!$F$5,Lists!$G$2:$G$6,0),AW1299,BF1299,IFERROR(MATCH(AV1299,Setup!$F$6:$F$15,0),99),IFERROR(MATCH(BC1299,Setup!$H$6:$H$15,0),99),IFERROR(MATCH(AZ1299,Setup!$J$6:$J$11,0),99))*1E+9+(AW1299-40000)*10000+1298)</f>
        <v/>
      </c>
      <c r="BK1299">
        <f>IF(BI1299=1,BJ1299,"")</f>
        <v/>
      </c>
      <c r="BL1299">
        <f>IF(AND(BH1299=1,BG1299=0,N(AW1299)&lt;Setup!$D$7),(AW1299-40000)*10000+1298,"")</f>
        <v/>
      </c>
      <c r="BM1299">
        <f>IF(AND(BH1299=1,AZ1299&lt;&gt;"Cancelled",N(AW1299)&gt;=Dashboard!$AB$3,N(AW1299)&lt;=Dashboard!$AB$3+6),(AW1299-40000)*100000+BF1299*10000+1298,"")</f>
        <v/>
      </c>
      <c r="BN1299">
        <f>IF(AND(BH1299=1,AZ1299&lt;&gt;"Cancelled"),BF1299*10000+1298,"")</f>
        <v/>
      </c>
    </row>
    <row r="1300">
      <c r="AS1300" t="inlineStr">
        <is>
          <t>R</t>
        </is>
      </c>
      <c r="AT1300" t="n">
        <v>1304</v>
      </c>
      <c r="AU1300">
        <f>'Recurring Log'!C1304&amp;""</f>
        <v/>
      </c>
      <c r="AV1300">
        <f>'Recurring Log'!D1304&amp;""</f>
        <v/>
      </c>
      <c r="AW1300">
        <f>IF('Recurring Log'!E1304="","",'Recurring Log'!E1304)</f>
        <v/>
      </c>
      <c r="AX1300">
        <f>IF('Recurring Log'!G1304="","",'Recurring Log'!G1304)</f>
        <v/>
      </c>
      <c r="AY1300">
        <f>IF('Recurring Log'!H1304="","",'Recurring Log'!H1304)</f>
        <v/>
      </c>
      <c r="AZ1300">
        <f>IF(AU1300="","",IF('Recurring Log'!J1304="","Not Started",'Recurring Log'!J1304))</f>
        <v/>
      </c>
      <c r="BA1300">
        <f>'Recurring Log'!L1304&amp;""</f>
        <v/>
      </c>
      <c r="BB1300">
        <f>'Recurring Log'!M1304&amp;""</f>
        <v/>
      </c>
      <c r="BC1300">
        <f>'Recurring Log'!N1304&amp;""</f>
        <v/>
      </c>
      <c r="BD1300">
        <f>'Recurring Log'!O1304&amp;""</f>
        <v/>
      </c>
      <c r="BE1300">
        <f>IF('Recurring Log'!K1304="","",'Recurring Log'!K1304)</f>
        <v/>
      </c>
      <c r="BF1300">
        <f>IFERROR(MATCH(BA1300,Setup!$L$6:$L$9,0),5)</f>
        <v/>
      </c>
      <c r="BG1300">
        <f>IF(OR(AZ1300="Done",AZ1300="Cancelled"),1,0)</f>
        <v/>
      </c>
      <c r="BH1300">
        <f>IF(AND(AU1300&lt;&gt;"",ISNUMBER(AW1300)),1,0)</f>
        <v/>
      </c>
      <c r="BI1300">
        <f>IF(BH1300=0,0,IF(AND(AW1300&gt;='Tasks Filter'!$F$3,AW1300&lt;='Tasks Filter'!$F$4,OR('Tasks Filter'!$I$3="",ISNUMBER(SEARCH('Tasks Filter'!$I$3,AU1300))),OR('Tasks Filter'!$I$4="",BF1300=IFERROR(MATCH('Tasks Filter'!$I$4,Setup!$L$6:$L$9,0),0)),OR('Tasks Filter'!$I$5="Both",AND('Tasks Filter'!$I$5="Yes",BB1300="✓"),AND('Tasks Filter'!$I$5="No",BB1300&lt;&gt;"✓")),OR('Tasks Filter'!$L$3="",AV1300='Tasks Filter'!$L$3),OR('Tasks Filter'!$L$4="",AZ1300='Tasks Filter'!$L$4),OR('Tasks Filter'!$L$5="",BC1300='Tasks Filter'!$L$5),OR('Tasks Filter'!$O$3="",BD1300='Tasks Filter'!$O$3),OR('Tasks Filter'!$O$4="Yes",BG1300=0)),1,0))</f>
        <v/>
      </c>
      <c r="BJ1300">
        <f>IF(BH1300=0,"",IF('Tasks Filter'!$F$6="Descending",-1,1)*CHOOSE(MATCH('Tasks Filter'!$F$5,Lists!$G$2:$G$6,0),AW1300,BF1300,IFERROR(MATCH(AV1300,Setup!$F$6:$F$15,0),99),IFERROR(MATCH(BC1300,Setup!$H$6:$H$15,0),99),IFERROR(MATCH(AZ1300,Setup!$J$6:$J$11,0),99))*1E+9+(AW1300-40000)*10000+1299)</f>
        <v/>
      </c>
      <c r="BK1300">
        <f>IF(BI1300=1,BJ1300,"")</f>
        <v/>
      </c>
      <c r="BL1300">
        <f>IF(AND(BH1300=1,BG1300=0,N(AW1300)&lt;Setup!$D$7),(AW1300-40000)*10000+1299,"")</f>
        <v/>
      </c>
      <c r="BM1300">
        <f>IF(AND(BH1300=1,AZ1300&lt;&gt;"Cancelled",N(AW1300)&gt;=Dashboard!$AB$3,N(AW1300)&lt;=Dashboard!$AB$3+6),(AW1300-40000)*100000+BF1300*10000+1299,"")</f>
        <v/>
      </c>
      <c r="BN1300">
        <f>IF(AND(BH1300=1,AZ1300&lt;&gt;"Cancelled"),BF1300*10000+1299,"")</f>
        <v/>
      </c>
    </row>
    <row r="1301">
      <c r="AS1301" t="inlineStr">
        <is>
          <t>R</t>
        </is>
      </c>
      <c r="AT1301" t="n">
        <v>1305</v>
      </c>
      <c r="AU1301">
        <f>'Recurring Log'!C1305&amp;""</f>
        <v/>
      </c>
      <c r="AV1301">
        <f>'Recurring Log'!D1305&amp;""</f>
        <v/>
      </c>
      <c r="AW1301">
        <f>IF('Recurring Log'!E1305="","",'Recurring Log'!E1305)</f>
        <v/>
      </c>
      <c r="AX1301">
        <f>IF('Recurring Log'!G1305="","",'Recurring Log'!G1305)</f>
        <v/>
      </c>
      <c r="AY1301">
        <f>IF('Recurring Log'!H1305="","",'Recurring Log'!H1305)</f>
        <v/>
      </c>
      <c r="AZ1301">
        <f>IF(AU1301="","",IF('Recurring Log'!J1305="","Not Started",'Recurring Log'!J1305))</f>
        <v/>
      </c>
      <c r="BA1301">
        <f>'Recurring Log'!L1305&amp;""</f>
        <v/>
      </c>
      <c r="BB1301">
        <f>'Recurring Log'!M1305&amp;""</f>
        <v/>
      </c>
      <c r="BC1301">
        <f>'Recurring Log'!N1305&amp;""</f>
        <v/>
      </c>
      <c r="BD1301">
        <f>'Recurring Log'!O1305&amp;""</f>
        <v/>
      </c>
      <c r="BE1301">
        <f>IF('Recurring Log'!K1305="","",'Recurring Log'!K1305)</f>
        <v/>
      </c>
      <c r="BF1301">
        <f>IFERROR(MATCH(BA1301,Setup!$L$6:$L$9,0),5)</f>
        <v/>
      </c>
      <c r="BG1301">
        <f>IF(OR(AZ1301="Done",AZ1301="Cancelled"),1,0)</f>
        <v/>
      </c>
      <c r="BH1301">
        <f>IF(AND(AU1301&lt;&gt;"",ISNUMBER(AW1301)),1,0)</f>
        <v/>
      </c>
      <c r="BI1301">
        <f>IF(BH1301=0,0,IF(AND(AW1301&gt;='Tasks Filter'!$F$3,AW1301&lt;='Tasks Filter'!$F$4,OR('Tasks Filter'!$I$3="",ISNUMBER(SEARCH('Tasks Filter'!$I$3,AU1301))),OR('Tasks Filter'!$I$4="",BF1301=IFERROR(MATCH('Tasks Filter'!$I$4,Setup!$L$6:$L$9,0),0)),OR('Tasks Filter'!$I$5="Both",AND('Tasks Filter'!$I$5="Yes",BB1301="✓"),AND('Tasks Filter'!$I$5="No",BB1301&lt;&gt;"✓")),OR('Tasks Filter'!$L$3="",AV1301='Tasks Filter'!$L$3),OR('Tasks Filter'!$L$4="",AZ1301='Tasks Filter'!$L$4),OR('Tasks Filter'!$L$5="",BC1301='Tasks Filter'!$L$5),OR('Tasks Filter'!$O$3="",BD1301='Tasks Filter'!$O$3),OR('Tasks Filter'!$O$4="Yes",BG1301=0)),1,0))</f>
        <v/>
      </c>
      <c r="BJ1301">
        <f>IF(BH1301=0,"",IF('Tasks Filter'!$F$6="Descending",-1,1)*CHOOSE(MATCH('Tasks Filter'!$F$5,Lists!$G$2:$G$6,0),AW1301,BF1301,IFERROR(MATCH(AV1301,Setup!$F$6:$F$15,0),99),IFERROR(MATCH(BC1301,Setup!$H$6:$H$15,0),99),IFERROR(MATCH(AZ1301,Setup!$J$6:$J$11,0),99))*1E+9+(AW1301-40000)*10000+1300)</f>
        <v/>
      </c>
      <c r="BK1301">
        <f>IF(BI1301=1,BJ1301,"")</f>
        <v/>
      </c>
      <c r="BL1301">
        <f>IF(AND(BH1301=1,BG1301=0,N(AW1301)&lt;Setup!$D$7),(AW1301-40000)*10000+1300,"")</f>
        <v/>
      </c>
      <c r="BM1301">
        <f>IF(AND(BH1301=1,AZ1301&lt;&gt;"Cancelled",N(AW1301)&gt;=Dashboard!$AB$3,N(AW1301)&lt;=Dashboard!$AB$3+6),(AW1301-40000)*100000+BF1301*10000+1300,"")</f>
        <v/>
      </c>
      <c r="BN1301">
        <f>IF(AND(BH1301=1,AZ1301&lt;&gt;"Cancelled"),BF1301*10000+1300,"")</f>
        <v/>
      </c>
    </row>
    <row r="1302">
      <c r="AS1302" t="inlineStr">
        <is>
          <t>R</t>
        </is>
      </c>
      <c r="AT1302" t="n">
        <v>1306</v>
      </c>
      <c r="AU1302">
        <f>'Recurring Log'!C1306&amp;""</f>
        <v/>
      </c>
      <c r="AV1302">
        <f>'Recurring Log'!D1306&amp;""</f>
        <v/>
      </c>
      <c r="AW1302">
        <f>IF('Recurring Log'!E1306="","",'Recurring Log'!E1306)</f>
        <v/>
      </c>
      <c r="AX1302">
        <f>IF('Recurring Log'!G1306="","",'Recurring Log'!G1306)</f>
        <v/>
      </c>
      <c r="AY1302">
        <f>IF('Recurring Log'!H1306="","",'Recurring Log'!H1306)</f>
        <v/>
      </c>
      <c r="AZ1302">
        <f>IF(AU1302="","",IF('Recurring Log'!J1306="","Not Started",'Recurring Log'!J1306))</f>
        <v/>
      </c>
      <c r="BA1302">
        <f>'Recurring Log'!L1306&amp;""</f>
        <v/>
      </c>
      <c r="BB1302">
        <f>'Recurring Log'!M1306&amp;""</f>
        <v/>
      </c>
      <c r="BC1302">
        <f>'Recurring Log'!N1306&amp;""</f>
        <v/>
      </c>
      <c r="BD1302">
        <f>'Recurring Log'!O1306&amp;""</f>
        <v/>
      </c>
      <c r="BE1302">
        <f>IF('Recurring Log'!K1306="","",'Recurring Log'!K1306)</f>
        <v/>
      </c>
      <c r="BF1302">
        <f>IFERROR(MATCH(BA1302,Setup!$L$6:$L$9,0),5)</f>
        <v/>
      </c>
      <c r="BG1302">
        <f>IF(OR(AZ1302="Done",AZ1302="Cancelled"),1,0)</f>
        <v/>
      </c>
      <c r="BH1302">
        <f>IF(AND(AU1302&lt;&gt;"",ISNUMBER(AW1302)),1,0)</f>
        <v/>
      </c>
      <c r="BI1302">
        <f>IF(BH1302=0,0,IF(AND(AW1302&gt;='Tasks Filter'!$F$3,AW1302&lt;='Tasks Filter'!$F$4,OR('Tasks Filter'!$I$3="",ISNUMBER(SEARCH('Tasks Filter'!$I$3,AU1302))),OR('Tasks Filter'!$I$4="",BF1302=IFERROR(MATCH('Tasks Filter'!$I$4,Setup!$L$6:$L$9,0),0)),OR('Tasks Filter'!$I$5="Both",AND('Tasks Filter'!$I$5="Yes",BB1302="✓"),AND('Tasks Filter'!$I$5="No",BB1302&lt;&gt;"✓")),OR('Tasks Filter'!$L$3="",AV1302='Tasks Filter'!$L$3),OR('Tasks Filter'!$L$4="",AZ1302='Tasks Filter'!$L$4),OR('Tasks Filter'!$L$5="",BC1302='Tasks Filter'!$L$5),OR('Tasks Filter'!$O$3="",BD1302='Tasks Filter'!$O$3),OR('Tasks Filter'!$O$4="Yes",BG1302=0)),1,0))</f>
        <v/>
      </c>
      <c r="BJ1302">
        <f>IF(BH1302=0,"",IF('Tasks Filter'!$F$6="Descending",-1,1)*CHOOSE(MATCH('Tasks Filter'!$F$5,Lists!$G$2:$G$6,0),AW1302,BF1302,IFERROR(MATCH(AV1302,Setup!$F$6:$F$15,0),99),IFERROR(MATCH(BC1302,Setup!$H$6:$H$15,0),99),IFERROR(MATCH(AZ1302,Setup!$J$6:$J$11,0),99))*1E+9+(AW1302-40000)*10000+1301)</f>
        <v/>
      </c>
      <c r="BK1302">
        <f>IF(BI1302=1,BJ1302,"")</f>
        <v/>
      </c>
      <c r="BL1302">
        <f>IF(AND(BH1302=1,BG1302=0,N(AW1302)&lt;Setup!$D$7),(AW1302-40000)*10000+1301,"")</f>
        <v/>
      </c>
      <c r="BM1302">
        <f>IF(AND(BH1302=1,AZ1302&lt;&gt;"Cancelled",N(AW1302)&gt;=Dashboard!$AB$3,N(AW1302)&lt;=Dashboard!$AB$3+6),(AW1302-40000)*100000+BF1302*10000+1301,"")</f>
        <v/>
      </c>
      <c r="BN1302">
        <f>IF(AND(BH1302=1,AZ1302&lt;&gt;"Cancelled"),BF1302*10000+1301,"")</f>
        <v/>
      </c>
    </row>
    <row r="1303">
      <c r="AS1303" t="inlineStr">
        <is>
          <t>R</t>
        </is>
      </c>
      <c r="AT1303" t="n">
        <v>1307</v>
      </c>
      <c r="AU1303">
        <f>'Recurring Log'!C1307&amp;""</f>
        <v/>
      </c>
      <c r="AV1303">
        <f>'Recurring Log'!D1307&amp;""</f>
        <v/>
      </c>
      <c r="AW1303">
        <f>IF('Recurring Log'!E1307="","",'Recurring Log'!E1307)</f>
        <v/>
      </c>
      <c r="AX1303">
        <f>IF('Recurring Log'!G1307="","",'Recurring Log'!G1307)</f>
        <v/>
      </c>
      <c r="AY1303">
        <f>IF('Recurring Log'!H1307="","",'Recurring Log'!H1307)</f>
        <v/>
      </c>
      <c r="AZ1303">
        <f>IF(AU1303="","",IF('Recurring Log'!J1307="","Not Started",'Recurring Log'!J1307))</f>
        <v/>
      </c>
      <c r="BA1303">
        <f>'Recurring Log'!L1307&amp;""</f>
        <v/>
      </c>
      <c r="BB1303">
        <f>'Recurring Log'!M1307&amp;""</f>
        <v/>
      </c>
      <c r="BC1303">
        <f>'Recurring Log'!N1307&amp;""</f>
        <v/>
      </c>
      <c r="BD1303">
        <f>'Recurring Log'!O1307&amp;""</f>
        <v/>
      </c>
      <c r="BE1303">
        <f>IF('Recurring Log'!K1307="","",'Recurring Log'!K1307)</f>
        <v/>
      </c>
      <c r="BF1303">
        <f>IFERROR(MATCH(BA1303,Setup!$L$6:$L$9,0),5)</f>
        <v/>
      </c>
      <c r="BG1303">
        <f>IF(OR(AZ1303="Done",AZ1303="Cancelled"),1,0)</f>
        <v/>
      </c>
      <c r="BH1303">
        <f>IF(AND(AU1303&lt;&gt;"",ISNUMBER(AW1303)),1,0)</f>
        <v/>
      </c>
      <c r="BI1303">
        <f>IF(BH1303=0,0,IF(AND(AW1303&gt;='Tasks Filter'!$F$3,AW1303&lt;='Tasks Filter'!$F$4,OR('Tasks Filter'!$I$3="",ISNUMBER(SEARCH('Tasks Filter'!$I$3,AU1303))),OR('Tasks Filter'!$I$4="",BF1303=IFERROR(MATCH('Tasks Filter'!$I$4,Setup!$L$6:$L$9,0),0)),OR('Tasks Filter'!$I$5="Both",AND('Tasks Filter'!$I$5="Yes",BB1303="✓"),AND('Tasks Filter'!$I$5="No",BB1303&lt;&gt;"✓")),OR('Tasks Filter'!$L$3="",AV1303='Tasks Filter'!$L$3),OR('Tasks Filter'!$L$4="",AZ1303='Tasks Filter'!$L$4),OR('Tasks Filter'!$L$5="",BC1303='Tasks Filter'!$L$5),OR('Tasks Filter'!$O$3="",BD1303='Tasks Filter'!$O$3),OR('Tasks Filter'!$O$4="Yes",BG1303=0)),1,0))</f>
        <v/>
      </c>
      <c r="BJ1303">
        <f>IF(BH1303=0,"",IF('Tasks Filter'!$F$6="Descending",-1,1)*CHOOSE(MATCH('Tasks Filter'!$F$5,Lists!$G$2:$G$6,0),AW1303,BF1303,IFERROR(MATCH(AV1303,Setup!$F$6:$F$15,0),99),IFERROR(MATCH(BC1303,Setup!$H$6:$H$15,0),99),IFERROR(MATCH(AZ1303,Setup!$J$6:$J$11,0),99))*1E+9+(AW1303-40000)*10000+1302)</f>
        <v/>
      </c>
      <c r="BK1303">
        <f>IF(BI1303=1,BJ1303,"")</f>
        <v/>
      </c>
      <c r="BL1303">
        <f>IF(AND(BH1303=1,BG1303=0,N(AW1303)&lt;Setup!$D$7),(AW1303-40000)*10000+1302,"")</f>
        <v/>
      </c>
      <c r="BM1303">
        <f>IF(AND(BH1303=1,AZ1303&lt;&gt;"Cancelled",N(AW1303)&gt;=Dashboard!$AB$3,N(AW1303)&lt;=Dashboard!$AB$3+6),(AW1303-40000)*100000+BF1303*10000+1302,"")</f>
        <v/>
      </c>
      <c r="BN1303">
        <f>IF(AND(BH1303=1,AZ1303&lt;&gt;"Cancelled"),BF1303*10000+1302,"")</f>
        <v/>
      </c>
    </row>
    <row r="1304">
      <c r="AS1304" t="inlineStr">
        <is>
          <t>R</t>
        </is>
      </c>
      <c r="AT1304" t="n">
        <v>1308</v>
      </c>
      <c r="AU1304">
        <f>'Recurring Log'!C1308&amp;""</f>
        <v/>
      </c>
      <c r="AV1304">
        <f>'Recurring Log'!D1308&amp;""</f>
        <v/>
      </c>
      <c r="AW1304">
        <f>IF('Recurring Log'!E1308="","",'Recurring Log'!E1308)</f>
        <v/>
      </c>
      <c r="AX1304">
        <f>IF('Recurring Log'!G1308="","",'Recurring Log'!G1308)</f>
        <v/>
      </c>
      <c r="AY1304">
        <f>IF('Recurring Log'!H1308="","",'Recurring Log'!H1308)</f>
        <v/>
      </c>
      <c r="AZ1304">
        <f>IF(AU1304="","",IF('Recurring Log'!J1308="","Not Started",'Recurring Log'!J1308))</f>
        <v/>
      </c>
      <c r="BA1304">
        <f>'Recurring Log'!L1308&amp;""</f>
        <v/>
      </c>
      <c r="BB1304">
        <f>'Recurring Log'!M1308&amp;""</f>
        <v/>
      </c>
      <c r="BC1304">
        <f>'Recurring Log'!N1308&amp;""</f>
        <v/>
      </c>
      <c r="BD1304">
        <f>'Recurring Log'!O1308&amp;""</f>
        <v/>
      </c>
      <c r="BE1304">
        <f>IF('Recurring Log'!K1308="","",'Recurring Log'!K1308)</f>
        <v/>
      </c>
      <c r="BF1304">
        <f>IFERROR(MATCH(BA1304,Setup!$L$6:$L$9,0),5)</f>
        <v/>
      </c>
      <c r="BG1304">
        <f>IF(OR(AZ1304="Done",AZ1304="Cancelled"),1,0)</f>
        <v/>
      </c>
      <c r="BH1304">
        <f>IF(AND(AU1304&lt;&gt;"",ISNUMBER(AW1304)),1,0)</f>
        <v/>
      </c>
      <c r="BI1304">
        <f>IF(BH1304=0,0,IF(AND(AW1304&gt;='Tasks Filter'!$F$3,AW1304&lt;='Tasks Filter'!$F$4,OR('Tasks Filter'!$I$3="",ISNUMBER(SEARCH('Tasks Filter'!$I$3,AU1304))),OR('Tasks Filter'!$I$4="",BF1304=IFERROR(MATCH('Tasks Filter'!$I$4,Setup!$L$6:$L$9,0),0)),OR('Tasks Filter'!$I$5="Both",AND('Tasks Filter'!$I$5="Yes",BB1304="✓"),AND('Tasks Filter'!$I$5="No",BB1304&lt;&gt;"✓")),OR('Tasks Filter'!$L$3="",AV1304='Tasks Filter'!$L$3),OR('Tasks Filter'!$L$4="",AZ1304='Tasks Filter'!$L$4),OR('Tasks Filter'!$L$5="",BC1304='Tasks Filter'!$L$5),OR('Tasks Filter'!$O$3="",BD1304='Tasks Filter'!$O$3),OR('Tasks Filter'!$O$4="Yes",BG1304=0)),1,0))</f>
        <v/>
      </c>
      <c r="BJ1304">
        <f>IF(BH1304=0,"",IF('Tasks Filter'!$F$6="Descending",-1,1)*CHOOSE(MATCH('Tasks Filter'!$F$5,Lists!$G$2:$G$6,0),AW1304,BF1304,IFERROR(MATCH(AV1304,Setup!$F$6:$F$15,0),99),IFERROR(MATCH(BC1304,Setup!$H$6:$H$15,0),99),IFERROR(MATCH(AZ1304,Setup!$J$6:$J$11,0),99))*1E+9+(AW1304-40000)*10000+1303)</f>
        <v/>
      </c>
      <c r="BK1304">
        <f>IF(BI1304=1,BJ1304,"")</f>
        <v/>
      </c>
      <c r="BL1304">
        <f>IF(AND(BH1304=1,BG1304=0,N(AW1304)&lt;Setup!$D$7),(AW1304-40000)*10000+1303,"")</f>
        <v/>
      </c>
      <c r="BM1304">
        <f>IF(AND(BH1304=1,AZ1304&lt;&gt;"Cancelled",N(AW1304)&gt;=Dashboard!$AB$3,N(AW1304)&lt;=Dashboard!$AB$3+6),(AW1304-40000)*100000+BF1304*10000+1303,"")</f>
        <v/>
      </c>
      <c r="BN1304">
        <f>IF(AND(BH1304=1,AZ1304&lt;&gt;"Cancelled"),BF1304*10000+1303,"")</f>
        <v/>
      </c>
    </row>
    <row r="1305">
      <c r="AS1305" t="inlineStr">
        <is>
          <t>R</t>
        </is>
      </c>
      <c r="AT1305" t="n">
        <v>1309</v>
      </c>
      <c r="AU1305">
        <f>'Recurring Log'!C1309&amp;""</f>
        <v/>
      </c>
      <c r="AV1305">
        <f>'Recurring Log'!D1309&amp;""</f>
        <v/>
      </c>
      <c r="AW1305">
        <f>IF('Recurring Log'!E1309="","",'Recurring Log'!E1309)</f>
        <v/>
      </c>
      <c r="AX1305">
        <f>IF('Recurring Log'!G1309="","",'Recurring Log'!G1309)</f>
        <v/>
      </c>
      <c r="AY1305">
        <f>IF('Recurring Log'!H1309="","",'Recurring Log'!H1309)</f>
        <v/>
      </c>
      <c r="AZ1305">
        <f>IF(AU1305="","",IF('Recurring Log'!J1309="","Not Started",'Recurring Log'!J1309))</f>
        <v/>
      </c>
      <c r="BA1305">
        <f>'Recurring Log'!L1309&amp;""</f>
        <v/>
      </c>
      <c r="BB1305">
        <f>'Recurring Log'!M1309&amp;""</f>
        <v/>
      </c>
      <c r="BC1305">
        <f>'Recurring Log'!N1309&amp;""</f>
        <v/>
      </c>
      <c r="BD1305">
        <f>'Recurring Log'!O1309&amp;""</f>
        <v/>
      </c>
      <c r="BE1305">
        <f>IF('Recurring Log'!K1309="","",'Recurring Log'!K1309)</f>
        <v/>
      </c>
      <c r="BF1305">
        <f>IFERROR(MATCH(BA1305,Setup!$L$6:$L$9,0),5)</f>
        <v/>
      </c>
      <c r="BG1305">
        <f>IF(OR(AZ1305="Done",AZ1305="Cancelled"),1,0)</f>
        <v/>
      </c>
      <c r="BH1305">
        <f>IF(AND(AU1305&lt;&gt;"",ISNUMBER(AW1305)),1,0)</f>
        <v/>
      </c>
      <c r="BI1305">
        <f>IF(BH1305=0,0,IF(AND(AW1305&gt;='Tasks Filter'!$F$3,AW1305&lt;='Tasks Filter'!$F$4,OR('Tasks Filter'!$I$3="",ISNUMBER(SEARCH('Tasks Filter'!$I$3,AU1305))),OR('Tasks Filter'!$I$4="",BF1305=IFERROR(MATCH('Tasks Filter'!$I$4,Setup!$L$6:$L$9,0),0)),OR('Tasks Filter'!$I$5="Both",AND('Tasks Filter'!$I$5="Yes",BB1305="✓"),AND('Tasks Filter'!$I$5="No",BB1305&lt;&gt;"✓")),OR('Tasks Filter'!$L$3="",AV1305='Tasks Filter'!$L$3),OR('Tasks Filter'!$L$4="",AZ1305='Tasks Filter'!$L$4),OR('Tasks Filter'!$L$5="",BC1305='Tasks Filter'!$L$5),OR('Tasks Filter'!$O$3="",BD1305='Tasks Filter'!$O$3),OR('Tasks Filter'!$O$4="Yes",BG1305=0)),1,0))</f>
        <v/>
      </c>
      <c r="BJ1305">
        <f>IF(BH1305=0,"",IF('Tasks Filter'!$F$6="Descending",-1,1)*CHOOSE(MATCH('Tasks Filter'!$F$5,Lists!$G$2:$G$6,0),AW1305,BF1305,IFERROR(MATCH(AV1305,Setup!$F$6:$F$15,0),99),IFERROR(MATCH(BC1305,Setup!$H$6:$H$15,0),99),IFERROR(MATCH(AZ1305,Setup!$J$6:$J$11,0),99))*1E+9+(AW1305-40000)*10000+1304)</f>
        <v/>
      </c>
      <c r="BK1305">
        <f>IF(BI1305=1,BJ1305,"")</f>
        <v/>
      </c>
      <c r="BL1305">
        <f>IF(AND(BH1305=1,BG1305=0,N(AW1305)&lt;Setup!$D$7),(AW1305-40000)*10000+1304,"")</f>
        <v/>
      </c>
      <c r="BM1305">
        <f>IF(AND(BH1305=1,AZ1305&lt;&gt;"Cancelled",N(AW1305)&gt;=Dashboard!$AB$3,N(AW1305)&lt;=Dashboard!$AB$3+6),(AW1305-40000)*100000+BF1305*10000+1304,"")</f>
        <v/>
      </c>
      <c r="BN1305">
        <f>IF(AND(BH1305=1,AZ1305&lt;&gt;"Cancelled"),BF1305*10000+1304,"")</f>
        <v/>
      </c>
    </row>
    <row r="1306">
      <c r="AS1306" t="inlineStr">
        <is>
          <t>R</t>
        </is>
      </c>
      <c r="AT1306" t="n">
        <v>1310</v>
      </c>
      <c r="AU1306">
        <f>'Recurring Log'!C1310&amp;""</f>
        <v/>
      </c>
      <c r="AV1306">
        <f>'Recurring Log'!D1310&amp;""</f>
        <v/>
      </c>
      <c r="AW1306">
        <f>IF('Recurring Log'!E1310="","",'Recurring Log'!E1310)</f>
        <v/>
      </c>
      <c r="AX1306">
        <f>IF('Recurring Log'!G1310="","",'Recurring Log'!G1310)</f>
        <v/>
      </c>
      <c r="AY1306">
        <f>IF('Recurring Log'!H1310="","",'Recurring Log'!H1310)</f>
        <v/>
      </c>
      <c r="AZ1306">
        <f>IF(AU1306="","",IF('Recurring Log'!J1310="","Not Started",'Recurring Log'!J1310))</f>
        <v/>
      </c>
      <c r="BA1306">
        <f>'Recurring Log'!L1310&amp;""</f>
        <v/>
      </c>
      <c r="BB1306">
        <f>'Recurring Log'!M1310&amp;""</f>
        <v/>
      </c>
      <c r="BC1306">
        <f>'Recurring Log'!N1310&amp;""</f>
        <v/>
      </c>
      <c r="BD1306">
        <f>'Recurring Log'!O1310&amp;""</f>
        <v/>
      </c>
      <c r="BE1306">
        <f>IF('Recurring Log'!K1310="","",'Recurring Log'!K1310)</f>
        <v/>
      </c>
      <c r="BF1306">
        <f>IFERROR(MATCH(BA1306,Setup!$L$6:$L$9,0),5)</f>
        <v/>
      </c>
      <c r="BG1306">
        <f>IF(OR(AZ1306="Done",AZ1306="Cancelled"),1,0)</f>
        <v/>
      </c>
      <c r="BH1306">
        <f>IF(AND(AU1306&lt;&gt;"",ISNUMBER(AW1306)),1,0)</f>
        <v/>
      </c>
      <c r="BI1306">
        <f>IF(BH1306=0,0,IF(AND(AW1306&gt;='Tasks Filter'!$F$3,AW1306&lt;='Tasks Filter'!$F$4,OR('Tasks Filter'!$I$3="",ISNUMBER(SEARCH('Tasks Filter'!$I$3,AU1306))),OR('Tasks Filter'!$I$4="",BF1306=IFERROR(MATCH('Tasks Filter'!$I$4,Setup!$L$6:$L$9,0),0)),OR('Tasks Filter'!$I$5="Both",AND('Tasks Filter'!$I$5="Yes",BB1306="✓"),AND('Tasks Filter'!$I$5="No",BB1306&lt;&gt;"✓")),OR('Tasks Filter'!$L$3="",AV1306='Tasks Filter'!$L$3),OR('Tasks Filter'!$L$4="",AZ1306='Tasks Filter'!$L$4),OR('Tasks Filter'!$L$5="",BC1306='Tasks Filter'!$L$5),OR('Tasks Filter'!$O$3="",BD1306='Tasks Filter'!$O$3),OR('Tasks Filter'!$O$4="Yes",BG1306=0)),1,0))</f>
        <v/>
      </c>
      <c r="BJ1306">
        <f>IF(BH1306=0,"",IF('Tasks Filter'!$F$6="Descending",-1,1)*CHOOSE(MATCH('Tasks Filter'!$F$5,Lists!$G$2:$G$6,0),AW1306,BF1306,IFERROR(MATCH(AV1306,Setup!$F$6:$F$15,0),99),IFERROR(MATCH(BC1306,Setup!$H$6:$H$15,0),99),IFERROR(MATCH(AZ1306,Setup!$J$6:$J$11,0),99))*1E+9+(AW1306-40000)*10000+1305)</f>
        <v/>
      </c>
      <c r="BK1306">
        <f>IF(BI1306=1,BJ1306,"")</f>
        <v/>
      </c>
      <c r="BL1306">
        <f>IF(AND(BH1306=1,BG1306=0,N(AW1306)&lt;Setup!$D$7),(AW1306-40000)*10000+1305,"")</f>
        <v/>
      </c>
      <c r="BM1306">
        <f>IF(AND(BH1306=1,AZ1306&lt;&gt;"Cancelled",N(AW1306)&gt;=Dashboard!$AB$3,N(AW1306)&lt;=Dashboard!$AB$3+6),(AW1306-40000)*100000+BF1306*10000+1305,"")</f>
        <v/>
      </c>
      <c r="BN1306">
        <f>IF(AND(BH1306=1,AZ1306&lt;&gt;"Cancelled"),BF1306*10000+1305,"")</f>
        <v/>
      </c>
    </row>
    <row r="1307">
      <c r="AS1307" t="inlineStr">
        <is>
          <t>R</t>
        </is>
      </c>
      <c r="AT1307" t="n">
        <v>1311</v>
      </c>
      <c r="AU1307">
        <f>'Recurring Log'!C1311&amp;""</f>
        <v/>
      </c>
      <c r="AV1307">
        <f>'Recurring Log'!D1311&amp;""</f>
        <v/>
      </c>
      <c r="AW1307">
        <f>IF('Recurring Log'!E1311="","",'Recurring Log'!E1311)</f>
        <v/>
      </c>
      <c r="AX1307">
        <f>IF('Recurring Log'!G1311="","",'Recurring Log'!G1311)</f>
        <v/>
      </c>
      <c r="AY1307">
        <f>IF('Recurring Log'!H1311="","",'Recurring Log'!H1311)</f>
        <v/>
      </c>
      <c r="AZ1307">
        <f>IF(AU1307="","",IF('Recurring Log'!J1311="","Not Started",'Recurring Log'!J1311))</f>
        <v/>
      </c>
      <c r="BA1307">
        <f>'Recurring Log'!L1311&amp;""</f>
        <v/>
      </c>
      <c r="BB1307">
        <f>'Recurring Log'!M1311&amp;""</f>
        <v/>
      </c>
      <c r="BC1307">
        <f>'Recurring Log'!N1311&amp;""</f>
        <v/>
      </c>
      <c r="BD1307">
        <f>'Recurring Log'!O1311&amp;""</f>
        <v/>
      </c>
      <c r="BE1307">
        <f>IF('Recurring Log'!K1311="","",'Recurring Log'!K1311)</f>
        <v/>
      </c>
      <c r="BF1307">
        <f>IFERROR(MATCH(BA1307,Setup!$L$6:$L$9,0),5)</f>
        <v/>
      </c>
      <c r="BG1307">
        <f>IF(OR(AZ1307="Done",AZ1307="Cancelled"),1,0)</f>
        <v/>
      </c>
      <c r="BH1307">
        <f>IF(AND(AU1307&lt;&gt;"",ISNUMBER(AW1307)),1,0)</f>
        <v/>
      </c>
      <c r="BI1307">
        <f>IF(BH1307=0,0,IF(AND(AW1307&gt;='Tasks Filter'!$F$3,AW1307&lt;='Tasks Filter'!$F$4,OR('Tasks Filter'!$I$3="",ISNUMBER(SEARCH('Tasks Filter'!$I$3,AU1307))),OR('Tasks Filter'!$I$4="",BF1307=IFERROR(MATCH('Tasks Filter'!$I$4,Setup!$L$6:$L$9,0),0)),OR('Tasks Filter'!$I$5="Both",AND('Tasks Filter'!$I$5="Yes",BB1307="✓"),AND('Tasks Filter'!$I$5="No",BB1307&lt;&gt;"✓")),OR('Tasks Filter'!$L$3="",AV1307='Tasks Filter'!$L$3),OR('Tasks Filter'!$L$4="",AZ1307='Tasks Filter'!$L$4),OR('Tasks Filter'!$L$5="",BC1307='Tasks Filter'!$L$5),OR('Tasks Filter'!$O$3="",BD1307='Tasks Filter'!$O$3),OR('Tasks Filter'!$O$4="Yes",BG1307=0)),1,0))</f>
        <v/>
      </c>
      <c r="BJ1307">
        <f>IF(BH1307=0,"",IF('Tasks Filter'!$F$6="Descending",-1,1)*CHOOSE(MATCH('Tasks Filter'!$F$5,Lists!$G$2:$G$6,0),AW1307,BF1307,IFERROR(MATCH(AV1307,Setup!$F$6:$F$15,0),99),IFERROR(MATCH(BC1307,Setup!$H$6:$H$15,0),99),IFERROR(MATCH(AZ1307,Setup!$J$6:$J$11,0),99))*1E+9+(AW1307-40000)*10000+1306)</f>
        <v/>
      </c>
      <c r="BK1307">
        <f>IF(BI1307=1,BJ1307,"")</f>
        <v/>
      </c>
      <c r="BL1307">
        <f>IF(AND(BH1307=1,BG1307=0,N(AW1307)&lt;Setup!$D$7),(AW1307-40000)*10000+1306,"")</f>
        <v/>
      </c>
      <c r="BM1307">
        <f>IF(AND(BH1307=1,AZ1307&lt;&gt;"Cancelled",N(AW1307)&gt;=Dashboard!$AB$3,N(AW1307)&lt;=Dashboard!$AB$3+6),(AW1307-40000)*100000+BF1307*10000+1306,"")</f>
        <v/>
      </c>
      <c r="BN1307">
        <f>IF(AND(BH1307=1,AZ1307&lt;&gt;"Cancelled"),BF1307*10000+1306,"")</f>
        <v/>
      </c>
    </row>
    <row r="1308">
      <c r="AS1308" t="inlineStr">
        <is>
          <t>R</t>
        </is>
      </c>
      <c r="AT1308" t="n">
        <v>1312</v>
      </c>
      <c r="AU1308">
        <f>'Recurring Log'!C1312&amp;""</f>
        <v/>
      </c>
      <c r="AV1308">
        <f>'Recurring Log'!D1312&amp;""</f>
        <v/>
      </c>
      <c r="AW1308">
        <f>IF('Recurring Log'!E1312="","",'Recurring Log'!E1312)</f>
        <v/>
      </c>
      <c r="AX1308">
        <f>IF('Recurring Log'!G1312="","",'Recurring Log'!G1312)</f>
        <v/>
      </c>
      <c r="AY1308">
        <f>IF('Recurring Log'!H1312="","",'Recurring Log'!H1312)</f>
        <v/>
      </c>
      <c r="AZ1308">
        <f>IF(AU1308="","",IF('Recurring Log'!J1312="","Not Started",'Recurring Log'!J1312))</f>
        <v/>
      </c>
      <c r="BA1308">
        <f>'Recurring Log'!L1312&amp;""</f>
        <v/>
      </c>
      <c r="BB1308">
        <f>'Recurring Log'!M1312&amp;""</f>
        <v/>
      </c>
      <c r="BC1308">
        <f>'Recurring Log'!N1312&amp;""</f>
        <v/>
      </c>
      <c r="BD1308">
        <f>'Recurring Log'!O1312&amp;""</f>
        <v/>
      </c>
      <c r="BE1308">
        <f>IF('Recurring Log'!K1312="","",'Recurring Log'!K1312)</f>
        <v/>
      </c>
      <c r="BF1308">
        <f>IFERROR(MATCH(BA1308,Setup!$L$6:$L$9,0),5)</f>
        <v/>
      </c>
      <c r="BG1308">
        <f>IF(OR(AZ1308="Done",AZ1308="Cancelled"),1,0)</f>
        <v/>
      </c>
      <c r="BH1308">
        <f>IF(AND(AU1308&lt;&gt;"",ISNUMBER(AW1308)),1,0)</f>
        <v/>
      </c>
      <c r="BI1308">
        <f>IF(BH1308=0,0,IF(AND(AW1308&gt;='Tasks Filter'!$F$3,AW1308&lt;='Tasks Filter'!$F$4,OR('Tasks Filter'!$I$3="",ISNUMBER(SEARCH('Tasks Filter'!$I$3,AU1308))),OR('Tasks Filter'!$I$4="",BF1308=IFERROR(MATCH('Tasks Filter'!$I$4,Setup!$L$6:$L$9,0),0)),OR('Tasks Filter'!$I$5="Both",AND('Tasks Filter'!$I$5="Yes",BB1308="✓"),AND('Tasks Filter'!$I$5="No",BB1308&lt;&gt;"✓")),OR('Tasks Filter'!$L$3="",AV1308='Tasks Filter'!$L$3),OR('Tasks Filter'!$L$4="",AZ1308='Tasks Filter'!$L$4),OR('Tasks Filter'!$L$5="",BC1308='Tasks Filter'!$L$5),OR('Tasks Filter'!$O$3="",BD1308='Tasks Filter'!$O$3),OR('Tasks Filter'!$O$4="Yes",BG1308=0)),1,0))</f>
        <v/>
      </c>
      <c r="BJ1308">
        <f>IF(BH1308=0,"",IF('Tasks Filter'!$F$6="Descending",-1,1)*CHOOSE(MATCH('Tasks Filter'!$F$5,Lists!$G$2:$G$6,0),AW1308,BF1308,IFERROR(MATCH(AV1308,Setup!$F$6:$F$15,0),99),IFERROR(MATCH(BC1308,Setup!$H$6:$H$15,0),99),IFERROR(MATCH(AZ1308,Setup!$J$6:$J$11,0),99))*1E+9+(AW1308-40000)*10000+1307)</f>
        <v/>
      </c>
      <c r="BK1308">
        <f>IF(BI1308=1,BJ1308,"")</f>
        <v/>
      </c>
      <c r="BL1308">
        <f>IF(AND(BH1308=1,BG1308=0,N(AW1308)&lt;Setup!$D$7),(AW1308-40000)*10000+1307,"")</f>
        <v/>
      </c>
      <c r="BM1308">
        <f>IF(AND(BH1308=1,AZ1308&lt;&gt;"Cancelled",N(AW1308)&gt;=Dashboard!$AB$3,N(AW1308)&lt;=Dashboard!$AB$3+6),(AW1308-40000)*100000+BF1308*10000+1307,"")</f>
        <v/>
      </c>
      <c r="BN1308">
        <f>IF(AND(BH1308=1,AZ1308&lt;&gt;"Cancelled"),BF1308*10000+1307,"")</f>
        <v/>
      </c>
    </row>
    <row r="1309">
      <c r="AS1309" t="inlineStr">
        <is>
          <t>R</t>
        </is>
      </c>
      <c r="AT1309" t="n">
        <v>1313</v>
      </c>
      <c r="AU1309">
        <f>'Recurring Log'!C1313&amp;""</f>
        <v/>
      </c>
      <c r="AV1309">
        <f>'Recurring Log'!D1313&amp;""</f>
        <v/>
      </c>
      <c r="AW1309">
        <f>IF('Recurring Log'!E1313="","",'Recurring Log'!E1313)</f>
        <v/>
      </c>
      <c r="AX1309">
        <f>IF('Recurring Log'!G1313="","",'Recurring Log'!G1313)</f>
        <v/>
      </c>
      <c r="AY1309">
        <f>IF('Recurring Log'!H1313="","",'Recurring Log'!H1313)</f>
        <v/>
      </c>
      <c r="AZ1309">
        <f>IF(AU1309="","",IF('Recurring Log'!J1313="","Not Started",'Recurring Log'!J1313))</f>
        <v/>
      </c>
      <c r="BA1309">
        <f>'Recurring Log'!L1313&amp;""</f>
        <v/>
      </c>
      <c r="BB1309">
        <f>'Recurring Log'!M1313&amp;""</f>
        <v/>
      </c>
      <c r="BC1309">
        <f>'Recurring Log'!N1313&amp;""</f>
        <v/>
      </c>
      <c r="BD1309">
        <f>'Recurring Log'!O1313&amp;""</f>
        <v/>
      </c>
      <c r="BE1309">
        <f>IF('Recurring Log'!K1313="","",'Recurring Log'!K1313)</f>
        <v/>
      </c>
      <c r="BF1309">
        <f>IFERROR(MATCH(BA1309,Setup!$L$6:$L$9,0),5)</f>
        <v/>
      </c>
      <c r="BG1309">
        <f>IF(OR(AZ1309="Done",AZ1309="Cancelled"),1,0)</f>
        <v/>
      </c>
      <c r="BH1309">
        <f>IF(AND(AU1309&lt;&gt;"",ISNUMBER(AW1309)),1,0)</f>
        <v/>
      </c>
      <c r="BI1309">
        <f>IF(BH1309=0,0,IF(AND(AW1309&gt;='Tasks Filter'!$F$3,AW1309&lt;='Tasks Filter'!$F$4,OR('Tasks Filter'!$I$3="",ISNUMBER(SEARCH('Tasks Filter'!$I$3,AU1309))),OR('Tasks Filter'!$I$4="",BF1309=IFERROR(MATCH('Tasks Filter'!$I$4,Setup!$L$6:$L$9,0),0)),OR('Tasks Filter'!$I$5="Both",AND('Tasks Filter'!$I$5="Yes",BB1309="✓"),AND('Tasks Filter'!$I$5="No",BB1309&lt;&gt;"✓")),OR('Tasks Filter'!$L$3="",AV1309='Tasks Filter'!$L$3),OR('Tasks Filter'!$L$4="",AZ1309='Tasks Filter'!$L$4),OR('Tasks Filter'!$L$5="",BC1309='Tasks Filter'!$L$5),OR('Tasks Filter'!$O$3="",BD1309='Tasks Filter'!$O$3),OR('Tasks Filter'!$O$4="Yes",BG1309=0)),1,0))</f>
        <v/>
      </c>
      <c r="BJ1309">
        <f>IF(BH1309=0,"",IF('Tasks Filter'!$F$6="Descending",-1,1)*CHOOSE(MATCH('Tasks Filter'!$F$5,Lists!$G$2:$G$6,0),AW1309,BF1309,IFERROR(MATCH(AV1309,Setup!$F$6:$F$15,0),99),IFERROR(MATCH(BC1309,Setup!$H$6:$H$15,0),99),IFERROR(MATCH(AZ1309,Setup!$J$6:$J$11,0),99))*1E+9+(AW1309-40000)*10000+1308)</f>
        <v/>
      </c>
      <c r="BK1309">
        <f>IF(BI1309=1,BJ1309,"")</f>
        <v/>
      </c>
      <c r="BL1309">
        <f>IF(AND(BH1309=1,BG1309=0,N(AW1309)&lt;Setup!$D$7),(AW1309-40000)*10000+1308,"")</f>
        <v/>
      </c>
      <c r="BM1309">
        <f>IF(AND(BH1309=1,AZ1309&lt;&gt;"Cancelled",N(AW1309)&gt;=Dashboard!$AB$3,N(AW1309)&lt;=Dashboard!$AB$3+6),(AW1309-40000)*100000+BF1309*10000+1308,"")</f>
        <v/>
      </c>
      <c r="BN1309">
        <f>IF(AND(BH1309=1,AZ1309&lt;&gt;"Cancelled"),BF1309*10000+1308,"")</f>
        <v/>
      </c>
    </row>
    <row r="1310">
      <c r="AS1310" t="inlineStr">
        <is>
          <t>R</t>
        </is>
      </c>
      <c r="AT1310" t="n">
        <v>1314</v>
      </c>
      <c r="AU1310">
        <f>'Recurring Log'!C1314&amp;""</f>
        <v/>
      </c>
      <c r="AV1310">
        <f>'Recurring Log'!D1314&amp;""</f>
        <v/>
      </c>
      <c r="AW1310">
        <f>IF('Recurring Log'!E1314="","",'Recurring Log'!E1314)</f>
        <v/>
      </c>
      <c r="AX1310">
        <f>IF('Recurring Log'!G1314="","",'Recurring Log'!G1314)</f>
        <v/>
      </c>
      <c r="AY1310">
        <f>IF('Recurring Log'!H1314="","",'Recurring Log'!H1314)</f>
        <v/>
      </c>
      <c r="AZ1310">
        <f>IF(AU1310="","",IF('Recurring Log'!J1314="","Not Started",'Recurring Log'!J1314))</f>
        <v/>
      </c>
      <c r="BA1310">
        <f>'Recurring Log'!L1314&amp;""</f>
        <v/>
      </c>
      <c r="BB1310">
        <f>'Recurring Log'!M1314&amp;""</f>
        <v/>
      </c>
      <c r="BC1310">
        <f>'Recurring Log'!N1314&amp;""</f>
        <v/>
      </c>
      <c r="BD1310">
        <f>'Recurring Log'!O1314&amp;""</f>
        <v/>
      </c>
      <c r="BE1310">
        <f>IF('Recurring Log'!K1314="","",'Recurring Log'!K1314)</f>
        <v/>
      </c>
      <c r="BF1310">
        <f>IFERROR(MATCH(BA1310,Setup!$L$6:$L$9,0),5)</f>
        <v/>
      </c>
      <c r="BG1310">
        <f>IF(OR(AZ1310="Done",AZ1310="Cancelled"),1,0)</f>
        <v/>
      </c>
      <c r="BH1310">
        <f>IF(AND(AU1310&lt;&gt;"",ISNUMBER(AW1310)),1,0)</f>
        <v/>
      </c>
      <c r="BI1310">
        <f>IF(BH1310=0,0,IF(AND(AW1310&gt;='Tasks Filter'!$F$3,AW1310&lt;='Tasks Filter'!$F$4,OR('Tasks Filter'!$I$3="",ISNUMBER(SEARCH('Tasks Filter'!$I$3,AU1310))),OR('Tasks Filter'!$I$4="",BF1310=IFERROR(MATCH('Tasks Filter'!$I$4,Setup!$L$6:$L$9,0),0)),OR('Tasks Filter'!$I$5="Both",AND('Tasks Filter'!$I$5="Yes",BB1310="✓"),AND('Tasks Filter'!$I$5="No",BB1310&lt;&gt;"✓")),OR('Tasks Filter'!$L$3="",AV1310='Tasks Filter'!$L$3),OR('Tasks Filter'!$L$4="",AZ1310='Tasks Filter'!$L$4),OR('Tasks Filter'!$L$5="",BC1310='Tasks Filter'!$L$5),OR('Tasks Filter'!$O$3="",BD1310='Tasks Filter'!$O$3),OR('Tasks Filter'!$O$4="Yes",BG1310=0)),1,0))</f>
        <v/>
      </c>
      <c r="BJ1310">
        <f>IF(BH1310=0,"",IF('Tasks Filter'!$F$6="Descending",-1,1)*CHOOSE(MATCH('Tasks Filter'!$F$5,Lists!$G$2:$G$6,0),AW1310,BF1310,IFERROR(MATCH(AV1310,Setup!$F$6:$F$15,0),99),IFERROR(MATCH(BC1310,Setup!$H$6:$H$15,0),99),IFERROR(MATCH(AZ1310,Setup!$J$6:$J$11,0),99))*1E+9+(AW1310-40000)*10000+1309)</f>
        <v/>
      </c>
      <c r="BK1310">
        <f>IF(BI1310=1,BJ1310,"")</f>
        <v/>
      </c>
      <c r="BL1310">
        <f>IF(AND(BH1310=1,BG1310=0,N(AW1310)&lt;Setup!$D$7),(AW1310-40000)*10000+1309,"")</f>
        <v/>
      </c>
      <c r="BM1310">
        <f>IF(AND(BH1310=1,AZ1310&lt;&gt;"Cancelled",N(AW1310)&gt;=Dashboard!$AB$3,N(AW1310)&lt;=Dashboard!$AB$3+6),(AW1310-40000)*100000+BF1310*10000+1309,"")</f>
        <v/>
      </c>
      <c r="BN1310">
        <f>IF(AND(BH1310=1,AZ1310&lt;&gt;"Cancelled"),BF1310*10000+1309,"")</f>
        <v/>
      </c>
    </row>
    <row r="1311">
      <c r="AS1311" t="inlineStr">
        <is>
          <t>R</t>
        </is>
      </c>
      <c r="AT1311" t="n">
        <v>1315</v>
      </c>
      <c r="AU1311">
        <f>'Recurring Log'!C1315&amp;""</f>
        <v/>
      </c>
      <c r="AV1311">
        <f>'Recurring Log'!D1315&amp;""</f>
        <v/>
      </c>
      <c r="AW1311">
        <f>IF('Recurring Log'!E1315="","",'Recurring Log'!E1315)</f>
        <v/>
      </c>
      <c r="AX1311">
        <f>IF('Recurring Log'!G1315="","",'Recurring Log'!G1315)</f>
        <v/>
      </c>
      <c r="AY1311">
        <f>IF('Recurring Log'!H1315="","",'Recurring Log'!H1315)</f>
        <v/>
      </c>
      <c r="AZ1311">
        <f>IF(AU1311="","",IF('Recurring Log'!J1315="","Not Started",'Recurring Log'!J1315))</f>
        <v/>
      </c>
      <c r="BA1311">
        <f>'Recurring Log'!L1315&amp;""</f>
        <v/>
      </c>
      <c r="BB1311">
        <f>'Recurring Log'!M1315&amp;""</f>
        <v/>
      </c>
      <c r="BC1311">
        <f>'Recurring Log'!N1315&amp;""</f>
        <v/>
      </c>
      <c r="BD1311">
        <f>'Recurring Log'!O1315&amp;""</f>
        <v/>
      </c>
      <c r="BE1311">
        <f>IF('Recurring Log'!K1315="","",'Recurring Log'!K1315)</f>
        <v/>
      </c>
      <c r="BF1311">
        <f>IFERROR(MATCH(BA1311,Setup!$L$6:$L$9,0),5)</f>
        <v/>
      </c>
      <c r="BG1311">
        <f>IF(OR(AZ1311="Done",AZ1311="Cancelled"),1,0)</f>
        <v/>
      </c>
      <c r="BH1311">
        <f>IF(AND(AU1311&lt;&gt;"",ISNUMBER(AW1311)),1,0)</f>
        <v/>
      </c>
      <c r="BI1311">
        <f>IF(BH1311=0,0,IF(AND(AW1311&gt;='Tasks Filter'!$F$3,AW1311&lt;='Tasks Filter'!$F$4,OR('Tasks Filter'!$I$3="",ISNUMBER(SEARCH('Tasks Filter'!$I$3,AU1311))),OR('Tasks Filter'!$I$4="",BF1311=IFERROR(MATCH('Tasks Filter'!$I$4,Setup!$L$6:$L$9,0),0)),OR('Tasks Filter'!$I$5="Both",AND('Tasks Filter'!$I$5="Yes",BB1311="✓"),AND('Tasks Filter'!$I$5="No",BB1311&lt;&gt;"✓")),OR('Tasks Filter'!$L$3="",AV1311='Tasks Filter'!$L$3),OR('Tasks Filter'!$L$4="",AZ1311='Tasks Filter'!$L$4),OR('Tasks Filter'!$L$5="",BC1311='Tasks Filter'!$L$5),OR('Tasks Filter'!$O$3="",BD1311='Tasks Filter'!$O$3),OR('Tasks Filter'!$O$4="Yes",BG1311=0)),1,0))</f>
        <v/>
      </c>
      <c r="BJ1311">
        <f>IF(BH1311=0,"",IF('Tasks Filter'!$F$6="Descending",-1,1)*CHOOSE(MATCH('Tasks Filter'!$F$5,Lists!$G$2:$G$6,0),AW1311,BF1311,IFERROR(MATCH(AV1311,Setup!$F$6:$F$15,0),99),IFERROR(MATCH(BC1311,Setup!$H$6:$H$15,0),99),IFERROR(MATCH(AZ1311,Setup!$J$6:$J$11,0),99))*1E+9+(AW1311-40000)*10000+1310)</f>
        <v/>
      </c>
      <c r="BK1311">
        <f>IF(BI1311=1,BJ1311,"")</f>
        <v/>
      </c>
      <c r="BL1311">
        <f>IF(AND(BH1311=1,BG1311=0,N(AW1311)&lt;Setup!$D$7),(AW1311-40000)*10000+1310,"")</f>
        <v/>
      </c>
      <c r="BM1311">
        <f>IF(AND(BH1311=1,AZ1311&lt;&gt;"Cancelled",N(AW1311)&gt;=Dashboard!$AB$3,N(AW1311)&lt;=Dashboard!$AB$3+6),(AW1311-40000)*100000+BF1311*10000+1310,"")</f>
        <v/>
      </c>
      <c r="BN1311">
        <f>IF(AND(BH1311=1,AZ1311&lt;&gt;"Cancelled"),BF1311*10000+1310,"")</f>
        <v/>
      </c>
    </row>
    <row r="1312">
      <c r="AS1312" t="inlineStr">
        <is>
          <t>R</t>
        </is>
      </c>
      <c r="AT1312" t="n">
        <v>1316</v>
      </c>
      <c r="AU1312">
        <f>'Recurring Log'!C1316&amp;""</f>
        <v/>
      </c>
      <c r="AV1312">
        <f>'Recurring Log'!D1316&amp;""</f>
        <v/>
      </c>
      <c r="AW1312">
        <f>IF('Recurring Log'!E1316="","",'Recurring Log'!E1316)</f>
        <v/>
      </c>
      <c r="AX1312">
        <f>IF('Recurring Log'!G1316="","",'Recurring Log'!G1316)</f>
        <v/>
      </c>
      <c r="AY1312">
        <f>IF('Recurring Log'!H1316="","",'Recurring Log'!H1316)</f>
        <v/>
      </c>
      <c r="AZ1312">
        <f>IF(AU1312="","",IF('Recurring Log'!J1316="","Not Started",'Recurring Log'!J1316))</f>
        <v/>
      </c>
      <c r="BA1312">
        <f>'Recurring Log'!L1316&amp;""</f>
        <v/>
      </c>
      <c r="BB1312">
        <f>'Recurring Log'!M1316&amp;""</f>
        <v/>
      </c>
      <c r="BC1312">
        <f>'Recurring Log'!N1316&amp;""</f>
        <v/>
      </c>
      <c r="BD1312">
        <f>'Recurring Log'!O1316&amp;""</f>
        <v/>
      </c>
      <c r="BE1312">
        <f>IF('Recurring Log'!K1316="","",'Recurring Log'!K1316)</f>
        <v/>
      </c>
      <c r="BF1312">
        <f>IFERROR(MATCH(BA1312,Setup!$L$6:$L$9,0),5)</f>
        <v/>
      </c>
      <c r="BG1312">
        <f>IF(OR(AZ1312="Done",AZ1312="Cancelled"),1,0)</f>
        <v/>
      </c>
      <c r="BH1312">
        <f>IF(AND(AU1312&lt;&gt;"",ISNUMBER(AW1312)),1,0)</f>
        <v/>
      </c>
      <c r="BI1312">
        <f>IF(BH1312=0,0,IF(AND(AW1312&gt;='Tasks Filter'!$F$3,AW1312&lt;='Tasks Filter'!$F$4,OR('Tasks Filter'!$I$3="",ISNUMBER(SEARCH('Tasks Filter'!$I$3,AU1312))),OR('Tasks Filter'!$I$4="",BF1312=IFERROR(MATCH('Tasks Filter'!$I$4,Setup!$L$6:$L$9,0),0)),OR('Tasks Filter'!$I$5="Both",AND('Tasks Filter'!$I$5="Yes",BB1312="✓"),AND('Tasks Filter'!$I$5="No",BB1312&lt;&gt;"✓")),OR('Tasks Filter'!$L$3="",AV1312='Tasks Filter'!$L$3),OR('Tasks Filter'!$L$4="",AZ1312='Tasks Filter'!$L$4),OR('Tasks Filter'!$L$5="",BC1312='Tasks Filter'!$L$5),OR('Tasks Filter'!$O$3="",BD1312='Tasks Filter'!$O$3),OR('Tasks Filter'!$O$4="Yes",BG1312=0)),1,0))</f>
        <v/>
      </c>
      <c r="BJ1312">
        <f>IF(BH1312=0,"",IF('Tasks Filter'!$F$6="Descending",-1,1)*CHOOSE(MATCH('Tasks Filter'!$F$5,Lists!$G$2:$G$6,0),AW1312,BF1312,IFERROR(MATCH(AV1312,Setup!$F$6:$F$15,0),99),IFERROR(MATCH(BC1312,Setup!$H$6:$H$15,0),99),IFERROR(MATCH(AZ1312,Setup!$J$6:$J$11,0),99))*1E+9+(AW1312-40000)*10000+1311)</f>
        <v/>
      </c>
      <c r="BK1312">
        <f>IF(BI1312=1,BJ1312,"")</f>
        <v/>
      </c>
      <c r="BL1312">
        <f>IF(AND(BH1312=1,BG1312=0,N(AW1312)&lt;Setup!$D$7),(AW1312-40000)*10000+1311,"")</f>
        <v/>
      </c>
      <c r="BM1312">
        <f>IF(AND(BH1312=1,AZ1312&lt;&gt;"Cancelled",N(AW1312)&gt;=Dashboard!$AB$3,N(AW1312)&lt;=Dashboard!$AB$3+6),(AW1312-40000)*100000+BF1312*10000+1311,"")</f>
        <v/>
      </c>
      <c r="BN1312">
        <f>IF(AND(BH1312=1,AZ1312&lt;&gt;"Cancelled"),BF1312*10000+1311,"")</f>
        <v/>
      </c>
    </row>
    <row r="1313">
      <c r="AS1313" t="inlineStr">
        <is>
          <t>R</t>
        </is>
      </c>
      <c r="AT1313" t="n">
        <v>1317</v>
      </c>
      <c r="AU1313">
        <f>'Recurring Log'!C1317&amp;""</f>
        <v/>
      </c>
      <c r="AV1313">
        <f>'Recurring Log'!D1317&amp;""</f>
        <v/>
      </c>
      <c r="AW1313">
        <f>IF('Recurring Log'!E1317="","",'Recurring Log'!E1317)</f>
        <v/>
      </c>
      <c r="AX1313">
        <f>IF('Recurring Log'!G1317="","",'Recurring Log'!G1317)</f>
        <v/>
      </c>
      <c r="AY1313">
        <f>IF('Recurring Log'!H1317="","",'Recurring Log'!H1317)</f>
        <v/>
      </c>
      <c r="AZ1313">
        <f>IF(AU1313="","",IF('Recurring Log'!J1317="","Not Started",'Recurring Log'!J1317))</f>
        <v/>
      </c>
      <c r="BA1313">
        <f>'Recurring Log'!L1317&amp;""</f>
        <v/>
      </c>
      <c r="BB1313">
        <f>'Recurring Log'!M1317&amp;""</f>
        <v/>
      </c>
      <c r="BC1313">
        <f>'Recurring Log'!N1317&amp;""</f>
        <v/>
      </c>
      <c r="BD1313">
        <f>'Recurring Log'!O1317&amp;""</f>
        <v/>
      </c>
      <c r="BE1313">
        <f>IF('Recurring Log'!K1317="","",'Recurring Log'!K1317)</f>
        <v/>
      </c>
      <c r="BF1313">
        <f>IFERROR(MATCH(BA1313,Setup!$L$6:$L$9,0),5)</f>
        <v/>
      </c>
      <c r="BG1313">
        <f>IF(OR(AZ1313="Done",AZ1313="Cancelled"),1,0)</f>
        <v/>
      </c>
      <c r="BH1313">
        <f>IF(AND(AU1313&lt;&gt;"",ISNUMBER(AW1313)),1,0)</f>
        <v/>
      </c>
      <c r="BI1313">
        <f>IF(BH1313=0,0,IF(AND(AW1313&gt;='Tasks Filter'!$F$3,AW1313&lt;='Tasks Filter'!$F$4,OR('Tasks Filter'!$I$3="",ISNUMBER(SEARCH('Tasks Filter'!$I$3,AU1313))),OR('Tasks Filter'!$I$4="",BF1313=IFERROR(MATCH('Tasks Filter'!$I$4,Setup!$L$6:$L$9,0),0)),OR('Tasks Filter'!$I$5="Both",AND('Tasks Filter'!$I$5="Yes",BB1313="✓"),AND('Tasks Filter'!$I$5="No",BB1313&lt;&gt;"✓")),OR('Tasks Filter'!$L$3="",AV1313='Tasks Filter'!$L$3),OR('Tasks Filter'!$L$4="",AZ1313='Tasks Filter'!$L$4),OR('Tasks Filter'!$L$5="",BC1313='Tasks Filter'!$L$5),OR('Tasks Filter'!$O$3="",BD1313='Tasks Filter'!$O$3),OR('Tasks Filter'!$O$4="Yes",BG1313=0)),1,0))</f>
        <v/>
      </c>
      <c r="BJ1313">
        <f>IF(BH1313=0,"",IF('Tasks Filter'!$F$6="Descending",-1,1)*CHOOSE(MATCH('Tasks Filter'!$F$5,Lists!$G$2:$G$6,0),AW1313,BF1313,IFERROR(MATCH(AV1313,Setup!$F$6:$F$15,0),99),IFERROR(MATCH(BC1313,Setup!$H$6:$H$15,0),99),IFERROR(MATCH(AZ1313,Setup!$J$6:$J$11,0),99))*1E+9+(AW1313-40000)*10000+1312)</f>
        <v/>
      </c>
      <c r="BK1313">
        <f>IF(BI1313=1,BJ1313,"")</f>
        <v/>
      </c>
      <c r="BL1313">
        <f>IF(AND(BH1313=1,BG1313=0,N(AW1313)&lt;Setup!$D$7),(AW1313-40000)*10000+1312,"")</f>
        <v/>
      </c>
      <c r="BM1313">
        <f>IF(AND(BH1313=1,AZ1313&lt;&gt;"Cancelled",N(AW1313)&gt;=Dashboard!$AB$3,N(AW1313)&lt;=Dashboard!$AB$3+6),(AW1313-40000)*100000+BF1313*10000+1312,"")</f>
        <v/>
      </c>
      <c r="BN1313">
        <f>IF(AND(BH1313=1,AZ1313&lt;&gt;"Cancelled"),BF1313*10000+1312,"")</f>
        <v/>
      </c>
    </row>
    <row r="1314">
      <c r="AS1314" t="inlineStr">
        <is>
          <t>R</t>
        </is>
      </c>
      <c r="AT1314" t="n">
        <v>1318</v>
      </c>
      <c r="AU1314">
        <f>'Recurring Log'!C1318&amp;""</f>
        <v/>
      </c>
      <c r="AV1314">
        <f>'Recurring Log'!D1318&amp;""</f>
        <v/>
      </c>
      <c r="AW1314">
        <f>IF('Recurring Log'!E1318="","",'Recurring Log'!E1318)</f>
        <v/>
      </c>
      <c r="AX1314">
        <f>IF('Recurring Log'!G1318="","",'Recurring Log'!G1318)</f>
        <v/>
      </c>
      <c r="AY1314">
        <f>IF('Recurring Log'!H1318="","",'Recurring Log'!H1318)</f>
        <v/>
      </c>
      <c r="AZ1314">
        <f>IF(AU1314="","",IF('Recurring Log'!J1318="","Not Started",'Recurring Log'!J1318))</f>
        <v/>
      </c>
      <c r="BA1314">
        <f>'Recurring Log'!L1318&amp;""</f>
        <v/>
      </c>
      <c r="BB1314">
        <f>'Recurring Log'!M1318&amp;""</f>
        <v/>
      </c>
      <c r="BC1314">
        <f>'Recurring Log'!N1318&amp;""</f>
        <v/>
      </c>
      <c r="BD1314">
        <f>'Recurring Log'!O1318&amp;""</f>
        <v/>
      </c>
      <c r="BE1314">
        <f>IF('Recurring Log'!K1318="","",'Recurring Log'!K1318)</f>
        <v/>
      </c>
      <c r="BF1314">
        <f>IFERROR(MATCH(BA1314,Setup!$L$6:$L$9,0),5)</f>
        <v/>
      </c>
      <c r="BG1314">
        <f>IF(OR(AZ1314="Done",AZ1314="Cancelled"),1,0)</f>
        <v/>
      </c>
      <c r="BH1314">
        <f>IF(AND(AU1314&lt;&gt;"",ISNUMBER(AW1314)),1,0)</f>
        <v/>
      </c>
      <c r="BI1314">
        <f>IF(BH1314=0,0,IF(AND(AW1314&gt;='Tasks Filter'!$F$3,AW1314&lt;='Tasks Filter'!$F$4,OR('Tasks Filter'!$I$3="",ISNUMBER(SEARCH('Tasks Filter'!$I$3,AU1314))),OR('Tasks Filter'!$I$4="",BF1314=IFERROR(MATCH('Tasks Filter'!$I$4,Setup!$L$6:$L$9,0),0)),OR('Tasks Filter'!$I$5="Both",AND('Tasks Filter'!$I$5="Yes",BB1314="✓"),AND('Tasks Filter'!$I$5="No",BB1314&lt;&gt;"✓")),OR('Tasks Filter'!$L$3="",AV1314='Tasks Filter'!$L$3),OR('Tasks Filter'!$L$4="",AZ1314='Tasks Filter'!$L$4),OR('Tasks Filter'!$L$5="",BC1314='Tasks Filter'!$L$5),OR('Tasks Filter'!$O$3="",BD1314='Tasks Filter'!$O$3),OR('Tasks Filter'!$O$4="Yes",BG1314=0)),1,0))</f>
        <v/>
      </c>
      <c r="BJ1314">
        <f>IF(BH1314=0,"",IF('Tasks Filter'!$F$6="Descending",-1,1)*CHOOSE(MATCH('Tasks Filter'!$F$5,Lists!$G$2:$G$6,0),AW1314,BF1314,IFERROR(MATCH(AV1314,Setup!$F$6:$F$15,0),99),IFERROR(MATCH(BC1314,Setup!$H$6:$H$15,0),99),IFERROR(MATCH(AZ1314,Setup!$J$6:$J$11,0),99))*1E+9+(AW1314-40000)*10000+1313)</f>
        <v/>
      </c>
      <c r="BK1314">
        <f>IF(BI1314=1,BJ1314,"")</f>
        <v/>
      </c>
      <c r="BL1314">
        <f>IF(AND(BH1314=1,BG1314=0,N(AW1314)&lt;Setup!$D$7),(AW1314-40000)*10000+1313,"")</f>
        <v/>
      </c>
      <c r="BM1314">
        <f>IF(AND(BH1314=1,AZ1314&lt;&gt;"Cancelled",N(AW1314)&gt;=Dashboard!$AB$3,N(AW1314)&lt;=Dashboard!$AB$3+6),(AW1314-40000)*100000+BF1314*10000+1313,"")</f>
        <v/>
      </c>
      <c r="BN1314">
        <f>IF(AND(BH1314=1,AZ1314&lt;&gt;"Cancelled"),BF1314*10000+1313,"")</f>
        <v/>
      </c>
    </row>
    <row r="1315">
      <c r="AS1315" t="inlineStr">
        <is>
          <t>R</t>
        </is>
      </c>
      <c r="AT1315" t="n">
        <v>1319</v>
      </c>
      <c r="AU1315">
        <f>'Recurring Log'!C1319&amp;""</f>
        <v/>
      </c>
      <c r="AV1315">
        <f>'Recurring Log'!D1319&amp;""</f>
        <v/>
      </c>
      <c r="AW1315">
        <f>IF('Recurring Log'!E1319="","",'Recurring Log'!E1319)</f>
        <v/>
      </c>
      <c r="AX1315">
        <f>IF('Recurring Log'!G1319="","",'Recurring Log'!G1319)</f>
        <v/>
      </c>
      <c r="AY1315">
        <f>IF('Recurring Log'!H1319="","",'Recurring Log'!H1319)</f>
        <v/>
      </c>
      <c r="AZ1315">
        <f>IF(AU1315="","",IF('Recurring Log'!J1319="","Not Started",'Recurring Log'!J1319))</f>
        <v/>
      </c>
      <c r="BA1315">
        <f>'Recurring Log'!L1319&amp;""</f>
        <v/>
      </c>
      <c r="BB1315">
        <f>'Recurring Log'!M1319&amp;""</f>
        <v/>
      </c>
      <c r="BC1315">
        <f>'Recurring Log'!N1319&amp;""</f>
        <v/>
      </c>
      <c r="BD1315">
        <f>'Recurring Log'!O1319&amp;""</f>
        <v/>
      </c>
      <c r="BE1315">
        <f>IF('Recurring Log'!K1319="","",'Recurring Log'!K1319)</f>
        <v/>
      </c>
      <c r="BF1315">
        <f>IFERROR(MATCH(BA1315,Setup!$L$6:$L$9,0),5)</f>
        <v/>
      </c>
      <c r="BG1315">
        <f>IF(OR(AZ1315="Done",AZ1315="Cancelled"),1,0)</f>
        <v/>
      </c>
      <c r="BH1315">
        <f>IF(AND(AU1315&lt;&gt;"",ISNUMBER(AW1315)),1,0)</f>
        <v/>
      </c>
      <c r="BI1315">
        <f>IF(BH1315=0,0,IF(AND(AW1315&gt;='Tasks Filter'!$F$3,AW1315&lt;='Tasks Filter'!$F$4,OR('Tasks Filter'!$I$3="",ISNUMBER(SEARCH('Tasks Filter'!$I$3,AU1315))),OR('Tasks Filter'!$I$4="",BF1315=IFERROR(MATCH('Tasks Filter'!$I$4,Setup!$L$6:$L$9,0),0)),OR('Tasks Filter'!$I$5="Both",AND('Tasks Filter'!$I$5="Yes",BB1315="✓"),AND('Tasks Filter'!$I$5="No",BB1315&lt;&gt;"✓")),OR('Tasks Filter'!$L$3="",AV1315='Tasks Filter'!$L$3),OR('Tasks Filter'!$L$4="",AZ1315='Tasks Filter'!$L$4),OR('Tasks Filter'!$L$5="",BC1315='Tasks Filter'!$L$5),OR('Tasks Filter'!$O$3="",BD1315='Tasks Filter'!$O$3),OR('Tasks Filter'!$O$4="Yes",BG1315=0)),1,0))</f>
        <v/>
      </c>
      <c r="BJ1315">
        <f>IF(BH1315=0,"",IF('Tasks Filter'!$F$6="Descending",-1,1)*CHOOSE(MATCH('Tasks Filter'!$F$5,Lists!$G$2:$G$6,0),AW1315,BF1315,IFERROR(MATCH(AV1315,Setup!$F$6:$F$15,0),99),IFERROR(MATCH(BC1315,Setup!$H$6:$H$15,0),99),IFERROR(MATCH(AZ1315,Setup!$J$6:$J$11,0),99))*1E+9+(AW1315-40000)*10000+1314)</f>
        <v/>
      </c>
      <c r="BK1315">
        <f>IF(BI1315=1,BJ1315,"")</f>
        <v/>
      </c>
      <c r="BL1315">
        <f>IF(AND(BH1315=1,BG1315=0,N(AW1315)&lt;Setup!$D$7),(AW1315-40000)*10000+1314,"")</f>
        <v/>
      </c>
      <c r="BM1315">
        <f>IF(AND(BH1315=1,AZ1315&lt;&gt;"Cancelled",N(AW1315)&gt;=Dashboard!$AB$3,N(AW1315)&lt;=Dashboard!$AB$3+6),(AW1315-40000)*100000+BF1315*10000+1314,"")</f>
        <v/>
      </c>
      <c r="BN1315">
        <f>IF(AND(BH1315=1,AZ1315&lt;&gt;"Cancelled"),BF1315*10000+1314,"")</f>
        <v/>
      </c>
    </row>
    <row r="1316">
      <c r="AS1316" t="inlineStr">
        <is>
          <t>R</t>
        </is>
      </c>
      <c r="AT1316" t="n">
        <v>1320</v>
      </c>
      <c r="AU1316">
        <f>'Recurring Log'!C1320&amp;""</f>
        <v/>
      </c>
      <c r="AV1316">
        <f>'Recurring Log'!D1320&amp;""</f>
        <v/>
      </c>
      <c r="AW1316">
        <f>IF('Recurring Log'!E1320="","",'Recurring Log'!E1320)</f>
        <v/>
      </c>
      <c r="AX1316">
        <f>IF('Recurring Log'!G1320="","",'Recurring Log'!G1320)</f>
        <v/>
      </c>
      <c r="AY1316">
        <f>IF('Recurring Log'!H1320="","",'Recurring Log'!H1320)</f>
        <v/>
      </c>
      <c r="AZ1316">
        <f>IF(AU1316="","",IF('Recurring Log'!J1320="","Not Started",'Recurring Log'!J1320))</f>
        <v/>
      </c>
      <c r="BA1316">
        <f>'Recurring Log'!L1320&amp;""</f>
        <v/>
      </c>
      <c r="BB1316">
        <f>'Recurring Log'!M1320&amp;""</f>
        <v/>
      </c>
      <c r="BC1316">
        <f>'Recurring Log'!N1320&amp;""</f>
        <v/>
      </c>
      <c r="BD1316">
        <f>'Recurring Log'!O1320&amp;""</f>
        <v/>
      </c>
      <c r="BE1316">
        <f>IF('Recurring Log'!K1320="","",'Recurring Log'!K1320)</f>
        <v/>
      </c>
      <c r="BF1316">
        <f>IFERROR(MATCH(BA1316,Setup!$L$6:$L$9,0),5)</f>
        <v/>
      </c>
      <c r="BG1316">
        <f>IF(OR(AZ1316="Done",AZ1316="Cancelled"),1,0)</f>
        <v/>
      </c>
      <c r="BH1316">
        <f>IF(AND(AU1316&lt;&gt;"",ISNUMBER(AW1316)),1,0)</f>
        <v/>
      </c>
      <c r="BI1316">
        <f>IF(BH1316=0,0,IF(AND(AW1316&gt;='Tasks Filter'!$F$3,AW1316&lt;='Tasks Filter'!$F$4,OR('Tasks Filter'!$I$3="",ISNUMBER(SEARCH('Tasks Filter'!$I$3,AU1316))),OR('Tasks Filter'!$I$4="",BF1316=IFERROR(MATCH('Tasks Filter'!$I$4,Setup!$L$6:$L$9,0),0)),OR('Tasks Filter'!$I$5="Both",AND('Tasks Filter'!$I$5="Yes",BB1316="✓"),AND('Tasks Filter'!$I$5="No",BB1316&lt;&gt;"✓")),OR('Tasks Filter'!$L$3="",AV1316='Tasks Filter'!$L$3),OR('Tasks Filter'!$L$4="",AZ1316='Tasks Filter'!$L$4),OR('Tasks Filter'!$L$5="",BC1316='Tasks Filter'!$L$5),OR('Tasks Filter'!$O$3="",BD1316='Tasks Filter'!$O$3),OR('Tasks Filter'!$O$4="Yes",BG1316=0)),1,0))</f>
        <v/>
      </c>
      <c r="BJ1316">
        <f>IF(BH1316=0,"",IF('Tasks Filter'!$F$6="Descending",-1,1)*CHOOSE(MATCH('Tasks Filter'!$F$5,Lists!$G$2:$G$6,0),AW1316,BF1316,IFERROR(MATCH(AV1316,Setup!$F$6:$F$15,0),99),IFERROR(MATCH(BC1316,Setup!$H$6:$H$15,0),99),IFERROR(MATCH(AZ1316,Setup!$J$6:$J$11,0),99))*1E+9+(AW1316-40000)*10000+1315)</f>
        <v/>
      </c>
      <c r="BK1316">
        <f>IF(BI1316=1,BJ1316,"")</f>
        <v/>
      </c>
      <c r="BL1316">
        <f>IF(AND(BH1316=1,BG1316=0,N(AW1316)&lt;Setup!$D$7),(AW1316-40000)*10000+1315,"")</f>
        <v/>
      </c>
      <c r="BM1316">
        <f>IF(AND(BH1316=1,AZ1316&lt;&gt;"Cancelled",N(AW1316)&gt;=Dashboard!$AB$3,N(AW1316)&lt;=Dashboard!$AB$3+6),(AW1316-40000)*100000+BF1316*10000+1315,"")</f>
        <v/>
      </c>
      <c r="BN1316">
        <f>IF(AND(BH1316=1,AZ1316&lt;&gt;"Cancelled"),BF1316*10000+1315,"")</f>
        <v/>
      </c>
    </row>
    <row r="1317">
      <c r="AS1317" t="inlineStr">
        <is>
          <t>R</t>
        </is>
      </c>
      <c r="AT1317" t="n">
        <v>1321</v>
      </c>
      <c r="AU1317">
        <f>'Recurring Log'!C1321&amp;""</f>
        <v/>
      </c>
      <c r="AV1317">
        <f>'Recurring Log'!D1321&amp;""</f>
        <v/>
      </c>
      <c r="AW1317">
        <f>IF('Recurring Log'!E1321="","",'Recurring Log'!E1321)</f>
        <v/>
      </c>
      <c r="AX1317">
        <f>IF('Recurring Log'!G1321="","",'Recurring Log'!G1321)</f>
        <v/>
      </c>
      <c r="AY1317">
        <f>IF('Recurring Log'!H1321="","",'Recurring Log'!H1321)</f>
        <v/>
      </c>
      <c r="AZ1317">
        <f>IF(AU1317="","",IF('Recurring Log'!J1321="","Not Started",'Recurring Log'!J1321))</f>
        <v/>
      </c>
      <c r="BA1317">
        <f>'Recurring Log'!L1321&amp;""</f>
        <v/>
      </c>
      <c r="BB1317">
        <f>'Recurring Log'!M1321&amp;""</f>
        <v/>
      </c>
      <c r="BC1317">
        <f>'Recurring Log'!N1321&amp;""</f>
        <v/>
      </c>
      <c r="BD1317">
        <f>'Recurring Log'!O1321&amp;""</f>
        <v/>
      </c>
      <c r="BE1317">
        <f>IF('Recurring Log'!K1321="","",'Recurring Log'!K1321)</f>
        <v/>
      </c>
      <c r="BF1317">
        <f>IFERROR(MATCH(BA1317,Setup!$L$6:$L$9,0),5)</f>
        <v/>
      </c>
      <c r="BG1317">
        <f>IF(OR(AZ1317="Done",AZ1317="Cancelled"),1,0)</f>
        <v/>
      </c>
      <c r="BH1317">
        <f>IF(AND(AU1317&lt;&gt;"",ISNUMBER(AW1317)),1,0)</f>
        <v/>
      </c>
      <c r="BI1317">
        <f>IF(BH1317=0,0,IF(AND(AW1317&gt;='Tasks Filter'!$F$3,AW1317&lt;='Tasks Filter'!$F$4,OR('Tasks Filter'!$I$3="",ISNUMBER(SEARCH('Tasks Filter'!$I$3,AU1317))),OR('Tasks Filter'!$I$4="",BF1317=IFERROR(MATCH('Tasks Filter'!$I$4,Setup!$L$6:$L$9,0),0)),OR('Tasks Filter'!$I$5="Both",AND('Tasks Filter'!$I$5="Yes",BB1317="✓"),AND('Tasks Filter'!$I$5="No",BB1317&lt;&gt;"✓")),OR('Tasks Filter'!$L$3="",AV1317='Tasks Filter'!$L$3),OR('Tasks Filter'!$L$4="",AZ1317='Tasks Filter'!$L$4),OR('Tasks Filter'!$L$5="",BC1317='Tasks Filter'!$L$5),OR('Tasks Filter'!$O$3="",BD1317='Tasks Filter'!$O$3),OR('Tasks Filter'!$O$4="Yes",BG1317=0)),1,0))</f>
        <v/>
      </c>
      <c r="BJ1317">
        <f>IF(BH1317=0,"",IF('Tasks Filter'!$F$6="Descending",-1,1)*CHOOSE(MATCH('Tasks Filter'!$F$5,Lists!$G$2:$G$6,0),AW1317,BF1317,IFERROR(MATCH(AV1317,Setup!$F$6:$F$15,0),99),IFERROR(MATCH(BC1317,Setup!$H$6:$H$15,0),99),IFERROR(MATCH(AZ1317,Setup!$J$6:$J$11,0),99))*1E+9+(AW1317-40000)*10000+1316)</f>
        <v/>
      </c>
      <c r="BK1317">
        <f>IF(BI1317=1,BJ1317,"")</f>
        <v/>
      </c>
      <c r="BL1317">
        <f>IF(AND(BH1317=1,BG1317=0,N(AW1317)&lt;Setup!$D$7),(AW1317-40000)*10000+1316,"")</f>
        <v/>
      </c>
      <c r="BM1317">
        <f>IF(AND(BH1317=1,AZ1317&lt;&gt;"Cancelled",N(AW1317)&gt;=Dashboard!$AB$3,N(AW1317)&lt;=Dashboard!$AB$3+6),(AW1317-40000)*100000+BF1317*10000+1316,"")</f>
        <v/>
      </c>
      <c r="BN1317">
        <f>IF(AND(BH1317=1,AZ1317&lt;&gt;"Cancelled"),BF1317*10000+1316,"")</f>
        <v/>
      </c>
    </row>
    <row r="1318">
      <c r="AS1318" t="inlineStr">
        <is>
          <t>R</t>
        </is>
      </c>
      <c r="AT1318" t="n">
        <v>1322</v>
      </c>
      <c r="AU1318">
        <f>'Recurring Log'!C1322&amp;""</f>
        <v/>
      </c>
      <c r="AV1318">
        <f>'Recurring Log'!D1322&amp;""</f>
        <v/>
      </c>
      <c r="AW1318">
        <f>IF('Recurring Log'!E1322="","",'Recurring Log'!E1322)</f>
        <v/>
      </c>
      <c r="AX1318">
        <f>IF('Recurring Log'!G1322="","",'Recurring Log'!G1322)</f>
        <v/>
      </c>
      <c r="AY1318">
        <f>IF('Recurring Log'!H1322="","",'Recurring Log'!H1322)</f>
        <v/>
      </c>
      <c r="AZ1318">
        <f>IF(AU1318="","",IF('Recurring Log'!J1322="","Not Started",'Recurring Log'!J1322))</f>
        <v/>
      </c>
      <c r="BA1318">
        <f>'Recurring Log'!L1322&amp;""</f>
        <v/>
      </c>
      <c r="BB1318">
        <f>'Recurring Log'!M1322&amp;""</f>
        <v/>
      </c>
      <c r="BC1318">
        <f>'Recurring Log'!N1322&amp;""</f>
        <v/>
      </c>
      <c r="BD1318">
        <f>'Recurring Log'!O1322&amp;""</f>
        <v/>
      </c>
      <c r="BE1318">
        <f>IF('Recurring Log'!K1322="","",'Recurring Log'!K1322)</f>
        <v/>
      </c>
      <c r="BF1318">
        <f>IFERROR(MATCH(BA1318,Setup!$L$6:$L$9,0),5)</f>
        <v/>
      </c>
      <c r="BG1318">
        <f>IF(OR(AZ1318="Done",AZ1318="Cancelled"),1,0)</f>
        <v/>
      </c>
      <c r="BH1318">
        <f>IF(AND(AU1318&lt;&gt;"",ISNUMBER(AW1318)),1,0)</f>
        <v/>
      </c>
      <c r="BI1318">
        <f>IF(BH1318=0,0,IF(AND(AW1318&gt;='Tasks Filter'!$F$3,AW1318&lt;='Tasks Filter'!$F$4,OR('Tasks Filter'!$I$3="",ISNUMBER(SEARCH('Tasks Filter'!$I$3,AU1318))),OR('Tasks Filter'!$I$4="",BF1318=IFERROR(MATCH('Tasks Filter'!$I$4,Setup!$L$6:$L$9,0),0)),OR('Tasks Filter'!$I$5="Both",AND('Tasks Filter'!$I$5="Yes",BB1318="✓"),AND('Tasks Filter'!$I$5="No",BB1318&lt;&gt;"✓")),OR('Tasks Filter'!$L$3="",AV1318='Tasks Filter'!$L$3),OR('Tasks Filter'!$L$4="",AZ1318='Tasks Filter'!$L$4),OR('Tasks Filter'!$L$5="",BC1318='Tasks Filter'!$L$5),OR('Tasks Filter'!$O$3="",BD1318='Tasks Filter'!$O$3),OR('Tasks Filter'!$O$4="Yes",BG1318=0)),1,0))</f>
        <v/>
      </c>
      <c r="BJ1318">
        <f>IF(BH1318=0,"",IF('Tasks Filter'!$F$6="Descending",-1,1)*CHOOSE(MATCH('Tasks Filter'!$F$5,Lists!$G$2:$G$6,0),AW1318,BF1318,IFERROR(MATCH(AV1318,Setup!$F$6:$F$15,0),99),IFERROR(MATCH(BC1318,Setup!$H$6:$H$15,0),99),IFERROR(MATCH(AZ1318,Setup!$J$6:$J$11,0),99))*1E+9+(AW1318-40000)*10000+1317)</f>
        <v/>
      </c>
      <c r="BK1318">
        <f>IF(BI1318=1,BJ1318,"")</f>
        <v/>
      </c>
      <c r="BL1318">
        <f>IF(AND(BH1318=1,BG1318=0,N(AW1318)&lt;Setup!$D$7),(AW1318-40000)*10000+1317,"")</f>
        <v/>
      </c>
      <c r="BM1318">
        <f>IF(AND(BH1318=1,AZ1318&lt;&gt;"Cancelled",N(AW1318)&gt;=Dashboard!$AB$3,N(AW1318)&lt;=Dashboard!$AB$3+6),(AW1318-40000)*100000+BF1318*10000+1317,"")</f>
        <v/>
      </c>
      <c r="BN1318">
        <f>IF(AND(BH1318=1,AZ1318&lt;&gt;"Cancelled"),BF1318*10000+1317,"")</f>
        <v/>
      </c>
    </row>
    <row r="1319">
      <c r="AS1319" t="inlineStr">
        <is>
          <t>R</t>
        </is>
      </c>
      <c r="AT1319" t="n">
        <v>1323</v>
      </c>
      <c r="AU1319">
        <f>'Recurring Log'!C1323&amp;""</f>
        <v/>
      </c>
      <c r="AV1319">
        <f>'Recurring Log'!D1323&amp;""</f>
        <v/>
      </c>
      <c r="AW1319">
        <f>IF('Recurring Log'!E1323="","",'Recurring Log'!E1323)</f>
        <v/>
      </c>
      <c r="AX1319">
        <f>IF('Recurring Log'!G1323="","",'Recurring Log'!G1323)</f>
        <v/>
      </c>
      <c r="AY1319">
        <f>IF('Recurring Log'!H1323="","",'Recurring Log'!H1323)</f>
        <v/>
      </c>
      <c r="AZ1319">
        <f>IF(AU1319="","",IF('Recurring Log'!J1323="","Not Started",'Recurring Log'!J1323))</f>
        <v/>
      </c>
      <c r="BA1319">
        <f>'Recurring Log'!L1323&amp;""</f>
        <v/>
      </c>
      <c r="BB1319">
        <f>'Recurring Log'!M1323&amp;""</f>
        <v/>
      </c>
      <c r="BC1319">
        <f>'Recurring Log'!N1323&amp;""</f>
        <v/>
      </c>
      <c r="BD1319">
        <f>'Recurring Log'!O1323&amp;""</f>
        <v/>
      </c>
      <c r="BE1319">
        <f>IF('Recurring Log'!K1323="","",'Recurring Log'!K1323)</f>
        <v/>
      </c>
      <c r="BF1319">
        <f>IFERROR(MATCH(BA1319,Setup!$L$6:$L$9,0),5)</f>
        <v/>
      </c>
      <c r="BG1319">
        <f>IF(OR(AZ1319="Done",AZ1319="Cancelled"),1,0)</f>
        <v/>
      </c>
      <c r="BH1319">
        <f>IF(AND(AU1319&lt;&gt;"",ISNUMBER(AW1319)),1,0)</f>
        <v/>
      </c>
      <c r="BI1319">
        <f>IF(BH1319=0,0,IF(AND(AW1319&gt;='Tasks Filter'!$F$3,AW1319&lt;='Tasks Filter'!$F$4,OR('Tasks Filter'!$I$3="",ISNUMBER(SEARCH('Tasks Filter'!$I$3,AU1319))),OR('Tasks Filter'!$I$4="",BF1319=IFERROR(MATCH('Tasks Filter'!$I$4,Setup!$L$6:$L$9,0),0)),OR('Tasks Filter'!$I$5="Both",AND('Tasks Filter'!$I$5="Yes",BB1319="✓"),AND('Tasks Filter'!$I$5="No",BB1319&lt;&gt;"✓")),OR('Tasks Filter'!$L$3="",AV1319='Tasks Filter'!$L$3),OR('Tasks Filter'!$L$4="",AZ1319='Tasks Filter'!$L$4),OR('Tasks Filter'!$L$5="",BC1319='Tasks Filter'!$L$5),OR('Tasks Filter'!$O$3="",BD1319='Tasks Filter'!$O$3),OR('Tasks Filter'!$O$4="Yes",BG1319=0)),1,0))</f>
        <v/>
      </c>
      <c r="BJ1319">
        <f>IF(BH1319=0,"",IF('Tasks Filter'!$F$6="Descending",-1,1)*CHOOSE(MATCH('Tasks Filter'!$F$5,Lists!$G$2:$G$6,0),AW1319,BF1319,IFERROR(MATCH(AV1319,Setup!$F$6:$F$15,0),99),IFERROR(MATCH(BC1319,Setup!$H$6:$H$15,0),99),IFERROR(MATCH(AZ1319,Setup!$J$6:$J$11,0),99))*1E+9+(AW1319-40000)*10000+1318)</f>
        <v/>
      </c>
      <c r="BK1319">
        <f>IF(BI1319=1,BJ1319,"")</f>
        <v/>
      </c>
      <c r="BL1319">
        <f>IF(AND(BH1319=1,BG1319=0,N(AW1319)&lt;Setup!$D$7),(AW1319-40000)*10000+1318,"")</f>
        <v/>
      </c>
      <c r="BM1319">
        <f>IF(AND(BH1319=1,AZ1319&lt;&gt;"Cancelled",N(AW1319)&gt;=Dashboard!$AB$3,N(AW1319)&lt;=Dashboard!$AB$3+6),(AW1319-40000)*100000+BF1319*10000+1318,"")</f>
        <v/>
      </c>
      <c r="BN1319">
        <f>IF(AND(BH1319=1,AZ1319&lt;&gt;"Cancelled"),BF1319*10000+1318,"")</f>
        <v/>
      </c>
    </row>
    <row r="1320">
      <c r="AS1320" t="inlineStr">
        <is>
          <t>R</t>
        </is>
      </c>
      <c r="AT1320" t="n">
        <v>1324</v>
      </c>
      <c r="AU1320">
        <f>'Recurring Log'!C1324&amp;""</f>
        <v/>
      </c>
      <c r="AV1320">
        <f>'Recurring Log'!D1324&amp;""</f>
        <v/>
      </c>
      <c r="AW1320">
        <f>IF('Recurring Log'!E1324="","",'Recurring Log'!E1324)</f>
        <v/>
      </c>
      <c r="AX1320">
        <f>IF('Recurring Log'!G1324="","",'Recurring Log'!G1324)</f>
        <v/>
      </c>
      <c r="AY1320">
        <f>IF('Recurring Log'!H1324="","",'Recurring Log'!H1324)</f>
        <v/>
      </c>
      <c r="AZ1320">
        <f>IF(AU1320="","",IF('Recurring Log'!J1324="","Not Started",'Recurring Log'!J1324))</f>
        <v/>
      </c>
      <c r="BA1320">
        <f>'Recurring Log'!L1324&amp;""</f>
        <v/>
      </c>
      <c r="BB1320">
        <f>'Recurring Log'!M1324&amp;""</f>
        <v/>
      </c>
      <c r="BC1320">
        <f>'Recurring Log'!N1324&amp;""</f>
        <v/>
      </c>
      <c r="BD1320">
        <f>'Recurring Log'!O1324&amp;""</f>
        <v/>
      </c>
      <c r="BE1320">
        <f>IF('Recurring Log'!K1324="","",'Recurring Log'!K1324)</f>
        <v/>
      </c>
      <c r="BF1320">
        <f>IFERROR(MATCH(BA1320,Setup!$L$6:$L$9,0),5)</f>
        <v/>
      </c>
      <c r="BG1320">
        <f>IF(OR(AZ1320="Done",AZ1320="Cancelled"),1,0)</f>
        <v/>
      </c>
      <c r="BH1320">
        <f>IF(AND(AU1320&lt;&gt;"",ISNUMBER(AW1320)),1,0)</f>
        <v/>
      </c>
      <c r="BI1320">
        <f>IF(BH1320=0,0,IF(AND(AW1320&gt;='Tasks Filter'!$F$3,AW1320&lt;='Tasks Filter'!$F$4,OR('Tasks Filter'!$I$3="",ISNUMBER(SEARCH('Tasks Filter'!$I$3,AU1320))),OR('Tasks Filter'!$I$4="",BF1320=IFERROR(MATCH('Tasks Filter'!$I$4,Setup!$L$6:$L$9,0),0)),OR('Tasks Filter'!$I$5="Both",AND('Tasks Filter'!$I$5="Yes",BB1320="✓"),AND('Tasks Filter'!$I$5="No",BB1320&lt;&gt;"✓")),OR('Tasks Filter'!$L$3="",AV1320='Tasks Filter'!$L$3),OR('Tasks Filter'!$L$4="",AZ1320='Tasks Filter'!$L$4),OR('Tasks Filter'!$L$5="",BC1320='Tasks Filter'!$L$5),OR('Tasks Filter'!$O$3="",BD1320='Tasks Filter'!$O$3),OR('Tasks Filter'!$O$4="Yes",BG1320=0)),1,0))</f>
        <v/>
      </c>
      <c r="BJ1320">
        <f>IF(BH1320=0,"",IF('Tasks Filter'!$F$6="Descending",-1,1)*CHOOSE(MATCH('Tasks Filter'!$F$5,Lists!$G$2:$G$6,0),AW1320,BF1320,IFERROR(MATCH(AV1320,Setup!$F$6:$F$15,0),99),IFERROR(MATCH(BC1320,Setup!$H$6:$H$15,0),99),IFERROR(MATCH(AZ1320,Setup!$J$6:$J$11,0),99))*1E+9+(AW1320-40000)*10000+1319)</f>
        <v/>
      </c>
      <c r="BK1320">
        <f>IF(BI1320=1,BJ1320,"")</f>
        <v/>
      </c>
      <c r="BL1320">
        <f>IF(AND(BH1320=1,BG1320=0,N(AW1320)&lt;Setup!$D$7),(AW1320-40000)*10000+1319,"")</f>
        <v/>
      </c>
      <c r="BM1320">
        <f>IF(AND(BH1320=1,AZ1320&lt;&gt;"Cancelled",N(AW1320)&gt;=Dashboard!$AB$3,N(AW1320)&lt;=Dashboard!$AB$3+6),(AW1320-40000)*100000+BF1320*10000+1319,"")</f>
        <v/>
      </c>
      <c r="BN1320">
        <f>IF(AND(BH1320=1,AZ1320&lt;&gt;"Cancelled"),BF1320*10000+1319,"")</f>
        <v/>
      </c>
    </row>
    <row r="1321">
      <c r="AS1321" t="inlineStr">
        <is>
          <t>R</t>
        </is>
      </c>
      <c r="AT1321" t="n">
        <v>1325</v>
      </c>
      <c r="AU1321">
        <f>'Recurring Log'!C1325&amp;""</f>
        <v/>
      </c>
      <c r="AV1321">
        <f>'Recurring Log'!D1325&amp;""</f>
        <v/>
      </c>
      <c r="AW1321">
        <f>IF('Recurring Log'!E1325="","",'Recurring Log'!E1325)</f>
        <v/>
      </c>
      <c r="AX1321">
        <f>IF('Recurring Log'!G1325="","",'Recurring Log'!G1325)</f>
        <v/>
      </c>
      <c r="AY1321">
        <f>IF('Recurring Log'!H1325="","",'Recurring Log'!H1325)</f>
        <v/>
      </c>
      <c r="AZ1321">
        <f>IF(AU1321="","",IF('Recurring Log'!J1325="","Not Started",'Recurring Log'!J1325))</f>
        <v/>
      </c>
      <c r="BA1321">
        <f>'Recurring Log'!L1325&amp;""</f>
        <v/>
      </c>
      <c r="BB1321">
        <f>'Recurring Log'!M1325&amp;""</f>
        <v/>
      </c>
      <c r="BC1321">
        <f>'Recurring Log'!N1325&amp;""</f>
        <v/>
      </c>
      <c r="BD1321">
        <f>'Recurring Log'!O1325&amp;""</f>
        <v/>
      </c>
      <c r="BE1321">
        <f>IF('Recurring Log'!K1325="","",'Recurring Log'!K1325)</f>
        <v/>
      </c>
      <c r="BF1321">
        <f>IFERROR(MATCH(BA1321,Setup!$L$6:$L$9,0),5)</f>
        <v/>
      </c>
      <c r="BG1321">
        <f>IF(OR(AZ1321="Done",AZ1321="Cancelled"),1,0)</f>
        <v/>
      </c>
      <c r="BH1321">
        <f>IF(AND(AU1321&lt;&gt;"",ISNUMBER(AW1321)),1,0)</f>
        <v/>
      </c>
      <c r="BI1321">
        <f>IF(BH1321=0,0,IF(AND(AW1321&gt;='Tasks Filter'!$F$3,AW1321&lt;='Tasks Filter'!$F$4,OR('Tasks Filter'!$I$3="",ISNUMBER(SEARCH('Tasks Filter'!$I$3,AU1321))),OR('Tasks Filter'!$I$4="",BF1321=IFERROR(MATCH('Tasks Filter'!$I$4,Setup!$L$6:$L$9,0),0)),OR('Tasks Filter'!$I$5="Both",AND('Tasks Filter'!$I$5="Yes",BB1321="✓"),AND('Tasks Filter'!$I$5="No",BB1321&lt;&gt;"✓")),OR('Tasks Filter'!$L$3="",AV1321='Tasks Filter'!$L$3),OR('Tasks Filter'!$L$4="",AZ1321='Tasks Filter'!$L$4),OR('Tasks Filter'!$L$5="",BC1321='Tasks Filter'!$L$5),OR('Tasks Filter'!$O$3="",BD1321='Tasks Filter'!$O$3),OR('Tasks Filter'!$O$4="Yes",BG1321=0)),1,0))</f>
        <v/>
      </c>
      <c r="BJ1321">
        <f>IF(BH1321=0,"",IF('Tasks Filter'!$F$6="Descending",-1,1)*CHOOSE(MATCH('Tasks Filter'!$F$5,Lists!$G$2:$G$6,0),AW1321,BF1321,IFERROR(MATCH(AV1321,Setup!$F$6:$F$15,0),99),IFERROR(MATCH(BC1321,Setup!$H$6:$H$15,0),99),IFERROR(MATCH(AZ1321,Setup!$J$6:$J$11,0),99))*1E+9+(AW1321-40000)*10000+1320)</f>
        <v/>
      </c>
      <c r="BK1321">
        <f>IF(BI1321=1,BJ1321,"")</f>
        <v/>
      </c>
      <c r="BL1321">
        <f>IF(AND(BH1321=1,BG1321=0,N(AW1321)&lt;Setup!$D$7),(AW1321-40000)*10000+1320,"")</f>
        <v/>
      </c>
      <c r="BM1321">
        <f>IF(AND(BH1321=1,AZ1321&lt;&gt;"Cancelled",N(AW1321)&gt;=Dashboard!$AB$3,N(AW1321)&lt;=Dashboard!$AB$3+6),(AW1321-40000)*100000+BF1321*10000+1320,"")</f>
        <v/>
      </c>
      <c r="BN1321">
        <f>IF(AND(BH1321=1,AZ1321&lt;&gt;"Cancelled"),BF1321*10000+1320,"")</f>
        <v/>
      </c>
    </row>
    <row r="1322">
      <c r="AS1322" t="inlineStr">
        <is>
          <t>R</t>
        </is>
      </c>
      <c r="AT1322" t="n">
        <v>1326</v>
      </c>
      <c r="AU1322">
        <f>'Recurring Log'!C1326&amp;""</f>
        <v/>
      </c>
      <c r="AV1322">
        <f>'Recurring Log'!D1326&amp;""</f>
        <v/>
      </c>
      <c r="AW1322">
        <f>IF('Recurring Log'!E1326="","",'Recurring Log'!E1326)</f>
        <v/>
      </c>
      <c r="AX1322">
        <f>IF('Recurring Log'!G1326="","",'Recurring Log'!G1326)</f>
        <v/>
      </c>
      <c r="AY1322">
        <f>IF('Recurring Log'!H1326="","",'Recurring Log'!H1326)</f>
        <v/>
      </c>
      <c r="AZ1322">
        <f>IF(AU1322="","",IF('Recurring Log'!J1326="","Not Started",'Recurring Log'!J1326))</f>
        <v/>
      </c>
      <c r="BA1322">
        <f>'Recurring Log'!L1326&amp;""</f>
        <v/>
      </c>
      <c r="BB1322">
        <f>'Recurring Log'!M1326&amp;""</f>
        <v/>
      </c>
      <c r="BC1322">
        <f>'Recurring Log'!N1326&amp;""</f>
        <v/>
      </c>
      <c r="BD1322">
        <f>'Recurring Log'!O1326&amp;""</f>
        <v/>
      </c>
      <c r="BE1322">
        <f>IF('Recurring Log'!K1326="","",'Recurring Log'!K1326)</f>
        <v/>
      </c>
      <c r="BF1322">
        <f>IFERROR(MATCH(BA1322,Setup!$L$6:$L$9,0),5)</f>
        <v/>
      </c>
      <c r="BG1322">
        <f>IF(OR(AZ1322="Done",AZ1322="Cancelled"),1,0)</f>
        <v/>
      </c>
      <c r="BH1322">
        <f>IF(AND(AU1322&lt;&gt;"",ISNUMBER(AW1322)),1,0)</f>
        <v/>
      </c>
      <c r="BI1322">
        <f>IF(BH1322=0,0,IF(AND(AW1322&gt;='Tasks Filter'!$F$3,AW1322&lt;='Tasks Filter'!$F$4,OR('Tasks Filter'!$I$3="",ISNUMBER(SEARCH('Tasks Filter'!$I$3,AU1322))),OR('Tasks Filter'!$I$4="",BF1322=IFERROR(MATCH('Tasks Filter'!$I$4,Setup!$L$6:$L$9,0),0)),OR('Tasks Filter'!$I$5="Both",AND('Tasks Filter'!$I$5="Yes",BB1322="✓"),AND('Tasks Filter'!$I$5="No",BB1322&lt;&gt;"✓")),OR('Tasks Filter'!$L$3="",AV1322='Tasks Filter'!$L$3),OR('Tasks Filter'!$L$4="",AZ1322='Tasks Filter'!$L$4),OR('Tasks Filter'!$L$5="",BC1322='Tasks Filter'!$L$5),OR('Tasks Filter'!$O$3="",BD1322='Tasks Filter'!$O$3),OR('Tasks Filter'!$O$4="Yes",BG1322=0)),1,0))</f>
        <v/>
      </c>
      <c r="BJ1322">
        <f>IF(BH1322=0,"",IF('Tasks Filter'!$F$6="Descending",-1,1)*CHOOSE(MATCH('Tasks Filter'!$F$5,Lists!$G$2:$G$6,0),AW1322,BF1322,IFERROR(MATCH(AV1322,Setup!$F$6:$F$15,0),99),IFERROR(MATCH(BC1322,Setup!$H$6:$H$15,0),99),IFERROR(MATCH(AZ1322,Setup!$J$6:$J$11,0),99))*1E+9+(AW1322-40000)*10000+1321)</f>
        <v/>
      </c>
      <c r="BK1322">
        <f>IF(BI1322=1,BJ1322,"")</f>
        <v/>
      </c>
      <c r="BL1322">
        <f>IF(AND(BH1322=1,BG1322=0,N(AW1322)&lt;Setup!$D$7),(AW1322-40000)*10000+1321,"")</f>
        <v/>
      </c>
      <c r="BM1322">
        <f>IF(AND(BH1322=1,AZ1322&lt;&gt;"Cancelled",N(AW1322)&gt;=Dashboard!$AB$3,N(AW1322)&lt;=Dashboard!$AB$3+6),(AW1322-40000)*100000+BF1322*10000+1321,"")</f>
        <v/>
      </c>
      <c r="BN1322">
        <f>IF(AND(BH1322=1,AZ1322&lt;&gt;"Cancelled"),BF1322*10000+1321,"")</f>
        <v/>
      </c>
    </row>
    <row r="1323">
      <c r="AS1323" t="inlineStr">
        <is>
          <t>R</t>
        </is>
      </c>
      <c r="AT1323" t="n">
        <v>1327</v>
      </c>
      <c r="AU1323">
        <f>'Recurring Log'!C1327&amp;""</f>
        <v/>
      </c>
      <c r="AV1323">
        <f>'Recurring Log'!D1327&amp;""</f>
        <v/>
      </c>
      <c r="AW1323">
        <f>IF('Recurring Log'!E1327="","",'Recurring Log'!E1327)</f>
        <v/>
      </c>
      <c r="AX1323">
        <f>IF('Recurring Log'!G1327="","",'Recurring Log'!G1327)</f>
        <v/>
      </c>
      <c r="AY1323">
        <f>IF('Recurring Log'!H1327="","",'Recurring Log'!H1327)</f>
        <v/>
      </c>
      <c r="AZ1323">
        <f>IF(AU1323="","",IF('Recurring Log'!J1327="","Not Started",'Recurring Log'!J1327))</f>
        <v/>
      </c>
      <c r="BA1323">
        <f>'Recurring Log'!L1327&amp;""</f>
        <v/>
      </c>
      <c r="BB1323">
        <f>'Recurring Log'!M1327&amp;""</f>
        <v/>
      </c>
      <c r="BC1323">
        <f>'Recurring Log'!N1327&amp;""</f>
        <v/>
      </c>
      <c r="BD1323">
        <f>'Recurring Log'!O1327&amp;""</f>
        <v/>
      </c>
      <c r="BE1323">
        <f>IF('Recurring Log'!K1327="","",'Recurring Log'!K1327)</f>
        <v/>
      </c>
      <c r="BF1323">
        <f>IFERROR(MATCH(BA1323,Setup!$L$6:$L$9,0),5)</f>
        <v/>
      </c>
      <c r="BG1323">
        <f>IF(OR(AZ1323="Done",AZ1323="Cancelled"),1,0)</f>
        <v/>
      </c>
      <c r="BH1323">
        <f>IF(AND(AU1323&lt;&gt;"",ISNUMBER(AW1323)),1,0)</f>
        <v/>
      </c>
      <c r="BI1323">
        <f>IF(BH1323=0,0,IF(AND(AW1323&gt;='Tasks Filter'!$F$3,AW1323&lt;='Tasks Filter'!$F$4,OR('Tasks Filter'!$I$3="",ISNUMBER(SEARCH('Tasks Filter'!$I$3,AU1323))),OR('Tasks Filter'!$I$4="",BF1323=IFERROR(MATCH('Tasks Filter'!$I$4,Setup!$L$6:$L$9,0),0)),OR('Tasks Filter'!$I$5="Both",AND('Tasks Filter'!$I$5="Yes",BB1323="✓"),AND('Tasks Filter'!$I$5="No",BB1323&lt;&gt;"✓")),OR('Tasks Filter'!$L$3="",AV1323='Tasks Filter'!$L$3),OR('Tasks Filter'!$L$4="",AZ1323='Tasks Filter'!$L$4),OR('Tasks Filter'!$L$5="",BC1323='Tasks Filter'!$L$5),OR('Tasks Filter'!$O$3="",BD1323='Tasks Filter'!$O$3),OR('Tasks Filter'!$O$4="Yes",BG1323=0)),1,0))</f>
        <v/>
      </c>
      <c r="BJ1323">
        <f>IF(BH1323=0,"",IF('Tasks Filter'!$F$6="Descending",-1,1)*CHOOSE(MATCH('Tasks Filter'!$F$5,Lists!$G$2:$G$6,0),AW1323,BF1323,IFERROR(MATCH(AV1323,Setup!$F$6:$F$15,0),99),IFERROR(MATCH(BC1323,Setup!$H$6:$H$15,0),99),IFERROR(MATCH(AZ1323,Setup!$J$6:$J$11,0),99))*1E+9+(AW1323-40000)*10000+1322)</f>
        <v/>
      </c>
      <c r="BK1323">
        <f>IF(BI1323=1,BJ1323,"")</f>
        <v/>
      </c>
      <c r="BL1323">
        <f>IF(AND(BH1323=1,BG1323=0,N(AW1323)&lt;Setup!$D$7),(AW1323-40000)*10000+1322,"")</f>
        <v/>
      </c>
      <c r="BM1323">
        <f>IF(AND(BH1323=1,AZ1323&lt;&gt;"Cancelled",N(AW1323)&gt;=Dashboard!$AB$3,N(AW1323)&lt;=Dashboard!$AB$3+6),(AW1323-40000)*100000+BF1323*10000+1322,"")</f>
        <v/>
      </c>
      <c r="BN1323">
        <f>IF(AND(BH1323=1,AZ1323&lt;&gt;"Cancelled"),BF1323*10000+1322,"")</f>
        <v/>
      </c>
    </row>
    <row r="1324">
      <c r="AS1324" t="inlineStr">
        <is>
          <t>R</t>
        </is>
      </c>
      <c r="AT1324" t="n">
        <v>1328</v>
      </c>
      <c r="AU1324">
        <f>'Recurring Log'!C1328&amp;""</f>
        <v/>
      </c>
      <c r="AV1324">
        <f>'Recurring Log'!D1328&amp;""</f>
        <v/>
      </c>
      <c r="AW1324">
        <f>IF('Recurring Log'!E1328="","",'Recurring Log'!E1328)</f>
        <v/>
      </c>
      <c r="AX1324">
        <f>IF('Recurring Log'!G1328="","",'Recurring Log'!G1328)</f>
        <v/>
      </c>
      <c r="AY1324">
        <f>IF('Recurring Log'!H1328="","",'Recurring Log'!H1328)</f>
        <v/>
      </c>
      <c r="AZ1324">
        <f>IF(AU1324="","",IF('Recurring Log'!J1328="","Not Started",'Recurring Log'!J1328))</f>
        <v/>
      </c>
      <c r="BA1324">
        <f>'Recurring Log'!L1328&amp;""</f>
        <v/>
      </c>
      <c r="BB1324">
        <f>'Recurring Log'!M1328&amp;""</f>
        <v/>
      </c>
      <c r="BC1324">
        <f>'Recurring Log'!N1328&amp;""</f>
        <v/>
      </c>
      <c r="BD1324">
        <f>'Recurring Log'!O1328&amp;""</f>
        <v/>
      </c>
      <c r="BE1324">
        <f>IF('Recurring Log'!K1328="","",'Recurring Log'!K1328)</f>
        <v/>
      </c>
      <c r="BF1324">
        <f>IFERROR(MATCH(BA1324,Setup!$L$6:$L$9,0),5)</f>
        <v/>
      </c>
      <c r="BG1324">
        <f>IF(OR(AZ1324="Done",AZ1324="Cancelled"),1,0)</f>
        <v/>
      </c>
      <c r="BH1324">
        <f>IF(AND(AU1324&lt;&gt;"",ISNUMBER(AW1324)),1,0)</f>
        <v/>
      </c>
      <c r="BI1324">
        <f>IF(BH1324=0,0,IF(AND(AW1324&gt;='Tasks Filter'!$F$3,AW1324&lt;='Tasks Filter'!$F$4,OR('Tasks Filter'!$I$3="",ISNUMBER(SEARCH('Tasks Filter'!$I$3,AU1324))),OR('Tasks Filter'!$I$4="",BF1324=IFERROR(MATCH('Tasks Filter'!$I$4,Setup!$L$6:$L$9,0),0)),OR('Tasks Filter'!$I$5="Both",AND('Tasks Filter'!$I$5="Yes",BB1324="✓"),AND('Tasks Filter'!$I$5="No",BB1324&lt;&gt;"✓")),OR('Tasks Filter'!$L$3="",AV1324='Tasks Filter'!$L$3),OR('Tasks Filter'!$L$4="",AZ1324='Tasks Filter'!$L$4),OR('Tasks Filter'!$L$5="",BC1324='Tasks Filter'!$L$5),OR('Tasks Filter'!$O$3="",BD1324='Tasks Filter'!$O$3),OR('Tasks Filter'!$O$4="Yes",BG1324=0)),1,0))</f>
        <v/>
      </c>
      <c r="BJ1324">
        <f>IF(BH1324=0,"",IF('Tasks Filter'!$F$6="Descending",-1,1)*CHOOSE(MATCH('Tasks Filter'!$F$5,Lists!$G$2:$G$6,0),AW1324,BF1324,IFERROR(MATCH(AV1324,Setup!$F$6:$F$15,0),99),IFERROR(MATCH(BC1324,Setup!$H$6:$H$15,0),99),IFERROR(MATCH(AZ1324,Setup!$J$6:$J$11,0),99))*1E+9+(AW1324-40000)*10000+1323)</f>
        <v/>
      </c>
      <c r="BK1324">
        <f>IF(BI1324=1,BJ1324,"")</f>
        <v/>
      </c>
      <c r="BL1324">
        <f>IF(AND(BH1324=1,BG1324=0,N(AW1324)&lt;Setup!$D$7),(AW1324-40000)*10000+1323,"")</f>
        <v/>
      </c>
      <c r="BM1324">
        <f>IF(AND(BH1324=1,AZ1324&lt;&gt;"Cancelled",N(AW1324)&gt;=Dashboard!$AB$3,N(AW1324)&lt;=Dashboard!$AB$3+6),(AW1324-40000)*100000+BF1324*10000+1323,"")</f>
        <v/>
      </c>
      <c r="BN1324">
        <f>IF(AND(BH1324=1,AZ1324&lt;&gt;"Cancelled"),BF1324*10000+1323,"")</f>
        <v/>
      </c>
    </row>
    <row r="1325">
      <c r="AS1325" t="inlineStr">
        <is>
          <t>R</t>
        </is>
      </c>
      <c r="AT1325" t="n">
        <v>1329</v>
      </c>
      <c r="AU1325">
        <f>'Recurring Log'!C1329&amp;""</f>
        <v/>
      </c>
      <c r="AV1325">
        <f>'Recurring Log'!D1329&amp;""</f>
        <v/>
      </c>
      <c r="AW1325">
        <f>IF('Recurring Log'!E1329="","",'Recurring Log'!E1329)</f>
        <v/>
      </c>
      <c r="AX1325">
        <f>IF('Recurring Log'!G1329="","",'Recurring Log'!G1329)</f>
        <v/>
      </c>
      <c r="AY1325">
        <f>IF('Recurring Log'!H1329="","",'Recurring Log'!H1329)</f>
        <v/>
      </c>
      <c r="AZ1325">
        <f>IF(AU1325="","",IF('Recurring Log'!J1329="","Not Started",'Recurring Log'!J1329))</f>
        <v/>
      </c>
      <c r="BA1325">
        <f>'Recurring Log'!L1329&amp;""</f>
        <v/>
      </c>
      <c r="BB1325">
        <f>'Recurring Log'!M1329&amp;""</f>
        <v/>
      </c>
      <c r="BC1325">
        <f>'Recurring Log'!N1329&amp;""</f>
        <v/>
      </c>
      <c r="BD1325">
        <f>'Recurring Log'!O1329&amp;""</f>
        <v/>
      </c>
      <c r="BE1325">
        <f>IF('Recurring Log'!K1329="","",'Recurring Log'!K1329)</f>
        <v/>
      </c>
      <c r="BF1325">
        <f>IFERROR(MATCH(BA1325,Setup!$L$6:$L$9,0),5)</f>
        <v/>
      </c>
      <c r="BG1325">
        <f>IF(OR(AZ1325="Done",AZ1325="Cancelled"),1,0)</f>
        <v/>
      </c>
      <c r="BH1325">
        <f>IF(AND(AU1325&lt;&gt;"",ISNUMBER(AW1325)),1,0)</f>
        <v/>
      </c>
      <c r="BI1325">
        <f>IF(BH1325=0,0,IF(AND(AW1325&gt;='Tasks Filter'!$F$3,AW1325&lt;='Tasks Filter'!$F$4,OR('Tasks Filter'!$I$3="",ISNUMBER(SEARCH('Tasks Filter'!$I$3,AU1325))),OR('Tasks Filter'!$I$4="",BF1325=IFERROR(MATCH('Tasks Filter'!$I$4,Setup!$L$6:$L$9,0),0)),OR('Tasks Filter'!$I$5="Both",AND('Tasks Filter'!$I$5="Yes",BB1325="✓"),AND('Tasks Filter'!$I$5="No",BB1325&lt;&gt;"✓")),OR('Tasks Filter'!$L$3="",AV1325='Tasks Filter'!$L$3),OR('Tasks Filter'!$L$4="",AZ1325='Tasks Filter'!$L$4),OR('Tasks Filter'!$L$5="",BC1325='Tasks Filter'!$L$5),OR('Tasks Filter'!$O$3="",BD1325='Tasks Filter'!$O$3),OR('Tasks Filter'!$O$4="Yes",BG1325=0)),1,0))</f>
        <v/>
      </c>
      <c r="BJ1325">
        <f>IF(BH1325=0,"",IF('Tasks Filter'!$F$6="Descending",-1,1)*CHOOSE(MATCH('Tasks Filter'!$F$5,Lists!$G$2:$G$6,0),AW1325,BF1325,IFERROR(MATCH(AV1325,Setup!$F$6:$F$15,0),99),IFERROR(MATCH(BC1325,Setup!$H$6:$H$15,0),99),IFERROR(MATCH(AZ1325,Setup!$J$6:$J$11,0),99))*1E+9+(AW1325-40000)*10000+1324)</f>
        <v/>
      </c>
      <c r="BK1325">
        <f>IF(BI1325=1,BJ1325,"")</f>
        <v/>
      </c>
      <c r="BL1325">
        <f>IF(AND(BH1325=1,BG1325=0,N(AW1325)&lt;Setup!$D$7),(AW1325-40000)*10000+1324,"")</f>
        <v/>
      </c>
      <c r="BM1325">
        <f>IF(AND(BH1325=1,AZ1325&lt;&gt;"Cancelled",N(AW1325)&gt;=Dashboard!$AB$3,N(AW1325)&lt;=Dashboard!$AB$3+6),(AW1325-40000)*100000+BF1325*10000+1324,"")</f>
        <v/>
      </c>
      <c r="BN1325">
        <f>IF(AND(BH1325=1,AZ1325&lt;&gt;"Cancelled"),BF1325*10000+1324,"")</f>
        <v/>
      </c>
    </row>
    <row r="1326">
      <c r="AS1326" t="inlineStr">
        <is>
          <t>R</t>
        </is>
      </c>
      <c r="AT1326" t="n">
        <v>1330</v>
      </c>
      <c r="AU1326">
        <f>'Recurring Log'!C1330&amp;""</f>
        <v/>
      </c>
      <c r="AV1326">
        <f>'Recurring Log'!D1330&amp;""</f>
        <v/>
      </c>
      <c r="AW1326">
        <f>IF('Recurring Log'!E1330="","",'Recurring Log'!E1330)</f>
        <v/>
      </c>
      <c r="AX1326">
        <f>IF('Recurring Log'!G1330="","",'Recurring Log'!G1330)</f>
        <v/>
      </c>
      <c r="AY1326">
        <f>IF('Recurring Log'!H1330="","",'Recurring Log'!H1330)</f>
        <v/>
      </c>
      <c r="AZ1326">
        <f>IF(AU1326="","",IF('Recurring Log'!J1330="","Not Started",'Recurring Log'!J1330))</f>
        <v/>
      </c>
      <c r="BA1326">
        <f>'Recurring Log'!L1330&amp;""</f>
        <v/>
      </c>
      <c r="BB1326">
        <f>'Recurring Log'!M1330&amp;""</f>
        <v/>
      </c>
      <c r="BC1326">
        <f>'Recurring Log'!N1330&amp;""</f>
        <v/>
      </c>
      <c r="BD1326">
        <f>'Recurring Log'!O1330&amp;""</f>
        <v/>
      </c>
      <c r="BE1326">
        <f>IF('Recurring Log'!K1330="","",'Recurring Log'!K1330)</f>
        <v/>
      </c>
      <c r="BF1326">
        <f>IFERROR(MATCH(BA1326,Setup!$L$6:$L$9,0),5)</f>
        <v/>
      </c>
      <c r="BG1326">
        <f>IF(OR(AZ1326="Done",AZ1326="Cancelled"),1,0)</f>
        <v/>
      </c>
      <c r="BH1326">
        <f>IF(AND(AU1326&lt;&gt;"",ISNUMBER(AW1326)),1,0)</f>
        <v/>
      </c>
      <c r="BI1326">
        <f>IF(BH1326=0,0,IF(AND(AW1326&gt;='Tasks Filter'!$F$3,AW1326&lt;='Tasks Filter'!$F$4,OR('Tasks Filter'!$I$3="",ISNUMBER(SEARCH('Tasks Filter'!$I$3,AU1326))),OR('Tasks Filter'!$I$4="",BF1326=IFERROR(MATCH('Tasks Filter'!$I$4,Setup!$L$6:$L$9,0),0)),OR('Tasks Filter'!$I$5="Both",AND('Tasks Filter'!$I$5="Yes",BB1326="✓"),AND('Tasks Filter'!$I$5="No",BB1326&lt;&gt;"✓")),OR('Tasks Filter'!$L$3="",AV1326='Tasks Filter'!$L$3),OR('Tasks Filter'!$L$4="",AZ1326='Tasks Filter'!$L$4),OR('Tasks Filter'!$L$5="",BC1326='Tasks Filter'!$L$5),OR('Tasks Filter'!$O$3="",BD1326='Tasks Filter'!$O$3),OR('Tasks Filter'!$O$4="Yes",BG1326=0)),1,0))</f>
        <v/>
      </c>
      <c r="BJ1326">
        <f>IF(BH1326=0,"",IF('Tasks Filter'!$F$6="Descending",-1,1)*CHOOSE(MATCH('Tasks Filter'!$F$5,Lists!$G$2:$G$6,0),AW1326,BF1326,IFERROR(MATCH(AV1326,Setup!$F$6:$F$15,0),99),IFERROR(MATCH(BC1326,Setup!$H$6:$H$15,0),99),IFERROR(MATCH(AZ1326,Setup!$J$6:$J$11,0),99))*1E+9+(AW1326-40000)*10000+1325)</f>
        <v/>
      </c>
      <c r="BK1326">
        <f>IF(BI1326=1,BJ1326,"")</f>
        <v/>
      </c>
      <c r="BL1326">
        <f>IF(AND(BH1326=1,BG1326=0,N(AW1326)&lt;Setup!$D$7),(AW1326-40000)*10000+1325,"")</f>
        <v/>
      </c>
      <c r="BM1326">
        <f>IF(AND(BH1326=1,AZ1326&lt;&gt;"Cancelled",N(AW1326)&gt;=Dashboard!$AB$3,N(AW1326)&lt;=Dashboard!$AB$3+6),(AW1326-40000)*100000+BF1326*10000+1325,"")</f>
        <v/>
      </c>
      <c r="BN1326">
        <f>IF(AND(BH1326=1,AZ1326&lt;&gt;"Cancelled"),BF1326*10000+1325,"")</f>
        <v/>
      </c>
    </row>
    <row r="1327">
      <c r="AS1327" t="inlineStr">
        <is>
          <t>R</t>
        </is>
      </c>
      <c r="AT1327" t="n">
        <v>1331</v>
      </c>
      <c r="AU1327">
        <f>'Recurring Log'!C1331&amp;""</f>
        <v/>
      </c>
      <c r="AV1327">
        <f>'Recurring Log'!D1331&amp;""</f>
        <v/>
      </c>
      <c r="AW1327">
        <f>IF('Recurring Log'!E1331="","",'Recurring Log'!E1331)</f>
        <v/>
      </c>
      <c r="AX1327">
        <f>IF('Recurring Log'!G1331="","",'Recurring Log'!G1331)</f>
        <v/>
      </c>
      <c r="AY1327">
        <f>IF('Recurring Log'!H1331="","",'Recurring Log'!H1331)</f>
        <v/>
      </c>
      <c r="AZ1327">
        <f>IF(AU1327="","",IF('Recurring Log'!J1331="","Not Started",'Recurring Log'!J1331))</f>
        <v/>
      </c>
      <c r="BA1327">
        <f>'Recurring Log'!L1331&amp;""</f>
        <v/>
      </c>
      <c r="BB1327">
        <f>'Recurring Log'!M1331&amp;""</f>
        <v/>
      </c>
      <c r="BC1327">
        <f>'Recurring Log'!N1331&amp;""</f>
        <v/>
      </c>
      <c r="BD1327">
        <f>'Recurring Log'!O1331&amp;""</f>
        <v/>
      </c>
      <c r="BE1327">
        <f>IF('Recurring Log'!K1331="","",'Recurring Log'!K1331)</f>
        <v/>
      </c>
      <c r="BF1327">
        <f>IFERROR(MATCH(BA1327,Setup!$L$6:$L$9,0),5)</f>
        <v/>
      </c>
      <c r="BG1327">
        <f>IF(OR(AZ1327="Done",AZ1327="Cancelled"),1,0)</f>
        <v/>
      </c>
      <c r="BH1327">
        <f>IF(AND(AU1327&lt;&gt;"",ISNUMBER(AW1327)),1,0)</f>
        <v/>
      </c>
      <c r="BI1327">
        <f>IF(BH1327=0,0,IF(AND(AW1327&gt;='Tasks Filter'!$F$3,AW1327&lt;='Tasks Filter'!$F$4,OR('Tasks Filter'!$I$3="",ISNUMBER(SEARCH('Tasks Filter'!$I$3,AU1327))),OR('Tasks Filter'!$I$4="",BF1327=IFERROR(MATCH('Tasks Filter'!$I$4,Setup!$L$6:$L$9,0),0)),OR('Tasks Filter'!$I$5="Both",AND('Tasks Filter'!$I$5="Yes",BB1327="✓"),AND('Tasks Filter'!$I$5="No",BB1327&lt;&gt;"✓")),OR('Tasks Filter'!$L$3="",AV1327='Tasks Filter'!$L$3),OR('Tasks Filter'!$L$4="",AZ1327='Tasks Filter'!$L$4),OR('Tasks Filter'!$L$5="",BC1327='Tasks Filter'!$L$5),OR('Tasks Filter'!$O$3="",BD1327='Tasks Filter'!$O$3),OR('Tasks Filter'!$O$4="Yes",BG1327=0)),1,0))</f>
        <v/>
      </c>
      <c r="BJ1327">
        <f>IF(BH1327=0,"",IF('Tasks Filter'!$F$6="Descending",-1,1)*CHOOSE(MATCH('Tasks Filter'!$F$5,Lists!$G$2:$G$6,0),AW1327,BF1327,IFERROR(MATCH(AV1327,Setup!$F$6:$F$15,0),99),IFERROR(MATCH(BC1327,Setup!$H$6:$H$15,0),99),IFERROR(MATCH(AZ1327,Setup!$J$6:$J$11,0),99))*1E+9+(AW1327-40000)*10000+1326)</f>
        <v/>
      </c>
      <c r="BK1327">
        <f>IF(BI1327=1,BJ1327,"")</f>
        <v/>
      </c>
      <c r="BL1327">
        <f>IF(AND(BH1327=1,BG1327=0,N(AW1327)&lt;Setup!$D$7),(AW1327-40000)*10000+1326,"")</f>
        <v/>
      </c>
      <c r="BM1327">
        <f>IF(AND(BH1327=1,AZ1327&lt;&gt;"Cancelled",N(AW1327)&gt;=Dashboard!$AB$3,N(AW1327)&lt;=Dashboard!$AB$3+6),(AW1327-40000)*100000+BF1327*10000+1326,"")</f>
        <v/>
      </c>
      <c r="BN1327">
        <f>IF(AND(BH1327=1,AZ1327&lt;&gt;"Cancelled"),BF1327*10000+1326,"")</f>
        <v/>
      </c>
    </row>
    <row r="1328">
      <c r="AS1328" t="inlineStr">
        <is>
          <t>R</t>
        </is>
      </c>
      <c r="AT1328" t="n">
        <v>1332</v>
      </c>
      <c r="AU1328">
        <f>'Recurring Log'!C1332&amp;""</f>
        <v/>
      </c>
      <c r="AV1328">
        <f>'Recurring Log'!D1332&amp;""</f>
        <v/>
      </c>
      <c r="AW1328">
        <f>IF('Recurring Log'!E1332="","",'Recurring Log'!E1332)</f>
        <v/>
      </c>
      <c r="AX1328">
        <f>IF('Recurring Log'!G1332="","",'Recurring Log'!G1332)</f>
        <v/>
      </c>
      <c r="AY1328">
        <f>IF('Recurring Log'!H1332="","",'Recurring Log'!H1332)</f>
        <v/>
      </c>
      <c r="AZ1328">
        <f>IF(AU1328="","",IF('Recurring Log'!J1332="","Not Started",'Recurring Log'!J1332))</f>
        <v/>
      </c>
      <c r="BA1328">
        <f>'Recurring Log'!L1332&amp;""</f>
        <v/>
      </c>
      <c r="BB1328">
        <f>'Recurring Log'!M1332&amp;""</f>
        <v/>
      </c>
      <c r="BC1328">
        <f>'Recurring Log'!N1332&amp;""</f>
        <v/>
      </c>
      <c r="BD1328">
        <f>'Recurring Log'!O1332&amp;""</f>
        <v/>
      </c>
      <c r="BE1328">
        <f>IF('Recurring Log'!K1332="","",'Recurring Log'!K1332)</f>
        <v/>
      </c>
      <c r="BF1328">
        <f>IFERROR(MATCH(BA1328,Setup!$L$6:$L$9,0),5)</f>
        <v/>
      </c>
      <c r="BG1328">
        <f>IF(OR(AZ1328="Done",AZ1328="Cancelled"),1,0)</f>
        <v/>
      </c>
      <c r="BH1328">
        <f>IF(AND(AU1328&lt;&gt;"",ISNUMBER(AW1328)),1,0)</f>
        <v/>
      </c>
      <c r="BI1328">
        <f>IF(BH1328=0,0,IF(AND(AW1328&gt;='Tasks Filter'!$F$3,AW1328&lt;='Tasks Filter'!$F$4,OR('Tasks Filter'!$I$3="",ISNUMBER(SEARCH('Tasks Filter'!$I$3,AU1328))),OR('Tasks Filter'!$I$4="",BF1328=IFERROR(MATCH('Tasks Filter'!$I$4,Setup!$L$6:$L$9,0),0)),OR('Tasks Filter'!$I$5="Both",AND('Tasks Filter'!$I$5="Yes",BB1328="✓"),AND('Tasks Filter'!$I$5="No",BB1328&lt;&gt;"✓")),OR('Tasks Filter'!$L$3="",AV1328='Tasks Filter'!$L$3),OR('Tasks Filter'!$L$4="",AZ1328='Tasks Filter'!$L$4),OR('Tasks Filter'!$L$5="",BC1328='Tasks Filter'!$L$5),OR('Tasks Filter'!$O$3="",BD1328='Tasks Filter'!$O$3),OR('Tasks Filter'!$O$4="Yes",BG1328=0)),1,0))</f>
        <v/>
      </c>
      <c r="BJ1328">
        <f>IF(BH1328=0,"",IF('Tasks Filter'!$F$6="Descending",-1,1)*CHOOSE(MATCH('Tasks Filter'!$F$5,Lists!$G$2:$G$6,0),AW1328,BF1328,IFERROR(MATCH(AV1328,Setup!$F$6:$F$15,0),99),IFERROR(MATCH(BC1328,Setup!$H$6:$H$15,0),99),IFERROR(MATCH(AZ1328,Setup!$J$6:$J$11,0),99))*1E+9+(AW1328-40000)*10000+1327)</f>
        <v/>
      </c>
      <c r="BK1328">
        <f>IF(BI1328=1,BJ1328,"")</f>
        <v/>
      </c>
      <c r="BL1328">
        <f>IF(AND(BH1328=1,BG1328=0,N(AW1328)&lt;Setup!$D$7),(AW1328-40000)*10000+1327,"")</f>
        <v/>
      </c>
      <c r="BM1328">
        <f>IF(AND(BH1328=1,AZ1328&lt;&gt;"Cancelled",N(AW1328)&gt;=Dashboard!$AB$3,N(AW1328)&lt;=Dashboard!$AB$3+6),(AW1328-40000)*100000+BF1328*10000+1327,"")</f>
        <v/>
      </c>
      <c r="BN1328">
        <f>IF(AND(BH1328=1,AZ1328&lt;&gt;"Cancelled"),BF1328*10000+1327,"")</f>
        <v/>
      </c>
    </row>
    <row r="1329">
      <c r="AS1329" t="inlineStr">
        <is>
          <t>R</t>
        </is>
      </c>
      <c r="AT1329" t="n">
        <v>1333</v>
      </c>
      <c r="AU1329">
        <f>'Recurring Log'!C1333&amp;""</f>
        <v/>
      </c>
      <c r="AV1329">
        <f>'Recurring Log'!D1333&amp;""</f>
        <v/>
      </c>
      <c r="AW1329">
        <f>IF('Recurring Log'!E1333="","",'Recurring Log'!E1333)</f>
        <v/>
      </c>
      <c r="AX1329">
        <f>IF('Recurring Log'!G1333="","",'Recurring Log'!G1333)</f>
        <v/>
      </c>
      <c r="AY1329">
        <f>IF('Recurring Log'!H1333="","",'Recurring Log'!H1333)</f>
        <v/>
      </c>
      <c r="AZ1329">
        <f>IF(AU1329="","",IF('Recurring Log'!J1333="","Not Started",'Recurring Log'!J1333))</f>
        <v/>
      </c>
      <c r="BA1329">
        <f>'Recurring Log'!L1333&amp;""</f>
        <v/>
      </c>
      <c r="BB1329">
        <f>'Recurring Log'!M1333&amp;""</f>
        <v/>
      </c>
      <c r="BC1329">
        <f>'Recurring Log'!N1333&amp;""</f>
        <v/>
      </c>
      <c r="BD1329">
        <f>'Recurring Log'!O1333&amp;""</f>
        <v/>
      </c>
      <c r="BE1329">
        <f>IF('Recurring Log'!K1333="","",'Recurring Log'!K1333)</f>
        <v/>
      </c>
      <c r="BF1329">
        <f>IFERROR(MATCH(BA1329,Setup!$L$6:$L$9,0),5)</f>
        <v/>
      </c>
      <c r="BG1329">
        <f>IF(OR(AZ1329="Done",AZ1329="Cancelled"),1,0)</f>
        <v/>
      </c>
      <c r="BH1329">
        <f>IF(AND(AU1329&lt;&gt;"",ISNUMBER(AW1329)),1,0)</f>
        <v/>
      </c>
      <c r="BI1329">
        <f>IF(BH1329=0,0,IF(AND(AW1329&gt;='Tasks Filter'!$F$3,AW1329&lt;='Tasks Filter'!$F$4,OR('Tasks Filter'!$I$3="",ISNUMBER(SEARCH('Tasks Filter'!$I$3,AU1329))),OR('Tasks Filter'!$I$4="",BF1329=IFERROR(MATCH('Tasks Filter'!$I$4,Setup!$L$6:$L$9,0),0)),OR('Tasks Filter'!$I$5="Both",AND('Tasks Filter'!$I$5="Yes",BB1329="✓"),AND('Tasks Filter'!$I$5="No",BB1329&lt;&gt;"✓")),OR('Tasks Filter'!$L$3="",AV1329='Tasks Filter'!$L$3),OR('Tasks Filter'!$L$4="",AZ1329='Tasks Filter'!$L$4),OR('Tasks Filter'!$L$5="",BC1329='Tasks Filter'!$L$5),OR('Tasks Filter'!$O$3="",BD1329='Tasks Filter'!$O$3),OR('Tasks Filter'!$O$4="Yes",BG1329=0)),1,0))</f>
        <v/>
      </c>
      <c r="BJ1329">
        <f>IF(BH1329=0,"",IF('Tasks Filter'!$F$6="Descending",-1,1)*CHOOSE(MATCH('Tasks Filter'!$F$5,Lists!$G$2:$G$6,0),AW1329,BF1329,IFERROR(MATCH(AV1329,Setup!$F$6:$F$15,0),99),IFERROR(MATCH(BC1329,Setup!$H$6:$H$15,0),99),IFERROR(MATCH(AZ1329,Setup!$J$6:$J$11,0),99))*1E+9+(AW1329-40000)*10000+1328)</f>
        <v/>
      </c>
      <c r="BK1329">
        <f>IF(BI1329=1,BJ1329,"")</f>
        <v/>
      </c>
      <c r="BL1329">
        <f>IF(AND(BH1329=1,BG1329=0,N(AW1329)&lt;Setup!$D$7),(AW1329-40000)*10000+1328,"")</f>
        <v/>
      </c>
      <c r="BM1329">
        <f>IF(AND(BH1329=1,AZ1329&lt;&gt;"Cancelled",N(AW1329)&gt;=Dashboard!$AB$3,N(AW1329)&lt;=Dashboard!$AB$3+6),(AW1329-40000)*100000+BF1329*10000+1328,"")</f>
        <v/>
      </c>
      <c r="BN1329">
        <f>IF(AND(BH1329=1,AZ1329&lt;&gt;"Cancelled"),BF1329*10000+1328,"")</f>
        <v/>
      </c>
    </row>
    <row r="1330">
      <c r="AS1330" t="inlineStr">
        <is>
          <t>R</t>
        </is>
      </c>
      <c r="AT1330" t="n">
        <v>1334</v>
      </c>
      <c r="AU1330">
        <f>'Recurring Log'!C1334&amp;""</f>
        <v/>
      </c>
      <c r="AV1330">
        <f>'Recurring Log'!D1334&amp;""</f>
        <v/>
      </c>
      <c r="AW1330">
        <f>IF('Recurring Log'!E1334="","",'Recurring Log'!E1334)</f>
        <v/>
      </c>
      <c r="AX1330">
        <f>IF('Recurring Log'!G1334="","",'Recurring Log'!G1334)</f>
        <v/>
      </c>
      <c r="AY1330">
        <f>IF('Recurring Log'!H1334="","",'Recurring Log'!H1334)</f>
        <v/>
      </c>
      <c r="AZ1330">
        <f>IF(AU1330="","",IF('Recurring Log'!J1334="","Not Started",'Recurring Log'!J1334))</f>
        <v/>
      </c>
      <c r="BA1330">
        <f>'Recurring Log'!L1334&amp;""</f>
        <v/>
      </c>
      <c r="BB1330">
        <f>'Recurring Log'!M1334&amp;""</f>
        <v/>
      </c>
      <c r="BC1330">
        <f>'Recurring Log'!N1334&amp;""</f>
        <v/>
      </c>
      <c r="BD1330">
        <f>'Recurring Log'!O1334&amp;""</f>
        <v/>
      </c>
      <c r="BE1330">
        <f>IF('Recurring Log'!K1334="","",'Recurring Log'!K1334)</f>
        <v/>
      </c>
      <c r="BF1330">
        <f>IFERROR(MATCH(BA1330,Setup!$L$6:$L$9,0),5)</f>
        <v/>
      </c>
      <c r="BG1330">
        <f>IF(OR(AZ1330="Done",AZ1330="Cancelled"),1,0)</f>
        <v/>
      </c>
      <c r="BH1330">
        <f>IF(AND(AU1330&lt;&gt;"",ISNUMBER(AW1330)),1,0)</f>
        <v/>
      </c>
      <c r="BI1330">
        <f>IF(BH1330=0,0,IF(AND(AW1330&gt;='Tasks Filter'!$F$3,AW1330&lt;='Tasks Filter'!$F$4,OR('Tasks Filter'!$I$3="",ISNUMBER(SEARCH('Tasks Filter'!$I$3,AU1330))),OR('Tasks Filter'!$I$4="",BF1330=IFERROR(MATCH('Tasks Filter'!$I$4,Setup!$L$6:$L$9,0),0)),OR('Tasks Filter'!$I$5="Both",AND('Tasks Filter'!$I$5="Yes",BB1330="✓"),AND('Tasks Filter'!$I$5="No",BB1330&lt;&gt;"✓")),OR('Tasks Filter'!$L$3="",AV1330='Tasks Filter'!$L$3),OR('Tasks Filter'!$L$4="",AZ1330='Tasks Filter'!$L$4),OR('Tasks Filter'!$L$5="",BC1330='Tasks Filter'!$L$5),OR('Tasks Filter'!$O$3="",BD1330='Tasks Filter'!$O$3),OR('Tasks Filter'!$O$4="Yes",BG1330=0)),1,0))</f>
        <v/>
      </c>
      <c r="BJ1330">
        <f>IF(BH1330=0,"",IF('Tasks Filter'!$F$6="Descending",-1,1)*CHOOSE(MATCH('Tasks Filter'!$F$5,Lists!$G$2:$G$6,0),AW1330,BF1330,IFERROR(MATCH(AV1330,Setup!$F$6:$F$15,0),99),IFERROR(MATCH(BC1330,Setup!$H$6:$H$15,0),99),IFERROR(MATCH(AZ1330,Setup!$J$6:$J$11,0),99))*1E+9+(AW1330-40000)*10000+1329)</f>
        <v/>
      </c>
      <c r="BK1330">
        <f>IF(BI1330=1,BJ1330,"")</f>
        <v/>
      </c>
      <c r="BL1330">
        <f>IF(AND(BH1330=1,BG1330=0,N(AW1330)&lt;Setup!$D$7),(AW1330-40000)*10000+1329,"")</f>
        <v/>
      </c>
      <c r="BM1330">
        <f>IF(AND(BH1330=1,AZ1330&lt;&gt;"Cancelled",N(AW1330)&gt;=Dashboard!$AB$3,N(AW1330)&lt;=Dashboard!$AB$3+6),(AW1330-40000)*100000+BF1330*10000+1329,"")</f>
        <v/>
      </c>
      <c r="BN1330">
        <f>IF(AND(BH1330=1,AZ1330&lt;&gt;"Cancelled"),BF1330*10000+1329,"")</f>
        <v/>
      </c>
    </row>
    <row r="1331">
      <c r="AS1331" t="inlineStr">
        <is>
          <t>R</t>
        </is>
      </c>
      <c r="AT1331" t="n">
        <v>1335</v>
      </c>
      <c r="AU1331">
        <f>'Recurring Log'!C1335&amp;""</f>
        <v/>
      </c>
      <c r="AV1331">
        <f>'Recurring Log'!D1335&amp;""</f>
        <v/>
      </c>
      <c r="AW1331">
        <f>IF('Recurring Log'!E1335="","",'Recurring Log'!E1335)</f>
        <v/>
      </c>
      <c r="AX1331">
        <f>IF('Recurring Log'!G1335="","",'Recurring Log'!G1335)</f>
        <v/>
      </c>
      <c r="AY1331">
        <f>IF('Recurring Log'!H1335="","",'Recurring Log'!H1335)</f>
        <v/>
      </c>
      <c r="AZ1331">
        <f>IF(AU1331="","",IF('Recurring Log'!J1335="","Not Started",'Recurring Log'!J1335))</f>
        <v/>
      </c>
      <c r="BA1331">
        <f>'Recurring Log'!L1335&amp;""</f>
        <v/>
      </c>
      <c r="BB1331">
        <f>'Recurring Log'!M1335&amp;""</f>
        <v/>
      </c>
      <c r="BC1331">
        <f>'Recurring Log'!N1335&amp;""</f>
        <v/>
      </c>
      <c r="BD1331">
        <f>'Recurring Log'!O1335&amp;""</f>
        <v/>
      </c>
      <c r="BE1331">
        <f>IF('Recurring Log'!K1335="","",'Recurring Log'!K1335)</f>
        <v/>
      </c>
      <c r="BF1331">
        <f>IFERROR(MATCH(BA1331,Setup!$L$6:$L$9,0),5)</f>
        <v/>
      </c>
      <c r="BG1331">
        <f>IF(OR(AZ1331="Done",AZ1331="Cancelled"),1,0)</f>
        <v/>
      </c>
      <c r="BH1331">
        <f>IF(AND(AU1331&lt;&gt;"",ISNUMBER(AW1331)),1,0)</f>
        <v/>
      </c>
      <c r="BI1331">
        <f>IF(BH1331=0,0,IF(AND(AW1331&gt;='Tasks Filter'!$F$3,AW1331&lt;='Tasks Filter'!$F$4,OR('Tasks Filter'!$I$3="",ISNUMBER(SEARCH('Tasks Filter'!$I$3,AU1331))),OR('Tasks Filter'!$I$4="",BF1331=IFERROR(MATCH('Tasks Filter'!$I$4,Setup!$L$6:$L$9,0),0)),OR('Tasks Filter'!$I$5="Both",AND('Tasks Filter'!$I$5="Yes",BB1331="✓"),AND('Tasks Filter'!$I$5="No",BB1331&lt;&gt;"✓")),OR('Tasks Filter'!$L$3="",AV1331='Tasks Filter'!$L$3),OR('Tasks Filter'!$L$4="",AZ1331='Tasks Filter'!$L$4),OR('Tasks Filter'!$L$5="",BC1331='Tasks Filter'!$L$5),OR('Tasks Filter'!$O$3="",BD1331='Tasks Filter'!$O$3),OR('Tasks Filter'!$O$4="Yes",BG1331=0)),1,0))</f>
        <v/>
      </c>
      <c r="BJ1331">
        <f>IF(BH1331=0,"",IF('Tasks Filter'!$F$6="Descending",-1,1)*CHOOSE(MATCH('Tasks Filter'!$F$5,Lists!$G$2:$G$6,0),AW1331,BF1331,IFERROR(MATCH(AV1331,Setup!$F$6:$F$15,0),99),IFERROR(MATCH(BC1331,Setup!$H$6:$H$15,0),99),IFERROR(MATCH(AZ1331,Setup!$J$6:$J$11,0),99))*1E+9+(AW1331-40000)*10000+1330)</f>
        <v/>
      </c>
      <c r="BK1331">
        <f>IF(BI1331=1,BJ1331,"")</f>
        <v/>
      </c>
      <c r="BL1331">
        <f>IF(AND(BH1331=1,BG1331=0,N(AW1331)&lt;Setup!$D$7),(AW1331-40000)*10000+1330,"")</f>
        <v/>
      </c>
      <c r="BM1331">
        <f>IF(AND(BH1331=1,AZ1331&lt;&gt;"Cancelled",N(AW1331)&gt;=Dashboard!$AB$3,N(AW1331)&lt;=Dashboard!$AB$3+6),(AW1331-40000)*100000+BF1331*10000+1330,"")</f>
        <v/>
      </c>
      <c r="BN1331">
        <f>IF(AND(BH1331=1,AZ1331&lt;&gt;"Cancelled"),BF1331*10000+1330,"")</f>
        <v/>
      </c>
    </row>
    <row r="1332">
      <c r="AS1332" t="inlineStr">
        <is>
          <t>R</t>
        </is>
      </c>
      <c r="AT1332" t="n">
        <v>1336</v>
      </c>
      <c r="AU1332">
        <f>'Recurring Log'!C1336&amp;""</f>
        <v/>
      </c>
      <c r="AV1332">
        <f>'Recurring Log'!D1336&amp;""</f>
        <v/>
      </c>
      <c r="AW1332">
        <f>IF('Recurring Log'!E1336="","",'Recurring Log'!E1336)</f>
        <v/>
      </c>
      <c r="AX1332">
        <f>IF('Recurring Log'!G1336="","",'Recurring Log'!G1336)</f>
        <v/>
      </c>
      <c r="AY1332">
        <f>IF('Recurring Log'!H1336="","",'Recurring Log'!H1336)</f>
        <v/>
      </c>
      <c r="AZ1332">
        <f>IF(AU1332="","",IF('Recurring Log'!J1336="","Not Started",'Recurring Log'!J1336))</f>
        <v/>
      </c>
      <c r="BA1332">
        <f>'Recurring Log'!L1336&amp;""</f>
        <v/>
      </c>
      <c r="BB1332">
        <f>'Recurring Log'!M1336&amp;""</f>
        <v/>
      </c>
      <c r="BC1332">
        <f>'Recurring Log'!N1336&amp;""</f>
        <v/>
      </c>
      <c r="BD1332">
        <f>'Recurring Log'!O1336&amp;""</f>
        <v/>
      </c>
      <c r="BE1332">
        <f>IF('Recurring Log'!K1336="","",'Recurring Log'!K1336)</f>
        <v/>
      </c>
      <c r="BF1332">
        <f>IFERROR(MATCH(BA1332,Setup!$L$6:$L$9,0),5)</f>
        <v/>
      </c>
      <c r="BG1332">
        <f>IF(OR(AZ1332="Done",AZ1332="Cancelled"),1,0)</f>
        <v/>
      </c>
      <c r="BH1332">
        <f>IF(AND(AU1332&lt;&gt;"",ISNUMBER(AW1332)),1,0)</f>
        <v/>
      </c>
      <c r="BI1332">
        <f>IF(BH1332=0,0,IF(AND(AW1332&gt;='Tasks Filter'!$F$3,AW1332&lt;='Tasks Filter'!$F$4,OR('Tasks Filter'!$I$3="",ISNUMBER(SEARCH('Tasks Filter'!$I$3,AU1332))),OR('Tasks Filter'!$I$4="",BF1332=IFERROR(MATCH('Tasks Filter'!$I$4,Setup!$L$6:$L$9,0),0)),OR('Tasks Filter'!$I$5="Both",AND('Tasks Filter'!$I$5="Yes",BB1332="✓"),AND('Tasks Filter'!$I$5="No",BB1332&lt;&gt;"✓")),OR('Tasks Filter'!$L$3="",AV1332='Tasks Filter'!$L$3),OR('Tasks Filter'!$L$4="",AZ1332='Tasks Filter'!$L$4),OR('Tasks Filter'!$L$5="",BC1332='Tasks Filter'!$L$5),OR('Tasks Filter'!$O$3="",BD1332='Tasks Filter'!$O$3),OR('Tasks Filter'!$O$4="Yes",BG1332=0)),1,0))</f>
        <v/>
      </c>
      <c r="BJ1332">
        <f>IF(BH1332=0,"",IF('Tasks Filter'!$F$6="Descending",-1,1)*CHOOSE(MATCH('Tasks Filter'!$F$5,Lists!$G$2:$G$6,0),AW1332,BF1332,IFERROR(MATCH(AV1332,Setup!$F$6:$F$15,0),99),IFERROR(MATCH(BC1332,Setup!$H$6:$H$15,0),99),IFERROR(MATCH(AZ1332,Setup!$J$6:$J$11,0),99))*1E+9+(AW1332-40000)*10000+1331)</f>
        <v/>
      </c>
      <c r="BK1332">
        <f>IF(BI1332=1,BJ1332,"")</f>
        <v/>
      </c>
      <c r="BL1332">
        <f>IF(AND(BH1332=1,BG1332=0,N(AW1332)&lt;Setup!$D$7),(AW1332-40000)*10000+1331,"")</f>
        <v/>
      </c>
      <c r="BM1332">
        <f>IF(AND(BH1332=1,AZ1332&lt;&gt;"Cancelled",N(AW1332)&gt;=Dashboard!$AB$3,N(AW1332)&lt;=Dashboard!$AB$3+6),(AW1332-40000)*100000+BF1332*10000+1331,"")</f>
        <v/>
      </c>
      <c r="BN1332">
        <f>IF(AND(BH1332=1,AZ1332&lt;&gt;"Cancelled"),BF1332*10000+1331,"")</f>
        <v/>
      </c>
    </row>
    <row r="1333">
      <c r="AS1333" t="inlineStr">
        <is>
          <t>R</t>
        </is>
      </c>
      <c r="AT1333" t="n">
        <v>1337</v>
      </c>
      <c r="AU1333">
        <f>'Recurring Log'!C1337&amp;""</f>
        <v/>
      </c>
      <c r="AV1333">
        <f>'Recurring Log'!D1337&amp;""</f>
        <v/>
      </c>
      <c r="AW1333">
        <f>IF('Recurring Log'!E1337="","",'Recurring Log'!E1337)</f>
        <v/>
      </c>
      <c r="AX1333">
        <f>IF('Recurring Log'!G1337="","",'Recurring Log'!G1337)</f>
        <v/>
      </c>
      <c r="AY1333">
        <f>IF('Recurring Log'!H1337="","",'Recurring Log'!H1337)</f>
        <v/>
      </c>
      <c r="AZ1333">
        <f>IF(AU1333="","",IF('Recurring Log'!J1337="","Not Started",'Recurring Log'!J1337))</f>
        <v/>
      </c>
      <c r="BA1333">
        <f>'Recurring Log'!L1337&amp;""</f>
        <v/>
      </c>
      <c r="BB1333">
        <f>'Recurring Log'!M1337&amp;""</f>
        <v/>
      </c>
      <c r="BC1333">
        <f>'Recurring Log'!N1337&amp;""</f>
        <v/>
      </c>
      <c r="BD1333">
        <f>'Recurring Log'!O1337&amp;""</f>
        <v/>
      </c>
      <c r="BE1333">
        <f>IF('Recurring Log'!K1337="","",'Recurring Log'!K1337)</f>
        <v/>
      </c>
      <c r="BF1333">
        <f>IFERROR(MATCH(BA1333,Setup!$L$6:$L$9,0),5)</f>
        <v/>
      </c>
      <c r="BG1333">
        <f>IF(OR(AZ1333="Done",AZ1333="Cancelled"),1,0)</f>
        <v/>
      </c>
      <c r="BH1333">
        <f>IF(AND(AU1333&lt;&gt;"",ISNUMBER(AW1333)),1,0)</f>
        <v/>
      </c>
      <c r="BI1333">
        <f>IF(BH1333=0,0,IF(AND(AW1333&gt;='Tasks Filter'!$F$3,AW1333&lt;='Tasks Filter'!$F$4,OR('Tasks Filter'!$I$3="",ISNUMBER(SEARCH('Tasks Filter'!$I$3,AU1333))),OR('Tasks Filter'!$I$4="",BF1333=IFERROR(MATCH('Tasks Filter'!$I$4,Setup!$L$6:$L$9,0),0)),OR('Tasks Filter'!$I$5="Both",AND('Tasks Filter'!$I$5="Yes",BB1333="✓"),AND('Tasks Filter'!$I$5="No",BB1333&lt;&gt;"✓")),OR('Tasks Filter'!$L$3="",AV1333='Tasks Filter'!$L$3),OR('Tasks Filter'!$L$4="",AZ1333='Tasks Filter'!$L$4),OR('Tasks Filter'!$L$5="",BC1333='Tasks Filter'!$L$5),OR('Tasks Filter'!$O$3="",BD1333='Tasks Filter'!$O$3),OR('Tasks Filter'!$O$4="Yes",BG1333=0)),1,0))</f>
        <v/>
      </c>
      <c r="BJ1333">
        <f>IF(BH1333=0,"",IF('Tasks Filter'!$F$6="Descending",-1,1)*CHOOSE(MATCH('Tasks Filter'!$F$5,Lists!$G$2:$G$6,0),AW1333,BF1333,IFERROR(MATCH(AV1333,Setup!$F$6:$F$15,0),99),IFERROR(MATCH(BC1333,Setup!$H$6:$H$15,0),99),IFERROR(MATCH(AZ1333,Setup!$J$6:$J$11,0),99))*1E+9+(AW1333-40000)*10000+1332)</f>
        <v/>
      </c>
      <c r="BK1333">
        <f>IF(BI1333=1,BJ1333,"")</f>
        <v/>
      </c>
      <c r="BL1333">
        <f>IF(AND(BH1333=1,BG1333=0,N(AW1333)&lt;Setup!$D$7),(AW1333-40000)*10000+1332,"")</f>
        <v/>
      </c>
      <c r="BM1333">
        <f>IF(AND(BH1333=1,AZ1333&lt;&gt;"Cancelled",N(AW1333)&gt;=Dashboard!$AB$3,N(AW1333)&lt;=Dashboard!$AB$3+6),(AW1333-40000)*100000+BF1333*10000+1332,"")</f>
        <v/>
      </c>
      <c r="BN1333">
        <f>IF(AND(BH1333=1,AZ1333&lt;&gt;"Cancelled"),BF1333*10000+1332,"")</f>
        <v/>
      </c>
    </row>
    <row r="1334">
      <c r="AS1334" t="inlineStr">
        <is>
          <t>R</t>
        </is>
      </c>
      <c r="AT1334" t="n">
        <v>1338</v>
      </c>
      <c r="AU1334">
        <f>'Recurring Log'!C1338&amp;""</f>
        <v/>
      </c>
      <c r="AV1334">
        <f>'Recurring Log'!D1338&amp;""</f>
        <v/>
      </c>
      <c r="AW1334">
        <f>IF('Recurring Log'!E1338="","",'Recurring Log'!E1338)</f>
        <v/>
      </c>
      <c r="AX1334">
        <f>IF('Recurring Log'!G1338="","",'Recurring Log'!G1338)</f>
        <v/>
      </c>
      <c r="AY1334">
        <f>IF('Recurring Log'!H1338="","",'Recurring Log'!H1338)</f>
        <v/>
      </c>
      <c r="AZ1334">
        <f>IF(AU1334="","",IF('Recurring Log'!J1338="","Not Started",'Recurring Log'!J1338))</f>
        <v/>
      </c>
      <c r="BA1334">
        <f>'Recurring Log'!L1338&amp;""</f>
        <v/>
      </c>
      <c r="BB1334">
        <f>'Recurring Log'!M1338&amp;""</f>
        <v/>
      </c>
      <c r="BC1334">
        <f>'Recurring Log'!N1338&amp;""</f>
        <v/>
      </c>
      <c r="BD1334">
        <f>'Recurring Log'!O1338&amp;""</f>
        <v/>
      </c>
      <c r="BE1334">
        <f>IF('Recurring Log'!K1338="","",'Recurring Log'!K1338)</f>
        <v/>
      </c>
      <c r="BF1334">
        <f>IFERROR(MATCH(BA1334,Setup!$L$6:$L$9,0),5)</f>
        <v/>
      </c>
      <c r="BG1334">
        <f>IF(OR(AZ1334="Done",AZ1334="Cancelled"),1,0)</f>
        <v/>
      </c>
      <c r="BH1334">
        <f>IF(AND(AU1334&lt;&gt;"",ISNUMBER(AW1334)),1,0)</f>
        <v/>
      </c>
      <c r="BI1334">
        <f>IF(BH1334=0,0,IF(AND(AW1334&gt;='Tasks Filter'!$F$3,AW1334&lt;='Tasks Filter'!$F$4,OR('Tasks Filter'!$I$3="",ISNUMBER(SEARCH('Tasks Filter'!$I$3,AU1334))),OR('Tasks Filter'!$I$4="",BF1334=IFERROR(MATCH('Tasks Filter'!$I$4,Setup!$L$6:$L$9,0),0)),OR('Tasks Filter'!$I$5="Both",AND('Tasks Filter'!$I$5="Yes",BB1334="✓"),AND('Tasks Filter'!$I$5="No",BB1334&lt;&gt;"✓")),OR('Tasks Filter'!$L$3="",AV1334='Tasks Filter'!$L$3),OR('Tasks Filter'!$L$4="",AZ1334='Tasks Filter'!$L$4),OR('Tasks Filter'!$L$5="",BC1334='Tasks Filter'!$L$5),OR('Tasks Filter'!$O$3="",BD1334='Tasks Filter'!$O$3),OR('Tasks Filter'!$O$4="Yes",BG1334=0)),1,0))</f>
        <v/>
      </c>
      <c r="BJ1334">
        <f>IF(BH1334=0,"",IF('Tasks Filter'!$F$6="Descending",-1,1)*CHOOSE(MATCH('Tasks Filter'!$F$5,Lists!$G$2:$G$6,0),AW1334,BF1334,IFERROR(MATCH(AV1334,Setup!$F$6:$F$15,0),99),IFERROR(MATCH(BC1334,Setup!$H$6:$H$15,0),99),IFERROR(MATCH(AZ1334,Setup!$J$6:$J$11,0),99))*1E+9+(AW1334-40000)*10000+1333)</f>
        <v/>
      </c>
      <c r="BK1334">
        <f>IF(BI1334=1,BJ1334,"")</f>
        <v/>
      </c>
      <c r="BL1334">
        <f>IF(AND(BH1334=1,BG1334=0,N(AW1334)&lt;Setup!$D$7),(AW1334-40000)*10000+1333,"")</f>
        <v/>
      </c>
      <c r="BM1334">
        <f>IF(AND(BH1334=1,AZ1334&lt;&gt;"Cancelled",N(AW1334)&gt;=Dashboard!$AB$3,N(AW1334)&lt;=Dashboard!$AB$3+6),(AW1334-40000)*100000+BF1334*10000+1333,"")</f>
        <v/>
      </c>
      <c r="BN1334">
        <f>IF(AND(BH1334=1,AZ1334&lt;&gt;"Cancelled"),BF1334*10000+1333,"")</f>
        <v/>
      </c>
    </row>
    <row r="1335">
      <c r="AS1335" t="inlineStr">
        <is>
          <t>R</t>
        </is>
      </c>
      <c r="AT1335" t="n">
        <v>1339</v>
      </c>
      <c r="AU1335">
        <f>'Recurring Log'!C1339&amp;""</f>
        <v/>
      </c>
      <c r="AV1335">
        <f>'Recurring Log'!D1339&amp;""</f>
        <v/>
      </c>
      <c r="AW1335">
        <f>IF('Recurring Log'!E1339="","",'Recurring Log'!E1339)</f>
        <v/>
      </c>
      <c r="AX1335">
        <f>IF('Recurring Log'!G1339="","",'Recurring Log'!G1339)</f>
        <v/>
      </c>
      <c r="AY1335">
        <f>IF('Recurring Log'!H1339="","",'Recurring Log'!H1339)</f>
        <v/>
      </c>
      <c r="AZ1335">
        <f>IF(AU1335="","",IF('Recurring Log'!J1339="","Not Started",'Recurring Log'!J1339))</f>
        <v/>
      </c>
      <c r="BA1335">
        <f>'Recurring Log'!L1339&amp;""</f>
        <v/>
      </c>
      <c r="BB1335">
        <f>'Recurring Log'!M1339&amp;""</f>
        <v/>
      </c>
      <c r="BC1335">
        <f>'Recurring Log'!N1339&amp;""</f>
        <v/>
      </c>
      <c r="BD1335">
        <f>'Recurring Log'!O1339&amp;""</f>
        <v/>
      </c>
      <c r="BE1335">
        <f>IF('Recurring Log'!K1339="","",'Recurring Log'!K1339)</f>
        <v/>
      </c>
      <c r="BF1335">
        <f>IFERROR(MATCH(BA1335,Setup!$L$6:$L$9,0),5)</f>
        <v/>
      </c>
      <c r="BG1335">
        <f>IF(OR(AZ1335="Done",AZ1335="Cancelled"),1,0)</f>
        <v/>
      </c>
      <c r="BH1335">
        <f>IF(AND(AU1335&lt;&gt;"",ISNUMBER(AW1335)),1,0)</f>
        <v/>
      </c>
      <c r="BI1335">
        <f>IF(BH1335=0,0,IF(AND(AW1335&gt;='Tasks Filter'!$F$3,AW1335&lt;='Tasks Filter'!$F$4,OR('Tasks Filter'!$I$3="",ISNUMBER(SEARCH('Tasks Filter'!$I$3,AU1335))),OR('Tasks Filter'!$I$4="",BF1335=IFERROR(MATCH('Tasks Filter'!$I$4,Setup!$L$6:$L$9,0),0)),OR('Tasks Filter'!$I$5="Both",AND('Tasks Filter'!$I$5="Yes",BB1335="✓"),AND('Tasks Filter'!$I$5="No",BB1335&lt;&gt;"✓")),OR('Tasks Filter'!$L$3="",AV1335='Tasks Filter'!$L$3),OR('Tasks Filter'!$L$4="",AZ1335='Tasks Filter'!$L$4),OR('Tasks Filter'!$L$5="",BC1335='Tasks Filter'!$L$5),OR('Tasks Filter'!$O$3="",BD1335='Tasks Filter'!$O$3),OR('Tasks Filter'!$O$4="Yes",BG1335=0)),1,0))</f>
        <v/>
      </c>
      <c r="BJ1335">
        <f>IF(BH1335=0,"",IF('Tasks Filter'!$F$6="Descending",-1,1)*CHOOSE(MATCH('Tasks Filter'!$F$5,Lists!$G$2:$G$6,0),AW1335,BF1335,IFERROR(MATCH(AV1335,Setup!$F$6:$F$15,0),99),IFERROR(MATCH(BC1335,Setup!$H$6:$H$15,0),99),IFERROR(MATCH(AZ1335,Setup!$J$6:$J$11,0),99))*1E+9+(AW1335-40000)*10000+1334)</f>
        <v/>
      </c>
      <c r="BK1335">
        <f>IF(BI1335=1,BJ1335,"")</f>
        <v/>
      </c>
      <c r="BL1335">
        <f>IF(AND(BH1335=1,BG1335=0,N(AW1335)&lt;Setup!$D$7),(AW1335-40000)*10000+1334,"")</f>
        <v/>
      </c>
      <c r="BM1335">
        <f>IF(AND(BH1335=1,AZ1335&lt;&gt;"Cancelled",N(AW1335)&gt;=Dashboard!$AB$3,N(AW1335)&lt;=Dashboard!$AB$3+6),(AW1335-40000)*100000+BF1335*10000+1334,"")</f>
        <v/>
      </c>
      <c r="BN1335">
        <f>IF(AND(BH1335=1,AZ1335&lt;&gt;"Cancelled"),BF1335*10000+1334,"")</f>
        <v/>
      </c>
    </row>
    <row r="1336">
      <c r="AS1336" t="inlineStr">
        <is>
          <t>R</t>
        </is>
      </c>
      <c r="AT1336" t="n">
        <v>1340</v>
      </c>
      <c r="AU1336">
        <f>'Recurring Log'!C1340&amp;""</f>
        <v/>
      </c>
      <c r="AV1336">
        <f>'Recurring Log'!D1340&amp;""</f>
        <v/>
      </c>
      <c r="AW1336">
        <f>IF('Recurring Log'!E1340="","",'Recurring Log'!E1340)</f>
        <v/>
      </c>
      <c r="AX1336">
        <f>IF('Recurring Log'!G1340="","",'Recurring Log'!G1340)</f>
        <v/>
      </c>
      <c r="AY1336">
        <f>IF('Recurring Log'!H1340="","",'Recurring Log'!H1340)</f>
        <v/>
      </c>
      <c r="AZ1336">
        <f>IF(AU1336="","",IF('Recurring Log'!J1340="","Not Started",'Recurring Log'!J1340))</f>
        <v/>
      </c>
      <c r="BA1336">
        <f>'Recurring Log'!L1340&amp;""</f>
        <v/>
      </c>
      <c r="BB1336">
        <f>'Recurring Log'!M1340&amp;""</f>
        <v/>
      </c>
      <c r="BC1336">
        <f>'Recurring Log'!N1340&amp;""</f>
        <v/>
      </c>
      <c r="BD1336">
        <f>'Recurring Log'!O1340&amp;""</f>
        <v/>
      </c>
      <c r="BE1336">
        <f>IF('Recurring Log'!K1340="","",'Recurring Log'!K1340)</f>
        <v/>
      </c>
      <c r="BF1336">
        <f>IFERROR(MATCH(BA1336,Setup!$L$6:$L$9,0),5)</f>
        <v/>
      </c>
      <c r="BG1336">
        <f>IF(OR(AZ1336="Done",AZ1336="Cancelled"),1,0)</f>
        <v/>
      </c>
      <c r="BH1336">
        <f>IF(AND(AU1336&lt;&gt;"",ISNUMBER(AW1336)),1,0)</f>
        <v/>
      </c>
      <c r="BI1336">
        <f>IF(BH1336=0,0,IF(AND(AW1336&gt;='Tasks Filter'!$F$3,AW1336&lt;='Tasks Filter'!$F$4,OR('Tasks Filter'!$I$3="",ISNUMBER(SEARCH('Tasks Filter'!$I$3,AU1336))),OR('Tasks Filter'!$I$4="",BF1336=IFERROR(MATCH('Tasks Filter'!$I$4,Setup!$L$6:$L$9,0),0)),OR('Tasks Filter'!$I$5="Both",AND('Tasks Filter'!$I$5="Yes",BB1336="✓"),AND('Tasks Filter'!$I$5="No",BB1336&lt;&gt;"✓")),OR('Tasks Filter'!$L$3="",AV1336='Tasks Filter'!$L$3),OR('Tasks Filter'!$L$4="",AZ1336='Tasks Filter'!$L$4),OR('Tasks Filter'!$L$5="",BC1336='Tasks Filter'!$L$5),OR('Tasks Filter'!$O$3="",BD1336='Tasks Filter'!$O$3),OR('Tasks Filter'!$O$4="Yes",BG1336=0)),1,0))</f>
        <v/>
      </c>
      <c r="BJ1336">
        <f>IF(BH1336=0,"",IF('Tasks Filter'!$F$6="Descending",-1,1)*CHOOSE(MATCH('Tasks Filter'!$F$5,Lists!$G$2:$G$6,0),AW1336,BF1336,IFERROR(MATCH(AV1336,Setup!$F$6:$F$15,0),99),IFERROR(MATCH(BC1336,Setup!$H$6:$H$15,0),99),IFERROR(MATCH(AZ1336,Setup!$J$6:$J$11,0),99))*1E+9+(AW1336-40000)*10000+1335)</f>
        <v/>
      </c>
      <c r="BK1336">
        <f>IF(BI1336=1,BJ1336,"")</f>
        <v/>
      </c>
      <c r="BL1336">
        <f>IF(AND(BH1336=1,BG1336=0,N(AW1336)&lt;Setup!$D$7),(AW1336-40000)*10000+1335,"")</f>
        <v/>
      </c>
      <c r="BM1336">
        <f>IF(AND(BH1336=1,AZ1336&lt;&gt;"Cancelled",N(AW1336)&gt;=Dashboard!$AB$3,N(AW1336)&lt;=Dashboard!$AB$3+6),(AW1336-40000)*100000+BF1336*10000+1335,"")</f>
        <v/>
      </c>
      <c r="BN1336">
        <f>IF(AND(BH1336=1,AZ1336&lt;&gt;"Cancelled"),BF1336*10000+1335,"")</f>
        <v/>
      </c>
    </row>
    <row r="1337">
      <c r="AS1337" t="inlineStr">
        <is>
          <t>R</t>
        </is>
      </c>
      <c r="AT1337" t="n">
        <v>1341</v>
      </c>
      <c r="AU1337">
        <f>'Recurring Log'!C1341&amp;""</f>
        <v/>
      </c>
      <c r="AV1337">
        <f>'Recurring Log'!D1341&amp;""</f>
        <v/>
      </c>
      <c r="AW1337">
        <f>IF('Recurring Log'!E1341="","",'Recurring Log'!E1341)</f>
        <v/>
      </c>
      <c r="AX1337">
        <f>IF('Recurring Log'!G1341="","",'Recurring Log'!G1341)</f>
        <v/>
      </c>
      <c r="AY1337">
        <f>IF('Recurring Log'!H1341="","",'Recurring Log'!H1341)</f>
        <v/>
      </c>
      <c r="AZ1337">
        <f>IF(AU1337="","",IF('Recurring Log'!J1341="","Not Started",'Recurring Log'!J1341))</f>
        <v/>
      </c>
      <c r="BA1337">
        <f>'Recurring Log'!L1341&amp;""</f>
        <v/>
      </c>
      <c r="BB1337">
        <f>'Recurring Log'!M1341&amp;""</f>
        <v/>
      </c>
      <c r="BC1337">
        <f>'Recurring Log'!N1341&amp;""</f>
        <v/>
      </c>
      <c r="BD1337">
        <f>'Recurring Log'!O1341&amp;""</f>
        <v/>
      </c>
      <c r="BE1337">
        <f>IF('Recurring Log'!K1341="","",'Recurring Log'!K1341)</f>
        <v/>
      </c>
      <c r="BF1337">
        <f>IFERROR(MATCH(BA1337,Setup!$L$6:$L$9,0),5)</f>
        <v/>
      </c>
      <c r="BG1337">
        <f>IF(OR(AZ1337="Done",AZ1337="Cancelled"),1,0)</f>
        <v/>
      </c>
      <c r="BH1337">
        <f>IF(AND(AU1337&lt;&gt;"",ISNUMBER(AW1337)),1,0)</f>
        <v/>
      </c>
      <c r="BI1337">
        <f>IF(BH1337=0,0,IF(AND(AW1337&gt;='Tasks Filter'!$F$3,AW1337&lt;='Tasks Filter'!$F$4,OR('Tasks Filter'!$I$3="",ISNUMBER(SEARCH('Tasks Filter'!$I$3,AU1337))),OR('Tasks Filter'!$I$4="",BF1337=IFERROR(MATCH('Tasks Filter'!$I$4,Setup!$L$6:$L$9,0),0)),OR('Tasks Filter'!$I$5="Both",AND('Tasks Filter'!$I$5="Yes",BB1337="✓"),AND('Tasks Filter'!$I$5="No",BB1337&lt;&gt;"✓")),OR('Tasks Filter'!$L$3="",AV1337='Tasks Filter'!$L$3),OR('Tasks Filter'!$L$4="",AZ1337='Tasks Filter'!$L$4),OR('Tasks Filter'!$L$5="",BC1337='Tasks Filter'!$L$5),OR('Tasks Filter'!$O$3="",BD1337='Tasks Filter'!$O$3),OR('Tasks Filter'!$O$4="Yes",BG1337=0)),1,0))</f>
        <v/>
      </c>
      <c r="BJ1337">
        <f>IF(BH1337=0,"",IF('Tasks Filter'!$F$6="Descending",-1,1)*CHOOSE(MATCH('Tasks Filter'!$F$5,Lists!$G$2:$G$6,0),AW1337,BF1337,IFERROR(MATCH(AV1337,Setup!$F$6:$F$15,0),99),IFERROR(MATCH(BC1337,Setup!$H$6:$H$15,0),99),IFERROR(MATCH(AZ1337,Setup!$J$6:$J$11,0),99))*1E+9+(AW1337-40000)*10000+1336)</f>
        <v/>
      </c>
      <c r="BK1337">
        <f>IF(BI1337=1,BJ1337,"")</f>
        <v/>
      </c>
      <c r="BL1337">
        <f>IF(AND(BH1337=1,BG1337=0,N(AW1337)&lt;Setup!$D$7),(AW1337-40000)*10000+1336,"")</f>
        <v/>
      </c>
      <c r="BM1337">
        <f>IF(AND(BH1337=1,AZ1337&lt;&gt;"Cancelled",N(AW1337)&gt;=Dashboard!$AB$3,N(AW1337)&lt;=Dashboard!$AB$3+6),(AW1337-40000)*100000+BF1337*10000+1336,"")</f>
        <v/>
      </c>
      <c r="BN1337">
        <f>IF(AND(BH1337=1,AZ1337&lt;&gt;"Cancelled"),BF1337*10000+1336,"")</f>
        <v/>
      </c>
    </row>
    <row r="1338">
      <c r="AS1338" t="inlineStr">
        <is>
          <t>R</t>
        </is>
      </c>
      <c r="AT1338" t="n">
        <v>1342</v>
      </c>
      <c r="AU1338">
        <f>'Recurring Log'!C1342&amp;""</f>
        <v/>
      </c>
      <c r="AV1338">
        <f>'Recurring Log'!D1342&amp;""</f>
        <v/>
      </c>
      <c r="AW1338">
        <f>IF('Recurring Log'!E1342="","",'Recurring Log'!E1342)</f>
        <v/>
      </c>
      <c r="AX1338">
        <f>IF('Recurring Log'!G1342="","",'Recurring Log'!G1342)</f>
        <v/>
      </c>
      <c r="AY1338">
        <f>IF('Recurring Log'!H1342="","",'Recurring Log'!H1342)</f>
        <v/>
      </c>
      <c r="AZ1338">
        <f>IF(AU1338="","",IF('Recurring Log'!J1342="","Not Started",'Recurring Log'!J1342))</f>
        <v/>
      </c>
      <c r="BA1338">
        <f>'Recurring Log'!L1342&amp;""</f>
        <v/>
      </c>
      <c r="BB1338">
        <f>'Recurring Log'!M1342&amp;""</f>
        <v/>
      </c>
      <c r="BC1338">
        <f>'Recurring Log'!N1342&amp;""</f>
        <v/>
      </c>
      <c r="BD1338">
        <f>'Recurring Log'!O1342&amp;""</f>
        <v/>
      </c>
      <c r="BE1338">
        <f>IF('Recurring Log'!K1342="","",'Recurring Log'!K1342)</f>
        <v/>
      </c>
      <c r="BF1338">
        <f>IFERROR(MATCH(BA1338,Setup!$L$6:$L$9,0),5)</f>
        <v/>
      </c>
      <c r="BG1338">
        <f>IF(OR(AZ1338="Done",AZ1338="Cancelled"),1,0)</f>
        <v/>
      </c>
      <c r="BH1338">
        <f>IF(AND(AU1338&lt;&gt;"",ISNUMBER(AW1338)),1,0)</f>
        <v/>
      </c>
      <c r="BI1338">
        <f>IF(BH1338=0,0,IF(AND(AW1338&gt;='Tasks Filter'!$F$3,AW1338&lt;='Tasks Filter'!$F$4,OR('Tasks Filter'!$I$3="",ISNUMBER(SEARCH('Tasks Filter'!$I$3,AU1338))),OR('Tasks Filter'!$I$4="",BF1338=IFERROR(MATCH('Tasks Filter'!$I$4,Setup!$L$6:$L$9,0),0)),OR('Tasks Filter'!$I$5="Both",AND('Tasks Filter'!$I$5="Yes",BB1338="✓"),AND('Tasks Filter'!$I$5="No",BB1338&lt;&gt;"✓")),OR('Tasks Filter'!$L$3="",AV1338='Tasks Filter'!$L$3),OR('Tasks Filter'!$L$4="",AZ1338='Tasks Filter'!$L$4),OR('Tasks Filter'!$L$5="",BC1338='Tasks Filter'!$L$5),OR('Tasks Filter'!$O$3="",BD1338='Tasks Filter'!$O$3),OR('Tasks Filter'!$O$4="Yes",BG1338=0)),1,0))</f>
        <v/>
      </c>
      <c r="BJ1338">
        <f>IF(BH1338=0,"",IF('Tasks Filter'!$F$6="Descending",-1,1)*CHOOSE(MATCH('Tasks Filter'!$F$5,Lists!$G$2:$G$6,0),AW1338,BF1338,IFERROR(MATCH(AV1338,Setup!$F$6:$F$15,0),99),IFERROR(MATCH(BC1338,Setup!$H$6:$H$15,0),99),IFERROR(MATCH(AZ1338,Setup!$J$6:$J$11,0),99))*1E+9+(AW1338-40000)*10000+1337)</f>
        <v/>
      </c>
      <c r="BK1338">
        <f>IF(BI1338=1,BJ1338,"")</f>
        <v/>
      </c>
      <c r="BL1338">
        <f>IF(AND(BH1338=1,BG1338=0,N(AW1338)&lt;Setup!$D$7),(AW1338-40000)*10000+1337,"")</f>
        <v/>
      </c>
      <c r="BM1338">
        <f>IF(AND(BH1338=1,AZ1338&lt;&gt;"Cancelled",N(AW1338)&gt;=Dashboard!$AB$3,N(AW1338)&lt;=Dashboard!$AB$3+6),(AW1338-40000)*100000+BF1338*10000+1337,"")</f>
        <v/>
      </c>
      <c r="BN1338">
        <f>IF(AND(BH1338=1,AZ1338&lt;&gt;"Cancelled"),BF1338*10000+1337,"")</f>
        <v/>
      </c>
    </row>
    <row r="1339">
      <c r="AS1339" t="inlineStr">
        <is>
          <t>R</t>
        </is>
      </c>
      <c r="AT1339" t="n">
        <v>1343</v>
      </c>
      <c r="AU1339">
        <f>'Recurring Log'!C1343&amp;""</f>
        <v/>
      </c>
      <c r="AV1339">
        <f>'Recurring Log'!D1343&amp;""</f>
        <v/>
      </c>
      <c r="AW1339">
        <f>IF('Recurring Log'!E1343="","",'Recurring Log'!E1343)</f>
        <v/>
      </c>
      <c r="AX1339">
        <f>IF('Recurring Log'!G1343="","",'Recurring Log'!G1343)</f>
        <v/>
      </c>
      <c r="AY1339">
        <f>IF('Recurring Log'!H1343="","",'Recurring Log'!H1343)</f>
        <v/>
      </c>
      <c r="AZ1339">
        <f>IF(AU1339="","",IF('Recurring Log'!J1343="","Not Started",'Recurring Log'!J1343))</f>
        <v/>
      </c>
      <c r="BA1339">
        <f>'Recurring Log'!L1343&amp;""</f>
        <v/>
      </c>
      <c r="BB1339">
        <f>'Recurring Log'!M1343&amp;""</f>
        <v/>
      </c>
      <c r="BC1339">
        <f>'Recurring Log'!N1343&amp;""</f>
        <v/>
      </c>
      <c r="BD1339">
        <f>'Recurring Log'!O1343&amp;""</f>
        <v/>
      </c>
      <c r="BE1339">
        <f>IF('Recurring Log'!K1343="","",'Recurring Log'!K1343)</f>
        <v/>
      </c>
      <c r="BF1339">
        <f>IFERROR(MATCH(BA1339,Setup!$L$6:$L$9,0),5)</f>
        <v/>
      </c>
      <c r="BG1339">
        <f>IF(OR(AZ1339="Done",AZ1339="Cancelled"),1,0)</f>
        <v/>
      </c>
      <c r="BH1339">
        <f>IF(AND(AU1339&lt;&gt;"",ISNUMBER(AW1339)),1,0)</f>
        <v/>
      </c>
      <c r="BI1339">
        <f>IF(BH1339=0,0,IF(AND(AW1339&gt;='Tasks Filter'!$F$3,AW1339&lt;='Tasks Filter'!$F$4,OR('Tasks Filter'!$I$3="",ISNUMBER(SEARCH('Tasks Filter'!$I$3,AU1339))),OR('Tasks Filter'!$I$4="",BF1339=IFERROR(MATCH('Tasks Filter'!$I$4,Setup!$L$6:$L$9,0),0)),OR('Tasks Filter'!$I$5="Both",AND('Tasks Filter'!$I$5="Yes",BB1339="✓"),AND('Tasks Filter'!$I$5="No",BB1339&lt;&gt;"✓")),OR('Tasks Filter'!$L$3="",AV1339='Tasks Filter'!$L$3),OR('Tasks Filter'!$L$4="",AZ1339='Tasks Filter'!$L$4),OR('Tasks Filter'!$L$5="",BC1339='Tasks Filter'!$L$5),OR('Tasks Filter'!$O$3="",BD1339='Tasks Filter'!$O$3),OR('Tasks Filter'!$O$4="Yes",BG1339=0)),1,0))</f>
        <v/>
      </c>
      <c r="BJ1339">
        <f>IF(BH1339=0,"",IF('Tasks Filter'!$F$6="Descending",-1,1)*CHOOSE(MATCH('Tasks Filter'!$F$5,Lists!$G$2:$G$6,0),AW1339,BF1339,IFERROR(MATCH(AV1339,Setup!$F$6:$F$15,0),99),IFERROR(MATCH(BC1339,Setup!$H$6:$H$15,0),99),IFERROR(MATCH(AZ1339,Setup!$J$6:$J$11,0),99))*1E+9+(AW1339-40000)*10000+1338)</f>
        <v/>
      </c>
      <c r="BK1339">
        <f>IF(BI1339=1,BJ1339,"")</f>
        <v/>
      </c>
      <c r="BL1339">
        <f>IF(AND(BH1339=1,BG1339=0,N(AW1339)&lt;Setup!$D$7),(AW1339-40000)*10000+1338,"")</f>
        <v/>
      </c>
      <c r="BM1339">
        <f>IF(AND(BH1339=1,AZ1339&lt;&gt;"Cancelled",N(AW1339)&gt;=Dashboard!$AB$3,N(AW1339)&lt;=Dashboard!$AB$3+6),(AW1339-40000)*100000+BF1339*10000+1338,"")</f>
        <v/>
      </c>
      <c r="BN1339">
        <f>IF(AND(BH1339=1,AZ1339&lt;&gt;"Cancelled"),BF1339*10000+1338,"")</f>
        <v/>
      </c>
    </row>
    <row r="1340">
      <c r="AS1340" t="inlineStr">
        <is>
          <t>R</t>
        </is>
      </c>
      <c r="AT1340" t="n">
        <v>1344</v>
      </c>
      <c r="AU1340">
        <f>'Recurring Log'!C1344&amp;""</f>
        <v/>
      </c>
      <c r="AV1340">
        <f>'Recurring Log'!D1344&amp;""</f>
        <v/>
      </c>
      <c r="AW1340">
        <f>IF('Recurring Log'!E1344="","",'Recurring Log'!E1344)</f>
        <v/>
      </c>
      <c r="AX1340">
        <f>IF('Recurring Log'!G1344="","",'Recurring Log'!G1344)</f>
        <v/>
      </c>
      <c r="AY1340">
        <f>IF('Recurring Log'!H1344="","",'Recurring Log'!H1344)</f>
        <v/>
      </c>
      <c r="AZ1340">
        <f>IF(AU1340="","",IF('Recurring Log'!J1344="","Not Started",'Recurring Log'!J1344))</f>
        <v/>
      </c>
      <c r="BA1340">
        <f>'Recurring Log'!L1344&amp;""</f>
        <v/>
      </c>
      <c r="BB1340">
        <f>'Recurring Log'!M1344&amp;""</f>
        <v/>
      </c>
      <c r="BC1340">
        <f>'Recurring Log'!N1344&amp;""</f>
        <v/>
      </c>
      <c r="BD1340">
        <f>'Recurring Log'!O1344&amp;""</f>
        <v/>
      </c>
      <c r="BE1340">
        <f>IF('Recurring Log'!K1344="","",'Recurring Log'!K1344)</f>
        <v/>
      </c>
      <c r="BF1340">
        <f>IFERROR(MATCH(BA1340,Setup!$L$6:$L$9,0),5)</f>
        <v/>
      </c>
      <c r="BG1340">
        <f>IF(OR(AZ1340="Done",AZ1340="Cancelled"),1,0)</f>
        <v/>
      </c>
      <c r="BH1340">
        <f>IF(AND(AU1340&lt;&gt;"",ISNUMBER(AW1340)),1,0)</f>
        <v/>
      </c>
      <c r="BI1340">
        <f>IF(BH1340=0,0,IF(AND(AW1340&gt;='Tasks Filter'!$F$3,AW1340&lt;='Tasks Filter'!$F$4,OR('Tasks Filter'!$I$3="",ISNUMBER(SEARCH('Tasks Filter'!$I$3,AU1340))),OR('Tasks Filter'!$I$4="",BF1340=IFERROR(MATCH('Tasks Filter'!$I$4,Setup!$L$6:$L$9,0),0)),OR('Tasks Filter'!$I$5="Both",AND('Tasks Filter'!$I$5="Yes",BB1340="✓"),AND('Tasks Filter'!$I$5="No",BB1340&lt;&gt;"✓")),OR('Tasks Filter'!$L$3="",AV1340='Tasks Filter'!$L$3),OR('Tasks Filter'!$L$4="",AZ1340='Tasks Filter'!$L$4),OR('Tasks Filter'!$L$5="",BC1340='Tasks Filter'!$L$5),OR('Tasks Filter'!$O$3="",BD1340='Tasks Filter'!$O$3),OR('Tasks Filter'!$O$4="Yes",BG1340=0)),1,0))</f>
        <v/>
      </c>
      <c r="BJ1340">
        <f>IF(BH1340=0,"",IF('Tasks Filter'!$F$6="Descending",-1,1)*CHOOSE(MATCH('Tasks Filter'!$F$5,Lists!$G$2:$G$6,0),AW1340,BF1340,IFERROR(MATCH(AV1340,Setup!$F$6:$F$15,0),99),IFERROR(MATCH(BC1340,Setup!$H$6:$H$15,0),99),IFERROR(MATCH(AZ1340,Setup!$J$6:$J$11,0),99))*1E+9+(AW1340-40000)*10000+1339)</f>
        <v/>
      </c>
      <c r="BK1340">
        <f>IF(BI1340=1,BJ1340,"")</f>
        <v/>
      </c>
      <c r="BL1340">
        <f>IF(AND(BH1340=1,BG1340=0,N(AW1340)&lt;Setup!$D$7),(AW1340-40000)*10000+1339,"")</f>
        <v/>
      </c>
      <c r="BM1340">
        <f>IF(AND(BH1340=1,AZ1340&lt;&gt;"Cancelled",N(AW1340)&gt;=Dashboard!$AB$3,N(AW1340)&lt;=Dashboard!$AB$3+6),(AW1340-40000)*100000+BF1340*10000+1339,"")</f>
        <v/>
      </c>
      <c r="BN1340">
        <f>IF(AND(BH1340=1,AZ1340&lt;&gt;"Cancelled"),BF1340*10000+1339,"")</f>
        <v/>
      </c>
    </row>
    <row r="1341">
      <c r="AS1341" t="inlineStr">
        <is>
          <t>R</t>
        </is>
      </c>
      <c r="AT1341" t="n">
        <v>1345</v>
      </c>
      <c r="AU1341">
        <f>'Recurring Log'!C1345&amp;""</f>
        <v/>
      </c>
      <c r="AV1341">
        <f>'Recurring Log'!D1345&amp;""</f>
        <v/>
      </c>
      <c r="AW1341">
        <f>IF('Recurring Log'!E1345="","",'Recurring Log'!E1345)</f>
        <v/>
      </c>
      <c r="AX1341">
        <f>IF('Recurring Log'!G1345="","",'Recurring Log'!G1345)</f>
        <v/>
      </c>
      <c r="AY1341">
        <f>IF('Recurring Log'!H1345="","",'Recurring Log'!H1345)</f>
        <v/>
      </c>
      <c r="AZ1341">
        <f>IF(AU1341="","",IF('Recurring Log'!J1345="","Not Started",'Recurring Log'!J1345))</f>
        <v/>
      </c>
      <c r="BA1341">
        <f>'Recurring Log'!L1345&amp;""</f>
        <v/>
      </c>
      <c r="BB1341">
        <f>'Recurring Log'!M1345&amp;""</f>
        <v/>
      </c>
      <c r="BC1341">
        <f>'Recurring Log'!N1345&amp;""</f>
        <v/>
      </c>
      <c r="BD1341">
        <f>'Recurring Log'!O1345&amp;""</f>
        <v/>
      </c>
      <c r="BE1341">
        <f>IF('Recurring Log'!K1345="","",'Recurring Log'!K1345)</f>
        <v/>
      </c>
      <c r="BF1341">
        <f>IFERROR(MATCH(BA1341,Setup!$L$6:$L$9,0),5)</f>
        <v/>
      </c>
      <c r="BG1341">
        <f>IF(OR(AZ1341="Done",AZ1341="Cancelled"),1,0)</f>
        <v/>
      </c>
      <c r="BH1341">
        <f>IF(AND(AU1341&lt;&gt;"",ISNUMBER(AW1341)),1,0)</f>
        <v/>
      </c>
      <c r="BI1341">
        <f>IF(BH1341=0,0,IF(AND(AW1341&gt;='Tasks Filter'!$F$3,AW1341&lt;='Tasks Filter'!$F$4,OR('Tasks Filter'!$I$3="",ISNUMBER(SEARCH('Tasks Filter'!$I$3,AU1341))),OR('Tasks Filter'!$I$4="",BF1341=IFERROR(MATCH('Tasks Filter'!$I$4,Setup!$L$6:$L$9,0),0)),OR('Tasks Filter'!$I$5="Both",AND('Tasks Filter'!$I$5="Yes",BB1341="✓"),AND('Tasks Filter'!$I$5="No",BB1341&lt;&gt;"✓")),OR('Tasks Filter'!$L$3="",AV1341='Tasks Filter'!$L$3),OR('Tasks Filter'!$L$4="",AZ1341='Tasks Filter'!$L$4),OR('Tasks Filter'!$L$5="",BC1341='Tasks Filter'!$L$5),OR('Tasks Filter'!$O$3="",BD1341='Tasks Filter'!$O$3),OR('Tasks Filter'!$O$4="Yes",BG1341=0)),1,0))</f>
        <v/>
      </c>
      <c r="BJ1341">
        <f>IF(BH1341=0,"",IF('Tasks Filter'!$F$6="Descending",-1,1)*CHOOSE(MATCH('Tasks Filter'!$F$5,Lists!$G$2:$G$6,0),AW1341,BF1341,IFERROR(MATCH(AV1341,Setup!$F$6:$F$15,0),99),IFERROR(MATCH(BC1341,Setup!$H$6:$H$15,0),99),IFERROR(MATCH(AZ1341,Setup!$J$6:$J$11,0),99))*1E+9+(AW1341-40000)*10000+1340)</f>
        <v/>
      </c>
      <c r="BK1341">
        <f>IF(BI1341=1,BJ1341,"")</f>
        <v/>
      </c>
      <c r="BL1341">
        <f>IF(AND(BH1341=1,BG1341=0,N(AW1341)&lt;Setup!$D$7),(AW1341-40000)*10000+1340,"")</f>
        <v/>
      </c>
      <c r="BM1341">
        <f>IF(AND(BH1341=1,AZ1341&lt;&gt;"Cancelled",N(AW1341)&gt;=Dashboard!$AB$3,N(AW1341)&lt;=Dashboard!$AB$3+6),(AW1341-40000)*100000+BF1341*10000+1340,"")</f>
        <v/>
      </c>
      <c r="BN1341">
        <f>IF(AND(BH1341=1,AZ1341&lt;&gt;"Cancelled"),BF1341*10000+1340,"")</f>
        <v/>
      </c>
    </row>
    <row r="1342">
      <c r="AS1342" t="inlineStr">
        <is>
          <t>R</t>
        </is>
      </c>
      <c r="AT1342" t="n">
        <v>1346</v>
      </c>
      <c r="AU1342">
        <f>'Recurring Log'!C1346&amp;""</f>
        <v/>
      </c>
      <c r="AV1342">
        <f>'Recurring Log'!D1346&amp;""</f>
        <v/>
      </c>
      <c r="AW1342">
        <f>IF('Recurring Log'!E1346="","",'Recurring Log'!E1346)</f>
        <v/>
      </c>
      <c r="AX1342">
        <f>IF('Recurring Log'!G1346="","",'Recurring Log'!G1346)</f>
        <v/>
      </c>
      <c r="AY1342">
        <f>IF('Recurring Log'!H1346="","",'Recurring Log'!H1346)</f>
        <v/>
      </c>
      <c r="AZ1342">
        <f>IF(AU1342="","",IF('Recurring Log'!J1346="","Not Started",'Recurring Log'!J1346))</f>
        <v/>
      </c>
      <c r="BA1342">
        <f>'Recurring Log'!L1346&amp;""</f>
        <v/>
      </c>
      <c r="BB1342">
        <f>'Recurring Log'!M1346&amp;""</f>
        <v/>
      </c>
      <c r="BC1342">
        <f>'Recurring Log'!N1346&amp;""</f>
        <v/>
      </c>
      <c r="BD1342">
        <f>'Recurring Log'!O1346&amp;""</f>
        <v/>
      </c>
      <c r="BE1342">
        <f>IF('Recurring Log'!K1346="","",'Recurring Log'!K1346)</f>
        <v/>
      </c>
      <c r="BF1342">
        <f>IFERROR(MATCH(BA1342,Setup!$L$6:$L$9,0),5)</f>
        <v/>
      </c>
      <c r="BG1342">
        <f>IF(OR(AZ1342="Done",AZ1342="Cancelled"),1,0)</f>
        <v/>
      </c>
      <c r="BH1342">
        <f>IF(AND(AU1342&lt;&gt;"",ISNUMBER(AW1342)),1,0)</f>
        <v/>
      </c>
      <c r="BI1342">
        <f>IF(BH1342=0,0,IF(AND(AW1342&gt;='Tasks Filter'!$F$3,AW1342&lt;='Tasks Filter'!$F$4,OR('Tasks Filter'!$I$3="",ISNUMBER(SEARCH('Tasks Filter'!$I$3,AU1342))),OR('Tasks Filter'!$I$4="",BF1342=IFERROR(MATCH('Tasks Filter'!$I$4,Setup!$L$6:$L$9,0),0)),OR('Tasks Filter'!$I$5="Both",AND('Tasks Filter'!$I$5="Yes",BB1342="✓"),AND('Tasks Filter'!$I$5="No",BB1342&lt;&gt;"✓")),OR('Tasks Filter'!$L$3="",AV1342='Tasks Filter'!$L$3),OR('Tasks Filter'!$L$4="",AZ1342='Tasks Filter'!$L$4),OR('Tasks Filter'!$L$5="",BC1342='Tasks Filter'!$L$5),OR('Tasks Filter'!$O$3="",BD1342='Tasks Filter'!$O$3),OR('Tasks Filter'!$O$4="Yes",BG1342=0)),1,0))</f>
        <v/>
      </c>
      <c r="BJ1342">
        <f>IF(BH1342=0,"",IF('Tasks Filter'!$F$6="Descending",-1,1)*CHOOSE(MATCH('Tasks Filter'!$F$5,Lists!$G$2:$G$6,0),AW1342,BF1342,IFERROR(MATCH(AV1342,Setup!$F$6:$F$15,0),99),IFERROR(MATCH(BC1342,Setup!$H$6:$H$15,0),99),IFERROR(MATCH(AZ1342,Setup!$J$6:$J$11,0),99))*1E+9+(AW1342-40000)*10000+1341)</f>
        <v/>
      </c>
      <c r="BK1342">
        <f>IF(BI1342=1,BJ1342,"")</f>
        <v/>
      </c>
      <c r="BL1342">
        <f>IF(AND(BH1342=1,BG1342=0,N(AW1342)&lt;Setup!$D$7),(AW1342-40000)*10000+1341,"")</f>
        <v/>
      </c>
      <c r="BM1342">
        <f>IF(AND(BH1342=1,AZ1342&lt;&gt;"Cancelled",N(AW1342)&gt;=Dashboard!$AB$3,N(AW1342)&lt;=Dashboard!$AB$3+6),(AW1342-40000)*100000+BF1342*10000+1341,"")</f>
        <v/>
      </c>
      <c r="BN1342">
        <f>IF(AND(BH1342=1,AZ1342&lt;&gt;"Cancelled"),BF1342*10000+1341,"")</f>
        <v/>
      </c>
    </row>
    <row r="1343">
      <c r="AS1343" t="inlineStr">
        <is>
          <t>R</t>
        </is>
      </c>
      <c r="AT1343" t="n">
        <v>1347</v>
      </c>
      <c r="AU1343">
        <f>'Recurring Log'!C1347&amp;""</f>
        <v/>
      </c>
      <c r="AV1343">
        <f>'Recurring Log'!D1347&amp;""</f>
        <v/>
      </c>
      <c r="AW1343">
        <f>IF('Recurring Log'!E1347="","",'Recurring Log'!E1347)</f>
        <v/>
      </c>
      <c r="AX1343">
        <f>IF('Recurring Log'!G1347="","",'Recurring Log'!G1347)</f>
        <v/>
      </c>
      <c r="AY1343">
        <f>IF('Recurring Log'!H1347="","",'Recurring Log'!H1347)</f>
        <v/>
      </c>
      <c r="AZ1343">
        <f>IF(AU1343="","",IF('Recurring Log'!J1347="","Not Started",'Recurring Log'!J1347))</f>
        <v/>
      </c>
      <c r="BA1343">
        <f>'Recurring Log'!L1347&amp;""</f>
        <v/>
      </c>
      <c r="BB1343">
        <f>'Recurring Log'!M1347&amp;""</f>
        <v/>
      </c>
      <c r="BC1343">
        <f>'Recurring Log'!N1347&amp;""</f>
        <v/>
      </c>
      <c r="BD1343">
        <f>'Recurring Log'!O1347&amp;""</f>
        <v/>
      </c>
      <c r="BE1343">
        <f>IF('Recurring Log'!K1347="","",'Recurring Log'!K1347)</f>
        <v/>
      </c>
      <c r="BF1343">
        <f>IFERROR(MATCH(BA1343,Setup!$L$6:$L$9,0),5)</f>
        <v/>
      </c>
      <c r="BG1343">
        <f>IF(OR(AZ1343="Done",AZ1343="Cancelled"),1,0)</f>
        <v/>
      </c>
      <c r="BH1343">
        <f>IF(AND(AU1343&lt;&gt;"",ISNUMBER(AW1343)),1,0)</f>
        <v/>
      </c>
      <c r="BI1343">
        <f>IF(BH1343=0,0,IF(AND(AW1343&gt;='Tasks Filter'!$F$3,AW1343&lt;='Tasks Filter'!$F$4,OR('Tasks Filter'!$I$3="",ISNUMBER(SEARCH('Tasks Filter'!$I$3,AU1343))),OR('Tasks Filter'!$I$4="",BF1343=IFERROR(MATCH('Tasks Filter'!$I$4,Setup!$L$6:$L$9,0),0)),OR('Tasks Filter'!$I$5="Both",AND('Tasks Filter'!$I$5="Yes",BB1343="✓"),AND('Tasks Filter'!$I$5="No",BB1343&lt;&gt;"✓")),OR('Tasks Filter'!$L$3="",AV1343='Tasks Filter'!$L$3),OR('Tasks Filter'!$L$4="",AZ1343='Tasks Filter'!$L$4),OR('Tasks Filter'!$L$5="",BC1343='Tasks Filter'!$L$5),OR('Tasks Filter'!$O$3="",BD1343='Tasks Filter'!$O$3),OR('Tasks Filter'!$O$4="Yes",BG1343=0)),1,0))</f>
        <v/>
      </c>
      <c r="BJ1343">
        <f>IF(BH1343=0,"",IF('Tasks Filter'!$F$6="Descending",-1,1)*CHOOSE(MATCH('Tasks Filter'!$F$5,Lists!$G$2:$G$6,0),AW1343,BF1343,IFERROR(MATCH(AV1343,Setup!$F$6:$F$15,0),99),IFERROR(MATCH(BC1343,Setup!$H$6:$H$15,0),99),IFERROR(MATCH(AZ1343,Setup!$J$6:$J$11,0),99))*1E+9+(AW1343-40000)*10000+1342)</f>
        <v/>
      </c>
      <c r="BK1343">
        <f>IF(BI1343=1,BJ1343,"")</f>
        <v/>
      </c>
      <c r="BL1343">
        <f>IF(AND(BH1343=1,BG1343=0,N(AW1343)&lt;Setup!$D$7),(AW1343-40000)*10000+1342,"")</f>
        <v/>
      </c>
      <c r="BM1343">
        <f>IF(AND(BH1343=1,AZ1343&lt;&gt;"Cancelled",N(AW1343)&gt;=Dashboard!$AB$3,N(AW1343)&lt;=Dashboard!$AB$3+6),(AW1343-40000)*100000+BF1343*10000+1342,"")</f>
        <v/>
      </c>
      <c r="BN1343">
        <f>IF(AND(BH1343=1,AZ1343&lt;&gt;"Cancelled"),BF1343*10000+1342,"")</f>
        <v/>
      </c>
    </row>
    <row r="1344">
      <c r="AS1344" t="inlineStr">
        <is>
          <t>R</t>
        </is>
      </c>
      <c r="AT1344" t="n">
        <v>1348</v>
      </c>
      <c r="AU1344">
        <f>'Recurring Log'!C1348&amp;""</f>
        <v/>
      </c>
      <c r="AV1344">
        <f>'Recurring Log'!D1348&amp;""</f>
        <v/>
      </c>
      <c r="AW1344">
        <f>IF('Recurring Log'!E1348="","",'Recurring Log'!E1348)</f>
        <v/>
      </c>
      <c r="AX1344">
        <f>IF('Recurring Log'!G1348="","",'Recurring Log'!G1348)</f>
        <v/>
      </c>
      <c r="AY1344">
        <f>IF('Recurring Log'!H1348="","",'Recurring Log'!H1348)</f>
        <v/>
      </c>
      <c r="AZ1344">
        <f>IF(AU1344="","",IF('Recurring Log'!J1348="","Not Started",'Recurring Log'!J1348))</f>
        <v/>
      </c>
      <c r="BA1344">
        <f>'Recurring Log'!L1348&amp;""</f>
        <v/>
      </c>
      <c r="BB1344">
        <f>'Recurring Log'!M1348&amp;""</f>
        <v/>
      </c>
      <c r="BC1344">
        <f>'Recurring Log'!N1348&amp;""</f>
        <v/>
      </c>
      <c r="BD1344">
        <f>'Recurring Log'!O1348&amp;""</f>
        <v/>
      </c>
      <c r="BE1344">
        <f>IF('Recurring Log'!K1348="","",'Recurring Log'!K1348)</f>
        <v/>
      </c>
      <c r="BF1344">
        <f>IFERROR(MATCH(BA1344,Setup!$L$6:$L$9,0),5)</f>
        <v/>
      </c>
      <c r="BG1344">
        <f>IF(OR(AZ1344="Done",AZ1344="Cancelled"),1,0)</f>
        <v/>
      </c>
      <c r="BH1344">
        <f>IF(AND(AU1344&lt;&gt;"",ISNUMBER(AW1344)),1,0)</f>
        <v/>
      </c>
      <c r="BI1344">
        <f>IF(BH1344=0,0,IF(AND(AW1344&gt;='Tasks Filter'!$F$3,AW1344&lt;='Tasks Filter'!$F$4,OR('Tasks Filter'!$I$3="",ISNUMBER(SEARCH('Tasks Filter'!$I$3,AU1344))),OR('Tasks Filter'!$I$4="",BF1344=IFERROR(MATCH('Tasks Filter'!$I$4,Setup!$L$6:$L$9,0),0)),OR('Tasks Filter'!$I$5="Both",AND('Tasks Filter'!$I$5="Yes",BB1344="✓"),AND('Tasks Filter'!$I$5="No",BB1344&lt;&gt;"✓")),OR('Tasks Filter'!$L$3="",AV1344='Tasks Filter'!$L$3),OR('Tasks Filter'!$L$4="",AZ1344='Tasks Filter'!$L$4),OR('Tasks Filter'!$L$5="",BC1344='Tasks Filter'!$L$5),OR('Tasks Filter'!$O$3="",BD1344='Tasks Filter'!$O$3),OR('Tasks Filter'!$O$4="Yes",BG1344=0)),1,0))</f>
        <v/>
      </c>
      <c r="BJ1344">
        <f>IF(BH1344=0,"",IF('Tasks Filter'!$F$6="Descending",-1,1)*CHOOSE(MATCH('Tasks Filter'!$F$5,Lists!$G$2:$G$6,0),AW1344,BF1344,IFERROR(MATCH(AV1344,Setup!$F$6:$F$15,0),99),IFERROR(MATCH(BC1344,Setup!$H$6:$H$15,0),99),IFERROR(MATCH(AZ1344,Setup!$J$6:$J$11,0),99))*1E+9+(AW1344-40000)*10000+1343)</f>
        <v/>
      </c>
      <c r="BK1344">
        <f>IF(BI1344=1,BJ1344,"")</f>
        <v/>
      </c>
      <c r="BL1344">
        <f>IF(AND(BH1344=1,BG1344=0,N(AW1344)&lt;Setup!$D$7),(AW1344-40000)*10000+1343,"")</f>
        <v/>
      </c>
      <c r="BM1344">
        <f>IF(AND(BH1344=1,AZ1344&lt;&gt;"Cancelled",N(AW1344)&gt;=Dashboard!$AB$3,N(AW1344)&lt;=Dashboard!$AB$3+6),(AW1344-40000)*100000+BF1344*10000+1343,"")</f>
        <v/>
      </c>
      <c r="BN1344">
        <f>IF(AND(BH1344=1,AZ1344&lt;&gt;"Cancelled"),BF1344*10000+1343,"")</f>
        <v/>
      </c>
    </row>
    <row r="1345">
      <c r="AS1345" t="inlineStr">
        <is>
          <t>R</t>
        </is>
      </c>
      <c r="AT1345" t="n">
        <v>1349</v>
      </c>
      <c r="AU1345">
        <f>'Recurring Log'!C1349&amp;""</f>
        <v/>
      </c>
      <c r="AV1345">
        <f>'Recurring Log'!D1349&amp;""</f>
        <v/>
      </c>
      <c r="AW1345">
        <f>IF('Recurring Log'!E1349="","",'Recurring Log'!E1349)</f>
        <v/>
      </c>
      <c r="AX1345">
        <f>IF('Recurring Log'!G1349="","",'Recurring Log'!G1349)</f>
        <v/>
      </c>
      <c r="AY1345">
        <f>IF('Recurring Log'!H1349="","",'Recurring Log'!H1349)</f>
        <v/>
      </c>
      <c r="AZ1345">
        <f>IF(AU1345="","",IF('Recurring Log'!J1349="","Not Started",'Recurring Log'!J1349))</f>
        <v/>
      </c>
      <c r="BA1345">
        <f>'Recurring Log'!L1349&amp;""</f>
        <v/>
      </c>
      <c r="BB1345">
        <f>'Recurring Log'!M1349&amp;""</f>
        <v/>
      </c>
      <c r="BC1345">
        <f>'Recurring Log'!N1349&amp;""</f>
        <v/>
      </c>
      <c r="BD1345">
        <f>'Recurring Log'!O1349&amp;""</f>
        <v/>
      </c>
      <c r="BE1345">
        <f>IF('Recurring Log'!K1349="","",'Recurring Log'!K1349)</f>
        <v/>
      </c>
      <c r="BF1345">
        <f>IFERROR(MATCH(BA1345,Setup!$L$6:$L$9,0),5)</f>
        <v/>
      </c>
      <c r="BG1345">
        <f>IF(OR(AZ1345="Done",AZ1345="Cancelled"),1,0)</f>
        <v/>
      </c>
      <c r="BH1345">
        <f>IF(AND(AU1345&lt;&gt;"",ISNUMBER(AW1345)),1,0)</f>
        <v/>
      </c>
      <c r="BI1345">
        <f>IF(BH1345=0,0,IF(AND(AW1345&gt;='Tasks Filter'!$F$3,AW1345&lt;='Tasks Filter'!$F$4,OR('Tasks Filter'!$I$3="",ISNUMBER(SEARCH('Tasks Filter'!$I$3,AU1345))),OR('Tasks Filter'!$I$4="",BF1345=IFERROR(MATCH('Tasks Filter'!$I$4,Setup!$L$6:$L$9,0),0)),OR('Tasks Filter'!$I$5="Both",AND('Tasks Filter'!$I$5="Yes",BB1345="✓"),AND('Tasks Filter'!$I$5="No",BB1345&lt;&gt;"✓")),OR('Tasks Filter'!$L$3="",AV1345='Tasks Filter'!$L$3),OR('Tasks Filter'!$L$4="",AZ1345='Tasks Filter'!$L$4),OR('Tasks Filter'!$L$5="",BC1345='Tasks Filter'!$L$5),OR('Tasks Filter'!$O$3="",BD1345='Tasks Filter'!$O$3),OR('Tasks Filter'!$O$4="Yes",BG1345=0)),1,0))</f>
        <v/>
      </c>
      <c r="BJ1345">
        <f>IF(BH1345=0,"",IF('Tasks Filter'!$F$6="Descending",-1,1)*CHOOSE(MATCH('Tasks Filter'!$F$5,Lists!$G$2:$G$6,0),AW1345,BF1345,IFERROR(MATCH(AV1345,Setup!$F$6:$F$15,0),99),IFERROR(MATCH(BC1345,Setup!$H$6:$H$15,0),99),IFERROR(MATCH(AZ1345,Setup!$J$6:$J$11,0),99))*1E+9+(AW1345-40000)*10000+1344)</f>
        <v/>
      </c>
      <c r="BK1345">
        <f>IF(BI1345=1,BJ1345,"")</f>
        <v/>
      </c>
      <c r="BL1345">
        <f>IF(AND(BH1345=1,BG1345=0,N(AW1345)&lt;Setup!$D$7),(AW1345-40000)*10000+1344,"")</f>
        <v/>
      </c>
      <c r="BM1345">
        <f>IF(AND(BH1345=1,AZ1345&lt;&gt;"Cancelled",N(AW1345)&gt;=Dashboard!$AB$3,N(AW1345)&lt;=Dashboard!$AB$3+6),(AW1345-40000)*100000+BF1345*10000+1344,"")</f>
        <v/>
      </c>
      <c r="BN1345">
        <f>IF(AND(BH1345=1,AZ1345&lt;&gt;"Cancelled"),BF1345*10000+1344,"")</f>
        <v/>
      </c>
    </row>
    <row r="1346">
      <c r="AS1346" t="inlineStr">
        <is>
          <t>R</t>
        </is>
      </c>
      <c r="AT1346" t="n">
        <v>1350</v>
      </c>
      <c r="AU1346">
        <f>'Recurring Log'!C1350&amp;""</f>
        <v/>
      </c>
      <c r="AV1346">
        <f>'Recurring Log'!D1350&amp;""</f>
        <v/>
      </c>
      <c r="AW1346">
        <f>IF('Recurring Log'!E1350="","",'Recurring Log'!E1350)</f>
        <v/>
      </c>
      <c r="AX1346">
        <f>IF('Recurring Log'!G1350="","",'Recurring Log'!G1350)</f>
        <v/>
      </c>
      <c r="AY1346">
        <f>IF('Recurring Log'!H1350="","",'Recurring Log'!H1350)</f>
        <v/>
      </c>
      <c r="AZ1346">
        <f>IF(AU1346="","",IF('Recurring Log'!J1350="","Not Started",'Recurring Log'!J1350))</f>
        <v/>
      </c>
      <c r="BA1346">
        <f>'Recurring Log'!L1350&amp;""</f>
        <v/>
      </c>
      <c r="BB1346">
        <f>'Recurring Log'!M1350&amp;""</f>
        <v/>
      </c>
      <c r="BC1346">
        <f>'Recurring Log'!N1350&amp;""</f>
        <v/>
      </c>
      <c r="BD1346">
        <f>'Recurring Log'!O1350&amp;""</f>
        <v/>
      </c>
      <c r="BE1346">
        <f>IF('Recurring Log'!K1350="","",'Recurring Log'!K1350)</f>
        <v/>
      </c>
      <c r="BF1346">
        <f>IFERROR(MATCH(BA1346,Setup!$L$6:$L$9,0),5)</f>
        <v/>
      </c>
      <c r="BG1346">
        <f>IF(OR(AZ1346="Done",AZ1346="Cancelled"),1,0)</f>
        <v/>
      </c>
      <c r="BH1346">
        <f>IF(AND(AU1346&lt;&gt;"",ISNUMBER(AW1346)),1,0)</f>
        <v/>
      </c>
      <c r="BI1346">
        <f>IF(BH1346=0,0,IF(AND(AW1346&gt;='Tasks Filter'!$F$3,AW1346&lt;='Tasks Filter'!$F$4,OR('Tasks Filter'!$I$3="",ISNUMBER(SEARCH('Tasks Filter'!$I$3,AU1346))),OR('Tasks Filter'!$I$4="",BF1346=IFERROR(MATCH('Tasks Filter'!$I$4,Setup!$L$6:$L$9,0),0)),OR('Tasks Filter'!$I$5="Both",AND('Tasks Filter'!$I$5="Yes",BB1346="✓"),AND('Tasks Filter'!$I$5="No",BB1346&lt;&gt;"✓")),OR('Tasks Filter'!$L$3="",AV1346='Tasks Filter'!$L$3),OR('Tasks Filter'!$L$4="",AZ1346='Tasks Filter'!$L$4),OR('Tasks Filter'!$L$5="",BC1346='Tasks Filter'!$L$5),OR('Tasks Filter'!$O$3="",BD1346='Tasks Filter'!$O$3),OR('Tasks Filter'!$O$4="Yes",BG1346=0)),1,0))</f>
        <v/>
      </c>
      <c r="BJ1346">
        <f>IF(BH1346=0,"",IF('Tasks Filter'!$F$6="Descending",-1,1)*CHOOSE(MATCH('Tasks Filter'!$F$5,Lists!$G$2:$G$6,0),AW1346,BF1346,IFERROR(MATCH(AV1346,Setup!$F$6:$F$15,0),99),IFERROR(MATCH(BC1346,Setup!$H$6:$H$15,0),99),IFERROR(MATCH(AZ1346,Setup!$J$6:$J$11,0),99))*1E+9+(AW1346-40000)*10000+1345)</f>
        <v/>
      </c>
      <c r="BK1346">
        <f>IF(BI1346=1,BJ1346,"")</f>
        <v/>
      </c>
      <c r="BL1346">
        <f>IF(AND(BH1346=1,BG1346=0,N(AW1346)&lt;Setup!$D$7),(AW1346-40000)*10000+1345,"")</f>
        <v/>
      </c>
      <c r="BM1346">
        <f>IF(AND(BH1346=1,AZ1346&lt;&gt;"Cancelled",N(AW1346)&gt;=Dashboard!$AB$3,N(AW1346)&lt;=Dashboard!$AB$3+6),(AW1346-40000)*100000+BF1346*10000+1345,"")</f>
        <v/>
      </c>
      <c r="BN1346">
        <f>IF(AND(BH1346=1,AZ1346&lt;&gt;"Cancelled"),BF1346*10000+1345,"")</f>
        <v/>
      </c>
    </row>
    <row r="1347">
      <c r="AS1347" t="inlineStr">
        <is>
          <t>R</t>
        </is>
      </c>
      <c r="AT1347" t="n">
        <v>1351</v>
      </c>
      <c r="AU1347">
        <f>'Recurring Log'!C1351&amp;""</f>
        <v/>
      </c>
      <c r="AV1347">
        <f>'Recurring Log'!D1351&amp;""</f>
        <v/>
      </c>
      <c r="AW1347">
        <f>IF('Recurring Log'!E1351="","",'Recurring Log'!E1351)</f>
        <v/>
      </c>
      <c r="AX1347">
        <f>IF('Recurring Log'!G1351="","",'Recurring Log'!G1351)</f>
        <v/>
      </c>
      <c r="AY1347">
        <f>IF('Recurring Log'!H1351="","",'Recurring Log'!H1351)</f>
        <v/>
      </c>
      <c r="AZ1347">
        <f>IF(AU1347="","",IF('Recurring Log'!J1351="","Not Started",'Recurring Log'!J1351))</f>
        <v/>
      </c>
      <c r="BA1347">
        <f>'Recurring Log'!L1351&amp;""</f>
        <v/>
      </c>
      <c r="BB1347">
        <f>'Recurring Log'!M1351&amp;""</f>
        <v/>
      </c>
      <c r="BC1347">
        <f>'Recurring Log'!N1351&amp;""</f>
        <v/>
      </c>
      <c r="BD1347">
        <f>'Recurring Log'!O1351&amp;""</f>
        <v/>
      </c>
      <c r="BE1347">
        <f>IF('Recurring Log'!K1351="","",'Recurring Log'!K1351)</f>
        <v/>
      </c>
      <c r="BF1347">
        <f>IFERROR(MATCH(BA1347,Setup!$L$6:$L$9,0),5)</f>
        <v/>
      </c>
      <c r="BG1347">
        <f>IF(OR(AZ1347="Done",AZ1347="Cancelled"),1,0)</f>
        <v/>
      </c>
      <c r="BH1347">
        <f>IF(AND(AU1347&lt;&gt;"",ISNUMBER(AW1347)),1,0)</f>
        <v/>
      </c>
      <c r="BI1347">
        <f>IF(BH1347=0,0,IF(AND(AW1347&gt;='Tasks Filter'!$F$3,AW1347&lt;='Tasks Filter'!$F$4,OR('Tasks Filter'!$I$3="",ISNUMBER(SEARCH('Tasks Filter'!$I$3,AU1347))),OR('Tasks Filter'!$I$4="",BF1347=IFERROR(MATCH('Tasks Filter'!$I$4,Setup!$L$6:$L$9,0),0)),OR('Tasks Filter'!$I$5="Both",AND('Tasks Filter'!$I$5="Yes",BB1347="✓"),AND('Tasks Filter'!$I$5="No",BB1347&lt;&gt;"✓")),OR('Tasks Filter'!$L$3="",AV1347='Tasks Filter'!$L$3),OR('Tasks Filter'!$L$4="",AZ1347='Tasks Filter'!$L$4),OR('Tasks Filter'!$L$5="",BC1347='Tasks Filter'!$L$5),OR('Tasks Filter'!$O$3="",BD1347='Tasks Filter'!$O$3),OR('Tasks Filter'!$O$4="Yes",BG1347=0)),1,0))</f>
        <v/>
      </c>
      <c r="BJ1347">
        <f>IF(BH1347=0,"",IF('Tasks Filter'!$F$6="Descending",-1,1)*CHOOSE(MATCH('Tasks Filter'!$F$5,Lists!$G$2:$G$6,0),AW1347,BF1347,IFERROR(MATCH(AV1347,Setup!$F$6:$F$15,0),99),IFERROR(MATCH(BC1347,Setup!$H$6:$H$15,0),99),IFERROR(MATCH(AZ1347,Setup!$J$6:$J$11,0),99))*1E+9+(AW1347-40000)*10000+1346)</f>
        <v/>
      </c>
      <c r="BK1347">
        <f>IF(BI1347=1,BJ1347,"")</f>
        <v/>
      </c>
      <c r="BL1347">
        <f>IF(AND(BH1347=1,BG1347=0,N(AW1347)&lt;Setup!$D$7),(AW1347-40000)*10000+1346,"")</f>
        <v/>
      </c>
      <c r="BM1347">
        <f>IF(AND(BH1347=1,AZ1347&lt;&gt;"Cancelled",N(AW1347)&gt;=Dashboard!$AB$3,N(AW1347)&lt;=Dashboard!$AB$3+6),(AW1347-40000)*100000+BF1347*10000+1346,"")</f>
        <v/>
      </c>
      <c r="BN1347">
        <f>IF(AND(BH1347=1,AZ1347&lt;&gt;"Cancelled"),BF1347*10000+1346,"")</f>
        <v/>
      </c>
    </row>
    <row r="1348">
      <c r="AS1348" t="inlineStr">
        <is>
          <t>R</t>
        </is>
      </c>
      <c r="AT1348" t="n">
        <v>1352</v>
      </c>
      <c r="AU1348">
        <f>'Recurring Log'!C1352&amp;""</f>
        <v/>
      </c>
      <c r="AV1348">
        <f>'Recurring Log'!D1352&amp;""</f>
        <v/>
      </c>
      <c r="AW1348">
        <f>IF('Recurring Log'!E1352="","",'Recurring Log'!E1352)</f>
        <v/>
      </c>
      <c r="AX1348">
        <f>IF('Recurring Log'!G1352="","",'Recurring Log'!G1352)</f>
        <v/>
      </c>
      <c r="AY1348">
        <f>IF('Recurring Log'!H1352="","",'Recurring Log'!H1352)</f>
        <v/>
      </c>
      <c r="AZ1348">
        <f>IF(AU1348="","",IF('Recurring Log'!J1352="","Not Started",'Recurring Log'!J1352))</f>
        <v/>
      </c>
      <c r="BA1348">
        <f>'Recurring Log'!L1352&amp;""</f>
        <v/>
      </c>
      <c r="BB1348">
        <f>'Recurring Log'!M1352&amp;""</f>
        <v/>
      </c>
      <c r="BC1348">
        <f>'Recurring Log'!N1352&amp;""</f>
        <v/>
      </c>
      <c r="BD1348">
        <f>'Recurring Log'!O1352&amp;""</f>
        <v/>
      </c>
      <c r="BE1348">
        <f>IF('Recurring Log'!K1352="","",'Recurring Log'!K1352)</f>
        <v/>
      </c>
      <c r="BF1348">
        <f>IFERROR(MATCH(BA1348,Setup!$L$6:$L$9,0),5)</f>
        <v/>
      </c>
      <c r="BG1348">
        <f>IF(OR(AZ1348="Done",AZ1348="Cancelled"),1,0)</f>
        <v/>
      </c>
      <c r="BH1348">
        <f>IF(AND(AU1348&lt;&gt;"",ISNUMBER(AW1348)),1,0)</f>
        <v/>
      </c>
      <c r="BI1348">
        <f>IF(BH1348=0,0,IF(AND(AW1348&gt;='Tasks Filter'!$F$3,AW1348&lt;='Tasks Filter'!$F$4,OR('Tasks Filter'!$I$3="",ISNUMBER(SEARCH('Tasks Filter'!$I$3,AU1348))),OR('Tasks Filter'!$I$4="",BF1348=IFERROR(MATCH('Tasks Filter'!$I$4,Setup!$L$6:$L$9,0),0)),OR('Tasks Filter'!$I$5="Both",AND('Tasks Filter'!$I$5="Yes",BB1348="✓"),AND('Tasks Filter'!$I$5="No",BB1348&lt;&gt;"✓")),OR('Tasks Filter'!$L$3="",AV1348='Tasks Filter'!$L$3),OR('Tasks Filter'!$L$4="",AZ1348='Tasks Filter'!$L$4),OR('Tasks Filter'!$L$5="",BC1348='Tasks Filter'!$L$5),OR('Tasks Filter'!$O$3="",BD1348='Tasks Filter'!$O$3),OR('Tasks Filter'!$O$4="Yes",BG1348=0)),1,0))</f>
        <v/>
      </c>
      <c r="BJ1348">
        <f>IF(BH1348=0,"",IF('Tasks Filter'!$F$6="Descending",-1,1)*CHOOSE(MATCH('Tasks Filter'!$F$5,Lists!$G$2:$G$6,0),AW1348,BF1348,IFERROR(MATCH(AV1348,Setup!$F$6:$F$15,0),99),IFERROR(MATCH(BC1348,Setup!$H$6:$H$15,0),99),IFERROR(MATCH(AZ1348,Setup!$J$6:$J$11,0),99))*1E+9+(AW1348-40000)*10000+1347)</f>
        <v/>
      </c>
      <c r="BK1348">
        <f>IF(BI1348=1,BJ1348,"")</f>
        <v/>
      </c>
      <c r="BL1348">
        <f>IF(AND(BH1348=1,BG1348=0,N(AW1348)&lt;Setup!$D$7),(AW1348-40000)*10000+1347,"")</f>
        <v/>
      </c>
      <c r="BM1348">
        <f>IF(AND(BH1348=1,AZ1348&lt;&gt;"Cancelled",N(AW1348)&gt;=Dashboard!$AB$3,N(AW1348)&lt;=Dashboard!$AB$3+6),(AW1348-40000)*100000+BF1348*10000+1347,"")</f>
        <v/>
      </c>
      <c r="BN1348">
        <f>IF(AND(BH1348=1,AZ1348&lt;&gt;"Cancelled"),BF1348*10000+1347,"")</f>
        <v/>
      </c>
    </row>
    <row r="1349">
      <c r="AS1349" t="inlineStr">
        <is>
          <t>R</t>
        </is>
      </c>
      <c r="AT1349" t="n">
        <v>1353</v>
      </c>
      <c r="AU1349">
        <f>'Recurring Log'!C1353&amp;""</f>
        <v/>
      </c>
      <c r="AV1349">
        <f>'Recurring Log'!D1353&amp;""</f>
        <v/>
      </c>
      <c r="AW1349">
        <f>IF('Recurring Log'!E1353="","",'Recurring Log'!E1353)</f>
        <v/>
      </c>
      <c r="AX1349">
        <f>IF('Recurring Log'!G1353="","",'Recurring Log'!G1353)</f>
        <v/>
      </c>
      <c r="AY1349">
        <f>IF('Recurring Log'!H1353="","",'Recurring Log'!H1353)</f>
        <v/>
      </c>
      <c r="AZ1349">
        <f>IF(AU1349="","",IF('Recurring Log'!J1353="","Not Started",'Recurring Log'!J1353))</f>
        <v/>
      </c>
      <c r="BA1349">
        <f>'Recurring Log'!L1353&amp;""</f>
        <v/>
      </c>
      <c r="BB1349">
        <f>'Recurring Log'!M1353&amp;""</f>
        <v/>
      </c>
      <c r="BC1349">
        <f>'Recurring Log'!N1353&amp;""</f>
        <v/>
      </c>
      <c r="BD1349">
        <f>'Recurring Log'!O1353&amp;""</f>
        <v/>
      </c>
      <c r="BE1349">
        <f>IF('Recurring Log'!K1353="","",'Recurring Log'!K1353)</f>
        <v/>
      </c>
      <c r="BF1349">
        <f>IFERROR(MATCH(BA1349,Setup!$L$6:$L$9,0),5)</f>
        <v/>
      </c>
      <c r="BG1349">
        <f>IF(OR(AZ1349="Done",AZ1349="Cancelled"),1,0)</f>
        <v/>
      </c>
      <c r="BH1349">
        <f>IF(AND(AU1349&lt;&gt;"",ISNUMBER(AW1349)),1,0)</f>
        <v/>
      </c>
      <c r="BI1349">
        <f>IF(BH1349=0,0,IF(AND(AW1349&gt;='Tasks Filter'!$F$3,AW1349&lt;='Tasks Filter'!$F$4,OR('Tasks Filter'!$I$3="",ISNUMBER(SEARCH('Tasks Filter'!$I$3,AU1349))),OR('Tasks Filter'!$I$4="",BF1349=IFERROR(MATCH('Tasks Filter'!$I$4,Setup!$L$6:$L$9,0),0)),OR('Tasks Filter'!$I$5="Both",AND('Tasks Filter'!$I$5="Yes",BB1349="✓"),AND('Tasks Filter'!$I$5="No",BB1349&lt;&gt;"✓")),OR('Tasks Filter'!$L$3="",AV1349='Tasks Filter'!$L$3),OR('Tasks Filter'!$L$4="",AZ1349='Tasks Filter'!$L$4),OR('Tasks Filter'!$L$5="",BC1349='Tasks Filter'!$L$5),OR('Tasks Filter'!$O$3="",BD1349='Tasks Filter'!$O$3),OR('Tasks Filter'!$O$4="Yes",BG1349=0)),1,0))</f>
        <v/>
      </c>
      <c r="BJ1349">
        <f>IF(BH1349=0,"",IF('Tasks Filter'!$F$6="Descending",-1,1)*CHOOSE(MATCH('Tasks Filter'!$F$5,Lists!$G$2:$G$6,0),AW1349,BF1349,IFERROR(MATCH(AV1349,Setup!$F$6:$F$15,0),99),IFERROR(MATCH(BC1349,Setup!$H$6:$H$15,0),99),IFERROR(MATCH(AZ1349,Setup!$J$6:$J$11,0),99))*1E+9+(AW1349-40000)*10000+1348)</f>
        <v/>
      </c>
      <c r="BK1349">
        <f>IF(BI1349=1,BJ1349,"")</f>
        <v/>
      </c>
      <c r="BL1349">
        <f>IF(AND(BH1349=1,BG1349=0,N(AW1349)&lt;Setup!$D$7),(AW1349-40000)*10000+1348,"")</f>
        <v/>
      </c>
      <c r="BM1349">
        <f>IF(AND(BH1349=1,AZ1349&lt;&gt;"Cancelled",N(AW1349)&gt;=Dashboard!$AB$3,N(AW1349)&lt;=Dashboard!$AB$3+6),(AW1349-40000)*100000+BF1349*10000+1348,"")</f>
        <v/>
      </c>
      <c r="BN1349">
        <f>IF(AND(BH1349=1,AZ1349&lt;&gt;"Cancelled"),BF1349*10000+1348,"")</f>
        <v/>
      </c>
    </row>
    <row r="1350">
      <c r="AS1350" t="inlineStr">
        <is>
          <t>R</t>
        </is>
      </c>
      <c r="AT1350" t="n">
        <v>1354</v>
      </c>
      <c r="AU1350">
        <f>'Recurring Log'!C1354&amp;""</f>
        <v/>
      </c>
      <c r="AV1350">
        <f>'Recurring Log'!D1354&amp;""</f>
        <v/>
      </c>
      <c r="AW1350">
        <f>IF('Recurring Log'!E1354="","",'Recurring Log'!E1354)</f>
        <v/>
      </c>
      <c r="AX1350">
        <f>IF('Recurring Log'!G1354="","",'Recurring Log'!G1354)</f>
        <v/>
      </c>
      <c r="AY1350">
        <f>IF('Recurring Log'!H1354="","",'Recurring Log'!H1354)</f>
        <v/>
      </c>
      <c r="AZ1350">
        <f>IF(AU1350="","",IF('Recurring Log'!J1354="","Not Started",'Recurring Log'!J1354))</f>
        <v/>
      </c>
      <c r="BA1350">
        <f>'Recurring Log'!L1354&amp;""</f>
        <v/>
      </c>
      <c r="BB1350">
        <f>'Recurring Log'!M1354&amp;""</f>
        <v/>
      </c>
      <c r="BC1350">
        <f>'Recurring Log'!N1354&amp;""</f>
        <v/>
      </c>
      <c r="BD1350">
        <f>'Recurring Log'!O1354&amp;""</f>
        <v/>
      </c>
      <c r="BE1350">
        <f>IF('Recurring Log'!K1354="","",'Recurring Log'!K1354)</f>
        <v/>
      </c>
      <c r="BF1350">
        <f>IFERROR(MATCH(BA1350,Setup!$L$6:$L$9,0),5)</f>
        <v/>
      </c>
      <c r="BG1350">
        <f>IF(OR(AZ1350="Done",AZ1350="Cancelled"),1,0)</f>
        <v/>
      </c>
      <c r="BH1350">
        <f>IF(AND(AU1350&lt;&gt;"",ISNUMBER(AW1350)),1,0)</f>
        <v/>
      </c>
      <c r="BI1350">
        <f>IF(BH1350=0,0,IF(AND(AW1350&gt;='Tasks Filter'!$F$3,AW1350&lt;='Tasks Filter'!$F$4,OR('Tasks Filter'!$I$3="",ISNUMBER(SEARCH('Tasks Filter'!$I$3,AU1350))),OR('Tasks Filter'!$I$4="",BF1350=IFERROR(MATCH('Tasks Filter'!$I$4,Setup!$L$6:$L$9,0),0)),OR('Tasks Filter'!$I$5="Both",AND('Tasks Filter'!$I$5="Yes",BB1350="✓"),AND('Tasks Filter'!$I$5="No",BB1350&lt;&gt;"✓")),OR('Tasks Filter'!$L$3="",AV1350='Tasks Filter'!$L$3),OR('Tasks Filter'!$L$4="",AZ1350='Tasks Filter'!$L$4),OR('Tasks Filter'!$L$5="",BC1350='Tasks Filter'!$L$5),OR('Tasks Filter'!$O$3="",BD1350='Tasks Filter'!$O$3),OR('Tasks Filter'!$O$4="Yes",BG1350=0)),1,0))</f>
        <v/>
      </c>
      <c r="BJ1350">
        <f>IF(BH1350=0,"",IF('Tasks Filter'!$F$6="Descending",-1,1)*CHOOSE(MATCH('Tasks Filter'!$F$5,Lists!$G$2:$G$6,0),AW1350,BF1350,IFERROR(MATCH(AV1350,Setup!$F$6:$F$15,0),99),IFERROR(MATCH(BC1350,Setup!$H$6:$H$15,0),99),IFERROR(MATCH(AZ1350,Setup!$J$6:$J$11,0),99))*1E+9+(AW1350-40000)*10000+1349)</f>
        <v/>
      </c>
      <c r="BK1350">
        <f>IF(BI1350=1,BJ1350,"")</f>
        <v/>
      </c>
      <c r="BL1350">
        <f>IF(AND(BH1350=1,BG1350=0,N(AW1350)&lt;Setup!$D$7),(AW1350-40000)*10000+1349,"")</f>
        <v/>
      </c>
      <c r="BM1350">
        <f>IF(AND(BH1350=1,AZ1350&lt;&gt;"Cancelled",N(AW1350)&gt;=Dashboard!$AB$3,N(AW1350)&lt;=Dashboard!$AB$3+6),(AW1350-40000)*100000+BF1350*10000+1349,"")</f>
        <v/>
      </c>
      <c r="BN1350">
        <f>IF(AND(BH1350=1,AZ1350&lt;&gt;"Cancelled"),BF1350*10000+1349,"")</f>
        <v/>
      </c>
    </row>
    <row r="1351">
      <c r="AS1351" t="inlineStr">
        <is>
          <t>R</t>
        </is>
      </c>
      <c r="AT1351" t="n">
        <v>1355</v>
      </c>
      <c r="AU1351">
        <f>'Recurring Log'!C1355&amp;""</f>
        <v/>
      </c>
      <c r="AV1351">
        <f>'Recurring Log'!D1355&amp;""</f>
        <v/>
      </c>
      <c r="AW1351">
        <f>IF('Recurring Log'!E1355="","",'Recurring Log'!E1355)</f>
        <v/>
      </c>
      <c r="AX1351">
        <f>IF('Recurring Log'!G1355="","",'Recurring Log'!G1355)</f>
        <v/>
      </c>
      <c r="AY1351">
        <f>IF('Recurring Log'!H1355="","",'Recurring Log'!H1355)</f>
        <v/>
      </c>
      <c r="AZ1351">
        <f>IF(AU1351="","",IF('Recurring Log'!J1355="","Not Started",'Recurring Log'!J1355))</f>
        <v/>
      </c>
      <c r="BA1351">
        <f>'Recurring Log'!L1355&amp;""</f>
        <v/>
      </c>
      <c r="BB1351">
        <f>'Recurring Log'!M1355&amp;""</f>
        <v/>
      </c>
      <c r="BC1351">
        <f>'Recurring Log'!N1355&amp;""</f>
        <v/>
      </c>
      <c r="BD1351">
        <f>'Recurring Log'!O1355&amp;""</f>
        <v/>
      </c>
      <c r="BE1351">
        <f>IF('Recurring Log'!K1355="","",'Recurring Log'!K1355)</f>
        <v/>
      </c>
      <c r="BF1351">
        <f>IFERROR(MATCH(BA1351,Setup!$L$6:$L$9,0),5)</f>
        <v/>
      </c>
      <c r="BG1351">
        <f>IF(OR(AZ1351="Done",AZ1351="Cancelled"),1,0)</f>
        <v/>
      </c>
      <c r="BH1351">
        <f>IF(AND(AU1351&lt;&gt;"",ISNUMBER(AW1351)),1,0)</f>
        <v/>
      </c>
      <c r="BI1351">
        <f>IF(BH1351=0,0,IF(AND(AW1351&gt;='Tasks Filter'!$F$3,AW1351&lt;='Tasks Filter'!$F$4,OR('Tasks Filter'!$I$3="",ISNUMBER(SEARCH('Tasks Filter'!$I$3,AU1351))),OR('Tasks Filter'!$I$4="",BF1351=IFERROR(MATCH('Tasks Filter'!$I$4,Setup!$L$6:$L$9,0),0)),OR('Tasks Filter'!$I$5="Both",AND('Tasks Filter'!$I$5="Yes",BB1351="✓"),AND('Tasks Filter'!$I$5="No",BB1351&lt;&gt;"✓")),OR('Tasks Filter'!$L$3="",AV1351='Tasks Filter'!$L$3),OR('Tasks Filter'!$L$4="",AZ1351='Tasks Filter'!$L$4),OR('Tasks Filter'!$L$5="",BC1351='Tasks Filter'!$L$5),OR('Tasks Filter'!$O$3="",BD1351='Tasks Filter'!$O$3),OR('Tasks Filter'!$O$4="Yes",BG1351=0)),1,0))</f>
        <v/>
      </c>
      <c r="BJ1351">
        <f>IF(BH1351=0,"",IF('Tasks Filter'!$F$6="Descending",-1,1)*CHOOSE(MATCH('Tasks Filter'!$F$5,Lists!$G$2:$G$6,0),AW1351,BF1351,IFERROR(MATCH(AV1351,Setup!$F$6:$F$15,0),99),IFERROR(MATCH(BC1351,Setup!$H$6:$H$15,0),99),IFERROR(MATCH(AZ1351,Setup!$J$6:$J$11,0),99))*1E+9+(AW1351-40000)*10000+1350)</f>
        <v/>
      </c>
      <c r="BK1351">
        <f>IF(BI1351=1,BJ1351,"")</f>
        <v/>
      </c>
      <c r="BL1351">
        <f>IF(AND(BH1351=1,BG1351=0,N(AW1351)&lt;Setup!$D$7),(AW1351-40000)*10000+1350,"")</f>
        <v/>
      </c>
      <c r="BM1351">
        <f>IF(AND(BH1351=1,AZ1351&lt;&gt;"Cancelled",N(AW1351)&gt;=Dashboard!$AB$3,N(AW1351)&lt;=Dashboard!$AB$3+6),(AW1351-40000)*100000+BF1351*10000+1350,"")</f>
        <v/>
      </c>
      <c r="BN1351">
        <f>IF(AND(BH1351=1,AZ1351&lt;&gt;"Cancelled"),BF1351*10000+1350,"")</f>
        <v/>
      </c>
    </row>
    <row r="1352">
      <c r="AS1352" t="inlineStr">
        <is>
          <t>R</t>
        </is>
      </c>
      <c r="AT1352" t="n">
        <v>1356</v>
      </c>
      <c r="AU1352">
        <f>'Recurring Log'!C1356&amp;""</f>
        <v/>
      </c>
      <c r="AV1352">
        <f>'Recurring Log'!D1356&amp;""</f>
        <v/>
      </c>
      <c r="AW1352">
        <f>IF('Recurring Log'!E1356="","",'Recurring Log'!E1356)</f>
        <v/>
      </c>
      <c r="AX1352">
        <f>IF('Recurring Log'!G1356="","",'Recurring Log'!G1356)</f>
        <v/>
      </c>
      <c r="AY1352">
        <f>IF('Recurring Log'!H1356="","",'Recurring Log'!H1356)</f>
        <v/>
      </c>
      <c r="AZ1352">
        <f>IF(AU1352="","",IF('Recurring Log'!J1356="","Not Started",'Recurring Log'!J1356))</f>
        <v/>
      </c>
      <c r="BA1352">
        <f>'Recurring Log'!L1356&amp;""</f>
        <v/>
      </c>
      <c r="BB1352">
        <f>'Recurring Log'!M1356&amp;""</f>
        <v/>
      </c>
      <c r="BC1352">
        <f>'Recurring Log'!N1356&amp;""</f>
        <v/>
      </c>
      <c r="BD1352">
        <f>'Recurring Log'!O1356&amp;""</f>
        <v/>
      </c>
      <c r="BE1352">
        <f>IF('Recurring Log'!K1356="","",'Recurring Log'!K1356)</f>
        <v/>
      </c>
      <c r="BF1352">
        <f>IFERROR(MATCH(BA1352,Setup!$L$6:$L$9,0),5)</f>
        <v/>
      </c>
      <c r="BG1352">
        <f>IF(OR(AZ1352="Done",AZ1352="Cancelled"),1,0)</f>
        <v/>
      </c>
      <c r="BH1352">
        <f>IF(AND(AU1352&lt;&gt;"",ISNUMBER(AW1352)),1,0)</f>
        <v/>
      </c>
      <c r="BI1352">
        <f>IF(BH1352=0,0,IF(AND(AW1352&gt;='Tasks Filter'!$F$3,AW1352&lt;='Tasks Filter'!$F$4,OR('Tasks Filter'!$I$3="",ISNUMBER(SEARCH('Tasks Filter'!$I$3,AU1352))),OR('Tasks Filter'!$I$4="",BF1352=IFERROR(MATCH('Tasks Filter'!$I$4,Setup!$L$6:$L$9,0),0)),OR('Tasks Filter'!$I$5="Both",AND('Tasks Filter'!$I$5="Yes",BB1352="✓"),AND('Tasks Filter'!$I$5="No",BB1352&lt;&gt;"✓")),OR('Tasks Filter'!$L$3="",AV1352='Tasks Filter'!$L$3),OR('Tasks Filter'!$L$4="",AZ1352='Tasks Filter'!$L$4),OR('Tasks Filter'!$L$5="",BC1352='Tasks Filter'!$L$5),OR('Tasks Filter'!$O$3="",BD1352='Tasks Filter'!$O$3),OR('Tasks Filter'!$O$4="Yes",BG1352=0)),1,0))</f>
        <v/>
      </c>
      <c r="BJ1352">
        <f>IF(BH1352=0,"",IF('Tasks Filter'!$F$6="Descending",-1,1)*CHOOSE(MATCH('Tasks Filter'!$F$5,Lists!$G$2:$G$6,0),AW1352,BF1352,IFERROR(MATCH(AV1352,Setup!$F$6:$F$15,0),99),IFERROR(MATCH(BC1352,Setup!$H$6:$H$15,0),99),IFERROR(MATCH(AZ1352,Setup!$J$6:$J$11,0),99))*1E+9+(AW1352-40000)*10000+1351)</f>
        <v/>
      </c>
      <c r="BK1352">
        <f>IF(BI1352=1,BJ1352,"")</f>
        <v/>
      </c>
      <c r="BL1352">
        <f>IF(AND(BH1352=1,BG1352=0,N(AW1352)&lt;Setup!$D$7),(AW1352-40000)*10000+1351,"")</f>
        <v/>
      </c>
      <c r="BM1352">
        <f>IF(AND(BH1352=1,AZ1352&lt;&gt;"Cancelled",N(AW1352)&gt;=Dashboard!$AB$3,N(AW1352)&lt;=Dashboard!$AB$3+6),(AW1352-40000)*100000+BF1352*10000+1351,"")</f>
        <v/>
      </c>
      <c r="BN1352">
        <f>IF(AND(BH1352=1,AZ1352&lt;&gt;"Cancelled"),BF1352*10000+1351,"")</f>
        <v/>
      </c>
    </row>
    <row r="1353">
      <c r="AS1353" t="inlineStr">
        <is>
          <t>R</t>
        </is>
      </c>
      <c r="AT1353" t="n">
        <v>1357</v>
      </c>
      <c r="AU1353">
        <f>'Recurring Log'!C1357&amp;""</f>
        <v/>
      </c>
      <c r="AV1353">
        <f>'Recurring Log'!D1357&amp;""</f>
        <v/>
      </c>
      <c r="AW1353">
        <f>IF('Recurring Log'!E1357="","",'Recurring Log'!E1357)</f>
        <v/>
      </c>
      <c r="AX1353">
        <f>IF('Recurring Log'!G1357="","",'Recurring Log'!G1357)</f>
        <v/>
      </c>
      <c r="AY1353">
        <f>IF('Recurring Log'!H1357="","",'Recurring Log'!H1357)</f>
        <v/>
      </c>
      <c r="AZ1353">
        <f>IF(AU1353="","",IF('Recurring Log'!J1357="","Not Started",'Recurring Log'!J1357))</f>
        <v/>
      </c>
      <c r="BA1353">
        <f>'Recurring Log'!L1357&amp;""</f>
        <v/>
      </c>
      <c r="BB1353">
        <f>'Recurring Log'!M1357&amp;""</f>
        <v/>
      </c>
      <c r="BC1353">
        <f>'Recurring Log'!N1357&amp;""</f>
        <v/>
      </c>
      <c r="BD1353">
        <f>'Recurring Log'!O1357&amp;""</f>
        <v/>
      </c>
      <c r="BE1353">
        <f>IF('Recurring Log'!K1357="","",'Recurring Log'!K1357)</f>
        <v/>
      </c>
      <c r="BF1353">
        <f>IFERROR(MATCH(BA1353,Setup!$L$6:$L$9,0),5)</f>
        <v/>
      </c>
      <c r="BG1353">
        <f>IF(OR(AZ1353="Done",AZ1353="Cancelled"),1,0)</f>
        <v/>
      </c>
      <c r="BH1353">
        <f>IF(AND(AU1353&lt;&gt;"",ISNUMBER(AW1353)),1,0)</f>
        <v/>
      </c>
      <c r="BI1353">
        <f>IF(BH1353=0,0,IF(AND(AW1353&gt;='Tasks Filter'!$F$3,AW1353&lt;='Tasks Filter'!$F$4,OR('Tasks Filter'!$I$3="",ISNUMBER(SEARCH('Tasks Filter'!$I$3,AU1353))),OR('Tasks Filter'!$I$4="",BF1353=IFERROR(MATCH('Tasks Filter'!$I$4,Setup!$L$6:$L$9,0),0)),OR('Tasks Filter'!$I$5="Both",AND('Tasks Filter'!$I$5="Yes",BB1353="✓"),AND('Tasks Filter'!$I$5="No",BB1353&lt;&gt;"✓")),OR('Tasks Filter'!$L$3="",AV1353='Tasks Filter'!$L$3),OR('Tasks Filter'!$L$4="",AZ1353='Tasks Filter'!$L$4),OR('Tasks Filter'!$L$5="",BC1353='Tasks Filter'!$L$5),OR('Tasks Filter'!$O$3="",BD1353='Tasks Filter'!$O$3),OR('Tasks Filter'!$O$4="Yes",BG1353=0)),1,0))</f>
        <v/>
      </c>
      <c r="BJ1353">
        <f>IF(BH1353=0,"",IF('Tasks Filter'!$F$6="Descending",-1,1)*CHOOSE(MATCH('Tasks Filter'!$F$5,Lists!$G$2:$G$6,0),AW1353,BF1353,IFERROR(MATCH(AV1353,Setup!$F$6:$F$15,0),99),IFERROR(MATCH(BC1353,Setup!$H$6:$H$15,0),99),IFERROR(MATCH(AZ1353,Setup!$J$6:$J$11,0),99))*1E+9+(AW1353-40000)*10000+1352)</f>
        <v/>
      </c>
      <c r="BK1353">
        <f>IF(BI1353=1,BJ1353,"")</f>
        <v/>
      </c>
      <c r="BL1353">
        <f>IF(AND(BH1353=1,BG1353=0,N(AW1353)&lt;Setup!$D$7),(AW1353-40000)*10000+1352,"")</f>
        <v/>
      </c>
      <c r="BM1353">
        <f>IF(AND(BH1353=1,AZ1353&lt;&gt;"Cancelled",N(AW1353)&gt;=Dashboard!$AB$3,N(AW1353)&lt;=Dashboard!$AB$3+6),(AW1353-40000)*100000+BF1353*10000+1352,"")</f>
        <v/>
      </c>
      <c r="BN1353">
        <f>IF(AND(BH1353=1,AZ1353&lt;&gt;"Cancelled"),BF1353*10000+1352,"")</f>
        <v/>
      </c>
    </row>
    <row r="1354">
      <c r="AS1354" t="inlineStr">
        <is>
          <t>R</t>
        </is>
      </c>
      <c r="AT1354" t="n">
        <v>1358</v>
      </c>
      <c r="AU1354">
        <f>'Recurring Log'!C1358&amp;""</f>
        <v/>
      </c>
      <c r="AV1354">
        <f>'Recurring Log'!D1358&amp;""</f>
        <v/>
      </c>
      <c r="AW1354">
        <f>IF('Recurring Log'!E1358="","",'Recurring Log'!E1358)</f>
        <v/>
      </c>
      <c r="AX1354">
        <f>IF('Recurring Log'!G1358="","",'Recurring Log'!G1358)</f>
        <v/>
      </c>
      <c r="AY1354">
        <f>IF('Recurring Log'!H1358="","",'Recurring Log'!H1358)</f>
        <v/>
      </c>
      <c r="AZ1354">
        <f>IF(AU1354="","",IF('Recurring Log'!J1358="","Not Started",'Recurring Log'!J1358))</f>
        <v/>
      </c>
      <c r="BA1354">
        <f>'Recurring Log'!L1358&amp;""</f>
        <v/>
      </c>
      <c r="BB1354">
        <f>'Recurring Log'!M1358&amp;""</f>
        <v/>
      </c>
      <c r="BC1354">
        <f>'Recurring Log'!N1358&amp;""</f>
        <v/>
      </c>
      <c r="BD1354">
        <f>'Recurring Log'!O1358&amp;""</f>
        <v/>
      </c>
      <c r="BE1354">
        <f>IF('Recurring Log'!K1358="","",'Recurring Log'!K1358)</f>
        <v/>
      </c>
      <c r="BF1354">
        <f>IFERROR(MATCH(BA1354,Setup!$L$6:$L$9,0),5)</f>
        <v/>
      </c>
      <c r="BG1354">
        <f>IF(OR(AZ1354="Done",AZ1354="Cancelled"),1,0)</f>
        <v/>
      </c>
      <c r="BH1354">
        <f>IF(AND(AU1354&lt;&gt;"",ISNUMBER(AW1354)),1,0)</f>
        <v/>
      </c>
      <c r="BI1354">
        <f>IF(BH1354=0,0,IF(AND(AW1354&gt;='Tasks Filter'!$F$3,AW1354&lt;='Tasks Filter'!$F$4,OR('Tasks Filter'!$I$3="",ISNUMBER(SEARCH('Tasks Filter'!$I$3,AU1354))),OR('Tasks Filter'!$I$4="",BF1354=IFERROR(MATCH('Tasks Filter'!$I$4,Setup!$L$6:$L$9,0),0)),OR('Tasks Filter'!$I$5="Both",AND('Tasks Filter'!$I$5="Yes",BB1354="✓"),AND('Tasks Filter'!$I$5="No",BB1354&lt;&gt;"✓")),OR('Tasks Filter'!$L$3="",AV1354='Tasks Filter'!$L$3),OR('Tasks Filter'!$L$4="",AZ1354='Tasks Filter'!$L$4),OR('Tasks Filter'!$L$5="",BC1354='Tasks Filter'!$L$5),OR('Tasks Filter'!$O$3="",BD1354='Tasks Filter'!$O$3),OR('Tasks Filter'!$O$4="Yes",BG1354=0)),1,0))</f>
        <v/>
      </c>
      <c r="BJ1354">
        <f>IF(BH1354=0,"",IF('Tasks Filter'!$F$6="Descending",-1,1)*CHOOSE(MATCH('Tasks Filter'!$F$5,Lists!$G$2:$G$6,0),AW1354,BF1354,IFERROR(MATCH(AV1354,Setup!$F$6:$F$15,0),99),IFERROR(MATCH(BC1354,Setup!$H$6:$H$15,0),99),IFERROR(MATCH(AZ1354,Setup!$J$6:$J$11,0),99))*1E+9+(AW1354-40000)*10000+1353)</f>
        <v/>
      </c>
      <c r="BK1354">
        <f>IF(BI1354=1,BJ1354,"")</f>
        <v/>
      </c>
      <c r="BL1354">
        <f>IF(AND(BH1354=1,BG1354=0,N(AW1354)&lt;Setup!$D$7),(AW1354-40000)*10000+1353,"")</f>
        <v/>
      </c>
      <c r="BM1354">
        <f>IF(AND(BH1354=1,AZ1354&lt;&gt;"Cancelled",N(AW1354)&gt;=Dashboard!$AB$3,N(AW1354)&lt;=Dashboard!$AB$3+6),(AW1354-40000)*100000+BF1354*10000+1353,"")</f>
        <v/>
      </c>
      <c r="BN1354">
        <f>IF(AND(BH1354=1,AZ1354&lt;&gt;"Cancelled"),BF1354*10000+1353,"")</f>
        <v/>
      </c>
    </row>
    <row r="1355">
      <c r="AS1355" t="inlineStr">
        <is>
          <t>R</t>
        </is>
      </c>
      <c r="AT1355" t="n">
        <v>1359</v>
      </c>
      <c r="AU1355">
        <f>'Recurring Log'!C1359&amp;""</f>
        <v/>
      </c>
      <c r="AV1355">
        <f>'Recurring Log'!D1359&amp;""</f>
        <v/>
      </c>
      <c r="AW1355">
        <f>IF('Recurring Log'!E1359="","",'Recurring Log'!E1359)</f>
        <v/>
      </c>
      <c r="AX1355">
        <f>IF('Recurring Log'!G1359="","",'Recurring Log'!G1359)</f>
        <v/>
      </c>
      <c r="AY1355">
        <f>IF('Recurring Log'!H1359="","",'Recurring Log'!H1359)</f>
        <v/>
      </c>
      <c r="AZ1355">
        <f>IF(AU1355="","",IF('Recurring Log'!J1359="","Not Started",'Recurring Log'!J1359))</f>
        <v/>
      </c>
      <c r="BA1355">
        <f>'Recurring Log'!L1359&amp;""</f>
        <v/>
      </c>
      <c r="BB1355">
        <f>'Recurring Log'!M1359&amp;""</f>
        <v/>
      </c>
      <c r="BC1355">
        <f>'Recurring Log'!N1359&amp;""</f>
        <v/>
      </c>
      <c r="BD1355">
        <f>'Recurring Log'!O1359&amp;""</f>
        <v/>
      </c>
      <c r="BE1355">
        <f>IF('Recurring Log'!K1359="","",'Recurring Log'!K1359)</f>
        <v/>
      </c>
      <c r="BF1355">
        <f>IFERROR(MATCH(BA1355,Setup!$L$6:$L$9,0),5)</f>
        <v/>
      </c>
      <c r="BG1355">
        <f>IF(OR(AZ1355="Done",AZ1355="Cancelled"),1,0)</f>
        <v/>
      </c>
      <c r="BH1355">
        <f>IF(AND(AU1355&lt;&gt;"",ISNUMBER(AW1355)),1,0)</f>
        <v/>
      </c>
      <c r="BI1355">
        <f>IF(BH1355=0,0,IF(AND(AW1355&gt;='Tasks Filter'!$F$3,AW1355&lt;='Tasks Filter'!$F$4,OR('Tasks Filter'!$I$3="",ISNUMBER(SEARCH('Tasks Filter'!$I$3,AU1355))),OR('Tasks Filter'!$I$4="",BF1355=IFERROR(MATCH('Tasks Filter'!$I$4,Setup!$L$6:$L$9,0),0)),OR('Tasks Filter'!$I$5="Both",AND('Tasks Filter'!$I$5="Yes",BB1355="✓"),AND('Tasks Filter'!$I$5="No",BB1355&lt;&gt;"✓")),OR('Tasks Filter'!$L$3="",AV1355='Tasks Filter'!$L$3),OR('Tasks Filter'!$L$4="",AZ1355='Tasks Filter'!$L$4),OR('Tasks Filter'!$L$5="",BC1355='Tasks Filter'!$L$5),OR('Tasks Filter'!$O$3="",BD1355='Tasks Filter'!$O$3),OR('Tasks Filter'!$O$4="Yes",BG1355=0)),1,0))</f>
        <v/>
      </c>
      <c r="BJ1355">
        <f>IF(BH1355=0,"",IF('Tasks Filter'!$F$6="Descending",-1,1)*CHOOSE(MATCH('Tasks Filter'!$F$5,Lists!$G$2:$G$6,0),AW1355,BF1355,IFERROR(MATCH(AV1355,Setup!$F$6:$F$15,0),99),IFERROR(MATCH(BC1355,Setup!$H$6:$H$15,0),99),IFERROR(MATCH(AZ1355,Setup!$J$6:$J$11,0),99))*1E+9+(AW1355-40000)*10000+1354)</f>
        <v/>
      </c>
      <c r="BK1355">
        <f>IF(BI1355=1,BJ1355,"")</f>
        <v/>
      </c>
      <c r="BL1355">
        <f>IF(AND(BH1355=1,BG1355=0,N(AW1355)&lt;Setup!$D$7),(AW1355-40000)*10000+1354,"")</f>
        <v/>
      </c>
      <c r="BM1355">
        <f>IF(AND(BH1355=1,AZ1355&lt;&gt;"Cancelled",N(AW1355)&gt;=Dashboard!$AB$3,N(AW1355)&lt;=Dashboard!$AB$3+6),(AW1355-40000)*100000+BF1355*10000+1354,"")</f>
        <v/>
      </c>
      <c r="BN1355">
        <f>IF(AND(BH1355=1,AZ1355&lt;&gt;"Cancelled"),BF1355*10000+1354,"")</f>
        <v/>
      </c>
    </row>
    <row r="1356">
      <c r="AS1356" t="inlineStr">
        <is>
          <t>R</t>
        </is>
      </c>
      <c r="AT1356" t="n">
        <v>1360</v>
      </c>
      <c r="AU1356">
        <f>'Recurring Log'!C1360&amp;""</f>
        <v/>
      </c>
      <c r="AV1356">
        <f>'Recurring Log'!D1360&amp;""</f>
        <v/>
      </c>
      <c r="AW1356">
        <f>IF('Recurring Log'!E1360="","",'Recurring Log'!E1360)</f>
        <v/>
      </c>
      <c r="AX1356">
        <f>IF('Recurring Log'!G1360="","",'Recurring Log'!G1360)</f>
        <v/>
      </c>
      <c r="AY1356">
        <f>IF('Recurring Log'!H1360="","",'Recurring Log'!H1360)</f>
        <v/>
      </c>
      <c r="AZ1356">
        <f>IF(AU1356="","",IF('Recurring Log'!J1360="","Not Started",'Recurring Log'!J1360))</f>
        <v/>
      </c>
      <c r="BA1356">
        <f>'Recurring Log'!L1360&amp;""</f>
        <v/>
      </c>
      <c r="BB1356">
        <f>'Recurring Log'!M1360&amp;""</f>
        <v/>
      </c>
      <c r="BC1356">
        <f>'Recurring Log'!N1360&amp;""</f>
        <v/>
      </c>
      <c r="BD1356">
        <f>'Recurring Log'!O1360&amp;""</f>
        <v/>
      </c>
      <c r="BE1356">
        <f>IF('Recurring Log'!K1360="","",'Recurring Log'!K1360)</f>
        <v/>
      </c>
      <c r="BF1356">
        <f>IFERROR(MATCH(BA1356,Setup!$L$6:$L$9,0),5)</f>
        <v/>
      </c>
      <c r="BG1356">
        <f>IF(OR(AZ1356="Done",AZ1356="Cancelled"),1,0)</f>
        <v/>
      </c>
      <c r="BH1356">
        <f>IF(AND(AU1356&lt;&gt;"",ISNUMBER(AW1356)),1,0)</f>
        <v/>
      </c>
      <c r="BI1356">
        <f>IF(BH1356=0,0,IF(AND(AW1356&gt;='Tasks Filter'!$F$3,AW1356&lt;='Tasks Filter'!$F$4,OR('Tasks Filter'!$I$3="",ISNUMBER(SEARCH('Tasks Filter'!$I$3,AU1356))),OR('Tasks Filter'!$I$4="",BF1356=IFERROR(MATCH('Tasks Filter'!$I$4,Setup!$L$6:$L$9,0),0)),OR('Tasks Filter'!$I$5="Both",AND('Tasks Filter'!$I$5="Yes",BB1356="✓"),AND('Tasks Filter'!$I$5="No",BB1356&lt;&gt;"✓")),OR('Tasks Filter'!$L$3="",AV1356='Tasks Filter'!$L$3),OR('Tasks Filter'!$L$4="",AZ1356='Tasks Filter'!$L$4),OR('Tasks Filter'!$L$5="",BC1356='Tasks Filter'!$L$5),OR('Tasks Filter'!$O$3="",BD1356='Tasks Filter'!$O$3),OR('Tasks Filter'!$O$4="Yes",BG1356=0)),1,0))</f>
        <v/>
      </c>
      <c r="BJ1356">
        <f>IF(BH1356=0,"",IF('Tasks Filter'!$F$6="Descending",-1,1)*CHOOSE(MATCH('Tasks Filter'!$F$5,Lists!$G$2:$G$6,0),AW1356,BF1356,IFERROR(MATCH(AV1356,Setup!$F$6:$F$15,0),99),IFERROR(MATCH(BC1356,Setup!$H$6:$H$15,0),99),IFERROR(MATCH(AZ1356,Setup!$J$6:$J$11,0),99))*1E+9+(AW1356-40000)*10000+1355)</f>
        <v/>
      </c>
      <c r="BK1356">
        <f>IF(BI1356=1,BJ1356,"")</f>
        <v/>
      </c>
      <c r="BL1356">
        <f>IF(AND(BH1356=1,BG1356=0,N(AW1356)&lt;Setup!$D$7),(AW1356-40000)*10000+1355,"")</f>
        <v/>
      </c>
      <c r="BM1356">
        <f>IF(AND(BH1356=1,AZ1356&lt;&gt;"Cancelled",N(AW1356)&gt;=Dashboard!$AB$3,N(AW1356)&lt;=Dashboard!$AB$3+6),(AW1356-40000)*100000+BF1356*10000+1355,"")</f>
        <v/>
      </c>
      <c r="BN1356">
        <f>IF(AND(BH1356=1,AZ1356&lt;&gt;"Cancelled"),BF1356*10000+1355,"")</f>
        <v/>
      </c>
    </row>
    <row r="1357">
      <c r="AS1357" t="inlineStr">
        <is>
          <t>R</t>
        </is>
      </c>
      <c r="AT1357" t="n">
        <v>1361</v>
      </c>
      <c r="AU1357">
        <f>'Recurring Log'!C1361&amp;""</f>
        <v/>
      </c>
      <c r="AV1357">
        <f>'Recurring Log'!D1361&amp;""</f>
        <v/>
      </c>
      <c r="AW1357">
        <f>IF('Recurring Log'!E1361="","",'Recurring Log'!E1361)</f>
        <v/>
      </c>
      <c r="AX1357">
        <f>IF('Recurring Log'!G1361="","",'Recurring Log'!G1361)</f>
        <v/>
      </c>
      <c r="AY1357">
        <f>IF('Recurring Log'!H1361="","",'Recurring Log'!H1361)</f>
        <v/>
      </c>
      <c r="AZ1357">
        <f>IF(AU1357="","",IF('Recurring Log'!J1361="","Not Started",'Recurring Log'!J1361))</f>
        <v/>
      </c>
      <c r="BA1357">
        <f>'Recurring Log'!L1361&amp;""</f>
        <v/>
      </c>
      <c r="BB1357">
        <f>'Recurring Log'!M1361&amp;""</f>
        <v/>
      </c>
      <c r="BC1357">
        <f>'Recurring Log'!N1361&amp;""</f>
        <v/>
      </c>
      <c r="BD1357">
        <f>'Recurring Log'!O1361&amp;""</f>
        <v/>
      </c>
      <c r="BE1357">
        <f>IF('Recurring Log'!K1361="","",'Recurring Log'!K1361)</f>
        <v/>
      </c>
      <c r="BF1357">
        <f>IFERROR(MATCH(BA1357,Setup!$L$6:$L$9,0),5)</f>
        <v/>
      </c>
      <c r="BG1357">
        <f>IF(OR(AZ1357="Done",AZ1357="Cancelled"),1,0)</f>
        <v/>
      </c>
      <c r="BH1357">
        <f>IF(AND(AU1357&lt;&gt;"",ISNUMBER(AW1357)),1,0)</f>
        <v/>
      </c>
      <c r="BI1357">
        <f>IF(BH1357=0,0,IF(AND(AW1357&gt;='Tasks Filter'!$F$3,AW1357&lt;='Tasks Filter'!$F$4,OR('Tasks Filter'!$I$3="",ISNUMBER(SEARCH('Tasks Filter'!$I$3,AU1357))),OR('Tasks Filter'!$I$4="",BF1357=IFERROR(MATCH('Tasks Filter'!$I$4,Setup!$L$6:$L$9,0),0)),OR('Tasks Filter'!$I$5="Both",AND('Tasks Filter'!$I$5="Yes",BB1357="✓"),AND('Tasks Filter'!$I$5="No",BB1357&lt;&gt;"✓")),OR('Tasks Filter'!$L$3="",AV1357='Tasks Filter'!$L$3),OR('Tasks Filter'!$L$4="",AZ1357='Tasks Filter'!$L$4),OR('Tasks Filter'!$L$5="",BC1357='Tasks Filter'!$L$5),OR('Tasks Filter'!$O$3="",BD1357='Tasks Filter'!$O$3),OR('Tasks Filter'!$O$4="Yes",BG1357=0)),1,0))</f>
        <v/>
      </c>
      <c r="BJ1357">
        <f>IF(BH1357=0,"",IF('Tasks Filter'!$F$6="Descending",-1,1)*CHOOSE(MATCH('Tasks Filter'!$F$5,Lists!$G$2:$G$6,0),AW1357,BF1357,IFERROR(MATCH(AV1357,Setup!$F$6:$F$15,0),99),IFERROR(MATCH(BC1357,Setup!$H$6:$H$15,0),99),IFERROR(MATCH(AZ1357,Setup!$J$6:$J$11,0),99))*1E+9+(AW1357-40000)*10000+1356)</f>
        <v/>
      </c>
      <c r="BK1357">
        <f>IF(BI1357=1,BJ1357,"")</f>
        <v/>
      </c>
      <c r="BL1357">
        <f>IF(AND(BH1357=1,BG1357=0,N(AW1357)&lt;Setup!$D$7),(AW1357-40000)*10000+1356,"")</f>
        <v/>
      </c>
      <c r="BM1357">
        <f>IF(AND(BH1357=1,AZ1357&lt;&gt;"Cancelled",N(AW1357)&gt;=Dashboard!$AB$3,N(AW1357)&lt;=Dashboard!$AB$3+6),(AW1357-40000)*100000+BF1357*10000+1356,"")</f>
        <v/>
      </c>
      <c r="BN1357">
        <f>IF(AND(BH1357=1,AZ1357&lt;&gt;"Cancelled"),BF1357*10000+1356,"")</f>
        <v/>
      </c>
    </row>
    <row r="1358">
      <c r="AS1358" t="inlineStr">
        <is>
          <t>R</t>
        </is>
      </c>
      <c r="AT1358" t="n">
        <v>1362</v>
      </c>
      <c r="AU1358">
        <f>'Recurring Log'!C1362&amp;""</f>
        <v/>
      </c>
      <c r="AV1358">
        <f>'Recurring Log'!D1362&amp;""</f>
        <v/>
      </c>
      <c r="AW1358">
        <f>IF('Recurring Log'!E1362="","",'Recurring Log'!E1362)</f>
        <v/>
      </c>
      <c r="AX1358">
        <f>IF('Recurring Log'!G1362="","",'Recurring Log'!G1362)</f>
        <v/>
      </c>
      <c r="AY1358">
        <f>IF('Recurring Log'!H1362="","",'Recurring Log'!H1362)</f>
        <v/>
      </c>
      <c r="AZ1358">
        <f>IF(AU1358="","",IF('Recurring Log'!J1362="","Not Started",'Recurring Log'!J1362))</f>
        <v/>
      </c>
      <c r="BA1358">
        <f>'Recurring Log'!L1362&amp;""</f>
        <v/>
      </c>
      <c r="BB1358">
        <f>'Recurring Log'!M1362&amp;""</f>
        <v/>
      </c>
      <c r="BC1358">
        <f>'Recurring Log'!N1362&amp;""</f>
        <v/>
      </c>
      <c r="BD1358">
        <f>'Recurring Log'!O1362&amp;""</f>
        <v/>
      </c>
      <c r="BE1358">
        <f>IF('Recurring Log'!K1362="","",'Recurring Log'!K1362)</f>
        <v/>
      </c>
      <c r="BF1358">
        <f>IFERROR(MATCH(BA1358,Setup!$L$6:$L$9,0),5)</f>
        <v/>
      </c>
      <c r="BG1358">
        <f>IF(OR(AZ1358="Done",AZ1358="Cancelled"),1,0)</f>
        <v/>
      </c>
      <c r="BH1358">
        <f>IF(AND(AU1358&lt;&gt;"",ISNUMBER(AW1358)),1,0)</f>
        <v/>
      </c>
      <c r="BI1358">
        <f>IF(BH1358=0,0,IF(AND(AW1358&gt;='Tasks Filter'!$F$3,AW1358&lt;='Tasks Filter'!$F$4,OR('Tasks Filter'!$I$3="",ISNUMBER(SEARCH('Tasks Filter'!$I$3,AU1358))),OR('Tasks Filter'!$I$4="",BF1358=IFERROR(MATCH('Tasks Filter'!$I$4,Setup!$L$6:$L$9,0),0)),OR('Tasks Filter'!$I$5="Both",AND('Tasks Filter'!$I$5="Yes",BB1358="✓"),AND('Tasks Filter'!$I$5="No",BB1358&lt;&gt;"✓")),OR('Tasks Filter'!$L$3="",AV1358='Tasks Filter'!$L$3),OR('Tasks Filter'!$L$4="",AZ1358='Tasks Filter'!$L$4),OR('Tasks Filter'!$L$5="",BC1358='Tasks Filter'!$L$5),OR('Tasks Filter'!$O$3="",BD1358='Tasks Filter'!$O$3),OR('Tasks Filter'!$O$4="Yes",BG1358=0)),1,0))</f>
        <v/>
      </c>
      <c r="BJ1358">
        <f>IF(BH1358=0,"",IF('Tasks Filter'!$F$6="Descending",-1,1)*CHOOSE(MATCH('Tasks Filter'!$F$5,Lists!$G$2:$G$6,0),AW1358,BF1358,IFERROR(MATCH(AV1358,Setup!$F$6:$F$15,0),99),IFERROR(MATCH(BC1358,Setup!$H$6:$H$15,0),99),IFERROR(MATCH(AZ1358,Setup!$J$6:$J$11,0),99))*1E+9+(AW1358-40000)*10000+1357)</f>
        <v/>
      </c>
      <c r="BK1358">
        <f>IF(BI1358=1,BJ1358,"")</f>
        <v/>
      </c>
      <c r="BL1358">
        <f>IF(AND(BH1358=1,BG1358=0,N(AW1358)&lt;Setup!$D$7),(AW1358-40000)*10000+1357,"")</f>
        <v/>
      </c>
      <c r="BM1358">
        <f>IF(AND(BH1358=1,AZ1358&lt;&gt;"Cancelled",N(AW1358)&gt;=Dashboard!$AB$3,N(AW1358)&lt;=Dashboard!$AB$3+6),(AW1358-40000)*100000+BF1358*10000+1357,"")</f>
        <v/>
      </c>
      <c r="BN1358">
        <f>IF(AND(BH1358=1,AZ1358&lt;&gt;"Cancelled"),BF1358*10000+1357,"")</f>
        <v/>
      </c>
    </row>
    <row r="1359">
      <c r="AS1359" t="inlineStr">
        <is>
          <t>R</t>
        </is>
      </c>
      <c r="AT1359" t="n">
        <v>1363</v>
      </c>
      <c r="AU1359">
        <f>'Recurring Log'!C1363&amp;""</f>
        <v/>
      </c>
      <c r="AV1359">
        <f>'Recurring Log'!D1363&amp;""</f>
        <v/>
      </c>
      <c r="AW1359">
        <f>IF('Recurring Log'!E1363="","",'Recurring Log'!E1363)</f>
        <v/>
      </c>
      <c r="AX1359">
        <f>IF('Recurring Log'!G1363="","",'Recurring Log'!G1363)</f>
        <v/>
      </c>
      <c r="AY1359">
        <f>IF('Recurring Log'!H1363="","",'Recurring Log'!H1363)</f>
        <v/>
      </c>
      <c r="AZ1359">
        <f>IF(AU1359="","",IF('Recurring Log'!J1363="","Not Started",'Recurring Log'!J1363))</f>
        <v/>
      </c>
      <c r="BA1359">
        <f>'Recurring Log'!L1363&amp;""</f>
        <v/>
      </c>
      <c r="BB1359">
        <f>'Recurring Log'!M1363&amp;""</f>
        <v/>
      </c>
      <c r="BC1359">
        <f>'Recurring Log'!N1363&amp;""</f>
        <v/>
      </c>
      <c r="BD1359">
        <f>'Recurring Log'!O1363&amp;""</f>
        <v/>
      </c>
      <c r="BE1359">
        <f>IF('Recurring Log'!K1363="","",'Recurring Log'!K1363)</f>
        <v/>
      </c>
      <c r="BF1359">
        <f>IFERROR(MATCH(BA1359,Setup!$L$6:$L$9,0),5)</f>
        <v/>
      </c>
      <c r="BG1359">
        <f>IF(OR(AZ1359="Done",AZ1359="Cancelled"),1,0)</f>
        <v/>
      </c>
      <c r="BH1359">
        <f>IF(AND(AU1359&lt;&gt;"",ISNUMBER(AW1359)),1,0)</f>
        <v/>
      </c>
      <c r="BI1359">
        <f>IF(BH1359=0,0,IF(AND(AW1359&gt;='Tasks Filter'!$F$3,AW1359&lt;='Tasks Filter'!$F$4,OR('Tasks Filter'!$I$3="",ISNUMBER(SEARCH('Tasks Filter'!$I$3,AU1359))),OR('Tasks Filter'!$I$4="",BF1359=IFERROR(MATCH('Tasks Filter'!$I$4,Setup!$L$6:$L$9,0),0)),OR('Tasks Filter'!$I$5="Both",AND('Tasks Filter'!$I$5="Yes",BB1359="✓"),AND('Tasks Filter'!$I$5="No",BB1359&lt;&gt;"✓")),OR('Tasks Filter'!$L$3="",AV1359='Tasks Filter'!$L$3),OR('Tasks Filter'!$L$4="",AZ1359='Tasks Filter'!$L$4),OR('Tasks Filter'!$L$5="",BC1359='Tasks Filter'!$L$5),OR('Tasks Filter'!$O$3="",BD1359='Tasks Filter'!$O$3),OR('Tasks Filter'!$O$4="Yes",BG1359=0)),1,0))</f>
        <v/>
      </c>
      <c r="BJ1359">
        <f>IF(BH1359=0,"",IF('Tasks Filter'!$F$6="Descending",-1,1)*CHOOSE(MATCH('Tasks Filter'!$F$5,Lists!$G$2:$G$6,0),AW1359,BF1359,IFERROR(MATCH(AV1359,Setup!$F$6:$F$15,0),99),IFERROR(MATCH(BC1359,Setup!$H$6:$H$15,0),99),IFERROR(MATCH(AZ1359,Setup!$J$6:$J$11,0),99))*1E+9+(AW1359-40000)*10000+1358)</f>
        <v/>
      </c>
      <c r="BK1359">
        <f>IF(BI1359=1,BJ1359,"")</f>
        <v/>
      </c>
      <c r="BL1359">
        <f>IF(AND(BH1359=1,BG1359=0,N(AW1359)&lt;Setup!$D$7),(AW1359-40000)*10000+1358,"")</f>
        <v/>
      </c>
      <c r="BM1359">
        <f>IF(AND(BH1359=1,AZ1359&lt;&gt;"Cancelled",N(AW1359)&gt;=Dashboard!$AB$3,N(AW1359)&lt;=Dashboard!$AB$3+6),(AW1359-40000)*100000+BF1359*10000+1358,"")</f>
        <v/>
      </c>
      <c r="BN1359">
        <f>IF(AND(BH1359=1,AZ1359&lt;&gt;"Cancelled"),BF1359*10000+1358,"")</f>
        <v/>
      </c>
    </row>
    <row r="1360">
      <c r="AS1360" t="inlineStr">
        <is>
          <t>R</t>
        </is>
      </c>
      <c r="AT1360" t="n">
        <v>1364</v>
      </c>
      <c r="AU1360">
        <f>'Recurring Log'!C1364&amp;""</f>
        <v/>
      </c>
      <c r="AV1360">
        <f>'Recurring Log'!D1364&amp;""</f>
        <v/>
      </c>
      <c r="AW1360">
        <f>IF('Recurring Log'!E1364="","",'Recurring Log'!E1364)</f>
        <v/>
      </c>
      <c r="AX1360">
        <f>IF('Recurring Log'!G1364="","",'Recurring Log'!G1364)</f>
        <v/>
      </c>
      <c r="AY1360">
        <f>IF('Recurring Log'!H1364="","",'Recurring Log'!H1364)</f>
        <v/>
      </c>
      <c r="AZ1360">
        <f>IF(AU1360="","",IF('Recurring Log'!J1364="","Not Started",'Recurring Log'!J1364))</f>
        <v/>
      </c>
      <c r="BA1360">
        <f>'Recurring Log'!L1364&amp;""</f>
        <v/>
      </c>
      <c r="BB1360">
        <f>'Recurring Log'!M1364&amp;""</f>
        <v/>
      </c>
      <c r="BC1360">
        <f>'Recurring Log'!N1364&amp;""</f>
        <v/>
      </c>
      <c r="BD1360">
        <f>'Recurring Log'!O1364&amp;""</f>
        <v/>
      </c>
      <c r="BE1360">
        <f>IF('Recurring Log'!K1364="","",'Recurring Log'!K1364)</f>
        <v/>
      </c>
      <c r="BF1360">
        <f>IFERROR(MATCH(BA1360,Setup!$L$6:$L$9,0),5)</f>
        <v/>
      </c>
      <c r="BG1360">
        <f>IF(OR(AZ1360="Done",AZ1360="Cancelled"),1,0)</f>
        <v/>
      </c>
      <c r="BH1360">
        <f>IF(AND(AU1360&lt;&gt;"",ISNUMBER(AW1360)),1,0)</f>
        <v/>
      </c>
      <c r="BI1360">
        <f>IF(BH1360=0,0,IF(AND(AW1360&gt;='Tasks Filter'!$F$3,AW1360&lt;='Tasks Filter'!$F$4,OR('Tasks Filter'!$I$3="",ISNUMBER(SEARCH('Tasks Filter'!$I$3,AU1360))),OR('Tasks Filter'!$I$4="",BF1360=IFERROR(MATCH('Tasks Filter'!$I$4,Setup!$L$6:$L$9,0),0)),OR('Tasks Filter'!$I$5="Both",AND('Tasks Filter'!$I$5="Yes",BB1360="✓"),AND('Tasks Filter'!$I$5="No",BB1360&lt;&gt;"✓")),OR('Tasks Filter'!$L$3="",AV1360='Tasks Filter'!$L$3),OR('Tasks Filter'!$L$4="",AZ1360='Tasks Filter'!$L$4),OR('Tasks Filter'!$L$5="",BC1360='Tasks Filter'!$L$5),OR('Tasks Filter'!$O$3="",BD1360='Tasks Filter'!$O$3),OR('Tasks Filter'!$O$4="Yes",BG1360=0)),1,0))</f>
        <v/>
      </c>
      <c r="BJ1360">
        <f>IF(BH1360=0,"",IF('Tasks Filter'!$F$6="Descending",-1,1)*CHOOSE(MATCH('Tasks Filter'!$F$5,Lists!$G$2:$G$6,0),AW1360,BF1360,IFERROR(MATCH(AV1360,Setup!$F$6:$F$15,0),99),IFERROR(MATCH(BC1360,Setup!$H$6:$H$15,0),99),IFERROR(MATCH(AZ1360,Setup!$J$6:$J$11,0),99))*1E+9+(AW1360-40000)*10000+1359)</f>
        <v/>
      </c>
      <c r="BK1360">
        <f>IF(BI1360=1,BJ1360,"")</f>
        <v/>
      </c>
      <c r="BL1360">
        <f>IF(AND(BH1360=1,BG1360=0,N(AW1360)&lt;Setup!$D$7),(AW1360-40000)*10000+1359,"")</f>
        <v/>
      </c>
      <c r="BM1360">
        <f>IF(AND(BH1360=1,AZ1360&lt;&gt;"Cancelled",N(AW1360)&gt;=Dashboard!$AB$3,N(AW1360)&lt;=Dashboard!$AB$3+6),(AW1360-40000)*100000+BF1360*10000+1359,"")</f>
        <v/>
      </c>
      <c r="BN1360">
        <f>IF(AND(BH1360=1,AZ1360&lt;&gt;"Cancelled"),BF1360*10000+1359,"")</f>
        <v/>
      </c>
    </row>
    <row r="1361">
      <c r="AS1361" t="inlineStr">
        <is>
          <t>R</t>
        </is>
      </c>
      <c r="AT1361" t="n">
        <v>1365</v>
      </c>
      <c r="AU1361">
        <f>'Recurring Log'!C1365&amp;""</f>
        <v/>
      </c>
      <c r="AV1361">
        <f>'Recurring Log'!D1365&amp;""</f>
        <v/>
      </c>
      <c r="AW1361">
        <f>IF('Recurring Log'!E1365="","",'Recurring Log'!E1365)</f>
        <v/>
      </c>
      <c r="AX1361">
        <f>IF('Recurring Log'!G1365="","",'Recurring Log'!G1365)</f>
        <v/>
      </c>
      <c r="AY1361">
        <f>IF('Recurring Log'!H1365="","",'Recurring Log'!H1365)</f>
        <v/>
      </c>
      <c r="AZ1361">
        <f>IF(AU1361="","",IF('Recurring Log'!J1365="","Not Started",'Recurring Log'!J1365))</f>
        <v/>
      </c>
      <c r="BA1361">
        <f>'Recurring Log'!L1365&amp;""</f>
        <v/>
      </c>
      <c r="BB1361">
        <f>'Recurring Log'!M1365&amp;""</f>
        <v/>
      </c>
      <c r="BC1361">
        <f>'Recurring Log'!N1365&amp;""</f>
        <v/>
      </c>
      <c r="BD1361">
        <f>'Recurring Log'!O1365&amp;""</f>
        <v/>
      </c>
      <c r="BE1361">
        <f>IF('Recurring Log'!K1365="","",'Recurring Log'!K1365)</f>
        <v/>
      </c>
      <c r="BF1361">
        <f>IFERROR(MATCH(BA1361,Setup!$L$6:$L$9,0),5)</f>
        <v/>
      </c>
      <c r="BG1361">
        <f>IF(OR(AZ1361="Done",AZ1361="Cancelled"),1,0)</f>
        <v/>
      </c>
      <c r="BH1361">
        <f>IF(AND(AU1361&lt;&gt;"",ISNUMBER(AW1361)),1,0)</f>
        <v/>
      </c>
      <c r="BI1361">
        <f>IF(BH1361=0,0,IF(AND(AW1361&gt;='Tasks Filter'!$F$3,AW1361&lt;='Tasks Filter'!$F$4,OR('Tasks Filter'!$I$3="",ISNUMBER(SEARCH('Tasks Filter'!$I$3,AU1361))),OR('Tasks Filter'!$I$4="",BF1361=IFERROR(MATCH('Tasks Filter'!$I$4,Setup!$L$6:$L$9,0),0)),OR('Tasks Filter'!$I$5="Both",AND('Tasks Filter'!$I$5="Yes",BB1361="✓"),AND('Tasks Filter'!$I$5="No",BB1361&lt;&gt;"✓")),OR('Tasks Filter'!$L$3="",AV1361='Tasks Filter'!$L$3),OR('Tasks Filter'!$L$4="",AZ1361='Tasks Filter'!$L$4),OR('Tasks Filter'!$L$5="",BC1361='Tasks Filter'!$L$5),OR('Tasks Filter'!$O$3="",BD1361='Tasks Filter'!$O$3),OR('Tasks Filter'!$O$4="Yes",BG1361=0)),1,0))</f>
        <v/>
      </c>
      <c r="BJ1361">
        <f>IF(BH1361=0,"",IF('Tasks Filter'!$F$6="Descending",-1,1)*CHOOSE(MATCH('Tasks Filter'!$F$5,Lists!$G$2:$G$6,0),AW1361,BF1361,IFERROR(MATCH(AV1361,Setup!$F$6:$F$15,0),99),IFERROR(MATCH(BC1361,Setup!$H$6:$H$15,0),99),IFERROR(MATCH(AZ1361,Setup!$J$6:$J$11,0),99))*1E+9+(AW1361-40000)*10000+1360)</f>
        <v/>
      </c>
      <c r="BK1361">
        <f>IF(BI1361=1,BJ1361,"")</f>
        <v/>
      </c>
      <c r="BL1361">
        <f>IF(AND(BH1361=1,BG1361=0,N(AW1361)&lt;Setup!$D$7),(AW1361-40000)*10000+1360,"")</f>
        <v/>
      </c>
      <c r="BM1361">
        <f>IF(AND(BH1361=1,AZ1361&lt;&gt;"Cancelled",N(AW1361)&gt;=Dashboard!$AB$3,N(AW1361)&lt;=Dashboard!$AB$3+6),(AW1361-40000)*100000+BF1361*10000+1360,"")</f>
        <v/>
      </c>
      <c r="BN1361">
        <f>IF(AND(BH1361=1,AZ1361&lt;&gt;"Cancelled"),BF1361*10000+1360,"")</f>
        <v/>
      </c>
    </row>
    <row r="1362">
      <c r="AS1362" t="inlineStr">
        <is>
          <t>R</t>
        </is>
      </c>
      <c r="AT1362" t="n">
        <v>1366</v>
      </c>
      <c r="AU1362">
        <f>'Recurring Log'!C1366&amp;""</f>
        <v/>
      </c>
      <c r="AV1362">
        <f>'Recurring Log'!D1366&amp;""</f>
        <v/>
      </c>
      <c r="AW1362">
        <f>IF('Recurring Log'!E1366="","",'Recurring Log'!E1366)</f>
        <v/>
      </c>
      <c r="AX1362">
        <f>IF('Recurring Log'!G1366="","",'Recurring Log'!G1366)</f>
        <v/>
      </c>
      <c r="AY1362">
        <f>IF('Recurring Log'!H1366="","",'Recurring Log'!H1366)</f>
        <v/>
      </c>
      <c r="AZ1362">
        <f>IF(AU1362="","",IF('Recurring Log'!J1366="","Not Started",'Recurring Log'!J1366))</f>
        <v/>
      </c>
      <c r="BA1362">
        <f>'Recurring Log'!L1366&amp;""</f>
        <v/>
      </c>
      <c r="BB1362">
        <f>'Recurring Log'!M1366&amp;""</f>
        <v/>
      </c>
      <c r="BC1362">
        <f>'Recurring Log'!N1366&amp;""</f>
        <v/>
      </c>
      <c r="BD1362">
        <f>'Recurring Log'!O1366&amp;""</f>
        <v/>
      </c>
      <c r="BE1362">
        <f>IF('Recurring Log'!K1366="","",'Recurring Log'!K1366)</f>
        <v/>
      </c>
      <c r="BF1362">
        <f>IFERROR(MATCH(BA1362,Setup!$L$6:$L$9,0),5)</f>
        <v/>
      </c>
      <c r="BG1362">
        <f>IF(OR(AZ1362="Done",AZ1362="Cancelled"),1,0)</f>
        <v/>
      </c>
      <c r="BH1362">
        <f>IF(AND(AU1362&lt;&gt;"",ISNUMBER(AW1362)),1,0)</f>
        <v/>
      </c>
      <c r="BI1362">
        <f>IF(BH1362=0,0,IF(AND(AW1362&gt;='Tasks Filter'!$F$3,AW1362&lt;='Tasks Filter'!$F$4,OR('Tasks Filter'!$I$3="",ISNUMBER(SEARCH('Tasks Filter'!$I$3,AU1362))),OR('Tasks Filter'!$I$4="",BF1362=IFERROR(MATCH('Tasks Filter'!$I$4,Setup!$L$6:$L$9,0),0)),OR('Tasks Filter'!$I$5="Both",AND('Tasks Filter'!$I$5="Yes",BB1362="✓"),AND('Tasks Filter'!$I$5="No",BB1362&lt;&gt;"✓")),OR('Tasks Filter'!$L$3="",AV1362='Tasks Filter'!$L$3),OR('Tasks Filter'!$L$4="",AZ1362='Tasks Filter'!$L$4),OR('Tasks Filter'!$L$5="",BC1362='Tasks Filter'!$L$5),OR('Tasks Filter'!$O$3="",BD1362='Tasks Filter'!$O$3),OR('Tasks Filter'!$O$4="Yes",BG1362=0)),1,0))</f>
        <v/>
      </c>
      <c r="BJ1362">
        <f>IF(BH1362=0,"",IF('Tasks Filter'!$F$6="Descending",-1,1)*CHOOSE(MATCH('Tasks Filter'!$F$5,Lists!$G$2:$G$6,0),AW1362,BF1362,IFERROR(MATCH(AV1362,Setup!$F$6:$F$15,0),99),IFERROR(MATCH(BC1362,Setup!$H$6:$H$15,0),99),IFERROR(MATCH(AZ1362,Setup!$J$6:$J$11,0),99))*1E+9+(AW1362-40000)*10000+1361)</f>
        <v/>
      </c>
      <c r="BK1362">
        <f>IF(BI1362=1,BJ1362,"")</f>
        <v/>
      </c>
      <c r="BL1362">
        <f>IF(AND(BH1362=1,BG1362=0,N(AW1362)&lt;Setup!$D$7),(AW1362-40000)*10000+1361,"")</f>
        <v/>
      </c>
      <c r="BM1362">
        <f>IF(AND(BH1362=1,AZ1362&lt;&gt;"Cancelled",N(AW1362)&gt;=Dashboard!$AB$3,N(AW1362)&lt;=Dashboard!$AB$3+6),(AW1362-40000)*100000+BF1362*10000+1361,"")</f>
        <v/>
      </c>
      <c r="BN1362">
        <f>IF(AND(BH1362=1,AZ1362&lt;&gt;"Cancelled"),BF1362*10000+1361,"")</f>
        <v/>
      </c>
    </row>
    <row r="1363">
      <c r="AS1363" t="inlineStr">
        <is>
          <t>R</t>
        </is>
      </c>
      <c r="AT1363" t="n">
        <v>1367</v>
      </c>
      <c r="AU1363">
        <f>'Recurring Log'!C1367&amp;""</f>
        <v/>
      </c>
      <c r="AV1363">
        <f>'Recurring Log'!D1367&amp;""</f>
        <v/>
      </c>
      <c r="AW1363">
        <f>IF('Recurring Log'!E1367="","",'Recurring Log'!E1367)</f>
        <v/>
      </c>
      <c r="AX1363">
        <f>IF('Recurring Log'!G1367="","",'Recurring Log'!G1367)</f>
        <v/>
      </c>
      <c r="AY1363">
        <f>IF('Recurring Log'!H1367="","",'Recurring Log'!H1367)</f>
        <v/>
      </c>
      <c r="AZ1363">
        <f>IF(AU1363="","",IF('Recurring Log'!J1367="","Not Started",'Recurring Log'!J1367))</f>
        <v/>
      </c>
      <c r="BA1363">
        <f>'Recurring Log'!L1367&amp;""</f>
        <v/>
      </c>
      <c r="BB1363">
        <f>'Recurring Log'!M1367&amp;""</f>
        <v/>
      </c>
      <c r="BC1363">
        <f>'Recurring Log'!N1367&amp;""</f>
        <v/>
      </c>
      <c r="BD1363">
        <f>'Recurring Log'!O1367&amp;""</f>
        <v/>
      </c>
      <c r="BE1363">
        <f>IF('Recurring Log'!K1367="","",'Recurring Log'!K1367)</f>
        <v/>
      </c>
      <c r="BF1363">
        <f>IFERROR(MATCH(BA1363,Setup!$L$6:$L$9,0),5)</f>
        <v/>
      </c>
      <c r="BG1363">
        <f>IF(OR(AZ1363="Done",AZ1363="Cancelled"),1,0)</f>
        <v/>
      </c>
      <c r="BH1363">
        <f>IF(AND(AU1363&lt;&gt;"",ISNUMBER(AW1363)),1,0)</f>
        <v/>
      </c>
      <c r="BI1363">
        <f>IF(BH1363=0,0,IF(AND(AW1363&gt;='Tasks Filter'!$F$3,AW1363&lt;='Tasks Filter'!$F$4,OR('Tasks Filter'!$I$3="",ISNUMBER(SEARCH('Tasks Filter'!$I$3,AU1363))),OR('Tasks Filter'!$I$4="",BF1363=IFERROR(MATCH('Tasks Filter'!$I$4,Setup!$L$6:$L$9,0),0)),OR('Tasks Filter'!$I$5="Both",AND('Tasks Filter'!$I$5="Yes",BB1363="✓"),AND('Tasks Filter'!$I$5="No",BB1363&lt;&gt;"✓")),OR('Tasks Filter'!$L$3="",AV1363='Tasks Filter'!$L$3),OR('Tasks Filter'!$L$4="",AZ1363='Tasks Filter'!$L$4),OR('Tasks Filter'!$L$5="",BC1363='Tasks Filter'!$L$5),OR('Tasks Filter'!$O$3="",BD1363='Tasks Filter'!$O$3),OR('Tasks Filter'!$O$4="Yes",BG1363=0)),1,0))</f>
        <v/>
      </c>
      <c r="BJ1363">
        <f>IF(BH1363=0,"",IF('Tasks Filter'!$F$6="Descending",-1,1)*CHOOSE(MATCH('Tasks Filter'!$F$5,Lists!$G$2:$G$6,0),AW1363,BF1363,IFERROR(MATCH(AV1363,Setup!$F$6:$F$15,0),99),IFERROR(MATCH(BC1363,Setup!$H$6:$H$15,0),99),IFERROR(MATCH(AZ1363,Setup!$J$6:$J$11,0),99))*1E+9+(AW1363-40000)*10000+1362)</f>
        <v/>
      </c>
      <c r="BK1363">
        <f>IF(BI1363=1,BJ1363,"")</f>
        <v/>
      </c>
      <c r="BL1363">
        <f>IF(AND(BH1363=1,BG1363=0,N(AW1363)&lt;Setup!$D$7),(AW1363-40000)*10000+1362,"")</f>
        <v/>
      </c>
      <c r="BM1363">
        <f>IF(AND(BH1363=1,AZ1363&lt;&gt;"Cancelled",N(AW1363)&gt;=Dashboard!$AB$3,N(AW1363)&lt;=Dashboard!$AB$3+6),(AW1363-40000)*100000+BF1363*10000+1362,"")</f>
        <v/>
      </c>
      <c r="BN1363">
        <f>IF(AND(BH1363=1,AZ1363&lt;&gt;"Cancelled"),BF1363*10000+1362,"")</f>
        <v/>
      </c>
    </row>
    <row r="1364">
      <c r="AS1364" t="inlineStr">
        <is>
          <t>R</t>
        </is>
      </c>
      <c r="AT1364" t="n">
        <v>1368</v>
      </c>
      <c r="AU1364">
        <f>'Recurring Log'!C1368&amp;""</f>
        <v/>
      </c>
      <c r="AV1364">
        <f>'Recurring Log'!D1368&amp;""</f>
        <v/>
      </c>
      <c r="AW1364">
        <f>IF('Recurring Log'!E1368="","",'Recurring Log'!E1368)</f>
        <v/>
      </c>
      <c r="AX1364">
        <f>IF('Recurring Log'!G1368="","",'Recurring Log'!G1368)</f>
        <v/>
      </c>
      <c r="AY1364">
        <f>IF('Recurring Log'!H1368="","",'Recurring Log'!H1368)</f>
        <v/>
      </c>
      <c r="AZ1364">
        <f>IF(AU1364="","",IF('Recurring Log'!J1368="","Not Started",'Recurring Log'!J1368))</f>
        <v/>
      </c>
      <c r="BA1364">
        <f>'Recurring Log'!L1368&amp;""</f>
        <v/>
      </c>
      <c r="BB1364">
        <f>'Recurring Log'!M1368&amp;""</f>
        <v/>
      </c>
      <c r="BC1364">
        <f>'Recurring Log'!N1368&amp;""</f>
        <v/>
      </c>
      <c r="BD1364">
        <f>'Recurring Log'!O1368&amp;""</f>
        <v/>
      </c>
      <c r="BE1364">
        <f>IF('Recurring Log'!K1368="","",'Recurring Log'!K1368)</f>
        <v/>
      </c>
      <c r="BF1364">
        <f>IFERROR(MATCH(BA1364,Setup!$L$6:$L$9,0),5)</f>
        <v/>
      </c>
      <c r="BG1364">
        <f>IF(OR(AZ1364="Done",AZ1364="Cancelled"),1,0)</f>
        <v/>
      </c>
      <c r="BH1364">
        <f>IF(AND(AU1364&lt;&gt;"",ISNUMBER(AW1364)),1,0)</f>
        <v/>
      </c>
      <c r="BI1364">
        <f>IF(BH1364=0,0,IF(AND(AW1364&gt;='Tasks Filter'!$F$3,AW1364&lt;='Tasks Filter'!$F$4,OR('Tasks Filter'!$I$3="",ISNUMBER(SEARCH('Tasks Filter'!$I$3,AU1364))),OR('Tasks Filter'!$I$4="",BF1364=IFERROR(MATCH('Tasks Filter'!$I$4,Setup!$L$6:$L$9,0),0)),OR('Tasks Filter'!$I$5="Both",AND('Tasks Filter'!$I$5="Yes",BB1364="✓"),AND('Tasks Filter'!$I$5="No",BB1364&lt;&gt;"✓")),OR('Tasks Filter'!$L$3="",AV1364='Tasks Filter'!$L$3),OR('Tasks Filter'!$L$4="",AZ1364='Tasks Filter'!$L$4),OR('Tasks Filter'!$L$5="",BC1364='Tasks Filter'!$L$5),OR('Tasks Filter'!$O$3="",BD1364='Tasks Filter'!$O$3),OR('Tasks Filter'!$O$4="Yes",BG1364=0)),1,0))</f>
        <v/>
      </c>
      <c r="BJ1364">
        <f>IF(BH1364=0,"",IF('Tasks Filter'!$F$6="Descending",-1,1)*CHOOSE(MATCH('Tasks Filter'!$F$5,Lists!$G$2:$G$6,0),AW1364,BF1364,IFERROR(MATCH(AV1364,Setup!$F$6:$F$15,0),99),IFERROR(MATCH(BC1364,Setup!$H$6:$H$15,0),99),IFERROR(MATCH(AZ1364,Setup!$J$6:$J$11,0),99))*1E+9+(AW1364-40000)*10000+1363)</f>
        <v/>
      </c>
      <c r="BK1364">
        <f>IF(BI1364=1,BJ1364,"")</f>
        <v/>
      </c>
      <c r="BL1364">
        <f>IF(AND(BH1364=1,BG1364=0,N(AW1364)&lt;Setup!$D$7),(AW1364-40000)*10000+1363,"")</f>
        <v/>
      </c>
      <c r="BM1364">
        <f>IF(AND(BH1364=1,AZ1364&lt;&gt;"Cancelled",N(AW1364)&gt;=Dashboard!$AB$3,N(AW1364)&lt;=Dashboard!$AB$3+6),(AW1364-40000)*100000+BF1364*10000+1363,"")</f>
        <v/>
      </c>
      <c r="BN1364">
        <f>IF(AND(BH1364=1,AZ1364&lt;&gt;"Cancelled"),BF1364*10000+1363,"")</f>
        <v/>
      </c>
    </row>
    <row r="1365">
      <c r="AS1365" t="inlineStr">
        <is>
          <t>R</t>
        </is>
      </c>
      <c r="AT1365" t="n">
        <v>1369</v>
      </c>
      <c r="AU1365">
        <f>'Recurring Log'!C1369&amp;""</f>
        <v/>
      </c>
      <c r="AV1365">
        <f>'Recurring Log'!D1369&amp;""</f>
        <v/>
      </c>
      <c r="AW1365">
        <f>IF('Recurring Log'!E1369="","",'Recurring Log'!E1369)</f>
        <v/>
      </c>
      <c r="AX1365">
        <f>IF('Recurring Log'!G1369="","",'Recurring Log'!G1369)</f>
        <v/>
      </c>
      <c r="AY1365">
        <f>IF('Recurring Log'!H1369="","",'Recurring Log'!H1369)</f>
        <v/>
      </c>
      <c r="AZ1365">
        <f>IF(AU1365="","",IF('Recurring Log'!J1369="","Not Started",'Recurring Log'!J1369))</f>
        <v/>
      </c>
      <c r="BA1365">
        <f>'Recurring Log'!L1369&amp;""</f>
        <v/>
      </c>
      <c r="BB1365">
        <f>'Recurring Log'!M1369&amp;""</f>
        <v/>
      </c>
      <c r="BC1365">
        <f>'Recurring Log'!N1369&amp;""</f>
        <v/>
      </c>
      <c r="BD1365">
        <f>'Recurring Log'!O1369&amp;""</f>
        <v/>
      </c>
      <c r="BE1365">
        <f>IF('Recurring Log'!K1369="","",'Recurring Log'!K1369)</f>
        <v/>
      </c>
      <c r="BF1365">
        <f>IFERROR(MATCH(BA1365,Setup!$L$6:$L$9,0),5)</f>
        <v/>
      </c>
      <c r="BG1365">
        <f>IF(OR(AZ1365="Done",AZ1365="Cancelled"),1,0)</f>
        <v/>
      </c>
      <c r="BH1365">
        <f>IF(AND(AU1365&lt;&gt;"",ISNUMBER(AW1365)),1,0)</f>
        <v/>
      </c>
      <c r="BI1365">
        <f>IF(BH1365=0,0,IF(AND(AW1365&gt;='Tasks Filter'!$F$3,AW1365&lt;='Tasks Filter'!$F$4,OR('Tasks Filter'!$I$3="",ISNUMBER(SEARCH('Tasks Filter'!$I$3,AU1365))),OR('Tasks Filter'!$I$4="",BF1365=IFERROR(MATCH('Tasks Filter'!$I$4,Setup!$L$6:$L$9,0),0)),OR('Tasks Filter'!$I$5="Both",AND('Tasks Filter'!$I$5="Yes",BB1365="✓"),AND('Tasks Filter'!$I$5="No",BB1365&lt;&gt;"✓")),OR('Tasks Filter'!$L$3="",AV1365='Tasks Filter'!$L$3),OR('Tasks Filter'!$L$4="",AZ1365='Tasks Filter'!$L$4),OR('Tasks Filter'!$L$5="",BC1365='Tasks Filter'!$L$5),OR('Tasks Filter'!$O$3="",BD1365='Tasks Filter'!$O$3),OR('Tasks Filter'!$O$4="Yes",BG1365=0)),1,0))</f>
        <v/>
      </c>
      <c r="BJ1365">
        <f>IF(BH1365=0,"",IF('Tasks Filter'!$F$6="Descending",-1,1)*CHOOSE(MATCH('Tasks Filter'!$F$5,Lists!$G$2:$G$6,0),AW1365,BF1365,IFERROR(MATCH(AV1365,Setup!$F$6:$F$15,0),99),IFERROR(MATCH(BC1365,Setup!$H$6:$H$15,0),99),IFERROR(MATCH(AZ1365,Setup!$J$6:$J$11,0),99))*1E+9+(AW1365-40000)*10000+1364)</f>
        <v/>
      </c>
      <c r="BK1365">
        <f>IF(BI1365=1,BJ1365,"")</f>
        <v/>
      </c>
      <c r="BL1365">
        <f>IF(AND(BH1365=1,BG1365=0,N(AW1365)&lt;Setup!$D$7),(AW1365-40000)*10000+1364,"")</f>
        <v/>
      </c>
      <c r="BM1365">
        <f>IF(AND(BH1365=1,AZ1365&lt;&gt;"Cancelled",N(AW1365)&gt;=Dashboard!$AB$3,N(AW1365)&lt;=Dashboard!$AB$3+6),(AW1365-40000)*100000+BF1365*10000+1364,"")</f>
        <v/>
      </c>
      <c r="BN1365">
        <f>IF(AND(BH1365=1,AZ1365&lt;&gt;"Cancelled"),BF1365*10000+1364,"")</f>
        <v/>
      </c>
    </row>
    <row r="1366">
      <c r="AS1366" t="inlineStr">
        <is>
          <t>R</t>
        </is>
      </c>
      <c r="AT1366" t="n">
        <v>1370</v>
      </c>
      <c r="AU1366">
        <f>'Recurring Log'!C1370&amp;""</f>
        <v/>
      </c>
      <c r="AV1366">
        <f>'Recurring Log'!D1370&amp;""</f>
        <v/>
      </c>
      <c r="AW1366">
        <f>IF('Recurring Log'!E1370="","",'Recurring Log'!E1370)</f>
        <v/>
      </c>
      <c r="AX1366">
        <f>IF('Recurring Log'!G1370="","",'Recurring Log'!G1370)</f>
        <v/>
      </c>
      <c r="AY1366">
        <f>IF('Recurring Log'!H1370="","",'Recurring Log'!H1370)</f>
        <v/>
      </c>
      <c r="AZ1366">
        <f>IF(AU1366="","",IF('Recurring Log'!J1370="","Not Started",'Recurring Log'!J1370))</f>
        <v/>
      </c>
      <c r="BA1366">
        <f>'Recurring Log'!L1370&amp;""</f>
        <v/>
      </c>
      <c r="BB1366">
        <f>'Recurring Log'!M1370&amp;""</f>
        <v/>
      </c>
      <c r="BC1366">
        <f>'Recurring Log'!N1370&amp;""</f>
        <v/>
      </c>
      <c r="BD1366">
        <f>'Recurring Log'!O1370&amp;""</f>
        <v/>
      </c>
      <c r="BE1366">
        <f>IF('Recurring Log'!K1370="","",'Recurring Log'!K1370)</f>
        <v/>
      </c>
      <c r="BF1366">
        <f>IFERROR(MATCH(BA1366,Setup!$L$6:$L$9,0),5)</f>
        <v/>
      </c>
      <c r="BG1366">
        <f>IF(OR(AZ1366="Done",AZ1366="Cancelled"),1,0)</f>
        <v/>
      </c>
      <c r="BH1366">
        <f>IF(AND(AU1366&lt;&gt;"",ISNUMBER(AW1366)),1,0)</f>
        <v/>
      </c>
      <c r="BI1366">
        <f>IF(BH1366=0,0,IF(AND(AW1366&gt;='Tasks Filter'!$F$3,AW1366&lt;='Tasks Filter'!$F$4,OR('Tasks Filter'!$I$3="",ISNUMBER(SEARCH('Tasks Filter'!$I$3,AU1366))),OR('Tasks Filter'!$I$4="",BF1366=IFERROR(MATCH('Tasks Filter'!$I$4,Setup!$L$6:$L$9,0),0)),OR('Tasks Filter'!$I$5="Both",AND('Tasks Filter'!$I$5="Yes",BB1366="✓"),AND('Tasks Filter'!$I$5="No",BB1366&lt;&gt;"✓")),OR('Tasks Filter'!$L$3="",AV1366='Tasks Filter'!$L$3),OR('Tasks Filter'!$L$4="",AZ1366='Tasks Filter'!$L$4),OR('Tasks Filter'!$L$5="",BC1366='Tasks Filter'!$L$5),OR('Tasks Filter'!$O$3="",BD1366='Tasks Filter'!$O$3),OR('Tasks Filter'!$O$4="Yes",BG1366=0)),1,0))</f>
        <v/>
      </c>
      <c r="BJ1366">
        <f>IF(BH1366=0,"",IF('Tasks Filter'!$F$6="Descending",-1,1)*CHOOSE(MATCH('Tasks Filter'!$F$5,Lists!$G$2:$G$6,0),AW1366,BF1366,IFERROR(MATCH(AV1366,Setup!$F$6:$F$15,0),99),IFERROR(MATCH(BC1366,Setup!$H$6:$H$15,0),99),IFERROR(MATCH(AZ1366,Setup!$J$6:$J$11,0),99))*1E+9+(AW1366-40000)*10000+1365)</f>
        <v/>
      </c>
      <c r="BK1366">
        <f>IF(BI1366=1,BJ1366,"")</f>
        <v/>
      </c>
      <c r="BL1366">
        <f>IF(AND(BH1366=1,BG1366=0,N(AW1366)&lt;Setup!$D$7),(AW1366-40000)*10000+1365,"")</f>
        <v/>
      </c>
      <c r="BM1366">
        <f>IF(AND(BH1366=1,AZ1366&lt;&gt;"Cancelled",N(AW1366)&gt;=Dashboard!$AB$3,N(AW1366)&lt;=Dashboard!$AB$3+6),(AW1366-40000)*100000+BF1366*10000+1365,"")</f>
        <v/>
      </c>
      <c r="BN1366">
        <f>IF(AND(BH1366=1,AZ1366&lt;&gt;"Cancelled"),BF1366*10000+1365,"")</f>
        <v/>
      </c>
    </row>
    <row r="1367">
      <c r="AS1367" t="inlineStr">
        <is>
          <t>R</t>
        </is>
      </c>
      <c r="AT1367" t="n">
        <v>1371</v>
      </c>
      <c r="AU1367">
        <f>'Recurring Log'!C1371&amp;""</f>
        <v/>
      </c>
      <c r="AV1367">
        <f>'Recurring Log'!D1371&amp;""</f>
        <v/>
      </c>
      <c r="AW1367">
        <f>IF('Recurring Log'!E1371="","",'Recurring Log'!E1371)</f>
        <v/>
      </c>
      <c r="AX1367">
        <f>IF('Recurring Log'!G1371="","",'Recurring Log'!G1371)</f>
        <v/>
      </c>
      <c r="AY1367">
        <f>IF('Recurring Log'!H1371="","",'Recurring Log'!H1371)</f>
        <v/>
      </c>
      <c r="AZ1367">
        <f>IF(AU1367="","",IF('Recurring Log'!J1371="","Not Started",'Recurring Log'!J1371))</f>
        <v/>
      </c>
      <c r="BA1367">
        <f>'Recurring Log'!L1371&amp;""</f>
        <v/>
      </c>
      <c r="BB1367">
        <f>'Recurring Log'!M1371&amp;""</f>
        <v/>
      </c>
      <c r="BC1367">
        <f>'Recurring Log'!N1371&amp;""</f>
        <v/>
      </c>
      <c r="BD1367">
        <f>'Recurring Log'!O1371&amp;""</f>
        <v/>
      </c>
      <c r="BE1367">
        <f>IF('Recurring Log'!K1371="","",'Recurring Log'!K1371)</f>
        <v/>
      </c>
      <c r="BF1367">
        <f>IFERROR(MATCH(BA1367,Setup!$L$6:$L$9,0),5)</f>
        <v/>
      </c>
      <c r="BG1367">
        <f>IF(OR(AZ1367="Done",AZ1367="Cancelled"),1,0)</f>
        <v/>
      </c>
      <c r="BH1367">
        <f>IF(AND(AU1367&lt;&gt;"",ISNUMBER(AW1367)),1,0)</f>
        <v/>
      </c>
      <c r="BI1367">
        <f>IF(BH1367=0,0,IF(AND(AW1367&gt;='Tasks Filter'!$F$3,AW1367&lt;='Tasks Filter'!$F$4,OR('Tasks Filter'!$I$3="",ISNUMBER(SEARCH('Tasks Filter'!$I$3,AU1367))),OR('Tasks Filter'!$I$4="",BF1367=IFERROR(MATCH('Tasks Filter'!$I$4,Setup!$L$6:$L$9,0),0)),OR('Tasks Filter'!$I$5="Both",AND('Tasks Filter'!$I$5="Yes",BB1367="✓"),AND('Tasks Filter'!$I$5="No",BB1367&lt;&gt;"✓")),OR('Tasks Filter'!$L$3="",AV1367='Tasks Filter'!$L$3),OR('Tasks Filter'!$L$4="",AZ1367='Tasks Filter'!$L$4),OR('Tasks Filter'!$L$5="",BC1367='Tasks Filter'!$L$5),OR('Tasks Filter'!$O$3="",BD1367='Tasks Filter'!$O$3),OR('Tasks Filter'!$O$4="Yes",BG1367=0)),1,0))</f>
        <v/>
      </c>
      <c r="BJ1367">
        <f>IF(BH1367=0,"",IF('Tasks Filter'!$F$6="Descending",-1,1)*CHOOSE(MATCH('Tasks Filter'!$F$5,Lists!$G$2:$G$6,0),AW1367,BF1367,IFERROR(MATCH(AV1367,Setup!$F$6:$F$15,0),99),IFERROR(MATCH(BC1367,Setup!$H$6:$H$15,0),99),IFERROR(MATCH(AZ1367,Setup!$J$6:$J$11,0),99))*1E+9+(AW1367-40000)*10000+1366)</f>
        <v/>
      </c>
      <c r="BK1367">
        <f>IF(BI1367=1,BJ1367,"")</f>
        <v/>
      </c>
      <c r="BL1367">
        <f>IF(AND(BH1367=1,BG1367=0,N(AW1367)&lt;Setup!$D$7),(AW1367-40000)*10000+1366,"")</f>
        <v/>
      </c>
      <c r="BM1367">
        <f>IF(AND(BH1367=1,AZ1367&lt;&gt;"Cancelled",N(AW1367)&gt;=Dashboard!$AB$3,N(AW1367)&lt;=Dashboard!$AB$3+6),(AW1367-40000)*100000+BF1367*10000+1366,"")</f>
        <v/>
      </c>
      <c r="BN1367">
        <f>IF(AND(BH1367=1,AZ1367&lt;&gt;"Cancelled"),BF1367*10000+1366,"")</f>
        <v/>
      </c>
    </row>
    <row r="1368">
      <c r="AS1368" t="inlineStr">
        <is>
          <t>R</t>
        </is>
      </c>
      <c r="AT1368" t="n">
        <v>1372</v>
      </c>
      <c r="AU1368">
        <f>'Recurring Log'!C1372&amp;""</f>
        <v/>
      </c>
      <c r="AV1368">
        <f>'Recurring Log'!D1372&amp;""</f>
        <v/>
      </c>
      <c r="AW1368">
        <f>IF('Recurring Log'!E1372="","",'Recurring Log'!E1372)</f>
        <v/>
      </c>
      <c r="AX1368">
        <f>IF('Recurring Log'!G1372="","",'Recurring Log'!G1372)</f>
        <v/>
      </c>
      <c r="AY1368">
        <f>IF('Recurring Log'!H1372="","",'Recurring Log'!H1372)</f>
        <v/>
      </c>
      <c r="AZ1368">
        <f>IF(AU1368="","",IF('Recurring Log'!J1372="","Not Started",'Recurring Log'!J1372))</f>
        <v/>
      </c>
      <c r="BA1368">
        <f>'Recurring Log'!L1372&amp;""</f>
        <v/>
      </c>
      <c r="BB1368">
        <f>'Recurring Log'!M1372&amp;""</f>
        <v/>
      </c>
      <c r="BC1368">
        <f>'Recurring Log'!N1372&amp;""</f>
        <v/>
      </c>
      <c r="BD1368">
        <f>'Recurring Log'!O1372&amp;""</f>
        <v/>
      </c>
      <c r="BE1368">
        <f>IF('Recurring Log'!K1372="","",'Recurring Log'!K1372)</f>
        <v/>
      </c>
      <c r="BF1368">
        <f>IFERROR(MATCH(BA1368,Setup!$L$6:$L$9,0),5)</f>
        <v/>
      </c>
      <c r="BG1368">
        <f>IF(OR(AZ1368="Done",AZ1368="Cancelled"),1,0)</f>
        <v/>
      </c>
      <c r="BH1368">
        <f>IF(AND(AU1368&lt;&gt;"",ISNUMBER(AW1368)),1,0)</f>
        <v/>
      </c>
      <c r="BI1368">
        <f>IF(BH1368=0,0,IF(AND(AW1368&gt;='Tasks Filter'!$F$3,AW1368&lt;='Tasks Filter'!$F$4,OR('Tasks Filter'!$I$3="",ISNUMBER(SEARCH('Tasks Filter'!$I$3,AU1368))),OR('Tasks Filter'!$I$4="",BF1368=IFERROR(MATCH('Tasks Filter'!$I$4,Setup!$L$6:$L$9,0),0)),OR('Tasks Filter'!$I$5="Both",AND('Tasks Filter'!$I$5="Yes",BB1368="✓"),AND('Tasks Filter'!$I$5="No",BB1368&lt;&gt;"✓")),OR('Tasks Filter'!$L$3="",AV1368='Tasks Filter'!$L$3),OR('Tasks Filter'!$L$4="",AZ1368='Tasks Filter'!$L$4),OR('Tasks Filter'!$L$5="",BC1368='Tasks Filter'!$L$5),OR('Tasks Filter'!$O$3="",BD1368='Tasks Filter'!$O$3),OR('Tasks Filter'!$O$4="Yes",BG1368=0)),1,0))</f>
        <v/>
      </c>
      <c r="BJ1368">
        <f>IF(BH1368=0,"",IF('Tasks Filter'!$F$6="Descending",-1,1)*CHOOSE(MATCH('Tasks Filter'!$F$5,Lists!$G$2:$G$6,0),AW1368,BF1368,IFERROR(MATCH(AV1368,Setup!$F$6:$F$15,0),99),IFERROR(MATCH(BC1368,Setup!$H$6:$H$15,0),99),IFERROR(MATCH(AZ1368,Setup!$J$6:$J$11,0),99))*1E+9+(AW1368-40000)*10000+1367)</f>
        <v/>
      </c>
      <c r="BK1368">
        <f>IF(BI1368=1,BJ1368,"")</f>
        <v/>
      </c>
      <c r="BL1368">
        <f>IF(AND(BH1368=1,BG1368=0,N(AW1368)&lt;Setup!$D$7),(AW1368-40000)*10000+1367,"")</f>
        <v/>
      </c>
      <c r="BM1368">
        <f>IF(AND(BH1368=1,AZ1368&lt;&gt;"Cancelled",N(AW1368)&gt;=Dashboard!$AB$3,N(AW1368)&lt;=Dashboard!$AB$3+6),(AW1368-40000)*100000+BF1368*10000+1367,"")</f>
        <v/>
      </c>
      <c r="BN1368">
        <f>IF(AND(BH1368=1,AZ1368&lt;&gt;"Cancelled"),BF1368*10000+1367,"")</f>
        <v/>
      </c>
    </row>
    <row r="1369">
      <c r="AS1369" t="inlineStr">
        <is>
          <t>R</t>
        </is>
      </c>
      <c r="AT1369" t="n">
        <v>1373</v>
      </c>
      <c r="AU1369">
        <f>'Recurring Log'!C1373&amp;""</f>
        <v/>
      </c>
      <c r="AV1369">
        <f>'Recurring Log'!D1373&amp;""</f>
        <v/>
      </c>
      <c r="AW1369">
        <f>IF('Recurring Log'!E1373="","",'Recurring Log'!E1373)</f>
        <v/>
      </c>
      <c r="AX1369">
        <f>IF('Recurring Log'!G1373="","",'Recurring Log'!G1373)</f>
        <v/>
      </c>
      <c r="AY1369">
        <f>IF('Recurring Log'!H1373="","",'Recurring Log'!H1373)</f>
        <v/>
      </c>
      <c r="AZ1369">
        <f>IF(AU1369="","",IF('Recurring Log'!J1373="","Not Started",'Recurring Log'!J1373))</f>
        <v/>
      </c>
      <c r="BA1369">
        <f>'Recurring Log'!L1373&amp;""</f>
        <v/>
      </c>
      <c r="BB1369">
        <f>'Recurring Log'!M1373&amp;""</f>
        <v/>
      </c>
      <c r="BC1369">
        <f>'Recurring Log'!N1373&amp;""</f>
        <v/>
      </c>
      <c r="BD1369">
        <f>'Recurring Log'!O1373&amp;""</f>
        <v/>
      </c>
      <c r="BE1369">
        <f>IF('Recurring Log'!K1373="","",'Recurring Log'!K1373)</f>
        <v/>
      </c>
      <c r="BF1369">
        <f>IFERROR(MATCH(BA1369,Setup!$L$6:$L$9,0),5)</f>
        <v/>
      </c>
      <c r="BG1369">
        <f>IF(OR(AZ1369="Done",AZ1369="Cancelled"),1,0)</f>
        <v/>
      </c>
      <c r="BH1369">
        <f>IF(AND(AU1369&lt;&gt;"",ISNUMBER(AW1369)),1,0)</f>
        <v/>
      </c>
      <c r="BI1369">
        <f>IF(BH1369=0,0,IF(AND(AW1369&gt;='Tasks Filter'!$F$3,AW1369&lt;='Tasks Filter'!$F$4,OR('Tasks Filter'!$I$3="",ISNUMBER(SEARCH('Tasks Filter'!$I$3,AU1369))),OR('Tasks Filter'!$I$4="",BF1369=IFERROR(MATCH('Tasks Filter'!$I$4,Setup!$L$6:$L$9,0),0)),OR('Tasks Filter'!$I$5="Both",AND('Tasks Filter'!$I$5="Yes",BB1369="✓"),AND('Tasks Filter'!$I$5="No",BB1369&lt;&gt;"✓")),OR('Tasks Filter'!$L$3="",AV1369='Tasks Filter'!$L$3),OR('Tasks Filter'!$L$4="",AZ1369='Tasks Filter'!$L$4),OR('Tasks Filter'!$L$5="",BC1369='Tasks Filter'!$L$5),OR('Tasks Filter'!$O$3="",BD1369='Tasks Filter'!$O$3),OR('Tasks Filter'!$O$4="Yes",BG1369=0)),1,0))</f>
        <v/>
      </c>
      <c r="BJ1369">
        <f>IF(BH1369=0,"",IF('Tasks Filter'!$F$6="Descending",-1,1)*CHOOSE(MATCH('Tasks Filter'!$F$5,Lists!$G$2:$G$6,0),AW1369,BF1369,IFERROR(MATCH(AV1369,Setup!$F$6:$F$15,0),99),IFERROR(MATCH(BC1369,Setup!$H$6:$H$15,0),99),IFERROR(MATCH(AZ1369,Setup!$J$6:$J$11,0),99))*1E+9+(AW1369-40000)*10000+1368)</f>
        <v/>
      </c>
      <c r="BK1369">
        <f>IF(BI1369=1,BJ1369,"")</f>
        <v/>
      </c>
      <c r="BL1369">
        <f>IF(AND(BH1369=1,BG1369=0,N(AW1369)&lt;Setup!$D$7),(AW1369-40000)*10000+1368,"")</f>
        <v/>
      </c>
      <c r="BM1369">
        <f>IF(AND(BH1369=1,AZ1369&lt;&gt;"Cancelled",N(AW1369)&gt;=Dashboard!$AB$3,N(AW1369)&lt;=Dashboard!$AB$3+6),(AW1369-40000)*100000+BF1369*10000+1368,"")</f>
        <v/>
      </c>
      <c r="BN1369">
        <f>IF(AND(BH1369=1,AZ1369&lt;&gt;"Cancelled"),BF1369*10000+1368,"")</f>
        <v/>
      </c>
    </row>
    <row r="1370">
      <c r="AS1370" t="inlineStr">
        <is>
          <t>R</t>
        </is>
      </c>
      <c r="AT1370" t="n">
        <v>1374</v>
      </c>
      <c r="AU1370">
        <f>'Recurring Log'!C1374&amp;""</f>
        <v/>
      </c>
      <c r="AV1370">
        <f>'Recurring Log'!D1374&amp;""</f>
        <v/>
      </c>
      <c r="AW1370">
        <f>IF('Recurring Log'!E1374="","",'Recurring Log'!E1374)</f>
        <v/>
      </c>
      <c r="AX1370">
        <f>IF('Recurring Log'!G1374="","",'Recurring Log'!G1374)</f>
        <v/>
      </c>
      <c r="AY1370">
        <f>IF('Recurring Log'!H1374="","",'Recurring Log'!H1374)</f>
        <v/>
      </c>
      <c r="AZ1370">
        <f>IF(AU1370="","",IF('Recurring Log'!J1374="","Not Started",'Recurring Log'!J1374))</f>
        <v/>
      </c>
      <c r="BA1370">
        <f>'Recurring Log'!L1374&amp;""</f>
        <v/>
      </c>
      <c r="BB1370">
        <f>'Recurring Log'!M1374&amp;""</f>
        <v/>
      </c>
      <c r="BC1370">
        <f>'Recurring Log'!N1374&amp;""</f>
        <v/>
      </c>
      <c r="BD1370">
        <f>'Recurring Log'!O1374&amp;""</f>
        <v/>
      </c>
      <c r="BE1370">
        <f>IF('Recurring Log'!K1374="","",'Recurring Log'!K1374)</f>
        <v/>
      </c>
      <c r="BF1370">
        <f>IFERROR(MATCH(BA1370,Setup!$L$6:$L$9,0),5)</f>
        <v/>
      </c>
      <c r="BG1370">
        <f>IF(OR(AZ1370="Done",AZ1370="Cancelled"),1,0)</f>
        <v/>
      </c>
      <c r="BH1370">
        <f>IF(AND(AU1370&lt;&gt;"",ISNUMBER(AW1370)),1,0)</f>
        <v/>
      </c>
      <c r="BI1370">
        <f>IF(BH1370=0,0,IF(AND(AW1370&gt;='Tasks Filter'!$F$3,AW1370&lt;='Tasks Filter'!$F$4,OR('Tasks Filter'!$I$3="",ISNUMBER(SEARCH('Tasks Filter'!$I$3,AU1370))),OR('Tasks Filter'!$I$4="",BF1370=IFERROR(MATCH('Tasks Filter'!$I$4,Setup!$L$6:$L$9,0),0)),OR('Tasks Filter'!$I$5="Both",AND('Tasks Filter'!$I$5="Yes",BB1370="✓"),AND('Tasks Filter'!$I$5="No",BB1370&lt;&gt;"✓")),OR('Tasks Filter'!$L$3="",AV1370='Tasks Filter'!$L$3),OR('Tasks Filter'!$L$4="",AZ1370='Tasks Filter'!$L$4),OR('Tasks Filter'!$L$5="",BC1370='Tasks Filter'!$L$5),OR('Tasks Filter'!$O$3="",BD1370='Tasks Filter'!$O$3),OR('Tasks Filter'!$O$4="Yes",BG1370=0)),1,0))</f>
        <v/>
      </c>
      <c r="BJ1370">
        <f>IF(BH1370=0,"",IF('Tasks Filter'!$F$6="Descending",-1,1)*CHOOSE(MATCH('Tasks Filter'!$F$5,Lists!$G$2:$G$6,0),AW1370,BF1370,IFERROR(MATCH(AV1370,Setup!$F$6:$F$15,0),99),IFERROR(MATCH(BC1370,Setup!$H$6:$H$15,0),99),IFERROR(MATCH(AZ1370,Setup!$J$6:$J$11,0),99))*1E+9+(AW1370-40000)*10000+1369)</f>
        <v/>
      </c>
      <c r="BK1370">
        <f>IF(BI1370=1,BJ1370,"")</f>
        <v/>
      </c>
      <c r="BL1370">
        <f>IF(AND(BH1370=1,BG1370=0,N(AW1370)&lt;Setup!$D$7),(AW1370-40000)*10000+1369,"")</f>
        <v/>
      </c>
      <c r="BM1370">
        <f>IF(AND(BH1370=1,AZ1370&lt;&gt;"Cancelled",N(AW1370)&gt;=Dashboard!$AB$3,N(AW1370)&lt;=Dashboard!$AB$3+6),(AW1370-40000)*100000+BF1370*10000+1369,"")</f>
        <v/>
      </c>
      <c r="BN1370">
        <f>IF(AND(BH1370=1,AZ1370&lt;&gt;"Cancelled"),BF1370*10000+1369,"")</f>
        <v/>
      </c>
    </row>
    <row r="1371">
      <c r="AS1371" t="inlineStr">
        <is>
          <t>R</t>
        </is>
      </c>
      <c r="AT1371" t="n">
        <v>1375</v>
      </c>
      <c r="AU1371">
        <f>'Recurring Log'!C1375&amp;""</f>
        <v/>
      </c>
      <c r="AV1371">
        <f>'Recurring Log'!D1375&amp;""</f>
        <v/>
      </c>
      <c r="AW1371">
        <f>IF('Recurring Log'!E1375="","",'Recurring Log'!E1375)</f>
        <v/>
      </c>
      <c r="AX1371">
        <f>IF('Recurring Log'!G1375="","",'Recurring Log'!G1375)</f>
        <v/>
      </c>
      <c r="AY1371">
        <f>IF('Recurring Log'!H1375="","",'Recurring Log'!H1375)</f>
        <v/>
      </c>
      <c r="AZ1371">
        <f>IF(AU1371="","",IF('Recurring Log'!J1375="","Not Started",'Recurring Log'!J1375))</f>
        <v/>
      </c>
      <c r="BA1371">
        <f>'Recurring Log'!L1375&amp;""</f>
        <v/>
      </c>
      <c r="BB1371">
        <f>'Recurring Log'!M1375&amp;""</f>
        <v/>
      </c>
      <c r="BC1371">
        <f>'Recurring Log'!N1375&amp;""</f>
        <v/>
      </c>
      <c r="BD1371">
        <f>'Recurring Log'!O1375&amp;""</f>
        <v/>
      </c>
      <c r="BE1371">
        <f>IF('Recurring Log'!K1375="","",'Recurring Log'!K1375)</f>
        <v/>
      </c>
      <c r="BF1371">
        <f>IFERROR(MATCH(BA1371,Setup!$L$6:$L$9,0),5)</f>
        <v/>
      </c>
      <c r="BG1371">
        <f>IF(OR(AZ1371="Done",AZ1371="Cancelled"),1,0)</f>
        <v/>
      </c>
      <c r="BH1371">
        <f>IF(AND(AU1371&lt;&gt;"",ISNUMBER(AW1371)),1,0)</f>
        <v/>
      </c>
      <c r="BI1371">
        <f>IF(BH1371=0,0,IF(AND(AW1371&gt;='Tasks Filter'!$F$3,AW1371&lt;='Tasks Filter'!$F$4,OR('Tasks Filter'!$I$3="",ISNUMBER(SEARCH('Tasks Filter'!$I$3,AU1371))),OR('Tasks Filter'!$I$4="",BF1371=IFERROR(MATCH('Tasks Filter'!$I$4,Setup!$L$6:$L$9,0),0)),OR('Tasks Filter'!$I$5="Both",AND('Tasks Filter'!$I$5="Yes",BB1371="✓"),AND('Tasks Filter'!$I$5="No",BB1371&lt;&gt;"✓")),OR('Tasks Filter'!$L$3="",AV1371='Tasks Filter'!$L$3),OR('Tasks Filter'!$L$4="",AZ1371='Tasks Filter'!$L$4),OR('Tasks Filter'!$L$5="",BC1371='Tasks Filter'!$L$5),OR('Tasks Filter'!$O$3="",BD1371='Tasks Filter'!$O$3),OR('Tasks Filter'!$O$4="Yes",BG1371=0)),1,0))</f>
        <v/>
      </c>
      <c r="BJ1371">
        <f>IF(BH1371=0,"",IF('Tasks Filter'!$F$6="Descending",-1,1)*CHOOSE(MATCH('Tasks Filter'!$F$5,Lists!$G$2:$G$6,0),AW1371,BF1371,IFERROR(MATCH(AV1371,Setup!$F$6:$F$15,0),99),IFERROR(MATCH(BC1371,Setup!$H$6:$H$15,0),99),IFERROR(MATCH(AZ1371,Setup!$J$6:$J$11,0),99))*1E+9+(AW1371-40000)*10000+1370)</f>
        <v/>
      </c>
      <c r="BK1371">
        <f>IF(BI1371=1,BJ1371,"")</f>
        <v/>
      </c>
      <c r="BL1371">
        <f>IF(AND(BH1371=1,BG1371=0,N(AW1371)&lt;Setup!$D$7),(AW1371-40000)*10000+1370,"")</f>
        <v/>
      </c>
      <c r="BM1371">
        <f>IF(AND(BH1371=1,AZ1371&lt;&gt;"Cancelled",N(AW1371)&gt;=Dashboard!$AB$3,N(AW1371)&lt;=Dashboard!$AB$3+6),(AW1371-40000)*100000+BF1371*10000+1370,"")</f>
        <v/>
      </c>
      <c r="BN1371">
        <f>IF(AND(BH1371=1,AZ1371&lt;&gt;"Cancelled"),BF1371*10000+1370,"")</f>
        <v/>
      </c>
    </row>
    <row r="1372">
      <c r="AS1372" t="inlineStr">
        <is>
          <t>R</t>
        </is>
      </c>
      <c r="AT1372" t="n">
        <v>1376</v>
      </c>
      <c r="AU1372">
        <f>'Recurring Log'!C1376&amp;""</f>
        <v/>
      </c>
      <c r="AV1372">
        <f>'Recurring Log'!D1376&amp;""</f>
        <v/>
      </c>
      <c r="AW1372">
        <f>IF('Recurring Log'!E1376="","",'Recurring Log'!E1376)</f>
        <v/>
      </c>
      <c r="AX1372">
        <f>IF('Recurring Log'!G1376="","",'Recurring Log'!G1376)</f>
        <v/>
      </c>
      <c r="AY1372">
        <f>IF('Recurring Log'!H1376="","",'Recurring Log'!H1376)</f>
        <v/>
      </c>
      <c r="AZ1372">
        <f>IF(AU1372="","",IF('Recurring Log'!J1376="","Not Started",'Recurring Log'!J1376))</f>
        <v/>
      </c>
      <c r="BA1372">
        <f>'Recurring Log'!L1376&amp;""</f>
        <v/>
      </c>
      <c r="BB1372">
        <f>'Recurring Log'!M1376&amp;""</f>
        <v/>
      </c>
      <c r="BC1372">
        <f>'Recurring Log'!N1376&amp;""</f>
        <v/>
      </c>
      <c r="BD1372">
        <f>'Recurring Log'!O1376&amp;""</f>
        <v/>
      </c>
      <c r="BE1372">
        <f>IF('Recurring Log'!K1376="","",'Recurring Log'!K1376)</f>
        <v/>
      </c>
      <c r="BF1372">
        <f>IFERROR(MATCH(BA1372,Setup!$L$6:$L$9,0),5)</f>
        <v/>
      </c>
      <c r="BG1372">
        <f>IF(OR(AZ1372="Done",AZ1372="Cancelled"),1,0)</f>
        <v/>
      </c>
      <c r="BH1372">
        <f>IF(AND(AU1372&lt;&gt;"",ISNUMBER(AW1372)),1,0)</f>
        <v/>
      </c>
      <c r="BI1372">
        <f>IF(BH1372=0,0,IF(AND(AW1372&gt;='Tasks Filter'!$F$3,AW1372&lt;='Tasks Filter'!$F$4,OR('Tasks Filter'!$I$3="",ISNUMBER(SEARCH('Tasks Filter'!$I$3,AU1372))),OR('Tasks Filter'!$I$4="",BF1372=IFERROR(MATCH('Tasks Filter'!$I$4,Setup!$L$6:$L$9,0),0)),OR('Tasks Filter'!$I$5="Both",AND('Tasks Filter'!$I$5="Yes",BB1372="✓"),AND('Tasks Filter'!$I$5="No",BB1372&lt;&gt;"✓")),OR('Tasks Filter'!$L$3="",AV1372='Tasks Filter'!$L$3),OR('Tasks Filter'!$L$4="",AZ1372='Tasks Filter'!$L$4),OR('Tasks Filter'!$L$5="",BC1372='Tasks Filter'!$L$5),OR('Tasks Filter'!$O$3="",BD1372='Tasks Filter'!$O$3),OR('Tasks Filter'!$O$4="Yes",BG1372=0)),1,0))</f>
        <v/>
      </c>
      <c r="BJ1372">
        <f>IF(BH1372=0,"",IF('Tasks Filter'!$F$6="Descending",-1,1)*CHOOSE(MATCH('Tasks Filter'!$F$5,Lists!$G$2:$G$6,0),AW1372,BF1372,IFERROR(MATCH(AV1372,Setup!$F$6:$F$15,0),99),IFERROR(MATCH(BC1372,Setup!$H$6:$H$15,0),99),IFERROR(MATCH(AZ1372,Setup!$J$6:$J$11,0),99))*1E+9+(AW1372-40000)*10000+1371)</f>
        <v/>
      </c>
      <c r="BK1372">
        <f>IF(BI1372=1,BJ1372,"")</f>
        <v/>
      </c>
      <c r="BL1372">
        <f>IF(AND(BH1372=1,BG1372=0,N(AW1372)&lt;Setup!$D$7),(AW1372-40000)*10000+1371,"")</f>
        <v/>
      </c>
      <c r="BM1372">
        <f>IF(AND(BH1372=1,AZ1372&lt;&gt;"Cancelled",N(AW1372)&gt;=Dashboard!$AB$3,N(AW1372)&lt;=Dashboard!$AB$3+6),(AW1372-40000)*100000+BF1372*10000+1371,"")</f>
        <v/>
      </c>
      <c r="BN1372">
        <f>IF(AND(BH1372=1,AZ1372&lt;&gt;"Cancelled"),BF1372*10000+1371,"")</f>
        <v/>
      </c>
    </row>
    <row r="1373">
      <c r="AS1373" t="inlineStr">
        <is>
          <t>R</t>
        </is>
      </c>
      <c r="AT1373" t="n">
        <v>1377</v>
      </c>
      <c r="AU1373">
        <f>'Recurring Log'!C1377&amp;""</f>
        <v/>
      </c>
      <c r="AV1373">
        <f>'Recurring Log'!D1377&amp;""</f>
        <v/>
      </c>
      <c r="AW1373">
        <f>IF('Recurring Log'!E1377="","",'Recurring Log'!E1377)</f>
        <v/>
      </c>
      <c r="AX1373">
        <f>IF('Recurring Log'!G1377="","",'Recurring Log'!G1377)</f>
        <v/>
      </c>
      <c r="AY1373">
        <f>IF('Recurring Log'!H1377="","",'Recurring Log'!H1377)</f>
        <v/>
      </c>
      <c r="AZ1373">
        <f>IF(AU1373="","",IF('Recurring Log'!J1377="","Not Started",'Recurring Log'!J1377))</f>
        <v/>
      </c>
      <c r="BA1373">
        <f>'Recurring Log'!L1377&amp;""</f>
        <v/>
      </c>
      <c r="BB1373">
        <f>'Recurring Log'!M1377&amp;""</f>
        <v/>
      </c>
      <c r="BC1373">
        <f>'Recurring Log'!N1377&amp;""</f>
        <v/>
      </c>
      <c r="BD1373">
        <f>'Recurring Log'!O1377&amp;""</f>
        <v/>
      </c>
      <c r="BE1373">
        <f>IF('Recurring Log'!K1377="","",'Recurring Log'!K1377)</f>
        <v/>
      </c>
      <c r="BF1373">
        <f>IFERROR(MATCH(BA1373,Setup!$L$6:$L$9,0),5)</f>
        <v/>
      </c>
      <c r="BG1373">
        <f>IF(OR(AZ1373="Done",AZ1373="Cancelled"),1,0)</f>
        <v/>
      </c>
      <c r="BH1373">
        <f>IF(AND(AU1373&lt;&gt;"",ISNUMBER(AW1373)),1,0)</f>
        <v/>
      </c>
      <c r="BI1373">
        <f>IF(BH1373=0,0,IF(AND(AW1373&gt;='Tasks Filter'!$F$3,AW1373&lt;='Tasks Filter'!$F$4,OR('Tasks Filter'!$I$3="",ISNUMBER(SEARCH('Tasks Filter'!$I$3,AU1373))),OR('Tasks Filter'!$I$4="",BF1373=IFERROR(MATCH('Tasks Filter'!$I$4,Setup!$L$6:$L$9,0),0)),OR('Tasks Filter'!$I$5="Both",AND('Tasks Filter'!$I$5="Yes",BB1373="✓"),AND('Tasks Filter'!$I$5="No",BB1373&lt;&gt;"✓")),OR('Tasks Filter'!$L$3="",AV1373='Tasks Filter'!$L$3),OR('Tasks Filter'!$L$4="",AZ1373='Tasks Filter'!$L$4),OR('Tasks Filter'!$L$5="",BC1373='Tasks Filter'!$L$5),OR('Tasks Filter'!$O$3="",BD1373='Tasks Filter'!$O$3),OR('Tasks Filter'!$O$4="Yes",BG1373=0)),1,0))</f>
        <v/>
      </c>
      <c r="BJ1373">
        <f>IF(BH1373=0,"",IF('Tasks Filter'!$F$6="Descending",-1,1)*CHOOSE(MATCH('Tasks Filter'!$F$5,Lists!$G$2:$G$6,0),AW1373,BF1373,IFERROR(MATCH(AV1373,Setup!$F$6:$F$15,0),99),IFERROR(MATCH(BC1373,Setup!$H$6:$H$15,0),99),IFERROR(MATCH(AZ1373,Setup!$J$6:$J$11,0),99))*1E+9+(AW1373-40000)*10000+1372)</f>
        <v/>
      </c>
      <c r="BK1373">
        <f>IF(BI1373=1,BJ1373,"")</f>
        <v/>
      </c>
      <c r="BL1373">
        <f>IF(AND(BH1373=1,BG1373=0,N(AW1373)&lt;Setup!$D$7),(AW1373-40000)*10000+1372,"")</f>
        <v/>
      </c>
      <c r="BM1373">
        <f>IF(AND(BH1373=1,AZ1373&lt;&gt;"Cancelled",N(AW1373)&gt;=Dashboard!$AB$3,N(AW1373)&lt;=Dashboard!$AB$3+6),(AW1373-40000)*100000+BF1373*10000+1372,"")</f>
        <v/>
      </c>
      <c r="BN1373">
        <f>IF(AND(BH1373=1,AZ1373&lt;&gt;"Cancelled"),BF1373*10000+1372,"")</f>
        <v/>
      </c>
    </row>
    <row r="1374">
      <c r="AS1374" t="inlineStr">
        <is>
          <t>R</t>
        </is>
      </c>
      <c r="AT1374" t="n">
        <v>1378</v>
      </c>
      <c r="AU1374">
        <f>'Recurring Log'!C1378&amp;""</f>
        <v/>
      </c>
      <c r="AV1374">
        <f>'Recurring Log'!D1378&amp;""</f>
        <v/>
      </c>
      <c r="AW1374">
        <f>IF('Recurring Log'!E1378="","",'Recurring Log'!E1378)</f>
        <v/>
      </c>
      <c r="AX1374">
        <f>IF('Recurring Log'!G1378="","",'Recurring Log'!G1378)</f>
        <v/>
      </c>
      <c r="AY1374">
        <f>IF('Recurring Log'!H1378="","",'Recurring Log'!H1378)</f>
        <v/>
      </c>
      <c r="AZ1374">
        <f>IF(AU1374="","",IF('Recurring Log'!J1378="","Not Started",'Recurring Log'!J1378))</f>
        <v/>
      </c>
      <c r="BA1374">
        <f>'Recurring Log'!L1378&amp;""</f>
        <v/>
      </c>
      <c r="BB1374">
        <f>'Recurring Log'!M1378&amp;""</f>
        <v/>
      </c>
      <c r="BC1374">
        <f>'Recurring Log'!N1378&amp;""</f>
        <v/>
      </c>
      <c r="BD1374">
        <f>'Recurring Log'!O1378&amp;""</f>
        <v/>
      </c>
      <c r="BE1374">
        <f>IF('Recurring Log'!K1378="","",'Recurring Log'!K1378)</f>
        <v/>
      </c>
      <c r="BF1374">
        <f>IFERROR(MATCH(BA1374,Setup!$L$6:$L$9,0),5)</f>
        <v/>
      </c>
      <c r="BG1374">
        <f>IF(OR(AZ1374="Done",AZ1374="Cancelled"),1,0)</f>
        <v/>
      </c>
      <c r="BH1374">
        <f>IF(AND(AU1374&lt;&gt;"",ISNUMBER(AW1374)),1,0)</f>
        <v/>
      </c>
      <c r="BI1374">
        <f>IF(BH1374=0,0,IF(AND(AW1374&gt;='Tasks Filter'!$F$3,AW1374&lt;='Tasks Filter'!$F$4,OR('Tasks Filter'!$I$3="",ISNUMBER(SEARCH('Tasks Filter'!$I$3,AU1374))),OR('Tasks Filter'!$I$4="",BF1374=IFERROR(MATCH('Tasks Filter'!$I$4,Setup!$L$6:$L$9,0),0)),OR('Tasks Filter'!$I$5="Both",AND('Tasks Filter'!$I$5="Yes",BB1374="✓"),AND('Tasks Filter'!$I$5="No",BB1374&lt;&gt;"✓")),OR('Tasks Filter'!$L$3="",AV1374='Tasks Filter'!$L$3),OR('Tasks Filter'!$L$4="",AZ1374='Tasks Filter'!$L$4),OR('Tasks Filter'!$L$5="",BC1374='Tasks Filter'!$L$5),OR('Tasks Filter'!$O$3="",BD1374='Tasks Filter'!$O$3),OR('Tasks Filter'!$O$4="Yes",BG1374=0)),1,0))</f>
        <v/>
      </c>
      <c r="BJ1374">
        <f>IF(BH1374=0,"",IF('Tasks Filter'!$F$6="Descending",-1,1)*CHOOSE(MATCH('Tasks Filter'!$F$5,Lists!$G$2:$G$6,0),AW1374,BF1374,IFERROR(MATCH(AV1374,Setup!$F$6:$F$15,0),99),IFERROR(MATCH(BC1374,Setup!$H$6:$H$15,0),99),IFERROR(MATCH(AZ1374,Setup!$J$6:$J$11,0),99))*1E+9+(AW1374-40000)*10000+1373)</f>
        <v/>
      </c>
      <c r="BK1374">
        <f>IF(BI1374=1,BJ1374,"")</f>
        <v/>
      </c>
      <c r="BL1374">
        <f>IF(AND(BH1374=1,BG1374=0,N(AW1374)&lt;Setup!$D$7),(AW1374-40000)*10000+1373,"")</f>
        <v/>
      </c>
      <c r="BM1374">
        <f>IF(AND(BH1374=1,AZ1374&lt;&gt;"Cancelled",N(AW1374)&gt;=Dashboard!$AB$3,N(AW1374)&lt;=Dashboard!$AB$3+6),(AW1374-40000)*100000+BF1374*10000+1373,"")</f>
        <v/>
      </c>
      <c r="BN1374">
        <f>IF(AND(BH1374=1,AZ1374&lt;&gt;"Cancelled"),BF1374*10000+1373,"")</f>
        <v/>
      </c>
    </row>
    <row r="1375">
      <c r="AS1375" t="inlineStr">
        <is>
          <t>R</t>
        </is>
      </c>
      <c r="AT1375" t="n">
        <v>1379</v>
      </c>
      <c r="AU1375">
        <f>'Recurring Log'!C1379&amp;""</f>
        <v/>
      </c>
      <c r="AV1375">
        <f>'Recurring Log'!D1379&amp;""</f>
        <v/>
      </c>
      <c r="AW1375">
        <f>IF('Recurring Log'!E1379="","",'Recurring Log'!E1379)</f>
        <v/>
      </c>
      <c r="AX1375">
        <f>IF('Recurring Log'!G1379="","",'Recurring Log'!G1379)</f>
        <v/>
      </c>
      <c r="AY1375">
        <f>IF('Recurring Log'!H1379="","",'Recurring Log'!H1379)</f>
        <v/>
      </c>
      <c r="AZ1375">
        <f>IF(AU1375="","",IF('Recurring Log'!J1379="","Not Started",'Recurring Log'!J1379))</f>
        <v/>
      </c>
      <c r="BA1375">
        <f>'Recurring Log'!L1379&amp;""</f>
        <v/>
      </c>
      <c r="BB1375">
        <f>'Recurring Log'!M1379&amp;""</f>
        <v/>
      </c>
      <c r="BC1375">
        <f>'Recurring Log'!N1379&amp;""</f>
        <v/>
      </c>
      <c r="BD1375">
        <f>'Recurring Log'!O1379&amp;""</f>
        <v/>
      </c>
      <c r="BE1375">
        <f>IF('Recurring Log'!K1379="","",'Recurring Log'!K1379)</f>
        <v/>
      </c>
      <c r="BF1375">
        <f>IFERROR(MATCH(BA1375,Setup!$L$6:$L$9,0),5)</f>
        <v/>
      </c>
      <c r="BG1375">
        <f>IF(OR(AZ1375="Done",AZ1375="Cancelled"),1,0)</f>
        <v/>
      </c>
      <c r="BH1375">
        <f>IF(AND(AU1375&lt;&gt;"",ISNUMBER(AW1375)),1,0)</f>
        <v/>
      </c>
      <c r="BI1375">
        <f>IF(BH1375=0,0,IF(AND(AW1375&gt;='Tasks Filter'!$F$3,AW1375&lt;='Tasks Filter'!$F$4,OR('Tasks Filter'!$I$3="",ISNUMBER(SEARCH('Tasks Filter'!$I$3,AU1375))),OR('Tasks Filter'!$I$4="",BF1375=IFERROR(MATCH('Tasks Filter'!$I$4,Setup!$L$6:$L$9,0),0)),OR('Tasks Filter'!$I$5="Both",AND('Tasks Filter'!$I$5="Yes",BB1375="✓"),AND('Tasks Filter'!$I$5="No",BB1375&lt;&gt;"✓")),OR('Tasks Filter'!$L$3="",AV1375='Tasks Filter'!$L$3),OR('Tasks Filter'!$L$4="",AZ1375='Tasks Filter'!$L$4),OR('Tasks Filter'!$L$5="",BC1375='Tasks Filter'!$L$5),OR('Tasks Filter'!$O$3="",BD1375='Tasks Filter'!$O$3),OR('Tasks Filter'!$O$4="Yes",BG1375=0)),1,0))</f>
        <v/>
      </c>
      <c r="BJ1375">
        <f>IF(BH1375=0,"",IF('Tasks Filter'!$F$6="Descending",-1,1)*CHOOSE(MATCH('Tasks Filter'!$F$5,Lists!$G$2:$G$6,0),AW1375,BF1375,IFERROR(MATCH(AV1375,Setup!$F$6:$F$15,0),99),IFERROR(MATCH(BC1375,Setup!$H$6:$H$15,0),99),IFERROR(MATCH(AZ1375,Setup!$J$6:$J$11,0),99))*1E+9+(AW1375-40000)*10000+1374)</f>
        <v/>
      </c>
      <c r="BK1375">
        <f>IF(BI1375=1,BJ1375,"")</f>
        <v/>
      </c>
      <c r="BL1375">
        <f>IF(AND(BH1375=1,BG1375=0,N(AW1375)&lt;Setup!$D$7),(AW1375-40000)*10000+1374,"")</f>
        <v/>
      </c>
      <c r="BM1375">
        <f>IF(AND(BH1375=1,AZ1375&lt;&gt;"Cancelled",N(AW1375)&gt;=Dashboard!$AB$3,N(AW1375)&lt;=Dashboard!$AB$3+6),(AW1375-40000)*100000+BF1375*10000+1374,"")</f>
        <v/>
      </c>
      <c r="BN1375">
        <f>IF(AND(BH1375=1,AZ1375&lt;&gt;"Cancelled"),BF1375*10000+1374,"")</f>
        <v/>
      </c>
    </row>
    <row r="1376">
      <c r="AS1376" t="inlineStr">
        <is>
          <t>R</t>
        </is>
      </c>
      <c r="AT1376" t="n">
        <v>1380</v>
      </c>
      <c r="AU1376">
        <f>'Recurring Log'!C1380&amp;""</f>
        <v/>
      </c>
      <c r="AV1376">
        <f>'Recurring Log'!D1380&amp;""</f>
        <v/>
      </c>
      <c r="AW1376">
        <f>IF('Recurring Log'!E1380="","",'Recurring Log'!E1380)</f>
        <v/>
      </c>
      <c r="AX1376">
        <f>IF('Recurring Log'!G1380="","",'Recurring Log'!G1380)</f>
        <v/>
      </c>
      <c r="AY1376">
        <f>IF('Recurring Log'!H1380="","",'Recurring Log'!H1380)</f>
        <v/>
      </c>
      <c r="AZ1376">
        <f>IF(AU1376="","",IF('Recurring Log'!J1380="","Not Started",'Recurring Log'!J1380))</f>
        <v/>
      </c>
      <c r="BA1376">
        <f>'Recurring Log'!L1380&amp;""</f>
        <v/>
      </c>
      <c r="BB1376">
        <f>'Recurring Log'!M1380&amp;""</f>
        <v/>
      </c>
      <c r="BC1376">
        <f>'Recurring Log'!N1380&amp;""</f>
        <v/>
      </c>
      <c r="BD1376">
        <f>'Recurring Log'!O1380&amp;""</f>
        <v/>
      </c>
      <c r="BE1376">
        <f>IF('Recurring Log'!K1380="","",'Recurring Log'!K1380)</f>
        <v/>
      </c>
      <c r="BF1376">
        <f>IFERROR(MATCH(BA1376,Setup!$L$6:$L$9,0),5)</f>
        <v/>
      </c>
      <c r="BG1376">
        <f>IF(OR(AZ1376="Done",AZ1376="Cancelled"),1,0)</f>
        <v/>
      </c>
      <c r="BH1376">
        <f>IF(AND(AU1376&lt;&gt;"",ISNUMBER(AW1376)),1,0)</f>
        <v/>
      </c>
      <c r="BI1376">
        <f>IF(BH1376=0,0,IF(AND(AW1376&gt;='Tasks Filter'!$F$3,AW1376&lt;='Tasks Filter'!$F$4,OR('Tasks Filter'!$I$3="",ISNUMBER(SEARCH('Tasks Filter'!$I$3,AU1376))),OR('Tasks Filter'!$I$4="",BF1376=IFERROR(MATCH('Tasks Filter'!$I$4,Setup!$L$6:$L$9,0),0)),OR('Tasks Filter'!$I$5="Both",AND('Tasks Filter'!$I$5="Yes",BB1376="✓"),AND('Tasks Filter'!$I$5="No",BB1376&lt;&gt;"✓")),OR('Tasks Filter'!$L$3="",AV1376='Tasks Filter'!$L$3),OR('Tasks Filter'!$L$4="",AZ1376='Tasks Filter'!$L$4),OR('Tasks Filter'!$L$5="",BC1376='Tasks Filter'!$L$5),OR('Tasks Filter'!$O$3="",BD1376='Tasks Filter'!$O$3),OR('Tasks Filter'!$O$4="Yes",BG1376=0)),1,0))</f>
        <v/>
      </c>
      <c r="BJ1376">
        <f>IF(BH1376=0,"",IF('Tasks Filter'!$F$6="Descending",-1,1)*CHOOSE(MATCH('Tasks Filter'!$F$5,Lists!$G$2:$G$6,0),AW1376,BF1376,IFERROR(MATCH(AV1376,Setup!$F$6:$F$15,0),99),IFERROR(MATCH(BC1376,Setup!$H$6:$H$15,0),99),IFERROR(MATCH(AZ1376,Setup!$J$6:$J$11,0),99))*1E+9+(AW1376-40000)*10000+1375)</f>
        <v/>
      </c>
      <c r="BK1376">
        <f>IF(BI1376=1,BJ1376,"")</f>
        <v/>
      </c>
      <c r="BL1376">
        <f>IF(AND(BH1376=1,BG1376=0,N(AW1376)&lt;Setup!$D$7),(AW1376-40000)*10000+1375,"")</f>
        <v/>
      </c>
      <c r="BM1376">
        <f>IF(AND(BH1376=1,AZ1376&lt;&gt;"Cancelled",N(AW1376)&gt;=Dashboard!$AB$3,N(AW1376)&lt;=Dashboard!$AB$3+6),(AW1376-40000)*100000+BF1376*10000+1375,"")</f>
        <v/>
      </c>
      <c r="BN1376">
        <f>IF(AND(BH1376=1,AZ1376&lt;&gt;"Cancelled"),BF1376*10000+1375,"")</f>
        <v/>
      </c>
    </row>
    <row r="1377">
      <c r="AS1377" t="inlineStr">
        <is>
          <t>R</t>
        </is>
      </c>
      <c r="AT1377" t="n">
        <v>1381</v>
      </c>
      <c r="AU1377">
        <f>'Recurring Log'!C1381&amp;""</f>
        <v/>
      </c>
      <c r="AV1377">
        <f>'Recurring Log'!D1381&amp;""</f>
        <v/>
      </c>
      <c r="AW1377">
        <f>IF('Recurring Log'!E1381="","",'Recurring Log'!E1381)</f>
        <v/>
      </c>
      <c r="AX1377">
        <f>IF('Recurring Log'!G1381="","",'Recurring Log'!G1381)</f>
        <v/>
      </c>
      <c r="AY1377">
        <f>IF('Recurring Log'!H1381="","",'Recurring Log'!H1381)</f>
        <v/>
      </c>
      <c r="AZ1377">
        <f>IF(AU1377="","",IF('Recurring Log'!J1381="","Not Started",'Recurring Log'!J1381))</f>
        <v/>
      </c>
      <c r="BA1377">
        <f>'Recurring Log'!L1381&amp;""</f>
        <v/>
      </c>
      <c r="BB1377">
        <f>'Recurring Log'!M1381&amp;""</f>
        <v/>
      </c>
      <c r="BC1377">
        <f>'Recurring Log'!N1381&amp;""</f>
        <v/>
      </c>
      <c r="BD1377">
        <f>'Recurring Log'!O1381&amp;""</f>
        <v/>
      </c>
      <c r="BE1377">
        <f>IF('Recurring Log'!K1381="","",'Recurring Log'!K1381)</f>
        <v/>
      </c>
      <c r="BF1377">
        <f>IFERROR(MATCH(BA1377,Setup!$L$6:$L$9,0),5)</f>
        <v/>
      </c>
      <c r="BG1377">
        <f>IF(OR(AZ1377="Done",AZ1377="Cancelled"),1,0)</f>
        <v/>
      </c>
      <c r="BH1377">
        <f>IF(AND(AU1377&lt;&gt;"",ISNUMBER(AW1377)),1,0)</f>
        <v/>
      </c>
      <c r="BI1377">
        <f>IF(BH1377=0,0,IF(AND(AW1377&gt;='Tasks Filter'!$F$3,AW1377&lt;='Tasks Filter'!$F$4,OR('Tasks Filter'!$I$3="",ISNUMBER(SEARCH('Tasks Filter'!$I$3,AU1377))),OR('Tasks Filter'!$I$4="",BF1377=IFERROR(MATCH('Tasks Filter'!$I$4,Setup!$L$6:$L$9,0),0)),OR('Tasks Filter'!$I$5="Both",AND('Tasks Filter'!$I$5="Yes",BB1377="✓"),AND('Tasks Filter'!$I$5="No",BB1377&lt;&gt;"✓")),OR('Tasks Filter'!$L$3="",AV1377='Tasks Filter'!$L$3),OR('Tasks Filter'!$L$4="",AZ1377='Tasks Filter'!$L$4),OR('Tasks Filter'!$L$5="",BC1377='Tasks Filter'!$L$5),OR('Tasks Filter'!$O$3="",BD1377='Tasks Filter'!$O$3),OR('Tasks Filter'!$O$4="Yes",BG1377=0)),1,0))</f>
        <v/>
      </c>
      <c r="BJ1377">
        <f>IF(BH1377=0,"",IF('Tasks Filter'!$F$6="Descending",-1,1)*CHOOSE(MATCH('Tasks Filter'!$F$5,Lists!$G$2:$G$6,0),AW1377,BF1377,IFERROR(MATCH(AV1377,Setup!$F$6:$F$15,0),99),IFERROR(MATCH(BC1377,Setup!$H$6:$H$15,0),99),IFERROR(MATCH(AZ1377,Setup!$J$6:$J$11,0),99))*1E+9+(AW1377-40000)*10000+1376)</f>
        <v/>
      </c>
      <c r="BK1377">
        <f>IF(BI1377=1,BJ1377,"")</f>
        <v/>
      </c>
      <c r="BL1377">
        <f>IF(AND(BH1377=1,BG1377=0,N(AW1377)&lt;Setup!$D$7),(AW1377-40000)*10000+1376,"")</f>
        <v/>
      </c>
      <c r="BM1377">
        <f>IF(AND(BH1377=1,AZ1377&lt;&gt;"Cancelled",N(AW1377)&gt;=Dashboard!$AB$3,N(AW1377)&lt;=Dashboard!$AB$3+6),(AW1377-40000)*100000+BF1377*10000+1376,"")</f>
        <v/>
      </c>
      <c r="BN1377">
        <f>IF(AND(BH1377=1,AZ1377&lt;&gt;"Cancelled"),BF1377*10000+1376,"")</f>
        <v/>
      </c>
    </row>
    <row r="1378">
      <c r="AS1378" t="inlineStr">
        <is>
          <t>R</t>
        </is>
      </c>
      <c r="AT1378" t="n">
        <v>1382</v>
      </c>
      <c r="AU1378">
        <f>'Recurring Log'!C1382&amp;""</f>
        <v/>
      </c>
      <c r="AV1378">
        <f>'Recurring Log'!D1382&amp;""</f>
        <v/>
      </c>
      <c r="AW1378">
        <f>IF('Recurring Log'!E1382="","",'Recurring Log'!E1382)</f>
        <v/>
      </c>
      <c r="AX1378">
        <f>IF('Recurring Log'!G1382="","",'Recurring Log'!G1382)</f>
        <v/>
      </c>
      <c r="AY1378">
        <f>IF('Recurring Log'!H1382="","",'Recurring Log'!H1382)</f>
        <v/>
      </c>
      <c r="AZ1378">
        <f>IF(AU1378="","",IF('Recurring Log'!J1382="","Not Started",'Recurring Log'!J1382))</f>
        <v/>
      </c>
      <c r="BA1378">
        <f>'Recurring Log'!L1382&amp;""</f>
        <v/>
      </c>
      <c r="BB1378">
        <f>'Recurring Log'!M1382&amp;""</f>
        <v/>
      </c>
      <c r="BC1378">
        <f>'Recurring Log'!N1382&amp;""</f>
        <v/>
      </c>
      <c r="BD1378">
        <f>'Recurring Log'!O1382&amp;""</f>
        <v/>
      </c>
      <c r="BE1378">
        <f>IF('Recurring Log'!K1382="","",'Recurring Log'!K1382)</f>
        <v/>
      </c>
      <c r="BF1378">
        <f>IFERROR(MATCH(BA1378,Setup!$L$6:$L$9,0),5)</f>
        <v/>
      </c>
      <c r="BG1378">
        <f>IF(OR(AZ1378="Done",AZ1378="Cancelled"),1,0)</f>
        <v/>
      </c>
      <c r="BH1378">
        <f>IF(AND(AU1378&lt;&gt;"",ISNUMBER(AW1378)),1,0)</f>
        <v/>
      </c>
      <c r="BI1378">
        <f>IF(BH1378=0,0,IF(AND(AW1378&gt;='Tasks Filter'!$F$3,AW1378&lt;='Tasks Filter'!$F$4,OR('Tasks Filter'!$I$3="",ISNUMBER(SEARCH('Tasks Filter'!$I$3,AU1378))),OR('Tasks Filter'!$I$4="",BF1378=IFERROR(MATCH('Tasks Filter'!$I$4,Setup!$L$6:$L$9,0),0)),OR('Tasks Filter'!$I$5="Both",AND('Tasks Filter'!$I$5="Yes",BB1378="✓"),AND('Tasks Filter'!$I$5="No",BB1378&lt;&gt;"✓")),OR('Tasks Filter'!$L$3="",AV1378='Tasks Filter'!$L$3),OR('Tasks Filter'!$L$4="",AZ1378='Tasks Filter'!$L$4),OR('Tasks Filter'!$L$5="",BC1378='Tasks Filter'!$L$5),OR('Tasks Filter'!$O$3="",BD1378='Tasks Filter'!$O$3),OR('Tasks Filter'!$O$4="Yes",BG1378=0)),1,0))</f>
        <v/>
      </c>
      <c r="BJ1378">
        <f>IF(BH1378=0,"",IF('Tasks Filter'!$F$6="Descending",-1,1)*CHOOSE(MATCH('Tasks Filter'!$F$5,Lists!$G$2:$G$6,0),AW1378,BF1378,IFERROR(MATCH(AV1378,Setup!$F$6:$F$15,0),99),IFERROR(MATCH(BC1378,Setup!$H$6:$H$15,0),99),IFERROR(MATCH(AZ1378,Setup!$J$6:$J$11,0),99))*1E+9+(AW1378-40000)*10000+1377)</f>
        <v/>
      </c>
      <c r="BK1378">
        <f>IF(BI1378=1,BJ1378,"")</f>
        <v/>
      </c>
      <c r="BL1378">
        <f>IF(AND(BH1378=1,BG1378=0,N(AW1378)&lt;Setup!$D$7),(AW1378-40000)*10000+1377,"")</f>
        <v/>
      </c>
      <c r="BM1378">
        <f>IF(AND(BH1378=1,AZ1378&lt;&gt;"Cancelled",N(AW1378)&gt;=Dashboard!$AB$3,N(AW1378)&lt;=Dashboard!$AB$3+6),(AW1378-40000)*100000+BF1378*10000+1377,"")</f>
        <v/>
      </c>
      <c r="BN1378">
        <f>IF(AND(BH1378=1,AZ1378&lt;&gt;"Cancelled"),BF1378*10000+1377,"")</f>
        <v/>
      </c>
    </row>
    <row r="1379">
      <c r="AS1379" t="inlineStr">
        <is>
          <t>R</t>
        </is>
      </c>
      <c r="AT1379" t="n">
        <v>1383</v>
      </c>
      <c r="AU1379">
        <f>'Recurring Log'!C1383&amp;""</f>
        <v/>
      </c>
      <c r="AV1379">
        <f>'Recurring Log'!D1383&amp;""</f>
        <v/>
      </c>
      <c r="AW1379">
        <f>IF('Recurring Log'!E1383="","",'Recurring Log'!E1383)</f>
        <v/>
      </c>
      <c r="AX1379">
        <f>IF('Recurring Log'!G1383="","",'Recurring Log'!G1383)</f>
        <v/>
      </c>
      <c r="AY1379">
        <f>IF('Recurring Log'!H1383="","",'Recurring Log'!H1383)</f>
        <v/>
      </c>
      <c r="AZ1379">
        <f>IF(AU1379="","",IF('Recurring Log'!J1383="","Not Started",'Recurring Log'!J1383))</f>
        <v/>
      </c>
      <c r="BA1379">
        <f>'Recurring Log'!L1383&amp;""</f>
        <v/>
      </c>
      <c r="BB1379">
        <f>'Recurring Log'!M1383&amp;""</f>
        <v/>
      </c>
      <c r="BC1379">
        <f>'Recurring Log'!N1383&amp;""</f>
        <v/>
      </c>
      <c r="BD1379">
        <f>'Recurring Log'!O1383&amp;""</f>
        <v/>
      </c>
      <c r="BE1379">
        <f>IF('Recurring Log'!K1383="","",'Recurring Log'!K1383)</f>
        <v/>
      </c>
      <c r="BF1379">
        <f>IFERROR(MATCH(BA1379,Setup!$L$6:$L$9,0),5)</f>
        <v/>
      </c>
      <c r="BG1379">
        <f>IF(OR(AZ1379="Done",AZ1379="Cancelled"),1,0)</f>
        <v/>
      </c>
      <c r="BH1379">
        <f>IF(AND(AU1379&lt;&gt;"",ISNUMBER(AW1379)),1,0)</f>
        <v/>
      </c>
      <c r="BI1379">
        <f>IF(BH1379=0,0,IF(AND(AW1379&gt;='Tasks Filter'!$F$3,AW1379&lt;='Tasks Filter'!$F$4,OR('Tasks Filter'!$I$3="",ISNUMBER(SEARCH('Tasks Filter'!$I$3,AU1379))),OR('Tasks Filter'!$I$4="",BF1379=IFERROR(MATCH('Tasks Filter'!$I$4,Setup!$L$6:$L$9,0),0)),OR('Tasks Filter'!$I$5="Both",AND('Tasks Filter'!$I$5="Yes",BB1379="✓"),AND('Tasks Filter'!$I$5="No",BB1379&lt;&gt;"✓")),OR('Tasks Filter'!$L$3="",AV1379='Tasks Filter'!$L$3),OR('Tasks Filter'!$L$4="",AZ1379='Tasks Filter'!$L$4),OR('Tasks Filter'!$L$5="",BC1379='Tasks Filter'!$L$5),OR('Tasks Filter'!$O$3="",BD1379='Tasks Filter'!$O$3),OR('Tasks Filter'!$O$4="Yes",BG1379=0)),1,0))</f>
        <v/>
      </c>
      <c r="BJ1379">
        <f>IF(BH1379=0,"",IF('Tasks Filter'!$F$6="Descending",-1,1)*CHOOSE(MATCH('Tasks Filter'!$F$5,Lists!$G$2:$G$6,0),AW1379,BF1379,IFERROR(MATCH(AV1379,Setup!$F$6:$F$15,0),99),IFERROR(MATCH(BC1379,Setup!$H$6:$H$15,0),99),IFERROR(MATCH(AZ1379,Setup!$J$6:$J$11,0),99))*1E+9+(AW1379-40000)*10000+1378)</f>
        <v/>
      </c>
      <c r="BK1379">
        <f>IF(BI1379=1,BJ1379,"")</f>
        <v/>
      </c>
      <c r="BL1379">
        <f>IF(AND(BH1379=1,BG1379=0,N(AW1379)&lt;Setup!$D$7),(AW1379-40000)*10000+1378,"")</f>
        <v/>
      </c>
      <c r="BM1379">
        <f>IF(AND(BH1379=1,AZ1379&lt;&gt;"Cancelled",N(AW1379)&gt;=Dashboard!$AB$3,N(AW1379)&lt;=Dashboard!$AB$3+6),(AW1379-40000)*100000+BF1379*10000+1378,"")</f>
        <v/>
      </c>
      <c r="BN1379">
        <f>IF(AND(BH1379=1,AZ1379&lt;&gt;"Cancelled"),BF1379*10000+1378,"")</f>
        <v/>
      </c>
    </row>
    <row r="1380">
      <c r="AS1380" t="inlineStr">
        <is>
          <t>R</t>
        </is>
      </c>
      <c r="AT1380" t="n">
        <v>1384</v>
      </c>
      <c r="AU1380">
        <f>'Recurring Log'!C1384&amp;""</f>
        <v/>
      </c>
      <c r="AV1380">
        <f>'Recurring Log'!D1384&amp;""</f>
        <v/>
      </c>
      <c r="AW1380">
        <f>IF('Recurring Log'!E1384="","",'Recurring Log'!E1384)</f>
        <v/>
      </c>
      <c r="AX1380">
        <f>IF('Recurring Log'!G1384="","",'Recurring Log'!G1384)</f>
        <v/>
      </c>
      <c r="AY1380">
        <f>IF('Recurring Log'!H1384="","",'Recurring Log'!H1384)</f>
        <v/>
      </c>
      <c r="AZ1380">
        <f>IF(AU1380="","",IF('Recurring Log'!J1384="","Not Started",'Recurring Log'!J1384))</f>
        <v/>
      </c>
      <c r="BA1380">
        <f>'Recurring Log'!L1384&amp;""</f>
        <v/>
      </c>
      <c r="BB1380">
        <f>'Recurring Log'!M1384&amp;""</f>
        <v/>
      </c>
      <c r="BC1380">
        <f>'Recurring Log'!N1384&amp;""</f>
        <v/>
      </c>
      <c r="BD1380">
        <f>'Recurring Log'!O1384&amp;""</f>
        <v/>
      </c>
      <c r="BE1380">
        <f>IF('Recurring Log'!K1384="","",'Recurring Log'!K1384)</f>
        <v/>
      </c>
      <c r="BF1380">
        <f>IFERROR(MATCH(BA1380,Setup!$L$6:$L$9,0),5)</f>
        <v/>
      </c>
      <c r="BG1380">
        <f>IF(OR(AZ1380="Done",AZ1380="Cancelled"),1,0)</f>
        <v/>
      </c>
      <c r="BH1380">
        <f>IF(AND(AU1380&lt;&gt;"",ISNUMBER(AW1380)),1,0)</f>
        <v/>
      </c>
      <c r="BI1380">
        <f>IF(BH1380=0,0,IF(AND(AW1380&gt;='Tasks Filter'!$F$3,AW1380&lt;='Tasks Filter'!$F$4,OR('Tasks Filter'!$I$3="",ISNUMBER(SEARCH('Tasks Filter'!$I$3,AU1380))),OR('Tasks Filter'!$I$4="",BF1380=IFERROR(MATCH('Tasks Filter'!$I$4,Setup!$L$6:$L$9,0),0)),OR('Tasks Filter'!$I$5="Both",AND('Tasks Filter'!$I$5="Yes",BB1380="✓"),AND('Tasks Filter'!$I$5="No",BB1380&lt;&gt;"✓")),OR('Tasks Filter'!$L$3="",AV1380='Tasks Filter'!$L$3),OR('Tasks Filter'!$L$4="",AZ1380='Tasks Filter'!$L$4),OR('Tasks Filter'!$L$5="",BC1380='Tasks Filter'!$L$5),OR('Tasks Filter'!$O$3="",BD1380='Tasks Filter'!$O$3),OR('Tasks Filter'!$O$4="Yes",BG1380=0)),1,0))</f>
        <v/>
      </c>
      <c r="BJ1380">
        <f>IF(BH1380=0,"",IF('Tasks Filter'!$F$6="Descending",-1,1)*CHOOSE(MATCH('Tasks Filter'!$F$5,Lists!$G$2:$G$6,0),AW1380,BF1380,IFERROR(MATCH(AV1380,Setup!$F$6:$F$15,0),99),IFERROR(MATCH(BC1380,Setup!$H$6:$H$15,0),99),IFERROR(MATCH(AZ1380,Setup!$J$6:$J$11,0),99))*1E+9+(AW1380-40000)*10000+1379)</f>
        <v/>
      </c>
      <c r="BK1380">
        <f>IF(BI1380=1,BJ1380,"")</f>
        <v/>
      </c>
      <c r="BL1380">
        <f>IF(AND(BH1380=1,BG1380=0,N(AW1380)&lt;Setup!$D$7),(AW1380-40000)*10000+1379,"")</f>
        <v/>
      </c>
      <c r="BM1380">
        <f>IF(AND(BH1380=1,AZ1380&lt;&gt;"Cancelled",N(AW1380)&gt;=Dashboard!$AB$3,N(AW1380)&lt;=Dashboard!$AB$3+6),(AW1380-40000)*100000+BF1380*10000+1379,"")</f>
        <v/>
      </c>
      <c r="BN1380">
        <f>IF(AND(BH1380=1,AZ1380&lt;&gt;"Cancelled"),BF1380*10000+1379,"")</f>
        <v/>
      </c>
    </row>
    <row r="1381">
      <c r="AS1381" t="inlineStr">
        <is>
          <t>R</t>
        </is>
      </c>
      <c r="AT1381" t="n">
        <v>1385</v>
      </c>
      <c r="AU1381">
        <f>'Recurring Log'!C1385&amp;""</f>
        <v/>
      </c>
      <c r="AV1381">
        <f>'Recurring Log'!D1385&amp;""</f>
        <v/>
      </c>
      <c r="AW1381">
        <f>IF('Recurring Log'!E1385="","",'Recurring Log'!E1385)</f>
        <v/>
      </c>
      <c r="AX1381">
        <f>IF('Recurring Log'!G1385="","",'Recurring Log'!G1385)</f>
        <v/>
      </c>
      <c r="AY1381">
        <f>IF('Recurring Log'!H1385="","",'Recurring Log'!H1385)</f>
        <v/>
      </c>
      <c r="AZ1381">
        <f>IF(AU1381="","",IF('Recurring Log'!J1385="","Not Started",'Recurring Log'!J1385))</f>
        <v/>
      </c>
      <c r="BA1381">
        <f>'Recurring Log'!L1385&amp;""</f>
        <v/>
      </c>
      <c r="BB1381">
        <f>'Recurring Log'!M1385&amp;""</f>
        <v/>
      </c>
      <c r="BC1381">
        <f>'Recurring Log'!N1385&amp;""</f>
        <v/>
      </c>
      <c r="BD1381">
        <f>'Recurring Log'!O1385&amp;""</f>
        <v/>
      </c>
      <c r="BE1381">
        <f>IF('Recurring Log'!K1385="","",'Recurring Log'!K1385)</f>
        <v/>
      </c>
      <c r="BF1381">
        <f>IFERROR(MATCH(BA1381,Setup!$L$6:$L$9,0),5)</f>
        <v/>
      </c>
      <c r="BG1381">
        <f>IF(OR(AZ1381="Done",AZ1381="Cancelled"),1,0)</f>
        <v/>
      </c>
      <c r="BH1381">
        <f>IF(AND(AU1381&lt;&gt;"",ISNUMBER(AW1381)),1,0)</f>
        <v/>
      </c>
      <c r="BI1381">
        <f>IF(BH1381=0,0,IF(AND(AW1381&gt;='Tasks Filter'!$F$3,AW1381&lt;='Tasks Filter'!$F$4,OR('Tasks Filter'!$I$3="",ISNUMBER(SEARCH('Tasks Filter'!$I$3,AU1381))),OR('Tasks Filter'!$I$4="",BF1381=IFERROR(MATCH('Tasks Filter'!$I$4,Setup!$L$6:$L$9,0),0)),OR('Tasks Filter'!$I$5="Both",AND('Tasks Filter'!$I$5="Yes",BB1381="✓"),AND('Tasks Filter'!$I$5="No",BB1381&lt;&gt;"✓")),OR('Tasks Filter'!$L$3="",AV1381='Tasks Filter'!$L$3),OR('Tasks Filter'!$L$4="",AZ1381='Tasks Filter'!$L$4),OR('Tasks Filter'!$L$5="",BC1381='Tasks Filter'!$L$5),OR('Tasks Filter'!$O$3="",BD1381='Tasks Filter'!$O$3),OR('Tasks Filter'!$O$4="Yes",BG1381=0)),1,0))</f>
        <v/>
      </c>
      <c r="BJ1381">
        <f>IF(BH1381=0,"",IF('Tasks Filter'!$F$6="Descending",-1,1)*CHOOSE(MATCH('Tasks Filter'!$F$5,Lists!$G$2:$G$6,0),AW1381,BF1381,IFERROR(MATCH(AV1381,Setup!$F$6:$F$15,0),99),IFERROR(MATCH(BC1381,Setup!$H$6:$H$15,0),99),IFERROR(MATCH(AZ1381,Setup!$J$6:$J$11,0),99))*1E+9+(AW1381-40000)*10000+1380)</f>
        <v/>
      </c>
      <c r="BK1381">
        <f>IF(BI1381=1,BJ1381,"")</f>
        <v/>
      </c>
      <c r="BL1381">
        <f>IF(AND(BH1381=1,BG1381=0,N(AW1381)&lt;Setup!$D$7),(AW1381-40000)*10000+1380,"")</f>
        <v/>
      </c>
      <c r="BM1381">
        <f>IF(AND(BH1381=1,AZ1381&lt;&gt;"Cancelled",N(AW1381)&gt;=Dashboard!$AB$3,N(AW1381)&lt;=Dashboard!$AB$3+6),(AW1381-40000)*100000+BF1381*10000+1380,"")</f>
        <v/>
      </c>
      <c r="BN1381">
        <f>IF(AND(BH1381=1,AZ1381&lt;&gt;"Cancelled"),BF1381*10000+1380,"")</f>
        <v/>
      </c>
    </row>
    <row r="1382">
      <c r="AS1382" t="inlineStr">
        <is>
          <t>R</t>
        </is>
      </c>
      <c r="AT1382" t="n">
        <v>1386</v>
      </c>
      <c r="AU1382">
        <f>'Recurring Log'!C1386&amp;""</f>
        <v/>
      </c>
      <c r="AV1382">
        <f>'Recurring Log'!D1386&amp;""</f>
        <v/>
      </c>
      <c r="AW1382">
        <f>IF('Recurring Log'!E1386="","",'Recurring Log'!E1386)</f>
        <v/>
      </c>
      <c r="AX1382">
        <f>IF('Recurring Log'!G1386="","",'Recurring Log'!G1386)</f>
        <v/>
      </c>
      <c r="AY1382">
        <f>IF('Recurring Log'!H1386="","",'Recurring Log'!H1386)</f>
        <v/>
      </c>
      <c r="AZ1382">
        <f>IF(AU1382="","",IF('Recurring Log'!J1386="","Not Started",'Recurring Log'!J1386))</f>
        <v/>
      </c>
      <c r="BA1382">
        <f>'Recurring Log'!L1386&amp;""</f>
        <v/>
      </c>
      <c r="BB1382">
        <f>'Recurring Log'!M1386&amp;""</f>
        <v/>
      </c>
      <c r="BC1382">
        <f>'Recurring Log'!N1386&amp;""</f>
        <v/>
      </c>
      <c r="BD1382">
        <f>'Recurring Log'!O1386&amp;""</f>
        <v/>
      </c>
      <c r="BE1382">
        <f>IF('Recurring Log'!K1386="","",'Recurring Log'!K1386)</f>
        <v/>
      </c>
      <c r="BF1382">
        <f>IFERROR(MATCH(BA1382,Setup!$L$6:$L$9,0),5)</f>
        <v/>
      </c>
      <c r="BG1382">
        <f>IF(OR(AZ1382="Done",AZ1382="Cancelled"),1,0)</f>
        <v/>
      </c>
      <c r="BH1382">
        <f>IF(AND(AU1382&lt;&gt;"",ISNUMBER(AW1382)),1,0)</f>
        <v/>
      </c>
      <c r="BI1382">
        <f>IF(BH1382=0,0,IF(AND(AW1382&gt;='Tasks Filter'!$F$3,AW1382&lt;='Tasks Filter'!$F$4,OR('Tasks Filter'!$I$3="",ISNUMBER(SEARCH('Tasks Filter'!$I$3,AU1382))),OR('Tasks Filter'!$I$4="",BF1382=IFERROR(MATCH('Tasks Filter'!$I$4,Setup!$L$6:$L$9,0),0)),OR('Tasks Filter'!$I$5="Both",AND('Tasks Filter'!$I$5="Yes",BB1382="✓"),AND('Tasks Filter'!$I$5="No",BB1382&lt;&gt;"✓")),OR('Tasks Filter'!$L$3="",AV1382='Tasks Filter'!$L$3),OR('Tasks Filter'!$L$4="",AZ1382='Tasks Filter'!$L$4),OR('Tasks Filter'!$L$5="",BC1382='Tasks Filter'!$L$5),OR('Tasks Filter'!$O$3="",BD1382='Tasks Filter'!$O$3),OR('Tasks Filter'!$O$4="Yes",BG1382=0)),1,0))</f>
        <v/>
      </c>
      <c r="BJ1382">
        <f>IF(BH1382=0,"",IF('Tasks Filter'!$F$6="Descending",-1,1)*CHOOSE(MATCH('Tasks Filter'!$F$5,Lists!$G$2:$G$6,0),AW1382,BF1382,IFERROR(MATCH(AV1382,Setup!$F$6:$F$15,0),99),IFERROR(MATCH(BC1382,Setup!$H$6:$H$15,0),99),IFERROR(MATCH(AZ1382,Setup!$J$6:$J$11,0),99))*1E+9+(AW1382-40000)*10000+1381)</f>
        <v/>
      </c>
      <c r="BK1382">
        <f>IF(BI1382=1,BJ1382,"")</f>
        <v/>
      </c>
      <c r="BL1382">
        <f>IF(AND(BH1382=1,BG1382=0,N(AW1382)&lt;Setup!$D$7),(AW1382-40000)*10000+1381,"")</f>
        <v/>
      </c>
      <c r="BM1382">
        <f>IF(AND(BH1382=1,AZ1382&lt;&gt;"Cancelled",N(AW1382)&gt;=Dashboard!$AB$3,N(AW1382)&lt;=Dashboard!$AB$3+6),(AW1382-40000)*100000+BF1382*10000+1381,"")</f>
        <v/>
      </c>
      <c r="BN1382">
        <f>IF(AND(BH1382=1,AZ1382&lt;&gt;"Cancelled"),BF1382*10000+1381,"")</f>
        <v/>
      </c>
    </row>
    <row r="1383">
      <c r="AS1383" t="inlineStr">
        <is>
          <t>R</t>
        </is>
      </c>
      <c r="AT1383" t="n">
        <v>1387</v>
      </c>
      <c r="AU1383">
        <f>'Recurring Log'!C1387&amp;""</f>
        <v/>
      </c>
      <c r="AV1383">
        <f>'Recurring Log'!D1387&amp;""</f>
        <v/>
      </c>
      <c r="AW1383">
        <f>IF('Recurring Log'!E1387="","",'Recurring Log'!E1387)</f>
        <v/>
      </c>
      <c r="AX1383">
        <f>IF('Recurring Log'!G1387="","",'Recurring Log'!G1387)</f>
        <v/>
      </c>
      <c r="AY1383">
        <f>IF('Recurring Log'!H1387="","",'Recurring Log'!H1387)</f>
        <v/>
      </c>
      <c r="AZ1383">
        <f>IF(AU1383="","",IF('Recurring Log'!J1387="","Not Started",'Recurring Log'!J1387))</f>
        <v/>
      </c>
      <c r="BA1383">
        <f>'Recurring Log'!L1387&amp;""</f>
        <v/>
      </c>
      <c r="BB1383">
        <f>'Recurring Log'!M1387&amp;""</f>
        <v/>
      </c>
      <c r="BC1383">
        <f>'Recurring Log'!N1387&amp;""</f>
        <v/>
      </c>
      <c r="BD1383">
        <f>'Recurring Log'!O1387&amp;""</f>
        <v/>
      </c>
      <c r="BE1383">
        <f>IF('Recurring Log'!K1387="","",'Recurring Log'!K1387)</f>
        <v/>
      </c>
      <c r="BF1383">
        <f>IFERROR(MATCH(BA1383,Setup!$L$6:$L$9,0),5)</f>
        <v/>
      </c>
      <c r="BG1383">
        <f>IF(OR(AZ1383="Done",AZ1383="Cancelled"),1,0)</f>
        <v/>
      </c>
      <c r="BH1383">
        <f>IF(AND(AU1383&lt;&gt;"",ISNUMBER(AW1383)),1,0)</f>
        <v/>
      </c>
      <c r="BI1383">
        <f>IF(BH1383=0,0,IF(AND(AW1383&gt;='Tasks Filter'!$F$3,AW1383&lt;='Tasks Filter'!$F$4,OR('Tasks Filter'!$I$3="",ISNUMBER(SEARCH('Tasks Filter'!$I$3,AU1383))),OR('Tasks Filter'!$I$4="",BF1383=IFERROR(MATCH('Tasks Filter'!$I$4,Setup!$L$6:$L$9,0),0)),OR('Tasks Filter'!$I$5="Both",AND('Tasks Filter'!$I$5="Yes",BB1383="✓"),AND('Tasks Filter'!$I$5="No",BB1383&lt;&gt;"✓")),OR('Tasks Filter'!$L$3="",AV1383='Tasks Filter'!$L$3),OR('Tasks Filter'!$L$4="",AZ1383='Tasks Filter'!$L$4),OR('Tasks Filter'!$L$5="",BC1383='Tasks Filter'!$L$5),OR('Tasks Filter'!$O$3="",BD1383='Tasks Filter'!$O$3),OR('Tasks Filter'!$O$4="Yes",BG1383=0)),1,0))</f>
        <v/>
      </c>
      <c r="BJ1383">
        <f>IF(BH1383=0,"",IF('Tasks Filter'!$F$6="Descending",-1,1)*CHOOSE(MATCH('Tasks Filter'!$F$5,Lists!$G$2:$G$6,0),AW1383,BF1383,IFERROR(MATCH(AV1383,Setup!$F$6:$F$15,0),99),IFERROR(MATCH(BC1383,Setup!$H$6:$H$15,0),99),IFERROR(MATCH(AZ1383,Setup!$J$6:$J$11,0),99))*1E+9+(AW1383-40000)*10000+1382)</f>
        <v/>
      </c>
      <c r="BK1383">
        <f>IF(BI1383=1,BJ1383,"")</f>
        <v/>
      </c>
      <c r="BL1383">
        <f>IF(AND(BH1383=1,BG1383=0,N(AW1383)&lt;Setup!$D$7),(AW1383-40000)*10000+1382,"")</f>
        <v/>
      </c>
      <c r="BM1383">
        <f>IF(AND(BH1383=1,AZ1383&lt;&gt;"Cancelled",N(AW1383)&gt;=Dashboard!$AB$3,N(AW1383)&lt;=Dashboard!$AB$3+6),(AW1383-40000)*100000+BF1383*10000+1382,"")</f>
        <v/>
      </c>
      <c r="BN1383">
        <f>IF(AND(BH1383=1,AZ1383&lt;&gt;"Cancelled"),BF1383*10000+1382,"")</f>
        <v/>
      </c>
    </row>
    <row r="1384">
      <c r="AS1384" t="inlineStr">
        <is>
          <t>R</t>
        </is>
      </c>
      <c r="AT1384" t="n">
        <v>1388</v>
      </c>
      <c r="AU1384">
        <f>'Recurring Log'!C1388&amp;""</f>
        <v/>
      </c>
      <c r="AV1384">
        <f>'Recurring Log'!D1388&amp;""</f>
        <v/>
      </c>
      <c r="AW1384">
        <f>IF('Recurring Log'!E1388="","",'Recurring Log'!E1388)</f>
        <v/>
      </c>
      <c r="AX1384">
        <f>IF('Recurring Log'!G1388="","",'Recurring Log'!G1388)</f>
        <v/>
      </c>
      <c r="AY1384">
        <f>IF('Recurring Log'!H1388="","",'Recurring Log'!H1388)</f>
        <v/>
      </c>
      <c r="AZ1384">
        <f>IF(AU1384="","",IF('Recurring Log'!J1388="","Not Started",'Recurring Log'!J1388))</f>
        <v/>
      </c>
      <c r="BA1384">
        <f>'Recurring Log'!L1388&amp;""</f>
        <v/>
      </c>
      <c r="BB1384">
        <f>'Recurring Log'!M1388&amp;""</f>
        <v/>
      </c>
      <c r="BC1384">
        <f>'Recurring Log'!N1388&amp;""</f>
        <v/>
      </c>
      <c r="BD1384">
        <f>'Recurring Log'!O1388&amp;""</f>
        <v/>
      </c>
      <c r="BE1384">
        <f>IF('Recurring Log'!K1388="","",'Recurring Log'!K1388)</f>
        <v/>
      </c>
      <c r="BF1384">
        <f>IFERROR(MATCH(BA1384,Setup!$L$6:$L$9,0),5)</f>
        <v/>
      </c>
      <c r="BG1384">
        <f>IF(OR(AZ1384="Done",AZ1384="Cancelled"),1,0)</f>
        <v/>
      </c>
      <c r="BH1384">
        <f>IF(AND(AU1384&lt;&gt;"",ISNUMBER(AW1384)),1,0)</f>
        <v/>
      </c>
      <c r="BI1384">
        <f>IF(BH1384=0,0,IF(AND(AW1384&gt;='Tasks Filter'!$F$3,AW1384&lt;='Tasks Filter'!$F$4,OR('Tasks Filter'!$I$3="",ISNUMBER(SEARCH('Tasks Filter'!$I$3,AU1384))),OR('Tasks Filter'!$I$4="",BF1384=IFERROR(MATCH('Tasks Filter'!$I$4,Setup!$L$6:$L$9,0),0)),OR('Tasks Filter'!$I$5="Both",AND('Tasks Filter'!$I$5="Yes",BB1384="✓"),AND('Tasks Filter'!$I$5="No",BB1384&lt;&gt;"✓")),OR('Tasks Filter'!$L$3="",AV1384='Tasks Filter'!$L$3),OR('Tasks Filter'!$L$4="",AZ1384='Tasks Filter'!$L$4),OR('Tasks Filter'!$L$5="",BC1384='Tasks Filter'!$L$5),OR('Tasks Filter'!$O$3="",BD1384='Tasks Filter'!$O$3),OR('Tasks Filter'!$O$4="Yes",BG1384=0)),1,0))</f>
        <v/>
      </c>
      <c r="BJ1384">
        <f>IF(BH1384=0,"",IF('Tasks Filter'!$F$6="Descending",-1,1)*CHOOSE(MATCH('Tasks Filter'!$F$5,Lists!$G$2:$G$6,0),AW1384,BF1384,IFERROR(MATCH(AV1384,Setup!$F$6:$F$15,0),99),IFERROR(MATCH(BC1384,Setup!$H$6:$H$15,0),99),IFERROR(MATCH(AZ1384,Setup!$J$6:$J$11,0),99))*1E+9+(AW1384-40000)*10000+1383)</f>
        <v/>
      </c>
      <c r="BK1384">
        <f>IF(BI1384=1,BJ1384,"")</f>
        <v/>
      </c>
      <c r="BL1384">
        <f>IF(AND(BH1384=1,BG1384=0,N(AW1384)&lt;Setup!$D$7),(AW1384-40000)*10000+1383,"")</f>
        <v/>
      </c>
      <c r="BM1384">
        <f>IF(AND(BH1384=1,AZ1384&lt;&gt;"Cancelled",N(AW1384)&gt;=Dashboard!$AB$3,N(AW1384)&lt;=Dashboard!$AB$3+6),(AW1384-40000)*100000+BF1384*10000+1383,"")</f>
        <v/>
      </c>
      <c r="BN1384">
        <f>IF(AND(BH1384=1,AZ1384&lt;&gt;"Cancelled"),BF1384*10000+1383,"")</f>
        <v/>
      </c>
    </row>
    <row r="1385">
      <c r="AS1385" t="inlineStr">
        <is>
          <t>R</t>
        </is>
      </c>
      <c r="AT1385" t="n">
        <v>1389</v>
      </c>
      <c r="AU1385">
        <f>'Recurring Log'!C1389&amp;""</f>
        <v/>
      </c>
      <c r="AV1385">
        <f>'Recurring Log'!D1389&amp;""</f>
        <v/>
      </c>
      <c r="AW1385">
        <f>IF('Recurring Log'!E1389="","",'Recurring Log'!E1389)</f>
        <v/>
      </c>
      <c r="AX1385">
        <f>IF('Recurring Log'!G1389="","",'Recurring Log'!G1389)</f>
        <v/>
      </c>
      <c r="AY1385">
        <f>IF('Recurring Log'!H1389="","",'Recurring Log'!H1389)</f>
        <v/>
      </c>
      <c r="AZ1385">
        <f>IF(AU1385="","",IF('Recurring Log'!J1389="","Not Started",'Recurring Log'!J1389))</f>
        <v/>
      </c>
      <c r="BA1385">
        <f>'Recurring Log'!L1389&amp;""</f>
        <v/>
      </c>
      <c r="BB1385">
        <f>'Recurring Log'!M1389&amp;""</f>
        <v/>
      </c>
      <c r="BC1385">
        <f>'Recurring Log'!N1389&amp;""</f>
        <v/>
      </c>
      <c r="BD1385">
        <f>'Recurring Log'!O1389&amp;""</f>
        <v/>
      </c>
      <c r="BE1385">
        <f>IF('Recurring Log'!K1389="","",'Recurring Log'!K1389)</f>
        <v/>
      </c>
      <c r="BF1385">
        <f>IFERROR(MATCH(BA1385,Setup!$L$6:$L$9,0),5)</f>
        <v/>
      </c>
      <c r="BG1385">
        <f>IF(OR(AZ1385="Done",AZ1385="Cancelled"),1,0)</f>
        <v/>
      </c>
      <c r="BH1385">
        <f>IF(AND(AU1385&lt;&gt;"",ISNUMBER(AW1385)),1,0)</f>
        <v/>
      </c>
      <c r="BI1385">
        <f>IF(BH1385=0,0,IF(AND(AW1385&gt;='Tasks Filter'!$F$3,AW1385&lt;='Tasks Filter'!$F$4,OR('Tasks Filter'!$I$3="",ISNUMBER(SEARCH('Tasks Filter'!$I$3,AU1385))),OR('Tasks Filter'!$I$4="",BF1385=IFERROR(MATCH('Tasks Filter'!$I$4,Setup!$L$6:$L$9,0),0)),OR('Tasks Filter'!$I$5="Both",AND('Tasks Filter'!$I$5="Yes",BB1385="✓"),AND('Tasks Filter'!$I$5="No",BB1385&lt;&gt;"✓")),OR('Tasks Filter'!$L$3="",AV1385='Tasks Filter'!$L$3),OR('Tasks Filter'!$L$4="",AZ1385='Tasks Filter'!$L$4),OR('Tasks Filter'!$L$5="",BC1385='Tasks Filter'!$L$5),OR('Tasks Filter'!$O$3="",BD1385='Tasks Filter'!$O$3),OR('Tasks Filter'!$O$4="Yes",BG1385=0)),1,0))</f>
        <v/>
      </c>
      <c r="BJ1385">
        <f>IF(BH1385=0,"",IF('Tasks Filter'!$F$6="Descending",-1,1)*CHOOSE(MATCH('Tasks Filter'!$F$5,Lists!$G$2:$G$6,0),AW1385,BF1385,IFERROR(MATCH(AV1385,Setup!$F$6:$F$15,0),99),IFERROR(MATCH(BC1385,Setup!$H$6:$H$15,0),99),IFERROR(MATCH(AZ1385,Setup!$J$6:$J$11,0),99))*1E+9+(AW1385-40000)*10000+1384)</f>
        <v/>
      </c>
      <c r="BK1385">
        <f>IF(BI1385=1,BJ1385,"")</f>
        <v/>
      </c>
      <c r="BL1385">
        <f>IF(AND(BH1385=1,BG1385=0,N(AW1385)&lt;Setup!$D$7),(AW1385-40000)*10000+1384,"")</f>
        <v/>
      </c>
      <c r="BM1385">
        <f>IF(AND(BH1385=1,AZ1385&lt;&gt;"Cancelled",N(AW1385)&gt;=Dashboard!$AB$3,N(AW1385)&lt;=Dashboard!$AB$3+6),(AW1385-40000)*100000+BF1385*10000+1384,"")</f>
        <v/>
      </c>
      <c r="BN1385">
        <f>IF(AND(BH1385=1,AZ1385&lt;&gt;"Cancelled"),BF1385*10000+1384,"")</f>
        <v/>
      </c>
    </row>
    <row r="1386">
      <c r="AS1386" t="inlineStr">
        <is>
          <t>R</t>
        </is>
      </c>
      <c r="AT1386" t="n">
        <v>1390</v>
      </c>
      <c r="AU1386">
        <f>'Recurring Log'!C1390&amp;""</f>
        <v/>
      </c>
      <c r="AV1386">
        <f>'Recurring Log'!D1390&amp;""</f>
        <v/>
      </c>
      <c r="AW1386">
        <f>IF('Recurring Log'!E1390="","",'Recurring Log'!E1390)</f>
        <v/>
      </c>
      <c r="AX1386">
        <f>IF('Recurring Log'!G1390="","",'Recurring Log'!G1390)</f>
        <v/>
      </c>
      <c r="AY1386">
        <f>IF('Recurring Log'!H1390="","",'Recurring Log'!H1390)</f>
        <v/>
      </c>
      <c r="AZ1386">
        <f>IF(AU1386="","",IF('Recurring Log'!J1390="","Not Started",'Recurring Log'!J1390))</f>
        <v/>
      </c>
      <c r="BA1386">
        <f>'Recurring Log'!L1390&amp;""</f>
        <v/>
      </c>
      <c r="BB1386">
        <f>'Recurring Log'!M1390&amp;""</f>
        <v/>
      </c>
      <c r="BC1386">
        <f>'Recurring Log'!N1390&amp;""</f>
        <v/>
      </c>
      <c r="BD1386">
        <f>'Recurring Log'!O1390&amp;""</f>
        <v/>
      </c>
      <c r="BE1386">
        <f>IF('Recurring Log'!K1390="","",'Recurring Log'!K1390)</f>
        <v/>
      </c>
      <c r="BF1386">
        <f>IFERROR(MATCH(BA1386,Setup!$L$6:$L$9,0),5)</f>
        <v/>
      </c>
      <c r="BG1386">
        <f>IF(OR(AZ1386="Done",AZ1386="Cancelled"),1,0)</f>
        <v/>
      </c>
      <c r="BH1386">
        <f>IF(AND(AU1386&lt;&gt;"",ISNUMBER(AW1386)),1,0)</f>
        <v/>
      </c>
      <c r="BI1386">
        <f>IF(BH1386=0,0,IF(AND(AW1386&gt;='Tasks Filter'!$F$3,AW1386&lt;='Tasks Filter'!$F$4,OR('Tasks Filter'!$I$3="",ISNUMBER(SEARCH('Tasks Filter'!$I$3,AU1386))),OR('Tasks Filter'!$I$4="",BF1386=IFERROR(MATCH('Tasks Filter'!$I$4,Setup!$L$6:$L$9,0),0)),OR('Tasks Filter'!$I$5="Both",AND('Tasks Filter'!$I$5="Yes",BB1386="✓"),AND('Tasks Filter'!$I$5="No",BB1386&lt;&gt;"✓")),OR('Tasks Filter'!$L$3="",AV1386='Tasks Filter'!$L$3),OR('Tasks Filter'!$L$4="",AZ1386='Tasks Filter'!$L$4),OR('Tasks Filter'!$L$5="",BC1386='Tasks Filter'!$L$5),OR('Tasks Filter'!$O$3="",BD1386='Tasks Filter'!$O$3),OR('Tasks Filter'!$O$4="Yes",BG1386=0)),1,0))</f>
        <v/>
      </c>
      <c r="BJ1386">
        <f>IF(BH1386=0,"",IF('Tasks Filter'!$F$6="Descending",-1,1)*CHOOSE(MATCH('Tasks Filter'!$F$5,Lists!$G$2:$G$6,0),AW1386,BF1386,IFERROR(MATCH(AV1386,Setup!$F$6:$F$15,0),99),IFERROR(MATCH(BC1386,Setup!$H$6:$H$15,0),99),IFERROR(MATCH(AZ1386,Setup!$J$6:$J$11,0),99))*1E+9+(AW1386-40000)*10000+1385)</f>
        <v/>
      </c>
      <c r="BK1386">
        <f>IF(BI1386=1,BJ1386,"")</f>
        <v/>
      </c>
      <c r="BL1386">
        <f>IF(AND(BH1386=1,BG1386=0,N(AW1386)&lt;Setup!$D$7),(AW1386-40000)*10000+1385,"")</f>
        <v/>
      </c>
      <c r="BM1386">
        <f>IF(AND(BH1386=1,AZ1386&lt;&gt;"Cancelled",N(AW1386)&gt;=Dashboard!$AB$3,N(AW1386)&lt;=Dashboard!$AB$3+6),(AW1386-40000)*100000+BF1386*10000+1385,"")</f>
        <v/>
      </c>
      <c r="BN1386">
        <f>IF(AND(BH1386=1,AZ1386&lt;&gt;"Cancelled"),BF1386*10000+1385,"")</f>
        <v/>
      </c>
    </row>
    <row r="1387">
      <c r="AS1387" t="inlineStr">
        <is>
          <t>R</t>
        </is>
      </c>
      <c r="AT1387" t="n">
        <v>1391</v>
      </c>
      <c r="AU1387">
        <f>'Recurring Log'!C1391&amp;""</f>
        <v/>
      </c>
      <c r="AV1387">
        <f>'Recurring Log'!D1391&amp;""</f>
        <v/>
      </c>
      <c r="AW1387">
        <f>IF('Recurring Log'!E1391="","",'Recurring Log'!E1391)</f>
        <v/>
      </c>
      <c r="AX1387">
        <f>IF('Recurring Log'!G1391="","",'Recurring Log'!G1391)</f>
        <v/>
      </c>
      <c r="AY1387">
        <f>IF('Recurring Log'!H1391="","",'Recurring Log'!H1391)</f>
        <v/>
      </c>
      <c r="AZ1387">
        <f>IF(AU1387="","",IF('Recurring Log'!J1391="","Not Started",'Recurring Log'!J1391))</f>
        <v/>
      </c>
      <c r="BA1387">
        <f>'Recurring Log'!L1391&amp;""</f>
        <v/>
      </c>
      <c r="BB1387">
        <f>'Recurring Log'!M1391&amp;""</f>
        <v/>
      </c>
      <c r="BC1387">
        <f>'Recurring Log'!N1391&amp;""</f>
        <v/>
      </c>
      <c r="BD1387">
        <f>'Recurring Log'!O1391&amp;""</f>
        <v/>
      </c>
      <c r="BE1387">
        <f>IF('Recurring Log'!K1391="","",'Recurring Log'!K1391)</f>
        <v/>
      </c>
      <c r="BF1387">
        <f>IFERROR(MATCH(BA1387,Setup!$L$6:$L$9,0),5)</f>
        <v/>
      </c>
      <c r="BG1387">
        <f>IF(OR(AZ1387="Done",AZ1387="Cancelled"),1,0)</f>
        <v/>
      </c>
      <c r="BH1387">
        <f>IF(AND(AU1387&lt;&gt;"",ISNUMBER(AW1387)),1,0)</f>
        <v/>
      </c>
      <c r="BI1387">
        <f>IF(BH1387=0,0,IF(AND(AW1387&gt;='Tasks Filter'!$F$3,AW1387&lt;='Tasks Filter'!$F$4,OR('Tasks Filter'!$I$3="",ISNUMBER(SEARCH('Tasks Filter'!$I$3,AU1387))),OR('Tasks Filter'!$I$4="",BF1387=IFERROR(MATCH('Tasks Filter'!$I$4,Setup!$L$6:$L$9,0),0)),OR('Tasks Filter'!$I$5="Both",AND('Tasks Filter'!$I$5="Yes",BB1387="✓"),AND('Tasks Filter'!$I$5="No",BB1387&lt;&gt;"✓")),OR('Tasks Filter'!$L$3="",AV1387='Tasks Filter'!$L$3),OR('Tasks Filter'!$L$4="",AZ1387='Tasks Filter'!$L$4),OR('Tasks Filter'!$L$5="",BC1387='Tasks Filter'!$L$5),OR('Tasks Filter'!$O$3="",BD1387='Tasks Filter'!$O$3),OR('Tasks Filter'!$O$4="Yes",BG1387=0)),1,0))</f>
        <v/>
      </c>
      <c r="BJ1387">
        <f>IF(BH1387=0,"",IF('Tasks Filter'!$F$6="Descending",-1,1)*CHOOSE(MATCH('Tasks Filter'!$F$5,Lists!$G$2:$G$6,0),AW1387,BF1387,IFERROR(MATCH(AV1387,Setup!$F$6:$F$15,0),99),IFERROR(MATCH(BC1387,Setup!$H$6:$H$15,0),99),IFERROR(MATCH(AZ1387,Setup!$J$6:$J$11,0),99))*1E+9+(AW1387-40000)*10000+1386)</f>
        <v/>
      </c>
      <c r="BK1387">
        <f>IF(BI1387=1,BJ1387,"")</f>
        <v/>
      </c>
      <c r="BL1387">
        <f>IF(AND(BH1387=1,BG1387=0,N(AW1387)&lt;Setup!$D$7),(AW1387-40000)*10000+1386,"")</f>
        <v/>
      </c>
      <c r="BM1387">
        <f>IF(AND(BH1387=1,AZ1387&lt;&gt;"Cancelled",N(AW1387)&gt;=Dashboard!$AB$3,N(AW1387)&lt;=Dashboard!$AB$3+6),(AW1387-40000)*100000+BF1387*10000+1386,"")</f>
        <v/>
      </c>
      <c r="BN1387">
        <f>IF(AND(BH1387=1,AZ1387&lt;&gt;"Cancelled"),BF1387*10000+1386,"")</f>
        <v/>
      </c>
    </row>
    <row r="1388">
      <c r="AS1388" t="inlineStr">
        <is>
          <t>R</t>
        </is>
      </c>
      <c r="AT1388" t="n">
        <v>1392</v>
      </c>
      <c r="AU1388">
        <f>'Recurring Log'!C1392&amp;""</f>
        <v/>
      </c>
      <c r="AV1388">
        <f>'Recurring Log'!D1392&amp;""</f>
        <v/>
      </c>
      <c r="AW1388">
        <f>IF('Recurring Log'!E1392="","",'Recurring Log'!E1392)</f>
        <v/>
      </c>
      <c r="AX1388">
        <f>IF('Recurring Log'!G1392="","",'Recurring Log'!G1392)</f>
        <v/>
      </c>
      <c r="AY1388">
        <f>IF('Recurring Log'!H1392="","",'Recurring Log'!H1392)</f>
        <v/>
      </c>
      <c r="AZ1388">
        <f>IF(AU1388="","",IF('Recurring Log'!J1392="","Not Started",'Recurring Log'!J1392))</f>
        <v/>
      </c>
      <c r="BA1388">
        <f>'Recurring Log'!L1392&amp;""</f>
        <v/>
      </c>
      <c r="BB1388">
        <f>'Recurring Log'!M1392&amp;""</f>
        <v/>
      </c>
      <c r="BC1388">
        <f>'Recurring Log'!N1392&amp;""</f>
        <v/>
      </c>
      <c r="BD1388">
        <f>'Recurring Log'!O1392&amp;""</f>
        <v/>
      </c>
      <c r="BE1388">
        <f>IF('Recurring Log'!K1392="","",'Recurring Log'!K1392)</f>
        <v/>
      </c>
      <c r="BF1388">
        <f>IFERROR(MATCH(BA1388,Setup!$L$6:$L$9,0),5)</f>
        <v/>
      </c>
      <c r="BG1388">
        <f>IF(OR(AZ1388="Done",AZ1388="Cancelled"),1,0)</f>
        <v/>
      </c>
      <c r="BH1388">
        <f>IF(AND(AU1388&lt;&gt;"",ISNUMBER(AW1388)),1,0)</f>
        <v/>
      </c>
      <c r="BI1388">
        <f>IF(BH1388=0,0,IF(AND(AW1388&gt;='Tasks Filter'!$F$3,AW1388&lt;='Tasks Filter'!$F$4,OR('Tasks Filter'!$I$3="",ISNUMBER(SEARCH('Tasks Filter'!$I$3,AU1388))),OR('Tasks Filter'!$I$4="",BF1388=IFERROR(MATCH('Tasks Filter'!$I$4,Setup!$L$6:$L$9,0),0)),OR('Tasks Filter'!$I$5="Both",AND('Tasks Filter'!$I$5="Yes",BB1388="✓"),AND('Tasks Filter'!$I$5="No",BB1388&lt;&gt;"✓")),OR('Tasks Filter'!$L$3="",AV1388='Tasks Filter'!$L$3),OR('Tasks Filter'!$L$4="",AZ1388='Tasks Filter'!$L$4),OR('Tasks Filter'!$L$5="",BC1388='Tasks Filter'!$L$5),OR('Tasks Filter'!$O$3="",BD1388='Tasks Filter'!$O$3),OR('Tasks Filter'!$O$4="Yes",BG1388=0)),1,0))</f>
        <v/>
      </c>
      <c r="BJ1388">
        <f>IF(BH1388=0,"",IF('Tasks Filter'!$F$6="Descending",-1,1)*CHOOSE(MATCH('Tasks Filter'!$F$5,Lists!$G$2:$G$6,0),AW1388,BF1388,IFERROR(MATCH(AV1388,Setup!$F$6:$F$15,0),99),IFERROR(MATCH(BC1388,Setup!$H$6:$H$15,0),99),IFERROR(MATCH(AZ1388,Setup!$J$6:$J$11,0),99))*1E+9+(AW1388-40000)*10000+1387)</f>
        <v/>
      </c>
      <c r="BK1388">
        <f>IF(BI1388=1,BJ1388,"")</f>
        <v/>
      </c>
      <c r="BL1388">
        <f>IF(AND(BH1388=1,BG1388=0,N(AW1388)&lt;Setup!$D$7),(AW1388-40000)*10000+1387,"")</f>
        <v/>
      </c>
      <c r="BM1388">
        <f>IF(AND(BH1388=1,AZ1388&lt;&gt;"Cancelled",N(AW1388)&gt;=Dashboard!$AB$3,N(AW1388)&lt;=Dashboard!$AB$3+6),(AW1388-40000)*100000+BF1388*10000+1387,"")</f>
        <v/>
      </c>
      <c r="BN1388">
        <f>IF(AND(BH1388=1,AZ1388&lt;&gt;"Cancelled"),BF1388*10000+1387,"")</f>
        <v/>
      </c>
    </row>
    <row r="1389">
      <c r="AS1389" t="inlineStr">
        <is>
          <t>R</t>
        </is>
      </c>
      <c r="AT1389" t="n">
        <v>1393</v>
      </c>
      <c r="AU1389">
        <f>'Recurring Log'!C1393&amp;""</f>
        <v/>
      </c>
      <c r="AV1389">
        <f>'Recurring Log'!D1393&amp;""</f>
        <v/>
      </c>
      <c r="AW1389">
        <f>IF('Recurring Log'!E1393="","",'Recurring Log'!E1393)</f>
        <v/>
      </c>
      <c r="AX1389">
        <f>IF('Recurring Log'!G1393="","",'Recurring Log'!G1393)</f>
        <v/>
      </c>
      <c r="AY1389">
        <f>IF('Recurring Log'!H1393="","",'Recurring Log'!H1393)</f>
        <v/>
      </c>
      <c r="AZ1389">
        <f>IF(AU1389="","",IF('Recurring Log'!J1393="","Not Started",'Recurring Log'!J1393))</f>
        <v/>
      </c>
      <c r="BA1389">
        <f>'Recurring Log'!L1393&amp;""</f>
        <v/>
      </c>
      <c r="BB1389">
        <f>'Recurring Log'!M1393&amp;""</f>
        <v/>
      </c>
      <c r="BC1389">
        <f>'Recurring Log'!N1393&amp;""</f>
        <v/>
      </c>
      <c r="BD1389">
        <f>'Recurring Log'!O1393&amp;""</f>
        <v/>
      </c>
      <c r="BE1389">
        <f>IF('Recurring Log'!K1393="","",'Recurring Log'!K1393)</f>
        <v/>
      </c>
      <c r="BF1389">
        <f>IFERROR(MATCH(BA1389,Setup!$L$6:$L$9,0),5)</f>
        <v/>
      </c>
      <c r="BG1389">
        <f>IF(OR(AZ1389="Done",AZ1389="Cancelled"),1,0)</f>
        <v/>
      </c>
      <c r="BH1389">
        <f>IF(AND(AU1389&lt;&gt;"",ISNUMBER(AW1389)),1,0)</f>
        <v/>
      </c>
      <c r="BI1389">
        <f>IF(BH1389=0,0,IF(AND(AW1389&gt;='Tasks Filter'!$F$3,AW1389&lt;='Tasks Filter'!$F$4,OR('Tasks Filter'!$I$3="",ISNUMBER(SEARCH('Tasks Filter'!$I$3,AU1389))),OR('Tasks Filter'!$I$4="",BF1389=IFERROR(MATCH('Tasks Filter'!$I$4,Setup!$L$6:$L$9,0),0)),OR('Tasks Filter'!$I$5="Both",AND('Tasks Filter'!$I$5="Yes",BB1389="✓"),AND('Tasks Filter'!$I$5="No",BB1389&lt;&gt;"✓")),OR('Tasks Filter'!$L$3="",AV1389='Tasks Filter'!$L$3),OR('Tasks Filter'!$L$4="",AZ1389='Tasks Filter'!$L$4),OR('Tasks Filter'!$L$5="",BC1389='Tasks Filter'!$L$5),OR('Tasks Filter'!$O$3="",BD1389='Tasks Filter'!$O$3),OR('Tasks Filter'!$O$4="Yes",BG1389=0)),1,0))</f>
        <v/>
      </c>
      <c r="BJ1389">
        <f>IF(BH1389=0,"",IF('Tasks Filter'!$F$6="Descending",-1,1)*CHOOSE(MATCH('Tasks Filter'!$F$5,Lists!$G$2:$G$6,0),AW1389,BF1389,IFERROR(MATCH(AV1389,Setup!$F$6:$F$15,0),99),IFERROR(MATCH(BC1389,Setup!$H$6:$H$15,0),99),IFERROR(MATCH(AZ1389,Setup!$J$6:$J$11,0),99))*1E+9+(AW1389-40000)*10000+1388)</f>
        <v/>
      </c>
      <c r="BK1389">
        <f>IF(BI1389=1,BJ1389,"")</f>
        <v/>
      </c>
      <c r="BL1389">
        <f>IF(AND(BH1389=1,BG1389=0,N(AW1389)&lt;Setup!$D$7),(AW1389-40000)*10000+1388,"")</f>
        <v/>
      </c>
      <c r="BM1389">
        <f>IF(AND(BH1389=1,AZ1389&lt;&gt;"Cancelled",N(AW1389)&gt;=Dashboard!$AB$3,N(AW1389)&lt;=Dashboard!$AB$3+6),(AW1389-40000)*100000+BF1389*10000+1388,"")</f>
        <v/>
      </c>
      <c r="BN1389">
        <f>IF(AND(BH1389=1,AZ1389&lt;&gt;"Cancelled"),BF1389*10000+1388,"")</f>
        <v/>
      </c>
    </row>
    <row r="1390">
      <c r="AS1390" t="inlineStr">
        <is>
          <t>R</t>
        </is>
      </c>
      <c r="AT1390" t="n">
        <v>1394</v>
      </c>
      <c r="AU1390">
        <f>'Recurring Log'!C1394&amp;""</f>
        <v/>
      </c>
      <c r="AV1390">
        <f>'Recurring Log'!D1394&amp;""</f>
        <v/>
      </c>
      <c r="AW1390">
        <f>IF('Recurring Log'!E1394="","",'Recurring Log'!E1394)</f>
        <v/>
      </c>
      <c r="AX1390">
        <f>IF('Recurring Log'!G1394="","",'Recurring Log'!G1394)</f>
        <v/>
      </c>
      <c r="AY1390">
        <f>IF('Recurring Log'!H1394="","",'Recurring Log'!H1394)</f>
        <v/>
      </c>
      <c r="AZ1390">
        <f>IF(AU1390="","",IF('Recurring Log'!J1394="","Not Started",'Recurring Log'!J1394))</f>
        <v/>
      </c>
      <c r="BA1390">
        <f>'Recurring Log'!L1394&amp;""</f>
        <v/>
      </c>
      <c r="BB1390">
        <f>'Recurring Log'!M1394&amp;""</f>
        <v/>
      </c>
      <c r="BC1390">
        <f>'Recurring Log'!N1394&amp;""</f>
        <v/>
      </c>
      <c r="BD1390">
        <f>'Recurring Log'!O1394&amp;""</f>
        <v/>
      </c>
      <c r="BE1390">
        <f>IF('Recurring Log'!K1394="","",'Recurring Log'!K1394)</f>
        <v/>
      </c>
      <c r="BF1390">
        <f>IFERROR(MATCH(BA1390,Setup!$L$6:$L$9,0),5)</f>
        <v/>
      </c>
      <c r="BG1390">
        <f>IF(OR(AZ1390="Done",AZ1390="Cancelled"),1,0)</f>
        <v/>
      </c>
      <c r="BH1390">
        <f>IF(AND(AU1390&lt;&gt;"",ISNUMBER(AW1390)),1,0)</f>
        <v/>
      </c>
      <c r="BI1390">
        <f>IF(BH1390=0,0,IF(AND(AW1390&gt;='Tasks Filter'!$F$3,AW1390&lt;='Tasks Filter'!$F$4,OR('Tasks Filter'!$I$3="",ISNUMBER(SEARCH('Tasks Filter'!$I$3,AU1390))),OR('Tasks Filter'!$I$4="",BF1390=IFERROR(MATCH('Tasks Filter'!$I$4,Setup!$L$6:$L$9,0),0)),OR('Tasks Filter'!$I$5="Both",AND('Tasks Filter'!$I$5="Yes",BB1390="✓"),AND('Tasks Filter'!$I$5="No",BB1390&lt;&gt;"✓")),OR('Tasks Filter'!$L$3="",AV1390='Tasks Filter'!$L$3),OR('Tasks Filter'!$L$4="",AZ1390='Tasks Filter'!$L$4),OR('Tasks Filter'!$L$5="",BC1390='Tasks Filter'!$L$5),OR('Tasks Filter'!$O$3="",BD1390='Tasks Filter'!$O$3),OR('Tasks Filter'!$O$4="Yes",BG1390=0)),1,0))</f>
        <v/>
      </c>
      <c r="BJ1390">
        <f>IF(BH1390=0,"",IF('Tasks Filter'!$F$6="Descending",-1,1)*CHOOSE(MATCH('Tasks Filter'!$F$5,Lists!$G$2:$G$6,0),AW1390,BF1390,IFERROR(MATCH(AV1390,Setup!$F$6:$F$15,0),99),IFERROR(MATCH(BC1390,Setup!$H$6:$H$15,0),99),IFERROR(MATCH(AZ1390,Setup!$J$6:$J$11,0),99))*1E+9+(AW1390-40000)*10000+1389)</f>
        <v/>
      </c>
      <c r="BK1390">
        <f>IF(BI1390=1,BJ1390,"")</f>
        <v/>
      </c>
      <c r="BL1390">
        <f>IF(AND(BH1390=1,BG1390=0,N(AW1390)&lt;Setup!$D$7),(AW1390-40000)*10000+1389,"")</f>
        <v/>
      </c>
      <c r="BM1390">
        <f>IF(AND(BH1390=1,AZ1390&lt;&gt;"Cancelled",N(AW1390)&gt;=Dashboard!$AB$3,N(AW1390)&lt;=Dashboard!$AB$3+6),(AW1390-40000)*100000+BF1390*10000+1389,"")</f>
        <v/>
      </c>
      <c r="BN1390">
        <f>IF(AND(BH1390=1,AZ1390&lt;&gt;"Cancelled"),BF1390*10000+1389,"")</f>
        <v/>
      </c>
    </row>
    <row r="1391">
      <c r="AS1391" t="inlineStr">
        <is>
          <t>R</t>
        </is>
      </c>
      <c r="AT1391" t="n">
        <v>1395</v>
      </c>
      <c r="AU1391">
        <f>'Recurring Log'!C1395&amp;""</f>
        <v/>
      </c>
      <c r="AV1391">
        <f>'Recurring Log'!D1395&amp;""</f>
        <v/>
      </c>
      <c r="AW1391">
        <f>IF('Recurring Log'!E1395="","",'Recurring Log'!E1395)</f>
        <v/>
      </c>
      <c r="AX1391">
        <f>IF('Recurring Log'!G1395="","",'Recurring Log'!G1395)</f>
        <v/>
      </c>
      <c r="AY1391">
        <f>IF('Recurring Log'!H1395="","",'Recurring Log'!H1395)</f>
        <v/>
      </c>
      <c r="AZ1391">
        <f>IF(AU1391="","",IF('Recurring Log'!J1395="","Not Started",'Recurring Log'!J1395))</f>
        <v/>
      </c>
      <c r="BA1391">
        <f>'Recurring Log'!L1395&amp;""</f>
        <v/>
      </c>
      <c r="BB1391">
        <f>'Recurring Log'!M1395&amp;""</f>
        <v/>
      </c>
      <c r="BC1391">
        <f>'Recurring Log'!N1395&amp;""</f>
        <v/>
      </c>
      <c r="BD1391">
        <f>'Recurring Log'!O1395&amp;""</f>
        <v/>
      </c>
      <c r="BE1391">
        <f>IF('Recurring Log'!K1395="","",'Recurring Log'!K1395)</f>
        <v/>
      </c>
      <c r="BF1391">
        <f>IFERROR(MATCH(BA1391,Setup!$L$6:$L$9,0),5)</f>
        <v/>
      </c>
      <c r="BG1391">
        <f>IF(OR(AZ1391="Done",AZ1391="Cancelled"),1,0)</f>
        <v/>
      </c>
      <c r="BH1391">
        <f>IF(AND(AU1391&lt;&gt;"",ISNUMBER(AW1391)),1,0)</f>
        <v/>
      </c>
      <c r="BI1391">
        <f>IF(BH1391=0,0,IF(AND(AW1391&gt;='Tasks Filter'!$F$3,AW1391&lt;='Tasks Filter'!$F$4,OR('Tasks Filter'!$I$3="",ISNUMBER(SEARCH('Tasks Filter'!$I$3,AU1391))),OR('Tasks Filter'!$I$4="",BF1391=IFERROR(MATCH('Tasks Filter'!$I$4,Setup!$L$6:$L$9,0),0)),OR('Tasks Filter'!$I$5="Both",AND('Tasks Filter'!$I$5="Yes",BB1391="✓"),AND('Tasks Filter'!$I$5="No",BB1391&lt;&gt;"✓")),OR('Tasks Filter'!$L$3="",AV1391='Tasks Filter'!$L$3),OR('Tasks Filter'!$L$4="",AZ1391='Tasks Filter'!$L$4),OR('Tasks Filter'!$L$5="",BC1391='Tasks Filter'!$L$5),OR('Tasks Filter'!$O$3="",BD1391='Tasks Filter'!$O$3),OR('Tasks Filter'!$O$4="Yes",BG1391=0)),1,0))</f>
        <v/>
      </c>
      <c r="BJ1391">
        <f>IF(BH1391=0,"",IF('Tasks Filter'!$F$6="Descending",-1,1)*CHOOSE(MATCH('Tasks Filter'!$F$5,Lists!$G$2:$G$6,0),AW1391,BF1391,IFERROR(MATCH(AV1391,Setup!$F$6:$F$15,0),99),IFERROR(MATCH(BC1391,Setup!$H$6:$H$15,0),99),IFERROR(MATCH(AZ1391,Setup!$J$6:$J$11,0),99))*1E+9+(AW1391-40000)*10000+1390)</f>
        <v/>
      </c>
      <c r="BK1391">
        <f>IF(BI1391=1,BJ1391,"")</f>
        <v/>
      </c>
      <c r="BL1391">
        <f>IF(AND(BH1391=1,BG1391=0,N(AW1391)&lt;Setup!$D$7),(AW1391-40000)*10000+1390,"")</f>
        <v/>
      </c>
      <c r="BM1391">
        <f>IF(AND(BH1391=1,AZ1391&lt;&gt;"Cancelled",N(AW1391)&gt;=Dashboard!$AB$3,N(AW1391)&lt;=Dashboard!$AB$3+6),(AW1391-40000)*100000+BF1391*10000+1390,"")</f>
        <v/>
      </c>
      <c r="BN1391">
        <f>IF(AND(BH1391=1,AZ1391&lt;&gt;"Cancelled"),BF1391*10000+1390,"")</f>
        <v/>
      </c>
    </row>
    <row r="1392">
      <c r="AS1392" t="inlineStr">
        <is>
          <t>R</t>
        </is>
      </c>
      <c r="AT1392" t="n">
        <v>1396</v>
      </c>
      <c r="AU1392">
        <f>'Recurring Log'!C1396&amp;""</f>
        <v/>
      </c>
      <c r="AV1392">
        <f>'Recurring Log'!D1396&amp;""</f>
        <v/>
      </c>
      <c r="AW1392">
        <f>IF('Recurring Log'!E1396="","",'Recurring Log'!E1396)</f>
        <v/>
      </c>
      <c r="AX1392">
        <f>IF('Recurring Log'!G1396="","",'Recurring Log'!G1396)</f>
        <v/>
      </c>
      <c r="AY1392">
        <f>IF('Recurring Log'!H1396="","",'Recurring Log'!H1396)</f>
        <v/>
      </c>
      <c r="AZ1392">
        <f>IF(AU1392="","",IF('Recurring Log'!J1396="","Not Started",'Recurring Log'!J1396))</f>
        <v/>
      </c>
      <c r="BA1392">
        <f>'Recurring Log'!L1396&amp;""</f>
        <v/>
      </c>
      <c r="BB1392">
        <f>'Recurring Log'!M1396&amp;""</f>
        <v/>
      </c>
      <c r="BC1392">
        <f>'Recurring Log'!N1396&amp;""</f>
        <v/>
      </c>
      <c r="BD1392">
        <f>'Recurring Log'!O1396&amp;""</f>
        <v/>
      </c>
      <c r="BE1392">
        <f>IF('Recurring Log'!K1396="","",'Recurring Log'!K1396)</f>
        <v/>
      </c>
      <c r="BF1392">
        <f>IFERROR(MATCH(BA1392,Setup!$L$6:$L$9,0),5)</f>
        <v/>
      </c>
      <c r="BG1392">
        <f>IF(OR(AZ1392="Done",AZ1392="Cancelled"),1,0)</f>
        <v/>
      </c>
      <c r="BH1392">
        <f>IF(AND(AU1392&lt;&gt;"",ISNUMBER(AW1392)),1,0)</f>
        <v/>
      </c>
      <c r="BI1392">
        <f>IF(BH1392=0,0,IF(AND(AW1392&gt;='Tasks Filter'!$F$3,AW1392&lt;='Tasks Filter'!$F$4,OR('Tasks Filter'!$I$3="",ISNUMBER(SEARCH('Tasks Filter'!$I$3,AU1392))),OR('Tasks Filter'!$I$4="",BF1392=IFERROR(MATCH('Tasks Filter'!$I$4,Setup!$L$6:$L$9,0),0)),OR('Tasks Filter'!$I$5="Both",AND('Tasks Filter'!$I$5="Yes",BB1392="✓"),AND('Tasks Filter'!$I$5="No",BB1392&lt;&gt;"✓")),OR('Tasks Filter'!$L$3="",AV1392='Tasks Filter'!$L$3),OR('Tasks Filter'!$L$4="",AZ1392='Tasks Filter'!$L$4),OR('Tasks Filter'!$L$5="",BC1392='Tasks Filter'!$L$5),OR('Tasks Filter'!$O$3="",BD1392='Tasks Filter'!$O$3),OR('Tasks Filter'!$O$4="Yes",BG1392=0)),1,0))</f>
        <v/>
      </c>
      <c r="BJ1392">
        <f>IF(BH1392=0,"",IF('Tasks Filter'!$F$6="Descending",-1,1)*CHOOSE(MATCH('Tasks Filter'!$F$5,Lists!$G$2:$G$6,0),AW1392,BF1392,IFERROR(MATCH(AV1392,Setup!$F$6:$F$15,0),99),IFERROR(MATCH(BC1392,Setup!$H$6:$H$15,0),99),IFERROR(MATCH(AZ1392,Setup!$J$6:$J$11,0),99))*1E+9+(AW1392-40000)*10000+1391)</f>
        <v/>
      </c>
      <c r="BK1392">
        <f>IF(BI1392=1,BJ1392,"")</f>
        <v/>
      </c>
      <c r="BL1392">
        <f>IF(AND(BH1392=1,BG1392=0,N(AW1392)&lt;Setup!$D$7),(AW1392-40000)*10000+1391,"")</f>
        <v/>
      </c>
      <c r="BM1392">
        <f>IF(AND(BH1392=1,AZ1392&lt;&gt;"Cancelled",N(AW1392)&gt;=Dashboard!$AB$3,N(AW1392)&lt;=Dashboard!$AB$3+6),(AW1392-40000)*100000+BF1392*10000+1391,"")</f>
        <v/>
      </c>
      <c r="BN1392">
        <f>IF(AND(BH1392=1,AZ1392&lt;&gt;"Cancelled"),BF1392*10000+1391,"")</f>
        <v/>
      </c>
    </row>
    <row r="1393">
      <c r="AS1393" t="inlineStr">
        <is>
          <t>R</t>
        </is>
      </c>
      <c r="AT1393" t="n">
        <v>1397</v>
      </c>
      <c r="AU1393">
        <f>'Recurring Log'!C1397&amp;""</f>
        <v/>
      </c>
      <c r="AV1393">
        <f>'Recurring Log'!D1397&amp;""</f>
        <v/>
      </c>
      <c r="AW1393">
        <f>IF('Recurring Log'!E1397="","",'Recurring Log'!E1397)</f>
        <v/>
      </c>
      <c r="AX1393">
        <f>IF('Recurring Log'!G1397="","",'Recurring Log'!G1397)</f>
        <v/>
      </c>
      <c r="AY1393">
        <f>IF('Recurring Log'!H1397="","",'Recurring Log'!H1397)</f>
        <v/>
      </c>
      <c r="AZ1393">
        <f>IF(AU1393="","",IF('Recurring Log'!J1397="","Not Started",'Recurring Log'!J1397))</f>
        <v/>
      </c>
      <c r="BA1393">
        <f>'Recurring Log'!L1397&amp;""</f>
        <v/>
      </c>
      <c r="BB1393">
        <f>'Recurring Log'!M1397&amp;""</f>
        <v/>
      </c>
      <c r="BC1393">
        <f>'Recurring Log'!N1397&amp;""</f>
        <v/>
      </c>
      <c r="BD1393">
        <f>'Recurring Log'!O1397&amp;""</f>
        <v/>
      </c>
      <c r="BE1393">
        <f>IF('Recurring Log'!K1397="","",'Recurring Log'!K1397)</f>
        <v/>
      </c>
      <c r="BF1393">
        <f>IFERROR(MATCH(BA1393,Setup!$L$6:$L$9,0),5)</f>
        <v/>
      </c>
      <c r="BG1393">
        <f>IF(OR(AZ1393="Done",AZ1393="Cancelled"),1,0)</f>
        <v/>
      </c>
      <c r="BH1393">
        <f>IF(AND(AU1393&lt;&gt;"",ISNUMBER(AW1393)),1,0)</f>
        <v/>
      </c>
      <c r="BI1393">
        <f>IF(BH1393=0,0,IF(AND(AW1393&gt;='Tasks Filter'!$F$3,AW1393&lt;='Tasks Filter'!$F$4,OR('Tasks Filter'!$I$3="",ISNUMBER(SEARCH('Tasks Filter'!$I$3,AU1393))),OR('Tasks Filter'!$I$4="",BF1393=IFERROR(MATCH('Tasks Filter'!$I$4,Setup!$L$6:$L$9,0),0)),OR('Tasks Filter'!$I$5="Both",AND('Tasks Filter'!$I$5="Yes",BB1393="✓"),AND('Tasks Filter'!$I$5="No",BB1393&lt;&gt;"✓")),OR('Tasks Filter'!$L$3="",AV1393='Tasks Filter'!$L$3),OR('Tasks Filter'!$L$4="",AZ1393='Tasks Filter'!$L$4),OR('Tasks Filter'!$L$5="",BC1393='Tasks Filter'!$L$5),OR('Tasks Filter'!$O$3="",BD1393='Tasks Filter'!$O$3),OR('Tasks Filter'!$O$4="Yes",BG1393=0)),1,0))</f>
        <v/>
      </c>
      <c r="BJ1393">
        <f>IF(BH1393=0,"",IF('Tasks Filter'!$F$6="Descending",-1,1)*CHOOSE(MATCH('Tasks Filter'!$F$5,Lists!$G$2:$G$6,0),AW1393,BF1393,IFERROR(MATCH(AV1393,Setup!$F$6:$F$15,0),99),IFERROR(MATCH(BC1393,Setup!$H$6:$H$15,0),99),IFERROR(MATCH(AZ1393,Setup!$J$6:$J$11,0),99))*1E+9+(AW1393-40000)*10000+1392)</f>
        <v/>
      </c>
      <c r="BK1393">
        <f>IF(BI1393=1,BJ1393,"")</f>
        <v/>
      </c>
      <c r="BL1393">
        <f>IF(AND(BH1393=1,BG1393=0,N(AW1393)&lt;Setup!$D$7),(AW1393-40000)*10000+1392,"")</f>
        <v/>
      </c>
      <c r="BM1393">
        <f>IF(AND(BH1393=1,AZ1393&lt;&gt;"Cancelled",N(AW1393)&gt;=Dashboard!$AB$3,N(AW1393)&lt;=Dashboard!$AB$3+6),(AW1393-40000)*100000+BF1393*10000+1392,"")</f>
        <v/>
      </c>
      <c r="BN1393">
        <f>IF(AND(BH1393=1,AZ1393&lt;&gt;"Cancelled"),BF1393*10000+1392,"")</f>
        <v/>
      </c>
    </row>
    <row r="1394">
      <c r="AS1394" t="inlineStr">
        <is>
          <t>R</t>
        </is>
      </c>
      <c r="AT1394" t="n">
        <v>1398</v>
      </c>
      <c r="AU1394">
        <f>'Recurring Log'!C1398&amp;""</f>
        <v/>
      </c>
      <c r="AV1394">
        <f>'Recurring Log'!D1398&amp;""</f>
        <v/>
      </c>
      <c r="AW1394">
        <f>IF('Recurring Log'!E1398="","",'Recurring Log'!E1398)</f>
        <v/>
      </c>
      <c r="AX1394">
        <f>IF('Recurring Log'!G1398="","",'Recurring Log'!G1398)</f>
        <v/>
      </c>
      <c r="AY1394">
        <f>IF('Recurring Log'!H1398="","",'Recurring Log'!H1398)</f>
        <v/>
      </c>
      <c r="AZ1394">
        <f>IF(AU1394="","",IF('Recurring Log'!J1398="","Not Started",'Recurring Log'!J1398))</f>
        <v/>
      </c>
      <c r="BA1394">
        <f>'Recurring Log'!L1398&amp;""</f>
        <v/>
      </c>
      <c r="BB1394">
        <f>'Recurring Log'!M1398&amp;""</f>
        <v/>
      </c>
      <c r="BC1394">
        <f>'Recurring Log'!N1398&amp;""</f>
        <v/>
      </c>
      <c r="BD1394">
        <f>'Recurring Log'!O1398&amp;""</f>
        <v/>
      </c>
      <c r="BE1394">
        <f>IF('Recurring Log'!K1398="","",'Recurring Log'!K1398)</f>
        <v/>
      </c>
      <c r="BF1394">
        <f>IFERROR(MATCH(BA1394,Setup!$L$6:$L$9,0),5)</f>
        <v/>
      </c>
      <c r="BG1394">
        <f>IF(OR(AZ1394="Done",AZ1394="Cancelled"),1,0)</f>
        <v/>
      </c>
      <c r="BH1394">
        <f>IF(AND(AU1394&lt;&gt;"",ISNUMBER(AW1394)),1,0)</f>
        <v/>
      </c>
      <c r="BI1394">
        <f>IF(BH1394=0,0,IF(AND(AW1394&gt;='Tasks Filter'!$F$3,AW1394&lt;='Tasks Filter'!$F$4,OR('Tasks Filter'!$I$3="",ISNUMBER(SEARCH('Tasks Filter'!$I$3,AU1394))),OR('Tasks Filter'!$I$4="",BF1394=IFERROR(MATCH('Tasks Filter'!$I$4,Setup!$L$6:$L$9,0),0)),OR('Tasks Filter'!$I$5="Both",AND('Tasks Filter'!$I$5="Yes",BB1394="✓"),AND('Tasks Filter'!$I$5="No",BB1394&lt;&gt;"✓")),OR('Tasks Filter'!$L$3="",AV1394='Tasks Filter'!$L$3),OR('Tasks Filter'!$L$4="",AZ1394='Tasks Filter'!$L$4),OR('Tasks Filter'!$L$5="",BC1394='Tasks Filter'!$L$5),OR('Tasks Filter'!$O$3="",BD1394='Tasks Filter'!$O$3),OR('Tasks Filter'!$O$4="Yes",BG1394=0)),1,0))</f>
        <v/>
      </c>
      <c r="BJ1394">
        <f>IF(BH1394=0,"",IF('Tasks Filter'!$F$6="Descending",-1,1)*CHOOSE(MATCH('Tasks Filter'!$F$5,Lists!$G$2:$G$6,0),AW1394,BF1394,IFERROR(MATCH(AV1394,Setup!$F$6:$F$15,0),99),IFERROR(MATCH(BC1394,Setup!$H$6:$H$15,0),99),IFERROR(MATCH(AZ1394,Setup!$J$6:$J$11,0),99))*1E+9+(AW1394-40000)*10000+1393)</f>
        <v/>
      </c>
      <c r="BK1394">
        <f>IF(BI1394=1,BJ1394,"")</f>
        <v/>
      </c>
      <c r="BL1394">
        <f>IF(AND(BH1394=1,BG1394=0,N(AW1394)&lt;Setup!$D$7),(AW1394-40000)*10000+1393,"")</f>
        <v/>
      </c>
      <c r="BM1394">
        <f>IF(AND(BH1394=1,AZ1394&lt;&gt;"Cancelled",N(AW1394)&gt;=Dashboard!$AB$3,N(AW1394)&lt;=Dashboard!$AB$3+6),(AW1394-40000)*100000+BF1394*10000+1393,"")</f>
        <v/>
      </c>
      <c r="BN1394">
        <f>IF(AND(BH1394=1,AZ1394&lt;&gt;"Cancelled"),BF1394*10000+1393,"")</f>
        <v/>
      </c>
    </row>
    <row r="1395">
      <c r="AS1395" t="inlineStr">
        <is>
          <t>R</t>
        </is>
      </c>
      <c r="AT1395" t="n">
        <v>1399</v>
      </c>
      <c r="AU1395">
        <f>'Recurring Log'!C1399&amp;""</f>
        <v/>
      </c>
      <c r="AV1395">
        <f>'Recurring Log'!D1399&amp;""</f>
        <v/>
      </c>
      <c r="AW1395">
        <f>IF('Recurring Log'!E1399="","",'Recurring Log'!E1399)</f>
        <v/>
      </c>
      <c r="AX1395">
        <f>IF('Recurring Log'!G1399="","",'Recurring Log'!G1399)</f>
        <v/>
      </c>
      <c r="AY1395">
        <f>IF('Recurring Log'!H1399="","",'Recurring Log'!H1399)</f>
        <v/>
      </c>
      <c r="AZ1395">
        <f>IF(AU1395="","",IF('Recurring Log'!J1399="","Not Started",'Recurring Log'!J1399))</f>
        <v/>
      </c>
      <c r="BA1395">
        <f>'Recurring Log'!L1399&amp;""</f>
        <v/>
      </c>
      <c r="BB1395">
        <f>'Recurring Log'!M1399&amp;""</f>
        <v/>
      </c>
      <c r="BC1395">
        <f>'Recurring Log'!N1399&amp;""</f>
        <v/>
      </c>
      <c r="BD1395">
        <f>'Recurring Log'!O1399&amp;""</f>
        <v/>
      </c>
      <c r="BE1395">
        <f>IF('Recurring Log'!K1399="","",'Recurring Log'!K1399)</f>
        <v/>
      </c>
      <c r="BF1395">
        <f>IFERROR(MATCH(BA1395,Setup!$L$6:$L$9,0),5)</f>
        <v/>
      </c>
      <c r="BG1395">
        <f>IF(OR(AZ1395="Done",AZ1395="Cancelled"),1,0)</f>
        <v/>
      </c>
      <c r="BH1395">
        <f>IF(AND(AU1395&lt;&gt;"",ISNUMBER(AW1395)),1,0)</f>
        <v/>
      </c>
      <c r="BI1395">
        <f>IF(BH1395=0,0,IF(AND(AW1395&gt;='Tasks Filter'!$F$3,AW1395&lt;='Tasks Filter'!$F$4,OR('Tasks Filter'!$I$3="",ISNUMBER(SEARCH('Tasks Filter'!$I$3,AU1395))),OR('Tasks Filter'!$I$4="",BF1395=IFERROR(MATCH('Tasks Filter'!$I$4,Setup!$L$6:$L$9,0),0)),OR('Tasks Filter'!$I$5="Both",AND('Tasks Filter'!$I$5="Yes",BB1395="✓"),AND('Tasks Filter'!$I$5="No",BB1395&lt;&gt;"✓")),OR('Tasks Filter'!$L$3="",AV1395='Tasks Filter'!$L$3),OR('Tasks Filter'!$L$4="",AZ1395='Tasks Filter'!$L$4),OR('Tasks Filter'!$L$5="",BC1395='Tasks Filter'!$L$5),OR('Tasks Filter'!$O$3="",BD1395='Tasks Filter'!$O$3),OR('Tasks Filter'!$O$4="Yes",BG1395=0)),1,0))</f>
        <v/>
      </c>
      <c r="BJ1395">
        <f>IF(BH1395=0,"",IF('Tasks Filter'!$F$6="Descending",-1,1)*CHOOSE(MATCH('Tasks Filter'!$F$5,Lists!$G$2:$G$6,0),AW1395,BF1395,IFERROR(MATCH(AV1395,Setup!$F$6:$F$15,0),99),IFERROR(MATCH(BC1395,Setup!$H$6:$H$15,0),99),IFERROR(MATCH(AZ1395,Setup!$J$6:$J$11,0),99))*1E+9+(AW1395-40000)*10000+1394)</f>
        <v/>
      </c>
      <c r="BK1395">
        <f>IF(BI1395=1,BJ1395,"")</f>
        <v/>
      </c>
      <c r="BL1395">
        <f>IF(AND(BH1395=1,BG1395=0,N(AW1395)&lt;Setup!$D$7),(AW1395-40000)*10000+1394,"")</f>
        <v/>
      </c>
      <c r="BM1395">
        <f>IF(AND(BH1395=1,AZ1395&lt;&gt;"Cancelled",N(AW1395)&gt;=Dashboard!$AB$3,N(AW1395)&lt;=Dashboard!$AB$3+6),(AW1395-40000)*100000+BF1395*10000+1394,"")</f>
        <v/>
      </c>
      <c r="BN1395">
        <f>IF(AND(BH1395=1,AZ1395&lt;&gt;"Cancelled"),BF1395*10000+1394,"")</f>
        <v/>
      </c>
    </row>
    <row r="1396">
      <c r="AS1396" t="inlineStr">
        <is>
          <t>R</t>
        </is>
      </c>
      <c r="AT1396" t="n">
        <v>1400</v>
      </c>
      <c r="AU1396">
        <f>'Recurring Log'!C1400&amp;""</f>
        <v/>
      </c>
      <c r="AV1396">
        <f>'Recurring Log'!D1400&amp;""</f>
        <v/>
      </c>
      <c r="AW1396">
        <f>IF('Recurring Log'!E1400="","",'Recurring Log'!E1400)</f>
        <v/>
      </c>
      <c r="AX1396">
        <f>IF('Recurring Log'!G1400="","",'Recurring Log'!G1400)</f>
        <v/>
      </c>
      <c r="AY1396">
        <f>IF('Recurring Log'!H1400="","",'Recurring Log'!H1400)</f>
        <v/>
      </c>
      <c r="AZ1396">
        <f>IF(AU1396="","",IF('Recurring Log'!J1400="","Not Started",'Recurring Log'!J1400))</f>
        <v/>
      </c>
      <c r="BA1396">
        <f>'Recurring Log'!L1400&amp;""</f>
        <v/>
      </c>
      <c r="BB1396">
        <f>'Recurring Log'!M1400&amp;""</f>
        <v/>
      </c>
      <c r="BC1396">
        <f>'Recurring Log'!N1400&amp;""</f>
        <v/>
      </c>
      <c r="BD1396">
        <f>'Recurring Log'!O1400&amp;""</f>
        <v/>
      </c>
      <c r="BE1396">
        <f>IF('Recurring Log'!K1400="","",'Recurring Log'!K1400)</f>
        <v/>
      </c>
      <c r="BF1396">
        <f>IFERROR(MATCH(BA1396,Setup!$L$6:$L$9,0),5)</f>
        <v/>
      </c>
      <c r="BG1396">
        <f>IF(OR(AZ1396="Done",AZ1396="Cancelled"),1,0)</f>
        <v/>
      </c>
      <c r="BH1396">
        <f>IF(AND(AU1396&lt;&gt;"",ISNUMBER(AW1396)),1,0)</f>
        <v/>
      </c>
      <c r="BI1396">
        <f>IF(BH1396=0,0,IF(AND(AW1396&gt;='Tasks Filter'!$F$3,AW1396&lt;='Tasks Filter'!$F$4,OR('Tasks Filter'!$I$3="",ISNUMBER(SEARCH('Tasks Filter'!$I$3,AU1396))),OR('Tasks Filter'!$I$4="",BF1396=IFERROR(MATCH('Tasks Filter'!$I$4,Setup!$L$6:$L$9,0),0)),OR('Tasks Filter'!$I$5="Both",AND('Tasks Filter'!$I$5="Yes",BB1396="✓"),AND('Tasks Filter'!$I$5="No",BB1396&lt;&gt;"✓")),OR('Tasks Filter'!$L$3="",AV1396='Tasks Filter'!$L$3),OR('Tasks Filter'!$L$4="",AZ1396='Tasks Filter'!$L$4),OR('Tasks Filter'!$L$5="",BC1396='Tasks Filter'!$L$5),OR('Tasks Filter'!$O$3="",BD1396='Tasks Filter'!$O$3),OR('Tasks Filter'!$O$4="Yes",BG1396=0)),1,0))</f>
        <v/>
      </c>
      <c r="BJ1396">
        <f>IF(BH1396=0,"",IF('Tasks Filter'!$F$6="Descending",-1,1)*CHOOSE(MATCH('Tasks Filter'!$F$5,Lists!$G$2:$G$6,0),AW1396,BF1396,IFERROR(MATCH(AV1396,Setup!$F$6:$F$15,0),99),IFERROR(MATCH(BC1396,Setup!$H$6:$H$15,0),99),IFERROR(MATCH(AZ1396,Setup!$J$6:$J$11,0),99))*1E+9+(AW1396-40000)*10000+1395)</f>
        <v/>
      </c>
      <c r="BK1396">
        <f>IF(BI1396=1,BJ1396,"")</f>
        <v/>
      </c>
      <c r="BL1396">
        <f>IF(AND(BH1396=1,BG1396=0,N(AW1396)&lt;Setup!$D$7),(AW1396-40000)*10000+1395,"")</f>
        <v/>
      </c>
      <c r="BM1396">
        <f>IF(AND(BH1396=1,AZ1396&lt;&gt;"Cancelled",N(AW1396)&gt;=Dashboard!$AB$3,N(AW1396)&lt;=Dashboard!$AB$3+6),(AW1396-40000)*100000+BF1396*10000+1395,"")</f>
        <v/>
      </c>
      <c r="BN1396">
        <f>IF(AND(BH1396=1,AZ1396&lt;&gt;"Cancelled"),BF1396*10000+1395,"")</f>
        <v/>
      </c>
    </row>
    <row r="1397">
      <c r="AS1397" t="inlineStr">
        <is>
          <t>R</t>
        </is>
      </c>
      <c r="AT1397" t="n">
        <v>1401</v>
      </c>
      <c r="AU1397">
        <f>'Recurring Log'!C1401&amp;""</f>
        <v/>
      </c>
      <c r="AV1397">
        <f>'Recurring Log'!D1401&amp;""</f>
        <v/>
      </c>
      <c r="AW1397">
        <f>IF('Recurring Log'!E1401="","",'Recurring Log'!E1401)</f>
        <v/>
      </c>
      <c r="AX1397">
        <f>IF('Recurring Log'!G1401="","",'Recurring Log'!G1401)</f>
        <v/>
      </c>
      <c r="AY1397">
        <f>IF('Recurring Log'!H1401="","",'Recurring Log'!H1401)</f>
        <v/>
      </c>
      <c r="AZ1397">
        <f>IF(AU1397="","",IF('Recurring Log'!J1401="","Not Started",'Recurring Log'!J1401))</f>
        <v/>
      </c>
      <c r="BA1397">
        <f>'Recurring Log'!L1401&amp;""</f>
        <v/>
      </c>
      <c r="BB1397">
        <f>'Recurring Log'!M1401&amp;""</f>
        <v/>
      </c>
      <c r="BC1397">
        <f>'Recurring Log'!N1401&amp;""</f>
        <v/>
      </c>
      <c r="BD1397">
        <f>'Recurring Log'!O1401&amp;""</f>
        <v/>
      </c>
      <c r="BE1397">
        <f>IF('Recurring Log'!K1401="","",'Recurring Log'!K1401)</f>
        <v/>
      </c>
      <c r="BF1397">
        <f>IFERROR(MATCH(BA1397,Setup!$L$6:$L$9,0),5)</f>
        <v/>
      </c>
      <c r="BG1397">
        <f>IF(OR(AZ1397="Done",AZ1397="Cancelled"),1,0)</f>
        <v/>
      </c>
      <c r="BH1397">
        <f>IF(AND(AU1397&lt;&gt;"",ISNUMBER(AW1397)),1,0)</f>
        <v/>
      </c>
      <c r="BI1397">
        <f>IF(BH1397=0,0,IF(AND(AW1397&gt;='Tasks Filter'!$F$3,AW1397&lt;='Tasks Filter'!$F$4,OR('Tasks Filter'!$I$3="",ISNUMBER(SEARCH('Tasks Filter'!$I$3,AU1397))),OR('Tasks Filter'!$I$4="",BF1397=IFERROR(MATCH('Tasks Filter'!$I$4,Setup!$L$6:$L$9,0),0)),OR('Tasks Filter'!$I$5="Both",AND('Tasks Filter'!$I$5="Yes",BB1397="✓"),AND('Tasks Filter'!$I$5="No",BB1397&lt;&gt;"✓")),OR('Tasks Filter'!$L$3="",AV1397='Tasks Filter'!$L$3),OR('Tasks Filter'!$L$4="",AZ1397='Tasks Filter'!$L$4),OR('Tasks Filter'!$L$5="",BC1397='Tasks Filter'!$L$5),OR('Tasks Filter'!$O$3="",BD1397='Tasks Filter'!$O$3),OR('Tasks Filter'!$O$4="Yes",BG1397=0)),1,0))</f>
        <v/>
      </c>
      <c r="BJ1397">
        <f>IF(BH1397=0,"",IF('Tasks Filter'!$F$6="Descending",-1,1)*CHOOSE(MATCH('Tasks Filter'!$F$5,Lists!$G$2:$G$6,0),AW1397,BF1397,IFERROR(MATCH(AV1397,Setup!$F$6:$F$15,0),99),IFERROR(MATCH(BC1397,Setup!$H$6:$H$15,0),99),IFERROR(MATCH(AZ1397,Setup!$J$6:$J$11,0),99))*1E+9+(AW1397-40000)*10000+1396)</f>
        <v/>
      </c>
      <c r="BK1397">
        <f>IF(BI1397=1,BJ1397,"")</f>
        <v/>
      </c>
      <c r="BL1397">
        <f>IF(AND(BH1397=1,BG1397=0,N(AW1397)&lt;Setup!$D$7),(AW1397-40000)*10000+1396,"")</f>
        <v/>
      </c>
      <c r="BM1397">
        <f>IF(AND(BH1397=1,AZ1397&lt;&gt;"Cancelled",N(AW1397)&gt;=Dashboard!$AB$3,N(AW1397)&lt;=Dashboard!$AB$3+6),(AW1397-40000)*100000+BF1397*10000+1396,"")</f>
        <v/>
      </c>
      <c r="BN1397">
        <f>IF(AND(BH1397=1,AZ1397&lt;&gt;"Cancelled"),BF1397*10000+1396,"")</f>
        <v/>
      </c>
    </row>
    <row r="1398">
      <c r="AS1398" t="inlineStr">
        <is>
          <t>R</t>
        </is>
      </c>
      <c r="AT1398" t="n">
        <v>1402</v>
      </c>
      <c r="AU1398">
        <f>'Recurring Log'!C1402&amp;""</f>
        <v/>
      </c>
      <c r="AV1398">
        <f>'Recurring Log'!D1402&amp;""</f>
        <v/>
      </c>
      <c r="AW1398">
        <f>IF('Recurring Log'!E1402="","",'Recurring Log'!E1402)</f>
        <v/>
      </c>
      <c r="AX1398">
        <f>IF('Recurring Log'!G1402="","",'Recurring Log'!G1402)</f>
        <v/>
      </c>
      <c r="AY1398">
        <f>IF('Recurring Log'!H1402="","",'Recurring Log'!H1402)</f>
        <v/>
      </c>
      <c r="AZ1398">
        <f>IF(AU1398="","",IF('Recurring Log'!J1402="","Not Started",'Recurring Log'!J1402))</f>
        <v/>
      </c>
      <c r="BA1398">
        <f>'Recurring Log'!L1402&amp;""</f>
        <v/>
      </c>
      <c r="BB1398">
        <f>'Recurring Log'!M1402&amp;""</f>
        <v/>
      </c>
      <c r="BC1398">
        <f>'Recurring Log'!N1402&amp;""</f>
        <v/>
      </c>
      <c r="BD1398">
        <f>'Recurring Log'!O1402&amp;""</f>
        <v/>
      </c>
      <c r="BE1398">
        <f>IF('Recurring Log'!K1402="","",'Recurring Log'!K1402)</f>
        <v/>
      </c>
      <c r="BF1398">
        <f>IFERROR(MATCH(BA1398,Setup!$L$6:$L$9,0),5)</f>
        <v/>
      </c>
      <c r="BG1398">
        <f>IF(OR(AZ1398="Done",AZ1398="Cancelled"),1,0)</f>
        <v/>
      </c>
      <c r="BH1398">
        <f>IF(AND(AU1398&lt;&gt;"",ISNUMBER(AW1398)),1,0)</f>
        <v/>
      </c>
      <c r="BI1398">
        <f>IF(BH1398=0,0,IF(AND(AW1398&gt;='Tasks Filter'!$F$3,AW1398&lt;='Tasks Filter'!$F$4,OR('Tasks Filter'!$I$3="",ISNUMBER(SEARCH('Tasks Filter'!$I$3,AU1398))),OR('Tasks Filter'!$I$4="",BF1398=IFERROR(MATCH('Tasks Filter'!$I$4,Setup!$L$6:$L$9,0),0)),OR('Tasks Filter'!$I$5="Both",AND('Tasks Filter'!$I$5="Yes",BB1398="✓"),AND('Tasks Filter'!$I$5="No",BB1398&lt;&gt;"✓")),OR('Tasks Filter'!$L$3="",AV1398='Tasks Filter'!$L$3),OR('Tasks Filter'!$L$4="",AZ1398='Tasks Filter'!$L$4),OR('Tasks Filter'!$L$5="",BC1398='Tasks Filter'!$L$5),OR('Tasks Filter'!$O$3="",BD1398='Tasks Filter'!$O$3),OR('Tasks Filter'!$O$4="Yes",BG1398=0)),1,0))</f>
        <v/>
      </c>
      <c r="BJ1398">
        <f>IF(BH1398=0,"",IF('Tasks Filter'!$F$6="Descending",-1,1)*CHOOSE(MATCH('Tasks Filter'!$F$5,Lists!$G$2:$G$6,0),AW1398,BF1398,IFERROR(MATCH(AV1398,Setup!$F$6:$F$15,0),99),IFERROR(MATCH(BC1398,Setup!$H$6:$H$15,0),99),IFERROR(MATCH(AZ1398,Setup!$J$6:$J$11,0),99))*1E+9+(AW1398-40000)*10000+1397)</f>
        <v/>
      </c>
      <c r="BK1398">
        <f>IF(BI1398=1,BJ1398,"")</f>
        <v/>
      </c>
      <c r="BL1398">
        <f>IF(AND(BH1398=1,BG1398=0,N(AW1398)&lt;Setup!$D$7),(AW1398-40000)*10000+1397,"")</f>
        <v/>
      </c>
      <c r="BM1398">
        <f>IF(AND(BH1398=1,AZ1398&lt;&gt;"Cancelled",N(AW1398)&gt;=Dashboard!$AB$3,N(AW1398)&lt;=Dashboard!$AB$3+6),(AW1398-40000)*100000+BF1398*10000+1397,"")</f>
        <v/>
      </c>
      <c r="BN1398">
        <f>IF(AND(BH1398=1,AZ1398&lt;&gt;"Cancelled"),BF1398*10000+1397,"")</f>
        <v/>
      </c>
    </row>
    <row r="1399">
      <c r="AS1399" t="inlineStr">
        <is>
          <t>R</t>
        </is>
      </c>
      <c r="AT1399" t="n">
        <v>1403</v>
      </c>
      <c r="AU1399">
        <f>'Recurring Log'!C1403&amp;""</f>
        <v/>
      </c>
      <c r="AV1399">
        <f>'Recurring Log'!D1403&amp;""</f>
        <v/>
      </c>
      <c r="AW1399">
        <f>IF('Recurring Log'!E1403="","",'Recurring Log'!E1403)</f>
        <v/>
      </c>
      <c r="AX1399">
        <f>IF('Recurring Log'!G1403="","",'Recurring Log'!G1403)</f>
        <v/>
      </c>
      <c r="AY1399">
        <f>IF('Recurring Log'!H1403="","",'Recurring Log'!H1403)</f>
        <v/>
      </c>
      <c r="AZ1399">
        <f>IF(AU1399="","",IF('Recurring Log'!J1403="","Not Started",'Recurring Log'!J1403))</f>
        <v/>
      </c>
      <c r="BA1399">
        <f>'Recurring Log'!L1403&amp;""</f>
        <v/>
      </c>
      <c r="BB1399">
        <f>'Recurring Log'!M1403&amp;""</f>
        <v/>
      </c>
      <c r="BC1399">
        <f>'Recurring Log'!N1403&amp;""</f>
        <v/>
      </c>
      <c r="BD1399">
        <f>'Recurring Log'!O1403&amp;""</f>
        <v/>
      </c>
      <c r="BE1399">
        <f>IF('Recurring Log'!K1403="","",'Recurring Log'!K1403)</f>
        <v/>
      </c>
      <c r="BF1399">
        <f>IFERROR(MATCH(BA1399,Setup!$L$6:$L$9,0),5)</f>
        <v/>
      </c>
      <c r="BG1399">
        <f>IF(OR(AZ1399="Done",AZ1399="Cancelled"),1,0)</f>
        <v/>
      </c>
      <c r="BH1399">
        <f>IF(AND(AU1399&lt;&gt;"",ISNUMBER(AW1399)),1,0)</f>
        <v/>
      </c>
      <c r="BI1399">
        <f>IF(BH1399=0,0,IF(AND(AW1399&gt;='Tasks Filter'!$F$3,AW1399&lt;='Tasks Filter'!$F$4,OR('Tasks Filter'!$I$3="",ISNUMBER(SEARCH('Tasks Filter'!$I$3,AU1399))),OR('Tasks Filter'!$I$4="",BF1399=IFERROR(MATCH('Tasks Filter'!$I$4,Setup!$L$6:$L$9,0),0)),OR('Tasks Filter'!$I$5="Both",AND('Tasks Filter'!$I$5="Yes",BB1399="✓"),AND('Tasks Filter'!$I$5="No",BB1399&lt;&gt;"✓")),OR('Tasks Filter'!$L$3="",AV1399='Tasks Filter'!$L$3),OR('Tasks Filter'!$L$4="",AZ1399='Tasks Filter'!$L$4),OR('Tasks Filter'!$L$5="",BC1399='Tasks Filter'!$L$5),OR('Tasks Filter'!$O$3="",BD1399='Tasks Filter'!$O$3),OR('Tasks Filter'!$O$4="Yes",BG1399=0)),1,0))</f>
        <v/>
      </c>
      <c r="BJ1399">
        <f>IF(BH1399=0,"",IF('Tasks Filter'!$F$6="Descending",-1,1)*CHOOSE(MATCH('Tasks Filter'!$F$5,Lists!$G$2:$G$6,0),AW1399,BF1399,IFERROR(MATCH(AV1399,Setup!$F$6:$F$15,0),99),IFERROR(MATCH(BC1399,Setup!$H$6:$H$15,0),99),IFERROR(MATCH(AZ1399,Setup!$J$6:$J$11,0),99))*1E+9+(AW1399-40000)*10000+1398)</f>
        <v/>
      </c>
      <c r="BK1399">
        <f>IF(BI1399=1,BJ1399,"")</f>
        <v/>
      </c>
      <c r="BL1399">
        <f>IF(AND(BH1399=1,BG1399=0,N(AW1399)&lt;Setup!$D$7),(AW1399-40000)*10000+1398,"")</f>
        <v/>
      </c>
      <c r="BM1399">
        <f>IF(AND(BH1399=1,AZ1399&lt;&gt;"Cancelled",N(AW1399)&gt;=Dashboard!$AB$3,N(AW1399)&lt;=Dashboard!$AB$3+6),(AW1399-40000)*100000+BF1399*10000+1398,"")</f>
        <v/>
      </c>
      <c r="BN1399">
        <f>IF(AND(BH1399=1,AZ1399&lt;&gt;"Cancelled"),BF1399*10000+1398,"")</f>
        <v/>
      </c>
    </row>
    <row r="1400">
      <c r="AS1400" t="inlineStr">
        <is>
          <t>R</t>
        </is>
      </c>
      <c r="AT1400" t="n">
        <v>1404</v>
      </c>
      <c r="AU1400">
        <f>'Recurring Log'!C1404&amp;""</f>
        <v/>
      </c>
      <c r="AV1400">
        <f>'Recurring Log'!D1404&amp;""</f>
        <v/>
      </c>
      <c r="AW1400">
        <f>IF('Recurring Log'!E1404="","",'Recurring Log'!E1404)</f>
        <v/>
      </c>
      <c r="AX1400">
        <f>IF('Recurring Log'!G1404="","",'Recurring Log'!G1404)</f>
        <v/>
      </c>
      <c r="AY1400">
        <f>IF('Recurring Log'!H1404="","",'Recurring Log'!H1404)</f>
        <v/>
      </c>
      <c r="AZ1400">
        <f>IF(AU1400="","",IF('Recurring Log'!J1404="","Not Started",'Recurring Log'!J1404))</f>
        <v/>
      </c>
      <c r="BA1400">
        <f>'Recurring Log'!L1404&amp;""</f>
        <v/>
      </c>
      <c r="BB1400">
        <f>'Recurring Log'!M1404&amp;""</f>
        <v/>
      </c>
      <c r="BC1400">
        <f>'Recurring Log'!N1404&amp;""</f>
        <v/>
      </c>
      <c r="BD1400">
        <f>'Recurring Log'!O1404&amp;""</f>
        <v/>
      </c>
      <c r="BE1400">
        <f>IF('Recurring Log'!K1404="","",'Recurring Log'!K1404)</f>
        <v/>
      </c>
      <c r="BF1400">
        <f>IFERROR(MATCH(BA1400,Setup!$L$6:$L$9,0),5)</f>
        <v/>
      </c>
      <c r="BG1400">
        <f>IF(OR(AZ1400="Done",AZ1400="Cancelled"),1,0)</f>
        <v/>
      </c>
      <c r="BH1400">
        <f>IF(AND(AU1400&lt;&gt;"",ISNUMBER(AW1400)),1,0)</f>
        <v/>
      </c>
      <c r="BI1400">
        <f>IF(BH1400=0,0,IF(AND(AW1400&gt;='Tasks Filter'!$F$3,AW1400&lt;='Tasks Filter'!$F$4,OR('Tasks Filter'!$I$3="",ISNUMBER(SEARCH('Tasks Filter'!$I$3,AU1400))),OR('Tasks Filter'!$I$4="",BF1400=IFERROR(MATCH('Tasks Filter'!$I$4,Setup!$L$6:$L$9,0),0)),OR('Tasks Filter'!$I$5="Both",AND('Tasks Filter'!$I$5="Yes",BB1400="✓"),AND('Tasks Filter'!$I$5="No",BB1400&lt;&gt;"✓")),OR('Tasks Filter'!$L$3="",AV1400='Tasks Filter'!$L$3),OR('Tasks Filter'!$L$4="",AZ1400='Tasks Filter'!$L$4),OR('Tasks Filter'!$L$5="",BC1400='Tasks Filter'!$L$5),OR('Tasks Filter'!$O$3="",BD1400='Tasks Filter'!$O$3),OR('Tasks Filter'!$O$4="Yes",BG1400=0)),1,0))</f>
        <v/>
      </c>
      <c r="BJ1400">
        <f>IF(BH1400=0,"",IF('Tasks Filter'!$F$6="Descending",-1,1)*CHOOSE(MATCH('Tasks Filter'!$F$5,Lists!$G$2:$G$6,0),AW1400,BF1400,IFERROR(MATCH(AV1400,Setup!$F$6:$F$15,0),99),IFERROR(MATCH(BC1400,Setup!$H$6:$H$15,0),99),IFERROR(MATCH(AZ1400,Setup!$J$6:$J$11,0),99))*1E+9+(AW1400-40000)*10000+1399)</f>
        <v/>
      </c>
      <c r="BK1400">
        <f>IF(BI1400=1,BJ1400,"")</f>
        <v/>
      </c>
      <c r="BL1400">
        <f>IF(AND(BH1400=1,BG1400=0,N(AW1400)&lt;Setup!$D$7),(AW1400-40000)*10000+1399,"")</f>
        <v/>
      </c>
      <c r="BM1400">
        <f>IF(AND(BH1400=1,AZ1400&lt;&gt;"Cancelled",N(AW1400)&gt;=Dashboard!$AB$3,N(AW1400)&lt;=Dashboard!$AB$3+6),(AW1400-40000)*100000+BF1400*10000+1399,"")</f>
        <v/>
      </c>
      <c r="BN1400">
        <f>IF(AND(BH1400=1,AZ1400&lt;&gt;"Cancelled"),BF1400*10000+1399,"")</f>
        <v/>
      </c>
    </row>
    <row r="1401">
      <c r="AS1401" t="inlineStr">
        <is>
          <t>R</t>
        </is>
      </c>
      <c r="AT1401" t="n">
        <v>1405</v>
      </c>
      <c r="AU1401">
        <f>'Recurring Log'!C1405&amp;""</f>
        <v/>
      </c>
      <c r="AV1401">
        <f>'Recurring Log'!D1405&amp;""</f>
        <v/>
      </c>
      <c r="AW1401">
        <f>IF('Recurring Log'!E1405="","",'Recurring Log'!E1405)</f>
        <v/>
      </c>
      <c r="AX1401">
        <f>IF('Recurring Log'!G1405="","",'Recurring Log'!G1405)</f>
        <v/>
      </c>
      <c r="AY1401">
        <f>IF('Recurring Log'!H1405="","",'Recurring Log'!H1405)</f>
        <v/>
      </c>
      <c r="AZ1401">
        <f>IF(AU1401="","",IF('Recurring Log'!J1405="","Not Started",'Recurring Log'!J1405))</f>
        <v/>
      </c>
      <c r="BA1401">
        <f>'Recurring Log'!L1405&amp;""</f>
        <v/>
      </c>
      <c r="BB1401">
        <f>'Recurring Log'!M1405&amp;""</f>
        <v/>
      </c>
      <c r="BC1401">
        <f>'Recurring Log'!N1405&amp;""</f>
        <v/>
      </c>
      <c r="BD1401">
        <f>'Recurring Log'!O1405&amp;""</f>
        <v/>
      </c>
      <c r="BE1401">
        <f>IF('Recurring Log'!K1405="","",'Recurring Log'!K1405)</f>
        <v/>
      </c>
      <c r="BF1401">
        <f>IFERROR(MATCH(BA1401,Setup!$L$6:$L$9,0),5)</f>
        <v/>
      </c>
      <c r="BG1401">
        <f>IF(OR(AZ1401="Done",AZ1401="Cancelled"),1,0)</f>
        <v/>
      </c>
      <c r="BH1401">
        <f>IF(AND(AU1401&lt;&gt;"",ISNUMBER(AW1401)),1,0)</f>
        <v/>
      </c>
      <c r="BI1401">
        <f>IF(BH1401=0,0,IF(AND(AW1401&gt;='Tasks Filter'!$F$3,AW1401&lt;='Tasks Filter'!$F$4,OR('Tasks Filter'!$I$3="",ISNUMBER(SEARCH('Tasks Filter'!$I$3,AU1401))),OR('Tasks Filter'!$I$4="",BF1401=IFERROR(MATCH('Tasks Filter'!$I$4,Setup!$L$6:$L$9,0),0)),OR('Tasks Filter'!$I$5="Both",AND('Tasks Filter'!$I$5="Yes",BB1401="✓"),AND('Tasks Filter'!$I$5="No",BB1401&lt;&gt;"✓")),OR('Tasks Filter'!$L$3="",AV1401='Tasks Filter'!$L$3),OR('Tasks Filter'!$L$4="",AZ1401='Tasks Filter'!$L$4),OR('Tasks Filter'!$L$5="",BC1401='Tasks Filter'!$L$5),OR('Tasks Filter'!$O$3="",BD1401='Tasks Filter'!$O$3),OR('Tasks Filter'!$O$4="Yes",BG1401=0)),1,0))</f>
        <v/>
      </c>
      <c r="BJ1401">
        <f>IF(BH1401=0,"",IF('Tasks Filter'!$F$6="Descending",-1,1)*CHOOSE(MATCH('Tasks Filter'!$F$5,Lists!$G$2:$G$6,0),AW1401,BF1401,IFERROR(MATCH(AV1401,Setup!$F$6:$F$15,0),99),IFERROR(MATCH(BC1401,Setup!$H$6:$H$15,0),99),IFERROR(MATCH(AZ1401,Setup!$J$6:$J$11,0),99))*1E+9+(AW1401-40000)*10000+1400)</f>
        <v/>
      </c>
      <c r="BK1401">
        <f>IF(BI1401=1,BJ1401,"")</f>
        <v/>
      </c>
      <c r="BL1401">
        <f>IF(AND(BH1401=1,BG1401=0,N(AW1401)&lt;Setup!$D$7),(AW1401-40000)*10000+1400,"")</f>
        <v/>
      </c>
      <c r="BM1401">
        <f>IF(AND(BH1401=1,AZ1401&lt;&gt;"Cancelled",N(AW1401)&gt;=Dashboard!$AB$3,N(AW1401)&lt;=Dashboard!$AB$3+6),(AW1401-40000)*100000+BF1401*10000+1400,"")</f>
        <v/>
      </c>
      <c r="BN1401">
        <f>IF(AND(BH1401=1,AZ1401&lt;&gt;"Cancelled"),BF1401*10000+1400,"")</f>
        <v/>
      </c>
    </row>
    <row r="1402">
      <c r="AS1402" t="inlineStr">
        <is>
          <t>R</t>
        </is>
      </c>
      <c r="AT1402" t="n">
        <v>1406</v>
      </c>
      <c r="AU1402">
        <f>'Recurring Log'!C1406&amp;""</f>
        <v/>
      </c>
      <c r="AV1402">
        <f>'Recurring Log'!D1406&amp;""</f>
        <v/>
      </c>
      <c r="AW1402">
        <f>IF('Recurring Log'!E1406="","",'Recurring Log'!E1406)</f>
        <v/>
      </c>
      <c r="AX1402">
        <f>IF('Recurring Log'!G1406="","",'Recurring Log'!G1406)</f>
        <v/>
      </c>
      <c r="AY1402">
        <f>IF('Recurring Log'!H1406="","",'Recurring Log'!H1406)</f>
        <v/>
      </c>
      <c r="AZ1402">
        <f>IF(AU1402="","",IF('Recurring Log'!J1406="","Not Started",'Recurring Log'!J1406))</f>
        <v/>
      </c>
      <c r="BA1402">
        <f>'Recurring Log'!L1406&amp;""</f>
        <v/>
      </c>
      <c r="BB1402">
        <f>'Recurring Log'!M1406&amp;""</f>
        <v/>
      </c>
      <c r="BC1402">
        <f>'Recurring Log'!N1406&amp;""</f>
        <v/>
      </c>
      <c r="BD1402">
        <f>'Recurring Log'!O1406&amp;""</f>
        <v/>
      </c>
      <c r="BE1402">
        <f>IF('Recurring Log'!K1406="","",'Recurring Log'!K1406)</f>
        <v/>
      </c>
      <c r="BF1402">
        <f>IFERROR(MATCH(BA1402,Setup!$L$6:$L$9,0),5)</f>
        <v/>
      </c>
      <c r="BG1402">
        <f>IF(OR(AZ1402="Done",AZ1402="Cancelled"),1,0)</f>
        <v/>
      </c>
      <c r="BH1402">
        <f>IF(AND(AU1402&lt;&gt;"",ISNUMBER(AW1402)),1,0)</f>
        <v/>
      </c>
      <c r="BI1402">
        <f>IF(BH1402=0,0,IF(AND(AW1402&gt;='Tasks Filter'!$F$3,AW1402&lt;='Tasks Filter'!$F$4,OR('Tasks Filter'!$I$3="",ISNUMBER(SEARCH('Tasks Filter'!$I$3,AU1402))),OR('Tasks Filter'!$I$4="",BF1402=IFERROR(MATCH('Tasks Filter'!$I$4,Setup!$L$6:$L$9,0),0)),OR('Tasks Filter'!$I$5="Both",AND('Tasks Filter'!$I$5="Yes",BB1402="✓"),AND('Tasks Filter'!$I$5="No",BB1402&lt;&gt;"✓")),OR('Tasks Filter'!$L$3="",AV1402='Tasks Filter'!$L$3),OR('Tasks Filter'!$L$4="",AZ1402='Tasks Filter'!$L$4),OR('Tasks Filter'!$L$5="",BC1402='Tasks Filter'!$L$5),OR('Tasks Filter'!$O$3="",BD1402='Tasks Filter'!$O$3),OR('Tasks Filter'!$O$4="Yes",BG1402=0)),1,0))</f>
        <v/>
      </c>
      <c r="BJ1402">
        <f>IF(BH1402=0,"",IF('Tasks Filter'!$F$6="Descending",-1,1)*CHOOSE(MATCH('Tasks Filter'!$F$5,Lists!$G$2:$G$6,0),AW1402,BF1402,IFERROR(MATCH(AV1402,Setup!$F$6:$F$15,0),99),IFERROR(MATCH(BC1402,Setup!$H$6:$H$15,0),99),IFERROR(MATCH(AZ1402,Setup!$J$6:$J$11,0),99))*1E+9+(AW1402-40000)*10000+1401)</f>
        <v/>
      </c>
      <c r="BK1402">
        <f>IF(BI1402=1,BJ1402,"")</f>
        <v/>
      </c>
      <c r="BL1402">
        <f>IF(AND(BH1402=1,BG1402=0,N(AW1402)&lt;Setup!$D$7),(AW1402-40000)*10000+1401,"")</f>
        <v/>
      </c>
      <c r="BM1402">
        <f>IF(AND(BH1402=1,AZ1402&lt;&gt;"Cancelled",N(AW1402)&gt;=Dashboard!$AB$3,N(AW1402)&lt;=Dashboard!$AB$3+6),(AW1402-40000)*100000+BF1402*10000+1401,"")</f>
        <v/>
      </c>
      <c r="BN1402">
        <f>IF(AND(BH1402=1,AZ1402&lt;&gt;"Cancelled"),BF1402*10000+1401,"")</f>
        <v/>
      </c>
    </row>
    <row r="1403">
      <c r="AS1403" t="inlineStr">
        <is>
          <t>R</t>
        </is>
      </c>
      <c r="AT1403" t="n">
        <v>1407</v>
      </c>
      <c r="AU1403">
        <f>'Recurring Log'!C1407&amp;""</f>
        <v/>
      </c>
      <c r="AV1403">
        <f>'Recurring Log'!D1407&amp;""</f>
        <v/>
      </c>
      <c r="AW1403">
        <f>IF('Recurring Log'!E1407="","",'Recurring Log'!E1407)</f>
        <v/>
      </c>
      <c r="AX1403">
        <f>IF('Recurring Log'!G1407="","",'Recurring Log'!G1407)</f>
        <v/>
      </c>
      <c r="AY1403">
        <f>IF('Recurring Log'!H1407="","",'Recurring Log'!H1407)</f>
        <v/>
      </c>
      <c r="AZ1403">
        <f>IF(AU1403="","",IF('Recurring Log'!J1407="","Not Started",'Recurring Log'!J1407))</f>
        <v/>
      </c>
      <c r="BA1403">
        <f>'Recurring Log'!L1407&amp;""</f>
        <v/>
      </c>
      <c r="BB1403">
        <f>'Recurring Log'!M1407&amp;""</f>
        <v/>
      </c>
      <c r="BC1403">
        <f>'Recurring Log'!N1407&amp;""</f>
        <v/>
      </c>
      <c r="BD1403">
        <f>'Recurring Log'!O1407&amp;""</f>
        <v/>
      </c>
      <c r="BE1403">
        <f>IF('Recurring Log'!K1407="","",'Recurring Log'!K1407)</f>
        <v/>
      </c>
      <c r="BF1403">
        <f>IFERROR(MATCH(BA1403,Setup!$L$6:$L$9,0),5)</f>
        <v/>
      </c>
      <c r="BG1403">
        <f>IF(OR(AZ1403="Done",AZ1403="Cancelled"),1,0)</f>
        <v/>
      </c>
      <c r="BH1403">
        <f>IF(AND(AU1403&lt;&gt;"",ISNUMBER(AW1403)),1,0)</f>
        <v/>
      </c>
      <c r="BI1403">
        <f>IF(BH1403=0,0,IF(AND(AW1403&gt;='Tasks Filter'!$F$3,AW1403&lt;='Tasks Filter'!$F$4,OR('Tasks Filter'!$I$3="",ISNUMBER(SEARCH('Tasks Filter'!$I$3,AU1403))),OR('Tasks Filter'!$I$4="",BF1403=IFERROR(MATCH('Tasks Filter'!$I$4,Setup!$L$6:$L$9,0),0)),OR('Tasks Filter'!$I$5="Both",AND('Tasks Filter'!$I$5="Yes",BB1403="✓"),AND('Tasks Filter'!$I$5="No",BB1403&lt;&gt;"✓")),OR('Tasks Filter'!$L$3="",AV1403='Tasks Filter'!$L$3),OR('Tasks Filter'!$L$4="",AZ1403='Tasks Filter'!$L$4),OR('Tasks Filter'!$L$5="",BC1403='Tasks Filter'!$L$5),OR('Tasks Filter'!$O$3="",BD1403='Tasks Filter'!$O$3),OR('Tasks Filter'!$O$4="Yes",BG1403=0)),1,0))</f>
        <v/>
      </c>
      <c r="BJ1403">
        <f>IF(BH1403=0,"",IF('Tasks Filter'!$F$6="Descending",-1,1)*CHOOSE(MATCH('Tasks Filter'!$F$5,Lists!$G$2:$G$6,0),AW1403,BF1403,IFERROR(MATCH(AV1403,Setup!$F$6:$F$15,0),99),IFERROR(MATCH(BC1403,Setup!$H$6:$H$15,0),99),IFERROR(MATCH(AZ1403,Setup!$J$6:$J$11,0),99))*1E+9+(AW1403-40000)*10000+1402)</f>
        <v/>
      </c>
      <c r="BK1403">
        <f>IF(BI1403=1,BJ1403,"")</f>
        <v/>
      </c>
      <c r="BL1403">
        <f>IF(AND(BH1403=1,BG1403=0,N(AW1403)&lt;Setup!$D$7),(AW1403-40000)*10000+1402,"")</f>
        <v/>
      </c>
      <c r="BM1403">
        <f>IF(AND(BH1403=1,AZ1403&lt;&gt;"Cancelled",N(AW1403)&gt;=Dashboard!$AB$3,N(AW1403)&lt;=Dashboard!$AB$3+6),(AW1403-40000)*100000+BF1403*10000+1402,"")</f>
        <v/>
      </c>
      <c r="BN1403">
        <f>IF(AND(BH1403=1,AZ1403&lt;&gt;"Cancelled"),BF1403*10000+1402,"")</f>
        <v/>
      </c>
    </row>
    <row r="1404">
      <c r="AS1404" t="inlineStr">
        <is>
          <t>R</t>
        </is>
      </c>
      <c r="AT1404" t="n">
        <v>1408</v>
      </c>
      <c r="AU1404">
        <f>'Recurring Log'!C1408&amp;""</f>
        <v/>
      </c>
      <c r="AV1404">
        <f>'Recurring Log'!D1408&amp;""</f>
        <v/>
      </c>
      <c r="AW1404">
        <f>IF('Recurring Log'!E1408="","",'Recurring Log'!E1408)</f>
        <v/>
      </c>
      <c r="AX1404">
        <f>IF('Recurring Log'!G1408="","",'Recurring Log'!G1408)</f>
        <v/>
      </c>
      <c r="AY1404">
        <f>IF('Recurring Log'!H1408="","",'Recurring Log'!H1408)</f>
        <v/>
      </c>
      <c r="AZ1404">
        <f>IF(AU1404="","",IF('Recurring Log'!J1408="","Not Started",'Recurring Log'!J1408))</f>
        <v/>
      </c>
      <c r="BA1404">
        <f>'Recurring Log'!L1408&amp;""</f>
        <v/>
      </c>
      <c r="BB1404">
        <f>'Recurring Log'!M1408&amp;""</f>
        <v/>
      </c>
      <c r="BC1404">
        <f>'Recurring Log'!N1408&amp;""</f>
        <v/>
      </c>
      <c r="BD1404">
        <f>'Recurring Log'!O1408&amp;""</f>
        <v/>
      </c>
      <c r="BE1404">
        <f>IF('Recurring Log'!K1408="","",'Recurring Log'!K1408)</f>
        <v/>
      </c>
      <c r="BF1404">
        <f>IFERROR(MATCH(BA1404,Setup!$L$6:$L$9,0),5)</f>
        <v/>
      </c>
      <c r="BG1404">
        <f>IF(OR(AZ1404="Done",AZ1404="Cancelled"),1,0)</f>
        <v/>
      </c>
      <c r="BH1404">
        <f>IF(AND(AU1404&lt;&gt;"",ISNUMBER(AW1404)),1,0)</f>
        <v/>
      </c>
      <c r="BI1404">
        <f>IF(BH1404=0,0,IF(AND(AW1404&gt;='Tasks Filter'!$F$3,AW1404&lt;='Tasks Filter'!$F$4,OR('Tasks Filter'!$I$3="",ISNUMBER(SEARCH('Tasks Filter'!$I$3,AU1404))),OR('Tasks Filter'!$I$4="",BF1404=IFERROR(MATCH('Tasks Filter'!$I$4,Setup!$L$6:$L$9,0),0)),OR('Tasks Filter'!$I$5="Both",AND('Tasks Filter'!$I$5="Yes",BB1404="✓"),AND('Tasks Filter'!$I$5="No",BB1404&lt;&gt;"✓")),OR('Tasks Filter'!$L$3="",AV1404='Tasks Filter'!$L$3),OR('Tasks Filter'!$L$4="",AZ1404='Tasks Filter'!$L$4),OR('Tasks Filter'!$L$5="",BC1404='Tasks Filter'!$L$5),OR('Tasks Filter'!$O$3="",BD1404='Tasks Filter'!$O$3),OR('Tasks Filter'!$O$4="Yes",BG1404=0)),1,0))</f>
        <v/>
      </c>
      <c r="BJ1404">
        <f>IF(BH1404=0,"",IF('Tasks Filter'!$F$6="Descending",-1,1)*CHOOSE(MATCH('Tasks Filter'!$F$5,Lists!$G$2:$G$6,0),AW1404,BF1404,IFERROR(MATCH(AV1404,Setup!$F$6:$F$15,0),99),IFERROR(MATCH(BC1404,Setup!$H$6:$H$15,0),99),IFERROR(MATCH(AZ1404,Setup!$J$6:$J$11,0),99))*1E+9+(AW1404-40000)*10000+1403)</f>
        <v/>
      </c>
      <c r="BK1404">
        <f>IF(BI1404=1,BJ1404,"")</f>
        <v/>
      </c>
      <c r="BL1404">
        <f>IF(AND(BH1404=1,BG1404=0,N(AW1404)&lt;Setup!$D$7),(AW1404-40000)*10000+1403,"")</f>
        <v/>
      </c>
      <c r="BM1404">
        <f>IF(AND(BH1404=1,AZ1404&lt;&gt;"Cancelled",N(AW1404)&gt;=Dashboard!$AB$3,N(AW1404)&lt;=Dashboard!$AB$3+6),(AW1404-40000)*100000+BF1404*10000+1403,"")</f>
        <v/>
      </c>
      <c r="BN1404">
        <f>IF(AND(BH1404=1,AZ1404&lt;&gt;"Cancelled"),BF1404*10000+1403,"")</f>
        <v/>
      </c>
    </row>
    <row r="1405">
      <c r="AS1405" t="inlineStr">
        <is>
          <t>R</t>
        </is>
      </c>
      <c r="AT1405" t="n">
        <v>1409</v>
      </c>
      <c r="AU1405">
        <f>'Recurring Log'!C1409&amp;""</f>
        <v/>
      </c>
      <c r="AV1405">
        <f>'Recurring Log'!D1409&amp;""</f>
        <v/>
      </c>
      <c r="AW1405">
        <f>IF('Recurring Log'!E1409="","",'Recurring Log'!E1409)</f>
        <v/>
      </c>
      <c r="AX1405">
        <f>IF('Recurring Log'!G1409="","",'Recurring Log'!G1409)</f>
        <v/>
      </c>
      <c r="AY1405">
        <f>IF('Recurring Log'!H1409="","",'Recurring Log'!H1409)</f>
        <v/>
      </c>
      <c r="AZ1405">
        <f>IF(AU1405="","",IF('Recurring Log'!J1409="","Not Started",'Recurring Log'!J1409))</f>
        <v/>
      </c>
      <c r="BA1405">
        <f>'Recurring Log'!L1409&amp;""</f>
        <v/>
      </c>
      <c r="BB1405">
        <f>'Recurring Log'!M1409&amp;""</f>
        <v/>
      </c>
      <c r="BC1405">
        <f>'Recurring Log'!N1409&amp;""</f>
        <v/>
      </c>
      <c r="BD1405">
        <f>'Recurring Log'!O1409&amp;""</f>
        <v/>
      </c>
      <c r="BE1405">
        <f>IF('Recurring Log'!K1409="","",'Recurring Log'!K1409)</f>
        <v/>
      </c>
      <c r="BF1405">
        <f>IFERROR(MATCH(BA1405,Setup!$L$6:$L$9,0),5)</f>
        <v/>
      </c>
      <c r="BG1405">
        <f>IF(OR(AZ1405="Done",AZ1405="Cancelled"),1,0)</f>
        <v/>
      </c>
      <c r="BH1405">
        <f>IF(AND(AU1405&lt;&gt;"",ISNUMBER(AW1405)),1,0)</f>
        <v/>
      </c>
      <c r="BI1405">
        <f>IF(BH1405=0,0,IF(AND(AW1405&gt;='Tasks Filter'!$F$3,AW1405&lt;='Tasks Filter'!$F$4,OR('Tasks Filter'!$I$3="",ISNUMBER(SEARCH('Tasks Filter'!$I$3,AU1405))),OR('Tasks Filter'!$I$4="",BF1405=IFERROR(MATCH('Tasks Filter'!$I$4,Setup!$L$6:$L$9,0),0)),OR('Tasks Filter'!$I$5="Both",AND('Tasks Filter'!$I$5="Yes",BB1405="✓"),AND('Tasks Filter'!$I$5="No",BB1405&lt;&gt;"✓")),OR('Tasks Filter'!$L$3="",AV1405='Tasks Filter'!$L$3),OR('Tasks Filter'!$L$4="",AZ1405='Tasks Filter'!$L$4),OR('Tasks Filter'!$L$5="",BC1405='Tasks Filter'!$L$5),OR('Tasks Filter'!$O$3="",BD1405='Tasks Filter'!$O$3),OR('Tasks Filter'!$O$4="Yes",BG1405=0)),1,0))</f>
        <v/>
      </c>
      <c r="BJ1405">
        <f>IF(BH1405=0,"",IF('Tasks Filter'!$F$6="Descending",-1,1)*CHOOSE(MATCH('Tasks Filter'!$F$5,Lists!$G$2:$G$6,0),AW1405,BF1405,IFERROR(MATCH(AV1405,Setup!$F$6:$F$15,0),99),IFERROR(MATCH(BC1405,Setup!$H$6:$H$15,0),99),IFERROR(MATCH(AZ1405,Setup!$J$6:$J$11,0),99))*1E+9+(AW1405-40000)*10000+1404)</f>
        <v/>
      </c>
      <c r="BK1405">
        <f>IF(BI1405=1,BJ1405,"")</f>
        <v/>
      </c>
      <c r="BL1405">
        <f>IF(AND(BH1405=1,BG1405=0,N(AW1405)&lt;Setup!$D$7),(AW1405-40000)*10000+1404,"")</f>
        <v/>
      </c>
      <c r="BM1405">
        <f>IF(AND(BH1405=1,AZ1405&lt;&gt;"Cancelled",N(AW1405)&gt;=Dashboard!$AB$3,N(AW1405)&lt;=Dashboard!$AB$3+6),(AW1405-40000)*100000+BF1405*10000+1404,"")</f>
        <v/>
      </c>
      <c r="BN1405">
        <f>IF(AND(BH1405=1,AZ1405&lt;&gt;"Cancelled"),BF1405*10000+1404,"")</f>
        <v/>
      </c>
    </row>
    <row r="1406">
      <c r="AS1406" t="inlineStr">
        <is>
          <t>R</t>
        </is>
      </c>
      <c r="AT1406" t="n">
        <v>1410</v>
      </c>
      <c r="AU1406">
        <f>'Recurring Log'!C1410&amp;""</f>
        <v/>
      </c>
      <c r="AV1406">
        <f>'Recurring Log'!D1410&amp;""</f>
        <v/>
      </c>
      <c r="AW1406">
        <f>IF('Recurring Log'!E1410="","",'Recurring Log'!E1410)</f>
        <v/>
      </c>
      <c r="AX1406">
        <f>IF('Recurring Log'!G1410="","",'Recurring Log'!G1410)</f>
        <v/>
      </c>
      <c r="AY1406">
        <f>IF('Recurring Log'!H1410="","",'Recurring Log'!H1410)</f>
        <v/>
      </c>
      <c r="AZ1406">
        <f>IF(AU1406="","",IF('Recurring Log'!J1410="","Not Started",'Recurring Log'!J1410))</f>
        <v/>
      </c>
      <c r="BA1406">
        <f>'Recurring Log'!L1410&amp;""</f>
        <v/>
      </c>
      <c r="BB1406">
        <f>'Recurring Log'!M1410&amp;""</f>
        <v/>
      </c>
      <c r="BC1406">
        <f>'Recurring Log'!N1410&amp;""</f>
        <v/>
      </c>
      <c r="BD1406">
        <f>'Recurring Log'!O1410&amp;""</f>
        <v/>
      </c>
      <c r="BE1406">
        <f>IF('Recurring Log'!K1410="","",'Recurring Log'!K1410)</f>
        <v/>
      </c>
      <c r="BF1406">
        <f>IFERROR(MATCH(BA1406,Setup!$L$6:$L$9,0),5)</f>
        <v/>
      </c>
      <c r="BG1406">
        <f>IF(OR(AZ1406="Done",AZ1406="Cancelled"),1,0)</f>
        <v/>
      </c>
      <c r="BH1406">
        <f>IF(AND(AU1406&lt;&gt;"",ISNUMBER(AW1406)),1,0)</f>
        <v/>
      </c>
      <c r="BI1406">
        <f>IF(BH1406=0,0,IF(AND(AW1406&gt;='Tasks Filter'!$F$3,AW1406&lt;='Tasks Filter'!$F$4,OR('Tasks Filter'!$I$3="",ISNUMBER(SEARCH('Tasks Filter'!$I$3,AU1406))),OR('Tasks Filter'!$I$4="",BF1406=IFERROR(MATCH('Tasks Filter'!$I$4,Setup!$L$6:$L$9,0),0)),OR('Tasks Filter'!$I$5="Both",AND('Tasks Filter'!$I$5="Yes",BB1406="✓"),AND('Tasks Filter'!$I$5="No",BB1406&lt;&gt;"✓")),OR('Tasks Filter'!$L$3="",AV1406='Tasks Filter'!$L$3),OR('Tasks Filter'!$L$4="",AZ1406='Tasks Filter'!$L$4),OR('Tasks Filter'!$L$5="",BC1406='Tasks Filter'!$L$5),OR('Tasks Filter'!$O$3="",BD1406='Tasks Filter'!$O$3),OR('Tasks Filter'!$O$4="Yes",BG1406=0)),1,0))</f>
        <v/>
      </c>
      <c r="BJ1406">
        <f>IF(BH1406=0,"",IF('Tasks Filter'!$F$6="Descending",-1,1)*CHOOSE(MATCH('Tasks Filter'!$F$5,Lists!$G$2:$G$6,0),AW1406,BF1406,IFERROR(MATCH(AV1406,Setup!$F$6:$F$15,0),99),IFERROR(MATCH(BC1406,Setup!$H$6:$H$15,0),99),IFERROR(MATCH(AZ1406,Setup!$J$6:$J$11,0),99))*1E+9+(AW1406-40000)*10000+1405)</f>
        <v/>
      </c>
      <c r="BK1406">
        <f>IF(BI1406=1,BJ1406,"")</f>
        <v/>
      </c>
      <c r="BL1406">
        <f>IF(AND(BH1406=1,BG1406=0,N(AW1406)&lt;Setup!$D$7),(AW1406-40000)*10000+1405,"")</f>
        <v/>
      </c>
      <c r="BM1406">
        <f>IF(AND(BH1406=1,AZ1406&lt;&gt;"Cancelled",N(AW1406)&gt;=Dashboard!$AB$3,N(AW1406)&lt;=Dashboard!$AB$3+6),(AW1406-40000)*100000+BF1406*10000+1405,"")</f>
        <v/>
      </c>
      <c r="BN1406">
        <f>IF(AND(BH1406=1,AZ1406&lt;&gt;"Cancelled"),BF1406*10000+1405,"")</f>
        <v/>
      </c>
    </row>
    <row r="1407">
      <c r="AS1407" t="inlineStr">
        <is>
          <t>R</t>
        </is>
      </c>
      <c r="AT1407" t="n">
        <v>1411</v>
      </c>
      <c r="AU1407">
        <f>'Recurring Log'!C1411&amp;""</f>
        <v/>
      </c>
      <c r="AV1407">
        <f>'Recurring Log'!D1411&amp;""</f>
        <v/>
      </c>
      <c r="AW1407">
        <f>IF('Recurring Log'!E1411="","",'Recurring Log'!E1411)</f>
        <v/>
      </c>
      <c r="AX1407">
        <f>IF('Recurring Log'!G1411="","",'Recurring Log'!G1411)</f>
        <v/>
      </c>
      <c r="AY1407">
        <f>IF('Recurring Log'!H1411="","",'Recurring Log'!H1411)</f>
        <v/>
      </c>
      <c r="AZ1407">
        <f>IF(AU1407="","",IF('Recurring Log'!J1411="","Not Started",'Recurring Log'!J1411))</f>
        <v/>
      </c>
      <c r="BA1407">
        <f>'Recurring Log'!L1411&amp;""</f>
        <v/>
      </c>
      <c r="BB1407">
        <f>'Recurring Log'!M1411&amp;""</f>
        <v/>
      </c>
      <c r="BC1407">
        <f>'Recurring Log'!N1411&amp;""</f>
        <v/>
      </c>
      <c r="BD1407">
        <f>'Recurring Log'!O1411&amp;""</f>
        <v/>
      </c>
      <c r="BE1407">
        <f>IF('Recurring Log'!K1411="","",'Recurring Log'!K1411)</f>
        <v/>
      </c>
      <c r="BF1407">
        <f>IFERROR(MATCH(BA1407,Setup!$L$6:$L$9,0),5)</f>
        <v/>
      </c>
      <c r="BG1407">
        <f>IF(OR(AZ1407="Done",AZ1407="Cancelled"),1,0)</f>
        <v/>
      </c>
      <c r="BH1407">
        <f>IF(AND(AU1407&lt;&gt;"",ISNUMBER(AW1407)),1,0)</f>
        <v/>
      </c>
      <c r="BI1407">
        <f>IF(BH1407=0,0,IF(AND(AW1407&gt;='Tasks Filter'!$F$3,AW1407&lt;='Tasks Filter'!$F$4,OR('Tasks Filter'!$I$3="",ISNUMBER(SEARCH('Tasks Filter'!$I$3,AU1407))),OR('Tasks Filter'!$I$4="",BF1407=IFERROR(MATCH('Tasks Filter'!$I$4,Setup!$L$6:$L$9,0),0)),OR('Tasks Filter'!$I$5="Both",AND('Tasks Filter'!$I$5="Yes",BB1407="✓"),AND('Tasks Filter'!$I$5="No",BB1407&lt;&gt;"✓")),OR('Tasks Filter'!$L$3="",AV1407='Tasks Filter'!$L$3),OR('Tasks Filter'!$L$4="",AZ1407='Tasks Filter'!$L$4),OR('Tasks Filter'!$L$5="",BC1407='Tasks Filter'!$L$5),OR('Tasks Filter'!$O$3="",BD1407='Tasks Filter'!$O$3),OR('Tasks Filter'!$O$4="Yes",BG1407=0)),1,0))</f>
        <v/>
      </c>
      <c r="BJ1407">
        <f>IF(BH1407=0,"",IF('Tasks Filter'!$F$6="Descending",-1,1)*CHOOSE(MATCH('Tasks Filter'!$F$5,Lists!$G$2:$G$6,0),AW1407,BF1407,IFERROR(MATCH(AV1407,Setup!$F$6:$F$15,0),99),IFERROR(MATCH(BC1407,Setup!$H$6:$H$15,0),99),IFERROR(MATCH(AZ1407,Setup!$J$6:$J$11,0),99))*1E+9+(AW1407-40000)*10000+1406)</f>
        <v/>
      </c>
      <c r="BK1407">
        <f>IF(BI1407=1,BJ1407,"")</f>
        <v/>
      </c>
      <c r="BL1407">
        <f>IF(AND(BH1407=1,BG1407=0,N(AW1407)&lt;Setup!$D$7),(AW1407-40000)*10000+1406,"")</f>
        <v/>
      </c>
      <c r="BM1407">
        <f>IF(AND(BH1407=1,AZ1407&lt;&gt;"Cancelled",N(AW1407)&gt;=Dashboard!$AB$3,N(AW1407)&lt;=Dashboard!$AB$3+6),(AW1407-40000)*100000+BF1407*10000+1406,"")</f>
        <v/>
      </c>
      <c r="BN1407">
        <f>IF(AND(BH1407=1,AZ1407&lt;&gt;"Cancelled"),BF1407*10000+1406,"")</f>
        <v/>
      </c>
    </row>
    <row r="1408">
      <c r="AS1408" t="inlineStr">
        <is>
          <t>R</t>
        </is>
      </c>
      <c r="AT1408" t="n">
        <v>1412</v>
      </c>
      <c r="AU1408">
        <f>'Recurring Log'!C1412&amp;""</f>
        <v/>
      </c>
      <c r="AV1408">
        <f>'Recurring Log'!D1412&amp;""</f>
        <v/>
      </c>
      <c r="AW1408">
        <f>IF('Recurring Log'!E1412="","",'Recurring Log'!E1412)</f>
        <v/>
      </c>
      <c r="AX1408">
        <f>IF('Recurring Log'!G1412="","",'Recurring Log'!G1412)</f>
        <v/>
      </c>
      <c r="AY1408">
        <f>IF('Recurring Log'!H1412="","",'Recurring Log'!H1412)</f>
        <v/>
      </c>
      <c r="AZ1408">
        <f>IF(AU1408="","",IF('Recurring Log'!J1412="","Not Started",'Recurring Log'!J1412))</f>
        <v/>
      </c>
      <c r="BA1408">
        <f>'Recurring Log'!L1412&amp;""</f>
        <v/>
      </c>
      <c r="BB1408">
        <f>'Recurring Log'!M1412&amp;""</f>
        <v/>
      </c>
      <c r="BC1408">
        <f>'Recurring Log'!N1412&amp;""</f>
        <v/>
      </c>
      <c r="BD1408">
        <f>'Recurring Log'!O1412&amp;""</f>
        <v/>
      </c>
      <c r="BE1408">
        <f>IF('Recurring Log'!K1412="","",'Recurring Log'!K1412)</f>
        <v/>
      </c>
      <c r="BF1408">
        <f>IFERROR(MATCH(BA1408,Setup!$L$6:$L$9,0),5)</f>
        <v/>
      </c>
      <c r="BG1408">
        <f>IF(OR(AZ1408="Done",AZ1408="Cancelled"),1,0)</f>
        <v/>
      </c>
      <c r="BH1408">
        <f>IF(AND(AU1408&lt;&gt;"",ISNUMBER(AW1408)),1,0)</f>
        <v/>
      </c>
      <c r="BI1408">
        <f>IF(BH1408=0,0,IF(AND(AW1408&gt;='Tasks Filter'!$F$3,AW1408&lt;='Tasks Filter'!$F$4,OR('Tasks Filter'!$I$3="",ISNUMBER(SEARCH('Tasks Filter'!$I$3,AU1408))),OR('Tasks Filter'!$I$4="",BF1408=IFERROR(MATCH('Tasks Filter'!$I$4,Setup!$L$6:$L$9,0),0)),OR('Tasks Filter'!$I$5="Both",AND('Tasks Filter'!$I$5="Yes",BB1408="✓"),AND('Tasks Filter'!$I$5="No",BB1408&lt;&gt;"✓")),OR('Tasks Filter'!$L$3="",AV1408='Tasks Filter'!$L$3),OR('Tasks Filter'!$L$4="",AZ1408='Tasks Filter'!$L$4),OR('Tasks Filter'!$L$5="",BC1408='Tasks Filter'!$L$5),OR('Tasks Filter'!$O$3="",BD1408='Tasks Filter'!$O$3),OR('Tasks Filter'!$O$4="Yes",BG1408=0)),1,0))</f>
        <v/>
      </c>
      <c r="BJ1408">
        <f>IF(BH1408=0,"",IF('Tasks Filter'!$F$6="Descending",-1,1)*CHOOSE(MATCH('Tasks Filter'!$F$5,Lists!$G$2:$G$6,0),AW1408,BF1408,IFERROR(MATCH(AV1408,Setup!$F$6:$F$15,0),99),IFERROR(MATCH(BC1408,Setup!$H$6:$H$15,0),99),IFERROR(MATCH(AZ1408,Setup!$J$6:$J$11,0),99))*1E+9+(AW1408-40000)*10000+1407)</f>
        <v/>
      </c>
      <c r="BK1408">
        <f>IF(BI1408=1,BJ1408,"")</f>
        <v/>
      </c>
      <c r="BL1408">
        <f>IF(AND(BH1408=1,BG1408=0,N(AW1408)&lt;Setup!$D$7),(AW1408-40000)*10000+1407,"")</f>
        <v/>
      </c>
      <c r="BM1408">
        <f>IF(AND(BH1408=1,AZ1408&lt;&gt;"Cancelled",N(AW1408)&gt;=Dashboard!$AB$3,N(AW1408)&lt;=Dashboard!$AB$3+6),(AW1408-40000)*100000+BF1408*10000+1407,"")</f>
        <v/>
      </c>
      <c r="BN1408">
        <f>IF(AND(BH1408=1,AZ1408&lt;&gt;"Cancelled"),BF1408*10000+1407,"")</f>
        <v/>
      </c>
    </row>
    <row r="1409">
      <c r="AS1409" t="inlineStr">
        <is>
          <t>R</t>
        </is>
      </c>
      <c r="AT1409" t="n">
        <v>1413</v>
      </c>
      <c r="AU1409">
        <f>'Recurring Log'!C1413&amp;""</f>
        <v/>
      </c>
      <c r="AV1409">
        <f>'Recurring Log'!D1413&amp;""</f>
        <v/>
      </c>
      <c r="AW1409">
        <f>IF('Recurring Log'!E1413="","",'Recurring Log'!E1413)</f>
        <v/>
      </c>
      <c r="AX1409">
        <f>IF('Recurring Log'!G1413="","",'Recurring Log'!G1413)</f>
        <v/>
      </c>
      <c r="AY1409">
        <f>IF('Recurring Log'!H1413="","",'Recurring Log'!H1413)</f>
        <v/>
      </c>
      <c r="AZ1409">
        <f>IF(AU1409="","",IF('Recurring Log'!J1413="","Not Started",'Recurring Log'!J1413))</f>
        <v/>
      </c>
      <c r="BA1409">
        <f>'Recurring Log'!L1413&amp;""</f>
        <v/>
      </c>
      <c r="BB1409">
        <f>'Recurring Log'!M1413&amp;""</f>
        <v/>
      </c>
      <c r="BC1409">
        <f>'Recurring Log'!N1413&amp;""</f>
        <v/>
      </c>
      <c r="BD1409">
        <f>'Recurring Log'!O1413&amp;""</f>
        <v/>
      </c>
      <c r="BE1409">
        <f>IF('Recurring Log'!K1413="","",'Recurring Log'!K1413)</f>
        <v/>
      </c>
      <c r="BF1409">
        <f>IFERROR(MATCH(BA1409,Setup!$L$6:$L$9,0),5)</f>
        <v/>
      </c>
      <c r="BG1409">
        <f>IF(OR(AZ1409="Done",AZ1409="Cancelled"),1,0)</f>
        <v/>
      </c>
      <c r="BH1409">
        <f>IF(AND(AU1409&lt;&gt;"",ISNUMBER(AW1409)),1,0)</f>
        <v/>
      </c>
      <c r="BI1409">
        <f>IF(BH1409=0,0,IF(AND(AW1409&gt;='Tasks Filter'!$F$3,AW1409&lt;='Tasks Filter'!$F$4,OR('Tasks Filter'!$I$3="",ISNUMBER(SEARCH('Tasks Filter'!$I$3,AU1409))),OR('Tasks Filter'!$I$4="",BF1409=IFERROR(MATCH('Tasks Filter'!$I$4,Setup!$L$6:$L$9,0),0)),OR('Tasks Filter'!$I$5="Both",AND('Tasks Filter'!$I$5="Yes",BB1409="✓"),AND('Tasks Filter'!$I$5="No",BB1409&lt;&gt;"✓")),OR('Tasks Filter'!$L$3="",AV1409='Tasks Filter'!$L$3),OR('Tasks Filter'!$L$4="",AZ1409='Tasks Filter'!$L$4),OR('Tasks Filter'!$L$5="",BC1409='Tasks Filter'!$L$5),OR('Tasks Filter'!$O$3="",BD1409='Tasks Filter'!$O$3),OR('Tasks Filter'!$O$4="Yes",BG1409=0)),1,0))</f>
        <v/>
      </c>
      <c r="BJ1409">
        <f>IF(BH1409=0,"",IF('Tasks Filter'!$F$6="Descending",-1,1)*CHOOSE(MATCH('Tasks Filter'!$F$5,Lists!$G$2:$G$6,0),AW1409,BF1409,IFERROR(MATCH(AV1409,Setup!$F$6:$F$15,0),99),IFERROR(MATCH(BC1409,Setup!$H$6:$H$15,0),99),IFERROR(MATCH(AZ1409,Setup!$J$6:$J$11,0),99))*1E+9+(AW1409-40000)*10000+1408)</f>
        <v/>
      </c>
      <c r="BK1409">
        <f>IF(BI1409=1,BJ1409,"")</f>
        <v/>
      </c>
      <c r="BL1409">
        <f>IF(AND(BH1409=1,BG1409=0,N(AW1409)&lt;Setup!$D$7),(AW1409-40000)*10000+1408,"")</f>
        <v/>
      </c>
      <c r="BM1409">
        <f>IF(AND(BH1409=1,AZ1409&lt;&gt;"Cancelled",N(AW1409)&gt;=Dashboard!$AB$3,N(AW1409)&lt;=Dashboard!$AB$3+6),(AW1409-40000)*100000+BF1409*10000+1408,"")</f>
        <v/>
      </c>
      <c r="BN1409">
        <f>IF(AND(BH1409=1,AZ1409&lt;&gt;"Cancelled"),BF1409*10000+1408,"")</f>
        <v/>
      </c>
    </row>
    <row r="1410">
      <c r="AS1410" t="inlineStr">
        <is>
          <t>R</t>
        </is>
      </c>
      <c r="AT1410" t="n">
        <v>1414</v>
      </c>
      <c r="AU1410">
        <f>'Recurring Log'!C1414&amp;""</f>
        <v/>
      </c>
      <c r="AV1410">
        <f>'Recurring Log'!D1414&amp;""</f>
        <v/>
      </c>
      <c r="AW1410">
        <f>IF('Recurring Log'!E1414="","",'Recurring Log'!E1414)</f>
        <v/>
      </c>
      <c r="AX1410">
        <f>IF('Recurring Log'!G1414="","",'Recurring Log'!G1414)</f>
        <v/>
      </c>
      <c r="AY1410">
        <f>IF('Recurring Log'!H1414="","",'Recurring Log'!H1414)</f>
        <v/>
      </c>
      <c r="AZ1410">
        <f>IF(AU1410="","",IF('Recurring Log'!J1414="","Not Started",'Recurring Log'!J1414))</f>
        <v/>
      </c>
      <c r="BA1410">
        <f>'Recurring Log'!L1414&amp;""</f>
        <v/>
      </c>
      <c r="BB1410">
        <f>'Recurring Log'!M1414&amp;""</f>
        <v/>
      </c>
      <c r="BC1410">
        <f>'Recurring Log'!N1414&amp;""</f>
        <v/>
      </c>
      <c r="BD1410">
        <f>'Recurring Log'!O1414&amp;""</f>
        <v/>
      </c>
      <c r="BE1410">
        <f>IF('Recurring Log'!K1414="","",'Recurring Log'!K1414)</f>
        <v/>
      </c>
      <c r="BF1410">
        <f>IFERROR(MATCH(BA1410,Setup!$L$6:$L$9,0),5)</f>
        <v/>
      </c>
      <c r="BG1410">
        <f>IF(OR(AZ1410="Done",AZ1410="Cancelled"),1,0)</f>
        <v/>
      </c>
      <c r="BH1410">
        <f>IF(AND(AU1410&lt;&gt;"",ISNUMBER(AW1410)),1,0)</f>
        <v/>
      </c>
      <c r="BI1410">
        <f>IF(BH1410=0,0,IF(AND(AW1410&gt;='Tasks Filter'!$F$3,AW1410&lt;='Tasks Filter'!$F$4,OR('Tasks Filter'!$I$3="",ISNUMBER(SEARCH('Tasks Filter'!$I$3,AU1410))),OR('Tasks Filter'!$I$4="",BF1410=IFERROR(MATCH('Tasks Filter'!$I$4,Setup!$L$6:$L$9,0),0)),OR('Tasks Filter'!$I$5="Both",AND('Tasks Filter'!$I$5="Yes",BB1410="✓"),AND('Tasks Filter'!$I$5="No",BB1410&lt;&gt;"✓")),OR('Tasks Filter'!$L$3="",AV1410='Tasks Filter'!$L$3),OR('Tasks Filter'!$L$4="",AZ1410='Tasks Filter'!$L$4),OR('Tasks Filter'!$L$5="",BC1410='Tasks Filter'!$L$5),OR('Tasks Filter'!$O$3="",BD1410='Tasks Filter'!$O$3),OR('Tasks Filter'!$O$4="Yes",BG1410=0)),1,0))</f>
        <v/>
      </c>
      <c r="BJ1410">
        <f>IF(BH1410=0,"",IF('Tasks Filter'!$F$6="Descending",-1,1)*CHOOSE(MATCH('Tasks Filter'!$F$5,Lists!$G$2:$G$6,0),AW1410,BF1410,IFERROR(MATCH(AV1410,Setup!$F$6:$F$15,0),99),IFERROR(MATCH(BC1410,Setup!$H$6:$H$15,0),99),IFERROR(MATCH(AZ1410,Setup!$J$6:$J$11,0),99))*1E+9+(AW1410-40000)*10000+1409)</f>
        <v/>
      </c>
      <c r="BK1410">
        <f>IF(BI1410=1,BJ1410,"")</f>
        <v/>
      </c>
      <c r="BL1410">
        <f>IF(AND(BH1410=1,BG1410=0,N(AW1410)&lt;Setup!$D$7),(AW1410-40000)*10000+1409,"")</f>
        <v/>
      </c>
      <c r="BM1410">
        <f>IF(AND(BH1410=1,AZ1410&lt;&gt;"Cancelled",N(AW1410)&gt;=Dashboard!$AB$3,N(AW1410)&lt;=Dashboard!$AB$3+6),(AW1410-40000)*100000+BF1410*10000+1409,"")</f>
        <v/>
      </c>
      <c r="BN1410">
        <f>IF(AND(BH1410=1,AZ1410&lt;&gt;"Cancelled"),BF1410*10000+1409,"")</f>
        <v/>
      </c>
    </row>
    <row r="1411">
      <c r="AS1411" t="inlineStr">
        <is>
          <t>R</t>
        </is>
      </c>
      <c r="AT1411" t="n">
        <v>1415</v>
      </c>
      <c r="AU1411">
        <f>'Recurring Log'!C1415&amp;""</f>
        <v/>
      </c>
      <c r="AV1411">
        <f>'Recurring Log'!D1415&amp;""</f>
        <v/>
      </c>
      <c r="AW1411">
        <f>IF('Recurring Log'!E1415="","",'Recurring Log'!E1415)</f>
        <v/>
      </c>
      <c r="AX1411">
        <f>IF('Recurring Log'!G1415="","",'Recurring Log'!G1415)</f>
        <v/>
      </c>
      <c r="AY1411">
        <f>IF('Recurring Log'!H1415="","",'Recurring Log'!H1415)</f>
        <v/>
      </c>
      <c r="AZ1411">
        <f>IF(AU1411="","",IF('Recurring Log'!J1415="","Not Started",'Recurring Log'!J1415))</f>
        <v/>
      </c>
      <c r="BA1411">
        <f>'Recurring Log'!L1415&amp;""</f>
        <v/>
      </c>
      <c r="BB1411">
        <f>'Recurring Log'!M1415&amp;""</f>
        <v/>
      </c>
      <c r="BC1411">
        <f>'Recurring Log'!N1415&amp;""</f>
        <v/>
      </c>
      <c r="BD1411">
        <f>'Recurring Log'!O1415&amp;""</f>
        <v/>
      </c>
      <c r="BE1411">
        <f>IF('Recurring Log'!K1415="","",'Recurring Log'!K1415)</f>
        <v/>
      </c>
      <c r="BF1411">
        <f>IFERROR(MATCH(BA1411,Setup!$L$6:$L$9,0),5)</f>
        <v/>
      </c>
      <c r="BG1411">
        <f>IF(OR(AZ1411="Done",AZ1411="Cancelled"),1,0)</f>
        <v/>
      </c>
      <c r="BH1411">
        <f>IF(AND(AU1411&lt;&gt;"",ISNUMBER(AW1411)),1,0)</f>
        <v/>
      </c>
      <c r="BI1411">
        <f>IF(BH1411=0,0,IF(AND(AW1411&gt;='Tasks Filter'!$F$3,AW1411&lt;='Tasks Filter'!$F$4,OR('Tasks Filter'!$I$3="",ISNUMBER(SEARCH('Tasks Filter'!$I$3,AU1411))),OR('Tasks Filter'!$I$4="",BF1411=IFERROR(MATCH('Tasks Filter'!$I$4,Setup!$L$6:$L$9,0),0)),OR('Tasks Filter'!$I$5="Both",AND('Tasks Filter'!$I$5="Yes",BB1411="✓"),AND('Tasks Filter'!$I$5="No",BB1411&lt;&gt;"✓")),OR('Tasks Filter'!$L$3="",AV1411='Tasks Filter'!$L$3),OR('Tasks Filter'!$L$4="",AZ1411='Tasks Filter'!$L$4),OR('Tasks Filter'!$L$5="",BC1411='Tasks Filter'!$L$5),OR('Tasks Filter'!$O$3="",BD1411='Tasks Filter'!$O$3),OR('Tasks Filter'!$O$4="Yes",BG1411=0)),1,0))</f>
        <v/>
      </c>
      <c r="BJ1411">
        <f>IF(BH1411=0,"",IF('Tasks Filter'!$F$6="Descending",-1,1)*CHOOSE(MATCH('Tasks Filter'!$F$5,Lists!$G$2:$G$6,0),AW1411,BF1411,IFERROR(MATCH(AV1411,Setup!$F$6:$F$15,0),99),IFERROR(MATCH(BC1411,Setup!$H$6:$H$15,0),99),IFERROR(MATCH(AZ1411,Setup!$J$6:$J$11,0),99))*1E+9+(AW1411-40000)*10000+1410)</f>
        <v/>
      </c>
      <c r="BK1411">
        <f>IF(BI1411=1,BJ1411,"")</f>
        <v/>
      </c>
      <c r="BL1411">
        <f>IF(AND(BH1411=1,BG1411=0,N(AW1411)&lt;Setup!$D$7),(AW1411-40000)*10000+1410,"")</f>
        <v/>
      </c>
      <c r="BM1411">
        <f>IF(AND(BH1411=1,AZ1411&lt;&gt;"Cancelled",N(AW1411)&gt;=Dashboard!$AB$3,N(AW1411)&lt;=Dashboard!$AB$3+6),(AW1411-40000)*100000+BF1411*10000+1410,"")</f>
        <v/>
      </c>
      <c r="BN1411">
        <f>IF(AND(BH1411=1,AZ1411&lt;&gt;"Cancelled"),BF1411*10000+1410,"")</f>
        <v/>
      </c>
    </row>
    <row r="1412">
      <c r="AS1412" t="inlineStr">
        <is>
          <t>R</t>
        </is>
      </c>
      <c r="AT1412" t="n">
        <v>1416</v>
      </c>
      <c r="AU1412">
        <f>'Recurring Log'!C1416&amp;""</f>
        <v/>
      </c>
      <c r="AV1412">
        <f>'Recurring Log'!D1416&amp;""</f>
        <v/>
      </c>
      <c r="AW1412">
        <f>IF('Recurring Log'!E1416="","",'Recurring Log'!E1416)</f>
        <v/>
      </c>
      <c r="AX1412">
        <f>IF('Recurring Log'!G1416="","",'Recurring Log'!G1416)</f>
        <v/>
      </c>
      <c r="AY1412">
        <f>IF('Recurring Log'!H1416="","",'Recurring Log'!H1416)</f>
        <v/>
      </c>
      <c r="AZ1412">
        <f>IF(AU1412="","",IF('Recurring Log'!J1416="","Not Started",'Recurring Log'!J1416))</f>
        <v/>
      </c>
      <c r="BA1412">
        <f>'Recurring Log'!L1416&amp;""</f>
        <v/>
      </c>
      <c r="BB1412">
        <f>'Recurring Log'!M1416&amp;""</f>
        <v/>
      </c>
      <c r="BC1412">
        <f>'Recurring Log'!N1416&amp;""</f>
        <v/>
      </c>
      <c r="BD1412">
        <f>'Recurring Log'!O1416&amp;""</f>
        <v/>
      </c>
      <c r="BE1412">
        <f>IF('Recurring Log'!K1416="","",'Recurring Log'!K1416)</f>
        <v/>
      </c>
      <c r="BF1412">
        <f>IFERROR(MATCH(BA1412,Setup!$L$6:$L$9,0),5)</f>
        <v/>
      </c>
      <c r="BG1412">
        <f>IF(OR(AZ1412="Done",AZ1412="Cancelled"),1,0)</f>
        <v/>
      </c>
      <c r="BH1412">
        <f>IF(AND(AU1412&lt;&gt;"",ISNUMBER(AW1412)),1,0)</f>
        <v/>
      </c>
      <c r="BI1412">
        <f>IF(BH1412=0,0,IF(AND(AW1412&gt;='Tasks Filter'!$F$3,AW1412&lt;='Tasks Filter'!$F$4,OR('Tasks Filter'!$I$3="",ISNUMBER(SEARCH('Tasks Filter'!$I$3,AU1412))),OR('Tasks Filter'!$I$4="",BF1412=IFERROR(MATCH('Tasks Filter'!$I$4,Setup!$L$6:$L$9,0),0)),OR('Tasks Filter'!$I$5="Both",AND('Tasks Filter'!$I$5="Yes",BB1412="✓"),AND('Tasks Filter'!$I$5="No",BB1412&lt;&gt;"✓")),OR('Tasks Filter'!$L$3="",AV1412='Tasks Filter'!$L$3),OR('Tasks Filter'!$L$4="",AZ1412='Tasks Filter'!$L$4),OR('Tasks Filter'!$L$5="",BC1412='Tasks Filter'!$L$5),OR('Tasks Filter'!$O$3="",BD1412='Tasks Filter'!$O$3),OR('Tasks Filter'!$O$4="Yes",BG1412=0)),1,0))</f>
        <v/>
      </c>
      <c r="BJ1412">
        <f>IF(BH1412=0,"",IF('Tasks Filter'!$F$6="Descending",-1,1)*CHOOSE(MATCH('Tasks Filter'!$F$5,Lists!$G$2:$G$6,0),AW1412,BF1412,IFERROR(MATCH(AV1412,Setup!$F$6:$F$15,0),99),IFERROR(MATCH(BC1412,Setup!$H$6:$H$15,0),99),IFERROR(MATCH(AZ1412,Setup!$J$6:$J$11,0),99))*1E+9+(AW1412-40000)*10000+1411)</f>
        <v/>
      </c>
      <c r="BK1412">
        <f>IF(BI1412=1,BJ1412,"")</f>
        <v/>
      </c>
      <c r="BL1412">
        <f>IF(AND(BH1412=1,BG1412=0,N(AW1412)&lt;Setup!$D$7),(AW1412-40000)*10000+1411,"")</f>
        <v/>
      </c>
      <c r="BM1412">
        <f>IF(AND(BH1412=1,AZ1412&lt;&gt;"Cancelled",N(AW1412)&gt;=Dashboard!$AB$3,N(AW1412)&lt;=Dashboard!$AB$3+6),(AW1412-40000)*100000+BF1412*10000+1411,"")</f>
        <v/>
      </c>
      <c r="BN1412">
        <f>IF(AND(BH1412=1,AZ1412&lt;&gt;"Cancelled"),BF1412*10000+1411,"")</f>
        <v/>
      </c>
    </row>
    <row r="1413">
      <c r="AS1413" t="inlineStr">
        <is>
          <t>R</t>
        </is>
      </c>
      <c r="AT1413" t="n">
        <v>1417</v>
      </c>
      <c r="AU1413">
        <f>'Recurring Log'!C1417&amp;""</f>
        <v/>
      </c>
      <c r="AV1413">
        <f>'Recurring Log'!D1417&amp;""</f>
        <v/>
      </c>
      <c r="AW1413">
        <f>IF('Recurring Log'!E1417="","",'Recurring Log'!E1417)</f>
        <v/>
      </c>
      <c r="AX1413">
        <f>IF('Recurring Log'!G1417="","",'Recurring Log'!G1417)</f>
        <v/>
      </c>
      <c r="AY1413">
        <f>IF('Recurring Log'!H1417="","",'Recurring Log'!H1417)</f>
        <v/>
      </c>
      <c r="AZ1413">
        <f>IF(AU1413="","",IF('Recurring Log'!J1417="","Not Started",'Recurring Log'!J1417))</f>
        <v/>
      </c>
      <c r="BA1413">
        <f>'Recurring Log'!L1417&amp;""</f>
        <v/>
      </c>
      <c r="BB1413">
        <f>'Recurring Log'!M1417&amp;""</f>
        <v/>
      </c>
      <c r="BC1413">
        <f>'Recurring Log'!N1417&amp;""</f>
        <v/>
      </c>
      <c r="BD1413">
        <f>'Recurring Log'!O1417&amp;""</f>
        <v/>
      </c>
      <c r="BE1413">
        <f>IF('Recurring Log'!K1417="","",'Recurring Log'!K1417)</f>
        <v/>
      </c>
      <c r="BF1413">
        <f>IFERROR(MATCH(BA1413,Setup!$L$6:$L$9,0),5)</f>
        <v/>
      </c>
      <c r="BG1413">
        <f>IF(OR(AZ1413="Done",AZ1413="Cancelled"),1,0)</f>
        <v/>
      </c>
      <c r="BH1413">
        <f>IF(AND(AU1413&lt;&gt;"",ISNUMBER(AW1413)),1,0)</f>
        <v/>
      </c>
      <c r="BI1413">
        <f>IF(BH1413=0,0,IF(AND(AW1413&gt;='Tasks Filter'!$F$3,AW1413&lt;='Tasks Filter'!$F$4,OR('Tasks Filter'!$I$3="",ISNUMBER(SEARCH('Tasks Filter'!$I$3,AU1413))),OR('Tasks Filter'!$I$4="",BF1413=IFERROR(MATCH('Tasks Filter'!$I$4,Setup!$L$6:$L$9,0),0)),OR('Tasks Filter'!$I$5="Both",AND('Tasks Filter'!$I$5="Yes",BB1413="✓"),AND('Tasks Filter'!$I$5="No",BB1413&lt;&gt;"✓")),OR('Tasks Filter'!$L$3="",AV1413='Tasks Filter'!$L$3),OR('Tasks Filter'!$L$4="",AZ1413='Tasks Filter'!$L$4),OR('Tasks Filter'!$L$5="",BC1413='Tasks Filter'!$L$5),OR('Tasks Filter'!$O$3="",BD1413='Tasks Filter'!$O$3),OR('Tasks Filter'!$O$4="Yes",BG1413=0)),1,0))</f>
        <v/>
      </c>
      <c r="BJ1413">
        <f>IF(BH1413=0,"",IF('Tasks Filter'!$F$6="Descending",-1,1)*CHOOSE(MATCH('Tasks Filter'!$F$5,Lists!$G$2:$G$6,0),AW1413,BF1413,IFERROR(MATCH(AV1413,Setup!$F$6:$F$15,0),99),IFERROR(MATCH(BC1413,Setup!$H$6:$H$15,0),99),IFERROR(MATCH(AZ1413,Setup!$J$6:$J$11,0),99))*1E+9+(AW1413-40000)*10000+1412)</f>
        <v/>
      </c>
      <c r="BK1413">
        <f>IF(BI1413=1,BJ1413,"")</f>
        <v/>
      </c>
      <c r="BL1413">
        <f>IF(AND(BH1413=1,BG1413=0,N(AW1413)&lt;Setup!$D$7),(AW1413-40000)*10000+1412,"")</f>
        <v/>
      </c>
      <c r="BM1413">
        <f>IF(AND(BH1413=1,AZ1413&lt;&gt;"Cancelled",N(AW1413)&gt;=Dashboard!$AB$3,N(AW1413)&lt;=Dashboard!$AB$3+6),(AW1413-40000)*100000+BF1413*10000+1412,"")</f>
        <v/>
      </c>
      <c r="BN1413">
        <f>IF(AND(BH1413=1,AZ1413&lt;&gt;"Cancelled"),BF1413*10000+1412,"")</f>
        <v/>
      </c>
    </row>
    <row r="1414">
      <c r="AS1414" t="inlineStr">
        <is>
          <t>R</t>
        </is>
      </c>
      <c r="AT1414" t="n">
        <v>1418</v>
      </c>
      <c r="AU1414">
        <f>'Recurring Log'!C1418&amp;""</f>
        <v/>
      </c>
      <c r="AV1414">
        <f>'Recurring Log'!D1418&amp;""</f>
        <v/>
      </c>
      <c r="AW1414">
        <f>IF('Recurring Log'!E1418="","",'Recurring Log'!E1418)</f>
        <v/>
      </c>
      <c r="AX1414">
        <f>IF('Recurring Log'!G1418="","",'Recurring Log'!G1418)</f>
        <v/>
      </c>
      <c r="AY1414">
        <f>IF('Recurring Log'!H1418="","",'Recurring Log'!H1418)</f>
        <v/>
      </c>
      <c r="AZ1414">
        <f>IF(AU1414="","",IF('Recurring Log'!J1418="","Not Started",'Recurring Log'!J1418))</f>
        <v/>
      </c>
      <c r="BA1414">
        <f>'Recurring Log'!L1418&amp;""</f>
        <v/>
      </c>
      <c r="BB1414">
        <f>'Recurring Log'!M1418&amp;""</f>
        <v/>
      </c>
      <c r="BC1414">
        <f>'Recurring Log'!N1418&amp;""</f>
        <v/>
      </c>
      <c r="BD1414">
        <f>'Recurring Log'!O1418&amp;""</f>
        <v/>
      </c>
      <c r="BE1414">
        <f>IF('Recurring Log'!K1418="","",'Recurring Log'!K1418)</f>
        <v/>
      </c>
      <c r="BF1414">
        <f>IFERROR(MATCH(BA1414,Setup!$L$6:$L$9,0),5)</f>
        <v/>
      </c>
      <c r="BG1414">
        <f>IF(OR(AZ1414="Done",AZ1414="Cancelled"),1,0)</f>
        <v/>
      </c>
      <c r="BH1414">
        <f>IF(AND(AU1414&lt;&gt;"",ISNUMBER(AW1414)),1,0)</f>
        <v/>
      </c>
      <c r="BI1414">
        <f>IF(BH1414=0,0,IF(AND(AW1414&gt;='Tasks Filter'!$F$3,AW1414&lt;='Tasks Filter'!$F$4,OR('Tasks Filter'!$I$3="",ISNUMBER(SEARCH('Tasks Filter'!$I$3,AU1414))),OR('Tasks Filter'!$I$4="",BF1414=IFERROR(MATCH('Tasks Filter'!$I$4,Setup!$L$6:$L$9,0),0)),OR('Tasks Filter'!$I$5="Both",AND('Tasks Filter'!$I$5="Yes",BB1414="✓"),AND('Tasks Filter'!$I$5="No",BB1414&lt;&gt;"✓")),OR('Tasks Filter'!$L$3="",AV1414='Tasks Filter'!$L$3),OR('Tasks Filter'!$L$4="",AZ1414='Tasks Filter'!$L$4),OR('Tasks Filter'!$L$5="",BC1414='Tasks Filter'!$L$5),OR('Tasks Filter'!$O$3="",BD1414='Tasks Filter'!$O$3),OR('Tasks Filter'!$O$4="Yes",BG1414=0)),1,0))</f>
        <v/>
      </c>
      <c r="BJ1414">
        <f>IF(BH1414=0,"",IF('Tasks Filter'!$F$6="Descending",-1,1)*CHOOSE(MATCH('Tasks Filter'!$F$5,Lists!$G$2:$G$6,0),AW1414,BF1414,IFERROR(MATCH(AV1414,Setup!$F$6:$F$15,0),99),IFERROR(MATCH(BC1414,Setup!$H$6:$H$15,0),99),IFERROR(MATCH(AZ1414,Setup!$J$6:$J$11,0),99))*1E+9+(AW1414-40000)*10000+1413)</f>
        <v/>
      </c>
      <c r="BK1414">
        <f>IF(BI1414=1,BJ1414,"")</f>
        <v/>
      </c>
      <c r="BL1414">
        <f>IF(AND(BH1414=1,BG1414=0,N(AW1414)&lt;Setup!$D$7),(AW1414-40000)*10000+1413,"")</f>
        <v/>
      </c>
      <c r="BM1414">
        <f>IF(AND(BH1414=1,AZ1414&lt;&gt;"Cancelled",N(AW1414)&gt;=Dashboard!$AB$3,N(AW1414)&lt;=Dashboard!$AB$3+6),(AW1414-40000)*100000+BF1414*10000+1413,"")</f>
        <v/>
      </c>
      <c r="BN1414">
        <f>IF(AND(BH1414=1,AZ1414&lt;&gt;"Cancelled"),BF1414*10000+1413,"")</f>
        <v/>
      </c>
    </row>
    <row r="1415">
      <c r="AS1415" t="inlineStr">
        <is>
          <t>R</t>
        </is>
      </c>
      <c r="AT1415" t="n">
        <v>1419</v>
      </c>
      <c r="AU1415">
        <f>'Recurring Log'!C1419&amp;""</f>
        <v/>
      </c>
      <c r="AV1415">
        <f>'Recurring Log'!D1419&amp;""</f>
        <v/>
      </c>
      <c r="AW1415">
        <f>IF('Recurring Log'!E1419="","",'Recurring Log'!E1419)</f>
        <v/>
      </c>
      <c r="AX1415">
        <f>IF('Recurring Log'!G1419="","",'Recurring Log'!G1419)</f>
        <v/>
      </c>
      <c r="AY1415">
        <f>IF('Recurring Log'!H1419="","",'Recurring Log'!H1419)</f>
        <v/>
      </c>
      <c r="AZ1415">
        <f>IF(AU1415="","",IF('Recurring Log'!J1419="","Not Started",'Recurring Log'!J1419))</f>
        <v/>
      </c>
      <c r="BA1415">
        <f>'Recurring Log'!L1419&amp;""</f>
        <v/>
      </c>
      <c r="BB1415">
        <f>'Recurring Log'!M1419&amp;""</f>
        <v/>
      </c>
      <c r="BC1415">
        <f>'Recurring Log'!N1419&amp;""</f>
        <v/>
      </c>
      <c r="BD1415">
        <f>'Recurring Log'!O1419&amp;""</f>
        <v/>
      </c>
      <c r="BE1415">
        <f>IF('Recurring Log'!K1419="","",'Recurring Log'!K1419)</f>
        <v/>
      </c>
      <c r="BF1415">
        <f>IFERROR(MATCH(BA1415,Setup!$L$6:$L$9,0),5)</f>
        <v/>
      </c>
      <c r="BG1415">
        <f>IF(OR(AZ1415="Done",AZ1415="Cancelled"),1,0)</f>
        <v/>
      </c>
      <c r="BH1415">
        <f>IF(AND(AU1415&lt;&gt;"",ISNUMBER(AW1415)),1,0)</f>
        <v/>
      </c>
      <c r="BI1415">
        <f>IF(BH1415=0,0,IF(AND(AW1415&gt;='Tasks Filter'!$F$3,AW1415&lt;='Tasks Filter'!$F$4,OR('Tasks Filter'!$I$3="",ISNUMBER(SEARCH('Tasks Filter'!$I$3,AU1415))),OR('Tasks Filter'!$I$4="",BF1415=IFERROR(MATCH('Tasks Filter'!$I$4,Setup!$L$6:$L$9,0),0)),OR('Tasks Filter'!$I$5="Both",AND('Tasks Filter'!$I$5="Yes",BB1415="✓"),AND('Tasks Filter'!$I$5="No",BB1415&lt;&gt;"✓")),OR('Tasks Filter'!$L$3="",AV1415='Tasks Filter'!$L$3),OR('Tasks Filter'!$L$4="",AZ1415='Tasks Filter'!$L$4),OR('Tasks Filter'!$L$5="",BC1415='Tasks Filter'!$L$5),OR('Tasks Filter'!$O$3="",BD1415='Tasks Filter'!$O$3),OR('Tasks Filter'!$O$4="Yes",BG1415=0)),1,0))</f>
        <v/>
      </c>
      <c r="BJ1415">
        <f>IF(BH1415=0,"",IF('Tasks Filter'!$F$6="Descending",-1,1)*CHOOSE(MATCH('Tasks Filter'!$F$5,Lists!$G$2:$G$6,0),AW1415,BF1415,IFERROR(MATCH(AV1415,Setup!$F$6:$F$15,0),99),IFERROR(MATCH(BC1415,Setup!$H$6:$H$15,0),99),IFERROR(MATCH(AZ1415,Setup!$J$6:$J$11,0),99))*1E+9+(AW1415-40000)*10000+1414)</f>
        <v/>
      </c>
      <c r="BK1415">
        <f>IF(BI1415=1,BJ1415,"")</f>
        <v/>
      </c>
      <c r="BL1415">
        <f>IF(AND(BH1415=1,BG1415=0,N(AW1415)&lt;Setup!$D$7),(AW1415-40000)*10000+1414,"")</f>
        <v/>
      </c>
      <c r="BM1415">
        <f>IF(AND(BH1415=1,AZ1415&lt;&gt;"Cancelled",N(AW1415)&gt;=Dashboard!$AB$3,N(AW1415)&lt;=Dashboard!$AB$3+6),(AW1415-40000)*100000+BF1415*10000+1414,"")</f>
        <v/>
      </c>
      <c r="BN1415">
        <f>IF(AND(BH1415=1,AZ1415&lt;&gt;"Cancelled"),BF1415*10000+1414,"")</f>
        <v/>
      </c>
    </row>
    <row r="1416">
      <c r="AS1416" t="inlineStr">
        <is>
          <t>R</t>
        </is>
      </c>
      <c r="AT1416" t="n">
        <v>1420</v>
      </c>
      <c r="AU1416">
        <f>'Recurring Log'!C1420&amp;""</f>
        <v/>
      </c>
      <c r="AV1416">
        <f>'Recurring Log'!D1420&amp;""</f>
        <v/>
      </c>
      <c r="AW1416">
        <f>IF('Recurring Log'!E1420="","",'Recurring Log'!E1420)</f>
        <v/>
      </c>
      <c r="AX1416">
        <f>IF('Recurring Log'!G1420="","",'Recurring Log'!G1420)</f>
        <v/>
      </c>
      <c r="AY1416">
        <f>IF('Recurring Log'!H1420="","",'Recurring Log'!H1420)</f>
        <v/>
      </c>
      <c r="AZ1416">
        <f>IF(AU1416="","",IF('Recurring Log'!J1420="","Not Started",'Recurring Log'!J1420))</f>
        <v/>
      </c>
      <c r="BA1416">
        <f>'Recurring Log'!L1420&amp;""</f>
        <v/>
      </c>
      <c r="BB1416">
        <f>'Recurring Log'!M1420&amp;""</f>
        <v/>
      </c>
      <c r="BC1416">
        <f>'Recurring Log'!N1420&amp;""</f>
        <v/>
      </c>
      <c r="BD1416">
        <f>'Recurring Log'!O1420&amp;""</f>
        <v/>
      </c>
      <c r="BE1416">
        <f>IF('Recurring Log'!K1420="","",'Recurring Log'!K1420)</f>
        <v/>
      </c>
      <c r="BF1416">
        <f>IFERROR(MATCH(BA1416,Setup!$L$6:$L$9,0),5)</f>
        <v/>
      </c>
      <c r="BG1416">
        <f>IF(OR(AZ1416="Done",AZ1416="Cancelled"),1,0)</f>
        <v/>
      </c>
      <c r="BH1416">
        <f>IF(AND(AU1416&lt;&gt;"",ISNUMBER(AW1416)),1,0)</f>
        <v/>
      </c>
      <c r="BI1416">
        <f>IF(BH1416=0,0,IF(AND(AW1416&gt;='Tasks Filter'!$F$3,AW1416&lt;='Tasks Filter'!$F$4,OR('Tasks Filter'!$I$3="",ISNUMBER(SEARCH('Tasks Filter'!$I$3,AU1416))),OR('Tasks Filter'!$I$4="",BF1416=IFERROR(MATCH('Tasks Filter'!$I$4,Setup!$L$6:$L$9,0),0)),OR('Tasks Filter'!$I$5="Both",AND('Tasks Filter'!$I$5="Yes",BB1416="✓"),AND('Tasks Filter'!$I$5="No",BB1416&lt;&gt;"✓")),OR('Tasks Filter'!$L$3="",AV1416='Tasks Filter'!$L$3),OR('Tasks Filter'!$L$4="",AZ1416='Tasks Filter'!$L$4),OR('Tasks Filter'!$L$5="",BC1416='Tasks Filter'!$L$5),OR('Tasks Filter'!$O$3="",BD1416='Tasks Filter'!$O$3),OR('Tasks Filter'!$O$4="Yes",BG1416=0)),1,0))</f>
        <v/>
      </c>
      <c r="BJ1416">
        <f>IF(BH1416=0,"",IF('Tasks Filter'!$F$6="Descending",-1,1)*CHOOSE(MATCH('Tasks Filter'!$F$5,Lists!$G$2:$G$6,0),AW1416,BF1416,IFERROR(MATCH(AV1416,Setup!$F$6:$F$15,0),99),IFERROR(MATCH(BC1416,Setup!$H$6:$H$15,0),99),IFERROR(MATCH(AZ1416,Setup!$J$6:$J$11,0),99))*1E+9+(AW1416-40000)*10000+1415)</f>
        <v/>
      </c>
      <c r="BK1416">
        <f>IF(BI1416=1,BJ1416,"")</f>
        <v/>
      </c>
      <c r="BL1416">
        <f>IF(AND(BH1416=1,BG1416=0,N(AW1416)&lt;Setup!$D$7),(AW1416-40000)*10000+1415,"")</f>
        <v/>
      </c>
      <c r="BM1416">
        <f>IF(AND(BH1416=1,AZ1416&lt;&gt;"Cancelled",N(AW1416)&gt;=Dashboard!$AB$3,N(AW1416)&lt;=Dashboard!$AB$3+6),(AW1416-40000)*100000+BF1416*10000+1415,"")</f>
        <v/>
      </c>
      <c r="BN1416">
        <f>IF(AND(BH1416=1,AZ1416&lt;&gt;"Cancelled"),BF1416*10000+1415,"")</f>
        <v/>
      </c>
    </row>
    <row r="1417">
      <c r="AS1417" t="inlineStr">
        <is>
          <t>R</t>
        </is>
      </c>
      <c r="AT1417" t="n">
        <v>1421</v>
      </c>
      <c r="AU1417">
        <f>'Recurring Log'!C1421&amp;""</f>
        <v/>
      </c>
      <c r="AV1417">
        <f>'Recurring Log'!D1421&amp;""</f>
        <v/>
      </c>
      <c r="AW1417">
        <f>IF('Recurring Log'!E1421="","",'Recurring Log'!E1421)</f>
        <v/>
      </c>
      <c r="AX1417">
        <f>IF('Recurring Log'!G1421="","",'Recurring Log'!G1421)</f>
        <v/>
      </c>
      <c r="AY1417">
        <f>IF('Recurring Log'!H1421="","",'Recurring Log'!H1421)</f>
        <v/>
      </c>
      <c r="AZ1417">
        <f>IF(AU1417="","",IF('Recurring Log'!J1421="","Not Started",'Recurring Log'!J1421))</f>
        <v/>
      </c>
      <c r="BA1417">
        <f>'Recurring Log'!L1421&amp;""</f>
        <v/>
      </c>
      <c r="BB1417">
        <f>'Recurring Log'!M1421&amp;""</f>
        <v/>
      </c>
      <c r="BC1417">
        <f>'Recurring Log'!N1421&amp;""</f>
        <v/>
      </c>
      <c r="BD1417">
        <f>'Recurring Log'!O1421&amp;""</f>
        <v/>
      </c>
      <c r="BE1417">
        <f>IF('Recurring Log'!K1421="","",'Recurring Log'!K1421)</f>
        <v/>
      </c>
      <c r="BF1417">
        <f>IFERROR(MATCH(BA1417,Setup!$L$6:$L$9,0),5)</f>
        <v/>
      </c>
      <c r="BG1417">
        <f>IF(OR(AZ1417="Done",AZ1417="Cancelled"),1,0)</f>
        <v/>
      </c>
      <c r="BH1417">
        <f>IF(AND(AU1417&lt;&gt;"",ISNUMBER(AW1417)),1,0)</f>
        <v/>
      </c>
      <c r="BI1417">
        <f>IF(BH1417=0,0,IF(AND(AW1417&gt;='Tasks Filter'!$F$3,AW1417&lt;='Tasks Filter'!$F$4,OR('Tasks Filter'!$I$3="",ISNUMBER(SEARCH('Tasks Filter'!$I$3,AU1417))),OR('Tasks Filter'!$I$4="",BF1417=IFERROR(MATCH('Tasks Filter'!$I$4,Setup!$L$6:$L$9,0),0)),OR('Tasks Filter'!$I$5="Both",AND('Tasks Filter'!$I$5="Yes",BB1417="✓"),AND('Tasks Filter'!$I$5="No",BB1417&lt;&gt;"✓")),OR('Tasks Filter'!$L$3="",AV1417='Tasks Filter'!$L$3),OR('Tasks Filter'!$L$4="",AZ1417='Tasks Filter'!$L$4),OR('Tasks Filter'!$L$5="",BC1417='Tasks Filter'!$L$5),OR('Tasks Filter'!$O$3="",BD1417='Tasks Filter'!$O$3),OR('Tasks Filter'!$O$4="Yes",BG1417=0)),1,0))</f>
        <v/>
      </c>
      <c r="BJ1417">
        <f>IF(BH1417=0,"",IF('Tasks Filter'!$F$6="Descending",-1,1)*CHOOSE(MATCH('Tasks Filter'!$F$5,Lists!$G$2:$G$6,0),AW1417,BF1417,IFERROR(MATCH(AV1417,Setup!$F$6:$F$15,0),99),IFERROR(MATCH(BC1417,Setup!$H$6:$H$15,0),99),IFERROR(MATCH(AZ1417,Setup!$J$6:$J$11,0),99))*1E+9+(AW1417-40000)*10000+1416)</f>
        <v/>
      </c>
      <c r="BK1417">
        <f>IF(BI1417=1,BJ1417,"")</f>
        <v/>
      </c>
      <c r="BL1417">
        <f>IF(AND(BH1417=1,BG1417=0,N(AW1417)&lt;Setup!$D$7),(AW1417-40000)*10000+1416,"")</f>
        <v/>
      </c>
      <c r="BM1417">
        <f>IF(AND(BH1417=1,AZ1417&lt;&gt;"Cancelled",N(AW1417)&gt;=Dashboard!$AB$3,N(AW1417)&lt;=Dashboard!$AB$3+6),(AW1417-40000)*100000+BF1417*10000+1416,"")</f>
        <v/>
      </c>
      <c r="BN1417">
        <f>IF(AND(BH1417=1,AZ1417&lt;&gt;"Cancelled"),BF1417*10000+1416,"")</f>
        <v/>
      </c>
    </row>
    <row r="1418">
      <c r="AS1418" t="inlineStr">
        <is>
          <t>R</t>
        </is>
      </c>
      <c r="AT1418" t="n">
        <v>1422</v>
      </c>
      <c r="AU1418">
        <f>'Recurring Log'!C1422&amp;""</f>
        <v/>
      </c>
      <c r="AV1418">
        <f>'Recurring Log'!D1422&amp;""</f>
        <v/>
      </c>
      <c r="AW1418">
        <f>IF('Recurring Log'!E1422="","",'Recurring Log'!E1422)</f>
        <v/>
      </c>
      <c r="AX1418">
        <f>IF('Recurring Log'!G1422="","",'Recurring Log'!G1422)</f>
        <v/>
      </c>
      <c r="AY1418">
        <f>IF('Recurring Log'!H1422="","",'Recurring Log'!H1422)</f>
        <v/>
      </c>
      <c r="AZ1418">
        <f>IF(AU1418="","",IF('Recurring Log'!J1422="","Not Started",'Recurring Log'!J1422))</f>
        <v/>
      </c>
      <c r="BA1418">
        <f>'Recurring Log'!L1422&amp;""</f>
        <v/>
      </c>
      <c r="BB1418">
        <f>'Recurring Log'!M1422&amp;""</f>
        <v/>
      </c>
      <c r="BC1418">
        <f>'Recurring Log'!N1422&amp;""</f>
        <v/>
      </c>
      <c r="BD1418">
        <f>'Recurring Log'!O1422&amp;""</f>
        <v/>
      </c>
      <c r="BE1418">
        <f>IF('Recurring Log'!K1422="","",'Recurring Log'!K1422)</f>
        <v/>
      </c>
      <c r="BF1418">
        <f>IFERROR(MATCH(BA1418,Setup!$L$6:$L$9,0),5)</f>
        <v/>
      </c>
      <c r="BG1418">
        <f>IF(OR(AZ1418="Done",AZ1418="Cancelled"),1,0)</f>
        <v/>
      </c>
      <c r="BH1418">
        <f>IF(AND(AU1418&lt;&gt;"",ISNUMBER(AW1418)),1,0)</f>
        <v/>
      </c>
      <c r="BI1418">
        <f>IF(BH1418=0,0,IF(AND(AW1418&gt;='Tasks Filter'!$F$3,AW1418&lt;='Tasks Filter'!$F$4,OR('Tasks Filter'!$I$3="",ISNUMBER(SEARCH('Tasks Filter'!$I$3,AU1418))),OR('Tasks Filter'!$I$4="",BF1418=IFERROR(MATCH('Tasks Filter'!$I$4,Setup!$L$6:$L$9,0),0)),OR('Tasks Filter'!$I$5="Both",AND('Tasks Filter'!$I$5="Yes",BB1418="✓"),AND('Tasks Filter'!$I$5="No",BB1418&lt;&gt;"✓")),OR('Tasks Filter'!$L$3="",AV1418='Tasks Filter'!$L$3),OR('Tasks Filter'!$L$4="",AZ1418='Tasks Filter'!$L$4),OR('Tasks Filter'!$L$5="",BC1418='Tasks Filter'!$L$5),OR('Tasks Filter'!$O$3="",BD1418='Tasks Filter'!$O$3),OR('Tasks Filter'!$O$4="Yes",BG1418=0)),1,0))</f>
        <v/>
      </c>
      <c r="BJ1418">
        <f>IF(BH1418=0,"",IF('Tasks Filter'!$F$6="Descending",-1,1)*CHOOSE(MATCH('Tasks Filter'!$F$5,Lists!$G$2:$G$6,0),AW1418,BF1418,IFERROR(MATCH(AV1418,Setup!$F$6:$F$15,0),99),IFERROR(MATCH(BC1418,Setup!$H$6:$H$15,0),99),IFERROR(MATCH(AZ1418,Setup!$J$6:$J$11,0),99))*1E+9+(AW1418-40000)*10000+1417)</f>
        <v/>
      </c>
      <c r="BK1418">
        <f>IF(BI1418=1,BJ1418,"")</f>
        <v/>
      </c>
      <c r="BL1418">
        <f>IF(AND(BH1418=1,BG1418=0,N(AW1418)&lt;Setup!$D$7),(AW1418-40000)*10000+1417,"")</f>
        <v/>
      </c>
      <c r="BM1418">
        <f>IF(AND(BH1418=1,AZ1418&lt;&gt;"Cancelled",N(AW1418)&gt;=Dashboard!$AB$3,N(AW1418)&lt;=Dashboard!$AB$3+6),(AW1418-40000)*100000+BF1418*10000+1417,"")</f>
        <v/>
      </c>
      <c r="BN1418">
        <f>IF(AND(BH1418=1,AZ1418&lt;&gt;"Cancelled"),BF1418*10000+1417,"")</f>
        <v/>
      </c>
    </row>
    <row r="1419">
      <c r="AS1419" t="inlineStr">
        <is>
          <t>R</t>
        </is>
      </c>
      <c r="AT1419" t="n">
        <v>1423</v>
      </c>
      <c r="AU1419">
        <f>'Recurring Log'!C1423&amp;""</f>
        <v/>
      </c>
      <c r="AV1419">
        <f>'Recurring Log'!D1423&amp;""</f>
        <v/>
      </c>
      <c r="AW1419">
        <f>IF('Recurring Log'!E1423="","",'Recurring Log'!E1423)</f>
        <v/>
      </c>
      <c r="AX1419">
        <f>IF('Recurring Log'!G1423="","",'Recurring Log'!G1423)</f>
        <v/>
      </c>
      <c r="AY1419">
        <f>IF('Recurring Log'!H1423="","",'Recurring Log'!H1423)</f>
        <v/>
      </c>
      <c r="AZ1419">
        <f>IF(AU1419="","",IF('Recurring Log'!J1423="","Not Started",'Recurring Log'!J1423))</f>
        <v/>
      </c>
      <c r="BA1419">
        <f>'Recurring Log'!L1423&amp;""</f>
        <v/>
      </c>
      <c r="BB1419">
        <f>'Recurring Log'!M1423&amp;""</f>
        <v/>
      </c>
      <c r="BC1419">
        <f>'Recurring Log'!N1423&amp;""</f>
        <v/>
      </c>
      <c r="BD1419">
        <f>'Recurring Log'!O1423&amp;""</f>
        <v/>
      </c>
      <c r="BE1419">
        <f>IF('Recurring Log'!K1423="","",'Recurring Log'!K1423)</f>
        <v/>
      </c>
      <c r="BF1419">
        <f>IFERROR(MATCH(BA1419,Setup!$L$6:$L$9,0),5)</f>
        <v/>
      </c>
      <c r="BG1419">
        <f>IF(OR(AZ1419="Done",AZ1419="Cancelled"),1,0)</f>
        <v/>
      </c>
      <c r="BH1419">
        <f>IF(AND(AU1419&lt;&gt;"",ISNUMBER(AW1419)),1,0)</f>
        <v/>
      </c>
      <c r="BI1419">
        <f>IF(BH1419=0,0,IF(AND(AW1419&gt;='Tasks Filter'!$F$3,AW1419&lt;='Tasks Filter'!$F$4,OR('Tasks Filter'!$I$3="",ISNUMBER(SEARCH('Tasks Filter'!$I$3,AU1419))),OR('Tasks Filter'!$I$4="",BF1419=IFERROR(MATCH('Tasks Filter'!$I$4,Setup!$L$6:$L$9,0),0)),OR('Tasks Filter'!$I$5="Both",AND('Tasks Filter'!$I$5="Yes",BB1419="✓"),AND('Tasks Filter'!$I$5="No",BB1419&lt;&gt;"✓")),OR('Tasks Filter'!$L$3="",AV1419='Tasks Filter'!$L$3),OR('Tasks Filter'!$L$4="",AZ1419='Tasks Filter'!$L$4),OR('Tasks Filter'!$L$5="",BC1419='Tasks Filter'!$L$5),OR('Tasks Filter'!$O$3="",BD1419='Tasks Filter'!$O$3),OR('Tasks Filter'!$O$4="Yes",BG1419=0)),1,0))</f>
        <v/>
      </c>
      <c r="BJ1419">
        <f>IF(BH1419=0,"",IF('Tasks Filter'!$F$6="Descending",-1,1)*CHOOSE(MATCH('Tasks Filter'!$F$5,Lists!$G$2:$G$6,0),AW1419,BF1419,IFERROR(MATCH(AV1419,Setup!$F$6:$F$15,0),99),IFERROR(MATCH(BC1419,Setup!$H$6:$H$15,0),99),IFERROR(MATCH(AZ1419,Setup!$J$6:$J$11,0),99))*1E+9+(AW1419-40000)*10000+1418)</f>
        <v/>
      </c>
      <c r="BK1419">
        <f>IF(BI1419=1,BJ1419,"")</f>
        <v/>
      </c>
      <c r="BL1419">
        <f>IF(AND(BH1419=1,BG1419=0,N(AW1419)&lt;Setup!$D$7),(AW1419-40000)*10000+1418,"")</f>
        <v/>
      </c>
      <c r="BM1419">
        <f>IF(AND(BH1419=1,AZ1419&lt;&gt;"Cancelled",N(AW1419)&gt;=Dashboard!$AB$3,N(AW1419)&lt;=Dashboard!$AB$3+6),(AW1419-40000)*100000+BF1419*10000+1418,"")</f>
        <v/>
      </c>
      <c r="BN1419">
        <f>IF(AND(BH1419=1,AZ1419&lt;&gt;"Cancelled"),BF1419*10000+1418,"")</f>
        <v/>
      </c>
    </row>
    <row r="1420">
      <c r="AS1420" t="inlineStr">
        <is>
          <t>R</t>
        </is>
      </c>
      <c r="AT1420" t="n">
        <v>1424</v>
      </c>
      <c r="AU1420">
        <f>'Recurring Log'!C1424&amp;""</f>
        <v/>
      </c>
      <c r="AV1420">
        <f>'Recurring Log'!D1424&amp;""</f>
        <v/>
      </c>
      <c r="AW1420">
        <f>IF('Recurring Log'!E1424="","",'Recurring Log'!E1424)</f>
        <v/>
      </c>
      <c r="AX1420">
        <f>IF('Recurring Log'!G1424="","",'Recurring Log'!G1424)</f>
        <v/>
      </c>
      <c r="AY1420">
        <f>IF('Recurring Log'!H1424="","",'Recurring Log'!H1424)</f>
        <v/>
      </c>
      <c r="AZ1420">
        <f>IF(AU1420="","",IF('Recurring Log'!J1424="","Not Started",'Recurring Log'!J1424))</f>
        <v/>
      </c>
      <c r="BA1420">
        <f>'Recurring Log'!L1424&amp;""</f>
        <v/>
      </c>
      <c r="BB1420">
        <f>'Recurring Log'!M1424&amp;""</f>
        <v/>
      </c>
      <c r="BC1420">
        <f>'Recurring Log'!N1424&amp;""</f>
        <v/>
      </c>
      <c r="BD1420">
        <f>'Recurring Log'!O1424&amp;""</f>
        <v/>
      </c>
      <c r="BE1420">
        <f>IF('Recurring Log'!K1424="","",'Recurring Log'!K1424)</f>
        <v/>
      </c>
      <c r="BF1420">
        <f>IFERROR(MATCH(BA1420,Setup!$L$6:$L$9,0),5)</f>
        <v/>
      </c>
      <c r="BG1420">
        <f>IF(OR(AZ1420="Done",AZ1420="Cancelled"),1,0)</f>
        <v/>
      </c>
      <c r="BH1420">
        <f>IF(AND(AU1420&lt;&gt;"",ISNUMBER(AW1420)),1,0)</f>
        <v/>
      </c>
      <c r="BI1420">
        <f>IF(BH1420=0,0,IF(AND(AW1420&gt;='Tasks Filter'!$F$3,AW1420&lt;='Tasks Filter'!$F$4,OR('Tasks Filter'!$I$3="",ISNUMBER(SEARCH('Tasks Filter'!$I$3,AU1420))),OR('Tasks Filter'!$I$4="",BF1420=IFERROR(MATCH('Tasks Filter'!$I$4,Setup!$L$6:$L$9,0),0)),OR('Tasks Filter'!$I$5="Both",AND('Tasks Filter'!$I$5="Yes",BB1420="✓"),AND('Tasks Filter'!$I$5="No",BB1420&lt;&gt;"✓")),OR('Tasks Filter'!$L$3="",AV1420='Tasks Filter'!$L$3),OR('Tasks Filter'!$L$4="",AZ1420='Tasks Filter'!$L$4),OR('Tasks Filter'!$L$5="",BC1420='Tasks Filter'!$L$5),OR('Tasks Filter'!$O$3="",BD1420='Tasks Filter'!$O$3),OR('Tasks Filter'!$O$4="Yes",BG1420=0)),1,0))</f>
        <v/>
      </c>
      <c r="BJ1420">
        <f>IF(BH1420=0,"",IF('Tasks Filter'!$F$6="Descending",-1,1)*CHOOSE(MATCH('Tasks Filter'!$F$5,Lists!$G$2:$G$6,0),AW1420,BF1420,IFERROR(MATCH(AV1420,Setup!$F$6:$F$15,0),99),IFERROR(MATCH(BC1420,Setup!$H$6:$H$15,0),99),IFERROR(MATCH(AZ1420,Setup!$J$6:$J$11,0),99))*1E+9+(AW1420-40000)*10000+1419)</f>
        <v/>
      </c>
      <c r="BK1420">
        <f>IF(BI1420=1,BJ1420,"")</f>
        <v/>
      </c>
      <c r="BL1420">
        <f>IF(AND(BH1420=1,BG1420=0,N(AW1420)&lt;Setup!$D$7),(AW1420-40000)*10000+1419,"")</f>
        <v/>
      </c>
      <c r="BM1420">
        <f>IF(AND(BH1420=1,AZ1420&lt;&gt;"Cancelled",N(AW1420)&gt;=Dashboard!$AB$3,N(AW1420)&lt;=Dashboard!$AB$3+6),(AW1420-40000)*100000+BF1420*10000+1419,"")</f>
        <v/>
      </c>
      <c r="BN1420">
        <f>IF(AND(BH1420=1,AZ1420&lt;&gt;"Cancelled"),BF1420*10000+1419,"")</f>
        <v/>
      </c>
    </row>
    <row r="1421">
      <c r="AS1421" t="inlineStr">
        <is>
          <t>R</t>
        </is>
      </c>
      <c r="AT1421" t="n">
        <v>1425</v>
      </c>
      <c r="AU1421">
        <f>'Recurring Log'!C1425&amp;""</f>
        <v/>
      </c>
      <c r="AV1421">
        <f>'Recurring Log'!D1425&amp;""</f>
        <v/>
      </c>
      <c r="AW1421">
        <f>IF('Recurring Log'!E1425="","",'Recurring Log'!E1425)</f>
        <v/>
      </c>
      <c r="AX1421">
        <f>IF('Recurring Log'!G1425="","",'Recurring Log'!G1425)</f>
        <v/>
      </c>
      <c r="AY1421">
        <f>IF('Recurring Log'!H1425="","",'Recurring Log'!H1425)</f>
        <v/>
      </c>
      <c r="AZ1421">
        <f>IF(AU1421="","",IF('Recurring Log'!J1425="","Not Started",'Recurring Log'!J1425))</f>
        <v/>
      </c>
      <c r="BA1421">
        <f>'Recurring Log'!L1425&amp;""</f>
        <v/>
      </c>
      <c r="BB1421">
        <f>'Recurring Log'!M1425&amp;""</f>
        <v/>
      </c>
      <c r="BC1421">
        <f>'Recurring Log'!N1425&amp;""</f>
        <v/>
      </c>
      <c r="BD1421">
        <f>'Recurring Log'!O1425&amp;""</f>
        <v/>
      </c>
      <c r="BE1421">
        <f>IF('Recurring Log'!K1425="","",'Recurring Log'!K1425)</f>
        <v/>
      </c>
      <c r="BF1421">
        <f>IFERROR(MATCH(BA1421,Setup!$L$6:$L$9,0),5)</f>
        <v/>
      </c>
      <c r="BG1421">
        <f>IF(OR(AZ1421="Done",AZ1421="Cancelled"),1,0)</f>
        <v/>
      </c>
      <c r="BH1421">
        <f>IF(AND(AU1421&lt;&gt;"",ISNUMBER(AW1421)),1,0)</f>
        <v/>
      </c>
      <c r="BI1421">
        <f>IF(BH1421=0,0,IF(AND(AW1421&gt;='Tasks Filter'!$F$3,AW1421&lt;='Tasks Filter'!$F$4,OR('Tasks Filter'!$I$3="",ISNUMBER(SEARCH('Tasks Filter'!$I$3,AU1421))),OR('Tasks Filter'!$I$4="",BF1421=IFERROR(MATCH('Tasks Filter'!$I$4,Setup!$L$6:$L$9,0),0)),OR('Tasks Filter'!$I$5="Both",AND('Tasks Filter'!$I$5="Yes",BB1421="✓"),AND('Tasks Filter'!$I$5="No",BB1421&lt;&gt;"✓")),OR('Tasks Filter'!$L$3="",AV1421='Tasks Filter'!$L$3),OR('Tasks Filter'!$L$4="",AZ1421='Tasks Filter'!$L$4),OR('Tasks Filter'!$L$5="",BC1421='Tasks Filter'!$L$5),OR('Tasks Filter'!$O$3="",BD1421='Tasks Filter'!$O$3),OR('Tasks Filter'!$O$4="Yes",BG1421=0)),1,0))</f>
        <v/>
      </c>
      <c r="BJ1421">
        <f>IF(BH1421=0,"",IF('Tasks Filter'!$F$6="Descending",-1,1)*CHOOSE(MATCH('Tasks Filter'!$F$5,Lists!$G$2:$G$6,0),AW1421,BF1421,IFERROR(MATCH(AV1421,Setup!$F$6:$F$15,0),99),IFERROR(MATCH(BC1421,Setup!$H$6:$H$15,0),99),IFERROR(MATCH(AZ1421,Setup!$J$6:$J$11,0),99))*1E+9+(AW1421-40000)*10000+1420)</f>
        <v/>
      </c>
      <c r="BK1421">
        <f>IF(BI1421=1,BJ1421,"")</f>
        <v/>
      </c>
      <c r="BL1421">
        <f>IF(AND(BH1421=1,BG1421=0,N(AW1421)&lt;Setup!$D$7),(AW1421-40000)*10000+1420,"")</f>
        <v/>
      </c>
      <c r="BM1421">
        <f>IF(AND(BH1421=1,AZ1421&lt;&gt;"Cancelled",N(AW1421)&gt;=Dashboard!$AB$3,N(AW1421)&lt;=Dashboard!$AB$3+6),(AW1421-40000)*100000+BF1421*10000+1420,"")</f>
        <v/>
      </c>
      <c r="BN1421">
        <f>IF(AND(BH1421=1,AZ1421&lt;&gt;"Cancelled"),BF1421*10000+1420,"")</f>
        <v/>
      </c>
    </row>
    <row r="1422">
      <c r="AS1422" t="inlineStr">
        <is>
          <t>R</t>
        </is>
      </c>
      <c r="AT1422" t="n">
        <v>1426</v>
      </c>
      <c r="AU1422">
        <f>'Recurring Log'!C1426&amp;""</f>
        <v/>
      </c>
      <c r="AV1422">
        <f>'Recurring Log'!D1426&amp;""</f>
        <v/>
      </c>
      <c r="AW1422">
        <f>IF('Recurring Log'!E1426="","",'Recurring Log'!E1426)</f>
        <v/>
      </c>
      <c r="AX1422">
        <f>IF('Recurring Log'!G1426="","",'Recurring Log'!G1426)</f>
        <v/>
      </c>
      <c r="AY1422">
        <f>IF('Recurring Log'!H1426="","",'Recurring Log'!H1426)</f>
        <v/>
      </c>
      <c r="AZ1422">
        <f>IF(AU1422="","",IF('Recurring Log'!J1426="","Not Started",'Recurring Log'!J1426))</f>
        <v/>
      </c>
      <c r="BA1422">
        <f>'Recurring Log'!L1426&amp;""</f>
        <v/>
      </c>
      <c r="BB1422">
        <f>'Recurring Log'!M1426&amp;""</f>
        <v/>
      </c>
      <c r="BC1422">
        <f>'Recurring Log'!N1426&amp;""</f>
        <v/>
      </c>
      <c r="BD1422">
        <f>'Recurring Log'!O1426&amp;""</f>
        <v/>
      </c>
      <c r="BE1422">
        <f>IF('Recurring Log'!K1426="","",'Recurring Log'!K1426)</f>
        <v/>
      </c>
      <c r="BF1422">
        <f>IFERROR(MATCH(BA1422,Setup!$L$6:$L$9,0),5)</f>
        <v/>
      </c>
      <c r="BG1422">
        <f>IF(OR(AZ1422="Done",AZ1422="Cancelled"),1,0)</f>
        <v/>
      </c>
      <c r="BH1422">
        <f>IF(AND(AU1422&lt;&gt;"",ISNUMBER(AW1422)),1,0)</f>
        <v/>
      </c>
      <c r="BI1422">
        <f>IF(BH1422=0,0,IF(AND(AW1422&gt;='Tasks Filter'!$F$3,AW1422&lt;='Tasks Filter'!$F$4,OR('Tasks Filter'!$I$3="",ISNUMBER(SEARCH('Tasks Filter'!$I$3,AU1422))),OR('Tasks Filter'!$I$4="",BF1422=IFERROR(MATCH('Tasks Filter'!$I$4,Setup!$L$6:$L$9,0),0)),OR('Tasks Filter'!$I$5="Both",AND('Tasks Filter'!$I$5="Yes",BB1422="✓"),AND('Tasks Filter'!$I$5="No",BB1422&lt;&gt;"✓")),OR('Tasks Filter'!$L$3="",AV1422='Tasks Filter'!$L$3),OR('Tasks Filter'!$L$4="",AZ1422='Tasks Filter'!$L$4),OR('Tasks Filter'!$L$5="",BC1422='Tasks Filter'!$L$5),OR('Tasks Filter'!$O$3="",BD1422='Tasks Filter'!$O$3),OR('Tasks Filter'!$O$4="Yes",BG1422=0)),1,0))</f>
        <v/>
      </c>
      <c r="BJ1422">
        <f>IF(BH1422=0,"",IF('Tasks Filter'!$F$6="Descending",-1,1)*CHOOSE(MATCH('Tasks Filter'!$F$5,Lists!$G$2:$G$6,0),AW1422,BF1422,IFERROR(MATCH(AV1422,Setup!$F$6:$F$15,0),99),IFERROR(MATCH(BC1422,Setup!$H$6:$H$15,0),99),IFERROR(MATCH(AZ1422,Setup!$J$6:$J$11,0),99))*1E+9+(AW1422-40000)*10000+1421)</f>
        <v/>
      </c>
      <c r="BK1422">
        <f>IF(BI1422=1,BJ1422,"")</f>
        <v/>
      </c>
      <c r="BL1422">
        <f>IF(AND(BH1422=1,BG1422=0,N(AW1422)&lt;Setup!$D$7),(AW1422-40000)*10000+1421,"")</f>
        <v/>
      </c>
      <c r="BM1422">
        <f>IF(AND(BH1422=1,AZ1422&lt;&gt;"Cancelled",N(AW1422)&gt;=Dashboard!$AB$3,N(AW1422)&lt;=Dashboard!$AB$3+6),(AW1422-40000)*100000+BF1422*10000+1421,"")</f>
        <v/>
      </c>
      <c r="BN1422">
        <f>IF(AND(BH1422=1,AZ1422&lt;&gt;"Cancelled"),BF1422*10000+1421,"")</f>
        <v/>
      </c>
    </row>
    <row r="1423">
      <c r="AS1423" t="inlineStr">
        <is>
          <t>R</t>
        </is>
      </c>
      <c r="AT1423" t="n">
        <v>1427</v>
      </c>
      <c r="AU1423">
        <f>'Recurring Log'!C1427&amp;""</f>
        <v/>
      </c>
      <c r="AV1423">
        <f>'Recurring Log'!D1427&amp;""</f>
        <v/>
      </c>
      <c r="AW1423">
        <f>IF('Recurring Log'!E1427="","",'Recurring Log'!E1427)</f>
        <v/>
      </c>
      <c r="AX1423">
        <f>IF('Recurring Log'!G1427="","",'Recurring Log'!G1427)</f>
        <v/>
      </c>
      <c r="AY1423">
        <f>IF('Recurring Log'!H1427="","",'Recurring Log'!H1427)</f>
        <v/>
      </c>
      <c r="AZ1423">
        <f>IF(AU1423="","",IF('Recurring Log'!J1427="","Not Started",'Recurring Log'!J1427))</f>
        <v/>
      </c>
      <c r="BA1423">
        <f>'Recurring Log'!L1427&amp;""</f>
        <v/>
      </c>
      <c r="BB1423">
        <f>'Recurring Log'!M1427&amp;""</f>
        <v/>
      </c>
      <c r="BC1423">
        <f>'Recurring Log'!N1427&amp;""</f>
        <v/>
      </c>
      <c r="BD1423">
        <f>'Recurring Log'!O1427&amp;""</f>
        <v/>
      </c>
      <c r="BE1423">
        <f>IF('Recurring Log'!K1427="","",'Recurring Log'!K1427)</f>
        <v/>
      </c>
      <c r="BF1423">
        <f>IFERROR(MATCH(BA1423,Setup!$L$6:$L$9,0),5)</f>
        <v/>
      </c>
      <c r="BG1423">
        <f>IF(OR(AZ1423="Done",AZ1423="Cancelled"),1,0)</f>
        <v/>
      </c>
      <c r="BH1423">
        <f>IF(AND(AU1423&lt;&gt;"",ISNUMBER(AW1423)),1,0)</f>
        <v/>
      </c>
      <c r="BI1423">
        <f>IF(BH1423=0,0,IF(AND(AW1423&gt;='Tasks Filter'!$F$3,AW1423&lt;='Tasks Filter'!$F$4,OR('Tasks Filter'!$I$3="",ISNUMBER(SEARCH('Tasks Filter'!$I$3,AU1423))),OR('Tasks Filter'!$I$4="",BF1423=IFERROR(MATCH('Tasks Filter'!$I$4,Setup!$L$6:$L$9,0),0)),OR('Tasks Filter'!$I$5="Both",AND('Tasks Filter'!$I$5="Yes",BB1423="✓"),AND('Tasks Filter'!$I$5="No",BB1423&lt;&gt;"✓")),OR('Tasks Filter'!$L$3="",AV1423='Tasks Filter'!$L$3),OR('Tasks Filter'!$L$4="",AZ1423='Tasks Filter'!$L$4),OR('Tasks Filter'!$L$5="",BC1423='Tasks Filter'!$L$5),OR('Tasks Filter'!$O$3="",BD1423='Tasks Filter'!$O$3),OR('Tasks Filter'!$O$4="Yes",BG1423=0)),1,0))</f>
        <v/>
      </c>
      <c r="BJ1423">
        <f>IF(BH1423=0,"",IF('Tasks Filter'!$F$6="Descending",-1,1)*CHOOSE(MATCH('Tasks Filter'!$F$5,Lists!$G$2:$G$6,0),AW1423,BF1423,IFERROR(MATCH(AV1423,Setup!$F$6:$F$15,0),99),IFERROR(MATCH(BC1423,Setup!$H$6:$H$15,0),99),IFERROR(MATCH(AZ1423,Setup!$J$6:$J$11,0),99))*1E+9+(AW1423-40000)*10000+1422)</f>
        <v/>
      </c>
      <c r="BK1423">
        <f>IF(BI1423=1,BJ1423,"")</f>
        <v/>
      </c>
      <c r="BL1423">
        <f>IF(AND(BH1423=1,BG1423=0,N(AW1423)&lt;Setup!$D$7),(AW1423-40000)*10000+1422,"")</f>
        <v/>
      </c>
      <c r="BM1423">
        <f>IF(AND(BH1423=1,AZ1423&lt;&gt;"Cancelled",N(AW1423)&gt;=Dashboard!$AB$3,N(AW1423)&lt;=Dashboard!$AB$3+6),(AW1423-40000)*100000+BF1423*10000+1422,"")</f>
        <v/>
      </c>
      <c r="BN1423">
        <f>IF(AND(BH1423=1,AZ1423&lt;&gt;"Cancelled"),BF1423*10000+1422,"")</f>
        <v/>
      </c>
    </row>
    <row r="1424">
      <c r="AS1424" t="inlineStr">
        <is>
          <t>R</t>
        </is>
      </c>
      <c r="AT1424" t="n">
        <v>1428</v>
      </c>
      <c r="AU1424">
        <f>'Recurring Log'!C1428&amp;""</f>
        <v/>
      </c>
      <c r="AV1424">
        <f>'Recurring Log'!D1428&amp;""</f>
        <v/>
      </c>
      <c r="AW1424">
        <f>IF('Recurring Log'!E1428="","",'Recurring Log'!E1428)</f>
        <v/>
      </c>
      <c r="AX1424">
        <f>IF('Recurring Log'!G1428="","",'Recurring Log'!G1428)</f>
        <v/>
      </c>
      <c r="AY1424">
        <f>IF('Recurring Log'!H1428="","",'Recurring Log'!H1428)</f>
        <v/>
      </c>
      <c r="AZ1424">
        <f>IF(AU1424="","",IF('Recurring Log'!J1428="","Not Started",'Recurring Log'!J1428))</f>
        <v/>
      </c>
      <c r="BA1424">
        <f>'Recurring Log'!L1428&amp;""</f>
        <v/>
      </c>
      <c r="BB1424">
        <f>'Recurring Log'!M1428&amp;""</f>
        <v/>
      </c>
      <c r="BC1424">
        <f>'Recurring Log'!N1428&amp;""</f>
        <v/>
      </c>
      <c r="BD1424">
        <f>'Recurring Log'!O1428&amp;""</f>
        <v/>
      </c>
      <c r="BE1424">
        <f>IF('Recurring Log'!K1428="","",'Recurring Log'!K1428)</f>
        <v/>
      </c>
      <c r="BF1424">
        <f>IFERROR(MATCH(BA1424,Setup!$L$6:$L$9,0),5)</f>
        <v/>
      </c>
      <c r="BG1424">
        <f>IF(OR(AZ1424="Done",AZ1424="Cancelled"),1,0)</f>
        <v/>
      </c>
      <c r="BH1424">
        <f>IF(AND(AU1424&lt;&gt;"",ISNUMBER(AW1424)),1,0)</f>
        <v/>
      </c>
      <c r="BI1424">
        <f>IF(BH1424=0,0,IF(AND(AW1424&gt;='Tasks Filter'!$F$3,AW1424&lt;='Tasks Filter'!$F$4,OR('Tasks Filter'!$I$3="",ISNUMBER(SEARCH('Tasks Filter'!$I$3,AU1424))),OR('Tasks Filter'!$I$4="",BF1424=IFERROR(MATCH('Tasks Filter'!$I$4,Setup!$L$6:$L$9,0),0)),OR('Tasks Filter'!$I$5="Both",AND('Tasks Filter'!$I$5="Yes",BB1424="✓"),AND('Tasks Filter'!$I$5="No",BB1424&lt;&gt;"✓")),OR('Tasks Filter'!$L$3="",AV1424='Tasks Filter'!$L$3),OR('Tasks Filter'!$L$4="",AZ1424='Tasks Filter'!$L$4),OR('Tasks Filter'!$L$5="",BC1424='Tasks Filter'!$L$5),OR('Tasks Filter'!$O$3="",BD1424='Tasks Filter'!$O$3),OR('Tasks Filter'!$O$4="Yes",BG1424=0)),1,0))</f>
        <v/>
      </c>
      <c r="BJ1424">
        <f>IF(BH1424=0,"",IF('Tasks Filter'!$F$6="Descending",-1,1)*CHOOSE(MATCH('Tasks Filter'!$F$5,Lists!$G$2:$G$6,0),AW1424,BF1424,IFERROR(MATCH(AV1424,Setup!$F$6:$F$15,0),99),IFERROR(MATCH(BC1424,Setup!$H$6:$H$15,0),99),IFERROR(MATCH(AZ1424,Setup!$J$6:$J$11,0),99))*1E+9+(AW1424-40000)*10000+1423)</f>
        <v/>
      </c>
      <c r="BK1424">
        <f>IF(BI1424=1,BJ1424,"")</f>
        <v/>
      </c>
      <c r="BL1424">
        <f>IF(AND(BH1424=1,BG1424=0,N(AW1424)&lt;Setup!$D$7),(AW1424-40000)*10000+1423,"")</f>
        <v/>
      </c>
      <c r="BM1424">
        <f>IF(AND(BH1424=1,AZ1424&lt;&gt;"Cancelled",N(AW1424)&gt;=Dashboard!$AB$3,N(AW1424)&lt;=Dashboard!$AB$3+6),(AW1424-40000)*100000+BF1424*10000+1423,"")</f>
        <v/>
      </c>
      <c r="BN1424">
        <f>IF(AND(BH1424=1,AZ1424&lt;&gt;"Cancelled"),BF1424*10000+1423,"")</f>
        <v/>
      </c>
    </row>
    <row r="1425">
      <c r="AS1425" t="inlineStr">
        <is>
          <t>R</t>
        </is>
      </c>
      <c r="AT1425" t="n">
        <v>1429</v>
      </c>
      <c r="AU1425">
        <f>'Recurring Log'!C1429&amp;""</f>
        <v/>
      </c>
      <c r="AV1425">
        <f>'Recurring Log'!D1429&amp;""</f>
        <v/>
      </c>
      <c r="AW1425">
        <f>IF('Recurring Log'!E1429="","",'Recurring Log'!E1429)</f>
        <v/>
      </c>
      <c r="AX1425">
        <f>IF('Recurring Log'!G1429="","",'Recurring Log'!G1429)</f>
        <v/>
      </c>
      <c r="AY1425">
        <f>IF('Recurring Log'!H1429="","",'Recurring Log'!H1429)</f>
        <v/>
      </c>
      <c r="AZ1425">
        <f>IF(AU1425="","",IF('Recurring Log'!J1429="","Not Started",'Recurring Log'!J1429))</f>
        <v/>
      </c>
      <c r="BA1425">
        <f>'Recurring Log'!L1429&amp;""</f>
        <v/>
      </c>
      <c r="BB1425">
        <f>'Recurring Log'!M1429&amp;""</f>
        <v/>
      </c>
      <c r="BC1425">
        <f>'Recurring Log'!N1429&amp;""</f>
        <v/>
      </c>
      <c r="BD1425">
        <f>'Recurring Log'!O1429&amp;""</f>
        <v/>
      </c>
      <c r="BE1425">
        <f>IF('Recurring Log'!K1429="","",'Recurring Log'!K1429)</f>
        <v/>
      </c>
      <c r="BF1425">
        <f>IFERROR(MATCH(BA1425,Setup!$L$6:$L$9,0),5)</f>
        <v/>
      </c>
      <c r="BG1425">
        <f>IF(OR(AZ1425="Done",AZ1425="Cancelled"),1,0)</f>
        <v/>
      </c>
      <c r="BH1425">
        <f>IF(AND(AU1425&lt;&gt;"",ISNUMBER(AW1425)),1,0)</f>
        <v/>
      </c>
      <c r="BI1425">
        <f>IF(BH1425=0,0,IF(AND(AW1425&gt;='Tasks Filter'!$F$3,AW1425&lt;='Tasks Filter'!$F$4,OR('Tasks Filter'!$I$3="",ISNUMBER(SEARCH('Tasks Filter'!$I$3,AU1425))),OR('Tasks Filter'!$I$4="",BF1425=IFERROR(MATCH('Tasks Filter'!$I$4,Setup!$L$6:$L$9,0),0)),OR('Tasks Filter'!$I$5="Both",AND('Tasks Filter'!$I$5="Yes",BB1425="✓"),AND('Tasks Filter'!$I$5="No",BB1425&lt;&gt;"✓")),OR('Tasks Filter'!$L$3="",AV1425='Tasks Filter'!$L$3),OR('Tasks Filter'!$L$4="",AZ1425='Tasks Filter'!$L$4),OR('Tasks Filter'!$L$5="",BC1425='Tasks Filter'!$L$5),OR('Tasks Filter'!$O$3="",BD1425='Tasks Filter'!$O$3),OR('Tasks Filter'!$O$4="Yes",BG1425=0)),1,0))</f>
        <v/>
      </c>
      <c r="BJ1425">
        <f>IF(BH1425=0,"",IF('Tasks Filter'!$F$6="Descending",-1,1)*CHOOSE(MATCH('Tasks Filter'!$F$5,Lists!$G$2:$G$6,0),AW1425,BF1425,IFERROR(MATCH(AV1425,Setup!$F$6:$F$15,0),99),IFERROR(MATCH(BC1425,Setup!$H$6:$H$15,0),99),IFERROR(MATCH(AZ1425,Setup!$J$6:$J$11,0),99))*1E+9+(AW1425-40000)*10000+1424)</f>
        <v/>
      </c>
      <c r="BK1425">
        <f>IF(BI1425=1,BJ1425,"")</f>
        <v/>
      </c>
      <c r="BL1425">
        <f>IF(AND(BH1425=1,BG1425=0,N(AW1425)&lt;Setup!$D$7),(AW1425-40000)*10000+1424,"")</f>
        <v/>
      </c>
      <c r="BM1425">
        <f>IF(AND(BH1425=1,AZ1425&lt;&gt;"Cancelled",N(AW1425)&gt;=Dashboard!$AB$3,N(AW1425)&lt;=Dashboard!$AB$3+6),(AW1425-40000)*100000+BF1425*10000+1424,"")</f>
        <v/>
      </c>
      <c r="BN1425">
        <f>IF(AND(BH1425=1,AZ1425&lt;&gt;"Cancelled"),BF1425*10000+1424,"")</f>
        <v/>
      </c>
    </row>
    <row r="1426">
      <c r="AS1426" t="inlineStr">
        <is>
          <t>R</t>
        </is>
      </c>
      <c r="AT1426" t="n">
        <v>1430</v>
      </c>
      <c r="AU1426">
        <f>'Recurring Log'!C1430&amp;""</f>
        <v/>
      </c>
      <c r="AV1426">
        <f>'Recurring Log'!D1430&amp;""</f>
        <v/>
      </c>
      <c r="AW1426">
        <f>IF('Recurring Log'!E1430="","",'Recurring Log'!E1430)</f>
        <v/>
      </c>
      <c r="AX1426">
        <f>IF('Recurring Log'!G1430="","",'Recurring Log'!G1430)</f>
        <v/>
      </c>
      <c r="AY1426">
        <f>IF('Recurring Log'!H1430="","",'Recurring Log'!H1430)</f>
        <v/>
      </c>
      <c r="AZ1426">
        <f>IF(AU1426="","",IF('Recurring Log'!J1430="","Not Started",'Recurring Log'!J1430))</f>
        <v/>
      </c>
      <c r="BA1426">
        <f>'Recurring Log'!L1430&amp;""</f>
        <v/>
      </c>
      <c r="BB1426">
        <f>'Recurring Log'!M1430&amp;""</f>
        <v/>
      </c>
      <c r="BC1426">
        <f>'Recurring Log'!N1430&amp;""</f>
        <v/>
      </c>
      <c r="BD1426">
        <f>'Recurring Log'!O1430&amp;""</f>
        <v/>
      </c>
      <c r="BE1426">
        <f>IF('Recurring Log'!K1430="","",'Recurring Log'!K1430)</f>
        <v/>
      </c>
      <c r="BF1426">
        <f>IFERROR(MATCH(BA1426,Setup!$L$6:$L$9,0),5)</f>
        <v/>
      </c>
      <c r="BG1426">
        <f>IF(OR(AZ1426="Done",AZ1426="Cancelled"),1,0)</f>
        <v/>
      </c>
      <c r="BH1426">
        <f>IF(AND(AU1426&lt;&gt;"",ISNUMBER(AW1426)),1,0)</f>
        <v/>
      </c>
      <c r="BI1426">
        <f>IF(BH1426=0,0,IF(AND(AW1426&gt;='Tasks Filter'!$F$3,AW1426&lt;='Tasks Filter'!$F$4,OR('Tasks Filter'!$I$3="",ISNUMBER(SEARCH('Tasks Filter'!$I$3,AU1426))),OR('Tasks Filter'!$I$4="",BF1426=IFERROR(MATCH('Tasks Filter'!$I$4,Setup!$L$6:$L$9,0),0)),OR('Tasks Filter'!$I$5="Both",AND('Tasks Filter'!$I$5="Yes",BB1426="✓"),AND('Tasks Filter'!$I$5="No",BB1426&lt;&gt;"✓")),OR('Tasks Filter'!$L$3="",AV1426='Tasks Filter'!$L$3),OR('Tasks Filter'!$L$4="",AZ1426='Tasks Filter'!$L$4),OR('Tasks Filter'!$L$5="",BC1426='Tasks Filter'!$L$5),OR('Tasks Filter'!$O$3="",BD1426='Tasks Filter'!$O$3),OR('Tasks Filter'!$O$4="Yes",BG1426=0)),1,0))</f>
        <v/>
      </c>
      <c r="BJ1426">
        <f>IF(BH1426=0,"",IF('Tasks Filter'!$F$6="Descending",-1,1)*CHOOSE(MATCH('Tasks Filter'!$F$5,Lists!$G$2:$G$6,0),AW1426,BF1426,IFERROR(MATCH(AV1426,Setup!$F$6:$F$15,0),99),IFERROR(MATCH(BC1426,Setup!$H$6:$H$15,0),99),IFERROR(MATCH(AZ1426,Setup!$J$6:$J$11,0),99))*1E+9+(AW1426-40000)*10000+1425)</f>
        <v/>
      </c>
      <c r="BK1426">
        <f>IF(BI1426=1,BJ1426,"")</f>
        <v/>
      </c>
      <c r="BL1426">
        <f>IF(AND(BH1426=1,BG1426=0,N(AW1426)&lt;Setup!$D$7),(AW1426-40000)*10000+1425,"")</f>
        <v/>
      </c>
      <c r="BM1426">
        <f>IF(AND(BH1426=1,AZ1426&lt;&gt;"Cancelled",N(AW1426)&gt;=Dashboard!$AB$3,N(AW1426)&lt;=Dashboard!$AB$3+6),(AW1426-40000)*100000+BF1426*10000+1425,"")</f>
        <v/>
      </c>
      <c r="BN1426">
        <f>IF(AND(BH1426=1,AZ1426&lt;&gt;"Cancelled"),BF1426*10000+1425,"")</f>
        <v/>
      </c>
    </row>
    <row r="1427">
      <c r="AS1427" t="inlineStr">
        <is>
          <t>R</t>
        </is>
      </c>
      <c r="AT1427" t="n">
        <v>1431</v>
      </c>
      <c r="AU1427">
        <f>'Recurring Log'!C1431&amp;""</f>
        <v/>
      </c>
      <c r="AV1427">
        <f>'Recurring Log'!D1431&amp;""</f>
        <v/>
      </c>
      <c r="AW1427">
        <f>IF('Recurring Log'!E1431="","",'Recurring Log'!E1431)</f>
        <v/>
      </c>
      <c r="AX1427">
        <f>IF('Recurring Log'!G1431="","",'Recurring Log'!G1431)</f>
        <v/>
      </c>
      <c r="AY1427">
        <f>IF('Recurring Log'!H1431="","",'Recurring Log'!H1431)</f>
        <v/>
      </c>
      <c r="AZ1427">
        <f>IF(AU1427="","",IF('Recurring Log'!J1431="","Not Started",'Recurring Log'!J1431))</f>
        <v/>
      </c>
      <c r="BA1427">
        <f>'Recurring Log'!L1431&amp;""</f>
        <v/>
      </c>
      <c r="BB1427">
        <f>'Recurring Log'!M1431&amp;""</f>
        <v/>
      </c>
      <c r="BC1427">
        <f>'Recurring Log'!N1431&amp;""</f>
        <v/>
      </c>
      <c r="BD1427">
        <f>'Recurring Log'!O1431&amp;""</f>
        <v/>
      </c>
      <c r="BE1427">
        <f>IF('Recurring Log'!K1431="","",'Recurring Log'!K1431)</f>
        <v/>
      </c>
      <c r="BF1427">
        <f>IFERROR(MATCH(BA1427,Setup!$L$6:$L$9,0),5)</f>
        <v/>
      </c>
      <c r="BG1427">
        <f>IF(OR(AZ1427="Done",AZ1427="Cancelled"),1,0)</f>
        <v/>
      </c>
      <c r="BH1427">
        <f>IF(AND(AU1427&lt;&gt;"",ISNUMBER(AW1427)),1,0)</f>
        <v/>
      </c>
      <c r="BI1427">
        <f>IF(BH1427=0,0,IF(AND(AW1427&gt;='Tasks Filter'!$F$3,AW1427&lt;='Tasks Filter'!$F$4,OR('Tasks Filter'!$I$3="",ISNUMBER(SEARCH('Tasks Filter'!$I$3,AU1427))),OR('Tasks Filter'!$I$4="",BF1427=IFERROR(MATCH('Tasks Filter'!$I$4,Setup!$L$6:$L$9,0),0)),OR('Tasks Filter'!$I$5="Both",AND('Tasks Filter'!$I$5="Yes",BB1427="✓"),AND('Tasks Filter'!$I$5="No",BB1427&lt;&gt;"✓")),OR('Tasks Filter'!$L$3="",AV1427='Tasks Filter'!$L$3),OR('Tasks Filter'!$L$4="",AZ1427='Tasks Filter'!$L$4),OR('Tasks Filter'!$L$5="",BC1427='Tasks Filter'!$L$5),OR('Tasks Filter'!$O$3="",BD1427='Tasks Filter'!$O$3),OR('Tasks Filter'!$O$4="Yes",BG1427=0)),1,0))</f>
        <v/>
      </c>
      <c r="BJ1427">
        <f>IF(BH1427=0,"",IF('Tasks Filter'!$F$6="Descending",-1,1)*CHOOSE(MATCH('Tasks Filter'!$F$5,Lists!$G$2:$G$6,0),AW1427,BF1427,IFERROR(MATCH(AV1427,Setup!$F$6:$F$15,0),99),IFERROR(MATCH(BC1427,Setup!$H$6:$H$15,0),99),IFERROR(MATCH(AZ1427,Setup!$J$6:$J$11,0),99))*1E+9+(AW1427-40000)*10000+1426)</f>
        <v/>
      </c>
      <c r="BK1427">
        <f>IF(BI1427=1,BJ1427,"")</f>
        <v/>
      </c>
      <c r="BL1427">
        <f>IF(AND(BH1427=1,BG1427=0,N(AW1427)&lt;Setup!$D$7),(AW1427-40000)*10000+1426,"")</f>
        <v/>
      </c>
      <c r="BM1427">
        <f>IF(AND(BH1427=1,AZ1427&lt;&gt;"Cancelled",N(AW1427)&gt;=Dashboard!$AB$3,N(AW1427)&lt;=Dashboard!$AB$3+6),(AW1427-40000)*100000+BF1427*10000+1426,"")</f>
        <v/>
      </c>
      <c r="BN1427">
        <f>IF(AND(BH1427=1,AZ1427&lt;&gt;"Cancelled"),BF1427*10000+1426,"")</f>
        <v/>
      </c>
    </row>
    <row r="1428">
      <c r="AS1428" t="inlineStr">
        <is>
          <t>R</t>
        </is>
      </c>
      <c r="AT1428" t="n">
        <v>1432</v>
      </c>
      <c r="AU1428">
        <f>'Recurring Log'!C1432&amp;""</f>
        <v/>
      </c>
      <c r="AV1428">
        <f>'Recurring Log'!D1432&amp;""</f>
        <v/>
      </c>
      <c r="AW1428">
        <f>IF('Recurring Log'!E1432="","",'Recurring Log'!E1432)</f>
        <v/>
      </c>
      <c r="AX1428">
        <f>IF('Recurring Log'!G1432="","",'Recurring Log'!G1432)</f>
        <v/>
      </c>
      <c r="AY1428">
        <f>IF('Recurring Log'!H1432="","",'Recurring Log'!H1432)</f>
        <v/>
      </c>
      <c r="AZ1428">
        <f>IF(AU1428="","",IF('Recurring Log'!J1432="","Not Started",'Recurring Log'!J1432))</f>
        <v/>
      </c>
      <c r="BA1428">
        <f>'Recurring Log'!L1432&amp;""</f>
        <v/>
      </c>
      <c r="BB1428">
        <f>'Recurring Log'!M1432&amp;""</f>
        <v/>
      </c>
      <c r="BC1428">
        <f>'Recurring Log'!N1432&amp;""</f>
        <v/>
      </c>
      <c r="BD1428">
        <f>'Recurring Log'!O1432&amp;""</f>
        <v/>
      </c>
      <c r="BE1428">
        <f>IF('Recurring Log'!K1432="","",'Recurring Log'!K1432)</f>
        <v/>
      </c>
      <c r="BF1428">
        <f>IFERROR(MATCH(BA1428,Setup!$L$6:$L$9,0),5)</f>
        <v/>
      </c>
      <c r="BG1428">
        <f>IF(OR(AZ1428="Done",AZ1428="Cancelled"),1,0)</f>
        <v/>
      </c>
      <c r="BH1428">
        <f>IF(AND(AU1428&lt;&gt;"",ISNUMBER(AW1428)),1,0)</f>
        <v/>
      </c>
      <c r="BI1428">
        <f>IF(BH1428=0,0,IF(AND(AW1428&gt;='Tasks Filter'!$F$3,AW1428&lt;='Tasks Filter'!$F$4,OR('Tasks Filter'!$I$3="",ISNUMBER(SEARCH('Tasks Filter'!$I$3,AU1428))),OR('Tasks Filter'!$I$4="",BF1428=IFERROR(MATCH('Tasks Filter'!$I$4,Setup!$L$6:$L$9,0),0)),OR('Tasks Filter'!$I$5="Both",AND('Tasks Filter'!$I$5="Yes",BB1428="✓"),AND('Tasks Filter'!$I$5="No",BB1428&lt;&gt;"✓")),OR('Tasks Filter'!$L$3="",AV1428='Tasks Filter'!$L$3),OR('Tasks Filter'!$L$4="",AZ1428='Tasks Filter'!$L$4),OR('Tasks Filter'!$L$5="",BC1428='Tasks Filter'!$L$5),OR('Tasks Filter'!$O$3="",BD1428='Tasks Filter'!$O$3),OR('Tasks Filter'!$O$4="Yes",BG1428=0)),1,0))</f>
        <v/>
      </c>
      <c r="BJ1428">
        <f>IF(BH1428=0,"",IF('Tasks Filter'!$F$6="Descending",-1,1)*CHOOSE(MATCH('Tasks Filter'!$F$5,Lists!$G$2:$G$6,0),AW1428,BF1428,IFERROR(MATCH(AV1428,Setup!$F$6:$F$15,0),99),IFERROR(MATCH(BC1428,Setup!$H$6:$H$15,0),99),IFERROR(MATCH(AZ1428,Setup!$J$6:$J$11,0),99))*1E+9+(AW1428-40000)*10000+1427)</f>
        <v/>
      </c>
      <c r="BK1428">
        <f>IF(BI1428=1,BJ1428,"")</f>
        <v/>
      </c>
      <c r="BL1428">
        <f>IF(AND(BH1428=1,BG1428=0,N(AW1428)&lt;Setup!$D$7),(AW1428-40000)*10000+1427,"")</f>
        <v/>
      </c>
      <c r="BM1428">
        <f>IF(AND(BH1428=1,AZ1428&lt;&gt;"Cancelled",N(AW1428)&gt;=Dashboard!$AB$3,N(AW1428)&lt;=Dashboard!$AB$3+6),(AW1428-40000)*100000+BF1428*10000+1427,"")</f>
        <v/>
      </c>
      <c r="BN1428">
        <f>IF(AND(BH1428=1,AZ1428&lt;&gt;"Cancelled"),BF1428*10000+1427,"")</f>
        <v/>
      </c>
    </row>
    <row r="1429">
      <c r="AS1429" t="inlineStr">
        <is>
          <t>R</t>
        </is>
      </c>
      <c r="AT1429" t="n">
        <v>1433</v>
      </c>
      <c r="AU1429">
        <f>'Recurring Log'!C1433&amp;""</f>
        <v/>
      </c>
      <c r="AV1429">
        <f>'Recurring Log'!D1433&amp;""</f>
        <v/>
      </c>
      <c r="AW1429">
        <f>IF('Recurring Log'!E1433="","",'Recurring Log'!E1433)</f>
        <v/>
      </c>
      <c r="AX1429">
        <f>IF('Recurring Log'!G1433="","",'Recurring Log'!G1433)</f>
        <v/>
      </c>
      <c r="AY1429">
        <f>IF('Recurring Log'!H1433="","",'Recurring Log'!H1433)</f>
        <v/>
      </c>
      <c r="AZ1429">
        <f>IF(AU1429="","",IF('Recurring Log'!J1433="","Not Started",'Recurring Log'!J1433))</f>
        <v/>
      </c>
      <c r="BA1429">
        <f>'Recurring Log'!L1433&amp;""</f>
        <v/>
      </c>
      <c r="BB1429">
        <f>'Recurring Log'!M1433&amp;""</f>
        <v/>
      </c>
      <c r="BC1429">
        <f>'Recurring Log'!N1433&amp;""</f>
        <v/>
      </c>
      <c r="BD1429">
        <f>'Recurring Log'!O1433&amp;""</f>
        <v/>
      </c>
      <c r="BE1429">
        <f>IF('Recurring Log'!K1433="","",'Recurring Log'!K1433)</f>
        <v/>
      </c>
      <c r="BF1429">
        <f>IFERROR(MATCH(BA1429,Setup!$L$6:$L$9,0),5)</f>
        <v/>
      </c>
      <c r="BG1429">
        <f>IF(OR(AZ1429="Done",AZ1429="Cancelled"),1,0)</f>
        <v/>
      </c>
      <c r="BH1429">
        <f>IF(AND(AU1429&lt;&gt;"",ISNUMBER(AW1429)),1,0)</f>
        <v/>
      </c>
      <c r="BI1429">
        <f>IF(BH1429=0,0,IF(AND(AW1429&gt;='Tasks Filter'!$F$3,AW1429&lt;='Tasks Filter'!$F$4,OR('Tasks Filter'!$I$3="",ISNUMBER(SEARCH('Tasks Filter'!$I$3,AU1429))),OR('Tasks Filter'!$I$4="",BF1429=IFERROR(MATCH('Tasks Filter'!$I$4,Setup!$L$6:$L$9,0),0)),OR('Tasks Filter'!$I$5="Both",AND('Tasks Filter'!$I$5="Yes",BB1429="✓"),AND('Tasks Filter'!$I$5="No",BB1429&lt;&gt;"✓")),OR('Tasks Filter'!$L$3="",AV1429='Tasks Filter'!$L$3),OR('Tasks Filter'!$L$4="",AZ1429='Tasks Filter'!$L$4),OR('Tasks Filter'!$L$5="",BC1429='Tasks Filter'!$L$5),OR('Tasks Filter'!$O$3="",BD1429='Tasks Filter'!$O$3),OR('Tasks Filter'!$O$4="Yes",BG1429=0)),1,0))</f>
        <v/>
      </c>
      <c r="BJ1429">
        <f>IF(BH1429=0,"",IF('Tasks Filter'!$F$6="Descending",-1,1)*CHOOSE(MATCH('Tasks Filter'!$F$5,Lists!$G$2:$G$6,0),AW1429,BF1429,IFERROR(MATCH(AV1429,Setup!$F$6:$F$15,0),99),IFERROR(MATCH(BC1429,Setup!$H$6:$H$15,0),99),IFERROR(MATCH(AZ1429,Setup!$J$6:$J$11,0),99))*1E+9+(AW1429-40000)*10000+1428)</f>
        <v/>
      </c>
      <c r="BK1429">
        <f>IF(BI1429=1,BJ1429,"")</f>
        <v/>
      </c>
      <c r="BL1429">
        <f>IF(AND(BH1429=1,BG1429=0,N(AW1429)&lt;Setup!$D$7),(AW1429-40000)*10000+1428,"")</f>
        <v/>
      </c>
      <c r="BM1429">
        <f>IF(AND(BH1429=1,AZ1429&lt;&gt;"Cancelled",N(AW1429)&gt;=Dashboard!$AB$3,N(AW1429)&lt;=Dashboard!$AB$3+6),(AW1429-40000)*100000+BF1429*10000+1428,"")</f>
        <v/>
      </c>
      <c r="BN1429">
        <f>IF(AND(BH1429=1,AZ1429&lt;&gt;"Cancelled"),BF1429*10000+1428,"")</f>
        <v/>
      </c>
    </row>
    <row r="1430">
      <c r="AS1430" t="inlineStr">
        <is>
          <t>R</t>
        </is>
      </c>
      <c r="AT1430" t="n">
        <v>1434</v>
      </c>
      <c r="AU1430">
        <f>'Recurring Log'!C1434&amp;""</f>
        <v/>
      </c>
      <c r="AV1430">
        <f>'Recurring Log'!D1434&amp;""</f>
        <v/>
      </c>
      <c r="AW1430">
        <f>IF('Recurring Log'!E1434="","",'Recurring Log'!E1434)</f>
        <v/>
      </c>
      <c r="AX1430">
        <f>IF('Recurring Log'!G1434="","",'Recurring Log'!G1434)</f>
        <v/>
      </c>
      <c r="AY1430">
        <f>IF('Recurring Log'!H1434="","",'Recurring Log'!H1434)</f>
        <v/>
      </c>
      <c r="AZ1430">
        <f>IF(AU1430="","",IF('Recurring Log'!J1434="","Not Started",'Recurring Log'!J1434))</f>
        <v/>
      </c>
      <c r="BA1430">
        <f>'Recurring Log'!L1434&amp;""</f>
        <v/>
      </c>
      <c r="BB1430">
        <f>'Recurring Log'!M1434&amp;""</f>
        <v/>
      </c>
      <c r="BC1430">
        <f>'Recurring Log'!N1434&amp;""</f>
        <v/>
      </c>
      <c r="BD1430">
        <f>'Recurring Log'!O1434&amp;""</f>
        <v/>
      </c>
      <c r="BE1430">
        <f>IF('Recurring Log'!K1434="","",'Recurring Log'!K1434)</f>
        <v/>
      </c>
      <c r="BF1430">
        <f>IFERROR(MATCH(BA1430,Setup!$L$6:$L$9,0),5)</f>
        <v/>
      </c>
      <c r="BG1430">
        <f>IF(OR(AZ1430="Done",AZ1430="Cancelled"),1,0)</f>
        <v/>
      </c>
      <c r="BH1430">
        <f>IF(AND(AU1430&lt;&gt;"",ISNUMBER(AW1430)),1,0)</f>
        <v/>
      </c>
      <c r="BI1430">
        <f>IF(BH1430=0,0,IF(AND(AW1430&gt;='Tasks Filter'!$F$3,AW1430&lt;='Tasks Filter'!$F$4,OR('Tasks Filter'!$I$3="",ISNUMBER(SEARCH('Tasks Filter'!$I$3,AU1430))),OR('Tasks Filter'!$I$4="",BF1430=IFERROR(MATCH('Tasks Filter'!$I$4,Setup!$L$6:$L$9,0),0)),OR('Tasks Filter'!$I$5="Both",AND('Tasks Filter'!$I$5="Yes",BB1430="✓"),AND('Tasks Filter'!$I$5="No",BB1430&lt;&gt;"✓")),OR('Tasks Filter'!$L$3="",AV1430='Tasks Filter'!$L$3),OR('Tasks Filter'!$L$4="",AZ1430='Tasks Filter'!$L$4),OR('Tasks Filter'!$L$5="",BC1430='Tasks Filter'!$L$5),OR('Tasks Filter'!$O$3="",BD1430='Tasks Filter'!$O$3),OR('Tasks Filter'!$O$4="Yes",BG1430=0)),1,0))</f>
        <v/>
      </c>
      <c r="BJ1430">
        <f>IF(BH1430=0,"",IF('Tasks Filter'!$F$6="Descending",-1,1)*CHOOSE(MATCH('Tasks Filter'!$F$5,Lists!$G$2:$G$6,0),AW1430,BF1430,IFERROR(MATCH(AV1430,Setup!$F$6:$F$15,0),99),IFERROR(MATCH(BC1430,Setup!$H$6:$H$15,0),99),IFERROR(MATCH(AZ1430,Setup!$J$6:$J$11,0),99))*1E+9+(AW1430-40000)*10000+1429)</f>
        <v/>
      </c>
      <c r="BK1430">
        <f>IF(BI1430=1,BJ1430,"")</f>
        <v/>
      </c>
      <c r="BL1430">
        <f>IF(AND(BH1430=1,BG1430=0,N(AW1430)&lt;Setup!$D$7),(AW1430-40000)*10000+1429,"")</f>
        <v/>
      </c>
      <c r="BM1430">
        <f>IF(AND(BH1430=1,AZ1430&lt;&gt;"Cancelled",N(AW1430)&gt;=Dashboard!$AB$3,N(AW1430)&lt;=Dashboard!$AB$3+6),(AW1430-40000)*100000+BF1430*10000+1429,"")</f>
        <v/>
      </c>
      <c r="BN1430">
        <f>IF(AND(BH1430=1,AZ1430&lt;&gt;"Cancelled"),BF1430*10000+1429,"")</f>
        <v/>
      </c>
    </row>
    <row r="1431">
      <c r="AS1431" t="inlineStr">
        <is>
          <t>R</t>
        </is>
      </c>
      <c r="AT1431" t="n">
        <v>1435</v>
      </c>
      <c r="AU1431">
        <f>'Recurring Log'!C1435&amp;""</f>
        <v/>
      </c>
      <c r="AV1431">
        <f>'Recurring Log'!D1435&amp;""</f>
        <v/>
      </c>
      <c r="AW1431">
        <f>IF('Recurring Log'!E1435="","",'Recurring Log'!E1435)</f>
        <v/>
      </c>
      <c r="AX1431">
        <f>IF('Recurring Log'!G1435="","",'Recurring Log'!G1435)</f>
        <v/>
      </c>
      <c r="AY1431">
        <f>IF('Recurring Log'!H1435="","",'Recurring Log'!H1435)</f>
        <v/>
      </c>
      <c r="AZ1431">
        <f>IF(AU1431="","",IF('Recurring Log'!J1435="","Not Started",'Recurring Log'!J1435))</f>
        <v/>
      </c>
      <c r="BA1431">
        <f>'Recurring Log'!L1435&amp;""</f>
        <v/>
      </c>
      <c r="BB1431">
        <f>'Recurring Log'!M1435&amp;""</f>
        <v/>
      </c>
      <c r="BC1431">
        <f>'Recurring Log'!N1435&amp;""</f>
        <v/>
      </c>
      <c r="BD1431">
        <f>'Recurring Log'!O1435&amp;""</f>
        <v/>
      </c>
      <c r="BE1431">
        <f>IF('Recurring Log'!K1435="","",'Recurring Log'!K1435)</f>
        <v/>
      </c>
      <c r="BF1431">
        <f>IFERROR(MATCH(BA1431,Setup!$L$6:$L$9,0),5)</f>
        <v/>
      </c>
      <c r="BG1431">
        <f>IF(OR(AZ1431="Done",AZ1431="Cancelled"),1,0)</f>
        <v/>
      </c>
      <c r="BH1431">
        <f>IF(AND(AU1431&lt;&gt;"",ISNUMBER(AW1431)),1,0)</f>
        <v/>
      </c>
      <c r="BI1431">
        <f>IF(BH1431=0,0,IF(AND(AW1431&gt;='Tasks Filter'!$F$3,AW1431&lt;='Tasks Filter'!$F$4,OR('Tasks Filter'!$I$3="",ISNUMBER(SEARCH('Tasks Filter'!$I$3,AU1431))),OR('Tasks Filter'!$I$4="",BF1431=IFERROR(MATCH('Tasks Filter'!$I$4,Setup!$L$6:$L$9,0),0)),OR('Tasks Filter'!$I$5="Both",AND('Tasks Filter'!$I$5="Yes",BB1431="✓"),AND('Tasks Filter'!$I$5="No",BB1431&lt;&gt;"✓")),OR('Tasks Filter'!$L$3="",AV1431='Tasks Filter'!$L$3),OR('Tasks Filter'!$L$4="",AZ1431='Tasks Filter'!$L$4),OR('Tasks Filter'!$L$5="",BC1431='Tasks Filter'!$L$5),OR('Tasks Filter'!$O$3="",BD1431='Tasks Filter'!$O$3),OR('Tasks Filter'!$O$4="Yes",BG1431=0)),1,0))</f>
        <v/>
      </c>
      <c r="BJ1431">
        <f>IF(BH1431=0,"",IF('Tasks Filter'!$F$6="Descending",-1,1)*CHOOSE(MATCH('Tasks Filter'!$F$5,Lists!$G$2:$G$6,0),AW1431,BF1431,IFERROR(MATCH(AV1431,Setup!$F$6:$F$15,0),99),IFERROR(MATCH(BC1431,Setup!$H$6:$H$15,0),99),IFERROR(MATCH(AZ1431,Setup!$J$6:$J$11,0),99))*1E+9+(AW1431-40000)*10000+1430)</f>
        <v/>
      </c>
      <c r="BK1431">
        <f>IF(BI1431=1,BJ1431,"")</f>
        <v/>
      </c>
      <c r="BL1431">
        <f>IF(AND(BH1431=1,BG1431=0,N(AW1431)&lt;Setup!$D$7),(AW1431-40000)*10000+1430,"")</f>
        <v/>
      </c>
      <c r="BM1431">
        <f>IF(AND(BH1431=1,AZ1431&lt;&gt;"Cancelled",N(AW1431)&gt;=Dashboard!$AB$3,N(AW1431)&lt;=Dashboard!$AB$3+6),(AW1431-40000)*100000+BF1431*10000+1430,"")</f>
        <v/>
      </c>
      <c r="BN1431">
        <f>IF(AND(BH1431=1,AZ1431&lt;&gt;"Cancelled"),BF1431*10000+1430,"")</f>
        <v/>
      </c>
    </row>
    <row r="1432">
      <c r="AS1432" t="inlineStr">
        <is>
          <t>R</t>
        </is>
      </c>
      <c r="AT1432" t="n">
        <v>1436</v>
      </c>
      <c r="AU1432">
        <f>'Recurring Log'!C1436&amp;""</f>
        <v/>
      </c>
      <c r="AV1432">
        <f>'Recurring Log'!D1436&amp;""</f>
        <v/>
      </c>
      <c r="AW1432">
        <f>IF('Recurring Log'!E1436="","",'Recurring Log'!E1436)</f>
        <v/>
      </c>
      <c r="AX1432">
        <f>IF('Recurring Log'!G1436="","",'Recurring Log'!G1436)</f>
        <v/>
      </c>
      <c r="AY1432">
        <f>IF('Recurring Log'!H1436="","",'Recurring Log'!H1436)</f>
        <v/>
      </c>
      <c r="AZ1432">
        <f>IF(AU1432="","",IF('Recurring Log'!J1436="","Not Started",'Recurring Log'!J1436))</f>
        <v/>
      </c>
      <c r="BA1432">
        <f>'Recurring Log'!L1436&amp;""</f>
        <v/>
      </c>
      <c r="BB1432">
        <f>'Recurring Log'!M1436&amp;""</f>
        <v/>
      </c>
      <c r="BC1432">
        <f>'Recurring Log'!N1436&amp;""</f>
        <v/>
      </c>
      <c r="BD1432">
        <f>'Recurring Log'!O1436&amp;""</f>
        <v/>
      </c>
      <c r="BE1432">
        <f>IF('Recurring Log'!K1436="","",'Recurring Log'!K1436)</f>
        <v/>
      </c>
      <c r="BF1432">
        <f>IFERROR(MATCH(BA1432,Setup!$L$6:$L$9,0),5)</f>
        <v/>
      </c>
      <c r="BG1432">
        <f>IF(OR(AZ1432="Done",AZ1432="Cancelled"),1,0)</f>
        <v/>
      </c>
      <c r="BH1432">
        <f>IF(AND(AU1432&lt;&gt;"",ISNUMBER(AW1432)),1,0)</f>
        <v/>
      </c>
      <c r="BI1432">
        <f>IF(BH1432=0,0,IF(AND(AW1432&gt;='Tasks Filter'!$F$3,AW1432&lt;='Tasks Filter'!$F$4,OR('Tasks Filter'!$I$3="",ISNUMBER(SEARCH('Tasks Filter'!$I$3,AU1432))),OR('Tasks Filter'!$I$4="",BF1432=IFERROR(MATCH('Tasks Filter'!$I$4,Setup!$L$6:$L$9,0),0)),OR('Tasks Filter'!$I$5="Both",AND('Tasks Filter'!$I$5="Yes",BB1432="✓"),AND('Tasks Filter'!$I$5="No",BB1432&lt;&gt;"✓")),OR('Tasks Filter'!$L$3="",AV1432='Tasks Filter'!$L$3),OR('Tasks Filter'!$L$4="",AZ1432='Tasks Filter'!$L$4),OR('Tasks Filter'!$L$5="",BC1432='Tasks Filter'!$L$5),OR('Tasks Filter'!$O$3="",BD1432='Tasks Filter'!$O$3),OR('Tasks Filter'!$O$4="Yes",BG1432=0)),1,0))</f>
        <v/>
      </c>
      <c r="BJ1432">
        <f>IF(BH1432=0,"",IF('Tasks Filter'!$F$6="Descending",-1,1)*CHOOSE(MATCH('Tasks Filter'!$F$5,Lists!$G$2:$G$6,0),AW1432,BF1432,IFERROR(MATCH(AV1432,Setup!$F$6:$F$15,0),99),IFERROR(MATCH(BC1432,Setup!$H$6:$H$15,0),99),IFERROR(MATCH(AZ1432,Setup!$J$6:$J$11,0),99))*1E+9+(AW1432-40000)*10000+1431)</f>
        <v/>
      </c>
      <c r="BK1432">
        <f>IF(BI1432=1,BJ1432,"")</f>
        <v/>
      </c>
      <c r="BL1432">
        <f>IF(AND(BH1432=1,BG1432=0,N(AW1432)&lt;Setup!$D$7),(AW1432-40000)*10000+1431,"")</f>
        <v/>
      </c>
      <c r="BM1432">
        <f>IF(AND(BH1432=1,AZ1432&lt;&gt;"Cancelled",N(AW1432)&gt;=Dashboard!$AB$3,N(AW1432)&lt;=Dashboard!$AB$3+6),(AW1432-40000)*100000+BF1432*10000+1431,"")</f>
        <v/>
      </c>
      <c r="BN1432">
        <f>IF(AND(BH1432=1,AZ1432&lt;&gt;"Cancelled"),BF1432*10000+1431,"")</f>
        <v/>
      </c>
    </row>
    <row r="1433">
      <c r="AS1433" t="inlineStr">
        <is>
          <t>R</t>
        </is>
      </c>
      <c r="AT1433" t="n">
        <v>1437</v>
      </c>
      <c r="AU1433">
        <f>'Recurring Log'!C1437&amp;""</f>
        <v/>
      </c>
      <c r="AV1433">
        <f>'Recurring Log'!D1437&amp;""</f>
        <v/>
      </c>
      <c r="AW1433">
        <f>IF('Recurring Log'!E1437="","",'Recurring Log'!E1437)</f>
        <v/>
      </c>
      <c r="AX1433">
        <f>IF('Recurring Log'!G1437="","",'Recurring Log'!G1437)</f>
        <v/>
      </c>
      <c r="AY1433">
        <f>IF('Recurring Log'!H1437="","",'Recurring Log'!H1437)</f>
        <v/>
      </c>
      <c r="AZ1433">
        <f>IF(AU1433="","",IF('Recurring Log'!J1437="","Not Started",'Recurring Log'!J1437))</f>
        <v/>
      </c>
      <c r="BA1433">
        <f>'Recurring Log'!L1437&amp;""</f>
        <v/>
      </c>
      <c r="BB1433">
        <f>'Recurring Log'!M1437&amp;""</f>
        <v/>
      </c>
      <c r="BC1433">
        <f>'Recurring Log'!N1437&amp;""</f>
        <v/>
      </c>
      <c r="BD1433">
        <f>'Recurring Log'!O1437&amp;""</f>
        <v/>
      </c>
      <c r="BE1433">
        <f>IF('Recurring Log'!K1437="","",'Recurring Log'!K1437)</f>
        <v/>
      </c>
      <c r="BF1433">
        <f>IFERROR(MATCH(BA1433,Setup!$L$6:$L$9,0),5)</f>
        <v/>
      </c>
      <c r="BG1433">
        <f>IF(OR(AZ1433="Done",AZ1433="Cancelled"),1,0)</f>
        <v/>
      </c>
      <c r="BH1433">
        <f>IF(AND(AU1433&lt;&gt;"",ISNUMBER(AW1433)),1,0)</f>
        <v/>
      </c>
      <c r="BI1433">
        <f>IF(BH1433=0,0,IF(AND(AW1433&gt;='Tasks Filter'!$F$3,AW1433&lt;='Tasks Filter'!$F$4,OR('Tasks Filter'!$I$3="",ISNUMBER(SEARCH('Tasks Filter'!$I$3,AU1433))),OR('Tasks Filter'!$I$4="",BF1433=IFERROR(MATCH('Tasks Filter'!$I$4,Setup!$L$6:$L$9,0),0)),OR('Tasks Filter'!$I$5="Both",AND('Tasks Filter'!$I$5="Yes",BB1433="✓"),AND('Tasks Filter'!$I$5="No",BB1433&lt;&gt;"✓")),OR('Tasks Filter'!$L$3="",AV1433='Tasks Filter'!$L$3),OR('Tasks Filter'!$L$4="",AZ1433='Tasks Filter'!$L$4),OR('Tasks Filter'!$L$5="",BC1433='Tasks Filter'!$L$5),OR('Tasks Filter'!$O$3="",BD1433='Tasks Filter'!$O$3),OR('Tasks Filter'!$O$4="Yes",BG1433=0)),1,0))</f>
        <v/>
      </c>
      <c r="BJ1433">
        <f>IF(BH1433=0,"",IF('Tasks Filter'!$F$6="Descending",-1,1)*CHOOSE(MATCH('Tasks Filter'!$F$5,Lists!$G$2:$G$6,0),AW1433,BF1433,IFERROR(MATCH(AV1433,Setup!$F$6:$F$15,0),99),IFERROR(MATCH(BC1433,Setup!$H$6:$H$15,0),99),IFERROR(MATCH(AZ1433,Setup!$J$6:$J$11,0),99))*1E+9+(AW1433-40000)*10000+1432)</f>
        <v/>
      </c>
      <c r="BK1433">
        <f>IF(BI1433=1,BJ1433,"")</f>
        <v/>
      </c>
      <c r="BL1433">
        <f>IF(AND(BH1433=1,BG1433=0,N(AW1433)&lt;Setup!$D$7),(AW1433-40000)*10000+1432,"")</f>
        <v/>
      </c>
      <c r="BM1433">
        <f>IF(AND(BH1433=1,AZ1433&lt;&gt;"Cancelled",N(AW1433)&gt;=Dashboard!$AB$3,N(AW1433)&lt;=Dashboard!$AB$3+6),(AW1433-40000)*100000+BF1433*10000+1432,"")</f>
        <v/>
      </c>
      <c r="BN1433">
        <f>IF(AND(BH1433=1,AZ1433&lt;&gt;"Cancelled"),BF1433*10000+1432,"")</f>
        <v/>
      </c>
    </row>
    <row r="1434">
      <c r="AS1434" t="inlineStr">
        <is>
          <t>R</t>
        </is>
      </c>
      <c r="AT1434" t="n">
        <v>1438</v>
      </c>
      <c r="AU1434">
        <f>'Recurring Log'!C1438&amp;""</f>
        <v/>
      </c>
      <c r="AV1434">
        <f>'Recurring Log'!D1438&amp;""</f>
        <v/>
      </c>
      <c r="AW1434">
        <f>IF('Recurring Log'!E1438="","",'Recurring Log'!E1438)</f>
        <v/>
      </c>
      <c r="AX1434">
        <f>IF('Recurring Log'!G1438="","",'Recurring Log'!G1438)</f>
        <v/>
      </c>
      <c r="AY1434">
        <f>IF('Recurring Log'!H1438="","",'Recurring Log'!H1438)</f>
        <v/>
      </c>
      <c r="AZ1434">
        <f>IF(AU1434="","",IF('Recurring Log'!J1438="","Not Started",'Recurring Log'!J1438))</f>
        <v/>
      </c>
      <c r="BA1434">
        <f>'Recurring Log'!L1438&amp;""</f>
        <v/>
      </c>
      <c r="BB1434">
        <f>'Recurring Log'!M1438&amp;""</f>
        <v/>
      </c>
      <c r="BC1434">
        <f>'Recurring Log'!N1438&amp;""</f>
        <v/>
      </c>
      <c r="BD1434">
        <f>'Recurring Log'!O1438&amp;""</f>
        <v/>
      </c>
      <c r="BE1434">
        <f>IF('Recurring Log'!K1438="","",'Recurring Log'!K1438)</f>
        <v/>
      </c>
      <c r="BF1434">
        <f>IFERROR(MATCH(BA1434,Setup!$L$6:$L$9,0),5)</f>
        <v/>
      </c>
      <c r="BG1434">
        <f>IF(OR(AZ1434="Done",AZ1434="Cancelled"),1,0)</f>
        <v/>
      </c>
      <c r="BH1434">
        <f>IF(AND(AU1434&lt;&gt;"",ISNUMBER(AW1434)),1,0)</f>
        <v/>
      </c>
      <c r="BI1434">
        <f>IF(BH1434=0,0,IF(AND(AW1434&gt;='Tasks Filter'!$F$3,AW1434&lt;='Tasks Filter'!$F$4,OR('Tasks Filter'!$I$3="",ISNUMBER(SEARCH('Tasks Filter'!$I$3,AU1434))),OR('Tasks Filter'!$I$4="",BF1434=IFERROR(MATCH('Tasks Filter'!$I$4,Setup!$L$6:$L$9,0),0)),OR('Tasks Filter'!$I$5="Both",AND('Tasks Filter'!$I$5="Yes",BB1434="✓"),AND('Tasks Filter'!$I$5="No",BB1434&lt;&gt;"✓")),OR('Tasks Filter'!$L$3="",AV1434='Tasks Filter'!$L$3),OR('Tasks Filter'!$L$4="",AZ1434='Tasks Filter'!$L$4),OR('Tasks Filter'!$L$5="",BC1434='Tasks Filter'!$L$5),OR('Tasks Filter'!$O$3="",BD1434='Tasks Filter'!$O$3),OR('Tasks Filter'!$O$4="Yes",BG1434=0)),1,0))</f>
        <v/>
      </c>
      <c r="BJ1434">
        <f>IF(BH1434=0,"",IF('Tasks Filter'!$F$6="Descending",-1,1)*CHOOSE(MATCH('Tasks Filter'!$F$5,Lists!$G$2:$G$6,0),AW1434,BF1434,IFERROR(MATCH(AV1434,Setup!$F$6:$F$15,0),99),IFERROR(MATCH(BC1434,Setup!$H$6:$H$15,0),99),IFERROR(MATCH(AZ1434,Setup!$J$6:$J$11,0),99))*1E+9+(AW1434-40000)*10000+1433)</f>
        <v/>
      </c>
      <c r="BK1434">
        <f>IF(BI1434=1,BJ1434,"")</f>
        <v/>
      </c>
      <c r="BL1434">
        <f>IF(AND(BH1434=1,BG1434=0,N(AW1434)&lt;Setup!$D$7),(AW1434-40000)*10000+1433,"")</f>
        <v/>
      </c>
      <c r="BM1434">
        <f>IF(AND(BH1434=1,AZ1434&lt;&gt;"Cancelled",N(AW1434)&gt;=Dashboard!$AB$3,N(AW1434)&lt;=Dashboard!$AB$3+6),(AW1434-40000)*100000+BF1434*10000+1433,"")</f>
        <v/>
      </c>
      <c r="BN1434">
        <f>IF(AND(BH1434=1,AZ1434&lt;&gt;"Cancelled"),BF1434*10000+1433,"")</f>
        <v/>
      </c>
    </row>
    <row r="1435">
      <c r="AS1435" t="inlineStr">
        <is>
          <t>R</t>
        </is>
      </c>
      <c r="AT1435" t="n">
        <v>1439</v>
      </c>
      <c r="AU1435">
        <f>'Recurring Log'!C1439&amp;""</f>
        <v/>
      </c>
      <c r="AV1435">
        <f>'Recurring Log'!D1439&amp;""</f>
        <v/>
      </c>
      <c r="AW1435">
        <f>IF('Recurring Log'!E1439="","",'Recurring Log'!E1439)</f>
        <v/>
      </c>
      <c r="AX1435">
        <f>IF('Recurring Log'!G1439="","",'Recurring Log'!G1439)</f>
        <v/>
      </c>
      <c r="AY1435">
        <f>IF('Recurring Log'!H1439="","",'Recurring Log'!H1439)</f>
        <v/>
      </c>
      <c r="AZ1435">
        <f>IF(AU1435="","",IF('Recurring Log'!J1439="","Not Started",'Recurring Log'!J1439))</f>
        <v/>
      </c>
      <c r="BA1435">
        <f>'Recurring Log'!L1439&amp;""</f>
        <v/>
      </c>
      <c r="BB1435">
        <f>'Recurring Log'!M1439&amp;""</f>
        <v/>
      </c>
      <c r="BC1435">
        <f>'Recurring Log'!N1439&amp;""</f>
        <v/>
      </c>
      <c r="BD1435">
        <f>'Recurring Log'!O1439&amp;""</f>
        <v/>
      </c>
      <c r="BE1435">
        <f>IF('Recurring Log'!K1439="","",'Recurring Log'!K1439)</f>
        <v/>
      </c>
      <c r="BF1435">
        <f>IFERROR(MATCH(BA1435,Setup!$L$6:$L$9,0),5)</f>
        <v/>
      </c>
      <c r="BG1435">
        <f>IF(OR(AZ1435="Done",AZ1435="Cancelled"),1,0)</f>
        <v/>
      </c>
      <c r="BH1435">
        <f>IF(AND(AU1435&lt;&gt;"",ISNUMBER(AW1435)),1,0)</f>
        <v/>
      </c>
      <c r="BI1435">
        <f>IF(BH1435=0,0,IF(AND(AW1435&gt;='Tasks Filter'!$F$3,AW1435&lt;='Tasks Filter'!$F$4,OR('Tasks Filter'!$I$3="",ISNUMBER(SEARCH('Tasks Filter'!$I$3,AU1435))),OR('Tasks Filter'!$I$4="",BF1435=IFERROR(MATCH('Tasks Filter'!$I$4,Setup!$L$6:$L$9,0),0)),OR('Tasks Filter'!$I$5="Both",AND('Tasks Filter'!$I$5="Yes",BB1435="✓"),AND('Tasks Filter'!$I$5="No",BB1435&lt;&gt;"✓")),OR('Tasks Filter'!$L$3="",AV1435='Tasks Filter'!$L$3),OR('Tasks Filter'!$L$4="",AZ1435='Tasks Filter'!$L$4),OR('Tasks Filter'!$L$5="",BC1435='Tasks Filter'!$L$5),OR('Tasks Filter'!$O$3="",BD1435='Tasks Filter'!$O$3),OR('Tasks Filter'!$O$4="Yes",BG1435=0)),1,0))</f>
        <v/>
      </c>
      <c r="BJ1435">
        <f>IF(BH1435=0,"",IF('Tasks Filter'!$F$6="Descending",-1,1)*CHOOSE(MATCH('Tasks Filter'!$F$5,Lists!$G$2:$G$6,0),AW1435,BF1435,IFERROR(MATCH(AV1435,Setup!$F$6:$F$15,0),99),IFERROR(MATCH(BC1435,Setup!$H$6:$H$15,0),99),IFERROR(MATCH(AZ1435,Setup!$J$6:$J$11,0),99))*1E+9+(AW1435-40000)*10000+1434)</f>
        <v/>
      </c>
      <c r="BK1435">
        <f>IF(BI1435=1,BJ1435,"")</f>
        <v/>
      </c>
      <c r="BL1435">
        <f>IF(AND(BH1435=1,BG1435=0,N(AW1435)&lt;Setup!$D$7),(AW1435-40000)*10000+1434,"")</f>
        <v/>
      </c>
      <c r="BM1435">
        <f>IF(AND(BH1435=1,AZ1435&lt;&gt;"Cancelled",N(AW1435)&gt;=Dashboard!$AB$3,N(AW1435)&lt;=Dashboard!$AB$3+6),(AW1435-40000)*100000+BF1435*10000+1434,"")</f>
        <v/>
      </c>
      <c r="BN1435">
        <f>IF(AND(BH1435=1,AZ1435&lt;&gt;"Cancelled"),BF1435*10000+1434,"")</f>
        <v/>
      </c>
    </row>
    <row r="1436">
      <c r="AS1436" t="inlineStr">
        <is>
          <t>R</t>
        </is>
      </c>
      <c r="AT1436" t="n">
        <v>1440</v>
      </c>
      <c r="AU1436">
        <f>'Recurring Log'!C1440&amp;""</f>
        <v/>
      </c>
      <c r="AV1436">
        <f>'Recurring Log'!D1440&amp;""</f>
        <v/>
      </c>
      <c r="AW1436">
        <f>IF('Recurring Log'!E1440="","",'Recurring Log'!E1440)</f>
        <v/>
      </c>
      <c r="AX1436">
        <f>IF('Recurring Log'!G1440="","",'Recurring Log'!G1440)</f>
        <v/>
      </c>
      <c r="AY1436">
        <f>IF('Recurring Log'!H1440="","",'Recurring Log'!H1440)</f>
        <v/>
      </c>
      <c r="AZ1436">
        <f>IF(AU1436="","",IF('Recurring Log'!J1440="","Not Started",'Recurring Log'!J1440))</f>
        <v/>
      </c>
      <c r="BA1436">
        <f>'Recurring Log'!L1440&amp;""</f>
        <v/>
      </c>
      <c r="BB1436">
        <f>'Recurring Log'!M1440&amp;""</f>
        <v/>
      </c>
      <c r="BC1436">
        <f>'Recurring Log'!N1440&amp;""</f>
        <v/>
      </c>
      <c r="BD1436">
        <f>'Recurring Log'!O1440&amp;""</f>
        <v/>
      </c>
      <c r="BE1436">
        <f>IF('Recurring Log'!K1440="","",'Recurring Log'!K1440)</f>
        <v/>
      </c>
      <c r="BF1436">
        <f>IFERROR(MATCH(BA1436,Setup!$L$6:$L$9,0),5)</f>
        <v/>
      </c>
      <c r="BG1436">
        <f>IF(OR(AZ1436="Done",AZ1436="Cancelled"),1,0)</f>
        <v/>
      </c>
      <c r="BH1436">
        <f>IF(AND(AU1436&lt;&gt;"",ISNUMBER(AW1436)),1,0)</f>
        <v/>
      </c>
      <c r="BI1436">
        <f>IF(BH1436=0,0,IF(AND(AW1436&gt;='Tasks Filter'!$F$3,AW1436&lt;='Tasks Filter'!$F$4,OR('Tasks Filter'!$I$3="",ISNUMBER(SEARCH('Tasks Filter'!$I$3,AU1436))),OR('Tasks Filter'!$I$4="",BF1436=IFERROR(MATCH('Tasks Filter'!$I$4,Setup!$L$6:$L$9,0),0)),OR('Tasks Filter'!$I$5="Both",AND('Tasks Filter'!$I$5="Yes",BB1436="✓"),AND('Tasks Filter'!$I$5="No",BB1436&lt;&gt;"✓")),OR('Tasks Filter'!$L$3="",AV1436='Tasks Filter'!$L$3),OR('Tasks Filter'!$L$4="",AZ1436='Tasks Filter'!$L$4),OR('Tasks Filter'!$L$5="",BC1436='Tasks Filter'!$L$5),OR('Tasks Filter'!$O$3="",BD1436='Tasks Filter'!$O$3),OR('Tasks Filter'!$O$4="Yes",BG1436=0)),1,0))</f>
        <v/>
      </c>
      <c r="BJ1436">
        <f>IF(BH1436=0,"",IF('Tasks Filter'!$F$6="Descending",-1,1)*CHOOSE(MATCH('Tasks Filter'!$F$5,Lists!$G$2:$G$6,0),AW1436,BF1436,IFERROR(MATCH(AV1436,Setup!$F$6:$F$15,0),99),IFERROR(MATCH(BC1436,Setup!$H$6:$H$15,0),99),IFERROR(MATCH(AZ1436,Setup!$J$6:$J$11,0),99))*1E+9+(AW1436-40000)*10000+1435)</f>
        <v/>
      </c>
      <c r="BK1436">
        <f>IF(BI1436=1,BJ1436,"")</f>
        <v/>
      </c>
      <c r="BL1436">
        <f>IF(AND(BH1436=1,BG1436=0,N(AW1436)&lt;Setup!$D$7),(AW1436-40000)*10000+1435,"")</f>
        <v/>
      </c>
      <c r="BM1436">
        <f>IF(AND(BH1436=1,AZ1436&lt;&gt;"Cancelled",N(AW1436)&gt;=Dashboard!$AB$3,N(AW1436)&lt;=Dashboard!$AB$3+6),(AW1436-40000)*100000+BF1436*10000+1435,"")</f>
        <v/>
      </c>
      <c r="BN1436">
        <f>IF(AND(BH1436=1,AZ1436&lt;&gt;"Cancelled"),BF1436*10000+1435,"")</f>
        <v/>
      </c>
    </row>
    <row r="1437">
      <c r="AS1437" t="inlineStr">
        <is>
          <t>R</t>
        </is>
      </c>
      <c r="AT1437" t="n">
        <v>1441</v>
      </c>
      <c r="AU1437">
        <f>'Recurring Log'!C1441&amp;""</f>
        <v/>
      </c>
      <c r="AV1437">
        <f>'Recurring Log'!D1441&amp;""</f>
        <v/>
      </c>
      <c r="AW1437">
        <f>IF('Recurring Log'!E1441="","",'Recurring Log'!E1441)</f>
        <v/>
      </c>
      <c r="AX1437">
        <f>IF('Recurring Log'!G1441="","",'Recurring Log'!G1441)</f>
        <v/>
      </c>
      <c r="AY1437">
        <f>IF('Recurring Log'!H1441="","",'Recurring Log'!H1441)</f>
        <v/>
      </c>
      <c r="AZ1437">
        <f>IF(AU1437="","",IF('Recurring Log'!J1441="","Not Started",'Recurring Log'!J1441))</f>
        <v/>
      </c>
      <c r="BA1437">
        <f>'Recurring Log'!L1441&amp;""</f>
        <v/>
      </c>
      <c r="BB1437">
        <f>'Recurring Log'!M1441&amp;""</f>
        <v/>
      </c>
      <c r="BC1437">
        <f>'Recurring Log'!N1441&amp;""</f>
        <v/>
      </c>
      <c r="BD1437">
        <f>'Recurring Log'!O1441&amp;""</f>
        <v/>
      </c>
      <c r="BE1437">
        <f>IF('Recurring Log'!K1441="","",'Recurring Log'!K1441)</f>
        <v/>
      </c>
      <c r="BF1437">
        <f>IFERROR(MATCH(BA1437,Setup!$L$6:$L$9,0),5)</f>
        <v/>
      </c>
      <c r="BG1437">
        <f>IF(OR(AZ1437="Done",AZ1437="Cancelled"),1,0)</f>
        <v/>
      </c>
      <c r="BH1437">
        <f>IF(AND(AU1437&lt;&gt;"",ISNUMBER(AW1437)),1,0)</f>
        <v/>
      </c>
      <c r="BI1437">
        <f>IF(BH1437=0,0,IF(AND(AW1437&gt;='Tasks Filter'!$F$3,AW1437&lt;='Tasks Filter'!$F$4,OR('Tasks Filter'!$I$3="",ISNUMBER(SEARCH('Tasks Filter'!$I$3,AU1437))),OR('Tasks Filter'!$I$4="",BF1437=IFERROR(MATCH('Tasks Filter'!$I$4,Setup!$L$6:$L$9,0),0)),OR('Tasks Filter'!$I$5="Both",AND('Tasks Filter'!$I$5="Yes",BB1437="✓"),AND('Tasks Filter'!$I$5="No",BB1437&lt;&gt;"✓")),OR('Tasks Filter'!$L$3="",AV1437='Tasks Filter'!$L$3),OR('Tasks Filter'!$L$4="",AZ1437='Tasks Filter'!$L$4),OR('Tasks Filter'!$L$5="",BC1437='Tasks Filter'!$L$5),OR('Tasks Filter'!$O$3="",BD1437='Tasks Filter'!$O$3),OR('Tasks Filter'!$O$4="Yes",BG1437=0)),1,0))</f>
        <v/>
      </c>
      <c r="BJ1437">
        <f>IF(BH1437=0,"",IF('Tasks Filter'!$F$6="Descending",-1,1)*CHOOSE(MATCH('Tasks Filter'!$F$5,Lists!$G$2:$G$6,0),AW1437,BF1437,IFERROR(MATCH(AV1437,Setup!$F$6:$F$15,0),99),IFERROR(MATCH(BC1437,Setup!$H$6:$H$15,0),99),IFERROR(MATCH(AZ1437,Setup!$J$6:$J$11,0),99))*1E+9+(AW1437-40000)*10000+1436)</f>
        <v/>
      </c>
      <c r="BK1437">
        <f>IF(BI1437=1,BJ1437,"")</f>
        <v/>
      </c>
      <c r="BL1437">
        <f>IF(AND(BH1437=1,BG1437=0,N(AW1437)&lt;Setup!$D$7),(AW1437-40000)*10000+1436,"")</f>
        <v/>
      </c>
      <c r="BM1437">
        <f>IF(AND(BH1437=1,AZ1437&lt;&gt;"Cancelled",N(AW1437)&gt;=Dashboard!$AB$3,N(AW1437)&lt;=Dashboard!$AB$3+6),(AW1437-40000)*100000+BF1437*10000+1436,"")</f>
        <v/>
      </c>
      <c r="BN1437">
        <f>IF(AND(BH1437=1,AZ1437&lt;&gt;"Cancelled"),BF1437*10000+1436,"")</f>
        <v/>
      </c>
    </row>
    <row r="1438">
      <c r="AS1438" t="inlineStr">
        <is>
          <t>R</t>
        </is>
      </c>
      <c r="AT1438" t="n">
        <v>1442</v>
      </c>
      <c r="AU1438">
        <f>'Recurring Log'!C1442&amp;""</f>
        <v/>
      </c>
      <c r="AV1438">
        <f>'Recurring Log'!D1442&amp;""</f>
        <v/>
      </c>
      <c r="AW1438">
        <f>IF('Recurring Log'!E1442="","",'Recurring Log'!E1442)</f>
        <v/>
      </c>
      <c r="AX1438">
        <f>IF('Recurring Log'!G1442="","",'Recurring Log'!G1442)</f>
        <v/>
      </c>
      <c r="AY1438">
        <f>IF('Recurring Log'!H1442="","",'Recurring Log'!H1442)</f>
        <v/>
      </c>
      <c r="AZ1438">
        <f>IF(AU1438="","",IF('Recurring Log'!J1442="","Not Started",'Recurring Log'!J1442))</f>
        <v/>
      </c>
      <c r="BA1438">
        <f>'Recurring Log'!L1442&amp;""</f>
        <v/>
      </c>
      <c r="BB1438">
        <f>'Recurring Log'!M1442&amp;""</f>
        <v/>
      </c>
      <c r="BC1438">
        <f>'Recurring Log'!N1442&amp;""</f>
        <v/>
      </c>
      <c r="BD1438">
        <f>'Recurring Log'!O1442&amp;""</f>
        <v/>
      </c>
      <c r="BE1438">
        <f>IF('Recurring Log'!K1442="","",'Recurring Log'!K1442)</f>
        <v/>
      </c>
      <c r="BF1438">
        <f>IFERROR(MATCH(BA1438,Setup!$L$6:$L$9,0),5)</f>
        <v/>
      </c>
      <c r="BG1438">
        <f>IF(OR(AZ1438="Done",AZ1438="Cancelled"),1,0)</f>
        <v/>
      </c>
      <c r="BH1438">
        <f>IF(AND(AU1438&lt;&gt;"",ISNUMBER(AW1438)),1,0)</f>
        <v/>
      </c>
      <c r="BI1438">
        <f>IF(BH1438=0,0,IF(AND(AW1438&gt;='Tasks Filter'!$F$3,AW1438&lt;='Tasks Filter'!$F$4,OR('Tasks Filter'!$I$3="",ISNUMBER(SEARCH('Tasks Filter'!$I$3,AU1438))),OR('Tasks Filter'!$I$4="",BF1438=IFERROR(MATCH('Tasks Filter'!$I$4,Setup!$L$6:$L$9,0),0)),OR('Tasks Filter'!$I$5="Both",AND('Tasks Filter'!$I$5="Yes",BB1438="✓"),AND('Tasks Filter'!$I$5="No",BB1438&lt;&gt;"✓")),OR('Tasks Filter'!$L$3="",AV1438='Tasks Filter'!$L$3),OR('Tasks Filter'!$L$4="",AZ1438='Tasks Filter'!$L$4),OR('Tasks Filter'!$L$5="",BC1438='Tasks Filter'!$L$5),OR('Tasks Filter'!$O$3="",BD1438='Tasks Filter'!$O$3),OR('Tasks Filter'!$O$4="Yes",BG1438=0)),1,0))</f>
        <v/>
      </c>
      <c r="BJ1438">
        <f>IF(BH1438=0,"",IF('Tasks Filter'!$F$6="Descending",-1,1)*CHOOSE(MATCH('Tasks Filter'!$F$5,Lists!$G$2:$G$6,0),AW1438,BF1438,IFERROR(MATCH(AV1438,Setup!$F$6:$F$15,0),99),IFERROR(MATCH(BC1438,Setup!$H$6:$H$15,0),99),IFERROR(MATCH(AZ1438,Setup!$J$6:$J$11,0),99))*1E+9+(AW1438-40000)*10000+1437)</f>
        <v/>
      </c>
      <c r="BK1438">
        <f>IF(BI1438=1,BJ1438,"")</f>
        <v/>
      </c>
      <c r="BL1438">
        <f>IF(AND(BH1438=1,BG1438=0,N(AW1438)&lt;Setup!$D$7),(AW1438-40000)*10000+1437,"")</f>
        <v/>
      </c>
      <c r="BM1438">
        <f>IF(AND(BH1438=1,AZ1438&lt;&gt;"Cancelled",N(AW1438)&gt;=Dashboard!$AB$3,N(AW1438)&lt;=Dashboard!$AB$3+6),(AW1438-40000)*100000+BF1438*10000+1437,"")</f>
        <v/>
      </c>
      <c r="BN1438">
        <f>IF(AND(BH1438=1,AZ1438&lt;&gt;"Cancelled"),BF1438*10000+1437,"")</f>
        <v/>
      </c>
    </row>
    <row r="1439">
      <c r="AS1439" t="inlineStr">
        <is>
          <t>R</t>
        </is>
      </c>
      <c r="AT1439" t="n">
        <v>1443</v>
      </c>
      <c r="AU1439">
        <f>'Recurring Log'!C1443&amp;""</f>
        <v/>
      </c>
      <c r="AV1439">
        <f>'Recurring Log'!D1443&amp;""</f>
        <v/>
      </c>
      <c r="AW1439">
        <f>IF('Recurring Log'!E1443="","",'Recurring Log'!E1443)</f>
        <v/>
      </c>
      <c r="AX1439">
        <f>IF('Recurring Log'!G1443="","",'Recurring Log'!G1443)</f>
        <v/>
      </c>
      <c r="AY1439">
        <f>IF('Recurring Log'!H1443="","",'Recurring Log'!H1443)</f>
        <v/>
      </c>
      <c r="AZ1439">
        <f>IF(AU1439="","",IF('Recurring Log'!J1443="","Not Started",'Recurring Log'!J1443))</f>
        <v/>
      </c>
      <c r="BA1439">
        <f>'Recurring Log'!L1443&amp;""</f>
        <v/>
      </c>
      <c r="BB1439">
        <f>'Recurring Log'!M1443&amp;""</f>
        <v/>
      </c>
      <c r="BC1439">
        <f>'Recurring Log'!N1443&amp;""</f>
        <v/>
      </c>
      <c r="BD1439">
        <f>'Recurring Log'!O1443&amp;""</f>
        <v/>
      </c>
      <c r="BE1439">
        <f>IF('Recurring Log'!K1443="","",'Recurring Log'!K1443)</f>
        <v/>
      </c>
      <c r="BF1439">
        <f>IFERROR(MATCH(BA1439,Setup!$L$6:$L$9,0),5)</f>
        <v/>
      </c>
      <c r="BG1439">
        <f>IF(OR(AZ1439="Done",AZ1439="Cancelled"),1,0)</f>
        <v/>
      </c>
      <c r="BH1439">
        <f>IF(AND(AU1439&lt;&gt;"",ISNUMBER(AW1439)),1,0)</f>
        <v/>
      </c>
      <c r="BI1439">
        <f>IF(BH1439=0,0,IF(AND(AW1439&gt;='Tasks Filter'!$F$3,AW1439&lt;='Tasks Filter'!$F$4,OR('Tasks Filter'!$I$3="",ISNUMBER(SEARCH('Tasks Filter'!$I$3,AU1439))),OR('Tasks Filter'!$I$4="",BF1439=IFERROR(MATCH('Tasks Filter'!$I$4,Setup!$L$6:$L$9,0),0)),OR('Tasks Filter'!$I$5="Both",AND('Tasks Filter'!$I$5="Yes",BB1439="✓"),AND('Tasks Filter'!$I$5="No",BB1439&lt;&gt;"✓")),OR('Tasks Filter'!$L$3="",AV1439='Tasks Filter'!$L$3),OR('Tasks Filter'!$L$4="",AZ1439='Tasks Filter'!$L$4),OR('Tasks Filter'!$L$5="",BC1439='Tasks Filter'!$L$5),OR('Tasks Filter'!$O$3="",BD1439='Tasks Filter'!$O$3),OR('Tasks Filter'!$O$4="Yes",BG1439=0)),1,0))</f>
        <v/>
      </c>
      <c r="BJ1439">
        <f>IF(BH1439=0,"",IF('Tasks Filter'!$F$6="Descending",-1,1)*CHOOSE(MATCH('Tasks Filter'!$F$5,Lists!$G$2:$G$6,0),AW1439,BF1439,IFERROR(MATCH(AV1439,Setup!$F$6:$F$15,0),99),IFERROR(MATCH(BC1439,Setup!$H$6:$H$15,0),99),IFERROR(MATCH(AZ1439,Setup!$J$6:$J$11,0),99))*1E+9+(AW1439-40000)*10000+1438)</f>
        <v/>
      </c>
      <c r="BK1439">
        <f>IF(BI1439=1,BJ1439,"")</f>
        <v/>
      </c>
      <c r="BL1439">
        <f>IF(AND(BH1439=1,BG1439=0,N(AW1439)&lt;Setup!$D$7),(AW1439-40000)*10000+1438,"")</f>
        <v/>
      </c>
      <c r="BM1439">
        <f>IF(AND(BH1439=1,AZ1439&lt;&gt;"Cancelled",N(AW1439)&gt;=Dashboard!$AB$3,N(AW1439)&lt;=Dashboard!$AB$3+6),(AW1439-40000)*100000+BF1439*10000+1438,"")</f>
        <v/>
      </c>
      <c r="BN1439">
        <f>IF(AND(BH1439=1,AZ1439&lt;&gt;"Cancelled"),BF1439*10000+1438,"")</f>
        <v/>
      </c>
    </row>
    <row r="1440">
      <c r="AS1440" t="inlineStr">
        <is>
          <t>R</t>
        </is>
      </c>
      <c r="AT1440" t="n">
        <v>1444</v>
      </c>
      <c r="AU1440">
        <f>'Recurring Log'!C1444&amp;""</f>
        <v/>
      </c>
      <c r="AV1440">
        <f>'Recurring Log'!D1444&amp;""</f>
        <v/>
      </c>
      <c r="AW1440">
        <f>IF('Recurring Log'!E1444="","",'Recurring Log'!E1444)</f>
        <v/>
      </c>
      <c r="AX1440">
        <f>IF('Recurring Log'!G1444="","",'Recurring Log'!G1444)</f>
        <v/>
      </c>
      <c r="AY1440">
        <f>IF('Recurring Log'!H1444="","",'Recurring Log'!H1444)</f>
        <v/>
      </c>
      <c r="AZ1440">
        <f>IF(AU1440="","",IF('Recurring Log'!J1444="","Not Started",'Recurring Log'!J1444))</f>
        <v/>
      </c>
      <c r="BA1440">
        <f>'Recurring Log'!L1444&amp;""</f>
        <v/>
      </c>
      <c r="BB1440">
        <f>'Recurring Log'!M1444&amp;""</f>
        <v/>
      </c>
      <c r="BC1440">
        <f>'Recurring Log'!N1444&amp;""</f>
        <v/>
      </c>
      <c r="BD1440">
        <f>'Recurring Log'!O1444&amp;""</f>
        <v/>
      </c>
      <c r="BE1440">
        <f>IF('Recurring Log'!K1444="","",'Recurring Log'!K1444)</f>
        <v/>
      </c>
      <c r="BF1440">
        <f>IFERROR(MATCH(BA1440,Setup!$L$6:$L$9,0),5)</f>
        <v/>
      </c>
      <c r="BG1440">
        <f>IF(OR(AZ1440="Done",AZ1440="Cancelled"),1,0)</f>
        <v/>
      </c>
      <c r="BH1440">
        <f>IF(AND(AU1440&lt;&gt;"",ISNUMBER(AW1440)),1,0)</f>
        <v/>
      </c>
      <c r="BI1440">
        <f>IF(BH1440=0,0,IF(AND(AW1440&gt;='Tasks Filter'!$F$3,AW1440&lt;='Tasks Filter'!$F$4,OR('Tasks Filter'!$I$3="",ISNUMBER(SEARCH('Tasks Filter'!$I$3,AU1440))),OR('Tasks Filter'!$I$4="",BF1440=IFERROR(MATCH('Tasks Filter'!$I$4,Setup!$L$6:$L$9,0),0)),OR('Tasks Filter'!$I$5="Both",AND('Tasks Filter'!$I$5="Yes",BB1440="✓"),AND('Tasks Filter'!$I$5="No",BB1440&lt;&gt;"✓")),OR('Tasks Filter'!$L$3="",AV1440='Tasks Filter'!$L$3),OR('Tasks Filter'!$L$4="",AZ1440='Tasks Filter'!$L$4),OR('Tasks Filter'!$L$5="",BC1440='Tasks Filter'!$L$5),OR('Tasks Filter'!$O$3="",BD1440='Tasks Filter'!$O$3),OR('Tasks Filter'!$O$4="Yes",BG1440=0)),1,0))</f>
        <v/>
      </c>
      <c r="BJ1440">
        <f>IF(BH1440=0,"",IF('Tasks Filter'!$F$6="Descending",-1,1)*CHOOSE(MATCH('Tasks Filter'!$F$5,Lists!$G$2:$G$6,0),AW1440,BF1440,IFERROR(MATCH(AV1440,Setup!$F$6:$F$15,0),99),IFERROR(MATCH(BC1440,Setup!$H$6:$H$15,0),99),IFERROR(MATCH(AZ1440,Setup!$J$6:$J$11,0),99))*1E+9+(AW1440-40000)*10000+1439)</f>
        <v/>
      </c>
      <c r="BK1440">
        <f>IF(BI1440=1,BJ1440,"")</f>
        <v/>
      </c>
      <c r="BL1440">
        <f>IF(AND(BH1440=1,BG1440=0,N(AW1440)&lt;Setup!$D$7),(AW1440-40000)*10000+1439,"")</f>
        <v/>
      </c>
      <c r="BM1440">
        <f>IF(AND(BH1440=1,AZ1440&lt;&gt;"Cancelled",N(AW1440)&gt;=Dashboard!$AB$3,N(AW1440)&lt;=Dashboard!$AB$3+6),(AW1440-40000)*100000+BF1440*10000+1439,"")</f>
        <v/>
      </c>
      <c r="BN1440">
        <f>IF(AND(BH1440=1,AZ1440&lt;&gt;"Cancelled"),BF1440*10000+1439,"")</f>
        <v/>
      </c>
    </row>
    <row r="1441">
      <c r="AS1441" t="inlineStr">
        <is>
          <t>R</t>
        </is>
      </c>
      <c r="AT1441" t="n">
        <v>1445</v>
      </c>
      <c r="AU1441">
        <f>'Recurring Log'!C1445&amp;""</f>
        <v/>
      </c>
      <c r="AV1441">
        <f>'Recurring Log'!D1445&amp;""</f>
        <v/>
      </c>
      <c r="AW1441">
        <f>IF('Recurring Log'!E1445="","",'Recurring Log'!E1445)</f>
        <v/>
      </c>
      <c r="AX1441">
        <f>IF('Recurring Log'!G1445="","",'Recurring Log'!G1445)</f>
        <v/>
      </c>
      <c r="AY1441">
        <f>IF('Recurring Log'!H1445="","",'Recurring Log'!H1445)</f>
        <v/>
      </c>
      <c r="AZ1441">
        <f>IF(AU1441="","",IF('Recurring Log'!J1445="","Not Started",'Recurring Log'!J1445))</f>
        <v/>
      </c>
      <c r="BA1441">
        <f>'Recurring Log'!L1445&amp;""</f>
        <v/>
      </c>
      <c r="BB1441">
        <f>'Recurring Log'!M1445&amp;""</f>
        <v/>
      </c>
      <c r="BC1441">
        <f>'Recurring Log'!N1445&amp;""</f>
        <v/>
      </c>
      <c r="BD1441">
        <f>'Recurring Log'!O1445&amp;""</f>
        <v/>
      </c>
      <c r="BE1441">
        <f>IF('Recurring Log'!K1445="","",'Recurring Log'!K1445)</f>
        <v/>
      </c>
      <c r="BF1441">
        <f>IFERROR(MATCH(BA1441,Setup!$L$6:$L$9,0),5)</f>
        <v/>
      </c>
      <c r="BG1441">
        <f>IF(OR(AZ1441="Done",AZ1441="Cancelled"),1,0)</f>
        <v/>
      </c>
      <c r="BH1441">
        <f>IF(AND(AU1441&lt;&gt;"",ISNUMBER(AW1441)),1,0)</f>
        <v/>
      </c>
      <c r="BI1441">
        <f>IF(BH1441=0,0,IF(AND(AW1441&gt;='Tasks Filter'!$F$3,AW1441&lt;='Tasks Filter'!$F$4,OR('Tasks Filter'!$I$3="",ISNUMBER(SEARCH('Tasks Filter'!$I$3,AU1441))),OR('Tasks Filter'!$I$4="",BF1441=IFERROR(MATCH('Tasks Filter'!$I$4,Setup!$L$6:$L$9,0),0)),OR('Tasks Filter'!$I$5="Both",AND('Tasks Filter'!$I$5="Yes",BB1441="✓"),AND('Tasks Filter'!$I$5="No",BB1441&lt;&gt;"✓")),OR('Tasks Filter'!$L$3="",AV1441='Tasks Filter'!$L$3),OR('Tasks Filter'!$L$4="",AZ1441='Tasks Filter'!$L$4),OR('Tasks Filter'!$L$5="",BC1441='Tasks Filter'!$L$5),OR('Tasks Filter'!$O$3="",BD1441='Tasks Filter'!$O$3),OR('Tasks Filter'!$O$4="Yes",BG1441=0)),1,0))</f>
        <v/>
      </c>
      <c r="BJ1441">
        <f>IF(BH1441=0,"",IF('Tasks Filter'!$F$6="Descending",-1,1)*CHOOSE(MATCH('Tasks Filter'!$F$5,Lists!$G$2:$G$6,0),AW1441,BF1441,IFERROR(MATCH(AV1441,Setup!$F$6:$F$15,0),99),IFERROR(MATCH(BC1441,Setup!$H$6:$H$15,0),99),IFERROR(MATCH(AZ1441,Setup!$J$6:$J$11,0),99))*1E+9+(AW1441-40000)*10000+1440)</f>
        <v/>
      </c>
      <c r="BK1441">
        <f>IF(BI1441=1,BJ1441,"")</f>
        <v/>
      </c>
      <c r="BL1441">
        <f>IF(AND(BH1441=1,BG1441=0,N(AW1441)&lt;Setup!$D$7),(AW1441-40000)*10000+1440,"")</f>
        <v/>
      </c>
      <c r="BM1441">
        <f>IF(AND(BH1441=1,AZ1441&lt;&gt;"Cancelled",N(AW1441)&gt;=Dashboard!$AB$3,N(AW1441)&lt;=Dashboard!$AB$3+6),(AW1441-40000)*100000+BF1441*10000+1440,"")</f>
        <v/>
      </c>
      <c r="BN1441">
        <f>IF(AND(BH1441=1,AZ1441&lt;&gt;"Cancelled"),BF1441*10000+1440,"")</f>
        <v/>
      </c>
    </row>
    <row r="1442">
      <c r="AS1442" t="inlineStr">
        <is>
          <t>R</t>
        </is>
      </c>
      <c r="AT1442" t="n">
        <v>1446</v>
      </c>
      <c r="AU1442">
        <f>'Recurring Log'!C1446&amp;""</f>
        <v/>
      </c>
      <c r="AV1442">
        <f>'Recurring Log'!D1446&amp;""</f>
        <v/>
      </c>
      <c r="AW1442">
        <f>IF('Recurring Log'!E1446="","",'Recurring Log'!E1446)</f>
        <v/>
      </c>
      <c r="AX1442">
        <f>IF('Recurring Log'!G1446="","",'Recurring Log'!G1446)</f>
        <v/>
      </c>
      <c r="AY1442">
        <f>IF('Recurring Log'!H1446="","",'Recurring Log'!H1446)</f>
        <v/>
      </c>
      <c r="AZ1442">
        <f>IF(AU1442="","",IF('Recurring Log'!J1446="","Not Started",'Recurring Log'!J1446))</f>
        <v/>
      </c>
      <c r="BA1442">
        <f>'Recurring Log'!L1446&amp;""</f>
        <v/>
      </c>
      <c r="BB1442">
        <f>'Recurring Log'!M1446&amp;""</f>
        <v/>
      </c>
      <c r="BC1442">
        <f>'Recurring Log'!N1446&amp;""</f>
        <v/>
      </c>
      <c r="BD1442">
        <f>'Recurring Log'!O1446&amp;""</f>
        <v/>
      </c>
      <c r="BE1442">
        <f>IF('Recurring Log'!K1446="","",'Recurring Log'!K1446)</f>
        <v/>
      </c>
      <c r="BF1442">
        <f>IFERROR(MATCH(BA1442,Setup!$L$6:$L$9,0),5)</f>
        <v/>
      </c>
      <c r="BG1442">
        <f>IF(OR(AZ1442="Done",AZ1442="Cancelled"),1,0)</f>
        <v/>
      </c>
      <c r="BH1442">
        <f>IF(AND(AU1442&lt;&gt;"",ISNUMBER(AW1442)),1,0)</f>
        <v/>
      </c>
      <c r="BI1442">
        <f>IF(BH1442=0,0,IF(AND(AW1442&gt;='Tasks Filter'!$F$3,AW1442&lt;='Tasks Filter'!$F$4,OR('Tasks Filter'!$I$3="",ISNUMBER(SEARCH('Tasks Filter'!$I$3,AU1442))),OR('Tasks Filter'!$I$4="",BF1442=IFERROR(MATCH('Tasks Filter'!$I$4,Setup!$L$6:$L$9,0),0)),OR('Tasks Filter'!$I$5="Both",AND('Tasks Filter'!$I$5="Yes",BB1442="✓"),AND('Tasks Filter'!$I$5="No",BB1442&lt;&gt;"✓")),OR('Tasks Filter'!$L$3="",AV1442='Tasks Filter'!$L$3),OR('Tasks Filter'!$L$4="",AZ1442='Tasks Filter'!$L$4),OR('Tasks Filter'!$L$5="",BC1442='Tasks Filter'!$L$5),OR('Tasks Filter'!$O$3="",BD1442='Tasks Filter'!$O$3),OR('Tasks Filter'!$O$4="Yes",BG1442=0)),1,0))</f>
        <v/>
      </c>
      <c r="BJ1442">
        <f>IF(BH1442=0,"",IF('Tasks Filter'!$F$6="Descending",-1,1)*CHOOSE(MATCH('Tasks Filter'!$F$5,Lists!$G$2:$G$6,0),AW1442,BF1442,IFERROR(MATCH(AV1442,Setup!$F$6:$F$15,0),99),IFERROR(MATCH(BC1442,Setup!$H$6:$H$15,0),99),IFERROR(MATCH(AZ1442,Setup!$J$6:$J$11,0),99))*1E+9+(AW1442-40000)*10000+1441)</f>
        <v/>
      </c>
      <c r="BK1442">
        <f>IF(BI1442=1,BJ1442,"")</f>
        <v/>
      </c>
      <c r="BL1442">
        <f>IF(AND(BH1442=1,BG1442=0,N(AW1442)&lt;Setup!$D$7),(AW1442-40000)*10000+1441,"")</f>
        <v/>
      </c>
      <c r="BM1442">
        <f>IF(AND(BH1442=1,AZ1442&lt;&gt;"Cancelled",N(AW1442)&gt;=Dashboard!$AB$3,N(AW1442)&lt;=Dashboard!$AB$3+6),(AW1442-40000)*100000+BF1442*10000+1441,"")</f>
        <v/>
      </c>
      <c r="BN1442">
        <f>IF(AND(BH1442=1,AZ1442&lt;&gt;"Cancelled"),BF1442*10000+1441,"")</f>
        <v/>
      </c>
    </row>
    <row r="1443">
      <c r="AS1443" t="inlineStr">
        <is>
          <t>R</t>
        </is>
      </c>
      <c r="AT1443" t="n">
        <v>1447</v>
      </c>
      <c r="AU1443">
        <f>'Recurring Log'!C1447&amp;""</f>
        <v/>
      </c>
      <c r="AV1443">
        <f>'Recurring Log'!D1447&amp;""</f>
        <v/>
      </c>
      <c r="AW1443">
        <f>IF('Recurring Log'!E1447="","",'Recurring Log'!E1447)</f>
        <v/>
      </c>
      <c r="AX1443">
        <f>IF('Recurring Log'!G1447="","",'Recurring Log'!G1447)</f>
        <v/>
      </c>
      <c r="AY1443">
        <f>IF('Recurring Log'!H1447="","",'Recurring Log'!H1447)</f>
        <v/>
      </c>
      <c r="AZ1443">
        <f>IF(AU1443="","",IF('Recurring Log'!J1447="","Not Started",'Recurring Log'!J1447))</f>
        <v/>
      </c>
      <c r="BA1443">
        <f>'Recurring Log'!L1447&amp;""</f>
        <v/>
      </c>
      <c r="BB1443">
        <f>'Recurring Log'!M1447&amp;""</f>
        <v/>
      </c>
      <c r="BC1443">
        <f>'Recurring Log'!N1447&amp;""</f>
        <v/>
      </c>
      <c r="BD1443">
        <f>'Recurring Log'!O1447&amp;""</f>
        <v/>
      </c>
      <c r="BE1443">
        <f>IF('Recurring Log'!K1447="","",'Recurring Log'!K1447)</f>
        <v/>
      </c>
      <c r="BF1443">
        <f>IFERROR(MATCH(BA1443,Setup!$L$6:$L$9,0),5)</f>
        <v/>
      </c>
      <c r="BG1443">
        <f>IF(OR(AZ1443="Done",AZ1443="Cancelled"),1,0)</f>
        <v/>
      </c>
      <c r="BH1443">
        <f>IF(AND(AU1443&lt;&gt;"",ISNUMBER(AW1443)),1,0)</f>
        <v/>
      </c>
      <c r="BI1443">
        <f>IF(BH1443=0,0,IF(AND(AW1443&gt;='Tasks Filter'!$F$3,AW1443&lt;='Tasks Filter'!$F$4,OR('Tasks Filter'!$I$3="",ISNUMBER(SEARCH('Tasks Filter'!$I$3,AU1443))),OR('Tasks Filter'!$I$4="",BF1443=IFERROR(MATCH('Tasks Filter'!$I$4,Setup!$L$6:$L$9,0),0)),OR('Tasks Filter'!$I$5="Both",AND('Tasks Filter'!$I$5="Yes",BB1443="✓"),AND('Tasks Filter'!$I$5="No",BB1443&lt;&gt;"✓")),OR('Tasks Filter'!$L$3="",AV1443='Tasks Filter'!$L$3),OR('Tasks Filter'!$L$4="",AZ1443='Tasks Filter'!$L$4),OR('Tasks Filter'!$L$5="",BC1443='Tasks Filter'!$L$5),OR('Tasks Filter'!$O$3="",BD1443='Tasks Filter'!$O$3),OR('Tasks Filter'!$O$4="Yes",BG1443=0)),1,0))</f>
        <v/>
      </c>
      <c r="BJ1443">
        <f>IF(BH1443=0,"",IF('Tasks Filter'!$F$6="Descending",-1,1)*CHOOSE(MATCH('Tasks Filter'!$F$5,Lists!$G$2:$G$6,0),AW1443,BF1443,IFERROR(MATCH(AV1443,Setup!$F$6:$F$15,0),99),IFERROR(MATCH(BC1443,Setup!$H$6:$H$15,0),99),IFERROR(MATCH(AZ1443,Setup!$J$6:$J$11,0),99))*1E+9+(AW1443-40000)*10000+1442)</f>
        <v/>
      </c>
      <c r="BK1443">
        <f>IF(BI1443=1,BJ1443,"")</f>
        <v/>
      </c>
      <c r="BL1443">
        <f>IF(AND(BH1443=1,BG1443=0,N(AW1443)&lt;Setup!$D$7),(AW1443-40000)*10000+1442,"")</f>
        <v/>
      </c>
      <c r="BM1443">
        <f>IF(AND(BH1443=1,AZ1443&lt;&gt;"Cancelled",N(AW1443)&gt;=Dashboard!$AB$3,N(AW1443)&lt;=Dashboard!$AB$3+6),(AW1443-40000)*100000+BF1443*10000+1442,"")</f>
        <v/>
      </c>
      <c r="BN1443">
        <f>IF(AND(BH1443=1,AZ1443&lt;&gt;"Cancelled"),BF1443*10000+1442,"")</f>
        <v/>
      </c>
    </row>
    <row r="1444">
      <c r="AS1444" t="inlineStr">
        <is>
          <t>R</t>
        </is>
      </c>
      <c r="AT1444" t="n">
        <v>1448</v>
      </c>
      <c r="AU1444">
        <f>'Recurring Log'!C1448&amp;""</f>
        <v/>
      </c>
      <c r="AV1444">
        <f>'Recurring Log'!D1448&amp;""</f>
        <v/>
      </c>
      <c r="AW1444">
        <f>IF('Recurring Log'!E1448="","",'Recurring Log'!E1448)</f>
        <v/>
      </c>
      <c r="AX1444">
        <f>IF('Recurring Log'!G1448="","",'Recurring Log'!G1448)</f>
        <v/>
      </c>
      <c r="AY1444">
        <f>IF('Recurring Log'!H1448="","",'Recurring Log'!H1448)</f>
        <v/>
      </c>
      <c r="AZ1444">
        <f>IF(AU1444="","",IF('Recurring Log'!J1448="","Not Started",'Recurring Log'!J1448))</f>
        <v/>
      </c>
      <c r="BA1444">
        <f>'Recurring Log'!L1448&amp;""</f>
        <v/>
      </c>
      <c r="BB1444">
        <f>'Recurring Log'!M1448&amp;""</f>
        <v/>
      </c>
      <c r="BC1444">
        <f>'Recurring Log'!N1448&amp;""</f>
        <v/>
      </c>
      <c r="BD1444">
        <f>'Recurring Log'!O1448&amp;""</f>
        <v/>
      </c>
      <c r="BE1444">
        <f>IF('Recurring Log'!K1448="","",'Recurring Log'!K1448)</f>
        <v/>
      </c>
      <c r="BF1444">
        <f>IFERROR(MATCH(BA1444,Setup!$L$6:$L$9,0),5)</f>
        <v/>
      </c>
      <c r="BG1444">
        <f>IF(OR(AZ1444="Done",AZ1444="Cancelled"),1,0)</f>
        <v/>
      </c>
      <c r="BH1444">
        <f>IF(AND(AU1444&lt;&gt;"",ISNUMBER(AW1444)),1,0)</f>
        <v/>
      </c>
      <c r="BI1444">
        <f>IF(BH1444=0,0,IF(AND(AW1444&gt;='Tasks Filter'!$F$3,AW1444&lt;='Tasks Filter'!$F$4,OR('Tasks Filter'!$I$3="",ISNUMBER(SEARCH('Tasks Filter'!$I$3,AU1444))),OR('Tasks Filter'!$I$4="",BF1444=IFERROR(MATCH('Tasks Filter'!$I$4,Setup!$L$6:$L$9,0),0)),OR('Tasks Filter'!$I$5="Both",AND('Tasks Filter'!$I$5="Yes",BB1444="✓"),AND('Tasks Filter'!$I$5="No",BB1444&lt;&gt;"✓")),OR('Tasks Filter'!$L$3="",AV1444='Tasks Filter'!$L$3),OR('Tasks Filter'!$L$4="",AZ1444='Tasks Filter'!$L$4),OR('Tasks Filter'!$L$5="",BC1444='Tasks Filter'!$L$5),OR('Tasks Filter'!$O$3="",BD1444='Tasks Filter'!$O$3),OR('Tasks Filter'!$O$4="Yes",BG1444=0)),1,0))</f>
        <v/>
      </c>
      <c r="BJ1444">
        <f>IF(BH1444=0,"",IF('Tasks Filter'!$F$6="Descending",-1,1)*CHOOSE(MATCH('Tasks Filter'!$F$5,Lists!$G$2:$G$6,0),AW1444,BF1444,IFERROR(MATCH(AV1444,Setup!$F$6:$F$15,0),99),IFERROR(MATCH(BC1444,Setup!$H$6:$H$15,0),99),IFERROR(MATCH(AZ1444,Setup!$J$6:$J$11,0),99))*1E+9+(AW1444-40000)*10000+1443)</f>
        <v/>
      </c>
      <c r="BK1444">
        <f>IF(BI1444=1,BJ1444,"")</f>
        <v/>
      </c>
      <c r="BL1444">
        <f>IF(AND(BH1444=1,BG1444=0,N(AW1444)&lt;Setup!$D$7),(AW1444-40000)*10000+1443,"")</f>
        <v/>
      </c>
      <c r="BM1444">
        <f>IF(AND(BH1444=1,AZ1444&lt;&gt;"Cancelled",N(AW1444)&gt;=Dashboard!$AB$3,N(AW1444)&lt;=Dashboard!$AB$3+6),(AW1444-40000)*100000+BF1444*10000+1443,"")</f>
        <v/>
      </c>
      <c r="BN1444">
        <f>IF(AND(BH1444=1,AZ1444&lt;&gt;"Cancelled"),BF1444*10000+1443,"")</f>
        <v/>
      </c>
    </row>
    <row r="1445">
      <c r="AS1445" t="inlineStr">
        <is>
          <t>R</t>
        </is>
      </c>
      <c r="AT1445" t="n">
        <v>1449</v>
      </c>
      <c r="AU1445">
        <f>'Recurring Log'!C1449&amp;""</f>
        <v/>
      </c>
      <c r="AV1445">
        <f>'Recurring Log'!D1449&amp;""</f>
        <v/>
      </c>
      <c r="AW1445">
        <f>IF('Recurring Log'!E1449="","",'Recurring Log'!E1449)</f>
        <v/>
      </c>
      <c r="AX1445">
        <f>IF('Recurring Log'!G1449="","",'Recurring Log'!G1449)</f>
        <v/>
      </c>
      <c r="AY1445">
        <f>IF('Recurring Log'!H1449="","",'Recurring Log'!H1449)</f>
        <v/>
      </c>
      <c r="AZ1445">
        <f>IF(AU1445="","",IF('Recurring Log'!J1449="","Not Started",'Recurring Log'!J1449))</f>
        <v/>
      </c>
      <c r="BA1445">
        <f>'Recurring Log'!L1449&amp;""</f>
        <v/>
      </c>
      <c r="BB1445">
        <f>'Recurring Log'!M1449&amp;""</f>
        <v/>
      </c>
      <c r="BC1445">
        <f>'Recurring Log'!N1449&amp;""</f>
        <v/>
      </c>
      <c r="BD1445">
        <f>'Recurring Log'!O1449&amp;""</f>
        <v/>
      </c>
      <c r="BE1445">
        <f>IF('Recurring Log'!K1449="","",'Recurring Log'!K1449)</f>
        <v/>
      </c>
      <c r="BF1445">
        <f>IFERROR(MATCH(BA1445,Setup!$L$6:$L$9,0),5)</f>
        <v/>
      </c>
      <c r="BG1445">
        <f>IF(OR(AZ1445="Done",AZ1445="Cancelled"),1,0)</f>
        <v/>
      </c>
      <c r="BH1445">
        <f>IF(AND(AU1445&lt;&gt;"",ISNUMBER(AW1445)),1,0)</f>
        <v/>
      </c>
      <c r="BI1445">
        <f>IF(BH1445=0,0,IF(AND(AW1445&gt;='Tasks Filter'!$F$3,AW1445&lt;='Tasks Filter'!$F$4,OR('Tasks Filter'!$I$3="",ISNUMBER(SEARCH('Tasks Filter'!$I$3,AU1445))),OR('Tasks Filter'!$I$4="",BF1445=IFERROR(MATCH('Tasks Filter'!$I$4,Setup!$L$6:$L$9,0),0)),OR('Tasks Filter'!$I$5="Both",AND('Tasks Filter'!$I$5="Yes",BB1445="✓"),AND('Tasks Filter'!$I$5="No",BB1445&lt;&gt;"✓")),OR('Tasks Filter'!$L$3="",AV1445='Tasks Filter'!$L$3),OR('Tasks Filter'!$L$4="",AZ1445='Tasks Filter'!$L$4),OR('Tasks Filter'!$L$5="",BC1445='Tasks Filter'!$L$5),OR('Tasks Filter'!$O$3="",BD1445='Tasks Filter'!$O$3),OR('Tasks Filter'!$O$4="Yes",BG1445=0)),1,0))</f>
        <v/>
      </c>
      <c r="BJ1445">
        <f>IF(BH1445=0,"",IF('Tasks Filter'!$F$6="Descending",-1,1)*CHOOSE(MATCH('Tasks Filter'!$F$5,Lists!$G$2:$G$6,0),AW1445,BF1445,IFERROR(MATCH(AV1445,Setup!$F$6:$F$15,0),99),IFERROR(MATCH(BC1445,Setup!$H$6:$H$15,0),99),IFERROR(MATCH(AZ1445,Setup!$J$6:$J$11,0),99))*1E+9+(AW1445-40000)*10000+1444)</f>
        <v/>
      </c>
      <c r="BK1445">
        <f>IF(BI1445=1,BJ1445,"")</f>
        <v/>
      </c>
      <c r="BL1445">
        <f>IF(AND(BH1445=1,BG1445=0,N(AW1445)&lt;Setup!$D$7),(AW1445-40000)*10000+1444,"")</f>
        <v/>
      </c>
      <c r="BM1445">
        <f>IF(AND(BH1445=1,AZ1445&lt;&gt;"Cancelled",N(AW1445)&gt;=Dashboard!$AB$3,N(AW1445)&lt;=Dashboard!$AB$3+6),(AW1445-40000)*100000+BF1445*10000+1444,"")</f>
        <v/>
      </c>
      <c r="BN1445">
        <f>IF(AND(BH1445=1,AZ1445&lt;&gt;"Cancelled"),BF1445*10000+1444,"")</f>
        <v/>
      </c>
    </row>
    <row r="1446">
      <c r="AS1446" t="inlineStr">
        <is>
          <t>R</t>
        </is>
      </c>
      <c r="AT1446" t="n">
        <v>1450</v>
      </c>
      <c r="AU1446">
        <f>'Recurring Log'!C1450&amp;""</f>
        <v/>
      </c>
      <c r="AV1446">
        <f>'Recurring Log'!D1450&amp;""</f>
        <v/>
      </c>
      <c r="AW1446">
        <f>IF('Recurring Log'!E1450="","",'Recurring Log'!E1450)</f>
        <v/>
      </c>
      <c r="AX1446">
        <f>IF('Recurring Log'!G1450="","",'Recurring Log'!G1450)</f>
        <v/>
      </c>
      <c r="AY1446">
        <f>IF('Recurring Log'!H1450="","",'Recurring Log'!H1450)</f>
        <v/>
      </c>
      <c r="AZ1446">
        <f>IF(AU1446="","",IF('Recurring Log'!J1450="","Not Started",'Recurring Log'!J1450))</f>
        <v/>
      </c>
      <c r="BA1446">
        <f>'Recurring Log'!L1450&amp;""</f>
        <v/>
      </c>
      <c r="BB1446">
        <f>'Recurring Log'!M1450&amp;""</f>
        <v/>
      </c>
      <c r="BC1446">
        <f>'Recurring Log'!N1450&amp;""</f>
        <v/>
      </c>
      <c r="BD1446">
        <f>'Recurring Log'!O1450&amp;""</f>
        <v/>
      </c>
      <c r="BE1446">
        <f>IF('Recurring Log'!K1450="","",'Recurring Log'!K1450)</f>
        <v/>
      </c>
      <c r="BF1446">
        <f>IFERROR(MATCH(BA1446,Setup!$L$6:$L$9,0),5)</f>
        <v/>
      </c>
      <c r="BG1446">
        <f>IF(OR(AZ1446="Done",AZ1446="Cancelled"),1,0)</f>
        <v/>
      </c>
      <c r="BH1446">
        <f>IF(AND(AU1446&lt;&gt;"",ISNUMBER(AW1446)),1,0)</f>
        <v/>
      </c>
      <c r="BI1446">
        <f>IF(BH1446=0,0,IF(AND(AW1446&gt;='Tasks Filter'!$F$3,AW1446&lt;='Tasks Filter'!$F$4,OR('Tasks Filter'!$I$3="",ISNUMBER(SEARCH('Tasks Filter'!$I$3,AU1446))),OR('Tasks Filter'!$I$4="",BF1446=IFERROR(MATCH('Tasks Filter'!$I$4,Setup!$L$6:$L$9,0),0)),OR('Tasks Filter'!$I$5="Both",AND('Tasks Filter'!$I$5="Yes",BB1446="✓"),AND('Tasks Filter'!$I$5="No",BB1446&lt;&gt;"✓")),OR('Tasks Filter'!$L$3="",AV1446='Tasks Filter'!$L$3),OR('Tasks Filter'!$L$4="",AZ1446='Tasks Filter'!$L$4),OR('Tasks Filter'!$L$5="",BC1446='Tasks Filter'!$L$5),OR('Tasks Filter'!$O$3="",BD1446='Tasks Filter'!$O$3),OR('Tasks Filter'!$O$4="Yes",BG1446=0)),1,0))</f>
        <v/>
      </c>
      <c r="BJ1446">
        <f>IF(BH1446=0,"",IF('Tasks Filter'!$F$6="Descending",-1,1)*CHOOSE(MATCH('Tasks Filter'!$F$5,Lists!$G$2:$G$6,0),AW1446,BF1446,IFERROR(MATCH(AV1446,Setup!$F$6:$F$15,0),99),IFERROR(MATCH(BC1446,Setup!$H$6:$H$15,0),99),IFERROR(MATCH(AZ1446,Setup!$J$6:$J$11,0),99))*1E+9+(AW1446-40000)*10000+1445)</f>
        <v/>
      </c>
      <c r="BK1446">
        <f>IF(BI1446=1,BJ1446,"")</f>
        <v/>
      </c>
      <c r="BL1446">
        <f>IF(AND(BH1446=1,BG1446=0,N(AW1446)&lt;Setup!$D$7),(AW1446-40000)*10000+1445,"")</f>
        <v/>
      </c>
      <c r="BM1446">
        <f>IF(AND(BH1446=1,AZ1446&lt;&gt;"Cancelled",N(AW1446)&gt;=Dashboard!$AB$3,N(AW1446)&lt;=Dashboard!$AB$3+6),(AW1446-40000)*100000+BF1446*10000+1445,"")</f>
        <v/>
      </c>
      <c r="BN1446">
        <f>IF(AND(BH1446=1,AZ1446&lt;&gt;"Cancelled"),BF1446*10000+1445,"")</f>
        <v/>
      </c>
    </row>
    <row r="1447">
      <c r="AS1447" t="inlineStr">
        <is>
          <t>R</t>
        </is>
      </c>
      <c r="AT1447" t="n">
        <v>1451</v>
      </c>
      <c r="AU1447">
        <f>'Recurring Log'!C1451&amp;""</f>
        <v/>
      </c>
      <c r="AV1447">
        <f>'Recurring Log'!D1451&amp;""</f>
        <v/>
      </c>
      <c r="AW1447">
        <f>IF('Recurring Log'!E1451="","",'Recurring Log'!E1451)</f>
        <v/>
      </c>
      <c r="AX1447">
        <f>IF('Recurring Log'!G1451="","",'Recurring Log'!G1451)</f>
        <v/>
      </c>
      <c r="AY1447">
        <f>IF('Recurring Log'!H1451="","",'Recurring Log'!H1451)</f>
        <v/>
      </c>
      <c r="AZ1447">
        <f>IF(AU1447="","",IF('Recurring Log'!J1451="","Not Started",'Recurring Log'!J1451))</f>
        <v/>
      </c>
      <c r="BA1447">
        <f>'Recurring Log'!L1451&amp;""</f>
        <v/>
      </c>
      <c r="BB1447">
        <f>'Recurring Log'!M1451&amp;""</f>
        <v/>
      </c>
      <c r="BC1447">
        <f>'Recurring Log'!N1451&amp;""</f>
        <v/>
      </c>
      <c r="BD1447">
        <f>'Recurring Log'!O1451&amp;""</f>
        <v/>
      </c>
      <c r="BE1447">
        <f>IF('Recurring Log'!K1451="","",'Recurring Log'!K1451)</f>
        <v/>
      </c>
      <c r="BF1447">
        <f>IFERROR(MATCH(BA1447,Setup!$L$6:$L$9,0),5)</f>
        <v/>
      </c>
      <c r="BG1447">
        <f>IF(OR(AZ1447="Done",AZ1447="Cancelled"),1,0)</f>
        <v/>
      </c>
      <c r="BH1447">
        <f>IF(AND(AU1447&lt;&gt;"",ISNUMBER(AW1447)),1,0)</f>
        <v/>
      </c>
      <c r="BI1447">
        <f>IF(BH1447=0,0,IF(AND(AW1447&gt;='Tasks Filter'!$F$3,AW1447&lt;='Tasks Filter'!$F$4,OR('Tasks Filter'!$I$3="",ISNUMBER(SEARCH('Tasks Filter'!$I$3,AU1447))),OR('Tasks Filter'!$I$4="",BF1447=IFERROR(MATCH('Tasks Filter'!$I$4,Setup!$L$6:$L$9,0),0)),OR('Tasks Filter'!$I$5="Both",AND('Tasks Filter'!$I$5="Yes",BB1447="✓"),AND('Tasks Filter'!$I$5="No",BB1447&lt;&gt;"✓")),OR('Tasks Filter'!$L$3="",AV1447='Tasks Filter'!$L$3),OR('Tasks Filter'!$L$4="",AZ1447='Tasks Filter'!$L$4),OR('Tasks Filter'!$L$5="",BC1447='Tasks Filter'!$L$5),OR('Tasks Filter'!$O$3="",BD1447='Tasks Filter'!$O$3),OR('Tasks Filter'!$O$4="Yes",BG1447=0)),1,0))</f>
        <v/>
      </c>
      <c r="BJ1447">
        <f>IF(BH1447=0,"",IF('Tasks Filter'!$F$6="Descending",-1,1)*CHOOSE(MATCH('Tasks Filter'!$F$5,Lists!$G$2:$G$6,0),AW1447,BF1447,IFERROR(MATCH(AV1447,Setup!$F$6:$F$15,0),99),IFERROR(MATCH(BC1447,Setup!$H$6:$H$15,0),99),IFERROR(MATCH(AZ1447,Setup!$J$6:$J$11,0),99))*1E+9+(AW1447-40000)*10000+1446)</f>
        <v/>
      </c>
      <c r="BK1447">
        <f>IF(BI1447=1,BJ1447,"")</f>
        <v/>
      </c>
      <c r="BL1447">
        <f>IF(AND(BH1447=1,BG1447=0,N(AW1447)&lt;Setup!$D$7),(AW1447-40000)*10000+1446,"")</f>
        <v/>
      </c>
      <c r="BM1447">
        <f>IF(AND(BH1447=1,AZ1447&lt;&gt;"Cancelled",N(AW1447)&gt;=Dashboard!$AB$3,N(AW1447)&lt;=Dashboard!$AB$3+6),(AW1447-40000)*100000+BF1447*10000+1446,"")</f>
        <v/>
      </c>
      <c r="BN1447">
        <f>IF(AND(BH1447=1,AZ1447&lt;&gt;"Cancelled"),BF1447*10000+1446,"")</f>
        <v/>
      </c>
    </row>
    <row r="1448">
      <c r="AS1448" t="inlineStr">
        <is>
          <t>R</t>
        </is>
      </c>
      <c r="AT1448" t="n">
        <v>1452</v>
      </c>
      <c r="AU1448">
        <f>'Recurring Log'!C1452&amp;""</f>
        <v/>
      </c>
      <c r="AV1448">
        <f>'Recurring Log'!D1452&amp;""</f>
        <v/>
      </c>
      <c r="AW1448">
        <f>IF('Recurring Log'!E1452="","",'Recurring Log'!E1452)</f>
        <v/>
      </c>
      <c r="AX1448">
        <f>IF('Recurring Log'!G1452="","",'Recurring Log'!G1452)</f>
        <v/>
      </c>
      <c r="AY1448">
        <f>IF('Recurring Log'!H1452="","",'Recurring Log'!H1452)</f>
        <v/>
      </c>
      <c r="AZ1448">
        <f>IF(AU1448="","",IF('Recurring Log'!J1452="","Not Started",'Recurring Log'!J1452))</f>
        <v/>
      </c>
      <c r="BA1448">
        <f>'Recurring Log'!L1452&amp;""</f>
        <v/>
      </c>
      <c r="BB1448">
        <f>'Recurring Log'!M1452&amp;""</f>
        <v/>
      </c>
      <c r="BC1448">
        <f>'Recurring Log'!N1452&amp;""</f>
        <v/>
      </c>
      <c r="BD1448">
        <f>'Recurring Log'!O1452&amp;""</f>
        <v/>
      </c>
      <c r="BE1448">
        <f>IF('Recurring Log'!K1452="","",'Recurring Log'!K1452)</f>
        <v/>
      </c>
      <c r="BF1448">
        <f>IFERROR(MATCH(BA1448,Setup!$L$6:$L$9,0),5)</f>
        <v/>
      </c>
      <c r="BG1448">
        <f>IF(OR(AZ1448="Done",AZ1448="Cancelled"),1,0)</f>
        <v/>
      </c>
      <c r="BH1448">
        <f>IF(AND(AU1448&lt;&gt;"",ISNUMBER(AW1448)),1,0)</f>
        <v/>
      </c>
      <c r="BI1448">
        <f>IF(BH1448=0,0,IF(AND(AW1448&gt;='Tasks Filter'!$F$3,AW1448&lt;='Tasks Filter'!$F$4,OR('Tasks Filter'!$I$3="",ISNUMBER(SEARCH('Tasks Filter'!$I$3,AU1448))),OR('Tasks Filter'!$I$4="",BF1448=IFERROR(MATCH('Tasks Filter'!$I$4,Setup!$L$6:$L$9,0),0)),OR('Tasks Filter'!$I$5="Both",AND('Tasks Filter'!$I$5="Yes",BB1448="✓"),AND('Tasks Filter'!$I$5="No",BB1448&lt;&gt;"✓")),OR('Tasks Filter'!$L$3="",AV1448='Tasks Filter'!$L$3),OR('Tasks Filter'!$L$4="",AZ1448='Tasks Filter'!$L$4),OR('Tasks Filter'!$L$5="",BC1448='Tasks Filter'!$L$5),OR('Tasks Filter'!$O$3="",BD1448='Tasks Filter'!$O$3),OR('Tasks Filter'!$O$4="Yes",BG1448=0)),1,0))</f>
        <v/>
      </c>
      <c r="BJ1448">
        <f>IF(BH1448=0,"",IF('Tasks Filter'!$F$6="Descending",-1,1)*CHOOSE(MATCH('Tasks Filter'!$F$5,Lists!$G$2:$G$6,0),AW1448,BF1448,IFERROR(MATCH(AV1448,Setup!$F$6:$F$15,0),99),IFERROR(MATCH(BC1448,Setup!$H$6:$H$15,0),99),IFERROR(MATCH(AZ1448,Setup!$J$6:$J$11,0),99))*1E+9+(AW1448-40000)*10000+1447)</f>
        <v/>
      </c>
      <c r="BK1448">
        <f>IF(BI1448=1,BJ1448,"")</f>
        <v/>
      </c>
      <c r="BL1448">
        <f>IF(AND(BH1448=1,BG1448=0,N(AW1448)&lt;Setup!$D$7),(AW1448-40000)*10000+1447,"")</f>
        <v/>
      </c>
      <c r="BM1448">
        <f>IF(AND(BH1448=1,AZ1448&lt;&gt;"Cancelled",N(AW1448)&gt;=Dashboard!$AB$3,N(AW1448)&lt;=Dashboard!$AB$3+6),(AW1448-40000)*100000+BF1448*10000+1447,"")</f>
        <v/>
      </c>
      <c r="BN1448">
        <f>IF(AND(BH1448=1,AZ1448&lt;&gt;"Cancelled"),BF1448*10000+1447,"")</f>
        <v/>
      </c>
    </row>
    <row r="1449">
      <c r="AS1449" t="inlineStr">
        <is>
          <t>R</t>
        </is>
      </c>
      <c r="AT1449" t="n">
        <v>1453</v>
      </c>
      <c r="AU1449">
        <f>'Recurring Log'!C1453&amp;""</f>
        <v/>
      </c>
      <c r="AV1449">
        <f>'Recurring Log'!D1453&amp;""</f>
        <v/>
      </c>
      <c r="AW1449">
        <f>IF('Recurring Log'!E1453="","",'Recurring Log'!E1453)</f>
        <v/>
      </c>
      <c r="AX1449">
        <f>IF('Recurring Log'!G1453="","",'Recurring Log'!G1453)</f>
        <v/>
      </c>
      <c r="AY1449">
        <f>IF('Recurring Log'!H1453="","",'Recurring Log'!H1453)</f>
        <v/>
      </c>
      <c r="AZ1449">
        <f>IF(AU1449="","",IF('Recurring Log'!J1453="","Not Started",'Recurring Log'!J1453))</f>
        <v/>
      </c>
      <c r="BA1449">
        <f>'Recurring Log'!L1453&amp;""</f>
        <v/>
      </c>
      <c r="BB1449">
        <f>'Recurring Log'!M1453&amp;""</f>
        <v/>
      </c>
      <c r="BC1449">
        <f>'Recurring Log'!N1453&amp;""</f>
        <v/>
      </c>
      <c r="BD1449">
        <f>'Recurring Log'!O1453&amp;""</f>
        <v/>
      </c>
      <c r="BE1449">
        <f>IF('Recurring Log'!K1453="","",'Recurring Log'!K1453)</f>
        <v/>
      </c>
      <c r="BF1449">
        <f>IFERROR(MATCH(BA1449,Setup!$L$6:$L$9,0),5)</f>
        <v/>
      </c>
      <c r="BG1449">
        <f>IF(OR(AZ1449="Done",AZ1449="Cancelled"),1,0)</f>
        <v/>
      </c>
      <c r="BH1449">
        <f>IF(AND(AU1449&lt;&gt;"",ISNUMBER(AW1449)),1,0)</f>
        <v/>
      </c>
      <c r="BI1449">
        <f>IF(BH1449=0,0,IF(AND(AW1449&gt;='Tasks Filter'!$F$3,AW1449&lt;='Tasks Filter'!$F$4,OR('Tasks Filter'!$I$3="",ISNUMBER(SEARCH('Tasks Filter'!$I$3,AU1449))),OR('Tasks Filter'!$I$4="",BF1449=IFERROR(MATCH('Tasks Filter'!$I$4,Setup!$L$6:$L$9,0),0)),OR('Tasks Filter'!$I$5="Both",AND('Tasks Filter'!$I$5="Yes",BB1449="✓"),AND('Tasks Filter'!$I$5="No",BB1449&lt;&gt;"✓")),OR('Tasks Filter'!$L$3="",AV1449='Tasks Filter'!$L$3),OR('Tasks Filter'!$L$4="",AZ1449='Tasks Filter'!$L$4),OR('Tasks Filter'!$L$5="",BC1449='Tasks Filter'!$L$5),OR('Tasks Filter'!$O$3="",BD1449='Tasks Filter'!$O$3),OR('Tasks Filter'!$O$4="Yes",BG1449=0)),1,0))</f>
        <v/>
      </c>
      <c r="BJ1449">
        <f>IF(BH1449=0,"",IF('Tasks Filter'!$F$6="Descending",-1,1)*CHOOSE(MATCH('Tasks Filter'!$F$5,Lists!$G$2:$G$6,0),AW1449,BF1449,IFERROR(MATCH(AV1449,Setup!$F$6:$F$15,0),99),IFERROR(MATCH(BC1449,Setup!$H$6:$H$15,0),99),IFERROR(MATCH(AZ1449,Setup!$J$6:$J$11,0),99))*1E+9+(AW1449-40000)*10000+1448)</f>
        <v/>
      </c>
      <c r="BK1449">
        <f>IF(BI1449=1,BJ1449,"")</f>
        <v/>
      </c>
      <c r="BL1449">
        <f>IF(AND(BH1449=1,BG1449=0,N(AW1449)&lt;Setup!$D$7),(AW1449-40000)*10000+1448,"")</f>
        <v/>
      </c>
      <c r="BM1449">
        <f>IF(AND(BH1449=1,AZ1449&lt;&gt;"Cancelled",N(AW1449)&gt;=Dashboard!$AB$3,N(AW1449)&lt;=Dashboard!$AB$3+6),(AW1449-40000)*100000+BF1449*10000+1448,"")</f>
        <v/>
      </c>
      <c r="BN1449">
        <f>IF(AND(BH1449=1,AZ1449&lt;&gt;"Cancelled"),BF1449*10000+1448,"")</f>
        <v/>
      </c>
    </row>
    <row r="1450">
      <c r="AS1450" t="inlineStr">
        <is>
          <t>R</t>
        </is>
      </c>
      <c r="AT1450" t="n">
        <v>1454</v>
      </c>
      <c r="AU1450">
        <f>'Recurring Log'!C1454&amp;""</f>
        <v/>
      </c>
      <c r="AV1450">
        <f>'Recurring Log'!D1454&amp;""</f>
        <v/>
      </c>
      <c r="AW1450">
        <f>IF('Recurring Log'!E1454="","",'Recurring Log'!E1454)</f>
        <v/>
      </c>
      <c r="AX1450">
        <f>IF('Recurring Log'!G1454="","",'Recurring Log'!G1454)</f>
        <v/>
      </c>
      <c r="AY1450">
        <f>IF('Recurring Log'!H1454="","",'Recurring Log'!H1454)</f>
        <v/>
      </c>
      <c r="AZ1450">
        <f>IF(AU1450="","",IF('Recurring Log'!J1454="","Not Started",'Recurring Log'!J1454))</f>
        <v/>
      </c>
      <c r="BA1450">
        <f>'Recurring Log'!L1454&amp;""</f>
        <v/>
      </c>
      <c r="BB1450">
        <f>'Recurring Log'!M1454&amp;""</f>
        <v/>
      </c>
      <c r="BC1450">
        <f>'Recurring Log'!N1454&amp;""</f>
        <v/>
      </c>
      <c r="BD1450">
        <f>'Recurring Log'!O1454&amp;""</f>
        <v/>
      </c>
      <c r="BE1450">
        <f>IF('Recurring Log'!K1454="","",'Recurring Log'!K1454)</f>
        <v/>
      </c>
      <c r="BF1450">
        <f>IFERROR(MATCH(BA1450,Setup!$L$6:$L$9,0),5)</f>
        <v/>
      </c>
      <c r="BG1450">
        <f>IF(OR(AZ1450="Done",AZ1450="Cancelled"),1,0)</f>
        <v/>
      </c>
      <c r="BH1450">
        <f>IF(AND(AU1450&lt;&gt;"",ISNUMBER(AW1450)),1,0)</f>
        <v/>
      </c>
      <c r="BI1450">
        <f>IF(BH1450=0,0,IF(AND(AW1450&gt;='Tasks Filter'!$F$3,AW1450&lt;='Tasks Filter'!$F$4,OR('Tasks Filter'!$I$3="",ISNUMBER(SEARCH('Tasks Filter'!$I$3,AU1450))),OR('Tasks Filter'!$I$4="",BF1450=IFERROR(MATCH('Tasks Filter'!$I$4,Setup!$L$6:$L$9,0),0)),OR('Tasks Filter'!$I$5="Both",AND('Tasks Filter'!$I$5="Yes",BB1450="✓"),AND('Tasks Filter'!$I$5="No",BB1450&lt;&gt;"✓")),OR('Tasks Filter'!$L$3="",AV1450='Tasks Filter'!$L$3),OR('Tasks Filter'!$L$4="",AZ1450='Tasks Filter'!$L$4),OR('Tasks Filter'!$L$5="",BC1450='Tasks Filter'!$L$5),OR('Tasks Filter'!$O$3="",BD1450='Tasks Filter'!$O$3),OR('Tasks Filter'!$O$4="Yes",BG1450=0)),1,0))</f>
        <v/>
      </c>
      <c r="BJ1450">
        <f>IF(BH1450=0,"",IF('Tasks Filter'!$F$6="Descending",-1,1)*CHOOSE(MATCH('Tasks Filter'!$F$5,Lists!$G$2:$G$6,0),AW1450,BF1450,IFERROR(MATCH(AV1450,Setup!$F$6:$F$15,0),99),IFERROR(MATCH(BC1450,Setup!$H$6:$H$15,0),99),IFERROR(MATCH(AZ1450,Setup!$J$6:$J$11,0),99))*1E+9+(AW1450-40000)*10000+1449)</f>
        <v/>
      </c>
      <c r="BK1450">
        <f>IF(BI1450=1,BJ1450,"")</f>
        <v/>
      </c>
      <c r="BL1450">
        <f>IF(AND(BH1450=1,BG1450=0,N(AW1450)&lt;Setup!$D$7),(AW1450-40000)*10000+1449,"")</f>
        <v/>
      </c>
      <c r="BM1450">
        <f>IF(AND(BH1450=1,AZ1450&lt;&gt;"Cancelled",N(AW1450)&gt;=Dashboard!$AB$3,N(AW1450)&lt;=Dashboard!$AB$3+6),(AW1450-40000)*100000+BF1450*10000+1449,"")</f>
        <v/>
      </c>
      <c r="BN1450">
        <f>IF(AND(BH1450=1,AZ1450&lt;&gt;"Cancelled"),BF1450*10000+1449,"")</f>
        <v/>
      </c>
    </row>
    <row r="1451">
      <c r="AS1451" t="inlineStr">
        <is>
          <t>R</t>
        </is>
      </c>
      <c r="AT1451" t="n">
        <v>1455</v>
      </c>
      <c r="AU1451">
        <f>'Recurring Log'!C1455&amp;""</f>
        <v/>
      </c>
      <c r="AV1451">
        <f>'Recurring Log'!D1455&amp;""</f>
        <v/>
      </c>
      <c r="AW1451">
        <f>IF('Recurring Log'!E1455="","",'Recurring Log'!E1455)</f>
        <v/>
      </c>
      <c r="AX1451">
        <f>IF('Recurring Log'!G1455="","",'Recurring Log'!G1455)</f>
        <v/>
      </c>
      <c r="AY1451">
        <f>IF('Recurring Log'!H1455="","",'Recurring Log'!H1455)</f>
        <v/>
      </c>
      <c r="AZ1451">
        <f>IF(AU1451="","",IF('Recurring Log'!J1455="","Not Started",'Recurring Log'!J1455))</f>
        <v/>
      </c>
      <c r="BA1451">
        <f>'Recurring Log'!L1455&amp;""</f>
        <v/>
      </c>
      <c r="BB1451">
        <f>'Recurring Log'!M1455&amp;""</f>
        <v/>
      </c>
      <c r="BC1451">
        <f>'Recurring Log'!N1455&amp;""</f>
        <v/>
      </c>
      <c r="BD1451">
        <f>'Recurring Log'!O1455&amp;""</f>
        <v/>
      </c>
      <c r="BE1451">
        <f>IF('Recurring Log'!K1455="","",'Recurring Log'!K1455)</f>
        <v/>
      </c>
      <c r="BF1451">
        <f>IFERROR(MATCH(BA1451,Setup!$L$6:$L$9,0),5)</f>
        <v/>
      </c>
      <c r="BG1451">
        <f>IF(OR(AZ1451="Done",AZ1451="Cancelled"),1,0)</f>
        <v/>
      </c>
      <c r="BH1451">
        <f>IF(AND(AU1451&lt;&gt;"",ISNUMBER(AW1451)),1,0)</f>
        <v/>
      </c>
      <c r="BI1451">
        <f>IF(BH1451=0,0,IF(AND(AW1451&gt;='Tasks Filter'!$F$3,AW1451&lt;='Tasks Filter'!$F$4,OR('Tasks Filter'!$I$3="",ISNUMBER(SEARCH('Tasks Filter'!$I$3,AU1451))),OR('Tasks Filter'!$I$4="",BF1451=IFERROR(MATCH('Tasks Filter'!$I$4,Setup!$L$6:$L$9,0),0)),OR('Tasks Filter'!$I$5="Both",AND('Tasks Filter'!$I$5="Yes",BB1451="✓"),AND('Tasks Filter'!$I$5="No",BB1451&lt;&gt;"✓")),OR('Tasks Filter'!$L$3="",AV1451='Tasks Filter'!$L$3),OR('Tasks Filter'!$L$4="",AZ1451='Tasks Filter'!$L$4),OR('Tasks Filter'!$L$5="",BC1451='Tasks Filter'!$L$5),OR('Tasks Filter'!$O$3="",BD1451='Tasks Filter'!$O$3),OR('Tasks Filter'!$O$4="Yes",BG1451=0)),1,0))</f>
        <v/>
      </c>
      <c r="BJ1451">
        <f>IF(BH1451=0,"",IF('Tasks Filter'!$F$6="Descending",-1,1)*CHOOSE(MATCH('Tasks Filter'!$F$5,Lists!$G$2:$G$6,0),AW1451,BF1451,IFERROR(MATCH(AV1451,Setup!$F$6:$F$15,0),99),IFERROR(MATCH(BC1451,Setup!$H$6:$H$15,0),99),IFERROR(MATCH(AZ1451,Setup!$J$6:$J$11,0),99))*1E+9+(AW1451-40000)*10000+1450)</f>
        <v/>
      </c>
      <c r="BK1451">
        <f>IF(BI1451=1,BJ1451,"")</f>
        <v/>
      </c>
      <c r="BL1451">
        <f>IF(AND(BH1451=1,BG1451=0,N(AW1451)&lt;Setup!$D$7),(AW1451-40000)*10000+1450,"")</f>
        <v/>
      </c>
      <c r="BM1451">
        <f>IF(AND(BH1451=1,AZ1451&lt;&gt;"Cancelled",N(AW1451)&gt;=Dashboard!$AB$3,N(AW1451)&lt;=Dashboard!$AB$3+6),(AW1451-40000)*100000+BF1451*10000+1450,"")</f>
        <v/>
      </c>
      <c r="BN1451">
        <f>IF(AND(BH1451=1,AZ1451&lt;&gt;"Cancelled"),BF1451*10000+1450,"")</f>
        <v/>
      </c>
    </row>
    <row r="1452">
      <c r="AS1452" t="inlineStr">
        <is>
          <t>R</t>
        </is>
      </c>
      <c r="AT1452" t="n">
        <v>1456</v>
      </c>
      <c r="AU1452">
        <f>'Recurring Log'!C1456&amp;""</f>
        <v/>
      </c>
      <c r="AV1452">
        <f>'Recurring Log'!D1456&amp;""</f>
        <v/>
      </c>
      <c r="AW1452">
        <f>IF('Recurring Log'!E1456="","",'Recurring Log'!E1456)</f>
        <v/>
      </c>
      <c r="AX1452">
        <f>IF('Recurring Log'!G1456="","",'Recurring Log'!G1456)</f>
        <v/>
      </c>
      <c r="AY1452">
        <f>IF('Recurring Log'!H1456="","",'Recurring Log'!H1456)</f>
        <v/>
      </c>
      <c r="AZ1452">
        <f>IF(AU1452="","",IF('Recurring Log'!J1456="","Not Started",'Recurring Log'!J1456))</f>
        <v/>
      </c>
      <c r="BA1452">
        <f>'Recurring Log'!L1456&amp;""</f>
        <v/>
      </c>
      <c r="BB1452">
        <f>'Recurring Log'!M1456&amp;""</f>
        <v/>
      </c>
      <c r="BC1452">
        <f>'Recurring Log'!N1456&amp;""</f>
        <v/>
      </c>
      <c r="BD1452">
        <f>'Recurring Log'!O1456&amp;""</f>
        <v/>
      </c>
      <c r="BE1452">
        <f>IF('Recurring Log'!K1456="","",'Recurring Log'!K1456)</f>
        <v/>
      </c>
      <c r="BF1452">
        <f>IFERROR(MATCH(BA1452,Setup!$L$6:$L$9,0),5)</f>
        <v/>
      </c>
      <c r="BG1452">
        <f>IF(OR(AZ1452="Done",AZ1452="Cancelled"),1,0)</f>
        <v/>
      </c>
      <c r="BH1452">
        <f>IF(AND(AU1452&lt;&gt;"",ISNUMBER(AW1452)),1,0)</f>
        <v/>
      </c>
      <c r="BI1452">
        <f>IF(BH1452=0,0,IF(AND(AW1452&gt;='Tasks Filter'!$F$3,AW1452&lt;='Tasks Filter'!$F$4,OR('Tasks Filter'!$I$3="",ISNUMBER(SEARCH('Tasks Filter'!$I$3,AU1452))),OR('Tasks Filter'!$I$4="",BF1452=IFERROR(MATCH('Tasks Filter'!$I$4,Setup!$L$6:$L$9,0),0)),OR('Tasks Filter'!$I$5="Both",AND('Tasks Filter'!$I$5="Yes",BB1452="✓"),AND('Tasks Filter'!$I$5="No",BB1452&lt;&gt;"✓")),OR('Tasks Filter'!$L$3="",AV1452='Tasks Filter'!$L$3),OR('Tasks Filter'!$L$4="",AZ1452='Tasks Filter'!$L$4),OR('Tasks Filter'!$L$5="",BC1452='Tasks Filter'!$L$5),OR('Tasks Filter'!$O$3="",BD1452='Tasks Filter'!$O$3),OR('Tasks Filter'!$O$4="Yes",BG1452=0)),1,0))</f>
        <v/>
      </c>
      <c r="BJ1452">
        <f>IF(BH1452=0,"",IF('Tasks Filter'!$F$6="Descending",-1,1)*CHOOSE(MATCH('Tasks Filter'!$F$5,Lists!$G$2:$G$6,0),AW1452,BF1452,IFERROR(MATCH(AV1452,Setup!$F$6:$F$15,0),99),IFERROR(MATCH(BC1452,Setup!$H$6:$H$15,0),99),IFERROR(MATCH(AZ1452,Setup!$J$6:$J$11,0),99))*1E+9+(AW1452-40000)*10000+1451)</f>
        <v/>
      </c>
      <c r="BK1452">
        <f>IF(BI1452=1,BJ1452,"")</f>
        <v/>
      </c>
      <c r="BL1452">
        <f>IF(AND(BH1452=1,BG1452=0,N(AW1452)&lt;Setup!$D$7),(AW1452-40000)*10000+1451,"")</f>
        <v/>
      </c>
      <c r="BM1452">
        <f>IF(AND(BH1452=1,AZ1452&lt;&gt;"Cancelled",N(AW1452)&gt;=Dashboard!$AB$3,N(AW1452)&lt;=Dashboard!$AB$3+6),(AW1452-40000)*100000+BF1452*10000+1451,"")</f>
        <v/>
      </c>
      <c r="BN1452">
        <f>IF(AND(BH1452=1,AZ1452&lt;&gt;"Cancelled"),BF1452*10000+1451,"")</f>
        <v/>
      </c>
    </row>
    <row r="1453">
      <c r="AS1453" t="inlineStr">
        <is>
          <t>R</t>
        </is>
      </c>
      <c r="AT1453" t="n">
        <v>1457</v>
      </c>
      <c r="AU1453">
        <f>'Recurring Log'!C1457&amp;""</f>
        <v/>
      </c>
      <c r="AV1453">
        <f>'Recurring Log'!D1457&amp;""</f>
        <v/>
      </c>
      <c r="AW1453">
        <f>IF('Recurring Log'!E1457="","",'Recurring Log'!E1457)</f>
        <v/>
      </c>
      <c r="AX1453">
        <f>IF('Recurring Log'!G1457="","",'Recurring Log'!G1457)</f>
        <v/>
      </c>
      <c r="AY1453">
        <f>IF('Recurring Log'!H1457="","",'Recurring Log'!H1457)</f>
        <v/>
      </c>
      <c r="AZ1453">
        <f>IF(AU1453="","",IF('Recurring Log'!J1457="","Not Started",'Recurring Log'!J1457))</f>
        <v/>
      </c>
      <c r="BA1453">
        <f>'Recurring Log'!L1457&amp;""</f>
        <v/>
      </c>
      <c r="BB1453">
        <f>'Recurring Log'!M1457&amp;""</f>
        <v/>
      </c>
      <c r="BC1453">
        <f>'Recurring Log'!N1457&amp;""</f>
        <v/>
      </c>
      <c r="BD1453">
        <f>'Recurring Log'!O1457&amp;""</f>
        <v/>
      </c>
      <c r="BE1453">
        <f>IF('Recurring Log'!K1457="","",'Recurring Log'!K1457)</f>
        <v/>
      </c>
      <c r="BF1453">
        <f>IFERROR(MATCH(BA1453,Setup!$L$6:$L$9,0),5)</f>
        <v/>
      </c>
      <c r="BG1453">
        <f>IF(OR(AZ1453="Done",AZ1453="Cancelled"),1,0)</f>
        <v/>
      </c>
      <c r="BH1453">
        <f>IF(AND(AU1453&lt;&gt;"",ISNUMBER(AW1453)),1,0)</f>
        <v/>
      </c>
      <c r="BI1453">
        <f>IF(BH1453=0,0,IF(AND(AW1453&gt;='Tasks Filter'!$F$3,AW1453&lt;='Tasks Filter'!$F$4,OR('Tasks Filter'!$I$3="",ISNUMBER(SEARCH('Tasks Filter'!$I$3,AU1453))),OR('Tasks Filter'!$I$4="",BF1453=IFERROR(MATCH('Tasks Filter'!$I$4,Setup!$L$6:$L$9,0),0)),OR('Tasks Filter'!$I$5="Both",AND('Tasks Filter'!$I$5="Yes",BB1453="✓"),AND('Tasks Filter'!$I$5="No",BB1453&lt;&gt;"✓")),OR('Tasks Filter'!$L$3="",AV1453='Tasks Filter'!$L$3),OR('Tasks Filter'!$L$4="",AZ1453='Tasks Filter'!$L$4),OR('Tasks Filter'!$L$5="",BC1453='Tasks Filter'!$L$5),OR('Tasks Filter'!$O$3="",BD1453='Tasks Filter'!$O$3),OR('Tasks Filter'!$O$4="Yes",BG1453=0)),1,0))</f>
        <v/>
      </c>
      <c r="BJ1453">
        <f>IF(BH1453=0,"",IF('Tasks Filter'!$F$6="Descending",-1,1)*CHOOSE(MATCH('Tasks Filter'!$F$5,Lists!$G$2:$G$6,0),AW1453,BF1453,IFERROR(MATCH(AV1453,Setup!$F$6:$F$15,0),99),IFERROR(MATCH(BC1453,Setup!$H$6:$H$15,0),99),IFERROR(MATCH(AZ1453,Setup!$J$6:$J$11,0),99))*1E+9+(AW1453-40000)*10000+1452)</f>
        <v/>
      </c>
      <c r="BK1453">
        <f>IF(BI1453=1,BJ1453,"")</f>
        <v/>
      </c>
      <c r="BL1453">
        <f>IF(AND(BH1453=1,BG1453=0,N(AW1453)&lt;Setup!$D$7),(AW1453-40000)*10000+1452,"")</f>
        <v/>
      </c>
      <c r="BM1453">
        <f>IF(AND(BH1453=1,AZ1453&lt;&gt;"Cancelled",N(AW1453)&gt;=Dashboard!$AB$3,N(AW1453)&lt;=Dashboard!$AB$3+6),(AW1453-40000)*100000+BF1453*10000+1452,"")</f>
        <v/>
      </c>
      <c r="BN1453">
        <f>IF(AND(BH1453=1,AZ1453&lt;&gt;"Cancelled"),BF1453*10000+1452,"")</f>
        <v/>
      </c>
    </row>
    <row r="1454">
      <c r="AS1454" t="inlineStr">
        <is>
          <t>R</t>
        </is>
      </c>
      <c r="AT1454" t="n">
        <v>1458</v>
      </c>
      <c r="AU1454">
        <f>'Recurring Log'!C1458&amp;""</f>
        <v/>
      </c>
      <c r="AV1454">
        <f>'Recurring Log'!D1458&amp;""</f>
        <v/>
      </c>
      <c r="AW1454">
        <f>IF('Recurring Log'!E1458="","",'Recurring Log'!E1458)</f>
        <v/>
      </c>
      <c r="AX1454">
        <f>IF('Recurring Log'!G1458="","",'Recurring Log'!G1458)</f>
        <v/>
      </c>
      <c r="AY1454">
        <f>IF('Recurring Log'!H1458="","",'Recurring Log'!H1458)</f>
        <v/>
      </c>
      <c r="AZ1454">
        <f>IF(AU1454="","",IF('Recurring Log'!J1458="","Not Started",'Recurring Log'!J1458))</f>
        <v/>
      </c>
      <c r="BA1454">
        <f>'Recurring Log'!L1458&amp;""</f>
        <v/>
      </c>
      <c r="BB1454">
        <f>'Recurring Log'!M1458&amp;""</f>
        <v/>
      </c>
      <c r="BC1454">
        <f>'Recurring Log'!N1458&amp;""</f>
        <v/>
      </c>
      <c r="BD1454">
        <f>'Recurring Log'!O1458&amp;""</f>
        <v/>
      </c>
      <c r="BE1454">
        <f>IF('Recurring Log'!K1458="","",'Recurring Log'!K1458)</f>
        <v/>
      </c>
      <c r="BF1454">
        <f>IFERROR(MATCH(BA1454,Setup!$L$6:$L$9,0),5)</f>
        <v/>
      </c>
      <c r="BG1454">
        <f>IF(OR(AZ1454="Done",AZ1454="Cancelled"),1,0)</f>
        <v/>
      </c>
      <c r="BH1454">
        <f>IF(AND(AU1454&lt;&gt;"",ISNUMBER(AW1454)),1,0)</f>
        <v/>
      </c>
      <c r="BI1454">
        <f>IF(BH1454=0,0,IF(AND(AW1454&gt;='Tasks Filter'!$F$3,AW1454&lt;='Tasks Filter'!$F$4,OR('Tasks Filter'!$I$3="",ISNUMBER(SEARCH('Tasks Filter'!$I$3,AU1454))),OR('Tasks Filter'!$I$4="",BF1454=IFERROR(MATCH('Tasks Filter'!$I$4,Setup!$L$6:$L$9,0),0)),OR('Tasks Filter'!$I$5="Both",AND('Tasks Filter'!$I$5="Yes",BB1454="✓"),AND('Tasks Filter'!$I$5="No",BB1454&lt;&gt;"✓")),OR('Tasks Filter'!$L$3="",AV1454='Tasks Filter'!$L$3),OR('Tasks Filter'!$L$4="",AZ1454='Tasks Filter'!$L$4),OR('Tasks Filter'!$L$5="",BC1454='Tasks Filter'!$L$5),OR('Tasks Filter'!$O$3="",BD1454='Tasks Filter'!$O$3),OR('Tasks Filter'!$O$4="Yes",BG1454=0)),1,0))</f>
        <v/>
      </c>
      <c r="BJ1454">
        <f>IF(BH1454=0,"",IF('Tasks Filter'!$F$6="Descending",-1,1)*CHOOSE(MATCH('Tasks Filter'!$F$5,Lists!$G$2:$G$6,0),AW1454,BF1454,IFERROR(MATCH(AV1454,Setup!$F$6:$F$15,0),99),IFERROR(MATCH(BC1454,Setup!$H$6:$H$15,0),99),IFERROR(MATCH(AZ1454,Setup!$J$6:$J$11,0),99))*1E+9+(AW1454-40000)*10000+1453)</f>
        <v/>
      </c>
      <c r="BK1454">
        <f>IF(BI1454=1,BJ1454,"")</f>
        <v/>
      </c>
      <c r="BL1454">
        <f>IF(AND(BH1454=1,BG1454=0,N(AW1454)&lt;Setup!$D$7),(AW1454-40000)*10000+1453,"")</f>
        <v/>
      </c>
      <c r="BM1454">
        <f>IF(AND(BH1454=1,AZ1454&lt;&gt;"Cancelled",N(AW1454)&gt;=Dashboard!$AB$3,N(AW1454)&lt;=Dashboard!$AB$3+6),(AW1454-40000)*100000+BF1454*10000+1453,"")</f>
        <v/>
      </c>
      <c r="BN1454">
        <f>IF(AND(BH1454=1,AZ1454&lt;&gt;"Cancelled"),BF1454*10000+1453,"")</f>
        <v/>
      </c>
    </row>
    <row r="1455">
      <c r="AS1455" t="inlineStr">
        <is>
          <t>R</t>
        </is>
      </c>
      <c r="AT1455" t="n">
        <v>1459</v>
      </c>
      <c r="AU1455">
        <f>'Recurring Log'!C1459&amp;""</f>
        <v/>
      </c>
      <c r="AV1455">
        <f>'Recurring Log'!D1459&amp;""</f>
        <v/>
      </c>
      <c r="AW1455">
        <f>IF('Recurring Log'!E1459="","",'Recurring Log'!E1459)</f>
        <v/>
      </c>
      <c r="AX1455">
        <f>IF('Recurring Log'!G1459="","",'Recurring Log'!G1459)</f>
        <v/>
      </c>
      <c r="AY1455">
        <f>IF('Recurring Log'!H1459="","",'Recurring Log'!H1459)</f>
        <v/>
      </c>
      <c r="AZ1455">
        <f>IF(AU1455="","",IF('Recurring Log'!J1459="","Not Started",'Recurring Log'!J1459))</f>
        <v/>
      </c>
      <c r="BA1455">
        <f>'Recurring Log'!L1459&amp;""</f>
        <v/>
      </c>
      <c r="BB1455">
        <f>'Recurring Log'!M1459&amp;""</f>
        <v/>
      </c>
      <c r="BC1455">
        <f>'Recurring Log'!N1459&amp;""</f>
        <v/>
      </c>
      <c r="BD1455">
        <f>'Recurring Log'!O1459&amp;""</f>
        <v/>
      </c>
      <c r="BE1455">
        <f>IF('Recurring Log'!K1459="","",'Recurring Log'!K1459)</f>
        <v/>
      </c>
      <c r="BF1455">
        <f>IFERROR(MATCH(BA1455,Setup!$L$6:$L$9,0),5)</f>
        <v/>
      </c>
      <c r="BG1455">
        <f>IF(OR(AZ1455="Done",AZ1455="Cancelled"),1,0)</f>
        <v/>
      </c>
      <c r="BH1455">
        <f>IF(AND(AU1455&lt;&gt;"",ISNUMBER(AW1455)),1,0)</f>
        <v/>
      </c>
      <c r="BI1455">
        <f>IF(BH1455=0,0,IF(AND(AW1455&gt;='Tasks Filter'!$F$3,AW1455&lt;='Tasks Filter'!$F$4,OR('Tasks Filter'!$I$3="",ISNUMBER(SEARCH('Tasks Filter'!$I$3,AU1455))),OR('Tasks Filter'!$I$4="",BF1455=IFERROR(MATCH('Tasks Filter'!$I$4,Setup!$L$6:$L$9,0),0)),OR('Tasks Filter'!$I$5="Both",AND('Tasks Filter'!$I$5="Yes",BB1455="✓"),AND('Tasks Filter'!$I$5="No",BB1455&lt;&gt;"✓")),OR('Tasks Filter'!$L$3="",AV1455='Tasks Filter'!$L$3),OR('Tasks Filter'!$L$4="",AZ1455='Tasks Filter'!$L$4),OR('Tasks Filter'!$L$5="",BC1455='Tasks Filter'!$L$5),OR('Tasks Filter'!$O$3="",BD1455='Tasks Filter'!$O$3),OR('Tasks Filter'!$O$4="Yes",BG1455=0)),1,0))</f>
        <v/>
      </c>
      <c r="BJ1455">
        <f>IF(BH1455=0,"",IF('Tasks Filter'!$F$6="Descending",-1,1)*CHOOSE(MATCH('Tasks Filter'!$F$5,Lists!$G$2:$G$6,0),AW1455,BF1455,IFERROR(MATCH(AV1455,Setup!$F$6:$F$15,0),99),IFERROR(MATCH(BC1455,Setup!$H$6:$H$15,0),99),IFERROR(MATCH(AZ1455,Setup!$J$6:$J$11,0),99))*1E+9+(AW1455-40000)*10000+1454)</f>
        <v/>
      </c>
      <c r="BK1455">
        <f>IF(BI1455=1,BJ1455,"")</f>
        <v/>
      </c>
      <c r="BL1455">
        <f>IF(AND(BH1455=1,BG1455=0,N(AW1455)&lt;Setup!$D$7),(AW1455-40000)*10000+1454,"")</f>
        <v/>
      </c>
      <c r="BM1455">
        <f>IF(AND(BH1455=1,AZ1455&lt;&gt;"Cancelled",N(AW1455)&gt;=Dashboard!$AB$3,N(AW1455)&lt;=Dashboard!$AB$3+6),(AW1455-40000)*100000+BF1455*10000+1454,"")</f>
        <v/>
      </c>
      <c r="BN1455">
        <f>IF(AND(BH1455=1,AZ1455&lt;&gt;"Cancelled"),BF1455*10000+1454,"")</f>
        <v/>
      </c>
    </row>
    <row r="1456">
      <c r="AS1456" t="inlineStr">
        <is>
          <t>R</t>
        </is>
      </c>
      <c r="AT1456" t="n">
        <v>1460</v>
      </c>
      <c r="AU1456">
        <f>'Recurring Log'!C1460&amp;""</f>
        <v/>
      </c>
      <c r="AV1456">
        <f>'Recurring Log'!D1460&amp;""</f>
        <v/>
      </c>
      <c r="AW1456">
        <f>IF('Recurring Log'!E1460="","",'Recurring Log'!E1460)</f>
        <v/>
      </c>
      <c r="AX1456">
        <f>IF('Recurring Log'!G1460="","",'Recurring Log'!G1460)</f>
        <v/>
      </c>
      <c r="AY1456">
        <f>IF('Recurring Log'!H1460="","",'Recurring Log'!H1460)</f>
        <v/>
      </c>
      <c r="AZ1456">
        <f>IF(AU1456="","",IF('Recurring Log'!J1460="","Not Started",'Recurring Log'!J1460))</f>
        <v/>
      </c>
      <c r="BA1456">
        <f>'Recurring Log'!L1460&amp;""</f>
        <v/>
      </c>
      <c r="BB1456">
        <f>'Recurring Log'!M1460&amp;""</f>
        <v/>
      </c>
      <c r="BC1456">
        <f>'Recurring Log'!N1460&amp;""</f>
        <v/>
      </c>
      <c r="BD1456">
        <f>'Recurring Log'!O1460&amp;""</f>
        <v/>
      </c>
      <c r="BE1456">
        <f>IF('Recurring Log'!K1460="","",'Recurring Log'!K1460)</f>
        <v/>
      </c>
      <c r="BF1456">
        <f>IFERROR(MATCH(BA1456,Setup!$L$6:$L$9,0),5)</f>
        <v/>
      </c>
      <c r="BG1456">
        <f>IF(OR(AZ1456="Done",AZ1456="Cancelled"),1,0)</f>
        <v/>
      </c>
      <c r="BH1456">
        <f>IF(AND(AU1456&lt;&gt;"",ISNUMBER(AW1456)),1,0)</f>
        <v/>
      </c>
      <c r="BI1456">
        <f>IF(BH1456=0,0,IF(AND(AW1456&gt;='Tasks Filter'!$F$3,AW1456&lt;='Tasks Filter'!$F$4,OR('Tasks Filter'!$I$3="",ISNUMBER(SEARCH('Tasks Filter'!$I$3,AU1456))),OR('Tasks Filter'!$I$4="",BF1456=IFERROR(MATCH('Tasks Filter'!$I$4,Setup!$L$6:$L$9,0),0)),OR('Tasks Filter'!$I$5="Both",AND('Tasks Filter'!$I$5="Yes",BB1456="✓"),AND('Tasks Filter'!$I$5="No",BB1456&lt;&gt;"✓")),OR('Tasks Filter'!$L$3="",AV1456='Tasks Filter'!$L$3),OR('Tasks Filter'!$L$4="",AZ1456='Tasks Filter'!$L$4),OR('Tasks Filter'!$L$5="",BC1456='Tasks Filter'!$L$5),OR('Tasks Filter'!$O$3="",BD1456='Tasks Filter'!$O$3),OR('Tasks Filter'!$O$4="Yes",BG1456=0)),1,0))</f>
        <v/>
      </c>
      <c r="BJ1456">
        <f>IF(BH1456=0,"",IF('Tasks Filter'!$F$6="Descending",-1,1)*CHOOSE(MATCH('Tasks Filter'!$F$5,Lists!$G$2:$G$6,0),AW1456,BF1456,IFERROR(MATCH(AV1456,Setup!$F$6:$F$15,0),99),IFERROR(MATCH(BC1456,Setup!$H$6:$H$15,0),99),IFERROR(MATCH(AZ1456,Setup!$J$6:$J$11,0),99))*1E+9+(AW1456-40000)*10000+1455)</f>
        <v/>
      </c>
      <c r="BK1456">
        <f>IF(BI1456=1,BJ1456,"")</f>
        <v/>
      </c>
      <c r="BL1456">
        <f>IF(AND(BH1456=1,BG1456=0,N(AW1456)&lt;Setup!$D$7),(AW1456-40000)*10000+1455,"")</f>
        <v/>
      </c>
      <c r="BM1456">
        <f>IF(AND(BH1456=1,AZ1456&lt;&gt;"Cancelled",N(AW1456)&gt;=Dashboard!$AB$3,N(AW1456)&lt;=Dashboard!$AB$3+6),(AW1456-40000)*100000+BF1456*10000+1455,"")</f>
        <v/>
      </c>
      <c r="BN1456">
        <f>IF(AND(BH1456=1,AZ1456&lt;&gt;"Cancelled"),BF1456*10000+1455,"")</f>
        <v/>
      </c>
    </row>
    <row r="1457">
      <c r="AS1457" t="inlineStr">
        <is>
          <t>R</t>
        </is>
      </c>
      <c r="AT1457" t="n">
        <v>1461</v>
      </c>
      <c r="AU1457">
        <f>'Recurring Log'!C1461&amp;""</f>
        <v/>
      </c>
      <c r="AV1457">
        <f>'Recurring Log'!D1461&amp;""</f>
        <v/>
      </c>
      <c r="AW1457">
        <f>IF('Recurring Log'!E1461="","",'Recurring Log'!E1461)</f>
        <v/>
      </c>
      <c r="AX1457">
        <f>IF('Recurring Log'!G1461="","",'Recurring Log'!G1461)</f>
        <v/>
      </c>
      <c r="AY1457">
        <f>IF('Recurring Log'!H1461="","",'Recurring Log'!H1461)</f>
        <v/>
      </c>
      <c r="AZ1457">
        <f>IF(AU1457="","",IF('Recurring Log'!J1461="","Not Started",'Recurring Log'!J1461))</f>
        <v/>
      </c>
      <c r="BA1457">
        <f>'Recurring Log'!L1461&amp;""</f>
        <v/>
      </c>
      <c r="BB1457">
        <f>'Recurring Log'!M1461&amp;""</f>
        <v/>
      </c>
      <c r="BC1457">
        <f>'Recurring Log'!N1461&amp;""</f>
        <v/>
      </c>
      <c r="BD1457">
        <f>'Recurring Log'!O1461&amp;""</f>
        <v/>
      </c>
      <c r="BE1457">
        <f>IF('Recurring Log'!K1461="","",'Recurring Log'!K1461)</f>
        <v/>
      </c>
      <c r="BF1457">
        <f>IFERROR(MATCH(BA1457,Setup!$L$6:$L$9,0),5)</f>
        <v/>
      </c>
      <c r="BG1457">
        <f>IF(OR(AZ1457="Done",AZ1457="Cancelled"),1,0)</f>
        <v/>
      </c>
      <c r="BH1457">
        <f>IF(AND(AU1457&lt;&gt;"",ISNUMBER(AW1457)),1,0)</f>
        <v/>
      </c>
      <c r="BI1457">
        <f>IF(BH1457=0,0,IF(AND(AW1457&gt;='Tasks Filter'!$F$3,AW1457&lt;='Tasks Filter'!$F$4,OR('Tasks Filter'!$I$3="",ISNUMBER(SEARCH('Tasks Filter'!$I$3,AU1457))),OR('Tasks Filter'!$I$4="",BF1457=IFERROR(MATCH('Tasks Filter'!$I$4,Setup!$L$6:$L$9,0),0)),OR('Tasks Filter'!$I$5="Both",AND('Tasks Filter'!$I$5="Yes",BB1457="✓"),AND('Tasks Filter'!$I$5="No",BB1457&lt;&gt;"✓")),OR('Tasks Filter'!$L$3="",AV1457='Tasks Filter'!$L$3),OR('Tasks Filter'!$L$4="",AZ1457='Tasks Filter'!$L$4),OR('Tasks Filter'!$L$5="",BC1457='Tasks Filter'!$L$5),OR('Tasks Filter'!$O$3="",BD1457='Tasks Filter'!$O$3),OR('Tasks Filter'!$O$4="Yes",BG1457=0)),1,0))</f>
        <v/>
      </c>
      <c r="BJ1457">
        <f>IF(BH1457=0,"",IF('Tasks Filter'!$F$6="Descending",-1,1)*CHOOSE(MATCH('Tasks Filter'!$F$5,Lists!$G$2:$G$6,0),AW1457,BF1457,IFERROR(MATCH(AV1457,Setup!$F$6:$F$15,0),99),IFERROR(MATCH(BC1457,Setup!$H$6:$H$15,0),99),IFERROR(MATCH(AZ1457,Setup!$J$6:$J$11,0),99))*1E+9+(AW1457-40000)*10000+1456)</f>
        <v/>
      </c>
      <c r="BK1457">
        <f>IF(BI1457=1,BJ1457,"")</f>
        <v/>
      </c>
      <c r="BL1457">
        <f>IF(AND(BH1457=1,BG1457=0,N(AW1457)&lt;Setup!$D$7),(AW1457-40000)*10000+1456,"")</f>
        <v/>
      </c>
      <c r="BM1457">
        <f>IF(AND(BH1457=1,AZ1457&lt;&gt;"Cancelled",N(AW1457)&gt;=Dashboard!$AB$3,N(AW1457)&lt;=Dashboard!$AB$3+6),(AW1457-40000)*100000+BF1457*10000+1456,"")</f>
        <v/>
      </c>
      <c r="BN1457">
        <f>IF(AND(BH1457=1,AZ1457&lt;&gt;"Cancelled"),BF1457*10000+1456,"")</f>
        <v/>
      </c>
    </row>
    <row r="1458">
      <c r="AS1458" t="inlineStr">
        <is>
          <t>R</t>
        </is>
      </c>
      <c r="AT1458" t="n">
        <v>1462</v>
      </c>
      <c r="AU1458">
        <f>'Recurring Log'!C1462&amp;""</f>
        <v/>
      </c>
      <c r="AV1458">
        <f>'Recurring Log'!D1462&amp;""</f>
        <v/>
      </c>
      <c r="AW1458">
        <f>IF('Recurring Log'!E1462="","",'Recurring Log'!E1462)</f>
        <v/>
      </c>
      <c r="AX1458">
        <f>IF('Recurring Log'!G1462="","",'Recurring Log'!G1462)</f>
        <v/>
      </c>
      <c r="AY1458">
        <f>IF('Recurring Log'!H1462="","",'Recurring Log'!H1462)</f>
        <v/>
      </c>
      <c r="AZ1458">
        <f>IF(AU1458="","",IF('Recurring Log'!J1462="","Not Started",'Recurring Log'!J1462))</f>
        <v/>
      </c>
      <c r="BA1458">
        <f>'Recurring Log'!L1462&amp;""</f>
        <v/>
      </c>
      <c r="BB1458">
        <f>'Recurring Log'!M1462&amp;""</f>
        <v/>
      </c>
      <c r="BC1458">
        <f>'Recurring Log'!N1462&amp;""</f>
        <v/>
      </c>
      <c r="BD1458">
        <f>'Recurring Log'!O1462&amp;""</f>
        <v/>
      </c>
      <c r="BE1458">
        <f>IF('Recurring Log'!K1462="","",'Recurring Log'!K1462)</f>
        <v/>
      </c>
      <c r="BF1458">
        <f>IFERROR(MATCH(BA1458,Setup!$L$6:$L$9,0),5)</f>
        <v/>
      </c>
      <c r="BG1458">
        <f>IF(OR(AZ1458="Done",AZ1458="Cancelled"),1,0)</f>
        <v/>
      </c>
      <c r="BH1458">
        <f>IF(AND(AU1458&lt;&gt;"",ISNUMBER(AW1458)),1,0)</f>
        <v/>
      </c>
      <c r="BI1458">
        <f>IF(BH1458=0,0,IF(AND(AW1458&gt;='Tasks Filter'!$F$3,AW1458&lt;='Tasks Filter'!$F$4,OR('Tasks Filter'!$I$3="",ISNUMBER(SEARCH('Tasks Filter'!$I$3,AU1458))),OR('Tasks Filter'!$I$4="",BF1458=IFERROR(MATCH('Tasks Filter'!$I$4,Setup!$L$6:$L$9,0),0)),OR('Tasks Filter'!$I$5="Both",AND('Tasks Filter'!$I$5="Yes",BB1458="✓"),AND('Tasks Filter'!$I$5="No",BB1458&lt;&gt;"✓")),OR('Tasks Filter'!$L$3="",AV1458='Tasks Filter'!$L$3),OR('Tasks Filter'!$L$4="",AZ1458='Tasks Filter'!$L$4),OR('Tasks Filter'!$L$5="",BC1458='Tasks Filter'!$L$5),OR('Tasks Filter'!$O$3="",BD1458='Tasks Filter'!$O$3),OR('Tasks Filter'!$O$4="Yes",BG1458=0)),1,0))</f>
        <v/>
      </c>
      <c r="BJ1458">
        <f>IF(BH1458=0,"",IF('Tasks Filter'!$F$6="Descending",-1,1)*CHOOSE(MATCH('Tasks Filter'!$F$5,Lists!$G$2:$G$6,0),AW1458,BF1458,IFERROR(MATCH(AV1458,Setup!$F$6:$F$15,0),99),IFERROR(MATCH(BC1458,Setup!$H$6:$H$15,0),99),IFERROR(MATCH(AZ1458,Setup!$J$6:$J$11,0),99))*1E+9+(AW1458-40000)*10000+1457)</f>
        <v/>
      </c>
      <c r="BK1458">
        <f>IF(BI1458=1,BJ1458,"")</f>
        <v/>
      </c>
      <c r="BL1458">
        <f>IF(AND(BH1458=1,BG1458=0,N(AW1458)&lt;Setup!$D$7),(AW1458-40000)*10000+1457,"")</f>
        <v/>
      </c>
      <c r="BM1458">
        <f>IF(AND(BH1458=1,AZ1458&lt;&gt;"Cancelled",N(AW1458)&gt;=Dashboard!$AB$3,N(AW1458)&lt;=Dashboard!$AB$3+6),(AW1458-40000)*100000+BF1458*10000+1457,"")</f>
        <v/>
      </c>
      <c r="BN1458">
        <f>IF(AND(BH1458=1,AZ1458&lt;&gt;"Cancelled"),BF1458*10000+1457,"")</f>
        <v/>
      </c>
    </row>
    <row r="1459">
      <c r="AS1459" t="inlineStr">
        <is>
          <t>R</t>
        </is>
      </c>
      <c r="AT1459" t="n">
        <v>1463</v>
      </c>
      <c r="AU1459">
        <f>'Recurring Log'!C1463&amp;""</f>
        <v/>
      </c>
      <c r="AV1459">
        <f>'Recurring Log'!D1463&amp;""</f>
        <v/>
      </c>
      <c r="AW1459">
        <f>IF('Recurring Log'!E1463="","",'Recurring Log'!E1463)</f>
        <v/>
      </c>
      <c r="AX1459">
        <f>IF('Recurring Log'!G1463="","",'Recurring Log'!G1463)</f>
        <v/>
      </c>
      <c r="AY1459">
        <f>IF('Recurring Log'!H1463="","",'Recurring Log'!H1463)</f>
        <v/>
      </c>
      <c r="AZ1459">
        <f>IF(AU1459="","",IF('Recurring Log'!J1463="","Not Started",'Recurring Log'!J1463))</f>
        <v/>
      </c>
      <c r="BA1459">
        <f>'Recurring Log'!L1463&amp;""</f>
        <v/>
      </c>
      <c r="BB1459">
        <f>'Recurring Log'!M1463&amp;""</f>
        <v/>
      </c>
      <c r="BC1459">
        <f>'Recurring Log'!N1463&amp;""</f>
        <v/>
      </c>
      <c r="BD1459">
        <f>'Recurring Log'!O1463&amp;""</f>
        <v/>
      </c>
      <c r="BE1459">
        <f>IF('Recurring Log'!K1463="","",'Recurring Log'!K1463)</f>
        <v/>
      </c>
      <c r="BF1459">
        <f>IFERROR(MATCH(BA1459,Setup!$L$6:$L$9,0),5)</f>
        <v/>
      </c>
      <c r="BG1459">
        <f>IF(OR(AZ1459="Done",AZ1459="Cancelled"),1,0)</f>
        <v/>
      </c>
      <c r="BH1459">
        <f>IF(AND(AU1459&lt;&gt;"",ISNUMBER(AW1459)),1,0)</f>
        <v/>
      </c>
      <c r="BI1459">
        <f>IF(BH1459=0,0,IF(AND(AW1459&gt;='Tasks Filter'!$F$3,AW1459&lt;='Tasks Filter'!$F$4,OR('Tasks Filter'!$I$3="",ISNUMBER(SEARCH('Tasks Filter'!$I$3,AU1459))),OR('Tasks Filter'!$I$4="",BF1459=IFERROR(MATCH('Tasks Filter'!$I$4,Setup!$L$6:$L$9,0),0)),OR('Tasks Filter'!$I$5="Both",AND('Tasks Filter'!$I$5="Yes",BB1459="✓"),AND('Tasks Filter'!$I$5="No",BB1459&lt;&gt;"✓")),OR('Tasks Filter'!$L$3="",AV1459='Tasks Filter'!$L$3),OR('Tasks Filter'!$L$4="",AZ1459='Tasks Filter'!$L$4),OR('Tasks Filter'!$L$5="",BC1459='Tasks Filter'!$L$5),OR('Tasks Filter'!$O$3="",BD1459='Tasks Filter'!$O$3),OR('Tasks Filter'!$O$4="Yes",BG1459=0)),1,0))</f>
        <v/>
      </c>
      <c r="BJ1459">
        <f>IF(BH1459=0,"",IF('Tasks Filter'!$F$6="Descending",-1,1)*CHOOSE(MATCH('Tasks Filter'!$F$5,Lists!$G$2:$G$6,0),AW1459,BF1459,IFERROR(MATCH(AV1459,Setup!$F$6:$F$15,0),99),IFERROR(MATCH(BC1459,Setup!$H$6:$H$15,0),99),IFERROR(MATCH(AZ1459,Setup!$J$6:$J$11,0),99))*1E+9+(AW1459-40000)*10000+1458)</f>
        <v/>
      </c>
      <c r="BK1459">
        <f>IF(BI1459=1,BJ1459,"")</f>
        <v/>
      </c>
      <c r="BL1459">
        <f>IF(AND(BH1459=1,BG1459=0,N(AW1459)&lt;Setup!$D$7),(AW1459-40000)*10000+1458,"")</f>
        <v/>
      </c>
      <c r="BM1459">
        <f>IF(AND(BH1459=1,AZ1459&lt;&gt;"Cancelled",N(AW1459)&gt;=Dashboard!$AB$3,N(AW1459)&lt;=Dashboard!$AB$3+6),(AW1459-40000)*100000+BF1459*10000+1458,"")</f>
        <v/>
      </c>
      <c r="BN1459">
        <f>IF(AND(BH1459=1,AZ1459&lt;&gt;"Cancelled"),BF1459*10000+1458,"")</f>
        <v/>
      </c>
    </row>
    <row r="1460">
      <c r="AS1460" t="inlineStr">
        <is>
          <t>R</t>
        </is>
      </c>
      <c r="AT1460" t="n">
        <v>1464</v>
      </c>
      <c r="AU1460">
        <f>'Recurring Log'!C1464&amp;""</f>
        <v/>
      </c>
      <c r="AV1460">
        <f>'Recurring Log'!D1464&amp;""</f>
        <v/>
      </c>
      <c r="AW1460">
        <f>IF('Recurring Log'!E1464="","",'Recurring Log'!E1464)</f>
        <v/>
      </c>
      <c r="AX1460">
        <f>IF('Recurring Log'!G1464="","",'Recurring Log'!G1464)</f>
        <v/>
      </c>
      <c r="AY1460">
        <f>IF('Recurring Log'!H1464="","",'Recurring Log'!H1464)</f>
        <v/>
      </c>
      <c r="AZ1460">
        <f>IF(AU1460="","",IF('Recurring Log'!J1464="","Not Started",'Recurring Log'!J1464))</f>
        <v/>
      </c>
      <c r="BA1460">
        <f>'Recurring Log'!L1464&amp;""</f>
        <v/>
      </c>
      <c r="BB1460">
        <f>'Recurring Log'!M1464&amp;""</f>
        <v/>
      </c>
      <c r="BC1460">
        <f>'Recurring Log'!N1464&amp;""</f>
        <v/>
      </c>
      <c r="BD1460">
        <f>'Recurring Log'!O1464&amp;""</f>
        <v/>
      </c>
      <c r="BE1460">
        <f>IF('Recurring Log'!K1464="","",'Recurring Log'!K1464)</f>
        <v/>
      </c>
      <c r="BF1460">
        <f>IFERROR(MATCH(BA1460,Setup!$L$6:$L$9,0),5)</f>
        <v/>
      </c>
      <c r="BG1460">
        <f>IF(OR(AZ1460="Done",AZ1460="Cancelled"),1,0)</f>
        <v/>
      </c>
      <c r="BH1460">
        <f>IF(AND(AU1460&lt;&gt;"",ISNUMBER(AW1460)),1,0)</f>
        <v/>
      </c>
      <c r="BI1460">
        <f>IF(BH1460=0,0,IF(AND(AW1460&gt;='Tasks Filter'!$F$3,AW1460&lt;='Tasks Filter'!$F$4,OR('Tasks Filter'!$I$3="",ISNUMBER(SEARCH('Tasks Filter'!$I$3,AU1460))),OR('Tasks Filter'!$I$4="",BF1460=IFERROR(MATCH('Tasks Filter'!$I$4,Setup!$L$6:$L$9,0),0)),OR('Tasks Filter'!$I$5="Both",AND('Tasks Filter'!$I$5="Yes",BB1460="✓"),AND('Tasks Filter'!$I$5="No",BB1460&lt;&gt;"✓")),OR('Tasks Filter'!$L$3="",AV1460='Tasks Filter'!$L$3),OR('Tasks Filter'!$L$4="",AZ1460='Tasks Filter'!$L$4),OR('Tasks Filter'!$L$5="",BC1460='Tasks Filter'!$L$5),OR('Tasks Filter'!$O$3="",BD1460='Tasks Filter'!$O$3),OR('Tasks Filter'!$O$4="Yes",BG1460=0)),1,0))</f>
        <v/>
      </c>
      <c r="BJ1460">
        <f>IF(BH1460=0,"",IF('Tasks Filter'!$F$6="Descending",-1,1)*CHOOSE(MATCH('Tasks Filter'!$F$5,Lists!$G$2:$G$6,0),AW1460,BF1460,IFERROR(MATCH(AV1460,Setup!$F$6:$F$15,0),99),IFERROR(MATCH(BC1460,Setup!$H$6:$H$15,0),99),IFERROR(MATCH(AZ1460,Setup!$J$6:$J$11,0),99))*1E+9+(AW1460-40000)*10000+1459)</f>
        <v/>
      </c>
      <c r="BK1460">
        <f>IF(BI1460=1,BJ1460,"")</f>
        <v/>
      </c>
      <c r="BL1460">
        <f>IF(AND(BH1460=1,BG1460=0,N(AW1460)&lt;Setup!$D$7),(AW1460-40000)*10000+1459,"")</f>
        <v/>
      </c>
      <c r="BM1460">
        <f>IF(AND(BH1460=1,AZ1460&lt;&gt;"Cancelled",N(AW1460)&gt;=Dashboard!$AB$3,N(AW1460)&lt;=Dashboard!$AB$3+6),(AW1460-40000)*100000+BF1460*10000+1459,"")</f>
        <v/>
      </c>
      <c r="BN1460">
        <f>IF(AND(BH1460=1,AZ1460&lt;&gt;"Cancelled"),BF1460*10000+1459,"")</f>
        <v/>
      </c>
    </row>
    <row r="1461">
      <c r="AS1461" t="inlineStr">
        <is>
          <t>R</t>
        </is>
      </c>
      <c r="AT1461" t="n">
        <v>1465</v>
      </c>
      <c r="AU1461">
        <f>'Recurring Log'!C1465&amp;""</f>
        <v/>
      </c>
      <c r="AV1461">
        <f>'Recurring Log'!D1465&amp;""</f>
        <v/>
      </c>
      <c r="AW1461">
        <f>IF('Recurring Log'!E1465="","",'Recurring Log'!E1465)</f>
        <v/>
      </c>
      <c r="AX1461">
        <f>IF('Recurring Log'!G1465="","",'Recurring Log'!G1465)</f>
        <v/>
      </c>
      <c r="AY1461">
        <f>IF('Recurring Log'!H1465="","",'Recurring Log'!H1465)</f>
        <v/>
      </c>
      <c r="AZ1461">
        <f>IF(AU1461="","",IF('Recurring Log'!J1465="","Not Started",'Recurring Log'!J1465))</f>
        <v/>
      </c>
      <c r="BA1461">
        <f>'Recurring Log'!L1465&amp;""</f>
        <v/>
      </c>
      <c r="BB1461">
        <f>'Recurring Log'!M1465&amp;""</f>
        <v/>
      </c>
      <c r="BC1461">
        <f>'Recurring Log'!N1465&amp;""</f>
        <v/>
      </c>
      <c r="BD1461">
        <f>'Recurring Log'!O1465&amp;""</f>
        <v/>
      </c>
      <c r="BE1461">
        <f>IF('Recurring Log'!K1465="","",'Recurring Log'!K1465)</f>
        <v/>
      </c>
      <c r="BF1461">
        <f>IFERROR(MATCH(BA1461,Setup!$L$6:$L$9,0),5)</f>
        <v/>
      </c>
      <c r="BG1461">
        <f>IF(OR(AZ1461="Done",AZ1461="Cancelled"),1,0)</f>
        <v/>
      </c>
      <c r="BH1461">
        <f>IF(AND(AU1461&lt;&gt;"",ISNUMBER(AW1461)),1,0)</f>
        <v/>
      </c>
      <c r="BI1461">
        <f>IF(BH1461=0,0,IF(AND(AW1461&gt;='Tasks Filter'!$F$3,AW1461&lt;='Tasks Filter'!$F$4,OR('Tasks Filter'!$I$3="",ISNUMBER(SEARCH('Tasks Filter'!$I$3,AU1461))),OR('Tasks Filter'!$I$4="",BF1461=IFERROR(MATCH('Tasks Filter'!$I$4,Setup!$L$6:$L$9,0),0)),OR('Tasks Filter'!$I$5="Both",AND('Tasks Filter'!$I$5="Yes",BB1461="✓"),AND('Tasks Filter'!$I$5="No",BB1461&lt;&gt;"✓")),OR('Tasks Filter'!$L$3="",AV1461='Tasks Filter'!$L$3),OR('Tasks Filter'!$L$4="",AZ1461='Tasks Filter'!$L$4),OR('Tasks Filter'!$L$5="",BC1461='Tasks Filter'!$L$5),OR('Tasks Filter'!$O$3="",BD1461='Tasks Filter'!$O$3),OR('Tasks Filter'!$O$4="Yes",BG1461=0)),1,0))</f>
        <v/>
      </c>
      <c r="BJ1461">
        <f>IF(BH1461=0,"",IF('Tasks Filter'!$F$6="Descending",-1,1)*CHOOSE(MATCH('Tasks Filter'!$F$5,Lists!$G$2:$G$6,0),AW1461,BF1461,IFERROR(MATCH(AV1461,Setup!$F$6:$F$15,0),99),IFERROR(MATCH(BC1461,Setup!$H$6:$H$15,0),99),IFERROR(MATCH(AZ1461,Setup!$J$6:$J$11,0),99))*1E+9+(AW1461-40000)*10000+1460)</f>
        <v/>
      </c>
      <c r="BK1461">
        <f>IF(BI1461=1,BJ1461,"")</f>
        <v/>
      </c>
      <c r="BL1461">
        <f>IF(AND(BH1461=1,BG1461=0,N(AW1461)&lt;Setup!$D$7),(AW1461-40000)*10000+1460,"")</f>
        <v/>
      </c>
      <c r="BM1461">
        <f>IF(AND(BH1461=1,AZ1461&lt;&gt;"Cancelled",N(AW1461)&gt;=Dashboard!$AB$3,N(AW1461)&lt;=Dashboard!$AB$3+6),(AW1461-40000)*100000+BF1461*10000+1460,"")</f>
        <v/>
      </c>
      <c r="BN1461">
        <f>IF(AND(BH1461=1,AZ1461&lt;&gt;"Cancelled"),BF1461*10000+1460,"")</f>
        <v/>
      </c>
    </row>
    <row r="1462">
      <c r="AS1462" t="inlineStr">
        <is>
          <t>R</t>
        </is>
      </c>
      <c r="AT1462" t="n">
        <v>1466</v>
      </c>
      <c r="AU1462">
        <f>'Recurring Log'!C1466&amp;""</f>
        <v/>
      </c>
      <c r="AV1462">
        <f>'Recurring Log'!D1466&amp;""</f>
        <v/>
      </c>
      <c r="AW1462">
        <f>IF('Recurring Log'!E1466="","",'Recurring Log'!E1466)</f>
        <v/>
      </c>
      <c r="AX1462">
        <f>IF('Recurring Log'!G1466="","",'Recurring Log'!G1466)</f>
        <v/>
      </c>
      <c r="AY1462">
        <f>IF('Recurring Log'!H1466="","",'Recurring Log'!H1466)</f>
        <v/>
      </c>
      <c r="AZ1462">
        <f>IF(AU1462="","",IF('Recurring Log'!J1466="","Not Started",'Recurring Log'!J1466))</f>
        <v/>
      </c>
      <c r="BA1462">
        <f>'Recurring Log'!L1466&amp;""</f>
        <v/>
      </c>
      <c r="BB1462">
        <f>'Recurring Log'!M1466&amp;""</f>
        <v/>
      </c>
      <c r="BC1462">
        <f>'Recurring Log'!N1466&amp;""</f>
        <v/>
      </c>
      <c r="BD1462">
        <f>'Recurring Log'!O1466&amp;""</f>
        <v/>
      </c>
      <c r="BE1462">
        <f>IF('Recurring Log'!K1466="","",'Recurring Log'!K1466)</f>
        <v/>
      </c>
      <c r="BF1462">
        <f>IFERROR(MATCH(BA1462,Setup!$L$6:$L$9,0),5)</f>
        <v/>
      </c>
      <c r="BG1462">
        <f>IF(OR(AZ1462="Done",AZ1462="Cancelled"),1,0)</f>
        <v/>
      </c>
      <c r="BH1462">
        <f>IF(AND(AU1462&lt;&gt;"",ISNUMBER(AW1462)),1,0)</f>
        <v/>
      </c>
      <c r="BI1462">
        <f>IF(BH1462=0,0,IF(AND(AW1462&gt;='Tasks Filter'!$F$3,AW1462&lt;='Tasks Filter'!$F$4,OR('Tasks Filter'!$I$3="",ISNUMBER(SEARCH('Tasks Filter'!$I$3,AU1462))),OR('Tasks Filter'!$I$4="",BF1462=IFERROR(MATCH('Tasks Filter'!$I$4,Setup!$L$6:$L$9,0),0)),OR('Tasks Filter'!$I$5="Both",AND('Tasks Filter'!$I$5="Yes",BB1462="✓"),AND('Tasks Filter'!$I$5="No",BB1462&lt;&gt;"✓")),OR('Tasks Filter'!$L$3="",AV1462='Tasks Filter'!$L$3),OR('Tasks Filter'!$L$4="",AZ1462='Tasks Filter'!$L$4),OR('Tasks Filter'!$L$5="",BC1462='Tasks Filter'!$L$5),OR('Tasks Filter'!$O$3="",BD1462='Tasks Filter'!$O$3),OR('Tasks Filter'!$O$4="Yes",BG1462=0)),1,0))</f>
        <v/>
      </c>
      <c r="BJ1462">
        <f>IF(BH1462=0,"",IF('Tasks Filter'!$F$6="Descending",-1,1)*CHOOSE(MATCH('Tasks Filter'!$F$5,Lists!$G$2:$G$6,0),AW1462,BF1462,IFERROR(MATCH(AV1462,Setup!$F$6:$F$15,0),99),IFERROR(MATCH(BC1462,Setup!$H$6:$H$15,0),99),IFERROR(MATCH(AZ1462,Setup!$J$6:$J$11,0),99))*1E+9+(AW1462-40000)*10000+1461)</f>
        <v/>
      </c>
      <c r="BK1462">
        <f>IF(BI1462=1,BJ1462,"")</f>
        <v/>
      </c>
      <c r="BL1462">
        <f>IF(AND(BH1462=1,BG1462=0,N(AW1462)&lt;Setup!$D$7),(AW1462-40000)*10000+1461,"")</f>
        <v/>
      </c>
      <c r="BM1462">
        <f>IF(AND(BH1462=1,AZ1462&lt;&gt;"Cancelled",N(AW1462)&gt;=Dashboard!$AB$3,N(AW1462)&lt;=Dashboard!$AB$3+6),(AW1462-40000)*100000+BF1462*10000+1461,"")</f>
        <v/>
      </c>
      <c r="BN1462">
        <f>IF(AND(BH1462=1,AZ1462&lt;&gt;"Cancelled"),BF1462*10000+1461,"")</f>
        <v/>
      </c>
    </row>
    <row r="1463">
      <c r="AS1463" t="inlineStr">
        <is>
          <t>R</t>
        </is>
      </c>
      <c r="AT1463" t="n">
        <v>1467</v>
      </c>
      <c r="AU1463">
        <f>'Recurring Log'!C1467&amp;""</f>
        <v/>
      </c>
      <c r="AV1463">
        <f>'Recurring Log'!D1467&amp;""</f>
        <v/>
      </c>
      <c r="AW1463">
        <f>IF('Recurring Log'!E1467="","",'Recurring Log'!E1467)</f>
        <v/>
      </c>
      <c r="AX1463">
        <f>IF('Recurring Log'!G1467="","",'Recurring Log'!G1467)</f>
        <v/>
      </c>
      <c r="AY1463">
        <f>IF('Recurring Log'!H1467="","",'Recurring Log'!H1467)</f>
        <v/>
      </c>
      <c r="AZ1463">
        <f>IF(AU1463="","",IF('Recurring Log'!J1467="","Not Started",'Recurring Log'!J1467))</f>
        <v/>
      </c>
      <c r="BA1463">
        <f>'Recurring Log'!L1467&amp;""</f>
        <v/>
      </c>
      <c r="BB1463">
        <f>'Recurring Log'!M1467&amp;""</f>
        <v/>
      </c>
      <c r="BC1463">
        <f>'Recurring Log'!N1467&amp;""</f>
        <v/>
      </c>
      <c r="BD1463">
        <f>'Recurring Log'!O1467&amp;""</f>
        <v/>
      </c>
      <c r="BE1463">
        <f>IF('Recurring Log'!K1467="","",'Recurring Log'!K1467)</f>
        <v/>
      </c>
      <c r="BF1463">
        <f>IFERROR(MATCH(BA1463,Setup!$L$6:$L$9,0),5)</f>
        <v/>
      </c>
      <c r="BG1463">
        <f>IF(OR(AZ1463="Done",AZ1463="Cancelled"),1,0)</f>
        <v/>
      </c>
      <c r="BH1463">
        <f>IF(AND(AU1463&lt;&gt;"",ISNUMBER(AW1463)),1,0)</f>
        <v/>
      </c>
      <c r="BI1463">
        <f>IF(BH1463=0,0,IF(AND(AW1463&gt;='Tasks Filter'!$F$3,AW1463&lt;='Tasks Filter'!$F$4,OR('Tasks Filter'!$I$3="",ISNUMBER(SEARCH('Tasks Filter'!$I$3,AU1463))),OR('Tasks Filter'!$I$4="",BF1463=IFERROR(MATCH('Tasks Filter'!$I$4,Setup!$L$6:$L$9,0),0)),OR('Tasks Filter'!$I$5="Both",AND('Tasks Filter'!$I$5="Yes",BB1463="✓"),AND('Tasks Filter'!$I$5="No",BB1463&lt;&gt;"✓")),OR('Tasks Filter'!$L$3="",AV1463='Tasks Filter'!$L$3),OR('Tasks Filter'!$L$4="",AZ1463='Tasks Filter'!$L$4),OR('Tasks Filter'!$L$5="",BC1463='Tasks Filter'!$L$5),OR('Tasks Filter'!$O$3="",BD1463='Tasks Filter'!$O$3),OR('Tasks Filter'!$O$4="Yes",BG1463=0)),1,0))</f>
        <v/>
      </c>
      <c r="BJ1463">
        <f>IF(BH1463=0,"",IF('Tasks Filter'!$F$6="Descending",-1,1)*CHOOSE(MATCH('Tasks Filter'!$F$5,Lists!$G$2:$G$6,0),AW1463,BF1463,IFERROR(MATCH(AV1463,Setup!$F$6:$F$15,0),99),IFERROR(MATCH(BC1463,Setup!$H$6:$H$15,0),99),IFERROR(MATCH(AZ1463,Setup!$J$6:$J$11,0),99))*1E+9+(AW1463-40000)*10000+1462)</f>
        <v/>
      </c>
      <c r="BK1463">
        <f>IF(BI1463=1,BJ1463,"")</f>
        <v/>
      </c>
      <c r="BL1463">
        <f>IF(AND(BH1463=1,BG1463=0,N(AW1463)&lt;Setup!$D$7),(AW1463-40000)*10000+1462,"")</f>
        <v/>
      </c>
      <c r="BM1463">
        <f>IF(AND(BH1463=1,AZ1463&lt;&gt;"Cancelled",N(AW1463)&gt;=Dashboard!$AB$3,N(AW1463)&lt;=Dashboard!$AB$3+6),(AW1463-40000)*100000+BF1463*10000+1462,"")</f>
        <v/>
      </c>
      <c r="BN1463">
        <f>IF(AND(BH1463=1,AZ1463&lt;&gt;"Cancelled"),BF1463*10000+1462,"")</f>
        <v/>
      </c>
    </row>
    <row r="1464">
      <c r="AS1464" t="inlineStr">
        <is>
          <t>R</t>
        </is>
      </c>
      <c r="AT1464" t="n">
        <v>1468</v>
      </c>
      <c r="AU1464">
        <f>'Recurring Log'!C1468&amp;""</f>
        <v/>
      </c>
      <c r="AV1464">
        <f>'Recurring Log'!D1468&amp;""</f>
        <v/>
      </c>
      <c r="AW1464">
        <f>IF('Recurring Log'!E1468="","",'Recurring Log'!E1468)</f>
        <v/>
      </c>
      <c r="AX1464">
        <f>IF('Recurring Log'!G1468="","",'Recurring Log'!G1468)</f>
        <v/>
      </c>
      <c r="AY1464">
        <f>IF('Recurring Log'!H1468="","",'Recurring Log'!H1468)</f>
        <v/>
      </c>
      <c r="AZ1464">
        <f>IF(AU1464="","",IF('Recurring Log'!J1468="","Not Started",'Recurring Log'!J1468))</f>
        <v/>
      </c>
      <c r="BA1464">
        <f>'Recurring Log'!L1468&amp;""</f>
        <v/>
      </c>
      <c r="BB1464">
        <f>'Recurring Log'!M1468&amp;""</f>
        <v/>
      </c>
      <c r="BC1464">
        <f>'Recurring Log'!N1468&amp;""</f>
        <v/>
      </c>
      <c r="BD1464">
        <f>'Recurring Log'!O1468&amp;""</f>
        <v/>
      </c>
      <c r="BE1464">
        <f>IF('Recurring Log'!K1468="","",'Recurring Log'!K1468)</f>
        <v/>
      </c>
      <c r="BF1464">
        <f>IFERROR(MATCH(BA1464,Setup!$L$6:$L$9,0),5)</f>
        <v/>
      </c>
      <c r="BG1464">
        <f>IF(OR(AZ1464="Done",AZ1464="Cancelled"),1,0)</f>
        <v/>
      </c>
      <c r="BH1464">
        <f>IF(AND(AU1464&lt;&gt;"",ISNUMBER(AW1464)),1,0)</f>
        <v/>
      </c>
      <c r="BI1464">
        <f>IF(BH1464=0,0,IF(AND(AW1464&gt;='Tasks Filter'!$F$3,AW1464&lt;='Tasks Filter'!$F$4,OR('Tasks Filter'!$I$3="",ISNUMBER(SEARCH('Tasks Filter'!$I$3,AU1464))),OR('Tasks Filter'!$I$4="",BF1464=IFERROR(MATCH('Tasks Filter'!$I$4,Setup!$L$6:$L$9,0),0)),OR('Tasks Filter'!$I$5="Both",AND('Tasks Filter'!$I$5="Yes",BB1464="✓"),AND('Tasks Filter'!$I$5="No",BB1464&lt;&gt;"✓")),OR('Tasks Filter'!$L$3="",AV1464='Tasks Filter'!$L$3),OR('Tasks Filter'!$L$4="",AZ1464='Tasks Filter'!$L$4),OR('Tasks Filter'!$L$5="",BC1464='Tasks Filter'!$L$5),OR('Tasks Filter'!$O$3="",BD1464='Tasks Filter'!$O$3),OR('Tasks Filter'!$O$4="Yes",BG1464=0)),1,0))</f>
        <v/>
      </c>
      <c r="BJ1464">
        <f>IF(BH1464=0,"",IF('Tasks Filter'!$F$6="Descending",-1,1)*CHOOSE(MATCH('Tasks Filter'!$F$5,Lists!$G$2:$G$6,0),AW1464,BF1464,IFERROR(MATCH(AV1464,Setup!$F$6:$F$15,0),99),IFERROR(MATCH(BC1464,Setup!$H$6:$H$15,0),99),IFERROR(MATCH(AZ1464,Setup!$J$6:$J$11,0),99))*1E+9+(AW1464-40000)*10000+1463)</f>
        <v/>
      </c>
      <c r="BK1464">
        <f>IF(BI1464=1,BJ1464,"")</f>
        <v/>
      </c>
      <c r="BL1464">
        <f>IF(AND(BH1464=1,BG1464=0,N(AW1464)&lt;Setup!$D$7),(AW1464-40000)*10000+1463,"")</f>
        <v/>
      </c>
      <c r="BM1464">
        <f>IF(AND(BH1464=1,AZ1464&lt;&gt;"Cancelled",N(AW1464)&gt;=Dashboard!$AB$3,N(AW1464)&lt;=Dashboard!$AB$3+6),(AW1464-40000)*100000+BF1464*10000+1463,"")</f>
        <v/>
      </c>
      <c r="BN1464">
        <f>IF(AND(BH1464=1,AZ1464&lt;&gt;"Cancelled"),BF1464*10000+1463,"")</f>
        <v/>
      </c>
    </row>
    <row r="1465">
      <c r="AS1465" t="inlineStr">
        <is>
          <t>R</t>
        </is>
      </c>
      <c r="AT1465" t="n">
        <v>1469</v>
      </c>
      <c r="AU1465">
        <f>'Recurring Log'!C1469&amp;""</f>
        <v/>
      </c>
      <c r="AV1465">
        <f>'Recurring Log'!D1469&amp;""</f>
        <v/>
      </c>
      <c r="AW1465">
        <f>IF('Recurring Log'!E1469="","",'Recurring Log'!E1469)</f>
        <v/>
      </c>
      <c r="AX1465">
        <f>IF('Recurring Log'!G1469="","",'Recurring Log'!G1469)</f>
        <v/>
      </c>
      <c r="AY1465">
        <f>IF('Recurring Log'!H1469="","",'Recurring Log'!H1469)</f>
        <v/>
      </c>
      <c r="AZ1465">
        <f>IF(AU1465="","",IF('Recurring Log'!J1469="","Not Started",'Recurring Log'!J1469))</f>
        <v/>
      </c>
      <c r="BA1465">
        <f>'Recurring Log'!L1469&amp;""</f>
        <v/>
      </c>
      <c r="BB1465">
        <f>'Recurring Log'!M1469&amp;""</f>
        <v/>
      </c>
      <c r="BC1465">
        <f>'Recurring Log'!N1469&amp;""</f>
        <v/>
      </c>
      <c r="BD1465">
        <f>'Recurring Log'!O1469&amp;""</f>
        <v/>
      </c>
      <c r="BE1465">
        <f>IF('Recurring Log'!K1469="","",'Recurring Log'!K1469)</f>
        <v/>
      </c>
      <c r="BF1465">
        <f>IFERROR(MATCH(BA1465,Setup!$L$6:$L$9,0),5)</f>
        <v/>
      </c>
      <c r="BG1465">
        <f>IF(OR(AZ1465="Done",AZ1465="Cancelled"),1,0)</f>
        <v/>
      </c>
      <c r="BH1465">
        <f>IF(AND(AU1465&lt;&gt;"",ISNUMBER(AW1465)),1,0)</f>
        <v/>
      </c>
      <c r="BI1465">
        <f>IF(BH1465=0,0,IF(AND(AW1465&gt;='Tasks Filter'!$F$3,AW1465&lt;='Tasks Filter'!$F$4,OR('Tasks Filter'!$I$3="",ISNUMBER(SEARCH('Tasks Filter'!$I$3,AU1465))),OR('Tasks Filter'!$I$4="",BF1465=IFERROR(MATCH('Tasks Filter'!$I$4,Setup!$L$6:$L$9,0),0)),OR('Tasks Filter'!$I$5="Both",AND('Tasks Filter'!$I$5="Yes",BB1465="✓"),AND('Tasks Filter'!$I$5="No",BB1465&lt;&gt;"✓")),OR('Tasks Filter'!$L$3="",AV1465='Tasks Filter'!$L$3),OR('Tasks Filter'!$L$4="",AZ1465='Tasks Filter'!$L$4),OR('Tasks Filter'!$L$5="",BC1465='Tasks Filter'!$L$5),OR('Tasks Filter'!$O$3="",BD1465='Tasks Filter'!$O$3),OR('Tasks Filter'!$O$4="Yes",BG1465=0)),1,0))</f>
        <v/>
      </c>
      <c r="BJ1465">
        <f>IF(BH1465=0,"",IF('Tasks Filter'!$F$6="Descending",-1,1)*CHOOSE(MATCH('Tasks Filter'!$F$5,Lists!$G$2:$G$6,0),AW1465,BF1465,IFERROR(MATCH(AV1465,Setup!$F$6:$F$15,0),99),IFERROR(MATCH(BC1465,Setup!$H$6:$H$15,0),99),IFERROR(MATCH(AZ1465,Setup!$J$6:$J$11,0),99))*1E+9+(AW1465-40000)*10000+1464)</f>
        <v/>
      </c>
      <c r="BK1465">
        <f>IF(BI1465=1,BJ1465,"")</f>
        <v/>
      </c>
      <c r="BL1465">
        <f>IF(AND(BH1465=1,BG1465=0,N(AW1465)&lt;Setup!$D$7),(AW1465-40000)*10000+1464,"")</f>
        <v/>
      </c>
      <c r="BM1465">
        <f>IF(AND(BH1465=1,AZ1465&lt;&gt;"Cancelled",N(AW1465)&gt;=Dashboard!$AB$3,N(AW1465)&lt;=Dashboard!$AB$3+6),(AW1465-40000)*100000+BF1465*10000+1464,"")</f>
        <v/>
      </c>
      <c r="BN1465">
        <f>IF(AND(BH1465=1,AZ1465&lt;&gt;"Cancelled"),BF1465*10000+1464,"")</f>
        <v/>
      </c>
    </row>
    <row r="1466">
      <c r="AS1466" t="inlineStr">
        <is>
          <t>R</t>
        </is>
      </c>
      <c r="AT1466" t="n">
        <v>1470</v>
      </c>
      <c r="AU1466">
        <f>'Recurring Log'!C1470&amp;""</f>
        <v/>
      </c>
      <c r="AV1466">
        <f>'Recurring Log'!D1470&amp;""</f>
        <v/>
      </c>
      <c r="AW1466">
        <f>IF('Recurring Log'!E1470="","",'Recurring Log'!E1470)</f>
        <v/>
      </c>
      <c r="AX1466">
        <f>IF('Recurring Log'!G1470="","",'Recurring Log'!G1470)</f>
        <v/>
      </c>
      <c r="AY1466">
        <f>IF('Recurring Log'!H1470="","",'Recurring Log'!H1470)</f>
        <v/>
      </c>
      <c r="AZ1466">
        <f>IF(AU1466="","",IF('Recurring Log'!J1470="","Not Started",'Recurring Log'!J1470))</f>
        <v/>
      </c>
      <c r="BA1466">
        <f>'Recurring Log'!L1470&amp;""</f>
        <v/>
      </c>
      <c r="BB1466">
        <f>'Recurring Log'!M1470&amp;""</f>
        <v/>
      </c>
      <c r="BC1466">
        <f>'Recurring Log'!N1470&amp;""</f>
        <v/>
      </c>
      <c r="BD1466">
        <f>'Recurring Log'!O1470&amp;""</f>
        <v/>
      </c>
      <c r="BE1466">
        <f>IF('Recurring Log'!K1470="","",'Recurring Log'!K1470)</f>
        <v/>
      </c>
      <c r="BF1466">
        <f>IFERROR(MATCH(BA1466,Setup!$L$6:$L$9,0),5)</f>
        <v/>
      </c>
      <c r="BG1466">
        <f>IF(OR(AZ1466="Done",AZ1466="Cancelled"),1,0)</f>
        <v/>
      </c>
      <c r="BH1466">
        <f>IF(AND(AU1466&lt;&gt;"",ISNUMBER(AW1466)),1,0)</f>
        <v/>
      </c>
      <c r="BI1466">
        <f>IF(BH1466=0,0,IF(AND(AW1466&gt;='Tasks Filter'!$F$3,AW1466&lt;='Tasks Filter'!$F$4,OR('Tasks Filter'!$I$3="",ISNUMBER(SEARCH('Tasks Filter'!$I$3,AU1466))),OR('Tasks Filter'!$I$4="",BF1466=IFERROR(MATCH('Tasks Filter'!$I$4,Setup!$L$6:$L$9,0),0)),OR('Tasks Filter'!$I$5="Both",AND('Tasks Filter'!$I$5="Yes",BB1466="✓"),AND('Tasks Filter'!$I$5="No",BB1466&lt;&gt;"✓")),OR('Tasks Filter'!$L$3="",AV1466='Tasks Filter'!$L$3),OR('Tasks Filter'!$L$4="",AZ1466='Tasks Filter'!$L$4),OR('Tasks Filter'!$L$5="",BC1466='Tasks Filter'!$L$5),OR('Tasks Filter'!$O$3="",BD1466='Tasks Filter'!$O$3),OR('Tasks Filter'!$O$4="Yes",BG1466=0)),1,0))</f>
        <v/>
      </c>
      <c r="BJ1466">
        <f>IF(BH1466=0,"",IF('Tasks Filter'!$F$6="Descending",-1,1)*CHOOSE(MATCH('Tasks Filter'!$F$5,Lists!$G$2:$G$6,0),AW1466,BF1466,IFERROR(MATCH(AV1466,Setup!$F$6:$F$15,0),99),IFERROR(MATCH(BC1466,Setup!$H$6:$H$15,0),99),IFERROR(MATCH(AZ1466,Setup!$J$6:$J$11,0),99))*1E+9+(AW1466-40000)*10000+1465)</f>
        <v/>
      </c>
      <c r="BK1466">
        <f>IF(BI1466=1,BJ1466,"")</f>
        <v/>
      </c>
      <c r="BL1466">
        <f>IF(AND(BH1466=1,BG1466=0,N(AW1466)&lt;Setup!$D$7),(AW1466-40000)*10000+1465,"")</f>
        <v/>
      </c>
      <c r="BM1466">
        <f>IF(AND(BH1466=1,AZ1466&lt;&gt;"Cancelled",N(AW1466)&gt;=Dashboard!$AB$3,N(AW1466)&lt;=Dashboard!$AB$3+6),(AW1466-40000)*100000+BF1466*10000+1465,"")</f>
        <v/>
      </c>
      <c r="BN1466">
        <f>IF(AND(BH1466=1,AZ1466&lt;&gt;"Cancelled"),BF1466*10000+1465,"")</f>
        <v/>
      </c>
    </row>
    <row r="1467">
      <c r="AS1467" t="inlineStr">
        <is>
          <t>R</t>
        </is>
      </c>
      <c r="AT1467" t="n">
        <v>1471</v>
      </c>
      <c r="AU1467">
        <f>'Recurring Log'!C1471&amp;""</f>
        <v/>
      </c>
      <c r="AV1467">
        <f>'Recurring Log'!D1471&amp;""</f>
        <v/>
      </c>
      <c r="AW1467">
        <f>IF('Recurring Log'!E1471="","",'Recurring Log'!E1471)</f>
        <v/>
      </c>
      <c r="AX1467">
        <f>IF('Recurring Log'!G1471="","",'Recurring Log'!G1471)</f>
        <v/>
      </c>
      <c r="AY1467">
        <f>IF('Recurring Log'!H1471="","",'Recurring Log'!H1471)</f>
        <v/>
      </c>
      <c r="AZ1467">
        <f>IF(AU1467="","",IF('Recurring Log'!J1471="","Not Started",'Recurring Log'!J1471))</f>
        <v/>
      </c>
      <c r="BA1467">
        <f>'Recurring Log'!L1471&amp;""</f>
        <v/>
      </c>
      <c r="BB1467">
        <f>'Recurring Log'!M1471&amp;""</f>
        <v/>
      </c>
      <c r="BC1467">
        <f>'Recurring Log'!N1471&amp;""</f>
        <v/>
      </c>
      <c r="BD1467">
        <f>'Recurring Log'!O1471&amp;""</f>
        <v/>
      </c>
      <c r="BE1467">
        <f>IF('Recurring Log'!K1471="","",'Recurring Log'!K1471)</f>
        <v/>
      </c>
      <c r="BF1467">
        <f>IFERROR(MATCH(BA1467,Setup!$L$6:$L$9,0),5)</f>
        <v/>
      </c>
      <c r="BG1467">
        <f>IF(OR(AZ1467="Done",AZ1467="Cancelled"),1,0)</f>
        <v/>
      </c>
      <c r="BH1467">
        <f>IF(AND(AU1467&lt;&gt;"",ISNUMBER(AW1467)),1,0)</f>
        <v/>
      </c>
      <c r="BI1467">
        <f>IF(BH1467=0,0,IF(AND(AW1467&gt;='Tasks Filter'!$F$3,AW1467&lt;='Tasks Filter'!$F$4,OR('Tasks Filter'!$I$3="",ISNUMBER(SEARCH('Tasks Filter'!$I$3,AU1467))),OR('Tasks Filter'!$I$4="",BF1467=IFERROR(MATCH('Tasks Filter'!$I$4,Setup!$L$6:$L$9,0),0)),OR('Tasks Filter'!$I$5="Both",AND('Tasks Filter'!$I$5="Yes",BB1467="✓"),AND('Tasks Filter'!$I$5="No",BB1467&lt;&gt;"✓")),OR('Tasks Filter'!$L$3="",AV1467='Tasks Filter'!$L$3),OR('Tasks Filter'!$L$4="",AZ1467='Tasks Filter'!$L$4),OR('Tasks Filter'!$L$5="",BC1467='Tasks Filter'!$L$5),OR('Tasks Filter'!$O$3="",BD1467='Tasks Filter'!$O$3),OR('Tasks Filter'!$O$4="Yes",BG1467=0)),1,0))</f>
        <v/>
      </c>
      <c r="BJ1467">
        <f>IF(BH1467=0,"",IF('Tasks Filter'!$F$6="Descending",-1,1)*CHOOSE(MATCH('Tasks Filter'!$F$5,Lists!$G$2:$G$6,0),AW1467,BF1467,IFERROR(MATCH(AV1467,Setup!$F$6:$F$15,0),99),IFERROR(MATCH(BC1467,Setup!$H$6:$H$15,0),99),IFERROR(MATCH(AZ1467,Setup!$J$6:$J$11,0),99))*1E+9+(AW1467-40000)*10000+1466)</f>
        <v/>
      </c>
      <c r="BK1467">
        <f>IF(BI1467=1,BJ1467,"")</f>
        <v/>
      </c>
      <c r="BL1467">
        <f>IF(AND(BH1467=1,BG1467=0,N(AW1467)&lt;Setup!$D$7),(AW1467-40000)*10000+1466,"")</f>
        <v/>
      </c>
      <c r="BM1467">
        <f>IF(AND(BH1467=1,AZ1467&lt;&gt;"Cancelled",N(AW1467)&gt;=Dashboard!$AB$3,N(AW1467)&lt;=Dashboard!$AB$3+6),(AW1467-40000)*100000+BF1467*10000+1466,"")</f>
        <v/>
      </c>
      <c r="BN1467">
        <f>IF(AND(BH1467=1,AZ1467&lt;&gt;"Cancelled"),BF1467*10000+1466,"")</f>
        <v/>
      </c>
    </row>
    <row r="1468">
      <c r="AS1468" t="inlineStr">
        <is>
          <t>R</t>
        </is>
      </c>
      <c r="AT1468" t="n">
        <v>1472</v>
      </c>
      <c r="AU1468">
        <f>'Recurring Log'!C1472&amp;""</f>
        <v/>
      </c>
      <c r="AV1468">
        <f>'Recurring Log'!D1472&amp;""</f>
        <v/>
      </c>
      <c r="AW1468">
        <f>IF('Recurring Log'!E1472="","",'Recurring Log'!E1472)</f>
        <v/>
      </c>
      <c r="AX1468">
        <f>IF('Recurring Log'!G1472="","",'Recurring Log'!G1472)</f>
        <v/>
      </c>
      <c r="AY1468">
        <f>IF('Recurring Log'!H1472="","",'Recurring Log'!H1472)</f>
        <v/>
      </c>
      <c r="AZ1468">
        <f>IF(AU1468="","",IF('Recurring Log'!J1472="","Not Started",'Recurring Log'!J1472))</f>
        <v/>
      </c>
      <c r="BA1468">
        <f>'Recurring Log'!L1472&amp;""</f>
        <v/>
      </c>
      <c r="BB1468">
        <f>'Recurring Log'!M1472&amp;""</f>
        <v/>
      </c>
      <c r="BC1468">
        <f>'Recurring Log'!N1472&amp;""</f>
        <v/>
      </c>
      <c r="BD1468">
        <f>'Recurring Log'!O1472&amp;""</f>
        <v/>
      </c>
      <c r="BE1468">
        <f>IF('Recurring Log'!K1472="","",'Recurring Log'!K1472)</f>
        <v/>
      </c>
      <c r="BF1468">
        <f>IFERROR(MATCH(BA1468,Setup!$L$6:$L$9,0),5)</f>
        <v/>
      </c>
      <c r="BG1468">
        <f>IF(OR(AZ1468="Done",AZ1468="Cancelled"),1,0)</f>
        <v/>
      </c>
      <c r="BH1468">
        <f>IF(AND(AU1468&lt;&gt;"",ISNUMBER(AW1468)),1,0)</f>
        <v/>
      </c>
      <c r="BI1468">
        <f>IF(BH1468=0,0,IF(AND(AW1468&gt;='Tasks Filter'!$F$3,AW1468&lt;='Tasks Filter'!$F$4,OR('Tasks Filter'!$I$3="",ISNUMBER(SEARCH('Tasks Filter'!$I$3,AU1468))),OR('Tasks Filter'!$I$4="",BF1468=IFERROR(MATCH('Tasks Filter'!$I$4,Setup!$L$6:$L$9,0),0)),OR('Tasks Filter'!$I$5="Both",AND('Tasks Filter'!$I$5="Yes",BB1468="✓"),AND('Tasks Filter'!$I$5="No",BB1468&lt;&gt;"✓")),OR('Tasks Filter'!$L$3="",AV1468='Tasks Filter'!$L$3),OR('Tasks Filter'!$L$4="",AZ1468='Tasks Filter'!$L$4),OR('Tasks Filter'!$L$5="",BC1468='Tasks Filter'!$L$5),OR('Tasks Filter'!$O$3="",BD1468='Tasks Filter'!$O$3),OR('Tasks Filter'!$O$4="Yes",BG1468=0)),1,0))</f>
        <v/>
      </c>
      <c r="BJ1468">
        <f>IF(BH1468=0,"",IF('Tasks Filter'!$F$6="Descending",-1,1)*CHOOSE(MATCH('Tasks Filter'!$F$5,Lists!$G$2:$G$6,0),AW1468,BF1468,IFERROR(MATCH(AV1468,Setup!$F$6:$F$15,0),99),IFERROR(MATCH(BC1468,Setup!$H$6:$H$15,0),99),IFERROR(MATCH(AZ1468,Setup!$J$6:$J$11,0),99))*1E+9+(AW1468-40000)*10000+1467)</f>
        <v/>
      </c>
      <c r="BK1468">
        <f>IF(BI1468=1,BJ1468,"")</f>
        <v/>
      </c>
      <c r="BL1468">
        <f>IF(AND(BH1468=1,BG1468=0,N(AW1468)&lt;Setup!$D$7),(AW1468-40000)*10000+1467,"")</f>
        <v/>
      </c>
      <c r="BM1468">
        <f>IF(AND(BH1468=1,AZ1468&lt;&gt;"Cancelled",N(AW1468)&gt;=Dashboard!$AB$3,N(AW1468)&lt;=Dashboard!$AB$3+6),(AW1468-40000)*100000+BF1468*10000+1467,"")</f>
        <v/>
      </c>
      <c r="BN1468">
        <f>IF(AND(BH1468=1,AZ1468&lt;&gt;"Cancelled"),BF1468*10000+1467,"")</f>
        <v/>
      </c>
    </row>
    <row r="1469">
      <c r="AS1469" t="inlineStr">
        <is>
          <t>R</t>
        </is>
      </c>
      <c r="AT1469" t="n">
        <v>1473</v>
      </c>
      <c r="AU1469">
        <f>'Recurring Log'!C1473&amp;""</f>
        <v/>
      </c>
      <c r="AV1469">
        <f>'Recurring Log'!D1473&amp;""</f>
        <v/>
      </c>
      <c r="AW1469">
        <f>IF('Recurring Log'!E1473="","",'Recurring Log'!E1473)</f>
        <v/>
      </c>
      <c r="AX1469">
        <f>IF('Recurring Log'!G1473="","",'Recurring Log'!G1473)</f>
        <v/>
      </c>
      <c r="AY1469">
        <f>IF('Recurring Log'!H1473="","",'Recurring Log'!H1473)</f>
        <v/>
      </c>
      <c r="AZ1469">
        <f>IF(AU1469="","",IF('Recurring Log'!J1473="","Not Started",'Recurring Log'!J1473))</f>
        <v/>
      </c>
      <c r="BA1469">
        <f>'Recurring Log'!L1473&amp;""</f>
        <v/>
      </c>
      <c r="BB1469">
        <f>'Recurring Log'!M1473&amp;""</f>
        <v/>
      </c>
      <c r="BC1469">
        <f>'Recurring Log'!N1473&amp;""</f>
        <v/>
      </c>
      <c r="BD1469">
        <f>'Recurring Log'!O1473&amp;""</f>
        <v/>
      </c>
      <c r="BE1469">
        <f>IF('Recurring Log'!K1473="","",'Recurring Log'!K1473)</f>
        <v/>
      </c>
      <c r="BF1469">
        <f>IFERROR(MATCH(BA1469,Setup!$L$6:$L$9,0),5)</f>
        <v/>
      </c>
      <c r="BG1469">
        <f>IF(OR(AZ1469="Done",AZ1469="Cancelled"),1,0)</f>
        <v/>
      </c>
      <c r="BH1469">
        <f>IF(AND(AU1469&lt;&gt;"",ISNUMBER(AW1469)),1,0)</f>
        <v/>
      </c>
      <c r="BI1469">
        <f>IF(BH1469=0,0,IF(AND(AW1469&gt;='Tasks Filter'!$F$3,AW1469&lt;='Tasks Filter'!$F$4,OR('Tasks Filter'!$I$3="",ISNUMBER(SEARCH('Tasks Filter'!$I$3,AU1469))),OR('Tasks Filter'!$I$4="",BF1469=IFERROR(MATCH('Tasks Filter'!$I$4,Setup!$L$6:$L$9,0),0)),OR('Tasks Filter'!$I$5="Both",AND('Tasks Filter'!$I$5="Yes",BB1469="✓"),AND('Tasks Filter'!$I$5="No",BB1469&lt;&gt;"✓")),OR('Tasks Filter'!$L$3="",AV1469='Tasks Filter'!$L$3),OR('Tasks Filter'!$L$4="",AZ1469='Tasks Filter'!$L$4),OR('Tasks Filter'!$L$5="",BC1469='Tasks Filter'!$L$5),OR('Tasks Filter'!$O$3="",BD1469='Tasks Filter'!$O$3),OR('Tasks Filter'!$O$4="Yes",BG1469=0)),1,0))</f>
        <v/>
      </c>
      <c r="BJ1469">
        <f>IF(BH1469=0,"",IF('Tasks Filter'!$F$6="Descending",-1,1)*CHOOSE(MATCH('Tasks Filter'!$F$5,Lists!$G$2:$G$6,0),AW1469,BF1469,IFERROR(MATCH(AV1469,Setup!$F$6:$F$15,0),99),IFERROR(MATCH(BC1469,Setup!$H$6:$H$15,0),99),IFERROR(MATCH(AZ1469,Setup!$J$6:$J$11,0),99))*1E+9+(AW1469-40000)*10000+1468)</f>
        <v/>
      </c>
      <c r="BK1469">
        <f>IF(BI1469=1,BJ1469,"")</f>
        <v/>
      </c>
      <c r="BL1469">
        <f>IF(AND(BH1469=1,BG1469=0,N(AW1469)&lt;Setup!$D$7),(AW1469-40000)*10000+1468,"")</f>
        <v/>
      </c>
      <c r="BM1469">
        <f>IF(AND(BH1469=1,AZ1469&lt;&gt;"Cancelled",N(AW1469)&gt;=Dashboard!$AB$3,N(AW1469)&lt;=Dashboard!$AB$3+6),(AW1469-40000)*100000+BF1469*10000+1468,"")</f>
        <v/>
      </c>
      <c r="BN1469">
        <f>IF(AND(BH1469=1,AZ1469&lt;&gt;"Cancelled"),BF1469*10000+1468,"")</f>
        <v/>
      </c>
    </row>
    <row r="1470">
      <c r="AS1470" t="inlineStr">
        <is>
          <t>R</t>
        </is>
      </c>
      <c r="AT1470" t="n">
        <v>1474</v>
      </c>
      <c r="AU1470">
        <f>'Recurring Log'!C1474&amp;""</f>
        <v/>
      </c>
      <c r="AV1470">
        <f>'Recurring Log'!D1474&amp;""</f>
        <v/>
      </c>
      <c r="AW1470">
        <f>IF('Recurring Log'!E1474="","",'Recurring Log'!E1474)</f>
        <v/>
      </c>
      <c r="AX1470">
        <f>IF('Recurring Log'!G1474="","",'Recurring Log'!G1474)</f>
        <v/>
      </c>
      <c r="AY1470">
        <f>IF('Recurring Log'!H1474="","",'Recurring Log'!H1474)</f>
        <v/>
      </c>
      <c r="AZ1470">
        <f>IF(AU1470="","",IF('Recurring Log'!J1474="","Not Started",'Recurring Log'!J1474))</f>
        <v/>
      </c>
      <c r="BA1470">
        <f>'Recurring Log'!L1474&amp;""</f>
        <v/>
      </c>
      <c r="BB1470">
        <f>'Recurring Log'!M1474&amp;""</f>
        <v/>
      </c>
      <c r="BC1470">
        <f>'Recurring Log'!N1474&amp;""</f>
        <v/>
      </c>
      <c r="BD1470">
        <f>'Recurring Log'!O1474&amp;""</f>
        <v/>
      </c>
      <c r="BE1470">
        <f>IF('Recurring Log'!K1474="","",'Recurring Log'!K1474)</f>
        <v/>
      </c>
      <c r="BF1470">
        <f>IFERROR(MATCH(BA1470,Setup!$L$6:$L$9,0),5)</f>
        <v/>
      </c>
      <c r="BG1470">
        <f>IF(OR(AZ1470="Done",AZ1470="Cancelled"),1,0)</f>
        <v/>
      </c>
      <c r="BH1470">
        <f>IF(AND(AU1470&lt;&gt;"",ISNUMBER(AW1470)),1,0)</f>
        <v/>
      </c>
      <c r="BI1470">
        <f>IF(BH1470=0,0,IF(AND(AW1470&gt;='Tasks Filter'!$F$3,AW1470&lt;='Tasks Filter'!$F$4,OR('Tasks Filter'!$I$3="",ISNUMBER(SEARCH('Tasks Filter'!$I$3,AU1470))),OR('Tasks Filter'!$I$4="",BF1470=IFERROR(MATCH('Tasks Filter'!$I$4,Setup!$L$6:$L$9,0),0)),OR('Tasks Filter'!$I$5="Both",AND('Tasks Filter'!$I$5="Yes",BB1470="✓"),AND('Tasks Filter'!$I$5="No",BB1470&lt;&gt;"✓")),OR('Tasks Filter'!$L$3="",AV1470='Tasks Filter'!$L$3),OR('Tasks Filter'!$L$4="",AZ1470='Tasks Filter'!$L$4),OR('Tasks Filter'!$L$5="",BC1470='Tasks Filter'!$L$5),OR('Tasks Filter'!$O$3="",BD1470='Tasks Filter'!$O$3),OR('Tasks Filter'!$O$4="Yes",BG1470=0)),1,0))</f>
        <v/>
      </c>
      <c r="BJ1470">
        <f>IF(BH1470=0,"",IF('Tasks Filter'!$F$6="Descending",-1,1)*CHOOSE(MATCH('Tasks Filter'!$F$5,Lists!$G$2:$G$6,0),AW1470,BF1470,IFERROR(MATCH(AV1470,Setup!$F$6:$F$15,0),99),IFERROR(MATCH(BC1470,Setup!$H$6:$H$15,0),99),IFERROR(MATCH(AZ1470,Setup!$J$6:$J$11,0),99))*1E+9+(AW1470-40000)*10000+1469)</f>
        <v/>
      </c>
      <c r="BK1470">
        <f>IF(BI1470=1,BJ1470,"")</f>
        <v/>
      </c>
      <c r="BL1470">
        <f>IF(AND(BH1470=1,BG1470=0,N(AW1470)&lt;Setup!$D$7),(AW1470-40000)*10000+1469,"")</f>
        <v/>
      </c>
      <c r="BM1470">
        <f>IF(AND(BH1470=1,AZ1470&lt;&gt;"Cancelled",N(AW1470)&gt;=Dashboard!$AB$3,N(AW1470)&lt;=Dashboard!$AB$3+6),(AW1470-40000)*100000+BF1470*10000+1469,"")</f>
        <v/>
      </c>
      <c r="BN1470">
        <f>IF(AND(BH1470=1,AZ1470&lt;&gt;"Cancelled"),BF1470*10000+1469,"")</f>
        <v/>
      </c>
    </row>
    <row r="1471">
      <c r="AS1471" t="inlineStr">
        <is>
          <t>R</t>
        </is>
      </c>
      <c r="AT1471" t="n">
        <v>1475</v>
      </c>
      <c r="AU1471">
        <f>'Recurring Log'!C1475&amp;""</f>
        <v/>
      </c>
      <c r="AV1471">
        <f>'Recurring Log'!D1475&amp;""</f>
        <v/>
      </c>
      <c r="AW1471">
        <f>IF('Recurring Log'!E1475="","",'Recurring Log'!E1475)</f>
        <v/>
      </c>
      <c r="AX1471">
        <f>IF('Recurring Log'!G1475="","",'Recurring Log'!G1475)</f>
        <v/>
      </c>
      <c r="AY1471">
        <f>IF('Recurring Log'!H1475="","",'Recurring Log'!H1475)</f>
        <v/>
      </c>
      <c r="AZ1471">
        <f>IF(AU1471="","",IF('Recurring Log'!J1475="","Not Started",'Recurring Log'!J1475))</f>
        <v/>
      </c>
      <c r="BA1471">
        <f>'Recurring Log'!L1475&amp;""</f>
        <v/>
      </c>
      <c r="BB1471">
        <f>'Recurring Log'!M1475&amp;""</f>
        <v/>
      </c>
      <c r="BC1471">
        <f>'Recurring Log'!N1475&amp;""</f>
        <v/>
      </c>
      <c r="BD1471">
        <f>'Recurring Log'!O1475&amp;""</f>
        <v/>
      </c>
      <c r="BE1471">
        <f>IF('Recurring Log'!K1475="","",'Recurring Log'!K1475)</f>
        <v/>
      </c>
      <c r="BF1471">
        <f>IFERROR(MATCH(BA1471,Setup!$L$6:$L$9,0),5)</f>
        <v/>
      </c>
      <c r="BG1471">
        <f>IF(OR(AZ1471="Done",AZ1471="Cancelled"),1,0)</f>
        <v/>
      </c>
      <c r="BH1471">
        <f>IF(AND(AU1471&lt;&gt;"",ISNUMBER(AW1471)),1,0)</f>
        <v/>
      </c>
      <c r="BI1471">
        <f>IF(BH1471=0,0,IF(AND(AW1471&gt;='Tasks Filter'!$F$3,AW1471&lt;='Tasks Filter'!$F$4,OR('Tasks Filter'!$I$3="",ISNUMBER(SEARCH('Tasks Filter'!$I$3,AU1471))),OR('Tasks Filter'!$I$4="",BF1471=IFERROR(MATCH('Tasks Filter'!$I$4,Setup!$L$6:$L$9,0),0)),OR('Tasks Filter'!$I$5="Both",AND('Tasks Filter'!$I$5="Yes",BB1471="✓"),AND('Tasks Filter'!$I$5="No",BB1471&lt;&gt;"✓")),OR('Tasks Filter'!$L$3="",AV1471='Tasks Filter'!$L$3),OR('Tasks Filter'!$L$4="",AZ1471='Tasks Filter'!$L$4),OR('Tasks Filter'!$L$5="",BC1471='Tasks Filter'!$L$5),OR('Tasks Filter'!$O$3="",BD1471='Tasks Filter'!$O$3),OR('Tasks Filter'!$O$4="Yes",BG1471=0)),1,0))</f>
        <v/>
      </c>
      <c r="BJ1471">
        <f>IF(BH1471=0,"",IF('Tasks Filter'!$F$6="Descending",-1,1)*CHOOSE(MATCH('Tasks Filter'!$F$5,Lists!$G$2:$G$6,0),AW1471,BF1471,IFERROR(MATCH(AV1471,Setup!$F$6:$F$15,0),99),IFERROR(MATCH(BC1471,Setup!$H$6:$H$15,0),99),IFERROR(MATCH(AZ1471,Setup!$J$6:$J$11,0),99))*1E+9+(AW1471-40000)*10000+1470)</f>
        <v/>
      </c>
      <c r="BK1471">
        <f>IF(BI1471=1,BJ1471,"")</f>
        <v/>
      </c>
      <c r="BL1471">
        <f>IF(AND(BH1471=1,BG1471=0,N(AW1471)&lt;Setup!$D$7),(AW1471-40000)*10000+1470,"")</f>
        <v/>
      </c>
      <c r="BM1471">
        <f>IF(AND(BH1471=1,AZ1471&lt;&gt;"Cancelled",N(AW1471)&gt;=Dashboard!$AB$3,N(AW1471)&lt;=Dashboard!$AB$3+6),(AW1471-40000)*100000+BF1471*10000+1470,"")</f>
        <v/>
      </c>
      <c r="BN1471">
        <f>IF(AND(BH1471=1,AZ1471&lt;&gt;"Cancelled"),BF1471*10000+1470,"")</f>
        <v/>
      </c>
    </row>
    <row r="1472">
      <c r="AS1472" t="inlineStr">
        <is>
          <t>R</t>
        </is>
      </c>
      <c r="AT1472" t="n">
        <v>1476</v>
      </c>
      <c r="AU1472">
        <f>'Recurring Log'!C1476&amp;""</f>
        <v/>
      </c>
      <c r="AV1472">
        <f>'Recurring Log'!D1476&amp;""</f>
        <v/>
      </c>
      <c r="AW1472">
        <f>IF('Recurring Log'!E1476="","",'Recurring Log'!E1476)</f>
        <v/>
      </c>
      <c r="AX1472">
        <f>IF('Recurring Log'!G1476="","",'Recurring Log'!G1476)</f>
        <v/>
      </c>
      <c r="AY1472">
        <f>IF('Recurring Log'!H1476="","",'Recurring Log'!H1476)</f>
        <v/>
      </c>
      <c r="AZ1472">
        <f>IF(AU1472="","",IF('Recurring Log'!J1476="","Not Started",'Recurring Log'!J1476))</f>
        <v/>
      </c>
      <c r="BA1472">
        <f>'Recurring Log'!L1476&amp;""</f>
        <v/>
      </c>
      <c r="BB1472">
        <f>'Recurring Log'!M1476&amp;""</f>
        <v/>
      </c>
      <c r="BC1472">
        <f>'Recurring Log'!N1476&amp;""</f>
        <v/>
      </c>
      <c r="BD1472">
        <f>'Recurring Log'!O1476&amp;""</f>
        <v/>
      </c>
      <c r="BE1472">
        <f>IF('Recurring Log'!K1476="","",'Recurring Log'!K1476)</f>
        <v/>
      </c>
      <c r="BF1472">
        <f>IFERROR(MATCH(BA1472,Setup!$L$6:$L$9,0),5)</f>
        <v/>
      </c>
      <c r="BG1472">
        <f>IF(OR(AZ1472="Done",AZ1472="Cancelled"),1,0)</f>
        <v/>
      </c>
      <c r="BH1472">
        <f>IF(AND(AU1472&lt;&gt;"",ISNUMBER(AW1472)),1,0)</f>
        <v/>
      </c>
      <c r="BI1472">
        <f>IF(BH1472=0,0,IF(AND(AW1472&gt;='Tasks Filter'!$F$3,AW1472&lt;='Tasks Filter'!$F$4,OR('Tasks Filter'!$I$3="",ISNUMBER(SEARCH('Tasks Filter'!$I$3,AU1472))),OR('Tasks Filter'!$I$4="",BF1472=IFERROR(MATCH('Tasks Filter'!$I$4,Setup!$L$6:$L$9,0),0)),OR('Tasks Filter'!$I$5="Both",AND('Tasks Filter'!$I$5="Yes",BB1472="✓"),AND('Tasks Filter'!$I$5="No",BB1472&lt;&gt;"✓")),OR('Tasks Filter'!$L$3="",AV1472='Tasks Filter'!$L$3),OR('Tasks Filter'!$L$4="",AZ1472='Tasks Filter'!$L$4),OR('Tasks Filter'!$L$5="",BC1472='Tasks Filter'!$L$5),OR('Tasks Filter'!$O$3="",BD1472='Tasks Filter'!$O$3),OR('Tasks Filter'!$O$4="Yes",BG1472=0)),1,0))</f>
        <v/>
      </c>
      <c r="BJ1472">
        <f>IF(BH1472=0,"",IF('Tasks Filter'!$F$6="Descending",-1,1)*CHOOSE(MATCH('Tasks Filter'!$F$5,Lists!$G$2:$G$6,0),AW1472,BF1472,IFERROR(MATCH(AV1472,Setup!$F$6:$F$15,0),99),IFERROR(MATCH(BC1472,Setup!$H$6:$H$15,0),99),IFERROR(MATCH(AZ1472,Setup!$J$6:$J$11,0),99))*1E+9+(AW1472-40000)*10000+1471)</f>
        <v/>
      </c>
      <c r="BK1472">
        <f>IF(BI1472=1,BJ1472,"")</f>
        <v/>
      </c>
      <c r="BL1472">
        <f>IF(AND(BH1472=1,BG1472=0,N(AW1472)&lt;Setup!$D$7),(AW1472-40000)*10000+1471,"")</f>
        <v/>
      </c>
      <c r="BM1472">
        <f>IF(AND(BH1472=1,AZ1472&lt;&gt;"Cancelled",N(AW1472)&gt;=Dashboard!$AB$3,N(AW1472)&lt;=Dashboard!$AB$3+6),(AW1472-40000)*100000+BF1472*10000+1471,"")</f>
        <v/>
      </c>
      <c r="BN1472">
        <f>IF(AND(BH1472=1,AZ1472&lt;&gt;"Cancelled"),BF1472*10000+1471,"")</f>
        <v/>
      </c>
    </row>
    <row r="1473">
      <c r="AS1473" t="inlineStr">
        <is>
          <t>R</t>
        </is>
      </c>
      <c r="AT1473" t="n">
        <v>1477</v>
      </c>
      <c r="AU1473">
        <f>'Recurring Log'!C1477&amp;""</f>
        <v/>
      </c>
      <c r="AV1473">
        <f>'Recurring Log'!D1477&amp;""</f>
        <v/>
      </c>
      <c r="AW1473">
        <f>IF('Recurring Log'!E1477="","",'Recurring Log'!E1477)</f>
        <v/>
      </c>
      <c r="AX1473">
        <f>IF('Recurring Log'!G1477="","",'Recurring Log'!G1477)</f>
        <v/>
      </c>
      <c r="AY1473">
        <f>IF('Recurring Log'!H1477="","",'Recurring Log'!H1477)</f>
        <v/>
      </c>
      <c r="AZ1473">
        <f>IF(AU1473="","",IF('Recurring Log'!J1477="","Not Started",'Recurring Log'!J1477))</f>
        <v/>
      </c>
      <c r="BA1473">
        <f>'Recurring Log'!L1477&amp;""</f>
        <v/>
      </c>
      <c r="BB1473">
        <f>'Recurring Log'!M1477&amp;""</f>
        <v/>
      </c>
      <c r="BC1473">
        <f>'Recurring Log'!N1477&amp;""</f>
        <v/>
      </c>
      <c r="BD1473">
        <f>'Recurring Log'!O1477&amp;""</f>
        <v/>
      </c>
      <c r="BE1473">
        <f>IF('Recurring Log'!K1477="","",'Recurring Log'!K1477)</f>
        <v/>
      </c>
      <c r="BF1473">
        <f>IFERROR(MATCH(BA1473,Setup!$L$6:$L$9,0),5)</f>
        <v/>
      </c>
      <c r="BG1473">
        <f>IF(OR(AZ1473="Done",AZ1473="Cancelled"),1,0)</f>
        <v/>
      </c>
      <c r="BH1473">
        <f>IF(AND(AU1473&lt;&gt;"",ISNUMBER(AW1473)),1,0)</f>
        <v/>
      </c>
      <c r="BI1473">
        <f>IF(BH1473=0,0,IF(AND(AW1473&gt;='Tasks Filter'!$F$3,AW1473&lt;='Tasks Filter'!$F$4,OR('Tasks Filter'!$I$3="",ISNUMBER(SEARCH('Tasks Filter'!$I$3,AU1473))),OR('Tasks Filter'!$I$4="",BF1473=IFERROR(MATCH('Tasks Filter'!$I$4,Setup!$L$6:$L$9,0),0)),OR('Tasks Filter'!$I$5="Both",AND('Tasks Filter'!$I$5="Yes",BB1473="✓"),AND('Tasks Filter'!$I$5="No",BB1473&lt;&gt;"✓")),OR('Tasks Filter'!$L$3="",AV1473='Tasks Filter'!$L$3),OR('Tasks Filter'!$L$4="",AZ1473='Tasks Filter'!$L$4),OR('Tasks Filter'!$L$5="",BC1473='Tasks Filter'!$L$5),OR('Tasks Filter'!$O$3="",BD1473='Tasks Filter'!$O$3),OR('Tasks Filter'!$O$4="Yes",BG1473=0)),1,0))</f>
        <v/>
      </c>
      <c r="BJ1473">
        <f>IF(BH1473=0,"",IF('Tasks Filter'!$F$6="Descending",-1,1)*CHOOSE(MATCH('Tasks Filter'!$F$5,Lists!$G$2:$G$6,0),AW1473,BF1473,IFERROR(MATCH(AV1473,Setup!$F$6:$F$15,0),99),IFERROR(MATCH(BC1473,Setup!$H$6:$H$15,0),99),IFERROR(MATCH(AZ1473,Setup!$J$6:$J$11,0),99))*1E+9+(AW1473-40000)*10000+1472)</f>
        <v/>
      </c>
      <c r="BK1473">
        <f>IF(BI1473=1,BJ1473,"")</f>
        <v/>
      </c>
      <c r="BL1473">
        <f>IF(AND(BH1473=1,BG1473=0,N(AW1473)&lt;Setup!$D$7),(AW1473-40000)*10000+1472,"")</f>
        <v/>
      </c>
      <c r="BM1473">
        <f>IF(AND(BH1473=1,AZ1473&lt;&gt;"Cancelled",N(AW1473)&gt;=Dashboard!$AB$3,N(AW1473)&lt;=Dashboard!$AB$3+6),(AW1473-40000)*100000+BF1473*10000+1472,"")</f>
        <v/>
      </c>
      <c r="BN1473">
        <f>IF(AND(BH1473=1,AZ1473&lt;&gt;"Cancelled"),BF1473*10000+1472,"")</f>
        <v/>
      </c>
    </row>
    <row r="1474">
      <c r="AS1474" t="inlineStr">
        <is>
          <t>R</t>
        </is>
      </c>
      <c r="AT1474" t="n">
        <v>1478</v>
      </c>
      <c r="AU1474">
        <f>'Recurring Log'!C1478&amp;""</f>
        <v/>
      </c>
      <c r="AV1474">
        <f>'Recurring Log'!D1478&amp;""</f>
        <v/>
      </c>
      <c r="AW1474">
        <f>IF('Recurring Log'!E1478="","",'Recurring Log'!E1478)</f>
        <v/>
      </c>
      <c r="AX1474">
        <f>IF('Recurring Log'!G1478="","",'Recurring Log'!G1478)</f>
        <v/>
      </c>
      <c r="AY1474">
        <f>IF('Recurring Log'!H1478="","",'Recurring Log'!H1478)</f>
        <v/>
      </c>
      <c r="AZ1474">
        <f>IF(AU1474="","",IF('Recurring Log'!J1478="","Not Started",'Recurring Log'!J1478))</f>
        <v/>
      </c>
      <c r="BA1474">
        <f>'Recurring Log'!L1478&amp;""</f>
        <v/>
      </c>
      <c r="BB1474">
        <f>'Recurring Log'!M1478&amp;""</f>
        <v/>
      </c>
      <c r="BC1474">
        <f>'Recurring Log'!N1478&amp;""</f>
        <v/>
      </c>
      <c r="BD1474">
        <f>'Recurring Log'!O1478&amp;""</f>
        <v/>
      </c>
      <c r="BE1474">
        <f>IF('Recurring Log'!K1478="","",'Recurring Log'!K1478)</f>
        <v/>
      </c>
      <c r="BF1474">
        <f>IFERROR(MATCH(BA1474,Setup!$L$6:$L$9,0),5)</f>
        <v/>
      </c>
      <c r="BG1474">
        <f>IF(OR(AZ1474="Done",AZ1474="Cancelled"),1,0)</f>
        <v/>
      </c>
      <c r="BH1474">
        <f>IF(AND(AU1474&lt;&gt;"",ISNUMBER(AW1474)),1,0)</f>
        <v/>
      </c>
      <c r="BI1474">
        <f>IF(BH1474=0,0,IF(AND(AW1474&gt;='Tasks Filter'!$F$3,AW1474&lt;='Tasks Filter'!$F$4,OR('Tasks Filter'!$I$3="",ISNUMBER(SEARCH('Tasks Filter'!$I$3,AU1474))),OR('Tasks Filter'!$I$4="",BF1474=IFERROR(MATCH('Tasks Filter'!$I$4,Setup!$L$6:$L$9,0),0)),OR('Tasks Filter'!$I$5="Both",AND('Tasks Filter'!$I$5="Yes",BB1474="✓"),AND('Tasks Filter'!$I$5="No",BB1474&lt;&gt;"✓")),OR('Tasks Filter'!$L$3="",AV1474='Tasks Filter'!$L$3),OR('Tasks Filter'!$L$4="",AZ1474='Tasks Filter'!$L$4),OR('Tasks Filter'!$L$5="",BC1474='Tasks Filter'!$L$5),OR('Tasks Filter'!$O$3="",BD1474='Tasks Filter'!$O$3),OR('Tasks Filter'!$O$4="Yes",BG1474=0)),1,0))</f>
        <v/>
      </c>
      <c r="BJ1474">
        <f>IF(BH1474=0,"",IF('Tasks Filter'!$F$6="Descending",-1,1)*CHOOSE(MATCH('Tasks Filter'!$F$5,Lists!$G$2:$G$6,0),AW1474,BF1474,IFERROR(MATCH(AV1474,Setup!$F$6:$F$15,0),99),IFERROR(MATCH(BC1474,Setup!$H$6:$H$15,0),99),IFERROR(MATCH(AZ1474,Setup!$J$6:$J$11,0),99))*1E+9+(AW1474-40000)*10000+1473)</f>
        <v/>
      </c>
      <c r="BK1474">
        <f>IF(BI1474=1,BJ1474,"")</f>
        <v/>
      </c>
      <c r="BL1474">
        <f>IF(AND(BH1474=1,BG1474=0,N(AW1474)&lt;Setup!$D$7),(AW1474-40000)*10000+1473,"")</f>
        <v/>
      </c>
      <c r="BM1474">
        <f>IF(AND(BH1474=1,AZ1474&lt;&gt;"Cancelled",N(AW1474)&gt;=Dashboard!$AB$3,N(AW1474)&lt;=Dashboard!$AB$3+6),(AW1474-40000)*100000+BF1474*10000+1473,"")</f>
        <v/>
      </c>
      <c r="BN1474">
        <f>IF(AND(BH1474=1,AZ1474&lt;&gt;"Cancelled"),BF1474*10000+1473,"")</f>
        <v/>
      </c>
    </row>
    <row r="1475">
      <c r="AS1475" t="inlineStr">
        <is>
          <t>R</t>
        </is>
      </c>
      <c r="AT1475" t="n">
        <v>1479</v>
      </c>
      <c r="AU1475">
        <f>'Recurring Log'!C1479&amp;""</f>
        <v/>
      </c>
      <c r="AV1475">
        <f>'Recurring Log'!D1479&amp;""</f>
        <v/>
      </c>
      <c r="AW1475">
        <f>IF('Recurring Log'!E1479="","",'Recurring Log'!E1479)</f>
        <v/>
      </c>
      <c r="AX1475">
        <f>IF('Recurring Log'!G1479="","",'Recurring Log'!G1479)</f>
        <v/>
      </c>
      <c r="AY1475">
        <f>IF('Recurring Log'!H1479="","",'Recurring Log'!H1479)</f>
        <v/>
      </c>
      <c r="AZ1475">
        <f>IF(AU1475="","",IF('Recurring Log'!J1479="","Not Started",'Recurring Log'!J1479))</f>
        <v/>
      </c>
      <c r="BA1475">
        <f>'Recurring Log'!L1479&amp;""</f>
        <v/>
      </c>
      <c r="BB1475">
        <f>'Recurring Log'!M1479&amp;""</f>
        <v/>
      </c>
      <c r="BC1475">
        <f>'Recurring Log'!N1479&amp;""</f>
        <v/>
      </c>
      <c r="BD1475">
        <f>'Recurring Log'!O1479&amp;""</f>
        <v/>
      </c>
      <c r="BE1475">
        <f>IF('Recurring Log'!K1479="","",'Recurring Log'!K1479)</f>
        <v/>
      </c>
      <c r="BF1475">
        <f>IFERROR(MATCH(BA1475,Setup!$L$6:$L$9,0),5)</f>
        <v/>
      </c>
      <c r="BG1475">
        <f>IF(OR(AZ1475="Done",AZ1475="Cancelled"),1,0)</f>
        <v/>
      </c>
      <c r="BH1475">
        <f>IF(AND(AU1475&lt;&gt;"",ISNUMBER(AW1475)),1,0)</f>
        <v/>
      </c>
      <c r="BI1475">
        <f>IF(BH1475=0,0,IF(AND(AW1475&gt;='Tasks Filter'!$F$3,AW1475&lt;='Tasks Filter'!$F$4,OR('Tasks Filter'!$I$3="",ISNUMBER(SEARCH('Tasks Filter'!$I$3,AU1475))),OR('Tasks Filter'!$I$4="",BF1475=IFERROR(MATCH('Tasks Filter'!$I$4,Setup!$L$6:$L$9,0),0)),OR('Tasks Filter'!$I$5="Both",AND('Tasks Filter'!$I$5="Yes",BB1475="✓"),AND('Tasks Filter'!$I$5="No",BB1475&lt;&gt;"✓")),OR('Tasks Filter'!$L$3="",AV1475='Tasks Filter'!$L$3),OR('Tasks Filter'!$L$4="",AZ1475='Tasks Filter'!$L$4),OR('Tasks Filter'!$L$5="",BC1475='Tasks Filter'!$L$5),OR('Tasks Filter'!$O$3="",BD1475='Tasks Filter'!$O$3),OR('Tasks Filter'!$O$4="Yes",BG1475=0)),1,0))</f>
        <v/>
      </c>
      <c r="BJ1475">
        <f>IF(BH1475=0,"",IF('Tasks Filter'!$F$6="Descending",-1,1)*CHOOSE(MATCH('Tasks Filter'!$F$5,Lists!$G$2:$G$6,0),AW1475,BF1475,IFERROR(MATCH(AV1475,Setup!$F$6:$F$15,0),99),IFERROR(MATCH(BC1475,Setup!$H$6:$H$15,0),99),IFERROR(MATCH(AZ1475,Setup!$J$6:$J$11,0),99))*1E+9+(AW1475-40000)*10000+1474)</f>
        <v/>
      </c>
      <c r="BK1475">
        <f>IF(BI1475=1,BJ1475,"")</f>
        <v/>
      </c>
      <c r="BL1475">
        <f>IF(AND(BH1475=1,BG1475=0,N(AW1475)&lt;Setup!$D$7),(AW1475-40000)*10000+1474,"")</f>
        <v/>
      </c>
      <c r="BM1475">
        <f>IF(AND(BH1475=1,AZ1475&lt;&gt;"Cancelled",N(AW1475)&gt;=Dashboard!$AB$3,N(AW1475)&lt;=Dashboard!$AB$3+6),(AW1475-40000)*100000+BF1475*10000+1474,"")</f>
        <v/>
      </c>
      <c r="BN1475">
        <f>IF(AND(BH1475=1,AZ1475&lt;&gt;"Cancelled"),BF1475*10000+1474,"")</f>
        <v/>
      </c>
    </row>
    <row r="1476">
      <c r="AS1476" t="inlineStr">
        <is>
          <t>R</t>
        </is>
      </c>
      <c r="AT1476" t="n">
        <v>1480</v>
      </c>
      <c r="AU1476">
        <f>'Recurring Log'!C1480&amp;""</f>
        <v/>
      </c>
      <c r="AV1476">
        <f>'Recurring Log'!D1480&amp;""</f>
        <v/>
      </c>
      <c r="AW1476">
        <f>IF('Recurring Log'!E1480="","",'Recurring Log'!E1480)</f>
        <v/>
      </c>
      <c r="AX1476">
        <f>IF('Recurring Log'!G1480="","",'Recurring Log'!G1480)</f>
        <v/>
      </c>
      <c r="AY1476">
        <f>IF('Recurring Log'!H1480="","",'Recurring Log'!H1480)</f>
        <v/>
      </c>
      <c r="AZ1476">
        <f>IF(AU1476="","",IF('Recurring Log'!J1480="","Not Started",'Recurring Log'!J1480))</f>
        <v/>
      </c>
      <c r="BA1476">
        <f>'Recurring Log'!L1480&amp;""</f>
        <v/>
      </c>
      <c r="BB1476">
        <f>'Recurring Log'!M1480&amp;""</f>
        <v/>
      </c>
      <c r="BC1476">
        <f>'Recurring Log'!N1480&amp;""</f>
        <v/>
      </c>
      <c r="BD1476">
        <f>'Recurring Log'!O1480&amp;""</f>
        <v/>
      </c>
      <c r="BE1476">
        <f>IF('Recurring Log'!K1480="","",'Recurring Log'!K1480)</f>
        <v/>
      </c>
      <c r="BF1476">
        <f>IFERROR(MATCH(BA1476,Setup!$L$6:$L$9,0),5)</f>
        <v/>
      </c>
      <c r="BG1476">
        <f>IF(OR(AZ1476="Done",AZ1476="Cancelled"),1,0)</f>
        <v/>
      </c>
      <c r="BH1476">
        <f>IF(AND(AU1476&lt;&gt;"",ISNUMBER(AW1476)),1,0)</f>
        <v/>
      </c>
      <c r="BI1476">
        <f>IF(BH1476=0,0,IF(AND(AW1476&gt;='Tasks Filter'!$F$3,AW1476&lt;='Tasks Filter'!$F$4,OR('Tasks Filter'!$I$3="",ISNUMBER(SEARCH('Tasks Filter'!$I$3,AU1476))),OR('Tasks Filter'!$I$4="",BF1476=IFERROR(MATCH('Tasks Filter'!$I$4,Setup!$L$6:$L$9,0),0)),OR('Tasks Filter'!$I$5="Both",AND('Tasks Filter'!$I$5="Yes",BB1476="✓"),AND('Tasks Filter'!$I$5="No",BB1476&lt;&gt;"✓")),OR('Tasks Filter'!$L$3="",AV1476='Tasks Filter'!$L$3),OR('Tasks Filter'!$L$4="",AZ1476='Tasks Filter'!$L$4),OR('Tasks Filter'!$L$5="",BC1476='Tasks Filter'!$L$5),OR('Tasks Filter'!$O$3="",BD1476='Tasks Filter'!$O$3),OR('Tasks Filter'!$O$4="Yes",BG1476=0)),1,0))</f>
        <v/>
      </c>
      <c r="BJ1476">
        <f>IF(BH1476=0,"",IF('Tasks Filter'!$F$6="Descending",-1,1)*CHOOSE(MATCH('Tasks Filter'!$F$5,Lists!$G$2:$G$6,0),AW1476,BF1476,IFERROR(MATCH(AV1476,Setup!$F$6:$F$15,0),99),IFERROR(MATCH(BC1476,Setup!$H$6:$H$15,0),99),IFERROR(MATCH(AZ1476,Setup!$J$6:$J$11,0),99))*1E+9+(AW1476-40000)*10000+1475)</f>
        <v/>
      </c>
      <c r="BK1476">
        <f>IF(BI1476=1,BJ1476,"")</f>
        <v/>
      </c>
      <c r="BL1476">
        <f>IF(AND(BH1476=1,BG1476=0,N(AW1476)&lt;Setup!$D$7),(AW1476-40000)*10000+1475,"")</f>
        <v/>
      </c>
      <c r="BM1476">
        <f>IF(AND(BH1476=1,AZ1476&lt;&gt;"Cancelled",N(AW1476)&gt;=Dashboard!$AB$3,N(AW1476)&lt;=Dashboard!$AB$3+6),(AW1476-40000)*100000+BF1476*10000+1475,"")</f>
        <v/>
      </c>
      <c r="BN1476">
        <f>IF(AND(BH1476=1,AZ1476&lt;&gt;"Cancelled"),BF1476*10000+1475,"")</f>
        <v/>
      </c>
    </row>
    <row r="1477">
      <c r="AS1477" t="inlineStr">
        <is>
          <t>R</t>
        </is>
      </c>
      <c r="AT1477" t="n">
        <v>1481</v>
      </c>
      <c r="AU1477">
        <f>'Recurring Log'!C1481&amp;""</f>
        <v/>
      </c>
      <c r="AV1477">
        <f>'Recurring Log'!D1481&amp;""</f>
        <v/>
      </c>
      <c r="AW1477">
        <f>IF('Recurring Log'!E1481="","",'Recurring Log'!E1481)</f>
        <v/>
      </c>
      <c r="AX1477">
        <f>IF('Recurring Log'!G1481="","",'Recurring Log'!G1481)</f>
        <v/>
      </c>
      <c r="AY1477">
        <f>IF('Recurring Log'!H1481="","",'Recurring Log'!H1481)</f>
        <v/>
      </c>
      <c r="AZ1477">
        <f>IF(AU1477="","",IF('Recurring Log'!J1481="","Not Started",'Recurring Log'!J1481))</f>
        <v/>
      </c>
      <c r="BA1477">
        <f>'Recurring Log'!L1481&amp;""</f>
        <v/>
      </c>
      <c r="BB1477">
        <f>'Recurring Log'!M1481&amp;""</f>
        <v/>
      </c>
      <c r="BC1477">
        <f>'Recurring Log'!N1481&amp;""</f>
        <v/>
      </c>
      <c r="BD1477">
        <f>'Recurring Log'!O1481&amp;""</f>
        <v/>
      </c>
      <c r="BE1477">
        <f>IF('Recurring Log'!K1481="","",'Recurring Log'!K1481)</f>
        <v/>
      </c>
      <c r="BF1477">
        <f>IFERROR(MATCH(BA1477,Setup!$L$6:$L$9,0),5)</f>
        <v/>
      </c>
      <c r="BG1477">
        <f>IF(OR(AZ1477="Done",AZ1477="Cancelled"),1,0)</f>
        <v/>
      </c>
      <c r="BH1477">
        <f>IF(AND(AU1477&lt;&gt;"",ISNUMBER(AW1477)),1,0)</f>
        <v/>
      </c>
      <c r="BI1477">
        <f>IF(BH1477=0,0,IF(AND(AW1477&gt;='Tasks Filter'!$F$3,AW1477&lt;='Tasks Filter'!$F$4,OR('Tasks Filter'!$I$3="",ISNUMBER(SEARCH('Tasks Filter'!$I$3,AU1477))),OR('Tasks Filter'!$I$4="",BF1477=IFERROR(MATCH('Tasks Filter'!$I$4,Setup!$L$6:$L$9,0),0)),OR('Tasks Filter'!$I$5="Both",AND('Tasks Filter'!$I$5="Yes",BB1477="✓"),AND('Tasks Filter'!$I$5="No",BB1477&lt;&gt;"✓")),OR('Tasks Filter'!$L$3="",AV1477='Tasks Filter'!$L$3),OR('Tasks Filter'!$L$4="",AZ1477='Tasks Filter'!$L$4),OR('Tasks Filter'!$L$5="",BC1477='Tasks Filter'!$L$5),OR('Tasks Filter'!$O$3="",BD1477='Tasks Filter'!$O$3),OR('Tasks Filter'!$O$4="Yes",BG1477=0)),1,0))</f>
        <v/>
      </c>
      <c r="BJ1477">
        <f>IF(BH1477=0,"",IF('Tasks Filter'!$F$6="Descending",-1,1)*CHOOSE(MATCH('Tasks Filter'!$F$5,Lists!$G$2:$G$6,0),AW1477,BF1477,IFERROR(MATCH(AV1477,Setup!$F$6:$F$15,0),99),IFERROR(MATCH(BC1477,Setup!$H$6:$H$15,0),99),IFERROR(MATCH(AZ1477,Setup!$J$6:$J$11,0),99))*1E+9+(AW1477-40000)*10000+1476)</f>
        <v/>
      </c>
      <c r="BK1477">
        <f>IF(BI1477=1,BJ1477,"")</f>
        <v/>
      </c>
      <c r="BL1477">
        <f>IF(AND(BH1477=1,BG1477=0,N(AW1477)&lt;Setup!$D$7),(AW1477-40000)*10000+1476,"")</f>
        <v/>
      </c>
      <c r="BM1477">
        <f>IF(AND(BH1477=1,AZ1477&lt;&gt;"Cancelled",N(AW1477)&gt;=Dashboard!$AB$3,N(AW1477)&lt;=Dashboard!$AB$3+6),(AW1477-40000)*100000+BF1477*10000+1476,"")</f>
        <v/>
      </c>
      <c r="BN1477">
        <f>IF(AND(BH1477=1,AZ1477&lt;&gt;"Cancelled"),BF1477*10000+1476,"")</f>
        <v/>
      </c>
    </row>
    <row r="1478">
      <c r="AS1478" t="inlineStr">
        <is>
          <t>R</t>
        </is>
      </c>
      <c r="AT1478" t="n">
        <v>1482</v>
      </c>
      <c r="AU1478">
        <f>'Recurring Log'!C1482&amp;""</f>
        <v/>
      </c>
      <c r="AV1478">
        <f>'Recurring Log'!D1482&amp;""</f>
        <v/>
      </c>
      <c r="AW1478">
        <f>IF('Recurring Log'!E1482="","",'Recurring Log'!E1482)</f>
        <v/>
      </c>
      <c r="AX1478">
        <f>IF('Recurring Log'!G1482="","",'Recurring Log'!G1482)</f>
        <v/>
      </c>
      <c r="AY1478">
        <f>IF('Recurring Log'!H1482="","",'Recurring Log'!H1482)</f>
        <v/>
      </c>
      <c r="AZ1478">
        <f>IF(AU1478="","",IF('Recurring Log'!J1482="","Not Started",'Recurring Log'!J1482))</f>
        <v/>
      </c>
      <c r="BA1478">
        <f>'Recurring Log'!L1482&amp;""</f>
        <v/>
      </c>
      <c r="BB1478">
        <f>'Recurring Log'!M1482&amp;""</f>
        <v/>
      </c>
      <c r="BC1478">
        <f>'Recurring Log'!N1482&amp;""</f>
        <v/>
      </c>
      <c r="BD1478">
        <f>'Recurring Log'!O1482&amp;""</f>
        <v/>
      </c>
      <c r="BE1478">
        <f>IF('Recurring Log'!K1482="","",'Recurring Log'!K1482)</f>
        <v/>
      </c>
      <c r="BF1478">
        <f>IFERROR(MATCH(BA1478,Setup!$L$6:$L$9,0),5)</f>
        <v/>
      </c>
      <c r="BG1478">
        <f>IF(OR(AZ1478="Done",AZ1478="Cancelled"),1,0)</f>
        <v/>
      </c>
      <c r="BH1478">
        <f>IF(AND(AU1478&lt;&gt;"",ISNUMBER(AW1478)),1,0)</f>
        <v/>
      </c>
      <c r="BI1478">
        <f>IF(BH1478=0,0,IF(AND(AW1478&gt;='Tasks Filter'!$F$3,AW1478&lt;='Tasks Filter'!$F$4,OR('Tasks Filter'!$I$3="",ISNUMBER(SEARCH('Tasks Filter'!$I$3,AU1478))),OR('Tasks Filter'!$I$4="",BF1478=IFERROR(MATCH('Tasks Filter'!$I$4,Setup!$L$6:$L$9,0),0)),OR('Tasks Filter'!$I$5="Both",AND('Tasks Filter'!$I$5="Yes",BB1478="✓"),AND('Tasks Filter'!$I$5="No",BB1478&lt;&gt;"✓")),OR('Tasks Filter'!$L$3="",AV1478='Tasks Filter'!$L$3),OR('Tasks Filter'!$L$4="",AZ1478='Tasks Filter'!$L$4),OR('Tasks Filter'!$L$5="",BC1478='Tasks Filter'!$L$5),OR('Tasks Filter'!$O$3="",BD1478='Tasks Filter'!$O$3),OR('Tasks Filter'!$O$4="Yes",BG1478=0)),1,0))</f>
        <v/>
      </c>
      <c r="BJ1478">
        <f>IF(BH1478=0,"",IF('Tasks Filter'!$F$6="Descending",-1,1)*CHOOSE(MATCH('Tasks Filter'!$F$5,Lists!$G$2:$G$6,0),AW1478,BF1478,IFERROR(MATCH(AV1478,Setup!$F$6:$F$15,0),99),IFERROR(MATCH(BC1478,Setup!$H$6:$H$15,0),99),IFERROR(MATCH(AZ1478,Setup!$J$6:$J$11,0),99))*1E+9+(AW1478-40000)*10000+1477)</f>
        <v/>
      </c>
      <c r="BK1478">
        <f>IF(BI1478=1,BJ1478,"")</f>
        <v/>
      </c>
      <c r="BL1478">
        <f>IF(AND(BH1478=1,BG1478=0,N(AW1478)&lt;Setup!$D$7),(AW1478-40000)*10000+1477,"")</f>
        <v/>
      </c>
      <c r="BM1478">
        <f>IF(AND(BH1478=1,AZ1478&lt;&gt;"Cancelled",N(AW1478)&gt;=Dashboard!$AB$3,N(AW1478)&lt;=Dashboard!$AB$3+6),(AW1478-40000)*100000+BF1478*10000+1477,"")</f>
        <v/>
      </c>
      <c r="BN1478">
        <f>IF(AND(BH1478=1,AZ1478&lt;&gt;"Cancelled"),BF1478*10000+1477,"")</f>
        <v/>
      </c>
    </row>
    <row r="1479">
      <c r="AS1479" t="inlineStr">
        <is>
          <t>R</t>
        </is>
      </c>
      <c r="AT1479" t="n">
        <v>1483</v>
      </c>
      <c r="AU1479">
        <f>'Recurring Log'!C1483&amp;""</f>
        <v/>
      </c>
      <c r="AV1479">
        <f>'Recurring Log'!D1483&amp;""</f>
        <v/>
      </c>
      <c r="AW1479">
        <f>IF('Recurring Log'!E1483="","",'Recurring Log'!E1483)</f>
        <v/>
      </c>
      <c r="AX1479">
        <f>IF('Recurring Log'!G1483="","",'Recurring Log'!G1483)</f>
        <v/>
      </c>
      <c r="AY1479">
        <f>IF('Recurring Log'!H1483="","",'Recurring Log'!H1483)</f>
        <v/>
      </c>
      <c r="AZ1479">
        <f>IF(AU1479="","",IF('Recurring Log'!J1483="","Not Started",'Recurring Log'!J1483))</f>
        <v/>
      </c>
      <c r="BA1479">
        <f>'Recurring Log'!L1483&amp;""</f>
        <v/>
      </c>
      <c r="BB1479">
        <f>'Recurring Log'!M1483&amp;""</f>
        <v/>
      </c>
      <c r="BC1479">
        <f>'Recurring Log'!N1483&amp;""</f>
        <v/>
      </c>
      <c r="BD1479">
        <f>'Recurring Log'!O1483&amp;""</f>
        <v/>
      </c>
      <c r="BE1479">
        <f>IF('Recurring Log'!K1483="","",'Recurring Log'!K1483)</f>
        <v/>
      </c>
      <c r="BF1479">
        <f>IFERROR(MATCH(BA1479,Setup!$L$6:$L$9,0),5)</f>
        <v/>
      </c>
      <c r="BG1479">
        <f>IF(OR(AZ1479="Done",AZ1479="Cancelled"),1,0)</f>
        <v/>
      </c>
      <c r="BH1479">
        <f>IF(AND(AU1479&lt;&gt;"",ISNUMBER(AW1479)),1,0)</f>
        <v/>
      </c>
      <c r="BI1479">
        <f>IF(BH1479=0,0,IF(AND(AW1479&gt;='Tasks Filter'!$F$3,AW1479&lt;='Tasks Filter'!$F$4,OR('Tasks Filter'!$I$3="",ISNUMBER(SEARCH('Tasks Filter'!$I$3,AU1479))),OR('Tasks Filter'!$I$4="",BF1479=IFERROR(MATCH('Tasks Filter'!$I$4,Setup!$L$6:$L$9,0),0)),OR('Tasks Filter'!$I$5="Both",AND('Tasks Filter'!$I$5="Yes",BB1479="✓"),AND('Tasks Filter'!$I$5="No",BB1479&lt;&gt;"✓")),OR('Tasks Filter'!$L$3="",AV1479='Tasks Filter'!$L$3),OR('Tasks Filter'!$L$4="",AZ1479='Tasks Filter'!$L$4),OR('Tasks Filter'!$L$5="",BC1479='Tasks Filter'!$L$5),OR('Tasks Filter'!$O$3="",BD1479='Tasks Filter'!$O$3),OR('Tasks Filter'!$O$4="Yes",BG1479=0)),1,0))</f>
        <v/>
      </c>
      <c r="BJ1479">
        <f>IF(BH1479=0,"",IF('Tasks Filter'!$F$6="Descending",-1,1)*CHOOSE(MATCH('Tasks Filter'!$F$5,Lists!$G$2:$G$6,0),AW1479,BF1479,IFERROR(MATCH(AV1479,Setup!$F$6:$F$15,0),99),IFERROR(MATCH(BC1479,Setup!$H$6:$H$15,0),99),IFERROR(MATCH(AZ1479,Setup!$J$6:$J$11,0),99))*1E+9+(AW1479-40000)*10000+1478)</f>
        <v/>
      </c>
      <c r="BK1479">
        <f>IF(BI1479=1,BJ1479,"")</f>
        <v/>
      </c>
      <c r="BL1479">
        <f>IF(AND(BH1479=1,BG1479=0,N(AW1479)&lt;Setup!$D$7),(AW1479-40000)*10000+1478,"")</f>
        <v/>
      </c>
      <c r="BM1479">
        <f>IF(AND(BH1479=1,AZ1479&lt;&gt;"Cancelled",N(AW1479)&gt;=Dashboard!$AB$3,N(AW1479)&lt;=Dashboard!$AB$3+6),(AW1479-40000)*100000+BF1479*10000+1478,"")</f>
        <v/>
      </c>
      <c r="BN1479">
        <f>IF(AND(BH1479=1,AZ1479&lt;&gt;"Cancelled"),BF1479*10000+1478,"")</f>
        <v/>
      </c>
    </row>
    <row r="1480">
      <c r="AS1480" t="inlineStr">
        <is>
          <t>R</t>
        </is>
      </c>
      <c r="AT1480" t="n">
        <v>1484</v>
      </c>
      <c r="AU1480">
        <f>'Recurring Log'!C1484&amp;""</f>
        <v/>
      </c>
      <c r="AV1480">
        <f>'Recurring Log'!D1484&amp;""</f>
        <v/>
      </c>
      <c r="AW1480">
        <f>IF('Recurring Log'!E1484="","",'Recurring Log'!E1484)</f>
        <v/>
      </c>
      <c r="AX1480">
        <f>IF('Recurring Log'!G1484="","",'Recurring Log'!G1484)</f>
        <v/>
      </c>
      <c r="AY1480">
        <f>IF('Recurring Log'!H1484="","",'Recurring Log'!H1484)</f>
        <v/>
      </c>
      <c r="AZ1480">
        <f>IF(AU1480="","",IF('Recurring Log'!J1484="","Not Started",'Recurring Log'!J1484))</f>
        <v/>
      </c>
      <c r="BA1480">
        <f>'Recurring Log'!L1484&amp;""</f>
        <v/>
      </c>
      <c r="BB1480">
        <f>'Recurring Log'!M1484&amp;""</f>
        <v/>
      </c>
      <c r="BC1480">
        <f>'Recurring Log'!N1484&amp;""</f>
        <v/>
      </c>
      <c r="BD1480">
        <f>'Recurring Log'!O1484&amp;""</f>
        <v/>
      </c>
      <c r="BE1480">
        <f>IF('Recurring Log'!K1484="","",'Recurring Log'!K1484)</f>
        <v/>
      </c>
      <c r="BF1480">
        <f>IFERROR(MATCH(BA1480,Setup!$L$6:$L$9,0),5)</f>
        <v/>
      </c>
      <c r="BG1480">
        <f>IF(OR(AZ1480="Done",AZ1480="Cancelled"),1,0)</f>
        <v/>
      </c>
      <c r="BH1480">
        <f>IF(AND(AU1480&lt;&gt;"",ISNUMBER(AW1480)),1,0)</f>
        <v/>
      </c>
      <c r="BI1480">
        <f>IF(BH1480=0,0,IF(AND(AW1480&gt;='Tasks Filter'!$F$3,AW1480&lt;='Tasks Filter'!$F$4,OR('Tasks Filter'!$I$3="",ISNUMBER(SEARCH('Tasks Filter'!$I$3,AU1480))),OR('Tasks Filter'!$I$4="",BF1480=IFERROR(MATCH('Tasks Filter'!$I$4,Setup!$L$6:$L$9,0),0)),OR('Tasks Filter'!$I$5="Both",AND('Tasks Filter'!$I$5="Yes",BB1480="✓"),AND('Tasks Filter'!$I$5="No",BB1480&lt;&gt;"✓")),OR('Tasks Filter'!$L$3="",AV1480='Tasks Filter'!$L$3),OR('Tasks Filter'!$L$4="",AZ1480='Tasks Filter'!$L$4),OR('Tasks Filter'!$L$5="",BC1480='Tasks Filter'!$L$5),OR('Tasks Filter'!$O$3="",BD1480='Tasks Filter'!$O$3),OR('Tasks Filter'!$O$4="Yes",BG1480=0)),1,0))</f>
        <v/>
      </c>
      <c r="BJ1480">
        <f>IF(BH1480=0,"",IF('Tasks Filter'!$F$6="Descending",-1,1)*CHOOSE(MATCH('Tasks Filter'!$F$5,Lists!$G$2:$G$6,0),AW1480,BF1480,IFERROR(MATCH(AV1480,Setup!$F$6:$F$15,0),99),IFERROR(MATCH(BC1480,Setup!$H$6:$H$15,0),99),IFERROR(MATCH(AZ1480,Setup!$J$6:$J$11,0),99))*1E+9+(AW1480-40000)*10000+1479)</f>
        <v/>
      </c>
      <c r="BK1480">
        <f>IF(BI1480=1,BJ1480,"")</f>
        <v/>
      </c>
      <c r="BL1480">
        <f>IF(AND(BH1480=1,BG1480=0,N(AW1480)&lt;Setup!$D$7),(AW1480-40000)*10000+1479,"")</f>
        <v/>
      </c>
      <c r="BM1480">
        <f>IF(AND(BH1480=1,AZ1480&lt;&gt;"Cancelled",N(AW1480)&gt;=Dashboard!$AB$3,N(AW1480)&lt;=Dashboard!$AB$3+6),(AW1480-40000)*100000+BF1480*10000+1479,"")</f>
        <v/>
      </c>
      <c r="BN1480">
        <f>IF(AND(BH1480=1,AZ1480&lt;&gt;"Cancelled"),BF1480*10000+1479,"")</f>
        <v/>
      </c>
    </row>
    <row r="1481">
      <c r="AS1481" t="inlineStr">
        <is>
          <t>R</t>
        </is>
      </c>
      <c r="AT1481" t="n">
        <v>1485</v>
      </c>
      <c r="AU1481">
        <f>'Recurring Log'!C1485&amp;""</f>
        <v/>
      </c>
      <c r="AV1481">
        <f>'Recurring Log'!D1485&amp;""</f>
        <v/>
      </c>
      <c r="AW1481">
        <f>IF('Recurring Log'!E1485="","",'Recurring Log'!E1485)</f>
        <v/>
      </c>
      <c r="AX1481">
        <f>IF('Recurring Log'!G1485="","",'Recurring Log'!G1485)</f>
        <v/>
      </c>
      <c r="AY1481">
        <f>IF('Recurring Log'!H1485="","",'Recurring Log'!H1485)</f>
        <v/>
      </c>
      <c r="AZ1481">
        <f>IF(AU1481="","",IF('Recurring Log'!J1485="","Not Started",'Recurring Log'!J1485))</f>
        <v/>
      </c>
      <c r="BA1481">
        <f>'Recurring Log'!L1485&amp;""</f>
        <v/>
      </c>
      <c r="BB1481">
        <f>'Recurring Log'!M1485&amp;""</f>
        <v/>
      </c>
      <c r="BC1481">
        <f>'Recurring Log'!N1485&amp;""</f>
        <v/>
      </c>
      <c r="BD1481">
        <f>'Recurring Log'!O1485&amp;""</f>
        <v/>
      </c>
      <c r="BE1481">
        <f>IF('Recurring Log'!K1485="","",'Recurring Log'!K1485)</f>
        <v/>
      </c>
      <c r="BF1481">
        <f>IFERROR(MATCH(BA1481,Setup!$L$6:$L$9,0),5)</f>
        <v/>
      </c>
      <c r="BG1481">
        <f>IF(OR(AZ1481="Done",AZ1481="Cancelled"),1,0)</f>
        <v/>
      </c>
      <c r="BH1481">
        <f>IF(AND(AU1481&lt;&gt;"",ISNUMBER(AW1481)),1,0)</f>
        <v/>
      </c>
      <c r="BI1481">
        <f>IF(BH1481=0,0,IF(AND(AW1481&gt;='Tasks Filter'!$F$3,AW1481&lt;='Tasks Filter'!$F$4,OR('Tasks Filter'!$I$3="",ISNUMBER(SEARCH('Tasks Filter'!$I$3,AU1481))),OR('Tasks Filter'!$I$4="",BF1481=IFERROR(MATCH('Tasks Filter'!$I$4,Setup!$L$6:$L$9,0),0)),OR('Tasks Filter'!$I$5="Both",AND('Tasks Filter'!$I$5="Yes",BB1481="✓"),AND('Tasks Filter'!$I$5="No",BB1481&lt;&gt;"✓")),OR('Tasks Filter'!$L$3="",AV1481='Tasks Filter'!$L$3),OR('Tasks Filter'!$L$4="",AZ1481='Tasks Filter'!$L$4),OR('Tasks Filter'!$L$5="",BC1481='Tasks Filter'!$L$5),OR('Tasks Filter'!$O$3="",BD1481='Tasks Filter'!$O$3),OR('Tasks Filter'!$O$4="Yes",BG1481=0)),1,0))</f>
        <v/>
      </c>
      <c r="BJ1481">
        <f>IF(BH1481=0,"",IF('Tasks Filter'!$F$6="Descending",-1,1)*CHOOSE(MATCH('Tasks Filter'!$F$5,Lists!$G$2:$G$6,0),AW1481,BF1481,IFERROR(MATCH(AV1481,Setup!$F$6:$F$15,0),99),IFERROR(MATCH(BC1481,Setup!$H$6:$H$15,0),99),IFERROR(MATCH(AZ1481,Setup!$J$6:$J$11,0),99))*1E+9+(AW1481-40000)*10000+1480)</f>
        <v/>
      </c>
      <c r="BK1481">
        <f>IF(BI1481=1,BJ1481,"")</f>
        <v/>
      </c>
      <c r="BL1481">
        <f>IF(AND(BH1481=1,BG1481=0,N(AW1481)&lt;Setup!$D$7),(AW1481-40000)*10000+1480,"")</f>
        <v/>
      </c>
      <c r="BM1481">
        <f>IF(AND(BH1481=1,AZ1481&lt;&gt;"Cancelled",N(AW1481)&gt;=Dashboard!$AB$3,N(AW1481)&lt;=Dashboard!$AB$3+6),(AW1481-40000)*100000+BF1481*10000+1480,"")</f>
        <v/>
      </c>
      <c r="BN1481">
        <f>IF(AND(BH1481=1,AZ1481&lt;&gt;"Cancelled"),BF1481*10000+1480,"")</f>
        <v/>
      </c>
    </row>
    <row r="1482">
      <c r="AS1482" t="inlineStr">
        <is>
          <t>R</t>
        </is>
      </c>
      <c r="AT1482" t="n">
        <v>1486</v>
      </c>
      <c r="AU1482">
        <f>'Recurring Log'!C1486&amp;""</f>
        <v/>
      </c>
      <c r="AV1482">
        <f>'Recurring Log'!D1486&amp;""</f>
        <v/>
      </c>
      <c r="AW1482">
        <f>IF('Recurring Log'!E1486="","",'Recurring Log'!E1486)</f>
        <v/>
      </c>
      <c r="AX1482">
        <f>IF('Recurring Log'!G1486="","",'Recurring Log'!G1486)</f>
        <v/>
      </c>
      <c r="AY1482">
        <f>IF('Recurring Log'!H1486="","",'Recurring Log'!H1486)</f>
        <v/>
      </c>
      <c r="AZ1482">
        <f>IF(AU1482="","",IF('Recurring Log'!J1486="","Not Started",'Recurring Log'!J1486))</f>
        <v/>
      </c>
      <c r="BA1482">
        <f>'Recurring Log'!L1486&amp;""</f>
        <v/>
      </c>
      <c r="BB1482">
        <f>'Recurring Log'!M1486&amp;""</f>
        <v/>
      </c>
      <c r="BC1482">
        <f>'Recurring Log'!N1486&amp;""</f>
        <v/>
      </c>
      <c r="BD1482">
        <f>'Recurring Log'!O1486&amp;""</f>
        <v/>
      </c>
      <c r="BE1482">
        <f>IF('Recurring Log'!K1486="","",'Recurring Log'!K1486)</f>
        <v/>
      </c>
      <c r="BF1482">
        <f>IFERROR(MATCH(BA1482,Setup!$L$6:$L$9,0),5)</f>
        <v/>
      </c>
      <c r="BG1482">
        <f>IF(OR(AZ1482="Done",AZ1482="Cancelled"),1,0)</f>
        <v/>
      </c>
      <c r="BH1482">
        <f>IF(AND(AU1482&lt;&gt;"",ISNUMBER(AW1482)),1,0)</f>
        <v/>
      </c>
      <c r="BI1482">
        <f>IF(BH1482=0,0,IF(AND(AW1482&gt;='Tasks Filter'!$F$3,AW1482&lt;='Tasks Filter'!$F$4,OR('Tasks Filter'!$I$3="",ISNUMBER(SEARCH('Tasks Filter'!$I$3,AU1482))),OR('Tasks Filter'!$I$4="",BF1482=IFERROR(MATCH('Tasks Filter'!$I$4,Setup!$L$6:$L$9,0),0)),OR('Tasks Filter'!$I$5="Both",AND('Tasks Filter'!$I$5="Yes",BB1482="✓"),AND('Tasks Filter'!$I$5="No",BB1482&lt;&gt;"✓")),OR('Tasks Filter'!$L$3="",AV1482='Tasks Filter'!$L$3),OR('Tasks Filter'!$L$4="",AZ1482='Tasks Filter'!$L$4),OR('Tasks Filter'!$L$5="",BC1482='Tasks Filter'!$L$5),OR('Tasks Filter'!$O$3="",BD1482='Tasks Filter'!$O$3),OR('Tasks Filter'!$O$4="Yes",BG1482=0)),1,0))</f>
        <v/>
      </c>
      <c r="BJ1482">
        <f>IF(BH1482=0,"",IF('Tasks Filter'!$F$6="Descending",-1,1)*CHOOSE(MATCH('Tasks Filter'!$F$5,Lists!$G$2:$G$6,0),AW1482,BF1482,IFERROR(MATCH(AV1482,Setup!$F$6:$F$15,0),99),IFERROR(MATCH(BC1482,Setup!$H$6:$H$15,0),99),IFERROR(MATCH(AZ1482,Setup!$J$6:$J$11,0),99))*1E+9+(AW1482-40000)*10000+1481)</f>
        <v/>
      </c>
      <c r="BK1482">
        <f>IF(BI1482=1,BJ1482,"")</f>
        <v/>
      </c>
      <c r="BL1482">
        <f>IF(AND(BH1482=1,BG1482=0,N(AW1482)&lt;Setup!$D$7),(AW1482-40000)*10000+1481,"")</f>
        <v/>
      </c>
      <c r="BM1482">
        <f>IF(AND(BH1482=1,AZ1482&lt;&gt;"Cancelled",N(AW1482)&gt;=Dashboard!$AB$3,N(AW1482)&lt;=Dashboard!$AB$3+6),(AW1482-40000)*100000+BF1482*10000+1481,"")</f>
        <v/>
      </c>
      <c r="BN1482">
        <f>IF(AND(BH1482=1,AZ1482&lt;&gt;"Cancelled"),BF1482*10000+1481,"")</f>
        <v/>
      </c>
    </row>
    <row r="1483">
      <c r="AS1483" t="inlineStr">
        <is>
          <t>R</t>
        </is>
      </c>
      <c r="AT1483" t="n">
        <v>1487</v>
      </c>
      <c r="AU1483">
        <f>'Recurring Log'!C1487&amp;""</f>
        <v/>
      </c>
      <c r="AV1483">
        <f>'Recurring Log'!D1487&amp;""</f>
        <v/>
      </c>
      <c r="AW1483">
        <f>IF('Recurring Log'!E1487="","",'Recurring Log'!E1487)</f>
        <v/>
      </c>
      <c r="AX1483">
        <f>IF('Recurring Log'!G1487="","",'Recurring Log'!G1487)</f>
        <v/>
      </c>
      <c r="AY1483">
        <f>IF('Recurring Log'!H1487="","",'Recurring Log'!H1487)</f>
        <v/>
      </c>
      <c r="AZ1483">
        <f>IF(AU1483="","",IF('Recurring Log'!J1487="","Not Started",'Recurring Log'!J1487))</f>
        <v/>
      </c>
      <c r="BA1483">
        <f>'Recurring Log'!L1487&amp;""</f>
        <v/>
      </c>
      <c r="BB1483">
        <f>'Recurring Log'!M1487&amp;""</f>
        <v/>
      </c>
      <c r="BC1483">
        <f>'Recurring Log'!N1487&amp;""</f>
        <v/>
      </c>
      <c r="BD1483">
        <f>'Recurring Log'!O1487&amp;""</f>
        <v/>
      </c>
      <c r="BE1483">
        <f>IF('Recurring Log'!K1487="","",'Recurring Log'!K1487)</f>
        <v/>
      </c>
      <c r="BF1483">
        <f>IFERROR(MATCH(BA1483,Setup!$L$6:$L$9,0),5)</f>
        <v/>
      </c>
      <c r="BG1483">
        <f>IF(OR(AZ1483="Done",AZ1483="Cancelled"),1,0)</f>
        <v/>
      </c>
      <c r="BH1483">
        <f>IF(AND(AU1483&lt;&gt;"",ISNUMBER(AW1483)),1,0)</f>
        <v/>
      </c>
      <c r="BI1483">
        <f>IF(BH1483=0,0,IF(AND(AW1483&gt;='Tasks Filter'!$F$3,AW1483&lt;='Tasks Filter'!$F$4,OR('Tasks Filter'!$I$3="",ISNUMBER(SEARCH('Tasks Filter'!$I$3,AU1483))),OR('Tasks Filter'!$I$4="",BF1483=IFERROR(MATCH('Tasks Filter'!$I$4,Setup!$L$6:$L$9,0),0)),OR('Tasks Filter'!$I$5="Both",AND('Tasks Filter'!$I$5="Yes",BB1483="✓"),AND('Tasks Filter'!$I$5="No",BB1483&lt;&gt;"✓")),OR('Tasks Filter'!$L$3="",AV1483='Tasks Filter'!$L$3),OR('Tasks Filter'!$L$4="",AZ1483='Tasks Filter'!$L$4),OR('Tasks Filter'!$L$5="",BC1483='Tasks Filter'!$L$5),OR('Tasks Filter'!$O$3="",BD1483='Tasks Filter'!$O$3),OR('Tasks Filter'!$O$4="Yes",BG1483=0)),1,0))</f>
        <v/>
      </c>
      <c r="BJ1483">
        <f>IF(BH1483=0,"",IF('Tasks Filter'!$F$6="Descending",-1,1)*CHOOSE(MATCH('Tasks Filter'!$F$5,Lists!$G$2:$G$6,0),AW1483,BF1483,IFERROR(MATCH(AV1483,Setup!$F$6:$F$15,0),99),IFERROR(MATCH(BC1483,Setup!$H$6:$H$15,0),99),IFERROR(MATCH(AZ1483,Setup!$J$6:$J$11,0),99))*1E+9+(AW1483-40000)*10000+1482)</f>
        <v/>
      </c>
      <c r="BK1483">
        <f>IF(BI1483=1,BJ1483,"")</f>
        <v/>
      </c>
      <c r="BL1483">
        <f>IF(AND(BH1483=1,BG1483=0,N(AW1483)&lt;Setup!$D$7),(AW1483-40000)*10000+1482,"")</f>
        <v/>
      </c>
      <c r="BM1483">
        <f>IF(AND(BH1483=1,AZ1483&lt;&gt;"Cancelled",N(AW1483)&gt;=Dashboard!$AB$3,N(AW1483)&lt;=Dashboard!$AB$3+6),(AW1483-40000)*100000+BF1483*10000+1482,"")</f>
        <v/>
      </c>
      <c r="BN1483">
        <f>IF(AND(BH1483=1,AZ1483&lt;&gt;"Cancelled"),BF1483*10000+1482,"")</f>
        <v/>
      </c>
    </row>
    <row r="1484">
      <c r="AS1484" t="inlineStr">
        <is>
          <t>R</t>
        </is>
      </c>
      <c r="AT1484" t="n">
        <v>1488</v>
      </c>
      <c r="AU1484">
        <f>'Recurring Log'!C1488&amp;""</f>
        <v/>
      </c>
      <c r="AV1484">
        <f>'Recurring Log'!D1488&amp;""</f>
        <v/>
      </c>
      <c r="AW1484">
        <f>IF('Recurring Log'!E1488="","",'Recurring Log'!E1488)</f>
        <v/>
      </c>
      <c r="AX1484">
        <f>IF('Recurring Log'!G1488="","",'Recurring Log'!G1488)</f>
        <v/>
      </c>
      <c r="AY1484">
        <f>IF('Recurring Log'!H1488="","",'Recurring Log'!H1488)</f>
        <v/>
      </c>
      <c r="AZ1484">
        <f>IF(AU1484="","",IF('Recurring Log'!J1488="","Not Started",'Recurring Log'!J1488))</f>
        <v/>
      </c>
      <c r="BA1484">
        <f>'Recurring Log'!L1488&amp;""</f>
        <v/>
      </c>
      <c r="BB1484">
        <f>'Recurring Log'!M1488&amp;""</f>
        <v/>
      </c>
      <c r="BC1484">
        <f>'Recurring Log'!N1488&amp;""</f>
        <v/>
      </c>
      <c r="BD1484">
        <f>'Recurring Log'!O1488&amp;""</f>
        <v/>
      </c>
      <c r="BE1484">
        <f>IF('Recurring Log'!K1488="","",'Recurring Log'!K1488)</f>
        <v/>
      </c>
      <c r="BF1484">
        <f>IFERROR(MATCH(BA1484,Setup!$L$6:$L$9,0),5)</f>
        <v/>
      </c>
      <c r="BG1484">
        <f>IF(OR(AZ1484="Done",AZ1484="Cancelled"),1,0)</f>
        <v/>
      </c>
      <c r="BH1484">
        <f>IF(AND(AU1484&lt;&gt;"",ISNUMBER(AW1484)),1,0)</f>
        <v/>
      </c>
      <c r="BI1484">
        <f>IF(BH1484=0,0,IF(AND(AW1484&gt;='Tasks Filter'!$F$3,AW1484&lt;='Tasks Filter'!$F$4,OR('Tasks Filter'!$I$3="",ISNUMBER(SEARCH('Tasks Filter'!$I$3,AU1484))),OR('Tasks Filter'!$I$4="",BF1484=IFERROR(MATCH('Tasks Filter'!$I$4,Setup!$L$6:$L$9,0),0)),OR('Tasks Filter'!$I$5="Both",AND('Tasks Filter'!$I$5="Yes",BB1484="✓"),AND('Tasks Filter'!$I$5="No",BB1484&lt;&gt;"✓")),OR('Tasks Filter'!$L$3="",AV1484='Tasks Filter'!$L$3),OR('Tasks Filter'!$L$4="",AZ1484='Tasks Filter'!$L$4),OR('Tasks Filter'!$L$5="",BC1484='Tasks Filter'!$L$5),OR('Tasks Filter'!$O$3="",BD1484='Tasks Filter'!$O$3),OR('Tasks Filter'!$O$4="Yes",BG1484=0)),1,0))</f>
        <v/>
      </c>
      <c r="BJ1484">
        <f>IF(BH1484=0,"",IF('Tasks Filter'!$F$6="Descending",-1,1)*CHOOSE(MATCH('Tasks Filter'!$F$5,Lists!$G$2:$G$6,0),AW1484,BF1484,IFERROR(MATCH(AV1484,Setup!$F$6:$F$15,0),99),IFERROR(MATCH(BC1484,Setup!$H$6:$H$15,0),99),IFERROR(MATCH(AZ1484,Setup!$J$6:$J$11,0),99))*1E+9+(AW1484-40000)*10000+1483)</f>
        <v/>
      </c>
      <c r="BK1484">
        <f>IF(BI1484=1,BJ1484,"")</f>
        <v/>
      </c>
      <c r="BL1484">
        <f>IF(AND(BH1484=1,BG1484=0,N(AW1484)&lt;Setup!$D$7),(AW1484-40000)*10000+1483,"")</f>
        <v/>
      </c>
      <c r="BM1484">
        <f>IF(AND(BH1484=1,AZ1484&lt;&gt;"Cancelled",N(AW1484)&gt;=Dashboard!$AB$3,N(AW1484)&lt;=Dashboard!$AB$3+6),(AW1484-40000)*100000+BF1484*10000+1483,"")</f>
        <v/>
      </c>
      <c r="BN1484">
        <f>IF(AND(BH1484=1,AZ1484&lt;&gt;"Cancelled"),BF1484*10000+1483,"")</f>
        <v/>
      </c>
    </row>
    <row r="1485">
      <c r="AS1485" t="inlineStr">
        <is>
          <t>R</t>
        </is>
      </c>
      <c r="AT1485" t="n">
        <v>1489</v>
      </c>
      <c r="AU1485">
        <f>'Recurring Log'!C1489&amp;""</f>
        <v/>
      </c>
      <c r="AV1485">
        <f>'Recurring Log'!D1489&amp;""</f>
        <v/>
      </c>
      <c r="AW1485">
        <f>IF('Recurring Log'!E1489="","",'Recurring Log'!E1489)</f>
        <v/>
      </c>
      <c r="AX1485">
        <f>IF('Recurring Log'!G1489="","",'Recurring Log'!G1489)</f>
        <v/>
      </c>
      <c r="AY1485">
        <f>IF('Recurring Log'!H1489="","",'Recurring Log'!H1489)</f>
        <v/>
      </c>
      <c r="AZ1485">
        <f>IF(AU1485="","",IF('Recurring Log'!J1489="","Not Started",'Recurring Log'!J1489))</f>
        <v/>
      </c>
      <c r="BA1485">
        <f>'Recurring Log'!L1489&amp;""</f>
        <v/>
      </c>
      <c r="BB1485">
        <f>'Recurring Log'!M1489&amp;""</f>
        <v/>
      </c>
      <c r="BC1485">
        <f>'Recurring Log'!N1489&amp;""</f>
        <v/>
      </c>
      <c r="BD1485">
        <f>'Recurring Log'!O1489&amp;""</f>
        <v/>
      </c>
      <c r="BE1485">
        <f>IF('Recurring Log'!K1489="","",'Recurring Log'!K1489)</f>
        <v/>
      </c>
      <c r="BF1485">
        <f>IFERROR(MATCH(BA1485,Setup!$L$6:$L$9,0),5)</f>
        <v/>
      </c>
      <c r="BG1485">
        <f>IF(OR(AZ1485="Done",AZ1485="Cancelled"),1,0)</f>
        <v/>
      </c>
      <c r="BH1485">
        <f>IF(AND(AU1485&lt;&gt;"",ISNUMBER(AW1485)),1,0)</f>
        <v/>
      </c>
      <c r="BI1485">
        <f>IF(BH1485=0,0,IF(AND(AW1485&gt;='Tasks Filter'!$F$3,AW1485&lt;='Tasks Filter'!$F$4,OR('Tasks Filter'!$I$3="",ISNUMBER(SEARCH('Tasks Filter'!$I$3,AU1485))),OR('Tasks Filter'!$I$4="",BF1485=IFERROR(MATCH('Tasks Filter'!$I$4,Setup!$L$6:$L$9,0),0)),OR('Tasks Filter'!$I$5="Both",AND('Tasks Filter'!$I$5="Yes",BB1485="✓"),AND('Tasks Filter'!$I$5="No",BB1485&lt;&gt;"✓")),OR('Tasks Filter'!$L$3="",AV1485='Tasks Filter'!$L$3),OR('Tasks Filter'!$L$4="",AZ1485='Tasks Filter'!$L$4),OR('Tasks Filter'!$L$5="",BC1485='Tasks Filter'!$L$5),OR('Tasks Filter'!$O$3="",BD1485='Tasks Filter'!$O$3),OR('Tasks Filter'!$O$4="Yes",BG1485=0)),1,0))</f>
        <v/>
      </c>
      <c r="BJ1485">
        <f>IF(BH1485=0,"",IF('Tasks Filter'!$F$6="Descending",-1,1)*CHOOSE(MATCH('Tasks Filter'!$F$5,Lists!$G$2:$G$6,0),AW1485,BF1485,IFERROR(MATCH(AV1485,Setup!$F$6:$F$15,0),99),IFERROR(MATCH(BC1485,Setup!$H$6:$H$15,0),99),IFERROR(MATCH(AZ1485,Setup!$J$6:$J$11,0),99))*1E+9+(AW1485-40000)*10000+1484)</f>
        <v/>
      </c>
      <c r="BK1485">
        <f>IF(BI1485=1,BJ1485,"")</f>
        <v/>
      </c>
      <c r="BL1485">
        <f>IF(AND(BH1485=1,BG1485=0,N(AW1485)&lt;Setup!$D$7),(AW1485-40000)*10000+1484,"")</f>
        <v/>
      </c>
      <c r="BM1485">
        <f>IF(AND(BH1485=1,AZ1485&lt;&gt;"Cancelled",N(AW1485)&gt;=Dashboard!$AB$3,N(AW1485)&lt;=Dashboard!$AB$3+6),(AW1485-40000)*100000+BF1485*10000+1484,"")</f>
        <v/>
      </c>
      <c r="BN1485">
        <f>IF(AND(BH1485=1,AZ1485&lt;&gt;"Cancelled"),BF1485*10000+1484,"")</f>
        <v/>
      </c>
    </row>
    <row r="1486">
      <c r="AS1486" t="inlineStr">
        <is>
          <t>R</t>
        </is>
      </c>
      <c r="AT1486" t="n">
        <v>1490</v>
      </c>
      <c r="AU1486">
        <f>'Recurring Log'!C1490&amp;""</f>
        <v/>
      </c>
      <c r="AV1486">
        <f>'Recurring Log'!D1490&amp;""</f>
        <v/>
      </c>
      <c r="AW1486">
        <f>IF('Recurring Log'!E1490="","",'Recurring Log'!E1490)</f>
        <v/>
      </c>
      <c r="AX1486">
        <f>IF('Recurring Log'!G1490="","",'Recurring Log'!G1490)</f>
        <v/>
      </c>
      <c r="AY1486">
        <f>IF('Recurring Log'!H1490="","",'Recurring Log'!H1490)</f>
        <v/>
      </c>
      <c r="AZ1486">
        <f>IF(AU1486="","",IF('Recurring Log'!J1490="","Not Started",'Recurring Log'!J1490))</f>
        <v/>
      </c>
      <c r="BA1486">
        <f>'Recurring Log'!L1490&amp;""</f>
        <v/>
      </c>
      <c r="BB1486">
        <f>'Recurring Log'!M1490&amp;""</f>
        <v/>
      </c>
      <c r="BC1486">
        <f>'Recurring Log'!N1490&amp;""</f>
        <v/>
      </c>
      <c r="BD1486">
        <f>'Recurring Log'!O1490&amp;""</f>
        <v/>
      </c>
      <c r="BE1486">
        <f>IF('Recurring Log'!K1490="","",'Recurring Log'!K1490)</f>
        <v/>
      </c>
      <c r="BF1486">
        <f>IFERROR(MATCH(BA1486,Setup!$L$6:$L$9,0),5)</f>
        <v/>
      </c>
      <c r="BG1486">
        <f>IF(OR(AZ1486="Done",AZ1486="Cancelled"),1,0)</f>
        <v/>
      </c>
      <c r="BH1486">
        <f>IF(AND(AU1486&lt;&gt;"",ISNUMBER(AW1486)),1,0)</f>
        <v/>
      </c>
      <c r="BI1486">
        <f>IF(BH1486=0,0,IF(AND(AW1486&gt;='Tasks Filter'!$F$3,AW1486&lt;='Tasks Filter'!$F$4,OR('Tasks Filter'!$I$3="",ISNUMBER(SEARCH('Tasks Filter'!$I$3,AU1486))),OR('Tasks Filter'!$I$4="",BF1486=IFERROR(MATCH('Tasks Filter'!$I$4,Setup!$L$6:$L$9,0),0)),OR('Tasks Filter'!$I$5="Both",AND('Tasks Filter'!$I$5="Yes",BB1486="✓"),AND('Tasks Filter'!$I$5="No",BB1486&lt;&gt;"✓")),OR('Tasks Filter'!$L$3="",AV1486='Tasks Filter'!$L$3),OR('Tasks Filter'!$L$4="",AZ1486='Tasks Filter'!$L$4),OR('Tasks Filter'!$L$5="",BC1486='Tasks Filter'!$L$5),OR('Tasks Filter'!$O$3="",BD1486='Tasks Filter'!$O$3),OR('Tasks Filter'!$O$4="Yes",BG1486=0)),1,0))</f>
        <v/>
      </c>
      <c r="BJ1486">
        <f>IF(BH1486=0,"",IF('Tasks Filter'!$F$6="Descending",-1,1)*CHOOSE(MATCH('Tasks Filter'!$F$5,Lists!$G$2:$G$6,0),AW1486,BF1486,IFERROR(MATCH(AV1486,Setup!$F$6:$F$15,0),99),IFERROR(MATCH(BC1486,Setup!$H$6:$H$15,0),99),IFERROR(MATCH(AZ1486,Setup!$J$6:$J$11,0),99))*1E+9+(AW1486-40000)*10000+1485)</f>
        <v/>
      </c>
      <c r="BK1486">
        <f>IF(BI1486=1,BJ1486,"")</f>
        <v/>
      </c>
      <c r="BL1486">
        <f>IF(AND(BH1486=1,BG1486=0,N(AW1486)&lt;Setup!$D$7),(AW1486-40000)*10000+1485,"")</f>
        <v/>
      </c>
      <c r="BM1486">
        <f>IF(AND(BH1486=1,AZ1486&lt;&gt;"Cancelled",N(AW1486)&gt;=Dashboard!$AB$3,N(AW1486)&lt;=Dashboard!$AB$3+6),(AW1486-40000)*100000+BF1486*10000+1485,"")</f>
        <v/>
      </c>
      <c r="BN1486">
        <f>IF(AND(BH1486=1,AZ1486&lt;&gt;"Cancelled"),BF1486*10000+1485,"")</f>
        <v/>
      </c>
    </row>
    <row r="1487">
      <c r="AS1487" t="inlineStr">
        <is>
          <t>R</t>
        </is>
      </c>
      <c r="AT1487" t="n">
        <v>1491</v>
      </c>
      <c r="AU1487">
        <f>'Recurring Log'!C1491&amp;""</f>
        <v/>
      </c>
      <c r="AV1487">
        <f>'Recurring Log'!D1491&amp;""</f>
        <v/>
      </c>
      <c r="AW1487">
        <f>IF('Recurring Log'!E1491="","",'Recurring Log'!E1491)</f>
        <v/>
      </c>
      <c r="AX1487">
        <f>IF('Recurring Log'!G1491="","",'Recurring Log'!G1491)</f>
        <v/>
      </c>
      <c r="AY1487">
        <f>IF('Recurring Log'!H1491="","",'Recurring Log'!H1491)</f>
        <v/>
      </c>
      <c r="AZ1487">
        <f>IF(AU1487="","",IF('Recurring Log'!J1491="","Not Started",'Recurring Log'!J1491))</f>
        <v/>
      </c>
      <c r="BA1487">
        <f>'Recurring Log'!L1491&amp;""</f>
        <v/>
      </c>
      <c r="BB1487">
        <f>'Recurring Log'!M1491&amp;""</f>
        <v/>
      </c>
      <c r="BC1487">
        <f>'Recurring Log'!N1491&amp;""</f>
        <v/>
      </c>
      <c r="BD1487">
        <f>'Recurring Log'!O1491&amp;""</f>
        <v/>
      </c>
      <c r="BE1487">
        <f>IF('Recurring Log'!K1491="","",'Recurring Log'!K1491)</f>
        <v/>
      </c>
      <c r="BF1487">
        <f>IFERROR(MATCH(BA1487,Setup!$L$6:$L$9,0),5)</f>
        <v/>
      </c>
      <c r="BG1487">
        <f>IF(OR(AZ1487="Done",AZ1487="Cancelled"),1,0)</f>
        <v/>
      </c>
      <c r="BH1487">
        <f>IF(AND(AU1487&lt;&gt;"",ISNUMBER(AW1487)),1,0)</f>
        <v/>
      </c>
      <c r="BI1487">
        <f>IF(BH1487=0,0,IF(AND(AW1487&gt;='Tasks Filter'!$F$3,AW1487&lt;='Tasks Filter'!$F$4,OR('Tasks Filter'!$I$3="",ISNUMBER(SEARCH('Tasks Filter'!$I$3,AU1487))),OR('Tasks Filter'!$I$4="",BF1487=IFERROR(MATCH('Tasks Filter'!$I$4,Setup!$L$6:$L$9,0),0)),OR('Tasks Filter'!$I$5="Both",AND('Tasks Filter'!$I$5="Yes",BB1487="✓"),AND('Tasks Filter'!$I$5="No",BB1487&lt;&gt;"✓")),OR('Tasks Filter'!$L$3="",AV1487='Tasks Filter'!$L$3),OR('Tasks Filter'!$L$4="",AZ1487='Tasks Filter'!$L$4),OR('Tasks Filter'!$L$5="",BC1487='Tasks Filter'!$L$5),OR('Tasks Filter'!$O$3="",BD1487='Tasks Filter'!$O$3),OR('Tasks Filter'!$O$4="Yes",BG1487=0)),1,0))</f>
        <v/>
      </c>
      <c r="BJ1487">
        <f>IF(BH1487=0,"",IF('Tasks Filter'!$F$6="Descending",-1,1)*CHOOSE(MATCH('Tasks Filter'!$F$5,Lists!$G$2:$G$6,0),AW1487,BF1487,IFERROR(MATCH(AV1487,Setup!$F$6:$F$15,0),99),IFERROR(MATCH(BC1487,Setup!$H$6:$H$15,0),99),IFERROR(MATCH(AZ1487,Setup!$J$6:$J$11,0),99))*1E+9+(AW1487-40000)*10000+1486)</f>
        <v/>
      </c>
      <c r="BK1487">
        <f>IF(BI1487=1,BJ1487,"")</f>
        <v/>
      </c>
      <c r="BL1487">
        <f>IF(AND(BH1487=1,BG1487=0,N(AW1487)&lt;Setup!$D$7),(AW1487-40000)*10000+1486,"")</f>
        <v/>
      </c>
      <c r="BM1487">
        <f>IF(AND(BH1487=1,AZ1487&lt;&gt;"Cancelled",N(AW1487)&gt;=Dashboard!$AB$3,N(AW1487)&lt;=Dashboard!$AB$3+6),(AW1487-40000)*100000+BF1487*10000+1486,"")</f>
        <v/>
      </c>
      <c r="BN1487">
        <f>IF(AND(BH1487=1,AZ1487&lt;&gt;"Cancelled"),BF1487*10000+1486,"")</f>
        <v/>
      </c>
    </row>
    <row r="1488">
      <c r="AS1488" t="inlineStr">
        <is>
          <t>R</t>
        </is>
      </c>
      <c r="AT1488" t="n">
        <v>1492</v>
      </c>
      <c r="AU1488">
        <f>'Recurring Log'!C1492&amp;""</f>
        <v/>
      </c>
      <c r="AV1488">
        <f>'Recurring Log'!D1492&amp;""</f>
        <v/>
      </c>
      <c r="AW1488">
        <f>IF('Recurring Log'!E1492="","",'Recurring Log'!E1492)</f>
        <v/>
      </c>
      <c r="AX1488">
        <f>IF('Recurring Log'!G1492="","",'Recurring Log'!G1492)</f>
        <v/>
      </c>
      <c r="AY1488">
        <f>IF('Recurring Log'!H1492="","",'Recurring Log'!H1492)</f>
        <v/>
      </c>
      <c r="AZ1488">
        <f>IF(AU1488="","",IF('Recurring Log'!J1492="","Not Started",'Recurring Log'!J1492))</f>
        <v/>
      </c>
      <c r="BA1488">
        <f>'Recurring Log'!L1492&amp;""</f>
        <v/>
      </c>
      <c r="BB1488">
        <f>'Recurring Log'!M1492&amp;""</f>
        <v/>
      </c>
      <c r="BC1488">
        <f>'Recurring Log'!N1492&amp;""</f>
        <v/>
      </c>
      <c r="BD1488">
        <f>'Recurring Log'!O1492&amp;""</f>
        <v/>
      </c>
      <c r="BE1488">
        <f>IF('Recurring Log'!K1492="","",'Recurring Log'!K1492)</f>
        <v/>
      </c>
      <c r="BF1488">
        <f>IFERROR(MATCH(BA1488,Setup!$L$6:$L$9,0),5)</f>
        <v/>
      </c>
      <c r="BG1488">
        <f>IF(OR(AZ1488="Done",AZ1488="Cancelled"),1,0)</f>
        <v/>
      </c>
      <c r="BH1488">
        <f>IF(AND(AU1488&lt;&gt;"",ISNUMBER(AW1488)),1,0)</f>
        <v/>
      </c>
      <c r="BI1488">
        <f>IF(BH1488=0,0,IF(AND(AW1488&gt;='Tasks Filter'!$F$3,AW1488&lt;='Tasks Filter'!$F$4,OR('Tasks Filter'!$I$3="",ISNUMBER(SEARCH('Tasks Filter'!$I$3,AU1488))),OR('Tasks Filter'!$I$4="",BF1488=IFERROR(MATCH('Tasks Filter'!$I$4,Setup!$L$6:$L$9,0),0)),OR('Tasks Filter'!$I$5="Both",AND('Tasks Filter'!$I$5="Yes",BB1488="✓"),AND('Tasks Filter'!$I$5="No",BB1488&lt;&gt;"✓")),OR('Tasks Filter'!$L$3="",AV1488='Tasks Filter'!$L$3),OR('Tasks Filter'!$L$4="",AZ1488='Tasks Filter'!$L$4),OR('Tasks Filter'!$L$5="",BC1488='Tasks Filter'!$L$5),OR('Tasks Filter'!$O$3="",BD1488='Tasks Filter'!$O$3),OR('Tasks Filter'!$O$4="Yes",BG1488=0)),1,0))</f>
        <v/>
      </c>
      <c r="BJ1488">
        <f>IF(BH1488=0,"",IF('Tasks Filter'!$F$6="Descending",-1,1)*CHOOSE(MATCH('Tasks Filter'!$F$5,Lists!$G$2:$G$6,0),AW1488,BF1488,IFERROR(MATCH(AV1488,Setup!$F$6:$F$15,0),99),IFERROR(MATCH(BC1488,Setup!$H$6:$H$15,0),99),IFERROR(MATCH(AZ1488,Setup!$J$6:$J$11,0),99))*1E+9+(AW1488-40000)*10000+1487)</f>
        <v/>
      </c>
      <c r="BK1488">
        <f>IF(BI1488=1,BJ1488,"")</f>
        <v/>
      </c>
      <c r="BL1488">
        <f>IF(AND(BH1488=1,BG1488=0,N(AW1488)&lt;Setup!$D$7),(AW1488-40000)*10000+1487,"")</f>
        <v/>
      </c>
      <c r="BM1488">
        <f>IF(AND(BH1488=1,AZ1488&lt;&gt;"Cancelled",N(AW1488)&gt;=Dashboard!$AB$3,N(AW1488)&lt;=Dashboard!$AB$3+6),(AW1488-40000)*100000+BF1488*10000+1487,"")</f>
        <v/>
      </c>
      <c r="BN1488">
        <f>IF(AND(BH1488=1,AZ1488&lt;&gt;"Cancelled"),BF1488*10000+1487,"")</f>
        <v/>
      </c>
    </row>
    <row r="1489">
      <c r="AS1489" t="inlineStr">
        <is>
          <t>R</t>
        </is>
      </c>
      <c r="AT1489" t="n">
        <v>1493</v>
      </c>
      <c r="AU1489">
        <f>'Recurring Log'!C1493&amp;""</f>
        <v/>
      </c>
      <c r="AV1489">
        <f>'Recurring Log'!D1493&amp;""</f>
        <v/>
      </c>
      <c r="AW1489">
        <f>IF('Recurring Log'!E1493="","",'Recurring Log'!E1493)</f>
        <v/>
      </c>
      <c r="AX1489">
        <f>IF('Recurring Log'!G1493="","",'Recurring Log'!G1493)</f>
        <v/>
      </c>
      <c r="AY1489">
        <f>IF('Recurring Log'!H1493="","",'Recurring Log'!H1493)</f>
        <v/>
      </c>
      <c r="AZ1489">
        <f>IF(AU1489="","",IF('Recurring Log'!J1493="","Not Started",'Recurring Log'!J1493))</f>
        <v/>
      </c>
      <c r="BA1489">
        <f>'Recurring Log'!L1493&amp;""</f>
        <v/>
      </c>
      <c r="BB1489">
        <f>'Recurring Log'!M1493&amp;""</f>
        <v/>
      </c>
      <c r="BC1489">
        <f>'Recurring Log'!N1493&amp;""</f>
        <v/>
      </c>
      <c r="BD1489">
        <f>'Recurring Log'!O1493&amp;""</f>
        <v/>
      </c>
      <c r="BE1489">
        <f>IF('Recurring Log'!K1493="","",'Recurring Log'!K1493)</f>
        <v/>
      </c>
      <c r="BF1489">
        <f>IFERROR(MATCH(BA1489,Setup!$L$6:$L$9,0),5)</f>
        <v/>
      </c>
      <c r="BG1489">
        <f>IF(OR(AZ1489="Done",AZ1489="Cancelled"),1,0)</f>
        <v/>
      </c>
      <c r="BH1489">
        <f>IF(AND(AU1489&lt;&gt;"",ISNUMBER(AW1489)),1,0)</f>
        <v/>
      </c>
      <c r="BI1489">
        <f>IF(BH1489=0,0,IF(AND(AW1489&gt;='Tasks Filter'!$F$3,AW1489&lt;='Tasks Filter'!$F$4,OR('Tasks Filter'!$I$3="",ISNUMBER(SEARCH('Tasks Filter'!$I$3,AU1489))),OR('Tasks Filter'!$I$4="",BF1489=IFERROR(MATCH('Tasks Filter'!$I$4,Setup!$L$6:$L$9,0),0)),OR('Tasks Filter'!$I$5="Both",AND('Tasks Filter'!$I$5="Yes",BB1489="✓"),AND('Tasks Filter'!$I$5="No",BB1489&lt;&gt;"✓")),OR('Tasks Filter'!$L$3="",AV1489='Tasks Filter'!$L$3),OR('Tasks Filter'!$L$4="",AZ1489='Tasks Filter'!$L$4),OR('Tasks Filter'!$L$5="",BC1489='Tasks Filter'!$L$5),OR('Tasks Filter'!$O$3="",BD1489='Tasks Filter'!$O$3),OR('Tasks Filter'!$O$4="Yes",BG1489=0)),1,0))</f>
        <v/>
      </c>
      <c r="BJ1489">
        <f>IF(BH1489=0,"",IF('Tasks Filter'!$F$6="Descending",-1,1)*CHOOSE(MATCH('Tasks Filter'!$F$5,Lists!$G$2:$G$6,0),AW1489,BF1489,IFERROR(MATCH(AV1489,Setup!$F$6:$F$15,0),99),IFERROR(MATCH(BC1489,Setup!$H$6:$H$15,0),99),IFERROR(MATCH(AZ1489,Setup!$J$6:$J$11,0),99))*1E+9+(AW1489-40000)*10000+1488)</f>
        <v/>
      </c>
      <c r="BK1489">
        <f>IF(BI1489=1,BJ1489,"")</f>
        <v/>
      </c>
      <c r="BL1489">
        <f>IF(AND(BH1489=1,BG1489=0,N(AW1489)&lt;Setup!$D$7),(AW1489-40000)*10000+1488,"")</f>
        <v/>
      </c>
      <c r="BM1489">
        <f>IF(AND(BH1489=1,AZ1489&lt;&gt;"Cancelled",N(AW1489)&gt;=Dashboard!$AB$3,N(AW1489)&lt;=Dashboard!$AB$3+6),(AW1489-40000)*100000+BF1489*10000+1488,"")</f>
        <v/>
      </c>
      <c r="BN1489">
        <f>IF(AND(BH1489=1,AZ1489&lt;&gt;"Cancelled"),BF1489*10000+1488,"")</f>
        <v/>
      </c>
    </row>
    <row r="1490">
      <c r="AS1490" t="inlineStr">
        <is>
          <t>R</t>
        </is>
      </c>
      <c r="AT1490" t="n">
        <v>1494</v>
      </c>
      <c r="AU1490">
        <f>'Recurring Log'!C1494&amp;""</f>
        <v/>
      </c>
      <c r="AV1490">
        <f>'Recurring Log'!D1494&amp;""</f>
        <v/>
      </c>
      <c r="AW1490">
        <f>IF('Recurring Log'!E1494="","",'Recurring Log'!E1494)</f>
        <v/>
      </c>
      <c r="AX1490">
        <f>IF('Recurring Log'!G1494="","",'Recurring Log'!G1494)</f>
        <v/>
      </c>
      <c r="AY1490">
        <f>IF('Recurring Log'!H1494="","",'Recurring Log'!H1494)</f>
        <v/>
      </c>
      <c r="AZ1490">
        <f>IF(AU1490="","",IF('Recurring Log'!J1494="","Not Started",'Recurring Log'!J1494))</f>
        <v/>
      </c>
      <c r="BA1490">
        <f>'Recurring Log'!L1494&amp;""</f>
        <v/>
      </c>
      <c r="BB1490">
        <f>'Recurring Log'!M1494&amp;""</f>
        <v/>
      </c>
      <c r="BC1490">
        <f>'Recurring Log'!N1494&amp;""</f>
        <v/>
      </c>
      <c r="BD1490">
        <f>'Recurring Log'!O1494&amp;""</f>
        <v/>
      </c>
      <c r="BE1490">
        <f>IF('Recurring Log'!K1494="","",'Recurring Log'!K1494)</f>
        <v/>
      </c>
      <c r="BF1490">
        <f>IFERROR(MATCH(BA1490,Setup!$L$6:$L$9,0),5)</f>
        <v/>
      </c>
      <c r="BG1490">
        <f>IF(OR(AZ1490="Done",AZ1490="Cancelled"),1,0)</f>
        <v/>
      </c>
      <c r="BH1490">
        <f>IF(AND(AU1490&lt;&gt;"",ISNUMBER(AW1490)),1,0)</f>
        <v/>
      </c>
      <c r="BI1490">
        <f>IF(BH1490=0,0,IF(AND(AW1490&gt;='Tasks Filter'!$F$3,AW1490&lt;='Tasks Filter'!$F$4,OR('Tasks Filter'!$I$3="",ISNUMBER(SEARCH('Tasks Filter'!$I$3,AU1490))),OR('Tasks Filter'!$I$4="",BF1490=IFERROR(MATCH('Tasks Filter'!$I$4,Setup!$L$6:$L$9,0),0)),OR('Tasks Filter'!$I$5="Both",AND('Tasks Filter'!$I$5="Yes",BB1490="✓"),AND('Tasks Filter'!$I$5="No",BB1490&lt;&gt;"✓")),OR('Tasks Filter'!$L$3="",AV1490='Tasks Filter'!$L$3),OR('Tasks Filter'!$L$4="",AZ1490='Tasks Filter'!$L$4),OR('Tasks Filter'!$L$5="",BC1490='Tasks Filter'!$L$5),OR('Tasks Filter'!$O$3="",BD1490='Tasks Filter'!$O$3),OR('Tasks Filter'!$O$4="Yes",BG1490=0)),1,0))</f>
        <v/>
      </c>
      <c r="BJ1490">
        <f>IF(BH1490=0,"",IF('Tasks Filter'!$F$6="Descending",-1,1)*CHOOSE(MATCH('Tasks Filter'!$F$5,Lists!$G$2:$G$6,0),AW1490,BF1490,IFERROR(MATCH(AV1490,Setup!$F$6:$F$15,0),99),IFERROR(MATCH(BC1490,Setup!$H$6:$H$15,0),99),IFERROR(MATCH(AZ1490,Setup!$J$6:$J$11,0),99))*1E+9+(AW1490-40000)*10000+1489)</f>
        <v/>
      </c>
      <c r="BK1490">
        <f>IF(BI1490=1,BJ1490,"")</f>
        <v/>
      </c>
      <c r="BL1490">
        <f>IF(AND(BH1490=1,BG1490=0,N(AW1490)&lt;Setup!$D$7),(AW1490-40000)*10000+1489,"")</f>
        <v/>
      </c>
      <c r="BM1490">
        <f>IF(AND(BH1490=1,AZ1490&lt;&gt;"Cancelled",N(AW1490)&gt;=Dashboard!$AB$3,N(AW1490)&lt;=Dashboard!$AB$3+6),(AW1490-40000)*100000+BF1490*10000+1489,"")</f>
        <v/>
      </c>
      <c r="BN1490">
        <f>IF(AND(BH1490=1,AZ1490&lt;&gt;"Cancelled"),BF1490*10000+1489,"")</f>
        <v/>
      </c>
    </row>
    <row r="1491">
      <c r="AS1491" t="inlineStr">
        <is>
          <t>R</t>
        </is>
      </c>
      <c r="AT1491" t="n">
        <v>1495</v>
      </c>
      <c r="AU1491">
        <f>'Recurring Log'!C1495&amp;""</f>
        <v/>
      </c>
      <c r="AV1491">
        <f>'Recurring Log'!D1495&amp;""</f>
        <v/>
      </c>
      <c r="AW1491">
        <f>IF('Recurring Log'!E1495="","",'Recurring Log'!E1495)</f>
        <v/>
      </c>
      <c r="AX1491">
        <f>IF('Recurring Log'!G1495="","",'Recurring Log'!G1495)</f>
        <v/>
      </c>
      <c r="AY1491">
        <f>IF('Recurring Log'!H1495="","",'Recurring Log'!H1495)</f>
        <v/>
      </c>
      <c r="AZ1491">
        <f>IF(AU1491="","",IF('Recurring Log'!J1495="","Not Started",'Recurring Log'!J1495))</f>
        <v/>
      </c>
      <c r="BA1491">
        <f>'Recurring Log'!L1495&amp;""</f>
        <v/>
      </c>
      <c r="BB1491">
        <f>'Recurring Log'!M1495&amp;""</f>
        <v/>
      </c>
      <c r="BC1491">
        <f>'Recurring Log'!N1495&amp;""</f>
        <v/>
      </c>
      <c r="BD1491">
        <f>'Recurring Log'!O1495&amp;""</f>
        <v/>
      </c>
      <c r="BE1491">
        <f>IF('Recurring Log'!K1495="","",'Recurring Log'!K1495)</f>
        <v/>
      </c>
      <c r="BF1491">
        <f>IFERROR(MATCH(BA1491,Setup!$L$6:$L$9,0),5)</f>
        <v/>
      </c>
      <c r="BG1491">
        <f>IF(OR(AZ1491="Done",AZ1491="Cancelled"),1,0)</f>
        <v/>
      </c>
      <c r="BH1491">
        <f>IF(AND(AU1491&lt;&gt;"",ISNUMBER(AW1491)),1,0)</f>
        <v/>
      </c>
      <c r="BI1491">
        <f>IF(BH1491=0,0,IF(AND(AW1491&gt;='Tasks Filter'!$F$3,AW1491&lt;='Tasks Filter'!$F$4,OR('Tasks Filter'!$I$3="",ISNUMBER(SEARCH('Tasks Filter'!$I$3,AU1491))),OR('Tasks Filter'!$I$4="",BF1491=IFERROR(MATCH('Tasks Filter'!$I$4,Setup!$L$6:$L$9,0),0)),OR('Tasks Filter'!$I$5="Both",AND('Tasks Filter'!$I$5="Yes",BB1491="✓"),AND('Tasks Filter'!$I$5="No",BB1491&lt;&gt;"✓")),OR('Tasks Filter'!$L$3="",AV1491='Tasks Filter'!$L$3),OR('Tasks Filter'!$L$4="",AZ1491='Tasks Filter'!$L$4),OR('Tasks Filter'!$L$5="",BC1491='Tasks Filter'!$L$5),OR('Tasks Filter'!$O$3="",BD1491='Tasks Filter'!$O$3),OR('Tasks Filter'!$O$4="Yes",BG1491=0)),1,0))</f>
        <v/>
      </c>
      <c r="BJ1491">
        <f>IF(BH1491=0,"",IF('Tasks Filter'!$F$6="Descending",-1,1)*CHOOSE(MATCH('Tasks Filter'!$F$5,Lists!$G$2:$G$6,0),AW1491,BF1491,IFERROR(MATCH(AV1491,Setup!$F$6:$F$15,0),99),IFERROR(MATCH(BC1491,Setup!$H$6:$H$15,0),99),IFERROR(MATCH(AZ1491,Setup!$J$6:$J$11,0),99))*1E+9+(AW1491-40000)*10000+1490)</f>
        <v/>
      </c>
      <c r="BK1491">
        <f>IF(BI1491=1,BJ1491,"")</f>
        <v/>
      </c>
      <c r="BL1491">
        <f>IF(AND(BH1491=1,BG1491=0,N(AW1491)&lt;Setup!$D$7),(AW1491-40000)*10000+1490,"")</f>
        <v/>
      </c>
      <c r="BM1491">
        <f>IF(AND(BH1491=1,AZ1491&lt;&gt;"Cancelled",N(AW1491)&gt;=Dashboard!$AB$3,N(AW1491)&lt;=Dashboard!$AB$3+6),(AW1491-40000)*100000+BF1491*10000+1490,"")</f>
        <v/>
      </c>
      <c r="BN1491">
        <f>IF(AND(BH1491=1,AZ1491&lt;&gt;"Cancelled"),BF1491*10000+1490,"")</f>
        <v/>
      </c>
    </row>
    <row r="1492">
      <c r="AS1492" t="inlineStr">
        <is>
          <t>R</t>
        </is>
      </c>
      <c r="AT1492" t="n">
        <v>1496</v>
      </c>
      <c r="AU1492">
        <f>'Recurring Log'!C1496&amp;""</f>
        <v/>
      </c>
      <c r="AV1492">
        <f>'Recurring Log'!D1496&amp;""</f>
        <v/>
      </c>
      <c r="AW1492">
        <f>IF('Recurring Log'!E1496="","",'Recurring Log'!E1496)</f>
        <v/>
      </c>
      <c r="AX1492">
        <f>IF('Recurring Log'!G1496="","",'Recurring Log'!G1496)</f>
        <v/>
      </c>
      <c r="AY1492">
        <f>IF('Recurring Log'!H1496="","",'Recurring Log'!H1496)</f>
        <v/>
      </c>
      <c r="AZ1492">
        <f>IF(AU1492="","",IF('Recurring Log'!J1496="","Not Started",'Recurring Log'!J1496))</f>
        <v/>
      </c>
      <c r="BA1492">
        <f>'Recurring Log'!L1496&amp;""</f>
        <v/>
      </c>
      <c r="BB1492">
        <f>'Recurring Log'!M1496&amp;""</f>
        <v/>
      </c>
      <c r="BC1492">
        <f>'Recurring Log'!N1496&amp;""</f>
        <v/>
      </c>
      <c r="BD1492">
        <f>'Recurring Log'!O1496&amp;""</f>
        <v/>
      </c>
      <c r="BE1492">
        <f>IF('Recurring Log'!K1496="","",'Recurring Log'!K1496)</f>
        <v/>
      </c>
      <c r="BF1492">
        <f>IFERROR(MATCH(BA1492,Setup!$L$6:$L$9,0),5)</f>
        <v/>
      </c>
      <c r="BG1492">
        <f>IF(OR(AZ1492="Done",AZ1492="Cancelled"),1,0)</f>
        <v/>
      </c>
      <c r="BH1492">
        <f>IF(AND(AU1492&lt;&gt;"",ISNUMBER(AW1492)),1,0)</f>
        <v/>
      </c>
      <c r="BI1492">
        <f>IF(BH1492=0,0,IF(AND(AW1492&gt;='Tasks Filter'!$F$3,AW1492&lt;='Tasks Filter'!$F$4,OR('Tasks Filter'!$I$3="",ISNUMBER(SEARCH('Tasks Filter'!$I$3,AU1492))),OR('Tasks Filter'!$I$4="",BF1492=IFERROR(MATCH('Tasks Filter'!$I$4,Setup!$L$6:$L$9,0),0)),OR('Tasks Filter'!$I$5="Both",AND('Tasks Filter'!$I$5="Yes",BB1492="✓"),AND('Tasks Filter'!$I$5="No",BB1492&lt;&gt;"✓")),OR('Tasks Filter'!$L$3="",AV1492='Tasks Filter'!$L$3),OR('Tasks Filter'!$L$4="",AZ1492='Tasks Filter'!$L$4),OR('Tasks Filter'!$L$5="",BC1492='Tasks Filter'!$L$5),OR('Tasks Filter'!$O$3="",BD1492='Tasks Filter'!$O$3),OR('Tasks Filter'!$O$4="Yes",BG1492=0)),1,0))</f>
        <v/>
      </c>
      <c r="BJ1492">
        <f>IF(BH1492=0,"",IF('Tasks Filter'!$F$6="Descending",-1,1)*CHOOSE(MATCH('Tasks Filter'!$F$5,Lists!$G$2:$G$6,0),AW1492,BF1492,IFERROR(MATCH(AV1492,Setup!$F$6:$F$15,0),99),IFERROR(MATCH(BC1492,Setup!$H$6:$H$15,0),99),IFERROR(MATCH(AZ1492,Setup!$J$6:$J$11,0),99))*1E+9+(AW1492-40000)*10000+1491)</f>
        <v/>
      </c>
      <c r="BK1492">
        <f>IF(BI1492=1,BJ1492,"")</f>
        <v/>
      </c>
      <c r="BL1492">
        <f>IF(AND(BH1492=1,BG1492=0,N(AW1492)&lt;Setup!$D$7),(AW1492-40000)*10000+1491,"")</f>
        <v/>
      </c>
      <c r="BM1492">
        <f>IF(AND(BH1492=1,AZ1492&lt;&gt;"Cancelled",N(AW1492)&gt;=Dashboard!$AB$3,N(AW1492)&lt;=Dashboard!$AB$3+6),(AW1492-40000)*100000+BF1492*10000+1491,"")</f>
        <v/>
      </c>
      <c r="BN1492">
        <f>IF(AND(BH1492=1,AZ1492&lt;&gt;"Cancelled"),BF1492*10000+1491,"")</f>
        <v/>
      </c>
    </row>
    <row r="1493">
      <c r="AS1493" t="inlineStr">
        <is>
          <t>R</t>
        </is>
      </c>
      <c r="AT1493" t="n">
        <v>1497</v>
      </c>
      <c r="AU1493">
        <f>'Recurring Log'!C1497&amp;""</f>
        <v/>
      </c>
      <c r="AV1493">
        <f>'Recurring Log'!D1497&amp;""</f>
        <v/>
      </c>
      <c r="AW1493">
        <f>IF('Recurring Log'!E1497="","",'Recurring Log'!E1497)</f>
        <v/>
      </c>
      <c r="AX1493">
        <f>IF('Recurring Log'!G1497="","",'Recurring Log'!G1497)</f>
        <v/>
      </c>
      <c r="AY1493">
        <f>IF('Recurring Log'!H1497="","",'Recurring Log'!H1497)</f>
        <v/>
      </c>
      <c r="AZ1493">
        <f>IF(AU1493="","",IF('Recurring Log'!J1497="","Not Started",'Recurring Log'!J1497))</f>
        <v/>
      </c>
      <c r="BA1493">
        <f>'Recurring Log'!L1497&amp;""</f>
        <v/>
      </c>
      <c r="BB1493">
        <f>'Recurring Log'!M1497&amp;""</f>
        <v/>
      </c>
      <c r="BC1493">
        <f>'Recurring Log'!N1497&amp;""</f>
        <v/>
      </c>
      <c r="BD1493">
        <f>'Recurring Log'!O1497&amp;""</f>
        <v/>
      </c>
      <c r="BE1493">
        <f>IF('Recurring Log'!K1497="","",'Recurring Log'!K1497)</f>
        <v/>
      </c>
      <c r="BF1493">
        <f>IFERROR(MATCH(BA1493,Setup!$L$6:$L$9,0),5)</f>
        <v/>
      </c>
      <c r="BG1493">
        <f>IF(OR(AZ1493="Done",AZ1493="Cancelled"),1,0)</f>
        <v/>
      </c>
      <c r="BH1493">
        <f>IF(AND(AU1493&lt;&gt;"",ISNUMBER(AW1493)),1,0)</f>
        <v/>
      </c>
      <c r="BI1493">
        <f>IF(BH1493=0,0,IF(AND(AW1493&gt;='Tasks Filter'!$F$3,AW1493&lt;='Tasks Filter'!$F$4,OR('Tasks Filter'!$I$3="",ISNUMBER(SEARCH('Tasks Filter'!$I$3,AU1493))),OR('Tasks Filter'!$I$4="",BF1493=IFERROR(MATCH('Tasks Filter'!$I$4,Setup!$L$6:$L$9,0),0)),OR('Tasks Filter'!$I$5="Both",AND('Tasks Filter'!$I$5="Yes",BB1493="✓"),AND('Tasks Filter'!$I$5="No",BB1493&lt;&gt;"✓")),OR('Tasks Filter'!$L$3="",AV1493='Tasks Filter'!$L$3),OR('Tasks Filter'!$L$4="",AZ1493='Tasks Filter'!$L$4),OR('Tasks Filter'!$L$5="",BC1493='Tasks Filter'!$L$5),OR('Tasks Filter'!$O$3="",BD1493='Tasks Filter'!$O$3),OR('Tasks Filter'!$O$4="Yes",BG1493=0)),1,0))</f>
        <v/>
      </c>
      <c r="BJ1493">
        <f>IF(BH1493=0,"",IF('Tasks Filter'!$F$6="Descending",-1,1)*CHOOSE(MATCH('Tasks Filter'!$F$5,Lists!$G$2:$G$6,0),AW1493,BF1493,IFERROR(MATCH(AV1493,Setup!$F$6:$F$15,0),99),IFERROR(MATCH(BC1493,Setup!$H$6:$H$15,0),99),IFERROR(MATCH(AZ1493,Setup!$J$6:$J$11,0),99))*1E+9+(AW1493-40000)*10000+1492)</f>
        <v/>
      </c>
      <c r="BK1493">
        <f>IF(BI1493=1,BJ1493,"")</f>
        <v/>
      </c>
      <c r="BL1493">
        <f>IF(AND(BH1493=1,BG1493=0,N(AW1493)&lt;Setup!$D$7),(AW1493-40000)*10000+1492,"")</f>
        <v/>
      </c>
      <c r="BM1493">
        <f>IF(AND(BH1493=1,AZ1493&lt;&gt;"Cancelled",N(AW1493)&gt;=Dashboard!$AB$3,N(AW1493)&lt;=Dashboard!$AB$3+6),(AW1493-40000)*100000+BF1493*10000+1492,"")</f>
        <v/>
      </c>
      <c r="BN1493">
        <f>IF(AND(BH1493=1,AZ1493&lt;&gt;"Cancelled"),BF1493*10000+1492,"")</f>
        <v/>
      </c>
    </row>
    <row r="1494">
      <c r="AS1494" t="inlineStr">
        <is>
          <t>R</t>
        </is>
      </c>
      <c r="AT1494" t="n">
        <v>1498</v>
      </c>
      <c r="AU1494">
        <f>'Recurring Log'!C1498&amp;""</f>
        <v/>
      </c>
      <c r="AV1494">
        <f>'Recurring Log'!D1498&amp;""</f>
        <v/>
      </c>
      <c r="AW1494">
        <f>IF('Recurring Log'!E1498="","",'Recurring Log'!E1498)</f>
        <v/>
      </c>
      <c r="AX1494">
        <f>IF('Recurring Log'!G1498="","",'Recurring Log'!G1498)</f>
        <v/>
      </c>
      <c r="AY1494">
        <f>IF('Recurring Log'!H1498="","",'Recurring Log'!H1498)</f>
        <v/>
      </c>
      <c r="AZ1494">
        <f>IF(AU1494="","",IF('Recurring Log'!J1498="","Not Started",'Recurring Log'!J1498))</f>
        <v/>
      </c>
      <c r="BA1494">
        <f>'Recurring Log'!L1498&amp;""</f>
        <v/>
      </c>
      <c r="BB1494">
        <f>'Recurring Log'!M1498&amp;""</f>
        <v/>
      </c>
      <c r="BC1494">
        <f>'Recurring Log'!N1498&amp;""</f>
        <v/>
      </c>
      <c r="BD1494">
        <f>'Recurring Log'!O1498&amp;""</f>
        <v/>
      </c>
      <c r="BE1494">
        <f>IF('Recurring Log'!K1498="","",'Recurring Log'!K1498)</f>
        <v/>
      </c>
      <c r="BF1494">
        <f>IFERROR(MATCH(BA1494,Setup!$L$6:$L$9,0),5)</f>
        <v/>
      </c>
      <c r="BG1494">
        <f>IF(OR(AZ1494="Done",AZ1494="Cancelled"),1,0)</f>
        <v/>
      </c>
      <c r="BH1494">
        <f>IF(AND(AU1494&lt;&gt;"",ISNUMBER(AW1494)),1,0)</f>
        <v/>
      </c>
      <c r="BI1494">
        <f>IF(BH1494=0,0,IF(AND(AW1494&gt;='Tasks Filter'!$F$3,AW1494&lt;='Tasks Filter'!$F$4,OR('Tasks Filter'!$I$3="",ISNUMBER(SEARCH('Tasks Filter'!$I$3,AU1494))),OR('Tasks Filter'!$I$4="",BF1494=IFERROR(MATCH('Tasks Filter'!$I$4,Setup!$L$6:$L$9,0),0)),OR('Tasks Filter'!$I$5="Both",AND('Tasks Filter'!$I$5="Yes",BB1494="✓"),AND('Tasks Filter'!$I$5="No",BB1494&lt;&gt;"✓")),OR('Tasks Filter'!$L$3="",AV1494='Tasks Filter'!$L$3),OR('Tasks Filter'!$L$4="",AZ1494='Tasks Filter'!$L$4),OR('Tasks Filter'!$L$5="",BC1494='Tasks Filter'!$L$5),OR('Tasks Filter'!$O$3="",BD1494='Tasks Filter'!$O$3),OR('Tasks Filter'!$O$4="Yes",BG1494=0)),1,0))</f>
        <v/>
      </c>
      <c r="BJ1494">
        <f>IF(BH1494=0,"",IF('Tasks Filter'!$F$6="Descending",-1,1)*CHOOSE(MATCH('Tasks Filter'!$F$5,Lists!$G$2:$G$6,0),AW1494,BF1494,IFERROR(MATCH(AV1494,Setup!$F$6:$F$15,0),99),IFERROR(MATCH(BC1494,Setup!$H$6:$H$15,0),99),IFERROR(MATCH(AZ1494,Setup!$J$6:$J$11,0),99))*1E+9+(AW1494-40000)*10000+1493)</f>
        <v/>
      </c>
      <c r="BK1494">
        <f>IF(BI1494=1,BJ1494,"")</f>
        <v/>
      </c>
      <c r="BL1494">
        <f>IF(AND(BH1494=1,BG1494=0,N(AW1494)&lt;Setup!$D$7),(AW1494-40000)*10000+1493,"")</f>
        <v/>
      </c>
      <c r="BM1494">
        <f>IF(AND(BH1494=1,AZ1494&lt;&gt;"Cancelled",N(AW1494)&gt;=Dashboard!$AB$3,N(AW1494)&lt;=Dashboard!$AB$3+6),(AW1494-40000)*100000+BF1494*10000+1493,"")</f>
        <v/>
      </c>
      <c r="BN1494">
        <f>IF(AND(BH1494=1,AZ1494&lt;&gt;"Cancelled"),BF1494*10000+1493,"")</f>
        <v/>
      </c>
    </row>
    <row r="1495">
      <c r="AS1495" t="inlineStr">
        <is>
          <t>R</t>
        </is>
      </c>
      <c r="AT1495" t="n">
        <v>1499</v>
      </c>
      <c r="AU1495">
        <f>'Recurring Log'!C1499&amp;""</f>
        <v/>
      </c>
      <c r="AV1495">
        <f>'Recurring Log'!D1499&amp;""</f>
        <v/>
      </c>
      <c r="AW1495">
        <f>IF('Recurring Log'!E1499="","",'Recurring Log'!E1499)</f>
        <v/>
      </c>
      <c r="AX1495">
        <f>IF('Recurring Log'!G1499="","",'Recurring Log'!G1499)</f>
        <v/>
      </c>
      <c r="AY1495">
        <f>IF('Recurring Log'!H1499="","",'Recurring Log'!H1499)</f>
        <v/>
      </c>
      <c r="AZ1495">
        <f>IF(AU1495="","",IF('Recurring Log'!J1499="","Not Started",'Recurring Log'!J1499))</f>
        <v/>
      </c>
      <c r="BA1495">
        <f>'Recurring Log'!L1499&amp;""</f>
        <v/>
      </c>
      <c r="BB1495">
        <f>'Recurring Log'!M1499&amp;""</f>
        <v/>
      </c>
      <c r="BC1495">
        <f>'Recurring Log'!N1499&amp;""</f>
        <v/>
      </c>
      <c r="BD1495">
        <f>'Recurring Log'!O1499&amp;""</f>
        <v/>
      </c>
      <c r="BE1495">
        <f>IF('Recurring Log'!K1499="","",'Recurring Log'!K1499)</f>
        <v/>
      </c>
      <c r="BF1495">
        <f>IFERROR(MATCH(BA1495,Setup!$L$6:$L$9,0),5)</f>
        <v/>
      </c>
      <c r="BG1495">
        <f>IF(OR(AZ1495="Done",AZ1495="Cancelled"),1,0)</f>
        <v/>
      </c>
      <c r="BH1495">
        <f>IF(AND(AU1495&lt;&gt;"",ISNUMBER(AW1495)),1,0)</f>
        <v/>
      </c>
      <c r="BI1495">
        <f>IF(BH1495=0,0,IF(AND(AW1495&gt;='Tasks Filter'!$F$3,AW1495&lt;='Tasks Filter'!$F$4,OR('Tasks Filter'!$I$3="",ISNUMBER(SEARCH('Tasks Filter'!$I$3,AU1495))),OR('Tasks Filter'!$I$4="",BF1495=IFERROR(MATCH('Tasks Filter'!$I$4,Setup!$L$6:$L$9,0),0)),OR('Tasks Filter'!$I$5="Both",AND('Tasks Filter'!$I$5="Yes",BB1495="✓"),AND('Tasks Filter'!$I$5="No",BB1495&lt;&gt;"✓")),OR('Tasks Filter'!$L$3="",AV1495='Tasks Filter'!$L$3),OR('Tasks Filter'!$L$4="",AZ1495='Tasks Filter'!$L$4),OR('Tasks Filter'!$L$5="",BC1495='Tasks Filter'!$L$5),OR('Tasks Filter'!$O$3="",BD1495='Tasks Filter'!$O$3),OR('Tasks Filter'!$O$4="Yes",BG1495=0)),1,0))</f>
        <v/>
      </c>
      <c r="BJ1495">
        <f>IF(BH1495=0,"",IF('Tasks Filter'!$F$6="Descending",-1,1)*CHOOSE(MATCH('Tasks Filter'!$F$5,Lists!$G$2:$G$6,0),AW1495,BF1495,IFERROR(MATCH(AV1495,Setup!$F$6:$F$15,0),99),IFERROR(MATCH(BC1495,Setup!$H$6:$H$15,0),99),IFERROR(MATCH(AZ1495,Setup!$J$6:$J$11,0),99))*1E+9+(AW1495-40000)*10000+1494)</f>
        <v/>
      </c>
      <c r="BK1495">
        <f>IF(BI1495=1,BJ1495,"")</f>
        <v/>
      </c>
      <c r="BL1495">
        <f>IF(AND(BH1495=1,BG1495=0,N(AW1495)&lt;Setup!$D$7),(AW1495-40000)*10000+1494,"")</f>
        <v/>
      </c>
      <c r="BM1495">
        <f>IF(AND(BH1495=1,AZ1495&lt;&gt;"Cancelled",N(AW1495)&gt;=Dashboard!$AB$3,N(AW1495)&lt;=Dashboard!$AB$3+6),(AW1495-40000)*100000+BF1495*10000+1494,"")</f>
        <v/>
      </c>
      <c r="BN1495">
        <f>IF(AND(BH1495=1,AZ1495&lt;&gt;"Cancelled"),BF1495*10000+1494,"")</f>
        <v/>
      </c>
    </row>
    <row r="1496">
      <c r="AS1496" t="inlineStr">
        <is>
          <t>R</t>
        </is>
      </c>
      <c r="AT1496" t="n">
        <v>1500</v>
      </c>
      <c r="AU1496">
        <f>'Recurring Log'!C1500&amp;""</f>
        <v/>
      </c>
      <c r="AV1496">
        <f>'Recurring Log'!D1500&amp;""</f>
        <v/>
      </c>
      <c r="AW1496">
        <f>IF('Recurring Log'!E1500="","",'Recurring Log'!E1500)</f>
        <v/>
      </c>
      <c r="AX1496">
        <f>IF('Recurring Log'!G1500="","",'Recurring Log'!G1500)</f>
        <v/>
      </c>
      <c r="AY1496">
        <f>IF('Recurring Log'!H1500="","",'Recurring Log'!H1500)</f>
        <v/>
      </c>
      <c r="AZ1496">
        <f>IF(AU1496="","",IF('Recurring Log'!J1500="","Not Started",'Recurring Log'!J1500))</f>
        <v/>
      </c>
      <c r="BA1496">
        <f>'Recurring Log'!L1500&amp;""</f>
        <v/>
      </c>
      <c r="BB1496">
        <f>'Recurring Log'!M1500&amp;""</f>
        <v/>
      </c>
      <c r="BC1496">
        <f>'Recurring Log'!N1500&amp;""</f>
        <v/>
      </c>
      <c r="BD1496">
        <f>'Recurring Log'!O1500&amp;""</f>
        <v/>
      </c>
      <c r="BE1496">
        <f>IF('Recurring Log'!K1500="","",'Recurring Log'!K1500)</f>
        <v/>
      </c>
      <c r="BF1496">
        <f>IFERROR(MATCH(BA1496,Setup!$L$6:$L$9,0),5)</f>
        <v/>
      </c>
      <c r="BG1496">
        <f>IF(OR(AZ1496="Done",AZ1496="Cancelled"),1,0)</f>
        <v/>
      </c>
      <c r="BH1496">
        <f>IF(AND(AU1496&lt;&gt;"",ISNUMBER(AW1496)),1,0)</f>
        <v/>
      </c>
      <c r="BI1496">
        <f>IF(BH1496=0,0,IF(AND(AW1496&gt;='Tasks Filter'!$F$3,AW1496&lt;='Tasks Filter'!$F$4,OR('Tasks Filter'!$I$3="",ISNUMBER(SEARCH('Tasks Filter'!$I$3,AU1496))),OR('Tasks Filter'!$I$4="",BF1496=IFERROR(MATCH('Tasks Filter'!$I$4,Setup!$L$6:$L$9,0),0)),OR('Tasks Filter'!$I$5="Both",AND('Tasks Filter'!$I$5="Yes",BB1496="✓"),AND('Tasks Filter'!$I$5="No",BB1496&lt;&gt;"✓")),OR('Tasks Filter'!$L$3="",AV1496='Tasks Filter'!$L$3),OR('Tasks Filter'!$L$4="",AZ1496='Tasks Filter'!$L$4),OR('Tasks Filter'!$L$5="",BC1496='Tasks Filter'!$L$5),OR('Tasks Filter'!$O$3="",BD1496='Tasks Filter'!$O$3),OR('Tasks Filter'!$O$4="Yes",BG1496=0)),1,0))</f>
        <v/>
      </c>
      <c r="BJ1496">
        <f>IF(BH1496=0,"",IF('Tasks Filter'!$F$6="Descending",-1,1)*CHOOSE(MATCH('Tasks Filter'!$F$5,Lists!$G$2:$G$6,0),AW1496,BF1496,IFERROR(MATCH(AV1496,Setup!$F$6:$F$15,0),99),IFERROR(MATCH(BC1496,Setup!$H$6:$H$15,0),99),IFERROR(MATCH(AZ1496,Setup!$J$6:$J$11,0),99))*1E+9+(AW1496-40000)*10000+1495)</f>
        <v/>
      </c>
      <c r="BK1496">
        <f>IF(BI1496=1,BJ1496,"")</f>
        <v/>
      </c>
      <c r="BL1496">
        <f>IF(AND(BH1496=1,BG1496=0,N(AW1496)&lt;Setup!$D$7),(AW1496-40000)*10000+1495,"")</f>
        <v/>
      </c>
      <c r="BM1496">
        <f>IF(AND(BH1496=1,AZ1496&lt;&gt;"Cancelled",N(AW1496)&gt;=Dashboard!$AB$3,N(AW1496)&lt;=Dashboard!$AB$3+6),(AW1496-40000)*100000+BF1496*10000+1495,"")</f>
        <v/>
      </c>
      <c r="BN1496">
        <f>IF(AND(BH1496=1,AZ1496&lt;&gt;"Cancelled"),BF1496*10000+1495,"")</f>
        <v/>
      </c>
    </row>
    <row r="1497">
      <c r="AS1497" t="inlineStr">
        <is>
          <t>R</t>
        </is>
      </c>
      <c r="AT1497" t="n">
        <v>1501</v>
      </c>
      <c r="AU1497">
        <f>'Recurring Log'!C1501&amp;""</f>
        <v/>
      </c>
      <c r="AV1497">
        <f>'Recurring Log'!D1501&amp;""</f>
        <v/>
      </c>
      <c r="AW1497">
        <f>IF('Recurring Log'!E1501="","",'Recurring Log'!E1501)</f>
        <v/>
      </c>
      <c r="AX1497">
        <f>IF('Recurring Log'!G1501="","",'Recurring Log'!G1501)</f>
        <v/>
      </c>
      <c r="AY1497">
        <f>IF('Recurring Log'!H1501="","",'Recurring Log'!H1501)</f>
        <v/>
      </c>
      <c r="AZ1497">
        <f>IF(AU1497="","",IF('Recurring Log'!J1501="","Not Started",'Recurring Log'!J1501))</f>
        <v/>
      </c>
      <c r="BA1497">
        <f>'Recurring Log'!L1501&amp;""</f>
        <v/>
      </c>
      <c r="BB1497">
        <f>'Recurring Log'!M1501&amp;""</f>
        <v/>
      </c>
      <c r="BC1497">
        <f>'Recurring Log'!N1501&amp;""</f>
        <v/>
      </c>
      <c r="BD1497">
        <f>'Recurring Log'!O1501&amp;""</f>
        <v/>
      </c>
      <c r="BE1497">
        <f>IF('Recurring Log'!K1501="","",'Recurring Log'!K1501)</f>
        <v/>
      </c>
      <c r="BF1497">
        <f>IFERROR(MATCH(BA1497,Setup!$L$6:$L$9,0),5)</f>
        <v/>
      </c>
      <c r="BG1497">
        <f>IF(OR(AZ1497="Done",AZ1497="Cancelled"),1,0)</f>
        <v/>
      </c>
      <c r="BH1497">
        <f>IF(AND(AU1497&lt;&gt;"",ISNUMBER(AW1497)),1,0)</f>
        <v/>
      </c>
      <c r="BI1497">
        <f>IF(BH1497=0,0,IF(AND(AW1497&gt;='Tasks Filter'!$F$3,AW1497&lt;='Tasks Filter'!$F$4,OR('Tasks Filter'!$I$3="",ISNUMBER(SEARCH('Tasks Filter'!$I$3,AU1497))),OR('Tasks Filter'!$I$4="",BF1497=IFERROR(MATCH('Tasks Filter'!$I$4,Setup!$L$6:$L$9,0),0)),OR('Tasks Filter'!$I$5="Both",AND('Tasks Filter'!$I$5="Yes",BB1497="✓"),AND('Tasks Filter'!$I$5="No",BB1497&lt;&gt;"✓")),OR('Tasks Filter'!$L$3="",AV1497='Tasks Filter'!$L$3),OR('Tasks Filter'!$L$4="",AZ1497='Tasks Filter'!$L$4),OR('Tasks Filter'!$L$5="",BC1497='Tasks Filter'!$L$5),OR('Tasks Filter'!$O$3="",BD1497='Tasks Filter'!$O$3),OR('Tasks Filter'!$O$4="Yes",BG1497=0)),1,0))</f>
        <v/>
      </c>
      <c r="BJ1497">
        <f>IF(BH1497=0,"",IF('Tasks Filter'!$F$6="Descending",-1,1)*CHOOSE(MATCH('Tasks Filter'!$F$5,Lists!$G$2:$G$6,0),AW1497,BF1497,IFERROR(MATCH(AV1497,Setup!$F$6:$F$15,0),99),IFERROR(MATCH(BC1497,Setup!$H$6:$H$15,0),99),IFERROR(MATCH(AZ1497,Setup!$J$6:$J$11,0),99))*1E+9+(AW1497-40000)*10000+1496)</f>
        <v/>
      </c>
      <c r="BK1497">
        <f>IF(BI1497=1,BJ1497,"")</f>
        <v/>
      </c>
      <c r="BL1497">
        <f>IF(AND(BH1497=1,BG1497=0,N(AW1497)&lt;Setup!$D$7),(AW1497-40000)*10000+1496,"")</f>
        <v/>
      </c>
      <c r="BM1497">
        <f>IF(AND(BH1497=1,AZ1497&lt;&gt;"Cancelled",N(AW1497)&gt;=Dashboard!$AB$3,N(AW1497)&lt;=Dashboard!$AB$3+6),(AW1497-40000)*100000+BF1497*10000+1496,"")</f>
        <v/>
      </c>
      <c r="BN1497">
        <f>IF(AND(BH1497=1,AZ1497&lt;&gt;"Cancelled"),BF1497*10000+1496,"")</f>
        <v/>
      </c>
    </row>
    <row r="1498">
      <c r="AS1498" t="inlineStr">
        <is>
          <t>R</t>
        </is>
      </c>
      <c r="AT1498" t="n">
        <v>1502</v>
      </c>
      <c r="AU1498">
        <f>'Recurring Log'!C1502&amp;""</f>
        <v/>
      </c>
      <c r="AV1498">
        <f>'Recurring Log'!D1502&amp;""</f>
        <v/>
      </c>
      <c r="AW1498">
        <f>IF('Recurring Log'!E1502="","",'Recurring Log'!E1502)</f>
        <v/>
      </c>
      <c r="AX1498">
        <f>IF('Recurring Log'!G1502="","",'Recurring Log'!G1502)</f>
        <v/>
      </c>
      <c r="AY1498">
        <f>IF('Recurring Log'!H1502="","",'Recurring Log'!H1502)</f>
        <v/>
      </c>
      <c r="AZ1498">
        <f>IF(AU1498="","",IF('Recurring Log'!J1502="","Not Started",'Recurring Log'!J1502))</f>
        <v/>
      </c>
      <c r="BA1498">
        <f>'Recurring Log'!L1502&amp;""</f>
        <v/>
      </c>
      <c r="BB1498">
        <f>'Recurring Log'!M1502&amp;""</f>
        <v/>
      </c>
      <c r="BC1498">
        <f>'Recurring Log'!N1502&amp;""</f>
        <v/>
      </c>
      <c r="BD1498">
        <f>'Recurring Log'!O1502&amp;""</f>
        <v/>
      </c>
      <c r="BE1498">
        <f>IF('Recurring Log'!K1502="","",'Recurring Log'!K1502)</f>
        <v/>
      </c>
      <c r="BF1498">
        <f>IFERROR(MATCH(BA1498,Setup!$L$6:$L$9,0),5)</f>
        <v/>
      </c>
      <c r="BG1498">
        <f>IF(OR(AZ1498="Done",AZ1498="Cancelled"),1,0)</f>
        <v/>
      </c>
      <c r="BH1498">
        <f>IF(AND(AU1498&lt;&gt;"",ISNUMBER(AW1498)),1,0)</f>
        <v/>
      </c>
      <c r="BI1498">
        <f>IF(BH1498=0,0,IF(AND(AW1498&gt;='Tasks Filter'!$F$3,AW1498&lt;='Tasks Filter'!$F$4,OR('Tasks Filter'!$I$3="",ISNUMBER(SEARCH('Tasks Filter'!$I$3,AU1498))),OR('Tasks Filter'!$I$4="",BF1498=IFERROR(MATCH('Tasks Filter'!$I$4,Setup!$L$6:$L$9,0),0)),OR('Tasks Filter'!$I$5="Both",AND('Tasks Filter'!$I$5="Yes",BB1498="✓"),AND('Tasks Filter'!$I$5="No",BB1498&lt;&gt;"✓")),OR('Tasks Filter'!$L$3="",AV1498='Tasks Filter'!$L$3),OR('Tasks Filter'!$L$4="",AZ1498='Tasks Filter'!$L$4),OR('Tasks Filter'!$L$5="",BC1498='Tasks Filter'!$L$5),OR('Tasks Filter'!$O$3="",BD1498='Tasks Filter'!$O$3),OR('Tasks Filter'!$O$4="Yes",BG1498=0)),1,0))</f>
        <v/>
      </c>
      <c r="BJ1498">
        <f>IF(BH1498=0,"",IF('Tasks Filter'!$F$6="Descending",-1,1)*CHOOSE(MATCH('Tasks Filter'!$F$5,Lists!$G$2:$G$6,0),AW1498,BF1498,IFERROR(MATCH(AV1498,Setup!$F$6:$F$15,0),99),IFERROR(MATCH(BC1498,Setup!$H$6:$H$15,0),99),IFERROR(MATCH(AZ1498,Setup!$J$6:$J$11,0),99))*1E+9+(AW1498-40000)*10000+1497)</f>
        <v/>
      </c>
      <c r="BK1498">
        <f>IF(BI1498=1,BJ1498,"")</f>
        <v/>
      </c>
      <c r="BL1498">
        <f>IF(AND(BH1498=1,BG1498=0,N(AW1498)&lt;Setup!$D$7),(AW1498-40000)*10000+1497,"")</f>
        <v/>
      </c>
      <c r="BM1498">
        <f>IF(AND(BH1498=1,AZ1498&lt;&gt;"Cancelled",N(AW1498)&gt;=Dashboard!$AB$3,N(AW1498)&lt;=Dashboard!$AB$3+6),(AW1498-40000)*100000+BF1498*10000+1497,"")</f>
        <v/>
      </c>
      <c r="BN1498">
        <f>IF(AND(BH1498=1,AZ1498&lt;&gt;"Cancelled"),BF1498*10000+1497,"")</f>
        <v/>
      </c>
    </row>
    <row r="1499">
      <c r="AS1499" t="inlineStr">
        <is>
          <t>R</t>
        </is>
      </c>
      <c r="AT1499" t="n">
        <v>1503</v>
      </c>
      <c r="AU1499">
        <f>'Recurring Log'!C1503&amp;""</f>
        <v/>
      </c>
      <c r="AV1499">
        <f>'Recurring Log'!D1503&amp;""</f>
        <v/>
      </c>
      <c r="AW1499">
        <f>IF('Recurring Log'!E1503="","",'Recurring Log'!E1503)</f>
        <v/>
      </c>
      <c r="AX1499">
        <f>IF('Recurring Log'!G1503="","",'Recurring Log'!G1503)</f>
        <v/>
      </c>
      <c r="AY1499">
        <f>IF('Recurring Log'!H1503="","",'Recurring Log'!H1503)</f>
        <v/>
      </c>
      <c r="AZ1499">
        <f>IF(AU1499="","",IF('Recurring Log'!J1503="","Not Started",'Recurring Log'!J1503))</f>
        <v/>
      </c>
      <c r="BA1499">
        <f>'Recurring Log'!L1503&amp;""</f>
        <v/>
      </c>
      <c r="BB1499">
        <f>'Recurring Log'!M1503&amp;""</f>
        <v/>
      </c>
      <c r="BC1499">
        <f>'Recurring Log'!N1503&amp;""</f>
        <v/>
      </c>
      <c r="BD1499">
        <f>'Recurring Log'!O1503&amp;""</f>
        <v/>
      </c>
      <c r="BE1499">
        <f>IF('Recurring Log'!K1503="","",'Recurring Log'!K1503)</f>
        <v/>
      </c>
      <c r="BF1499">
        <f>IFERROR(MATCH(BA1499,Setup!$L$6:$L$9,0),5)</f>
        <v/>
      </c>
      <c r="BG1499">
        <f>IF(OR(AZ1499="Done",AZ1499="Cancelled"),1,0)</f>
        <v/>
      </c>
      <c r="BH1499">
        <f>IF(AND(AU1499&lt;&gt;"",ISNUMBER(AW1499)),1,0)</f>
        <v/>
      </c>
      <c r="BI1499">
        <f>IF(BH1499=0,0,IF(AND(AW1499&gt;='Tasks Filter'!$F$3,AW1499&lt;='Tasks Filter'!$F$4,OR('Tasks Filter'!$I$3="",ISNUMBER(SEARCH('Tasks Filter'!$I$3,AU1499))),OR('Tasks Filter'!$I$4="",BF1499=IFERROR(MATCH('Tasks Filter'!$I$4,Setup!$L$6:$L$9,0),0)),OR('Tasks Filter'!$I$5="Both",AND('Tasks Filter'!$I$5="Yes",BB1499="✓"),AND('Tasks Filter'!$I$5="No",BB1499&lt;&gt;"✓")),OR('Tasks Filter'!$L$3="",AV1499='Tasks Filter'!$L$3),OR('Tasks Filter'!$L$4="",AZ1499='Tasks Filter'!$L$4),OR('Tasks Filter'!$L$5="",BC1499='Tasks Filter'!$L$5),OR('Tasks Filter'!$O$3="",BD1499='Tasks Filter'!$O$3),OR('Tasks Filter'!$O$4="Yes",BG1499=0)),1,0))</f>
        <v/>
      </c>
      <c r="BJ1499">
        <f>IF(BH1499=0,"",IF('Tasks Filter'!$F$6="Descending",-1,1)*CHOOSE(MATCH('Tasks Filter'!$F$5,Lists!$G$2:$G$6,0),AW1499,BF1499,IFERROR(MATCH(AV1499,Setup!$F$6:$F$15,0),99),IFERROR(MATCH(BC1499,Setup!$H$6:$H$15,0),99),IFERROR(MATCH(AZ1499,Setup!$J$6:$J$11,0),99))*1E+9+(AW1499-40000)*10000+1498)</f>
        <v/>
      </c>
      <c r="BK1499">
        <f>IF(BI1499=1,BJ1499,"")</f>
        <v/>
      </c>
      <c r="BL1499">
        <f>IF(AND(BH1499=1,BG1499=0,N(AW1499)&lt;Setup!$D$7),(AW1499-40000)*10000+1498,"")</f>
        <v/>
      </c>
      <c r="BM1499">
        <f>IF(AND(BH1499=1,AZ1499&lt;&gt;"Cancelled",N(AW1499)&gt;=Dashboard!$AB$3,N(AW1499)&lt;=Dashboard!$AB$3+6),(AW1499-40000)*100000+BF1499*10000+1498,"")</f>
        <v/>
      </c>
      <c r="BN1499">
        <f>IF(AND(BH1499=1,AZ1499&lt;&gt;"Cancelled"),BF1499*10000+1498,"")</f>
        <v/>
      </c>
    </row>
    <row r="1500">
      <c r="AS1500" t="inlineStr">
        <is>
          <t>R</t>
        </is>
      </c>
      <c r="AT1500" t="n">
        <v>1504</v>
      </c>
      <c r="AU1500">
        <f>'Recurring Log'!C1504&amp;""</f>
        <v/>
      </c>
      <c r="AV1500">
        <f>'Recurring Log'!D1504&amp;""</f>
        <v/>
      </c>
      <c r="AW1500">
        <f>IF('Recurring Log'!E1504="","",'Recurring Log'!E1504)</f>
        <v/>
      </c>
      <c r="AX1500">
        <f>IF('Recurring Log'!G1504="","",'Recurring Log'!G1504)</f>
        <v/>
      </c>
      <c r="AY1500">
        <f>IF('Recurring Log'!H1504="","",'Recurring Log'!H1504)</f>
        <v/>
      </c>
      <c r="AZ1500">
        <f>IF(AU1500="","",IF('Recurring Log'!J1504="","Not Started",'Recurring Log'!J1504))</f>
        <v/>
      </c>
      <c r="BA1500">
        <f>'Recurring Log'!L1504&amp;""</f>
        <v/>
      </c>
      <c r="BB1500">
        <f>'Recurring Log'!M1504&amp;""</f>
        <v/>
      </c>
      <c r="BC1500">
        <f>'Recurring Log'!N1504&amp;""</f>
        <v/>
      </c>
      <c r="BD1500">
        <f>'Recurring Log'!O1504&amp;""</f>
        <v/>
      </c>
      <c r="BE1500">
        <f>IF('Recurring Log'!K1504="","",'Recurring Log'!K1504)</f>
        <v/>
      </c>
      <c r="BF1500">
        <f>IFERROR(MATCH(BA1500,Setup!$L$6:$L$9,0),5)</f>
        <v/>
      </c>
      <c r="BG1500">
        <f>IF(OR(AZ1500="Done",AZ1500="Cancelled"),1,0)</f>
        <v/>
      </c>
      <c r="BH1500">
        <f>IF(AND(AU1500&lt;&gt;"",ISNUMBER(AW1500)),1,0)</f>
        <v/>
      </c>
      <c r="BI1500">
        <f>IF(BH1500=0,0,IF(AND(AW1500&gt;='Tasks Filter'!$F$3,AW1500&lt;='Tasks Filter'!$F$4,OR('Tasks Filter'!$I$3="",ISNUMBER(SEARCH('Tasks Filter'!$I$3,AU1500))),OR('Tasks Filter'!$I$4="",BF1500=IFERROR(MATCH('Tasks Filter'!$I$4,Setup!$L$6:$L$9,0),0)),OR('Tasks Filter'!$I$5="Both",AND('Tasks Filter'!$I$5="Yes",BB1500="✓"),AND('Tasks Filter'!$I$5="No",BB1500&lt;&gt;"✓")),OR('Tasks Filter'!$L$3="",AV1500='Tasks Filter'!$L$3),OR('Tasks Filter'!$L$4="",AZ1500='Tasks Filter'!$L$4),OR('Tasks Filter'!$L$5="",BC1500='Tasks Filter'!$L$5),OR('Tasks Filter'!$O$3="",BD1500='Tasks Filter'!$O$3),OR('Tasks Filter'!$O$4="Yes",BG1500=0)),1,0))</f>
        <v/>
      </c>
      <c r="BJ1500">
        <f>IF(BH1500=0,"",IF('Tasks Filter'!$F$6="Descending",-1,1)*CHOOSE(MATCH('Tasks Filter'!$F$5,Lists!$G$2:$G$6,0),AW1500,BF1500,IFERROR(MATCH(AV1500,Setup!$F$6:$F$15,0),99),IFERROR(MATCH(BC1500,Setup!$H$6:$H$15,0),99),IFERROR(MATCH(AZ1500,Setup!$J$6:$J$11,0),99))*1E+9+(AW1500-40000)*10000+1499)</f>
        <v/>
      </c>
      <c r="BK1500">
        <f>IF(BI1500=1,BJ1500,"")</f>
        <v/>
      </c>
      <c r="BL1500">
        <f>IF(AND(BH1500=1,BG1500=0,N(AW1500)&lt;Setup!$D$7),(AW1500-40000)*10000+1499,"")</f>
        <v/>
      </c>
      <c r="BM1500">
        <f>IF(AND(BH1500=1,AZ1500&lt;&gt;"Cancelled",N(AW1500)&gt;=Dashboard!$AB$3,N(AW1500)&lt;=Dashboard!$AB$3+6),(AW1500-40000)*100000+BF1500*10000+1499,"")</f>
        <v/>
      </c>
      <c r="BN1500">
        <f>IF(AND(BH1500=1,AZ1500&lt;&gt;"Cancelled"),BF1500*10000+1499,"")</f>
        <v/>
      </c>
    </row>
    <row r="1501">
      <c r="AS1501" t="inlineStr">
        <is>
          <t>R</t>
        </is>
      </c>
      <c r="AT1501" t="n">
        <v>1505</v>
      </c>
      <c r="AU1501">
        <f>'Recurring Log'!C1505&amp;""</f>
        <v/>
      </c>
      <c r="AV1501">
        <f>'Recurring Log'!D1505&amp;""</f>
        <v/>
      </c>
      <c r="AW1501">
        <f>IF('Recurring Log'!E1505="","",'Recurring Log'!E1505)</f>
        <v/>
      </c>
      <c r="AX1501">
        <f>IF('Recurring Log'!G1505="","",'Recurring Log'!G1505)</f>
        <v/>
      </c>
      <c r="AY1501">
        <f>IF('Recurring Log'!H1505="","",'Recurring Log'!H1505)</f>
        <v/>
      </c>
      <c r="AZ1501">
        <f>IF(AU1501="","",IF('Recurring Log'!J1505="","Not Started",'Recurring Log'!J1505))</f>
        <v/>
      </c>
      <c r="BA1501">
        <f>'Recurring Log'!L1505&amp;""</f>
        <v/>
      </c>
      <c r="BB1501">
        <f>'Recurring Log'!M1505&amp;""</f>
        <v/>
      </c>
      <c r="BC1501">
        <f>'Recurring Log'!N1505&amp;""</f>
        <v/>
      </c>
      <c r="BD1501">
        <f>'Recurring Log'!O1505&amp;""</f>
        <v/>
      </c>
      <c r="BE1501">
        <f>IF('Recurring Log'!K1505="","",'Recurring Log'!K1505)</f>
        <v/>
      </c>
      <c r="BF1501">
        <f>IFERROR(MATCH(BA1501,Setup!$L$6:$L$9,0),5)</f>
        <v/>
      </c>
      <c r="BG1501">
        <f>IF(OR(AZ1501="Done",AZ1501="Cancelled"),1,0)</f>
        <v/>
      </c>
      <c r="BH1501">
        <f>IF(AND(AU1501&lt;&gt;"",ISNUMBER(AW1501)),1,0)</f>
        <v/>
      </c>
      <c r="BI1501">
        <f>IF(BH1501=0,0,IF(AND(AW1501&gt;='Tasks Filter'!$F$3,AW1501&lt;='Tasks Filter'!$F$4,OR('Tasks Filter'!$I$3="",ISNUMBER(SEARCH('Tasks Filter'!$I$3,AU1501))),OR('Tasks Filter'!$I$4="",BF1501=IFERROR(MATCH('Tasks Filter'!$I$4,Setup!$L$6:$L$9,0),0)),OR('Tasks Filter'!$I$5="Both",AND('Tasks Filter'!$I$5="Yes",BB1501="✓"),AND('Tasks Filter'!$I$5="No",BB1501&lt;&gt;"✓")),OR('Tasks Filter'!$L$3="",AV1501='Tasks Filter'!$L$3),OR('Tasks Filter'!$L$4="",AZ1501='Tasks Filter'!$L$4),OR('Tasks Filter'!$L$5="",BC1501='Tasks Filter'!$L$5),OR('Tasks Filter'!$O$3="",BD1501='Tasks Filter'!$O$3),OR('Tasks Filter'!$O$4="Yes",BG1501=0)),1,0))</f>
        <v/>
      </c>
      <c r="BJ1501">
        <f>IF(BH1501=0,"",IF('Tasks Filter'!$F$6="Descending",-1,1)*CHOOSE(MATCH('Tasks Filter'!$F$5,Lists!$G$2:$G$6,0),AW1501,BF1501,IFERROR(MATCH(AV1501,Setup!$F$6:$F$15,0),99),IFERROR(MATCH(BC1501,Setup!$H$6:$H$15,0),99),IFERROR(MATCH(AZ1501,Setup!$J$6:$J$11,0),99))*1E+9+(AW1501-40000)*10000+1500)</f>
        <v/>
      </c>
      <c r="BK1501">
        <f>IF(BI1501=1,BJ1501,"")</f>
        <v/>
      </c>
      <c r="BL1501">
        <f>IF(AND(BH1501=1,BG1501=0,N(AW1501)&lt;Setup!$D$7),(AW1501-40000)*10000+1500,"")</f>
        <v/>
      </c>
      <c r="BM1501">
        <f>IF(AND(BH1501=1,AZ1501&lt;&gt;"Cancelled",N(AW1501)&gt;=Dashboard!$AB$3,N(AW1501)&lt;=Dashboard!$AB$3+6),(AW1501-40000)*100000+BF1501*10000+1500,"")</f>
        <v/>
      </c>
      <c r="BN1501">
        <f>IF(AND(BH1501=1,AZ1501&lt;&gt;"Cancelled"),BF1501*10000+1500,"")</f>
        <v/>
      </c>
    </row>
    <row r="1502">
      <c r="AS1502" t="inlineStr">
        <is>
          <t>V</t>
        </is>
      </c>
      <c r="AT1502" t="n">
        <v>6</v>
      </c>
      <c r="AU1502">
        <f>'Variable Tasks'!C6&amp;""</f>
        <v/>
      </c>
      <c r="AV1502">
        <f>'Variable Tasks'!D6&amp;""</f>
        <v/>
      </c>
      <c r="AW1502">
        <f>IF('Variable Tasks'!E6="","",'Variable Tasks'!E6)</f>
        <v/>
      </c>
      <c r="AX1502">
        <f>IF('Variable Tasks'!G6="","",'Variable Tasks'!G6)</f>
        <v/>
      </c>
      <c r="AY1502">
        <f>IF('Variable Tasks'!H6="","",'Variable Tasks'!H6)</f>
        <v/>
      </c>
      <c r="AZ1502">
        <f>IF(AU1502="","",IF('Variable Tasks'!J6="","Not Started",'Variable Tasks'!J6))</f>
        <v/>
      </c>
      <c r="BA1502">
        <f>'Variable Tasks'!L6&amp;""</f>
        <v/>
      </c>
      <c r="BB1502">
        <f>'Variable Tasks'!M6&amp;""</f>
        <v/>
      </c>
      <c r="BC1502">
        <f>'Variable Tasks'!N6&amp;""</f>
        <v/>
      </c>
      <c r="BD1502">
        <f>'Variable Tasks'!O6&amp;""</f>
        <v/>
      </c>
      <c r="BE1502">
        <f>IF('Variable Tasks'!K6="","",'Variable Tasks'!K6)</f>
        <v/>
      </c>
      <c r="BF1502">
        <f>IFERROR(MATCH(BA1502,Setup!$L$6:$L$9,0),5)</f>
        <v/>
      </c>
      <c r="BG1502">
        <f>IF(OR(AZ1502="Done",AZ1502="Cancelled"),1,0)</f>
        <v/>
      </c>
      <c r="BH1502">
        <f>IF(AND(AU1502&lt;&gt;"",ISNUMBER(AW1502)),1,0)</f>
        <v/>
      </c>
      <c r="BI1502">
        <f>IF(BH1502=0,0,IF(AND(AW1502&gt;='Tasks Filter'!$F$3,AW1502&lt;='Tasks Filter'!$F$4,OR('Tasks Filter'!$I$3="",ISNUMBER(SEARCH('Tasks Filter'!$I$3,AU1502))),OR('Tasks Filter'!$I$4="",BF1502=IFERROR(MATCH('Tasks Filter'!$I$4,Setup!$L$6:$L$9,0),0)),OR('Tasks Filter'!$I$5="Both",AND('Tasks Filter'!$I$5="Yes",BB1502="✓"),AND('Tasks Filter'!$I$5="No",BB1502&lt;&gt;"✓")),OR('Tasks Filter'!$L$3="",AV1502='Tasks Filter'!$L$3),OR('Tasks Filter'!$L$4="",AZ1502='Tasks Filter'!$L$4),OR('Tasks Filter'!$L$5="",BC1502='Tasks Filter'!$L$5),OR('Tasks Filter'!$O$3="",BD1502='Tasks Filter'!$O$3),OR('Tasks Filter'!$O$4="Yes",BG1502=0)),1,0))</f>
        <v/>
      </c>
      <c r="BJ1502">
        <f>IF(BH1502=0,"",IF('Tasks Filter'!$F$6="Descending",-1,1)*CHOOSE(MATCH('Tasks Filter'!$F$5,Lists!$G$2:$G$6,0),AW1502,BF1502,IFERROR(MATCH(AV1502,Setup!$F$6:$F$15,0),99),IFERROR(MATCH(BC1502,Setup!$H$6:$H$15,0),99),IFERROR(MATCH(AZ1502,Setup!$J$6:$J$11,0),99))*1E+9+(AW1502-40000)*10000+1501)</f>
        <v/>
      </c>
      <c r="BK1502">
        <f>IF(BI1502=1,BJ1502,"")</f>
        <v/>
      </c>
      <c r="BL1502">
        <f>IF(AND(BH1502=1,BG1502=0,N(AW1502)&lt;Setup!$D$7),(AW1502-40000)*10000+1501,"")</f>
        <v/>
      </c>
      <c r="BM1502">
        <f>IF(AND(BH1502=1,AZ1502&lt;&gt;"Cancelled",N(AW1502)&gt;=Dashboard!$AB$3,N(AW1502)&lt;=Dashboard!$AB$3+6),(AW1502-40000)*100000+BF1502*10000+1501,"")</f>
        <v/>
      </c>
      <c r="BN1502">
        <f>IF(AND(BH1502=1,AZ1502&lt;&gt;"Cancelled"),BF1502*10000+1501,"")</f>
        <v/>
      </c>
    </row>
    <row r="1503">
      <c r="AS1503" t="inlineStr">
        <is>
          <t>V</t>
        </is>
      </c>
      <c r="AT1503" t="n">
        <v>7</v>
      </c>
      <c r="AU1503">
        <f>'Variable Tasks'!C7&amp;""</f>
        <v/>
      </c>
      <c r="AV1503">
        <f>'Variable Tasks'!D7&amp;""</f>
        <v/>
      </c>
      <c r="AW1503">
        <f>IF('Variable Tasks'!E7="","",'Variable Tasks'!E7)</f>
        <v/>
      </c>
      <c r="AX1503">
        <f>IF('Variable Tasks'!G7="","",'Variable Tasks'!G7)</f>
        <v/>
      </c>
      <c r="AY1503">
        <f>IF('Variable Tasks'!H7="","",'Variable Tasks'!H7)</f>
        <v/>
      </c>
      <c r="AZ1503">
        <f>IF(AU1503="","",IF('Variable Tasks'!J7="","Not Started",'Variable Tasks'!J7))</f>
        <v/>
      </c>
      <c r="BA1503">
        <f>'Variable Tasks'!L7&amp;""</f>
        <v/>
      </c>
      <c r="BB1503">
        <f>'Variable Tasks'!M7&amp;""</f>
        <v/>
      </c>
      <c r="BC1503">
        <f>'Variable Tasks'!N7&amp;""</f>
        <v/>
      </c>
      <c r="BD1503">
        <f>'Variable Tasks'!O7&amp;""</f>
        <v/>
      </c>
      <c r="BE1503">
        <f>IF('Variable Tasks'!K7="","",'Variable Tasks'!K7)</f>
        <v/>
      </c>
      <c r="BF1503">
        <f>IFERROR(MATCH(BA1503,Setup!$L$6:$L$9,0),5)</f>
        <v/>
      </c>
      <c r="BG1503">
        <f>IF(OR(AZ1503="Done",AZ1503="Cancelled"),1,0)</f>
        <v/>
      </c>
      <c r="BH1503">
        <f>IF(AND(AU1503&lt;&gt;"",ISNUMBER(AW1503)),1,0)</f>
        <v/>
      </c>
      <c r="BI1503">
        <f>IF(BH1503=0,0,IF(AND(AW1503&gt;='Tasks Filter'!$F$3,AW1503&lt;='Tasks Filter'!$F$4,OR('Tasks Filter'!$I$3="",ISNUMBER(SEARCH('Tasks Filter'!$I$3,AU1503))),OR('Tasks Filter'!$I$4="",BF1503=IFERROR(MATCH('Tasks Filter'!$I$4,Setup!$L$6:$L$9,0),0)),OR('Tasks Filter'!$I$5="Both",AND('Tasks Filter'!$I$5="Yes",BB1503="✓"),AND('Tasks Filter'!$I$5="No",BB1503&lt;&gt;"✓")),OR('Tasks Filter'!$L$3="",AV1503='Tasks Filter'!$L$3),OR('Tasks Filter'!$L$4="",AZ1503='Tasks Filter'!$L$4),OR('Tasks Filter'!$L$5="",BC1503='Tasks Filter'!$L$5),OR('Tasks Filter'!$O$3="",BD1503='Tasks Filter'!$O$3),OR('Tasks Filter'!$O$4="Yes",BG1503=0)),1,0))</f>
        <v/>
      </c>
      <c r="BJ1503">
        <f>IF(BH1503=0,"",IF('Tasks Filter'!$F$6="Descending",-1,1)*CHOOSE(MATCH('Tasks Filter'!$F$5,Lists!$G$2:$G$6,0),AW1503,BF1503,IFERROR(MATCH(AV1503,Setup!$F$6:$F$15,0),99),IFERROR(MATCH(BC1503,Setup!$H$6:$H$15,0),99),IFERROR(MATCH(AZ1503,Setup!$J$6:$J$11,0),99))*1E+9+(AW1503-40000)*10000+1502)</f>
        <v/>
      </c>
      <c r="BK1503">
        <f>IF(BI1503=1,BJ1503,"")</f>
        <v/>
      </c>
      <c r="BL1503">
        <f>IF(AND(BH1503=1,BG1503=0,N(AW1503)&lt;Setup!$D$7),(AW1503-40000)*10000+1502,"")</f>
        <v/>
      </c>
      <c r="BM1503">
        <f>IF(AND(BH1503=1,AZ1503&lt;&gt;"Cancelled",N(AW1503)&gt;=Dashboard!$AB$3,N(AW1503)&lt;=Dashboard!$AB$3+6),(AW1503-40000)*100000+BF1503*10000+1502,"")</f>
        <v/>
      </c>
      <c r="BN1503">
        <f>IF(AND(BH1503=1,AZ1503&lt;&gt;"Cancelled"),BF1503*10000+1502,"")</f>
        <v/>
      </c>
    </row>
    <row r="1504">
      <c r="AS1504" t="inlineStr">
        <is>
          <t>V</t>
        </is>
      </c>
      <c r="AT1504" t="n">
        <v>8</v>
      </c>
      <c r="AU1504">
        <f>'Variable Tasks'!C8&amp;""</f>
        <v/>
      </c>
      <c r="AV1504">
        <f>'Variable Tasks'!D8&amp;""</f>
        <v/>
      </c>
      <c r="AW1504">
        <f>IF('Variable Tasks'!E8="","",'Variable Tasks'!E8)</f>
        <v/>
      </c>
      <c r="AX1504">
        <f>IF('Variable Tasks'!G8="","",'Variable Tasks'!G8)</f>
        <v/>
      </c>
      <c r="AY1504">
        <f>IF('Variable Tasks'!H8="","",'Variable Tasks'!H8)</f>
        <v/>
      </c>
      <c r="AZ1504">
        <f>IF(AU1504="","",IF('Variable Tasks'!J8="","Not Started",'Variable Tasks'!J8))</f>
        <v/>
      </c>
      <c r="BA1504">
        <f>'Variable Tasks'!L8&amp;""</f>
        <v/>
      </c>
      <c r="BB1504">
        <f>'Variable Tasks'!M8&amp;""</f>
        <v/>
      </c>
      <c r="BC1504">
        <f>'Variable Tasks'!N8&amp;""</f>
        <v/>
      </c>
      <c r="BD1504">
        <f>'Variable Tasks'!O8&amp;""</f>
        <v/>
      </c>
      <c r="BE1504">
        <f>IF('Variable Tasks'!K8="","",'Variable Tasks'!K8)</f>
        <v/>
      </c>
      <c r="BF1504">
        <f>IFERROR(MATCH(BA1504,Setup!$L$6:$L$9,0),5)</f>
        <v/>
      </c>
      <c r="BG1504">
        <f>IF(OR(AZ1504="Done",AZ1504="Cancelled"),1,0)</f>
        <v/>
      </c>
      <c r="BH1504">
        <f>IF(AND(AU1504&lt;&gt;"",ISNUMBER(AW1504)),1,0)</f>
        <v/>
      </c>
      <c r="BI1504">
        <f>IF(BH1504=0,0,IF(AND(AW1504&gt;='Tasks Filter'!$F$3,AW1504&lt;='Tasks Filter'!$F$4,OR('Tasks Filter'!$I$3="",ISNUMBER(SEARCH('Tasks Filter'!$I$3,AU1504))),OR('Tasks Filter'!$I$4="",BF1504=IFERROR(MATCH('Tasks Filter'!$I$4,Setup!$L$6:$L$9,0),0)),OR('Tasks Filter'!$I$5="Both",AND('Tasks Filter'!$I$5="Yes",BB1504="✓"),AND('Tasks Filter'!$I$5="No",BB1504&lt;&gt;"✓")),OR('Tasks Filter'!$L$3="",AV1504='Tasks Filter'!$L$3),OR('Tasks Filter'!$L$4="",AZ1504='Tasks Filter'!$L$4),OR('Tasks Filter'!$L$5="",BC1504='Tasks Filter'!$L$5),OR('Tasks Filter'!$O$3="",BD1504='Tasks Filter'!$O$3),OR('Tasks Filter'!$O$4="Yes",BG1504=0)),1,0))</f>
        <v/>
      </c>
      <c r="BJ1504">
        <f>IF(BH1504=0,"",IF('Tasks Filter'!$F$6="Descending",-1,1)*CHOOSE(MATCH('Tasks Filter'!$F$5,Lists!$G$2:$G$6,0),AW1504,BF1504,IFERROR(MATCH(AV1504,Setup!$F$6:$F$15,0),99),IFERROR(MATCH(BC1504,Setup!$H$6:$H$15,0),99),IFERROR(MATCH(AZ1504,Setup!$J$6:$J$11,0),99))*1E+9+(AW1504-40000)*10000+1503)</f>
        <v/>
      </c>
      <c r="BK1504">
        <f>IF(BI1504=1,BJ1504,"")</f>
        <v/>
      </c>
      <c r="BL1504">
        <f>IF(AND(BH1504=1,BG1504=0,N(AW1504)&lt;Setup!$D$7),(AW1504-40000)*10000+1503,"")</f>
        <v/>
      </c>
      <c r="BM1504">
        <f>IF(AND(BH1504=1,AZ1504&lt;&gt;"Cancelled",N(AW1504)&gt;=Dashboard!$AB$3,N(AW1504)&lt;=Dashboard!$AB$3+6),(AW1504-40000)*100000+BF1504*10000+1503,"")</f>
        <v/>
      </c>
      <c r="BN1504">
        <f>IF(AND(BH1504=1,AZ1504&lt;&gt;"Cancelled"),BF1504*10000+1503,"")</f>
        <v/>
      </c>
    </row>
    <row r="1505">
      <c r="AS1505" t="inlineStr">
        <is>
          <t>V</t>
        </is>
      </c>
      <c r="AT1505" t="n">
        <v>9</v>
      </c>
      <c r="AU1505">
        <f>'Variable Tasks'!C9&amp;""</f>
        <v/>
      </c>
      <c r="AV1505">
        <f>'Variable Tasks'!D9&amp;""</f>
        <v/>
      </c>
      <c r="AW1505">
        <f>IF('Variable Tasks'!E9="","",'Variable Tasks'!E9)</f>
        <v/>
      </c>
      <c r="AX1505">
        <f>IF('Variable Tasks'!G9="","",'Variable Tasks'!G9)</f>
        <v/>
      </c>
      <c r="AY1505">
        <f>IF('Variable Tasks'!H9="","",'Variable Tasks'!H9)</f>
        <v/>
      </c>
      <c r="AZ1505">
        <f>IF(AU1505="","",IF('Variable Tasks'!J9="","Not Started",'Variable Tasks'!J9))</f>
        <v/>
      </c>
      <c r="BA1505">
        <f>'Variable Tasks'!L9&amp;""</f>
        <v/>
      </c>
      <c r="BB1505">
        <f>'Variable Tasks'!M9&amp;""</f>
        <v/>
      </c>
      <c r="BC1505">
        <f>'Variable Tasks'!N9&amp;""</f>
        <v/>
      </c>
      <c r="BD1505">
        <f>'Variable Tasks'!O9&amp;""</f>
        <v/>
      </c>
      <c r="BE1505">
        <f>IF('Variable Tasks'!K9="","",'Variable Tasks'!K9)</f>
        <v/>
      </c>
      <c r="BF1505">
        <f>IFERROR(MATCH(BA1505,Setup!$L$6:$L$9,0),5)</f>
        <v/>
      </c>
      <c r="BG1505">
        <f>IF(OR(AZ1505="Done",AZ1505="Cancelled"),1,0)</f>
        <v/>
      </c>
      <c r="BH1505">
        <f>IF(AND(AU1505&lt;&gt;"",ISNUMBER(AW1505)),1,0)</f>
        <v/>
      </c>
      <c r="BI1505">
        <f>IF(BH1505=0,0,IF(AND(AW1505&gt;='Tasks Filter'!$F$3,AW1505&lt;='Tasks Filter'!$F$4,OR('Tasks Filter'!$I$3="",ISNUMBER(SEARCH('Tasks Filter'!$I$3,AU1505))),OR('Tasks Filter'!$I$4="",BF1505=IFERROR(MATCH('Tasks Filter'!$I$4,Setup!$L$6:$L$9,0),0)),OR('Tasks Filter'!$I$5="Both",AND('Tasks Filter'!$I$5="Yes",BB1505="✓"),AND('Tasks Filter'!$I$5="No",BB1505&lt;&gt;"✓")),OR('Tasks Filter'!$L$3="",AV1505='Tasks Filter'!$L$3),OR('Tasks Filter'!$L$4="",AZ1505='Tasks Filter'!$L$4),OR('Tasks Filter'!$L$5="",BC1505='Tasks Filter'!$L$5),OR('Tasks Filter'!$O$3="",BD1505='Tasks Filter'!$O$3),OR('Tasks Filter'!$O$4="Yes",BG1505=0)),1,0))</f>
        <v/>
      </c>
      <c r="BJ1505">
        <f>IF(BH1505=0,"",IF('Tasks Filter'!$F$6="Descending",-1,1)*CHOOSE(MATCH('Tasks Filter'!$F$5,Lists!$G$2:$G$6,0),AW1505,BF1505,IFERROR(MATCH(AV1505,Setup!$F$6:$F$15,0),99),IFERROR(MATCH(BC1505,Setup!$H$6:$H$15,0),99),IFERROR(MATCH(AZ1505,Setup!$J$6:$J$11,0),99))*1E+9+(AW1505-40000)*10000+1504)</f>
        <v/>
      </c>
      <c r="BK1505">
        <f>IF(BI1505=1,BJ1505,"")</f>
        <v/>
      </c>
      <c r="BL1505">
        <f>IF(AND(BH1505=1,BG1505=0,N(AW1505)&lt;Setup!$D$7),(AW1505-40000)*10000+1504,"")</f>
        <v/>
      </c>
      <c r="BM1505">
        <f>IF(AND(BH1505=1,AZ1505&lt;&gt;"Cancelled",N(AW1505)&gt;=Dashboard!$AB$3,N(AW1505)&lt;=Dashboard!$AB$3+6),(AW1505-40000)*100000+BF1505*10000+1504,"")</f>
        <v/>
      </c>
      <c r="BN1505">
        <f>IF(AND(BH1505=1,AZ1505&lt;&gt;"Cancelled"),BF1505*10000+1504,"")</f>
        <v/>
      </c>
    </row>
    <row r="1506">
      <c r="AS1506" t="inlineStr">
        <is>
          <t>V</t>
        </is>
      </c>
      <c r="AT1506" t="n">
        <v>10</v>
      </c>
      <c r="AU1506">
        <f>'Variable Tasks'!C10&amp;""</f>
        <v/>
      </c>
      <c r="AV1506">
        <f>'Variable Tasks'!D10&amp;""</f>
        <v/>
      </c>
      <c r="AW1506">
        <f>IF('Variable Tasks'!E10="","",'Variable Tasks'!E10)</f>
        <v/>
      </c>
      <c r="AX1506">
        <f>IF('Variable Tasks'!G10="","",'Variable Tasks'!G10)</f>
        <v/>
      </c>
      <c r="AY1506">
        <f>IF('Variable Tasks'!H10="","",'Variable Tasks'!H10)</f>
        <v/>
      </c>
      <c r="AZ1506">
        <f>IF(AU1506="","",IF('Variable Tasks'!J10="","Not Started",'Variable Tasks'!J10))</f>
        <v/>
      </c>
      <c r="BA1506">
        <f>'Variable Tasks'!L10&amp;""</f>
        <v/>
      </c>
      <c r="BB1506">
        <f>'Variable Tasks'!M10&amp;""</f>
        <v/>
      </c>
      <c r="BC1506">
        <f>'Variable Tasks'!N10&amp;""</f>
        <v/>
      </c>
      <c r="BD1506">
        <f>'Variable Tasks'!O10&amp;""</f>
        <v/>
      </c>
      <c r="BE1506">
        <f>IF('Variable Tasks'!K10="","",'Variable Tasks'!K10)</f>
        <v/>
      </c>
      <c r="BF1506">
        <f>IFERROR(MATCH(BA1506,Setup!$L$6:$L$9,0),5)</f>
        <v/>
      </c>
      <c r="BG1506">
        <f>IF(OR(AZ1506="Done",AZ1506="Cancelled"),1,0)</f>
        <v/>
      </c>
      <c r="BH1506">
        <f>IF(AND(AU1506&lt;&gt;"",ISNUMBER(AW1506)),1,0)</f>
        <v/>
      </c>
      <c r="BI1506">
        <f>IF(BH1506=0,0,IF(AND(AW1506&gt;='Tasks Filter'!$F$3,AW1506&lt;='Tasks Filter'!$F$4,OR('Tasks Filter'!$I$3="",ISNUMBER(SEARCH('Tasks Filter'!$I$3,AU1506))),OR('Tasks Filter'!$I$4="",BF1506=IFERROR(MATCH('Tasks Filter'!$I$4,Setup!$L$6:$L$9,0),0)),OR('Tasks Filter'!$I$5="Both",AND('Tasks Filter'!$I$5="Yes",BB1506="✓"),AND('Tasks Filter'!$I$5="No",BB1506&lt;&gt;"✓")),OR('Tasks Filter'!$L$3="",AV1506='Tasks Filter'!$L$3),OR('Tasks Filter'!$L$4="",AZ1506='Tasks Filter'!$L$4),OR('Tasks Filter'!$L$5="",BC1506='Tasks Filter'!$L$5),OR('Tasks Filter'!$O$3="",BD1506='Tasks Filter'!$O$3),OR('Tasks Filter'!$O$4="Yes",BG1506=0)),1,0))</f>
        <v/>
      </c>
      <c r="BJ1506">
        <f>IF(BH1506=0,"",IF('Tasks Filter'!$F$6="Descending",-1,1)*CHOOSE(MATCH('Tasks Filter'!$F$5,Lists!$G$2:$G$6,0),AW1506,BF1506,IFERROR(MATCH(AV1506,Setup!$F$6:$F$15,0),99),IFERROR(MATCH(BC1506,Setup!$H$6:$H$15,0),99),IFERROR(MATCH(AZ1506,Setup!$J$6:$J$11,0),99))*1E+9+(AW1506-40000)*10000+1505)</f>
        <v/>
      </c>
      <c r="BK1506">
        <f>IF(BI1506=1,BJ1506,"")</f>
        <v/>
      </c>
      <c r="BL1506">
        <f>IF(AND(BH1506=1,BG1506=0,N(AW1506)&lt;Setup!$D$7),(AW1506-40000)*10000+1505,"")</f>
        <v/>
      </c>
      <c r="BM1506">
        <f>IF(AND(BH1506=1,AZ1506&lt;&gt;"Cancelled",N(AW1506)&gt;=Dashboard!$AB$3,N(AW1506)&lt;=Dashboard!$AB$3+6),(AW1506-40000)*100000+BF1506*10000+1505,"")</f>
        <v/>
      </c>
      <c r="BN1506">
        <f>IF(AND(BH1506=1,AZ1506&lt;&gt;"Cancelled"),BF1506*10000+1505,"")</f>
        <v/>
      </c>
    </row>
    <row r="1507">
      <c r="AS1507" t="inlineStr">
        <is>
          <t>V</t>
        </is>
      </c>
      <c r="AT1507" t="n">
        <v>11</v>
      </c>
      <c r="AU1507">
        <f>'Variable Tasks'!C11&amp;""</f>
        <v/>
      </c>
      <c r="AV1507">
        <f>'Variable Tasks'!D11&amp;""</f>
        <v/>
      </c>
      <c r="AW1507">
        <f>IF('Variable Tasks'!E11="","",'Variable Tasks'!E11)</f>
        <v/>
      </c>
      <c r="AX1507">
        <f>IF('Variable Tasks'!G11="","",'Variable Tasks'!G11)</f>
        <v/>
      </c>
      <c r="AY1507">
        <f>IF('Variable Tasks'!H11="","",'Variable Tasks'!H11)</f>
        <v/>
      </c>
      <c r="AZ1507">
        <f>IF(AU1507="","",IF('Variable Tasks'!J11="","Not Started",'Variable Tasks'!J11))</f>
        <v/>
      </c>
      <c r="BA1507">
        <f>'Variable Tasks'!L11&amp;""</f>
        <v/>
      </c>
      <c r="BB1507">
        <f>'Variable Tasks'!M11&amp;""</f>
        <v/>
      </c>
      <c r="BC1507">
        <f>'Variable Tasks'!N11&amp;""</f>
        <v/>
      </c>
      <c r="BD1507">
        <f>'Variable Tasks'!O11&amp;""</f>
        <v/>
      </c>
      <c r="BE1507">
        <f>IF('Variable Tasks'!K11="","",'Variable Tasks'!K11)</f>
        <v/>
      </c>
      <c r="BF1507">
        <f>IFERROR(MATCH(BA1507,Setup!$L$6:$L$9,0),5)</f>
        <v/>
      </c>
      <c r="BG1507">
        <f>IF(OR(AZ1507="Done",AZ1507="Cancelled"),1,0)</f>
        <v/>
      </c>
      <c r="BH1507">
        <f>IF(AND(AU1507&lt;&gt;"",ISNUMBER(AW1507)),1,0)</f>
        <v/>
      </c>
      <c r="BI1507">
        <f>IF(BH1507=0,0,IF(AND(AW1507&gt;='Tasks Filter'!$F$3,AW1507&lt;='Tasks Filter'!$F$4,OR('Tasks Filter'!$I$3="",ISNUMBER(SEARCH('Tasks Filter'!$I$3,AU1507))),OR('Tasks Filter'!$I$4="",BF1507=IFERROR(MATCH('Tasks Filter'!$I$4,Setup!$L$6:$L$9,0),0)),OR('Tasks Filter'!$I$5="Both",AND('Tasks Filter'!$I$5="Yes",BB1507="✓"),AND('Tasks Filter'!$I$5="No",BB1507&lt;&gt;"✓")),OR('Tasks Filter'!$L$3="",AV1507='Tasks Filter'!$L$3),OR('Tasks Filter'!$L$4="",AZ1507='Tasks Filter'!$L$4),OR('Tasks Filter'!$L$5="",BC1507='Tasks Filter'!$L$5),OR('Tasks Filter'!$O$3="",BD1507='Tasks Filter'!$O$3),OR('Tasks Filter'!$O$4="Yes",BG1507=0)),1,0))</f>
        <v/>
      </c>
      <c r="BJ1507">
        <f>IF(BH1507=0,"",IF('Tasks Filter'!$F$6="Descending",-1,1)*CHOOSE(MATCH('Tasks Filter'!$F$5,Lists!$G$2:$G$6,0),AW1507,BF1507,IFERROR(MATCH(AV1507,Setup!$F$6:$F$15,0),99),IFERROR(MATCH(BC1507,Setup!$H$6:$H$15,0),99),IFERROR(MATCH(AZ1507,Setup!$J$6:$J$11,0),99))*1E+9+(AW1507-40000)*10000+1506)</f>
        <v/>
      </c>
      <c r="BK1507">
        <f>IF(BI1507=1,BJ1507,"")</f>
        <v/>
      </c>
      <c r="BL1507">
        <f>IF(AND(BH1507=1,BG1507=0,N(AW1507)&lt;Setup!$D$7),(AW1507-40000)*10000+1506,"")</f>
        <v/>
      </c>
      <c r="BM1507">
        <f>IF(AND(BH1507=1,AZ1507&lt;&gt;"Cancelled",N(AW1507)&gt;=Dashboard!$AB$3,N(AW1507)&lt;=Dashboard!$AB$3+6),(AW1507-40000)*100000+BF1507*10000+1506,"")</f>
        <v/>
      </c>
      <c r="BN1507">
        <f>IF(AND(BH1507=1,AZ1507&lt;&gt;"Cancelled"),BF1507*10000+1506,"")</f>
        <v/>
      </c>
    </row>
    <row r="1508">
      <c r="AS1508" t="inlineStr">
        <is>
          <t>V</t>
        </is>
      </c>
      <c r="AT1508" t="n">
        <v>12</v>
      </c>
      <c r="AU1508">
        <f>'Variable Tasks'!C12&amp;""</f>
        <v/>
      </c>
      <c r="AV1508">
        <f>'Variable Tasks'!D12&amp;""</f>
        <v/>
      </c>
      <c r="AW1508">
        <f>IF('Variable Tasks'!E12="","",'Variable Tasks'!E12)</f>
        <v/>
      </c>
      <c r="AX1508">
        <f>IF('Variable Tasks'!G12="","",'Variable Tasks'!G12)</f>
        <v/>
      </c>
      <c r="AY1508">
        <f>IF('Variable Tasks'!H12="","",'Variable Tasks'!H12)</f>
        <v/>
      </c>
      <c r="AZ1508">
        <f>IF(AU1508="","",IF('Variable Tasks'!J12="","Not Started",'Variable Tasks'!J12))</f>
        <v/>
      </c>
      <c r="BA1508">
        <f>'Variable Tasks'!L12&amp;""</f>
        <v/>
      </c>
      <c r="BB1508">
        <f>'Variable Tasks'!M12&amp;""</f>
        <v/>
      </c>
      <c r="BC1508">
        <f>'Variable Tasks'!N12&amp;""</f>
        <v/>
      </c>
      <c r="BD1508">
        <f>'Variable Tasks'!O12&amp;""</f>
        <v/>
      </c>
      <c r="BE1508">
        <f>IF('Variable Tasks'!K12="","",'Variable Tasks'!K12)</f>
        <v/>
      </c>
      <c r="BF1508">
        <f>IFERROR(MATCH(BA1508,Setup!$L$6:$L$9,0),5)</f>
        <v/>
      </c>
      <c r="BG1508">
        <f>IF(OR(AZ1508="Done",AZ1508="Cancelled"),1,0)</f>
        <v/>
      </c>
      <c r="BH1508">
        <f>IF(AND(AU1508&lt;&gt;"",ISNUMBER(AW1508)),1,0)</f>
        <v/>
      </c>
      <c r="BI1508">
        <f>IF(BH1508=0,0,IF(AND(AW1508&gt;='Tasks Filter'!$F$3,AW1508&lt;='Tasks Filter'!$F$4,OR('Tasks Filter'!$I$3="",ISNUMBER(SEARCH('Tasks Filter'!$I$3,AU1508))),OR('Tasks Filter'!$I$4="",BF1508=IFERROR(MATCH('Tasks Filter'!$I$4,Setup!$L$6:$L$9,0),0)),OR('Tasks Filter'!$I$5="Both",AND('Tasks Filter'!$I$5="Yes",BB1508="✓"),AND('Tasks Filter'!$I$5="No",BB1508&lt;&gt;"✓")),OR('Tasks Filter'!$L$3="",AV1508='Tasks Filter'!$L$3),OR('Tasks Filter'!$L$4="",AZ1508='Tasks Filter'!$L$4),OR('Tasks Filter'!$L$5="",BC1508='Tasks Filter'!$L$5),OR('Tasks Filter'!$O$3="",BD1508='Tasks Filter'!$O$3),OR('Tasks Filter'!$O$4="Yes",BG1508=0)),1,0))</f>
        <v/>
      </c>
      <c r="BJ1508">
        <f>IF(BH1508=0,"",IF('Tasks Filter'!$F$6="Descending",-1,1)*CHOOSE(MATCH('Tasks Filter'!$F$5,Lists!$G$2:$G$6,0),AW1508,BF1508,IFERROR(MATCH(AV1508,Setup!$F$6:$F$15,0),99),IFERROR(MATCH(BC1508,Setup!$H$6:$H$15,0),99),IFERROR(MATCH(AZ1508,Setup!$J$6:$J$11,0),99))*1E+9+(AW1508-40000)*10000+1507)</f>
        <v/>
      </c>
      <c r="BK1508">
        <f>IF(BI1508=1,BJ1508,"")</f>
        <v/>
      </c>
      <c r="BL1508">
        <f>IF(AND(BH1508=1,BG1508=0,N(AW1508)&lt;Setup!$D$7),(AW1508-40000)*10000+1507,"")</f>
        <v/>
      </c>
      <c r="BM1508">
        <f>IF(AND(BH1508=1,AZ1508&lt;&gt;"Cancelled",N(AW1508)&gt;=Dashboard!$AB$3,N(AW1508)&lt;=Dashboard!$AB$3+6),(AW1508-40000)*100000+BF1508*10000+1507,"")</f>
        <v/>
      </c>
      <c r="BN1508">
        <f>IF(AND(BH1508=1,AZ1508&lt;&gt;"Cancelled"),BF1508*10000+1507,"")</f>
        <v/>
      </c>
    </row>
    <row r="1509">
      <c r="AS1509" t="inlineStr">
        <is>
          <t>V</t>
        </is>
      </c>
      <c r="AT1509" t="n">
        <v>13</v>
      </c>
      <c r="AU1509">
        <f>'Variable Tasks'!C13&amp;""</f>
        <v/>
      </c>
      <c r="AV1509">
        <f>'Variable Tasks'!D13&amp;""</f>
        <v/>
      </c>
      <c r="AW1509">
        <f>IF('Variable Tasks'!E13="","",'Variable Tasks'!E13)</f>
        <v/>
      </c>
      <c r="AX1509">
        <f>IF('Variable Tasks'!G13="","",'Variable Tasks'!G13)</f>
        <v/>
      </c>
      <c r="AY1509">
        <f>IF('Variable Tasks'!H13="","",'Variable Tasks'!H13)</f>
        <v/>
      </c>
      <c r="AZ1509">
        <f>IF(AU1509="","",IF('Variable Tasks'!J13="","Not Started",'Variable Tasks'!J13))</f>
        <v/>
      </c>
      <c r="BA1509">
        <f>'Variable Tasks'!L13&amp;""</f>
        <v/>
      </c>
      <c r="BB1509">
        <f>'Variable Tasks'!M13&amp;""</f>
        <v/>
      </c>
      <c r="BC1509">
        <f>'Variable Tasks'!N13&amp;""</f>
        <v/>
      </c>
      <c r="BD1509">
        <f>'Variable Tasks'!O13&amp;""</f>
        <v/>
      </c>
      <c r="BE1509">
        <f>IF('Variable Tasks'!K13="","",'Variable Tasks'!K13)</f>
        <v/>
      </c>
      <c r="BF1509">
        <f>IFERROR(MATCH(BA1509,Setup!$L$6:$L$9,0),5)</f>
        <v/>
      </c>
      <c r="BG1509">
        <f>IF(OR(AZ1509="Done",AZ1509="Cancelled"),1,0)</f>
        <v/>
      </c>
      <c r="BH1509">
        <f>IF(AND(AU1509&lt;&gt;"",ISNUMBER(AW1509)),1,0)</f>
        <v/>
      </c>
      <c r="BI1509">
        <f>IF(BH1509=0,0,IF(AND(AW1509&gt;='Tasks Filter'!$F$3,AW1509&lt;='Tasks Filter'!$F$4,OR('Tasks Filter'!$I$3="",ISNUMBER(SEARCH('Tasks Filter'!$I$3,AU1509))),OR('Tasks Filter'!$I$4="",BF1509=IFERROR(MATCH('Tasks Filter'!$I$4,Setup!$L$6:$L$9,0),0)),OR('Tasks Filter'!$I$5="Both",AND('Tasks Filter'!$I$5="Yes",BB1509="✓"),AND('Tasks Filter'!$I$5="No",BB1509&lt;&gt;"✓")),OR('Tasks Filter'!$L$3="",AV1509='Tasks Filter'!$L$3),OR('Tasks Filter'!$L$4="",AZ1509='Tasks Filter'!$L$4),OR('Tasks Filter'!$L$5="",BC1509='Tasks Filter'!$L$5),OR('Tasks Filter'!$O$3="",BD1509='Tasks Filter'!$O$3),OR('Tasks Filter'!$O$4="Yes",BG1509=0)),1,0))</f>
        <v/>
      </c>
      <c r="BJ1509">
        <f>IF(BH1509=0,"",IF('Tasks Filter'!$F$6="Descending",-1,1)*CHOOSE(MATCH('Tasks Filter'!$F$5,Lists!$G$2:$G$6,0),AW1509,BF1509,IFERROR(MATCH(AV1509,Setup!$F$6:$F$15,0),99),IFERROR(MATCH(BC1509,Setup!$H$6:$H$15,0),99),IFERROR(MATCH(AZ1509,Setup!$J$6:$J$11,0),99))*1E+9+(AW1509-40000)*10000+1508)</f>
        <v/>
      </c>
      <c r="BK1509">
        <f>IF(BI1509=1,BJ1509,"")</f>
        <v/>
      </c>
      <c r="BL1509">
        <f>IF(AND(BH1509=1,BG1509=0,N(AW1509)&lt;Setup!$D$7),(AW1509-40000)*10000+1508,"")</f>
        <v/>
      </c>
      <c r="BM1509">
        <f>IF(AND(BH1509=1,AZ1509&lt;&gt;"Cancelled",N(AW1509)&gt;=Dashboard!$AB$3,N(AW1509)&lt;=Dashboard!$AB$3+6),(AW1509-40000)*100000+BF1509*10000+1508,"")</f>
        <v/>
      </c>
      <c r="BN1509">
        <f>IF(AND(BH1509=1,AZ1509&lt;&gt;"Cancelled"),BF1509*10000+1508,"")</f>
        <v/>
      </c>
    </row>
    <row r="1510">
      <c r="AS1510" t="inlineStr">
        <is>
          <t>V</t>
        </is>
      </c>
      <c r="AT1510" t="n">
        <v>14</v>
      </c>
      <c r="AU1510">
        <f>'Variable Tasks'!C14&amp;""</f>
        <v/>
      </c>
      <c r="AV1510">
        <f>'Variable Tasks'!D14&amp;""</f>
        <v/>
      </c>
      <c r="AW1510">
        <f>IF('Variable Tasks'!E14="","",'Variable Tasks'!E14)</f>
        <v/>
      </c>
      <c r="AX1510">
        <f>IF('Variable Tasks'!G14="","",'Variable Tasks'!G14)</f>
        <v/>
      </c>
      <c r="AY1510">
        <f>IF('Variable Tasks'!H14="","",'Variable Tasks'!H14)</f>
        <v/>
      </c>
      <c r="AZ1510">
        <f>IF(AU1510="","",IF('Variable Tasks'!J14="","Not Started",'Variable Tasks'!J14))</f>
        <v/>
      </c>
      <c r="BA1510">
        <f>'Variable Tasks'!L14&amp;""</f>
        <v/>
      </c>
      <c r="BB1510">
        <f>'Variable Tasks'!M14&amp;""</f>
        <v/>
      </c>
      <c r="BC1510">
        <f>'Variable Tasks'!N14&amp;""</f>
        <v/>
      </c>
      <c r="BD1510">
        <f>'Variable Tasks'!O14&amp;""</f>
        <v/>
      </c>
      <c r="BE1510">
        <f>IF('Variable Tasks'!K14="","",'Variable Tasks'!K14)</f>
        <v/>
      </c>
      <c r="BF1510">
        <f>IFERROR(MATCH(BA1510,Setup!$L$6:$L$9,0),5)</f>
        <v/>
      </c>
      <c r="BG1510">
        <f>IF(OR(AZ1510="Done",AZ1510="Cancelled"),1,0)</f>
        <v/>
      </c>
      <c r="BH1510">
        <f>IF(AND(AU1510&lt;&gt;"",ISNUMBER(AW1510)),1,0)</f>
        <v/>
      </c>
      <c r="BI1510">
        <f>IF(BH1510=0,0,IF(AND(AW1510&gt;='Tasks Filter'!$F$3,AW1510&lt;='Tasks Filter'!$F$4,OR('Tasks Filter'!$I$3="",ISNUMBER(SEARCH('Tasks Filter'!$I$3,AU1510))),OR('Tasks Filter'!$I$4="",BF1510=IFERROR(MATCH('Tasks Filter'!$I$4,Setup!$L$6:$L$9,0),0)),OR('Tasks Filter'!$I$5="Both",AND('Tasks Filter'!$I$5="Yes",BB1510="✓"),AND('Tasks Filter'!$I$5="No",BB1510&lt;&gt;"✓")),OR('Tasks Filter'!$L$3="",AV1510='Tasks Filter'!$L$3),OR('Tasks Filter'!$L$4="",AZ1510='Tasks Filter'!$L$4),OR('Tasks Filter'!$L$5="",BC1510='Tasks Filter'!$L$5),OR('Tasks Filter'!$O$3="",BD1510='Tasks Filter'!$O$3),OR('Tasks Filter'!$O$4="Yes",BG1510=0)),1,0))</f>
        <v/>
      </c>
      <c r="BJ1510">
        <f>IF(BH1510=0,"",IF('Tasks Filter'!$F$6="Descending",-1,1)*CHOOSE(MATCH('Tasks Filter'!$F$5,Lists!$G$2:$G$6,0),AW1510,BF1510,IFERROR(MATCH(AV1510,Setup!$F$6:$F$15,0),99),IFERROR(MATCH(BC1510,Setup!$H$6:$H$15,0),99),IFERROR(MATCH(AZ1510,Setup!$J$6:$J$11,0),99))*1E+9+(AW1510-40000)*10000+1509)</f>
        <v/>
      </c>
      <c r="BK1510">
        <f>IF(BI1510=1,BJ1510,"")</f>
        <v/>
      </c>
      <c r="BL1510">
        <f>IF(AND(BH1510=1,BG1510=0,N(AW1510)&lt;Setup!$D$7),(AW1510-40000)*10000+1509,"")</f>
        <v/>
      </c>
      <c r="BM1510">
        <f>IF(AND(BH1510=1,AZ1510&lt;&gt;"Cancelled",N(AW1510)&gt;=Dashboard!$AB$3,N(AW1510)&lt;=Dashboard!$AB$3+6),(AW1510-40000)*100000+BF1510*10000+1509,"")</f>
        <v/>
      </c>
      <c r="BN1510">
        <f>IF(AND(BH1510=1,AZ1510&lt;&gt;"Cancelled"),BF1510*10000+1509,"")</f>
        <v/>
      </c>
    </row>
    <row r="1511">
      <c r="AS1511" t="inlineStr">
        <is>
          <t>V</t>
        </is>
      </c>
      <c r="AT1511" t="n">
        <v>15</v>
      </c>
      <c r="AU1511">
        <f>'Variable Tasks'!C15&amp;""</f>
        <v/>
      </c>
      <c r="AV1511">
        <f>'Variable Tasks'!D15&amp;""</f>
        <v/>
      </c>
      <c r="AW1511">
        <f>IF('Variable Tasks'!E15="","",'Variable Tasks'!E15)</f>
        <v/>
      </c>
      <c r="AX1511">
        <f>IF('Variable Tasks'!G15="","",'Variable Tasks'!G15)</f>
        <v/>
      </c>
      <c r="AY1511">
        <f>IF('Variable Tasks'!H15="","",'Variable Tasks'!H15)</f>
        <v/>
      </c>
      <c r="AZ1511">
        <f>IF(AU1511="","",IF('Variable Tasks'!J15="","Not Started",'Variable Tasks'!J15))</f>
        <v/>
      </c>
      <c r="BA1511">
        <f>'Variable Tasks'!L15&amp;""</f>
        <v/>
      </c>
      <c r="BB1511">
        <f>'Variable Tasks'!M15&amp;""</f>
        <v/>
      </c>
      <c r="BC1511">
        <f>'Variable Tasks'!N15&amp;""</f>
        <v/>
      </c>
      <c r="BD1511">
        <f>'Variable Tasks'!O15&amp;""</f>
        <v/>
      </c>
      <c r="BE1511">
        <f>IF('Variable Tasks'!K15="","",'Variable Tasks'!K15)</f>
        <v/>
      </c>
      <c r="BF1511">
        <f>IFERROR(MATCH(BA1511,Setup!$L$6:$L$9,0),5)</f>
        <v/>
      </c>
      <c r="BG1511">
        <f>IF(OR(AZ1511="Done",AZ1511="Cancelled"),1,0)</f>
        <v/>
      </c>
      <c r="BH1511">
        <f>IF(AND(AU1511&lt;&gt;"",ISNUMBER(AW1511)),1,0)</f>
        <v/>
      </c>
      <c r="BI1511">
        <f>IF(BH1511=0,0,IF(AND(AW1511&gt;='Tasks Filter'!$F$3,AW1511&lt;='Tasks Filter'!$F$4,OR('Tasks Filter'!$I$3="",ISNUMBER(SEARCH('Tasks Filter'!$I$3,AU1511))),OR('Tasks Filter'!$I$4="",BF1511=IFERROR(MATCH('Tasks Filter'!$I$4,Setup!$L$6:$L$9,0),0)),OR('Tasks Filter'!$I$5="Both",AND('Tasks Filter'!$I$5="Yes",BB1511="✓"),AND('Tasks Filter'!$I$5="No",BB1511&lt;&gt;"✓")),OR('Tasks Filter'!$L$3="",AV1511='Tasks Filter'!$L$3),OR('Tasks Filter'!$L$4="",AZ1511='Tasks Filter'!$L$4),OR('Tasks Filter'!$L$5="",BC1511='Tasks Filter'!$L$5),OR('Tasks Filter'!$O$3="",BD1511='Tasks Filter'!$O$3),OR('Tasks Filter'!$O$4="Yes",BG1511=0)),1,0))</f>
        <v/>
      </c>
      <c r="BJ1511">
        <f>IF(BH1511=0,"",IF('Tasks Filter'!$F$6="Descending",-1,1)*CHOOSE(MATCH('Tasks Filter'!$F$5,Lists!$G$2:$G$6,0),AW1511,BF1511,IFERROR(MATCH(AV1511,Setup!$F$6:$F$15,0),99),IFERROR(MATCH(BC1511,Setup!$H$6:$H$15,0),99),IFERROR(MATCH(AZ1511,Setup!$J$6:$J$11,0),99))*1E+9+(AW1511-40000)*10000+1510)</f>
        <v/>
      </c>
      <c r="BK1511">
        <f>IF(BI1511=1,BJ1511,"")</f>
        <v/>
      </c>
      <c r="BL1511">
        <f>IF(AND(BH1511=1,BG1511=0,N(AW1511)&lt;Setup!$D$7),(AW1511-40000)*10000+1510,"")</f>
        <v/>
      </c>
      <c r="BM1511">
        <f>IF(AND(BH1511=1,AZ1511&lt;&gt;"Cancelled",N(AW1511)&gt;=Dashboard!$AB$3,N(AW1511)&lt;=Dashboard!$AB$3+6),(AW1511-40000)*100000+BF1511*10000+1510,"")</f>
        <v/>
      </c>
      <c r="BN1511">
        <f>IF(AND(BH1511=1,AZ1511&lt;&gt;"Cancelled"),BF1511*10000+1510,"")</f>
        <v/>
      </c>
    </row>
    <row r="1512">
      <c r="AS1512" t="inlineStr">
        <is>
          <t>V</t>
        </is>
      </c>
      <c r="AT1512" t="n">
        <v>16</v>
      </c>
      <c r="AU1512">
        <f>'Variable Tasks'!C16&amp;""</f>
        <v/>
      </c>
      <c r="AV1512">
        <f>'Variable Tasks'!D16&amp;""</f>
        <v/>
      </c>
      <c r="AW1512">
        <f>IF('Variable Tasks'!E16="","",'Variable Tasks'!E16)</f>
        <v/>
      </c>
      <c r="AX1512">
        <f>IF('Variable Tasks'!G16="","",'Variable Tasks'!G16)</f>
        <v/>
      </c>
      <c r="AY1512">
        <f>IF('Variable Tasks'!H16="","",'Variable Tasks'!H16)</f>
        <v/>
      </c>
      <c r="AZ1512">
        <f>IF(AU1512="","",IF('Variable Tasks'!J16="","Not Started",'Variable Tasks'!J16))</f>
        <v/>
      </c>
      <c r="BA1512">
        <f>'Variable Tasks'!L16&amp;""</f>
        <v/>
      </c>
      <c r="BB1512">
        <f>'Variable Tasks'!M16&amp;""</f>
        <v/>
      </c>
      <c r="BC1512">
        <f>'Variable Tasks'!N16&amp;""</f>
        <v/>
      </c>
      <c r="BD1512">
        <f>'Variable Tasks'!O16&amp;""</f>
        <v/>
      </c>
      <c r="BE1512">
        <f>IF('Variable Tasks'!K16="","",'Variable Tasks'!K16)</f>
        <v/>
      </c>
      <c r="BF1512">
        <f>IFERROR(MATCH(BA1512,Setup!$L$6:$L$9,0),5)</f>
        <v/>
      </c>
      <c r="BG1512">
        <f>IF(OR(AZ1512="Done",AZ1512="Cancelled"),1,0)</f>
        <v/>
      </c>
      <c r="BH1512">
        <f>IF(AND(AU1512&lt;&gt;"",ISNUMBER(AW1512)),1,0)</f>
        <v/>
      </c>
      <c r="BI1512">
        <f>IF(BH1512=0,0,IF(AND(AW1512&gt;='Tasks Filter'!$F$3,AW1512&lt;='Tasks Filter'!$F$4,OR('Tasks Filter'!$I$3="",ISNUMBER(SEARCH('Tasks Filter'!$I$3,AU1512))),OR('Tasks Filter'!$I$4="",BF1512=IFERROR(MATCH('Tasks Filter'!$I$4,Setup!$L$6:$L$9,0),0)),OR('Tasks Filter'!$I$5="Both",AND('Tasks Filter'!$I$5="Yes",BB1512="✓"),AND('Tasks Filter'!$I$5="No",BB1512&lt;&gt;"✓")),OR('Tasks Filter'!$L$3="",AV1512='Tasks Filter'!$L$3),OR('Tasks Filter'!$L$4="",AZ1512='Tasks Filter'!$L$4),OR('Tasks Filter'!$L$5="",BC1512='Tasks Filter'!$L$5),OR('Tasks Filter'!$O$3="",BD1512='Tasks Filter'!$O$3),OR('Tasks Filter'!$O$4="Yes",BG1512=0)),1,0))</f>
        <v/>
      </c>
      <c r="BJ1512">
        <f>IF(BH1512=0,"",IF('Tasks Filter'!$F$6="Descending",-1,1)*CHOOSE(MATCH('Tasks Filter'!$F$5,Lists!$G$2:$G$6,0),AW1512,BF1512,IFERROR(MATCH(AV1512,Setup!$F$6:$F$15,0),99),IFERROR(MATCH(BC1512,Setup!$H$6:$H$15,0),99),IFERROR(MATCH(AZ1512,Setup!$J$6:$J$11,0),99))*1E+9+(AW1512-40000)*10000+1511)</f>
        <v/>
      </c>
      <c r="BK1512">
        <f>IF(BI1512=1,BJ1512,"")</f>
        <v/>
      </c>
      <c r="BL1512">
        <f>IF(AND(BH1512=1,BG1512=0,N(AW1512)&lt;Setup!$D$7),(AW1512-40000)*10000+1511,"")</f>
        <v/>
      </c>
      <c r="BM1512">
        <f>IF(AND(BH1512=1,AZ1512&lt;&gt;"Cancelled",N(AW1512)&gt;=Dashboard!$AB$3,N(AW1512)&lt;=Dashboard!$AB$3+6),(AW1512-40000)*100000+BF1512*10000+1511,"")</f>
        <v/>
      </c>
      <c r="BN1512">
        <f>IF(AND(BH1512=1,AZ1512&lt;&gt;"Cancelled"),BF1512*10000+1511,"")</f>
        <v/>
      </c>
    </row>
    <row r="1513">
      <c r="AS1513" t="inlineStr">
        <is>
          <t>V</t>
        </is>
      </c>
      <c r="AT1513" t="n">
        <v>17</v>
      </c>
      <c r="AU1513">
        <f>'Variable Tasks'!C17&amp;""</f>
        <v/>
      </c>
      <c r="AV1513">
        <f>'Variable Tasks'!D17&amp;""</f>
        <v/>
      </c>
      <c r="AW1513">
        <f>IF('Variable Tasks'!E17="","",'Variable Tasks'!E17)</f>
        <v/>
      </c>
      <c r="AX1513">
        <f>IF('Variable Tasks'!G17="","",'Variable Tasks'!G17)</f>
        <v/>
      </c>
      <c r="AY1513">
        <f>IF('Variable Tasks'!H17="","",'Variable Tasks'!H17)</f>
        <v/>
      </c>
      <c r="AZ1513">
        <f>IF(AU1513="","",IF('Variable Tasks'!J17="","Not Started",'Variable Tasks'!J17))</f>
        <v/>
      </c>
      <c r="BA1513">
        <f>'Variable Tasks'!L17&amp;""</f>
        <v/>
      </c>
      <c r="BB1513">
        <f>'Variable Tasks'!M17&amp;""</f>
        <v/>
      </c>
      <c r="BC1513">
        <f>'Variable Tasks'!N17&amp;""</f>
        <v/>
      </c>
      <c r="BD1513">
        <f>'Variable Tasks'!O17&amp;""</f>
        <v/>
      </c>
      <c r="BE1513">
        <f>IF('Variable Tasks'!K17="","",'Variable Tasks'!K17)</f>
        <v/>
      </c>
      <c r="BF1513">
        <f>IFERROR(MATCH(BA1513,Setup!$L$6:$L$9,0),5)</f>
        <v/>
      </c>
      <c r="BG1513">
        <f>IF(OR(AZ1513="Done",AZ1513="Cancelled"),1,0)</f>
        <v/>
      </c>
      <c r="BH1513">
        <f>IF(AND(AU1513&lt;&gt;"",ISNUMBER(AW1513)),1,0)</f>
        <v/>
      </c>
      <c r="BI1513">
        <f>IF(BH1513=0,0,IF(AND(AW1513&gt;='Tasks Filter'!$F$3,AW1513&lt;='Tasks Filter'!$F$4,OR('Tasks Filter'!$I$3="",ISNUMBER(SEARCH('Tasks Filter'!$I$3,AU1513))),OR('Tasks Filter'!$I$4="",BF1513=IFERROR(MATCH('Tasks Filter'!$I$4,Setup!$L$6:$L$9,0),0)),OR('Tasks Filter'!$I$5="Both",AND('Tasks Filter'!$I$5="Yes",BB1513="✓"),AND('Tasks Filter'!$I$5="No",BB1513&lt;&gt;"✓")),OR('Tasks Filter'!$L$3="",AV1513='Tasks Filter'!$L$3),OR('Tasks Filter'!$L$4="",AZ1513='Tasks Filter'!$L$4),OR('Tasks Filter'!$L$5="",BC1513='Tasks Filter'!$L$5),OR('Tasks Filter'!$O$3="",BD1513='Tasks Filter'!$O$3),OR('Tasks Filter'!$O$4="Yes",BG1513=0)),1,0))</f>
        <v/>
      </c>
      <c r="BJ1513">
        <f>IF(BH1513=0,"",IF('Tasks Filter'!$F$6="Descending",-1,1)*CHOOSE(MATCH('Tasks Filter'!$F$5,Lists!$G$2:$G$6,0),AW1513,BF1513,IFERROR(MATCH(AV1513,Setup!$F$6:$F$15,0),99),IFERROR(MATCH(BC1513,Setup!$H$6:$H$15,0),99),IFERROR(MATCH(AZ1513,Setup!$J$6:$J$11,0),99))*1E+9+(AW1513-40000)*10000+1512)</f>
        <v/>
      </c>
      <c r="BK1513">
        <f>IF(BI1513=1,BJ1513,"")</f>
        <v/>
      </c>
      <c r="BL1513">
        <f>IF(AND(BH1513=1,BG1513=0,N(AW1513)&lt;Setup!$D$7),(AW1513-40000)*10000+1512,"")</f>
        <v/>
      </c>
      <c r="BM1513">
        <f>IF(AND(BH1513=1,AZ1513&lt;&gt;"Cancelled",N(AW1513)&gt;=Dashboard!$AB$3,N(AW1513)&lt;=Dashboard!$AB$3+6),(AW1513-40000)*100000+BF1513*10000+1512,"")</f>
        <v/>
      </c>
      <c r="BN1513">
        <f>IF(AND(BH1513=1,AZ1513&lt;&gt;"Cancelled"),BF1513*10000+1512,"")</f>
        <v/>
      </c>
    </row>
    <row r="1514">
      <c r="AS1514" t="inlineStr">
        <is>
          <t>V</t>
        </is>
      </c>
      <c r="AT1514" t="n">
        <v>18</v>
      </c>
      <c r="AU1514">
        <f>'Variable Tasks'!C18&amp;""</f>
        <v/>
      </c>
      <c r="AV1514">
        <f>'Variable Tasks'!D18&amp;""</f>
        <v/>
      </c>
      <c r="AW1514">
        <f>IF('Variable Tasks'!E18="","",'Variable Tasks'!E18)</f>
        <v/>
      </c>
      <c r="AX1514">
        <f>IF('Variable Tasks'!G18="","",'Variable Tasks'!G18)</f>
        <v/>
      </c>
      <c r="AY1514">
        <f>IF('Variable Tasks'!H18="","",'Variable Tasks'!H18)</f>
        <v/>
      </c>
      <c r="AZ1514">
        <f>IF(AU1514="","",IF('Variable Tasks'!J18="","Not Started",'Variable Tasks'!J18))</f>
        <v/>
      </c>
      <c r="BA1514">
        <f>'Variable Tasks'!L18&amp;""</f>
        <v/>
      </c>
      <c r="BB1514">
        <f>'Variable Tasks'!M18&amp;""</f>
        <v/>
      </c>
      <c r="BC1514">
        <f>'Variable Tasks'!N18&amp;""</f>
        <v/>
      </c>
      <c r="BD1514">
        <f>'Variable Tasks'!O18&amp;""</f>
        <v/>
      </c>
      <c r="BE1514">
        <f>IF('Variable Tasks'!K18="","",'Variable Tasks'!K18)</f>
        <v/>
      </c>
      <c r="BF1514">
        <f>IFERROR(MATCH(BA1514,Setup!$L$6:$L$9,0),5)</f>
        <v/>
      </c>
      <c r="BG1514">
        <f>IF(OR(AZ1514="Done",AZ1514="Cancelled"),1,0)</f>
        <v/>
      </c>
      <c r="BH1514">
        <f>IF(AND(AU1514&lt;&gt;"",ISNUMBER(AW1514)),1,0)</f>
        <v/>
      </c>
      <c r="BI1514">
        <f>IF(BH1514=0,0,IF(AND(AW1514&gt;='Tasks Filter'!$F$3,AW1514&lt;='Tasks Filter'!$F$4,OR('Tasks Filter'!$I$3="",ISNUMBER(SEARCH('Tasks Filter'!$I$3,AU1514))),OR('Tasks Filter'!$I$4="",BF1514=IFERROR(MATCH('Tasks Filter'!$I$4,Setup!$L$6:$L$9,0),0)),OR('Tasks Filter'!$I$5="Both",AND('Tasks Filter'!$I$5="Yes",BB1514="✓"),AND('Tasks Filter'!$I$5="No",BB1514&lt;&gt;"✓")),OR('Tasks Filter'!$L$3="",AV1514='Tasks Filter'!$L$3),OR('Tasks Filter'!$L$4="",AZ1514='Tasks Filter'!$L$4),OR('Tasks Filter'!$L$5="",BC1514='Tasks Filter'!$L$5),OR('Tasks Filter'!$O$3="",BD1514='Tasks Filter'!$O$3),OR('Tasks Filter'!$O$4="Yes",BG1514=0)),1,0))</f>
        <v/>
      </c>
      <c r="BJ1514">
        <f>IF(BH1514=0,"",IF('Tasks Filter'!$F$6="Descending",-1,1)*CHOOSE(MATCH('Tasks Filter'!$F$5,Lists!$G$2:$G$6,0),AW1514,BF1514,IFERROR(MATCH(AV1514,Setup!$F$6:$F$15,0),99),IFERROR(MATCH(BC1514,Setup!$H$6:$H$15,0),99),IFERROR(MATCH(AZ1514,Setup!$J$6:$J$11,0),99))*1E+9+(AW1514-40000)*10000+1513)</f>
        <v/>
      </c>
      <c r="BK1514">
        <f>IF(BI1514=1,BJ1514,"")</f>
        <v/>
      </c>
      <c r="BL1514">
        <f>IF(AND(BH1514=1,BG1514=0,N(AW1514)&lt;Setup!$D$7),(AW1514-40000)*10000+1513,"")</f>
        <v/>
      </c>
      <c r="BM1514">
        <f>IF(AND(BH1514=1,AZ1514&lt;&gt;"Cancelled",N(AW1514)&gt;=Dashboard!$AB$3,N(AW1514)&lt;=Dashboard!$AB$3+6),(AW1514-40000)*100000+BF1514*10000+1513,"")</f>
        <v/>
      </c>
      <c r="BN1514">
        <f>IF(AND(BH1514=1,AZ1514&lt;&gt;"Cancelled"),BF1514*10000+1513,"")</f>
        <v/>
      </c>
    </row>
    <row r="1515">
      <c r="AS1515" t="inlineStr">
        <is>
          <t>V</t>
        </is>
      </c>
      <c r="AT1515" t="n">
        <v>19</v>
      </c>
      <c r="AU1515">
        <f>'Variable Tasks'!C19&amp;""</f>
        <v/>
      </c>
      <c r="AV1515">
        <f>'Variable Tasks'!D19&amp;""</f>
        <v/>
      </c>
      <c r="AW1515">
        <f>IF('Variable Tasks'!E19="","",'Variable Tasks'!E19)</f>
        <v/>
      </c>
      <c r="AX1515">
        <f>IF('Variable Tasks'!G19="","",'Variable Tasks'!G19)</f>
        <v/>
      </c>
      <c r="AY1515">
        <f>IF('Variable Tasks'!H19="","",'Variable Tasks'!H19)</f>
        <v/>
      </c>
      <c r="AZ1515">
        <f>IF(AU1515="","",IF('Variable Tasks'!J19="","Not Started",'Variable Tasks'!J19))</f>
        <v/>
      </c>
      <c r="BA1515">
        <f>'Variable Tasks'!L19&amp;""</f>
        <v/>
      </c>
      <c r="BB1515">
        <f>'Variable Tasks'!M19&amp;""</f>
        <v/>
      </c>
      <c r="BC1515">
        <f>'Variable Tasks'!N19&amp;""</f>
        <v/>
      </c>
      <c r="BD1515">
        <f>'Variable Tasks'!O19&amp;""</f>
        <v/>
      </c>
      <c r="BE1515">
        <f>IF('Variable Tasks'!K19="","",'Variable Tasks'!K19)</f>
        <v/>
      </c>
      <c r="BF1515">
        <f>IFERROR(MATCH(BA1515,Setup!$L$6:$L$9,0),5)</f>
        <v/>
      </c>
      <c r="BG1515">
        <f>IF(OR(AZ1515="Done",AZ1515="Cancelled"),1,0)</f>
        <v/>
      </c>
      <c r="BH1515">
        <f>IF(AND(AU1515&lt;&gt;"",ISNUMBER(AW1515)),1,0)</f>
        <v/>
      </c>
      <c r="BI1515">
        <f>IF(BH1515=0,0,IF(AND(AW1515&gt;='Tasks Filter'!$F$3,AW1515&lt;='Tasks Filter'!$F$4,OR('Tasks Filter'!$I$3="",ISNUMBER(SEARCH('Tasks Filter'!$I$3,AU1515))),OR('Tasks Filter'!$I$4="",BF1515=IFERROR(MATCH('Tasks Filter'!$I$4,Setup!$L$6:$L$9,0),0)),OR('Tasks Filter'!$I$5="Both",AND('Tasks Filter'!$I$5="Yes",BB1515="✓"),AND('Tasks Filter'!$I$5="No",BB1515&lt;&gt;"✓")),OR('Tasks Filter'!$L$3="",AV1515='Tasks Filter'!$L$3),OR('Tasks Filter'!$L$4="",AZ1515='Tasks Filter'!$L$4),OR('Tasks Filter'!$L$5="",BC1515='Tasks Filter'!$L$5),OR('Tasks Filter'!$O$3="",BD1515='Tasks Filter'!$O$3),OR('Tasks Filter'!$O$4="Yes",BG1515=0)),1,0))</f>
        <v/>
      </c>
      <c r="BJ1515">
        <f>IF(BH1515=0,"",IF('Tasks Filter'!$F$6="Descending",-1,1)*CHOOSE(MATCH('Tasks Filter'!$F$5,Lists!$G$2:$G$6,0),AW1515,BF1515,IFERROR(MATCH(AV1515,Setup!$F$6:$F$15,0),99),IFERROR(MATCH(BC1515,Setup!$H$6:$H$15,0),99),IFERROR(MATCH(AZ1515,Setup!$J$6:$J$11,0),99))*1E+9+(AW1515-40000)*10000+1514)</f>
        <v/>
      </c>
      <c r="BK1515">
        <f>IF(BI1515=1,BJ1515,"")</f>
        <v/>
      </c>
      <c r="BL1515">
        <f>IF(AND(BH1515=1,BG1515=0,N(AW1515)&lt;Setup!$D$7),(AW1515-40000)*10000+1514,"")</f>
        <v/>
      </c>
      <c r="BM1515">
        <f>IF(AND(BH1515=1,AZ1515&lt;&gt;"Cancelled",N(AW1515)&gt;=Dashboard!$AB$3,N(AW1515)&lt;=Dashboard!$AB$3+6),(AW1515-40000)*100000+BF1515*10000+1514,"")</f>
        <v/>
      </c>
      <c r="BN1515">
        <f>IF(AND(BH1515=1,AZ1515&lt;&gt;"Cancelled"),BF1515*10000+1514,"")</f>
        <v/>
      </c>
    </row>
    <row r="1516">
      <c r="AS1516" t="inlineStr">
        <is>
          <t>V</t>
        </is>
      </c>
      <c r="AT1516" t="n">
        <v>20</v>
      </c>
      <c r="AU1516">
        <f>'Variable Tasks'!C20&amp;""</f>
        <v/>
      </c>
      <c r="AV1516">
        <f>'Variable Tasks'!D20&amp;""</f>
        <v/>
      </c>
      <c r="AW1516">
        <f>IF('Variable Tasks'!E20="","",'Variable Tasks'!E20)</f>
        <v/>
      </c>
      <c r="AX1516">
        <f>IF('Variable Tasks'!G20="","",'Variable Tasks'!G20)</f>
        <v/>
      </c>
      <c r="AY1516">
        <f>IF('Variable Tasks'!H20="","",'Variable Tasks'!H20)</f>
        <v/>
      </c>
      <c r="AZ1516">
        <f>IF(AU1516="","",IF('Variable Tasks'!J20="","Not Started",'Variable Tasks'!J20))</f>
        <v/>
      </c>
      <c r="BA1516">
        <f>'Variable Tasks'!L20&amp;""</f>
        <v/>
      </c>
      <c r="BB1516">
        <f>'Variable Tasks'!M20&amp;""</f>
        <v/>
      </c>
      <c r="BC1516">
        <f>'Variable Tasks'!N20&amp;""</f>
        <v/>
      </c>
      <c r="BD1516">
        <f>'Variable Tasks'!O20&amp;""</f>
        <v/>
      </c>
      <c r="BE1516">
        <f>IF('Variable Tasks'!K20="","",'Variable Tasks'!K20)</f>
        <v/>
      </c>
      <c r="BF1516">
        <f>IFERROR(MATCH(BA1516,Setup!$L$6:$L$9,0),5)</f>
        <v/>
      </c>
      <c r="BG1516">
        <f>IF(OR(AZ1516="Done",AZ1516="Cancelled"),1,0)</f>
        <v/>
      </c>
      <c r="BH1516">
        <f>IF(AND(AU1516&lt;&gt;"",ISNUMBER(AW1516)),1,0)</f>
        <v/>
      </c>
      <c r="BI1516">
        <f>IF(BH1516=0,0,IF(AND(AW1516&gt;='Tasks Filter'!$F$3,AW1516&lt;='Tasks Filter'!$F$4,OR('Tasks Filter'!$I$3="",ISNUMBER(SEARCH('Tasks Filter'!$I$3,AU1516))),OR('Tasks Filter'!$I$4="",BF1516=IFERROR(MATCH('Tasks Filter'!$I$4,Setup!$L$6:$L$9,0),0)),OR('Tasks Filter'!$I$5="Both",AND('Tasks Filter'!$I$5="Yes",BB1516="✓"),AND('Tasks Filter'!$I$5="No",BB1516&lt;&gt;"✓")),OR('Tasks Filter'!$L$3="",AV1516='Tasks Filter'!$L$3),OR('Tasks Filter'!$L$4="",AZ1516='Tasks Filter'!$L$4),OR('Tasks Filter'!$L$5="",BC1516='Tasks Filter'!$L$5),OR('Tasks Filter'!$O$3="",BD1516='Tasks Filter'!$O$3),OR('Tasks Filter'!$O$4="Yes",BG1516=0)),1,0))</f>
        <v/>
      </c>
      <c r="BJ1516">
        <f>IF(BH1516=0,"",IF('Tasks Filter'!$F$6="Descending",-1,1)*CHOOSE(MATCH('Tasks Filter'!$F$5,Lists!$G$2:$G$6,0),AW1516,BF1516,IFERROR(MATCH(AV1516,Setup!$F$6:$F$15,0),99),IFERROR(MATCH(BC1516,Setup!$H$6:$H$15,0),99),IFERROR(MATCH(AZ1516,Setup!$J$6:$J$11,0),99))*1E+9+(AW1516-40000)*10000+1515)</f>
        <v/>
      </c>
      <c r="BK1516">
        <f>IF(BI1516=1,BJ1516,"")</f>
        <v/>
      </c>
      <c r="BL1516">
        <f>IF(AND(BH1516=1,BG1516=0,N(AW1516)&lt;Setup!$D$7),(AW1516-40000)*10000+1515,"")</f>
        <v/>
      </c>
      <c r="BM1516">
        <f>IF(AND(BH1516=1,AZ1516&lt;&gt;"Cancelled",N(AW1516)&gt;=Dashboard!$AB$3,N(AW1516)&lt;=Dashboard!$AB$3+6),(AW1516-40000)*100000+BF1516*10000+1515,"")</f>
        <v/>
      </c>
      <c r="BN1516">
        <f>IF(AND(BH1516=1,AZ1516&lt;&gt;"Cancelled"),BF1516*10000+1515,"")</f>
        <v/>
      </c>
    </row>
    <row r="1517">
      <c r="AS1517" t="inlineStr">
        <is>
          <t>V</t>
        </is>
      </c>
      <c r="AT1517" t="n">
        <v>21</v>
      </c>
      <c r="AU1517">
        <f>'Variable Tasks'!C21&amp;""</f>
        <v/>
      </c>
      <c r="AV1517">
        <f>'Variable Tasks'!D21&amp;""</f>
        <v/>
      </c>
      <c r="AW1517">
        <f>IF('Variable Tasks'!E21="","",'Variable Tasks'!E21)</f>
        <v/>
      </c>
      <c r="AX1517">
        <f>IF('Variable Tasks'!G21="","",'Variable Tasks'!G21)</f>
        <v/>
      </c>
      <c r="AY1517">
        <f>IF('Variable Tasks'!H21="","",'Variable Tasks'!H21)</f>
        <v/>
      </c>
      <c r="AZ1517">
        <f>IF(AU1517="","",IF('Variable Tasks'!J21="","Not Started",'Variable Tasks'!J21))</f>
        <v/>
      </c>
      <c r="BA1517">
        <f>'Variable Tasks'!L21&amp;""</f>
        <v/>
      </c>
      <c r="BB1517">
        <f>'Variable Tasks'!M21&amp;""</f>
        <v/>
      </c>
      <c r="BC1517">
        <f>'Variable Tasks'!N21&amp;""</f>
        <v/>
      </c>
      <c r="BD1517">
        <f>'Variable Tasks'!O21&amp;""</f>
        <v/>
      </c>
      <c r="BE1517">
        <f>IF('Variable Tasks'!K21="","",'Variable Tasks'!K21)</f>
        <v/>
      </c>
      <c r="BF1517">
        <f>IFERROR(MATCH(BA1517,Setup!$L$6:$L$9,0),5)</f>
        <v/>
      </c>
      <c r="BG1517">
        <f>IF(OR(AZ1517="Done",AZ1517="Cancelled"),1,0)</f>
        <v/>
      </c>
      <c r="BH1517">
        <f>IF(AND(AU1517&lt;&gt;"",ISNUMBER(AW1517)),1,0)</f>
        <v/>
      </c>
      <c r="BI1517">
        <f>IF(BH1517=0,0,IF(AND(AW1517&gt;='Tasks Filter'!$F$3,AW1517&lt;='Tasks Filter'!$F$4,OR('Tasks Filter'!$I$3="",ISNUMBER(SEARCH('Tasks Filter'!$I$3,AU1517))),OR('Tasks Filter'!$I$4="",BF1517=IFERROR(MATCH('Tasks Filter'!$I$4,Setup!$L$6:$L$9,0),0)),OR('Tasks Filter'!$I$5="Both",AND('Tasks Filter'!$I$5="Yes",BB1517="✓"),AND('Tasks Filter'!$I$5="No",BB1517&lt;&gt;"✓")),OR('Tasks Filter'!$L$3="",AV1517='Tasks Filter'!$L$3),OR('Tasks Filter'!$L$4="",AZ1517='Tasks Filter'!$L$4),OR('Tasks Filter'!$L$5="",BC1517='Tasks Filter'!$L$5),OR('Tasks Filter'!$O$3="",BD1517='Tasks Filter'!$O$3),OR('Tasks Filter'!$O$4="Yes",BG1517=0)),1,0))</f>
        <v/>
      </c>
      <c r="BJ1517">
        <f>IF(BH1517=0,"",IF('Tasks Filter'!$F$6="Descending",-1,1)*CHOOSE(MATCH('Tasks Filter'!$F$5,Lists!$G$2:$G$6,0),AW1517,BF1517,IFERROR(MATCH(AV1517,Setup!$F$6:$F$15,0),99),IFERROR(MATCH(BC1517,Setup!$H$6:$H$15,0),99),IFERROR(MATCH(AZ1517,Setup!$J$6:$J$11,0),99))*1E+9+(AW1517-40000)*10000+1516)</f>
        <v/>
      </c>
      <c r="BK1517">
        <f>IF(BI1517=1,BJ1517,"")</f>
        <v/>
      </c>
      <c r="BL1517">
        <f>IF(AND(BH1517=1,BG1517=0,N(AW1517)&lt;Setup!$D$7),(AW1517-40000)*10000+1516,"")</f>
        <v/>
      </c>
      <c r="BM1517">
        <f>IF(AND(BH1517=1,AZ1517&lt;&gt;"Cancelled",N(AW1517)&gt;=Dashboard!$AB$3,N(AW1517)&lt;=Dashboard!$AB$3+6),(AW1517-40000)*100000+BF1517*10000+1516,"")</f>
        <v/>
      </c>
      <c r="BN1517">
        <f>IF(AND(BH1517=1,AZ1517&lt;&gt;"Cancelled"),BF1517*10000+1516,"")</f>
        <v/>
      </c>
    </row>
    <row r="1518">
      <c r="AS1518" t="inlineStr">
        <is>
          <t>V</t>
        </is>
      </c>
      <c r="AT1518" t="n">
        <v>22</v>
      </c>
      <c r="AU1518">
        <f>'Variable Tasks'!C22&amp;""</f>
        <v/>
      </c>
      <c r="AV1518">
        <f>'Variable Tasks'!D22&amp;""</f>
        <v/>
      </c>
      <c r="AW1518">
        <f>IF('Variable Tasks'!E22="","",'Variable Tasks'!E22)</f>
        <v/>
      </c>
      <c r="AX1518">
        <f>IF('Variable Tasks'!G22="","",'Variable Tasks'!G22)</f>
        <v/>
      </c>
      <c r="AY1518">
        <f>IF('Variable Tasks'!H22="","",'Variable Tasks'!H22)</f>
        <v/>
      </c>
      <c r="AZ1518">
        <f>IF(AU1518="","",IF('Variable Tasks'!J22="","Not Started",'Variable Tasks'!J22))</f>
        <v/>
      </c>
      <c r="BA1518">
        <f>'Variable Tasks'!L22&amp;""</f>
        <v/>
      </c>
      <c r="BB1518">
        <f>'Variable Tasks'!M22&amp;""</f>
        <v/>
      </c>
      <c r="BC1518">
        <f>'Variable Tasks'!N22&amp;""</f>
        <v/>
      </c>
      <c r="BD1518">
        <f>'Variable Tasks'!O22&amp;""</f>
        <v/>
      </c>
      <c r="BE1518">
        <f>IF('Variable Tasks'!K22="","",'Variable Tasks'!K22)</f>
        <v/>
      </c>
      <c r="BF1518">
        <f>IFERROR(MATCH(BA1518,Setup!$L$6:$L$9,0),5)</f>
        <v/>
      </c>
      <c r="BG1518">
        <f>IF(OR(AZ1518="Done",AZ1518="Cancelled"),1,0)</f>
        <v/>
      </c>
      <c r="BH1518">
        <f>IF(AND(AU1518&lt;&gt;"",ISNUMBER(AW1518)),1,0)</f>
        <v/>
      </c>
      <c r="BI1518">
        <f>IF(BH1518=0,0,IF(AND(AW1518&gt;='Tasks Filter'!$F$3,AW1518&lt;='Tasks Filter'!$F$4,OR('Tasks Filter'!$I$3="",ISNUMBER(SEARCH('Tasks Filter'!$I$3,AU1518))),OR('Tasks Filter'!$I$4="",BF1518=IFERROR(MATCH('Tasks Filter'!$I$4,Setup!$L$6:$L$9,0),0)),OR('Tasks Filter'!$I$5="Both",AND('Tasks Filter'!$I$5="Yes",BB1518="✓"),AND('Tasks Filter'!$I$5="No",BB1518&lt;&gt;"✓")),OR('Tasks Filter'!$L$3="",AV1518='Tasks Filter'!$L$3),OR('Tasks Filter'!$L$4="",AZ1518='Tasks Filter'!$L$4),OR('Tasks Filter'!$L$5="",BC1518='Tasks Filter'!$L$5),OR('Tasks Filter'!$O$3="",BD1518='Tasks Filter'!$O$3),OR('Tasks Filter'!$O$4="Yes",BG1518=0)),1,0))</f>
        <v/>
      </c>
      <c r="BJ1518">
        <f>IF(BH1518=0,"",IF('Tasks Filter'!$F$6="Descending",-1,1)*CHOOSE(MATCH('Tasks Filter'!$F$5,Lists!$G$2:$G$6,0),AW1518,BF1518,IFERROR(MATCH(AV1518,Setup!$F$6:$F$15,0),99),IFERROR(MATCH(BC1518,Setup!$H$6:$H$15,0),99),IFERROR(MATCH(AZ1518,Setup!$J$6:$J$11,0),99))*1E+9+(AW1518-40000)*10000+1517)</f>
        <v/>
      </c>
      <c r="BK1518">
        <f>IF(BI1518=1,BJ1518,"")</f>
        <v/>
      </c>
      <c r="BL1518">
        <f>IF(AND(BH1518=1,BG1518=0,N(AW1518)&lt;Setup!$D$7),(AW1518-40000)*10000+1517,"")</f>
        <v/>
      </c>
      <c r="BM1518">
        <f>IF(AND(BH1518=1,AZ1518&lt;&gt;"Cancelled",N(AW1518)&gt;=Dashboard!$AB$3,N(AW1518)&lt;=Dashboard!$AB$3+6),(AW1518-40000)*100000+BF1518*10000+1517,"")</f>
        <v/>
      </c>
      <c r="BN1518">
        <f>IF(AND(BH1518=1,AZ1518&lt;&gt;"Cancelled"),BF1518*10000+1517,"")</f>
        <v/>
      </c>
    </row>
    <row r="1519">
      <c r="AS1519" t="inlineStr">
        <is>
          <t>V</t>
        </is>
      </c>
      <c r="AT1519" t="n">
        <v>23</v>
      </c>
      <c r="AU1519">
        <f>'Variable Tasks'!C23&amp;""</f>
        <v/>
      </c>
      <c r="AV1519">
        <f>'Variable Tasks'!D23&amp;""</f>
        <v/>
      </c>
      <c r="AW1519">
        <f>IF('Variable Tasks'!E23="","",'Variable Tasks'!E23)</f>
        <v/>
      </c>
      <c r="AX1519">
        <f>IF('Variable Tasks'!G23="","",'Variable Tasks'!G23)</f>
        <v/>
      </c>
      <c r="AY1519">
        <f>IF('Variable Tasks'!H23="","",'Variable Tasks'!H23)</f>
        <v/>
      </c>
      <c r="AZ1519">
        <f>IF(AU1519="","",IF('Variable Tasks'!J23="","Not Started",'Variable Tasks'!J23))</f>
        <v/>
      </c>
      <c r="BA1519">
        <f>'Variable Tasks'!L23&amp;""</f>
        <v/>
      </c>
      <c r="BB1519">
        <f>'Variable Tasks'!M23&amp;""</f>
        <v/>
      </c>
      <c r="BC1519">
        <f>'Variable Tasks'!N23&amp;""</f>
        <v/>
      </c>
      <c r="BD1519">
        <f>'Variable Tasks'!O23&amp;""</f>
        <v/>
      </c>
      <c r="BE1519">
        <f>IF('Variable Tasks'!K23="","",'Variable Tasks'!K23)</f>
        <v/>
      </c>
      <c r="BF1519">
        <f>IFERROR(MATCH(BA1519,Setup!$L$6:$L$9,0),5)</f>
        <v/>
      </c>
      <c r="BG1519">
        <f>IF(OR(AZ1519="Done",AZ1519="Cancelled"),1,0)</f>
        <v/>
      </c>
      <c r="BH1519">
        <f>IF(AND(AU1519&lt;&gt;"",ISNUMBER(AW1519)),1,0)</f>
        <v/>
      </c>
      <c r="BI1519">
        <f>IF(BH1519=0,0,IF(AND(AW1519&gt;='Tasks Filter'!$F$3,AW1519&lt;='Tasks Filter'!$F$4,OR('Tasks Filter'!$I$3="",ISNUMBER(SEARCH('Tasks Filter'!$I$3,AU1519))),OR('Tasks Filter'!$I$4="",BF1519=IFERROR(MATCH('Tasks Filter'!$I$4,Setup!$L$6:$L$9,0),0)),OR('Tasks Filter'!$I$5="Both",AND('Tasks Filter'!$I$5="Yes",BB1519="✓"),AND('Tasks Filter'!$I$5="No",BB1519&lt;&gt;"✓")),OR('Tasks Filter'!$L$3="",AV1519='Tasks Filter'!$L$3),OR('Tasks Filter'!$L$4="",AZ1519='Tasks Filter'!$L$4),OR('Tasks Filter'!$L$5="",BC1519='Tasks Filter'!$L$5),OR('Tasks Filter'!$O$3="",BD1519='Tasks Filter'!$O$3),OR('Tasks Filter'!$O$4="Yes",BG1519=0)),1,0))</f>
        <v/>
      </c>
      <c r="BJ1519">
        <f>IF(BH1519=0,"",IF('Tasks Filter'!$F$6="Descending",-1,1)*CHOOSE(MATCH('Tasks Filter'!$F$5,Lists!$G$2:$G$6,0),AW1519,BF1519,IFERROR(MATCH(AV1519,Setup!$F$6:$F$15,0),99),IFERROR(MATCH(BC1519,Setup!$H$6:$H$15,0),99),IFERROR(MATCH(AZ1519,Setup!$J$6:$J$11,0),99))*1E+9+(AW1519-40000)*10000+1518)</f>
        <v/>
      </c>
      <c r="BK1519">
        <f>IF(BI1519=1,BJ1519,"")</f>
        <v/>
      </c>
      <c r="BL1519">
        <f>IF(AND(BH1519=1,BG1519=0,N(AW1519)&lt;Setup!$D$7),(AW1519-40000)*10000+1518,"")</f>
        <v/>
      </c>
      <c r="BM1519">
        <f>IF(AND(BH1519=1,AZ1519&lt;&gt;"Cancelled",N(AW1519)&gt;=Dashboard!$AB$3,N(AW1519)&lt;=Dashboard!$AB$3+6),(AW1519-40000)*100000+BF1519*10000+1518,"")</f>
        <v/>
      </c>
      <c r="BN1519">
        <f>IF(AND(BH1519=1,AZ1519&lt;&gt;"Cancelled"),BF1519*10000+1518,"")</f>
        <v/>
      </c>
    </row>
    <row r="1520">
      <c r="AS1520" t="inlineStr">
        <is>
          <t>V</t>
        </is>
      </c>
      <c r="AT1520" t="n">
        <v>24</v>
      </c>
      <c r="AU1520">
        <f>'Variable Tasks'!C24&amp;""</f>
        <v/>
      </c>
      <c r="AV1520">
        <f>'Variable Tasks'!D24&amp;""</f>
        <v/>
      </c>
      <c r="AW1520">
        <f>IF('Variable Tasks'!E24="","",'Variable Tasks'!E24)</f>
        <v/>
      </c>
      <c r="AX1520">
        <f>IF('Variable Tasks'!G24="","",'Variable Tasks'!G24)</f>
        <v/>
      </c>
      <c r="AY1520">
        <f>IF('Variable Tasks'!H24="","",'Variable Tasks'!H24)</f>
        <v/>
      </c>
      <c r="AZ1520">
        <f>IF(AU1520="","",IF('Variable Tasks'!J24="","Not Started",'Variable Tasks'!J24))</f>
        <v/>
      </c>
      <c r="BA1520">
        <f>'Variable Tasks'!L24&amp;""</f>
        <v/>
      </c>
      <c r="BB1520">
        <f>'Variable Tasks'!M24&amp;""</f>
        <v/>
      </c>
      <c r="BC1520">
        <f>'Variable Tasks'!N24&amp;""</f>
        <v/>
      </c>
      <c r="BD1520">
        <f>'Variable Tasks'!O24&amp;""</f>
        <v/>
      </c>
      <c r="BE1520">
        <f>IF('Variable Tasks'!K24="","",'Variable Tasks'!K24)</f>
        <v/>
      </c>
      <c r="BF1520">
        <f>IFERROR(MATCH(BA1520,Setup!$L$6:$L$9,0),5)</f>
        <v/>
      </c>
      <c r="BG1520">
        <f>IF(OR(AZ1520="Done",AZ1520="Cancelled"),1,0)</f>
        <v/>
      </c>
      <c r="BH1520">
        <f>IF(AND(AU1520&lt;&gt;"",ISNUMBER(AW1520)),1,0)</f>
        <v/>
      </c>
      <c r="BI1520">
        <f>IF(BH1520=0,0,IF(AND(AW1520&gt;='Tasks Filter'!$F$3,AW1520&lt;='Tasks Filter'!$F$4,OR('Tasks Filter'!$I$3="",ISNUMBER(SEARCH('Tasks Filter'!$I$3,AU1520))),OR('Tasks Filter'!$I$4="",BF1520=IFERROR(MATCH('Tasks Filter'!$I$4,Setup!$L$6:$L$9,0),0)),OR('Tasks Filter'!$I$5="Both",AND('Tasks Filter'!$I$5="Yes",BB1520="✓"),AND('Tasks Filter'!$I$5="No",BB1520&lt;&gt;"✓")),OR('Tasks Filter'!$L$3="",AV1520='Tasks Filter'!$L$3),OR('Tasks Filter'!$L$4="",AZ1520='Tasks Filter'!$L$4),OR('Tasks Filter'!$L$5="",BC1520='Tasks Filter'!$L$5),OR('Tasks Filter'!$O$3="",BD1520='Tasks Filter'!$O$3),OR('Tasks Filter'!$O$4="Yes",BG1520=0)),1,0))</f>
        <v/>
      </c>
      <c r="BJ1520">
        <f>IF(BH1520=0,"",IF('Tasks Filter'!$F$6="Descending",-1,1)*CHOOSE(MATCH('Tasks Filter'!$F$5,Lists!$G$2:$G$6,0),AW1520,BF1520,IFERROR(MATCH(AV1520,Setup!$F$6:$F$15,0),99),IFERROR(MATCH(BC1520,Setup!$H$6:$H$15,0),99),IFERROR(MATCH(AZ1520,Setup!$J$6:$J$11,0),99))*1E+9+(AW1520-40000)*10000+1519)</f>
        <v/>
      </c>
      <c r="BK1520">
        <f>IF(BI1520=1,BJ1520,"")</f>
        <v/>
      </c>
      <c r="BL1520">
        <f>IF(AND(BH1520=1,BG1520=0,N(AW1520)&lt;Setup!$D$7),(AW1520-40000)*10000+1519,"")</f>
        <v/>
      </c>
      <c r="BM1520">
        <f>IF(AND(BH1520=1,AZ1520&lt;&gt;"Cancelled",N(AW1520)&gt;=Dashboard!$AB$3,N(AW1520)&lt;=Dashboard!$AB$3+6),(AW1520-40000)*100000+BF1520*10000+1519,"")</f>
        <v/>
      </c>
      <c r="BN1520">
        <f>IF(AND(BH1520=1,AZ1520&lt;&gt;"Cancelled"),BF1520*10000+1519,"")</f>
        <v/>
      </c>
    </row>
    <row r="1521">
      <c r="AS1521" t="inlineStr">
        <is>
          <t>V</t>
        </is>
      </c>
      <c r="AT1521" t="n">
        <v>25</v>
      </c>
      <c r="AU1521">
        <f>'Variable Tasks'!C25&amp;""</f>
        <v/>
      </c>
      <c r="AV1521">
        <f>'Variable Tasks'!D25&amp;""</f>
        <v/>
      </c>
      <c r="AW1521">
        <f>IF('Variable Tasks'!E25="","",'Variable Tasks'!E25)</f>
        <v/>
      </c>
      <c r="AX1521">
        <f>IF('Variable Tasks'!G25="","",'Variable Tasks'!G25)</f>
        <v/>
      </c>
      <c r="AY1521">
        <f>IF('Variable Tasks'!H25="","",'Variable Tasks'!H25)</f>
        <v/>
      </c>
      <c r="AZ1521">
        <f>IF(AU1521="","",IF('Variable Tasks'!J25="","Not Started",'Variable Tasks'!J25))</f>
        <v/>
      </c>
      <c r="BA1521">
        <f>'Variable Tasks'!L25&amp;""</f>
        <v/>
      </c>
      <c r="BB1521">
        <f>'Variable Tasks'!M25&amp;""</f>
        <v/>
      </c>
      <c r="BC1521">
        <f>'Variable Tasks'!N25&amp;""</f>
        <v/>
      </c>
      <c r="BD1521">
        <f>'Variable Tasks'!O25&amp;""</f>
        <v/>
      </c>
      <c r="BE1521">
        <f>IF('Variable Tasks'!K25="","",'Variable Tasks'!K25)</f>
        <v/>
      </c>
      <c r="BF1521">
        <f>IFERROR(MATCH(BA1521,Setup!$L$6:$L$9,0),5)</f>
        <v/>
      </c>
      <c r="BG1521">
        <f>IF(OR(AZ1521="Done",AZ1521="Cancelled"),1,0)</f>
        <v/>
      </c>
      <c r="BH1521">
        <f>IF(AND(AU1521&lt;&gt;"",ISNUMBER(AW1521)),1,0)</f>
        <v/>
      </c>
      <c r="BI1521">
        <f>IF(BH1521=0,0,IF(AND(AW1521&gt;='Tasks Filter'!$F$3,AW1521&lt;='Tasks Filter'!$F$4,OR('Tasks Filter'!$I$3="",ISNUMBER(SEARCH('Tasks Filter'!$I$3,AU1521))),OR('Tasks Filter'!$I$4="",BF1521=IFERROR(MATCH('Tasks Filter'!$I$4,Setup!$L$6:$L$9,0),0)),OR('Tasks Filter'!$I$5="Both",AND('Tasks Filter'!$I$5="Yes",BB1521="✓"),AND('Tasks Filter'!$I$5="No",BB1521&lt;&gt;"✓")),OR('Tasks Filter'!$L$3="",AV1521='Tasks Filter'!$L$3),OR('Tasks Filter'!$L$4="",AZ1521='Tasks Filter'!$L$4),OR('Tasks Filter'!$L$5="",BC1521='Tasks Filter'!$L$5),OR('Tasks Filter'!$O$3="",BD1521='Tasks Filter'!$O$3),OR('Tasks Filter'!$O$4="Yes",BG1521=0)),1,0))</f>
        <v/>
      </c>
      <c r="BJ1521">
        <f>IF(BH1521=0,"",IF('Tasks Filter'!$F$6="Descending",-1,1)*CHOOSE(MATCH('Tasks Filter'!$F$5,Lists!$G$2:$G$6,0),AW1521,BF1521,IFERROR(MATCH(AV1521,Setup!$F$6:$F$15,0),99),IFERROR(MATCH(BC1521,Setup!$H$6:$H$15,0),99),IFERROR(MATCH(AZ1521,Setup!$J$6:$J$11,0),99))*1E+9+(AW1521-40000)*10000+1520)</f>
        <v/>
      </c>
      <c r="BK1521">
        <f>IF(BI1521=1,BJ1521,"")</f>
        <v/>
      </c>
      <c r="BL1521">
        <f>IF(AND(BH1521=1,BG1521=0,N(AW1521)&lt;Setup!$D$7),(AW1521-40000)*10000+1520,"")</f>
        <v/>
      </c>
      <c r="BM1521">
        <f>IF(AND(BH1521=1,AZ1521&lt;&gt;"Cancelled",N(AW1521)&gt;=Dashboard!$AB$3,N(AW1521)&lt;=Dashboard!$AB$3+6),(AW1521-40000)*100000+BF1521*10000+1520,"")</f>
        <v/>
      </c>
      <c r="BN1521">
        <f>IF(AND(BH1521=1,AZ1521&lt;&gt;"Cancelled"),BF1521*10000+1520,"")</f>
        <v/>
      </c>
    </row>
    <row r="1522">
      <c r="AS1522" t="inlineStr">
        <is>
          <t>V</t>
        </is>
      </c>
      <c r="AT1522" t="n">
        <v>26</v>
      </c>
      <c r="AU1522">
        <f>'Variable Tasks'!C26&amp;""</f>
        <v/>
      </c>
      <c r="AV1522">
        <f>'Variable Tasks'!D26&amp;""</f>
        <v/>
      </c>
      <c r="AW1522">
        <f>IF('Variable Tasks'!E26="","",'Variable Tasks'!E26)</f>
        <v/>
      </c>
      <c r="AX1522">
        <f>IF('Variable Tasks'!G26="","",'Variable Tasks'!G26)</f>
        <v/>
      </c>
      <c r="AY1522">
        <f>IF('Variable Tasks'!H26="","",'Variable Tasks'!H26)</f>
        <v/>
      </c>
      <c r="AZ1522">
        <f>IF(AU1522="","",IF('Variable Tasks'!J26="","Not Started",'Variable Tasks'!J26))</f>
        <v/>
      </c>
      <c r="BA1522">
        <f>'Variable Tasks'!L26&amp;""</f>
        <v/>
      </c>
      <c r="BB1522">
        <f>'Variable Tasks'!M26&amp;""</f>
        <v/>
      </c>
      <c r="BC1522">
        <f>'Variable Tasks'!N26&amp;""</f>
        <v/>
      </c>
      <c r="BD1522">
        <f>'Variable Tasks'!O26&amp;""</f>
        <v/>
      </c>
      <c r="BE1522">
        <f>IF('Variable Tasks'!K26="","",'Variable Tasks'!K26)</f>
        <v/>
      </c>
      <c r="BF1522">
        <f>IFERROR(MATCH(BA1522,Setup!$L$6:$L$9,0),5)</f>
        <v/>
      </c>
      <c r="BG1522">
        <f>IF(OR(AZ1522="Done",AZ1522="Cancelled"),1,0)</f>
        <v/>
      </c>
      <c r="BH1522">
        <f>IF(AND(AU1522&lt;&gt;"",ISNUMBER(AW1522)),1,0)</f>
        <v/>
      </c>
      <c r="BI1522">
        <f>IF(BH1522=0,0,IF(AND(AW1522&gt;='Tasks Filter'!$F$3,AW1522&lt;='Tasks Filter'!$F$4,OR('Tasks Filter'!$I$3="",ISNUMBER(SEARCH('Tasks Filter'!$I$3,AU1522))),OR('Tasks Filter'!$I$4="",BF1522=IFERROR(MATCH('Tasks Filter'!$I$4,Setup!$L$6:$L$9,0),0)),OR('Tasks Filter'!$I$5="Both",AND('Tasks Filter'!$I$5="Yes",BB1522="✓"),AND('Tasks Filter'!$I$5="No",BB1522&lt;&gt;"✓")),OR('Tasks Filter'!$L$3="",AV1522='Tasks Filter'!$L$3),OR('Tasks Filter'!$L$4="",AZ1522='Tasks Filter'!$L$4),OR('Tasks Filter'!$L$5="",BC1522='Tasks Filter'!$L$5),OR('Tasks Filter'!$O$3="",BD1522='Tasks Filter'!$O$3),OR('Tasks Filter'!$O$4="Yes",BG1522=0)),1,0))</f>
        <v/>
      </c>
      <c r="BJ1522">
        <f>IF(BH1522=0,"",IF('Tasks Filter'!$F$6="Descending",-1,1)*CHOOSE(MATCH('Tasks Filter'!$F$5,Lists!$G$2:$G$6,0),AW1522,BF1522,IFERROR(MATCH(AV1522,Setup!$F$6:$F$15,0),99),IFERROR(MATCH(BC1522,Setup!$H$6:$H$15,0),99),IFERROR(MATCH(AZ1522,Setup!$J$6:$J$11,0),99))*1E+9+(AW1522-40000)*10000+1521)</f>
        <v/>
      </c>
      <c r="BK1522">
        <f>IF(BI1522=1,BJ1522,"")</f>
        <v/>
      </c>
      <c r="BL1522">
        <f>IF(AND(BH1522=1,BG1522=0,N(AW1522)&lt;Setup!$D$7),(AW1522-40000)*10000+1521,"")</f>
        <v/>
      </c>
      <c r="BM1522">
        <f>IF(AND(BH1522=1,AZ1522&lt;&gt;"Cancelled",N(AW1522)&gt;=Dashboard!$AB$3,N(AW1522)&lt;=Dashboard!$AB$3+6),(AW1522-40000)*100000+BF1522*10000+1521,"")</f>
        <v/>
      </c>
      <c r="BN1522">
        <f>IF(AND(BH1522=1,AZ1522&lt;&gt;"Cancelled"),BF1522*10000+1521,"")</f>
        <v/>
      </c>
    </row>
    <row r="1523">
      <c r="AS1523" t="inlineStr">
        <is>
          <t>V</t>
        </is>
      </c>
      <c r="AT1523" t="n">
        <v>27</v>
      </c>
      <c r="AU1523">
        <f>'Variable Tasks'!C27&amp;""</f>
        <v/>
      </c>
      <c r="AV1523">
        <f>'Variable Tasks'!D27&amp;""</f>
        <v/>
      </c>
      <c r="AW1523">
        <f>IF('Variable Tasks'!E27="","",'Variable Tasks'!E27)</f>
        <v/>
      </c>
      <c r="AX1523">
        <f>IF('Variable Tasks'!G27="","",'Variable Tasks'!G27)</f>
        <v/>
      </c>
      <c r="AY1523">
        <f>IF('Variable Tasks'!H27="","",'Variable Tasks'!H27)</f>
        <v/>
      </c>
      <c r="AZ1523">
        <f>IF(AU1523="","",IF('Variable Tasks'!J27="","Not Started",'Variable Tasks'!J27))</f>
        <v/>
      </c>
      <c r="BA1523">
        <f>'Variable Tasks'!L27&amp;""</f>
        <v/>
      </c>
      <c r="BB1523">
        <f>'Variable Tasks'!M27&amp;""</f>
        <v/>
      </c>
      <c r="BC1523">
        <f>'Variable Tasks'!N27&amp;""</f>
        <v/>
      </c>
      <c r="BD1523">
        <f>'Variable Tasks'!O27&amp;""</f>
        <v/>
      </c>
      <c r="BE1523">
        <f>IF('Variable Tasks'!K27="","",'Variable Tasks'!K27)</f>
        <v/>
      </c>
      <c r="BF1523">
        <f>IFERROR(MATCH(BA1523,Setup!$L$6:$L$9,0),5)</f>
        <v/>
      </c>
      <c r="BG1523">
        <f>IF(OR(AZ1523="Done",AZ1523="Cancelled"),1,0)</f>
        <v/>
      </c>
      <c r="BH1523">
        <f>IF(AND(AU1523&lt;&gt;"",ISNUMBER(AW1523)),1,0)</f>
        <v/>
      </c>
      <c r="BI1523">
        <f>IF(BH1523=0,0,IF(AND(AW1523&gt;='Tasks Filter'!$F$3,AW1523&lt;='Tasks Filter'!$F$4,OR('Tasks Filter'!$I$3="",ISNUMBER(SEARCH('Tasks Filter'!$I$3,AU1523))),OR('Tasks Filter'!$I$4="",BF1523=IFERROR(MATCH('Tasks Filter'!$I$4,Setup!$L$6:$L$9,0),0)),OR('Tasks Filter'!$I$5="Both",AND('Tasks Filter'!$I$5="Yes",BB1523="✓"),AND('Tasks Filter'!$I$5="No",BB1523&lt;&gt;"✓")),OR('Tasks Filter'!$L$3="",AV1523='Tasks Filter'!$L$3),OR('Tasks Filter'!$L$4="",AZ1523='Tasks Filter'!$L$4),OR('Tasks Filter'!$L$5="",BC1523='Tasks Filter'!$L$5),OR('Tasks Filter'!$O$3="",BD1523='Tasks Filter'!$O$3),OR('Tasks Filter'!$O$4="Yes",BG1523=0)),1,0))</f>
        <v/>
      </c>
      <c r="BJ1523">
        <f>IF(BH1523=0,"",IF('Tasks Filter'!$F$6="Descending",-1,1)*CHOOSE(MATCH('Tasks Filter'!$F$5,Lists!$G$2:$G$6,0),AW1523,BF1523,IFERROR(MATCH(AV1523,Setup!$F$6:$F$15,0),99),IFERROR(MATCH(BC1523,Setup!$H$6:$H$15,0),99),IFERROR(MATCH(AZ1523,Setup!$J$6:$J$11,0),99))*1E+9+(AW1523-40000)*10000+1522)</f>
        <v/>
      </c>
      <c r="BK1523">
        <f>IF(BI1523=1,BJ1523,"")</f>
        <v/>
      </c>
      <c r="BL1523">
        <f>IF(AND(BH1523=1,BG1523=0,N(AW1523)&lt;Setup!$D$7),(AW1523-40000)*10000+1522,"")</f>
        <v/>
      </c>
      <c r="BM1523">
        <f>IF(AND(BH1523=1,AZ1523&lt;&gt;"Cancelled",N(AW1523)&gt;=Dashboard!$AB$3,N(AW1523)&lt;=Dashboard!$AB$3+6),(AW1523-40000)*100000+BF1523*10000+1522,"")</f>
        <v/>
      </c>
      <c r="BN1523">
        <f>IF(AND(BH1523=1,AZ1523&lt;&gt;"Cancelled"),BF1523*10000+1522,"")</f>
        <v/>
      </c>
    </row>
    <row r="1524">
      <c r="AS1524" t="inlineStr">
        <is>
          <t>V</t>
        </is>
      </c>
      <c r="AT1524" t="n">
        <v>28</v>
      </c>
      <c r="AU1524">
        <f>'Variable Tasks'!C28&amp;""</f>
        <v/>
      </c>
      <c r="AV1524">
        <f>'Variable Tasks'!D28&amp;""</f>
        <v/>
      </c>
      <c r="AW1524">
        <f>IF('Variable Tasks'!E28="","",'Variable Tasks'!E28)</f>
        <v/>
      </c>
      <c r="AX1524">
        <f>IF('Variable Tasks'!G28="","",'Variable Tasks'!G28)</f>
        <v/>
      </c>
      <c r="AY1524">
        <f>IF('Variable Tasks'!H28="","",'Variable Tasks'!H28)</f>
        <v/>
      </c>
      <c r="AZ1524">
        <f>IF(AU1524="","",IF('Variable Tasks'!J28="","Not Started",'Variable Tasks'!J28))</f>
        <v/>
      </c>
      <c r="BA1524">
        <f>'Variable Tasks'!L28&amp;""</f>
        <v/>
      </c>
      <c r="BB1524">
        <f>'Variable Tasks'!M28&amp;""</f>
        <v/>
      </c>
      <c r="BC1524">
        <f>'Variable Tasks'!N28&amp;""</f>
        <v/>
      </c>
      <c r="BD1524">
        <f>'Variable Tasks'!O28&amp;""</f>
        <v/>
      </c>
      <c r="BE1524">
        <f>IF('Variable Tasks'!K28="","",'Variable Tasks'!K28)</f>
        <v/>
      </c>
      <c r="BF1524">
        <f>IFERROR(MATCH(BA1524,Setup!$L$6:$L$9,0),5)</f>
        <v/>
      </c>
      <c r="BG1524">
        <f>IF(OR(AZ1524="Done",AZ1524="Cancelled"),1,0)</f>
        <v/>
      </c>
      <c r="BH1524">
        <f>IF(AND(AU1524&lt;&gt;"",ISNUMBER(AW1524)),1,0)</f>
        <v/>
      </c>
      <c r="BI1524">
        <f>IF(BH1524=0,0,IF(AND(AW1524&gt;='Tasks Filter'!$F$3,AW1524&lt;='Tasks Filter'!$F$4,OR('Tasks Filter'!$I$3="",ISNUMBER(SEARCH('Tasks Filter'!$I$3,AU1524))),OR('Tasks Filter'!$I$4="",BF1524=IFERROR(MATCH('Tasks Filter'!$I$4,Setup!$L$6:$L$9,0),0)),OR('Tasks Filter'!$I$5="Both",AND('Tasks Filter'!$I$5="Yes",BB1524="✓"),AND('Tasks Filter'!$I$5="No",BB1524&lt;&gt;"✓")),OR('Tasks Filter'!$L$3="",AV1524='Tasks Filter'!$L$3),OR('Tasks Filter'!$L$4="",AZ1524='Tasks Filter'!$L$4),OR('Tasks Filter'!$L$5="",BC1524='Tasks Filter'!$L$5),OR('Tasks Filter'!$O$3="",BD1524='Tasks Filter'!$O$3),OR('Tasks Filter'!$O$4="Yes",BG1524=0)),1,0))</f>
        <v/>
      </c>
      <c r="BJ1524">
        <f>IF(BH1524=0,"",IF('Tasks Filter'!$F$6="Descending",-1,1)*CHOOSE(MATCH('Tasks Filter'!$F$5,Lists!$G$2:$G$6,0),AW1524,BF1524,IFERROR(MATCH(AV1524,Setup!$F$6:$F$15,0),99),IFERROR(MATCH(BC1524,Setup!$H$6:$H$15,0),99),IFERROR(MATCH(AZ1524,Setup!$J$6:$J$11,0),99))*1E+9+(AW1524-40000)*10000+1523)</f>
        <v/>
      </c>
      <c r="BK1524">
        <f>IF(BI1524=1,BJ1524,"")</f>
        <v/>
      </c>
      <c r="BL1524">
        <f>IF(AND(BH1524=1,BG1524=0,N(AW1524)&lt;Setup!$D$7),(AW1524-40000)*10000+1523,"")</f>
        <v/>
      </c>
      <c r="BM1524">
        <f>IF(AND(BH1524=1,AZ1524&lt;&gt;"Cancelled",N(AW1524)&gt;=Dashboard!$AB$3,N(AW1524)&lt;=Dashboard!$AB$3+6),(AW1524-40000)*100000+BF1524*10000+1523,"")</f>
        <v/>
      </c>
      <c r="BN1524">
        <f>IF(AND(BH1524=1,AZ1524&lt;&gt;"Cancelled"),BF1524*10000+1523,"")</f>
        <v/>
      </c>
    </row>
    <row r="1525">
      <c r="AS1525" t="inlineStr">
        <is>
          <t>V</t>
        </is>
      </c>
      <c r="AT1525" t="n">
        <v>29</v>
      </c>
      <c r="AU1525">
        <f>'Variable Tasks'!C29&amp;""</f>
        <v/>
      </c>
      <c r="AV1525">
        <f>'Variable Tasks'!D29&amp;""</f>
        <v/>
      </c>
      <c r="AW1525">
        <f>IF('Variable Tasks'!E29="","",'Variable Tasks'!E29)</f>
        <v/>
      </c>
      <c r="AX1525">
        <f>IF('Variable Tasks'!G29="","",'Variable Tasks'!G29)</f>
        <v/>
      </c>
      <c r="AY1525">
        <f>IF('Variable Tasks'!H29="","",'Variable Tasks'!H29)</f>
        <v/>
      </c>
      <c r="AZ1525">
        <f>IF(AU1525="","",IF('Variable Tasks'!J29="","Not Started",'Variable Tasks'!J29))</f>
        <v/>
      </c>
      <c r="BA1525">
        <f>'Variable Tasks'!L29&amp;""</f>
        <v/>
      </c>
      <c r="BB1525">
        <f>'Variable Tasks'!M29&amp;""</f>
        <v/>
      </c>
      <c r="BC1525">
        <f>'Variable Tasks'!N29&amp;""</f>
        <v/>
      </c>
      <c r="BD1525">
        <f>'Variable Tasks'!O29&amp;""</f>
        <v/>
      </c>
      <c r="BE1525">
        <f>IF('Variable Tasks'!K29="","",'Variable Tasks'!K29)</f>
        <v/>
      </c>
      <c r="BF1525">
        <f>IFERROR(MATCH(BA1525,Setup!$L$6:$L$9,0),5)</f>
        <v/>
      </c>
      <c r="BG1525">
        <f>IF(OR(AZ1525="Done",AZ1525="Cancelled"),1,0)</f>
        <v/>
      </c>
      <c r="BH1525">
        <f>IF(AND(AU1525&lt;&gt;"",ISNUMBER(AW1525)),1,0)</f>
        <v/>
      </c>
      <c r="BI1525">
        <f>IF(BH1525=0,0,IF(AND(AW1525&gt;='Tasks Filter'!$F$3,AW1525&lt;='Tasks Filter'!$F$4,OR('Tasks Filter'!$I$3="",ISNUMBER(SEARCH('Tasks Filter'!$I$3,AU1525))),OR('Tasks Filter'!$I$4="",BF1525=IFERROR(MATCH('Tasks Filter'!$I$4,Setup!$L$6:$L$9,0),0)),OR('Tasks Filter'!$I$5="Both",AND('Tasks Filter'!$I$5="Yes",BB1525="✓"),AND('Tasks Filter'!$I$5="No",BB1525&lt;&gt;"✓")),OR('Tasks Filter'!$L$3="",AV1525='Tasks Filter'!$L$3),OR('Tasks Filter'!$L$4="",AZ1525='Tasks Filter'!$L$4),OR('Tasks Filter'!$L$5="",BC1525='Tasks Filter'!$L$5),OR('Tasks Filter'!$O$3="",BD1525='Tasks Filter'!$O$3),OR('Tasks Filter'!$O$4="Yes",BG1525=0)),1,0))</f>
        <v/>
      </c>
      <c r="BJ1525">
        <f>IF(BH1525=0,"",IF('Tasks Filter'!$F$6="Descending",-1,1)*CHOOSE(MATCH('Tasks Filter'!$F$5,Lists!$G$2:$G$6,0),AW1525,BF1525,IFERROR(MATCH(AV1525,Setup!$F$6:$F$15,0),99),IFERROR(MATCH(BC1525,Setup!$H$6:$H$15,0),99),IFERROR(MATCH(AZ1525,Setup!$J$6:$J$11,0),99))*1E+9+(AW1525-40000)*10000+1524)</f>
        <v/>
      </c>
      <c r="BK1525">
        <f>IF(BI1525=1,BJ1525,"")</f>
        <v/>
      </c>
      <c r="BL1525">
        <f>IF(AND(BH1525=1,BG1525=0,N(AW1525)&lt;Setup!$D$7),(AW1525-40000)*10000+1524,"")</f>
        <v/>
      </c>
      <c r="BM1525">
        <f>IF(AND(BH1525=1,AZ1525&lt;&gt;"Cancelled",N(AW1525)&gt;=Dashboard!$AB$3,N(AW1525)&lt;=Dashboard!$AB$3+6),(AW1525-40000)*100000+BF1525*10000+1524,"")</f>
        <v/>
      </c>
      <c r="BN1525">
        <f>IF(AND(BH1525=1,AZ1525&lt;&gt;"Cancelled"),BF1525*10000+1524,"")</f>
        <v/>
      </c>
    </row>
    <row r="1526">
      <c r="AS1526" t="inlineStr">
        <is>
          <t>V</t>
        </is>
      </c>
      <c r="AT1526" t="n">
        <v>30</v>
      </c>
      <c r="AU1526">
        <f>'Variable Tasks'!C30&amp;""</f>
        <v/>
      </c>
      <c r="AV1526">
        <f>'Variable Tasks'!D30&amp;""</f>
        <v/>
      </c>
      <c r="AW1526">
        <f>IF('Variable Tasks'!E30="","",'Variable Tasks'!E30)</f>
        <v/>
      </c>
      <c r="AX1526">
        <f>IF('Variable Tasks'!G30="","",'Variable Tasks'!G30)</f>
        <v/>
      </c>
      <c r="AY1526">
        <f>IF('Variable Tasks'!H30="","",'Variable Tasks'!H30)</f>
        <v/>
      </c>
      <c r="AZ1526">
        <f>IF(AU1526="","",IF('Variable Tasks'!J30="","Not Started",'Variable Tasks'!J30))</f>
        <v/>
      </c>
      <c r="BA1526">
        <f>'Variable Tasks'!L30&amp;""</f>
        <v/>
      </c>
      <c r="BB1526">
        <f>'Variable Tasks'!M30&amp;""</f>
        <v/>
      </c>
      <c r="BC1526">
        <f>'Variable Tasks'!N30&amp;""</f>
        <v/>
      </c>
      <c r="BD1526">
        <f>'Variable Tasks'!O30&amp;""</f>
        <v/>
      </c>
      <c r="BE1526">
        <f>IF('Variable Tasks'!K30="","",'Variable Tasks'!K30)</f>
        <v/>
      </c>
      <c r="BF1526">
        <f>IFERROR(MATCH(BA1526,Setup!$L$6:$L$9,0),5)</f>
        <v/>
      </c>
      <c r="BG1526">
        <f>IF(OR(AZ1526="Done",AZ1526="Cancelled"),1,0)</f>
        <v/>
      </c>
      <c r="BH1526">
        <f>IF(AND(AU1526&lt;&gt;"",ISNUMBER(AW1526)),1,0)</f>
        <v/>
      </c>
      <c r="BI1526">
        <f>IF(BH1526=0,0,IF(AND(AW1526&gt;='Tasks Filter'!$F$3,AW1526&lt;='Tasks Filter'!$F$4,OR('Tasks Filter'!$I$3="",ISNUMBER(SEARCH('Tasks Filter'!$I$3,AU1526))),OR('Tasks Filter'!$I$4="",BF1526=IFERROR(MATCH('Tasks Filter'!$I$4,Setup!$L$6:$L$9,0),0)),OR('Tasks Filter'!$I$5="Both",AND('Tasks Filter'!$I$5="Yes",BB1526="✓"),AND('Tasks Filter'!$I$5="No",BB1526&lt;&gt;"✓")),OR('Tasks Filter'!$L$3="",AV1526='Tasks Filter'!$L$3),OR('Tasks Filter'!$L$4="",AZ1526='Tasks Filter'!$L$4),OR('Tasks Filter'!$L$5="",BC1526='Tasks Filter'!$L$5),OR('Tasks Filter'!$O$3="",BD1526='Tasks Filter'!$O$3),OR('Tasks Filter'!$O$4="Yes",BG1526=0)),1,0))</f>
        <v/>
      </c>
      <c r="BJ1526">
        <f>IF(BH1526=0,"",IF('Tasks Filter'!$F$6="Descending",-1,1)*CHOOSE(MATCH('Tasks Filter'!$F$5,Lists!$G$2:$G$6,0),AW1526,BF1526,IFERROR(MATCH(AV1526,Setup!$F$6:$F$15,0),99),IFERROR(MATCH(BC1526,Setup!$H$6:$H$15,0),99),IFERROR(MATCH(AZ1526,Setup!$J$6:$J$11,0),99))*1E+9+(AW1526-40000)*10000+1525)</f>
        <v/>
      </c>
      <c r="BK1526">
        <f>IF(BI1526=1,BJ1526,"")</f>
        <v/>
      </c>
      <c r="BL1526">
        <f>IF(AND(BH1526=1,BG1526=0,N(AW1526)&lt;Setup!$D$7),(AW1526-40000)*10000+1525,"")</f>
        <v/>
      </c>
      <c r="BM1526">
        <f>IF(AND(BH1526=1,AZ1526&lt;&gt;"Cancelled",N(AW1526)&gt;=Dashboard!$AB$3,N(AW1526)&lt;=Dashboard!$AB$3+6),(AW1526-40000)*100000+BF1526*10000+1525,"")</f>
        <v/>
      </c>
      <c r="BN1526">
        <f>IF(AND(BH1526=1,AZ1526&lt;&gt;"Cancelled"),BF1526*10000+1525,"")</f>
        <v/>
      </c>
    </row>
    <row r="1527">
      <c r="AS1527" t="inlineStr">
        <is>
          <t>V</t>
        </is>
      </c>
      <c r="AT1527" t="n">
        <v>31</v>
      </c>
      <c r="AU1527">
        <f>'Variable Tasks'!C31&amp;""</f>
        <v/>
      </c>
      <c r="AV1527">
        <f>'Variable Tasks'!D31&amp;""</f>
        <v/>
      </c>
      <c r="AW1527">
        <f>IF('Variable Tasks'!E31="","",'Variable Tasks'!E31)</f>
        <v/>
      </c>
      <c r="AX1527">
        <f>IF('Variable Tasks'!G31="","",'Variable Tasks'!G31)</f>
        <v/>
      </c>
      <c r="AY1527">
        <f>IF('Variable Tasks'!H31="","",'Variable Tasks'!H31)</f>
        <v/>
      </c>
      <c r="AZ1527">
        <f>IF(AU1527="","",IF('Variable Tasks'!J31="","Not Started",'Variable Tasks'!J31))</f>
        <v/>
      </c>
      <c r="BA1527">
        <f>'Variable Tasks'!L31&amp;""</f>
        <v/>
      </c>
      <c r="BB1527">
        <f>'Variable Tasks'!M31&amp;""</f>
        <v/>
      </c>
      <c r="BC1527">
        <f>'Variable Tasks'!N31&amp;""</f>
        <v/>
      </c>
      <c r="BD1527">
        <f>'Variable Tasks'!O31&amp;""</f>
        <v/>
      </c>
      <c r="BE1527">
        <f>IF('Variable Tasks'!K31="","",'Variable Tasks'!K31)</f>
        <v/>
      </c>
      <c r="BF1527">
        <f>IFERROR(MATCH(BA1527,Setup!$L$6:$L$9,0),5)</f>
        <v/>
      </c>
      <c r="BG1527">
        <f>IF(OR(AZ1527="Done",AZ1527="Cancelled"),1,0)</f>
        <v/>
      </c>
      <c r="BH1527">
        <f>IF(AND(AU1527&lt;&gt;"",ISNUMBER(AW1527)),1,0)</f>
        <v/>
      </c>
      <c r="BI1527">
        <f>IF(BH1527=0,0,IF(AND(AW1527&gt;='Tasks Filter'!$F$3,AW1527&lt;='Tasks Filter'!$F$4,OR('Tasks Filter'!$I$3="",ISNUMBER(SEARCH('Tasks Filter'!$I$3,AU1527))),OR('Tasks Filter'!$I$4="",BF1527=IFERROR(MATCH('Tasks Filter'!$I$4,Setup!$L$6:$L$9,0),0)),OR('Tasks Filter'!$I$5="Both",AND('Tasks Filter'!$I$5="Yes",BB1527="✓"),AND('Tasks Filter'!$I$5="No",BB1527&lt;&gt;"✓")),OR('Tasks Filter'!$L$3="",AV1527='Tasks Filter'!$L$3),OR('Tasks Filter'!$L$4="",AZ1527='Tasks Filter'!$L$4),OR('Tasks Filter'!$L$5="",BC1527='Tasks Filter'!$L$5),OR('Tasks Filter'!$O$3="",BD1527='Tasks Filter'!$O$3),OR('Tasks Filter'!$O$4="Yes",BG1527=0)),1,0))</f>
        <v/>
      </c>
      <c r="BJ1527">
        <f>IF(BH1527=0,"",IF('Tasks Filter'!$F$6="Descending",-1,1)*CHOOSE(MATCH('Tasks Filter'!$F$5,Lists!$G$2:$G$6,0),AW1527,BF1527,IFERROR(MATCH(AV1527,Setup!$F$6:$F$15,0),99),IFERROR(MATCH(BC1527,Setup!$H$6:$H$15,0),99),IFERROR(MATCH(AZ1527,Setup!$J$6:$J$11,0),99))*1E+9+(AW1527-40000)*10000+1526)</f>
        <v/>
      </c>
      <c r="BK1527">
        <f>IF(BI1527=1,BJ1527,"")</f>
        <v/>
      </c>
      <c r="BL1527">
        <f>IF(AND(BH1527=1,BG1527=0,N(AW1527)&lt;Setup!$D$7),(AW1527-40000)*10000+1526,"")</f>
        <v/>
      </c>
      <c r="BM1527">
        <f>IF(AND(BH1527=1,AZ1527&lt;&gt;"Cancelled",N(AW1527)&gt;=Dashboard!$AB$3,N(AW1527)&lt;=Dashboard!$AB$3+6),(AW1527-40000)*100000+BF1527*10000+1526,"")</f>
        <v/>
      </c>
      <c r="BN1527">
        <f>IF(AND(BH1527=1,AZ1527&lt;&gt;"Cancelled"),BF1527*10000+1526,"")</f>
        <v/>
      </c>
    </row>
    <row r="1528">
      <c r="AS1528" t="inlineStr">
        <is>
          <t>V</t>
        </is>
      </c>
      <c r="AT1528" t="n">
        <v>32</v>
      </c>
      <c r="AU1528">
        <f>'Variable Tasks'!C32&amp;""</f>
        <v/>
      </c>
      <c r="AV1528">
        <f>'Variable Tasks'!D32&amp;""</f>
        <v/>
      </c>
      <c r="AW1528">
        <f>IF('Variable Tasks'!E32="","",'Variable Tasks'!E32)</f>
        <v/>
      </c>
      <c r="AX1528">
        <f>IF('Variable Tasks'!G32="","",'Variable Tasks'!G32)</f>
        <v/>
      </c>
      <c r="AY1528">
        <f>IF('Variable Tasks'!H32="","",'Variable Tasks'!H32)</f>
        <v/>
      </c>
      <c r="AZ1528">
        <f>IF(AU1528="","",IF('Variable Tasks'!J32="","Not Started",'Variable Tasks'!J32))</f>
        <v/>
      </c>
      <c r="BA1528">
        <f>'Variable Tasks'!L32&amp;""</f>
        <v/>
      </c>
      <c r="BB1528">
        <f>'Variable Tasks'!M32&amp;""</f>
        <v/>
      </c>
      <c r="BC1528">
        <f>'Variable Tasks'!N32&amp;""</f>
        <v/>
      </c>
      <c r="BD1528">
        <f>'Variable Tasks'!O32&amp;""</f>
        <v/>
      </c>
      <c r="BE1528">
        <f>IF('Variable Tasks'!K32="","",'Variable Tasks'!K32)</f>
        <v/>
      </c>
      <c r="BF1528">
        <f>IFERROR(MATCH(BA1528,Setup!$L$6:$L$9,0),5)</f>
        <v/>
      </c>
      <c r="BG1528">
        <f>IF(OR(AZ1528="Done",AZ1528="Cancelled"),1,0)</f>
        <v/>
      </c>
      <c r="BH1528">
        <f>IF(AND(AU1528&lt;&gt;"",ISNUMBER(AW1528)),1,0)</f>
        <v/>
      </c>
      <c r="BI1528">
        <f>IF(BH1528=0,0,IF(AND(AW1528&gt;='Tasks Filter'!$F$3,AW1528&lt;='Tasks Filter'!$F$4,OR('Tasks Filter'!$I$3="",ISNUMBER(SEARCH('Tasks Filter'!$I$3,AU1528))),OR('Tasks Filter'!$I$4="",BF1528=IFERROR(MATCH('Tasks Filter'!$I$4,Setup!$L$6:$L$9,0),0)),OR('Tasks Filter'!$I$5="Both",AND('Tasks Filter'!$I$5="Yes",BB1528="✓"),AND('Tasks Filter'!$I$5="No",BB1528&lt;&gt;"✓")),OR('Tasks Filter'!$L$3="",AV1528='Tasks Filter'!$L$3),OR('Tasks Filter'!$L$4="",AZ1528='Tasks Filter'!$L$4),OR('Tasks Filter'!$L$5="",BC1528='Tasks Filter'!$L$5),OR('Tasks Filter'!$O$3="",BD1528='Tasks Filter'!$O$3),OR('Tasks Filter'!$O$4="Yes",BG1528=0)),1,0))</f>
        <v/>
      </c>
      <c r="BJ1528">
        <f>IF(BH1528=0,"",IF('Tasks Filter'!$F$6="Descending",-1,1)*CHOOSE(MATCH('Tasks Filter'!$F$5,Lists!$G$2:$G$6,0),AW1528,BF1528,IFERROR(MATCH(AV1528,Setup!$F$6:$F$15,0),99),IFERROR(MATCH(BC1528,Setup!$H$6:$H$15,0),99),IFERROR(MATCH(AZ1528,Setup!$J$6:$J$11,0),99))*1E+9+(AW1528-40000)*10000+1527)</f>
        <v/>
      </c>
      <c r="BK1528">
        <f>IF(BI1528=1,BJ1528,"")</f>
        <v/>
      </c>
      <c r="BL1528">
        <f>IF(AND(BH1528=1,BG1528=0,N(AW1528)&lt;Setup!$D$7),(AW1528-40000)*10000+1527,"")</f>
        <v/>
      </c>
      <c r="BM1528">
        <f>IF(AND(BH1528=1,AZ1528&lt;&gt;"Cancelled",N(AW1528)&gt;=Dashboard!$AB$3,N(AW1528)&lt;=Dashboard!$AB$3+6),(AW1528-40000)*100000+BF1528*10000+1527,"")</f>
        <v/>
      </c>
      <c r="BN1528">
        <f>IF(AND(BH1528=1,AZ1528&lt;&gt;"Cancelled"),BF1528*10000+1527,"")</f>
        <v/>
      </c>
    </row>
    <row r="1529">
      <c r="AS1529" t="inlineStr">
        <is>
          <t>V</t>
        </is>
      </c>
      <c r="AT1529" t="n">
        <v>33</v>
      </c>
      <c r="AU1529">
        <f>'Variable Tasks'!C33&amp;""</f>
        <v/>
      </c>
      <c r="AV1529">
        <f>'Variable Tasks'!D33&amp;""</f>
        <v/>
      </c>
      <c r="AW1529">
        <f>IF('Variable Tasks'!E33="","",'Variable Tasks'!E33)</f>
        <v/>
      </c>
      <c r="AX1529">
        <f>IF('Variable Tasks'!G33="","",'Variable Tasks'!G33)</f>
        <v/>
      </c>
      <c r="AY1529">
        <f>IF('Variable Tasks'!H33="","",'Variable Tasks'!H33)</f>
        <v/>
      </c>
      <c r="AZ1529">
        <f>IF(AU1529="","",IF('Variable Tasks'!J33="","Not Started",'Variable Tasks'!J33))</f>
        <v/>
      </c>
      <c r="BA1529">
        <f>'Variable Tasks'!L33&amp;""</f>
        <v/>
      </c>
      <c r="BB1529">
        <f>'Variable Tasks'!M33&amp;""</f>
        <v/>
      </c>
      <c r="BC1529">
        <f>'Variable Tasks'!N33&amp;""</f>
        <v/>
      </c>
      <c r="BD1529">
        <f>'Variable Tasks'!O33&amp;""</f>
        <v/>
      </c>
      <c r="BE1529">
        <f>IF('Variable Tasks'!K33="","",'Variable Tasks'!K33)</f>
        <v/>
      </c>
      <c r="BF1529">
        <f>IFERROR(MATCH(BA1529,Setup!$L$6:$L$9,0),5)</f>
        <v/>
      </c>
      <c r="BG1529">
        <f>IF(OR(AZ1529="Done",AZ1529="Cancelled"),1,0)</f>
        <v/>
      </c>
      <c r="BH1529">
        <f>IF(AND(AU1529&lt;&gt;"",ISNUMBER(AW1529)),1,0)</f>
        <v/>
      </c>
      <c r="BI1529">
        <f>IF(BH1529=0,0,IF(AND(AW1529&gt;='Tasks Filter'!$F$3,AW1529&lt;='Tasks Filter'!$F$4,OR('Tasks Filter'!$I$3="",ISNUMBER(SEARCH('Tasks Filter'!$I$3,AU1529))),OR('Tasks Filter'!$I$4="",BF1529=IFERROR(MATCH('Tasks Filter'!$I$4,Setup!$L$6:$L$9,0),0)),OR('Tasks Filter'!$I$5="Both",AND('Tasks Filter'!$I$5="Yes",BB1529="✓"),AND('Tasks Filter'!$I$5="No",BB1529&lt;&gt;"✓")),OR('Tasks Filter'!$L$3="",AV1529='Tasks Filter'!$L$3),OR('Tasks Filter'!$L$4="",AZ1529='Tasks Filter'!$L$4),OR('Tasks Filter'!$L$5="",BC1529='Tasks Filter'!$L$5),OR('Tasks Filter'!$O$3="",BD1529='Tasks Filter'!$O$3),OR('Tasks Filter'!$O$4="Yes",BG1529=0)),1,0))</f>
        <v/>
      </c>
      <c r="BJ1529">
        <f>IF(BH1529=0,"",IF('Tasks Filter'!$F$6="Descending",-1,1)*CHOOSE(MATCH('Tasks Filter'!$F$5,Lists!$G$2:$G$6,0),AW1529,BF1529,IFERROR(MATCH(AV1529,Setup!$F$6:$F$15,0),99),IFERROR(MATCH(BC1529,Setup!$H$6:$H$15,0),99),IFERROR(MATCH(AZ1529,Setup!$J$6:$J$11,0),99))*1E+9+(AW1529-40000)*10000+1528)</f>
        <v/>
      </c>
      <c r="BK1529">
        <f>IF(BI1529=1,BJ1529,"")</f>
        <v/>
      </c>
      <c r="BL1529">
        <f>IF(AND(BH1529=1,BG1529=0,N(AW1529)&lt;Setup!$D$7),(AW1529-40000)*10000+1528,"")</f>
        <v/>
      </c>
      <c r="BM1529">
        <f>IF(AND(BH1529=1,AZ1529&lt;&gt;"Cancelled",N(AW1529)&gt;=Dashboard!$AB$3,N(AW1529)&lt;=Dashboard!$AB$3+6),(AW1529-40000)*100000+BF1529*10000+1528,"")</f>
        <v/>
      </c>
      <c r="BN1529">
        <f>IF(AND(BH1529=1,AZ1529&lt;&gt;"Cancelled"),BF1529*10000+1528,"")</f>
        <v/>
      </c>
    </row>
    <row r="1530">
      <c r="AS1530" t="inlineStr">
        <is>
          <t>V</t>
        </is>
      </c>
      <c r="AT1530" t="n">
        <v>34</v>
      </c>
      <c r="AU1530">
        <f>'Variable Tasks'!C34&amp;""</f>
        <v/>
      </c>
      <c r="AV1530">
        <f>'Variable Tasks'!D34&amp;""</f>
        <v/>
      </c>
      <c r="AW1530">
        <f>IF('Variable Tasks'!E34="","",'Variable Tasks'!E34)</f>
        <v/>
      </c>
      <c r="AX1530">
        <f>IF('Variable Tasks'!G34="","",'Variable Tasks'!G34)</f>
        <v/>
      </c>
      <c r="AY1530">
        <f>IF('Variable Tasks'!H34="","",'Variable Tasks'!H34)</f>
        <v/>
      </c>
      <c r="AZ1530">
        <f>IF(AU1530="","",IF('Variable Tasks'!J34="","Not Started",'Variable Tasks'!J34))</f>
        <v/>
      </c>
      <c r="BA1530">
        <f>'Variable Tasks'!L34&amp;""</f>
        <v/>
      </c>
      <c r="BB1530">
        <f>'Variable Tasks'!M34&amp;""</f>
        <v/>
      </c>
      <c r="BC1530">
        <f>'Variable Tasks'!N34&amp;""</f>
        <v/>
      </c>
      <c r="BD1530">
        <f>'Variable Tasks'!O34&amp;""</f>
        <v/>
      </c>
      <c r="BE1530">
        <f>IF('Variable Tasks'!K34="","",'Variable Tasks'!K34)</f>
        <v/>
      </c>
      <c r="BF1530">
        <f>IFERROR(MATCH(BA1530,Setup!$L$6:$L$9,0),5)</f>
        <v/>
      </c>
      <c r="BG1530">
        <f>IF(OR(AZ1530="Done",AZ1530="Cancelled"),1,0)</f>
        <v/>
      </c>
      <c r="BH1530">
        <f>IF(AND(AU1530&lt;&gt;"",ISNUMBER(AW1530)),1,0)</f>
        <v/>
      </c>
      <c r="BI1530">
        <f>IF(BH1530=0,0,IF(AND(AW1530&gt;='Tasks Filter'!$F$3,AW1530&lt;='Tasks Filter'!$F$4,OR('Tasks Filter'!$I$3="",ISNUMBER(SEARCH('Tasks Filter'!$I$3,AU1530))),OR('Tasks Filter'!$I$4="",BF1530=IFERROR(MATCH('Tasks Filter'!$I$4,Setup!$L$6:$L$9,0),0)),OR('Tasks Filter'!$I$5="Both",AND('Tasks Filter'!$I$5="Yes",BB1530="✓"),AND('Tasks Filter'!$I$5="No",BB1530&lt;&gt;"✓")),OR('Tasks Filter'!$L$3="",AV1530='Tasks Filter'!$L$3),OR('Tasks Filter'!$L$4="",AZ1530='Tasks Filter'!$L$4),OR('Tasks Filter'!$L$5="",BC1530='Tasks Filter'!$L$5),OR('Tasks Filter'!$O$3="",BD1530='Tasks Filter'!$O$3),OR('Tasks Filter'!$O$4="Yes",BG1530=0)),1,0))</f>
        <v/>
      </c>
      <c r="BJ1530">
        <f>IF(BH1530=0,"",IF('Tasks Filter'!$F$6="Descending",-1,1)*CHOOSE(MATCH('Tasks Filter'!$F$5,Lists!$G$2:$G$6,0),AW1530,BF1530,IFERROR(MATCH(AV1530,Setup!$F$6:$F$15,0),99),IFERROR(MATCH(BC1530,Setup!$H$6:$H$15,0),99),IFERROR(MATCH(AZ1530,Setup!$J$6:$J$11,0),99))*1E+9+(AW1530-40000)*10000+1529)</f>
        <v/>
      </c>
      <c r="BK1530">
        <f>IF(BI1530=1,BJ1530,"")</f>
        <v/>
      </c>
      <c r="BL1530">
        <f>IF(AND(BH1530=1,BG1530=0,N(AW1530)&lt;Setup!$D$7),(AW1530-40000)*10000+1529,"")</f>
        <v/>
      </c>
      <c r="BM1530">
        <f>IF(AND(BH1530=1,AZ1530&lt;&gt;"Cancelled",N(AW1530)&gt;=Dashboard!$AB$3,N(AW1530)&lt;=Dashboard!$AB$3+6),(AW1530-40000)*100000+BF1530*10000+1529,"")</f>
        <v/>
      </c>
      <c r="BN1530">
        <f>IF(AND(BH1530=1,AZ1530&lt;&gt;"Cancelled"),BF1530*10000+1529,"")</f>
        <v/>
      </c>
    </row>
    <row r="1531">
      <c r="AS1531" t="inlineStr">
        <is>
          <t>V</t>
        </is>
      </c>
      <c r="AT1531" t="n">
        <v>35</v>
      </c>
      <c r="AU1531">
        <f>'Variable Tasks'!C35&amp;""</f>
        <v/>
      </c>
      <c r="AV1531">
        <f>'Variable Tasks'!D35&amp;""</f>
        <v/>
      </c>
      <c r="AW1531">
        <f>IF('Variable Tasks'!E35="","",'Variable Tasks'!E35)</f>
        <v/>
      </c>
      <c r="AX1531">
        <f>IF('Variable Tasks'!G35="","",'Variable Tasks'!G35)</f>
        <v/>
      </c>
      <c r="AY1531">
        <f>IF('Variable Tasks'!H35="","",'Variable Tasks'!H35)</f>
        <v/>
      </c>
      <c r="AZ1531">
        <f>IF(AU1531="","",IF('Variable Tasks'!J35="","Not Started",'Variable Tasks'!J35))</f>
        <v/>
      </c>
      <c r="BA1531">
        <f>'Variable Tasks'!L35&amp;""</f>
        <v/>
      </c>
      <c r="BB1531">
        <f>'Variable Tasks'!M35&amp;""</f>
        <v/>
      </c>
      <c r="BC1531">
        <f>'Variable Tasks'!N35&amp;""</f>
        <v/>
      </c>
      <c r="BD1531">
        <f>'Variable Tasks'!O35&amp;""</f>
        <v/>
      </c>
      <c r="BE1531">
        <f>IF('Variable Tasks'!K35="","",'Variable Tasks'!K35)</f>
        <v/>
      </c>
      <c r="BF1531">
        <f>IFERROR(MATCH(BA1531,Setup!$L$6:$L$9,0),5)</f>
        <v/>
      </c>
      <c r="BG1531">
        <f>IF(OR(AZ1531="Done",AZ1531="Cancelled"),1,0)</f>
        <v/>
      </c>
      <c r="BH1531">
        <f>IF(AND(AU1531&lt;&gt;"",ISNUMBER(AW1531)),1,0)</f>
        <v/>
      </c>
      <c r="BI1531">
        <f>IF(BH1531=0,0,IF(AND(AW1531&gt;='Tasks Filter'!$F$3,AW1531&lt;='Tasks Filter'!$F$4,OR('Tasks Filter'!$I$3="",ISNUMBER(SEARCH('Tasks Filter'!$I$3,AU1531))),OR('Tasks Filter'!$I$4="",BF1531=IFERROR(MATCH('Tasks Filter'!$I$4,Setup!$L$6:$L$9,0),0)),OR('Tasks Filter'!$I$5="Both",AND('Tasks Filter'!$I$5="Yes",BB1531="✓"),AND('Tasks Filter'!$I$5="No",BB1531&lt;&gt;"✓")),OR('Tasks Filter'!$L$3="",AV1531='Tasks Filter'!$L$3),OR('Tasks Filter'!$L$4="",AZ1531='Tasks Filter'!$L$4),OR('Tasks Filter'!$L$5="",BC1531='Tasks Filter'!$L$5),OR('Tasks Filter'!$O$3="",BD1531='Tasks Filter'!$O$3),OR('Tasks Filter'!$O$4="Yes",BG1531=0)),1,0))</f>
        <v/>
      </c>
      <c r="BJ1531">
        <f>IF(BH1531=0,"",IF('Tasks Filter'!$F$6="Descending",-1,1)*CHOOSE(MATCH('Tasks Filter'!$F$5,Lists!$G$2:$G$6,0),AW1531,BF1531,IFERROR(MATCH(AV1531,Setup!$F$6:$F$15,0),99),IFERROR(MATCH(BC1531,Setup!$H$6:$H$15,0),99),IFERROR(MATCH(AZ1531,Setup!$J$6:$J$11,0),99))*1E+9+(AW1531-40000)*10000+1530)</f>
        <v/>
      </c>
      <c r="BK1531">
        <f>IF(BI1531=1,BJ1531,"")</f>
        <v/>
      </c>
      <c r="BL1531">
        <f>IF(AND(BH1531=1,BG1531=0,N(AW1531)&lt;Setup!$D$7),(AW1531-40000)*10000+1530,"")</f>
        <v/>
      </c>
      <c r="BM1531">
        <f>IF(AND(BH1531=1,AZ1531&lt;&gt;"Cancelled",N(AW1531)&gt;=Dashboard!$AB$3,N(AW1531)&lt;=Dashboard!$AB$3+6),(AW1531-40000)*100000+BF1531*10000+1530,"")</f>
        <v/>
      </c>
      <c r="BN1531">
        <f>IF(AND(BH1531=1,AZ1531&lt;&gt;"Cancelled"),BF1531*10000+1530,"")</f>
        <v/>
      </c>
    </row>
    <row r="1532">
      <c r="AS1532" t="inlineStr">
        <is>
          <t>V</t>
        </is>
      </c>
      <c r="AT1532" t="n">
        <v>36</v>
      </c>
      <c r="AU1532">
        <f>'Variable Tasks'!C36&amp;""</f>
        <v/>
      </c>
      <c r="AV1532">
        <f>'Variable Tasks'!D36&amp;""</f>
        <v/>
      </c>
      <c r="AW1532">
        <f>IF('Variable Tasks'!E36="","",'Variable Tasks'!E36)</f>
        <v/>
      </c>
      <c r="AX1532">
        <f>IF('Variable Tasks'!G36="","",'Variable Tasks'!G36)</f>
        <v/>
      </c>
      <c r="AY1532">
        <f>IF('Variable Tasks'!H36="","",'Variable Tasks'!H36)</f>
        <v/>
      </c>
      <c r="AZ1532">
        <f>IF(AU1532="","",IF('Variable Tasks'!J36="","Not Started",'Variable Tasks'!J36))</f>
        <v/>
      </c>
      <c r="BA1532">
        <f>'Variable Tasks'!L36&amp;""</f>
        <v/>
      </c>
      <c r="BB1532">
        <f>'Variable Tasks'!M36&amp;""</f>
        <v/>
      </c>
      <c r="BC1532">
        <f>'Variable Tasks'!N36&amp;""</f>
        <v/>
      </c>
      <c r="BD1532">
        <f>'Variable Tasks'!O36&amp;""</f>
        <v/>
      </c>
      <c r="BE1532">
        <f>IF('Variable Tasks'!K36="","",'Variable Tasks'!K36)</f>
        <v/>
      </c>
      <c r="BF1532">
        <f>IFERROR(MATCH(BA1532,Setup!$L$6:$L$9,0),5)</f>
        <v/>
      </c>
      <c r="BG1532">
        <f>IF(OR(AZ1532="Done",AZ1532="Cancelled"),1,0)</f>
        <v/>
      </c>
      <c r="BH1532">
        <f>IF(AND(AU1532&lt;&gt;"",ISNUMBER(AW1532)),1,0)</f>
        <v/>
      </c>
      <c r="BI1532">
        <f>IF(BH1532=0,0,IF(AND(AW1532&gt;='Tasks Filter'!$F$3,AW1532&lt;='Tasks Filter'!$F$4,OR('Tasks Filter'!$I$3="",ISNUMBER(SEARCH('Tasks Filter'!$I$3,AU1532))),OR('Tasks Filter'!$I$4="",BF1532=IFERROR(MATCH('Tasks Filter'!$I$4,Setup!$L$6:$L$9,0),0)),OR('Tasks Filter'!$I$5="Both",AND('Tasks Filter'!$I$5="Yes",BB1532="✓"),AND('Tasks Filter'!$I$5="No",BB1532&lt;&gt;"✓")),OR('Tasks Filter'!$L$3="",AV1532='Tasks Filter'!$L$3),OR('Tasks Filter'!$L$4="",AZ1532='Tasks Filter'!$L$4),OR('Tasks Filter'!$L$5="",BC1532='Tasks Filter'!$L$5),OR('Tasks Filter'!$O$3="",BD1532='Tasks Filter'!$O$3),OR('Tasks Filter'!$O$4="Yes",BG1532=0)),1,0))</f>
        <v/>
      </c>
      <c r="BJ1532">
        <f>IF(BH1532=0,"",IF('Tasks Filter'!$F$6="Descending",-1,1)*CHOOSE(MATCH('Tasks Filter'!$F$5,Lists!$G$2:$G$6,0),AW1532,BF1532,IFERROR(MATCH(AV1532,Setup!$F$6:$F$15,0),99),IFERROR(MATCH(BC1532,Setup!$H$6:$H$15,0),99),IFERROR(MATCH(AZ1532,Setup!$J$6:$J$11,0),99))*1E+9+(AW1532-40000)*10000+1531)</f>
        <v/>
      </c>
      <c r="BK1532">
        <f>IF(BI1532=1,BJ1532,"")</f>
        <v/>
      </c>
      <c r="BL1532">
        <f>IF(AND(BH1532=1,BG1532=0,N(AW1532)&lt;Setup!$D$7),(AW1532-40000)*10000+1531,"")</f>
        <v/>
      </c>
      <c r="BM1532">
        <f>IF(AND(BH1532=1,AZ1532&lt;&gt;"Cancelled",N(AW1532)&gt;=Dashboard!$AB$3,N(AW1532)&lt;=Dashboard!$AB$3+6),(AW1532-40000)*100000+BF1532*10000+1531,"")</f>
        <v/>
      </c>
      <c r="BN1532">
        <f>IF(AND(BH1532=1,AZ1532&lt;&gt;"Cancelled"),BF1532*10000+1531,"")</f>
        <v/>
      </c>
    </row>
    <row r="1533">
      <c r="AS1533" t="inlineStr">
        <is>
          <t>V</t>
        </is>
      </c>
      <c r="AT1533" t="n">
        <v>37</v>
      </c>
      <c r="AU1533">
        <f>'Variable Tasks'!C37&amp;""</f>
        <v/>
      </c>
      <c r="AV1533">
        <f>'Variable Tasks'!D37&amp;""</f>
        <v/>
      </c>
      <c r="AW1533">
        <f>IF('Variable Tasks'!E37="","",'Variable Tasks'!E37)</f>
        <v/>
      </c>
      <c r="AX1533">
        <f>IF('Variable Tasks'!G37="","",'Variable Tasks'!G37)</f>
        <v/>
      </c>
      <c r="AY1533">
        <f>IF('Variable Tasks'!H37="","",'Variable Tasks'!H37)</f>
        <v/>
      </c>
      <c r="AZ1533">
        <f>IF(AU1533="","",IF('Variable Tasks'!J37="","Not Started",'Variable Tasks'!J37))</f>
        <v/>
      </c>
      <c r="BA1533">
        <f>'Variable Tasks'!L37&amp;""</f>
        <v/>
      </c>
      <c r="BB1533">
        <f>'Variable Tasks'!M37&amp;""</f>
        <v/>
      </c>
      <c r="BC1533">
        <f>'Variable Tasks'!N37&amp;""</f>
        <v/>
      </c>
      <c r="BD1533">
        <f>'Variable Tasks'!O37&amp;""</f>
        <v/>
      </c>
      <c r="BE1533">
        <f>IF('Variable Tasks'!K37="","",'Variable Tasks'!K37)</f>
        <v/>
      </c>
      <c r="BF1533">
        <f>IFERROR(MATCH(BA1533,Setup!$L$6:$L$9,0),5)</f>
        <v/>
      </c>
      <c r="BG1533">
        <f>IF(OR(AZ1533="Done",AZ1533="Cancelled"),1,0)</f>
        <v/>
      </c>
      <c r="BH1533">
        <f>IF(AND(AU1533&lt;&gt;"",ISNUMBER(AW1533)),1,0)</f>
        <v/>
      </c>
      <c r="BI1533">
        <f>IF(BH1533=0,0,IF(AND(AW1533&gt;='Tasks Filter'!$F$3,AW1533&lt;='Tasks Filter'!$F$4,OR('Tasks Filter'!$I$3="",ISNUMBER(SEARCH('Tasks Filter'!$I$3,AU1533))),OR('Tasks Filter'!$I$4="",BF1533=IFERROR(MATCH('Tasks Filter'!$I$4,Setup!$L$6:$L$9,0),0)),OR('Tasks Filter'!$I$5="Both",AND('Tasks Filter'!$I$5="Yes",BB1533="✓"),AND('Tasks Filter'!$I$5="No",BB1533&lt;&gt;"✓")),OR('Tasks Filter'!$L$3="",AV1533='Tasks Filter'!$L$3),OR('Tasks Filter'!$L$4="",AZ1533='Tasks Filter'!$L$4),OR('Tasks Filter'!$L$5="",BC1533='Tasks Filter'!$L$5),OR('Tasks Filter'!$O$3="",BD1533='Tasks Filter'!$O$3),OR('Tasks Filter'!$O$4="Yes",BG1533=0)),1,0))</f>
        <v/>
      </c>
      <c r="BJ1533">
        <f>IF(BH1533=0,"",IF('Tasks Filter'!$F$6="Descending",-1,1)*CHOOSE(MATCH('Tasks Filter'!$F$5,Lists!$G$2:$G$6,0),AW1533,BF1533,IFERROR(MATCH(AV1533,Setup!$F$6:$F$15,0),99),IFERROR(MATCH(BC1533,Setup!$H$6:$H$15,0),99),IFERROR(MATCH(AZ1533,Setup!$J$6:$J$11,0),99))*1E+9+(AW1533-40000)*10000+1532)</f>
        <v/>
      </c>
      <c r="BK1533">
        <f>IF(BI1533=1,BJ1533,"")</f>
        <v/>
      </c>
      <c r="BL1533">
        <f>IF(AND(BH1533=1,BG1533=0,N(AW1533)&lt;Setup!$D$7),(AW1533-40000)*10000+1532,"")</f>
        <v/>
      </c>
      <c r="BM1533">
        <f>IF(AND(BH1533=1,AZ1533&lt;&gt;"Cancelled",N(AW1533)&gt;=Dashboard!$AB$3,N(AW1533)&lt;=Dashboard!$AB$3+6),(AW1533-40000)*100000+BF1533*10000+1532,"")</f>
        <v/>
      </c>
      <c r="BN1533">
        <f>IF(AND(BH1533=1,AZ1533&lt;&gt;"Cancelled"),BF1533*10000+1532,"")</f>
        <v/>
      </c>
    </row>
    <row r="1534">
      <c r="AS1534" t="inlineStr">
        <is>
          <t>V</t>
        </is>
      </c>
      <c r="AT1534" t="n">
        <v>38</v>
      </c>
      <c r="AU1534">
        <f>'Variable Tasks'!C38&amp;""</f>
        <v/>
      </c>
      <c r="AV1534">
        <f>'Variable Tasks'!D38&amp;""</f>
        <v/>
      </c>
      <c r="AW1534">
        <f>IF('Variable Tasks'!E38="","",'Variable Tasks'!E38)</f>
        <v/>
      </c>
      <c r="AX1534">
        <f>IF('Variable Tasks'!G38="","",'Variable Tasks'!G38)</f>
        <v/>
      </c>
      <c r="AY1534">
        <f>IF('Variable Tasks'!H38="","",'Variable Tasks'!H38)</f>
        <v/>
      </c>
      <c r="AZ1534">
        <f>IF(AU1534="","",IF('Variable Tasks'!J38="","Not Started",'Variable Tasks'!J38))</f>
        <v/>
      </c>
      <c r="BA1534">
        <f>'Variable Tasks'!L38&amp;""</f>
        <v/>
      </c>
      <c r="BB1534">
        <f>'Variable Tasks'!M38&amp;""</f>
        <v/>
      </c>
      <c r="BC1534">
        <f>'Variable Tasks'!N38&amp;""</f>
        <v/>
      </c>
      <c r="BD1534">
        <f>'Variable Tasks'!O38&amp;""</f>
        <v/>
      </c>
      <c r="BE1534">
        <f>IF('Variable Tasks'!K38="","",'Variable Tasks'!K38)</f>
        <v/>
      </c>
      <c r="BF1534">
        <f>IFERROR(MATCH(BA1534,Setup!$L$6:$L$9,0),5)</f>
        <v/>
      </c>
      <c r="BG1534">
        <f>IF(OR(AZ1534="Done",AZ1534="Cancelled"),1,0)</f>
        <v/>
      </c>
      <c r="BH1534">
        <f>IF(AND(AU1534&lt;&gt;"",ISNUMBER(AW1534)),1,0)</f>
        <v/>
      </c>
      <c r="BI1534">
        <f>IF(BH1534=0,0,IF(AND(AW1534&gt;='Tasks Filter'!$F$3,AW1534&lt;='Tasks Filter'!$F$4,OR('Tasks Filter'!$I$3="",ISNUMBER(SEARCH('Tasks Filter'!$I$3,AU1534))),OR('Tasks Filter'!$I$4="",BF1534=IFERROR(MATCH('Tasks Filter'!$I$4,Setup!$L$6:$L$9,0),0)),OR('Tasks Filter'!$I$5="Both",AND('Tasks Filter'!$I$5="Yes",BB1534="✓"),AND('Tasks Filter'!$I$5="No",BB1534&lt;&gt;"✓")),OR('Tasks Filter'!$L$3="",AV1534='Tasks Filter'!$L$3),OR('Tasks Filter'!$L$4="",AZ1534='Tasks Filter'!$L$4),OR('Tasks Filter'!$L$5="",BC1534='Tasks Filter'!$L$5),OR('Tasks Filter'!$O$3="",BD1534='Tasks Filter'!$O$3),OR('Tasks Filter'!$O$4="Yes",BG1534=0)),1,0))</f>
        <v/>
      </c>
      <c r="BJ1534">
        <f>IF(BH1534=0,"",IF('Tasks Filter'!$F$6="Descending",-1,1)*CHOOSE(MATCH('Tasks Filter'!$F$5,Lists!$G$2:$G$6,0),AW1534,BF1534,IFERROR(MATCH(AV1534,Setup!$F$6:$F$15,0),99),IFERROR(MATCH(BC1534,Setup!$H$6:$H$15,0),99),IFERROR(MATCH(AZ1534,Setup!$J$6:$J$11,0),99))*1E+9+(AW1534-40000)*10000+1533)</f>
        <v/>
      </c>
      <c r="BK1534">
        <f>IF(BI1534=1,BJ1534,"")</f>
        <v/>
      </c>
      <c r="BL1534">
        <f>IF(AND(BH1534=1,BG1534=0,N(AW1534)&lt;Setup!$D$7),(AW1534-40000)*10000+1533,"")</f>
        <v/>
      </c>
      <c r="BM1534">
        <f>IF(AND(BH1534=1,AZ1534&lt;&gt;"Cancelled",N(AW1534)&gt;=Dashboard!$AB$3,N(AW1534)&lt;=Dashboard!$AB$3+6),(AW1534-40000)*100000+BF1534*10000+1533,"")</f>
        <v/>
      </c>
      <c r="BN1534">
        <f>IF(AND(BH1534=1,AZ1534&lt;&gt;"Cancelled"),BF1534*10000+1533,"")</f>
        <v/>
      </c>
    </row>
    <row r="1535">
      <c r="AS1535" t="inlineStr">
        <is>
          <t>V</t>
        </is>
      </c>
      <c r="AT1535" t="n">
        <v>39</v>
      </c>
      <c r="AU1535">
        <f>'Variable Tasks'!C39&amp;""</f>
        <v/>
      </c>
      <c r="AV1535">
        <f>'Variable Tasks'!D39&amp;""</f>
        <v/>
      </c>
      <c r="AW1535">
        <f>IF('Variable Tasks'!E39="","",'Variable Tasks'!E39)</f>
        <v/>
      </c>
      <c r="AX1535">
        <f>IF('Variable Tasks'!G39="","",'Variable Tasks'!G39)</f>
        <v/>
      </c>
      <c r="AY1535">
        <f>IF('Variable Tasks'!H39="","",'Variable Tasks'!H39)</f>
        <v/>
      </c>
      <c r="AZ1535">
        <f>IF(AU1535="","",IF('Variable Tasks'!J39="","Not Started",'Variable Tasks'!J39))</f>
        <v/>
      </c>
      <c r="BA1535">
        <f>'Variable Tasks'!L39&amp;""</f>
        <v/>
      </c>
      <c r="BB1535">
        <f>'Variable Tasks'!M39&amp;""</f>
        <v/>
      </c>
      <c r="BC1535">
        <f>'Variable Tasks'!N39&amp;""</f>
        <v/>
      </c>
      <c r="BD1535">
        <f>'Variable Tasks'!O39&amp;""</f>
        <v/>
      </c>
      <c r="BE1535">
        <f>IF('Variable Tasks'!K39="","",'Variable Tasks'!K39)</f>
        <v/>
      </c>
      <c r="BF1535">
        <f>IFERROR(MATCH(BA1535,Setup!$L$6:$L$9,0),5)</f>
        <v/>
      </c>
      <c r="BG1535">
        <f>IF(OR(AZ1535="Done",AZ1535="Cancelled"),1,0)</f>
        <v/>
      </c>
      <c r="BH1535">
        <f>IF(AND(AU1535&lt;&gt;"",ISNUMBER(AW1535)),1,0)</f>
        <v/>
      </c>
      <c r="BI1535">
        <f>IF(BH1535=0,0,IF(AND(AW1535&gt;='Tasks Filter'!$F$3,AW1535&lt;='Tasks Filter'!$F$4,OR('Tasks Filter'!$I$3="",ISNUMBER(SEARCH('Tasks Filter'!$I$3,AU1535))),OR('Tasks Filter'!$I$4="",BF1535=IFERROR(MATCH('Tasks Filter'!$I$4,Setup!$L$6:$L$9,0),0)),OR('Tasks Filter'!$I$5="Both",AND('Tasks Filter'!$I$5="Yes",BB1535="✓"),AND('Tasks Filter'!$I$5="No",BB1535&lt;&gt;"✓")),OR('Tasks Filter'!$L$3="",AV1535='Tasks Filter'!$L$3),OR('Tasks Filter'!$L$4="",AZ1535='Tasks Filter'!$L$4),OR('Tasks Filter'!$L$5="",BC1535='Tasks Filter'!$L$5),OR('Tasks Filter'!$O$3="",BD1535='Tasks Filter'!$O$3),OR('Tasks Filter'!$O$4="Yes",BG1535=0)),1,0))</f>
        <v/>
      </c>
      <c r="BJ1535">
        <f>IF(BH1535=0,"",IF('Tasks Filter'!$F$6="Descending",-1,1)*CHOOSE(MATCH('Tasks Filter'!$F$5,Lists!$G$2:$G$6,0),AW1535,BF1535,IFERROR(MATCH(AV1535,Setup!$F$6:$F$15,0),99),IFERROR(MATCH(BC1535,Setup!$H$6:$H$15,0),99),IFERROR(MATCH(AZ1535,Setup!$J$6:$J$11,0),99))*1E+9+(AW1535-40000)*10000+1534)</f>
        <v/>
      </c>
      <c r="BK1535">
        <f>IF(BI1535=1,BJ1535,"")</f>
        <v/>
      </c>
      <c r="BL1535">
        <f>IF(AND(BH1535=1,BG1535=0,N(AW1535)&lt;Setup!$D$7),(AW1535-40000)*10000+1534,"")</f>
        <v/>
      </c>
      <c r="BM1535">
        <f>IF(AND(BH1535=1,AZ1535&lt;&gt;"Cancelled",N(AW1535)&gt;=Dashboard!$AB$3,N(AW1535)&lt;=Dashboard!$AB$3+6),(AW1535-40000)*100000+BF1535*10000+1534,"")</f>
        <v/>
      </c>
      <c r="BN1535">
        <f>IF(AND(BH1535=1,AZ1535&lt;&gt;"Cancelled"),BF1535*10000+1534,"")</f>
        <v/>
      </c>
    </row>
    <row r="1536">
      <c r="AS1536" t="inlineStr">
        <is>
          <t>V</t>
        </is>
      </c>
      <c r="AT1536" t="n">
        <v>40</v>
      </c>
      <c r="AU1536">
        <f>'Variable Tasks'!C40&amp;""</f>
        <v/>
      </c>
      <c r="AV1536">
        <f>'Variable Tasks'!D40&amp;""</f>
        <v/>
      </c>
      <c r="AW1536">
        <f>IF('Variable Tasks'!E40="","",'Variable Tasks'!E40)</f>
        <v/>
      </c>
      <c r="AX1536">
        <f>IF('Variable Tasks'!G40="","",'Variable Tasks'!G40)</f>
        <v/>
      </c>
      <c r="AY1536">
        <f>IF('Variable Tasks'!H40="","",'Variable Tasks'!H40)</f>
        <v/>
      </c>
      <c r="AZ1536">
        <f>IF(AU1536="","",IF('Variable Tasks'!J40="","Not Started",'Variable Tasks'!J40))</f>
        <v/>
      </c>
      <c r="BA1536">
        <f>'Variable Tasks'!L40&amp;""</f>
        <v/>
      </c>
      <c r="BB1536">
        <f>'Variable Tasks'!M40&amp;""</f>
        <v/>
      </c>
      <c r="BC1536">
        <f>'Variable Tasks'!N40&amp;""</f>
        <v/>
      </c>
      <c r="BD1536">
        <f>'Variable Tasks'!O40&amp;""</f>
        <v/>
      </c>
      <c r="BE1536">
        <f>IF('Variable Tasks'!K40="","",'Variable Tasks'!K40)</f>
        <v/>
      </c>
      <c r="BF1536">
        <f>IFERROR(MATCH(BA1536,Setup!$L$6:$L$9,0),5)</f>
        <v/>
      </c>
      <c r="BG1536">
        <f>IF(OR(AZ1536="Done",AZ1536="Cancelled"),1,0)</f>
        <v/>
      </c>
      <c r="BH1536">
        <f>IF(AND(AU1536&lt;&gt;"",ISNUMBER(AW1536)),1,0)</f>
        <v/>
      </c>
      <c r="BI1536">
        <f>IF(BH1536=0,0,IF(AND(AW1536&gt;='Tasks Filter'!$F$3,AW1536&lt;='Tasks Filter'!$F$4,OR('Tasks Filter'!$I$3="",ISNUMBER(SEARCH('Tasks Filter'!$I$3,AU1536))),OR('Tasks Filter'!$I$4="",BF1536=IFERROR(MATCH('Tasks Filter'!$I$4,Setup!$L$6:$L$9,0),0)),OR('Tasks Filter'!$I$5="Both",AND('Tasks Filter'!$I$5="Yes",BB1536="✓"),AND('Tasks Filter'!$I$5="No",BB1536&lt;&gt;"✓")),OR('Tasks Filter'!$L$3="",AV1536='Tasks Filter'!$L$3),OR('Tasks Filter'!$L$4="",AZ1536='Tasks Filter'!$L$4),OR('Tasks Filter'!$L$5="",BC1536='Tasks Filter'!$L$5),OR('Tasks Filter'!$O$3="",BD1536='Tasks Filter'!$O$3),OR('Tasks Filter'!$O$4="Yes",BG1536=0)),1,0))</f>
        <v/>
      </c>
      <c r="BJ1536">
        <f>IF(BH1536=0,"",IF('Tasks Filter'!$F$6="Descending",-1,1)*CHOOSE(MATCH('Tasks Filter'!$F$5,Lists!$G$2:$G$6,0),AW1536,BF1536,IFERROR(MATCH(AV1536,Setup!$F$6:$F$15,0),99),IFERROR(MATCH(BC1536,Setup!$H$6:$H$15,0),99),IFERROR(MATCH(AZ1536,Setup!$J$6:$J$11,0),99))*1E+9+(AW1536-40000)*10000+1535)</f>
        <v/>
      </c>
      <c r="BK1536">
        <f>IF(BI1536=1,BJ1536,"")</f>
        <v/>
      </c>
      <c r="BL1536">
        <f>IF(AND(BH1536=1,BG1536=0,N(AW1536)&lt;Setup!$D$7),(AW1536-40000)*10000+1535,"")</f>
        <v/>
      </c>
      <c r="BM1536">
        <f>IF(AND(BH1536=1,AZ1536&lt;&gt;"Cancelled",N(AW1536)&gt;=Dashboard!$AB$3,N(AW1536)&lt;=Dashboard!$AB$3+6),(AW1536-40000)*100000+BF1536*10000+1535,"")</f>
        <v/>
      </c>
      <c r="BN1536">
        <f>IF(AND(BH1536=1,AZ1536&lt;&gt;"Cancelled"),BF1536*10000+1535,"")</f>
        <v/>
      </c>
    </row>
    <row r="1537">
      <c r="AS1537" t="inlineStr">
        <is>
          <t>V</t>
        </is>
      </c>
      <c r="AT1537" t="n">
        <v>41</v>
      </c>
      <c r="AU1537">
        <f>'Variable Tasks'!C41&amp;""</f>
        <v/>
      </c>
      <c r="AV1537">
        <f>'Variable Tasks'!D41&amp;""</f>
        <v/>
      </c>
      <c r="AW1537">
        <f>IF('Variable Tasks'!E41="","",'Variable Tasks'!E41)</f>
        <v/>
      </c>
      <c r="AX1537">
        <f>IF('Variable Tasks'!G41="","",'Variable Tasks'!G41)</f>
        <v/>
      </c>
      <c r="AY1537">
        <f>IF('Variable Tasks'!H41="","",'Variable Tasks'!H41)</f>
        <v/>
      </c>
      <c r="AZ1537">
        <f>IF(AU1537="","",IF('Variable Tasks'!J41="","Not Started",'Variable Tasks'!J41))</f>
        <v/>
      </c>
      <c r="BA1537">
        <f>'Variable Tasks'!L41&amp;""</f>
        <v/>
      </c>
      <c r="BB1537">
        <f>'Variable Tasks'!M41&amp;""</f>
        <v/>
      </c>
      <c r="BC1537">
        <f>'Variable Tasks'!N41&amp;""</f>
        <v/>
      </c>
      <c r="BD1537">
        <f>'Variable Tasks'!O41&amp;""</f>
        <v/>
      </c>
      <c r="BE1537">
        <f>IF('Variable Tasks'!K41="","",'Variable Tasks'!K41)</f>
        <v/>
      </c>
      <c r="BF1537">
        <f>IFERROR(MATCH(BA1537,Setup!$L$6:$L$9,0),5)</f>
        <v/>
      </c>
      <c r="BG1537">
        <f>IF(OR(AZ1537="Done",AZ1537="Cancelled"),1,0)</f>
        <v/>
      </c>
      <c r="BH1537">
        <f>IF(AND(AU1537&lt;&gt;"",ISNUMBER(AW1537)),1,0)</f>
        <v/>
      </c>
      <c r="BI1537">
        <f>IF(BH1537=0,0,IF(AND(AW1537&gt;='Tasks Filter'!$F$3,AW1537&lt;='Tasks Filter'!$F$4,OR('Tasks Filter'!$I$3="",ISNUMBER(SEARCH('Tasks Filter'!$I$3,AU1537))),OR('Tasks Filter'!$I$4="",BF1537=IFERROR(MATCH('Tasks Filter'!$I$4,Setup!$L$6:$L$9,0),0)),OR('Tasks Filter'!$I$5="Both",AND('Tasks Filter'!$I$5="Yes",BB1537="✓"),AND('Tasks Filter'!$I$5="No",BB1537&lt;&gt;"✓")),OR('Tasks Filter'!$L$3="",AV1537='Tasks Filter'!$L$3),OR('Tasks Filter'!$L$4="",AZ1537='Tasks Filter'!$L$4),OR('Tasks Filter'!$L$5="",BC1537='Tasks Filter'!$L$5),OR('Tasks Filter'!$O$3="",BD1537='Tasks Filter'!$O$3),OR('Tasks Filter'!$O$4="Yes",BG1537=0)),1,0))</f>
        <v/>
      </c>
      <c r="BJ1537">
        <f>IF(BH1537=0,"",IF('Tasks Filter'!$F$6="Descending",-1,1)*CHOOSE(MATCH('Tasks Filter'!$F$5,Lists!$G$2:$G$6,0),AW1537,BF1537,IFERROR(MATCH(AV1537,Setup!$F$6:$F$15,0),99),IFERROR(MATCH(BC1537,Setup!$H$6:$H$15,0),99),IFERROR(MATCH(AZ1537,Setup!$J$6:$J$11,0),99))*1E+9+(AW1537-40000)*10000+1536)</f>
        <v/>
      </c>
      <c r="BK1537">
        <f>IF(BI1537=1,BJ1537,"")</f>
        <v/>
      </c>
      <c r="BL1537">
        <f>IF(AND(BH1537=1,BG1537=0,N(AW1537)&lt;Setup!$D$7),(AW1537-40000)*10000+1536,"")</f>
        <v/>
      </c>
      <c r="BM1537">
        <f>IF(AND(BH1537=1,AZ1537&lt;&gt;"Cancelled",N(AW1537)&gt;=Dashboard!$AB$3,N(AW1537)&lt;=Dashboard!$AB$3+6),(AW1537-40000)*100000+BF1537*10000+1536,"")</f>
        <v/>
      </c>
      <c r="BN1537">
        <f>IF(AND(BH1537=1,AZ1537&lt;&gt;"Cancelled"),BF1537*10000+1536,"")</f>
        <v/>
      </c>
    </row>
    <row r="1538">
      <c r="AS1538" t="inlineStr">
        <is>
          <t>V</t>
        </is>
      </c>
      <c r="AT1538" t="n">
        <v>42</v>
      </c>
      <c r="AU1538">
        <f>'Variable Tasks'!C42&amp;""</f>
        <v/>
      </c>
      <c r="AV1538">
        <f>'Variable Tasks'!D42&amp;""</f>
        <v/>
      </c>
      <c r="AW1538">
        <f>IF('Variable Tasks'!E42="","",'Variable Tasks'!E42)</f>
        <v/>
      </c>
      <c r="AX1538">
        <f>IF('Variable Tasks'!G42="","",'Variable Tasks'!G42)</f>
        <v/>
      </c>
      <c r="AY1538">
        <f>IF('Variable Tasks'!H42="","",'Variable Tasks'!H42)</f>
        <v/>
      </c>
      <c r="AZ1538">
        <f>IF(AU1538="","",IF('Variable Tasks'!J42="","Not Started",'Variable Tasks'!J42))</f>
        <v/>
      </c>
      <c r="BA1538">
        <f>'Variable Tasks'!L42&amp;""</f>
        <v/>
      </c>
      <c r="BB1538">
        <f>'Variable Tasks'!M42&amp;""</f>
        <v/>
      </c>
      <c r="BC1538">
        <f>'Variable Tasks'!N42&amp;""</f>
        <v/>
      </c>
      <c r="BD1538">
        <f>'Variable Tasks'!O42&amp;""</f>
        <v/>
      </c>
      <c r="BE1538">
        <f>IF('Variable Tasks'!K42="","",'Variable Tasks'!K42)</f>
        <v/>
      </c>
      <c r="BF1538">
        <f>IFERROR(MATCH(BA1538,Setup!$L$6:$L$9,0),5)</f>
        <v/>
      </c>
      <c r="BG1538">
        <f>IF(OR(AZ1538="Done",AZ1538="Cancelled"),1,0)</f>
        <v/>
      </c>
      <c r="BH1538">
        <f>IF(AND(AU1538&lt;&gt;"",ISNUMBER(AW1538)),1,0)</f>
        <v/>
      </c>
      <c r="BI1538">
        <f>IF(BH1538=0,0,IF(AND(AW1538&gt;='Tasks Filter'!$F$3,AW1538&lt;='Tasks Filter'!$F$4,OR('Tasks Filter'!$I$3="",ISNUMBER(SEARCH('Tasks Filter'!$I$3,AU1538))),OR('Tasks Filter'!$I$4="",BF1538=IFERROR(MATCH('Tasks Filter'!$I$4,Setup!$L$6:$L$9,0),0)),OR('Tasks Filter'!$I$5="Both",AND('Tasks Filter'!$I$5="Yes",BB1538="✓"),AND('Tasks Filter'!$I$5="No",BB1538&lt;&gt;"✓")),OR('Tasks Filter'!$L$3="",AV1538='Tasks Filter'!$L$3),OR('Tasks Filter'!$L$4="",AZ1538='Tasks Filter'!$L$4),OR('Tasks Filter'!$L$5="",BC1538='Tasks Filter'!$L$5),OR('Tasks Filter'!$O$3="",BD1538='Tasks Filter'!$O$3),OR('Tasks Filter'!$O$4="Yes",BG1538=0)),1,0))</f>
        <v/>
      </c>
      <c r="BJ1538">
        <f>IF(BH1538=0,"",IF('Tasks Filter'!$F$6="Descending",-1,1)*CHOOSE(MATCH('Tasks Filter'!$F$5,Lists!$G$2:$G$6,0),AW1538,BF1538,IFERROR(MATCH(AV1538,Setup!$F$6:$F$15,0),99),IFERROR(MATCH(BC1538,Setup!$H$6:$H$15,0),99),IFERROR(MATCH(AZ1538,Setup!$J$6:$J$11,0),99))*1E+9+(AW1538-40000)*10000+1537)</f>
        <v/>
      </c>
      <c r="BK1538">
        <f>IF(BI1538=1,BJ1538,"")</f>
        <v/>
      </c>
      <c r="BL1538">
        <f>IF(AND(BH1538=1,BG1538=0,N(AW1538)&lt;Setup!$D$7),(AW1538-40000)*10000+1537,"")</f>
        <v/>
      </c>
      <c r="BM1538">
        <f>IF(AND(BH1538=1,AZ1538&lt;&gt;"Cancelled",N(AW1538)&gt;=Dashboard!$AB$3,N(AW1538)&lt;=Dashboard!$AB$3+6),(AW1538-40000)*100000+BF1538*10000+1537,"")</f>
        <v/>
      </c>
      <c r="BN1538">
        <f>IF(AND(BH1538=1,AZ1538&lt;&gt;"Cancelled"),BF1538*10000+1537,"")</f>
        <v/>
      </c>
    </row>
    <row r="1539">
      <c r="AS1539" t="inlineStr">
        <is>
          <t>V</t>
        </is>
      </c>
      <c r="AT1539" t="n">
        <v>43</v>
      </c>
      <c r="AU1539">
        <f>'Variable Tasks'!C43&amp;""</f>
        <v/>
      </c>
      <c r="AV1539">
        <f>'Variable Tasks'!D43&amp;""</f>
        <v/>
      </c>
      <c r="AW1539">
        <f>IF('Variable Tasks'!E43="","",'Variable Tasks'!E43)</f>
        <v/>
      </c>
      <c r="AX1539">
        <f>IF('Variable Tasks'!G43="","",'Variable Tasks'!G43)</f>
        <v/>
      </c>
      <c r="AY1539">
        <f>IF('Variable Tasks'!H43="","",'Variable Tasks'!H43)</f>
        <v/>
      </c>
      <c r="AZ1539">
        <f>IF(AU1539="","",IF('Variable Tasks'!J43="","Not Started",'Variable Tasks'!J43))</f>
        <v/>
      </c>
      <c r="BA1539">
        <f>'Variable Tasks'!L43&amp;""</f>
        <v/>
      </c>
      <c r="BB1539">
        <f>'Variable Tasks'!M43&amp;""</f>
        <v/>
      </c>
      <c r="BC1539">
        <f>'Variable Tasks'!N43&amp;""</f>
        <v/>
      </c>
      <c r="BD1539">
        <f>'Variable Tasks'!O43&amp;""</f>
        <v/>
      </c>
      <c r="BE1539">
        <f>IF('Variable Tasks'!K43="","",'Variable Tasks'!K43)</f>
        <v/>
      </c>
      <c r="BF1539">
        <f>IFERROR(MATCH(BA1539,Setup!$L$6:$L$9,0),5)</f>
        <v/>
      </c>
      <c r="BG1539">
        <f>IF(OR(AZ1539="Done",AZ1539="Cancelled"),1,0)</f>
        <v/>
      </c>
      <c r="BH1539">
        <f>IF(AND(AU1539&lt;&gt;"",ISNUMBER(AW1539)),1,0)</f>
        <v/>
      </c>
      <c r="BI1539">
        <f>IF(BH1539=0,0,IF(AND(AW1539&gt;='Tasks Filter'!$F$3,AW1539&lt;='Tasks Filter'!$F$4,OR('Tasks Filter'!$I$3="",ISNUMBER(SEARCH('Tasks Filter'!$I$3,AU1539))),OR('Tasks Filter'!$I$4="",BF1539=IFERROR(MATCH('Tasks Filter'!$I$4,Setup!$L$6:$L$9,0),0)),OR('Tasks Filter'!$I$5="Both",AND('Tasks Filter'!$I$5="Yes",BB1539="✓"),AND('Tasks Filter'!$I$5="No",BB1539&lt;&gt;"✓")),OR('Tasks Filter'!$L$3="",AV1539='Tasks Filter'!$L$3),OR('Tasks Filter'!$L$4="",AZ1539='Tasks Filter'!$L$4),OR('Tasks Filter'!$L$5="",BC1539='Tasks Filter'!$L$5),OR('Tasks Filter'!$O$3="",BD1539='Tasks Filter'!$O$3),OR('Tasks Filter'!$O$4="Yes",BG1539=0)),1,0))</f>
        <v/>
      </c>
      <c r="BJ1539">
        <f>IF(BH1539=0,"",IF('Tasks Filter'!$F$6="Descending",-1,1)*CHOOSE(MATCH('Tasks Filter'!$F$5,Lists!$G$2:$G$6,0),AW1539,BF1539,IFERROR(MATCH(AV1539,Setup!$F$6:$F$15,0),99),IFERROR(MATCH(BC1539,Setup!$H$6:$H$15,0),99),IFERROR(MATCH(AZ1539,Setup!$J$6:$J$11,0),99))*1E+9+(AW1539-40000)*10000+1538)</f>
        <v/>
      </c>
      <c r="BK1539">
        <f>IF(BI1539=1,BJ1539,"")</f>
        <v/>
      </c>
      <c r="BL1539">
        <f>IF(AND(BH1539=1,BG1539=0,N(AW1539)&lt;Setup!$D$7),(AW1539-40000)*10000+1538,"")</f>
        <v/>
      </c>
      <c r="BM1539">
        <f>IF(AND(BH1539=1,AZ1539&lt;&gt;"Cancelled",N(AW1539)&gt;=Dashboard!$AB$3,N(AW1539)&lt;=Dashboard!$AB$3+6),(AW1539-40000)*100000+BF1539*10000+1538,"")</f>
        <v/>
      </c>
      <c r="BN1539">
        <f>IF(AND(BH1539=1,AZ1539&lt;&gt;"Cancelled"),BF1539*10000+1538,"")</f>
        <v/>
      </c>
    </row>
    <row r="1540">
      <c r="AS1540" t="inlineStr">
        <is>
          <t>V</t>
        </is>
      </c>
      <c r="AT1540" t="n">
        <v>44</v>
      </c>
      <c r="AU1540">
        <f>'Variable Tasks'!C44&amp;""</f>
        <v/>
      </c>
      <c r="AV1540">
        <f>'Variable Tasks'!D44&amp;""</f>
        <v/>
      </c>
      <c r="AW1540">
        <f>IF('Variable Tasks'!E44="","",'Variable Tasks'!E44)</f>
        <v/>
      </c>
      <c r="AX1540">
        <f>IF('Variable Tasks'!G44="","",'Variable Tasks'!G44)</f>
        <v/>
      </c>
      <c r="AY1540">
        <f>IF('Variable Tasks'!H44="","",'Variable Tasks'!H44)</f>
        <v/>
      </c>
      <c r="AZ1540">
        <f>IF(AU1540="","",IF('Variable Tasks'!J44="","Not Started",'Variable Tasks'!J44))</f>
        <v/>
      </c>
      <c r="BA1540">
        <f>'Variable Tasks'!L44&amp;""</f>
        <v/>
      </c>
      <c r="BB1540">
        <f>'Variable Tasks'!M44&amp;""</f>
        <v/>
      </c>
      <c r="BC1540">
        <f>'Variable Tasks'!N44&amp;""</f>
        <v/>
      </c>
      <c r="BD1540">
        <f>'Variable Tasks'!O44&amp;""</f>
        <v/>
      </c>
      <c r="BE1540">
        <f>IF('Variable Tasks'!K44="","",'Variable Tasks'!K44)</f>
        <v/>
      </c>
      <c r="BF1540">
        <f>IFERROR(MATCH(BA1540,Setup!$L$6:$L$9,0),5)</f>
        <v/>
      </c>
      <c r="BG1540">
        <f>IF(OR(AZ1540="Done",AZ1540="Cancelled"),1,0)</f>
        <v/>
      </c>
      <c r="BH1540">
        <f>IF(AND(AU1540&lt;&gt;"",ISNUMBER(AW1540)),1,0)</f>
        <v/>
      </c>
      <c r="BI1540">
        <f>IF(BH1540=0,0,IF(AND(AW1540&gt;='Tasks Filter'!$F$3,AW1540&lt;='Tasks Filter'!$F$4,OR('Tasks Filter'!$I$3="",ISNUMBER(SEARCH('Tasks Filter'!$I$3,AU1540))),OR('Tasks Filter'!$I$4="",BF1540=IFERROR(MATCH('Tasks Filter'!$I$4,Setup!$L$6:$L$9,0),0)),OR('Tasks Filter'!$I$5="Both",AND('Tasks Filter'!$I$5="Yes",BB1540="✓"),AND('Tasks Filter'!$I$5="No",BB1540&lt;&gt;"✓")),OR('Tasks Filter'!$L$3="",AV1540='Tasks Filter'!$L$3),OR('Tasks Filter'!$L$4="",AZ1540='Tasks Filter'!$L$4),OR('Tasks Filter'!$L$5="",BC1540='Tasks Filter'!$L$5),OR('Tasks Filter'!$O$3="",BD1540='Tasks Filter'!$O$3),OR('Tasks Filter'!$O$4="Yes",BG1540=0)),1,0))</f>
        <v/>
      </c>
      <c r="BJ1540">
        <f>IF(BH1540=0,"",IF('Tasks Filter'!$F$6="Descending",-1,1)*CHOOSE(MATCH('Tasks Filter'!$F$5,Lists!$G$2:$G$6,0),AW1540,BF1540,IFERROR(MATCH(AV1540,Setup!$F$6:$F$15,0),99),IFERROR(MATCH(BC1540,Setup!$H$6:$H$15,0),99),IFERROR(MATCH(AZ1540,Setup!$J$6:$J$11,0),99))*1E+9+(AW1540-40000)*10000+1539)</f>
        <v/>
      </c>
      <c r="BK1540">
        <f>IF(BI1540=1,BJ1540,"")</f>
        <v/>
      </c>
      <c r="BL1540">
        <f>IF(AND(BH1540=1,BG1540=0,N(AW1540)&lt;Setup!$D$7),(AW1540-40000)*10000+1539,"")</f>
        <v/>
      </c>
      <c r="BM1540">
        <f>IF(AND(BH1540=1,AZ1540&lt;&gt;"Cancelled",N(AW1540)&gt;=Dashboard!$AB$3,N(AW1540)&lt;=Dashboard!$AB$3+6),(AW1540-40000)*100000+BF1540*10000+1539,"")</f>
        <v/>
      </c>
      <c r="BN1540">
        <f>IF(AND(BH1540=1,AZ1540&lt;&gt;"Cancelled"),BF1540*10000+1539,"")</f>
        <v/>
      </c>
    </row>
    <row r="1541">
      <c r="AS1541" t="inlineStr">
        <is>
          <t>V</t>
        </is>
      </c>
      <c r="AT1541" t="n">
        <v>45</v>
      </c>
      <c r="AU1541">
        <f>'Variable Tasks'!C45&amp;""</f>
        <v/>
      </c>
      <c r="AV1541">
        <f>'Variable Tasks'!D45&amp;""</f>
        <v/>
      </c>
      <c r="AW1541">
        <f>IF('Variable Tasks'!E45="","",'Variable Tasks'!E45)</f>
        <v/>
      </c>
      <c r="AX1541">
        <f>IF('Variable Tasks'!G45="","",'Variable Tasks'!G45)</f>
        <v/>
      </c>
      <c r="AY1541">
        <f>IF('Variable Tasks'!H45="","",'Variable Tasks'!H45)</f>
        <v/>
      </c>
      <c r="AZ1541">
        <f>IF(AU1541="","",IF('Variable Tasks'!J45="","Not Started",'Variable Tasks'!J45))</f>
        <v/>
      </c>
      <c r="BA1541">
        <f>'Variable Tasks'!L45&amp;""</f>
        <v/>
      </c>
      <c r="BB1541">
        <f>'Variable Tasks'!M45&amp;""</f>
        <v/>
      </c>
      <c r="BC1541">
        <f>'Variable Tasks'!N45&amp;""</f>
        <v/>
      </c>
      <c r="BD1541">
        <f>'Variable Tasks'!O45&amp;""</f>
        <v/>
      </c>
      <c r="BE1541">
        <f>IF('Variable Tasks'!K45="","",'Variable Tasks'!K45)</f>
        <v/>
      </c>
      <c r="BF1541">
        <f>IFERROR(MATCH(BA1541,Setup!$L$6:$L$9,0),5)</f>
        <v/>
      </c>
      <c r="BG1541">
        <f>IF(OR(AZ1541="Done",AZ1541="Cancelled"),1,0)</f>
        <v/>
      </c>
      <c r="BH1541">
        <f>IF(AND(AU1541&lt;&gt;"",ISNUMBER(AW1541)),1,0)</f>
        <v/>
      </c>
      <c r="BI1541">
        <f>IF(BH1541=0,0,IF(AND(AW1541&gt;='Tasks Filter'!$F$3,AW1541&lt;='Tasks Filter'!$F$4,OR('Tasks Filter'!$I$3="",ISNUMBER(SEARCH('Tasks Filter'!$I$3,AU1541))),OR('Tasks Filter'!$I$4="",BF1541=IFERROR(MATCH('Tasks Filter'!$I$4,Setup!$L$6:$L$9,0),0)),OR('Tasks Filter'!$I$5="Both",AND('Tasks Filter'!$I$5="Yes",BB1541="✓"),AND('Tasks Filter'!$I$5="No",BB1541&lt;&gt;"✓")),OR('Tasks Filter'!$L$3="",AV1541='Tasks Filter'!$L$3),OR('Tasks Filter'!$L$4="",AZ1541='Tasks Filter'!$L$4),OR('Tasks Filter'!$L$5="",BC1541='Tasks Filter'!$L$5),OR('Tasks Filter'!$O$3="",BD1541='Tasks Filter'!$O$3),OR('Tasks Filter'!$O$4="Yes",BG1541=0)),1,0))</f>
        <v/>
      </c>
      <c r="BJ1541">
        <f>IF(BH1541=0,"",IF('Tasks Filter'!$F$6="Descending",-1,1)*CHOOSE(MATCH('Tasks Filter'!$F$5,Lists!$G$2:$G$6,0),AW1541,BF1541,IFERROR(MATCH(AV1541,Setup!$F$6:$F$15,0),99),IFERROR(MATCH(BC1541,Setup!$H$6:$H$15,0),99),IFERROR(MATCH(AZ1541,Setup!$J$6:$J$11,0),99))*1E+9+(AW1541-40000)*10000+1540)</f>
        <v/>
      </c>
      <c r="BK1541">
        <f>IF(BI1541=1,BJ1541,"")</f>
        <v/>
      </c>
      <c r="BL1541">
        <f>IF(AND(BH1541=1,BG1541=0,N(AW1541)&lt;Setup!$D$7),(AW1541-40000)*10000+1540,"")</f>
        <v/>
      </c>
      <c r="BM1541">
        <f>IF(AND(BH1541=1,AZ1541&lt;&gt;"Cancelled",N(AW1541)&gt;=Dashboard!$AB$3,N(AW1541)&lt;=Dashboard!$AB$3+6),(AW1541-40000)*100000+BF1541*10000+1540,"")</f>
        <v/>
      </c>
      <c r="BN1541">
        <f>IF(AND(BH1541=1,AZ1541&lt;&gt;"Cancelled"),BF1541*10000+1540,"")</f>
        <v/>
      </c>
    </row>
    <row r="1542">
      <c r="AS1542" t="inlineStr">
        <is>
          <t>V</t>
        </is>
      </c>
      <c r="AT1542" t="n">
        <v>46</v>
      </c>
      <c r="AU1542">
        <f>'Variable Tasks'!C46&amp;""</f>
        <v/>
      </c>
      <c r="AV1542">
        <f>'Variable Tasks'!D46&amp;""</f>
        <v/>
      </c>
      <c r="AW1542">
        <f>IF('Variable Tasks'!E46="","",'Variable Tasks'!E46)</f>
        <v/>
      </c>
      <c r="AX1542">
        <f>IF('Variable Tasks'!G46="","",'Variable Tasks'!G46)</f>
        <v/>
      </c>
      <c r="AY1542">
        <f>IF('Variable Tasks'!H46="","",'Variable Tasks'!H46)</f>
        <v/>
      </c>
      <c r="AZ1542">
        <f>IF(AU1542="","",IF('Variable Tasks'!J46="","Not Started",'Variable Tasks'!J46))</f>
        <v/>
      </c>
      <c r="BA1542">
        <f>'Variable Tasks'!L46&amp;""</f>
        <v/>
      </c>
      <c r="BB1542">
        <f>'Variable Tasks'!M46&amp;""</f>
        <v/>
      </c>
      <c r="BC1542">
        <f>'Variable Tasks'!N46&amp;""</f>
        <v/>
      </c>
      <c r="BD1542">
        <f>'Variable Tasks'!O46&amp;""</f>
        <v/>
      </c>
      <c r="BE1542">
        <f>IF('Variable Tasks'!K46="","",'Variable Tasks'!K46)</f>
        <v/>
      </c>
      <c r="BF1542">
        <f>IFERROR(MATCH(BA1542,Setup!$L$6:$L$9,0),5)</f>
        <v/>
      </c>
      <c r="BG1542">
        <f>IF(OR(AZ1542="Done",AZ1542="Cancelled"),1,0)</f>
        <v/>
      </c>
      <c r="BH1542">
        <f>IF(AND(AU1542&lt;&gt;"",ISNUMBER(AW1542)),1,0)</f>
        <v/>
      </c>
      <c r="BI1542">
        <f>IF(BH1542=0,0,IF(AND(AW1542&gt;='Tasks Filter'!$F$3,AW1542&lt;='Tasks Filter'!$F$4,OR('Tasks Filter'!$I$3="",ISNUMBER(SEARCH('Tasks Filter'!$I$3,AU1542))),OR('Tasks Filter'!$I$4="",BF1542=IFERROR(MATCH('Tasks Filter'!$I$4,Setup!$L$6:$L$9,0),0)),OR('Tasks Filter'!$I$5="Both",AND('Tasks Filter'!$I$5="Yes",BB1542="✓"),AND('Tasks Filter'!$I$5="No",BB1542&lt;&gt;"✓")),OR('Tasks Filter'!$L$3="",AV1542='Tasks Filter'!$L$3),OR('Tasks Filter'!$L$4="",AZ1542='Tasks Filter'!$L$4),OR('Tasks Filter'!$L$5="",BC1542='Tasks Filter'!$L$5),OR('Tasks Filter'!$O$3="",BD1542='Tasks Filter'!$O$3),OR('Tasks Filter'!$O$4="Yes",BG1542=0)),1,0))</f>
        <v/>
      </c>
      <c r="BJ1542">
        <f>IF(BH1542=0,"",IF('Tasks Filter'!$F$6="Descending",-1,1)*CHOOSE(MATCH('Tasks Filter'!$F$5,Lists!$G$2:$G$6,0),AW1542,BF1542,IFERROR(MATCH(AV1542,Setup!$F$6:$F$15,0),99),IFERROR(MATCH(BC1542,Setup!$H$6:$H$15,0),99),IFERROR(MATCH(AZ1542,Setup!$J$6:$J$11,0),99))*1E+9+(AW1542-40000)*10000+1541)</f>
        <v/>
      </c>
      <c r="BK1542">
        <f>IF(BI1542=1,BJ1542,"")</f>
        <v/>
      </c>
      <c r="BL1542">
        <f>IF(AND(BH1542=1,BG1542=0,N(AW1542)&lt;Setup!$D$7),(AW1542-40000)*10000+1541,"")</f>
        <v/>
      </c>
      <c r="BM1542">
        <f>IF(AND(BH1542=1,AZ1542&lt;&gt;"Cancelled",N(AW1542)&gt;=Dashboard!$AB$3,N(AW1542)&lt;=Dashboard!$AB$3+6),(AW1542-40000)*100000+BF1542*10000+1541,"")</f>
        <v/>
      </c>
      <c r="BN1542">
        <f>IF(AND(BH1542=1,AZ1542&lt;&gt;"Cancelled"),BF1542*10000+1541,"")</f>
        <v/>
      </c>
    </row>
    <row r="1543">
      <c r="AS1543" t="inlineStr">
        <is>
          <t>V</t>
        </is>
      </c>
      <c r="AT1543" t="n">
        <v>47</v>
      </c>
      <c r="AU1543">
        <f>'Variable Tasks'!C47&amp;""</f>
        <v/>
      </c>
      <c r="AV1543">
        <f>'Variable Tasks'!D47&amp;""</f>
        <v/>
      </c>
      <c r="AW1543">
        <f>IF('Variable Tasks'!E47="","",'Variable Tasks'!E47)</f>
        <v/>
      </c>
      <c r="AX1543">
        <f>IF('Variable Tasks'!G47="","",'Variable Tasks'!G47)</f>
        <v/>
      </c>
      <c r="AY1543">
        <f>IF('Variable Tasks'!H47="","",'Variable Tasks'!H47)</f>
        <v/>
      </c>
      <c r="AZ1543">
        <f>IF(AU1543="","",IF('Variable Tasks'!J47="","Not Started",'Variable Tasks'!J47))</f>
        <v/>
      </c>
      <c r="BA1543">
        <f>'Variable Tasks'!L47&amp;""</f>
        <v/>
      </c>
      <c r="BB1543">
        <f>'Variable Tasks'!M47&amp;""</f>
        <v/>
      </c>
      <c r="BC1543">
        <f>'Variable Tasks'!N47&amp;""</f>
        <v/>
      </c>
      <c r="BD1543">
        <f>'Variable Tasks'!O47&amp;""</f>
        <v/>
      </c>
      <c r="BE1543">
        <f>IF('Variable Tasks'!K47="","",'Variable Tasks'!K47)</f>
        <v/>
      </c>
      <c r="BF1543">
        <f>IFERROR(MATCH(BA1543,Setup!$L$6:$L$9,0),5)</f>
        <v/>
      </c>
      <c r="BG1543">
        <f>IF(OR(AZ1543="Done",AZ1543="Cancelled"),1,0)</f>
        <v/>
      </c>
      <c r="BH1543">
        <f>IF(AND(AU1543&lt;&gt;"",ISNUMBER(AW1543)),1,0)</f>
        <v/>
      </c>
      <c r="BI1543">
        <f>IF(BH1543=0,0,IF(AND(AW1543&gt;='Tasks Filter'!$F$3,AW1543&lt;='Tasks Filter'!$F$4,OR('Tasks Filter'!$I$3="",ISNUMBER(SEARCH('Tasks Filter'!$I$3,AU1543))),OR('Tasks Filter'!$I$4="",BF1543=IFERROR(MATCH('Tasks Filter'!$I$4,Setup!$L$6:$L$9,0),0)),OR('Tasks Filter'!$I$5="Both",AND('Tasks Filter'!$I$5="Yes",BB1543="✓"),AND('Tasks Filter'!$I$5="No",BB1543&lt;&gt;"✓")),OR('Tasks Filter'!$L$3="",AV1543='Tasks Filter'!$L$3),OR('Tasks Filter'!$L$4="",AZ1543='Tasks Filter'!$L$4),OR('Tasks Filter'!$L$5="",BC1543='Tasks Filter'!$L$5),OR('Tasks Filter'!$O$3="",BD1543='Tasks Filter'!$O$3),OR('Tasks Filter'!$O$4="Yes",BG1543=0)),1,0))</f>
        <v/>
      </c>
      <c r="BJ1543">
        <f>IF(BH1543=0,"",IF('Tasks Filter'!$F$6="Descending",-1,1)*CHOOSE(MATCH('Tasks Filter'!$F$5,Lists!$G$2:$G$6,0),AW1543,BF1543,IFERROR(MATCH(AV1543,Setup!$F$6:$F$15,0),99),IFERROR(MATCH(BC1543,Setup!$H$6:$H$15,0),99),IFERROR(MATCH(AZ1543,Setup!$J$6:$J$11,0),99))*1E+9+(AW1543-40000)*10000+1542)</f>
        <v/>
      </c>
      <c r="BK1543">
        <f>IF(BI1543=1,BJ1543,"")</f>
        <v/>
      </c>
      <c r="BL1543">
        <f>IF(AND(BH1543=1,BG1543=0,N(AW1543)&lt;Setup!$D$7),(AW1543-40000)*10000+1542,"")</f>
        <v/>
      </c>
      <c r="BM1543">
        <f>IF(AND(BH1543=1,AZ1543&lt;&gt;"Cancelled",N(AW1543)&gt;=Dashboard!$AB$3,N(AW1543)&lt;=Dashboard!$AB$3+6),(AW1543-40000)*100000+BF1543*10000+1542,"")</f>
        <v/>
      </c>
      <c r="BN1543">
        <f>IF(AND(BH1543=1,AZ1543&lt;&gt;"Cancelled"),BF1543*10000+1542,"")</f>
        <v/>
      </c>
    </row>
    <row r="1544">
      <c r="AS1544" t="inlineStr">
        <is>
          <t>V</t>
        </is>
      </c>
      <c r="AT1544" t="n">
        <v>48</v>
      </c>
      <c r="AU1544">
        <f>'Variable Tasks'!C48&amp;""</f>
        <v/>
      </c>
      <c r="AV1544">
        <f>'Variable Tasks'!D48&amp;""</f>
        <v/>
      </c>
      <c r="AW1544">
        <f>IF('Variable Tasks'!E48="","",'Variable Tasks'!E48)</f>
        <v/>
      </c>
      <c r="AX1544">
        <f>IF('Variable Tasks'!G48="","",'Variable Tasks'!G48)</f>
        <v/>
      </c>
      <c r="AY1544">
        <f>IF('Variable Tasks'!H48="","",'Variable Tasks'!H48)</f>
        <v/>
      </c>
      <c r="AZ1544">
        <f>IF(AU1544="","",IF('Variable Tasks'!J48="","Not Started",'Variable Tasks'!J48))</f>
        <v/>
      </c>
      <c r="BA1544">
        <f>'Variable Tasks'!L48&amp;""</f>
        <v/>
      </c>
      <c r="BB1544">
        <f>'Variable Tasks'!M48&amp;""</f>
        <v/>
      </c>
      <c r="BC1544">
        <f>'Variable Tasks'!N48&amp;""</f>
        <v/>
      </c>
      <c r="BD1544">
        <f>'Variable Tasks'!O48&amp;""</f>
        <v/>
      </c>
      <c r="BE1544">
        <f>IF('Variable Tasks'!K48="","",'Variable Tasks'!K48)</f>
        <v/>
      </c>
      <c r="BF1544">
        <f>IFERROR(MATCH(BA1544,Setup!$L$6:$L$9,0),5)</f>
        <v/>
      </c>
      <c r="BG1544">
        <f>IF(OR(AZ1544="Done",AZ1544="Cancelled"),1,0)</f>
        <v/>
      </c>
      <c r="BH1544">
        <f>IF(AND(AU1544&lt;&gt;"",ISNUMBER(AW1544)),1,0)</f>
        <v/>
      </c>
      <c r="BI1544">
        <f>IF(BH1544=0,0,IF(AND(AW1544&gt;='Tasks Filter'!$F$3,AW1544&lt;='Tasks Filter'!$F$4,OR('Tasks Filter'!$I$3="",ISNUMBER(SEARCH('Tasks Filter'!$I$3,AU1544))),OR('Tasks Filter'!$I$4="",BF1544=IFERROR(MATCH('Tasks Filter'!$I$4,Setup!$L$6:$L$9,0),0)),OR('Tasks Filter'!$I$5="Both",AND('Tasks Filter'!$I$5="Yes",BB1544="✓"),AND('Tasks Filter'!$I$5="No",BB1544&lt;&gt;"✓")),OR('Tasks Filter'!$L$3="",AV1544='Tasks Filter'!$L$3),OR('Tasks Filter'!$L$4="",AZ1544='Tasks Filter'!$L$4),OR('Tasks Filter'!$L$5="",BC1544='Tasks Filter'!$L$5),OR('Tasks Filter'!$O$3="",BD1544='Tasks Filter'!$O$3),OR('Tasks Filter'!$O$4="Yes",BG1544=0)),1,0))</f>
        <v/>
      </c>
      <c r="BJ1544">
        <f>IF(BH1544=0,"",IF('Tasks Filter'!$F$6="Descending",-1,1)*CHOOSE(MATCH('Tasks Filter'!$F$5,Lists!$G$2:$G$6,0),AW1544,BF1544,IFERROR(MATCH(AV1544,Setup!$F$6:$F$15,0),99),IFERROR(MATCH(BC1544,Setup!$H$6:$H$15,0),99),IFERROR(MATCH(AZ1544,Setup!$J$6:$J$11,0),99))*1E+9+(AW1544-40000)*10000+1543)</f>
        <v/>
      </c>
      <c r="BK1544">
        <f>IF(BI1544=1,BJ1544,"")</f>
        <v/>
      </c>
      <c r="BL1544">
        <f>IF(AND(BH1544=1,BG1544=0,N(AW1544)&lt;Setup!$D$7),(AW1544-40000)*10000+1543,"")</f>
        <v/>
      </c>
      <c r="BM1544">
        <f>IF(AND(BH1544=1,AZ1544&lt;&gt;"Cancelled",N(AW1544)&gt;=Dashboard!$AB$3,N(AW1544)&lt;=Dashboard!$AB$3+6),(AW1544-40000)*100000+BF1544*10000+1543,"")</f>
        <v/>
      </c>
      <c r="BN1544">
        <f>IF(AND(BH1544=1,AZ1544&lt;&gt;"Cancelled"),BF1544*10000+1543,"")</f>
        <v/>
      </c>
    </row>
    <row r="1545">
      <c r="AS1545" t="inlineStr">
        <is>
          <t>V</t>
        </is>
      </c>
      <c r="AT1545" t="n">
        <v>49</v>
      </c>
      <c r="AU1545">
        <f>'Variable Tasks'!C49&amp;""</f>
        <v/>
      </c>
      <c r="AV1545">
        <f>'Variable Tasks'!D49&amp;""</f>
        <v/>
      </c>
      <c r="AW1545">
        <f>IF('Variable Tasks'!E49="","",'Variable Tasks'!E49)</f>
        <v/>
      </c>
      <c r="AX1545">
        <f>IF('Variable Tasks'!G49="","",'Variable Tasks'!G49)</f>
        <v/>
      </c>
      <c r="AY1545">
        <f>IF('Variable Tasks'!H49="","",'Variable Tasks'!H49)</f>
        <v/>
      </c>
      <c r="AZ1545">
        <f>IF(AU1545="","",IF('Variable Tasks'!J49="","Not Started",'Variable Tasks'!J49))</f>
        <v/>
      </c>
      <c r="BA1545">
        <f>'Variable Tasks'!L49&amp;""</f>
        <v/>
      </c>
      <c r="BB1545">
        <f>'Variable Tasks'!M49&amp;""</f>
        <v/>
      </c>
      <c r="BC1545">
        <f>'Variable Tasks'!N49&amp;""</f>
        <v/>
      </c>
      <c r="BD1545">
        <f>'Variable Tasks'!O49&amp;""</f>
        <v/>
      </c>
      <c r="BE1545">
        <f>IF('Variable Tasks'!K49="","",'Variable Tasks'!K49)</f>
        <v/>
      </c>
      <c r="BF1545">
        <f>IFERROR(MATCH(BA1545,Setup!$L$6:$L$9,0),5)</f>
        <v/>
      </c>
      <c r="BG1545">
        <f>IF(OR(AZ1545="Done",AZ1545="Cancelled"),1,0)</f>
        <v/>
      </c>
      <c r="BH1545">
        <f>IF(AND(AU1545&lt;&gt;"",ISNUMBER(AW1545)),1,0)</f>
        <v/>
      </c>
      <c r="BI1545">
        <f>IF(BH1545=0,0,IF(AND(AW1545&gt;='Tasks Filter'!$F$3,AW1545&lt;='Tasks Filter'!$F$4,OR('Tasks Filter'!$I$3="",ISNUMBER(SEARCH('Tasks Filter'!$I$3,AU1545))),OR('Tasks Filter'!$I$4="",BF1545=IFERROR(MATCH('Tasks Filter'!$I$4,Setup!$L$6:$L$9,0),0)),OR('Tasks Filter'!$I$5="Both",AND('Tasks Filter'!$I$5="Yes",BB1545="✓"),AND('Tasks Filter'!$I$5="No",BB1545&lt;&gt;"✓")),OR('Tasks Filter'!$L$3="",AV1545='Tasks Filter'!$L$3),OR('Tasks Filter'!$L$4="",AZ1545='Tasks Filter'!$L$4),OR('Tasks Filter'!$L$5="",BC1545='Tasks Filter'!$L$5),OR('Tasks Filter'!$O$3="",BD1545='Tasks Filter'!$O$3),OR('Tasks Filter'!$O$4="Yes",BG1545=0)),1,0))</f>
        <v/>
      </c>
      <c r="BJ1545">
        <f>IF(BH1545=0,"",IF('Tasks Filter'!$F$6="Descending",-1,1)*CHOOSE(MATCH('Tasks Filter'!$F$5,Lists!$G$2:$G$6,0),AW1545,BF1545,IFERROR(MATCH(AV1545,Setup!$F$6:$F$15,0),99),IFERROR(MATCH(BC1545,Setup!$H$6:$H$15,0),99),IFERROR(MATCH(AZ1545,Setup!$J$6:$J$11,0),99))*1E+9+(AW1545-40000)*10000+1544)</f>
        <v/>
      </c>
      <c r="BK1545">
        <f>IF(BI1545=1,BJ1545,"")</f>
        <v/>
      </c>
      <c r="BL1545">
        <f>IF(AND(BH1545=1,BG1545=0,N(AW1545)&lt;Setup!$D$7),(AW1545-40000)*10000+1544,"")</f>
        <v/>
      </c>
      <c r="BM1545">
        <f>IF(AND(BH1545=1,AZ1545&lt;&gt;"Cancelled",N(AW1545)&gt;=Dashboard!$AB$3,N(AW1545)&lt;=Dashboard!$AB$3+6),(AW1545-40000)*100000+BF1545*10000+1544,"")</f>
        <v/>
      </c>
      <c r="BN1545">
        <f>IF(AND(BH1545=1,AZ1545&lt;&gt;"Cancelled"),BF1545*10000+1544,"")</f>
        <v/>
      </c>
    </row>
    <row r="1546">
      <c r="AS1546" t="inlineStr">
        <is>
          <t>V</t>
        </is>
      </c>
      <c r="AT1546" t="n">
        <v>50</v>
      </c>
      <c r="AU1546">
        <f>'Variable Tasks'!C50&amp;""</f>
        <v/>
      </c>
      <c r="AV1546">
        <f>'Variable Tasks'!D50&amp;""</f>
        <v/>
      </c>
      <c r="AW1546">
        <f>IF('Variable Tasks'!E50="","",'Variable Tasks'!E50)</f>
        <v/>
      </c>
      <c r="AX1546">
        <f>IF('Variable Tasks'!G50="","",'Variable Tasks'!G50)</f>
        <v/>
      </c>
      <c r="AY1546">
        <f>IF('Variable Tasks'!H50="","",'Variable Tasks'!H50)</f>
        <v/>
      </c>
      <c r="AZ1546">
        <f>IF(AU1546="","",IF('Variable Tasks'!J50="","Not Started",'Variable Tasks'!J50))</f>
        <v/>
      </c>
      <c r="BA1546">
        <f>'Variable Tasks'!L50&amp;""</f>
        <v/>
      </c>
      <c r="BB1546">
        <f>'Variable Tasks'!M50&amp;""</f>
        <v/>
      </c>
      <c r="BC1546">
        <f>'Variable Tasks'!N50&amp;""</f>
        <v/>
      </c>
      <c r="BD1546">
        <f>'Variable Tasks'!O50&amp;""</f>
        <v/>
      </c>
      <c r="BE1546">
        <f>IF('Variable Tasks'!K50="","",'Variable Tasks'!K50)</f>
        <v/>
      </c>
      <c r="BF1546">
        <f>IFERROR(MATCH(BA1546,Setup!$L$6:$L$9,0),5)</f>
        <v/>
      </c>
      <c r="BG1546">
        <f>IF(OR(AZ1546="Done",AZ1546="Cancelled"),1,0)</f>
        <v/>
      </c>
      <c r="BH1546">
        <f>IF(AND(AU1546&lt;&gt;"",ISNUMBER(AW1546)),1,0)</f>
        <v/>
      </c>
      <c r="BI1546">
        <f>IF(BH1546=0,0,IF(AND(AW1546&gt;='Tasks Filter'!$F$3,AW1546&lt;='Tasks Filter'!$F$4,OR('Tasks Filter'!$I$3="",ISNUMBER(SEARCH('Tasks Filter'!$I$3,AU1546))),OR('Tasks Filter'!$I$4="",BF1546=IFERROR(MATCH('Tasks Filter'!$I$4,Setup!$L$6:$L$9,0),0)),OR('Tasks Filter'!$I$5="Both",AND('Tasks Filter'!$I$5="Yes",BB1546="✓"),AND('Tasks Filter'!$I$5="No",BB1546&lt;&gt;"✓")),OR('Tasks Filter'!$L$3="",AV1546='Tasks Filter'!$L$3),OR('Tasks Filter'!$L$4="",AZ1546='Tasks Filter'!$L$4),OR('Tasks Filter'!$L$5="",BC1546='Tasks Filter'!$L$5),OR('Tasks Filter'!$O$3="",BD1546='Tasks Filter'!$O$3),OR('Tasks Filter'!$O$4="Yes",BG1546=0)),1,0))</f>
        <v/>
      </c>
      <c r="BJ1546">
        <f>IF(BH1546=0,"",IF('Tasks Filter'!$F$6="Descending",-1,1)*CHOOSE(MATCH('Tasks Filter'!$F$5,Lists!$G$2:$G$6,0),AW1546,BF1546,IFERROR(MATCH(AV1546,Setup!$F$6:$F$15,0),99),IFERROR(MATCH(BC1546,Setup!$H$6:$H$15,0),99),IFERROR(MATCH(AZ1546,Setup!$J$6:$J$11,0),99))*1E+9+(AW1546-40000)*10000+1545)</f>
        <v/>
      </c>
      <c r="BK1546">
        <f>IF(BI1546=1,BJ1546,"")</f>
        <v/>
      </c>
      <c r="BL1546">
        <f>IF(AND(BH1546=1,BG1546=0,N(AW1546)&lt;Setup!$D$7),(AW1546-40000)*10000+1545,"")</f>
        <v/>
      </c>
      <c r="BM1546">
        <f>IF(AND(BH1546=1,AZ1546&lt;&gt;"Cancelled",N(AW1546)&gt;=Dashboard!$AB$3,N(AW1546)&lt;=Dashboard!$AB$3+6),(AW1546-40000)*100000+BF1546*10000+1545,"")</f>
        <v/>
      </c>
      <c r="BN1546">
        <f>IF(AND(BH1546=1,AZ1546&lt;&gt;"Cancelled"),BF1546*10000+1545,"")</f>
        <v/>
      </c>
    </row>
    <row r="1547">
      <c r="AS1547" t="inlineStr">
        <is>
          <t>V</t>
        </is>
      </c>
      <c r="AT1547" t="n">
        <v>51</v>
      </c>
      <c r="AU1547">
        <f>'Variable Tasks'!C51&amp;""</f>
        <v/>
      </c>
      <c r="AV1547">
        <f>'Variable Tasks'!D51&amp;""</f>
        <v/>
      </c>
      <c r="AW1547">
        <f>IF('Variable Tasks'!E51="","",'Variable Tasks'!E51)</f>
        <v/>
      </c>
      <c r="AX1547">
        <f>IF('Variable Tasks'!G51="","",'Variable Tasks'!G51)</f>
        <v/>
      </c>
      <c r="AY1547">
        <f>IF('Variable Tasks'!H51="","",'Variable Tasks'!H51)</f>
        <v/>
      </c>
      <c r="AZ1547">
        <f>IF(AU1547="","",IF('Variable Tasks'!J51="","Not Started",'Variable Tasks'!J51))</f>
        <v/>
      </c>
      <c r="BA1547">
        <f>'Variable Tasks'!L51&amp;""</f>
        <v/>
      </c>
      <c r="BB1547">
        <f>'Variable Tasks'!M51&amp;""</f>
        <v/>
      </c>
      <c r="BC1547">
        <f>'Variable Tasks'!N51&amp;""</f>
        <v/>
      </c>
      <c r="BD1547">
        <f>'Variable Tasks'!O51&amp;""</f>
        <v/>
      </c>
      <c r="BE1547">
        <f>IF('Variable Tasks'!K51="","",'Variable Tasks'!K51)</f>
        <v/>
      </c>
      <c r="BF1547">
        <f>IFERROR(MATCH(BA1547,Setup!$L$6:$L$9,0),5)</f>
        <v/>
      </c>
      <c r="BG1547">
        <f>IF(OR(AZ1547="Done",AZ1547="Cancelled"),1,0)</f>
        <v/>
      </c>
      <c r="BH1547">
        <f>IF(AND(AU1547&lt;&gt;"",ISNUMBER(AW1547)),1,0)</f>
        <v/>
      </c>
      <c r="BI1547">
        <f>IF(BH1547=0,0,IF(AND(AW1547&gt;='Tasks Filter'!$F$3,AW1547&lt;='Tasks Filter'!$F$4,OR('Tasks Filter'!$I$3="",ISNUMBER(SEARCH('Tasks Filter'!$I$3,AU1547))),OR('Tasks Filter'!$I$4="",BF1547=IFERROR(MATCH('Tasks Filter'!$I$4,Setup!$L$6:$L$9,0),0)),OR('Tasks Filter'!$I$5="Both",AND('Tasks Filter'!$I$5="Yes",BB1547="✓"),AND('Tasks Filter'!$I$5="No",BB1547&lt;&gt;"✓")),OR('Tasks Filter'!$L$3="",AV1547='Tasks Filter'!$L$3),OR('Tasks Filter'!$L$4="",AZ1547='Tasks Filter'!$L$4),OR('Tasks Filter'!$L$5="",BC1547='Tasks Filter'!$L$5),OR('Tasks Filter'!$O$3="",BD1547='Tasks Filter'!$O$3),OR('Tasks Filter'!$O$4="Yes",BG1547=0)),1,0))</f>
        <v/>
      </c>
      <c r="BJ1547">
        <f>IF(BH1547=0,"",IF('Tasks Filter'!$F$6="Descending",-1,1)*CHOOSE(MATCH('Tasks Filter'!$F$5,Lists!$G$2:$G$6,0),AW1547,BF1547,IFERROR(MATCH(AV1547,Setup!$F$6:$F$15,0),99),IFERROR(MATCH(BC1547,Setup!$H$6:$H$15,0),99),IFERROR(MATCH(AZ1547,Setup!$J$6:$J$11,0),99))*1E+9+(AW1547-40000)*10000+1546)</f>
        <v/>
      </c>
      <c r="BK1547">
        <f>IF(BI1547=1,BJ1547,"")</f>
        <v/>
      </c>
      <c r="BL1547">
        <f>IF(AND(BH1547=1,BG1547=0,N(AW1547)&lt;Setup!$D$7),(AW1547-40000)*10000+1546,"")</f>
        <v/>
      </c>
      <c r="BM1547">
        <f>IF(AND(BH1547=1,AZ1547&lt;&gt;"Cancelled",N(AW1547)&gt;=Dashboard!$AB$3,N(AW1547)&lt;=Dashboard!$AB$3+6),(AW1547-40000)*100000+BF1547*10000+1546,"")</f>
        <v/>
      </c>
      <c r="BN1547">
        <f>IF(AND(BH1547=1,AZ1547&lt;&gt;"Cancelled"),BF1547*10000+1546,"")</f>
        <v/>
      </c>
    </row>
    <row r="1548">
      <c r="AS1548" t="inlineStr">
        <is>
          <t>V</t>
        </is>
      </c>
      <c r="AT1548" t="n">
        <v>52</v>
      </c>
      <c r="AU1548">
        <f>'Variable Tasks'!C52&amp;""</f>
        <v/>
      </c>
      <c r="AV1548">
        <f>'Variable Tasks'!D52&amp;""</f>
        <v/>
      </c>
      <c r="AW1548">
        <f>IF('Variable Tasks'!E52="","",'Variable Tasks'!E52)</f>
        <v/>
      </c>
      <c r="AX1548">
        <f>IF('Variable Tasks'!G52="","",'Variable Tasks'!G52)</f>
        <v/>
      </c>
      <c r="AY1548">
        <f>IF('Variable Tasks'!H52="","",'Variable Tasks'!H52)</f>
        <v/>
      </c>
      <c r="AZ1548">
        <f>IF(AU1548="","",IF('Variable Tasks'!J52="","Not Started",'Variable Tasks'!J52))</f>
        <v/>
      </c>
      <c r="BA1548">
        <f>'Variable Tasks'!L52&amp;""</f>
        <v/>
      </c>
      <c r="BB1548">
        <f>'Variable Tasks'!M52&amp;""</f>
        <v/>
      </c>
      <c r="BC1548">
        <f>'Variable Tasks'!N52&amp;""</f>
        <v/>
      </c>
      <c r="BD1548">
        <f>'Variable Tasks'!O52&amp;""</f>
        <v/>
      </c>
      <c r="BE1548">
        <f>IF('Variable Tasks'!K52="","",'Variable Tasks'!K52)</f>
        <v/>
      </c>
      <c r="BF1548">
        <f>IFERROR(MATCH(BA1548,Setup!$L$6:$L$9,0),5)</f>
        <v/>
      </c>
      <c r="BG1548">
        <f>IF(OR(AZ1548="Done",AZ1548="Cancelled"),1,0)</f>
        <v/>
      </c>
      <c r="BH1548">
        <f>IF(AND(AU1548&lt;&gt;"",ISNUMBER(AW1548)),1,0)</f>
        <v/>
      </c>
      <c r="BI1548">
        <f>IF(BH1548=0,0,IF(AND(AW1548&gt;='Tasks Filter'!$F$3,AW1548&lt;='Tasks Filter'!$F$4,OR('Tasks Filter'!$I$3="",ISNUMBER(SEARCH('Tasks Filter'!$I$3,AU1548))),OR('Tasks Filter'!$I$4="",BF1548=IFERROR(MATCH('Tasks Filter'!$I$4,Setup!$L$6:$L$9,0),0)),OR('Tasks Filter'!$I$5="Both",AND('Tasks Filter'!$I$5="Yes",BB1548="✓"),AND('Tasks Filter'!$I$5="No",BB1548&lt;&gt;"✓")),OR('Tasks Filter'!$L$3="",AV1548='Tasks Filter'!$L$3),OR('Tasks Filter'!$L$4="",AZ1548='Tasks Filter'!$L$4),OR('Tasks Filter'!$L$5="",BC1548='Tasks Filter'!$L$5),OR('Tasks Filter'!$O$3="",BD1548='Tasks Filter'!$O$3),OR('Tasks Filter'!$O$4="Yes",BG1548=0)),1,0))</f>
        <v/>
      </c>
      <c r="BJ1548">
        <f>IF(BH1548=0,"",IF('Tasks Filter'!$F$6="Descending",-1,1)*CHOOSE(MATCH('Tasks Filter'!$F$5,Lists!$G$2:$G$6,0),AW1548,BF1548,IFERROR(MATCH(AV1548,Setup!$F$6:$F$15,0),99),IFERROR(MATCH(BC1548,Setup!$H$6:$H$15,0),99),IFERROR(MATCH(AZ1548,Setup!$J$6:$J$11,0),99))*1E+9+(AW1548-40000)*10000+1547)</f>
        <v/>
      </c>
      <c r="BK1548">
        <f>IF(BI1548=1,BJ1548,"")</f>
        <v/>
      </c>
      <c r="BL1548">
        <f>IF(AND(BH1548=1,BG1548=0,N(AW1548)&lt;Setup!$D$7),(AW1548-40000)*10000+1547,"")</f>
        <v/>
      </c>
      <c r="BM1548">
        <f>IF(AND(BH1548=1,AZ1548&lt;&gt;"Cancelled",N(AW1548)&gt;=Dashboard!$AB$3,N(AW1548)&lt;=Dashboard!$AB$3+6),(AW1548-40000)*100000+BF1548*10000+1547,"")</f>
        <v/>
      </c>
      <c r="BN1548">
        <f>IF(AND(BH1548=1,AZ1548&lt;&gt;"Cancelled"),BF1548*10000+1547,"")</f>
        <v/>
      </c>
    </row>
    <row r="1549">
      <c r="AS1549" t="inlineStr">
        <is>
          <t>V</t>
        </is>
      </c>
      <c r="AT1549" t="n">
        <v>53</v>
      </c>
      <c r="AU1549">
        <f>'Variable Tasks'!C53&amp;""</f>
        <v/>
      </c>
      <c r="AV1549">
        <f>'Variable Tasks'!D53&amp;""</f>
        <v/>
      </c>
      <c r="AW1549">
        <f>IF('Variable Tasks'!E53="","",'Variable Tasks'!E53)</f>
        <v/>
      </c>
      <c r="AX1549">
        <f>IF('Variable Tasks'!G53="","",'Variable Tasks'!G53)</f>
        <v/>
      </c>
      <c r="AY1549">
        <f>IF('Variable Tasks'!H53="","",'Variable Tasks'!H53)</f>
        <v/>
      </c>
      <c r="AZ1549">
        <f>IF(AU1549="","",IF('Variable Tasks'!J53="","Not Started",'Variable Tasks'!J53))</f>
        <v/>
      </c>
      <c r="BA1549">
        <f>'Variable Tasks'!L53&amp;""</f>
        <v/>
      </c>
      <c r="BB1549">
        <f>'Variable Tasks'!M53&amp;""</f>
        <v/>
      </c>
      <c r="BC1549">
        <f>'Variable Tasks'!N53&amp;""</f>
        <v/>
      </c>
      <c r="BD1549">
        <f>'Variable Tasks'!O53&amp;""</f>
        <v/>
      </c>
      <c r="BE1549">
        <f>IF('Variable Tasks'!K53="","",'Variable Tasks'!K53)</f>
        <v/>
      </c>
      <c r="BF1549">
        <f>IFERROR(MATCH(BA1549,Setup!$L$6:$L$9,0),5)</f>
        <v/>
      </c>
      <c r="BG1549">
        <f>IF(OR(AZ1549="Done",AZ1549="Cancelled"),1,0)</f>
        <v/>
      </c>
      <c r="BH1549">
        <f>IF(AND(AU1549&lt;&gt;"",ISNUMBER(AW1549)),1,0)</f>
        <v/>
      </c>
      <c r="BI1549">
        <f>IF(BH1549=0,0,IF(AND(AW1549&gt;='Tasks Filter'!$F$3,AW1549&lt;='Tasks Filter'!$F$4,OR('Tasks Filter'!$I$3="",ISNUMBER(SEARCH('Tasks Filter'!$I$3,AU1549))),OR('Tasks Filter'!$I$4="",BF1549=IFERROR(MATCH('Tasks Filter'!$I$4,Setup!$L$6:$L$9,0),0)),OR('Tasks Filter'!$I$5="Both",AND('Tasks Filter'!$I$5="Yes",BB1549="✓"),AND('Tasks Filter'!$I$5="No",BB1549&lt;&gt;"✓")),OR('Tasks Filter'!$L$3="",AV1549='Tasks Filter'!$L$3),OR('Tasks Filter'!$L$4="",AZ1549='Tasks Filter'!$L$4),OR('Tasks Filter'!$L$5="",BC1549='Tasks Filter'!$L$5),OR('Tasks Filter'!$O$3="",BD1549='Tasks Filter'!$O$3),OR('Tasks Filter'!$O$4="Yes",BG1549=0)),1,0))</f>
        <v/>
      </c>
      <c r="BJ1549">
        <f>IF(BH1549=0,"",IF('Tasks Filter'!$F$6="Descending",-1,1)*CHOOSE(MATCH('Tasks Filter'!$F$5,Lists!$G$2:$G$6,0),AW1549,BF1549,IFERROR(MATCH(AV1549,Setup!$F$6:$F$15,0),99),IFERROR(MATCH(BC1549,Setup!$H$6:$H$15,0),99),IFERROR(MATCH(AZ1549,Setup!$J$6:$J$11,0),99))*1E+9+(AW1549-40000)*10000+1548)</f>
        <v/>
      </c>
      <c r="BK1549">
        <f>IF(BI1549=1,BJ1549,"")</f>
        <v/>
      </c>
      <c r="BL1549">
        <f>IF(AND(BH1549=1,BG1549=0,N(AW1549)&lt;Setup!$D$7),(AW1549-40000)*10000+1548,"")</f>
        <v/>
      </c>
      <c r="BM1549">
        <f>IF(AND(BH1549=1,AZ1549&lt;&gt;"Cancelled",N(AW1549)&gt;=Dashboard!$AB$3,N(AW1549)&lt;=Dashboard!$AB$3+6),(AW1549-40000)*100000+BF1549*10000+1548,"")</f>
        <v/>
      </c>
      <c r="BN1549">
        <f>IF(AND(BH1549=1,AZ1549&lt;&gt;"Cancelled"),BF1549*10000+1548,"")</f>
        <v/>
      </c>
    </row>
    <row r="1550">
      <c r="AS1550" t="inlineStr">
        <is>
          <t>V</t>
        </is>
      </c>
      <c r="AT1550" t="n">
        <v>54</v>
      </c>
      <c r="AU1550">
        <f>'Variable Tasks'!C54&amp;""</f>
        <v/>
      </c>
      <c r="AV1550">
        <f>'Variable Tasks'!D54&amp;""</f>
        <v/>
      </c>
      <c r="AW1550">
        <f>IF('Variable Tasks'!E54="","",'Variable Tasks'!E54)</f>
        <v/>
      </c>
      <c r="AX1550">
        <f>IF('Variable Tasks'!G54="","",'Variable Tasks'!G54)</f>
        <v/>
      </c>
      <c r="AY1550">
        <f>IF('Variable Tasks'!H54="","",'Variable Tasks'!H54)</f>
        <v/>
      </c>
      <c r="AZ1550">
        <f>IF(AU1550="","",IF('Variable Tasks'!J54="","Not Started",'Variable Tasks'!J54))</f>
        <v/>
      </c>
      <c r="BA1550">
        <f>'Variable Tasks'!L54&amp;""</f>
        <v/>
      </c>
      <c r="BB1550">
        <f>'Variable Tasks'!M54&amp;""</f>
        <v/>
      </c>
      <c r="BC1550">
        <f>'Variable Tasks'!N54&amp;""</f>
        <v/>
      </c>
      <c r="BD1550">
        <f>'Variable Tasks'!O54&amp;""</f>
        <v/>
      </c>
      <c r="BE1550">
        <f>IF('Variable Tasks'!K54="","",'Variable Tasks'!K54)</f>
        <v/>
      </c>
      <c r="BF1550">
        <f>IFERROR(MATCH(BA1550,Setup!$L$6:$L$9,0),5)</f>
        <v/>
      </c>
      <c r="BG1550">
        <f>IF(OR(AZ1550="Done",AZ1550="Cancelled"),1,0)</f>
        <v/>
      </c>
      <c r="BH1550">
        <f>IF(AND(AU1550&lt;&gt;"",ISNUMBER(AW1550)),1,0)</f>
        <v/>
      </c>
      <c r="BI1550">
        <f>IF(BH1550=0,0,IF(AND(AW1550&gt;='Tasks Filter'!$F$3,AW1550&lt;='Tasks Filter'!$F$4,OR('Tasks Filter'!$I$3="",ISNUMBER(SEARCH('Tasks Filter'!$I$3,AU1550))),OR('Tasks Filter'!$I$4="",BF1550=IFERROR(MATCH('Tasks Filter'!$I$4,Setup!$L$6:$L$9,0),0)),OR('Tasks Filter'!$I$5="Both",AND('Tasks Filter'!$I$5="Yes",BB1550="✓"),AND('Tasks Filter'!$I$5="No",BB1550&lt;&gt;"✓")),OR('Tasks Filter'!$L$3="",AV1550='Tasks Filter'!$L$3),OR('Tasks Filter'!$L$4="",AZ1550='Tasks Filter'!$L$4),OR('Tasks Filter'!$L$5="",BC1550='Tasks Filter'!$L$5),OR('Tasks Filter'!$O$3="",BD1550='Tasks Filter'!$O$3),OR('Tasks Filter'!$O$4="Yes",BG1550=0)),1,0))</f>
        <v/>
      </c>
      <c r="BJ1550">
        <f>IF(BH1550=0,"",IF('Tasks Filter'!$F$6="Descending",-1,1)*CHOOSE(MATCH('Tasks Filter'!$F$5,Lists!$G$2:$G$6,0),AW1550,BF1550,IFERROR(MATCH(AV1550,Setup!$F$6:$F$15,0),99),IFERROR(MATCH(BC1550,Setup!$H$6:$H$15,0),99),IFERROR(MATCH(AZ1550,Setup!$J$6:$J$11,0),99))*1E+9+(AW1550-40000)*10000+1549)</f>
        <v/>
      </c>
      <c r="BK1550">
        <f>IF(BI1550=1,BJ1550,"")</f>
        <v/>
      </c>
      <c r="BL1550">
        <f>IF(AND(BH1550=1,BG1550=0,N(AW1550)&lt;Setup!$D$7),(AW1550-40000)*10000+1549,"")</f>
        <v/>
      </c>
      <c r="BM1550">
        <f>IF(AND(BH1550=1,AZ1550&lt;&gt;"Cancelled",N(AW1550)&gt;=Dashboard!$AB$3,N(AW1550)&lt;=Dashboard!$AB$3+6),(AW1550-40000)*100000+BF1550*10000+1549,"")</f>
        <v/>
      </c>
      <c r="BN1550">
        <f>IF(AND(BH1550=1,AZ1550&lt;&gt;"Cancelled"),BF1550*10000+1549,"")</f>
        <v/>
      </c>
    </row>
    <row r="1551">
      <c r="AS1551" t="inlineStr">
        <is>
          <t>V</t>
        </is>
      </c>
      <c r="AT1551" t="n">
        <v>55</v>
      </c>
      <c r="AU1551">
        <f>'Variable Tasks'!C55&amp;""</f>
        <v/>
      </c>
      <c r="AV1551">
        <f>'Variable Tasks'!D55&amp;""</f>
        <v/>
      </c>
      <c r="AW1551">
        <f>IF('Variable Tasks'!E55="","",'Variable Tasks'!E55)</f>
        <v/>
      </c>
      <c r="AX1551">
        <f>IF('Variable Tasks'!G55="","",'Variable Tasks'!G55)</f>
        <v/>
      </c>
      <c r="AY1551">
        <f>IF('Variable Tasks'!H55="","",'Variable Tasks'!H55)</f>
        <v/>
      </c>
      <c r="AZ1551">
        <f>IF(AU1551="","",IF('Variable Tasks'!J55="","Not Started",'Variable Tasks'!J55))</f>
        <v/>
      </c>
      <c r="BA1551">
        <f>'Variable Tasks'!L55&amp;""</f>
        <v/>
      </c>
      <c r="BB1551">
        <f>'Variable Tasks'!M55&amp;""</f>
        <v/>
      </c>
      <c r="BC1551">
        <f>'Variable Tasks'!N55&amp;""</f>
        <v/>
      </c>
      <c r="BD1551">
        <f>'Variable Tasks'!O55&amp;""</f>
        <v/>
      </c>
      <c r="BE1551">
        <f>IF('Variable Tasks'!K55="","",'Variable Tasks'!K55)</f>
        <v/>
      </c>
      <c r="BF1551">
        <f>IFERROR(MATCH(BA1551,Setup!$L$6:$L$9,0),5)</f>
        <v/>
      </c>
      <c r="BG1551">
        <f>IF(OR(AZ1551="Done",AZ1551="Cancelled"),1,0)</f>
        <v/>
      </c>
      <c r="BH1551">
        <f>IF(AND(AU1551&lt;&gt;"",ISNUMBER(AW1551)),1,0)</f>
        <v/>
      </c>
      <c r="BI1551">
        <f>IF(BH1551=0,0,IF(AND(AW1551&gt;='Tasks Filter'!$F$3,AW1551&lt;='Tasks Filter'!$F$4,OR('Tasks Filter'!$I$3="",ISNUMBER(SEARCH('Tasks Filter'!$I$3,AU1551))),OR('Tasks Filter'!$I$4="",BF1551=IFERROR(MATCH('Tasks Filter'!$I$4,Setup!$L$6:$L$9,0),0)),OR('Tasks Filter'!$I$5="Both",AND('Tasks Filter'!$I$5="Yes",BB1551="✓"),AND('Tasks Filter'!$I$5="No",BB1551&lt;&gt;"✓")),OR('Tasks Filter'!$L$3="",AV1551='Tasks Filter'!$L$3),OR('Tasks Filter'!$L$4="",AZ1551='Tasks Filter'!$L$4),OR('Tasks Filter'!$L$5="",BC1551='Tasks Filter'!$L$5),OR('Tasks Filter'!$O$3="",BD1551='Tasks Filter'!$O$3),OR('Tasks Filter'!$O$4="Yes",BG1551=0)),1,0))</f>
        <v/>
      </c>
      <c r="BJ1551">
        <f>IF(BH1551=0,"",IF('Tasks Filter'!$F$6="Descending",-1,1)*CHOOSE(MATCH('Tasks Filter'!$F$5,Lists!$G$2:$G$6,0),AW1551,BF1551,IFERROR(MATCH(AV1551,Setup!$F$6:$F$15,0),99),IFERROR(MATCH(BC1551,Setup!$H$6:$H$15,0),99),IFERROR(MATCH(AZ1551,Setup!$J$6:$J$11,0),99))*1E+9+(AW1551-40000)*10000+1550)</f>
        <v/>
      </c>
      <c r="BK1551">
        <f>IF(BI1551=1,BJ1551,"")</f>
        <v/>
      </c>
      <c r="BL1551">
        <f>IF(AND(BH1551=1,BG1551=0,N(AW1551)&lt;Setup!$D$7),(AW1551-40000)*10000+1550,"")</f>
        <v/>
      </c>
      <c r="BM1551">
        <f>IF(AND(BH1551=1,AZ1551&lt;&gt;"Cancelled",N(AW1551)&gt;=Dashboard!$AB$3,N(AW1551)&lt;=Dashboard!$AB$3+6),(AW1551-40000)*100000+BF1551*10000+1550,"")</f>
        <v/>
      </c>
      <c r="BN1551">
        <f>IF(AND(BH1551=1,AZ1551&lt;&gt;"Cancelled"),BF1551*10000+1550,"")</f>
        <v/>
      </c>
    </row>
    <row r="1552">
      <c r="AS1552" t="inlineStr">
        <is>
          <t>V</t>
        </is>
      </c>
      <c r="AT1552" t="n">
        <v>56</v>
      </c>
      <c r="AU1552">
        <f>'Variable Tasks'!C56&amp;""</f>
        <v/>
      </c>
      <c r="AV1552">
        <f>'Variable Tasks'!D56&amp;""</f>
        <v/>
      </c>
      <c r="AW1552">
        <f>IF('Variable Tasks'!E56="","",'Variable Tasks'!E56)</f>
        <v/>
      </c>
      <c r="AX1552">
        <f>IF('Variable Tasks'!G56="","",'Variable Tasks'!G56)</f>
        <v/>
      </c>
      <c r="AY1552">
        <f>IF('Variable Tasks'!H56="","",'Variable Tasks'!H56)</f>
        <v/>
      </c>
      <c r="AZ1552">
        <f>IF(AU1552="","",IF('Variable Tasks'!J56="","Not Started",'Variable Tasks'!J56))</f>
        <v/>
      </c>
      <c r="BA1552">
        <f>'Variable Tasks'!L56&amp;""</f>
        <v/>
      </c>
      <c r="BB1552">
        <f>'Variable Tasks'!M56&amp;""</f>
        <v/>
      </c>
      <c r="BC1552">
        <f>'Variable Tasks'!N56&amp;""</f>
        <v/>
      </c>
      <c r="BD1552">
        <f>'Variable Tasks'!O56&amp;""</f>
        <v/>
      </c>
      <c r="BE1552">
        <f>IF('Variable Tasks'!K56="","",'Variable Tasks'!K56)</f>
        <v/>
      </c>
      <c r="BF1552">
        <f>IFERROR(MATCH(BA1552,Setup!$L$6:$L$9,0),5)</f>
        <v/>
      </c>
      <c r="BG1552">
        <f>IF(OR(AZ1552="Done",AZ1552="Cancelled"),1,0)</f>
        <v/>
      </c>
      <c r="BH1552">
        <f>IF(AND(AU1552&lt;&gt;"",ISNUMBER(AW1552)),1,0)</f>
        <v/>
      </c>
      <c r="BI1552">
        <f>IF(BH1552=0,0,IF(AND(AW1552&gt;='Tasks Filter'!$F$3,AW1552&lt;='Tasks Filter'!$F$4,OR('Tasks Filter'!$I$3="",ISNUMBER(SEARCH('Tasks Filter'!$I$3,AU1552))),OR('Tasks Filter'!$I$4="",BF1552=IFERROR(MATCH('Tasks Filter'!$I$4,Setup!$L$6:$L$9,0),0)),OR('Tasks Filter'!$I$5="Both",AND('Tasks Filter'!$I$5="Yes",BB1552="✓"),AND('Tasks Filter'!$I$5="No",BB1552&lt;&gt;"✓")),OR('Tasks Filter'!$L$3="",AV1552='Tasks Filter'!$L$3),OR('Tasks Filter'!$L$4="",AZ1552='Tasks Filter'!$L$4),OR('Tasks Filter'!$L$5="",BC1552='Tasks Filter'!$L$5),OR('Tasks Filter'!$O$3="",BD1552='Tasks Filter'!$O$3),OR('Tasks Filter'!$O$4="Yes",BG1552=0)),1,0))</f>
        <v/>
      </c>
      <c r="BJ1552">
        <f>IF(BH1552=0,"",IF('Tasks Filter'!$F$6="Descending",-1,1)*CHOOSE(MATCH('Tasks Filter'!$F$5,Lists!$G$2:$G$6,0),AW1552,BF1552,IFERROR(MATCH(AV1552,Setup!$F$6:$F$15,0),99),IFERROR(MATCH(BC1552,Setup!$H$6:$H$15,0),99),IFERROR(MATCH(AZ1552,Setup!$J$6:$J$11,0),99))*1E+9+(AW1552-40000)*10000+1551)</f>
        <v/>
      </c>
      <c r="BK1552">
        <f>IF(BI1552=1,BJ1552,"")</f>
        <v/>
      </c>
      <c r="BL1552">
        <f>IF(AND(BH1552=1,BG1552=0,N(AW1552)&lt;Setup!$D$7),(AW1552-40000)*10000+1551,"")</f>
        <v/>
      </c>
      <c r="BM1552">
        <f>IF(AND(BH1552=1,AZ1552&lt;&gt;"Cancelled",N(AW1552)&gt;=Dashboard!$AB$3,N(AW1552)&lt;=Dashboard!$AB$3+6),(AW1552-40000)*100000+BF1552*10000+1551,"")</f>
        <v/>
      </c>
      <c r="BN1552">
        <f>IF(AND(BH1552=1,AZ1552&lt;&gt;"Cancelled"),BF1552*10000+1551,"")</f>
        <v/>
      </c>
    </row>
    <row r="1553">
      <c r="AS1553" t="inlineStr">
        <is>
          <t>V</t>
        </is>
      </c>
      <c r="AT1553" t="n">
        <v>57</v>
      </c>
      <c r="AU1553">
        <f>'Variable Tasks'!C57&amp;""</f>
        <v/>
      </c>
      <c r="AV1553">
        <f>'Variable Tasks'!D57&amp;""</f>
        <v/>
      </c>
      <c r="AW1553">
        <f>IF('Variable Tasks'!E57="","",'Variable Tasks'!E57)</f>
        <v/>
      </c>
      <c r="AX1553">
        <f>IF('Variable Tasks'!G57="","",'Variable Tasks'!G57)</f>
        <v/>
      </c>
      <c r="AY1553">
        <f>IF('Variable Tasks'!H57="","",'Variable Tasks'!H57)</f>
        <v/>
      </c>
      <c r="AZ1553">
        <f>IF(AU1553="","",IF('Variable Tasks'!J57="","Not Started",'Variable Tasks'!J57))</f>
        <v/>
      </c>
      <c r="BA1553">
        <f>'Variable Tasks'!L57&amp;""</f>
        <v/>
      </c>
      <c r="BB1553">
        <f>'Variable Tasks'!M57&amp;""</f>
        <v/>
      </c>
      <c r="BC1553">
        <f>'Variable Tasks'!N57&amp;""</f>
        <v/>
      </c>
      <c r="BD1553">
        <f>'Variable Tasks'!O57&amp;""</f>
        <v/>
      </c>
      <c r="BE1553">
        <f>IF('Variable Tasks'!K57="","",'Variable Tasks'!K57)</f>
        <v/>
      </c>
      <c r="BF1553">
        <f>IFERROR(MATCH(BA1553,Setup!$L$6:$L$9,0),5)</f>
        <v/>
      </c>
      <c r="BG1553">
        <f>IF(OR(AZ1553="Done",AZ1553="Cancelled"),1,0)</f>
        <v/>
      </c>
      <c r="BH1553">
        <f>IF(AND(AU1553&lt;&gt;"",ISNUMBER(AW1553)),1,0)</f>
        <v/>
      </c>
      <c r="BI1553">
        <f>IF(BH1553=0,0,IF(AND(AW1553&gt;='Tasks Filter'!$F$3,AW1553&lt;='Tasks Filter'!$F$4,OR('Tasks Filter'!$I$3="",ISNUMBER(SEARCH('Tasks Filter'!$I$3,AU1553))),OR('Tasks Filter'!$I$4="",BF1553=IFERROR(MATCH('Tasks Filter'!$I$4,Setup!$L$6:$L$9,0),0)),OR('Tasks Filter'!$I$5="Both",AND('Tasks Filter'!$I$5="Yes",BB1553="✓"),AND('Tasks Filter'!$I$5="No",BB1553&lt;&gt;"✓")),OR('Tasks Filter'!$L$3="",AV1553='Tasks Filter'!$L$3),OR('Tasks Filter'!$L$4="",AZ1553='Tasks Filter'!$L$4),OR('Tasks Filter'!$L$5="",BC1553='Tasks Filter'!$L$5),OR('Tasks Filter'!$O$3="",BD1553='Tasks Filter'!$O$3),OR('Tasks Filter'!$O$4="Yes",BG1553=0)),1,0))</f>
        <v/>
      </c>
      <c r="BJ1553">
        <f>IF(BH1553=0,"",IF('Tasks Filter'!$F$6="Descending",-1,1)*CHOOSE(MATCH('Tasks Filter'!$F$5,Lists!$G$2:$G$6,0),AW1553,BF1553,IFERROR(MATCH(AV1553,Setup!$F$6:$F$15,0),99),IFERROR(MATCH(BC1553,Setup!$H$6:$H$15,0),99),IFERROR(MATCH(AZ1553,Setup!$J$6:$J$11,0),99))*1E+9+(AW1553-40000)*10000+1552)</f>
        <v/>
      </c>
      <c r="BK1553">
        <f>IF(BI1553=1,BJ1553,"")</f>
        <v/>
      </c>
      <c r="BL1553">
        <f>IF(AND(BH1553=1,BG1553=0,N(AW1553)&lt;Setup!$D$7),(AW1553-40000)*10000+1552,"")</f>
        <v/>
      </c>
      <c r="BM1553">
        <f>IF(AND(BH1553=1,AZ1553&lt;&gt;"Cancelled",N(AW1553)&gt;=Dashboard!$AB$3,N(AW1553)&lt;=Dashboard!$AB$3+6),(AW1553-40000)*100000+BF1553*10000+1552,"")</f>
        <v/>
      </c>
      <c r="BN1553">
        <f>IF(AND(BH1553=1,AZ1553&lt;&gt;"Cancelled"),BF1553*10000+1552,"")</f>
        <v/>
      </c>
    </row>
    <row r="1554">
      <c r="AS1554" t="inlineStr">
        <is>
          <t>V</t>
        </is>
      </c>
      <c r="AT1554" t="n">
        <v>58</v>
      </c>
      <c r="AU1554">
        <f>'Variable Tasks'!C58&amp;""</f>
        <v/>
      </c>
      <c r="AV1554">
        <f>'Variable Tasks'!D58&amp;""</f>
        <v/>
      </c>
      <c r="AW1554">
        <f>IF('Variable Tasks'!E58="","",'Variable Tasks'!E58)</f>
        <v/>
      </c>
      <c r="AX1554">
        <f>IF('Variable Tasks'!G58="","",'Variable Tasks'!G58)</f>
        <v/>
      </c>
      <c r="AY1554">
        <f>IF('Variable Tasks'!H58="","",'Variable Tasks'!H58)</f>
        <v/>
      </c>
      <c r="AZ1554">
        <f>IF(AU1554="","",IF('Variable Tasks'!J58="","Not Started",'Variable Tasks'!J58))</f>
        <v/>
      </c>
      <c r="BA1554">
        <f>'Variable Tasks'!L58&amp;""</f>
        <v/>
      </c>
      <c r="BB1554">
        <f>'Variable Tasks'!M58&amp;""</f>
        <v/>
      </c>
      <c r="BC1554">
        <f>'Variable Tasks'!N58&amp;""</f>
        <v/>
      </c>
      <c r="BD1554">
        <f>'Variable Tasks'!O58&amp;""</f>
        <v/>
      </c>
      <c r="BE1554">
        <f>IF('Variable Tasks'!K58="","",'Variable Tasks'!K58)</f>
        <v/>
      </c>
      <c r="BF1554">
        <f>IFERROR(MATCH(BA1554,Setup!$L$6:$L$9,0),5)</f>
        <v/>
      </c>
      <c r="BG1554">
        <f>IF(OR(AZ1554="Done",AZ1554="Cancelled"),1,0)</f>
        <v/>
      </c>
      <c r="BH1554">
        <f>IF(AND(AU1554&lt;&gt;"",ISNUMBER(AW1554)),1,0)</f>
        <v/>
      </c>
      <c r="BI1554">
        <f>IF(BH1554=0,0,IF(AND(AW1554&gt;='Tasks Filter'!$F$3,AW1554&lt;='Tasks Filter'!$F$4,OR('Tasks Filter'!$I$3="",ISNUMBER(SEARCH('Tasks Filter'!$I$3,AU1554))),OR('Tasks Filter'!$I$4="",BF1554=IFERROR(MATCH('Tasks Filter'!$I$4,Setup!$L$6:$L$9,0),0)),OR('Tasks Filter'!$I$5="Both",AND('Tasks Filter'!$I$5="Yes",BB1554="✓"),AND('Tasks Filter'!$I$5="No",BB1554&lt;&gt;"✓")),OR('Tasks Filter'!$L$3="",AV1554='Tasks Filter'!$L$3),OR('Tasks Filter'!$L$4="",AZ1554='Tasks Filter'!$L$4),OR('Tasks Filter'!$L$5="",BC1554='Tasks Filter'!$L$5),OR('Tasks Filter'!$O$3="",BD1554='Tasks Filter'!$O$3),OR('Tasks Filter'!$O$4="Yes",BG1554=0)),1,0))</f>
        <v/>
      </c>
      <c r="BJ1554">
        <f>IF(BH1554=0,"",IF('Tasks Filter'!$F$6="Descending",-1,1)*CHOOSE(MATCH('Tasks Filter'!$F$5,Lists!$G$2:$G$6,0),AW1554,BF1554,IFERROR(MATCH(AV1554,Setup!$F$6:$F$15,0),99),IFERROR(MATCH(BC1554,Setup!$H$6:$H$15,0),99),IFERROR(MATCH(AZ1554,Setup!$J$6:$J$11,0),99))*1E+9+(AW1554-40000)*10000+1553)</f>
        <v/>
      </c>
      <c r="BK1554">
        <f>IF(BI1554=1,BJ1554,"")</f>
        <v/>
      </c>
      <c r="BL1554">
        <f>IF(AND(BH1554=1,BG1554=0,N(AW1554)&lt;Setup!$D$7),(AW1554-40000)*10000+1553,"")</f>
        <v/>
      </c>
      <c r="BM1554">
        <f>IF(AND(BH1554=1,AZ1554&lt;&gt;"Cancelled",N(AW1554)&gt;=Dashboard!$AB$3,N(AW1554)&lt;=Dashboard!$AB$3+6),(AW1554-40000)*100000+BF1554*10000+1553,"")</f>
        <v/>
      </c>
      <c r="BN1554">
        <f>IF(AND(BH1554=1,AZ1554&lt;&gt;"Cancelled"),BF1554*10000+1553,"")</f>
        <v/>
      </c>
    </row>
    <row r="1555">
      <c r="AS1555" t="inlineStr">
        <is>
          <t>V</t>
        </is>
      </c>
      <c r="AT1555" t="n">
        <v>59</v>
      </c>
      <c r="AU1555">
        <f>'Variable Tasks'!C59&amp;""</f>
        <v/>
      </c>
      <c r="AV1555">
        <f>'Variable Tasks'!D59&amp;""</f>
        <v/>
      </c>
      <c r="AW1555">
        <f>IF('Variable Tasks'!E59="","",'Variable Tasks'!E59)</f>
        <v/>
      </c>
      <c r="AX1555">
        <f>IF('Variable Tasks'!G59="","",'Variable Tasks'!G59)</f>
        <v/>
      </c>
      <c r="AY1555">
        <f>IF('Variable Tasks'!H59="","",'Variable Tasks'!H59)</f>
        <v/>
      </c>
      <c r="AZ1555">
        <f>IF(AU1555="","",IF('Variable Tasks'!J59="","Not Started",'Variable Tasks'!J59))</f>
        <v/>
      </c>
      <c r="BA1555">
        <f>'Variable Tasks'!L59&amp;""</f>
        <v/>
      </c>
      <c r="BB1555">
        <f>'Variable Tasks'!M59&amp;""</f>
        <v/>
      </c>
      <c r="BC1555">
        <f>'Variable Tasks'!N59&amp;""</f>
        <v/>
      </c>
      <c r="BD1555">
        <f>'Variable Tasks'!O59&amp;""</f>
        <v/>
      </c>
      <c r="BE1555">
        <f>IF('Variable Tasks'!K59="","",'Variable Tasks'!K59)</f>
        <v/>
      </c>
      <c r="BF1555">
        <f>IFERROR(MATCH(BA1555,Setup!$L$6:$L$9,0),5)</f>
        <v/>
      </c>
      <c r="BG1555">
        <f>IF(OR(AZ1555="Done",AZ1555="Cancelled"),1,0)</f>
        <v/>
      </c>
      <c r="BH1555">
        <f>IF(AND(AU1555&lt;&gt;"",ISNUMBER(AW1555)),1,0)</f>
        <v/>
      </c>
      <c r="BI1555">
        <f>IF(BH1555=0,0,IF(AND(AW1555&gt;='Tasks Filter'!$F$3,AW1555&lt;='Tasks Filter'!$F$4,OR('Tasks Filter'!$I$3="",ISNUMBER(SEARCH('Tasks Filter'!$I$3,AU1555))),OR('Tasks Filter'!$I$4="",BF1555=IFERROR(MATCH('Tasks Filter'!$I$4,Setup!$L$6:$L$9,0),0)),OR('Tasks Filter'!$I$5="Both",AND('Tasks Filter'!$I$5="Yes",BB1555="✓"),AND('Tasks Filter'!$I$5="No",BB1555&lt;&gt;"✓")),OR('Tasks Filter'!$L$3="",AV1555='Tasks Filter'!$L$3),OR('Tasks Filter'!$L$4="",AZ1555='Tasks Filter'!$L$4),OR('Tasks Filter'!$L$5="",BC1555='Tasks Filter'!$L$5),OR('Tasks Filter'!$O$3="",BD1555='Tasks Filter'!$O$3),OR('Tasks Filter'!$O$4="Yes",BG1555=0)),1,0))</f>
        <v/>
      </c>
      <c r="BJ1555">
        <f>IF(BH1555=0,"",IF('Tasks Filter'!$F$6="Descending",-1,1)*CHOOSE(MATCH('Tasks Filter'!$F$5,Lists!$G$2:$G$6,0),AW1555,BF1555,IFERROR(MATCH(AV1555,Setup!$F$6:$F$15,0),99),IFERROR(MATCH(BC1555,Setup!$H$6:$H$15,0),99),IFERROR(MATCH(AZ1555,Setup!$J$6:$J$11,0),99))*1E+9+(AW1555-40000)*10000+1554)</f>
        <v/>
      </c>
      <c r="BK1555">
        <f>IF(BI1555=1,BJ1555,"")</f>
        <v/>
      </c>
      <c r="BL1555">
        <f>IF(AND(BH1555=1,BG1555=0,N(AW1555)&lt;Setup!$D$7),(AW1555-40000)*10000+1554,"")</f>
        <v/>
      </c>
      <c r="BM1555">
        <f>IF(AND(BH1555=1,AZ1555&lt;&gt;"Cancelled",N(AW1555)&gt;=Dashboard!$AB$3,N(AW1555)&lt;=Dashboard!$AB$3+6),(AW1555-40000)*100000+BF1555*10000+1554,"")</f>
        <v/>
      </c>
      <c r="BN1555">
        <f>IF(AND(BH1555=1,AZ1555&lt;&gt;"Cancelled"),BF1555*10000+1554,"")</f>
        <v/>
      </c>
    </row>
    <row r="1556">
      <c r="AS1556" t="inlineStr">
        <is>
          <t>V</t>
        </is>
      </c>
      <c r="AT1556" t="n">
        <v>60</v>
      </c>
      <c r="AU1556">
        <f>'Variable Tasks'!C60&amp;""</f>
        <v/>
      </c>
      <c r="AV1556">
        <f>'Variable Tasks'!D60&amp;""</f>
        <v/>
      </c>
      <c r="AW1556">
        <f>IF('Variable Tasks'!E60="","",'Variable Tasks'!E60)</f>
        <v/>
      </c>
      <c r="AX1556">
        <f>IF('Variable Tasks'!G60="","",'Variable Tasks'!G60)</f>
        <v/>
      </c>
      <c r="AY1556">
        <f>IF('Variable Tasks'!H60="","",'Variable Tasks'!H60)</f>
        <v/>
      </c>
      <c r="AZ1556">
        <f>IF(AU1556="","",IF('Variable Tasks'!J60="","Not Started",'Variable Tasks'!J60))</f>
        <v/>
      </c>
      <c r="BA1556">
        <f>'Variable Tasks'!L60&amp;""</f>
        <v/>
      </c>
      <c r="BB1556">
        <f>'Variable Tasks'!M60&amp;""</f>
        <v/>
      </c>
      <c r="BC1556">
        <f>'Variable Tasks'!N60&amp;""</f>
        <v/>
      </c>
      <c r="BD1556">
        <f>'Variable Tasks'!O60&amp;""</f>
        <v/>
      </c>
      <c r="BE1556">
        <f>IF('Variable Tasks'!K60="","",'Variable Tasks'!K60)</f>
        <v/>
      </c>
      <c r="BF1556">
        <f>IFERROR(MATCH(BA1556,Setup!$L$6:$L$9,0),5)</f>
        <v/>
      </c>
      <c r="BG1556">
        <f>IF(OR(AZ1556="Done",AZ1556="Cancelled"),1,0)</f>
        <v/>
      </c>
      <c r="BH1556">
        <f>IF(AND(AU1556&lt;&gt;"",ISNUMBER(AW1556)),1,0)</f>
        <v/>
      </c>
      <c r="BI1556">
        <f>IF(BH1556=0,0,IF(AND(AW1556&gt;='Tasks Filter'!$F$3,AW1556&lt;='Tasks Filter'!$F$4,OR('Tasks Filter'!$I$3="",ISNUMBER(SEARCH('Tasks Filter'!$I$3,AU1556))),OR('Tasks Filter'!$I$4="",BF1556=IFERROR(MATCH('Tasks Filter'!$I$4,Setup!$L$6:$L$9,0),0)),OR('Tasks Filter'!$I$5="Both",AND('Tasks Filter'!$I$5="Yes",BB1556="✓"),AND('Tasks Filter'!$I$5="No",BB1556&lt;&gt;"✓")),OR('Tasks Filter'!$L$3="",AV1556='Tasks Filter'!$L$3),OR('Tasks Filter'!$L$4="",AZ1556='Tasks Filter'!$L$4),OR('Tasks Filter'!$L$5="",BC1556='Tasks Filter'!$L$5),OR('Tasks Filter'!$O$3="",BD1556='Tasks Filter'!$O$3),OR('Tasks Filter'!$O$4="Yes",BG1556=0)),1,0))</f>
        <v/>
      </c>
      <c r="BJ1556">
        <f>IF(BH1556=0,"",IF('Tasks Filter'!$F$6="Descending",-1,1)*CHOOSE(MATCH('Tasks Filter'!$F$5,Lists!$G$2:$G$6,0),AW1556,BF1556,IFERROR(MATCH(AV1556,Setup!$F$6:$F$15,0),99),IFERROR(MATCH(BC1556,Setup!$H$6:$H$15,0),99),IFERROR(MATCH(AZ1556,Setup!$J$6:$J$11,0),99))*1E+9+(AW1556-40000)*10000+1555)</f>
        <v/>
      </c>
      <c r="BK1556">
        <f>IF(BI1556=1,BJ1556,"")</f>
        <v/>
      </c>
      <c r="BL1556">
        <f>IF(AND(BH1556=1,BG1556=0,N(AW1556)&lt;Setup!$D$7),(AW1556-40000)*10000+1555,"")</f>
        <v/>
      </c>
      <c r="BM1556">
        <f>IF(AND(BH1556=1,AZ1556&lt;&gt;"Cancelled",N(AW1556)&gt;=Dashboard!$AB$3,N(AW1556)&lt;=Dashboard!$AB$3+6),(AW1556-40000)*100000+BF1556*10000+1555,"")</f>
        <v/>
      </c>
      <c r="BN1556">
        <f>IF(AND(BH1556=1,AZ1556&lt;&gt;"Cancelled"),BF1556*10000+1555,"")</f>
        <v/>
      </c>
    </row>
    <row r="1557">
      <c r="AS1557" t="inlineStr">
        <is>
          <t>V</t>
        </is>
      </c>
      <c r="AT1557" t="n">
        <v>61</v>
      </c>
      <c r="AU1557">
        <f>'Variable Tasks'!C61&amp;""</f>
        <v/>
      </c>
      <c r="AV1557">
        <f>'Variable Tasks'!D61&amp;""</f>
        <v/>
      </c>
      <c r="AW1557">
        <f>IF('Variable Tasks'!E61="","",'Variable Tasks'!E61)</f>
        <v/>
      </c>
      <c r="AX1557">
        <f>IF('Variable Tasks'!G61="","",'Variable Tasks'!G61)</f>
        <v/>
      </c>
      <c r="AY1557">
        <f>IF('Variable Tasks'!H61="","",'Variable Tasks'!H61)</f>
        <v/>
      </c>
      <c r="AZ1557">
        <f>IF(AU1557="","",IF('Variable Tasks'!J61="","Not Started",'Variable Tasks'!J61))</f>
        <v/>
      </c>
      <c r="BA1557">
        <f>'Variable Tasks'!L61&amp;""</f>
        <v/>
      </c>
      <c r="BB1557">
        <f>'Variable Tasks'!M61&amp;""</f>
        <v/>
      </c>
      <c r="BC1557">
        <f>'Variable Tasks'!N61&amp;""</f>
        <v/>
      </c>
      <c r="BD1557">
        <f>'Variable Tasks'!O61&amp;""</f>
        <v/>
      </c>
      <c r="BE1557">
        <f>IF('Variable Tasks'!K61="","",'Variable Tasks'!K61)</f>
        <v/>
      </c>
      <c r="BF1557">
        <f>IFERROR(MATCH(BA1557,Setup!$L$6:$L$9,0),5)</f>
        <v/>
      </c>
      <c r="BG1557">
        <f>IF(OR(AZ1557="Done",AZ1557="Cancelled"),1,0)</f>
        <v/>
      </c>
      <c r="BH1557">
        <f>IF(AND(AU1557&lt;&gt;"",ISNUMBER(AW1557)),1,0)</f>
        <v/>
      </c>
      <c r="BI1557">
        <f>IF(BH1557=0,0,IF(AND(AW1557&gt;='Tasks Filter'!$F$3,AW1557&lt;='Tasks Filter'!$F$4,OR('Tasks Filter'!$I$3="",ISNUMBER(SEARCH('Tasks Filter'!$I$3,AU1557))),OR('Tasks Filter'!$I$4="",BF1557=IFERROR(MATCH('Tasks Filter'!$I$4,Setup!$L$6:$L$9,0),0)),OR('Tasks Filter'!$I$5="Both",AND('Tasks Filter'!$I$5="Yes",BB1557="✓"),AND('Tasks Filter'!$I$5="No",BB1557&lt;&gt;"✓")),OR('Tasks Filter'!$L$3="",AV1557='Tasks Filter'!$L$3),OR('Tasks Filter'!$L$4="",AZ1557='Tasks Filter'!$L$4),OR('Tasks Filter'!$L$5="",BC1557='Tasks Filter'!$L$5),OR('Tasks Filter'!$O$3="",BD1557='Tasks Filter'!$O$3),OR('Tasks Filter'!$O$4="Yes",BG1557=0)),1,0))</f>
        <v/>
      </c>
      <c r="BJ1557">
        <f>IF(BH1557=0,"",IF('Tasks Filter'!$F$6="Descending",-1,1)*CHOOSE(MATCH('Tasks Filter'!$F$5,Lists!$G$2:$G$6,0),AW1557,BF1557,IFERROR(MATCH(AV1557,Setup!$F$6:$F$15,0),99),IFERROR(MATCH(BC1557,Setup!$H$6:$H$15,0),99),IFERROR(MATCH(AZ1557,Setup!$J$6:$J$11,0),99))*1E+9+(AW1557-40000)*10000+1556)</f>
        <v/>
      </c>
      <c r="BK1557">
        <f>IF(BI1557=1,BJ1557,"")</f>
        <v/>
      </c>
      <c r="BL1557">
        <f>IF(AND(BH1557=1,BG1557=0,N(AW1557)&lt;Setup!$D$7),(AW1557-40000)*10000+1556,"")</f>
        <v/>
      </c>
      <c r="BM1557">
        <f>IF(AND(BH1557=1,AZ1557&lt;&gt;"Cancelled",N(AW1557)&gt;=Dashboard!$AB$3,N(AW1557)&lt;=Dashboard!$AB$3+6),(AW1557-40000)*100000+BF1557*10000+1556,"")</f>
        <v/>
      </c>
      <c r="BN1557">
        <f>IF(AND(BH1557=1,AZ1557&lt;&gt;"Cancelled"),BF1557*10000+1556,"")</f>
        <v/>
      </c>
    </row>
    <row r="1558">
      <c r="AS1558" t="inlineStr">
        <is>
          <t>V</t>
        </is>
      </c>
      <c r="AT1558" t="n">
        <v>62</v>
      </c>
      <c r="AU1558">
        <f>'Variable Tasks'!C62&amp;""</f>
        <v/>
      </c>
      <c r="AV1558">
        <f>'Variable Tasks'!D62&amp;""</f>
        <v/>
      </c>
      <c r="AW1558">
        <f>IF('Variable Tasks'!E62="","",'Variable Tasks'!E62)</f>
        <v/>
      </c>
      <c r="AX1558">
        <f>IF('Variable Tasks'!G62="","",'Variable Tasks'!G62)</f>
        <v/>
      </c>
      <c r="AY1558">
        <f>IF('Variable Tasks'!H62="","",'Variable Tasks'!H62)</f>
        <v/>
      </c>
      <c r="AZ1558">
        <f>IF(AU1558="","",IF('Variable Tasks'!J62="","Not Started",'Variable Tasks'!J62))</f>
        <v/>
      </c>
      <c r="BA1558">
        <f>'Variable Tasks'!L62&amp;""</f>
        <v/>
      </c>
      <c r="BB1558">
        <f>'Variable Tasks'!M62&amp;""</f>
        <v/>
      </c>
      <c r="BC1558">
        <f>'Variable Tasks'!N62&amp;""</f>
        <v/>
      </c>
      <c r="BD1558">
        <f>'Variable Tasks'!O62&amp;""</f>
        <v/>
      </c>
      <c r="BE1558">
        <f>IF('Variable Tasks'!K62="","",'Variable Tasks'!K62)</f>
        <v/>
      </c>
      <c r="BF1558">
        <f>IFERROR(MATCH(BA1558,Setup!$L$6:$L$9,0),5)</f>
        <v/>
      </c>
      <c r="BG1558">
        <f>IF(OR(AZ1558="Done",AZ1558="Cancelled"),1,0)</f>
        <v/>
      </c>
      <c r="BH1558">
        <f>IF(AND(AU1558&lt;&gt;"",ISNUMBER(AW1558)),1,0)</f>
        <v/>
      </c>
      <c r="BI1558">
        <f>IF(BH1558=0,0,IF(AND(AW1558&gt;='Tasks Filter'!$F$3,AW1558&lt;='Tasks Filter'!$F$4,OR('Tasks Filter'!$I$3="",ISNUMBER(SEARCH('Tasks Filter'!$I$3,AU1558))),OR('Tasks Filter'!$I$4="",BF1558=IFERROR(MATCH('Tasks Filter'!$I$4,Setup!$L$6:$L$9,0),0)),OR('Tasks Filter'!$I$5="Both",AND('Tasks Filter'!$I$5="Yes",BB1558="✓"),AND('Tasks Filter'!$I$5="No",BB1558&lt;&gt;"✓")),OR('Tasks Filter'!$L$3="",AV1558='Tasks Filter'!$L$3),OR('Tasks Filter'!$L$4="",AZ1558='Tasks Filter'!$L$4),OR('Tasks Filter'!$L$5="",BC1558='Tasks Filter'!$L$5),OR('Tasks Filter'!$O$3="",BD1558='Tasks Filter'!$O$3),OR('Tasks Filter'!$O$4="Yes",BG1558=0)),1,0))</f>
        <v/>
      </c>
      <c r="BJ1558">
        <f>IF(BH1558=0,"",IF('Tasks Filter'!$F$6="Descending",-1,1)*CHOOSE(MATCH('Tasks Filter'!$F$5,Lists!$G$2:$G$6,0),AW1558,BF1558,IFERROR(MATCH(AV1558,Setup!$F$6:$F$15,0),99),IFERROR(MATCH(BC1558,Setup!$H$6:$H$15,0),99),IFERROR(MATCH(AZ1558,Setup!$J$6:$J$11,0),99))*1E+9+(AW1558-40000)*10000+1557)</f>
        <v/>
      </c>
      <c r="BK1558">
        <f>IF(BI1558=1,BJ1558,"")</f>
        <v/>
      </c>
      <c r="BL1558">
        <f>IF(AND(BH1558=1,BG1558=0,N(AW1558)&lt;Setup!$D$7),(AW1558-40000)*10000+1557,"")</f>
        <v/>
      </c>
      <c r="BM1558">
        <f>IF(AND(BH1558=1,AZ1558&lt;&gt;"Cancelled",N(AW1558)&gt;=Dashboard!$AB$3,N(AW1558)&lt;=Dashboard!$AB$3+6),(AW1558-40000)*100000+BF1558*10000+1557,"")</f>
        <v/>
      </c>
      <c r="BN1558">
        <f>IF(AND(BH1558=1,AZ1558&lt;&gt;"Cancelled"),BF1558*10000+1557,"")</f>
        <v/>
      </c>
    </row>
    <row r="1559">
      <c r="AS1559" t="inlineStr">
        <is>
          <t>V</t>
        </is>
      </c>
      <c r="AT1559" t="n">
        <v>63</v>
      </c>
      <c r="AU1559">
        <f>'Variable Tasks'!C63&amp;""</f>
        <v/>
      </c>
      <c r="AV1559">
        <f>'Variable Tasks'!D63&amp;""</f>
        <v/>
      </c>
      <c r="AW1559">
        <f>IF('Variable Tasks'!E63="","",'Variable Tasks'!E63)</f>
        <v/>
      </c>
      <c r="AX1559">
        <f>IF('Variable Tasks'!G63="","",'Variable Tasks'!G63)</f>
        <v/>
      </c>
      <c r="AY1559">
        <f>IF('Variable Tasks'!H63="","",'Variable Tasks'!H63)</f>
        <v/>
      </c>
      <c r="AZ1559">
        <f>IF(AU1559="","",IF('Variable Tasks'!J63="","Not Started",'Variable Tasks'!J63))</f>
        <v/>
      </c>
      <c r="BA1559">
        <f>'Variable Tasks'!L63&amp;""</f>
        <v/>
      </c>
      <c r="BB1559">
        <f>'Variable Tasks'!M63&amp;""</f>
        <v/>
      </c>
      <c r="BC1559">
        <f>'Variable Tasks'!N63&amp;""</f>
        <v/>
      </c>
      <c r="BD1559">
        <f>'Variable Tasks'!O63&amp;""</f>
        <v/>
      </c>
      <c r="BE1559">
        <f>IF('Variable Tasks'!K63="","",'Variable Tasks'!K63)</f>
        <v/>
      </c>
      <c r="BF1559">
        <f>IFERROR(MATCH(BA1559,Setup!$L$6:$L$9,0),5)</f>
        <v/>
      </c>
      <c r="BG1559">
        <f>IF(OR(AZ1559="Done",AZ1559="Cancelled"),1,0)</f>
        <v/>
      </c>
      <c r="BH1559">
        <f>IF(AND(AU1559&lt;&gt;"",ISNUMBER(AW1559)),1,0)</f>
        <v/>
      </c>
      <c r="BI1559">
        <f>IF(BH1559=0,0,IF(AND(AW1559&gt;='Tasks Filter'!$F$3,AW1559&lt;='Tasks Filter'!$F$4,OR('Tasks Filter'!$I$3="",ISNUMBER(SEARCH('Tasks Filter'!$I$3,AU1559))),OR('Tasks Filter'!$I$4="",BF1559=IFERROR(MATCH('Tasks Filter'!$I$4,Setup!$L$6:$L$9,0),0)),OR('Tasks Filter'!$I$5="Both",AND('Tasks Filter'!$I$5="Yes",BB1559="✓"),AND('Tasks Filter'!$I$5="No",BB1559&lt;&gt;"✓")),OR('Tasks Filter'!$L$3="",AV1559='Tasks Filter'!$L$3),OR('Tasks Filter'!$L$4="",AZ1559='Tasks Filter'!$L$4),OR('Tasks Filter'!$L$5="",BC1559='Tasks Filter'!$L$5),OR('Tasks Filter'!$O$3="",BD1559='Tasks Filter'!$O$3),OR('Tasks Filter'!$O$4="Yes",BG1559=0)),1,0))</f>
        <v/>
      </c>
      <c r="BJ1559">
        <f>IF(BH1559=0,"",IF('Tasks Filter'!$F$6="Descending",-1,1)*CHOOSE(MATCH('Tasks Filter'!$F$5,Lists!$G$2:$G$6,0),AW1559,BF1559,IFERROR(MATCH(AV1559,Setup!$F$6:$F$15,0),99),IFERROR(MATCH(BC1559,Setup!$H$6:$H$15,0),99),IFERROR(MATCH(AZ1559,Setup!$J$6:$J$11,0),99))*1E+9+(AW1559-40000)*10000+1558)</f>
        <v/>
      </c>
      <c r="BK1559">
        <f>IF(BI1559=1,BJ1559,"")</f>
        <v/>
      </c>
      <c r="BL1559">
        <f>IF(AND(BH1559=1,BG1559=0,N(AW1559)&lt;Setup!$D$7),(AW1559-40000)*10000+1558,"")</f>
        <v/>
      </c>
      <c r="BM1559">
        <f>IF(AND(BH1559=1,AZ1559&lt;&gt;"Cancelled",N(AW1559)&gt;=Dashboard!$AB$3,N(AW1559)&lt;=Dashboard!$AB$3+6),(AW1559-40000)*100000+BF1559*10000+1558,"")</f>
        <v/>
      </c>
      <c r="BN1559">
        <f>IF(AND(BH1559=1,AZ1559&lt;&gt;"Cancelled"),BF1559*10000+1558,"")</f>
        <v/>
      </c>
    </row>
    <row r="1560">
      <c r="AS1560" t="inlineStr">
        <is>
          <t>V</t>
        </is>
      </c>
      <c r="AT1560" t="n">
        <v>64</v>
      </c>
      <c r="AU1560">
        <f>'Variable Tasks'!C64&amp;""</f>
        <v/>
      </c>
      <c r="AV1560">
        <f>'Variable Tasks'!D64&amp;""</f>
        <v/>
      </c>
      <c r="AW1560">
        <f>IF('Variable Tasks'!E64="","",'Variable Tasks'!E64)</f>
        <v/>
      </c>
      <c r="AX1560">
        <f>IF('Variable Tasks'!G64="","",'Variable Tasks'!G64)</f>
        <v/>
      </c>
      <c r="AY1560">
        <f>IF('Variable Tasks'!H64="","",'Variable Tasks'!H64)</f>
        <v/>
      </c>
      <c r="AZ1560">
        <f>IF(AU1560="","",IF('Variable Tasks'!J64="","Not Started",'Variable Tasks'!J64))</f>
        <v/>
      </c>
      <c r="BA1560">
        <f>'Variable Tasks'!L64&amp;""</f>
        <v/>
      </c>
      <c r="BB1560">
        <f>'Variable Tasks'!M64&amp;""</f>
        <v/>
      </c>
      <c r="BC1560">
        <f>'Variable Tasks'!N64&amp;""</f>
        <v/>
      </c>
      <c r="BD1560">
        <f>'Variable Tasks'!O64&amp;""</f>
        <v/>
      </c>
      <c r="BE1560">
        <f>IF('Variable Tasks'!K64="","",'Variable Tasks'!K64)</f>
        <v/>
      </c>
      <c r="BF1560">
        <f>IFERROR(MATCH(BA1560,Setup!$L$6:$L$9,0),5)</f>
        <v/>
      </c>
      <c r="BG1560">
        <f>IF(OR(AZ1560="Done",AZ1560="Cancelled"),1,0)</f>
        <v/>
      </c>
      <c r="BH1560">
        <f>IF(AND(AU1560&lt;&gt;"",ISNUMBER(AW1560)),1,0)</f>
        <v/>
      </c>
      <c r="BI1560">
        <f>IF(BH1560=0,0,IF(AND(AW1560&gt;='Tasks Filter'!$F$3,AW1560&lt;='Tasks Filter'!$F$4,OR('Tasks Filter'!$I$3="",ISNUMBER(SEARCH('Tasks Filter'!$I$3,AU1560))),OR('Tasks Filter'!$I$4="",BF1560=IFERROR(MATCH('Tasks Filter'!$I$4,Setup!$L$6:$L$9,0),0)),OR('Tasks Filter'!$I$5="Both",AND('Tasks Filter'!$I$5="Yes",BB1560="✓"),AND('Tasks Filter'!$I$5="No",BB1560&lt;&gt;"✓")),OR('Tasks Filter'!$L$3="",AV1560='Tasks Filter'!$L$3),OR('Tasks Filter'!$L$4="",AZ1560='Tasks Filter'!$L$4),OR('Tasks Filter'!$L$5="",BC1560='Tasks Filter'!$L$5),OR('Tasks Filter'!$O$3="",BD1560='Tasks Filter'!$O$3),OR('Tasks Filter'!$O$4="Yes",BG1560=0)),1,0))</f>
        <v/>
      </c>
      <c r="BJ1560">
        <f>IF(BH1560=0,"",IF('Tasks Filter'!$F$6="Descending",-1,1)*CHOOSE(MATCH('Tasks Filter'!$F$5,Lists!$G$2:$G$6,0),AW1560,BF1560,IFERROR(MATCH(AV1560,Setup!$F$6:$F$15,0),99),IFERROR(MATCH(BC1560,Setup!$H$6:$H$15,0),99),IFERROR(MATCH(AZ1560,Setup!$J$6:$J$11,0),99))*1E+9+(AW1560-40000)*10000+1559)</f>
        <v/>
      </c>
      <c r="BK1560">
        <f>IF(BI1560=1,BJ1560,"")</f>
        <v/>
      </c>
      <c r="BL1560">
        <f>IF(AND(BH1560=1,BG1560=0,N(AW1560)&lt;Setup!$D$7),(AW1560-40000)*10000+1559,"")</f>
        <v/>
      </c>
      <c r="BM1560">
        <f>IF(AND(BH1560=1,AZ1560&lt;&gt;"Cancelled",N(AW1560)&gt;=Dashboard!$AB$3,N(AW1560)&lt;=Dashboard!$AB$3+6),(AW1560-40000)*100000+BF1560*10000+1559,"")</f>
        <v/>
      </c>
      <c r="BN1560">
        <f>IF(AND(BH1560=1,AZ1560&lt;&gt;"Cancelled"),BF1560*10000+1559,"")</f>
        <v/>
      </c>
    </row>
    <row r="1561">
      <c r="AS1561" t="inlineStr">
        <is>
          <t>V</t>
        </is>
      </c>
      <c r="AT1561" t="n">
        <v>65</v>
      </c>
      <c r="AU1561">
        <f>'Variable Tasks'!C65&amp;""</f>
        <v/>
      </c>
      <c r="AV1561">
        <f>'Variable Tasks'!D65&amp;""</f>
        <v/>
      </c>
      <c r="AW1561">
        <f>IF('Variable Tasks'!E65="","",'Variable Tasks'!E65)</f>
        <v/>
      </c>
      <c r="AX1561">
        <f>IF('Variable Tasks'!G65="","",'Variable Tasks'!G65)</f>
        <v/>
      </c>
      <c r="AY1561">
        <f>IF('Variable Tasks'!H65="","",'Variable Tasks'!H65)</f>
        <v/>
      </c>
      <c r="AZ1561">
        <f>IF(AU1561="","",IF('Variable Tasks'!J65="","Not Started",'Variable Tasks'!J65))</f>
        <v/>
      </c>
      <c r="BA1561">
        <f>'Variable Tasks'!L65&amp;""</f>
        <v/>
      </c>
      <c r="BB1561">
        <f>'Variable Tasks'!M65&amp;""</f>
        <v/>
      </c>
      <c r="BC1561">
        <f>'Variable Tasks'!N65&amp;""</f>
        <v/>
      </c>
      <c r="BD1561">
        <f>'Variable Tasks'!O65&amp;""</f>
        <v/>
      </c>
      <c r="BE1561">
        <f>IF('Variable Tasks'!K65="","",'Variable Tasks'!K65)</f>
        <v/>
      </c>
      <c r="BF1561">
        <f>IFERROR(MATCH(BA1561,Setup!$L$6:$L$9,0),5)</f>
        <v/>
      </c>
      <c r="BG1561">
        <f>IF(OR(AZ1561="Done",AZ1561="Cancelled"),1,0)</f>
        <v/>
      </c>
      <c r="BH1561">
        <f>IF(AND(AU1561&lt;&gt;"",ISNUMBER(AW1561)),1,0)</f>
        <v/>
      </c>
      <c r="BI1561">
        <f>IF(BH1561=0,0,IF(AND(AW1561&gt;='Tasks Filter'!$F$3,AW1561&lt;='Tasks Filter'!$F$4,OR('Tasks Filter'!$I$3="",ISNUMBER(SEARCH('Tasks Filter'!$I$3,AU1561))),OR('Tasks Filter'!$I$4="",BF1561=IFERROR(MATCH('Tasks Filter'!$I$4,Setup!$L$6:$L$9,0),0)),OR('Tasks Filter'!$I$5="Both",AND('Tasks Filter'!$I$5="Yes",BB1561="✓"),AND('Tasks Filter'!$I$5="No",BB1561&lt;&gt;"✓")),OR('Tasks Filter'!$L$3="",AV1561='Tasks Filter'!$L$3),OR('Tasks Filter'!$L$4="",AZ1561='Tasks Filter'!$L$4),OR('Tasks Filter'!$L$5="",BC1561='Tasks Filter'!$L$5),OR('Tasks Filter'!$O$3="",BD1561='Tasks Filter'!$O$3),OR('Tasks Filter'!$O$4="Yes",BG1561=0)),1,0))</f>
        <v/>
      </c>
      <c r="BJ1561">
        <f>IF(BH1561=0,"",IF('Tasks Filter'!$F$6="Descending",-1,1)*CHOOSE(MATCH('Tasks Filter'!$F$5,Lists!$G$2:$G$6,0),AW1561,BF1561,IFERROR(MATCH(AV1561,Setup!$F$6:$F$15,0),99),IFERROR(MATCH(BC1561,Setup!$H$6:$H$15,0),99),IFERROR(MATCH(AZ1561,Setup!$J$6:$J$11,0),99))*1E+9+(AW1561-40000)*10000+1560)</f>
        <v/>
      </c>
      <c r="BK1561">
        <f>IF(BI1561=1,BJ1561,"")</f>
        <v/>
      </c>
      <c r="BL1561">
        <f>IF(AND(BH1561=1,BG1561=0,N(AW1561)&lt;Setup!$D$7),(AW1561-40000)*10000+1560,"")</f>
        <v/>
      </c>
      <c r="BM1561">
        <f>IF(AND(BH1561=1,AZ1561&lt;&gt;"Cancelled",N(AW1561)&gt;=Dashboard!$AB$3,N(AW1561)&lt;=Dashboard!$AB$3+6),(AW1561-40000)*100000+BF1561*10000+1560,"")</f>
        <v/>
      </c>
      <c r="BN1561">
        <f>IF(AND(BH1561=1,AZ1561&lt;&gt;"Cancelled"),BF1561*10000+1560,"")</f>
        <v/>
      </c>
    </row>
    <row r="1562">
      <c r="AS1562" t="inlineStr">
        <is>
          <t>V</t>
        </is>
      </c>
      <c r="AT1562" t="n">
        <v>66</v>
      </c>
      <c r="AU1562">
        <f>'Variable Tasks'!C66&amp;""</f>
        <v/>
      </c>
      <c r="AV1562">
        <f>'Variable Tasks'!D66&amp;""</f>
        <v/>
      </c>
      <c r="AW1562">
        <f>IF('Variable Tasks'!E66="","",'Variable Tasks'!E66)</f>
        <v/>
      </c>
      <c r="AX1562">
        <f>IF('Variable Tasks'!G66="","",'Variable Tasks'!G66)</f>
        <v/>
      </c>
      <c r="AY1562">
        <f>IF('Variable Tasks'!H66="","",'Variable Tasks'!H66)</f>
        <v/>
      </c>
      <c r="AZ1562">
        <f>IF(AU1562="","",IF('Variable Tasks'!J66="","Not Started",'Variable Tasks'!J66))</f>
        <v/>
      </c>
      <c r="BA1562">
        <f>'Variable Tasks'!L66&amp;""</f>
        <v/>
      </c>
      <c r="BB1562">
        <f>'Variable Tasks'!M66&amp;""</f>
        <v/>
      </c>
      <c r="BC1562">
        <f>'Variable Tasks'!N66&amp;""</f>
        <v/>
      </c>
      <c r="BD1562">
        <f>'Variable Tasks'!O66&amp;""</f>
        <v/>
      </c>
      <c r="BE1562">
        <f>IF('Variable Tasks'!K66="","",'Variable Tasks'!K66)</f>
        <v/>
      </c>
      <c r="BF1562">
        <f>IFERROR(MATCH(BA1562,Setup!$L$6:$L$9,0),5)</f>
        <v/>
      </c>
      <c r="BG1562">
        <f>IF(OR(AZ1562="Done",AZ1562="Cancelled"),1,0)</f>
        <v/>
      </c>
      <c r="BH1562">
        <f>IF(AND(AU1562&lt;&gt;"",ISNUMBER(AW1562)),1,0)</f>
        <v/>
      </c>
      <c r="BI1562">
        <f>IF(BH1562=0,0,IF(AND(AW1562&gt;='Tasks Filter'!$F$3,AW1562&lt;='Tasks Filter'!$F$4,OR('Tasks Filter'!$I$3="",ISNUMBER(SEARCH('Tasks Filter'!$I$3,AU1562))),OR('Tasks Filter'!$I$4="",BF1562=IFERROR(MATCH('Tasks Filter'!$I$4,Setup!$L$6:$L$9,0),0)),OR('Tasks Filter'!$I$5="Both",AND('Tasks Filter'!$I$5="Yes",BB1562="✓"),AND('Tasks Filter'!$I$5="No",BB1562&lt;&gt;"✓")),OR('Tasks Filter'!$L$3="",AV1562='Tasks Filter'!$L$3),OR('Tasks Filter'!$L$4="",AZ1562='Tasks Filter'!$L$4),OR('Tasks Filter'!$L$5="",BC1562='Tasks Filter'!$L$5),OR('Tasks Filter'!$O$3="",BD1562='Tasks Filter'!$O$3),OR('Tasks Filter'!$O$4="Yes",BG1562=0)),1,0))</f>
        <v/>
      </c>
      <c r="BJ1562">
        <f>IF(BH1562=0,"",IF('Tasks Filter'!$F$6="Descending",-1,1)*CHOOSE(MATCH('Tasks Filter'!$F$5,Lists!$G$2:$G$6,0),AW1562,BF1562,IFERROR(MATCH(AV1562,Setup!$F$6:$F$15,0),99),IFERROR(MATCH(BC1562,Setup!$H$6:$H$15,0),99),IFERROR(MATCH(AZ1562,Setup!$J$6:$J$11,0),99))*1E+9+(AW1562-40000)*10000+1561)</f>
        <v/>
      </c>
      <c r="BK1562">
        <f>IF(BI1562=1,BJ1562,"")</f>
        <v/>
      </c>
      <c r="BL1562">
        <f>IF(AND(BH1562=1,BG1562=0,N(AW1562)&lt;Setup!$D$7),(AW1562-40000)*10000+1561,"")</f>
        <v/>
      </c>
      <c r="BM1562">
        <f>IF(AND(BH1562=1,AZ1562&lt;&gt;"Cancelled",N(AW1562)&gt;=Dashboard!$AB$3,N(AW1562)&lt;=Dashboard!$AB$3+6),(AW1562-40000)*100000+BF1562*10000+1561,"")</f>
        <v/>
      </c>
      <c r="BN1562">
        <f>IF(AND(BH1562=1,AZ1562&lt;&gt;"Cancelled"),BF1562*10000+1561,"")</f>
        <v/>
      </c>
    </row>
    <row r="1563">
      <c r="AS1563" t="inlineStr">
        <is>
          <t>V</t>
        </is>
      </c>
      <c r="AT1563" t="n">
        <v>67</v>
      </c>
      <c r="AU1563">
        <f>'Variable Tasks'!C67&amp;""</f>
        <v/>
      </c>
      <c r="AV1563">
        <f>'Variable Tasks'!D67&amp;""</f>
        <v/>
      </c>
      <c r="AW1563">
        <f>IF('Variable Tasks'!E67="","",'Variable Tasks'!E67)</f>
        <v/>
      </c>
      <c r="AX1563">
        <f>IF('Variable Tasks'!G67="","",'Variable Tasks'!G67)</f>
        <v/>
      </c>
      <c r="AY1563">
        <f>IF('Variable Tasks'!H67="","",'Variable Tasks'!H67)</f>
        <v/>
      </c>
      <c r="AZ1563">
        <f>IF(AU1563="","",IF('Variable Tasks'!J67="","Not Started",'Variable Tasks'!J67))</f>
        <v/>
      </c>
      <c r="BA1563">
        <f>'Variable Tasks'!L67&amp;""</f>
        <v/>
      </c>
      <c r="BB1563">
        <f>'Variable Tasks'!M67&amp;""</f>
        <v/>
      </c>
      <c r="BC1563">
        <f>'Variable Tasks'!N67&amp;""</f>
        <v/>
      </c>
      <c r="BD1563">
        <f>'Variable Tasks'!O67&amp;""</f>
        <v/>
      </c>
      <c r="BE1563">
        <f>IF('Variable Tasks'!K67="","",'Variable Tasks'!K67)</f>
        <v/>
      </c>
      <c r="BF1563">
        <f>IFERROR(MATCH(BA1563,Setup!$L$6:$L$9,0),5)</f>
        <v/>
      </c>
      <c r="BG1563">
        <f>IF(OR(AZ1563="Done",AZ1563="Cancelled"),1,0)</f>
        <v/>
      </c>
      <c r="BH1563">
        <f>IF(AND(AU1563&lt;&gt;"",ISNUMBER(AW1563)),1,0)</f>
        <v/>
      </c>
      <c r="BI1563">
        <f>IF(BH1563=0,0,IF(AND(AW1563&gt;='Tasks Filter'!$F$3,AW1563&lt;='Tasks Filter'!$F$4,OR('Tasks Filter'!$I$3="",ISNUMBER(SEARCH('Tasks Filter'!$I$3,AU1563))),OR('Tasks Filter'!$I$4="",BF1563=IFERROR(MATCH('Tasks Filter'!$I$4,Setup!$L$6:$L$9,0),0)),OR('Tasks Filter'!$I$5="Both",AND('Tasks Filter'!$I$5="Yes",BB1563="✓"),AND('Tasks Filter'!$I$5="No",BB1563&lt;&gt;"✓")),OR('Tasks Filter'!$L$3="",AV1563='Tasks Filter'!$L$3),OR('Tasks Filter'!$L$4="",AZ1563='Tasks Filter'!$L$4),OR('Tasks Filter'!$L$5="",BC1563='Tasks Filter'!$L$5),OR('Tasks Filter'!$O$3="",BD1563='Tasks Filter'!$O$3),OR('Tasks Filter'!$O$4="Yes",BG1563=0)),1,0))</f>
        <v/>
      </c>
      <c r="BJ1563">
        <f>IF(BH1563=0,"",IF('Tasks Filter'!$F$6="Descending",-1,1)*CHOOSE(MATCH('Tasks Filter'!$F$5,Lists!$G$2:$G$6,0),AW1563,BF1563,IFERROR(MATCH(AV1563,Setup!$F$6:$F$15,0),99),IFERROR(MATCH(BC1563,Setup!$H$6:$H$15,0),99),IFERROR(MATCH(AZ1563,Setup!$J$6:$J$11,0),99))*1E+9+(AW1563-40000)*10000+1562)</f>
        <v/>
      </c>
      <c r="BK1563">
        <f>IF(BI1563=1,BJ1563,"")</f>
        <v/>
      </c>
      <c r="BL1563">
        <f>IF(AND(BH1563=1,BG1563=0,N(AW1563)&lt;Setup!$D$7),(AW1563-40000)*10000+1562,"")</f>
        <v/>
      </c>
      <c r="BM1563">
        <f>IF(AND(BH1563=1,AZ1563&lt;&gt;"Cancelled",N(AW1563)&gt;=Dashboard!$AB$3,N(AW1563)&lt;=Dashboard!$AB$3+6),(AW1563-40000)*100000+BF1563*10000+1562,"")</f>
        <v/>
      </c>
      <c r="BN1563">
        <f>IF(AND(BH1563=1,AZ1563&lt;&gt;"Cancelled"),BF1563*10000+1562,"")</f>
        <v/>
      </c>
    </row>
    <row r="1564">
      <c r="AS1564" t="inlineStr">
        <is>
          <t>V</t>
        </is>
      </c>
      <c r="AT1564" t="n">
        <v>68</v>
      </c>
      <c r="AU1564">
        <f>'Variable Tasks'!C68&amp;""</f>
        <v/>
      </c>
      <c r="AV1564">
        <f>'Variable Tasks'!D68&amp;""</f>
        <v/>
      </c>
      <c r="AW1564">
        <f>IF('Variable Tasks'!E68="","",'Variable Tasks'!E68)</f>
        <v/>
      </c>
      <c r="AX1564">
        <f>IF('Variable Tasks'!G68="","",'Variable Tasks'!G68)</f>
        <v/>
      </c>
      <c r="AY1564">
        <f>IF('Variable Tasks'!H68="","",'Variable Tasks'!H68)</f>
        <v/>
      </c>
      <c r="AZ1564">
        <f>IF(AU1564="","",IF('Variable Tasks'!J68="","Not Started",'Variable Tasks'!J68))</f>
        <v/>
      </c>
      <c r="BA1564">
        <f>'Variable Tasks'!L68&amp;""</f>
        <v/>
      </c>
      <c r="BB1564">
        <f>'Variable Tasks'!M68&amp;""</f>
        <v/>
      </c>
      <c r="BC1564">
        <f>'Variable Tasks'!N68&amp;""</f>
        <v/>
      </c>
      <c r="BD1564">
        <f>'Variable Tasks'!O68&amp;""</f>
        <v/>
      </c>
      <c r="BE1564">
        <f>IF('Variable Tasks'!K68="","",'Variable Tasks'!K68)</f>
        <v/>
      </c>
      <c r="BF1564">
        <f>IFERROR(MATCH(BA1564,Setup!$L$6:$L$9,0),5)</f>
        <v/>
      </c>
      <c r="BG1564">
        <f>IF(OR(AZ1564="Done",AZ1564="Cancelled"),1,0)</f>
        <v/>
      </c>
      <c r="BH1564">
        <f>IF(AND(AU1564&lt;&gt;"",ISNUMBER(AW1564)),1,0)</f>
        <v/>
      </c>
      <c r="BI1564">
        <f>IF(BH1564=0,0,IF(AND(AW1564&gt;='Tasks Filter'!$F$3,AW1564&lt;='Tasks Filter'!$F$4,OR('Tasks Filter'!$I$3="",ISNUMBER(SEARCH('Tasks Filter'!$I$3,AU1564))),OR('Tasks Filter'!$I$4="",BF1564=IFERROR(MATCH('Tasks Filter'!$I$4,Setup!$L$6:$L$9,0),0)),OR('Tasks Filter'!$I$5="Both",AND('Tasks Filter'!$I$5="Yes",BB1564="✓"),AND('Tasks Filter'!$I$5="No",BB1564&lt;&gt;"✓")),OR('Tasks Filter'!$L$3="",AV1564='Tasks Filter'!$L$3),OR('Tasks Filter'!$L$4="",AZ1564='Tasks Filter'!$L$4),OR('Tasks Filter'!$L$5="",BC1564='Tasks Filter'!$L$5),OR('Tasks Filter'!$O$3="",BD1564='Tasks Filter'!$O$3),OR('Tasks Filter'!$O$4="Yes",BG1564=0)),1,0))</f>
        <v/>
      </c>
      <c r="BJ1564">
        <f>IF(BH1564=0,"",IF('Tasks Filter'!$F$6="Descending",-1,1)*CHOOSE(MATCH('Tasks Filter'!$F$5,Lists!$G$2:$G$6,0),AW1564,BF1564,IFERROR(MATCH(AV1564,Setup!$F$6:$F$15,0),99),IFERROR(MATCH(BC1564,Setup!$H$6:$H$15,0),99),IFERROR(MATCH(AZ1564,Setup!$J$6:$J$11,0),99))*1E+9+(AW1564-40000)*10000+1563)</f>
        <v/>
      </c>
      <c r="BK1564">
        <f>IF(BI1564=1,BJ1564,"")</f>
        <v/>
      </c>
      <c r="BL1564">
        <f>IF(AND(BH1564=1,BG1564=0,N(AW1564)&lt;Setup!$D$7),(AW1564-40000)*10000+1563,"")</f>
        <v/>
      </c>
      <c r="BM1564">
        <f>IF(AND(BH1564=1,AZ1564&lt;&gt;"Cancelled",N(AW1564)&gt;=Dashboard!$AB$3,N(AW1564)&lt;=Dashboard!$AB$3+6),(AW1564-40000)*100000+BF1564*10000+1563,"")</f>
        <v/>
      </c>
      <c r="BN1564">
        <f>IF(AND(BH1564=1,AZ1564&lt;&gt;"Cancelled"),BF1564*10000+1563,"")</f>
        <v/>
      </c>
    </row>
    <row r="1565">
      <c r="AS1565" t="inlineStr">
        <is>
          <t>V</t>
        </is>
      </c>
      <c r="AT1565" t="n">
        <v>69</v>
      </c>
      <c r="AU1565">
        <f>'Variable Tasks'!C69&amp;""</f>
        <v/>
      </c>
      <c r="AV1565">
        <f>'Variable Tasks'!D69&amp;""</f>
        <v/>
      </c>
      <c r="AW1565">
        <f>IF('Variable Tasks'!E69="","",'Variable Tasks'!E69)</f>
        <v/>
      </c>
      <c r="AX1565">
        <f>IF('Variable Tasks'!G69="","",'Variable Tasks'!G69)</f>
        <v/>
      </c>
      <c r="AY1565">
        <f>IF('Variable Tasks'!H69="","",'Variable Tasks'!H69)</f>
        <v/>
      </c>
      <c r="AZ1565">
        <f>IF(AU1565="","",IF('Variable Tasks'!J69="","Not Started",'Variable Tasks'!J69))</f>
        <v/>
      </c>
      <c r="BA1565">
        <f>'Variable Tasks'!L69&amp;""</f>
        <v/>
      </c>
      <c r="BB1565">
        <f>'Variable Tasks'!M69&amp;""</f>
        <v/>
      </c>
      <c r="BC1565">
        <f>'Variable Tasks'!N69&amp;""</f>
        <v/>
      </c>
      <c r="BD1565">
        <f>'Variable Tasks'!O69&amp;""</f>
        <v/>
      </c>
      <c r="BE1565">
        <f>IF('Variable Tasks'!K69="","",'Variable Tasks'!K69)</f>
        <v/>
      </c>
      <c r="BF1565">
        <f>IFERROR(MATCH(BA1565,Setup!$L$6:$L$9,0),5)</f>
        <v/>
      </c>
      <c r="BG1565">
        <f>IF(OR(AZ1565="Done",AZ1565="Cancelled"),1,0)</f>
        <v/>
      </c>
      <c r="BH1565">
        <f>IF(AND(AU1565&lt;&gt;"",ISNUMBER(AW1565)),1,0)</f>
        <v/>
      </c>
      <c r="BI1565">
        <f>IF(BH1565=0,0,IF(AND(AW1565&gt;='Tasks Filter'!$F$3,AW1565&lt;='Tasks Filter'!$F$4,OR('Tasks Filter'!$I$3="",ISNUMBER(SEARCH('Tasks Filter'!$I$3,AU1565))),OR('Tasks Filter'!$I$4="",BF1565=IFERROR(MATCH('Tasks Filter'!$I$4,Setup!$L$6:$L$9,0),0)),OR('Tasks Filter'!$I$5="Both",AND('Tasks Filter'!$I$5="Yes",BB1565="✓"),AND('Tasks Filter'!$I$5="No",BB1565&lt;&gt;"✓")),OR('Tasks Filter'!$L$3="",AV1565='Tasks Filter'!$L$3),OR('Tasks Filter'!$L$4="",AZ1565='Tasks Filter'!$L$4),OR('Tasks Filter'!$L$5="",BC1565='Tasks Filter'!$L$5),OR('Tasks Filter'!$O$3="",BD1565='Tasks Filter'!$O$3),OR('Tasks Filter'!$O$4="Yes",BG1565=0)),1,0))</f>
        <v/>
      </c>
      <c r="BJ1565">
        <f>IF(BH1565=0,"",IF('Tasks Filter'!$F$6="Descending",-1,1)*CHOOSE(MATCH('Tasks Filter'!$F$5,Lists!$G$2:$G$6,0),AW1565,BF1565,IFERROR(MATCH(AV1565,Setup!$F$6:$F$15,0),99),IFERROR(MATCH(BC1565,Setup!$H$6:$H$15,0),99),IFERROR(MATCH(AZ1565,Setup!$J$6:$J$11,0),99))*1E+9+(AW1565-40000)*10000+1564)</f>
        <v/>
      </c>
      <c r="BK1565">
        <f>IF(BI1565=1,BJ1565,"")</f>
        <v/>
      </c>
      <c r="BL1565">
        <f>IF(AND(BH1565=1,BG1565=0,N(AW1565)&lt;Setup!$D$7),(AW1565-40000)*10000+1564,"")</f>
        <v/>
      </c>
      <c r="BM1565">
        <f>IF(AND(BH1565=1,AZ1565&lt;&gt;"Cancelled",N(AW1565)&gt;=Dashboard!$AB$3,N(AW1565)&lt;=Dashboard!$AB$3+6),(AW1565-40000)*100000+BF1565*10000+1564,"")</f>
        <v/>
      </c>
      <c r="BN1565">
        <f>IF(AND(BH1565=1,AZ1565&lt;&gt;"Cancelled"),BF1565*10000+1564,"")</f>
        <v/>
      </c>
    </row>
    <row r="1566">
      <c r="AS1566" t="inlineStr">
        <is>
          <t>V</t>
        </is>
      </c>
      <c r="AT1566" t="n">
        <v>70</v>
      </c>
      <c r="AU1566">
        <f>'Variable Tasks'!C70&amp;""</f>
        <v/>
      </c>
      <c r="AV1566">
        <f>'Variable Tasks'!D70&amp;""</f>
        <v/>
      </c>
      <c r="AW1566">
        <f>IF('Variable Tasks'!E70="","",'Variable Tasks'!E70)</f>
        <v/>
      </c>
      <c r="AX1566">
        <f>IF('Variable Tasks'!G70="","",'Variable Tasks'!G70)</f>
        <v/>
      </c>
      <c r="AY1566">
        <f>IF('Variable Tasks'!H70="","",'Variable Tasks'!H70)</f>
        <v/>
      </c>
      <c r="AZ1566">
        <f>IF(AU1566="","",IF('Variable Tasks'!J70="","Not Started",'Variable Tasks'!J70))</f>
        <v/>
      </c>
      <c r="BA1566">
        <f>'Variable Tasks'!L70&amp;""</f>
        <v/>
      </c>
      <c r="BB1566">
        <f>'Variable Tasks'!M70&amp;""</f>
        <v/>
      </c>
      <c r="BC1566">
        <f>'Variable Tasks'!N70&amp;""</f>
        <v/>
      </c>
      <c r="BD1566">
        <f>'Variable Tasks'!O70&amp;""</f>
        <v/>
      </c>
      <c r="BE1566">
        <f>IF('Variable Tasks'!K70="","",'Variable Tasks'!K70)</f>
        <v/>
      </c>
      <c r="BF1566">
        <f>IFERROR(MATCH(BA1566,Setup!$L$6:$L$9,0),5)</f>
        <v/>
      </c>
      <c r="BG1566">
        <f>IF(OR(AZ1566="Done",AZ1566="Cancelled"),1,0)</f>
        <v/>
      </c>
      <c r="BH1566">
        <f>IF(AND(AU1566&lt;&gt;"",ISNUMBER(AW1566)),1,0)</f>
        <v/>
      </c>
      <c r="BI1566">
        <f>IF(BH1566=0,0,IF(AND(AW1566&gt;='Tasks Filter'!$F$3,AW1566&lt;='Tasks Filter'!$F$4,OR('Tasks Filter'!$I$3="",ISNUMBER(SEARCH('Tasks Filter'!$I$3,AU1566))),OR('Tasks Filter'!$I$4="",BF1566=IFERROR(MATCH('Tasks Filter'!$I$4,Setup!$L$6:$L$9,0),0)),OR('Tasks Filter'!$I$5="Both",AND('Tasks Filter'!$I$5="Yes",BB1566="✓"),AND('Tasks Filter'!$I$5="No",BB1566&lt;&gt;"✓")),OR('Tasks Filter'!$L$3="",AV1566='Tasks Filter'!$L$3),OR('Tasks Filter'!$L$4="",AZ1566='Tasks Filter'!$L$4),OR('Tasks Filter'!$L$5="",BC1566='Tasks Filter'!$L$5),OR('Tasks Filter'!$O$3="",BD1566='Tasks Filter'!$O$3),OR('Tasks Filter'!$O$4="Yes",BG1566=0)),1,0))</f>
        <v/>
      </c>
      <c r="BJ1566">
        <f>IF(BH1566=0,"",IF('Tasks Filter'!$F$6="Descending",-1,1)*CHOOSE(MATCH('Tasks Filter'!$F$5,Lists!$G$2:$G$6,0),AW1566,BF1566,IFERROR(MATCH(AV1566,Setup!$F$6:$F$15,0),99),IFERROR(MATCH(BC1566,Setup!$H$6:$H$15,0),99),IFERROR(MATCH(AZ1566,Setup!$J$6:$J$11,0),99))*1E+9+(AW1566-40000)*10000+1565)</f>
        <v/>
      </c>
      <c r="BK1566">
        <f>IF(BI1566=1,BJ1566,"")</f>
        <v/>
      </c>
      <c r="BL1566">
        <f>IF(AND(BH1566=1,BG1566=0,N(AW1566)&lt;Setup!$D$7),(AW1566-40000)*10000+1565,"")</f>
        <v/>
      </c>
      <c r="BM1566">
        <f>IF(AND(BH1566=1,AZ1566&lt;&gt;"Cancelled",N(AW1566)&gt;=Dashboard!$AB$3,N(AW1566)&lt;=Dashboard!$AB$3+6),(AW1566-40000)*100000+BF1566*10000+1565,"")</f>
        <v/>
      </c>
      <c r="BN1566">
        <f>IF(AND(BH1566=1,AZ1566&lt;&gt;"Cancelled"),BF1566*10000+1565,"")</f>
        <v/>
      </c>
    </row>
    <row r="1567">
      <c r="AS1567" t="inlineStr">
        <is>
          <t>V</t>
        </is>
      </c>
      <c r="AT1567" t="n">
        <v>71</v>
      </c>
      <c r="AU1567">
        <f>'Variable Tasks'!C71&amp;""</f>
        <v/>
      </c>
      <c r="AV1567">
        <f>'Variable Tasks'!D71&amp;""</f>
        <v/>
      </c>
      <c r="AW1567">
        <f>IF('Variable Tasks'!E71="","",'Variable Tasks'!E71)</f>
        <v/>
      </c>
      <c r="AX1567">
        <f>IF('Variable Tasks'!G71="","",'Variable Tasks'!G71)</f>
        <v/>
      </c>
      <c r="AY1567">
        <f>IF('Variable Tasks'!H71="","",'Variable Tasks'!H71)</f>
        <v/>
      </c>
      <c r="AZ1567">
        <f>IF(AU1567="","",IF('Variable Tasks'!J71="","Not Started",'Variable Tasks'!J71))</f>
        <v/>
      </c>
      <c r="BA1567">
        <f>'Variable Tasks'!L71&amp;""</f>
        <v/>
      </c>
      <c r="BB1567">
        <f>'Variable Tasks'!M71&amp;""</f>
        <v/>
      </c>
      <c r="BC1567">
        <f>'Variable Tasks'!N71&amp;""</f>
        <v/>
      </c>
      <c r="BD1567">
        <f>'Variable Tasks'!O71&amp;""</f>
        <v/>
      </c>
      <c r="BE1567">
        <f>IF('Variable Tasks'!K71="","",'Variable Tasks'!K71)</f>
        <v/>
      </c>
      <c r="BF1567">
        <f>IFERROR(MATCH(BA1567,Setup!$L$6:$L$9,0),5)</f>
        <v/>
      </c>
      <c r="BG1567">
        <f>IF(OR(AZ1567="Done",AZ1567="Cancelled"),1,0)</f>
        <v/>
      </c>
      <c r="BH1567">
        <f>IF(AND(AU1567&lt;&gt;"",ISNUMBER(AW1567)),1,0)</f>
        <v/>
      </c>
      <c r="BI1567">
        <f>IF(BH1567=0,0,IF(AND(AW1567&gt;='Tasks Filter'!$F$3,AW1567&lt;='Tasks Filter'!$F$4,OR('Tasks Filter'!$I$3="",ISNUMBER(SEARCH('Tasks Filter'!$I$3,AU1567))),OR('Tasks Filter'!$I$4="",BF1567=IFERROR(MATCH('Tasks Filter'!$I$4,Setup!$L$6:$L$9,0),0)),OR('Tasks Filter'!$I$5="Both",AND('Tasks Filter'!$I$5="Yes",BB1567="✓"),AND('Tasks Filter'!$I$5="No",BB1567&lt;&gt;"✓")),OR('Tasks Filter'!$L$3="",AV1567='Tasks Filter'!$L$3),OR('Tasks Filter'!$L$4="",AZ1567='Tasks Filter'!$L$4),OR('Tasks Filter'!$L$5="",BC1567='Tasks Filter'!$L$5),OR('Tasks Filter'!$O$3="",BD1567='Tasks Filter'!$O$3),OR('Tasks Filter'!$O$4="Yes",BG1567=0)),1,0))</f>
        <v/>
      </c>
      <c r="BJ1567">
        <f>IF(BH1567=0,"",IF('Tasks Filter'!$F$6="Descending",-1,1)*CHOOSE(MATCH('Tasks Filter'!$F$5,Lists!$G$2:$G$6,0),AW1567,BF1567,IFERROR(MATCH(AV1567,Setup!$F$6:$F$15,0),99),IFERROR(MATCH(BC1567,Setup!$H$6:$H$15,0),99),IFERROR(MATCH(AZ1567,Setup!$J$6:$J$11,0),99))*1E+9+(AW1567-40000)*10000+1566)</f>
        <v/>
      </c>
      <c r="BK1567">
        <f>IF(BI1567=1,BJ1567,"")</f>
        <v/>
      </c>
      <c r="BL1567">
        <f>IF(AND(BH1567=1,BG1567=0,N(AW1567)&lt;Setup!$D$7),(AW1567-40000)*10000+1566,"")</f>
        <v/>
      </c>
      <c r="BM1567">
        <f>IF(AND(BH1567=1,AZ1567&lt;&gt;"Cancelled",N(AW1567)&gt;=Dashboard!$AB$3,N(AW1567)&lt;=Dashboard!$AB$3+6),(AW1567-40000)*100000+BF1567*10000+1566,"")</f>
        <v/>
      </c>
      <c r="BN1567">
        <f>IF(AND(BH1567=1,AZ1567&lt;&gt;"Cancelled"),BF1567*10000+1566,"")</f>
        <v/>
      </c>
    </row>
    <row r="1568">
      <c r="AS1568" t="inlineStr">
        <is>
          <t>V</t>
        </is>
      </c>
      <c r="AT1568" t="n">
        <v>72</v>
      </c>
      <c r="AU1568">
        <f>'Variable Tasks'!C72&amp;""</f>
        <v/>
      </c>
      <c r="AV1568">
        <f>'Variable Tasks'!D72&amp;""</f>
        <v/>
      </c>
      <c r="AW1568">
        <f>IF('Variable Tasks'!E72="","",'Variable Tasks'!E72)</f>
        <v/>
      </c>
      <c r="AX1568">
        <f>IF('Variable Tasks'!G72="","",'Variable Tasks'!G72)</f>
        <v/>
      </c>
      <c r="AY1568">
        <f>IF('Variable Tasks'!H72="","",'Variable Tasks'!H72)</f>
        <v/>
      </c>
      <c r="AZ1568">
        <f>IF(AU1568="","",IF('Variable Tasks'!J72="","Not Started",'Variable Tasks'!J72))</f>
        <v/>
      </c>
      <c r="BA1568">
        <f>'Variable Tasks'!L72&amp;""</f>
        <v/>
      </c>
      <c r="BB1568">
        <f>'Variable Tasks'!M72&amp;""</f>
        <v/>
      </c>
      <c r="BC1568">
        <f>'Variable Tasks'!N72&amp;""</f>
        <v/>
      </c>
      <c r="BD1568">
        <f>'Variable Tasks'!O72&amp;""</f>
        <v/>
      </c>
      <c r="BE1568">
        <f>IF('Variable Tasks'!K72="","",'Variable Tasks'!K72)</f>
        <v/>
      </c>
      <c r="BF1568">
        <f>IFERROR(MATCH(BA1568,Setup!$L$6:$L$9,0),5)</f>
        <v/>
      </c>
      <c r="BG1568">
        <f>IF(OR(AZ1568="Done",AZ1568="Cancelled"),1,0)</f>
        <v/>
      </c>
      <c r="BH1568">
        <f>IF(AND(AU1568&lt;&gt;"",ISNUMBER(AW1568)),1,0)</f>
        <v/>
      </c>
      <c r="BI1568">
        <f>IF(BH1568=0,0,IF(AND(AW1568&gt;='Tasks Filter'!$F$3,AW1568&lt;='Tasks Filter'!$F$4,OR('Tasks Filter'!$I$3="",ISNUMBER(SEARCH('Tasks Filter'!$I$3,AU1568))),OR('Tasks Filter'!$I$4="",BF1568=IFERROR(MATCH('Tasks Filter'!$I$4,Setup!$L$6:$L$9,0),0)),OR('Tasks Filter'!$I$5="Both",AND('Tasks Filter'!$I$5="Yes",BB1568="✓"),AND('Tasks Filter'!$I$5="No",BB1568&lt;&gt;"✓")),OR('Tasks Filter'!$L$3="",AV1568='Tasks Filter'!$L$3),OR('Tasks Filter'!$L$4="",AZ1568='Tasks Filter'!$L$4),OR('Tasks Filter'!$L$5="",BC1568='Tasks Filter'!$L$5),OR('Tasks Filter'!$O$3="",BD1568='Tasks Filter'!$O$3),OR('Tasks Filter'!$O$4="Yes",BG1568=0)),1,0))</f>
        <v/>
      </c>
      <c r="BJ1568">
        <f>IF(BH1568=0,"",IF('Tasks Filter'!$F$6="Descending",-1,1)*CHOOSE(MATCH('Tasks Filter'!$F$5,Lists!$G$2:$G$6,0),AW1568,BF1568,IFERROR(MATCH(AV1568,Setup!$F$6:$F$15,0),99),IFERROR(MATCH(BC1568,Setup!$H$6:$H$15,0),99),IFERROR(MATCH(AZ1568,Setup!$J$6:$J$11,0),99))*1E+9+(AW1568-40000)*10000+1567)</f>
        <v/>
      </c>
      <c r="BK1568">
        <f>IF(BI1568=1,BJ1568,"")</f>
        <v/>
      </c>
      <c r="BL1568">
        <f>IF(AND(BH1568=1,BG1568=0,N(AW1568)&lt;Setup!$D$7),(AW1568-40000)*10000+1567,"")</f>
        <v/>
      </c>
      <c r="BM1568">
        <f>IF(AND(BH1568=1,AZ1568&lt;&gt;"Cancelled",N(AW1568)&gt;=Dashboard!$AB$3,N(AW1568)&lt;=Dashboard!$AB$3+6),(AW1568-40000)*100000+BF1568*10000+1567,"")</f>
        <v/>
      </c>
      <c r="BN1568">
        <f>IF(AND(BH1568=1,AZ1568&lt;&gt;"Cancelled"),BF1568*10000+1567,"")</f>
        <v/>
      </c>
    </row>
    <row r="1569">
      <c r="AS1569" t="inlineStr">
        <is>
          <t>V</t>
        </is>
      </c>
      <c r="AT1569" t="n">
        <v>73</v>
      </c>
      <c r="AU1569">
        <f>'Variable Tasks'!C73&amp;""</f>
        <v/>
      </c>
      <c r="AV1569">
        <f>'Variable Tasks'!D73&amp;""</f>
        <v/>
      </c>
      <c r="AW1569">
        <f>IF('Variable Tasks'!E73="","",'Variable Tasks'!E73)</f>
        <v/>
      </c>
      <c r="AX1569">
        <f>IF('Variable Tasks'!G73="","",'Variable Tasks'!G73)</f>
        <v/>
      </c>
      <c r="AY1569">
        <f>IF('Variable Tasks'!H73="","",'Variable Tasks'!H73)</f>
        <v/>
      </c>
      <c r="AZ1569">
        <f>IF(AU1569="","",IF('Variable Tasks'!J73="","Not Started",'Variable Tasks'!J73))</f>
        <v/>
      </c>
      <c r="BA1569">
        <f>'Variable Tasks'!L73&amp;""</f>
        <v/>
      </c>
      <c r="BB1569">
        <f>'Variable Tasks'!M73&amp;""</f>
        <v/>
      </c>
      <c r="BC1569">
        <f>'Variable Tasks'!N73&amp;""</f>
        <v/>
      </c>
      <c r="BD1569">
        <f>'Variable Tasks'!O73&amp;""</f>
        <v/>
      </c>
      <c r="BE1569">
        <f>IF('Variable Tasks'!K73="","",'Variable Tasks'!K73)</f>
        <v/>
      </c>
      <c r="BF1569">
        <f>IFERROR(MATCH(BA1569,Setup!$L$6:$L$9,0),5)</f>
        <v/>
      </c>
      <c r="BG1569">
        <f>IF(OR(AZ1569="Done",AZ1569="Cancelled"),1,0)</f>
        <v/>
      </c>
      <c r="BH1569">
        <f>IF(AND(AU1569&lt;&gt;"",ISNUMBER(AW1569)),1,0)</f>
        <v/>
      </c>
      <c r="BI1569">
        <f>IF(BH1569=0,0,IF(AND(AW1569&gt;='Tasks Filter'!$F$3,AW1569&lt;='Tasks Filter'!$F$4,OR('Tasks Filter'!$I$3="",ISNUMBER(SEARCH('Tasks Filter'!$I$3,AU1569))),OR('Tasks Filter'!$I$4="",BF1569=IFERROR(MATCH('Tasks Filter'!$I$4,Setup!$L$6:$L$9,0),0)),OR('Tasks Filter'!$I$5="Both",AND('Tasks Filter'!$I$5="Yes",BB1569="✓"),AND('Tasks Filter'!$I$5="No",BB1569&lt;&gt;"✓")),OR('Tasks Filter'!$L$3="",AV1569='Tasks Filter'!$L$3),OR('Tasks Filter'!$L$4="",AZ1569='Tasks Filter'!$L$4),OR('Tasks Filter'!$L$5="",BC1569='Tasks Filter'!$L$5),OR('Tasks Filter'!$O$3="",BD1569='Tasks Filter'!$O$3),OR('Tasks Filter'!$O$4="Yes",BG1569=0)),1,0))</f>
        <v/>
      </c>
      <c r="BJ1569">
        <f>IF(BH1569=0,"",IF('Tasks Filter'!$F$6="Descending",-1,1)*CHOOSE(MATCH('Tasks Filter'!$F$5,Lists!$G$2:$G$6,0),AW1569,BF1569,IFERROR(MATCH(AV1569,Setup!$F$6:$F$15,0),99),IFERROR(MATCH(BC1569,Setup!$H$6:$H$15,0),99),IFERROR(MATCH(AZ1569,Setup!$J$6:$J$11,0),99))*1E+9+(AW1569-40000)*10000+1568)</f>
        <v/>
      </c>
      <c r="BK1569">
        <f>IF(BI1569=1,BJ1569,"")</f>
        <v/>
      </c>
      <c r="BL1569">
        <f>IF(AND(BH1569=1,BG1569=0,N(AW1569)&lt;Setup!$D$7),(AW1569-40000)*10000+1568,"")</f>
        <v/>
      </c>
      <c r="BM1569">
        <f>IF(AND(BH1569=1,AZ1569&lt;&gt;"Cancelled",N(AW1569)&gt;=Dashboard!$AB$3,N(AW1569)&lt;=Dashboard!$AB$3+6),(AW1569-40000)*100000+BF1569*10000+1568,"")</f>
        <v/>
      </c>
      <c r="BN1569">
        <f>IF(AND(BH1569=1,AZ1569&lt;&gt;"Cancelled"),BF1569*10000+1568,"")</f>
        <v/>
      </c>
    </row>
    <row r="1570">
      <c r="AS1570" t="inlineStr">
        <is>
          <t>V</t>
        </is>
      </c>
      <c r="AT1570" t="n">
        <v>74</v>
      </c>
      <c r="AU1570">
        <f>'Variable Tasks'!C74&amp;""</f>
        <v/>
      </c>
      <c r="AV1570">
        <f>'Variable Tasks'!D74&amp;""</f>
        <v/>
      </c>
      <c r="AW1570">
        <f>IF('Variable Tasks'!E74="","",'Variable Tasks'!E74)</f>
        <v/>
      </c>
      <c r="AX1570">
        <f>IF('Variable Tasks'!G74="","",'Variable Tasks'!G74)</f>
        <v/>
      </c>
      <c r="AY1570">
        <f>IF('Variable Tasks'!H74="","",'Variable Tasks'!H74)</f>
        <v/>
      </c>
      <c r="AZ1570">
        <f>IF(AU1570="","",IF('Variable Tasks'!J74="","Not Started",'Variable Tasks'!J74))</f>
        <v/>
      </c>
      <c r="BA1570">
        <f>'Variable Tasks'!L74&amp;""</f>
        <v/>
      </c>
      <c r="BB1570">
        <f>'Variable Tasks'!M74&amp;""</f>
        <v/>
      </c>
      <c r="BC1570">
        <f>'Variable Tasks'!N74&amp;""</f>
        <v/>
      </c>
      <c r="BD1570">
        <f>'Variable Tasks'!O74&amp;""</f>
        <v/>
      </c>
      <c r="BE1570">
        <f>IF('Variable Tasks'!K74="","",'Variable Tasks'!K74)</f>
        <v/>
      </c>
      <c r="BF1570">
        <f>IFERROR(MATCH(BA1570,Setup!$L$6:$L$9,0),5)</f>
        <v/>
      </c>
      <c r="BG1570">
        <f>IF(OR(AZ1570="Done",AZ1570="Cancelled"),1,0)</f>
        <v/>
      </c>
      <c r="BH1570">
        <f>IF(AND(AU1570&lt;&gt;"",ISNUMBER(AW1570)),1,0)</f>
        <v/>
      </c>
      <c r="BI1570">
        <f>IF(BH1570=0,0,IF(AND(AW1570&gt;='Tasks Filter'!$F$3,AW1570&lt;='Tasks Filter'!$F$4,OR('Tasks Filter'!$I$3="",ISNUMBER(SEARCH('Tasks Filter'!$I$3,AU1570))),OR('Tasks Filter'!$I$4="",BF1570=IFERROR(MATCH('Tasks Filter'!$I$4,Setup!$L$6:$L$9,0),0)),OR('Tasks Filter'!$I$5="Both",AND('Tasks Filter'!$I$5="Yes",BB1570="✓"),AND('Tasks Filter'!$I$5="No",BB1570&lt;&gt;"✓")),OR('Tasks Filter'!$L$3="",AV1570='Tasks Filter'!$L$3),OR('Tasks Filter'!$L$4="",AZ1570='Tasks Filter'!$L$4),OR('Tasks Filter'!$L$5="",BC1570='Tasks Filter'!$L$5),OR('Tasks Filter'!$O$3="",BD1570='Tasks Filter'!$O$3),OR('Tasks Filter'!$O$4="Yes",BG1570=0)),1,0))</f>
        <v/>
      </c>
      <c r="BJ1570">
        <f>IF(BH1570=0,"",IF('Tasks Filter'!$F$6="Descending",-1,1)*CHOOSE(MATCH('Tasks Filter'!$F$5,Lists!$G$2:$G$6,0),AW1570,BF1570,IFERROR(MATCH(AV1570,Setup!$F$6:$F$15,0),99),IFERROR(MATCH(BC1570,Setup!$H$6:$H$15,0),99),IFERROR(MATCH(AZ1570,Setup!$J$6:$J$11,0),99))*1E+9+(AW1570-40000)*10000+1569)</f>
        <v/>
      </c>
      <c r="BK1570">
        <f>IF(BI1570=1,BJ1570,"")</f>
        <v/>
      </c>
      <c r="BL1570">
        <f>IF(AND(BH1570=1,BG1570=0,N(AW1570)&lt;Setup!$D$7),(AW1570-40000)*10000+1569,"")</f>
        <v/>
      </c>
      <c r="BM1570">
        <f>IF(AND(BH1570=1,AZ1570&lt;&gt;"Cancelled",N(AW1570)&gt;=Dashboard!$AB$3,N(AW1570)&lt;=Dashboard!$AB$3+6),(AW1570-40000)*100000+BF1570*10000+1569,"")</f>
        <v/>
      </c>
      <c r="BN1570">
        <f>IF(AND(BH1570=1,AZ1570&lt;&gt;"Cancelled"),BF1570*10000+1569,"")</f>
        <v/>
      </c>
    </row>
    <row r="1571">
      <c r="AS1571" t="inlineStr">
        <is>
          <t>V</t>
        </is>
      </c>
      <c r="AT1571" t="n">
        <v>75</v>
      </c>
      <c r="AU1571">
        <f>'Variable Tasks'!C75&amp;""</f>
        <v/>
      </c>
      <c r="AV1571">
        <f>'Variable Tasks'!D75&amp;""</f>
        <v/>
      </c>
      <c r="AW1571">
        <f>IF('Variable Tasks'!E75="","",'Variable Tasks'!E75)</f>
        <v/>
      </c>
      <c r="AX1571">
        <f>IF('Variable Tasks'!G75="","",'Variable Tasks'!G75)</f>
        <v/>
      </c>
      <c r="AY1571">
        <f>IF('Variable Tasks'!H75="","",'Variable Tasks'!H75)</f>
        <v/>
      </c>
      <c r="AZ1571">
        <f>IF(AU1571="","",IF('Variable Tasks'!J75="","Not Started",'Variable Tasks'!J75))</f>
        <v/>
      </c>
      <c r="BA1571">
        <f>'Variable Tasks'!L75&amp;""</f>
        <v/>
      </c>
      <c r="BB1571">
        <f>'Variable Tasks'!M75&amp;""</f>
        <v/>
      </c>
      <c r="BC1571">
        <f>'Variable Tasks'!N75&amp;""</f>
        <v/>
      </c>
      <c r="BD1571">
        <f>'Variable Tasks'!O75&amp;""</f>
        <v/>
      </c>
      <c r="BE1571">
        <f>IF('Variable Tasks'!K75="","",'Variable Tasks'!K75)</f>
        <v/>
      </c>
      <c r="BF1571">
        <f>IFERROR(MATCH(BA1571,Setup!$L$6:$L$9,0),5)</f>
        <v/>
      </c>
      <c r="BG1571">
        <f>IF(OR(AZ1571="Done",AZ1571="Cancelled"),1,0)</f>
        <v/>
      </c>
      <c r="BH1571">
        <f>IF(AND(AU1571&lt;&gt;"",ISNUMBER(AW1571)),1,0)</f>
        <v/>
      </c>
      <c r="BI1571">
        <f>IF(BH1571=0,0,IF(AND(AW1571&gt;='Tasks Filter'!$F$3,AW1571&lt;='Tasks Filter'!$F$4,OR('Tasks Filter'!$I$3="",ISNUMBER(SEARCH('Tasks Filter'!$I$3,AU1571))),OR('Tasks Filter'!$I$4="",BF1571=IFERROR(MATCH('Tasks Filter'!$I$4,Setup!$L$6:$L$9,0),0)),OR('Tasks Filter'!$I$5="Both",AND('Tasks Filter'!$I$5="Yes",BB1571="✓"),AND('Tasks Filter'!$I$5="No",BB1571&lt;&gt;"✓")),OR('Tasks Filter'!$L$3="",AV1571='Tasks Filter'!$L$3),OR('Tasks Filter'!$L$4="",AZ1571='Tasks Filter'!$L$4),OR('Tasks Filter'!$L$5="",BC1571='Tasks Filter'!$L$5),OR('Tasks Filter'!$O$3="",BD1571='Tasks Filter'!$O$3),OR('Tasks Filter'!$O$4="Yes",BG1571=0)),1,0))</f>
        <v/>
      </c>
      <c r="BJ1571">
        <f>IF(BH1571=0,"",IF('Tasks Filter'!$F$6="Descending",-1,1)*CHOOSE(MATCH('Tasks Filter'!$F$5,Lists!$G$2:$G$6,0),AW1571,BF1571,IFERROR(MATCH(AV1571,Setup!$F$6:$F$15,0),99),IFERROR(MATCH(BC1571,Setup!$H$6:$H$15,0),99),IFERROR(MATCH(AZ1571,Setup!$J$6:$J$11,0),99))*1E+9+(AW1571-40000)*10000+1570)</f>
        <v/>
      </c>
      <c r="BK1571">
        <f>IF(BI1571=1,BJ1571,"")</f>
        <v/>
      </c>
      <c r="BL1571">
        <f>IF(AND(BH1571=1,BG1571=0,N(AW1571)&lt;Setup!$D$7),(AW1571-40000)*10000+1570,"")</f>
        <v/>
      </c>
      <c r="BM1571">
        <f>IF(AND(BH1571=1,AZ1571&lt;&gt;"Cancelled",N(AW1571)&gt;=Dashboard!$AB$3,N(AW1571)&lt;=Dashboard!$AB$3+6),(AW1571-40000)*100000+BF1571*10000+1570,"")</f>
        <v/>
      </c>
      <c r="BN1571">
        <f>IF(AND(BH1571=1,AZ1571&lt;&gt;"Cancelled"),BF1571*10000+1570,"")</f>
        <v/>
      </c>
    </row>
    <row r="1572">
      <c r="AS1572" t="inlineStr">
        <is>
          <t>V</t>
        </is>
      </c>
      <c r="AT1572" t="n">
        <v>76</v>
      </c>
      <c r="AU1572">
        <f>'Variable Tasks'!C76&amp;""</f>
        <v/>
      </c>
      <c r="AV1572">
        <f>'Variable Tasks'!D76&amp;""</f>
        <v/>
      </c>
      <c r="AW1572">
        <f>IF('Variable Tasks'!E76="","",'Variable Tasks'!E76)</f>
        <v/>
      </c>
      <c r="AX1572">
        <f>IF('Variable Tasks'!G76="","",'Variable Tasks'!G76)</f>
        <v/>
      </c>
      <c r="AY1572">
        <f>IF('Variable Tasks'!H76="","",'Variable Tasks'!H76)</f>
        <v/>
      </c>
      <c r="AZ1572">
        <f>IF(AU1572="","",IF('Variable Tasks'!J76="","Not Started",'Variable Tasks'!J76))</f>
        <v/>
      </c>
      <c r="BA1572">
        <f>'Variable Tasks'!L76&amp;""</f>
        <v/>
      </c>
      <c r="BB1572">
        <f>'Variable Tasks'!M76&amp;""</f>
        <v/>
      </c>
      <c r="BC1572">
        <f>'Variable Tasks'!N76&amp;""</f>
        <v/>
      </c>
      <c r="BD1572">
        <f>'Variable Tasks'!O76&amp;""</f>
        <v/>
      </c>
      <c r="BE1572">
        <f>IF('Variable Tasks'!K76="","",'Variable Tasks'!K76)</f>
        <v/>
      </c>
      <c r="BF1572">
        <f>IFERROR(MATCH(BA1572,Setup!$L$6:$L$9,0),5)</f>
        <v/>
      </c>
      <c r="BG1572">
        <f>IF(OR(AZ1572="Done",AZ1572="Cancelled"),1,0)</f>
        <v/>
      </c>
      <c r="BH1572">
        <f>IF(AND(AU1572&lt;&gt;"",ISNUMBER(AW1572)),1,0)</f>
        <v/>
      </c>
      <c r="BI1572">
        <f>IF(BH1572=0,0,IF(AND(AW1572&gt;='Tasks Filter'!$F$3,AW1572&lt;='Tasks Filter'!$F$4,OR('Tasks Filter'!$I$3="",ISNUMBER(SEARCH('Tasks Filter'!$I$3,AU1572))),OR('Tasks Filter'!$I$4="",BF1572=IFERROR(MATCH('Tasks Filter'!$I$4,Setup!$L$6:$L$9,0),0)),OR('Tasks Filter'!$I$5="Both",AND('Tasks Filter'!$I$5="Yes",BB1572="✓"),AND('Tasks Filter'!$I$5="No",BB1572&lt;&gt;"✓")),OR('Tasks Filter'!$L$3="",AV1572='Tasks Filter'!$L$3),OR('Tasks Filter'!$L$4="",AZ1572='Tasks Filter'!$L$4),OR('Tasks Filter'!$L$5="",BC1572='Tasks Filter'!$L$5),OR('Tasks Filter'!$O$3="",BD1572='Tasks Filter'!$O$3),OR('Tasks Filter'!$O$4="Yes",BG1572=0)),1,0))</f>
        <v/>
      </c>
      <c r="BJ1572">
        <f>IF(BH1572=0,"",IF('Tasks Filter'!$F$6="Descending",-1,1)*CHOOSE(MATCH('Tasks Filter'!$F$5,Lists!$G$2:$G$6,0),AW1572,BF1572,IFERROR(MATCH(AV1572,Setup!$F$6:$F$15,0),99),IFERROR(MATCH(BC1572,Setup!$H$6:$H$15,0),99),IFERROR(MATCH(AZ1572,Setup!$J$6:$J$11,0),99))*1E+9+(AW1572-40000)*10000+1571)</f>
        <v/>
      </c>
      <c r="BK1572">
        <f>IF(BI1572=1,BJ1572,"")</f>
        <v/>
      </c>
      <c r="BL1572">
        <f>IF(AND(BH1572=1,BG1572=0,N(AW1572)&lt;Setup!$D$7),(AW1572-40000)*10000+1571,"")</f>
        <v/>
      </c>
      <c r="BM1572">
        <f>IF(AND(BH1572=1,AZ1572&lt;&gt;"Cancelled",N(AW1572)&gt;=Dashboard!$AB$3,N(AW1572)&lt;=Dashboard!$AB$3+6),(AW1572-40000)*100000+BF1572*10000+1571,"")</f>
        <v/>
      </c>
      <c r="BN1572">
        <f>IF(AND(BH1572=1,AZ1572&lt;&gt;"Cancelled"),BF1572*10000+1571,"")</f>
        <v/>
      </c>
    </row>
    <row r="1573">
      <c r="AS1573" t="inlineStr">
        <is>
          <t>V</t>
        </is>
      </c>
      <c r="AT1573" t="n">
        <v>77</v>
      </c>
      <c r="AU1573">
        <f>'Variable Tasks'!C77&amp;""</f>
        <v/>
      </c>
      <c r="AV1573">
        <f>'Variable Tasks'!D77&amp;""</f>
        <v/>
      </c>
      <c r="AW1573">
        <f>IF('Variable Tasks'!E77="","",'Variable Tasks'!E77)</f>
        <v/>
      </c>
      <c r="AX1573">
        <f>IF('Variable Tasks'!G77="","",'Variable Tasks'!G77)</f>
        <v/>
      </c>
      <c r="AY1573">
        <f>IF('Variable Tasks'!H77="","",'Variable Tasks'!H77)</f>
        <v/>
      </c>
      <c r="AZ1573">
        <f>IF(AU1573="","",IF('Variable Tasks'!J77="","Not Started",'Variable Tasks'!J77))</f>
        <v/>
      </c>
      <c r="BA1573">
        <f>'Variable Tasks'!L77&amp;""</f>
        <v/>
      </c>
      <c r="BB1573">
        <f>'Variable Tasks'!M77&amp;""</f>
        <v/>
      </c>
      <c r="BC1573">
        <f>'Variable Tasks'!N77&amp;""</f>
        <v/>
      </c>
      <c r="BD1573">
        <f>'Variable Tasks'!O77&amp;""</f>
        <v/>
      </c>
      <c r="BE1573">
        <f>IF('Variable Tasks'!K77="","",'Variable Tasks'!K77)</f>
        <v/>
      </c>
      <c r="BF1573">
        <f>IFERROR(MATCH(BA1573,Setup!$L$6:$L$9,0),5)</f>
        <v/>
      </c>
      <c r="BG1573">
        <f>IF(OR(AZ1573="Done",AZ1573="Cancelled"),1,0)</f>
        <v/>
      </c>
      <c r="BH1573">
        <f>IF(AND(AU1573&lt;&gt;"",ISNUMBER(AW1573)),1,0)</f>
        <v/>
      </c>
      <c r="BI1573">
        <f>IF(BH1573=0,0,IF(AND(AW1573&gt;='Tasks Filter'!$F$3,AW1573&lt;='Tasks Filter'!$F$4,OR('Tasks Filter'!$I$3="",ISNUMBER(SEARCH('Tasks Filter'!$I$3,AU1573))),OR('Tasks Filter'!$I$4="",BF1573=IFERROR(MATCH('Tasks Filter'!$I$4,Setup!$L$6:$L$9,0),0)),OR('Tasks Filter'!$I$5="Both",AND('Tasks Filter'!$I$5="Yes",BB1573="✓"),AND('Tasks Filter'!$I$5="No",BB1573&lt;&gt;"✓")),OR('Tasks Filter'!$L$3="",AV1573='Tasks Filter'!$L$3),OR('Tasks Filter'!$L$4="",AZ1573='Tasks Filter'!$L$4),OR('Tasks Filter'!$L$5="",BC1573='Tasks Filter'!$L$5),OR('Tasks Filter'!$O$3="",BD1573='Tasks Filter'!$O$3),OR('Tasks Filter'!$O$4="Yes",BG1573=0)),1,0))</f>
        <v/>
      </c>
      <c r="BJ1573">
        <f>IF(BH1573=0,"",IF('Tasks Filter'!$F$6="Descending",-1,1)*CHOOSE(MATCH('Tasks Filter'!$F$5,Lists!$G$2:$G$6,0),AW1573,BF1573,IFERROR(MATCH(AV1573,Setup!$F$6:$F$15,0),99),IFERROR(MATCH(BC1573,Setup!$H$6:$H$15,0),99),IFERROR(MATCH(AZ1573,Setup!$J$6:$J$11,0),99))*1E+9+(AW1573-40000)*10000+1572)</f>
        <v/>
      </c>
      <c r="BK1573">
        <f>IF(BI1573=1,BJ1573,"")</f>
        <v/>
      </c>
      <c r="BL1573">
        <f>IF(AND(BH1573=1,BG1573=0,N(AW1573)&lt;Setup!$D$7),(AW1573-40000)*10000+1572,"")</f>
        <v/>
      </c>
      <c r="BM1573">
        <f>IF(AND(BH1573=1,AZ1573&lt;&gt;"Cancelled",N(AW1573)&gt;=Dashboard!$AB$3,N(AW1573)&lt;=Dashboard!$AB$3+6),(AW1573-40000)*100000+BF1573*10000+1572,"")</f>
        <v/>
      </c>
      <c r="BN1573">
        <f>IF(AND(BH1573=1,AZ1573&lt;&gt;"Cancelled"),BF1573*10000+1572,"")</f>
        <v/>
      </c>
    </row>
    <row r="1574">
      <c r="AS1574" t="inlineStr">
        <is>
          <t>V</t>
        </is>
      </c>
      <c r="AT1574" t="n">
        <v>78</v>
      </c>
      <c r="AU1574">
        <f>'Variable Tasks'!C78&amp;""</f>
        <v/>
      </c>
      <c r="AV1574">
        <f>'Variable Tasks'!D78&amp;""</f>
        <v/>
      </c>
      <c r="AW1574">
        <f>IF('Variable Tasks'!E78="","",'Variable Tasks'!E78)</f>
        <v/>
      </c>
      <c r="AX1574">
        <f>IF('Variable Tasks'!G78="","",'Variable Tasks'!G78)</f>
        <v/>
      </c>
      <c r="AY1574">
        <f>IF('Variable Tasks'!H78="","",'Variable Tasks'!H78)</f>
        <v/>
      </c>
      <c r="AZ1574">
        <f>IF(AU1574="","",IF('Variable Tasks'!J78="","Not Started",'Variable Tasks'!J78))</f>
        <v/>
      </c>
      <c r="BA1574">
        <f>'Variable Tasks'!L78&amp;""</f>
        <v/>
      </c>
      <c r="BB1574">
        <f>'Variable Tasks'!M78&amp;""</f>
        <v/>
      </c>
      <c r="BC1574">
        <f>'Variable Tasks'!N78&amp;""</f>
        <v/>
      </c>
      <c r="BD1574">
        <f>'Variable Tasks'!O78&amp;""</f>
        <v/>
      </c>
      <c r="BE1574">
        <f>IF('Variable Tasks'!K78="","",'Variable Tasks'!K78)</f>
        <v/>
      </c>
      <c r="BF1574">
        <f>IFERROR(MATCH(BA1574,Setup!$L$6:$L$9,0),5)</f>
        <v/>
      </c>
      <c r="BG1574">
        <f>IF(OR(AZ1574="Done",AZ1574="Cancelled"),1,0)</f>
        <v/>
      </c>
      <c r="BH1574">
        <f>IF(AND(AU1574&lt;&gt;"",ISNUMBER(AW1574)),1,0)</f>
        <v/>
      </c>
      <c r="BI1574">
        <f>IF(BH1574=0,0,IF(AND(AW1574&gt;='Tasks Filter'!$F$3,AW1574&lt;='Tasks Filter'!$F$4,OR('Tasks Filter'!$I$3="",ISNUMBER(SEARCH('Tasks Filter'!$I$3,AU1574))),OR('Tasks Filter'!$I$4="",BF1574=IFERROR(MATCH('Tasks Filter'!$I$4,Setup!$L$6:$L$9,0),0)),OR('Tasks Filter'!$I$5="Both",AND('Tasks Filter'!$I$5="Yes",BB1574="✓"),AND('Tasks Filter'!$I$5="No",BB1574&lt;&gt;"✓")),OR('Tasks Filter'!$L$3="",AV1574='Tasks Filter'!$L$3),OR('Tasks Filter'!$L$4="",AZ1574='Tasks Filter'!$L$4),OR('Tasks Filter'!$L$5="",BC1574='Tasks Filter'!$L$5),OR('Tasks Filter'!$O$3="",BD1574='Tasks Filter'!$O$3),OR('Tasks Filter'!$O$4="Yes",BG1574=0)),1,0))</f>
        <v/>
      </c>
      <c r="BJ1574">
        <f>IF(BH1574=0,"",IF('Tasks Filter'!$F$6="Descending",-1,1)*CHOOSE(MATCH('Tasks Filter'!$F$5,Lists!$G$2:$G$6,0),AW1574,BF1574,IFERROR(MATCH(AV1574,Setup!$F$6:$F$15,0),99),IFERROR(MATCH(BC1574,Setup!$H$6:$H$15,0),99),IFERROR(MATCH(AZ1574,Setup!$J$6:$J$11,0),99))*1E+9+(AW1574-40000)*10000+1573)</f>
        <v/>
      </c>
      <c r="BK1574">
        <f>IF(BI1574=1,BJ1574,"")</f>
        <v/>
      </c>
      <c r="BL1574">
        <f>IF(AND(BH1574=1,BG1574=0,N(AW1574)&lt;Setup!$D$7),(AW1574-40000)*10000+1573,"")</f>
        <v/>
      </c>
      <c r="BM1574">
        <f>IF(AND(BH1574=1,AZ1574&lt;&gt;"Cancelled",N(AW1574)&gt;=Dashboard!$AB$3,N(AW1574)&lt;=Dashboard!$AB$3+6),(AW1574-40000)*100000+BF1574*10000+1573,"")</f>
        <v/>
      </c>
      <c r="BN1574">
        <f>IF(AND(BH1574=1,AZ1574&lt;&gt;"Cancelled"),BF1574*10000+1573,"")</f>
        <v/>
      </c>
    </row>
    <row r="1575">
      <c r="AS1575" t="inlineStr">
        <is>
          <t>V</t>
        </is>
      </c>
      <c r="AT1575" t="n">
        <v>79</v>
      </c>
      <c r="AU1575">
        <f>'Variable Tasks'!C79&amp;""</f>
        <v/>
      </c>
      <c r="AV1575">
        <f>'Variable Tasks'!D79&amp;""</f>
        <v/>
      </c>
      <c r="AW1575">
        <f>IF('Variable Tasks'!E79="","",'Variable Tasks'!E79)</f>
        <v/>
      </c>
      <c r="AX1575">
        <f>IF('Variable Tasks'!G79="","",'Variable Tasks'!G79)</f>
        <v/>
      </c>
      <c r="AY1575">
        <f>IF('Variable Tasks'!H79="","",'Variable Tasks'!H79)</f>
        <v/>
      </c>
      <c r="AZ1575">
        <f>IF(AU1575="","",IF('Variable Tasks'!J79="","Not Started",'Variable Tasks'!J79))</f>
        <v/>
      </c>
      <c r="BA1575">
        <f>'Variable Tasks'!L79&amp;""</f>
        <v/>
      </c>
      <c r="BB1575">
        <f>'Variable Tasks'!M79&amp;""</f>
        <v/>
      </c>
      <c r="BC1575">
        <f>'Variable Tasks'!N79&amp;""</f>
        <v/>
      </c>
      <c r="BD1575">
        <f>'Variable Tasks'!O79&amp;""</f>
        <v/>
      </c>
      <c r="BE1575">
        <f>IF('Variable Tasks'!K79="","",'Variable Tasks'!K79)</f>
        <v/>
      </c>
      <c r="BF1575">
        <f>IFERROR(MATCH(BA1575,Setup!$L$6:$L$9,0),5)</f>
        <v/>
      </c>
      <c r="BG1575">
        <f>IF(OR(AZ1575="Done",AZ1575="Cancelled"),1,0)</f>
        <v/>
      </c>
      <c r="BH1575">
        <f>IF(AND(AU1575&lt;&gt;"",ISNUMBER(AW1575)),1,0)</f>
        <v/>
      </c>
      <c r="BI1575">
        <f>IF(BH1575=0,0,IF(AND(AW1575&gt;='Tasks Filter'!$F$3,AW1575&lt;='Tasks Filter'!$F$4,OR('Tasks Filter'!$I$3="",ISNUMBER(SEARCH('Tasks Filter'!$I$3,AU1575))),OR('Tasks Filter'!$I$4="",BF1575=IFERROR(MATCH('Tasks Filter'!$I$4,Setup!$L$6:$L$9,0),0)),OR('Tasks Filter'!$I$5="Both",AND('Tasks Filter'!$I$5="Yes",BB1575="✓"),AND('Tasks Filter'!$I$5="No",BB1575&lt;&gt;"✓")),OR('Tasks Filter'!$L$3="",AV1575='Tasks Filter'!$L$3),OR('Tasks Filter'!$L$4="",AZ1575='Tasks Filter'!$L$4),OR('Tasks Filter'!$L$5="",BC1575='Tasks Filter'!$L$5),OR('Tasks Filter'!$O$3="",BD1575='Tasks Filter'!$O$3),OR('Tasks Filter'!$O$4="Yes",BG1575=0)),1,0))</f>
        <v/>
      </c>
      <c r="BJ1575">
        <f>IF(BH1575=0,"",IF('Tasks Filter'!$F$6="Descending",-1,1)*CHOOSE(MATCH('Tasks Filter'!$F$5,Lists!$G$2:$G$6,0),AW1575,BF1575,IFERROR(MATCH(AV1575,Setup!$F$6:$F$15,0),99),IFERROR(MATCH(BC1575,Setup!$H$6:$H$15,0),99),IFERROR(MATCH(AZ1575,Setup!$J$6:$J$11,0),99))*1E+9+(AW1575-40000)*10000+1574)</f>
        <v/>
      </c>
      <c r="BK1575">
        <f>IF(BI1575=1,BJ1575,"")</f>
        <v/>
      </c>
      <c r="BL1575">
        <f>IF(AND(BH1575=1,BG1575=0,N(AW1575)&lt;Setup!$D$7),(AW1575-40000)*10000+1574,"")</f>
        <v/>
      </c>
      <c r="BM1575">
        <f>IF(AND(BH1575=1,AZ1575&lt;&gt;"Cancelled",N(AW1575)&gt;=Dashboard!$AB$3,N(AW1575)&lt;=Dashboard!$AB$3+6),(AW1575-40000)*100000+BF1575*10000+1574,"")</f>
        <v/>
      </c>
      <c r="BN1575">
        <f>IF(AND(BH1575=1,AZ1575&lt;&gt;"Cancelled"),BF1575*10000+1574,"")</f>
        <v/>
      </c>
    </row>
    <row r="1576">
      <c r="AS1576" t="inlineStr">
        <is>
          <t>V</t>
        </is>
      </c>
      <c r="AT1576" t="n">
        <v>80</v>
      </c>
      <c r="AU1576">
        <f>'Variable Tasks'!C80&amp;""</f>
        <v/>
      </c>
      <c r="AV1576">
        <f>'Variable Tasks'!D80&amp;""</f>
        <v/>
      </c>
      <c r="AW1576">
        <f>IF('Variable Tasks'!E80="","",'Variable Tasks'!E80)</f>
        <v/>
      </c>
      <c r="AX1576">
        <f>IF('Variable Tasks'!G80="","",'Variable Tasks'!G80)</f>
        <v/>
      </c>
      <c r="AY1576">
        <f>IF('Variable Tasks'!H80="","",'Variable Tasks'!H80)</f>
        <v/>
      </c>
      <c r="AZ1576">
        <f>IF(AU1576="","",IF('Variable Tasks'!J80="","Not Started",'Variable Tasks'!J80))</f>
        <v/>
      </c>
      <c r="BA1576">
        <f>'Variable Tasks'!L80&amp;""</f>
        <v/>
      </c>
      <c r="BB1576">
        <f>'Variable Tasks'!M80&amp;""</f>
        <v/>
      </c>
      <c r="BC1576">
        <f>'Variable Tasks'!N80&amp;""</f>
        <v/>
      </c>
      <c r="BD1576">
        <f>'Variable Tasks'!O80&amp;""</f>
        <v/>
      </c>
      <c r="BE1576">
        <f>IF('Variable Tasks'!K80="","",'Variable Tasks'!K80)</f>
        <v/>
      </c>
      <c r="BF1576">
        <f>IFERROR(MATCH(BA1576,Setup!$L$6:$L$9,0),5)</f>
        <v/>
      </c>
      <c r="BG1576">
        <f>IF(OR(AZ1576="Done",AZ1576="Cancelled"),1,0)</f>
        <v/>
      </c>
      <c r="BH1576">
        <f>IF(AND(AU1576&lt;&gt;"",ISNUMBER(AW1576)),1,0)</f>
        <v/>
      </c>
      <c r="BI1576">
        <f>IF(BH1576=0,0,IF(AND(AW1576&gt;='Tasks Filter'!$F$3,AW1576&lt;='Tasks Filter'!$F$4,OR('Tasks Filter'!$I$3="",ISNUMBER(SEARCH('Tasks Filter'!$I$3,AU1576))),OR('Tasks Filter'!$I$4="",BF1576=IFERROR(MATCH('Tasks Filter'!$I$4,Setup!$L$6:$L$9,0),0)),OR('Tasks Filter'!$I$5="Both",AND('Tasks Filter'!$I$5="Yes",BB1576="✓"),AND('Tasks Filter'!$I$5="No",BB1576&lt;&gt;"✓")),OR('Tasks Filter'!$L$3="",AV1576='Tasks Filter'!$L$3),OR('Tasks Filter'!$L$4="",AZ1576='Tasks Filter'!$L$4),OR('Tasks Filter'!$L$5="",BC1576='Tasks Filter'!$L$5),OR('Tasks Filter'!$O$3="",BD1576='Tasks Filter'!$O$3),OR('Tasks Filter'!$O$4="Yes",BG1576=0)),1,0))</f>
        <v/>
      </c>
      <c r="BJ1576">
        <f>IF(BH1576=0,"",IF('Tasks Filter'!$F$6="Descending",-1,1)*CHOOSE(MATCH('Tasks Filter'!$F$5,Lists!$G$2:$G$6,0),AW1576,BF1576,IFERROR(MATCH(AV1576,Setup!$F$6:$F$15,0),99),IFERROR(MATCH(BC1576,Setup!$H$6:$H$15,0),99),IFERROR(MATCH(AZ1576,Setup!$J$6:$J$11,0),99))*1E+9+(AW1576-40000)*10000+1575)</f>
        <v/>
      </c>
      <c r="BK1576">
        <f>IF(BI1576=1,BJ1576,"")</f>
        <v/>
      </c>
      <c r="BL1576">
        <f>IF(AND(BH1576=1,BG1576=0,N(AW1576)&lt;Setup!$D$7),(AW1576-40000)*10000+1575,"")</f>
        <v/>
      </c>
      <c r="BM1576">
        <f>IF(AND(BH1576=1,AZ1576&lt;&gt;"Cancelled",N(AW1576)&gt;=Dashboard!$AB$3,N(AW1576)&lt;=Dashboard!$AB$3+6),(AW1576-40000)*100000+BF1576*10000+1575,"")</f>
        <v/>
      </c>
      <c r="BN1576">
        <f>IF(AND(BH1576=1,AZ1576&lt;&gt;"Cancelled"),BF1576*10000+1575,"")</f>
        <v/>
      </c>
    </row>
    <row r="1577">
      <c r="AS1577" t="inlineStr">
        <is>
          <t>V</t>
        </is>
      </c>
      <c r="AT1577" t="n">
        <v>81</v>
      </c>
      <c r="AU1577">
        <f>'Variable Tasks'!C81&amp;""</f>
        <v/>
      </c>
      <c r="AV1577">
        <f>'Variable Tasks'!D81&amp;""</f>
        <v/>
      </c>
      <c r="AW1577">
        <f>IF('Variable Tasks'!E81="","",'Variable Tasks'!E81)</f>
        <v/>
      </c>
      <c r="AX1577">
        <f>IF('Variable Tasks'!G81="","",'Variable Tasks'!G81)</f>
        <v/>
      </c>
      <c r="AY1577">
        <f>IF('Variable Tasks'!H81="","",'Variable Tasks'!H81)</f>
        <v/>
      </c>
      <c r="AZ1577">
        <f>IF(AU1577="","",IF('Variable Tasks'!J81="","Not Started",'Variable Tasks'!J81))</f>
        <v/>
      </c>
      <c r="BA1577">
        <f>'Variable Tasks'!L81&amp;""</f>
        <v/>
      </c>
      <c r="BB1577">
        <f>'Variable Tasks'!M81&amp;""</f>
        <v/>
      </c>
      <c r="BC1577">
        <f>'Variable Tasks'!N81&amp;""</f>
        <v/>
      </c>
      <c r="BD1577">
        <f>'Variable Tasks'!O81&amp;""</f>
        <v/>
      </c>
      <c r="BE1577">
        <f>IF('Variable Tasks'!K81="","",'Variable Tasks'!K81)</f>
        <v/>
      </c>
      <c r="BF1577">
        <f>IFERROR(MATCH(BA1577,Setup!$L$6:$L$9,0),5)</f>
        <v/>
      </c>
      <c r="BG1577">
        <f>IF(OR(AZ1577="Done",AZ1577="Cancelled"),1,0)</f>
        <v/>
      </c>
      <c r="BH1577">
        <f>IF(AND(AU1577&lt;&gt;"",ISNUMBER(AW1577)),1,0)</f>
        <v/>
      </c>
      <c r="BI1577">
        <f>IF(BH1577=0,0,IF(AND(AW1577&gt;='Tasks Filter'!$F$3,AW1577&lt;='Tasks Filter'!$F$4,OR('Tasks Filter'!$I$3="",ISNUMBER(SEARCH('Tasks Filter'!$I$3,AU1577))),OR('Tasks Filter'!$I$4="",BF1577=IFERROR(MATCH('Tasks Filter'!$I$4,Setup!$L$6:$L$9,0),0)),OR('Tasks Filter'!$I$5="Both",AND('Tasks Filter'!$I$5="Yes",BB1577="✓"),AND('Tasks Filter'!$I$5="No",BB1577&lt;&gt;"✓")),OR('Tasks Filter'!$L$3="",AV1577='Tasks Filter'!$L$3),OR('Tasks Filter'!$L$4="",AZ1577='Tasks Filter'!$L$4),OR('Tasks Filter'!$L$5="",BC1577='Tasks Filter'!$L$5),OR('Tasks Filter'!$O$3="",BD1577='Tasks Filter'!$O$3),OR('Tasks Filter'!$O$4="Yes",BG1577=0)),1,0))</f>
        <v/>
      </c>
      <c r="BJ1577">
        <f>IF(BH1577=0,"",IF('Tasks Filter'!$F$6="Descending",-1,1)*CHOOSE(MATCH('Tasks Filter'!$F$5,Lists!$G$2:$G$6,0),AW1577,BF1577,IFERROR(MATCH(AV1577,Setup!$F$6:$F$15,0),99),IFERROR(MATCH(BC1577,Setup!$H$6:$H$15,0),99),IFERROR(MATCH(AZ1577,Setup!$J$6:$J$11,0),99))*1E+9+(AW1577-40000)*10000+1576)</f>
        <v/>
      </c>
      <c r="BK1577">
        <f>IF(BI1577=1,BJ1577,"")</f>
        <v/>
      </c>
      <c r="BL1577">
        <f>IF(AND(BH1577=1,BG1577=0,N(AW1577)&lt;Setup!$D$7),(AW1577-40000)*10000+1576,"")</f>
        <v/>
      </c>
      <c r="BM1577">
        <f>IF(AND(BH1577=1,AZ1577&lt;&gt;"Cancelled",N(AW1577)&gt;=Dashboard!$AB$3,N(AW1577)&lt;=Dashboard!$AB$3+6),(AW1577-40000)*100000+BF1577*10000+1576,"")</f>
        <v/>
      </c>
      <c r="BN1577">
        <f>IF(AND(BH1577=1,AZ1577&lt;&gt;"Cancelled"),BF1577*10000+1576,"")</f>
        <v/>
      </c>
    </row>
    <row r="1578">
      <c r="AS1578" t="inlineStr">
        <is>
          <t>V</t>
        </is>
      </c>
      <c r="AT1578" t="n">
        <v>82</v>
      </c>
      <c r="AU1578">
        <f>'Variable Tasks'!C82&amp;""</f>
        <v/>
      </c>
      <c r="AV1578">
        <f>'Variable Tasks'!D82&amp;""</f>
        <v/>
      </c>
      <c r="AW1578">
        <f>IF('Variable Tasks'!E82="","",'Variable Tasks'!E82)</f>
        <v/>
      </c>
      <c r="AX1578">
        <f>IF('Variable Tasks'!G82="","",'Variable Tasks'!G82)</f>
        <v/>
      </c>
      <c r="AY1578">
        <f>IF('Variable Tasks'!H82="","",'Variable Tasks'!H82)</f>
        <v/>
      </c>
      <c r="AZ1578">
        <f>IF(AU1578="","",IF('Variable Tasks'!J82="","Not Started",'Variable Tasks'!J82))</f>
        <v/>
      </c>
      <c r="BA1578">
        <f>'Variable Tasks'!L82&amp;""</f>
        <v/>
      </c>
      <c r="BB1578">
        <f>'Variable Tasks'!M82&amp;""</f>
        <v/>
      </c>
      <c r="BC1578">
        <f>'Variable Tasks'!N82&amp;""</f>
        <v/>
      </c>
      <c r="BD1578">
        <f>'Variable Tasks'!O82&amp;""</f>
        <v/>
      </c>
      <c r="BE1578">
        <f>IF('Variable Tasks'!K82="","",'Variable Tasks'!K82)</f>
        <v/>
      </c>
      <c r="BF1578">
        <f>IFERROR(MATCH(BA1578,Setup!$L$6:$L$9,0),5)</f>
        <v/>
      </c>
      <c r="BG1578">
        <f>IF(OR(AZ1578="Done",AZ1578="Cancelled"),1,0)</f>
        <v/>
      </c>
      <c r="BH1578">
        <f>IF(AND(AU1578&lt;&gt;"",ISNUMBER(AW1578)),1,0)</f>
        <v/>
      </c>
      <c r="BI1578">
        <f>IF(BH1578=0,0,IF(AND(AW1578&gt;='Tasks Filter'!$F$3,AW1578&lt;='Tasks Filter'!$F$4,OR('Tasks Filter'!$I$3="",ISNUMBER(SEARCH('Tasks Filter'!$I$3,AU1578))),OR('Tasks Filter'!$I$4="",BF1578=IFERROR(MATCH('Tasks Filter'!$I$4,Setup!$L$6:$L$9,0),0)),OR('Tasks Filter'!$I$5="Both",AND('Tasks Filter'!$I$5="Yes",BB1578="✓"),AND('Tasks Filter'!$I$5="No",BB1578&lt;&gt;"✓")),OR('Tasks Filter'!$L$3="",AV1578='Tasks Filter'!$L$3),OR('Tasks Filter'!$L$4="",AZ1578='Tasks Filter'!$L$4),OR('Tasks Filter'!$L$5="",BC1578='Tasks Filter'!$L$5),OR('Tasks Filter'!$O$3="",BD1578='Tasks Filter'!$O$3),OR('Tasks Filter'!$O$4="Yes",BG1578=0)),1,0))</f>
        <v/>
      </c>
      <c r="BJ1578">
        <f>IF(BH1578=0,"",IF('Tasks Filter'!$F$6="Descending",-1,1)*CHOOSE(MATCH('Tasks Filter'!$F$5,Lists!$G$2:$G$6,0),AW1578,BF1578,IFERROR(MATCH(AV1578,Setup!$F$6:$F$15,0),99),IFERROR(MATCH(BC1578,Setup!$H$6:$H$15,0),99),IFERROR(MATCH(AZ1578,Setup!$J$6:$J$11,0),99))*1E+9+(AW1578-40000)*10000+1577)</f>
        <v/>
      </c>
      <c r="BK1578">
        <f>IF(BI1578=1,BJ1578,"")</f>
        <v/>
      </c>
      <c r="BL1578">
        <f>IF(AND(BH1578=1,BG1578=0,N(AW1578)&lt;Setup!$D$7),(AW1578-40000)*10000+1577,"")</f>
        <v/>
      </c>
      <c r="BM1578">
        <f>IF(AND(BH1578=1,AZ1578&lt;&gt;"Cancelled",N(AW1578)&gt;=Dashboard!$AB$3,N(AW1578)&lt;=Dashboard!$AB$3+6),(AW1578-40000)*100000+BF1578*10000+1577,"")</f>
        <v/>
      </c>
      <c r="BN1578">
        <f>IF(AND(BH1578=1,AZ1578&lt;&gt;"Cancelled"),BF1578*10000+1577,"")</f>
        <v/>
      </c>
    </row>
    <row r="1579">
      <c r="AS1579" t="inlineStr">
        <is>
          <t>V</t>
        </is>
      </c>
      <c r="AT1579" t="n">
        <v>83</v>
      </c>
      <c r="AU1579">
        <f>'Variable Tasks'!C83&amp;""</f>
        <v/>
      </c>
      <c r="AV1579">
        <f>'Variable Tasks'!D83&amp;""</f>
        <v/>
      </c>
      <c r="AW1579">
        <f>IF('Variable Tasks'!E83="","",'Variable Tasks'!E83)</f>
        <v/>
      </c>
      <c r="AX1579">
        <f>IF('Variable Tasks'!G83="","",'Variable Tasks'!G83)</f>
        <v/>
      </c>
      <c r="AY1579">
        <f>IF('Variable Tasks'!H83="","",'Variable Tasks'!H83)</f>
        <v/>
      </c>
      <c r="AZ1579">
        <f>IF(AU1579="","",IF('Variable Tasks'!J83="","Not Started",'Variable Tasks'!J83))</f>
        <v/>
      </c>
      <c r="BA1579">
        <f>'Variable Tasks'!L83&amp;""</f>
        <v/>
      </c>
      <c r="BB1579">
        <f>'Variable Tasks'!M83&amp;""</f>
        <v/>
      </c>
      <c r="BC1579">
        <f>'Variable Tasks'!N83&amp;""</f>
        <v/>
      </c>
      <c r="BD1579">
        <f>'Variable Tasks'!O83&amp;""</f>
        <v/>
      </c>
      <c r="BE1579">
        <f>IF('Variable Tasks'!K83="","",'Variable Tasks'!K83)</f>
        <v/>
      </c>
      <c r="BF1579">
        <f>IFERROR(MATCH(BA1579,Setup!$L$6:$L$9,0),5)</f>
        <v/>
      </c>
      <c r="BG1579">
        <f>IF(OR(AZ1579="Done",AZ1579="Cancelled"),1,0)</f>
        <v/>
      </c>
      <c r="BH1579">
        <f>IF(AND(AU1579&lt;&gt;"",ISNUMBER(AW1579)),1,0)</f>
        <v/>
      </c>
      <c r="BI1579">
        <f>IF(BH1579=0,0,IF(AND(AW1579&gt;='Tasks Filter'!$F$3,AW1579&lt;='Tasks Filter'!$F$4,OR('Tasks Filter'!$I$3="",ISNUMBER(SEARCH('Tasks Filter'!$I$3,AU1579))),OR('Tasks Filter'!$I$4="",BF1579=IFERROR(MATCH('Tasks Filter'!$I$4,Setup!$L$6:$L$9,0),0)),OR('Tasks Filter'!$I$5="Both",AND('Tasks Filter'!$I$5="Yes",BB1579="✓"),AND('Tasks Filter'!$I$5="No",BB1579&lt;&gt;"✓")),OR('Tasks Filter'!$L$3="",AV1579='Tasks Filter'!$L$3),OR('Tasks Filter'!$L$4="",AZ1579='Tasks Filter'!$L$4),OR('Tasks Filter'!$L$5="",BC1579='Tasks Filter'!$L$5),OR('Tasks Filter'!$O$3="",BD1579='Tasks Filter'!$O$3),OR('Tasks Filter'!$O$4="Yes",BG1579=0)),1,0))</f>
        <v/>
      </c>
      <c r="BJ1579">
        <f>IF(BH1579=0,"",IF('Tasks Filter'!$F$6="Descending",-1,1)*CHOOSE(MATCH('Tasks Filter'!$F$5,Lists!$G$2:$G$6,0),AW1579,BF1579,IFERROR(MATCH(AV1579,Setup!$F$6:$F$15,0),99),IFERROR(MATCH(BC1579,Setup!$H$6:$H$15,0),99),IFERROR(MATCH(AZ1579,Setup!$J$6:$J$11,0),99))*1E+9+(AW1579-40000)*10000+1578)</f>
        <v/>
      </c>
      <c r="BK1579">
        <f>IF(BI1579=1,BJ1579,"")</f>
        <v/>
      </c>
      <c r="BL1579">
        <f>IF(AND(BH1579=1,BG1579=0,N(AW1579)&lt;Setup!$D$7),(AW1579-40000)*10000+1578,"")</f>
        <v/>
      </c>
      <c r="BM1579">
        <f>IF(AND(BH1579=1,AZ1579&lt;&gt;"Cancelled",N(AW1579)&gt;=Dashboard!$AB$3,N(AW1579)&lt;=Dashboard!$AB$3+6),(AW1579-40000)*100000+BF1579*10000+1578,"")</f>
        <v/>
      </c>
      <c r="BN1579">
        <f>IF(AND(BH1579=1,AZ1579&lt;&gt;"Cancelled"),BF1579*10000+1578,"")</f>
        <v/>
      </c>
    </row>
    <row r="1580">
      <c r="AS1580" t="inlineStr">
        <is>
          <t>V</t>
        </is>
      </c>
      <c r="AT1580" t="n">
        <v>84</v>
      </c>
      <c r="AU1580">
        <f>'Variable Tasks'!C84&amp;""</f>
        <v/>
      </c>
      <c r="AV1580">
        <f>'Variable Tasks'!D84&amp;""</f>
        <v/>
      </c>
      <c r="AW1580">
        <f>IF('Variable Tasks'!E84="","",'Variable Tasks'!E84)</f>
        <v/>
      </c>
      <c r="AX1580">
        <f>IF('Variable Tasks'!G84="","",'Variable Tasks'!G84)</f>
        <v/>
      </c>
      <c r="AY1580">
        <f>IF('Variable Tasks'!H84="","",'Variable Tasks'!H84)</f>
        <v/>
      </c>
      <c r="AZ1580">
        <f>IF(AU1580="","",IF('Variable Tasks'!J84="","Not Started",'Variable Tasks'!J84))</f>
        <v/>
      </c>
      <c r="BA1580">
        <f>'Variable Tasks'!L84&amp;""</f>
        <v/>
      </c>
      <c r="BB1580">
        <f>'Variable Tasks'!M84&amp;""</f>
        <v/>
      </c>
      <c r="BC1580">
        <f>'Variable Tasks'!N84&amp;""</f>
        <v/>
      </c>
      <c r="BD1580">
        <f>'Variable Tasks'!O84&amp;""</f>
        <v/>
      </c>
      <c r="BE1580">
        <f>IF('Variable Tasks'!K84="","",'Variable Tasks'!K84)</f>
        <v/>
      </c>
      <c r="BF1580">
        <f>IFERROR(MATCH(BA1580,Setup!$L$6:$L$9,0),5)</f>
        <v/>
      </c>
      <c r="BG1580">
        <f>IF(OR(AZ1580="Done",AZ1580="Cancelled"),1,0)</f>
        <v/>
      </c>
      <c r="BH1580">
        <f>IF(AND(AU1580&lt;&gt;"",ISNUMBER(AW1580)),1,0)</f>
        <v/>
      </c>
      <c r="BI1580">
        <f>IF(BH1580=0,0,IF(AND(AW1580&gt;='Tasks Filter'!$F$3,AW1580&lt;='Tasks Filter'!$F$4,OR('Tasks Filter'!$I$3="",ISNUMBER(SEARCH('Tasks Filter'!$I$3,AU1580))),OR('Tasks Filter'!$I$4="",BF1580=IFERROR(MATCH('Tasks Filter'!$I$4,Setup!$L$6:$L$9,0),0)),OR('Tasks Filter'!$I$5="Both",AND('Tasks Filter'!$I$5="Yes",BB1580="✓"),AND('Tasks Filter'!$I$5="No",BB1580&lt;&gt;"✓")),OR('Tasks Filter'!$L$3="",AV1580='Tasks Filter'!$L$3),OR('Tasks Filter'!$L$4="",AZ1580='Tasks Filter'!$L$4),OR('Tasks Filter'!$L$5="",BC1580='Tasks Filter'!$L$5),OR('Tasks Filter'!$O$3="",BD1580='Tasks Filter'!$O$3),OR('Tasks Filter'!$O$4="Yes",BG1580=0)),1,0))</f>
        <v/>
      </c>
      <c r="BJ1580">
        <f>IF(BH1580=0,"",IF('Tasks Filter'!$F$6="Descending",-1,1)*CHOOSE(MATCH('Tasks Filter'!$F$5,Lists!$G$2:$G$6,0),AW1580,BF1580,IFERROR(MATCH(AV1580,Setup!$F$6:$F$15,0),99),IFERROR(MATCH(BC1580,Setup!$H$6:$H$15,0),99),IFERROR(MATCH(AZ1580,Setup!$J$6:$J$11,0),99))*1E+9+(AW1580-40000)*10000+1579)</f>
        <v/>
      </c>
      <c r="BK1580">
        <f>IF(BI1580=1,BJ1580,"")</f>
        <v/>
      </c>
      <c r="BL1580">
        <f>IF(AND(BH1580=1,BG1580=0,N(AW1580)&lt;Setup!$D$7),(AW1580-40000)*10000+1579,"")</f>
        <v/>
      </c>
      <c r="BM1580">
        <f>IF(AND(BH1580=1,AZ1580&lt;&gt;"Cancelled",N(AW1580)&gt;=Dashboard!$AB$3,N(AW1580)&lt;=Dashboard!$AB$3+6),(AW1580-40000)*100000+BF1580*10000+1579,"")</f>
        <v/>
      </c>
      <c r="BN1580">
        <f>IF(AND(BH1580=1,AZ1580&lt;&gt;"Cancelled"),BF1580*10000+1579,"")</f>
        <v/>
      </c>
    </row>
    <row r="1581">
      <c r="AS1581" t="inlineStr">
        <is>
          <t>V</t>
        </is>
      </c>
      <c r="AT1581" t="n">
        <v>85</v>
      </c>
      <c r="AU1581">
        <f>'Variable Tasks'!C85&amp;""</f>
        <v/>
      </c>
      <c r="AV1581">
        <f>'Variable Tasks'!D85&amp;""</f>
        <v/>
      </c>
      <c r="AW1581">
        <f>IF('Variable Tasks'!E85="","",'Variable Tasks'!E85)</f>
        <v/>
      </c>
      <c r="AX1581">
        <f>IF('Variable Tasks'!G85="","",'Variable Tasks'!G85)</f>
        <v/>
      </c>
      <c r="AY1581">
        <f>IF('Variable Tasks'!H85="","",'Variable Tasks'!H85)</f>
        <v/>
      </c>
      <c r="AZ1581">
        <f>IF(AU1581="","",IF('Variable Tasks'!J85="","Not Started",'Variable Tasks'!J85))</f>
        <v/>
      </c>
      <c r="BA1581">
        <f>'Variable Tasks'!L85&amp;""</f>
        <v/>
      </c>
      <c r="BB1581">
        <f>'Variable Tasks'!M85&amp;""</f>
        <v/>
      </c>
      <c r="BC1581">
        <f>'Variable Tasks'!N85&amp;""</f>
        <v/>
      </c>
      <c r="BD1581">
        <f>'Variable Tasks'!O85&amp;""</f>
        <v/>
      </c>
      <c r="BE1581">
        <f>IF('Variable Tasks'!K85="","",'Variable Tasks'!K85)</f>
        <v/>
      </c>
      <c r="BF1581">
        <f>IFERROR(MATCH(BA1581,Setup!$L$6:$L$9,0),5)</f>
        <v/>
      </c>
      <c r="BG1581">
        <f>IF(OR(AZ1581="Done",AZ1581="Cancelled"),1,0)</f>
        <v/>
      </c>
      <c r="BH1581">
        <f>IF(AND(AU1581&lt;&gt;"",ISNUMBER(AW1581)),1,0)</f>
        <v/>
      </c>
      <c r="BI1581">
        <f>IF(BH1581=0,0,IF(AND(AW1581&gt;='Tasks Filter'!$F$3,AW1581&lt;='Tasks Filter'!$F$4,OR('Tasks Filter'!$I$3="",ISNUMBER(SEARCH('Tasks Filter'!$I$3,AU1581))),OR('Tasks Filter'!$I$4="",BF1581=IFERROR(MATCH('Tasks Filter'!$I$4,Setup!$L$6:$L$9,0),0)),OR('Tasks Filter'!$I$5="Both",AND('Tasks Filter'!$I$5="Yes",BB1581="✓"),AND('Tasks Filter'!$I$5="No",BB1581&lt;&gt;"✓")),OR('Tasks Filter'!$L$3="",AV1581='Tasks Filter'!$L$3),OR('Tasks Filter'!$L$4="",AZ1581='Tasks Filter'!$L$4),OR('Tasks Filter'!$L$5="",BC1581='Tasks Filter'!$L$5),OR('Tasks Filter'!$O$3="",BD1581='Tasks Filter'!$O$3),OR('Tasks Filter'!$O$4="Yes",BG1581=0)),1,0))</f>
        <v/>
      </c>
      <c r="BJ1581">
        <f>IF(BH1581=0,"",IF('Tasks Filter'!$F$6="Descending",-1,1)*CHOOSE(MATCH('Tasks Filter'!$F$5,Lists!$G$2:$G$6,0),AW1581,BF1581,IFERROR(MATCH(AV1581,Setup!$F$6:$F$15,0),99),IFERROR(MATCH(BC1581,Setup!$H$6:$H$15,0),99),IFERROR(MATCH(AZ1581,Setup!$J$6:$J$11,0),99))*1E+9+(AW1581-40000)*10000+1580)</f>
        <v/>
      </c>
      <c r="BK1581">
        <f>IF(BI1581=1,BJ1581,"")</f>
        <v/>
      </c>
      <c r="BL1581">
        <f>IF(AND(BH1581=1,BG1581=0,N(AW1581)&lt;Setup!$D$7),(AW1581-40000)*10000+1580,"")</f>
        <v/>
      </c>
      <c r="BM1581">
        <f>IF(AND(BH1581=1,AZ1581&lt;&gt;"Cancelled",N(AW1581)&gt;=Dashboard!$AB$3,N(AW1581)&lt;=Dashboard!$AB$3+6),(AW1581-40000)*100000+BF1581*10000+1580,"")</f>
        <v/>
      </c>
      <c r="BN1581">
        <f>IF(AND(BH1581=1,AZ1581&lt;&gt;"Cancelled"),BF1581*10000+1580,"")</f>
        <v/>
      </c>
    </row>
    <row r="1582">
      <c r="AS1582" t="inlineStr">
        <is>
          <t>V</t>
        </is>
      </c>
      <c r="AT1582" t="n">
        <v>86</v>
      </c>
      <c r="AU1582">
        <f>'Variable Tasks'!C86&amp;""</f>
        <v/>
      </c>
      <c r="AV1582">
        <f>'Variable Tasks'!D86&amp;""</f>
        <v/>
      </c>
      <c r="AW1582">
        <f>IF('Variable Tasks'!E86="","",'Variable Tasks'!E86)</f>
        <v/>
      </c>
      <c r="AX1582">
        <f>IF('Variable Tasks'!G86="","",'Variable Tasks'!G86)</f>
        <v/>
      </c>
      <c r="AY1582">
        <f>IF('Variable Tasks'!H86="","",'Variable Tasks'!H86)</f>
        <v/>
      </c>
      <c r="AZ1582">
        <f>IF(AU1582="","",IF('Variable Tasks'!J86="","Not Started",'Variable Tasks'!J86))</f>
        <v/>
      </c>
      <c r="BA1582">
        <f>'Variable Tasks'!L86&amp;""</f>
        <v/>
      </c>
      <c r="BB1582">
        <f>'Variable Tasks'!M86&amp;""</f>
        <v/>
      </c>
      <c r="BC1582">
        <f>'Variable Tasks'!N86&amp;""</f>
        <v/>
      </c>
      <c r="BD1582">
        <f>'Variable Tasks'!O86&amp;""</f>
        <v/>
      </c>
      <c r="BE1582">
        <f>IF('Variable Tasks'!K86="","",'Variable Tasks'!K86)</f>
        <v/>
      </c>
      <c r="BF1582">
        <f>IFERROR(MATCH(BA1582,Setup!$L$6:$L$9,0),5)</f>
        <v/>
      </c>
      <c r="BG1582">
        <f>IF(OR(AZ1582="Done",AZ1582="Cancelled"),1,0)</f>
        <v/>
      </c>
      <c r="BH1582">
        <f>IF(AND(AU1582&lt;&gt;"",ISNUMBER(AW1582)),1,0)</f>
        <v/>
      </c>
      <c r="BI1582">
        <f>IF(BH1582=0,0,IF(AND(AW1582&gt;='Tasks Filter'!$F$3,AW1582&lt;='Tasks Filter'!$F$4,OR('Tasks Filter'!$I$3="",ISNUMBER(SEARCH('Tasks Filter'!$I$3,AU1582))),OR('Tasks Filter'!$I$4="",BF1582=IFERROR(MATCH('Tasks Filter'!$I$4,Setup!$L$6:$L$9,0),0)),OR('Tasks Filter'!$I$5="Both",AND('Tasks Filter'!$I$5="Yes",BB1582="✓"),AND('Tasks Filter'!$I$5="No",BB1582&lt;&gt;"✓")),OR('Tasks Filter'!$L$3="",AV1582='Tasks Filter'!$L$3),OR('Tasks Filter'!$L$4="",AZ1582='Tasks Filter'!$L$4),OR('Tasks Filter'!$L$5="",BC1582='Tasks Filter'!$L$5),OR('Tasks Filter'!$O$3="",BD1582='Tasks Filter'!$O$3),OR('Tasks Filter'!$O$4="Yes",BG1582=0)),1,0))</f>
        <v/>
      </c>
      <c r="BJ1582">
        <f>IF(BH1582=0,"",IF('Tasks Filter'!$F$6="Descending",-1,1)*CHOOSE(MATCH('Tasks Filter'!$F$5,Lists!$G$2:$G$6,0),AW1582,BF1582,IFERROR(MATCH(AV1582,Setup!$F$6:$F$15,0),99),IFERROR(MATCH(BC1582,Setup!$H$6:$H$15,0),99),IFERROR(MATCH(AZ1582,Setup!$J$6:$J$11,0),99))*1E+9+(AW1582-40000)*10000+1581)</f>
        <v/>
      </c>
      <c r="BK1582">
        <f>IF(BI1582=1,BJ1582,"")</f>
        <v/>
      </c>
      <c r="BL1582">
        <f>IF(AND(BH1582=1,BG1582=0,N(AW1582)&lt;Setup!$D$7),(AW1582-40000)*10000+1581,"")</f>
        <v/>
      </c>
      <c r="BM1582">
        <f>IF(AND(BH1582=1,AZ1582&lt;&gt;"Cancelled",N(AW1582)&gt;=Dashboard!$AB$3,N(AW1582)&lt;=Dashboard!$AB$3+6),(AW1582-40000)*100000+BF1582*10000+1581,"")</f>
        <v/>
      </c>
      <c r="BN1582">
        <f>IF(AND(BH1582=1,AZ1582&lt;&gt;"Cancelled"),BF1582*10000+1581,"")</f>
        <v/>
      </c>
    </row>
    <row r="1583">
      <c r="AS1583" t="inlineStr">
        <is>
          <t>V</t>
        </is>
      </c>
      <c r="AT1583" t="n">
        <v>87</v>
      </c>
      <c r="AU1583">
        <f>'Variable Tasks'!C87&amp;""</f>
        <v/>
      </c>
      <c r="AV1583">
        <f>'Variable Tasks'!D87&amp;""</f>
        <v/>
      </c>
      <c r="AW1583">
        <f>IF('Variable Tasks'!E87="","",'Variable Tasks'!E87)</f>
        <v/>
      </c>
      <c r="AX1583">
        <f>IF('Variable Tasks'!G87="","",'Variable Tasks'!G87)</f>
        <v/>
      </c>
      <c r="AY1583">
        <f>IF('Variable Tasks'!H87="","",'Variable Tasks'!H87)</f>
        <v/>
      </c>
      <c r="AZ1583">
        <f>IF(AU1583="","",IF('Variable Tasks'!J87="","Not Started",'Variable Tasks'!J87))</f>
        <v/>
      </c>
      <c r="BA1583">
        <f>'Variable Tasks'!L87&amp;""</f>
        <v/>
      </c>
      <c r="BB1583">
        <f>'Variable Tasks'!M87&amp;""</f>
        <v/>
      </c>
      <c r="BC1583">
        <f>'Variable Tasks'!N87&amp;""</f>
        <v/>
      </c>
      <c r="BD1583">
        <f>'Variable Tasks'!O87&amp;""</f>
        <v/>
      </c>
      <c r="BE1583">
        <f>IF('Variable Tasks'!K87="","",'Variable Tasks'!K87)</f>
        <v/>
      </c>
      <c r="BF1583">
        <f>IFERROR(MATCH(BA1583,Setup!$L$6:$L$9,0),5)</f>
        <v/>
      </c>
      <c r="BG1583">
        <f>IF(OR(AZ1583="Done",AZ1583="Cancelled"),1,0)</f>
        <v/>
      </c>
      <c r="BH1583">
        <f>IF(AND(AU1583&lt;&gt;"",ISNUMBER(AW1583)),1,0)</f>
        <v/>
      </c>
      <c r="BI1583">
        <f>IF(BH1583=0,0,IF(AND(AW1583&gt;='Tasks Filter'!$F$3,AW1583&lt;='Tasks Filter'!$F$4,OR('Tasks Filter'!$I$3="",ISNUMBER(SEARCH('Tasks Filter'!$I$3,AU1583))),OR('Tasks Filter'!$I$4="",BF1583=IFERROR(MATCH('Tasks Filter'!$I$4,Setup!$L$6:$L$9,0),0)),OR('Tasks Filter'!$I$5="Both",AND('Tasks Filter'!$I$5="Yes",BB1583="✓"),AND('Tasks Filter'!$I$5="No",BB1583&lt;&gt;"✓")),OR('Tasks Filter'!$L$3="",AV1583='Tasks Filter'!$L$3),OR('Tasks Filter'!$L$4="",AZ1583='Tasks Filter'!$L$4),OR('Tasks Filter'!$L$5="",BC1583='Tasks Filter'!$L$5),OR('Tasks Filter'!$O$3="",BD1583='Tasks Filter'!$O$3),OR('Tasks Filter'!$O$4="Yes",BG1583=0)),1,0))</f>
        <v/>
      </c>
      <c r="BJ1583">
        <f>IF(BH1583=0,"",IF('Tasks Filter'!$F$6="Descending",-1,1)*CHOOSE(MATCH('Tasks Filter'!$F$5,Lists!$G$2:$G$6,0),AW1583,BF1583,IFERROR(MATCH(AV1583,Setup!$F$6:$F$15,0),99),IFERROR(MATCH(BC1583,Setup!$H$6:$H$15,0),99),IFERROR(MATCH(AZ1583,Setup!$J$6:$J$11,0),99))*1E+9+(AW1583-40000)*10000+1582)</f>
        <v/>
      </c>
      <c r="BK1583">
        <f>IF(BI1583=1,BJ1583,"")</f>
        <v/>
      </c>
      <c r="BL1583">
        <f>IF(AND(BH1583=1,BG1583=0,N(AW1583)&lt;Setup!$D$7),(AW1583-40000)*10000+1582,"")</f>
        <v/>
      </c>
      <c r="BM1583">
        <f>IF(AND(BH1583=1,AZ1583&lt;&gt;"Cancelled",N(AW1583)&gt;=Dashboard!$AB$3,N(AW1583)&lt;=Dashboard!$AB$3+6),(AW1583-40000)*100000+BF1583*10000+1582,"")</f>
        <v/>
      </c>
      <c r="BN1583">
        <f>IF(AND(BH1583=1,AZ1583&lt;&gt;"Cancelled"),BF1583*10000+1582,"")</f>
        <v/>
      </c>
    </row>
    <row r="1584">
      <c r="AS1584" t="inlineStr">
        <is>
          <t>V</t>
        </is>
      </c>
      <c r="AT1584" t="n">
        <v>88</v>
      </c>
      <c r="AU1584">
        <f>'Variable Tasks'!C88&amp;""</f>
        <v/>
      </c>
      <c r="AV1584">
        <f>'Variable Tasks'!D88&amp;""</f>
        <v/>
      </c>
      <c r="AW1584">
        <f>IF('Variable Tasks'!E88="","",'Variable Tasks'!E88)</f>
        <v/>
      </c>
      <c r="AX1584">
        <f>IF('Variable Tasks'!G88="","",'Variable Tasks'!G88)</f>
        <v/>
      </c>
      <c r="AY1584">
        <f>IF('Variable Tasks'!H88="","",'Variable Tasks'!H88)</f>
        <v/>
      </c>
      <c r="AZ1584">
        <f>IF(AU1584="","",IF('Variable Tasks'!J88="","Not Started",'Variable Tasks'!J88))</f>
        <v/>
      </c>
      <c r="BA1584">
        <f>'Variable Tasks'!L88&amp;""</f>
        <v/>
      </c>
      <c r="BB1584">
        <f>'Variable Tasks'!M88&amp;""</f>
        <v/>
      </c>
      <c r="BC1584">
        <f>'Variable Tasks'!N88&amp;""</f>
        <v/>
      </c>
      <c r="BD1584">
        <f>'Variable Tasks'!O88&amp;""</f>
        <v/>
      </c>
      <c r="BE1584">
        <f>IF('Variable Tasks'!K88="","",'Variable Tasks'!K88)</f>
        <v/>
      </c>
      <c r="BF1584">
        <f>IFERROR(MATCH(BA1584,Setup!$L$6:$L$9,0),5)</f>
        <v/>
      </c>
      <c r="BG1584">
        <f>IF(OR(AZ1584="Done",AZ1584="Cancelled"),1,0)</f>
        <v/>
      </c>
      <c r="BH1584">
        <f>IF(AND(AU1584&lt;&gt;"",ISNUMBER(AW1584)),1,0)</f>
        <v/>
      </c>
      <c r="BI1584">
        <f>IF(BH1584=0,0,IF(AND(AW1584&gt;='Tasks Filter'!$F$3,AW1584&lt;='Tasks Filter'!$F$4,OR('Tasks Filter'!$I$3="",ISNUMBER(SEARCH('Tasks Filter'!$I$3,AU1584))),OR('Tasks Filter'!$I$4="",BF1584=IFERROR(MATCH('Tasks Filter'!$I$4,Setup!$L$6:$L$9,0),0)),OR('Tasks Filter'!$I$5="Both",AND('Tasks Filter'!$I$5="Yes",BB1584="✓"),AND('Tasks Filter'!$I$5="No",BB1584&lt;&gt;"✓")),OR('Tasks Filter'!$L$3="",AV1584='Tasks Filter'!$L$3),OR('Tasks Filter'!$L$4="",AZ1584='Tasks Filter'!$L$4),OR('Tasks Filter'!$L$5="",BC1584='Tasks Filter'!$L$5),OR('Tasks Filter'!$O$3="",BD1584='Tasks Filter'!$O$3),OR('Tasks Filter'!$O$4="Yes",BG1584=0)),1,0))</f>
        <v/>
      </c>
      <c r="BJ1584">
        <f>IF(BH1584=0,"",IF('Tasks Filter'!$F$6="Descending",-1,1)*CHOOSE(MATCH('Tasks Filter'!$F$5,Lists!$G$2:$G$6,0),AW1584,BF1584,IFERROR(MATCH(AV1584,Setup!$F$6:$F$15,0),99),IFERROR(MATCH(BC1584,Setup!$H$6:$H$15,0),99),IFERROR(MATCH(AZ1584,Setup!$J$6:$J$11,0),99))*1E+9+(AW1584-40000)*10000+1583)</f>
        <v/>
      </c>
      <c r="BK1584">
        <f>IF(BI1584=1,BJ1584,"")</f>
        <v/>
      </c>
      <c r="BL1584">
        <f>IF(AND(BH1584=1,BG1584=0,N(AW1584)&lt;Setup!$D$7),(AW1584-40000)*10000+1583,"")</f>
        <v/>
      </c>
      <c r="BM1584">
        <f>IF(AND(BH1584=1,AZ1584&lt;&gt;"Cancelled",N(AW1584)&gt;=Dashboard!$AB$3,N(AW1584)&lt;=Dashboard!$AB$3+6),(AW1584-40000)*100000+BF1584*10000+1583,"")</f>
        <v/>
      </c>
      <c r="BN1584">
        <f>IF(AND(BH1584=1,AZ1584&lt;&gt;"Cancelled"),BF1584*10000+1583,"")</f>
        <v/>
      </c>
    </row>
    <row r="1585">
      <c r="AS1585" t="inlineStr">
        <is>
          <t>V</t>
        </is>
      </c>
      <c r="AT1585" t="n">
        <v>89</v>
      </c>
      <c r="AU1585">
        <f>'Variable Tasks'!C89&amp;""</f>
        <v/>
      </c>
      <c r="AV1585">
        <f>'Variable Tasks'!D89&amp;""</f>
        <v/>
      </c>
      <c r="AW1585">
        <f>IF('Variable Tasks'!E89="","",'Variable Tasks'!E89)</f>
        <v/>
      </c>
      <c r="AX1585">
        <f>IF('Variable Tasks'!G89="","",'Variable Tasks'!G89)</f>
        <v/>
      </c>
      <c r="AY1585">
        <f>IF('Variable Tasks'!H89="","",'Variable Tasks'!H89)</f>
        <v/>
      </c>
      <c r="AZ1585">
        <f>IF(AU1585="","",IF('Variable Tasks'!J89="","Not Started",'Variable Tasks'!J89))</f>
        <v/>
      </c>
      <c r="BA1585">
        <f>'Variable Tasks'!L89&amp;""</f>
        <v/>
      </c>
      <c r="BB1585">
        <f>'Variable Tasks'!M89&amp;""</f>
        <v/>
      </c>
      <c r="BC1585">
        <f>'Variable Tasks'!N89&amp;""</f>
        <v/>
      </c>
      <c r="BD1585">
        <f>'Variable Tasks'!O89&amp;""</f>
        <v/>
      </c>
      <c r="BE1585">
        <f>IF('Variable Tasks'!K89="","",'Variable Tasks'!K89)</f>
        <v/>
      </c>
      <c r="BF1585">
        <f>IFERROR(MATCH(BA1585,Setup!$L$6:$L$9,0),5)</f>
        <v/>
      </c>
      <c r="BG1585">
        <f>IF(OR(AZ1585="Done",AZ1585="Cancelled"),1,0)</f>
        <v/>
      </c>
      <c r="BH1585">
        <f>IF(AND(AU1585&lt;&gt;"",ISNUMBER(AW1585)),1,0)</f>
        <v/>
      </c>
      <c r="BI1585">
        <f>IF(BH1585=0,0,IF(AND(AW1585&gt;='Tasks Filter'!$F$3,AW1585&lt;='Tasks Filter'!$F$4,OR('Tasks Filter'!$I$3="",ISNUMBER(SEARCH('Tasks Filter'!$I$3,AU1585))),OR('Tasks Filter'!$I$4="",BF1585=IFERROR(MATCH('Tasks Filter'!$I$4,Setup!$L$6:$L$9,0),0)),OR('Tasks Filter'!$I$5="Both",AND('Tasks Filter'!$I$5="Yes",BB1585="✓"),AND('Tasks Filter'!$I$5="No",BB1585&lt;&gt;"✓")),OR('Tasks Filter'!$L$3="",AV1585='Tasks Filter'!$L$3),OR('Tasks Filter'!$L$4="",AZ1585='Tasks Filter'!$L$4),OR('Tasks Filter'!$L$5="",BC1585='Tasks Filter'!$L$5),OR('Tasks Filter'!$O$3="",BD1585='Tasks Filter'!$O$3),OR('Tasks Filter'!$O$4="Yes",BG1585=0)),1,0))</f>
        <v/>
      </c>
      <c r="BJ1585">
        <f>IF(BH1585=0,"",IF('Tasks Filter'!$F$6="Descending",-1,1)*CHOOSE(MATCH('Tasks Filter'!$F$5,Lists!$G$2:$G$6,0),AW1585,BF1585,IFERROR(MATCH(AV1585,Setup!$F$6:$F$15,0),99),IFERROR(MATCH(BC1585,Setup!$H$6:$H$15,0),99),IFERROR(MATCH(AZ1585,Setup!$J$6:$J$11,0),99))*1E+9+(AW1585-40000)*10000+1584)</f>
        <v/>
      </c>
      <c r="BK1585">
        <f>IF(BI1585=1,BJ1585,"")</f>
        <v/>
      </c>
      <c r="BL1585">
        <f>IF(AND(BH1585=1,BG1585=0,N(AW1585)&lt;Setup!$D$7),(AW1585-40000)*10000+1584,"")</f>
        <v/>
      </c>
      <c r="BM1585">
        <f>IF(AND(BH1585=1,AZ1585&lt;&gt;"Cancelled",N(AW1585)&gt;=Dashboard!$AB$3,N(AW1585)&lt;=Dashboard!$AB$3+6),(AW1585-40000)*100000+BF1585*10000+1584,"")</f>
        <v/>
      </c>
      <c r="BN1585">
        <f>IF(AND(BH1585=1,AZ1585&lt;&gt;"Cancelled"),BF1585*10000+1584,"")</f>
        <v/>
      </c>
    </row>
    <row r="1586">
      <c r="AS1586" t="inlineStr">
        <is>
          <t>V</t>
        </is>
      </c>
      <c r="AT1586" t="n">
        <v>90</v>
      </c>
      <c r="AU1586">
        <f>'Variable Tasks'!C90&amp;""</f>
        <v/>
      </c>
      <c r="AV1586">
        <f>'Variable Tasks'!D90&amp;""</f>
        <v/>
      </c>
      <c r="AW1586">
        <f>IF('Variable Tasks'!E90="","",'Variable Tasks'!E90)</f>
        <v/>
      </c>
      <c r="AX1586">
        <f>IF('Variable Tasks'!G90="","",'Variable Tasks'!G90)</f>
        <v/>
      </c>
      <c r="AY1586">
        <f>IF('Variable Tasks'!H90="","",'Variable Tasks'!H90)</f>
        <v/>
      </c>
      <c r="AZ1586">
        <f>IF(AU1586="","",IF('Variable Tasks'!J90="","Not Started",'Variable Tasks'!J90))</f>
        <v/>
      </c>
      <c r="BA1586">
        <f>'Variable Tasks'!L90&amp;""</f>
        <v/>
      </c>
      <c r="BB1586">
        <f>'Variable Tasks'!M90&amp;""</f>
        <v/>
      </c>
      <c r="BC1586">
        <f>'Variable Tasks'!N90&amp;""</f>
        <v/>
      </c>
      <c r="BD1586">
        <f>'Variable Tasks'!O90&amp;""</f>
        <v/>
      </c>
      <c r="BE1586">
        <f>IF('Variable Tasks'!K90="","",'Variable Tasks'!K90)</f>
        <v/>
      </c>
      <c r="BF1586">
        <f>IFERROR(MATCH(BA1586,Setup!$L$6:$L$9,0),5)</f>
        <v/>
      </c>
      <c r="BG1586">
        <f>IF(OR(AZ1586="Done",AZ1586="Cancelled"),1,0)</f>
        <v/>
      </c>
      <c r="BH1586">
        <f>IF(AND(AU1586&lt;&gt;"",ISNUMBER(AW1586)),1,0)</f>
        <v/>
      </c>
      <c r="BI1586">
        <f>IF(BH1586=0,0,IF(AND(AW1586&gt;='Tasks Filter'!$F$3,AW1586&lt;='Tasks Filter'!$F$4,OR('Tasks Filter'!$I$3="",ISNUMBER(SEARCH('Tasks Filter'!$I$3,AU1586))),OR('Tasks Filter'!$I$4="",BF1586=IFERROR(MATCH('Tasks Filter'!$I$4,Setup!$L$6:$L$9,0),0)),OR('Tasks Filter'!$I$5="Both",AND('Tasks Filter'!$I$5="Yes",BB1586="✓"),AND('Tasks Filter'!$I$5="No",BB1586&lt;&gt;"✓")),OR('Tasks Filter'!$L$3="",AV1586='Tasks Filter'!$L$3),OR('Tasks Filter'!$L$4="",AZ1586='Tasks Filter'!$L$4),OR('Tasks Filter'!$L$5="",BC1586='Tasks Filter'!$L$5),OR('Tasks Filter'!$O$3="",BD1586='Tasks Filter'!$O$3),OR('Tasks Filter'!$O$4="Yes",BG1586=0)),1,0))</f>
        <v/>
      </c>
      <c r="BJ1586">
        <f>IF(BH1586=0,"",IF('Tasks Filter'!$F$6="Descending",-1,1)*CHOOSE(MATCH('Tasks Filter'!$F$5,Lists!$G$2:$G$6,0),AW1586,BF1586,IFERROR(MATCH(AV1586,Setup!$F$6:$F$15,0),99),IFERROR(MATCH(BC1586,Setup!$H$6:$H$15,0),99),IFERROR(MATCH(AZ1586,Setup!$J$6:$J$11,0),99))*1E+9+(AW1586-40000)*10000+1585)</f>
        <v/>
      </c>
      <c r="BK1586">
        <f>IF(BI1586=1,BJ1586,"")</f>
        <v/>
      </c>
      <c r="BL1586">
        <f>IF(AND(BH1586=1,BG1586=0,N(AW1586)&lt;Setup!$D$7),(AW1586-40000)*10000+1585,"")</f>
        <v/>
      </c>
      <c r="BM1586">
        <f>IF(AND(BH1586=1,AZ1586&lt;&gt;"Cancelled",N(AW1586)&gt;=Dashboard!$AB$3,N(AW1586)&lt;=Dashboard!$AB$3+6),(AW1586-40000)*100000+BF1586*10000+1585,"")</f>
        <v/>
      </c>
      <c r="BN1586">
        <f>IF(AND(BH1586=1,AZ1586&lt;&gt;"Cancelled"),BF1586*10000+1585,"")</f>
        <v/>
      </c>
    </row>
    <row r="1587">
      <c r="AS1587" t="inlineStr">
        <is>
          <t>V</t>
        </is>
      </c>
      <c r="AT1587" t="n">
        <v>91</v>
      </c>
      <c r="AU1587">
        <f>'Variable Tasks'!C91&amp;""</f>
        <v/>
      </c>
      <c r="AV1587">
        <f>'Variable Tasks'!D91&amp;""</f>
        <v/>
      </c>
      <c r="AW1587">
        <f>IF('Variable Tasks'!E91="","",'Variable Tasks'!E91)</f>
        <v/>
      </c>
      <c r="AX1587">
        <f>IF('Variable Tasks'!G91="","",'Variable Tasks'!G91)</f>
        <v/>
      </c>
      <c r="AY1587">
        <f>IF('Variable Tasks'!H91="","",'Variable Tasks'!H91)</f>
        <v/>
      </c>
      <c r="AZ1587">
        <f>IF(AU1587="","",IF('Variable Tasks'!J91="","Not Started",'Variable Tasks'!J91))</f>
        <v/>
      </c>
      <c r="BA1587">
        <f>'Variable Tasks'!L91&amp;""</f>
        <v/>
      </c>
      <c r="BB1587">
        <f>'Variable Tasks'!M91&amp;""</f>
        <v/>
      </c>
      <c r="BC1587">
        <f>'Variable Tasks'!N91&amp;""</f>
        <v/>
      </c>
      <c r="BD1587">
        <f>'Variable Tasks'!O91&amp;""</f>
        <v/>
      </c>
      <c r="BE1587">
        <f>IF('Variable Tasks'!K91="","",'Variable Tasks'!K91)</f>
        <v/>
      </c>
      <c r="BF1587">
        <f>IFERROR(MATCH(BA1587,Setup!$L$6:$L$9,0),5)</f>
        <v/>
      </c>
      <c r="BG1587">
        <f>IF(OR(AZ1587="Done",AZ1587="Cancelled"),1,0)</f>
        <v/>
      </c>
      <c r="BH1587">
        <f>IF(AND(AU1587&lt;&gt;"",ISNUMBER(AW1587)),1,0)</f>
        <v/>
      </c>
      <c r="BI1587">
        <f>IF(BH1587=0,0,IF(AND(AW1587&gt;='Tasks Filter'!$F$3,AW1587&lt;='Tasks Filter'!$F$4,OR('Tasks Filter'!$I$3="",ISNUMBER(SEARCH('Tasks Filter'!$I$3,AU1587))),OR('Tasks Filter'!$I$4="",BF1587=IFERROR(MATCH('Tasks Filter'!$I$4,Setup!$L$6:$L$9,0),0)),OR('Tasks Filter'!$I$5="Both",AND('Tasks Filter'!$I$5="Yes",BB1587="✓"),AND('Tasks Filter'!$I$5="No",BB1587&lt;&gt;"✓")),OR('Tasks Filter'!$L$3="",AV1587='Tasks Filter'!$L$3),OR('Tasks Filter'!$L$4="",AZ1587='Tasks Filter'!$L$4),OR('Tasks Filter'!$L$5="",BC1587='Tasks Filter'!$L$5),OR('Tasks Filter'!$O$3="",BD1587='Tasks Filter'!$O$3),OR('Tasks Filter'!$O$4="Yes",BG1587=0)),1,0))</f>
        <v/>
      </c>
      <c r="BJ1587">
        <f>IF(BH1587=0,"",IF('Tasks Filter'!$F$6="Descending",-1,1)*CHOOSE(MATCH('Tasks Filter'!$F$5,Lists!$G$2:$G$6,0),AW1587,BF1587,IFERROR(MATCH(AV1587,Setup!$F$6:$F$15,0),99),IFERROR(MATCH(BC1587,Setup!$H$6:$H$15,0),99),IFERROR(MATCH(AZ1587,Setup!$J$6:$J$11,0),99))*1E+9+(AW1587-40000)*10000+1586)</f>
        <v/>
      </c>
      <c r="BK1587">
        <f>IF(BI1587=1,BJ1587,"")</f>
        <v/>
      </c>
      <c r="BL1587">
        <f>IF(AND(BH1587=1,BG1587=0,N(AW1587)&lt;Setup!$D$7),(AW1587-40000)*10000+1586,"")</f>
        <v/>
      </c>
      <c r="BM1587">
        <f>IF(AND(BH1587=1,AZ1587&lt;&gt;"Cancelled",N(AW1587)&gt;=Dashboard!$AB$3,N(AW1587)&lt;=Dashboard!$AB$3+6),(AW1587-40000)*100000+BF1587*10000+1586,"")</f>
        <v/>
      </c>
      <c r="BN1587">
        <f>IF(AND(BH1587=1,AZ1587&lt;&gt;"Cancelled"),BF1587*10000+1586,"")</f>
        <v/>
      </c>
    </row>
    <row r="1588">
      <c r="AS1588" t="inlineStr">
        <is>
          <t>V</t>
        </is>
      </c>
      <c r="AT1588" t="n">
        <v>92</v>
      </c>
      <c r="AU1588">
        <f>'Variable Tasks'!C92&amp;""</f>
        <v/>
      </c>
      <c r="AV1588">
        <f>'Variable Tasks'!D92&amp;""</f>
        <v/>
      </c>
      <c r="AW1588">
        <f>IF('Variable Tasks'!E92="","",'Variable Tasks'!E92)</f>
        <v/>
      </c>
      <c r="AX1588">
        <f>IF('Variable Tasks'!G92="","",'Variable Tasks'!G92)</f>
        <v/>
      </c>
      <c r="AY1588">
        <f>IF('Variable Tasks'!H92="","",'Variable Tasks'!H92)</f>
        <v/>
      </c>
      <c r="AZ1588">
        <f>IF(AU1588="","",IF('Variable Tasks'!J92="","Not Started",'Variable Tasks'!J92))</f>
        <v/>
      </c>
      <c r="BA1588">
        <f>'Variable Tasks'!L92&amp;""</f>
        <v/>
      </c>
      <c r="BB1588">
        <f>'Variable Tasks'!M92&amp;""</f>
        <v/>
      </c>
      <c r="BC1588">
        <f>'Variable Tasks'!N92&amp;""</f>
        <v/>
      </c>
      <c r="BD1588">
        <f>'Variable Tasks'!O92&amp;""</f>
        <v/>
      </c>
      <c r="BE1588">
        <f>IF('Variable Tasks'!K92="","",'Variable Tasks'!K92)</f>
        <v/>
      </c>
      <c r="BF1588">
        <f>IFERROR(MATCH(BA1588,Setup!$L$6:$L$9,0),5)</f>
        <v/>
      </c>
      <c r="BG1588">
        <f>IF(OR(AZ1588="Done",AZ1588="Cancelled"),1,0)</f>
        <v/>
      </c>
      <c r="BH1588">
        <f>IF(AND(AU1588&lt;&gt;"",ISNUMBER(AW1588)),1,0)</f>
        <v/>
      </c>
      <c r="BI1588">
        <f>IF(BH1588=0,0,IF(AND(AW1588&gt;='Tasks Filter'!$F$3,AW1588&lt;='Tasks Filter'!$F$4,OR('Tasks Filter'!$I$3="",ISNUMBER(SEARCH('Tasks Filter'!$I$3,AU1588))),OR('Tasks Filter'!$I$4="",BF1588=IFERROR(MATCH('Tasks Filter'!$I$4,Setup!$L$6:$L$9,0),0)),OR('Tasks Filter'!$I$5="Both",AND('Tasks Filter'!$I$5="Yes",BB1588="✓"),AND('Tasks Filter'!$I$5="No",BB1588&lt;&gt;"✓")),OR('Tasks Filter'!$L$3="",AV1588='Tasks Filter'!$L$3),OR('Tasks Filter'!$L$4="",AZ1588='Tasks Filter'!$L$4),OR('Tasks Filter'!$L$5="",BC1588='Tasks Filter'!$L$5),OR('Tasks Filter'!$O$3="",BD1588='Tasks Filter'!$O$3),OR('Tasks Filter'!$O$4="Yes",BG1588=0)),1,0))</f>
        <v/>
      </c>
      <c r="BJ1588">
        <f>IF(BH1588=0,"",IF('Tasks Filter'!$F$6="Descending",-1,1)*CHOOSE(MATCH('Tasks Filter'!$F$5,Lists!$G$2:$G$6,0),AW1588,BF1588,IFERROR(MATCH(AV1588,Setup!$F$6:$F$15,0),99),IFERROR(MATCH(BC1588,Setup!$H$6:$H$15,0),99),IFERROR(MATCH(AZ1588,Setup!$J$6:$J$11,0),99))*1E+9+(AW1588-40000)*10000+1587)</f>
        <v/>
      </c>
      <c r="BK1588">
        <f>IF(BI1588=1,BJ1588,"")</f>
        <v/>
      </c>
      <c r="BL1588">
        <f>IF(AND(BH1588=1,BG1588=0,N(AW1588)&lt;Setup!$D$7),(AW1588-40000)*10000+1587,"")</f>
        <v/>
      </c>
      <c r="BM1588">
        <f>IF(AND(BH1588=1,AZ1588&lt;&gt;"Cancelled",N(AW1588)&gt;=Dashboard!$AB$3,N(AW1588)&lt;=Dashboard!$AB$3+6),(AW1588-40000)*100000+BF1588*10000+1587,"")</f>
        <v/>
      </c>
      <c r="BN1588">
        <f>IF(AND(BH1588=1,AZ1588&lt;&gt;"Cancelled"),BF1588*10000+1587,"")</f>
        <v/>
      </c>
    </row>
    <row r="1589">
      <c r="AS1589" t="inlineStr">
        <is>
          <t>V</t>
        </is>
      </c>
      <c r="AT1589" t="n">
        <v>93</v>
      </c>
      <c r="AU1589">
        <f>'Variable Tasks'!C93&amp;""</f>
        <v/>
      </c>
      <c r="AV1589">
        <f>'Variable Tasks'!D93&amp;""</f>
        <v/>
      </c>
      <c r="AW1589">
        <f>IF('Variable Tasks'!E93="","",'Variable Tasks'!E93)</f>
        <v/>
      </c>
      <c r="AX1589">
        <f>IF('Variable Tasks'!G93="","",'Variable Tasks'!G93)</f>
        <v/>
      </c>
      <c r="AY1589">
        <f>IF('Variable Tasks'!H93="","",'Variable Tasks'!H93)</f>
        <v/>
      </c>
      <c r="AZ1589">
        <f>IF(AU1589="","",IF('Variable Tasks'!J93="","Not Started",'Variable Tasks'!J93))</f>
        <v/>
      </c>
      <c r="BA1589">
        <f>'Variable Tasks'!L93&amp;""</f>
        <v/>
      </c>
      <c r="BB1589">
        <f>'Variable Tasks'!M93&amp;""</f>
        <v/>
      </c>
      <c r="BC1589">
        <f>'Variable Tasks'!N93&amp;""</f>
        <v/>
      </c>
      <c r="BD1589">
        <f>'Variable Tasks'!O93&amp;""</f>
        <v/>
      </c>
      <c r="BE1589">
        <f>IF('Variable Tasks'!K93="","",'Variable Tasks'!K93)</f>
        <v/>
      </c>
      <c r="BF1589">
        <f>IFERROR(MATCH(BA1589,Setup!$L$6:$L$9,0),5)</f>
        <v/>
      </c>
      <c r="BG1589">
        <f>IF(OR(AZ1589="Done",AZ1589="Cancelled"),1,0)</f>
        <v/>
      </c>
      <c r="BH1589">
        <f>IF(AND(AU1589&lt;&gt;"",ISNUMBER(AW1589)),1,0)</f>
        <v/>
      </c>
      <c r="BI1589">
        <f>IF(BH1589=0,0,IF(AND(AW1589&gt;='Tasks Filter'!$F$3,AW1589&lt;='Tasks Filter'!$F$4,OR('Tasks Filter'!$I$3="",ISNUMBER(SEARCH('Tasks Filter'!$I$3,AU1589))),OR('Tasks Filter'!$I$4="",BF1589=IFERROR(MATCH('Tasks Filter'!$I$4,Setup!$L$6:$L$9,0),0)),OR('Tasks Filter'!$I$5="Both",AND('Tasks Filter'!$I$5="Yes",BB1589="✓"),AND('Tasks Filter'!$I$5="No",BB1589&lt;&gt;"✓")),OR('Tasks Filter'!$L$3="",AV1589='Tasks Filter'!$L$3),OR('Tasks Filter'!$L$4="",AZ1589='Tasks Filter'!$L$4),OR('Tasks Filter'!$L$5="",BC1589='Tasks Filter'!$L$5),OR('Tasks Filter'!$O$3="",BD1589='Tasks Filter'!$O$3),OR('Tasks Filter'!$O$4="Yes",BG1589=0)),1,0))</f>
        <v/>
      </c>
      <c r="BJ1589">
        <f>IF(BH1589=0,"",IF('Tasks Filter'!$F$6="Descending",-1,1)*CHOOSE(MATCH('Tasks Filter'!$F$5,Lists!$G$2:$G$6,0),AW1589,BF1589,IFERROR(MATCH(AV1589,Setup!$F$6:$F$15,0),99),IFERROR(MATCH(BC1589,Setup!$H$6:$H$15,0),99),IFERROR(MATCH(AZ1589,Setup!$J$6:$J$11,0),99))*1E+9+(AW1589-40000)*10000+1588)</f>
        <v/>
      </c>
      <c r="BK1589">
        <f>IF(BI1589=1,BJ1589,"")</f>
        <v/>
      </c>
      <c r="BL1589">
        <f>IF(AND(BH1589=1,BG1589=0,N(AW1589)&lt;Setup!$D$7),(AW1589-40000)*10000+1588,"")</f>
        <v/>
      </c>
      <c r="BM1589">
        <f>IF(AND(BH1589=1,AZ1589&lt;&gt;"Cancelled",N(AW1589)&gt;=Dashboard!$AB$3,N(AW1589)&lt;=Dashboard!$AB$3+6),(AW1589-40000)*100000+BF1589*10000+1588,"")</f>
        <v/>
      </c>
      <c r="BN1589">
        <f>IF(AND(BH1589=1,AZ1589&lt;&gt;"Cancelled"),BF1589*10000+1588,"")</f>
        <v/>
      </c>
    </row>
    <row r="1590">
      <c r="AS1590" t="inlineStr">
        <is>
          <t>V</t>
        </is>
      </c>
      <c r="AT1590" t="n">
        <v>94</v>
      </c>
      <c r="AU1590">
        <f>'Variable Tasks'!C94&amp;""</f>
        <v/>
      </c>
      <c r="AV1590">
        <f>'Variable Tasks'!D94&amp;""</f>
        <v/>
      </c>
      <c r="AW1590">
        <f>IF('Variable Tasks'!E94="","",'Variable Tasks'!E94)</f>
        <v/>
      </c>
      <c r="AX1590">
        <f>IF('Variable Tasks'!G94="","",'Variable Tasks'!G94)</f>
        <v/>
      </c>
      <c r="AY1590">
        <f>IF('Variable Tasks'!H94="","",'Variable Tasks'!H94)</f>
        <v/>
      </c>
      <c r="AZ1590">
        <f>IF(AU1590="","",IF('Variable Tasks'!J94="","Not Started",'Variable Tasks'!J94))</f>
        <v/>
      </c>
      <c r="BA1590">
        <f>'Variable Tasks'!L94&amp;""</f>
        <v/>
      </c>
      <c r="BB1590">
        <f>'Variable Tasks'!M94&amp;""</f>
        <v/>
      </c>
      <c r="BC1590">
        <f>'Variable Tasks'!N94&amp;""</f>
        <v/>
      </c>
      <c r="BD1590">
        <f>'Variable Tasks'!O94&amp;""</f>
        <v/>
      </c>
      <c r="BE1590">
        <f>IF('Variable Tasks'!K94="","",'Variable Tasks'!K94)</f>
        <v/>
      </c>
      <c r="BF1590">
        <f>IFERROR(MATCH(BA1590,Setup!$L$6:$L$9,0),5)</f>
        <v/>
      </c>
      <c r="BG1590">
        <f>IF(OR(AZ1590="Done",AZ1590="Cancelled"),1,0)</f>
        <v/>
      </c>
      <c r="BH1590">
        <f>IF(AND(AU1590&lt;&gt;"",ISNUMBER(AW1590)),1,0)</f>
        <v/>
      </c>
      <c r="BI1590">
        <f>IF(BH1590=0,0,IF(AND(AW1590&gt;='Tasks Filter'!$F$3,AW1590&lt;='Tasks Filter'!$F$4,OR('Tasks Filter'!$I$3="",ISNUMBER(SEARCH('Tasks Filter'!$I$3,AU1590))),OR('Tasks Filter'!$I$4="",BF1590=IFERROR(MATCH('Tasks Filter'!$I$4,Setup!$L$6:$L$9,0),0)),OR('Tasks Filter'!$I$5="Both",AND('Tasks Filter'!$I$5="Yes",BB1590="✓"),AND('Tasks Filter'!$I$5="No",BB1590&lt;&gt;"✓")),OR('Tasks Filter'!$L$3="",AV1590='Tasks Filter'!$L$3),OR('Tasks Filter'!$L$4="",AZ1590='Tasks Filter'!$L$4),OR('Tasks Filter'!$L$5="",BC1590='Tasks Filter'!$L$5),OR('Tasks Filter'!$O$3="",BD1590='Tasks Filter'!$O$3),OR('Tasks Filter'!$O$4="Yes",BG1590=0)),1,0))</f>
        <v/>
      </c>
      <c r="BJ1590">
        <f>IF(BH1590=0,"",IF('Tasks Filter'!$F$6="Descending",-1,1)*CHOOSE(MATCH('Tasks Filter'!$F$5,Lists!$G$2:$G$6,0),AW1590,BF1590,IFERROR(MATCH(AV1590,Setup!$F$6:$F$15,0),99),IFERROR(MATCH(BC1590,Setup!$H$6:$H$15,0),99),IFERROR(MATCH(AZ1590,Setup!$J$6:$J$11,0),99))*1E+9+(AW1590-40000)*10000+1589)</f>
        <v/>
      </c>
      <c r="BK1590">
        <f>IF(BI1590=1,BJ1590,"")</f>
        <v/>
      </c>
      <c r="BL1590">
        <f>IF(AND(BH1590=1,BG1590=0,N(AW1590)&lt;Setup!$D$7),(AW1590-40000)*10000+1589,"")</f>
        <v/>
      </c>
      <c r="BM1590">
        <f>IF(AND(BH1590=1,AZ1590&lt;&gt;"Cancelled",N(AW1590)&gt;=Dashboard!$AB$3,N(AW1590)&lt;=Dashboard!$AB$3+6),(AW1590-40000)*100000+BF1590*10000+1589,"")</f>
        <v/>
      </c>
      <c r="BN1590">
        <f>IF(AND(BH1590=1,AZ1590&lt;&gt;"Cancelled"),BF1590*10000+1589,"")</f>
        <v/>
      </c>
    </row>
    <row r="1591">
      <c r="AS1591" t="inlineStr">
        <is>
          <t>V</t>
        </is>
      </c>
      <c r="AT1591" t="n">
        <v>95</v>
      </c>
      <c r="AU1591">
        <f>'Variable Tasks'!C95&amp;""</f>
        <v/>
      </c>
      <c r="AV1591">
        <f>'Variable Tasks'!D95&amp;""</f>
        <v/>
      </c>
      <c r="AW1591">
        <f>IF('Variable Tasks'!E95="","",'Variable Tasks'!E95)</f>
        <v/>
      </c>
      <c r="AX1591">
        <f>IF('Variable Tasks'!G95="","",'Variable Tasks'!G95)</f>
        <v/>
      </c>
      <c r="AY1591">
        <f>IF('Variable Tasks'!H95="","",'Variable Tasks'!H95)</f>
        <v/>
      </c>
      <c r="AZ1591">
        <f>IF(AU1591="","",IF('Variable Tasks'!J95="","Not Started",'Variable Tasks'!J95))</f>
        <v/>
      </c>
      <c r="BA1591">
        <f>'Variable Tasks'!L95&amp;""</f>
        <v/>
      </c>
      <c r="BB1591">
        <f>'Variable Tasks'!M95&amp;""</f>
        <v/>
      </c>
      <c r="BC1591">
        <f>'Variable Tasks'!N95&amp;""</f>
        <v/>
      </c>
      <c r="BD1591">
        <f>'Variable Tasks'!O95&amp;""</f>
        <v/>
      </c>
      <c r="BE1591">
        <f>IF('Variable Tasks'!K95="","",'Variable Tasks'!K95)</f>
        <v/>
      </c>
      <c r="BF1591">
        <f>IFERROR(MATCH(BA1591,Setup!$L$6:$L$9,0),5)</f>
        <v/>
      </c>
      <c r="BG1591">
        <f>IF(OR(AZ1591="Done",AZ1591="Cancelled"),1,0)</f>
        <v/>
      </c>
      <c r="BH1591">
        <f>IF(AND(AU1591&lt;&gt;"",ISNUMBER(AW1591)),1,0)</f>
        <v/>
      </c>
      <c r="BI1591">
        <f>IF(BH1591=0,0,IF(AND(AW1591&gt;='Tasks Filter'!$F$3,AW1591&lt;='Tasks Filter'!$F$4,OR('Tasks Filter'!$I$3="",ISNUMBER(SEARCH('Tasks Filter'!$I$3,AU1591))),OR('Tasks Filter'!$I$4="",BF1591=IFERROR(MATCH('Tasks Filter'!$I$4,Setup!$L$6:$L$9,0),0)),OR('Tasks Filter'!$I$5="Both",AND('Tasks Filter'!$I$5="Yes",BB1591="✓"),AND('Tasks Filter'!$I$5="No",BB1591&lt;&gt;"✓")),OR('Tasks Filter'!$L$3="",AV1591='Tasks Filter'!$L$3),OR('Tasks Filter'!$L$4="",AZ1591='Tasks Filter'!$L$4),OR('Tasks Filter'!$L$5="",BC1591='Tasks Filter'!$L$5),OR('Tasks Filter'!$O$3="",BD1591='Tasks Filter'!$O$3),OR('Tasks Filter'!$O$4="Yes",BG1591=0)),1,0))</f>
        <v/>
      </c>
      <c r="BJ1591">
        <f>IF(BH1591=0,"",IF('Tasks Filter'!$F$6="Descending",-1,1)*CHOOSE(MATCH('Tasks Filter'!$F$5,Lists!$G$2:$G$6,0),AW1591,BF1591,IFERROR(MATCH(AV1591,Setup!$F$6:$F$15,0),99),IFERROR(MATCH(BC1591,Setup!$H$6:$H$15,0),99),IFERROR(MATCH(AZ1591,Setup!$J$6:$J$11,0),99))*1E+9+(AW1591-40000)*10000+1590)</f>
        <v/>
      </c>
      <c r="BK1591">
        <f>IF(BI1591=1,BJ1591,"")</f>
        <v/>
      </c>
      <c r="BL1591">
        <f>IF(AND(BH1591=1,BG1591=0,N(AW1591)&lt;Setup!$D$7),(AW1591-40000)*10000+1590,"")</f>
        <v/>
      </c>
      <c r="BM1591">
        <f>IF(AND(BH1591=1,AZ1591&lt;&gt;"Cancelled",N(AW1591)&gt;=Dashboard!$AB$3,N(AW1591)&lt;=Dashboard!$AB$3+6),(AW1591-40000)*100000+BF1591*10000+1590,"")</f>
        <v/>
      </c>
      <c r="BN1591">
        <f>IF(AND(BH1591=1,AZ1591&lt;&gt;"Cancelled"),BF1591*10000+1590,"")</f>
        <v/>
      </c>
    </row>
    <row r="1592">
      <c r="AS1592" t="inlineStr">
        <is>
          <t>V</t>
        </is>
      </c>
      <c r="AT1592" t="n">
        <v>96</v>
      </c>
      <c r="AU1592">
        <f>'Variable Tasks'!C96&amp;""</f>
        <v/>
      </c>
      <c r="AV1592">
        <f>'Variable Tasks'!D96&amp;""</f>
        <v/>
      </c>
      <c r="AW1592">
        <f>IF('Variable Tasks'!E96="","",'Variable Tasks'!E96)</f>
        <v/>
      </c>
      <c r="AX1592">
        <f>IF('Variable Tasks'!G96="","",'Variable Tasks'!G96)</f>
        <v/>
      </c>
      <c r="AY1592">
        <f>IF('Variable Tasks'!H96="","",'Variable Tasks'!H96)</f>
        <v/>
      </c>
      <c r="AZ1592">
        <f>IF(AU1592="","",IF('Variable Tasks'!J96="","Not Started",'Variable Tasks'!J96))</f>
        <v/>
      </c>
      <c r="BA1592">
        <f>'Variable Tasks'!L96&amp;""</f>
        <v/>
      </c>
      <c r="BB1592">
        <f>'Variable Tasks'!M96&amp;""</f>
        <v/>
      </c>
      <c r="BC1592">
        <f>'Variable Tasks'!N96&amp;""</f>
        <v/>
      </c>
      <c r="BD1592">
        <f>'Variable Tasks'!O96&amp;""</f>
        <v/>
      </c>
      <c r="BE1592">
        <f>IF('Variable Tasks'!K96="","",'Variable Tasks'!K96)</f>
        <v/>
      </c>
      <c r="BF1592">
        <f>IFERROR(MATCH(BA1592,Setup!$L$6:$L$9,0),5)</f>
        <v/>
      </c>
      <c r="BG1592">
        <f>IF(OR(AZ1592="Done",AZ1592="Cancelled"),1,0)</f>
        <v/>
      </c>
      <c r="BH1592">
        <f>IF(AND(AU1592&lt;&gt;"",ISNUMBER(AW1592)),1,0)</f>
        <v/>
      </c>
      <c r="BI1592">
        <f>IF(BH1592=0,0,IF(AND(AW1592&gt;='Tasks Filter'!$F$3,AW1592&lt;='Tasks Filter'!$F$4,OR('Tasks Filter'!$I$3="",ISNUMBER(SEARCH('Tasks Filter'!$I$3,AU1592))),OR('Tasks Filter'!$I$4="",BF1592=IFERROR(MATCH('Tasks Filter'!$I$4,Setup!$L$6:$L$9,0),0)),OR('Tasks Filter'!$I$5="Both",AND('Tasks Filter'!$I$5="Yes",BB1592="✓"),AND('Tasks Filter'!$I$5="No",BB1592&lt;&gt;"✓")),OR('Tasks Filter'!$L$3="",AV1592='Tasks Filter'!$L$3),OR('Tasks Filter'!$L$4="",AZ1592='Tasks Filter'!$L$4),OR('Tasks Filter'!$L$5="",BC1592='Tasks Filter'!$L$5),OR('Tasks Filter'!$O$3="",BD1592='Tasks Filter'!$O$3),OR('Tasks Filter'!$O$4="Yes",BG1592=0)),1,0))</f>
        <v/>
      </c>
      <c r="BJ1592">
        <f>IF(BH1592=0,"",IF('Tasks Filter'!$F$6="Descending",-1,1)*CHOOSE(MATCH('Tasks Filter'!$F$5,Lists!$G$2:$G$6,0),AW1592,BF1592,IFERROR(MATCH(AV1592,Setup!$F$6:$F$15,0),99),IFERROR(MATCH(BC1592,Setup!$H$6:$H$15,0),99),IFERROR(MATCH(AZ1592,Setup!$J$6:$J$11,0),99))*1E+9+(AW1592-40000)*10000+1591)</f>
        <v/>
      </c>
      <c r="BK1592">
        <f>IF(BI1592=1,BJ1592,"")</f>
        <v/>
      </c>
      <c r="BL1592">
        <f>IF(AND(BH1592=1,BG1592=0,N(AW1592)&lt;Setup!$D$7),(AW1592-40000)*10000+1591,"")</f>
        <v/>
      </c>
      <c r="BM1592">
        <f>IF(AND(BH1592=1,AZ1592&lt;&gt;"Cancelled",N(AW1592)&gt;=Dashboard!$AB$3,N(AW1592)&lt;=Dashboard!$AB$3+6),(AW1592-40000)*100000+BF1592*10000+1591,"")</f>
        <v/>
      </c>
      <c r="BN1592">
        <f>IF(AND(BH1592=1,AZ1592&lt;&gt;"Cancelled"),BF1592*10000+1591,"")</f>
        <v/>
      </c>
    </row>
    <row r="1593">
      <c r="AS1593" t="inlineStr">
        <is>
          <t>V</t>
        </is>
      </c>
      <c r="AT1593" t="n">
        <v>97</v>
      </c>
      <c r="AU1593">
        <f>'Variable Tasks'!C97&amp;""</f>
        <v/>
      </c>
      <c r="AV1593">
        <f>'Variable Tasks'!D97&amp;""</f>
        <v/>
      </c>
      <c r="AW1593">
        <f>IF('Variable Tasks'!E97="","",'Variable Tasks'!E97)</f>
        <v/>
      </c>
      <c r="AX1593">
        <f>IF('Variable Tasks'!G97="","",'Variable Tasks'!G97)</f>
        <v/>
      </c>
      <c r="AY1593">
        <f>IF('Variable Tasks'!H97="","",'Variable Tasks'!H97)</f>
        <v/>
      </c>
      <c r="AZ1593">
        <f>IF(AU1593="","",IF('Variable Tasks'!J97="","Not Started",'Variable Tasks'!J97))</f>
        <v/>
      </c>
      <c r="BA1593">
        <f>'Variable Tasks'!L97&amp;""</f>
        <v/>
      </c>
      <c r="BB1593">
        <f>'Variable Tasks'!M97&amp;""</f>
        <v/>
      </c>
      <c r="BC1593">
        <f>'Variable Tasks'!N97&amp;""</f>
        <v/>
      </c>
      <c r="BD1593">
        <f>'Variable Tasks'!O97&amp;""</f>
        <v/>
      </c>
      <c r="BE1593">
        <f>IF('Variable Tasks'!K97="","",'Variable Tasks'!K97)</f>
        <v/>
      </c>
      <c r="BF1593">
        <f>IFERROR(MATCH(BA1593,Setup!$L$6:$L$9,0),5)</f>
        <v/>
      </c>
      <c r="BG1593">
        <f>IF(OR(AZ1593="Done",AZ1593="Cancelled"),1,0)</f>
        <v/>
      </c>
      <c r="BH1593">
        <f>IF(AND(AU1593&lt;&gt;"",ISNUMBER(AW1593)),1,0)</f>
        <v/>
      </c>
      <c r="BI1593">
        <f>IF(BH1593=0,0,IF(AND(AW1593&gt;='Tasks Filter'!$F$3,AW1593&lt;='Tasks Filter'!$F$4,OR('Tasks Filter'!$I$3="",ISNUMBER(SEARCH('Tasks Filter'!$I$3,AU1593))),OR('Tasks Filter'!$I$4="",BF1593=IFERROR(MATCH('Tasks Filter'!$I$4,Setup!$L$6:$L$9,0),0)),OR('Tasks Filter'!$I$5="Both",AND('Tasks Filter'!$I$5="Yes",BB1593="✓"),AND('Tasks Filter'!$I$5="No",BB1593&lt;&gt;"✓")),OR('Tasks Filter'!$L$3="",AV1593='Tasks Filter'!$L$3),OR('Tasks Filter'!$L$4="",AZ1593='Tasks Filter'!$L$4),OR('Tasks Filter'!$L$5="",BC1593='Tasks Filter'!$L$5),OR('Tasks Filter'!$O$3="",BD1593='Tasks Filter'!$O$3),OR('Tasks Filter'!$O$4="Yes",BG1593=0)),1,0))</f>
        <v/>
      </c>
      <c r="BJ1593">
        <f>IF(BH1593=0,"",IF('Tasks Filter'!$F$6="Descending",-1,1)*CHOOSE(MATCH('Tasks Filter'!$F$5,Lists!$G$2:$G$6,0),AW1593,BF1593,IFERROR(MATCH(AV1593,Setup!$F$6:$F$15,0),99),IFERROR(MATCH(BC1593,Setup!$H$6:$H$15,0),99),IFERROR(MATCH(AZ1593,Setup!$J$6:$J$11,0),99))*1E+9+(AW1593-40000)*10000+1592)</f>
        <v/>
      </c>
      <c r="BK1593">
        <f>IF(BI1593=1,BJ1593,"")</f>
        <v/>
      </c>
      <c r="BL1593">
        <f>IF(AND(BH1593=1,BG1593=0,N(AW1593)&lt;Setup!$D$7),(AW1593-40000)*10000+1592,"")</f>
        <v/>
      </c>
      <c r="BM1593">
        <f>IF(AND(BH1593=1,AZ1593&lt;&gt;"Cancelled",N(AW1593)&gt;=Dashboard!$AB$3,N(AW1593)&lt;=Dashboard!$AB$3+6),(AW1593-40000)*100000+BF1593*10000+1592,"")</f>
        <v/>
      </c>
      <c r="BN1593">
        <f>IF(AND(BH1593=1,AZ1593&lt;&gt;"Cancelled"),BF1593*10000+1592,"")</f>
        <v/>
      </c>
    </row>
    <row r="1594">
      <c r="AS1594" t="inlineStr">
        <is>
          <t>V</t>
        </is>
      </c>
      <c r="AT1594" t="n">
        <v>98</v>
      </c>
      <c r="AU1594">
        <f>'Variable Tasks'!C98&amp;""</f>
        <v/>
      </c>
      <c r="AV1594">
        <f>'Variable Tasks'!D98&amp;""</f>
        <v/>
      </c>
      <c r="AW1594">
        <f>IF('Variable Tasks'!E98="","",'Variable Tasks'!E98)</f>
        <v/>
      </c>
      <c r="AX1594">
        <f>IF('Variable Tasks'!G98="","",'Variable Tasks'!G98)</f>
        <v/>
      </c>
      <c r="AY1594">
        <f>IF('Variable Tasks'!H98="","",'Variable Tasks'!H98)</f>
        <v/>
      </c>
      <c r="AZ1594">
        <f>IF(AU1594="","",IF('Variable Tasks'!J98="","Not Started",'Variable Tasks'!J98))</f>
        <v/>
      </c>
      <c r="BA1594">
        <f>'Variable Tasks'!L98&amp;""</f>
        <v/>
      </c>
      <c r="BB1594">
        <f>'Variable Tasks'!M98&amp;""</f>
        <v/>
      </c>
      <c r="BC1594">
        <f>'Variable Tasks'!N98&amp;""</f>
        <v/>
      </c>
      <c r="BD1594">
        <f>'Variable Tasks'!O98&amp;""</f>
        <v/>
      </c>
      <c r="BE1594">
        <f>IF('Variable Tasks'!K98="","",'Variable Tasks'!K98)</f>
        <v/>
      </c>
      <c r="BF1594">
        <f>IFERROR(MATCH(BA1594,Setup!$L$6:$L$9,0),5)</f>
        <v/>
      </c>
      <c r="BG1594">
        <f>IF(OR(AZ1594="Done",AZ1594="Cancelled"),1,0)</f>
        <v/>
      </c>
      <c r="BH1594">
        <f>IF(AND(AU1594&lt;&gt;"",ISNUMBER(AW1594)),1,0)</f>
        <v/>
      </c>
      <c r="BI1594">
        <f>IF(BH1594=0,0,IF(AND(AW1594&gt;='Tasks Filter'!$F$3,AW1594&lt;='Tasks Filter'!$F$4,OR('Tasks Filter'!$I$3="",ISNUMBER(SEARCH('Tasks Filter'!$I$3,AU1594))),OR('Tasks Filter'!$I$4="",BF1594=IFERROR(MATCH('Tasks Filter'!$I$4,Setup!$L$6:$L$9,0),0)),OR('Tasks Filter'!$I$5="Both",AND('Tasks Filter'!$I$5="Yes",BB1594="✓"),AND('Tasks Filter'!$I$5="No",BB1594&lt;&gt;"✓")),OR('Tasks Filter'!$L$3="",AV1594='Tasks Filter'!$L$3),OR('Tasks Filter'!$L$4="",AZ1594='Tasks Filter'!$L$4),OR('Tasks Filter'!$L$5="",BC1594='Tasks Filter'!$L$5),OR('Tasks Filter'!$O$3="",BD1594='Tasks Filter'!$O$3),OR('Tasks Filter'!$O$4="Yes",BG1594=0)),1,0))</f>
        <v/>
      </c>
      <c r="BJ1594">
        <f>IF(BH1594=0,"",IF('Tasks Filter'!$F$6="Descending",-1,1)*CHOOSE(MATCH('Tasks Filter'!$F$5,Lists!$G$2:$G$6,0),AW1594,BF1594,IFERROR(MATCH(AV1594,Setup!$F$6:$F$15,0),99),IFERROR(MATCH(BC1594,Setup!$H$6:$H$15,0),99),IFERROR(MATCH(AZ1594,Setup!$J$6:$J$11,0),99))*1E+9+(AW1594-40000)*10000+1593)</f>
        <v/>
      </c>
      <c r="BK1594">
        <f>IF(BI1594=1,BJ1594,"")</f>
        <v/>
      </c>
      <c r="BL1594">
        <f>IF(AND(BH1594=1,BG1594=0,N(AW1594)&lt;Setup!$D$7),(AW1594-40000)*10000+1593,"")</f>
        <v/>
      </c>
      <c r="BM1594">
        <f>IF(AND(BH1594=1,AZ1594&lt;&gt;"Cancelled",N(AW1594)&gt;=Dashboard!$AB$3,N(AW1594)&lt;=Dashboard!$AB$3+6),(AW1594-40000)*100000+BF1594*10000+1593,"")</f>
        <v/>
      </c>
      <c r="BN1594">
        <f>IF(AND(BH1594=1,AZ1594&lt;&gt;"Cancelled"),BF1594*10000+1593,"")</f>
        <v/>
      </c>
    </row>
    <row r="1595">
      <c r="AS1595" t="inlineStr">
        <is>
          <t>V</t>
        </is>
      </c>
      <c r="AT1595" t="n">
        <v>99</v>
      </c>
      <c r="AU1595">
        <f>'Variable Tasks'!C99&amp;""</f>
        <v/>
      </c>
      <c r="AV1595">
        <f>'Variable Tasks'!D99&amp;""</f>
        <v/>
      </c>
      <c r="AW1595">
        <f>IF('Variable Tasks'!E99="","",'Variable Tasks'!E99)</f>
        <v/>
      </c>
      <c r="AX1595">
        <f>IF('Variable Tasks'!G99="","",'Variable Tasks'!G99)</f>
        <v/>
      </c>
      <c r="AY1595">
        <f>IF('Variable Tasks'!H99="","",'Variable Tasks'!H99)</f>
        <v/>
      </c>
      <c r="AZ1595">
        <f>IF(AU1595="","",IF('Variable Tasks'!J99="","Not Started",'Variable Tasks'!J99))</f>
        <v/>
      </c>
      <c r="BA1595">
        <f>'Variable Tasks'!L99&amp;""</f>
        <v/>
      </c>
      <c r="BB1595">
        <f>'Variable Tasks'!M99&amp;""</f>
        <v/>
      </c>
      <c r="BC1595">
        <f>'Variable Tasks'!N99&amp;""</f>
        <v/>
      </c>
      <c r="BD1595">
        <f>'Variable Tasks'!O99&amp;""</f>
        <v/>
      </c>
      <c r="BE1595">
        <f>IF('Variable Tasks'!K99="","",'Variable Tasks'!K99)</f>
        <v/>
      </c>
      <c r="BF1595">
        <f>IFERROR(MATCH(BA1595,Setup!$L$6:$L$9,0),5)</f>
        <v/>
      </c>
      <c r="BG1595">
        <f>IF(OR(AZ1595="Done",AZ1595="Cancelled"),1,0)</f>
        <v/>
      </c>
      <c r="BH1595">
        <f>IF(AND(AU1595&lt;&gt;"",ISNUMBER(AW1595)),1,0)</f>
        <v/>
      </c>
      <c r="BI1595">
        <f>IF(BH1595=0,0,IF(AND(AW1595&gt;='Tasks Filter'!$F$3,AW1595&lt;='Tasks Filter'!$F$4,OR('Tasks Filter'!$I$3="",ISNUMBER(SEARCH('Tasks Filter'!$I$3,AU1595))),OR('Tasks Filter'!$I$4="",BF1595=IFERROR(MATCH('Tasks Filter'!$I$4,Setup!$L$6:$L$9,0),0)),OR('Tasks Filter'!$I$5="Both",AND('Tasks Filter'!$I$5="Yes",BB1595="✓"),AND('Tasks Filter'!$I$5="No",BB1595&lt;&gt;"✓")),OR('Tasks Filter'!$L$3="",AV1595='Tasks Filter'!$L$3),OR('Tasks Filter'!$L$4="",AZ1595='Tasks Filter'!$L$4),OR('Tasks Filter'!$L$5="",BC1595='Tasks Filter'!$L$5),OR('Tasks Filter'!$O$3="",BD1595='Tasks Filter'!$O$3),OR('Tasks Filter'!$O$4="Yes",BG1595=0)),1,0))</f>
        <v/>
      </c>
      <c r="BJ1595">
        <f>IF(BH1595=0,"",IF('Tasks Filter'!$F$6="Descending",-1,1)*CHOOSE(MATCH('Tasks Filter'!$F$5,Lists!$G$2:$G$6,0),AW1595,BF1595,IFERROR(MATCH(AV1595,Setup!$F$6:$F$15,0),99),IFERROR(MATCH(BC1595,Setup!$H$6:$H$15,0),99),IFERROR(MATCH(AZ1595,Setup!$J$6:$J$11,0),99))*1E+9+(AW1595-40000)*10000+1594)</f>
        <v/>
      </c>
      <c r="BK1595">
        <f>IF(BI1595=1,BJ1595,"")</f>
        <v/>
      </c>
      <c r="BL1595">
        <f>IF(AND(BH1595=1,BG1595=0,N(AW1595)&lt;Setup!$D$7),(AW1595-40000)*10000+1594,"")</f>
        <v/>
      </c>
      <c r="BM1595">
        <f>IF(AND(BH1595=1,AZ1595&lt;&gt;"Cancelled",N(AW1595)&gt;=Dashboard!$AB$3,N(AW1595)&lt;=Dashboard!$AB$3+6),(AW1595-40000)*100000+BF1595*10000+1594,"")</f>
        <v/>
      </c>
      <c r="BN1595">
        <f>IF(AND(BH1595=1,AZ1595&lt;&gt;"Cancelled"),BF1595*10000+1594,"")</f>
        <v/>
      </c>
    </row>
    <row r="1596">
      <c r="AS1596" t="inlineStr">
        <is>
          <t>V</t>
        </is>
      </c>
      <c r="AT1596" t="n">
        <v>100</v>
      </c>
      <c r="AU1596">
        <f>'Variable Tasks'!C100&amp;""</f>
        <v/>
      </c>
      <c r="AV1596">
        <f>'Variable Tasks'!D100&amp;""</f>
        <v/>
      </c>
      <c r="AW1596">
        <f>IF('Variable Tasks'!E100="","",'Variable Tasks'!E100)</f>
        <v/>
      </c>
      <c r="AX1596">
        <f>IF('Variable Tasks'!G100="","",'Variable Tasks'!G100)</f>
        <v/>
      </c>
      <c r="AY1596">
        <f>IF('Variable Tasks'!H100="","",'Variable Tasks'!H100)</f>
        <v/>
      </c>
      <c r="AZ1596">
        <f>IF(AU1596="","",IF('Variable Tasks'!J100="","Not Started",'Variable Tasks'!J100))</f>
        <v/>
      </c>
      <c r="BA1596">
        <f>'Variable Tasks'!L100&amp;""</f>
        <v/>
      </c>
      <c r="BB1596">
        <f>'Variable Tasks'!M100&amp;""</f>
        <v/>
      </c>
      <c r="BC1596">
        <f>'Variable Tasks'!N100&amp;""</f>
        <v/>
      </c>
      <c r="BD1596">
        <f>'Variable Tasks'!O100&amp;""</f>
        <v/>
      </c>
      <c r="BE1596">
        <f>IF('Variable Tasks'!K100="","",'Variable Tasks'!K100)</f>
        <v/>
      </c>
      <c r="BF1596">
        <f>IFERROR(MATCH(BA1596,Setup!$L$6:$L$9,0),5)</f>
        <v/>
      </c>
      <c r="BG1596">
        <f>IF(OR(AZ1596="Done",AZ1596="Cancelled"),1,0)</f>
        <v/>
      </c>
      <c r="BH1596">
        <f>IF(AND(AU1596&lt;&gt;"",ISNUMBER(AW1596)),1,0)</f>
        <v/>
      </c>
      <c r="BI1596">
        <f>IF(BH1596=0,0,IF(AND(AW1596&gt;='Tasks Filter'!$F$3,AW1596&lt;='Tasks Filter'!$F$4,OR('Tasks Filter'!$I$3="",ISNUMBER(SEARCH('Tasks Filter'!$I$3,AU1596))),OR('Tasks Filter'!$I$4="",BF1596=IFERROR(MATCH('Tasks Filter'!$I$4,Setup!$L$6:$L$9,0),0)),OR('Tasks Filter'!$I$5="Both",AND('Tasks Filter'!$I$5="Yes",BB1596="✓"),AND('Tasks Filter'!$I$5="No",BB1596&lt;&gt;"✓")),OR('Tasks Filter'!$L$3="",AV1596='Tasks Filter'!$L$3),OR('Tasks Filter'!$L$4="",AZ1596='Tasks Filter'!$L$4),OR('Tasks Filter'!$L$5="",BC1596='Tasks Filter'!$L$5),OR('Tasks Filter'!$O$3="",BD1596='Tasks Filter'!$O$3),OR('Tasks Filter'!$O$4="Yes",BG1596=0)),1,0))</f>
        <v/>
      </c>
      <c r="BJ1596">
        <f>IF(BH1596=0,"",IF('Tasks Filter'!$F$6="Descending",-1,1)*CHOOSE(MATCH('Tasks Filter'!$F$5,Lists!$G$2:$G$6,0),AW1596,BF1596,IFERROR(MATCH(AV1596,Setup!$F$6:$F$15,0),99),IFERROR(MATCH(BC1596,Setup!$H$6:$H$15,0),99),IFERROR(MATCH(AZ1596,Setup!$J$6:$J$11,0),99))*1E+9+(AW1596-40000)*10000+1595)</f>
        <v/>
      </c>
      <c r="BK1596">
        <f>IF(BI1596=1,BJ1596,"")</f>
        <v/>
      </c>
      <c r="BL1596">
        <f>IF(AND(BH1596=1,BG1596=0,N(AW1596)&lt;Setup!$D$7),(AW1596-40000)*10000+1595,"")</f>
        <v/>
      </c>
      <c r="BM1596">
        <f>IF(AND(BH1596=1,AZ1596&lt;&gt;"Cancelled",N(AW1596)&gt;=Dashboard!$AB$3,N(AW1596)&lt;=Dashboard!$AB$3+6),(AW1596-40000)*100000+BF1596*10000+1595,"")</f>
        <v/>
      </c>
      <c r="BN1596">
        <f>IF(AND(BH1596=1,AZ1596&lt;&gt;"Cancelled"),BF1596*10000+1595,"")</f>
        <v/>
      </c>
    </row>
    <row r="1597">
      <c r="AS1597" t="inlineStr">
        <is>
          <t>V</t>
        </is>
      </c>
      <c r="AT1597" t="n">
        <v>101</v>
      </c>
      <c r="AU1597">
        <f>'Variable Tasks'!C101&amp;""</f>
        <v/>
      </c>
      <c r="AV1597">
        <f>'Variable Tasks'!D101&amp;""</f>
        <v/>
      </c>
      <c r="AW1597">
        <f>IF('Variable Tasks'!E101="","",'Variable Tasks'!E101)</f>
        <v/>
      </c>
      <c r="AX1597">
        <f>IF('Variable Tasks'!G101="","",'Variable Tasks'!G101)</f>
        <v/>
      </c>
      <c r="AY1597">
        <f>IF('Variable Tasks'!H101="","",'Variable Tasks'!H101)</f>
        <v/>
      </c>
      <c r="AZ1597">
        <f>IF(AU1597="","",IF('Variable Tasks'!J101="","Not Started",'Variable Tasks'!J101))</f>
        <v/>
      </c>
      <c r="BA1597">
        <f>'Variable Tasks'!L101&amp;""</f>
        <v/>
      </c>
      <c r="BB1597">
        <f>'Variable Tasks'!M101&amp;""</f>
        <v/>
      </c>
      <c r="BC1597">
        <f>'Variable Tasks'!N101&amp;""</f>
        <v/>
      </c>
      <c r="BD1597">
        <f>'Variable Tasks'!O101&amp;""</f>
        <v/>
      </c>
      <c r="BE1597">
        <f>IF('Variable Tasks'!K101="","",'Variable Tasks'!K101)</f>
        <v/>
      </c>
      <c r="BF1597">
        <f>IFERROR(MATCH(BA1597,Setup!$L$6:$L$9,0),5)</f>
        <v/>
      </c>
      <c r="BG1597">
        <f>IF(OR(AZ1597="Done",AZ1597="Cancelled"),1,0)</f>
        <v/>
      </c>
      <c r="BH1597">
        <f>IF(AND(AU1597&lt;&gt;"",ISNUMBER(AW1597)),1,0)</f>
        <v/>
      </c>
      <c r="BI1597">
        <f>IF(BH1597=0,0,IF(AND(AW1597&gt;='Tasks Filter'!$F$3,AW1597&lt;='Tasks Filter'!$F$4,OR('Tasks Filter'!$I$3="",ISNUMBER(SEARCH('Tasks Filter'!$I$3,AU1597))),OR('Tasks Filter'!$I$4="",BF1597=IFERROR(MATCH('Tasks Filter'!$I$4,Setup!$L$6:$L$9,0),0)),OR('Tasks Filter'!$I$5="Both",AND('Tasks Filter'!$I$5="Yes",BB1597="✓"),AND('Tasks Filter'!$I$5="No",BB1597&lt;&gt;"✓")),OR('Tasks Filter'!$L$3="",AV1597='Tasks Filter'!$L$3),OR('Tasks Filter'!$L$4="",AZ1597='Tasks Filter'!$L$4),OR('Tasks Filter'!$L$5="",BC1597='Tasks Filter'!$L$5),OR('Tasks Filter'!$O$3="",BD1597='Tasks Filter'!$O$3),OR('Tasks Filter'!$O$4="Yes",BG1597=0)),1,0))</f>
        <v/>
      </c>
      <c r="BJ1597">
        <f>IF(BH1597=0,"",IF('Tasks Filter'!$F$6="Descending",-1,1)*CHOOSE(MATCH('Tasks Filter'!$F$5,Lists!$G$2:$G$6,0),AW1597,BF1597,IFERROR(MATCH(AV1597,Setup!$F$6:$F$15,0),99),IFERROR(MATCH(BC1597,Setup!$H$6:$H$15,0),99),IFERROR(MATCH(AZ1597,Setup!$J$6:$J$11,0),99))*1E+9+(AW1597-40000)*10000+1596)</f>
        <v/>
      </c>
      <c r="BK1597">
        <f>IF(BI1597=1,BJ1597,"")</f>
        <v/>
      </c>
      <c r="BL1597">
        <f>IF(AND(BH1597=1,BG1597=0,N(AW1597)&lt;Setup!$D$7),(AW1597-40000)*10000+1596,"")</f>
        <v/>
      </c>
      <c r="BM1597">
        <f>IF(AND(BH1597=1,AZ1597&lt;&gt;"Cancelled",N(AW1597)&gt;=Dashboard!$AB$3,N(AW1597)&lt;=Dashboard!$AB$3+6),(AW1597-40000)*100000+BF1597*10000+1596,"")</f>
        <v/>
      </c>
      <c r="BN1597">
        <f>IF(AND(BH1597=1,AZ1597&lt;&gt;"Cancelled"),BF1597*10000+1596,"")</f>
        <v/>
      </c>
    </row>
    <row r="1598">
      <c r="AS1598" t="inlineStr">
        <is>
          <t>V</t>
        </is>
      </c>
      <c r="AT1598" t="n">
        <v>102</v>
      </c>
      <c r="AU1598">
        <f>'Variable Tasks'!C102&amp;""</f>
        <v/>
      </c>
      <c r="AV1598">
        <f>'Variable Tasks'!D102&amp;""</f>
        <v/>
      </c>
      <c r="AW1598">
        <f>IF('Variable Tasks'!E102="","",'Variable Tasks'!E102)</f>
        <v/>
      </c>
      <c r="AX1598">
        <f>IF('Variable Tasks'!G102="","",'Variable Tasks'!G102)</f>
        <v/>
      </c>
      <c r="AY1598">
        <f>IF('Variable Tasks'!H102="","",'Variable Tasks'!H102)</f>
        <v/>
      </c>
      <c r="AZ1598">
        <f>IF(AU1598="","",IF('Variable Tasks'!J102="","Not Started",'Variable Tasks'!J102))</f>
        <v/>
      </c>
      <c r="BA1598">
        <f>'Variable Tasks'!L102&amp;""</f>
        <v/>
      </c>
      <c r="BB1598">
        <f>'Variable Tasks'!M102&amp;""</f>
        <v/>
      </c>
      <c r="BC1598">
        <f>'Variable Tasks'!N102&amp;""</f>
        <v/>
      </c>
      <c r="BD1598">
        <f>'Variable Tasks'!O102&amp;""</f>
        <v/>
      </c>
      <c r="BE1598">
        <f>IF('Variable Tasks'!K102="","",'Variable Tasks'!K102)</f>
        <v/>
      </c>
      <c r="BF1598">
        <f>IFERROR(MATCH(BA1598,Setup!$L$6:$L$9,0),5)</f>
        <v/>
      </c>
      <c r="BG1598">
        <f>IF(OR(AZ1598="Done",AZ1598="Cancelled"),1,0)</f>
        <v/>
      </c>
      <c r="BH1598">
        <f>IF(AND(AU1598&lt;&gt;"",ISNUMBER(AW1598)),1,0)</f>
        <v/>
      </c>
      <c r="BI1598">
        <f>IF(BH1598=0,0,IF(AND(AW1598&gt;='Tasks Filter'!$F$3,AW1598&lt;='Tasks Filter'!$F$4,OR('Tasks Filter'!$I$3="",ISNUMBER(SEARCH('Tasks Filter'!$I$3,AU1598))),OR('Tasks Filter'!$I$4="",BF1598=IFERROR(MATCH('Tasks Filter'!$I$4,Setup!$L$6:$L$9,0),0)),OR('Tasks Filter'!$I$5="Both",AND('Tasks Filter'!$I$5="Yes",BB1598="✓"),AND('Tasks Filter'!$I$5="No",BB1598&lt;&gt;"✓")),OR('Tasks Filter'!$L$3="",AV1598='Tasks Filter'!$L$3),OR('Tasks Filter'!$L$4="",AZ1598='Tasks Filter'!$L$4),OR('Tasks Filter'!$L$5="",BC1598='Tasks Filter'!$L$5),OR('Tasks Filter'!$O$3="",BD1598='Tasks Filter'!$O$3),OR('Tasks Filter'!$O$4="Yes",BG1598=0)),1,0))</f>
        <v/>
      </c>
      <c r="BJ1598">
        <f>IF(BH1598=0,"",IF('Tasks Filter'!$F$6="Descending",-1,1)*CHOOSE(MATCH('Tasks Filter'!$F$5,Lists!$G$2:$G$6,0),AW1598,BF1598,IFERROR(MATCH(AV1598,Setup!$F$6:$F$15,0),99),IFERROR(MATCH(BC1598,Setup!$H$6:$H$15,0),99),IFERROR(MATCH(AZ1598,Setup!$J$6:$J$11,0),99))*1E+9+(AW1598-40000)*10000+1597)</f>
        <v/>
      </c>
      <c r="BK1598">
        <f>IF(BI1598=1,BJ1598,"")</f>
        <v/>
      </c>
      <c r="BL1598">
        <f>IF(AND(BH1598=1,BG1598=0,N(AW1598)&lt;Setup!$D$7),(AW1598-40000)*10000+1597,"")</f>
        <v/>
      </c>
      <c r="BM1598">
        <f>IF(AND(BH1598=1,AZ1598&lt;&gt;"Cancelled",N(AW1598)&gt;=Dashboard!$AB$3,N(AW1598)&lt;=Dashboard!$AB$3+6),(AW1598-40000)*100000+BF1598*10000+1597,"")</f>
        <v/>
      </c>
      <c r="BN1598">
        <f>IF(AND(BH1598=1,AZ1598&lt;&gt;"Cancelled"),BF1598*10000+1597,"")</f>
        <v/>
      </c>
    </row>
    <row r="1599">
      <c r="AS1599" t="inlineStr">
        <is>
          <t>V</t>
        </is>
      </c>
      <c r="AT1599" t="n">
        <v>103</v>
      </c>
      <c r="AU1599">
        <f>'Variable Tasks'!C103&amp;""</f>
        <v/>
      </c>
      <c r="AV1599">
        <f>'Variable Tasks'!D103&amp;""</f>
        <v/>
      </c>
      <c r="AW1599">
        <f>IF('Variable Tasks'!E103="","",'Variable Tasks'!E103)</f>
        <v/>
      </c>
      <c r="AX1599">
        <f>IF('Variable Tasks'!G103="","",'Variable Tasks'!G103)</f>
        <v/>
      </c>
      <c r="AY1599">
        <f>IF('Variable Tasks'!H103="","",'Variable Tasks'!H103)</f>
        <v/>
      </c>
      <c r="AZ1599">
        <f>IF(AU1599="","",IF('Variable Tasks'!J103="","Not Started",'Variable Tasks'!J103))</f>
        <v/>
      </c>
      <c r="BA1599">
        <f>'Variable Tasks'!L103&amp;""</f>
        <v/>
      </c>
      <c r="BB1599">
        <f>'Variable Tasks'!M103&amp;""</f>
        <v/>
      </c>
      <c r="BC1599">
        <f>'Variable Tasks'!N103&amp;""</f>
        <v/>
      </c>
      <c r="BD1599">
        <f>'Variable Tasks'!O103&amp;""</f>
        <v/>
      </c>
      <c r="BE1599">
        <f>IF('Variable Tasks'!K103="","",'Variable Tasks'!K103)</f>
        <v/>
      </c>
      <c r="BF1599">
        <f>IFERROR(MATCH(BA1599,Setup!$L$6:$L$9,0),5)</f>
        <v/>
      </c>
      <c r="BG1599">
        <f>IF(OR(AZ1599="Done",AZ1599="Cancelled"),1,0)</f>
        <v/>
      </c>
      <c r="BH1599">
        <f>IF(AND(AU1599&lt;&gt;"",ISNUMBER(AW1599)),1,0)</f>
        <v/>
      </c>
      <c r="BI1599">
        <f>IF(BH1599=0,0,IF(AND(AW1599&gt;='Tasks Filter'!$F$3,AW1599&lt;='Tasks Filter'!$F$4,OR('Tasks Filter'!$I$3="",ISNUMBER(SEARCH('Tasks Filter'!$I$3,AU1599))),OR('Tasks Filter'!$I$4="",BF1599=IFERROR(MATCH('Tasks Filter'!$I$4,Setup!$L$6:$L$9,0),0)),OR('Tasks Filter'!$I$5="Both",AND('Tasks Filter'!$I$5="Yes",BB1599="✓"),AND('Tasks Filter'!$I$5="No",BB1599&lt;&gt;"✓")),OR('Tasks Filter'!$L$3="",AV1599='Tasks Filter'!$L$3),OR('Tasks Filter'!$L$4="",AZ1599='Tasks Filter'!$L$4),OR('Tasks Filter'!$L$5="",BC1599='Tasks Filter'!$L$5),OR('Tasks Filter'!$O$3="",BD1599='Tasks Filter'!$O$3),OR('Tasks Filter'!$O$4="Yes",BG1599=0)),1,0))</f>
        <v/>
      </c>
      <c r="BJ1599">
        <f>IF(BH1599=0,"",IF('Tasks Filter'!$F$6="Descending",-1,1)*CHOOSE(MATCH('Tasks Filter'!$F$5,Lists!$G$2:$G$6,0),AW1599,BF1599,IFERROR(MATCH(AV1599,Setup!$F$6:$F$15,0),99),IFERROR(MATCH(BC1599,Setup!$H$6:$H$15,0),99),IFERROR(MATCH(AZ1599,Setup!$J$6:$J$11,0),99))*1E+9+(AW1599-40000)*10000+1598)</f>
        <v/>
      </c>
      <c r="BK1599">
        <f>IF(BI1599=1,BJ1599,"")</f>
        <v/>
      </c>
      <c r="BL1599">
        <f>IF(AND(BH1599=1,BG1599=0,N(AW1599)&lt;Setup!$D$7),(AW1599-40000)*10000+1598,"")</f>
        <v/>
      </c>
      <c r="BM1599">
        <f>IF(AND(BH1599=1,AZ1599&lt;&gt;"Cancelled",N(AW1599)&gt;=Dashboard!$AB$3,N(AW1599)&lt;=Dashboard!$AB$3+6),(AW1599-40000)*100000+BF1599*10000+1598,"")</f>
        <v/>
      </c>
      <c r="BN1599">
        <f>IF(AND(BH1599=1,AZ1599&lt;&gt;"Cancelled"),BF1599*10000+1598,"")</f>
        <v/>
      </c>
    </row>
    <row r="1600">
      <c r="AS1600" t="inlineStr">
        <is>
          <t>V</t>
        </is>
      </c>
      <c r="AT1600" t="n">
        <v>104</v>
      </c>
      <c r="AU1600">
        <f>'Variable Tasks'!C104&amp;""</f>
        <v/>
      </c>
      <c r="AV1600">
        <f>'Variable Tasks'!D104&amp;""</f>
        <v/>
      </c>
      <c r="AW1600">
        <f>IF('Variable Tasks'!E104="","",'Variable Tasks'!E104)</f>
        <v/>
      </c>
      <c r="AX1600">
        <f>IF('Variable Tasks'!G104="","",'Variable Tasks'!G104)</f>
        <v/>
      </c>
      <c r="AY1600">
        <f>IF('Variable Tasks'!H104="","",'Variable Tasks'!H104)</f>
        <v/>
      </c>
      <c r="AZ1600">
        <f>IF(AU1600="","",IF('Variable Tasks'!J104="","Not Started",'Variable Tasks'!J104))</f>
        <v/>
      </c>
      <c r="BA1600">
        <f>'Variable Tasks'!L104&amp;""</f>
        <v/>
      </c>
      <c r="BB1600">
        <f>'Variable Tasks'!M104&amp;""</f>
        <v/>
      </c>
      <c r="BC1600">
        <f>'Variable Tasks'!N104&amp;""</f>
        <v/>
      </c>
      <c r="BD1600">
        <f>'Variable Tasks'!O104&amp;""</f>
        <v/>
      </c>
      <c r="BE1600">
        <f>IF('Variable Tasks'!K104="","",'Variable Tasks'!K104)</f>
        <v/>
      </c>
      <c r="BF1600">
        <f>IFERROR(MATCH(BA1600,Setup!$L$6:$L$9,0),5)</f>
        <v/>
      </c>
      <c r="BG1600">
        <f>IF(OR(AZ1600="Done",AZ1600="Cancelled"),1,0)</f>
        <v/>
      </c>
      <c r="BH1600">
        <f>IF(AND(AU1600&lt;&gt;"",ISNUMBER(AW1600)),1,0)</f>
        <v/>
      </c>
      <c r="BI1600">
        <f>IF(BH1600=0,0,IF(AND(AW1600&gt;='Tasks Filter'!$F$3,AW1600&lt;='Tasks Filter'!$F$4,OR('Tasks Filter'!$I$3="",ISNUMBER(SEARCH('Tasks Filter'!$I$3,AU1600))),OR('Tasks Filter'!$I$4="",BF1600=IFERROR(MATCH('Tasks Filter'!$I$4,Setup!$L$6:$L$9,0),0)),OR('Tasks Filter'!$I$5="Both",AND('Tasks Filter'!$I$5="Yes",BB1600="✓"),AND('Tasks Filter'!$I$5="No",BB1600&lt;&gt;"✓")),OR('Tasks Filter'!$L$3="",AV1600='Tasks Filter'!$L$3),OR('Tasks Filter'!$L$4="",AZ1600='Tasks Filter'!$L$4),OR('Tasks Filter'!$L$5="",BC1600='Tasks Filter'!$L$5),OR('Tasks Filter'!$O$3="",BD1600='Tasks Filter'!$O$3),OR('Tasks Filter'!$O$4="Yes",BG1600=0)),1,0))</f>
        <v/>
      </c>
      <c r="BJ1600">
        <f>IF(BH1600=0,"",IF('Tasks Filter'!$F$6="Descending",-1,1)*CHOOSE(MATCH('Tasks Filter'!$F$5,Lists!$G$2:$G$6,0),AW1600,BF1600,IFERROR(MATCH(AV1600,Setup!$F$6:$F$15,0),99),IFERROR(MATCH(BC1600,Setup!$H$6:$H$15,0),99),IFERROR(MATCH(AZ1600,Setup!$J$6:$J$11,0),99))*1E+9+(AW1600-40000)*10000+1599)</f>
        <v/>
      </c>
      <c r="BK1600">
        <f>IF(BI1600=1,BJ1600,"")</f>
        <v/>
      </c>
      <c r="BL1600">
        <f>IF(AND(BH1600=1,BG1600=0,N(AW1600)&lt;Setup!$D$7),(AW1600-40000)*10000+1599,"")</f>
        <v/>
      </c>
      <c r="BM1600">
        <f>IF(AND(BH1600=1,AZ1600&lt;&gt;"Cancelled",N(AW1600)&gt;=Dashboard!$AB$3,N(AW1600)&lt;=Dashboard!$AB$3+6),(AW1600-40000)*100000+BF1600*10000+1599,"")</f>
        <v/>
      </c>
      <c r="BN1600">
        <f>IF(AND(BH1600=1,AZ1600&lt;&gt;"Cancelled"),BF1600*10000+1599,"")</f>
        <v/>
      </c>
    </row>
    <row r="1601">
      <c r="AS1601" t="inlineStr">
        <is>
          <t>V</t>
        </is>
      </c>
      <c r="AT1601" t="n">
        <v>105</v>
      </c>
      <c r="AU1601">
        <f>'Variable Tasks'!C105&amp;""</f>
        <v/>
      </c>
      <c r="AV1601">
        <f>'Variable Tasks'!D105&amp;""</f>
        <v/>
      </c>
      <c r="AW1601">
        <f>IF('Variable Tasks'!E105="","",'Variable Tasks'!E105)</f>
        <v/>
      </c>
      <c r="AX1601">
        <f>IF('Variable Tasks'!G105="","",'Variable Tasks'!G105)</f>
        <v/>
      </c>
      <c r="AY1601">
        <f>IF('Variable Tasks'!H105="","",'Variable Tasks'!H105)</f>
        <v/>
      </c>
      <c r="AZ1601">
        <f>IF(AU1601="","",IF('Variable Tasks'!J105="","Not Started",'Variable Tasks'!J105))</f>
        <v/>
      </c>
      <c r="BA1601">
        <f>'Variable Tasks'!L105&amp;""</f>
        <v/>
      </c>
      <c r="BB1601">
        <f>'Variable Tasks'!M105&amp;""</f>
        <v/>
      </c>
      <c r="BC1601">
        <f>'Variable Tasks'!N105&amp;""</f>
        <v/>
      </c>
      <c r="BD1601">
        <f>'Variable Tasks'!O105&amp;""</f>
        <v/>
      </c>
      <c r="BE1601">
        <f>IF('Variable Tasks'!K105="","",'Variable Tasks'!K105)</f>
        <v/>
      </c>
      <c r="BF1601">
        <f>IFERROR(MATCH(BA1601,Setup!$L$6:$L$9,0),5)</f>
        <v/>
      </c>
      <c r="BG1601">
        <f>IF(OR(AZ1601="Done",AZ1601="Cancelled"),1,0)</f>
        <v/>
      </c>
      <c r="BH1601">
        <f>IF(AND(AU1601&lt;&gt;"",ISNUMBER(AW1601)),1,0)</f>
        <v/>
      </c>
      <c r="BI1601">
        <f>IF(BH1601=0,0,IF(AND(AW1601&gt;='Tasks Filter'!$F$3,AW1601&lt;='Tasks Filter'!$F$4,OR('Tasks Filter'!$I$3="",ISNUMBER(SEARCH('Tasks Filter'!$I$3,AU1601))),OR('Tasks Filter'!$I$4="",BF1601=IFERROR(MATCH('Tasks Filter'!$I$4,Setup!$L$6:$L$9,0),0)),OR('Tasks Filter'!$I$5="Both",AND('Tasks Filter'!$I$5="Yes",BB1601="✓"),AND('Tasks Filter'!$I$5="No",BB1601&lt;&gt;"✓")),OR('Tasks Filter'!$L$3="",AV1601='Tasks Filter'!$L$3),OR('Tasks Filter'!$L$4="",AZ1601='Tasks Filter'!$L$4),OR('Tasks Filter'!$L$5="",BC1601='Tasks Filter'!$L$5),OR('Tasks Filter'!$O$3="",BD1601='Tasks Filter'!$O$3),OR('Tasks Filter'!$O$4="Yes",BG1601=0)),1,0))</f>
        <v/>
      </c>
      <c r="BJ1601">
        <f>IF(BH1601=0,"",IF('Tasks Filter'!$F$6="Descending",-1,1)*CHOOSE(MATCH('Tasks Filter'!$F$5,Lists!$G$2:$G$6,0),AW1601,BF1601,IFERROR(MATCH(AV1601,Setup!$F$6:$F$15,0),99),IFERROR(MATCH(BC1601,Setup!$H$6:$H$15,0),99),IFERROR(MATCH(AZ1601,Setup!$J$6:$J$11,0),99))*1E+9+(AW1601-40000)*10000+1600)</f>
        <v/>
      </c>
      <c r="BK1601">
        <f>IF(BI1601=1,BJ1601,"")</f>
        <v/>
      </c>
      <c r="BL1601">
        <f>IF(AND(BH1601=1,BG1601=0,N(AW1601)&lt;Setup!$D$7),(AW1601-40000)*10000+1600,"")</f>
        <v/>
      </c>
      <c r="BM1601">
        <f>IF(AND(BH1601=1,AZ1601&lt;&gt;"Cancelled",N(AW1601)&gt;=Dashboard!$AB$3,N(AW1601)&lt;=Dashboard!$AB$3+6),(AW1601-40000)*100000+BF1601*10000+1600,"")</f>
        <v/>
      </c>
      <c r="BN1601">
        <f>IF(AND(BH1601=1,AZ1601&lt;&gt;"Cancelled"),BF1601*10000+1600,"")</f>
        <v/>
      </c>
    </row>
    <row r="1602">
      <c r="AS1602" t="inlineStr">
        <is>
          <t>V</t>
        </is>
      </c>
      <c r="AT1602" t="n">
        <v>106</v>
      </c>
      <c r="AU1602">
        <f>'Variable Tasks'!C106&amp;""</f>
        <v/>
      </c>
      <c r="AV1602">
        <f>'Variable Tasks'!D106&amp;""</f>
        <v/>
      </c>
      <c r="AW1602">
        <f>IF('Variable Tasks'!E106="","",'Variable Tasks'!E106)</f>
        <v/>
      </c>
      <c r="AX1602">
        <f>IF('Variable Tasks'!G106="","",'Variable Tasks'!G106)</f>
        <v/>
      </c>
      <c r="AY1602">
        <f>IF('Variable Tasks'!H106="","",'Variable Tasks'!H106)</f>
        <v/>
      </c>
      <c r="AZ1602">
        <f>IF(AU1602="","",IF('Variable Tasks'!J106="","Not Started",'Variable Tasks'!J106))</f>
        <v/>
      </c>
      <c r="BA1602">
        <f>'Variable Tasks'!L106&amp;""</f>
        <v/>
      </c>
      <c r="BB1602">
        <f>'Variable Tasks'!M106&amp;""</f>
        <v/>
      </c>
      <c r="BC1602">
        <f>'Variable Tasks'!N106&amp;""</f>
        <v/>
      </c>
      <c r="BD1602">
        <f>'Variable Tasks'!O106&amp;""</f>
        <v/>
      </c>
      <c r="BE1602">
        <f>IF('Variable Tasks'!K106="","",'Variable Tasks'!K106)</f>
        <v/>
      </c>
      <c r="BF1602">
        <f>IFERROR(MATCH(BA1602,Setup!$L$6:$L$9,0),5)</f>
        <v/>
      </c>
      <c r="BG1602">
        <f>IF(OR(AZ1602="Done",AZ1602="Cancelled"),1,0)</f>
        <v/>
      </c>
      <c r="BH1602">
        <f>IF(AND(AU1602&lt;&gt;"",ISNUMBER(AW1602)),1,0)</f>
        <v/>
      </c>
      <c r="BI1602">
        <f>IF(BH1602=0,0,IF(AND(AW1602&gt;='Tasks Filter'!$F$3,AW1602&lt;='Tasks Filter'!$F$4,OR('Tasks Filter'!$I$3="",ISNUMBER(SEARCH('Tasks Filter'!$I$3,AU1602))),OR('Tasks Filter'!$I$4="",BF1602=IFERROR(MATCH('Tasks Filter'!$I$4,Setup!$L$6:$L$9,0),0)),OR('Tasks Filter'!$I$5="Both",AND('Tasks Filter'!$I$5="Yes",BB1602="✓"),AND('Tasks Filter'!$I$5="No",BB1602&lt;&gt;"✓")),OR('Tasks Filter'!$L$3="",AV1602='Tasks Filter'!$L$3),OR('Tasks Filter'!$L$4="",AZ1602='Tasks Filter'!$L$4),OR('Tasks Filter'!$L$5="",BC1602='Tasks Filter'!$L$5),OR('Tasks Filter'!$O$3="",BD1602='Tasks Filter'!$O$3),OR('Tasks Filter'!$O$4="Yes",BG1602=0)),1,0))</f>
        <v/>
      </c>
      <c r="BJ1602">
        <f>IF(BH1602=0,"",IF('Tasks Filter'!$F$6="Descending",-1,1)*CHOOSE(MATCH('Tasks Filter'!$F$5,Lists!$G$2:$G$6,0),AW1602,BF1602,IFERROR(MATCH(AV1602,Setup!$F$6:$F$15,0),99),IFERROR(MATCH(BC1602,Setup!$H$6:$H$15,0),99),IFERROR(MATCH(AZ1602,Setup!$J$6:$J$11,0),99))*1E+9+(AW1602-40000)*10000+1601)</f>
        <v/>
      </c>
      <c r="BK1602">
        <f>IF(BI1602=1,BJ1602,"")</f>
        <v/>
      </c>
      <c r="BL1602">
        <f>IF(AND(BH1602=1,BG1602=0,N(AW1602)&lt;Setup!$D$7),(AW1602-40000)*10000+1601,"")</f>
        <v/>
      </c>
      <c r="BM1602">
        <f>IF(AND(BH1602=1,AZ1602&lt;&gt;"Cancelled",N(AW1602)&gt;=Dashboard!$AB$3,N(AW1602)&lt;=Dashboard!$AB$3+6),(AW1602-40000)*100000+BF1602*10000+1601,"")</f>
        <v/>
      </c>
      <c r="BN1602">
        <f>IF(AND(BH1602=1,AZ1602&lt;&gt;"Cancelled"),BF1602*10000+1601,"")</f>
        <v/>
      </c>
    </row>
    <row r="1603">
      <c r="AS1603" t="inlineStr">
        <is>
          <t>V</t>
        </is>
      </c>
      <c r="AT1603" t="n">
        <v>107</v>
      </c>
      <c r="AU1603">
        <f>'Variable Tasks'!C107&amp;""</f>
        <v/>
      </c>
      <c r="AV1603">
        <f>'Variable Tasks'!D107&amp;""</f>
        <v/>
      </c>
      <c r="AW1603">
        <f>IF('Variable Tasks'!E107="","",'Variable Tasks'!E107)</f>
        <v/>
      </c>
      <c r="AX1603">
        <f>IF('Variable Tasks'!G107="","",'Variable Tasks'!G107)</f>
        <v/>
      </c>
      <c r="AY1603">
        <f>IF('Variable Tasks'!H107="","",'Variable Tasks'!H107)</f>
        <v/>
      </c>
      <c r="AZ1603">
        <f>IF(AU1603="","",IF('Variable Tasks'!J107="","Not Started",'Variable Tasks'!J107))</f>
        <v/>
      </c>
      <c r="BA1603">
        <f>'Variable Tasks'!L107&amp;""</f>
        <v/>
      </c>
      <c r="BB1603">
        <f>'Variable Tasks'!M107&amp;""</f>
        <v/>
      </c>
      <c r="BC1603">
        <f>'Variable Tasks'!N107&amp;""</f>
        <v/>
      </c>
      <c r="BD1603">
        <f>'Variable Tasks'!O107&amp;""</f>
        <v/>
      </c>
      <c r="BE1603">
        <f>IF('Variable Tasks'!K107="","",'Variable Tasks'!K107)</f>
        <v/>
      </c>
      <c r="BF1603">
        <f>IFERROR(MATCH(BA1603,Setup!$L$6:$L$9,0),5)</f>
        <v/>
      </c>
      <c r="BG1603">
        <f>IF(OR(AZ1603="Done",AZ1603="Cancelled"),1,0)</f>
        <v/>
      </c>
      <c r="BH1603">
        <f>IF(AND(AU1603&lt;&gt;"",ISNUMBER(AW1603)),1,0)</f>
        <v/>
      </c>
      <c r="BI1603">
        <f>IF(BH1603=0,0,IF(AND(AW1603&gt;='Tasks Filter'!$F$3,AW1603&lt;='Tasks Filter'!$F$4,OR('Tasks Filter'!$I$3="",ISNUMBER(SEARCH('Tasks Filter'!$I$3,AU1603))),OR('Tasks Filter'!$I$4="",BF1603=IFERROR(MATCH('Tasks Filter'!$I$4,Setup!$L$6:$L$9,0),0)),OR('Tasks Filter'!$I$5="Both",AND('Tasks Filter'!$I$5="Yes",BB1603="✓"),AND('Tasks Filter'!$I$5="No",BB1603&lt;&gt;"✓")),OR('Tasks Filter'!$L$3="",AV1603='Tasks Filter'!$L$3),OR('Tasks Filter'!$L$4="",AZ1603='Tasks Filter'!$L$4),OR('Tasks Filter'!$L$5="",BC1603='Tasks Filter'!$L$5),OR('Tasks Filter'!$O$3="",BD1603='Tasks Filter'!$O$3),OR('Tasks Filter'!$O$4="Yes",BG1603=0)),1,0))</f>
        <v/>
      </c>
      <c r="BJ1603">
        <f>IF(BH1603=0,"",IF('Tasks Filter'!$F$6="Descending",-1,1)*CHOOSE(MATCH('Tasks Filter'!$F$5,Lists!$G$2:$G$6,0),AW1603,BF1603,IFERROR(MATCH(AV1603,Setup!$F$6:$F$15,0),99),IFERROR(MATCH(BC1603,Setup!$H$6:$H$15,0),99),IFERROR(MATCH(AZ1603,Setup!$J$6:$J$11,0),99))*1E+9+(AW1603-40000)*10000+1602)</f>
        <v/>
      </c>
      <c r="BK1603">
        <f>IF(BI1603=1,BJ1603,"")</f>
        <v/>
      </c>
      <c r="BL1603">
        <f>IF(AND(BH1603=1,BG1603=0,N(AW1603)&lt;Setup!$D$7),(AW1603-40000)*10000+1602,"")</f>
        <v/>
      </c>
      <c r="BM1603">
        <f>IF(AND(BH1603=1,AZ1603&lt;&gt;"Cancelled",N(AW1603)&gt;=Dashboard!$AB$3,N(AW1603)&lt;=Dashboard!$AB$3+6),(AW1603-40000)*100000+BF1603*10000+1602,"")</f>
        <v/>
      </c>
      <c r="BN1603">
        <f>IF(AND(BH1603=1,AZ1603&lt;&gt;"Cancelled"),BF1603*10000+1602,"")</f>
        <v/>
      </c>
    </row>
    <row r="1604">
      <c r="AS1604" t="inlineStr">
        <is>
          <t>V</t>
        </is>
      </c>
      <c r="AT1604" t="n">
        <v>108</v>
      </c>
      <c r="AU1604">
        <f>'Variable Tasks'!C108&amp;""</f>
        <v/>
      </c>
      <c r="AV1604">
        <f>'Variable Tasks'!D108&amp;""</f>
        <v/>
      </c>
      <c r="AW1604">
        <f>IF('Variable Tasks'!E108="","",'Variable Tasks'!E108)</f>
        <v/>
      </c>
      <c r="AX1604">
        <f>IF('Variable Tasks'!G108="","",'Variable Tasks'!G108)</f>
        <v/>
      </c>
      <c r="AY1604">
        <f>IF('Variable Tasks'!H108="","",'Variable Tasks'!H108)</f>
        <v/>
      </c>
      <c r="AZ1604">
        <f>IF(AU1604="","",IF('Variable Tasks'!J108="","Not Started",'Variable Tasks'!J108))</f>
        <v/>
      </c>
      <c r="BA1604">
        <f>'Variable Tasks'!L108&amp;""</f>
        <v/>
      </c>
      <c r="BB1604">
        <f>'Variable Tasks'!M108&amp;""</f>
        <v/>
      </c>
      <c r="BC1604">
        <f>'Variable Tasks'!N108&amp;""</f>
        <v/>
      </c>
      <c r="BD1604">
        <f>'Variable Tasks'!O108&amp;""</f>
        <v/>
      </c>
      <c r="BE1604">
        <f>IF('Variable Tasks'!K108="","",'Variable Tasks'!K108)</f>
        <v/>
      </c>
      <c r="BF1604">
        <f>IFERROR(MATCH(BA1604,Setup!$L$6:$L$9,0),5)</f>
        <v/>
      </c>
      <c r="BG1604">
        <f>IF(OR(AZ1604="Done",AZ1604="Cancelled"),1,0)</f>
        <v/>
      </c>
      <c r="BH1604">
        <f>IF(AND(AU1604&lt;&gt;"",ISNUMBER(AW1604)),1,0)</f>
        <v/>
      </c>
      <c r="BI1604">
        <f>IF(BH1604=0,0,IF(AND(AW1604&gt;='Tasks Filter'!$F$3,AW1604&lt;='Tasks Filter'!$F$4,OR('Tasks Filter'!$I$3="",ISNUMBER(SEARCH('Tasks Filter'!$I$3,AU1604))),OR('Tasks Filter'!$I$4="",BF1604=IFERROR(MATCH('Tasks Filter'!$I$4,Setup!$L$6:$L$9,0),0)),OR('Tasks Filter'!$I$5="Both",AND('Tasks Filter'!$I$5="Yes",BB1604="✓"),AND('Tasks Filter'!$I$5="No",BB1604&lt;&gt;"✓")),OR('Tasks Filter'!$L$3="",AV1604='Tasks Filter'!$L$3),OR('Tasks Filter'!$L$4="",AZ1604='Tasks Filter'!$L$4),OR('Tasks Filter'!$L$5="",BC1604='Tasks Filter'!$L$5),OR('Tasks Filter'!$O$3="",BD1604='Tasks Filter'!$O$3),OR('Tasks Filter'!$O$4="Yes",BG1604=0)),1,0))</f>
        <v/>
      </c>
      <c r="BJ1604">
        <f>IF(BH1604=0,"",IF('Tasks Filter'!$F$6="Descending",-1,1)*CHOOSE(MATCH('Tasks Filter'!$F$5,Lists!$G$2:$G$6,0),AW1604,BF1604,IFERROR(MATCH(AV1604,Setup!$F$6:$F$15,0),99),IFERROR(MATCH(BC1604,Setup!$H$6:$H$15,0),99),IFERROR(MATCH(AZ1604,Setup!$J$6:$J$11,0),99))*1E+9+(AW1604-40000)*10000+1603)</f>
        <v/>
      </c>
      <c r="BK1604">
        <f>IF(BI1604=1,BJ1604,"")</f>
        <v/>
      </c>
      <c r="BL1604">
        <f>IF(AND(BH1604=1,BG1604=0,N(AW1604)&lt;Setup!$D$7),(AW1604-40000)*10000+1603,"")</f>
        <v/>
      </c>
      <c r="BM1604">
        <f>IF(AND(BH1604=1,AZ1604&lt;&gt;"Cancelled",N(AW1604)&gt;=Dashboard!$AB$3,N(AW1604)&lt;=Dashboard!$AB$3+6),(AW1604-40000)*100000+BF1604*10000+1603,"")</f>
        <v/>
      </c>
      <c r="BN1604">
        <f>IF(AND(BH1604=1,AZ1604&lt;&gt;"Cancelled"),BF1604*10000+1603,"")</f>
        <v/>
      </c>
    </row>
    <row r="1605">
      <c r="AS1605" t="inlineStr">
        <is>
          <t>V</t>
        </is>
      </c>
      <c r="AT1605" t="n">
        <v>109</v>
      </c>
      <c r="AU1605">
        <f>'Variable Tasks'!C109&amp;""</f>
        <v/>
      </c>
      <c r="AV1605">
        <f>'Variable Tasks'!D109&amp;""</f>
        <v/>
      </c>
      <c r="AW1605">
        <f>IF('Variable Tasks'!E109="","",'Variable Tasks'!E109)</f>
        <v/>
      </c>
      <c r="AX1605">
        <f>IF('Variable Tasks'!G109="","",'Variable Tasks'!G109)</f>
        <v/>
      </c>
      <c r="AY1605">
        <f>IF('Variable Tasks'!H109="","",'Variable Tasks'!H109)</f>
        <v/>
      </c>
      <c r="AZ1605">
        <f>IF(AU1605="","",IF('Variable Tasks'!J109="","Not Started",'Variable Tasks'!J109))</f>
        <v/>
      </c>
      <c r="BA1605">
        <f>'Variable Tasks'!L109&amp;""</f>
        <v/>
      </c>
      <c r="BB1605">
        <f>'Variable Tasks'!M109&amp;""</f>
        <v/>
      </c>
      <c r="BC1605">
        <f>'Variable Tasks'!N109&amp;""</f>
        <v/>
      </c>
      <c r="BD1605">
        <f>'Variable Tasks'!O109&amp;""</f>
        <v/>
      </c>
      <c r="BE1605">
        <f>IF('Variable Tasks'!K109="","",'Variable Tasks'!K109)</f>
        <v/>
      </c>
      <c r="BF1605">
        <f>IFERROR(MATCH(BA1605,Setup!$L$6:$L$9,0),5)</f>
        <v/>
      </c>
      <c r="BG1605">
        <f>IF(OR(AZ1605="Done",AZ1605="Cancelled"),1,0)</f>
        <v/>
      </c>
      <c r="BH1605">
        <f>IF(AND(AU1605&lt;&gt;"",ISNUMBER(AW1605)),1,0)</f>
        <v/>
      </c>
      <c r="BI1605">
        <f>IF(BH1605=0,0,IF(AND(AW1605&gt;='Tasks Filter'!$F$3,AW1605&lt;='Tasks Filter'!$F$4,OR('Tasks Filter'!$I$3="",ISNUMBER(SEARCH('Tasks Filter'!$I$3,AU1605))),OR('Tasks Filter'!$I$4="",BF1605=IFERROR(MATCH('Tasks Filter'!$I$4,Setup!$L$6:$L$9,0),0)),OR('Tasks Filter'!$I$5="Both",AND('Tasks Filter'!$I$5="Yes",BB1605="✓"),AND('Tasks Filter'!$I$5="No",BB1605&lt;&gt;"✓")),OR('Tasks Filter'!$L$3="",AV1605='Tasks Filter'!$L$3),OR('Tasks Filter'!$L$4="",AZ1605='Tasks Filter'!$L$4),OR('Tasks Filter'!$L$5="",BC1605='Tasks Filter'!$L$5),OR('Tasks Filter'!$O$3="",BD1605='Tasks Filter'!$O$3),OR('Tasks Filter'!$O$4="Yes",BG1605=0)),1,0))</f>
        <v/>
      </c>
      <c r="BJ1605">
        <f>IF(BH1605=0,"",IF('Tasks Filter'!$F$6="Descending",-1,1)*CHOOSE(MATCH('Tasks Filter'!$F$5,Lists!$G$2:$G$6,0),AW1605,BF1605,IFERROR(MATCH(AV1605,Setup!$F$6:$F$15,0),99),IFERROR(MATCH(BC1605,Setup!$H$6:$H$15,0),99),IFERROR(MATCH(AZ1605,Setup!$J$6:$J$11,0),99))*1E+9+(AW1605-40000)*10000+1604)</f>
        <v/>
      </c>
      <c r="BK1605">
        <f>IF(BI1605=1,BJ1605,"")</f>
        <v/>
      </c>
      <c r="BL1605">
        <f>IF(AND(BH1605=1,BG1605=0,N(AW1605)&lt;Setup!$D$7),(AW1605-40000)*10000+1604,"")</f>
        <v/>
      </c>
      <c r="BM1605">
        <f>IF(AND(BH1605=1,AZ1605&lt;&gt;"Cancelled",N(AW1605)&gt;=Dashboard!$AB$3,N(AW1605)&lt;=Dashboard!$AB$3+6),(AW1605-40000)*100000+BF1605*10000+1604,"")</f>
        <v/>
      </c>
      <c r="BN1605">
        <f>IF(AND(BH1605=1,AZ1605&lt;&gt;"Cancelled"),BF1605*10000+1604,"")</f>
        <v/>
      </c>
    </row>
    <row r="1606">
      <c r="AS1606" t="inlineStr">
        <is>
          <t>V</t>
        </is>
      </c>
      <c r="AT1606" t="n">
        <v>110</v>
      </c>
      <c r="AU1606">
        <f>'Variable Tasks'!C110&amp;""</f>
        <v/>
      </c>
      <c r="AV1606">
        <f>'Variable Tasks'!D110&amp;""</f>
        <v/>
      </c>
      <c r="AW1606">
        <f>IF('Variable Tasks'!E110="","",'Variable Tasks'!E110)</f>
        <v/>
      </c>
      <c r="AX1606">
        <f>IF('Variable Tasks'!G110="","",'Variable Tasks'!G110)</f>
        <v/>
      </c>
      <c r="AY1606">
        <f>IF('Variable Tasks'!H110="","",'Variable Tasks'!H110)</f>
        <v/>
      </c>
      <c r="AZ1606">
        <f>IF(AU1606="","",IF('Variable Tasks'!J110="","Not Started",'Variable Tasks'!J110))</f>
        <v/>
      </c>
      <c r="BA1606">
        <f>'Variable Tasks'!L110&amp;""</f>
        <v/>
      </c>
      <c r="BB1606">
        <f>'Variable Tasks'!M110&amp;""</f>
        <v/>
      </c>
      <c r="BC1606">
        <f>'Variable Tasks'!N110&amp;""</f>
        <v/>
      </c>
      <c r="BD1606">
        <f>'Variable Tasks'!O110&amp;""</f>
        <v/>
      </c>
      <c r="BE1606">
        <f>IF('Variable Tasks'!K110="","",'Variable Tasks'!K110)</f>
        <v/>
      </c>
      <c r="BF1606">
        <f>IFERROR(MATCH(BA1606,Setup!$L$6:$L$9,0),5)</f>
        <v/>
      </c>
      <c r="BG1606">
        <f>IF(OR(AZ1606="Done",AZ1606="Cancelled"),1,0)</f>
        <v/>
      </c>
      <c r="BH1606">
        <f>IF(AND(AU1606&lt;&gt;"",ISNUMBER(AW1606)),1,0)</f>
        <v/>
      </c>
      <c r="BI1606">
        <f>IF(BH1606=0,0,IF(AND(AW1606&gt;='Tasks Filter'!$F$3,AW1606&lt;='Tasks Filter'!$F$4,OR('Tasks Filter'!$I$3="",ISNUMBER(SEARCH('Tasks Filter'!$I$3,AU1606))),OR('Tasks Filter'!$I$4="",BF1606=IFERROR(MATCH('Tasks Filter'!$I$4,Setup!$L$6:$L$9,0),0)),OR('Tasks Filter'!$I$5="Both",AND('Tasks Filter'!$I$5="Yes",BB1606="✓"),AND('Tasks Filter'!$I$5="No",BB1606&lt;&gt;"✓")),OR('Tasks Filter'!$L$3="",AV1606='Tasks Filter'!$L$3),OR('Tasks Filter'!$L$4="",AZ1606='Tasks Filter'!$L$4),OR('Tasks Filter'!$L$5="",BC1606='Tasks Filter'!$L$5),OR('Tasks Filter'!$O$3="",BD1606='Tasks Filter'!$O$3),OR('Tasks Filter'!$O$4="Yes",BG1606=0)),1,0))</f>
        <v/>
      </c>
      <c r="BJ1606">
        <f>IF(BH1606=0,"",IF('Tasks Filter'!$F$6="Descending",-1,1)*CHOOSE(MATCH('Tasks Filter'!$F$5,Lists!$G$2:$G$6,0),AW1606,BF1606,IFERROR(MATCH(AV1606,Setup!$F$6:$F$15,0),99),IFERROR(MATCH(BC1606,Setup!$H$6:$H$15,0),99),IFERROR(MATCH(AZ1606,Setup!$J$6:$J$11,0),99))*1E+9+(AW1606-40000)*10000+1605)</f>
        <v/>
      </c>
      <c r="BK1606">
        <f>IF(BI1606=1,BJ1606,"")</f>
        <v/>
      </c>
      <c r="BL1606">
        <f>IF(AND(BH1606=1,BG1606=0,N(AW1606)&lt;Setup!$D$7),(AW1606-40000)*10000+1605,"")</f>
        <v/>
      </c>
      <c r="BM1606">
        <f>IF(AND(BH1606=1,AZ1606&lt;&gt;"Cancelled",N(AW1606)&gt;=Dashboard!$AB$3,N(AW1606)&lt;=Dashboard!$AB$3+6),(AW1606-40000)*100000+BF1606*10000+1605,"")</f>
        <v/>
      </c>
      <c r="BN1606">
        <f>IF(AND(BH1606=1,AZ1606&lt;&gt;"Cancelled"),BF1606*10000+1605,"")</f>
        <v/>
      </c>
    </row>
    <row r="1607">
      <c r="AS1607" t="inlineStr">
        <is>
          <t>V</t>
        </is>
      </c>
      <c r="AT1607" t="n">
        <v>111</v>
      </c>
      <c r="AU1607">
        <f>'Variable Tasks'!C111&amp;""</f>
        <v/>
      </c>
      <c r="AV1607">
        <f>'Variable Tasks'!D111&amp;""</f>
        <v/>
      </c>
      <c r="AW1607">
        <f>IF('Variable Tasks'!E111="","",'Variable Tasks'!E111)</f>
        <v/>
      </c>
      <c r="AX1607">
        <f>IF('Variable Tasks'!G111="","",'Variable Tasks'!G111)</f>
        <v/>
      </c>
      <c r="AY1607">
        <f>IF('Variable Tasks'!H111="","",'Variable Tasks'!H111)</f>
        <v/>
      </c>
      <c r="AZ1607">
        <f>IF(AU1607="","",IF('Variable Tasks'!J111="","Not Started",'Variable Tasks'!J111))</f>
        <v/>
      </c>
      <c r="BA1607">
        <f>'Variable Tasks'!L111&amp;""</f>
        <v/>
      </c>
      <c r="BB1607">
        <f>'Variable Tasks'!M111&amp;""</f>
        <v/>
      </c>
      <c r="BC1607">
        <f>'Variable Tasks'!N111&amp;""</f>
        <v/>
      </c>
      <c r="BD1607">
        <f>'Variable Tasks'!O111&amp;""</f>
        <v/>
      </c>
      <c r="BE1607">
        <f>IF('Variable Tasks'!K111="","",'Variable Tasks'!K111)</f>
        <v/>
      </c>
      <c r="BF1607">
        <f>IFERROR(MATCH(BA1607,Setup!$L$6:$L$9,0),5)</f>
        <v/>
      </c>
      <c r="BG1607">
        <f>IF(OR(AZ1607="Done",AZ1607="Cancelled"),1,0)</f>
        <v/>
      </c>
      <c r="BH1607">
        <f>IF(AND(AU1607&lt;&gt;"",ISNUMBER(AW1607)),1,0)</f>
        <v/>
      </c>
      <c r="BI1607">
        <f>IF(BH1607=0,0,IF(AND(AW1607&gt;='Tasks Filter'!$F$3,AW1607&lt;='Tasks Filter'!$F$4,OR('Tasks Filter'!$I$3="",ISNUMBER(SEARCH('Tasks Filter'!$I$3,AU1607))),OR('Tasks Filter'!$I$4="",BF1607=IFERROR(MATCH('Tasks Filter'!$I$4,Setup!$L$6:$L$9,0),0)),OR('Tasks Filter'!$I$5="Both",AND('Tasks Filter'!$I$5="Yes",BB1607="✓"),AND('Tasks Filter'!$I$5="No",BB1607&lt;&gt;"✓")),OR('Tasks Filter'!$L$3="",AV1607='Tasks Filter'!$L$3),OR('Tasks Filter'!$L$4="",AZ1607='Tasks Filter'!$L$4),OR('Tasks Filter'!$L$5="",BC1607='Tasks Filter'!$L$5),OR('Tasks Filter'!$O$3="",BD1607='Tasks Filter'!$O$3),OR('Tasks Filter'!$O$4="Yes",BG1607=0)),1,0))</f>
        <v/>
      </c>
      <c r="BJ1607">
        <f>IF(BH1607=0,"",IF('Tasks Filter'!$F$6="Descending",-1,1)*CHOOSE(MATCH('Tasks Filter'!$F$5,Lists!$G$2:$G$6,0),AW1607,BF1607,IFERROR(MATCH(AV1607,Setup!$F$6:$F$15,0),99),IFERROR(MATCH(BC1607,Setup!$H$6:$H$15,0),99),IFERROR(MATCH(AZ1607,Setup!$J$6:$J$11,0),99))*1E+9+(AW1607-40000)*10000+1606)</f>
        <v/>
      </c>
      <c r="BK1607">
        <f>IF(BI1607=1,BJ1607,"")</f>
        <v/>
      </c>
      <c r="BL1607">
        <f>IF(AND(BH1607=1,BG1607=0,N(AW1607)&lt;Setup!$D$7),(AW1607-40000)*10000+1606,"")</f>
        <v/>
      </c>
      <c r="BM1607">
        <f>IF(AND(BH1607=1,AZ1607&lt;&gt;"Cancelled",N(AW1607)&gt;=Dashboard!$AB$3,N(AW1607)&lt;=Dashboard!$AB$3+6),(AW1607-40000)*100000+BF1607*10000+1606,"")</f>
        <v/>
      </c>
      <c r="BN1607">
        <f>IF(AND(BH1607=1,AZ1607&lt;&gt;"Cancelled"),BF1607*10000+1606,"")</f>
        <v/>
      </c>
    </row>
    <row r="1608">
      <c r="AS1608" t="inlineStr">
        <is>
          <t>V</t>
        </is>
      </c>
      <c r="AT1608" t="n">
        <v>112</v>
      </c>
      <c r="AU1608">
        <f>'Variable Tasks'!C112&amp;""</f>
        <v/>
      </c>
      <c r="AV1608">
        <f>'Variable Tasks'!D112&amp;""</f>
        <v/>
      </c>
      <c r="AW1608">
        <f>IF('Variable Tasks'!E112="","",'Variable Tasks'!E112)</f>
        <v/>
      </c>
      <c r="AX1608">
        <f>IF('Variable Tasks'!G112="","",'Variable Tasks'!G112)</f>
        <v/>
      </c>
      <c r="AY1608">
        <f>IF('Variable Tasks'!H112="","",'Variable Tasks'!H112)</f>
        <v/>
      </c>
      <c r="AZ1608">
        <f>IF(AU1608="","",IF('Variable Tasks'!J112="","Not Started",'Variable Tasks'!J112))</f>
        <v/>
      </c>
      <c r="BA1608">
        <f>'Variable Tasks'!L112&amp;""</f>
        <v/>
      </c>
      <c r="BB1608">
        <f>'Variable Tasks'!M112&amp;""</f>
        <v/>
      </c>
      <c r="BC1608">
        <f>'Variable Tasks'!N112&amp;""</f>
        <v/>
      </c>
      <c r="BD1608">
        <f>'Variable Tasks'!O112&amp;""</f>
        <v/>
      </c>
      <c r="BE1608">
        <f>IF('Variable Tasks'!K112="","",'Variable Tasks'!K112)</f>
        <v/>
      </c>
      <c r="BF1608">
        <f>IFERROR(MATCH(BA1608,Setup!$L$6:$L$9,0),5)</f>
        <v/>
      </c>
      <c r="BG1608">
        <f>IF(OR(AZ1608="Done",AZ1608="Cancelled"),1,0)</f>
        <v/>
      </c>
      <c r="BH1608">
        <f>IF(AND(AU1608&lt;&gt;"",ISNUMBER(AW1608)),1,0)</f>
        <v/>
      </c>
      <c r="BI1608">
        <f>IF(BH1608=0,0,IF(AND(AW1608&gt;='Tasks Filter'!$F$3,AW1608&lt;='Tasks Filter'!$F$4,OR('Tasks Filter'!$I$3="",ISNUMBER(SEARCH('Tasks Filter'!$I$3,AU1608))),OR('Tasks Filter'!$I$4="",BF1608=IFERROR(MATCH('Tasks Filter'!$I$4,Setup!$L$6:$L$9,0),0)),OR('Tasks Filter'!$I$5="Both",AND('Tasks Filter'!$I$5="Yes",BB1608="✓"),AND('Tasks Filter'!$I$5="No",BB1608&lt;&gt;"✓")),OR('Tasks Filter'!$L$3="",AV1608='Tasks Filter'!$L$3),OR('Tasks Filter'!$L$4="",AZ1608='Tasks Filter'!$L$4),OR('Tasks Filter'!$L$5="",BC1608='Tasks Filter'!$L$5),OR('Tasks Filter'!$O$3="",BD1608='Tasks Filter'!$O$3),OR('Tasks Filter'!$O$4="Yes",BG1608=0)),1,0))</f>
        <v/>
      </c>
      <c r="BJ1608">
        <f>IF(BH1608=0,"",IF('Tasks Filter'!$F$6="Descending",-1,1)*CHOOSE(MATCH('Tasks Filter'!$F$5,Lists!$G$2:$G$6,0),AW1608,BF1608,IFERROR(MATCH(AV1608,Setup!$F$6:$F$15,0),99),IFERROR(MATCH(BC1608,Setup!$H$6:$H$15,0),99),IFERROR(MATCH(AZ1608,Setup!$J$6:$J$11,0),99))*1E+9+(AW1608-40000)*10000+1607)</f>
        <v/>
      </c>
      <c r="BK1608">
        <f>IF(BI1608=1,BJ1608,"")</f>
        <v/>
      </c>
      <c r="BL1608">
        <f>IF(AND(BH1608=1,BG1608=0,N(AW1608)&lt;Setup!$D$7),(AW1608-40000)*10000+1607,"")</f>
        <v/>
      </c>
      <c r="BM1608">
        <f>IF(AND(BH1608=1,AZ1608&lt;&gt;"Cancelled",N(AW1608)&gt;=Dashboard!$AB$3,N(AW1608)&lt;=Dashboard!$AB$3+6),(AW1608-40000)*100000+BF1608*10000+1607,"")</f>
        <v/>
      </c>
      <c r="BN1608">
        <f>IF(AND(BH1608=1,AZ1608&lt;&gt;"Cancelled"),BF1608*10000+1607,"")</f>
        <v/>
      </c>
    </row>
    <row r="1609">
      <c r="AS1609" t="inlineStr">
        <is>
          <t>V</t>
        </is>
      </c>
      <c r="AT1609" t="n">
        <v>113</v>
      </c>
      <c r="AU1609">
        <f>'Variable Tasks'!C113&amp;""</f>
        <v/>
      </c>
      <c r="AV1609">
        <f>'Variable Tasks'!D113&amp;""</f>
        <v/>
      </c>
      <c r="AW1609">
        <f>IF('Variable Tasks'!E113="","",'Variable Tasks'!E113)</f>
        <v/>
      </c>
      <c r="AX1609">
        <f>IF('Variable Tasks'!G113="","",'Variable Tasks'!G113)</f>
        <v/>
      </c>
      <c r="AY1609">
        <f>IF('Variable Tasks'!H113="","",'Variable Tasks'!H113)</f>
        <v/>
      </c>
      <c r="AZ1609">
        <f>IF(AU1609="","",IF('Variable Tasks'!J113="","Not Started",'Variable Tasks'!J113))</f>
        <v/>
      </c>
      <c r="BA1609">
        <f>'Variable Tasks'!L113&amp;""</f>
        <v/>
      </c>
      <c r="BB1609">
        <f>'Variable Tasks'!M113&amp;""</f>
        <v/>
      </c>
      <c r="BC1609">
        <f>'Variable Tasks'!N113&amp;""</f>
        <v/>
      </c>
      <c r="BD1609">
        <f>'Variable Tasks'!O113&amp;""</f>
        <v/>
      </c>
      <c r="BE1609">
        <f>IF('Variable Tasks'!K113="","",'Variable Tasks'!K113)</f>
        <v/>
      </c>
      <c r="BF1609">
        <f>IFERROR(MATCH(BA1609,Setup!$L$6:$L$9,0),5)</f>
        <v/>
      </c>
      <c r="BG1609">
        <f>IF(OR(AZ1609="Done",AZ1609="Cancelled"),1,0)</f>
        <v/>
      </c>
      <c r="BH1609">
        <f>IF(AND(AU1609&lt;&gt;"",ISNUMBER(AW1609)),1,0)</f>
        <v/>
      </c>
      <c r="BI1609">
        <f>IF(BH1609=0,0,IF(AND(AW1609&gt;='Tasks Filter'!$F$3,AW1609&lt;='Tasks Filter'!$F$4,OR('Tasks Filter'!$I$3="",ISNUMBER(SEARCH('Tasks Filter'!$I$3,AU1609))),OR('Tasks Filter'!$I$4="",BF1609=IFERROR(MATCH('Tasks Filter'!$I$4,Setup!$L$6:$L$9,0),0)),OR('Tasks Filter'!$I$5="Both",AND('Tasks Filter'!$I$5="Yes",BB1609="✓"),AND('Tasks Filter'!$I$5="No",BB1609&lt;&gt;"✓")),OR('Tasks Filter'!$L$3="",AV1609='Tasks Filter'!$L$3),OR('Tasks Filter'!$L$4="",AZ1609='Tasks Filter'!$L$4),OR('Tasks Filter'!$L$5="",BC1609='Tasks Filter'!$L$5),OR('Tasks Filter'!$O$3="",BD1609='Tasks Filter'!$O$3),OR('Tasks Filter'!$O$4="Yes",BG1609=0)),1,0))</f>
        <v/>
      </c>
      <c r="BJ1609">
        <f>IF(BH1609=0,"",IF('Tasks Filter'!$F$6="Descending",-1,1)*CHOOSE(MATCH('Tasks Filter'!$F$5,Lists!$G$2:$G$6,0),AW1609,BF1609,IFERROR(MATCH(AV1609,Setup!$F$6:$F$15,0),99),IFERROR(MATCH(BC1609,Setup!$H$6:$H$15,0),99),IFERROR(MATCH(AZ1609,Setup!$J$6:$J$11,0),99))*1E+9+(AW1609-40000)*10000+1608)</f>
        <v/>
      </c>
      <c r="BK1609">
        <f>IF(BI1609=1,BJ1609,"")</f>
        <v/>
      </c>
      <c r="BL1609">
        <f>IF(AND(BH1609=1,BG1609=0,N(AW1609)&lt;Setup!$D$7),(AW1609-40000)*10000+1608,"")</f>
        <v/>
      </c>
      <c r="BM1609">
        <f>IF(AND(BH1609=1,AZ1609&lt;&gt;"Cancelled",N(AW1609)&gt;=Dashboard!$AB$3,N(AW1609)&lt;=Dashboard!$AB$3+6),(AW1609-40000)*100000+BF1609*10000+1608,"")</f>
        <v/>
      </c>
      <c r="BN1609">
        <f>IF(AND(BH1609=1,AZ1609&lt;&gt;"Cancelled"),BF1609*10000+1608,"")</f>
        <v/>
      </c>
    </row>
    <row r="1610">
      <c r="AS1610" t="inlineStr">
        <is>
          <t>V</t>
        </is>
      </c>
      <c r="AT1610" t="n">
        <v>114</v>
      </c>
      <c r="AU1610">
        <f>'Variable Tasks'!C114&amp;""</f>
        <v/>
      </c>
      <c r="AV1610">
        <f>'Variable Tasks'!D114&amp;""</f>
        <v/>
      </c>
      <c r="AW1610">
        <f>IF('Variable Tasks'!E114="","",'Variable Tasks'!E114)</f>
        <v/>
      </c>
      <c r="AX1610">
        <f>IF('Variable Tasks'!G114="","",'Variable Tasks'!G114)</f>
        <v/>
      </c>
      <c r="AY1610">
        <f>IF('Variable Tasks'!H114="","",'Variable Tasks'!H114)</f>
        <v/>
      </c>
      <c r="AZ1610">
        <f>IF(AU1610="","",IF('Variable Tasks'!J114="","Not Started",'Variable Tasks'!J114))</f>
        <v/>
      </c>
      <c r="BA1610">
        <f>'Variable Tasks'!L114&amp;""</f>
        <v/>
      </c>
      <c r="BB1610">
        <f>'Variable Tasks'!M114&amp;""</f>
        <v/>
      </c>
      <c r="BC1610">
        <f>'Variable Tasks'!N114&amp;""</f>
        <v/>
      </c>
      <c r="BD1610">
        <f>'Variable Tasks'!O114&amp;""</f>
        <v/>
      </c>
      <c r="BE1610">
        <f>IF('Variable Tasks'!K114="","",'Variable Tasks'!K114)</f>
        <v/>
      </c>
      <c r="BF1610">
        <f>IFERROR(MATCH(BA1610,Setup!$L$6:$L$9,0),5)</f>
        <v/>
      </c>
      <c r="BG1610">
        <f>IF(OR(AZ1610="Done",AZ1610="Cancelled"),1,0)</f>
        <v/>
      </c>
      <c r="BH1610">
        <f>IF(AND(AU1610&lt;&gt;"",ISNUMBER(AW1610)),1,0)</f>
        <v/>
      </c>
      <c r="BI1610">
        <f>IF(BH1610=0,0,IF(AND(AW1610&gt;='Tasks Filter'!$F$3,AW1610&lt;='Tasks Filter'!$F$4,OR('Tasks Filter'!$I$3="",ISNUMBER(SEARCH('Tasks Filter'!$I$3,AU1610))),OR('Tasks Filter'!$I$4="",BF1610=IFERROR(MATCH('Tasks Filter'!$I$4,Setup!$L$6:$L$9,0),0)),OR('Tasks Filter'!$I$5="Both",AND('Tasks Filter'!$I$5="Yes",BB1610="✓"),AND('Tasks Filter'!$I$5="No",BB1610&lt;&gt;"✓")),OR('Tasks Filter'!$L$3="",AV1610='Tasks Filter'!$L$3),OR('Tasks Filter'!$L$4="",AZ1610='Tasks Filter'!$L$4),OR('Tasks Filter'!$L$5="",BC1610='Tasks Filter'!$L$5),OR('Tasks Filter'!$O$3="",BD1610='Tasks Filter'!$O$3),OR('Tasks Filter'!$O$4="Yes",BG1610=0)),1,0))</f>
        <v/>
      </c>
      <c r="BJ1610">
        <f>IF(BH1610=0,"",IF('Tasks Filter'!$F$6="Descending",-1,1)*CHOOSE(MATCH('Tasks Filter'!$F$5,Lists!$G$2:$G$6,0),AW1610,BF1610,IFERROR(MATCH(AV1610,Setup!$F$6:$F$15,0),99),IFERROR(MATCH(BC1610,Setup!$H$6:$H$15,0),99),IFERROR(MATCH(AZ1610,Setup!$J$6:$J$11,0),99))*1E+9+(AW1610-40000)*10000+1609)</f>
        <v/>
      </c>
      <c r="BK1610">
        <f>IF(BI1610=1,BJ1610,"")</f>
        <v/>
      </c>
      <c r="BL1610">
        <f>IF(AND(BH1610=1,BG1610=0,N(AW1610)&lt;Setup!$D$7),(AW1610-40000)*10000+1609,"")</f>
        <v/>
      </c>
      <c r="BM1610">
        <f>IF(AND(BH1610=1,AZ1610&lt;&gt;"Cancelled",N(AW1610)&gt;=Dashboard!$AB$3,N(AW1610)&lt;=Dashboard!$AB$3+6),(AW1610-40000)*100000+BF1610*10000+1609,"")</f>
        <v/>
      </c>
      <c r="BN1610">
        <f>IF(AND(BH1610=1,AZ1610&lt;&gt;"Cancelled"),BF1610*10000+1609,"")</f>
        <v/>
      </c>
    </row>
    <row r="1611">
      <c r="AS1611" t="inlineStr">
        <is>
          <t>V</t>
        </is>
      </c>
      <c r="AT1611" t="n">
        <v>115</v>
      </c>
      <c r="AU1611">
        <f>'Variable Tasks'!C115&amp;""</f>
        <v/>
      </c>
      <c r="AV1611">
        <f>'Variable Tasks'!D115&amp;""</f>
        <v/>
      </c>
      <c r="AW1611">
        <f>IF('Variable Tasks'!E115="","",'Variable Tasks'!E115)</f>
        <v/>
      </c>
      <c r="AX1611">
        <f>IF('Variable Tasks'!G115="","",'Variable Tasks'!G115)</f>
        <v/>
      </c>
      <c r="AY1611">
        <f>IF('Variable Tasks'!H115="","",'Variable Tasks'!H115)</f>
        <v/>
      </c>
      <c r="AZ1611">
        <f>IF(AU1611="","",IF('Variable Tasks'!J115="","Not Started",'Variable Tasks'!J115))</f>
        <v/>
      </c>
      <c r="BA1611">
        <f>'Variable Tasks'!L115&amp;""</f>
        <v/>
      </c>
      <c r="BB1611">
        <f>'Variable Tasks'!M115&amp;""</f>
        <v/>
      </c>
      <c r="BC1611">
        <f>'Variable Tasks'!N115&amp;""</f>
        <v/>
      </c>
      <c r="BD1611">
        <f>'Variable Tasks'!O115&amp;""</f>
        <v/>
      </c>
      <c r="BE1611">
        <f>IF('Variable Tasks'!K115="","",'Variable Tasks'!K115)</f>
        <v/>
      </c>
      <c r="BF1611">
        <f>IFERROR(MATCH(BA1611,Setup!$L$6:$L$9,0),5)</f>
        <v/>
      </c>
      <c r="BG1611">
        <f>IF(OR(AZ1611="Done",AZ1611="Cancelled"),1,0)</f>
        <v/>
      </c>
      <c r="BH1611">
        <f>IF(AND(AU1611&lt;&gt;"",ISNUMBER(AW1611)),1,0)</f>
        <v/>
      </c>
      <c r="BI1611">
        <f>IF(BH1611=0,0,IF(AND(AW1611&gt;='Tasks Filter'!$F$3,AW1611&lt;='Tasks Filter'!$F$4,OR('Tasks Filter'!$I$3="",ISNUMBER(SEARCH('Tasks Filter'!$I$3,AU1611))),OR('Tasks Filter'!$I$4="",BF1611=IFERROR(MATCH('Tasks Filter'!$I$4,Setup!$L$6:$L$9,0),0)),OR('Tasks Filter'!$I$5="Both",AND('Tasks Filter'!$I$5="Yes",BB1611="✓"),AND('Tasks Filter'!$I$5="No",BB1611&lt;&gt;"✓")),OR('Tasks Filter'!$L$3="",AV1611='Tasks Filter'!$L$3),OR('Tasks Filter'!$L$4="",AZ1611='Tasks Filter'!$L$4),OR('Tasks Filter'!$L$5="",BC1611='Tasks Filter'!$L$5),OR('Tasks Filter'!$O$3="",BD1611='Tasks Filter'!$O$3),OR('Tasks Filter'!$O$4="Yes",BG1611=0)),1,0))</f>
        <v/>
      </c>
      <c r="BJ1611">
        <f>IF(BH1611=0,"",IF('Tasks Filter'!$F$6="Descending",-1,1)*CHOOSE(MATCH('Tasks Filter'!$F$5,Lists!$G$2:$G$6,0),AW1611,BF1611,IFERROR(MATCH(AV1611,Setup!$F$6:$F$15,0),99),IFERROR(MATCH(BC1611,Setup!$H$6:$H$15,0),99),IFERROR(MATCH(AZ1611,Setup!$J$6:$J$11,0),99))*1E+9+(AW1611-40000)*10000+1610)</f>
        <v/>
      </c>
      <c r="BK1611">
        <f>IF(BI1611=1,BJ1611,"")</f>
        <v/>
      </c>
      <c r="BL1611">
        <f>IF(AND(BH1611=1,BG1611=0,N(AW1611)&lt;Setup!$D$7),(AW1611-40000)*10000+1610,"")</f>
        <v/>
      </c>
      <c r="BM1611">
        <f>IF(AND(BH1611=1,AZ1611&lt;&gt;"Cancelled",N(AW1611)&gt;=Dashboard!$AB$3,N(AW1611)&lt;=Dashboard!$AB$3+6),(AW1611-40000)*100000+BF1611*10000+1610,"")</f>
        <v/>
      </c>
      <c r="BN1611">
        <f>IF(AND(BH1611=1,AZ1611&lt;&gt;"Cancelled"),BF1611*10000+1610,"")</f>
        <v/>
      </c>
    </row>
    <row r="1612">
      <c r="AS1612" t="inlineStr">
        <is>
          <t>V</t>
        </is>
      </c>
      <c r="AT1612" t="n">
        <v>116</v>
      </c>
      <c r="AU1612">
        <f>'Variable Tasks'!C116&amp;""</f>
        <v/>
      </c>
      <c r="AV1612">
        <f>'Variable Tasks'!D116&amp;""</f>
        <v/>
      </c>
      <c r="AW1612">
        <f>IF('Variable Tasks'!E116="","",'Variable Tasks'!E116)</f>
        <v/>
      </c>
      <c r="AX1612">
        <f>IF('Variable Tasks'!G116="","",'Variable Tasks'!G116)</f>
        <v/>
      </c>
      <c r="AY1612">
        <f>IF('Variable Tasks'!H116="","",'Variable Tasks'!H116)</f>
        <v/>
      </c>
      <c r="AZ1612">
        <f>IF(AU1612="","",IF('Variable Tasks'!J116="","Not Started",'Variable Tasks'!J116))</f>
        <v/>
      </c>
      <c r="BA1612">
        <f>'Variable Tasks'!L116&amp;""</f>
        <v/>
      </c>
      <c r="BB1612">
        <f>'Variable Tasks'!M116&amp;""</f>
        <v/>
      </c>
      <c r="BC1612">
        <f>'Variable Tasks'!N116&amp;""</f>
        <v/>
      </c>
      <c r="BD1612">
        <f>'Variable Tasks'!O116&amp;""</f>
        <v/>
      </c>
      <c r="BE1612">
        <f>IF('Variable Tasks'!K116="","",'Variable Tasks'!K116)</f>
        <v/>
      </c>
      <c r="BF1612">
        <f>IFERROR(MATCH(BA1612,Setup!$L$6:$L$9,0),5)</f>
        <v/>
      </c>
      <c r="BG1612">
        <f>IF(OR(AZ1612="Done",AZ1612="Cancelled"),1,0)</f>
        <v/>
      </c>
      <c r="BH1612">
        <f>IF(AND(AU1612&lt;&gt;"",ISNUMBER(AW1612)),1,0)</f>
        <v/>
      </c>
      <c r="BI1612">
        <f>IF(BH1612=0,0,IF(AND(AW1612&gt;='Tasks Filter'!$F$3,AW1612&lt;='Tasks Filter'!$F$4,OR('Tasks Filter'!$I$3="",ISNUMBER(SEARCH('Tasks Filter'!$I$3,AU1612))),OR('Tasks Filter'!$I$4="",BF1612=IFERROR(MATCH('Tasks Filter'!$I$4,Setup!$L$6:$L$9,0),0)),OR('Tasks Filter'!$I$5="Both",AND('Tasks Filter'!$I$5="Yes",BB1612="✓"),AND('Tasks Filter'!$I$5="No",BB1612&lt;&gt;"✓")),OR('Tasks Filter'!$L$3="",AV1612='Tasks Filter'!$L$3),OR('Tasks Filter'!$L$4="",AZ1612='Tasks Filter'!$L$4),OR('Tasks Filter'!$L$5="",BC1612='Tasks Filter'!$L$5),OR('Tasks Filter'!$O$3="",BD1612='Tasks Filter'!$O$3),OR('Tasks Filter'!$O$4="Yes",BG1612=0)),1,0))</f>
        <v/>
      </c>
      <c r="BJ1612">
        <f>IF(BH1612=0,"",IF('Tasks Filter'!$F$6="Descending",-1,1)*CHOOSE(MATCH('Tasks Filter'!$F$5,Lists!$G$2:$G$6,0),AW1612,BF1612,IFERROR(MATCH(AV1612,Setup!$F$6:$F$15,0),99),IFERROR(MATCH(BC1612,Setup!$H$6:$H$15,0),99),IFERROR(MATCH(AZ1612,Setup!$J$6:$J$11,0),99))*1E+9+(AW1612-40000)*10000+1611)</f>
        <v/>
      </c>
      <c r="BK1612">
        <f>IF(BI1612=1,BJ1612,"")</f>
        <v/>
      </c>
      <c r="BL1612">
        <f>IF(AND(BH1612=1,BG1612=0,N(AW1612)&lt;Setup!$D$7),(AW1612-40000)*10000+1611,"")</f>
        <v/>
      </c>
      <c r="BM1612">
        <f>IF(AND(BH1612=1,AZ1612&lt;&gt;"Cancelled",N(AW1612)&gt;=Dashboard!$AB$3,N(AW1612)&lt;=Dashboard!$AB$3+6),(AW1612-40000)*100000+BF1612*10000+1611,"")</f>
        <v/>
      </c>
      <c r="BN1612">
        <f>IF(AND(BH1612=1,AZ1612&lt;&gt;"Cancelled"),BF1612*10000+1611,"")</f>
        <v/>
      </c>
    </row>
    <row r="1613">
      <c r="AS1613" t="inlineStr">
        <is>
          <t>V</t>
        </is>
      </c>
      <c r="AT1613" t="n">
        <v>117</v>
      </c>
      <c r="AU1613">
        <f>'Variable Tasks'!C117&amp;""</f>
        <v/>
      </c>
      <c r="AV1613">
        <f>'Variable Tasks'!D117&amp;""</f>
        <v/>
      </c>
      <c r="AW1613">
        <f>IF('Variable Tasks'!E117="","",'Variable Tasks'!E117)</f>
        <v/>
      </c>
      <c r="AX1613">
        <f>IF('Variable Tasks'!G117="","",'Variable Tasks'!G117)</f>
        <v/>
      </c>
      <c r="AY1613">
        <f>IF('Variable Tasks'!H117="","",'Variable Tasks'!H117)</f>
        <v/>
      </c>
      <c r="AZ1613">
        <f>IF(AU1613="","",IF('Variable Tasks'!J117="","Not Started",'Variable Tasks'!J117))</f>
        <v/>
      </c>
      <c r="BA1613">
        <f>'Variable Tasks'!L117&amp;""</f>
        <v/>
      </c>
      <c r="BB1613">
        <f>'Variable Tasks'!M117&amp;""</f>
        <v/>
      </c>
      <c r="BC1613">
        <f>'Variable Tasks'!N117&amp;""</f>
        <v/>
      </c>
      <c r="BD1613">
        <f>'Variable Tasks'!O117&amp;""</f>
        <v/>
      </c>
      <c r="BE1613">
        <f>IF('Variable Tasks'!K117="","",'Variable Tasks'!K117)</f>
        <v/>
      </c>
      <c r="BF1613">
        <f>IFERROR(MATCH(BA1613,Setup!$L$6:$L$9,0),5)</f>
        <v/>
      </c>
      <c r="BG1613">
        <f>IF(OR(AZ1613="Done",AZ1613="Cancelled"),1,0)</f>
        <v/>
      </c>
      <c r="BH1613">
        <f>IF(AND(AU1613&lt;&gt;"",ISNUMBER(AW1613)),1,0)</f>
        <v/>
      </c>
      <c r="BI1613">
        <f>IF(BH1613=0,0,IF(AND(AW1613&gt;='Tasks Filter'!$F$3,AW1613&lt;='Tasks Filter'!$F$4,OR('Tasks Filter'!$I$3="",ISNUMBER(SEARCH('Tasks Filter'!$I$3,AU1613))),OR('Tasks Filter'!$I$4="",BF1613=IFERROR(MATCH('Tasks Filter'!$I$4,Setup!$L$6:$L$9,0),0)),OR('Tasks Filter'!$I$5="Both",AND('Tasks Filter'!$I$5="Yes",BB1613="✓"),AND('Tasks Filter'!$I$5="No",BB1613&lt;&gt;"✓")),OR('Tasks Filter'!$L$3="",AV1613='Tasks Filter'!$L$3),OR('Tasks Filter'!$L$4="",AZ1613='Tasks Filter'!$L$4),OR('Tasks Filter'!$L$5="",BC1613='Tasks Filter'!$L$5),OR('Tasks Filter'!$O$3="",BD1613='Tasks Filter'!$O$3),OR('Tasks Filter'!$O$4="Yes",BG1613=0)),1,0))</f>
        <v/>
      </c>
      <c r="BJ1613">
        <f>IF(BH1613=0,"",IF('Tasks Filter'!$F$6="Descending",-1,1)*CHOOSE(MATCH('Tasks Filter'!$F$5,Lists!$G$2:$G$6,0),AW1613,BF1613,IFERROR(MATCH(AV1613,Setup!$F$6:$F$15,0),99),IFERROR(MATCH(BC1613,Setup!$H$6:$H$15,0),99),IFERROR(MATCH(AZ1613,Setup!$J$6:$J$11,0),99))*1E+9+(AW1613-40000)*10000+1612)</f>
        <v/>
      </c>
      <c r="BK1613">
        <f>IF(BI1613=1,BJ1613,"")</f>
        <v/>
      </c>
      <c r="BL1613">
        <f>IF(AND(BH1613=1,BG1613=0,N(AW1613)&lt;Setup!$D$7),(AW1613-40000)*10000+1612,"")</f>
        <v/>
      </c>
      <c r="BM1613">
        <f>IF(AND(BH1613=1,AZ1613&lt;&gt;"Cancelled",N(AW1613)&gt;=Dashboard!$AB$3,N(AW1613)&lt;=Dashboard!$AB$3+6),(AW1613-40000)*100000+BF1613*10000+1612,"")</f>
        <v/>
      </c>
      <c r="BN1613">
        <f>IF(AND(BH1613=1,AZ1613&lt;&gt;"Cancelled"),BF1613*10000+1612,"")</f>
        <v/>
      </c>
    </row>
    <row r="1614">
      <c r="AS1614" t="inlineStr">
        <is>
          <t>V</t>
        </is>
      </c>
      <c r="AT1614" t="n">
        <v>118</v>
      </c>
      <c r="AU1614">
        <f>'Variable Tasks'!C118&amp;""</f>
        <v/>
      </c>
      <c r="AV1614">
        <f>'Variable Tasks'!D118&amp;""</f>
        <v/>
      </c>
      <c r="AW1614">
        <f>IF('Variable Tasks'!E118="","",'Variable Tasks'!E118)</f>
        <v/>
      </c>
      <c r="AX1614">
        <f>IF('Variable Tasks'!G118="","",'Variable Tasks'!G118)</f>
        <v/>
      </c>
      <c r="AY1614">
        <f>IF('Variable Tasks'!H118="","",'Variable Tasks'!H118)</f>
        <v/>
      </c>
      <c r="AZ1614">
        <f>IF(AU1614="","",IF('Variable Tasks'!J118="","Not Started",'Variable Tasks'!J118))</f>
        <v/>
      </c>
      <c r="BA1614">
        <f>'Variable Tasks'!L118&amp;""</f>
        <v/>
      </c>
      <c r="BB1614">
        <f>'Variable Tasks'!M118&amp;""</f>
        <v/>
      </c>
      <c r="BC1614">
        <f>'Variable Tasks'!N118&amp;""</f>
        <v/>
      </c>
      <c r="BD1614">
        <f>'Variable Tasks'!O118&amp;""</f>
        <v/>
      </c>
      <c r="BE1614">
        <f>IF('Variable Tasks'!K118="","",'Variable Tasks'!K118)</f>
        <v/>
      </c>
      <c r="BF1614">
        <f>IFERROR(MATCH(BA1614,Setup!$L$6:$L$9,0),5)</f>
        <v/>
      </c>
      <c r="BG1614">
        <f>IF(OR(AZ1614="Done",AZ1614="Cancelled"),1,0)</f>
        <v/>
      </c>
      <c r="BH1614">
        <f>IF(AND(AU1614&lt;&gt;"",ISNUMBER(AW1614)),1,0)</f>
        <v/>
      </c>
      <c r="BI1614">
        <f>IF(BH1614=0,0,IF(AND(AW1614&gt;='Tasks Filter'!$F$3,AW1614&lt;='Tasks Filter'!$F$4,OR('Tasks Filter'!$I$3="",ISNUMBER(SEARCH('Tasks Filter'!$I$3,AU1614))),OR('Tasks Filter'!$I$4="",BF1614=IFERROR(MATCH('Tasks Filter'!$I$4,Setup!$L$6:$L$9,0),0)),OR('Tasks Filter'!$I$5="Both",AND('Tasks Filter'!$I$5="Yes",BB1614="✓"),AND('Tasks Filter'!$I$5="No",BB1614&lt;&gt;"✓")),OR('Tasks Filter'!$L$3="",AV1614='Tasks Filter'!$L$3),OR('Tasks Filter'!$L$4="",AZ1614='Tasks Filter'!$L$4),OR('Tasks Filter'!$L$5="",BC1614='Tasks Filter'!$L$5),OR('Tasks Filter'!$O$3="",BD1614='Tasks Filter'!$O$3),OR('Tasks Filter'!$O$4="Yes",BG1614=0)),1,0))</f>
        <v/>
      </c>
      <c r="BJ1614">
        <f>IF(BH1614=0,"",IF('Tasks Filter'!$F$6="Descending",-1,1)*CHOOSE(MATCH('Tasks Filter'!$F$5,Lists!$G$2:$G$6,0),AW1614,BF1614,IFERROR(MATCH(AV1614,Setup!$F$6:$F$15,0),99),IFERROR(MATCH(BC1614,Setup!$H$6:$H$15,0),99),IFERROR(MATCH(AZ1614,Setup!$J$6:$J$11,0),99))*1E+9+(AW1614-40000)*10000+1613)</f>
        <v/>
      </c>
      <c r="BK1614">
        <f>IF(BI1614=1,BJ1614,"")</f>
        <v/>
      </c>
      <c r="BL1614">
        <f>IF(AND(BH1614=1,BG1614=0,N(AW1614)&lt;Setup!$D$7),(AW1614-40000)*10000+1613,"")</f>
        <v/>
      </c>
      <c r="BM1614">
        <f>IF(AND(BH1614=1,AZ1614&lt;&gt;"Cancelled",N(AW1614)&gt;=Dashboard!$AB$3,N(AW1614)&lt;=Dashboard!$AB$3+6),(AW1614-40000)*100000+BF1614*10000+1613,"")</f>
        <v/>
      </c>
      <c r="BN1614">
        <f>IF(AND(BH1614=1,AZ1614&lt;&gt;"Cancelled"),BF1614*10000+1613,"")</f>
        <v/>
      </c>
    </row>
    <row r="1615">
      <c r="AS1615" t="inlineStr">
        <is>
          <t>V</t>
        </is>
      </c>
      <c r="AT1615" t="n">
        <v>119</v>
      </c>
      <c r="AU1615">
        <f>'Variable Tasks'!C119&amp;""</f>
        <v/>
      </c>
      <c r="AV1615">
        <f>'Variable Tasks'!D119&amp;""</f>
        <v/>
      </c>
      <c r="AW1615">
        <f>IF('Variable Tasks'!E119="","",'Variable Tasks'!E119)</f>
        <v/>
      </c>
      <c r="AX1615">
        <f>IF('Variable Tasks'!G119="","",'Variable Tasks'!G119)</f>
        <v/>
      </c>
      <c r="AY1615">
        <f>IF('Variable Tasks'!H119="","",'Variable Tasks'!H119)</f>
        <v/>
      </c>
      <c r="AZ1615">
        <f>IF(AU1615="","",IF('Variable Tasks'!J119="","Not Started",'Variable Tasks'!J119))</f>
        <v/>
      </c>
      <c r="BA1615">
        <f>'Variable Tasks'!L119&amp;""</f>
        <v/>
      </c>
      <c r="BB1615">
        <f>'Variable Tasks'!M119&amp;""</f>
        <v/>
      </c>
      <c r="BC1615">
        <f>'Variable Tasks'!N119&amp;""</f>
        <v/>
      </c>
      <c r="BD1615">
        <f>'Variable Tasks'!O119&amp;""</f>
        <v/>
      </c>
      <c r="BE1615">
        <f>IF('Variable Tasks'!K119="","",'Variable Tasks'!K119)</f>
        <v/>
      </c>
      <c r="BF1615">
        <f>IFERROR(MATCH(BA1615,Setup!$L$6:$L$9,0),5)</f>
        <v/>
      </c>
      <c r="BG1615">
        <f>IF(OR(AZ1615="Done",AZ1615="Cancelled"),1,0)</f>
        <v/>
      </c>
      <c r="BH1615">
        <f>IF(AND(AU1615&lt;&gt;"",ISNUMBER(AW1615)),1,0)</f>
        <v/>
      </c>
      <c r="BI1615">
        <f>IF(BH1615=0,0,IF(AND(AW1615&gt;='Tasks Filter'!$F$3,AW1615&lt;='Tasks Filter'!$F$4,OR('Tasks Filter'!$I$3="",ISNUMBER(SEARCH('Tasks Filter'!$I$3,AU1615))),OR('Tasks Filter'!$I$4="",BF1615=IFERROR(MATCH('Tasks Filter'!$I$4,Setup!$L$6:$L$9,0),0)),OR('Tasks Filter'!$I$5="Both",AND('Tasks Filter'!$I$5="Yes",BB1615="✓"),AND('Tasks Filter'!$I$5="No",BB1615&lt;&gt;"✓")),OR('Tasks Filter'!$L$3="",AV1615='Tasks Filter'!$L$3),OR('Tasks Filter'!$L$4="",AZ1615='Tasks Filter'!$L$4),OR('Tasks Filter'!$L$5="",BC1615='Tasks Filter'!$L$5),OR('Tasks Filter'!$O$3="",BD1615='Tasks Filter'!$O$3),OR('Tasks Filter'!$O$4="Yes",BG1615=0)),1,0))</f>
        <v/>
      </c>
      <c r="BJ1615">
        <f>IF(BH1615=0,"",IF('Tasks Filter'!$F$6="Descending",-1,1)*CHOOSE(MATCH('Tasks Filter'!$F$5,Lists!$G$2:$G$6,0),AW1615,BF1615,IFERROR(MATCH(AV1615,Setup!$F$6:$F$15,0),99),IFERROR(MATCH(BC1615,Setup!$H$6:$H$15,0),99),IFERROR(MATCH(AZ1615,Setup!$J$6:$J$11,0),99))*1E+9+(AW1615-40000)*10000+1614)</f>
        <v/>
      </c>
      <c r="BK1615">
        <f>IF(BI1615=1,BJ1615,"")</f>
        <v/>
      </c>
      <c r="BL1615">
        <f>IF(AND(BH1615=1,BG1615=0,N(AW1615)&lt;Setup!$D$7),(AW1615-40000)*10000+1614,"")</f>
        <v/>
      </c>
      <c r="BM1615">
        <f>IF(AND(BH1615=1,AZ1615&lt;&gt;"Cancelled",N(AW1615)&gt;=Dashboard!$AB$3,N(AW1615)&lt;=Dashboard!$AB$3+6),(AW1615-40000)*100000+BF1615*10000+1614,"")</f>
        <v/>
      </c>
      <c r="BN1615">
        <f>IF(AND(BH1615=1,AZ1615&lt;&gt;"Cancelled"),BF1615*10000+1614,"")</f>
        <v/>
      </c>
    </row>
    <row r="1616">
      <c r="AS1616" t="inlineStr">
        <is>
          <t>V</t>
        </is>
      </c>
      <c r="AT1616" t="n">
        <v>120</v>
      </c>
      <c r="AU1616">
        <f>'Variable Tasks'!C120&amp;""</f>
        <v/>
      </c>
      <c r="AV1616">
        <f>'Variable Tasks'!D120&amp;""</f>
        <v/>
      </c>
      <c r="AW1616">
        <f>IF('Variable Tasks'!E120="","",'Variable Tasks'!E120)</f>
        <v/>
      </c>
      <c r="AX1616">
        <f>IF('Variable Tasks'!G120="","",'Variable Tasks'!G120)</f>
        <v/>
      </c>
      <c r="AY1616">
        <f>IF('Variable Tasks'!H120="","",'Variable Tasks'!H120)</f>
        <v/>
      </c>
      <c r="AZ1616">
        <f>IF(AU1616="","",IF('Variable Tasks'!J120="","Not Started",'Variable Tasks'!J120))</f>
        <v/>
      </c>
      <c r="BA1616">
        <f>'Variable Tasks'!L120&amp;""</f>
        <v/>
      </c>
      <c r="BB1616">
        <f>'Variable Tasks'!M120&amp;""</f>
        <v/>
      </c>
      <c r="BC1616">
        <f>'Variable Tasks'!N120&amp;""</f>
        <v/>
      </c>
      <c r="BD1616">
        <f>'Variable Tasks'!O120&amp;""</f>
        <v/>
      </c>
      <c r="BE1616">
        <f>IF('Variable Tasks'!K120="","",'Variable Tasks'!K120)</f>
        <v/>
      </c>
      <c r="BF1616">
        <f>IFERROR(MATCH(BA1616,Setup!$L$6:$L$9,0),5)</f>
        <v/>
      </c>
      <c r="BG1616">
        <f>IF(OR(AZ1616="Done",AZ1616="Cancelled"),1,0)</f>
        <v/>
      </c>
      <c r="BH1616">
        <f>IF(AND(AU1616&lt;&gt;"",ISNUMBER(AW1616)),1,0)</f>
        <v/>
      </c>
      <c r="BI1616">
        <f>IF(BH1616=0,0,IF(AND(AW1616&gt;='Tasks Filter'!$F$3,AW1616&lt;='Tasks Filter'!$F$4,OR('Tasks Filter'!$I$3="",ISNUMBER(SEARCH('Tasks Filter'!$I$3,AU1616))),OR('Tasks Filter'!$I$4="",BF1616=IFERROR(MATCH('Tasks Filter'!$I$4,Setup!$L$6:$L$9,0),0)),OR('Tasks Filter'!$I$5="Both",AND('Tasks Filter'!$I$5="Yes",BB1616="✓"),AND('Tasks Filter'!$I$5="No",BB1616&lt;&gt;"✓")),OR('Tasks Filter'!$L$3="",AV1616='Tasks Filter'!$L$3),OR('Tasks Filter'!$L$4="",AZ1616='Tasks Filter'!$L$4),OR('Tasks Filter'!$L$5="",BC1616='Tasks Filter'!$L$5),OR('Tasks Filter'!$O$3="",BD1616='Tasks Filter'!$O$3),OR('Tasks Filter'!$O$4="Yes",BG1616=0)),1,0))</f>
        <v/>
      </c>
      <c r="BJ1616">
        <f>IF(BH1616=0,"",IF('Tasks Filter'!$F$6="Descending",-1,1)*CHOOSE(MATCH('Tasks Filter'!$F$5,Lists!$G$2:$G$6,0),AW1616,BF1616,IFERROR(MATCH(AV1616,Setup!$F$6:$F$15,0),99),IFERROR(MATCH(BC1616,Setup!$H$6:$H$15,0),99),IFERROR(MATCH(AZ1616,Setup!$J$6:$J$11,0),99))*1E+9+(AW1616-40000)*10000+1615)</f>
        <v/>
      </c>
      <c r="BK1616">
        <f>IF(BI1616=1,BJ1616,"")</f>
        <v/>
      </c>
      <c r="BL1616">
        <f>IF(AND(BH1616=1,BG1616=0,N(AW1616)&lt;Setup!$D$7),(AW1616-40000)*10000+1615,"")</f>
        <v/>
      </c>
      <c r="BM1616">
        <f>IF(AND(BH1616=1,AZ1616&lt;&gt;"Cancelled",N(AW1616)&gt;=Dashboard!$AB$3,N(AW1616)&lt;=Dashboard!$AB$3+6),(AW1616-40000)*100000+BF1616*10000+1615,"")</f>
        <v/>
      </c>
      <c r="BN1616">
        <f>IF(AND(BH1616=1,AZ1616&lt;&gt;"Cancelled"),BF1616*10000+1615,"")</f>
        <v/>
      </c>
    </row>
    <row r="1617">
      <c r="AS1617" t="inlineStr">
        <is>
          <t>V</t>
        </is>
      </c>
      <c r="AT1617" t="n">
        <v>121</v>
      </c>
      <c r="AU1617">
        <f>'Variable Tasks'!C121&amp;""</f>
        <v/>
      </c>
      <c r="AV1617">
        <f>'Variable Tasks'!D121&amp;""</f>
        <v/>
      </c>
      <c r="AW1617">
        <f>IF('Variable Tasks'!E121="","",'Variable Tasks'!E121)</f>
        <v/>
      </c>
      <c r="AX1617">
        <f>IF('Variable Tasks'!G121="","",'Variable Tasks'!G121)</f>
        <v/>
      </c>
      <c r="AY1617">
        <f>IF('Variable Tasks'!H121="","",'Variable Tasks'!H121)</f>
        <v/>
      </c>
      <c r="AZ1617">
        <f>IF(AU1617="","",IF('Variable Tasks'!J121="","Not Started",'Variable Tasks'!J121))</f>
        <v/>
      </c>
      <c r="BA1617">
        <f>'Variable Tasks'!L121&amp;""</f>
        <v/>
      </c>
      <c r="BB1617">
        <f>'Variable Tasks'!M121&amp;""</f>
        <v/>
      </c>
      <c r="BC1617">
        <f>'Variable Tasks'!N121&amp;""</f>
        <v/>
      </c>
      <c r="BD1617">
        <f>'Variable Tasks'!O121&amp;""</f>
        <v/>
      </c>
      <c r="BE1617">
        <f>IF('Variable Tasks'!K121="","",'Variable Tasks'!K121)</f>
        <v/>
      </c>
      <c r="BF1617">
        <f>IFERROR(MATCH(BA1617,Setup!$L$6:$L$9,0),5)</f>
        <v/>
      </c>
      <c r="BG1617">
        <f>IF(OR(AZ1617="Done",AZ1617="Cancelled"),1,0)</f>
        <v/>
      </c>
      <c r="BH1617">
        <f>IF(AND(AU1617&lt;&gt;"",ISNUMBER(AW1617)),1,0)</f>
        <v/>
      </c>
      <c r="BI1617">
        <f>IF(BH1617=0,0,IF(AND(AW1617&gt;='Tasks Filter'!$F$3,AW1617&lt;='Tasks Filter'!$F$4,OR('Tasks Filter'!$I$3="",ISNUMBER(SEARCH('Tasks Filter'!$I$3,AU1617))),OR('Tasks Filter'!$I$4="",BF1617=IFERROR(MATCH('Tasks Filter'!$I$4,Setup!$L$6:$L$9,0),0)),OR('Tasks Filter'!$I$5="Both",AND('Tasks Filter'!$I$5="Yes",BB1617="✓"),AND('Tasks Filter'!$I$5="No",BB1617&lt;&gt;"✓")),OR('Tasks Filter'!$L$3="",AV1617='Tasks Filter'!$L$3),OR('Tasks Filter'!$L$4="",AZ1617='Tasks Filter'!$L$4),OR('Tasks Filter'!$L$5="",BC1617='Tasks Filter'!$L$5),OR('Tasks Filter'!$O$3="",BD1617='Tasks Filter'!$O$3),OR('Tasks Filter'!$O$4="Yes",BG1617=0)),1,0))</f>
        <v/>
      </c>
      <c r="BJ1617">
        <f>IF(BH1617=0,"",IF('Tasks Filter'!$F$6="Descending",-1,1)*CHOOSE(MATCH('Tasks Filter'!$F$5,Lists!$G$2:$G$6,0),AW1617,BF1617,IFERROR(MATCH(AV1617,Setup!$F$6:$F$15,0),99),IFERROR(MATCH(BC1617,Setup!$H$6:$H$15,0),99),IFERROR(MATCH(AZ1617,Setup!$J$6:$J$11,0),99))*1E+9+(AW1617-40000)*10000+1616)</f>
        <v/>
      </c>
      <c r="BK1617">
        <f>IF(BI1617=1,BJ1617,"")</f>
        <v/>
      </c>
      <c r="BL1617">
        <f>IF(AND(BH1617=1,BG1617=0,N(AW1617)&lt;Setup!$D$7),(AW1617-40000)*10000+1616,"")</f>
        <v/>
      </c>
      <c r="BM1617">
        <f>IF(AND(BH1617=1,AZ1617&lt;&gt;"Cancelled",N(AW1617)&gt;=Dashboard!$AB$3,N(AW1617)&lt;=Dashboard!$AB$3+6),(AW1617-40000)*100000+BF1617*10000+1616,"")</f>
        <v/>
      </c>
      <c r="BN1617">
        <f>IF(AND(BH1617=1,AZ1617&lt;&gt;"Cancelled"),BF1617*10000+1616,"")</f>
        <v/>
      </c>
    </row>
    <row r="1618">
      <c r="AS1618" t="inlineStr">
        <is>
          <t>V</t>
        </is>
      </c>
      <c r="AT1618" t="n">
        <v>122</v>
      </c>
      <c r="AU1618">
        <f>'Variable Tasks'!C122&amp;""</f>
        <v/>
      </c>
      <c r="AV1618">
        <f>'Variable Tasks'!D122&amp;""</f>
        <v/>
      </c>
      <c r="AW1618">
        <f>IF('Variable Tasks'!E122="","",'Variable Tasks'!E122)</f>
        <v/>
      </c>
      <c r="AX1618">
        <f>IF('Variable Tasks'!G122="","",'Variable Tasks'!G122)</f>
        <v/>
      </c>
      <c r="AY1618">
        <f>IF('Variable Tasks'!H122="","",'Variable Tasks'!H122)</f>
        <v/>
      </c>
      <c r="AZ1618">
        <f>IF(AU1618="","",IF('Variable Tasks'!J122="","Not Started",'Variable Tasks'!J122))</f>
        <v/>
      </c>
      <c r="BA1618">
        <f>'Variable Tasks'!L122&amp;""</f>
        <v/>
      </c>
      <c r="BB1618">
        <f>'Variable Tasks'!M122&amp;""</f>
        <v/>
      </c>
      <c r="BC1618">
        <f>'Variable Tasks'!N122&amp;""</f>
        <v/>
      </c>
      <c r="BD1618">
        <f>'Variable Tasks'!O122&amp;""</f>
        <v/>
      </c>
      <c r="BE1618">
        <f>IF('Variable Tasks'!K122="","",'Variable Tasks'!K122)</f>
        <v/>
      </c>
      <c r="BF1618">
        <f>IFERROR(MATCH(BA1618,Setup!$L$6:$L$9,0),5)</f>
        <v/>
      </c>
      <c r="BG1618">
        <f>IF(OR(AZ1618="Done",AZ1618="Cancelled"),1,0)</f>
        <v/>
      </c>
      <c r="BH1618">
        <f>IF(AND(AU1618&lt;&gt;"",ISNUMBER(AW1618)),1,0)</f>
        <v/>
      </c>
      <c r="BI1618">
        <f>IF(BH1618=0,0,IF(AND(AW1618&gt;='Tasks Filter'!$F$3,AW1618&lt;='Tasks Filter'!$F$4,OR('Tasks Filter'!$I$3="",ISNUMBER(SEARCH('Tasks Filter'!$I$3,AU1618))),OR('Tasks Filter'!$I$4="",BF1618=IFERROR(MATCH('Tasks Filter'!$I$4,Setup!$L$6:$L$9,0),0)),OR('Tasks Filter'!$I$5="Both",AND('Tasks Filter'!$I$5="Yes",BB1618="✓"),AND('Tasks Filter'!$I$5="No",BB1618&lt;&gt;"✓")),OR('Tasks Filter'!$L$3="",AV1618='Tasks Filter'!$L$3),OR('Tasks Filter'!$L$4="",AZ1618='Tasks Filter'!$L$4),OR('Tasks Filter'!$L$5="",BC1618='Tasks Filter'!$L$5),OR('Tasks Filter'!$O$3="",BD1618='Tasks Filter'!$O$3),OR('Tasks Filter'!$O$4="Yes",BG1618=0)),1,0))</f>
        <v/>
      </c>
      <c r="BJ1618">
        <f>IF(BH1618=0,"",IF('Tasks Filter'!$F$6="Descending",-1,1)*CHOOSE(MATCH('Tasks Filter'!$F$5,Lists!$G$2:$G$6,0),AW1618,BF1618,IFERROR(MATCH(AV1618,Setup!$F$6:$F$15,0),99),IFERROR(MATCH(BC1618,Setup!$H$6:$H$15,0),99),IFERROR(MATCH(AZ1618,Setup!$J$6:$J$11,0),99))*1E+9+(AW1618-40000)*10000+1617)</f>
        <v/>
      </c>
      <c r="BK1618">
        <f>IF(BI1618=1,BJ1618,"")</f>
        <v/>
      </c>
      <c r="BL1618">
        <f>IF(AND(BH1618=1,BG1618=0,N(AW1618)&lt;Setup!$D$7),(AW1618-40000)*10000+1617,"")</f>
        <v/>
      </c>
      <c r="BM1618">
        <f>IF(AND(BH1618=1,AZ1618&lt;&gt;"Cancelled",N(AW1618)&gt;=Dashboard!$AB$3,N(AW1618)&lt;=Dashboard!$AB$3+6),(AW1618-40000)*100000+BF1618*10000+1617,"")</f>
        <v/>
      </c>
      <c r="BN1618">
        <f>IF(AND(BH1618=1,AZ1618&lt;&gt;"Cancelled"),BF1618*10000+1617,"")</f>
        <v/>
      </c>
    </row>
    <row r="1619">
      <c r="AS1619" t="inlineStr">
        <is>
          <t>V</t>
        </is>
      </c>
      <c r="AT1619" t="n">
        <v>123</v>
      </c>
      <c r="AU1619">
        <f>'Variable Tasks'!C123&amp;""</f>
        <v/>
      </c>
      <c r="AV1619">
        <f>'Variable Tasks'!D123&amp;""</f>
        <v/>
      </c>
      <c r="AW1619">
        <f>IF('Variable Tasks'!E123="","",'Variable Tasks'!E123)</f>
        <v/>
      </c>
      <c r="AX1619">
        <f>IF('Variable Tasks'!G123="","",'Variable Tasks'!G123)</f>
        <v/>
      </c>
      <c r="AY1619">
        <f>IF('Variable Tasks'!H123="","",'Variable Tasks'!H123)</f>
        <v/>
      </c>
      <c r="AZ1619">
        <f>IF(AU1619="","",IF('Variable Tasks'!J123="","Not Started",'Variable Tasks'!J123))</f>
        <v/>
      </c>
      <c r="BA1619">
        <f>'Variable Tasks'!L123&amp;""</f>
        <v/>
      </c>
      <c r="BB1619">
        <f>'Variable Tasks'!M123&amp;""</f>
        <v/>
      </c>
      <c r="BC1619">
        <f>'Variable Tasks'!N123&amp;""</f>
        <v/>
      </c>
      <c r="BD1619">
        <f>'Variable Tasks'!O123&amp;""</f>
        <v/>
      </c>
      <c r="BE1619">
        <f>IF('Variable Tasks'!K123="","",'Variable Tasks'!K123)</f>
        <v/>
      </c>
      <c r="BF1619">
        <f>IFERROR(MATCH(BA1619,Setup!$L$6:$L$9,0),5)</f>
        <v/>
      </c>
      <c r="BG1619">
        <f>IF(OR(AZ1619="Done",AZ1619="Cancelled"),1,0)</f>
        <v/>
      </c>
      <c r="BH1619">
        <f>IF(AND(AU1619&lt;&gt;"",ISNUMBER(AW1619)),1,0)</f>
        <v/>
      </c>
      <c r="BI1619">
        <f>IF(BH1619=0,0,IF(AND(AW1619&gt;='Tasks Filter'!$F$3,AW1619&lt;='Tasks Filter'!$F$4,OR('Tasks Filter'!$I$3="",ISNUMBER(SEARCH('Tasks Filter'!$I$3,AU1619))),OR('Tasks Filter'!$I$4="",BF1619=IFERROR(MATCH('Tasks Filter'!$I$4,Setup!$L$6:$L$9,0),0)),OR('Tasks Filter'!$I$5="Both",AND('Tasks Filter'!$I$5="Yes",BB1619="✓"),AND('Tasks Filter'!$I$5="No",BB1619&lt;&gt;"✓")),OR('Tasks Filter'!$L$3="",AV1619='Tasks Filter'!$L$3),OR('Tasks Filter'!$L$4="",AZ1619='Tasks Filter'!$L$4),OR('Tasks Filter'!$L$5="",BC1619='Tasks Filter'!$L$5),OR('Tasks Filter'!$O$3="",BD1619='Tasks Filter'!$O$3),OR('Tasks Filter'!$O$4="Yes",BG1619=0)),1,0))</f>
        <v/>
      </c>
      <c r="BJ1619">
        <f>IF(BH1619=0,"",IF('Tasks Filter'!$F$6="Descending",-1,1)*CHOOSE(MATCH('Tasks Filter'!$F$5,Lists!$G$2:$G$6,0),AW1619,BF1619,IFERROR(MATCH(AV1619,Setup!$F$6:$F$15,0),99),IFERROR(MATCH(BC1619,Setup!$H$6:$H$15,0),99),IFERROR(MATCH(AZ1619,Setup!$J$6:$J$11,0),99))*1E+9+(AW1619-40000)*10000+1618)</f>
        <v/>
      </c>
      <c r="BK1619">
        <f>IF(BI1619=1,BJ1619,"")</f>
        <v/>
      </c>
      <c r="BL1619">
        <f>IF(AND(BH1619=1,BG1619=0,N(AW1619)&lt;Setup!$D$7),(AW1619-40000)*10000+1618,"")</f>
        <v/>
      </c>
      <c r="BM1619">
        <f>IF(AND(BH1619=1,AZ1619&lt;&gt;"Cancelled",N(AW1619)&gt;=Dashboard!$AB$3,N(AW1619)&lt;=Dashboard!$AB$3+6),(AW1619-40000)*100000+BF1619*10000+1618,"")</f>
        <v/>
      </c>
      <c r="BN1619">
        <f>IF(AND(BH1619=1,AZ1619&lt;&gt;"Cancelled"),BF1619*10000+1618,"")</f>
        <v/>
      </c>
    </row>
    <row r="1620">
      <c r="AS1620" t="inlineStr">
        <is>
          <t>V</t>
        </is>
      </c>
      <c r="AT1620" t="n">
        <v>124</v>
      </c>
      <c r="AU1620">
        <f>'Variable Tasks'!C124&amp;""</f>
        <v/>
      </c>
      <c r="AV1620">
        <f>'Variable Tasks'!D124&amp;""</f>
        <v/>
      </c>
      <c r="AW1620">
        <f>IF('Variable Tasks'!E124="","",'Variable Tasks'!E124)</f>
        <v/>
      </c>
      <c r="AX1620">
        <f>IF('Variable Tasks'!G124="","",'Variable Tasks'!G124)</f>
        <v/>
      </c>
      <c r="AY1620">
        <f>IF('Variable Tasks'!H124="","",'Variable Tasks'!H124)</f>
        <v/>
      </c>
      <c r="AZ1620">
        <f>IF(AU1620="","",IF('Variable Tasks'!J124="","Not Started",'Variable Tasks'!J124))</f>
        <v/>
      </c>
      <c r="BA1620">
        <f>'Variable Tasks'!L124&amp;""</f>
        <v/>
      </c>
      <c r="BB1620">
        <f>'Variable Tasks'!M124&amp;""</f>
        <v/>
      </c>
      <c r="BC1620">
        <f>'Variable Tasks'!N124&amp;""</f>
        <v/>
      </c>
      <c r="BD1620">
        <f>'Variable Tasks'!O124&amp;""</f>
        <v/>
      </c>
      <c r="BE1620">
        <f>IF('Variable Tasks'!K124="","",'Variable Tasks'!K124)</f>
        <v/>
      </c>
      <c r="BF1620">
        <f>IFERROR(MATCH(BA1620,Setup!$L$6:$L$9,0),5)</f>
        <v/>
      </c>
      <c r="BG1620">
        <f>IF(OR(AZ1620="Done",AZ1620="Cancelled"),1,0)</f>
        <v/>
      </c>
      <c r="BH1620">
        <f>IF(AND(AU1620&lt;&gt;"",ISNUMBER(AW1620)),1,0)</f>
        <v/>
      </c>
      <c r="BI1620">
        <f>IF(BH1620=0,0,IF(AND(AW1620&gt;='Tasks Filter'!$F$3,AW1620&lt;='Tasks Filter'!$F$4,OR('Tasks Filter'!$I$3="",ISNUMBER(SEARCH('Tasks Filter'!$I$3,AU1620))),OR('Tasks Filter'!$I$4="",BF1620=IFERROR(MATCH('Tasks Filter'!$I$4,Setup!$L$6:$L$9,0),0)),OR('Tasks Filter'!$I$5="Both",AND('Tasks Filter'!$I$5="Yes",BB1620="✓"),AND('Tasks Filter'!$I$5="No",BB1620&lt;&gt;"✓")),OR('Tasks Filter'!$L$3="",AV1620='Tasks Filter'!$L$3),OR('Tasks Filter'!$L$4="",AZ1620='Tasks Filter'!$L$4),OR('Tasks Filter'!$L$5="",BC1620='Tasks Filter'!$L$5),OR('Tasks Filter'!$O$3="",BD1620='Tasks Filter'!$O$3),OR('Tasks Filter'!$O$4="Yes",BG1620=0)),1,0))</f>
        <v/>
      </c>
      <c r="BJ1620">
        <f>IF(BH1620=0,"",IF('Tasks Filter'!$F$6="Descending",-1,1)*CHOOSE(MATCH('Tasks Filter'!$F$5,Lists!$G$2:$G$6,0),AW1620,BF1620,IFERROR(MATCH(AV1620,Setup!$F$6:$F$15,0),99),IFERROR(MATCH(BC1620,Setup!$H$6:$H$15,0),99),IFERROR(MATCH(AZ1620,Setup!$J$6:$J$11,0),99))*1E+9+(AW1620-40000)*10000+1619)</f>
        <v/>
      </c>
      <c r="BK1620">
        <f>IF(BI1620=1,BJ1620,"")</f>
        <v/>
      </c>
      <c r="BL1620">
        <f>IF(AND(BH1620=1,BG1620=0,N(AW1620)&lt;Setup!$D$7),(AW1620-40000)*10000+1619,"")</f>
        <v/>
      </c>
      <c r="BM1620">
        <f>IF(AND(BH1620=1,AZ1620&lt;&gt;"Cancelled",N(AW1620)&gt;=Dashboard!$AB$3,N(AW1620)&lt;=Dashboard!$AB$3+6),(AW1620-40000)*100000+BF1620*10000+1619,"")</f>
        <v/>
      </c>
      <c r="BN1620">
        <f>IF(AND(BH1620=1,AZ1620&lt;&gt;"Cancelled"),BF1620*10000+1619,"")</f>
        <v/>
      </c>
    </row>
    <row r="1621">
      <c r="AS1621" t="inlineStr">
        <is>
          <t>V</t>
        </is>
      </c>
      <c r="AT1621" t="n">
        <v>125</v>
      </c>
      <c r="AU1621">
        <f>'Variable Tasks'!C125&amp;""</f>
        <v/>
      </c>
      <c r="AV1621">
        <f>'Variable Tasks'!D125&amp;""</f>
        <v/>
      </c>
      <c r="AW1621">
        <f>IF('Variable Tasks'!E125="","",'Variable Tasks'!E125)</f>
        <v/>
      </c>
      <c r="AX1621">
        <f>IF('Variable Tasks'!G125="","",'Variable Tasks'!G125)</f>
        <v/>
      </c>
      <c r="AY1621">
        <f>IF('Variable Tasks'!H125="","",'Variable Tasks'!H125)</f>
        <v/>
      </c>
      <c r="AZ1621">
        <f>IF(AU1621="","",IF('Variable Tasks'!J125="","Not Started",'Variable Tasks'!J125))</f>
        <v/>
      </c>
      <c r="BA1621">
        <f>'Variable Tasks'!L125&amp;""</f>
        <v/>
      </c>
      <c r="BB1621">
        <f>'Variable Tasks'!M125&amp;""</f>
        <v/>
      </c>
      <c r="BC1621">
        <f>'Variable Tasks'!N125&amp;""</f>
        <v/>
      </c>
      <c r="BD1621">
        <f>'Variable Tasks'!O125&amp;""</f>
        <v/>
      </c>
      <c r="BE1621">
        <f>IF('Variable Tasks'!K125="","",'Variable Tasks'!K125)</f>
        <v/>
      </c>
      <c r="BF1621">
        <f>IFERROR(MATCH(BA1621,Setup!$L$6:$L$9,0),5)</f>
        <v/>
      </c>
      <c r="BG1621">
        <f>IF(OR(AZ1621="Done",AZ1621="Cancelled"),1,0)</f>
        <v/>
      </c>
      <c r="BH1621">
        <f>IF(AND(AU1621&lt;&gt;"",ISNUMBER(AW1621)),1,0)</f>
        <v/>
      </c>
      <c r="BI1621">
        <f>IF(BH1621=0,0,IF(AND(AW1621&gt;='Tasks Filter'!$F$3,AW1621&lt;='Tasks Filter'!$F$4,OR('Tasks Filter'!$I$3="",ISNUMBER(SEARCH('Tasks Filter'!$I$3,AU1621))),OR('Tasks Filter'!$I$4="",BF1621=IFERROR(MATCH('Tasks Filter'!$I$4,Setup!$L$6:$L$9,0),0)),OR('Tasks Filter'!$I$5="Both",AND('Tasks Filter'!$I$5="Yes",BB1621="✓"),AND('Tasks Filter'!$I$5="No",BB1621&lt;&gt;"✓")),OR('Tasks Filter'!$L$3="",AV1621='Tasks Filter'!$L$3),OR('Tasks Filter'!$L$4="",AZ1621='Tasks Filter'!$L$4),OR('Tasks Filter'!$L$5="",BC1621='Tasks Filter'!$L$5),OR('Tasks Filter'!$O$3="",BD1621='Tasks Filter'!$O$3),OR('Tasks Filter'!$O$4="Yes",BG1621=0)),1,0))</f>
        <v/>
      </c>
      <c r="BJ1621">
        <f>IF(BH1621=0,"",IF('Tasks Filter'!$F$6="Descending",-1,1)*CHOOSE(MATCH('Tasks Filter'!$F$5,Lists!$G$2:$G$6,0),AW1621,BF1621,IFERROR(MATCH(AV1621,Setup!$F$6:$F$15,0),99),IFERROR(MATCH(BC1621,Setup!$H$6:$H$15,0),99),IFERROR(MATCH(AZ1621,Setup!$J$6:$J$11,0),99))*1E+9+(AW1621-40000)*10000+1620)</f>
        <v/>
      </c>
      <c r="BK1621">
        <f>IF(BI1621=1,BJ1621,"")</f>
        <v/>
      </c>
      <c r="BL1621">
        <f>IF(AND(BH1621=1,BG1621=0,N(AW1621)&lt;Setup!$D$7),(AW1621-40000)*10000+1620,"")</f>
        <v/>
      </c>
      <c r="BM1621">
        <f>IF(AND(BH1621=1,AZ1621&lt;&gt;"Cancelled",N(AW1621)&gt;=Dashboard!$AB$3,N(AW1621)&lt;=Dashboard!$AB$3+6),(AW1621-40000)*100000+BF1621*10000+1620,"")</f>
        <v/>
      </c>
      <c r="BN1621">
        <f>IF(AND(BH1621=1,AZ1621&lt;&gt;"Cancelled"),BF1621*10000+1620,"")</f>
        <v/>
      </c>
    </row>
    <row r="1622">
      <c r="AS1622" t="inlineStr">
        <is>
          <t>V</t>
        </is>
      </c>
      <c r="AT1622" t="n">
        <v>126</v>
      </c>
      <c r="AU1622">
        <f>'Variable Tasks'!C126&amp;""</f>
        <v/>
      </c>
      <c r="AV1622">
        <f>'Variable Tasks'!D126&amp;""</f>
        <v/>
      </c>
      <c r="AW1622">
        <f>IF('Variable Tasks'!E126="","",'Variable Tasks'!E126)</f>
        <v/>
      </c>
      <c r="AX1622">
        <f>IF('Variable Tasks'!G126="","",'Variable Tasks'!G126)</f>
        <v/>
      </c>
      <c r="AY1622">
        <f>IF('Variable Tasks'!H126="","",'Variable Tasks'!H126)</f>
        <v/>
      </c>
      <c r="AZ1622">
        <f>IF(AU1622="","",IF('Variable Tasks'!J126="","Not Started",'Variable Tasks'!J126))</f>
        <v/>
      </c>
      <c r="BA1622">
        <f>'Variable Tasks'!L126&amp;""</f>
        <v/>
      </c>
      <c r="BB1622">
        <f>'Variable Tasks'!M126&amp;""</f>
        <v/>
      </c>
      <c r="BC1622">
        <f>'Variable Tasks'!N126&amp;""</f>
        <v/>
      </c>
      <c r="BD1622">
        <f>'Variable Tasks'!O126&amp;""</f>
        <v/>
      </c>
      <c r="BE1622">
        <f>IF('Variable Tasks'!K126="","",'Variable Tasks'!K126)</f>
        <v/>
      </c>
      <c r="BF1622">
        <f>IFERROR(MATCH(BA1622,Setup!$L$6:$L$9,0),5)</f>
        <v/>
      </c>
      <c r="BG1622">
        <f>IF(OR(AZ1622="Done",AZ1622="Cancelled"),1,0)</f>
        <v/>
      </c>
      <c r="BH1622">
        <f>IF(AND(AU1622&lt;&gt;"",ISNUMBER(AW1622)),1,0)</f>
        <v/>
      </c>
      <c r="BI1622">
        <f>IF(BH1622=0,0,IF(AND(AW1622&gt;='Tasks Filter'!$F$3,AW1622&lt;='Tasks Filter'!$F$4,OR('Tasks Filter'!$I$3="",ISNUMBER(SEARCH('Tasks Filter'!$I$3,AU1622))),OR('Tasks Filter'!$I$4="",BF1622=IFERROR(MATCH('Tasks Filter'!$I$4,Setup!$L$6:$L$9,0),0)),OR('Tasks Filter'!$I$5="Both",AND('Tasks Filter'!$I$5="Yes",BB1622="✓"),AND('Tasks Filter'!$I$5="No",BB1622&lt;&gt;"✓")),OR('Tasks Filter'!$L$3="",AV1622='Tasks Filter'!$L$3),OR('Tasks Filter'!$L$4="",AZ1622='Tasks Filter'!$L$4),OR('Tasks Filter'!$L$5="",BC1622='Tasks Filter'!$L$5),OR('Tasks Filter'!$O$3="",BD1622='Tasks Filter'!$O$3),OR('Tasks Filter'!$O$4="Yes",BG1622=0)),1,0))</f>
        <v/>
      </c>
      <c r="BJ1622">
        <f>IF(BH1622=0,"",IF('Tasks Filter'!$F$6="Descending",-1,1)*CHOOSE(MATCH('Tasks Filter'!$F$5,Lists!$G$2:$G$6,0),AW1622,BF1622,IFERROR(MATCH(AV1622,Setup!$F$6:$F$15,0),99),IFERROR(MATCH(BC1622,Setup!$H$6:$H$15,0),99),IFERROR(MATCH(AZ1622,Setup!$J$6:$J$11,0),99))*1E+9+(AW1622-40000)*10000+1621)</f>
        <v/>
      </c>
      <c r="BK1622">
        <f>IF(BI1622=1,BJ1622,"")</f>
        <v/>
      </c>
      <c r="BL1622">
        <f>IF(AND(BH1622=1,BG1622=0,N(AW1622)&lt;Setup!$D$7),(AW1622-40000)*10000+1621,"")</f>
        <v/>
      </c>
      <c r="BM1622">
        <f>IF(AND(BH1622=1,AZ1622&lt;&gt;"Cancelled",N(AW1622)&gt;=Dashboard!$AB$3,N(AW1622)&lt;=Dashboard!$AB$3+6),(AW1622-40000)*100000+BF1622*10000+1621,"")</f>
        <v/>
      </c>
      <c r="BN1622">
        <f>IF(AND(BH1622=1,AZ1622&lt;&gt;"Cancelled"),BF1622*10000+1621,"")</f>
        <v/>
      </c>
    </row>
    <row r="1623">
      <c r="AS1623" t="inlineStr">
        <is>
          <t>V</t>
        </is>
      </c>
      <c r="AT1623" t="n">
        <v>127</v>
      </c>
      <c r="AU1623">
        <f>'Variable Tasks'!C127&amp;""</f>
        <v/>
      </c>
      <c r="AV1623">
        <f>'Variable Tasks'!D127&amp;""</f>
        <v/>
      </c>
      <c r="AW1623">
        <f>IF('Variable Tasks'!E127="","",'Variable Tasks'!E127)</f>
        <v/>
      </c>
      <c r="AX1623">
        <f>IF('Variable Tasks'!G127="","",'Variable Tasks'!G127)</f>
        <v/>
      </c>
      <c r="AY1623">
        <f>IF('Variable Tasks'!H127="","",'Variable Tasks'!H127)</f>
        <v/>
      </c>
      <c r="AZ1623">
        <f>IF(AU1623="","",IF('Variable Tasks'!J127="","Not Started",'Variable Tasks'!J127))</f>
        <v/>
      </c>
      <c r="BA1623">
        <f>'Variable Tasks'!L127&amp;""</f>
        <v/>
      </c>
      <c r="BB1623">
        <f>'Variable Tasks'!M127&amp;""</f>
        <v/>
      </c>
      <c r="BC1623">
        <f>'Variable Tasks'!N127&amp;""</f>
        <v/>
      </c>
      <c r="BD1623">
        <f>'Variable Tasks'!O127&amp;""</f>
        <v/>
      </c>
      <c r="BE1623">
        <f>IF('Variable Tasks'!K127="","",'Variable Tasks'!K127)</f>
        <v/>
      </c>
      <c r="BF1623">
        <f>IFERROR(MATCH(BA1623,Setup!$L$6:$L$9,0),5)</f>
        <v/>
      </c>
      <c r="BG1623">
        <f>IF(OR(AZ1623="Done",AZ1623="Cancelled"),1,0)</f>
        <v/>
      </c>
      <c r="BH1623">
        <f>IF(AND(AU1623&lt;&gt;"",ISNUMBER(AW1623)),1,0)</f>
        <v/>
      </c>
      <c r="BI1623">
        <f>IF(BH1623=0,0,IF(AND(AW1623&gt;='Tasks Filter'!$F$3,AW1623&lt;='Tasks Filter'!$F$4,OR('Tasks Filter'!$I$3="",ISNUMBER(SEARCH('Tasks Filter'!$I$3,AU1623))),OR('Tasks Filter'!$I$4="",BF1623=IFERROR(MATCH('Tasks Filter'!$I$4,Setup!$L$6:$L$9,0),0)),OR('Tasks Filter'!$I$5="Both",AND('Tasks Filter'!$I$5="Yes",BB1623="✓"),AND('Tasks Filter'!$I$5="No",BB1623&lt;&gt;"✓")),OR('Tasks Filter'!$L$3="",AV1623='Tasks Filter'!$L$3),OR('Tasks Filter'!$L$4="",AZ1623='Tasks Filter'!$L$4),OR('Tasks Filter'!$L$5="",BC1623='Tasks Filter'!$L$5),OR('Tasks Filter'!$O$3="",BD1623='Tasks Filter'!$O$3),OR('Tasks Filter'!$O$4="Yes",BG1623=0)),1,0))</f>
        <v/>
      </c>
      <c r="BJ1623">
        <f>IF(BH1623=0,"",IF('Tasks Filter'!$F$6="Descending",-1,1)*CHOOSE(MATCH('Tasks Filter'!$F$5,Lists!$G$2:$G$6,0),AW1623,BF1623,IFERROR(MATCH(AV1623,Setup!$F$6:$F$15,0),99),IFERROR(MATCH(BC1623,Setup!$H$6:$H$15,0),99),IFERROR(MATCH(AZ1623,Setup!$J$6:$J$11,0),99))*1E+9+(AW1623-40000)*10000+1622)</f>
        <v/>
      </c>
      <c r="BK1623">
        <f>IF(BI1623=1,BJ1623,"")</f>
        <v/>
      </c>
      <c r="BL1623">
        <f>IF(AND(BH1623=1,BG1623=0,N(AW1623)&lt;Setup!$D$7),(AW1623-40000)*10000+1622,"")</f>
        <v/>
      </c>
      <c r="BM1623">
        <f>IF(AND(BH1623=1,AZ1623&lt;&gt;"Cancelled",N(AW1623)&gt;=Dashboard!$AB$3,N(AW1623)&lt;=Dashboard!$AB$3+6),(AW1623-40000)*100000+BF1623*10000+1622,"")</f>
        <v/>
      </c>
      <c r="BN1623">
        <f>IF(AND(BH1623=1,AZ1623&lt;&gt;"Cancelled"),BF1623*10000+1622,"")</f>
        <v/>
      </c>
    </row>
    <row r="1624">
      <c r="AS1624" t="inlineStr">
        <is>
          <t>V</t>
        </is>
      </c>
      <c r="AT1624" t="n">
        <v>128</v>
      </c>
      <c r="AU1624">
        <f>'Variable Tasks'!C128&amp;""</f>
        <v/>
      </c>
      <c r="AV1624">
        <f>'Variable Tasks'!D128&amp;""</f>
        <v/>
      </c>
      <c r="AW1624">
        <f>IF('Variable Tasks'!E128="","",'Variable Tasks'!E128)</f>
        <v/>
      </c>
      <c r="AX1624">
        <f>IF('Variable Tasks'!G128="","",'Variable Tasks'!G128)</f>
        <v/>
      </c>
      <c r="AY1624">
        <f>IF('Variable Tasks'!H128="","",'Variable Tasks'!H128)</f>
        <v/>
      </c>
      <c r="AZ1624">
        <f>IF(AU1624="","",IF('Variable Tasks'!J128="","Not Started",'Variable Tasks'!J128))</f>
        <v/>
      </c>
      <c r="BA1624">
        <f>'Variable Tasks'!L128&amp;""</f>
        <v/>
      </c>
      <c r="BB1624">
        <f>'Variable Tasks'!M128&amp;""</f>
        <v/>
      </c>
      <c r="BC1624">
        <f>'Variable Tasks'!N128&amp;""</f>
        <v/>
      </c>
      <c r="BD1624">
        <f>'Variable Tasks'!O128&amp;""</f>
        <v/>
      </c>
      <c r="BE1624">
        <f>IF('Variable Tasks'!K128="","",'Variable Tasks'!K128)</f>
        <v/>
      </c>
      <c r="BF1624">
        <f>IFERROR(MATCH(BA1624,Setup!$L$6:$L$9,0),5)</f>
        <v/>
      </c>
      <c r="BG1624">
        <f>IF(OR(AZ1624="Done",AZ1624="Cancelled"),1,0)</f>
        <v/>
      </c>
      <c r="BH1624">
        <f>IF(AND(AU1624&lt;&gt;"",ISNUMBER(AW1624)),1,0)</f>
        <v/>
      </c>
      <c r="BI1624">
        <f>IF(BH1624=0,0,IF(AND(AW1624&gt;='Tasks Filter'!$F$3,AW1624&lt;='Tasks Filter'!$F$4,OR('Tasks Filter'!$I$3="",ISNUMBER(SEARCH('Tasks Filter'!$I$3,AU1624))),OR('Tasks Filter'!$I$4="",BF1624=IFERROR(MATCH('Tasks Filter'!$I$4,Setup!$L$6:$L$9,0),0)),OR('Tasks Filter'!$I$5="Both",AND('Tasks Filter'!$I$5="Yes",BB1624="✓"),AND('Tasks Filter'!$I$5="No",BB1624&lt;&gt;"✓")),OR('Tasks Filter'!$L$3="",AV1624='Tasks Filter'!$L$3),OR('Tasks Filter'!$L$4="",AZ1624='Tasks Filter'!$L$4),OR('Tasks Filter'!$L$5="",BC1624='Tasks Filter'!$L$5),OR('Tasks Filter'!$O$3="",BD1624='Tasks Filter'!$O$3),OR('Tasks Filter'!$O$4="Yes",BG1624=0)),1,0))</f>
        <v/>
      </c>
      <c r="BJ1624">
        <f>IF(BH1624=0,"",IF('Tasks Filter'!$F$6="Descending",-1,1)*CHOOSE(MATCH('Tasks Filter'!$F$5,Lists!$G$2:$G$6,0),AW1624,BF1624,IFERROR(MATCH(AV1624,Setup!$F$6:$F$15,0),99),IFERROR(MATCH(BC1624,Setup!$H$6:$H$15,0),99),IFERROR(MATCH(AZ1624,Setup!$J$6:$J$11,0),99))*1E+9+(AW1624-40000)*10000+1623)</f>
        <v/>
      </c>
      <c r="BK1624">
        <f>IF(BI1624=1,BJ1624,"")</f>
        <v/>
      </c>
      <c r="BL1624">
        <f>IF(AND(BH1624=1,BG1624=0,N(AW1624)&lt;Setup!$D$7),(AW1624-40000)*10000+1623,"")</f>
        <v/>
      </c>
      <c r="BM1624">
        <f>IF(AND(BH1624=1,AZ1624&lt;&gt;"Cancelled",N(AW1624)&gt;=Dashboard!$AB$3,N(AW1624)&lt;=Dashboard!$AB$3+6),(AW1624-40000)*100000+BF1624*10000+1623,"")</f>
        <v/>
      </c>
      <c r="BN1624">
        <f>IF(AND(BH1624=1,AZ1624&lt;&gt;"Cancelled"),BF1624*10000+1623,"")</f>
        <v/>
      </c>
    </row>
    <row r="1625">
      <c r="AS1625" t="inlineStr">
        <is>
          <t>V</t>
        </is>
      </c>
      <c r="AT1625" t="n">
        <v>129</v>
      </c>
      <c r="AU1625">
        <f>'Variable Tasks'!C129&amp;""</f>
        <v/>
      </c>
      <c r="AV1625">
        <f>'Variable Tasks'!D129&amp;""</f>
        <v/>
      </c>
      <c r="AW1625">
        <f>IF('Variable Tasks'!E129="","",'Variable Tasks'!E129)</f>
        <v/>
      </c>
      <c r="AX1625">
        <f>IF('Variable Tasks'!G129="","",'Variable Tasks'!G129)</f>
        <v/>
      </c>
      <c r="AY1625">
        <f>IF('Variable Tasks'!H129="","",'Variable Tasks'!H129)</f>
        <v/>
      </c>
      <c r="AZ1625">
        <f>IF(AU1625="","",IF('Variable Tasks'!J129="","Not Started",'Variable Tasks'!J129))</f>
        <v/>
      </c>
      <c r="BA1625">
        <f>'Variable Tasks'!L129&amp;""</f>
        <v/>
      </c>
      <c r="BB1625">
        <f>'Variable Tasks'!M129&amp;""</f>
        <v/>
      </c>
      <c r="BC1625">
        <f>'Variable Tasks'!N129&amp;""</f>
        <v/>
      </c>
      <c r="BD1625">
        <f>'Variable Tasks'!O129&amp;""</f>
        <v/>
      </c>
      <c r="BE1625">
        <f>IF('Variable Tasks'!K129="","",'Variable Tasks'!K129)</f>
        <v/>
      </c>
      <c r="BF1625">
        <f>IFERROR(MATCH(BA1625,Setup!$L$6:$L$9,0),5)</f>
        <v/>
      </c>
      <c r="BG1625">
        <f>IF(OR(AZ1625="Done",AZ1625="Cancelled"),1,0)</f>
        <v/>
      </c>
      <c r="BH1625">
        <f>IF(AND(AU1625&lt;&gt;"",ISNUMBER(AW1625)),1,0)</f>
        <v/>
      </c>
      <c r="BI1625">
        <f>IF(BH1625=0,0,IF(AND(AW1625&gt;='Tasks Filter'!$F$3,AW1625&lt;='Tasks Filter'!$F$4,OR('Tasks Filter'!$I$3="",ISNUMBER(SEARCH('Tasks Filter'!$I$3,AU1625))),OR('Tasks Filter'!$I$4="",BF1625=IFERROR(MATCH('Tasks Filter'!$I$4,Setup!$L$6:$L$9,0),0)),OR('Tasks Filter'!$I$5="Both",AND('Tasks Filter'!$I$5="Yes",BB1625="✓"),AND('Tasks Filter'!$I$5="No",BB1625&lt;&gt;"✓")),OR('Tasks Filter'!$L$3="",AV1625='Tasks Filter'!$L$3),OR('Tasks Filter'!$L$4="",AZ1625='Tasks Filter'!$L$4),OR('Tasks Filter'!$L$5="",BC1625='Tasks Filter'!$L$5),OR('Tasks Filter'!$O$3="",BD1625='Tasks Filter'!$O$3),OR('Tasks Filter'!$O$4="Yes",BG1625=0)),1,0))</f>
        <v/>
      </c>
      <c r="BJ1625">
        <f>IF(BH1625=0,"",IF('Tasks Filter'!$F$6="Descending",-1,1)*CHOOSE(MATCH('Tasks Filter'!$F$5,Lists!$G$2:$G$6,0),AW1625,BF1625,IFERROR(MATCH(AV1625,Setup!$F$6:$F$15,0),99),IFERROR(MATCH(BC1625,Setup!$H$6:$H$15,0),99),IFERROR(MATCH(AZ1625,Setup!$J$6:$J$11,0),99))*1E+9+(AW1625-40000)*10000+1624)</f>
        <v/>
      </c>
      <c r="BK1625">
        <f>IF(BI1625=1,BJ1625,"")</f>
        <v/>
      </c>
      <c r="BL1625">
        <f>IF(AND(BH1625=1,BG1625=0,N(AW1625)&lt;Setup!$D$7),(AW1625-40000)*10000+1624,"")</f>
        <v/>
      </c>
      <c r="BM1625">
        <f>IF(AND(BH1625=1,AZ1625&lt;&gt;"Cancelled",N(AW1625)&gt;=Dashboard!$AB$3,N(AW1625)&lt;=Dashboard!$AB$3+6),(AW1625-40000)*100000+BF1625*10000+1624,"")</f>
        <v/>
      </c>
      <c r="BN1625">
        <f>IF(AND(BH1625=1,AZ1625&lt;&gt;"Cancelled"),BF1625*10000+1624,"")</f>
        <v/>
      </c>
    </row>
    <row r="1626">
      <c r="AS1626" t="inlineStr">
        <is>
          <t>V</t>
        </is>
      </c>
      <c r="AT1626" t="n">
        <v>130</v>
      </c>
      <c r="AU1626">
        <f>'Variable Tasks'!C130&amp;""</f>
        <v/>
      </c>
      <c r="AV1626">
        <f>'Variable Tasks'!D130&amp;""</f>
        <v/>
      </c>
      <c r="AW1626">
        <f>IF('Variable Tasks'!E130="","",'Variable Tasks'!E130)</f>
        <v/>
      </c>
      <c r="AX1626">
        <f>IF('Variable Tasks'!G130="","",'Variable Tasks'!G130)</f>
        <v/>
      </c>
      <c r="AY1626">
        <f>IF('Variable Tasks'!H130="","",'Variable Tasks'!H130)</f>
        <v/>
      </c>
      <c r="AZ1626">
        <f>IF(AU1626="","",IF('Variable Tasks'!J130="","Not Started",'Variable Tasks'!J130))</f>
        <v/>
      </c>
      <c r="BA1626">
        <f>'Variable Tasks'!L130&amp;""</f>
        <v/>
      </c>
      <c r="BB1626">
        <f>'Variable Tasks'!M130&amp;""</f>
        <v/>
      </c>
      <c r="BC1626">
        <f>'Variable Tasks'!N130&amp;""</f>
        <v/>
      </c>
      <c r="BD1626">
        <f>'Variable Tasks'!O130&amp;""</f>
        <v/>
      </c>
      <c r="BE1626">
        <f>IF('Variable Tasks'!K130="","",'Variable Tasks'!K130)</f>
        <v/>
      </c>
      <c r="BF1626">
        <f>IFERROR(MATCH(BA1626,Setup!$L$6:$L$9,0),5)</f>
        <v/>
      </c>
      <c r="BG1626">
        <f>IF(OR(AZ1626="Done",AZ1626="Cancelled"),1,0)</f>
        <v/>
      </c>
      <c r="BH1626">
        <f>IF(AND(AU1626&lt;&gt;"",ISNUMBER(AW1626)),1,0)</f>
        <v/>
      </c>
      <c r="BI1626">
        <f>IF(BH1626=0,0,IF(AND(AW1626&gt;='Tasks Filter'!$F$3,AW1626&lt;='Tasks Filter'!$F$4,OR('Tasks Filter'!$I$3="",ISNUMBER(SEARCH('Tasks Filter'!$I$3,AU1626))),OR('Tasks Filter'!$I$4="",BF1626=IFERROR(MATCH('Tasks Filter'!$I$4,Setup!$L$6:$L$9,0),0)),OR('Tasks Filter'!$I$5="Both",AND('Tasks Filter'!$I$5="Yes",BB1626="✓"),AND('Tasks Filter'!$I$5="No",BB1626&lt;&gt;"✓")),OR('Tasks Filter'!$L$3="",AV1626='Tasks Filter'!$L$3),OR('Tasks Filter'!$L$4="",AZ1626='Tasks Filter'!$L$4),OR('Tasks Filter'!$L$5="",BC1626='Tasks Filter'!$L$5),OR('Tasks Filter'!$O$3="",BD1626='Tasks Filter'!$O$3),OR('Tasks Filter'!$O$4="Yes",BG1626=0)),1,0))</f>
        <v/>
      </c>
      <c r="BJ1626">
        <f>IF(BH1626=0,"",IF('Tasks Filter'!$F$6="Descending",-1,1)*CHOOSE(MATCH('Tasks Filter'!$F$5,Lists!$G$2:$G$6,0),AW1626,BF1626,IFERROR(MATCH(AV1626,Setup!$F$6:$F$15,0),99),IFERROR(MATCH(BC1626,Setup!$H$6:$H$15,0),99),IFERROR(MATCH(AZ1626,Setup!$J$6:$J$11,0),99))*1E+9+(AW1626-40000)*10000+1625)</f>
        <v/>
      </c>
      <c r="BK1626">
        <f>IF(BI1626=1,BJ1626,"")</f>
        <v/>
      </c>
      <c r="BL1626">
        <f>IF(AND(BH1626=1,BG1626=0,N(AW1626)&lt;Setup!$D$7),(AW1626-40000)*10000+1625,"")</f>
        <v/>
      </c>
      <c r="BM1626">
        <f>IF(AND(BH1626=1,AZ1626&lt;&gt;"Cancelled",N(AW1626)&gt;=Dashboard!$AB$3,N(AW1626)&lt;=Dashboard!$AB$3+6),(AW1626-40000)*100000+BF1626*10000+1625,"")</f>
        <v/>
      </c>
      <c r="BN1626">
        <f>IF(AND(BH1626=1,AZ1626&lt;&gt;"Cancelled"),BF1626*10000+1625,"")</f>
        <v/>
      </c>
    </row>
    <row r="1627">
      <c r="AS1627" t="inlineStr">
        <is>
          <t>V</t>
        </is>
      </c>
      <c r="AT1627" t="n">
        <v>131</v>
      </c>
      <c r="AU1627">
        <f>'Variable Tasks'!C131&amp;""</f>
        <v/>
      </c>
      <c r="AV1627">
        <f>'Variable Tasks'!D131&amp;""</f>
        <v/>
      </c>
      <c r="AW1627">
        <f>IF('Variable Tasks'!E131="","",'Variable Tasks'!E131)</f>
        <v/>
      </c>
      <c r="AX1627">
        <f>IF('Variable Tasks'!G131="","",'Variable Tasks'!G131)</f>
        <v/>
      </c>
      <c r="AY1627">
        <f>IF('Variable Tasks'!H131="","",'Variable Tasks'!H131)</f>
        <v/>
      </c>
      <c r="AZ1627">
        <f>IF(AU1627="","",IF('Variable Tasks'!J131="","Not Started",'Variable Tasks'!J131))</f>
        <v/>
      </c>
      <c r="BA1627">
        <f>'Variable Tasks'!L131&amp;""</f>
        <v/>
      </c>
      <c r="BB1627">
        <f>'Variable Tasks'!M131&amp;""</f>
        <v/>
      </c>
      <c r="BC1627">
        <f>'Variable Tasks'!N131&amp;""</f>
        <v/>
      </c>
      <c r="BD1627">
        <f>'Variable Tasks'!O131&amp;""</f>
        <v/>
      </c>
      <c r="BE1627">
        <f>IF('Variable Tasks'!K131="","",'Variable Tasks'!K131)</f>
        <v/>
      </c>
      <c r="BF1627">
        <f>IFERROR(MATCH(BA1627,Setup!$L$6:$L$9,0),5)</f>
        <v/>
      </c>
      <c r="BG1627">
        <f>IF(OR(AZ1627="Done",AZ1627="Cancelled"),1,0)</f>
        <v/>
      </c>
      <c r="BH1627">
        <f>IF(AND(AU1627&lt;&gt;"",ISNUMBER(AW1627)),1,0)</f>
        <v/>
      </c>
      <c r="BI1627">
        <f>IF(BH1627=0,0,IF(AND(AW1627&gt;='Tasks Filter'!$F$3,AW1627&lt;='Tasks Filter'!$F$4,OR('Tasks Filter'!$I$3="",ISNUMBER(SEARCH('Tasks Filter'!$I$3,AU1627))),OR('Tasks Filter'!$I$4="",BF1627=IFERROR(MATCH('Tasks Filter'!$I$4,Setup!$L$6:$L$9,0),0)),OR('Tasks Filter'!$I$5="Both",AND('Tasks Filter'!$I$5="Yes",BB1627="✓"),AND('Tasks Filter'!$I$5="No",BB1627&lt;&gt;"✓")),OR('Tasks Filter'!$L$3="",AV1627='Tasks Filter'!$L$3),OR('Tasks Filter'!$L$4="",AZ1627='Tasks Filter'!$L$4),OR('Tasks Filter'!$L$5="",BC1627='Tasks Filter'!$L$5),OR('Tasks Filter'!$O$3="",BD1627='Tasks Filter'!$O$3),OR('Tasks Filter'!$O$4="Yes",BG1627=0)),1,0))</f>
        <v/>
      </c>
      <c r="BJ1627">
        <f>IF(BH1627=0,"",IF('Tasks Filter'!$F$6="Descending",-1,1)*CHOOSE(MATCH('Tasks Filter'!$F$5,Lists!$G$2:$G$6,0),AW1627,BF1627,IFERROR(MATCH(AV1627,Setup!$F$6:$F$15,0),99),IFERROR(MATCH(BC1627,Setup!$H$6:$H$15,0),99),IFERROR(MATCH(AZ1627,Setup!$J$6:$J$11,0),99))*1E+9+(AW1627-40000)*10000+1626)</f>
        <v/>
      </c>
      <c r="BK1627">
        <f>IF(BI1627=1,BJ1627,"")</f>
        <v/>
      </c>
      <c r="BL1627">
        <f>IF(AND(BH1627=1,BG1627=0,N(AW1627)&lt;Setup!$D$7),(AW1627-40000)*10000+1626,"")</f>
        <v/>
      </c>
      <c r="BM1627">
        <f>IF(AND(BH1627=1,AZ1627&lt;&gt;"Cancelled",N(AW1627)&gt;=Dashboard!$AB$3,N(AW1627)&lt;=Dashboard!$AB$3+6),(AW1627-40000)*100000+BF1627*10000+1626,"")</f>
        <v/>
      </c>
      <c r="BN1627">
        <f>IF(AND(BH1627=1,AZ1627&lt;&gt;"Cancelled"),BF1627*10000+1626,"")</f>
        <v/>
      </c>
    </row>
    <row r="1628">
      <c r="AS1628" t="inlineStr">
        <is>
          <t>V</t>
        </is>
      </c>
      <c r="AT1628" t="n">
        <v>132</v>
      </c>
      <c r="AU1628">
        <f>'Variable Tasks'!C132&amp;""</f>
        <v/>
      </c>
      <c r="AV1628">
        <f>'Variable Tasks'!D132&amp;""</f>
        <v/>
      </c>
      <c r="AW1628">
        <f>IF('Variable Tasks'!E132="","",'Variable Tasks'!E132)</f>
        <v/>
      </c>
      <c r="AX1628">
        <f>IF('Variable Tasks'!G132="","",'Variable Tasks'!G132)</f>
        <v/>
      </c>
      <c r="AY1628">
        <f>IF('Variable Tasks'!H132="","",'Variable Tasks'!H132)</f>
        <v/>
      </c>
      <c r="AZ1628">
        <f>IF(AU1628="","",IF('Variable Tasks'!J132="","Not Started",'Variable Tasks'!J132))</f>
        <v/>
      </c>
      <c r="BA1628">
        <f>'Variable Tasks'!L132&amp;""</f>
        <v/>
      </c>
      <c r="BB1628">
        <f>'Variable Tasks'!M132&amp;""</f>
        <v/>
      </c>
      <c r="BC1628">
        <f>'Variable Tasks'!N132&amp;""</f>
        <v/>
      </c>
      <c r="BD1628">
        <f>'Variable Tasks'!O132&amp;""</f>
        <v/>
      </c>
      <c r="BE1628">
        <f>IF('Variable Tasks'!K132="","",'Variable Tasks'!K132)</f>
        <v/>
      </c>
      <c r="BF1628">
        <f>IFERROR(MATCH(BA1628,Setup!$L$6:$L$9,0),5)</f>
        <v/>
      </c>
      <c r="BG1628">
        <f>IF(OR(AZ1628="Done",AZ1628="Cancelled"),1,0)</f>
        <v/>
      </c>
      <c r="BH1628">
        <f>IF(AND(AU1628&lt;&gt;"",ISNUMBER(AW1628)),1,0)</f>
        <v/>
      </c>
      <c r="BI1628">
        <f>IF(BH1628=0,0,IF(AND(AW1628&gt;='Tasks Filter'!$F$3,AW1628&lt;='Tasks Filter'!$F$4,OR('Tasks Filter'!$I$3="",ISNUMBER(SEARCH('Tasks Filter'!$I$3,AU1628))),OR('Tasks Filter'!$I$4="",BF1628=IFERROR(MATCH('Tasks Filter'!$I$4,Setup!$L$6:$L$9,0),0)),OR('Tasks Filter'!$I$5="Both",AND('Tasks Filter'!$I$5="Yes",BB1628="✓"),AND('Tasks Filter'!$I$5="No",BB1628&lt;&gt;"✓")),OR('Tasks Filter'!$L$3="",AV1628='Tasks Filter'!$L$3),OR('Tasks Filter'!$L$4="",AZ1628='Tasks Filter'!$L$4),OR('Tasks Filter'!$L$5="",BC1628='Tasks Filter'!$L$5),OR('Tasks Filter'!$O$3="",BD1628='Tasks Filter'!$O$3),OR('Tasks Filter'!$O$4="Yes",BG1628=0)),1,0))</f>
        <v/>
      </c>
      <c r="BJ1628">
        <f>IF(BH1628=0,"",IF('Tasks Filter'!$F$6="Descending",-1,1)*CHOOSE(MATCH('Tasks Filter'!$F$5,Lists!$G$2:$G$6,0),AW1628,BF1628,IFERROR(MATCH(AV1628,Setup!$F$6:$F$15,0),99),IFERROR(MATCH(BC1628,Setup!$H$6:$H$15,0),99),IFERROR(MATCH(AZ1628,Setup!$J$6:$J$11,0),99))*1E+9+(AW1628-40000)*10000+1627)</f>
        <v/>
      </c>
      <c r="BK1628">
        <f>IF(BI1628=1,BJ1628,"")</f>
        <v/>
      </c>
      <c r="BL1628">
        <f>IF(AND(BH1628=1,BG1628=0,N(AW1628)&lt;Setup!$D$7),(AW1628-40000)*10000+1627,"")</f>
        <v/>
      </c>
      <c r="BM1628">
        <f>IF(AND(BH1628=1,AZ1628&lt;&gt;"Cancelled",N(AW1628)&gt;=Dashboard!$AB$3,N(AW1628)&lt;=Dashboard!$AB$3+6),(AW1628-40000)*100000+BF1628*10000+1627,"")</f>
        <v/>
      </c>
      <c r="BN1628">
        <f>IF(AND(BH1628=1,AZ1628&lt;&gt;"Cancelled"),BF1628*10000+1627,"")</f>
        <v/>
      </c>
    </row>
    <row r="1629">
      <c r="AS1629" t="inlineStr">
        <is>
          <t>V</t>
        </is>
      </c>
      <c r="AT1629" t="n">
        <v>133</v>
      </c>
      <c r="AU1629">
        <f>'Variable Tasks'!C133&amp;""</f>
        <v/>
      </c>
      <c r="AV1629">
        <f>'Variable Tasks'!D133&amp;""</f>
        <v/>
      </c>
      <c r="AW1629">
        <f>IF('Variable Tasks'!E133="","",'Variable Tasks'!E133)</f>
        <v/>
      </c>
      <c r="AX1629">
        <f>IF('Variable Tasks'!G133="","",'Variable Tasks'!G133)</f>
        <v/>
      </c>
      <c r="AY1629">
        <f>IF('Variable Tasks'!H133="","",'Variable Tasks'!H133)</f>
        <v/>
      </c>
      <c r="AZ1629">
        <f>IF(AU1629="","",IF('Variable Tasks'!J133="","Not Started",'Variable Tasks'!J133))</f>
        <v/>
      </c>
      <c r="BA1629">
        <f>'Variable Tasks'!L133&amp;""</f>
        <v/>
      </c>
      <c r="BB1629">
        <f>'Variable Tasks'!M133&amp;""</f>
        <v/>
      </c>
      <c r="BC1629">
        <f>'Variable Tasks'!N133&amp;""</f>
        <v/>
      </c>
      <c r="BD1629">
        <f>'Variable Tasks'!O133&amp;""</f>
        <v/>
      </c>
      <c r="BE1629">
        <f>IF('Variable Tasks'!K133="","",'Variable Tasks'!K133)</f>
        <v/>
      </c>
      <c r="BF1629">
        <f>IFERROR(MATCH(BA1629,Setup!$L$6:$L$9,0),5)</f>
        <v/>
      </c>
      <c r="BG1629">
        <f>IF(OR(AZ1629="Done",AZ1629="Cancelled"),1,0)</f>
        <v/>
      </c>
      <c r="BH1629">
        <f>IF(AND(AU1629&lt;&gt;"",ISNUMBER(AW1629)),1,0)</f>
        <v/>
      </c>
      <c r="BI1629">
        <f>IF(BH1629=0,0,IF(AND(AW1629&gt;='Tasks Filter'!$F$3,AW1629&lt;='Tasks Filter'!$F$4,OR('Tasks Filter'!$I$3="",ISNUMBER(SEARCH('Tasks Filter'!$I$3,AU1629))),OR('Tasks Filter'!$I$4="",BF1629=IFERROR(MATCH('Tasks Filter'!$I$4,Setup!$L$6:$L$9,0),0)),OR('Tasks Filter'!$I$5="Both",AND('Tasks Filter'!$I$5="Yes",BB1629="✓"),AND('Tasks Filter'!$I$5="No",BB1629&lt;&gt;"✓")),OR('Tasks Filter'!$L$3="",AV1629='Tasks Filter'!$L$3),OR('Tasks Filter'!$L$4="",AZ1629='Tasks Filter'!$L$4),OR('Tasks Filter'!$L$5="",BC1629='Tasks Filter'!$L$5),OR('Tasks Filter'!$O$3="",BD1629='Tasks Filter'!$O$3),OR('Tasks Filter'!$O$4="Yes",BG1629=0)),1,0))</f>
        <v/>
      </c>
      <c r="BJ1629">
        <f>IF(BH1629=0,"",IF('Tasks Filter'!$F$6="Descending",-1,1)*CHOOSE(MATCH('Tasks Filter'!$F$5,Lists!$G$2:$G$6,0),AW1629,BF1629,IFERROR(MATCH(AV1629,Setup!$F$6:$F$15,0),99),IFERROR(MATCH(BC1629,Setup!$H$6:$H$15,0),99),IFERROR(MATCH(AZ1629,Setup!$J$6:$J$11,0),99))*1E+9+(AW1629-40000)*10000+1628)</f>
        <v/>
      </c>
      <c r="BK1629">
        <f>IF(BI1629=1,BJ1629,"")</f>
        <v/>
      </c>
      <c r="BL1629">
        <f>IF(AND(BH1629=1,BG1629=0,N(AW1629)&lt;Setup!$D$7),(AW1629-40000)*10000+1628,"")</f>
        <v/>
      </c>
      <c r="BM1629">
        <f>IF(AND(BH1629=1,AZ1629&lt;&gt;"Cancelled",N(AW1629)&gt;=Dashboard!$AB$3,N(AW1629)&lt;=Dashboard!$AB$3+6),(AW1629-40000)*100000+BF1629*10000+1628,"")</f>
        <v/>
      </c>
      <c r="BN1629">
        <f>IF(AND(BH1629=1,AZ1629&lt;&gt;"Cancelled"),BF1629*10000+1628,"")</f>
        <v/>
      </c>
    </row>
    <row r="1630">
      <c r="AS1630" t="inlineStr">
        <is>
          <t>V</t>
        </is>
      </c>
      <c r="AT1630" t="n">
        <v>134</v>
      </c>
      <c r="AU1630">
        <f>'Variable Tasks'!C134&amp;""</f>
        <v/>
      </c>
      <c r="AV1630">
        <f>'Variable Tasks'!D134&amp;""</f>
        <v/>
      </c>
      <c r="AW1630">
        <f>IF('Variable Tasks'!E134="","",'Variable Tasks'!E134)</f>
        <v/>
      </c>
      <c r="AX1630">
        <f>IF('Variable Tasks'!G134="","",'Variable Tasks'!G134)</f>
        <v/>
      </c>
      <c r="AY1630">
        <f>IF('Variable Tasks'!H134="","",'Variable Tasks'!H134)</f>
        <v/>
      </c>
      <c r="AZ1630">
        <f>IF(AU1630="","",IF('Variable Tasks'!J134="","Not Started",'Variable Tasks'!J134))</f>
        <v/>
      </c>
      <c r="BA1630">
        <f>'Variable Tasks'!L134&amp;""</f>
        <v/>
      </c>
      <c r="BB1630">
        <f>'Variable Tasks'!M134&amp;""</f>
        <v/>
      </c>
      <c r="BC1630">
        <f>'Variable Tasks'!N134&amp;""</f>
        <v/>
      </c>
      <c r="BD1630">
        <f>'Variable Tasks'!O134&amp;""</f>
        <v/>
      </c>
      <c r="BE1630">
        <f>IF('Variable Tasks'!K134="","",'Variable Tasks'!K134)</f>
        <v/>
      </c>
      <c r="BF1630">
        <f>IFERROR(MATCH(BA1630,Setup!$L$6:$L$9,0),5)</f>
        <v/>
      </c>
      <c r="BG1630">
        <f>IF(OR(AZ1630="Done",AZ1630="Cancelled"),1,0)</f>
        <v/>
      </c>
      <c r="BH1630">
        <f>IF(AND(AU1630&lt;&gt;"",ISNUMBER(AW1630)),1,0)</f>
        <v/>
      </c>
      <c r="BI1630">
        <f>IF(BH1630=0,0,IF(AND(AW1630&gt;='Tasks Filter'!$F$3,AW1630&lt;='Tasks Filter'!$F$4,OR('Tasks Filter'!$I$3="",ISNUMBER(SEARCH('Tasks Filter'!$I$3,AU1630))),OR('Tasks Filter'!$I$4="",BF1630=IFERROR(MATCH('Tasks Filter'!$I$4,Setup!$L$6:$L$9,0),0)),OR('Tasks Filter'!$I$5="Both",AND('Tasks Filter'!$I$5="Yes",BB1630="✓"),AND('Tasks Filter'!$I$5="No",BB1630&lt;&gt;"✓")),OR('Tasks Filter'!$L$3="",AV1630='Tasks Filter'!$L$3),OR('Tasks Filter'!$L$4="",AZ1630='Tasks Filter'!$L$4),OR('Tasks Filter'!$L$5="",BC1630='Tasks Filter'!$L$5),OR('Tasks Filter'!$O$3="",BD1630='Tasks Filter'!$O$3),OR('Tasks Filter'!$O$4="Yes",BG1630=0)),1,0))</f>
        <v/>
      </c>
      <c r="BJ1630">
        <f>IF(BH1630=0,"",IF('Tasks Filter'!$F$6="Descending",-1,1)*CHOOSE(MATCH('Tasks Filter'!$F$5,Lists!$G$2:$G$6,0),AW1630,BF1630,IFERROR(MATCH(AV1630,Setup!$F$6:$F$15,0),99),IFERROR(MATCH(BC1630,Setup!$H$6:$H$15,0),99),IFERROR(MATCH(AZ1630,Setup!$J$6:$J$11,0),99))*1E+9+(AW1630-40000)*10000+1629)</f>
        <v/>
      </c>
      <c r="BK1630">
        <f>IF(BI1630=1,BJ1630,"")</f>
        <v/>
      </c>
      <c r="BL1630">
        <f>IF(AND(BH1630=1,BG1630=0,N(AW1630)&lt;Setup!$D$7),(AW1630-40000)*10000+1629,"")</f>
        <v/>
      </c>
      <c r="BM1630">
        <f>IF(AND(BH1630=1,AZ1630&lt;&gt;"Cancelled",N(AW1630)&gt;=Dashboard!$AB$3,N(AW1630)&lt;=Dashboard!$AB$3+6),(AW1630-40000)*100000+BF1630*10000+1629,"")</f>
        <v/>
      </c>
      <c r="BN1630">
        <f>IF(AND(BH1630=1,AZ1630&lt;&gt;"Cancelled"),BF1630*10000+1629,"")</f>
        <v/>
      </c>
    </row>
    <row r="1631">
      <c r="AS1631" t="inlineStr">
        <is>
          <t>V</t>
        </is>
      </c>
      <c r="AT1631" t="n">
        <v>135</v>
      </c>
      <c r="AU1631">
        <f>'Variable Tasks'!C135&amp;""</f>
        <v/>
      </c>
      <c r="AV1631">
        <f>'Variable Tasks'!D135&amp;""</f>
        <v/>
      </c>
      <c r="AW1631">
        <f>IF('Variable Tasks'!E135="","",'Variable Tasks'!E135)</f>
        <v/>
      </c>
      <c r="AX1631">
        <f>IF('Variable Tasks'!G135="","",'Variable Tasks'!G135)</f>
        <v/>
      </c>
      <c r="AY1631">
        <f>IF('Variable Tasks'!H135="","",'Variable Tasks'!H135)</f>
        <v/>
      </c>
      <c r="AZ1631">
        <f>IF(AU1631="","",IF('Variable Tasks'!J135="","Not Started",'Variable Tasks'!J135))</f>
        <v/>
      </c>
      <c r="BA1631">
        <f>'Variable Tasks'!L135&amp;""</f>
        <v/>
      </c>
      <c r="BB1631">
        <f>'Variable Tasks'!M135&amp;""</f>
        <v/>
      </c>
      <c r="BC1631">
        <f>'Variable Tasks'!N135&amp;""</f>
        <v/>
      </c>
      <c r="BD1631">
        <f>'Variable Tasks'!O135&amp;""</f>
        <v/>
      </c>
      <c r="BE1631">
        <f>IF('Variable Tasks'!K135="","",'Variable Tasks'!K135)</f>
        <v/>
      </c>
      <c r="BF1631">
        <f>IFERROR(MATCH(BA1631,Setup!$L$6:$L$9,0),5)</f>
        <v/>
      </c>
      <c r="BG1631">
        <f>IF(OR(AZ1631="Done",AZ1631="Cancelled"),1,0)</f>
        <v/>
      </c>
      <c r="BH1631">
        <f>IF(AND(AU1631&lt;&gt;"",ISNUMBER(AW1631)),1,0)</f>
        <v/>
      </c>
      <c r="BI1631">
        <f>IF(BH1631=0,0,IF(AND(AW1631&gt;='Tasks Filter'!$F$3,AW1631&lt;='Tasks Filter'!$F$4,OR('Tasks Filter'!$I$3="",ISNUMBER(SEARCH('Tasks Filter'!$I$3,AU1631))),OR('Tasks Filter'!$I$4="",BF1631=IFERROR(MATCH('Tasks Filter'!$I$4,Setup!$L$6:$L$9,0),0)),OR('Tasks Filter'!$I$5="Both",AND('Tasks Filter'!$I$5="Yes",BB1631="✓"),AND('Tasks Filter'!$I$5="No",BB1631&lt;&gt;"✓")),OR('Tasks Filter'!$L$3="",AV1631='Tasks Filter'!$L$3),OR('Tasks Filter'!$L$4="",AZ1631='Tasks Filter'!$L$4),OR('Tasks Filter'!$L$5="",BC1631='Tasks Filter'!$L$5),OR('Tasks Filter'!$O$3="",BD1631='Tasks Filter'!$O$3),OR('Tasks Filter'!$O$4="Yes",BG1631=0)),1,0))</f>
        <v/>
      </c>
      <c r="BJ1631">
        <f>IF(BH1631=0,"",IF('Tasks Filter'!$F$6="Descending",-1,1)*CHOOSE(MATCH('Tasks Filter'!$F$5,Lists!$G$2:$G$6,0),AW1631,BF1631,IFERROR(MATCH(AV1631,Setup!$F$6:$F$15,0),99),IFERROR(MATCH(BC1631,Setup!$H$6:$H$15,0),99),IFERROR(MATCH(AZ1631,Setup!$J$6:$J$11,0),99))*1E+9+(AW1631-40000)*10000+1630)</f>
        <v/>
      </c>
      <c r="BK1631">
        <f>IF(BI1631=1,BJ1631,"")</f>
        <v/>
      </c>
      <c r="BL1631">
        <f>IF(AND(BH1631=1,BG1631=0,N(AW1631)&lt;Setup!$D$7),(AW1631-40000)*10000+1630,"")</f>
        <v/>
      </c>
      <c r="BM1631">
        <f>IF(AND(BH1631=1,AZ1631&lt;&gt;"Cancelled",N(AW1631)&gt;=Dashboard!$AB$3,N(AW1631)&lt;=Dashboard!$AB$3+6),(AW1631-40000)*100000+BF1631*10000+1630,"")</f>
        <v/>
      </c>
      <c r="BN1631">
        <f>IF(AND(BH1631=1,AZ1631&lt;&gt;"Cancelled"),BF1631*10000+1630,"")</f>
        <v/>
      </c>
    </row>
    <row r="1632">
      <c r="AS1632" t="inlineStr">
        <is>
          <t>V</t>
        </is>
      </c>
      <c r="AT1632" t="n">
        <v>136</v>
      </c>
      <c r="AU1632">
        <f>'Variable Tasks'!C136&amp;""</f>
        <v/>
      </c>
      <c r="AV1632">
        <f>'Variable Tasks'!D136&amp;""</f>
        <v/>
      </c>
      <c r="AW1632">
        <f>IF('Variable Tasks'!E136="","",'Variable Tasks'!E136)</f>
        <v/>
      </c>
      <c r="AX1632">
        <f>IF('Variable Tasks'!G136="","",'Variable Tasks'!G136)</f>
        <v/>
      </c>
      <c r="AY1632">
        <f>IF('Variable Tasks'!H136="","",'Variable Tasks'!H136)</f>
        <v/>
      </c>
      <c r="AZ1632">
        <f>IF(AU1632="","",IF('Variable Tasks'!J136="","Not Started",'Variable Tasks'!J136))</f>
        <v/>
      </c>
      <c r="BA1632">
        <f>'Variable Tasks'!L136&amp;""</f>
        <v/>
      </c>
      <c r="BB1632">
        <f>'Variable Tasks'!M136&amp;""</f>
        <v/>
      </c>
      <c r="BC1632">
        <f>'Variable Tasks'!N136&amp;""</f>
        <v/>
      </c>
      <c r="BD1632">
        <f>'Variable Tasks'!O136&amp;""</f>
        <v/>
      </c>
      <c r="BE1632">
        <f>IF('Variable Tasks'!K136="","",'Variable Tasks'!K136)</f>
        <v/>
      </c>
      <c r="BF1632">
        <f>IFERROR(MATCH(BA1632,Setup!$L$6:$L$9,0),5)</f>
        <v/>
      </c>
      <c r="BG1632">
        <f>IF(OR(AZ1632="Done",AZ1632="Cancelled"),1,0)</f>
        <v/>
      </c>
      <c r="BH1632">
        <f>IF(AND(AU1632&lt;&gt;"",ISNUMBER(AW1632)),1,0)</f>
        <v/>
      </c>
      <c r="BI1632">
        <f>IF(BH1632=0,0,IF(AND(AW1632&gt;='Tasks Filter'!$F$3,AW1632&lt;='Tasks Filter'!$F$4,OR('Tasks Filter'!$I$3="",ISNUMBER(SEARCH('Tasks Filter'!$I$3,AU1632))),OR('Tasks Filter'!$I$4="",BF1632=IFERROR(MATCH('Tasks Filter'!$I$4,Setup!$L$6:$L$9,0),0)),OR('Tasks Filter'!$I$5="Both",AND('Tasks Filter'!$I$5="Yes",BB1632="✓"),AND('Tasks Filter'!$I$5="No",BB1632&lt;&gt;"✓")),OR('Tasks Filter'!$L$3="",AV1632='Tasks Filter'!$L$3),OR('Tasks Filter'!$L$4="",AZ1632='Tasks Filter'!$L$4),OR('Tasks Filter'!$L$5="",BC1632='Tasks Filter'!$L$5),OR('Tasks Filter'!$O$3="",BD1632='Tasks Filter'!$O$3),OR('Tasks Filter'!$O$4="Yes",BG1632=0)),1,0))</f>
        <v/>
      </c>
      <c r="BJ1632">
        <f>IF(BH1632=0,"",IF('Tasks Filter'!$F$6="Descending",-1,1)*CHOOSE(MATCH('Tasks Filter'!$F$5,Lists!$G$2:$G$6,0),AW1632,BF1632,IFERROR(MATCH(AV1632,Setup!$F$6:$F$15,0),99),IFERROR(MATCH(BC1632,Setup!$H$6:$H$15,0),99),IFERROR(MATCH(AZ1632,Setup!$J$6:$J$11,0),99))*1E+9+(AW1632-40000)*10000+1631)</f>
        <v/>
      </c>
      <c r="BK1632">
        <f>IF(BI1632=1,BJ1632,"")</f>
        <v/>
      </c>
      <c r="BL1632">
        <f>IF(AND(BH1632=1,BG1632=0,N(AW1632)&lt;Setup!$D$7),(AW1632-40000)*10000+1631,"")</f>
        <v/>
      </c>
      <c r="BM1632">
        <f>IF(AND(BH1632=1,AZ1632&lt;&gt;"Cancelled",N(AW1632)&gt;=Dashboard!$AB$3,N(AW1632)&lt;=Dashboard!$AB$3+6),(AW1632-40000)*100000+BF1632*10000+1631,"")</f>
        <v/>
      </c>
      <c r="BN1632">
        <f>IF(AND(BH1632=1,AZ1632&lt;&gt;"Cancelled"),BF1632*10000+1631,"")</f>
        <v/>
      </c>
    </row>
    <row r="1633">
      <c r="AS1633" t="inlineStr">
        <is>
          <t>V</t>
        </is>
      </c>
      <c r="AT1633" t="n">
        <v>137</v>
      </c>
      <c r="AU1633">
        <f>'Variable Tasks'!C137&amp;""</f>
        <v/>
      </c>
      <c r="AV1633">
        <f>'Variable Tasks'!D137&amp;""</f>
        <v/>
      </c>
      <c r="AW1633">
        <f>IF('Variable Tasks'!E137="","",'Variable Tasks'!E137)</f>
        <v/>
      </c>
      <c r="AX1633">
        <f>IF('Variable Tasks'!G137="","",'Variable Tasks'!G137)</f>
        <v/>
      </c>
      <c r="AY1633">
        <f>IF('Variable Tasks'!H137="","",'Variable Tasks'!H137)</f>
        <v/>
      </c>
      <c r="AZ1633">
        <f>IF(AU1633="","",IF('Variable Tasks'!J137="","Not Started",'Variable Tasks'!J137))</f>
        <v/>
      </c>
      <c r="BA1633">
        <f>'Variable Tasks'!L137&amp;""</f>
        <v/>
      </c>
      <c r="BB1633">
        <f>'Variable Tasks'!M137&amp;""</f>
        <v/>
      </c>
      <c r="BC1633">
        <f>'Variable Tasks'!N137&amp;""</f>
        <v/>
      </c>
      <c r="BD1633">
        <f>'Variable Tasks'!O137&amp;""</f>
        <v/>
      </c>
      <c r="BE1633">
        <f>IF('Variable Tasks'!K137="","",'Variable Tasks'!K137)</f>
        <v/>
      </c>
      <c r="BF1633">
        <f>IFERROR(MATCH(BA1633,Setup!$L$6:$L$9,0),5)</f>
        <v/>
      </c>
      <c r="BG1633">
        <f>IF(OR(AZ1633="Done",AZ1633="Cancelled"),1,0)</f>
        <v/>
      </c>
      <c r="BH1633">
        <f>IF(AND(AU1633&lt;&gt;"",ISNUMBER(AW1633)),1,0)</f>
        <v/>
      </c>
      <c r="BI1633">
        <f>IF(BH1633=0,0,IF(AND(AW1633&gt;='Tasks Filter'!$F$3,AW1633&lt;='Tasks Filter'!$F$4,OR('Tasks Filter'!$I$3="",ISNUMBER(SEARCH('Tasks Filter'!$I$3,AU1633))),OR('Tasks Filter'!$I$4="",BF1633=IFERROR(MATCH('Tasks Filter'!$I$4,Setup!$L$6:$L$9,0),0)),OR('Tasks Filter'!$I$5="Both",AND('Tasks Filter'!$I$5="Yes",BB1633="✓"),AND('Tasks Filter'!$I$5="No",BB1633&lt;&gt;"✓")),OR('Tasks Filter'!$L$3="",AV1633='Tasks Filter'!$L$3),OR('Tasks Filter'!$L$4="",AZ1633='Tasks Filter'!$L$4),OR('Tasks Filter'!$L$5="",BC1633='Tasks Filter'!$L$5),OR('Tasks Filter'!$O$3="",BD1633='Tasks Filter'!$O$3),OR('Tasks Filter'!$O$4="Yes",BG1633=0)),1,0))</f>
        <v/>
      </c>
      <c r="BJ1633">
        <f>IF(BH1633=0,"",IF('Tasks Filter'!$F$6="Descending",-1,1)*CHOOSE(MATCH('Tasks Filter'!$F$5,Lists!$G$2:$G$6,0),AW1633,BF1633,IFERROR(MATCH(AV1633,Setup!$F$6:$F$15,0),99),IFERROR(MATCH(BC1633,Setup!$H$6:$H$15,0),99),IFERROR(MATCH(AZ1633,Setup!$J$6:$J$11,0),99))*1E+9+(AW1633-40000)*10000+1632)</f>
        <v/>
      </c>
      <c r="BK1633">
        <f>IF(BI1633=1,BJ1633,"")</f>
        <v/>
      </c>
      <c r="BL1633">
        <f>IF(AND(BH1633=1,BG1633=0,N(AW1633)&lt;Setup!$D$7),(AW1633-40000)*10000+1632,"")</f>
        <v/>
      </c>
      <c r="BM1633">
        <f>IF(AND(BH1633=1,AZ1633&lt;&gt;"Cancelled",N(AW1633)&gt;=Dashboard!$AB$3,N(AW1633)&lt;=Dashboard!$AB$3+6),(AW1633-40000)*100000+BF1633*10000+1632,"")</f>
        <v/>
      </c>
      <c r="BN1633">
        <f>IF(AND(BH1633=1,AZ1633&lt;&gt;"Cancelled"),BF1633*10000+1632,"")</f>
        <v/>
      </c>
    </row>
    <row r="1634">
      <c r="AS1634" t="inlineStr">
        <is>
          <t>V</t>
        </is>
      </c>
      <c r="AT1634" t="n">
        <v>138</v>
      </c>
      <c r="AU1634">
        <f>'Variable Tasks'!C138&amp;""</f>
        <v/>
      </c>
      <c r="AV1634">
        <f>'Variable Tasks'!D138&amp;""</f>
        <v/>
      </c>
      <c r="AW1634">
        <f>IF('Variable Tasks'!E138="","",'Variable Tasks'!E138)</f>
        <v/>
      </c>
      <c r="AX1634">
        <f>IF('Variable Tasks'!G138="","",'Variable Tasks'!G138)</f>
        <v/>
      </c>
      <c r="AY1634">
        <f>IF('Variable Tasks'!H138="","",'Variable Tasks'!H138)</f>
        <v/>
      </c>
      <c r="AZ1634">
        <f>IF(AU1634="","",IF('Variable Tasks'!J138="","Not Started",'Variable Tasks'!J138))</f>
        <v/>
      </c>
      <c r="BA1634">
        <f>'Variable Tasks'!L138&amp;""</f>
        <v/>
      </c>
      <c r="BB1634">
        <f>'Variable Tasks'!M138&amp;""</f>
        <v/>
      </c>
      <c r="BC1634">
        <f>'Variable Tasks'!N138&amp;""</f>
        <v/>
      </c>
      <c r="BD1634">
        <f>'Variable Tasks'!O138&amp;""</f>
        <v/>
      </c>
      <c r="BE1634">
        <f>IF('Variable Tasks'!K138="","",'Variable Tasks'!K138)</f>
        <v/>
      </c>
      <c r="BF1634">
        <f>IFERROR(MATCH(BA1634,Setup!$L$6:$L$9,0),5)</f>
        <v/>
      </c>
      <c r="BG1634">
        <f>IF(OR(AZ1634="Done",AZ1634="Cancelled"),1,0)</f>
        <v/>
      </c>
      <c r="BH1634">
        <f>IF(AND(AU1634&lt;&gt;"",ISNUMBER(AW1634)),1,0)</f>
        <v/>
      </c>
      <c r="BI1634">
        <f>IF(BH1634=0,0,IF(AND(AW1634&gt;='Tasks Filter'!$F$3,AW1634&lt;='Tasks Filter'!$F$4,OR('Tasks Filter'!$I$3="",ISNUMBER(SEARCH('Tasks Filter'!$I$3,AU1634))),OR('Tasks Filter'!$I$4="",BF1634=IFERROR(MATCH('Tasks Filter'!$I$4,Setup!$L$6:$L$9,0),0)),OR('Tasks Filter'!$I$5="Both",AND('Tasks Filter'!$I$5="Yes",BB1634="✓"),AND('Tasks Filter'!$I$5="No",BB1634&lt;&gt;"✓")),OR('Tasks Filter'!$L$3="",AV1634='Tasks Filter'!$L$3),OR('Tasks Filter'!$L$4="",AZ1634='Tasks Filter'!$L$4),OR('Tasks Filter'!$L$5="",BC1634='Tasks Filter'!$L$5),OR('Tasks Filter'!$O$3="",BD1634='Tasks Filter'!$O$3),OR('Tasks Filter'!$O$4="Yes",BG1634=0)),1,0))</f>
        <v/>
      </c>
      <c r="BJ1634">
        <f>IF(BH1634=0,"",IF('Tasks Filter'!$F$6="Descending",-1,1)*CHOOSE(MATCH('Tasks Filter'!$F$5,Lists!$G$2:$G$6,0),AW1634,BF1634,IFERROR(MATCH(AV1634,Setup!$F$6:$F$15,0),99),IFERROR(MATCH(BC1634,Setup!$H$6:$H$15,0),99),IFERROR(MATCH(AZ1634,Setup!$J$6:$J$11,0),99))*1E+9+(AW1634-40000)*10000+1633)</f>
        <v/>
      </c>
      <c r="BK1634">
        <f>IF(BI1634=1,BJ1634,"")</f>
        <v/>
      </c>
      <c r="BL1634">
        <f>IF(AND(BH1634=1,BG1634=0,N(AW1634)&lt;Setup!$D$7),(AW1634-40000)*10000+1633,"")</f>
        <v/>
      </c>
      <c r="BM1634">
        <f>IF(AND(BH1634=1,AZ1634&lt;&gt;"Cancelled",N(AW1634)&gt;=Dashboard!$AB$3,N(AW1634)&lt;=Dashboard!$AB$3+6),(AW1634-40000)*100000+BF1634*10000+1633,"")</f>
        <v/>
      </c>
      <c r="BN1634">
        <f>IF(AND(BH1634=1,AZ1634&lt;&gt;"Cancelled"),BF1634*10000+1633,"")</f>
        <v/>
      </c>
    </row>
    <row r="1635">
      <c r="AS1635" t="inlineStr">
        <is>
          <t>V</t>
        </is>
      </c>
      <c r="AT1635" t="n">
        <v>139</v>
      </c>
      <c r="AU1635">
        <f>'Variable Tasks'!C139&amp;""</f>
        <v/>
      </c>
      <c r="AV1635">
        <f>'Variable Tasks'!D139&amp;""</f>
        <v/>
      </c>
      <c r="AW1635">
        <f>IF('Variable Tasks'!E139="","",'Variable Tasks'!E139)</f>
        <v/>
      </c>
      <c r="AX1635">
        <f>IF('Variable Tasks'!G139="","",'Variable Tasks'!G139)</f>
        <v/>
      </c>
      <c r="AY1635">
        <f>IF('Variable Tasks'!H139="","",'Variable Tasks'!H139)</f>
        <v/>
      </c>
      <c r="AZ1635">
        <f>IF(AU1635="","",IF('Variable Tasks'!J139="","Not Started",'Variable Tasks'!J139))</f>
        <v/>
      </c>
      <c r="BA1635">
        <f>'Variable Tasks'!L139&amp;""</f>
        <v/>
      </c>
      <c r="BB1635">
        <f>'Variable Tasks'!M139&amp;""</f>
        <v/>
      </c>
      <c r="BC1635">
        <f>'Variable Tasks'!N139&amp;""</f>
        <v/>
      </c>
      <c r="BD1635">
        <f>'Variable Tasks'!O139&amp;""</f>
        <v/>
      </c>
      <c r="BE1635">
        <f>IF('Variable Tasks'!K139="","",'Variable Tasks'!K139)</f>
        <v/>
      </c>
      <c r="BF1635">
        <f>IFERROR(MATCH(BA1635,Setup!$L$6:$L$9,0),5)</f>
        <v/>
      </c>
      <c r="BG1635">
        <f>IF(OR(AZ1635="Done",AZ1635="Cancelled"),1,0)</f>
        <v/>
      </c>
      <c r="BH1635">
        <f>IF(AND(AU1635&lt;&gt;"",ISNUMBER(AW1635)),1,0)</f>
        <v/>
      </c>
      <c r="BI1635">
        <f>IF(BH1635=0,0,IF(AND(AW1635&gt;='Tasks Filter'!$F$3,AW1635&lt;='Tasks Filter'!$F$4,OR('Tasks Filter'!$I$3="",ISNUMBER(SEARCH('Tasks Filter'!$I$3,AU1635))),OR('Tasks Filter'!$I$4="",BF1635=IFERROR(MATCH('Tasks Filter'!$I$4,Setup!$L$6:$L$9,0),0)),OR('Tasks Filter'!$I$5="Both",AND('Tasks Filter'!$I$5="Yes",BB1635="✓"),AND('Tasks Filter'!$I$5="No",BB1635&lt;&gt;"✓")),OR('Tasks Filter'!$L$3="",AV1635='Tasks Filter'!$L$3),OR('Tasks Filter'!$L$4="",AZ1635='Tasks Filter'!$L$4),OR('Tasks Filter'!$L$5="",BC1635='Tasks Filter'!$L$5),OR('Tasks Filter'!$O$3="",BD1635='Tasks Filter'!$O$3),OR('Tasks Filter'!$O$4="Yes",BG1635=0)),1,0))</f>
        <v/>
      </c>
      <c r="BJ1635">
        <f>IF(BH1635=0,"",IF('Tasks Filter'!$F$6="Descending",-1,1)*CHOOSE(MATCH('Tasks Filter'!$F$5,Lists!$G$2:$G$6,0),AW1635,BF1635,IFERROR(MATCH(AV1635,Setup!$F$6:$F$15,0),99),IFERROR(MATCH(BC1635,Setup!$H$6:$H$15,0),99),IFERROR(MATCH(AZ1635,Setup!$J$6:$J$11,0),99))*1E+9+(AW1635-40000)*10000+1634)</f>
        <v/>
      </c>
      <c r="BK1635">
        <f>IF(BI1635=1,BJ1635,"")</f>
        <v/>
      </c>
      <c r="BL1635">
        <f>IF(AND(BH1635=1,BG1635=0,N(AW1635)&lt;Setup!$D$7),(AW1635-40000)*10000+1634,"")</f>
        <v/>
      </c>
      <c r="BM1635">
        <f>IF(AND(BH1635=1,AZ1635&lt;&gt;"Cancelled",N(AW1635)&gt;=Dashboard!$AB$3,N(AW1635)&lt;=Dashboard!$AB$3+6),(AW1635-40000)*100000+BF1635*10000+1634,"")</f>
        <v/>
      </c>
      <c r="BN1635">
        <f>IF(AND(BH1635=1,AZ1635&lt;&gt;"Cancelled"),BF1635*10000+1634,"")</f>
        <v/>
      </c>
    </row>
    <row r="1636">
      <c r="AS1636" t="inlineStr">
        <is>
          <t>V</t>
        </is>
      </c>
      <c r="AT1636" t="n">
        <v>140</v>
      </c>
      <c r="AU1636">
        <f>'Variable Tasks'!C140&amp;""</f>
        <v/>
      </c>
      <c r="AV1636">
        <f>'Variable Tasks'!D140&amp;""</f>
        <v/>
      </c>
      <c r="AW1636">
        <f>IF('Variable Tasks'!E140="","",'Variable Tasks'!E140)</f>
        <v/>
      </c>
      <c r="AX1636">
        <f>IF('Variable Tasks'!G140="","",'Variable Tasks'!G140)</f>
        <v/>
      </c>
      <c r="AY1636">
        <f>IF('Variable Tasks'!H140="","",'Variable Tasks'!H140)</f>
        <v/>
      </c>
      <c r="AZ1636">
        <f>IF(AU1636="","",IF('Variable Tasks'!J140="","Not Started",'Variable Tasks'!J140))</f>
        <v/>
      </c>
      <c r="BA1636">
        <f>'Variable Tasks'!L140&amp;""</f>
        <v/>
      </c>
      <c r="BB1636">
        <f>'Variable Tasks'!M140&amp;""</f>
        <v/>
      </c>
      <c r="BC1636">
        <f>'Variable Tasks'!N140&amp;""</f>
        <v/>
      </c>
      <c r="BD1636">
        <f>'Variable Tasks'!O140&amp;""</f>
        <v/>
      </c>
      <c r="BE1636">
        <f>IF('Variable Tasks'!K140="","",'Variable Tasks'!K140)</f>
        <v/>
      </c>
      <c r="BF1636">
        <f>IFERROR(MATCH(BA1636,Setup!$L$6:$L$9,0),5)</f>
        <v/>
      </c>
      <c r="BG1636">
        <f>IF(OR(AZ1636="Done",AZ1636="Cancelled"),1,0)</f>
        <v/>
      </c>
      <c r="BH1636">
        <f>IF(AND(AU1636&lt;&gt;"",ISNUMBER(AW1636)),1,0)</f>
        <v/>
      </c>
      <c r="BI1636">
        <f>IF(BH1636=0,0,IF(AND(AW1636&gt;='Tasks Filter'!$F$3,AW1636&lt;='Tasks Filter'!$F$4,OR('Tasks Filter'!$I$3="",ISNUMBER(SEARCH('Tasks Filter'!$I$3,AU1636))),OR('Tasks Filter'!$I$4="",BF1636=IFERROR(MATCH('Tasks Filter'!$I$4,Setup!$L$6:$L$9,0),0)),OR('Tasks Filter'!$I$5="Both",AND('Tasks Filter'!$I$5="Yes",BB1636="✓"),AND('Tasks Filter'!$I$5="No",BB1636&lt;&gt;"✓")),OR('Tasks Filter'!$L$3="",AV1636='Tasks Filter'!$L$3),OR('Tasks Filter'!$L$4="",AZ1636='Tasks Filter'!$L$4),OR('Tasks Filter'!$L$5="",BC1636='Tasks Filter'!$L$5),OR('Tasks Filter'!$O$3="",BD1636='Tasks Filter'!$O$3),OR('Tasks Filter'!$O$4="Yes",BG1636=0)),1,0))</f>
        <v/>
      </c>
      <c r="BJ1636">
        <f>IF(BH1636=0,"",IF('Tasks Filter'!$F$6="Descending",-1,1)*CHOOSE(MATCH('Tasks Filter'!$F$5,Lists!$G$2:$G$6,0),AW1636,BF1636,IFERROR(MATCH(AV1636,Setup!$F$6:$F$15,0),99),IFERROR(MATCH(BC1636,Setup!$H$6:$H$15,0),99),IFERROR(MATCH(AZ1636,Setup!$J$6:$J$11,0),99))*1E+9+(AW1636-40000)*10000+1635)</f>
        <v/>
      </c>
      <c r="BK1636">
        <f>IF(BI1636=1,BJ1636,"")</f>
        <v/>
      </c>
      <c r="BL1636">
        <f>IF(AND(BH1636=1,BG1636=0,N(AW1636)&lt;Setup!$D$7),(AW1636-40000)*10000+1635,"")</f>
        <v/>
      </c>
      <c r="BM1636">
        <f>IF(AND(BH1636=1,AZ1636&lt;&gt;"Cancelled",N(AW1636)&gt;=Dashboard!$AB$3,N(AW1636)&lt;=Dashboard!$AB$3+6),(AW1636-40000)*100000+BF1636*10000+1635,"")</f>
        <v/>
      </c>
      <c r="BN1636">
        <f>IF(AND(BH1636=1,AZ1636&lt;&gt;"Cancelled"),BF1636*10000+1635,"")</f>
        <v/>
      </c>
    </row>
    <row r="1637">
      <c r="AS1637" t="inlineStr">
        <is>
          <t>V</t>
        </is>
      </c>
      <c r="AT1637" t="n">
        <v>141</v>
      </c>
      <c r="AU1637">
        <f>'Variable Tasks'!C141&amp;""</f>
        <v/>
      </c>
      <c r="AV1637">
        <f>'Variable Tasks'!D141&amp;""</f>
        <v/>
      </c>
      <c r="AW1637">
        <f>IF('Variable Tasks'!E141="","",'Variable Tasks'!E141)</f>
        <v/>
      </c>
      <c r="AX1637">
        <f>IF('Variable Tasks'!G141="","",'Variable Tasks'!G141)</f>
        <v/>
      </c>
      <c r="AY1637">
        <f>IF('Variable Tasks'!H141="","",'Variable Tasks'!H141)</f>
        <v/>
      </c>
      <c r="AZ1637">
        <f>IF(AU1637="","",IF('Variable Tasks'!J141="","Not Started",'Variable Tasks'!J141))</f>
        <v/>
      </c>
      <c r="BA1637">
        <f>'Variable Tasks'!L141&amp;""</f>
        <v/>
      </c>
      <c r="BB1637">
        <f>'Variable Tasks'!M141&amp;""</f>
        <v/>
      </c>
      <c r="BC1637">
        <f>'Variable Tasks'!N141&amp;""</f>
        <v/>
      </c>
      <c r="BD1637">
        <f>'Variable Tasks'!O141&amp;""</f>
        <v/>
      </c>
      <c r="BE1637">
        <f>IF('Variable Tasks'!K141="","",'Variable Tasks'!K141)</f>
        <v/>
      </c>
      <c r="BF1637">
        <f>IFERROR(MATCH(BA1637,Setup!$L$6:$L$9,0),5)</f>
        <v/>
      </c>
      <c r="BG1637">
        <f>IF(OR(AZ1637="Done",AZ1637="Cancelled"),1,0)</f>
        <v/>
      </c>
      <c r="BH1637">
        <f>IF(AND(AU1637&lt;&gt;"",ISNUMBER(AW1637)),1,0)</f>
        <v/>
      </c>
      <c r="BI1637">
        <f>IF(BH1637=0,0,IF(AND(AW1637&gt;='Tasks Filter'!$F$3,AW1637&lt;='Tasks Filter'!$F$4,OR('Tasks Filter'!$I$3="",ISNUMBER(SEARCH('Tasks Filter'!$I$3,AU1637))),OR('Tasks Filter'!$I$4="",BF1637=IFERROR(MATCH('Tasks Filter'!$I$4,Setup!$L$6:$L$9,0),0)),OR('Tasks Filter'!$I$5="Both",AND('Tasks Filter'!$I$5="Yes",BB1637="✓"),AND('Tasks Filter'!$I$5="No",BB1637&lt;&gt;"✓")),OR('Tasks Filter'!$L$3="",AV1637='Tasks Filter'!$L$3),OR('Tasks Filter'!$L$4="",AZ1637='Tasks Filter'!$L$4),OR('Tasks Filter'!$L$5="",BC1637='Tasks Filter'!$L$5),OR('Tasks Filter'!$O$3="",BD1637='Tasks Filter'!$O$3),OR('Tasks Filter'!$O$4="Yes",BG1637=0)),1,0))</f>
        <v/>
      </c>
      <c r="BJ1637">
        <f>IF(BH1637=0,"",IF('Tasks Filter'!$F$6="Descending",-1,1)*CHOOSE(MATCH('Tasks Filter'!$F$5,Lists!$G$2:$G$6,0),AW1637,BF1637,IFERROR(MATCH(AV1637,Setup!$F$6:$F$15,0),99),IFERROR(MATCH(BC1637,Setup!$H$6:$H$15,0),99),IFERROR(MATCH(AZ1637,Setup!$J$6:$J$11,0),99))*1E+9+(AW1637-40000)*10000+1636)</f>
        <v/>
      </c>
      <c r="BK1637">
        <f>IF(BI1637=1,BJ1637,"")</f>
        <v/>
      </c>
      <c r="BL1637">
        <f>IF(AND(BH1637=1,BG1637=0,N(AW1637)&lt;Setup!$D$7),(AW1637-40000)*10000+1636,"")</f>
        <v/>
      </c>
      <c r="BM1637">
        <f>IF(AND(BH1637=1,AZ1637&lt;&gt;"Cancelled",N(AW1637)&gt;=Dashboard!$AB$3,N(AW1637)&lt;=Dashboard!$AB$3+6),(AW1637-40000)*100000+BF1637*10000+1636,"")</f>
        <v/>
      </c>
      <c r="BN1637">
        <f>IF(AND(BH1637=1,AZ1637&lt;&gt;"Cancelled"),BF1637*10000+1636,"")</f>
        <v/>
      </c>
    </row>
    <row r="1638">
      <c r="AS1638" t="inlineStr">
        <is>
          <t>V</t>
        </is>
      </c>
      <c r="AT1638" t="n">
        <v>142</v>
      </c>
      <c r="AU1638">
        <f>'Variable Tasks'!C142&amp;""</f>
        <v/>
      </c>
      <c r="AV1638">
        <f>'Variable Tasks'!D142&amp;""</f>
        <v/>
      </c>
      <c r="AW1638">
        <f>IF('Variable Tasks'!E142="","",'Variable Tasks'!E142)</f>
        <v/>
      </c>
      <c r="AX1638">
        <f>IF('Variable Tasks'!G142="","",'Variable Tasks'!G142)</f>
        <v/>
      </c>
      <c r="AY1638">
        <f>IF('Variable Tasks'!H142="","",'Variable Tasks'!H142)</f>
        <v/>
      </c>
      <c r="AZ1638">
        <f>IF(AU1638="","",IF('Variable Tasks'!J142="","Not Started",'Variable Tasks'!J142))</f>
        <v/>
      </c>
      <c r="BA1638">
        <f>'Variable Tasks'!L142&amp;""</f>
        <v/>
      </c>
      <c r="BB1638">
        <f>'Variable Tasks'!M142&amp;""</f>
        <v/>
      </c>
      <c r="BC1638">
        <f>'Variable Tasks'!N142&amp;""</f>
        <v/>
      </c>
      <c r="BD1638">
        <f>'Variable Tasks'!O142&amp;""</f>
        <v/>
      </c>
      <c r="BE1638">
        <f>IF('Variable Tasks'!K142="","",'Variable Tasks'!K142)</f>
        <v/>
      </c>
      <c r="BF1638">
        <f>IFERROR(MATCH(BA1638,Setup!$L$6:$L$9,0),5)</f>
        <v/>
      </c>
      <c r="BG1638">
        <f>IF(OR(AZ1638="Done",AZ1638="Cancelled"),1,0)</f>
        <v/>
      </c>
      <c r="BH1638">
        <f>IF(AND(AU1638&lt;&gt;"",ISNUMBER(AW1638)),1,0)</f>
        <v/>
      </c>
      <c r="BI1638">
        <f>IF(BH1638=0,0,IF(AND(AW1638&gt;='Tasks Filter'!$F$3,AW1638&lt;='Tasks Filter'!$F$4,OR('Tasks Filter'!$I$3="",ISNUMBER(SEARCH('Tasks Filter'!$I$3,AU1638))),OR('Tasks Filter'!$I$4="",BF1638=IFERROR(MATCH('Tasks Filter'!$I$4,Setup!$L$6:$L$9,0),0)),OR('Tasks Filter'!$I$5="Both",AND('Tasks Filter'!$I$5="Yes",BB1638="✓"),AND('Tasks Filter'!$I$5="No",BB1638&lt;&gt;"✓")),OR('Tasks Filter'!$L$3="",AV1638='Tasks Filter'!$L$3),OR('Tasks Filter'!$L$4="",AZ1638='Tasks Filter'!$L$4),OR('Tasks Filter'!$L$5="",BC1638='Tasks Filter'!$L$5),OR('Tasks Filter'!$O$3="",BD1638='Tasks Filter'!$O$3),OR('Tasks Filter'!$O$4="Yes",BG1638=0)),1,0))</f>
        <v/>
      </c>
      <c r="BJ1638">
        <f>IF(BH1638=0,"",IF('Tasks Filter'!$F$6="Descending",-1,1)*CHOOSE(MATCH('Tasks Filter'!$F$5,Lists!$G$2:$G$6,0),AW1638,BF1638,IFERROR(MATCH(AV1638,Setup!$F$6:$F$15,0),99),IFERROR(MATCH(BC1638,Setup!$H$6:$H$15,0),99),IFERROR(MATCH(AZ1638,Setup!$J$6:$J$11,0),99))*1E+9+(AW1638-40000)*10000+1637)</f>
        <v/>
      </c>
      <c r="BK1638">
        <f>IF(BI1638=1,BJ1638,"")</f>
        <v/>
      </c>
      <c r="BL1638">
        <f>IF(AND(BH1638=1,BG1638=0,N(AW1638)&lt;Setup!$D$7),(AW1638-40000)*10000+1637,"")</f>
        <v/>
      </c>
      <c r="BM1638">
        <f>IF(AND(BH1638=1,AZ1638&lt;&gt;"Cancelled",N(AW1638)&gt;=Dashboard!$AB$3,N(AW1638)&lt;=Dashboard!$AB$3+6),(AW1638-40000)*100000+BF1638*10000+1637,"")</f>
        <v/>
      </c>
      <c r="BN1638">
        <f>IF(AND(BH1638=1,AZ1638&lt;&gt;"Cancelled"),BF1638*10000+1637,"")</f>
        <v/>
      </c>
    </row>
    <row r="1639">
      <c r="AS1639" t="inlineStr">
        <is>
          <t>V</t>
        </is>
      </c>
      <c r="AT1639" t="n">
        <v>143</v>
      </c>
      <c r="AU1639">
        <f>'Variable Tasks'!C143&amp;""</f>
        <v/>
      </c>
      <c r="AV1639">
        <f>'Variable Tasks'!D143&amp;""</f>
        <v/>
      </c>
      <c r="AW1639">
        <f>IF('Variable Tasks'!E143="","",'Variable Tasks'!E143)</f>
        <v/>
      </c>
      <c r="AX1639">
        <f>IF('Variable Tasks'!G143="","",'Variable Tasks'!G143)</f>
        <v/>
      </c>
      <c r="AY1639">
        <f>IF('Variable Tasks'!H143="","",'Variable Tasks'!H143)</f>
        <v/>
      </c>
      <c r="AZ1639">
        <f>IF(AU1639="","",IF('Variable Tasks'!J143="","Not Started",'Variable Tasks'!J143))</f>
        <v/>
      </c>
      <c r="BA1639">
        <f>'Variable Tasks'!L143&amp;""</f>
        <v/>
      </c>
      <c r="BB1639">
        <f>'Variable Tasks'!M143&amp;""</f>
        <v/>
      </c>
      <c r="BC1639">
        <f>'Variable Tasks'!N143&amp;""</f>
        <v/>
      </c>
      <c r="BD1639">
        <f>'Variable Tasks'!O143&amp;""</f>
        <v/>
      </c>
      <c r="BE1639">
        <f>IF('Variable Tasks'!K143="","",'Variable Tasks'!K143)</f>
        <v/>
      </c>
      <c r="BF1639">
        <f>IFERROR(MATCH(BA1639,Setup!$L$6:$L$9,0),5)</f>
        <v/>
      </c>
      <c r="BG1639">
        <f>IF(OR(AZ1639="Done",AZ1639="Cancelled"),1,0)</f>
        <v/>
      </c>
      <c r="BH1639">
        <f>IF(AND(AU1639&lt;&gt;"",ISNUMBER(AW1639)),1,0)</f>
        <v/>
      </c>
      <c r="BI1639">
        <f>IF(BH1639=0,0,IF(AND(AW1639&gt;='Tasks Filter'!$F$3,AW1639&lt;='Tasks Filter'!$F$4,OR('Tasks Filter'!$I$3="",ISNUMBER(SEARCH('Tasks Filter'!$I$3,AU1639))),OR('Tasks Filter'!$I$4="",BF1639=IFERROR(MATCH('Tasks Filter'!$I$4,Setup!$L$6:$L$9,0),0)),OR('Tasks Filter'!$I$5="Both",AND('Tasks Filter'!$I$5="Yes",BB1639="✓"),AND('Tasks Filter'!$I$5="No",BB1639&lt;&gt;"✓")),OR('Tasks Filter'!$L$3="",AV1639='Tasks Filter'!$L$3),OR('Tasks Filter'!$L$4="",AZ1639='Tasks Filter'!$L$4),OR('Tasks Filter'!$L$5="",BC1639='Tasks Filter'!$L$5),OR('Tasks Filter'!$O$3="",BD1639='Tasks Filter'!$O$3),OR('Tasks Filter'!$O$4="Yes",BG1639=0)),1,0))</f>
        <v/>
      </c>
      <c r="BJ1639">
        <f>IF(BH1639=0,"",IF('Tasks Filter'!$F$6="Descending",-1,1)*CHOOSE(MATCH('Tasks Filter'!$F$5,Lists!$G$2:$G$6,0),AW1639,BF1639,IFERROR(MATCH(AV1639,Setup!$F$6:$F$15,0),99),IFERROR(MATCH(BC1639,Setup!$H$6:$H$15,0),99),IFERROR(MATCH(AZ1639,Setup!$J$6:$J$11,0),99))*1E+9+(AW1639-40000)*10000+1638)</f>
        <v/>
      </c>
      <c r="BK1639">
        <f>IF(BI1639=1,BJ1639,"")</f>
        <v/>
      </c>
      <c r="BL1639">
        <f>IF(AND(BH1639=1,BG1639=0,N(AW1639)&lt;Setup!$D$7),(AW1639-40000)*10000+1638,"")</f>
        <v/>
      </c>
      <c r="BM1639">
        <f>IF(AND(BH1639=1,AZ1639&lt;&gt;"Cancelled",N(AW1639)&gt;=Dashboard!$AB$3,N(AW1639)&lt;=Dashboard!$AB$3+6),(AW1639-40000)*100000+BF1639*10000+1638,"")</f>
        <v/>
      </c>
      <c r="BN1639">
        <f>IF(AND(BH1639=1,AZ1639&lt;&gt;"Cancelled"),BF1639*10000+1638,"")</f>
        <v/>
      </c>
    </row>
    <row r="1640">
      <c r="AS1640" t="inlineStr">
        <is>
          <t>V</t>
        </is>
      </c>
      <c r="AT1640" t="n">
        <v>144</v>
      </c>
      <c r="AU1640">
        <f>'Variable Tasks'!C144&amp;""</f>
        <v/>
      </c>
      <c r="AV1640">
        <f>'Variable Tasks'!D144&amp;""</f>
        <v/>
      </c>
      <c r="AW1640">
        <f>IF('Variable Tasks'!E144="","",'Variable Tasks'!E144)</f>
        <v/>
      </c>
      <c r="AX1640">
        <f>IF('Variable Tasks'!G144="","",'Variable Tasks'!G144)</f>
        <v/>
      </c>
      <c r="AY1640">
        <f>IF('Variable Tasks'!H144="","",'Variable Tasks'!H144)</f>
        <v/>
      </c>
      <c r="AZ1640">
        <f>IF(AU1640="","",IF('Variable Tasks'!J144="","Not Started",'Variable Tasks'!J144))</f>
        <v/>
      </c>
      <c r="BA1640">
        <f>'Variable Tasks'!L144&amp;""</f>
        <v/>
      </c>
      <c r="BB1640">
        <f>'Variable Tasks'!M144&amp;""</f>
        <v/>
      </c>
      <c r="BC1640">
        <f>'Variable Tasks'!N144&amp;""</f>
        <v/>
      </c>
      <c r="BD1640">
        <f>'Variable Tasks'!O144&amp;""</f>
        <v/>
      </c>
      <c r="BE1640">
        <f>IF('Variable Tasks'!K144="","",'Variable Tasks'!K144)</f>
        <v/>
      </c>
      <c r="BF1640">
        <f>IFERROR(MATCH(BA1640,Setup!$L$6:$L$9,0),5)</f>
        <v/>
      </c>
      <c r="BG1640">
        <f>IF(OR(AZ1640="Done",AZ1640="Cancelled"),1,0)</f>
        <v/>
      </c>
      <c r="BH1640">
        <f>IF(AND(AU1640&lt;&gt;"",ISNUMBER(AW1640)),1,0)</f>
        <v/>
      </c>
      <c r="BI1640">
        <f>IF(BH1640=0,0,IF(AND(AW1640&gt;='Tasks Filter'!$F$3,AW1640&lt;='Tasks Filter'!$F$4,OR('Tasks Filter'!$I$3="",ISNUMBER(SEARCH('Tasks Filter'!$I$3,AU1640))),OR('Tasks Filter'!$I$4="",BF1640=IFERROR(MATCH('Tasks Filter'!$I$4,Setup!$L$6:$L$9,0),0)),OR('Tasks Filter'!$I$5="Both",AND('Tasks Filter'!$I$5="Yes",BB1640="✓"),AND('Tasks Filter'!$I$5="No",BB1640&lt;&gt;"✓")),OR('Tasks Filter'!$L$3="",AV1640='Tasks Filter'!$L$3),OR('Tasks Filter'!$L$4="",AZ1640='Tasks Filter'!$L$4),OR('Tasks Filter'!$L$5="",BC1640='Tasks Filter'!$L$5),OR('Tasks Filter'!$O$3="",BD1640='Tasks Filter'!$O$3),OR('Tasks Filter'!$O$4="Yes",BG1640=0)),1,0))</f>
        <v/>
      </c>
      <c r="BJ1640">
        <f>IF(BH1640=0,"",IF('Tasks Filter'!$F$6="Descending",-1,1)*CHOOSE(MATCH('Tasks Filter'!$F$5,Lists!$G$2:$G$6,0),AW1640,BF1640,IFERROR(MATCH(AV1640,Setup!$F$6:$F$15,0),99),IFERROR(MATCH(BC1640,Setup!$H$6:$H$15,0),99),IFERROR(MATCH(AZ1640,Setup!$J$6:$J$11,0),99))*1E+9+(AW1640-40000)*10000+1639)</f>
        <v/>
      </c>
      <c r="BK1640">
        <f>IF(BI1640=1,BJ1640,"")</f>
        <v/>
      </c>
      <c r="BL1640">
        <f>IF(AND(BH1640=1,BG1640=0,N(AW1640)&lt;Setup!$D$7),(AW1640-40000)*10000+1639,"")</f>
        <v/>
      </c>
      <c r="BM1640">
        <f>IF(AND(BH1640=1,AZ1640&lt;&gt;"Cancelled",N(AW1640)&gt;=Dashboard!$AB$3,N(AW1640)&lt;=Dashboard!$AB$3+6),(AW1640-40000)*100000+BF1640*10000+1639,"")</f>
        <v/>
      </c>
      <c r="BN1640">
        <f>IF(AND(BH1640=1,AZ1640&lt;&gt;"Cancelled"),BF1640*10000+1639,"")</f>
        <v/>
      </c>
    </row>
    <row r="1641">
      <c r="AS1641" t="inlineStr">
        <is>
          <t>V</t>
        </is>
      </c>
      <c r="AT1641" t="n">
        <v>145</v>
      </c>
      <c r="AU1641">
        <f>'Variable Tasks'!C145&amp;""</f>
        <v/>
      </c>
      <c r="AV1641">
        <f>'Variable Tasks'!D145&amp;""</f>
        <v/>
      </c>
      <c r="AW1641">
        <f>IF('Variable Tasks'!E145="","",'Variable Tasks'!E145)</f>
        <v/>
      </c>
      <c r="AX1641">
        <f>IF('Variable Tasks'!G145="","",'Variable Tasks'!G145)</f>
        <v/>
      </c>
      <c r="AY1641">
        <f>IF('Variable Tasks'!H145="","",'Variable Tasks'!H145)</f>
        <v/>
      </c>
      <c r="AZ1641">
        <f>IF(AU1641="","",IF('Variable Tasks'!J145="","Not Started",'Variable Tasks'!J145))</f>
        <v/>
      </c>
      <c r="BA1641">
        <f>'Variable Tasks'!L145&amp;""</f>
        <v/>
      </c>
      <c r="BB1641">
        <f>'Variable Tasks'!M145&amp;""</f>
        <v/>
      </c>
      <c r="BC1641">
        <f>'Variable Tasks'!N145&amp;""</f>
        <v/>
      </c>
      <c r="BD1641">
        <f>'Variable Tasks'!O145&amp;""</f>
        <v/>
      </c>
      <c r="BE1641">
        <f>IF('Variable Tasks'!K145="","",'Variable Tasks'!K145)</f>
        <v/>
      </c>
      <c r="BF1641">
        <f>IFERROR(MATCH(BA1641,Setup!$L$6:$L$9,0),5)</f>
        <v/>
      </c>
      <c r="BG1641">
        <f>IF(OR(AZ1641="Done",AZ1641="Cancelled"),1,0)</f>
        <v/>
      </c>
      <c r="BH1641">
        <f>IF(AND(AU1641&lt;&gt;"",ISNUMBER(AW1641)),1,0)</f>
        <v/>
      </c>
      <c r="BI1641">
        <f>IF(BH1641=0,0,IF(AND(AW1641&gt;='Tasks Filter'!$F$3,AW1641&lt;='Tasks Filter'!$F$4,OR('Tasks Filter'!$I$3="",ISNUMBER(SEARCH('Tasks Filter'!$I$3,AU1641))),OR('Tasks Filter'!$I$4="",BF1641=IFERROR(MATCH('Tasks Filter'!$I$4,Setup!$L$6:$L$9,0),0)),OR('Tasks Filter'!$I$5="Both",AND('Tasks Filter'!$I$5="Yes",BB1641="✓"),AND('Tasks Filter'!$I$5="No",BB1641&lt;&gt;"✓")),OR('Tasks Filter'!$L$3="",AV1641='Tasks Filter'!$L$3),OR('Tasks Filter'!$L$4="",AZ1641='Tasks Filter'!$L$4),OR('Tasks Filter'!$L$5="",BC1641='Tasks Filter'!$L$5),OR('Tasks Filter'!$O$3="",BD1641='Tasks Filter'!$O$3),OR('Tasks Filter'!$O$4="Yes",BG1641=0)),1,0))</f>
        <v/>
      </c>
      <c r="BJ1641">
        <f>IF(BH1641=0,"",IF('Tasks Filter'!$F$6="Descending",-1,1)*CHOOSE(MATCH('Tasks Filter'!$F$5,Lists!$G$2:$G$6,0),AW1641,BF1641,IFERROR(MATCH(AV1641,Setup!$F$6:$F$15,0),99),IFERROR(MATCH(BC1641,Setup!$H$6:$H$15,0),99),IFERROR(MATCH(AZ1641,Setup!$J$6:$J$11,0),99))*1E+9+(AW1641-40000)*10000+1640)</f>
        <v/>
      </c>
      <c r="BK1641">
        <f>IF(BI1641=1,BJ1641,"")</f>
        <v/>
      </c>
      <c r="BL1641">
        <f>IF(AND(BH1641=1,BG1641=0,N(AW1641)&lt;Setup!$D$7),(AW1641-40000)*10000+1640,"")</f>
        <v/>
      </c>
      <c r="BM1641">
        <f>IF(AND(BH1641=1,AZ1641&lt;&gt;"Cancelled",N(AW1641)&gt;=Dashboard!$AB$3,N(AW1641)&lt;=Dashboard!$AB$3+6),(AW1641-40000)*100000+BF1641*10000+1640,"")</f>
        <v/>
      </c>
      <c r="BN1641">
        <f>IF(AND(BH1641=1,AZ1641&lt;&gt;"Cancelled"),BF1641*10000+1640,"")</f>
        <v/>
      </c>
    </row>
    <row r="1642">
      <c r="AS1642" t="inlineStr">
        <is>
          <t>V</t>
        </is>
      </c>
      <c r="AT1642" t="n">
        <v>146</v>
      </c>
      <c r="AU1642">
        <f>'Variable Tasks'!C146&amp;""</f>
        <v/>
      </c>
      <c r="AV1642">
        <f>'Variable Tasks'!D146&amp;""</f>
        <v/>
      </c>
      <c r="AW1642">
        <f>IF('Variable Tasks'!E146="","",'Variable Tasks'!E146)</f>
        <v/>
      </c>
      <c r="AX1642">
        <f>IF('Variable Tasks'!G146="","",'Variable Tasks'!G146)</f>
        <v/>
      </c>
      <c r="AY1642">
        <f>IF('Variable Tasks'!H146="","",'Variable Tasks'!H146)</f>
        <v/>
      </c>
      <c r="AZ1642">
        <f>IF(AU1642="","",IF('Variable Tasks'!J146="","Not Started",'Variable Tasks'!J146))</f>
        <v/>
      </c>
      <c r="BA1642">
        <f>'Variable Tasks'!L146&amp;""</f>
        <v/>
      </c>
      <c r="BB1642">
        <f>'Variable Tasks'!M146&amp;""</f>
        <v/>
      </c>
      <c r="BC1642">
        <f>'Variable Tasks'!N146&amp;""</f>
        <v/>
      </c>
      <c r="BD1642">
        <f>'Variable Tasks'!O146&amp;""</f>
        <v/>
      </c>
      <c r="BE1642">
        <f>IF('Variable Tasks'!K146="","",'Variable Tasks'!K146)</f>
        <v/>
      </c>
      <c r="BF1642">
        <f>IFERROR(MATCH(BA1642,Setup!$L$6:$L$9,0),5)</f>
        <v/>
      </c>
      <c r="BG1642">
        <f>IF(OR(AZ1642="Done",AZ1642="Cancelled"),1,0)</f>
        <v/>
      </c>
      <c r="BH1642">
        <f>IF(AND(AU1642&lt;&gt;"",ISNUMBER(AW1642)),1,0)</f>
        <v/>
      </c>
      <c r="BI1642">
        <f>IF(BH1642=0,0,IF(AND(AW1642&gt;='Tasks Filter'!$F$3,AW1642&lt;='Tasks Filter'!$F$4,OR('Tasks Filter'!$I$3="",ISNUMBER(SEARCH('Tasks Filter'!$I$3,AU1642))),OR('Tasks Filter'!$I$4="",BF1642=IFERROR(MATCH('Tasks Filter'!$I$4,Setup!$L$6:$L$9,0),0)),OR('Tasks Filter'!$I$5="Both",AND('Tasks Filter'!$I$5="Yes",BB1642="✓"),AND('Tasks Filter'!$I$5="No",BB1642&lt;&gt;"✓")),OR('Tasks Filter'!$L$3="",AV1642='Tasks Filter'!$L$3),OR('Tasks Filter'!$L$4="",AZ1642='Tasks Filter'!$L$4),OR('Tasks Filter'!$L$5="",BC1642='Tasks Filter'!$L$5),OR('Tasks Filter'!$O$3="",BD1642='Tasks Filter'!$O$3),OR('Tasks Filter'!$O$4="Yes",BG1642=0)),1,0))</f>
        <v/>
      </c>
      <c r="BJ1642">
        <f>IF(BH1642=0,"",IF('Tasks Filter'!$F$6="Descending",-1,1)*CHOOSE(MATCH('Tasks Filter'!$F$5,Lists!$G$2:$G$6,0),AW1642,BF1642,IFERROR(MATCH(AV1642,Setup!$F$6:$F$15,0),99),IFERROR(MATCH(BC1642,Setup!$H$6:$H$15,0),99),IFERROR(MATCH(AZ1642,Setup!$J$6:$J$11,0),99))*1E+9+(AW1642-40000)*10000+1641)</f>
        <v/>
      </c>
      <c r="BK1642">
        <f>IF(BI1642=1,BJ1642,"")</f>
        <v/>
      </c>
      <c r="BL1642">
        <f>IF(AND(BH1642=1,BG1642=0,N(AW1642)&lt;Setup!$D$7),(AW1642-40000)*10000+1641,"")</f>
        <v/>
      </c>
      <c r="BM1642">
        <f>IF(AND(BH1642=1,AZ1642&lt;&gt;"Cancelled",N(AW1642)&gt;=Dashboard!$AB$3,N(AW1642)&lt;=Dashboard!$AB$3+6),(AW1642-40000)*100000+BF1642*10000+1641,"")</f>
        <v/>
      </c>
      <c r="BN1642">
        <f>IF(AND(BH1642=1,AZ1642&lt;&gt;"Cancelled"),BF1642*10000+1641,"")</f>
        <v/>
      </c>
    </row>
    <row r="1643">
      <c r="AS1643" t="inlineStr">
        <is>
          <t>V</t>
        </is>
      </c>
      <c r="AT1643" t="n">
        <v>147</v>
      </c>
      <c r="AU1643">
        <f>'Variable Tasks'!C147&amp;""</f>
        <v/>
      </c>
      <c r="AV1643">
        <f>'Variable Tasks'!D147&amp;""</f>
        <v/>
      </c>
      <c r="AW1643">
        <f>IF('Variable Tasks'!E147="","",'Variable Tasks'!E147)</f>
        <v/>
      </c>
      <c r="AX1643">
        <f>IF('Variable Tasks'!G147="","",'Variable Tasks'!G147)</f>
        <v/>
      </c>
      <c r="AY1643">
        <f>IF('Variable Tasks'!H147="","",'Variable Tasks'!H147)</f>
        <v/>
      </c>
      <c r="AZ1643">
        <f>IF(AU1643="","",IF('Variable Tasks'!J147="","Not Started",'Variable Tasks'!J147))</f>
        <v/>
      </c>
      <c r="BA1643">
        <f>'Variable Tasks'!L147&amp;""</f>
        <v/>
      </c>
      <c r="BB1643">
        <f>'Variable Tasks'!M147&amp;""</f>
        <v/>
      </c>
      <c r="BC1643">
        <f>'Variable Tasks'!N147&amp;""</f>
        <v/>
      </c>
      <c r="BD1643">
        <f>'Variable Tasks'!O147&amp;""</f>
        <v/>
      </c>
      <c r="BE1643">
        <f>IF('Variable Tasks'!K147="","",'Variable Tasks'!K147)</f>
        <v/>
      </c>
      <c r="BF1643">
        <f>IFERROR(MATCH(BA1643,Setup!$L$6:$L$9,0),5)</f>
        <v/>
      </c>
      <c r="BG1643">
        <f>IF(OR(AZ1643="Done",AZ1643="Cancelled"),1,0)</f>
        <v/>
      </c>
      <c r="BH1643">
        <f>IF(AND(AU1643&lt;&gt;"",ISNUMBER(AW1643)),1,0)</f>
        <v/>
      </c>
      <c r="BI1643">
        <f>IF(BH1643=0,0,IF(AND(AW1643&gt;='Tasks Filter'!$F$3,AW1643&lt;='Tasks Filter'!$F$4,OR('Tasks Filter'!$I$3="",ISNUMBER(SEARCH('Tasks Filter'!$I$3,AU1643))),OR('Tasks Filter'!$I$4="",BF1643=IFERROR(MATCH('Tasks Filter'!$I$4,Setup!$L$6:$L$9,0),0)),OR('Tasks Filter'!$I$5="Both",AND('Tasks Filter'!$I$5="Yes",BB1643="✓"),AND('Tasks Filter'!$I$5="No",BB1643&lt;&gt;"✓")),OR('Tasks Filter'!$L$3="",AV1643='Tasks Filter'!$L$3),OR('Tasks Filter'!$L$4="",AZ1643='Tasks Filter'!$L$4),OR('Tasks Filter'!$L$5="",BC1643='Tasks Filter'!$L$5),OR('Tasks Filter'!$O$3="",BD1643='Tasks Filter'!$O$3),OR('Tasks Filter'!$O$4="Yes",BG1643=0)),1,0))</f>
        <v/>
      </c>
      <c r="BJ1643">
        <f>IF(BH1643=0,"",IF('Tasks Filter'!$F$6="Descending",-1,1)*CHOOSE(MATCH('Tasks Filter'!$F$5,Lists!$G$2:$G$6,0),AW1643,BF1643,IFERROR(MATCH(AV1643,Setup!$F$6:$F$15,0),99),IFERROR(MATCH(BC1643,Setup!$H$6:$H$15,0),99),IFERROR(MATCH(AZ1643,Setup!$J$6:$J$11,0),99))*1E+9+(AW1643-40000)*10000+1642)</f>
        <v/>
      </c>
      <c r="BK1643">
        <f>IF(BI1643=1,BJ1643,"")</f>
        <v/>
      </c>
      <c r="BL1643">
        <f>IF(AND(BH1643=1,BG1643=0,N(AW1643)&lt;Setup!$D$7),(AW1643-40000)*10000+1642,"")</f>
        <v/>
      </c>
      <c r="BM1643">
        <f>IF(AND(BH1643=1,AZ1643&lt;&gt;"Cancelled",N(AW1643)&gt;=Dashboard!$AB$3,N(AW1643)&lt;=Dashboard!$AB$3+6),(AW1643-40000)*100000+BF1643*10000+1642,"")</f>
        <v/>
      </c>
      <c r="BN1643">
        <f>IF(AND(BH1643=1,AZ1643&lt;&gt;"Cancelled"),BF1643*10000+1642,"")</f>
        <v/>
      </c>
    </row>
    <row r="1644">
      <c r="AS1644" t="inlineStr">
        <is>
          <t>V</t>
        </is>
      </c>
      <c r="AT1644" t="n">
        <v>148</v>
      </c>
      <c r="AU1644">
        <f>'Variable Tasks'!C148&amp;""</f>
        <v/>
      </c>
      <c r="AV1644">
        <f>'Variable Tasks'!D148&amp;""</f>
        <v/>
      </c>
      <c r="AW1644">
        <f>IF('Variable Tasks'!E148="","",'Variable Tasks'!E148)</f>
        <v/>
      </c>
      <c r="AX1644">
        <f>IF('Variable Tasks'!G148="","",'Variable Tasks'!G148)</f>
        <v/>
      </c>
      <c r="AY1644">
        <f>IF('Variable Tasks'!H148="","",'Variable Tasks'!H148)</f>
        <v/>
      </c>
      <c r="AZ1644">
        <f>IF(AU1644="","",IF('Variable Tasks'!J148="","Not Started",'Variable Tasks'!J148))</f>
        <v/>
      </c>
      <c r="BA1644">
        <f>'Variable Tasks'!L148&amp;""</f>
        <v/>
      </c>
      <c r="BB1644">
        <f>'Variable Tasks'!M148&amp;""</f>
        <v/>
      </c>
      <c r="BC1644">
        <f>'Variable Tasks'!N148&amp;""</f>
        <v/>
      </c>
      <c r="BD1644">
        <f>'Variable Tasks'!O148&amp;""</f>
        <v/>
      </c>
      <c r="BE1644">
        <f>IF('Variable Tasks'!K148="","",'Variable Tasks'!K148)</f>
        <v/>
      </c>
      <c r="BF1644">
        <f>IFERROR(MATCH(BA1644,Setup!$L$6:$L$9,0),5)</f>
        <v/>
      </c>
      <c r="BG1644">
        <f>IF(OR(AZ1644="Done",AZ1644="Cancelled"),1,0)</f>
        <v/>
      </c>
      <c r="BH1644">
        <f>IF(AND(AU1644&lt;&gt;"",ISNUMBER(AW1644)),1,0)</f>
        <v/>
      </c>
      <c r="BI1644">
        <f>IF(BH1644=0,0,IF(AND(AW1644&gt;='Tasks Filter'!$F$3,AW1644&lt;='Tasks Filter'!$F$4,OR('Tasks Filter'!$I$3="",ISNUMBER(SEARCH('Tasks Filter'!$I$3,AU1644))),OR('Tasks Filter'!$I$4="",BF1644=IFERROR(MATCH('Tasks Filter'!$I$4,Setup!$L$6:$L$9,0),0)),OR('Tasks Filter'!$I$5="Both",AND('Tasks Filter'!$I$5="Yes",BB1644="✓"),AND('Tasks Filter'!$I$5="No",BB1644&lt;&gt;"✓")),OR('Tasks Filter'!$L$3="",AV1644='Tasks Filter'!$L$3),OR('Tasks Filter'!$L$4="",AZ1644='Tasks Filter'!$L$4),OR('Tasks Filter'!$L$5="",BC1644='Tasks Filter'!$L$5),OR('Tasks Filter'!$O$3="",BD1644='Tasks Filter'!$O$3),OR('Tasks Filter'!$O$4="Yes",BG1644=0)),1,0))</f>
        <v/>
      </c>
      <c r="BJ1644">
        <f>IF(BH1644=0,"",IF('Tasks Filter'!$F$6="Descending",-1,1)*CHOOSE(MATCH('Tasks Filter'!$F$5,Lists!$G$2:$G$6,0),AW1644,BF1644,IFERROR(MATCH(AV1644,Setup!$F$6:$F$15,0),99),IFERROR(MATCH(BC1644,Setup!$H$6:$H$15,0),99),IFERROR(MATCH(AZ1644,Setup!$J$6:$J$11,0),99))*1E+9+(AW1644-40000)*10000+1643)</f>
        <v/>
      </c>
      <c r="BK1644">
        <f>IF(BI1644=1,BJ1644,"")</f>
        <v/>
      </c>
      <c r="BL1644">
        <f>IF(AND(BH1644=1,BG1644=0,N(AW1644)&lt;Setup!$D$7),(AW1644-40000)*10000+1643,"")</f>
        <v/>
      </c>
      <c r="BM1644">
        <f>IF(AND(BH1644=1,AZ1644&lt;&gt;"Cancelled",N(AW1644)&gt;=Dashboard!$AB$3,N(AW1644)&lt;=Dashboard!$AB$3+6),(AW1644-40000)*100000+BF1644*10000+1643,"")</f>
        <v/>
      </c>
      <c r="BN1644">
        <f>IF(AND(BH1644=1,AZ1644&lt;&gt;"Cancelled"),BF1644*10000+1643,"")</f>
        <v/>
      </c>
    </row>
    <row r="1645">
      <c r="AS1645" t="inlineStr">
        <is>
          <t>V</t>
        </is>
      </c>
      <c r="AT1645" t="n">
        <v>149</v>
      </c>
      <c r="AU1645">
        <f>'Variable Tasks'!C149&amp;""</f>
        <v/>
      </c>
      <c r="AV1645">
        <f>'Variable Tasks'!D149&amp;""</f>
        <v/>
      </c>
      <c r="AW1645">
        <f>IF('Variable Tasks'!E149="","",'Variable Tasks'!E149)</f>
        <v/>
      </c>
      <c r="AX1645">
        <f>IF('Variable Tasks'!G149="","",'Variable Tasks'!G149)</f>
        <v/>
      </c>
      <c r="AY1645">
        <f>IF('Variable Tasks'!H149="","",'Variable Tasks'!H149)</f>
        <v/>
      </c>
      <c r="AZ1645">
        <f>IF(AU1645="","",IF('Variable Tasks'!J149="","Not Started",'Variable Tasks'!J149))</f>
        <v/>
      </c>
      <c r="BA1645">
        <f>'Variable Tasks'!L149&amp;""</f>
        <v/>
      </c>
      <c r="BB1645">
        <f>'Variable Tasks'!M149&amp;""</f>
        <v/>
      </c>
      <c r="BC1645">
        <f>'Variable Tasks'!N149&amp;""</f>
        <v/>
      </c>
      <c r="BD1645">
        <f>'Variable Tasks'!O149&amp;""</f>
        <v/>
      </c>
      <c r="BE1645">
        <f>IF('Variable Tasks'!K149="","",'Variable Tasks'!K149)</f>
        <v/>
      </c>
      <c r="BF1645">
        <f>IFERROR(MATCH(BA1645,Setup!$L$6:$L$9,0),5)</f>
        <v/>
      </c>
      <c r="BG1645">
        <f>IF(OR(AZ1645="Done",AZ1645="Cancelled"),1,0)</f>
        <v/>
      </c>
      <c r="BH1645">
        <f>IF(AND(AU1645&lt;&gt;"",ISNUMBER(AW1645)),1,0)</f>
        <v/>
      </c>
      <c r="BI1645">
        <f>IF(BH1645=0,0,IF(AND(AW1645&gt;='Tasks Filter'!$F$3,AW1645&lt;='Tasks Filter'!$F$4,OR('Tasks Filter'!$I$3="",ISNUMBER(SEARCH('Tasks Filter'!$I$3,AU1645))),OR('Tasks Filter'!$I$4="",BF1645=IFERROR(MATCH('Tasks Filter'!$I$4,Setup!$L$6:$L$9,0),0)),OR('Tasks Filter'!$I$5="Both",AND('Tasks Filter'!$I$5="Yes",BB1645="✓"),AND('Tasks Filter'!$I$5="No",BB1645&lt;&gt;"✓")),OR('Tasks Filter'!$L$3="",AV1645='Tasks Filter'!$L$3),OR('Tasks Filter'!$L$4="",AZ1645='Tasks Filter'!$L$4),OR('Tasks Filter'!$L$5="",BC1645='Tasks Filter'!$L$5),OR('Tasks Filter'!$O$3="",BD1645='Tasks Filter'!$O$3),OR('Tasks Filter'!$O$4="Yes",BG1645=0)),1,0))</f>
        <v/>
      </c>
      <c r="BJ1645">
        <f>IF(BH1645=0,"",IF('Tasks Filter'!$F$6="Descending",-1,1)*CHOOSE(MATCH('Tasks Filter'!$F$5,Lists!$G$2:$G$6,0),AW1645,BF1645,IFERROR(MATCH(AV1645,Setup!$F$6:$F$15,0),99),IFERROR(MATCH(BC1645,Setup!$H$6:$H$15,0),99),IFERROR(MATCH(AZ1645,Setup!$J$6:$J$11,0),99))*1E+9+(AW1645-40000)*10000+1644)</f>
        <v/>
      </c>
      <c r="BK1645">
        <f>IF(BI1645=1,BJ1645,"")</f>
        <v/>
      </c>
      <c r="BL1645">
        <f>IF(AND(BH1645=1,BG1645=0,N(AW1645)&lt;Setup!$D$7),(AW1645-40000)*10000+1644,"")</f>
        <v/>
      </c>
      <c r="BM1645">
        <f>IF(AND(BH1645=1,AZ1645&lt;&gt;"Cancelled",N(AW1645)&gt;=Dashboard!$AB$3,N(AW1645)&lt;=Dashboard!$AB$3+6),(AW1645-40000)*100000+BF1645*10000+1644,"")</f>
        <v/>
      </c>
      <c r="BN1645">
        <f>IF(AND(BH1645=1,AZ1645&lt;&gt;"Cancelled"),BF1645*10000+1644,"")</f>
        <v/>
      </c>
    </row>
    <row r="1646">
      <c r="AS1646" t="inlineStr">
        <is>
          <t>V</t>
        </is>
      </c>
      <c r="AT1646" t="n">
        <v>150</v>
      </c>
      <c r="AU1646">
        <f>'Variable Tasks'!C150&amp;""</f>
        <v/>
      </c>
      <c r="AV1646">
        <f>'Variable Tasks'!D150&amp;""</f>
        <v/>
      </c>
      <c r="AW1646">
        <f>IF('Variable Tasks'!E150="","",'Variable Tasks'!E150)</f>
        <v/>
      </c>
      <c r="AX1646">
        <f>IF('Variable Tasks'!G150="","",'Variable Tasks'!G150)</f>
        <v/>
      </c>
      <c r="AY1646">
        <f>IF('Variable Tasks'!H150="","",'Variable Tasks'!H150)</f>
        <v/>
      </c>
      <c r="AZ1646">
        <f>IF(AU1646="","",IF('Variable Tasks'!J150="","Not Started",'Variable Tasks'!J150))</f>
        <v/>
      </c>
      <c r="BA1646">
        <f>'Variable Tasks'!L150&amp;""</f>
        <v/>
      </c>
      <c r="BB1646">
        <f>'Variable Tasks'!M150&amp;""</f>
        <v/>
      </c>
      <c r="BC1646">
        <f>'Variable Tasks'!N150&amp;""</f>
        <v/>
      </c>
      <c r="BD1646">
        <f>'Variable Tasks'!O150&amp;""</f>
        <v/>
      </c>
      <c r="BE1646">
        <f>IF('Variable Tasks'!K150="","",'Variable Tasks'!K150)</f>
        <v/>
      </c>
      <c r="BF1646">
        <f>IFERROR(MATCH(BA1646,Setup!$L$6:$L$9,0),5)</f>
        <v/>
      </c>
      <c r="BG1646">
        <f>IF(OR(AZ1646="Done",AZ1646="Cancelled"),1,0)</f>
        <v/>
      </c>
      <c r="BH1646">
        <f>IF(AND(AU1646&lt;&gt;"",ISNUMBER(AW1646)),1,0)</f>
        <v/>
      </c>
      <c r="BI1646">
        <f>IF(BH1646=0,0,IF(AND(AW1646&gt;='Tasks Filter'!$F$3,AW1646&lt;='Tasks Filter'!$F$4,OR('Tasks Filter'!$I$3="",ISNUMBER(SEARCH('Tasks Filter'!$I$3,AU1646))),OR('Tasks Filter'!$I$4="",BF1646=IFERROR(MATCH('Tasks Filter'!$I$4,Setup!$L$6:$L$9,0),0)),OR('Tasks Filter'!$I$5="Both",AND('Tasks Filter'!$I$5="Yes",BB1646="✓"),AND('Tasks Filter'!$I$5="No",BB1646&lt;&gt;"✓")),OR('Tasks Filter'!$L$3="",AV1646='Tasks Filter'!$L$3),OR('Tasks Filter'!$L$4="",AZ1646='Tasks Filter'!$L$4),OR('Tasks Filter'!$L$5="",BC1646='Tasks Filter'!$L$5),OR('Tasks Filter'!$O$3="",BD1646='Tasks Filter'!$O$3),OR('Tasks Filter'!$O$4="Yes",BG1646=0)),1,0))</f>
        <v/>
      </c>
      <c r="BJ1646">
        <f>IF(BH1646=0,"",IF('Tasks Filter'!$F$6="Descending",-1,1)*CHOOSE(MATCH('Tasks Filter'!$F$5,Lists!$G$2:$G$6,0),AW1646,BF1646,IFERROR(MATCH(AV1646,Setup!$F$6:$F$15,0),99),IFERROR(MATCH(BC1646,Setup!$H$6:$H$15,0),99),IFERROR(MATCH(AZ1646,Setup!$J$6:$J$11,0),99))*1E+9+(AW1646-40000)*10000+1645)</f>
        <v/>
      </c>
      <c r="BK1646">
        <f>IF(BI1646=1,BJ1646,"")</f>
        <v/>
      </c>
      <c r="BL1646">
        <f>IF(AND(BH1646=1,BG1646=0,N(AW1646)&lt;Setup!$D$7),(AW1646-40000)*10000+1645,"")</f>
        <v/>
      </c>
      <c r="BM1646">
        <f>IF(AND(BH1646=1,AZ1646&lt;&gt;"Cancelled",N(AW1646)&gt;=Dashboard!$AB$3,N(AW1646)&lt;=Dashboard!$AB$3+6),(AW1646-40000)*100000+BF1646*10000+1645,"")</f>
        <v/>
      </c>
      <c r="BN1646">
        <f>IF(AND(BH1646=1,AZ1646&lt;&gt;"Cancelled"),BF1646*10000+1645,"")</f>
        <v/>
      </c>
    </row>
    <row r="1647">
      <c r="AS1647" t="inlineStr">
        <is>
          <t>V</t>
        </is>
      </c>
      <c r="AT1647" t="n">
        <v>151</v>
      </c>
      <c r="AU1647">
        <f>'Variable Tasks'!C151&amp;""</f>
        <v/>
      </c>
      <c r="AV1647">
        <f>'Variable Tasks'!D151&amp;""</f>
        <v/>
      </c>
      <c r="AW1647">
        <f>IF('Variable Tasks'!E151="","",'Variable Tasks'!E151)</f>
        <v/>
      </c>
      <c r="AX1647">
        <f>IF('Variable Tasks'!G151="","",'Variable Tasks'!G151)</f>
        <v/>
      </c>
      <c r="AY1647">
        <f>IF('Variable Tasks'!H151="","",'Variable Tasks'!H151)</f>
        <v/>
      </c>
      <c r="AZ1647">
        <f>IF(AU1647="","",IF('Variable Tasks'!J151="","Not Started",'Variable Tasks'!J151))</f>
        <v/>
      </c>
      <c r="BA1647">
        <f>'Variable Tasks'!L151&amp;""</f>
        <v/>
      </c>
      <c r="BB1647">
        <f>'Variable Tasks'!M151&amp;""</f>
        <v/>
      </c>
      <c r="BC1647">
        <f>'Variable Tasks'!N151&amp;""</f>
        <v/>
      </c>
      <c r="BD1647">
        <f>'Variable Tasks'!O151&amp;""</f>
        <v/>
      </c>
      <c r="BE1647">
        <f>IF('Variable Tasks'!K151="","",'Variable Tasks'!K151)</f>
        <v/>
      </c>
      <c r="BF1647">
        <f>IFERROR(MATCH(BA1647,Setup!$L$6:$L$9,0),5)</f>
        <v/>
      </c>
      <c r="BG1647">
        <f>IF(OR(AZ1647="Done",AZ1647="Cancelled"),1,0)</f>
        <v/>
      </c>
      <c r="BH1647">
        <f>IF(AND(AU1647&lt;&gt;"",ISNUMBER(AW1647)),1,0)</f>
        <v/>
      </c>
      <c r="BI1647">
        <f>IF(BH1647=0,0,IF(AND(AW1647&gt;='Tasks Filter'!$F$3,AW1647&lt;='Tasks Filter'!$F$4,OR('Tasks Filter'!$I$3="",ISNUMBER(SEARCH('Tasks Filter'!$I$3,AU1647))),OR('Tasks Filter'!$I$4="",BF1647=IFERROR(MATCH('Tasks Filter'!$I$4,Setup!$L$6:$L$9,0),0)),OR('Tasks Filter'!$I$5="Both",AND('Tasks Filter'!$I$5="Yes",BB1647="✓"),AND('Tasks Filter'!$I$5="No",BB1647&lt;&gt;"✓")),OR('Tasks Filter'!$L$3="",AV1647='Tasks Filter'!$L$3),OR('Tasks Filter'!$L$4="",AZ1647='Tasks Filter'!$L$4),OR('Tasks Filter'!$L$5="",BC1647='Tasks Filter'!$L$5),OR('Tasks Filter'!$O$3="",BD1647='Tasks Filter'!$O$3),OR('Tasks Filter'!$O$4="Yes",BG1647=0)),1,0))</f>
        <v/>
      </c>
      <c r="BJ1647">
        <f>IF(BH1647=0,"",IF('Tasks Filter'!$F$6="Descending",-1,1)*CHOOSE(MATCH('Tasks Filter'!$F$5,Lists!$G$2:$G$6,0),AW1647,BF1647,IFERROR(MATCH(AV1647,Setup!$F$6:$F$15,0),99),IFERROR(MATCH(BC1647,Setup!$H$6:$H$15,0),99),IFERROR(MATCH(AZ1647,Setup!$J$6:$J$11,0),99))*1E+9+(AW1647-40000)*10000+1646)</f>
        <v/>
      </c>
      <c r="BK1647">
        <f>IF(BI1647=1,BJ1647,"")</f>
        <v/>
      </c>
      <c r="BL1647">
        <f>IF(AND(BH1647=1,BG1647=0,N(AW1647)&lt;Setup!$D$7),(AW1647-40000)*10000+1646,"")</f>
        <v/>
      </c>
      <c r="BM1647">
        <f>IF(AND(BH1647=1,AZ1647&lt;&gt;"Cancelled",N(AW1647)&gt;=Dashboard!$AB$3,N(AW1647)&lt;=Dashboard!$AB$3+6),(AW1647-40000)*100000+BF1647*10000+1646,"")</f>
        <v/>
      </c>
      <c r="BN1647">
        <f>IF(AND(BH1647=1,AZ1647&lt;&gt;"Cancelled"),BF1647*10000+1646,"")</f>
        <v/>
      </c>
    </row>
    <row r="1648">
      <c r="AS1648" t="inlineStr">
        <is>
          <t>V</t>
        </is>
      </c>
      <c r="AT1648" t="n">
        <v>152</v>
      </c>
      <c r="AU1648">
        <f>'Variable Tasks'!C152&amp;""</f>
        <v/>
      </c>
      <c r="AV1648">
        <f>'Variable Tasks'!D152&amp;""</f>
        <v/>
      </c>
      <c r="AW1648">
        <f>IF('Variable Tasks'!E152="","",'Variable Tasks'!E152)</f>
        <v/>
      </c>
      <c r="AX1648">
        <f>IF('Variable Tasks'!G152="","",'Variable Tasks'!G152)</f>
        <v/>
      </c>
      <c r="AY1648">
        <f>IF('Variable Tasks'!H152="","",'Variable Tasks'!H152)</f>
        <v/>
      </c>
      <c r="AZ1648">
        <f>IF(AU1648="","",IF('Variable Tasks'!J152="","Not Started",'Variable Tasks'!J152))</f>
        <v/>
      </c>
      <c r="BA1648">
        <f>'Variable Tasks'!L152&amp;""</f>
        <v/>
      </c>
      <c r="BB1648">
        <f>'Variable Tasks'!M152&amp;""</f>
        <v/>
      </c>
      <c r="BC1648">
        <f>'Variable Tasks'!N152&amp;""</f>
        <v/>
      </c>
      <c r="BD1648">
        <f>'Variable Tasks'!O152&amp;""</f>
        <v/>
      </c>
      <c r="BE1648">
        <f>IF('Variable Tasks'!K152="","",'Variable Tasks'!K152)</f>
        <v/>
      </c>
      <c r="BF1648">
        <f>IFERROR(MATCH(BA1648,Setup!$L$6:$L$9,0),5)</f>
        <v/>
      </c>
      <c r="BG1648">
        <f>IF(OR(AZ1648="Done",AZ1648="Cancelled"),1,0)</f>
        <v/>
      </c>
      <c r="BH1648">
        <f>IF(AND(AU1648&lt;&gt;"",ISNUMBER(AW1648)),1,0)</f>
        <v/>
      </c>
      <c r="BI1648">
        <f>IF(BH1648=0,0,IF(AND(AW1648&gt;='Tasks Filter'!$F$3,AW1648&lt;='Tasks Filter'!$F$4,OR('Tasks Filter'!$I$3="",ISNUMBER(SEARCH('Tasks Filter'!$I$3,AU1648))),OR('Tasks Filter'!$I$4="",BF1648=IFERROR(MATCH('Tasks Filter'!$I$4,Setup!$L$6:$L$9,0),0)),OR('Tasks Filter'!$I$5="Both",AND('Tasks Filter'!$I$5="Yes",BB1648="✓"),AND('Tasks Filter'!$I$5="No",BB1648&lt;&gt;"✓")),OR('Tasks Filter'!$L$3="",AV1648='Tasks Filter'!$L$3),OR('Tasks Filter'!$L$4="",AZ1648='Tasks Filter'!$L$4),OR('Tasks Filter'!$L$5="",BC1648='Tasks Filter'!$L$5),OR('Tasks Filter'!$O$3="",BD1648='Tasks Filter'!$O$3),OR('Tasks Filter'!$O$4="Yes",BG1648=0)),1,0))</f>
        <v/>
      </c>
      <c r="BJ1648">
        <f>IF(BH1648=0,"",IF('Tasks Filter'!$F$6="Descending",-1,1)*CHOOSE(MATCH('Tasks Filter'!$F$5,Lists!$G$2:$G$6,0),AW1648,BF1648,IFERROR(MATCH(AV1648,Setup!$F$6:$F$15,0),99),IFERROR(MATCH(BC1648,Setup!$H$6:$H$15,0),99),IFERROR(MATCH(AZ1648,Setup!$J$6:$J$11,0),99))*1E+9+(AW1648-40000)*10000+1647)</f>
        <v/>
      </c>
      <c r="BK1648">
        <f>IF(BI1648=1,BJ1648,"")</f>
        <v/>
      </c>
      <c r="BL1648">
        <f>IF(AND(BH1648=1,BG1648=0,N(AW1648)&lt;Setup!$D$7),(AW1648-40000)*10000+1647,"")</f>
        <v/>
      </c>
      <c r="BM1648">
        <f>IF(AND(BH1648=1,AZ1648&lt;&gt;"Cancelled",N(AW1648)&gt;=Dashboard!$AB$3,N(AW1648)&lt;=Dashboard!$AB$3+6),(AW1648-40000)*100000+BF1648*10000+1647,"")</f>
        <v/>
      </c>
      <c r="BN1648">
        <f>IF(AND(BH1648=1,AZ1648&lt;&gt;"Cancelled"),BF1648*10000+1647,"")</f>
        <v/>
      </c>
    </row>
    <row r="1649">
      <c r="AS1649" t="inlineStr">
        <is>
          <t>V</t>
        </is>
      </c>
      <c r="AT1649" t="n">
        <v>153</v>
      </c>
      <c r="AU1649">
        <f>'Variable Tasks'!C153&amp;""</f>
        <v/>
      </c>
      <c r="AV1649">
        <f>'Variable Tasks'!D153&amp;""</f>
        <v/>
      </c>
      <c r="AW1649">
        <f>IF('Variable Tasks'!E153="","",'Variable Tasks'!E153)</f>
        <v/>
      </c>
      <c r="AX1649">
        <f>IF('Variable Tasks'!G153="","",'Variable Tasks'!G153)</f>
        <v/>
      </c>
      <c r="AY1649">
        <f>IF('Variable Tasks'!H153="","",'Variable Tasks'!H153)</f>
        <v/>
      </c>
      <c r="AZ1649">
        <f>IF(AU1649="","",IF('Variable Tasks'!J153="","Not Started",'Variable Tasks'!J153))</f>
        <v/>
      </c>
      <c r="BA1649">
        <f>'Variable Tasks'!L153&amp;""</f>
        <v/>
      </c>
      <c r="BB1649">
        <f>'Variable Tasks'!M153&amp;""</f>
        <v/>
      </c>
      <c r="BC1649">
        <f>'Variable Tasks'!N153&amp;""</f>
        <v/>
      </c>
      <c r="BD1649">
        <f>'Variable Tasks'!O153&amp;""</f>
        <v/>
      </c>
      <c r="BE1649">
        <f>IF('Variable Tasks'!K153="","",'Variable Tasks'!K153)</f>
        <v/>
      </c>
      <c r="BF1649">
        <f>IFERROR(MATCH(BA1649,Setup!$L$6:$L$9,0),5)</f>
        <v/>
      </c>
      <c r="BG1649">
        <f>IF(OR(AZ1649="Done",AZ1649="Cancelled"),1,0)</f>
        <v/>
      </c>
      <c r="BH1649">
        <f>IF(AND(AU1649&lt;&gt;"",ISNUMBER(AW1649)),1,0)</f>
        <v/>
      </c>
      <c r="BI1649">
        <f>IF(BH1649=0,0,IF(AND(AW1649&gt;='Tasks Filter'!$F$3,AW1649&lt;='Tasks Filter'!$F$4,OR('Tasks Filter'!$I$3="",ISNUMBER(SEARCH('Tasks Filter'!$I$3,AU1649))),OR('Tasks Filter'!$I$4="",BF1649=IFERROR(MATCH('Tasks Filter'!$I$4,Setup!$L$6:$L$9,0),0)),OR('Tasks Filter'!$I$5="Both",AND('Tasks Filter'!$I$5="Yes",BB1649="✓"),AND('Tasks Filter'!$I$5="No",BB1649&lt;&gt;"✓")),OR('Tasks Filter'!$L$3="",AV1649='Tasks Filter'!$L$3),OR('Tasks Filter'!$L$4="",AZ1649='Tasks Filter'!$L$4),OR('Tasks Filter'!$L$5="",BC1649='Tasks Filter'!$L$5),OR('Tasks Filter'!$O$3="",BD1649='Tasks Filter'!$O$3),OR('Tasks Filter'!$O$4="Yes",BG1649=0)),1,0))</f>
        <v/>
      </c>
      <c r="BJ1649">
        <f>IF(BH1649=0,"",IF('Tasks Filter'!$F$6="Descending",-1,1)*CHOOSE(MATCH('Tasks Filter'!$F$5,Lists!$G$2:$G$6,0),AW1649,BF1649,IFERROR(MATCH(AV1649,Setup!$F$6:$F$15,0),99),IFERROR(MATCH(BC1649,Setup!$H$6:$H$15,0),99),IFERROR(MATCH(AZ1649,Setup!$J$6:$J$11,0),99))*1E+9+(AW1649-40000)*10000+1648)</f>
        <v/>
      </c>
      <c r="BK1649">
        <f>IF(BI1649=1,BJ1649,"")</f>
        <v/>
      </c>
      <c r="BL1649">
        <f>IF(AND(BH1649=1,BG1649=0,N(AW1649)&lt;Setup!$D$7),(AW1649-40000)*10000+1648,"")</f>
        <v/>
      </c>
      <c r="BM1649">
        <f>IF(AND(BH1649=1,AZ1649&lt;&gt;"Cancelled",N(AW1649)&gt;=Dashboard!$AB$3,N(AW1649)&lt;=Dashboard!$AB$3+6),(AW1649-40000)*100000+BF1649*10000+1648,"")</f>
        <v/>
      </c>
      <c r="BN1649">
        <f>IF(AND(BH1649=1,AZ1649&lt;&gt;"Cancelled"),BF1649*10000+1648,"")</f>
        <v/>
      </c>
    </row>
    <row r="1650">
      <c r="AS1650" t="inlineStr">
        <is>
          <t>V</t>
        </is>
      </c>
      <c r="AT1650" t="n">
        <v>154</v>
      </c>
      <c r="AU1650">
        <f>'Variable Tasks'!C154&amp;""</f>
        <v/>
      </c>
      <c r="AV1650">
        <f>'Variable Tasks'!D154&amp;""</f>
        <v/>
      </c>
      <c r="AW1650">
        <f>IF('Variable Tasks'!E154="","",'Variable Tasks'!E154)</f>
        <v/>
      </c>
      <c r="AX1650">
        <f>IF('Variable Tasks'!G154="","",'Variable Tasks'!G154)</f>
        <v/>
      </c>
      <c r="AY1650">
        <f>IF('Variable Tasks'!H154="","",'Variable Tasks'!H154)</f>
        <v/>
      </c>
      <c r="AZ1650">
        <f>IF(AU1650="","",IF('Variable Tasks'!J154="","Not Started",'Variable Tasks'!J154))</f>
        <v/>
      </c>
      <c r="BA1650">
        <f>'Variable Tasks'!L154&amp;""</f>
        <v/>
      </c>
      <c r="BB1650">
        <f>'Variable Tasks'!M154&amp;""</f>
        <v/>
      </c>
      <c r="BC1650">
        <f>'Variable Tasks'!N154&amp;""</f>
        <v/>
      </c>
      <c r="BD1650">
        <f>'Variable Tasks'!O154&amp;""</f>
        <v/>
      </c>
      <c r="BE1650">
        <f>IF('Variable Tasks'!K154="","",'Variable Tasks'!K154)</f>
        <v/>
      </c>
      <c r="BF1650">
        <f>IFERROR(MATCH(BA1650,Setup!$L$6:$L$9,0),5)</f>
        <v/>
      </c>
      <c r="BG1650">
        <f>IF(OR(AZ1650="Done",AZ1650="Cancelled"),1,0)</f>
        <v/>
      </c>
      <c r="BH1650">
        <f>IF(AND(AU1650&lt;&gt;"",ISNUMBER(AW1650)),1,0)</f>
        <v/>
      </c>
      <c r="BI1650">
        <f>IF(BH1650=0,0,IF(AND(AW1650&gt;='Tasks Filter'!$F$3,AW1650&lt;='Tasks Filter'!$F$4,OR('Tasks Filter'!$I$3="",ISNUMBER(SEARCH('Tasks Filter'!$I$3,AU1650))),OR('Tasks Filter'!$I$4="",BF1650=IFERROR(MATCH('Tasks Filter'!$I$4,Setup!$L$6:$L$9,0),0)),OR('Tasks Filter'!$I$5="Both",AND('Tasks Filter'!$I$5="Yes",BB1650="✓"),AND('Tasks Filter'!$I$5="No",BB1650&lt;&gt;"✓")),OR('Tasks Filter'!$L$3="",AV1650='Tasks Filter'!$L$3),OR('Tasks Filter'!$L$4="",AZ1650='Tasks Filter'!$L$4),OR('Tasks Filter'!$L$5="",BC1650='Tasks Filter'!$L$5),OR('Tasks Filter'!$O$3="",BD1650='Tasks Filter'!$O$3),OR('Tasks Filter'!$O$4="Yes",BG1650=0)),1,0))</f>
        <v/>
      </c>
      <c r="BJ1650">
        <f>IF(BH1650=0,"",IF('Tasks Filter'!$F$6="Descending",-1,1)*CHOOSE(MATCH('Tasks Filter'!$F$5,Lists!$G$2:$G$6,0),AW1650,BF1650,IFERROR(MATCH(AV1650,Setup!$F$6:$F$15,0),99),IFERROR(MATCH(BC1650,Setup!$H$6:$H$15,0),99),IFERROR(MATCH(AZ1650,Setup!$J$6:$J$11,0),99))*1E+9+(AW1650-40000)*10000+1649)</f>
        <v/>
      </c>
      <c r="BK1650">
        <f>IF(BI1650=1,BJ1650,"")</f>
        <v/>
      </c>
      <c r="BL1650">
        <f>IF(AND(BH1650=1,BG1650=0,N(AW1650)&lt;Setup!$D$7),(AW1650-40000)*10000+1649,"")</f>
        <v/>
      </c>
      <c r="BM1650">
        <f>IF(AND(BH1650=1,AZ1650&lt;&gt;"Cancelled",N(AW1650)&gt;=Dashboard!$AB$3,N(AW1650)&lt;=Dashboard!$AB$3+6),(AW1650-40000)*100000+BF1650*10000+1649,"")</f>
        <v/>
      </c>
      <c r="BN1650">
        <f>IF(AND(BH1650=1,AZ1650&lt;&gt;"Cancelled"),BF1650*10000+1649,"")</f>
        <v/>
      </c>
    </row>
    <row r="1651">
      <c r="AS1651" t="inlineStr">
        <is>
          <t>V</t>
        </is>
      </c>
      <c r="AT1651" t="n">
        <v>155</v>
      </c>
      <c r="AU1651">
        <f>'Variable Tasks'!C155&amp;""</f>
        <v/>
      </c>
      <c r="AV1651">
        <f>'Variable Tasks'!D155&amp;""</f>
        <v/>
      </c>
      <c r="AW1651">
        <f>IF('Variable Tasks'!E155="","",'Variable Tasks'!E155)</f>
        <v/>
      </c>
      <c r="AX1651">
        <f>IF('Variable Tasks'!G155="","",'Variable Tasks'!G155)</f>
        <v/>
      </c>
      <c r="AY1651">
        <f>IF('Variable Tasks'!H155="","",'Variable Tasks'!H155)</f>
        <v/>
      </c>
      <c r="AZ1651">
        <f>IF(AU1651="","",IF('Variable Tasks'!J155="","Not Started",'Variable Tasks'!J155))</f>
        <v/>
      </c>
      <c r="BA1651">
        <f>'Variable Tasks'!L155&amp;""</f>
        <v/>
      </c>
      <c r="BB1651">
        <f>'Variable Tasks'!M155&amp;""</f>
        <v/>
      </c>
      <c r="BC1651">
        <f>'Variable Tasks'!N155&amp;""</f>
        <v/>
      </c>
      <c r="BD1651">
        <f>'Variable Tasks'!O155&amp;""</f>
        <v/>
      </c>
      <c r="BE1651">
        <f>IF('Variable Tasks'!K155="","",'Variable Tasks'!K155)</f>
        <v/>
      </c>
      <c r="BF1651">
        <f>IFERROR(MATCH(BA1651,Setup!$L$6:$L$9,0),5)</f>
        <v/>
      </c>
      <c r="BG1651">
        <f>IF(OR(AZ1651="Done",AZ1651="Cancelled"),1,0)</f>
        <v/>
      </c>
      <c r="BH1651">
        <f>IF(AND(AU1651&lt;&gt;"",ISNUMBER(AW1651)),1,0)</f>
        <v/>
      </c>
      <c r="BI1651">
        <f>IF(BH1651=0,0,IF(AND(AW1651&gt;='Tasks Filter'!$F$3,AW1651&lt;='Tasks Filter'!$F$4,OR('Tasks Filter'!$I$3="",ISNUMBER(SEARCH('Tasks Filter'!$I$3,AU1651))),OR('Tasks Filter'!$I$4="",BF1651=IFERROR(MATCH('Tasks Filter'!$I$4,Setup!$L$6:$L$9,0),0)),OR('Tasks Filter'!$I$5="Both",AND('Tasks Filter'!$I$5="Yes",BB1651="✓"),AND('Tasks Filter'!$I$5="No",BB1651&lt;&gt;"✓")),OR('Tasks Filter'!$L$3="",AV1651='Tasks Filter'!$L$3),OR('Tasks Filter'!$L$4="",AZ1651='Tasks Filter'!$L$4),OR('Tasks Filter'!$L$5="",BC1651='Tasks Filter'!$L$5),OR('Tasks Filter'!$O$3="",BD1651='Tasks Filter'!$O$3),OR('Tasks Filter'!$O$4="Yes",BG1651=0)),1,0))</f>
        <v/>
      </c>
      <c r="BJ1651">
        <f>IF(BH1651=0,"",IF('Tasks Filter'!$F$6="Descending",-1,1)*CHOOSE(MATCH('Tasks Filter'!$F$5,Lists!$G$2:$G$6,0),AW1651,BF1651,IFERROR(MATCH(AV1651,Setup!$F$6:$F$15,0),99),IFERROR(MATCH(BC1651,Setup!$H$6:$H$15,0),99),IFERROR(MATCH(AZ1651,Setup!$J$6:$J$11,0),99))*1E+9+(AW1651-40000)*10000+1650)</f>
        <v/>
      </c>
      <c r="BK1651">
        <f>IF(BI1651=1,BJ1651,"")</f>
        <v/>
      </c>
      <c r="BL1651">
        <f>IF(AND(BH1651=1,BG1651=0,N(AW1651)&lt;Setup!$D$7),(AW1651-40000)*10000+1650,"")</f>
        <v/>
      </c>
      <c r="BM1651">
        <f>IF(AND(BH1651=1,AZ1651&lt;&gt;"Cancelled",N(AW1651)&gt;=Dashboard!$AB$3,N(AW1651)&lt;=Dashboard!$AB$3+6),(AW1651-40000)*100000+BF1651*10000+1650,"")</f>
        <v/>
      </c>
      <c r="BN1651">
        <f>IF(AND(BH1651=1,AZ1651&lt;&gt;"Cancelled"),BF1651*10000+1650,"")</f>
        <v/>
      </c>
    </row>
    <row r="1652">
      <c r="AS1652" t="inlineStr">
        <is>
          <t>V</t>
        </is>
      </c>
      <c r="AT1652" t="n">
        <v>156</v>
      </c>
      <c r="AU1652">
        <f>'Variable Tasks'!C156&amp;""</f>
        <v/>
      </c>
      <c r="AV1652">
        <f>'Variable Tasks'!D156&amp;""</f>
        <v/>
      </c>
      <c r="AW1652">
        <f>IF('Variable Tasks'!E156="","",'Variable Tasks'!E156)</f>
        <v/>
      </c>
      <c r="AX1652">
        <f>IF('Variable Tasks'!G156="","",'Variable Tasks'!G156)</f>
        <v/>
      </c>
      <c r="AY1652">
        <f>IF('Variable Tasks'!H156="","",'Variable Tasks'!H156)</f>
        <v/>
      </c>
      <c r="AZ1652">
        <f>IF(AU1652="","",IF('Variable Tasks'!J156="","Not Started",'Variable Tasks'!J156))</f>
        <v/>
      </c>
      <c r="BA1652">
        <f>'Variable Tasks'!L156&amp;""</f>
        <v/>
      </c>
      <c r="BB1652">
        <f>'Variable Tasks'!M156&amp;""</f>
        <v/>
      </c>
      <c r="BC1652">
        <f>'Variable Tasks'!N156&amp;""</f>
        <v/>
      </c>
      <c r="BD1652">
        <f>'Variable Tasks'!O156&amp;""</f>
        <v/>
      </c>
      <c r="BE1652">
        <f>IF('Variable Tasks'!K156="","",'Variable Tasks'!K156)</f>
        <v/>
      </c>
      <c r="BF1652">
        <f>IFERROR(MATCH(BA1652,Setup!$L$6:$L$9,0),5)</f>
        <v/>
      </c>
      <c r="BG1652">
        <f>IF(OR(AZ1652="Done",AZ1652="Cancelled"),1,0)</f>
        <v/>
      </c>
      <c r="BH1652">
        <f>IF(AND(AU1652&lt;&gt;"",ISNUMBER(AW1652)),1,0)</f>
        <v/>
      </c>
      <c r="BI1652">
        <f>IF(BH1652=0,0,IF(AND(AW1652&gt;='Tasks Filter'!$F$3,AW1652&lt;='Tasks Filter'!$F$4,OR('Tasks Filter'!$I$3="",ISNUMBER(SEARCH('Tasks Filter'!$I$3,AU1652))),OR('Tasks Filter'!$I$4="",BF1652=IFERROR(MATCH('Tasks Filter'!$I$4,Setup!$L$6:$L$9,0),0)),OR('Tasks Filter'!$I$5="Both",AND('Tasks Filter'!$I$5="Yes",BB1652="✓"),AND('Tasks Filter'!$I$5="No",BB1652&lt;&gt;"✓")),OR('Tasks Filter'!$L$3="",AV1652='Tasks Filter'!$L$3),OR('Tasks Filter'!$L$4="",AZ1652='Tasks Filter'!$L$4),OR('Tasks Filter'!$L$5="",BC1652='Tasks Filter'!$L$5),OR('Tasks Filter'!$O$3="",BD1652='Tasks Filter'!$O$3),OR('Tasks Filter'!$O$4="Yes",BG1652=0)),1,0))</f>
        <v/>
      </c>
      <c r="BJ1652">
        <f>IF(BH1652=0,"",IF('Tasks Filter'!$F$6="Descending",-1,1)*CHOOSE(MATCH('Tasks Filter'!$F$5,Lists!$G$2:$G$6,0),AW1652,BF1652,IFERROR(MATCH(AV1652,Setup!$F$6:$F$15,0),99),IFERROR(MATCH(BC1652,Setup!$H$6:$H$15,0),99),IFERROR(MATCH(AZ1652,Setup!$J$6:$J$11,0),99))*1E+9+(AW1652-40000)*10000+1651)</f>
        <v/>
      </c>
      <c r="BK1652">
        <f>IF(BI1652=1,BJ1652,"")</f>
        <v/>
      </c>
      <c r="BL1652">
        <f>IF(AND(BH1652=1,BG1652=0,N(AW1652)&lt;Setup!$D$7),(AW1652-40000)*10000+1651,"")</f>
        <v/>
      </c>
      <c r="BM1652">
        <f>IF(AND(BH1652=1,AZ1652&lt;&gt;"Cancelled",N(AW1652)&gt;=Dashboard!$AB$3,N(AW1652)&lt;=Dashboard!$AB$3+6),(AW1652-40000)*100000+BF1652*10000+1651,"")</f>
        <v/>
      </c>
      <c r="BN1652">
        <f>IF(AND(BH1652=1,AZ1652&lt;&gt;"Cancelled"),BF1652*10000+1651,"")</f>
        <v/>
      </c>
    </row>
    <row r="1653">
      <c r="AS1653" t="inlineStr">
        <is>
          <t>V</t>
        </is>
      </c>
      <c r="AT1653" t="n">
        <v>157</v>
      </c>
      <c r="AU1653">
        <f>'Variable Tasks'!C157&amp;""</f>
        <v/>
      </c>
      <c r="AV1653">
        <f>'Variable Tasks'!D157&amp;""</f>
        <v/>
      </c>
      <c r="AW1653">
        <f>IF('Variable Tasks'!E157="","",'Variable Tasks'!E157)</f>
        <v/>
      </c>
      <c r="AX1653">
        <f>IF('Variable Tasks'!G157="","",'Variable Tasks'!G157)</f>
        <v/>
      </c>
      <c r="AY1653">
        <f>IF('Variable Tasks'!H157="","",'Variable Tasks'!H157)</f>
        <v/>
      </c>
      <c r="AZ1653">
        <f>IF(AU1653="","",IF('Variable Tasks'!J157="","Not Started",'Variable Tasks'!J157))</f>
        <v/>
      </c>
      <c r="BA1653">
        <f>'Variable Tasks'!L157&amp;""</f>
        <v/>
      </c>
      <c r="BB1653">
        <f>'Variable Tasks'!M157&amp;""</f>
        <v/>
      </c>
      <c r="BC1653">
        <f>'Variable Tasks'!N157&amp;""</f>
        <v/>
      </c>
      <c r="BD1653">
        <f>'Variable Tasks'!O157&amp;""</f>
        <v/>
      </c>
      <c r="BE1653">
        <f>IF('Variable Tasks'!K157="","",'Variable Tasks'!K157)</f>
        <v/>
      </c>
      <c r="BF1653">
        <f>IFERROR(MATCH(BA1653,Setup!$L$6:$L$9,0),5)</f>
        <v/>
      </c>
      <c r="BG1653">
        <f>IF(OR(AZ1653="Done",AZ1653="Cancelled"),1,0)</f>
        <v/>
      </c>
      <c r="BH1653">
        <f>IF(AND(AU1653&lt;&gt;"",ISNUMBER(AW1653)),1,0)</f>
        <v/>
      </c>
      <c r="BI1653">
        <f>IF(BH1653=0,0,IF(AND(AW1653&gt;='Tasks Filter'!$F$3,AW1653&lt;='Tasks Filter'!$F$4,OR('Tasks Filter'!$I$3="",ISNUMBER(SEARCH('Tasks Filter'!$I$3,AU1653))),OR('Tasks Filter'!$I$4="",BF1653=IFERROR(MATCH('Tasks Filter'!$I$4,Setup!$L$6:$L$9,0),0)),OR('Tasks Filter'!$I$5="Both",AND('Tasks Filter'!$I$5="Yes",BB1653="✓"),AND('Tasks Filter'!$I$5="No",BB1653&lt;&gt;"✓")),OR('Tasks Filter'!$L$3="",AV1653='Tasks Filter'!$L$3),OR('Tasks Filter'!$L$4="",AZ1653='Tasks Filter'!$L$4),OR('Tasks Filter'!$L$5="",BC1653='Tasks Filter'!$L$5),OR('Tasks Filter'!$O$3="",BD1653='Tasks Filter'!$O$3),OR('Tasks Filter'!$O$4="Yes",BG1653=0)),1,0))</f>
        <v/>
      </c>
      <c r="BJ1653">
        <f>IF(BH1653=0,"",IF('Tasks Filter'!$F$6="Descending",-1,1)*CHOOSE(MATCH('Tasks Filter'!$F$5,Lists!$G$2:$G$6,0),AW1653,BF1653,IFERROR(MATCH(AV1653,Setup!$F$6:$F$15,0),99),IFERROR(MATCH(BC1653,Setup!$H$6:$H$15,0),99),IFERROR(MATCH(AZ1653,Setup!$J$6:$J$11,0),99))*1E+9+(AW1653-40000)*10000+1652)</f>
        <v/>
      </c>
      <c r="BK1653">
        <f>IF(BI1653=1,BJ1653,"")</f>
        <v/>
      </c>
      <c r="BL1653">
        <f>IF(AND(BH1653=1,BG1653=0,N(AW1653)&lt;Setup!$D$7),(AW1653-40000)*10000+1652,"")</f>
        <v/>
      </c>
      <c r="BM1653">
        <f>IF(AND(BH1653=1,AZ1653&lt;&gt;"Cancelled",N(AW1653)&gt;=Dashboard!$AB$3,N(AW1653)&lt;=Dashboard!$AB$3+6),(AW1653-40000)*100000+BF1653*10000+1652,"")</f>
        <v/>
      </c>
      <c r="BN1653">
        <f>IF(AND(BH1653=1,AZ1653&lt;&gt;"Cancelled"),BF1653*10000+1652,"")</f>
        <v/>
      </c>
    </row>
    <row r="1654">
      <c r="AS1654" t="inlineStr">
        <is>
          <t>V</t>
        </is>
      </c>
      <c r="AT1654" t="n">
        <v>158</v>
      </c>
      <c r="AU1654">
        <f>'Variable Tasks'!C158&amp;""</f>
        <v/>
      </c>
      <c r="AV1654">
        <f>'Variable Tasks'!D158&amp;""</f>
        <v/>
      </c>
      <c r="AW1654">
        <f>IF('Variable Tasks'!E158="","",'Variable Tasks'!E158)</f>
        <v/>
      </c>
      <c r="AX1654">
        <f>IF('Variable Tasks'!G158="","",'Variable Tasks'!G158)</f>
        <v/>
      </c>
      <c r="AY1654">
        <f>IF('Variable Tasks'!H158="","",'Variable Tasks'!H158)</f>
        <v/>
      </c>
      <c r="AZ1654">
        <f>IF(AU1654="","",IF('Variable Tasks'!J158="","Not Started",'Variable Tasks'!J158))</f>
        <v/>
      </c>
      <c r="BA1654">
        <f>'Variable Tasks'!L158&amp;""</f>
        <v/>
      </c>
      <c r="BB1654">
        <f>'Variable Tasks'!M158&amp;""</f>
        <v/>
      </c>
      <c r="BC1654">
        <f>'Variable Tasks'!N158&amp;""</f>
        <v/>
      </c>
      <c r="BD1654">
        <f>'Variable Tasks'!O158&amp;""</f>
        <v/>
      </c>
      <c r="BE1654">
        <f>IF('Variable Tasks'!K158="","",'Variable Tasks'!K158)</f>
        <v/>
      </c>
      <c r="BF1654">
        <f>IFERROR(MATCH(BA1654,Setup!$L$6:$L$9,0),5)</f>
        <v/>
      </c>
      <c r="BG1654">
        <f>IF(OR(AZ1654="Done",AZ1654="Cancelled"),1,0)</f>
        <v/>
      </c>
      <c r="BH1654">
        <f>IF(AND(AU1654&lt;&gt;"",ISNUMBER(AW1654)),1,0)</f>
        <v/>
      </c>
      <c r="BI1654">
        <f>IF(BH1654=0,0,IF(AND(AW1654&gt;='Tasks Filter'!$F$3,AW1654&lt;='Tasks Filter'!$F$4,OR('Tasks Filter'!$I$3="",ISNUMBER(SEARCH('Tasks Filter'!$I$3,AU1654))),OR('Tasks Filter'!$I$4="",BF1654=IFERROR(MATCH('Tasks Filter'!$I$4,Setup!$L$6:$L$9,0),0)),OR('Tasks Filter'!$I$5="Both",AND('Tasks Filter'!$I$5="Yes",BB1654="✓"),AND('Tasks Filter'!$I$5="No",BB1654&lt;&gt;"✓")),OR('Tasks Filter'!$L$3="",AV1654='Tasks Filter'!$L$3),OR('Tasks Filter'!$L$4="",AZ1654='Tasks Filter'!$L$4),OR('Tasks Filter'!$L$5="",BC1654='Tasks Filter'!$L$5),OR('Tasks Filter'!$O$3="",BD1654='Tasks Filter'!$O$3),OR('Tasks Filter'!$O$4="Yes",BG1654=0)),1,0))</f>
        <v/>
      </c>
      <c r="BJ1654">
        <f>IF(BH1654=0,"",IF('Tasks Filter'!$F$6="Descending",-1,1)*CHOOSE(MATCH('Tasks Filter'!$F$5,Lists!$G$2:$G$6,0),AW1654,BF1654,IFERROR(MATCH(AV1654,Setup!$F$6:$F$15,0),99),IFERROR(MATCH(BC1654,Setup!$H$6:$H$15,0),99),IFERROR(MATCH(AZ1654,Setup!$J$6:$J$11,0),99))*1E+9+(AW1654-40000)*10000+1653)</f>
        <v/>
      </c>
      <c r="BK1654">
        <f>IF(BI1654=1,BJ1654,"")</f>
        <v/>
      </c>
      <c r="BL1654">
        <f>IF(AND(BH1654=1,BG1654=0,N(AW1654)&lt;Setup!$D$7),(AW1654-40000)*10000+1653,"")</f>
        <v/>
      </c>
      <c r="BM1654">
        <f>IF(AND(BH1654=1,AZ1654&lt;&gt;"Cancelled",N(AW1654)&gt;=Dashboard!$AB$3,N(AW1654)&lt;=Dashboard!$AB$3+6),(AW1654-40000)*100000+BF1654*10000+1653,"")</f>
        <v/>
      </c>
      <c r="BN1654">
        <f>IF(AND(BH1654=1,AZ1654&lt;&gt;"Cancelled"),BF1654*10000+1653,"")</f>
        <v/>
      </c>
    </row>
    <row r="1655">
      <c r="AS1655" t="inlineStr">
        <is>
          <t>V</t>
        </is>
      </c>
      <c r="AT1655" t="n">
        <v>159</v>
      </c>
      <c r="AU1655">
        <f>'Variable Tasks'!C159&amp;""</f>
        <v/>
      </c>
      <c r="AV1655">
        <f>'Variable Tasks'!D159&amp;""</f>
        <v/>
      </c>
      <c r="AW1655">
        <f>IF('Variable Tasks'!E159="","",'Variable Tasks'!E159)</f>
        <v/>
      </c>
      <c r="AX1655">
        <f>IF('Variable Tasks'!G159="","",'Variable Tasks'!G159)</f>
        <v/>
      </c>
      <c r="AY1655">
        <f>IF('Variable Tasks'!H159="","",'Variable Tasks'!H159)</f>
        <v/>
      </c>
      <c r="AZ1655">
        <f>IF(AU1655="","",IF('Variable Tasks'!J159="","Not Started",'Variable Tasks'!J159))</f>
        <v/>
      </c>
      <c r="BA1655">
        <f>'Variable Tasks'!L159&amp;""</f>
        <v/>
      </c>
      <c r="BB1655">
        <f>'Variable Tasks'!M159&amp;""</f>
        <v/>
      </c>
      <c r="BC1655">
        <f>'Variable Tasks'!N159&amp;""</f>
        <v/>
      </c>
      <c r="BD1655">
        <f>'Variable Tasks'!O159&amp;""</f>
        <v/>
      </c>
      <c r="BE1655">
        <f>IF('Variable Tasks'!K159="","",'Variable Tasks'!K159)</f>
        <v/>
      </c>
      <c r="BF1655">
        <f>IFERROR(MATCH(BA1655,Setup!$L$6:$L$9,0),5)</f>
        <v/>
      </c>
      <c r="BG1655">
        <f>IF(OR(AZ1655="Done",AZ1655="Cancelled"),1,0)</f>
        <v/>
      </c>
      <c r="BH1655">
        <f>IF(AND(AU1655&lt;&gt;"",ISNUMBER(AW1655)),1,0)</f>
        <v/>
      </c>
      <c r="BI1655">
        <f>IF(BH1655=0,0,IF(AND(AW1655&gt;='Tasks Filter'!$F$3,AW1655&lt;='Tasks Filter'!$F$4,OR('Tasks Filter'!$I$3="",ISNUMBER(SEARCH('Tasks Filter'!$I$3,AU1655))),OR('Tasks Filter'!$I$4="",BF1655=IFERROR(MATCH('Tasks Filter'!$I$4,Setup!$L$6:$L$9,0),0)),OR('Tasks Filter'!$I$5="Both",AND('Tasks Filter'!$I$5="Yes",BB1655="✓"),AND('Tasks Filter'!$I$5="No",BB1655&lt;&gt;"✓")),OR('Tasks Filter'!$L$3="",AV1655='Tasks Filter'!$L$3),OR('Tasks Filter'!$L$4="",AZ1655='Tasks Filter'!$L$4),OR('Tasks Filter'!$L$5="",BC1655='Tasks Filter'!$L$5),OR('Tasks Filter'!$O$3="",BD1655='Tasks Filter'!$O$3),OR('Tasks Filter'!$O$4="Yes",BG1655=0)),1,0))</f>
        <v/>
      </c>
      <c r="BJ1655">
        <f>IF(BH1655=0,"",IF('Tasks Filter'!$F$6="Descending",-1,1)*CHOOSE(MATCH('Tasks Filter'!$F$5,Lists!$G$2:$G$6,0),AW1655,BF1655,IFERROR(MATCH(AV1655,Setup!$F$6:$F$15,0),99),IFERROR(MATCH(BC1655,Setup!$H$6:$H$15,0),99),IFERROR(MATCH(AZ1655,Setup!$J$6:$J$11,0),99))*1E+9+(AW1655-40000)*10000+1654)</f>
        <v/>
      </c>
      <c r="BK1655">
        <f>IF(BI1655=1,BJ1655,"")</f>
        <v/>
      </c>
      <c r="BL1655">
        <f>IF(AND(BH1655=1,BG1655=0,N(AW1655)&lt;Setup!$D$7),(AW1655-40000)*10000+1654,"")</f>
        <v/>
      </c>
      <c r="BM1655">
        <f>IF(AND(BH1655=1,AZ1655&lt;&gt;"Cancelled",N(AW1655)&gt;=Dashboard!$AB$3,N(AW1655)&lt;=Dashboard!$AB$3+6),(AW1655-40000)*100000+BF1655*10000+1654,"")</f>
        <v/>
      </c>
      <c r="BN1655">
        <f>IF(AND(BH1655=1,AZ1655&lt;&gt;"Cancelled"),BF1655*10000+1654,"")</f>
        <v/>
      </c>
    </row>
    <row r="1656">
      <c r="AS1656" t="inlineStr">
        <is>
          <t>V</t>
        </is>
      </c>
      <c r="AT1656" t="n">
        <v>160</v>
      </c>
      <c r="AU1656">
        <f>'Variable Tasks'!C160&amp;""</f>
        <v/>
      </c>
      <c r="AV1656">
        <f>'Variable Tasks'!D160&amp;""</f>
        <v/>
      </c>
      <c r="AW1656">
        <f>IF('Variable Tasks'!E160="","",'Variable Tasks'!E160)</f>
        <v/>
      </c>
      <c r="AX1656">
        <f>IF('Variable Tasks'!G160="","",'Variable Tasks'!G160)</f>
        <v/>
      </c>
      <c r="AY1656">
        <f>IF('Variable Tasks'!H160="","",'Variable Tasks'!H160)</f>
        <v/>
      </c>
      <c r="AZ1656">
        <f>IF(AU1656="","",IF('Variable Tasks'!J160="","Not Started",'Variable Tasks'!J160))</f>
        <v/>
      </c>
      <c r="BA1656">
        <f>'Variable Tasks'!L160&amp;""</f>
        <v/>
      </c>
      <c r="BB1656">
        <f>'Variable Tasks'!M160&amp;""</f>
        <v/>
      </c>
      <c r="BC1656">
        <f>'Variable Tasks'!N160&amp;""</f>
        <v/>
      </c>
      <c r="BD1656">
        <f>'Variable Tasks'!O160&amp;""</f>
        <v/>
      </c>
      <c r="BE1656">
        <f>IF('Variable Tasks'!K160="","",'Variable Tasks'!K160)</f>
        <v/>
      </c>
      <c r="BF1656">
        <f>IFERROR(MATCH(BA1656,Setup!$L$6:$L$9,0),5)</f>
        <v/>
      </c>
      <c r="BG1656">
        <f>IF(OR(AZ1656="Done",AZ1656="Cancelled"),1,0)</f>
        <v/>
      </c>
      <c r="BH1656">
        <f>IF(AND(AU1656&lt;&gt;"",ISNUMBER(AW1656)),1,0)</f>
        <v/>
      </c>
      <c r="BI1656">
        <f>IF(BH1656=0,0,IF(AND(AW1656&gt;='Tasks Filter'!$F$3,AW1656&lt;='Tasks Filter'!$F$4,OR('Tasks Filter'!$I$3="",ISNUMBER(SEARCH('Tasks Filter'!$I$3,AU1656))),OR('Tasks Filter'!$I$4="",BF1656=IFERROR(MATCH('Tasks Filter'!$I$4,Setup!$L$6:$L$9,0),0)),OR('Tasks Filter'!$I$5="Both",AND('Tasks Filter'!$I$5="Yes",BB1656="✓"),AND('Tasks Filter'!$I$5="No",BB1656&lt;&gt;"✓")),OR('Tasks Filter'!$L$3="",AV1656='Tasks Filter'!$L$3),OR('Tasks Filter'!$L$4="",AZ1656='Tasks Filter'!$L$4),OR('Tasks Filter'!$L$5="",BC1656='Tasks Filter'!$L$5),OR('Tasks Filter'!$O$3="",BD1656='Tasks Filter'!$O$3),OR('Tasks Filter'!$O$4="Yes",BG1656=0)),1,0))</f>
        <v/>
      </c>
      <c r="BJ1656">
        <f>IF(BH1656=0,"",IF('Tasks Filter'!$F$6="Descending",-1,1)*CHOOSE(MATCH('Tasks Filter'!$F$5,Lists!$G$2:$G$6,0),AW1656,BF1656,IFERROR(MATCH(AV1656,Setup!$F$6:$F$15,0),99),IFERROR(MATCH(BC1656,Setup!$H$6:$H$15,0),99),IFERROR(MATCH(AZ1656,Setup!$J$6:$J$11,0),99))*1E+9+(AW1656-40000)*10000+1655)</f>
        <v/>
      </c>
      <c r="BK1656">
        <f>IF(BI1656=1,BJ1656,"")</f>
        <v/>
      </c>
      <c r="BL1656">
        <f>IF(AND(BH1656=1,BG1656=0,N(AW1656)&lt;Setup!$D$7),(AW1656-40000)*10000+1655,"")</f>
        <v/>
      </c>
      <c r="BM1656">
        <f>IF(AND(BH1656=1,AZ1656&lt;&gt;"Cancelled",N(AW1656)&gt;=Dashboard!$AB$3,N(AW1656)&lt;=Dashboard!$AB$3+6),(AW1656-40000)*100000+BF1656*10000+1655,"")</f>
        <v/>
      </c>
      <c r="BN1656">
        <f>IF(AND(BH1656=1,AZ1656&lt;&gt;"Cancelled"),BF1656*10000+1655,"")</f>
        <v/>
      </c>
    </row>
    <row r="1657">
      <c r="AS1657" t="inlineStr">
        <is>
          <t>V</t>
        </is>
      </c>
      <c r="AT1657" t="n">
        <v>161</v>
      </c>
      <c r="AU1657">
        <f>'Variable Tasks'!C161&amp;""</f>
        <v/>
      </c>
      <c r="AV1657">
        <f>'Variable Tasks'!D161&amp;""</f>
        <v/>
      </c>
      <c r="AW1657">
        <f>IF('Variable Tasks'!E161="","",'Variable Tasks'!E161)</f>
        <v/>
      </c>
      <c r="AX1657">
        <f>IF('Variable Tasks'!G161="","",'Variable Tasks'!G161)</f>
        <v/>
      </c>
      <c r="AY1657">
        <f>IF('Variable Tasks'!H161="","",'Variable Tasks'!H161)</f>
        <v/>
      </c>
      <c r="AZ1657">
        <f>IF(AU1657="","",IF('Variable Tasks'!J161="","Not Started",'Variable Tasks'!J161))</f>
        <v/>
      </c>
      <c r="BA1657">
        <f>'Variable Tasks'!L161&amp;""</f>
        <v/>
      </c>
      <c r="BB1657">
        <f>'Variable Tasks'!M161&amp;""</f>
        <v/>
      </c>
      <c r="BC1657">
        <f>'Variable Tasks'!N161&amp;""</f>
        <v/>
      </c>
      <c r="BD1657">
        <f>'Variable Tasks'!O161&amp;""</f>
        <v/>
      </c>
      <c r="BE1657">
        <f>IF('Variable Tasks'!K161="","",'Variable Tasks'!K161)</f>
        <v/>
      </c>
      <c r="BF1657">
        <f>IFERROR(MATCH(BA1657,Setup!$L$6:$L$9,0),5)</f>
        <v/>
      </c>
      <c r="BG1657">
        <f>IF(OR(AZ1657="Done",AZ1657="Cancelled"),1,0)</f>
        <v/>
      </c>
      <c r="BH1657">
        <f>IF(AND(AU1657&lt;&gt;"",ISNUMBER(AW1657)),1,0)</f>
        <v/>
      </c>
      <c r="BI1657">
        <f>IF(BH1657=0,0,IF(AND(AW1657&gt;='Tasks Filter'!$F$3,AW1657&lt;='Tasks Filter'!$F$4,OR('Tasks Filter'!$I$3="",ISNUMBER(SEARCH('Tasks Filter'!$I$3,AU1657))),OR('Tasks Filter'!$I$4="",BF1657=IFERROR(MATCH('Tasks Filter'!$I$4,Setup!$L$6:$L$9,0),0)),OR('Tasks Filter'!$I$5="Both",AND('Tasks Filter'!$I$5="Yes",BB1657="✓"),AND('Tasks Filter'!$I$5="No",BB1657&lt;&gt;"✓")),OR('Tasks Filter'!$L$3="",AV1657='Tasks Filter'!$L$3),OR('Tasks Filter'!$L$4="",AZ1657='Tasks Filter'!$L$4),OR('Tasks Filter'!$L$5="",BC1657='Tasks Filter'!$L$5),OR('Tasks Filter'!$O$3="",BD1657='Tasks Filter'!$O$3),OR('Tasks Filter'!$O$4="Yes",BG1657=0)),1,0))</f>
        <v/>
      </c>
      <c r="BJ1657">
        <f>IF(BH1657=0,"",IF('Tasks Filter'!$F$6="Descending",-1,1)*CHOOSE(MATCH('Tasks Filter'!$F$5,Lists!$G$2:$G$6,0),AW1657,BF1657,IFERROR(MATCH(AV1657,Setup!$F$6:$F$15,0),99),IFERROR(MATCH(BC1657,Setup!$H$6:$H$15,0),99),IFERROR(MATCH(AZ1657,Setup!$J$6:$J$11,0),99))*1E+9+(AW1657-40000)*10000+1656)</f>
        <v/>
      </c>
      <c r="BK1657">
        <f>IF(BI1657=1,BJ1657,"")</f>
        <v/>
      </c>
      <c r="BL1657">
        <f>IF(AND(BH1657=1,BG1657=0,N(AW1657)&lt;Setup!$D$7),(AW1657-40000)*10000+1656,"")</f>
        <v/>
      </c>
      <c r="BM1657">
        <f>IF(AND(BH1657=1,AZ1657&lt;&gt;"Cancelled",N(AW1657)&gt;=Dashboard!$AB$3,N(AW1657)&lt;=Dashboard!$AB$3+6),(AW1657-40000)*100000+BF1657*10000+1656,"")</f>
        <v/>
      </c>
      <c r="BN1657">
        <f>IF(AND(BH1657=1,AZ1657&lt;&gt;"Cancelled"),BF1657*10000+1656,"")</f>
        <v/>
      </c>
    </row>
    <row r="1658">
      <c r="AS1658" t="inlineStr">
        <is>
          <t>V</t>
        </is>
      </c>
      <c r="AT1658" t="n">
        <v>162</v>
      </c>
      <c r="AU1658">
        <f>'Variable Tasks'!C162&amp;""</f>
        <v/>
      </c>
      <c r="AV1658">
        <f>'Variable Tasks'!D162&amp;""</f>
        <v/>
      </c>
      <c r="AW1658">
        <f>IF('Variable Tasks'!E162="","",'Variable Tasks'!E162)</f>
        <v/>
      </c>
      <c r="AX1658">
        <f>IF('Variable Tasks'!G162="","",'Variable Tasks'!G162)</f>
        <v/>
      </c>
      <c r="AY1658">
        <f>IF('Variable Tasks'!H162="","",'Variable Tasks'!H162)</f>
        <v/>
      </c>
      <c r="AZ1658">
        <f>IF(AU1658="","",IF('Variable Tasks'!J162="","Not Started",'Variable Tasks'!J162))</f>
        <v/>
      </c>
      <c r="BA1658">
        <f>'Variable Tasks'!L162&amp;""</f>
        <v/>
      </c>
      <c r="BB1658">
        <f>'Variable Tasks'!M162&amp;""</f>
        <v/>
      </c>
      <c r="BC1658">
        <f>'Variable Tasks'!N162&amp;""</f>
        <v/>
      </c>
      <c r="BD1658">
        <f>'Variable Tasks'!O162&amp;""</f>
        <v/>
      </c>
      <c r="BE1658">
        <f>IF('Variable Tasks'!K162="","",'Variable Tasks'!K162)</f>
        <v/>
      </c>
      <c r="BF1658">
        <f>IFERROR(MATCH(BA1658,Setup!$L$6:$L$9,0),5)</f>
        <v/>
      </c>
      <c r="BG1658">
        <f>IF(OR(AZ1658="Done",AZ1658="Cancelled"),1,0)</f>
        <v/>
      </c>
      <c r="BH1658">
        <f>IF(AND(AU1658&lt;&gt;"",ISNUMBER(AW1658)),1,0)</f>
        <v/>
      </c>
      <c r="BI1658">
        <f>IF(BH1658=0,0,IF(AND(AW1658&gt;='Tasks Filter'!$F$3,AW1658&lt;='Tasks Filter'!$F$4,OR('Tasks Filter'!$I$3="",ISNUMBER(SEARCH('Tasks Filter'!$I$3,AU1658))),OR('Tasks Filter'!$I$4="",BF1658=IFERROR(MATCH('Tasks Filter'!$I$4,Setup!$L$6:$L$9,0),0)),OR('Tasks Filter'!$I$5="Both",AND('Tasks Filter'!$I$5="Yes",BB1658="✓"),AND('Tasks Filter'!$I$5="No",BB1658&lt;&gt;"✓")),OR('Tasks Filter'!$L$3="",AV1658='Tasks Filter'!$L$3),OR('Tasks Filter'!$L$4="",AZ1658='Tasks Filter'!$L$4),OR('Tasks Filter'!$L$5="",BC1658='Tasks Filter'!$L$5),OR('Tasks Filter'!$O$3="",BD1658='Tasks Filter'!$O$3),OR('Tasks Filter'!$O$4="Yes",BG1658=0)),1,0))</f>
        <v/>
      </c>
      <c r="BJ1658">
        <f>IF(BH1658=0,"",IF('Tasks Filter'!$F$6="Descending",-1,1)*CHOOSE(MATCH('Tasks Filter'!$F$5,Lists!$G$2:$G$6,0),AW1658,BF1658,IFERROR(MATCH(AV1658,Setup!$F$6:$F$15,0),99),IFERROR(MATCH(BC1658,Setup!$H$6:$H$15,0),99),IFERROR(MATCH(AZ1658,Setup!$J$6:$J$11,0),99))*1E+9+(AW1658-40000)*10000+1657)</f>
        <v/>
      </c>
      <c r="BK1658">
        <f>IF(BI1658=1,BJ1658,"")</f>
        <v/>
      </c>
      <c r="BL1658">
        <f>IF(AND(BH1658=1,BG1658=0,N(AW1658)&lt;Setup!$D$7),(AW1658-40000)*10000+1657,"")</f>
        <v/>
      </c>
      <c r="BM1658">
        <f>IF(AND(BH1658=1,AZ1658&lt;&gt;"Cancelled",N(AW1658)&gt;=Dashboard!$AB$3,N(AW1658)&lt;=Dashboard!$AB$3+6),(AW1658-40000)*100000+BF1658*10000+1657,"")</f>
        <v/>
      </c>
      <c r="BN1658">
        <f>IF(AND(BH1658=1,AZ1658&lt;&gt;"Cancelled"),BF1658*10000+1657,"")</f>
        <v/>
      </c>
    </row>
    <row r="1659">
      <c r="AS1659" t="inlineStr">
        <is>
          <t>V</t>
        </is>
      </c>
      <c r="AT1659" t="n">
        <v>163</v>
      </c>
      <c r="AU1659">
        <f>'Variable Tasks'!C163&amp;""</f>
        <v/>
      </c>
      <c r="AV1659">
        <f>'Variable Tasks'!D163&amp;""</f>
        <v/>
      </c>
      <c r="AW1659">
        <f>IF('Variable Tasks'!E163="","",'Variable Tasks'!E163)</f>
        <v/>
      </c>
      <c r="AX1659">
        <f>IF('Variable Tasks'!G163="","",'Variable Tasks'!G163)</f>
        <v/>
      </c>
      <c r="AY1659">
        <f>IF('Variable Tasks'!H163="","",'Variable Tasks'!H163)</f>
        <v/>
      </c>
      <c r="AZ1659">
        <f>IF(AU1659="","",IF('Variable Tasks'!J163="","Not Started",'Variable Tasks'!J163))</f>
        <v/>
      </c>
      <c r="BA1659">
        <f>'Variable Tasks'!L163&amp;""</f>
        <v/>
      </c>
      <c r="BB1659">
        <f>'Variable Tasks'!M163&amp;""</f>
        <v/>
      </c>
      <c r="BC1659">
        <f>'Variable Tasks'!N163&amp;""</f>
        <v/>
      </c>
      <c r="BD1659">
        <f>'Variable Tasks'!O163&amp;""</f>
        <v/>
      </c>
      <c r="BE1659">
        <f>IF('Variable Tasks'!K163="","",'Variable Tasks'!K163)</f>
        <v/>
      </c>
      <c r="BF1659">
        <f>IFERROR(MATCH(BA1659,Setup!$L$6:$L$9,0),5)</f>
        <v/>
      </c>
      <c r="BG1659">
        <f>IF(OR(AZ1659="Done",AZ1659="Cancelled"),1,0)</f>
        <v/>
      </c>
      <c r="BH1659">
        <f>IF(AND(AU1659&lt;&gt;"",ISNUMBER(AW1659)),1,0)</f>
        <v/>
      </c>
      <c r="BI1659">
        <f>IF(BH1659=0,0,IF(AND(AW1659&gt;='Tasks Filter'!$F$3,AW1659&lt;='Tasks Filter'!$F$4,OR('Tasks Filter'!$I$3="",ISNUMBER(SEARCH('Tasks Filter'!$I$3,AU1659))),OR('Tasks Filter'!$I$4="",BF1659=IFERROR(MATCH('Tasks Filter'!$I$4,Setup!$L$6:$L$9,0),0)),OR('Tasks Filter'!$I$5="Both",AND('Tasks Filter'!$I$5="Yes",BB1659="✓"),AND('Tasks Filter'!$I$5="No",BB1659&lt;&gt;"✓")),OR('Tasks Filter'!$L$3="",AV1659='Tasks Filter'!$L$3),OR('Tasks Filter'!$L$4="",AZ1659='Tasks Filter'!$L$4),OR('Tasks Filter'!$L$5="",BC1659='Tasks Filter'!$L$5),OR('Tasks Filter'!$O$3="",BD1659='Tasks Filter'!$O$3),OR('Tasks Filter'!$O$4="Yes",BG1659=0)),1,0))</f>
        <v/>
      </c>
      <c r="BJ1659">
        <f>IF(BH1659=0,"",IF('Tasks Filter'!$F$6="Descending",-1,1)*CHOOSE(MATCH('Tasks Filter'!$F$5,Lists!$G$2:$G$6,0),AW1659,BF1659,IFERROR(MATCH(AV1659,Setup!$F$6:$F$15,0),99),IFERROR(MATCH(BC1659,Setup!$H$6:$H$15,0),99),IFERROR(MATCH(AZ1659,Setup!$J$6:$J$11,0),99))*1E+9+(AW1659-40000)*10000+1658)</f>
        <v/>
      </c>
      <c r="BK1659">
        <f>IF(BI1659=1,BJ1659,"")</f>
        <v/>
      </c>
      <c r="BL1659">
        <f>IF(AND(BH1659=1,BG1659=0,N(AW1659)&lt;Setup!$D$7),(AW1659-40000)*10000+1658,"")</f>
        <v/>
      </c>
      <c r="BM1659">
        <f>IF(AND(BH1659=1,AZ1659&lt;&gt;"Cancelled",N(AW1659)&gt;=Dashboard!$AB$3,N(AW1659)&lt;=Dashboard!$AB$3+6),(AW1659-40000)*100000+BF1659*10000+1658,"")</f>
        <v/>
      </c>
      <c r="BN1659">
        <f>IF(AND(BH1659=1,AZ1659&lt;&gt;"Cancelled"),BF1659*10000+1658,"")</f>
        <v/>
      </c>
    </row>
    <row r="1660">
      <c r="AS1660" t="inlineStr">
        <is>
          <t>V</t>
        </is>
      </c>
      <c r="AT1660" t="n">
        <v>164</v>
      </c>
      <c r="AU1660">
        <f>'Variable Tasks'!C164&amp;""</f>
        <v/>
      </c>
      <c r="AV1660">
        <f>'Variable Tasks'!D164&amp;""</f>
        <v/>
      </c>
      <c r="AW1660">
        <f>IF('Variable Tasks'!E164="","",'Variable Tasks'!E164)</f>
        <v/>
      </c>
      <c r="AX1660">
        <f>IF('Variable Tasks'!G164="","",'Variable Tasks'!G164)</f>
        <v/>
      </c>
      <c r="AY1660">
        <f>IF('Variable Tasks'!H164="","",'Variable Tasks'!H164)</f>
        <v/>
      </c>
      <c r="AZ1660">
        <f>IF(AU1660="","",IF('Variable Tasks'!J164="","Not Started",'Variable Tasks'!J164))</f>
        <v/>
      </c>
      <c r="BA1660">
        <f>'Variable Tasks'!L164&amp;""</f>
        <v/>
      </c>
      <c r="BB1660">
        <f>'Variable Tasks'!M164&amp;""</f>
        <v/>
      </c>
      <c r="BC1660">
        <f>'Variable Tasks'!N164&amp;""</f>
        <v/>
      </c>
      <c r="BD1660">
        <f>'Variable Tasks'!O164&amp;""</f>
        <v/>
      </c>
      <c r="BE1660">
        <f>IF('Variable Tasks'!K164="","",'Variable Tasks'!K164)</f>
        <v/>
      </c>
      <c r="BF1660">
        <f>IFERROR(MATCH(BA1660,Setup!$L$6:$L$9,0),5)</f>
        <v/>
      </c>
      <c r="BG1660">
        <f>IF(OR(AZ1660="Done",AZ1660="Cancelled"),1,0)</f>
        <v/>
      </c>
      <c r="BH1660">
        <f>IF(AND(AU1660&lt;&gt;"",ISNUMBER(AW1660)),1,0)</f>
        <v/>
      </c>
      <c r="BI1660">
        <f>IF(BH1660=0,0,IF(AND(AW1660&gt;='Tasks Filter'!$F$3,AW1660&lt;='Tasks Filter'!$F$4,OR('Tasks Filter'!$I$3="",ISNUMBER(SEARCH('Tasks Filter'!$I$3,AU1660))),OR('Tasks Filter'!$I$4="",BF1660=IFERROR(MATCH('Tasks Filter'!$I$4,Setup!$L$6:$L$9,0),0)),OR('Tasks Filter'!$I$5="Both",AND('Tasks Filter'!$I$5="Yes",BB1660="✓"),AND('Tasks Filter'!$I$5="No",BB1660&lt;&gt;"✓")),OR('Tasks Filter'!$L$3="",AV1660='Tasks Filter'!$L$3),OR('Tasks Filter'!$L$4="",AZ1660='Tasks Filter'!$L$4),OR('Tasks Filter'!$L$5="",BC1660='Tasks Filter'!$L$5),OR('Tasks Filter'!$O$3="",BD1660='Tasks Filter'!$O$3),OR('Tasks Filter'!$O$4="Yes",BG1660=0)),1,0))</f>
        <v/>
      </c>
      <c r="BJ1660">
        <f>IF(BH1660=0,"",IF('Tasks Filter'!$F$6="Descending",-1,1)*CHOOSE(MATCH('Tasks Filter'!$F$5,Lists!$G$2:$G$6,0),AW1660,BF1660,IFERROR(MATCH(AV1660,Setup!$F$6:$F$15,0),99),IFERROR(MATCH(BC1660,Setup!$H$6:$H$15,0),99),IFERROR(MATCH(AZ1660,Setup!$J$6:$J$11,0),99))*1E+9+(AW1660-40000)*10000+1659)</f>
        <v/>
      </c>
      <c r="BK1660">
        <f>IF(BI1660=1,BJ1660,"")</f>
        <v/>
      </c>
      <c r="BL1660">
        <f>IF(AND(BH1660=1,BG1660=0,N(AW1660)&lt;Setup!$D$7),(AW1660-40000)*10000+1659,"")</f>
        <v/>
      </c>
      <c r="BM1660">
        <f>IF(AND(BH1660=1,AZ1660&lt;&gt;"Cancelled",N(AW1660)&gt;=Dashboard!$AB$3,N(AW1660)&lt;=Dashboard!$AB$3+6),(AW1660-40000)*100000+BF1660*10000+1659,"")</f>
        <v/>
      </c>
      <c r="BN1660">
        <f>IF(AND(BH1660=1,AZ1660&lt;&gt;"Cancelled"),BF1660*10000+1659,"")</f>
        <v/>
      </c>
    </row>
    <row r="1661">
      <c r="AS1661" t="inlineStr">
        <is>
          <t>V</t>
        </is>
      </c>
      <c r="AT1661" t="n">
        <v>165</v>
      </c>
      <c r="AU1661">
        <f>'Variable Tasks'!C165&amp;""</f>
        <v/>
      </c>
      <c r="AV1661">
        <f>'Variable Tasks'!D165&amp;""</f>
        <v/>
      </c>
      <c r="AW1661">
        <f>IF('Variable Tasks'!E165="","",'Variable Tasks'!E165)</f>
        <v/>
      </c>
      <c r="AX1661">
        <f>IF('Variable Tasks'!G165="","",'Variable Tasks'!G165)</f>
        <v/>
      </c>
      <c r="AY1661">
        <f>IF('Variable Tasks'!H165="","",'Variable Tasks'!H165)</f>
        <v/>
      </c>
      <c r="AZ1661">
        <f>IF(AU1661="","",IF('Variable Tasks'!J165="","Not Started",'Variable Tasks'!J165))</f>
        <v/>
      </c>
      <c r="BA1661">
        <f>'Variable Tasks'!L165&amp;""</f>
        <v/>
      </c>
      <c r="BB1661">
        <f>'Variable Tasks'!M165&amp;""</f>
        <v/>
      </c>
      <c r="BC1661">
        <f>'Variable Tasks'!N165&amp;""</f>
        <v/>
      </c>
      <c r="BD1661">
        <f>'Variable Tasks'!O165&amp;""</f>
        <v/>
      </c>
      <c r="BE1661">
        <f>IF('Variable Tasks'!K165="","",'Variable Tasks'!K165)</f>
        <v/>
      </c>
      <c r="BF1661">
        <f>IFERROR(MATCH(BA1661,Setup!$L$6:$L$9,0),5)</f>
        <v/>
      </c>
      <c r="BG1661">
        <f>IF(OR(AZ1661="Done",AZ1661="Cancelled"),1,0)</f>
        <v/>
      </c>
      <c r="BH1661">
        <f>IF(AND(AU1661&lt;&gt;"",ISNUMBER(AW1661)),1,0)</f>
        <v/>
      </c>
      <c r="BI1661">
        <f>IF(BH1661=0,0,IF(AND(AW1661&gt;='Tasks Filter'!$F$3,AW1661&lt;='Tasks Filter'!$F$4,OR('Tasks Filter'!$I$3="",ISNUMBER(SEARCH('Tasks Filter'!$I$3,AU1661))),OR('Tasks Filter'!$I$4="",BF1661=IFERROR(MATCH('Tasks Filter'!$I$4,Setup!$L$6:$L$9,0),0)),OR('Tasks Filter'!$I$5="Both",AND('Tasks Filter'!$I$5="Yes",BB1661="✓"),AND('Tasks Filter'!$I$5="No",BB1661&lt;&gt;"✓")),OR('Tasks Filter'!$L$3="",AV1661='Tasks Filter'!$L$3),OR('Tasks Filter'!$L$4="",AZ1661='Tasks Filter'!$L$4),OR('Tasks Filter'!$L$5="",BC1661='Tasks Filter'!$L$5),OR('Tasks Filter'!$O$3="",BD1661='Tasks Filter'!$O$3),OR('Tasks Filter'!$O$4="Yes",BG1661=0)),1,0))</f>
        <v/>
      </c>
      <c r="BJ1661">
        <f>IF(BH1661=0,"",IF('Tasks Filter'!$F$6="Descending",-1,1)*CHOOSE(MATCH('Tasks Filter'!$F$5,Lists!$G$2:$G$6,0),AW1661,BF1661,IFERROR(MATCH(AV1661,Setup!$F$6:$F$15,0),99),IFERROR(MATCH(BC1661,Setup!$H$6:$H$15,0),99),IFERROR(MATCH(AZ1661,Setup!$J$6:$J$11,0),99))*1E+9+(AW1661-40000)*10000+1660)</f>
        <v/>
      </c>
      <c r="BK1661">
        <f>IF(BI1661=1,BJ1661,"")</f>
        <v/>
      </c>
      <c r="BL1661">
        <f>IF(AND(BH1661=1,BG1661=0,N(AW1661)&lt;Setup!$D$7),(AW1661-40000)*10000+1660,"")</f>
        <v/>
      </c>
      <c r="BM1661">
        <f>IF(AND(BH1661=1,AZ1661&lt;&gt;"Cancelled",N(AW1661)&gt;=Dashboard!$AB$3,N(AW1661)&lt;=Dashboard!$AB$3+6),(AW1661-40000)*100000+BF1661*10000+1660,"")</f>
        <v/>
      </c>
      <c r="BN1661">
        <f>IF(AND(BH1661=1,AZ1661&lt;&gt;"Cancelled"),BF1661*10000+1660,"")</f>
        <v/>
      </c>
    </row>
    <row r="1662">
      <c r="AS1662" t="inlineStr">
        <is>
          <t>V</t>
        </is>
      </c>
      <c r="AT1662" t="n">
        <v>166</v>
      </c>
      <c r="AU1662">
        <f>'Variable Tasks'!C166&amp;""</f>
        <v/>
      </c>
      <c r="AV1662">
        <f>'Variable Tasks'!D166&amp;""</f>
        <v/>
      </c>
      <c r="AW1662">
        <f>IF('Variable Tasks'!E166="","",'Variable Tasks'!E166)</f>
        <v/>
      </c>
      <c r="AX1662">
        <f>IF('Variable Tasks'!G166="","",'Variable Tasks'!G166)</f>
        <v/>
      </c>
      <c r="AY1662">
        <f>IF('Variable Tasks'!H166="","",'Variable Tasks'!H166)</f>
        <v/>
      </c>
      <c r="AZ1662">
        <f>IF(AU1662="","",IF('Variable Tasks'!J166="","Not Started",'Variable Tasks'!J166))</f>
        <v/>
      </c>
      <c r="BA1662">
        <f>'Variable Tasks'!L166&amp;""</f>
        <v/>
      </c>
      <c r="BB1662">
        <f>'Variable Tasks'!M166&amp;""</f>
        <v/>
      </c>
      <c r="BC1662">
        <f>'Variable Tasks'!N166&amp;""</f>
        <v/>
      </c>
      <c r="BD1662">
        <f>'Variable Tasks'!O166&amp;""</f>
        <v/>
      </c>
      <c r="BE1662">
        <f>IF('Variable Tasks'!K166="","",'Variable Tasks'!K166)</f>
        <v/>
      </c>
      <c r="BF1662">
        <f>IFERROR(MATCH(BA1662,Setup!$L$6:$L$9,0),5)</f>
        <v/>
      </c>
      <c r="BG1662">
        <f>IF(OR(AZ1662="Done",AZ1662="Cancelled"),1,0)</f>
        <v/>
      </c>
      <c r="BH1662">
        <f>IF(AND(AU1662&lt;&gt;"",ISNUMBER(AW1662)),1,0)</f>
        <v/>
      </c>
      <c r="BI1662">
        <f>IF(BH1662=0,0,IF(AND(AW1662&gt;='Tasks Filter'!$F$3,AW1662&lt;='Tasks Filter'!$F$4,OR('Tasks Filter'!$I$3="",ISNUMBER(SEARCH('Tasks Filter'!$I$3,AU1662))),OR('Tasks Filter'!$I$4="",BF1662=IFERROR(MATCH('Tasks Filter'!$I$4,Setup!$L$6:$L$9,0),0)),OR('Tasks Filter'!$I$5="Both",AND('Tasks Filter'!$I$5="Yes",BB1662="✓"),AND('Tasks Filter'!$I$5="No",BB1662&lt;&gt;"✓")),OR('Tasks Filter'!$L$3="",AV1662='Tasks Filter'!$L$3),OR('Tasks Filter'!$L$4="",AZ1662='Tasks Filter'!$L$4),OR('Tasks Filter'!$L$5="",BC1662='Tasks Filter'!$L$5),OR('Tasks Filter'!$O$3="",BD1662='Tasks Filter'!$O$3),OR('Tasks Filter'!$O$4="Yes",BG1662=0)),1,0))</f>
        <v/>
      </c>
      <c r="BJ1662">
        <f>IF(BH1662=0,"",IF('Tasks Filter'!$F$6="Descending",-1,1)*CHOOSE(MATCH('Tasks Filter'!$F$5,Lists!$G$2:$G$6,0),AW1662,BF1662,IFERROR(MATCH(AV1662,Setup!$F$6:$F$15,0),99),IFERROR(MATCH(BC1662,Setup!$H$6:$H$15,0),99),IFERROR(MATCH(AZ1662,Setup!$J$6:$J$11,0),99))*1E+9+(AW1662-40000)*10000+1661)</f>
        <v/>
      </c>
      <c r="BK1662">
        <f>IF(BI1662=1,BJ1662,"")</f>
        <v/>
      </c>
      <c r="BL1662">
        <f>IF(AND(BH1662=1,BG1662=0,N(AW1662)&lt;Setup!$D$7),(AW1662-40000)*10000+1661,"")</f>
        <v/>
      </c>
      <c r="BM1662">
        <f>IF(AND(BH1662=1,AZ1662&lt;&gt;"Cancelled",N(AW1662)&gt;=Dashboard!$AB$3,N(AW1662)&lt;=Dashboard!$AB$3+6),(AW1662-40000)*100000+BF1662*10000+1661,"")</f>
        <v/>
      </c>
      <c r="BN1662">
        <f>IF(AND(BH1662=1,AZ1662&lt;&gt;"Cancelled"),BF1662*10000+1661,"")</f>
        <v/>
      </c>
    </row>
    <row r="1663">
      <c r="AS1663" t="inlineStr">
        <is>
          <t>V</t>
        </is>
      </c>
      <c r="AT1663" t="n">
        <v>167</v>
      </c>
      <c r="AU1663">
        <f>'Variable Tasks'!C167&amp;""</f>
        <v/>
      </c>
      <c r="AV1663">
        <f>'Variable Tasks'!D167&amp;""</f>
        <v/>
      </c>
      <c r="AW1663">
        <f>IF('Variable Tasks'!E167="","",'Variable Tasks'!E167)</f>
        <v/>
      </c>
      <c r="AX1663">
        <f>IF('Variable Tasks'!G167="","",'Variable Tasks'!G167)</f>
        <v/>
      </c>
      <c r="AY1663">
        <f>IF('Variable Tasks'!H167="","",'Variable Tasks'!H167)</f>
        <v/>
      </c>
      <c r="AZ1663">
        <f>IF(AU1663="","",IF('Variable Tasks'!J167="","Not Started",'Variable Tasks'!J167))</f>
        <v/>
      </c>
      <c r="BA1663">
        <f>'Variable Tasks'!L167&amp;""</f>
        <v/>
      </c>
      <c r="BB1663">
        <f>'Variable Tasks'!M167&amp;""</f>
        <v/>
      </c>
      <c r="BC1663">
        <f>'Variable Tasks'!N167&amp;""</f>
        <v/>
      </c>
      <c r="BD1663">
        <f>'Variable Tasks'!O167&amp;""</f>
        <v/>
      </c>
      <c r="BE1663">
        <f>IF('Variable Tasks'!K167="","",'Variable Tasks'!K167)</f>
        <v/>
      </c>
      <c r="BF1663">
        <f>IFERROR(MATCH(BA1663,Setup!$L$6:$L$9,0),5)</f>
        <v/>
      </c>
      <c r="BG1663">
        <f>IF(OR(AZ1663="Done",AZ1663="Cancelled"),1,0)</f>
        <v/>
      </c>
      <c r="BH1663">
        <f>IF(AND(AU1663&lt;&gt;"",ISNUMBER(AW1663)),1,0)</f>
        <v/>
      </c>
      <c r="BI1663">
        <f>IF(BH1663=0,0,IF(AND(AW1663&gt;='Tasks Filter'!$F$3,AW1663&lt;='Tasks Filter'!$F$4,OR('Tasks Filter'!$I$3="",ISNUMBER(SEARCH('Tasks Filter'!$I$3,AU1663))),OR('Tasks Filter'!$I$4="",BF1663=IFERROR(MATCH('Tasks Filter'!$I$4,Setup!$L$6:$L$9,0),0)),OR('Tasks Filter'!$I$5="Both",AND('Tasks Filter'!$I$5="Yes",BB1663="✓"),AND('Tasks Filter'!$I$5="No",BB1663&lt;&gt;"✓")),OR('Tasks Filter'!$L$3="",AV1663='Tasks Filter'!$L$3),OR('Tasks Filter'!$L$4="",AZ1663='Tasks Filter'!$L$4),OR('Tasks Filter'!$L$5="",BC1663='Tasks Filter'!$L$5),OR('Tasks Filter'!$O$3="",BD1663='Tasks Filter'!$O$3),OR('Tasks Filter'!$O$4="Yes",BG1663=0)),1,0))</f>
        <v/>
      </c>
      <c r="BJ1663">
        <f>IF(BH1663=0,"",IF('Tasks Filter'!$F$6="Descending",-1,1)*CHOOSE(MATCH('Tasks Filter'!$F$5,Lists!$G$2:$G$6,0),AW1663,BF1663,IFERROR(MATCH(AV1663,Setup!$F$6:$F$15,0),99),IFERROR(MATCH(BC1663,Setup!$H$6:$H$15,0),99),IFERROR(MATCH(AZ1663,Setup!$J$6:$J$11,0),99))*1E+9+(AW1663-40000)*10000+1662)</f>
        <v/>
      </c>
      <c r="BK1663">
        <f>IF(BI1663=1,BJ1663,"")</f>
        <v/>
      </c>
      <c r="BL1663">
        <f>IF(AND(BH1663=1,BG1663=0,N(AW1663)&lt;Setup!$D$7),(AW1663-40000)*10000+1662,"")</f>
        <v/>
      </c>
      <c r="BM1663">
        <f>IF(AND(BH1663=1,AZ1663&lt;&gt;"Cancelled",N(AW1663)&gt;=Dashboard!$AB$3,N(AW1663)&lt;=Dashboard!$AB$3+6),(AW1663-40000)*100000+BF1663*10000+1662,"")</f>
        <v/>
      </c>
      <c r="BN1663">
        <f>IF(AND(BH1663=1,AZ1663&lt;&gt;"Cancelled"),BF1663*10000+1662,"")</f>
        <v/>
      </c>
    </row>
    <row r="1664">
      <c r="AS1664" t="inlineStr">
        <is>
          <t>V</t>
        </is>
      </c>
      <c r="AT1664" t="n">
        <v>168</v>
      </c>
      <c r="AU1664">
        <f>'Variable Tasks'!C168&amp;""</f>
        <v/>
      </c>
      <c r="AV1664">
        <f>'Variable Tasks'!D168&amp;""</f>
        <v/>
      </c>
      <c r="AW1664">
        <f>IF('Variable Tasks'!E168="","",'Variable Tasks'!E168)</f>
        <v/>
      </c>
      <c r="AX1664">
        <f>IF('Variable Tasks'!G168="","",'Variable Tasks'!G168)</f>
        <v/>
      </c>
      <c r="AY1664">
        <f>IF('Variable Tasks'!H168="","",'Variable Tasks'!H168)</f>
        <v/>
      </c>
      <c r="AZ1664">
        <f>IF(AU1664="","",IF('Variable Tasks'!J168="","Not Started",'Variable Tasks'!J168))</f>
        <v/>
      </c>
      <c r="BA1664">
        <f>'Variable Tasks'!L168&amp;""</f>
        <v/>
      </c>
      <c r="BB1664">
        <f>'Variable Tasks'!M168&amp;""</f>
        <v/>
      </c>
      <c r="BC1664">
        <f>'Variable Tasks'!N168&amp;""</f>
        <v/>
      </c>
      <c r="BD1664">
        <f>'Variable Tasks'!O168&amp;""</f>
        <v/>
      </c>
      <c r="BE1664">
        <f>IF('Variable Tasks'!K168="","",'Variable Tasks'!K168)</f>
        <v/>
      </c>
      <c r="BF1664">
        <f>IFERROR(MATCH(BA1664,Setup!$L$6:$L$9,0),5)</f>
        <v/>
      </c>
      <c r="BG1664">
        <f>IF(OR(AZ1664="Done",AZ1664="Cancelled"),1,0)</f>
        <v/>
      </c>
      <c r="BH1664">
        <f>IF(AND(AU1664&lt;&gt;"",ISNUMBER(AW1664)),1,0)</f>
        <v/>
      </c>
      <c r="BI1664">
        <f>IF(BH1664=0,0,IF(AND(AW1664&gt;='Tasks Filter'!$F$3,AW1664&lt;='Tasks Filter'!$F$4,OR('Tasks Filter'!$I$3="",ISNUMBER(SEARCH('Tasks Filter'!$I$3,AU1664))),OR('Tasks Filter'!$I$4="",BF1664=IFERROR(MATCH('Tasks Filter'!$I$4,Setup!$L$6:$L$9,0),0)),OR('Tasks Filter'!$I$5="Both",AND('Tasks Filter'!$I$5="Yes",BB1664="✓"),AND('Tasks Filter'!$I$5="No",BB1664&lt;&gt;"✓")),OR('Tasks Filter'!$L$3="",AV1664='Tasks Filter'!$L$3),OR('Tasks Filter'!$L$4="",AZ1664='Tasks Filter'!$L$4),OR('Tasks Filter'!$L$5="",BC1664='Tasks Filter'!$L$5),OR('Tasks Filter'!$O$3="",BD1664='Tasks Filter'!$O$3),OR('Tasks Filter'!$O$4="Yes",BG1664=0)),1,0))</f>
        <v/>
      </c>
      <c r="BJ1664">
        <f>IF(BH1664=0,"",IF('Tasks Filter'!$F$6="Descending",-1,1)*CHOOSE(MATCH('Tasks Filter'!$F$5,Lists!$G$2:$G$6,0),AW1664,BF1664,IFERROR(MATCH(AV1664,Setup!$F$6:$F$15,0),99),IFERROR(MATCH(BC1664,Setup!$H$6:$H$15,0),99),IFERROR(MATCH(AZ1664,Setup!$J$6:$J$11,0),99))*1E+9+(AW1664-40000)*10000+1663)</f>
        <v/>
      </c>
      <c r="BK1664">
        <f>IF(BI1664=1,BJ1664,"")</f>
        <v/>
      </c>
      <c r="BL1664">
        <f>IF(AND(BH1664=1,BG1664=0,N(AW1664)&lt;Setup!$D$7),(AW1664-40000)*10000+1663,"")</f>
        <v/>
      </c>
      <c r="BM1664">
        <f>IF(AND(BH1664=1,AZ1664&lt;&gt;"Cancelled",N(AW1664)&gt;=Dashboard!$AB$3,N(AW1664)&lt;=Dashboard!$AB$3+6),(AW1664-40000)*100000+BF1664*10000+1663,"")</f>
        <v/>
      </c>
      <c r="BN1664">
        <f>IF(AND(BH1664=1,AZ1664&lt;&gt;"Cancelled"),BF1664*10000+1663,"")</f>
        <v/>
      </c>
    </row>
    <row r="1665">
      <c r="AS1665" t="inlineStr">
        <is>
          <t>V</t>
        </is>
      </c>
      <c r="AT1665" t="n">
        <v>169</v>
      </c>
      <c r="AU1665">
        <f>'Variable Tasks'!C169&amp;""</f>
        <v/>
      </c>
      <c r="AV1665">
        <f>'Variable Tasks'!D169&amp;""</f>
        <v/>
      </c>
      <c r="AW1665">
        <f>IF('Variable Tasks'!E169="","",'Variable Tasks'!E169)</f>
        <v/>
      </c>
      <c r="AX1665">
        <f>IF('Variable Tasks'!G169="","",'Variable Tasks'!G169)</f>
        <v/>
      </c>
      <c r="AY1665">
        <f>IF('Variable Tasks'!H169="","",'Variable Tasks'!H169)</f>
        <v/>
      </c>
      <c r="AZ1665">
        <f>IF(AU1665="","",IF('Variable Tasks'!J169="","Not Started",'Variable Tasks'!J169))</f>
        <v/>
      </c>
      <c r="BA1665">
        <f>'Variable Tasks'!L169&amp;""</f>
        <v/>
      </c>
      <c r="BB1665">
        <f>'Variable Tasks'!M169&amp;""</f>
        <v/>
      </c>
      <c r="BC1665">
        <f>'Variable Tasks'!N169&amp;""</f>
        <v/>
      </c>
      <c r="BD1665">
        <f>'Variable Tasks'!O169&amp;""</f>
        <v/>
      </c>
      <c r="BE1665">
        <f>IF('Variable Tasks'!K169="","",'Variable Tasks'!K169)</f>
        <v/>
      </c>
      <c r="BF1665">
        <f>IFERROR(MATCH(BA1665,Setup!$L$6:$L$9,0),5)</f>
        <v/>
      </c>
      <c r="BG1665">
        <f>IF(OR(AZ1665="Done",AZ1665="Cancelled"),1,0)</f>
        <v/>
      </c>
      <c r="BH1665">
        <f>IF(AND(AU1665&lt;&gt;"",ISNUMBER(AW1665)),1,0)</f>
        <v/>
      </c>
      <c r="BI1665">
        <f>IF(BH1665=0,0,IF(AND(AW1665&gt;='Tasks Filter'!$F$3,AW1665&lt;='Tasks Filter'!$F$4,OR('Tasks Filter'!$I$3="",ISNUMBER(SEARCH('Tasks Filter'!$I$3,AU1665))),OR('Tasks Filter'!$I$4="",BF1665=IFERROR(MATCH('Tasks Filter'!$I$4,Setup!$L$6:$L$9,0),0)),OR('Tasks Filter'!$I$5="Both",AND('Tasks Filter'!$I$5="Yes",BB1665="✓"),AND('Tasks Filter'!$I$5="No",BB1665&lt;&gt;"✓")),OR('Tasks Filter'!$L$3="",AV1665='Tasks Filter'!$L$3),OR('Tasks Filter'!$L$4="",AZ1665='Tasks Filter'!$L$4),OR('Tasks Filter'!$L$5="",BC1665='Tasks Filter'!$L$5),OR('Tasks Filter'!$O$3="",BD1665='Tasks Filter'!$O$3),OR('Tasks Filter'!$O$4="Yes",BG1665=0)),1,0))</f>
        <v/>
      </c>
      <c r="BJ1665">
        <f>IF(BH1665=0,"",IF('Tasks Filter'!$F$6="Descending",-1,1)*CHOOSE(MATCH('Tasks Filter'!$F$5,Lists!$G$2:$G$6,0),AW1665,BF1665,IFERROR(MATCH(AV1665,Setup!$F$6:$F$15,0),99),IFERROR(MATCH(BC1665,Setup!$H$6:$H$15,0),99),IFERROR(MATCH(AZ1665,Setup!$J$6:$J$11,0),99))*1E+9+(AW1665-40000)*10000+1664)</f>
        <v/>
      </c>
      <c r="BK1665">
        <f>IF(BI1665=1,BJ1665,"")</f>
        <v/>
      </c>
      <c r="BL1665">
        <f>IF(AND(BH1665=1,BG1665=0,N(AW1665)&lt;Setup!$D$7),(AW1665-40000)*10000+1664,"")</f>
        <v/>
      </c>
      <c r="BM1665">
        <f>IF(AND(BH1665=1,AZ1665&lt;&gt;"Cancelled",N(AW1665)&gt;=Dashboard!$AB$3,N(AW1665)&lt;=Dashboard!$AB$3+6),(AW1665-40000)*100000+BF1665*10000+1664,"")</f>
        <v/>
      </c>
      <c r="BN1665">
        <f>IF(AND(BH1665=1,AZ1665&lt;&gt;"Cancelled"),BF1665*10000+1664,"")</f>
        <v/>
      </c>
    </row>
    <row r="1666">
      <c r="AS1666" t="inlineStr">
        <is>
          <t>V</t>
        </is>
      </c>
      <c r="AT1666" t="n">
        <v>170</v>
      </c>
      <c r="AU1666">
        <f>'Variable Tasks'!C170&amp;""</f>
        <v/>
      </c>
      <c r="AV1666">
        <f>'Variable Tasks'!D170&amp;""</f>
        <v/>
      </c>
      <c r="AW1666">
        <f>IF('Variable Tasks'!E170="","",'Variable Tasks'!E170)</f>
        <v/>
      </c>
      <c r="AX1666">
        <f>IF('Variable Tasks'!G170="","",'Variable Tasks'!G170)</f>
        <v/>
      </c>
      <c r="AY1666">
        <f>IF('Variable Tasks'!H170="","",'Variable Tasks'!H170)</f>
        <v/>
      </c>
      <c r="AZ1666">
        <f>IF(AU1666="","",IF('Variable Tasks'!J170="","Not Started",'Variable Tasks'!J170))</f>
        <v/>
      </c>
      <c r="BA1666">
        <f>'Variable Tasks'!L170&amp;""</f>
        <v/>
      </c>
      <c r="BB1666">
        <f>'Variable Tasks'!M170&amp;""</f>
        <v/>
      </c>
      <c r="BC1666">
        <f>'Variable Tasks'!N170&amp;""</f>
        <v/>
      </c>
      <c r="BD1666">
        <f>'Variable Tasks'!O170&amp;""</f>
        <v/>
      </c>
      <c r="BE1666">
        <f>IF('Variable Tasks'!K170="","",'Variable Tasks'!K170)</f>
        <v/>
      </c>
      <c r="BF1666">
        <f>IFERROR(MATCH(BA1666,Setup!$L$6:$L$9,0),5)</f>
        <v/>
      </c>
      <c r="BG1666">
        <f>IF(OR(AZ1666="Done",AZ1666="Cancelled"),1,0)</f>
        <v/>
      </c>
      <c r="BH1666">
        <f>IF(AND(AU1666&lt;&gt;"",ISNUMBER(AW1666)),1,0)</f>
        <v/>
      </c>
      <c r="BI1666">
        <f>IF(BH1666=0,0,IF(AND(AW1666&gt;='Tasks Filter'!$F$3,AW1666&lt;='Tasks Filter'!$F$4,OR('Tasks Filter'!$I$3="",ISNUMBER(SEARCH('Tasks Filter'!$I$3,AU1666))),OR('Tasks Filter'!$I$4="",BF1666=IFERROR(MATCH('Tasks Filter'!$I$4,Setup!$L$6:$L$9,0),0)),OR('Tasks Filter'!$I$5="Both",AND('Tasks Filter'!$I$5="Yes",BB1666="✓"),AND('Tasks Filter'!$I$5="No",BB1666&lt;&gt;"✓")),OR('Tasks Filter'!$L$3="",AV1666='Tasks Filter'!$L$3),OR('Tasks Filter'!$L$4="",AZ1666='Tasks Filter'!$L$4),OR('Tasks Filter'!$L$5="",BC1666='Tasks Filter'!$L$5),OR('Tasks Filter'!$O$3="",BD1666='Tasks Filter'!$O$3),OR('Tasks Filter'!$O$4="Yes",BG1666=0)),1,0))</f>
        <v/>
      </c>
      <c r="BJ1666">
        <f>IF(BH1666=0,"",IF('Tasks Filter'!$F$6="Descending",-1,1)*CHOOSE(MATCH('Tasks Filter'!$F$5,Lists!$G$2:$G$6,0),AW1666,BF1666,IFERROR(MATCH(AV1666,Setup!$F$6:$F$15,0),99),IFERROR(MATCH(BC1666,Setup!$H$6:$H$15,0),99),IFERROR(MATCH(AZ1666,Setup!$J$6:$J$11,0),99))*1E+9+(AW1666-40000)*10000+1665)</f>
        <v/>
      </c>
      <c r="BK1666">
        <f>IF(BI1666=1,BJ1666,"")</f>
        <v/>
      </c>
      <c r="BL1666">
        <f>IF(AND(BH1666=1,BG1666=0,N(AW1666)&lt;Setup!$D$7),(AW1666-40000)*10000+1665,"")</f>
        <v/>
      </c>
      <c r="BM1666">
        <f>IF(AND(BH1666=1,AZ1666&lt;&gt;"Cancelled",N(AW1666)&gt;=Dashboard!$AB$3,N(AW1666)&lt;=Dashboard!$AB$3+6),(AW1666-40000)*100000+BF1666*10000+1665,"")</f>
        <v/>
      </c>
      <c r="BN1666">
        <f>IF(AND(BH1666=1,AZ1666&lt;&gt;"Cancelled"),BF1666*10000+1665,"")</f>
        <v/>
      </c>
    </row>
    <row r="1667">
      <c r="AS1667" t="inlineStr">
        <is>
          <t>V</t>
        </is>
      </c>
      <c r="AT1667" t="n">
        <v>171</v>
      </c>
      <c r="AU1667">
        <f>'Variable Tasks'!C171&amp;""</f>
        <v/>
      </c>
      <c r="AV1667">
        <f>'Variable Tasks'!D171&amp;""</f>
        <v/>
      </c>
      <c r="AW1667">
        <f>IF('Variable Tasks'!E171="","",'Variable Tasks'!E171)</f>
        <v/>
      </c>
      <c r="AX1667">
        <f>IF('Variable Tasks'!G171="","",'Variable Tasks'!G171)</f>
        <v/>
      </c>
      <c r="AY1667">
        <f>IF('Variable Tasks'!H171="","",'Variable Tasks'!H171)</f>
        <v/>
      </c>
      <c r="AZ1667">
        <f>IF(AU1667="","",IF('Variable Tasks'!J171="","Not Started",'Variable Tasks'!J171))</f>
        <v/>
      </c>
      <c r="BA1667">
        <f>'Variable Tasks'!L171&amp;""</f>
        <v/>
      </c>
      <c r="BB1667">
        <f>'Variable Tasks'!M171&amp;""</f>
        <v/>
      </c>
      <c r="BC1667">
        <f>'Variable Tasks'!N171&amp;""</f>
        <v/>
      </c>
      <c r="BD1667">
        <f>'Variable Tasks'!O171&amp;""</f>
        <v/>
      </c>
      <c r="BE1667">
        <f>IF('Variable Tasks'!K171="","",'Variable Tasks'!K171)</f>
        <v/>
      </c>
      <c r="BF1667">
        <f>IFERROR(MATCH(BA1667,Setup!$L$6:$L$9,0),5)</f>
        <v/>
      </c>
      <c r="BG1667">
        <f>IF(OR(AZ1667="Done",AZ1667="Cancelled"),1,0)</f>
        <v/>
      </c>
      <c r="BH1667">
        <f>IF(AND(AU1667&lt;&gt;"",ISNUMBER(AW1667)),1,0)</f>
        <v/>
      </c>
      <c r="BI1667">
        <f>IF(BH1667=0,0,IF(AND(AW1667&gt;='Tasks Filter'!$F$3,AW1667&lt;='Tasks Filter'!$F$4,OR('Tasks Filter'!$I$3="",ISNUMBER(SEARCH('Tasks Filter'!$I$3,AU1667))),OR('Tasks Filter'!$I$4="",BF1667=IFERROR(MATCH('Tasks Filter'!$I$4,Setup!$L$6:$L$9,0),0)),OR('Tasks Filter'!$I$5="Both",AND('Tasks Filter'!$I$5="Yes",BB1667="✓"),AND('Tasks Filter'!$I$5="No",BB1667&lt;&gt;"✓")),OR('Tasks Filter'!$L$3="",AV1667='Tasks Filter'!$L$3),OR('Tasks Filter'!$L$4="",AZ1667='Tasks Filter'!$L$4),OR('Tasks Filter'!$L$5="",BC1667='Tasks Filter'!$L$5),OR('Tasks Filter'!$O$3="",BD1667='Tasks Filter'!$O$3),OR('Tasks Filter'!$O$4="Yes",BG1667=0)),1,0))</f>
        <v/>
      </c>
      <c r="BJ1667">
        <f>IF(BH1667=0,"",IF('Tasks Filter'!$F$6="Descending",-1,1)*CHOOSE(MATCH('Tasks Filter'!$F$5,Lists!$G$2:$G$6,0),AW1667,BF1667,IFERROR(MATCH(AV1667,Setup!$F$6:$F$15,0),99),IFERROR(MATCH(BC1667,Setup!$H$6:$H$15,0),99),IFERROR(MATCH(AZ1667,Setup!$J$6:$J$11,0),99))*1E+9+(AW1667-40000)*10000+1666)</f>
        <v/>
      </c>
      <c r="BK1667">
        <f>IF(BI1667=1,BJ1667,"")</f>
        <v/>
      </c>
      <c r="BL1667">
        <f>IF(AND(BH1667=1,BG1667=0,N(AW1667)&lt;Setup!$D$7),(AW1667-40000)*10000+1666,"")</f>
        <v/>
      </c>
      <c r="BM1667">
        <f>IF(AND(BH1667=1,AZ1667&lt;&gt;"Cancelled",N(AW1667)&gt;=Dashboard!$AB$3,N(AW1667)&lt;=Dashboard!$AB$3+6),(AW1667-40000)*100000+BF1667*10000+1666,"")</f>
        <v/>
      </c>
      <c r="BN1667">
        <f>IF(AND(BH1667=1,AZ1667&lt;&gt;"Cancelled"),BF1667*10000+1666,"")</f>
        <v/>
      </c>
    </row>
    <row r="1668">
      <c r="AS1668" t="inlineStr">
        <is>
          <t>V</t>
        </is>
      </c>
      <c r="AT1668" t="n">
        <v>172</v>
      </c>
      <c r="AU1668">
        <f>'Variable Tasks'!C172&amp;""</f>
        <v/>
      </c>
      <c r="AV1668">
        <f>'Variable Tasks'!D172&amp;""</f>
        <v/>
      </c>
      <c r="AW1668">
        <f>IF('Variable Tasks'!E172="","",'Variable Tasks'!E172)</f>
        <v/>
      </c>
      <c r="AX1668">
        <f>IF('Variable Tasks'!G172="","",'Variable Tasks'!G172)</f>
        <v/>
      </c>
      <c r="AY1668">
        <f>IF('Variable Tasks'!H172="","",'Variable Tasks'!H172)</f>
        <v/>
      </c>
      <c r="AZ1668">
        <f>IF(AU1668="","",IF('Variable Tasks'!J172="","Not Started",'Variable Tasks'!J172))</f>
        <v/>
      </c>
      <c r="BA1668">
        <f>'Variable Tasks'!L172&amp;""</f>
        <v/>
      </c>
      <c r="BB1668">
        <f>'Variable Tasks'!M172&amp;""</f>
        <v/>
      </c>
      <c r="BC1668">
        <f>'Variable Tasks'!N172&amp;""</f>
        <v/>
      </c>
      <c r="BD1668">
        <f>'Variable Tasks'!O172&amp;""</f>
        <v/>
      </c>
      <c r="BE1668">
        <f>IF('Variable Tasks'!K172="","",'Variable Tasks'!K172)</f>
        <v/>
      </c>
      <c r="BF1668">
        <f>IFERROR(MATCH(BA1668,Setup!$L$6:$L$9,0),5)</f>
        <v/>
      </c>
      <c r="BG1668">
        <f>IF(OR(AZ1668="Done",AZ1668="Cancelled"),1,0)</f>
        <v/>
      </c>
      <c r="BH1668">
        <f>IF(AND(AU1668&lt;&gt;"",ISNUMBER(AW1668)),1,0)</f>
        <v/>
      </c>
      <c r="BI1668">
        <f>IF(BH1668=0,0,IF(AND(AW1668&gt;='Tasks Filter'!$F$3,AW1668&lt;='Tasks Filter'!$F$4,OR('Tasks Filter'!$I$3="",ISNUMBER(SEARCH('Tasks Filter'!$I$3,AU1668))),OR('Tasks Filter'!$I$4="",BF1668=IFERROR(MATCH('Tasks Filter'!$I$4,Setup!$L$6:$L$9,0),0)),OR('Tasks Filter'!$I$5="Both",AND('Tasks Filter'!$I$5="Yes",BB1668="✓"),AND('Tasks Filter'!$I$5="No",BB1668&lt;&gt;"✓")),OR('Tasks Filter'!$L$3="",AV1668='Tasks Filter'!$L$3),OR('Tasks Filter'!$L$4="",AZ1668='Tasks Filter'!$L$4),OR('Tasks Filter'!$L$5="",BC1668='Tasks Filter'!$L$5),OR('Tasks Filter'!$O$3="",BD1668='Tasks Filter'!$O$3),OR('Tasks Filter'!$O$4="Yes",BG1668=0)),1,0))</f>
        <v/>
      </c>
      <c r="BJ1668">
        <f>IF(BH1668=0,"",IF('Tasks Filter'!$F$6="Descending",-1,1)*CHOOSE(MATCH('Tasks Filter'!$F$5,Lists!$G$2:$G$6,0),AW1668,BF1668,IFERROR(MATCH(AV1668,Setup!$F$6:$F$15,0),99),IFERROR(MATCH(BC1668,Setup!$H$6:$H$15,0),99),IFERROR(MATCH(AZ1668,Setup!$J$6:$J$11,0),99))*1E+9+(AW1668-40000)*10000+1667)</f>
        <v/>
      </c>
      <c r="BK1668">
        <f>IF(BI1668=1,BJ1668,"")</f>
        <v/>
      </c>
      <c r="BL1668">
        <f>IF(AND(BH1668=1,BG1668=0,N(AW1668)&lt;Setup!$D$7),(AW1668-40000)*10000+1667,"")</f>
        <v/>
      </c>
      <c r="BM1668">
        <f>IF(AND(BH1668=1,AZ1668&lt;&gt;"Cancelled",N(AW1668)&gt;=Dashboard!$AB$3,N(AW1668)&lt;=Dashboard!$AB$3+6),(AW1668-40000)*100000+BF1668*10000+1667,"")</f>
        <v/>
      </c>
      <c r="BN1668">
        <f>IF(AND(BH1668=1,AZ1668&lt;&gt;"Cancelled"),BF1668*10000+1667,"")</f>
        <v/>
      </c>
    </row>
    <row r="1669">
      <c r="AS1669" t="inlineStr">
        <is>
          <t>V</t>
        </is>
      </c>
      <c r="AT1669" t="n">
        <v>173</v>
      </c>
      <c r="AU1669">
        <f>'Variable Tasks'!C173&amp;""</f>
        <v/>
      </c>
      <c r="AV1669">
        <f>'Variable Tasks'!D173&amp;""</f>
        <v/>
      </c>
      <c r="AW1669">
        <f>IF('Variable Tasks'!E173="","",'Variable Tasks'!E173)</f>
        <v/>
      </c>
      <c r="AX1669">
        <f>IF('Variable Tasks'!G173="","",'Variable Tasks'!G173)</f>
        <v/>
      </c>
      <c r="AY1669">
        <f>IF('Variable Tasks'!H173="","",'Variable Tasks'!H173)</f>
        <v/>
      </c>
      <c r="AZ1669">
        <f>IF(AU1669="","",IF('Variable Tasks'!J173="","Not Started",'Variable Tasks'!J173))</f>
        <v/>
      </c>
      <c r="BA1669">
        <f>'Variable Tasks'!L173&amp;""</f>
        <v/>
      </c>
      <c r="BB1669">
        <f>'Variable Tasks'!M173&amp;""</f>
        <v/>
      </c>
      <c r="BC1669">
        <f>'Variable Tasks'!N173&amp;""</f>
        <v/>
      </c>
      <c r="BD1669">
        <f>'Variable Tasks'!O173&amp;""</f>
        <v/>
      </c>
      <c r="BE1669">
        <f>IF('Variable Tasks'!K173="","",'Variable Tasks'!K173)</f>
        <v/>
      </c>
      <c r="BF1669">
        <f>IFERROR(MATCH(BA1669,Setup!$L$6:$L$9,0),5)</f>
        <v/>
      </c>
      <c r="BG1669">
        <f>IF(OR(AZ1669="Done",AZ1669="Cancelled"),1,0)</f>
        <v/>
      </c>
      <c r="BH1669">
        <f>IF(AND(AU1669&lt;&gt;"",ISNUMBER(AW1669)),1,0)</f>
        <v/>
      </c>
      <c r="BI1669">
        <f>IF(BH1669=0,0,IF(AND(AW1669&gt;='Tasks Filter'!$F$3,AW1669&lt;='Tasks Filter'!$F$4,OR('Tasks Filter'!$I$3="",ISNUMBER(SEARCH('Tasks Filter'!$I$3,AU1669))),OR('Tasks Filter'!$I$4="",BF1669=IFERROR(MATCH('Tasks Filter'!$I$4,Setup!$L$6:$L$9,0),0)),OR('Tasks Filter'!$I$5="Both",AND('Tasks Filter'!$I$5="Yes",BB1669="✓"),AND('Tasks Filter'!$I$5="No",BB1669&lt;&gt;"✓")),OR('Tasks Filter'!$L$3="",AV1669='Tasks Filter'!$L$3),OR('Tasks Filter'!$L$4="",AZ1669='Tasks Filter'!$L$4),OR('Tasks Filter'!$L$5="",BC1669='Tasks Filter'!$L$5),OR('Tasks Filter'!$O$3="",BD1669='Tasks Filter'!$O$3),OR('Tasks Filter'!$O$4="Yes",BG1669=0)),1,0))</f>
        <v/>
      </c>
      <c r="BJ1669">
        <f>IF(BH1669=0,"",IF('Tasks Filter'!$F$6="Descending",-1,1)*CHOOSE(MATCH('Tasks Filter'!$F$5,Lists!$G$2:$G$6,0),AW1669,BF1669,IFERROR(MATCH(AV1669,Setup!$F$6:$F$15,0),99),IFERROR(MATCH(BC1669,Setup!$H$6:$H$15,0),99),IFERROR(MATCH(AZ1669,Setup!$J$6:$J$11,0),99))*1E+9+(AW1669-40000)*10000+1668)</f>
        <v/>
      </c>
      <c r="BK1669">
        <f>IF(BI1669=1,BJ1669,"")</f>
        <v/>
      </c>
      <c r="BL1669">
        <f>IF(AND(BH1669=1,BG1669=0,N(AW1669)&lt;Setup!$D$7),(AW1669-40000)*10000+1668,"")</f>
        <v/>
      </c>
      <c r="BM1669">
        <f>IF(AND(BH1669=1,AZ1669&lt;&gt;"Cancelled",N(AW1669)&gt;=Dashboard!$AB$3,N(AW1669)&lt;=Dashboard!$AB$3+6),(AW1669-40000)*100000+BF1669*10000+1668,"")</f>
        <v/>
      </c>
      <c r="BN1669">
        <f>IF(AND(BH1669=1,AZ1669&lt;&gt;"Cancelled"),BF1669*10000+1668,"")</f>
        <v/>
      </c>
    </row>
    <row r="1670">
      <c r="AS1670" t="inlineStr">
        <is>
          <t>V</t>
        </is>
      </c>
      <c r="AT1670" t="n">
        <v>174</v>
      </c>
      <c r="AU1670">
        <f>'Variable Tasks'!C174&amp;""</f>
        <v/>
      </c>
      <c r="AV1670">
        <f>'Variable Tasks'!D174&amp;""</f>
        <v/>
      </c>
      <c r="AW1670">
        <f>IF('Variable Tasks'!E174="","",'Variable Tasks'!E174)</f>
        <v/>
      </c>
      <c r="AX1670">
        <f>IF('Variable Tasks'!G174="","",'Variable Tasks'!G174)</f>
        <v/>
      </c>
      <c r="AY1670">
        <f>IF('Variable Tasks'!H174="","",'Variable Tasks'!H174)</f>
        <v/>
      </c>
      <c r="AZ1670">
        <f>IF(AU1670="","",IF('Variable Tasks'!J174="","Not Started",'Variable Tasks'!J174))</f>
        <v/>
      </c>
      <c r="BA1670">
        <f>'Variable Tasks'!L174&amp;""</f>
        <v/>
      </c>
      <c r="BB1670">
        <f>'Variable Tasks'!M174&amp;""</f>
        <v/>
      </c>
      <c r="BC1670">
        <f>'Variable Tasks'!N174&amp;""</f>
        <v/>
      </c>
      <c r="BD1670">
        <f>'Variable Tasks'!O174&amp;""</f>
        <v/>
      </c>
      <c r="BE1670">
        <f>IF('Variable Tasks'!K174="","",'Variable Tasks'!K174)</f>
        <v/>
      </c>
      <c r="BF1670">
        <f>IFERROR(MATCH(BA1670,Setup!$L$6:$L$9,0),5)</f>
        <v/>
      </c>
      <c r="BG1670">
        <f>IF(OR(AZ1670="Done",AZ1670="Cancelled"),1,0)</f>
        <v/>
      </c>
      <c r="BH1670">
        <f>IF(AND(AU1670&lt;&gt;"",ISNUMBER(AW1670)),1,0)</f>
        <v/>
      </c>
      <c r="BI1670">
        <f>IF(BH1670=0,0,IF(AND(AW1670&gt;='Tasks Filter'!$F$3,AW1670&lt;='Tasks Filter'!$F$4,OR('Tasks Filter'!$I$3="",ISNUMBER(SEARCH('Tasks Filter'!$I$3,AU1670))),OR('Tasks Filter'!$I$4="",BF1670=IFERROR(MATCH('Tasks Filter'!$I$4,Setup!$L$6:$L$9,0),0)),OR('Tasks Filter'!$I$5="Both",AND('Tasks Filter'!$I$5="Yes",BB1670="✓"),AND('Tasks Filter'!$I$5="No",BB1670&lt;&gt;"✓")),OR('Tasks Filter'!$L$3="",AV1670='Tasks Filter'!$L$3),OR('Tasks Filter'!$L$4="",AZ1670='Tasks Filter'!$L$4),OR('Tasks Filter'!$L$5="",BC1670='Tasks Filter'!$L$5),OR('Tasks Filter'!$O$3="",BD1670='Tasks Filter'!$O$3),OR('Tasks Filter'!$O$4="Yes",BG1670=0)),1,0))</f>
        <v/>
      </c>
      <c r="BJ1670">
        <f>IF(BH1670=0,"",IF('Tasks Filter'!$F$6="Descending",-1,1)*CHOOSE(MATCH('Tasks Filter'!$F$5,Lists!$G$2:$G$6,0),AW1670,BF1670,IFERROR(MATCH(AV1670,Setup!$F$6:$F$15,0),99),IFERROR(MATCH(BC1670,Setup!$H$6:$H$15,0),99),IFERROR(MATCH(AZ1670,Setup!$J$6:$J$11,0),99))*1E+9+(AW1670-40000)*10000+1669)</f>
        <v/>
      </c>
      <c r="BK1670">
        <f>IF(BI1670=1,BJ1670,"")</f>
        <v/>
      </c>
      <c r="BL1670">
        <f>IF(AND(BH1670=1,BG1670=0,N(AW1670)&lt;Setup!$D$7),(AW1670-40000)*10000+1669,"")</f>
        <v/>
      </c>
      <c r="BM1670">
        <f>IF(AND(BH1670=1,AZ1670&lt;&gt;"Cancelled",N(AW1670)&gt;=Dashboard!$AB$3,N(AW1670)&lt;=Dashboard!$AB$3+6),(AW1670-40000)*100000+BF1670*10000+1669,"")</f>
        <v/>
      </c>
      <c r="BN1670">
        <f>IF(AND(BH1670=1,AZ1670&lt;&gt;"Cancelled"),BF1670*10000+1669,"")</f>
        <v/>
      </c>
    </row>
    <row r="1671">
      <c r="AS1671" t="inlineStr">
        <is>
          <t>V</t>
        </is>
      </c>
      <c r="AT1671" t="n">
        <v>175</v>
      </c>
      <c r="AU1671">
        <f>'Variable Tasks'!C175&amp;""</f>
        <v/>
      </c>
      <c r="AV1671">
        <f>'Variable Tasks'!D175&amp;""</f>
        <v/>
      </c>
      <c r="AW1671">
        <f>IF('Variable Tasks'!E175="","",'Variable Tasks'!E175)</f>
        <v/>
      </c>
      <c r="AX1671">
        <f>IF('Variable Tasks'!G175="","",'Variable Tasks'!G175)</f>
        <v/>
      </c>
      <c r="AY1671">
        <f>IF('Variable Tasks'!H175="","",'Variable Tasks'!H175)</f>
        <v/>
      </c>
      <c r="AZ1671">
        <f>IF(AU1671="","",IF('Variable Tasks'!J175="","Not Started",'Variable Tasks'!J175))</f>
        <v/>
      </c>
      <c r="BA1671">
        <f>'Variable Tasks'!L175&amp;""</f>
        <v/>
      </c>
      <c r="BB1671">
        <f>'Variable Tasks'!M175&amp;""</f>
        <v/>
      </c>
      <c r="BC1671">
        <f>'Variable Tasks'!N175&amp;""</f>
        <v/>
      </c>
      <c r="BD1671">
        <f>'Variable Tasks'!O175&amp;""</f>
        <v/>
      </c>
      <c r="BE1671">
        <f>IF('Variable Tasks'!K175="","",'Variable Tasks'!K175)</f>
        <v/>
      </c>
      <c r="BF1671">
        <f>IFERROR(MATCH(BA1671,Setup!$L$6:$L$9,0),5)</f>
        <v/>
      </c>
      <c r="BG1671">
        <f>IF(OR(AZ1671="Done",AZ1671="Cancelled"),1,0)</f>
        <v/>
      </c>
      <c r="BH1671">
        <f>IF(AND(AU1671&lt;&gt;"",ISNUMBER(AW1671)),1,0)</f>
        <v/>
      </c>
      <c r="BI1671">
        <f>IF(BH1671=0,0,IF(AND(AW1671&gt;='Tasks Filter'!$F$3,AW1671&lt;='Tasks Filter'!$F$4,OR('Tasks Filter'!$I$3="",ISNUMBER(SEARCH('Tasks Filter'!$I$3,AU1671))),OR('Tasks Filter'!$I$4="",BF1671=IFERROR(MATCH('Tasks Filter'!$I$4,Setup!$L$6:$L$9,0),0)),OR('Tasks Filter'!$I$5="Both",AND('Tasks Filter'!$I$5="Yes",BB1671="✓"),AND('Tasks Filter'!$I$5="No",BB1671&lt;&gt;"✓")),OR('Tasks Filter'!$L$3="",AV1671='Tasks Filter'!$L$3),OR('Tasks Filter'!$L$4="",AZ1671='Tasks Filter'!$L$4),OR('Tasks Filter'!$L$5="",BC1671='Tasks Filter'!$L$5),OR('Tasks Filter'!$O$3="",BD1671='Tasks Filter'!$O$3),OR('Tasks Filter'!$O$4="Yes",BG1671=0)),1,0))</f>
        <v/>
      </c>
      <c r="BJ1671">
        <f>IF(BH1671=0,"",IF('Tasks Filter'!$F$6="Descending",-1,1)*CHOOSE(MATCH('Tasks Filter'!$F$5,Lists!$G$2:$G$6,0),AW1671,BF1671,IFERROR(MATCH(AV1671,Setup!$F$6:$F$15,0),99),IFERROR(MATCH(BC1671,Setup!$H$6:$H$15,0),99),IFERROR(MATCH(AZ1671,Setup!$J$6:$J$11,0),99))*1E+9+(AW1671-40000)*10000+1670)</f>
        <v/>
      </c>
      <c r="BK1671">
        <f>IF(BI1671=1,BJ1671,"")</f>
        <v/>
      </c>
      <c r="BL1671">
        <f>IF(AND(BH1671=1,BG1671=0,N(AW1671)&lt;Setup!$D$7),(AW1671-40000)*10000+1670,"")</f>
        <v/>
      </c>
      <c r="BM1671">
        <f>IF(AND(BH1671=1,AZ1671&lt;&gt;"Cancelled",N(AW1671)&gt;=Dashboard!$AB$3,N(AW1671)&lt;=Dashboard!$AB$3+6),(AW1671-40000)*100000+BF1671*10000+1670,"")</f>
        <v/>
      </c>
      <c r="BN1671">
        <f>IF(AND(BH1671=1,AZ1671&lt;&gt;"Cancelled"),BF1671*10000+1670,"")</f>
        <v/>
      </c>
    </row>
    <row r="1672">
      <c r="AS1672" t="inlineStr">
        <is>
          <t>V</t>
        </is>
      </c>
      <c r="AT1672" t="n">
        <v>176</v>
      </c>
      <c r="AU1672">
        <f>'Variable Tasks'!C176&amp;""</f>
        <v/>
      </c>
      <c r="AV1672">
        <f>'Variable Tasks'!D176&amp;""</f>
        <v/>
      </c>
      <c r="AW1672">
        <f>IF('Variable Tasks'!E176="","",'Variable Tasks'!E176)</f>
        <v/>
      </c>
      <c r="AX1672">
        <f>IF('Variable Tasks'!G176="","",'Variable Tasks'!G176)</f>
        <v/>
      </c>
      <c r="AY1672">
        <f>IF('Variable Tasks'!H176="","",'Variable Tasks'!H176)</f>
        <v/>
      </c>
      <c r="AZ1672">
        <f>IF(AU1672="","",IF('Variable Tasks'!J176="","Not Started",'Variable Tasks'!J176))</f>
        <v/>
      </c>
      <c r="BA1672">
        <f>'Variable Tasks'!L176&amp;""</f>
        <v/>
      </c>
      <c r="BB1672">
        <f>'Variable Tasks'!M176&amp;""</f>
        <v/>
      </c>
      <c r="BC1672">
        <f>'Variable Tasks'!N176&amp;""</f>
        <v/>
      </c>
      <c r="BD1672">
        <f>'Variable Tasks'!O176&amp;""</f>
        <v/>
      </c>
      <c r="BE1672">
        <f>IF('Variable Tasks'!K176="","",'Variable Tasks'!K176)</f>
        <v/>
      </c>
      <c r="BF1672">
        <f>IFERROR(MATCH(BA1672,Setup!$L$6:$L$9,0),5)</f>
        <v/>
      </c>
      <c r="BG1672">
        <f>IF(OR(AZ1672="Done",AZ1672="Cancelled"),1,0)</f>
        <v/>
      </c>
      <c r="BH1672">
        <f>IF(AND(AU1672&lt;&gt;"",ISNUMBER(AW1672)),1,0)</f>
        <v/>
      </c>
      <c r="BI1672">
        <f>IF(BH1672=0,0,IF(AND(AW1672&gt;='Tasks Filter'!$F$3,AW1672&lt;='Tasks Filter'!$F$4,OR('Tasks Filter'!$I$3="",ISNUMBER(SEARCH('Tasks Filter'!$I$3,AU1672))),OR('Tasks Filter'!$I$4="",BF1672=IFERROR(MATCH('Tasks Filter'!$I$4,Setup!$L$6:$L$9,0),0)),OR('Tasks Filter'!$I$5="Both",AND('Tasks Filter'!$I$5="Yes",BB1672="✓"),AND('Tasks Filter'!$I$5="No",BB1672&lt;&gt;"✓")),OR('Tasks Filter'!$L$3="",AV1672='Tasks Filter'!$L$3),OR('Tasks Filter'!$L$4="",AZ1672='Tasks Filter'!$L$4),OR('Tasks Filter'!$L$5="",BC1672='Tasks Filter'!$L$5),OR('Tasks Filter'!$O$3="",BD1672='Tasks Filter'!$O$3),OR('Tasks Filter'!$O$4="Yes",BG1672=0)),1,0))</f>
        <v/>
      </c>
      <c r="BJ1672">
        <f>IF(BH1672=0,"",IF('Tasks Filter'!$F$6="Descending",-1,1)*CHOOSE(MATCH('Tasks Filter'!$F$5,Lists!$G$2:$G$6,0),AW1672,BF1672,IFERROR(MATCH(AV1672,Setup!$F$6:$F$15,0),99),IFERROR(MATCH(BC1672,Setup!$H$6:$H$15,0),99),IFERROR(MATCH(AZ1672,Setup!$J$6:$J$11,0),99))*1E+9+(AW1672-40000)*10000+1671)</f>
        <v/>
      </c>
      <c r="BK1672">
        <f>IF(BI1672=1,BJ1672,"")</f>
        <v/>
      </c>
      <c r="BL1672">
        <f>IF(AND(BH1672=1,BG1672=0,N(AW1672)&lt;Setup!$D$7),(AW1672-40000)*10000+1671,"")</f>
        <v/>
      </c>
      <c r="BM1672">
        <f>IF(AND(BH1672=1,AZ1672&lt;&gt;"Cancelled",N(AW1672)&gt;=Dashboard!$AB$3,N(AW1672)&lt;=Dashboard!$AB$3+6),(AW1672-40000)*100000+BF1672*10000+1671,"")</f>
        <v/>
      </c>
      <c r="BN1672">
        <f>IF(AND(BH1672=1,AZ1672&lt;&gt;"Cancelled"),BF1672*10000+1671,"")</f>
        <v/>
      </c>
    </row>
    <row r="1673">
      <c r="AS1673" t="inlineStr">
        <is>
          <t>V</t>
        </is>
      </c>
      <c r="AT1673" t="n">
        <v>177</v>
      </c>
      <c r="AU1673">
        <f>'Variable Tasks'!C177&amp;""</f>
        <v/>
      </c>
      <c r="AV1673">
        <f>'Variable Tasks'!D177&amp;""</f>
        <v/>
      </c>
      <c r="AW1673">
        <f>IF('Variable Tasks'!E177="","",'Variable Tasks'!E177)</f>
        <v/>
      </c>
      <c r="AX1673">
        <f>IF('Variable Tasks'!G177="","",'Variable Tasks'!G177)</f>
        <v/>
      </c>
      <c r="AY1673">
        <f>IF('Variable Tasks'!H177="","",'Variable Tasks'!H177)</f>
        <v/>
      </c>
      <c r="AZ1673">
        <f>IF(AU1673="","",IF('Variable Tasks'!J177="","Not Started",'Variable Tasks'!J177))</f>
        <v/>
      </c>
      <c r="BA1673">
        <f>'Variable Tasks'!L177&amp;""</f>
        <v/>
      </c>
      <c r="BB1673">
        <f>'Variable Tasks'!M177&amp;""</f>
        <v/>
      </c>
      <c r="BC1673">
        <f>'Variable Tasks'!N177&amp;""</f>
        <v/>
      </c>
      <c r="BD1673">
        <f>'Variable Tasks'!O177&amp;""</f>
        <v/>
      </c>
      <c r="BE1673">
        <f>IF('Variable Tasks'!K177="","",'Variable Tasks'!K177)</f>
        <v/>
      </c>
      <c r="BF1673">
        <f>IFERROR(MATCH(BA1673,Setup!$L$6:$L$9,0),5)</f>
        <v/>
      </c>
      <c r="BG1673">
        <f>IF(OR(AZ1673="Done",AZ1673="Cancelled"),1,0)</f>
        <v/>
      </c>
      <c r="BH1673">
        <f>IF(AND(AU1673&lt;&gt;"",ISNUMBER(AW1673)),1,0)</f>
        <v/>
      </c>
      <c r="BI1673">
        <f>IF(BH1673=0,0,IF(AND(AW1673&gt;='Tasks Filter'!$F$3,AW1673&lt;='Tasks Filter'!$F$4,OR('Tasks Filter'!$I$3="",ISNUMBER(SEARCH('Tasks Filter'!$I$3,AU1673))),OR('Tasks Filter'!$I$4="",BF1673=IFERROR(MATCH('Tasks Filter'!$I$4,Setup!$L$6:$L$9,0),0)),OR('Tasks Filter'!$I$5="Both",AND('Tasks Filter'!$I$5="Yes",BB1673="✓"),AND('Tasks Filter'!$I$5="No",BB1673&lt;&gt;"✓")),OR('Tasks Filter'!$L$3="",AV1673='Tasks Filter'!$L$3),OR('Tasks Filter'!$L$4="",AZ1673='Tasks Filter'!$L$4),OR('Tasks Filter'!$L$5="",BC1673='Tasks Filter'!$L$5),OR('Tasks Filter'!$O$3="",BD1673='Tasks Filter'!$O$3),OR('Tasks Filter'!$O$4="Yes",BG1673=0)),1,0))</f>
        <v/>
      </c>
      <c r="BJ1673">
        <f>IF(BH1673=0,"",IF('Tasks Filter'!$F$6="Descending",-1,1)*CHOOSE(MATCH('Tasks Filter'!$F$5,Lists!$G$2:$G$6,0),AW1673,BF1673,IFERROR(MATCH(AV1673,Setup!$F$6:$F$15,0),99),IFERROR(MATCH(BC1673,Setup!$H$6:$H$15,0),99),IFERROR(MATCH(AZ1673,Setup!$J$6:$J$11,0),99))*1E+9+(AW1673-40000)*10000+1672)</f>
        <v/>
      </c>
      <c r="BK1673">
        <f>IF(BI1673=1,BJ1673,"")</f>
        <v/>
      </c>
      <c r="BL1673">
        <f>IF(AND(BH1673=1,BG1673=0,N(AW1673)&lt;Setup!$D$7),(AW1673-40000)*10000+1672,"")</f>
        <v/>
      </c>
      <c r="BM1673">
        <f>IF(AND(BH1673=1,AZ1673&lt;&gt;"Cancelled",N(AW1673)&gt;=Dashboard!$AB$3,N(AW1673)&lt;=Dashboard!$AB$3+6),(AW1673-40000)*100000+BF1673*10000+1672,"")</f>
        <v/>
      </c>
      <c r="BN1673">
        <f>IF(AND(BH1673=1,AZ1673&lt;&gt;"Cancelled"),BF1673*10000+1672,"")</f>
        <v/>
      </c>
    </row>
    <row r="1674">
      <c r="AS1674" t="inlineStr">
        <is>
          <t>V</t>
        </is>
      </c>
      <c r="AT1674" t="n">
        <v>178</v>
      </c>
      <c r="AU1674">
        <f>'Variable Tasks'!C178&amp;""</f>
        <v/>
      </c>
      <c r="AV1674">
        <f>'Variable Tasks'!D178&amp;""</f>
        <v/>
      </c>
      <c r="AW1674">
        <f>IF('Variable Tasks'!E178="","",'Variable Tasks'!E178)</f>
        <v/>
      </c>
      <c r="AX1674">
        <f>IF('Variable Tasks'!G178="","",'Variable Tasks'!G178)</f>
        <v/>
      </c>
      <c r="AY1674">
        <f>IF('Variable Tasks'!H178="","",'Variable Tasks'!H178)</f>
        <v/>
      </c>
      <c r="AZ1674">
        <f>IF(AU1674="","",IF('Variable Tasks'!J178="","Not Started",'Variable Tasks'!J178))</f>
        <v/>
      </c>
      <c r="BA1674">
        <f>'Variable Tasks'!L178&amp;""</f>
        <v/>
      </c>
      <c r="BB1674">
        <f>'Variable Tasks'!M178&amp;""</f>
        <v/>
      </c>
      <c r="BC1674">
        <f>'Variable Tasks'!N178&amp;""</f>
        <v/>
      </c>
      <c r="BD1674">
        <f>'Variable Tasks'!O178&amp;""</f>
        <v/>
      </c>
      <c r="BE1674">
        <f>IF('Variable Tasks'!K178="","",'Variable Tasks'!K178)</f>
        <v/>
      </c>
      <c r="BF1674">
        <f>IFERROR(MATCH(BA1674,Setup!$L$6:$L$9,0),5)</f>
        <v/>
      </c>
      <c r="BG1674">
        <f>IF(OR(AZ1674="Done",AZ1674="Cancelled"),1,0)</f>
        <v/>
      </c>
      <c r="BH1674">
        <f>IF(AND(AU1674&lt;&gt;"",ISNUMBER(AW1674)),1,0)</f>
        <v/>
      </c>
      <c r="BI1674">
        <f>IF(BH1674=0,0,IF(AND(AW1674&gt;='Tasks Filter'!$F$3,AW1674&lt;='Tasks Filter'!$F$4,OR('Tasks Filter'!$I$3="",ISNUMBER(SEARCH('Tasks Filter'!$I$3,AU1674))),OR('Tasks Filter'!$I$4="",BF1674=IFERROR(MATCH('Tasks Filter'!$I$4,Setup!$L$6:$L$9,0),0)),OR('Tasks Filter'!$I$5="Both",AND('Tasks Filter'!$I$5="Yes",BB1674="✓"),AND('Tasks Filter'!$I$5="No",BB1674&lt;&gt;"✓")),OR('Tasks Filter'!$L$3="",AV1674='Tasks Filter'!$L$3),OR('Tasks Filter'!$L$4="",AZ1674='Tasks Filter'!$L$4),OR('Tasks Filter'!$L$5="",BC1674='Tasks Filter'!$L$5),OR('Tasks Filter'!$O$3="",BD1674='Tasks Filter'!$O$3),OR('Tasks Filter'!$O$4="Yes",BG1674=0)),1,0))</f>
        <v/>
      </c>
      <c r="BJ1674">
        <f>IF(BH1674=0,"",IF('Tasks Filter'!$F$6="Descending",-1,1)*CHOOSE(MATCH('Tasks Filter'!$F$5,Lists!$G$2:$G$6,0),AW1674,BF1674,IFERROR(MATCH(AV1674,Setup!$F$6:$F$15,0),99),IFERROR(MATCH(BC1674,Setup!$H$6:$H$15,0),99),IFERROR(MATCH(AZ1674,Setup!$J$6:$J$11,0),99))*1E+9+(AW1674-40000)*10000+1673)</f>
        <v/>
      </c>
      <c r="BK1674">
        <f>IF(BI1674=1,BJ1674,"")</f>
        <v/>
      </c>
      <c r="BL1674">
        <f>IF(AND(BH1674=1,BG1674=0,N(AW1674)&lt;Setup!$D$7),(AW1674-40000)*10000+1673,"")</f>
        <v/>
      </c>
      <c r="BM1674">
        <f>IF(AND(BH1674=1,AZ1674&lt;&gt;"Cancelled",N(AW1674)&gt;=Dashboard!$AB$3,N(AW1674)&lt;=Dashboard!$AB$3+6),(AW1674-40000)*100000+BF1674*10000+1673,"")</f>
        <v/>
      </c>
      <c r="BN1674">
        <f>IF(AND(BH1674=1,AZ1674&lt;&gt;"Cancelled"),BF1674*10000+1673,"")</f>
        <v/>
      </c>
    </row>
    <row r="1675">
      <c r="AS1675" t="inlineStr">
        <is>
          <t>V</t>
        </is>
      </c>
      <c r="AT1675" t="n">
        <v>179</v>
      </c>
      <c r="AU1675">
        <f>'Variable Tasks'!C179&amp;""</f>
        <v/>
      </c>
      <c r="AV1675">
        <f>'Variable Tasks'!D179&amp;""</f>
        <v/>
      </c>
      <c r="AW1675">
        <f>IF('Variable Tasks'!E179="","",'Variable Tasks'!E179)</f>
        <v/>
      </c>
      <c r="AX1675">
        <f>IF('Variable Tasks'!G179="","",'Variable Tasks'!G179)</f>
        <v/>
      </c>
      <c r="AY1675">
        <f>IF('Variable Tasks'!H179="","",'Variable Tasks'!H179)</f>
        <v/>
      </c>
      <c r="AZ1675">
        <f>IF(AU1675="","",IF('Variable Tasks'!J179="","Not Started",'Variable Tasks'!J179))</f>
        <v/>
      </c>
      <c r="BA1675">
        <f>'Variable Tasks'!L179&amp;""</f>
        <v/>
      </c>
      <c r="BB1675">
        <f>'Variable Tasks'!M179&amp;""</f>
        <v/>
      </c>
      <c r="BC1675">
        <f>'Variable Tasks'!N179&amp;""</f>
        <v/>
      </c>
      <c r="BD1675">
        <f>'Variable Tasks'!O179&amp;""</f>
        <v/>
      </c>
      <c r="BE1675">
        <f>IF('Variable Tasks'!K179="","",'Variable Tasks'!K179)</f>
        <v/>
      </c>
      <c r="BF1675">
        <f>IFERROR(MATCH(BA1675,Setup!$L$6:$L$9,0),5)</f>
        <v/>
      </c>
      <c r="BG1675">
        <f>IF(OR(AZ1675="Done",AZ1675="Cancelled"),1,0)</f>
        <v/>
      </c>
      <c r="BH1675">
        <f>IF(AND(AU1675&lt;&gt;"",ISNUMBER(AW1675)),1,0)</f>
        <v/>
      </c>
      <c r="BI1675">
        <f>IF(BH1675=0,0,IF(AND(AW1675&gt;='Tasks Filter'!$F$3,AW1675&lt;='Tasks Filter'!$F$4,OR('Tasks Filter'!$I$3="",ISNUMBER(SEARCH('Tasks Filter'!$I$3,AU1675))),OR('Tasks Filter'!$I$4="",BF1675=IFERROR(MATCH('Tasks Filter'!$I$4,Setup!$L$6:$L$9,0),0)),OR('Tasks Filter'!$I$5="Both",AND('Tasks Filter'!$I$5="Yes",BB1675="✓"),AND('Tasks Filter'!$I$5="No",BB1675&lt;&gt;"✓")),OR('Tasks Filter'!$L$3="",AV1675='Tasks Filter'!$L$3),OR('Tasks Filter'!$L$4="",AZ1675='Tasks Filter'!$L$4),OR('Tasks Filter'!$L$5="",BC1675='Tasks Filter'!$L$5),OR('Tasks Filter'!$O$3="",BD1675='Tasks Filter'!$O$3),OR('Tasks Filter'!$O$4="Yes",BG1675=0)),1,0))</f>
        <v/>
      </c>
      <c r="BJ1675">
        <f>IF(BH1675=0,"",IF('Tasks Filter'!$F$6="Descending",-1,1)*CHOOSE(MATCH('Tasks Filter'!$F$5,Lists!$G$2:$G$6,0),AW1675,BF1675,IFERROR(MATCH(AV1675,Setup!$F$6:$F$15,0),99),IFERROR(MATCH(BC1675,Setup!$H$6:$H$15,0),99),IFERROR(MATCH(AZ1675,Setup!$J$6:$J$11,0),99))*1E+9+(AW1675-40000)*10000+1674)</f>
        <v/>
      </c>
      <c r="BK1675">
        <f>IF(BI1675=1,BJ1675,"")</f>
        <v/>
      </c>
      <c r="BL1675">
        <f>IF(AND(BH1675=1,BG1675=0,N(AW1675)&lt;Setup!$D$7),(AW1675-40000)*10000+1674,"")</f>
        <v/>
      </c>
      <c r="BM1675">
        <f>IF(AND(BH1675=1,AZ1675&lt;&gt;"Cancelled",N(AW1675)&gt;=Dashboard!$AB$3,N(AW1675)&lt;=Dashboard!$AB$3+6),(AW1675-40000)*100000+BF1675*10000+1674,"")</f>
        <v/>
      </c>
      <c r="BN1675">
        <f>IF(AND(BH1675=1,AZ1675&lt;&gt;"Cancelled"),BF1675*10000+1674,"")</f>
        <v/>
      </c>
    </row>
    <row r="1676">
      <c r="AS1676" t="inlineStr">
        <is>
          <t>V</t>
        </is>
      </c>
      <c r="AT1676" t="n">
        <v>180</v>
      </c>
      <c r="AU1676">
        <f>'Variable Tasks'!C180&amp;""</f>
        <v/>
      </c>
      <c r="AV1676">
        <f>'Variable Tasks'!D180&amp;""</f>
        <v/>
      </c>
      <c r="AW1676">
        <f>IF('Variable Tasks'!E180="","",'Variable Tasks'!E180)</f>
        <v/>
      </c>
      <c r="AX1676">
        <f>IF('Variable Tasks'!G180="","",'Variable Tasks'!G180)</f>
        <v/>
      </c>
      <c r="AY1676">
        <f>IF('Variable Tasks'!H180="","",'Variable Tasks'!H180)</f>
        <v/>
      </c>
      <c r="AZ1676">
        <f>IF(AU1676="","",IF('Variable Tasks'!J180="","Not Started",'Variable Tasks'!J180))</f>
        <v/>
      </c>
      <c r="BA1676">
        <f>'Variable Tasks'!L180&amp;""</f>
        <v/>
      </c>
      <c r="BB1676">
        <f>'Variable Tasks'!M180&amp;""</f>
        <v/>
      </c>
      <c r="BC1676">
        <f>'Variable Tasks'!N180&amp;""</f>
        <v/>
      </c>
      <c r="BD1676">
        <f>'Variable Tasks'!O180&amp;""</f>
        <v/>
      </c>
      <c r="BE1676">
        <f>IF('Variable Tasks'!K180="","",'Variable Tasks'!K180)</f>
        <v/>
      </c>
      <c r="BF1676">
        <f>IFERROR(MATCH(BA1676,Setup!$L$6:$L$9,0),5)</f>
        <v/>
      </c>
      <c r="BG1676">
        <f>IF(OR(AZ1676="Done",AZ1676="Cancelled"),1,0)</f>
        <v/>
      </c>
      <c r="BH1676">
        <f>IF(AND(AU1676&lt;&gt;"",ISNUMBER(AW1676)),1,0)</f>
        <v/>
      </c>
      <c r="BI1676">
        <f>IF(BH1676=0,0,IF(AND(AW1676&gt;='Tasks Filter'!$F$3,AW1676&lt;='Tasks Filter'!$F$4,OR('Tasks Filter'!$I$3="",ISNUMBER(SEARCH('Tasks Filter'!$I$3,AU1676))),OR('Tasks Filter'!$I$4="",BF1676=IFERROR(MATCH('Tasks Filter'!$I$4,Setup!$L$6:$L$9,0),0)),OR('Tasks Filter'!$I$5="Both",AND('Tasks Filter'!$I$5="Yes",BB1676="✓"),AND('Tasks Filter'!$I$5="No",BB1676&lt;&gt;"✓")),OR('Tasks Filter'!$L$3="",AV1676='Tasks Filter'!$L$3),OR('Tasks Filter'!$L$4="",AZ1676='Tasks Filter'!$L$4),OR('Tasks Filter'!$L$5="",BC1676='Tasks Filter'!$L$5),OR('Tasks Filter'!$O$3="",BD1676='Tasks Filter'!$O$3),OR('Tasks Filter'!$O$4="Yes",BG1676=0)),1,0))</f>
        <v/>
      </c>
      <c r="BJ1676">
        <f>IF(BH1676=0,"",IF('Tasks Filter'!$F$6="Descending",-1,1)*CHOOSE(MATCH('Tasks Filter'!$F$5,Lists!$G$2:$G$6,0),AW1676,BF1676,IFERROR(MATCH(AV1676,Setup!$F$6:$F$15,0),99),IFERROR(MATCH(BC1676,Setup!$H$6:$H$15,0),99),IFERROR(MATCH(AZ1676,Setup!$J$6:$J$11,0),99))*1E+9+(AW1676-40000)*10000+1675)</f>
        <v/>
      </c>
      <c r="BK1676">
        <f>IF(BI1676=1,BJ1676,"")</f>
        <v/>
      </c>
      <c r="BL1676">
        <f>IF(AND(BH1676=1,BG1676=0,N(AW1676)&lt;Setup!$D$7),(AW1676-40000)*10000+1675,"")</f>
        <v/>
      </c>
      <c r="BM1676">
        <f>IF(AND(BH1676=1,AZ1676&lt;&gt;"Cancelled",N(AW1676)&gt;=Dashboard!$AB$3,N(AW1676)&lt;=Dashboard!$AB$3+6),(AW1676-40000)*100000+BF1676*10000+1675,"")</f>
        <v/>
      </c>
      <c r="BN1676">
        <f>IF(AND(BH1676=1,AZ1676&lt;&gt;"Cancelled"),BF1676*10000+1675,"")</f>
        <v/>
      </c>
    </row>
    <row r="1677">
      <c r="AS1677" t="inlineStr">
        <is>
          <t>V</t>
        </is>
      </c>
      <c r="AT1677" t="n">
        <v>181</v>
      </c>
      <c r="AU1677">
        <f>'Variable Tasks'!C181&amp;""</f>
        <v/>
      </c>
      <c r="AV1677">
        <f>'Variable Tasks'!D181&amp;""</f>
        <v/>
      </c>
      <c r="AW1677">
        <f>IF('Variable Tasks'!E181="","",'Variable Tasks'!E181)</f>
        <v/>
      </c>
      <c r="AX1677">
        <f>IF('Variable Tasks'!G181="","",'Variable Tasks'!G181)</f>
        <v/>
      </c>
      <c r="AY1677">
        <f>IF('Variable Tasks'!H181="","",'Variable Tasks'!H181)</f>
        <v/>
      </c>
      <c r="AZ1677">
        <f>IF(AU1677="","",IF('Variable Tasks'!J181="","Not Started",'Variable Tasks'!J181))</f>
        <v/>
      </c>
      <c r="BA1677">
        <f>'Variable Tasks'!L181&amp;""</f>
        <v/>
      </c>
      <c r="BB1677">
        <f>'Variable Tasks'!M181&amp;""</f>
        <v/>
      </c>
      <c r="BC1677">
        <f>'Variable Tasks'!N181&amp;""</f>
        <v/>
      </c>
      <c r="BD1677">
        <f>'Variable Tasks'!O181&amp;""</f>
        <v/>
      </c>
      <c r="BE1677">
        <f>IF('Variable Tasks'!K181="","",'Variable Tasks'!K181)</f>
        <v/>
      </c>
      <c r="BF1677">
        <f>IFERROR(MATCH(BA1677,Setup!$L$6:$L$9,0),5)</f>
        <v/>
      </c>
      <c r="BG1677">
        <f>IF(OR(AZ1677="Done",AZ1677="Cancelled"),1,0)</f>
        <v/>
      </c>
      <c r="BH1677">
        <f>IF(AND(AU1677&lt;&gt;"",ISNUMBER(AW1677)),1,0)</f>
        <v/>
      </c>
      <c r="BI1677">
        <f>IF(BH1677=0,0,IF(AND(AW1677&gt;='Tasks Filter'!$F$3,AW1677&lt;='Tasks Filter'!$F$4,OR('Tasks Filter'!$I$3="",ISNUMBER(SEARCH('Tasks Filter'!$I$3,AU1677))),OR('Tasks Filter'!$I$4="",BF1677=IFERROR(MATCH('Tasks Filter'!$I$4,Setup!$L$6:$L$9,0),0)),OR('Tasks Filter'!$I$5="Both",AND('Tasks Filter'!$I$5="Yes",BB1677="✓"),AND('Tasks Filter'!$I$5="No",BB1677&lt;&gt;"✓")),OR('Tasks Filter'!$L$3="",AV1677='Tasks Filter'!$L$3),OR('Tasks Filter'!$L$4="",AZ1677='Tasks Filter'!$L$4),OR('Tasks Filter'!$L$5="",BC1677='Tasks Filter'!$L$5),OR('Tasks Filter'!$O$3="",BD1677='Tasks Filter'!$O$3),OR('Tasks Filter'!$O$4="Yes",BG1677=0)),1,0))</f>
        <v/>
      </c>
      <c r="BJ1677">
        <f>IF(BH1677=0,"",IF('Tasks Filter'!$F$6="Descending",-1,1)*CHOOSE(MATCH('Tasks Filter'!$F$5,Lists!$G$2:$G$6,0),AW1677,BF1677,IFERROR(MATCH(AV1677,Setup!$F$6:$F$15,0),99),IFERROR(MATCH(BC1677,Setup!$H$6:$H$15,0),99),IFERROR(MATCH(AZ1677,Setup!$J$6:$J$11,0),99))*1E+9+(AW1677-40000)*10000+1676)</f>
        <v/>
      </c>
      <c r="BK1677">
        <f>IF(BI1677=1,BJ1677,"")</f>
        <v/>
      </c>
      <c r="BL1677">
        <f>IF(AND(BH1677=1,BG1677=0,N(AW1677)&lt;Setup!$D$7),(AW1677-40000)*10000+1676,"")</f>
        <v/>
      </c>
      <c r="BM1677">
        <f>IF(AND(BH1677=1,AZ1677&lt;&gt;"Cancelled",N(AW1677)&gt;=Dashboard!$AB$3,N(AW1677)&lt;=Dashboard!$AB$3+6),(AW1677-40000)*100000+BF1677*10000+1676,"")</f>
        <v/>
      </c>
      <c r="BN1677">
        <f>IF(AND(BH1677=1,AZ1677&lt;&gt;"Cancelled"),BF1677*10000+1676,"")</f>
        <v/>
      </c>
    </row>
    <row r="1678">
      <c r="AS1678" t="inlineStr">
        <is>
          <t>V</t>
        </is>
      </c>
      <c r="AT1678" t="n">
        <v>182</v>
      </c>
      <c r="AU1678">
        <f>'Variable Tasks'!C182&amp;""</f>
        <v/>
      </c>
      <c r="AV1678">
        <f>'Variable Tasks'!D182&amp;""</f>
        <v/>
      </c>
      <c r="AW1678">
        <f>IF('Variable Tasks'!E182="","",'Variable Tasks'!E182)</f>
        <v/>
      </c>
      <c r="AX1678">
        <f>IF('Variable Tasks'!G182="","",'Variable Tasks'!G182)</f>
        <v/>
      </c>
      <c r="AY1678">
        <f>IF('Variable Tasks'!H182="","",'Variable Tasks'!H182)</f>
        <v/>
      </c>
      <c r="AZ1678">
        <f>IF(AU1678="","",IF('Variable Tasks'!J182="","Not Started",'Variable Tasks'!J182))</f>
        <v/>
      </c>
      <c r="BA1678">
        <f>'Variable Tasks'!L182&amp;""</f>
        <v/>
      </c>
      <c r="BB1678">
        <f>'Variable Tasks'!M182&amp;""</f>
        <v/>
      </c>
      <c r="BC1678">
        <f>'Variable Tasks'!N182&amp;""</f>
        <v/>
      </c>
      <c r="BD1678">
        <f>'Variable Tasks'!O182&amp;""</f>
        <v/>
      </c>
      <c r="BE1678">
        <f>IF('Variable Tasks'!K182="","",'Variable Tasks'!K182)</f>
        <v/>
      </c>
      <c r="BF1678">
        <f>IFERROR(MATCH(BA1678,Setup!$L$6:$L$9,0),5)</f>
        <v/>
      </c>
      <c r="BG1678">
        <f>IF(OR(AZ1678="Done",AZ1678="Cancelled"),1,0)</f>
        <v/>
      </c>
      <c r="BH1678">
        <f>IF(AND(AU1678&lt;&gt;"",ISNUMBER(AW1678)),1,0)</f>
        <v/>
      </c>
      <c r="BI1678">
        <f>IF(BH1678=0,0,IF(AND(AW1678&gt;='Tasks Filter'!$F$3,AW1678&lt;='Tasks Filter'!$F$4,OR('Tasks Filter'!$I$3="",ISNUMBER(SEARCH('Tasks Filter'!$I$3,AU1678))),OR('Tasks Filter'!$I$4="",BF1678=IFERROR(MATCH('Tasks Filter'!$I$4,Setup!$L$6:$L$9,0),0)),OR('Tasks Filter'!$I$5="Both",AND('Tasks Filter'!$I$5="Yes",BB1678="✓"),AND('Tasks Filter'!$I$5="No",BB1678&lt;&gt;"✓")),OR('Tasks Filter'!$L$3="",AV1678='Tasks Filter'!$L$3),OR('Tasks Filter'!$L$4="",AZ1678='Tasks Filter'!$L$4),OR('Tasks Filter'!$L$5="",BC1678='Tasks Filter'!$L$5),OR('Tasks Filter'!$O$3="",BD1678='Tasks Filter'!$O$3),OR('Tasks Filter'!$O$4="Yes",BG1678=0)),1,0))</f>
        <v/>
      </c>
      <c r="BJ1678">
        <f>IF(BH1678=0,"",IF('Tasks Filter'!$F$6="Descending",-1,1)*CHOOSE(MATCH('Tasks Filter'!$F$5,Lists!$G$2:$G$6,0),AW1678,BF1678,IFERROR(MATCH(AV1678,Setup!$F$6:$F$15,0),99),IFERROR(MATCH(BC1678,Setup!$H$6:$H$15,0),99),IFERROR(MATCH(AZ1678,Setup!$J$6:$J$11,0),99))*1E+9+(AW1678-40000)*10000+1677)</f>
        <v/>
      </c>
      <c r="BK1678">
        <f>IF(BI1678=1,BJ1678,"")</f>
        <v/>
      </c>
      <c r="BL1678">
        <f>IF(AND(BH1678=1,BG1678=0,N(AW1678)&lt;Setup!$D$7),(AW1678-40000)*10000+1677,"")</f>
        <v/>
      </c>
      <c r="BM1678">
        <f>IF(AND(BH1678=1,AZ1678&lt;&gt;"Cancelled",N(AW1678)&gt;=Dashboard!$AB$3,N(AW1678)&lt;=Dashboard!$AB$3+6),(AW1678-40000)*100000+BF1678*10000+1677,"")</f>
        <v/>
      </c>
      <c r="BN1678">
        <f>IF(AND(BH1678=1,AZ1678&lt;&gt;"Cancelled"),BF1678*10000+1677,"")</f>
        <v/>
      </c>
    </row>
    <row r="1679">
      <c r="AS1679" t="inlineStr">
        <is>
          <t>V</t>
        </is>
      </c>
      <c r="AT1679" t="n">
        <v>183</v>
      </c>
      <c r="AU1679">
        <f>'Variable Tasks'!C183&amp;""</f>
        <v/>
      </c>
      <c r="AV1679">
        <f>'Variable Tasks'!D183&amp;""</f>
        <v/>
      </c>
      <c r="AW1679">
        <f>IF('Variable Tasks'!E183="","",'Variable Tasks'!E183)</f>
        <v/>
      </c>
      <c r="AX1679">
        <f>IF('Variable Tasks'!G183="","",'Variable Tasks'!G183)</f>
        <v/>
      </c>
      <c r="AY1679">
        <f>IF('Variable Tasks'!H183="","",'Variable Tasks'!H183)</f>
        <v/>
      </c>
      <c r="AZ1679">
        <f>IF(AU1679="","",IF('Variable Tasks'!J183="","Not Started",'Variable Tasks'!J183))</f>
        <v/>
      </c>
      <c r="BA1679">
        <f>'Variable Tasks'!L183&amp;""</f>
        <v/>
      </c>
      <c r="BB1679">
        <f>'Variable Tasks'!M183&amp;""</f>
        <v/>
      </c>
      <c r="BC1679">
        <f>'Variable Tasks'!N183&amp;""</f>
        <v/>
      </c>
      <c r="BD1679">
        <f>'Variable Tasks'!O183&amp;""</f>
        <v/>
      </c>
      <c r="BE1679">
        <f>IF('Variable Tasks'!K183="","",'Variable Tasks'!K183)</f>
        <v/>
      </c>
      <c r="BF1679">
        <f>IFERROR(MATCH(BA1679,Setup!$L$6:$L$9,0),5)</f>
        <v/>
      </c>
      <c r="BG1679">
        <f>IF(OR(AZ1679="Done",AZ1679="Cancelled"),1,0)</f>
        <v/>
      </c>
      <c r="BH1679">
        <f>IF(AND(AU1679&lt;&gt;"",ISNUMBER(AW1679)),1,0)</f>
        <v/>
      </c>
      <c r="BI1679">
        <f>IF(BH1679=0,0,IF(AND(AW1679&gt;='Tasks Filter'!$F$3,AW1679&lt;='Tasks Filter'!$F$4,OR('Tasks Filter'!$I$3="",ISNUMBER(SEARCH('Tasks Filter'!$I$3,AU1679))),OR('Tasks Filter'!$I$4="",BF1679=IFERROR(MATCH('Tasks Filter'!$I$4,Setup!$L$6:$L$9,0),0)),OR('Tasks Filter'!$I$5="Both",AND('Tasks Filter'!$I$5="Yes",BB1679="✓"),AND('Tasks Filter'!$I$5="No",BB1679&lt;&gt;"✓")),OR('Tasks Filter'!$L$3="",AV1679='Tasks Filter'!$L$3),OR('Tasks Filter'!$L$4="",AZ1679='Tasks Filter'!$L$4),OR('Tasks Filter'!$L$5="",BC1679='Tasks Filter'!$L$5),OR('Tasks Filter'!$O$3="",BD1679='Tasks Filter'!$O$3),OR('Tasks Filter'!$O$4="Yes",BG1679=0)),1,0))</f>
        <v/>
      </c>
      <c r="BJ1679">
        <f>IF(BH1679=0,"",IF('Tasks Filter'!$F$6="Descending",-1,1)*CHOOSE(MATCH('Tasks Filter'!$F$5,Lists!$G$2:$G$6,0),AW1679,BF1679,IFERROR(MATCH(AV1679,Setup!$F$6:$F$15,0),99),IFERROR(MATCH(BC1679,Setup!$H$6:$H$15,0),99),IFERROR(MATCH(AZ1679,Setup!$J$6:$J$11,0),99))*1E+9+(AW1679-40000)*10000+1678)</f>
        <v/>
      </c>
      <c r="BK1679">
        <f>IF(BI1679=1,BJ1679,"")</f>
        <v/>
      </c>
      <c r="BL1679">
        <f>IF(AND(BH1679=1,BG1679=0,N(AW1679)&lt;Setup!$D$7),(AW1679-40000)*10000+1678,"")</f>
        <v/>
      </c>
      <c r="BM1679">
        <f>IF(AND(BH1679=1,AZ1679&lt;&gt;"Cancelled",N(AW1679)&gt;=Dashboard!$AB$3,N(AW1679)&lt;=Dashboard!$AB$3+6),(AW1679-40000)*100000+BF1679*10000+1678,"")</f>
        <v/>
      </c>
      <c r="BN1679">
        <f>IF(AND(BH1679=1,AZ1679&lt;&gt;"Cancelled"),BF1679*10000+1678,"")</f>
        <v/>
      </c>
    </row>
    <row r="1680">
      <c r="AS1680" t="inlineStr">
        <is>
          <t>V</t>
        </is>
      </c>
      <c r="AT1680" t="n">
        <v>184</v>
      </c>
      <c r="AU1680">
        <f>'Variable Tasks'!C184&amp;""</f>
        <v/>
      </c>
      <c r="AV1680">
        <f>'Variable Tasks'!D184&amp;""</f>
        <v/>
      </c>
      <c r="AW1680">
        <f>IF('Variable Tasks'!E184="","",'Variable Tasks'!E184)</f>
        <v/>
      </c>
      <c r="AX1680">
        <f>IF('Variable Tasks'!G184="","",'Variable Tasks'!G184)</f>
        <v/>
      </c>
      <c r="AY1680">
        <f>IF('Variable Tasks'!H184="","",'Variable Tasks'!H184)</f>
        <v/>
      </c>
      <c r="AZ1680">
        <f>IF(AU1680="","",IF('Variable Tasks'!J184="","Not Started",'Variable Tasks'!J184))</f>
        <v/>
      </c>
      <c r="BA1680">
        <f>'Variable Tasks'!L184&amp;""</f>
        <v/>
      </c>
      <c r="BB1680">
        <f>'Variable Tasks'!M184&amp;""</f>
        <v/>
      </c>
      <c r="BC1680">
        <f>'Variable Tasks'!N184&amp;""</f>
        <v/>
      </c>
      <c r="BD1680">
        <f>'Variable Tasks'!O184&amp;""</f>
        <v/>
      </c>
      <c r="BE1680">
        <f>IF('Variable Tasks'!K184="","",'Variable Tasks'!K184)</f>
        <v/>
      </c>
      <c r="BF1680">
        <f>IFERROR(MATCH(BA1680,Setup!$L$6:$L$9,0),5)</f>
        <v/>
      </c>
      <c r="BG1680">
        <f>IF(OR(AZ1680="Done",AZ1680="Cancelled"),1,0)</f>
        <v/>
      </c>
      <c r="BH1680">
        <f>IF(AND(AU1680&lt;&gt;"",ISNUMBER(AW1680)),1,0)</f>
        <v/>
      </c>
      <c r="BI1680">
        <f>IF(BH1680=0,0,IF(AND(AW1680&gt;='Tasks Filter'!$F$3,AW1680&lt;='Tasks Filter'!$F$4,OR('Tasks Filter'!$I$3="",ISNUMBER(SEARCH('Tasks Filter'!$I$3,AU1680))),OR('Tasks Filter'!$I$4="",BF1680=IFERROR(MATCH('Tasks Filter'!$I$4,Setup!$L$6:$L$9,0),0)),OR('Tasks Filter'!$I$5="Both",AND('Tasks Filter'!$I$5="Yes",BB1680="✓"),AND('Tasks Filter'!$I$5="No",BB1680&lt;&gt;"✓")),OR('Tasks Filter'!$L$3="",AV1680='Tasks Filter'!$L$3),OR('Tasks Filter'!$L$4="",AZ1680='Tasks Filter'!$L$4),OR('Tasks Filter'!$L$5="",BC1680='Tasks Filter'!$L$5),OR('Tasks Filter'!$O$3="",BD1680='Tasks Filter'!$O$3),OR('Tasks Filter'!$O$4="Yes",BG1680=0)),1,0))</f>
        <v/>
      </c>
      <c r="BJ1680">
        <f>IF(BH1680=0,"",IF('Tasks Filter'!$F$6="Descending",-1,1)*CHOOSE(MATCH('Tasks Filter'!$F$5,Lists!$G$2:$G$6,0),AW1680,BF1680,IFERROR(MATCH(AV1680,Setup!$F$6:$F$15,0),99),IFERROR(MATCH(BC1680,Setup!$H$6:$H$15,0),99),IFERROR(MATCH(AZ1680,Setup!$J$6:$J$11,0),99))*1E+9+(AW1680-40000)*10000+1679)</f>
        <v/>
      </c>
      <c r="BK1680">
        <f>IF(BI1680=1,BJ1680,"")</f>
        <v/>
      </c>
      <c r="BL1680">
        <f>IF(AND(BH1680=1,BG1680=0,N(AW1680)&lt;Setup!$D$7),(AW1680-40000)*10000+1679,"")</f>
        <v/>
      </c>
      <c r="BM1680">
        <f>IF(AND(BH1680=1,AZ1680&lt;&gt;"Cancelled",N(AW1680)&gt;=Dashboard!$AB$3,N(AW1680)&lt;=Dashboard!$AB$3+6),(AW1680-40000)*100000+BF1680*10000+1679,"")</f>
        <v/>
      </c>
      <c r="BN1680">
        <f>IF(AND(BH1680=1,AZ1680&lt;&gt;"Cancelled"),BF1680*10000+1679,"")</f>
        <v/>
      </c>
    </row>
    <row r="1681">
      <c r="AS1681" t="inlineStr">
        <is>
          <t>V</t>
        </is>
      </c>
      <c r="AT1681" t="n">
        <v>185</v>
      </c>
      <c r="AU1681">
        <f>'Variable Tasks'!C185&amp;""</f>
        <v/>
      </c>
      <c r="AV1681">
        <f>'Variable Tasks'!D185&amp;""</f>
        <v/>
      </c>
      <c r="AW1681">
        <f>IF('Variable Tasks'!E185="","",'Variable Tasks'!E185)</f>
        <v/>
      </c>
      <c r="AX1681">
        <f>IF('Variable Tasks'!G185="","",'Variable Tasks'!G185)</f>
        <v/>
      </c>
      <c r="AY1681">
        <f>IF('Variable Tasks'!H185="","",'Variable Tasks'!H185)</f>
        <v/>
      </c>
      <c r="AZ1681">
        <f>IF(AU1681="","",IF('Variable Tasks'!J185="","Not Started",'Variable Tasks'!J185))</f>
        <v/>
      </c>
      <c r="BA1681">
        <f>'Variable Tasks'!L185&amp;""</f>
        <v/>
      </c>
      <c r="BB1681">
        <f>'Variable Tasks'!M185&amp;""</f>
        <v/>
      </c>
      <c r="BC1681">
        <f>'Variable Tasks'!N185&amp;""</f>
        <v/>
      </c>
      <c r="BD1681">
        <f>'Variable Tasks'!O185&amp;""</f>
        <v/>
      </c>
      <c r="BE1681">
        <f>IF('Variable Tasks'!K185="","",'Variable Tasks'!K185)</f>
        <v/>
      </c>
      <c r="BF1681">
        <f>IFERROR(MATCH(BA1681,Setup!$L$6:$L$9,0),5)</f>
        <v/>
      </c>
      <c r="BG1681">
        <f>IF(OR(AZ1681="Done",AZ1681="Cancelled"),1,0)</f>
        <v/>
      </c>
      <c r="BH1681">
        <f>IF(AND(AU1681&lt;&gt;"",ISNUMBER(AW1681)),1,0)</f>
        <v/>
      </c>
      <c r="BI1681">
        <f>IF(BH1681=0,0,IF(AND(AW1681&gt;='Tasks Filter'!$F$3,AW1681&lt;='Tasks Filter'!$F$4,OR('Tasks Filter'!$I$3="",ISNUMBER(SEARCH('Tasks Filter'!$I$3,AU1681))),OR('Tasks Filter'!$I$4="",BF1681=IFERROR(MATCH('Tasks Filter'!$I$4,Setup!$L$6:$L$9,0),0)),OR('Tasks Filter'!$I$5="Both",AND('Tasks Filter'!$I$5="Yes",BB1681="✓"),AND('Tasks Filter'!$I$5="No",BB1681&lt;&gt;"✓")),OR('Tasks Filter'!$L$3="",AV1681='Tasks Filter'!$L$3),OR('Tasks Filter'!$L$4="",AZ1681='Tasks Filter'!$L$4),OR('Tasks Filter'!$L$5="",BC1681='Tasks Filter'!$L$5),OR('Tasks Filter'!$O$3="",BD1681='Tasks Filter'!$O$3),OR('Tasks Filter'!$O$4="Yes",BG1681=0)),1,0))</f>
        <v/>
      </c>
      <c r="BJ1681">
        <f>IF(BH1681=0,"",IF('Tasks Filter'!$F$6="Descending",-1,1)*CHOOSE(MATCH('Tasks Filter'!$F$5,Lists!$G$2:$G$6,0),AW1681,BF1681,IFERROR(MATCH(AV1681,Setup!$F$6:$F$15,0),99),IFERROR(MATCH(BC1681,Setup!$H$6:$H$15,0),99),IFERROR(MATCH(AZ1681,Setup!$J$6:$J$11,0),99))*1E+9+(AW1681-40000)*10000+1680)</f>
        <v/>
      </c>
      <c r="BK1681">
        <f>IF(BI1681=1,BJ1681,"")</f>
        <v/>
      </c>
      <c r="BL1681">
        <f>IF(AND(BH1681=1,BG1681=0,N(AW1681)&lt;Setup!$D$7),(AW1681-40000)*10000+1680,"")</f>
        <v/>
      </c>
      <c r="BM1681">
        <f>IF(AND(BH1681=1,AZ1681&lt;&gt;"Cancelled",N(AW1681)&gt;=Dashboard!$AB$3,N(AW1681)&lt;=Dashboard!$AB$3+6),(AW1681-40000)*100000+BF1681*10000+1680,"")</f>
        <v/>
      </c>
      <c r="BN1681">
        <f>IF(AND(BH1681=1,AZ1681&lt;&gt;"Cancelled"),BF1681*10000+1680,"")</f>
        <v/>
      </c>
    </row>
    <row r="1682">
      <c r="AS1682" t="inlineStr">
        <is>
          <t>V</t>
        </is>
      </c>
      <c r="AT1682" t="n">
        <v>186</v>
      </c>
      <c r="AU1682">
        <f>'Variable Tasks'!C186&amp;""</f>
        <v/>
      </c>
      <c r="AV1682">
        <f>'Variable Tasks'!D186&amp;""</f>
        <v/>
      </c>
      <c r="AW1682">
        <f>IF('Variable Tasks'!E186="","",'Variable Tasks'!E186)</f>
        <v/>
      </c>
      <c r="AX1682">
        <f>IF('Variable Tasks'!G186="","",'Variable Tasks'!G186)</f>
        <v/>
      </c>
      <c r="AY1682">
        <f>IF('Variable Tasks'!H186="","",'Variable Tasks'!H186)</f>
        <v/>
      </c>
      <c r="AZ1682">
        <f>IF(AU1682="","",IF('Variable Tasks'!J186="","Not Started",'Variable Tasks'!J186))</f>
        <v/>
      </c>
      <c r="BA1682">
        <f>'Variable Tasks'!L186&amp;""</f>
        <v/>
      </c>
      <c r="BB1682">
        <f>'Variable Tasks'!M186&amp;""</f>
        <v/>
      </c>
      <c r="BC1682">
        <f>'Variable Tasks'!N186&amp;""</f>
        <v/>
      </c>
      <c r="BD1682">
        <f>'Variable Tasks'!O186&amp;""</f>
        <v/>
      </c>
      <c r="BE1682">
        <f>IF('Variable Tasks'!K186="","",'Variable Tasks'!K186)</f>
        <v/>
      </c>
      <c r="BF1682">
        <f>IFERROR(MATCH(BA1682,Setup!$L$6:$L$9,0),5)</f>
        <v/>
      </c>
      <c r="BG1682">
        <f>IF(OR(AZ1682="Done",AZ1682="Cancelled"),1,0)</f>
        <v/>
      </c>
      <c r="BH1682">
        <f>IF(AND(AU1682&lt;&gt;"",ISNUMBER(AW1682)),1,0)</f>
        <v/>
      </c>
      <c r="BI1682">
        <f>IF(BH1682=0,0,IF(AND(AW1682&gt;='Tasks Filter'!$F$3,AW1682&lt;='Tasks Filter'!$F$4,OR('Tasks Filter'!$I$3="",ISNUMBER(SEARCH('Tasks Filter'!$I$3,AU1682))),OR('Tasks Filter'!$I$4="",BF1682=IFERROR(MATCH('Tasks Filter'!$I$4,Setup!$L$6:$L$9,0),0)),OR('Tasks Filter'!$I$5="Both",AND('Tasks Filter'!$I$5="Yes",BB1682="✓"),AND('Tasks Filter'!$I$5="No",BB1682&lt;&gt;"✓")),OR('Tasks Filter'!$L$3="",AV1682='Tasks Filter'!$L$3),OR('Tasks Filter'!$L$4="",AZ1682='Tasks Filter'!$L$4),OR('Tasks Filter'!$L$5="",BC1682='Tasks Filter'!$L$5),OR('Tasks Filter'!$O$3="",BD1682='Tasks Filter'!$O$3),OR('Tasks Filter'!$O$4="Yes",BG1682=0)),1,0))</f>
        <v/>
      </c>
      <c r="BJ1682">
        <f>IF(BH1682=0,"",IF('Tasks Filter'!$F$6="Descending",-1,1)*CHOOSE(MATCH('Tasks Filter'!$F$5,Lists!$G$2:$G$6,0),AW1682,BF1682,IFERROR(MATCH(AV1682,Setup!$F$6:$F$15,0),99),IFERROR(MATCH(BC1682,Setup!$H$6:$H$15,0),99),IFERROR(MATCH(AZ1682,Setup!$J$6:$J$11,0),99))*1E+9+(AW1682-40000)*10000+1681)</f>
        <v/>
      </c>
      <c r="BK1682">
        <f>IF(BI1682=1,BJ1682,"")</f>
        <v/>
      </c>
      <c r="BL1682">
        <f>IF(AND(BH1682=1,BG1682=0,N(AW1682)&lt;Setup!$D$7),(AW1682-40000)*10000+1681,"")</f>
        <v/>
      </c>
      <c r="BM1682">
        <f>IF(AND(BH1682=1,AZ1682&lt;&gt;"Cancelled",N(AW1682)&gt;=Dashboard!$AB$3,N(AW1682)&lt;=Dashboard!$AB$3+6),(AW1682-40000)*100000+BF1682*10000+1681,"")</f>
        <v/>
      </c>
      <c r="BN1682">
        <f>IF(AND(BH1682=1,AZ1682&lt;&gt;"Cancelled"),BF1682*10000+1681,"")</f>
        <v/>
      </c>
    </row>
    <row r="1683">
      <c r="AS1683" t="inlineStr">
        <is>
          <t>V</t>
        </is>
      </c>
      <c r="AT1683" t="n">
        <v>187</v>
      </c>
      <c r="AU1683">
        <f>'Variable Tasks'!C187&amp;""</f>
        <v/>
      </c>
      <c r="AV1683">
        <f>'Variable Tasks'!D187&amp;""</f>
        <v/>
      </c>
      <c r="AW1683">
        <f>IF('Variable Tasks'!E187="","",'Variable Tasks'!E187)</f>
        <v/>
      </c>
      <c r="AX1683">
        <f>IF('Variable Tasks'!G187="","",'Variable Tasks'!G187)</f>
        <v/>
      </c>
      <c r="AY1683">
        <f>IF('Variable Tasks'!H187="","",'Variable Tasks'!H187)</f>
        <v/>
      </c>
      <c r="AZ1683">
        <f>IF(AU1683="","",IF('Variable Tasks'!J187="","Not Started",'Variable Tasks'!J187))</f>
        <v/>
      </c>
      <c r="BA1683">
        <f>'Variable Tasks'!L187&amp;""</f>
        <v/>
      </c>
      <c r="BB1683">
        <f>'Variable Tasks'!M187&amp;""</f>
        <v/>
      </c>
      <c r="BC1683">
        <f>'Variable Tasks'!N187&amp;""</f>
        <v/>
      </c>
      <c r="BD1683">
        <f>'Variable Tasks'!O187&amp;""</f>
        <v/>
      </c>
      <c r="BE1683">
        <f>IF('Variable Tasks'!K187="","",'Variable Tasks'!K187)</f>
        <v/>
      </c>
      <c r="BF1683">
        <f>IFERROR(MATCH(BA1683,Setup!$L$6:$L$9,0),5)</f>
        <v/>
      </c>
      <c r="BG1683">
        <f>IF(OR(AZ1683="Done",AZ1683="Cancelled"),1,0)</f>
        <v/>
      </c>
      <c r="BH1683">
        <f>IF(AND(AU1683&lt;&gt;"",ISNUMBER(AW1683)),1,0)</f>
        <v/>
      </c>
      <c r="BI1683">
        <f>IF(BH1683=0,0,IF(AND(AW1683&gt;='Tasks Filter'!$F$3,AW1683&lt;='Tasks Filter'!$F$4,OR('Tasks Filter'!$I$3="",ISNUMBER(SEARCH('Tasks Filter'!$I$3,AU1683))),OR('Tasks Filter'!$I$4="",BF1683=IFERROR(MATCH('Tasks Filter'!$I$4,Setup!$L$6:$L$9,0),0)),OR('Tasks Filter'!$I$5="Both",AND('Tasks Filter'!$I$5="Yes",BB1683="✓"),AND('Tasks Filter'!$I$5="No",BB1683&lt;&gt;"✓")),OR('Tasks Filter'!$L$3="",AV1683='Tasks Filter'!$L$3),OR('Tasks Filter'!$L$4="",AZ1683='Tasks Filter'!$L$4),OR('Tasks Filter'!$L$5="",BC1683='Tasks Filter'!$L$5),OR('Tasks Filter'!$O$3="",BD1683='Tasks Filter'!$O$3),OR('Tasks Filter'!$O$4="Yes",BG1683=0)),1,0))</f>
        <v/>
      </c>
      <c r="BJ1683">
        <f>IF(BH1683=0,"",IF('Tasks Filter'!$F$6="Descending",-1,1)*CHOOSE(MATCH('Tasks Filter'!$F$5,Lists!$G$2:$G$6,0),AW1683,BF1683,IFERROR(MATCH(AV1683,Setup!$F$6:$F$15,0),99),IFERROR(MATCH(BC1683,Setup!$H$6:$H$15,0),99),IFERROR(MATCH(AZ1683,Setup!$J$6:$J$11,0),99))*1E+9+(AW1683-40000)*10000+1682)</f>
        <v/>
      </c>
      <c r="BK1683">
        <f>IF(BI1683=1,BJ1683,"")</f>
        <v/>
      </c>
      <c r="BL1683">
        <f>IF(AND(BH1683=1,BG1683=0,N(AW1683)&lt;Setup!$D$7),(AW1683-40000)*10000+1682,"")</f>
        <v/>
      </c>
      <c r="BM1683">
        <f>IF(AND(BH1683=1,AZ1683&lt;&gt;"Cancelled",N(AW1683)&gt;=Dashboard!$AB$3,N(AW1683)&lt;=Dashboard!$AB$3+6),(AW1683-40000)*100000+BF1683*10000+1682,"")</f>
        <v/>
      </c>
      <c r="BN1683">
        <f>IF(AND(BH1683=1,AZ1683&lt;&gt;"Cancelled"),BF1683*10000+1682,"")</f>
        <v/>
      </c>
    </row>
    <row r="1684">
      <c r="AS1684" t="inlineStr">
        <is>
          <t>V</t>
        </is>
      </c>
      <c r="AT1684" t="n">
        <v>188</v>
      </c>
      <c r="AU1684">
        <f>'Variable Tasks'!C188&amp;""</f>
        <v/>
      </c>
      <c r="AV1684">
        <f>'Variable Tasks'!D188&amp;""</f>
        <v/>
      </c>
      <c r="AW1684">
        <f>IF('Variable Tasks'!E188="","",'Variable Tasks'!E188)</f>
        <v/>
      </c>
      <c r="AX1684">
        <f>IF('Variable Tasks'!G188="","",'Variable Tasks'!G188)</f>
        <v/>
      </c>
      <c r="AY1684">
        <f>IF('Variable Tasks'!H188="","",'Variable Tasks'!H188)</f>
        <v/>
      </c>
      <c r="AZ1684">
        <f>IF(AU1684="","",IF('Variable Tasks'!J188="","Not Started",'Variable Tasks'!J188))</f>
        <v/>
      </c>
      <c r="BA1684">
        <f>'Variable Tasks'!L188&amp;""</f>
        <v/>
      </c>
      <c r="BB1684">
        <f>'Variable Tasks'!M188&amp;""</f>
        <v/>
      </c>
      <c r="BC1684">
        <f>'Variable Tasks'!N188&amp;""</f>
        <v/>
      </c>
      <c r="BD1684">
        <f>'Variable Tasks'!O188&amp;""</f>
        <v/>
      </c>
      <c r="BE1684">
        <f>IF('Variable Tasks'!K188="","",'Variable Tasks'!K188)</f>
        <v/>
      </c>
      <c r="BF1684">
        <f>IFERROR(MATCH(BA1684,Setup!$L$6:$L$9,0),5)</f>
        <v/>
      </c>
      <c r="BG1684">
        <f>IF(OR(AZ1684="Done",AZ1684="Cancelled"),1,0)</f>
        <v/>
      </c>
      <c r="BH1684">
        <f>IF(AND(AU1684&lt;&gt;"",ISNUMBER(AW1684)),1,0)</f>
        <v/>
      </c>
      <c r="BI1684">
        <f>IF(BH1684=0,0,IF(AND(AW1684&gt;='Tasks Filter'!$F$3,AW1684&lt;='Tasks Filter'!$F$4,OR('Tasks Filter'!$I$3="",ISNUMBER(SEARCH('Tasks Filter'!$I$3,AU1684))),OR('Tasks Filter'!$I$4="",BF1684=IFERROR(MATCH('Tasks Filter'!$I$4,Setup!$L$6:$L$9,0),0)),OR('Tasks Filter'!$I$5="Both",AND('Tasks Filter'!$I$5="Yes",BB1684="✓"),AND('Tasks Filter'!$I$5="No",BB1684&lt;&gt;"✓")),OR('Tasks Filter'!$L$3="",AV1684='Tasks Filter'!$L$3),OR('Tasks Filter'!$L$4="",AZ1684='Tasks Filter'!$L$4),OR('Tasks Filter'!$L$5="",BC1684='Tasks Filter'!$L$5),OR('Tasks Filter'!$O$3="",BD1684='Tasks Filter'!$O$3),OR('Tasks Filter'!$O$4="Yes",BG1684=0)),1,0))</f>
        <v/>
      </c>
      <c r="BJ1684">
        <f>IF(BH1684=0,"",IF('Tasks Filter'!$F$6="Descending",-1,1)*CHOOSE(MATCH('Tasks Filter'!$F$5,Lists!$G$2:$G$6,0),AW1684,BF1684,IFERROR(MATCH(AV1684,Setup!$F$6:$F$15,0),99),IFERROR(MATCH(BC1684,Setup!$H$6:$H$15,0),99),IFERROR(MATCH(AZ1684,Setup!$J$6:$J$11,0),99))*1E+9+(AW1684-40000)*10000+1683)</f>
        <v/>
      </c>
      <c r="BK1684">
        <f>IF(BI1684=1,BJ1684,"")</f>
        <v/>
      </c>
      <c r="BL1684">
        <f>IF(AND(BH1684=1,BG1684=0,N(AW1684)&lt;Setup!$D$7),(AW1684-40000)*10000+1683,"")</f>
        <v/>
      </c>
      <c r="BM1684">
        <f>IF(AND(BH1684=1,AZ1684&lt;&gt;"Cancelled",N(AW1684)&gt;=Dashboard!$AB$3,N(AW1684)&lt;=Dashboard!$AB$3+6),(AW1684-40000)*100000+BF1684*10000+1683,"")</f>
        <v/>
      </c>
      <c r="BN1684">
        <f>IF(AND(BH1684=1,AZ1684&lt;&gt;"Cancelled"),BF1684*10000+1683,"")</f>
        <v/>
      </c>
    </row>
    <row r="1685">
      <c r="AS1685" t="inlineStr">
        <is>
          <t>V</t>
        </is>
      </c>
      <c r="AT1685" t="n">
        <v>189</v>
      </c>
      <c r="AU1685">
        <f>'Variable Tasks'!C189&amp;""</f>
        <v/>
      </c>
      <c r="AV1685">
        <f>'Variable Tasks'!D189&amp;""</f>
        <v/>
      </c>
      <c r="AW1685">
        <f>IF('Variable Tasks'!E189="","",'Variable Tasks'!E189)</f>
        <v/>
      </c>
      <c r="AX1685">
        <f>IF('Variable Tasks'!G189="","",'Variable Tasks'!G189)</f>
        <v/>
      </c>
      <c r="AY1685">
        <f>IF('Variable Tasks'!H189="","",'Variable Tasks'!H189)</f>
        <v/>
      </c>
      <c r="AZ1685">
        <f>IF(AU1685="","",IF('Variable Tasks'!J189="","Not Started",'Variable Tasks'!J189))</f>
        <v/>
      </c>
      <c r="BA1685">
        <f>'Variable Tasks'!L189&amp;""</f>
        <v/>
      </c>
      <c r="BB1685">
        <f>'Variable Tasks'!M189&amp;""</f>
        <v/>
      </c>
      <c r="BC1685">
        <f>'Variable Tasks'!N189&amp;""</f>
        <v/>
      </c>
      <c r="BD1685">
        <f>'Variable Tasks'!O189&amp;""</f>
        <v/>
      </c>
      <c r="BE1685">
        <f>IF('Variable Tasks'!K189="","",'Variable Tasks'!K189)</f>
        <v/>
      </c>
      <c r="BF1685">
        <f>IFERROR(MATCH(BA1685,Setup!$L$6:$L$9,0),5)</f>
        <v/>
      </c>
      <c r="BG1685">
        <f>IF(OR(AZ1685="Done",AZ1685="Cancelled"),1,0)</f>
        <v/>
      </c>
      <c r="BH1685">
        <f>IF(AND(AU1685&lt;&gt;"",ISNUMBER(AW1685)),1,0)</f>
        <v/>
      </c>
      <c r="BI1685">
        <f>IF(BH1685=0,0,IF(AND(AW1685&gt;='Tasks Filter'!$F$3,AW1685&lt;='Tasks Filter'!$F$4,OR('Tasks Filter'!$I$3="",ISNUMBER(SEARCH('Tasks Filter'!$I$3,AU1685))),OR('Tasks Filter'!$I$4="",BF1685=IFERROR(MATCH('Tasks Filter'!$I$4,Setup!$L$6:$L$9,0),0)),OR('Tasks Filter'!$I$5="Both",AND('Tasks Filter'!$I$5="Yes",BB1685="✓"),AND('Tasks Filter'!$I$5="No",BB1685&lt;&gt;"✓")),OR('Tasks Filter'!$L$3="",AV1685='Tasks Filter'!$L$3),OR('Tasks Filter'!$L$4="",AZ1685='Tasks Filter'!$L$4),OR('Tasks Filter'!$L$5="",BC1685='Tasks Filter'!$L$5),OR('Tasks Filter'!$O$3="",BD1685='Tasks Filter'!$O$3),OR('Tasks Filter'!$O$4="Yes",BG1685=0)),1,0))</f>
        <v/>
      </c>
      <c r="BJ1685">
        <f>IF(BH1685=0,"",IF('Tasks Filter'!$F$6="Descending",-1,1)*CHOOSE(MATCH('Tasks Filter'!$F$5,Lists!$G$2:$G$6,0),AW1685,BF1685,IFERROR(MATCH(AV1685,Setup!$F$6:$F$15,0),99),IFERROR(MATCH(BC1685,Setup!$H$6:$H$15,0),99),IFERROR(MATCH(AZ1685,Setup!$J$6:$J$11,0),99))*1E+9+(AW1685-40000)*10000+1684)</f>
        <v/>
      </c>
      <c r="BK1685">
        <f>IF(BI1685=1,BJ1685,"")</f>
        <v/>
      </c>
      <c r="BL1685">
        <f>IF(AND(BH1685=1,BG1685=0,N(AW1685)&lt;Setup!$D$7),(AW1685-40000)*10000+1684,"")</f>
        <v/>
      </c>
      <c r="BM1685">
        <f>IF(AND(BH1685=1,AZ1685&lt;&gt;"Cancelled",N(AW1685)&gt;=Dashboard!$AB$3,N(AW1685)&lt;=Dashboard!$AB$3+6),(AW1685-40000)*100000+BF1685*10000+1684,"")</f>
        <v/>
      </c>
      <c r="BN1685">
        <f>IF(AND(BH1685=1,AZ1685&lt;&gt;"Cancelled"),BF1685*10000+1684,"")</f>
        <v/>
      </c>
    </row>
    <row r="1686">
      <c r="AS1686" t="inlineStr">
        <is>
          <t>V</t>
        </is>
      </c>
      <c r="AT1686" t="n">
        <v>190</v>
      </c>
      <c r="AU1686">
        <f>'Variable Tasks'!C190&amp;""</f>
        <v/>
      </c>
      <c r="AV1686">
        <f>'Variable Tasks'!D190&amp;""</f>
        <v/>
      </c>
      <c r="AW1686">
        <f>IF('Variable Tasks'!E190="","",'Variable Tasks'!E190)</f>
        <v/>
      </c>
      <c r="AX1686">
        <f>IF('Variable Tasks'!G190="","",'Variable Tasks'!G190)</f>
        <v/>
      </c>
      <c r="AY1686">
        <f>IF('Variable Tasks'!H190="","",'Variable Tasks'!H190)</f>
        <v/>
      </c>
      <c r="AZ1686">
        <f>IF(AU1686="","",IF('Variable Tasks'!J190="","Not Started",'Variable Tasks'!J190))</f>
        <v/>
      </c>
      <c r="BA1686">
        <f>'Variable Tasks'!L190&amp;""</f>
        <v/>
      </c>
      <c r="BB1686">
        <f>'Variable Tasks'!M190&amp;""</f>
        <v/>
      </c>
      <c r="BC1686">
        <f>'Variable Tasks'!N190&amp;""</f>
        <v/>
      </c>
      <c r="BD1686">
        <f>'Variable Tasks'!O190&amp;""</f>
        <v/>
      </c>
      <c r="BE1686">
        <f>IF('Variable Tasks'!K190="","",'Variable Tasks'!K190)</f>
        <v/>
      </c>
      <c r="BF1686">
        <f>IFERROR(MATCH(BA1686,Setup!$L$6:$L$9,0),5)</f>
        <v/>
      </c>
      <c r="BG1686">
        <f>IF(OR(AZ1686="Done",AZ1686="Cancelled"),1,0)</f>
        <v/>
      </c>
      <c r="BH1686">
        <f>IF(AND(AU1686&lt;&gt;"",ISNUMBER(AW1686)),1,0)</f>
        <v/>
      </c>
      <c r="BI1686">
        <f>IF(BH1686=0,0,IF(AND(AW1686&gt;='Tasks Filter'!$F$3,AW1686&lt;='Tasks Filter'!$F$4,OR('Tasks Filter'!$I$3="",ISNUMBER(SEARCH('Tasks Filter'!$I$3,AU1686))),OR('Tasks Filter'!$I$4="",BF1686=IFERROR(MATCH('Tasks Filter'!$I$4,Setup!$L$6:$L$9,0),0)),OR('Tasks Filter'!$I$5="Both",AND('Tasks Filter'!$I$5="Yes",BB1686="✓"),AND('Tasks Filter'!$I$5="No",BB1686&lt;&gt;"✓")),OR('Tasks Filter'!$L$3="",AV1686='Tasks Filter'!$L$3),OR('Tasks Filter'!$L$4="",AZ1686='Tasks Filter'!$L$4),OR('Tasks Filter'!$L$5="",BC1686='Tasks Filter'!$L$5),OR('Tasks Filter'!$O$3="",BD1686='Tasks Filter'!$O$3),OR('Tasks Filter'!$O$4="Yes",BG1686=0)),1,0))</f>
        <v/>
      </c>
      <c r="BJ1686">
        <f>IF(BH1686=0,"",IF('Tasks Filter'!$F$6="Descending",-1,1)*CHOOSE(MATCH('Tasks Filter'!$F$5,Lists!$G$2:$G$6,0),AW1686,BF1686,IFERROR(MATCH(AV1686,Setup!$F$6:$F$15,0),99),IFERROR(MATCH(BC1686,Setup!$H$6:$H$15,0),99),IFERROR(MATCH(AZ1686,Setup!$J$6:$J$11,0),99))*1E+9+(AW1686-40000)*10000+1685)</f>
        <v/>
      </c>
      <c r="BK1686">
        <f>IF(BI1686=1,BJ1686,"")</f>
        <v/>
      </c>
      <c r="BL1686">
        <f>IF(AND(BH1686=1,BG1686=0,N(AW1686)&lt;Setup!$D$7),(AW1686-40000)*10000+1685,"")</f>
        <v/>
      </c>
      <c r="BM1686">
        <f>IF(AND(BH1686=1,AZ1686&lt;&gt;"Cancelled",N(AW1686)&gt;=Dashboard!$AB$3,N(AW1686)&lt;=Dashboard!$AB$3+6),(AW1686-40000)*100000+BF1686*10000+1685,"")</f>
        <v/>
      </c>
      <c r="BN1686">
        <f>IF(AND(BH1686=1,AZ1686&lt;&gt;"Cancelled"),BF1686*10000+1685,"")</f>
        <v/>
      </c>
    </row>
    <row r="1687">
      <c r="AS1687" t="inlineStr">
        <is>
          <t>V</t>
        </is>
      </c>
      <c r="AT1687" t="n">
        <v>191</v>
      </c>
      <c r="AU1687">
        <f>'Variable Tasks'!C191&amp;""</f>
        <v/>
      </c>
      <c r="AV1687">
        <f>'Variable Tasks'!D191&amp;""</f>
        <v/>
      </c>
      <c r="AW1687">
        <f>IF('Variable Tasks'!E191="","",'Variable Tasks'!E191)</f>
        <v/>
      </c>
      <c r="AX1687">
        <f>IF('Variable Tasks'!G191="","",'Variable Tasks'!G191)</f>
        <v/>
      </c>
      <c r="AY1687">
        <f>IF('Variable Tasks'!H191="","",'Variable Tasks'!H191)</f>
        <v/>
      </c>
      <c r="AZ1687">
        <f>IF(AU1687="","",IF('Variable Tasks'!J191="","Not Started",'Variable Tasks'!J191))</f>
        <v/>
      </c>
      <c r="BA1687">
        <f>'Variable Tasks'!L191&amp;""</f>
        <v/>
      </c>
      <c r="BB1687">
        <f>'Variable Tasks'!M191&amp;""</f>
        <v/>
      </c>
      <c r="BC1687">
        <f>'Variable Tasks'!N191&amp;""</f>
        <v/>
      </c>
      <c r="BD1687">
        <f>'Variable Tasks'!O191&amp;""</f>
        <v/>
      </c>
      <c r="BE1687">
        <f>IF('Variable Tasks'!K191="","",'Variable Tasks'!K191)</f>
        <v/>
      </c>
      <c r="BF1687">
        <f>IFERROR(MATCH(BA1687,Setup!$L$6:$L$9,0),5)</f>
        <v/>
      </c>
      <c r="BG1687">
        <f>IF(OR(AZ1687="Done",AZ1687="Cancelled"),1,0)</f>
        <v/>
      </c>
      <c r="BH1687">
        <f>IF(AND(AU1687&lt;&gt;"",ISNUMBER(AW1687)),1,0)</f>
        <v/>
      </c>
      <c r="BI1687">
        <f>IF(BH1687=0,0,IF(AND(AW1687&gt;='Tasks Filter'!$F$3,AW1687&lt;='Tasks Filter'!$F$4,OR('Tasks Filter'!$I$3="",ISNUMBER(SEARCH('Tasks Filter'!$I$3,AU1687))),OR('Tasks Filter'!$I$4="",BF1687=IFERROR(MATCH('Tasks Filter'!$I$4,Setup!$L$6:$L$9,0),0)),OR('Tasks Filter'!$I$5="Both",AND('Tasks Filter'!$I$5="Yes",BB1687="✓"),AND('Tasks Filter'!$I$5="No",BB1687&lt;&gt;"✓")),OR('Tasks Filter'!$L$3="",AV1687='Tasks Filter'!$L$3),OR('Tasks Filter'!$L$4="",AZ1687='Tasks Filter'!$L$4),OR('Tasks Filter'!$L$5="",BC1687='Tasks Filter'!$L$5),OR('Tasks Filter'!$O$3="",BD1687='Tasks Filter'!$O$3),OR('Tasks Filter'!$O$4="Yes",BG1687=0)),1,0))</f>
        <v/>
      </c>
      <c r="BJ1687">
        <f>IF(BH1687=0,"",IF('Tasks Filter'!$F$6="Descending",-1,1)*CHOOSE(MATCH('Tasks Filter'!$F$5,Lists!$G$2:$G$6,0),AW1687,BF1687,IFERROR(MATCH(AV1687,Setup!$F$6:$F$15,0),99),IFERROR(MATCH(BC1687,Setup!$H$6:$H$15,0),99),IFERROR(MATCH(AZ1687,Setup!$J$6:$J$11,0),99))*1E+9+(AW1687-40000)*10000+1686)</f>
        <v/>
      </c>
      <c r="BK1687">
        <f>IF(BI1687=1,BJ1687,"")</f>
        <v/>
      </c>
      <c r="BL1687">
        <f>IF(AND(BH1687=1,BG1687=0,N(AW1687)&lt;Setup!$D$7),(AW1687-40000)*10000+1686,"")</f>
        <v/>
      </c>
      <c r="BM1687">
        <f>IF(AND(BH1687=1,AZ1687&lt;&gt;"Cancelled",N(AW1687)&gt;=Dashboard!$AB$3,N(AW1687)&lt;=Dashboard!$AB$3+6),(AW1687-40000)*100000+BF1687*10000+1686,"")</f>
        <v/>
      </c>
      <c r="BN1687">
        <f>IF(AND(BH1687=1,AZ1687&lt;&gt;"Cancelled"),BF1687*10000+1686,"")</f>
        <v/>
      </c>
    </row>
    <row r="1688">
      <c r="AS1688" t="inlineStr">
        <is>
          <t>V</t>
        </is>
      </c>
      <c r="AT1688" t="n">
        <v>192</v>
      </c>
      <c r="AU1688">
        <f>'Variable Tasks'!C192&amp;""</f>
        <v/>
      </c>
      <c r="AV1688">
        <f>'Variable Tasks'!D192&amp;""</f>
        <v/>
      </c>
      <c r="AW1688">
        <f>IF('Variable Tasks'!E192="","",'Variable Tasks'!E192)</f>
        <v/>
      </c>
      <c r="AX1688">
        <f>IF('Variable Tasks'!G192="","",'Variable Tasks'!G192)</f>
        <v/>
      </c>
      <c r="AY1688">
        <f>IF('Variable Tasks'!H192="","",'Variable Tasks'!H192)</f>
        <v/>
      </c>
      <c r="AZ1688">
        <f>IF(AU1688="","",IF('Variable Tasks'!J192="","Not Started",'Variable Tasks'!J192))</f>
        <v/>
      </c>
      <c r="BA1688">
        <f>'Variable Tasks'!L192&amp;""</f>
        <v/>
      </c>
      <c r="BB1688">
        <f>'Variable Tasks'!M192&amp;""</f>
        <v/>
      </c>
      <c r="BC1688">
        <f>'Variable Tasks'!N192&amp;""</f>
        <v/>
      </c>
      <c r="BD1688">
        <f>'Variable Tasks'!O192&amp;""</f>
        <v/>
      </c>
      <c r="BE1688">
        <f>IF('Variable Tasks'!K192="","",'Variable Tasks'!K192)</f>
        <v/>
      </c>
      <c r="BF1688">
        <f>IFERROR(MATCH(BA1688,Setup!$L$6:$L$9,0),5)</f>
        <v/>
      </c>
      <c r="BG1688">
        <f>IF(OR(AZ1688="Done",AZ1688="Cancelled"),1,0)</f>
        <v/>
      </c>
      <c r="BH1688">
        <f>IF(AND(AU1688&lt;&gt;"",ISNUMBER(AW1688)),1,0)</f>
        <v/>
      </c>
      <c r="BI1688">
        <f>IF(BH1688=0,0,IF(AND(AW1688&gt;='Tasks Filter'!$F$3,AW1688&lt;='Tasks Filter'!$F$4,OR('Tasks Filter'!$I$3="",ISNUMBER(SEARCH('Tasks Filter'!$I$3,AU1688))),OR('Tasks Filter'!$I$4="",BF1688=IFERROR(MATCH('Tasks Filter'!$I$4,Setup!$L$6:$L$9,0),0)),OR('Tasks Filter'!$I$5="Both",AND('Tasks Filter'!$I$5="Yes",BB1688="✓"),AND('Tasks Filter'!$I$5="No",BB1688&lt;&gt;"✓")),OR('Tasks Filter'!$L$3="",AV1688='Tasks Filter'!$L$3),OR('Tasks Filter'!$L$4="",AZ1688='Tasks Filter'!$L$4),OR('Tasks Filter'!$L$5="",BC1688='Tasks Filter'!$L$5),OR('Tasks Filter'!$O$3="",BD1688='Tasks Filter'!$O$3),OR('Tasks Filter'!$O$4="Yes",BG1688=0)),1,0))</f>
        <v/>
      </c>
      <c r="BJ1688">
        <f>IF(BH1688=0,"",IF('Tasks Filter'!$F$6="Descending",-1,1)*CHOOSE(MATCH('Tasks Filter'!$F$5,Lists!$G$2:$G$6,0),AW1688,BF1688,IFERROR(MATCH(AV1688,Setup!$F$6:$F$15,0),99),IFERROR(MATCH(BC1688,Setup!$H$6:$H$15,0),99),IFERROR(MATCH(AZ1688,Setup!$J$6:$J$11,0),99))*1E+9+(AW1688-40000)*10000+1687)</f>
        <v/>
      </c>
      <c r="BK1688">
        <f>IF(BI1688=1,BJ1688,"")</f>
        <v/>
      </c>
      <c r="BL1688">
        <f>IF(AND(BH1688=1,BG1688=0,N(AW1688)&lt;Setup!$D$7),(AW1688-40000)*10000+1687,"")</f>
        <v/>
      </c>
      <c r="BM1688">
        <f>IF(AND(BH1688=1,AZ1688&lt;&gt;"Cancelled",N(AW1688)&gt;=Dashboard!$AB$3,N(AW1688)&lt;=Dashboard!$AB$3+6),(AW1688-40000)*100000+BF1688*10000+1687,"")</f>
        <v/>
      </c>
      <c r="BN1688">
        <f>IF(AND(BH1688=1,AZ1688&lt;&gt;"Cancelled"),BF1688*10000+1687,"")</f>
        <v/>
      </c>
    </row>
    <row r="1689">
      <c r="AS1689" t="inlineStr">
        <is>
          <t>V</t>
        </is>
      </c>
      <c r="AT1689" t="n">
        <v>193</v>
      </c>
      <c r="AU1689">
        <f>'Variable Tasks'!C193&amp;""</f>
        <v/>
      </c>
      <c r="AV1689">
        <f>'Variable Tasks'!D193&amp;""</f>
        <v/>
      </c>
      <c r="AW1689">
        <f>IF('Variable Tasks'!E193="","",'Variable Tasks'!E193)</f>
        <v/>
      </c>
      <c r="AX1689">
        <f>IF('Variable Tasks'!G193="","",'Variable Tasks'!G193)</f>
        <v/>
      </c>
      <c r="AY1689">
        <f>IF('Variable Tasks'!H193="","",'Variable Tasks'!H193)</f>
        <v/>
      </c>
      <c r="AZ1689">
        <f>IF(AU1689="","",IF('Variable Tasks'!J193="","Not Started",'Variable Tasks'!J193))</f>
        <v/>
      </c>
      <c r="BA1689">
        <f>'Variable Tasks'!L193&amp;""</f>
        <v/>
      </c>
      <c r="BB1689">
        <f>'Variable Tasks'!M193&amp;""</f>
        <v/>
      </c>
      <c r="BC1689">
        <f>'Variable Tasks'!N193&amp;""</f>
        <v/>
      </c>
      <c r="BD1689">
        <f>'Variable Tasks'!O193&amp;""</f>
        <v/>
      </c>
      <c r="BE1689">
        <f>IF('Variable Tasks'!K193="","",'Variable Tasks'!K193)</f>
        <v/>
      </c>
      <c r="BF1689">
        <f>IFERROR(MATCH(BA1689,Setup!$L$6:$L$9,0),5)</f>
        <v/>
      </c>
      <c r="BG1689">
        <f>IF(OR(AZ1689="Done",AZ1689="Cancelled"),1,0)</f>
        <v/>
      </c>
      <c r="BH1689">
        <f>IF(AND(AU1689&lt;&gt;"",ISNUMBER(AW1689)),1,0)</f>
        <v/>
      </c>
      <c r="BI1689">
        <f>IF(BH1689=0,0,IF(AND(AW1689&gt;='Tasks Filter'!$F$3,AW1689&lt;='Tasks Filter'!$F$4,OR('Tasks Filter'!$I$3="",ISNUMBER(SEARCH('Tasks Filter'!$I$3,AU1689))),OR('Tasks Filter'!$I$4="",BF1689=IFERROR(MATCH('Tasks Filter'!$I$4,Setup!$L$6:$L$9,0),0)),OR('Tasks Filter'!$I$5="Both",AND('Tasks Filter'!$I$5="Yes",BB1689="✓"),AND('Tasks Filter'!$I$5="No",BB1689&lt;&gt;"✓")),OR('Tasks Filter'!$L$3="",AV1689='Tasks Filter'!$L$3),OR('Tasks Filter'!$L$4="",AZ1689='Tasks Filter'!$L$4),OR('Tasks Filter'!$L$5="",BC1689='Tasks Filter'!$L$5),OR('Tasks Filter'!$O$3="",BD1689='Tasks Filter'!$O$3),OR('Tasks Filter'!$O$4="Yes",BG1689=0)),1,0))</f>
        <v/>
      </c>
      <c r="BJ1689">
        <f>IF(BH1689=0,"",IF('Tasks Filter'!$F$6="Descending",-1,1)*CHOOSE(MATCH('Tasks Filter'!$F$5,Lists!$G$2:$G$6,0),AW1689,BF1689,IFERROR(MATCH(AV1689,Setup!$F$6:$F$15,0),99),IFERROR(MATCH(BC1689,Setup!$H$6:$H$15,0),99),IFERROR(MATCH(AZ1689,Setup!$J$6:$J$11,0),99))*1E+9+(AW1689-40000)*10000+1688)</f>
        <v/>
      </c>
      <c r="BK1689">
        <f>IF(BI1689=1,BJ1689,"")</f>
        <v/>
      </c>
      <c r="BL1689">
        <f>IF(AND(BH1689=1,BG1689=0,N(AW1689)&lt;Setup!$D$7),(AW1689-40000)*10000+1688,"")</f>
        <v/>
      </c>
      <c r="BM1689">
        <f>IF(AND(BH1689=1,AZ1689&lt;&gt;"Cancelled",N(AW1689)&gt;=Dashboard!$AB$3,N(AW1689)&lt;=Dashboard!$AB$3+6),(AW1689-40000)*100000+BF1689*10000+1688,"")</f>
        <v/>
      </c>
      <c r="BN1689">
        <f>IF(AND(BH1689=1,AZ1689&lt;&gt;"Cancelled"),BF1689*10000+1688,"")</f>
        <v/>
      </c>
    </row>
    <row r="1690">
      <c r="AS1690" t="inlineStr">
        <is>
          <t>V</t>
        </is>
      </c>
      <c r="AT1690" t="n">
        <v>194</v>
      </c>
      <c r="AU1690">
        <f>'Variable Tasks'!C194&amp;""</f>
        <v/>
      </c>
      <c r="AV1690">
        <f>'Variable Tasks'!D194&amp;""</f>
        <v/>
      </c>
      <c r="AW1690">
        <f>IF('Variable Tasks'!E194="","",'Variable Tasks'!E194)</f>
        <v/>
      </c>
      <c r="AX1690">
        <f>IF('Variable Tasks'!G194="","",'Variable Tasks'!G194)</f>
        <v/>
      </c>
      <c r="AY1690">
        <f>IF('Variable Tasks'!H194="","",'Variable Tasks'!H194)</f>
        <v/>
      </c>
      <c r="AZ1690">
        <f>IF(AU1690="","",IF('Variable Tasks'!J194="","Not Started",'Variable Tasks'!J194))</f>
        <v/>
      </c>
      <c r="BA1690">
        <f>'Variable Tasks'!L194&amp;""</f>
        <v/>
      </c>
      <c r="BB1690">
        <f>'Variable Tasks'!M194&amp;""</f>
        <v/>
      </c>
      <c r="BC1690">
        <f>'Variable Tasks'!N194&amp;""</f>
        <v/>
      </c>
      <c r="BD1690">
        <f>'Variable Tasks'!O194&amp;""</f>
        <v/>
      </c>
      <c r="BE1690">
        <f>IF('Variable Tasks'!K194="","",'Variable Tasks'!K194)</f>
        <v/>
      </c>
      <c r="BF1690">
        <f>IFERROR(MATCH(BA1690,Setup!$L$6:$L$9,0),5)</f>
        <v/>
      </c>
      <c r="BG1690">
        <f>IF(OR(AZ1690="Done",AZ1690="Cancelled"),1,0)</f>
        <v/>
      </c>
      <c r="BH1690">
        <f>IF(AND(AU1690&lt;&gt;"",ISNUMBER(AW1690)),1,0)</f>
        <v/>
      </c>
      <c r="BI1690">
        <f>IF(BH1690=0,0,IF(AND(AW1690&gt;='Tasks Filter'!$F$3,AW1690&lt;='Tasks Filter'!$F$4,OR('Tasks Filter'!$I$3="",ISNUMBER(SEARCH('Tasks Filter'!$I$3,AU1690))),OR('Tasks Filter'!$I$4="",BF1690=IFERROR(MATCH('Tasks Filter'!$I$4,Setup!$L$6:$L$9,0),0)),OR('Tasks Filter'!$I$5="Both",AND('Tasks Filter'!$I$5="Yes",BB1690="✓"),AND('Tasks Filter'!$I$5="No",BB1690&lt;&gt;"✓")),OR('Tasks Filter'!$L$3="",AV1690='Tasks Filter'!$L$3),OR('Tasks Filter'!$L$4="",AZ1690='Tasks Filter'!$L$4),OR('Tasks Filter'!$L$5="",BC1690='Tasks Filter'!$L$5),OR('Tasks Filter'!$O$3="",BD1690='Tasks Filter'!$O$3),OR('Tasks Filter'!$O$4="Yes",BG1690=0)),1,0))</f>
        <v/>
      </c>
      <c r="BJ1690">
        <f>IF(BH1690=0,"",IF('Tasks Filter'!$F$6="Descending",-1,1)*CHOOSE(MATCH('Tasks Filter'!$F$5,Lists!$G$2:$G$6,0),AW1690,BF1690,IFERROR(MATCH(AV1690,Setup!$F$6:$F$15,0),99),IFERROR(MATCH(BC1690,Setup!$H$6:$H$15,0),99),IFERROR(MATCH(AZ1690,Setup!$J$6:$J$11,0),99))*1E+9+(AW1690-40000)*10000+1689)</f>
        <v/>
      </c>
      <c r="BK1690">
        <f>IF(BI1690=1,BJ1690,"")</f>
        <v/>
      </c>
      <c r="BL1690">
        <f>IF(AND(BH1690=1,BG1690=0,N(AW1690)&lt;Setup!$D$7),(AW1690-40000)*10000+1689,"")</f>
        <v/>
      </c>
      <c r="BM1690">
        <f>IF(AND(BH1690=1,AZ1690&lt;&gt;"Cancelled",N(AW1690)&gt;=Dashboard!$AB$3,N(AW1690)&lt;=Dashboard!$AB$3+6),(AW1690-40000)*100000+BF1690*10000+1689,"")</f>
        <v/>
      </c>
      <c r="BN1690">
        <f>IF(AND(BH1690=1,AZ1690&lt;&gt;"Cancelled"),BF1690*10000+1689,"")</f>
        <v/>
      </c>
    </row>
    <row r="1691">
      <c r="AS1691" t="inlineStr">
        <is>
          <t>V</t>
        </is>
      </c>
      <c r="AT1691" t="n">
        <v>195</v>
      </c>
      <c r="AU1691">
        <f>'Variable Tasks'!C195&amp;""</f>
        <v/>
      </c>
      <c r="AV1691">
        <f>'Variable Tasks'!D195&amp;""</f>
        <v/>
      </c>
      <c r="AW1691">
        <f>IF('Variable Tasks'!E195="","",'Variable Tasks'!E195)</f>
        <v/>
      </c>
      <c r="AX1691">
        <f>IF('Variable Tasks'!G195="","",'Variable Tasks'!G195)</f>
        <v/>
      </c>
      <c r="AY1691">
        <f>IF('Variable Tasks'!H195="","",'Variable Tasks'!H195)</f>
        <v/>
      </c>
      <c r="AZ1691">
        <f>IF(AU1691="","",IF('Variable Tasks'!J195="","Not Started",'Variable Tasks'!J195))</f>
        <v/>
      </c>
      <c r="BA1691">
        <f>'Variable Tasks'!L195&amp;""</f>
        <v/>
      </c>
      <c r="BB1691">
        <f>'Variable Tasks'!M195&amp;""</f>
        <v/>
      </c>
      <c r="BC1691">
        <f>'Variable Tasks'!N195&amp;""</f>
        <v/>
      </c>
      <c r="BD1691">
        <f>'Variable Tasks'!O195&amp;""</f>
        <v/>
      </c>
      <c r="BE1691">
        <f>IF('Variable Tasks'!K195="","",'Variable Tasks'!K195)</f>
        <v/>
      </c>
      <c r="BF1691">
        <f>IFERROR(MATCH(BA1691,Setup!$L$6:$L$9,0),5)</f>
        <v/>
      </c>
      <c r="BG1691">
        <f>IF(OR(AZ1691="Done",AZ1691="Cancelled"),1,0)</f>
        <v/>
      </c>
      <c r="BH1691">
        <f>IF(AND(AU1691&lt;&gt;"",ISNUMBER(AW1691)),1,0)</f>
        <v/>
      </c>
      <c r="BI1691">
        <f>IF(BH1691=0,0,IF(AND(AW1691&gt;='Tasks Filter'!$F$3,AW1691&lt;='Tasks Filter'!$F$4,OR('Tasks Filter'!$I$3="",ISNUMBER(SEARCH('Tasks Filter'!$I$3,AU1691))),OR('Tasks Filter'!$I$4="",BF1691=IFERROR(MATCH('Tasks Filter'!$I$4,Setup!$L$6:$L$9,0),0)),OR('Tasks Filter'!$I$5="Both",AND('Tasks Filter'!$I$5="Yes",BB1691="✓"),AND('Tasks Filter'!$I$5="No",BB1691&lt;&gt;"✓")),OR('Tasks Filter'!$L$3="",AV1691='Tasks Filter'!$L$3),OR('Tasks Filter'!$L$4="",AZ1691='Tasks Filter'!$L$4),OR('Tasks Filter'!$L$5="",BC1691='Tasks Filter'!$L$5),OR('Tasks Filter'!$O$3="",BD1691='Tasks Filter'!$O$3),OR('Tasks Filter'!$O$4="Yes",BG1691=0)),1,0))</f>
        <v/>
      </c>
      <c r="BJ1691">
        <f>IF(BH1691=0,"",IF('Tasks Filter'!$F$6="Descending",-1,1)*CHOOSE(MATCH('Tasks Filter'!$F$5,Lists!$G$2:$G$6,0),AW1691,BF1691,IFERROR(MATCH(AV1691,Setup!$F$6:$F$15,0),99),IFERROR(MATCH(BC1691,Setup!$H$6:$H$15,0),99),IFERROR(MATCH(AZ1691,Setup!$J$6:$J$11,0),99))*1E+9+(AW1691-40000)*10000+1690)</f>
        <v/>
      </c>
      <c r="BK1691">
        <f>IF(BI1691=1,BJ1691,"")</f>
        <v/>
      </c>
      <c r="BL1691">
        <f>IF(AND(BH1691=1,BG1691=0,N(AW1691)&lt;Setup!$D$7),(AW1691-40000)*10000+1690,"")</f>
        <v/>
      </c>
      <c r="BM1691">
        <f>IF(AND(BH1691=1,AZ1691&lt;&gt;"Cancelled",N(AW1691)&gt;=Dashboard!$AB$3,N(AW1691)&lt;=Dashboard!$AB$3+6),(AW1691-40000)*100000+BF1691*10000+1690,"")</f>
        <v/>
      </c>
      <c r="BN1691">
        <f>IF(AND(BH1691=1,AZ1691&lt;&gt;"Cancelled"),BF1691*10000+1690,"")</f>
        <v/>
      </c>
    </row>
    <row r="1692">
      <c r="AS1692" t="inlineStr">
        <is>
          <t>V</t>
        </is>
      </c>
      <c r="AT1692" t="n">
        <v>196</v>
      </c>
      <c r="AU1692">
        <f>'Variable Tasks'!C196&amp;""</f>
        <v/>
      </c>
      <c r="AV1692">
        <f>'Variable Tasks'!D196&amp;""</f>
        <v/>
      </c>
      <c r="AW1692">
        <f>IF('Variable Tasks'!E196="","",'Variable Tasks'!E196)</f>
        <v/>
      </c>
      <c r="AX1692">
        <f>IF('Variable Tasks'!G196="","",'Variable Tasks'!G196)</f>
        <v/>
      </c>
      <c r="AY1692">
        <f>IF('Variable Tasks'!H196="","",'Variable Tasks'!H196)</f>
        <v/>
      </c>
      <c r="AZ1692">
        <f>IF(AU1692="","",IF('Variable Tasks'!J196="","Not Started",'Variable Tasks'!J196))</f>
        <v/>
      </c>
      <c r="BA1692">
        <f>'Variable Tasks'!L196&amp;""</f>
        <v/>
      </c>
      <c r="BB1692">
        <f>'Variable Tasks'!M196&amp;""</f>
        <v/>
      </c>
      <c r="BC1692">
        <f>'Variable Tasks'!N196&amp;""</f>
        <v/>
      </c>
      <c r="BD1692">
        <f>'Variable Tasks'!O196&amp;""</f>
        <v/>
      </c>
      <c r="BE1692">
        <f>IF('Variable Tasks'!K196="","",'Variable Tasks'!K196)</f>
        <v/>
      </c>
      <c r="BF1692">
        <f>IFERROR(MATCH(BA1692,Setup!$L$6:$L$9,0),5)</f>
        <v/>
      </c>
      <c r="BG1692">
        <f>IF(OR(AZ1692="Done",AZ1692="Cancelled"),1,0)</f>
        <v/>
      </c>
      <c r="BH1692">
        <f>IF(AND(AU1692&lt;&gt;"",ISNUMBER(AW1692)),1,0)</f>
        <v/>
      </c>
      <c r="BI1692">
        <f>IF(BH1692=0,0,IF(AND(AW1692&gt;='Tasks Filter'!$F$3,AW1692&lt;='Tasks Filter'!$F$4,OR('Tasks Filter'!$I$3="",ISNUMBER(SEARCH('Tasks Filter'!$I$3,AU1692))),OR('Tasks Filter'!$I$4="",BF1692=IFERROR(MATCH('Tasks Filter'!$I$4,Setup!$L$6:$L$9,0),0)),OR('Tasks Filter'!$I$5="Both",AND('Tasks Filter'!$I$5="Yes",BB1692="✓"),AND('Tasks Filter'!$I$5="No",BB1692&lt;&gt;"✓")),OR('Tasks Filter'!$L$3="",AV1692='Tasks Filter'!$L$3),OR('Tasks Filter'!$L$4="",AZ1692='Tasks Filter'!$L$4),OR('Tasks Filter'!$L$5="",BC1692='Tasks Filter'!$L$5),OR('Tasks Filter'!$O$3="",BD1692='Tasks Filter'!$O$3),OR('Tasks Filter'!$O$4="Yes",BG1692=0)),1,0))</f>
        <v/>
      </c>
      <c r="BJ1692">
        <f>IF(BH1692=0,"",IF('Tasks Filter'!$F$6="Descending",-1,1)*CHOOSE(MATCH('Tasks Filter'!$F$5,Lists!$G$2:$G$6,0),AW1692,BF1692,IFERROR(MATCH(AV1692,Setup!$F$6:$F$15,0),99),IFERROR(MATCH(BC1692,Setup!$H$6:$H$15,0),99),IFERROR(MATCH(AZ1692,Setup!$J$6:$J$11,0),99))*1E+9+(AW1692-40000)*10000+1691)</f>
        <v/>
      </c>
      <c r="BK1692">
        <f>IF(BI1692=1,BJ1692,"")</f>
        <v/>
      </c>
      <c r="BL1692">
        <f>IF(AND(BH1692=1,BG1692=0,N(AW1692)&lt;Setup!$D$7),(AW1692-40000)*10000+1691,"")</f>
        <v/>
      </c>
      <c r="BM1692">
        <f>IF(AND(BH1692=1,AZ1692&lt;&gt;"Cancelled",N(AW1692)&gt;=Dashboard!$AB$3,N(AW1692)&lt;=Dashboard!$AB$3+6),(AW1692-40000)*100000+BF1692*10000+1691,"")</f>
        <v/>
      </c>
      <c r="BN1692">
        <f>IF(AND(BH1692=1,AZ1692&lt;&gt;"Cancelled"),BF1692*10000+1691,"")</f>
        <v/>
      </c>
    </row>
    <row r="1693">
      <c r="AS1693" t="inlineStr">
        <is>
          <t>V</t>
        </is>
      </c>
      <c r="AT1693" t="n">
        <v>197</v>
      </c>
      <c r="AU1693">
        <f>'Variable Tasks'!C197&amp;""</f>
        <v/>
      </c>
      <c r="AV1693">
        <f>'Variable Tasks'!D197&amp;""</f>
        <v/>
      </c>
      <c r="AW1693">
        <f>IF('Variable Tasks'!E197="","",'Variable Tasks'!E197)</f>
        <v/>
      </c>
      <c r="AX1693">
        <f>IF('Variable Tasks'!G197="","",'Variable Tasks'!G197)</f>
        <v/>
      </c>
      <c r="AY1693">
        <f>IF('Variable Tasks'!H197="","",'Variable Tasks'!H197)</f>
        <v/>
      </c>
      <c r="AZ1693">
        <f>IF(AU1693="","",IF('Variable Tasks'!J197="","Not Started",'Variable Tasks'!J197))</f>
        <v/>
      </c>
      <c r="BA1693">
        <f>'Variable Tasks'!L197&amp;""</f>
        <v/>
      </c>
      <c r="BB1693">
        <f>'Variable Tasks'!M197&amp;""</f>
        <v/>
      </c>
      <c r="BC1693">
        <f>'Variable Tasks'!N197&amp;""</f>
        <v/>
      </c>
      <c r="BD1693">
        <f>'Variable Tasks'!O197&amp;""</f>
        <v/>
      </c>
      <c r="BE1693">
        <f>IF('Variable Tasks'!K197="","",'Variable Tasks'!K197)</f>
        <v/>
      </c>
      <c r="BF1693">
        <f>IFERROR(MATCH(BA1693,Setup!$L$6:$L$9,0),5)</f>
        <v/>
      </c>
      <c r="BG1693">
        <f>IF(OR(AZ1693="Done",AZ1693="Cancelled"),1,0)</f>
        <v/>
      </c>
      <c r="BH1693">
        <f>IF(AND(AU1693&lt;&gt;"",ISNUMBER(AW1693)),1,0)</f>
        <v/>
      </c>
      <c r="BI1693">
        <f>IF(BH1693=0,0,IF(AND(AW1693&gt;='Tasks Filter'!$F$3,AW1693&lt;='Tasks Filter'!$F$4,OR('Tasks Filter'!$I$3="",ISNUMBER(SEARCH('Tasks Filter'!$I$3,AU1693))),OR('Tasks Filter'!$I$4="",BF1693=IFERROR(MATCH('Tasks Filter'!$I$4,Setup!$L$6:$L$9,0),0)),OR('Tasks Filter'!$I$5="Both",AND('Tasks Filter'!$I$5="Yes",BB1693="✓"),AND('Tasks Filter'!$I$5="No",BB1693&lt;&gt;"✓")),OR('Tasks Filter'!$L$3="",AV1693='Tasks Filter'!$L$3),OR('Tasks Filter'!$L$4="",AZ1693='Tasks Filter'!$L$4),OR('Tasks Filter'!$L$5="",BC1693='Tasks Filter'!$L$5),OR('Tasks Filter'!$O$3="",BD1693='Tasks Filter'!$O$3),OR('Tasks Filter'!$O$4="Yes",BG1693=0)),1,0))</f>
        <v/>
      </c>
      <c r="BJ1693">
        <f>IF(BH1693=0,"",IF('Tasks Filter'!$F$6="Descending",-1,1)*CHOOSE(MATCH('Tasks Filter'!$F$5,Lists!$G$2:$G$6,0),AW1693,BF1693,IFERROR(MATCH(AV1693,Setup!$F$6:$F$15,0),99),IFERROR(MATCH(BC1693,Setup!$H$6:$H$15,0),99),IFERROR(MATCH(AZ1693,Setup!$J$6:$J$11,0),99))*1E+9+(AW1693-40000)*10000+1692)</f>
        <v/>
      </c>
      <c r="BK1693">
        <f>IF(BI1693=1,BJ1693,"")</f>
        <v/>
      </c>
      <c r="BL1693">
        <f>IF(AND(BH1693=1,BG1693=0,N(AW1693)&lt;Setup!$D$7),(AW1693-40000)*10000+1692,"")</f>
        <v/>
      </c>
      <c r="BM1693">
        <f>IF(AND(BH1693=1,AZ1693&lt;&gt;"Cancelled",N(AW1693)&gt;=Dashboard!$AB$3,N(AW1693)&lt;=Dashboard!$AB$3+6),(AW1693-40000)*100000+BF1693*10000+1692,"")</f>
        <v/>
      </c>
      <c r="BN1693">
        <f>IF(AND(BH1693=1,AZ1693&lt;&gt;"Cancelled"),BF1693*10000+1692,"")</f>
        <v/>
      </c>
    </row>
    <row r="1694">
      <c r="AS1694" t="inlineStr">
        <is>
          <t>V</t>
        </is>
      </c>
      <c r="AT1694" t="n">
        <v>198</v>
      </c>
      <c r="AU1694">
        <f>'Variable Tasks'!C198&amp;""</f>
        <v/>
      </c>
      <c r="AV1694">
        <f>'Variable Tasks'!D198&amp;""</f>
        <v/>
      </c>
      <c r="AW1694">
        <f>IF('Variable Tasks'!E198="","",'Variable Tasks'!E198)</f>
        <v/>
      </c>
      <c r="AX1694">
        <f>IF('Variable Tasks'!G198="","",'Variable Tasks'!G198)</f>
        <v/>
      </c>
      <c r="AY1694">
        <f>IF('Variable Tasks'!H198="","",'Variable Tasks'!H198)</f>
        <v/>
      </c>
      <c r="AZ1694">
        <f>IF(AU1694="","",IF('Variable Tasks'!J198="","Not Started",'Variable Tasks'!J198))</f>
        <v/>
      </c>
      <c r="BA1694">
        <f>'Variable Tasks'!L198&amp;""</f>
        <v/>
      </c>
      <c r="BB1694">
        <f>'Variable Tasks'!M198&amp;""</f>
        <v/>
      </c>
      <c r="BC1694">
        <f>'Variable Tasks'!N198&amp;""</f>
        <v/>
      </c>
      <c r="BD1694">
        <f>'Variable Tasks'!O198&amp;""</f>
        <v/>
      </c>
      <c r="BE1694">
        <f>IF('Variable Tasks'!K198="","",'Variable Tasks'!K198)</f>
        <v/>
      </c>
      <c r="BF1694">
        <f>IFERROR(MATCH(BA1694,Setup!$L$6:$L$9,0),5)</f>
        <v/>
      </c>
      <c r="BG1694">
        <f>IF(OR(AZ1694="Done",AZ1694="Cancelled"),1,0)</f>
        <v/>
      </c>
      <c r="BH1694">
        <f>IF(AND(AU1694&lt;&gt;"",ISNUMBER(AW1694)),1,0)</f>
        <v/>
      </c>
      <c r="BI1694">
        <f>IF(BH1694=0,0,IF(AND(AW1694&gt;='Tasks Filter'!$F$3,AW1694&lt;='Tasks Filter'!$F$4,OR('Tasks Filter'!$I$3="",ISNUMBER(SEARCH('Tasks Filter'!$I$3,AU1694))),OR('Tasks Filter'!$I$4="",BF1694=IFERROR(MATCH('Tasks Filter'!$I$4,Setup!$L$6:$L$9,0),0)),OR('Tasks Filter'!$I$5="Both",AND('Tasks Filter'!$I$5="Yes",BB1694="✓"),AND('Tasks Filter'!$I$5="No",BB1694&lt;&gt;"✓")),OR('Tasks Filter'!$L$3="",AV1694='Tasks Filter'!$L$3),OR('Tasks Filter'!$L$4="",AZ1694='Tasks Filter'!$L$4),OR('Tasks Filter'!$L$5="",BC1694='Tasks Filter'!$L$5),OR('Tasks Filter'!$O$3="",BD1694='Tasks Filter'!$O$3),OR('Tasks Filter'!$O$4="Yes",BG1694=0)),1,0))</f>
        <v/>
      </c>
      <c r="BJ1694">
        <f>IF(BH1694=0,"",IF('Tasks Filter'!$F$6="Descending",-1,1)*CHOOSE(MATCH('Tasks Filter'!$F$5,Lists!$G$2:$G$6,0),AW1694,BF1694,IFERROR(MATCH(AV1694,Setup!$F$6:$F$15,0),99),IFERROR(MATCH(BC1694,Setup!$H$6:$H$15,0),99),IFERROR(MATCH(AZ1694,Setup!$J$6:$J$11,0),99))*1E+9+(AW1694-40000)*10000+1693)</f>
        <v/>
      </c>
      <c r="BK1694">
        <f>IF(BI1694=1,BJ1694,"")</f>
        <v/>
      </c>
      <c r="BL1694">
        <f>IF(AND(BH1694=1,BG1694=0,N(AW1694)&lt;Setup!$D$7),(AW1694-40000)*10000+1693,"")</f>
        <v/>
      </c>
      <c r="BM1694">
        <f>IF(AND(BH1694=1,AZ1694&lt;&gt;"Cancelled",N(AW1694)&gt;=Dashboard!$AB$3,N(AW1694)&lt;=Dashboard!$AB$3+6),(AW1694-40000)*100000+BF1694*10000+1693,"")</f>
        <v/>
      </c>
      <c r="BN1694">
        <f>IF(AND(BH1694=1,AZ1694&lt;&gt;"Cancelled"),BF1694*10000+1693,"")</f>
        <v/>
      </c>
    </row>
    <row r="1695">
      <c r="AS1695" t="inlineStr">
        <is>
          <t>V</t>
        </is>
      </c>
      <c r="AT1695" t="n">
        <v>199</v>
      </c>
      <c r="AU1695">
        <f>'Variable Tasks'!C199&amp;""</f>
        <v/>
      </c>
      <c r="AV1695">
        <f>'Variable Tasks'!D199&amp;""</f>
        <v/>
      </c>
      <c r="AW1695">
        <f>IF('Variable Tasks'!E199="","",'Variable Tasks'!E199)</f>
        <v/>
      </c>
      <c r="AX1695">
        <f>IF('Variable Tasks'!G199="","",'Variable Tasks'!G199)</f>
        <v/>
      </c>
      <c r="AY1695">
        <f>IF('Variable Tasks'!H199="","",'Variable Tasks'!H199)</f>
        <v/>
      </c>
      <c r="AZ1695">
        <f>IF(AU1695="","",IF('Variable Tasks'!J199="","Not Started",'Variable Tasks'!J199))</f>
        <v/>
      </c>
      <c r="BA1695">
        <f>'Variable Tasks'!L199&amp;""</f>
        <v/>
      </c>
      <c r="BB1695">
        <f>'Variable Tasks'!M199&amp;""</f>
        <v/>
      </c>
      <c r="BC1695">
        <f>'Variable Tasks'!N199&amp;""</f>
        <v/>
      </c>
      <c r="BD1695">
        <f>'Variable Tasks'!O199&amp;""</f>
        <v/>
      </c>
      <c r="BE1695">
        <f>IF('Variable Tasks'!K199="","",'Variable Tasks'!K199)</f>
        <v/>
      </c>
      <c r="BF1695">
        <f>IFERROR(MATCH(BA1695,Setup!$L$6:$L$9,0),5)</f>
        <v/>
      </c>
      <c r="BG1695">
        <f>IF(OR(AZ1695="Done",AZ1695="Cancelled"),1,0)</f>
        <v/>
      </c>
      <c r="BH1695">
        <f>IF(AND(AU1695&lt;&gt;"",ISNUMBER(AW1695)),1,0)</f>
        <v/>
      </c>
      <c r="BI1695">
        <f>IF(BH1695=0,0,IF(AND(AW1695&gt;='Tasks Filter'!$F$3,AW1695&lt;='Tasks Filter'!$F$4,OR('Tasks Filter'!$I$3="",ISNUMBER(SEARCH('Tasks Filter'!$I$3,AU1695))),OR('Tasks Filter'!$I$4="",BF1695=IFERROR(MATCH('Tasks Filter'!$I$4,Setup!$L$6:$L$9,0),0)),OR('Tasks Filter'!$I$5="Both",AND('Tasks Filter'!$I$5="Yes",BB1695="✓"),AND('Tasks Filter'!$I$5="No",BB1695&lt;&gt;"✓")),OR('Tasks Filter'!$L$3="",AV1695='Tasks Filter'!$L$3),OR('Tasks Filter'!$L$4="",AZ1695='Tasks Filter'!$L$4),OR('Tasks Filter'!$L$5="",BC1695='Tasks Filter'!$L$5),OR('Tasks Filter'!$O$3="",BD1695='Tasks Filter'!$O$3),OR('Tasks Filter'!$O$4="Yes",BG1695=0)),1,0))</f>
        <v/>
      </c>
      <c r="BJ1695">
        <f>IF(BH1695=0,"",IF('Tasks Filter'!$F$6="Descending",-1,1)*CHOOSE(MATCH('Tasks Filter'!$F$5,Lists!$G$2:$G$6,0),AW1695,BF1695,IFERROR(MATCH(AV1695,Setup!$F$6:$F$15,0),99),IFERROR(MATCH(BC1695,Setup!$H$6:$H$15,0),99),IFERROR(MATCH(AZ1695,Setup!$J$6:$J$11,0),99))*1E+9+(AW1695-40000)*10000+1694)</f>
        <v/>
      </c>
      <c r="BK1695">
        <f>IF(BI1695=1,BJ1695,"")</f>
        <v/>
      </c>
      <c r="BL1695">
        <f>IF(AND(BH1695=1,BG1695=0,N(AW1695)&lt;Setup!$D$7),(AW1695-40000)*10000+1694,"")</f>
        <v/>
      </c>
      <c r="BM1695">
        <f>IF(AND(BH1695=1,AZ1695&lt;&gt;"Cancelled",N(AW1695)&gt;=Dashboard!$AB$3,N(AW1695)&lt;=Dashboard!$AB$3+6),(AW1695-40000)*100000+BF1695*10000+1694,"")</f>
        <v/>
      </c>
      <c r="BN1695">
        <f>IF(AND(BH1695=1,AZ1695&lt;&gt;"Cancelled"),BF1695*10000+1694,"")</f>
        <v/>
      </c>
    </row>
    <row r="1696">
      <c r="AS1696" t="inlineStr">
        <is>
          <t>V</t>
        </is>
      </c>
      <c r="AT1696" t="n">
        <v>200</v>
      </c>
      <c r="AU1696">
        <f>'Variable Tasks'!C200&amp;""</f>
        <v/>
      </c>
      <c r="AV1696">
        <f>'Variable Tasks'!D200&amp;""</f>
        <v/>
      </c>
      <c r="AW1696">
        <f>IF('Variable Tasks'!E200="","",'Variable Tasks'!E200)</f>
        <v/>
      </c>
      <c r="AX1696">
        <f>IF('Variable Tasks'!G200="","",'Variable Tasks'!G200)</f>
        <v/>
      </c>
      <c r="AY1696">
        <f>IF('Variable Tasks'!H200="","",'Variable Tasks'!H200)</f>
        <v/>
      </c>
      <c r="AZ1696">
        <f>IF(AU1696="","",IF('Variable Tasks'!J200="","Not Started",'Variable Tasks'!J200))</f>
        <v/>
      </c>
      <c r="BA1696">
        <f>'Variable Tasks'!L200&amp;""</f>
        <v/>
      </c>
      <c r="BB1696">
        <f>'Variable Tasks'!M200&amp;""</f>
        <v/>
      </c>
      <c r="BC1696">
        <f>'Variable Tasks'!N200&amp;""</f>
        <v/>
      </c>
      <c r="BD1696">
        <f>'Variable Tasks'!O200&amp;""</f>
        <v/>
      </c>
      <c r="BE1696">
        <f>IF('Variable Tasks'!K200="","",'Variable Tasks'!K200)</f>
        <v/>
      </c>
      <c r="BF1696">
        <f>IFERROR(MATCH(BA1696,Setup!$L$6:$L$9,0),5)</f>
        <v/>
      </c>
      <c r="BG1696">
        <f>IF(OR(AZ1696="Done",AZ1696="Cancelled"),1,0)</f>
        <v/>
      </c>
      <c r="BH1696">
        <f>IF(AND(AU1696&lt;&gt;"",ISNUMBER(AW1696)),1,0)</f>
        <v/>
      </c>
      <c r="BI1696">
        <f>IF(BH1696=0,0,IF(AND(AW1696&gt;='Tasks Filter'!$F$3,AW1696&lt;='Tasks Filter'!$F$4,OR('Tasks Filter'!$I$3="",ISNUMBER(SEARCH('Tasks Filter'!$I$3,AU1696))),OR('Tasks Filter'!$I$4="",BF1696=IFERROR(MATCH('Tasks Filter'!$I$4,Setup!$L$6:$L$9,0),0)),OR('Tasks Filter'!$I$5="Both",AND('Tasks Filter'!$I$5="Yes",BB1696="✓"),AND('Tasks Filter'!$I$5="No",BB1696&lt;&gt;"✓")),OR('Tasks Filter'!$L$3="",AV1696='Tasks Filter'!$L$3),OR('Tasks Filter'!$L$4="",AZ1696='Tasks Filter'!$L$4),OR('Tasks Filter'!$L$5="",BC1696='Tasks Filter'!$L$5),OR('Tasks Filter'!$O$3="",BD1696='Tasks Filter'!$O$3),OR('Tasks Filter'!$O$4="Yes",BG1696=0)),1,0))</f>
        <v/>
      </c>
      <c r="BJ1696">
        <f>IF(BH1696=0,"",IF('Tasks Filter'!$F$6="Descending",-1,1)*CHOOSE(MATCH('Tasks Filter'!$F$5,Lists!$G$2:$G$6,0),AW1696,BF1696,IFERROR(MATCH(AV1696,Setup!$F$6:$F$15,0),99),IFERROR(MATCH(BC1696,Setup!$H$6:$H$15,0),99),IFERROR(MATCH(AZ1696,Setup!$J$6:$J$11,0),99))*1E+9+(AW1696-40000)*10000+1695)</f>
        <v/>
      </c>
      <c r="BK1696">
        <f>IF(BI1696=1,BJ1696,"")</f>
        <v/>
      </c>
      <c r="BL1696">
        <f>IF(AND(BH1696=1,BG1696=0,N(AW1696)&lt;Setup!$D$7),(AW1696-40000)*10000+1695,"")</f>
        <v/>
      </c>
      <c r="BM1696">
        <f>IF(AND(BH1696=1,AZ1696&lt;&gt;"Cancelled",N(AW1696)&gt;=Dashboard!$AB$3,N(AW1696)&lt;=Dashboard!$AB$3+6),(AW1696-40000)*100000+BF1696*10000+1695,"")</f>
        <v/>
      </c>
      <c r="BN1696">
        <f>IF(AND(BH1696=1,AZ1696&lt;&gt;"Cancelled"),BF1696*10000+1695,"")</f>
        <v/>
      </c>
    </row>
    <row r="1697">
      <c r="AS1697" t="inlineStr">
        <is>
          <t>V</t>
        </is>
      </c>
      <c r="AT1697" t="n">
        <v>201</v>
      </c>
      <c r="AU1697">
        <f>'Variable Tasks'!C201&amp;""</f>
        <v/>
      </c>
      <c r="AV1697">
        <f>'Variable Tasks'!D201&amp;""</f>
        <v/>
      </c>
      <c r="AW1697">
        <f>IF('Variable Tasks'!E201="","",'Variable Tasks'!E201)</f>
        <v/>
      </c>
      <c r="AX1697">
        <f>IF('Variable Tasks'!G201="","",'Variable Tasks'!G201)</f>
        <v/>
      </c>
      <c r="AY1697">
        <f>IF('Variable Tasks'!H201="","",'Variable Tasks'!H201)</f>
        <v/>
      </c>
      <c r="AZ1697">
        <f>IF(AU1697="","",IF('Variable Tasks'!J201="","Not Started",'Variable Tasks'!J201))</f>
        <v/>
      </c>
      <c r="BA1697">
        <f>'Variable Tasks'!L201&amp;""</f>
        <v/>
      </c>
      <c r="BB1697">
        <f>'Variable Tasks'!M201&amp;""</f>
        <v/>
      </c>
      <c r="BC1697">
        <f>'Variable Tasks'!N201&amp;""</f>
        <v/>
      </c>
      <c r="BD1697">
        <f>'Variable Tasks'!O201&amp;""</f>
        <v/>
      </c>
      <c r="BE1697">
        <f>IF('Variable Tasks'!K201="","",'Variable Tasks'!K201)</f>
        <v/>
      </c>
      <c r="BF1697">
        <f>IFERROR(MATCH(BA1697,Setup!$L$6:$L$9,0),5)</f>
        <v/>
      </c>
      <c r="BG1697">
        <f>IF(OR(AZ1697="Done",AZ1697="Cancelled"),1,0)</f>
        <v/>
      </c>
      <c r="BH1697">
        <f>IF(AND(AU1697&lt;&gt;"",ISNUMBER(AW1697)),1,0)</f>
        <v/>
      </c>
      <c r="BI1697">
        <f>IF(BH1697=0,0,IF(AND(AW1697&gt;='Tasks Filter'!$F$3,AW1697&lt;='Tasks Filter'!$F$4,OR('Tasks Filter'!$I$3="",ISNUMBER(SEARCH('Tasks Filter'!$I$3,AU1697))),OR('Tasks Filter'!$I$4="",BF1697=IFERROR(MATCH('Tasks Filter'!$I$4,Setup!$L$6:$L$9,0),0)),OR('Tasks Filter'!$I$5="Both",AND('Tasks Filter'!$I$5="Yes",BB1697="✓"),AND('Tasks Filter'!$I$5="No",BB1697&lt;&gt;"✓")),OR('Tasks Filter'!$L$3="",AV1697='Tasks Filter'!$L$3),OR('Tasks Filter'!$L$4="",AZ1697='Tasks Filter'!$L$4),OR('Tasks Filter'!$L$5="",BC1697='Tasks Filter'!$L$5),OR('Tasks Filter'!$O$3="",BD1697='Tasks Filter'!$O$3),OR('Tasks Filter'!$O$4="Yes",BG1697=0)),1,0))</f>
        <v/>
      </c>
      <c r="BJ1697">
        <f>IF(BH1697=0,"",IF('Tasks Filter'!$F$6="Descending",-1,1)*CHOOSE(MATCH('Tasks Filter'!$F$5,Lists!$G$2:$G$6,0),AW1697,BF1697,IFERROR(MATCH(AV1697,Setup!$F$6:$F$15,0),99),IFERROR(MATCH(BC1697,Setup!$H$6:$H$15,0),99),IFERROR(MATCH(AZ1697,Setup!$J$6:$J$11,0),99))*1E+9+(AW1697-40000)*10000+1696)</f>
        <v/>
      </c>
      <c r="BK1697">
        <f>IF(BI1697=1,BJ1697,"")</f>
        <v/>
      </c>
      <c r="BL1697">
        <f>IF(AND(BH1697=1,BG1697=0,N(AW1697)&lt;Setup!$D$7),(AW1697-40000)*10000+1696,"")</f>
        <v/>
      </c>
      <c r="BM1697">
        <f>IF(AND(BH1697=1,AZ1697&lt;&gt;"Cancelled",N(AW1697)&gt;=Dashboard!$AB$3,N(AW1697)&lt;=Dashboard!$AB$3+6),(AW1697-40000)*100000+BF1697*10000+1696,"")</f>
        <v/>
      </c>
      <c r="BN1697">
        <f>IF(AND(BH1697=1,AZ1697&lt;&gt;"Cancelled"),BF1697*10000+1696,"")</f>
        <v/>
      </c>
    </row>
    <row r="1698">
      <c r="AS1698" t="inlineStr">
        <is>
          <t>V</t>
        </is>
      </c>
      <c r="AT1698" t="n">
        <v>202</v>
      </c>
      <c r="AU1698">
        <f>'Variable Tasks'!C202&amp;""</f>
        <v/>
      </c>
      <c r="AV1698">
        <f>'Variable Tasks'!D202&amp;""</f>
        <v/>
      </c>
      <c r="AW1698">
        <f>IF('Variable Tasks'!E202="","",'Variable Tasks'!E202)</f>
        <v/>
      </c>
      <c r="AX1698">
        <f>IF('Variable Tasks'!G202="","",'Variable Tasks'!G202)</f>
        <v/>
      </c>
      <c r="AY1698">
        <f>IF('Variable Tasks'!H202="","",'Variable Tasks'!H202)</f>
        <v/>
      </c>
      <c r="AZ1698">
        <f>IF(AU1698="","",IF('Variable Tasks'!J202="","Not Started",'Variable Tasks'!J202))</f>
        <v/>
      </c>
      <c r="BA1698">
        <f>'Variable Tasks'!L202&amp;""</f>
        <v/>
      </c>
      <c r="BB1698">
        <f>'Variable Tasks'!M202&amp;""</f>
        <v/>
      </c>
      <c r="BC1698">
        <f>'Variable Tasks'!N202&amp;""</f>
        <v/>
      </c>
      <c r="BD1698">
        <f>'Variable Tasks'!O202&amp;""</f>
        <v/>
      </c>
      <c r="BE1698">
        <f>IF('Variable Tasks'!K202="","",'Variable Tasks'!K202)</f>
        <v/>
      </c>
      <c r="BF1698">
        <f>IFERROR(MATCH(BA1698,Setup!$L$6:$L$9,0),5)</f>
        <v/>
      </c>
      <c r="BG1698">
        <f>IF(OR(AZ1698="Done",AZ1698="Cancelled"),1,0)</f>
        <v/>
      </c>
      <c r="BH1698">
        <f>IF(AND(AU1698&lt;&gt;"",ISNUMBER(AW1698)),1,0)</f>
        <v/>
      </c>
      <c r="BI1698">
        <f>IF(BH1698=0,0,IF(AND(AW1698&gt;='Tasks Filter'!$F$3,AW1698&lt;='Tasks Filter'!$F$4,OR('Tasks Filter'!$I$3="",ISNUMBER(SEARCH('Tasks Filter'!$I$3,AU1698))),OR('Tasks Filter'!$I$4="",BF1698=IFERROR(MATCH('Tasks Filter'!$I$4,Setup!$L$6:$L$9,0),0)),OR('Tasks Filter'!$I$5="Both",AND('Tasks Filter'!$I$5="Yes",BB1698="✓"),AND('Tasks Filter'!$I$5="No",BB1698&lt;&gt;"✓")),OR('Tasks Filter'!$L$3="",AV1698='Tasks Filter'!$L$3),OR('Tasks Filter'!$L$4="",AZ1698='Tasks Filter'!$L$4),OR('Tasks Filter'!$L$5="",BC1698='Tasks Filter'!$L$5),OR('Tasks Filter'!$O$3="",BD1698='Tasks Filter'!$O$3),OR('Tasks Filter'!$O$4="Yes",BG1698=0)),1,0))</f>
        <v/>
      </c>
      <c r="BJ1698">
        <f>IF(BH1698=0,"",IF('Tasks Filter'!$F$6="Descending",-1,1)*CHOOSE(MATCH('Tasks Filter'!$F$5,Lists!$G$2:$G$6,0),AW1698,BF1698,IFERROR(MATCH(AV1698,Setup!$F$6:$F$15,0),99),IFERROR(MATCH(BC1698,Setup!$H$6:$H$15,0),99),IFERROR(MATCH(AZ1698,Setup!$J$6:$J$11,0),99))*1E+9+(AW1698-40000)*10000+1697)</f>
        <v/>
      </c>
      <c r="BK1698">
        <f>IF(BI1698=1,BJ1698,"")</f>
        <v/>
      </c>
      <c r="BL1698">
        <f>IF(AND(BH1698=1,BG1698=0,N(AW1698)&lt;Setup!$D$7),(AW1698-40000)*10000+1697,"")</f>
        <v/>
      </c>
      <c r="BM1698">
        <f>IF(AND(BH1698=1,AZ1698&lt;&gt;"Cancelled",N(AW1698)&gt;=Dashboard!$AB$3,N(AW1698)&lt;=Dashboard!$AB$3+6),(AW1698-40000)*100000+BF1698*10000+1697,"")</f>
        <v/>
      </c>
      <c r="BN1698">
        <f>IF(AND(BH1698=1,AZ1698&lt;&gt;"Cancelled"),BF1698*10000+1697,"")</f>
        <v/>
      </c>
    </row>
    <row r="1699">
      <c r="AS1699" t="inlineStr">
        <is>
          <t>V</t>
        </is>
      </c>
      <c r="AT1699" t="n">
        <v>203</v>
      </c>
      <c r="AU1699">
        <f>'Variable Tasks'!C203&amp;""</f>
        <v/>
      </c>
      <c r="AV1699">
        <f>'Variable Tasks'!D203&amp;""</f>
        <v/>
      </c>
      <c r="AW1699">
        <f>IF('Variable Tasks'!E203="","",'Variable Tasks'!E203)</f>
        <v/>
      </c>
      <c r="AX1699">
        <f>IF('Variable Tasks'!G203="","",'Variable Tasks'!G203)</f>
        <v/>
      </c>
      <c r="AY1699">
        <f>IF('Variable Tasks'!H203="","",'Variable Tasks'!H203)</f>
        <v/>
      </c>
      <c r="AZ1699">
        <f>IF(AU1699="","",IF('Variable Tasks'!J203="","Not Started",'Variable Tasks'!J203))</f>
        <v/>
      </c>
      <c r="BA1699">
        <f>'Variable Tasks'!L203&amp;""</f>
        <v/>
      </c>
      <c r="BB1699">
        <f>'Variable Tasks'!M203&amp;""</f>
        <v/>
      </c>
      <c r="BC1699">
        <f>'Variable Tasks'!N203&amp;""</f>
        <v/>
      </c>
      <c r="BD1699">
        <f>'Variable Tasks'!O203&amp;""</f>
        <v/>
      </c>
      <c r="BE1699">
        <f>IF('Variable Tasks'!K203="","",'Variable Tasks'!K203)</f>
        <v/>
      </c>
      <c r="BF1699">
        <f>IFERROR(MATCH(BA1699,Setup!$L$6:$L$9,0),5)</f>
        <v/>
      </c>
      <c r="BG1699">
        <f>IF(OR(AZ1699="Done",AZ1699="Cancelled"),1,0)</f>
        <v/>
      </c>
      <c r="BH1699">
        <f>IF(AND(AU1699&lt;&gt;"",ISNUMBER(AW1699)),1,0)</f>
        <v/>
      </c>
      <c r="BI1699">
        <f>IF(BH1699=0,0,IF(AND(AW1699&gt;='Tasks Filter'!$F$3,AW1699&lt;='Tasks Filter'!$F$4,OR('Tasks Filter'!$I$3="",ISNUMBER(SEARCH('Tasks Filter'!$I$3,AU1699))),OR('Tasks Filter'!$I$4="",BF1699=IFERROR(MATCH('Tasks Filter'!$I$4,Setup!$L$6:$L$9,0),0)),OR('Tasks Filter'!$I$5="Both",AND('Tasks Filter'!$I$5="Yes",BB1699="✓"),AND('Tasks Filter'!$I$5="No",BB1699&lt;&gt;"✓")),OR('Tasks Filter'!$L$3="",AV1699='Tasks Filter'!$L$3),OR('Tasks Filter'!$L$4="",AZ1699='Tasks Filter'!$L$4),OR('Tasks Filter'!$L$5="",BC1699='Tasks Filter'!$L$5),OR('Tasks Filter'!$O$3="",BD1699='Tasks Filter'!$O$3),OR('Tasks Filter'!$O$4="Yes",BG1699=0)),1,0))</f>
        <v/>
      </c>
      <c r="BJ1699">
        <f>IF(BH1699=0,"",IF('Tasks Filter'!$F$6="Descending",-1,1)*CHOOSE(MATCH('Tasks Filter'!$F$5,Lists!$G$2:$G$6,0),AW1699,BF1699,IFERROR(MATCH(AV1699,Setup!$F$6:$F$15,0),99),IFERROR(MATCH(BC1699,Setup!$H$6:$H$15,0),99),IFERROR(MATCH(AZ1699,Setup!$J$6:$J$11,0),99))*1E+9+(AW1699-40000)*10000+1698)</f>
        <v/>
      </c>
      <c r="BK1699">
        <f>IF(BI1699=1,BJ1699,"")</f>
        <v/>
      </c>
      <c r="BL1699">
        <f>IF(AND(BH1699=1,BG1699=0,N(AW1699)&lt;Setup!$D$7),(AW1699-40000)*10000+1698,"")</f>
        <v/>
      </c>
      <c r="BM1699">
        <f>IF(AND(BH1699=1,AZ1699&lt;&gt;"Cancelled",N(AW1699)&gt;=Dashboard!$AB$3,N(AW1699)&lt;=Dashboard!$AB$3+6),(AW1699-40000)*100000+BF1699*10000+1698,"")</f>
        <v/>
      </c>
      <c r="BN1699">
        <f>IF(AND(BH1699=1,AZ1699&lt;&gt;"Cancelled"),BF1699*10000+1698,"")</f>
        <v/>
      </c>
    </row>
    <row r="1700">
      <c r="AS1700" t="inlineStr">
        <is>
          <t>V</t>
        </is>
      </c>
      <c r="AT1700" t="n">
        <v>204</v>
      </c>
      <c r="AU1700">
        <f>'Variable Tasks'!C204&amp;""</f>
        <v/>
      </c>
      <c r="AV1700">
        <f>'Variable Tasks'!D204&amp;""</f>
        <v/>
      </c>
      <c r="AW1700">
        <f>IF('Variable Tasks'!E204="","",'Variable Tasks'!E204)</f>
        <v/>
      </c>
      <c r="AX1700">
        <f>IF('Variable Tasks'!G204="","",'Variable Tasks'!G204)</f>
        <v/>
      </c>
      <c r="AY1700">
        <f>IF('Variable Tasks'!H204="","",'Variable Tasks'!H204)</f>
        <v/>
      </c>
      <c r="AZ1700">
        <f>IF(AU1700="","",IF('Variable Tasks'!J204="","Not Started",'Variable Tasks'!J204))</f>
        <v/>
      </c>
      <c r="BA1700">
        <f>'Variable Tasks'!L204&amp;""</f>
        <v/>
      </c>
      <c r="BB1700">
        <f>'Variable Tasks'!M204&amp;""</f>
        <v/>
      </c>
      <c r="BC1700">
        <f>'Variable Tasks'!N204&amp;""</f>
        <v/>
      </c>
      <c r="BD1700">
        <f>'Variable Tasks'!O204&amp;""</f>
        <v/>
      </c>
      <c r="BE1700">
        <f>IF('Variable Tasks'!K204="","",'Variable Tasks'!K204)</f>
        <v/>
      </c>
      <c r="BF1700">
        <f>IFERROR(MATCH(BA1700,Setup!$L$6:$L$9,0),5)</f>
        <v/>
      </c>
      <c r="BG1700">
        <f>IF(OR(AZ1700="Done",AZ1700="Cancelled"),1,0)</f>
        <v/>
      </c>
      <c r="BH1700">
        <f>IF(AND(AU1700&lt;&gt;"",ISNUMBER(AW1700)),1,0)</f>
        <v/>
      </c>
      <c r="BI1700">
        <f>IF(BH1700=0,0,IF(AND(AW1700&gt;='Tasks Filter'!$F$3,AW1700&lt;='Tasks Filter'!$F$4,OR('Tasks Filter'!$I$3="",ISNUMBER(SEARCH('Tasks Filter'!$I$3,AU1700))),OR('Tasks Filter'!$I$4="",BF1700=IFERROR(MATCH('Tasks Filter'!$I$4,Setup!$L$6:$L$9,0),0)),OR('Tasks Filter'!$I$5="Both",AND('Tasks Filter'!$I$5="Yes",BB1700="✓"),AND('Tasks Filter'!$I$5="No",BB1700&lt;&gt;"✓")),OR('Tasks Filter'!$L$3="",AV1700='Tasks Filter'!$L$3),OR('Tasks Filter'!$L$4="",AZ1700='Tasks Filter'!$L$4),OR('Tasks Filter'!$L$5="",BC1700='Tasks Filter'!$L$5),OR('Tasks Filter'!$O$3="",BD1700='Tasks Filter'!$O$3),OR('Tasks Filter'!$O$4="Yes",BG1700=0)),1,0))</f>
        <v/>
      </c>
      <c r="BJ1700">
        <f>IF(BH1700=0,"",IF('Tasks Filter'!$F$6="Descending",-1,1)*CHOOSE(MATCH('Tasks Filter'!$F$5,Lists!$G$2:$G$6,0),AW1700,BF1700,IFERROR(MATCH(AV1700,Setup!$F$6:$F$15,0),99),IFERROR(MATCH(BC1700,Setup!$H$6:$H$15,0),99),IFERROR(MATCH(AZ1700,Setup!$J$6:$J$11,0),99))*1E+9+(AW1700-40000)*10000+1699)</f>
        <v/>
      </c>
      <c r="BK1700">
        <f>IF(BI1700=1,BJ1700,"")</f>
        <v/>
      </c>
      <c r="BL1700">
        <f>IF(AND(BH1700=1,BG1700=0,N(AW1700)&lt;Setup!$D$7),(AW1700-40000)*10000+1699,"")</f>
        <v/>
      </c>
      <c r="BM1700">
        <f>IF(AND(BH1700=1,AZ1700&lt;&gt;"Cancelled",N(AW1700)&gt;=Dashboard!$AB$3,N(AW1700)&lt;=Dashboard!$AB$3+6),(AW1700-40000)*100000+BF1700*10000+1699,"")</f>
        <v/>
      </c>
      <c r="BN1700">
        <f>IF(AND(BH1700=1,AZ1700&lt;&gt;"Cancelled"),BF1700*10000+1699,"")</f>
        <v/>
      </c>
    </row>
    <row r="1701">
      <c r="AS1701" t="inlineStr">
        <is>
          <t>V</t>
        </is>
      </c>
      <c r="AT1701" t="n">
        <v>205</v>
      </c>
      <c r="AU1701">
        <f>'Variable Tasks'!C205&amp;""</f>
        <v/>
      </c>
      <c r="AV1701">
        <f>'Variable Tasks'!D205&amp;""</f>
        <v/>
      </c>
      <c r="AW1701">
        <f>IF('Variable Tasks'!E205="","",'Variable Tasks'!E205)</f>
        <v/>
      </c>
      <c r="AX1701">
        <f>IF('Variable Tasks'!G205="","",'Variable Tasks'!G205)</f>
        <v/>
      </c>
      <c r="AY1701">
        <f>IF('Variable Tasks'!H205="","",'Variable Tasks'!H205)</f>
        <v/>
      </c>
      <c r="AZ1701">
        <f>IF(AU1701="","",IF('Variable Tasks'!J205="","Not Started",'Variable Tasks'!J205))</f>
        <v/>
      </c>
      <c r="BA1701">
        <f>'Variable Tasks'!L205&amp;""</f>
        <v/>
      </c>
      <c r="BB1701">
        <f>'Variable Tasks'!M205&amp;""</f>
        <v/>
      </c>
      <c r="BC1701">
        <f>'Variable Tasks'!N205&amp;""</f>
        <v/>
      </c>
      <c r="BD1701">
        <f>'Variable Tasks'!O205&amp;""</f>
        <v/>
      </c>
      <c r="BE1701">
        <f>IF('Variable Tasks'!K205="","",'Variable Tasks'!K205)</f>
        <v/>
      </c>
      <c r="BF1701">
        <f>IFERROR(MATCH(BA1701,Setup!$L$6:$L$9,0),5)</f>
        <v/>
      </c>
      <c r="BG1701">
        <f>IF(OR(AZ1701="Done",AZ1701="Cancelled"),1,0)</f>
        <v/>
      </c>
      <c r="BH1701">
        <f>IF(AND(AU1701&lt;&gt;"",ISNUMBER(AW1701)),1,0)</f>
        <v/>
      </c>
      <c r="BI1701">
        <f>IF(BH1701=0,0,IF(AND(AW1701&gt;='Tasks Filter'!$F$3,AW1701&lt;='Tasks Filter'!$F$4,OR('Tasks Filter'!$I$3="",ISNUMBER(SEARCH('Tasks Filter'!$I$3,AU1701))),OR('Tasks Filter'!$I$4="",BF1701=IFERROR(MATCH('Tasks Filter'!$I$4,Setup!$L$6:$L$9,0),0)),OR('Tasks Filter'!$I$5="Both",AND('Tasks Filter'!$I$5="Yes",BB1701="✓"),AND('Tasks Filter'!$I$5="No",BB1701&lt;&gt;"✓")),OR('Tasks Filter'!$L$3="",AV1701='Tasks Filter'!$L$3),OR('Tasks Filter'!$L$4="",AZ1701='Tasks Filter'!$L$4),OR('Tasks Filter'!$L$5="",BC1701='Tasks Filter'!$L$5),OR('Tasks Filter'!$O$3="",BD1701='Tasks Filter'!$O$3),OR('Tasks Filter'!$O$4="Yes",BG1701=0)),1,0))</f>
        <v/>
      </c>
      <c r="BJ1701">
        <f>IF(BH1701=0,"",IF('Tasks Filter'!$F$6="Descending",-1,1)*CHOOSE(MATCH('Tasks Filter'!$F$5,Lists!$G$2:$G$6,0),AW1701,BF1701,IFERROR(MATCH(AV1701,Setup!$F$6:$F$15,0),99),IFERROR(MATCH(BC1701,Setup!$H$6:$H$15,0),99),IFERROR(MATCH(AZ1701,Setup!$J$6:$J$11,0),99))*1E+9+(AW1701-40000)*10000+1700)</f>
        <v/>
      </c>
      <c r="BK1701">
        <f>IF(BI1701=1,BJ1701,"")</f>
        <v/>
      </c>
      <c r="BL1701">
        <f>IF(AND(BH1701=1,BG1701=0,N(AW1701)&lt;Setup!$D$7),(AW1701-40000)*10000+1700,"")</f>
        <v/>
      </c>
      <c r="BM1701">
        <f>IF(AND(BH1701=1,AZ1701&lt;&gt;"Cancelled",N(AW1701)&gt;=Dashboard!$AB$3,N(AW1701)&lt;=Dashboard!$AB$3+6),(AW1701-40000)*100000+BF1701*10000+1700,"")</f>
        <v/>
      </c>
      <c r="BN1701">
        <f>IF(AND(BH1701=1,AZ1701&lt;&gt;"Cancelled"),BF1701*10000+1700,"")</f>
        <v/>
      </c>
    </row>
    <row r="1702">
      <c r="AS1702" t="inlineStr">
        <is>
          <t>V</t>
        </is>
      </c>
      <c r="AT1702" t="n">
        <v>206</v>
      </c>
      <c r="AU1702">
        <f>'Variable Tasks'!C206&amp;""</f>
        <v/>
      </c>
      <c r="AV1702">
        <f>'Variable Tasks'!D206&amp;""</f>
        <v/>
      </c>
      <c r="AW1702">
        <f>IF('Variable Tasks'!E206="","",'Variable Tasks'!E206)</f>
        <v/>
      </c>
      <c r="AX1702">
        <f>IF('Variable Tasks'!G206="","",'Variable Tasks'!G206)</f>
        <v/>
      </c>
      <c r="AY1702">
        <f>IF('Variable Tasks'!H206="","",'Variable Tasks'!H206)</f>
        <v/>
      </c>
      <c r="AZ1702">
        <f>IF(AU1702="","",IF('Variable Tasks'!J206="","Not Started",'Variable Tasks'!J206))</f>
        <v/>
      </c>
      <c r="BA1702">
        <f>'Variable Tasks'!L206&amp;""</f>
        <v/>
      </c>
      <c r="BB1702">
        <f>'Variable Tasks'!M206&amp;""</f>
        <v/>
      </c>
      <c r="BC1702">
        <f>'Variable Tasks'!N206&amp;""</f>
        <v/>
      </c>
      <c r="BD1702">
        <f>'Variable Tasks'!O206&amp;""</f>
        <v/>
      </c>
      <c r="BE1702">
        <f>IF('Variable Tasks'!K206="","",'Variable Tasks'!K206)</f>
        <v/>
      </c>
      <c r="BF1702">
        <f>IFERROR(MATCH(BA1702,Setup!$L$6:$L$9,0),5)</f>
        <v/>
      </c>
      <c r="BG1702">
        <f>IF(OR(AZ1702="Done",AZ1702="Cancelled"),1,0)</f>
        <v/>
      </c>
      <c r="BH1702">
        <f>IF(AND(AU1702&lt;&gt;"",ISNUMBER(AW1702)),1,0)</f>
        <v/>
      </c>
      <c r="BI1702">
        <f>IF(BH1702=0,0,IF(AND(AW1702&gt;='Tasks Filter'!$F$3,AW1702&lt;='Tasks Filter'!$F$4,OR('Tasks Filter'!$I$3="",ISNUMBER(SEARCH('Tasks Filter'!$I$3,AU1702))),OR('Tasks Filter'!$I$4="",BF1702=IFERROR(MATCH('Tasks Filter'!$I$4,Setup!$L$6:$L$9,0),0)),OR('Tasks Filter'!$I$5="Both",AND('Tasks Filter'!$I$5="Yes",BB1702="✓"),AND('Tasks Filter'!$I$5="No",BB1702&lt;&gt;"✓")),OR('Tasks Filter'!$L$3="",AV1702='Tasks Filter'!$L$3),OR('Tasks Filter'!$L$4="",AZ1702='Tasks Filter'!$L$4),OR('Tasks Filter'!$L$5="",BC1702='Tasks Filter'!$L$5),OR('Tasks Filter'!$O$3="",BD1702='Tasks Filter'!$O$3),OR('Tasks Filter'!$O$4="Yes",BG1702=0)),1,0))</f>
        <v/>
      </c>
      <c r="BJ1702">
        <f>IF(BH1702=0,"",IF('Tasks Filter'!$F$6="Descending",-1,1)*CHOOSE(MATCH('Tasks Filter'!$F$5,Lists!$G$2:$G$6,0),AW1702,BF1702,IFERROR(MATCH(AV1702,Setup!$F$6:$F$15,0),99),IFERROR(MATCH(BC1702,Setup!$H$6:$H$15,0),99),IFERROR(MATCH(AZ1702,Setup!$J$6:$J$11,0),99))*1E+9+(AW1702-40000)*10000+1701)</f>
        <v/>
      </c>
      <c r="BK1702">
        <f>IF(BI1702=1,BJ1702,"")</f>
        <v/>
      </c>
      <c r="BL1702">
        <f>IF(AND(BH1702=1,BG1702=0,N(AW1702)&lt;Setup!$D$7),(AW1702-40000)*10000+1701,"")</f>
        <v/>
      </c>
      <c r="BM1702">
        <f>IF(AND(BH1702=1,AZ1702&lt;&gt;"Cancelled",N(AW1702)&gt;=Dashboard!$AB$3,N(AW1702)&lt;=Dashboard!$AB$3+6),(AW1702-40000)*100000+BF1702*10000+1701,"")</f>
        <v/>
      </c>
      <c r="BN1702">
        <f>IF(AND(BH1702=1,AZ1702&lt;&gt;"Cancelled"),BF1702*10000+1701,"")</f>
        <v/>
      </c>
    </row>
    <row r="1703">
      <c r="AS1703" t="inlineStr">
        <is>
          <t>V</t>
        </is>
      </c>
      <c r="AT1703" t="n">
        <v>207</v>
      </c>
      <c r="AU1703">
        <f>'Variable Tasks'!C207&amp;""</f>
        <v/>
      </c>
      <c r="AV1703">
        <f>'Variable Tasks'!D207&amp;""</f>
        <v/>
      </c>
      <c r="AW1703">
        <f>IF('Variable Tasks'!E207="","",'Variable Tasks'!E207)</f>
        <v/>
      </c>
      <c r="AX1703">
        <f>IF('Variable Tasks'!G207="","",'Variable Tasks'!G207)</f>
        <v/>
      </c>
      <c r="AY1703">
        <f>IF('Variable Tasks'!H207="","",'Variable Tasks'!H207)</f>
        <v/>
      </c>
      <c r="AZ1703">
        <f>IF(AU1703="","",IF('Variable Tasks'!J207="","Not Started",'Variable Tasks'!J207))</f>
        <v/>
      </c>
      <c r="BA1703">
        <f>'Variable Tasks'!L207&amp;""</f>
        <v/>
      </c>
      <c r="BB1703">
        <f>'Variable Tasks'!M207&amp;""</f>
        <v/>
      </c>
      <c r="BC1703">
        <f>'Variable Tasks'!N207&amp;""</f>
        <v/>
      </c>
      <c r="BD1703">
        <f>'Variable Tasks'!O207&amp;""</f>
        <v/>
      </c>
      <c r="BE1703">
        <f>IF('Variable Tasks'!K207="","",'Variable Tasks'!K207)</f>
        <v/>
      </c>
      <c r="BF1703">
        <f>IFERROR(MATCH(BA1703,Setup!$L$6:$L$9,0),5)</f>
        <v/>
      </c>
      <c r="BG1703">
        <f>IF(OR(AZ1703="Done",AZ1703="Cancelled"),1,0)</f>
        <v/>
      </c>
      <c r="BH1703">
        <f>IF(AND(AU1703&lt;&gt;"",ISNUMBER(AW1703)),1,0)</f>
        <v/>
      </c>
      <c r="BI1703">
        <f>IF(BH1703=0,0,IF(AND(AW1703&gt;='Tasks Filter'!$F$3,AW1703&lt;='Tasks Filter'!$F$4,OR('Tasks Filter'!$I$3="",ISNUMBER(SEARCH('Tasks Filter'!$I$3,AU1703))),OR('Tasks Filter'!$I$4="",BF1703=IFERROR(MATCH('Tasks Filter'!$I$4,Setup!$L$6:$L$9,0),0)),OR('Tasks Filter'!$I$5="Both",AND('Tasks Filter'!$I$5="Yes",BB1703="✓"),AND('Tasks Filter'!$I$5="No",BB1703&lt;&gt;"✓")),OR('Tasks Filter'!$L$3="",AV1703='Tasks Filter'!$L$3),OR('Tasks Filter'!$L$4="",AZ1703='Tasks Filter'!$L$4),OR('Tasks Filter'!$L$5="",BC1703='Tasks Filter'!$L$5),OR('Tasks Filter'!$O$3="",BD1703='Tasks Filter'!$O$3),OR('Tasks Filter'!$O$4="Yes",BG1703=0)),1,0))</f>
        <v/>
      </c>
      <c r="BJ1703">
        <f>IF(BH1703=0,"",IF('Tasks Filter'!$F$6="Descending",-1,1)*CHOOSE(MATCH('Tasks Filter'!$F$5,Lists!$G$2:$G$6,0),AW1703,BF1703,IFERROR(MATCH(AV1703,Setup!$F$6:$F$15,0),99),IFERROR(MATCH(BC1703,Setup!$H$6:$H$15,0),99),IFERROR(MATCH(AZ1703,Setup!$J$6:$J$11,0),99))*1E+9+(AW1703-40000)*10000+1702)</f>
        <v/>
      </c>
      <c r="BK1703">
        <f>IF(BI1703=1,BJ1703,"")</f>
        <v/>
      </c>
      <c r="BL1703">
        <f>IF(AND(BH1703=1,BG1703=0,N(AW1703)&lt;Setup!$D$7),(AW1703-40000)*10000+1702,"")</f>
        <v/>
      </c>
      <c r="BM1703">
        <f>IF(AND(BH1703=1,AZ1703&lt;&gt;"Cancelled",N(AW1703)&gt;=Dashboard!$AB$3,N(AW1703)&lt;=Dashboard!$AB$3+6),(AW1703-40000)*100000+BF1703*10000+1702,"")</f>
        <v/>
      </c>
      <c r="BN1703">
        <f>IF(AND(BH1703=1,AZ1703&lt;&gt;"Cancelled"),BF1703*10000+1702,"")</f>
        <v/>
      </c>
    </row>
    <row r="1704">
      <c r="AS1704" t="inlineStr">
        <is>
          <t>V</t>
        </is>
      </c>
      <c r="AT1704" t="n">
        <v>208</v>
      </c>
      <c r="AU1704">
        <f>'Variable Tasks'!C208&amp;""</f>
        <v/>
      </c>
      <c r="AV1704">
        <f>'Variable Tasks'!D208&amp;""</f>
        <v/>
      </c>
      <c r="AW1704">
        <f>IF('Variable Tasks'!E208="","",'Variable Tasks'!E208)</f>
        <v/>
      </c>
      <c r="AX1704">
        <f>IF('Variable Tasks'!G208="","",'Variable Tasks'!G208)</f>
        <v/>
      </c>
      <c r="AY1704">
        <f>IF('Variable Tasks'!H208="","",'Variable Tasks'!H208)</f>
        <v/>
      </c>
      <c r="AZ1704">
        <f>IF(AU1704="","",IF('Variable Tasks'!J208="","Not Started",'Variable Tasks'!J208))</f>
        <v/>
      </c>
      <c r="BA1704">
        <f>'Variable Tasks'!L208&amp;""</f>
        <v/>
      </c>
      <c r="BB1704">
        <f>'Variable Tasks'!M208&amp;""</f>
        <v/>
      </c>
      <c r="BC1704">
        <f>'Variable Tasks'!N208&amp;""</f>
        <v/>
      </c>
      <c r="BD1704">
        <f>'Variable Tasks'!O208&amp;""</f>
        <v/>
      </c>
      <c r="BE1704">
        <f>IF('Variable Tasks'!K208="","",'Variable Tasks'!K208)</f>
        <v/>
      </c>
      <c r="BF1704">
        <f>IFERROR(MATCH(BA1704,Setup!$L$6:$L$9,0),5)</f>
        <v/>
      </c>
      <c r="BG1704">
        <f>IF(OR(AZ1704="Done",AZ1704="Cancelled"),1,0)</f>
        <v/>
      </c>
      <c r="BH1704">
        <f>IF(AND(AU1704&lt;&gt;"",ISNUMBER(AW1704)),1,0)</f>
        <v/>
      </c>
      <c r="BI1704">
        <f>IF(BH1704=0,0,IF(AND(AW1704&gt;='Tasks Filter'!$F$3,AW1704&lt;='Tasks Filter'!$F$4,OR('Tasks Filter'!$I$3="",ISNUMBER(SEARCH('Tasks Filter'!$I$3,AU1704))),OR('Tasks Filter'!$I$4="",BF1704=IFERROR(MATCH('Tasks Filter'!$I$4,Setup!$L$6:$L$9,0),0)),OR('Tasks Filter'!$I$5="Both",AND('Tasks Filter'!$I$5="Yes",BB1704="✓"),AND('Tasks Filter'!$I$5="No",BB1704&lt;&gt;"✓")),OR('Tasks Filter'!$L$3="",AV1704='Tasks Filter'!$L$3),OR('Tasks Filter'!$L$4="",AZ1704='Tasks Filter'!$L$4),OR('Tasks Filter'!$L$5="",BC1704='Tasks Filter'!$L$5),OR('Tasks Filter'!$O$3="",BD1704='Tasks Filter'!$O$3),OR('Tasks Filter'!$O$4="Yes",BG1704=0)),1,0))</f>
        <v/>
      </c>
      <c r="BJ1704">
        <f>IF(BH1704=0,"",IF('Tasks Filter'!$F$6="Descending",-1,1)*CHOOSE(MATCH('Tasks Filter'!$F$5,Lists!$G$2:$G$6,0),AW1704,BF1704,IFERROR(MATCH(AV1704,Setup!$F$6:$F$15,0),99),IFERROR(MATCH(BC1704,Setup!$H$6:$H$15,0),99),IFERROR(MATCH(AZ1704,Setup!$J$6:$J$11,0),99))*1E+9+(AW1704-40000)*10000+1703)</f>
        <v/>
      </c>
      <c r="BK1704">
        <f>IF(BI1704=1,BJ1704,"")</f>
        <v/>
      </c>
      <c r="BL1704">
        <f>IF(AND(BH1704=1,BG1704=0,N(AW1704)&lt;Setup!$D$7),(AW1704-40000)*10000+1703,"")</f>
        <v/>
      </c>
      <c r="BM1704">
        <f>IF(AND(BH1704=1,AZ1704&lt;&gt;"Cancelled",N(AW1704)&gt;=Dashboard!$AB$3,N(AW1704)&lt;=Dashboard!$AB$3+6),(AW1704-40000)*100000+BF1704*10000+1703,"")</f>
        <v/>
      </c>
      <c r="BN1704">
        <f>IF(AND(BH1704=1,AZ1704&lt;&gt;"Cancelled"),BF1704*10000+1703,"")</f>
        <v/>
      </c>
    </row>
    <row r="1705">
      <c r="AS1705" t="inlineStr">
        <is>
          <t>V</t>
        </is>
      </c>
      <c r="AT1705" t="n">
        <v>209</v>
      </c>
      <c r="AU1705">
        <f>'Variable Tasks'!C209&amp;""</f>
        <v/>
      </c>
      <c r="AV1705">
        <f>'Variable Tasks'!D209&amp;""</f>
        <v/>
      </c>
      <c r="AW1705">
        <f>IF('Variable Tasks'!E209="","",'Variable Tasks'!E209)</f>
        <v/>
      </c>
      <c r="AX1705">
        <f>IF('Variable Tasks'!G209="","",'Variable Tasks'!G209)</f>
        <v/>
      </c>
      <c r="AY1705">
        <f>IF('Variable Tasks'!H209="","",'Variable Tasks'!H209)</f>
        <v/>
      </c>
      <c r="AZ1705">
        <f>IF(AU1705="","",IF('Variable Tasks'!J209="","Not Started",'Variable Tasks'!J209))</f>
        <v/>
      </c>
      <c r="BA1705">
        <f>'Variable Tasks'!L209&amp;""</f>
        <v/>
      </c>
      <c r="BB1705">
        <f>'Variable Tasks'!M209&amp;""</f>
        <v/>
      </c>
      <c r="BC1705">
        <f>'Variable Tasks'!N209&amp;""</f>
        <v/>
      </c>
      <c r="BD1705">
        <f>'Variable Tasks'!O209&amp;""</f>
        <v/>
      </c>
      <c r="BE1705">
        <f>IF('Variable Tasks'!K209="","",'Variable Tasks'!K209)</f>
        <v/>
      </c>
      <c r="BF1705">
        <f>IFERROR(MATCH(BA1705,Setup!$L$6:$L$9,0),5)</f>
        <v/>
      </c>
      <c r="BG1705">
        <f>IF(OR(AZ1705="Done",AZ1705="Cancelled"),1,0)</f>
        <v/>
      </c>
      <c r="BH1705">
        <f>IF(AND(AU1705&lt;&gt;"",ISNUMBER(AW1705)),1,0)</f>
        <v/>
      </c>
      <c r="BI1705">
        <f>IF(BH1705=0,0,IF(AND(AW1705&gt;='Tasks Filter'!$F$3,AW1705&lt;='Tasks Filter'!$F$4,OR('Tasks Filter'!$I$3="",ISNUMBER(SEARCH('Tasks Filter'!$I$3,AU1705))),OR('Tasks Filter'!$I$4="",BF1705=IFERROR(MATCH('Tasks Filter'!$I$4,Setup!$L$6:$L$9,0),0)),OR('Tasks Filter'!$I$5="Both",AND('Tasks Filter'!$I$5="Yes",BB1705="✓"),AND('Tasks Filter'!$I$5="No",BB1705&lt;&gt;"✓")),OR('Tasks Filter'!$L$3="",AV1705='Tasks Filter'!$L$3),OR('Tasks Filter'!$L$4="",AZ1705='Tasks Filter'!$L$4),OR('Tasks Filter'!$L$5="",BC1705='Tasks Filter'!$L$5),OR('Tasks Filter'!$O$3="",BD1705='Tasks Filter'!$O$3),OR('Tasks Filter'!$O$4="Yes",BG1705=0)),1,0))</f>
        <v/>
      </c>
      <c r="BJ1705">
        <f>IF(BH1705=0,"",IF('Tasks Filter'!$F$6="Descending",-1,1)*CHOOSE(MATCH('Tasks Filter'!$F$5,Lists!$G$2:$G$6,0),AW1705,BF1705,IFERROR(MATCH(AV1705,Setup!$F$6:$F$15,0),99),IFERROR(MATCH(BC1705,Setup!$H$6:$H$15,0),99),IFERROR(MATCH(AZ1705,Setup!$J$6:$J$11,0),99))*1E+9+(AW1705-40000)*10000+1704)</f>
        <v/>
      </c>
      <c r="BK1705">
        <f>IF(BI1705=1,BJ1705,"")</f>
        <v/>
      </c>
      <c r="BL1705">
        <f>IF(AND(BH1705=1,BG1705=0,N(AW1705)&lt;Setup!$D$7),(AW1705-40000)*10000+1704,"")</f>
        <v/>
      </c>
      <c r="BM1705">
        <f>IF(AND(BH1705=1,AZ1705&lt;&gt;"Cancelled",N(AW1705)&gt;=Dashboard!$AB$3,N(AW1705)&lt;=Dashboard!$AB$3+6),(AW1705-40000)*100000+BF1705*10000+1704,"")</f>
        <v/>
      </c>
      <c r="BN1705">
        <f>IF(AND(BH1705=1,AZ1705&lt;&gt;"Cancelled"),BF1705*10000+1704,"")</f>
        <v/>
      </c>
    </row>
    <row r="1706">
      <c r="AS1706" t="inlineStr">
        <is>
          <t>V</t>
        </is>
      </c>
      <c r="AT1706" t="n">
        <v>210</v>
      </c>
      <c r="AU1706">
        <f>'Variable Tasks'!C210&amp;""</f>
        <v/>
      </c>
      <c r="AV1706">
        <f>'Variable Tasks'!D210&amp;""</f>
        <v/>
      </c>
      <c r="AW1706">
        <f>IF('Variable Tasks'!E210="","",'Variable Tasks'!E210)</f>
        <v/>
      </c>
      <c r="AX1706">
        <f>IF('Variable Tasks'!G210="","",'Variable Tasks'!G210)</f>
        <v/>
      </c>
      <c r="AY1706">
        <f>IF('Variable Tasks'!H210="","",'Variable Tasks'!H210)</f>
        <v/>
      </c>
      <c r="AZ1706">
        <f>IF(AU1706="","",IF('Variable Tasks'!J210="","Not Started",'Variable Tasks'!J210))</f>
        <v/>
      </c>
      <c r="BA1706">
        <f>'Variable Tasks'!L210&amp;""</f>
        <v/>
      </c>
      <c r="BB1706">
        <f>'Variable Tasks'!M210&amp;""</f>
        <v/>
      </c>
      <c r="BC1706">
        <f>'Variable Tasks'!N210&amp;""</f>
        <v/>
      </c>
      <c r="BD1706">
        <f>'Variable Tasks'!O210&amp;""</f>
        <v/>
      </c>
      <c r="BE1706">
        <f>IF('Variable Tasks'!K210="","",'Variable Tasks'!K210)</f>
        <v/>
      </c>
      <c r="BF1706">
        <f>IFERROR(MATCH(BA1706,Setup!$L$6:$L$9,0),5)</f>
        <v/>
      </c>
      <c r="BG1706">
        <f>IF(OR(AZ1706="Done",AZ1706="Cancelled"),1,0)</f>
        <v/>
      </c>
      <c r="BH1706">
        <f>IF(AND(AU1706&lt;&gt;"",ISNUMBER(AW1706)),1,0)</f>
        <v/>
      </c>
      <c r="BI1706">
        <f>IF(BH1706=0,0,IF(AND(AW1706&gt;='Tasks Filter'!$F$3,AW1706&lt;='Tasks Filter'!$F$4,OR('Tasks Filter'!$I$3="",ISNUMBER(SEARCH('Tasks Filter'!$I$3,AU1706))),OR('Tasks Filter'!$I$4="",BF1706=IFERROR(MATCH('Tasks Filter'!$I$4,Setup!$L$6:$L$9,0),0)),OR('Tasks Filter'!$I$5="Both",AND('Tasks Filter'!$I$5="Yes",BB1706="✓"),AND('Tasks Filter'!$I$5="No",BB1706&lt;&gt;"✓")),OR('Tasks Filter'!$L$3="",AV1706='Tasks Filter'!$L$3),OR('Tasks Filter'!$L$4="",AZ1706='Tasks Filter'!$L$4),OR('Tasks Filter'!$L$5="",BC1706='Tasks Filter'!$L$5),OR('Tasks Filter'!$O$3="",BD1706='Tasks Filter'!$O$3),OR('Tasks Filter'!$O$4="Yes",BG1706=0)),1,0))</f>
        <v/>
      </c>
      <c r="BJ1706">
        <f>IF(BH1706=0,"",IF('Tasks Filter'!$F$6="Descending",-1,1)*CHOOSE(MATCH('Tasks Filter'!$F$5,Lists!$G$2:$G$6,0),AW1706,BF1706,IFERROR(MATCH(AV1706,Setup!$F$6:$F$15,0),99),IFERROR(MATCH(BC1706,Setup!$H$6:$H$15,0),99),IFERROR(MATCH(AZ1706,Setup!$J$6:$J$11,0),99))*1E+9+(AW1706-40000)*10000+1705)</f>
        <v/>
      </c>
      <c r="BK1706">
        <f>IF(BI1706=1,BJ1706,"")</f>
        <v/>
      </c>
      <c r="BL1706">
        <f>IF(AND(BH1706=1,BG1706=0,N(AW1706)&lt;Setup!$D$7),(AW1706-40000)*10000+1705,"")</f>
        <v/>
      </c>
      <c r="BM1706">
        <f>IF(AND(BH1706=1,AZ1706&lt;&gt;"Cancelled",N(AW1706)&gt;=Dashboard!$AB$3,N(AW1706)&lt;=Dashboard!$AB$3+6),(AW1706-40000)*100000+BF1706*10000+1705,"")</f>
        <v/>
      </c>
      <c r="BN1706">
        <f>IF(AND(BH1706=1,AZ1706&lt;&gt;"Cancelled"),BF1706*10000+1705,"")</f>
        <v/>
      </c>
    </row>
    <row r="1707">
      <c r="AS1707" t="inlineStr">
        <is>
          <t>V</t>
        </is>
      </c>
      <c r="AT1707" t="n">
        <v>211</v>
      </c>
      <c r="AU1707">
        <f>'Variable Tasks'!C211&amp;""</f>
        <v/>
      </c>
      <c r="AV1707">
        <f>'Variable Tasks'!D211&amp;""</f>
        <v/>
      </c>
      <c r="AW1707">
        <f>IF('Variable Tasks'!E211="","",'Variable Tasks'!E211)</f>
        <v/>
      </c>
      <c r="AX1707">
        <f>IF('Variable Tasks'!G211="","",'Variable Tasks'!G211)</f>
        <v/>
      </c>
      <c r="AY1707">
        <f>IF('Variable Tasks'!H211="","",'Variable Tasks'!H211)</f>
        <v/>
      </c>
      <c r="AZ1707">
        <f>IF(AU1707="","",IF('Variable Tasks'!J211="","Not Started",'Variable Tasks'!J211))</f>
        <v/>
      </c>
      <c r="BA1707">
        <f>'Variable Tasks'!L211&amp;""</f>
        <v/>
      </c>
      <c r="BB1707">
        <f>'Variable Tasks'!M211&amp;""</f>
        <v/>
      </c>
      <c r="BC1707">
        <f>'Variable Tasks'!N211&amp;""</f>
        <v/>
      </c>
      <c r="BD1707">
        <f>'Variable Tasks'!O211&amp;""</f>
        <v/>
      </c>
      <c r="BE1707">
        <f>IF('Variable Tasks'!K211="","",'Variable Tasks'!K211)</f>
        <v/>
      </c>
      <c r="BF1707">
        <f>IFERROR(MATCH(BA1707,Setup!$L$6:$L$9,0),5)</f>
        <v/>
      </c>
      <c r="BG1707">
        <f>IF(OR(AZ1707="Done",AZ1707="Cancelled"),1,0)</f>
        <v/>
      </c>
      <c r="BH1707">
        <f>IF(AND(AU1707&lt;&gt;"",ISNUMBER(AW1707)),1,0)</f>
        <v/>
      </c>
      <c r="BI1707">
        <f>IF(BH1707=0,0,IF(AND(AW1707&gt;='Tasks Filter'!$F$3,AW1707&lt;='Tasks Filter'!$F$4,OR('Tasks Filter'!$I$3="",ISNUMBER(SEARCH('Tasks Filter'!$I$3,AU1707))),OR('Tasks Filter'!$I$4="",BF1707=IFERROR(MATCH('Tasks Filter'!$I$4,Setup!$L$6:$L$9,0),0)),OR('Tasks Filter'!$I$5="Both",AND('Tasks Filter'!$I$5="Yes",BB1707="✓"),AND('Tasks Filter'!$I$5="No",BB1707&lt;&gt;"✓")),OR('Tasks Filter'!$L$3="",AV1707='Tasks Filter'!$L$3),OR('Tasks Filter'!$L$4="",AZ1707='Tasks Filter'!$L$4),OR('Tasks Filter'!$L$5="",BC1707='Tasks Filter'!$L$5),OR('Tasks Filter'!$O$3="",BD1707='Tasks Filter'!$O$3),OR('Tasks Filter'!$O$4="Yes",BG1707=0)),1,0))</f>
        <v/>
      </c>
      <c r="BJ1707">
        <f>IF(BH1707=0,"",IF('Tasks Filter'!$F$6="Descending",-1,1)*CHOOSE(MATCH('Tasks Filter'!$F$5,Lists!$G$2:$G$6,0),AW1707,BF1707,IFERROR(MATCH(AV1707,Setup!$F$6:$F$15,0),99),IFERROR(MATCH(BC1707,Setup!$H$6:$H$15,0),99),IFERROR(MATCH(AZ1707,Setup!$J$6:$J$11,0),99))*1E+9+(AW1707-40000)*10000+1706)</f>
        <v/>
      </c>
      <c r="BK1707">
        <f>IF(BI1707=1,BJ1707,"")</f>
        <v/>
      </c>
      <c r="BL1707">
        <f>IF(AND(BH1707=1,BG1707=0,N(AW1707)&lt;Setup!$D$7),(AW1707-40000)*10000+1706,"")</f>
        <v/>
      </c>
      <c r="BM1707">
        <f>IF(AND(BH1707=1,AZ1707&lt;&gt;"Cancelled",N(AW1707)&gt;=Dashboard!$AB$3,N(AW1707)&lt;=Dashboard!$AB$3+6),(AW1707-40000)*100000+BF1707*10000+1706,"")</f>
        <v/>
      </c>
      <c r="BN1707">
        <f>IF(AND(BH1707=1,AZ1707&lt;&gt;"Cancelled"),BF1707*10000+1706,"")</f>
        <v/>
      </c>
    </row>
    <row r="1708">
      <c r="AS1708" t="inlineStr">
        <is>
          <t>V</t>
        </is>
      </c>
      <c r="AT1708" t="n">
        <v>212</v>
      </c>
      <c r="AU1708">
        <f>'Variable Tasks'!C212&amp;""</f>
        <v/>
      </c>
      <c r="AV1708">
        <f>'Variable Tasks'!D212&amp;""</f>
        <v/>
      </c>
      <c r="AW1708">
        <f>IF('Variable Tasks'!E212="","",'Variable Tasks'!E212)</f>
        <v/>
      </c>
      <c r="AX1708">
        <f>IF('Variable Tasks'!G212="","",'Variable Tasks'!G212)</f>
        <v/>
      </c>
      <c r="AY1708">
        <f>IF('Variable Tasks'!H212="","",'Variable Tasks'!H212)</f>
        <v/>
      </c>
      <c r="AZ1708">
        <f>IF(AU1708="","",IF('Variable Tasks'!J212="","Not Started",'Variable Tasks'!J212))</f>
        <v/>
      </c>
      <c r="BA1708">
        <f>'Variable Tasks'!L212&amp;""</f>
        <v/>
      </c>
      <c r="BB1708">
        <f>'Variable Tasks'!M212&amp;""</f>
        <v/>
      </c>
      <c r="BC1708">
        <f>'Variable Tasks'!N212&amp;""</f>
        <v/>
      </c>
      <c r="BD1708">
        <f>'Variable Tasks'!O212&amp;""</f>
        <v/>
      </c>
      <c r="BE1708">
        <f>IF('Variable Tasks'!K212="","",'Variable Tasks'!K212)</f>
        <v/>
      </c>
      <c r="BF1708">
        <f>IFERROR(MATCH(BA1708,Setup!$L$6:$L$9,0),5)</f>
        <v/>
      </c>
      <c r="BG1708">
        <f>IF(OR(AZ1708="Done",AZ1708="Cancelled"),1,0)</f>
        <v/>
      </c>
      <c r="BH1708">
        <f>IF(AND(AU1708&lt;&gt;"",ISNUMBER(AW1708)),1,0)</f>
        <v/>
      </c>
      <c r="BI1708">
        <f>IF(BH1708=0,0,IF(AND(AW1708&gt;='Tasks Filter'!$F$3,AW1708&lt;='Tasks Filter'!$F$4,OR('Tasks Filter'!$I$3="",ISNUMBER(SEARCH('Tasks Filter'!$I$3,AU1708))),OR('Tasks Filter'!$I$4="",BF1708=IFERROR(MATCH('Tasks Filter'!$I$4,Setup!$L$6:$L$9,0),0)),OR('Tasks Filter'!$I$5="Both",AND('Tasks Filter'!$I$5="Yes",BB1708="✓"),AND('Tasks Filter'!$I$5="No",BB1708&lt;&gt;"✓")),OR('Tasks Filter'!$L$3="",AV1708='Tasks Filter'!$L$3),OR('Tasks Filter'!$L$4="",AZ1708='Tasks Filter'!$L$4),OR('Tasks Filter'!$L$5="",BC1708='Tasks Filter'!$L$5),OR('Tasks Filter'!$O$3="",BD1708='Tasks Filter'!$O$3),OR('Tasks Filter'!$O$4="Yes",BG1708=0)),1,0))</f>
        <v/>
      </c>
      <c r="BJ1708">
        <f>IF(BH1708=0,"",IF('Tasks Filter'!$F$6="Descending",-1,1)*CHOOSE(MATCH('Tasks Filter'!$F$5,Lists!$G$2:$G$6,0),AW1708,BF1708,IFERROR(MATCH(AV1708,Setup!$F$6:$F$15,0),99),IFERROR(MATCH(BC1708,Setup!$H$6:$H$15,0),99),IFERROR(MATCH(AZ1708,Setup!$J$6:$J$11,0),99))*1E+9+(AW1708-40000)*10000+1707)</f>
        <v/>
      </c>
      <c r="BK1708">
        <f>IF(BI1708=1,BJ1708,"")</f>
        <v/>
      </c>
      <c r="BL1708">
        <f>IF(AND(BH1708=1,BG1708=0,N(AW1708)&lt;Setup!$D$7),(AW1708-40000)*10000+1707,"")</f>
        <v/>
      </c>
      <c r="BM1708">
        <f>IF(AND(BH1708=1,AZ1708&lt;&gt;"Cancelled",N(AW1708)&gt;=Dashboard!$AB$3,N(AW1708)&lt;=Dashboard!$AB$3+6),(AW1708-40000)*100000+BF1708*10000+1707,"")</f>
        <v/>
      </c>
      <c r="BN1708">
        <f>IF(AND(BH1708=1,AZ1708&lt;&gt;"Cancelled"),BF1708*10000+1707,"")</f>
        <v/>
      </c>
    </row>
    <row r="1709">
      <c r="AS1709" t="inlineStr">
        <is>
          <t>V</t>
        </is>
      </c>
      <c r="AT1709" t="n">
        <v>213</v>
      </c>
      <c r="AU1709">
        <f>'Variable Tasks'!C213&amp;""</f>
        <v/>
      </c>
      <c r="AV1709">
        <f>'Variable Tasks'!D213&amp;""</f>
        <v/>
      </c>
      <c r="AW1709">
        <f>IF('Variable Tasks'!E213="","",'Variable Tasks'!E213)</f>
        <v/>
      </c>
      <c r="AX1709">
        <f>IF('Variable Tasks'!G213="","",'Variable Tasks'!G213)</f>
        <v/>
      </c>
      <c r="AY1709">
        <f>IF('Variable Tasks'!H213="","",'Variable Tasks'!H213)</f>
        <v/>
      </c>
      <c r="AZ1709">
        <f>IF(AU1709="","",IF('Variable Tasks'!J213="","Not Started",'Variable Tasks'!J213))</f>
        <v/>
      </c>
      <c r="BA1709">
        <f>'Variable Tasks'!L213&amp;""</f>
        <v/>
      </c>
      <c r="BB1709">
        <f>'Variable Tasks'!M213&amp;""</f>
        <v/>
      </c>
      <c r="BC1709">
        <f>'Variable Tasks'!N213&amp;""</f>
        <v/>
      </c>
      <c r="BD1709">
        <f>'Variable Tasks'!O213&amp;""</f>
        <v/>
      </c>
      <c r="BE1709">
        <f>IF('Variable Tasks'!K213="","",'Variable Tasks'!K213)</f>
        <v/>
      </c>
      <c r="BF1709">
        <f>IFERROR(MATCH(BA1709,Setup!$L$6:$L$9,0),5)</f>
        <v/>
      </c>
      <c r="BG1709">
        <f>IF(OR(AZ1709="Done",AZ1709="Cancelled"),1,0)</f>
        <v/>
      </c>
      <c r="BH1709">
        <f>IF(AND(AU1709&lt;&gt;"",ISNUMBER(AW1709)),1,0)</f>
        <v/>
      </c>
      <c r="BI1709">
        <f>IF(BH1709=0,0,IF(AND(AW1709&gt;='Tasks Filter'!$F$3,AW1709&lt;='Tasks Filter'!$F$4,OR('Tasks Filter'!$I$3="",ISNUMBER(SEARCH('Tasks Filter'!$I$3,AU1709))),OR('Tasks Filter'!$I$4="",BF1709=IFERROR(MATCH('Tasks Filter'!$I$4,Setup!$L$6:$L$9,0),0)),OR('Tasks Filter'!$I$5="Both",AND('Tasks Filter'!$I$5="Yes",BB1709="✓"),AND('Tasks Filter'!$I$5="No",BB1709&lt;&gt;"✓")),OR('Tasks Filter'!$L$3="",AV1709='Tasks Filter'!$L$3),OR('Tasks Filter'!$L$4="",AZ1709='Tasks Filter'!$L$4),OR('Tasks Filter'!$L$5="",BC1709='Tasks Filter'!$L$5),OR('Tasks Filter'!$O$3="",BD1709='Tasks Filter'!$O$3),OR('Tasks Filter'!$O$4="Yes",BG1709=0)),1,0))</f>
        <v/>
      </c>
      <c r="BJ1709">
        <f>IF(BH1709=0,"",IF('Tasks Filter'!$F$6="Descending",-1,1)*CHOOSE(MATCH('Tasks Filter'!$F$5,Lists!$G$2:$G$6,0),AW1709,BF1709,IFERROR(MATCH(AV1709,Setup!$F$6:$F$15,0),99),IFERROR(MATCH(BC1709,Setup!$H$6:$H$15,0),99),IFERROR(MATCH(AZ1709,Setup!$J$6:$J$11,0),99))*1E+9+(AW1709-40000)*10000+1708)</f>
        <v/>
      </c>
      <c r="BK1709">
        <f>IF(BI1709=1,BJ1709,"")</f>
        <v/>
      </c>
      <c r="BL1709">
        <f>IF(AND(BH1709=1,BG1709=0,N(AW1709)&lt;Setup!$D$7),(AW1709-40000)*10000+1708,"")</f>
        <v/>
      </c>
      <c r="BM1709">
        <f>IF(AND(BH1709=1,AZ1709&lt;&gt;"Cancelled",N(AW1709)&gt;=Dashboard!$AB$3,N(AW1709)&lt;=Dashboard!$AB$3+6),(AW1709-40000)*100000+BF1709*10000+1708,"")</f>
        <v/>
      </c>
      <c r="BN1709">
        <f>IF(AND(BH1709=1,AZ1709&lt;&gt;"Cancelled"),BF1709*10000+1708,"")</f>
        <v/>
      </c>
    </row>
    <row r="1710">
      <c r="AS1710" t="inlineStr">
        <is>
          <t>V</t>
        </is>
      </c>
      <c r="AT1710" t="n">
        <v>214</v>
      </c>
      <c r="AU1710">
        <f>'Variable Tasks'!C214&amp;""</f>
        <v/>
      </c>
      <c r="AV1710">
        <f>'Variable Tasks'!D214&amp;""</f>
        <v/>
      </c>
      <c r="AW1710">
        <f>IF('Variable Tasks'!E214="","",'Variable Tasks'!E214)</f>
        <v/>
      </c>
      <c r="AX1710">
        <f>IF('Variable Tasks'!G214="","",'Variable Tasks'!G214)</f>
        <v/>
      </c>
      <c r="AY1710">
        <f>IF('Variable Tasks'!H214="","",'Variable Tasks'!H214)</f>
        <v/>
      </c>
      <c r="AZ1710">
        <f>IF(AU1710="","",IF('Variable Tasks'!J214="","Not Started",'Variable Tasks'!J214))</f>
        <v/>
      </c>
      <c r="BA1710">
        <f>'Variable Tasks'!L214&amp;""</f>
        <v/>
      </c>
      <c r="BB1710">
        <f>'Variable Tasks'!M214&amp;""</f>
        <v/>
      </c>
      <c r="BC1710">
        <f>'Variable Tasks'!N214&amp;""</f>
        <v/>
      </c>
      <c r="BD1710">
        <f>'Variable Tasks'!O214&amp;""</f>
        <v/>
      </c>
      <c r="BE1710">
        <f>IF('Variable Tasks'!K214="","",'Variable Tasks'!K214)</f>
        <v/>
      </c>
      <c r="BF1710">
        <f>IFERROR(MATCH(BA1710,Setup!$L$6:$L$9,0),5)</f>
        <v/>
      </c>
      <c r="BG1710">
        <f>IF(OR(AZ1710="Done",AZ1710="Cancelled"),1,0)</f>
        <v/>
      </c>
      <c r="BH1710">
        <f>IF(AND(AU1710&lt;&gt;"",ISNUMBER(AW1710)),1,0)</f>
        <v/>
      </c>
      <c r="BI1710">
        <f>IF(BH1710=0,0,IF(AND(AW1710&gt;='Tasks Filter'!$F$3,AW1710&lt;='Tasks Filter'!$F$4,OR('Tasks Filter'!$I$3="",ISNUMBER(SEARCH('Tasks Filter'!$I$3,AU1710))),OR('Tasks Filter'!$I$4="",BF1710=IFERROR(MATCH('Tasks Filter'!$I$4,Setup!$L$6:$L$9,0),0)),OR('Tasks Filter'!$I$5="Both",AND('Tasks Filter'!$I$5="Yes",BB1710="✓"),AND('Tasks Filter'!$I$5="No",BB1710&lt;&gt;"✓")),OR('Tasks Filter'!$L$3="",AV1710='Tasks Filter'!$L$3),OR('Tasks Filter'!$L$4="",AZ1710='Tasks Filter'!$L$4),OR('Tasks Filter'!$L$5="",BC1710='Tasks Filter'!$L$5),OR('Tasks Filter'!$O$3="",BD1710='Tasks Filter'!$O$3),OR('Tasks Filter'!$O$4="Yes",BG1710=0)),1,0))</f>
        <v/>
      </c>
      <c r="BJ1710">
        <f>IF(BH1710=0,"",IF('Tasks Filter'!$F$6="Descending",-1,1)*CHOOSE(MATCH('Tasks Filter'!$F$5,Lists!$G$2:$G$6,0),AW1710,BF1710,IFERROR(MATCH(AV1710,Setup!$F$6:$F$15,0),99),IFERROR(MATCH(BC1710,Setup!$H$6:$H$15,0),99),IFERROR(MATCH(AZ1710,Setup!$J$6:$J$11,0),99))*1E+9+(AW1710-40000)*10000+1709)</f>
        <v/>
      </c>
      <c r="BK1710">
        <f>IF(BI1710=1,BJ1710,"")</f>
        <v/>
      </c>
      <c r="BL1710">
        <f>IF(AND(BH1710=1,BG1710=0,N(AW1710)&lt;Setup!$D$7),(AW1710-40000)*10000+1709,"")</f>
        <v/>
      </c>
      <c r="BM1710">
        <f>IF(AND(BH1710=1,AZ1710&lt;&gt;"Cancelled",N(AW1710)&gt;=Dashboard!$AB$3,N(AW1710)&lt;=Dashboard!$AB$3+6),(AW1710-40000)*100000+BF1710*10000+1709,"")</f>
        <v/>
      </c>
      <c r="BN1710">
        <f>IF(AND(BH1710=1,AZ1710&lt;&gt;"Cancelled"),BF1710*10000+1709,"")</f>
        <v/>
      </c>
    </row>
    <row r="1711">
      <c r="AS1711" t="inlineStr">
        <is>
          <t>V</t>
        </is>
      </c>
      <c r="AT1711" t="n">
        <v>215</v>
      </c>
      <c r="AU1711">
        <f>'Variable Tasks'!C215&amp;""</f>
        <v/>
      </c>
      <c r="AV1711">
        <f>'Variable Tasks'!D215&amp;""</f>
        <v/>
      </c>
      <c r="AW1711">
        <f>IF('Variable Tasks'!E215="","",'Variable Tasks'!E215)</f>
        <v/>
      </c>
      <c r="AX1711">
        <f>IF('Variable Tasks'!G215="","",'Variable Tasks'!G215)</f>
        <v/>
      </c>
      <c r="AY1711">
        <f>IF('Variable Tasks'!H215="","",'Variable Tasks'!H215)</f>
        <v/>
      </c>
      <c r="AZ1711">
        <f>IF(AU1711="","",IF('Variable Tasks'!J215="","Not Started",'Variable Tasks'!J215))</f>
        <v/>
      </c>
      <c r="BA1711">
        <f>'Variable Tasks'!L215&amp;""</f>
        <v/>
      </c>
      <c r="BB1711">
        <f>'Variable Tasks'!M215&amp;""</f>
        <v/>
      </c>
      <c r="BC1711">
        <f>'Variable Tasks'!N215&amp;""</f>
        <v/>
      </c>
      <c r="BD1711">
        <f>'Variable Tasks'!O215&amp;""</f>
        <v/>
      </c>
      <c r="BE1711">
        <f>IF('Variable Tasks'!K215="","",'Variable Tasks'!K215)</f>
        <v/>
      </c>
      <c r="BF1711">
        <f>IFERROR(MATCH(BA1711,Setup!$L$6:$L$9,0),5)</f>
        <v/>
      </c>
      <c r="BG1711">
        <f>IF(OR(AZ1711="Done",AZ1711="Cancelled"),1,0)</f>
        <v/>
      </c>
      <c r="BH1711">
        <f>IF(AND(AU1711&lt;&gt;"",ISNUMBER(AW1711)),1,0)</f>
        <v/>
      </c>
      <c r="BI1711">
        <f>IF(BH1711=0,0,IF(AND(AW1711&gt;='Tasks Filter'!$F$3,AW1711&lt;='Tasks Filter'!$F$4,OR('Tasks Filter'!$I$3="",ISNUMBER(SEARCH('Tasks Filter'!$I$3,AU1711))),OR('Tasks Filter'!$I$4="",BF1711=IFERROR(MATCH('Tasks Filter'!$I$4,Setup!$L$6:$L$9,0),0)),OR('Tasks Filter'!$I$5="Both",AND('Tasks Filter'!$I$5="Yes",BB1711="✓"),AND('Tasks Filter'!$I$5="No",BB1711&lt;&gt;"✓")),OR('Tasks Filter'!$L$3="",AV1711='Tasks Filter'!$L$3),OR('Tasks Filter'!$L$4="",AZ1711='Tasks Filter'!$L$4),OR('Tasks Filter'!$L$5="",BC1711='Tasks Filter'!$L$5),OR('Tasks Filter'!$O$3="",BD1711='Tasks Filter'!$O$3),OR('Tasks Filter'!$O$4="Yes",BG1711=0)),1,0))</f>
        <v/>
      </c>
      <c r="BJ1711">
        <f>IF(BH1711=0,"",IF('Tasks Filter'!$F$6="Descending",-1,1)*CHOOSE(MATCH('Tasks Filter'!$F$5,Lists!$G$2:$G$6,0),AW1711,BF1711,IFERROR(MATCH(AV1711,Setup!$F$6:$F$15,0),99),IFERROR(MATCH(BC1711,Setup!$H$6:$H$15,0),99),IFERROR(MATCH(AZ1711,Setup!$J$6:$J$11,0),99))*1E+9+(AW1711-40000)*10000+1710)</f>
        <v/>
      </c>
      <c r="BK1711">
        <f>IF(BI1711=1,BJ1711,"")</f>
        <v/>
      </c>
      <c r="BL1711">
        <f>IF(AND(BH1711=1,BG1711=0,N(AW1711)&lt;Setup!$D$7),(AW1711-40000)*10000+1710,"")</f>
        <v/>
      </c>
      <c r="BM1711">
        <f>IF(AND(BH1711=1,AZ1711&lt;&gt;"Cancelled",N(AW1711)&gt;=Dashboard!$AB$3,N(AW1711)&lt;=Dashboard!$AB$3+6),(AW1711-40000)*100000+BF1711*10000+1710,"")</f>
        <v/>
      </c>
      <c r="BN1711">
        <f>IF(AND(BH1711=1,AZ1711&lt;&gt;"Cancelled"),BF1711*10000+1710,"")</f>
        <v/>
      </c>
    </row>
    <row r="1712">
      <c r="AS1712" t="inlineStr">
        <is>
          <t>V</t>
        </is>
      </c>
      <c r="AT1712" t="n">
        <v>216</v>
      </c>
      <c r="AU1712">
        <f>'Variable Tasks'!C216&amp;""</f>
        <v/>
      </c>
      <c r="AV1712">
        <f>'Variable Tasks'!D216&amp;""</f>
        <v/>
      </c>
      <c r="AW1712">
        <f>IF('Variable Tasks'!E216="","",'Variable Tasks'!E216)</f>
        <v/>
      </c>
      <c r="AX1712">
        <f>IF('Variable Tasks'!G216="","",'Variable Tasks'!G216)</f>
        <v/>
      </c>
      <c r="AY1712">
        <f>IF('Variable Tasks'!H216="","",'Variable Tasks'!H216)</f>
        <v/>
      </c>
      <c r="AZ1712">
        <f>IF(AU1712="","",IF('Variable Tasks'!J216="","Not Started",'Variable Tasks'!J216))</f>
        <v/>
      </c>
      <c r="BA1712">
        <f>'Variable Tasks'!L216&amp;""</f>
        <v/>
      </c>
      <c r="BB1712">
        <f>'Variable Tasks'!M216&amp;""</f>
        <v/>
      </c>
      <c r="BC1712">
        <f>'Variable Tasks'!N216&amp;""</f>
        <v/>
      </c>
      <c r="BD1712">
        <f>'Variable Tasks'!O216&amp;""</f>
        <v/>
      </c>
      <c r="BE1712">
        <f>IF('Variable Tasks'!K216="","",'Variable Tasks'!K216)</f>
        <v/>
      </c>
      <c r="BF1712">
        <f>IFERROR(MATCH(BA1712,Setup!$L$6:$L$9,0),5)</f>
        <v/>
      </c>
      <c r="BG1712">
        <f>IF(OR(AZ1712="Done",AZ1712="Cancelled"),1,0)</f>
        <v/>
      </c>
      <c r="BH1712">
        <f>IF(AND(AU1712&lt;&gt;"",ISNUMBER(AW1712)),1,0)</f>
        <v/>
      </c>
      <c r="BI1712">
        <f>IF(BH1712=0,0,IF(AND(AW1712&gt;='Tasks Filter'!$F$3,AW1712&lt;='Tasks Filter'!$F$4,OR('Tasks Filter'!$I$3="",ISNUMBER(SEARCH('Tasks Filter'!$I$3,AU1712))),OR('Tasks Filter'!$I$4="",BF1712=IFERROR(MATCH('Tasks Filter'!$I$4,Setup!$L$6:$L$9,0),0)),OR('Tasks Filter'!$I$5="Both",AND('Tasks Filter'!$I$5="Yes",BB1712="✓"),AND('Tasks Filter'!$I$5="No",BB1712&lt;&gt;"✓")),OR('Tasks Filter'!$L$3="",AV1712='Tasks Filter'!$L$3),OR('Tasks Filter'!$L$4="",AZ1712='Tasks Filter'!$L$4),OR('Tasks Filter'!$L$5="",BC1712='Tasks Filter'!$L$5),OR('Tasks Filter'!$O$3="",BD1712='Tasks Filter'!$O$3),OR('Tasks Filter'!$O$4="Yes",BG1712=0)),1,0))</f>
        <v/>
      </c>
      <c r="BJ1712">
        <f>IF(BH1712=0,"",IF('Tasks Filter'!$F$6="Descending",-1,1)*CHOOSE(MATCH('Tasks Filter'!$F$5,Lists!$G$2:$G$6,0),AW1712,BF1712,IFERROR(MATCH(AV1712,Setup!$F$6:$F$15,0),99),IFERROR(MATCH(BC1712,Setup!$H$6:$H$15,0),99),IFERROR(MATCH(AZ1712,Setup!$J$6:$J$11,0),99))*1E+9+(AW1712-40000)*10000+1711)</f>
        <v/>
      </c>
      <c r="BK1712">
        <f>IF(BI1712=1,BJ1712,"")</f>
        <v/>
      </c>
      <c r="BL1712">
        <f>IF(AND(BH1712=1,BG1712=0,N(AW1712)&lt;Setup!$D$7),(AW1712-40000)*10000+1711,"")</f>
        <v/>
      </c>
      <c r="BM1712">
        <f>IF(AND(BH1712=1,AZ1712&lt;&gt;"Cancelled",N(AW1712)&gt;=Dashboard!$AB$3,N(AW1712)&lt;=Dashboard!$AB$3+6),(AW1712-40000)*100000+BF1712*10000+1711,"")</f>
        <v/>
      </c>
      <c r="BN1712">
        <f>IF(AND(BH1712=1,AZ1712&lt;&gt;"Cancelled"),BF1712*10000+1711,"")</f>
        <v/>
      </c>
    </row>
    <row r="1713">
      <c r="AS1713" t="inlineStr">
        <is>
          <t>V</t>
        </is>
      </c>
      <c r="AT1713" t="n">
        <v>217</v>
      </c>
      <c r="AU1713">
        <f>'Variable Tasks'!C217&amp;""</f>
        <v/>
      </c>
      <c r="AV1713">
        <f>'Variable Tasks'!D217&amp;""</f>
        <v/>
      </c>
      <c r="AW1713">
        <f>IF('Variable Tasks'!E217="","",'Variable Tasks'!E217)</f>
        <v/>
      </c>
      <c r="AX1713">
        <f>IF('Variable Tasks'!G217="","",'Variable Tasks'!G217)</f>
        <v/>
      </c>
      <c r="AY1713">
        <f>IF('Variable Tasks'!H217="","",'Variable Tasks'!H217)</f>
        <v/>
      </c>
      <c r="AZ1713">
        <f>IF(AU1713="","",IF('Variable Tasks'!J217="","Not Started",'Variable Tasks'!J217))</f>
        <v/>
      </c>
      <c r="BA1713">
        <f>'Variable Tasks'!L217&amp;""</f>
        <v/>
      </c>
      <c r="BB1713">
        <f>'Variable Tasks'!M217&amp;""</f>
        <v/>
      </c>
      <c r="BC1713">
        <f>'Variable Tasks'!N217&amp;""</f>
        <v/>
      </c>
      <c r="BD1713">
        <f>'Variable Tasks'!O217&amp;""</f>
        <v/>
      </c>
      <c r="BE1713">
        <f>IF('Variable Tasks'!K217="","",'Variable Tasks'!K217)</f>
        <v/>
      </c>
      <c r="BF1713">
        <f>IFERROR(MATCH(BA1713,Setup!$L$6:$L$9,0),5)</f>
        <v/>
      </c>
      <c r="BG1713">
        <f>IF(OR(AZ1713="Done",AZ1713="Cancelled"),1,0)</f>
        <v/>
      </c>
      <c r="BH1713">
        <f>IF(AND(AU1713&lt;&gt;"",ISNUMBER(AW1713)),1,0)</f>
        <v/>
      </c>
      <c r="BI1713">
        <f>IF(BH1713=0,0,IF(AND(AW1713&gt;='Tasks Filter'!$F$3,AW1713&lt;='Tasks Filter'!$F$4,OR('Tasks Filter'!$I$3="",ISNUMBER(SEARCH('Tasks Filter'!$I$3,AU1713))),OR('Tasks Filter'!$I$4="",BF1713=IFERROR(MATCH('Tasks Filter'!$I$4,Setup!$L$6:$L$9,0),0)),OR('Tasks Filter'!$I$5="Both",AND('Tasks Filter'!$I$5="Yes",BB1713="✓"),AND('Tasks Filter'!$I$5="No",BB1713&lt;&gt;"✓")),OR('Tasks Filter'!$L$3="",AV1713='Tasks Filter'!$L$3),OR('Tasks Filter'!$L$4="",AZ1713='Tasks Filter'!$L$4),OR('Tasks Filter'!$L$5="",BC1713='Tasks Filter'!$L$5),OR('Tasks Filter'!$O$3="",BD1713='Tasks Filter'!$O$3),OR('Tasks Filter'!$O$4="Yes",BG1713=0)),1,0))</f>
        <v/>
      </c>
      <c r="BJ1713">
        <f>IF(BH1713=0,"",IF('Tasks Filter'!$F$6="Descending",-1,1)*CHOOSE(MATCH('Tasks Filter'!$F$5,Lists!$G$2:$G$6,0),AW1713,BF1713,IFERROR(MATCH(AV1713,Setup!$F$6:$F$15,0),99),IFERROR(MATCH(BC1713,Setup!$H$6:$H$15,0),99),IFERROR(MATCH(AZ1713,Setup!$J$6:$J$11,0),99))*1E+9+(AW1713-40000)*10000+1712)</f>
        <v/>
      </c>
      <c r="BK1713">
        <f>IF(BI1713=1,BJ1713,"")</f>
        <v/>
      </c>
      <c r="BL1713">
        <f>IF(AND(BH1713=1,BG1713=0,N(AW1713)&lt;Setup!$D$7),(AW1713-40000)*10000+1712,"")</f>
        <v/>
      </c>
      <c r="BM1713">
        <f>IF(AND(BH1713=1,AZ1713&lt;&gt;"Cancelled",N(AW1713)&gt;=Dashboard!$AB$3,N(AW1713)&lt;=Dashboard!$AB$3+6),(AW1713-40000)*100000+BF1713*10000+1712,"")</f>
        <v/>
      </c>
      <c r="BN1713">
        <f>IF(AND(BH1713=1,AZ1713&lt;&gt;"Cancelled"),BF1713*10000+1712,"")</f>
        <v/>
      </c>
    </row>
    <row r="1714">
      <c r="AS1714" t="inlineStr">
        <is>
          <t>V</t>
        </is>
      </c>
      <c r="AT1714" t="n">
        <v>218</v>
      </c>
      <c r="AU1714">
        <f>'Variable Tasks'!C218&amp;""</f>
        <v/>
      </c>
      <c r="AV1714">
        <f>'Variable Tasks'!D218&amp;""</f>
        <v/>
      </c>
      <c r="AW1714">
        <f>IF('Variable Tasks'!E218="","",'Variable Tasks'!E218)</f>
        <v/>
      </c>
      <c r="AX1714">
        <f>IF('Variable Tasks'!G218="","",'Variable Tasks'!G218)</f>
        <v/>
      </c>
      <c r="AY1714">
        <f>IF('Variable Tasks'!H218="","",'Variable Tasks'!H218)</f>
        <v/>
      </c>
      <c r="AZ1714">
        <f>IF(AU1714="","",IF('Variable Tasks'!J218="","Not Started",'Variable Tasks'!J218))</f>
        <v/>
      </c>
      <c r="BA1714">
        <f>'Variable Tasks'!L218&amp;""</f>
        <v/>
      </c>
      <c r="BB1714">
        <f>'Variable Tasks'!M218&amp;""</f>
        <v/>
      </c>
      <c r="BC1714">
        <f>'Variable Tasks'!N218&amp;""</f>
        <v/>
      </c>
      <c r="BD1714">
        <f>'Variable Tasks'!O218&amp;""</f>
        <v/>
      </c>
      <c r="BE1714">
        <f>IF('Variable Tasks'!K218="","",'Variable Tasks'!K218)</f>
        <v/>
      </c>
      <c r="BF1714">
        <f>IFERROR(MATCH(BA1714,Setup!$L$6:$L$9,0),5)</f>
        <v/>
      </c>
      <c r="BG1714">
        <f>IF(OR(AZ1714="Done",AZ1714="Cancelled"),1,0)</f>
        <v/>
      </c>
      <c r="BH1714">
        <f>IF(AND(AU1714&lt;&gt;"",ISNUMBER(AW1714)),1,0)</f>
        <v/>
      </c>
      <c r="BI1714">
        <f>IF(BH1714=0,0,IF(AND(AW1714&gt;='Tasks Filter'!$F$3,AW1714&lt;='Tasks Filter'!$F$4,OR('Tasks Filter'!$I$3="",ISNUMBER(SEARCH('Tasks Filter'!$I$3,AU1714))),OR('Tasks Filter'!$I$4="",BF1714=IFERROR(MATCH('Tasks Filter'!$I$4,Setup!$L$6:$L$9,0),0)),OR('Tasks Filter'!$I$5="Both",AND('Tasks Filter'!$I$5="Yes",BB1714="✓"),AND('Tasks Filter'!$I$5="No",BB1714&lt;&gt;"✓")),OR('Tasks Filter'!$L$3="",AV1714='Tasks Filter'!$L$3),OR('Tasks Filter'!$L$4="",AZ1714='Tasks Filter'!$L$4),OR('Tasks Filter'!$L$5="",BC1714='Tasks Filter'!$L$5),OR('Tasks Filter'!$O$3="",BD1714='Tasks Filter'!$O$3),OR('Tasks Filter'!$O$4="Yes",BG1714=0)),1,0))</f>
        <v/>
      </c>
      <c r="BJ1714">
        <f>IF(BH1714=0,"",IF('Tasks Filter'!$F$6="Descending",-1,1)*CHOOSE(MATCH('Tasks Filter'!$F$5,Lists!$G$2:$G$6,0),AW1714,BF1714,IFERROR(MATCH(AV1714,Setup!$F$6:$F$15,0),99),IFERROR(MATCH(BC1714,Setup!$H$6:$H$15,0),99),IFERROR(MATCH(AZ1714,Setup!$J$6:$J$11,0),99))*1E+9+(AW1714-40000)*10000+1713)</f>
        <v/>
      </c>
      <c r="BK1714">
        <f>IF(BI1714=1,BJ1714,"")</f>
        <v/>
      </c>
      <c r="BL1714">
        <f>IF(AND(BH1714=1,BG1714=0,N(AW1714)&lt;Setup!$D$7),(AW1714-40000)*10000+1713,"")</f>
        <v/>
      </c>
      <c r="BM1714">
        <f>IF(AND(BH1714=1,AZ1714&lt;&gt;"Cancelled",N(AW1714)&gt;=Dashboard!$AB$3,N(AW1714)&lt;=Dashboard!$AB$3+6),(AW1714-40000)*100000+BF1714*10000+1713,"")</f>
        <v/>
      </c>
      <c r="BN1714">
        <f>IF(AND(BH1714=1,AZ1714&lt;&gt;"Cancelled"),BF1714*10000+1713,"")</f>
        <v/>
      </c>
    </row>
    <row r="1715">
      <c r="AS1715" t="inlineStr">
        <is>
          <t>V</t>
        </is>
      </c>
      <c r="AT1715" t="n">
        <v>219</v>
      </c>
      <c r="AU1715">
        <f>'Variable Tasks'!C219&amp;""</f>
        <v/>
      </c>
      <c r="AV1715">
        <f>'Variable Tasks'!D219&amp;""</f>
        <v/>
      </c>
      <c r="AW1715">
        <f>IF('Variable Tasks'!E219="","",'Variable Tasks'!E219)</f>
        <v/>
      </c>
      <c r="AX1715">
        <f>IF('Variable Tasks'!G219="","",'Variable Tasks'!G219)</f>
        <v/>
      </c>
      <c r="AY1715">
        <f>IF('Variable Tasks'!H219="","",'Variable Tasks'!H219)</f>
        <v/>
      </c>
      <c r="AZ1715">
        <f>IF(AU1715="","",IF('Variable Tasks'!J219="","Not Started",'Variable Tasks'!J219))</f>
        <v/>
      </c>
      <c r="BA1715">
        <f>'Variable Tasks'!L219&amp;""</f>
        <v/>
      </c>
      <c r="BB1715">
        <f>'Variable Tasks'!M219&amp;""</f>
        <v/>
      </c>
      <c r="BC1715">
        <f>'Variable Tasks'!N219&amp;""</f>
        <v/>
      </c>
      <c r="BD1715">
        <f>'Variable Tasks'!O219&amp;""</f>
        <v/>
      </c>
      <c r="BE1715">
        <f>IF('Variable Tasks'!K219="","",'Variable Tasks'!K219)</f>
        <v/>
      </c>
      <c r="BF1715">
        <f>IFERROR(MATCH(BA1715,Setup!$L$6:$L$9,0),5)</f>
        <v/>
      </c>
      <c r="BG1715">
        <f>IF(OR(AZ1715="Done",AZ1715="Cancelled"),1,0)</f>
        <v/>
      </c>
      <c r="BH1715">
        <f>IF(AND(AU1715&lt;&gt;"",ISNUMBER(AW1715)),1,0)</f>
        <v/>
      </c>
      <c r="BI1715">
        <f>IF(BH1715=0,0,IF(AND(AW1715&gt;='Tasks Filter'!$F$3,AW1715&lt;='Tasks Filter'!$F$4,OR('Tasks Filter'!$I$3="",ISNUMBER(SEARCH('Tasks Filter'!$I$3,AU1715))),OR('Tasks Filter'!$I$4="",BF1715=IFERROR(MATCH('Tasks Filter'!$I$4,Setup!$L$6:$L$9,0),0)),OR('Tasks Filter'!$I$5="Both",AND('Tasks Filter'!$I$5="Yes",BB1715="✓"),AND('Tasks Filter'!$I$5="No",BB1715&lt;&gt;"✓")),OR('Tasks Filter'!$L$3="",AV1715='Tasks Filter'!$L$3),OR('Tasks Filter'!$L$4="",AZ1715='Tasks Filter'!$L$4),OR('Tasks Filter'!$L$5="",BC1715='Tasks Filter'!$L$5),OR('Tasks Filter'!$O$3="",BD1715='Tasks Filter'!$O$3),OR('Tasks Filter'!$O$4="Yes",BG1715=0)),1,0))</f>
        <v/>
      </c>
      <c r="BJ1715">
        <f>IF(BH1715=0,"",IF('Tasks Filter'!$F$6="Descending",-1,1)*CHOOSE(MATCH('Tasks Filter'!$F$5,Lists!$G$2:$G$6,0),AW1715,BF1715,IFERROR(MATCH(AV1715,Setup!$F$6:$F$15,0),99),IFERROR(MATCH(BC1715,Setup!$H$6:$H$15,0),99),IFERROR(MATCH(AZ1715,Setup!$J$6:$J$11,0),99))*1E+9+(AW1715-40000)*10000+1714)</f>
        <v/>
      </c>
      <c r="BK1715">
        <f>IF(BI1715=1,BJ1715,"")</f>
        <v/>
      </c>
      <c r="BL1715">
        <f>IF(AND(BH1715=1,BG1715=0,N(AW1715)&lt;Setup!$D$7),(AW1715-40000)*10000+1714,"")</f>
        <v/>
      </c>
      <c r="BM1715">
        <f>IF(AND(BH1715=1,AZ1715&lt;&gt;"Cancelled",N(AW1715)&gt;=Dashboard!$AB$3,N(AW1715)&lt;=Dashboard!$AB$3+6),(AW1715-40000)*100000+BF1715*10000+1714,"")</f>
        <v/>
      </c>
      <c r="BN1715">
        <f>IF(AND(BH1715=1,AZ1715&lt;&gt;"Cancelled"),BF1715*10000+1714,"")</f>
        <v/>
      </c>
    </row>
    <row r="1716">
      <c r="AS1716" t="inlineStr">
        <is>
          <t>V</t>
        </is>
      </c>
      <c r="AT1716" t="n">
        <v>220</v>
      </c>
      <c r="AU1716">
        <f>'Variable Tasks'!C220&amp;""</f>
        <v/>
      </c>
      <c r="AV1716">
        <f>'Variable Tasks'!D220&amp;""</f>
        <v/>
      </c>
      <c r="AW1716">
        <f>IF('Variable Tasks'!E220="","",'Variable Tasks'!E220)</f>
        <v/>
      </c>
      <c r="AX1716">
        <f>IF('Variable Tasks'!G220="","",'Variable Tasks'!G220)</f>
        <v/>
      </c>
      <c r="AY1716">
        <f>IF('Variable Tasks'!H220="","",'Variable Tasks'!H220)</f>
        <v/>
      </c>
      <c r="AZ1716">
        <f>IF(AU1716="","",IF('Variable Tasks'!J220="","Not Started",'Variable Tasks'!J220))</f>
        <v/>
      </c>
      <c r="BA1716">
        <f>'Variable Tasks'!L220&amp;""</f>
        <v/>
      </c>
      <c r="BB1716">
        <f>'Variable Tasks'!M220&amp;""</f>
        <v/>
      </c>
      <c r="BC1716">
        <f>'Variable Tasks'!N220&amp;""</f>
        <v/>
      </c>
      <c r="BD1716">
        <f>'Variable Tasks'!O220&amp;""</f>
        <v/>
      </c>
      <c r="BE1716">
        <f>IF('Variable Tasks'!K220="","",'Variable Tasks'!K220)</f>
        <v/>
      </c>
      <c r="BF1716">
        <f>IFERROR(MATCH(BA1716,Setup!$L$6:$L$9,0),5)</f>
        <v/>
      </c>
      <c r="BG1716">
        <f>IF(OR(AZ1716="Done",AZ1716="Cancelled"),1,0)</f>
        <v/>
      </c>
      <c r="BH1716">
        <f>IF(AND(AU1716&lt;&gt;"",ISNUMBER(AW1716)),1,0)</f>
        <v/>
      </c>
      <c r="BI1716">
        <f>IF(BH1716=0,0,IF(AND(AW1716&gt;='Tasks Filter'!$F$3,AW1716&lt;='Tasks Filter'!$F$4,OR('Tasks Filter'!$I$3="",ISNUMBER(SEARCH('Tasks Filter'!$I$3,AU1716))),OR('Tasks Filter'!$I$4="",BF1716=IFERROR(MATCH('Tasks Filter'!$I$4,Setup!$L$6:$L$9,0),0)),OR('Tasks Filter'!$I$5="Both",AND('Tasks Filter'!$I$5="Yes",BB1716="✓"),AND('Tasks Filter'!$I$5="No",BB1716&lt;&gt;"✓")),OR('Tasks Filter'!$L$3="",AV1716='Tasks Filter'!$L$3),OR('Tasks Filter'!$L$4="",AZ1716='Tasks Filter'!$L$4),OR('Tasks Filter'!$L$5="",BC1716='Tasks Filter'!$L$5),OR('Tasks Filter'!$O$3="",BD1716='Tasks Filter'!$O$3),OR('Tasks Filter'!$O$4="Yes",BG1716=0)),1,0))</f>
        <v/>
      </c>
      <c r="BJ1716">
        <f>IF(BH1716=0,"",IF('Tasks Filter'!$F$6="Descending",-1,1)*CHOOSE(MATCH('Tasks Filter'!$F$5,Lists!$G$2:$G$6,0),AW1716,BF1716,IFERROR(MATCH(AV1716,Setup!$F$6:$F$15,0),99),IFERROR(MATCH(BC1716,Setup!$H$6:$H$15,0),99),IFERROR(MATCH(AZ1716,Setup!$J$6:$J$11,0),99))*1E+9+(AW1716-40000)*10000+1715)</f>
        <v/>
      </c>
      <c r="BK1716">
        <f>IF(BI1716=1,BJ1716,"")</f>
        <v/>
      </c>
      <c r="BL1716">
        <f>IF(AND(BH1716=1,BG1716=0,N(AW1716)&lt;Setup!$D$7),(AW1716-40000)*10000+1715,"")</f>
        <v/>
      </c>
      <c r="BM1716">
        <f>IF(AND(BH1716=1,AZ1716&lt;&gt;"Cancelled",N(AW1716)&gt;=Dashboard!$AB$3,N(AW1716)&lt;=Dashboard!$AB$3+6),(AW1716-40000)*100000+BF1716*10000+1715,"")</f>
        <v/>
      </c>
      <c r="BN1716">
        <f>IF(AND(BH1716=1,AZ1716&lt;&gt;"Cancelled"),BF1716*10000+1715,"")</f>
        <v/>
      </c>
    </row>
    <row r="1717">
      <c r="AS1717" t="inlineStr">
        <is>
          <t>V</t>
        </is>
      </c>
      <c r="AT1717" t="n">
        <v>221</v>
      </c>
      <c r="AU1717">
        <f>'Variable Tasks'!C221&amp;""</f>
        <v/>
      </c>
      <c r="AV1717">
        <f>'Variable Tasks'!D221&amp;""</f>
        <v/>
      </c>
      <c r="AW1717">
        <f>IF('Variable Tasks'!E221="","",'Variable Tasks'!E221)</f>
        <v/>
      </c>
      <c r="AX1717">
        <f>IF('Variable Tasks'!G221="","",'Variable Tasks'!G221)</f>
        <v/>
      </c>
      <c r="AY1717">
        <f>IF('Variable Tasks'!H221="","",'Variable Tasks'!H221)</f>
        <v/>
      </c>
      <c r="AZ1717">
        <f>IF(AU1717="","",IF('Variable Tasks'!J221="","Not Started",'Variable Tasks'!J221))</f>
        <v/>
      </c>
      <c r="BA1717">
        <f>'Variable Tasks'!L221&amp;""</f>
        <v/>
      </c>
      <c r="BB1717">
        <f>'Variable Tasks'!M221&amp;""</f>
        <v/>
      </c>
      <c r="BC1717">
        <f>'Variable Tasks'!N221&amp;""</f>
        <v/>
      </c>
      <c r="BD1717">
        <f>'Variable Tasks'!O221&amp;""</f>
        <v/>
      </c>
      <c r="BE1717">
        <f>IF('Variable Tasks'!K221="","",'Variable Tasks'!K221)</f>
        <v/>
      </c>
      <c r="BF1717">
        <f>IFERROR(MATCH(BA1717,Setup!$L$6:$L$9,0),5)</f>
        <v/>
      </c>
      <c r="BG1717">
        <f>IF(OR(AZ1717="Done",AZ1717="Cancelled"),1,0)</f>
        <v/>
      </c>
      <c r="BH1717">
        <f>IF(AND(AU1717&lt;&gt;"",ISNUMBER(AW1717)),1,0)</f>
        <v/>
      </c>
      <c r="BI1717">
        <f>IF(BH1717=0,0,IF(AND(AW1717&gt;='Tasks Filter'!$F$3,AW1717&lt;='Tasks Filter'!$F$4,OR('Tasks Filter'!$I$3="",ISNUMBER(SEARCH('Tasks Filter'!$I$3,AU1717))),OR('Tasks Filter'!$I$4="",BF1717=IFERROR(MATCH('Tasks Filter'!$I$4,Setup!$L$6:$L$9,0),0)),OR('Tasks Filter'!$I$5="Both",AND('Tasks Filter'!$I$5="Yes",BB1717="✓"),AND('Tasks Filter'!$I$5="No",BB1717&lt;&gt;"✓")),OR('Tasks Filter'!$L$3="",AV1717='Tasks Filter'!$L$3),OR('Tasks Filter'!$L$4="",AZ1717='Tasks Filter'!$L$4),OR('Tasks Filter'!$L$5="",BC1717='Tasks Filter'!$L$5),OR('Tasks Filter'!$O$3="",BD1717='Tasks Filter'!$O$3),OR('Tasks Filter'!$O$4="Yes",BG1717=0)),1,0))</f>
        <v/>
      </c>
      <c r="BJ1717">
        <f>IF(BH1717=0,"",IF('Tasks Filter'!$F$6="Descending",-1,1)*CHOOSE(MATCH('Tasks Filter'!$F$5,Lists!$G$2:$G$6,0),AW1717,BF1717,IFERROR(MATCH(AV1717,Setup!$F$6:$F$15,0),99),IFERROR(MATCH(BC1717,Setup!$H$6:$H$15,0),99),IFERROR(MATCH(AZ1717,Setup!$J$6:$J$11,0),99))*1E+9+(AW1717-40000)*10000+1716)</f>
        <v/>
      </c>
      <c r="BK1717">
        <f>IF(BI1717=1,BJ1717,"")</f>
        <v/>
      </c>
      <c r="BL1717">
        <f>IF(AND(BH1717=1,BG1717=0,N(AW1717)&lt;Setup!$D$7),(AW1717-40000)*10000+1716,"")</f>
        <v/>
      </c>
      <c r="BM1717">
        <f>IF(AND(BH1717=1,AZ1717&lt;&gt;"Cancelled",N(AW1717)&gt;=Dashboard!$AB$3,N(AW1717)&lt;=Dashboard!$AB$3+6),(AW1717-40000)*100000+BF1717*10000+1716,"")</f>
        <v/>
      </c>
      <c r="BN1717">
        <f>IF(AND(BH1717=1,AZ1717&lt;&gt;"Cancelled"),BF1717*10000+1716,"")</f>
        <v/>
      </c>
    </row>
    <row r="1718">
      <c r="AS1718" t="inlineStr">
        <is>
          <t>V</t>
        </is>
      </c>
      <c r="AT1718" t="n">
        <v>222</v>
      </c>
      <c r="AU1718">
        <f>'Variable Tasks'!C222&amp;""</f>
        <v/>
      </c>
      <c r="AV1718">
        <f>'Variable Tasks'!D222&amp;""</f>
        <v/>
      </c>
      <c r="AW1718">
        <f>IF('Variable Tasks'!E222="","",'Variable Tasks'!E222)</f>
        <v/>
      </c>
      <c r="AX1718">
        <f>IF('Variable Tasks'!G222="","",'Variable Tasks'!G222)</f>
        <v/>
      </c>
      <c r="AY1718">
        <f>IF('Variable Tasks'!H222="","",'Variable Tasks'!H222)</f>
        <v/>
      </c>
      <c r="AZ1718">
        <f>IF(AU1718="","",IF('Variable Tasks'!J222="","Not Started",'Variable Tasks'!J222))</f>
        <v/>
      </c>
      <c r="BA1718">
        <f>'Variable Tasks'!L222&amp;""</f>
        <v/>
      </c>
      <c r="BB1718">
        <f>'Variable Tasks'!M222&amp;""</f>
        <v/>
      </c>
      <c r="BC1718">
        <f>'Variable Tasks'!N222&amp;""</f>
        <v/>
      </c>
      <c r="BD1718">
        <f>'Variable Tasks'!O222&amp;""</f>
        <v/>
      </c>
      <c r="BE1718">
        <f>IF('Variable Tasks'!K222="","",'Variable Tasks'!K222)</f>
        <v/>
      </c>
      <c r="BF1718">
        <f>IFERROR(MATCH(BA1718,Setup!$L$6:$L$9,0),5)</f>
        <v/>
      </c>
      <c r="BG1718">
        <f>IF(OR(AZ1718="Done",AZ1718="Cancelled"),1,0)</f>
        <v/>
      </c>
      <c r="BH1718">
        <f>IF(AND(AU1718&lt;&gt;"",ISNUMBER(AW1718)),1,0)</f>
        <v/>
      </c>
      <c r="BI1718">
        <f>IF(BH1718=0,0,IF(AND(AW1718&gt;='Tasks Filter'!$F$3,AW1718&lt;='Tasks Filter'!$F$4,OR('Tasks Filter'!$I$3="",ISNUMBER(SEARCH('Tasks Filter'!$I$3,AU1718))),OR('Tasks Filter'!$I$4="",BF1718=IFERROR(MATCH('Tasks Filter'!$I$4,Setup!$L$6:$L$9,0),0)),OR('Tasks Filter'!$I$5="Both",AND('Tasks Filter'!$I$5="Yes",BB1718="✓"),AND('Tasks Filter'!$I$5="No",BB1718&lt;&gt;"✓")),OR('Tasks Filter'!$L$3="",AV1718='Tasks Filter'!$L$3),OR('Tasks Filter'!$L$4="",AZ1718='Tasks Filter'!$L$4),OR('Tasks Filter'!$L$5="",BC1718='Tasks Filter'!$L$5),OR('Tasks Filter'!$O$3="",BD1718='Tasks Filter'!$O$3),OR('Tasks Filter'!$O$4="Yes",BG1718=0)),1,0))</f>
        <v/>
      </c>
      <c r="BJ1718">
        <f>IF(BH1718=0,"",IF('Tasks Filter'!$F$6="Descending",-1,1)*CHOOSE(MATCH('Tasks Filter'!$F$5,Lists!$G$2:$G$6,0),AW1718,BF1718,IFERROR(MATCH(AV1718,Setup!$F$6:$F$15,0),99),IFERROR(MATCH(BC1718,Setup!$H$6:$H$15,0),99),IFERROR(MATCH(AZ1718,Setup!$J$6:$J$11,0),99))*1E+9+(AW1718-40000)*10000+1717)</f>
        <v/>
      </c>
      <c r="BK1718">
        <f>IF(BI1718=1,BJ1718,"")</f>
        <v/>
      </c>
      <c r="BL1718">
        <f>IF(AND(BH1718=1,BG1718=0,N(AW1718)&lt;Setup!$D$7),(AW1718-40000)*10000+1717,"")</f>
        <v/>
      </c>
      <c r="BM1718">
        <f>IF(AND(BH1718=1,AZ1718&lt;&gt;"Cancelled",N(AW1718)&gt;=Dashboard!$AB$3,N(AW1718)&lt;=Dashboard!$AB$3+6),(AW1718-40000)*100000+BF1718*10000+1717,"")</f>
        <v/>
      </c>
      <c r="BN1718">
        <f>IF(AND(BH1718=1,AZ1718&lt;&gt;"Cancelled"),BF1718*10000+1717,"")</f>
        <v/>
      </c>
    </row>
    <row r="1719">
      <c r="AS1719" t="inlineStr">
        <is>
          <t>V</t>
        </is>
      </c>
      <c r="AT1719" t="n">
        <v>223</v>
      </c>
      <c r="AU1719">
        <f>'Variable Tasks'!C223&amp;""</f>
        <v/>
      </c>
      <c r="AV1719">
        <f>'Variable Tasks'!D223&amp;""</f>
        <v/>
      </c>
      <c r="AW1719">
        <f>IF('Variable Tasks'!E223="","",'Variable Tasks'!E223)</f>
        <v/>
      </c>
      <c r="AX1719">
        <f>IF('Variable Tasks'!G223="","",'Variable Tasks'!G223)</f>
        <v/>
      </c>
      <c r="AY1719">
        <f>IF('Variable Tasks'!H223="","",'Variable Tasks'!H223)</f>
        <v/>
      </c>
      <c r="AZ1719">
        <f>IF(AU1719="","",IF('Variable Tasks'!J223="","Not Started",'Variable Tasks'!J223))</f>
        <v/>
      </c>
      <c r="BA1719">
        <f>'Variable Tasks'!L223&amp;""</f>
        <v/>
      </c>
      <c r="BB1719">
        <f>'Variable Tasks'!M223&amp;""</f>
        <v/>
      </c>
      <c r="BC1719">
        <f>'Variable Tasks'!N223&amp;""</f>
        <v/>
      </c>
      <c r="BD1719">
        <f>'Variable Tasks'!O223&amp;""</f>
        <v/>
      </c>
      <c r="BE1719">
        <f>IF('Variable Tasks'!K223="","",'Variable Tasks'!K223)</f>
        <v/>
      </c>
      <c r="BF1719">
        <f>IFERROR(MATCH(BA1719,Setup!$L$6:$L$9,0),5)</f>
        <v/>
      </c>
      <c r="BG1719">
        <f>IF(OR(AZ1719="Done",AZ1719="Cancelled"),1,0)</f>
        <v/>
      </c>
      <c r="BH1719">
        <f>IF(AND(AU1719&lt;&gt;"",ISNUMBER(AW1719)),1,0)</f>
        <v/>
      </c>
      <c r="BI1719">
        <f>IF(BH1719=0,0,IF(AND(AW1719&gt;='Tasks Filter'!$F$3,AW1719&lt;='Tasks Filter'!$F$4,OR('Tasks Filter'!$I$3="",ISNUMBER(SEARCH('Tasks Filter'!$I$3,AU1719))),OR('Tasks Filter'!$I$4="",BF1719=IFERROR(MATCH('Tasks Filter'!$I$4,Setup!$L$6:$L$9,0),0)),OR('Tasks Filter'!$I$5="Both",AND('Tasks Filter'!$I$5="Yes",BB1719="✓"),AND('Tasks Filter'!$I$5="No",BB1719&lt;&gt;"✓")),OR('Tasks Filter'!$L$3="",AV1719='Tasks Filter'!$L$3),OR('Tasks Filter'!$L$4="",AZ1719='Tasks Filter'!$L$4),OR('Tasks Filter'!$L$5="",BC1719='Tasks Filter'!$L$5),OR('Tasks Filter'!$O$3="",BD1719='Tasks Filter'!$O$3),OR('Tasks Filter'!$O$4="Yes",BG1719=0)),1,0))</f>
        <v/>
      </c>
      <c r="BJ1719">
        <f>IF(BH1719=0,"",IF('Tasks Filter'!$F$6="Descending",-1,1)*CHOOSE(MATCH('Tasks Filter'!$F$5,Lists!$G$2:$G$6,0),AW1719,BF1719,IFERROR(MATCH(AV1719,Setup!$F$6:$F$15,0),99),IFERROR(MATCH(BC1719,Setup!$H$6:$H$15,0),99),IFERROR(MATCH(AZ1719,Setup!$J$6:$J$11,0),99))*1E+9+(AW1719-40000)*10000+1718)</f>
        <v/>
      </c>
      <c r="BK1719">
        <f>IF(BI1719=1,BJ1719,"")</f>
        <v/>
      </c>
      <c r="BL1719">
        <f>IF(AND(BH1719=1,BG1719=0,N(AW1719)&lt;Setup!$D$7),(AW1719-40000)*10000+1718,"")</f>
        <v/>
      </c>
      <c r="BM1719">
        <f>IF(AND(BH1719=1,AZ1719&lt;&gt;"Cancelled",N(AW1719)&gt;=Dashboard!$AB$3,N(AW1719)&lt;=Dashboard!$AB$3+6),(AW1719-40000)*100000+BF1719*10000+1718,"")</f>
        <v/>
      </c>
      <c r="BN1719">
        <f>IF(AND(BH1719=1,AZ1719&lt;&gt;"Cancelled"),BF1719*10000+1718,"")</f>
        <v/>
      </c>
    </row>
    <row r="1720">
      <c r="AS1720" t="inlineStr">
        <is>
          <t>V</t>
        </is>
      </c>
      <c r="AT1720" t="n">
        <v>224</v>
      </c>
      <c r="AU1720">
        <f>'Variable Tasks'!C224&amp;""</f>
        <v/>
      </c>
      <c r="AV1720">
        <f>'Variable Tasks'!D224&amp;""</f>
        <v/>
      </c>
      <c r="AW1720">
        <f>IF('Variable Tasks'!E224="","",'Variable Tasks'!E224)</f>
        <v/>
      </c>
      <c r="AX1720">
        <f>IF('Variable Tasks'!G224="","",'Variable Tasks'!G224)</f>
        <v/>
      </c>
      <c r="AY1720">
        <f>IF('Variable Tasks'!H224="","",'Variable Tasks'!H224)</f>
        <v/>
      </c>
      <c r="AZ1720">
        <f>IF(AU1720="","",IF('Variable Tasks'!J224="","Not Started",'Variable Tasks'!J224))</f>
        <v/>
      </c>
      <c r="BA1720">
        <f>'Variable Tasks'!L224&amp;""</f>
        <v/>
      </c>
      <c r="BB1720">
        <f>'Variable Tasks'!M224&amp;""</f>
        <v/>
      </c>
      <c r="BC1720">
        <f>'Variable Tasks'!N224&amp;""</f>
        <v/>
      </c>
      <c r="BD1720">
        <f>'Variable Tasks'!O224&amp;""</f>
        <v/>
      </c>
      <c r="BE1720">
        <f>IF('Variable Tasks'!K224="","",'Variable Tasks'!K224)</f>
        <v/>
      </c>
      <c r="BF1720">
        <f>IFERROR(MATCH(BA1720,Setup!$L$6:$L$9,0),5)</f>
        <v/>
      </c>
      <c r="BG1720">
        <f>IF(OR(AZ1720="Done",AZ1720="Cancelled"),1,0)</f>
        <v/>
      </c>
      <c r="BH1720">
        <f>IF(AND(AU1720&lt;&gt;"",ISNUMBER(AW1720)),1,0)</f>
        <v/>
      </c>
      <c r="BI1720">
        <f>IF(BH1720=0,0,IF(AND(AW1720&gt;='Tasks Filter'!$F$3,AW1720&lt;='Tasks Filter'!$F$4,OR('Tasks Filter'!$I$3="",ISNUMBER(SEARCH('Tasks Filter'!$I$3,AU1720))),OR('Tasks Filter'!$I$4="",BF1720=IFERROR(MATCH('Tasks Filter'!$I$4,Setup!$L$6:$L$9,0),0)),OR('Tasks Filter'!$I$5="Both",AND('Tasks Filter'!$I$5="Yes",BB1720="✓"),AND('Tasks Filter'!$I$5="No",BB1720&lt;&gt;"✓")),OR('Tasks Filter'!$L$3="",AV1720='Tasks Filter'!$L$3),OR('Tasks Filter'!$L$4="",AZ1720='Tasks Filter'!$L$4),OR('Tasks Filter'!$L$5="",BC1720='Tasks Filter'!$L$5),OR('Tasks Filter'!$O$3="",BD1720='Tasks Filter'!$O$3),OR('Tasks Filter'!$O$4="Yes",BG1720=0)),1,0))</f>
        <v/>
      </c>
      <c r="BJ1720">
        <f>IF(BH1720=0,"",IF('Tasks Filter'!$F$6="Descending",-1,1)*CHOOSE(MATCH('Tasks Filter'!$F$5,Lists!$G$2:$G$6,0),AW1720,BF1720,IFERROR(MATCH(AV1720,Setup!$F$6:$F$15,0),99),IFERROR(MATCH(BC1720,Setup!$H$6:$H$15,0),99),IFERROR(MATCH(AZ1720,Setup!$J$6:$J$11,0),99))*1E+9+(AW1720-40000)*10000+1719)</f>
        <v/>
      </c>
      <c r="BK1720">
        <f>IF(BI1720=1,BJ1720,"")</f>
        <v/>
      </c>
      <c r="BL1720">
        <f>IF(AND(BH1720=1,BG1720=0,N(AW1720)&lt;Setup!$D$7),(AW1720-40000)*10000+1719,"")</f>
        <v/>
      </c>
      <c r="BM1720">
        <f>IF(AND(BH1720=1,AZ1720&lt;&gt;"Cancelled",N(AW1720)&gt;=Dashboard!$AB$3,N(AW1720)&lt;=Dashboard!$AB$3+6),(AW1720-40000)*100000+BF1720*10000+1719,"")</f>
        <v/>
      </c>
      <c r="BN1720">
        <f>IF(AND(BH1720=1,AZ1720&lt;&gt;"Cancelled"),BF1720*10000+1719,"")</f>
        <v/>
      </c>
    </row>
    <row r="1721">
      <c r="AS1721" t="inlineStr">
        <is>
          <t>V</t>
        </is>
      </c>
      <c r="AT1721" t="n">
        <v>225</v>
      </c>
      <c r="AU1721">
        <f>'Variable Tasks'!C225&amp;""</f>
        <v/>
      </c>
      <c r="AV1721">
        <f>'Variable Tasks'!D225&amp;""</f>
        <v/>
      </c>
      <c r="AW1721">
        <f>IF('Variable Tasks'!E225="","",'Variable Tasks'!E225)</f>
        <v/>
      </c>
      <c r="AX1721">
        <f>IF('Variable Tasks'!G225="","",'Variable Tasks'!G225)</f>
        <v/>
      </c>
      <c r="AY1721">
        <f>IF('Variable Tasks'!H225="","",'Variable Tasks'!H225)</f>
        <v/>
      </c>
      <c r="AZ1721">
        <f>IF(AU1721="","",IF('Variable Tasks'!J225="","Not Started",'Variable Tasks'!J225))</f>
        <v/>
      </c>
      <c r="BA1721">
        <f>'Variable Tasks'!L225&amp;""</f>
        <v/>
      </c>
      <c r="BB1721">
        <f>'Variable Tasks'!M225&amp;""</f>
        <v/>
      </c>
      <c r="BC1721">
        <f>'Variable Tasks'!N225&amp;""</f>
        <v/>
      </c>
      <c r="BD1721">
        <f>'Variable Tasks'!O225&amp;""</f>
        <v/>
      </c>
      <c r="BE1721">
        <f>IF('Variable Tasks'!K225="","",'Variable Tasks'!K225)</f>
        <v/>
      </c>
      <c r="BF1721">
        <f>IFERROR(MATCH(BA1721,Setup!$L$6:$L$9,0),5)</f>
        <v/>
      </c>
      <c r="BG1721">
        <f>IF(OR(AZ1721="Done",AZ1721="Cancelled"),1,0)</f>
        <v/>
      </c>
      <c r="BH1721">
        <f>IF(AND(AU1721&lt;&gt;"",ISNUMBER(AW1721)),1,0)</f>
        <v/>
      </c>
      <c r="BI1721">
        <f>IF(BH1721=0,0,IF(AND(AW1721&gt;='Tasks Filter'!$F$3,AW1721&lt;='Tasks Filter'!$F$4,OR('Tasks Filter'!$I$3="",ISNUMBER(SEARCH('Tasks Filter'!$I$3,AU1721))),OR('Tasks Filter'!$I$4="",BF1721=IFERROR(MATCH('Tasks Filter'!$I$4,Setup!$L$6:$L$9,0),0)),OR('Tasks Filter'!$I$5="Both",AND('Tasks Filter'!$I$5="Yes",BB1721="✓"),AND('Tasks Filter'!$I$5="No",BB1721&lt;&gt;"✓")),OR('Tasks Filter'!$L$3="",AV1721='Tasks Filter'!$L$3),OR('Tasks Filter'!$L$4="",AZ1721='Tasks Filter'!$L$4),OR('Tasks Filter'!$L$5="",BC1721='Tasks Filter'!$L$5),OR('Tasks Filter'!$O$3="",BD1721='Tasks Filter'!$O$3),OR('Tasks Filter'!$O$4="Yes",BG1721=0)),1,0))</f>
        <v/>
      </c>
      <c r="BJ1721">
        <f>IF(BH1721=0,"",IF('Tasks Filter'!$F$6="Descending",-1,1)*CHOOSE(MATCH('Tasks Filter'!$F$5,Lists!$G$2:$G$6,0),AW1721,BF1721,IFERROR(MATCH(AV1721,Setup!$F$6:$F$15,0),99),IFERROR(MATCH(BC1721,Setup!$H$6:$H$15,0),99),IFERROR(MATCH(AZ1721,Setup!$J$6:$J$11,0),99))*1E+9+(AW1721-40000)*10000+1720)</f>
        <v/>
      </c>
      <c r="BK1721">
        <f>IF(BI1721=1,BJ1721,"")</f>
        <v/>
      </c>
      <c r="BL1721">
        <f>IF(AND(BH1721=1,BG1721=0,N(AW1721)&lt;Setup!$D$7),(AW1721-40000)*10000+1720,"")</f>
        <v/>
      </c>
      <c r="BM1721">
        <f>IF(AND(BH1721=1,AZ1721&lt;&gt;"Cancelled",N(AW1721)&gt;=Dashboard!$AB$3,N(AW1721)&lt;=Dashboard!$AB$3+6),(AW1721-40000)*100000+BF1721*10000+1720,"")</f>
        <v/>
      </c>
      <c r="BN1721">
        <f>IF(AND(BH1721=1,AZ1721&lt;&gt;"Cancelled"),BF1721*10000+1720,"")</f>
        <v/>
      </c>
    </row>
    <row r="1722">
      <c r="AS1722" t="inlineStr">
        <is>
          <t>V</t>
        </is>
      </c>
      <c r="AT1722" t="n">
        <v>226</v>
      </c>
      <c r="AU1722">
        <f>'Variable Tasks'!C226&amp;""</f>
        <v/>
      </c>
      <c r="AV1722">
        <f>'Variable Tasks'!D226&amp;""</f>
        <v/>
      </c>
      <c r="AW1722">
        <f>IF('Variable Tasks'!E226="","",'Variable Tasks'!E226)</f>
        <v/>
      </c>
      <c r="AX1722">
        <f>IF('Variable Tasks'!G226="","",'Variable Tasks'!G226)</f>
        <v/>
      </c>
      <c r="AY1722">
        <f>IF('Variable Tasks'!H226="","",'Variable Tasks'!H226)</f>
        <v/>
      </c>
      <c r="AZ1722">
        <f>IF(AU1722="","",IF('Variable Tasks'!J226="","Not Started",'Variable Tasks'!J226))</f>
        <v/>
      </c>
      <c r="BA1722">
        <f>'Variable Tasks'!L226&amp;""</f>
        <v/>
      </c>
      <c r="BB1722">
        <f>'Variable Tasks'!M226&amp;""</f>
        <v/>
      </c>
      <c r="BC1722">
        <f>'Variable Tasks'!N226&amp;""</f>
        <v/>
      </c>
      <c r="BD1722">
        <f>'Variable Tasks'!O226&amp;""</f>
        <v/>
      </c>
      <c r="BE1722">
        <f>IF('Variable Tasks'!K226="","",'Variable Tasks'!K226)</f>
        <v/>
      </c>
      <c r="BF1722">
        <f>IFERROR(MATCH(BA1722,Setup!$L$6:$L$9,0),5)</f>
        <v/>
      </c>
      <c r="BG1722">
        <f>IF(OR(AZ1722="Done",AZ1722="Cancelled"),1,0)</f>
        <v/>
      </c>
      <c r="BH1722">
        <f>IF(AND(AU1722&lt;&gt;"",ISNUMBER(AW1722)),1,0)</f>
        <v/>
      </c>
      <c r="BI1722">
        <f>IF(BH1722=0,0,IF(AND(AW1722&gt;='Tasks Filter'!$F$3,AW1722&lt;='Tasks Filter'!$F$4,OR('Tasks Filter'!$I$3="",ISNUMBER(SEARCH('Tasks Filter'!$I$3,AU1722))),OR('Tasks Filter'!$I$4="",BF1722=IFERROR(MATCH('Tasks Filter'!$I$4,Setup!$L$6:$L$9,0),0)),OR('Tasks Filter'!$I$5="Both",AND('Tasks Filter'!$I$5="Yes",BB1722="✓"),AND('Tasks Filter'!$I$5="No",BB1722&lt;&gt;"✓")),OR('Tasks Filter'!$L$3="",AV1722='Tasks Filter'!$L$3),OR('Tasks Filter'!$L$4="",AZ1722='Tasks Filter'!$L$4),OR('Tasks Filter'!$L$5="",BC1722='Tasks Filter'!$L$5),OR('Tasks Filter'!$O$3="",BD1722='Tasks Filter'!$O$3),OR('Tasks Filter'!$O$4="Yes",BG1722=0)),1,0))</f>
        <v/>
      </c>
      <c r="BJ1722">
        <f>IF(BH1722=0,"",IF('Tasks Filter'!$F$6="Descending",-1,1)*CHOOSE(MATCH('Tasks Filter'!$F$5,Lists!$G$2:$G$6,0),AW1722,BF1722,IFERROR(MATCH(AV1722,Setup!$F$6:$F$15,0),99),IFERROR(MATCH(BC1722,Setup!$H$6:$H$15,0),99),IFERROR(MATCH(AZ1722,Setup!$J$6:$J$11,0),99))*1E+9+(AW1722-40000)*10000+1721)</f>
        <v/>
      </c>
      <c r="BK1722">
        <f>IF(BI1722=1,BJ1722,"")</f>
        <v/>
      </c>
      <c r="BL1722">
        <f>IF(AND(BH1722=1,BG1722=0,N(AW1722)&lt;Setup!$D$7),(AW1722-40000)*10000+1721,"")</f>
        <v/>
      </c>
      <c r="BM1722">
        <f>IF(AND(BH1722=1,AZ1722&lt;&gt;"Cancelled",N(AW1722)&gt;=Dashboard!$AB$3,N(AW1722)&lt;=Dashboard!$AB$3+6),(AW1722-40000)*100000+BF1722*10000+1721,"")</f>
        <v/>
      </c>
      <c r="BN1722">
        <f>IF(AND(BH1722=1,AZ1722&lt;&gt;"Cancelled"),BF1722*10000+1721,"")</f>
        <v/>
      </c>
    </row>
    <row r="1723">
      <c r="AS1723" t="inlineStr">
        <is>
          <t>V</t>
        </is>
      </c>
      <c r="AT1723" t="n">
        <v>227</v>
      </c>
      <c r="AU1723">
        <f>'Variable Tasks'!C227&amp;""</f>
        <v/>
      </c>
      <c r="AV1723">
        <f>'Variable Tasks'!D227&amp;""</f>
        <v/>
      </c>
      <c r="AW1723">
        <f>IF('Variable Tasks'!E227="","",'Variable Tasks'!E227)</f>
        <v/>
      </c>
      <c r="AX1723">
        <f>IF('Variable Tasks'!G227="","",'Variable Tasks'!G227)</f>
        <v/>
      </c>
      <c r="AY1723">
        <f>IF('Variable Tasks'!H227="","",'Variable Tasks'!H227)</f>
        <v/>
      </c>
      <c r="AZ1723">
        <f>IF(AU1723="","",IF('Variable Tasks'!J227="","Not Started",'Variable Tasks'!J227))</f>
        <v/>
      </c>
      <c r="BA1723">
        <f>'Variable Tasks'!L227&amp;""</f>
        <v/>
      </c>
      <c r="BB1723">
        <f>'Variable Tasks'!M227&amp;""</f>
        <v/>
      </c>
      <c r="BC1723">
        <f>'Variable Tasks'!N227&amp;""</f>
        <v/>
      </c>
      <c r="BD1723">
        <f>'Variable Tasks'!O227&amp;""</f>
        <v/>
      </c>
      <c r="BE1723">
        <f>IF('Variable Tasks'!K227="","",'Variable Tasks'!K227)</f>
        <v/>
      </c>
      <c r="BF1723">
        <f>IFERROR(MATCH(BA1723,Setup!$L$6:$L$9,0),5)</f>
        <v/>
      </c>
      <c r="BG1723">
        <f>IF(OR(AZ1723="Done",AZ1723="Cancelled"),1,0)</f>
        <v/>
      </c>
      <c r="BH1723">
        <f>IF(AND(AU1723&lt;&gt;"",ISNUMBER(AW1723)),1,0)</f>
        <v/>
      </c>
      <c r="BI1723">
        <f>IF(BH1723=0,0,IF(AND(AW1723&gt;='Tasks Filter'!$F$3,AW1723&lt;='Tasks Filter'!$F$4,OR('Tasks Filter'!$I$3="",ISNUMBER(SEARCH('Tasks Filter'!$I$3,AU1723))),OR('Tasks Filter'!$I$4="",BF1723=IFERROR(MATCH('Tasks Filter'!$I$4,Setup!$L$6:$L$9,0),0)),OR('Tasks Filter'!$I$5="Both",AND('Tasks Filter'!$I$5="Yes",BB1723="✓"),AND('Tasks Filter'!$I$5="No",BB1723&lt;&gt;"✓")),OR('Tasks Filter'!$L$3="",AV1723='Tasks Filter'!$L$3),OR('Tasks Filter'!$L$4="",AZ1723='Tasks Filter'!$L$4),OR('Tasks Filter'!$L$5="",BC1723='Tasks Filter'!$L$5),OR('Tasks Filter'!$O$3="",BD1723='Tasks Filter'!$O$3),OR('Tasks Filter'!$O$4="Yes",BG1723=0)),1,0))</f>
        <v/>
      </c>
      <c r="BJ1723">
        <f>IF(BH1723=0,"",IF('Tasks Filter'!$F$6="Descending",-1,1)*CHOOSE(MATCH('Tasks Filter'!$F$5,Lists!$G$2:$G$6,0),AW1723,BF1723,IFERROR(MATCH(AV1723,Setup!$F$6:$F$15,0),99),IFERROR(MATCH(BC1723,Setup!$H$6:$H$15,0),99),IFERROR(MATCH(AZ1723,Setup!$J$6:$J$11,0),99))*1E+9+(AW1723-40000)*10000+1722)</f>
        <v/>
      </c>
      <c r="BK1723">
        <f>IF(BI1723=1,BJ1723,"")</f>
        <v/>
      </c>
      <c r="BL1723">
        <f>IF(AND(BH1723=1,BG1723=0,N(AW1723)&lt;Setup!$D$7),(AW1723-40000)*10000+1722,"")</f>
        <v/>
      </c>
      <c r="BM1723">
        <f>IF(AND(BH1723=1,AZ1723&lt;&gt;"Cancelled",N(AW1723)&gt;=Dashboard!$AB$3,N(AW1723)&lt;=Dashboard!$AB$3+6),(AW1723-40000)*100000+BF1723*10000+1722,"")</f>
        <v/>
      </c>
      <c r="BN1723">
        <f>IF(AND(BH1723=1,AZ1723&lt;&gt;"Cancelled"),BF1723*10000+1722,"")</f>
        <v/>
      </c>
    </row>
    <row r="1724">
      <c r="AS1724" t="inlineStr">
        <is>
          <t>V</t>
        </is>
      </c>
      <c r="AT1724" t="n">
        <v>228</v>
      </c>
      <c r="AU1724">
        <f>'Variable Tasks'!C228&amp;""</f>
        <v/>
      </c>
      <c r="AV1724">
        <f>'Variable Tasks'!D228&amp;""</f>
        <v/>
      </c>
      <c r="AW1724">
        <f>IF('Variable Tasks'!E228="","",'Variable Tasks'!E228)</f>
        <v/>
      </c>
      <c r="AX1724">
        <f>IF('Variable Tasks'!G228="","",'Variable Tasks'!G228)</f>
        <v/>
      </c>
      <c r="AY1724">
        <f>IF('Variable Tasks'!H228="","",'Variable Tasks'!H228)</f>
        <v/>
      </c>
      <c r="AZ1724">
        <f>IF(AU1724="","",IF('Variable Tasks'!J228="","Not Started",'Variable Tasks'!J228))</f>
        <v/>
      </c>
      <c r="BA1724">
        <f>'Variable Tasks'!L228&amp;""</f>
        <v/>
      </c>
      <c r="BB1724">
        <f>'Variable Tasks'!M228&amp;""</f>
        <v/>
      </c>
      <c r="BC1724">
        <f>'Variable Tasks'!N228&amp;""</f>
        <v/>
      </c>
      <c r="BD1724">
        <f>'Variable Tasks'!O228&amp;""</f>
        <v/>
      </c>
      <c r="BE1724">
        <f>IF('Variable Tasks'!K228="","",'Variable Tasks'!K228)</f>
        <v/>
      </c>
      <c r="BF1724">
        <f>IFERROR(MATCH(BA1724,Setup!$L$6:$L$9,0),5)</f>
        <v/>
      </c>
      <c r="BG1724">
        <f>IF(OR(AZ1724="Done",AZ1724="Cancelled"),1,0)</f>
        <v/>
      </c>
      <c r="BH1724">
        <f>IF(AND(AU1724&lt;&gt;"",ISNUMBER(AW1724)),1,0)</f>
        <v/>
      </c>
      <c r="BI1724">
        <f>IF(BH1724=0,0,IF(AND(AW1724&gt;='Tasks Filter'!$F$3,AW1724&lt;='Tasks Filter'!$F$4,OR('Tasks Filter'!$I$3="",ISNUMBER(SEARCH('Tasks Filter'!$I$3,AU1724))),OR('Tasks Filter'!$I$4="",BF1724=IFERROR(MATCH('Tasks Filter'!$I$4,Setup!$L$6:$L$9,0),0)),OR('Tasks Filter'!$I$5="Both",AND('Tasks Filter'!$I$5="Yes",BB1724="✓"),AND('Tasks Filter'!$I$5="No",BB1724&lt;&gt;"✓")),OR('Tasks Filter'!$L$3="",AV1724='Tasks Filter'!$L$3),OR('Tasks Filter'!$L$4="",AZ1724='Tasks Filter'!$L$4),OR('Tasks Filter'!$L$5="",BC1724='Tasks Filter'!$L$5),OR('Tasks Filter'!$O$3="",BD1724='Tasks Filter'!$O$3),OR('Tasks Filter'!$O$4="Yes",BG1724=0)),1,0))</f>
        <v/>
      </c>
      <c r="BJ1724">
        <f>IF(BH1724=0,"",IF('Tasks Filter'!$F$6="Descending",-1,1)*CHOOSE(MATCH('Tasks Filter'!$F$5,Lists!$G$2:$G$6,0),AW1724,BF1724,IFERROR(MATCH(AV1724,Setup!$F$6:$F$15,0),99),IFERROR(MATCH(BC1724,Setup!$H$6:$H$15,0),99),IFERROR(MATCH(AZ1724,Setup!$J$6:$J$11,0),99))*1E+9+(AW1724-40000)*10000+1723)</f>
        <v/>
      </c>
      <c r="BK1724">
        <f>IF(BI1724=1,BJ1724,"")</f>
        <v/>
      </c>
      <c r="BL1724">
        <f>IF(AND(BH1724=1,BG1724=0,N(AW1724)&lt;Setup!$D$7),(AW1724-40000)*10000+1723,"")</f>
        <v/>
      </c>
      <c r="BM1724">
        <f>IF(AND(BH1724=1,AZ1724&lt;&gt;"Cancelled",N(AW1724)&gt;=Dashboard!$AB$3,N(AW1724)&lt;=Dashboard!$AB$3+6),(AW1724-40000)*100000+BF1724*10000+1723,"")</f>
        <v/>
      </c>
      <c r="BN1724">
        <f>IF(AND(BH1724=1,AZ1724&lt;&gt;"Cancelled"),BF1724*10000+1723,"")</f>
        <v/>
      </c>
    </row>
    <row r="1725">
      <c r="AS1725" t="inlineStr">
        <is>
          <t>V</t>
        </is>
      </c>
      <c r="AT1725" t="n">
        <v>229</v>
      </c>
      <c r="AU1725">
        <f>'Variable Tasks'!C229&amp;""</f>
        <v/>
      </c>
      <c r="AV1725">
        <f>'Variable Tasks'!D229&amp;""</f>
        <v/>
      </c>
      <c r="AW1725">
        <f>IF('Variable Tasks'!E229="","",'Variable Tasks'!E229)</f>
        <v/>
      </c>
      <c r="AX1725">
        <f>IF('Variable Tasks'!G229="","",'Variable Tasks'!G229)</f>
        <v/>
      </c>
      <c r="AY1725">
        <f>IF('Variable Tasks'!H229="","",'Variable Tasks'!H229)</f>
        <v/>
      </c>
      <c r="AZ1725">
        <f>IF(AU1725="","",IF('Variable Tasks'!J229="","Not Started",'Variable Tasks'!J229))</f>
        <v/>
      </c>
      <c r="BA1725">
        <f>'Variable Tasks'!L229&amp;""</f>
        <v/>
      </c>
      <c r="BB1725">
        <f>'Variable Tasks'!M229&amp;""</f>
        <v/>
      </c>
      <c r="BC1725">
        <f>'Variable Tasks'!N229&amp;""</f>
        <v/>
      </c>
      <c r="BD1725">
        <f>'Variable Tasks'!O229&amp;""</f>
        <v/>
      </c>
      <c r="BE1725">
        <f>IF('Variable Tasks'!K229="","",'Variable Tasks'!K229)</f>
        <v/>
      </c>
      <c r="BF1725">
        <f>IFERROR(MATCH(BA1725,Setup!$L$6:$L$9,0),5)</f>
        <v/>
      </c>
      <c r="BG1725">
        <f>IF(OR(AZ1725="Done",AZ1725="Cancelled"),1,0)</f>
        <v/>
      </c>
      <c r="BH1725">
        <f>IF(AND(AU1725&lt;&gt;"",ISNUMBER(AW1725)),1,0)</f>
        <v/>
      </c>
      <c r="BI1725">
        <f>IF(BH1725=0,0,IF(AND(AW1725&gt;='Tasks Filter'!$F$3,AW1725&lt;='Tasks Filter'!$F$4,OR('Tasks Filter'!$I$3="",ISNUMBER(SEARCH('Tasks Filter'!$I$3,AU1725))),OR('Tasks Filter'!$I$4="",BF1725=IFERROR(MATCH('Tasks Filter'!$I$4,Setup!$L$6:$L$9,0),0)),OR('Tasks Filter'!$I$5="Both",AND('Tasks Filter'!$I$5="Yes",BB1725="✓"),AND('Tasks Filter'!$I$5="No",BB1725&lt;&gt;"✓")),OR('Tasks Filter'!$L$3="",AV1725='Tasks Filter'!$L$3),OR('Tasks Filter'!$L$4="",AZ1725='Tasks Filter'!$L$4),OR('Tasks Filter'!$L$5="",BC1725='Tasks Filter'!$L$5),OR('Tasks Filter'!$O$3="",BD1725='Tasks Filter'!$O$3),OR('Tasks Filter'!$O$4="Yes",BG1725=0)),1,0))</f>
        <v/>
      </c>
      <c r="BJ1725">
        <f>IF(BH1725=0,"",IF('Tasks Filter'!$F$6="Descending",-1,1)*CHOOSE(MATCH('Tasks Filter'!$F$5,Lists!$G$2:$G$6,0),AW1725,BF1725,IFERROR(MATCH(AV1725,Setup!$F$6:$F$15,0),99),IFERROR(MATCH(BC1725,Setup!$H$6:$H$15,0),99),IFERROR(MATCH(AZ1725,Setup!$J$6:$J$11,0),99))*1E+9+(AW1725-40000)*10000+1724)</f>
        <v/>
      </c>
      <c r="BK1725">
        <f>IF(BI1725=1,BJ1725,"")</f>
        <v/>
      </c>
      <c r="BL1725">
        <f>IF(AND(BH1725=1,BG1725=0,N(AW1725)&lt;Setup!$D$7),(AW1725-40000)*10000+1724,"")</f>
        <v/>
      </c>
      <c r="BM1725">
        <f>IF(AND(BH1725=1,AZ1725&lt;&gt;"Cancelled",N(AW1725)&gt;=Dashboard!$AB$3,N(AW1725)&lt;=Dashboard!$AB$3+6),(AW1725-40000)*100000+BF1725*10000+1724,"")</f>
        <v/>
      </c>
      <c r="BN1725">
        <f>IF(AND(BH1725=1,AZ1725&lt;&gt;"Cancelled"),BF1725*10000+1724,"")</f>
        <v/>
      </c>
    </row>
    <row r="1726">
      <c r="AS1726" t="inlineStr">
        <is>
          <t>V</t>
        </is>
      </c>
      <c r="AT1726" t="n">
        <v>230</v>
      </c>
      <c r="AU1726">
        <f>'Variable Tasks'!C230&amp;""</f>
        <v/>
      </c>
      <c r="AV1726">
        <f>'Variable Tasks'!D230&amp;""</f>
        <v/>
      </c>
      <c r="AW1726">
        <f>IF('Variable Tasks'!E230="","",'Variable Tasks'!E230)</f>
        <v/>
      </c>
      <c r="AX1726">
        <f>IF('Variable Tasks'!G230="","",'Variable Tasks'!G230)</f>
        <v/>
      </c>
      <c r="AY1726">
        <f>IF('Variable Tasks'!H230="","",'Variable Tasks'!H230)</f>
        <v/>
      </c>
      <c r="AZ1726">
        <f>IF(AU1726="","",IF('Variable Tasks'!J230="","Not Started",'Variable Tasks'!J230))</f>
        <v/>
      </c>
      <c r="BA1726">
        <f>'Variable Tasks'!L230&amp;""</f>
        <v/>
      </c>
      <c r="BB1726">
        <f>'Variable Tasks'!M230&amp;""</f>
        <v/>
      </c>
      <c r="BC1726">
        <f>'Variable Tasks'!N230&amp;""</f>
        <v/>
      </c>
      <c r="BD1726">
        <f>'Variable Tasks'!O230&amp;""</f>
        <v/>
      </c>
      <c r="BE1726">
        <f>IF('Variable Tasks'!K230="","",'Variable Tasks'!K230)</f>
        <v/>
      </c>
      <c r="BF1726">
        <f>IFERROR(MATCH(BA1726,Setup!$L$6:$L$9,0),5)</f>
        <v/>
      </c>
      <c r="BG1726">
        <f>IF(OR(AZ1726="Done",AZ1726="Cancelled"),1,0)</f>
        <v/>
      </c>
      <c r="BH1726">
        <f>IF(AND(AU1726&lt;&gt;"",ISNUMBER(AW1726)),1,0)</f>
        <v/>
      </c>
      <c r="BI1726">
        <f>IF(BH1726=0,0,IF(AND(AW1726&gt;='Tasks Filter'!$F$3,AW1726&lt;='Tasks Filter'!$F$4,OR('Tasks Filter'!$I$3="",ISNUMBER(SEARCH('Tasks Filter'!$I$3,AU1726))),OR('Tasks Filter'!$I$4="",BF1726=IFERROR(MATCH('Tasks Filter'!$I$4,Setup!$L$6:$L$9,0),0)),OR('Tasks Filter'!$I$5="Both",AND('Tasks Filter'!$I$5="Yes",BB1726="✓"),AND('Tasks Filter'!$I$5="No",BB1726&lt;&gt;"✓")),OR('Tasks Filter'!$L$3="",AV1726='Tasks Filter'!$L$3),OR('Tasks Filter'!$L$4="",AZ1726='Tasks Filter'!$L$4),OR('Tasks Filter'!$L$5="",BC1726='Tasks Filter'!$L$5),OR('Tasks Filter'!$O$3="",BD1726='Tasks Filter'!$O$3),OR('Tasks Filter'!$O$4="Yes",BG1726=0)),1,0))</f>
        <v/>
      </c>
      <c r="BJ1726">
        <f>IF(BH1726=0,"",IF('Tasks Filter'!$F$6="Descending",-1,1)*CHOOSE(MATCH('Tasks Filter'!$F$5,Lists!$G$2:$G$6,0),AW1726,BF1726,IFERROR(MATCH(AV1726,Setup!$F$6:$F$15,0),99),IFERROR(MATCH(BC1726,Setup!$H$6:$H$15,0),99),IFERROR(MATCH(AZ1726,Setup!$J$6:$J$11,0),99))*1E+9+(AW1726-40000)*10000+1725)</f>
        <v/>
      </c>
      <c r="BK1726">
        <f>IF(BI1726=1,BJ1726,"")</f>
        <v/>
      </c>
      <c r="BL1726">
        <f>IF(AND(BH1726=1,BG1726=0,N(AW1726)&lt;Setup!$D$7),(AW1726-40000)*10000+1725,"")</f>
        <v/>
      </c>
      <c r="BM1726">
        <f>IF(AND(BH1726=1,AZ1726&lt;&gt;"Cancelled",N(AW1726)&gt;=Dashboard!$AB$3,N(AW1726)&lt;=Dashboard!$AB$3+6),(AW1726-40000)*100000+BF1726*10000+1725,"")</f>
        <v/>
      </c>
      <c r="BN1726">
        <f>IF(AND(BH1726=1,AZ1726&lt;&gt;"Cancelled"),BF1726*10000+1725,"")</f>
        <v/>
      </c>
    </row>
    <row r="1727">
      <c r="AS1727" t="inlineStr">
        <is>
          <t>V</t>
        </is>
      </c>
      <c r="AT1727" t="n">
        <v>231</v>
      </c>
      <c r="AU1727">
        <f>'Variable Tasks'!C231&amp;""</f>
        <v/>
      </c>
      <c r="AV1727">
        <f>'Variable Tasks'!D231&amp;""</f>
        <v/>
      </c>
      <c r="AW1727">
        <f>IF('Variable Tasks'!E231="","",'Variable Tasks'!E231)</f>
        <v/>
      </c>
      <c r="AX1727">
        <f>IF('Variable Tasks'!G231="","",'Variable Tasks'!G231)</f>
        <v/>
      </c>
      <c r="AY1727">
        <f>IF('Variable Tasks'!H231="","",'Variable Tasks'!H231)</f>
        <v/>
      </c>
      <c r="AZ1727">
        <f>IF(AU1727="","",IF('Variable Tasks'!J231="","Not Started",'Variable Tasks'!J231))</f>
        <v/>
      </c>
      <c r="BA1727">
        <f>'Variable Tasks'!L231&amp;""</f>
        <v/>
      </c>
      <c r="BB1727">
        <f>'Variable Tasks'!M231&amp;""</f>
        <v/>
      </c>
      <c r="BC1727">
        <f>'Variable Tasks'!N231&amp;""</f>
        <v/>
      </c>
      <c r="BD1727">
        <f>'Variable Tasks'!O231&amp;""</f>
        <v/>
      </c>
      <c r="BE1727">
        <f>IF('Variable Tasks'!K231="","",'Variable Tasks'!K231)</f>
        <v/>
      </c>
      <c r="BF1727">
        <f>IFERROR(MATCH(BA1727,Setup!$L$6:$L$9,0),5)</f>
        <v/>
      </c>
      <c r="BG1727">
        <f>IF(OR(AZ1727="Done",AZ1727="Cancelled"),1,0)</f>
        <v/>
      </c>
      <c r="BH1727">
        <f>IF(AND(AU1727&lt;&gt;"",ISNUMBER(AW1727)),1,0)</f>
        <v/>
      </c>
      <c r="BI1727">
        <f>IF(BH1727=0,0,IF(AND(AW1727&gt;='Tasks Filter'!$F$3,AW1727&lt;='Tasks Filter'!$F$4,OR('Tasks Filter'!$I$3="",ISNUMBER(SEARCH('Tasks Filter'!$I$3,AU1727))),OR('Tasks Filter'!$I$4="",BF1727=IFERROR(MATCH('Tasks Filter'!$I$4,Setup!$L$6:$L$9,0),0)),OR('Tasks Filter'!$I$5="Both",AND('Tasks Filter'!$I$5="Yes",BB1727="✓"),AND('Tasks Filter'!$I$5="No",BB1727&lt;&gt;"✓")),OR('Tasks Filter'!$L$3="",AV1727='Tasks Filter'!$L$3),OR('Tasks Filter'!$L$4="",AZ1727='Tasks Filter'!$L$4),OR('Tasks Filter'!$L$5="",BC1727='Tasks Filter'!$L$5),OR('Tasks Filter'!$O$3="",BD1727='Tasks Filter'!$O$3),OR('Tasks Filter'!$O$4="Yes",BG1727=0)),1,0))</f>
        <v/>
      </c>
      <c r="BJ1727">
        <f>IF(BH1727=0,"",IF('Tasks Filter'!$F$6="Descending",-1,1)*CHOOSE(MATCH('Tasks Filter'!$F$5,Lists!$G$2:$G$6,0),AW1727,BF1727,IFERROR(MATCH(AV1727,Setup!$F$6:$F$15,0),99),IFERROR(MATCH(BC1727,Setup!$H$6:$H$15,0),99),IFERROR(MATCH(AZ1727,Setup!$J$6:$J$11,0),99))*1E+9+(AW1727-40000)*10000+1726)</f>
        <v/>
      </c>
      <c r="BK1727">
        <f>IF(BI1727=1,BJ1727,"")</f>
        <v/>
      </c>
      <c r="BL1727">
        <f>IF(AND(BH1727=1,BG1727=0,N(AW1727)&lt;Setup!$D$7),(AW1727-40000)*10000+1726,"")</f>
        <v/>
      </c>
      <c r="BM1727">
        <f>IF(AND(BH1727=1,AZ1727&lt;&gt;"Cancelled",N(AW1727)&gt;=Dashboard!$AB$3,N(AW1727)&lt;=Dashboard!$AB$3+6),(AW1727-40000)*100000+BF1727*10000+1726,"")</f>
        <v/>
      </c>
      <c r="BN1727">
        <f>IF(AND(BH1727=1,AZ1727&lt;&gt;"Cancelled"),BF1727*10000+1726,"")</f>
        <v/>
      </c>
    </row>
    <row r="1728">
      <c r="AS1728" t="inlineStr">
        <is>
          <t>V</t>
        </is>
      </c>
      <c r="AT1728" t="n">
        <v>232</v>
      </c>
      <c r="AU1728">
        <f>'Variable Tasks'!C232&amp;""</f>
        <v/>
      </c>
      <c r="AV1728">
        <f>'Variable Tasks'!D232&amp;""</f>
        <v/>
      </c>
      <c r="AW1728">
        <f>IF('Variable Tasks'!E232="","",'Variable Tasks'!E232)</f>
        <v/>
      </c>
      <c r="AX1728">
        <f>IF('Variable Tasks'!G232="","",'Variable Tasks'!G232)</f>
        <v/>
      </c>
      <c r="AY1728">
        <f>IF('Variable Tasks'!H232="","",'Variable Tasks'!H232)</f>
        <v/>
      </c>
      <c r="AZ1728">
        <f>IF(AU1728="","",IF('Variable Tasks'!J232="","Not Started",'Variable Tasks'!J232))</f>
        <v/>
      </c>
      <c r="BA1728">
        <f>'Variable Tasks'!L232&amp;""</f>
        <v/>
      </c>
      <c r="BB1728">
        <f>'Variable Tasks'!M232&amp;""</f>
        <v/>
      </c>
      <c r="BC1728">
        <f>'Variable Tasks'!N232&amp;""</f>
        <v/>
      </c>
      <c r="BD1728">
        <f>'Variable Tasks'!O232&amp;""</f>
        <v/>
      </c>
      <c r="BE1728">
        <f>IF('Variable Tasks'!K232="","",'Variable Tasks'!K232)</f>
        <v/>
      </c>
      <c r="BF1728">
        <f>IFERROR(MATCH(BA1728,Setup!$L$6:$L$9,0),5)</f>
        <v/>
      </c>
      <c r="BG1728">
        <f>IF(OR(AZ1728="Done",AZ1728="Cancelled"),1,0)</f>
        <v/>
      </c>
      <c r="BH1728">
        <f>IF(AND(AU1728&lt;&gt;"",ISNUMBER(AW1728)),1,0)</f>
        <v/>
      </c>
      <c r="BI1728">
        <f>IF(BH1728=0,0,IF(AND(AW1728&gt;='Tasks Filter'!$F$3,AW1728&lt;='Tasks Filter'!$F$4,OR('Tasks Filter'!$I$3="",ISNUMBER(SEARCH('Tasks Filter'!$I$3,AU1728))),OR('Tasks Filter'!$I$4="",BF1728=IFERROR(MATCH('Tasks Filter'!$I$4,Setup!$L$6:$L$9,0),0)),OR('Tasks Filter'!$I$5="Both",AND('Tasks Filter'!$I$5="Yes",BB1728="✓"),AND('Tasks Filter'!$I$5="No",BB1728&lt;&gt;"✓")),OR('Tasks Filter'!$L$3="",AV1728='Tasks Filter'!$L$3),OR('Tasks Filter'!$L$4="",AZ1728='Tasks Filter'!$L$4),OR('Tasks Filter'!$L$5="",BC1728='Tasks Filter'!$L$5),OR('Tasks Filter'!$O$3="",BD1728='Tasks Filter'!$O$3),OR('Tasks Filter'!$O$4="Yes",BG1728=0)),1,0))</f>
        <v/>
      </c>
      <c r="BJ1728">
        <f>IF(BH1728=0,"",IF('Tasks Filter'!$F$6="Descending",-1,1)*CHOOSE(MATCH('Tasks Filter'!$F$5,Lists!$G$2:$G$6,0),AW1728,BF1728,IFERROR(MATCH(AV1728,Setup!$F$6:$F$15,0),99),IFERROR(MATCH(BC1728,Setup!$H$6:$H$15,0),99),IFERROR(MATCH(AZ1728,Setup!$J$6:$J$11,0),99))*1E+9+(AW1728-40000)*10000+1727)</f>
        <v/>
      </c>
      <c r="BK1728">
        <f>IF(BI1728=1,BJ1728,"")</f>
        <v/>
      </c>
      <c r="BL1728">
        <f>IF(AND(BH1728=1,BG1728=0,N(AW1728)&lt;Setup!$D$7),(AW1728-40000)*10000+1727,"")</f>
        <v/>
      </c>
      <c r="BM1728">
        <f>IF(AND(BH1728=1,AZ1728&lt;&gt;"Cancelled",N(AW1728)&gt;=Dashboard!$AB$3,N(AW1728)&lt;=Dashboard!$AB$3+6),(AW1728-40000)*100000+BF1728*10000+1727,"")</f>
        <v/>
      </c>
      <c r="BN1728">
        <f>IF(AND(BH1728=1,AZ1728&lt;&gt;"Cancelled"),BF1728*10000+1727,"")</f>
        <v/>
      </c>
    </row>
    <row r="1729">
      <c r="AS1729" t="inlineStr">
        <is>
          <t>V</t>
        </is>
      </c>
      <c r="AT1729" t="n">
        <v>233</v>
      </c>
      <c r="AU1729">
        <f>'Variable Tasks'!C233&amp;""</f>
        <v/>
      </c>
      <c r="AV1729">
        <f>'Variable Tasks'!D233&amp;""</f>
        <v/>
      </c>
      <c r="AW1729">
        <f>IF('Variable Tasks'!E233="","",'Variable Tasks'!E233)</f>
        <v/>
      </c>
      <c r="AX1729">
        <f>IF('Variable Tasks'!G233="","",'Variable Tasks'!G233)</f>
        <v/>
      </c>
      <c r="AY1729">
        <f>IF('Variable Tasks'!H233="","",'Variable Tasks'!H233)</f>
        <v/>
      </c>
      <c r="AZ1729">
        <f>IF(AU1729="","",IF('Variable Tasks'!J233="","Not Started",'Variable Tasks'!J233))</f>
        <v/>
      </c>
      <c r="BA1729">
        <f>'Variable Tasks'!L233&amp;""</f>
        <v/>
      </c>
      <c r="BB1729">
        <f>'Variable Tasks'!M233&amp;""</f>
        <v/>
      </c>
      <c r="BC1729">
        <f>'Variable Tasks'!N233&amp;""</f>
        <v/>
      </c>
      <c r="BD1729">
        <f>'Variable Tasks'!O233&amp;""</f>
        <v/>
      </c>
      <c r="BE1729">
        <f>IF('Variable Tasks'!K233="","",'Variable Tasks'!K233)</f>
        <v/>
      </c>
      <c r="BF1729">
        <f>IFERROR(MATCH(BA1729,Setup!$L$6:$L$9,0),5)</f>
        <v/>
      </c>
      <c r="BG1729">
        <f>IF(OR(AZ1729="Done",AZ1729="Cancelled"),1,0)</f>
        <v/>
      </c>
      <c r="BH1729">
        <f>IF(AND(AU1729&lt;&gt;"",ISNUMBER(AW1729)),1,0)</f>
        <v/>
      </c>
      <c r="BI1729">
        <f>IF(BH1729=0,0,IF(AND(AW1729&gt;='Tasks Filter'!$F$3,AW1729&lt;='Tasks Filter'!$F$4,OR('Tasks Filter'!$I$3="",ISNUMBER(SEARCH('Tasks Filter'!$I$3,AU1729))),OR('Tasks Filter'!$I$4="",BF1729=IFERROR(MATCH('Tasks Filter'!$I$4,Setup!$L$6:$L$9,0),0)),OR('Tasks Filter'!$I$5="Both",AND('Tasks Filter'!$I$5="Yes",BB1729="✓"),AND('Tasks Filter'!$I$5="No",BB1729&lt;&gt;"✓")),OR('Tasks Filter'!$L$3="",AV1729='Tasks Filter'!$L$3),OR('Tasks Filter'!$L$4="",AZ1729='Tasks Filter'!$L$4),OR('Tasks Filter'!$L$5="",BC1729='Tasks Filter'!$L$5),OR('Tasks Filter'!$O$3="",BD1729='Tasks Filter'!$O$3),OR('Tasks Filter'!$O$4="Yes",BG1729=0)),1,0))</f>
        <v/>
      </c>
      <c r="BJ1729">
        <f>IF(BH1729=0,"",IF('Tasks Filter'!$F$6="Descending",-1,1)*CHOOSE(MATCH('Tasks Filter'!$F$5,Lists!$G$2:$G$6,0),AW1729,BF1729,IFERROR(MATCH(AV1729,Setup!$F$6:$F$15,0),99),IFERROR(MATCH(BC1729,Setup!$H$6:$H$15,0),99),IFERROR(MATCH(AZ1729,Setup!$J$6:$J$11,0),99))*1E+9+(AW1729-40000)*10000+1728)</f>
        <v/>
      </c>
      <c r="BK1729">
        <f>IF(BI1729=1,BJ1729,"")</f>
        <v/>
      </c>
      <c r="BL1729">
        <f>IF(AND(BH1729=1,BG1729=0,N(AW1729)&lt;Setup!$D$7),(AW1729-40000)*10000+1728,"")</f>
        <v/>
      </c>
      <c r="BM1729">
        <f>IF(AND(BH1729=1,AZ1729&lt;&gt;"Cancelled",N(AW1729)&gt;=Dashboard!$AB$3,N(AW1729)&lt;=Dashboard!$AB$3+6),(AW1729-40000)*100000+BF1729*10000+1728,"")</f>
        <v/>
      </c>
      <c r="BN1729">
        <f>IF(AND(BH1729=1,AZ1729&lt;&gt;"Cancelled"),BF1729*10000+1728,"")</f>
        <v/>
      </c>
    </row>
    <row r="1730">
      <c r="AS1730" t="inlineStr">
        <is>
          <t>V</t>
        </is>
      </c>
      <c r="AT1730" t="n">
        <v>234</v>
      </c>
      <c r="AU1730">
        <f>'Variable Tasks'!C234&amp;""</f>
        <v/>
      </c>
      <c r="AV1730">
        <f>'Variable Tasks'!D234&amp;""</f>
        <v/>
      </c>
      <c r="AW1730">
        <f>IF('Variable Tasks'!E234="","",'Variable Tasks'!E234)</f>
        <v/>
      </c>
      <c r="AX1730">
        <f>IF('Variable Tasks'!G234="","",'Variable Tasks'!G234)</f>
        <v/>
      </c>
      <c r="AY1730">
        <f>IF('Variable Tasks'!H234="","",'Variable Tasks'!H234)</f>
        <v/>
      </c>
      <c r="AZ1730">
        <f>IF(AU1730="","",IF('Variable Tasks'!J234="","Not Started",'Variable Tasks'!J234))</f>
        <v/>
      </c>
      <c r="BA1730">
        <f>'Variable Tasks'!L234&amp;""</f>
        <v/>
      </c>
      <c r="BB1730">
        <f>'Variable Tasks'!M234&amp;""</f>
        <v/>
      </c>
      <c r="BC1730">
        <f>'Variable Tasks'!N234&amp;""</f>
        <v/>
      </c>
      <c r="BD1730">
        <f>'Variable Tasks'!O234&amp;""</f>
        <v/>
      </c>
      <c r="BE1730">
        <f>IF('Variable Tasks'!K234="","",'Variable Tasks'!K234)</f>
        <v/>
      </c>
      <c r="BF1730">
        <f>IFERROR(MATCH(BA1730,Setup!$L$6:$L$9,0),5)</f>
        <v/>
      </c>
      <c r="BG1730">
        <f>IF(OR(AZ1730="Done",AZ1730="Cancelled"),1,0)</f>
        <v/>
      </c>
      <c r="BH1730">
        <f>IF(AND(AU1730&lt;&gt;"",ISNUMBER(AW1730)),1,0)</f>
        <v/>
      </c>
      <c r="BI1730">
        <f>IF(BH1730=0,0,IF(AND(AW1730&gt;='Tasks Filter'!$F$3,AW1730&lt;='Tasks Filter'!$F$4,OR('Tasks Filter'!$I$3="",ISNUMBER(SEARCH('Tasks Filter'!$I$3,AU1730))),OR('Tasks Filter'!$I$4="",BF1730=IFERROR(MATCH('Tasks Filter'!$I$4,Setup!$L$6:$L$9,0),0)),OR('Tasks Filter'!$I$5="Both",AND('Tasks Filter'!$I$5="Yes",BB1730="✓"),AND('Tasks Filter'!$I$5="No",BB1730&lt;&gt;"✓")),OR('Tasks Filter'!$L$3="",AV1730='Tasks Filter'!$L$3),OR('Tasks Filter'!$L$4="",AZ1730='Tasks Filter'!$L$4),OR('Tasks Filter'!$L$5="",BC1730='Tasks Filter'!$L$5),OR('Tasks Filter'!$O$3="",BD1730='Tasks Filter'!$O$3),OR('Tasks Filter'!$O$4="Yes",BG1730=0)),1,0))</f>
        <v/>
      </c>
      <c r="BJ1730">
        <f>IF(BH1730=0,"",IF('Tasks Filter'!$F$6="Descending",-1,1)*CHOOSE(MATCH('Tasks Filter'!$F$5,Lists!$G$2:$G$6,0),AW1730,BF1730,IFERROR(MATCH(AV1730,Setup!$F$6:$F$15,0),99),IFERROR(MATCH(BC1730,Setup!$H$6:$H$15,0),99),IFERROR(MATCH(AZ1730,Setup!$J$6:$J$11,0),99))*1E+9+(AW1730-40000)*10000+1729)</f>
        <v/>
      </c>
      <c r="BK1730">
        <f>IF(BI1730=1,BJ1730,"")</f>
        <v/>
      </c>
      <c r="BL1730">
        <f>IF(AND(BH1730=1,BG1730=0,N(AW1730)&lt;Setup!$D$7),(AW1730-40000)*10000+1729,"")</f>
        <v/>
      </c>
      <c r="BM1730">
        <f>IF(AND(BH1730=1,AZ1730&lt;&gt;"Cancelled",N(AW1730)&gt;=Dashboard!$AB$3,N(AW1730)&lt;=Dashboard!$AB$3+6),(AW1730-40000)*100000+BF1730*10000+1729,"")</f>
        <v/>
      </c>
      <c r="BN1730">
        <f>IF(AND(BH1730=1,AZ1730&lt;&gt;"Cancelled"),BF1730*10000+1729,"")</f>
        <v/>
      </c>
    </row>
    <row r="1731">
      <c r="AS1731" t="inlineStr">
        <is>
          <t>V</t>
        </is>
      </c>
      <c r="AT1731" t="n">
        <v>235</v>
      </c>
      <c r="AU1731">
        <f>'Variable Tasks'!C235&amp;""</f>
        <v/>
      </c>
      <c r="AV1731">
        <f>'Variable Tasks'!D235&amp;""</f>
        <v/>
      </c>
      <c r="AW1731">
        <f>IF('Variable Tasks'!E235="","",'Variable Tasks'!E235)</f>
        <v/>
      </c>
      <c r="AX1731">
        <f>IF('Variable Tasks'!G235="","",'Variable Tasks'!G235)</f>
        <v/>
      </c>
      <c r="AY1731">
        <f>IF('Variable Tasks'!H235="","",'Variable Tasks'!H235)</f>
        <v/>
      </c>
      <c r="AZ1731">
        <f>IF(AU1731="","",IF('Variable Tasks'!J235="","Not Started",'Variable Tasks'!J235))</f>
        <v/>
      </c>
      <c r="BA1731">
        <f>'Variable Tasks'!L235&amp;""</f>
        <v/>
      </c>
      <c r="BB1731">
        <f>'Variable Tasks'!M235&amp;""</f>
        <v/>
      </c>
      <c r="BC1731">
        <f>'Variable Tasks'!N235&amp;""</f>
        <v/>
      </c>
      <c r="BD1731">
        <f>'Variable Tasks'!O235&amp;""</f>
        <v/>
      </c>
      <c r="BE1731">
        <f>IF('Variable Tasks'!K235="","",'Variable Tasks'!K235)</f>
        <v/>
      </c>
      <c r="BF1731">
        <f>IFERROR(MATCH(BA1731,Setup!$L$6:$L$9,0),5)</f>
        <v/>
      </c>
      <c r="BG1731">
        <f>IF(OR(AZ1731="Done",AZ1731="Cancelled"),1,0)</f>
        <v/>
      </c>
      <c r="BH1731">
        <f>IF(AND(AU1731&lt;&gt;"",ISNUMBER(AW1731)),1,0)</f>
        <v/>
      </c>
      <c r="BI1731">
        <f>IF(BH1731=0,0,IF(AND(AW1731&gt;='Tasks Filter'!$F$3,AW1731&lt;='Tasks Filter'!$F$4,OR('Tasks Filter'!$I$3="",ISNUMBER(SEARCH('Tasks Filter'!$I$3,AU1731))),OR('Tasks Filter'!$I$4="",BF1731=IFERROR(MATCH('Tasks Filter'!$I$4,Setup!$L$6:$L$9,0),0)),OR('Tasks Filter'!$I$5="Both",AND('Tasks Filter'!$I$5="Yes",BB1731="✓"),AND('Tasks Filter'!$I$5="No",BB1731&lt;&gt;"✓")),OR('Tasks Filter'!$L$3="",AV1731='Tasks Filter'!$L$3),OR('Tasks Filter'!$L$4="",AZ1731='Tasks Filter'!$L$4),OR('Tasks Filter'!$L$5="",BC1731='Tasks Filter'!$L$5),OR('Tasks Filter'!$O$3="",BD1731='Tasks Filter'!$O$3),OR('Tasks Filter'!$O$4="Yes",BG1731=0)),1,0))</f>
        <v/>
      </c>
      <c r="BJ1731">
        <f>IF(BH1731=0,"",IF('Tasks Filter'!$F$6="Descending",-1,1)*CHOOSE(MATCH('Tasks Filter'!$F$5,Lists!$G$2:$G$6,0),AW1731,BF1731,IFERROR(MATCH(AV1731,Setup!$F$6:$F$15,0),99),IFERROR(MATCH(BC1731,Setup!$H$6:$H$15,0),99),IFERROR(MATCH(AZ1731,Setup!$J$6:$J$11,0),99))*1E+9+(AW1731-40000)*10000+1730)</f>
        <v/>
      </c>
      <c r="BK1731">
        <f>IF(BI1731=1,BJ1731,"")</f>
        <v/>
      </c>
      <c r="BL1731">
        <f>IF(AND(BH1731=1,BG1731=0,N(AW1731)&lt;Setup!$D$7),(AW1731-40000)*10000+1730,"")</f>
        <v/>
      </c>
      <c r="BM1731">
        <f>IF(AND(BH1731=1,AZ1731&lt;&gt;"Cancelled",N(AW1731)&gt;=Dashboard!$AB$3,N(AW1731)&lt;=Dashboard!$AB$3+6),(AW1731-40000)*100000+BF1731*10000+1730,"")</f>
        <v/>
      </c>
      <c r="BN1731">
        <f>IF(AND(BH1731=1,AZ1731&lt;&gt;"Cancelled"),BF1731*10000+1730,"")</f>
        <v/>
      </c>
    </row>
    <row r="1732">
      <c r="AS1732" t="inlineStr">
        <is>
          <t>V</t>
        </is>
      </c>
      <c r="AT1732" t="n">
        <v>236</v>
      </c>
      <c r="AU1732">
        <f>'Variable Tasks'!C236&amp;""</f>
        <v/>
      </c>
      <c r="AV1732">
        <f>'Variable Tasks'!D236&amp;""</f>
        <v/>
      </c>
      <c r="AW1732">
        <f>IF('Variable Tasks'!E236="","",'Variable Tasks'!E236)</f>
        <v/>
      </c>
      <c r="AX1732">
        <f>IF('Variable Tasks'!G236="","",'Variable Tasks'!G236)</f>
        <v/>
      </c>
      <c r="AY1732">
        <f>IF('Variable Tasks'!H236="","",'Variable Tasks'!H236)</f>
        <v/>
      </c>
      <c r="AZ1732">
        <f>IF(AU1732="","",IF('Variable Tasks'!J236="","Not Started",'Variable Tasks'!J236))</f>
        <v/>
      </c>
      <c r="BA1732">
        <f>'Variable Tasks'!L236&amp;""</f>
        <v/>
      </c>
      <c r="BB1732">
        <f>'Variable Tasks'!M236&amp;""</f>
        <v/>
      </c>
      <c r="BC1732">
        <f>'Variable Tasks'!N236&amp;""</f>
        <v/>
      </c>
      <c r="BD1732">
        <f>'Variable Tasks'!O236&amp;""</f>
        <v/>
      </c>
      <c r="BE1732">
        <f>IF('Variable Tasks'!K236="","",'Variable Tasks'!K236)</f>
        <v/>
      </c>
      <c r="BF1732">
        <f>IFERROR(MATCH(BA1732,Setup!$L$6:$L$9,0),5)</f>
        <v/>
      </c>
      <c r="BG1732">
        <f>IF(OR(AZ1732="Done",AZ1732="Cancelled"),1,0)</f>
        <v/>
      </c>
      <c r="BH1732">
        <f>IF(AND(AU1732&lt;&gt;"",ISNUMBER(AW1732)),1,0)</f>
        <v/>
      </c>
      <c r="BI1732">
        <f>IF(BH1732=0,0,IF(AND(AW1732&gt;='Tasks Filter'!$F$3,AW1732&lt;='Tasks Filter'!$F$4,OR('Tasks Filter'!$I$3="",ISNUMBER(SEARCH('Tasks Filter'!$I$3,AU1732))),OR('Tasks Filter'!$I$4="",BF1732=IFERROR(MATCH('Tasks Filter'!$I$4,Setup!$L$6:$L$9,0),0)),OR('Tasks Filter'!$I$5="Both",AND('Tasks Filter'!$I$5="Yes",BB1732="✓"),AND('Tasks Filter'!$I$5="No",BB1732&lt;&gt;"✓")),OR('Tasks Filter'!$L$3="",AV1732='Tasks Filter'!$L$3),OR('Tasks Filter'!$L$4="",AZ1732='Tasks Filter'!$L$4),OR('Tasks Filter'!$L$5="",BC1732='Tasks Filter'!$L$5),OR('Tasks Filter'!$O$3="",BD1732='Tasks Filter'!$O$3),OR('Tasks Filter'!$O$4="Yes",BG1732=0)),1,0))</f>
        <v/>
      </c>
      <c r="BJ1732">
        <f>IF(BH1732=0,"",IF('Tasks Filter'!$F$6="Descending",-1,1)*CHOOSE(MATCH('Tasks Filter'!$F$5,Lists!$G$2:$G$6,0),AW1732,BF1732,IFERROR(MATCH(AV1732,Setup!$F$6:$F$15,0),99),IFERROR(MATCH(BC1732,Setup!$H$6:$H$15,0),99),IFERROR(MATCH(AZ1732,Setup!$J$6:$J$11,0),99))*1E+9+(AW1732-40000)*10000+1731)</f>
        <v/>
      </c>
      <c r="BK1732">
        <f>IF(BI1732=1,BJ1732,"")</f>
        <v/>
      </c>
      <c r="BL1732">
        <f>IF(AND(BH1732=1,BG1732=0,N(AW1732)&lt;Setup!$D$7),(AW1732-40000)*10000+1731,"")</f>
        <v/>
      </c>
      <c r="BM1732">
        <f>IF(AND(BH1732=1,AZ1732&lt;&gt;"Cancelled",N(AW1732)&gt;=Dashboard!$AB$3,N(AW1732)&lt;=Dashboard!$AB$3+6),(AW1732-40000)*100000+BF1732*10000+1731,"")</f>
        <v/>
      </c>
      <c r="BN1732">
        <f>IF(AND(BH1732=1,AZ1732&lt;&gt;"Cancelled"),BF1732*10000+1731,"")</f>
        <v/>
      </c>
    </row>
    <row r="1733">
      <c r="AS1733" t="inlineStr">
        <is>
          <t>V</t>
        </is>
      </c>
      <c r="AT1733" t="n">
        <v>237</v>
      </c>
      <c r="AU1733">
        <f>'Variable Tasks'!C237&amp;""</f>
        <v/>
      </c>
      <c r="AV1733">
        <f>'Variable Tasks'!D237&amp;""</f>
        <v/>
      </c>
      <c r="AW1733">
        <f>IF('Variable Tasks'!E237="","",'Variable Tasks'!E237)</f>
        <v/>
      </c>
      <c r="AX1733">
        <f>IF('Variable Tasks'!G237="","",'Variable Tasks'!G237)</f>
        <v/>
      </c>
      <c r="AY1733">
        <f>IF('Variable Tasks'!H237="","",'Variable Tasks'!H237)</f>
        <v/>
      </c>
      <c r="AZ1733">
        <f>IF(AU1733="","",IF('Variable Tasks'!J237="","Not Started",'Variable Tasks'!J237))</f>
        <v/>
      </c>
      <c r="BA1733">
        <f>'Variable Tasks'!L237&amp;""</f>
        <v/>
      </c>
      <c r="BB1733">
        <f>'Variable Tasks'!M237&amp;""</f>
        <v/>
      </c>
      <c r="BC1733">
        <f>'Variable Tasks'!N237&amp;""</f>
        <v/>
      </c>
      <c r="BD1733">
        <f>'Variable Tasks'!O237&amp;""</f>
        <v/>
      </c>
      <c r="BE1733">
        <f>IF('Variable Tasks'!K237="","",'Variable Tasks'!K237)</f>
        <v/>
      </c>
      <c r="BF1733">
        <f>IFERROR(MATCH(BA1733,Setup!$L$6:$L$9,0),5)</f>
        <v/>
      </c>
      <c r="BG1733">
        <f>IF(OR(AZ1733="Done",AZ1733="Cancelled"),1,0)</f>
        <v/>
      </c>
      <c r="BH1733">
        <f>IF(AND(AU1733&lt;&gt;"",ISNUMBER(AW1733)),1,0)</f>
        <v/>
      </c>
      <c r="BI1733">
        <f>IF(BH1733=0,0,IF(AND(AW1733&gt;='Tasks Filter'!$F$3,AW1733&lt;='Tasks Filter'!$F$4,OR('Tasks Filter'!$I$3="",ISNUMBER(SEARCH('Tasks Filter'!$I$3,AU1733))),OR('Tasks Filter'!$I$4="",BF1733=IFERROR(MATCH('Tasks Filter'!$I$4,Setup!$L$6:$L$9,0),0)),OR('Tasks Filter'!$I$5="Both",AND('Tasks Filter'!$I$5="Yes",BB1733="✓"),AND('Tasks Filter'!$I$5="No",BB1733&lt;&gt;"✓")),OR('Tasks Filter'!$L$3="",AV1733='Tasks Filter'!$L$3),OR('Tasks Filter'!$L$4="",AZ1733='Tasks Filter'!$L$4),OR('Tasks Filter'!$L$5="",BC1733='Tasks Filter'!$L$5),OR('Tasks Filter'!$O$3="",BD1733='Tasks Filter'!$O$3),OR('Tasks Filter'!$O$4="Yes",BG1733=0)),1,0))</f>
        <v/>
      </c>
      <c r="BJ1733">
        <f>IF(BH1733=0,"",IF('Tasks Filter'!$F$6="Descending",-1,1)*CHOOSE(MATCH('Tasks Filter'!$F$5,Lists!$G$2:$G$6,0),AW1733,BF1733,IFERROR(MATCH(AV1733,Setup!$F$6:$F$15,0),99),IFERROR(MATCH(BC1733,Setup!$H$6:$H$15,0),99),IFERROR(MATCH(AZ1733,Setup!$J$6:$J$11,0),99))*1E+9+(AW1733-40000)*10000+1732)</f>
        <v/>
      </c>
      <c r="BK1733">
        <f>IF(BI1733=1,BJ1733,"")</f>
        <v/>
      </c>
      <c r="BL1733">
        <f>IF(AND(BH1733=1,BG1733=0,N(AW1733)&lt;Setup!$D$7),(AW1733-40000)*10000+1732,"")</f>
        <v/>
      </c>
      <c r="BM1733">
        <f>IF(AND(BH1733=1,AZ1733&lt;&gt;"Cancelled",N(AW1733)&gt;=Dashboard!$AB$3,N(AW1733)&lt;=Dashboard!$AB$3+6),(AW1733-40000)*100000+BF1733*10000+1732,"")</f>
        <v/>
      </c>
      <c r="BN1733">
        <f>IF(AND(BH1733=1,AZ1733&lt;&gt;"Cancelled"),BF1733*10000+1732,"")</f>
        <v/>
      </c>
    </row>
    <row r="1734">
      <c r="AS1734" t="inlineStr">
        <is>
          <t>V</t>
        </is>
      </c>
      <c r="AT1734" t="n">
        <v>238</v>
      </c>
      <c r="AU1734">
        <f>'Variable Tasks'!C238&amp;""</f>
        <v/>
      </c>
      <c r="AV1734">
        <f>'Variable Tasks'!D238&amp;""</f>
        <v/>
      </c>
      <c r="AW1734">
        <f>IF('Variable Tasks'!E238="","",'Variable Tasks'!E238)</f>
        <v/>
      </c>
      <c r="AX1734">
        <f>IF('Variable Tasks'!G238="","",'Variable Tasks'!G238)</f>
        <v/>
      </c>
      <c r="AY1734">
        <f>IF('Variable Tasks'!H238="","",'Variable Tasks'!H238)</f>
        <v/>
      </c>
      <c r="AZ1734">
        <f>IF(AU1734="","",IF('Variable Tasks'!J238="","Not Started",'Variable Tasks'!J238))</f>
        <v/>
      </c>
      <c r="BA1734">
        <f>'Variable Tasks'!L238&amp;""</f>
        <v/>
      </c>
      <c r="BB1734">
        <f>'Variable Tasks'!M238&amp;""</f>
        <v/>
      </c>
      <c r="BC1734">
        <f>'Variable Tasks'!N238&amp;""</f>
        <v/>
      </c>
      <c r="BD1734">
        <f>'Variable Tasks'!O238&amp;""</f>
        <v/>
      </c>
      <c r="BE1734">
        <f>IF('Variable Tasks'!K238="","",'Variable Tasks'!K238)</f>
        <v/>
      </c>
      <c r="BF1734">
        <f>IFERROR(MATCH(BA1734,Setup!$L$6:$L$9,0),5)</f>
        <v/>
      </c>
      <c r="BG1734">
        <f>IF(OR(AZ1734="Done",AZ1734="Cancelled"),1,0)</f>
        <v/>
      </c>
      <c r="BH1734">
        <f>IF(AND(AU1734&lt;&gt;"",ISNUMBER(AW1734)),1,0)</f>
        <v/>
      </c>
      <c r="BI1734">
        <f>IF(BH1734=0,0,IF(AND(AW1734&gt;='Tasks Filter'!$F$3,AW1734&lt;='Tasks Filter'!$F$4,OR('Tasks Filter'!$I$3="",ISNUMBER(SEARCH('Tasks Filter'!$I$3,AU1734))),OR('Tasks Filter'!$I$4="",BF1734=IFERROR(MATCH('Tasks Filter'!$I$4,Setup!$L$6:$L$9,0),0)),OR('Tasks Filter'!$I$5="Both",AND('Tasks Filter'!$I$5="Yes",BB1734="✓"),AND('Tasks Filter'!$I$5="No",BB1734&lt;&gt;"✓")),OR('Tasks Filter'!$L$3="",AV1734='Tasks Filter'!$L$3),OR('Tasks Filter'!$L$4="",AZ1734='Tasks Filter'!$L$4),OR('Tasks Filter'!$L$5="",BC1734='Tasks Filter'!$L$5),OR('Tasks Filter'!$O$3="",BD1734='Tasks Filter'!$O$3),OR('Tasks Filter'!$O$4="Yes",BG1734=0)),1,0))</f>
        <v/>
      </c>
      <c r="BJ1734">
        <f>IF(BH1734=0,"",IF('Tasks Filter'!$F$6="Descending",-1,1)*CHOOSE(MATCH('Tasks Filter'!$F$5,Lists!$G$2:$G$6,0),AW1734,BF1734,IFERROR(MATCH(AV1734,Setup!$F$6:$F$15,0),99),IFERROR(MATCH(BC1734,Setup!$H$6:$H$15,0),99),IFERROR(MATCH(AZ1734,Setup!$J$6:$J$11,0),99))*1E+9+(AW1734-40000)*10000+1733)</f>
        <v/>
      </c>
      <c r="BK1734">
        <f>IF(BI1734=1,BJ1734,"")</f>
        <v/>
      </c>
      <c r="BL1734">
        <f>IF(AND(BH1734=1,BG1734=0,N(AW1734)&lt;Setup!$D$7),(AW1734-40000)*10000+1733,"")</f>
        <v/>
      </c>
      <c r="BM1734">
        <f>IF(AND(BH1734=1,AZ1734&lt;&gt;"Cancelled",N(AW1734)&gt;=Dashboard!$AB$3,N(AW1734)&lt;=Dashboard!$AB$3+6),(AW1734-40000)*100000+BF1734*10000+1733,"")</f>
        <v/>
      </c>
      <c r="BN1734">
        <f>IF(AND(BH1734=1,AZ1734&lt;&gt;"Cancelled"),BF1734*10000+1733,"")</f>
        <v/>
      </c>
    </row>
    <row r="1735">
      <c r="AS1735" t="inlineStr">
        <is>
          <t>V</t>
        </is>
      </c>
      <c r="AT1735" t="n">
        <v>239</v>
      </c>
      <c r="AU1735">
        <f>'Variable Tasks'!C239&amp;""</f>
        <v/>
      </c>
      <c r="AV1735">
        <f>'Variable Tasks'!D239&amp;""</f>
        <v/>
      </c>
      <c r="AW1735">
        <f>IF('Variable Tasks'!E239="","",'Variable Tasks'!E239)</f>
        <v/>
      </c>
      <c r="AX1735">
        <f>IF('Variable Tasks'!G239="","",'Variable Tasks'!G239)</f>
        <v/>
      </c>
      <c r="AY1735">
        <f>IF('Variable Tasks'!H239="","",'Variable Tasks'!H239)</f>
        <v/>
      </c>
      <c r="AZ1735">
        <f>IF(AU1735="","",IF('Variable Tasks'!J239="","Not Started",'Variable Tasks'!J239))</f>
        <v/>
      </c>
      <c r="BA1735">
        <f>'Variable Tasks'!L239&amp;""</f>
        <v/>
      </c>
      <c r="BB1735">
        <f>'Variable Tasks'!M239&amp;""</f>
        <v/>
      </c>
      <c r="BC1735">
        <f>'Variable Tasks'!N239&amp;""</f>
        <v/>
      </c>
      <c r="BD1735">
        <f>'Variable Tasks'!O239&amp;""</f>
        <v/>
      </c>
      <c r="BE1735">
        <f>IF('Variable Tasks'!K239="","",'Variable Tasks'!K239)</f>
        <v/>
      </c>
      <c r="BF1735">
        <f>IFERROR(MATCH(BA1735,Setup!$L$6:$L$9,0),5)</f>
        <v/>
      </c>
      <c r="BG1735">
        <f>IF(OR(AZ1735="Done",AZ1735="Cancelled"),1,0)</f>
        <v/>
      </c>
      <c r="BH1735">
        <f>IF(AND(AU1735&lt;&gt;"",ISNUMBER(AW1735)),1,0)</f>
        <v/>
      </c>
      <c r="BI1735">
        <f>IF(BH1735=0,0,IF(AND(AW1735&gt;='Tasks Filter'!$F$3,AW1735&lt;='Tasks Filter'!$F$4,OR('Tasks Filter'!$I$3="",ISNUMBER(SEARCH('Tasks Filter'!$I$3,AU1735))),OR('Tasks Filter'!$I$4="",BF1735=IFERROR(MATCH('Tasks Filter'!$I$4,Setup!$L$6:$L$9,0),0)),OR('Tasks Filter'!$I$5="Both",AND('Tasks Filter'!$I$5="Yes",BB1735="✓"),AND('Tasks Filter'!$I$5="No",BB1735&lt;&gt;"✓")),OR('Tasks Filter'!$L$3="",AV1735='Tasks Filter'!$L$3),OR('Tasks Filter'!$L$4="",AZ1735='Tasks Filter'!$L$4),OR('Tasks Filter'!$L$5="",BC1735='Tasks Filter'!$L$5),OR('Tasks Filter'!$O$3="",BD1735='Tasks Filter'!$O$3),OR('Tasks Filter'!$O$4="Yes",BG1735=0)),1,0))</f>
        <v/>
      </c>
      <c r="BJ1735">
        <f>IF(BH1735=0,"",IF('Tasks Filter'!$F$6="Descending",-1,1)*CHOOSE(MATCH('Tasks Filter'!$F$5,Lists!$G$2:$G$6,0),AW1735,BF1735,IFERROR(MATCH(AV1735,Setup!$F$6:$F$15,0),99),IFERROR(MATCH(BC1735,Setup!$H$6:$H$15,0),99),IFERROR(MATCH(AZ1735,Setup!$J$6:$J$11,0),99))*1E+9+(AW1735-40000)*10000+1734)</f>
        <v/>
      </c>
      <c r="BK1735">
        <f>IF(BI1735=1,BJ1735,"")</f>
        <v/>
      </c>
      <c r="BL1735">
        <f>IF(AND(BH1735=1,BG1735=0,N(AW1735)&lt;Setup!$D$7),(AW1735-40000)*10000+1734,"")</f>
        <v/>
      </c>
      <c r="BM1735">
        <f>IF(AND(BH1735=1,AZ1735&lt;&gt;"Cancelled",N(AW1735)&gt;=Dashboard!$AB$3,N(AW1735)&lt;=Dashboard!$AB$3+6),(AW1735-40000)*100000+BF1735*10000+1734,"")</f>
        <v/>
      </c>
      <c r="BN1735">
        <f>IF(AND(BH1735=1,AZ1735&lt;&gt;"Cancelled"),BF1735*10000+1734,"")</f>
        <v/>
      </c>
    </row>
    <row r="1736">
      <c r="AS1736" t="inlineStr">
        <is>
          <t>V</t>
        </is>
      </c>
      <c r="AT1736" t="n">
        <v>240</v>
      </c>
      <c r="AU1736">
        <f>'Variable Tasks'!C240&amp;""</f>
        <v/>
      </c>
      <c r="AV1736">
        <f>'Variable Tasks'!D240&amp;""</f>
        <v/>
      </c>
      <c r="AW1736">
        <f>IF('Variable Tasks'!E240="","",'Variable Tasks'!E240)</f>
        <v/>
      </c>
      <c r="AX1736">
        <f>IF('Variable Tasks'!G240="","",'Variable Tasks'!G240)</f>
        <v/>
      </c>
      <c r="AY1736">
        <f>IF('Variable Tasks'!H240="","",'Variable Tasks'!H240)</f>
        <v/>
      </c>
      <c r="AZ1736">
        <f>IF(AU1736="","",IF('Variable Tasks'!J240="","Not Started",'Variable Tasks'!J240))</f>
        <v/>
      </c>
      <c r="BA1736">
        <f>'Variable Tasks'!L240&amp;""</f>
        <v/>
      </c>
      <c r="BB1736">
        <f>'Variable Tasks'!M240&amp;""</f>
        <v/>
      </c>
      <c r="BC1736">
        <f>'Variable Tasks'!N240&amp;""</f>
        <v/>
      </c>
      <c r="BD1736">
        <f>'Variable Tasks'!O240&amp;""</f>
        <v/>
      </c>
      <c r="BE1736">
        <f>IF('Variable Tasks'!K240="","",'Variable Tasks'!K240)</f>
        <v/>
      </c>
      <c r="BF1736">
        <f>IFERROR(MATCH(BA1736,Setup!$L$6:$L$9,0),5)</f>
        <v/>
      </c>
      <c r="BG1736">
        <f>IF(OR(AZ1736="Done",AZ1736="Cancelled"),1,0)</f>
        <v/>
      </c>
      <c r="BH1736">
        <f>IF(AND(AU1736&lt;&gt;"",ISNUMBER(AW1736)),1,0)</f>
        <v/>
      </c>
      <c r="BI1736">
        <f>IF(BH1736=0,0,IF(AND(AW1736&gt;='Tasks Filter'!$F$3,AW1736&lt;='Tasks Filter'!$F$4,OR('Tasks Filter'!$I$3="",ISNUMBER(SEARCH('Tasks Filter'!$I$3,AU1736))),OR('Tasks Filter'!$I$4="",BF1736=IFERROR(MATCH('Tasks Filter'!$I$4,Setup!$L$6:$L$9,0),0)),OR('Tasks Filter'!$I$5="Both",AND('Tasks Filter'!$I$5="Yes",BB1736="✓"),AND('Tasks Filter'!$I$5="No",BB1736&lt;&gt;"✓")),OR('Tasks Filter'!$L$3="",AV1736='Tasks Filter'!$L$3),OR('Tasks Filter'!$L$4="",AZ1736='Tasks Filter'!$L$4),OR('Tasks Filter'!$L$5="",BC1736='Tasks Filter'!$L$5),OR('Tasks Filter'!$O$3="",BD1736='Tasks Filter'!$O$3),OR('Tasks Filter'!$O$4="Yes",BG1736=0)),1,0))</f>
        <v/>
      </c>
      <c r="BJ1736">
        <f>IF(BH1736=0,"",IF('Tasks Filter'!$F$6="Descending",-1,1)*CHOOSE(MATCH('Tasks Filter'!$F$5,Lists!$G$2:$G$6,0),AW1736,BF1736,IFERROR(MATCH(AV1736,Setup!$F$6:$F$15,0),99),IFERROR(MATCH(BC1736,Setup!$H$6:$H$15,0),99),IFERROR(MATCH(AZ1736,Setup!$J$6:$J$11,0),99))*1E+9+(AW1736-40000)*10000+1735)</f>
        <v/>
      </c>
      <c r="BK1736">
        <f>IF(BI1736=1,BJ1736,"")</f>
        <v/>
      </c>
      <c r="BL1736">
        <f>IF(AND(BH1736=1,BG1736=0,N(AW1736)&lt;Setup!$D$7),(AW1736-40000)*10000+1735,"")</f>
        <v/>
      </c>
      <c r="BM1736">
        <f>IF(AND(BH1736=1,AZ1736&lt;&gt;"Cancelled",N(AW1736)&gt;=Dashboard!$AB$3,N(AW1736)&lt;=Dashboard!$AB$3+6),(AW1736-40000)*100000+BF1736*10000+1735,"")</f>
        <v/>
      </c>
      <c r="BN1736">
        <f>IF(AND(BH1736=1,AZ1736&lt;&gt;"Cancelled"),BF1736*10000+1735,"")</f>
        <v/>
      </c>
    </row>
    <row r="1737">
      <c r="AS1737" t="inlineStr">
        <is>
          <t>V</t>
        </is>
      </c>
      <c r="AT1737" t="n">
        <v>241</v>
      </c>
      <c r="AU1737">
        <f>'Variable Tasks'!C241&amp;""</f>
        <v/>
      </c>
      <c r="AV1737">
        <f>'Variable Tasks'!D241&amp;""</f>
        <v/>
      </c>
      <c r="AW1737">
        <f>IF('Variable Tasks'!E241="","",'Variable Tasks'!E241)</f>
        <v/>
      </c>
      <c r="AX1737">
        <f>IF('Variable Tasks'!G241="","",'Variable Tasks'!G241)</f>
        <v/>
      </c>
      <c r="AY1737">
        <f>IF('Variable Tasks'!H241="","",'Variable Tasks'!H241)</f>
        <v/>
      </c>
      <c r="AZ1737">
        <f>IF(AU1737="","",IF('Variable Tasks'!J241="","Not Started",'Variable Tasks'!J241))</f>
        <v/>
      </c>
      <c r="BA1737">
        <f>'Variable Tasks'!L241&amp;""</f>
        <v/>
      </c>
      <c r="BB1737">
        <f>'Variable Tasks'!M241&amp;""</f>
        <v/>
      </c>
      <c r="BC1737">
        <f>'Variable Tasks'!N241&amp;""</f>
        <v/>
      </c>
      <c r="BD1737">
        <f>'Variable Tasks'!O241&amp;""</f>
        <v/>
      </c>
      <c r="BE1737">
        <f>IF('Variable Tasks'!K241="","",'Variable Tasks'!K241)</f>
        <v/>
      </c>
      <c r="BF1737">
        <f>IFERROR(MATCH(BA1737,Setup!$L$6:$L$9,0),5)</f>
        <v/>
      </c>
      <c r="BG1737">
        <f>IF(OR(AZ1737="Done",AZ1737="Cancelled"),1,0)</f>
        <v/>
      </c>
      <c r="BH1737">
        <f>IF(AND(AU1737&lt;&gt;"",ISNUMBER(AW1737)),1,0)</f>
        <v/>
      </c>
      <c r="BI1737">
        <f>IF(BH1737=0,0,IF(AND(AW1737&gt;='Tasks Filter'!$F$3,AW1737&lt;='Tasks Filter'!$F$4,OR('Tasks Filter'!$I$3="",ISNUMBER(SEARCH('Tasks Filter'!$I$3,AU1737))),OR('Tasks Filter'!$I$4="",BF1737=IFERROR(MATCH('Tasks Filter'!$I$4,Setup!$L$6:$L$9,0),0)),OR('Tasks Filter'!$I$5="Both",AND('Tasks Filter'!$I$5="Yes",BB1737="✓"),AND('Tasks Filter'!$I$5="No",BB1737&lt;&gt;"✓")),OR('Tasks Filter'!$L$3="",AV1737='Tasks Filter'!$L$3),OR('Tasks Filter'!$L$4="",AZ1737='Tasks Filter'!$L$4),OR('Tasks Filter'!$L$5="",BC1737='Tasks Filter'!$L$5),OR('Tasks Filter'!$O$3="",BD1737='Tasks Filter'!$O$3),OR('Tasks Filter'!$O$4="Yes",BG1737=0)),1,0))</f>
        <v/>
      </c>
      <c r="BJ1737">
        <f>IF(BH1737=0,"",IF('Tasks Filter'!$F$6="Descending",-1,1)*CHOOSE(MATCH('Tasks Filter'!$F$5,Lists!$G$2:$G$6,0),AW1737,BF1737,IFERROR(MATCH(AV1737,Setup!$F$6:$F$15,0),99),IFERROR(MATCH(BC1737,Setup!$H$6:$H$15,0),99),IFERROR(MATCH(AZ1737,Setup!$J$6:$J$11,0),99))*1E+9+(AW1737-40000)*10000+1736)</f>
        <v/>
      </c>
      <c r="BK1737">
        <f>IF(BI1737=1,BJ1737,"")</f>
        <v/>
      </c>
      <c r="BL1737">
        <f>IF(AND(BH1737=1,BG1737=0,N(AW1737)&lt;Setup!$D$7),(AW1737-40000)*10000+1736,"")</f>
        <v/>
      </c>
      <c r="BM1737">
        <f>IF(AND(BH1737=1,AZ1737&lt;&gt;"Cancelled",N(AW1737)&gt;=Dashboard!$AB$3,N(AW1737)&lt;=Dashboard!$AB$3+6),(AW1737-40000)*100000+BF1737*10000+1736,"")</f>
        <v/>
      </c>
      <c r="BN1737">
        <f>IF(AND(BH1737=1,AZ1737&lt;&gt;"Cancelled"),BF1737*10000+1736,"")</f>
        <v/>
      </c>
    </row>
    <row r="1738">
      <c r="AS1738" t="inlineStr">
        <is>
          <t>V</t>
        </is>
      </c>
      <c r="AT1738" t="n">
        <v>242</v>
      </c>
      <c r="AU1738">
        <f>'Variable Tasks'!C242&amp;""</f>
        <v/>
      </c>
      <c r="AV1738">
        <f>'Variable Tasks'!D242&amp;""</f>
        <v/>
      </c>
      <c r="AW1738">
        <f>IF('Variable Tasks'!E242="","",'Variable Tasks'!E242)</f>
        <v/>
      </c>
      <c r="AX1738">
        <f>IF('Variable Tasks'!G242="","",'Variable Tasks'!G242)</f>
        <v/>
      </c>
      <c r="AY1738">
        <f>IF('Variable Tasks'!H242="","",'Variable Tasks'!H242)</f>
        <v/>
      </c>
      <c r="AZ1738">
        <f>IF(AU1738="","",IF('Variable Tasks'!J242="","Not Started",'Variable Tasks'!J242))</f>
        <v/>
      </c>
      <c r="BA1738">
        <f>'Variable Tasks'!L242&amp;""</f>
        <v/>
      </c>
      <c r="BB1738">
        <f>'Variable Tasks'!M242&amp;""</f>
        <v/>
      </c>
      <c r="BC1738">
        <f>'Variable Tasks'!N242&amp;""</f>
        <v/>
      </c>
      <c r="BD1738">
        <f>'Variable Tasks'!O242&amp;""</f>
        <v/>
      </c>
      <c r="BE1738">
        <f>IF('Variable Tasks'!K242="","",'Variable Tasks'!K242)</f>
        <v/>
      </c>
      <c r="BF1738">
        <f>IFERROR(MATCH(BA1738,Setup!$L$6:$L$9,0),5)</f>
        <v/>
      </c>
      <c r="BG1738">
        <f>IF(OR(AZ1738="Done",AZ1738="Cancelled"),1,0)</f>
        <v/>
      </c>
      <c r="BH1738">
        <f>IF(AND(AU1738&lt;&gt;"",ISNUMBER(AW1738)),1,0)</f>
        <v/>
      </c>
      <c r="BI1738">
        <f>IF(BH1738=0,0,IF(AND(AW1738&gt;='Tasks Filter'!$F$3,AW1738&lt;='Tasks Filter'!$F$4,OR('Tasks Filter'!$I$3="",ISNUMBER(SEARCH('Tasks Filter'!$I$3,AU1738))),OR('Tasks Filter'!$I$4="",BF1738=IFERROR(MATCH('Tasks Filter'!$I$4,Setup!$L$6:$L$9,0),0)),OR('Tasks Filter'!$I$5="Both",AND('Tasks Filter'!$I$5="Yes",BB1738="✓"),AND('Tasks Filter'!$I$5="No",BB1738&lt;&gt;"✓")),OR('Tasks Filter'!$L$3="",AV1738='Tasks Filter'!$L$3),OR('Tasks Filter'!$L$4="",AZ1738='Tasks Filter'!$L$4),OR('Tasks Filter'!$L$5="",BC1738='Tasks Filter'!$L$5),OR('Tasks Filter'!$O$3="",BD1738='Tasks Filter'!$O$3),OR('Tasks Filter'!$O$4="Yes",BG1738=0)),1,0))</f>
        <v/>
      </c>
      <c r="BJ1738">
        <f>IF(BH1738=0,"",IF('Tasks Filter'!$F$6="Descending",-1,1)*CHOOSE(MATCH('Tasks Filter'!$F$5,Lists!$G$2:$G$6,0),AW1738,BF1738,IFERROR(MATCH(AV1738,Setup!$F$6:$F$15,0),99),IFERROR(MATCH(BC1738,Setup!$H$6:$H$15,0),99),IFERROR(MATCH(AZ1738,Setup!$J$6:$J$11,0),99))*1E+9+(AW1738-40000)*10000+1737)</f>
        <v/>
      </c>
      <c r="BK1738">
        <f>IF(BI1738=1,BJ1738,"")</f>
        <v/>
      </c>
      <c r="BL1738">
        <f>IF(AND(BH1738=1,BG1738=0,N(AW1738)&lt;Setup!$D$7),(AW1738-40000)*10000+1737,"")</f>
        <v/>
      </c>
      <c r="BM1738">
        <f>IF(AND(BH1738=1,AZ1738&lt;&gt;"Cancelled",N(AW1738)&gt;=Dashboard!$AB$3,N(AW1738)&lt;=Dashboard!$AB$3+6),(AW1738-40000)*100000+BF1738*10000+1737,"")</f>
        <v/>
      </c>
      <c r="BN1738">
        <f>IF(AND(BH1738=1,AZ1738&lt;&gt;"Cancelled"),BF1738*10000+1737,"")</f>
        <v/>
      </c>
    </row>
    <row r="1739">
      <c r="AS1739" t="inlineStr">
        <is>
          <t>V</t>
        </is>
      </c>
      <c r="AT1739" t="n">
        <v>243</v>
      </c>
      <c r="AU1739">
        <f>'Variable Tasks'!C243&amp;""</f>
        <v/>
      </c>
      <c r="AV1739">
        <f>'Variable Tasks'!D243&amp;""</f>
        <v/>
      </c>
      <c r="AW1739">
        <f>IF('Variable Tasks'!E243="","",'Variable Tasks'!E243)</f>
        <v/>
      </c>
      <c r="AX1739">
        <f>IF('Variable Tasks'!G243="","",'Variable Tasks'!G243)</f>
        <v/>
      </c>
      <c r="AY1739">
        <f>IF('Variable Tasks'!H243="","",'Variable Tasks'!H243)</f>
        <v/>
      </c>
      <c r="AZ1739">
        <f>IF(AU1739="","",IF('Variable Tasks'!J243="","Not Started",'Variable Tasks'!J243))</f>
        <v/>
      </c>
      <c r="BA1739">
        <f>'Variable Tasks'!L243&amp;""</f>
        <v/>
      </c>
      <c r="BB1739">
        <f>'Variable Tasks'!M243&amp;""</f>
        <v/>
      </c>
      <c r="BC1739">
        <f>'Variable Tasks'!N243&amp;""</f>
        <v/>
      </c>
      <c r="BD1739">
        <f>'Variable Tasks'!O243&amp;""</f>
        <v/>
      </c>
      <c r="BE1739">
        <f>IF('Variable Tasks'!K243="","",'Variable Tasks'!K243)</f>
        <v/>
      </c>
      <c r="BF1739">
        <f>IFERROR(MATCH(BA1739,Setup!$L$6:$L$9,0),5)</f>
        <v/>
      </c>
      <c r="BG1739">
        <f>IF(OR(AZ1739="Done",AZ1739="Cancelled"),1,0)</f>
        <v/>
      </c>
      <c r="BH1739">
        <f>IF(AND(AU1739&lt;&gt;"",ISNUMBER(AW1739)),1,0)</f>
        <v/>
      </c>
      <c r="BI1739">
        <f>IF(BH1739=0,0,IF(AND(AW1739&gt;='Tasks Filter'!$F$3,AW1739&lt;='Tasks Filter'!$F$4,OR('Tasks Filter'!$I$3="",ISNUMBER(SEARCH('Tasks Filter'!$I$3,AU1739))),OR('Tasks Filter'!$I$4="",BF1739=IFERROR(MATCH('Tasks Filter'!$I$4,Setup!$L$6:$L$9,0),0)),OR('Tasks Filter'!$I$5="Both",AND('Tasks Filter'!$I$5="Yes",BB1739="✓"),AND('Tasks Filter'!$I$5="No",BB1739&lt;&gt;"✓")),OR('Tasks Filter'!$L$3="",AV1739='Tasks Filter'!$L$3),OR('Tasks Filter'!$L$4="",AZ1739='Tasks Filter'!$L$4),OR('Tasks Filter'!$L$5="",BC1739='Tasks Filter'!$L$5),OR('Tasks Filter'!$O$3="",BD1739='Tasks Filter'!$O$3),OR('Tasks Filter'!$O$4="Yes",BG1739=0)),1,0))</f>
        <v/>
      </c>
      <c r="BJ1739">
        <f>IF(BH1739=0,"",IF('Tasks Filter'!$F$6="Descending",-1,1)*CHOOSE(MATCH('Tasks Filter'!$F$5,Lists!$G$2:$G$6,0),AW1739,BF1739,IFERROR(MATCH(AV1739,Setup!$F$6:$F$15,0),99),IFERROR(MATCH(BC1739,Setup!$H$6:$H$15,0),99),IFERROR(MATCH(AZ1739,Setup!$J$6:$J$11,0),99))*1E+9+(AW1739-40000)*10000+1738)</f>
        <v/>
      </c>
      <c r="BK1739">
        <f>IF(BI1739=1,BJ1739,"")</f>
        <v/>
      </c>
      <c r="BL1739">
        <f>IF(AND(BH1739=1,BG1739=0,N(AW1739)&lt;Setup!$D$7),(AW1739-40000)*10000+1738,"")</f>
        <v/>
      </c>
      <c r="BM1739">
        <f>IF(AND(BH1739=1,AZ1739&lt;&gt;"Cancelled",N(AW1739)&gt;=Dashboard!$AB$3,N(AW1739)&lt;=Dashboard!$AB$3+6),(AW1739-40000)*100000+BF1739*10000+1738,"")</f>
        <v/>
      </c>
      <c r="BN1739">
        <f>IF(AND(BH1739=1,AZ1739&lt;&gt;"Cancelled"),BF1739*10000+1738,"")</f>
        <v/>
      </c>
    </row>
    <row r="1740">
      <c r="AS1740" t="inlineStr">
        <is>
          <t>V</t>
        </is>
      </c>
      <c r="AT1740" t="n">
        <v>244</v>
      </c>
      <c r="AU1740">
        <f>'Variable Tasks'!C244&amp;""</f>
        <v/>
      </c>
      <c r="AV1740">
        <f>'Variable Tasks'!D244&amp;""</f>
        <v/>
      </c>
      <c r="AW1740">
        <f>IF('Variable Tasks'!E244="","",'Variable Tasks'!E244)</f>
        <v/>
      </c>
      <c r="AX1740">
        <f>IF('Variable Tasks'!G244="","",'Variable Tasks'!G244)</f>
        <v/>
      </c>
      <c r="AY1740">
        <f>IF('Variable Tasks'!H244="","",'Variable Tasks'!H244)</f>
        <v/>
      </c>
      <c r="AZ1740">
        <f>IF(AU1740="","",IF('Variable Tasks'!J244="","Not Started",'Variable Tasks'!J244))</f>
        <v/>
      </c>
      <c r="BA1740">
        <f>'Variable Tasks'!L244&amp;""</f>
        <v/>
      </c>
      <c r="BB1740">
        <f>'Variable Tasks'!M244&amp;""</f>
        <v/>
      </c>
      <c r="BC1740">
        <f>'Variable Tasks'!N244&amp;""</f>
        <v/>
      </c>
      <c r="BD1740">
        <f>'Variable Tasks'!O244&amp;""</f>
        <v/>
      </c>
      <c r="BE1740">
        <f>IF('Variable Tasks'!K244="","",'Variable Tasks'!K244)</f>
        <v/>
      </c>
      <c r="BF1740">
        <f>IFERROR(MATCH(BA1740,Setup!$L$6:$L$9,0),5)</f>
        <v/>
      </c>
      <c r="BG1740">
        <f>IF(OR(AZ1740="Done",AZ1740="Cancelled"),1,0)</f>
        <v/>
      </c>
      <c r="BH1740">
        <f>IF(AND(AU1740&lt;&gt;"",ISNUMBER(AW1740)),1,0)</f>
        <v/>
      </c>
      <c r="BI1740">
        <f>IF(BH1740=0,0,IF(AND(AW1740&gt;='Tasks Filter'!$F$3,AW1740&lt;='Tasks Filter'!$F$4,OR('Tasks Filter'!$I$3="",ISNUMBER(SEARCH('Tasks Filter'!$I$3,AU1740))),OR('Tasks Filter'!$I$4="",BF1740=IFERROR(MATCH('Tasks Filter'!$I$4,Setup!$L$6:$L$9,0),0)),OR('Tasks Filter'!$I$5="Both",AND('Tasks Filter'!$I$5="Yes",BB1740="✓"),AND('Tasks Filter'!$I$5="No",BB1740&lt;&gt;"✓")),OR('Tasks Filter'!$L$3="",AV1740='Tasks Filter'!$L$3),OR('Tasks Filter'!$L$4="",AZ1740='Tasks Filter'!$L$4),OR('Tasks Filter'!$L$5="",BC1740='Tasks Filter'!$L$5),OR('Tasks Filter'!$O$3="",BD1740='Tasks Filter'!$O$3),OR('Tasks Filter'!$O$4="Yes",BG1740=0)),1,0))</f>
        <v/>
      </c>
      <c r="BJ1740">
        <f>IF(BH1740=0,"",IF('Tasks Filter'!$F$6="Descending",-1,1)*CHOOSE(MATCH('Tasks Filter'!$F$5,Lists!$G$2:$G$6,0),AW1740,BF1740,IFERROR(MATCH(AV1740,Setup!$F$6:$F$15,0),99),IFERROR(MATCH(BC1740,Setup!$H$6:$H$15,0),99),IFERROR(MATCH(AZ1740,Setup!$J$6:$J$11,0),99))*1E+9+(AW1740-40000)*10000+1739)</f>
        <v/>
      </c>
      <c r="BK1740">
        <f>IF(BI1740=1,BJ1740,"")</f>
        <v/>
      </c>
      <c r="BL1740">
        <f>IF(AND(BH1740=1,BG1740=0,N(AW1740)&lt;Setup!$D$7),(AW1740-40000)*10000+1739,"")</f>
        <v/>
      </c>
      <c r="BM1740">
        <f>IF(AND(BH1740=1,AZ1740&lt;&gt;"Cancelled",N(AW1740)&gt;=Dashboard!$AB$3,N(AW1740)&lt;=Dashboard!$AB$3+6),(AW1740-40000)*100000+BF1740*10000+1739,"")</f>
        <v/>
      </c>
      <c r="BN1740">
        <f>IF(AND(BH1740=1,AZ1740&lt;&gt;"Cancelled"),BF1740*10000+1739,"")</f>
        <v/>
      </c>
    </row>
    <row r="1741">
      <c r="AS1741" t="inlineStr">
        <is>
          <t>V</t>
        </is>
      </c>
      <c r="AT1741" t="n">
        <v>245</v>
      </c>
      <c r="AU1741">
        <f>'Variable Tasks'!C245&amp;""</f>
        <v/>
      </c>
      <c r="AV1741">
        <f>'Variable Tasks'!D245&amp;""</f>
        <v/>
      </c>
      <c r="AW1741">
        <f>IF('Variable Tasks'!E245="","",'Variable Tasks'!E245)</f>
        <v/>
      </c>
      <c r="AX1741">
        <f>IF('Variable Tasks'!G245="","",'Variable Tasks'!G245)</f>
        <v/>
      </c>
      <c r="AY1741">
        <f>IF('Variable Tasks'!H245="","",'Variable Tasks'!H245)</f>
        <v/>
      </c>
      <c r="AZ1741">
        <f>IF(AU1741="","",IF('Variable Tasks'!J245="","Not Started",'Variable Tasks'!J245))</f>
        <v/>
      </c>
      <c r="BA1741">
        <f>'Variable Tasks'!L245&amp;""</f>
        <v/>
      </c>
      <c r="BB1741">
        <f>'Variable Tasks'!M245&amp;""</f>
        <v/>
      </c>
      <c r="BC1741">
        <f>'Variable Tasks'!N245&amp;""</f>
        <v/>
      </c>
      <c r="BD1741">
        <f>'Variable Tasks'!O245&amp;""</f>
        <v/>
      </c>
      <c r="BE1741">
        <f>IF('Variable Tasks'!K245="","",'Variable Tasks'!K245)</f>
        <v/>
      </c>
      <c r="BF1741">
        <f>IFERROR(MATCH(BA1741,Setup!$L$6:$L$9,0),5)</f>
        <v/>
      </c>
      <c r="BG1741">
        <f>IF(OR(AZ1741="Done",AZ1741="Cancelled"),1,0)</f>
        <v/>
      </c>
      <c r="BH1741">
        <f>IF(AND(AU1741&lt;&gt;"",ISNUMBER(AW1741)),1,0)</f>
        <v/>
      </c>
      <c r="BI1741">
        <f>IF(BH1741=0,0,IF(AND(AW1741&gt;='Tasks Filter'!$F$3,AW1741&lt;='Tasks Filter'!$F$4,OR('Tasks Filter'!$I$3="",ISNUMBER(SEARCH('Tasks Filter'!$I$3,AU1741))),OR('Tasks Filter'!$I$4="",BF1741=IFERROR(MATCH('Tasks Filter'!$I$4,Setup!$L$6:$L$9,0),0)),OR('Tasks Filter'!$I$5="Both",AND('Tasks Filter'!$I$5="Yes",BB1741="✓"),AND('Tasks Filter'!$I$5="No",BB1741&lt;&gt;"✓")),OR('Tasks Filter'!$L$3="",AV1741='Tasks Filter'!$L$3),OR('Tasks Filter'!$L$4="",AZ1741='Tasks Filter'!$L$4),OR('Tasks Filter'!$L$5="",BC1741='Tasks Filter'!$L$5),OR('Tasks Filter'!$O$3="",BD1741='Tasks Filter'!$O$3),OR('Tasks Filter'!$O$4="Yes",BG1741=0)),1,0))</f>
        <v/>
      </c>
      <c r="BJ1741">
        <f>IF(BH1741=0,"",IF('Tasks Filter'!$F$6="Descending",-1,1)*CHOOSE(MATCH('Tasks Filter'!$F$5,Lists!$G$2:$G$6,0),AW1741,BF1741,IFERROR(MATCH(AV1741,Setup!$F$6:$F$15,0),99),IFERROR(MATCH(BC1741,Setup!$H$6:$H$15,0),99),IFERROR(MATCH(AZ1741,Setup!$J$6:$J$11,0),99))*1E+9+(AW1741-40000)*10000+1740)</f>
        <v/>
      </c>
      <c r="BK1741">
        <f>IF(BI1741=1,BJ1741,"")</f>
        <v/>
      </c>
      <c r="BL1741">
        <f>IF(AND(BH1741=1,BG1741=0,N(AW1741)&lt;Setup!$D$7),(AW1741-40000)*10000+1740,"")</f>
        <v/>
      </c>
      <c r="BM1741">
        <f>IF(AND(BH1741=1,AZ1741&lt;&gt;"Cancelled",N(AW1741)&gt;=Dashboard!$AB$3,N(AW1741)&lt;=Dashboard!$AB$3+6),(AW1741-40000)*100000+BF1741*10000+1740,"")</f>
        <v/>
      </c>
      <c r="BN1741">
        <f>IF(AND(BH1741=1,AZ1741&lt;&gt;"Cancelled"),BF1741*10000+1740,"")</f>
        <v/>
      </c>
    </row>
    <row r="1742">
      <c r="AS1742" t="inlineStr">
        <is>
          <t>V</t>
        </is>
      </c>
      <c r="AT1742" t="n">
        <v>246</v>
      </c>
      <c r="AU1742">
        <f>'Variable Tasks'!C246&amp;""</f>
        <v/>
      </c>
      <c r="AV1742">
        <f>'Variable Tasks'!D246&amp;""</f>
        <v/>
      </c>
      <c r="AW1742">
        <f>IF('Variable Tasks'!E246="","",'Variable Tasks'!E246)</f>
        <v/>
      </c>
      <c r="AX1742">
        <f>IF('Variable Tasks'!G246="","",'Variable Tasks'!G246)</f>
        <v/>
      </c>
      <c r="AY1742">
        <f>IF('Variable Tasks'!H246="","",'Variable Tasks'!H246)</f>
        <v/>
      </c>
      <c r="AZ1742">
        <f>IF(AU1742="","",IF('Variable Tasks'!J246="","Not Started",'Variable Tasks'!J246))</f>
        <v/>
      </c>
      <c r="BA1742">
        <f>'Variable Tasks'!L246&amp;""</f>
        <v/>
      </c>
      <c r="BB1742">
        <f>'Variable Tasks'!M246&amp;""</f>
        <v/>
      </c>
      <c r="BC1742">
        <f>'Variable Tasks'!N246&amp;""</f>
        <v/>
      </c>
      <c r="BD1742">
        <f>'Variable Tasks'!O246&amp;""</f>
        <v/>
      </c>
      <c r="BE1742">
        <f>IF('Variable Tasks'!K246="","",'Variable Tasks'!K246)</f>
        <v/>
      </c>
      <c r="BF1742">
        <f>IFERROR(MATCH(BA1742,Setup!$L$6:$L$9,0),5)</f>
        <v/>
      </c>
      <c r="BG1742">
        <f>IF(OR(AZ1742="Done",AZ1742="Cancelled"),1,0)</f>
        <v/>
      </c>
      <c r="BH1742">
        <f>IF(AND(AU1742&lt;&gt;"",ISNUMBER(AW1742)),1,0)</f>
        <v/>
      </c>
      <c r="BI1742">
        <f>IF(BH1742=0,0,IF(AND(AW1742&gt;='Tasks Filter'!$F$3,AW1742&lt;='Tasks Filter'!$F$4,OR('Tasks Filter'!$I$3="",ISNUMBER(SEARCH('Tasks Filter'!$I$3,AU1742))),OR('Tasks Filter'!$I$4="",BF1742=IFERROR(MATCH('Tasks Filter'!$I$4,Setup!$L$6:$L$9,0),0)),OR('Tasks Filter'!$I$5="Both",AND('Tasks Filter'!$I$5="Yes",BB1742="✓"),AND('Tasks Filter'!$I$5="No",BB1742&lt;&gt;"✓")),OR('Tasks Filter'!$L$3="",AV1742='Tasks Filter'!$L$3),OR('Tasks Filter'!$L$4="",AZ1742='Tasks Filter'!$L$4),OR('Tasks Filter'!$L$5="",BC1742='Tasks Filter'!$L$5),OR('Tasks Filter'!$O$3="",BD1742='Tasks Filter'!$O$3),OR('Tasks Filter'!$O$4="Yes",BG1742=0)),1,0))</f>
        <v/>
      </c>
      <c r="BJ1742">
        <f>IF(BH1742=0,"",IF('Tasks Filter'!$F$6="Descending",-1,1)*CHOOSE(MATCH('Tasks Filter'!$F$5,Lists!$G$2:$G$6,0),AW1742,BF1742,IFERROR(MATCH(AV1742,Setup!$F$6:$F$15,0),99),IFERROR(MATCH(BC1742,Setup!$H$6:$H$15,0),99),IFERROR(MATCH(AZ1742,Setup!$J$6:$J$11,0),99))*1E+9+(AW1742-40000)*10000+1741)</f>
        <v/>
      </c>
      <c r="BK1742">
        <f>IF(BI1742=1,BJ1742,"")</f>
        <v/>
      </c>
      <c r="BL1742">
        <f>IF(AND(BH1742=1,BG1742=0,N(AW1742)&lt;Setup!$D$7),(AW1742-40000)*10000+1741,"")</f>
        <v/>
      </c>
      <c r="BM1742">
        <f>IF(AND(BH1742=1,AZ1742&lt;&gt;"Cancelled",N(AW1742)&gt;=Dashboard!$AB$3,N(AW1742)&lt;=Dashboard!$AB$3+6),(AW1742-40000)*100000+BF1742*10000+1741,"")</f>
        <v/>
      </c>
      <c r="BN1742">
        <f>IF(AND(BH1742=1,AZ1742&lt;&gt;"Cancelled"),BF1742*10000+1741,"")</f>
        <v/>
      </c>
    </row>
    <row r="1743">
      <c r="AS1743" t="inlineStr">
        <is>
          <t>V</t>
        </is>
      </c>
      <c r="AT1743" t="n">
        <v>247</v>
      </c>
      <c r="AU1743">
        <f>'Variable Tasks'!C247&amp;""</f>
        <v/>
      </c>
      <c r="AV1743">
        <f>'Variable Tasks'!D247&amp;""</f>
        <v/>
      </c>
      <c r="AW1743">
        <f>IF('Variable Tasks'!E247="","",'Variable Tasks'!E247)</f>
        <v/>
      </c>
      <c r="AX1743">
        <f>IF('Variable Tasks'!G247="","",'Variable Tasks'!G247)</f>
        <v/>
      </c>
      <c r="AY1743">
        <f>IF('Variable Tasks'!H247="","",'Variable Tasks'!H247)</f>
        <v/>
      </c>
      <c r="AZ1743">
        <f>IF(AU1743="","",IF('Variable Tasks'!J247="","Not Started",'Variable Tasks'!J247))</f>
        <v/>
      </c>
      <c r="BA1743">
        <f>'Variable Tasks'!L247&amp;""</f>
        <v/>
      </c>
      <c r="BB1743">
        <f>'Variable Tasks'!M247&amp;""</f>
        <v/>
      </c>
      <c r="BC1743">
        <f>'Variable Tasks'!N247&amp;""</f>
        <v/>
      </c>
      <c r="BD1743">
        <f>'Variable Tasks'!O247&amp;""</f>
        <v/>
      </c>
      <c r="BE1743">
        <f>IF('Variable Tasks'!K247="","",'Variable Tasks'!K247)</f>
        <v/>
      </c>
      <c r="BF1743">
        <f>IFERROR(MATCH(BA1743,Setup!$L$6:$L$9,0),5)</f>
        <v/>
      </c>
      <c r="BG1743">
        <f>IF(OR(AZ1743="Done",AZ1743="Cancelled"),1,0)</f>
        <v/>
      </c>
      <c r="BH1743">
        <f>IF(AND(AU1743&lt;&gt;"",ISNUMBER(AW1743)),1,0)</f>
        <v/>
      </c>
      <c r="BI1743">
        <f>IF(BH1743=0,0,IF(AND(AW1743&gt;='Tasks Filter'!$F$3,AW1743&lt;='Tasks Filter'!$F$4,OR('Tasks Filter'!$I$3="",ISNUMBER(SEARCH('Tasks Filter'!$I$3,AU1743))),OR('Tasks Filter'!$I$4="",BF1743=IFERROR(MATCH('Tasks Filter'!$I$4,Setup!$L$6:$L$9,0),0)),OR('Tasks Filter'!$I$5="Both",AND('Tasks Filter'!$I$5="Yes",BB1743="✓"),AND('Tasks Filter'!$I$5="No",BB1743&lt;&gt;"✓")),OR('Tasks Filter'!$L$3="",AV1743='Tasks Filter'!$L$3),OR('Tasks Filter'!$L$4="",AZ1743='Tasks Filter'!$L$4),OR('Tasks Filter'!$L$5="",BC1743='Tasks Filter'!$L$5),OR('Tasks Filter'!$O$3="",BD1743='Tasks Filter'!$O$3),OR('Tasks Filter'!$O$4="Yes",BG1743=0)),1,0))</f>
        <v/>
      </c>
      <c r="BJ1743">
        <f>IF(BH1743=0,"",IF('Tasks Filter'!$F$6="Descending",-1,1)*CHOOSE(MATCH('Tasks Filter'!$F$5,Lists!$G$2:$G$6,0),AW1743,BF1743,IFERROR(MATCH(AV1743,Setup!$F$6:$F$15,0),99),IFERROR(MATCH(BC1743,Setup!$H$6:$H$15,0),99),IFERROR(MATCH(AZ1743,Setup!$J$6:$J$11,0),99))*1E+9+(AW1743-40000)*10000+1742)</f>
        <v/>
      </c>
      <c r="BK1743">
        <f>IF(BI1743=1,BJ1743,"")</f>
        <v/>
      </c>
      <c r="BL1743">
        <f>IF(AND(BH1743=1,BG1743=0,N(AW1743)&lt;Setup!$D$7),(AW1743-40000)*10000+1742,"")</f>
        <v/>
      </c>
      <c r="BM1743">
        <f>IF(AND(BH1743=1,AZ1743&lt;&gt;"Cancelled",N(AW1743)&gt;=Dashboard!$AB$3,N(AW1743)&lt;=Dashboard!$AB$3+6),(AW1743-40000)*100000+BF1743*10000+1742,"")</f>
        <v/>
      </c>
      <c r="BN1743">
        <f>IF(AND(BH1743=1,AZ1743&lt;&gt;"Cancelled"),BF1743*10000+1742,"")</f>
        <v/>
      </c>
    </row>
    <row r="1744">
      <c r="AS1744" t="inlineStr">
        <is>
          <t>V</t>
        </is>
      </c>
      <c r="AT1744" t="n">
        <v>248</v>
      </c>
      <c r="AU1744">
        <f>'Variable Tasks'!C248&amp;""</f>
        <v/>
      </c>
      <c r="AV1744">
        <f>'Variable Tasks'!D248&amp;""</f>
        <v/>
      </c>
      <c r="AW1744">
        <f>IF('Variable Tasks'!E248="","",'Variable Tasks'!E248)</f>
        <v/>
      </c>
      <c r="AX1744">
        <f>IF('Variable Tasks'!G248="","",'Variable Tasks'!G248)</f>
        <v/>
      </c>
      <c r="AY1744">
        <f>IF('Variable Tasks'!H248="","",'Variable Tasks'!H248)</f>
        <v/>
      </c>
      <c r="AZ1744">
        <f>IF(AU1744="","",IF('Variable Tasks'!J248="","Not Started",'Variable Tasks'!J248))</f>
        <v/>
      </c>
      <c r="BA1744">
        <f>'Variable Tasks'!L248&amp;""</f>
        <v/>
      </c>
      <c r="BB1744">
        <f>'Variable Tasks'!M248&amp;""</f>
        <v/>
      </c>
      <c r="BC1744">
        <f>'Variable Tasks'!N248&amp;""</f>
        <v/>
      </c>
      <c r="BD1744">
        <f>'Variable Tasks'!O248&amp;""</f>
        <v/>
      </c>
      <c r="BE1744">
        <f>IF('Variable Tasks'!K248="","",'Variable Tasks'!K248)</f>
        <v/>
      </c>
      <c r="BF1744">
        <f>IFERROR(MATCH(BA1744,Setup!$L$6:$L$9,0),5)</f>
        <v/>
      </c>
      <c r="BG1744">
        <f>IF(OR(AZ1744="Done",AZ1744="Cancelled"),1,0)</f>
        <v/>
      </c>
      <c r="BH1744">
        <f>IF(AND(AU1744&lt;&gt;"",ISNUMBER(AW1744)),1,0)</f>
        <v/>
      </c>
      <c r="BI1744">
        <f>IF(BH1744=0,0,IF(AND(AW1744&gt;='Tasks Filter'!$F$3,AW1744&lt;='Tasks Filter'!$F$4,OR('Tasks Filter'!$I$3="",ISNUMBER(SEARCH('Tasks Filter'!$I$3,AU1744))),OR('Tasks Filter'!$I$4="",BF1744=IFERROR(MATCH('Tasks Filter'!$I$4,Setup!$L$6:$L$9,0),0)),OR('Tasks Filter'!$I$5="Both",AND('Tasks Filter'!$I$5="Yes",BB1744="✓"),AND('Tasks Filter'!$I$5="No",BB1744&lt;&gt;"✓")),OR('Tasks Filter'!$L$3="",AV1744='Tasks Filter'!$L$3),OR('Tasks Filter'!$L$4="",AZ1744='Tasks Filter'!$L$4),OR('Tasks Filter'!$L$5="",BC1744='Tasks Filter'!$L$5),OR('Tasks Filter'!$O$3="",BD1744='Tasks Filter'!$O$3),OR('Tasks Filter'!$O$4="Yes",BG1744=0)),1,0))</f>
        <v/>
      </c>
      <c r="BJ1744">
        <f>IF(BH1744=0,"",IF('Tasks Filter'!$F$6="Descending",-1,1)*CHOOSE(MATCH('Tasks Filter'!$F$5,Lists!$G$2:$G$6,0),AW1744,BF1744,IFERROR(MATCH(AV1744,Setup!$F$6:$F$15,0),99),IFERROR(MATCH(BC1744,Setup!$H$6:$H$15,0),99),IFERROR(MATCH(AZ1744,Setup!$J$6:$J$11,0),99))*1E+9+(AW1744-40000)*10000+1743)</f>
        <v/>
      </c>
      <c r="BK1744">
        <f>IF(BI1744=1,BJ1744,"")</f>
        <v/>
      </c>
      <c r="BL1744">
        <f>IF(AND(BH1744=1,BG1744=0,N(AW1744)&lt;Setup!$D$7),(AW1744-40000)*10000+1743,"")</f>
        <v/>
      </c>
      <c r="BM1744">
        <f>IF(AND(BH1744=1,AZ1744&lt;&gt;"Cancelled",N(AW1744)&gt;=Dashboard!$AB$3,N(AW1744)&lt;=Dashboard!$AB$3+6),(AW1744-40000)*100000+BF1744*10000+1743,"")</f>
        <v/>
      </c>
      <c r="BN1744">
        <f>IF(AND(BH1744=1,AZ1744&lt;&gt;"Cancelled"),BF1744*10000+1743,"")</f>
        <v/>
      </c>
    </row>
    <row r="1745">
      <c r="AS1745" t="inlineStr">
        <is>
          <t>V</t>
        </is>
      </c>
      <c r="AT1745" t="n">
        <v>249</v>
      </c>
      <c r="AU1745">
        <f>'Variable Tasks'!C249&amp;""</f>
        <v/>
      </c>
      <c r="AV1745">
        <f>'Variable Tasks'!D249&amp;""</f>
        <v/>
      </c>
      <c r="AW1745">
        <f>IF('Variable Tasks'!E249="","",'Variable Tasks'!E249)</f>
        <v/>
      </c>
      <c r="AX1745">
        <f>IF('Variable Tasks'!G249="","",'Variable Tasks'!G249)</f>
        <v/>
      </c>
      <c r="AY1745">
        <f>IF('Variable Tasks'!H249="","",'Variable Tasks'!H249)</f>
        <v/>
      </c>
      <c r="AZ1745">
        <f>IF(AU1745="","",IF('Variable Tasks'!J249="","Not Started",'Variable Tasks'!J249))</f>
        <v/>
      </c>
      <c r="BA1745">
        <f>'Variable Tasks'!L249&amp;""</f>
        <v/>
      </c>
      <c r="BB1745">
        <f>'Variable Tasks'!M249&amp;""</f>
        <v/>
      </c>
      <c r="BC1745">
        <f>'Variable Tasks'!N249&amp;""</f>
        <v/>
      </c>
      <c r="BD1745">
        <f>'Variable Tasks'!O249&amp;""</f>
        <v/>
      </c>
      <c r="BE1745">
        <f>IF('Variable Tasks'!K249="","",'Variable Tasks'!K249)</f>
        <v/>
      </c>
      <c r="BF1745">
        <f>IFERROR(MATCH(BA1745,Setup!$L$6:$L$9,0),5)</f>
        <v/>
      </c>
      <c r="BG1745">
        <f>IF(OR(AZ1745="Done",AZ1745="Cancelled"),1,0)</f>
        <v/>
      </c>
      <c r="BH1745">
        <f>IF(AND(AU1745&lt;&gt;"",ISNUMBER(AW1745)),1,0)</f>
        <v/>
      </c>
      <c r="BI1745">
        <f>IF(BH1745=0,0,IF(AND(AW1745&gt;='Tasks Filter'!$F$3,AW1745&lt;='Tasks Filter'!$F$4,OR('Tasks Filter'!$I$3="",ISNUMBER(SEARCH('Tasks Filter'!$I$3,AU1745))),OR('Tasks Filter'!$I$4="",BF1745=IFERROR(MATCH('Tasks Filter'!$I$4,Setup!$L$6:$L$9,0),0)),OR('Tasks Filter'!$I$5="Both",AND('Tasks Filter'!$I$5="Yes",BB1745="✓"),AND('Tasks Filter'!$I$5="No",BB1745&lt;&gt;"✓")),OR('Tasks Filter'!$L$3="",AV1745='Tasks Filter'!$L$3),OR('Tasks Filter'!$L$4="",AZ1745='Tasks Filter'!$L$4),OR('Tasks Filter'!$L$5="",BC1745='Tasks Filter'!$L$5),OR('Tasks Filter'!$O$3="",BD1745='Tasks Filter'!$O$3),OR('Tasks Filter'!$O$4="Yes",BG1745=0)),1,0))</f>
        <v/>
      </c>
      <c r="BJ1745">
        <f>IF(BH1745=0,"",IF('Tasks Filter'!$F$6="Descending",-1,1)*CHOOSE(MATCH('Tasks Filter'!$F$5,Lists!$G$2:$G$6,0),AW1745,BF1745,IFERROR(MATCH(AV1745,Setup!$F$6:$F$15,0),99),IFERROR(MATCH(BC1745,Setup!$H$6:$H$15,0),99),IFERROR(MATCH(AZ1745,Setup!$J$6:$J$11,0),99))*1E+9+(AW1745-40000)*10000+1744)</f>
        <v/>
      </c>
      <c r="BK1745">
        <f>IF(BI1745=1,BJ1745,"")</f>
        <v/>
      </c>
      <c r="BL1745">
        <f>IF(AND(BH1745=1,BG1745=0,N(AW1745)&lt;Setup!$D$7),(AW1745-40000)*10000+1744,"")</f>
        <v/>
      </c>
      <c r="BM1745">
        <f>IF(AND(BH1745=1,AZ1745&lt;&gt;"Cancelled",N(AW1745)&gt;=Dashboard!$AB$3,N(AW1745)&lt;=Dashboard!$AB$3+6),(AW1745-40000)*100000+BF1745*10000+1744,"")</f>
        <v/>
      </c>
      <c r="BN1745">
        <f>IF(AND(BH1745=1,AZ1745&lt;&gt;"Cancelled"),BF1745*10000+1744,"")</f>
        <v/>
      </c>
    </row>
    <row r="1746">
      <c r="AS1746" t="inlineStr">
        <is>
          <t>V</t>
        </is>
      </c>
      <c r="AT1746" t="n">
        <v>250</v>
      </c>
      <c r="AU1746">
        <f>'Variable Tasks'!C250&amp;""</f>
        <v/>
      </c>
      <c r="AV1746">
        <f>'Variable Tasks'!D250&amp;""</f>
        <v/>
      </c>
      <c r="AW1746">
        <f>IF('Variable Tasks'!E250="","",'Variable Tasks'!E250)</f>
        <v/>
      </c>
      <c r="AX1746">
        <f>IF('Variable Tasks'!G250="","",'Variable Tasks'!G250)</f>
        <v/>
      </c>
      <c r="AY1746">
        <f>IF('Variable Tasks'!H250="","",'Variable Tasks'!H250)</f>
        <v/>
      </c>
      <c r="AZ1746">
        <f>IF(AU1746="","",IF('Variable Tasks'!J250="","Not Started",'Variable Tasks'!J250))</f>
        <v/>
      </c>
      <c r="BA1746">
        <f>'Variable Tasks'!L250&amp;""</f>
        <v/>
      </c>
      <c r="BB1746">
        <f>'Variable Tasks'!M250&amp;""</f>
        <v/>
      </c>
      <c r="BC1746">
        <f>'Variable Tasks'!N250&amp;""</f>
        <v/>
      </c>
      <c r="BD1746">
        <f>'Variable Tasks'!O250&amp;""</f>
        <v/>
      </c>
      <c r="BE1746">
        <f>IF('Variable Tasks'!K250="","",'Variable Tasks'!K250)</f>
        <v/>
      </c>
      <c r="BF1746">
        <f>IFERROR(MATCH(BA1746,Setup!$L$6:$L$9,0),5)</f>
        <v/>
      </c>
      <c r="BG1746">
        <f>IF(OR(AZ1746="Done",AZ1746="Cancelled"),1,0)</f>
        <v/>
      </c>
      <c r="BH1746">
        <f>IF(AND(AU1746&lt;&gt;"",ISNUMBER(AW1746)),1,0)</f>
        <v/>
      </c>
      <c r="BI1746">
        <f>IF(BH1746=0,0,IF(AND(AW1746&gt;='Tasks Filter'!$F$3,AW1746&lt;='Tasks Filter'!$F$4,OR('Tasks Filter'!$I$3="",ISNUMBER(SEARCH('Tasks Filter'!$I$3,AU1746))),OR('Tasks Filter'!$I$4="",BF1746=IFERROR(MATCH('Tasks Filter'!$I$4,Setup!$L$6:$L$9,0),0)),OR('Tasks Filter'!$I$5="Both",AND('Tasks Filter'!$I$5="Yes",BB1746="✓"),AND('Tasks Filter'!$I$5="No",BB1746&lt;&gt;"✓")),OR('Tasks Filter'!$L$3="",AV1746='Tasks Filter'!$L$3),OR('Tasks Filter'!$L$4="",AZ1746='Tasks Filter'!$L$4),OR('Tasks Filter'!$L$5="",BC1746='Tasks Filter'!$L$5),OR('Tasks Filter'!$O$3="",BD1746='Tasks Filter'!$O$3),OR('Tasks Filter'!$O$4="Yes",BG1746=0)),1,0))</f>
        <v/>
      </c>
      <c r="BJ1746">
        <f>IF(BH1746=0,"",IF('Tasks Filter'!$F$6="Descending",-1,1)*CHOOSE(MATCH('Tasks Filter'!$F$5,Lists!$G$2:$G$6,0),AW1746,BF1746,IFERROR(MATCH(AV1746,Setup!$F$6:$F$15,0),99),IFERROR(MATCH(BC1746,Setup!$H$6:$H$15,0),99),IFERROR(MATCH(AZ1746,Setup!$J$6:$J$11,0),99))*1E+9+(AW1746-40000)*10000+1745)</f>
        <v/>
      </c>
      <c r="BK1746">
        <f>IF(BI1746=1,BJ1746,"")</f>
        <v/>
      </c>
      <c r="BL1746">
        <f>IF(AND(BH1746=1,BG1746=0,N(AW1746)&lt;Setup!$D$7),(AW1746-40000)*10000+1745,"")</f>
        <v/>
      </c>
      <c r="BM1746">
        <f>IF(AND(BH1746=1,AZ1746&lt;&gt;"Cancelled",N(AW1746)&gt;=Dashboard!$AB$3,N(AW1746)&lt;=Dashboard!$AB$3+6),(AW1746-40000)*100000+BF1746*10000+1745,"")</f>
        <v/>
      </c>
      <c r="BN1746">
        <f>IF(AND(BH1746=1,AZ1746&lt;&gt;"Cancelled"),BF1746*10000+1745,"")</f>
        <v/>
      </c>
    </row>
    <row r="1747">
      <c r="AS1747" t="inlineStr">
        <is>
          <t>V</t>
        </is>
      </c>
      <c r="AT1747" t="n">
        <v>251</v>
      </c>
      <c r="AU1747">
        <f>'Variable Tasks'!C251&amp;""</f>
        <v/>
      </c>
      <c r="AV1747">
        <f>'Variable Tasks'!D251&amp;""</f>
        <v/>
      </c>
      <c r="AW1747">
        <f>IF('Variable Tasks'!E251="","",'Variable Tasks'!E251)</f>
        <v/>
      </c>
      <c r="AX1747">
        <f>IF('Variable Tasks'!G251="","",'Variable Tasks'!G251)</f>
        <v/>
      </c>
      <c r="AY1747">
        <f>IF('Variable Tasks'!H251="","",'Variable Tasks'!H251)</f>
        <v/>
      </c>
      <c r="AZ1747">
        <f>IF(AU1747="","",IF('Variable Tasks'!J251="","Not Started",'Variable Tasks'!J251))</f>
        <v/>
      </c>
      <c r="BA1747">
        <f>'Variable Tasks'!L251&amp;""</f>
        <v/>
      </c>
      <c r="BB1747">
        <f>'Variable Tasks'!M251&amp;""</f>
        <v/>
      </c>
      <c r="BC1747">
        <f>'Variable Tasks'!N251&amp;""</f>
        <v/>
      </c>
      <c r="BD1747">
        <f>'Variable Tasks'!O251&amp;""</f>
        <v/>
      </c>
      <c r="BE1747">
        <f>IF('Variable Tasks'!K251="","",'Variable Tasks'!K251)</f>
        <v/>
      </c>
      <c r="BF1747">
        <f>IFERROR(MATCH(BA1747,Setup!$L$6:$L$9,0),5)</f>
        <v/>
      </c>
      <c r="BG1747">
        <f>IF(OR(AZ1747="Done",AZ1747="Cancelled"),1,0)</f>
        <v/>
      </c>
      <c r="BH1747">
        <f>IF(AND(AU1747&lt;&gt;"",ISNUMBER(AW1747)),1,0)</f>
        <v/>
      </c>
      <c r="BI1747">
        <f>IF(BH1747=0,0,IF(AND(AW1747&gt;='Tasks Filter'!$F$3,AW1747&lt;='Tasks Filter'!$F$4,OR('Tasks Filter'!$I$3="",ISNUMBER(SEARCH('Tasks Filter'!$I$3,AU1747))),OR('Tasks Filter'!$I$4="",BF1747=IFERROR(MATCH('Tasks Filter'!$I$4,Setup!$L$6:$L$9,0),0)),OR('Tasks Filter'!$I$5="Both",AND('Tasks Filter'!$I$5="Yes",BB1747="✓"),AND('Tasks Filter'!$I$5="No",BB1747&lt;&gt;"✓")),OR('Tasks Filter'!$L$3="",AV1747='Tasks Filter'!$L$3),OR('Tasks Filter'!$L$4="",AZ1747='Tasks Filter'!$L$4),OR('Tasks Filter'!$L$5="",BC1747='Tasks Filter'!$L$5),OR('Tasks Filter'!$O$3="",BD1747='Tasks Filter'!$O$3),OR('Tasks Filter'!$O$4="Yes",BG1747=0)),1,0))</f>
        <v/>
      </c>
      <c r="BJ1747">
        <f>IF(BH1747=0,"",IF('Tasks Filter'!$F$6="Descending",-1,1)*CHOOSE(MATCH('Tasks Filter'!$F$5,Lists!$G$2:$G$6,0),AW1747,BF1747,IFERROR(MATCH(AV1747,Setup!$F$6:$F$15,0),99),IFERROR(MATCH(BC1747,Setup!$H$6:$H$15,0),99),IFERROR(MATCH(AZ1747,Setup!$J$6:$J$11,0),99))*1E+9+(AW1747-40000)*10000+1746)</f>
        <v/>
      </c>
      <c r="BK1747">
        <f>IF(BI1747=1,BJ1747,"")</f>
        <v/>
      </c>
      <c r="BL1747">
        <f>IF(AND(BH1747=1,BG1747=0,N(AW1747)&lt;Setup!$D$7),(AW1747-40000)*10000+1746,"")</f>
        <v/>
      </c>
      <c r="BM1747">
        <f>IF(AND(BH1747=1,AZ1747&lt;&gt;"Cancelled",N(AW1747)&gt;=Dashboard!$AB$3,N(AW1747)&lt;=Dashboard!$AB$3+6),(AW1747-40000)*100000+BF1747*10000+1746,"")</f>
        <v/>
      </c>
      <c r="BN1747">
        <f>IF(AND(BH1747=1,AZ1747&lt;&gt;"Cancelled"),BF1747*10000+1746,"")</f>
        <v/>
      </c>
    </row>
    <row r="1748">
      <c r="AS1748" t="inlineStr">
        <is>
          <t>V</t>
        </is>
      </c>
      <c r="AT1748" t="n">
        <v>252</v>
      </c>
      <c r="AU1748">
        <f>'Variable Tasks'!C252&amp;""</f>
        <v/>
      </c>
      <c r="AV1748">
        <f>'Variable Tasks'!D252&amp;""</f>
        <v/>
      </c>
      <c r="AW1748">
        <f>IF('Variable Tasks'!E252="","",'Variable Tasks'!E252)</f>
        <v/>
      </c>
      <c r="AX1748">
        <f>IF('Variable Tasks'!G252="","",'Variable Tasks'!G252)</f>
        <v/>
      </c>
      <c r="AY1748">
        <f>IF('Variable Tasks'!H252="","",'Variable Tasks'!H252)</f>
        <v/>
      </c>
      <c r="AZ1748">
        <f>IF(AU1748="","",IF('Variable Tasks'!J252="","Not Started",'Variable Tasks'!J252))</f>
        <v/>
      </c>
      <c r="BA1748">
        <f>'Variable Tasks'!L252&amp;""</f>
        <v/>
      </c>
      <c r="BB1748">
        <f>'Variable Tasks'!M252&amp;""</f>
        <v/>
      </c>
      <c r="BC1748">
        <f>'Variable Tasks'!N252&amp;""</f>
        <v/>
      </c>
      <c r="BD1748">
        <f>'Variable Tasks'!O252&amp;""</f>
        <v/>
      </c>
      <c r="BE1748">
        <f>IF('Variable Tasks'!K252="","",'Variable Tasks'!K252)</f>
        <v/>
      </c>
      <c r="BF1748">
        <f>IFERROR(MATCH(BA1748,Setup!$L$6:$L$9,0),5)</f>
        <v/>
      </c>
      <c r="BG1748">
        <f>IF(OR(AZ1748="Done",AZ1748="Cancelled"),1,0)</f>
        <v/>
      </c>
      <c r="BH1748">
        <f>IF(AND(AU1748&lt;&gt;"",ISNUMBER(AW1748)),1,0)</f>
        <v/>
      </c>
      <c r="BI1748">
        <f>IF(BH1748=0,0,IF(AND(AW1748&gt;='Tasks Filter'!$F$3,AW1748&lt;='Tasks Filter'!$F$4,OR('Tasks Filter'!$I$3="",ISNUMBER(SEARCH('Tasks Filter'!$I$3,AU1748))),OR('Tasks Filter'!$I$4="",BF1748=IFERROR(MATCH('Tasks Filter'!$I$4,Setup!$L$6:$L$9,0),0)),OR('Tasks Filter'!$I$5="Both",AND('Tasks Filter'!$I$5="Yes",BB1748="✓"),AND('Tasks Filter'!$I$5="No",BB1748&lt;&gt;"✓")),OR('Tasks Filter'!$L$3="",AV1748='Tasks Filter'!$L$3),OR('Tasks Filter'!$L$4="",AZ1748='Tasks Filter'!$L$4),OR('Tasks Filter'!$L$5="",BC1748='Tasks Filter'!$L$5),OR('Tasks Filter'!$O$3="",BD1748='Tasks Filter'!$O$3),OR('Tasks Filter'!$O$4="Yes",BG1748=0)),1,0))</f>
        <v/>
      </c>
      <c r="BJ1748">
        <f>IF(BH1748=0,"",IF('Tasks Filter'!$F$6="Descending",-1,1)*CHOOSE(MATCH('Tasks Filter'!$F$5,Lists!$G$2:$G$6,0),AW1748,BF1748,IFERROR(MATCH(AV1748,Setup!$F$6:$F$15,0),99),IFERROR(MATCH(BC1748,Setup!$H$6:$H$15,0),99),IFERROR(MATCH(AZ1748,Setup!$J$6:$J$11,0),99))*1E+9+(AW1748-40000)*10000+1747)</f>
        <v/>
      </c>
      <c r="BK1748">
        <f>IF(BI1748=1,BJ1748,"")</f>
        <v/>
      </c>
      <c r="BL1748">
        <f>IF(AND(BH1748=1,BG1748=0,N(AW1748)&lt;Setup!$D$7),(AW1748-40000)*10000+1747,"")</f>
        <v/>
      </c>
      <c r="BM1748">
        <f>IF(AND(BH1748=1,AZ1748&lt;&gt;"Cancelled",N(AW1748)&gt;=Dashboard!$AB$3,N(AW1748)&lt;=Dashboard!$AB$3+6),(AW1748-40000)*100000+BF1748*10000+1747,"")</f>
        <v/>
      </c>
      <c r="BN1748">
        <f>IF(AND(BH1748=1,AZ1748&lt;&gt;"Cancelled"),BF1748*10000+1747,"")</f>
        <v/>
      </c>
    </row>
    <row r="1749">
      <c r="AS1749" t="inlineStr">
        <is>
          <t>V</t>
        </is>
      </c>
      <c r="AT1749" t="n">
        <v>253</v>
      </c>
      <c r="AU1749">
        <f>'Variable Tasks'!C253&amp;""</f>
        <v/>
      </c>
      <c r="AV1749">
        <f>'Variable Tasks'!D253&amp;""</f>
        <v/>
      </c>
      <c r="AW1749">
        <f>IF('Variable Tasks'!E253="","",'Variable Tasks'!E253)</f>
        <v/>
      </c>
      <c r="AX1749">
        <f>IF('Variable Tasks'!G253="","",'Variable Tasks'!G253)</f>
        <v/>
      </c>
      <c r="AY1749">
        <f>IF('Variable Tasks'!H253="","",'Variable Tasks'!H253)</f>
        <v/>
      </c>
      <c r="AZ1749">
        <f>IF(AU1749="","",IF('Variable Tasks'!J253="","Not Started",'Variable Tasks'!J253))</f>
        <v/>
      </c>
      <c r="BA1749">
        <f>'Variable Tasks'!L253&amp;""</f>
        <v/>
      </c>
      <c r="BB1749">
        <f>'Variable Tasks'!M253&amp;""</f>
        <v/>
      </c>
      <c r="BC1749">
        <f>'Variable Tasks'!N253&amp;""</f>
        <v/>
      </c>
      <c r="BD1749">
        <f>'Variable Tasks'!O253&amp;""</f>
        <v/>
      </c>
      <c r="BE1749">
        <f>IF('Variable Tasks'!K253="","",'Variable Tasks'!K253)</f>
        <v/>
      </c>
      <c r="BF1749">
        <f>IFERROR(MATCH(BA1749,Setup!$L$6:$L$9,0),5)</f>
        <v/>
      </c>
      <c r="BG1749">
        <f>IF(OR(AZ1749="Done",AZ1749="Cancelled"),1,0)</f>
        <v/>
      </c>
      <c r="BH1749">
        <f>IF(AND(AU1749&lt;&gt;"",ISNUMBER(AW1749)),1,0)</f>
        <v/>
      </c>
      <c r="BI1749">
        <f>IF(BH1749=0,0,IF(AND(AW1749&gt;='Tasks Filter'!$F$3,AW1749&lt;='Tasks Filter'!$F$4,OR('Tasks Filter'!$I$3="",ISNUMBER(SEARCH('Tasks Filter'!$I$3,AU1749))),OR('Tasks Filter'!$I$4="",BF1749=IFERROR(MATCH('Tasks Filter'!$I$4,Setup!$L$6:$L$9,0),0)),OR('Tasks Filter'!$I$5="Both",AND('Tasks Filter'!$I$5="Yes",BB1749="✓"),AND('Tasks Filter'!$I$5="No",BB1749&lt;&gt;"✓")),OR('Tasks Filter'!$L$3="",AV1749='Tasks Filter'!$L$3),OR('Tasks Filter'!$L$4="",AZ1749='Tasks Filter'!$L$4),OR('Tasks Filter'!$L$5="",BC1749='Tasks Filter'!$L$5),OR('Tasks Filter'!$O$3="",BD1749='Tasks Filter'!$O$3),OR('Tasks Filter'!$O$4="Yes",BG1749=0)),1,0))</f>
        <v/>
      </c>
      <c r="BJ1749">
        <f>IF(BH1749=0,"",IF('Tasks Filter'!$F$6="Descending",-1,1)*CHOOSE(MATCH('Tasks Filter'!$F$5,Lists!$G$2:$G$6,0),AW1749,BF1749,IFERROR(MATCH(AV1749,Setup!$F$6:$F$15,0),99),IFERROR(MATCH(BC1749,Setup!$H$6:$H$15,0),99),IFERROR(MATCH(AZ1749,Setup!$J$6:$J$11,0),99))*1E+9+(AW1749-40000)*10000+1748)</f>
        <v/>
      </c>
      <c r="BK1749">
        <f>IF(BI1749=1,BJ1749,"")</f>
        <v/>
      </c>
      <c r="BL1749">
        <f>IF(AND(BH1749=1,BG1749=0,N(AW1749)&lt;Setup!$D$7),(AW1749-40000)*10000+1748,"")</f>
        <v/>
      </c>
      <c r="BM1749">
        <f>IF(AND(BH1749=1,AZ1749&lt;&gt;"Cancelled",N(AW1749)&gt;=Dashboard!$AB$3,N(AW1749)&lt;=Dashboard!$AB$3+6),(AW1749-40000)*100000+BF1749*10000+1748,"")</f>
        <v/>
      </c>
      <c r="BN1749">
        <f>IF(AND(BH1749=1,AZ1749&lt;&gt;"Cancelled"),BF1749*10000+1748,"")</f>
        <v/>
      </c>
    </row>
    <row r="1750">
      <c r="AS1750" t="inlineStr">
        <is>
          <t>V</t>
        </is>
      </c>
      <c r="AT1750" t="n">
        <v>254</v>
      </c>
      <c r="AU1750">
        <f>'Variable Tasks'!C254&amp;""</f>
        <v/>
      </c>
      <c r="AV1750">
        <f>'Variable Tasks'!D254&amp;""</f>
        <v/>
      </c>
      <c r="AW1750">
        <f>IF('Variable Tasks'!E254="","",'Variable Tasks'!E254)</f>
        <v/>
      </c>
      <c r="AX1750">
        <f>IF('Variable Tasks'!G254="","",'Variable Tasks'!G254)</f>
        <v/>
      </c>
      <c r="AY1750">
        <f>IF('Variable Tasks'!H254="","",'Variable Tasks'!H254)</f>
        <v/>
      </c>
      <c r="AZ1750">
        <f>IF(AU1750="","",IF('Variable Tasks'!J254="","Not Started",'Variable Tasks'!J254))</f>
        <v/>
      </c>
      <c r="BA1750">
        <f>'Variable Tasks'!L254&amp;""</f>
        <v/>
      </c>
      <c r="BB1750">
        <f>'Variable Tasks'!M254&amp;""</f>
        <v/>
      </c>
      <c r="BC1750">
        <f>'Variable Tasks'!N254&amp;""</f>
        <v/>
      </c>
      <c r="BD1750">
        <f>'Variable Tasks'!O254&amp;""</f>
        <v/>
      </c>
      <c r="BE1750">
        <f>IF('Variable Tasks'!K254="","",'Variable Tasks'!K254)</f>
        <v/>
      </c>
      <c r="BF1750">
        <f>IFERROR(MATCH(BA1750,Setup!$L$6:$L$9,0),5)</f>
        <v/>
      </c>
      <c r="BG1750">
        <f>IF(OR(AZ1750="Done",AZ1750="Cancelled"),1,0)</f>
        <v/>
      </c>
      <c r="BH1750">
        <f>IF(AND(AU1750&lt;&gt;"",ISNUMBER(AW1750)),1,0)</f>
        <v/>
      </c>
      <c r="BI1750">
        <f>IF(BH1750=0,0,IF(AND(AW1750&gt;='Tasks Filter'!$F$3,AW1750&lt;='Tasks Filter'!$F$4,OR('Tasks Filter'!$I$3="",ISNUMBER(SEARCH('Tasks Filter'!$I$3,AU1750))),OR('Tasks Filter'!$I$4="",BF1750=IFERROR(MATCH('Tasks Filter'!$I$4,Setup!$L$6:$L$9,0),0)),OR('Tasks Filter'!$I$5="Both",AND('Tasks Filter'!$I$5="Yes",BB1750="✓"),AND('Tasks Filter'!$I$5="No",BB1750&lt;&gt;"✓")),OR('Tasks Filter'!$L$3="",AV1750='Tasks Filter'!$L$3),OR('Tasks Filter'!$L$4="",AZ1750='Tasks Filter'!$L$4),OR('Tasks Filter'!$L$5="",BC1750='Tasks Filter'!$L$5),OR('Tasks Filter'!$O$3="",BD1750='Tasks Filter'!$O$3),OR('Tasks Filter'!$O$4="Yes",BG1750=0)),1,0))</f>
        <v/>
      </c>
      <c r="BJ1750">
        <f>IF(BH1750=0,"",IF('Tasks Filter'!$F$6="Descending",-1,1)*CHOOSE(MATCH('Tasks Filter'!$F$5,Lists!$G$2:$G$6,0),AW1750,BF1750,IFERROR(MATCH(AV1750,Setup!$F$6:$F$15,0),99),IFERROR(MATCH(BC1750,Setup!$H$6:$H$15,0),99),IFERROR(MATCH(AZ1750,Setup!$J$6:$J$11,0),99))*1E+9+(AW1750-40000)*10000+1749)</f>
        <v/>
      </c>
      <c r="BK1750">
        <f>IF(BI1750=1,BJ1750,"")</f>
        <v/>
      </c>
      <c r="BL1750">
        <f>IF(AND(BH1750=1,BG1750=0,N(AW1750)&lt;Setup!$D$7),(AW1750-40000)*10000+1749,"")</f>
        <v/>
      </c>
      <c r="BM1750">
        <f>IF(AND(BH1750=1,AZ1750&lt;&gt;"Cancelled",N(AW1750)&gt;=Dashboard!$AB$3,N(AW1750)&lt;=Dashboard!$AB$3+6),(AW1750-40000)*100000+BF1750*10000+1749,"")</f>
        <v/>
      </c>
      <c r="BN1750">
        <f>IF(AND(BH1750=1,AZ1750&lt;&gt;"Cancelled"),BF1750*10000+1749,"")</f>
        <v/>
      </c>
    </row>
    <row r="1751">
      <c r="AS1751" t="inlineStr">
        <is>
          <t>V</t>
        </is>
      </c>
      <c r="AT1751" t="n">
        <v>255</v>
      </c>
      <c r="AU1751">
        <f>'Variable Tasks'!C255&amp;""</f>
        <v/>
      </c>
      <c r="AV1751">
        <f>'Variable Tasks'!D255&amp;""</f>
        <v/>
      </c>
      <c r="AW1751">
        <f>IF('Variable Tasks'!E255="","",'Variable Tasks'!E255)</f>
        <v/>
      </c>
      <c r="AX1751">
        <f>IF('Variable Tasks'!G255="","",'Variable Tasks'!G255)</f>
        <v/>
      </c>
      <c r="AY1751">
        <f>IF('Variable Tasks'!H255="","",'Variable Tasks'!H255)</f>
        <v/>
      </c>
      <c r="AZ1751">
        <f>IF(AU1751="","",IF('Variable Tasks'!J255="","Not Started",'Variable Tasks'!J255))</f>
        <v/>
      </c>
      <c r="BA1751">
        <f>'Variable Tasks'!L255&amp;""</f>
        <v/>
      </c>
      <c r="BB1751">
        <f>'Variable Tasks'!M255&amp;""</f>
        <v/>
      </c>
      <c r="BC1751">
        <f>'Variable Tasks'!N255&amp;""</f>
        <v/>
      </c>
      <c r="BD1751">
        <f>'Variable Tasks'!O255&amp;""</f>
        <v/>
      </c>
      <c r="BE1751">
        <f>IF('Variable Tasks'!K255="","",'Variable Tasks'!K255)</f>
        <v/>
      </c>
      <c r="BF1751">
        <f>IFERROR(MATCH(BA1751,Setup!$L$6:$L$9,0),5)</f>
        <v/>
      </c>
      <c r="BG1751">
        <f>IF(OR(AZ1751="Done",AZ1751="Cancelled"),1,0)</f>
        <v/>
      </c>
      <c r="BH1751">
        <f>IF(AND(AU1751&lt;&gt;"",ISNUMBER(AW1751)),1,0)</f>
        <v/>
      </c>
      <c r="BI1751">
        <f>IF(BH1751=0,0,IF(AND(AW1751&gt;='Tasks Filter'!$F$3,AW1751&lt;='Tasks Filter'!$F$4,OR('Tasks Filter'!$I$3="",ISNUMBER(SEARCH('Tasks Filter'!$I$3,AU1751))),OR('Tasks Filter'!$I$4="",BF1751=IFERROR(MATCH('Tasks Filter'!$I$4,Setup!$L$6:$L$9,0),0)),OR('Tasks Filter'!$I$5="Both",AND('Tasks Filter'!$I$5="Yes",BB1751="✓"),AND('Tasks Filter'!$I$5="No",BB1751&lt;&gt;"✓")),OR('Tasks Filter'!$L$3="",AV1751='Tasks Filter'!$L$3),OR('Tasks Filter'!$L$4="",AZ1751='Tasks Filter'!$L$4),OR('Tasks Filter'!$L$5="",BC1751='Tasks Filter'!$L$5),OR('Tasks Filter'!$O$3="",BD1751='Tasks Filter'!$O$3),OR('Tasks Filter'!$O$4="Yes",BG1751=0)),1,0))</f>
        <v/>
      </c>
      <c r="BJ1751">
        <f>IF(BH1751=0,"",IF('Tasks Filter'!$F$6="Descending",-1,1)*CHOOSE(MATCH('Tasks Filter'!$F$5,Lists!$G$2:$G$6,0),AW1751,BF1751,IFERROR(MATCH(AV1751,Setup!$F$6:$F$15,0),99),IFERROR(MATCH(BC1751,Setup!$H$6:$H$15,0),99),IFERROR(MATCH(AZ1751,Setup!$J$6:$J$11,0),99))*1E+9+(AW1751-40000)*10000+1750)</f>
        <v/>
      </c>
      <c r="BK1751">
        <f>IF(BI1751=1,BJ1751,"")</f>
        <v/>
      </c>
      <c r="BL1751">
        <f>IF(AND(BH1751=1,BG1751=0,N(AW1751)&lt;Setup!$D$7),(AW1751-40000)*10000+1750,"")</f>
        <v/>
      </c>
      <c r="BM1751">
        <f>IF(AND(BH1751=1,AZ1751&lt;&gt;"Cancelled",N(AW1751)&gt;=Dashboard!$AB$3,N(AW1751)&lt;=Dashboard!$AB$3+6),(AW1751-40000)*100000+BF1751*10000+1750,"")</f>
        <v/>
      </c>
      <c r="BN1751">
        <f>IF(AND(BH1751=1,AZ1751&lt;&gt;"Cancelled"),BF1751*10000+1750,"")</f>
        <v/>
      </c>
    </row>
    <row r="1752">
      <c r="AS1752" t="inlineStr">
        <is>
          <t>V</t>
        </is>
      </c>
      <c r="AT1752" t="n">
        <v>256</v>
      </c>
      <c r="AU1752">
        <f>'Variable Tasks'!C256&amp;""</f>
        <v/>
      </c>
      <c r="AV1752">
        <f>'Variable Tasks'!D256&amp;""</f>
        <v/>
      </c>
      <c r="AW1752">
        <f>IF('Variable Tasks'!E256="","",'Variable Tasks'!E256)</f>
        <v/>
      </c>
      <c r="AX1752">
        <f>IF('Variable Tasks'!G256="","",'Variable Tasks'!G256)</f>
        <v/>
      </c>
      <c r="AY1752">
        <f>IF('Variable Tasks'!H256="","",'Variable Tasks'!H256)</f>
        <v/>
      </c>
      <c r="AZ1752">
        <f>IF(AU1752="","",IF('Variable Tasks'!J256="","Not Started",'Variable Tasks'!J256))</f>
        <v/>
      </c>
      <c r="BA1752">
        <f>'Variable Tasks'!L256&amp;""</f>
        <v/>
      </c>
      <c r="BB1752">
        <f>'Variable Tasks'!M256&amp;""</f>
        <v/>
      </c>
      <c r="BC1752">
        <f>'Variable Tasks'!N256&amp;""</f>
        <v/>
      </c>
      <c r="BD1752">
        <f>'Variable Tasks'!O256&amp;""</f>
        <v/>
      </c>
      <c r="BE1752">
        <f>IF('Variable Tasks'!K256="","",'Variable Tasks'!K256)</f>
        <v/>
      </c>
      <c r="BF1752">
        <f>IFERROR(MATCH(BA1752,Setup!$L$6:$L$9,0),5)</f>
        <v/>
      </c>
      <c r="BG1752">
        <f>IF(OR(AZ1752="Done",AZ1752="Cancelled"),1,0)</f>
        <v/>
      </c>
      <c r="BH1752">
        <f>IF(AND(AU1752&lt;&gt;"",ISNUMBER(AW1752)),1,0)</f>
        <v/>
      </c>
      <c r="BI1752">
        <f>IF(BH1752=0,0,IF(AND(AW1752&gt;='Tasks Filter'!$F$3,AW1752&lt;='Tasks Filter'!$F$4,OR('Tasks Filter'!$I$3="",ISNUMBER(SEARCH('Tasks Filter'!$I$3,AU1752))),OR('Tasks Filter'!$I$4="",BF1752=IFERROR(MATCH('Tasks Filter'!$I$4,Setup!$L$6:$L$9,0),0)),OR('Tasks Filter'!$I$5="Both",AND('Tasks Filter'!$I$5="Yes",BB1752="✓"),AND('Tasks Filter'!$I$5="No",BB1752&lt;&gt;"✓")),OR('Tasks Filter'!$L$3="",AV1752='Tasks Filter'!$L$3),OR('Tasks Filter'!$L$4="",AZ1752='Tasks Filter'!$L$4),OR('Tasks Filter'!$L$5="",BC1752='Tasks Filter'!$L$5),OR('Tasks Filter'!$O$3="",BD1752='Tasks Filter'!$O$3),OR('Tasks Filter'!$O$4="Yes",BG1752=0)),1,0))</f>
        <v/>
      </c>
      <c r="BJ1752">
        <f>IF(BH1752=0,"",IF('Tasks Filter'!$F$6="Descending",-1,1)*CHOOSE(MATCH('Tasks Filter'!$F$5,Lists!$G$2:$G$6,0),AW1752,BF1752,IFERROR(MATCH(AV1752,Setup!$F$6:$F$15,0),99),IFERROR(MATCH(BC1752,Setup!$H$6:$H$15,0),99),IFERROR(MATCH(AZ1752,Setup!$J$6:$J$11,0),99))*1E+9+(AW1752-40000)*10000+1751)</f>
        <v/>
      </c>
      <c r="BK1752">
        <f>IF(BI1752=1,BJ1752,"")</f>
        <v/>
      </c>
      <c r="BL1752">
        <f>IF(AND(BH1752=1,BG1752=0,N(AW1752)&lt;Setup!$D$7),(AW1752-40000)*10000+1751,"")</f>
        <v/>
      </c>
      <c r="BM1752">
        <f>IF(AND(BH1752=1,AZ1752&lt;&gt;"Cancelled",N(AW1752)&gt;=Dashboard!$AB$3,N(AW1752)&lt;=Dashboard!$AB$3+6),(AW1752-40000)*100000+BF1752*10000+1751,"")</f>
        <v/>
      </c>
      <c r="BN1752">
        <f>IF(AND(BH1752=1,AZ1752&lt;&gt;"Cancelled"),BF1752*10000+1751,"")</f>
        <v/>
      </c>
    </row>
    <row r="1753">
      <c r="AS1753" t="inlineStr">
        <is>
          <t>V</t>
        </is>
      </c>
      <c r="AT1753" t="n">
        <v>257</v>
      </c>
      <c r="AU1753">
        <f>'Variable Tasks'!C257&amp;""</f>
        <v/>
      </c>
      <c r="AV1753">
        <f>'Variable Tasks'!D257&amp;""</f>
        <v/>
      </c>
      <c r="AW1753">
        <f>IF('Variable Tasks'!E257="","",'Variable Tasks'!E257)</f>
        <v/>
      </c>
      <c r="AX1753">
        <f>IF('Variable Tasks'!G257="","",'Variable Tasks'!G257)</f>
        <v/>
      </c>
      <c r="AY1753">
        <f>IF('Variable Tasks'!H257="","",'Variable Tasks'!H257)</f>
        <v/>
      </c>
      <c r="AZ1753">
        <f>IF(AU1753="","",IF('Variable Tasks'!J257="","Not Started",'Variable Tasks'!J257))</f>
        <v/>
      </c>
      <c r="BA1753">
        <f>'Variable Tasks'!L257&amp;""</f>
        <v/>
      </c>
      <c r="BB1753">
        <f>'Variable Tasks'!M257&amp;""</f>
        <v/>
      </c>
      <c r="BC1753">
        <f>'Variable Tasks'!N257&amp;""</f>
        <v/>
      </c>
      <c r="BD1753">
        <f>'Variable Tasks'!O257&amp;""</f>
        <v/>
      </c>
      <c r="BE1753">
        <f>IF('Variable Tasks'!K257="","",'Variable Tasks'!K257)</f>
        <v/>
      </c>
      <c r="BF1753">
        <f>IFERROR(MATCH(BA1753,Setup!$L$6:$L$9,0),5)</f>
        <v/>
      </c>
      <c r="BG1753">
        <f>IF(OR(AZ1753="Done",AZ1753="Cancelled"),1,0)</f>
        <v/>
      </c>
      <c r="BH1753">
        <f>IF(AND(AU1753&lt;&gt;"",ISNUMBER(AW1753)),1,0)</f>
        <v/>
      </c>
      <c r="BI1753">
        <f>IF(BH1753=0,0,IF(AND(AW1753&gt;='Tasks Filter'!$F$3,AW1753&lt;='Tasks Filter'!$F$4,OR('Tasks Filter'!$I$3="",ISNUMBER(SEARCH('Tasks Filter'!$I$3,AU1753))),OR('Tasks Filter'!$I$4="",BF1753=IFERROR(MATCH('Tasks Filter'!$I$4,Setup!$L$6:$L$9,0),0)),OR('Tasks Filter'!$I$5="Both",AND('Tasks Filter'!$I$5="Yes",BB1753="✓"),AND('Tasks Filter'!$I$5="No",BB1753&lt;&gt;"✓")),OR('Tasks Filter'!$L$3="",AV1753='Tasks Filter'!$L$3),OR('Tasks Filter'!$L$4="",AZ1753='Tasks Filter'!$L$4),OR('Tasks Filter'!$L$5="",BC1753='Tasks Filter'!$L$5),OR('Tasks Filter'!$O$3="",BD1753='Tasks Filter'!$O$3),OR('Tasks Filter'!$O$4="Yes",BG1753=0)),1,0))</f>
        <v/>
      </c>
      <c r="BJ1753">
        <f>IF(BH1753=0,"",IF('Tasks Filter'!$F$6="Descending",-1,1)*CHOOSE(MATCH('Tasks Filter'!$F$5,Lists!$G$2:$G$6,0),AW1753,BF1753,IFERROR(MATCH(AV1753,Setup!$F$6:$F$15,0),99),IFERROR(MATCH(BC1753,Setup!$H$6:$H$15,0),99),IFERROR(MATCH(AZ1753,Setup!$J$6:$J$11,0),99))*1E+9+(AW1753-40000)*10000+1752)</f>
        <v/>
      </c>
      <c r="BK1753">
        <f>IF(BI1753=1,BJ1753,"")</f>
        <v/>
      </c>
      <c r="BL1753">
        <f>IF(AND(BH1753=1,BG1753=0,N(AW1753)&lt;Setup!$D$7),(AW1753-40000)*10000+1752,"")</f>
        <v/>
      </c>
      <c r="BM1753">
        <f>IF(AND(BH1753=1,AZ1753&lt;&gt;"Cancelled",N(AW1753)&gt;=Dashboard!$AB$3,N(AW1753)&lt;=Dashboard!$AB$3+6),(AW1753-40000)*100000+BF1753*10000+1752,"")</f>
        <v/>
      </c>
      <c r="BN1753">
        <f>IF(AND(BH1753=1,AZ1753&lt;&gt;"Cancelled"),BF1753*10000+1752,"")</f>
        <v/>
      </c>
    </row>
    <row r="1754">
      <c r="AS1754" t="inlineStr">
        <is>
          <t>V</t>
        </is>
      </c>
      <c r="AT1754" t="n">
        <v>258</v>
      </c>
      <c r="AU1754">
        <f>'Variable Tasks'!C258&amp;""</f>
        <v/>
      </c>
      <c r="AV1754">
        <f>'Variable Tasks'!D258&amp;""</f>
        <v/>
      </c>
      <c r="AW1754">
        <f>IF('Variable Tasks'!E258="","",'Variable Tasks'!E258)</f>
        <v/>
      </c>
      <c r="AX1754">
        <f>IF('Variable Tasks'!G258="","",'Variable Tasks'!G258)</f>
        <v/>
      </c>
      <c r="AY1754">
        <f>IF('Variable Tasks'!H258="","",'Variable Tasks'!H258)</f>
        <v/>
      </c>
      <c r="AZ1754">
        <f>IF(AU1754="","",IF('Variable Tasks'!J258="","Not Started",'Variable Tasks'!J258))</f>
        <v/>
      </c>
      <c r="BA1754">
        <f>'Variable Tasks'!L258&amp;""</f>
        <v/>
      </c>
      <c r="BB1754">
        <f>'Variable Tasks'!M258&amp;""</f>
        <v/>
      </c>
      <c r="BC1754">
        <f>'Variable Tasks'!N258&amp;""</f>
        <v/>
      </c>
      <c r="BD1754">
        <f>'Variable Tasks'!O258&amp;""</f>
        <v/>
      </c>
      <c r="BE1754">
        <f>IF('Variable Tasks'!K258="","",'Variable Tasks'!K258)</f>
        <v/>
      </c>
      <c r="BF1754">
        <f>IFERROR(MATCH(BA1754,Setup!$L$6:$L$9,0),5)</f>
        <v/>
      </c>
      <c r="BG1754">
        <f>IF(OR(AZ1754="Done",AZ1754="Cancelled"),1,0)</f>
        <v/>
      </c>
      <c r="BH1754">
        <f>IF(AND(AU1754&lt;&gt;"",ISNUMBER(AW1754)),1,0)</f>
        <v/>
      </c>
      <c r="BI1754">
        <f>IF(BH1754=0,0,IF(AND(AW1754&gt;='Tasks Filter'!$F$3,AW1754&lt;='Tasks Filter'!$F$4,OR('Tasks Filter'!$I$3="",ISNUMBER(SEARCH('Tasks Filter'!$I$3,AU1754))),OR('Tasks Filter'!$I$4="",BF1754=IFERROR(MATCH('Tasks Filter'!$I$4,Setup!$L$6:$L$9,0),0)),OR('Tasks Filter'!$I$5="Both",AND('Tasks Filter'!$I$5="Yes",BB1754="✓"),AND('Tasks Filter'!$I$5="No",BB1754&lt;&gt;"✓")),OR('Tasks Filter'!$L$3="",AV1754='Tasks Filter'!$L$3),OR('Tasks Filter'!$L$4="",AZ1754='Tasks Filter'!$L$4),OR('Tasks Filter'!$L$5="",BC1754='Tasks Filter'!$L$5),OR('Tasks Filter'!$O$3="",BD1754='Tasks Filter'!$O$3),OR('Tasks Filter'!$O$4="Yes",BG1754=0)),1,0))</f>
        <v/>
      </c>
      <c r="BJ1754">
        <f>IF(BH1754=0,"",IF('Tasks Filter'!$F$6="Descending",-1,1)*CHOOSE(MATCH('Tasks Filter'!$F$5,Lists!$G$2:$G$6,0),AW1754,BF1754,IFERROR(MATCH(AV1754,Setup!$F$6:$F$15,0),99),IFERROR(MATCH(BC1754,Setup!$H$6:$H$15,0),99),IFERROR(MATCH(AZ1754,Setup!$J$6:$J$11,0),99))*1E+9+(AW1754-40000)*10000+1753)</f>
        <v/>
      </c>
      <c r="BK1754">
        <f>IF(BI1754=1,BJ1754,"")</f>
        <v/>
      </c>
      <c r="BL1754">
        <f>IF(AND(BH1754=1,BG1754=0,N(AW1754)&lt;Setup!$D$7),(AW1754-40000)*10000+1753,"")</f>
        <v/>
      </c>
      <c r="BM1754">
        <f>IF(AND(BH1754=1,AZ1754&lt;&gt;"Cancelled",N(AW1754)&gt;=Dashboard!$AB$3,N(AW1754)&lt;=Dashboard!$AB$3+6),(AW1754-40000)*100000+BF1754*10000+1753,"")</f>
        <v/>
      </c>
      <c r="BN1754">
        <f>IF(AND(BH1754=1,AZ1754&lt;&gt;"Cancelled"),BF1754*10000+1753,"")</f>
        <v/>
      </c>
    </row>
    <row r="1755">
      <c r="AS1755" t="inlineStr">
        <is>
          <t>V</t>
        </is>
      </c>
      <c r="AT1755" t="n">
        <v>259</v>
      </c>
      <c r="AU1755">
        <f>'Variable Tasks'!C259&amp;""</f>
        <v/>
      </c>
      <c r="AV1755">
        <f>'Variable Tasks'!D259&amp;""</f>
        <v/>
      </c>
      <c r="AW1755">
        <f>IF('Variable Tasks'!E259="","",'Variable Tasks'!E259)</f>
        <v/>
      </c>
      <c r="AX1755">
        <f>IF('Variable Tasks'!G259="","",'Variable Tasks'!G259)</f>
        <v/>
      </c>
      <c r="AY1755">
        <f>IF('Variable Tasks'!H259="","",'Variable Tasks'!H259)</f>
        <v/>
      </c>
      <c r="AZ1755">
        <f>IF(AU1755="","",IF('Variable Tasks'!J259="","Not Started",'Variable Tasks'!J259))</f>
        <v/>
      </c>
      <c r="BA1755">
        <f>'Variable Tasks'!L259&amp;""</f>
        <v/>
      </c>
      <c r="BB1755">
        <f>'Variable Tasks'!M259&amp;""</f>
        <v/>
      </c>
      <c r="BC1755">
        <f>'Variable Tasks'!N259&amp;""</f>
        <v/>
      </c>
      <c r="BD1755">
        <f>'Variable Tasks'!O259&amp;""</f>
        <v/>
      </c>
      <c r="BE1755">
        <f>IF('Variable Tasks'!K259="","",'Variable Tasks'!K259)</f>
        <v/>
      </c>
      <c r="BF1755">
        <f>IFERROR(MATCH(BA1755,Setup!$L$6:$L$9,0),5)</f>
        <v/>
      </c>
      <c r="BG1755">
        <f>IF(OR(AZ1755="Done",AZ1755="Cancelled"),1,0)</f>
        <v/>
      </c>
      <c r="BH1755">
        <f>IF(AND(AU1755&lt;&gt;"",ISNUMBER(AW1755)),1,0)</f>
        <v/>
      </c>
      <c r="BI1755">
        <f>IF(BH1755=0,0,IF(AND(AW1755&gt;='Tasks Filter'!$F$3,AW1755&lt;='Tasks Filter'!$F$4,OR('Tasks Filter'!$I$3="",ISNUMBER(SEARCH('Tasks Filter'!$I$3,AU1755))),OR('Tasks Filter'!$I$4="",BF1755=IFERROR(MATCH('Tasks Filter'!$I$4,Setup!$L$6:$L$9,0),0)),OR('Tasks Filter'!$I$5="Both",AND('Tasks Filter'!$I$5="Yes",BB1755="✓"),AND('Tasks Filter'!$I$5="No",BB1755&lt;&gt;"✓")),OR('Tasks Filter'!$L$3="",AV1755='Tasks Filter'!$L$3),OR('Tasks Filter'!$L$4="",AZ1755='Tasks Filter'!$L$4),OR('Tasks Filter'!$L$5="",BC1755='Tasks Filter'!$L$5),OR('Tasks Filter'!$O$3="",BD1755='Tasks Filter'!$O$3),OR('Tasks Filter'!$O$4="Yes",BG1755=0)),1,0))</f>
        <v/>
      </c>
      <c r="BJ1755">
        <f>IF(BH1755=0,"",IF('Tasks Filter'!$F$6="Descending",-1,1)*CHOOSE(MATCH('Tasks Filter'!$F$5,Lists!$G$2:$G$6,0),AW1755,BF1755,IFERROR(MATCH(AV1755,Setup!$F$6:$F$15,0),99),IFERROR(MATCH(BC1755,Setup!$H$6:$H$15,0),99),IFERROR(MATCH(AZ1755,Setup!$J$6:$J$11,0),99))*1E+9+(AW1755-40000)*10000+1754)</f>
        <v/>
      </c>
      <c r="BK1755">
        <f>IF(BI1755=1,BJ1755,"")</f>
        <v/>
      </c>
      <c r="BL1755">
        <f>IF(AND(BH1755=1,BG1755=0,N(AW1755)&lt;Setup!$D$7),(AW1755-40000)*10000+1754,"")</f>
        <v/>
      </c>
      <c r="BM1755">
        <f>IF(AND(BH1755=1,AZ1755&lt;&gt;"Cancelled",N(AW1755)&gt;=Dashboard!$AB$3,N(AW1755)&lt;=Dashboard!$AB$3+6),(AW1755-40000)*100000+BF1755*10000+1754,"")</f>
        <v/>
      </c>
      <c r="BN1755">
        <f>IF(AND(BH1755=1,AZ1755&lt;&gt;"Cancelled"),BF1755*10000+1754,"")</f>
        <v/>
      </c>
    </row>
    <row r="1756">
      <c r="AS1756" t="inlineStr">
        <is>
          <t>V</t>
        </is>
      </c>
      <c r="AT1756" t="n">
        <v>260</v>
      </c>
      <c r="AU1756">
        <f>'Variable Tasks'!C260&amp;""</f>
        <v/>
      </c>
      <c r="AV1756">
        <f>'Variable Tasks'!D260&amp;""</f>
        <v/>
      </c>
      <c r="AW1756">
        <f>IF('Variable Tasks'!E260="","",'Variable Tasks'!E260)</f>
        <v/>
      </c>
      <c r="AX1756">
        <f>IF('Variable Tasks'!G260="","",'Variable Tasks'!G260)</f>
        <v/>
      </c>
      <c r="AY1756">
        <f>IF('Variable Tasks'!H260="","",'Variable Tasks'!H260)</f>
        <v/>
      </c>
      <c r="AZ1756">
        <f>IF(AU1756="","",IF('Variable Tasks'!J260="","Not Started",'Variable Tasks'!J260))</f>
        <v/>
      </c>
      <c r="BA1756">
        <f>'Variable Tasks'!L260&amp;""</f>
        <v/>
      </c>
      <c r="BB1756">
        <f>'Variable Tasks'!M260&amp;""</f>
        <v/>
      </c>
      <c r="BC1756">
        <f>'Variable Tasks'!N260&amp;""</f>
        <v/>
      </c>
      <c r="BD1756">
        <f>'Variable Tasks'!O260&amp;""</f>
        <v/>
      </c>
      <c r="BE1756">
        <f>IF('Variable Tasks'!K260="","",'Variable Tasks'!K260)</f>
        <v/>
      </c>
      <c r="BF1756">
        <f>IFERROR(MATCH(BA1756,Setup!$L$6:$L$9,0),5)</f>
        <v/>
      </c>
      <c r="BG1756">
        <f>IF(OR(AZ1756="Done",AZ1756="Cancelled"),1,0)</f>
        <v/>
      </c>
      <c r="BH1756">
        <f>IF(AND(AU1756&lt;&gt;"",ISNUMBER(AW1756)),1,0)</f>
        <v/>
      </c>
      <c r="BI1756">
        <f>IF(BH1756=0,0,IF(AND(AW1756&gt;='Tasks Filter'!$F$3,AW1756&lt;='Tasks Filter'!$F$4,OR('Tasks Filter'!$I$3="",ISNUMBER(SEARCH('Tasks Filter'!$I$3,AU1756))),OR('Tasks Filter'!$I$4="",BF1756=IFERROR(MATCH('Tasks Filter'!$I$4,Setup!$L$6:$L$9,0),0)),OR('Tasks Filter'!$I$5="Both",AND('Tasks Filter'!$I$5="Yes",BB1756="✓"),AND('Tasks Filter'!$I$5="No",BB1756&lt;&gt;"✓")),OR('Tasks Filter'!$L$3="",AV1756='Tasks Filter'!$L$3),OR('Tasks Filter'!$L$4="",AZ1756='Tasks Filter'!$L$4),OR('Tasks Filter'!$L$5="",BC1756='Tasks Filter'!$L$5),OR('Tasks Filter'!$O$3="",BD1756='Tasks Filter'!$O$3),OR('Tasks Filter'!$O$4="Yes",BG1756=0)),1,0))</f>
        <v/>
      </c>
      <c r="BJ1756">
        <f>IF(BH1756=0,"",IF('Tasks Filter'!$F$6="Descending",-1,1)*CHOOSE(MATCH('Tasks Filter'!$F$5,Lists!$G$2:$G$6,0),AW1756,BF1756,IFERROR(MATCH(AV1756,Setup!$F$6:$F$15,0),99),IFERROR(MATCH(BC1756,Setup!$H$6:$H$15,0),99),IFERROR(MATCH(AZ1756,Setup!$J$6:$J$11,0),99))*1E+9+(AW1756-40000)*10000+1755)</f>
        <v/>
      </c>
      <c r="BK1756">
        <f>IF(BI1756=1,BJ1756,"")</f>
        <v/>
      </c>
      <c r="BL1756">
        <f>IF(AND(BH1756=1,BG1756=0,N(AW1756)&lt;Setup!$D$7),(AW1756-40000)*10000+1755,"")</f>
        <v/>
      </c>
      <c r="BM1756">
        <f>IF(AND(BH1756=1,AZ1756&lt;&gt;"Cancelled",N(AW1756)&gt;=Dashboard!$AB$3,N(AW1756)&lt;=Dashboard!$AB$3+6),(AW1756-40000)*100000+BF1756*10000+1755,"")</f>
        <v/>
      </c>
      <c r="BN1756">
        <f>IF(AND(BH1756=1,AZ1756&lt;&gt;"Cancelled"),BF1756*10000+1755,"")</f>
        <v/>
      </c>
    </row>
    <row r="1757">
      <c r="AS1757" t="inlineStr">
        <is>
          <t>V</t>
        </is>
      </c>
      <c r="AT1757" t="n">
        <v>261</v>
      </c>
      <c r="AU1757">
        <f>'Variable Tasks'!C261&amp;""</f>
        <v/>
      </c>
      <c r="AV1757">
        <f>'Variable Tasks'!D261&amp;""</f>
        <v/>
      </c>
      <c r="AW1757">
        <f>IF('Variable Tasks'!E261="","",'Variable Tasks'!E261)</f>
        <v/>
      </c>
      <c r="AX1757">
        <f>IF('Variable Tasks'!G261="","",'Variable Tasks'!G261)</f>
        <v/>
      </c>
      <c r="AY1757">
        <f>IF('Variable Tasks'!H261="","",'Variable Tasks'!H261)</f>
        <v/>
      </c>
      <c r="AZ1757">
        <f>IF(AU1757="","",IF('Variable Tasks'!J261="","Not Started",'Variable Tasks'!J261))</f>
        <v/>
      </c>
      <c r="BA1757">
        <f>'Variable Tasks'!L261&amp;""</f>
        <v/>
      </c>
      <c r="BB1757">
        <f>'Variable Tasks'!M261&amp;""</f>
        <v/>
      </c>
      <c r="BC1757">
        <f>'Variable Tasks'!N261&amp;""</f>
        <v/>
      </c>
      <c r="BD1757">
        <f>'Variable Tasks'!O261&amp;""</f>
        <v/>
      </c>
      <c r="BE1757">
        <f>IF('Variable Tasks'!K261="","",'Variable Tasks'!K261)</f>
        <v/>
      </c>
      <c r="BF1757">
        <f>IFERROR(MATCH(BA1757,Setup!$L$6:$L$9,0),5)</f>
        <v/>
      </c>
      <c r="BG1757">
        <f>IF(OR(AZ1757="Done",AZ1757="Cancelled"),1,0)</f>
        <v/>
      </c>
      <c r="BH1757">
        <f>IF(AND(AU1757&lt;&gt;"",ISNUMBER(AW1757)),1,0)</f>
        <v/>
      </c>
      <c r="BI1757">
        <f>IF(BH1757=0,0,IF(AND(AW1757&gt;='Tasks Filter'!$F$3,AW1757&lt;='Tasks Filter'!$F$4,OR('Tasks Filter'!$I$3="",ISNUMBER(SEARCH('Tasks Filter'!$I$3,AU1757))),OR('Tasks Filter'!$I$4="",BF1757=IFERROR(MATCH('Tasks Filter'!$I$4,Setup!$L$6:$L$9,0),0)),OR('Tasks Filter'!$I$5="Both",AND('Tasks Filter'!$I$5="Yes",BB1757="✓"),AND('Tasks Filter'!$I$5="No",BB1757&lt;&gt;"✓")),OR('Tasks Filter'!$L$3="",AV1757='Tasks Filter'!$L$3),OR('Tasks Filter'!$L$4="",AZ1757='Tasks Filter'!$L$4),OR('Tasks Filter'!$L$5="",BC1757='Tasks Filter'!$L$5),OR('Tasks Filter'!$O$3="",BD1757='Tasks Filter'!$O$3),OR('Tasks Filter'!$O$4="Yes",BG1757=0)),1,0))</f>
        <v/>
      </c>
      <c r="BJ1757">
        <f>IF(BH1757=0,"",IF('Tasks Filter'!$F$6="Descending",-1,1)*CHOOSE(MATCH('Tasks Filter'!$F$5,Lists!$G$2:$G$6,0),AW1757,BF1757,IFERROR(MATCH(AV1757,Setup!$F$6:$F$15,0),99),IFERROR(MATCH(BC1757,Setup!$H$6:$H$15,0),99),IFERROR(MATCH(AZ1757,Setup!$J$6:$J$11,0),99))*1E+9+(AW1757-40000)*10000+1756)</f>
        <v/>
      </c>
      <c r="BK1757">
        <f>IF(BI1757=1,BJ1757,"")</f>
        <v/>
      </c>
      <c r="BL1757">
        <f>IF(AND(BH1757=1,BG1757=0,N(AW1757)&lt;Setup!$D$7),(AW1757-40000)*10000+1756,"")</f>
        <v/>
      </c>
      <c r="BM1757">
        <f>IF(AND(BH1757=1,AZ1757&lt;&gt;"Cancelled",N(AW1757)&gt;=Dashboard!$AB$3,N(AW1757)&lt;=Dashboard!$AB$3+6),(AW1757-40000)*100000+BF1757*10000+1756,"")</f>
        <v/>
      </c>
      <c r="BN1757">
        <f>IF(AND(BH1757=1,AZ1757&lt;&gt;"Cancelled"),BF1757*10000+1756,"")</f>
        <v/>
      </c>
    </row>
    <row r="1758">
      <c r="AS1758" t="inlineStr">
        <is>
          <t>V</t>
        </is>
      </c>
      <c r="AT1758" t="n">
        <v>262</v>
      </c>
      <c r="AU1758">
        <f>'Variable Tasks'!C262&amp;""</f>
        <v/>
      </c>
      <c r="AV1758">
        <f>'Variable Tasks'!D262&amp;""</f>
        <v/>
      </c>
      <c r="AW1758">
        <f>IF('Variable Tasks'!E262="","",'Variable Tasks'!E262)</f>
        <v/>
      </c>
      <c r="AX1758">
        <f>IF('Variable Tasks'!G262="","",'Variable Tasks'!G262)</f>
        <v/>
      </c>
      <c r="AY1758">
        <f>IF('Variable Tasks'!H262="","",'Variable Tasks'!H262)</f>
        <v/>
      </c>
      <c r="AZ1758">
        <f>IF(AU1758="","",IF('Variable Tasks'!J262="","Not Started",'Variable Tasks'!J262))</f>
        <v/>
      </c>
      <c r="BA1758">
        <f>'Variable Tasks'!L262&amp;""</f>
        <v/>
      </c>
      <c r="BB1758">
        <f>'Variable Tasks'!M262&amp;""</f>
        <v/>
      </c>
      <c r="BC1758">
        <f>'Variable Tasks'!N262&amp;""</f>
        <v/>
      </c>
      <c r="BD1758">
        <f>'Variable Tasks'!O262&amp;""</f>
        <v/>
      </c>
      <c r="BE1758">
        <f>IF('Variable Tasks'!K262="","",'Variable Tasks'!K262)</f>
        <v/>
      </c>
      <c r="BF1758">
        <f>IFERROR(MATCH(BA1758,Setup!$L$6:$L$9,0),5)</f>
        <v/>
      </c>
      <c r="BG1758">
        <f>IF(OR(AZ1758="Done",AZ1758="Cancelled"),1,0)</f>
        <v/>
      </c>
      <c r="BH1758">
        <f>IF(AND(AU1758&lt;&gt;"",ISNUMBER(AW1758)),1,0)</f>
        <v/>
      </c>
      <c r="BI1758">
        <f>IF(BH1758=0,0,IF(AND(AW1758&gt;='Tasks Filter'!$F$3,AW1758&lt;='Tasks Filter'!$F$4,OR('Tasks Filter'!$I$3="",ISNUMBER(SEARCH('Tasks Filter'!$I$3,AU1758))),OR('Tasks Filter'!$I$4="",BF1758=IFERROR(MATCH('Tasks Filter'!$I$4,Setup!$L$6:$L$9,0),0)),OR('Tasks Filter'!$I$5="Both",AND('Tasks Filter'!$I$5="Yes",BB1758="✓"),AND('Tasks Filter'!$I$5="No",BB1758&lt;&gt;"✓")),OR('Tasks Filter'!$L$3="",AV1758='Tasks Filter'!$L$3),OR('Tasks Filter'!$L$4="",AZ1758='Tasks Filter'!$L$4),OR('Tasks Filter'!$L$5="",BC1758='Tasks Filter'!$L$5),OR('Tasks Filter'!$O$3="",BD1758='Tasks Filter'!$O$3),OR('Tasks Filter'!$O$4="Yes",BG1758=0)),1,0))</f>
        <v/>
      </c>
      <c r="BJ1758">
        <f>IF(BH1758=0,"",IF('Tasks Filter'!$F$6="Descending",-1,1)*CHOOSE(MATCH('Tasks Filter'!$F$5,Lists!$G$2:$G$6,0),AW1758,BF1758,IFERROR(MATCH(AV1758,Setup!$F$6:$F$15,0),99),IFERROR(MATCH(BC1758,Setup!$H$6:$H$15,0),99),IFERROR(MATCH(AZ1758,Setup!$J$6:$J$11,0),99))*1E+9+(AW1758-40000)*10000+1757)</f>
        <v/>
      </c>
      <c r="BK1758">
        <f>IF(BI1758=1,BJ1758,"")</f>
        <v/>
      </c>
      <c r="BL1758">
        <f>IF(AND(BH1758=1,BG1758=0,N(AW1758)&lt;Setup!$D$7),(AW1758-40000)*10000+1757,"")</f>
        <v/>
      </c>
      <c r="BM1758">
        <f>IF(AND(BH1758=1,AZ1758&lt;&gt;"Cancelled",N(AW1758)&gt;=Dashboard!$AB$3,N(AW1758)&lt;=Dashboard!$AB$3+6),(AW1758-40000)*100000+BF1758*10000+1757,"")</f>
        <v/>
      </c>
      <c r="BN1758">
        <f>IF(AND(BH1758=1,AZ1758&lt;&gt;"Cancelled"),BF1758*10000+1757,"")</f>
        <v/>
      </c>
    </row>
    <row r="1759">
      <c r="AS1759" t="inlineStr">
        <is>
          <t>V</t>
        </is>
      </c>
      <c r="AT1759" t="n">
        <v>263</v>
      </c>
      <c r="AU1759">
        <f>'Variable Tasks'!C263&amp;""</f>
        <v/>
      </c>
      <c r="AV1759">
        <f>'Variable Tasks'!D263&amp;""</f>
        <v/>
      </c>
      <c r="AW1759">
        <f>IF('Variable Tasks'!E263="","",'Variable Tasks'!E263)</f>
        <v/>
      </c>
      <c r="AX1759">
        <f>IF('Variable Tasks'!G263="","",'Variable Tasks'!G263)</f>
        <v/>
      </c>
      <c r="AY1759">
        <f>IF('Variable Tasks'!H263="","",'Variable Tasks'!H263)</f>
        <v/>
      </c>
      <c r="AZ1759">
        <f>IF(AU1759="","",IF('Variable Tasks'!J263="","Not Started",'Variable Tasks'!J263))</f>
        <v/>
      </c>
      <c r="BA1759">
        <f>'Variable Tasks'!L263&amp;""</f>
        <v/>
      </c>
      <c r="BB1759">
        <f>'Variable Tasks'!M263&amp;""</f>
        <v/>
      </c>
      <c r="BC1759">
        <f>'Variable Tasks'!N263&amp;""</f>
        <v/>
      </c>
      <c r="BD1759">
        <f>'Variable Tasks'!O263&amp;""</f>
        <v/>
      </c>
      <c r="BE1759">
        <f>IF('Variable Tasks'!K263="","",'Variable Tasks'!K263)</f>
        <v/>
      </c>
      <c r="BF1759">
        <f>IFERROR(MATCH(BA1759,Setup!$L$6:$L$9,0),5)</f>
        <v/>
      </c>
      <c r="BG1759">
        <f>IF(OR(AZ1759="Done",AZ1759="Cancelled"),1,0)</f>
        <v/>
      </c>
      <c r="BH1759">
        <f>IF(AND(AU1759&lt;&gt;"",ISNUMBER(AW1759)),1,0)</f>
        <v/>
      </c>
      <c r="BI1759">
        <f>IF(BH1759=0,0,IF(AND(AW1759&gt;='Tasks Filter'!$F$3,AW1759&lt;='Tasks Filter'!$F$4,OR('Tasks Filter'!$I$3="",ISNUMBER(SEARCH('Tasks Filter'!$I$3,AU1759))),OR('Tasks Filter'!$I$4="",BF1759=IFERROR(MATCH('Tasks Filter'!$I$4,Setup!$L$6:$L$9,0),0)),OR('Tasks Filter'!$I$5="Both",AND('Tasks Filter'!$I$5="Yes",BB1759="✓"),AND('Tasks Filter'!$I$5="No",BB1759&lt;&gt;"✓")),OR('Tasks Filter'!$L$3="",AV1759='Tasks Filter'!$L$3),OR('Tasks Filter'!$L$4="",AZ1759='Tasks Filter'!$L$4),OR('Tasks Filter'!$L$5="",BC1759='Tasks Filter'!$L$5),OR('Tasks Filter'!$O$3="",BD1759='Tasks Filter'!$O$3),OR('Tasks Filter'!$O$4="Yes",BG1759=0)),1,0))</f>
        <v/>
      </c>
      <c r="BJ1759">
        <f>IF(BH1759=0,"",IF('Tasks Filter'!$F$6="Descending",-1,1)*CHOOSE(MATCH('Tasks Filter'!$F$5,Lists!$G$2:$G$6,0),AW1759,BF1759,IFERROR(MATCH(AV1759,Setup!$F$6:$F$15,0),99),IFERROR(MATCH(BC1759,Setup!$H$6:$H$15,0),99),IFERROR(MATCH(AZ1759,Setup!$J$6:$J$11,0),99))*1E+9+(AW1759-40000)*10000+1758)</f>
        <v/>
      </c>
      <c r="BK1759">
        <f>IF(BI1759=1,BJ1759,"")</f>
        <v/>
      </c>
      <c r="BL1759">
        <f>IF(AND(BH1759=1,BG1759=0,N(AW1759)&lt;Setup!$D$7),(AW1759-40000)*10000+1758,"")</f>
        <v/>
      </c>
      <c r="BM1759">
        <f>IF(AND(BH1759=1,AZ1759&lt;&gt;"Cancelled",N(AW1759)&gt;=Dashboard!$AB$3,N(AW1759)&lt;=Dashboard!$AB$3+6),(AW1759-40000)*100000+BF1759*10000+1758,"")</f>
        <v/>
      </c>
      <c r="BN1759">
        <f>IF(AND(BH1759=1,AZ1759&lt;&gt;"Cancelled"),BF1759*10000+1758,"")</f>
        <v/>
      </c>
    </row>
    <row r="1760">
      <c r="AS1760" t="inlineStr">
        <is>
          <t>V</t>
        </is>
      </c>
      <c r="AT1760" t="n">
        <v>264</v>
      </c>
      <c r="AU1760">
        <f>'Variable Tasks'!C264&amp;""</f>
        <v/>
      </c>
      <c r="AV1760">
        <f>'Variable Tasks'!D264&amp;""</f>
        <v/>
      </c>
      <c r="AW1760">
        <f>IF('Variable Tasks'!E264="","",'Variable Tasks'!E264)</f>
        <v/>
      </c>
      <c r="AX1760">
        <f>IF('Variable Tasks'!G264="","",'Variable Tasks'!G264)</f>
        <v/>
      </c>
      <c r="AY1760">
        <f>IF('Variable Tasks'!H264="","",'Variable Tasks'!H264)</f>
        <v/>
      </c>
      <c r="AZ1760">
        <f>IF(AU1760="","",IF('Variable Tasks'!J264="","Not Started",'Variable Tasks'!J264))</f>
        <v/>
      </c>
      <c r="BA1760">
        <f>'Variable Tasks'!L264&amp;""</f>
        <v/>
      </c>
      <c r="BB1760">
        <f>'Variable Tasks'!M264&amp;""</f>
        <v/>
      </c>
      <c r="BC1760">
        <f>'Variable Tasks'!N264&amp;""</f>
        <v/>
      </c>
      <c r="BD1760">
        <f>'Variable Tasks'!O264&amp;""</f>
        <v/>
      </c>
      <c r="BE1760">
        <f>IF('Variable Tasks'!K264="","",'Variable Tasks'!K264)</f>
        <v/>
      </c>
      <c r="BF1760">
        <f>IFERROR(MATCH(BA1760,Setup!$L$6:$L$9,0),5)</f>
        <v/>
      </c>
      <c r="BG1760">
        <f>IF(OR(AZ1760="Done",AZ1760="Cancelled"),1,0)</f>
        <v/>
      </c>
      <c r="BH1760">
        <f>IF(AND(AU1760&lt;&gt;"",ISNUMBER(AW1760)),1,0)</f>
        <v/>
      </c>
      <c r="BI1760">
        <f>IF(BH1760=0,0,IF(AND(AW1760&gt;='Tasks Filter'!$F$3,AW1760&lt;='Tasks Filter'!$F$4,OR('Tasks Filter'!$I$3="",ISNUMBER(SEARCH('Tasks Filter'!$I$3,AU1760))),OR('Tasks Filter'!$I$4="",BF1760=IFERROR(MATCH('Tasks Filter'!$I$4,Setup!$L$6:$L$9,0),0)),OR('Tasks Filter'!$I$5="Both",AND('Tasks Filter'!$I$5="Yes",BB1760="✓"),AND('Tasks Filter'!$I$5="No",BB1760&lt;&gt;"✓")),OR('Tasks Filter'!$L$3="",AV1760='Tasks Filter'!$L$3),OR('Tasks Filter'!$L$4="",AZ1760='Tasks Filter'!$L$4),OR('Tasks Filter'!$L$5="",BC1760='Tasks Filter'!$L$5),OR('Tasks Filter'!$O$3="",BD1760='Tasks Filter'!$O$3),OR('Tasks Filter'!$O$4="Yes",BG1760=0)),1,0))</f>
        <v/>
      </c>
      <c r="BJ1760">
        <f>IF(BH1760=0,"",IF('Tasks Filter'!$F$6="Descending",-1,1)*CHOOSE(MATCH('Tasks Filter'!$F$5,Lists!$G$2:$G$6,0),AW1760,BF1760,IFERROR(MATCH(AV1760,Setup!$F$6:$F$15,0),99),IFERROR(MATCH(BC1760,Setup!$H$6:$H$15,0),99),IFERROR(MATCH(AZ1760,Setup!$J$6:$J$11,0),99))*1E+9+(AW1760-40000)*10000+1759)</f>
        <v/>
      </c>
      <c r="BK1760">
        <f>IF(BI1760=1,BJ1760,"")</f>
        <v/>
      </c>
      <c r="BL1760">
        <f>IF(AND(BH1760=1,BG1760=0,N(AW1760)&lt;Setup!$D$7),(AW1760-40000)*10000+1759,"")</f>
        <v/>
      </c>
      <c r="BM1760">
        <f>IF(AND(BH1760=1,AZ1760&lt;&gt;"Cancelled",N(AW1760)&gt;=Dashboard!$AB$3,N(AW1760)&lt;=Dashboard!$AB$3+6),(AW1760-40000)*100000+BF1760*10000+1759,"")</f>
        <v/>
      </c>
      <c r="BN1760">
        <f>IF(AND(BH1760=1,AZ1760&lt;&gt;"Cancelled"),BF1760*10000+1759,"")</f>
        <v/>
      </c>
    </row>
    <row r="1761">
      <c r="AS1761" t="inlineStr">
        <is>
          <t>V</t>
        </is>
      </c>
      <c r="AT1761" t="n">
        <v>265</v>
      </c>
      <c r="AU1761">
        <f>'Variable Tasks'!C265&amp;""</f>
        <v/>
      </c>
      <c r="AV1761">
        <f>'Variable Tasks'!D265&amp;""</f>
        <v/>
      </c>
      <c r="AW1761">
        <f>IF('Variable Tasks'!E265="","",'Variable Tasks'!E265)</f>
        <v/>
      </c>
      <c r="AX1761">
        <f>IF('Variable Tasks'!G265="","",'Variable Tasks'!G265)</f>
        <v/>
      </c>
      <c r="AY1761">
        <f>IF('Variable Tasks'!H265="","",'Variable Tasks'!H265)</f>
        <v/>
      </c>
      <c r="AZ1761">
        <f>IF(AU1761="","",IF('Variable Tasks'!J265="","Not Started",'Variable Tasks'!J265))</f>
        <v/>
      </c>
      <c r="BA1761">
        <f>'Variable Tasks'!L265&amp;""</f>
        <v/>
      </c>
      <c r="BB1761">
        <f>'Variable Tasks'!M265&amp;""</f>
        <v/>
      </c>
      <c r="BC1761">
        <f>'Variable Tasks'!N265&amp;""</f>
        <v/>
      </c>
      <c r="BD1761">
        <f>'Variable Tasks'!O265&amp;""</f>
        <v/>
      </c>
      <c r="BE1761">
        <f>IF('Variable Tasks'!K265="","",'Variable Tasks'!K265)</f>
        <v/>
      </c>
      <c r="BF1761">
        <f>IFERROR(MATCH(BA1761,Setup!$L$6:$L$9,0),5)</f>
        <v/>
      </c>
      <c r="BG1761">
        <f>IF(OR(AZ1761="Done",AZ1761="Cancelled"),1,0)</f>
        <v/>
      </c>
      <c r="BH1761">
        <f>IF(AND(AU1761&lt;&gt;"",ISNUMBER(AW1761)),1,0)</f>
        <v/>
      </c>
      <c r="BI1761">
        <f>IF(BH1761=0,0,IF(AND(AW1761&gt;='Tasks Filter'!$F$3,AW1761&lt;='Tasks Filter'!$F$4,OR('Tasks Filter'!$I$3="",ISNUMBER(SEARCH('Tasks Filter'!$I$3,AU1761))),OR('Tasks Filter'!$I$4="",BF1761=IFERROR(MATCH('Tasks Filter'!$I$4,Setup!$L$6:$L$9,0),0)),OR('Tasks Filter'!$I$5="Both",AND('Tasks Filter'!$I$5="Yes",BB1761="✓"),AND('Tasks Filter'!$I$5="No",BB1761&lt;&gt;"✓")),OR('Tasks Filter'!$L$3="",AV1761='Tasks Filter'!$L$3),OR('Tasks Filter'!$L$4="",AZ1761='Tasks Filter'!$L$4),OR('Tasks Filter'!$L$5="",BC1761='Tasks Filter'!$L$5),OR('Tasks Filter'!$O$3="",BD1761='Tasks Filter'!$O$3),OR('Tasks Filter'!$O$4="Yes",BG1761=0)),1,0))</f>
        <v/>
      </c>
      <c r="BJ1761">
        <f>IF(BH1761=0,"",IF('Tasks Filter'!$F$6="Descending",-1,1)*CHOOSE(MATCH('Tasks Filter'!$F$5,Lists!$G$2:$G$6,0),AW1761,BF1761,IFERROR(MATCH(AV1761,Setup!$F$6:$F$15,0),99),IFERROR(MATCH(BC1761,Setup!$H$6:$H$15,0),99),IFERROR(MATCH(AZ1761,Setup!$J$6:$J$11,0),99))*1E+9+(AW1761-40000)*10000+1760)</f>
        <v/>
      </c>
      <c r="BK1761">
        <f>IF(BI1761=1,BJ1761,"")</f>
        <v/>
      </c>
      <c r="BL1761">
        <f>IF(AND(BH1761=1,BG1761=0,N(AW1761)&lt;Setup!$D$7),(AW1761-40000)*10000+1760,"")</f>
        <v/>
      </c>
      <c r="BM1761">
        <f>IF(AND(BH1761=1,AZ1761&lt;&gt;"Cancelled",N(AW1761)&gt;=Dashboard!$AB$3,N(AW1761)&lt;=Dashboard!$AB$3+6),(AW1761-40000)*100000+BF1761*10000+1760,"")</f>
        <v/>
      </c>
      <c r="BN1761">
        <f>IF(AND(BH1761=1,AZ1761&lt;&gt;"Cancelled"),BF1761*10000+1760,"")</f>
        <v/>
      </c>
    </row>
    <row r="1762">
      <c r="AS1762" t="inlineStr">
        <is>
          <t>V</t>
        </is>
      </c>
      <c r="AT1762" t="n">
        <v>266</v>
      </c>
      <c r="AU1762">
        <f>'Variable Tasks'!C266&amp;""</f>
        <v/>
      </c>
      <c r="AV1762">
        <f>'Variable Tasks'!D266&amp;""</f>
        <v/>
      </c>
      <c r="AW1762">
        <f>IF('Variable Tasks'!E266="","",'Variable Tasks'!E266)</f>
        <v/>
      </c>
      <c r="AX1762">
        <f>IF('Variable Tasks'!G266="","",'Variable Tasks'!G266)</f>
        <v/>
      </c>
      <c r="AY1762">
        <f>IF('Variable Tasks'!H266="","",'Variable Tasks'!H266)</f>
        <v/>
      </c>
      <c r="AZ1762">
        <f>IF(AU1762="","",IF('Variable Tasks'!J266="","Not Started",'Variable Tasks'!J266))</f>
        <v/>
      </c>
      <c r="BA1762">
        <f>'Variable Tasks'!L266&amp;""</f>
        <v/>
      </c>
      <c r="BB1762">
        <f>'Variable Tasks'!M266&amp;""</f>
        <v/>
      </c>
      <c r="BC1762">
        <f>'Variable Tasks'!N266&amp;""</f>
        <v/>
      </c>
      <c r="BD1762">
        <f>'Variable Tasks'!O266&amp;""</f>
        <v/>
      </c>
      <c r="BE1762">
        <f>IF('Variable Tasks'!K266="","",'Variable Tasks'!K266)</f>
        <v/>
      </c>
      <c r="BF1762">
        <f>IFERROR(MATCH(BA1762,Setup!$L$6:$L$9,0),5)</f>
        <v/>
      </c>
      <c r="BG1762">
        <f>IF(OR(AZ1762="Done",AZ1762="Cancelled"),1,0)</f>
        <v/>
      </c>
      <c r="BH1762">
        <f>IF(AND(AU1762&lt;&gt;"",ISNUMBER(AW1762)),1,0)</f>
        <v/>
      </c>
      <c r="BI1762">
        <f>IF(BH1762=0,0,IF(AND(AW1762&gt;='Tasks Filter'!$F$3,AW1762&lt;='Tasks Filter'!$F$4,OR('Tasks Filter'!$I$3="",ISNUMBER(SEARCH('Tasks Filter'!$I$3,AU1762))),OR('Tasks Filter'!$I$4="",BF1762=IFERROR(MATCH('Tasks Filter'!$I$4,Setup!$L$6:$L$9,0),0)),OR('Tasks Filter'!$I$5="Both",AND('Tasks Filter'!$I$5="Yes",BB1762="✓"),AND('Tasks Filter'!$I$5="No",BB1762&lt;&gt;"✓")),OR('Tasks Filter'!$L$3="",AV1762='Tasks Filter'!$L$3),OR('Tasks Filter'!$L$4="",AZ1762='Tasks Filter'!$L$4),OR('Tasks Filter'!$L$5="",BC1762='Tasks Filter'!$L$5),OR('Tasks Filter'!$O$3="",BD1762='Tasks Filter'!$O$3),OR('Tasks Filter'!$O$4="Yes",BG1762=0)),1,0))</f>
        <v/>
      </c>
      <c r="BJ1762">
        <f>IF(BH1762=0,"",IF('Tasks Filter'!$F$6="Descending",-1,1)*CHOOSE(MATCH('Tasks Filter'!$F$5,Lists!$G$2:$G$6,0),AW1762,BF1762,IFERROR(MATCH(AV1762,Setup!$F$6:$F$15,0),99),IFERROR(MATCH(BC1762,Setup!$H$6:$H$15,0),99),IFERROR(MATCH(AZ1762,Setup!$J$6:$J$11,0),99))*1E+9+(AW1762-40000)*10000+1761)</f>
        <v/>
      </c>
      <c r="BK1762">
        <f>IF(BI1762=1,BJ1762,"")</f>
        <v/>
      </c>
      <c r="BL1762">
        <f>IF(AND(BH1762=1,BG1762=0,N(AW1762)&lt;Setup!$D$7),(AW1762-40000)*10000+1761,"")</f>
        <v/>
      </c>
      <c r="BM1762">
        <f>IF(AND(BH1762=1,AZ1762&lt;&gt;"Cancelled",N(AW1762)&gt;=Dashboard!$AB$3,N(AW1762)&lt;=Dashboard!$AB$3+6),(AW1762-40000)*100000+BF1762*10000+1761,"")</f>
        <v/>
      </c>
      <c r="BN1762">
        <f>IF(AND(BH1762=1,AZ1762&lt;&gt;"Cancelled"),BF1762*10000+1761,"")</f>
        <v/>
      </c>
    </row>
    <row r="1763">
      <c r="AS1763" t="inlineStr">
        <is>
          <t>V</t>
        </is>
      </c>
      <c r="AT1763" t="n">
        <v>267</v>
      </c>
      <c r="AU1763">
        <f>'Variable Tasks'!C267&amp;""</f>
        <v/>
      </c>
      <c r="AV1763">
        <f>'Variable Tasks'!D267&amp;""</f>
        <v/>
      </c>
      <c r="AW1763">
        <f>IF('Variable Tasks'!E267="","",'Variable Tasks'!E267)</f>
        <v/>
      </c>
      <c r="AX1763">
        <f>IF('Variable Tasks'!G267="","",'Variable Tasks'!G267)</f>
        <v/>
      </c>
      <c r="AY1763">
        <f>IF('Variable Tasks'!H267="","",'Variable Tasks'!H267)</f>
        <v/>
      </c>
      <c r="AZ1763">
        <f>IF(AU1763="","",IF('Variable Tasks'!J267="","Not Started",'Variable Tasks'!J267))</f>
        <v/>
      </c>
      <c r="BA1763">
        <f>'Variable Tasks'!L267&amp;""</f>
        <v/>
      </c>
      <c r="BB1763">
        <f>'Variable Tasks'!M267&amp;""</f>
        <v/>
      </c>
      <c r="BC1763">
        <f>'Variable Tasks'!N267&amp;""</f>
        <v/>
      </c>
      <c r="BD1763">
        <f>'Variable Tasks'!O267&amp;""</f>
        <v/>
      </c>
      <c r="BE1763">
        <f>IF('Variable Tasks'!K267="","",'Variable Tasks'!K267)</f>
        <v/>
      </c>
      <c r="BF1763">
        <f>IFERROR(MATCH(BA1763,Setup!$L$6:$L$9,0),5)</f>
        <v/>
      </c>
      <c r="BG1763">
        <f>IF(OR(AZ1763="Done",AZ1763="Cancelled"),1,0)</f>
        <v/>
      </c>
      <c r="BH1763">
        <f>IF(AND(AU1763&lt;&gt;"",ISNUMBER(AW1763)),1,0)</f>
        <v/>
      </c>
      <c r="BI1763">
        <f>IF(BH1763=0,0,IF(AND(AW1763&gt;='Tasks Filter'!$F$3,AW1763&lt;='Tasks Filter'!$F$4,OR('Tasks Filter'!$I$3="",ISNUMBER(SEARCH('Tasks Filter'!$I$3,AU1763))),OR('Tasks Filter'!$I$4="",BF1763=IFERROR(MATCH('Tasks Filter'!$I$4,Setup!$L$6:$L$9,0),0)),OR('Tasks Filter'!$I$5="Both",AND('Tasks Filter'!$I$5="Yes",BB1763="✓"),AND('Tasks Filter'!$I$5="No",BB1763&lt;&gt;"✓")),OR('Tasks Filter'!$L$3="",AV1763='Tasks Filter'!$L$3),OR('Tasks Filter'!$L$4="",AZ1763='Tasks Filter'!$L$4),OR('Tasks Filter'!$L$5="",BC1763='Tasks Filter'!$L$5),OR('Tasks Filter'!$O$3="",BD1763='Tasks Filter'!$O$3),OR('Tasks Filter'!$O$4="Yes",BG1763=0)),1,0))</f>
        <v/>
      </c>
      <c r="BJ1763">
        <f>IF(BH1763=0,"",IF('Tasks Filter'!$F$6="Descending",-1,1)*CHOOSE(MATCH('Tasks Filter'!$F$5,Lists!$G$2:$G$6,0),AW1763,BF1763,IFERROR(MATCH(AV1763,Setup!$F$6:$F$15,0),99),IFERROR(MATCH(BC1763,Setup!$H$6:$H$15,0),99),IFERROR(MATCH(AZ1763,Setup!$J$6:$J$11,0),99))*1E+9+(AW1763-40000)*10000+1762)</f>
        <v/>
      </c>
      <c r="BK1763">
        <f>IF(BI1763=1,BJ1763,"")</f>
        <v/>
      </c>
      <c r="BL1763">
        <f>IF(AND(BH1763=1,BG1763=0,N(AW1763)&lt;Setup!$D$7),(AW1763-40000)*10000+1762,"")</f>
        <v/>
      </c>
      <c r="BM1763">
        <f>IF(AND(BH1763=1,AZ1763&lt;&gt;"Cancelled",N(AW1763)&gt;=Dashboard!$AB$3,N(AW1763)&lt;=Dashboard!$AB$3+6),(AW1763-40000)*100000+BF1763*10000+1762,"")</f>
        <v/>
      </c>
      <c r="BN1763">
        <f>IF(AND(BH1763=1,AZ1763&lt;&gt;"Cancelled"),BF1763*10000+1762,"")</f>
        <v/>
      </c>
    </row>
    <row r="1764">
      <c r="AS1764" t="inlineStr">
        <is>
          <t>V</t>
        </is>
      </c>
      <c r="AT1764" t="n">
        <v>268</v>
      </c>
      <c r="AU1764">
        <f>'Variable Tasks'!C268&amp;""</f>
        <v/>
      </c>
      <c r="AV1764">
        <f>'Variable Tasks'!D268&amp;""</f>
        <v/>
      </c>
      <c r="AW1764">
        <f>IF('Variable Tasks'!E268="","",'Variable Tasks'!E268)</f>
        <v/>
      </c>
      <c r="AX1764">
        <f>IF('Variable Tasks'!G268="","",'Variable Tasks'!G268)</f>
        <v/>
      </c>
      <c r="AY1764">
        <f>IF('Variable Tasks'!H268="","",'Variable Tasks'!H268)</f>
        <v/>
      </c>
      <c r="AZ1764">
        <f>IF(AU1764="","",IF('Variable Tasks'!J268="","Not Started",'Variable Tasks'!J268))</f>
        <v/>
      </c>
      <c r="BA1764">
        <f>'Variable Tasks'!L268&amp;""</f>
        <v/>
      </c>
      <c r="BB1764">
        <f>'Variable Tasks'!M268&amp;""</f>
        <v/>
      </c>
      <c r="BC1764">
        <f>'Variable Tasks'!N268&amp;""</f>
        <v/>
      </c>
      <c r="BD1764">
        <f>'Variable Tasks'!O268&amp;""</f>
        <v/>
      </c>
      <c r="BE1764">
        <f>IF('Variable Tasks'!K268="","",'Variable Tasks'!K268)</f>
        <v/>
      </c>
      <c r="BF1764">
        <f>IFERROR(MATCH(BA1764,Setup!$L$6:$L$9,0),5)</f>
        <v/>
      </c>
      <c r="BG1764">
        <f>IF(OR(AZ1764="Done",AZ1764="Cancelled"),1,0)</f>
        <v/>
      </c>
      <c r="BH1764">
        <f>IF(AND(AU1764&lt;&gt;"",ISNUMBER(AW1764)),1,0)</f>
        <v/>
      </c>
      <c r="BI1764">
        <f>IF(BH1764=0,0,IF(AND(AW1764&gt;='Tasks Filter'!$F$3,AW1764&lt;='Tasks Filter'!$F$4,OR('Tasks Filter'!$I$3="",ISNUMBER(SEARCH('Tasks Filter'!$I$3,AU1764))),OR('Tasks Filter'!$I$4="",BF1764=IFERROR(MATCH('Tasks Filter'!$I$4,Setup!$L$6:$L$9,0),0)),OR('Tasks Filter'!$I$5="Both",AND('Tasks Filter'!$I$5="Yes",BB1764="✓"),AND('Tasks Filter'!$I$5="No",BB1764&lt;&gt;"✓")),OR('Tasks Filter'!$L$3="",AV1764='Tasks Filter'!$L$3),OR('Tasks Filter'!$L$4="",AZ1764='Tasks Filter'!$L$4),OR('Tasks Filter'!$L$5="",BC1764='Tasks Filter'!$L$5),OR('Tasks Filter'!$O$3="",BD1764='Tasks Filter'!$O$3),OR('Tasks Filter'!$O$4="Yes",BG1764=0)),1,0))</f>
        <v/>
      </c>
      <c r="BJ1764">
        <f>IF(BH1764=0,"",IF('Tasks Filter'!$F$6="Descending",-1,1)*CHOOSE(MATCH('Tasks Filter'!$F$5,Lists!$G$2:$G$6,0),AW1764,BF1764,IFERROR(MATCH(AV1764,Setup!$F$6:$F$15,0),99),IFERROR(MATCH(BC1764,Setup!$H$6:$H$15,0),99),IFERROR(MATCH(AZ1764,Setup!$J$6:$J$11,0),99))*1E+9+(AW1764-40000)*10000+1763)</f>
        <v/>
      </c>
      <c r="BK1764">
        <f>IF(BI1764=1,BJ1764,"")</f>
        <v/>
      </c>
      <c r="BL1764">
        <f>IF(AND(BH1764=1,BG1764=0,N(AW1764)&lt;Setup!$D$7),(AW1764-40000)*10000+1763,"")</f>
        <v/>
      </c>
      <c r="BM1764">
        <f>IF(AND(BH1764=1,AZ1764&lt;&gt;"Cancelled",N(AW1764)&gt;=Dashboard!$AB$3,N(AW1764)&lt;=Dashboard!$AB$3+6),(AW1764-40000)*100000+BF1764*10000+1763,"")</f>
        <v/>
      </c>
      <c r="BN1764">
        <f>IF(AND(BH1764=1,AZ1764&lt;&gt;"Cancelled"),BF1764*10000+1763,"")</f>
        <v/>
      </c>
    </row>
    <row r="1765">
      <c r="AS1765" t="inlineStr">
        <is>
          <t>V</t>
        </is>
      </c>
      <c r="AT1765" t="n">
        <v>269</v>
      </c>
      <c r="AU1765">
        <f>'Variable Tasks'!C269&amp;""</f>
        <v/>
      </c>
      <c r="AV1765">
        <f>'Variable Tasks'!D269&amp;""</f>
        <v/>
      </c>
      <c r="AW1765">
        <f>IF('Variable Tasks'!E269="","",'Variable Tasks'!E269)</f>
        <v/>
      </c>
      <c r="AX1765">
        <f>IF('Variable Tasks'!G269="","",'Variable Tasks'!G269)</f>
        <v/>
      </c>
      <c r="AY1765">
        <f>IF('Variable Tasks'!H269="","",'Variable Tasks'!H269)</f>
        <v/>
      </c>
      <c r="AZ1765">
        <f>IF(AU1765="","",IF('Variable Tasks'!J269="","Not Started",'Variable Tasks'!J269))</f>
        <v/>
      </c>
      <c r="BA1765">
        <f>'Variable Tasks'!L269&amp;""</f>
        <v/>
      </c>
      <c r="BB1765">
        <f>'Variable Tasks'!M269&amp;""</f>
        <v/>
      </c>
      <c r="BC1765">
        <f>'Variable Tasks'!N269&amp;""</f>
        <v/>
      </c>
      <c r="BD1765">
        <f>'Variable Tasks'!O269&amp;""</f>
        <v/>
      </c>
      <c r="BE1765">
        <f>IF('Variable Tasks'!K269="","",'Variable Tasks'!K269)</f>
        <v/>
      </c>
      <c r="BF1765">
        <f>IFERROR(MATCH(BA1765,Setup!$L$6:$L$9,0),5)</f>
        <v/>
      </c>
      <c r="BG1765">
        <f>IF(OR(AZ1765="Done",AZ1765="Cancelled"),1,0)</f>
        <v/>
      </c>
      <c r="BH1765">
        <f>IF(AND(AU1765&lt;&gt;"",ISNUMBER(AW1765)),1,0)</f>
        <v/>
      </c>
      <c r="BI1765">
        <f>IF(BH1765=0,0,IF(AND(AW1765&gt;='Tasks Filter'!$F$3,AW1765&lt;='Tasks Filter'!$F$4,OR('Tasks Filter'!$I$3="",ISNUMBER(SEARCH('Tasks Filter'!$I$3,AU1765))),OR('Tasks Filter'!$I$4="",BF1765=IFERROR(MATCH('Tasks Filter'!$I$4,Setup!$L$6:$L$9,0),0)),OR('Tasks Filter'!$I$5="Both",AND('Tasks Filter'!$I$5="Yes",BB1765="✓"),AND('Tasks Filter'!$I$5="No",BB1765&lt;&gt;"✓")),OR('Tasks Filter'!$L$3="",AV1765='Tasks Filter'!$L$3),OR('Tasks Filter'!$L$4="",AZ1765='Tasks Filter'!$L$4),OR('Tasks Filter'!$L$5="",BC1765='Tasks Filter'!$L$5),OR('Tasks Filter'!$O$3="",BD1765='Tasks Filter'!$O$3),OR('Tasks Filter'!$O$4="Yes",BG1765=0)),1,0))</f>
        <v/>
      </c>
      <c r="BJ1765">
        <f>IF(BH1765=0,"",IF('Tasks Filter'!$F$6="Descending",-1,1)*CHOOSE(MATCH('Tasks Filter'!$F$5,Lists!$G$2:$G$6,0),AW1765,BF1765,IFERROR(MATCH(AV1765,Setup!$F$6:$F$15,0),99),IFERROR(MATCH(BC1765,Setup!$H$6:$H$15,0),99),IFERROR(MATCH(AZ1765,Setup!$J$6:$J$11,0),99))*1E+9+(AW1765-40000)*10000+1764)</f>
        <v/>
      </c>
      <c r="BK1765">
        <f>IF(BI1765=1,BJ1765,"")</f>
        <v/>
      </c>
      <c r="BL1765">
        <f>IF(AND(BH1765=1,BG1765=0,N(AW1765)&lt;Setup!$D$7),(AW1765-40000)*10000+1764,"")</f>
        <v/>
      </c>
      <c r="BM1765">
        <f>IF(AND(BH1765=1,AZ1765&lt;&gt;"Cancelled",N(AW1765)&gt;=Dashboard!$AB$3,N(AW1765)&lt;=Dashboard!$AB$3+6),(AW1765-40000)*100000+BF1765*10000+1764,"")</f>
        <v/>
      </c>
      <c r="BN1765">
        <f>IF(AND(BH1765=1,AZ1765&lt;&gt;"Cancelled"),BF1765*10000+1764,"")</f>
        <v/>
      </c>
    </row>
    <row r="1766">
      <c r="AS1766" t="inlineStr">
        <is>
          <t>V</t>
        </is>
      </c>
      <c r="AT1766" t="n">
        <v>270</v>
      </c>
      <c r="AU1766">
        <f>'Variable Tasks'!C270&amp;""</f>
        <v/>
      </c>
      <c r="AV1766">
        <f>'Variable Tasks'!D270&amp;""</f>
        <v/>
      </c>
      <c r="AW1766">
        <f>IF('Variable Tasks'!E270="","",'Variable Tasks'!E270)</f>
        <v/>
      </c>
      <c r="AX1766">
        <f>IF('Variable Tasks'!G270="","",'Variable Tasks'!G270)</f>
        <v/>
      </c>
      <c r="AY1766">
        <f>IF('Variable Tasks'!H270="","",'Variable Tasks'!H270)</f>
        <v/>
      </c>
      <c r="AZ1766">
        <f>IF(AU1766="","",IF('Variable Tasks'!J270="","Not Started",'Variable Tasks'!J270))</f>
        <v/>
      </c>
      <c r="BA1766">
        <f>'Variable Tasks'!L270&amp;""</f>
        <v/>
      </c>
      <c r="BB1766">
        <f>'Variable Tasks'!M270&amp;""</f>
        <v/>
      </c>
      <c r="BC1766">
        <f>'Variable Tasks'!N270&amp;""</f>
        <v/>
      </c>
      <c r="BD1766">
        <f>'Variable Tasks'!O270&amp;""</f>
        <v/>
      </c>
      <c r="BE1766">
        <f>IF('Variable Tasks'!K270="","",'Variable Tasks'!K270)</f>
        <v/>
      </c>
      <c r="BF1766">
        <f>IFERROR(MATCH(BA1766,Setup!$L$6:$L$9,0),5)</f>
        <v/>
      </c>
      <c r="BG1766">
        <f>IF(OR(AZ1766="Done",AZ1766="Cancelled"),1,0)</f>
        <v/>
      </c>
      <c r="BH1766">
        <f>IF(AND(AU1766&lt;&gt;"",ISNUMBER(AW1766)),1,0)</f>
        <v/>
      </c>
      <c r="BI1766">
        <f>IF(BH1766=0,0,IF(AND(AW1766&gt;='Tasks Filter'!$F$3,AW1766&lt;='Tasks Filter'!$F$4,OR('Tasks Filter'!$I$3="",ISNUMBER(SEARCH('Tasks Filter'!$I$3,AU1766))),OR('Tasks Filter'!$I$4="",BF1766=IFERROR(MATCH('Tasks Filter'!$I$4,Setup!$L$6:$L$9,0),0)),OR('Tasks Filter'!$I$5="Both",AND('Tasks Filter'!$I$5="Yes",BB1766="✓"),AND('Tasks Filter'!$I$5="No",BB1766&lt;&gt;"✓")),OR('Tasks Filter'!$L$3="",AV1766='Tasks Filter'!$L$3),OR('Tasks Filter'!$L$4="",AZ1766='Tasks Filter'!$L$4),OR('Tasks Filter'!$L$5="",BC1766='Tasks Filter'!$L$5),OR('Tasks Filter'!$O$3="",BD1766='Tasks Filter'!$O$3),OR('Tasks Filter'!$O$4="Yes",BG1766=0)),1,0))</f>
        <v/>
      </c>
      <c r="BJ1766">
        <f>IF(BH1766=0,"",IF('Tasks Filter'!$F$6="Descending",-1,1)*CHOOSE(MATCH('Tasks Filter'!$F$5,Lists!$G$2:$G$6,0),AW1766,BF1766,IFERROR(MATCH(AV1766,Setup!$F$6:$F$15,0),99),IFERROR(MATCH(BC1766,Setup!$H$6:$H$15,0),99),IFERROR(MATCH(AZ1766,Setup!$J$6:$J$11,0),99))*1E+9+(AW1766-40000)*10000+1765)</f>
        <v/>
      </c>
      <c r="BK1766">
        <f>IF(BI1766=1,BJ1766,"")</f>
        <v/>
      </c>
      <c r="BL1766">
        <f>IF(AND(BH1766=1,BG1766=0,N(AW1766)&lt;Setup!$D$7),(AW1766-40000)*10000+1765,"")</f>
        <v/>
      </c>
      <c r="BM1766">
        <f>IF(AND(BH1766=1,AZ1766&lt;&gt;"Cancelled",N(AW1766)&gt;=Dashboard!$AB$3,N(AW1766)&lt;=Dashboard!$AB$3+6),(AW1766-40000)*100000+BF1766*10000+1765,"")</f>
        <v/>
      </c>
      <c r="BN1766">
        <f>IF(AND(BH1766=1,AZ1766&lt;&gt;"Cancelled"),BF1766*10000+1765,"")</f>
        <v/>
      </c>
    </row>
    <row r="1767">
      <c r="AS1767" t="inlineStr">
        <is>
          <t>V</t>
        </is>
      </c>
      <c r="AT1767" t="n">
        <v>271</v>
      </c>
      <c r="AU1767">
        <f>'Variable Tasks'!C271&amp;""</f>
        <v/>
      </c>
      <c r="AV1767">
        <f>'Variable Tasks'!D271&amp;""</f>
        <v/>
      </c>
      <c r="AW1767">
        <f>IF('Variable Tasks'!E271="","",'Variable Tasks'!E271)</f>
        <v/>
      </c>
      <c r="AX1767">
        <f>IF('Variable Tasks'!G271="","",'Variable Tasks'!G271)</f>
        <v/>
      </c>
      <c r="AY1767">
        <f>IF('Variable Tasks'!H271="","",'Variable Tasks'!H271)</f>
        <v/>
      </c>
      <c r="AZ1767">
        <f>IF(AU1767="","",IF('Variable Tasks'!J271="","Not Started",'Variable Tasks'!J271))</f>
        <v/>
      </c>
      <c r="BA1767">
        <f>'Variable Tasks'!L271&amp;""</f>
        <v/>
      </c>
      <c r="BB1767">
        <f>'Variable Tasks'!M271&amp;""</f>
        <v/>
      </c>
      <c r="BC1767">
        <f>'Variable Tasks'!N271&amp;""</f>
        <v/>
      </c>
      <c r="BD1767">
        <f>'Variable Tasks'!O271&amp;""</f>
        <v/>
      </c>
      <c r="BE1767">
        <f>IF('Variable Tasks'!K271="","",'Variable Tasks'!K271)</f>
        <v/>
      </c>
      <c r="BF1767">
        <f>IFERROR(MATCH(BA1767,Setup!$L$6:$L$9,0),5)</f>
        <v/>
      </c>
      <c r="BG1767">
        <f>IF(OR(AZ1767="Done",AZ1767="Cancelled"),1,0)</f>
        <v/>
      </c>
      <c r="BH1767">
        <f>IF(AND(AU1767&lt;&gt;"",ISNUMBER(AW1767)),1,0)</f>
        <v/>
      </c>
      <c r="BI1767">
        <f>IF(BH1767=0,0,IF(AND(AW1767&gt;='Tasks Filter'!$F$3,AW1767&lt;='Tasks Filter'!$F$4,OR('Tasks Filter'!$I$3="",ISNUMBER(SEARCH('Tasks Filter'!$I$3,AU1767))),OR('Tasks Filter'!$I$4="",BF1767=IFERROR(MATCH('Tasks Filter'!$I$4,Setup!$L$6:$L$9,0),0)),OR('Tasks Filter'!$I$5="Both",AND('Tasks Filter'!$I$5="Yes",BB1767="✓"),AND('Tasks Filter'!$I$5="No",BB1767&lt;&gt;"✓")),OR('Tasks Filter'!$L$3="",AV1767='Tasks Filter'!$L$3),OR('Tasks Filter'!$L$4="",AZ1767='Tasks Filter'!$L$4),OR('Tasks Filter'!$L$5="",BC1767='Tasks Filter'!$L$5),OR('Tasks Filter'!$O$3="",BD1767='Tasks Filter'!$O$3),OR('Tasks Filter'!$O$4="Yes",BG1767=0)),1,0))</f>
        <v/>
      </c>
      <c r="BJ1767">
        <f>IF(BH1767=0,"",IF('Tasks Filter'!$F$6="Descending",-1,1)*CHOOSE(MATCH('Tasks Filter'!$F$5,Lists!$G$2:$G$6,0),AW1767,BF1767,IFERROR(MATCH(AV1767,Setup!$F$6:$F$15,0),99),IFERROR(MATCH(BC1767,Setup!$H$6:$H$15,0),99),IFERROR(MATCH(AZ1767,Setup!$J$6:$J$11,0),99))*1E+9+(AW1767-40000)*10000+1766)</f>
        <v/>
      </c>
      <c r="BK1767">
        <f>IF(BI1767=1,BJ1767,"")</f>
        <v/>
      </c>
      <c r="BL1767">
        <f>IF(AND(BH1767=1,BG1767=0,N(AW1767)&lt;Setup!$D$7),(AW1767-40000)*10000+1766,"")</f>
        <v/>
      </c>
      <c r="BM1767">
        <f>IF(AND(BH1767=1,AZ1767&lt;&gt;"Cancelled",N(AW1767)&gt;=Dashboard!$AB$3,N(AW1767)&lt;=Dashboard!$AB$3+6),(AW1767-40000)*100000+BF1767*10000+1766,"")</f>
        <v/>
      </c>
      <c r="BN1767">
        <f>IF(AND(BH1767=1,AZ1767&lt;&gt;"Cancelled"),BF1767*10000+1766,"")</f>
        <v/>
      </c>
    </row>
    <row r="1768">
      <c r="AS1768" t="inlineStr">
        <is>
          <t>V</t>
        </is>
      </c>
      <c r="AT1768" t="n">
        <v>272</v>
      </c>
      <c r="AU1768">
        <f>'Variable Tasks'!C272&amp;""</f>
        <v/>
      </c>
      <c r="AV1768">
        <f>'Variable Tasks'!D272&amp;""</f>
        <v/>
      </c>
      <c r="AW1768">
        <f>IF('Variable Tasks'!E272="","",'Variable Tasks'!E272)</f>
        <v/>
      </c>
      <c r="AX1768">
        <f>IF('Variable Tasks'!G272="","",'Variable Tasks'!G272)</f>
        <v/>
      </c>
      <c r="AY1768">
        <f>IF('Variable Tasks'!H272="","",'Variable Tasks'!H272)</f>
        <v/>
      </c>
      <c r="AZ1768">
        <f>IF(AU1768="","",IF('Variable Tasks'!J272="","Not Started",'Variable Tasks'!J272))</f>
        <v/>
      </c>
      <c r="BA1768">
        <f>'Variable Tasks'!L272&amp;""</f>
        <v/>
      </c>
      <c r="BB1768">
        <f>'Variable Tasks'!M272&amp;""</f>
        <v/>
      </c>
      <c r="BC1768">
        <f>'Variable Tasks'!N272&amp;""</f>
        <v/>
      </c>
      <c r="BD1768">
        <f>'Variable Tasks'!O272&amp;""</f>
        <v/>
      </c>
      <c r="BE1768">
        <f>IF('Variable Tasks'!K272="","",'Variable Tasks'!K272)</f>
        <v/>
      </c>
      <c r="BF1768">
        <f>IFERROR(MATCH(BA1768,Setup!$L$6:$L$9,0),5)</f>
        <v/>
      </c>
      <c r="BG1768">
        <f>IF(OR(AZ1768="Done",AZ1768="Cancelled"),1,0)</f>
        <v/>
      </c>
      <c r="BH1768">
        <f>IF(AND(AU1768&lt;&gt;"",ISNUMBER(AW1768)),1,0)</f>
        <v/>
      </c>
      <c r="BI1768">
        <f>IF(BH1768=0,0,IF(AND(AW1768&gt;='Tasks Filter'!$F$3,AW1768&lt;='Tasks Filter'!$F$4,OR('Tasks Filter'!$I$3="",ISNUMBER(SEARCH('Tasks Filter'!$I$3,AU1768))),OR('Tasks Filter'!$I$4="",BF1768=IFERROR(MATCH('Tasks Filter'!$I$4,Setup!$L$6:$L$9,0),0)),OR('Tasks Filter'!$I$5="Both",AND('Tasks Filter'!$I$5="Yes",BB1768="✓"),AND('Tasks Filter'!$I$5="No",BB1768&lt;&gt;"✓")),OR('Tasks Filter'!$L$3="",AV1768='Tasks Filter'!$L$3),OR('Tasks Filter'!$L$4="",AZ1768='Tasks Filter'!$L$4),OR('Tasks Filter'!$L$5="",BC1768='Tasks Filter'!$L$5),OR('Tasks Filter'!$O$3="",BD1768='Tasks Filter'!$O$3),OR('Tasks Filter'!$O$4="Yes",BG1768=0)),1,0))</f>
        <v/>
      </c>
      <c r="BJ1768">
        <f>IF(BH1768=0,"",IF('Tasks Filter'!$F$6="Descending",-1,1)*CHOOSE(MATCH('Tasks Filter'!$F$5,Lists!$G$2:$G$6,0),AW1768,BF1768,IFERROR(MATCH(AV1768,Setup!$F$6:$F$15,0),99),IFERROR(MATCH(BC1768,Setup!$H$6:$H$15,0),99),IFERROR(MATCH(AZ1768,Setup!$J$6:$J$11,0),99))*1E+9+(AW1768-40000)*10000+1767)</f>
        <v/>
      </c>
      <c r="BK1768">
        <f>IF(BI1768=1,BJ1768,"")</f>
        <v/>
      </c>
      <c r="BL1768">
        <f>IF(AND(BH1768=1,BG1768=0,N(AW1768)&lt;Setup!$D$7),(AW1768-40000)*10000+1767,"")</f>
        <v/>
      </c>
      <c r="BM1768">
        <f>IF(AND(BH1768=1,AZ1768&lt;&gt;"Cancelled",N(AW1768)&gt;=Dashboard!$AB$3,N(AW1768)&lt;=Dashboard!$AB$3+6),(AW1768-40000)*100000+BF1768*10000+1767,"")</f>
        <v/>
      </c>
      <c r="BN1768">
        <f>IF(AND(BH1768=1,AZ1768&lt;&gt;"Cancelled"),BF1768*10000+1767,"")</f>
        <v/>
      </c>
    </row>
    <row r="1769">
      <c r="AS1769" t="inlineStr">
        <is>
          <t>V</t>
        </is>
      </c>
      <c r="AT1769" t="n">
        <v>273</v>
      </c>
      <c r="AU1769">
        <f>'Variable Tasks'!C273&amp;""</f>
        <v/>
      </c>
      <c r="AV1769">
        <f>'Variable Tasks'!D273&amp;""</f>
        <v/>
      </c>
      <c r="AW1769">
        <f>IF('Variable Tasks'!E273="","",'Variable Tasks'!E273)</f>
        <v/>
      </c>
      <c r="AX1769">
        <f>IF('Variable Tasks'!G273="","",'Variable Tasks'!G273)</f>
        <v/>
      </c>
      <c r="AY1769">
        <f>IF('Variable Tasks'!H273="","",'Variable Tasks'!H273)</f>
        <v/>
      </c>
      <c r="AZ1769">
        <f>IF(AU1769="","",IF('Variable Tasks'!J273="","Not Started",'Variable Tasks'!J273))</f>
        <v/>
      </c>
      <c r="BA1769">
        <f>'Variable Tasks'!L273&amp;""</f>
        <v/>
      </c>
      <c r="BB1769">
        <f>'Variable Tasks'!M273&amp;""</f>
        <v/>
      </c>
      <c r="BC1769">
        <f>'Variable Tasks'!N273&amp;""</f>
        <v/>
      </c>
      <c r="BD1769">
        <f>'Variable Tasks'!O273&amp;""</f>
        <v/>
      </c>
      <c r="BE1769">
        <f>IF('Variable Tasks'!K273="","",'Variable Tasks'!K273)</f>
        <v/>
      </c>
      <c r="BF1769">
        <f>IFERROR(MATCH(BA1769,Setup!$L$6:$L$9,0),5)</f>
        <v/>
      </c>
      <c r="BG1769">
        <f>IF(OR(AZ1769="Done",AZ1769="Cancelled"),1,0)</f>
        <v/>
      </c>
      <c r="BH1769">
        <f>IF(AND(AU1769&lt;&gt;"",ISNUMBER(AW1769)),1,0)</f>
        <v/>
      </c>
      <c r="BI1769">
        <f>IF(BH1769=0,0,IF(AND(AW1769&gt;='Tasks Filter'!$F$3,AW1769&lt;='Tasks Filter'!$F$4,OR('Tasks Filter'!$I$3="",ISNUMBER(SEARCH('Tasks Filter'!$I$3,AU1769))),OR('Tasks Filter'!$I$4="",BF1769=IFERROR(MATCH('Tasks Filter'!$I$4,Setup!$L$6:$L$9,0),0)),OR('Tasks Filter'!$I$5="Both",AND('Tasks Filter'!$I$5="Yes",BB1769="✓"),AND('Tasks Filter'!$I$5="No",BB1769&lt;&gt;"✓")),OR('Tasks Filter'!$L$3="",AV1769='Tasks Filter'!$L$3),OR('Tasks Filter'!$L$4="",AZ1769='Tasks Filter'!$L$4),OR('Tasks Filter'!$L$5="",BC1769='Tasks Filter'!$L$5),OR('Tasks Filter'!$O$3="",BD1769='Tasks Filter'!$O$3),OR('Tasks Filter'!$O$4="Yes",BG1769=0)),1,0))</f>
        <v/>
      </c>
      <c r="BJ1769">
        <f>IF(BH1769=0,"",IF('Tasks Filter'!$F$6="Descending",-1,1)*CHOOSE(MATCH('Tasks Filter'!$F$5,Lists!$G$2:$G$6,0),AW1769,BF1769,IFERROR(MATCH(AV1769,Setup!$F$6:$F$15,0),99),IFERROR(MATCH(BC1769,Setup!$H$6:$H$15,0),99),IFERROR(MATCH(AZ1769,Setup!$J$6:$J$11,0),99))*1E+9+(AW1769-40000)*10000+1768)</f>
        <v/>
      </c>
      <c r="BK1769">
        <f>IF(BI1769=1,BJ1769,"")</f>
        <v/>
      </c>
      <c r="BL1769">
        <f>IF(AND(BH1769=1,BG1769=0,N(AW1769)&lt;Setup!$D$7),(AW1769-40000)*10000+1768,"")</f>
        <v/>
      </c>
      <c r="BM1769">
        <f>IF(AND(BH1769=1,AZ1769&lt;&gt;"Cancelled",N(AW1769)&gt;=Dashboard!$AB$3,N(AW1769)&lt;=Dashboard!$AB$3+6),(AW1769-40000)*100000+BF1769*10000+1768,"")</f>
        <v/>
      </c>
      <c r="BN1769">
        <f>IF(AND(BH1769=1,AZ1769&lt;&gt;"Cancelled"),BF1769*10000+1768,"")</f>
        <v/>
      </c>
    </row>
    <row r="1770">
      <c r="AS1770" t="inlineStr">
        <is>
          <t>V</t>
        </is>
      </c>
      <c r="AT1770" t="n">
        <v>274</v>
      </c>
      <c r="AU1770">
        <f>'Variable Tasks'!C274&amp;""</f>
        <v/>
      </c>
      <c r="AV1770">
        <f>'Variable Tasks'!D274&amp;""</f>
        <v/>
      </c>
      <c r="AW1770">
        <f>IF('Variable Tasks'!E274="","",'Variable Tasks'!E274)</f>
        <v/>
      </c>
      <c r="AX1770">
        <f>IF('Variable Tasks'!G274="","",'Variable Tasks'!G274)</f>
        <v/>
      </c>
      <c r="AY1770">
        <f>IF('Variable Tasks'!H274="","",'Variable Tasks'!H274)</f>
        <v/>
      </c>
      <c r="AZ1770">
        <f>IF(AU1770="","",IF('Variable Tasks'!J274="","Not Started",'Variable Tasks'!J274))</f>
        <v/>
      </c>
      <c r="BA1770">
        <f>'Variable Tasks'!L274&amp;""</f>
        <v/>
      </c>
      <c r="BB1770">
        <f>'Variable Tasks'!M274&amp;""</f>
        <v/>
      </c>
      <c r="BC1770">
        <f>'Variable Tasks'!N274&amp;""</f>
        <v/>
      </c>
      <c r="BD1770">
        <f>'Variable Tasks'!O274&amp;""</f>
        <v/>
      </c>
      <c r="BE1770">
        <f>IF('Variable Tasks'!K274="","",'Variable Tasks'!K274)</f>
        <v/>
      </c>
      <c r="BF1770">
        <f>IFERROR(MATCH(BA1770,Setup!$L$6:$L$9,0),5)</f>
        <v/>
      </c>
      <c r="BG1770">
        <f>IF(OR(AZ1770="Done",AZ1770="Cancelled"),1,0)</f>
        <v/>
      </c>
      <c r="BH1770">
        <f>IF(AND(AU1770&lt;&gt;"",ISNUMBER(AW1770)),1,0)</f>
        <v/>
      </c>
      <c r="BI1770">
        <f>IF(BH1770=0,0,IF(AND(AW1770&gt;='Tasks Filter'!$F$3,AW1770&lt;='Tasks Filter'!$F$4,OR('Tasks Filter'!$I$3="",ISNUMBER(SEARCH('Tasks Filter'!$I$3,AU1770))),OR('Tasks Filter'!$I$4="",BF1770=IFERROR(MATCH('Tasks Filter'!$I$4,Setup!$L$6:$L$9,0),0)),OR('Tasks Filter'!$I$5="Both",AND('Tasks Filter'!$I$5="Yes",BB1770="✓"),AND('Tasks Filter'!$I$5="No",BB1770&lt;&gt;"✓")),OR('Tasks Filter'!$L$3="",AV1770='Tasks Filter'!$L$3),OR('Tasks Filter'!$L$4="",AZ1770='Tasks Filter'!$L$4),OR('Tasks Filter'!$L$5="",BC1770='Tasks Filter'!$L$5),OR('Tasks Filter'!$O$3="",BD1770='Tasks Filter'!$O$3),OR('Tasks Filter'!$O$4="Yes",BG1770=0)),1,0))</f>
        <v/>
      </c>
      <c r="BJ1770">
        <f>IF(BH1770=0,"",IF('Tasks Filter'!$F$6="Descending",-1,1)*CHOOSE(MATCH('Tasks Filter'!$F$5,Lists!$G$2:$G$6,0),AW1770,BF1770,IFERROR(MATCH(AV1770,Setup!$F$6:$F$15,0),99),IFERROR(MATCH(BC1770,Setup!$H$6:$H$15,0),99),IFERROR(MATCH(AZ1770,Setup!$J$6:$J$11,0),99))*1E+9+(AW1770-40000)*10000+1769)</f>
        <v/>
      </c>
      <c r="BK1770">
        <f>IF(BI1770=1,BJ1770,"")</f>
        <v/>
      </c>
      <c r="BL1770">
        <f>IF(AND(BH1770=1,BG1770=0,N(AW1770)&lt;Setup!$D$7),(AW1770-40000)*10000+1769,"")</f>
        <v/>
      </c>
      <c r="BM1770">
        <f>IF(AND(BH1770=1,AZ1770&lt;&gt;"Cancelled",N(AW1770)&gt;=Dashboard!$AB$3,N(AW1770)&lt;=Dashboard!$AB$3+6),(AW1770-40000)*100000+BF1770*10000+1769,"")</f>
        <v/>
      </c>
      <c r="BN1770">
        <f>IF(AND(BH1770=1,AZ1770&lt;&gt;"Cancelled"),BF1770*10000+1769,"")</f>
        <v/>
      </c>
    </row>
    <row r="1771">
      <c r="AS1771" t="inlineStr">
        <is>
          <t>V</t>
        </is>
      </c>
      <c r="AT1771" t="n">
        <v>275</v>
      </c>
      <c r="AU1771">
        <f>'Variable Tasks'!C275&amp;""</f>
        <v/>
      </c>
      <c r="AV1771">
        <f>'Variable Tasks'!D275&amp;""</f>
        <v/>
      </c>
      <c r="AW1771">
        <f>IF('Variable Tasks'!E275="","",'Variable Tasks'!E275)</f>
        <v/>
      </c>
      <c r="AX1771">
        <f>IF('Variable Tasks'!G275="","",'Variable Tasks'!G275)</f>
        <v/>
      </c>
      <c r="AY1771">
        <f>IF('Variable Tasks'!H275="","",'Variable Tasks'!H275)</f>
        <v/>
      </c>
      <c r="AZ1771">
        <f>IF(AU1771="","",IF('Variable Tasks'!J275="","Not Started",'Variable Tasks'!J275))</f>
        <v/>
      </c>
      <c r="BA1771">
        <f>'Variable Tasks'!L275&amp;""</f>
        <v/>
      </c>
      <c r="BB1771">
        <f>'Variable Tasks'!M275&amp;""</f>
        <v/>
      </c>
      <c r="BC1771">
        <f>'Variable Tasks'!N275&amp;""</f>
        <v/>
      </c>
      <c r="BD1771">
        <f>'Variable Tasks'!O275&amp;""</f>
        <v/>
      </c>
      <c r="BE1771">
        <f>IF('Variable Tasks'!K275="","",'Variable Tasks'!K275)</f>
        <v/>
      </c>
      <c r="BF1771">
        <f>IFERROR(MATCH(BA1771,Setup!$L$6:$L$9,0),5)</f>
        <v/>
      </c>
      <c r="BG1771">
        <f>IF(OR(AZ1771="Done",AZ1771="Cancelled"),1,0)</f>
        <v/>
      </c>
      <c r="BH1771">
        <f>IF(AND(AU1771&lt;&gt;"",ISNUMBER(AW1771)),1,0)</f>
        <v/>
      </c>
      <c r="BI1771">
        <f>IF(BH1771=0,0,IF(AND(AW1771&gt;='Tasks Filter'!$F$3,AW1771&lt;='Tasks Filter'!$F$4,OR('Tasks Filter'!$I$3="",ISNUMBER(SEARCH('Tasks Filter'!$I$3,AU1771))),OR('Tasks Filter'!$I$4="",BF1771=IFERROR(MATCH('Tasks Filter'!$I$4,Setup!$L$6:$L$9,0),0)),OR('Tasks Filter'!$I$5="Both",AND('Tasks Filter'!$I$5="Yes",BB1771="✓"),AND('Tasks Filter'!$I$5="No",BB1771&lt;&gt;"✓")),OR('Tasks Filter'!$L$3="",AV1771='Tasks Filter'!$L$3),OR('Tasks Filter'!$L$4="",AZ1771='Tasks Filter'!$L$4),OR('Tasks Filter'!$L$5="",BC1771='Tasks Filter'!$L$5),OR('Tasks Filter'!$O$3="",BD1771='Tasks Filter'!$O$3),OR('Tasks Filter'!$O$4="Yes",BG1771=0)),1,0))</f>
        <v/>
      </c>
      <c r="BJ1771">
        <f>IF(BH1771=0,"",IF('Tasks Filter'!$F$6="Descending",-1,1)*CHOOSE(MATCH('Tasks Filter'!$F$5,Lists!$G$2:$G$6,0),AW1771,BF1771,IFERROR(MATCH(AV1771,Setup!$F$6:$F$15,0),99),IFERROR(MATCH(BC1771,Setup!$H$6:$H$15,0),99),IFERROR(MATCH(AZ1771,Setup!$J$6:$J$11,0),99))*1E+9+(AW1771-40000)*10000+1770)</f>
        <v/>
      </c>
      <c r="BK1771">
        <f>IF(BI1771=1,BJ1771,"")</f>
        <v/>
      </c>
      <c r="BL1771">
        <f>IF(AND(BH1771=1,BG1771=0,N(AW1771)&lt;Setup!$D$7),(AW1771-40000)*10000+1770,"")</f>
        <v/>
      </c>
      <c r="BM1771">
        <f>IF(AND(BH1771=1,AZ1771&lt;&gt;"Cancelled",N(AW1771)&gt;=Dashboard!$AB$3,N(AW1771)&lt;=Dashboard!$AB$3+6),(AW1771-40000)*100000+BF1771*10000+1770,"")</f>
        <v/>
      </c>
      <c r="BN1771">
        <f>IF(AND(BH1771=1,AZ1771&lt;&gt;"Cancelled"),BF1771*10000+1770,"")</f>
        <v/>
      </c>
    </row>
    <row r="1772">
      <c r="AS1772" t="inlineStr">
        <is>
          <t>V</t>
        </is>
      </c>
      <c r="AT1772" t="n">
        <v>276</v>
      </c>
      <c r="AU1772">
        <f>'Variable Tasks'!C276&amp;""</f>
        <v/>
      </c>
      <c r="AV1772">
        <f>'Variable Tasks'!D276&amp;""</f>
        <v/>
      </c>
      <c r="AW1772">
        <f>IF('Variable Tasks'!E276="","",'Variable Tasks'!E276)</f>
        <v/>
      </c>
      <c r="AX1772">
        <f>IF('Variable Tasks'!G276="","",'Variable Tasks'!G276)</f>
        <v/>
      </c>
      <c r="AY1772">
        <f>IF('Variable Tasks'!H276="","",'Variable Tasks'!H276)</f>
        <v/>
      </c>
      <c r="AZ1772">
        <f>IF(AU1772="","",IF('Variable Tasks'!J276="","Not Started",'Variable Tasks'!J276))</f>
        <v/>
      </c>
      <c r="BA1772">
        <f>'Variable Tasks'!L276&amp;""</f>
        <v/>
      </c>
      <c r="BB1772">
        <f>'Variable Tasks'!M276&amp;""</f>
        <v/>
      </c>
      <c r="BC1772">
        <f>'Variable Tasks'!N276&amp;""</f>
        <v/>
      </c>
      <c r="BD1772">
        <f>'Variable Tasks'!O276&amp;""</f>
        <v/>
      </c>
      <c r="BE1772">
        <f>IF('Variable Tasks'!K276="","",'Variable Tasks'!K276)</f>
        <v/>
      </c>
      <c r="BF1772">
        <f>IFERROR(MATCH(BA1772,Setup!$L$6:$L$9,0),5)</f>
        <v/>
      </c>
      <c r="BG1772">
        <f>IF(OR(AZ1772="Done",AZ1772="Cancelled"),1,0)</f>
        <v/>
      </c>
      <c r="BH1772">
        <f>IF(AND(AU1772&lt;&gt;"",ISNUMBER(AW1772)),1,0)</f>
        <v/>
      </c>
      <c r="BI1772">
        <f>IF(BH1772=0,0,IF(AND(AW1772&gt;='Tasks Filter'!$F$3,AW1772&lt;='Tasks Filter'!$F$4,OR('Tasks Filter'!$I$3="",ISNUMBER(SEARCH('Tasks Filter'!$I$3,AU1772))),OR('Tasks Filter'!$I$4="",BF1772=IFERROR(MATCH('Tasks Filter'!$I$4,Setup!$L$6:$L$9,0),0)),OR('Tasks Filter'!$I$5="Both",AND('Tasks Filter'!$I$5="Yes",BB1772="✓"),AND('Tasks Filter'!$I$5="No",BB1772&lt;&gt;"✓")),OR('Tasks Filter'!$L$3="",AV1772='Tasks Filter'!$L$3),OR('Tasks Filter'!$L$4="",AZ1772='Tasks Filter'!$L$4),OR('Tasks Filter'!$L$5="",BC1772='Tasks Filter'!$L$5),OR('Tasks Filter'!$O$3="",BD1772='Tasks Filter'!$O$3),OR('Tasks Filter'!$O$4="Yes",BG1772=0)),1,0))</f>
        <v/>
      </c>
      <c r="BJ1772">
        <f>IF(BH1772=0,"",IF('Tasks Filter'!$F$6="Descending",-1,1)*CHOOSE(MATCH('Tasks Filter'!$F$5,Lists!$G$2:$G$6,0),AW1772,BF1772,IFERROR(MATCH(AV1772,Setup!$F$6:$F$15,0),99),IFERROR(MATCH(BC1772,Setup!$H$6:$H$15,0),99),IFERROR(MATCH(AZ1772,Setup!$J$6:$J$11,0),99))*1E+9+(AW1772-40000)*10000+1771)</f>
        <v/>
      </c>
      <c r="BK1772">
        <f>IF(BI1772=1,BJ1772,"")</f>
        <v/>
      </c>
      <c r="BL1772">
        <f>IF(AND(BH1772=1,BG1772=0,N(AW1772)&lt;Setup!$D$7),(AW1772-40000)*10000+1771,"")</f>
        <v/>
      </c>
      <c r="BM1772">
        <f>IF(AND(BH1772=1,AZ1772&lt;&gt;"Cancelled",N(AW1772)&gt;=Dashboard!$AB$3,N(AW1772)&lt;=Dashboard!$AB$3+6),(AW1772-40000)*100000+BF1772*10000+1771,"")</f>
        <v/>
      </c>
      <c r="BN1772">
        <f>IF(AND(BH1772=1,AZ1772&lt;&gt;"Cancelled"),BF1772*10000+1771,"")</f>
        <v/>
      </c>
    </row>
    <row r="1773">
      <c r="AS1773" t="inlineStr">
        <is>
          <t>V</t>
        </is>
      </c>
      <c r="AT1773" t="n">
        <v>277</v>
      </c>
      <c r="AU1773">
        <f>'Variable Tasks'!C277&amp;""</f>
        <v/>
      </c>
      <c r="AV1773">
        <f>'Variable Tasks'!D277&amp;""</f>
        <v/>
      </c>
      <c r="AW1773">
        <f>IF('Variable Tasks'!E277="","",'Variable Tasks'!E277)</f>
        <v/>
      </c>
      <c r="AX1773">
        <f>IF('Variable Tasks'!G277="","",'Variable Tasks'!G277)</f>
        <v/>
      </c>
      <c r="AY1773">
        <f>IF('Variable Tasks'!H277="","",'Variable Tasks'!H277)</f>
        <v/>
      </c>
      <c r="AZ1773">
        <f>IF(AU1773="","",IF('Variable Tasks'!J277="","Not Started",'Variable Tasks'!J277))</f>
        <v/>
      </c>
      <c r="BA1773">
        <f>'Variable Tasks'!L277&amp;""</f>
        <v/>
      </c>
      <c r="BB1773">
        <f>'Variable Tasks'!M277&amp;""</f>
        <v/>
      </c>
      <c r="BC1773">
        <f>'Variable Tasks'!N277&amp;""</f>
        <v/>
      </c>
      <c r="BD1773">
        <f>'Variable Tasks'!O277&amp;""</f>
        <v/>
      </c>
      <c r="BE1773">
        <f>IF('Variable Tasks'!K277="","",'Variable Tasks'!K277)</f>
        <v/>
      </c>
      <c r="BF1773">
        <f>IFERROR(MATCH(BA1773,Setup!$L$6:$L$9,0),5)</f>
        <v/>
      </c>
      <c r="BG1773">
        <f>IF(OR(AZ1773="Done",AZ1773="Cancelled"),1,0)</f>
        <v/>
      </c>
      <c r="BH1773">
        <f>IF(AND(AU1773&lt;&gt;"",ISNUMBER(AW1773)),1,0)</f>
        <v/>
      </c>
      <c r="BI1773">
        <f>IF(BH1773=0,0,IF(AND(AW1773&gt;='Tasks Filter'!$F$3,AW1773&lt;='Tasks Filter'!$F$4,OR('Tasks Filter'!$I$3="",ISNUMBER(SEARCH('Tasks Filter'!$I$3,AU1773))),OR('Tasks Filter'!$I$4="",BF1773=IFERROR(MATCH('Tasks Filter'!$I$4,Setup!$L$6:$L$9,0),0)),OR('Tasks Filter'!$I$5="Both",AND('Tasks Filter'!$I$5="Yes",BB1773="✓"),AND('Tasks Filter'!$I$5="No",BB1773&lt;&gt;"✓")),OR('Tasks Filter'!$L$3="",AV1773='Tasks Filter'!$L$3),OR('Tasks Filter'!$L$4="",AZ1773='Tasks Filter'!$L$4),OR('Tasks Filter'!$L$5="",BC1773='Tasks Filter'!$L$5),OR('Tasks Filter'!$O$3="",BD1773='Tasks Filter'!$O$3),OR('Tasks Filter'!$O$4="Yes",BG1773=0)),1,0))</f>
        <v/>
      </c>
      <c r="BJ1773">
        <f>IF(BH1773=0,"",IF('Tasks Filter'!$F$6="Descending",-1,1)*CHOOSE(MATCH('Tasks Filter'!$F$5,Lists!$G$2:$G$6,0),AW1773,BF1773,IFERROR(MATCH(AV1773,Setup!$F$6:$F$15,0),99),IFERROR(MATCH(BC1773,Setup!$H$6:$H$15,0),99),IFERROR(MATCH(AZ1773,Setup!$J$6:$J$11,0),99))*1E+9+(AW1773-40000)*10000+1772)</f>
        <v/>
      </c>
      <c r="BK1773">
        <f>IF(BI1773=1,BJ1773,"")</f>
        <v/>
      </c>
      <c r="BL1773">
        <f>IF(AND(BH1773=1,BG1773=0,N(AW1773)&lt;Setup!$D$7),(AW1773-40000)*10000+1772,"")</f>
        <v/>
      </c>
      <c r="BM1773">
        <f>IF(AND(BH1773=1,AZ1773&lt;&gt;"Cancelled",N(AW1773)&gt;=Dashboard!$AB$3,N(AW1773)&lt;=Dashboard!$AB$3+6),(AW1773-40000)*100000+BF1773*10000+1772,"")</f>
        <v/>
      </c>
      <c r="BN1773">
        <f>IF(AND(BH1773=1,AZ1773&lt;&gt;"Cancelled"),BF1773*10000+1772,"")</f>
        <v/>
      </c>
    </row>
    <row r="1774">
      <c r="AS1774" t="inlineStr">
        <is>
          <t>V</t>
        </is>
      </c>
      <c r="AT1774" t="n">
        <v>278</v>
      </c>
      <c r="AU1774">
        <f>'Variable Tasks'!C278&amp;""</f>
        <v/>
      </c>
      <c r="AV1774">
        <f>'Variable Tasks'!D278&amp;""</f>
        <v/>
      </c>
      <c r="AW1774">
        <f>IF('Variable Tasks'!E278="","",'Variable Tasks'!E278)</f>
        <v/>
      </c>
      <c r="AX1774">
        <f>IF('Variable Tasks'!G278="","",'Variable Tasks'!G278)</f>
        <v/>
      </c>
      <c r="AY1774">
        <f>IF('Variable Tasks'!H278="","",'Variable Tasks'!H278)</f>
        <v/>
      </c>
      <c r="AZ1774">
        <f>IF(AU1774="","",IF('Variable Tasks'!J278="","Not Started",'Variable Tasks'!J278))</f>
        <v/>
      </c>
      <c r="BA1774">
        <f>'Variable Tasks'!L278&amp;""</f>
        <v/>
      </c>
      <c r="BB1774">
        <f>'Variable Tasks'!M278&amp;""</f>
        <v/>
      </c>
      <c r="BC1774">
        <f>'Variable Tasks'!N278&amp;""</f>
        <v/>
      </c>
      <c r="BD1774">
        <f>'Variable Tasks'!O278&amp;""</f>
        <v/>
      </c>
      <c r="BE1774">
        <f>IF('Variable Tasks'!K278="","",'Variable Tasks'!K278)</f>
        <v/>
      </c>
      <c r="BF1774">
        <f>IFERROR(MATCH(BA1774,Setup!$L$6:$L$9,0),5)</f>
        <v/>
      </c>
      <c r="BG1774">
        <f>IF(OR(AZ1774="Done",AZ1774="Cancelled"),1,0)</f>
        <v/>
      </c>
      <c r="BH1774">
        <f>IF(AND(AU1774&lt;&gt;"",ISNUMBER(AW1774)),1,0)</f>
        <v/>
      </c>
      <c r="BI1774">
        <f>IF(BH1774=0,0,IF(AND(AW1774&gt;='Tasks Filter'!$F$3,AW1774&lt;='Tasks Filter'!$F$4,OR('Tasks Filter'!$I$3="",ISNUMBER(SEARCH('Tasks Filter'!$I$3,AU1774))),OR('Tasks Filter'!$I$4="",BF1774=IFERROR(MATCH('Tasks Filter'!$I$4,Setup!$L$6:$L$9,0),0)),OR('Tasks Filter'!$I$5="Both",AND('Tasks Filter'!$I$5="Yes",BB1774="✓"),AND('Tasks Filter'!$I$5="No",BB1774&lt;&gt;"✓")),OR('Tasks Filter'!$L$3="",AV1774='Tasks Filter'!$L$3),OR('Tasks Filter'!$L$4="",AZ1774='Tasks Filter'!$L$4),OR('Tasks Filter'!$L$5="",BC1774='Tasks Filter'!$L$5),OR('Tasks Filter'!$O$3="",BD1774='Tasks Filter'!$O$3),OR('Tasks Filter'!$O$4="Yes",BG1774=0)),1,0))</f>
        <v/>
      </c>
      <c r="BJ1774">
        <f>IF(BH1774=0,"",IF('Tasks Filter'!$F$6="Descending",-1,1)*CHOOSE(MATCH('Tasks Filter'!$F$5,Lists!$G$2:$G$6,0),AW1774,BF1774,IFERROR(MATCH(AV1774,Setup!$F$6:$F$15,0),99),IFERROR(MATCH(BC1774,Setup!$H$6:$H$15,0),99),IFERROR(MATCH(AZ1774,Setup!$J$6:$J$11,0),99))*1E+9+(AW1774-40000)*10000+1773)</f>
        <v/>
      </c>
      <c r="BK1774">
        <f>IF(BI1774=1,BJ1774,"")</f>
        <v/>
      </c>
      <c r="BL1774">
        <f>IF(AND(BH1774=1,BG1774=0,N(AW1774)&lt;Setup!$D$7),(AW1774-40000)*10000+1773,"")</f>
        <v/>
      </c>
      <c r="BM1774">
        <f>IF(AND(BH1774=1,AZ1774&lt;&gt;"Cancelled",N(AW1774)&gt;=Dashboard!$AB$3,N(AW1774)&lt;=Dashboard!$AB$3+6),(AW1774-40000)*100000+BF1774*10000+1773,"")</f>
        <v/>
      </c>
      <c r="BN1774">
        <f>IF(AND(BH1774=1,AZ1774&lt;&gt;"Cancelled"),BF1774*10000+1773,"")</f>
        <v/>
      </c>
    </row>
    <row r="1775">
      <c r="AS1775" t="inlineStr">
        <is>
          <t>V</t>
        </is>
      </c>
      <c r="AT1775" t="n">
        <v>279</v>
      </c>
      <c r="AU1775">
        <f>'Variable Tasks'!C279&amp;""</f>
        <v/>
      </c>
      <c r="AV1775">
        <f>'Variable Tasks'!D279&amp;""</f>
        <v/>
      </c>
      <c r="AW1775">
        <f>IF('Variable Tasks'!E279="","",'Variable Tasks'!E279)</f>
        <v/>
      </c>
      <c r="AX1775">
        <f>IF('Variable Tasks'!G279="","",'Variable Tasks'!G279)</f>
        <v/>
      </c>
      <c r="AY1775">
        <f>IF('Variable Tasks'!H279="","",'Variable Tasks'!H279)</f>
        <v/>
      </c>
      <c r="AZ1775">
        <f>IF(AU1775="","",IF('Variable Tasks'!J279="","Not Started",'Variable Tasks'!J279))</f>
        <v/>
      </c>
      <c r="BA1775">
        <f>'Variable Tasks'!L279&amp;""</f>
        <v/>
      </c>
      <c r="BB1775">
        <f>'Variable Tasks'!M279&amp;""</f>
        <v/>
      </c>
      <c r="BC1775">
        <f>'Variable Tasks'!N279&amp;""</f>
        <v/>
      </c>
      <c r="BD1775">
        <f>'Variable Tasks'!O279&amp;""</f>
        <v/>
      </c>
      <c r="BE1775">
        <f>IF('Variable Tasks'!K279="","",'Variable Tasks'!K279)</f>
        <v/>
      </c>
      <c r="BF1775">
        <f>IFERROR(MATCH(BA1775,Setup!$L$6:$L$9,0),5)</f>
        <v/>
      </c>
      <c r="BG1775">
        <f>IF(OR(AZ1775="Done",AZ1775="Cancelled"),1,0)</f>
        <v/>
      </c>
      <c r="BH1775">
        <f>IF(AND(AU1775&lt;&gt;"",ISNUMBER(AW1775)),1,0)</f>
        <v/>
      </c>
      <c r="BI1775">
        <f>IF(BH1775=0,0,IF(AND(AW1775&gt;='Tasks Filter'!$F$3,AW1775&lt;='Tasks Filter'!$F$4,OR('Tasks Filter'!$I$3="",ISNUMBER(SEARCH('Tasks Filter'!$I$3,AU1775))),OR('Tasks Filter'!$I$4="",BF1775=IFERROR(MATCH('Tasks Filter'!$I$4,Setup!$L$6:$L$9,0),0)),OR('Tasks Filter'!$I$5="Both",AND('Tasks Filter'!$I$5="Yes",BB1775="✓"),AND('Tasks Filter'!$I$5="No",BB1775&lt;&gt;"✓")),OR('Tasks Filter'!$L$3="",AV1775='Tasks Filter'!$L$3),OR('Tasks Filter'!$L$4="",AZ1775='Tasks Filter'!$L$4),OR('Tasks Filter'!$L$5="",BC1775='Tasks Filter'!$L$5),OR('Tasks Filter'!$O$3="",BD1775='Tasks Filter'!$O$3),OR('Tasks Filter'!$O$4="Yes",BG1775=0)),1,0))</f>
        <v/>
      </c>
      <c r="BJ1775">
        <f>IF(BH1775=0,"",IF('Tasks Filter'!$F$6="Descending",-1,1)*CHOOSE(MATCH('Tasks Filter'!$F$5,Lists!$G$2:$G$6,0),AW1775,BF1775,IFERROR(MATCH(AV1775,Setup!$F$6:$F$15,0),99),IFERROR(MATCH(BC1775,Setup!$H$6:$H$15,0),99),IFERROR(MATCH(AZ1775,Setup!$J$6:$J$11,0),99))*1E+9+(AW1775-40000)*10000+1774)</f>
        <v/>
      </c>
      <c r="BK1775">
        <f>IF(BI1775=1,BJ1775,"")</f>
        <v/>
      </c>
      <c r="BL1775">
        <f>IF(AND(BH1775=1,BG1775=0,N(AW1775)&lt;Setup!$D$7),(AW1775-40000)*10000+1774,"")</f>
        <v/>
      </c>
      <c r="BM1775">
        <f>IF(AND(BH1775=1,AZ1775&lt;&gt;"Cancelled",N(AW1775)&gt;=Dashboard!$AB$3,N(AW1775)&lt;=Dashboard!$AB$3+6),(AW1775-40000)*100000+BF1775*10000+1774,"")</f>
        <v/>
      </c>
      <c r="BN1775">
        <f>IF(AND(BH1775=1,AZ1775&lt;&gt;"Cancelled"),BF1775*10000+1774,"")</f>
        <v/>
      </c>
    </row>
    <row r="1776">
      <c r="AS1776" t="inlineStr">
        <is>
          <t>V</t>
        </is>
      </c>
      <c r="AT1776" t="n">
        <v>280</v>
      </c>
      <c r="AU1776">
        <f>'Variable Tasks'!C280&amp;""</f>
        <v/>
      </c>
      <c r="AV1776">
        <f>'Variable Tasks'!D280&amp;""</f>
        <v/>
      </c>
      <c r="AW1776">
        <f>IF('Variable Tasks'!E280="","",'Variable Tasks'!E280)</f>
        <v/>
      </c>
      <c r="AX1776">
        <f>IF('Variable Tasks'!G280="","",'Variable Tasks'!G280)</f>
        <v/>
      </c>
      <c r="AY1776">
        <f>IF('Variable Tasks'!H280="","",'Variable Tasks'!H280)</f>
        <v/>
      </c>
      <c r="AZ1776">
        <f>IF(AU1776="","",IF('Variable Tasks'!J280="","Not Started",'Variable Tasks'!J280))</f>
        <v/>
      </c>
      <c r="BA1776">
        <f>'Variable Tasks'!L280&amp;""</f>
        <v/>
      </c>
      <c r="BB1776">
        <f>'Variable Tasks'!M280&amp;""</f>
        <v/>
      </c>
      <c r="BC1776">
        <f>'Variable Tasks'!N280&amp;""</f>
        <v/>
      </c>
      <c r="BD1776">
        <f>'Variable Tasks'!O280&amp;""</f>
        <v/>
      </c>
      <c r="BE1776">
        <f>IF('Variable Tasks'!K280="","",'Variable Tasks'!K280)</f>
        <v/>
      </c>
      <c r="BF1776">
        <f>IFERROR(MATCH(BA1776,Setup!$L$6:$L$9,0),5)</f>
        <v/>
      </c>
      <c r="BG1776">
        <f>IF(OR(AZ1776="Done",AZ1776="Cancelled"),1,0)</f>
        <v/>
      </c>
      <c r="BH1776">
        <f>IF(AND(AU1776&lt;&gt;"",ISNUMBER(AW1776)),1,0)</f>
        <v/>
      </c>
      <c r="BI1776">
        <f>IF(BH1776=0,0,IF(AND(AW1776&gt;='Tasks Filter'!$F$3,AW1776&lt;='Tasks Filter'!$F$4,OR('Tasks Filter'!$I$3="",ISNUMBER(SEARCH('Tasks Filter'!$I$3,AU1776))),OR('Tasks Filter'!$I$4="",BF1776=IFERROR(MATCH('Tasks Filter'!$I$4,Setup!$L$6:$L$9,0),0)),OR('Tasks Filter'!$I$5="Both",AND('Tasks Filter'!$I$5="Yes",BB1776="✓"),AND('Tasks Filter'!$I$5="No",BB1776&lt;&gt;"✓")),OR('Tasks Filter'!$L$3="",AV1776='Tasks Filter'!$L$3),OR('Tasks Filter'!$L$4="",AZ1776='Tasks Filter'!$L$4),OR('Tasks Filter'!$L$5="",BC1776='Tasks Filter'!$L$5),OR('Tasks Filter'!$O$3="",BD1776='Tasks Filter'!$O$3),OR('Tasks Filter'!$O$4="Yes",BG1776=0)),1,0))</f>
        <v/>
      </c>
      <c r="BJ1776">
        <f>IF(BH1776=0,"",IF('Tasks Filter'!$F$6="Descending",-1,1)*CHOOSE(MATCH('Tasks Filter'!$F$5,Lists!$G$2:$G$6,0),AW1776,BF1776,IFERROR(MATCH(AV1776,Setup!$F$6:$F$15,0),99),IFERROR(MATCH(BC1776,Setup!$H$6:$H$15,0),99),IFERROR(MATCH(AZ1776,Setup!$J$6:$J$11,0),99))*1E+9+(AW1776-40000)*10000+1775)</f>
        <v/>
      </c>
      <c r="BK1776">
        <f>IF(BI1776=1,BJ1776,"")</f>
        <v/>
      </c>
      <c r="BL1776">
        <f>IF(AND(BH1776=1,BG1776=0,N(AW1776)&lt;Setup!$D$7),(AW1776-40000)*10000+1775,"")</f>
        <v/>
      </c>
      <c r="BM1776">
        <f>IF(AND(BH1776=1,AZ1776&lt;&gt;"Cancelled",N(AW1776)&gt;=Dashboard!$AB$3,N(AW1776)&lt;=Dashboard!$AB$3+6),(AW1776-40000)*100000+BF1776*10000+1775,"")</f>
        <v/>
      </c>
      <c r="BN1776">
        <f>IF(AND(BH1776=1,AZ1776&lt;&gt;"Cancelled"),BF1776*10000+1775,"")</f>
        <v/>
      </c>
    </row>
    <row r="1777">
      <c r="AS1777" t="inlineStr">
        <is>
          <t>V</t>
        </is>
      </c>
      <c r="AT1777" t="n">
        <v>281</v>
      </c>
      <c r="AU1777">
        <f>'Variable Tasks'!C281&amp;""</f>
        <v/>
      </c>
      <c r="AV1777">
        <f>'Variable Tasks'!D281&amp;""</f>
        <v/>
      </c>
      <c r="AW1777">
        <f>IF('Variable Tasks'!E281="","",'Variable Tasks'!E281)</f>
        <v/>
      </c>
      <c r="AX1777">
        <f>IF('Variable Tasks'!G281="","",'Variable Tasks'!G281)</f>
        <v/>
      </c>
      <c r="AY1777">
        <f>IF('Variable Tasks'!H281="","",'Variable Tasks'!H281)</f>
        <v/>
      </c>
      <c r="AZ1777">
        <f>IF(AU1777="","",IF('Variable Tasks'!J281="","Not Started",'Variable Tasks'!J281))</f>
        <v/>
      </c>
      <c r="BA1777">
        <f>'Variable Tasks'!L281&amp;""</f>
        <v/>
      </c>
      <c r="BB1777">
        <f>'Variable Tasks'!M281&amp;""</f>
        <v/>
      </c>
      <c r="BC1777">
        <f>'Variable Tasks'!N281&amp;""</f>
        <v/>
      </c>
      <c r="BD1777">
        <f>'Variable Tasks'!O281&amp;""</f>
        <v/>
      </c>
      <c r="BE1777">
        <f>IF('Variable Tasks'!K281="","",'Variable Tasks'!K281)</f>
        <v/>
      </c>
      <c r="BF1777">
        <f>IFERROR(MATCH(BA1777,Setup!$L$6:$L$9,0),5)</f>
        <v/>
      </c>
      <c r="BG1777">
        <f>IF(OR(AZ1777="Done",AZ1777="Cancelled"),1,0)</f>
        <v/>
      </c>
      <c r="BH1777">
        <f>IF(AND(AU1777&lt;&gt;"",ISNUMBER(AW1777)),1,0)</f>
        <v/>
      </c>
      <c r="BI1777">
        <f>IF(BH1777=0,0,IF(AND(AW1777&gt;='Tasks Filter'!$F$3,AW1777&lt;='Tasks Filter'!$F$4,OR('Tasks Filter'!$I$3="",ISNUMBER(SEARCH('Tasks Filter'!$I$3,AU1777))),OR('Tasks Filter'!$I$4="",BF1777=IFERROR(MATCH('Tasks Filter'!$I$4,Setup!$L$6:$L$9,0),0)),OR('Tasks Filter'!$I$5="Both",AND('Tasks Filter'!$I$5="Yes",BB1777="✓"),AND('Tasks Filter'!$I$5="No",BB1777&lt;&gt;"✓")),OR('Tasks Filter'!$L$3="",AV1777='Tasks Filter'!$L$3),OR('Tasks Filter'!$L$4="",AZ1777='Tasks Filter'!$L$4),OR('Tasks Filter'!$L$5="",BC1777='Tasks Filter'!$L$5),OR('Tasks Filter'!$O$3="",BD1777='Tasks Filter'!$O$3),OR('Tasks Filter'!$O$4="Yes",BG1777=0)),1,0))</f>
        <v/>
      </c>
      <c r="BJ1777">
        <f>IF(BH1777=0,"",IF('Tasks Filter'!$F$6="Descending",-1,1)*CHOOSE(MATCH('Tasks Filter'!$F$5,Lists!$G$2:$G$6,0),AW1777,BF1777,IFERROR(MATCH(AV1777,Setup!$F$6:$F$15,0),99),IFERROR(MATCH(BC1777,Setup!$H$6:$H$15,0),99),IFERROR(MATCH(AZ1777,Setup!$J$6:$J$11,0),99))*1E+9+(AW1777-40000)*10000+1776)</f>
        <v/>
      </c>
      <c r="BK1777">
        <f>IF(BI1777=1,BJ1777,"")</f>
        <v/>
      </c>
      <c r="BL1777">
        <f>IF(AND(BH1777=1,BG1777=0,N(AW1777)&lt;Setup!$D$7),(AW1777-40000)*10000+1776,"")</f>
        <v/>
      </c>
      <c r="BM1777">
        <f>IF(AND(BH1777=1,AZ1777&lt;&gt;"Cancelled",N(AW1777)&gt;=Dashboard!$AB$3,N(AW1777)&lt;=Dashboard!$AB$3+6),(AW1777-40000)*100000+BF1777*10000+1776,"")</f>
        <v/>
      </c>
      <c r="BN1777">
        <f>IF(AND(BH1777=1,AZ1777&lt;&gt;"Cancelled"),BF1777*10000+1776,"")</f>
        <v/>
      </c>
    </row>
    <row r="1778">
      <c r="AS1778" t="inlineStr">
        <is>
          <t>V</t>
        </is>
      </c>
      <c r="AT1778" t="n">
        <v>282</v>
      </c>
      <c r="AU1778">
        <f>'Variable Tasks'!C282&amp;""</f>
        <v/>
      </c>
      <c r="AV1778">
        <f>'Variable Tasks'!D282&amp;""</f>
        <v/>
      </c>
      <c r="AW1778">
        <f>IF('Variable Tasks'!E282="","",'Variable Tasks'!E282)</f>
        <v/>
      </c>
      <c r="AX1778">
        <f>IF('Variable Tasks'!G282="","",'Variable Tasks'!G282)</f>
        <v/>
      </c>
      <c r="AY1778">
        <f>IF('Variable Tasks'!H282="","",'Variable Tasks'!H282)</f>
        <v/>
      </c>
      <c r="AZ1778">
        <f>IF(AU1778="","",IF('Variable Tasks'!J282="","Not Started",'Variable Tasks'!J282))</f>
        <v/>
      </c>
      <c r="BA1778">
        <f>'Variable Tasks'!L282&amp;""</f>
        <v/>
      </c>
      <c r="BB1778">
        <f>'Variable Tasks'!M282&amp;""</f>
        <v/>
      </c>
      <c r="BC1778">
        <f>'Variable Tasks'!N282&amp;""</f>
        <v/>
      </c>
      <c r="BD1778">
        <f>'Variable Tasks'!O282&amp;""</f>
        <v/>
      </c>
      <c r="BE1778">
        <f>IF('Variable Tasks'!K282="","",'Variable Tasks'!K282)</f>
        <v/>
      </c>
      <c r="BF1778">
        <f>IFERROR(MATCH(BA1778,Setup!$L$6:$L$9,0),5)</f>
        <v/>
      </c>
      <c r="BG1778">
        <f>IF(OR(AZ1778="Done",AZ1778="Cancelled"),1,0)</f>
        <v/>
      </c>
      <c r="BH1778">
        <f>IF(AND(AU1778&lt;&gt;"",ISNUMBER(AW1778)),1,0)</f>
        <v/>
      </c>
      <c r="BI1778">
        <f>IF(BH1778=0,0,IF(AND(AW1778&gt;='Tasks Filter'!$F$3,AW1778&lt;='Tasks Filter'!$F$4,OR('Tasks Filter'!$I$3="",ISNUMBER(SEARCH('Tasks Filter'!$I$3,AU1778))),OR('Tasks Filter'!$I$4="",BF1778=IFERROR(MATCH('Tasks Filter'!$I$4,Setup!$L$6:$L$9,0),0)),OR('Tasks Filter'!$I$5="Both",AND('Tasks Filter'!$I$5="Yes",BB1778="✓"),AND('Tasks Filter'!$I$5="No",BB1778&lt;&gt;"✓")),OR('Tasks Filter'!$L$3="",AV1778='Tasks Filter'!$L$3),OR('Tasks Filter'!$L$4="",AZ1778='Tasks Filter'!$L$4),OR('Tasks Filter'!$L$5="",BC1778='Tasks Filter'!$L$5),OR('Tasks Filter'!$O$3="",BD1778='Tasks Filter'!$O$3),OR('Tasks Filter'!$O$4="Yes",BG1778=0)),1,0))</f>
        <v/>
      </c>
      <c r="BJ1778">
        <f>IF(BH1778=0,"",IF('Tasks Filter'!$F$6="Descending",-1,1)*CHOOSE(MATCH('Tasks Filter'!$F$5,Lists!$G$2:$G$6,0),AW1778,BF1778,IFERROR(MATCH(AV1778,Setup!$F$6:$F$15,0),99),IFERROR(MATCH(BC1778,Setup!$H$6:$H$15,0),99),IFERROR(MATCH(AZ1778,Setup!$J$6:$J$11,0),99))*1E+9+(AW1778-40000)*10000+1777)</f>
        <v/>
      </c>
      <c r="BK1778">
        <f>IF(BI1778=1,BJ1778,"")</f>
        <v/>
      </c>
      <c r="BL1778">
        <f>IF(AND(BH1778=1,BG1778=0,N(AW1778)&lt;Setup!$D$7),(AW1778-40000)*10000+1777,"")</f>
        <v/>
      </c>
      <c r="BM1778">
        <f>IF(AND(BH1778=1,AZ1778&lt;&gt;"Cancelled",N(AW1778)&gt;=Dashboard!$AB$3,N(AW1778)&lt;=Dashboard!$AB$3+6),(AW1778-40000)*100000+BF1778*10000+1777,"")</f>
        <v/>
      </c>
      <c r="BN1778">
        <f>IF(AND(BH1778=1,AZ1778&lt;&gt;"Cancelled"),BF1778*10000+1777,"")</f>
        <v/>
      </c>
    </row>
    <row r="1779">
      <c r="AS1779" t="inlineStr">
        <is>
          <t>V</t>
        </is>
      </c>
      <c r="AT1779" t="n">
        <v>283</v>
      </c>
      <c r="AU1779">
        <f>'Variable Tasks'!C283&amp;""</f>
        <v/>
      </c>
      <c r="AV1779">
        <f>'Variable Tasks'!D283&amp;""</f>
        <v/>
      </c>
      <c r="AW1779">
        <f>IF('Variable Tasks'!E283="","",'Variable Tasks'!E283)</f>
        <v/>
      </c>
      <c r="AX1779">
        <f>IF('Variable Tasks'!G283="","",'Variable Tasks'!G283)</f>
        <v/>
      </c>
      <c r="AY1779">
        <f>IF('Variable Tasks'!H283="","",'Variable Tasks'!H283)</f>
        <v/>
      </c>
      <c r="AZ1779">
        <f>IF(AU1779="","",IF('Variable Tasks'!J283="","Not Started",'Variable Tasks'!J283))</f>
        <v/>
      </c>
      <c r="BA1779">
        <f>'Variable Tasks'!L283&amp;""</f>
        <v/>
      </c>
      <c r="BB1779">
        <f>'Variable Tasks'!M283&amp;""</f>
        <v/>
      </c>
      <c r="BC1779">
        <f>'Variable Tasks'!N283&amp;""</f>
        <v/>
      </c>
      <c r="BD1779">
        <f>'Variable Tasks'!O283&amp;""</f>
        <v/>
      </c>
      <c r="BE1779">
        <f>IF('Variable Tasks'!K283="","",'Variable Tasks'!K283)</f>
        <v/>
      </c>
      <c r="BF1779">
        <f>IFERROR(MATCH(BA1779,Setup!$L$6:$L$9,0),5)</f>
        <v/>
      </c>
      <c r="BG1779">
        <f>IF(OR(AZ1779="Done",AZ1779="Cancelled"),1,0)</f>
        <v/>
      </c>
      <c r="BH1779">
        <f>IF(AND(AU1779&lt;&gt;"",ISNUMBER(AW1779)),1,0)</f>
        <v/>
      </c>
      <c r="BI1779">
        <f>IF(BH1779=0,0,IF(AND(AW1779&gt;='Tasks Filter'!$F$3,AW1779&lt;='Tasks Filter'!$F$4,OR('Tasks Filter'!$I$3="",ISNUMBER(SEARCH('Tasks Filter'!$I$3,AU1779))),OR('Tasks Filter'!$I$4="",BF1779=IFERROR(MATCH('Tasks Filter'!$I$4,Setup!$L$6:$L$9,0),0)),OR('Tasks Filter'!$I$5="Both",AND('Tasks Filter'!$I$5="Yes",BB1779="✓"),AND('Tasks Filter'!$I$5="No",BB1779&lt;&gt;"✓")),OR('Tasks Filter'!$L$3="",AV1779='Tasks Filter'!$L$3),OR('Tasks Filter'!$L$4="",AZ1779='Tasks Filter'!$L$4),OR('Tasks Filter'!$L$5="",BC1779='Tasks Filter'!$L$5),OR('Tasks Filter'!$O$3="",BD1779='Tasks Filter'!$O$3),OR('Tasks Filter'!$O$4="Yes",BG1779=0)),1,0))</f>
        <v/>
      </c>
      <c r="BJ1779">
        <f>IF(BH1779=0,"",IF('Tasks Filter'!$F$6="Descending",-1,1)*CHOOSE(MATCH('Tasks Filter'!$F$5,Lists!$G$2:$G$6,0),AW1779,BF1779,IFERROR(MATCH(AV1779,Setup!$F$6:$F$15,0),99),IFERROR(MATCH(BC1779,Setup!$H$6:$H$15,0),99),IFERROR(MATCH(AZ1779,Setup!$J$6:$J$11,0),99))*1E+9+(AW1779-40000)*10000+1778)</f>
        <v/>
      </c>
      <c r="BK1779">
        <f>IF(BI1779=1,BJ1779,"")</f>
        <v/>
      </c>
      <c r="BL1779">
        <f>IF(AND(BH1779=1,BG1779=0,N(AW1779)&lt;Setup!$D$7),(AW1779-40000)*10000+1778,"")</f>
        <v/>
      </c>
      <c r="BM1779">
        <f>IF(AND(BH1779=1,AZ1779&lt;&gt;"Cancelled",N(AW1779)&gt;=Dashboard!$AB$3,N(AW1779)&lt;=Dashboard!$AB$3+6),(AW1779-40000)*100000+BF1779*10000+1778,"")</f>
        <v/>
      </c>
      <c r="BN1779">
        <f>IF(AND(BH1779=1,AZ1779&lt;&gt;"Cancelled"),BF1779*10000+1778,"")</f>
        <v/>
      </c>
    </row>
    <row r="1780">
      <c r="AS1780" t="inlineStr">
        <is>
          <t>V</t>
        </is>
      </c>
      <c r="AT1780" t="n">
        <v>284</v>
      </c>
      <c r="AU1780">
        <f>'Variable Tasks'!C284&amp;""</f>
        <v/>
      </c>
      <c r="AV1780">
        <f>'Variable Tasks'!D284&amp;""</f>
        <v/>
      </c>
      <c r="AW1780">
        <f>IF('Variable Tasks'!E284="","",'Variable Tasks'!E284)</f>
        <v/>
      </c>
      <c r="AX1780">
        <f>IF('Variable Tasks'!G284="","",'Variable Tasks'!G284)</f>
        <v/>
      </c>
      <c r="AY1780">
        <f>IF('Variable Tasks'!H284="","",'Variable Tasks'!H284)</f>
        <v/>
      </c>
      <c r="AZ1780">
        <f>IF(AU1780="","",IF('Variable Tasks'!J284="","Not Started",'Variable Tasks'!J284))</f>
        <v/>
      </c>
      <c r="BA1780">
        <f>'Variable Tasks'!L284&amp;""</f>
        <v/>
      </c>
      <c r="BB1780">
        <f>'Variable Tasks'!M284&amp;""</f>
        <v/>
      </c>
      <c r="BC1780">
        <f>'Variable Tasks'!N284&amp;""</f>
        <v/>
      </c>
      <c r="BD1780">
        <f>'Variable Tasks'!O284&amp;""</f>
        <v/>
      </c>
      <c r="BE1780">
        <f>IF('Variable Tasks'!K284="","",'Variable Tasks'!K284)</f>
        <v/>
      </c>
      <c r="BF1780">
        <f>IFERROR(MATCH(BA1780,Setup!$L$6:$L$9,0),5)</f>
        <v/>
      </c>
      <c r="BG1780">
        <f>IF(OR(AZ1780="Done",AZ1780="Cancelled"),1,0)</f>
        <v/>
      </c>
      <c r="BH1780">
        <f>IF(AND(AU1780&lt;&gt;"",ISNUMBER(AW1780)),1,0)</f>
        <v/>
      </c>
      <c r="BI1780">
        <f>IF(BH1780=0,0,IF(AND(AW1780&gt;='Tasks Filter'!$F$3,AW1780&lt;='Tasks Filter'!$F$4,OR('Tasks Filter'!$I$3="",ISNUMBER(SEARCH('Tasks Filter'!$I$3,AU1780))),OR('Tasks Filter'!$I$4="",BF1780=IFERROR(MATCH('Tasks Filter'!$I$4,Setup!$L$6:$L$9,0),0)),OR('Tasks Filter'!$I$5="Both",AND('Tasks Filter'!$I$5="Yes",BB1780="✓"),AND('Tasks Filter'!$I$5="No",BB1780&lt;&gt;"✓")),OR('Tasks Filter'!$L$3="",AV1780='Tasks Filter'!$L$3),OR('Tasks Filter'!$L$4="",AZ1780='Tasks Filter'!$L$4),OR('Tasks Filter'!$L$5="",BC1780='Tasks Filter'!$L$5),OR('Tasks Filter'!$O$3="",BD1780='Tasks Filter'!$O$3),OR('Tasks Filter'!$O$4="Yes",BG1780=0)),1,0))</f>
        <v/>
      </c>
      <c r="BJ1780">
        <f>IF(BH1780=0,"",IF('Tasks Filter'!$F$6="Descending",-1,1)*CHOOSE(MATCH('Tasks Filter'!$F$5,Lists!$G$2:$G$6,0),AW1780,BF1780,IFERROR(MATCH(AV1780,Setup!$F$6:$F$15,0),99),IFERROR(MATCH(BC1780,Setup!$H$6:$H$15,0),99),IFERROR(MATCH(AZ1780,Setup!$J$6:$J$11,0),99))*1E+9+(AW1780-40000)*10000+1779)</f>
        <v/>
      </c>
      <c r="BK1780">
        <f>IF(BI1780=1,BJ1780,"")</f>
        <v/>
      </c>
      <c r="BL1780">
        <f>IF(AND(BH1780=1,BG1780=0,N(AW1780)&lt;Setup!$D$7),(AW1780-40000)*10000+1779,"")</f>
        <v/>
      </c>
      <c r="BM1780">
        <f>IF(AND(BH1780=1,AZ1780&lt;&gt;"Cancelled",N(AW1780)&gt;=Dashboard!$AB$3,N(AW1780)&lt;=Dashboard!$AB$3+6),(AW1780-40000)*100000+BF1780*10000+1779,"")</f>
        <v/>
      </c>
      <c r="BN1780">
        <f>IF(AND(BH1780=1,AZ1780&lt;&gt;"Cancelled"),BF1780*10000+1779,"")</f>
        <v/>
      </c>
    </row>
    <row r="1781">
      <c r="AS1781" t="inlineStr">
        <is>
          <t>V</t>
        </is>
      </c>
      <c r="AT1781" t="n">
        <v>285</v>
      </c>
      <c r="AU1781">
        <f>'Variable Tasks'!C285&amp;""</f>
        <v/>
      </c>
      <c r="AV1781">
        <f>'Variable Tasks'!D285&amp;""</f>
        <v/>
      </c>
      <c r="AW1781">
        <f>IF('Variable Tasks'!E285="","",'Variable Tasks'!E285)</f>
        <v/>
      </c>
      <c r="AX1781">
        <f>IF('Variable Tasks'!G285="","",'Variable Tasks'!G285)</f>
        <v/>
      </c>
      <c r="AY1781">
        <f>IF('Variable Tasks'!H285="","",'Variable Tasks'!H285)</f>
        <v/>
      </c>
      <c r="AZ1781">
        <f>IF(AU1781="","",IF('Variable Tasks'!J285="","Not Started",'Variable Tasks'!J285))</f>
        <v/>
      </c>
      <c r="BA1781">
        <f>'Variable Tasks'!L285&amp;""</f>
        <v/>
      </c>
      <c r="BB1781">
        <f>'Variable Tasks'!M285&amp;""</f>
        <v/>
      </c>
      <c r="BC1781">
        <f>'Variable Tasks'!N285&amp;""</f>
        <v/>
      </c>
      <c r="BD1781">
        <f>'Variable Tasks'!O285&amp;""</f>
        <v/>
      </c>
      <c r="BE1781">
        <f>IF('Variable Tasks'!K285="","",'Variable Tasks'!K285)</f>
        <v/>
      </c>
      <c r="BF1781">
        <f>IFERROR(MATCH(BA1781,Setup!$L$6:$L$9,0),5)</f>
        <v/>
      </c>
      <c r="BG1781">
        <f>IF(OR(AZ1781="Done",AZ1781="Cancelled"),1,0)</f>
        <v/>
      </c>
      <c r="BH1781">
        <f>IF(AND(AU1781&lt;&gt;"",ISNUMBER(AW1781)),1,0)</f>
        <v/>
      </c>
      <c r="BI1781">
        <f>IF(BH1781=0,0,IF(AND(AW1781&gt;='Tasks Filter'!$F$3,AW1781&lt;='Tasks Filter'!$F$4,OR('Tasks Filter'!$I$3="",ISNUMBER(SEARCH('Tasks Filter'!$I$3,AU1781))),OR('Tasks Filter'!$I$4="",BF1781=IFERROR(MATCH('Tasks Filter'!$I$4,Setup!$L$6:$L$9,0),0)),OR('Tasks Filter'!$I$5="Both",AND('Tasks Filter'!$I$5="Yes",BB1781="✓"),AND('Tasks Filter'!$I$5="No",BB1781&lt;&gt;"✓")),OR('Tasks Filter'!$L$3="",AV1781='Tasks Filter'!$L$3),OR('Tasks Filter'!$L$4="",AZ1781='Tasks Filter'!$L$4),OR('Tasks Filter'!$L$5="",BC1781='Tasks Filter'!$L$5),OR('Tasks Filter'!$O$3="",BD1781='Tasks Filter'!$O$3),OR('Tasks Filter'!$O$4="Yes",BG1781=0)),1,0))</f>
        <v/>
      </c>
      <c r="BJ1781">
        <f>IF(BH1781=0,"",IF('Tasks Filter'!$F$6="Descending",-1,1)*CHOOSE(MATCH('Tasks Filter'!$F$5,Lists!$G$2:$G$6,0),AW1781,BF1781,IFERROR(MATCH(AV1781,Setup!$F$6:$F$15,0),99),IFERROR(MATCH(BC1781,Setup!$H$6:$H$15,0),99),IFERROR(MATCH(AZ1781,Setup!$J$6:$J$11,0),99))*1E+9+(AW1781-40000)*10000+1780)</f>
        <v/>
      </c>
      <c r="BK1781">
        <f>IF(BI1781=1,BJ1781,"")</f>
        <v/>
      </c>
      <c r="BL1781">
        <f>IF(AND(BH1781=1,BG1781=0,N(AW1781)&lt;Setup!$D$7),(AW1781-40000)*10000+1780,"")</f>
        <v/>
      </c>
      <c r="BM1781">
        <f>IF(AND(BH1781=1,AZ1781&lt;&gt;"Cancelled",N(AW1781)&gt;=Dashboard!$AB$3,N(AW1781)&lt;=Dashboard!$AB$3+6),(AW1781-40000)*100000+BF1781*10000+1780,"")</f>
        <v/>
      </c>
      <c r="BN1781">
        <f>IF(AND(BH1781=1,AZ1781&lt;&gt;"Cancelled"),BF1781*10000+1780,"")</f>
        <v/>
      </c>
    </row>
    <row r="1782">
      <c r="AS1782" t="inlineStr">
        <is>
          <t>V</t>
        </is>
      </c>
      <c r="AT1782" t="n">
        <v>286</v>
      </c>
      <c r="AU1782">
        <f>'Variable Tasks'!C286&amp;""</f>
        <v/>
      </c>
      <c r="AV1782">
        <f>'Variable Tasks'!D286&amp;""</f>
        <v/>
      </c>
      <c r="AW1782">
        <f>IF('Variable Tasks'!E286="","",'Variable Tasks'!E286)</f>
        <v/>
      </c>
      <c r="AX1782">
        <f>IF('Variable Tasks'!G286="","",'Variable Tasks'!G286)</f>
        <v/>
      </c>
      <c r="AY1782">
        <f>IF('Variable Tasks'!H286="","",'Variable Tasks'!H286)</f>
        <v/>
      </c>
      <c r="AZ1782">
        <f>IF(AU1782="","",IF('Variable Tasks'!J286="","Not Started",'Variable Tasks'!J286))</f>
        <v/>
      </c>
      <c r="BA1782">
        <f>'Variable Tasks'!L286&amp;""</f>
        <v/>
      </c>
      <c r="BB1782">
        <f>'Variable Tasks'!M286&amp;""</f>
        <v/>
      </c>
      <c r="BC1782">
        <f>'Variable Tasks'!N286&amp;""</f>
        <v/>
      </c>
      <c r="BD1782">
        <f>'Variable Tasks'!O286&amp;""</f>
        <v/>
      </c>
      <c r="BE1782">
        <f>IF('Variable Tasks'!K286="","",'Variable Tasks'!K286)</f>
        <v/>
      </c>
      <c r="BF1782">
        <f>IFERROR(MATCH(BA1782,Setup!$L$6:$L$9,0),5)</f>
        <v/>
      </c>
      <c r="BG1782">
        <f>IF(OR(AZ1782="Done",AZ1782="Cancelled"),1,0)</f>
        <v/>
      </c>
      <c r="BH1782">
        <f>IF(AND(AU1782&lt;&gt;"",ISNUMBER(AW1782)),1,0)</f>
        <v/>
      </c>
      <c r="BI1782">
        <f>IF(BH1782=0,0,IF(AND(AW1782&gt;='Tasks Filter'!$F$3,AW1782&lt;='Tasks Filter'!$F$4,OR('Tasks Filter'!$I$3="",ISNUMBER(SEARCH('Tasks Filter'!$I$3,AU1782))),OR('Tasks Filter'!$I$4="",BF1782=IFERROR(MATCH('Tasks Filter'!$I$4,Setup!$L$6:$L$9,0),0)),OR('Tasks Filter'!$I$5="Both",AND('Tasks Filter'!$I$5="Yes",BB1782="✓"),AND('Tasks Filter'!$I$5="No",BB1782&lt;&gt;"✓")),OR('Tasks Filter'!$L$3="",AV1782='Tasks Filter'!$L$3),OR('Tasks Filter'!$L$4="",AZ1782='Tasks Filter'!$L$4),OR('Tasks Filter'!$L$5="",BC1782='Tasks Filter'!$L$5),OR('Tasks Filter'!$O$3="",BD1782='Tasks Filter'!$O$3),OR('Tasks Filter'!$O$4="Yes",BG1782=0)),1,0))</f>
        <v/>
      </c>
      <c r="BJ1782">
        <f>IF(BH1782=0,"",IF('Tasks Filter'!$F$6="Descending",-1,1)*CHOOSE(MATCH('Tasks Filter'!$F$5,Lists!$G$2:$G$6,0),AW1782,BF1782,IFERROR(MATCH(AV1782,Setup!$F$6:$F$15,0),99),IFERROR(MATCH(BC1782,Setup!$H$6:$H$15,0),99),IFERROR(MATCH(AZ1782,Setup!$J$6:$J$11,0),99))*1E+9+(AW1782-40000)*10000+1781)</f>
        <v/>
      </c>
      <c r="BK1782">
        <f>IF(BI1782=1,BJ1782,"")</f>
        <v/>
      </c>
      <c r="BL1782">
        <f>IF(AND(BH1782=1,BG1782=0,N(AW1782)&lt;Setup!$D$7),(AW1782-40000)*10000+1781,"")</f>
        <v/>
      </c>
      <c r="BM1782">
        <f>IF(AND(BH1782=1,AZ1782&lt;&gt;"Cancelled",N(AW1782)&gt;=Dashboard!$AB$3,N(AW1782)&lt;=Dashboard!$AB$3+6),(AW1782-40000)*100000+BF1782*10000+1781,"")</f>
        <v/>
      </c>
      <c r="BN1782">
        <f>IF(AND(BH1782=1,AZ1782&lt;&gt;"Cancelled"),BF1782*10000+1781,"")</f>
        <v/>
      </c>
    </row>
    <row r="1783">
      <c r="AS1783" t="inlineStr">
        <is>
          <t>V</t>
        </is>
      </c>
      <c r="AT1783" t="n">
        <v>287</v>
      </c>
      <c r="AU1783">
        <f>'Variable Tasks'!C287&amp;""</f>
        <v/>
      </c>
      <c r="AV1783">
        <f>'Variable Tasks'!D287&amp;""</f>
        <v/>
      </c>
      <c r="AW1783">
        <f>IF('Variable Tasks'!E287="","",'Variable Tasks'!E287)</f>
        <v/>
      </c>
      <c r="AX1783">
        <f>IF('Variable Tasks'!G287="","",'Variable Tasks'!G287)</f>
        <v/>
      </c>
      <c r="AY1783">
        <f>IF('Variable Tasks'!H287="","",'Variable Tasks'!H287)</f>
        <v/>
      </c>
      <c r="AZ1783">
        <f>IF(AU1783="","",IF('Variable Tasks'!J287="","Not Started",'Variable Tasks'!J287))</f>
        <v/>
      </c>
      <c r="BA1783">
        <f>'Variable Tasks'!L287&amp;""</f>
        <v/>
      </c>
      <c r="BB1783">
        <f>'Variable Tasks'!M287&amp;""</f>
        <v/>
      </c>
      <c r="BC1783">
        <f>'Variable Tasks'!N287&amp;""</f>
        <v/>
      </c>
      <c r="BD1783">
        <f>'Variable Tasks'!O287&amp;""</f>
        <v/>
      </c>
      <c r="BE1783">
        <f>IF('Variable Tasks'!K287="","",'Variable Tasks'!K287)</f>
        <v/>
      </c>
      <c r="BF1783">
        <f>IFERROR(MATCH(BA1783,Setup!$L$6:$L$9,0),5)</f>
        <v/>
      </c>
      <c r="BG1783">
        <f>IF(OR(AZ1783="Done",AZ1783="Cancelled"),1,0)</f>
        <v/>
      </c>
      <c r="BH1783">
        <f>IF(AND(AU1783&lt;&gt;"",ISNUMBER(AW1783)),1,0)</f>
        <v/>
      </c>
      <c r="BI1783">
        <f>IF(BH1783=0,0,IF(AND(AW1783&gt;='Tasks Filter'!$F$3,AW1783&lt;='Tasks Filter'!$F$4,OR('Tasks Filter'!$I$3="",ISNUMBER(SEARCH('Tasks Filter'!$I$3,AU1783))),OR('Tasks Filter'!$I$4="",BF1783=IFERROR(MATCH('Tasks Filter'!$I$4,Setup!$L$6:$L$9,0),0)),OR('Tasks Filter'!$I$5="Both",AND('Tasks Filter'!$I$5="Yes",BB1783="✓"),AND('Tasks Filter'!$I$5="No",BB1783&lt;&gt;"✓")),OR('Tasks Filter'!$L$3="",AV1783='Tasks Filter'!$L$3),OR('Tasks Filter'!$L$4="",AZ1783='Tasks Filter'!$L$4),OR('Tasks Filter'!$L$5="",BC1783='Tasks Filter'!$L$5),OR('Tasks Filter'!$O$3="",BD1783='Tasks Filter'!$O$3),OR('Tasks Filter'!$O$4="Yes",BG1783=0)),1,0))</f>
        <v/>
      </c>
      <c r="BJ1783">
        <f>IF(BH1783=0,"",IF('Tasks Filter'!$F$6="Descending",-1,1)*CHOOSE(MATCH('Tasks Filter'!$F$5,Lists!$G$2:$G$6,0),AW1783,BF1783,IFERROR(MATCH(AV1783,Setup!$F$6:$F$15,0),99),IFERROR(MATCH(BC1783,Setup!$H$6:$H$15,0),99),IFERROR(MATCH(AZ1783,Setup!$J$6:$J$11,0),99))*1E+9+(AW1783-40000)*10000+1782)</f>
        <v/>
      </c>
      <c r="BK1783">
        <f>IF(BI1783=1,BJ1783,"")</f>
        <v/>
      </c>
      <c r="BL1783">
        <f>IF(AND(BH1783=1,BG1783=0,N(AW1783)&lt;Setup!$D$7),(AW1783-40000)*10000+1782,"")</f>
        <v/>
      </c>
      <c r="BM1783">
        <f>IF(AND(BH1783=1,AZ1783&lt;&gt;"Cancelled",N(AW1783)&gt;=Dashboard!$AB$3,N(AW1783)&lt;=Dashboard!$AB$3+6),(AW1783-40000)*100000+BF1783*10000+1782,"")</f>
        <v/>
      </c>
      <c r="BN1783">
        <f>IF(AND(BH1783=1,AZ1783&lt;&gt;"Cancelled"),BF1783*10000+1782,"")</f>
        <v/>
      </c>
    </row>
    <row r="1784">
      <c r="AS1784" t="inlineStr">
        <is>
          <t>V</t>
        </is>
      </c>
      <c r="AT1784" t="n">
        <v>288</v>
      </c>
      <c r="AU1784">
        <f>'Variable Tasks'!C288&amp;""</f>
        <v/>
      </c>
      <c r="AV1784">
        <f>'Variable Tasks'!D288&amp;""</f>
        <v/>
      </c>
      <c r="AW1784">
        <f>IF('Variable Tasks'!E288="","",'Variable Tasks'!E288)</f>
        <v/>
      </c>
      <c r="AX1784">
        <f>IF('Variable Tasks'!G288="","",'Variable Tasks'!G288)</f>
        <v/>
      </c>
      <c r="AY1784">
        <f>IF('Variable Tasks'!H288="","",'Variable Tasks'!H288)</f>
        <v/>
      </c>
      <c r="AZ1784">
        <f>IF(AU1784="","",IF('Variable Tasks'!J288="","Not Started",'Variable Tasks'!J288))</f>
        <v/>
      </c>
      <c r="BA1784">
        <f>'Variable Tasks'!L288&amp;""</f>
        <v/>
      </c>
      <c r="BB1784">
        <f>'Variable Tasks'!M288&amp;""</f>
        <v/>
      </c>
      <c r="BC1784">
        <f>'Variable Tasks'!N288&amp;""</f>
        <v/>
      </c>
      <c r="BD1784">
        <f>'Variable Tasks'!O288&amp;""</f>
        <v/>
      </c>
      <c r="BE1784">
        <f>IF('Variable Tasks'!K288="","",'Variable Tasks'!K288)</f>
        <v/>
      </c>
      <c r="BF1784">
        <f>IFERROR(MATCH(BA1784,Setup!$L$6:$L$9,0),5)</f>
        <v/>
      </c>
      <c r="BG1784">
        <f>IF(OR(AZ1784="Done",AZ1784="Cancelled"),1,0)</f>
        <v/>
      </c>
      <c r="BH1784">
        <f>IF(AND(AU1784&lt;&gt;"",ISNUMBER(AW1784)),1,0)</f>
        <v/>
      </c>
      <c r="BI1784">
        <f>IF(BH1784=0,0,IF(AND(AW1784&gt;='Tasks Filter'!$F$3,AW1784&lt;='Tasks Filter'!$F$4,OR('Tasks Filter'!$I$3="",ISNUMBER(SEARCH('Tasks Filter'!$I$3,AU1784))),OR('Tasks Filter'!$I$4="",BF1784=IFERROR(MATCH('Tasks Filter'!$I$4,Setup!$L$6:$L$9,0),0)),OR('Tasks Filter'!$I$5="Both",AND('Tasks Filter'!$I$5="Yes",BB1784="✓"),AND('Tasks Filter'!$I$5="No",BB1784&lt;&gt;"✓")),OR('Tasks Filter'!$L$3="",AV1784='Tasks Filter'!$L$3),OR('Tasks Filter'!$L$4="",AZ1784='Tasks Filter'!$L$4),OR('Tasks Filter'!$L$5="",BC1784='Tasks Filter'!$L$5),OR('Tasks Filter'!$O$3="",BD1784='Tasks Filter'!$O$3),OR('Tasks Filter'!$O$4="Yes",BG1784=0)),1,0))</f>
        <v/>
      </c>
      <c r="BJ1784">
        <f>IF(BH1784=0,"",IF('Tasks Filter'!$F$6="Descending",-1,1)*CHOOSE(MATCH('Tasks Filter'!$F$5,Lists!$G$2:$G$6,0),AW1784,BF1784,IFERROR(MATCH(AV1784,Setup!$F$6:$F$15,0),99),IFERROR(MATCH(BC1784,Setup!$H$6:$H$15,0),99),IFERROR(MATCH(AZ1784,Setup!$J$6:$J$11,0),99))*1E+9+(AW1784-40000)*10000+1783)</f>
        <v/>
      </c>
      <c r="BK1784">
        <f>IF(BI1784=1,BJ1784,"")</f>
        <v/>
      </c>
      <c r="BL1784">
        <f>IF(AND(BH1784=1,BG1784=0,N(AW1784)&lt;Setup!$D$7),(AW1784-40000)*10000+1783,"")</f>
        <v/>
      </c>
      <c r="BM1784">
        <f>IF(AND(BH1784=1,AZ1784&lt;&gt;"Cancelled",N(AW1784)&gt;=Dashboard!$AB$3,N(AW1784)&lt;=Dashboard!$AB$3+6),(AW1784-40000)*100000+BF1784*10000+1783,"")</f>
        <v/>
      </c>
      <c r="BN1784">
        <f>IF(AND(BH1784=1,AZ1784&lt;&gt;"Cancelled"),BF1784*10000+1783,"")</f>
        <v/>
      </c>
    </row>
    <row r="1785">
      <c r="AS1785" t="inlineStr">
        <is>
          <t>V</t>
        </is>
      </c>
      <c r="AT1785" t="n">
        <v>289</v>
      </c>
      <c r="AU1785">
        <f>'Variable Tasks'!C289&amp;""</f>
        <v/>
      </c>
      <c r="AV1785">
        <f>'Variable Tasks'!D289&amp;""</f>
        <v/>
      </c>
      <c r="AW1785">
        <f>IF('Variable Tasks'!E289="","",'Variable Tasks'!E289)</f>
        <v/>
      </c>
      <c r="AX1785">
        <f>IF('Variable Tasks'!G289="","",'Variable Tasks'!G289)</f>
        <v/>
      </c>
      <c r="AY1785">
        <f>IF('Variable Tasks'!H289="","",'Variable Tasks'!H289)</f>
        <v/>
      </c>
      <c r="AZ1785">
        <f>IF(AU1785="","",IF('Variable Tasks'!J289="","Not Started",'Variable Tasks'!J289))</f>
        <v/>
      </c>
      <c r="BA1785">
        <f>'Variable Tasks'!L289&amp;""</f>
        <v/>
      </c>
      <c r="BB1785">
        <f>'Variable Tasks'!M289&amp;""</f>
        <v/>
      </c>
      <c r="BC1785">
        <f>'Variable Tasks'!N289&amp;""</f>
        <v/>
      </c>
      <c r="BD1785">
        <f>'Variable Tasks'!O289&amp;""</f>
        <v/>
      </c>
      <c r="BE1785">
        <f>IF('Variable Tasks'!K289="","",'Variable Tasks'!K289)</f>
        <v/>
      </c>
      <c r="BF1785">
        <f>IFERROR(MATCH(BA1785,Setup!$L$6:$L$9,0),5)</f>
        <v/>
      </c>
      <c r="BG1785">
        <f>IF(OR(AZ1785="Done",AZ1785="Cancelled"),1,0)</f>
        <v/>
      </c>
      <c r="BH1785">
        <f>IF(AND(AU1785&lt;&gt;"",ISNUMBER(AW1785)),1,0)</f>
        <v/>
      </c>
      <c r="BI1785">
        <f>IF(BH1785=0,0,IF(AND(AW1785&gt;='Tasks Filter'!$F$3,AW1785&lt;='Tasks Filter'!$F$4,OR('Tasks Filter'!$I$3="",ISNUMBER(SEARCH('Tasks Filter'!$I$3,AU1785))),OR('Tasks Filter'!$I$4="",BF1785=IFERROR(MATCH('Tasks Filter'!$I$4,Setup!$L$6:$L$9,0),0)),OR('Tasks Filter'!$I$5="Both",AND('Tasks Filter'!$I$5="Yes",BB1785="✓"),AND('Tasks Filter'!$I$5="No",BB1785&lt;&gt;"✓")),OR('Tasks Filter'!$L$3="",AV1785='Tasks Filter'!$L$3),OR('Tasks Filter'!$L$4="",AZ1785='Tasks Filter'!$L$4),OR('Tasks Filter'!$L$5="",BC1785='Tasks Filter'!$L$5),OR('Tasks Filter'!$O$3="",BD1785='Tasks Filter'!$O$3),OR('Tasks Filter'!$O$4="Yes",BG1785=0)),1,0))</f>
        <v/>
      </c>
      <c r="BJ1785">
        <f>IF(BH1785=0,"",IF('Tasks Filter'!$F$6="Descending",-1,1)*CHOOSE(MATCH('Tasks Filter'!$F$5,Lists!$G$2:$G$6,0),AW1785,BF1785,IFERROR(MATCH(AV1785,Setup!$F$6:$F$15,0),99),IFERROR(MATCH(BC1785,Setup!$H$6:$H$15,0),99),IFERROR(MATCH(AZ1785,Setup!$J$6:$J$11,0),99))*1E+9+(AW1785-40000)*10000+1784)</f>
        <v/>
      </c>
      <c r="BK1785">
        <f>IF(BI1785=1,BJ1785,"")</f>
        <v/>
      </c>
      <c r="BL1785">
        <f>IF(AND(BH1785=1,BG1785=0,N(AW1785)&lt;Setup!$D$7),(AW1785-40000)*10000+1784,"")</f>
        <v/>
      </c>
      <c r="BM1785">
        <f>IF(AND(BH1785=1,AZ1785&lt;&gt;"Cancelled",N(AW1785)&gt;=Dashboard!$AB$3,N(AW1785)&lt;=Dashboard!$AB$3+6),(AW1785-40000)*100000+BF1785*10000+1784,"")</f>
        <v/>
      </c>
      <c r="BN1785">
        <f>IF(AND(BH1785=1,AZ1785&lt;&gt;"Cancelled"),BF1785*10000+1784,"")</f>
        <v/>
      </c>
    </row>
    <row r="1786">
      <c r="AS1786" t="inlineStr">
        <is>
          <t>V</t>
        </is>
      </c>
      <c r="AT1786" t="n">
        <v>290</v>
      </c>
      <c r="AU1786">
        <f>'Variable Tasks'!C290&amp;""</f>
        <v/>
      </c>
      <c r="AV1786">
        <f>'Variable Tasks'!D290&amp;""</f>
        <v/>
      </c>
      <c r="AW1786">
        <f>IF('Variable Tasks'!E290="","",'Variable Tasks'!E290)</f>
        <v/>
      </c>
      <c r="AX1786">
        <f>IF('Variable Tasks'!G290="","",'Variable Tasks'!G290)</f>
        <v/>
      </c>
      <c r="AY1786">
        <f>IF('Variable Tasks'!H290="","",'Variable Tasks'!H290)</f>
        <v/>
      </c>
      <c r="AZ1786">
        <f>IF(AU1786="","",IF('Variable Tasks'!J290="","Not Started",'Variable Tasks'!J290))</f>
        <v/>
      </c>
      <c r="BA1786">
        <f>'Variable Tasks'!L290&amp;""</f>
        <v/>
      </c>
      <c r="BB1786">
        <f>'Variable Tasks'!M290&amp;""</f>
        <v/>
      </c>
      <c r="BC1786">
        <f>'Variable Tasks'!N290&amp;""</f>
        <v/>
      </c>
      <c r="BD1786">
        <f>'Variable Tasks'!O290&amp;""</f>
        <v/>
      </c>
      <c r="BE1786">
        <f>IF('Variable Tasks'!K290="","",'Variable Tasks'!K290)</f>
        <v/>
      </c>
      <c r="BF1786">
        <f>IFERROR(MATCH(BA1786,Setup!$L$6:$L$9,0),5)</f>
        <v/>
      </c>
      <c r="BG1786">
        <f>IF(OR(AZ1786="Done",AZ1786="Cancelled"),1,0)</f>
        <v/>
      </c>
      <c r="BH1786">
        <f>IF(AND(AU1786&lt;&gt;"",ISNUMBER(AW1786)),1,0)</f>
        <v/>
      </c>
      <c r="BI1786">
        <f>IF(BH1786=0,0,IF(AND(AW1786&gt;='Tasks Filter'!$F$3,AW1786&lt;='Tasks Filter'!$F$4,OR('Tasks Filter'!$I$3="",ISNUMBER(SEARCH('Tasks Filter'!$I$3,AU1786))),OR('Tasks Filter'!$I$4="",BF1786=IFERROR(MATCH('Tasks Filter'!$I$4,Setup!$L$6:$L$9,0),0)),OR('Tasks Filter'!$I$5="Both",AND('Tasks Filter'!$I$5="Yes",BB1786="✓"),AND('Tasks Filter'!$I$5="No",BB1786&lt;&gt;"✓")),OR('Tasks Filter'!$L$3="",AV1786='Tasks Filter'!$L$3),OR('Tasks Filter'!$L$4="",AZ1786='Tasks Filter'!$L$4),OR('Tasks Filter'!$L$5="",BC1786='Tasks Filter'!$L$5),OR('Tasks Filter'!$O$3="",BD1786='Tasks Filter'!$O$3),OR('Tasks Filter'!$O$4="Yes",BG1786=0)),1,0))</f>
        <v/>
      </c>
      <c r="BJ1786">
        <f>IF(BH1786=0,"",IF('Tasks Filter'!$F$6="Descending",-1,1)*CHOOSE(MATCH('Tasks Filter'!$F$5,Lists!$G$2:$G$6,0),AW1786,BF1786,IFERROR(MATCH(AV1786,Setup!$F$6:$F$15,0),99),IFERROR(MATCH(BC1786,Setup!$H$6:$H$15,0),99),IFERROR(MATCH(AZ1786,Setup!$J$6:$J$11,0),99))*1E+9+(AW1786-40000)*10000+1785)</f>
        <v/>
      </c>
      <c r="BK1786">
        <f>IF(BI1786=1,BJ1786,"")</f>
        <v/>
      </c>
      <c r="BL1786">
        <f>IF(AND(BH1786=1,BG1786=0,N(AW1786)&lt;Setup!$D$7),(AW1786-40000)*10000+1785,"")</f>
        <v/>
      </c>
      <c r="BM1786">
        <f>IF(AND(BH1786=1,AZ1786&lt;&gt;"Cancelled",N(AW1786)&gt;=Dashboard!$AB$3,N(AW1786)&lt;=Dashboard!$AB$3+6),(AW1786-40000)*100000+BF1786*10000+1785,"")</f>
        <v/>
      </c>
      <c r="BN1786">
        <f>IF(AND(BH1786=1,AZ1786&lt;&gt;"Cancelled"),BF1786*10000+1785,"")</f>
        <v/>
      </c>
    </row>
    <row r="1787">
      <c r="AS1787" t="inlineStr">
        <is>
          <t>V</t>
        </is>
      </c>
      <c r="AT1787" t="n">
        <v>291</v>
      </c>
      <c r="AU1787">
        <f>'Variable Tasks'!C291&amp;""</f>
        <v/>
      </c>
      <c r="AV1787">
        <f>'Variable Tasks'!D291&amp;""</f>
        <v/>
      </c>
      <c r="AW1787">
        <f>IF('Variable Tasks'!E291="","",'Variable Tasks'!E291)</f>
        <v/>
      </c>
      <c r="AX1787">
        <f>IF('Variable Tasks'!G291="","",'Variable Tasks'!G291)</f>
        <v/>
      </c>
      <c r="AY1787">
        <f>IF('Variable Tasks'!H291="","",'Variable Tasks'!H291)</f>
        <v/>
      </c>
      <c r="AZ1787">
        <f>IF(AU1787="","",IF('Variable Tasks'!J291="","Not Started",'Variable Tasks'!J291))</f>
        <v/>
      </c>
      <c r="BA1787">
        <f>'Variable Tasks'!L291&amp;""</f>
        <v/>
      </c>
      <c r="BB1787">
        <f>'Variable Tasks'!M291&amp;""</f>
        <v/>
      </c>
      <c r="BC1787">
        <f>'Variable Tasks'!N291&amp;""</f>
        <v/>
      </c>
      <c r="BD1787">
        <f>'Variable Tasks'!O291&amp;""</f>
        <v/>
      </c>
      <c r="BE1787">
        <f>IF('Variable Tasks'!K291="","",'Variable Tasks'!K291)</f>
        <v/>
      </c>
      <c r="BF1787">
        <f>IFERROR(MATCH(BA1787,Setup!$L$6:$L$9,0),5)</f>
        <v/>
      </c>
      <c r="BG1787">
        <f>IF(OR(AZ1787="Done",AZ1787="Cancelled"),1,0)</f>
        <v/>
      </c>
      <c r="BH1787">
        <f>IF(AND(AU1787&lt;&gt;"",ISNUMBER(AW1787)),1,0)</f>
        <v/>
      </c>
      <c r="BI1787">
        <f>IF(BH1787=0,0,IF(AND(AW1787&gt;='Tasks Filter'!$F$3,AW1787&lt;='Tasks Filter'!$F$4,OR('Tasks Filter'!$I$3="",ISNUMBER(SEARCH('Tasks Filter'!$I$3,AU1787))),OR('Tasks Filter'!$I$4="",BF1787=IFERROR(MATCH('Tasks Filter'!$I$4,Setup!$L$6:$L$9,0),0)),OR('Tasks Filter'!$I$5="Both",AND('Tasks Filter'!$I$5="Yes",BB1787="✓"),AND('Tasks Filter'!$I$5="No",BB1787&lt;&gt;"✓")),OR('Tasks Filter'!$L$3="",AV1787='Tasks Filter'!$L$3),OR('Tasks Filter'!$L$4="",AZ1787='Tasks Filter'!$L$4),OR('Tasks Filter'!$L$5="",BC1787='Tasks Filter'!$L$5),OR('Tasks Filter'!$O$3="",BD1787='Tasks Filter'!$O$3),OR('Tasks Filter'!$O$4="Yes",BG1787=0)),1,0))</f>
        <v/>
      </c>
      <c r="BJ1787">
        <f>IF(BH1787=0,"",IF('Tasks Filter'!$F$6="Descending",-1,1)*CHOOSE(MATCH('Tasks Filter'!$F$5,Lists!$G$2:$G$6,0),AW1787,BF1787,IFERROR(MATCH(AV1787,Setup!$F$6:$F$15,0),99),IFERROR(MATCH(BC1787,Setup!$H$6:$H$15,0),99),IFERROR(MATCH(AZ1787,Setup!$J$6:$J$11,0),99))*1E+9+(AW1787-40000)*10000+1786)</f>
        <v/>
      </c>
      <c r="BK1787">
        <f>IF(BI1787=1,BJ1787,"")</f>
        <v/>
      </c>
      <c r="BL1787">
        <f>IF(AND(BH1787=1,BG1787=0,N(AW1787)&lt;Setup!$D$7),(AW1787-40000)*10000+1786,"")</f>
        <v/>
      </c>
      <c r="BM1787">
        <f>IF(AND(BH1787=1,AZ1787&lt;&gt;"Cancelled",N(AW1787)&gt;=Dashboard!$AB$3,N(AW1787)&lt;=Dashboard!$AB$3+6),(AW1787-40000)*100000+BF1787*10000+1786,"")</f>
        <v/>
      </c>
      <c r="BN1787">
        <f>IF(AND(BH1787=1,AZ1787&lt;&gt;"Cancelled"),BF1787*10000+1786,"")</f>
        <v/>
      </c>
    </row>
    <row r="1788">
      <c r="AS1788" t="inlineStr">
        <is>
          <t>V</t>
        </is>
      </c>
      <c r="AT1788" t="n">
        <v>292</v>
      </c>
      <c r="AU1788">
        <f>'Variable Tasks'!C292&amp;""</f>
        <v/>
      </c>
      <c r="AV1788">
        <f>'Variable Tasks'!D292&amp;""</f>
        <v/>
      </c>
      <c r="AW1788">
        <f>IF('Variable Tasks'!E292="","",'Variable Tasks'!E292)</f>
        <v/>
      </c>
      <c r="AX1788">
        <f>IF('Variable Tasks'!G292="","",'Variable Tasks'!G292)</f>
        <v/>
      </c>
      <c r="AY1788">
        <f>IF('Variable Tasks'!H292="","",'Variable Tasks'!H292)</f>
        <v/>
      </c>
      <c r="AZ1788">
        <f>IF(AU1788="","",IF('Variable Tasks'!J292="","Not Started",'Variable Tasks'!J292))</f>
        <v/>
      </c>
      <c r="BA1788">
        <f>'Variable Tasks'!L292&amp;""</f>
        <v/>
      </c>
      <c r="BB1788">
        <f>'Variable Tasks'!M292&amp;""</f>
        <v/>
      </c>
      <c r="BC1788">
        <f>'Variable Tasks'!N292&amp;""</f>
        <v/>
      </c>
      <c r="BD1788">
        <f>'Variable Tasks'!O292&amp;""</f>
        <v/>
      </c>
      <c r="BE1788">
        <f>IF('Variable Tasks'!K292="","",'Variable Tasks'!K292)</f>
        <v/>
      </c>
      <c r="BF1788">
        <f>IFERROR(MATCH(BA1788,Setup!$L$6:$L$9,0),5)</f>
        <v/>
      </c>
      <c r="BG1788">
        <f>IF(OR(AZ1788="Done",AZ1788="Cancelled"),1,0)</f>
        <v/>
      </c>
      <c r="BH1788">
        <f>IF(AND(AU1788&lt;&gt;"",ISNUMBER(AW1788)),1,0)</f>
        <v/>
      </c>
      <c r="BI1788">
        <f>IF(BH1788=0,0,IF(AND(AW1788&gt;='Tasks Filter'!$F$3,AW1788&lt;='Tasks Filter'!$F$4,OR('Tasks Filter'!$I$3="",ISNUMBER(SEARCH('Tasks Filter'!$I$3,AU1788))),OR('Tasks Filter'!$I$4="",BF1788=IFERROR(MATCH('Tasks Filter'!$I$4,Setup!$L$6:$L$9,0),0)),OR('Tasks Filter'!$I$5="Both",AND('Tasks Filter'!$I$5="Yes",BB1788="✓"),AND('Tasks Filter'!$I$5="No",BB1788&lt;&gt;"✓")),OR('Tasks Filter'!$L$3="",AV1788='Tasks Filter'!$L$3),OR('Tasks Filter'!$L$4="",AZ1788='Tasks Filter'!$L$4),OR('Tasks Filter'!$L$5="",BC1788='Tasks Filter'!$L$5),OR('Tasks Filter'!$O$3="",BD1788='Tasks Filter'!$O$3),OR('Tasks Filter'!$O$4="Yes",BG1788=0)),1,0))</f>
        <v/>
      </c>
      <c r="BJ1788">
        <f>IF(BH1788=0,"",IF('Tasks Filter'!$F$6="Descending",-1,1)*CHOOSE(MATCH('Tasks Filter'!$F$5,Lists!$G$2:$G$6,0),AW1788,BF1788,IFERROR(MATCH(AV1788,Setup!$F$6:$F$15,0),99),IFERROR(MATCH(BC1788,Setup!$H$6:$H$15,0),99),IFERROR(MATCH(AZ1788,Setup!$J$6:$J$11,0),99))*1E+9+(AW1788-40000)*10000+1787)</f>
        <v/>
      </c>
      <c r="BK1788">
        <f>IF(BI1788=1,BJ1788,"")</f>
        <v/>
      </c>
      <c r="BL1788">
        <f>IF(AND(BH1788=1,BG1788=0,N(AW1788)&lt;Setup!$D$7),(AW1788-40000)*10000+1787,"")</f>
        <v/>
      </c>
      <c r="BM1788">
        <f>IF(AND(BH1788=1,AZ1788&lt;&gt;"Cancelled",N(AW1788)&gt;=Dashboard!$AB$3,N(AW1788)&lt;=Dashboard!$AB$3+6),(AW1788-40000)*100000+BF1788*10000+1787,"")</f>
        <v/>
      </c>
      <c r="BN1788">
        <f>IF(AND(BH1788=1,AZ1788&lt;&gt;"Cancelled"),BF1788*10000+1787,"")</f>
        <v/>
      </c>
    </row>
    <row r="1789">
      <c r="AS1789" t="inlineStr">
        <is>
          <t>V</t>
        </is>
      </c>
      <c r="AT1789" t="n">
        <v>293</v>
      </c>
      <c r="AU1789">
        <f>'Variable Tasks'!C293&amp;""</f>
        <v/>
      </c>
      <c r="AV1789">
        <f>'Variable Tasks'!D293&amp;""</f>
        <v/>
      </c>
      <c r="AW1789">
        <f>IF('Variable Tasks'!E293="","",'Variable Tasks'!E293)</f>
        <v/>
      </c>
      <c r="AX1789">
        <f>IF('Variable Tasks'!G293="","",'Variable Tasks'!G293)</f>
        <v/>
      </c>
      <c r="AY1789">
        <f>IF('Variable Tasks'!H293="","",'Variable Tasks'!H293)</f>
        <v/>
      </c>
      <c r="AZ1789">
        <f>IF(AU1789="","",IF('Variable Tasks'!J293="","Not Started",'Variable Tasks'!J293))</f>
        <v/>
      </c>
      <c r="BA1789">
        <f>'Variable Tasks'!L293&amp;""</f>
        <v/>
      </c>
      <c r="BB1789">
        <f>'Variable Tasks'!M293&amp;""</f>
        <v/>
      </c>
      <c r="BC1789">
        <f>'Variable Tasks'!N293&amp;""</f>
        <v/>
      </c>
      <c r="BD1789">
        <f>'Variable Tasks'!O293&amp;""</f>
        <v/>
      </c>
      <c r="BE1789">
        <f>IF('Variable Tasks'!K293="","",'Variable Tasks'!K293)</f>
        <v/>
      </c>
      <c r="BF1789">
        <f>IFERROR(MATCH(BA1789,Setup!$L$6:$L$9,0),5)</f>
        <v/>
      </c>
      <c r="BG1789">
        <f>IF(OR(AZ1789="Done",AZ1789="Cancelled"),1,0)</f>
        <v/>
      </c>
      <c r="BH1789">
        <f>IF(AND(AU1789&lt;&gt;"",ISNUMBER(AW1789)),1,0)</f>
        <v/>
      </c>
      <c r="BI1789">
        <f>IF(BH1789=0,0,IF(AND(AW1789&gt;='Tasks Filter'!$F$3,AW1789&lt;='Tasks Filter'!$F$4,OR('Tasks Filter'!$I$3="",ISNUMBER(SEARCH('Tasks Filter'!$I$3,AU1789))),OR('Tasks Filter'!$I$4="",BF1789=IFERROR(MATCH('Tasks Filter'!$I$4,Setup!$L$6:$L$9,0),0)),OR('Tasks Filter'!$I$5="Both",AND('Tasks Filter'!$I$5="Yes",BB1789="✓"),AND('Tasks Filter'!$I$5="No",BB1789&lt;&gt;"✓")),OR('Tasks Filter'!$L$3="",AV1789='Tasks Filter'!$L$3),OR('Tasks Filter'!$L$4="",AZ1789='Tasks Filter'!$L$4),OR('Tasks Filter'!$L$5="",BC1789='Tasks Filter'!$L$5),OR('Tasks Filter'!$O$3="",BD1789='Tasks Filter'!$O$3),OR('Tasks Filter'!$O$4="Yes",BG1789=0)),1,0))</f>
        <v/>
      </c>
      <c r="BJ1789">
        <f>IF(BH1789=0,"",IF('Tasks Filter'!$F$6="Descending",-1,1)*CHOOSE(MATCH('Tasks Filter'!$F$5,Lists!$G$2:$G$6,0),AW1789,BF1789,IFERROR(MATCH(AV1789,Setup!$F$6:$F$15,0),99),IFERROR(MATCH(BC1789,Setup!$H$6:$H$15,0),99),IFERROR(MATCH(AZ1789,Setup!$J$6:$J$11,0),99))*1E+9+(AW1789-40000)*10000+1788)</f>
        <v/>
      </c>
      <c r="BK1789">
        <f>IF(BI1789=1,BJ1789,"")</f>
        <v/>
      </c>
      <c r="BL1789">
        <f>IF(AND(BH1789=1,BG1789=0,N(AW1789)&lt;Setup!$D$7),(AW1789-40000)*10000+1788,"")</f>
        <v/>
      </c>
      <c r="BM1789">
        <f>IF(AND(BH1789=1,AZ1789&lt;&gt;"Cancelled",N(AW1789)&gt;=Dashboard!$AB$3,N(AW1789)&lt;=Dashboard!$AB$3+6),(AW1789-40000)*100000+BF1789*10000+1788,"")</f>
        <v/>
      </c>
      <c r="BN1789">
        <f>IF(AND(BH1789=1,AZ1789&lt;&gt;"Cancelled"),BF1789*10000+1788,"")</f>
        <v/>
      </c>
    </row>
    <row r="1790">
      <c r="AS1790" t="inlineStr">
        <is>
          <t>V</t>
        </is>
      </c>
      <c r="AT1790" t="n">
        <v>294</v>
      </c>
      <c r="AU1790">
        <f>'Variable Tasks'!C294&amp;""</f>
        <v/>
      </c>
      <c r="AV1790">
        <f>'Variable Tasks'!D294&amp;""</f>
        <v/>
      </c>
      <c r="AW1790">
        <f>IF('Variable Tasks'!E294="","",'Variable Tasks'!E294)</f>
        <v/>
      </c>
      <c r="AX1790">
        <f>IF('Variable Tasks'!G294="","",'Variable Tasks'!G294)</f>
        <v/>
      </c>
      <c r="AY1790">
        <f>IF('Variable Tasks'!H294="","",'Variable Tasks'!H294)</f>
        <v/>
      </c>
      <c r="AZ1790">
        <f>IF(AU1790="","",IF('Variable Tasks'!J294="","Not Started",'Variable Tasks'!J294))</f>
        <v/>
      </c>
      <c r="BA1790">
        <f>'Variable Tasks'!L294&amp;""</f>
        <v/>
      </c>
      <c r="BB1790">
        <f>'Variable Tasks'!M294&amp;""</f>
        <v/>
      </c>
      <c r="BC1790">
        <f>'Variable Tasks'!N294&amp;""</f>
        <v/>
      </c>
      <c r="BD1790">
        <f>'Variable Tasks'!O294&amp;""</f>
        <v/>
      </c>
      <c r="BE1790">
        <f>IF('Variable Tasks'!K294="","",'Variable Tasks'!K294)</f>
        <v/>
      </c>
      <c r="BF1790">
        <f>IFERROR(MATCH(BA1790,Setup!$L$6:$L$9,0),5)</f>
        <v/>
      </c>
      <c r="BG1790">
        <f>IF(OR(AZ1790="Done",AZ1790="Cancelled"),1,0)</f>
        <v/>
      </c>
      <c r="BH1790">
        <f>IF(AND(AU1790&lt;&gt;"",ISNUMBER(AW1790)),1,0)</f>
        <v/>
      </c>
      <c r="BI1790">
        <f>IF(BH1790=0,0,IF(AND(AW1790&gt;='Tasks Filter'!$F$3,AW1790&lt;='Tasks Filter'!$F$4,OR('Tasks Filter'!$I$3="",ISNUMBER(SEARCH('Tasks Filter'!$I$3,AU1790))),OR('Tasks Filter'!$I$4="",BF1790=IFERROR(MATCH('Tasks Filter'!$I$4,Setup!$L$6:$L$9,0),0)),OR('Tasks Filter'!$I$5="Both",AND('Tasks Filter'!$I$5="Yes",BB1790="✓"),AND('Tasks Filter'!$I$5="No",BB1790&lt;&gt;"✓")),OR('Tasks Filter'!$L$3="",AV1790='Tasks Filter'!$L$3),OR('Tasks Filter'!$L$4="",AZ1790='Tasks Filter'!$L$4),OR('Tasks Filter'!$L$5="",BC1790='Tasks Filter'!$L$5),OR('Tasks Filter'!$O$3="",BD1790='Tasks Filter'!$O$3),OR('Tasks Filter'!$O$4="Yes",BG1790=0)),1,0))</f>
        <v/>
      </c>
      <c r="BJ1790">
        <f>IF(BH1790=0,"",IF('Tasks Filter'!$F$6="Descending",-1,1)*CHOOSE(MATCH('Tasks Filter'!$F$5,Lists!$G$2:$G$6,0),AW1790,BF1790,IFERROR(MATCH(AV1790,Setup!$F$6:$F$15,0),99),IFERROR(MATCH(BC1790,Setup!$H$6:$H$15,0),99),IFERROR(MATCH(AZ1790,Setup!$J$6:$J$11,0),99))*1E+9+(AW1790-40000)*10000+1789)</f>
        <v/>
      </c>
      <c r="BK1790">
        <f>IF(BI1790=1,BJ1790,"")</f>
        <v/>
      </c>
      <c r="BL1790">
        <f>IF(AND(BH1790=1,BG1790=0,N(AW1790)&lt;Setup!$D$7),(AW1790-40000)*10000+1789,"")</f>
        <v/>
      </c>
      <c r="BM1790">
        <f>IF(AND(BH1790=1,AZ1790&lt;&gt;"Cancelled",N(AW1790)&gt;=Dashboard!$AB$3,N(AW1790)&lt;=Dashboard!$AB$3+6),(AW1790-40000)*100000+BF1790*10000+1789,"")</f>
        <v/>
      </c>
      <c r="BN1790">
        <f>IF(AND(BH1790=1,AZ1790&lt;&gt;"Cancelled"),BF1790*10000+1789,"")</f>
        <v/>
      </c>
    </row>
    <row r="1791">
      <c r="AS1791" t="inlineStr">
        <is>
          <t>V</t>
        </is>
      </c>
      <c r="AT1791" t="n">
        <v>295</v>
      </c>
      <c r="AU1791">
        <f>'Variable Tasks'!C295&amp;""</f>
        <v/>
      </c>
      <c r="AV1791">
        <f>'Variable Tasks'!D295&amp;""</f>
        <v/>
      </c>
      <c r="AW1791">
        <f>IF('Variable Tasks'!E295="","",'Variable Tasks'!E295)</f>
        <v/>
      </c>
      <c r="AX1791">
        <f>IF('Variable Tasks'!G295="","",'Variable Tasks'!G295)</f>
        <v/>
      </c>
      <c r="AY1791">
        <f>IF('Variable Tasks'!H295="","",'Variable Tasks'!H295)</f>
        <v/>
      </c>
      <c r="AZ1791">
        <f>IF(AU1791="","",IF('Variable Tasks'!J295="","Not Started",'Variable Tasks'!J295))</f>
        <v/>
      </c>
      <c r="BA1791">
        <f>'Variable Tasks'!L295&amp;""</f>
        <v/>
      </c>
      <c r="BB1791">
        <f>'Variable Tasks'!M295&amp;""</f>
        <v/>
      </c>
      <c r="BC1791">
        <f>'Variable Tasks'!N295&amp;""</f>
        <v/>
      </c>
      <c r="BD1791">
        <f>'Variable Tasks'!O295&amp;""</f>
        <v/>
      </c>
      <c r="BE1791">
        <f>IF('Variable Tasks'!K295="","",'Variable Tasks'!K295)</f>
        <v/>
      </c>
      <c r="BF1791">
        <f>IFERROR(MATCH(BA1791,Setup!$L$6:$L$9,0),5)</f>
        <v/>
      </c>
      <c r="BG1791">
        <f>IF(OR(AZ1791="Done",AZ1791="Cancelled"),1,0)</f>
        <v/>
      </c>
      <c r="BH1791">
        <f>IF(AND(AU1791&lt;&gt;"",ISNUMBER(AW1791)),1,0)</f>
        <v/>
      </c>
      <c r="BI1791">
        <f>IF(BH1791=0,0,IF(AND(AW1791&gt;='Tasks Filter'!$F$3,AW1791&lt;='Tasks Filter'!$F$4,OR('Tasks Filter'!$I$3="",ISNUMBER(SEARCH('Tasks Filter'!$I$3,AU1791))),OR('Tasks Filter'!$I$4="",BF1791=IFERROR(MATCH('Tasks Filter'!$I$4,Setup!$L$6:$L$9,0),0)),OR('Tasks Filter'!$I$5="Both",AND('Tasks Filter'!$I$5="Yes",BB1791="✓"),AND('Tasks Filter'!$I$5="No",BB1791&lt;&gt;"✓")),OR('Tasks Filter'!$L$3="",AV1791='Tasks Filter'!$L$3),OR('Tasks Filter'!$L$4="",AZ1791='Tasks Filter'!$L$4),OR('Tasks Filter'!$L$5="",BC1791='Tasks Filter'!$L$5),OR('Tasks Filter'!$O$3="",BD1791='Tasks Filter'!$O$3),OR('Tasks Filter'!$O$4="Yes",BG1791=0)),1,0))</f>
        <v/>
      </c>
      <c r="BJ1791">
        <f>IF(BH1791=0,"",IF('Tasks Filter'!$F$6="Descending",-1,1)*CHOOSE(MATCH('Tasks Filter'!$F$5,Lists!$G$2:$G$6,0),AW1791,BF1791,IFERROR(MATCH(AV1791,Setup!$F$6:$F$15,0),99),IFERROR(MATCH(BC1791,Setup!$H$6:$H$15,0),99),IFERROR(MATCH(AZ1791,Setup!$J$6:$J$11,0),99))*1E+9+(AW1791-40000)*10000+1790)</f>
        <v/>
      </c>
      <c r="BK1791">
        <f>IF(BI1791=1,BJ1791,"")</f>
        <v/>
      </c>
      <c r="BL1791">
        <f>IF(AND(BH1791=1,BG1791=0,N(AW1791)&lt;Setup!$D$7),(AW1791-40000)*10000+1790,"")</f>
        <v/>
      </c>
      <c r="BM1791">
        <f>IF(AND(BH1791=1,AZ1791&lt;&gt;"Cancelled",N(AW1791)&gt;=Dashboard!$AB$3,N(AW1791)&lt;=Dashboard!$AB$3+6),(AW1791-40000)*100000+BF1791*10000+1790,"")</f>
        <v/>
      </c>
      <c r="BN1791">
        <f>IF(AND(BH1791=1,AZ1791&lt;&gt;"Cancelled"),BF1791*10000+1790,"")</f>
        <v/>
      </c>
    </row>
    <row r="1792">
      <c r="AS1792" t="inlineStr">
        <is>
          <t>V</t>
        </is>
      </c>
      <c r="AT1792" t="n">
        <v>296</v>
      </c>
      <c r="AU1792">
        <f>'Variable Tasks'!C296&amp;""</f>
        <v/>
      </c>
      <c r="AV1792">
        <f>'Variable Tasks'!D296&amp;""</f>
        <v/>
      </c>
      <c r="AW1792">
        <f>IF('Variable Tasks'!E296="","",'Variable Tasks'!E296)</f>
        <v/>
      </c>
      <c r="AX1792">
        <f>IF('Variable Tasks'!G296="","",'Variable Tasks'!G296)</f>
        <v/>
      </c>
      <c r="AY1792">
        <f>IF('Variable Tasks'!H296="","",'Variable Tasks'!H296)</f>
        <v/>
      </c>
      <c r="AZ1792">
        <f>IF(AU1792="","",IF('Variable Tasks'!J296="","Not Started",'Variable Tasks'!J296))</f>
        <v/>
      </c>
      <c r="BA1792">
        <f>'Variable Tasks'!L296&amp;""</f>
        <v/>
      </c>
      <c r="BB1792">
        <f>'Variable Tasks'!M296&amp;""</f>
        <v/>
      </c>
      <c r="BC1792">
        <f>'Variable Tasks'!N296&amp;""</f>
        <v/>
      </c>
      <c r="BD1792">
        <f>'Variable Tasks'!O296&amp;""</f>
        <v/>
      </c>
      <c r="BE1792">
        <f>IF('Variable Tasks'!K296="","",'Variable Tasks'!K296)</f>
        <v/>
      </c>
      <c r="BF1792">
        <f>IFERROR(MATCH(BA1792,Setup!$L$6:$L$9,0),5)</f>
        <v/>
      </c>
      <c r="BG1792">
        <f>IF(OR(AZ1792="Done",AZ1792="Cancelled"),1,0)</f>
        <v/>
      </c>
      <c r="BH1792">
        <f>IF(AND(AU1792&lt;&gt;"",ISNUMBER(AW1792)),1,0)</f>
        <v/>
      </c>
      <c r="BI1792">
        <f>IF(BH1792=0,0,IF(AND(AW1792&gt;='Tasks Filter'!$F$3,AW1792&lt;='Tasks Filter'!$F$4,OR('Tasks Filter'!$I$3="",ISNUMBER(SEARCH('Tasks Filter'!$I$3,AU1792))),OR('Tasks Filter'!$I$4="",BF1792=IFERROR(MATCH('Tasks Filter'!$I$4,Setup!$L$6:$L$9,0),0)),OR('Tasks Filter'!$I$5="Both",AND('Tasks Filter'!$I$5="Yes",BB1792="✓"),AND('Tasks Filter'!$I$5="No",BB1792&lt;&gt;"✓")),OR('Tasks Filter'!$L$3="",AV1792='Tasks Filter'!$L$3),OR('Tasks Filter'!$L$4="",AZ1792='Tasks Filter'!$L$4),OR('Tasks Filter'!$L$5="",BC1792='Tasks Filter'!$L$5),OR('Tasks Filter'!$O$3="",BD1792='Tasks Filter'!$O$3),OR('Tasks Filter'!$O$4="Yes",BG1792=0)),1,0))</f>
        <v/>
      </c>
      <c r="BJ1792">
        <f>IF(BH1792=0,"",IF('Tasks Filter'!$F$6="Descending",-1,1)*CHOOSE(MATCH('Tasks Filter'!$F$5,Lists!$G$2:$G$6,0),AW1792,BF1792,IFERROR(MATCH(AV1792,Setup!$F$6:$F$15,0),99),IFERROR(MATCH(BC1792,Setup!$H$6:$H$15,0),99),IFERROR(MATCH(AZ1792,Setup!$J$6:$J$11,0),99))*1E+9+(AW1792-40000)*10000+1791)</f>
        <v/>
      </c>
      <c r="BK1792">
        <f>IF(BI1792=1,BJ1792,"")</f>
        <v/>
      </c>
      <c r="BL1792">
        <f>IF(AND(BH1792=1,BG1792=0,N(AW1792)&lt;Setup!$D$7),(AW1792-40000)*10000+1791,"")</f>
        <v/>
      </c>
      <c r="BM1792">
        <f>IF(AND(BH1792=1,AZ1792&lt;&gt;"Cancelled",N(AW1792)&gt;=Dashboard!$AB$3,N(AW1792)&lt;=Dashboard!$AB$3+6),(AW1792-40000)*100000+BF1792*10000+1791,"")</f>
        <v/>
      </c>
      <c r="BN1792">
        <f>IF(AND(BH1792=1,AZ1792&lt;&gt;"Cancelled"),BF1792*10000+1791,"")</f>
        <v/>
      </c>
    </row>
    <row r="1793">
      <c r="AS1793" t="inlineStr">
        <is>
          <t>V</t>
        </is>
      </c>
      <c r="AT1793" t="n">
        <v>297</v>
      </c>
      <c r="AU1793">
        <f>'Variable Tasks'!C297&amp;""</f>
        <v/>
      </c>
      <c r="AV1793">
        <f>'Variable Tasks'!D297&amp;""</f>
        <v/>
      </c>
      <c r="AW1793">
        <f>IF('Variable Tasks'!E297="","",'Variable Tasks'!E297)</f>
        <v/>
      </c>
      <c r="AX1793">
        <f>IF('Variable Tasks'!G297="","",'Variable Tasks'!G297)</f>
        <v/>
      </c>
      <c r="AY1793">
        <f>IF('Variable Tasks'!H297="","",'Variable Tasks'!H297)</f>
        <v/>
      </c>
      <c r="AZ1793">
        <f>IF(AU1793="","",IF('Variable Tasks'!J297="","Not Started",'Variable Tasks'!J297))</f>
        <v/>
      </c>
      <c r="BA1793">
        <f>'Variable Tasks'!L297&amp;""</f>
        <v/>
      </c>
      <c r="BB1793">
        <f>'Variable Tasks'!M297&amp;""</f>
        <v/>
      </c>
      <c r="BC1793">
        <f>'Variable Tasks'!N297&amp;""</f>
        <v/>
      </c>
      <c r="BD1793">
        <f>'Variable Tasks'!O297&amp;""</f>
        <v/>
      </c>
      <c r="BE1793">
        <f>IF('Variable Tasks'!K297="","",'Variable Tasks'!K297)</f>
        <v/>
      </c>
      <c r="BF1793">
        <f>IFERROR(MATCH(BA1793,Setup!$L$6:$L$9,0),5)</f>
        <v/>
      </c>
      <c r="BG1793">
        <f>IF(OR(AZ1793="Done",AZ1793="Cancelled"),1,0)</f>
        <v/>
      </c>
      <c r="BH1793">
        <f>IF(AND(AU1793&lt;&gt;"",ISNUMBER(AW1793)),1,0)</f>
        <v/>
      </c>
      <c r="BI1793">
        <f>IF(BH1793=0,0,IF(AND(AW1793&gt;='Tasks Filter'!$F$3,AW1793&lt;='Tasks Filter'!$F$4,OR('Tasks Filter'!$I$3="",ISNUMBER(SEARCH('Tasks Filter'!$I$3,AU1793))),OR('Tasks Filter'!$I$4="",BF1793=IFERROR(MATCH('Tasks Filter'!$I$4,Setup!$L$6:$L$9,0),0)),OR('Tasks Filter'!$I$5="Both",AND('Tasks Filter'!$I$5="Yes",BB1793="✓"),AND('Tasks Filter'!$I$5="No",BB1793&lt;&gt;"✓")),OR('Tasks Filter'!$L$3="",AV1793='Tasks Filter'!$L$3),OR('Tasks Filter'!$L$4="",AZ1793='Tasks Filter'!$L$4),OR('Tasks Filter'!$L$5="",BC1793='Tasks Filter'!$L$5),OR('Tasks Filter'!$O$3="",BD1793='Tasks Filter'!$O$3),OR('Tasks Filter'!$O$4="Yes",BG1793=0)),1,0))</f>
        <v/>
      </c>
      <c r="BJ1793">
        <f>IF(BH1793=0,"",IF('Tasks Filter'!$F$6="Descending",-1,1)*CHOOSE(MATCH('Tasks Filter'!$F$5,Lists!$G$2:$G$6,0),AW1793,BF1793,IFERROR(MATCH(AV1793,Setup!$F$6:$F$15,0),99),IFERROR(MATCH(BC1793,Setup!$H$6:$H$15,0),99),IFERROR(MATCH(AZ1793,Setup!$J$6:$J$11,0),99))*1E+9+(AW1793-40000)*10000+1792)</f>
        <v/>
      </c>
      <c r="BK1793">
        <f>IF(BI1793=1,BJ1793,"")</f>
        <v/>
      </c>
      <c r="BL1793">
        <f>IF(AND(BH1793=1,BG1793=0,N(AW1793)&lt;Setup!$D$7),(AW1793-40000)*10000+1792,"")</f>
        <v/>
      </c>
      <c r="BM1793">
        <f>IF(AND(BH1793=1,AZ1793&lt;&gt;"Cancelled",N(AW1793)&gt;=Dashboard!$AB$3,N(AW1793)&lt;=Dashboard!$AB$3+6),(AW1793-40000)*100000+BF1793*10000+1792,"")</f>
        <v/>
      </c>
      <c r="BN1793">
        <f>IF(AND(BH1793=1,AZ1793&lt;&gt;"Cancelled"),BF1793*10000+1792,"")</f>
        <v/>
      </c>
    </row>
    <row r="1794">
      <c r="AS1794" t="inlineStr">
        <is>
          <t>V</t>
        </is>
      </c>
      <c r="AT1794" t="n">
        <v>298</v>
      </c>
      <c r="AU1794">
        <f>'Variable Tasks'!C298&amp;""</f>
        <v/>
      </c>
      <c r="AV1794">
        <f>'Variable Tasks'!D298&amp;""</f>
        <v/>
      </c>
      <c r="AW1794">
        <f>IF('Variable Tasks'!E298="","",'Variable Tasks'!E298)</f>
        <v/>
      </c>
      <c r="AX1794">
        <f>IF('Variable Tasks'!G298="","",'Variable Tasks'!G298)</f>
        <v/>
      </c>
      <c r="AY1794">
        <f>IF('Variable Tasks'!H298="","",'Variable Tasks'!H298)</f>
        <v/>
      </c>
      <c r="AZ1794">
        <f>IF(AU1794="","",IF('Variable Tasks'!J298="","Not Started",'Variable Tasks'!J298))</f>
        <v/>
      </c>
      <c r="BA1794">
        <f>'Variable Tasks'!L298&amp;""</f>
        <v/>
      </c>
      <c r="BB1794">
        <f>'Variable Tasks'!M298&amp;""</f>
        <v/>
      </c>
      <c r="BC1794">
        <f>'Variable Tasks'!N298&amp;""</f>
        <v/>
      </c>
      <c r="BD1794">
        <f>'Variable Tasks'!O298&amp;""</f>
        <v/>
      </c>
      <c r="BE1794">
        <f>IF('Variable Tasks'!K298="","",'Variable Tasks'!K298)</f>
        <v/>
      </c>
      <c r="BF1794">
        <f>IFERROR(MATCH(BA1794,Setup!$L$6:$L$9,0),5)</f>
        <v/>
      </c>
      <c r="BG1794">
        <f>IF(OR(AZ1794="Done",AZ1794="Cancelled"),1,0)</f>
        <v/>
      </c>
      <c r="BH1794">
        <f>IF(AND(AU1794&lt;&gt;"",ISNUMBER(AW1794)),1,0)</f>
        <v/>
      </c>
      <c r="BI1794">
        <f>IF(BH1794=0,0,IF(AND(AW1794&gt;='Tasks Filter'!$F$3,AW1794&lt;='Tasks Filter'!$F$4,OR('Tasks Filter'!$I$3="",ISNUMBER(SEARCH('Tasks Filter'!$I$3,AU1794))),OR('Tasks Filter'!$I$4="",BF1794=IFERROR(MATCH('Tasks Filter'!$I$4,Setup!$L$6:$L$9,0),0)),OR('Tasks Filter'!$I$5="Both",AND('Tasks Filter'!$I$5="Yes",BB1794="✓"),AND('Tasks Filter'!$I$5="No",BB1794&lt;&gt;"✓")),OR('Tasks Filter'!$L$3="",AV1794='Tasks Filter'!$L$3),OR('Tasks Filter'!$L$4="",AZ1794='Tasks Filter'!$L$4),OR('Tasks Filter'!$L$5="",BC1794='Tasks Filter'!$L$5),OR('Tasks Filter'!$O$3="",BD1794='Tasks Filter'!$O$3),OR('Tasks Filter'!$O$4="Yes",BG1794=0)),1,0))</f>
        <v/>
      </c>
      <c r="BJ1794">
        <f>IF(BH1794=0,"",IF('Tasks Filter'!$F$6="Descending",-1,1)*CHOOSE(MATCH('Tasks Filter'!$F$5,Lists!$G$2:$G$6,0),AW1794,BF1794,IFERROR(MATCH(AV1794,Setup!$F$6:$F$15,0),99),IFERROR(MATCH(BC1794,Setup!$H$6:$H$15,0),99),IFERROR(MATCH(AZ1794,Setup!$J$6:$J$11,0),99))*1E+9+(AW1794-40000)*10000+1793)</f>
        <v/>
      </c>
      <c r="BK1794">
        <f>IF(BI1794=1,BJ1794,"")</f>
        <v/>
      </c>
      <c r="BL1794">
        <f>IF(AND(BH1794=1,BG1794=0,N(AW1794)&lt;Setup!$D$7),(AW1794-40000)*10000+1793,"")</f>
        <v/>
      </c>
      <c r="BM1794">
        <f>IF(AND(BH1794=1,AZ1794&lt;&gt;"Cancelled",N(AW1794)&gt;=Dashboard!$AB$3,N(AW1794)&lt;=Dashboard!$AB$3+6),(AW1794-40000)*100000+BF1794*10000+1793,"")</f>
        <v/>
      </c>
      <c r="BN1794">
        <f>IF(AND(BH1794=1,AZ1794&lt;&gt;"Cancelled"),BF1794*10000+1793,"")</f>
        <v/>
      </c>
    </row>
    <row r="1795">
      <c r="AS1795" t="inlineStr">
        <is>
          <t>V</t>
        </is>
      </c>
      <c r="AT1795" t="n">
        <v>299</v>
      </c>
      <c r="AU1795">
        <f>'Variable Tasks'!C299&amp;""</f>
        <v/>
      </c>
      <c r="AV1795">
        <f>'Variable Tasks'!D299&amp;""</f>
        <v/>
      </c>
      <c r="AW1795">
        <f>IF('Variable Tasks'!E299="","",'Variable Tasks'!E299)</f>
        <v/>
      </c>
      <c r="AX1795">
        <f>IF('Variable Tasks'!G299="","",'Variable Tasks'!G299)</f>
        <v/>
      </c>
      <c r="AY1795">
        <f>IF('Variable Tasks'!H299="","",'Variable Tasks'!H299)</f>
        <v/>
      </c>
      <c r="AZ1795">
        <f>IF(AU1795="","",IF('Variable Tasks'!J299="","Not Started",'Variable Tasks'!J299))</f>
        <v/>
      </c>
      <c r="BA1795">
        <f>'Variable Tasks'!L299&amp;""</f>
        <v/>
      </c>
      <c r="BB1795">
        <f>'Variable Tasks'!M299&amp;""</f>
        <v/>
      </c>
      <c r="BC1795">
        <f>'Variable Tasks'!N299&amp;""</f>
        <v/>
      </c>
      <c r="BD1795">
        <f>'Variable Tasks'!O299&amp;""</f>
        <v/>
      </c>
      <c r="BE1795">
        <f>IF('Variable Tasks'!K299="","",'Variable Tasks'!K299)</f>
        <v/>
      </c>
      <c r="BF1795">
        <f>IFERROR(MATCH(BA1795,Setup!$L$6:$L$9,0),5)</f>
        <v/>
      </c>
      <c r="BG1795">
        <f>IF(OR(AZ1795="Done",AZ1795="Cancelled"),1,0)</f>
        <v/>
      </c>
      <c r="BH1795">
        <f>IF(AND(AU1795&lt;&gt;"",ISNUMBER(AW1795)),1,0)</f>
        <v/>
      </c>
      <c r="BI1795">
        <f>IF(BH1795=0,0,IF(AND(AW1795&gt;='Tasks Filter'!$F$3,AW1795&lt;='Tasks Filter'!$F$4,OR('Tasks Filter'!$I$3="",ISNUMBER(SEARCH('Tasks Filter'!$I$3,AU1795))),OR('Tasks Filter'!$I$4="",BF1795=IFERROR(MATCH('Tasks Filter'!$I$4,Setup!$L$6:$L$9,0),0)),OR('Tasks Filter'!$I$5="Both",AND('Tasks Filter'!$I$5="Yes",BB1795="✓"),AND('Tasks Filter'!$I$5="No",BB1795&lt;&gt;"✓")),OR('Tasks Filter'!$L$3="",AV1795='Tasks Filter'!$L$3),OR('Tasks Filter'!$L$4="",AZ1795='Tasks Filter'!$L$4),OR('Tasks Filter'!$L$5="",BC1795='Tasks Filter'!$L$5),OR('Tasks Filter'!$O$3="",BD1795='Tasks Filter'!$O$3),OR('Tasks Filter'!$O$4="Yes",BG1795=0)),1,0))</f>
        <v/>
      </c>
      <c r="BJ1795">
        <f>IF(BH1795=0,"",IF('Tasks Filter'!$F$6="Descending",-1,1)*CHOOSE(MATCH('Tasks Filter'!$F$5,Lists!$G$2:$G$6,0),AW1795,BF1795,IFERROR(MATCH(AV1795,Setup!$F$6:$F$15,0),99),IFERROR(MATCH(BC1795,Setup!$H$6:$H$15,0),99),IFERROR(MATCH(AZ1795,Setup!$J$6:$J$11,0),99))*1E+9+(AW1795-40000)*10000+1794)</f>
        <v/>
      </c>
      <c r="BK1795">
        <f>IF(BI1795=1,BJ1795,"")</f>
        <v/>
      </c>
      <c r="BL1795">
        <f>IF(AND(BH1795=1,BG1795=0,N(AW1795)&lt;Setup!$D$7),(AW1795-40000)*10000+1794,"")</f>
        <v/>
      </c>
      <c r="BM1795">
        <f>IF(AND(BH1795=1,AZ1795&lt;&gt;"Cancelled",N(AW1795)&gt;=Dashboard!$AB$3,N(AW1795)&lt;=Dashboard!$AB$3+6),(AW1795-40000)*100000+BF1795*10000+1794,"")</f>
        <v/>
      </c>
      <c r="BN1795">
        <f>IF(AND(BH1795=1,AZ1795&lt;&gt;"Cancelled"),BF1795*10000+1794,"")</f>
        <v/>
      </c>
    </row>
    <row r="1796">
      <c r="AS1796" t="inlineStr">
        <is>
          <t>V</t>
        </is>
      </c>
      <c r="AT1796" t="n">
        <v>300</v>
      </c>
      <c r="AU1796">
        <f>'Variable Tasks'!C300&amp;""</f>
        <v/>
      </c>
      <c r="AV1796">
        <f>'Variable Tasks'!D300&amp;""</f>
        <v/>
      </c>
      <c r="AW1796">
        <f>IF('Variable Tasks'!E300="","",'Variable Tasks'!E300)</f>
        <v/>
      </c>
      <c r="AX1796">
        <f>IF('Variable Tasks'!G300="","",'Variable Tasks'!G300)</f>
        <v/>
      </c>
      <c r="AY1796">
        <f>IF('Variable Tasks'!H300="","",'Variable Tasks'!H300)</f>
        <v/>
      </c>
      <c r="AZ1796">
        <f>IF(AU1796="","",IF('Variable Tasks'!J300="","Not Started",'Variable Tasks'!J300))</f>
        <v/>
      </c>
      <c r="BA1796">
        <f>'Variable Tasks'!L300&amp;""</f>
        <v/>
      </c>
      <c r="BB1796">
        <f>'Variable Tasks'!M300&amp;""</f>
        <v/>
      </c>
      <c r="BC1796">
        <f>'Variable Tasks'!N300&amp;""</f>
        <v/>
      </c>
      <c r="BD1796">
        <f>'Variable Tasks'!O300&amp;""</f>
        <v/>
      </c>
      <c r="BE1796">
        <f>IF('Variable Tasks'!K300="","",'Variable Tasks'!K300)</f>
        <v/>
      </c>
      <c r="BF1796">
        <f>IFERROR(MATCH(BA1796,Setup!$L$6:$L$9,0),5)</f>
        <v/>
      </c>
      <c r="BG1796">
        <f>IF(OR(AZ1796="Done",AZ1796="Cancelled"),1,0)</f>
        <v/>
      </c>
      <c r="BH1796">
        <f>IF(AND(AU1796&lt;&gt;"",ISNUMBER(AW1796)),1,0)</f>
        <v/>
      </c>
      <c r="BI1796">
        <f>IF(BH1796=0,0,IF(AND(AW1796&gt;='Tasks Filter'!$F$3,AW1796&lt;='Tasks Filter'!$F$4,OR('Tasks Filter'!$I$3="",ISNUMBER(SEARCH('Tasks Filter'!$I$3,AU1796))),OR('Tasks Filter'!$I$4="",BF1796=IFERROR(MATCH('Tasks Filter'!$I$4,Setup!$L$6:$L$9,0),0)),OR('Tasks Filter'!$I$5="Both",AND('Tasks Filter'!$I$5="Yes",BB1796="✓"),AND('Tasks Filter'!$I$5="No",BB1796&lt;&gt;"✓")),OR('Tasks Filter'!$L$3="",AV1796='Tasks Filter'!$L$3),OR('Tasks Filter'!$L$4="",AZ1796='Tasks Filter'!$L$4),OR('Tasks Filter'!$L$5="",BC1796='Tasks Filter'!$L$5),OR('Tasks Filter'!$O$3="",BD1796='Tasks Filter'!$O$3),OR('Tasks Filter'!$O$4="Yes",BG1796=0)),1,0))</f>
        <v/>
      </c>
      <c r="BJ1796">
        <f>IF(BH1796=0,"",IF('Tasks Filter'!$F$6="Descending",-1,1)*CHOOSE(MATCH('Tasks Filter'!$F$5,Lists!$G$2:$G$6,0),AW1796,BF1796,IFERROR(MATCH(AV1796,Setup!$F$6:$F$15,0),99),IFERROR(MATCH(BC1796,Setup!$H$6:$H$15,0),99),IFERROR(MATCH(AZ1796,Setup!$J$6:$J$11,0),99))*1E+9+(AW1796-40000)*10000+1795)</f>
        <v/>
      </c>
      <c r="BK1796">
        <f>IF(BI1796=1,BJ1796,"")</f>
        <v/>
      </c>
      <c r="BL1796">
        <f>IF(AND(BH1796=1,BG1796=0,N(AW1796)&lt;Setup!$D$7),(AW1796-40000)*10000+1795,"")</f>
        <v/>
      </c>
      <c r="BM1796">
        <f>IF(AND(BH1796=1,AZ1796&lt;&gt;"Cancelled",N(AW1796)&gt;=Dashboard!$AB$3,N(AW1796)&lt;=Dashboard!$AB$3+6),(AW1796-40000)*100000+BF1796*10000+1795,"")</f>
        <v/>
      </c>
      <c r="BN1796">
        <f>IF(AND(BH1796=1,AZ1796&lt;&gt;"Cancelled"),BF1796*10000+1795,"")</f>
        <v/>
      </c>
    </row>
    <row r="1797">
      <c r="AS1797" t="inlineStr">
        <is>
          <t>V</t>
        </is>
      </c>
      <c r="AT1797" t="n">
        <v>301</v>
      </c>
      <c r="AU1797">
        <f>'Variable Tasks'!C301&amp;""</f>
        <v/>
      </c>
      <c r="AV1797">
        <f>'Variable Tasks'!D301&amp;""</f>
        <v/>
      </c>
      <c r="AW1797">
        <f>IF('Variable Tasks'!E301="","",'Variable Tasks'!E301)</f>
        <v/>
      </c>
      <c r="AX1797">
        <f>IF('Variable Tasks'!G301="","",'Variable Tasks'!G301)</f>
        <v/>
      </c>
      <c r="AY1797">
        <f>IF('Variable Tasks'!H301="","",'Variable Tasks'!H301)</f>
        <v/>
      </c>
      <c r="AZ1797">
        <f>IF(AU1797="","",IF('Variable Tasks'!J301="","Not Started",'Variable Tasks'!J301))</f>
        <v/>
      </c>
      <c r="BA1797">
        <f>'Variable Tasks'!L301&amp;""</f>
        <v/>
      </c>
      <c r="BB1797">
        <f>'Variable Tasks'!M301&amp;""</f>
        <v/>
      </c>
      <c r="BC1797">
        <f>'Variable Tasks'!N301&amp;""</f>
        <v/>
      </c>
      <c r="BD1797">
        <f>'Variable Tasks'!O301&amp;""</f>
        <v/>
      </c>
      <c r="BE1797">
        <f>IF('Variable Tasks'!K301="","",'Variable Tasks'!K301)</f>
        <v/>
      </c>
      <c r="BF1797">
        <f>IFERROR(MATCH(BA1797,Setup!$L$6:$L$9,0),5)</f>
        <v/>
      </c>
      <c r="BG1797">
        <f>IF(OR(AZ1797="Done",AZ1797="Cancelled"),1,0)</f>
        <v/>
      </c>
      <c r="BH1797">
        <f>IF(AND(AU1797&lt;&gt;"",ISNUMBER(AW1797)),1,0)</f>
        <v/>
      </c>
      <c r="BI1797">
        <f>IF(BH1797=0,0,IF(AND(AW1797&gt;='Tasks Filter'!$F$3,AW1797&lt;='Tasks Filter'!$F$4,OR('Tasks Filter'!$I$3="",ISNUMBER(SEARCH('Tasks Filter'!$I$3,AU1797))),OR('Tasks Filter'!$I$4="",BF1797=IFERROR(MATCH('Tasks Filter'!$I$4,Setup!$L$6:$L$9,0),0)),OR('Tasks Filter'!$I$5="Both",AND('Tasks Filter'!$I$5="Yes",BB1797="✓"),AND('Tasks Filter'!$I$5="No",BB1797&lt;&gt;"✓")),OR('Tasks Filter'!$L$3="",AV1797='Tasks Filter'!$L$3),OR('Tasks Filter'!$L$4="",AZ1797='Tasks Filter'!$L$4),OR('Tasks Filter'!$L$5="",BC1797='Tasks Filter'!$L$5),OR('Tasks Filter'!$O$3="",BD1797='Tasks Filter'!$O$3),OR('Tasks Filter'!$O$4="Yes",BG1797=0)),1,0))</f>
        <v/>
      </c>
      <c r="BJ1797">
        <f>IF(BH1797=0,"",IF('Tasks Filter'!$F$6="Descending",-1,1)*CHOOSE(MATCH('Tasks Filter'!$F$5,Lists!$G$2:$G$6,0),AW1797,BF1797,IFERROR(MATCH(AV1797,Setup!$F$6:$F$15,0),99),IFERROR(MATCH(BC1797,Setup!$H$6:$H$15,0),99),IFERROR(MATCH(AZ1797,Setup!$J$6:$J$11,0),99))*1E+9+(AW1797-40000)*10000+1796)</f>
        <v/>
      </c>
      <c r="BK1797">
        <f>IF(BI1797=1,BJ1797,"")</f>
        <v/>
      </c>
      <c r="BL1797">
        <f>IF(AND(BH1797=1,BG1797=0,N(AW1797)&lt;Setup!$D$7),(AW1797-40000)*10000+1796,"")</f>
        <v/>
      </c>
      <c r="BM1797">
        <f>IF(AND(BH1797=1,AZ1797&lt;&gt;"Cancelled",N(AW1797)&gt;=Dashboard!$AB$3,N(AW1797)&lt;=Dashboard!$AB$3+6),(AW1797-40000)*100000+BF1797*10000+1796,"")</f>
        <v/>
      </c>
      <c r="BN1797">
        <f>IF(AND(BH1797=1,AZ1797&lt;&gt;"Cancelled"),BF1797*10000+1796,"")</f>
        <v/>
      </c>
    </row>
    <row r="1798">
      <c r="AS1798" t="inlineStr">
        <is>
          <t>V</t>
        </is>
      </c>
      <c r="AT1798" t="n">
        <v>302</v>
      </c>
      <c r="AU1798">
        <f>'Variable Tasks'!C302&amp;""</f>
        <v/>
      </c>
      <c r="AV1798">
        <f>'Variable Tasks'!D302&amp;""</f>
        <v/>
      </c>
      <c r="AW1798">
        <f>IF('Variable Tasks'!E302="","",'Variable Tasks'!E302)</f>
        <v/>
      </c>
      <c r="AX1798">
        <f>IF('Variable Tasks'!G302="","",'Variable Tasks'!G302)</f>
        <v/>
      </c>
      <c r="AY1798">
        <f>IF('Variable Tasks'!H302="","",'Variable Tasks'!H302)</f>
        <v/>
      </c>
      <c r="AZ1798">
        <f>IF(AU1798="","",IF('Variable Tasks'!J302="","Not Started",'Variable Tasks'!J302))</f>
        <v/>
      </c>
      <c r="BA1798">
        <f>'Variable Tasks'!L302&amp;""</f>
        <v/>
      </c>
      <c r="BB1798">
        <f>'Variable Tasks'!M302&amp;""</f>
        <v/>
      </c>
      <c r="BC1798">
        <f>'Variable Tasks'!N302&amp;""</f>
        <v/>
      </c>
      <c r="BD1798">
        <f>'Variable Tasks'!O302&amp;""</f>
        <v/>
      </c>
      <c r="BE1798">
        <f>IF('Variable Tasks'!K302="","",'Variable Tasks'!K302)</f>
        <v/>
      </c>
      <c r="BF1798">
        <f>IFERROR(MATCH(BA1798,Setup!$L$6:$L$9,0),5)</f>
        <v/>
      </c>
      <c r="BG1798">
        <f>IF(OR(AZ1798="Done",AZ1798="Cancelled"),1,0)</f>
        <v/>
      </c>
      <c r="BH1798">
        <f>IF(AND(AU1798&lt;&gt;"",ISNUMBER(AW1798)),1,0)</f>
        <v/>
      </c>
      <c r="BI1798">
        <f>IF(BH1798=0,0,IF(AND(AW1798&gt;='Tasks Filter'!$F$3,AW1798&lt;='Tasks Filter'!$F$4,OR('Tasks Filter'!$I$3="",ISNUMBER(SEARCH('Tasks Filter'!$I$3,AU1798))),OR('Tasks Filter'!$I$4="",BF1798=IFERROR(MATCH('Tasks Filter'!$I$4,Setup!$L$6:$L$9,0),0)),OR('Tasks Filter'!$I$5="Both",AND('Tasks Filter'!$I$5="Yes",BB1798="✓"),AND('Tasks Filter'!$I$5="No",BB1798&lt;&gt;"✓")),OR('Tasks Filter'!$L$3="",AV1798='Tasks Filter'!$L$3),OR('Tasks Filter'!$L$4="",AZ1798='Tasks Filter'!$L$4),OR('Tasks Filter'!$L$5="",BC1798='Tasks Filter'!$L$5),OR('Tasks Filter'!$O$3="",BD1798='Tasks Filter'!$O$3),OR('Tasks Filter'!$O$4="Yes",BG1798=0)),1,0))</f>
        <v/>
      </c>
      <c r="BJ1798">
        <f>IF(BH1798=0,"",IF('Tasks Filter'!$F$6="Descending",-1,1)*CHOOSE(MATCH('Tasks Filter'!$F$5,Lists!$G$2:$G$6,0),AW1798,BF1798,IFERROR(MATCH(AV1798,Setup!$F$6:$F$15,0),99),IFERROR(MATCH(BC1798,Setup!$H$6:$H$15,0),99),IFERROR(MATCH(AZ1798,Setup!$J$6:$J$11,0),99))*1E+9+(AW1798-40000)*10000+1797)</f>
        <v/>
      </c>
      <c r="BK1798">
        <f>IF(BI1798=1,BJ1798,"")</f>
        <v/>
      </c>
      <c r="BL1798">
        <f>IF(AND(BH1798=1,BG1798=0,N(AW1798)&lt;Setup!$D$7),(AW1798-40000)*10000+1797,"")</f>
        <v/>
      </c>
      <c r="BM1798">
        <f>IF(AND(BH1798=1,AZ1798&lt;&gt;"Cancelled",N(AW1798)&gt;=Dashboard!$AB$3,N(AW1798)&lt;=Dashboard!$AB$3+6),(AW1798-40000)*100000+BF1798*10000+1797,"")</f>
        <v/>
      </c>
      <c r="BN1798">
        <f>IF(AND(BH1798=1,AZ1798&lt;&gt;"Cancelled"),BF1798*10000+1797,"")</f>
        <v/>
      </c>
    </row>
    <row r="1799">
      <c r="AS1799" t="inlineStr">
        <is>
          <t>V</t>
        </is>
      </c>
      <c r="AT1799" t="n">
        <v>303</v>
      </c>
      <c r="AU1799">
        <f>'Variable Tasks'!C303&amp;""</f>
        <v/>
      </c>
      <c r="AV1799">
        <f>'Variable Tasks'!D303&amp;""</f>
        <v/>
      </c>
      <c r="AW1799">
        <f>IF('Variable Tasks'!E303="","",'Variable Tasks'!E303)</f>
        <v/>
      </c>
      <c r="AX1799">
        <f>IF('Variable Tasks'!G303="","",'Variable Tasks'!G303)</f>
        <v/>
      </c>
      <c r="AY1799">
        <f>IF('Variable Tasks'!H303="","",'Variable Tasks'!H303)</f>
        <v/>
      </c>
      <c r="AZ1799">
        <f>IF(AU1799="","",IF('Variable Tasks'!J303="","Not Started",'Variable Tasks'!J303))</f>
        <v/>
      </c>
      <c r="BA1799">
        <f>'Variable Tasks'!L303&amp;""</f>
        <v/>
      </c>
      <c r="BB1799">
        <f>'Variable Tasks'!M303&amp;""</f>
        <v/>
      </c>
      <c r="BC1799">
        <f>'Variable Tasks'!N303&amp;""</f>
        <v/>
      </c>
      <c r="BD1799">
        <f>'Variable Tasks'!O303&amp;""</f>
        <v/>
      </c>
      <c r="BE1799">
        <f>IF('Variable Tasks'!K303="","",'Variable Tasks'!K303)</f>
        <v/>
      </c>
      <c r="BF1799">
        <f>IFERROR(MATCH(BA1799,Setup!$L$6:$L$9,0),5)</f>
        <v/>
      </c>
      <c r="BG1799">
        <f>IF(OR(AZ1799="Done",AZ1799="Cancelled"),1,0)</f>
        <v/>
      </c>
      <c r="BH1799">
        <f>IF(AND(AU1799&lt;&gt;"",ISNUMBER(AW1799)),1,0)</f>
        <v/>
      </c>
      <c r="BI1799">
        <f>IF(BH1799=0,0,IF(AND(AW1799&gt;='Tasks Filter'!$F$3,AW1799&lt;='Tasks Filter'!$F$4,OR('Tasks Filter'!$I$3="",ISNUMBER(SEARCH('Tasks Filter'!$I$3,AU1799))),OR('Tasks Filter'!$I$4="",BF1799=IFERROR(MATCH('Tasks Filter'!$I$4,Setup!$L$6:$L$9,0),0)),OR('Tasks Filter'!$I$5="Both",AND('Tasks Filter'!$I$5="Yes",BB1799="✓"),AND('Tasks Filter'!$I$5="No",BB1799&lt;&gt;"✓")),OR('Tasks Filter'!$L$3="",AV1799='Tasks Filter'!$L$3),OR('Tasks Filter'!$L$4="",AZ1799='Tasks Filter'!$L$4),OR('Tasks Filter'!$L$5="",BC1799='Tasks Filter'!$L$5),OR('Tasks Filter'!$O$3="",BD1799='Tasks Filter'!$O$3),OR('Tasks Filter'!$O$4="Yes",BG1799=0)),1,0))</f>
        <v/>
      </c>
      <c r="BJ1799">
        <f>IF(BH1799=0,"",IF('Tasks Filter'!$F$6="Descending",-1,1)*CHOOSE(MATCH('Tasks Filter'!$F$5,Lists!$G$2:$G$6,0),AW1799,BF1799,IFERROR(MATCH(AV1799,Setup!$F$6:$F$15,0),99),IFERROR(MATCH(BC1799,Setup!$H$6:$H$15,0),99),IFERROR(MATCH(AZ1799,Setup!$J$6:$J$11,0),99))*1E+9+(AW1799-40000)*10000+1798)</f>
        <v/>
      </c>
      <c r="BK1799">
        <f>IF(BI1799=1,BJ1799,"")</f>
        <v/>
      </c>
      <c r="BL1799">
        <f>IF(AND(BH1799=1,BG1799=0,N(AW1799)&lt;Setup!$D$7),(AW1799-40000)*10000+1798,"")</f>
        <v/>
      </c>
      <c r="BM1799">
        <f>IF(AND(BH1799=1,AZ1799&lt;&gt;"Cancelled",N(AW1799)&gt;=Dashboard!$AB$3,N(AW1799)&lt;=Dashboard!$AB$3+6),(AW1799-40000)*100000+BF1799*10000+1798,"")</f>
        <v/>
      </c>
      <c r="BN1799">
        <f>IF(AND(BH1799=1,AZ1799&lt;&gt;"Cancelled"),BF1799*10000+1798,"")</f>
        <v/>
      </c>
    </row>
    <row r="1800">
      <c r="AS1800" t="inlineStr">
        <is>
          <t>V</t>
        </is>
      </c>
      <c r="AT1800" t="n">
        <v>304</v>
      </c>
      <c r="AU1800">
        <f>'Variable Tasks'!C304&amp;""</f>
        <v/>
      </c>
      <c r="AV1800">
        <f>'Variable Tasks'!D304&amp;""</f>
        <v/>
      </c>
      <c r="AW1800">
        <f>IF('Variable Tasks'!E304="","",'Variable Tasks'!E304)</f>
        <v/>
      </c>
      <c r="AX1800">
        <f>IF('Variable Tasks'!G304="","",'Variable Tasks'!G304)</f>
        <v/>
      </c>
      <c r="AY1800">
        <f>IF('Variable Tasks'!H304="","",'Variable Tasks'!H304)</f>
        <v/>
      </c>
      <c r="AZ1800">
        <f>IF(AU1800="","",IF('Variable Tasks'!J304="","Not Started",'Variable Tasks'!J304))</f>
        <v/>
      </c>
      <c r="BA1800">
        <f>'Variable Tasks'!L304&amp;""</f>
        <v/>
      </c>
      <c r="BB1800">
        <f>'Variable Tasks'!M304&amp;""</f>
        <v/>
      </c>
      <c r="BC1800">
        <f>'Variable Tasks'!N304&amp;""</f>
        <v/>
      </c>
      <c r="BD1800">
        <f>'Variable Tasks'!O304&amp;""</f>
        <v/>
      </c>
      <c r="BE1800">
        <f>IF('Variable Tasks'!K304="","",'Variable Tasks'!K304)</f>
        <v/>
      </c>
      <c r="BF1800">
        <f>IFERROR(MATCH(BA1800,Setup!$L$6:$L$9,0),5)</f>
        <v/>
      </c>
      <c r="BG1800">
        <f>IF(OR(AZ1800="Done",AZ1800="Cancelled"),1,0)</f>
        <v/>
      </c>
      <c r="BH1800">
        <f>IF(AND(AU1800&lt;&gt;"",ISNUMBER(AW1800)),1,0)</f>
        <v/>
      </c>
      <c r="BI1800">
        <f>IF(BH1800=0,0,IF(AND(AW1800&gt;='Tasks Filter'!$F$3,AW1800&lt;='Tasks Filter'!$F$4,OR('Tasks Filter'!$I$3="",ISNUMBER(SEARCH('Tasks Filter'!$I$3,AU1800))),OR('Tasks Filter'!$I$4="",BF1800=IFERROR(MATCH('Tasks Filter'!$I$4,Setup!$L$6:$L$9,0),0)),OR('Tasks Filter'!$I$5="Both",AND('Tasks Filter'!$I$5="Yes",BB1800="✓"),AND('Tasks Filter'!$I$5="No",BB1800&lt;&gt;"✓")),OR('Tasks Filter'!$L$3="",AV1800='Tasks Filter'!$L$3),OR('Tasks Filter'!$L$4="",AZ1800='Tasks Filter'!$L$4),OR('Tasks Filter'!$L$5="",BC1800='Tasks Filter'!$L$5),OR('Tasks Filter'!$O$3="",BD1800='Tasks Filter'!$O$3),OR('Tasks Filter'!$O$4="Yes",BG1800=0)),1,0))</f>
        <v/>
      </c>
      <c r="BJ1800">
        <f>IF(BH1800=0,"",IF('Tasks Filter'!$F$6="Descending",-1,1)*CHOOSE(MATCH('Tasks Filter'!$F$5,Lists!$G$2:$G$6,0),AW1800,BF1800,IFERROR(MATCH(AV1800,Setup!$F$6:$F$15,0),99),IFERROR(MATCH(BC1800,Setup!$H$6:$H$15,0),99),IFERROR(MATCH(AZ1800,Setup!$J$6:$J$11,0),99))*1E+9+(AW1800-40000)*10000+1799)</f>
        <v/>
      </c>
      <c r="BK1800">
        <f>IF(BI1800=1,BJ1800,"")</f>
        <v/>
      </c>
      <c r="BL1800">
        <f>IF(AND(BH1800=1,BG1800=0,N(AW1800)&lt;Setup!$D$7),(AW1800-40000)*10000+1799,"")</f>
        <v/>
      </c>
      <c r="BM1800">
        <f>IF(AND(BH1800=1,AZ1800&lt;&gt;"Cancelled",N(AW1800)&gt;=Dashboard!$AB$3,N(AW1800)&lt;=Dashboard!$AB$3+6),(AW1800-40000)*100000+BF1800*10000+1799,"")</f>
        <v/>
      </c>
      <c r="BN1800">
        <f>IF(AND(BH1800=1,AZ1800&lt;&gt;"Cancelled"),BF1800*10000+1799,"")</f>
        <v/>
      </c>
    </row>
    <row r="1801">
      <c r="AS1801" t="inlineStr">
        <is>
          <t>V</t>
        </is>
      </c>
      <c r="AT1801" t="n">
        <v>305</v>
      </c>
      <c r="AU1801">
        <f>'Variable Tasks'!C305&amp;""</f>
        <v/>
      </c>
      <c r="AV1801">
        <f>'Variable Tasks'!D305&amp;""</f>
        <v/>
      </c>
      <c r="AW1801">
        <f>IF('Variable Tasks'!E305="","",'Variable Tasks'!E305)</f>
        <v/>
      </c>
      <c r="AX1801">
        <f>IF('Variable Tasks'!G305="","",'Variable Tasks'!G305)</f>
        <v/>
      </c>
      <c r="AY1801">
        <f>IF('Variable Tasks'!H305="","",'Variable Tasks'!H305)</f>
        <v/>
      </c>
      <c r="AZ1801">
        <f>IF(AU1801="","",IF('Variable Tasks'!J305="","Not Started",'Variable Tasks'!J305))</f>
        <v/>
      </c>
      <c r="BA1801">
        <f>'Variable Tasks'!L305&amp;""</f>
        <v/>
      </c>
      <c r="BB1801">
        <f>'Variable Tasks'!M305&amp;""</f>
        <v/>
      </c>
      <c r="BC1801">
        <f>'Variable Tasks'!N305&amp;""</f>
        <v/>
      </c>
      <c r="BD1801">
        <f>'Variable Tasks'!O305&amp;""</f>
        <v/>
      </c>
      <c r="BE1801">
        <f>IF('Variable Tasks'!K305="","",'Variable Tasks'!K305)</f>
        <v/>
      </c>
      <c r="BF1801">
        <f>IFERROR(MATCH(BA1801,Setup!$L$6:$L$9,0),5)</f>
        <v/>
      </c>
      <c r="BG1801">
        <f>IF(OR(AZ1801="Done",AZ1801="Cancelled"),1,0)</f>
        <v/>
      </c>
      <c r="BH1801">
        <f>IF(AND(AU1801&lt;&gt;"",ISNUMBER(AW1801)),1,0)</f>
        <v/>
      </c>
      <c r="BI1801">
        <f>IF(BH1801=0,0,IF(AND(AW1801&gt;='Tasks Filter'!$F$3,AW1801&lt;='Tasks Filter'!$F$4,OR('Tasks Filter'!$I$3="",ISNUMBER(SEARCH('Tasks Filter'!$I$3,AU1801))),OR('Tasks Filter'!$I$4="",BF1801=IFERROR(MATCH('Tasks Filter'!$I$4,Setup!$L$6:$L$9,0),0)),OR('Tasks Filter'!$I$5="Both",AND('Tasks Filter'!$I$5="Yes",BB1801="✓"),AND('Tasks Filter'!$I$5="No",BB1801&lt;&gt;"✓")),OR('Tasks Filter'!$L$3="",AV1801='Tasks Filter'!$L$3),OR('Tasks Filter'!$L$4="",AZ1801='Tasks Filter'!$L$4),OR('Tasks Filter'!$L$5="",BC1801='Tasks Filter'!$L$5),OR('Tasks Filter'!$O$3="",BD1801='Tasks Filter'!$O$3),OR('Tasks Filter'!$O$4="Yes",BG1801=0)),1,0))</f>
        <v/>
      </c>
      <c r="BJ1801">
        <f>IF(BH1801=0,"",IF('Tasks Filter'!$F$6="Descending",-1,1)*CHOOSE(MATCH('Tasks Filter'!$F$5,Lists!$G$2:$G$6,0),AW1801,BF1801,IFERROR(MATCH(AV1801,Setup!$F$6:$F$15,0),99),IFERROR(MATCH(BC1801,Setup!$H$6:$H$15,0),99),IFERROR(MATCH(AZ1801,Setup!$J$6:$J$11,0),99))*1E+9+(AW1801-40000)*10000+1800)</f>
        <v/>
      </c>
      <c r="BK1801">
        <f>IF(BI1801=1,BJ1801,"")</f>
        <v/>
      </c>
      <c r="BL1801">
        <f>IF(AND(BH1801=1,BG1801=0,N(AW1801)&lt;Setup!$D$7),(AW1801-40000)*10000+1800,"")</f>
        <v/>
      </c>
      <c r="BM1801">
        <f>IF(AND(BH1801=1,AZ1801&lt;&gt;"Cancelled",N(AW1801)&gt;=Dashboard!$AB$3,N(AW1801)&lt;=Dashboard!$AB$3+6),(AW1801-40000)*100000+BF1801*10000+1800,"")</f>
        <v/>
      </c>
      <c r="BN1801">
        <f>IF(AND(BH1801=1,AZ1801&lt;&gt;"Cancelled"),BF1801*10000+1800,"")</f>
        <v/>
      </c>
    </row>
    <row r="1802">
      <c r="AS1802" t="inlineStr">
        <is>
          <t>V</t>
        </is>
      </c>
      <c r="AT1802" t="n">
        <v>306</v>
      </c>
      <c r="AU1802">
        <f>'Variable Tasks'!C306&amp;""</f>
        <v/>
      </c>
      <c r="AV1802">
        <f>'Variable Tasks'!D306&amp;""</f>
        <v/>
      </c>
      <c r="AW1802">
        <f>IF('Variable Tasks'!E306="","",'Variable Tasks'!E306)</f>
        <v/>
      </c>
      <c r="AX1802">
        <f>IF('Variable Tasks'!G306="","",'Variable Tasks'!G306)</f>
        <v/>
      </c>
      <c r="AY1802">
        <f>IF('Variable Tasks'!H306="","",'Variable Tasks'!H306)</f>
        <v/>
      </c>
      <c r="AZ1802">
        <f>IF(AU1802="","",IF('Variable Tasks'!J306="","Not Started",'Variable Tasks'!J306))</f>
        <v/>
      </c>
      <c r="BA1802">
        <f>'Variable Tasks'!L306&amp;""</f>
        <v/>
      </c>
      <c r="BB1802">
        <f>'Variable Tasks'!M306&amp;""</f>
        <v/>
      </c>
      <c r="BC1802">
        <f>'Variable Tasks'!N306&amp;""</f>
        <v/>
      </c>
      <c r="BD1802">
        <f>'Variable Tasks'!O306&amp;""</f>
        <v/>
      </c>
      <c r="BE1802">
        <f>IF('Variable Tasks'!K306="","",'Variable Tasks'!K306)</f>
        <v/>
      </c>
      <c r="BF1802">
        <f>IFERROR(MATCH(BA1802,Setup!$L$6:$L$9,0),5)</f>
        <v/>
      </c>
      <c r="BG1802">
        <f>IF(OR(AZ1802="Done",AZ1802="Cancelled"),1,0)</f>
        <v/>
      </c>
      <c r="BH1802">
        <f>IF(AND(AU1802&lt;&gt;"",ISNUMBER(AW1802)),1,0)</f>
        <v/>
      </c>
      <c r="BI1802">
        <f>IF(BH1802=0,0,IF(AND(AW1802&gt;='Tasks Filter'!$F$3,AW1802&lt;='Tasks Filter'!$F$4,OR('Tasks Filter'!$I$3="",ISNUMBER(SEARCH('Tasks Filter'!$I$3,AU1802))),OR('Tasks Filter'!$I$4="",BF1802=IFERROR(MATCH('Tasks Filter'!$I$4,Setup!$L$6:$L$9,0),0)),OR('Tasks Filter'!$I$5="Both",AND('Tasks Filter'!$I$5="Yes",BB1802="✓"),AND('Tasks Filter'!$I$5="No",BB1802&lt;&gt;"✓")),OR('Tasks Filter'!$L$3="",AV1802='Tasks Filter'!$L$3),OR('Tasks Filter'!$L$4="",AZ1802='Tasks Filter'!$L$4),OR('Tasks Filter'!$L$5="",BC1802='Tasks Filter'!$L$5),OR('Tasks Filter'!$O$3="",BD1802='Tasks Filter'!$O$3),OR('Tasks Filter'!$O$4="Yes",BG1802=0)),1,0))</f>
        <v/>
      </c>
      <c r="BJ1802">
        <f>IF(BH1802=0,"",IF('Tasks Filter'!$F$6="Descending",-1,1)*CHOOSE(MATCH('Tasks Filter'!$F$5,Lists!$G$2:$G$6,0),AW1802,BF1802,IFERROR(MATCH(AV1802,Setup!$F$6:$F$15,0),99),IFERROR(MATCH(BC1802,Setup!$H$6:$H$15,0),99),IFERROR(MATCH(AZ1802,Setup!$J$6:$J$11,0),99))*1E+9+(AW1802-40000)*10000+1801)</f>
        <v/>
      </c>
      <c r="BK1802">
        <f>IF(BI1802=1,BJ1802,"")</f>
        <v/>
      </c>
      <c r="BL1802">
        <f>IF(AND(BH1802=1,BG1802=0,N(AW1802)&lt;Setup!$D$7),(AW1802-40000)*10000+1801,"")</f>
        <v/>
      </c>
      <c r="BM1802">
        <f>IF(AND(BH1802=1,AZ1802&lt;&gt;"Cancelled",N(AW1802)&gt;=Dashboard!$AB$3,N(AW1802)&lt;=Dashboard!$AB$3+6),(AW1802-40000)*100000+BF1802*10000+1801,"")</f>
        <v/>
      </c>
      <c r="BN1802">
        <f>IF(AND(BH1802=1,AZ1802&lt;&gt;"Cancelled"),BF1802*10000+1801,"")</f>
        <v/>
      </c>
    </row>
    <row r="1803">
      <c r="AS1803" t="inlineStr">
        <is>
          <t>V</t>
        </is>
      </c>
      <c r="AT1803" t="n">
        <v>307</v>
      </c>
      <c r="AU1803">
        <f>'Variable Tasks'!C307&amp;""</f>
        <v/>
      </c>
      <c r="AV1803">
        <f>'Variable Tasks'!D307&amp;""</f>
        <v/>
      </c>
      <c r="AW1803">
        <f>IF('Variable Tasks'!E307="","",'Variable Tasks'!E307)</f>
        <v/>
      </c>
      <c r="AX1803">
        <f>IF('Variable Tasks'!G307="","",'Variable Tasks'!G307)</f>
        <v/>
      </c>
      <c r="AY1803">
        <f>IF('Variable Tasks'!H307="","",'Variable Tasks'!H307)</f>
        <v/>
      </c>
      <c r="AZ1803">
        <f>IF(AU1803="","",IF('Variable Tasks'!J307="","Not Started",'Variable Tasks'!J307))</f>
        <v/>
      </c>
      <c r="BA1803">
        <f>'Variable Tasks'!L307&amp;""</f>
        <v/>
      </c>
      <c r="BB1803">
        <f>'Variable Tasks'!M307&amp;""</f>
        <v/>
      </c>
      <c r="BC1803">
        <f>'Variable Tasks'!N307&amp;""</f>
        <v/>
      </c>
      <c r="BD1803">
        <f>'Variable Tasks'!O307&amp;""</f>
        <v/>
      </c>
      <c r="BE1803">
        <f>IF('Variable Tasks'!K307="","",'Variable Tasks'!K307)</f>
        <v/>
      </c>
      <c r="BF1803">
        <f>IFERROR(MATCH(BA1803,Setup!$L$6:$L$9,0),5)</f>
        <v/>
      </c>
      <c r="BG1803">
        <f>IF(OR(AZ1803="Done",AZ1803="Cancelled"),1,0)</f>
        <v/>
      </c>
      <c r="BH1803">
        <f>IF(AND(AU1803&lt;&gt;"",ISNUMBER(AW1803)),1,0)</f>
        <v/>
      </c>
      <c r="BI1803">
        <f>IF(BH1803=0,0,IF(AND(AW1803&gt;='Tasks Filter'!$F$3,AW1803&lt;='Tasks Filter'!$F$4,OR('Tasks Filter'!$I$3="",ISNUMBER(SEARCH('Tasks Filter'!$I$3,AU1803))),OR('Tasks Filter'!$I$4="",BF1803=IFERROR(MATCH('Tasks Filter'!$I$4,Setup!$L$6:$L$9,0),0)),OR('Tasks Filter'!$I$5="Both",AND('Tasks Filter'!$I$5="Yes",BB1803="✓"),AND('Tasks Filter'!$I$5="No",BB1803&lt;&gt;"✓")),OR('Tasks Filter'!$L$3="",AV1803='Tasks Filter'!$L$3),OR('Tasks Filter'!$L$4="",AZ1803='Tasks Filter'!$L$4),OR('Tasks Filter'!$L$5="",BC1803='Tasks Filter'!$L$5),OR('Tasks Filter'!$O$3="",BD1803='Tasks Filter'!$O$3),OR('Tasks Filter'!$O$4="Yes",BG1803=0)),1,0))</f>
        <v/>
      </c>
      <c r="BJ1803">
        <f>IF(BH1803=0,"",IF('Tasks Filter'!$F$6="Descending",-1,1)*CHOOSE(MATCH('Tasks Filter'!$F$5,Lists!$G$2:$G$6,0),AW1803,BF1803,IFERROR(MATCH(AV1803,Setup!$F$6:$F$15,0),99),IFERROR(MATCH(BC1803,Setup!$H$6:$H$15,0),99),IFERROR(MATCH(AZ1803,Setup!$J$6:$J$11,0),99))*1E+9+(AW1803-40000)*10000+1802)</f>
        <v/>
      </c>
      <c r="BK1803">
        <f>IF(BI1803=1,BJ1803,"")</f>
        <v/>
      </c>
      <c r="BL1803">
        <f>IF(AND(BH1803=1,BG1803=0,N(AW1803)&lt;Setup!$D$7),(AW1803-40000)*10000+1802,"")</f>
        <v/>
      </c>
      <c r="BM1803">
        <f>IF(AND(BH1803=1,AZ1803&lt;&gt;"Cancelled",N(AW1803)&gt;=Dashboard!$AB$3,N(AW1803)&lt;=Dashboard!$AB$3+6),(AW1803-40000)*100000+BF1803*10000+1802,"")</f>
        <v/>
      </c>
      <c r="BN1803">
        <f>IF(AND(BH1803=1,AZ1803&lt;&gt;"Cancelled"),BF1803*10000+1802,"")</f>
        <v/>
      </c>
    </row>
    <row r="1804">
      <c r="AS1804" t="inlineStr">
        <is>
          <t>V</t>
        </is>
      </c>
      <c r="AT1804" t="n">
        <v>308</v>
      </c>
      <c r="AU1804">
        <f>'Variable Tasks'!C308&amp;""</f>
        <v/>
      </c>
      <c r="AV1804">
        <f>'Variable Tasks'!D308&amp;""</f>
        <v/>
      </c>
      <c r="AW1804">
        <f>IF('Variable Tasks'!E308="","",'Variable Tasks'!E308)</f>
        <v/>
      </c>
      <c r="AX1804">
        <f>IF('Variable Tasks'!G308="","",'Variable Tasks'!G308)</f>
        <v/>
      </c>
      <c r="AY1804">
        <f>IF('Variable Tasks'!H308="","",'Variable Tasks'!H308)</f>
        <v/>
      </c>
      <c r="AZ1804">
        <f>IF(AU1804="","",IF('Variable Tasks'!J308="","Not Started",'Variable Tasks'!J308))</f>
        <v/>
      </c>
      <c r="BA1804">
        <f>'Variable Tasks'!L308&amp;""</f>
        <v/>
      </c>
      <c r="BB1804">
        <f>'Variable Tasks'!M308&amp;""</f>
        <v/>
      </c>
      <c r="BC1804">
        <f>'Variable Tasks'!N308&amp;""</f>
        <v/>
      </c>
      <c r="BD1804">
        <f>'Variable Tasks'!O308&amp;""</f>
        <v/>
      </c>
      <c r="BE1804">
        <f>IF('Variable Tasks'!K308="","",'Variable Tasks'!K308)</f>
        <v/>
      </c>
      <c r="BF1804">
        <f>IFERROR(MATCH(BA1804,Setup!$L$6:$L$9,0),5)</f>
        <v/>
      </c>
      <c r="BG1804">
        <f>IF(OR(AZ1804="Done",AZ1804="Cancelled"),1,0)</f>
        <v/>
      </c>
      <c r="BH1804">
        <f>IF(AND(AU1804&lt;&gt;"",ISNUMBER(AW1804)),1,0)</f>
        <v/>
      </c>
      <c r="BI1804">
        <f>IF(BH1804=0,0,IF(AND(AW1804&gt;='Tasks Filter'!$F$3,AW1804&lt;='Tasks Filter'!$F$4,OR('Tasks Filter'!$I$3="",ISNUMBER(SEARCH('Tasks Filter'!$I$3,AU1804))),OR('Tasks Filter'!$I$4="",BF1804=IFERROR(MATCH('Tasks Filter'!$I$4,Setup!$L$6:$L$9,0),0)),OR('Tasks Filter'!$I$5="Both",AND('Tasks Filter'!$I$5="Yes",BB1804="✓"),AND('Tasks Filter'!$I$5="No",BB1804&lt;&gt;"✓")),OR('Tasks Filter'!$L$3="",AV1804='Tasks Filter'!$L$3),OR('Tasks Filter'!$L$4="",AZ1804='Tasks Filter'!$L$4),OR('Tasks Filter'!$L$5="",BC1804='Tasks Filter'!$L$5),OR('Tasks Filter'!$O$3="",BD1804='Tasks Filter'!$O$3),OR('Tasks Filter'!$O$4="Yes",BG1804=0)),1,0))</f>
        <v/>
      </c>
      <c r="BJ1804">
        <f>IF(BH1804=0,"",IF('Tasks Filter'!$F$6="Descending",-1,1)*CHOOSE(MATCH('Tasks Filter'!$F$5,Lists!$G$2:$G$6,0),AW1804,BF1804,IFERROR(MATCH(AV1804,Setup!$F$6:$F$15,0),99),IFERROR(MATCH(BC1804,Setup!$H$6:$H$15,0),99),IFERROR(MATCH(AZ1804,Setup!$J$6:$J$11,0),99))*1E+9+(AW1804-40000)*10000+1803)</f>
        <v/>
      </c>
      <c r="BK1804">
        <f>IF(BI1804=1,BJ1804,"")</f>
        <v/>
      </c>
      <c r="BL1804">
        <f>IF(AND(BH1804=1,BG1804=0,N(AW1804)&lt;Setup!$D$7),(AW1804-40000)*10000+1803,"")</f>
        <v/>
      </c>
      <c r="BM1804">
        <f>IF(AND(BH1804=1,AZ1804&lt;&gt;"Cancelled",N(AW1804)&gt;=Dashboard!$AB$3,N(AW1804)&lt;=Dashboard!$AB$3+6),(AW1804-40000)*100000+BF1804*10000+1803,"")</f>
        <v/>
      </c>
      <c r="BN1804">
        <f>IF(AND(BH1804=1,AZ1804&lt;&gt;"Cancelled"),BF1804*10000+1803,"")</f>
        <v/>
      </c>
    </row>
    <row r="1805">
      <c r="AS1805" t="inlineStr">
        <is>
          <t>V</t>
        </is>
      </c>
      <c r="AT1805" t="n">
        <v>309</v>
      </c>
      <c r="AU1805">
        <f>'Variable Tasks'!C309&amp;""</f>
        <v/>
      </c>
      <c r="AV1805">
        <f>'Variable Tasks'!D309&amp;""</f>
        <v/>
      </c>
      <c r="AW1805">
        <f>IF('Variable Tasks'!E309="","",'Variable Tasks'!E309)</f>
        <v/>
      </c>
      <c r="AX1805">
        <f>IF('Variable Tasks'!G309="","",'Variable Tasks'!G309)</f>
        <v/>
      </c>
      <c r="AY1805">
        <f>IF('Variable Tasks'!H309="","",'Variable Tasks'!H309)</f>
        <v/>
      </c>
      <c r="AZ1805">
        <f>IF(AU1805="","",IF('Variable Tasks'!J309="","Not Started",'Variable Tasks'!J309))</f>
        <v/>
      </c>
      <c r="BA1805">
        <f>'Variable Tasks'!L309&amp;""</f>
        <v/>
      </c>
      <c r="BB1805">
        <f>'Variable Tasks'!M309&amp;""</f>
        <v/>
      </c>
      <c r="BC1805">
        <f>'Variable Tasks'!N309&amp;""</f>
        <v/>
      </c>
      <c r="BD1805">
        <f>'Variable Tasks'!O309&amp;""</f>
        <v/>
      </c>
      <c r="BE1805">
        <f>IF('Variable Tasks'!K309="","",'Variable Tasks'!K309)</f>
        <v/>
      </c>
      <c r="BF1805">
        <f>IFERROR(MATCH(BA1805,Setup!$L$6:$L$9,0),5)</f>
        <v/>
      </c>
      <c r="BG1805">
        <f>IF(OR(AZ1805="Done",AZ1805="Cancelled"),1,0)</f>
        <v/>
      </c>
      <c r="BH1805">
        <f>IF(AND(AU1805&lt;&gt;"",ISNUMBER(AW1805)),1,0)</f>
        <v/>
      </c>
      <c r="BI1805">
        <f>IF(BH1805=0,0,IF(AND(AW1805&gt;='Tasks Filter'!$F$3,AW1805&lt;='Tasks Filter'!$F$4,OR('Tasks Filter'!$I$3="",ISNUMBER(SEARCH('Tasks Filter'!$I$3,AU1805))),OR('Tasks Filter'!$I$4="",BF1805=IFERROR(MATCH('Tasks Filter'!$I$4,Setup!$L$6:$L$9,0),0)),OR('Tasks Filter'!$I$5="Both",AND('Tasks Filter'!$I$5="Yes",BB1805="✓"),AND('Tasks Filter'!$I$5="No",BB1805&lt;&gt;"✓")),OR('Tasks Filter'!$L$3="",AV1805='Tasks Filter'!$L$3),OR('Tasks Filter'!$L$4="",AZ1805='Tasks Filter'!$L$4),OR('Tasks Filter'!$L$5="",BC1805='Tasks Filter'!$L$5),OR('Tasks Filter'!$O$3="",BD1805='Tasks Filter'!$O$3),OR('Tasks Filter'!$O$4="Yes",BG1805=0)),1,0))</f>
        <v/>
      </c>
      <c r="BJ1805">
        <f>IF(BH1805=0,"",IF('Tasks Filter'!$F$6="Descending",-1,1)*CHOOSE(MATCH('Tasks Filter'!$F$5,Lists!$G$2:$G$6,0),AW1805,BF1805,IFERROR(MATCH(AV1805,Setup!$F$6:$F$15,0),99),IFERROR(MATCH(BC1805,Setup!$H$6:$H$15,0),99),IFERROR(MATCH(AZ1805,Setup!$J$6:$J$11,0),99))*1E+9+(AW1805-40000)*10000+1804)</f>
        <v/>
      </c>
      <c r="BK1805">
        <f>IF(BI1805=1,BJ1805,"")</f>
        <v/>
      </c>
      <c r="BL1805">
        <f>IF(AND(BH1805=1,BG1805=0,N(AW1805)&lt;Setup!$D$7),(AW1805-40000)*10000+1804,"")</f>
        <v/>
      </c>
      <c r="BM1805">
        <f>IF(AND(BH1805=1,AZ1805&lt;&gt;"Cancelled",N(AW1805)&gt;=Dashboard!$AB$3,N(AW1805)&lt;=Dashboard!$AB$3+6),(AW1805-40000)*100000+BF1805*10000+1804,"")</f>
        <v/>
      </c>
      <c r="BN1805">
        <f>IF(AND(BH1805=1,AZ1805&lt;&gt;"Cancelled"),BF1805*10000+1804,"")</f>
        <v/>
      </c>
    </row>
    <row r="1806">
      <c r="AS1806" t="inlineStr">
        <is>
          <t>V</t>
        </is>
      </c>
      <c r="AT1806" t="n">
        <v>310</v>
      </c>
      <c r="AU1806">
        <f>'Variable Tasks'!C310&amp;""</f>
        <v/>
      </c>
      <c r="AV1806">
        <f>'Variable Tasks'!D310&amp;""</f>
        <v/>
      </c>
      <c r="AW1806">
        <f>IF('Variable Tasks'!E310="","",'Variable Tasks'!E310)</f>
        <v/>
      </c>
      <c r="AX1806">
        <f>IF('Variable Tasks'!G310="","",'Variable Tasks'!G310)</f>
        <v/>
      </c>
      <c r="AY1806">
        <f>IF('Variable Tasks'!H310="","",'Variable Tasks'!H310)</f>
        <v/>
      </c>
      <c r="AZ1806">
        <f>IF(AU1806="","",IF('Variable Tasks'!J310="","Not Started",'Variable Tasks'!J310))</f>
        <v/>
      </c>
      <c r="BA1806">
        <f>'Variable Tasks'!L310&amp;""</f>
        <v/>
      </c>
      <c r="BB1806">
        <f>'Variable Tasks'!M310&amp;""</f>
        <v/>
      </c>
      <c r="BC1806">
        <f>'Variable Tasks'!N310&amp;""</f>
        <v/>
      </c>
      <c r="BD1806">
        <f>'Variable Tasks'!O310&amp;""</f>
        <v/>
      </c>
      <c r="BE1806">
        <f>IF('Variable Tasks'!K310="","",'Variable Tasks'!K310)</f>
        <v/>
      </c>
      <c r="BF1806">
        <f>IFERROR(MATCH(BA1806,Setup!$L$6:$L$9,0),5)</f>
        <v/>
      </c>
      <c r="BG1806">
        <f>IF(OR(AZ1806="Done",AZ1806="Cancelled"),1,0)</f>
        <v/>
      </c>
      <c r="BH1806">
        <f>IF(AND(AU1806&lt;&gt;"",ISNUMBER(AW1806)),1,0)</f>
        <v/>
      </c>
      <c r="BI1806">
        <f>IF(BH1806=0,0,IF(AND(AW1806&gt;='Tasks Filter'!$F$3,AW1806&lt;='Tasks Filter'!$F$4,OR('Tasks Filter'!$I$3="",ISNUMBER(SEARCH('Tasks Filter'!$I$3,AU1806))),OR('Tasks Filter'!$I$4="",BF1806=IFERROR(MATCH('Tasks Filter'!$I$4,Setup!$L$6:$L$9,0),0)),OR('Tasks Filter'!$I$5="Both",AND('Tasks Filter'!$I$5="Yes",BB1806="✓"),AND('Tasks Filter'!$I$5="No",BB1806&lt;&gt;"✓")),OR('Tasks Filter'!$L$3="",AV1806='Tasks Filter'!$L$3),OR('Tasks Filter'!$L$4="",AZ1806='Tasks Filter'!$L$4),OR('Tasks Filter'!$L$5="",BC1806='Tasks Filter'!$L$5),OR('Tasks Filter'!$O$3="",BD1806='Tasks Filter'!$O$3),OR('Tasks Filter'!$O$4="Yes",BG1806=0)),1,0))</f>
        <v/>
      </c>
      <c r="BJ1806">
        <f>IF(BH1806=0,"",IF('Tasks Filter'!$F$6="Descending",-1,1)*CHOOSE(MATCH('Tasks Filter'!$F$5,Lists!$G$2:$G$6,0),AW1806,BF1806,IFERROR(MATCH(AV1806,Setup!$F$6:$F$15,0),99),IFERROR(MATCH(BC1806,Setup!$H$6:$H$15,0),99),IFERROR(MATCH(AZ1806,Setup!$J$6:$J$11,0),99))*1E+9+(AW1806-40000)*10000+1805)</f>
        <v/>
      </c>
      <c r="BK1806">
        <f>IF(BI1806=1,BJ1806,"")</f>
        <v/>
      </c>
      <c r="BL1806">
        <f>IF(AND(BH1806=1,BG1806=0,N(AW1806)&lt;Setup!$D$7),(AW1806-40000)*10000+1805,"")</f>
        <v/>
      </c>
      <c r="BM1806">
        <f>IF(AND(BH1806=1,AZ1806&lt;&gt;"Cancelled",N(AW1806)&gt;=Dashboard!$AB$3,N(AW1806)&lt;=Dashboard!$AB$3+6),(AW1806-40000)*100000+BF1806*10000+1805,"")</f>
        <v/>
      </c>
      <c r="BN1806">
        <f>IF(AND(BH1806=1,AZ1806&lt;&gt;"Cancelled"),BF1806*10000+1805,"")</f>
        <v/>
      </c>
    </row>
    <row r="1807">
      <c r="AS1807" t="inlineStr">
        <is>
          <t>V</t>
        </is>
      </c>
      <c r="AT1807" t="n">
        <v>311</v>
      </c>
      <c r="AU1807">
        <f>'Variable Tasks'!C311&amp;""</f>
        <v/>
      </c>
      <c r="AV1807">
        <f>'Variable Tasks'!D311&amp;""</f>
        <v/>
      </c>
      <c r="AW1807">
        <f>IF('Variable Tasks'!E311="","",'Variable Tasks'!E311)</f>
        <v/>
      </c>
      <c r="AX1807">
        <f>IF('Variable Tasks'!G311="","",'Variable Tasks'!G311)</f>
        <v/>
      </c>
      <c r="AY1807">
        <f>IF('Variable Tasks'!H311="","",'Variable Tasks'!H311)</f>
        <v/>
      </c>
      <c r="AZ1807">
        <f>IF(AU1807="","",IF('Variable Tasks'!J311="","Not Started",'Variable Tasks'!J311))</f>
        <v/>
      </c>
      <c r="BA1807">
        <f>'Variable Tasks'!L311&amp;""</f>
        <v/>
      </c>
      <c r="BB1807">
        <f>'Variable Tasks'!M311&amp;""</f>
        <v/>
      </c>
      <c r="BC1807">
        <f>'Variable Tasks'!N311&amp;""</f>
        <v/>
      </c>
      <c r="BD1807">
        <f>'Variable Tasks'!O311&amp;""</f>
        <v/>
      </c>
      <c r="BE1807">
        <f>IF('Variable Tasks'!K311="","",'Variable Tasks'!K311)</f>
        <v/>
      </c>
      <c r="BF1807">
        <f>IFERROR(MATCH(BA1807,Setup!$L$6:$L$9,0),5)</f>
        <v/>
      </c>
      <c r="BG1807">
        <f>IF(OR(AZ1807="Done",AZ1807="Cancelled"),1,0)</f>
        <v/>
      </c>
      <c r="BH1807">
        <f>IF(AND(AU1807&lt;&gt;"",ISNUMBER(AW1807)),1,0)</f>
        <v/>
      </c>
      <c r="BI1807">
        <f>IF(BH1807=0,0,IF(AND(AW1807&gt;='Tasks Filter'!$F$3,AW1807&lt;='Tasks Filter'!$F$4,OR('Tasks Filter'!$I$3="",ISNUMBER(SEARCH('Tasks Filter'!$I$3,AU1807))),OR('Tasks Filter'!$I$4="",BF1807=IFERROR(MATCH('Tasks Filter'!$I$4,Setup!$L$6:$L$9,0),0)),OR('Tasks Filter'!$I$5="Both",AND('Tasks Filter'!$I$5="Yes",BB1807="✓"),AND('Tasks Filter'!$I$5="No",BB1807&lt;&gt;"✓")),OR('Tasks Filter'!$L$3="",AV1807='Tasks Filter'!$L$3),OR('Tasks Filter'!$L$4="",AZ1807='Tasks Filter'!$L$4),OR('Tasks Filter'!$L$5="",BC1807='Tasks Filter'!$L$5),OR('Tasks Filter'!$O$3="",BD1807='Tasks Filter'!$O$3),OR('Tasks Filter'!$O$4="Yes",BG1807=0)),1,0))</f>
        <v/>
      </c>
      <c r="BJ1807">
        <f>IF(BH1807=0,"",IF('Tasks Filter'!$F$6="Descending",-1,1)*CHOOSE(MATCH('Tasks Filter'!$F$5,Lists!$G$2:$G$6,0),AW1807,BF1807,IFERROR(MATCH(AV1807,Setup!$F$6:$F$15,0),99),IFERROR(MATCH(BC1807,Setup!$H$6:$H$15,0),99),IFERROR(MATCH(AZ1807,Setup!$J$6:$J$11,0),99))*1E+9+(AW1807-40000)*10000+1806)</f>
        <v/>
      </c>
      <c r="BK1807">
        <f>IF(BI1807=1,BJ1807,"")</f>
        <v/>
      </c>
      <c r="BL1807">
        <f>IF(AND(BH1807=1,BG1807=0,N(AW1807)&lt;Setup!$D$7),(AW1807-40000)*10000+1806,"")</f>
        <v/>
      </c>
      <c r="BM1807">
        <f>IF(AND(BH1807=1,AZ1807&lt;&gt;"Cancelled",N(AW1807)&gt;=Dashboard!$AB$3,N(AW1807)&lt;=Dashboard!$AB$3+6),(AW1807-40000)*100000+BF1807*10000+1806,"")</f>
        <v/>
      </c>
      <c r="BN1807">
        <f>IF(AND(BH1807=1,AZ1807&lt;&gt;"Cancelled"),BF1807*10000+1806,"")</f>
        <v/>
      </c>
    </row>
    <row r="1808">
      <c r="AS1808" t="inlineStr">
        <is>
          <t>V</t>
        </is>
      </c>
      <c r="AT1808" t="n">
        <v>312</v>
      </c>
      <c r="AU1808">
        <f>'Variable Tasks'!C312&amp;""</f>
        <v/>
      </c>
      <c r="AV1808">
        <f>'Variable Tasks'!D312&amp;""</f>
        <v/>
      </c>
      <c r="AW1808">
        <f>IF('Variable Tasks'!E312="","",'Variable Tasks'!E312)</f>
        <v/>
      </c>
      <c r="AX1808">
        <f>IF('Variable Tasks'!G312="","",'Variable Tasks'!G312)</f>
        <v/>
      </c>
      <c r="AY1808">
        <f>IF('Variable Tasks'!H312="","",'Variable Tasks'!H312)</f>
        <v/>
      </c>
      <c r="AZ1808">
        <f>IF(AU1808="","",IF('Variable Tasks'!J312="","Not Started",'Variable Tasks'!J312))</f>
        <v/>
      </c>
      <c r="BA1808">
        <f>'Variable Tasks'!L312&amp;""</f>
        <v/>
      </c>
      <c r="BB1808">
        <f>'Variable Tasks'!M312&amp;""</f>
        <v/>
      </c>
      <c r="BC1808">
        <f>'Variable Tasks'!N312&amp;""</f>
        <v/>
      </c>
      <c r="BD1808">
        <f>'Variable Tasks'!O312&amp;""</f>
        <v/>
      </c>
      <c r="BE1808">
        <f>IF('Variable Tasks'!K312="","",'Variable Tasks'!K312)</f>
        <v/>
      </c>
      <c r="BF1808">
        <f>IFERROR(MATCH(BA1808,Setup!$L$6:$L$9,0),5)</f>
        <v/>
      </c>
      <c r="BG1808">
        <f>IF(OR(AZ1808="Done",AZ1808="Cancelled"),1,0)</f>
        <v/>
      </c>
      <c r="BH1808">
        <f>IF(AND(AU1808&lt;&gt;"",ISNUMBER(AW1808)),1,0)</f>
        <v/>
      </c>
      <c r="BI1808">
        <f>IF(BH1808=0,0,IF(AND(AW1808&gt;='Tasks Filter'!$F$3,AW1808&lt;='Tasks Filter'!$F$4,OR('Tasks Filter'!$I$3="",ISNUMBER(SEARCH('Tasks Filter'!$I$3,AU1808))),OR('Tasks Filter'!$I$4="",BF1808=IFERROR(MATCH('Tasks Filter'!$I$4,Setup!$L$6:$L$9,0),0)),OR('Tasks Filter'!$I$5="Both",AND('Tasks Filter'!$I$5="Yes",BB1808="✓"),AND('Tasks Filter'!$I$5="No",BB1808&lt;&gt;"✓")),OR('Tasks Filter'!$L$3="",AV1808='Tasks Filter'!$L$3),OR('Tasks Filter'!$L$4="",AZ1808='Tasks Filter'!$L$4),OR('Tasks Filter'!$L$5="",BC1808='Tasks Filter'!$L$5),OR('Tasks Filter'!$O$3="",BD1808='Tasks Filter'!$O$3),OR('Tasks Filter'!$O$4="Yes",BG1808=0)),1,0))</f>
        <v/>
      </c>
      <c r="BJ1808">
        <f>IF(BH1808=0,"",IF('Tasks Filter'!$F$6="Descending",-1,1)*CHOOSE(MATCH('Tasks Filter'!$F$5,Lists!$G$2:$G$6,0),AW1808,BF1808,IFERROR(MATCH(AV1808,Setup!$F$6:$F$15,0),99),IFERROR(MATCH(BC1808,Setup!$H$6:$H$15,0),99),IFERROR(MATCH(AZ1808,Setup!$J$6:$J$11,0),99))*1E+9+(AW1808-40000)*10000+1807)</f>
        <v/>
      </c>
      <c r="BK1808">
        <f>IF(BI1808=1,BJ1808,"")</f>
        <v/>
      </c>
      <c r="BL1808">
        <f>IF(AND(BH1808=1,BG1808=0,N(AW1808)&lt;Setup!$D$7),(AW1808-40000)*10000+1807,"")</f>
        <v/>
      </c>
      <c r="BM1808">
        <f>IF(AND(BH1808=1,AZ1808&lt;&gt;"Cancelled",N(AW1808)&gt;=Dashboard!$AB$3,N(AW1808)&lt;=Dashboard!$AB$3+6),(AW1808-40000)*100000+BF1808*10000+1807,"")</f>
        <v/>
      </c>
      <c r="BN1808">
        <f>IF(AND(BH1808=1,AZ1808&lt;&gt;"Cancelled"),BF1808*10000+1807,"")</f>
        <v/>
      </c>
    </row>
    <row r="1809">
      <c r="AS1809" t="inlineStr">
        <is>
          <t>V</t>
        </is>
      </c>
      <c r="AT1809" t="n">
        <v>313</v>
      </c>
      <c r="AU1809">
        <f>'Variable Tasks'!C313&amp;""</f>
        <v/>
      </c>
      <c r="AV1809">
        <f>'Variable Tasks'!D313&amp;""</f>
        <v/>
      </c>
      <c r="AW1809">
        <f>IF('Variable Tasks'!E313="","",'Variable Tasks'!E313)</f>
        <v/>
      </c>
      <c r="AX1809">
        <f>IF('Variable Tasks'!G313="","",'Variable Tasks'!G313)</f>
        <v/>
      </c>
      <c r="AY1809">
        <f>IF('Variable Tasks'!H313="","",'Variable Tasks'!H313)</f>
        <v/>
      </c>
      <c r="AZ1809">
        <f>IF(AU1809="","",IF('Variable Tasks'!J313="","Not Started",'Variable Tasks'!J313))</f>
        <v/>
      </c>
      <c r="BA1809">
        <f>'Variable Tasks'!L313&amp;""</f>
        <v/>
      </c>
      <c r="BB1809">
        <f>'Variable Tasks'!M313&amp;""</f>
        <v/>
      </c>
      <c r="BC1809">
        <f>'Variable Tasks'!N313&amp;""</f>
        <v/>
      </c>
      <c r="BD1809">
        <f>'Variable Tasks'!O313&amp;""</f>
        <v/>
      </c>
      <c r="BE1809">
        <f>IF('Variable Tasks'!K313="","",'Variable Tasks'!K313)</f>
        <v/>
      </c>
      <c r="BF1809">
        <f>IFERROR(MATCH(BA1809,Setup!$L$6:$L$9,0),5)</f>
        <v/>
      </c>
      <c r="BG1809">
        <f>IF(OR(AZ1809="Done",AZ1809="Cancelled"),1,0)</f>
        <v/>
      </c>
      <c r="BH1809">
        <f>IF(AND(AU1809&lt;&gt;"",ISNUMBER(AW1809)),1,0)</f>
        <v/>
      </c>
      <c r="BI1809">
        <f>IF(BH1809=0,0,IF(AND(AW1809&gt;='Tasks Filter'!$F$3,AW1809&lt;='Tasks Filter'!$F$4,OR('Tasks Filter'!$I$3="",ISNUMBER(SEARCH('Tasks Filter'!$I$3,AU1809))),OR('Tasks Filter'!$I$4="",BF1809=IFERROR(MATCH('Tasks Filter'!$I$4,Setup!$L$6:$L$9,0),0)),OR('Tasks Filter'!$I$5="Both",AND('Tasks Filter'!$I$5="Yes",BB1809="✓"),AND('Tasks Filter'!$I$5="No",BB1809&lt;&gt;"✓")),OR('Tasks Filter'!$L$3="",AV1809='Tasks Filter'!$L$3),OR('Tasks Filter'!$L$4="",AZ1809='Tasks Filter'!$L$4),OR('Tasks Filter'!$L$5="",BC1809='Tasks Filter'!$L$5),OR('Tasks Filter'!$O$3="",BD1809='Tasks Filter'!$O$3),OR('Tasks Filter'!$O$4="Yes",BG1809=0)),1,0))</f>
        <v/>
      </c>
      <c r="BJ1809">
        <f>IF(BH1809=0,"",IF('Tasks Filter'!$F$6="Descending",-1,1)*CHOOSE(MATCH('Tasks Filter'!$F$5,Lists!$G$2:$G$6,0),AW1809,BF1809,IFERROR(MATCH(AV1809,Setup!$F$6:$F$15,0),99),IFERROR(MATCH(BC1809,Setup!$H$6:$H$15,0),99),IFERROR(MATCH(AZ1809,Setup!$J$6:$J$11,0),99))*1E+9+(AW1809-40000)*10000+1808)</f>
        <v/>
      </c>
      <c r="BK1809">
        <f>IF(BI1809=1,BJ1809,"")</f>
        <v/>
      </c>
      <c r="BL1809">
        <f>IF(AND(BH1809=1,BG1809=0,N(AW1809)&lt;Setup!$D$7),(AW1809-40000)*10000+1808,"")</f>
        <v/>
      </c>
      <c r="BM1809">
        <f>IF(AND(BH1809=1,AZ1809&lt;&gt;"Cancelled",N(AW1809)&gt;=Dashboard!$AB$3,N(AW1809)&lt;=Dashboard!$AB$3+6),(AW1809-40000)*100000+BF1809*10000+1808,"")</f>
        <v/>
      </c>
      <c r="BN1809">
        <f>IF(AND(BH1809=1,AZ1809&lt;&gt;"Cancelled"),BF1809*10000+1808,"")</f>
        <v/>
      </c>
    </row>
    <row r="1810">
      <c r="AS1810" t="inlineStr">
        <is>
          <t>V</t>
        </is>
      </c>
      <c r="AT1810" t="n">
        <v>314</v>
      </c>
      <c r="AU1810">
        <f>'Variable Tasks'!C314&amp;""</f>
        <v/>
      </c>
      <c r="AV1810">
        <f>'Variable Tasks'!D314&amp;""</f>
        <v/>
      </c>
      <c r="AW1810">
        <f>IF('Variable Tasks'!E314="","",'Variable Tasks'!E314)</f>
        <v/>
      </c>
      <c r="AX1810">
        <f>IF('Variable Tasks'!G314="","",'Variable Tasks'!G314)</f>
        <v/>
      </c>
      <c r="AY1810">
        <f>IF('Variable Tasks'!H314="","",'Variable Tasks'!H314)</f>
        <v/>
      </c>
      <c r="AZ1810">
        <f>IF(AU1810="","",IF('Variable Tasks'!J314="","Not Started",'Variable Tasks'!J314))</f>
        <v/>
      </c>
      <c r="BA1810">
        <f>'Variable Tasks'!L314&amp;""</f>
        <v/>
      </c>
      <c r="BB1810">
        <f>'Variable Tasks'!M314&amp;""</f>
        <v/>
      </c>
      <c r="BC1810">
        <f>'Variable Tasks'!N314&amp;""</f>
        <v/>
      </c>
      <c r="BD1810">
        <f>'Variable Tasks'!O314&amp;""</f>
        <v/>
      </c>
      <c r="BE1810">
        <f>IF('Variable Tasks'!K314="","",'Variable Tasks'!K314)</f>
        <v/>
      </c>
      <c r="BF1810">
        <f>IFERROR(MATCH(BA1810,Setup!$L$6:$L$9,0),5)</f>
        <v/>
      </c>
      <c r="BG1810">
        <f>IF(OR(AZ1810="Done",AZ1810="Cancelled"),1,0)</f>
        <v/>
      </c>
      <c r="BH1810">
        <f>IF(AND(AU1810&lt;&gt;"",ISNUMBER(AW1810)),1,0)</f>
        <v/>
      </c>
      <c r="BI1810">
        <f>IF(BH1810=0,0,IF(AND(AW1810&gt;='Tasks Filter'!$F$3,AW1810&lt;='Tasks Filter'!$F$4,OR('Tasks Filter'!$I$3="",ISNUMBER(SEARCH('Tasks Filter'!$I$3,AU1810))),OR('Tasks Filter'!$I$4="",BF1810=IFERROR(MATCH('Tasks Filter'!$I$4,Setup!$L$6:$L$9,0),0)),OR('Tasks Filter'!$I$5="Both",AND('Tasks Filter'!$I$5="Yes",BB1810="✓"),AND('Tasks Filter'!$I$5="No",BB1810&lt;&gt;"✓")),OR('Tasks Filter'!$L$3="",AV1810='Tasks Filter'!$L$3),OR('Tasks Filter'!$L$4="",AZ1810='Tasks Filter'!$L$4),OR('Tasks Filter'!$L$5="",BC1810='Tasks Filter'!$L$5),OR('Tasks Filter'!$O$3="",BD1810='Tasks Filter'!$O$3),OR('Tasks Filter'!$O$4="Yes",BG1810=0)),1,0))</f>
        <v/>
      </c>
      <c r="BJ1810">
        <f>IF(BH1810=0,"",IF('Tasks Filter'!$F$6="Descending",-1,1)*CHOOSE(MATCH('Tasks Filter'!$F$5,Lists!$G$2:$G$6,0),AW1810,BF1810,IFERROR(MATCH(AV1810,Setup!$F$6:$F$15,0),99),IFERROR(MATCH(BC1810,Setup!$H$6:$H$15,0),99),IFERROR(MATCH(AZ1810,Setup!$J$6:$J$11,0),99))*1E+9+(AW1810-40000)*10000+1809)</f>
        <v/>
      </c>
      <c r="BK1810">
        <f>IF(BI1810=1,BJ1810,"")</f>
        <v/>
      </c>
      <c r="BL1810">
        <f>IF(AND(BH1810=1,BG1810=0,N(AW1810)&lt;Setup!$D$7),(AW1810-40000)*10000+1809,"")</f>
        <v/>
      </c>
      <c r="BM1810">
        <f>IF(AND(BH1810=1,AZ1810&lt;&gt;"Cancelled",N(AW1810)&gt;=Dashboard!$AB$3,N(AW1810)&lt;=Dashboard!$AB$3+6),(AW1810-40000)*100000+BF1810*10000+1809,"")</f>
        <v/>
      </c>
      <c r="BN1810">
        <f>IF(AND(BH1810=1,AZ1810&lt;&gt;"Cancelled"),BF1810*10000+1809,"")</f>
        <v/>
      </c>
    </row>
    <row r="1811">
      <c r="AS1811" t="inlineStr">
        <is>
          <t>V</t>
        </is>
      </c>
      <c r="AT1811" t="n">
        <v>315</v>
      </c>
      <c r="AU1811">
        <f>'Variable Tasks'!C315&amp;""</f>
        <v/>
      </c>
      <c r="AV1811">
        <f>'Variable Tasks'!D315&amp;""</f>
        <v/>
      </c>
      <c r="AW1811">
        <f>IF('Variable Tasks'!E315="","",'Variable Tasks'!E315)</f>
        <v/>
      </c>
      <c r="AX1811">
        <f>IF('Variable Tasks'!G315="","",'Variable Tasks'!G315)</f>
        <v/>
      </c>
      <c r="AY1811">
        <f>IF('Variable Tasks'!H315="","",'Variable Tasks'!H315)</f>
        <v/>
      </c>
      <c r="AZ1811">
        <f>IF(AU1811="","",IF('Variable Tasks'!J315="","Not Started",'Variable Tasks'!J315))</f>
        <v/>
      </c>
      <c r="BA1811">
        <f>'Variable Tasks'!L315&amp;""</f>
        <v/>
      </c>
      <c r="BB1811">
        <f>'Variable Tasks'!M315&amp;""</f>
        <v/>
      </c>
      <c r="BC1811">
        <f>'Variable Tasks'!N315&amp;""</f>
        <v/>
      </c>
      <c r="BD1811">
        <f>'Variable Tasks'!O315&amp;""</f>
        <v/>
      </c>
      <c r="BE1811">
        <f>IF('Variable Tasks'!K315="","",'Variable Tasks'!K315)</f>
        <v/>
      </c>
      <c r="BF1811">
        <f>IFERROR(MATCH(BA1811,Setup!$L$6:$L$9,0),5)</f>
        <v/>
      </c>
      <c r="BG1811">
        <f>IF(OR(AZ1811="Done",AZ1811="Cancelled"),1,0)</f>
        <v/>
      </c>
      <c r="BH1811">
        <f>IF(AND(AU1811&lt;&gt;"",ISNUMBER(AW1811)),1,0)</f>
        <v/>
      </c>
      <c r="BI1811">
        <f>IF(BH1811=0,0,IF(AND(AW1811&gt;='Tasks Filter'!$F$3,AW1811&lt;='Tasks Filter'!$F$4,OR('Tasks Filter'!$I$3="",ISNUMBER(SEARCH('Tasks Filter'!$I$3,AU1811))),OR('Tasks Filter'!$I$4="",BF1811=IFERROR(MATCH('Tasks Filter'!$I$4,Setup!$L$6:$L$9,0),0)),OR('Tasks Filter'!$I$5="Both",AND('Tasks Filter'!$I$5="Yes",BB1811="✓"),AND('Tasks Filter'!$I$5="No",BB1811&lt;&gt;"✓")),OR('Tasks Filter'!$L$3="",AV1811='Tasks Filter'!$L$3),OR('Tasks Filter'!$L$4="",AZ1811='Tasks Filter'!$L$4),OR('Tasks Filter'!$L$5="",BC1811='Tasks Filter'!$L$5),OR('Tasks Filter'!$O$3="",BD1811='Tasks Filter'!$O$3),OR('Tasks Filter'!$O$4="Yes",BG1811=0)),1,0))</f>
        <v/>
      </c>
      <c r="BJ1811">
        <f>IF(BH1811=0,"",IF('Tasks Filter'!$F$6="Descending",-1,1)*CHOOSE(MATCH('Tasks Filter'!$F$5,Lists!$G$2:$G$6,0),AW1811,BF1811,IFERROR(MATCH(AV1811,Setup!$F$6:$F$15,0),99),IFERROR(MATCH(BC1811,Setup!$H$6:$H$15,0),99),IFERROR(MATCH(AZ1811,Setup!$J$6:$J$11,0),99))*1E+9+(AW1811-40000)*10000+1810)</f>
        <v/>
      </c>
      <c r="BK1811">
        <f>IF(BI1811=1,BJ1811,"")</f>
        <v/>
      </c>
      <c r="BL1811">
        <f>IF(AND(BH1811=1,BG1811=0,N(AW1811)&lt;Setup!$D$7),(AW1811-40000)*10000+1810,"")</f>
        <v/>
      </c>
      <c r="BM1811">
        <f>IF(AND(BH1811=1,AZ1811&lt;&gt;"Cancelled",N(AW1811)&gt;=Dashboard!$AB$3,N(AW1811)&lt;=Dashboard!$AB$3+6),(AW1811-40000)*100000+BF1811*10000+1810,"")</f>
        <v/>
      </c>
      <c r="BN1811">
        <f>IF(AND(BH1811=1,AZ1811&lt;&gt;"Cancelled"),BF1811*10000+1810,"")</f>
        <v/>
      </c>
    </row>
    <row r="1812">
      <c r="AS1812" t="inlineStr">
        <is>
          <t>V</t>
        </is>
      </c>
      <c r="AT1812" t="n">
        <v>316</v>
      </c>
      <c r="AU1812">
        <f>'Variable Tasks'!C316&amp;""</f>
        <v/>
      </c>
      <c r="AV1812">
        <f>'Variable Tasks'!D316&amp;""</f>
        <v/>
      </c>
      <c r="AW1812">
        <f>IF('Variable Tasks'!E316="","",'Variable Tasks'!E316)</f>
        <v/>
      </c>
      <c r="AX1812">
        <f>IF('Variable Tasks'!G316="","",'Variable Tasks'!G316)</f>
        <v/>
      </c>
      <c r="AY1812">
        <f>IF('Variable Tasks'!H316="","",'Variable Tasks'!H316)</f>
        <v/>
      </c>
      <c r="AZ1812">
        <f>IF(AU1812="","",IF('Variable Tasks'!J316="","Not Started",'Variable Tasks'!J316))</f>
        <v/>
      </c>
      <c r="BA1812">
        <f>'Variable Tasks'!L316&amp;""</f>
        <v/>
      </c>
      <c r="BB1812">
        <f>'Variable Tasks'!M316&amp;""</f>
        <v/>
      </c>
      <c r="BC1812">
        <f>'Variable Tasks'!N316&amp;""</f>
        <v/>
      </c>
      <c r="BD1812">
        <f>'Variable Tasks'!O316&amp;""</f>
        <v/>
      </c>
      <c r="BE1812">
        <f>IF('Variable Tasks'!K316="","",'Variable Tasks'!K316)</f>
        <v/>
      </c>
      <c r="BF1812">
        <f>IFERROR(MATCH(BA1812,Setup!$L$6:$L$9,0),5)</f>
        <v/>
      </c>
      <c r="BG1812">
        <f>IF(OR(AZ1812="Done",AZ1812="Cancelled"),1,0)</f>
        <v/>
      </c>
      <c r="BH1812">
        <f>IF(AND(AU1812&lt;&gt;"",ISNUMBER(AW1812)),1,0)</f>
        <v/>
      </c>
      <c r="BI1812">
        <f>IF(BH1812=0,0,IF(AND(AW1812&gt;='Tasks Filter'!$F$3,AW1812&lt;='Tasks Filter'!$F$4,OR('Tasks Filter'!$I$3="",ISNUMBER(SEARCH('Tasks Filter'!$I$3,AU1812))),OR('Tasks Filter'!$I$4="",BF1812=IFERROR(MATCH('Tasks Filter'!$I$4,Setup!$L$6:$L$9,0),0)),OR('Tasks Filter'!$I$5="Both",AND('Tasks Filter'!$I$5="Yes",BB1812="✓"),AND('Tasks Filter'!$I$5="No",BB1812&lt;&gt;"✓")),OR('Tasks Filter'!$L$3="",AV1812='Tasks Filter'!$L$3),OR('Tasks Filter'!$L$4="",AZ1812='Tasks Filter'!$L$4),OR('Tasks Filter'!$L$5="",BC1812='Tasks Filter'!$L$5),OR('Tasks Filter'!$O$3="",BD1812='Tasks Filter'!$O$3),OR('Tasks Filter'!$O$4="Yes",BG1812=0)),1,0))</f>
        <v/>
      </c>
      <c r="BJ1812">
        <f>IF(BH1812=0,"",IF('Tasks Filter'!$F$6="Descending",-1,1)*CHOOSE(MATCH('Tasks Filter'!$F$5,Lists!$G$2:$G$6,0),AW1812,BF1812,IFERROR(MATCH(AV1812,Setup!$F$6:$F$15,0),99),IFERROR(MATCH(BC1812,Setup!$H$6:$H$15,0),99),IFERROR(MATCH(AZ1812,Setup!$J$6:$J$11,0),99))*1E+9+(AW1812-40000)*10000+1811)</f>
        <v/>
      </c>
      <c r="BK1812">
        <f>IF(BI1812=1,BJ1812,"")</f>
        <v/>
      </c>
      <c r="BL1812">
        <f>IF(AND(BH1812=1,BG1812=0,N(AW1812)&lt;Setup!$D$7),(AW1812-40000)*10000+1811,"")</f>
        <v/>
      </c>
      <c r="BM1812">
        <f>IF(AND(BH1812=1,AZ1812&lt;&gt;"Cancelled",N(AW1812)&gt;=Dashboard!$AB$3,N(AW1812)&lt;=Dashboard!$AB$3+6),(AW1812-40000)*100000+BF1812*10000+1811,"")</f>
        <v/>
      </c>
      <c r="BN1812">
        <f>IF(AND(BH1812=1,AZ1812&lt;&gt;"Cancelled"),BF1812*10000+1811,"")</f>
        <v/>
      </c>
    </row>
    <row r="1813">
      <c r="AS1813" t="inlineStr">
        <is>
          <t>V</t>
        </is>
      </c>
      <c r="AT1813" t="n">
        <v>317</v>
      </c>
      <c r="AU1813">
        <f>'Variable Tasks'!C317&amp;""</f>
        <v/>
      </c>
      <c r="AV1813">
        <f>'Variable Tasks'!D317&amp;""</f>
        <v/>
      </c>
      <c r="AW1813">
        <f>IF('Variable Tasks'!E317="","",'Variable Tasks'!E317)</f>
        <v/>
      </c>
      <c r="AX1813">
        <f>IF('Variable Tasks'!G317="","",'Variable Tasks'!G317)</f>
        <v/>
      </c>
      <c r="AY1813">
        <f>IF('Variable Tasks'!H317="","",'Variable Tasks'!H317)</f>
        <v/>
      </c>
      <c r="AZ1813">
        <f>IF(AU1813="","",IF('Variable Tasks'!J317="","Not Started",'Variable Tasks'!J317))</f>
        <v/>
      </c>
      <c r="BA1813">
        <f>'Variable Tasks'!L317&amp;""</f>
        <v/>
      </c>
      <c r="BB1813">
        <f>'Variable Tasks'!M317&amp;""</f>
        <v/>
      </c>
      <c r="BC1813">
        <f>'Variable Tasks'!N317&amp;""</f>
        <v/>
      </c>
      <c r="BD1813">
        <f>'Variable Tasks'!O317&amp;""</f>
        <v/>
      </c>
      <c r="BE1813">
        <f>IF('Variable Tasks'!K317="","",'Variable Tasks'!K317)</f>
        <v/>
      </c>
      <c r="BF1813">
        <f>IFERROR(MATCH(BA1813,Setup!$L$6:$L$9,0),5)</f>
        <v/>
      </c>
      <c r="BG1813">
        <f>IF(OR(AZ1813="Done",AZ1813="Cancelled"),1,0)</f>
        <v/>
      </c>
      <c r="BH1813">
        <f>IF(AND(AU1813&lt;&gt;"",ISNUMBER(AW1813)),1,0)</f>
        <v/>
      </c>
      <c r="BI1813">
        <f>IF(BH1813=0,0,IF(AND(AW1813&gt;='Tasks Filter'!$F$3,AW1813&lt;='Tasks Filter'!$F$4,OR('Tasks Filter'!$I$3="",ISNUMBER(SEARCH('Tasks Filter'!$I$3,AU1813))),OR('Tasks Filter'!$I$4="",BF1813=IFERROR(MATCH('Tasks Filter'!$I$4,Setup!$L$6:$L$9,0),0)),OR('Tasks Filter'!$I$5="Both",AND('Tasks Filter'!$I$5="Yes",BB1813="✓"),AND('Tasks Filter'!$I$5="No",BB1813&lt;&gt;"✓")),OR('Tasks Filter'!$L$3="",AV1813='Tasks Filter'!$L$3),OR('Tasks Filter'!$L$4="",AZ1813='Tasks Filter'!$L$4),OR('Tasks Filter'!$L$5="",BC1813='Tasks Filter'!$L$5),OR('Tasks Filter'!$O$3="",BD1813='Tasks Filter'!$O$3),OR('Tasks Filter'!$O$4="Yes",BG1813=0)),1,0))</f>
        <v/>
      </c>
      <c r="BJ1813">
        <f>IF(BH1813=0,"",IF('Tasks Filter'!$F$6="Descending",-1,1)*CHOOSE(MATCH('Tasks Filter'!$F$5,Lists!$G$2:$G$6,0),AW1813,BF1813,IFERROR(MATCH(AV1813,Setup!$F$6:$F$15,0),99),IFERROR(MATCH(BC1813,Setup!$H$6:$H$15,0),99),IFERROR(MATCH(AZ1813,Setup!$J$6:$J$11,0),99))*1E+9+(AW1813-40000)*10000+1812)</f>
        <v/>
      </c>
      <c r="BK1813">
        <f>IF(BI1813=1,BJ1813,"")</f>
        <v/>
      </c>
      <c r="BL1813">
        <f>IF(AND(BH1813=1,BG1813=0,N(AW1813)&lt;Setup!$D$7),(AW1813-40000)*10000+1812,"")</f>
        <v/>
      </c>
      <c r="BM1813">
        <f>IF(AND(BH1813=1,AZ1813&lt;&gt;"Cancelled",N(AW1813)&gt;=Dashboard!$AB$3,N(AW1813)&lt;=Dashboard!$AB$3+6),(AW1813-40000)*100000+BF1813*10000+1812,"")</f>
        <v/>
      </c>
      <c r="BN1813">
        <f>IF(AND(BH1813=1,AZ1813&lt;&gt;"Cancelled"),BF1813*10000+1812,"")</f>
        <v/>
      </c>
    </row>
    <row r="1814">
      <c r="AS1814" t="inlineStr">
        <is>
          <t>V</t>
        </is>
      </c>
      <c r="AT1814" t="n">
        <v>318</v>
      </c>
      <c r="AU1814">
        <f>'Variable Tasks'!C318&amp;""</f>
        <v/>
      </c>
      <c r="AV1814">
        <f>'Variable Tasks'!D318&amp;""</f>
        <v/>
      </c>
      <c r="AW1814">
        <f>IF('Variable Tasks'!E318="","",'Variable Tasks'!E318)</f>
        <v/>
      </c>
      <c r="AX1814">
        <f>IF('Variable Tasks'!G318="","",'Variable Tasks'!G318)</f>
        <v/>
      </c>
      <c r="AY1814">
        <f>IF('Variable Tasks'!H318="","",'Variable Tasks'!H318)</f>
        <v/>
      </c>
      <c r="AZ1814">
        <f>IF(AU1814="","",IF('Variable Tasks'!J318="","Not Started",'Variable Tasks'!J318))</f>
        <v/>
      </c>
      <c r="BA1814">
        <f>'Variable Tasks'!L318&amp;""</f>
        <v/>
      </c>
      <c r="BB1814">
        <f>'Variable Tasks'!M318&amp;""</f>
        <v/>
      </c>
      <c r="BC1814">
        <f>'Variable Tasks'!N318&amp;""</f>
        <v/>
      </c>
      <c r="BD1814">
        <f>'Variable Tasks'!O318&amp;""</f>
        <v/>
      </c>
      <c r="BE1814">
        <f>IF('Variable Tasks'!K318="","",'Variable Tasks'!K318)</f>
        <v/>
      </c>
      <c r="BF1814">
        <f>IFERROR(MATCH(BA1814,Setup!$L$6:$L$9,0),5)</f>
        <v/>
      </c>
      <c r="BG1814">
        <f>IF(OR(AZ1814="Done",AZ1814="Cancelled"),1,0)</f>
        <v/>
      </c>
      <c r="BH1814">
        <f>IF(AND(AU1814&lt;&gt;"",ISNUMBER(AW1814)),1,0)</f>
        <v/>
      </c>
      <c r="BI1814">
        <f>IF(BH1814=0,0,IF(AND(AW1814&gt;='Tasks Filter'!$F$3,AW1814&lt;='Tasks Filter'!$F$4,OR('Tasks Filter'!$I$3="",ISNUMBER(SEARCH('Tasks Filter'!$I$3,AU1814))),OR('Tasks Filter'!$I$4="",BF1814=IFERROR(MATCH('Tasks Filter'!$I$4,Setup!$L$6:$L$9,0),0)),OR('Tasks Filter'!$I$5="Both",AND('Tasks Filter'!$I$5="Yes",BB1814="✓"),AND('Tasks Filter'!$I$5="No",BB1814&lt;&gt;"✓")),OR('Tasks Filter'!$L$3="",AV1814='Tasks Filter'!$L$3),OR('Tasks Filter'!$L$4="",AZ1814='Tasks Filter'!$L$4),OR('Tasks Filter'!$L$5="",BC1814='Tasks Filter'!$L$5),OR('Tasks Filter'!$O$3="",BD1814='Tasks Filter'!$O$3),OR('Tasks Filter'!$O$4="Yes",BG1814=0)),1,0))</f>
        <v/>
      </c>
      <c r="BJ1814">
        <f>IF(BH1814=0,"",IF('Tasks Filter'!$F$6="Descending",-1,1)*CHOOSE(MATCH('Tasks Filter'!$F$5,Lists!$G$2:$G$6,0),AW1814,BF1814,IFERROR(MATCH(AV1814,Setup!$F$6:$F$15,0),99),IFERROR(MATCH(BC1814,Setup!$H$6:$H$15,0),99),IFERROR(MATCH(AZ1814,Setup!$J$6:$J$11,0),99))*1E+9+(AW1814-40000)*10000+1813)</f>
        <v/>
      </c>
      <c r="BK1814">
        <f>IF(BI1814=1,BJ1814,"")</f>
        <v/>
      </c>
      <c r="BL1814">
        <f>IF(AND(BH1814=1,BG1814=0,N(AW1814)&lt;Setup!$D$7),(AW1814-40000)*10000+1813,"")</f>
        <v/>
      </c>
      <c r="BM1814">
        <f>IF(AND(BH1814=1,AZ1814&lt;&gt;"Cancelled",N(AW1814)&gt;=Dashboard!$AB$3,N(AW1814)&lt;=Dashboard!$AB$3+6),(AW1814-40000)*100000+BF1814*10000+1813,"")</f>
        <v/>
      </c>
      <c r="BN1814">
        <f>IF(AND(BH1814=1,AZ1814&lt;&gt;"Cancelled"),BF1814*10000+1813,"")</f>
        <v/>
      </c>
    </row>
    <row r="1815">
      <c r="AS1815" t="inlineStr">
        <is>
          <t>V</t>
        </is>
      </c>
      <c r="AT1815" t="n">
        <v>319</v>
      </c>
      <c r="AU1815">
        <f>'Variable Tasks'!C319&amp;""</f>
        <v/>
      </c>
      <c r="AV1815">
        <f>'Variable Tasks'!D319&amp;""</f>
        <v/>
      </c>
      <c r="AW1815">
        <f>IF('Variable Tasks'!E319="","",'Variable Tasks'!E319)</f>
        <v/>
      </c>
      <c r="AX1815">
        <f>IF('Variable Tasks'!G319="","",'Variable Tasks'!G319)</f>
        <v/>
      </c>
      <c r="AY1815">
        <f>IF('Variable Tasks'!H319="","",'Variable Tasks'!H319)</f>
        <v/>
      </c>
      <c r="AZ1815">
        <f>IF(AU1815="","",IF('Variable Tasks'!J319="","Not Started",'Variable Tasks'!J319))</f>
        <v/>
      </c>
      <c r="BA1815">
        <f>'Variable Tasks'!L319&amp;""</f>
        <v/>
      </c>
      <c r="BB1815">
        <f>'Variable Tasks'!M319&amp;""</f>
        <v/>
      </c>
      <c r="BC1815">
        <f>'Variable Tasks'!N319&amp;""</f>
        <v/>
      </c>
      <c r="BD1815">
        <f>'Variable Tasks'!O319&amp;""</f>
        <v/>
      </c>
      <c r="BE1815">
        <f>IF('Variable Tasks'!K319="","",'Variable Tasks'!K319)</f>
        <v/>
      </c>
      <c r="BF1815">
        <f>IFERROR(MATCH(BA1815,Setup!$L$6:$L$9,0),5)</f>
        <v/>
      </c>
      <c r="BG1815">
        <f>IF(OR(AZ1815="Done",AZ1815="Cancelled"),1,0)</f>
        <v/>
      </c>
      <c r="BH1815">
        <f>IF(AND(AU1815&lt;&gt;"",ISNUMBER(AW1815)),1,0)</f>
        <v/>
      </c>
      <c r="BI1815">
        <f>IF(BH1815=0,0,IF(AND(AW1815&gt;='Tasks Filter'!$F$3,AW1815&lt;='Tasks Filter'!$F$4,OR('Tasks Filter'!$I$3="",ISNUMBER(SEARCH('Tasks Filter'!$I$3,AU1815))),OR('Tasks Filter'!$I$4="",BF1815=IFERROR(MATCH('Tasks Filter'!$I$4,Setup!$L$6:$L$9,0),0)),OR('Tasks Filter'!$I$5="Both",AND('Tasks Filter'!$I$5="Yes",BB1815="✓"),AND('Tasks Filter'!$I$5="No",BB1815&lt;&gt;"✓")),OR('Tasks Filter'!$L$3="",AV1815='Tasks Filter'!$L$3),OR('Tasks Filter'!$L$4="",AZ1815='Tasks Filter'!$L$4),OR('Tasks Filter'!$L$5="",BC1815='Tasks Filter'!$L$5),OR('Tasks Filter'!$O$3="",BD1815='Tasks Filter'!$O$3),OR('Tasks Filter'!$O$4="Yes",BG1815=0)),1,0))</f>
        <v/>
      </c>
      <c r="BJ1815">
        <f>IF(BH1815=0,"",IF('Tasks Filter'!$F$6="Descending",-1,1)*CHOOSE(MATCH('Tasks Filter'!$F$5,Lists!$G$2:$G$6,0),AW1815,BF1815,IFERROR(MATCH(AV1815,Setup!$F$6:$F$15,0),99),IFERROR(MATCH(BC1815,Setup!$H$6:$H$15,0),99),IFERROR(MATCH(AZ1815,Setup!$J$6:$J$11,0),99))*1E+9+(AW1815-40000)*10000+1814)</f>
        <v/>
      </c>
      <c r="BK1815">
        <f>IF(BI1815=1,BJ1815,"")</f>
        <v/>
      </c>
      <c r="BL1815">
        <f>IF(AND(BH1815=1,BG1815=0,N(AW1815)&lt;Setup!$D$7),(AW1815-40000)*10000+1814,"")</f>
        <v/>
      </c>
      <c r="BM1815">
        <f>IF(AND(BH1815=1,AZ1815&lt;&gt;"Cancelled",N(AW1815)&gt;=Dashboard!$AB$3,N(AW1815)&lt;=Dashboard!$AB$3+6),(AW1815-40000)*100000+BF1815*10000+1814,"")</f>
        <v/>
      </c>
      <c r="BN1815">
        <f>IF(AND(BH1815=1,AZ1815&lt;&gt;"Cancelled"),BF1815*10000+1814,"")</f>
        <v/>
      </c>
    </row>
    <row r="1816">
      <c r="AS1816" t="inlineStr">
        <is>
          <t>V</t>
        </is>
      </c>
      <c r="AT1816" t="n">
        <v>320</v>
      </c>
      <c r="AU1816">
        <f>'Variable Tasks'!C320&amp;""</f>
        <v/>
      </c>
      <c r="AV1816">
        <f>'Variable Tasks'!D320&amp;""</f>
        <v/>
      </c>
      <c r="AW1816">
        <f>IF('Variable Tasks'!E320="","",'Variable Tasks'!E320)</f>
        <v/>
      </c>
      <c r="AX1816">
        <f>IF('Variable Tasks'!G320="","",'Variable Tasks'!G320)</f>
        <v/>
      </c>
      <c r="AY1816">
        <f>IF('Variable Tasks'!H320="","",'Variable Tasks'!H320)</f>
        <v/>
      </c>
      <c r="AZ1816">
        <f>IF(AU1816="","",IF('Variable Tasks'!J320="","Not Started",'Variable Tasks'!J320))</f>
        <v/>
      </c>
      <c r="BA1816">
        <f>'Variable Tasks'!L320&amp;""</f>
        <v/>
      </c>
      <c r="BB1816">
        <f>'Variable Tasks'!M320&amp;""</f>
        <v/>
      </c>
      <c r="BC1816">
        <f>'Variable Tasks'!N320&amp;""</f>
        <v/>
      </c>
      <c r="BD1816">
        <f>'Variable Tasks'!O320&amp;""</f>
        <v/>
      </c>
      <c r="BE1816">
        <f>IF('Variable Tasks'!K320="","",'Variable Tasks'!K320)</f>
        <v/>
      </c>
      <c r="BF1816">
        <f>IFERROR(MATCH(BA1816,Setup!$L$6:$L$9,0),5)</f>
        <v/>
      </c>
      <c r="BG1816">
        <f>IF(OR(AZ1816="Done",AZ1816="Cancelled"),1,0)</f>
        <v/>
      </c>
      <c r="BH1816">
        <f>IF(AND(AU1816&lt;&gt;"",ISNUMBER(AW1816)),1,0)</f>
        <v/>
      </c>
      <c r="BI1816">
        <f>IF(BH1816=0,0,IF(AND(AW1816&gt;='Tasks Filter'!$F$3,AW1816&lt;='Tasks Filter'!$F$4,OR('Tasks Filter'!$I$3="",ISNUMBER(SEARCH('Tasks Filter'!$I$3,AU1816))),OR('Tasks Filter'!$I$4="",BF1816=IFERROR(MATCH('Tasks Filter'!$I$4,Setup!$L$6:$L$9,0),0)),OR('Tasks Filter'!$I$5="Both",AND('Tasks Filter'!$I$5="Yes",BB1816="✓"),AND('Tasks Filter'!$I$5="No",BB1816&lt;&gt;"✓")),OR('Tasks Filter'!$L$3="",AV1816='Tasks Filter'!$L$3),OR('Tasks Filter'!$L$4="",AZ1816='Tasks Filter'!$L$4),OR('Tasks Filter'!$L$5="",BC1816='Tasks Filter'!$L$5),OR('Tasks Filter'!$O$3="",BD1816='Tasks Filter'!$O$3),OR('Tasks Filter'!$O$4="Yes",BG1816=0)),1,0))</f>
        <v/>
      </c>
      <c r="BJ1816">
        <f>IF(BH1816=0,"",IF('Tasks Filter'!$F$6="Descending",-1,1)*CHOOSE(MATCH('Tasks Filter'!$F$5,Lists!$G$2:$G$6,0),AW1816,BF1816,IFERROR(MATCH(AV1816,Setup!$F$6:$F$15,0),99),IFERROR(MATCH(BC1816,Setup!$H$6:$H$15,0),99),IFERROR(MATCH(AZ1816,Setup!$J$6:$J$11,0),99))*1E+9+(AW1816-40000)*10000+1815)</f>
        <v/>
      </c>
      <c r="BK1816">
        <f>IF(BI1816=1,BJ1816,"")</f>
        <v/>
      </c>
      <c r="BL1816">
        <f>IF(AND(BH1816=1,BG1816=0,N(AW1816)&lt;Setup!$D$7),(AW1816-40000)*10000+1815,"")</f>
        <v/>
      </c>
      <c r="BM1816">
        <f>IF(AND(BH1816=1,AZ1816&lt;&gt;"Cancelled",N(AW1816)&gt;=Dashboard!$AB$3,N(AW1816)&lt;=Dashboard!$AB$3+6),(AW1816-40000)*100000+BF1816*10000+1815,"")</f>
        <v/>
      </c>
      <c r="BN1816">
        <f>IF(AND(BH1816=1,AZ1816&lt;&gt;"Cancelled"),BF1816*10000+1815,"")</f>
        <v/>
      </c>
    </row>
    <row r="1817">
      <c r="AS1817" t="inlineStr">
        <is>
          <t>V</t>
        </is>
      </c>
      <c r="AT1817" t="n">
        <v>321</v>
      </c>
      <c r="AU1817">
        <f>'Variable Tasks'!C321&amp;""</f>
        <v/>
      </c>
      <c r="AV1817">
        <f>'Variable Tasks'!D321&amp;""</f>
        <v/>
      </c>
      <c r="AW1817">
        <f>IF('Variable Tasks'!E321="","",'Variable Tasks'!E321)</f>
        <v/>
      </c>
      <c r="AX1817">
        <f>IF('Variable Tasks'!G321="","",'Variable Tasks'!G321)</f>
        <v/>
      </c>
      <c r="AY1817">
        <f>IF('Variable Tasks'!H321="","",'Variable Tasks'!H321)</f>
        <v/>
      </c>
      <c r="AZ1817">
        <f>IF(AU1817="","",IF('Variable Tasks'!J321="","Not Started",'Variable Tasks'!J321))</f>
        <v/>
      </c>
      <c r="BA1817">
        <f>'Variable Tasks'!L321&amp;""</f>
        <v/>
      </c>
      <c r="BB1817">
        <f>'Variable Tasks'!M321&amp;""</f>
        <v/>
      </c>
      <c r="BC1817">
        <f>'Variable Tasks'!N321&amp;""</f>
        <v/>
      </c>
      <c r="BD1817">
        <f>'Variable Tasks'!O321&amp;""</f>
        <v/>
      </c>
      <c r="BE1817">
        <f>IF('Variable Tasks'!K321="","",'Variable Tasks'!K321)</f>
        <v/>
      </c>
      <c r="BF1817">
        <f>IFERROR(MATCH(BA1817,Setup!$L$6:$L$9,0),5)</f>
        <v/>
      </c>
      <c r="BG1817">
        <f>IF(OR(AZ1817="Done",AZ1817="Cancelled"),1,0)</f>
        <v/>
      </c>
      <c r="BH1817">
        <f>IF(AND(AU1817&lt;&gt;"",ISNUMBER(AW1817)),1,0)</f>
        <v/>
      </c>
      <c r="BI1817">
        <f>IF(BH1817=0,0,IF(AND(AW1817&gt;='Tasks Filter'!$F$3,AW1817&lt;='Tasks Filter'!$F$4,OR('Tasks Filter'!$I$3="",ISNUMBER(SEARCH('Tasks Filter'!$I$3,AU1817))),OR('Tasks Filter'!$I$4="",BF1817=IFERROR(MATCH('Tasks Filter'!$I$4,Setup!$L$6:$L$9,0),0)),OR('Tasks Filter'!$I$5="Both",AND('Tasks Filter'!$I$5="Yes",BB1817="✓"),AND('Tasks Filter'!$I$5="No",BB1817&lt;&gt;"✓")),OR('Tasks Filter'!$L$3="",AV1817='Tasks Filter'!$L$3),OR('Tasks Filter'!$L$4="",AZ1817='Tasks Filter'!$L$4),OR('Tasks Filter'!$L$5="",BC1817='Tasks Filter'!$L$5),OR('Tasks Filter'!$O$3="",BD1817='Tasks Filter'!$O$3),OR('Tasks Filter'!$O$4="Yes",BG1817=0)),1,0))</f>
        <v/>
      </c>
      <c r="BJ1817">
        <f>IF(BH1817=0,"",IF('Tasks Filter'!$F$6="Descending",-1,1)*CHOOSE(MATCH('Tasks Filter'!$F$5,Lists!$G$2:$G$6,0),AW1817,BF1817,IFERROR(MATCH(AV1817,Setup!$F$6:$F$15,0),99),IFERROR(MATCH(BC1817,Setup!$H$6:$H$15,0),99),IFERROR(MATCH(AZ1817,Setup!$J$6:$J$11,0),99))*1E+9+(AW1817-40000)*10000+1816)</f>
        <v/>
      </c>
      <c r="BK1817">
        <f>IF(BI1817=1,BJ1817,"")</f>
        <v/>
      </c>
      <c r="BL1817">
        <f>IF(AND(BH1817=1,BG1817=0,N(AW1817)&lt;Setup!$D$7),(AW1817-40000)*10000+1816,"")</f>
        <v/>
      </c>
      <c r="BM1817">
        <f>IF(AND(BH1817=1,AZ1817&lt;&gt;"Cancelled",N(AW1817)&gt;=Dashboard!$AB$3,N(AW1817)&lt;=Dashboard!$AB$3+6),(AW1817-40000)*100000+BF1817*10000+1816,"")</f>
        <v/>
      </c>
      <c r="BN1817">
        <f>IF(AND(BH1817=1,AZ1817&lt;&gt;"Cancelled"),BF1817*10000+1816,"")</f>
        <v/>
      </c>
    </row>
    <row r="1818">
      <c r="AS1818" t="inlineStr">
        <is>
          <t>V</t>
        </is>
      </c>
      <c r="AT1818" t="n">
        <v>322</v>
      </c>
      <c r="AU1818">
        <f>'Variable Tasks'!C322&amp;""</f>
        <v/>
      </c>
      <c r="AV1818">
        <f>'Variable Tasks'!D322&amp;""</f>
        <v/>
      </c>
      <c r="AW1818">
        <f>IF('Variable Tasks'!E322="","",'Variable Tasks'!E322)</f>
        <v/>
      </c>
      <c r="AX1818">
        <f>IF('Variable Tasks'!G322="","",'Variable Tasks'!G322)</f>
        <v/>
      </c>
      <c r="AY1818">
        <f>IF('Variable Tasks'!H322="","",'Variable Tasks'!H322)</f>
        <v/>
      </c>
      <c r="AZ1818">
        <f>IF(AU1818="","",IF('Variable Tasks'!J322="","Not Started",'Variable Tasks'!J322))</f>
        <v/>
      </c>
      <c r="BA1818">
        <f>'Variable Tasks'!L322&amp;""</f>
        <v/>
      </c>
      <c r="BB1818">
        <f>'Variable Tasks'!M322&amp;""</f>
        <v/>
      </c>
      <c r="BC1818">
        <f>'Variable Tasks'!N322&amp;""</f>
        <v/>
      </c>
      <c r="BD1818">
        <f>'Variable Tasks'!O322&amp;""</f>
        <v/>
      </c>
      <c r="BE1818">
        <f>IF('Variable Tasks'!K322="","",'Variable Tasks'!K322)</f>
        <v/>
      </c>
      <c r="BF1818">
        <f>IFERROR(MATCH(BA1818,Setup!$L$6:$L$9,0),5)</f>
        <v/>
      </c>
      <c r="BG1818">
        <f>IF(OR(AZ1818="Done",AZ1818="Cancelled"),1,0)</f>
        <v/>
      </c>
      <c r="BH1818">
        <f>IF(AND(AU1818&lt;&gt;"",ISNUMBER(AW1818)),1,0)</f>
        <v/>
      </c>
      <c r="BI1818">
        <f>IF(BH1818=0,0,IF(AND(AW1818&gt;='Tasks Filter'!$F$3,AW1818&lt;='Tasks Filter'!$F$4,OR('Tasks Filter'!$I$3="",ISNUMBER(SEARCH('Tasks Filter'!$I$3,AU1818))),OR('Tasks Filter'!$I$4="",BF1818=IFERROR(MATCH('Tasks Filter'!$I$4,Setup!$L$6:$L$9,0),0)),OR('Tasks Filter'!$I$5="Both",AND('Tasks Filter'!$I$5="Yes",BB1818="✓"),AND('Tasks Filter'!$I$5="No",BB1818&lt;&gt;"✓")),OR('Tasks Filter'!$L$3="",AV1818='Tasks Filter'!$L$3),OR('Tasks Filter'!$L$4="",AZ1818='Tasks Filter'!$L$4),OR('Tasks Filter'!$L$5="",BC1818='Tasks Filter'!$L$5),OR('Tasks Filter'!$O$3="",BD1818='Tasks Filter'!$O$3),OR('Tasks Filter'!$O$4="Yes",BG1818=0)),1,0))</f>
        <v/>
      </c>
      <c r="BJ1818">
        <f>IF(BH1818=0,"",IF('Tasks Filter'!$F$6="Descending",-1,1)*CHOOSE(MATCH('Tasks Filter'!$F$5,Lists!$G$2:$G$6,0),AW1818,BF1818,IFERROR(MATCH(AV1818,Setup!$F$6:$F$15,0),99),IFERROR(MATCH(BC1818,Setup!$H$6:$H$15,0),99),IFERROR(MATCH(AZ1818,Setup!$J$6:$J$11,0),99))*1E+9+(AW1818-40000)*10000+1817)</f>
        <v/>
      </c>
      <c r="BK1818">
        <f>IF(BI1818=1,BJ1818,"")</f>
        <v/>
      </c>
      <c r="BL1818">
        <f>IF(AND(BH1818=1,BG1818=0,N(AW1818)&lt;Setup!$D$7),(AW1818-40000)*10000+1817,"")</f>
        <v/>
      </c>
      <c r="BM1818">
        <f>IF(AND(BH1818=1,AZ1818&lt;&gt;"Cancelled",N(AW1818)&gt;=Dashboard!$AB$3,N(AW1818)&lt;=Dashboard!$AB$3+6),(AW1818-40000)*100000+BF1818*10000+1817,"")</f>
        <v/>
      </c>
      <c r="BN1818">
        <f>IF(AND(BH1818=1,AZ1818&lt;&gt;"Cancelled"),BF1818*10000+1817,"")</f>
        <v/>
      </c>
    </row>
    <row r="1819">
      <c r="AS1819" t="inlineStr">
        <is>
          <t>V</t>
        </is>
      </c>
      <c r="AT1819" t="n">
        <v>323</v>
      </c>
      <c r="AU1819">
        <f>'Variable Tasks'!C323&amp;""</f>
        <v/>
      </c>
      <c r="AV1819">
        <f>'Variable Tasks'!D323&amp;""</f>
        <v/>
      </c>
      <c r="AW1819">
        <f>IF('Variable Tasks'!E323="","",'Variable Tasks'!E323)</f>
        <v/>
      </c>
      <c r="AX1819">
        <f>IF('Variable Tasks'!G323="","",'Variable Tasks'!G323)</f>
        <v/>
      </c>
      <c r="AY1819">
        <f>IF('Variable Tasks'!H323="","",'Variable Tasks'!H323)</f>
        <v/>
      </c>
      <c r="AZ1819">
        <f>IF(AU1819="","",IF('Variable Tasks'!J323="","Not Started",'Variable Tasks'!J323))</f>
        <v/>
      </c>
      <c r="BA1819">
        <f>'Variable Tasks'!L323&amp;""</f>
        <v/>
      </c>
      <c r="BB1819">
        <f>'Variable Tasks'!M323&amp;""</f>
        <v/>
      </c>
      <c r="BC1819">
        <f>'Variable Tasks'!N323&amp;""</f>
        <v/>
      </c>
      <c r="BD1819">
        <f>'Variable Tasks'!O323&amp;""</f>
        <v/>
      </c>
      <c r="BE1819">
        <f>IF('Variable Tasks'!K323="","",'Variable Tasks'!K323)</f>
        <v/>
      </c>
      <c r="BF1819">
        <f>IFERROR(MATCH(BA1819,Setup!$L$6:$L$9,0),5)</f>
        <v/>
      </c>
      <c r="BG1819">
        <f>IF(OR(AZ1819="Done",AZ1819="Cancelled"),1,0)</f>
        <v/>
      </c>
      <c r="BH1819">
        <f>IF(AND(AU1819&lt;&gt;"",ISNUMBER(AW1819)),1,0)</f>
        <v/>
      </c>
      <c r="BI1819">
        <f>IF(BH1819=0,0,IF(AND(AW1819&gt;='Tasks Filter'!$F$3,AW1819&lt;='Tasks Filter'!$F$4,OR('Tasks Filter'!$I$3="",ISNUMBER(SEARCH('Tasks Filter'!$I$3,AU1819))),OR('Tasks Filter'!$I$4="",BF1819=IFERROR(MATCH('Tasks Filter'!$I$4,Setup!$L$6:$L$9,0),0)),OR('Tasks Filter'!$I$5="Both",AND('Tasks Filter'!$I$5="Yes",BB1819="✓"),AND('Tasks Filter'!$I$5="No",BB1819&lt;&gt;"✓")),OR('Tasks Filter'!$L$3="",AV1819='Tasks Filter'!$L$3),OR('Tasks Filter'!$L$4="",AZ1819='Tasks Filter'!$L$4),OR('Tasks Filter'!$L$5="",BC1819='Tasks Filter'!$L$5),OR('Tasks Filter'!$O$3="",BD1819='Tasks Filter'!$O$3),OR('Tasks Filter'!$O$4="Yes",BG1819=0)),1,0))</f>
        <v/>
      </c>
      <c r="BJ1819">
        <f>IF(BH1819=0,"",IF('Tasks Filter'!$F$6="Descending",-1,1)*CHOOSE(MATCH('Tasks Filter'!$F$5,Lists!$G$2:$G$6,0),AW1819,BF1819,IFERROR(MATCH(AV1819,Setup!$F$6:$F$15,0),99),IFERROR(MATCH(BC1819,Setup!$H$6:$H$15,0),99),IFERROR(MATCH(AZ1819,Setup!$J$6:$J$11,0),99))*1E+9+(AW1819-40000)*10000+1818)</f>
        <v/>
      </c>
      <c r="BK1819">
        <f>IF(BI1819=1,BJ1819,"")</f>
        <v/>
      </c>
      <c r="BL1819">
        <f>IF(AND(BH1819=1,BG1819=0,N(AW1819)&lt;Setup!$D$7),(AW1819-40000)*10000+1818,"")</f>
        <v/>
      </c>
      <c r="BM1819">
        <f>IF(AND(BH1819=1,AZ1819&lt;&gt;"Cancelled",N(AW1819)&gt;=Dashboard!$AB$3,N(AW1819)&lt;=Dashboard!$AB$3+6),(AW1819-40000)*100000+BF1819*10000+1818,"")</f>
        <v/>
      </c>
      <c r="BN1819">
        <f>IF(AND(BH1819=1,AZ1819&lt;&gt;"Cancelled"),BF1819*10000+1818,"")</f>
        <v/>
      </c>
    </row>
    <row r="1820">
      <c r="AS1820" t="inlineStr">
        <is>
          <t>V</t>
        </is>
      </c>
      <c r="AT1820" t="n">
        <v>324</v>
      </c>
      <c r="AU1820">
        <f>'Variable Tasks'!C324&amp;""</f>
        <v/>
      </c>
      <c r="AV1820">
        <f>'Variable Tasks'!D324&amp;""</f>
        <v/>
      </c>
      <c r="AW1820">
        <f>IF('Variable Tasks'!E324="","",'Variable Tasks'!E324)</f>
        <v/>
      </c>
      <c r="AX1820">
        <f>IF('Variable Tasks'!G324="","",'Variable Tasks'!G324)</f>
        <v/>
      </c>
      <c r="AY1820">
        <f>IF('Variable Tasks'!H324="","",'Variable Tasks'!H324)</f>
        <v/>
      </c>
      <c r="AZ1820">
        <f>IF(AU1820="","",IF('Variable Tasks'!J324="","Not Started",'Variable Tasks'!J324))</f>
        <v/>
      </c>
      <c r="BA1820">
        <f>'Variable Tasks'!L324&amp;""</f>
        <v/>
      </c>
      <c r="BB1820">
        <f>'Variable Tasks'!M324&amp;""</f>
        <v/>
      </c>
      <c r="BC1820">
        <f>'Variable Tasks'!N324&amp;""</f>
        <v/>
      </c>
      <c r="BD1820">
        <f>'Variable Tasks'!O324&amp;""</f>
        <v/>
      </c>
      <c r="BE1820">
        <f>IF('Variable Tasks'!K324="","",'Variable Tasks'!K324)</f>
        <v/>
      </c>
      <c r="BF1820">
        <f>IFERROR(MATCH(BA1820,Setup!$L$6:$L$9,0),5)</f>
        <v/>
      </c>
      <c r="BG1820">
        <f>IF(OR(AZ1820="Done",AZ1820="Cancelled"),1,0)</f>
        <v/>
      </c>
      <c r="BH1820">
        <f>IF(AND(AU1820&lt;&gt;"",ISNUMBER(AW1820)),1,0)</f>
        <v/>
      </c>
      <c r="BI1820">
        <f>IF(BH1820=0,0,IF(AND(AW1820&gt;='Tasks Filter'!$F$3,AW1820&lt;='Tasks Filter'!$F$4,OR('Tasks Filter'!$I$3="",ISNUMBER(SEARCH('Tasks Filter'!$I$3,AU1820))),OR('Tasks Filter'!$I$4="",BF1820=IFERROR(MATCH('Tasks Filter'!$I$4,Setup!$L$6:$L$9,0),0)),OR('Tasks Filter'!$I$5="Both",AND('Tasks Filter'!$I$5="Yes",BB1820="✓"),AND('Tasks Filter'!$I$5="No",BB1820&lt;&gt;"✓")),OR('Tasks Filter'!$L$3="",AV1820='Tasks Filter'!$L$3),OR('Tasks Filter'!$L$4="",AZ1820='Tasks Filter'!$L$4),OR('Tasks Filter'!$L$5="",BC1820='Tasks Filter'!$L$5),OR('Tasks Filter'!$O$3="",BD1820='Tasks Filter'!$O$3),OR('Tasks Filter'!$O$4="Yes",BG1820=0)),1,0))</f>
        <v/>
      </c>
      <c r="BJ1820">
        <f>IF(BH1820=0,"",IF('Tasks Filter'!$F$6="Descending",-1,1)*CHOOSE(MATCH('Tasks Filter'!$F$5,Lists!$G$2:$G$6,0),AW1820,BF1820,IFERROR(MATCH(AV1820,Setup!$F$6:$F$15,0),99),IFERROR(MATCH(BC1820,Setup!$H$6:$H$15,0),99),IFERROR(MATCH(AZ1820,Setup!$J$6:$J$11,0),99))*1E+9+(AW1820-40000)*10000+1819)</f>
        <v/>
      </c>
      <c r="BK1820">
        <f>IF(BI1820=1,BJ1820,"")</f>
        <v/>
      </c>
      <c r="BL1820">
        <f>IF(AND(BH1820=1,BG1820=0,N(AW1820)&lt;Setup!$D$7),(AW1820-40000)*10000+1819,"")</f>
        <v/>
      </c>
      <c r="BM1820">
        <f>IF(AND(BH1820=1,AZ1820&lt;&gt;"Cancelled",N(AW1820)&gt;=Dashboard!$AB$3,N(AW1820)&lt;=Dashboard!$AB$3+6),(AW1820-40000)*100000+BF1820*10000+1819,"")</f>
        <v/>
      </c>
      <c r="BN1820">
        <f>IF(AND(BH1820=1,AZ1820&lt;&gt;"Cancelled"),BF1820*10000+1819,"")</f>
        <v/>
      </c>
    </row>
    <row r="1821">
      <c r="AS1821" t="inlineStr">
        <is>
          <t>V</t>
        </is>
      </c>
      <c r="AT1821" t="n">
        <v>325</v>
      </c>
      <c r="AU1821">
        <f>'Variable Tasks'!C325&amp;""</f>
        <v/>
      </c>
      <c r="AV1821">
        <f>'Variable Tasks'!D325&amp;""</f>
        <v/>
      </c>
      <c r="AW1821">
        <f>IF('Variable Tasks'!E325="","",'Variable Tasks'!E325)</f>
        <v/>
      </c>
      <c r="AX1821">
        <f>IF('Variable Tasks'!G325="","",'Variable Tasks'!G325)</f>
        <v/>
      </c>
      <c r="AY1821">
        <f>IF('Variable Tasks'!H325="","",'Variable Tasks'!H325)</f>
        <v/>
      </c>
      <c r="AZ1821">
        <f>IF(AU1821="","",IF('Variable Tasks'!J325="","Not Started",'Variable Tasks'!J325))</f>
        <v/>
      </c>
      <c r="BA1821">
        <f>'Variable Tasks'!L325&amp;""</f>
        <v/>
      </c>
      <c r="BB1821">
        <f>'Variable Tasks'!M325&amp;""</f>
        <v/>
      </c>
      <c r="BC1821">
        <f>'Variable Tasks'!N325&amp;""</f>
        <v/>
      </c>
      <c r="BD1821">
        <f>'Variable Tasks'!O325&amp;""</f>
        <v/>
      </c>
      <c r="BE1821">
        <f>IF('Variable Tasks'!K325="","",'Variable Tasks'!K325)</f>
        <v/>
      </c>
      <c r="BF1821">
        <f>IFERROR(MATCH(BA1821,Setup!$L$6:$L$9,0),5)</f>
        <v/>
      </c>
      <c r="BG1821">
        <f>IF(OR(AZ1821="Done",AZ1821="Cancelled"),1,0)</f>
        <v/>
      </c>
      <c r="BH1821">
        <f>IF(AND(AU1821&lt;&gt;"",ISNUMBER(AW1821)),1,0)</f>
        <v/>
      </c>
      <c r="BI1821">
        <f>IF(BH1821=0,0,IF(AND(AW1821&gt;='Tasks Filter'!$F$3,AW1821&lt;='Tasks Filter'!$F$4,OR('Tasks Filter'!$I$3="",ISNUMBER(SEARCH('Tasks Filter'!$I$3,AU1821))),OR('Tasks Filter'!$I$4="",BF1821=IFERROR(MATCH('Tasks Filter'!$I$4,Setup!$L$6:$L$9,0),0)),OR('Tasks Filter'!$I$5="Both",AND('Tasks Filter'!$I$5="Yes",BB1821="✓"),AND('Tasks Filter'!$I$5="No",BB1821&lt;&gt;"✓")),OR('Tasks Filter'!$L$3="",AV1821='Tasks Filter'!$L$3),OR('Tasks Filter'!$L$4="",AZ1821='Tasks Filter'!$L$4),OR('Tasks Filter'!$L$5="",BC1821='Tasks Filter'!$L$5),OR('Tasks Filter'!$O$3="",BD1821='Tasks Filter'!$O$3),OR('Tasks Filter'!$O$4="Yes",BG1821=0)),1,0))</f>
        <v/>
      </c>
      <c r="BJ1821">
        <f>IF(BH1821=0,"",IF('Tasks Filter'!$F$6="Descending",-1,1)*CHOOSE(MATCH('Tasks Filter'!$F$5,Lists!$G$2:$G$6,0),AW1821,BF1821,IFERROR(MATCH(AV1821,Setup!$F$6:$F$15,0),99),IFERROR(MATCH(BC1821,Setup!$H$6:$H$15,0),99),IFERROR(MATCH(AZ1821,Setup!$J$6:$J$11,0),99))*1E+9+(AW1821-40000)*10000+1820)</f>
        <v/>
      </c>
      <c r="BK1821">
        <f>IF(BI1821=1,BJ1821,"")</f>
        <v/>
      </c>
      <c r="BL1821">
        <f>IF(AND(BH1821=1,BG1821=0,N(AW1821)&lt;Setup!$D$7),(AW1821-40000)*10000+1820,"")</f>
        <v/>
      </c>
      <c r="BM1821">
        <f>IF(AND(BH1821=1,AZ1821&lt;&gt;"Cancelled",N(AW1821)&gt;=Dashboard!$AB$3,N(AW1821)&lt;=Dashboard!$AB$3+6),(AW1821-40000)*100000+BF1821*10000+1820,"")</f>
        <v/>
      </c>
      <c r="BN1821">
        <f>IF(AND(BH1821=1,AZ1821&lt;&gt;"Cancelled"),BF1821*10000+1820,"")</f>
        <v/>
      </c>
    </row>
    <row r="1822">
      <c r="AS1822" t="inlineStr">
        <is>
          <t>V</t>
        </is>
      </c>
      <c r="AT1822" t="n">
        <v>326</v>
      </c>
      <c r="AU1822">
        <f>'Variable Tasks'!C326&amp;""</f>
        <v/>
      </c>
      <c r="AV1822">
        <f>'Variable Tasks'!D326&amp;""</f>
        <v/>
      </c>
      <c r="AW1822">
        <f>IF('Variable Tasks'!E326="","",'Variable Tasks'!E326)</f>
        <v/>
      </c>
      <c r="AX1822">
        <f>IF('Variable Tasks'!G326="","",'Variable Tasks'!G326)</f>
        <v/>
      </c>
      <c r="AY1822">
        <f>IF('Variable Tasks'!H326="","",'Variable Tasks'!H326)</f>
        <v/>
      </c>
      <c r="AZ1822">
        <f>IF(AU1822="","",IF('Variable Tasks'!J326="","Not Started",'Variable Tasks'!J326))</f>
        <v/>
      </c>
      <c r="BA1822">
        <f>'Variable Tasks'!L326&amp;""</f>
        <v/>
      </c>
      <c r="BB1822">
        <f>'Variable Tasks'!M326&amp;""</f>
        <v/>
      </c>
      <c r="BC1822">
        <f>'Variable Tasks'!N326&amp;""</f>
        <v/>
      </c>
      <c r="BD1822">
        <f>'Variable Tasks'!O326&amp;""</f>
        <v/>
      </c>
      <c r="BE1822">
        <f>IF('Variable Tasks'!K326="","",'Variable Tasks'!K326)</f>
        <v/>
      </c>
      <c r="BF1822">
        <f>IFERROR(MATCH(BA1822,Setup!$L$6:$L$9,0),5)</f>
        <v/>
      </c>
      <c r="BG1822">
        <f>IF(OR(AZ1822="Done",AZ1822="Cancelled"),1,0)</f>
        <v/>
      </c>
      <c r="BH1822">
        <f>IF(AND(AU1822&lt;&gt;"",ISNUMBER(AW1822)),1,0)</f>
        <v/>
      </c>
      <c r="BI1822">
        <f>IF(BH1822=0,0,IF(AND(AW1822&gt;='Tasks Filter'!$F$3,AW1822&lt;='Tasks Filter'!$F$4,OR('Tasks Filter'!$I$3="",ISNUMBER(SEARCH('Tasks Filter'!$I$3,AU1822))),OR('Tasks Filter'!$I$4="",BF1822=IFERROR(MATCH('Tasks Filter'!$I$4,Setup!$L$6:$L$9,0),0)),OR('Tasks Filter'!$I$5="Both",AND('Tasks Filter'!$I$5="Yes",BB1822="✓"),AND('Tasks Filter'!$I$5="No",BB1822&lt;&gt;"✓")),OR('Tasks Filter'!$L$3="",AV1822='Tasks Filter'!$L$3),OR('Tasks Filter'!$L$4="",AZ1822='Tasks Filter'!$L$4),OR('Tasks Filter'!$L$5="",BC1822='Tasks Filter'!$L$5),OR('Tasks Filter'!$O$3="",BD1822='Tasks Filter'!$O$3),OR('Tasks Filter'!$O$4="Yes",BG1822=0)),1,0))</f>
        <v/>
      </c>
      <c r="BJ1822">
        <f>IF(BH1822=0,"",IF('Tasks Filter'!$F$6="Descending",-1,1)*CHOOSE(MATCH('Tasks Filter'!$F$5,Lists!$G$2:$G$6,0),AW1822,BF1822,IFERROR(MATCH(AV1822,Setup!$F$6:$F$15,0),99),IFERROR(MATCH(BC1822,Setup!$H$6:$H$15,0),99),IFERROR(MATCH(AZ1822,Setup!$J$6:$J$11,0),99))*1E+9+(AW1822-40000)*10000+1821)</f>
        <v/>
      </c>
      <c r="BK1822">
        <f>IF(BI1822=1,BJ1822,"")</f>
        <v/>
      </c>
      <c r="BL1822">
        <f>IF(AND(BH1822=1,BG1822=0,N(AW1822)&lt;Setup!$D$7),(AW1822-40000)*10000+1821,"")</f>
        <v/>
      </c>
      <c r="BM1822">
        <f>IF(AND(BH1822=1,AZ1822&lt;&gt;"Cancelled",N(AW1822)&gt;=Dashboard!$AB$3,N(AW1822)&lt;=Dashboard!$AB$3+6),(AW1822-40000)*100000+BF1822*10000+1821,"")</f>
        <v/>
      </c>
      <c r="BN1822">
        <f>IF(AND(BH1822=1,AZ1822&lt;&gt;"Cancelled"),BF1822*10000+1821,"")</f>
        <v/>
      </c>
    </row>
    <row r="1823">
      <c r="AS1823" t="inlineStr">
        <is>
          <t>V</t>
        </is>
      </c>
      <c r="AT1823" t="n">
        <v>327</v>
      </c>
      <c r="AU1823">
        <f>'Variable Tasks'!C327&amp;""</f>
        <v/>
      </c>
      <c r="AV1823">
        <f>'Variable Tasks'!D327&amp;""</f>
        <v/>
      </c>
      <c r="AW1823">
        <f>IF('Variable Tasks'!E327="","",'Variable Tasks'!E327)</f>
        <v/>
      </c>
      <c r="AX1823">
        <f>IF('Variable Tasks'!G327="","",'Variable Tasks'!G327)</f>
        <v/>
      </c>
      <c r="AY1823">
        <f>IF('Variable Tasks'!H327="","",'Variable Tasks'!H327)</f>
        <v/>
      </c>
      <c r="AZ1823">
        <f>IF(AU1823="","",IF('Variable Tasks'!J327="","Not Started",'Variable Tasks'!J327))</f>
        <v/>
      </c>
      <c r="BA1823">
        <f>'Variable Tasks'!L327&amp;""</f>
        <v/>
      </c>
      <c r="BB1823">
        <f>'Variable Tasks'!M327&amp;""</f>
        <v/>
      </c>
      <c r="BC1823">
        <f>'Variable Tasks'!N327&amp;""</f>
        <v/>
      </c>
      <c r="BD1823">
        <f>'Variable Tasks'!O327&amp;""</f>
        <v/>
      </c>
      <c r="BE1823">
        <f>IF('Variable Tasks'!K327="","",'Variable Tasks'!K327)</f>
        <v/>
      </c>
      <c r="BF1823">
        <f>IFERROR(MATCH(BA1823,Setup!$L$6:$L$9,0),5)</f>
        <v/>
      </c>
      <c r="BG1823">
        <f>IF(OR(AZ1823="Done",AZ1823="Cancelled"),1,0)</f>
        <v/>
      </c>
      <c r="BH1823">
        <f>IF(AND(AU1823&lt;&gt;"",ISNUMBER(AW1823)),1,0)</f>
        <v/>
      </c>
      <c r="BI1823">
        <f>IF(BH1823=0,0,IF(AND(AW1823&gt;='Tasks Filter'!$F$3,AW1823&lt;='Tasks Filter'!$F$4,OR('Tasks Filter'!$I$3="",ISNUMBER(SEARCH('Tasks Filter'!$I$3,AU1823))),OR('Tasks Filter'!$I$4="",BF1823=IFERROR(MATCH('Tasks Filter'!$I$4,Setup!$L$6:$L$9,0),0)),OR('Tasks Filter'!$I$5="Both",AND('Tasks Filter'!$I$5="Yes",BB1823="✓"),AND('Tasks Filter'!$I$5="No",BB1823&lt;&gt;"✓")),OR('Tasks Filter'!$L$3="",AV1823='Tasks Filter'!$L$3),OR('Tasks Filter'!$L$4="",AZ1823='Tasks Filter'!$L$4),OR('Tasks Filter'!$L$5="",BC1823='Tasks Filter'!$L$5),OR('Tasks Filter'!$O$3="",BD1823='Tasks Filter'!$O$3),OR('Tasks Filter'!$O$4="Yes",BG1823=0)),1,0))</f>
        <v/>
      </c>
      <c r="BJ1823">
        <f>IF(BH1823=0,"",IF('Tasks Filter'!$F$6="Descending",-1,1)*CHOOSE(MATCH('Tasks Filter'!$F$5,Lists!$G$2:$G$6,0),AW1823,BF1823,IFERROR(MATCH(AV1823,Setup!$F$6:$F$15,0),99),IFERROR(MATCH(BC1823,Setup!$H$6:$H$15,0),99),IFERROR(MATCH(AZ1823,Setup!$J$6:$J$11,0),99))*1E+9+(AW1823-40000)*10000+1822)</f>
        <v/>
      </c>
      <c r="BK1823">
        <f>IF(BI1823=1,BJ1823,"")</f>
        <v/>
      </c>
      <c r="BL1823">
        <f>IF(AND(BH1823=1,BG1823=0,N(AW1823)&lt;Setup!$D$7),(AW1823-40000)*10000+1822,"")</f>
        <v/>
      </c>
      <c r="BM1823">
        <f>IF(AND(BH1823=1,AZ1823&lt;&gt;"Cancelled",N(AW1823)&gt;=Dashboard!$AB$3,N(AW1823)&lt;=Dashboard!$AB$3+6),(AW1823-40000)*100000+BF1823*10000+1822,"")</f>
        <v/>
      </c>
      <c r="BN1823">
        <f>IF(AND(BH1823=1,AZ1823&lt;&gt;"Cancelled"),BF1823*10000+1822,"")</f>
        <v/>
      </c>
    </row>
    <row r="1824">
      <c r="AS1824" t="inlineStr">
        <is>
          <t>V</t>
        </is>
      </c>
      <c r="AT1824" t="n">
        <v>328</v>
      </c>
      <c r="AU1824">
        <f>'Variable Tasks'!C328&amp;""</f>
        <v/>
      </c>
      <c r="AV1824">
        <f>'Variable Tasks'!D328&amp;""</f>
        <v/>
      </c>
      <c r="AW1824">
        <f>IF('Variable Tasks'!E328="","",'Variable Tasks'!E328)</f>
        <v/>
      </c>
      <c r="AX1824">
        <f>IF('Variable Tasks'!G328="","",'Variable Tasks'!G328)</f>
        <v/>
      </c>
      <c r="AY1824">
        <f>IF('Variable Tasks'!H328="","",'Variable Tasks'!H328)</f>
        <v/>
      </c>
      <c r="AZ1824">
        <f>IF(AU1824="","",IF('Variable Tasks'!J328="","Not Started",'Variable Tasks'!J328))</f>
        <v/>
      </c>
      <c r="BA1824">
        <f>'Variable Tasks'!L328&amp;""</f>
        <v/>
      </c>
      <c r="BB1824">
        <f>'Variable Tasks'!M328&amp;""</f>
        <v/>
      </c>
      <c r="BC1824">
        <f>'Variable Tasks'!N328&amp;""</f>
        <v/>
      </c>
      <c r="BD1824">
        <f>'Variable Tasks'!O328&amp;""</f>
        <v/>
      </c>
      <c r="BE1824">
        <f>IF('Variable Tasks'!K328="","",'Variable Tasks'!K328)</f>
        <v/>
      </c>
      <c r="BF1824">
        <f>IFERROR(MATCH(BA1824,Setup!$L$6:$L$9,0),5)</f>
        <v/>
      </c>
      <c r="BG1824">
        <f>IF(OR(AZ1824="Done",AZ1824="Cancelled"),1,0)</f>
        <v/>
      </c>
      <c r="BH1824">
        <f>IF(AND(AU1824&lt;&gt;"",ISNUMBER(AW1824)),1,0)</f>
        <v/>
      </c>
      <c r="BI1824">
        <f>IF(BH1824=0,0,IF(AND(AW1824&gt;='Tasks Filter'!$F$3,AW1824&lt;='Tasks Filter'!$F$4,OR('Tasks Filter'!$I$3="",ISNUMBER(SEARCH('Tasks Filter'!$I$3,AU1824))),OR('Tasks Filter'!$I$4="",BF1824=IFERROR(MATCH('Tasks Filter'!$I$4,Setup!$L$6:$L$9,0),0)),OR('Tasks Filter'!$I$5="Both",AND('Tasks Filter'!$I$5="Yes",BB1824="✓"),AND('Tasks Filter'!$I$5="No",BB1824&lt;&gt;"✓")),OR('Tasks Filter'!$L$3="",AV1824='Tasks Filter'!$L$3),OR('Tasks Filter'!$L$4="",AZ1824='Tasks Filter'!$L$4),OR('Tasks Filter'!$L$5="",BC1824='Tasks Filter'!$L$5),OR('Tasks Filter'!$O$3="",BD1824='Tasks Filter'!$O$3),OR('Tasks Filter'!$O$4="Yes",BG1824=0)),1,0))</f>
        <v/>
      </c>
      <c r="BJ1824">
        <f>IF(BH1824=0,"",IF('Tasks Filter'!$F$6="Descending",-1,1)*CHOOSE(MATCH('Tasks Filter'!$F$5,Lists!$G$2:$G$6,0),AW1824,BF1824,IFERROR(MATCH(AV1824,Setup!$F$6:$F$15,0),99),IFERROR(MATCH(BC1824,Setup!$H$6:$H$15,0),99),IFERROR(MATCH(AZ1824,Setup!$J$6:$J$11,0),99))*1E+9+(AW1824-40000)*10000+1823)</f>
        <v/>
      </c>
      <c r="BK1824">
        <f>IF(BI1824=1,BJ1824,"")</f>
        <v/>
      </c>
      <c r="BL1824">
        <f>IF(AND(BH1824=1,BG1824=0,N(AW1824)&lt;Setup!$D$7),(AW1824-40000)*10000+1823,"")</f>
        <v/>
      </c>
      <c r="BM1824">
        <f>IF(AND(BH1824=1,AZ1824&lt;&gt;"Cancelled",N(AW1824)&gt;=Dashboard!$AB$3,N(AW1824)&lt;=Dashboard!$AB$3+6),(AW1824-40000)*100000+BF1824*10000+1823,"")</f>
        <v/>
      </c>
      <c r="BN1824">
        <f>IF(AND(BH1824=1,AZ1824&lt;&gt;"Cancelled"),BF1824*10000+1823,"")</f>
        <v/>
      </c>
    </row>
    <row r="1825">
      <c r="AS1825" t="inlineStr">
        <is>
          <t>V</t>
        </is>
      </c>
      <c r="AT1825" t="n">
        <v>329</v>
      </c>
      <c r="AU1825">
        <f>'Variable Tasks'!C329&amp;""</f>
        <v/>
      </c>
      <c r="AV1825">
        <f>'Variable Tasks'!D329&amp;""</f>
        <v/>
      </c>
      <c r="AW1825">
        <f>IF('Variable Tasks'!E329="","",'Variable Tasks'!E329)</f>
        <v/>
      </c>
      <c r="AX1825">
        <f>IF('Variable Tasks'!G329="","",'Variable Tasks'!G329)</f>
        <v/>
      </c>
      <c r="AY1825">
        <f>IF('Variable Tasks'!H329="","",'Variable Tasks'!H329)</f>
        <v/>
      </c>
      <c r="AZ1825">
        <f>IF(AU1825="","",IF('Variable Tasks'!J329="","Not Started",'Variable Tasks'!J329))</f>
        <v/>
      </c>
      <c r="BA1825">
        <f>'Variable Tasks'!L329&amp;""</f>
        <v/>
      </c>
      <c r="BB1825">
        <f>'Variable Tasks'!M329&amp;""</f>
        <v/>
      </c>
      <c r="BC1825">
        <f>'Variable Tasks'!N329&amp;""</f>
        <v/>
      </c>
      <c r="BD1825">
        <f>'Variable Tasks'!O329&amp;""</f>
        <v/>
      </c>
      <c r="BE1825">
        <f>IF('Variable Tasks'!K329="","",'Variable Tasks'!K329)</f>
        <v/>
      </c>
      <c r="BF1825">
        <f>IFERROR(MATCH(BA1825,Setup!$L$6:$L$9,0),5)</f>
        <v/>
      </c>
      <c r="BG1825">
        <f>IF(OR(AZ1825="Done",AZ1825="Cancelled"),1,0)</f>
        <v/>
      </c>
      <c r="BH1825">
        <f>IF(AND(AU1825&lt;&gt;"",ISNUMBER(AW1825)),1,0)</f>
        <v/>
      </c>
      <c r="BI1825">
        <f>IF(BH1825=0,0,IF(AND(AW1825&gt;='Tasks Filter'!$F$3,AW1825&lt;='Tasks Filter'!$F$4,OR('Tasks Filter'!$I$3="",ISNUMBER(SEARCH('Tasks Filter'!$I$3,AU1825))),OR('Tasks Filter'!$I$4="",BF1825=IFERROR(MATCH('Tasks Filter'!$I$4,Setup!$L$6:$L$9,0),0)),OR('Tasks Filter'!$I$5="Both",AND('Tasks Filter'!$I$5="Yes",BB1825="✓"),AND('Tasks Filter'!$I$5="No",BB1825&lt;&gt;"✓")),OR('Tasks Filter'!$L$3="",AV1825='Tasks Filter'!$L$3),OR('Tasks Filter'!$L$4="",AZ1825='Tasks Filter'!$L$4),OR('Tasks Filter'!$L$5="",BC1825='Tasks Filter'!$L$5),OR('Tasks Filter'!$O$3="",BD1825='Tasks Filter'!$O$3),OR('Tasks Filter'!$O$4="Yes",BG1825=0)),1,0))</f>
        <v/>
      </c>
      <c r="BJ1825">
        <f>IF(BH1825=0,"",IF('Tasks Filter'!$F$6="Descending",-1,1)*CHOOSE(MATCH('Tasks Filter'!$F$5,Lists!$G$2:$G$6,0),AW1825,BF1825,IFERROR(MATCH(AV1825,Setup!$F$6:$F$15,0),99),IFERROR(MATCH(BC1825,Setup!$H$6:$H$15,0),99),IFERROR(MATCH(AZ1825,Setup!$J$6:$J$11,0),99))*1E+9+(AW1825-40000)*10000+1824)</f>
        <v/>
      </c>
      <c r="BK1825">
        <f>IF(BI1825=1,BJ1825,"")</f>
        <v/>
      </c>
      <c r="BL1825">
        <f>IF(AND(BH1825=1,BG1825=0,N(AW1825)&lt;Setup!$D$7),(AW1825-40000)*10000+1824,"")</f>
        <v/>
      </c>
      <c r="BM1825">
        <f>IF(AND(BH1825=1,AZ1825&lt;&gt;"Cancelled",N(AW1825)&gt;=Dashboard!$AB$3,N(AW1825)&lt;=Dashboard!$AB$3+6),(AW1825-40000)*100000+BF1825*10000+1824,"")</f>
        <v/>
      </c>
      <c r="BN1825">
        <f>IF(AND(BH1825=1,AZ1825&lt;&gt;"Cancelled"),BF1825*10000+1824,"")</f>
        <v/>
      </c>
    </row>
    <row r="1826">
      <c r="AS1826" t="inlineStr">
        <is>
          <t>V</t>
        </is>
      </c>
      <c r="AT1826" t="n">
        <v>330</v>
      </c>
      <c r="AU1826">
        <f>'Variable Tasks'!C330&amp;""</f>
        <v/>
      </c>
      <c r="AV1826">
        <f>'Variable Tasks'!D330&amp;""</f>
        <v/>
      </c>
      <c r="AW1826">
        <f>IF('Variable Tasks'!E330="","",'Variable Tasks'!E330)</f>
        <v/>
      </c>
      <c r="AX1826">
        <f>IF('Variable Tasks'!G330="","",'Variable Tasks'!G330)</f>
        <v/>
      </c>
      <c r="AY1826">
        <f>IF('Variable Tasks'!H330="","",'Variable Tasks'!H330)</f>
        <v/>
      </c>
      <c r="AZ1826">
        <f>IF(AU1826="","",IF('Variable Tasks'!J330="","Not Started",'Variable Tasks'!J330))</f>
        <v/>
      </c>
      <c r="BA1826">
        <f>'Variable Tasks'!L330&amp;""</f>
        <v/>
      </c>
      <c r="BB1826">
        <f>'Variable Tasks'!M330&amp;""</f>
        <v/>
      </c>
      <c r="BC1826">
        <f>'Variable Tasks'!N330&amp;""</f>
        <v/>
      </c>
      <c r="BD1826">
        <f>'Variable Tasks'!O330&amp;""</f>
        <v/>
      </c>
      <c r="BE1826">
        <f>IF('Variable Tasks'!K330="","",'Variable Tasks'!K330)</f>
        <v/>
      </c>
      <c r="BF1826">
        <f>IFERROR(MATCH(BA1826,Setup!$L$6:$L$9,0),5)</f>
        <v/>
      </c>
      <c r="BG1826">
        <f>IF(OR(AZ1826="Done",AZ1826="Cancelled"),1,0)</f>
        <v/>
      </c>
      <c r="BH1826">
        <f>IF(AND(AU1826&lt;&gt;"",ISNUMBER(AW1826)),1,0)</f>
        <v/>
      </c>
      <c r="BI1826">
        <f>IF(BH1826=0,0,IF(AND(AW1826&gt;='Tasks Filter'!$F$3,AW1826&lt;='Tasks Filter'!$F$4,OR('Tasks Filter'!$I$3="",ISNUMBER(SEARCH('Tasks Filter'!$I$3,AU1826))),OR('Tasks Filter'!$I$4="",BF1826=IFERROR(MATCH('Tasks Filter'!$I$4,Setup!$L$6:$L$9,0),0)),OR('Tasks Filter'!$I$5="Both",AND('Tasks Filter'!$I$5="Yes",BB1826="✓"),AND('Tasks Filter'!$I$5="No",BB1826&lt;&gt;"✓")),OR('Tasks Filter'!$L$3="",AV1826='Tasks Filter'!$L$3),OR('Tasks Filter'!$L$4="",AZ1826='Tasks Filter'!$L$4),OR('Tasks Filter'!$L$5="",BC1826='Tasks Filter'!$L$5),OR('Tasks Filter'!$O$3="",BD1826='Tasks Filter'!$O$3),OR('Tasks Filter'!$O$4="Yes",BG1826=0)),1,0))</f>
        <v/>
      </c>
      <c r="BJ1826">
        <f>IF(BH1826=0,"",IF('Tasks Filter'!$F$6="Descending",-1,1)*CHOOSE(MATCH('Tasks Filter'!$F$5,Lists!$G$2:$G$6,0),AW1826,BF1826,IFERROR(MATCH(AV1826,Setup!$F$6:$F$15,0),99),IFERROR(MATCH(BC1826,Setup!$H$6:$H$15,0),99),IFERROR(MATCH(AZ1826,Setup!$J$6:$J$11,0),99))*1E+9+(AW1826-40000)*10000+1825)</f>
        <v/>
      </c>
      <c r="BK1826">
        <f>IF(BI1826=1,BJ1826,"")</f>
        <v/>
      </c>
      <c r="BL1826">
        <f>IF(AND(BH1826=1,BG1826=0,N(AW1826)&lt;Setup!$D$7),(AW1826-40000)*10000+1825,"")</f>
        <v/>
      </c>
      <c r="BM1826">
        <f>IF(AND(BH1826=1,AZ1826&lt;&gt;"Cancelled",N(AW1826)&gt;=Dashboard!$AB$3,N(AW1826)&lt;=Dashboard!$AB$3+6),(AW1826-40000)*100000+BF1826*10000+1825,"")</f>
        <v/>
      </c>
      <c r="BN1826">
        <f>IF(AND(BH1826=1,AZ1826&lt;&gt;"Cancelled"),BF1826*10000+1825,"")</f>
        <v/>
      </c>
    </row>
    <row r="1827">
      <c r="AS1827" t="inlineStr">
        <is>
          <t>V</t>
        </is>
      </c>
      <c r="AT1827" t="n">
        <v>331</v>
      </c>
      <c r="AU1827">
        <f>'Variable Tasks'!C331&amp;""</f>
        <v/>
      </c>
      <c r="AV1827">
        <f>'Variable Tasks'!D331&amp;""</f>
        <v/>
      </c>
      <c r="AW1827">
        <f>IF('Variable Tasks'!E331="","",'Variable Tasks'!E331)</f>
        <v/>
      </c>
      <c r="AX1827">
        <f>IF('Variable Tasks'!G331="","",'Variable Tasks'!G331)</f>
        <v/>
      </c>
      <c r="AY1827">
        <f>IF('Variable Tasks'!H331="","",'Variable Tasks'!H331)</f>
        <v/>
      </c>
      <c r="AZ1827">
        <f>IF(AU1827="","",IF('Variable Tasks'!J331="","Not Started",'Variable Tasks'!J331))</f>
        <v/>
      </c>
      <c r="BA1827">
        <f>'Variable Tasks'!L331&amp;""</f>
        <v/>
      </c>
      <c r="BB1827">
        <f>'Variable Tasks'!M331&amp;""</f>
        <v/>
      </c>
      <c r="BC1827">
        <f>'Variable Tasks'!N331&amp;""</f>
        <v/>
      </c>
      <c r="BD1827">
        <f>'Variable Tasks'!O331&amp;""</f>
        <v/>
      </c>
      <c r="BE1827">
        <f>IF('Variable Tasks'!K331="","",'Variable Tasks'!K331)</f>
        <v/>
      </c>
      <c r="BF1827">
        <f>IFERROR(MATCH(BA1827,Setup!$L$6:$L$9,0),5)</f>
        <v/>
      </c>
      <c r="BG1827">
        <f>IF(OR(AZ1827="Done",AZ1827="Cancelled"),1,0)</f>
        <v/>
      </c>
      <c r="BH1827">
        <f>IF(AND(AU1827&lt;&gt;"",ISNUMBER(AW1827)),1,0)</f>
        <v/>
      </c>
      <c r="BI1827">
        <f>IF(BH1827=0,0,IF(AND(AW1827&gt;='Tasks Filter'!$F$3,AW1827&lt;='Tasks Filter'!$F$4,OR('Tasks Filter'!$I$3="",ISNUMBER(SEARCH('Tasks Filter'!$I$3,AU1827))),OR('Tasks Filter'!$I$4="",BF1827=IFERROR(MATCH('Tasks Filter'!$I$4,Setup!$L$6:$L$9,0),0)),OR('Tasks Filter'!$I$5="Both",AND('Tasks Filter'!$I$5="Yes",BB1827="✓"),AND('Tasks Filter'!$I$5="No",BB1827&lt;&gt;"✓")),OR('Tasks Filter'!$L$3="",AV1827='Tasks Filter'!$L$3),OR('Tasks Filter'!$L$4="",AZ1827='Tasks Filter'!$L$4),OR('Tasks Filter'!$L$5="",BC1827='Tasks Filter'!$L$5),OR('Tasks Filter'!$O$3="",BD1827='Tasks Filter'!$O$3),OR('Tasks Filter'!$O$4="Yes",BG1827=0)),1,0))</f>
        <v/>
      </c>
      <c r="BJ1827">
        <f>IF(BH1827=0,"",IF('Tasks Filter'!$F$6="Descending",-1,1)*CHOOSE(MATCH('Tasks Filter'!$F$5,Lists!$G$2:$G$6,0),AW1827,BF1827,IFERROR(MATCH(AV1827,Setup!$F$6:$F$15,0),99),IFERROR(MATCH(BC1827,Setup!$H$6:$H$15,0),99),IFERROR(MATCH(AZ1827,Setup!$J$6:$J$11,0),99))*1E+9+(AW1827-40000)*10000+1826)</f>
        <v/>
      </c>
      <c r="BK1827">
        <f>IF(BI1827=1,BJ1827,"")</f>
        <v/>
      </c>
      <c r="BL1827">
        <f>IF(AND(BH1827=1,BG1827=0,N(AW1827)&lt;Setup!$D$7),(AW1827-40000)*10000+1826,"")</f>
        <v/>
      </c>
      <c r="BM1827">
        <f>IF(AND(BH1827=1,AZ1827&lt;&gt;"Cancelled",N(AW1827)&gt;=Dashboard!$AB$3,N(AW1827)&lt;=Dashboard!$AB$3+6),(AW1827-40000)*100000+BF1827*10000+1826,"")</f>
        <v/>
      </c>
      <c r="BN1827">
        <f>IF(AND(BH1827=1,AZ1827&lt;&gt;"Cancelled"),BF1827*10000+1826,"")</f>
        <v/>
      </c>
    </row>
    <row r="1828">
      <c r="AS1828" t="inlineStr">
        <is>
          <t>V</t>
        </is>
      </c>
      <c r="AT1828" t="n">
        <v>332</v>
      </c>
      <c r="AU1828">
        <f>'Variable Tasks'!C332&amp;""</f>
        <v/>
      </c>
      <c r="AV1828">
        <f>'Variable Tasks'!D332&amp;""</f>
        <v/>
      </c>
      <c r="AW1828">
        <f>IF('Variable Tasks'!E332="","",'Variable Tasks'!E332)</f>
        <v/>
      </c>
      <c r="AX1828">
        <f>IF('Variable Tasks'!G332="","",'Variable Tasks'!G332)</f>
        <v/>
      </c>
      <c r="AY1828">
        <f>IF('Variable Tasks'!H332="","",'Variable Tasks'!H332)</f>
        <v/>
      </c>
      <c r="AZ1828">
        <f>IF(AU1828="","",IF('Variable Tasks'!J332="","Not Started",'Variable Tasks'!J332))</f>
        <v/>
      </c>
      <c r="BA1828">
        <f>'Variable Tasks'!L332&amp;""</f>
        <v/>
      </c>
      <c r="BB1828">
        <f>'Variable Tasks'!M332&amp;""</f>
        <v/>
      </c>
      <c r="BC1828">
        <f>'Variable Tasks'!N332&amp;""</f>
        <v/>
      </c>
      <c r="BD1828">
        <f>'Variable Tasks'!O332&amp;""</f>
        <v/>
      </c>
      <c r="BE1828">
        <f>IF('Variable Tasks'!K332="","",'Variable Tasks'!K332)</f>
        <v/>
      </c>
      <c r="BF1828">
        <f>IFERROR(MATCH(BA1828,Setup!$L$6:$L$9,0),5)</f>
        <v/>
      </c>
      <c r="BG1828">
        <f>IF(OR(AZ1828="Done",AZ1828="Cancelled"),1,0)</f>
        <v/>
      </c>
      <c r="BH1828">
        <f>IF(AND(AU1828&lt;&gt;"",ISNUMBER(AW1828)),1,0)</f>
        <v/>
      </c>
      <c r="BI1828">
        <f>IF(BH1828=0,0,IF(AND(AW1828&gt;='Tasks Filter'!$F$3,AW1828&lt;='Tasks Filter'!$F$4,OR('Tasks Filter'!$I$3="",ISNUMBER(SEARCH('Tasks Filter'!$I$3,AU1828))),OR('Tasks Filter'!$I$4="",BF1828=IFERROR(MATCH('Tasks Filter'!$I$4,Setup!$L$6:$L$9,0),0)),OR('Tasks Filter'!$I$5="Both",AND('Tasks Filter'!$I$5="Yes",BB1828="✓"),AND('Tasks Filter'!$I$5="No",BB1828&lt;&gt;"✓")),OR('Tasks Filter'!$L$3="",AV1828='Tasks Filter'!$L$3),OR('Tasks Filter'!$L$4="",AZ1828='Tasks Filter'!$L$4),OR('Tasks Filter'!$L$5="",BC1828='Tasks Filter'!$L$5),OR('Tasks Filter'!$O$3="",BD1828='Tasks Filter'!$O$3),OR('Tasks Filter'!$O$4="Yes",BG1828=0)),1,0))</f>
        <v/>
      </c>
      <c r="BJ1828">
        <f>IF(BH1828=0,"",IF('Tasks Filter'!$F$6="Descending",-1,1)*CHOOSE(MATCH('Tasks Filter'!$F$5,Lists!$G$2:$G$6,0),AW1828,BF1828,IFERROR(MATCH(AV1828,Setup!$F$6:$F$15,0),99),IFERROR(MATCH(BC1828,Setup!$H$6:$H$15,0),99),IFERROR(MATCH(AZ1828,Setup!$J$6:$J$11,0),99))*1E+9+(AW1828-40000)*10000+1827)</f>
        <v/>
      </c>
      <c r="BK1828">
        <f>IF(BI1828=1,BJ1828,"")</f>
        <v/>
      </c>
      <c r="BL1828">
        <f>IF(AND(BH1828=1,BG1828=0,N(AW1828)&lt;Setup!$D$7),(AW1828-40000)*10000+1827,"")</f>
        <v/>
      </c>
      <c r="BM1828">
        <f>IF(AND(BH1828=1,AZ1828&lt;&gt;"Cancelled",N(AW1828)&gt;=Dashboard!$AB$3,N(AW1828)&lt;=Dashboard!$AB$3+6),(AW1828-40000)*100000+BF1828*10000+1827,"")</f>
        <v/>
      </c>
      <c r="BN1828">
        <f>IF(AND(BH1828=1,AZ1828&lt;&gt;"Cancelled"),BF1828*10000+1827,"")</f>
        <v/>
      </c>
    </row>
    <row r="1829">
      <c r="AS1829" t="inlineStr">
        <is>
          <t>V</t>
        </is>
      </c>
      <c r="AT1829" t="n">
        <v>333</v>
      </c>
      <c r="AU1829">
        <f>'Variable Tasks'!C333&amp;""</f>
        <v/>
      </c>
      <c r="AV1829">
        <f>'Variable Tasks'!D333&amp;""</f>
        <v/>
      </c>
      <c r="AW1829">
        <f>IF('Variable Tasks'!E333="","",'Variable Tasks'!E333)</f>
        <v/>
      </c>
      <c r="AX1829">
        <f>IF('Variable Tasks'!G333="","",'Variable Tasks'!G333)</f>
        <v/>
      </c>
      <c r="AY1829">
        <f>IF('Variable Tasks'!H333="","",'Variable Tasks'!H333)</f>
        <v/>
      </c>
      <c r="AZ1829">
        <f>IF(AU1829="","",IF('Variable Tasks'!J333="","Not Started",'Variable Tasks'!J333))</f>
        <v/>
      </c>
      <c r="BA1829">
        <f>'Variable Tasks'!L333&amp;""</f>
        <v/>
      </c>
      <c r="BB1829">
        <f>'Variable Tasks'!M333&amp;""</f>
        <v/>
      </c>
      <c r="BC1829">
        <f>'Variable Tasks'!N333&amp;""</f>
        <v/>
      </c>
      <c r="BD1829">
        <f>'Variable Tasks'!O333&amp;""</f>
        <v/>
      </c>
      <c r="BE1829">
        <f>IF('Variable Tasks'!K333="","",'Variable Tasks'!K333)</f>
        <v/>
      </c>
      <c r="BF1829">
        <f>IFERROR(MATCH(BA1829,Setup!$L$6:$L$9,0),5)</f>
        <v/>
      </c>
      <c r="BG1829">
        <f>IF(OR(AZ1829="Done",AZ1829="Cancelled"),1,0)</f>
        <v/>
      </c>
      <c r="BH1829">
        <f>IF(AND(AU1829&lt;&gt;"",ISNUMBER(AW1829)),1,0)</f>
        <v/>
      </c>
      <c r="BI1829">
        <f>IF(BH1829=0,0,IF(AND(AW1829&gt;='Tasks Filter'!$F$3,AW1829&lt;='Tasks Filter'!$F$4,OR('Tasks Filter'!$I$3="",ISNUMBER(SEARCH('Tasks Filter'!$I$3,AU1829))),OR('Tasks Filter'!$I$4="",BF1829=IFERROR(MATCH('Tasks Filter'!$I$4,Setup!$L$6:$L$9,0),0)),OR('Tasks Filter'!$I$5="Both",AND('Tasks Filter'!$I$5="Yes",BB1829="✓"),AND('Tasks Filter'!$I$5="No",BB1829&lt;&gt;"✓")),OR('Tasks Filter'!$L$3="",AV1829='Tasks Filter'!$L$3),OR('Tasks Filter'!$L$4="",AZ1829='Tasks Filter'!$L$4),OR('Tasks Filter'!$L$5="",BC1829='Tasks Filter'!$L$5),OR('Tasks Filter'!$O$3="",BD1829='Tasks Filter'!$O$3),OR('Tasks Filter'!$O$4="Yes",BG1829=0)),1,0))</f>
        <v/>
      </c>
      <c r="BJ1829">
        <f>IF(BH1829=0,"",IF('Tasks Filter'!$F$6="Descending",-1,1)*CHOOSE(MATCH('Tasks Filter'!$F$5,Lists!$G$2:$G$6,0),AW1829,BF1829,IFERROR(MATCH(AV1829,Setup!$F$6:$F$15,0),99),IFERROR(MATCH(BC1829,Setup!$H$6:$H$15,0),99),IFERROR(MATCH(AZ1829,Setup!$J$6:$J$11,0),99))*1E+9+(AW1829-40000)*10000+1828)</f>
        <v/>
      </c>
      <c r="BK1829">
        <f>IF(BI1829=1,BJ1829,"")</f>
        <v/>
      </c>
      <c r="BL1829">
        <f>IF(AND(BH1829=1,BG1829=0,N(AW1829)&lt;Setup!$D$7),(AW1829-40000)*10000+1828,"")</f>
        <v/>
      </c>
      <c r="BM1829">
        <f>IF(AND(BH1829=1,AZ1829&lt;&gt;"Cancelled",N(AW1829)&gt;=Dashboard!$AB$3,N(AW1829)&lt;=Dashboard!$AB$3+6),(AW1829-40000)*100000+BF1829*10000+1828,"")</f>
        <v/>
      </c>
      <c r="BN1829">
        <f>IF(AND(BH1829=1,AZ1829&lt;&gt;"Cancelled"),BF1829*10000+1828,"")</f>
        <v/>
      </c>
    </row>
    <row r="1830">
      <c r="AS1830" t="inlineStr">
        <is>
          <t>V</t>
        </is>
      </c>
      <c r="AT1830" t="n">
        <v>334</v>
      </c>
      <c r="AU1830">
        <f>'Variable Tasks'!C334&amp;""</f>
        <v/>
      </c>
      <c r="AV1830">
        <f>'Variable Tasks'!D334&amp;""</f>
        <v/>
      </c>
      <c r="AW1830">
        <f>IF('Variable Tasks'!E334="","",'Variable Tasks'!E334)</f>
        <v/>
      </c>
      <c r="AX1830">
        <f>IF('Variable Tasks'!G334="","",'Variable Tasks'!G334)</f>
        <v/>
      </c>
      <c r="AY1830">
        <f>IF('Variable Tasks'!H334="","",'Variable Tasks'!H334)</f>
        <v/>
      </c>
      <c r="AZ1830">
        <f>IF(AU1830="","",IF('Variable Tasks'!J334="","Not Started",'Variable Tasks'!J334))</f>
        <v/>
      </c>
      <c r="BA1830">
        <f>'Variable Tasks'!L334&amp;""</f>
        <v/>
      </c>
      <c r="BB1830">
        <f>'Variable Tasks'!M334&amp;""</f>
        <v/>
      </c>
      <c r="BC1830">
        <f>'Variable Tasks'!N334&amp;""</f>
        <v/>
      </c>
      <c r="BD1830">
        <f>'Variable Tasks'!O334&amp;""</f>
        <v/>
      </c>
      <c r="BE1830">
        <f>IF('Variable Tasks'!K334="","",'Variable Tasks'!K334)</f>
        <v/>
      </c>
      <c r="BF1830">
        <f>IFERROR(MATCH(BA1830,Setup!$L$6:$L$9,0),5)</f>
        <v/>
      </c>
      <c r="BG1830">
        <f>IF(OR(AZ1830="Done",AZ1830="Cancelled"),1,0)</f>
        <v/>
      </c>
      <c r="BH1830">
        <f>IF(AND(AU1830&lt;&gt;"",ISNUMBER(AW1830)),1,0)</f>
        <v/>
      </c>
      <c r="BI1830">
        <f>IF(BH1830=0,0,IF(AND(AW1830&gt;='Tasks Filter'!$F$3,AW1830&lt;='Tasks Filter'!$F$4,OR('Tasks Filter'!$I$3="",ISNUMBER(SEARCH('Tasks Filter'!$I$3,AU1830))),OR('Tasks Filter'!$I$4="",BF1830=IFERROR(MATCH('Tasks Filter'!$I$4,Setup!$L$6:$L$9,0),0)),OR('Tasks Filter'!$I$5="Both",AND('Tasks Filter'!$I$5="Yes",BB1830="✓"),AND('Tasks Filter'!$I$5="No",BB1830&lt;&gt;"✓")),OR('Tasks Filter'!$L$3="",AV1830='Tasks Filter'!$L$3),OR('Tasks Filter'!$L$4="",AZ1830='Tasks Filter'!$L$4),OR('Tasks Filter'!$L$5="",BC1830='Tasks Filter'!$L$5),OR('Tasks Filter'!$O$3="",BD1830='Tasks Filter'!$O$3),OR('Tasks Filter'!$O$4="Yes",BG1830=0)),1,0))</f>
        <v/>
      </c>
      <c r="BJ1830">
        <f>IF(BH1830=0,"",IF('Tasks Filter'!$F$6="Descending",-1,1)*CHOOSE(MATCH('Tasks Filter'!$F$5,Lists!$G$2:$G$6,0),AW1830,BF1830,IFERROR(MATCH(AV1830,Setup!$F$6:$F$15,0),99),IFERROR(MATCH(BC1830,Setup!$H$6:$H$15,0),99),IFERROR(MATCH(AZ1830,Setup!$J$6:$J$11,0),99))*1E+9+(AW1830-40000)*10000+1829)</f>
        <v/>
      </c>
      <c r="BK1830">
        <f>IF(BI1830=1,BJ1830,"")</f>
        <v/>
      </c>
      <c r="BL1830">
        <f>IF(AND(BH1830=1,BG1830=0,N(AW1830)&lt;Setup!$D$7),(AW1830-40000)*10000+1829,"")</f>
        <v/>
      </c>
      <c r="BM1830">
        <f>IF(AND(BH1830=1,AZ1830&lt;&gt;"Cancelled",N(AW1830)&gt;=Dashboard!$AB$3,N(AW1830)&lt;=Dashboard!$AB$3+6),(AW1830-40000)*100000+BF1830*10000+1829,"")</f>
        <v/>
      </c>
      <c r="BN1830">
        <f>IF(AND(BH1830=1,AZ1830&lt;&gt;"Cancelled"),BF1830*10000+1829,"")</f>
        <v/>
      </c>
    </row>
    <row r="1831">
      <c r="AS1831" t="inlineStr">
        <is>
          <t>V</t>
        </is>
      </c>
      <c r="AT1831" t="n">
        <v>335</v>
      </c>
      <c r="AU1831">
        <f>'Variable Tasks'!C335&amp;""</f>
        <v/>
      </c>
      <c r="AV1831">
        <f>'Variable Tasks'!D335&amp;""</f>
        <v/>
      </c>
      <c r="AW1831">
        <f>IF('Variable Tasks'!E335="","",'Variable Tasks'!E335)</f>
        <v/>
      </c>
      <c r="AX1831">
        <f>IF('Variable Tasks'!G335="","",'Variable Tasks'!G335)</f>
        <v/>
      </c>
      <c r="AY1831">
        <f>IF('Variable Tasks'!H335="","",'Variable Tasks'!H335)</f>
        <v/>
      </c>
      <c r="AZ1831">
        <f>IF(AU1831="","",IF('Variable Tasks'!J335="","Not Started",'Variable Tasks'!J335))</f>
        <v/>
      </c>
      <c r="BA1831">
        <f>'Variable Tasks'!L335&amp;""</f>
        <v/>
      </c>
      <c r="BB1831">
        <f>'Variable Tasks'!M335&amp;""</f>
        <v/>
      </c>
      <c r="BC1831">
        <f>'Variable Tasks'!N335&amp;""</f>
        <v/>
      </c>
      <c r="BD1831">
        <f>'Variable Tasks'!O335&amp;""</f>
        <v/>
      </c>
      <c r="BE1831">
        <f>IF('Variable Tasks'!K335="","",'Variable Tasks'!K335)</f>
        <v/>
      </c>
      <c r="BF1831">
        <f>IFERROR(MATCH(BA1831,Setup!$L$6:$L$9,0),5)</f>
        <v/>
      </c>
      <c r="BG1831">
        <f>IF(OR(AZ1831="Done",AZ1831="Cancelled"),1,0)</f>
        <v/>
      </c>
      <c r="BH1831">
        <f>IF(AND(AU1831&lt;&gt;"",ISNUMBER(AW1831)),1,0)</f>
        <v/>
      </c>
      <c r="BI1831">
        <f>IF(BH1831=0,0,IF(AND(AW1831&gt;='Tasks Filter'!$F$3,AW1831&lt;='Tasks Filter'!$F$4,OR('Tasks Filter'!$I$3="",ISNUMBER(SEARCH('Tasks Filter'!$I$3,AU1831))),OR('Tasks Filter'!$I$4="",BF1831=IFERROR(MATCH('Tasks Filter'!$I$4,Setup!$L$6:$L$9,0),0)),OR('Tasks Filter'!$I$5="Both",AND('Tasks Filter'!$I$5="Yes",BB1831="✓"),AND('Tasks Filter'!$I$5="No",BB1831&lt;&gt;"✓")),OR('Tasks Filter'!$L$3="",AV1831='Tasks Filter'!$L$3),OR('Tasks Filter'!$L$4="",AZ1831='Tasks Filter'!$L$4),OR('Tasks Filter'!$L$5="",BC1831='Tasks Filter'!$L$5),OR('Tasks Filter'!$O$3="",BD1831='Tasks Filter'!$O$3),OR('Tasks Filter'!$O$4="Yes",BG1831=0)),1,0))</f>
        <v/>
      </c>
      <c r="BJ1831">
        <f>IF(BH1831=0,"",IF('Tasks Filter'!$F$6="Descending",-1,1)*CHOOSE(MATCH('Tasks Filter'!$F$5,Lists!$G$2:$G$6,0),AW1831,BF1831,IFERROR(MATCH(AV1831,Setup!$F$6:$F$15,0),99),IFERROR(MATCH(BC1831,Setup!$H$6:$H$15,0),99),IFERROR(MATCH(AZ1831,Setup!$J$6:$J$11,0),99))*1E+9+(AW1831-40000)*10000+1830)</f>
        <v/>
      </c>
      <c r="BK1831">
        <f>IF(BI1831=1,BJ1831,"")</f>
        <v/>
      </c>
      <c r="BL1831">
        <f>IF(AND(BH1831=1,BG1831=0,N(AW1831)&lt;Setup!$D$7),(AW1831-40000)*10000+1830,"")</f>
        <v/>
      </c>
      <c r="BM1831">
        <f>IF(AND(BH1831=1,AZ1831&lt;&gt;"Cancelled",N(AW1831)&gt;=Dashboard!$AB$3,N(AW1831)&lt;=Dashboard!$AB$3+6),(AW1831-40000)*100000+BF1831*10000+1830,"")</f>
        <v/>
      </c>
      <c r="BN1831">
        <f>IF(AND(BH1831=1,AZ1831&lt;&gt;"Cancelled"),BF1831*10000+1830,"")</f>
        <v/>
      </c>
    </row>
    <row r="1832">
      <c r="AS1832" t="inlineStr">
        <is>
          <t>V</t>
        </is>
      </c>
      <c r="AT1832" t="n">
        <v>336</v>
      </c>
      <c r="AU1832">
        <f>'Variable Tasks'!C336&amp;""</f>
        <v/>
      </c>
      <c r="AV1832">
        <f>'Variable Tasks'!D336&amp;""</f>
        <v/>
      </c>
      <c r="AW1832">
        <f>IF('Variable Tasks'!E336="","",'Variable Tasks'!E336)</f>
        <v/>
      </c>
      <c r="AX1832">
        <f>IF('Variable Tasks'!G336="","",'Variable Tasks'!G336)</f>
        <v/>
      </c>
      <c r="AY1832">
        <f>IF('Variable Tasks'!H336="","",'Variable Tasks'!H336)</f>
        <v/>
      </c>
      <c r="AZ1832">
        <f>IF(AU1832="","",IF('Variable Tasks'!J336="","Not Started",'Variable Tasks'!J336))</f>
        <v/>
      </c>
      <c r="BA1832">
        <f>'Variable Tasks'!L336&amp;""</f>
        <v/>
      </c>
      <c r="BB1832">
        <f>'Variable Tasks'!M336&amp;""</f>
        <v/>
      </c>
      <c r="BC1832">
        <f>'Variable Tasks'!N336&amp;""</f>
        <v/>
      </c>
      <c r="BD1832">
        <f>'Variable Tasks'!O336&amp;""</f>
        <v/>
      </c>
      <c r="BE1832">
        <f>IF('Variable Tasks'!K336="","",'Variable Tasks'!K336)</f>
        <v/>
      </c>
      <c r="BF1832">
        <f>IFERROR(MATCH(BA1832,Setup!$L$6:$L$9,0),5)</f>
        <v/>
      </c>
      <c r="BG1832">
        <f>IF(OR(AZ1832="Done",AZ1832="Cancelled"),1,0)</f>
        <v/>
      </c>
      <c r="BH1832">
        <f>IF(AND(AU1832&lt;&gt;"",ISNUMBER(AW1832)),1,0)</f>
        <v/>
      </c>
      <c r="BI1832">
        <f>IF(BH1832=0,0,IF(AND(AW1832&gt;='Tasks Filter'!$F$3,AW1832&lt;='Tasks Filter'!$F$4,OR('Tasks Filter'!$I$3="",ISNUMBER(SEARCH('Tasks Filter'!$I$3,AU1832))),OR('Tasks Filter'!$I$4="",BF1832=IFERROR(MATCH('Tasks Filter'!$I$4,Setup!$L$6:$L$9,0),0)),OR('Tasks Filter'!$I$5="Both",AND('Tasks Filter'!$I$5="Yes",BB1832="✓"),AND('Tasks Filter'!$I$5="No",BB1832&lt;&gt;"✓")),OR('Tasks Filter'!$L$3="",AV1832='Tasks Filter'!$L$3),OR('Tasks Filter'!$L$4="",AZ1832='Tasks Filter'!$L$4),OR('Tasks Filter'!$L$5="",BC1832='Tasks Filter'!$L$5),OR('Tasks Filter'!$O$3="",BD1832='Tasks Filter'!$O$3),OR('Tasks Filter'!$O$4="Yes",BG1832=0)),1,0))</f>
        <v/>
      </c>
      <c r="BJ1832">
        <f>IF(BH1832=0,"",IF('Tasks Filter'!$F$6="Descending",-1,1)*CHOOSE(MATCH('Tasks Filter'!$F$5,Lists!$G$2:$G$6,0),AW1832,BF1832,IFERROR(MATCH(AV1832,Setup!$F$6:$F$15,0),99),IFERROR(MATCH(BC1832,Setup!$H$6:$H$15,0),99),IFERROR(MATCH(AZ1832,Setup!$J$6:$J$11,0),99))*1E+9+(AW1832-40000)*10000+1831)</f>
        <v/>
      </c>
      <c r="BK1832">
        <f>IF(BI1832=1,BJ1832,"")</f>
        <v/>
      </c>
      <c r="BL1832">
        <f>IF(AND(BH1832=1,BG1832=0,N(AW1832)&lt;Setup!$D$7),(AW1832-40000)*10000+1831,"")</f>
        <v/>
      </c>
      <c r="BM1832">
        <f>IF(AND(BH1832=1,AZ1832&lt;&gt;"Cancelled",N(AW1832)&gt;=Dashboard!$AB$3,N(AW1832)&lt;=Dashboard!$AB$3+6),(AW1832-40000)*100000+BF1832*10000+1831,"")</f>
        <v/>
      </c>
      <c r="BN1832">
        <f>IF(AND(BH1832=1,AZ1832&lt;&gt;"Cancelled"),BF1832*10000+1831,"")</f>
        <v/>
      </c>
    </row>
    <row r="1833">
      <c r="AS1833" t="inlineStr">
        <is>
          <t>V</t>
        </is>
      </c>
      <c r="AT1833" t="n">
        <v>337</v>
      </c>
      <c r="AU1833">
        <f>'Variable Tasks'!C337&amp;""</f>
        <v/>
      </c>
      <c r="AV1833">
        <f>'Variable Tasks'!D337&amp;""</f>
        <v/>
      </c>
      <c r="AW1833">
        <f>IF('Variable Tasks'!E337="","",'Variable Tasks'!E337)</f>
        <v/>
      </c>
      <c r="AX1833">
        <f>IF('Variable Tasks'!G337="","",'Variable Tasks'!G337)</f>
        <v/>
      </c>
      <c r="AY1833">
        <f>IF('Variable Tasks'!H337="","",'Variable Tasks'!H337)</f>
        <v/>
      </c>
      <c r="AZ1833">
        <f>IF(AU1833="","",IF('Variable Tasks'!J337="","Not Started",'Variable Tasks'!J337))</f>
        <v/>
      </c>
      <c r="BA1833">
        <f>'Variable Tasks'!L337&amp;""</f>
        <v/>
      </c>
      <c r="BB1833">
        <f>'Variable Tasks'!M337&amp;""</f>
        <v/>
      </c>
      <c r="BC1833">
        <f>'Variable Tasks'!N337&amp;""</f>
        <v/>
      </c>
      <c r="BD1833">
        <f>'Variable Tasks'!O337&amp;""</f>
        <v/>
      </c>
      <c r="BE1833">
        <f>IF('Variable Tasks'!K337="","",'Variable Tasks'!K337)</f>
        <v/>
      </c>
      <c r="BF1833">
        <f>IFERROR(MATCH(BA1833,Setup!$L$6:$L$9,0),5)</f>
        <v/>
      </c>
      <c r="BG1833">
        <f>IF(OR(AZ1833="Done",AZ1833="Cancelled"),1,0)</f>
        <v/>
      </c>
      <c r="BH1833">
        <f>IF(AND(AU1833&lt;&gt;"",ISNUMBER(AW1833)),1,0)</f>
        <v/>
      </c>
      <c r="BI1833">
        <f>IF(BH1833=0,0,IF(AND(AW1833&gt;='Tasks Filter'!$F$3,AW1833&lt;='Tasks Filter'!$F$4,OR('Tasks Filter'!$I$3="",ISNUMBER(SEARCH('Tasks Filter'!$I$3,AU1833))),OR('Tasks Filter'!$I$4="",BF1833=IFERROR(MATCH('Tasks Filter'!$I$4,Setup!$L$6:$L$9,0),0)),OR('Tasks Filter'!$I$5="Both",AND('Tasks Filter'!$I$5="Yes",BB1833="✓"),AND('Tasks Filter'!$I$5="No",BB1833&lt;&gt;"✓")),OR('Tasks Filter'!$L$3="",AV1833='Tasks Filter'!$L$3),OR('Tasks Filter'!$L$4="",AZ1833='Tasks Filter'!$L$4),OR('Tasks Filter'!$L$5="",BC1833='Tasks Filter'!$L$5),OR('Tasks Filter'!$O$3="",BD1833='Tasks Filter'!$O$3),OR('Tasks Filter'!$O$4="Yes",BG1833=0)),1,0))</f>
        <v/>
      </c>
      <c r="BJ1833">
        <f>IF(BH1833=0,"",IF('Tasks Filter'!$F$6="Descending",-1,1)*CHOOSE(MATCH('Tasks Filter'!$F$5,Lists!$G$2:$G$6,0),AW1833,BF1833,IFERROR(MATCH(AV1833,Setup!$F$6:$F$15,0),99),IFERROR(MATCH(BC1833,Setup!$H$6:$H$15,0),99),IFERROR(MATCH(AZ1833,Setup!$J$6:$J$11,0),99))*1E+9+(AW1833-40000)*10000+1832)</f>
        <v/>
      </c>
      <c r="BK1833">
        <f>IF(BI1833=1,BJ1833,"")</f>
        <v/>
      </c>
      <c r="BL1833">
        <f>IF(AND(BH1833=1,BG1833=0,N(AW1833)&lt;Setup!$D$7),(AW1833-40000)*10000+1832,"")</f>
        <v/>
      </c>
      <c r="BM1833">
        <f>IF(AND(BH1833=1,AZ1833&lt;&gt;"Cancelled",N(AW1833)&gt;=Dashboard!$AB$3,N(AW1833)&lt;=Dashboard!$AB$3+6),(AW1833-40000)*100000+BF1833*10000+1832,"")</f>
        <v/>
      </c>
      <c r="BN1833">
        <f>IF(AND(BH1833=1,AZ1833&lt;&gt;"Cancelled"),BF1833*10000+1832,"")</f>
        <v/>
      </c>
    </row>
    <row r="1834">
      <c r="AS1834" t="inlineStr">
        <is>
          <t>V</t>
        </is>
      </c>
      <c r="AT1834" t="n">
        <v>338</v>
      </c>
      <c r="AU1834">
        <f>'Variable Tasks'!C338&amp;""</f>
        <v/>
      </c>
      <c r="AV1834">
        <f>'Variable Tasks'!D338&amp;""</f>
        <v/>
      </c>
      <c r="AW1834">
        <f>IF('Variable Tasks'!E338="","",'Variable Tasks'!E338)</f>
        <v/>
      </c>
      <c r="AX1834">
        <f>IF('Variable Tasks'!G338="","",'Variable Tasks'!G338)</f>
        <v/>
      </c>
      <c r="AY1834">
        <f>IF('Variable Tasks'!H338="","",'Variable Tasks'!H338)</f>
        <v/>
      </c>
      <c r="AZ1834">
        <f>IF(AU1834="","",IF('Variable Tasks'!J338="","Not Started",'Variable Tasks'!J338))</f>
        <v/>
      </c>
      <c r="BA1834">
        <f>'Variable Tasks'!L338&amp;""</f>
        <v/>
      </c>
      <c r="BB1834">
        <f>'Variable Tasks'!M338&amp;""</f>
        <v/>
      </c>
      <c r="BC1834">
        <f>'Variable Tasks'!N338&amp;""</f>
        <v/>
      </c>
      <c r="BD1834">
        <f>'Variable Tasks'!O338&amp;""</f>
        <v/>
      </c>
      <c r="BE1834">
        <f>IF('Variable Tasks'!K338="","",'Variable Tasks'!K338)</f>
        <v/>
      </c>
      <c r="BF1834">
        <f>IFERROR(MATCH(BA1834,Setup!$L$6:$L$9,0),5)</f>
        <v/>
      </c>
      <c r="BG1834">
        <f>IF(OR(AZ1834="Done",AZ1834="Cancelled"),1,0)</f>
        <v/>
      </c>
      <c r="BH1834">
        <f>IF(AND(AU1834&lt;&gt;"",ISNUMBER(AW1834)),1,0)</f>
        <v/>
      </c>
      <c r="BI1834">
        <f>IF(BH1834=0,0,IF(AND(AW1834&gt;='Tasks Filter'!$F$3,AW1834&lt;='Tasks Filter'!$F$4,OR('Tasks Filter'!$I$3="",ISNUMBER(SEARCH('Tasks Filter'!$I$3,AU1834))),OR('Tasks Filter'!$I$4="",BF1834=IFERROR(MATCH('Tasks Filter'!$I$4,Setup!$L$6:$L$9,0),0)),OR('Tasks Filter'!$I$5="Both",AND('Tasks Filter'!$I$5="Yes",BB1834="✓"),AND('Tasks Filter'!$I$5="No",BB1834&lt;&gt;"✓")),OR('Tasks Filter'!$L$3="",AV1834='Tasks Filter'!$L$3),OR('Tasks Filter'!$L$4="",AZ1834='Tasks Filter'!$L$4),OR('Tasks Filter'!$L$5="",BC1834='Tasks Filter'!$L$5),OR('Tasks Filter'!$O$3="",BD1834='Tasks Filter'!$O$3),OR('Tasks Filter'!$O$4="Yes",BG1834=0)),1,0))</f>
        <v/>
      </c>
      <c r="BJ1834">
        <f>IF(BH1834=0,"",IF('Tasks Filter'!$F$6="Descending",-1,1)*CHOOSE(MATCH('Tasks Filter'!$F$5,Lists!$G$2:$G$6,0),AW1834,BF1834,IFERROR(MATCH(AV1834,Setup!$F$6:$F$15,0),99),IFERROR(MATCH(BC1834,Setup!$H$6:$H$15,0),99),IFERROR(MATCH(AZ1834,Setup!$J$6:$J$11,0),99))*1E+9+(AW1834-40000)*10000+1833)</f>
        <v/>
      </c>
      <c r="BK1834">
        <f>IF(BI1834=1,BJ1834,"")</f>
        <v/>
      </c>
      <c r="BL1834">
        <f>IF(AND(BH1834=1,BG1834=0,N(AW1834)&lt;Setup!$D$7),(AW1834-40000)*10000+1833,"")</f>
        <v/>
      </c>
      <c r="BM1834">
        <f>IF(AND(BH1834=1,AZ1834&lt;&gt;"Cancelled",N(AW1834)&gt;=Dashboard!$AB$3,N(AW1834)&lt;=Dashboard!$AB$3+6),(AW1834-40000)*100000+BF1834*10000+1833,"")</f>
        <v/>
      </c>
      <c r="BN1834">
        <f>IF(AND(BH1834=1,AZ1834&lt;&gt;"Cancelled"),BF1834*10000+1833,"")</f>
        <v/>
      </c>
    </row>
    <row r="1835">
      <c r="AS1835" t="inlineStr">
        <is>
          <t>V</t>
        </is>
      </c>
      <c r="AT1835" t="n">
        <v>339</v>
      </c>
      <c r="AU1835">
        <f>'Variable Tasks'!C339&amp;""</f>
        <v/>
      </c>
      <c r="AV1835">
        <f>'Variable Tasks'!D339&amp;""</f>
        <v/>
      </c>
      <c r="AW1835">
        <f>IF('Variable Tasks'!E339="","",'Variable Tasks'!E339)</f>
        <v/>
      </c>
      <c r="AX1835">
        <f>IF('Variable Tasks'!G339="","",'Variable Tasks'!G339)</f>
        <v/>
      </c>
      <c r="AY1835">
        <f>IF('Variable Tasks'!H339="","",'Variable Tasks'!H339)</f>
        <v/>
      </c>
      <c r="AZ1835">
        <f>IF(AU1835="","",IF('Variable Tasks'!J339="","Not Started",'Variable Tasks'!J339))</f>
        <v/>
      </c>
      <c r="BA1835">
        <f>'Variable Tasks'!L339&amp;""</f>
        <v/>
      </c>
      <c r="BB1835">
        <f>'Variable Tasks'!M339&amp;""</f>
        <v/>
      </c>
      <c r="BC1835">
        <f>'Variable Tasks'!N339&amp;""</f>
        <v/>
      </c>
      <c r="BD1835">
        <f>'Variable Tasks'!O339&amp;""</f>
        <v/>
      </c>
      <c r="BE1835">
        <f>IF('Variable Tasks'!K339="","",'Variable Tasks'!K339)</f>
        <v/>
      </c>
      <c r="BF1835">
        <f>IFERROR(MATCH(BA1835,Setup!$L$6:$L$9,0),5)</f>
        <v/>
      </c>
      <c r="BG1835">
        <f>IF(OR(AZ1835="Done",AZ1835="Cancelled"),1,0)</f>
        <v/>
      </c>
      <c r="BH1835">
        <f>IF(AND(AU1835&lt;&gt;"",ISNUMBER(AW1835)),1,0)</f>
        <v/>
      </c>
      <c r="BI1835">
        <f>IF(BH1835=0,0,IF(AND(AW1835&gt;='Tasks Filter'!$F$3,AW1835&lt;='Tasks Filter'!$F$4,OR('Tasks Filter'!$I$3="",ISNUMBER(SEARCH('Tasks Filter'!$I$3,AU1835))),OR('Tasks Filter'!$I$4="",BF1835=IFERROR(MATCH('Tasks Filter'!$I$4,Setup!$L$6:$L$9,0),0)),OR('Tasks Filter'!$I$5="Both",AND('Tasks Filter'!$I$5="Yes",BB1835="✓"),AND('Tasks Filter'!$I$5="No",BB1835&lt;&gt;"✓")),OR('Tasks Filter'!$L$3="",AV1835='Tasks Filter'!$L$3),OR('Tasks Filter'!$L$4="",AZ1835='Tasks Filter'!$L$4),OR('Tasks Filter'!$L$5="",BC1835='Tasks Filter'!$L$5),OR('Tasks Filter'!$O$3="",BD1835='Tasks Filter'!$O$3),OR('Tasks Filter'!$O$4="Yes",BG1835=0)),1,0))</f>
        <v/>
      </c>
      <c r="BJ1835">
        <f>IF(BH1835=0,"",IF('Tasks Filter'!$F$6="Descending",-1,1)*CHOOSE(MATCH('Tasks Filter'!$F$5,Lists!$G$2:$G$6,0),AW1835,BF1835,IFERROR(MATCH(AV1835,Setup!$F$6:$F$15,0),99),IFERROR(MATCH(BC1835,Setup!$H$6:$H$15,0),99),IFERROR(MATCH(AZ1835,Setup!$J$6:$J$11,0),99))*1E+9+(AW1835-40000)*10000+1834)</f>
        <v/>
      </c>
      <c r="BK1835">
        <f>IF(BI1835=1,BJ1835,"")</f>
        <v/>
      </c>
      <c r="BL1835">
        <f>IF(AND(BH1835=1,BG1835=0,N(AW1835)&lt;Setup!$D$7),(AW1835-40000)*10000+1834,"")</f>
        <v/>
      </c>
      <c r="BM1835">
        <f>IF(AND(BH1835=1,AZ1835&lt;&gt;"Cancelled",N(AW1835)&gt;=Dashboard!$AB$3,N(AW1835)&lt;=Dashboard!$AB$3+6),(AW1835-40000)*100000+BF1835*10000+1834,"")</f>
        <v/>
      </c>
      <c r="BN1835">
        <f>IF(AND(BH1835=1,AZ1835&lt;&gt;"Cancelled"),BF1835*10000+1834,"")</f>
        <v/>
      </c>
    </row>
    <row r="1836">
      <c r="AS1836" t="inlineStr">
        <is>
          <t>V</t>
        </is>
      </c>
      <c r="AT1836" t="n">
        <v>340</v>
      </c>
      <c r="AU1836">
        <f>'Variable Tasks'!C340&amp;""</f>
        <v/>
      </c>
      <c r="AV1836">
        <f>'Variable Tasks'!D340&amp;""</f>
        <v/>
      </c>
      <c r="AW1836">
        <f>IF('Variable Tasks'!E340="","",'Variable Tasks'!E340)</f>
        <v/>
      </c>
      <c r="AX1836">
        <f>IF('Variable Tasks'!G340="","",'Variable Tasks'!G340)</f>
        <v/>
      </c>
      <c r="AY1836">
        <f>IF('Variable Tasks'!H340="","",'Variable Tasks'!H340)</f>
        <v/>
      </c>
      <c r="AZ1836">
        <f>IF(AU1836="","",IF('Variable Tasks'!J340="","Not Started",'Variable Tasks'!J340))</f>
        <v/>
      </c>
      <c r="BA1836">
        <f>'Variable Tasks'!L340&amp;""</f>
        <v/>
      </c>
      <c r="BB1836">
        <f>'Variable Tasks'!M340&amp;""</f>
        <v/>
      </c>
      <c r="BC1836">
        <f>'Variable Tasks'!N340&amp;""</f>
        <v/>
      </c>
      <c r="BD1836">
        <f>'Variable Tasks'!O340&amp;""</f>
        <v/>
      </c>
      <c r="BE1836">
        <f>IF('Variable Tasks'!K340="","",'Variable Tasks'!K340)</f>
        <v/>
      </c>
      <c r="BF1836">
        <f>IFERROR(MATCH(BA1836,Setup!$L$6:$L$9,0),5)</f>
        <v/>
      </c>
      <c r="BG1836">
        <f>IF(OR(AZ1836="Done",AZ1836="Cancelled"),1,0)</f>
        <v/>
      </c>
      <c r="BH1836">
        <f>IF(AND(AU1836&lt;&gt;"",ISNUMBER(AW1836)),1,0)</f>
        <v/>
      </c>
      <c r="BI1836">
        <f>IF(BH1836=0,0,IF(AND(AW1836&gt;='Tasks Filter'!$F$3,AW1836&lt;='Tasks Filter'!$F$4,OR('Tasks Filter'!$I$3="",ISNUMBER(SEARCH('Tasks Filter'!$I$3,AU1836))),OR('Tasks Filter'!$I$4="",BF1836=IFERROR(MATCH('Tasks Filter'!$I$4,Setup!$L$6:$L$9,0),0)),OR('Tasks Filter'!$I$5="Both",AND('Tasks Filter'!$I$5="Yes",BB1836="✓"),AND('Tasks Filter'!$I$5="No",BB1836&lt;&gt;"✓")),OR('Tasks Filter'!$L$3="",AV1836='Tasks Filter'!$L$3),OR('Tasks Filter'!$L$4="",AZ1836='Tasks Filter'!$L$4),OR('Tasks Filter'!$L$5="",BC1836='Tasks Filter'!$L$5),OR('Tasks Filter'!$O$3="",BD1836='Tasks Filter'!$O$3),OR('Tasks Filter'!$O$4="Yes",BG1836=0)),1,0))</f>
        <v/>
      </c>
      <c r="BJ1836">
        <f>IF(BH1836=0,"",IF('Tasks Filter'!$F$6="Descending",-1,1)*CHOOSE(MATCH('Tasks Filter'!$F$5,Lists!$G$2:$G$6,0),AW1836,BF1836,IFERROR(MATCH(AV1836,Setup!$F$6:$F$15,0),99),IFERROR(MATCH(BC1836,Setup!$H$6:$H$15,0),99),IFERROR(MATCH(AZ1836,Setup!$J$6:$J$11,0),99))*1E+9+(AW1836-40000)*10000+1835)</f>
        <v/>
      </c>
      <c r="BK1836">
        <f>IF(BI1836=1,BJ1836,"")</f>
        <v/>
      </c>
      <c r="BL1836">
        <f>IF(AND(BH1836=1,BG1836=0,N(AW1836)&lt;Setup!$D$7),(AW1836-40000)*10000+1835,"")</f>
        <v/>
      </c>
      <c r="BM1836">
        <f>IF(AND(BH1836=1,AZ1836&lt;&gt;"Cancelled",N(AW1836)&gt;=Dashboard!$AB$3,N(AW1836)&lt;=Dashboard!$AB$3+6),(AW1836-40000)*100000+BF1836*10000+1835,"")</f>
        <v/>
      </c>
      <c r="BN1836">
        <f>IF(AND(BH1836=1,AZ1836&lt;&gt;"Cancelled"),BF1836*10000+1835,"")</f>
        <v/>
      </c>
    </row>
    <row r="1837">
      <c r="AS1837" t="inlineStr">
        <is>
          <t>V</t>
        </is>
      </c>
      <c r="AT1837" t="n">
        <v>341</v>
      </c>
      <c r="AU1837">
        <f>'Variable Tasks'!C341&amp;""</f>
        <v/>
      </c>
      <c r="AV1837">
        <f>'Variable Tasks'!D341&amp;""</f>
        <v/>
      </c>
      <c r="AW1837">
        <f>IF('Variable Tasks'!E341="","",'Variable Tasks'!E341)</f>
        <v/>
      </c>
      <c r="AX1837">
        <f>IF('Variable Tasks'!G341="","",'Variable Tasks'!G341)</f>
        <v/>
      </c>
      <c r="AY1837">
        <f>IF('Variable Tasks'!H341="","",'Variable Tasks'!H341)</f>
        <v/>
      </c>
      <c r="AZ1837">
        <f>IF(AU1837="","",IF('Variable Tasks'!J341="","Not Started",'Variable Tasks'!J341))</f>
        <v/>
      </c>
      <c r="BA1837">
        <f>'Variable Tasks'!L341&amp;""</f>
        <v/>
      </c>
      <c r="BB1837">
        <f>'Variable Tasks'!M341&amp;""</f>
        <v/>
      </c>
      <c r="BC1837">
        <f>'Variable Tasks'!N341&amp;""</f>
        <v/>
      </c>
      <c r="BD1837">
        <f>'Variable Tasks'!O341&amp;""</f>
        <v/>
      </c>
      <c r="BE1837">
        <f>IF('Variable Tasks'!K341="","",'Variable Tasks'!K341)</f>
        <v/>
      </c>
      <c r="BF1837">
        <f>IFERROR(MATCH(BA1837,Setup!$L$6:$L$9,0),5)</f>
        <v/>
      </c>
      <c r="BG1837">
        <f>IF(OR(AZ1837="Done",AZ1837="Cancelled"),1,0)</f>
        <v/>
      </c>
      <c r="BH1837">
        <f>IF(AND(AU1837&lt;&gt;"",ISNUMBER(AW1837)),1,0)</f>
        <v/>
      </c>
      <c r="BI1837">
        <f>IF(BH1837=0,0,IF(AND(AW1837&gt;='Tasks Filter'!$F$3,AW1837&lt;='Tasks Filter'!$F$4,OR('Tasks Filter'!$I$3="",ISNUMBER(SEARCH('Tasks Filter'!$I$3,AU1837))),OR('Tasks Filter'!$I$4="",BF1837=IFERROR(MATCH('Tasks Filter'!$I$4,Setup!$L$6:$L$9,0),0)),OR('Tasks Filter'!$I$5="Both",AND('Tasks Filter'!$I$5="Yes",BB1837="✓"),AND('Tasks Filter'!$I$5="No",BB1837&lt;&gt;"✓")),OR('Tasks Filter'!$L$3="",AV1837='Tasks Filter'!$L$3),OR('Tasks Filter'!$L$4="",AZ1837='Tasks Filter'!$L$4),OR('Tasks Filter'!$L$5="",BC1837='Tasks Filter'!$L$5),OR('Tasks Filter'!$O$3="",BD1837='Tasks Filter'!$O$3),OR('Tasks Filter'!$O$4="Yes",BG1837=0)),1,0))</f>
        <v/>
      </c>
      <c r="BJ1837">
        <f>IF(BH1837=0,"",IF('Tasks Filter'!$F$6="Descending",-1,1)*CHOOSE(MATCH('Tasks Filter'!$F$5,Lists!$G$2:$G$6,0),AW1837,BF1837,IFERROR(MATCH(AV1837,Setup!$F$6:$F$15,0),99),IFERROR(MATCH(BC1837,Setup!$H$6:$H$15,0),99),IFERROR(MATCH(AZ1837,Setup!$J$6:$J$11,0),99))*1E+9+(AW1837-40000)*10000+1836)</f>
        <v/>
      </c>
      <c r="BK1837">
        <f>IF(BI1837=1,BJ1837,"")</f>
        <v/>
      </c>
      <c r="BL1837">
        <f>IF(AND(BH1837=1,BG1837=0,N(AW1837)&lt;Setup!$D$7),(AW1837-40000)*10000+1836,"")</f>
        <v/>
      </c>
      <c r="BM1837">
        <f>IF(AND(BH1837=1,AZ1837&lt;&gt;"Cancelled",N(AW1837)&gt;=Dashboard!$AB$3,N(AW1837)&lt;=Dashboard!$AB$3+6),(AW1837-40000)*100000+BF1837*10000+1836,"")</f>
        <v/>
      </c>
      <c r="BN1837">
        <f>IF(AND(BH1837=1,AZ1837&lt;&gt;"Cancelled"),BF1837*10000+1836,"")</f>
        <v/>
      </c>
    </row>
    <row r="1838">
      <c r="AS1838" t="inlineStr">
        <is>
          <t>V</t>
        </is>
      </c>
      <c r="AT1838" t="n">
        <v>342</v>
      </c>
      <c r="AU1838">
        <f>'Variable Tasks'!C342&amp;""</f>
        <v/>
      </c>
      <c r="AV1838">
        <f>'Variable Tasks'!D342&amp;""</f>
        <v/>
      </c>
      <c r="AW1838">
        <f>IF('Variable Tasks'!E342="","",'Variable Tasks'!E342)</f>
        <v/>
      </c>
      <c r="AX1838">
        <f>IF('Variable Tasks'!G342="","",'Variable Tasks'!G342)</f>
        <v/>
      </c>
      <c r="AY1838">
        <f>IF('Variable Tasks'!H342="","",'Variable Tasks'!H342)</f>
        <v/>
      </c>
      <c r="AZ1838">
        <f>IF(AU1838="","",IF('Variable Tasks'!J342="","Not Started",'Variable Tasks'!J342))</f>
        <v/>
      </c>
      <c r="BA1838">
        <f>'Variable Tasks'!L342&amp;""</f>
        <v/>
      </c>
      <c r="BB1838">
        <f>'Variable Tasks'!M342&amp;""</f>
        <v/>
      </c>
      <c r="BC1838">
        <f>'Variable Tasks'!N342&amp;""</f>
        <v/>
      </c>
      <c r="BD1838">
        <f>'Variable Tasks'!O342&amp;""</f>
        <v/>
      </c>
      <c r="BE1838">
        <f>IF('Variable Tasks'!K342="","",'Variable Tasks'!K342)</f>
        <v/>
      </c>
      <c r="BF1838">
        <f>IFERROR(MATCH(BA1838,Setup!$L$6:$L$9,0),5)</f>
        <v/>
      </c>
      <c r="BG1838">
        <f>IF(OR(AZ1838="Done",AZ1838="Cancelled"),1,0)</f>
        <v/>
      </c>
      <c r="BH1838">
        <f>IF(AND(AU1838&lt;&gt;"",ISNUMBER(AW1838)),1,0)</f>
        <v/>
      </c>
      <c r="BI1838">
        <f>IF(BH1838=0,0,IF(AND(AW1838&gt;='Tasks Filter'!$F$3,AW1838&lt;='Tasks Filter'!$F$4,OR('Tasks Filter'!$I$3="",ISNUMBER(SEARCH('Tasks Filter'!$I$3,AU1838))),OR('Tasks Filter'!$I$4="",BF1838=IFERROR(MATCH('Tasks Filter'!$I$4,Setup!$L$6:$L$9,0),0)),OR('Tasks Filter'!$I$5="Both",AND('Tasks Filter'!$I$5="Yes",BB1838="✓"),AND('Tasks Filter'!$I$5="No",BB1838&lt;&gt;"✓")),OR('Tasks Filter'!$L$3="",AV1838='Tasks Filter'!$L$3),OR('Tasks Filter'!$L$4="",AZ1838='Tasks Filter'!$L$4),OR('Tasks Filter'!$L$5="",BC1838='Tasks Filter'!$L$5),OR('Tasks Filter'!$O$3="",BD1838='Tasks Filter'!$O$3),OR('Tasks Filter'!$O$4="Yes",BG1838=0)),1,0))</f>
        <v/>
      </c>
      <c r="BJ1838">
        <f>IF(BH1838=0,"",IF('Tasks Filter'!$F$6="Descending",-1,1)*CHOOSE(MATCH('Tasks Filter'!$F$5,Lists!$G$2:$G$6,0),AW1838,BF1838,IFERROR(MATCH(AV1838,Setup!$F$6:$F$15,0),99),IFERROR(MATCH(BC1838,Setup!$H$6:$H$15,0),99),IFERROR(MATCH(AZ1838,Setup!$J$6:$J$11,0),99))*1E+9+(AW1838-40000)*10000+1837)</f>
        <v/>
      </c>
      <c r="BK1838">
        <f>IF(BI1838=1,BJ1838,"")</f>
        <v/>
      </c>
      <c r="BL1838">
        <f>IF(AND(BH1838=1,BG1838=0,N(AW1838)&lt;Setup!$D$7),(AW1838-40000)*10000+1837,"")</f>
        <v/>
      </c>
      <c r="BM1838">
        <f>IF(AND(BH1838=1,AZ1838&lt;&gt;"Cancelled",N(AW1838)&gt;=Dashboard!$AB$3,N(AW1838)&lt;=Dashboard!$AB$3+6),(AW1838-40000)*100000+BF1838*10000+1837,"")</f>
        <v/>
      </c>
      <c r="BN1838">
        <f>IF(AND(BH1838=1,AZ1838&lt;&gt;"Cancelled"),BF1838*10000+1837,"")</f>
        <v/>
      </c>
    </row>
    <row r="1839">
      <c r="AS1839" t="inlineStr">
        <is>
          <t>V</t>
        </is>
      </c>
      <c r="AT1839" t="n">
        <v>343</v>
      </c>
      <c r="AU1839">
        <f>'Variable Tasks'!C343&amp;""</f>
        <v/>
      </c>
      <c r="AV1839">
        <f>'Variable Tasks'!D343&amp;""</f>
        <v/>
      </c>
      <c r="AW1839">
        <f>IF('Variable Tasks'!E343="","",'Variable Tasks'!E343)</f>
        <v/>
      </c>
      <c r="AX1839">
        <f>IF('Variable Tasks'!G343="","",'Variable Tasks'!G343)</f>
        <v/>
      </c>
      <c r="AY1839">
        <f>IF('Variable Tasks'!H343="","",'Variable Tasks'!H343)</f>
        <v/>
      </c>
      <c r="AZ1839">
        <f>IF(AU1839="","",IF('Variable Tasks'!J343="","Not Started",'Variable Tasks'!J343))</f>
        <v/>
      </c>
      <c r="BA1839">
        <f>'Variable Tasks'!L343&amp;""</f>
        <v/>
      </c>
      <c r="BB1839">
        <f>'Variable Tasks'!M343&amp;""</f>
        <v/>
      </c>
      <c r="BC1839">
        <f>'Variable Tasks'!N343&amp;""</f>
        <v/>
      </c>
      <c r="BD1839">
        <f>'Variable Tasks'!O343&amp;""</f>
        <v/>
      </c>
      <c r="BE1839">
        <f>IF('Variable Tasks'!K343="","",'Variable Tasks'!K343)</f>
        <v/>
      </c>
      <c r="BF1839">
        <f>IFERROR(MATCH(BA1839,Setup!$L$6:$L$9,0),5)</f>
        <v/>
      </c>
      <c r="BG1839">
        <f>IF(OR(AZ1839="Done",AZ1839="Cancelled"),1,0)</f>
        <v/>
      </c>
      <c r="BH1839">
        <f>IF(AND(AU1839&lt;&gt;"",ISNUMBER(AW1839)),1,0)</f>
        <v/>
      </c>
      <c r="BI1839">
        <f>IF(BH1839=0,0,IF(AND(AW1839&gt;='Tasks Filter'!$F$3,AW1839&lt;='Tasks Filter'!$F$4,OR('Tasks Filter'!$I$3="",ISNUMBER(SEARCH('Tasks Filter'!$I$3,AU1839))),OR('Tasks Filter'!$I$4="",BF1839=IFERROR(MATCH('Tasks Filter'!$I$4,Setup!$L$6:$L$9,0),0)),OR('Tasks Filter'!$I$5="Both",AND('Tasks Filter'!$I$5="Yes",BB1839="✓"),AND('Tasks Filter'!$I$5="No",BB1839&lt;&gt;"✓")),OR('Tasks Filter'!$L$3="",AV1839='Tasks Filter'!$L$3),OR('Tasks Filter'!$L$4="",AZ1839='Tasks Filter'!$L$4),OR('Tasks Filter'!$L$5="",BC1839='Tasks Filter'!$L$5),OR('Tasks Filter'!$O$3="",BD1839='Tasks Filter'!$O$3),OR('Tasks Filter'!$O$4="Yes",BG1839=0)),1,0))</f>
        <v/>
      </c>
      <c r="BJ1839">
        <f>IF(BH1839=0,"",IF('Tasks Filter'!$F$6="Descending",-1,1)*CHOOSE(MATCH('Tasks Filter'!$F$5,Lists!$G$2:$G$6,0),AW1839,BF1839,IFERROR(MATCH(AV1839,Setup!$F$6:$F$15,0),99),IFERROR(MATCH(BC1839,Setup!$H$6:$H$15,0),99),IFERROR(MATCH(AZ1839,Setup!$J$6:$J$11,0),99))*1E+9+(AW1839-40000)*10000+1838)</f>
        <v/>
      </c>
      <c r="BK1839">
        <f>IF(BI1839=1,BJ1839,"")</f>
        <v/>
      </c>
      <c r="BL1839">
        <f>IF(AND(BH1839=1,BG1839=0,N(AW1839)&lt;Setup!$D$7),(AW1839-40000)*10000+1838,"")</f>
        <v/>
      </c>
      <c r="BM1839">
        <f>IF(AND(BH1839=1,AZ1839&lt;&gt;"Cancelled",N(AW1839)&gt;=Dashboard!$AB$3,N(AW1839)&lt;=Dashboard!$AB$3+6),(AW1839-40000)*100000+BF1839*10000+1838,"")</f>
        <v/>
      </c>
      <c r="BN1839">
        <f>IF(AND(BH1839=1,AZ1839&lt;&gt;"Cancelled"),BF1839*10000+1838,"")</f>
        <v/>
      </c>
    </row>
    <row r="1840">
      <c r="AS1840" t="inlineStr">
        <is>
          <t>V</t>
        </is>
      </c>
      <c r="AT1840" t="n">
        <v>344</v>
      </c>
      <c r="AU1840">
        <f>'Variable Tasks'!C344&amp;""</f>
        <v/>
      </c>
      <c r="AV1840">
        <f>'Variable Tasks'!D344&amp;""</f>
        <v/>
      </c>
      <c r="AW1840">
        <f>IF('Variable Tasks'!E344="","",'Variable Tasks'!E344)</f>
        <v/>
      </c>
      <c r="AX1840">
        <f>IF('Variable Tasks'!G344="","",'Variable Tasks'!G344)</f>
        <v/>
      </c>
      <c r="AY1840">
        <f>IF('Variable Tasks'!H344="","",'Variable Tasks'!H344)</f>
        <v/>
      </c>
      <c r="AZ1840">
        <f>IF(AU1840="","",IF('Variable Tasks'!J344="","Not Started",'Variable Tasks'!J344))</f>
        <v/>
      </c>
      <c r="BA1840">
        <f>'Variable Tasks'!L344&amp;""</f>
        <v/>
      </c>
      <c r="BB1840">
        <f>'Variable Tasks'!M344&amp;""</f>
        <v/>
      </c>
      <c r="BC1840">
        <f>'Variable Tasks'!N344&amp;""</f>
        <v/>
      </c>
      <c r="BD1840">
        <f>'Variable Tasks'!O344&amp;""</f>
        <v/>
      </c>
      <c r="BE1840">
        <f>IF('Variable Tasks'!K344="","",'Variable Tasks'!K344)</f>
        <v/>
      </c>
      <c r="BF1840">
        <f>IFERROR(MATCH(BA1840,Setup!$L$6:$L$9,0),5)</f>
        <v/>
      </c>
      <c r="BG1840">
        <f>IF(OR(AZ1840="Done",AZ1840="Cancelled"),1,0)</f>
        <v/>
      </c>
      <c r="BH1840">
        <f>IF(AND(AU1840&lt;&gt;"",ISNUMBER(AW1840)),1,0)</f>
        <v/>
      </c>
      <c r="BI1840">
        <f>IF(BH1840=0,0,IF(AND(AW1840&gt;='Tasks Filter'!$F$3,AW1840&lt;='Tasks Filter'!$F$4,OR('Tasks Filter'!$I$3="",ISNUMBER(SEARCH('Tasks Filter'!$I$3,AU1840))),OR('Tasks Filter'!$I$4="",BF1840=IFERROR(MATCH('Tasks Filter'!$I$4,Setup!$L$6:$L$9,0),0)),OR('Tasks Filter'!$I$5="Both",AND('Tasks Filter'!$I$5="Yes",BB1840="✓"),AND('Tasks Filter'!$I$5="No",BB1840&lt;&gt;"✓")),OR('Tasks Filter'!$L$3="",AV1840='Tasks Filter'!$L$3),OR('Tasks Filter'!$L$4="",AZ1840='Tasks Filter'!$L$4),OR('Tasks Filter'!$L$5="",BC1840='Tasks Filter'!$L$5),OR('Tasks Filter'!$O$3="",BD1840='Tasks Filter'!$O$3),OR('Tasks Filter'!$O$4="Yes",BG1840=0)),1,0))</f>
        <v/>
      </c>
      <c r="BJ1840">
        <f>IF(BH1840=0,"",IF('Tasks Filter'!$F$6="Descending",-1,1)*CHOOSE(MATCH('Tasks Filter'!$F$5,Lists!$G$2:$G$6,0),AW1840,BF1840,IFERROR(MATCH(AV1840,Setup!$F$6:$F$15,0),99),IFERROR(MATCH(BC1840,Setup!$H$6:$H$15,0),99),IFERROR(MATCH(AZ1840,Setup!$J$6:$J$11,0),99))*1E+9+(AW1840-40000)*10000+1839)</f>
        <v/>
      </c>
      <c r="BK1840">
        <f>IF(BI1840=1,BJ1840,"")</f>
        <v/>
      </c>
      <c r="BL1840">
        <f>IF(AND(BH1840=1,BG1840=0,N(AW1840)&lt;Setup!$D$7),(AW1840-40000)*10000+1839,"")</f>
        <v/>
      </c>
      <c r="BM1840">
        <f>IF(AND(BH1840=1,AZ1840&lt;&gt;"Cancelled",N(AW1840)&gt;=Dashboard!$AB$3,N(AW1840)&lt;=Dashboard!$AB$3+6),(AW1840-40000)*100000+BF1840*10000+1839,"")</f>
        <v/>
      </c>
      <c r="BN1840">
        <f>IF(AND(BH1840=1,AZ1840&lt;&gt;"Cancelled"),BF1840*10000+1839,"")</f>
        <v/>
      </c>
    </row>
    <row r="1841">
      <c r="AS1841" t="inlineStr">
        <is>
          <t>V</t>
        </is>
      </c>
      <c r="AT1841" t="n">
        <v>345</v>
      </c>
      <c r="AU1841">
        <f>'Variable Tasks'!C345&amp;""</f>
        <v/>
      </c>
      <c r="AV1841">
        <f>'Variable Tasks'!D345&amp;""</f>
        <v/>
      </c>
      <c r="AW1841">
        <f>IF('Variable Tasks'!E345="","",'Variable Tasks'!E345)</f>
        <v/>
      </c>
      <c r="AX1841">
        <f>IF('Variable Tasks'!G345="","",'Variable Tasks'!G345)</f>
        <v/>
      </c>
      <c r="AY1841">
        <f>IF('Variable Tasks'!H345="","",'Variable Tasks'!H345)</f>
        <v/>
      </c>
      <c r="AZ1841">
        <f>IF(AU1841="","",IF('Variable Tasks'!J345="","Not Started",'Variable Tasks'!J345))</f>
        <v/>
      </c>
      <c r="BA1841">
        <f>'Variable Tasks'!L345&amp;""</f>
        <v/>
      </c>
      <c r="BB1841">
        <f>'Variable Tasks'!M345&amp;""</f>
        <v/>
      </c>
      <c r="BC1841">
        <f>'Variable Tasks'!N345&amp;""</f>
        <v/>
      </c>
      <c r="BD1841">
        <f>'Variable Tasks'!O345&amp;""</f>
        <v/>
      </c>
      <c r="BE1841">
        <f>IF('Variable Tasks'!K345="","",'Variable Tasks'!K345)</f>
        <v/>
      </c>
      <c r="BF1841">
        <f>IFERROR(MATCH(BA1841,Setup!$L$6:$L$9,0),5)</f>
        <v/>
      </c>
      <c r="BG1841">
        <f>IF(OR(AZ1841="Done",AZ1841="Cancelled"),1,0)</f>
        <v/>
      </c>
      <c r="BH1841">
        <f>IF(AND(AU1841&lt;&gt;"",ISNUMBER(AW1841)),1,0)</f>
        <v/>
      </c>
      <c r="BI1841">
        <f>IF(BH1841=0,0,IF(AND(AW1841&gt;='Tasks Filter'!$F$3,AW1841&lt;='Tasks Filter'!$F$4,OR('Tasks Filter'!$I$3="",ISNUMBER(SEARCH('Tasks Filter'!$I$3,AU1841))),OR('Tasks Filter'!$I$4="",BF1841=IFERROR(MATCH('Tasks Filter'!$I$4,Setup!$L$6:$L$9,0),0)),OR('Tasks Filter'!$I$5="Both",AND('Tasks Filter'!$I$5="Yes",BB1841="✓"),AND('Tasks Filter'!$I$5="No",BB1841&lt;&gt;"✓")),OR('Tasks Filter'!$L$3="",AV1841='Tasks Filter'!$L$3),OR('Tasks Filter'!$L$4="",AZ1841='Tasks Filter'!$L$4),OR('Tasks Filter'!$L$5="",BC1841='Tasks Filter'!$L$5),OR('Tasks Filter'!$O$3="",BD1841='Tasks Filter'!$O$3),OR('Tasks Filter'!$O$4="Yes",BG1841=0)),1,0))</f>
        <v/>
      </c>
      <c r="BJ1841">
        <f>IF(BH1841=0,"",IF('Tasks Filter'!$F$6="Descending",-1,1)*CHOOSE(MATCH('Tasks Filter'!$F$5,Lists!$G$2:$G$6,0),AW1841,BF1841,IFERROR(MATCH(AV1841,Setup!$F$6:$F$15,0),99),IFERROR(MATCH(BC1841,Setup!$H$6:$H$15,0),99),IFERROR(MATCH(AZ1841,Setup!$J$6:$J$11,0),99))*1E+9+(AW1841-40000)*10000+1840)</f>
        <v/>
      </c>
      <c r="BK1841">
        <f>IF(BI1841=1,BJ1841,"")</f>
        <v/>
      </c>
      <c r="BL1841">
        <f>IF(AND(BH1841=1,BG1841=0,N(AW1841)&lt;Setup!$D$7),(AW1841-40000)*10000+1840,"")</f>
        <v/>
      </c>
      <c r="BM1841">
        <f>IF(AND(BH1841=1,AZ1841&lt;&gt;"Cancelled",N(AW1841)&gt;=Dashboard!$AB$3,N(AW1841)&lt;=Dashboard!$AB$3+6),(AW1841-40000)*100000+BF1841*10000+1840,"")</f>
        <v/>
      </c>
      <c r="BN1841">
        <f>IF(AND(BH1841=1,AZ1841&lt;&gt;"Cancelled"),BF1841*10000+1840,"")</f>
        <v/>
      </c>
    </row>
    <row r="1842">
      <c r="AS1842" t="inlineStr">
        <is>
          <t>V</t>
        </is>
      </c>
      <c r="AT1842" t="n">
        <v>346</v>
      </c>
      <c r="AU1842">
        <f>'Variable Tasks'!C346&amp;""</f>
        <v/>
      </c>
      <c r="AV1842">
        <f>'Variable Tasks'!D346&amp;""</f>
        <v/>
      </c>
      <c r="AW1842">
        <f>IF('Variable Tasks'!E346="","",'Variable Tasks'!E346)</f>
        <v/>
      </c>
      <c r="AX1842">
        <f>IF('Variable Tasks'!G346="","",'Variable Tasks'!G346)</f>
        <v/>
      </c>
      <c r="AY1842">
        <f>IF('Variable Tasks'!H346="","",'Variable Tasks'!H346)</f>
        <v/>
      </c>
      <c r="AZ1842">
        <f>IF(AU1842="","",IF('Variable Tasks'!J346="","Not Started",'Variable Tasks'!J346))</f>
        <v/>
      </c>
      <c r="BA1842">
        <f>'Variable Tasks'!L346&amp;""</f>
        <v/>
      </c>
      <c r="BB1842">
        <f>'Variable Tasks'!M346&amp;""</f>
        <v/>
      </c>
      <c r="BC1842">
        <f>'Variable Tasks'!N346&amp;""</f>
        <v/>
      </c>
      <c r="BD1842">
        <f>'Variable Tasks'!O346&amp;""</f>
        <v/>
      </c>
      <c r="BE1842">
        <f>IF('Variable Tasks'!K346="","",'Variable Tasks'!K346)</f>
        <v/>
      </c>
      <c r="BF1842">
        <f>IFERROR(MATCH(BA1842,Setup!$L$6:$L$9,0),5)</f>
        <v/>
      </c>
      <c r="BG1842">
        <f>IF(OR(AZ1842="Done",AZ1842="Cancelled"),1,0)</f>
        <v/>
      </c>
      <c r="BH1842">
        <f>IF(AND(AU1842&lt;&gt;"",ISNUMBER(AW1842)),1,0)</f>
        <v/>
      </c>
      <c r="BI1842">
        <f>IF(BH1842=0,0,IF(AND(AW1842&gt;='Tasks Filter'!$F$3,AW1842&lt;='Tasks Filter'!$F$4,OR('Tasks Filter'!$I$3="",ISNUMBER(SEARCH('Tasks Filter'!$I$3,AU1842))),OR('Tasks Filter'!$I$4="",BF1842=IFERROR(MATCH('Tasks Filter'!$I$4,Setup!$L$6:$L$9,0),0)),OR('Tasks Filter'!$I$5="Both",AND('Tasks Filter'!$I$5="Yes",BB1842="✓"),AND('Tasks Filter'!$I$5="No",BB1842&lt;&gt;"✓")),OR('Tasks Filter'!$L$3="",AV1842='Tasks Filter'!$L$3),OR('Tasks Filter'!$L$4="",AZ1842='Tasks Filter'!$L$4),OR('Tasks Filter'!$L$5="",BC1842='Tasks Filter'!$L$5),OR('Tasks Filter'!$O$3="",BD1842='Tasks Filter'!$O$3),OR('Tasks Filter'!$O$4="Yes",BG1842=0)),1,0))</f>
        <v/>
      </c>
      <c r="BJ1842">
        <f>IF(BH1842=0,"",IF('Tasks Filter'!$F$6="Descending",-1,1)*CHOOSE(MATCH('Tasks Filter'!$F$5,Lists!$G$2:$G$6,0),AW1842,BF1842,IFERROR(MATCH(AV1842,Setup!$F$6:$F$15,0),99),IFERROR(MATCH(BC1842,Setup!$H$6:$H$15,0),99),IFERROR(MATCH(AZ1842,Setup!$J$6:$J$11,0),99))*1E+9+(AW1842-40000)*10000+1841)</f>
        <v/>
      </c>
      <c r="BK1842">
        <f>IF(BI1842=1,BJ1842,"")</f>
        <v/>
      </c>
      <c r="BL1842">
        <f>IF(AND(BH1842=1,BG1842=0,N(AW1842)&lt;Setup!$D$7),(AW1842-40000)*10000+1841,"")</f>
        <v/>
      </c>
      <c r="BM1842">
        <f>IF(AND(BH1842=1,AZ1842&lt;&gt;"Cancelled",N(AW1842)&gt;=Dashboard!$AB$3,N(AW1842)&lt;=Dashboard!$AB$3+6),(AW1842-40000)*100000+BF1842*10000+1841,"")</f>
        <v/>
      </c>
      <c r="BN1842">
        <f>IF(AND(BH1842=1,AZ1842&lt;&gt;"Cancelled"),BF1842*10000+1841,"")</f>
        <v/>
      </c>
    </row>
    <row r="1843">
      <c r="AS1843" t="inlineStr">
        <is>
          <t>V</t>
        </is>
      </c>
      <c r="AT1843" t="n">
        <v>347</v>
      </c>
      <c r="AU1843">
        <f>'Variable Tasks'!C347&amp;""</f>
        <v/>
      </c>
      <c r="AV1843">
        <f>'Variable Tasks'!D347&amp;""</f>
        <v/>
      </c>
      <c r="AW1843">
        <f>IF('Variable Tasks'!E347="","",'Variable Tasks'!E347)</f>
        <v/>
      </c>
      <c r="AX1843">
        <f>IF('Variable Tasks'!G347="","",'Variable Tasks'!G347)</f>
        <v/>
      </c>
      <c r="AY1843">
        <f>IF('Variable Tasks'!H347="","",'Variable Tasks'!H347)</f>
        <v/>
      </c>
      <c r="AZ1843">
        <f>IF(AU1843="","",IF('Variable Tasks'!J347="","Not Started",'Variable Tasks'!J347))</f>
        <v/>
      </c>
      <c r="BA1843">
        <f>'Variable Tasks'!L347&amp;""</f>
        <v/>
      </c>
      <c r="BB1843">
        <f>'Variable Tasks'!M347&amp;""</f>
        <v/>
      </c>
      <c r="BC1843">
        <f>'Variable Tasks'!N347&amp;""</f>
        <v/>
      </c>
      <c r="BD1843">
        <f>'Variable Tasks'!O347&amp;""</f>
        <v/>
      </c>
      <c r="BE1843">
        <f>IF('Variable Tasks'!K347="","",'Variable Tasks'!K347)</f>
        <v/>
      </c>
      <c r="BF1843">
        <f>IFERROR(MATCH(BA1843,Setup!$L$6:$L$9,0),5)</f>
        <v/>
      </c>
      <c r="BG1843">
        <f>IF(OR(AZ1843="Done",AZ1843="Cancelled"),1,0)</f>
        <v/>
      </c>
      <c r="BH1843">
        <f>IF(AND(AU1843&lt;&gt;"",ISNUMBER(AW1843)),1,0)</f>
        <v/>
      </c>
      <c r="BI1843">
        <f>IF(BH1843=0,0,IF(AND(AW1843&gt;='Tasks Filter'!$F$3,AW1843&lt;='Tasks Filter'!$F$4,OR('Tasks Filter'!$I$3="",ISNUMBER(SEARCH('Tasks Filter'!$I$3,AU1843))),OR('Tasks Filter'!$I$4="",BF1843=IFERROR(MATCH('Tasks Filter'!$I$4,Setup!$L$6:$L$9,0),0)),OR('Tasks Filter'!$I$5="Both",AND('Tasks Filter'!$I$5="Yes",BB1843="✓"),AND('Tasks Filter'!$I$5="No",BB1843&lt;&gt;"✓")),OR('Tasks Filter'!$L$3="",AV1843='Tasks Filter'!$L$3),OR('Tasks Filter'!$L$4="",AZ1843='Tasks Filter'!$L$4),OR('Tasks Filter'!$L$5="",BC1843='Tasks Filter'!$L$5),OR('Tasks Filter'!$O$3="",BD1843='Tasks Filter'!$O$3),OR('Tasks Filter'!$O$4="Yes",BG1843=0)),1,0))</f>
        <v/>
      </c>
      <c r="BJ1843">
        <f>IF(BH1843=0,"",IF('Tasks Filter'!$F$6="Descending",-1,1)*CHOOSE(MATCH('Tasks Filter'!$F$5,Lists!$G$2:$G$6,0),AW1843,BF1843,IFERROR(MATCH(AV1843,Setup!$F$6:$F$15,0),99),IFERROR(MATCH(BC1843,Setup!$H$6:$H$15,0),99),IFERROR(MATCH(AZ1843,Setup!$J$6:$J$11,0),99))*1E+9+(AW1843-40000)*10000+1842)</f>
        <v/>
      </c>
      <c r="BK1843">
        <f>IF(BI1843=1,BJ1843,"")</f>
        <v/>
      </c>
      <c r="BL1843">
        <f>IF(AND(BH1843=1,BG1843=0,N(AW1843)&lt;Setup!$D$7),(AW1843-40000)*10000+1842,"")</f>
        <v/>
      </c>
      <c r="BM1843">
        <f>IF(AND(BH1843=1,AZ1843&lt;&gt;"Cancelled",N(AW1843)&gt;=Dashboard!$AB$3,N(AW1843)&lt;=Dashboard!$AB$3+6),(AW1843-40000)*100000+BF1843*10000+1842,"")</f>
        <v/>
      </c>
      <c r="BN1843">
        <f>IF(AND(BH1843=1,AZ1843&lt;&gt;"Cancelled"),BF1843*10000+1842,"")</f>
        <v/>
      </c>
    </row>
    <row r="1844">
      <c r="AS1844" t="inlineStr">
        <is>
          <t>V</t>
        </is>
      </c>
      <c r="AT1844" t="n">
        <v>348</v>
      </c>
      <c r="AU1844">
        <f>'Variable Tasks'!C348&amp;""</f>
        <v/>
      </c>
      <c r="AV1844">
        <f>'Variable Tasks'!D348&amp;""</f>
        <v/>
      </c>
      <c r="AW1844">
        <f>IF('Variable Tasks'!E348="","",'Variable Tasks'!E348)</f>
        <v/>
      </c>
      <c r="AX1844">
        <f>IF('Variable Tasks'!G348="","",'Variable Tasks'!G348)</f>
        <v/>
      </c>
      <c r="AY1844">
        <f>IF('Variable Tasks'!H348="","",'Variable Tasks'!H348)</f>
        <v/>
      </c>
      <c r="AZ1844">
        <f>IF(AU1844="","",IF('Variable Tasks'!J348="","Not Started",'Variable Tasks'!J348))</f>
        <v/>
      </c>
      <c r="BA1844">
        <f>'Variable Tasks'!L348&amp;""</f>
        <v/>
      </c>
      <c r="BB1844">
        <f>'Variable Tasks'!M348&amp;""</f>
        <v/>
      </c>
      <c r="BC1844">
        <f>'Variable Tasks'!N348&amp;""</f>
        <v/>
      </c>
      <c r="BD1844">
        <f>'Variable Tasks'!O348&amp;""</f>
        <v/>
      </c>
      <c r="BE1844">
        <f>IF('Variable Tasks'!K348="","",'Variable Tasks'!K348)</f>
        <v/>
      </c>
      <c r="BF1844">
        <f>IFERROR(MATCH(BA1844,Setup!$L$6:$L$9,0),5)</f>
        <v/>
      </c>
      <c r="BG1844">
        <f>IF(OR(AZ1844="Done",AZ1844="Cancelled"),1,0)</f>
        <v/>
      </c>
      <c r="BH1844">
        <f>IF(AND(AU1844&lt;&gt;"",ISNUMBER(AW1844)),1,0)</f>
        <v/>
      </c>
      <c r="BI1844">
        <f>IF(BH1844=0,0,IF(AND(AW1844&gt;='Tasks Filter'!$F$3,AW1844&lt;='Tasks Filter'!$F$4,OR('Tasks Filter'!$I$3="",ISNUMBER(SEARCH('Tasks Filter'!$I$3,AU1844))),OR('Tasks Filter'!$I$4="",BF1844=IFERROR(MATCH('Tasks Filter'!$I$4,Setup!$L$6:$L$9,0),0)),OR('Tasks Filter'!$I$5="Both",AND('Tasks Filter'!$I$5="Yes",BB1844="✓"),AND('Tasks Filter'!$I$5="No",BB1844&lt;&gt;"✓")),OR('Tasks Filter'!$L$3="",AV1844='Tasks Filter'!$L$3),OR('Tasks Filter'!$L$4="",AZ1844='Tasks Filter'!$L$4),OR('Tasks Filter'!$L$5="",BC1844='Tasks Filter'!$L$5),OR('Tasks Filter'!$O$3="",BD1844='Tasks Filter'!$O$3),OR('Tasks Filter'!$O$4="Yes",BG1844=0)),1,0))</f>
        <v/>
      </c>
      <c r="BJ1844">
        <f>IF(BH1844=0,"",IF('Tasks Filter'!$F$6="Descending",-1,1)*CHOOSE(MATCH('Tasks Filter'!$F$5,Lists!$G$2:$G$6,0),AW1844,BF1844,IFERROR(MATCH(AV1844,Setup!$F$6:$F$15,0),99),IFERROR(MATCH(BC1844,Setup!$H$6:$H$15,0),99),IFERROR(MATCH(AZ1844,Setup!$J$6:$J$11,0),99))*1E+9+(AW1844-40000)*10000+1843)</f>
        <v/>
      </c>
      <c r="BK1844">
        <f>IF(BI1844=1,BJ1844,"")</f>
        <v/>
      </c>
      <c r="BL1844">
        <f>IF(AND(BH1844=1,BG1844=0,N(AW1844)&lt;Setup!$D$7),(AW1844-40000)*10000+1843,"")</f>
        <v/>
      </c>
      <c r="BM1844">
        <f>IF(AND(BH1844=1,AZ1844&lt;&gt;"Cancelled",N(AW1844)&gt;=Dashboard!$AB$3,N(AW1844)&lt;=Dashboard!$AB$3+6),(AW1844-40000)*100000+BF1844*10000+1843,"")</f>
        <v/>
      </c>
      <c r="BN1844">
        <f>IF(AND(BH1844=1,AZ1844&lt;&gt;"Cancelled"),BF1844*10000+1843,"")</f>
        <v/>
      </c>
    </row>
    <row r="1845">
      <c r="AS1845" t="inlineStr">
        <is>
          <t>V</t>
        </is>
      </c>
      <c r="AT1845" t="n">
        <v>349</v>
      </c>
      <c r="AU1845">
        <f>'Variable Tasks'!C349&amp;""</f>
        <v/>
      </c>
      <c r="AV1845">
        <f>'Variable Tasks'!D349&amp;""</f>
        <v/>
      </c>
      <c r="AW1845">
        <f>IF('Variable Tasks'!E349="","",'Variable Tasks'!E349)</f>
        <v/>
      </c>
      <c r="AX1845">
        <f>IF('Variable Tasks'!G349="","",'Variable Tasks'!G349)</f>
        <v/>
      </c>
      <c r="AY1845">
        <f>IF('Variable Tasks'!H349="","",'Variable Tasks'!H349)</f>
        <v/>
      </c>
      <c r="AZ1845">
        <f>IF(AU1845="","",IF('Variable Tasks'!J349="","Not Started",'Variable Tasks'!J349))</f>
        <v/>
      </c>
      <c r="BA1845">
        <f>'Variable Tasks'!L349&amp;""</f>
        <v/>
      </c>
      <c r="BB1845">
        <f>'Variable Tasks'!M349&amp;""</f>
        <v/>
      </c>
      <c r="BC1845">
        <f>'Variable Tasks'!N349&amp;""</f>
        <v/>
      </c>
      <c r="BD1845">
        <f>'Variable Tasks'!O349&amp;""</f>
        <v/>
      </c>
      <c r="BE1845">
        <f>IF('Variable Tasks'!K349="","",'Variable Tasks'!K349)</f>
        <v/>
      </c>
      <c r="BF1845">
        <f>IFERROR(MATCH(BA1845,Setup!$L$6:$L$9,0),5)</f>
        <v/>
      </c>
      <c r="BG1845">
        <f>IF(OR(AZ1845="Done",AZ1845="Cancelled"),1,0)</f>
        <v/>
      </c>
      <c r="BH1845">
        <f>IF(AND(AU1845&lt;&gt;"",ISNUMBER(AW1845)),1,0)</f>
        <v/>
      </c>
      <c r="BI1845">
        <f>IF(BH1845=0,0,IF(AND(AW1845&gt;='Tasks Filter'!$F$3,AW1845&lt;='Tasks Filter'!$F$4,OR('Tasks Filter'!$I$3="",ISNUMBER(SEARCH('Tasks Filter'!$I$3,AU1845))),OR('Tasks Filter'!$I$4="",BF1845=IFERROR(MATCH('Tasks Filter'!$I$4,Setup!$L$6:$L$9,0),0)),OR('Tasks Filter'!$I$5="Both",AND('Tasks Filter'!$I$5="Yes",BB1845="✓"),AND('Tasks Filter'!$I$5="No",BB1845&lt;&gt;"✓")),OR('Tasks Filter'!$L$3="",AV1845='Tasks Filter'!$L$3),OR('Tasks Filter'!$L$4="",AZ1845='Tasks Filter'!$L$4),OR('Tasks Filter'!$L$5="",BC1845='Tasks Filter'!$L$5),OR('Tasks Filter'!$O$3="",BD1845='Tasks Filter'!$O$3),OR('Tasks Filter'!$O$4="Yes",BG1845=0)),1,0))</f>
        <v/>
      </c>
      <c r="BJ1845">
        <f>IF(BH1845=0,"",IF('Tasks Filter'!$F$6="Descending",-1,1)*CHOOSE(MATCH('Tasks Filter'!$F$5,Lists!$G$2:$G$6,0),AW1845,BF1845,IFERROR(MATCH(AV1845,Setup!$F$6:$F$15,0),99),IFERROR(MATCH(BC1845,Setup!$H$6:$H$15,0),99),IFERROR(MATCH(AZ1845,Setup!$J$6:$J$11,0),99))*1E+9+(AW1845-40000)*10000+1844)</f>
        <v/>
      </c>
      <c r="BK1845">
        <f>IF(BI1845=1,BJ1845,"")</f>
        <v/>
      </c>
      <c r="BL1845">
        <f>IF(AND(BH1845=1,BG1845=0,N(AW1845)&lt;Setup!$D$7),(AW1845-40000)*10000+1844,"")</f>
        <v/>
      </c>
      <c r="BM1845">
        <f>IF(AND(BH1845=1,AZ1845&lt;&gt;"Cancelled",N(AW1845)&gt;=Dashboard!$AB$3,N(AW1845)&lt;=Dashboard!$AB$3+6),(AW1845-40000)*100000+BF1845*10000+1844,"")</f>
        <v/>
      </c>
      <c r="BN1845">
        <f>IF(AND(BH1845=1,AZ1845&lt;&gt;"Cancelled"),BF1845*10000+1844,"")</f>
        <v/>
      </c>
    </row>
    <row r="1846">
      <c r="AS1846" t="inlineStr">
        <is>
          <t>V</t>
        </is>
      </c>
      <c r="AT1846" t="n">
        <v>350</v>
      </c>
      <c r="AU1846">
        <f>'Variable Tasks'!C350&amp;""</f>
        <v/>
      </c>
      <c r="AV1846">
        <f>'Variable Tasks'!D350&amp;""</f>
        <v/>
      </c>
      <c r="AW1846">
        <f>IF('Variable Tasks'!E350="","",'Variable Tasks'!E350)</f>
        <v/>
      </c>
      <c r="AX1846">
        <f>IF('Variable Tasks'!G350="","",'Variable Tasks'!G350)</f>
        <v/>
      </c>
      <c r="AY1846">
        <f>IF('Variable Tasks'!H350="","",'Variable Tasks'!H350)</f>
        <v/>
      </c>
      <c r="AZ1846">
        <f>IF(AU1846="","",IF('Variable Tasks'!J350="","Not Started",'Variable Tasks'!J350))</f>
        <v/>
      </c>
      <c r="BA1846">
        <f>'Variable Tasks'!L350&amp;""</f>
        <v/>
      </c>
      <c r="BB1846">
        <f>'Variable Tasks'!M350&amp;""</f>
        <v/>
      </c>
      <c r="BC1846">
        <f>'Variable Tasks'!N350&amp;""</f>
        <v/>
      </c>
      <c r="BD1846">
        <f>'Variable Tasks'!O350&amp;""</f>
        <v/>
      </c>
      <c r="BE1846">
        <f>IF('Variable Tasks'!K350="","",'Variable Tasks'!K350)</f>
        <v/>
      </c>
      <c r="BF1846">
        <f>IFERROR(MATCH(BA1846,Setup!$L$6:$L$9,0),5)</f>
        <v/>
      </c>
      <c r="BG1846">
        <f>IF(OR(AZ1846="Done",AZ1846="Cancelled"),1,0)</f>
        <v/>
      </c>
      <c r="BH1846">
        <f>IF(AND(AU1846&lt;&gt;"",ISNUMBER(AW1846)),1,0)</f>
        <v/>
      </c>
      <c r="BI1846">
        <f>IF(BH1846=0,0,IF(AND(AW1846&gt;='Tasks Filter'!$F$3,AW1846&lt;='Tasks Filter'!$F$4,OR('Tasks Filter'!$I$3="",ISNUMBER(SEARCH('Tasks Filter'!$I$3,AU1846))),OR('Tasks Filter'!$I$4="",BF1846=IFERROR(MATCH('Tasks Filter'!$I$4,Setup!$L$6:$L$9,0),0)),OR('Tasks Filter'!$I$5="Both",AND('Tasks Filter'!$I$5="Yes",BB1846="✓"),AND('Tasks Filter'!$I$5="No",BB1846&lt;&gt;"✓")),OR('Tasks Filter'!$L$3="",AV1846='Tasks Filter'!$L$3),OR('Tasks Filter'!$L$4="",AZ1846='Tasks Filter'!$L$4),OR('Tasks Filter'!$L$5="",BC1846='Tasks Filter'!$L$5),OR('Tasks Filter'!$O$3="",BD1846='Tasks Filter'!$O$3),OR('Tasks Filter'!$O$4="Yes",BG1846=0)),1,0))</f>
        <v/>
      </c>
      <c r="BJ1846">
        <f>IF(BH1846=0,"",IF('Tasks Filter'!$F$6="Descending",-1,1)*CHOOSE(MATCH('Tasks Filter'!$F$5,Lists!$G$2:$G$6,0),AW1846,BF1846,IFERROR(MATCH(AV1846,Setup!$F$6:$F$15,0),99),IFERROR(MATCH(BC1846,Setup!$H$6:$H$15,0),99),IFERROR(MATCH(AZ1846,Setup!$J$6:$J$11,0),99))*1E+9+(AW1846-40000)*10000+1845)</f>
        <v/>
      </c>
      <c r="BK1846">
        <f>IF(BI1846=1,BJ1846,"")</f>
        <v/>
      </c>
      <c r="BL1846">
        <f>IF(AND(BH1846=1,BG1846=0,N(AW1846)&lt;Setup!$D$7),(AW1846-40000)*10000+1845,"")</f>
        <v/>
      </c>
      <c r="BM1846">
        <f>IF(AND(BH1846=1,AZ1846&lt;&gt;"Cancelled",N(AW1846)&gt;=Dashboard!$AB$3,N(AW1846)&lt;=Dashboard!$AB$3+6),(AW1846-40000)*100000+BF1846*10000+1845,"")</f>
        <v/>
      </c>
      <c r="BN1846">
        <f>IF(AND(BH1846=1,AZ1846&lt;&gt;"Cancelled"),BF1846*10000+1845,"")</f>
        <v/>
      </c>
    </row>
    <row r="1847">
      <c r="AS1847" t="inlineStr">
        <is>
          <t>V</t>
        </is>
      </c>
      <c r="AT1847" t="n">
        <v>351</v>
      </c>
      <c r="AU1847">
        <f>'Variable Tasks'!C351&amp;""</f>
        <v/>
      </c>
      <c r="AV1847">
        <f>'Variable Tasks'!D351&amp;""</f>
        <v/>
      </c>
      <c r="AW1847">
        <f>IF('Variable Tasks'!E351="","",'Variable Tasks'!E351)</f>
        <v/>
      </c>
      <c r="AX1847">
        <f>IF('Variable Tasks'!G351="","",'Variable Tasks'!G351)</f>
        <v/>
      </c>
      <c r="AY1847">
        <f>IF('Variable Tasks'!H351="","",'Variable Tasks'!H351)</f>
        <v/>
      </c>
      <c r="AZ1847">
        <f>IF(AU1847="","",IF('Variable Tasks'!J351="","Not Started",'Variable Tasks'!J351))</f>
        <v/>
      </c>
      <c r="BA1847">
        <f>'Variable Tasks'!L351&amp;""</f>
        <v/>
      </c>
      <c r="BB1847">
        <f>'Variable Tasks'!M351&amp;""</f>
        <v/>
      </c>
      <c r="BC1847">
        <f>'Variable Tasks'!N351&amp;""</f>
        <v/>
      </c>
      <c r="BD1847">
        <f>'Variable Tasks'!O351&amp;""</f>
        <v/>
      </c>
      <c r="BE1847">
        <f>IF('Variable Tasks'!K351="","",'Variable Tasks'!K351)</f>
        <v/>
      </c>
      <c r="BF1847">
        <f>IFERROR(MATCH(BA1847,Setup!$L$6:$L$9,0),5)</f>
        <v/>
      </c>
      <c r="BG1847">
        <f>IF(OR(AZ1847="Done",AZ1847="Cancelled"),1,0)</f>
        <v/>
      </c>
      <c r="BH1847">
        <f>IF(AND(AU1847&lt;&gt;"",ISNUMBER(AW1847)),1,0)</f>
        <v/>
      </c>
      <c r="BI1847">
        <f>IF(BH1847=0,0,IF(AND(AW1847&gt;='Tasks Filter'!$F$3,AW1847&lt;='Tasks Filter'!$F$4,OR('Tasks Filter'!$I$3="",ISNUMBER(SEARCH('Tasks Filter'!$I$3,AU1847))),OR('Tasks Filter'!$I$4="",BF1847=IFERROR(MATCH('Tasks Filter'!$I$4,Setup!$L$6:$L$9,0),0)),OR('Tasks Filter'!$I$5="Both",AND('Tasks Filter'!$I$5="Yes",BB1847="✓"),AND('Tasks Filter'!$I$5="No",BB1847&lt;&gt;"✓")),OR('Tasks Filter'!$L$3="",AV1847='Tasks Filter'!$L$3),OR('Tasks Filter'!$L$4="",AZ1847='Tasks Filter'!$L$4),OR('Tasks Filter'!$L$5="",BC1847='Tasks Filter'!$L$5),OR('Tasks Filter'!$O$3="",BD1847='Tasks Filter'!$O$3),OR('Tasks Filter'!$O$4="Yes",BG1847=0)),1,0))</f>
        <v/>
      </c>
      <c r="BJ1847">
        <f>IF(BH1847=0,"",IF('Tasks Filter'!$F$6="Descending",-1,1)*CHOOSE(MATCH('Tasks Filter'!$F$5,Lists!$G$2:$G$6,0),AW1847,BF1847,IFERROR(MATCH(AV1847,Setup!$F$6:$F$15,0),99),IFERROR(MATCH(BC1847,Setup!$H$6:$H$15,0),99),IFERROR(MATCH(AZ1847,Setup!$J$6:$J$11,0),99))*1E+9+(AW1847-40000)*10000+1846)</f>
        <v/>
      </c>
      <c r="BK1847">
        <f>IF(BI1847=1,BJ1847,"")</f>
        <v/>
      </c>
      <c r="BL1847">
        <f>IF(AND(BH1847=1,BG1847=0,N(AW1847)&lt;Setup!$D$7),(AW1847-40000)*10000+1846,"")</f>
        <v/>
      </c>
      <c r="BM1847">
        <f>IF(AND(BH1847=1,AZ1847&lt;&gt;"Cancelled",N(AW1847)&gt;=Dashboard!$AB$3,N(AW1847)&lt;=Dashboard!$AB$3+6),(AW1847-40000)*100000+BF1847*10000+1846,"")</f>
        <v/>
      </c>
      <c r="BN1847">
        <f>IF(AND(BH1847=1,AZ1847&lt;&gt;"Cancelled"),BF1847*10000+1846,"")</f>
        <v/>
      </c>
    </row>
    <row r="1848">
      <c r="AS1848" t="inlineStr">
        <is>
          <t>V</t>
        </is>
      </c>
      <c r="AT1848" t="n">
        <v>352</v>
      </c>
      <c r="AU1848">
        <f>'Variable Tasks'!C352&amp;""</f>
        <v/>
      </c>
      <c r="AV1848">
        <f>'Variable Tasks'!D352&amp;""</f>
        <v/>
      </c>
      <c r="AW1848">
        <f>IF('Variable Tasks'!E352="","",'Variable Tasks'!E352)</f>
        <v/>
      </c>
      <c r="AX1848">
        <f>IF('Variable Tasks'!G352="","",'Variable Tasks'!G352)</f>
        <v/>
      </c>
      <c r="AY1848">
        <f>IF('Variable Tasks'!H352="","",'Variable Tasks'!H352)</f>
        <v/>
      </c>
      <c r="AZ1848">
        <f>IF(AU1848="","",IF('Variable Tasks'!J352="","Not Started",'Variable Tasks'!J352))</f>
        <v/>
      </c>
      <c r="BA1848">
        <f>'Variable Tasks'!L352&amp;""</f>
        <v/>
      </c>
      <c r="BB1848">
        <f>'Variable Tasks'!M352&amp;""</f>
        <v/>
      </c>
      <c r="BC1848">
        <f>'Variable Tasks'!N352&amp;""</f>
        <v/>
      </c>
      <c r="BD1848">
        <f>'Variable Tasks'!O352&amp;""</f>
        <v/>
      </c>
      <c r="BE1848">
        <f>IF('Variable Tasks'!K352="","",'Variable Tasks'!K352)</f>
        <v/>
      </c>
      <c r="BF1848">
        <f>IFERROR(MATCH(BA1848,Setup!$L$6:$L$9,0),5)</f>
        <v/>
      </c>
      <c r="BG1848">
        <f>IF(OR(AZ1848="Done",AZ1848="Cancelled"),1,0)</f>
        <v/>
      </c>
      <c r="BH1848">
        <f>IF(AND(AU1848&lt;&gt;"",ISNUMBER(AW1848)),1,0)</f>
        <v/>
      </c>
      <c r="BI1848">
        <f>IF(BH1848=0,0,IF(AND(AW1848&gt;='Tasks Filter'!$F$3,AW1848&lt;='Tasks Filter'!$F$4,OR('Tasks Filter'!$I$3="",ISNUMBER(SEARCH('Tasks Filter'!$I$3,AU1848))),OR('Tasks Filter'!$I$4="",BF1848=IFERROR(MATCH('Tasks Filter'!$I$4,Setup!$L$6:$L$9,0),0)),OR('Tasks Filter'!$I$5="Both",AND('Tasks Filter'!$I$5="Yes",BB1848="✓"),AND('Tasks Filter'!$I$5="No",BB1848&lt;&gt;"✓")),OR('Tasks Filter'!$L$3="",AV1848='Tasks Filter'!$L$3),OR('Tasks Filter'!$L$4="",AZ1848='Tasks Filter'!$L$4),OR('Tasks Filter'!$L$5="",BC1848='Tasks Filter'!$L$5),OR('Tasks Filter'!$O$3="",BD1848='Tasks Filter'!$O$3),OR('Tasks Filter'!$O$4="Yes",BG1848=0)),1,0))</f>
        <v/>
      </c>
      <c r="BJ1848">
        <f>IF(BH1848=0,"",IF('Tasks Filter'!$F$6="Descending",-1,1)*CHOOSE(MATCH('Tasks Filter'!$F$5,Lists!$G$2:$G$6,0),AW1848,BF1848,IFERROR(MATCH(AV1848,Setup!$F$6:$F$15,0),99),IFERROR(MATCH(BC1848,Setup!$H$6:$H$15,0),99),IFERROR(MATCH(AZ1848,Setup!$J$6:$J$11,0),99))*1E+9+(AW1848-40000)*10000+1847)</f>
        <v/>
      </c>
      <c r="BK1848">
        <f>IF(BI1848=1,BJ1848,"")</f>
        <v/>
      </c>
      <c r="BL1848">
        <f>IF(AND(BH1848=1,BG1848=0,N(AW1848)&lt;Setup!$D$7),(AW1848-40000)*10000+1847,"")</f>
        <v/>
      </c>
      <c r="BM1848">
        <f>IF(AND(BH1848=1,AZ1848&lt;&gt;"Cancelled",N(AW1848)&gt;=Dashboard!$AB$3,N(AW1848)&lt;=Dashboard!$AB$3+6),(AW1848-40000)*100000+BF1848*10000+1847,"")</f>
        <v/>
      </c>
      <c r="BN1848">
        <f>IF(AND(BH1848=1,AZ1848&lt;&gt;"Cancelled"),BF1848*10000+1847,"")</f>
        <v/>
      </c>
    </row>
    <row r="1849">
      <c r="AS1849" t="inlineStr">
        <is>
          <t>V</t>
        </is>
      </c>
      <c r="AT1849" t="n">
        <v>353</v>
      </c>
      <c r="AU1849">
        <f>'Variable Tasks'!C353&amp;""</f>
        <v/>
      </c>
      <c r="AV1849">
        <f>'Variable Tasks'!D353&amp;""</f>
        <v/>
      </c>
      <c r="AW1849">
        <f>IF('Variable Tasks'!E353="","",'Variable Tasks'!E353)</f>
        <v/>
      </c>
      <c r="AX1849">
        <f>IF('Variable Tasks'!G353="","",'Variable Tasks'!G353)</f>
        <v/>
      </c>
      <c r="AY1849">
        <f>IF('Variable Tasks'!H353="","",'Variable Tasks'!H353)</f>
        <v/>
      </c>
      <c r="AZ1849">
        <f>IF(AU1849="","",IF('Variable Tasks'!J353="","Not Started",'Variable Tasks'!J353))</f>
        <v/>
      </c>
      <c r="BA1849">
        <f>'Variable Tasks'!L353&amp;""</f>
        <v/>
      </c>
      <c r="BB1849">
        <f>'Variable Tasks'!M353&amp;""</f>
        <v/>
      </c>
      <c r="BC1849">
        <f>'Variable Tasks'!N353&amp;""</f>
        <v/>
      </c>
      <c r="BD1849">
        <f>'Variable Tasks'!O353&amp;""</f>
        <v/>
      </c>
      <c r="BE1849">
        <f>IF('Variable Tasks'!K353="","",'Variable Tasks'!K353)</f>
        <v/>
      </c>
      <c r="BF1849">
        <f>IFERROR(MATCH(BA1849,Setup!$L$6:$L$9,0),5)</f>
        <v/>
      </c>
      <c r="BG1849">
        <f>IF(OR(AZ1849="Done",AZ1849="Cancelled"),1,0)</f>
        <v/>
      </c>
      <c r="BH1849">
        <f>IF(AND(AU1849&lt;&gt;"",ISNUMBER(AW1849)),1,0)</f>
        <v/>
      </c>
      <c r="BI1849">
        <f>IF(BH1849=0,0,IF(AND(AW1849&gt;='Tasks Filter'!$F$3,AW1849&lt;='Tasks Filter'!$F$4,OR('Tasks Filter'!$I$3="",ISNUMBER(SEARCH('Tasks Filter'!$I$3,AU1849))),OR('Tasks Filter'!$I$4="",BF1849=IFERROR(MATCH('Tasks Filter'!$I$4,Setup!$L$6:$L$9,0),0)),OR('Tasks Filter'!$I$5="Both",AND('Tasks Filter'!$I$5="Yes",BB1849="✓"),AND('Tasks Filter'!$I$5="No",BB1849&lt;&gt;"✓")),OR('Tasks Filter'!$L$3="",AV1849='Tasks Filter'!$L$3),OR('Tasks Filter'!$L$4="",AZ1849='Tasks Filter'!$L$4),OR('Tasks Filter'!$L$5="",BC1849='Tasks Filter'!$L$5),OR('Tasks Filter'!$O$3="",BD1849='Tasks Filter'!$O$3),OR('Tasks Filter'!$O$4="Yes",BG1849=0)),1,0))</f>
        <v/>
      </c>
      <c r="BJ1849">
        <f>IF(BH1849=0,"",IF('Tasks Filter'!$F$6="Descending",-1,1)*CHOOSE(MATCH('Tasks Filter'!$F$5,Lists!$G$2:$G$6,0),AW1849,BF1849,IFERROR(MATCH(AV1849,Setup!$F$6:$F$15,0),99),IFERROR(MATCH(BC1849,Setup!$H$6:$H$15,0),99),IFERROR(MATCH(AZ1849,Setup!$J$6:$J$11,0),99))*1E+9+(AW1849-40000)*10000+1848)</f>
        <v/>
      </c>
      <c r="BK1849">
        <f>IF(BI1849=1,BJ1849,"")</f>
        <v/>
      </c>
      <c r="BL1849">
        <f>IF(AND(BH1849=1,BG1849=0,N(AW1849)&lt;Setup!$D$7),(AW1849-40000)*10000+1848,"")</f>
        <v/>
      </c>
      <c r="BM1849">
        <f>IF(AND(BH1849=1,AZ1849&lt;&gt;"Cancelled",N(AW1849)&gt;=Dashboard!$AB$3,N(AW1849)&lt;=Dashboard!$AB$3+6),(AW1849-40000)*100000+BF1849*10000+1848,"")</f>
        <v/>
      </c>
      <c r="BN1849">
        <f>IF(AND(BH1849=1,AZ1849&lt;&gt;"Cancelled"),BF1849*10000+1848,"")</f>
        <v/>
      </c>
    </row>
    <row r="1850">
      <c r="AS1850" t="inlineStr">
        <is>
          <t>V</t>
        </is>
      </c>
      <c r="AT1850" t="n">
        <v>354</v>
      </c>
      <c r="AU1850">
        <f>'Variable Tasks'!C354&amp;""</f>
        <v/>
      </c>
      <c r="AV1850">
        <f>'Variable Tasks'!D354&amp;""</f>
        <v/>
      </c>
      <c r="AW1850">
        <f>IF('Variable Tasks'!E354="","",'Variable Tasks'!E354)</f>
        <v/>
      </c>
      <c r="AX1850">
        <f>IF('Variable Tasks'!G354="","",'Variable Tasks'!G354)</f>
        <v/>
      </c>
      <c r="AY1850">
        <f>IF('Variable Tasks'!H354="","",'Variable Tasks'!H354)</f>
        <v/>
      </c>
      <c r="AZ1850">
        <f>IF(AU1850="","",IF('Variable Tasks'!J354="","Not Started",'Variable Tasks'!J354))</f>
        <v/>
      </c>
      <c r="BA1850">
        <f>'Variable Tasks'!L354&amp;""</f>
        <v/>
      </c>
      <c r="BB1850">
        <f>'Variable Tasks'!M354&amp;""</f>
        <v/>
      </c>
      <c r="BC1850">
        <f>'Variable Tasks'!N354&amp;""</f>
        <v/>
      </c>
      <c r="BD1850">
        <f>'Variable Tasks'!O354&amp;""</f>
        <v/>
      </c>
      <c r="BE1850">
        <f>IF('Variable Tasks'!K354="","",'Variable Tasks'!K354)</f>
        <v/>
      </c>
      <c r="BF1850">
        <f>IFERROR(MATCH(BA1850,Setup!$L$6:$L$9,0),5)</f>
        <v/>
      </c>
      <c r="BG1850">
        <f>IF(OR(AZ1850="Done",AZ1850="Cancelled"),1,0)</f>
        <v/>
      </c>
      <c r="BH1850">
        <f>IF(AND(AU1850&lt;&gt;"",ISNUMBER(AW1850)),1,0)</f>
        <v/>
      </c>
      <c r="BI1850">
        <f>IF(BH1850=0,0,IF(AND(AW1850&gt;='Tasks Filter'!$F$3,AW1850&lt;='Tasks Filter'!$F$4,OR('Tasks Filter'!$I$3="",ISNUMBER(SEARCH('Tasks Filter'!$I$3,AU1850))),OR('Tasks Filter'!$I$4="",BF1850=IFERROR(MATCH('Tasks Filter'!$I$4,Setup!$L$6:$L$9,0),0)),OR('Tasks Filter'!$I$5="Both",AND('Tasks Filter'!$I$5="Yes",BB1850="✓"),AND('Tasks Filter'!$I$5="No",BB1850&lt;&gt;"✓")),OR('Tasks Filter'!$L$3="",AV1850='Tasks Filter'!$L$3),OR('Tasks Filter'!$L$4="",AZ1850='Tasks Filter'!$L$4),OR('Tasks Filter'!$L$5="",BC1850='Tasks Filter'!$L$5),OR('Tasks Filter'!$O$3="",BD1850='Tasks Filter'!$O$3),OR('Tasks Filter'!$O$4="Yes",BG1850=0)),1,0))</f>
        <v/>
      </c>
      <c r="BJ1850">
        <f>IF(BH1850=0,"",IF('Tasks Filter'!$F$6="Descending",-1,1)*CHOOSE(MATCH('Tasks Filter'!$F$5,Lists!$G$2:$G$6,0),AW1850,BF1850,IFERROR(MATCH(AV1850,Setup!$F$6:$F$15,0),99),IFERROR(MATCH(BC1850,Setup!$H$6:$H$15,0),99),IFERROR(MATCH(AZ1850,Setup!$J$6:$J$11,0),99))*1E+9+(AW1850-40000)*10000+1849)</f>
        <v/>
      </c>
      <c r="BK1850">
        <f>IF(BI1850=1,BJ1850,"")</f>
        <v/>
      </c>
      <c r="BL1850">
        <f>IF(AND(BH1850=1,BG1850=0,N(AW1850)&lt;Setup!$D$7),(AW1850-40000)*10000+1849,"")</f>
        <v/>
      </c>
      <c r="BM1850">
        <f>IF(AND(BH1850=1,AZ1850&lt;&gt;"Cancelled",N(AW1850)&gt;=Dashboard!$AB$3,N(AW1850)&lt;=Dashboard!$AB$3+6),(AW1850-40000)*100000+BF1850*10000+1849,"")</f>
        <v/>
      </c>
      <c r="BN1850">
        <f>IF(AND(BH1850=1,AZ1850&lt;&gt;"Cancelled"),BF1850*10000+1849,"")</f>
        <v/>
      </c>
    </row>
    <row r="1851">
      <c r="AS1851" t="inlineStr">
        <is>
          <t>V</t>
        </is>
      </c>
      <c r="AT1851" t="n">
        <v>355</v>
      </c>
      <c r="AU1851">
        <f>'Variable Tasks'!C355&amp;""</f>
        <v/>
      </c>
      <c r="AV1851">
        <f>'Variable Tasks'!D355&amp;""</f>
        <v/>
      </c>
      <c r="AW1851">
        <f>IF('Variable Tasks'!E355="","",'Variable Tasks'!E355)</f>
        <v/>
      </c>
      <c r="AX1851">
        <f>IF('Variable Tasks'!G355="","",'Variable Tasks'!G355)</f>
        <v/>
      </c>
      <c r="AY1851">
        <f>IF('Variable Tasks'!H355="","",'Variable Tasks'!H355)</f>
        <v/>
      </c>
      <c r="AZ1851">
        <f>IF(AU1851="","",IF('Variable Tasks'!J355="","Not Started",'Variable Tasks'!J355))</f>
        <v/>
      </c>
      <c r="BA1851">
        <f>'Variable Tasks'!L355&amp;""</f>
        <v/>
      </c>
      <c r="BB1851">
        <f>'Variable Tasks'!M355&amp;""</f>
        <v/>
      </c>
      <c r="BC1851">
        <f>'Variable Tasks'!N355&amp;""</f>
        <v/>
      </c>
      <c r="BD1851">
        <f>'Variable Tasks'!O355&amp;""</f>
        <v/>
      </c>
      <c r="BE1851">
        <f>IF('Variable Tasks'!K355="","",'Variable Tasks'!K355)</f>
        <v/>
      </c>
      <c r="BF1851">
        <f>IFERROR(MATCH(BA1851,Setup!$L$6:$L$9,0),5)</f>
        <v/>
      </c>
      <c r="BG1851">
        <f>IF(OR(AZ1851="Done",AZ1851="Cancelled"),1,0)</f>
        <v/>
      </c>
      <c r="BH1851">
        <f>IF(AND(AU1851&lt;&gt;"",ISNUMBER(AW1851)),1,0)</f>
        <v/>
      </c>
      <c r="BI1851">
        <f>IF(BH1851=0,0,IF(AND(AW1851&gt;='Tasks Filter'!$F$3,AW1851&lt;='Tasks Filter'!$F$4,OR('Tasks Filter'!$I$3="",ISNUMBER(SEARCH('Tasks Filter'!$I$3,AU1851))),OR('Tasks Filter'!$I$4="",BF1851=IFERROR(MATCH('Tasks Filter'!$I$4,Setup!$L$6:$L$9,0),0)),OR('Tasks Filter'!$I$5="Both",AND('Tasks Filter'!$I$5="Yes",BB1851="✓"),AND('Tasks Filter'!$I$5="No",BB1851&lt;&gt;"✓")),OR('Tasks Filter'!$L$3="",AV1851='Tasks Filter'!$L$3),OR('Tasks Filter'!$L$4="",AZ1851='Tasks Filter'!$L$4),OR('Tasks Filter'!$L$5="",BC1851='Tasks Filter'!$L$5),OR('Tasks Filter'!$O$3="",BD1851='Tasks Filter'!$O$3),OR('Tasks Filter'!$O$4="Yes",BG1851=0)),1,0))</f>
        <v/>
      </c>
      <c r="BJ1851">
        <f>IF(BH1851=0,"",IF('Tasks Filter'!$F$6="Descending",-1,1)*CHOOSE(MATCH('Tasks Filter'!$F$5,Lists!$G$2:$G$6,0),AW1851,BF1851,IFERROR(MATCH(AV1851,Setup!$F$6:$F$15,0),99),IFERROR(MATCH(BC1851,Setup!$H$6:$H$15,0),99),IFERROR(MATCH(AZ1851,Setup!$J$6:$J$11,0),99))*1E+9+(AW1851-40000)*10000+1850)</f>
        <v/>
      </c>
      <c r="BK1851">
        <f>IF(BI1851=1,BJ1851,"")</f>
        <v/>
      </c>
      <c r="BL1851">
        <f>IF(AND(BH1851=1,BG1851=0,N(AW1851)&lt;Setup!$D$7),(AW1851-40000)*10000+1850,"")</f>
        <v/>
      </c>
      <c r="BM1851">
        <f>IF(AND(BH1851=1,AZ1851&lt;&gt;"Cancelled",N(AW1851)&gt;=Dashboard!$AB$3,N(AW1851)&lt;=Dashboard!$AB$3+6),(AW1851-40000)*100000+BF1851*10000+1850,"")</f>
        <v/>
      </c>
      <c r="BN1851">
        <f>IF(AND(BH1851=1,AZ1851&lt;&gt;"Cancelled"),BF1851*10000+1850,"")</f>
        <v/>
      </c>
    </row>
    <row r="1852">
      <c r="AS1852" t="inlineStr">
        <is>
          <t>V</t>
        </is>
      </c>
      <c r="AT1852" t="n">
        <v>356</v>
      </c>
      <c r="AU1852">
        <f>'Variable Tasks'!C356&amp;""</f>
        <v/>
      </c>
      <c r="AV1852">
        <f>'Variable Tasks'!D356&amp;""</f>
        <v/>
      </c>
      <c r="AW1852">
        <f>IF('Variable Tasks'!E356="","",'Variable Tasks'!E356)</f>
        <v/>
      </c>
      <c r="AX1852">
        <f>IF('Variable Tasks'!G356="","",'Variable Tasks'!G356)</f>
        <v/>
      </c>
      <c r="AY1852">
        <f>IF('Variable Tasks'!H356="","",'Variable Tasks'!H356)</f>
        <v/>
      </c>
      <c r="AZ1852">
        <f>IF(AU1852="","",IF('Variable Tasks'!J356="","Not Started",'Variable Tasks'!J356))</f>
        <v/>
      </c>
      <c r="BA1852">
        <f>'Variable Tasks'!L356&amp;""</f>
        <v/>
      </c>
      <c r="BB1852">
        <f>'Variable Tasks'!M356&amp;""</f>
        <v/>
      </c>
      <c r="BC1852">
        <f>'Variable Tasks'!N356&amp;""</f>
        <v/>
      </c>
      <c r="BD1852">
        <f>'Variable Tasks'!O356&amp;""</f>
        <v/>
      </c>
      <c r="BE1852">
        <f>IF('Variable Tasks'!K356="","",'Variable Tasks'!K356)</f>
        <v/>
      </c>
      <c r="BF1852">
        <f>IFERROR(MATCH(BA1852,Setup!$L$6:$L$9,0),5)</f>
        <v/>
      </c>
      <c r="BG1852">
        <f>IF(OR(AZ1852="Done",AZ1852="Cancelled"),1,0)</f>
        <v/>
      </c>
      <c r="BH1852">
        <f>IF(AND(AU1852&lt;&gt;"",ISNUMBER(AW1852)),1,0)</f>
        <v/>
      </c>
      <c r="BI1852">
        <f>IF(BH1852=0,0,IF(AND(AW1852&gt;='Tasks Filter'!$F$3,AW1852&lt;='Tasks Filter'!$F$4,OR('Tasks Filter'!$I$3="",ISNUMBER(SEARCH('Tasks Filter'!$I$3,AU1852))),OR('Tasks Filter'!$I$4="",BF1852=IFERROR(MATCH('Tasks Filter'!$I$4,Setup!$L$6:$L$9,0),0)),OR('Tasks Filter'!$I$5="Both",AND('Tasks Filter'!$I$5="Yes",BB1852="✓"),AND('Tasks Filter'!$I$5="No",BB1852&lt;&gt;"✓")),OR('Tasks Filter'!$L$3="",AV1852='Tasks Filter'!$L$3),OR('Tasks Filter'!$L$4="",AZ1852='Tasks Filter'!$L$4),OR('Tasks Filter'!$L$5="",BC1852='Tasks Filter'!$L$5),OR('Tasks Filter'!$O$3="",BD1852='Tasks Filter'!$O$3),OR('Tasks Filter'!$O$4="Yes",BG1852=0)),1,0))</f>
        <v/>
      </c>
      <c r="BJ1852">
        <f>IF(BH1852=0,"",IF('Tasks Filter'!$F$6="Descending",-1,1)*CHOOSE(MATCH('Tasks Filter'!$F$5,Lists!$G$2:$G$6,0),AW1852,BF1852,IFERROR(MATCH(AV1852,Setup!$F$6:$F$15,0),99),IFERROR(MATCH(BC1852,Setup!$H$6:$H$15,0),99),IFERROR(MATCH(AZ1852,Setup!$J$6:$J$11,0),99))*1E+9+(AW1852-40000)*10000+1851)</f>
        <v/>
      </c>
      <c r="BK1852">
        <f>IF(BI1852=1,BJ1852,"")</f>
        <v/>
      </c>
      <c r="BL1852">
        <f>IF(AND(BH1852=1,BG1852=0,N(AW1852)&lt;Setup!$D$7),(AW1852-40000)*10000+1851,"")</f>
        <v/>
      </c>
      <c r="BM1852">
        <f>IF(AND(BH1852=1,AZ1852&lt;&gt;"Cancelled",N(AW1852)&gt;=Dashboard!$AB$3,N(AW1852)&lt;=Dashboard!$AB$3+6),(AW1852-40000)*100000+BF1852*10000+1851,"")</f>
        <v/>
      </c>
      <c r="BN1852">
        <f>IF(AND(BH1852=1,AZ1852&lt;&gt;"Cancelled"),BF1852*10000+1851,"")</f>
        <v/>
      </c>
    </row>
    <row r="1853">
      <c r="AS1853" t="inlineStr">
        <is>
          <t>V</t>
        </is>
      </c>
      <c r="AT1853" t="n">
        <v>357</v>
      </c>
      <c r="AU1853">
        <f>'Variable Tasks'!C357&amp;""</f>
        <v/>
      </c>
      <c r="AV1853">
        <f>'Variable Tasks'!D357&amp;""</f>
        <v/>
      </c>
      <c r="AW1853">
        <f>IF('Variable Tasks'!E357="","",'Variable Tasks'!E357)</f>
        <v/>
      </c>
      <c r="AX1853">
        <f>IF('Variable Tasks'!G357="","",'Variable Tasks'!G357)</f>
        <v/>
      </c>
      <c r="AY1853">
        <f>IF('Variable Tasks'!H357="","",'Variable Tasks'!H357)</f>
        <v/>
      </c>
      <c r="AZ1853">
        <f>IF(AU1853="","",IF('Variable Tasks'!J357="","Not Started",'Variable Tasks'!J357))</f>
        <v/>
      </c>
      <c r="BA1853">
        <f>'Variable Tasks'!L357&amp;""</f>
        <v/>
      </c>
      <c r="BB1853">
        <f>'Variable Tasks'!M357&amp;""</f>
        <v/>
      </c>
      <c r="BC1853">
        <f>'Variable Tasks'!N357&amp;""</f>
        <v/>
      </c>
      <c r="BD1853">
        <f>'Variable Tasks'!O357&amp;""</f>
        <v/>
      </c>
      <c r="BE1853">
        <f>IF('Variable Tasks'!K357="","",'Variable Tasks'!K357)</f>
        <v/>
      </c>
      <c r="BF1853">
        <f>IFERROR(MATCH(BA1853,Setup!$L$6:$L$9,0),5)</f>
        <v/>
      </c>
      <c r="BG1853">
        <f>IF(OR(AZ1853="Done",AZ1853="Cancelled"),1,0)</f>
        <v/>
      </c>
      <c r="BH1853">
        <f>IF(AND(AU1853&lt;&gt;"",ISNUMBER(AW1853)),1,0)</f>
        <v/>
      </c>
      <c r="BI1853">
        <f>IF(BH1853=0,0,IF(AND(AW1853&gt;='Tasks Filter'!$F$3,AW1853&lt;='Tasks Filter'!$F$4,OR('Tasks Filter'!$I$3="",ISNUMBER(SEARCH('Tasks Filter'!$I$3,AU1853))),OR('Tasks Filter'!$I$4="",BF1853=IFERROR(MATCH('Tasks Filter'!$I$4,Setup!$L$6:$L$9,0),0)),OR('Tasks Filter'!$I$5="Both",AND('Tasks Filter'!$I$5="Yes",BB1853="✓"),AND('Tasks Filter'!$I$5="No",BB1853&lt;&gt;"✓")),OR('Tasks Filter'!$L$3="",AV1853='Tasks Filter'!$L$3),OR('Tasks Filter'!$L$4="",AZ1853='Tasks Filter'!$L$4),OR('Tasks Filter'!$L$5="",BC1853='Tasks Filter'!$L$5),OR('Tasks Filter'!$O$3="",BD1853='Tasks Filter'!$O$3),OR('Tasks Filter'!$O$4="Yes",BG1853=0)),1,0))</f>
        <v/>
      </c>
      <c r="BJ1853">
        <f>IF(BH1853=0,"",IF('Tasks Filter'!$F$6="Descending",-1,1)*CHOOSE(MATCH('Tasks Filter'!$F$5,Lists!$G$2:$G$6,0),AW1853,BF1853,IFERROR(MATCH(AV1853,Setup!$F$6:$F$15,0),99),IFERROR(MATCH(BC1853,Setup!$H$6:$H$15,0),99),IFERROR(MATCH(AZ1853,Setup!$J$6:$J$11,0),99))*1E+9+(AW1853-40000)*10000+1852)</f>
        <v/>
      </c>
      <c r="BK1853">
        <f>IF(BI1853=1,BJ1853,"")</f>
        <v/>
      </c>
      <c r="BL1853">
        <f>IF(AND(BH1853=1,BG1853=0,N(AW1853)&lt;Setup!$D$7),(AW1853-40000)*10000+1852,"")</f>
        <v/>
      </c>
      <c r="BM1853">
        <f>IF(AND(BH1853=1,AZ1853&lt;&gt;"Cancelled",N(AW1853)&gt;=Dashboard!$AB$3,N(AW1853)&lt;=Dashboard!$AB$3+6),(AW1853-40000)*100000+BF1853*10000+1852,"")</f>
        <v/>
      </c>
      <c r="BN1853">
        <f>IF(AND(BH1853=1,AZ1853&lt;&gt;"Cancelled"),BF1853*10000+1852,"")</f>
        <v/>
      </c>
    </row>
    <row r="1854">
      <c r="AS1854" t="inlineStr">
        <is>
          <t>V</t>
        </is>
      </c>
      <c r="AT1854" t="n">
        <v>358</v>
      </c>
      <c r="AU1854">
        <f>'Variable Tasks'!C358&amp;""</f>
        <v/>
      </c>
      <c r="AV1854">
        <f>'Variable Tasks'!D358&amp;""</f>
        <v/>
      </c>
      <c r="AW1854">
        <f>IF('Variable Tasks'!E358="","",'Variable Tasks'!E358)</f>
        <v/>
      </c>
      <c r="AX1854">
        <f>IF('Variable Tasks'!G358="","",'Variable Tasks'!G358)</f>
        <v/>
      </c>
      <c r="AY1854">
        <f>IF('Variable Tasks'!H358="","",'Variable Tasks'!H358)</f>
        <v/>
      </c>
      <c r="AZ1854">
        <f>IF(AU1854="","",IF('Variable Tasks'!J358="","Not Started",'Variable Tasks'!J358))</f>
        <v/>
      </c>
      <c r="BA1854">
        <f>'Variable Tasks'!L358&amp;""</f>
        <v/>
      </c>
      <c r="BB1854">
        <f>'Variable Tasks'!M358&amp;""</f>
        <v/>
      </c>
      <c r="BC1854">
        <f>'Variable Tasks'!N358&amp;""</f>
        <v/>
      </c>
      <c r="BD1854">
        <f>'Variable Tasks'!O358&amp;""</f>
        <v/>
      </c>
      <c r="BE1854">
        <f>IF('Variable Tasks'!K358="","",'Variable Tasks'!K358)</f>
        <v/>
      </c>
      <c r="BF1854">
        <f>IFERROR(MATCH(BA1854,Setup!$L$6:$L$9,0),5)</f>
        <v/>
      </c>
      <c r="BG1854">
        <f>IF(OR(AZ1854="Done",AZ1854="Cancelled"),1,0)</f>
        <v/>
      </c>
      <c r="BH1854">
        <f>IF(AND(AU1854&lt;&gt;"",ISNUMBER(AW1854)),1,0)</f>
        <v/>
      </c>
      <c r="BI1854">
        <f>IF(BH1854=0,0,IF(AND(AW1854&gt;='Tasks Filter'!$F$3,AW1854&lt;='Tasks Filter'!$F$4,OR('Tasks Filter'!$I$3="",ISNUMBER(SEARCH('Tasks Filter'!$I$3,AU1854))),OR('Tasks Filter'!$I$4="",BF1854=IFERROR(MATCH('Tasks Filter'!$I$4,Setup!$L$6:$L$9,0),0)),OR('Tasks Filter'!$I$5="Both",AND('Tasks Filter'!$I$5="Yes",BB1854="✓"),AND('Tasks Filter'!$I$5="No",BB1854&lt;&gt;"✓")),OR('Tasks Filter'!$L$3="",AV1854='Tasks Filter'!$L$3),OR('Tasks Filter'!$L$4="",AZ1854='Tasks Filter'!$L$4),OR('Tasks Filter'!$L$5="",BC1854='Tasks Filter'!$L$5),OR('Tasks Filter'!$O$3="",BD1854='Tasks Filter'!$O$3),OR('Tasks Filter'!$O$4="Yes",BG1854=0)),1,0))</f>
        <v/>
      </c>
      <c r="BJ1854">
        <f>IF(BH1854=0,"",IF('Tasks Filter'!$F$6="Descending",-1,1)*CHOOSE(MATCH('Tasks Filter'!$F$5,Lists!$G$2:$G$6,0),AW1854,BF1854,IFERROR(MATCH(AV1854,Setup!$F$6:$F$15,0),99),IFERROR(MATCH(BC1854,Setup!$H$6:$H$15,0),99),IFERROR(MATCH(AZ1854,Setup!$J$6:$J$11,0),99))*1E+9+(AW1854-40000)*10000+1853)</f>
        <v/>
      </c>
      <c r="BK1854">
        <f>IF(BI1854=1,BJ1854,"")</f>
        <v/>
      </c>
      <c r="BL1854">
        <f>IF(AND(BH1854=1,BG1854=0,N(AW1854)&lt;Setup!$D$7),(AW1854-40000)*10000+1853,"")</f>
        <v/>
      </c>
      <c r="BM1854">
        <f>IF(AND(BH1854=1,AZ1854&lt;&gt;"Cancelled",N(AW1854)&gt;=Dashboard!$AB$3,N(AW1854)&lt;=Dashboard!$AB$3+6),(AW1854-40000)*100000+BF1854*10000+1853,"")</f>
        <v/>
      </c>
      <c r="BN1854">
        <f>IF(AND(BH1854=1,AZ1854&lt;&gt;"Cancelled"),BF1854*10000+1853,"")</f>
        <v/>
      </c>
    </row>
    <row r="1855">
      <c r="AS1855" t="inlineStr">
        <is>
          <t>V</t>
        </is>
      </c>
      <c r="AT1855" t="n">
        <v>359</v>
      </c>
      <c r="AU1855">
        <f>'Variable Tasks'!C359&amp;""</f>
        <v/>
      </c>
      <c r="AV1855">
        <f>'Variable Tasks'!D359&amp;""</f>
        <v/>
      </c>
      <c r="AW1855">
        <f>IF('Variable Tasks'!E359="","",'Variable Tasks'!E359)</f>
        <v/>
      </c>
      <c r="AX1855">
        <f>IF('Variable Tasks'!G359="","",'Variable Tasks'!G359)</f>
        <v/>
      </c>
      <c r="AY1855">
        <f>IF('Variable Tasks'!H359="","",'Variable Tasks'!H359)</f>
        <v/>
      </c>
      <c r="AZ1855">
        <f>IF(AU1855="","",IF('Variable Tasks'!J359="","Not Started",'Variable Tasks'!J359))</f>
        <v/>
      </c>
      <c r="BA1855">
        <f>'Variable Tasks'!L359&amp;""</f>
        <v/>
      </c>
      <c r="BB1855">
        <f>'Variable Tasks'!M359&amp;""</f>
        <v/>
      </c>
      <c r="BC1855">
        <f>'Variable Tasks'!N359&amp;""</f>
        <v/>
      </c>
      <c r="BD1855">
        <f>'Variable Tasks'!O359&amp;""</f>
        <v/>
      </c>
      <c r="BE1855">
        <f>IF('Variable Tasks'!K359="","",'Variable Tasks'!K359)</f>
        <v/>
      </c>
      <c r="BF1855">
        <f>IFERROR(MATCH(BA1855,Setup!$L$6:$L$9,0),5)</f>
        <v/>
      </c>
      <c r="BG1855">
        <f>IF(OR(AZ1855="Done",AZ1855="Cancelled"),1,0)</f>
        <v/>
      </c>
      <c r="BH1855">
        <f>IF(AND(AU1855&lt;&gt;"",ISNUMBER(AW1855)),1,0)</f>
        <v/>
      </c>
      <c r="BI1855">
        <f>IF(BH1855=0,0,IF(AND(AW1855&gt;='Tasks Filter'!$F$3,AW1855&lt;='Tasks Filter'!$F$4,OR('Tasks Filter'!$I$3="",ISNUMBER(SEARCH('Tasks Filter'!$I$3,AU1855))),OR('Tasks Filter'!$I$4="",BF1855=IFERROR(MATCH('Tasks Filter'!$I$4,Setup!$L$6:$L$9,0),0)),OR('Tasks Filter'!$I$5="Both",AND('Tasks Filter'!$I$5="Yes",BB1855="✓"),AND('Tasks Filter'!$I$5="No",BB1855&lt;&gt;"✓")),OR('Tasks Filter'!$L$3="",AV1855='Tasks Filter'!$L$3),OR('Tasks Filter'!$L$4="",AZ1855='Tasks Filter'!$L$4),OR('Tasks Filter'!$L$5="",BC1855='Tasks Filter'!$L$5),OR('Tasks Filter'!$O$3="",BD1855='Tasks Filter'!$O$3),OR('Tasks Filter'!$O$4="Yes",BG1855=0)),1,0))</f>
        <v/>
      </c>
      <c r="BJ1855">
        <f>IF(BH1855=0,"",IF('Tasks Filter'!$F$6="Descending",-1,1)*CHOOSE(MATCH('Tasks Filter'!$F$5,Lists!$G$2:$G$6,0),AW1855,BF1855,IFERROR(MATCH(AV1855,Setup!$F$6:$F$15,0),99),IFERROR(MATCH(BC1855,Setup!$H$6:$H$15,0),99),IFERROR(MATCH(AZ1855,Setup!$J$6:$J$11,0),99))*1E+9+(AW1855-40000)*10000+1854)</f>
        <v/>
      </c>
      <c r="BK1855">
        <f>IF(BI1855=1,BJ1855,"")</f>
        <v/>
      </c>
      <c r="BL1855">
        <f>IF(AND(BH1855=1,BG1855=0,N(AW1855)&lt;Setup!$D$7),(AW1855-40000)*10000+1854,"")</f>
        <v/>
      </c>
      <c r="BM1855">
        <f>IF(AND(BH1855=1,AZ1855&lt;&gt;"Cancelled",N(AW1855)&gt;=Dashboard!$AB$3,N(AW1855)&lt;=Dashboard!$AB$3+6),(AW1855-40000)*100000+BF1855*10000+1854,"")</f>
        <v/>
      </c>
      <c r="BN1855">
        <f>IF(AND(BH1855=1,AZ1855&lt;&gt;"Cancelled"),BF1855*10000+1854,"")</f>
        <v/>
      </c>
    </row>
    <row r="1856">
      <c r="AS1856" t="inlineStr">
        <is>
          <t>V</t>
        </is>
      </c>
      <c r="AT1856" t="n">
        <v>360</v>
      </c>
      <c r="AU1856">
        <f>'Variable Tasks'!C360&amp;""</f>
        <v/>
      </c>
      <c r="AV1856">
        <f>'Variable Tasks'!D360&amp;""</f>
        <v/>
      </c>
      <c r="AW1856">
        <f>IF('Variable Tasks'!E360="","",'Variable Tasks'!E360)</f>
        <v/>
      </c>
      <c r="AX1856">
        <f>IF('Variable Tasks'!G360="","",'Variable Tasks'!G360)</f>
        <v/>
      </c>
      <c r="AY1856">
        <f>IF('Variable Tasks'!H360="","",'Variable Tasks'!H360)</f>
        <v/>
      </c>
      <c r="AZ1856">
        <f>IF(AU1856="","",IF('Variable Tasks'!J360="","Not Started",'Variable Tasks'!J360))</f>
        <v/>
      </c>
      <c r="BA1856">
        <f>'Variable Tasks'!L360&amp;""</f>
        <v/>
      </c>
      <c r="BB1856">
        <f>'Variable Tasks'!M360&amp;""</f>
        <v/>
      </c>
      <c r="BC1856">
        <f>'Variable Tasks'!N360&amp;""</f>
        <v/>
      </c>
      <c r="BD1856">
        <f>'Variable Tasks'!O360&amp;""</f>
        <v/>
      </c>
      <c r="BE1856">
        <f>IF('Variable Tasks'!K360="","",'Variable Tasks'!K360)</f>
        <v/>
      </c>
      <c r="BF1856">
        <f>IFERROR(MATCH(BA1856,Setup!$L$6:$L$9,0),5)</f>
        <v/>
      </c>
      <c r="BG1856">
        <f>IF(OR(AZ1856="Done",AZ1856="Cancelled"),1,0)</f>
        <v/>
      </c>
      <c r="BH1856">
        <f>IF(AND(AU1856&lt;&gt;"",ISNUMBER(AW1856)),1,0)</f>
        <v/>
      </c>
      <c r="BI1856">
        <f>IF(BH1856=0,0,IF(AND(AW1856&gt;='Tasks Filter'!$F$3,AW1856&lt;='Tasks Filter'!$F$4,OR('Tasks Filter'!$I$3="",ISNUMBER(SEARCH('Tasks Filter'!$I$3,AU1856))),OR('Tasks Filter'!$I$4="",BF1856=IFERROR(MATCH('Tasks Filter'!$I$4,Setup!$L$6:$L$9,0),0)),OR('Tasks Filter'!$I$5="Both",AND('Tasks Filter'!$I$5="Yes",BB1856="✓"),AND('Tasks Filter'!$I$5="No",BB1856&lt;&gt;"✓")),OR('Tasks Filter'!$L$3="",AV1856='Tasks Filter'!$L$3),OR('Tasks Filter'!$L$4="",AZ1856='Tasks Filter'!$L$4),OR('Tasks Filter'!$L$5="",BC1856='Tasks Filter'!$L$5),OR('Tasks Filter'!$O$3="",BD1856='Tasks Filter'!$O$3),OR('Tasks Filter'!$O$4="Yes",BG1856=0)),1,0))</f>
        <v/>
      </c>
      <c r="BJ1856">
        <f>IF(BH1856=0,"",IF('Tasks Filter'!$F$6="Descending",-1,1)*CHOOSE(MATCH('Tasks Filter'!$F$5,Lists!$G$2:$G$6,0),AW1856,BF1856,IFERROR(MATCH(AV1856,Setup!$F$6:$F$15,0),99),IFERROR(MATCH(BC1856,Setup!$H$6:$H$15,0),99),IFERROR(MATCH(AZ1856,Setup!$J$6:$J$11,0),99))*1E+9+(AW1856-40000)*10000+1855)</f>
        <v/>
      </c>
      <c r="BK1856">
        <f>IF(BI1856=1,BJ1856,"")</f>
        <v/>
      </c>
      <c r="BL1856">
        <f>IF(AND(BH1856=1,BG1856=0,N(AW1856)&lt;Setup!$D$7),(AW1856-40000)*10000+1855,"")</f>
        <v/>
      </c>
      <c r="BM1856">
        <f>IF(AND(BH1856=1,AZ1856&lt;&gt;"Cancelled",N(AW1856)&gt;=Dashboard!$AB$3,N(AW1856)&lt;=Dashboard!$AB$3+6),(AW1856-40000)*100000+BF1856*10000+1855,"")</f>
        <v/>
      </c>
      <c r="BN1856">
        <f>IF(AND(BH1856=1,AZ1856&lt;&gt;"Cancelled"),BF1856*10000+1855,"")</f>
        <v/>
      </c>
    </row>
    <row r="1857">
      <c r="AS1857" t="inlineStr">
        <is>
          <t>V</t>
        </is>
      </c>
      <c r="AT1857" t="n">
        <v>361</v>
      </c>
      <c r="AU1857">
        <f>'Variable Tasks'!C361&amp;""</f>
        <v/>
      </c>
      <c r="AV1857">
        <f>'Variable Tasks'!D361&amp;""</f>
        <v/>
      </c>
      <c r="AW1857">
        <f>IF('Variable Tasks'!E361="","",'Variable Tasks'!E361)</f>
        <v/>
      </c>
      <c r="AX1857">
        <f>IF('Variable Tasks'!G361="","",'Variable Tasks'!G361)</f>
        <v/>
      </c>
      <c r="AY1857">
        <f>IF('Variable Tasks'!H361="","",'Variable Tasks'!H361)</f>
        <v/>
      </c>
      <c r="AZ1857">
        <f>IF(AU1857="","",IF('Variable Tasks'!J361="","Not Started",'Variable Tasks'!J361))</f>
        <v/>
      </c>
      <c r="BA1857">
        <f>'Variable Tasks'!L361&amp;""</f>
        <v/>
      </c>
      <c r="BB1857">
        <f>'Variable Tasks'!M361&amp;""</f>
        <v/>
      </c>
      <c r="BC1857">
        <f>'Variable Tasks'!N361&amp;""</f>
        <v/>
      </c>
      <c r="BD1857">
        <f>'Variable Tasks'!O361&amp;""</f>
        <v/>
      </c>
      <c r="BE1857">
        <f>IF('Variable Tasks'!K361="","",'Variable Tasks'!K361)</f>
        <v/>
      </c>
      <c r="BF1857">
        <f>IFERROR(MATCH(BA1857,Setup!$L$6:$L$9,0),5)</f>
        <v/>
      </c>
      <c r="BG1857">
        <f>IF(OR(AZ1857="Done",AZ1857="Cancelled"),1,0)</f>
        <v/>
      </c>
      <c r="BH1857">
        <f>IF(AND(AU1857&lt;&gt;"",ISNUMBER(AW1857)),1,0)</f>
        <v/>
      </c>
      <c r="BI1857">
        <f>IF(BH1857=0,0,IF(AND(AW1857&gt;='Tasks Filter'!$F$3,AW1857&lt;='Tasks Filter'!$F$4,OR('Tasks Filter'!$I$3="",ISNUMBER(SEARCH('Tasks Filter'!$I$3,AU1857))),OR('Tasks Filter'!$I$4="",BF1857=IFERROR(MATCH('Tasks Filter'!$I$4,Setup!$L$6:$L$9,0),0)),OR('Tasks Filter'!$I$5="Both",AND('Tasks Filter'!$I$5="Yes",BB1857="✓"),AND('Tasks Filter'!$I$5="No",BB1857&lt;&gt;"✓")),OR('Tasks Filter'!$L$3="",AV1857='Tasks Filter'!$L$3),OR('Tasks Filter'!$L$4="",AZ1857='Tasks Filter'!$L$4),OR('Tasks Filter'!$L$5="",BC1857='Tasks Filter'!$L$5),OR('Tasks Filter'!$O$3="",BD1857='Tasks Filter'!$O$3),OR('Tasks Filter'!$O$4="Yes",BG1857=0)),1,0))</f>
        <v/>
      </c>
      <c r="BJ1857">
        <f>IF(BH1857=0,"",IF('Tasks Filter'!$F$6="Descending",-1,1)*CHOOSE(MATCH('Tasks Filter'!$F$5,Lists!$G$2:$G$6,0),AW1857,BF1857,IFERROR(MATCH(AV1857,Setup!$F$6:$F$15,0),99),IFERROR(MATCH(BC1857,Setup!$H$6:$H$15,0),99),IFERROR(MATCH(AZ1857,Setup!$J$6:$J$11,0),99))*1E+9+(AW1857-40000)*10000+1856)</f>
        <v/>
      </c>
      <c r="BK1857">
        <f>IF(BI1857=1,BJ1857,"")</f>
        <v/>
      </c>
      <c r="BL1857">
        <f>IF(AND(BH1857=1,BG1857=0,N(AW1857)&lt;Setup!$D$7),(AW1857-40000)*10000+1856,"")</f>
        <v/>
      </c>
      <c r="BM1857">
        <f>IF(AND(BH1857=1,AZ1857&lt;&gt;"Cancelled",N(AW1857)&gt;=Dashboard!$AB$3,N(AW1857)&lt;=Dashboard!$AB$3+6),(AW1857-40000)*100000+BF1857*10000+1856,"")</f>
        <v/>
      </c>
      <c r="BN1857">
        <f>IF(AND(BH1857=1,AZ1857&lt;&gt;"Cancelled"),BF1857*10000+1856,"")</f>
        <v/>
      </c>
    </row>
    <row r="1858">
      <c r="AS1858" t="inlineStr">
        <is>
          <t>V</t>
        </is>
      </c>
      <c r="AT1858" t="n">
        <v>362</v>
      </c>
      <c r="AU1858">
        <f>'Variable Tasks'!C362&amp;""</f>
        <v/>
      </c>
      <c r="AV1858">
        <f>'Variable Tasks'!D362&amp;""</f>
        <v/>
      </c>
      <c r="AW1858">
        <f>IF('Variable Tasks'!E362="","",'Variable Tasks'!E362)</f>
        <v/>
      </c>
      <c r="AX1858">
        <f>IF('Variable Tasks'!G362="","",'Variable Tasks'!G362)</f>
        <v/>
      </c>
      <c r="AY1858">
        <f>IF('Variable Tasks'!H362="","",'Variable Tasks'!H362)</f>
        <v/>
      </c>
      <c r="AZ1858">
        <f>IF(AU1858="","",IF('Variable Tasks'!J362="","Not Started",'Variable Tasks'!J362))</f>
        <v/>
      </c>
      <c r="BA1858">
        <f>'Variable Tasks'!L362&amp;""</f>
        <v/>
      </c>
      <c r="BB1858">
        <f>'Variable Tasks'!M362&amp;""</f>
        <v/>
      </c>
      <c r="BC1858">
        <f>'Variable Tasks'!N362&amp;""</f>
        <v/>
      </c>
      <c r="BD1858">
        <f>'Variable Tasks'!O362&amp;""</f>
        <v/>
      </c>
      <c r="BE1858">
        <f>IF('Variable Tasks'!K362="","",'Variable Tasks'!K362)</f>
        <v/>
      </c>
      <c r="BF1858">
        <f>IFERROR(MATCH(BA1858,Setup!$L$6:$L$9,0),5)</f>
        <v/>
      </c>
      <c r="BG1858">
        <f>IF(OR(AZ1858="Done",AZ1858="Cancelled"),1,0)</f>
        <v/>
      </c>
      <c r="BH1858">
        <f>IF(AND(AU1858&lt;&gt;"",ISNUMBER(AW1858)),1,0)</f>
        <v/>
      </c>
      <c r="BI1858">
        <f>IF(BH1858=0,0,IF(AND(AW1858&gt;='Tasks Filter'!$F$3,AW1858&lt;='Tasks Filter'!$F$4,OR('Tasks Filter'!$I$3="",ISNUMBER(SEARCH('Tasks Filter'!$I$3,AU1858))),OR('Tasks Filter'!$I$4="",BF1858=IFERROR(MATCH('Tasks Filter'!$I$4,Setup!$L$6:$L$9,0),0)),OR('Tasks Filter'!$I$5="Both",AND('Tasks Filter'!$I$5="Yes",BB1858="✓"),AND('Tasks Filter'!$I$5="No",BB1858&lt;&gt;"✓")),OR('Tasks Filter'!$L$3="",AV1858='Tasks Filter'!$L$3),OR('Tasks Filter'!$L$4="",AZ1858='Tasks Filter'!$L$4),OR('Tasks Filter'!$L$5="",BC1858='Tasks Filter'!$L$5),OR('Tasks Filter'!$O$3="",BD1858='Tasks Filter'!$O$3),OR('Tasks Filter'!$O$4="Yes",BG1858=0)),1,0))</f>
        <v/>
      </c>
      <c r="BJ1858">
        <f>IF(BH1858=0,"",IF('Tasks Filter'!$F$6="Descending",-1,1)*CHOOSE(MATCH('Tasks Filter'!$F$5,Lists!$G$2:$G$6,0),AW1858,BF1858,IFERROR(MATCH(AV1858,Setup!$F$6:$F$15,0),99),IFERROR(MATCH(BC1858,Setup!$H$6:$H$15,0),99),IFERROR(MATCH(AZ1858,Setup!$J$6:$J$11,0),99))*1E+9+(AW1858-40000)*10000+1857)</f>
        <v/>
      </c>
      <c r="BK1858">
        <f>IF(BI1858=1,BJ1858,"")</f>
        <v/>
      </c>
      <c r="BL1858">
        <f>IF(AND(BH1858=1,BG1858=0,N(AW1858)&lt;Setup!$D$7),(AW1858-40000)*10000+1857,"")</f>
        <v/>
      </c>
      <c r="BM1858">
        <f>IF(AND(BH1858=1,AZ1858&lt;&gt;"Cancelled",N(AW1858)&gt;=Dashboard!$AB$3,N(AW1858)&lt;=Dashboard!$AB$3+6),(AW1858-40000)*100000+BF1858*10000+1857,"")</f>
        <v/>
      </c>
      <c r="BN1858">
        <f>IF(AND(BH1858=1,AZ1858&lt;&gt;"Cancelled"),BF1858*10000+1857,"")</f>
        <v/>
      </c>
    </row>
    <row r="1859">
      <c r="AS1859" t="inlineStr">
        <is>
          <t>V</t>
        </is>
      </c>
      <c r="AT1859" t="n">
        <v>363</v>
      </c>
      <c r="AU1859">
        <f>'Variable Tasks'!C363&amp;""</f>
        <v/>
      </c>
      <c r="AV1859">
        <f>'Variable Tasks'!D363&amp;""</f>
        <v/>
      </c>
      <c r="AW1859">
        <f>IF('Variable Tasks'!E363="","",'Variable Tasks'!E363)</f>
        <v/>
      </c>
      <c r="AX1859">
        <f>IF('Variable Tasks'!G363="","",'Variable Tasks'!G363)</f>
        <v/>
      </c>
      <c r="AY1859">
        <f>IF('Variable Tasks'!H363="","",'Variable Tasks'!H363)</f>
        <v/>
      </c>
      <c r="AZ1859">
        <f>IF(AU1859="","",IF('Variable Tasks'!J363="","Not Started",'Variable Tasks'!J363))</f>
        <v/>
      </c>
      <c r="BA1859">
        <f>'Variable Tasks'!L363&amp;""</f>
        <v/>
      </c>
      <c r="BB1859">
        <f>'Variable Tasks'!M363&amp;""</f>
        <v/>
      </c>
      <c r="BC1859">
        <f>'Variable Tasks'!N363&amp;""</f>
        <v/>
      </c>
      <c r="BD1859">
        <f>'Variable Tasks'!O363&amp;""</f>
        <v/>
      </c>
      <c r="BE1859">
        <f>IF('Variable Tasks'!K363="","",'Variable Tasks'!K363)</f>
        <v/>
      </c>
      <c r="BF1859">
        <f>IFERROR(MATCH(BA1859,Setup!$L$6:$L$9,0),5)</f>
        <v/>
      </c>
      <c r="BG1859">
        <f>IF(OR(AZ1859="Done",AZ1859="Cancelled"),1,0)</f>
        <v/>
      </c>
      <c r="BH1859">
        <f>IF(AND(AU1859&lt;&gt;"",ISNUMBER(AW1859)),1,0)</f>
        <v/>
      </c>
      <c r="BI1859">
        <f>IF(BH1859=0,0,IF(AND(AW1859&gt;='Tasks Filter'!$F$3,AW1859&lt;='Tasks Filter'!$F$4,OR('Tasks Filter'!$I$3="",ISNUMBER(SEARCH('Tasks Filter'!$I$3,AU1859))),OR('Tasks Filter'!$I$4="",BF1859=IFERROR(MATCH('Tasks Filter'!$I$4,Setup!$L$6:$L$9,0),0)),OR('Tasks Filter'!$I$5="Both",AND('Tasks Filter'!$I$5="Yes",BB1859="✓"),AND('Tasks Filter'!$I$5="No",BB1859&lt;&gt;"✓")),OR('Tasks Filter'!$L$3="",AV1859='Tasks Filter'!$L$3),OR('Tasks Filter'!$L$4="",AZ1859='Tasks Filter'!$L$4),OR('Tasks Filter'!$L$5="",BC1859='Tasks Filter'!$L$5),OR('Tasks Filter'!$O$3="",BD1859='Tasks Filter'!$O$3),OR('Tasks Filter'!$O$4="Yes",BG1859=0)),1,0))</f>
        <v/>
      </c>
      <c r="BJ1859">
        <f>IF(BH1859=0,"",IF('Tasks Filter'!$F$6="Descending",-1,1)*CHOOSE(MATCH('Tasks Filter'!$F$5,Lists!$G$2:$G$6,0),AW1859,BF1859,IFERROR(MATCH(AV1859,Setup!$F$6:$F$15,0),99),IFERROR(MATCH(BC1859,Setup!$H$6:$H$15,0),99),IFERROR(MATCH(AZ1859,Setup!$J$6:$J$11,0),99))*1E+9+(AW1859-40000)*10000+1858)</f>
        <v/>
      </c>
      <c r="BK1859">
        <f>IF(BI1859=1,BJ1859,"")</f>
        <v/>
      </c>
      <c r="BL1859">
        <f>IF(AND(BH1859=1,BG1859=0,N(AW1859)&lt;Setup!$D$7),(AW1859-40000)*10000+1858,"")</f>
        <v/>
      </c>
      <c r="BM1859">
        <f>IF(AND(BH1859=1,AZ1859&lt;&gt;"Cancelled",N(AW1859)&gt;=Dashboard!$AB$3,N(AW1859)&lt;=Dashboard!$AB$3+6),(AW1859-40000)*100000+BF1859*10000+1858,"")</f>
        <v/>
      </c>
      <c r="BN1859">
        <f>IF(AND(BH1859=1,AZ1859&lt;&gt;"Cancelled"),BF1859*10000+1858,"")</f>
        <v/>
      </c>
    </row>
    <row r="1860">
      <c r="AS1860" t="inlineStr">
        <is>
          <t>V</t>
        </is>
      </c>
      <c r="AT1860" t="n">
        <v>364</v>
      </c>
      <c r="AU1860">
        <f>'Variable Tasks'!C364&amp;""</f>
        <v/>
      </c>
      <c r="AV1860">
        <f>'Variable Tasks'!D364&amp;""</f>
        <v/>
      </c>
      <c r="AW1860">
        <f>IF('Variable Tasks'!E364="","",'Variable Tasks'!E364)</f>
        <v/>
      </c>
      <c r="AX1860">
        <f>IF('Variable Tasks'!G364="","",'Variable Tasks'!G364)</f>
        <v/>
      </c>
      <c r="AY1860">
        <f>IF('Variable Tasks'!H364="","",'Variable Tasks'!H364)</f>
        <v/>
      </c>
      <c r="AZ1860">
        <f>IF(AU1860="","",IF('Variable Tasks'!J364="","Not Started",'Variable Tasks'!J364))</f>
        <v/>
      </c>
      <c r="BA1860">
        <f>'Variable Tasks'!L364&amp;""</f>
        <v/>
      </c>
      <c r="BB1860">
        <f>'Variable Tasks'!M364&amp;""</f>
        <v/>
      </c>
      <c r="BC1860">
        <f>'Variable Tasks'!N364&amp;""</f>
        <v/>
      </c>
      <c r="BD1860">
        <f>'Variable Tasks'!O364&amp;""</f>
        <v/>
      </c>
      <c r="BE1860">
        <f>IF('Variable Tasks'!K364="","",'Variable Tasks'!K364)</f>
        <v/>
      </c>
      <c r="BF1860">
        <f>IFERROR(MATCH(BA1860,Setup!$L$6:$L$9,0),5)</f>
        <v/>
      </c>
      <c r="BG1860">
        <f>IF(OR(AZ1860="Done",AZ1860="Cancelled"),1,0)</f>
        <v/>
      </c>
      <c r="BH1860">
        <f>IF(AND(AU1860&lt;&gt;"",ISNUMBER(AW1860)),1,0)</f>
        <v/>
      </c>
      <c r="BI1860">
        <f>IF(BH1860=0,0,IF(AND(AW1860&gt;='Tasks Filter'!$F$3,AW1860&lt;='Tasks Filter'!$F$4,OR('Tasks Filter'!$I$3="",ISNUMBER(SEARCH('Tasks Filter'!$I$3,AU1860))),OR('Tasks Filter'!$I$4="",BF1860=IFERROR(MATCH('Tasks Filter'!$I$4,Setup!$L$6:$L$9,0),0)),OR('Tasks Filter'!$I$5="Both",AND('Tasks Filter'!$I$5="Yes",BB1860="✓"),AND('Tasks Filter'!$I$5="No",BB1860&lt;&gt;"✓")),OR('Tasks Filter'!$L$3="",AV1860='Tasks Filter'!$L$3),OR('Tasks Filter'!$L$4="",AZ1860='Tasks Filter'!$L$4),OR('Tasks Filter'!$L$5="",BC1860='Tasks Filter'!$L$5),OR('Tasks Filter'!$O$3="",BD1860='Tasks Filter'!$O$3),OR('Tasks Filter'!$O$4="Yes",BG1860=0)),1,0))</f>
        <v/>
      </c>
      <c r="BJ1860">
        <f>IF(BH1860=0,"",IF('Tasks Filter'!$F$6="Descending",-1,1)*CHOOSE(MATCH('Tasks Filter'!$F$5,Lists!$G$2:$G$6,0),AW1860,BF1860,IFERROR(MATCH(AV1860,Setup!$F$6:$F$15,0),99),IFERROR(MATCH(BC1860,Setup!$H$6:$H$15,0),99),IFERROR(MATCH(AZ1860,Setup!$J$6:$J$11,0),99))*1E+9+(AW1860-40000)*10000+1859)</f>
        <v/>
      </c>
      <c r="BK1860">
        <f>IF(BI1860=1,BJ1860,"")</f>
        <v/>
      </c>
      <c r="BL1860">
        <f>IF(AND(BH1860=1,BG1860=0,N(AW1860)&lt;Setup!$D$7),(AW1860-40000)*10000+1859,"")</f>
        <v/>
      </c>
      <c r="BM1860">
        <f>IF(AND(BH1860=1,AZ1860&lt;&gt;"Cancelled",N(AW1860)&gt;=Dashboard!$AB$3,N(AW1860)&lt;=Dashboard!$AB$3+6),(AW1860-40000)*100000+BF1860*10000+1859,"")</f>
        <v/>
      </c>
      <c r="BN1860">
        <f>IF(AND(BH1860=1,AZ1860&lt;&gt;"Cancelled"),BF1860*10000+1859,"")</f>
        <v/>
      </c>
    </row>
    <row r="1861">
      <c r="AS1861" t="inlineStr">
        <is>
          <t>V</t>
        </is>
      </c>
      <c r="AT1861" t="n">
        <v>365</v>
      </c>
      <c r="AU1861">
        <f>'Variable Tasks'!C365&amp;""</f>
        <v/>
      </c>
      <c r="AV1861">
        <f>'Variable Tasks'!D365&amp;""</f>
        <v/>
      </c>
      <c r="AW1861">
        <f>IF('Variable Tasks'!E365="","",'Variable Tasks'!E365)</f>
        <v/>
      </c>
      <c r="AX1861">
        <f>IF('Variable Tasks'!G365="","",'Variable Tasks'!G365)</f>
        <v/>
      </c>
      <c r="AY1861">
        <f>IF('Variable Tasks'!H365="","",'Variable Tasks'!H365)</f>
        <v/>
      </c>
      <c r="AZ1861">
        <f>IF(AU1861="","",IF('Variable Tasks'!J365="","Not Started",'Variable Tasks'!J365))</f>
        <v/>
      </c>
      <c r="BA1861">
        <f>'Variable Tasks'!L365&amp;""</f>
        <v/>
      </c>
      <c r="BB1861">
        <f>'Variable Tasks'!M365&amp;""</f>
        <v/>
      </c>
      <c r="BC1861">
        <f>'Variable Tasks'!N365&amp;""</f>
        <v/>
      </c>
      <c r="BD1861">
        <f>'Variable Tasks'!O365&amp;""</f>
        <v/>
      </c>
      <c r="BE1861">
        <f>IF('Variable Tasks'!K365="","",'Variable Tasks'!K365)</f>
        <v/>
      </c>
      <c r="BF1861">
        <f>IFERROR(MATCH(BA1861,Setup!$L$6:$L$9,0),5)</f>
        <v/>
      </c>
      <c r="BG1861">
        <f>IF(OR(AZ1861="Done",AZ1861="Cancelled"),1,0)</f>
        <v/>
      </c>
      <c r="BH1861">
        <f>IF(AND(AU1861&lt;&gt;"",ISNUMBER(AW1861)),1,0)</f>
        <v/>
      </c>
      <c r="BI1861">
        <f>IF(BH1861=0,0,IF(AND(AW1861&gt;='Tasks Filter'!$F$3,AW1861&lt;='Tasks Filter'!$F$4,OR('Tasks Filter'!$I$3="",ISNUMBER(SEARCH('Tasks Filter'!$I$3,AU1861))),OR('Tasks Filter'!$I$4="",BF1861=IFERROR(MATCH('Tasks Filter'!$I$4,Setup!$L$6:$L$9,0),0)),OR('Tasks Filter'!$I$5="Both",AND('Tasks Filter'!$I$5="Yes",BB1861="✓"),AND('Tasks Filter'!$I$5="No",BB1861&lt;&gt;"✓")),OR('Tasks Filter'!$L$3="",AV1861='Tasks Filter'!$L$3),OR('Tasks Filter'!$L$4="",AZ1861='Tasks Filter'!$L$4),OR('Tasks Filter'!$L$5="",BC1861='Tasks Filter'!$L$5),OR('Tasks Filter'!$O$3="",BD1861='Tasks Filter'!$O$3),OR('Tasks Filter'!$O$4="Yes",BG1861=0)),1,0))</f>
        <v/>
      </c>
      <c r="BJ1861">
        <f>IF(BH1861=0,"",IF('Tasks Filter'!$F$6="Descending",-1,1)*CHOOSE(MATCH('Tasks Filter'!$F$5,Lists!$G$2:$G$6,0),AW1861,BF1861,IFERROR(MATCH(AV1861,Setup!$F$6:$F$15,0),99),IFERROR(MATCH(BC1861,Setup!$H$6:$H$15,0),99),IFERROR(MATCH(AZ1861,Setup!$J$6:$J$11,0),99))*1E+9+(AW1861-40000)*10000+1860)</f>
        <v/>
      </c>
      <c r="BK1861">
        <f>IF(BI1861=1,BJ1861,"")</f>
        <v/>
      </c>
      <c r="BL1861">
        <f>IF(AND(BH1861=1,BG1861=0,N(AW1861)&lt;Setup!$D$7),(AW1861-40000)*10000+1860,"")</f>
        <v/>
      </c>
      <c r="BM1861">
        <f>IF(AND(BH1861=1,AZ1861&lt;&gt;"Cancelled",N(AW1861)&gt;=Dashboard!$AB$3,N(AW1861)&lt;=Dashboard!$AB$3+6),(AW1861-40000)*100000+BF1861*10000+1860,"")</f>
        <v/>
      </c>
      <c r="BN1861">
        <f>IF(AND(BH1861=1,AZ1861&lt;&gt;"Cancelled"),BF1861*10000+1860,"")</f>
        <v/>
      </c>
    </row>
    <row r="1862">
      <c r="AS1862" t="inlineStr">
        <is>
          <t>V</t>
        </is>
      </c>
      <c r="AT1862" t="n">
        <v>366</v>
      </c>
      <c r="AU1862">
        <f>'Variable Tasks'!C366&amp;""</f>
        <v/>
      </c>
      <c r="AV1862">
        <f>'Variable Tasks'!D366&amp;""</f>
        <v/>
      </c>
      <c r="AW1862">
        <f>IF('Variable Tasks'!E366="","",'Variable Tasks'!E366)</f>
        <v/>
      </c>
      <c r="AX1862">
        <f>IF('Variable Tasks'!G366="","",'Variable Tasks'!G366)</f>
        <v/>
      </c>
      <c r="AY1862">
        <f>IF('Variable Tasks'!H366="","",'Variable Tasks'!H366)</f>
        <v/>
      </c>
      <c r="AZ1862">
        <f>IF(AU1862="","",IF('Variable Tasks'!J366="","Not Started",'Variable Tasks'!J366))</f>
        <v/>
      </c>
      <c r="BA1862">
        <f>'Variable Tasks'!L366&amp;""</f>
        <v/>
      </c>
      <c r="BB1862">
        <f>'Variable Tasks'!M366&amp;""</f>
        <v/>
      </c>
      <c r="BC1862">
        <f>'Variable Tasks'!N366&amp;""</f>
        <v/>
      </c>
      <c r="BD1862">
        <f>'Variable Tasks'!O366&amp;""</f>
        <v/>
      </c>
      <c r="BE1862">
        <f>IF('Variable Tasks'!K366="","",'Variable Tasks'!K366)</f>
        <v/>
      </c>
      <c r="BF1862">
        <f>IFERROR(MATCH(BA1862,Setup!$L$6:$L$9,0),5)</f>
        <v/>
      </c>
      <c r="BG1862">
        <f>IF(OR(AZ1862="Done",AZ1862="Cancelled"),1,0)</f>
        <v/>
      </c>
      <c r="BH1862">
        <f>IF(AND(AU1862&lt;&gt;"",ISNUMBER(AW1862)),1,0)</f>
        <v/>
      </c>
      <c r="BI1862">
        <f>IF(BH1862=0,0,IF(AND(AW1862&gt;='Tasks Filter'!$F$3,AW1862&lt;='Tasks Filter'!$F$4,OR('Tasks Filter'!$I$3="",ISNUMBER(SEARCH('Tasks Filter'!$I$3,AU1862))),OR('Tasks Filter'!$I$4="",BF1862=IFERROR(MATCH('Tasks Filter'!$I$4,Setup!$L$6:$L$9,0),0)),OR('Tasks Filter'!$I$5="Both",AND('Tasks Filter'!$I$5="Yes",BB1862="✓"),AND('Tasks Filter'!$I$5="No",BB1862&lt;&gt;"✓")),OR('Tasks Filter'!$L$3="",AV1862='Tasks Filter'!$L$3),OR('Tasks Filter'!$L$4="",AZ1862='Tasks Filter'!$L$4),OR('Tasks Filter'!$L$5="",BC1862='Tasks Filter'!$L$5),OR('Tasks Filter'!$O$3="",BD1862='Tasks Filter'!$O$3),OR('Tasks Filter'!$O$4="Yes",BG1862=0)),1,0))</f>
        <v/>
      </c>
      <c r="BJ1862">
        <f>IF(BH1862=0,"",IF('Tasks Filter'!$F$6="Descending",-1,1)*CHOOSE(MATCH('Tasks Filter'!$F$5,Lists!$G$2:$G$6,0),AW1862,BF1862,IFERROR(MATCH(AV1862,Setup!$F$6:$F$15,0),99),IFERROR(MATCH(BC1862,Setup!$H$6:$H$15,0),99),IFERROR(MATCH(AZ1862,Setup!$J$6:$J$11,0),99))*1E+9+(AW1862-40000)*10000+1861)</f>
        <v/>
      </c>
      <c r="BK1862">
        <f>IF(BI1862=1,BJ1862,"")</f>
        <v/>
      </c>
      <c r="BL1862">
        <f>IF(AND(BH1862=1,BG1862=0,N(AW1862)&lt;Setup!$D$7),(AW1862-40000)*10000+1861,"")</f>
        <v/>
      </c>
      <c r="BM1862">
        <f>IF(AND(BH1862=1,AZ1862&lt;&gt;"Cancelled",N(AW1862)&gt;=Dashboard!$AB$3,N(AW1862)&lt;=Dashboard!$AB$3+6),(AW1862-40000)*100000+BF1862*10000+1861,"")</f>
        <v/>
      </c>
      <c r="BN1862">
        <f>IF(AND(BH1862=1,AZ1862&lt;&gt;"Cancelled"),BF1862*10000+1861,"")</f>
        <v/>
      </c>
    </row>
    <row r="1863">
      <c r="AS1863" t="inlineStr">
        <is>
          <t>V</t>
        </is>
      </c>
      <c r="AT1863" t="n">
        <v>367</v>
      </c>
      <c r="AU1863">
        <f>'Variable Tasks'!C367&amp;""</f>
        <v/>
      </c>
      <c r="AV1863">
        <f>'Variable Tasks'!D367&amp;""</f>
        <v/>
      </c>
      <c r="AW1863">
        <f>IF('Variable Tasks'!E367="","",'Variable Tasks'!E367)</f>
        <v/>
      </c>
      <c r="AX1863">
        <f>IF('Variable Tasks'!G367="","",'Variable Tasks'!G367)</f>
        <v/>
      </c>
      <c r="AY1863">
        <f>IF('Variable Tasks'!H367="","",'Variable Tasks'!H367)</f>
        <v/>
      </c>
      <c r="AZ1863">
        <f>IF(AU1863="","",IF('Variable Tasks'!J367="","Not Started",'Variable Tasks'!J367))</f>
        <v/>
      </c>
      <c r="BA1863">
        <f>'Variable Tasks'!L367&amp;""</f>
        <v/>
      </c>
      <c r="BB1863">
        <f>'Variable Tasks'!M367&amp;""</f>
        <v/>
      </c>
      <c r="BC1863">
        <f>'Variable Tasks'!N367&amp;""</f>
        <v/>
      </c>
      <c r="BD1863">
        <f>'Variable Tasks'!O367&amp;""</f>
        <v/>
      </c>
      <c r="BE1863">
        <f>IF('Variable Tasks'!K367="","",'Variable Tasks'!K367)</f>
        <v/>
      </c>
      <c r="BF1863">
        <f>IFERROR(MATCH(BA1863,Setup!$L$6:$L$9,0),5)</f>
        <v/>
      </c>
      <c r="BG1863">
        <f>IF(OR(AZ1863="Done",AZ1863="Cancelled"),1,0)</f>
        <v/>
      </c>
      <c r="BH1863">
        <f>IF(AND(AU1863&lt;&gt;"",ISNUMBER(AW1863)),1,0)</f>
        <v/>
      </c>
      <c r="BI1863">
        <f>IF(BH1863=0,0,IF(AND(AW1863&gt;='Tasks Filter'!$F$3,AW1863&lt;='Tasks Filter'!$F$4,OR('Tasks Filter'!$I$3="",ISNUMBER(SEARCH('Tasks Filter'!$I$3,AU1863))),OR('Tasks Filter'!$I$4="",BF1863=IFERROR(MATCH('Tasks Filter'!$I$4,Setup!$L$6:$L$9,0),0)),OR('Tasks Filter'!$I$5="Both",AND('Tasks Filter'!$I$5="Yes",BB1863="✓"),AND('Tasks Filter'!$I$5="No",BB1863&lt;&gt;"✓")),OR('Tasks Filter'!$L$3="",AV1863='Tasks Filter'!$L$3),OR('Tasks Filter'!$L$4="",AZ1863='Tasks Filter'!$L$4),OR('Tasks Filter'!$L$5="",BC1863='Tasks Filter'!$L$5),OR('Tasks Filter'!$O$3="",BD1863='Tasks Filter'!$O$3),OR('Tasks Filter'!$O$4="Yes",BG1863=0)),1,0))</f>
        <v/>
      </c>
      <c r="BJ1863">
        <f>IF(BH1863=0,"",IF('Tasks Filter'!$F$6="Descending",-1,1)*CHOOSE(MATCH('Tasks Filter'!$F$5,Lists!$G$2:$G$6,0),AW1863,BF1863,IFERROR(MATCH(AV1863,Setup!$F$6:$F$15,0),99),IFERROR(MATCH(BC1863,Setup!$H$6:$H$15,0),99),IFERROR(MATCH(AZ1863,Setup!$J$6:$J$11,0),99))*1E+9+(AW1863-40000)*10000+1862)</f>
        <v/>
      </c>
      <c r="BK1863">
        <f>IF(BI1863=1,BJ1863,"")</f>
        <v/>
      </c>
      <c r="BL1863">
        <f>IF(AND(BH1863=1,BG1863=0,N(AW1863)&lt;Setup!$D$7),(AW1863-40000)*10000+1862,"")</f>
        <v/>
      </c>
      <c r="BM1863">
        <f>IF(AND(BH1863=1,AZ1863&lt;&gt;"Cancelled",N(AW1863)&gt;=Dashboard!$AB$3,N(AW1863)&lt;=Dashboard!$AB$3+6),(AW1863-40000)*100000+BF1863*10000+1862,"")</f>
        <v/>
      </c>
      <c r="BN1863">
        <f>IF(AND(BH1863=1,AZ1863&lt;&gt;"Cancelled"),BF1863*10000+1862,"")</f>
        <v/>
      </c>
    </row>
    <row r="1864">
      <c r="AS1864" t="inlineStr">
        <is>
          <t>V</t>
        </is>
      </c>
      <c r="AT1864" t="n">
        <v>368</v>
      </c>
      <c r="AU1864">
        <f>'Variable Tasks'!C368&amp;""</f>
        <v/>
      </c>
      <c r="AV1864">
        <f>'Variable Tasks'!D368&amp;""</f>
        <v/>
      </c>
      <c r="AW1864">
        <f>IF('Variable Tasks'!E368="","",'Variable Tasks'!E368)</f>
        <v/>
      </c>
      <c r="AX1864">
        <f>IF('Variable Tasks'!G368="","",'Variable Tasks'!G368)</f>
        <v/>
      </c>
      <c r="AY1864">
        <f>IF('Variable Tasks'!H368="","",'Variable Tasks'!H368)</f>
        <v/>
      </c>
      <c r="AZ1864">
        <f>IF(AU1864="","",IF('Variable Tasks'!J368="","Not Started",'Variable Tasks'!J368))</f>
        <v/>
      </c>
      <c r="BA1864">
        <f>'Variable Tasks'!L368&amp;""</f>
        <v/>
      </c>
      <c r="BB1864">
        <f>'Variable Tasks'!M368&amp;""</f>
        <v/>
      </c>
      <c r="BC1864">
        <f>'Variable Tasks'!N368&amp;""</f>
        <v/>
      </c>
      <c r="BD1864">
        <f>'Variable Tasks'!O368&amp;""</f>
        <v/>
      </c>
      <c r="BE1864">
        <f>IF('Variable Tasks'!K368="","",'Variable Tasks'!K368)</f>
        <v/>
      </c>
      <c r="BF1864">
        <f>IFERROR(MATCH(BA1864,Setup!$L$6:$L$9,0),5)</f>
        <v/>
      </c>
      <c r="BG1864">
        <f>IF(OR(AZ1864="Done",AZ1864="Cancelled"),1,0)</f>
        <v/>
      </c>
      <c r="BH1864">
        <f>IF(AND(AU1864&lt;&gt;"",ISNUMBER(AW1864)),1,0)</f>
        <v/>
      </c>
      <c r="BI1864">
        <f>IF(BH1864=0,0,IF(AND(AW1864&gt;='Tasks Filter'!$F$3,AW1864&lt;='Tasks Filter'!$F$4,OR('Tasks Filter'!$I$3="",ISNUMBER(SEARCH('Tasks Filter'!$I$3,AU1864))),OR('Tasks Filter'!$I$4="",BF1864=IFERROR(MATCH('Tasks Filter'!$I$4,Setup!$L$6:$L$9,0),0)),OR('Tasks Filter'!$I$5="Both",AND('Tasks Filter'!$I$5="Yes",BB1864="✓"),AND('Tasks Filter'!$I$5="No",BB1864&lt;&gt;"✓")),OR('Tasks Filter'!$L$3="",AV1864='Tasks Filter'!$L$3),OR('Tasks Filter'!$L$4="",AZ1864='Tasks Filter'!$L$4),OR('Tasks Filter'!$L$5="",BC1864='Tasks Filter'!$L$5),OR('Tasks Filter'!$O$3="",BD1864='Tasks Filter'!$O$3),OR('Tasks Filter'!$O$4="Yes",BG1864=0)),1,0))</f>
        <v/>
      </c>
      <c r="BJ1864">
        <f>IF(BH1864=0,"",IF('Tasks Filter'!$F$6="Descending",-1,1)*CHOOSE(MATCH('Tasks Filter'!$F$5,Lists!$G$2:$G$6,0),AW1864,BF1864,IFERROR(MATCH(AV1864,Setup!$F$6:$F$15,0),99),IFERROR(MATCH(BC1864,Setup!$H$6:$H$15,0),99),IFERROR(MATCH(AZ1864,Setup!$J$6:$J$11,0),99))*1E+9+(AW1864-40000)*10000+1863)</f>
        <v/>
      </c>
      <c r="BK1864">
        <f>IF(BI1864=1,BJ1864,"")</f>
        <v/>
      </c>
      <c r="BL1864">
        <f>IF(AND(BH1864=1,BG1864=0,N(AW1864)&lt;Setup!$D$7),(AW1864-40000)*10000+1863,"")</f>
        <v/>
      </c>
      <c r="BM1864">
        <f>IF(AND(BH1864=1,AZ1864&lt;&gt;"Cancelled",N(AW1864)&gt;=Dashboard!$AB$3,N(AW1864)&lt;=Dashboard!$AB$3+6),(AW1864-40000)*100000+BF1864*10000+1863,"")</f>
        <v/>
      </c>
      <c r="BN1864">
        <f>IF(AND(BH1864=1,AZ1864&lt;&gt;"Cancelled"),BF1864*10000+1863,"")</f>
        <v/>
      </c>
    </row>
    <row r="1865">
      <c r="AS1865" t="inlineStr">
        <is>
          <t>V</t>
        </is>
      </c>
      <c r="AT1865" t="n">
        <v>369</v>
      </c>
      <c r="AU1865">
        <f>'Variable Tasks'!C369&amp;""</f>
        <v/>
      </c>
      <c r="AV1865">
        <f>'Variable Tasks'!D369&amp;""</f>
        <v/>
      </c>
      <c r="AW1865">
        <f>IF('Variable Tasks'!E369="","",'Variable Tasks'!E369)</f>
        <v/>
      </c>
      <c r="AX1865">
        <f>IF('Variable Tasks'!G369="","",'Variable Tasks'!G369)</f>
        <v/>
      </c>
      <c r="AY1865">
        <f>IF('Variable Tasks'!H369="","",'Variable Tasks'!H369)</f>
        <v/>
      </c>
      <c r="AZ1865">
        <f>IF(AU1865="","",IF('Variable Tasks'!J369="","Not Started",'Variable Tasks'!J369))</f>
        <v/>
      </c>
      <c r="BA1865">
        <f>'Variable Tasks'!L369&amp;""</f>
        <v/>
      </c>
      <c r="BB1865">
        <f>'Variable Tasks'!M369&amp;""</f>
        <v/>
      </c>
      <c r="BC1865">
        <f>'Variable Tasks'!N369&amp;""</f>
        <v/>
      </c>
      <c r="BD1865">
        <f>'Variable Tasks'!O369&amp;""</f>
        <v/>
      </c>
      <c r="BE1865">
        <f>IF('Variable Tasks'!K369="","",'Variable Tasks'!K369)</f>
        <v/>
      </c>
      <c r="BF1865">
        <f>IFERROR(MATCH(BA1865,Setup!$L$6:$L$9,0),5)</f>
        <v/>
      </c>
      <c r="BG1865">
        <f>IF(OR(AZ1865="Done",AZ1865="Cancelled"),1,0)</f>
        <v/>
      </c>
      <c r="BH1865">
        <f>IF(AND(AU1865&lt;&gt;"",ISNUMBER(AW1865)),1,0)</f>
        <v/>
      </c>
      <c r="BI1865">
        <f>IF(BH1865=0,0,IF(AND(AW1865&gt;='Tasks Filter'!$F$3,AW1865&lt;='Tasks Filter'!$F$4,OR('Tasks Filter'!$I$3="",ISNUMBER(SEARCH('Tasks Filter'!$I$3,AU1865))),OR('Tasks Filter'!$I$4="",BF1865=IFERROR(MATCH('Tasks Filter'!$I$4,Setup!$L$6:$L$9,0),0)),OR('Tasks Filter'!$I$5="Both",AND('Tasks Filter'!$I$5="Yes",BB1865="✓"),AND('Tasks Filter'!$I$5="No",BB1865&lt;&gt;"✓")),OR('Tasks Filter'!$L$3="",AV1865='Tasks Filter'!$L$3),OR('Tasks Filter'!$L$4="",AZ1865='Tasks Filter'!$L$4),OR('Tasks Filter'!$L$5="",BC1865='Tasks Filter'!$L$5),OR('Tasks Filter'!$O$3="",BD1865='Tasks Filter'!$O$3),OR('Tasks Filter'!$O$4="Yes",BG1865=0)),1,0))</f>
        <v/>
      </c>
      <c r="BJ1865">
        <f>IF(BH1865=0,"",IF('Tasks Filter'!$F$6="Descending",-1,1)*CHOOSE(MATCH('Tasks Filter'!$F$5,Lists!$G$2:$G$6,0),AW1865,BF1865,IFERROR(MATCH(AV1865,Setup!$F$6:$F$15,0),99),IFERROR(MATCH(BC1865,Setup!$H$6:$H$15,0),99),IFERROR(MATCH(AZ1865,Setup!$J$6:$J$11,0),99))*1E+9+(AW1865-40000)*10000+1864)</f>
        <v/>
      </c>
      <c r="BK1865">
        <f>IF(BI1865=1,BJ1865,"")</f>
        <v/>
      </c>
      <c r="BL1865">
        <f>IF(AND(BH1865=1,BG1865=0,N(AW1865)&lt;Setup!$D$7),(AW1865-40000)*10000+1864,"")</f>
        <v/>
      </c>
      <c r="BM1865">
        <f>IF(AND(BH1865=1,AZ1865&lt;&gt;"Cancelled",N(AW1865)&gt;=Dashboard!$AB$3,N(AW1865)&lt;=Dashboard!$AB$3+6),(AW1865-40000)*100000+BF1865*10000+1864,"")</f>
        <v/>
      </c>
      <c r="BN1865">
        <f>IF(AND(BH1865=1,AZ1865&lt;&gt;"Cancelled"),BF1865*10000+1864,"")</f>
        <v/>
      </c>
    </row>
    <row r="1866">
      <c r="AS1866" t="inlineStr">
        <is>
          <t>V</t>
        </is>
      </c>
      <c r="AT1866" t="n">
        <v>370</v>
      </c>
      <c r="AU1866">
        <f>'Variable Tasks'!C370&amp;""</f>
        <v/>
      </c>
      <c r="AV1866">
        <f>'Variable Tasks'!D370&amp;""</f>
        <v/>
      </c>
      <c r="AW1866">
        <f>IF('Variable Tasks'!E370="","",'Variable Tasks'!E370)</f>
        <v/>
      </c>
      <c r="AX1866">
        <f>IF('Variable Tasks'!G370="","",'Variable Tasks'!G370)</f>
        <v/>
      </c>
      <c r="AY1866">
        <f>IF('Variable Tasks'!H370="","",'Variable Tasks'!H370)</f>
        <v/>
      </c>
      <c r="AZ1866">
        <f>IF(AU1866="","",IF('Variable Tasks'!J370="","Not Started",'Variable Tasks'!J370))</f>
        <v/>
      </c>
      <c r="BA1866">
        <f>'Variable Tasks'!L370&amp;""</f>
        <v/>
      </c>
      <c r="BB1866">
        <f>'Variable Tasks'!M370&amp;""</f>
        <v/>
      </c>
      <c r="BC1866">
        <f>'Variable Tasks'!N370&amp;""</f>
        <v/>
      </c>
      <c r="BD1866">
        <f>'Variable Tasks'!O370&amp;""</f>
        <v/>
      </c>
      <c r="BE1866">
        <f>IF('Variable Tasks'!K370="","",'Variable Tasks'!K370)</f>
        <v/>
      </c>
      <c r="BF1866">
        <f>IFERROR(MATCH(BA1866,Setup!$L$6:$L$9,0),5)</f>
        <v/>
      </c>
      <c r="BG1866">
        <f>IF(OR(AZ1866="Done",AZ1866="Cancelled"),1,0)</f>
        <v/>
      </c>
      <c r="BH1866">
        <f>IF(AND(AU1866&lt;&gt;"",ISNUMBER(AW1866)),1,0)</f>
        <v/>
      </c>
      <c r="BI1866">
        <f>IF(BH1866=0,0,IF(AND(AW1866&gt;='Tasks Filter'!$F$3,AW1866&lt;='Tasks Filter'!$F$4,OR('Tasks Filter'!$I$3="",ISNUMBER(SEARCH('Tasks Filter'!$I$3,AU1866))),OR('Tasks Filter'!$I$4="",BF1866=IFERROR(MATCH('Tasks Filter'!$I$4,Setup!$L$6:$L$9,0),0)),OR('Tasks Filter'!$I$5="Both",AND('Tasks Filter'!$I$5="Yes",BB1866="✓"),AND('Tasks Filter'!$I$5="No",BB1866&lt;&gt;"✓")),OR('Tasks Filter'!$L$3="",AV1866='Tasks Filter'!$L$3),OR('Tasks Filter'!$L$4="",AZ1866='Tasks Filter'!$L$4),OR('Tasks Filter'!$L$5="",BC1866='Tasks Filter'!$L$5),OR('Tasks Filter'!$O$3="",BD1866='Tasks Filter'!$O$3),OR('Tasks Filter'!$O$4="Yes",BG1866=0)),1,0))</f>
        <v/>
      </c>
      <c r="BJ1866">
        <f>IF(BH1866=0,"",IF('Tasks Filter'!$F$6="Descending",-1,1)*CHOOSE(MATCH('Tasks Filter'!$F$5,Lists!$G$2:$G$6,0),AW1866,BF1866,IFERROR(MATCH(AV1866,Setup!$F$6:$F$15,0),99),IFERROR(MATCH(BC1866,Setup!$H$6:$H$15,0),99),IFERROR(MATCH(AZ1866,Setup!$J$6:$J$11,0),99))*1E+9+(AW1866-40000)*10000+1865)</f>
        <v/>
      </c>
      <c r="BK1866">
        <f>IF(BI1866=1,BJ1866,"")</f>
        <v/>
      </c>
      <c r="BL1866">
        <f>IF(AND(BH1866=1,BG1866=0,N(AW1866)&lt;Setup!$D$7),(AW1866-40000)*10000+1865,"")</f>
        <v/>
      </c>
      <c r="BM1866">
        <f>IF(AND(BH1866=1,AZ1866&lt;&gt;"Cancelled",N(AW1866)&gt;=Dashboard!$AB$3,N(AW1866)&lt;=Dashboard!$AB$3+6),(AW1866-40000)*100000+BF1866*10000+1865,"")</f>
        <v/>
      </c>
      <c r="BN1866">
        <f>IF(AND(BH1866=1,AZ1866&lt;&gt;"Cancelled"),BF1866*10000+1865,"")</f>
        <v/>
      </c>
    </row>
    <row r="1867">
      <c r="AS1867" t="inlineStr">
        <is>
          <t>V</t>
        </is>
      </c>
      <c r="AT1867" t="n">
        <v>371</v>
      </c>
      <c r="AU1867">
        <f>'Variable Tasks'!C371&amp;""</f>
        <v/>
      </c>
      <c r="AV1867">
        <f>'Variable Tasks'!D371&amp;""</f>
        <v/>
      </c>
      <c r="AW1867">
        <f>IF('Variable Tasks'!E371="","",'Variable Tasks'!E371)</f>
        <v/>
      </c>
      <c r="AX1867">
        <f>IF('Variable Tasks'!G371="","",'Variable Tasks'!G371)</f>
        <v/>
      </c>
      <c r="AY1867">
        <f>IF('Variable Tasks'!H371="","",'Variable Tasks'!H371)</f>
        <v/>
      </c>
      <c r="AZ1867">
        <f>IF(AU1867="","",IF('Variable Tasks'!J371="","Not Started",'Variable Tasks'!J371))</f>
        <v/>
      </c>
      <c r="BA1867">
        <f>'Variable Tasks'!L371&amp;""</f>
        <v/>
      </c>
      <c r="BB1867">
        <f>'Variable Tasks'!M371&amp;""</f>
        <v/>
      </c>
      <c r="BC1867">
        <f>'Variable Tasks'!N371&amp;""</f>
        <v/>
      </c>
      <c r="BD1867">
        <f>'Variable Tasks'!O371&amp;""</f>
        <v/>
      </c>
      <c r="BE1867">
        <f>IF('Variable Tasks'!K371="","",'Variable Tasks'!K371)</f>
        <v/>
      </c>
      <c r="BF1867">
        <f>IFERROR(MATCH(BA1867,Setup!$L$6:$L$9,0),5)</f>
        <v/>
      </c>
      <c r="BG1867">
        <f>IF(OR(AZ1867="Done",AZ1867="Cancelled"),1,0)</f>
        <v/>
      </c>
      <c r="BH1867">
        <f>IF(AND(AU1867&lt;&gt;"",ISNUMBER(AW1867)),1,0)</f>
        <v/>
      </c>
      <c r="BI1867">
        <f>IF(BH1867=0,0,IF(AND(AW1867&gt;='Tasks Filter'!$F$3,AW1867&lt;='Tasks Filter'!$F$4,OR('Tasks Filter'!$I$3="",ISNUMBER(SEARCH('Tasks Filter'!$I$3,AU1867))),OR('Tasks Filter'!$I$4="",BF1867=IFERROR(MATCH('Tasks Filter'!$I$4,Setup!$L$6:$L$9,0),0)),OR('Tasks Filter'!$I$5="Both",AND('Tasks Filter'!$I$5="Yes",BB1867="✓"),AND('Tasks Filter'!$I$5="No",BB1867&lt;&gt;"✓")),OR('Tasks Filter'!$L$3="",AV1867='Tasks Filter'!$L$3),OR('Tasks Filter'!$L$4="",AZ1867='Tasks Filter'!$L$4),OR('Tasks Filter'!$L$5="",BC1867='Tasks Filter'!$L$5),OR('Tasks Filter'!$O$3="",BD1867='Tasks Filter'!$O$3),OR('Tasks Filter'!$O$4="Yes",BG1867=0)),1,0))</f>
        <v/>
      </c>
      <c r="BJ1867">
        <f>IF(BH1867=0,"",IF('Tasks Filter'!$F$6="Descending",-1,1)*CHOOSE(MATCH('Tasks Filter'!$F$5,Lists!$G$2:$G$6,0),AW1867,BF1867,IFERROR(MATCH(AV1867,Setup!$F$6:$F$15,0),99),IFERROR(MATCH(BC1867,Setup!$H$6:$H$15,0),99),IFERROR(MATCH(AZ1867,Setup!$J$6:$J$11,0),99))*1E+9+(AW1867-40000)*10000+1866)</f>
        <v/>
      </c>
      <c r="BK1867">
        <f>IF(BI1867=1,BJ1867,"")</f>
        <v/>
      </c>
      <c r="BL1867">
        <f>IF(AND(BH1867=1,BG1867=0,N(AW1867)&lt;Setup!$D$7),(AW1867-40000)*10000+1866,"")</f>
        <v/>
      </c>
      <c r="BM1867">
        <f>IF(AND(BH1867=1,AZ1867&lt;&gt;"Cancelled",N(AW1867)&gt;=Dashboard!$AB$3,N(AW1867)&lt;=Dashboard!$AB$3+6),(AW1867-40000)*100000+BF1867*10000+1866,"")</f>
        <v/>
      </c>
      <c r="BN1867">
        <f>IF(AND(BH1867=1,AZ1867&lt;&gt;"Cancelled"),BF1867*10000+1866,"")</f>
        <v/>
      </c>
    </row>
    <row r="1868">
      <c r="AS1868" t="inlineStr">
        <is>
          <t>V</t>
        </is>
      </c>
      <c r="AT1868" t="n">
        <v>372</v>
      </c>
      <c r="AU1868">
        <f>'Variable Tasks'!C372&amp;""</f>
        <v/>
      </c>
      <c r="AV1868">
        <f>'Variable Tasks'!D372&amp;""</f>
        <v/>
      </c>
      <c r="AW1868">
        <f>IF('Variable Tasks'!E372="","",'Variable Tasks'!E372)</f>
        <v/>
      </c>
      <c r="AX1868">
        <f>IF('Variable Tasks'!G372="","",'Variable Tasks'!G372)</f>
        <v/>
      </c>
      <c r="AY1868">
        <f>IF('Variable Tasks'!H372="","",'Variable Tasks'!H372)</f>
        <v/>
      </c>
      <c r="AZ1868">
        <f>IF(AU1868="","",IF('Variable Tasks'!J372="","Not Started",'Variable Tasks'!J372))</f>
        <v/>
      </c>
      <c r="BA1868">
        <f>'Variable Tasks'!L372&amp;""</f>
        <v/>
      </c>
      <c r="BB1868">
        <f>'Variable Tasks'!M372&amp;""</f>
        <v/>
      </c>
      <c r="BC1868">
        <f>'Variable Tasks'!N372&amp;""</f>
        <v/>
      </c>
      <c r="BD1868">
        <f>'Variable Tasks'!O372&amp;""</f>
        <v/>
      </c>
      <c r="BE1868">
        <f>IF('Variable Tasks'!K372="","",'Variable Tasks'!K372)</f>
        <v/>
      </c>
      <c r="BF1868">
        <f>IFERROR(MATCH(BA1868,Setup!$L$6:$L$9,0),5)</f>
        <v/>
      </c>
      <c r="BG1868">
        <f>IF(OR(AZ1868="Done",AZ1868="Cancelled"),1,0)</f>
        <v/>
      </c>
      <c r="BH1868">
        <f>IF(AND(AU1868&lt;&gt;"",ISNUMBER(AW1868)),1,0)</f>
        <v/>
      </c>
      <c r="BI1868">
        <f>IF(BH1868=0,0,IF(AND(AW1868&gt;='Tasks Filter'!$F$3,AW1868&lt;='Tasks Filter'!$F$4,OR('Tasks Filter'!$I$3="",ISNUMBER(SEARCH('Tasks Filter'!$I$3,AU1868))),OR('Tasks Filter'!$I$4="",BF1868=IFERROR(MATCH('Tasks Filter'!$I$4,Setup!$L$6:$L$9,0),0)),OR('Tasks Filter'!$I$5="Both",AND('Tasks Filter'!$I$5="Yes",BB1868="✓"),AND('Tasks Filter'!$I$5="No",BB1868&lt;&gt;"✓")),OR('Tasks Filter'!$L$3="",AV1868='Tasks Filter'!$L$3),OR('Tasks Filter'!$L$4="",AZ1868='Tasks Filter'!$L$4),OR('Tasks Filter'!$L$5="",BC1868='Tasks Filter'!$L$5),OR('Tasks Filter'!$O$3="",BD1868='Tasks Filter'!$O$3),OR('Tasks Filter'!$O$4="Yes",BG1868=0)),1,0))</f>
        <v/>
      </c>
      <c r="BJ1868">
        <f>IF(BH1868=0,"",IF('Tasks Filter'!$F$6="Descending",-1,1)*CHOOSE(MATCH('Tasks Filter'!$F$5,Lists!$G$2:$G$6,0),AW1868,BF1868,IFERROR(MATCH(AV1868,Setup!$F$6:$F$15,0),99),IFERROR(MATCH(BC1868,Setup!$H$6:$H$15,0),99),IFERROR(MATCH(AZ1868,Setup!$J$6:$J$11,0),99))*1E+9+(AW1868-40000)*10000+1867)</f>
        <v/>
      </c>
      <c r="BK1868">
        <f>IF(BI1868=1,BJ1868,"")</f>
        <v/>
      </c>
      <c r="BL1868">
        <f>IF(AND(BH1868=1,BG1868=0,N(AW1868)&lt;Setup!$D$7),(AW1868-40000)*10000+1867,"")</f>
        <v/>
      </c>
      <c r="BM1868">
        <f>IF(AND(BH1868=1,AZ1868&lt;&gt;"Cancelled",N(AW1868)&gt;=Dashboard!$AB$3,N(AW1868)&lt;=Dashboard!$AB$3+6),(AW1868-40000)*100000+BF1868*10000+1867,"")</f>
        <v/>
      </c>
      <c r="BN1868">
        <f>IF(AND(BH1868=1,AZ1868&lt;&gt;"Cancelled"),BF1868*10000+1867,"")</f>
        <v/>
      </c>
    </row>
    <row r="1869">
      <c r="AS1869" t="inlineStr">
        <is>
          <t>V</t>
        </is>
      </c>
      <c r="AT1869" t="n">
        <v>373</v>
      </c>
      <c r="AU1869">
        <f>'Variable Tasks'!C373&amp;""</f>
        <v/>
      </c>
      <c r="AV1869">
        <f>'Variable Tasks'!D373&amp;""</f>
        <v/>
      </c>
      <c r="AW1869">
        <f>IF('Variable Tasks'!E373="","",'Variable Tasks'!E373)</f>
        <v/>
      </c>
      <c r="AX1869">
        <f>IF('Variable Tasks'!G373="","",'Variable Tasks'!G373)</f>
        <v/>
      </c>
      <c r="AY1869">
        <f>IF('Variable Tasks'!H373="","",'Variable Tasks'!H373)</f>
        <v/>
      </c>
      <c r="AZ1869">
        <f>IF(AU1869="","",IF('Variable Tasks'!J373="","Not Started",'Variable Tasks'!J373))</f>
        <v/>
      </c>
      <c r="BA1869">
        <f>'Variable Tasks'!L373&amp;""</f>
        <v/>
      </c>
      <c r="BB1869">
        <f>'Variable Tasks'!M373&amp;""</f>
        <v/>
      </c>
      <c r="BC1869">
        <f>'Variable Tasks'!N373&amp;""</f>
        <v/>
      </c>
      <c r="BD1869">
        <f>'Variable Tasks'!O373&amp;""</f>
        <v/>
      </c>
      <c r="BE1869">
        <f>IF('Variable Tasks'!K373="","",'Variable Tasks'!K373)</f>
        <v/>
      </c>
      <c r="BF1869">
        <f>IFERROR(MATCH(BA1869,Setup!$L$6:$L$9,0),5)</f>
        <v/>
      </c>
      <c r="BG1869">
        <f>IF(OR(AZ1869="Done",AZ1869="Cancelled"),1,0)</f>
        <v/>
      </c>
      <c r="BH1869">
        <f>IF(AND(AU1869&lt;&gt;"",ISNUMBER(AW1869)),1,0)</f>
        <v/>
      </c>
      <c r="BI1869">
        <f>IF(BH1869=0,0,IF(AND(AW1869&gt;='Tasks Filter'!$F$3,AW1869&lt;='Tasks Filter'!$F$4,OR('Tasks Filter'!$I$3="",ISNUMBER(SEARCH('Tasks Filter'!$I$3,AU1869))),OR('Tasks Filter'!$I$4="",BF1869=IFERROR(MATCH('Tasks Filter'!$I$4,Setup!$L$6:$L$9,0),0)),OR('Tasks Filter'!$I$5="Both",AND('Tasks Filter'!$I$5="Yes",BB1869="✓"),AND('Tasks Filter'!$I$5="No",BB1869&lt;&gt;"✓")),OR('Tasks Filter'!$L$3="",AV1869='Tasks Filter'!$L$3),OR('Tasks Filter'!$L$4="",AZ1869='Tasks Filter'!$L$4),OR('Tasks Filter'!$L$5="",BC1869='Tasks Filter'!$L$5),OR('Tasks Filter'!$O$3="",BD1869='Tasks Filter'!$O$3),OR('Tasks Filter'!$O$4="Yes",BG1869=0)),1,0))</f>
        <v/>
      </c>
      <c r="BJ1869">
        <f>IF(BH1869=0,"",IF('Tasks Filter'!$F$6="Descending",-1,1)*CHOOSE(MATCH('Tasks Filter'!$F$5,Lists!$G$2:$G$6,0),AW1869,BF1869,IFERROR(MATCH(AV1869,Setup!$F$6:$F$15,0),99),IFERROR(MATCH(BC1869,Setup!$H$6:$H$15,0),99),IFERROR(MATCH(AZ1869,Setup!$J$6:$J$11,0),99))*1E+9+(AW1869-40000)*10000+1868)</f>
        <v/>
      </c>
      <c r="BK1869">
        <f>IF(BI1869=1,BJ1869,"")</f>
        <v/>
      </c>
      <c r="BL1869">
        <f>IF(AND(BH1869=1,BG1869=0,N(AW1869)&lt;Setup!$D$7),(AW1869-40000)*10000+1868,"")</f>
        <v/>
      </c>
      <c r="BM1869">
        <f>IF(AND(BH1869=1,AZ1869&lt;&gt;"Cancelled",N(AW1869)&gt;=Dashboard!$AB$3,N(AW1869)&lt;=Dashboard!$AB$3+6),(AW1869-40000)*100000+BF1869*10000+1868,"")</f>
        <v/>
      </c>
      <c r="BN1869">
        <f>IF(AND(BH1869=1,AZ1869&lt;&gt;"Cancelled"),BF1869*10000+1868,"")</f>
        <v/>
      </c>
    </row>
    <row r="1870">
      <c r="AS1870" t="inlineStr">
        <is>
          <t>V</t>
        </is>
      </c>
      <c r="AT1870" t="n">
        <v>374</v>
      </c>
      <c r="AU1870">
        <f>'Variable Tasks'!C374&amp;""</f>
        <v/>
      </c>
      <c r="AV1870">
        <f>'Variable Tasks'!D374&amp;""</f>
        <v/>
      </c>
      <c r="AW1870">
        <f>IF('Variable Tasks'!E374="","",'Variable Tasks'!E374)</f>
        <v/>
      </c>
      <c r="AX1870">
        <f>IF('Variable Tasks'!G374="","",'Variable Tasks'!G374)</f>
        <v/>
      </c>
      <c r="AY1870">
        <f>IF('Variable Tasks'!H374="","",'Variable Tasks'!H374)</f>
        <v/>
      </c>
      <c r="AZ1870">
        <f>IF(AU1870="","",IF('Variable Tasks'!J374="","Not Started",'Variable Tasks'!J374))</f>
        <v/>
      </c>
      <c r="BA1870">
        <f>'Variable Tasks'!L374&amp;""</f>
        <v/>
      </c>
      <c r="BB1870">
        <f>'Variable Tasks'!M374&amp;""</f>
        <v/>
      </c>
      <c r="BC1870">
        <f>'Variable Tasks'!N374&amp;""</f>
        <v/>
      </c>
      <c r="BD1870">
        <f>'Variable Tasks'!O374&amp;""</f>
        <v/>
      </c>
      <c r="BE1870">
        <f>IF('Variable Tasks'!K374="","",'Variable Tasks'!K374)</f>
        <v/>
      </c>
      <c r="BF1870">
        <f>IFERROR(MATCH(BA1870,Setup!$L$6:$L$9,0),5)</f>
        <v/>
      </c>
      <c r="BG1870">
        <f>IF(OR(AZ1870="Done",AZ1870="Cancelled"),1,0)</f>
        <v/>
      </c>
      <c r="BH1870">
        <f>IF(AND(AU1870&lt;&gt;"",ISNUMBER(AW1870)),1,0)</f>
        <v/>
      </c>
      <c r="BI1870">
        <f>IF(BH1870=0,0,IF(AND(AW1870&gt;='Tasks Filter'!$F$3,AW1870&lt;='Tasks Filter'!$F$4,OR('Tasks Filter'!$I$3="",ISNUMBER(SEARCH('Tasks Filter'!$I$3,AU1870))),OR('Tasks Filter'!$I$4="",BF1870=IFERROR(MATCH('Tasks Filter'!$I$4,Setup!$L$6:$L$9,0),0)),OR('Tasks Filter'!$I$5="Both",AND('Tasks Filter'!$I$5="Yes",BB1870="✓"),AND('Tasks Filter'!$I$5="No",BB1870&lt;&gt;"✓")),OR('Tasks Filter'!$L$3="",AV1870='Tasks Filter'!$L$3),OR('Tasks Filter'!$L$4="",AZ1870='Tasks Filter'!$L$4),OR('Tasks Filter'!$L$5="",BC1870='Tasks Filter'!$L$5),OR('Tasks Filter'!$O$3="",BD1870='Tasks Filter'!$O$3),OR('Tasks Filter'!$O$4="Yes",BG1870=0)),1,0))</f>
        <v/>
      </c>
      <c r="BJ1870">
        <f>IF(BH1870=0,"",IF('Tasks Filter'!$F$6="Descending",-1,1)*CHOOSE(MATCH('Tasks Filter'!$F$5,Lists!$G$2:$G$6,0),AW1870,BF1870,IFERROR(MATCH(AV1870,Setup!$F$6:$F$15,0),99),IFERROR(MATCH(BC1870,Setup!$H$6:$H$15,0),99),IFERROR(MATCH(AZ1870,Setup!$J$6:$J$11,0),99))*1E+9+(AW1870-40000)*10000+1869)</f>
        <v/>
      </c>
      <c r="BK1870">
        <f>IF(BI1870=1,BJ1870,"")</f>
        <v/>
      </c>
      <c r="BL1870">
        <f>IF(AND(BH1870=1,BG1870=0,N(AW1870)&lt;Setup!$D$7),(AW1870-40000)*10000+1869,"")</f>
        <v/>
      </c>
      <c r="BM1870">
        <f>IF(AND(BH1870=1,AZ1870&lt;&gt;"Cancelled",N(AW1870)&gt;=Dashboard!$AB$3,N(AW1870)&lt;=Dashboard!$AB$3+6),(AW1870-40000)*100000+BF1870*10000+1869,"")</f>
        <v/>
      </c>
      <c r="BN1870">
        <f>IF(AND(BH1870=1,AZ1870&lt;&gt;"Cancelled"),BF1870*10000+1869,"")</f>
        <v/>
      </c>
    </row>
    <row r="1871">
      <c r="AS1871" t="inlineStr">
        <is>
          <t>V</t>
        </is>
      </c>
      <c r="AT1871" t="n">
        <v>375</v>
      </c>
      <c r="AU1871">
        <f>'Variable Tasks'!C375&amp;""</f>
        <v/>
      </c>
      <c r="AV1871">
        <f>'Variable Tasks'!D375&amp;""</f>
        <v/>
      </c>
      <c r="AW1871">
        <f>IF('Variable Tasks'!E375="","",'Variable Tasks'!E375)</f>
        <v/>
      </c>
      <c r="AX1871">
        <f>IF('Variable Tasks'!G375="","",'Variable Tasks'!G375)</f>
        <v/>
      </c>
      <c r="AY1871">
        <f>IF('Variable Tasks'!H375="","",'Variable Tasks'!H375)</f>
        <v/>
      </c>
      <c r="AZ1871">
        <f>IF(AU1871="","",IF('Variable Tasks'!J375="","Not Started",'Variable Tasks'!J375))</f>
        <v/>
      </c>
      <c r="BA1871">
        <f>'Variable Tasks'!L375&amp;""</f>
        <v/>
      </c>
      <c r="BB1871">
        <f>'Variable Tasks'!M375&amp;""</f>
        <v/>
      </c>
      <c r="BC1871">
        <f>'Variable Tasks'!N375&amp;""</f>
        <v/>
      </c>
      <c r="BD1871">
        <f>'Variable Tasks'!O375&amp;""</f>
        <v/>
      </c>
      <c r="BE1871">
        <f>IF('Variable Tasks'!K375="","",'Variable Tasks'!K375)</f>
        <v/>
      </c>
      <c r="BF1871">
        <f>IFERROR(MATCH(BA1871,Setup!$L$6:$L$9,0),5)</f>
        <v/>
      </c>
      <c r="BG1871">
        <f>IF(OR(AZ1871="Done",AZ1871="Cancelled"),1,0)</f>
        <v/>
      </c>
      <c r="BH1871">
        <f>IF(AND(AU1871&lt;&gt;"",ISNUMBER(AW1871)),1,0)</f>
        <v/>
      </c>
      <c r="BI1871">
        <f>IF(BH1871=0,0,IF(AND(AW1871&gt;='Tasks Filter'!$F$3,AW1871&lt;='Tasks Filter'!$F$4,OR('Tasks Filter'!$I$3="",ISNUMBER(SEARCH('Tasks Filter'!$I$3,AU1871))),OR('Tasks Filter'!$I$4="",BF1871=IFERROR(MATCH('Tasks Filter'!$I$4,Setup!$L$6:$L$9,0),0)),OR('Tasks Filter'!$I$5="Both",AND('Tasks Filter'!$I$5="Yes",BB1871="✓"),AND('Tasks Filter'!$I$5="No",BB1871&lt;&gt;"✓")),OR('Tasks Filter'!$L$3="",AV1871='Tasks Filter'!$L$3),OR('Tasks Filter'!$L$4="",AZ1871='Tasks Filter'!$L$4),OR('Tasks Filter'!$L$5="",BC1871='Tasks Filter'!$L$5),OR('Tasks Filter'!$O$3="",BD1871='Tasks Filter'!$O$3),OR('Tasks Filter'!$O$4="Yes",BG1871=0)),1,0))</f>
        <v/>
      </c>
      <c r="BJ1871">
        <f>IF(BH1871=0,"",IF('Tasks Filter'!$F$6="Descending",-1,1)*CHOOSE(MATCH('Tasks Filter'!$F$5,Lists!$G$2:$G$6,0),AW1871,BF1871,IFERROR(MATCH(AV1871,Setup!$F$6:$F$15,0),99),IFERROR(MATCH(BC1871,Setup!$H$6:$H$15,0),99),IFERROR(MATCH(AZ1871,Setup!$J$6:$J$11,0),99))*1E+9+(AW1871-40000)*10000+1870)</f>
        <v/>
      </c>
      <c r="BK1871">
        <f>IF(BI1871=1,BJ1871,"")</f>
        <v/>
      </c>
      <c r="BL1871">
        <f>IF(AND(BH1871=1,BG1871=0,N(AW1871)&lt;Setup!$D$7),(AW1871-40000)*10000+1870,"")</f>
        <v/>
      </c>
      <c r="BM1871">
        <f>IF(AND(BH1871=1,AZ1871&lt;&gt;"Cancelled",N(AW1871)&gt;=Dashboard!$AB$3,N(AW1871)&lt;=Dashboard!$AB$3+6),(AW1871-40000)*100000+BF1871*10000+1870,"")</f>
        <v/>
      </c>
      <c r="BN1871">
        <f>IF(AND(BH1871=1,AZ1871&lt;&gt;"Cancelled"),BF1871*10000+1870,"")</f>
        <v/>
      </c>
    </row>
    <row r="1872">
      <c r="AS1872" t="inlineStr">
        <is>
          <t>V</t>
        </is>
      </c>
      <c r="AT1872" t="n">
        <v>376</v>
      </c>
      <c r="AU1872">
        <f>'Variable Tasks'!C376&amp;""</f>
        <v/>
      </c>
      <c r="AV1872">
        <f>'Variable Tasks'!D376&amp;""</f>
        <v/>
      </c>
      <c r="AW1872">
        <f>IF('Variable Tasks'!E376="","",'Variable Tasks'!E376)</f>
        <v/>
      </c>
      <c r="AX1872">
        <f>IF('Variable Tasks'!G376="","",'Variable Tasks'!G376)</f>
        <v/>
      </c>
      <c r="AY1872">
        <f>IF('Variable Tasks'!H376="","",'Variable Tasks'!H376)</f>
        <v/>
      </c>
      <c r="AZ1872">
        <f>IF(AU1872="","",IF('Variable Tasks'!J376="","Not Started",'Variable Tasks'!J376))</f>
        <v/>
      </c>
      <c r="BA1872">
        <f>'Variable Tasks'!L376&amp;""</f>
        <v/>
      </c>
      <c r="BB1872">
        <f>'Variable Tasks'!M376&amp;""</f>
        <v/>
      </c>
      <c r="BC1872">
        <f>'Variable Tasks'!N376&amp;""</f>
        <v/>
      </c>
      <c r="BD1872">
        <f>'Variable Tasks'!O376&amp;""</f>
        <v/>
      </c>
      <c r="BE1872">
        <f>IF('Variable Tasks'!K376="","",'Variable Tasks'!K376)</f>
        <v/>
      </c>
      <c r="BF1872">
        <f>IFERROR(MATCH(BA1872,Setup!$L$6:$L$9,0),5)</f>
        <v/>
      </c>
      <c r="BG1872">
        <f>IF(OR(AZ1872="Done",AZ1872="Cancelled"),1,0)</f>
        <v/>
      </c>
      <c r="BH1872">
        <f>IF(AND(AU1872&lt;&gt;"",ISNUMBER(AW1872)),1,0)</f>
        <v/>
      </c>
      <c r="BI1872">
        <f>IF(BH1872=0,0,IF(AND(AW1872&gt;='Tasks Filter'!$F$3,AW1872&lt;='Tasks Filter'!$F$4,OR('Tasks Filter'!$I$3="",ISNUMBER(SEARCH('Tasks Filter'!$I$3,AU1872))),OR('Tasks Filter'!$I$4="",BF1872=IFERROR(MATCH('Tasks Filter'!$I$4,Setup!$L$6:$L$9,0),0)),OR('Tasks Filter'!$I$5="Both",AND('Tasks Filter'!$I$5="Yes",BB1872="✓"),AND('Tasks Filter'!$I$5="No",BB1872&lt;&gt;"✓")),OR('Tasks Filter'!$L$3="",AV1872='Tasks Filter'!$L$3),OR('Tasks Filter'!$L$4="",AZ1872='Tasks Filter'!$L$4),OR('Tasks Filter'!$L$5="",BC1872='Tasks Filter'!$L$5),OR('Tasks Filter'!$O$3="",BD1872='Tasks Filter'!$O$3),OR('Tasks Filter'!$O$4="Yes",BG1872=0)),1,0))</f>
        <v/>
      </c>
      <c r="BJ1872">
        <f>IF(BH1872=0,"",IF('Tasks Filter'!$F$6="Descending",-1,1)*CHOOSE(MATCH('Tasks Filter'!$F$5,Lists!$G$2:$G$6,0),AW1872,BF1872,IFERROR(MATCH(AV1872,Setup!$F$6:$F$15,0),99),IFERROR(MATCH(BC1872,Setup!$H$6:$H$15,0),99),IFERROR(MATCH(AZ1872,Setup!$J$6:$J$11,0),99))*1E+9+(AW1872-40000)*10000+1871)</f>
        <v/>
      </c>
      <c r="BK1872">
        <f>IF(BI1872=1,BJ1872,"")</f>
        <v/>
      </c>
      <c r="BL1872">
        <f>IF(AND(BH1872=1,BG1872=0,N(AW1872)&lt;Setup!$D$7),(AW1872-40000)*10000+1871,"")</f>
        <v/>
      </c>
      <c r="BM1872">
        <f>IF(AND(BH1872=1,AZ1872&lt;&gt;"Cancelled",N(AW1872)&gt;=Dashboard!$AB$3,N(AW1872)&lt;=Dashboard!$AB$3+6),(AW1872-40000)*100000+BF1872*10000+1871,"")</f>
        <v/>
      </c>
      <c r="BN1872">
        <f>IF(AND(BH1872=1,AZ1872&lt;&gt;"Cancelled"),BF1872*10000+1871,"")</f>
        <v/>
      </c>
    </row>
    <row r="1873">
      <c r="AS1873" t="inlineStr">
        <is>
          <t>V</t>
        </is>
      </c>
      <c r="AT1873" t="n">
        <v>377</v>
      </c>
      <c r="AU1873">
        <f>'Variable Tasks'!C377&amp;""</f>
        <v/>
      </c>
      <c r="AV1873">
        <f>'Variable Tasks'!D377&amp;""</f>
        <v/>
      </c>
      <c r="AW1873">
        <f>IF('Variable Tasks'!E377="","",'Variable Tasks'!E377)</f>
        <v/>
      </c>
      <c r="AX1873">
        <f>IF('Variable Tasks'!G377="","",'Variable Tasks'!G377)</f>
        <v/>
      </c>
      <c r="AY1873">
        <f>IF('Variable Tasks'!H377="","",'Variable Tasks'!H377)</f>
        <v/>
      </c>
      <c r="AZ1873">
        <f>IF(AU1873="","",IF('Variable Tasks'!J377="","Not Started",'Variable Tasks'!J377))</f>
        <v/>
      </c>
      <c r="BA1873">
        <f>'Variable Tasks'!L377&amp;""</f>
        <v/>
      </c>
      <c r="BB1873">
        <f>'Variable Tasks'!M377&amp;""</f>
        <v/>
      </c>
      <c r="BC1873">
        <f>'Variable Tasks'!N377&amp;""</f>
        <v/>
      </c>
      <c r="BD1873">
        <f>'Variable Tasks'!O377&amp;""</f>
        <v/>
      </c>
      <c r="BE1873">
        <f>IF('Variable Tasks'!K377="","",'Variable Tasks'!K377)</f>
        <v/>
      </c>
      <c r="BF1873">
        <f>IFERROR(MATCH(BA1873,Setup!$L$6:$L$9,0),5)</f>
        <v/>
      </c>
      <c r="BG1873">
        <f>IF(OR(AZ1873="Done",AZ1873="Cancelled"),1,0)</f>
        <v/>
      </c>
      <c r="BH1873">
        <f>IF(AND(AU1873&lt;&gt;"",ISNUMBER(AW1873)),1,0)</f>
        <v/>
      </c>
      <c r="BI1873">
        <f>IF(BH1873=0,0,IF(AND(AW1873&gt;='Tasks Filter'!$F$3,AW1873&lt;='Tasks Filter'!$F$4,OR('Tasks Filter'!$I$3="",ISNUMBER(SEARCH('Tasks Filter'!$I$3,AU1873))),OR('Tasks Filter'!$I$4="",BF1873=IFERROR(MATCH('Tasks Filter'!$I$4,Setup!$L$6:$L$9,0),0)),OR('Tasks Filter'!$I$5="Both",AND('Tasks Filter'!$I$5="Yes",BB1873="✓"),AND('Tasks Filter'!$I$5="No",BB1873&lt;&gt;"✓")),OR('Tasks Filter'!$L$3="",AV1873='Tasks Filter'!$L$3),OR('Tasks Filter'!$L$4="",AZ1873='Tasks Filter'!$L$4),OR('Tasks Filter'!$L$5="",BC1873='Tasks Filter'!$L$5),OR('Tasks Filter'!$O$3="",BD1873='Tasks Filter'!$O$3),OR('Tasks Filter'!$O$4="Yes",BG1873=0)),1,0))</f>
        <v/>
      </c>
      <c r="BJ1873">
        <f>IF(BH1873=0,"",IF('Tasks Filter'!$F$6="Descending",-1,1)*CHOOSE(MATCH('Tasks Filter'!$F$5,Lists!$G$2:$G$6,0),AW1873,BF1873,IFERROR(MATCH(AV1873,Setup!$F$6:$F$15,0),99),IFERROR(MATCH(BC1873,Setup!$H$6:$H$15,0),99),IFERROR(MATCH(AZ1873,Setup!$J$6:$J$11,0),99))*1E+9+(AW1873-40000)*10000+1872)</f>
        <v/>
      </c>
      <c r="BK1873">
        <f>IF(BI1873=1,BJ1873,"")</f>
        <v/>
      </c>
      <c r="BL1873">
        <f>IF(AND(BH1873=1,BG1873=0,N(AW1873)&lt;Setup!$D$7),(AW1873-40000)*10000+1872,"")</f>
        <v/>
      </c>
      <c r="BM1873">
        <f>IF(AND(BH1873=1,AZ1873&lt;&gt;"Cancelled",N(AW1873)&gt;=Dashboard!$AB$3,N(AW1873)&lt;=Dashboard!$AB$3+6),(AW1873-40000)*100000+BF1873*10000+1872,"")</f>
        <v/>
      </c>
      <c r="BN1873">
        <f>IF(AND(BH1873=1,AZ1873&lt;&gt;"Cancelled"),BF1873*10000+1872,"")</f>
        <v/>
      </c>
    </row>
    <row r="1874">
      <c r="AS1874" t="inlineStr">
        <is>
          <t>V</t>
        </is>
      </c>
      <c r="AT1874" t="n">
        <v>378</v>
      </c>
      <c r="AU1874">
        <f>'Variable Tasks'!C378&amp;""</f>
        <v/>
      </c>
      <c r="AV1874">
        <f>'Variable Tasks'!D378&amp;""</f>
        <v/>
      </c>
      <c r="AW1874">
        <f>IF('Variable Tasks'!E378="","",'Variable Tasks'!E378)</f>
        <v/>
      </c>
      <c r="AX1874">
        <f>IF('Variable Tasks'!G378="","",'Variable Tasks'!G378)</f>
        <v/>
      </c>
      <c r="AY1874">
        <f>IF('Variable Tasks'!H378="","",'Variable Tasks'!H378)</f>
        <v/>
      </c>
      <c r="AZ1874">
        <f>IF(AU1874="","",IF('Variable Tasks'!J378="","Not Started",'Variable Tasks'!J378))</f>
        <v/>
      </c>
      <c r="BA1874">
        <f>'Variable Tasks'!L378&amp;""</f>
        <v/>
      </c>
      <c r="BB1874">
        <f>'Variable Tasks'!M378&amp;""</f>
        <v/>
      </c>
      <c r="BC1874">
        <f>'Variable Tasks'!N378&amp;""</f>
        <v/>
      </c>
      <c r="BD1874">
        <f>'Variable Tasks'!O378&amp;""</f>
        <v/>
      </c>
      <c r="BE1874">
        <f>IF('Variable Tasks'!K378="","",'Variable Tasks'!K378)</f>
        <v/>
      </c>
      <c r="BF1874">
        <f>IFERROR(MATCH(BA1874,Setup!$L$6:$L$9,0),5)</f>
        <v/>
      </c>
      <c r="BG1874">
        <f>IF(OR(AZ1874="Done",AZ1874="Cancelled"),1,0)</f>
        <v/>
      </c>
      <c r="BH1874">
        <f>IF(AND(AU1874&lt;&gt;"",ISNUMBER(AW1874)),1,0)</f>
        <v/>
      </c>
      <c r="BI1874">
        <f>IF(BH1874=0,0,IF(AND(AW1874&gt;='Tasks Filter'!$F$3,AW1874&lt;='Tasks Filter'!$F$4,OR('Tasks Filter'!$I$3="",ISNUMBER(SEARCH('Tasks Filter'!$I$3,AU1874))),OR('Tasks Filter'!$I$4="",BF1874=IFERROR(MATCH('Tasks Filter'!$I$4,Setup!$L$6:$L$9,0),0)),OR('Tasks Filter'!$I$5="Both",AND('Tasks Filter'!$I$5="Yes",BB1874="✓"),AND('Tasks Filter'!$I$5="No",BB1874&lt;&gt;"✓")),OR('Tasks Filter'!$L$3="",AV1874='Tasks Filter'!$L$3),OR('Tasks Filter'!$L$4="",AZ1874='Tasks Filter'!$L$4),OR('Tasks Filter'!$L$5="",BC1874='Tasks Filter'!$L$5),OR('Tasks Filter'!$O$3="",BD1874='Tasks Filter'!$O$3),OR('Tasks Filter'!$O$4="Yes",BG1874=0)),1,0))</f>
        <v/>
      </c>
      <c r="BJ1874">
        <f>IF(BH1874=0,"",IF('Tasks Filter'!$F$6="Descending",-1,1)*CHOOSE(MATCH('Tasks Filter'!$F$5,Lists!$G$2:$G$6,0),AW1874,BF1874,IFERROR(MATCH(AV1874,Setup!$F$6:$F$15,0),99),IFERROR(MATCH(BC1874,Setup!$H$6:$H$15,0),99),IFERROR(MATCH(AZ1874,Setup!$J$6:$J$11,0),99))*1E+9+(AW1874-40000)*10000+1873)</f>
        <v/>
      </c>
      <c r="BK1874">
        <f>IF(BI1874=1,BJ1874,"")</f>
        <v/>
      </c>
      <c r="BL1874">
        <f>IF(AND(BH1874=1,BG1874=0,N(AW1874)&lt;Setup!$D$7),(AW1874-40000)*10000+1873,"")</f>
        <v/>
      </c>
      <c r="BM1874">
        <f>IF(AND(BH1874=1,AZ1874&lt;&gt;"Cancelled",N(AW1874)&gt;=Dashboard!$AB$3,N(AW1874)&lt;=Dashboard!$AB$3+6),(AW1874-40000)*100000+BF1874*10000+1873,"")</f>
        <v/>
      </c>
      <c r="BN1874">
        <f>IF(AND(BH1874=1,AZ1874&lt;&gt;"Cancelled"),BF1874*10000+1873,"")</f>
        <v/>
      </c>
    </row>
    <row r="1875">
      <c r="AS1875" t="inlineStr">
        <is>
          <t>V</t>
        </is>
      </c>
      <c r="AT1875" t="n">
        <v>379</v>
      </c>
      <c r="AU1875">
        <f>'Variable Tasks'!C379&amp;""</f>
        <v/>
      </c>
      <c r="AV1875">
        <f>'Variable Tasks'!D379&amp;""</f>
        <v/>
      </c>
      <c r="AW1875">
        <f>IF('Variable Tasks'!E379="","",'Variable Tasks'!E379)</f>
        <v/>
      </c>
      <c r="AX1875">
        <f>IF('Variable Tasks'!G379="","",'Variable Tasks'!G379)</f>
        <v/>
      </c>
      <c r="AY1875">
        <f>IF('Variable Tasks'!H379="","",'Variable Tasks'!H379)</f>
        <v/>
      </c>
      <c r="AZ1875">
        <f>IF(AU1875="","",IF('Variable Tasks'!J379="","Not Started",'Variable Tasks'!J379))</f>
        <v/>
      </c>
      <c r="BA1875">
        <f>'Variable Tasks'!L379&amp;""</f>
        <v/>
      </c>
      <c r="BB1875">
        <f>'Variable Tasks'!M379&amp;""</f>
        <v/>
      </c>
      <c r="BC1875">
        <f>'Variable Tasks'!N379&amp;""</f>
        <v/>
      </c>
      <c r="BD1875">
        <f>'Variable Tasks'!O379&amp;""</f>
        <v/>
      </c>
      <c r="BE1875">
        <f>IF('Variable Tasks'!K379="","",'Variable Tasks'!K379)</f>
        <v/>
      </c>
      <c r="BF1875">
        <f>IFERROR(MATCH(BA1875,Setup!$L$6:$L$9,0),5)</f>
        <v/>
      </c>
      <c r="BG1875">
        <f>IF(OR(AZ1875="Done",AZ1875="Cancelled"),1,0)</f>
        <v/>
      </c>
      <c r="BH1875">
        <f>IF(AND(AU1875&lt;&gt;"",ISNUMBER(AW1875)),1,0)</f>
        <v/>
      </c>
      <c r="BI1875">
        <f>IF(BH1875=0,0,IF(AND(AW1875&gt;='Tasks Filter'!$F$3,AW1875&lt;='Tasks Filter'!$F$4,OR('Tasks Filter'!$I$3="",ISNUMBER(SEARCH('Tasks Filter'!$I$3,AU1875))),OR('Tasks Filter'!$I$4="",BF1875=IFERROR(MATCH('Tasks Filter'!$I$4,Setup!$L$6:$L$9,0),0)),OR('Tasks Filter'!$I$5="Both",AND('Tasks Filter'!$I$5="Yes",BB1875="✓"),AND('Tasks Filter'!$I$5="No",BB1875&lt;&gt;"✓")),OR('Tasks Filter'!$L$3="",AV1875='Tasks Filter'!$L$3),OR('Tasks Filter'!$L$4="",AZ1875='Tasks Filter'!$L$4),OR('Tasks Filter'!$L$5="",BC1875='Tasks Filter'!$L$5),OR('Tasks Filter'!$O$3="",BD1875='Tasks Filter'!$O$3),OR('Tasks Filter'!$O$4="Yes",BG1875=0)),1,0))</f>
        <v/>
      </c>
      <c r="BJ1875">
        <f>IF(BH1875=0,"",IF('Tasks Filter'!$F$6="Descending",-1,1)*CHOOSE(MATCH('Tasks Filter'!$F$5,Lists!$G$2:$G$6,0),AW1875,BF1875,IFERROR(MATCH(AV1875,Setup!$F$6:$F$15,0),99),IFERROR(MATCH(BC1875,Setup!$H$6:$H$15,0),99),IFERROR(MATCH(AZ1875,Setup!$J$6:$J$11,0),99))*1E+9+(AW1875-40000)*10000+1874)</f>
        <v/>
      </c>
      <c r="BK1875">
        <f>IF(BI1875=1,BJ1875,"")</f>
        <v/>
      </c>
      <c r="BL1875">
        <f>IF(AND(BH1875=1,BG1875=0,N(AW1875)&lt;Setup!$D$7),(AW1875-40000)*10000+1874,"")</f>
        <v/>
      </c>
      <c r="BM1875">
        <f>IF(AND(BH1875=1,AZ1875&lt;&gt;"Cancelled",N(AW1875)&gt;=Dashboard!$AB$3,N(AW1875)&lt;=Dashboard!$AB$3+6),(AW1875-40000)*100000+BF1875*10000+1874,"")</f>
        <v/>
      </c>
      <c r="BN1875">
        <f>IF(AND(BH1875=1,AZ1875&lt;&gt;"Cancelled"),BF1875*10000+1874,"")</f>
        <v/>
      </c>
    </row>
    <row r="1876">
      <c r="AS1876" t="inlineStr">
        <is>
          <t>V</t>
        </is>
      </c>
      <c r="AT1876" t="n">
        <v>380</v>
      </c>
      <c r="AU1876">
        <f>'Variable Tasks'!C380&amp;""</f>
        <v/>
      </c>
      <c r="AV1876">
        <f>'Variable Tasks'!D380&amp;""</f>
        <v/>
      </c>
      <c r="AW1876">
        <f>IF('Variable Tasks'!E380="","",'Variable Tasks'!E380)</f>
        <v/>
      </c>
      <c r="AX1876">
        <f>IF('Variable Tasks'!G380="","",'Variable Tasks'!G380)</f>
        <v/>
      </c>
      <c r="AY1876">
        <f>IF('Variable Tasks'!H380="","",'Variable Tasks'!H380)</f>
        <v/>
      </c>
      <c r="AZ1876">
        <f>IF(AU1876="","",IF('Variable Tasks'!J380="","Not Started",'Variable Tasks'!J380))</f>
        <v/>
      </c>
      <c r="BA1876">
        <f>'Variable Tasks'!L380&amp;""</f>
        <v/>
      </c>
      <c r="BB1876">
        <f>'Variable Tasks'!M380&amp;""</f>
        <v/>
      </c>
      <c r="BC1876">
        <f>'Variable Tasks'!N380&amp;""</f>
        <v/>
      </c>
      <c r="BD1876">
        <f>'Variable Tasks'!O380&amp;""</f>
        <v/>
      </c>
      <c r="BE1876">
        <f>IF('Variable Tasks'!K380="","",'Variable Tasks'!K380)</f>
        <v/>
      </c>
      <c r="BF1876">
        <f>IFERROR(MATCH(BA1876,Setup!$L$6:$L$9,0),5)</f>
        <v/>
      </c>
      <c r="BG1876">
        <f>IF(OR(AZ1876="Done",AZ1876="Cancelled"),1,0)</f>
        <v/>
      </c>
      <c r="BH1876">
        <f>IF(AND(AU1876&lt;&gt;"",ISNUMBER(AW1876)),1,0)</f>
        <v/>
      </c>
      <c r="BI1876">
        <f>IF(BH1876=0,0,IF(AND(AW1876&gt;='Tasks Filter'!$F$3,AW1876&lt;='Tasks Filter'!$F$4,OR('Tasks Filter'!$I$3="",ISNUMBER(SEARCH('Tasks Filter'!$I$3,AU1876))),OR('Tasks Filter'!$I$4="",BF1876=IFERROR(MATCH('Tasks Filter'!$I$4,Setup!$L$6:$L$9,0),0)),OR('Tasks Filter'!$I$5="Both",AND('Tasks Filter'!$I$5="Yes",BB1876="✓"),AND('Tasks Filter'!$I$5="No",BB1876&lt;&gt;"✓")),OR('Tasks Filter'!$L$3="",AV1876='Tasks Filter'!$L$3),OR('Tasks Filter'!$L$4="",AZ1876='Tasks Filter'!$L$4),OR('Tasks Filter'!$L$5="",BC1876='Tasks Filter'!$L$5),OR('Tasks Filter'!$O$3="",BD1876='Tasks Filter'!$O$3),OR('Tasks Filter'!$O$4="Yes",BG1876=0)),1,0))</f>
        <v/>
      </c>
      <c r="BJ1876">
        <f>IF(BH1876=0,"",IF('Tasks Filter'!$F$6="Descending",-1,1)*CHOOSE(MATCH('Tasks Filter'!$F$5,Lists!$G$2:$G$6,0),AW1876,BF1876,IFERROR(MATCH(AV1876,Setup!$F$6:$F$15,0),99),IFERROR(MATCH(BC1876,Setup!$H$6:$H$15,0),99),IFERROR(MATCH(AZ1876,Setup!$J$6:$J$11,0),99))*1E+9+(AW1876-40000)*10000+1875)</f>
        <v/>
      </c>
      <c r="BK1876">
        <f>IF(BI1876=1,BJ1876,"")</f>
        <v/>
      </c>
      <c r="BL1876">
        <f>IF(AND(BH1876=1,BG1876=0,N(AW1876)&lt;Setup!$D$7),(AW1876-40000)*10000+1875,"")</f>
        <v/>
      </c>
      <c r="BM1876">
        <f>IF(AND(BH1876=1,AZ1876&lt;&gt;"Cancelled",N(AW1876)&gt;=Dashboard!$AB$3,N(AW1876)&lt;=Dashboard!$AB$3+6),(AW1876-40000)*100000+BF1876*10000+1875,"")</f>
        <v/>
      </c>
      <c r="BN1876">
        <f>IF(AND(BH1876=1,AZ1876&lt;&gt;"Cancelled"),BF1876*10000+1875,"")</f>
        <v/>
      </c>
    </row>
    <row r="1877">
      <c r="AS1877" t="inlineStr">
        <is>
          <t>V</t>
        </is>
      </c>
      <c r="AT1877" t="n">
        <v>381</v>
      </c>
      <c r="AU1877">
        <f>'Variable Tasks'!C381&amp;""</f>
        <v/>
      </c>
      <c r="AV1877">
        <f>'Variable Tasks'!D381&amp;""</f>
        <v/>
      </c>
      <c r="AW1877">
        <f>IF('Variable Tasks'!E381="","",'Variable Tasks'!E381)</f>
        <v/>
      </c>
      <c r="AX1877">
        <f>IF('Variable Tasks'!G381="","",'Variable Tasks'!G381)</f>
        <v/>
      </c>
      <c r="AY1877">
        <f>IF('Variable Tasks'!H381="","",'Variable Tasks'!H381)</f>
        <v/>
      </c>
      <c r="AZ1877">
        <f>IF(AU1877="","",IF('Variable Tasks'!J381="","Not Started",'Variable Tasks'!J381))</f>
        <v/>
      </c>
      <c r="BA1877">
        <f>'Variable Tasks'!L381&amp;""</f>
        <v/>
      </c>
      <c r="BB1877">
        <f>'Variable Tasks'!M381&amp;""</f>
        <v/>
      </c>
      <c r="BC1877">
        <f>'Variable Tasks'!N381&amp;""</f>
        <v/>
      </c>
      <c r="BD1877">
        <f>'Variable Tasks'!O381&amp;""</f>
        <v/>
      </c>
      <c r="BE1877">
        <f>IF('Variable Tasks'!K381="","",'Variable Tasks'!K381)</f>
        <v/>
      </c>
      <c r="BF1877">
        <f>IFERROR(MATCH(BA1877,Setup!$L$6:$L$9,0),5)</f>
        <v/>
      </c>
      <c r="BG1877">
        <f>IF(OR(AZ1877="Done",AZ1877="Cancelled"),1,0)</f>
        <v/>
      </c>
      <c r="BH1877">
        <f>IF(AND(AU1877&lt;&gt;"",ISNUMBER(AW1877)),1,0)</f>
        <v/>
      </c>
      <c r="BI1877">
        <f>IF(BH1877=0,0,IF(AND(AW1877&gt;='Tasks Filter'!$F$3,AW1877&lt;='Tasks Filter'!$F$4,OR('Tasks Filter'!$I$3="",ISNUMBER(SEARCH('Tasks Filter'!$I$3,AU1877))),OR('Tasks Filter'!$I$4="",BF1877=IFERROR(MATCH('Tasks Filter'!$I$4,Setup!$L$6:$L$9,0),0)),OR('Tasks Filter'!$I$5="Both",AND('Tasks Filter'!$I$5="Yes",BB1877="✓"),AND('Tasks Filter'!$I$5="No",BB1877&lt;&gt;"✓")),OR('Tasks Filter'!$L$3="",AV1877='Tasks Filter'!$L$3),OR('Tasks Filter'!$L$4="",AZ1877='Tasks Filter'!$L$4),OR('Tasks Filter'!$L$5="",BC1877='Tasks Filter'!$L$5),OR('Tasks Filter'!$O$3="",BD1877='Tasks Filter'!$O$3),OR('Tasks Filter'!$O$4="Yes",BG1877=0)),1,0))</f>
        <v/>
      </c>
      <c r="BJ1877">
        <f>IF(BH1877=0,"",IF('Tasks Filter'!$F$6="Descending",-1,1)*CHOOSE(MATCH('Tasks Filter'!$F$5,Lists!$G$2:$G$6,0),AW1877,BF1877,IFERROR(MATCH(AV1877,Setup!$F$6:$F$15,0),99),IFERROR(MATCH(BC1877,Setup!$H$6:$H$15,0),99),IFERROR(MATCH(AZ1877,Setup!$J$6:$J$11,0),99))*1E+9+(AW1877-40000)*10000+1876)</f>
        <v/>
      </c>
      <c r="BK1877">
        <f>IF(BI1877=1,BJ1877,"")</f>
        <v/>
      </c>
      <c r="BL1877">
        <f>IF(AND(BH1877=1,BG1877=0,N(AW1877)&lt;Setup!$D$7),(AW1877-40000)*10000+1876,"")</f>
        <v/>
      </c>
      <c r="BM1877">
        <f>IF(AND(BH1877=1,AZ1877&lt;&gt;"Cancelled",N(AW1877)&gt;=Dashboard!$AB$3,N(AW1877)&lt;=Dashboard!$AB$3+6),(AW1877-40000)*100000+BF1877*10000+1876,"")</f>
        <v/>
      </c>
      <c r="BN1877">
        <f>IF(AND(BH1877=1,AZ1877&lt;&gt;"Cancelled"),BF1877*10000+1876,"")</f>
        <v/>
      </c>
    </row>
    <row r="1878">
      <c r="AS1878" t="inlineStr">
        <is>
          <t>V</t>
        </is>
      </c>
      <c r="AT1878" t="n">
        <v>382</v>
      </c>
      <c r="AU1878">
        <f>'Variable Tasks'!C382&amp;""</f>
        <v/>
      </c>
      <c r="AV1878">
        <f>'Variable Tasks'!D382&amp;""</f>
        <v/>
      </c>
      <c r="AW1878">
        <f>IF('Variable Tasks'!E382="","",'Variable Tasks'!E382)</f>
        <v/>
      </c>
      <c r="AX1878">
        <f>IF('Variable Tasks'!G382="","",'Variable Tasks'!G382)</f>
        <v/>
      </c>
      <c r="AY1878">
        <f>IF('Variable Tasks'!H382="","",'Variable Tasks'!H382)</f>
        <v/>
      </c>
      <c r="AZ1878">
        <f>IF(AU1878="","",IF('Variable Tasks'!J382="","Not Started",'Variable Tasks'!J382))</f>
        <v/>
      </c>
      <c r="BA1878">
        <f>'Variable Tasks'!L382&amp;""</f>
        <v/>
      </c>
      <c r="BB1878">
        <f>'Variable Tasks'!M382&amp;""</f>
        <v/>
      </c>
      <c r="BC1878">
        <f>'Variable Tasks'!N382&amp;""</f>
        <v/>
      </c>
      <c r="BD1878">
        <f>'Variable Tasks'!O382&amp;""</f>
        <v/>
      </c>
      <c r="BE1878">
        <f>IF('Variable Tasks'!K382="","",'Variable Tasks'!K382)</f>
        <v/>
      </c>
      <c r="BF1878">
        <f>IFERROR(MATCH(BA1878,Setup!$L$6:$L$9,0),5)</f>
        <v/>
      </c>
      <c r="BG1878">
        <f>IF(OR(AZ1878="Done",AZ1878="Cancelled"),1,0)</f>
        <v/>
      </c>
      <c r="BH1878">
        <f>IF(AND(AU1878&lt;&gt;"",ISNUMBER(AW1878)),1,0)</f>
        <v/>
      </c>
      <c r="BI1878">
        <f>IF(BH1878=0,0,IF(AND(AW1878&gt;='Tasks Filter'!$F$3,AW1878&lt;='Tasks Filter'!$F$4,OR('Tasks Filter'!$I$3="",ISNUMBER(SEARCH('Tasks Filter'!$I$3,AU1878))),OR('Tasks Filter'!$I$4="",BF1878=IFERROR(MATCH('Tasks Filter'!$I$4,Setup!$L$6:$L$9,0),0)),OR('Tasks Filter'!$I$5="Both",AND('Tasks Filter'!$I$5="Yes",BB1878="✓"),AND('Tasks Filter'!$I$5="No",BB1878&lt;&gt;"✓")),OR('Tasks Filter'!$L$3="",AV1878='Tasks Filter'!$L$3),OR('Tasks Filter'!$L$4="",AZ1878='Tasks Filter'!$L$4),OR('Tasks Filter'!$L$5="",BC1878='Tasks Filter'!$L$5),OR('Tasks Filter'!$O$3="",BD1878='Tasks Filter'!$O$3),OR('Tasks Filter'!$O$4="Yes",BG1878=0)),1,0))</f>
        <v/>
      </c>
      <c r="BJ1878">
        <f>IF(BH1878=0,"",IF('Tasks Filter'!$F$6="Descending",-1,1)*CHOOSE(MATCH('Tasks Filter'!$F$5,Lists!$G$2:$G$6,0),AW1878,BF1878,IFERROR(MATCH(AV1878,Setup!$F$6:$F$15,0),99),IFERROR(MATCH(BC1878,Setup!$H$6:$H$15,0),99),IFERROR(MATCH(AZ1878,Setup!$J$6:$J$11,0),99))*1E+9+(AW1878-40000)*10000+1877)</f>
        <v/>
      </c>
      <c r="BK1878">
        <f>IF(BI1878=1,BJ1878,"")</f>
        <v/>
      </c>
      <c r="BL1878">
        <f>IF(AND(BH1878=1,BG1878=0,N(AW1878)&lt;Setup!$D$7),(AW1878-40000)*10000+1877,"")</f>
        <v/>
      </c>
      <c r="BM1878">
        <f>IF(AND(BH1878=1,AZ1878&lt;&gt;"Cancelled",N(AW1878)&gt;=Dashboard!$AB$3,N(AW1878)&lt;=Dashboard!$AB$3+6),(AW1878-40000)*100000+BF1878*10000+1877,"")</f>
        <v/>
      </c>
      <c r="BN1878">
        <f>IF(AND(BH1878=1,AZ1878&lt;&gt;"Cancelled"),BF1878*10000+1877,"")</f>
        <v/>
      </c>
    </row>
    <row r="1879">
      <c r="AS1879" t="inlineStr">
        <is>
          <t>V</t>
        </is>
      </c>
      <c r="AT1879" t="n">
        <v>383</v>
      </c>
      <c r="AU1879">
        <f>'Variable Tasks'!C383&amp;""</f>
        <v/>
      </c>
      <c r="AV1879">
        <f>'Variable Tasks'!D383&amp;""</f>
        <v/>
      </c>
      <c r="AW1879">
        <f>IF('Variable Tasks'!E383="","",'Variable Tasks'!E383)</f>
        <v/>
      </c>
      <c r="AX1879">
        <f>IF('Variable Tasks'!G383="","",'Variable Tasks'!G383)</f>
        <v/>
      </c>
      <c r="AY1879">
        <f>IF('Variable Tasks'!H383="","",'Variable Tasks'!H383)</f>
        <v/>
      </c>
      <c r="AZ1879">
        <f>IF(AU1879="","",IF('Variable Tasks'!J383="","Not Started",'Variable Tasks'!J383))</f>
        <v/>
      </c>
      <c r="BA1879">
        <f>'Variable Tasks'!L383&amp;""</f>
        <v/>
      </c>
      <c r="BB1879">
        <f>'Variable Tasks'!M383&amp;""</f>
        <v/>
      </c>
      <c r="BC1879">
        <f>'Variable Tasks'!N383&amp;""</f>
        <v/>
      </c>
      <c r="BD1879">
        <f>'Variable Tasks'!O383&amp;""</f>
        <v/>
      </c>
      <c r="BE1879">
        <f>IF('Variable Tasks'!K383="","",'Variable Tasks'!K383)</f>
        <v/>
      </c>
      <c r="BF1879">
        <f>IFERROR(MATCH(BA1879,Setup!$L$6:$L$9,0),5)</f>
        <v/>
      </c>
      <c r="BG1879">
        <f>IF(OR(AZ1879="Done",AZ1879="Cancelled"),1,0)</f>
        <v/>
      </c>
      <c r="BH1879">
        <f>IF(AND(AU1879&lt;&gt;"",ISNUMBER(AW1879)),1,0)</f>
        <v/>
      </c>
      <c r="BI1879">
        <f>IF(BH1879=0,0,IF(AND(AW1879&gt;='Tasks Filter'!$F$3,AW1879&lt;='Tasks Filter'!$F$4,OR('Tasks Filter'!$I$3="",ISNUMBER(SEARCH('Tasks Filter'!$I$3,AU1879))),OR('Tasks Filter'!$I$4="",BF1879=IFERROR(MATCH('Tasks Filter'!$I$4,Setup!$L$6:$L$9,0),0)),OR('Tasks Filter'!$I$5="Both",AND('Tasks Filter'!$I$5="Yes",BB1879="✓"),AND('Tasks Filter'!$I$5="No",BB1879&lt;&gt;"✓")),OR('Tasks Filter'!$L$3="",AV1879='Tasks Filter'!$L$3),OR('Tasks Filter'!$L$4="",AZ1879='Tasks Filter'!$L$4),OR('Tasks Filter'!$L$5="",BC1879='Tasks Filter'!$L$5),OR('Tasks Filter'!$O$3="",BD1879='Tasks Filter'!$O$3),OR('Tasks Filter'!$O$4="Yes",BG1879=0)),1,0))</f>
        <v/>
      </c>
      <c r="BJ1879">
        <f>IF(BH1879=0,"",IF('Tasks Filter'!$F$6="Descending",-1,1)*CHOOSE(MATCH('Tasks Filter'!$F$5,Lists!$G$2:$G$6,0),AW1879,BF1879,IFERROR(MATCH(AV1879,Setup!$F$6:$F$15,0),99),IFERROR(MATCH(BC1879,Setup!$H$6:$H$15,0),99),IFERROR(MATCH(AZ1879,Setup!$J$6:$J$11,0),99))*1E+9+(AW1879-40000)*10000+1878)</f>
        <v/>
      </c>
      <c r="BK1879">
        <f>IF(BI1879=1,BJ1879,"")</f>
        <v/>
      </c>
      <c r="BL1879">
        <f>IF(AND(BH1879=1,BG1879=0,N(AW1879)&lt;Setup!$D$7),(AW1879-40000)*10000+1878,"")</f>
        <v/>
      </c>
      <c r="BM1879">
        <f>IF(AND(BH1879=1,AZ1879&lt;&gt;"Cancelled",N(AW1879)&gt;=Dashboard!$AB$3,N(AW1879)&lt;=Dashboard!$AB$3+6),(AW1879-40000)*100000+BF1879*10000+1878,"")</f>
        <v/>
      </c>
      <c r="BN1879">
        <f>IF(AND(BH1879=1,AZ1879&lt;&gt;"Cancelled"),BF1879*10000+1878,"")</f>
        <v/>
      </c>
    </row>
    <row r="1880">
      <c r="AS1880" t="inlineStr">
        <is>
          <t>V</t>
        </is>
      </c>
      <c r="AT1880" t="n">
        <v>384</v>
      </c>
      <c r="AU1880">
        <f>'Variable Tasks'!C384&amp;""</f>
        <v/>
      </c>
      <c r="AV1880">
        <f>'Variable Tasks'!D384&amp;""</f>
        <v/>
      </c>
      <c r="AW1880">
        <f>IF('Variable Tasks'!E384="","",'Variable Tasks'!E384)</f>
        <v/>
      </c>
      <c r="AX1880">
        <f>IF('Variable Tasks'!G384="","",'Variable Tasks'!G384)</f>
        <v/>
      </c>
      <c r="AY1880">
        <f>IF('Variable Tasks'!H384="","",'Variable Tasks'!H384)</f>
        <v/>
      </c>
      <c r="AZ1880">
        <f>IF(AU1880="","",IF('Variable Tasks'!J384="","Not Started",'Variable Tasks'!J384))</f>
        <v/>
      </c>
      <c r="BA1880">
        <f>'Variable Tasks'!L384&amp;""</f>
        <v/>
      </c>
      <c r="BB1880">
        <f>'Variable Tasks'!M384&amp;""</f>
        <v/>
      </c>
      <c r="BC1880">
        <f>'Variable Tasks'!N384&amp;""</f>
        <v/>
      </c>
      <c r="BD1880">
        <f>'Variable Tasks'!O384&amp;""</f>
        <v/>
      </c>
      <c r="BE1880">
        <f>IF('Variable Tasks'!K384="","",'Variable Tasks'!K384)</f>
        <v/>
      </c>
      <c r="BF1880">
        <f>IFERROR(MATCH(BA1880,Setup!$L$6:$L$9,0),5)</f>
        <v/>
      </c>
      <c r="BG1880">
        <f>IF(OR(AZ1880="Done",AZ1880="Cancelled"),1,0)</f>
        <v/>
      </c>
      <c r="BH1880">
        <f>IF(AND(AU1880&lt;&gt;"",ISNUMBER(AW1880)),1,0)</f>
        <v/>
      </c>
      <c r="BI1880">
        <f>IF(BH1880=0,0,IF(AND(AW1880&gt;='Tasks Filter'!$F$3,AW1880&lt;='Tasks Filter'!$F$4,OR('Tasks Filter'!$I$3="",ISNUMBER(SEARCH('Tasks Filter'!$I$3,AU1880))),OR('Tasks Filter'!$I$4="",BF1880=IFERROR(MATCH('Tasks Filter'!$I$4,Setup!$L$6:$L$9,0),0)),OR('Tasks Filter'!$I$5="Both",AND('Tasks Filter'!$I$5="Yes",BB1880="✓"),AND('Tasks Filter'!$I$5="No",BB1880&lt;&gt;"✓")),OR('Tasks Filter'!$L$3="",AV1880='Tasks Filter'!$L$3),OR('Tasks Filter'!$L$4="",AZ1880='Tasks Filter'!$L$4),OR('Tasks Filter'!$L$5="",BC1880='Tasks Filter'!$L$5),OR('Tasks Filter'!$O$3="",BD1880='Tasks Filter'!$O$3),OR('Tasks Filter'!$O$4="Yes",BG1880=0)),1,0))</f>
        <v/>
      </c>
      <c r="BJ1880">
        <f>IF(BH1880=0,"",IF('Tasks Filter'!$F$6="Descending",-1,1)*CHOOSE(MATCH('Tasks Filter'!$F$5,Lists!$G$2:$G$6,0),AW1880,BF1880,IFERROR(MATCH(AV1880,Setup!$F$6:$F$15,0),99),IFERROR(MATCH(BC1880,Setup!$H$6:$H$15,0),99),IFERROR(MATCH(AZ1880,Setup!$J$6:$J$11,0),99))*1E+9+(AW1880-40000)*10000+1879)</f>
        <v/>
      </c>
      <c r="BK1880">
        <f>IF(BI1880=1,BJ1880,"")</f>
        <v/>
      </c>
      <c r="BL1880">
        <f>IF(AND(BH1880=1,BG1880=0,N(AW1880)&lt;Setup!$D$7),(AW1880-40000)*10000+1879,"")</f>
        <v/>
      </c>
      <c r="BM1880">
        <f>IF(AND(BH1880=1,AZ1880&lt;&gt;"Cancelled",N(AW1880)&gt;=Dashboard!$AB$3,N(AW1880)&lt;=Dashboard!$AB$3+6),(AW1880-40000)*100000+BF1880*10000+1879,"")</f>
        <v/>
      </c>
      <c r="BN1880">
        <f>IF(AND(BH1880=1,AZ1880&lt;&gt;"Cancelled"),BF1880*10000+1879,"")</f>
        <v/>
      </c>
    </row>
    <row r="1881">
      <c r="AS1881" t="inlineStr">
        <is>
          <t>V</t>
        </is>
      </c>
      <c r="AT1881" t="n">
        <v>385</v>
      </c>
      <c r="AU1881">
        <f>'Variable Tasks'!C385&amp;""</f>
        <v/>
      </c>
      <c r="AV1881">
        <f>'Variable Tasks'!D385&amp;""</f>
        <v/>
      </c>
      <c r="AW1881">
        <f>IF('Variable Tasks'!E385="","",'Variable Tasks'!E385)</f>
        <v/>
      </c>
      <c r="AX1881">
        <f>IF('Variable Tasks'!G385="","",'Variable Tasks'!G385)</f>
        <v/>
      </c>
      <c r="AY1881">
        <f>IF('Variable Tasks'!H385="","",'Variable Tasks'!H385)</f>
        <v/>
      </c>
      <c r="AZ1881">
        <f>IF(AU1881="","",IF('Variable Tasks'!J385="","Not Started",'Variable Tasks'!J385))</f>
        <v/>
      </c>
      <c r="BA1881">
        <f>'Variable Tasks'!L385&amp;""</f>
        <v/>
      </c>
      <c r="BB1881">
        <f>'Variable Tasks'!M385&amp;""</f>
        <v/>
      </c>
      <c r="BC1881">
        <f>'Variable Tasks'!N385&amp;""</f>
        <v/>
      </c>
      <c r="BD1881">
        <f>'Variable Tasks'!O385&amp;""</f>
        <v/>
      </c>
      <c r="BE1881">
        <f>IF('Variable Tasks'!K385="","",'Variable Tasks'!K385)</f>
        <v/>
      </c>
      <c r="BF1881">
        <f>IFERROR(MATCH(BA1881,Setup!$L$6:$L$9,0),5)</f>
        <v/>
      </c>
      <c r="BG1881">
        <f>IF(OR(AZ1881="Done",AZ1881="Cancelled"),1,0)</f>
        <v/>
      </c>
      <c r="BH1881">
        <f>IF(AND(AU1881&lt;&gt;"",ISNUMBER(AW1881)),1,0)</f>
        <v/>
      </c>
      <c r="BI1881">
        <f>IF(BH1881=0,0,IF(AND(AW1881&gt;='Tasks Filter'!$F$3,AW1881&lt;='Tasks Filter'!$F$4,OR('Tasks Filter'!$I$3="",ISNUMBER(SEARCH('Tasks Filter'!$I$3,AU1881))),OR('Tasks Filter'!$I$4="",BF1881=IFERROR(MATCH('Tasks Filter'!$I$4,Setup!$L$6:$L$9,0),0)),OR('Tasks Filter'!$I$5="Both",AND('Tasks Filter'!$I$5="Yes",BB1881="✓"),AND('Tasks Filter'!$I$5="No",BB1881&lt;&gt;"✓")),OR('Tasks Filter'!$L$3="",AV1881='Tasks Filter'!$L$3),OR('Tasks Filter'!$L$4="",AZ1881='Tasks Filter'!$L$4),OR('Tasks Filter'!$L$5="",BC1881='Tasks Filter'!$L$5),OR('Tasks Filter'!$O$3="",BD1881='Tasks Filter'!$O$3),OR('Tasks Filter'!$O$4="Yes",BG1881=0)),1,0))</f>
        <v/>
      </c>
      <c r="BJ1881">
        <f>IF(BH1881=0,"",IF('Tasks Filter'!$F$6="Descending",-1,1)*CHOOSE(MATCH('Tasks Filter'!$F$5,Lists!$G$2:$G$6,0),AW1881,BF1881,IFERROR(MATCH(AV1881,Setup!$F$6:$F$15,0),99),IFERROR(MATCH(BC1881,Setup!$H$6:$H$15,0),99),IFERROR(MATCH(AZ1881,Setup!$J$6:$J$11,0),99))*1E+9+(AW1881-40000)*10000+1880)</f>
        <v/>
      </c>
      <c r="BK1881">
        <f>IF(BI1881=1,BJ1881,"")</f>
        <v/>
      </c>
      <c r="BL1881">
        <f>IF(AND(BH1881=1,BG1881=0,N(AW1881)&lt;Setup!$D$7),(AW1881-40000)*10000+1880,"")</f>
        <v/>
      </c>
      <c r="BM1881">
        <f>IF(AND(BH1881=1,AZ1881&lt;&gt;"Cancelled",N(AW1881)&gt;=Dashboard!$AB$3,N(AW1881)&lt;=Dashboard!$AB$3+6),(AW1881-40000)*100000+BF1881*10000+1880,"")</f>
        <v/>
      </c>
      <c r="BN1881">
        <f>IF(AND(BH1881=1,AZ1881&lt;&gt;"Cancelled"),BF1881*10000+1880,"")</f>
        <v/>
      </c>
    </row>
    <row r="1882">
      <c r="AS1882" t="inlineStr">
        <is>
          <t>V</t>
        </is>
      </c>
      <c r="AT1882" t="n">
        <v>386</v>
      </c>
      <c r="AU1882">
        <f>'Variable Tasks'!C386&amp;""</f>
        <v/>
      </c>
      <c r="AV1882">
        <f>'Variable Tasks'!D386&amp;""</f>
        <v/>
      </c>
      <c r="AW1882">
        <f>IF('Variable Tasks'!E386="","",'Variable Tasks'!E386)</f>
        <v/>
      </c>
      <c r="AX1882">
        <f>IF('Variable Tasks'!G386="","",'Variable Tasks'!G386)</f>
        <v/>
      </c>
      <c r="AY1882">
        <f>IF('Variable Tasks'!H386="","",'Variable Tasks'!H386)</f>
        <v/>
      </c>
      <c r="AZ1882">
        <f>IF(AU1882="","",IF('Variable Tasks'!J386="","Not Started",'Variable Tasks'!J386))</f>
        <v/>
      </c>
      <c r="BA1882">
        <f>'Variable Tasks'!L386&amp;""</f>
        <v/>
      </c>
      <c r="BB1882">
        <f>'Variable Tasks'!M386&amp;""</f>
        <v/>
      </c>
      <c r="BC1882">
        <f>'Variable Tasks'!N386&amp;""</f>
        <v/>
      </c>
      <c r="BD1882">
        <f>'Variable Tasks'!O386&amp;""</f>
        <v/>
      </c>
      <c r="BE1882">
        <f>IF('Variable Tasks'!K386="","",'Variable Tasks'!K386)</f>
        <v/>
      </c>
      <c r="BF1882">
        <f>IFERROR(MATCH(BA1882,Setup!$L$6:$L$9,0),5)</f>
        <v/>
      </c>
      <c r="BG1882">
        <f>IF(OR(AZ1882="Done",AZ1882="Cancelled"),1,0)</f>
        <v/>
      </c>
      <c r="BH1882">
        <f>IF(AND(AU1882&lt;&gt;"",ISNUMBER(AW1882)),1,0)</f>
        <v/>
      </c>
      <c r="BI1882">
        <f>IF(BH1882=0,0,IF(AND(AW1882&gt;='Tasks Filter'!$F$3,AW1882&lt;='Tasks Filter'!$F$4,OR('Tasks Filter'!$I$3="",ISNUMBER(SEARCH('Tasks Filter'!$I$3,AU1882))),OR('Tasks Filter'!$I$4="",BF1882=IFERROR(MATCH('Tasks Filter'!$I$4,Setup!$L$6:$L$9,0),0)),OR('Tasks Filter'!$I$5="Both",AND('Tasks Filter'!$I$5="Yes",BB1882="✓"),AND('Tasks Filter'!$I$5="No",BB1882&lt;&gt;"✓")),OR('Tasks Filter'!$L$3="",AV1882='Tasks Filter'!$L$3),OR('Tasks Filter'!$L$4="",AZ1882='Tasks Filter'!$L$4),OR('Tasks Filter'!$L$5="",BC1882='Tasks Filter'!$L$5),OR('Tasks Filter'!$O$3="",BD1882='Tasks Filter'!$O$3),OR('Tasks Filter'!$O$4="Yes",BG1882=0)),1,0))</f>
        <v/>
      </c>
      <c r="BJ1882">
        <f>IF(BH1882=0,"",IF('Tasks Filter'!$F$6="Descending",-1,1)*CHOOSE(MATCH('Tasks Filter'!$F$5,Lists!$G$2:$G$6,0),AW1882,BF1882,IFERROR(MATCH(AV1882,Setup!$F$6:$F$15,0),99),IFERROR(MATCH(BC1882,Setup!$H$6:$H$15,0),99),IFERROR(MATCH(AZ1882,Setup!$J$6:$J$11,0),99))*1E+9+(AW1882-40000)*10000+1881)</f>
        <v/>
      </c>
      <c r="BK1882">
        <f>IF(BI1882=1,BJ1882,"")</f>
        <v/>
      </c>
      <c r="BL1882">
        <f>IF(AND(BH1882=1,BG1882=0,N(AW1882)&lt;Setup!$D$7),(AW1882-40000)*10000+1881,"")</f>
        <v/>
      </c>
      <c r="BM1882">
        <f>IF(AND(BH1882=1,AZ1882&lt;&gt;"Cancelled",N(AW1882)&gt;=Dashboard!$AB$3,N(AW1882)&lt;=Dashboard!$AB$3+6),(AW1882-40000)*100000+BF1882*10000+1881,"")</f>
        <v/>
      </c>
      <c r="BN1882">
        <f>IF(AND(BH1882=1,AZ1882&lt;&gt;"Cancelled"),BF1882*10000+1881,"")</f>
        <v/>
      </c>
    </row>
    <row r="1883">
      <c r="AS1883" t="inlineStr">
        <is>
          <t>V</t>
        </is>
      </c>
      <c r="AT1883" t="n">
        <v>387</v>
      </c>
      <c r="AU1883">
        <f>'Variable Tasks'!C387&amp;""</f>
        <v/>
      </c>
      <c r="AV1883">
        <f>'Variable Tasks'!D387&amp;""</f>
        <v/>
      </c>
      <c r="AW1883">
        <f>IF('Variable Tasks'!E387="","",'Variable Tasks'!E387)</f>
        <v/>
      </c>
      <c r="AX1883">
        <f>IF('Variable Tasks'!G387="","",'Variable Tasks'!G387)</f>
        <v/>
      </c>
      <c r="AY1883">
        <f>IF('Variable Tasks'!H387="","",'Variable Tasks'!H387)</f>
        <v/>
      </c>
      <c r="AZ1883">
        <f>IF(AU1883="","",IF('Variable Tasks'!J387="","Not Started",'Variable Tasks'!J387))</f>
        <v/>
      </c>
      <c r="BA1883">
        <f>'Variable Tasks'!L387&amp;""</f>
        <v/>
      </c>
      <c r="BB1883">
        <f>'Variable Tasks'!M387&amp;""</f>
        <v/>
      </c>
      <c r="BC1883">
        <f>'Variable Tasks'!N387&amp;""</f>
        <v/>
      </c>
      <c r="BD1883">
        <f>'Variable Tasks'!O387&amp;""</f>
        <v/>
      </c>
      <c r="BE1883">
        <f>IF('Variable Tasks'!K387="","",'Variable Tasks'!K387)</f>
        <v/>
      </c>
      <c r="BF1883">
        <f>IFERROR(MATCH(BA1883,Setup!$L$6:$L$9,0),5)</f>
        <v/>
      </c>
      <c r="BG1883">
        <f>IF(OR(AZ1883="Done",AZ1883="Cancelled"),1,0)</f>
        <v/>
      </c>
      <c r="BH1883">
        <f>IF(AND(AU1883&lt;&gt;"",ISNUMBER(AW1883)),1,0)</f>
        <v/>
      </c>
      <c r="BI1883">
        <f>IF(BH1883=0,0,IF(AND(AW1883&gt;='Tasks Filter'!$F$3,AW1883&lt;='Tasks Filter'!$F$4,OR('Tasks Filter'!$I$3="",ISNUMBER(SEARCH('Tasks Filter'!$I$3,AU1883))),OR('Tasks Filter'!$I$4="",BF1883=IFERROR(MATCH('Tasks Filter'!$I$4,Setup!$L$6:$L$9,0),0)),OR('Tasks Filter'!$I$5="Both",AND('Tasks Filter'!$I$5="Yes",BB1883="✓"),AND('Tasks Filter'!$I$5="No",BB1883&lt;&gt;"✓")),OR('Tasks Filter'!$L$3="",AV1883='Tasks Filter'!$L$3),OR('Tasks Filter'!$L$4="",AZ1883='Tasks Filter'!$L$4),OR('Tasks Filter'!$L$5="",BC1883='Tasks Filter'!$L$5),OR('Tasks Filter'!$O$3="",BD1883='Tasks Filter'!$O$3),OR('Tasks Filter'!$O$4="Yes",BG1883=0)),1,0))</f>
        <v/>
      </c>
      <c r="BJ1883">
        <f>IF(BH1883=0,"",IF('Tasks Filter'!$F$6="Descending",-1,1)*CHOOSE(MATCH('Tasks Filter'!$F$5,Lists!$G$2:$G$6,0),AW1883,BF1883,IFERROR(MATCH(AV1883,Setup!$F$6:$F$15,0),99),IFERROR(MATCH(BC1883,Setup!$H$6:$H$15,0),99),IFERROR(MATCH(AZ1883,Setup!$J$6:$J$11,0),99))*1E+9+(AW1883-40000)*10000+1882)</f>
        <v/>
      </c>
      <c r="BK1883">
        <f>IF(BI1883=1,BJ1883,"")</f>
        <v/>
      </c>
      <c r="BL1883">
        <f>IF(AND(BH1883=1,BG1883=0,N(AW1883)&lt;Setup!$D$7),(AW1883-40000)*10000+1882,"")</f>
        <v/>
      </c>
      <c r="BM1883">
        <f>IF(AND(BH1883=1,AZ1883&lt;&gt;"Cancelled",N(AW1883)&gt;=Dashboard!$AB$3,N(AW1883)&lt;=Dashboard!$AB$3+6),(AW1883-40000)*100000+BF1883*10000+1882,"")</f>
        <v/>
      </c>
      <c r="BN1883">
        <f>IF(AND(BH1883=1,AZ1883&lt;&gt;"Cancelled"),BF1883*10000+1882,"")</f>
        <v/>
      </c>
    </row>
    <row r="1884">
      <c r="AS1884" t="inlineStr">
        <is>
          <t>V</t>
        </is>
      </c>
      <c r="AT1884" t="n">
        <v>388</v>
      </c>
      <c r="AU1884">
        <f>'Variable Tasks'!C388&amp;""</f>
        <v/>
      </c>
      <c r="AV1884">
        <f>'Variable Tasks'!D388&amp;""</f>
        <v/>
      </c>
      <c r="AW1884">
        <f>IF('Variable Tasks'!E388="","",'Variable Tasks'!E388)</f>
        <v/>
      </c>
      <c r="AX1884">
        <f>IF('Variable Tasks'!G388="","",'Variable Tasks'!G388)</f>
        <v/>
      </c>
      <c r="AY1884">
        <f>IF('Variable Tasks'!H388="","",'Variable Tasks'!H388)</f>
        <v/>
      </c>
      <c r="AZ1884">
        <f>IF(AU1884="","",IF('Variable Tasks'!J388="","Not Started",'Variable Tasks'!J388))</f>
        <v/>
      </c>
      <c r="BA1884">
        <f>'Variable Tasks'!L388&amp;""</f>
        <v/>
      </c>
      <c r="BB1884">
        <f>'Variable Tasks'!M388&amp;""</f>
        <v/>
      </c>
      <c r="BC1884">
        <f>'Variable Tasks'!N388&amp;""</f>
        <v/>
      </c>
      <c r="BD1884">
        <f>'Variable Tasks'!O388&amp;""</f>
        <v/>
      </c>
      <c r="BE1884">
        <f>IF('Variable Tasks'!K388="","",'Variable Tasks'!K388)</f>
        <v/>
      </c>
      <c r="BF1884">
        <f>IFERROR(MATCH(BA1884,Setup!$L$6:$L$9,0),5)</f>
        <v/>
      </c>
      <c r="BG1884">
        <f>IF(OR(AZ1884="Done",AZ1884="Cancelled"),1,0)</f>
        <v/>
      </c>
      <c r="BH1884">
        <f>IF(AND(AU1884&lt;&gt;"",ISNUMBER(AW1884)),1,0)</f>
        <v/>
      </c>
      <c r="BI1884">
        <f>IF(BH1884=0,0,IF(AND(AW1884&gt;='Tasks Filter'!$F$3,AW1884&lt;='Tasks Filter'!$F$4,OR('Tasks Filter'!$I$3="",ISNUMBER(SEARCH('Tasks Filter'!$I$3,AU1884))),OR('Tasks Filter'!$I$4="",BF1884=IFERROR(MATCH('Tasks Filter'!$I$4,Setup!$L$6:$L$9,0),0)),OR('Tasks Filter'!$I$5="Both",AND('Tasks Filter'!$I$5="Yes",BB1884="✓"),AND('Tasks Filter'!$I$5="No",BB1884&lt;&gt;"✓")),OR('Tasks Filter'!$L$3="",AV1884='Tasks Filter'!$L$3),OR('Tasks Filter'!$L$4="",AZ1884='Tasks Filter'!$L$4),OR('Tasks Filter'!$L$5="",BC1884='Tasks Filter'!$L$5),OR('Tasks Filter'!$O$3="",BD1884='Tasks Filter'!$O$3),OR('Tasks Filter'!$O$4="Yes",BG1884=0)),1,0))</f>
        <v/>
      </c>
      <c r="BJ1884">
        <f>IF(BH1884=0,"",IF('Tasks Filter'!$F$6="Descending",-1,1)*CHOOSE(MATCH('Tasks Filter'!$F$5,Lists!$G$2:$G$6,0),AW1884,BF1884,IFERROR(MATCH(AV1884,Setup!$F$6:$F$15,0),99),IFERROR(MATCH(BC1884,Setup!$H$6:$H$15,0),99),IFERROR(MATCH(AZ1884,Setup!$J$6:$J$11,0),99))*1E+9+(AW1884-40000)*10000+1883)</f>
        <v/>
      </c>
      <c r="BK1884">
        <f>IF(BI1884=1,BJ1884,"")</f>
        <v/>
      </c>
      <c r="BL1884">
        <f>IF(AND(BH1884=1,BG1884=0,N(AW1884)&lt;Setup!$D$7),(AW1884-40000)*10000+1883,"")</f>
        <v/>
      </c>
      <c r="BM1884">
        <f>IF(AND(BH1884=1,AZ1884&lt;&gt;"Cancelled",N(AW1884)&gt;=Dashboard!$AB$3,N(AW1884)&lt;=Dashboard!$AB$3+6),(AW1884-40000)*100000+BF1884*10000+1883,"")</f>
        <v/>
      </c>
      <c r="BN1884">
        <f>IF(AND(BH1884=1,AZ1884&lt;&gt;"Cancelled"),BF1884*10000+1883,"")</f>
        <v/>
      </c>
    </row>
    <row r="1885">
      <c r="AS1885" t="inlineStr">
        <is>
          <t>V</t>
        </is>
      </c>
      <c r="AT1885" t="n">
        <v>389</v>
      </c>
      <c r="AU1885">
        <f>'Variable Tasks'!C389&amp;""</f>
        <v/>
      </c>
      <c r="AV1885">
        <f>'Variable Tasks'!D389&amp;""</f>
        <v/>
      </c>
      <c r="AW1885">
        <f>IF('Variable Tasks'!E389="","",'Variable Tasks'!E389)</f>
        <v/>
      </c>
      <c r="AX1885">
        <f>IF('Variable Tasks'!G389="","",'Variable Tasks'!G389)</f>
        <v/>
      </c>
      <c r="AY1885">
        <f>IF('Variable Tasks'!H389="","",'Variable Tasks'!H389)</f>
        <v/>
      </c>
      <c r="AZ1885">
        <f>IF(AU1885="","",IF('Variable Tasks'!J389="","Not Started",'Variable Tasks'!J389))</f>
        <v/>
      </c>
      <c r="BA1885">
        <f>'Variable Tasks'!L389&amp;""</f>
        <v/>
      </c>
      <c r="BB1885">
        <f>'Variable Tasks'!M389&amp;""</f>
        <v/>
      </c>
      <c r="BC1885">
        <f>'Variable Tasks'!N389&amp;""</f>
        <v/>
      </c>
      <c r="BD1885">
        <f>'Variable Tasks'!O389&amp;""</f>
        <v/>
      </c>
      <c r="BE1885">
        <f>IF('Variable Tasks'!K389="","",'Variable Tasks'!K389)</f>
        <v/>
      </c>
      <c r="BF1885">
        <f>IFERROR(MATCH(BA1885,Setup!$L$6:$L$9,0),5)</f>
        <v/>
      </c>
      <c r="BG1885">
        <f>IF(OR(AZ1885="Done",AZ1885="Cancelled"),1,0)</f>
        <v/>
      </c>
      <c r="BH1885">
        <f>IF(AND(AU1885&lt;&gt;"",ISNUMBER(AW1885)),1,0)</f>
        <v/>
      </c>
      <c r="BI1885">
        <f>IF(BH1885=0,0,IF(AND(AW1885&gt;='Tasks Filter'!$F$3,AW1885&lt;='Tasks Filter'!$F$4,OR('Tasks Filter'!$I$3="",ISNUMBER(SEARCH('Tasks Filter'!$I$3,AU1885))),OR('Tasks Filter'!$I$4="",BF1885=IFERROR(MATCH('Tasks Filter'!$I$4,Setup!$L$6:$L$9,0),0)),OR('Tasks Filter'!$I$5="Both",AND('Tasks Filter'!$I$5="Yes",BB1885="✓"),AND('Tasks Filter'!$I$5="No",BB1885&lt;&gt;"✓")),OR('Tasks Filter'!$L$3="",AV1885='Tasks Filter'!$L$3),OR('Tasks Filter'!$L$4="",AZ1885='Tasks Filter'!$L$4),OR('Tasks Filter'!$L$5="",BC1885='Tasks Filter'!$L$5),OR('Tasks Filter'!$O$3="",BD1885='Tasks Filter'!$O$3),OR('Tasks Filter'!$O$4="Yes",BG1885=0)),1,0))</f>
        <v/>
      </c>
      <c r="BJ1885">
        <f>IF(BH1885=0,"",IF('Tasks Filter'!$F$6="Descending",-1,1)*CHOOSE(MATCH('Tasks Filter'!$F$5,Lists!$G$2:$G$6,0),AW1885,BF1885,IFERROR(MATCH(AV1885,Setup!$F$6:$F$15,0),99),IFERROR(MATCH(BC1885,Setup!$H$6:$H$15,0),99),IFERROR(MATCH(AZ1885,Setup!$J$6:$J$11,0),99))*1E+9+(AW1885-40000)*10000+1884)</f>
        <v/>
      </c>
      <c r="BK1885">
        <f>IF(BI1885=1,BJ1885,"")</f>
        <v/>
      </c>
      <c r="BL1885">
        <f>IF(AND(BH1885=1,BG1885=0,N(AW1885)&lt;Setup!$D$7),(AW1885-40000)*10000+1884,"")</f>
        <v/>
      </c>
      <c r="BM1885">
        <f>IF(AND(BH1885=1,AZ1885&lt;&gt;"Cancelled",N(AW1885)&gt;=Dashboard!$AB$3,N(AW1885)&lt;=Dashboard!$AB$3+6),(AW1885-40000)*100000+BF1885*10000+1884,"")</f>
        <v/>
      </c>
      <c r="BN1885">
        <f>IF(AND(BH1885=1,AZ1885&lt;&gt;"Cancelled"),BF1885*10000+1884,"")</f>
        <v/>
      </c>
    </row>
    <row r="1886">
      <c r="AS1886" t="inlineStr">
        <is>
          <t>V</t>
        </is>
      </c>
      <c r="AT1886" t="n">
        <v>390</v>
      </c>
      <c r="AU1886">
        <f>'Variable Tasks'!C390&amp;""</f>
        <v/>
      </c>
      <c r="AV1886">
        <f>'Variable Tasks'!D390&amp;""</f>
        <v/>
      </c>
      <c r="AW1886">
        <f>IF('Variable Tasks'!E390="","",'Variable Tasks'!E390)</f>
        <v/>
      </c>
      <c r="AX1886">
        <f>IF('Variable Tasks'!G390="","",'Variable Tasks'!G390)</f>
        <v/>
      </c>
      <c r="AY1886">
        <f>IF('Variable Tasks'!H390="","",'Variable Tasks'!H390)</f>
        <v/>
      </c>
      <c r="AZ1886">
        <f>IF(AU1886="","",IF('Variable Tasks'!J390="","Not Started",'Variable Tasks'!J390))</f>
        <v/>
      </c>
      <c r="BA1886">
        <f>'Variable Tasks'!L390&amp;""</f>
        <v/>
      </c>
      <c r="BB1886">
        <f>'Variable Tasks'!M390&amp;""</f>
        <v/>
      </c>
      <c r="BC1886">
        <f>'Variable Tasks'!N390&amp;""</f>
        <v/>
      </c>
      <c r="BD1886">
        <f>'Variable Tasks'!O390&amp;""</f>
        <v/>
      </c>
      <c r="BE1886">
        <f>IF('Variable Tasks'!K390="","",'Variable Tasks'!K390)</f>
        <v/>
      </c>
      <c r="BF1886">
        <f>IFERROR(MATCH(BA1886,Setup!$L$6:$L$9,0),5)</f>
        <v/>
      </c>
      <c r="BG1886">
        <f>IF(OR(AZ1886="Done",AZ1886="Cancelled"),1,0)</f>
        <v/>
      </c>
      <c r="BH1886">
        <f>IF(AND(AU1886&lt;&gt;"",ISNUMBER(AW1886)),1,0)</f>
        <v/>
      </c>
      <c r="BI1886">
        <f>IF(BH1886=0,0,IF(AND(AW1886&gt;='Tasks Filter'!$F$3,AW1886&lt;='Tasks Filter'!$F$4,OR('Tasks Filter'!$I$3="",ISNUMBER(SEARCH('Tasks Filter'!$I$3,AU1886))),OR('Tasks Filter'!$I$4="",BF1886=IFERROR(MATCH('Tasks Filter'!$I$4,Setup!$L$6:$L$9,0),0)),OR('Tasks Filter'!$I$5="Both",AND('Tasks Filter'!$I$5="Yes",BB1886="✓"),AND('Tasks Filter'!$I$5="No",BB1886&lt;&gt;"✓")),OR('Tasks Filter'!$L$3="",AV1886='Tasks Filter'!$L$3),OR('Tasks Filter'!$L$4="",AZ1886='Tasks Filter'!$L$4),OR('Tasks Filter'!$L$5="",BC1886='Tasks Filter'!$L$5),OR('Tasks Filter'!$O$3="",BD1886='Tasks Filter'!$O$3),OR('Tasks Filter'!$O$4="Yes",BG1886=0)),1,0))</f>
        <v/>
      </c>
      <c r="BJ1886">
        <f>IF(BH1886=0,"",IF('Tasks Filter'!$F$6="Descending",-1,1)*CHOOSE(MATCH('Tasks Filter'!$F$5,Lists!$G$2:$G$6,0),AW1886,BF1886,IFERROR(MATCH(AV1886,Setup!$F$6:$F$15,0),99),IFERROR(MATCH(BC1886,Setup!$H$6:$H$15,0),99),IFERROR(MATCH(AZ1886,Setup!$J$6:$J$11,0),99))*1E+9+(AW1886-40000)*10000+1885)</f>
        <v/>
      </c>
      <c r="BK1886">
        <f>IF(BI1886=1,BJ1886,"")</f>
        <v/>
      </c>
      <c r="BL1886">
        <f>IF(AND(BH1886=1,BG1886=0,N(AW1886)&lt;Setup!$D$7),(AW1886-40000)*10000+1885,"")</f>
        <v/>
      </c>
      <c r="BM1886">
        <f>IF(AND(BH1886=1,AZ1886&lt;&gt;"Cancelled",N(AW1886)&gt;=Dashboard!$AB$3,N(AW1886)&lt;=Dashboard!$AB$3+6),(AW1886-40000)*100000+BF1886*10000+1885,"")</f>
        <v/>
      </c>
      <c r="BN1886">
        <f>IF(AND(BH1886=1,AZ1886&lt;&gt;"Cancelled"),BF1886*10000+1885,"")</f>
        <v/>
      </c>
    </row>
    <row r="1887">
      <c r="AS1887" t="inlineStr">
        <is>
          <t>V</t>
        </is>
      </c>
      <c r="AT1887" t="n">
        <v>391</v>
      </c>
      <c r="AU1887">
        <f>'Variable Tasks'!C391&amp;""</f>
        <v/>
      </c>
      <c r="AV1887">
        <f>'Variable Tasks'!D391&amp;""</f>
        <v/>
      </c>
      <c r="AW1887">
        <f>IF('Variable Tasks'!E391="","",'Variable Tasks'!E391)</f>
        <v/>
      </c>
      <c r="AX1887">
        <f>IF('Variable Tasks'!G391="","",'Variable Tasks'!G391)</f>
        <v/>
      </c>
      <c r="AY1887">
        <f>IF('Variable Tasks'!H391="","",'Variable Tasks'!H391)</f>
        <v/>
      </c>
      <c r="AZ1887">
        <f>IF(AU1887="","",IF('Variable Tasks'!J391="","Not Started",'Variable Tasks'!J391))</f>
        <v/>
      </c>
      <c r="BA1887">
        <f>'Variable Tasks'!L391&amp;""</f>
        <v/>
      </c>
      <c r="BB1887">
        <f>'Variable Tasks'!M391&amp;""</f>
        <v/>
      </c>
      <c r="BC1887">
        <f>'Variable Tasks'!N391&amp;""</f>
        <v/>
      </c>
      <c r="BD1887">
        <f>'Variable Tasks'!O391&amp;""</f>
        <v/>
      </c>
      <c r="BE1887">
        <f>IF('Variable Tasks'!K391="","",'Variable Tasks'!K391)</f>
        <v/>
      </c>
      <c r="BF1887">
        <f>IFERROR(MATCH(BA1887,Setup!$L$6:$L$9,0),5)</f>
        <v/>
      </c>
      <c r="BG1887">
        <f>IF(OR(AZ1887="Done",AZ1887="Cancelled"),1,0)</f>
        <v/>
      </c>
      <c r="BH1887">
        <f>IF(AND(AU1887&lt;&gt;"",ISNUMBER(AW1887)),1,0)</f>
        <v/>
      </c>
      <c r="BI1887">
        <f>IF(BH1887=0,0,IF(AND(AW1887&gt;='Tasks Filter'!$F$3,AW1887&lt;='Tasks Filter'!$F$4,OR('Tasks Filter'!$I$3="",ISNUMBER(SEARCH('Tasks Filter'!$I$3,AU1887))),OR('Tasks Filter'!$I$4="",BF1887=IFERROR(MATCH('Tasks Filter'!$I$4,Setup!$L$6:$L$9,0),0)),OR('Tasks Filter'!$I$5="Both",AND('Tasks Filter'!$I$5="Yes",BB1887="✓"),AND('Tasks Filter'!$I$5="No",BB1887&lt;&gt;"✓")),OR('Tasks Filter'!$L$3="",AV1887='Tasks Filter'!$L$3),OR('Tasks Filter'!$L$4="",AZ1887='Tasks Filter'!$L$4),OR('Tasks Filter'!$L$5="",BC1887='Tasks Filter'!$L$5),OR('Tasks Filter'!$O$3="",BD1887='Tasks Filter'!$O$3),OR('Tasks Filter'!$O$4="Yes",BG1887=0)),1,0))</f>
        <v/>
      </c>
      <c r="BJ1887">
        <f>IF(BH1887=0,"",IF('Tasks Filter'!$F$6="Descending",-1,1)*CHOOSE(MATCH('Tasks Filter'!$F$5,Lists!$G$2:$G$6,0),AW1887,BF1887,IFERROR(MATCH(AV1887,Setup!$F$6:$F$15,0),99),IFERROR(MATCH(BC1887,Setup!$H$6:$H$15,0),99),IFERROR(MATCH(AZ1887,Setup!$J$6:$J$11,0),99))*1E+9+(AW1887-40000)*10000+1886)</f>
        <v/>
      </c>
      <c r="BK1887">
        <f>IF(BI1887=1,BJ1887,"")</f>
        <v/>
      </c>
      <c r="BL1887">
        <f>IF(AND(BH1887=1,BG1887=0,N(AW1887)&lt;Setup!$D$7),(AW1887-40000)*10000+1886,"")</f>
        <v/>
      </c>
      <c r="BM1887">
        <f>IF(AND(BH1887=1,AZ1887&lt;&gt;"Cancelled",N(AW1887)&gt;=Dashboard!$AB$3,N(AW1887)&lt;=Dashboard!$AB$3+6),(AW1887-40000)*100000+BF1887*10000+1886,"")</f>
        <v/>
      </c>
      <c r="BN1887">
        <f>IF(AND(BH1887=1,AZ1887&lt;&gt;"Cancelled"),BF1887*10000+1886,"")</f>
        <v/>
      </c>
    </row>
    <row r="1888">
      <c r="AS1888" t="inlineStr">
        <is>
          <t>V</t>
        </is>
      </c>
      <c r="AT1888" t="n">
        <v>392</v>
      </c>
      <c r="AU1888">
        <f>'Variable Tasks'!C392&amp;""</f>
        <v/>
      </c>
      <c r="AV1888">
        <f>'Variable Tasks'!D392&amp;""</f>
        <v/>
      </c>
      <c r="AW1888">
        <f>IF('Variable Tasks'!E392="","",'Variable Tasks'!E392)</f>
        <v/>
      </c>
      <c r="AX1888">
        <f>IF('Variable Tasks'!G392="","",'Variable Tasks'!G392)</f>
        <v/>
      </c>
      <c r="AY1888">
        <f>IF('Variable Tasks'!H392="","",'Variable Tasks'!H392)</f>
        <v/>
      </c>
      <c r="AZ1888">
        <f>IF(AU1888="","",IF('Variable Tasks'!J392="","Not Started",'Variable Tasks'!J392))</f>
        <v/>
      </c>
      <c r="BA1888">
        <f>'Variable Tasks'!L392&amp;""</f>
        <v/>
      </c>
      <c r="BB1888">
        <f>'Variable Tasks'!M392&amp;""</f>
        <v/>
      </c>
      <c r="BC1888">
        <f>'Variable Tasks'!N392&amp;""</f>
        <v/>
      </c>
      <c r="BD1888">
        <f>'Variable Tasks'!O392&amp;""</f>
        <v/>
      </c>
      <c r="BE1888">
        <f>IF('Variable Tasks'!K392="","",'Variable Tasks'!K392)</f>
        <v/>
      </c>
      <c r="BF1888">
        <f>IFERROR(MATCH(BA1888,Setup!$L$6:$L$9,0),5)</f>
        <v/>
      </c>
      <c r="BG1888">
        <f>IF(OR(AZ1888="Done",AZ1888="Cancelled"),1,0)</f>
        <v/>
      </c>
      <c r="BH1888">
        <f>IF(AND(AU1888&lt;&gt;"",ISNUMBER(AW1888)),1,0)</f>
        <v/>
      </c>
      <c r="BI1888">
        <f>IF(BH1888=0,0,IF(AND(AW1888&gt;='Tasks Filter'!$F$3,AW1888&lt;='Tasks Filter'!$F$4,OR('Tasks Filter'!$I$3="",ISNUMBER(SEARCH('Tasks Filter'!$I$3,AU1888))),OR('Tasks Filter'!$I$4="",BF1888=IFERROR(MATCH('Tasks Filter'!$I$4,Setup!$L$6:$L$9,0),0)),OR('Tasks Filter'!$I$5="Both",AND('Tasks Filter'!$I$5="Yes",BB1888="✓"),AND('Tasks Filter'!$I$5="No",BB1888&lt;&gt;"✓")),OR('Tasks Filter'!$L$3="",AV1888='Tasks Filter'!$L$3),OR('Tasks Filter'!$L$4="",AZ1888='Tasks Filter'!$L$4),OR('Tasks Filter'!$L$5="",BC1888='Tasks Filter'!$L$5),OR('Tasks Filter'!$O$3="",BD1888='Tasks Filter'!$O$3),OR('Tasks Filter'!$O$4="Yes",BG1888=0)),1,0))</f>
        <v/>
      </c>
      <c r="BJ1888">
        <f>IF(BH1888=0,"",IF('Tasks Filter'!$F$6="Descending",-1,1)*CHOOSE(MATCH('Tasks Filter'!$F$5,Lists!$G$2:$G$6,0),AW1888,BF1888,IFERROR(MATCH(AV1888,Setup!$F$6:$F$15,0),99),IFERROR(MATCH(BC1888,Setup!$H$6:$H$15,0),99),IFERROR(MATCH(AZ1888,Setup!$J$6:$J$11,0),99))*1E+9+(AW1888-40000)*10000+1887)</f>
        <v/>
      </c>
      <c r="BK1888">
        <f>IF(BI1888=1,BJ1888,"")</f>
        <v/>
      </c>
      <c r="BL1888">
        <f>IF(AND(BH1888=1,BG1888=0,N(AW1888)&lt;Setup!$D$7),(AW1888-40000)*10000+1887,"")</f>
        <v/>
      </c>
      <c r="BM1888">
        <f>IF(AND(BH1888=1,AZ1888&lt;&gt;"Cancelled",N(AW1888)&gt;=Dashboard!$AB$3,N(AW1888)&lt;=Dashboard!$AB$3+6),(AW1888-40000)*100000+BF1888*10000+1887,"")</f>
        <v/>
      </c>
      <c r="BN1888">
        <f>IF(AND(BH1888=1,AZ1888&lt;&gt;"Cancelled"),BF1888*10000+1887,"")</f>
        <v/>
      </c>
    </row>
    <row r="1889">
      <c r="AS1889" t="inlineStr">
        <is>
          <t>V</t>
        </is>
      </c>
      <c r="AT1889" t="n">
        <v>393</v>
      </c>
      <c r="AU1889">
        <f>'Variable Tasks'!C393&amp;""</f>
        <v/>
      </c>
      <c r="AV1889">
        <f>'Variable Tasks'!D393&amp;""</f>
        <v/>
      </c>
      <c r="AW1889">
        <f>IF('Variable Tasks'!E393="","",'Variable Tasks'!E393)</f>
        <v/>
      </c>
      <c r="AX1889">
        <f>IF('Variable Tasks'!G393="","",'Variable Tasks'!G393)</f>
        <v/>
      </c>
      <c r="AY1889">
        <f>IF('Variable Tasks'!H393="","",'Variable Tasks'!H393)</f>
        <v/>
      </c>
      <c r="AZ1889">
        <f>IF(AU1889="","",IF('Variable Tasks'!J393="","Not Started",'Variable Tasks'!J393))</f>
        <v/>
      </c>
      <c r="BA1889">
        <f>'Variable Tasks'!L393&amp;""</f>
        <v/>
      </c>
      <c r="BB1889">
        <f>'Variable Tasks'!M393&amp;""</f>
        <v/>
      </c>
      <c r="BC1889">
        <f>'Variable Tasks'!N393&amp;""</f>
        <v/>
      </c>
      <c r="BD1889">
        <f>'Variable Tasks'!O393&amp;""</f>
        <v/>
      </c>
      <c r="BE1889">
        <f>IF('Variable Tasks'!K393="","",'Variable Tasks'!K393)</f>
        <v/>
      </c>
      <c r="BF1889">
        <f>IFERROR(MATCH(BA1889,Setup!$L$6:$L$9,0),5)</f>
        <v/>
      </c>
      <c r="BG1889">
        <f>IF(OR(AZ1889="Done",AZ1889="Cancelled"),1,0)</f>
        <v/>
      </c>
      <c r="BH1889">
        <f>IF(AND(AU1889&lt;&gt;"",ISNUMBER(AW1889)),1,0)</f>
        <v/>
      </c>
      <c r="BI1889">
        <f>IF(BH1889=0,0,IF(AND(AW1889&gt;='Tasks Filter'!$F$3,AW1889&lt;='Tasks Filter'!$F$4,OR('Tasks Filter'!$I$3="",ISNUMBER(SEARCH('Tasks Filter'!$I$3,AU1889))),OR('Tasks Filter'!$I$4="",BF1889=IFERROR(MATCH('Tasks Filter'!$I$4,Setup!$L$6:$L$9,0),0)),OR('Tasks Filter'!$I$5="Both",AND('Tasks Filter'!$I$5="Yes",BB1889="✓"),AND('Tasks Filter'!$I$5="No",BB1889&lt;&gt;"✓")),OR('Tasks Filter'!$L$3="",AV1889='Tasks Filter'!$L$3),OR('Tasks Filter'!$L$4="",AZ1889='Tasks Filter'!$L$4),OR('Tasks Filter'!$L$5="",BC1889='Tasks Filter'!$L$5),OR('Tasks Filter'!$O$3="",BD1889='Tasks Filter'!$O$3),OR('Tasks Filter'!$O$4="Yes",BG1889=0)),1,0))</f>
        <v/>
      </c>
      <c r="BJ1889">
        <f>IF(BH1889=0,"",IF('Tasks Filter'!$F$6="Descending",-1,1)*CHOOSE(MATCH('Tasks Filter'!$F$5,Lists!$G$2:$G$6,0),AW1889,BF1889,IFERROR(MATCH(AV1889,Setup!$F$6:$F$15,0),99),IFERROR(MATCH(BC1889,Setup!$H$6:$H$15,0),99),IFERROR(MATCH(AZ1889,Setup!$J$6:$J$11,0),99))*1E+9+(AW1889-40000)*10000+1888)</f>
        <v/>
      </c>
      <c r="BK1889">
        <f>IF(BI1889=1,BJ1889,"")</f>
        <v/>
      </c>
      <c r="BL1889">
        <f>IF(AND(BH1889=1,BG1889=0,N(AW1889)&lt;Setup!$D$7),(AW1889-40000)*10000+1888,"")</f>
        <v/>
      </c>
      <c r="BM1889">
        <f>IF(AND(BH1889=1,AZ1889&lt;&gt;"Cancelled",N(AW1889)&gt;=Dashboard!$AB$3,N(AW1889)&lt;=Dashboard!$AB$3+6),(AW1889-40000)*100000+BF1889*10000+1888,"")</f>
        <v/>
      </c>
      <c r="BN1889">
        <f>IF(AND(BH1889=1,AZ1889&lt;&gt;"Cancelled"),BF1889*10000+1888,"")</f>
        <v/>
      </c>
    </row>
    <row r="1890">
      <c r="AS1890" t="inlineStr">
        <is>
          <t>V</t>
        </is>
      </c>
      <c r="AT1890" t="n">
        <v>394</v>
      </c>
      <c r="AU1890">
        <f>'Variable Tasks'!C394&amp;""</f>
        <v/>
      </c>
      <c r="AV1890">
        <f>'Variable Tasks'!D394&amp;""</f>
        <v/>
      </c>
      <c r="AW1890">
        <f>IF('Variable Tasks'!E394="","",'Variable Tasks'!E394)</f>
        <v/>
      </c>
      <c r="AX1890">
        <f>IF('Variable Tasks'!G394="","",'Variable Tasks'!G394)</f>
        <v/>
      </c>
      <c r="AY1890">
        <f>IF('Variable Tasks'!H394="","",'Variable Tasks'!H394)</f>
        <v/>
      </c>
      <c r="AZ1890">
        <f>IF(AU1890="","",IF('Variable Tasks'!J394="","Not Started",'Variable Tasks'!J394))</f>
        <v/>
      </c>
      <c r="BA1890">
        <f>'Variable Tasks'!L394&amp;""</f>
        <v/>
      </c>
      <c r="BB1890">
        <f>'Variable Tasks'!M394&amp;""</f>
        <v/>
      </c>
      <c r="BC1890">
        <f>'Variable Tasks'!N394&amp;""</f>
        <v/>
      </c>
      <c r="BD1890">
        <f>'Variable Tasks'!O394&amp;""</f>
        <v/>
      </c>
      <c r="BE1890">
        <f>IF('Variable Tasks'!K394="","",'Variable Tasks'!K394)</f>
        <v/>
      </c>
      <c r="BF1890">
        <f>IFERROR(MATCH(BA1890,Setup!$L$6:$L$9,0),5)</f>
        <v/>
      </c>
      <c r="BG1890">
        <f>IF(OR(AZ1890="Done",AZ1890="Cancelled"),1,0)</f>
        <v/>
      </c>
      <c r="BH1890">
        <f>IF(AND(AU1890&lt;&gt;"",ISNUMBER(AW1890)),1,0)</f>
        <v/>
      </c>
      <c r="BI1890">
        <f>IF(BH1890=0,0,IF(AND(AW1890&gt;='Tasks Filter'!$F$3,AW1890&lt;='Tasks Filter'!$F$4,OR('Tasks Filter'!$I$3="",ISNUMBER(SEARCH('Tasks Filter'!$I$3,AU1890))),OR('Tasks Filter'!$I$4="",BF1890=IFERROR(MATCH('Tasks Filter'!$I$4,Setup!$L$6:$L$9,0),0)),OR('Tasks Filter'!$I$5="Both",AND('Tasks Filter'!$I$5="Yes",BB1890="✓"),AND('Tasks Filter'!$I$5="No",BB1890&lt;&gt;"✓")),OR('Tasks Filter'!$L$3="",AV1890='Tasks Filter'!$L$3),OR('Tasks Filter'!$L$4="",AZ1890='Tasks Filter'!$L$4),OR('Tasks Filter'!$L$5="",BC1890='Tasks Filter'!$L$5),OR('Tasks Filter'!$O$3="",BD1890='Tasks Filter'!$O$3),OR('Tasks Filter'!$O$4="Yes",BG1890=0)),1,0))</f>
        <v/>
      </c>
      <c r="BJ1890">
        <f>IF(BH1890=0,"",IF('Tasks Filter'!$F$6="Descending",-1,1)*CHOOSE(MATCH('Tasks Filter'!$F$5,Lists!$G$2:$G$6,0),AW1890,BF1890,IFERROR(MATCH(AV1890,Setup!$F$6:$F$15,0),99),IFERROR(MATCH(BC1890,Setup!$H$6:$H$15,0),99),IFERROR(MATCH(AZ1890,Setup!$J$6:$J$11,0),99))*1E+9+(AW1890-40000)*10000+1889)</f>
        <v/>
      </c>
      <c r="BK1890">
        <f>IF(BI1890=1,BJ1890,"")</f>
        <v/>
      </c>
      <c r="BL1890">
        <f>IF(AND(BH1890=1,BG1890=0,N(AW1890)&lt;Setup!$D$7),(AW1890-40000)*10000+1889,"")</f>
        <v/>
      </c>
      <c r="BM1890">
        <f>IF(AND(BH1890=1,AZ1890&lt;&gt;"Cancelled",N(AW1890)&gt;=Dashboard!$AB$3,N(AW1890)&lt;=Dashboard!$AB$3+6),(AW1890-40000)*100000+BF1890*10000+1889,"")</f>
        <v/>
      </c>
      <c r="BN1890">
        <f>IF(AND(BH1890=1,AZ1890&lt;&gt;"Cancelled"),BF1890*10000+1889,"")</f>
        <v/>
      </c>
    </row>
    <row r="1891">
      <c r="AS1891" t="inlineStr">
        <is>
          <t>V</t>
        </is>
      </c>
      <c r="AT1891" t="n">
        <v>395</v>
      </c>
      <c r="AU1891">
        <f>'Variable Tasks'!C395&amp;""</f>
        <v/>
      </c>
      <c r="AV1891">
        <f>'Variable Tasks'!D395&amp;""</f>
        <v/>
      </c>
      <c r="AW1891">
        <f>IF('Variable Tasks'!E395="","",'Variable Tasks'!E395)</f>
        <v/>
      </c>
      <c r="AX1891">
        <f>IF('Variable Tasks'!G395="","",'Variable Tasks'!G395)</f>
        <v/>
      </c>
      <c r="AY1891">
        <f>IF('Variable Tasks'!H395="","",'Variable Tasks'!H395)</f>
        <v/>
      </c>
      <c r="AZ1891">
        <f>IF(AU1891="","",IF('Variable Tasks'!J395="","Not Started",'Variable Tasks'!J395))</f>
        <v/>
      </c>
      <c r="BA1891">
        <f>'Variable Tasks'!L395&amp;""</f>
        <v/>
      </c>
      <c r="BB1891">
        <f>'Variable Tasks'!M395&amp;""</f>
        <v/>
      </c>
      <c r="BC1891">
        <f>'Variable Tasks'!N395&amp;""</f>
        <v/>
      </c>
      <c r="BD1891">
        <f>'Variable Tasks'!O395&amp;""</f>
        <v/>
      </c>
      <c r="BE1891">
        <f>IF('Variable Tasks'!K395="","",'Variable Tasks'!K395)</f>
        <v/>
      </c>
      <c r="BF1891">
        <f>IFERROR(MATCH(BA1891,Setup!$L$6:$L$9,0),5)</f>
        <v/>
      </c>
      <c r="BG1891">
        <f>IF(OR(AZ1891="Done",AZ1891="Cancelled"),1,0)</f>
        <v/>
      </c>
      <c r="BH1891">
        <f>IF(AND(AU1891&lt;&gt;"",ISNUMBER(AW1891)),1,0)</f>
        <v/>
      </c>
      <c r="BI1891">
        <f>IF(BH1891=0,0,IF(AND(AW1891&gt;='Tasks Filter'!$F$3,AW1891&lt;='Tasks Filter'!$F$4,OR('Tasks Filter'!$I$3="",ISNUMBER(SEARCH('Tasks Filter'!$I$3,AU1891))),OR('Tasks Filter'!$I$4="",BF1891=IFERROR(MATCH('Tasks Filter'!$I$4,Setup!$L$6:$L$9,0),0)),OR('Tasks Filter'!$I$5="Both",AND('Tasks Filter'!$I$5="Yes",BB1891="✓"),AND('Tasks Filter'!$I$5="No",BB1891&lt;&gt;"✓")),OR('Tasks Filter'!$L$3="",AV1891='Tasks Filter'!$L$3),OR('Tasks Filter'!$L$4="",AZ1891='Tasks Filter'!$L$4),OR('Tasks Filter'!$L$5="",BC1891='Tasks Filter'!$L$5),OR('Tasks Filter'!$O$3="",BD1891='Tasks Filter'!$O$3),OR('Tasks Filter'!$O$4="Yes",BG1891=0)),1,0))</f>
        <v/>
      </c>
      <c r="BJ1891">
        <f>IF(BH1891=0,"",IF('Tasks Filter'!$F$6="Descending",-1,1)*CHOOSE(MATCH('Tasks Filter'!$F$5,Lists!$G$2:$G$6,0),AW1891,BF1891,IFERROR(MATCH(AV1891,Setup!$F$6:$F$15,0),99),IFERROR(MATCH(BC1891,Setup!$H$6:$H$15,0),99),IFERROR(MATCH(AZ1891,Setup!$J$6:$J$11,0),99))*1E+9+(AW1891-40000)*10000+1890)</f>
        <v/>
      </c>
      <c r="BK1891">
        <f>IF(BI1891=1,BJ1891,"")</f>
        <v/>
      </c>
      <c r="BL1891">
        <f>IF(AND(BH1891=1,BG1891=0,N(AW1891)&lt;Setup!$D$7),(AW1891-40000)*10000+1890,"")</f>
        <v/>
      </c>
      <c r="BM1891">
        <f>IF(AND(BH1891=1,AZ1891&lt;&gt;"Cancelled",N(AW1891)&gt;=Dashboard!$AB$3,N(AW1891)&lt;=Dashboard!$AB$3+6),(AW1891-40000)*100000+BF1891*10000+1890,"")</f>
        <v/>
      </c>
      <c r="BN1891">
        <f>IF(AND(BH1891=1,AZ1891&lt;&gt;"Cancelled"),BF1891*10000+1890,"")</f>
        <v/>
      </c>
    </row>
    <row r="1892">
      <c r="AS1892" t="inlineStr">
        <is>
          <t>V</t>
        </is>
      </c>
      <c r="AT1892" t="n">
        <v>396</v>
      </c>
      <c r="AU1892">
        <f>'Variable Tasks'!C396&amp;""</f>
        <v/>
      </c>
      <c r="AV1892">
        <f>'Variable Tasks'!D396&amp;""</f>
        <v/>
      </c>
      <c r="AW1892">
        <f>IF('Variable Tasks'!E396="","",'Variable Tasks'!E396)</f>
        <v/>
      </c>
      <c r="AX1892">
        <f>IF('Variable Tasks'!G396="","",'Variable Tasks'!G396)</f>
        <v/>
      </c>
      <c r="AY1892">
        <f>IF('Variable Tasks'!H396="","",'Variable Tasks'!H396)</f>
        <v/>
      </c>
      <c r="AZ1892">
        <f>IF(AU1892="","",IF('Variable Tasks'!J396="","Not Started",'Variable Tasks'!J396))</f>
        <v/>
      </c>
      <c r="BA1892">
        <f>'Variable Tasks'!L396&amp;""</f>
        <v/>
      </c>
      <c r="BB1892">
        <f>'Variable Tasks'!M396&amp;""</f>
        <v/>
      </c>
      <c r="BC1892">
        <f>'Variable Tasks'!N396&amp;""</f>
        <v/>
      </c>
      <c r="BD1892">
        <f>'Variable Tasks'!O396&amp;""</f>
        <v/>
      </c>
      <c r="BE1892">
        <f>IF('Variable Tasks'!K396="","",'Variable Tasks'!K396)</f>
        <v/>
      </c>
      <c r="BF1892">
        <f>IFERROR(MATCH(BA1892,Setup!$L$6:$L$9,0),5)</f>
        <v/>
      </c>
      <c r="BG1892">
        <f>IF(OR(AZ1892="Done",AZ1892="Cancelled"),1,0)</f>
        <v/>
      </c>
      <c r="BH1892">
        <f>IF(AND(AU1892&lt;&gt;"",ISNUMBER(AW1892)),1,0)</f>
        <v/>
      </c>
      <c r="BI1892">
        <f>IF(BH1892=0,0,IF(AND(AW1892&gt;='Tasks Filter'!$F$3,AW1892&lt;='Tasks Filter'!$F$4,OR('Tasks Filter'!$I$3="",ISNUMBER(SEARCH('Tasks Filter'!$I$3,AU1892))),OR('Tasks Filter'!$I$4="",BF1892=IFERROR(MATCH('Tasks Filter'!$I$4,Setup!$L$6:$L$9,0),0)),OR('Tasks Filter'!$I$5="Both",AND('Tasks Filter'!$I$5="Yes",BB1892="✓"),AND('Tasks Filter'!$I$5="No",BB1892&lt;&gt;"✓")),OR('Tasks Filter'!$L$3="",AV1892='Tasks Filter'!$L$3),OR('Tasks Filter'!$L$4="",AZ1892='Tasks Filter'!$L$4),OR('Tasks Filter'!$L$5="",BC1892='Tasks Filter'!$L$5),OR('Tasks Filter'!$O$3="",BD1892='Tasks Filter'!$O$3),OR('Tasks Filter'!$O$4="Yes",BG1892=0)),1,0))</f>
        <v/>
      </c>
      <c r="BJ1892">
        <f>IF(BH1892=0,"",IF('Tasks Filter'!$F$6="Descending",-1,1)*CHOOSE(MATCH('Tasks Filter'!$F$5,Lists!$G$2:$G$6,0),AW1892,BF1892,IFERROR(MATCH(AV1892,Setup!$F$6:$F$15,0),99),IFERROR(MATCH(BC1892,Setup!$H$6:$H$15,0),99),IFERROR(MATCH(AZ1892,Setup!$J$6:$J$11,0),99))*1E+9+(AW1892-40000)*10000+1891)</f>
        <v/>
      </c>
      <c r="BK1892">
        <f>IF(BI1892=1,BJ1892,"")</f>
        <v/>
      </c>
      <c r="BL1892">
        <f>IF(AND(BH1892=1,BG1892=0,N(AW1892)&lt;Setup!$D$7),(AW1892-40000)*10000+1891,"")</f>
        <v/>
      </c>
      <c r="BM1892">
        <f>IF(AND(BH1892=1,AZ1892&lt;&gt;"Cancelled",N(AW1892)&gt;=Dashboard!$AB$3,N(AW1892)&lt;=Dashboard!$AB$3+6),(AW1892-40000)*100000+BF1892*10000+1891,"")</f>
        <v/>
      </c>
      <c r="BN1892">
        <f>IF(AND(BH1892=1,AZ1892&lt;&gt;"Cancelled"),BF1892*10000+1891,"")</f>
        <v/>
      </c>
    </row>
    <row r="1893">
      <c r="AS1893" t="inlineStr">
        <is>
          <t>V</t>
        </is>
      </c>
      <c r="AT1893" t="n">
        <v>397</v>
      </c>
      <c r="AU1893">
        <f>'Variable Tasks'!C397&amp;""</f>
        <v/>
      </c>
      <c r="AV1893">
        <f>'Variable Tasks'!D397&amp;""</f>
        <v/>
      </c>
      <c r="AW1893">
        <f>IF('Variable Tasks'!E397="","",'Variable Tasks'!E397)</f>
        <v/>
      </c>
      <c r="AX1893">
        <f>IF('Variable Tasks'!G397="","",'Variable Tasks'!G397)</f>
        <v/>
      </c>
      <c r="AY1893">
        <f>IF('Variable Tasks'!H397="","",'Variable Tasks'!H397)</f>
        <v/>
      </c>
      <c r="AZ1893">
        <f>IF(AU1893="","",IF('Variable Tasks'!J397="","Not Started",'Variable Tasks'!J397))</f>
        <v/>
      </c>
      <c r="BA1893">
        <f>'Variable Tasks'!L397&amp;""</f>
        <v/>
      </c>
      <c r="BB1893">
        <f>'Variable Tasks'!M397&amp;""</f>
        <v/>
      </c>
      <c r="BC1893">
        <f>'Variable Tasks'!N397&amp;""</f>
        <v/>
      </c>
      <c r="BD1893">
        <f>'Variable Tasks'!O397&amp;""</f>
        <v/>
      </c>
      <c r="BE1893">
        <f>IF('Variable Tasks'!K397="","",'Variable Tasks'!K397)</f>
        <v/>
      </c>
      <c r="BF1893">
        <f>IFERROR(MATCH(BA1893,Setup!$L$6:$L$9,0),5)</f>
        <v/>
      </c>
      <c r="BG1893">
        <f>IF(OR(AZ1893="Done",AZ1893="Cancelled"),1,0)</f>
        <v/>
      </c>
      <c r="BH1893">
        <f>IF(AND(AU1893&lt;&gt;"",ISNUMBER(AW1893)),1,0)</f>
        <v/>
      </c>
      <c r="BI1893">
        <f>IF(BH1893=0,0,IF(AND(AW1893&gt;='Tasks Filter'!$F$3,AW1893&lt;='Tasks Filter'!$F$4,OR('Tasks Filter'!$I$3="",ISNUMBER(SEARCH('Tasks Filter'!$I$3,AU1893))),OR('Tasks Filter'!$I$4="",BF1893=IFERROR(MATCH('Tasks Filter'!$I$4,Setup!$L$6:$L$9,0),0)),OR('Tasks Filter'!$I$5="Both",AND('Tasks Filter'!$I$5="Yes",BB1893="✓"),AND('Tasks Filter'!$I$5="No",BB1893&lt;&gt;"✓")),OR('Tasks Filter'!$L$3="",AV1893='Tasks Filter'!$L$3),OR('Tasks Filter'!$L$4="",AZ1893='Tasks Filter'!$L$4),OR('Tasks Filter'!$L$5="",BC1893='Tasks Filter'!$L$5),OR('Tasks Filter'!$O$3="",BD1893='Tasks Filter'!$O$3),OR('Tasks Filter'!$O$4="Yes",BG1893=0)),1,0))</f>
        <v/>
      </c>
      <c r="BJ1893">
        <f>IF(BH1893=0,"",IF('Tasks Filter'!$F$6="Descending",-1,1)*CHOOSE(MATCH('Tasks Filter'!$F$5,Lists!$G$2:$G$6,0),AW1893,BF1893,IFERROR(MATCH(AV1893,Setup!$F$6:$F$15,0),99),IFERROR(MATCH(BC1893,Setup!$H$6:$H$15,0),99),IFERROR(MATCH(AZ1893,Setup!$J$6:$J$11,0),99))*1E+9+(AW1893-40000)*10000+1892)</f>
        <v/>
      </c>
      <c r="BK1893">
        <f>IF(BI1893=1,BJ1893,"")</f>
        <v/>
      </c>
      <c r="BL1893">
        <f>IF(AND(BH1893=1,BG1893=0,N(AW1893)&lt;Setup!$D$7),(AW1893-40000)*10000+1892,"")</f>
        <v/>
      </c>
      <c r="BM1893">
        <f>IF(AND(BH1893=1,AZ1893&lt;&gt;"Cancelled",N(AW1893)&gt;=Dashboard!$AB$3,N(AW1893)&lt;=Dashboard!$AB$3+6),(AW1893-40000)*100000+BF1893*10000+1892,"")</f>
        <v/>
      </c>
      <c r="BN1893">
        <f>IF(AND(BH1893=1,AZ1893&lt;&gt;"Cancelled"),BF1893*10000+1892,"")</f>
        <v/>
      </c>
    </row>
    <row r="1894">
      <c r="AS1894" t="inlineStr">
        <is>
          <t>V</t>
        </is>
      </c>
      <c r="AT1894" t="n">
        <v>398</v>
      </c>
      <c r="AU1894">
        <f>'Variable Tasks'!C398&amp;""</f>
        <v/>
      </c>
      <c r="AV1894">
        <f>'Variable Tasks'!D398&amp;""</f>
        <v/>
      </c>
      <c r="AW1894">
        <f>IF('Variable Tasks'!E398="","",'Variable Tasks'!E398)</f>
        <v/>
      </c>
      <c r="AX1894">
        <f>IF('Variable Tasks'!G398="","",'Variable Tasks'!G398)</f>
        <v/>
      </c>
      <c r="AY1894">
        <f>IF('Variable Tasks'!H398="","",'Variable Tasks'!H398)</f>
        <v/>
      </c>
      <c r="AZ1894">
        <f>IF(AU1894="","",IF('Variable Tasks'!J398="","Not Started",'Variable Tasks'!J398))</f>
        <v/>
      </c>
      <c r="BA1894">
        <f>'Variable Tasks'!L398&amp;""</f>
        <v/>
      </c>
      <c r="BB1894">
        <f>'Variable Tasks'!M398&amp;""</f>
        <v/>
      </c>
      <c r="BC1894">
        <f>'Variable Tasks'!N398&amp;""</f>
        <v/>
      </c>
      <c r="BD1894">
        <f>'Variable Tasks'!O398&amp;""</f>
        <v/>
      </c>
      <c r="BE1894">
        <f>IF('Variable Tasks'!K398="","",'Variable Tasks'!K398)</f>
        <v/>
      </c>
      <c r="BF1894">
        <f>IFERROR(MATCH(BA1894,Setup!$L$6:$L$9,0),5)</f>
        <v/>
      </c>
      <c r="BG1894">
        <f>IF(OR(AZ1894="Done",AZ1894="Cancelled"),1,0)</f>
        <v/>
      </c>
      <c r="BH1894">
        <f>IF(AND(AU1894&lt;&gt;"",ISNUMBER(AW1894)),1,0)</f>
        <v/>
      </c>
      <c r="BI1894">
        <f>IF(BH1894=0,0,IF(AND(AW1894&gt;='Tasks Filter'!$F$3,AW1894&lt;='Tasks Filter'!$F$4,OR('Tasks Filter'!$I$3="",ISNUMBER(SEARCH('Tasks Filter'!$I$3,AU1894))),OR('Tasks Filter'!$I$4="",BF1894=IFERROR(MATCH('Tasks Filter'!$I$4,Setup!$L$6:$L$9,0),0)),OR('Tasks Filter'!$I$5="Both",AND('Tasks Filter'!$I$5="Yes",BB1894="✓"),AND('Tasks Filter'!$I$5="No",BB1894&lt;&gt;"✓")),OR('Tasks Filter'!$L$3="",AV1894='Tasks Filter'!$L$3),OR('Tasks Filter'!$L$4="",AZ1894='Tasks Filter'!$L$4),OR('Tasks Filter'!$L$5="",BC1894='Tasks Filter'!$L$5),OR('Tasks Filter'!$O$3="",BD1894='Tasks Filter'!$O$3),OR('Tasks Filter'!$O$4="Yes",BG1894=0)),1,0))</f>
        <v/>
      </c>
      <c r="BJ1894">
        <f>IF(BH1894=0,"",IF('Tasks Filter'!$F$6="Descending",-1,1)*CHOOSE(MATCH('Tasks Filter'!$F$5,Lists!$G$2:$G$6,0),AW1894,BF1894,IFERROR(MATCH(AV1894,Setup!$F$6:$F$15,0),99),IFERROR(MATCH(BC1894,Setup!$H$6:$H$15,0),99),IFERROR(MATCH(AZ1894,Setup!$J$6:$J$11,0),99))*1E+9+(AW1894-40000)*10000+1893)</f>
        <v/>
      </c>
      <c r="BK1894">
        <f>IF(BI1894=1,BJ1894,"")</f>
        <v/>
      </c>
      <c r="BL1894">
        <f>IF(AND(BH1894=1,BG1894=0,N(AW1894)&lt;Setup!$D$7),(AW1894-40000)*10000+1893,"")</f>
        <v/>
      </c>
      <c r="BM1894">
        <f>IF(AND(BH1894=1,AZ1894&lt;&gt;"Cancelled",N(AW1894)&gt;=Dashboard!$AB$3,N(AW1894)&lt;=Dashboard!$AB$3+6),(AW1894-40000)*100000+BF1894*10000+1893,"")</f>
        <v/>
      </c>
      <c r="BN1894">
        <f>IF(AND(BH1894=1,AZ1894&lt;&gt;"Cancelled"),BF1894*10000+1893,"")</f>
        <v/>
      </c>
    </row>
    <row r="1895">
      <c r="AS1895" t="inlineStr">
        <is>
          <t>V</t>
        </is>
      </c>
      <c r="AT1895" t="n">
        <v>399</v>
      </c>
      <c r="AU1895">
        <f>'Variable Tasks'!C399&amp;""</f>
        <v/>
      </c>
      <c r="AV1895">
        <f>'Variable Tasks'!D399&amp;""</f>
        <v/>
      </c>
      <c r="AW1895">
        <f>IF('Variable Tasks'!E399="","",'Variable Tasks'!E399)</f>
        <v/>
      </c>
      <c r="AX1895">
        <f>IF('Variable Tasks'!G399="","",'Variable Tasks'!G399)</f>
        <v/>
      </c>
      <c r="AY1895">
        <f>IF('Variable Tasks'!H399="","",'Variable Tasks'!H399)</f>
        <v/>
      </c>
      <c r="AZ1895">
        <f>IF(AU1895="","",IF('Variable Tasks'!J399="","Not Started",'Variable Tasks'!J399))</f>
        <v/>
      </c>
      <c r="BA1895">
        <f>'Variable Tasks'!L399&amp;""</f>
        <v/>
      </c>
      <c r="BB1895">
        <f>'Variable Tasks'!M399&amp;""</f>
        <v/>
      </c>
      <c r="BC1895">
        <f>'Variable Tasks'!N399&amp;""</f>
        <v/>
      </c>
      <c r="BD1895">
        <f>'Variable Tasks'!O399&amp;""</f>
        <v/>
      </c>
      <c r="BE1895">
        <f>IF('Variable Tasks'!K399="","",'Variable Tasks'!K399)</f>
        <v/>
      </c>
      <c r="BF1895">
        <f>IFERROR(MATCH(BA1895,Setup!$L$6:$L$9,0),5)</f>
        <v/>
      </c>
      <c r="BG1895">
        <f>IF(OR(AZ1895="Done",AZ1895="Cancelled"),1,0)</f>
        <v/>
      </c>
      <c r="BH1895">
        <f>IF(AND(AU1895&lt;&gt;"",ISNUMBER(AW1895)),1,0)</f>
        <v/>
      </c>
      <c r="BI1895">
        <f>IF(BH1895=0,0,IF(AND(AW1895&gt;='Tasks Filter'!$F$3,AW1895&lt;='Tasks Filter'!$F$4,OR('Tasks Filter'!$I$3="",ISNUMBER(SEARCH('Tasks Filter'!$I$3,AU1895))),OR('Tasks Filter'!$I$4="",BF1895=IFERROR(MATCH('Tasks Filter'!$I$4,Setup!$L$6:$L$9,0),0)),OR('Tasks Filter'!$I$5="Both",AND('Tasks Filter'!$I$5="Yes",BB1895="✓"),AND('Tasks Filter'!$I$5="No",BB1895&lt;&gt;"✓")),OR('Tasks Filter'!$L$3="",AV1895='Tasks Filter'!$L$3),OR('Tasks Filter'!$L$4="",AZ1895='Tasks Filter'!$L$4),OR('Tasks Filter'!$L$5="",BC1895='Tasks Filter'!$L$5),OR('Tasks Filter'!$O$3="",BD1895='Tasks Filter'!$O$3),OR('Tasks Filter'!$O$4="Yes",BG1895=0)),1,0))</f>
        <v/>
      </c>
      <c r="BJ1895">
        <f>IF(BH1895=0,"",IF('Tasks Filter'!$F$6="Descending",-1,1)*CHOOSE(MATCH('Tasks Filter'!$F$5,Lists!$G$2:$G$6,0),AW1895,BF1895,IFERROR(MATCH(AV1895,Setup!$F$6:$F$15,0),99),IFERROR(MATCH(BC1895,Setup!$H$6:$H$15,0),99),IFERROR(MATCH(AZ1895,Setup!$J$6:$J$11,0),99))*1E+9+(AW1895-40000)*10000+1894)</f>
        <v/>
      </c>
      <c r="BK1895">
        <f>IF(BI1895=1,BJ1895,"")</f>
        <v/>
      </c>
      <c r="BL1895">
        <f>IF(AND(BH1895=1,BG1895=0,N(AW1895)&lt;Setup!$D$7),(AW1895-40000)*10000+1894,"")</f>
        <v/>
      </c>
      <c r="BM1895">
        <f>IF(AND(BH1895=1,AZ1895&lt;&gt;"Cancelled",N(AW1895)&gt;=Dashboard!$AB$3,N(AW1895)&lt;=Dashboard!$AB$3+6),(AW1895-40000)*100000+BF1895*10000+1894,"")</f>
        <v/>
      </c>
      <c r="BN1895">
        <f>IF(AND(BH1895=1,AZ1895&lt;&gt;"Cancelled"),BF1895*10000+1894,"")</f>
        <v/>
      </c>
    </row>
    <row r="1896">
      <c r="AS1896" t="inlineStr">
        <is>
          <t>V</t>
        </is>
      </c>
      <c r="AT1896" t="n">
        <v>400</v>
      </c>
      <c r="AU1896">
        <f>'Variable Tasks'!C400&amp;""</f>
        <v/>
      </c>
      <c r="AV1896">
        <f>'Variable Tasks'!D400&amp;""</f>
        <v/>
      </c>
      <c r="AW1896">
        <f>IF('Variable Tasks'!E400="","",'Variable Tasks'!E400)</f>
        <v/>
      </c>
      <c r="AX1896">
        <f>IF('Variable Tasks'!G400="","",'Variable Tasks'!G400)</f>
        <v/>
      </c>
      <c r="AY1896">
        <f>IF('Variable Tasks'!H400="","",'Variable Tasks'!H400)</f>
        <v/>
      </c>
      <c r="AZ1896">
        <f>IF(AU1896="","",IF('Variable Tasks'!J400="","Not Started",'Variable Tasks'!J400))</f>
        <v/>
      </c>
      <c r="BA1896">
        <f>'Variable Tasks'!L400&amp;""</f>
        <v/>
      </c>
      <c r="BB1896">
        <f>'Variable Tasks'!M400&amp;""</f>
        <v/>
      </c>
      <c r="BC1896">
        <f>'Variable Tasks'!N400&amp;""</f>
        <v/>
      </c>
      <c r="BD1896">
        <f>'Variable Tasks'!O400&amp;""</f>
        <v/>
      </c>
      <c r="BE1896">
        <f>IF('Variable Tasks'!K400="","",'Variable Tasks'!K400)</f>
        <v/>
      </c>
      <c r="BF1896">
        <f>IFERROR(MATCH(BA1896,Setup!$L$6:$L$9,0),5)</f>
        <v/>
      </c>
      <c r="BG1896">
        <f>IF(OR(AZ1896="Done",AZ1896="Cancelled"),1,0)</f>
        <v/>
      </c>
      <c r="BH1896">
        <f>IF(AND(AU1896&lt;&gt;"",ISNUMBER(AW1896)),1,0)</f>
        <v/>
      </c>
      <c r="BI1896">
        <f>IF(BH1896=0,0,IF(AND(AW1896&gt;='Tasks Filter'!$F$3,AW1896&lt;='Tasks Filter'!$F$4,OR('Tasks Filter'!$I$3="",ISNUMBER(SEARCH('Tasks Filter'!$I$3,AU1896))),OR('Tasks Filter'!$I$4="",BF1896=IFERROR(MATCH('Tasks Filter'!$I$4,Setup!$L$6:$L$9,0),0)),OR('Tasks Filter'!$I$5="Both",AND('Tasks Filter'!$I$5="Yes",BB1896="✓"),AND('Tasks Filter'!$I$5="No",BB1896&lt;&gt;"✓")),OR('Tasks Filter'!$L$3="",AV1896='Tasks Filter'!$L$3),OR('Tasks Filter'!$L$4="",AZ1896='Tasks Filter'!$L$4),OR('Tasks Filter'!$L$5="",BC1896='Tasks Filter'!$L$5),OR('Tasks Filter'!$O$3="",BD1896='Tasks Filter'!$O$3),OR('Tasks Filter'!$O$4="Yes",BG1896=0)),1,0))</f>
        <v/>
      </c>
      <c r="BJ1896">
        <f>IF(BH1896=0,"",IF('Tasks Filter'!$F$6="Descending",-1,1)*CHOOSE(MATCH('Tasks Filter'!$F$5,Lists!$G$2:$G$6,0),AW1896,BF1896,IFERROR(MATCH(AV1896,Setup!$F$6:$F$15,0),99),IFERROR(MATCH(BC1896,Setup!$H$6:$H$15,0),99),IFERROR(MATCH(AZ1896,Setup!$J$6:$J$11,0),99))*1E+9+(AW1896-40000)*10000+1895)</f>
        <v/>
      </c>
      <c r="BK1896">
        <f>IF(BI1896=1,BJ1896,"")</f>
        <v/>
      </c>
      <c r="BL1896">
        <f>IF(AND(BH1896=1,BG1896=0,N(AW1896)&lt;Setup!$D$7),(AW1896-40000)*10000+1895,"")</f>
        <v/>
      </c>
      <c r="BM1896">
        <f>IF(AND(BH1896=1,AZ1896&lt;&gt;"Cancelled",N(AW1896)&gt;=Dashboard!$AB$3,N(AW1896)&lt;=Dashboard!$AB$3+6),(AW1896-40000)*100000+BF1896*10000+1895,"")</f>
        <v/>
      </c>
      <c r="BN1896">
        <f>IF(AND(BH1896=1,AZ1896&lt;&gt;"Cancelled"),BF1896*10000+1895,"")</f>
        <v/>
      </c>
    </row>
    <row r="1897">
      <c r="AS1897" t="inlineStr">
        <is>
          <t>V</t>
        </is>
      </c>
      <c r="AT1897" t="n">
        <v>401</v>
      </c>
      <c r="AU1897">
        <f>'Variable Tasks'!C401&amp;""</f>
        <v/>
      </c>
      <c r="AV1897">
        <f>'Variable Tasks'!D401&amp;""</f>
        <v/>
      </c>
      <c r="AW1897">
        <f>IF('Variable Tasks'!E401="","",'Variable Tasks'!E401)</f>
        <v/>
      </c>
      <c r="AX1897">
        <f>IF('Variable Tasks'!G401="","",'Variable Tasks'!G401)</f>
        <v/>
      </c>
      <c r="AY1897">
        <f>IF('Variable Tasks'!H401="","",'Variable Tasks'!H401)</f>
        <v/>
      </c>
      <c r="AZ1897">
        <f>IF(AU1897="","",IF('Variable Tasks'!J401="","Not Started",'Variable Tasks'!J401))</f>
        <v/>
      </c>
      <c r="BA1897">
        <f>'Variable Tasks'!L401&amp;""</f>
        <v/>
      </c>
      <c r="BB1897">
        <f>'Variable Tasks'!M401&amp;""</f>
        <v/>
      </c>
      <c r="BC1897">
        <f>'Variable Tasks'!N401&amp;""</f>
        <v/>
      </c>
      <c r="BD1897">
        <f>'Variable Tasks'!O401&amp;""</f>
        <v/>
      </c>
      <c r="BE1897">
        <f>IF('Variable Tasks'!K401="","",'Variable Tasks'!K401)</f>
        <v/>
      </c>
      <c r="BF1897">
        <f>IFERROR(MATCH(BA1897,Setup!$L$6:$L$9,0),5)</f>
        <v/>
      </c>
      <c r="BG1897">
        <f>IF(OR(AZ1897="Done",AZ1897="Cancelled"),1,0)</f>
        <v/>
      </c>
      <c r="BH1897">
        <f>IF(AND(AU1897&lt;&gt;"",ISNUMBER(AW1897)),1,0)</f>
        <v/>
      </c>
      <c r="BI1897">
        <f>IF(BH1897=0,0,IF(AND(AW1897&gt;='Tasks Filter'!$F$3,AW1897&lt;='Tasks Filter'!$F$4,OR('Tasks Filter'!$I$3="",ISNUMBER(SEARCH('Tasks Filter'!$I$3,AU1897))),OR('Tasks Filter'!$I$4="",BF1897=IFERROR(MATCH('Tasks Filter'!$I$4,Setup!$L$6:$L$9,0),0)),OR('Tasks Filter'!$I$5="Both",AND('Tasks Filter'!$I$5="Yes",BB1897="✓"),AND('Tasks Filter'!$I$5="No",BB1897&lt;&gt;"✓")),OR('Tasks Filter'!$L$3="",AV1897='Tasks Filter'!$L$3),OR('Tasks Filter'!$L$4="",AZ1897='Tasks Filter'!$L$4),OR('Tasks Filter'!$L$5="",BC1897='Tasks Filter'!$L$5),OR('Tasks Filter'!$O$3="",BD1897='Tasks Filter'!$O$3),OR('Tasks Filter'!$O$4="Yes",BG1897=0)),1,0))</f>
        <v/>
      </c>
      <c r="BJ1897">
        <f>IF(BH1897=0,"",IF('Tasks Filter'!$F$6="Descending",-1,1)*CHOOSE(MATCH('Tasks Filter'!$F$5,Lists!$G$2:$G$6,0),AW1897,BF1897,IFERROR(MATCH(AV1897,Setup!$F$6:$F$15,0),99),IFERROR(MATCH(BC1897,Setup!$H$6:$H$15,0),99),IFERROR(MATCH(AZ1897,Setup!$J$6:$J$11,0),99))*1E+9+(AW1897-40000)*10000+1896)</f>
        <v/>
      </c>
      <c r="BK1897">
        <f>IF(BI1897=1,BJ1897,"")</f>
        <v/>
      </c>
      <c r="BL1897">
        <f>IF(AND(BH1897=1,BG1897=0,N(AW1897)&lt;Setup!$D$7),(AW1897-40000)*10000+1896,"")</f>
        <v/>
      </c>
      <c r="BM1897">
        <f>IF(AND(BH1897=1,AZ1897&lt;&gt;"Cancelled",N(AW1897)&gt;=Dashboard!$AB$3,N(AW1897)&lt;=Dashboard!$AB$3+6),(AW1897-40000)*100000+BF1897*10000+1896,"")</f>
        <v/>
      </c>
      <c r="BN1897">
        <f>IF(AND(BH1897=1,AZ1897&lt;&gt;"Cancelled"),BF1897*10000+1896,"")</f>
        <v/>
      </c>
    </row>
    <row r="1898">
      <c r="AS1898" t="inlineStr">
        <is>
          <t>V</t>
        </is>
      </c>
      <c r="AT1898" t="n">
        <v>402</v>
      </c>
      <c r="AU1898">
        <f>'Variable Tasks'!C402&amp;""</f>
        <v/>
      </c>
      <c r="AV1898">
        <f>'Variable Tasks'!D402&amp;""</f>
        <v/>
      </c>
      <c r="AW1898">
        <f>IF('Variable Tasks'!E402="","",'Variable Tasks'!E402)</f>
        <v/>
      </c>
      <c r="AX1898">
        <f>IF('Variable Tasks'!G402="","",'Variable Tasks'!G402)</f>
        <v/>
      </c>
      <c r="AY1898">
        <f>IF('Variable Tasks'!H402="","",'Variable Tasks'!H402)</f>
        <v/>
      </c>
      <c r="AZ1898">
        <f>IF(AU1898="","",IF('Variable Tasks'!J402="","Not Started",'Variable Tasks'!J402))</f>
        <v/>
      </c>
      <c r="BA1898">
        <f>'Variable Tasks'!L402&amp;""</f>
        <v/>
      </c>
      <c r="BB1898">
        <f>'Variable Tasks'!M402&amp;""</f>
        <v/>
      </c>
      <c r="BC1898">
        <f>'Variable Tasks'!N402&amp;""</f>
        <v/>
      </c>
      <c r="BD1898">
        <f>'Variable Tasks'!O402&amp;""</f>
        <v/>
      </c>
      <c r="BE1898">
        <f>IF('Variable Tasks'!K402="","",'Variable Tasks'!K402)</f>
        <v/>
      </c>
      <c r="BF1898">
        <f>IFERROR(MATCH(BA1898,Setup!$L$6:$L$9,0),5)</f>
        <v/>
      </c>
      <c r="BG1898">
        <f>IF(OR(AZ1898="Done",AZ1898="Cancelled"),1,0)</f>
        <v/>
      </c>
      <c r="BH1898">
        <f>IF(AND(AU1898&lt;&gt;"",ISNUMBER(AW1898)),1,0)</f>
        <v/>
      </c>
      <c r="BI1898">
        <f>IF(BH1898=0,0,IF(AND(AW1898&gt;='Tasks Filter'!$F$3,AW1898&lt;='Tasks Filter'!$F$4,OR('Tasks Filter'!$I$3="",ISNUMBER(SEARCH('Tasks Filter'!$I$3,AU1898))),OR('Tasks Filter'!$I$4="",BF1898=IFERROR(MATCH('Tasks Filter'!$I$4,Setup!$L$6:$L$9,0),0)),OR('Tasks Filter'!$I$5="Both",AND('Tasks Filter'!$I$5="Yes",BB1898="✓"),AND('Tasks Filter'!$I$5="No",BB1898&lt;&gt;"✓")),OR('Tasks Filter'!$L$3="",AV1898='Tasks Filter'!$L$3),OR('Tasks Filter'!$L$4="",AZ1898='Tasks Filter'!$L$4),OR('Tasks Filter'!$L$5="",BC1898='Tasks Filter'!$L$5),OR('Tasks Filter'!$O$3="",BD1898='Tasks Filter'!$O$3),OR('Tasks Filter'!$O$4="Yes",BG1898=0)),1,0))</f>
        <v/>
      </c>
      <c r="BJ1898">
        <f>IF(BH1898=0,"",IF('Tasks Filter'!$F$6="Descending",-1,1)*CHOOSE(MATCH('Tasks Filter'!$F$5,Lists!$G$2:$G$6,0),AW1898,BF1898,IFERROR(MATCH(AV1898,Setup!$F$6:$F$15,0),99),IFERROR(MATCH(BC1898,Setup!$H$6:$H$15,0),99),IFERROR(MATCH(AZ1898,Setup!$J$6:$J$11,0),99))*1E+9+(AW1898-40000)*10000+1897)</f>
        <v/>
      </c>
      <c r="BK1898">
        <f>IF(BI1898=1,BJ1898,"")</f>
        <v/>
      </c>
      <c r="BL1898">
        <f>IF(AND(BH1898=1,BG1898=0,N(AW1898)&lt;Setup!$D$7),(AW1898-40000)*10000+1897,"")</f>
        <v/>
      </c>
      <c r="BM1898">
        <f>IF(AND(BH1898=1,AZ1898&lt;&gt;"Cancelled",N(AW1898)&gt;=Dashboard!$AB$3,N(AW1898)&lt;=Dashboard!$AB$3+6),(AW1898-40000)*100000+BF1898*10000+1897,"")</f>
        <v/>
      </c>
      <c r="BN1898">
        <f>IF(AND(BH1898=1,AZ1898&lt;&gt;"Cancelled"),BF1898*10000+1897,"")</f>
        <v/>
      </c>
    </row>
    <row r="1899">
      <c r="AS1899" t="inlineStr">
        <is>
          <t>V</t>
        </is>
      </c>
      <c r="AT1899" t="n">
        <v>403</v>
      </c>
      <c r="AU1899">
        <f>'Variable Tasks'!C403&amp;""</f>
        <v/>
      </c>
      <c r="AV1899">
        <f>'Variable Tasks'!D403&amp;""</f>
        <v/>
      </c>
      <c r="AW1899">
        <f>IF('Variable Tasks'!E403="","",'Variable Tasks'!E403)</f>
        <v/>
      </c>
      <c r="AX1899">
        <f>IF('Variable Tasks'!G403="","",'Variable Tasks'!G403)</f>
        <v/>
      </c>
      <c r="AY1899">
        <f>IF('Variable Tasks'!H403="","",'Variable Tasks'!H403)</f>
        <v/>
      </c>
      <c r="AZ1899">
        <f>IF(AU1899="","",IF('Variable Tasks'!J403="","Not Started",'Variable Tasks'!J403))</f>
        <v/>
      </c>
      <c r="BA1899">
        <f>'Variable Tasks'!L403&amp;""</f>
        <v/>
      </c>
      <c r="BB1899">
        <f>'Variable Tasks'!M403&amp;""</f>
        <v/>
      </c>
      <c r="BC1899">
        <f>'Variable Tasks'!N403&amp;""</f>
        <v/>
      </c>
      <c r="BD1899">
        <f>'Variable Tasks'!O403&amp;""</f>
        <v/>
      </c>
      <c r="BE1899">
        <f>IF('Variable Tasks'!K403="","",'Variable Tasks'!K403)</f>
        <v/>
      </c>
      <c r="BF1899">
        <f>IFERROR(MATCH(BA1899,Setup!$L$6:$L$9,0),5)</f>
        <v/>
      </c>
      <c r="BG1899">
        <f>IF(OR(AZ1899="Done",AZ1899="Cancelled"),1,0)</f>
        <v/>
      </c>
      <c r="BH1899">
        <f>IF(AND(AU1899&lt;&gt;"",ISNUMBER(AW1899)),1,0)</f>
        <v/>
      </c>
      <c r="BI1899">
        <f>IF(BH1899=0,0,IF(AND(AW1899&gt;='Tasks Filter'!$F$3,AW1899&lt;='Tasks Filter'!$F$4,OR('Tasks Filter'!$I$3="",ISNUMBER(SEARCH('Tasks Filter'!$I$3,AU1899))),OR('Tasks Filter'!$I$4="",BF1899=IFERROR(MATCH('Tasks Filter'!$I$4,Setup!$L$6:$L$9,0),0)),OR('Tasks Filter'!$I$5="Both",AND('Tasks Filter'!$I$5="Yes",BB1899="✓"),AND('Tasks Filter'!$I$5="No",BB1899&lt;&gt;"✓")),OR('Tasks Filter'!$L$3="",AV1899='Tasks Filter'!$L$3),OR('Tasks Filter'!$L$4="",AZ1899='Tasks Filter'!$L$4),OR('Tasks Filter'!$L$5="",BC1899='Tasks Filter'!$L$5),OR('Tasks Filter'!$O$3="",BD1899='Tasks Filter'!$O$3),OR('Tasks Filter'!$O$4="Yes",BG1899=0)),1,0))</f>
        <v/>
      </c>
      <c r="BJ1899">
        <f>IF(BH1899=0,"",IF('Tasks Filter'!$F$6="Descending",-1,1)*CHOOSE(MATCH('Tasks Filter'!$F$5,Lists!$G$2:$G$6,0),AW1899,BF1899,IFERROR(MATCH(AV1899,Setup!$F$6:$F$15,0),99),IFERROR(MATCH(BC1899,Setup!$H$6:$H$15,0),99),IFERROR(MATCH(AZ1899,Setup!$J$6:$J$11,0),99))*1E+9+(AW1899-40000)*10000+1898)</f>
        <v/>
      </c>
      <c r="BK1899">
        <f>IF(BI1899=1,BJ1899,"")</f>
        <v/>
      </c>
      <c r="BL1899">
        <f>IF(AND(BH1899=1,BG1899=0,N(AW1899)&lt;Setup!$D$7),(AW1899-40000)*10000+1898,"")</f>
        <v/>
      </c>
      <c r="BM1899">
        <f>IF(AND(BH1899=1,AZ1899&lt;&gt;"Cancelled",N(AW1899)&gt;=Dashboard!$AB$3,N(AW1899)&lt;=Dashboard!$AB$3+6),(AW1899-40000)*100000+BF1899*10000+1898,"")</f>
        <v/>
      </c>
      <c r="BN1899">
        <f>IF(AND(BH1899=1,AZ1899&lt;&gt;"Cancelled"),BF1899*10000+1898,"")</f>
        <v/>
      </c>
    </row>
    <row r="1900">
      <c r="AS1900" t="inlineStr">
        <is>
          <t>V</t>
        </is>
      </c>
      <c r="AT1900" t="n">
        <v>404</v>
      </c>
      <c r="AU1900">
        <f>'Variable Tasks'!C404&amp;""</f>
        <v/>
      </c>
      <c r="AV1900">
        <f>'Variable Tasks'!D404&amp;""</f>
        <v/>
      </c>
      <c r="AW1900">
        <f>IF('Variable Tasks'!E404="","",'Variable Tasks'!E404)</f>
        <v/>
      </c>
      <c r="AX1900">
        <f>IF('Variable Tasks'!G404="","",'Variable Tasks'!G404)</f>
        <v/>
      </c>
      <c r="AY1900">
        <f>IF('Variable Tasks'!H404="","",'Variable Tasks'!H404)</f>
        <v/>
      </c>
      <c r="AZ1900">
        <f>IF(AU1900="","",IF('Variable Tasks'!J404="","Not Started",'Variable Tasks'!J404))</f>
        <v/>
      </c>
      <c r="BA1900">
        <f>'Variable Tasks'!L404&amp;""</f>
        <v/>
      </c>
      <c r="BB1900">
        <f>'Variable Tasks'!M404&amp;""</f>
        <v/>
      </c>
      <c r="BC1900">
        <f>'Variable Tasks'!N404&amp;""</f>
        <v/>
      </c>
      <c r="BD1900">
        <f>'Variable Tasks'!O404&amp;""</f>
        <v/>
      </c>
      <c r="BE1900">
        <f>IF('Variable Tasks'!K404="","",'Variable Tasks'!K404)</f>
        <v/>
      </c>
      <c r="BF1900">
        <f>IFERROR(MATCH(BA1900,Setup!$L$6:$L$9,0),5)</f>
        <v/>
      </c>
      <c r="BG1900">
        <f>IF(OR(AZ1900="Done",AZ1900="Cancelled"),1,0)</f>
        <v/>
      </c>
      <c r="BH1900">
        <f>IF(AND(AU1900&lt;&gt;"",ISNUMBER(AW1900)),1,0)</f>
        <v/>
      </c>
      <c r="BI1900">
        <f>IF(BH1900=0,0,IF(AND(AW1900&gt;='Tasks Filter'!$F$3,AW1900&lt;='Tasks Filter'!$F$4,OR('Tasks Filter'!$I$3="",ISNUMBER(SEARCH('Tasks Filter'!$I$3,AU1900))),OR('Tasks Filter'!$I$4="",BF1900=IFERROR(MATCH('Tasks Filter'!$I$4,Setup!$L$6:$L$9,0),0)),OR('Tasks Filter'!$I$5="Both",AND('Tasks Filter'!$I$5="Yes",BB1900="✓"),AND('Tasks Filter'!$I$5="No",BB1900&lt;&gt;"✓")),OR('Tasks Filter'!$L$3="",AV1900='Tasks Filter'!$L$3),OR('Tasks Filter'!$L$4="",AZ1900='Tasks Filter'!$L$4),OR('Tasks Filter'!$L$5="",BC1900='Tasks Filter'!$L$5),OR('Tasks Filter'!$O$3="",BD1900='Tasks Filter'!$O$3),OR('Tasks Filter'!$O$4="Yes",BG1900=0)),1,0))</f>
        <v/>
      </c>
      <c r="BJ1900">
        <f>IF(BH1900=0,"",IF('Tasks Filter'!$F$6="Descending",-1,1)*CHOOSE(MATCH('Tasks Filter'!$F$5,Lists!$G$2:$G$6,0),AW1900,BF1900,IFERROR(MATCH(AV1900,Setup!$F$6:$F$15,0),99),IFERROR(MATCH(BC1900,Setup!$H$6:$H$15,0),99),IFERROR(MATCH(AZ1900,Setup!$J$6:$J$11,0),99))*1E+9+(AW1900-40000)*10000+1899)</f>
        <v/>
      </c>
      <c r="BK1900">
        <f>IF(BI1900=1,BJ1900,"")</f>
        <v/>
      </c>
      <c r="BL1900">
        <f>IF(AND(BH1900=1,BG1900=0,N(AW1900)&lt;Setup!$D$7),(AW1900-40000)*10000+1899,"")</f>
        <v/>
      </c>
      <c r="BM1900">
        <f>IF(AND(BH1900=1,AZ1900&lt;&gt;"Cancelled",N(AW1900)&gt;=Dashboard!$AB$3,N(AW1900)&lt;=Dashboard!$AB$3+6),(AW1900-40000)*100000+BF1900*10000+1899,"")</f>
        <v/>
      </c>
      <c r="BN1900">
        <f>IF(AND(BH1900=1,AZ1900&lt;&gt;"Cancelled"),BF1900*10000+1899,"")</f>
        <v/>
      </c>
    </row>
    <row r="1901">
      <c r="AS1901" t="inlineStr">
        <is>
          <t>V</t>
        </is>
      </c>
      <c r="AT1901" t="n">
        <v>405</v>
      </c>
      <c r="AU1901">
        <f>'Variable Tasks'!C405&amp;""</f>
        <v/>
      </c>
      <c r="AV1901">
        <f>'Variable Tasks'!D405&amp;""</f>
        <v/>
      </c>
      <c r="AW1901">
        <f>IF('Variable Tasks'!E405="","",'Variable Tasks'!E405)</f>
        <v/>
      </c>
      <c r="AX1901">
        <f>IF('Variable Tasks'!G405="","",'Variable Tasks'!G405)</f>
        <v/>
      </c>
      <c r="AY1901">
        <f>IF('Variable Tasks'!H405="","",'Variable Tasks'!H405)</f>
        <v/>
      </c>
      <c r="AZ1901">
        <f>IF(AU1901="","",IF('Variable Tasks'!J405="","Not Started",'Variable Tasks'!J405))</f>
        <v/>
      </c>
      <c r="BA1901">
        <f>'Variable Tasks'!L405&amp;""</f>
        <v/>
      </c>
      <c r="BB1901">
        <f>'Variable Tasks'!M405&amp;""</f>
        <v/>
      </c>
      <c r="BC1901">
        <f>'Variable Tasks'!N405&amp;""</f>
        <v/>
      </c>
      <c r="BD1901">
        <f>'Variable Tasks'!O405&amp;""</f>
        <v/>
      </c>
      <c r="BE1901">
        <f>IF('Variable Tasks'!K405="","",'Variable Tasks'!K405)</f>
        <v/>
      </c>
      <c r="BF1901">
        <f>IFERROR(MATCH(BA1901,Setup!$L$6:$L$9,0),5)</f>
        <v/>
      </c>
      <c r="BG1901">
        <f>IF(OR(AZ1901="Done",AZ1901="Cancelled"),1,0)</f>
        <v/>
      </c>
      <c r="BH1901">
        <f>IF(AND(AU1901&lt;&gt;"",ISNUMBER(AW1901)),1,0)</f>
        <v/>
      </c>
      <c r="BI1901">
        <f>IF(BH1901=0,0,IF(AND(AW1901&gt;='Tasks Filter'!$F$3,AW1901&lt;='Tasks Filter'!$F$4,OR('Tasks Filter'!$I$3="",ISNUMBER(SEARCH('Tasks Filter'!$I$3,AU1901))),OR('Tasks Filter'!$I$4="",BF1901=IFERROR(MATCH('Tasks Filter'!$I$4,Setup!$L$6:$L$9,0),0)),OR('Tasks Filter'!$I$5="Both",AND('Tasks Filter'!$I$5="Yes",BB1901="✓"),AND('Tasks Filter'!$I$5="No",BB1901&lt;&gt;"✓")),OR('Tasks Filter'!$L$3="",AV1901='Tasks Filter'!$L$3),OR('Tasks Filter'!$L$4="",AZ1901='Tasks Filter'!$L$4),OR('Tasks Filter'!$L$5="",BC1901='Tasks Filter'!$L$5),OR('Tasks Filter'!$O$3="",BD1901='Tasks Filter'!$O$3),OR('Tasks Filter'!$O$4="Yes",BG1901=0)),1,0))</f>
        <v/>
      </c>
      <c r="BJ1901">
        <f>IF(BH1901=0,"",IF('Tasks Filter'!$F$6="Descending",-1,1)*CHOOSE(MATCH('Tasks Filter'!$F$5,Lists!$G$2:$G$6,0),AW1901,BF1901,IFERROR(MATCH(AV1901,Setup!$F$6:$F$15,0),99),IFERROR(MATCH(BC1901,Setup!$H$6:$H$15,0),99),IFERROR(MATCH(AZ1901,Setup!$J$6:$J$11,0),99))*1E+9+(AW1901-40000)*10000+1900)</f>
        <v/>
      </c>
      <c r="BK1901">
        <f>IF(BI1901=1,BJ1901,"")</f>
        <v/>
      </c>
      <c r="BL1901">
        <f>IF(AND(BH1901=1,BG1901=0,N(AW1901)&lt;Setup!$D$7),(AW1901-40000)*10000+1900,"")</f>
        <v/>
      </c>
      <c r="BM1901">
        <f>IF(AND(BH1901=1,AZ1901&lt;&gt;"Cancelled",N(AW1901)&gt;=Dashboard!$AB$3,N(AW1901)&lt;=Dashboard!$AB$3+6),(AW1901-40000)*100000+BF1901*10000+1900,"")</f>
        <v/>
      </c>
      <c r="BN1901">
        <f>IF(AND(BH1901=1,AZ1901&lt;&gt;"Cancelled"),BF1901*10000+1900,"")</f>
        <v/>
      </c>
    </row>
    <row r="1902">
      <c r="AS1902" t="inlineStr">
        <is>
          <t>V</t>
        </is>
      </c>
      <c r="AT1902" t="n">
        <v>406</v>
      </c>
      <c r="AU1902">
        <f>'Variable Tasks'!C406&amp;""</f>
        <v/>
      </c>
      <c r="AV1902">
        <f>'Variable Tasks'!D406&amp;""</f>
        <v/>
      </c>
      <c r="AW1902">
        <f>IF('Variable Tasks'!E406="","",'Variable Tasks'!E406)</f>
        <v/>
      </c>
      <c r="AX1902">
        <f>IF('Variable Tasks'!G406="","",'Variable Tasks'!G406)</f>
        <v/>
      </c>
      <c r="AY1902">
        <f>IF('Variable Tasks'!H406="","",'Variable Tasks'!H406)</f>
        <v/>
      </c>
      <c r="AZ1902">
        <f>IF(AU1902="","",IF('Variable Tasks'!J406="","Not Started",'Variable Tasks'!J406))</f>
        <v/>
      </c>
      <c r="BA1902">
        <f>'Variable Tasks'!L406&amp;""</f>
        <v/>
      </c>
      <c r="BB1902">
        <f>'Variable Tasks'!M406&amp;""</f>
        <v/>
      </c>
      <c r="BC1902">
        <f>'Variable Tasks'!N406&amp;""</f>
        <v/>
      </c>
      <c r="BD1902">
        <f>'Variable Tasks'!O406&amp;""</f>
        <v/>
      </c>
      <c r="BE1902">
        <f>IF('Variable Tasks'!K406="","",'Variable Tasks'!K406)</f>
        <v/>
      </c>
      <c r="BF1902">
        <f>IFERROR(MATCH(BA1902,Setup!$L$6:$L$9,0),5)</f>
        <v/>
      </c>
      <c r="BG1902">
        <f>IF(OR(AZ1902="Done",AZ1902="Cancelled"),1,0)</f>
        <v/>
      </c>
      <c r="BH1902">
        <f>IF(AND(AU1902&lt;&gt;"",ISNUMBER(AW1902)),1,0)</f>
        <v/>
      </c>
      <c r="BI1902">
        <f>IF(BH1902=0,0,IF(AND(AW1902&gt;='Tasks Filter'!$F$3,AW1902&lt;='Tasks Filter'!$F$4,OR('Tasks Filter'!$I$3="",ISNUMBER(SEARCH('Tasks Filter'!$I$3,AU1902))),OR('Tasks Filter'!$I$4="",BF1902=IFERROR(MATCH('Tasks Filter'!$I$4,Setup!$L$6:$L$9,0),0)),OR('Tasks Filter'!$I$5="Both",AND('Tasks Filter'!$I$5="Yes",BB1902="✓"),AND('Tasks Filter'!$I$5="No",BB1902&lt;&gt;"✓")),OR('Tasks Filter'!$L$3="",AV1902='Tasks Filter'!$L$3),OR('Tasks Filter'!$L$4="",AZ1902='Tasks Filter'!$L$4),OR('Tasks Filter'!$L$5="",BC1902='Tasks Filter'!$L$5),OR('Tasks Filter'!$O$3="",BD1902='Tasks Filter'!$O$3),OR('Tasks Filter'!$O$4="Yes",BG1902=0)),1,0))</f>
        <v/>
      </c>
      <c r="BJ1902">
        <f>IF(BH1902=0,"",IF('Tasks Filter'!$F$6="Descending",-1,1)*CHOOSE(MATCH('Tasks Filter'!$F$5,Lists!$G$2:$G$6,0),AW1902,BF1902,IFERROR(MATCH(AV1902,Setup!$F$6:$F$15,0),99),IFERROR(MATCH(BC1902,Setup!$H$6:$H$15,0),99),IFERROR(MATCH(AZ1902,Setup!$J$6:$J$11,0),99))*1E+9+(AW1902-40000)*10000+1901)</f>
        <v/>
      </c>
      <c r="BK1902">
        <f>IF(BI1902=1,BJ1902,"")</f>
        <v/>
      </c>
      <c r="BL1902">
        <f>IF(AND(BH1902=1,BG1902=0,N(AW1902)&lt;Setup!$D$7),(AW1902-40000)*10000+1901,"")</f>
        <v/>
      </c>
      <c r="BM1902">
        <f>IF(AND(BH1902=1,AZ1902&lt;&gt;"Cancelled",N(AW1902)&gt;=Dashboard!$AB$3,N(AW1902)&lt;=Dashboard!$AB$3+6),(AW1902-40000)*100000+BF1902*10000+1901,"")</f>
        <v/>
      </c>
      <c r="BN1902">
        <f>IF(AND(BH1902=1,AZ1902&lt;&gt;"Cancelled"),BF1902*10000+1901,"")</f>
        <v/>
      </c>
    </row>
    <row r="1903">
      <c r="AS1903" t="inlineStr">
        <is>
          <t>V</t>
        </is>
      </c>
      <c r="AT1903" t="n">
        <v>407</v>
      </c>
      <c r="AU1903">
        <f>'Variable Tasks'!C407&amp;""</f>
        <v/>
      </c>
      <c r="AV1903">
        <f>'Variable Tasks'!D407&amp;""</f>
        <v/>
      </c>
      <c r="AW1903">
        <f>IF('Variable Tasks'!E407="","",'Variable Tasks'!E407)</f>
        <v/>
      </c>
      <c r="AX1903">
        <f>IF('Variable Tasks'!G407="","",'Variable Tasks'!G407)</f>
        <v/>
      </c>
      <c r="AY1903">
        <f>IF('Variable Tasks'!H407="","",'Variable Tasks'!H407)</f>
        <v/>
      </c>
      <c r="AZ1903">
        <f>IF(AU1903="","",IF('Variable Tasks'!J407="","Not Started",'Variable Tasks'!J407))</f>
        <v/>
      </c>
      <c r="BA1903">
        <f>'Variable Tasks'!L407&amp;""</f>
        <v/>
      </c>
      <c r="BB1903">
        <f>'Variable Tasks'!M407&amp;""</f>
        <v/>
      </c>
      <c r="BC1903">
        <f>'Variable Tasks'!N407&amp;""</f>
        <v/>
      </c>
      <c r="BD1903">
        <f>'Variable Tasks'!O407&amp;""</f>
        <v/>
      </c>
      <c r="BE1903">
        <f>IF('Variable Tasks'!K407="","",'Variable Tasks'!K407)</f>
        <v/>
      </c>
      <c r="BF1903">
        <f>IFERROR(MATCH(BA1903,Setup!$L$6:$L$9,0),5)</f>
        <v/>
      </c>
      <c r="BG1903">
        <f>IF(OR(AZ1903="Done",AZ1903="Cancelled"),1,0)</f>
        <v/>
      </c>
      <c r="BH1903">
        <f>IF(AND(AU1903&lt;&gt;"",ISNUMBER(AW1903)),1,0)</f>
        <v/>
      </c>
      <c r="BI1903">
        <f>IF(BH1903=0,0,IF(AND(AW1903&gt;='Tasks Filter'!$F$3,AW1903&lt;='Tasks Filter'!$F$4,OR('Tasks Filter'!$I$3="",ISNUMBER(SEARCH('Tasks Filter'!$I$3,AU1903))),OR('Tasks Filter'!$I$4="",BF1903=IFERROR(MATCH('Tasks Filter'!$I$4,Setup!$L$6:$L$9,0),0)),OR('Tasks Filter'!$I$5="Both",AND('Tasks Filter'!$I$5="Yes",BB1903="✓"),AND('Tasks Filter'!$I$5="No",BB1903&lt;&gt;"✓")),OR('Tasks Filter'!$L$3="",AV1903='Tasks Filter'!$L$3),OR('Tasks Filter'!$L$4="",AZ1903='Tasks Filter'!$L$4),OR('Tasks Filter'!$L$5="",BC1903='Tasks Filter'!$L$5),OR('Tasks Filter'!$O$3="",BD1903='Tasks Filter'!$O$3),OR('Tasks Filter'!$O$4="Yes",BG1903=0)),1,0))</f>
        <v/>
      </c>
      <c r="BJ1903">
        <f>IF(BH1903=0,"",IF('Tasks Filter'!$F$6="Descending",-1,1)*CHOOSE(MATCH('Tasks Filter'!$F$5,Lists!$G$2:$G$6,0),AW1903,BF1903,IFERROR(MATCH(AV1903,Setup!$F$6:$F$15,0),99),IFERROR(MATCH(BC1903,Setup!$H$6:$H$15,0),99),IFERROR(MATCH(AZ1903,Setup!$J$6:$J$11,0),99))*1E+9+(AW1903-40000)*10000+1902)</f>
        <v/>
      </c>
      <c r="BK1903">
        <f>IF(BI1903=1,BJ1903,"")</f>
        <v/>
      </c>
      <c r="BL1903">
        <f>IF(AND(BH1903=1,BG1903=0,N(AW1903)&lt;Setup!$D$7),(AW1903-40000)*10000+1902,"")</f>
        <v/>
      </c>
      <c r="BM1903">
        <f>IF(AND(BH1903=1,AZ1903&lt;&gt;"Cancelled",N(AW1903)&gt;=Dashboard!$AB$3,N(AW1903)&lt;=Dashboard!$AB$3+6),(AW1903-40000)*100000+BF1903*10000+1902,"")</f>
        <v/>
      </c>
      <c r="BN1903">
        <f>IF(AND(BH1903=1,AZ1903&lt;&gt;"Cancelled"),BF1903*10000+1902,"")</f>
        <v/>
      </c>
    </row>
    <row r="1904">
      <c r="AS1904" t="inlineStr">
        <is>
          <t>V</t>
        </is>
      </c>
      <c r="AT1904" t="n">
        <v>408</v>
      </c>
      <c r="AU1904">
        <f>'Variable Tasks'!C408&amp;""</f>
        <v/>
      </c>
      <c r="AV1904">
        <f>'Variable Tasks'!D408&amp;""</f>
        <v/>
      </c>
      <c r="AW1904">
        <f>IF('Variable Tasks'!E408="","",'Variable Tasks'!E408)</f>
        <v/>
      </c>
      <c r="AX1904">
        <f>IF('Variable Tasks'!G408="","",'Variable Tasks'!G408)</f>
        <v/>
      </c>
      <c r="AY1904">
        <f>IF('Variable Tasks'!H408="","",'Variable Tasks'!H408)</f>
        <v/>
      </c>
      <c r="AZ1904">
        <f>IF(AU1904="","",IF('Variable Tasks'!J408="","Not Started",'Variable Tasks'!J408))</f>
        <v/>
      </c>
      <c r="BA1904">
        <f>'Variable Tasks'!L408&amp;""</f>
        <v/>
      </c>
      <c r="BB1904">
        <f>'Variable Tasks'!M408&amp;""</f>
        <v/>
      </c>
      <c r="BC1904">
        <f>'Variable Tasks'!N408&amp;""</f>
        <v/>
      </c>
      <c r="BD1904">
        <f>'Variable Tasks'!O408&amp;""</f>
        <v/>
      </c>
      <c r="BE1904">
        <f>IF('Variable Tasks'!K408="","",'Variable Tasks'!K408)</f>
        <v/>
      </c>
      <c r="BF1904">
        <f>IFERROR(MATCH(BA1904,Setup!$L$6:$L$9,0),5)</f>
        <v/>
      </c>
      <c r="BG1904">
        <f>IF(OR(AZ1904="Done",AZ1904="Cancelled"),1,0)</f>
        <v/>
      </c>
      <c r="BH1904">
        <f>IF(AND(AU1904&lt;&gt;"",ISNUMBER(AW1904)),1,0)</f>
        <v/>
      </c>
      <c r="BI1904">
        <f>IF(BH1904=0,0,IF(AND(AW1904&gt;='Tasks Filter'!$F$3,AW1904&lt;='Tasks Filter'!$F$4,OR('Tasks Filter'!$I$3="",ISNUMBER(SEARCH('Tasks Filter'!$I$3,AU1904))),OR('Tasks Filter'!$I$4="",BF1904=IFERROR(MATCH('Tasks Filter'!$I$4,Setup!$L$6:$L$9,0),0)),OR('Tasks Filter'!$I$5="Both",AND('Tasks Filter'!$I$5="Yes",BB1904="✓"),AND('Tasks Filter'!$I$5="No",BB1904&lt;&gt;"✓")),OR('Tasks Filter'!$L$3="",AV1904='Tasks Filter'!$L$3),OR('Tasks Filter'!$L$4="",AZ1904='Tasks Filter'!$L$4),OR('Tasks Filter'!$L$5="",BC1904='Tasks Filter'!$L$5),OR('Tasks Filter'!$O$3="",BD1904='Tasks Filter'!$O$3),OR('Tasks Filter'!$O$4="Yes",BG1904=0)),1,0))</f>
        <v/>
      </c>
      <c r="BJ1904">
        <f>IF(BH1904=0,"",IF('Tasks Filter'!$F$6="Descending",-1,1)*CHOOSE(MATCH('Tasks Filter'!$F$5,Lists!$G$2:$G$6,0),AW1904,BF1904,IFERROR(MATCH(AV1904,Setup!$F$6:$F$15,0),99),IFERROR(MATCH(BC1904,Setup!$H$6:$H$15,0),99),IFERROR(MATCH(AZ1904,Setup!$J$6:$J$11,0),99))*1E+9+(AW1904-40000)*10000+1903)</f>
        <v/>
      </c>
      <c r="BK1904">
        <f>IF(BI1904=1,BJ1904,"")</f>
        <v/>
      </c>
      <c r="BL1904">
        <f>IF(AND(BH1904=1,BG1904=0,N(AW1904)&lt;Setup!$D$7),(AW1904-40000)*10000+1903,"")</f>
        <v/>
      </c>
      <c r="BM1904">
        <f>IF(AND(BH1904=1,AZ1904&lt;&gt;"Cancelled",N(AW1904)&gt;=Dashboard!$AB$3,N(AW1904)&lt;=Dashboard!$AB$3+6),(AW1904-40000)*100000+BF1904*10000+1903,"")</f>
        <v/>
      </c>
      <c r="BN1904">
        <f>IF(AND(BH1904=1,AZ1904&lt;&gt;"Cancelled"),BF1904*10000+1903,"")</f>
        <v/>
      </c>
    </row>
    <row r="1905">
      <c r="AS1905" t="inlineStr">
        <is>
          <t>V</t>
        </is>
      </c>
      <c r="AT1905" t="n">
        <v>409</v>
      </c>
      <c r="AU1905">
        <f>'Variable Tasks'!C409&amp;""</f>
        <v/>
      </c>
      <c r="AV1905">
        <f>'Variable Tasks'!D409&amp;""</f>
        <v/>
      </c>
      <c r="AW1905">
        <f>IF('Variable Tasks'!E409="","",'Variable Tasks'!E409)</f>
        <v/>
      </c>
      <c r="AX1905">
        <f>IF('Variable Tasks'!G409="","",'Variable Tasks'!G409)</f>
        <v/>
      </c>
      <c r="AY1905">
        <f>IF('Variable Tasks'!H409="","",'Variable Tasks'!H409)</f>
        <v/>
      </c>
      <c r="AZ1905">
        <f>IF(AU1905="","",IF('Variable Tasks'!J409="","Not Started",'Variable Tasks'!J409))</f>
        <v/>
      </c>
      <c r="BA1905">
        <f>'Variable Tasks'!L409&amp;""</f>
        <v/>
      </c>
      <c r="BB1905">
        <f>'Variable Tasks'!M409&amp;""</f>
        <v/>
      </c>
      <c r="BC1905">
        <f>'Variable Tasks'!N409&amp;""</f>
        <v/>
      </c>
      <c r="BD1905">
        <f>'Variable Tasks'!O409&amp;""</f>
        <v/>
      </c>
      <c r="BE1905">
        <f>IF('Variable Tasks'!K409="","",'Variable Tasks'!K409)</f>
        <v/>
      </c>
      <c r="BF1905">
        <f>IFERROR(MATCH(BA1905,Setup!$L$6:$L$9,0),5)</f>
        <v/>
      </c>
      <c r="BG1905">
        <f>IF(OR(AZ1905="Done",AZ1905="Cancelled"),1,0)</f>
        <v/>
      </c>
      <c r="BH1905">
        <f>IF(AND(AU1905&lt;&gt;"",ISNUMBER(AW1905)),1,0)</f>
        <v/>
      </c>
      <c r="BI1905">
        <f>IF(BH1905=0,0,IF(AND(AW1905&gt;='Tasks Filter'!$F$3,AW1905&lt;='Tasks Filter'!$F$4,OR('Tasks Filter'!$I$3="",ISNUMBER(SEARCH('Tasks Filter'!$I$3,AU1905))),OR('Tasks Filter'!$I$4="",BF1905=IFERROR(MATCH('Tasks Filter'!$I$4,Setup!$L$6:$L$9,0),0)),OR('Tasks Filter'!$I$5="Both",AND('Tasks Filter'!$I$5="Yes",BB1905="✓"),AND('Tasks Filter'!$I$5="No",BB1905&lt;&gt;"✓")),OR('Tasks Filter'!$L$3="",AV1905='Tasks Filter'!$L$3),OR('Tasks Filter'!$L$4="",AZ1905='Tasks Filter'!$L$4),OR('Tasks Filter'!$L$5="",BC1905='Tasks Filter'!$L$5),OR('Tasks Filter'!$O$3="",BD1905='Tasks Filter'!$O$3),OR('Tasks Filter'!$O$4="Yes",BG1905=0)),1,0))</f>
        <v/>
      </c>
      <c r="BJ1905">
        <f>IF(BH1905=0,"",IF('Tasks Filter'!$F$6="Descending",-1,1)*CHOOSE(MATCH('Tasks Filter'!$F$5,Lists!$G$2:$G$6,0),AW1905,BF1905,IFERROR(MATCH(AV1905,Setup!$F$6:$F$15,0),99),IFERROR(MATCH(BC1905,Setup!$H$6:$H$15,0),99),IFERROR(MATCH(AZ1905,Setup!$J$6:$J$11,0),99))*1E+9+(AW1905-40000)*10000+1904)</f>
        <v/>
      </c>
      <c r="BK1905">
        <f>IF(BI1905=1,BJ1905,"")</f>
        <v/>
      </c>
      <c r="BL1905">
        <f>IF(AND(BH1905=1,BG1905=0,N(AW1905)&lt;Setup!$D$7),(AW1905-40000)*10000+1904,"")</f>
        <v/>
      </c>
      <c r="BM1905">
        <f>IF(AND(BH1905=1,AZ1905&lt;&gt;"Cancelled",N(AW1905)&gt;=Dashboard!$AB$3,N(AW1905)&lt;=Dashboard!$AB$3+6),(AW1905-40000)*100000+BF1905*10000+1904,"")</f>
        <v/>
      </c>
      <c r="BN1905">
        <f>IF(AND(BH1905=1,AZ1905&lt;&gt;"Cancelled"),BF1905*10000+1904,"")</f>
        <v/>
      </c>
    </row>
    <row r="1906">
      <c r="AS1906" t="inlineStr">
        <is>
          <t>V</t>
        </is>
      </c>
      <c r="AT1906" t="n">
        <v>410</v>
      </c>
      <c r="AU1906">
        <f>'Variable Tasks'!C410&amp;""</f>
        <v/>
      </c>
      <c r="AV1906">
        <f>'Variable Tasks'!D410&amp;""</f>
        <v/>
      </c>
      <c r="AW1906">
        <f>IF('Variable Tasks'!E410="","",'Variable Tasks'!E410)</f>
        <v/>
      </c>
      <c r="AX1906">
        <f>IF('Variable Tasks'!G410="","",'Variable Tasks'!G410)</f>
        <v/>
      </c>
      <c r="AY1906">
        <f>IF('Variable Tasks'!H410="","",'Variable Tasks'!H410)</f>
        <v/>
      </c>
      <c r="AZ1906">
        <f>IF(AU1906="","",IF('Variable Tasks'!J410="","Not Started",'Variable Tasks'!J410))</f>
        <v/>
      </c>
      <c r="BA1906">
        <f>'Variable Tasks'!L410&amp;""</f>
        <v/>
      </c>
      <c r="BB1906">
        <f>'Variable Tasks'!M410&amp;""</f>
        <v/>
      </c>
      <c r="BC1906">
        <f>'Variable Tasks'!N410&amp;""</f>
        <v/>
      </c>
      <c r="BD1906">
        <f>'Variable Tasks'!O410&amp;""</f>
        <v/>
      </c>
      <c r="BE1906">
        <f>IF('Variable Tasks'!K410="","",'Variable Tasks'!K410)</f>
        <v/>
      </c>
      <c r="BF1906">
        <f>IFERROR(MATCH(BA1906,Setup!$L$6:$L$9,0),5)</f>
        <v/>
      </c>
      <c r="BG1906">
        <f>IF(OR(AZ1906="Done",AZ1906="Cancelled"),1,0)</f>
        <v/>
      </c>
      <c r="BH1906">
        <f>IF(AND(AU1906&lt;&gt;"",ISNUMBER(AW1906)),1,0)</f>
        <v/>
      </c>
      <c r="BI1906">
        <f>IF(BH1906=0,0,IF(AND(AW1906&gt;='Tasks Filter'!$F$3,AW1906&lt;='Tasks Filter'!$F$4,OR('Tasks Filter'!$I$3="",ISNUMBER(SEARCH('Tasks Filter'!$I$3,AU1906))),OR('Tasks Filter'!$I$4="",BF1906=IFERROR(MATCH('Tasks Filter'!$I$4,Setup!$L$6:$L$9,0),0)),OR('Tasks Filter'!$I$5="Both",AND('Tasks Filter'!$I$5="Yes",BB1906="✓"),AND('Tasks Filter'!$I$5="No",BB1906&lt;&gt;"✓")),OR('Tasks Filter'!$L$3="",AV1906='Tasks Filter'!$L$3),OR('Tasks Filter'!$L$4="",AZ1906='Tasks Filter'!$L$4),OR('Tasks Filter'!$L$5="",BC1906='Tasks Filter'!$L$5),OR('Tasks Filter'!$O$3="",BD1906='Tasks Filter'!$O$3),OR('Tasks Filter'!$O$4="Yes",BG1906=0)),1,0))</f>
        <v/>
      </c>
      <c r="BJ1906">
        <f>IF(BH1906=0,"",IF('Tasks Filter'!$F$6="Descending",-1,1)*CHOOSE(MATCH('Tasks Filter'!$F$5,Lists!$G$2:$G$6,0),AW1906,BF1906,IFERROR(MATCH(AV1906,Setup!$F$6:$F$15,0),99),IFERROR(MATCH(BC1906,Setup!$H$6:$H$15,0),99),IFERROR(MATCH(AZ1906,Setup!$J$6:$J$11,0),99))*1E+9+(AW1906-40000)*10000+1905)</f>
        <v/>
      </c>
      <c r="BK1906">
        <f>IF(BI1906=1,BJ1906,"")</f>
        <v/>
      </c>
      <c r="BL1906">
        <f>IF(AND(BH1906=1,BG1906=0,N(AW1906)&lt;Setup!$D$7),(AW1906-40000)*10000+1905,"")</f>
        <v/>
      </c>
      <c r="BM1906">
        <f>IF(AND(BH1906=1,AZ1906&lt;&gt;"Cancelled",N(AW1906)&gt;=Dashboard!$AB$3,N(AW1906)&lt;=Dashboard!$AB$3+6),(AW1906-40000)*100000+BF1906*10000+1905,"")</f>
        <v/>
      </c>
      <c r="BN1906">
        <f>IF(AND(BH1906=1,AZ1906&lt;&gt;"Cancelled"),BF1906*10000+1905,"")</f>
        <v/>
      </c>
    </row>
    <row r="1907">
      <c r="AS1907" t="inlineStr">
        <is>
          <t>V</t>
        </is>
      </c>
      <c r="AT1907" t="n">
        <v>411</v>
      </c>
      <c r="AU1907">
        <f>'Variable Tasks'!C411&amp;""</f>
        <v/>
      </c>
      <c r="AV1907">
        <f>'Variable Tasks'!D411&amp;""</f>
        <v/>
      </c>
      <c r="AW1907">
        <f>IF('Variable Tasks'!E411="","",'Variable Tasks'!E411)</f>
        <v/>
      </c>
      <c r="AX1907">
        <f>IF('Variable Tasks'!G411="","",'Variable Tasks'!G411)</f>
        <v/>
      </c>
      <c r="AY1907">
        <f>IF('Variable Tasks'!H411="","",'Variable Tasks'!H411)</f>
        <v/>
      </c>
      <c r="AZ1907">
        <f>IF(AU1907="","",IF('Variable Tasks'!J411="","Not Started",'Variable Tasks'!J411))</f>
        <v/>
      </c>
      <c r="BA1907">
        <f>'Variable Tasks'!L411&amp;""</f>
        <v/>
      </c>
      <c r="BB1907">
        <f>'Variable Tasks'!M411&amp;""</f>
        <v/>
      </c>
      <c r="BC1907">
        <f>'Variable Tasks'!N411&amp;""</f>
        <v/>
      </c>
      <c r="BD1907">
        <f>'Variable Tasks'!O411&amp;""</f>
        <v/>
      </c>
      <c r="BE1907">
        <f>IF('Variable Tasks'!K411="","",'Variable Tasks'!K411)</f>
        <v/>
      </c>
      <c r="BF1907">
        <f>IFERROR(MATCH(BA1907,Setup!$L$6:$L$9,0),5)</f>
        <v/>
      </c>
      <c r="BG1907">
        <f>IF(OR(AZ1907="Done",AZ1907="Cancelled"),1,0)</f>
        <v/>
      </c>
      <c r="BH1907">
        <f>IF(AND(AU1907&lt;&gt;"",ISNUMBER(AW1907)),1,0)</f>
        <v/>
      </c>
      <c r="BI1907">
        <f>IF(BH1907=0,0,IF(AND(AW1907&gt;='Tasks Filter'!$F$3,AW1907&lt;='Tasks Filter'!$F$4,OR('Tasks Filter'!$I$3="",ISNUMBER(SEARCH('Tasks Filter'!$I$3,AU1907))),OR('Tasks Filter'!$I$4="",BF1907=IFERROR(MATCH('Tasks Filter'!$I$4,Setup!$L$6:$L$9,0),0)),OR('Tasks Filter'!$I$5="Both",AND('Tasks Filter'!$I$5="Yes",BB1907="✓"),AND('Tasks Filter'!$I$5="No",BB1907&lt;&gt;"✓")),OR('Tasks Filter'!$L$3="",AV1907='Tasks Filter'!$L$3),OR('Tasks Filter'!$L$4="",AZ1907='Tasks Filter'!$L$4),OR('Tasks Filter'!$L$5="",BC1907='Tasks Filter'!$L$5),OR('Tasks Filter'!$O$3="",BD1907='Tasks Filter'!$O$3),OR('Tasks Filter'!$O$4="Yes",BG1907=0)),1,0))</f>
        <v/>
      </c>
      <c r="BJ1907">
        <f>IF(BH1907=0,"",IF('Tasks Filter'!$F$6="Descending",-1,1)*CHOOSE(MATCH('Tasks Filter'!$F$5,Lists!$G$2:$G$6,0),AW1907,BF1907,IFERROR(MATCH(AV1907,Setup!$F$6:$F$15,0),99),IFERROR(MATCH(BC1907,Setup!$H$6:$H$15,0),99),IFERROR(MATCH(AZ1907,Setup!$J$6:$J$11,0),99))*1E+9+(AW1907-40000)*10000+1906)</f>
        <v/>
      </c>
      <c r="BK1907">
        <f>IF(BI1907=1,BJ1907,"")</f>
        <v/>
      </c>
      <c r="BL1907">
        <f>IF(AND(BH1907=1,BG1907=0,N(AW1907)&lt;Setup!$D$7),(AW1907-40000)*10000+1906,"")</f>
        <v/>
      </c>
      <c r="BM1907">
        <f>IF(AND(BH1907=1,AZ1907&lt;&gt;"Cancelled",N(AW1907)&gt;=Dashboard!$AB$3,N(AW1907)&lt;=Dashboard!$AB$3+6),(AW1907-40000)*100000+BF1907*10000+1906,"")</f>
        <v/>
      </c>
      <c r="BN1907">
        <f>IF(AND(BH1907=1,AZ1907&lt;&gt;"Cancelled"),BF1907*10000+1906,"")</f>
        <v/>
      </c>
    </row>
    <row r="1908">
      <c r="AS1908" t="inlineStr">
        <is>
          <t>V</t>
        </is>
      </c>
      <c r="AT1908" t="n">
        <v>412</v>
      </c>
      <c r="AU1908">
        <f>'Variable Tasks'!C412&amp;""</f>
        <v/>
      </c>
      <c r="AV1908">
        <f>'Variable Tasks'!D412&amp;""</f>
        <v/>
      </c>
      <c r="AW1908">
        <f>IF('Variable Tasks'!E412="","",'Variable Tasks'!E412)</f>
        <v/>
      </c>
      <c r="AX1908">
        <f>IF('Variable Tasks'!G412="","",'Variable Tasks'!G412)</f>
        <v/>
      </c>
      <c r="AY1908">
        <f>IF('Variable Tasks'!H412="","",'Variable Tasks'!H412)</f>
        <v/>
      </c>
      <c r="AZ1908">
        <f>IF(AU1908="","",IF('Variable Tasks'!J412="","Not Started",'Variable Tasks'!J412))</f>
        <v/>
      </c>
      <c r="BA1908">
        <f>'Variable Tasks'!L412&amp;""</f>
        <v/>
      </c>
      <c r="BB1908">
        <f>'Variable Tasks'!M412&amp;""</f>
        <v/>
      </c>
      <c r="BC1908">
        <f>'Variable Tasks'!N412&amp;""</f>
        <v/>
      </c>
      <c r="BD1908">
        <f>'Variable Tasks'!O412&amp;""</f>
        <v/>
      </c>
      <c r="BE1908">
        <f>IF('Variable Tasks'!K412="","",'Variable Tasks'!K412)</f>
        <v/>
      </c>
      <c r="BF1908">
        <f>IFERROR(MATCH(BA1908,Setup!$L$6:$L$9,0),5)</f>
        <v/>
      </c>
      <c r="BG1908">
        <f>IF(OR(AZ1908="Done",AZ1908="Cancelled"),1,0)</f>
        <v/>
      </c>
      <c r="BH1908">
        <f>IF(AND(AU1908&lt;&gt;"",ISNUMBER(AW1908)),1,0)</f>
        <v/>
      </c>
      <c r="BI1908">
        <f>IF(BH1908=0,0,IF(AND(AW1908&gt;='Tasks Filter'!$F$3,AW1908&lt;='Tasks Filter'!$F$4,OR('Tasks Filter'!$I$3="",ISNUMBER(SEARCH('Tasks Filter'!$I$3,AU1908))),OR('Tasks Filter'!$I$4="",BF1908=IFERROR(MATCH('Tasks Filter'!$I$4,Setup!$L$6:$L$9,0),0)),OR('Tasks Filter'!$I$5="Both",AND('Tasks Filter'!$I$5="Yes",BB1908="✓"),AND('Tasks Filter'!$I$5="No",BB1908&lt;&gt;"✓")),OR('Tasks Filter'!$L$3="",AV1908='Tasks Filter'!$L$3),OR('Tasks Filter'!$L$4="",AZ1908='Tasks Filter'!$L$4),OR('Tasks Filter'!$L$5="",BC1908='Tasks Filter'!$L$5),OR('Tasks Filter'!$O$3="",BD1908='Tasks Filter'!$O$3),OR('Tasks Filter'!$O$4="Yes",BG1908=0)),1,0))</f>
        <v/>
      </c>
      <c r="BJ1908">
        <f>IF(BH1908=0,"",IF('Tasks Filter'!$F$6="Descending",-1,1)*CHOOSE(MATCH('Tasks Filter'!$F$5,Lists!$G$2:$G$6,0),AW1908,BF1908,IFERROR(MATCH(AV1908,Setup!$F$6:$F$15,0),99),IFERROR(MATCH(BC1908,Setup!$H$6:$H$15,0),99),IFERROR(MATCH(AZ1908,Setup!$J$6:$J$11,0),99))*1E+9+(AW1908-40000)*10000+1907)</f>
        <v/>
      </c>
      <c r="BK1908">
        <f>IF(BI1908=1,BJ1908,"")</f>
        <v/>
      </c>
      <c r="BL1908">
        <f>IF(AND(BH1908=1,BG1908=0,N(AW1908)&lt;Setup!$D$7),(AW1908-40000)*10000+1907,"")</f>
        <v/>
      </c>
      <c r="BM1908">
        <f>IF(AND(BH1908=1,AZ1908&lt;&gt;"Cancelled",N(AW1908)&gt;=Dashboard!$AB$3,N(AW1908)&lt;=Dashboard!$AB$3+6),(AW1908-40000)*100000+BF1908*10000+1907,"")</f>
        <v/>
      </c>
      <c r="BN1908">
        <f>IF(AND(BH1908=1,AZ1908&lt;&gt;"Cancelled"),BF1908*10000+1907,"")</f>
        <v/>
      </c>
    </row>
    <row r="1909">
      <c r="AS1909" t="inlineStr">
        <is>
          <t>V</t>
        </is>
      </c>
      <c r="AT1909" t="n">
        <v>413</v>
      </c>
      <c r="AU1909">
        <f>'Variable Tasks'!C413&amp;""</f>
        <v/>
      </c>
      <c r="AV1909">
        <f>'Variable Tasks'!D413&amp;""</f>
        <v/>
      </c>
      <c r="AW1909">
        <f>IF('Variable Tasks'!E413="","",'Variable Tasks'!E413)</f>
        <v/>
      </c>
      <c r="AX1909">
        <f>IF('Variable Tasks'!G413="","",'Variable Tasks'!G413)</f>
        <v/>
      </c>
      <c r="AY1909">
        <f>IF('Variable Tasks'!H413="","",'Variable Tasks'!H413)</f>
        <v/>
      </c>
      <c r="AZ1909">
        <f>IF(AU1909="","",IF('Variable Tasks'!J413="","Not Started",'Variable Tasks'!J413))</f>
        <v/>
      </c>
      <c r="BA1909">
        <f>'Variable Tasks'!L413&amp;""</f>
        <v/>
      </c>
      <c r="BB1909">
        <f>'Variable Tasks'!M413&amp;""</f>
        <v/>
      </c>
      <c r="BC1909">
        <f>'Variable Tasks'!N413&amp;""</f>
        <v/>
      </c>
      <c r="BD1909">
        <f>'Variable Tasks'!O413&amp;""</f>
        <v/>
      </c>
      <c r="BE1909">
        <f>IF('Variable Tasks'!K413="","",'Variable Tasks'!K413)</f>
        <v/>
      </c>
      <c r="BF1909">
        <f>IFERROR(MATCH(BA1909,Setup!$L$6:$L$9,0),5)</f>
        <v/>
      </c>
      <c r="BG1909">
        <f>IF(OR(AZ1909="Done",AZ1909="Cancelled"),1,0)</f>
        <v/>
      </c>
      <c r="BH1909">
        <f>IF(AND(AU1909&lt;&gt;"",ISNUMBER(AW1909)),1,0)</f>
        <v/>
      </c>
      <c r="BI1909">
        <f>IF(BH1909=0,0,IF(AND(AW1909&gt;='Tasks Filter'!$F$3,AW1909&lt;='Tasks Filter'!$F$4,OR('Tasks Filter'!$I$3="",ISNUMBER(SEARCH('Tasks Filter'!$I$3,AU1909))),OR('Tasks Filter'!$I$4="",BF1909=IFERROR(MATCH('Tasks Filter'!$I$4,Setup!$L$6:$L$9,0),0)),OR('Tasks Filter'!$I$5="Both",AND('Tasks Filter'!$I$5="Yes",BB1909="✓"),AND('Tasks Filter'!$I$5="No",BB1909&lt;&gt;"✓")),OR('Tasks Filter'!$L$3="",AV1909='Tasks Filter'!$L$3),OR('Tasks Filter'!$L$4="",AZ1909='Tasks Filter'!$L$4),OR('Tasks Filter'!$L$5="",BC1909='Tasks Filter'!$L$5),OR('Tasks Filter'!$O$3="",BD1909='Tasks Filter'!$O$3),OR('Tasks Filter'!$O$4="Yes",BG1909=0)),1,0))</f>
        <v/>
      </c>
      <c r="BJ1909">
        <f>IF(BH1909=0,"",IF('Tasks Filter'!$F$6="Descending",-1,1)*CHOOSE(MATCH('Tasks Filter'!$F$5,Lists!$G$2:$G$6,0),AW1909,BF1909,IFERROR(MATCH(AV1909,Setup!$F$6:$F$15,0),99),IFERROR(MATCH(BC1909,Setup!$H$6:$H$15,0),99),IFERROR(MATCH(AZ1909,Setup!$J$6:$J$11,0),99))*1E+9+(AW1909-40000)*10000+1908)</f>
        <v/>
      </c>
      <c r="BK1909">
        <f>IF(BI1909=1,BJ1909,"")</f>
        <v/>
      </c>
      <c r="BL1909">
        <f>IF(AND(BH1909=1,BG1909=0,N(AW1909)&lt;Setup!$D$7),(AW1909-40000)*10000+1908,"")</f>
        <v/>
      </c>
      <c r="BM1909">
        <f>IF(AND(BH1909=1,AZ1909&lt;&gt;"Cancelled",N(AW1909)&gt;=Dashboard!$AB$3,N(AW1909)&lt;=Dashboard!$AB$3+6),(AW1909-40000)*100000+BF1909*10000+1908,"")</f>
        <v/>
      </c>
      <c r="BN1909">
        <f>IF(AND(BH1909=1,AZ1909&lt;&gt;"Cancelled"),BF1909*10000+1908,"")</f>
        <v/>
      </c>
    </row>
    <row r="1910">
      <c r="AS1910" t="inlineStr">
        <is>
          <t>V</t>
        </is>
      </c>
      <c r="AT1910" t="n">
        <v>414</v>
      </c>
      <c r="AU1910">
        <f>'Variable Tasks'!C414&amp;""</f>
        <v/>
      </c>
      <c r="AV1910">
        <f>'Variable Tasks'!D414&amp;""</f>
        <v/>
      </c>
      <c r="AW1910">
        <f>IF('Variable Tasks'!E414="","",'Variable Tasks'!E414)</f>
        <v/>
      </c>
      <c r="AX1910">
        <f>IF('Variable Tasks'!G414="","",'Variable Tasks'!G414)</f>
        <v/>
      </c>
      <c r="AY1910">
        <f>IF('Variable Tasks'!H414="","",'Variable Tasks'!H414)</f>
        <v/>
      </c>
      <c r="AZ1910">
        <f>IF(AU1910="","",IF('Variable Tasks'!J414="","Not Started",'Variable Tasks'!J414))</f>
        <v/>
      </c>
      <c r="BA1910">
        <f>'Variable Tasks'!L414&amp;""</f>
        <v/>
      </c>
      <c r="BB1910">
        <f>'Variable Tasks'!M414&amp;""</f>
        <v/>
      </c>
      <c r="BC1910">
        <f>'Variable Tasks'!N414&amp;""</f>
        <v/>
      </c>
      <c r="BD1910">
        <f>'Variable Tasks'!O414&amp;""</f>
        <v/>
      </c>
      <c r="BE1910">
        <f>IF('Variable Tasks'!K414="","",'Variable Tasks'!K414)</f>
        <v/>
      </c>
      <c r="BF1910">
        <f>IFERROR(MATCH(BA1910,Setup!$L$6:$L$9,0),5)</f>
        <v/>
      </c>
      <c r="BG1910">
        <f>IF(OR(AZ1910="Done",AZ1910="Cancelled"),1,0)</f>
        <v/>
      </c>
      <c r="BH1910">
        <f>IF(AND(AU1910&lt;&gt;"",ISNUMBER(AW1910)),1,0)</f>
        <v/>
      </c>
      <c r="BI1910">
        <f>IF(BH1910=0,0,IF(AND(AW1910&gt;='Tasks Filter'!$F$3,AW1910&lt;='Tasks Filter'!$F$4,OR('Tasks Filter'!$I$3="",ISNUMBER(SEARCH('Tasks Filter'!$I$3,AU1910))),OR('Tasks Filter'!$I$4="",BF1910=IFERROR(MATCH('Tasks Filter'!$I$4,Setup!$L$6:$L$9,0),0)),OR('Tasks Filter'!$I$5="Both",AND('Tasks Filter'!$I$5="Yes",BB1910="✓"),AND('Tasks Filter'!$I$5="No",BB1910&lt;&gt;"✓")),OR('Tasks Filter'!$L$3="",AV1910='Tasks Filter'!$L$3),OR('Tasks Filter'!$L$4="",AZ1910='Tasks Filter'!$L$4),OR('Tasks Filter'!$L$5="",BC1910='Tasks Filter'!$L$5),OR('Tasks Filter'!$O$3="",BD1910='Tasks Filter'!$O$3),OR('Tasks Filter'!$O$4="Yes",BG1910=0)),1,0))</f>
        <v/>
      </c>
      <c r="BJ1910">
        <f>IF(BH1910=0,"",IF('Tasks Filter'!$F$6="Descending",-1,1)*CHOOSE(MATCH('Tasks Filter'!$F$5,Lists!$G$2:$G$6,0),AW1910,BF1910,IFERROR(MATCH(AV1910,Setup!$F$6:$F$15,0),99),IFERROR(MATCH(BC1910,Setup!$H$6:$H$15,0),99),IFERROR(MATCH(AZ1910,Setup!$J$6:$J$11,0),99))*1E+9+(AW1910-40000)*10000+1909)</f>
        <v/>
      </c>
      <c r="BK1910">
        <f>IF(BI1910=1,BJ1910,"")</f>
        <v/>
      </c>
      <c r="BL1910">
        <f>IF(AND(BH1910=1,BG1910=0,N(AW1910)&lt;Setup!$D$7),(AW1910-40000)*10000+1909,"")</f>
        <v/>
      </c>
      <c r="BM1910">
        <f>IF(AND(BH1910=1,AZ1910&lt;&gt;"Cancelled",N(AW1910)&gt;=Dashboard!$AB$3,N(AW1910)&lt;=Dashboard!$AB$3+6),(AW1910-40000)*100000+BF1910*10000+1909,"")</f>
        <v/>
      </c>
      <c r="BN1910">
        <f>IF(AND(BH1910=1,AZ1910&lt;&gt;"Cancelled"),BF1910*10000+1909,"")</f>
        <v/>
      </c>
    </row>
    <row r="1911">
      <c r="AS1911" t="inlineStr">
        <is>
          <t>V</t>
        </is>
      </c>
      <c r="AT1911" t="n">
        <v>415</v>
      </c>
      <c r="AU1911">
        <f>'Variable Tasks'!C415&amp;""</f>
        <v/>
      </c>
      <c r="AV1911">
        <f>'Variable Tasks'!D415&amp;""</f>
        <v/>
      </c>
      <c r="AW1911">
        <f>IF('Variable Tasks'!E415="","",'Variable Tasks'!E415)</f>
        <v/>
      </c>
      <c r="AX1911">
        <f>IF('Variable Tasks'!G415="","",'Variable Tasks'!G415)</f>
        <v/>
      </c>
      <c r="AY1911">
        <f>IF('Variable Tasks'!H415="","",'Variable Tasks'!H415)</f>
        <v/>
      </c>
      <c r="AZ1911">
        <f>IF(AU1911="","",IF('Variable Tasks'!J415="","Not Started",'Variable Tasks'!J415))</f>
        <v/>
      </c>
      <c r="BA1911">
        <f>'Variable Tasks'!L415&amp;""</f>
        <v/>
      </c>
      <c r="BB1911">
        <f>'Variable Tasks'!M415&amp;""</f>
        <v/>
      </c>
      <c r="BC1911">
        <f>'Variable Tasks'!N415&amp;""</f>
        <v/>
      </c>
      <c r="BD1911">
        <f>'Variable Tasks'!O415&amp;""</f>
        <v/>
      </c>
      <c r="BE1911">
        <f>IF('Variable Tasks'!K415="","",'Variable Tasks'!K415)</f>
        <v/>
      </c>
      <c r="BF1911">
        <f>IFERROR(MATCH(BA1911,Setup!$L$6:$L$9,0),5)</f>
        <v/>
      </c>
      <c r="BG1911">
        <f>IF(OR(AZ1911="Done",AZ1911="Cancelled"),1,0)</f>
        <v/>
      </c>
      <c r="BH1911">
        <f>IF(AND(AU1911&lt;&gt;"",ISNUMBER(AW1911)),1,0)</f>
        <v/>
      </c>
      <c r="BI1911">
        <f>IF(BH1911=0,0,IF(AND(AW1911&gt;='Tasks Filter'!$F$3,AW1911&lt;='Tasks Filter'!$F$4,OR('Tasks Filter'!$I$3="",ISNUMBER(SEARCH('Tasks Filter'!$I$3,AU1911))),OR('Tasks Filter'!$I$4="",BF1911=IFERROR(MATCH('Tasks Filter'!$I$4,Setup!$L$6:$L$9,0),0)),OR('Tasks Filter'!$I$5="Both",AND('Tasks Filter'!$I$5="Yes",BB1911="✓"),AND('Tasks Filter'!$I$5="No",BB1911&lt;&gt;"✓")),OR('Tasks Filter'!$L$3="",AV1911='Tasks Filter'!$L$3),OR('Tasks Filter'!$L$4="",AZ1911='Tasks Filter'!$L$4),OR('Tasks Filter'!$L$5="",BC1911='Tasks Filter'!$L$5),OR('Tasks Filter'!$O$3="",BD1911='Tasks Filter'!$O$3),OR('Tasks Filter'!$O$4="Yes",BG1911=0)),1,0))</f>
        <v/>
      </c>
      <c r="BJ1911">
        <f>IF(BH1911=0,"",IF('Tasks Filter'!$F$6="Descending",-1,1)*CHOOSE(MATCH('Tasks Filter'!$F$5,Lists!$G$2:$G$6,0),AW1911,BF1911,IFERROR(MATCH(AV1911,Setup!$F$6:$F$15,0),99),IFERROR(MATCH(BC1911,Setup!$H$6:$H$15,0),99),IFERROR(MATCH(AZ1911,Setup!$J$6:$J$11,0),99))*1E+9+(AW1911-40000)*10000+1910)</f>
        <v/>
      </c>
      <c r="BK1911">
        <f>IF(BI1911=1,BJ1911,"")</f>
        <v/>
      </c>
      <c r="BL1911">
        <f>IF(AND(BH1911=1,BG1911=0,N(AW1911)&lt;Setup!$D$7),(AW1911-40000)*10000+1910,"")</f>
        <v/>
      </c>
      <c r="BM1911">
        <f>IF(AND(BH1911=1,AZ1911&lt;&gt;"Cancelled",N(AW1911)&gt;=Dashboard!$AB$3,N(AW1911)&lt;=Dashboard!$AB$3+6),(AW1911-40000)*100000+BF1911*10000+1910,"")</f>
        <v/>
      </c>
      <c r="BN1911">
        <f>IF(AND(BH1911=1,AZ1911&lt;&gt;"Cancelled"),BF1911*10000+1910,"")</f>
        <v/>
      </c>
    </row>
    <row r="1912">
      <c r="AS1912" t="inlineStr">
        <is>
          <t>V</t>
        </is>
      </c>
      <c r="AT1912" t="n">
        <v>416</v>
      </c>
      <c r="AU1912">
        <f>'Variable Tasks'!C416&amp;""</f>
        <v/>
      </c>
      <c r="AV1912">
        <f>'Variable Tasks'!D416&amp;""</f>
        <v/>
      </c>
      <c r="AW1912">
        <f>IF('Variable Tasks'!E416="","",'Variable Tasks'!E416)</f>
        <v/>
      </c>
      <c r="AX1912">
        <f>IF('Variable Tasks'!G416="","",'Variable Tasks'!G416)</f>
        <v/>
      </c>
      <c r="AY1912">
        <f>IF('Variable Tasks'!H416="","",'Variable Tasks'!H416)</f>
        <v/>
      </c>
      <c r="AZ1912">
        <f>IF(AU1912="","",IF('Variable Tasks'!J416="","Not Started",'Variable Tasks'!J416))</f>
        <v/>
      </c>
      <c r="BA1912">
        <f>'Variable Tasks'!L416&amp;""</f>
        <v/>
      </c>
      <c r="BB1912">
        <f>'Variable Tasks'!M416&amp;""</f>
        <v/>
      </c>
      <c r="BC1912">
        <f>'Variable Tasks'!N416&amp;""</f>
        <v/>
      </c>
      <c r="BD1912">
        <f>'Variable Tasks'!O416&amp;""</f>
        <v/>
      </c>
      <c r="BE1912">
        <f>IF('Variable Tasks'!K416="","",'Variable Tasks'!K416)</f>
        <v/>
      </c>
      <c r="BF1912">
        <f>IFERROR(MATCH(BA1912,Setup!$L$6:$L$9,0),5)</f>
        <v/>
      </c>
      <c r="BG1912">
        <f>IF(OR(AZ1912="Done",AZ1912="Cancelled"),1,0)</f>
        <v/>
      </c>
      <c r="BH1912">
        <f>IF(AND(AU1912&lt;&gt;"",ISNUMBER(AW1912)),1,0)</f>
        <v/>
      </c>
      <c r="BI1912">
        <f>IF(BH1912=0,0,IF(AND(AW1912&gt;='Tasks Filter'!$F$3,AW1912&lt;='Tasks Filter'!$F$4,OR('Tasks Filter'!$I$3="",ISNUMBER(SEARCH('Tasks Filter'!$I$3,AU1912))),OR('Tasks Filter'!$I$4="",BF1912=IFERROR(MATCH('Tasks Filter'!$I$4,Setup!$L$6:$L$9,0),0)),OR('Tasks Filter'!$I$5="Both",AND('Tasks Filter'!$I$5="Yes",BB1912="✓"),AND('Tasks Filter'!$I$5="No",BB1912&lt;&gt;"✓")),OR('Tasks Filter'!$L$3="",AV1912='Tasks Filter'!$L$3),OR('Tasks Filter'!$L$4="",AZ1912='Tasks Filter'!$L$4),OR('Tasks Filter'!$L$5="",BC1912='Tasks Filter'!$L$5),OR('Tasks Filter'!$O$3="",BD1912='Tasks Filter'!$O$3),OR('Tasks Filter'!$O$4="Yes",BG1912=0)),1,0))</f>
        <v/>
      </c>
      <c r="BJ1912">
        <f>IF(BH1912=0,"",IF('Tasks Filter'!$F$6="Descending",-1,1)*CHOOSE(MATCH('Tasks Filter'!$F$5,Lists!$G$2:$G$6,0),AW1912,BF1912,IFERROR(MATCH(AV1912,Setup!$F$6:$F$15,0),99),IFERROR(MATCH(BC1912,Setup!$H$6:$H$15,0),99),IFERROR(MATCH(AZ1912,Setup!$J$6:$J$11,0),99))*1E+9+(AW1912-40000)*10000+1911)</f>
        <v/>
      </c>
      <c r="BK1912">
        <f>IF(BI1912=1,BJ1912,"")</f>
        <v/>
      </c>
      <c r="BL1912">
        <f>IF(AND(BH1912=1,BG1912=0,N(AW1912)&lt;Setup!$D$7),(AW1912-40000)*10000+1911,"")</f>
        <v/>
      </c>
      <c r="BM1912">
        <f>IF(AND(BH1912=1,AZ1912&lt;&gt;"Cancelled",N(AW1912)&gt;=Dashboard!$AB$3,N(AW1912)&lt;=Dashboard!$AB$3+6),(AW1912-40000)*100000+BF1912*10000+1911,"")</f>
        <v/>
      </c>
      <c r="BN1912">
        <f>IF(AND(BH1912=1,AZ1912&lt;&gt;"Cancelled"),BF1912*10000+1911,"")</f>
        <v/>
      </c>
    </row>
    <row r="1913">
      <c r="AS1913" t="inlineStr">
        <is>
          <t>V</t>
        </is>
      </c>
      <c r="AT1913" t="n">
        <v>417</v>
      </c>
      <c r="AU1913">
        <f>'Variable Tasks'!C417&amp;""</f>
        <v/>
      </c>
      <c r="AV1913">
        <f>'Variable Tasks'!D417&amp;""</f>
        <v/>
      </c>
      <c r="AW1913">
        <f>IF('Variable Tasks'!E417="","",'Variable Tasks'!E417)</f>
        <v/>
      </c>
      <c r="AX1913">
        <f>IF('Variable Tasks'!G417="","",'Variable Tasks'!G417)</f>
        <v/>
      </c>
      <c r="AY1913">
        <f>IF('Variable Tasks'!H417="","",'Variable Tasks'!H417)</f>
        <v/>
      </c>
      <c r="AZ1913">
        <f>IF(AU1913="","",IF('Variable Tasks'!J417="","Not Started",'Variable Tasks'!J417))</f>
        <v/>
      </c>
      <c r="BA1913">
        <f>'Variable Tasks'!L417&amp;""</f>
        <v/>
      </c>
      <c r="BB1913">
        <f>'Variable Tasks'!M417&amp;""</f>
        <v/>
      </c>
      <c r="BC1913">
        <f>'Variable Tasks'!N417&amp;""</f>
        <v/>
      </c>
      <c r="BD1913">
        <f>'Variable Tasks'!O417&amp;""</f>
        <v/>
      </c>
      <c r="BE1913">
        <f>IF('Variable Tasks'!K417="","",'Variable Tasks'!K417)</f>
        <v/>
      </c>
      <c r="BF1913">
        <f>IFERROR(MATCH(BA1913,Setup!$L$6:$L$9,0),5)</f>
        <v/>
      </c>
      <c r="BG1913">
        <f>IF(OR(AZ1913="Done",AZ1913="Cancelled"),1,0)</f>
        <v/>
      </c>
      <c r="BH1913">
        <f>IF(AND(AU1913&lt;&gt;"",ISNUMBER(AW1913)),1,0)</f>
        <v/>
      </c>
      <c r="BI1913">
        <f>IF(BH1913=0,0,IF(AND(AW1913&gt;='Tasks Filter'!$F$3,AW1913&lt;='Tasks Filter'!$F$4,OR('Tasks Filter'!$I$3="",ISNUMBER(SEARCH('Tasks Filter'!$I$3,AU1913))),OR('Tasks Filter'!$I$4="",BF1913=IFERROR(MATCH('Tasks Filter'!$I$4,Setup!$L$6:$L$9,0),0)),OR('Tasks Filter'!$I$5="Both",AND('Tasks Filter'!$I$5="Yes",BB1913="✓"),AND('Tasks Filter'!$I$5="No",BB1913&lt;&gt;"✓")),OR('Tasks Filter'!$L$3="",AV1913='Tasks Filter'!$L$3),OR('Tasks Filter'!$L$4="",AZ1913='Tasks Filter'!$L$4),OR('Tasks Filter'!$L$5="",BC1913='Tasks Filter'!$L$5),OR('Tasks Filter'!$O$3="",BD1913='Tasks Filter'!$O$3),OR('Tasks Filter'!$O$4="Yes",BG1913=0)),1,0))</f>
        <v/>
      </c>
      <c r="BJ1913">
        <f>IF(BH1913=0,"",IF('Tasks Filter'!$F$6="Descending",-1,1)*CHOOSE(MATCH('Tasks Filter'!$F$5,Lists!$G$2:$G$6,0),AW1913,BF1913,IFERROR(MATCH(AV1913,Setup!$F$6:$F$15,0),99),IFERROR(MATCH(BC1913,Setup!$H$6:$H$15,0),99),IFERROR(MATCH(AZ1913,Setup!$J$6:$J$11,0),99))*1E+9+(AW1913-40000)*10000+1912)</f>
        <v/>
      </c>
      <c r="BK1913">
        <f>IF(BI1913=1,BJ1913,"")</f>
        <v/>
      </c>
      <c r="BL1913">
        <f>IF(AND(BH1913=1,BG1913=0,N(AW1913)&lt;Setup!$D$7),(AW1913-40000)*10000+1912,"")</f>
        <v/>
      </c>
      <c r="BM1913">
        <f>IF(AND(BH1913=1,AZ1913&lt;&gt;"Cancelled",N(AW1913)&gt;=Dashboard!$AB$3,N(AW1913)&lt;=Dashboard!$AB$3+6),(AW1913-40000)*100000+BF1913*10000+1912,"")</f>
        <v/>
      </c>
      <c r="BN1913">
        <f>IF(AND(BH1913=1,AZ1913&lt;&gt;"Cancelled"),BF1913*10000+1912,"")</f>
        <v/>
      </c>
    </row>
    <row r="1914">
      <c r="AS1914" t="inlineStr">
        <is>
          <t>V</t>
        </is>
      </c>
      <c r="AT1914" t="n">
        <v>418</v>
      </c>
      <c r="AU1914">
        <f>'Variable Tasks'!C418&amp;""</f>
        <v/>
      </c>
      <c r="AV1914">
        <f>'Variable Tasks'!D418&amp;""</f>
        <v/>
      </c>
      <c r="AW1914">
        <f>IF('Variable Tasks'!E418="","",'Variable Tasks'!E418)</f>
        <v/>
      </c>
      <c r="AX1914">
        <f>IF('Variable Tasks'!G418="","",'Variable Tasks'!G418)</f>
        <v/>
      </c>
      <c r="AY1914">
        <f>IF('Variable Tasks'!H418="","",'Variable Tasks'!H418)</f>
        <v/>
      </c>
      <c r="AZ1914">
        <f>IF(AU1914="","",IF('Variable Tasks'!J418="","Not Started",'Variable Tasks'!J418))</f>
        <v/>
      </c>
      <c r="BA1914">
        <f>'Variable Tasks'!L418&amp;""</f>
        <v/>
      </c>
      <c r="BB1914">
        <f>'Variable Tasks'!M418&amp;""</f>
        <v/>
      </c>
      <c r="BC1914">
        <f>'Variable Tasks'!N418&amp;""</f>
        <v/>
      </c>
      <c r="BD1914">
        <f>'Variable Tasks'!O418&amp;""</f>
        <v/>
      </c>
      <c r="BE1914">
        <f>IF('Variable Tasks'!K418="","",'Variable Tasks'!K418)</f>
        <v/>
      </c>
      <c r="BF1914">
        <f>IFERROR(MATCH(BA1914,Setup!$L$6:$L$9,0),5)</f>
        <v/>
      </c>
      <c r="BG1914">
        <f>IF(OR(AZ1914="Done",AZ1914="Cancelled"),1,0)</f>
        <v/>
      </c>
      <c r="BH1914">
        <f>IF(AND(AU1914&lt;&gt;"",ISNUMBER(AW1914)),1,0)</f>
        <v/>
      </c>
      <c r="BI1914">
        <f>IF(BH1914=0,0,IF(AND(AW1914&gt;='Tasks Filter'!$F$3,AW1914&lt;='Tasks Filter'!$F$4,OR('Tasks Filter'!$I$3="",ISNUMBER(SEARCH('Tasks Filter'!$I$3,AU1914))),OR('Tasks Filter'!$I$4="",BF1914=IFERROR(MATCH('Tasks Filter'!$I$4,Setup!$L$6:$L$9,0),0)),OR('Tasks Filter'!$I$5="Both",AND('Tasks Filter'!$I$5="Yes",BB1914="✓"),AND('Tasks Filter'!$I$5="No",BB1914&lt;&gt;"✓")),OR('Tasks Filter'!$L$3="",AV1914='Tasks Filter'!$L$3),OR('Tasks Filter'!$L$4="",AZ1914='Tasks Filter'!$L$4),OR('Tasks Filter'!$L$5="",BC1914='Tasks Filter'!$L$5),OR('Tasks Filter'!$O$3="",BD1914='Tasks Filter'!$O$3),OR('Tasks Filter'!$O$4="Yes",BG1914=0)),1,0))</f>
        <v/>
      </c>
      <c r="BJ1914">
        <f>IF(BH1914=0,"",IF('Tasks Filter'!$F$6="Descending",-1,1)*CHOOSE(MATCH('Tasks Filter'!$F$5,Lists!$G$2:$G$6,0),AW1914,BF1914,IFERROR(MATCH(AV1914,Setup!$F$6:$F$15,0),99),IFERROR(MATCH(BC1914,Setup!$H$6:$H$15,0),99),IFERROR(MATCH(AZ1914,Setup!$J$6:$J$11,0),99))*1E+9+(AW1914-40000)*10000+1913)</f>
        <v/>
      </c>
      <c r="BK1914">
        <f>IF(BI1914=1,BJ1914,"")</f>
        <v/>
      </c>
      <c r="BL1914">
        <f>IF(AND(BH1914=1,BG1914=0,N(AW1914)&lt;Setup!$D$7),(AW1914-40000)*10000+1913,"")</f>
        <v/>
      </c>
      <c r="BM1914">
        <f>IF(AND(BH1914=1,AZ1914&lt;&gt;"Cancelled",N(AW1914)&gt;=Dashboard!$AB$3,N(AW1914)&lt;=Dashboard!$AB$3+6),(AW1914-40000)*100000+BF1914*10000+1913,"")</f>
        <v/>
      </c>
      <c r="BN1914">
        <f>IF(AND(BH1914=1,AZ1914&lt;&gt;"Cancelled"),BF1914*10000+1913,"")</f>
        <v/>
      </c>
    </row>
    <row r="1915">
      <c r="AS1915" t="inlineStr">
        <is>
          <t>V</t>
        </is>
      </c>
      <c r="AT1915" t="n">
        <v>419</v>
      </c>
      <c r="AU1915">
        <f>'Variable Tasks'!C419&amp;""</f>
        <v/>
      </c>
      <c r="AV1915">
        <f>'Variable Tasks'!D419&amp;""</f>
        <v/>
      </c>
      <c r="AW1915">
        <f>IF('Variable Tasks'!E419="","",'Variable Tasks'!E419)</f>
        <v/>
      </c>
      <c r="AX1915">
        <f>IF('Variable Tasks'!G419="","",'Variable Tasks'!G419)</f>
        <v/>
      </c>
      <c r="AY1915">
        <f>IF('Variable Tasks'!H419="","",'Variable Tasks'!H419)</f>
        <v/>
      </c>
      <c r="AZ1915">
        <f>IF(AU1915="","",IF('Variable Tasks'!J419="","Not Started",'Variable Tasks'!J419))</f>
        <v/>
      </c>
      <c r="BA1915">
        <f>'Variable Tasks'!L419&amp;""</f>
        <v/>
      </c>
      <c r="BB1915">
        <f>'Variable Tasks'!M419&amp;""</f>
        <v/>
      </c>
      <c r="BC1915">
        <f>'Variable Tasks'!N419&amp;""</f>
        <v/>
      </c>
      <c r="BD1915">
        <f>'Variable Tasks'!O419&amp;""</f>
        <v/>
      </c>
      <c r="BE1915">
        <f>IF('Variable Tasks'!K419="","",'Variable Tasks'!K419)</f>
        <v/>
      </c>
      <c r="BF1915">
        <f>IFERROR(MATCH(BA1915,Setup!$L$6:$L$9,0),5)</f>
        <v/>
      </c>
      <c r="BG1915">
        <f>IF(OR(AZ1915="Done",AZ1915="Cancelled"),1,0)</f>
        <v/>
      </c>
      <c r="BH1915">
        <f>IF(AND(AU1915&lt;&gt;"",ISNUMBER(AW1915)),1,0)</f>
        <v/>
      </c>
      <c r="BI1915">
        <f>IF(BH1915=0,0,IF(AND(AW1915&gt;='Tasks Filter'!$F$3,AW1915&lt;='Tasks Filter'!$F$4,OR('Tasks Filter'!$I$3="",ISNUMBER(SEARCH('Tasks Filter'!$I$3,AU1915))),OR('Tasks Filter'!$I$4="",BF1915=IFERROR(MATCH('Tasks Filter'!$I$4,Setup!$L$6:$L$9,0),0)),OR('Tasks Filter'!$I$5="Both",AND('Tasks Filter'!$I$5="Yes",BB1915="✓"),AND('Tasks Filter'!$I$5="No",BB1915&lt;&gt;"✓")),OR('Tasks Filter'!$L$3="",AV1915='Tasks Filter'!$L$3),OR('Tasks Filter'!$L$4="",AZ1915='Tasks Filter'!$L$4),OR('Tasks Filter'!$L$5="",BC1915='Tasks Filter'!$L$5),OR('Tasks Filter'!$O$3="",BD1915='Tasks Filter'!$O$3),OR('Tasks Filter'!$O$4="Yes",BG1915=0)),1,0))</f>
        <v/>
      </c>
      <c r="BJ1915">
        <f>IF(BH1915=0,"",IF('Tasks Filter'!$F$6="Descending",-1,1)*CHOOSE(MATCH('Tasks Filter'!$F$5,Lists!$G$2:$G$6,0),AW1915,BF1915,IFERROR(MATCH(AV1915,Setup!$F$6:$F$15,0),99),IFERROR(MATCH(BC1915,Setup!$H$6:$H$15,0),99),IFERROR(MATCH(AZ1915,Setup!$J$6:$J$11,0),99))*1E+9+(AW1915-40000)*10000+1914)</f>
        <v/>
      </c>
      <c r="BK1915">
        <f>IF(BI1915=1,BJ1915,"")</f>
        <v/>
      </c>
      <c r="BL1915">
        <f>IF(AND(BH1915=1,BG1915=0,N(AW1915)&lt;Setup!$D$7),(AW1915-40000)*10000+1914,"")</f>
        <v/>
      </c>
      <c r="BM1915">
        <f>IF(AND(BH1915=1,AZ1915&lt;&gt;"Cancelled",N(AW1915)&gt;=Dashboard!$AB$3,N(AW1915)&lt;=Dashboard!$AB$3+6),(AW1915-40000)*100000+BF1915*10000+1914,"")</f>
        <v/>
      </c>
      <c r="BN1915">
        <f>IF(AND(BH1915=1,AZ1915&lt;&gt;"Cancelled"),BF1915*10000+1914,"")</f>
        <v/>
      </c>
    </row>
    <row r="1916">
      <c r="AS1916" t="inlineStr">
        <is>
          <t>V</t>
        </is>
      </c>
      <c r="AT1916" t="n">
        <v>420</v>
      </c>
      <c r="AU1916">
        <f>'Variable Tasks'!C420&amp;""</f>
        <v/>
      </c>
      <c r="AV1916">
        <f>'Variable Tasks'!D420&amp;""</f>
        <v/>
      </c>
      <c r="AW1916">
        <f>IF('Variable Tasks'!E420="","",'Variable Tasks'!E420)</f>
        <v/>
      </c>
      <c r="AX1916">
        <f>IF('Variable Tasks'!G420="","",'Variable Tasks'!G420)</f>
        <v/>
      </c>
      <c r="AY1916">
        <f>IF('Variable Tasks'!H420="","",'Variable Tasks'!H420)</f>
        <v/>
      </c>
      <c r="AZ1916">
        <f>IF(AU1916="","",IF('Variable Tasks'!J420="","Not Started",'Variable Tasks'!J420))</f>
        <v/>
      </c>
      <c r="BA1916">
        <f>'Variable Tasks'!L420&amp;""</f>
        <v/>
      </c>
      <c r="BB1916">
        <f>'Variable Tasks'!M420&amp;""</f>
        <v/>
      </c>
      <c r="BC1916">
        <f>'Variable Tasks'!N420&amp;""</f>
        <v/>
      </c>
      <c r="BD1916">
        <f>'Variable Tasks'!O420&amp;""</f>
        <v/>
      </c>
      <c r="BE1916">
        <f>IF('Variable Tasks'!K420="","",'Variable Tasks'!K420)</f>
        <v/>
      </c>
      <c r="BF1916">
        <f>IFERROR(MATCH(BA1916,Setup!$L$6:$L$9,0),5)</f>
        <v/>
      </c>
      <c r="BG1916">
        <f>IF(OR(AZ1916="Done",AZ1916="Cancelled"),1,0)</f>
        <v/>
      </c>
      <c r="BH1916">
        <f>IF(AND(AU1916&lt;&gt;"",ISNUMBER(AW1916)),1,0)</f>
        <v/>
      </c>
      <c r="BI1916">
        <f>IF(BH1916=0,0,IF(AND(AW1916&gt;='Tasks Filter'!$F$3,AW1916&lt;='Tasks Filter'!$F$4,OR('Tasks Filter'!$I$3="",ISNUMBER(SEARCH('Tasks Filter'!$I$3,AU1916))),OR('Tasks Filter'!$I$4="",BF1916=IFERROR(MATCH('Tasks Filter'!$I$4,Setup!$L$6:$L$9,0),0)),OR('Tasks Filter'!$I$5="Both",AND('Tasks Filter'!$I$5="Yes",BB1916="✓"),AND('Tasks Filter'!$I$5="No",BB1916&lt;&gt;"✓")),OR('Tasks Filter'!$L$3="",AV1916='Tasks Filter'!$L$3),OR('Tasks Filter'!$L$4="",AZ1916='Tasks Filter'!$L$4),OR('Tasks Filter'!$L$5="",BC1916='Tasks Filter'!$L$5),OR('Tasks Filter'!$O$3="",BD1916='Tasks Filter'!$O$3),OR('Tasks Filter'!$O$4="Yes",BG1916=0)),1,0))</f>
        <v/>
      </c>
      <c r="BJ1916">
        <f>IF(BH1916=0,"",IF('Tasks Filter'!$F$6="Descending",-1,1)*CHOOSE(MATCH('Tasks Filter'!$F$5,Lists!$G$2:$G$6,0),AW1916,BF1916,IFERROR(MATCH(AV1916,Setup!$F$6:$F$15,0),99),IFERROR(MATCH(BC1916,Setup!$H$6:$H$15,0),99),IFERROR(MATCH(AZ1916,Setup!$J$6:$J$11,0),99))*1E+9+(AW1916-40000)*10000+1915)</f>
        <v/>
      </c>
      <c r="BK1916">
        <f>IF(BI1916=1,BJ1916,"")</f>
        <v/>
      </c>
      <c r="BL1916">
        <f>IF(AND(BH1916=1,BG1916=0,N(AW1916)&lt;Setup!$D$7),(AW1916-40000)*10000+1915,"")</f>
        <v/>
      </c>
      <c r="BM1916">
        <f>IF(AND(BH1916=1,AZ1916&lt;&gt;"Cancelled",N(AW1916)&gt;=Dashboard!$AB$3,N(AW1916)&lt;=Dashboard!$AB$3+6),(AW1916-40000)*100000+BF1916*10000+1915,"")</f>
        <v/>
      </c>
      <c r="BN1916">
        <f>IF(AND(BH1916=1,AZ1916&lt;&gt;"Cancelled"),BF1916*10000+1915,"")</f>
        <v/>
      </c>
    </row>
    <row r="1917">
      <c r="AS1917" t="inlineStr">
        <is>
          <t>V</t>
        </is>
      </c>
      <c r="AT1917" t="n">
        <v>421</v>
      </c>
      <c r="AU1917">
        <f>'Variable Tasks'!C421&amp;""</f>
        <v/>
      </c>
      <c r="AV1917">
        <f>'Variable Tasks'!D421&amp;""</f>
        <v/>
      </c>
      <c r="AW1917">
        <f>IF('Variable Tasks'!E421="","",'Variable Tasks'!E421)</f>
        <v/>
      </c>
      <c r="AX1917">
        <f>IF('Variable Tasks'!G421="","",'Variable Tasks'!G421)</f>
        <v/>
      </c>
      <c r="AY1917">
        <f>IF('Variable Tasks'!H421="","",'Variable Tasks'!H421)</f>
        <v/>
      </c>
      <c r="AZ1917">
        <f>IF(AU1917="","",IF('Variable Tasks'!J421="","Not Started",'Variable Tasks'!J421))</f>
        <v/>
      </c>
      <c r="BA1917">
        <f>'Variable Tasks'!L421&amp;""</f>
        <v/>
      </c>
      <c r="BB1917">
        <f>'Variable Tasks'!M421&amp;""</f>
        <v/>
      </c>
      <c r="BC1917">
        <f>'Variable Tasks'!N421&amp;""</f>
        <v/>
      </c>
      <c r="BD1917">
        <f>'Variable Tasks'!O421&amp;""</f>
        <v/>
      </c>
      <c r="BE1917">
        <f>IF('Variable Tasks'!K421="","",'Variable Tasks'!K421)</f>
        <v/>
      </c>
      <c r="BF1917">
        <f>IFERROR(MATCH(BA1917,Setup!$L$6:$L$9,0),5)</f>
        <v/>
      </c>
      <c r="BG1917">
        <f>IF(OR(AZ1917="Done",AZ1917="Cancelled"),1,0)</f>
        <v/>
      </c>
      <c r="BH1917">
        <f>IF(AND(AU1917&lt;&gt;"",ISNUMBER(AW1917)),1,0)</f>
        <v/>
      </c>
      <c r="BI1917">
        <f>IF(BH1917=0,0,IF(AND(AW1917&gt;='Tasks Filter'!$F$3,AW1917&lt;='Tasks Filter'!$F$4,OR('Tasks Filter'!$I$3="",ISNUMBER(SEARCH('Tasks Filter'!$I$3,AU1917))),OR('Tasks Filter'!$I$4="",BF1917=IFERROR(MATCH('Tasks Filter'!$I$4,Setup!$L$6:$L$9,0),0)),OR('Tasks Filter'!$I$5="Both",AND('Tasks Filter'!$I$5="Yes",BB1917="✓"),AND('Tasks Filter'!$I$5="No",BB1917&lt;&gt;"✓")),OR('Tasks Filter'!$L$3="",AV1917='Tasks Filter'!$L$3),OR('Tasks Filter'!$L$4="",AZ1917='Tasks Filter'!$L$4),OR('Tasks Filter'!$L$5="",BC1917='Tasks Filter'!$L$5),OR('Tasks Filter'!$O$3="",BD1917='Tasks Filter'!$O$3),OR('Tasks Filter'!$O$4="Yes",BG1917=0)),1,0))</f>
        <v/>
      </c>
      <c r="BJ1917">
        <f>IF(BH1917=0,"",IF('Tasks Filter'!$F$6="Descending",-1,1)*CHOOSE(MATCH('Tasks Filter'!$F$5,Lists!$G$2:$G$6,0),AW1917,BF1917,IFERROR(MATCH(AV1917,Setup!$F$6:$F$15,0),99),IFERROR(MATCH(BC1917,Setup!$H$6:$H$15,0),99),IFERROR(MATCH(AZ1917,Setup!$J$6:$J$11,0),99))*1E+9+(AW1917-40000)*10000+1916)</f>
        <v/>
      </c>
      <c r="BK1917">
        <f>IF(BI1917=1,BJ1917,"")</f>
        <v/>
      </c>
      <c r="BL1917">
        <f>IF(AND(BH1917=1,BG1917=0,N(AW1917)&lt;Setup!$D$7),(AW1917-40000)*10000+1916,"")</f>
        <v/>
      </c>
      <c r="BM1917">
        <f>IF(AND(BH1917=1,AZ1917&lt;&gt;"Cancelled",N(AW1917)&gt;=Dashboard!$AB$3,N(AW1917)&lt;=Dashboard!$AB$3+6),(AW1917-40000)*100000+BF1917*10000+1916,"")</f>
        <v/>
      </c>
      <c r="BN1917">
        <f>IF(AND(BH1917=1,AZ1917&lt;&gt;"Cancelled"),BF1917*10000+1916,"")</f>
        <v/>
      </c>
    </row>
    <row r="1918">
      <c r="AS1918" t="inlineStr">
        <is>
          <t>V</t>
        </is>
      </c>
      <c r="AT1918" t="n">
        <v>422</v>
      </c>
      <c r="AU1918">
        <f>'Variable Tasks'!C422&amp;""</f>
        <v/>
      </c>
      <c r="AV1918">
        <f>'Variable Tasks'!D422&amp;""</f>
        <v/>
      </c>
      <c r="AW1918">
        <f>IF('Variable Tasks'!E422="","",'Variable Tasks'!E422)</f>
        <v/>
      </c>
      <c r="AX1918">
        <f>IF('Variable Tasks'!G422="","",'Variable Tasks'!G422)</f>
        <v/>
      </c>
      <c r="AY1918">
        <f>IF('Variable Tasks'!H422="","",'Variable Tasks'!H422)</f>
        <v/>
      </c>
      <c r="AZ1918">
        <f>IF(AU1918="","",IF('Variable Tasks'!J422="","Not Started",'Variable Tasks'!J422))</f>
        <v/>
      </c>
      <c r="BA1918">
        <f>'Variable Tasks'!L422&amp;""</f>
        <v/>
      </c>
      <c r="BB1918">
        <f>'Variable Tasks'!M422&amp;""</f>
        <v/>
      </c>
      <c r="BC1918">
        <f>'Variable Tasks'!N422&amp;""</f>
        <v/>
      </c>
      <c r="BD1918">
        <f>'Variable Tasks'!O422&amp;""</f>
        <v/>
      </c>
      <c r="BE1918">
        <f>IF('Variable Tasks'!K422="","",'Variable Tasks'!K422)</f>
        <v/>
      </c>
      <c r="BF1918">
        <f>IFERROR(MATCH(BA1918,Setup!$L$6:$L$9,0),5)</f>
        <v/>
      </c>
      <c r="BG1918">
        <f>IF(OR(AZ1918="Done",AZ1918="Cancelled"),1,0)</f>
        <v/>
      </c>
      <c r="BH1918">
        <f>IF(AND(AU1918&lt;&gt;"",ISNUMBER(AW1918)),1,0)</f>
        <v/>
      </c>
      <c r="BI1918">
        <f>IF(BH1918=0,0,IF(AND(AW1918&gt;='Tasks Filter'!$F$3,AW1918&lt;='Tasks Filter'!$F$4,OR('Tasks Filter'!$I$3="",ISNUMBER(SEARCH('Tasks Filter'!$I$3,AU1918))),OR('Tasks Filter'!$I$4="",BF1918=IFERROR(MATCH('Tasks Filter'!$I$4,Setup!$L$6:$L$9,0),0)),OR('Tasks Filter'!$I$5="Both",AND('Tasks Filter'!$I$5="Yes",BB1918="✓"),AND('Tasks Filter'!$I$5="No",BB1918&lt;&gt;"✓")),OR('Tasks Filter'!$L$3="",AV1918='Tasks Filter'!$L$3),OR('Tasks Filter'!$L$4="",AZ1918='Tasks Filter'!$L$4),OR('Tasks Filter'!$L$5="",BC1918='Tasks Filter'!$L$5),OR('Tasks Filter'!$O$3="",BD1918='Tasks Filter'!$O$3),OR('Tasks Filter'!$O$4="Yes",BG1918=0)),1,0))</f>
        <v/>
      </c>
      <c r="BJ1918">
        <f>IF(BH1918=0,"",IF('Tasks Filter'!$F$6="Descending",-1,1)*CHOOSE(MATCH('Tasks Filter'!$F$5,Lists!$G$2:$G$6,0),AW1918,BF1918,IFERROR(MATCH(AV1918,Setup!$F$6:$F$15,0),99),IFERROR(MATCH(BC1918,Setup!$H$6:$H$15,0),99),IFERROR(MATCH(AZ1918,Setup!$J$6:$J$11,0),99))*1E+9+(AW1918-40000)*10000+1917)</f>
        <v/>
      </c>
      <c r="BK1918">
        <f>IF(BI1918=1,BJ1918,"")</f>
        <v/>
      </c>
      <c r="BL1918">
        <f>IF(AND(BH1918=1,BG1918=0,N(AW1918)&lt;Setup!$D$7),(AW1918-40000)*10000+1917,"")</f>
        <v/>
      </c>
      <c r="BM1918">
        <f>IF(AND(BH1918=1,AZ1918&lt;&gt;"Cancelled",N(AW1918)&gt;=Dashboard!$AB$3,N(AW1918)&lt;=Dashboard!$AB$3+6),(AW1918-40000)*100000+BF1918*10000+1917,"")</f>
        <v/>
      </c>
      <c r="BN1918">
        <f>IF(AND(BH1918=1,AZ1918&lt;&gt;"Cancelled"),BF1918*10000+1917,"")</f>
        <v/>
      </c>
    </row>
    <row r="1919">
      <c r="AS1919" t="inlineStr">
        <is>
          <t>V</t>
        </is>
      </c>
      <c r="AT1919" t="n">
        <v>423</v>
      </c>
      <c r="AU1919">
        <f>'Variable Tasks'!C423&amp;""</f>
        <v/>
      </c>
      <c r="AV1919">
        <f>'Variable Tasks'!D423&amp;""</f>
        <v/>
      </c>
      <c r="AW1919">
        <f>IF('Variable Tasks'!E423="","",'Variable Tasks'!E423)</f>
        <v/>
      </c>
      <c r="AX1919">
        <f>IF('Variable Tasks'!G423="","",'Variable Tasks'!G423)</f>
        <v/>
      </c>
      <c r="AY1919">
        <f>IF('Variable Tasks'!H423="","",'Variable Tasks'!H423)</f>
        <v/>
      </c>
      <c r="AZ1919">
        <f>IF(AU1919="","",IF('Variable Tasks'!J423="","Not Started",'Variable Tasks'!J423))</f>
        <v/>
      </c>
      <c r="BA1919">
        <f>'Variable Tasks'!L423&amp;""</f>
        <v/>
      </c>
      <c r="BB1919">
        <f>'Variable Tasks'!M423&amp;""</f>
        <v/>
      </c>
      <c r="BC1919">
        <f>'Variable Tasks'!N423&amp;""</f>
        <v/>
      </c>
      <c r="BD1919">
        <f>'Variable Tasks'!O423&amp;""</f>
        <v/>
      </c>
      <c r="BE1919">
        <f>IF('Variable Tasks'!K423="","",'Variable Tasks'!K423)</f>
        <v/>
      </c>
      <c r="BF1919">
        <f>IFERROR(MATCH(BA1919,Setup!$L$6:$L$9,0),5)</f>
        <v/>
      </c>
      <c r="BG1919">
        <f>IF(OR(AZ1919="Done",AZ1919="Cancelled"),1,0)</f>
        <v/>
      </c>
      <c r="BH1919">
        <f>IF(AND(AU1919&lt;&gt;"",ISNUMBER(AW1919)),1,0)</f>
        <v/>
      </c>
      <c r="BI1919">
        <f>IF(BH1919=0,0,IF(AND(AW1919&gt;='Tasks Filter'!$F$3,AW1919&lt;='Tasks Filter'!$F$4,OR('Tasks Filter'!$I$3="",ISNUMBER(SEARCH('Tasks Filter'!$I$3,AU1919))),OR('Tasks Filter'!$I$4="",BF1919=IFERROR(MATCH('Tasks Filter'!$I$4,Setup!$L$6:$L$9,0),0)),OR('Tasks Filter'!$I$5="Both",AND('Tasks Filter'!$I$5="Yes",BB1919="✓"),AND('Tasks Filter'!$I$5="No",BB1919&lt;&gt;"✓")),OR('Tasks Filter'!$L$3="",AV1919='Tasks Filter'!$L$3),OR('Tasks Filter'!$L$4="",AZ1919='Tasks Filter'!$L$4),OR('Tasks Filter'!$L$5="",BC1919='Tasks Filter'!$L$5),OR('Tasks Filter'!$O$3="",BD1919='Tasks Filter'!$O$3),OR('Tasks Filter'!$O$4="Yes",BG1919=0)),1,0))</f>
        <v/>
      </c>
      <c r="BJ1919">
        <f>IF(BH1919=0,"",IF('Tasks Filter'!$F$6="Descending",-1,1)*CHOOSE(MATCH('Tasks Filter'!$F$5,Lists!$G$2:$G$6,0),AW1919,BF1919,IFERROR(MATCH(AV1919,Setup!$F$6:$F$15,0),99),IFERROR(MATCH(BC1919,Setup!$H$6:$H$15,0),99),IFERROR(MATCH(AZ1919,Setup!$J$6:$J$11,0),99))*1E+9+(AW1919-40000)*10000+1918)</f>
        <v/>
      </c>
      <c r="BK1919">
        <f>IF(BI1919=1,BJ1919,"")</f>
        <v/>
      </c>
      <c r="BL1919">
        <f>IF(AND(BH1919=1,BG1919=0,N(AW1919)&lt;Setup!$D$7),(AW1919-40000)*10000+1918,"")</f>
        <v/>
      </c>
      <c r="BM1919">
        <f>IF(AND(BH1919=1,AZ1919&lt;&gt;"Cancelled",N(AW1919)&gt;=Dashboard!$AB$3,N(AW1919)&lt;=Dashboard!$AB$3+6),(AW1919-40000)*100000+BF1919*10000+1918,"")</f>
        <v/>
      </c>
      <c r="BN1919">
        <f>IF(AND(BH1919=1,AZ1919&lt;&gt;"Cancelled"),BF1919*10000+1918,"")</f>
        <v/>
      </c>
    </row>
    <row r="1920">
      <c r="AS1920" t="inlineStr">
        <is>
          <t>V</t>
        </is>
      </c>
      <c r="AT1920" t="n">
        <v>424</v>
      </c>
      <c r="AU1920">
        <f>'Variable Tasks'!C424&amp;""</f>
        <v/>
      </c>
      <c r="AV1920">
        <f>'Variable Tasks'!D424&amp;""</f>
        <v/>
      </c>
      <c r="AW1920">
        <f>IF('Variable Tasks'!E424="","",'Variable Tasks'!E424)</f>
        <v/>
      </c>
      <c r="AX1920">
        <f>IF('Variable Tasks'!G424="","",'Variable Tasks'!G424)</f>
        <v/>
      </c>
      <c r="AY1920">
        <f>IF('Variable Tasks'!H424="","",'Variable Tasks'!H424)</f>
        <v/>
      </c>
      <c r="AZ1920">
        <f>IF(AU1920="","",IF('Variable Tasks'!J424="","Not Started",'Variable Tasks'!J424))</f>
        <v/>
      </c>
      <c r="BA1920">
        <f>'Variable Tasks'!L424&amp;""</f>
        <v/>
      </c>
      <c r="BB1920">
        <f>'Variable Tasks'!M424&amp;""</f>
        <v/>
      </c>
      <c r="BC1920">
        <f>'Variable Tasks'!N424&amp;""</f>
        <v/>
      </c>
      <c r="BD1920">
        <f>'Variable Tasks'!O424&amp;""</f>
        <v/>
      </c>
      <c r="BE1920">
        <f>IF('Variable Tasks'!K424="","",'Variable Tasks'!K424)</f>
        <v/>
      </c>
      <c r="BF1920">
        <f>IFERROR(MATCH(BA1920,Setup!$L$6:$L$9,0),5)</f>
        <v/>
      </c>
      <c r="BG1920">
        <f>IF(OR(AZ1920="Done",AZ1920="Cancelled"),1,0)</f>
        <v/>
      </c>
      <c r="BH1920">
        <f>IF(AND(AU1920&lt;&gt;"",ISNUMBER(AW1920)),1,0)</f>
        <v/>
      </c>
      <c r="BI1920">
        <f>IF(BH1920=0,0,IF(AND(AW1920&gt;='Tasks Filter'!$F$3,AW1920&lt;='Tasks Filter'!$F$4,OR('Tasks Filter'!$I$3="",ISNUMBER(SEARCH('Tasks Filter'!$I$3,AU1920))),OR('Tasks Filter'!$I$4="",BF1920=IFERROR(MATCH('Tasks Filter'!$I$4,Setup!$L$6:$L$9,0),0)),OR('Tasks Filter'!$I$5="Both",AND('Tasks Filter'!$I$5="Yes",BB1920="✓"),AND('Tasks Filter'!$I$5="No",BB1920&lt;&gt;"✓")),OR('Tasks Filter'!$L$3="",AV1920='Tasks Filter'!$L$3),OR('Tasks Filter'!$L$4="",AZ1920='Tasks Filter'!$L$4),OR('Tasks Filter'!$L$5="",BC1920='Tasks Filter'!$L$5),OR('Tasks Filter'!$O$3="",BD1920='Tasks Filter'!$O$3),OR('Tasks Filter'!$O$4="Yes",BG1920=0)),1,0))</f>
        <v/>
      </c>
      <c r="BJ1920">
        <f>IF(BH1920=0,"",IF('Tasks Filter'!$F$6="Descending",-1,1)*CHOOSE(MATCH('Tasks Filter'!$F$5,Lists!$G$2:$G$6,0),AW1920,BF1920,IFERROR(MATCH(AV1920,Setup!$F$6:$F$15,0),99),IFERROR(MATCH(BC1920,Setup!$H$6:$H$15,0),99),IFERROR(MATCH(AZ1920,Setup!$J$6:$J$11,0),99))*1E+9+(AW1920-40000)*10000+1919)</f>
        <v/>
      </c>
      <c r="BK1920">
        <f>IF(BI1920=1,BJ1920,"")</f>
        <v/>
      </c>
      <c r="BL1920">
        <f>IF(AND(BH1920=1,BG1920=0,N(AW1920)&lt;Setup!$D$7),(AW1920-40000)*10000+1919,"")</f>
        <v/>
      </c>
      <c r="BM1920">
        <f>IF(AND(BH1920=1,AZ1920&lt;&gt;"Cancelled",N(AW1920)&gt;=Dashboard!$AB$3,N(AW1920)&lt;=Dashboard!$AB$3+6),(AW1920-40000)*100000+BF1920*10000+1919,"")</f>
        <v/>
      </c>
      <c r="BN1920">
        <f>IF(AND(BH1920=1,AZ1920&lt;&gt;"Cancelled"),BF1920*10000+1919,"")</f>
        <v/>
      </c>
    </row>
    <row r="1921">
      <c r="AS1921" t="inlineStr">
        <is>
          <t>V</t>
        </is>
      </c>
      <c r="AT1921" t="n">
        <v>425</v>
      </c>
      <c r="AU1921">
        <f>'Variable Tasks'!C425&amp;""</f>
        <v/>
      </c>
      <c r="AV1921">
        <f>'Variable Tasks'!D425&amp;""</f>
        <v/>
      </c>
      <c r="AW1921">
        <f>IF('Variable Tasks'!E425="","",'Variable Tasks'!E425)</f>
        <v/>
      </c>
      <c r="AX1921">
        <f>IF('Variable Tasks'!G425="","",'Variable Tasks'!G425)</f>
        <v/>
      </c>
      <c r="AY1921">
        <f>IF('Variable Tasks'!H425="","",'Variable Tasks'!H425)</f>
        <v/>
      </c>
      <c r="AZ1921">
        <f>IF(AU1921="","",IF('Variable Tasks'!J425="","Not Started",'Variable Tasks'!J425))</f>
        <v/>
      </c>
      <c r="BA1921">
        <f>'Variable Tasks'!L425&amp;""</f>
        <v/>
      </c>
      <c r="BB1921">
        <f>'Variable Tasks'!M425&amp;""</f>
        <v/>
      </c>
      <c r="BC1921">
        <f>'Variable Tasks'!N425&amp;""</f>
        <v/>
      </c>
      <c r="BD1921">
        <f>'Variable Tasks'!O425&amp;""</f>
        <v/>
      </c>
      <c r="BE1921">
        <f>IF('Variable Tasks'!K425="","",'Variable Tasks'!K425)</f>
        <v/>
      </c>
      <c r="BF1921">
        <f>IFERROR(MATCH(BA1921,Setup!$L$6:$L$9,0),5)</f>
        <v/>
      </c>
      <c r="BG1921">
        <f>IF(OR(AZ1921="Done",AZ1921="Cancelled"),1,0)</f>
        <v/>
      </c>
      <c r="BH1921">
        <f>IF(AND(AU1921&lt;&gt;"",ISNUMBER(AW1921)),1,0)</f>
        <v/>
      </c>
      <c r="BI1921">
        <f>IF(BH1921=0,0,IF(AND(AW1921&gt;='Tasks Filter'!$F$3,AW1921&lt;='Tasks Filter'!$F$4,OR('Tasks Filter'!$I$3="",ISNUMBER(SEARCH('Tasks Filter'!$I$3,AU1921))),OR('Tasks Filter'!$I$4="",BF1921=IFERROR(MATCH('Tasks Filter'!$I$4,Setup!$L$6:$L$9,0),0)),OR('Tasks Filter'!$I$5="Both",AND('Tasks Filter'!$I$5="Yes",BB1921="✓"),AND('Tasks Filter'!$I$5="No",BB1921&lt;&gt;"✓")),OR('Tasks Filter'!$L$3="",AV1921='Tasks Filter'!$L$3),OR('Tasks Filter'!$L$4="",AZ1921='Tasks Filter'!$L$4),OR('Tasks Filter'!$L$5="",BC1921='Tasks Filter'!$L$5),OR('Tasks Filter'!$O$3="",BD1921='Tasks Filter'!$O$3),OR('Tasks Filter'!$O$4="Yes",BG1921=0)),1,0))</f>
        <v/>
      </c>
      <c r="BJ1921">
        <f>IF(BH1921=0,"",IF('Tasks Filter'!$F$6="Descending",-1,1)*CHOOSE(MATCH('Tasks Filter'!$F$5,Lists!$G$2:$G$6,0),AW1921,BF1921,IFERROR(MATCH(AV1921,Setup!$F$6:$F$15,0),99),IFERROR(MATCH(BC1921,Setup!$H$6:$H$15,0),99),IFERROR(MATCH(AZ1921,Setup!$J$6:$J$11,0),99))*1E+9+(AW1921-40000)*10000+1920)</f>
        <v/>
      </c>
      <c r="BK1921">
        <f>IF(BI1921=1,BJ1921,"")</f>
        <v/>
      </c>
      <c r="BL1921">
        <f>IF(AND(BH1921=1,BG1921=0,N(AW1921)&lt;Setup!$D$7),(AW1921-40000)*10000+1920,"")</f>
        <v/>
      </c>
      <c r="BM1921">
        <f>IF(AND(BH1921=1,AZ1921&lt;&gt;"Cancelled",N(AW1921)&gt;=Dashboard!$AB$3,N(AW1921)&lt;=Dashboard!$AB$3+6),(AW1921-40000)*100000+BF1921*10000+1920,"")</f>
        <v/>
      </c>
      <c r="BN1921">
        <f>IF(AND(BH1921=1,AZ1921&lt;&gt;"Cancelled"),BF1921*10000+1920,"")</f>
        <v/>
      </c>
    </row>
    <row r="1922">
      <c r="AS1922" t="inlineStr">
        <is>
          <t>V</t>
        </is>
      </c>
      <c r="AT1922" t="n">
        <v>426</v>
      </c>
      <c r="AU1922">
        <f>'Variable Tasks'!C426&amp;""</f>
        <v/>
      </c>
      <c r="AV1922">
        <f>'Variable Tasks'!D426&amp;""</f>
        <v/>
      </c>
      <c r="AW1922">
        <f>IF('Variable Tasks'!E426="","",'Variable Tasks'!E426)</f>
        <v/>
      </c>
      <c r="AX1922">
        <f>IF('Variable Tasks'!G426="","",'Variable Tasks'!G426)</f>
        <v/>
      </c>
      <c r="AY1922">
        <f>IF('Variable Tasks'!H426="","",'Variable Tasks'!H426)</f>
        <v/>
      </c>
      <c r="AZ1922">
        <f>IF(AU1922="","",IF('Variable Tasks'!J426="","Not Started",'Variable Tasks'!J426))</f>
        <v/>
      </c>
      <c r="BA1922">
        <f>'Variable Tasks'!L426&amp;""</f>
        <v/>
      </c>
      <c r="BB1922">
        <f>'Variable Tasks'!M426&amp;""</f>
        <v/>
      </c>
      <c r="BC1922">
        <f>'Variable Tasks'!N426&amp;""</f>
        <v/>
      </c>
      <c r="BD1922">
        <f>'Variable Tasks'!O426&amp;""</f>
        <v/>
      </c>
      <c r="BE1922">
        <f>IF('Variable Tasks'!K426="","",'Variable Tasks'!K426)</f>
        <v/>
      </c>
      <c r="BF1922">
        <f>IFERROR(MATCH(BA1922,Setup!$L$6:$L$9,0),5)</f>
        <v/>
      </c>
      <c r="BG1922">
        <f>IF(OR(AZ1922="Done",AZ1922="Cancelled"),1,0)</f>
        <v/>
      </c>
      <c r="BH1922">
        <f>IF(AND(AU1922&lt;&gt;"",ISNUMBER(AW1922)),1,0)</f>
        <v/>
      </c>
      <c r="BI1922">
        <f>IF(BH1922=0,0,IF(AND(AW1922&gt;='Tasks Filter'!$F$3,AW1922&lt;='Tasks Filter'!$F$4,OR('Tasks Filter'!$I$3="",ISNUMBER(SEARCH('Tasks Filter'!$I$3,AU1922))),OR('Tasks Filter'!$I$4="",BF1922=IFERROR(MATCH('Tasks Filter'!$I$4,Setup!$L$6:$L$9,0),0)),OR('Tasks Filter'!$I$5="Both",AND('Tasks Filter'!$I$5="Yes",BB1922="✓"),AND('Tasks Filter'!$I$5="No",BB1922&lt;&gt;"✓")),OR('Tasks Filter'!$L$3="",AV1922='Tasks Filter'!$L$3),OR('Tasks Filter'!$L$4="",AZ1922='Tasks Filter'!$L$4),OR('Tasks Filter'!$L$5="",BC1922='Tasks Filter'!$L$5),OR('Tasks Filter'!$O$3="",BD1922='Tasks Filter'!$O$3),OR('Tasks Filter'!$O$4="Yes",BG1922=0)),1,0))</f>
        <v/>
      </c>
      <c r="BJ1922">
        <f>IF(BH1922=0,"",IF('Tasks Filter'!$F$6="Descending",-1,1)*CHOOSE(MATCH('Tasks Filter'!$F$5,Lists!$G$2:$G$6,0),AW1922,BF1922,IFERROR(MATCH(AV1922,Setup!$F$6:$F$15,0),99),IFERROR(MATCH(BC1922,Setup!$H$6:$H$15,0),99),IFERROR(MATCH(AZ1922,Setup!$J$6:$J$11,0),99))*1E+9+(AW1922-40000)*10000+1921)</f>
        <v/>
      </c>
      <c r="BK1922">
        <f>IF(BI1922=1,BJ1922,"")</f>
        <v/>
      </c>
      <c r="BL1922">
        <f>IF(AND(BH1922=1,BG1922=0,N(AW1922)&lt;Setup!$D$7),(AW1922-40000)*10000+1921,"")</f>
        <v/>
      </c>
      <c r="BM1922">
        <f>IF(AND(BH1922=1,AZ1922&lt;&gt;"Cancelled",N(AW1922)&gt;=Dashboard!$AB$3,N(AW1922)&lt;=Dashboard!$AB$3+6),(AW1922-40000)*100000+BF1922*10000+1921,"")</f>
        <v/>
      </c>
      <c r="BN1922">
        <f>IF(AND(BH1922=1,AZ1922&lt;&gt;"Cancelled"),BF1922*10000+1921,"")</f>
        <v/>
      </c>
    </row>
    <row r="1923">
      <c r="AS1923" t="inlineStr">
        <is>
          <t>V</t>
        </is>
      </c>
      <c r="AT1923" t="n">
        <v>427</v>
      </c>
      <c r="AU1923">
        <f>'Variable Tasks'!C427&amp;""</f>
        <v/>
      </c>
      <c r="AV1923">
        <f>'Variable Tasks'!D427&amp;""</f>
        <v/>
      </c>
      <c r="AW1923">
        <f>IF('Variable Tasks'!E427="","",'Variable Tasks'!E427)</f>
        <v/>
      </c>
      <c r="AX1923">
        <f>IF('Variable Tasks'!G427="","",'Variable Tasks'!G427)</f>
        <v/>
      </c>
      <c r="AY1923">
        <f>IF('Variable Tasks'!H427="","",'Variable Tasks'!H427)</f>
        <v/>
      </c>
      <c r="AZ1923">
        <f>IF(AU1923="","",IF('Variable Tasks'!J427="","Not Started",'Variable Tasks'!J427))</f>
        <v/>
      </c>
      <c r="BA1923">
        <f>'Variable Tasks'!L427&amp;""</f>
        <v/>
      </c>
      <c r="BB1923">
        <f>'Variable Tasks'!M427&amp;""</f>
        <v/>
      </c>
      <c r="BC1923">
        <f>'Variable Tasks'!N427&amp;""</f>
        <v/>
      </c>
      <c r="BD1923">
        <f>'Variable Tasks'!O427&amp;""</f>
        <v/>
      </c>
      <c r="BE1923">
        <f>IF('Variable Tasks'!K427="","",'Variable Tasks'!K427)</f>
        <v/>
      </c>
      <c r="BF1923">
        <f>IFERROR(MATCH(BA1923,Setup!$L$6:$L$9,0),5)</f>
        <v/>
      </c>
      <c r="BG1923">
        <f>IF(OR(AZ1923="Done",AZ1923="Cancelled"),1,0)</f>
        <v/>
      </c>
      <c r="BH1923">
        <f>IF(AND(AU1923&lt;&gt;"",ISNUMBER(AW1923)),1,0)</f>
        <v/>
      </c>
      <c r="BI1923">
        <f>IF(BH1923=0,0,IF(AND(AW1923&gt;='Tasks Filter'!$F$3,AW1923&lt;='Tasks Filter'!$F$4,OR('Tasks Filter'!$I$3="",ISNUMBER(SEARCH('Tasks Filter'!$I$3,AU1923))),OR('Tasks Filter'!$I$4="",BF1923=IFERROR(MATCH('Tasks Filter'!$I$4,Setup!$L$6:$L$9,0),0)),OR('Tasks Filter'!$I$5="Both",AND('Tasks Filter'!$I$5="Yes",BB1923="✓"),AND('Tasks Filter'!$I$5="No",BB1923&lt;&gt;"✓")),OR('Tasks Filter'!$L$3="",AV1923='Tasks Filter'!$L$3),OR('Tasks Filter'!$L$4="",AZ1923='Tasks Filter'!$L$4),OR('Tasks Filter'!$L$5="",BC1923='Tasks Filter'!$L$5),OR('Tasks Filter'!$O$3="",BD1923='Tasks Filter'!$O$3),OR('Tasks Filter'!$O$4="Yes",BG1923=0)),1,0))</f>
        <v/>
      </c>
      <c r="BJ1923">
        <f>IF(BH1923=0,"",IF('Tasks Filter'!$F$6="Descending",-1,1)*CHOOSE(MATCH('Tasks Filter'!$F$5,Lists!$G$2:$G$6,0),AW1923,BF1923,IFERROR(MATCH(AV1923,Setup!$F$6:$F$15,0),99),IFERROR(MATCH(BC1923,Setup!$H$6:$H$15,0),99),IFERROR(MATCH(AZ1923,Setup!$J$6:$J$11,0),99))*1E+9+(AW1923-40000)*10000+1922)</f>
        <v/>
      </c>
      <c r="BK1923">
        <f>IF(BI1923=1,BJ1923,"")</f>
        <v/>
      </c>
      <c r="BL1923">
        <f>IF(AND(BH1923=1,BG1923=0,N(AW1923)&lt;Setup!$D$7),(AW1923-40000)*10000+1922,"")</f>
        <v/>
      </c>
      <c r="BM1923">
        <f>IF(AND(BH1923=1,AZ1923&lt;&gt;"Cancelled",N(AW1923)&gt;=Dashboard!$AB$3,N(AW1923)&lt;=Dashboard!$AB$3+6),(AW1923-40000)*100000+BF1923*10000+1922,"")</f>
        <v/>
      </c>
      <c r="BN1923">
        <f>IF(AND(BH1923=1,AZ1923&lt;&gt;"Cancelled"),BF1923*10000+1922,"")</f>
        <v/>
      </c>
    </row>
    <row r="1924">
      <c r="AS1924" t="inlineStr">
        <is>
          <t>V</t>
        </is>
      </c>
      <c r="AT1924" t="n">
        <v>428</v>
      </c>
      <c r="AU1924">
        <f>'Variable Tasks'!C428&amp;""</f>
        <v/>
      </c>
      <c r="AV1924">
        <f>'Variable Tasks'!D428&amp;""</f>
        <v/>
      </c>
      <c r="AW1924">
        <f>IF('Variable Tasks'!E428="","",'Variable Tasks'!E428)</f>
        <v/>
      </c>
      <c r="AX1924">
        <f>IF('Variable Tasks'!G428="","",'Variable Tasks'!G428)</f>
        <v/>
      </c>
      <c r="AY1924">
        <f>IF('Variable Tasks'!H428="","",'Variable Tasks'!H428)</f>
        <v/>
      </c>
      <c r="AZ1924">
        <f>IF(AU1924="","",IF('Variable Tasks'!J428="","Not Started",'Variable Tasks'!J428))</f>
        <v/>
      </c>
      <c r="BA1924">
        <f>'Variable Tasks'!L428&amp;""</f>
        <v/>
      </c>
      <c r="BB1924">
        <f>'Variable Tasks'!M428&amp;""</f>
        <v/>
      </c>
      <c r="BC1924">
        <f>'Variable Tasks'!N428&amp;""</f>
        <v/>
      </c>
      <c r="BD1924">
        <f>'Variable Tasks'!O428&amp;""</f>
        <v/>
      </c>
      <c r="BE1924">
        <f>IF('Variable Tasks'!K428="","",'Variable Tasks'!K428)</f>
        <v/>
      </c>
      <c r="BF1924">
        <f>IFERROR(MATCH(BA1924,Setup!$L$6:$L$9,0),5)</f>
        <v/>
      </c>
      <c r="BG1924">
        <f>IF(OR(AZ1924="Done",AZ1924="Cancelled"),1,0)</f>
        <v/>
      </c>
      <c r="BH1924">
        <f>IF(AND(AU1924&lt;&gt;"",ISNUMBER(AW1924)),1,0)</f>
        <v/>
      </c>
      <c r="BI1924">
        <f>IF(BH1924=0,0,IF(AND(AW1924&gt;='Tasks Filter'!$F$3,AW1924&lt;='Tasks Filter'!$F$4,OR('Tasks Filter'!$I$3="",ISNUMBER(SEARCH('Tasks Filter'!$I$3,AU1924))),OR('Tasks Filter'!$I$4="",BF1924=IFERROR(MATCH('Tasks Filter'!$I$4,Setup!$L$6:$L$9,0),0)),OR('Tasks Filter'!$I$5="Both",AND('Tasks Filter'!$I$5="Yes",BB1924="✓"),AND('Tasks Filter'!$I$5="No",BB1924&lt;&gt;"✓")),OR('Tasks Filter'!$L$3="",AV1924='Tasks Filter'!$L$3),OR('Tasks Filter'!$L$4="",AZ1924='Tasks Filter'!$L$4),OR('Tasks Filter'!$L$5="",BC1924='Tasks Filter'!$L$5),OR('Tasks Filter'!$O$3="",BD1924='Tasks Filter'!$O$3),OR('Tasks Filter'!$O$4="Yes",BG1924=0)),1,0))</f>
        <v/>
      </c>
      <c r="BJ1924">
        <f>IF(BH1924=0,"",IF('Tasks Filter'!$F$6="Descending",-1,1)*CHOOSE(MATCH('Tasks Filter'!$F$5,Lists!$G$2:$G$6,0),AW1924,BF1924,IFERROR(MATCH(AV1924,Setup!$F$6:$F$15,0),99),IFERROR(MATCH(BC1924,Setup!$H$6:$H$15,0),99),IFERROR(MATCH(AZ1924,Setup!$J$6:$J$11,0),99))*1E+9+(AW1924-40000)*10000+1923)</f>
        <v/>
      </c>
      <c r="BK1924">
        <f>IF(BI1924=1,BJ1924,"")</f>
        <v/>
      </c>
      <c r="BL1924">
        <f>IF(AND(BH1924=1,BG1924=0,N(AW1924)&lt;Setup!$D$7),(AW1924-40000)*10000+1923,"")</f>
        <v/>
      </c>
      <c r="BM1924">
        <f>IF(AND(BH1924=1,AZ1924&lt;&gt;"Cancelled",N(AW1924)&gt;=Dashboard!$AB$3,N(AW1924)&lt;=Dashboard!$AB$3+6),(AW1924-40000)*100000+BF1924*10000+1923,"")</f>
        <v/>
      </c>
      <c r="BN1924">
        <f>IF(AND(BH1924=1,AZ1924&lt;&gt;"Cancelled"),BF1924*10000+1923,"")</f>
        <v/>
      </c>
    </row>
    <row r="1925">
      <c r="AS1925" t="inlineStr">
        <is>
          <t>V</t>
        </is>
      </c>
      <c r="AT1925" t="n">
        <v>429</v>
      </c>
      <c r="AU1925">
        <f>'Variable Tasks'!C429&amp;""</f>
        <v/>
      </c>
      <c r="AV1925">
        <f>'Variable Tasks'!D429&amp;""</f>
        <v/>
      </c>
      <c r="AW1925">
        <f>IF('Variable Tasks'!E429="","",'Variable Tasks'!E429)</f>
        <v/>
      </c>
      <c r="AX1925">
        <f>IF('Variable Tasks'!G429="","",'Variable Tasks'!G429)</f>
        <v/>
      </c>
      <c r="AY1925">
        <f>IF('Variable Tasks'!H429="","",'Variable Tasks'!H429)</f>
        <v/>
      </c>
      <c r="AZ1925">
        <f>IF(AU1925="","",IF('Variable Tasks'!J429="","Not Started",'Variable Tasks'!J429))</f>
        <v/>
      </c>
      <c r="BA1925">
        <f>'Variable Tasks'!L429&amp;""</f>
        <v/>
      </c>
      <c r="BB1925">
        <f>'Variable Tasks'!M429&amp;""</f>
        <v/>
      </c>
      <c r="BC1925">
        <f>'Variable Tasks'!N429&amp;""</f>
        <v/>
      </c>
      <c r="BD1925">
        <f>'Variable Tasks'!O429&amp;""</f>
        <v/>
      </c>
      <c r="BE1925">
        <f>IF('Variable Tasks'!K429="","",'Variable Tasks'!K429)</f>
        <v/>
      </c>
      <c r="BF1925">
        <f>IFERROR(MATCH(BA1925,Setup!$L$6:$L$9,0),5)</f>
        <v/>
      </c>
      <c r="BG1925">
        <f>IF(OR(AZ1925="Done",AZ1925="Cancelled"),1,0)</f>
        <v/>
      </c>
      <c r="BH1925">
        <f>IF(AND(AU1925&lt;&gt;"",ISNUMBER(AW1925)),1,0)</f>
        <v/>
      </c>
      <c r="BI1925">
        <f>IF(BH1925=0,0,IF(AND(AW1925&gt;='Tasks Filter'!$F$3,AW1925&lt;='Tasks Filter'!$F$4,OR('Tasks Filter'!$I$3="",ISNUMBER(SEARCH('Tasks Filter'!$I$3,AU1925))),OR('Tasks Filter'!$I$4="",BF1925=IFERROR(MATCH('Tasks Filter'!$I$4,Setup!$L$6:$L$9,0),0)),OR('Tasks Filter'!$I$5="Both",AND('Tasks Filter'!$I$5="Yes",BB1925="✓"),AND('Tasks Filter'!$I$5="No",BB1925&lt;&gt;"✓")),OR('Tasks Filter'!$L$3="",AV1925='Tasks Filter'!$L$3),OR('Tasks Filter'!$L$4="",AZ1925='Tasks Filter'!$L$4),OR('Tasks Filter'!$L$5="",BC1925='Tasks Filter'!$L$5),OR('Tasks Filter'!$O$3="",BD1925='Tasks Filter'!$O$3),OR('Tasks Filter'!$O$4="Yes",BG1925=0)),1,0))</f>
        <v/>
      </c>
      <c r="BJ1925">
        <f>IF(BH1925=0,"",IF('Tasks Filter'!$F$6="Descending",-1,1)*CHOOSE(MATCH('Tasks Filter'!$F$5,Lists!$G$2:$G$6,0),AW1925,BF1925,IFERROR(MATCH(AV1925,Setup!$F$6:$F$15,0),99),IFERROR(MATCH(BC1925,Setup!$H$6:$H$15,0),99),IFERROR(MATCH(AZ1925,Setup!$J$6:$J$11,0),99))*1E+9+(AW1925-40000)*10000+1924)</f>
        <v/>
      </c>
      <c r="BK1925">
        <f>IF(BI1925=1,BJ1925,"")</f>
        <v/>
      </c>
      <c r="BL1925">
        <f>IF(AND(BH1925=1,BG1925=0,N(AW1925)&lt;Setup!$D$7),(AW1925-40000)*10000+1924,"")</f>
        <v/>
      </c>
      <c r="BM1925">
        <f>IF(AND(BH1925=1,AZ1925&lt;&gt;"Cancelled",N(AW1925)&gt;=Dashboard!$AB$3,N(AW1925)&lt;=Dashboard!$AB$3+6),(AW1925-40000)*100000+BF1925*10000+1924,"")</f>
        <v/>
      </c>
      <c r="BN1925">
        <f>IF(AND(BH1925=1,AZ1925&lt;&gt;"Cancelled"),BF1925*10000+1924,"")</f>
        <v/>
      </c>
    </row>
    <row r="1926">
      <c r="AS1926" t="inlineStr">
        <is>
          <t>V</t>
        </is>
      </c>
      <c r="AT1926" t="n">
        <v>430</v>
      </c>
      <c r="AU1926">
        <f>'Variable Tasks'!C430&amp;""</f>
        <v/>
      </c>
      <c r="AV1926">
        <f>'Variable Tasks'!D430&amp;""</f>
        <v/>
      </c>
      <c r="AW1926">
        <f>IF('Variable Tasks'!E430="","",'Variable Tasks'!E430)</f>
        <v/>
      </c>
      <c r="AX1926">
        <f>IF('Variable Tasks'!G430="","",'Variable Tasks'!G430)</f>
        <v/>
      </c>
      <c r="AY1926">
        <f>IF('Variable Tasks'!H430="","",'Variable Tasks'!H430)</f>
        <v/>
      </c>
      <c r="AZ1926">
        <f>IF(AU1926="","",IF('Variable Tasks'!J430="","Not Started",'Variable Tasks'!J430))</f>
        <v/>
      </c>
      <c r="BA1926">
        <f>'Variable Tasks'!L430&amp;""</f>
        <v/>
      </c>
      <c r="BB1926">
        <f>'Variable Tasks'!M430&amp;""</f>
        <v/>
      </c>
      <c r="BC1926">
        <f>'Variable Tasks'!N430&amp;""</f>
        <v/>
      </c>
      <c r="BD1926">
        <f>'Variable Tasks'!O430&amp;""</f>
        <v/>
      </c>
      <c r="BE1926">
        <f>IF('Variable Tasks'!K430="","",'Variable Tasks'!K430)</f>
        <v/>
      </c>
      <c r="BF1926">
        <f>IFERROR(MATCH(BA1926,Setup!$L$6:$L$9,0),5)</f>
        <v/>
      </c>
      <c r="BG1926">
        <f>IF(OR(AZ1926="Done",AZ1926="Cancelled"),1,0)</f>
        <v/>
      </c>
      <c r="BH1926">
        <f>IF(AND(AU1926&lt;&gt;"",ISNUMBER(AW1926)),1,0)</f>
        <v/>
      </c>
      <c r="BI1926">
        <f>IF(BH1926=0,0,IF(AND(AW1926&gt;='Tasks Filter'!$F$3,AW1926&lt;='Tasks Filter'!$F$4,OR('Tasks Filter'!$I$3="",ISNUMBER(SEARCH('Tasks Filter'!$I$3,AU1926))),OR('Tasks Filter'!$I$4="",BF1926=IFERROR(MATCH('Tasks Filter'!$I$4,Setup!$L$6:$L$9,0),0)),OR('Tasks Filter'!$I$5="Both",AND('Tasks Filter'!$I$5="Yes",BB1926="✓"),AND('Tasks Filter'!$I$5="No",BB1926&lt;&gt;"✓")),OR('Tasks Filter'!$L$3="",AV1926='Tasks Filter'!$L$3),OR('Tasks Filter'!$L$4="",AZ1926='Tasks Filter'!$L$4),OR('Tasks Filter'!$L$5="",BC1926='Tasks Filter'!$L$5),OR('Tasks Filter'!$O$3="",BD1926='Tasks Filter'!$O$3),OR('Tasks Filter'!$O$4="Yes",BG1926=0)),1,0))</f>
        <v/>
      </c>
      <c r="BJ1926">
        <f>IF(BH1926=0,"",IF('Tasks Filter'!$F$6="Descending",-1,1)*CHOOSE(MATCH('Tasks Filter'!$F$5,Lists!$G$2:$G$6,0),AW1926,BF1926,IFERROR(MATCH(AV1926,Setup!$F$6:$F$15,0),99),IFERROR(MATCH(BC1926,Setup!$H$6:$H$15,0),99),IFERROR(MATCH(AZ1926,Setup!$J$6:$J$11,0),99))*1E+9+(AW1926-40000)*10000+1925)</f>
        <v/>
      </c>
      <c r="BK1926">
        <f>IF(BI1926=1,BJ1926,"")</f>
        <v/>
      </c>
      <c r="BL1926">
        <f>IF(AND(BH1926=1,BG1926=0,N(AW1926)&lt;Setup!$D$7),(AW1926-40000)*10000+1925,"")</f>
        <v/>
      </c>
      <c r="BM1926">
        <f>IF(AND(BH1926=1,AZ1926&lt;&gt;"Cancelled",N(AW1926)&gt;=Dashboard!$AB$3,N(AW1926)&lt;=Dashboard!$AB$3+6),(AW1926-40000)*100000+BF1926*10000+1925,"")</f>
        <v/>
      </c>
      <c r="BN1926">
        <f>IF(AND(BH1926=1,AZ1926&lt;&gt;"Cancelled"),BF1926*10000+1925,"")</f>
        <v/>
      </c>
    </row>
    <row r="1927">
      <c r="AS1927" t="inlineStr">
        <is>
          <t>V</t>
        </is>
      </c>
      <c r="AT1927" t="n">
        <v>431</v>
      </c>
      <c r="AU1927">
        <f>'Variable Tasks'!C431&amp;""</f>
        <v/>
      </c>
      <c r="AV1927">
        <f>'Variable Tasks'!D431&amp;""</f>
        <v/>
      </c>
      <c r="AW1927">
        <f>IF('Variable Tasks'!E431="","",'Variable Tasks'!E431)</f>
        <v/>
      </c>
      <c r="AX1927">
        <f>IF('Variable Tasks'!G431="","",'Variable Tasks'!G431)</f>
        <v/>
      </c>
      <c r="AY1927">
        <f>IF('Variable Tasks'!H431="","",'Variable Tasks'!H431)</f>
        <v/>
      </c>
      <c r="AZ1927">
        <f>IF(AU1927="","",IF('Variable Tasks'!J431="","Not Started",'Variable Tasks'!J431))</f>
        <v/>
      </c>
      <c r="BA1927">
        <f>'Variable Tasks'!L431&amp;""</f>
        <v/>
      </c>
      <c r="BB1927">
        <f>'Variable Tasks'!M431&amp;""</f>
        <v/>
      </c>
      <c r="BC1927">
        <f>'Variable Tasks'!N431&amp;""</f>
        <v/>
      </c>
      <c r="BD1927">
        <f>'Variable Tasks'!O431&amp;""</f>
        <v/>
      </c>
      <c r="BE1927">
        <f>IF('Variable Tasks'!K431="","",'Variable Tasks'!K431)</f>
        <v/>
      </c>
      <c r="BF1927">
        <f>IFERROR(MATCH(BA1927,Setup!$L$6:$L$9,0),5)</f>
        <v/>
      </c>
      <c r="BG1927">
        <f>IF(OR(AZ1927="Done",AZ1927="Cancelled"),1,0)</f>
        <v/>
      </c>
      <c r="BH1927">
        <f>IF(AND(AU1927&lt;&gt;"",ISNUMBER(AW1927)),1,0)</f>
        <v/>
      </c>
      <c r="BI1927">
        <f>IF(BH1927=0,0,IF(AND(AW1927&gt;='Tasks Filter'!$F$3,AW1927&lt;='Tasks Filter'!$F$4,OR('Tasks Filter'!$I$3="",ISNUMBER(SEARCH('Tasks Filter'!$I$3,AU1927))),OR('Tasks Filter'!$I$4="",BF1927=IFERROR(MATCH('Tasks Filter'!$I$4,Setup!$L$6:$L$9,0),0)),OR('Tasks Filter'!$I$5="Both",AND('Tasks Filter'!$I$5="Yes",BB1927="✓"),AND('Tasks Filter'!$I$5="No",BB1927&lt;&gt;"✓")),OR('Tasks Filter'!$L$3="",AV1927='Tasks Filter'!$L$3),OR('Tasks Filter'!$L$4="",AZ1927='Tasks Filter'!$L$4),OR('Tasks Filter'!$L$5="",BC1927='Tasks Filter'!$L$5),OR('Tasks Filter'!$O$3="",BD1927='Tasks Filter'!$O$3),OR('Tasks Filter'!$O$4="Yes",BG1927=0)),1,0))</f>
        <v/>
      </c>
      <c r="BJ1927">
        <f>IF(BH1927=0,"",IF('Tasks Filter'!$F$6="Descending",-1,1)*CHOOSE(MATCH('Tasks Filter'!$F$5,Lists!$G$2:$G$6,0),AW1927,BF1927,IFERROR(MATCH(AV1927,Setup!$F$6:$F$15,0),99),IFERROR(MATCH(BC1927,Setup!$H$6:$H$15,0),99),IFERROR(MATCH(AZ1927,Setup!$J$6:$J$11,0),99))*1E+9+(AW1927-40000)*10000+1926)</f>
        <v/>
      </c>
      <c r="BK1927">
        <f>IF(BI1927=1,BJ1927,"")</f>
        <v/>
      </c>
      <c r="BL1927">
        <f>IF(AND(BH1927=1,BG1927=0,N(AW1927)&lt;Setup!$D$7),(AW1927-40000)*10000+1926,"")</f>
        <v/>
      </c>
      <c r="BM1927">
        <f>IF(AND(BH1927=1,AZ1927&lt;&gt;"Cancelled",N(AW1927)&gt;=Dashboard!$AB$3,N(AW1927)&lt;=Dashboard!$AB$3+6),(AW1927-40000)*100000+BF1927*10000+1926,"")</f>
        <v/>
      </c>
      <c r="BN1927">
        <f>IF(AND(BH1927=1,AZ1927&lt;&gt;"Cancelled"),BF1927*10000+1926,"")</f>
        <v/>
      </c>
    </row>
    <row r="1928">
      <c r="AS1928" t="inlineStr">
        <is>
          <t>V</t>
        </is>
      </c>
      <c r="AT1928" t="n">
        <v>432</v>
      </c>
      <c r="AU1928">
        <f>'Variable Tasks'!C432&amp;""</f>
        <v/>
      </c>
      <c r="AV1928">
        <f>'Variable Tasks'!D432&amp;""</f>
        <v/>
      </c>
      <c r="AW1928">
        <f>IF('Variable Tasks'!E432="","",'Variable Tasks'!E432)</f>
        <v/>
      </c>
      <c r="AX1928">
        <f>IF('Variable Tasks'!G432="","",'Variable Tasks'!G432)</f>
        <v/>
      </c>
      <c r="AY1928">
        <f>IF('Variable Tasks'!H432="","",'Variable Tasks'!H432)</f>
        <v/>
      </c>
      <c r="AZ1928">
        <f>IF(AU1928="","",IF('Variable Tasks'!J432="","Not Started",'Variable Tasks'!J432))</f>
        <v/>
      </c>
      <c r="BA1928">
        <f>'Variable Tasks'!L432&amp;""</f>
        <v/>
      </c>
      <c r="BB1928">
        <f>'Variable Tasks'!M432&amp;""</f>
        <v/>
      </c>
      <c r="BC1928">
        <f>'Variable Tasks'!N432&amp;""</f>
        <v/>
      </c>
      <c r="BD1928">
        <f>'Variable Tasks'!O432&amp;""</f>
        <v/>
      </c>
      <c r="BE1928">
        <f>IF('Variable Tasks'!K432="","",'Variable Tasks'!K432)</f>
        <v/>
      </c>
      <c r="BF1928">
        <f>IFERROR(MATCH(BA1928,Setup!$L$6:$L$9,0),5)</f>
        <v/>
      </c>
      <c r="BG1928">
        <f>IF(OR(AZ1928="Done",AZ1928="Cancelled"),1,0)</f>
        <v/>
      </c>
      <c r="BH1928">
        <f>IF(AND(AU1928&lt;&gt;"",ISNUMBER(AW1928)),1,0)</f>
        <v/>
      </c>
      <c r="BI1928">
        <f>IF(BH1928=0,0,IF(AND(AW1928&gt;='Tasks Filter'!$F$3,AW1928&lt;='Tasks Filter'!$F$4,OR('Tasks Filter'!$I$3="",ISNUMBER(SEARCH('Tasks Filter'!$I$3,AU1928))),OR('Tasks Filter'!$I$4="",BF1928=IFERROR(MATCH('Tasks Filter'!$I$4,Setup!$L$6:$L$9,0),0)),OR('Tasks Filter'!$I$5="Both",AND('Tasks Filter'!$I$5="Yes",BB1928="✓"),AND('Tasks Filter'!$I$5="No",BB1928&lt;&gt;"✓")),OR('Tasks Filter'!$L$3="",AV1928='Tasks Filter'!$L$3),OR('Tasks Filter'!$L$4="",AZ1928='Tasks Filter'!$L$4),OR('Tasks Filter'!$L$5="",BC1928='Tasks Filter'!$L$5),OR('Tasks Filter'!$O$3="",BD1928='Tasks Filter'!$O$3),OR('Tasks Filter'!$O$4="Yes",BG1928=0)),1,0))</f>
        <v/>
      </c>
      <c r="BJ1928">
        <f>IF(BH1928=0,"",IF('Tasks Filter'!$F$6="Descending",-1,1)*CHOOSE(MATCH('Tasks Filter'!$F$5,Lists!$G$2:$G$6,0),AW1928,BF1928,IFERROR(MATCH(AV1928,Setup!$F$6:$F$15,0),99),IFERROR(MATCH(BC1928,Setup!$H$6:$H$15,0),99),IFERROR(MATCH(AZ1928,Setup!$J$6:$J$11,0),99))*1E+9+(AW1928-40000)*10000+1927)</f>
        <v/>
      </c>
      <c r="BK1928">
        <f>IF(BI1928=1,BJ1928,"")</f>
        <v/>
      </c>
      <c r="BL1928">
        <f>IF(AND(BH1928=1,BG1928=0,N(AW1928)&lt;Setup!$D$7),(AW1928-40000)*10000+1927,"")</f>
        <v/>
      </c>
      <c r="BM1928">
        <f>IF(AND(BH1928=1,AZ1928&lt;&gt;"Cancelled",N(AW1928)&gt;=Dashboard!$AB$3,N(AW1928)&lt;=Dashboard!$AB$3+6),(AW1928-40000)*100000+BF1928*10000+1927,"")</f>
        <v/>
      </c>
      <c r="BN1928">
        <f>IF(AND(BH1928=1,AZ1928&lt;&gt;"Cancelled"),BF1928*10000+1927,"")</f>
        <v/>
      </c>
    </row>
    <row r="1929">
      <c r="AS1929" t="inlineStr">
        <is>
          <t>V</t>
        </is>
      </c>
      <c r="AT1929" t="n">
        <v>433</v>
      </c>
      <c r="AU1929">
        <f>'Variable Tasks'!C433&amp;""</f>
        <v/>
      </c>
      <c r="AV1929">
        <f>'Variable Tasks'!D433&amp;""</f>
        <v/>
      </c>
      <c r="AW1929">
        <f>IF('Variable Tasks'!E433="","",'Variable Tasks'!E433)</f>
        <v/>
      </c>
      <c r="AX1929">
        <f>IF('Variable Tasks'!G433="","",'Variable Tasks'!G433)</f>
        <v/>
      </c>
      <c r="AY1929">
        <f>IF('Variable Tasks'!H433="","",'Variable Tasks'!H433)</f>
        <v/>
      </c>
      <c r="AZ1929">
        <f>IF(AU1929="","",IF('Variable Tasks'!J433="","Not Started",'Variable Tasks'!J433))</f>
        <v/>
      </c>
      <c r="BA1929">
        <f>'Variable Tasks'!L433&amp;""</f>
        <v/>
      </c>
      <c r="BB1929">
        <f>'Variable Tasks'!M433&amp;""</f>
        <v/>
      </c>
      <c r="BC1929">
        <f>'Variable Tasks'!N433&amp;""</f>
        <v/>
      </c>
      <c r="BD1929">
        <f>'Variable Tasks'!O433&amp;""</f>
        <v/>
      </c>
      <c r="BE1929">
        <f>IF('Variable Tasks'!K433="","",'Variable Tasks'!K433)</f>
        <v/>
      </c>
      <c r="BF1929">
        <f>IFERROR(MATCH(BA1929,Setup!$L$6:$L$9,0),5)</f>
        <v/>
      </c>
      <c r="BG1929">
        <f>IF(OR(AZ1929="Done",AZ1929="Cancelled"),1,0)</f>
        <v/>
      </c>
      <c r="BH1929">
        <f>IF(AND(AU1929&lt;&gt;"",ISNUMBER(AW1929)),1,0)</f>
        <v/>
      </c>
      <c r="BI1929">
        <f>IF(BH1929=0,0,IF(AND(AW1929&gt;='Tasks Filter'!$F$3,AW1929&lt;='Tasks Filter'!$F$4,OR('Tasks Filter'!$I$3="",ISNUMBER(SEARCH('Tasks Filter'!$I$3,AU1929))),OR('Tasks Filter'!$I$4="",BF1929=IFERROR(MATCH('Tasks Filter'!$I$4,Setup!$L$6:$L$9,0),0)),OR('Tasks Filter'!$I$5="Both",AND('Tasks Filter'!$I$5="Yes",BB1929="✓"),AND('Tasks Filter'!$I$5="No",BB1929&lt;&gt;"✓")),OR('Tasks Filter'!$L$3="",AV1929='Tasks Filter'!$L$3),OR('Tasks Filter'!$L$4="",AZ1929='Tasks Filter'!$L$4),OR('Tasks Filter'!$L$5="",BC1929='Tasks Filter'!$L$5),OR('Tasks Filter'!$O$3="",BD1929='Tasks Filter'!$O$3),OR('Tasks Filter'!$O$4="Yes",BG1929=0)),1,0))</f>
        <v/>
      </c>
      <c r="BJ1929">
        <f>IF(BH1929=0,"",IF('Tasks Filter'!$F$6="Descending",-1,1)*CHOOSE(MATCH('Tasks Filter'!$F$5,Lists!$G$2:$G$6,0),AW1929,BF1929,IFERROR(MATCH(AV1929,Setup!$F$6:$F$15,0),99),IFERROR(MATCH(BC1929,Setup!$H$6:$H$15,0),99),IFERROR(MATCH(AZ1929,Setup!$J$6:$J$11,0),99))*1E+9+(AW1929-40000)*10000+1928)</f>
        <v/>
      </c>
      <c r="BK1929">
        <f>IF(BI1929=1,BJ1929,"")</f>
        <v/>
      </c>
      <c r="BL1929">
        <f>IF(AND(BH1929=1,BG1929=0,N(AW1929)&lt;Setup!$D$7),(AW1929-40000)*10000+1928,"")</f>
        <v/>
      </c>
      <c r="BM1929">
        <f>IF(AND(BH1929=1,AZ1929&lt;&gt;"Cancelled",N(AW1929)&gt;=Dashboard!$AB$3,N(AW1929)&lt;=Dashboard!$AB$3+6),(AW1929-40000)*100000+BF1929*10000+1928,"")</f>
        <v/>
      </c>
      <c r="BN1929">
        <f>IF(AND(BH1929=1,AZ1929&lt;&gt;"Cancelled"),BF1929*10000+1928,"")</f>
        <v/>
      </c>
    </row>
    <row r="1930">
      <c r="AS1930" t="inlineStr">
        <is>
          <t>V</t>
        </is>
      </c>
      <c r="AT1930" t="n">
        <v>434</v>
      </c>
      <c r="AU1930">
        <f>'Variable Tasks'!C434&amp;""</f>
        <v/>
      </c>
      <c r="AV1930">
        <f>'Variable Tasks'!D434&amp;""</f>
        <v/>
      </c>
      <c r="AW1930">
        <f>IF('Variable Tasks'!E434="","",'Variable Tasks'!E434)</f>
        <v/>
      </c>
      <c r="AX1930">
        <f>IF('Variable Tasks'!G434="","",'Variable Tasks'!G434)</f>
        <v/>
      </c>
      <c r="AY1930">
        <f>IF('Variable Tasks'!H434="","",'Variable Tasks'!H434)</f>
        <v/>
      </c>
      <c r="AZ1930">
        <f>IF(AU1930="","",IF('Variable Tasks'!J434="","Not Started",'Variable Tasks'!J434))</f>
        <v/>
      </c>
      <c r="BA1930">
        <f>'Variable Tasks'!L434&amp;""</f>
        <v/>
      </c>
      <c r="BB1930">
        <f>'Variable Tasks'!M434&amp;""</f>
        <v/>
      </c>
      <c r="BC1930">
        <f>'Variable Tasks'!N434&amp;""</f>
        <v/>
      </c>
      <c r="BD1930">
        <f>'Variable Tasks'!O434&amp;""</f>
        <v/>
      </c>
      <c r="BE1930">
        <f>IF('Variable Tasks'!K434="","",'Variable Tasks'!K434)</f>
        <v/>
      </c>
      <c r="BF1930">
        <f>IFERROR(MATCH(BA1930,Setup!$L$6:$L$9,0),5)</f>
        <v/>
      </c>
      <c r="BG1930">
        <f>IF(OR(AZ1930="Done",AZ1930="Cancelled"),1,0)</f>
        <v/>
      </c>
      <c r="BH1930">
        <f>IF(AND(AU1930&lt;&gt;"",ISNUMBER(AW1930)),1,0)</f>
        <v/>
      </c>
      <c r="BI1930">
        <f>IF(BH1930=0,0,IF(AND(AW1930&gt;='Tasks Filter'!$F$3,AW1930&lt;='Tasks Filter'!$F$4,OR('Tasks Filter'!$I$3="",ISNUMBER(SEARCH('Tasks Filter'!$I$3,AU1930))),OR('Tasks Filter'!$I$4="",BF1930=IFERROR(MATCH('Tasks Filter'!$I$4,Setup!$L$6:$L$9,0),0)),OR('Tasks Filter'!$I$5="Both",AND('Tasks Filter'!$I$5="Yes",BB1930="✓"),AND('Tasks Filter'!$I$5="No",BB1930&lt;&gt;"✓")),OR('Tasks Filter'!$L$3="",AV1930='Tasks Filter'!$L$3),OR('Tasks Filter'!$L$4="",AZ1930='Tasks Filter'!$L$4),OR('Tasks Filter'!$L$5="",BC1930='Tasks Filter'!$L$5),OR('Tasks Filter'!$O$3="",BD1930='Tasks Filter'!$O$3),OR('Tasks Filter'!$O$4="Yes",BG1930=0)),1,0))</f>
        <v/>
      </c>
      <c r="BJ1930">
        <f>IF(BH1930=0,"",IF('Tasks Filter'!$F$6="Descending",-1,1)*CHOOSE(MATCH('Tasks Filter'!$F$5,Lists!$G$2:$G$6,0),AW1930,BF1930,IFERROR(MATCH(AV1930,Setup!$F$6:$F$15,0),99),IFERROR(MATCH(BC1930,Setup!$H$6:$H$15,0),99),IFERROR(MATCH(AZ1930,Setup!$J$6:$J$11,0),99))*1E+9+(AW1930-40000)*10000+1929)</f>
        <v/>
      </c>
      <c r="BK1930">
        <f>IF(BI1930=1,BJ1930,"")</f>
        <v/>
      </c>
      <c r="BL1930">
        <f>IF(AND(BH1930=1,BG1930=0,N(AW1930)&lt;Setup!$D$7),(AW1930-40000)*10000+1929,"")</f>
        <v/>
      </c>
      <c r="BM1930">
        <f>IF(AND(BH1930=1,AZ1930&lt;&gt;"Cancelled",N(AW1930)&gt;=Dashboard!$AB$3,N(AW1930)&lt;=Dashboard!$AB$3+6),(AW1930-40000)*100000+BF1930*10000+1929,"")</f>
        <v/>
      </c>
      <c r="BN1930">
        <f>IF(AND(BH1930=1,AZ1930&lt;&gt;"Cancelled"),BF1930*10000+1929,"")</f>
        <v/>
      </c>
    </row>
    <row r="1931">
      <c r="AS1931" t="inlineStr">
        <is>
          <t>V</t>
        </is>
      </c>
      <c r="AT1931" t="n">
        <v>435</v>
      </c>
      <c r="AU1931">
        <f>'Variable Tasks'!C435&amp;""</f>
        <v/>
      </c>
      <c r="AV1931">
        <f>'Variable Tasks'!D435&amp;""</f>
        <v/>
      </c>
      <c r="AW1931">
        <f>IF('Variable Tasks'!E435="","",'Variable Tasks'!E435)</f>
        <v/>
      </c>
      <c r="AX1931">
        <f>IF('Variable Tasks'!G435="","",'Variable Tasks'!G435)</f>
        <v/>
      </c>
      <c r="AY1931">
        <f>IF('Variable Tasks'!H435="","",'Variable Tasks'!H435)</f>
        <v/>
      </c>
      <c r="AZ1931">
        <f>IF(AU1931="","",IF('Variable Tasks'!J435="","Not Started",'Variable Tasks'!J435))</f>
        <v/>
      </c>
      <c r="BA1931">
        <f>'Variable Tasks'!L435&amp;""</f>
        <v/>
      </c>
      <c r="BB1931">
        <f>'Variable Tasks'!M435&amp;""</f>
        <v/>
      </c>
      <c r="BC1931">
        <f>'Variable Tasks'!N435&amp;""</f>
        <v/>
      </c>
      <c r="BD1931">
        <f>'Variable Tasks'!O435&amp;""</f>
        <v/>
      </c>
      <c r="BE1931">
        <f>IF('Variable Tasks'!K435="","",'Variable Tasks'!K435)</f>
        <v/>
      </c>
      <c r="BF1931">
        <f>IFERROR(MATCH(BA1931,Setup!$L$6:$L$9,0),5)</f>
        <v/>
      </c>
      <c r="BG1931">
        <f>IF(OR(AZ1931="Done",AZ1931="Cancelled"),1,0)</f>
        <v/>
      </c>
      <c r="BH1931">
        <f>IF(AND(AU1931&lt;&gt;"",ISNUMBER(AW1931)),1,0)</f>
        <v/>
      </c>
      <c r="BI1931">
        <f>IF(BH1931=0,0,IF(AND(AW1931&gt;='Tasks Filter'!$F$3,AW1931&lt;='Tasks Filter'!$F$4,OR('Tasks Filter'!$I$3="",ISNUMBER(SEARCH('Tasks Filter'!$I$3,AU1931))),OR('Tasks Filter'!$I$4="",BF1931=IFERROR(MATCH('Tasks Filter'!$I$4,Setup!$L$6:$L$9,0),0)),OR('Tasks Filter'!$I$5="Both",AND('Tasks Filter'!$I$5="Yes",BB1931="✓"),AND('Tasks Filter'!$I$5="No",BB1931&lt;&gt;"✓")),OR('Tasks Filter'!$L$3="",AV1931='Tasks Filter'!$L$3),OR('Tasks Filter'!$L$4="",AZ1931='Tasks Filter'!$L$4),OR('Tasks Filter'!$L$5="",BC1931='Tasks Filter'!$L$5),OR('Tasks Filter'!$O$3="",BD1931='Tasks Filter'!$O$3),OR('Tasks Filter'!$O$4="Yes",BG1931=0)),1,0))</f>
        <v/>
      </c>
      <c r="BJ1931">
        <f>IF(BH1931=0,"",IF('Tasks Filter'!$F$6="Descending",-1,1)*CHOOSE(MATCH('Tasks Filter'!$F$5,Lists!$G$2:$G$6,0),AW1931,BF1931,IFERROR(MATCH(AV1931,Setup!$F$6:$F$15,0),99),IFERROR(MATCH(BC1931,Setup!$H$6:$H$15,0),99),IFERROR(MATCH(AZ1931,Setup!$J$6:$J$11,0),99))*1E+9+(AW1931-40000)*10000+1930)</f>
        <v/>
      </c>
      <c r="BK1931">
        <f>IF(BI1931=1,BJ1931,"")</f>
        <v/>
      </c>
      <c r="BL1931">
        <f>IF(AND(BH1931=1,BG1931=0,N(AW1931)&lt;Setup!$D$7),(AW1931-40000)*10000+1930,"")</f>
        <v/>
      </c>
      <c r="BM1931">
        <f>IF(AND(BH1931=1,AZ1931&lt;&gt;"Cancelled",N(AW1931)&gt;=Dashboard!$AB$3,N(AW1931)&lt;=Dashboard!$AB$3+6),(AW1931-40000)*100000+BF1931*10000+1930,"")</f>
        <v/>
      </c>
      <c r="BN1931">
        <f>IF(AND(BH1931=1,AZ1931&lt;&gt;"Cancelled"),BF1931*10000+1930,"")</f>
        <v/>
      </c>
    </row>
    <row r="1932">
      <c r="AS1932" t="inlineStr">
        <is>
          <t>V</t>
        </is>
      </c>
      <c r="AT1932" t="n">
        <v>436</v>
      </c>
      <c r="AU1932">
        <f>'Variable Tasks'!C436&amp;""</f>
        <v/>
      </c>
      <c r="AV1932">
        <f>'Variable Tasks'!D436&amp;""</f>
        <v/>
      </c>
      <c r="AW1932">
        <f>IF('Variable Tasks'!E436="","",'Variable Tasks'!E436)</f>
        <v/>
      </c>
      <c r="AX1932">
        <f>IF('Variable Tasks'!G436="","",'Variable Tasks'!G436)</f>
        <v/>
      </c>
      <c r="AY1932">
        <f>IF('Variable Tasks'!H436="","",'Variable Tasks'!H436)</f>
        <v/>
      </c>
      <c r="AZ1932">
        <f>IF(AU1932="","",IF('Variable Tasks'!J436="","Not Started",'Variable Tasks'!J436))</f>
        <v/>
      </c>
      <c r="BA1932">
        <f>'Variable Tasks'!L436&amp;""</f>
        <v/>
      </c>
      <c r="BB1932">
        <f>'Variable Tasks'!M436&amp;""</f>
        <v/>
      </c>
      <c r="BC1932">
        <f>'Variable Tasks'!N436&amp;""</f>
        <v/>
      </c>
      <c r="BD1932">
        <f>'Variable Tasks'!O436&amp;""</f>
        <v/>
      </c>
      <c r="BE1932">
        <f>IF('Variable Tasks'!K436="","",'Variable Tasks'!K436)</f>
        <v/>
      </c>
      <c r="BF1932">
        <f>IFERROR(MATCH(BA1932,Setup!$L$6:$L$9,0),5)</f>
        <v/>
      </c>
      <c r="BG1932">
        <f>IF(OR(AZ1932="Done",AZ1932="Cancelled"),1,0)</f>
        <v/>
      </c>
      <c r="BH1932">
        <f>IF(AND(AU1932&lt;&gt;"",ISNUMBER(AW1932)),1,0)</f>
        <v/>
      </c>
      <c r="BI1932">
        <f>IF(BH1932=0,0,IF(AND(AW1932&gt;='Tasks Filter'!$F$3,AW1932&lt;='Tasks Filter'!$F$4,OR('Tasks Filter'!$I$3="",ISNUMBER(SEARCH('Tasks Filter'!$I$3,AU1932))),OR('Tasks Filter'!$I$4="",BF1932=IFERROR(MATCH('Tasks Filter'!$I$4,Setup!$L$6:$L$9,0),0)),OR('Tasks Filter'!$I$5="Both",AND('Tasks Filter'!$I$5="Yes",BB1932="✓"),AND('Tasks Filter'!$I$5="No",BB1932&lt;&gt;"✓")),OR('Tasks Filter'!$L$3="",AV1932='Tasks Filter'!$L$3),OR('Tasks Filter'!$L$4="",AZ1932='Tasks Filter'!$L$4),OR('Tasks Filter'!$L$5="",BC1932='Tasks Filter'!$L$5),OR('Tasks Filter'!$O$3="",BD1932='Tasks Filter'!$O$3),OR('Tasks Filter'!$O$4="Yes",BG1932=0)),1,0))</f>
        <v/>
      </c>
      <c r="BJ1932">
        <f>IF(BH1932=0,"",IF('Tasks Filter'!$F$6="Descending",-1,1)*CHOOSE(MATCH('Tasks Filter'!$F$5,Lists!$G$2:$G$6,0),AW1932,BF1932,IFERROR(MATCH(AV1932,Setup!$F$6:$F$15,0),99),IFERROR(MATCH(BC1932,Setup!$H$6:$H$15,0),99),IFERROR(MATCH(AZ1932,Setup!$J$6:$J$11,0),99))*1E+9+(AW1932-40000)*10000+1931)</f>
        <v/>
      </c>
      <c r="BK1932">
        <f>IF(BI1932=1,BJ1932,"")</f>
        <v/>
      </c>
      <c r="BL1932">
        <f>IF(AND(BH1932=1,BG1932=0,N(AW1932)&lt;Setup!$D$7),(AW1932-40000)*10000+1931,"")</f>
        <v/>
      </c>
      <c r="BM1932">
        <f>IF(AND(BH1932=1,AZ1932&lt;&gt;"Cancelled",N(AW1932)&gt;=Dashboard!$AB$3,N(AW1932)&lt;=Dashboard!$AB$3+6),(AW1932-40000)*100000+BF1932*10000+1931,"")</f>
        <v/>
      </c>
      <c r="BN1932">
        <f>IF(AND(BH1932=1,AZ1932&lt;&gt;"Cancelled"),BF1932*10000+1931,"")</f>
        <v/>
      </c>
    </row>
    <row r="1933">
      <c r="AS1933" t="inlineStr">
        <is>
          <t>V</t>
        </is>
      </c>
      <c r="AT1933" t="n">
        <v>437</v>
      </c>
      <c r="AU1933">
        <f>'Variable Tasks'!C437&amp;""</f>
        <v/>
      </c>
      <c r="AV1933">
        <f>'Variable Tasks'!D437&amp;""</f>
        <v/>
      </c>
      <c r="AW1933">
        <f>IF('Variable Tasks'!E437="","",'Variable Tasks'!E437)</f>
        <v/>
      </c>
      <c r="AX1933">
        <f>IF('Variable Tasks'!G437="","",'Variable Tasks'!G437)</f>
        <v/>
      </c>
      <c r="AY1933">
        <f>IF('Variable Tasks'!H437="","",'Variable Tasks'!H437)</f>
        <v/>
      </c>
      <c r="AZ1933">
        <f>IF(AU1933="","",IF('Variable Tasks'!J437="","Not Started",'Variable Tasks'!J437))</f>
        <v/>
      </c>
      <c r="BA1933">
        <f>'Variable Tasks'!L437&amp;""</f>
        <v/>
      </c>
      <c r="BB1933">
        <f>'Variable Tasks'!M437&amp;""</f>
        <v/>
      </c>
      <c r="BC1933">
        <f>'Variable Tasks'!N437&amp;""</f>
        <v/>
      </c>
      <c r="BD1933">
        <f>'Variable Tasks'!O437&amp;""</f>
        <v/>
      </c>
      <c r="BE1933">
        <f>IF('Variable Tasks'!K437="","",'Variable Tasks'!K437)</f>
        <v/>
      </c>
      <c r="BF1933">
        <f>IFERROR(MATCH(BA1933,Setup!$L$6:$L$9,0),5)</f>
        <v/>
      </c>
      <c r="BG1933">
        <f>IF(OR(AZ1933="Done",AZ1933="Cancelled"),1,0)</f>
        <v/>
      </c>
      <c r="BH1933">
        <f>IF(AND(AU1933&lt;&gt;"",ISNUMBER(AW1933)),1,0)</f>
        <v/>
      </c>
      <c r="BI1933">
        <f>IF(BH1933=0,0,IF(AND(AW1933&gt;='Tasks Filter'!$F$3,AW1933&lt;='Tasks Filter'!$F$4,OR('Tasks Filter'!$I$3="",ISNUMBER(SEARCH('Tasks Filter'!$I$3,AU1933))),OR('Tasks Filter'!$I$4="",BF1933=IFERROR(MATCH('Tasks Filter'!$I$4,Setup!$L$6:$L$9,0),0)),OR('Tasks Filter'!$I$5="Both",AND('Tasks Filter'!$I$5="Yes",BB1933="✓"),AND('Tasks Filter'!$I$5="No",BB1933&lt;&gt;"✓")),OR('Tasks Filter'!$L$3="",AV1933='Tasks Filter'!$L$3),OR('Tasks Filter'!$L$4="",AZ1933='Tasks Filter'!$L$4),OR('Tasks Filter'!$L$5="",BC1933='Tasks Filter'!$L$5),OR('Tasks Filter'!$O$3="",BD1933='Tasks Filter'!$O$3),OR('Tasks Filter'!$O$4="Yes",BG1933=0)),1,0))</f>
        <v/>
      </c>
      <c r="BJ1933">
        <f>IF(BH1933=0,"",IF('Tasks Filter'!$F$6="Descending",-1,1)*CHOOSE(MATCH('Tasks Filter'!$F$5,Lists!$G$2:$G$6,0),AW1933,BF1933,IFERROR(MATCH(AV1933,Setup!$F$6:$F$15,0),99),IFERROR(MATCH(BC1933,Setup!$H$6:$H$15,0),99),IFERROR(MATCH(AZ1933,Setup!$J$6:$J$11,0),99))*1E+9+(AW1933-40000)*10000+1932)</f>
        <v/>
      </c>
      <c r="BK1933">
        <f>IF(BI1933=1,BJ1933,"")</f>
        <v/>
      </c>
      <c r="BL1933">
        <f>IF(AND(BH1933=1,BG1933=0,N(AW1933)&lt;Setup!$D$7),(AW1933-40000)*10000+1932,"")</f>
        <v/>
      </c>
      <c r="BM1933">
        <f>IF(AND(BH1933=1,AZ1933&lt;&gt;"Cancelled",N(AW1933)&gt;=Dashboard!$AB$3,N(AW1933)&lt;=Dashboard!$AB$3+6),(AW1933-40000)*100000+BF1933*10000+1932,"")</f>
        <v/>
      </c>
      <c r="BN1933">
        <f>IF(AND(BH1933=1,AZ1933&lt;&gt;"Cancelled"),BF1933*10000+1932,"")</f>
        <v/>
      </c>
    </row>
    <row r="1934">
      <c r="AS1934" t="inlineStr">
        <is>
          <t>V</t>
        </is>
      </c>
      <c r="AT1934" t="n">
        <v>438</v>
      </c>
      <c r="AU1934">
        <f>'Variable Tasks'!C438&amp;""</f>
        <v/>
      </c>
      <c r="AV1934">
        <f>'Variable Tasks'!D438&amp;""</f>
        <v/>
      </c>
      <c r="AW1934">
        <f>IF('Variable Tasks'!E438="","",'Variable Tasks'!E438)</f>
        <v/>
      </c>
      <c r="AX1934">
        <f>IF('Variable Tasks'!G438="","",'Variable Tasks'!G438)</f>
        <v/>
      </c>
      <c r="AY1934">
        <f>IF('Variable Tasks'!H438="","",'Variable Tasks'!H438)</f>
        <v/>
      </c>
      <c r="AZ1934">
        <f>IF(AU1934="","",IF('Variable Tasks'!J438="","Not Started",'Variable Tasks'!J438))</f>
        <v/>
      </c>
      <c r="BA1934">
        <f>'Variable Tasks'!L438&amp;""</f>
        <v/>
      </c>
      <c r="BB1934">
        <f>'Variable Tasks'!M438&amp;""</f>
        <v/>
      </c>
      <c r="BC1934">
        <f>'Variable Tasks'!N438&amp;""</f>
        <v/>
      </c>
      <c r="BD1934">
        <f>'Variable Tasks'!O438&amp;""</f>
        <v/>
      </c>
      <c r="BE1934">
        <f>IF('Variable Tasks'!K438="","",'Variable Tasks'!K438)</f>
        <v/>
      </c>
      <c r="BF1934">
        <f>IFERROR(MATCH(BA1934,Setup!$L$6:$L$9,0),5)</f>
        <v/>
      </c>
      <c r="BG1934">
        <f>IF(OR(AZ1934="Done",AZ1934="Cancelled"),1,0)</f>
        <v/>
      </c>
      <c r="BH1934">
        <f>IF(AND(AU1934&lt;&gt;"",ISNUMBER(AW1934)),1,0)</f>
        <v/>
      </c>
      <c r="BI1934">
        <f>IF(BH1934=0,0,IF(AND(AW1934&gt;='Tasks Filter'!$F$3,AW1934&lt;='Tasks Filter'!$F$4,OR('Tasks Filter'!$I$3="",ISNUMBER(SEARCH('Tasks Filter'!$I$3,AU1934))),OR('Tasks Filter'!$I$4="",BF1934=IFERROR(MATCH('Tasks Filter'!$I$4,Setup!$L$6:$L$9,0),0)),OR('Tasks Filter'!$I$5="Both",AND('Tasks Filter'!$I$5="Yes",BB1934="✓"),AND('Tasks Filter'!$I$5="No",BB1934&lt;&gt;"✓")),OR('Tasks Filter'!$L$3="",AV1934='Tasks Filter'!$L$3),OR('Tasks Filter'!$L$4="",AZ1934='Tasks Filter'!$L$4),OR('Tasks Filter'!$L$5="",BC1934='Tasks Filter'!$L$5),OR('Tasks Filter'!$O$3="",BD1934='Tasks Filter'!$O$3),OR('Tasks Filter'!$O$4="Yes",BG1934=0)),1,0))</f>
        <v/>
      </c>
      <c r="BJ1934">
        <f>IF(BH1934=0,"",IF('Tasks Filter'!$F$6="Descending",-1,1)*CHOOSE(MATCH('Tasks Filter'!$F$5,Lists!$G$2:$G$6,0),AW1934,BF1934,IFERROR(MATCH(AV1934,Setup!$F$6:$F$15,0),99),IFERROR(MATCH(BC1934,Setup!$H$6:$H$15,0),99),IFERROR(MATCH(AZ1934,Setup!$J$6:$J$11,0),99))*1E+9+(AW1934-40000)*10000+1933)</f>
        <v/>
      </c>
      <c r="BK1934">
        <f>IF(BI1934=1,BJ1934,"")</f>
        <v/>
      </c>
      <c r="BL1934">
        <f>IF(AND(BH1934=1,BG1934=0,N(AW1934)&lt;Setup!$D$7),(AW1934-40000)*10000+1933,"")</f>
        <v/>
      </c>
      <c r="BM1934">
        <f>IF(AND(BH1934=1,AZ1934&lt;&gt;"Cancelled",N(AW1934)&gt;=Dashboard!$AB$3,N(AW1934)&lt;=Dashboard!$AB$3+6),(AW1934-40000)*100000+BF1934*10000+1933,"")</f>
        <v/>
      </c>
      <c r="BN1934">
        <f>IF(AND(BH1934=1,AZ1934&lt;&gt;"Cancelled"),BF1934*10000+1933,"")</f>
        <v/>
      </c>
    </row>
    <row r="1935">
      <c r="AS1935" t="inlineStr">
        <is>
          <t>V</t>
        </is>
      </c>
      <c r="AT1935" t="n">
        <v>439</v>
      </c>
      <c r="AU1935">
        <f>'Variable Tasks'!C439&amp;""</f>
        <v/>
      </c>
      <c r="AV1935">
        <f>'Variable Tasks'!D439&amp;""</f>
        <v/>
      </c>
      <c r="AW1935">
        <f>IF('Variable Tasks'!E439="","",'Variable Tasks'!E439)</f>
        <v/>
      </c>
      <c r="AX1935">
        <f>IF('Variable Tasks'!G439="","",'Variable Tasks'!G439)</f>
        <v/>
      </c>
      <c r="AY1935">
        <f>IF('Variable Tasks'!H439="","",'Variable Tasks'!H439)</f>
        <v/>
      </c>
      <c r="AZ1935">
        <f>IF(AU1935="","",IF('Variable Tasks'!J439="","Not Started",'Variable Tasks'!J439))</f>
        <v/>
      </c>
      <c r="BA1935">
        <f>'Variable Tasks'!L439&amp;""</f>
        <v/>
      </c>
      <c r="BB1935">
        <f>'Variable Tasks'!M439&amp;""</f>
        <v/>
      </c>
      <c r="BC1935">
        <f>'Variable Tasks'!N439&amp;""</f>
        <v/>
      </c>
      <c r="BD1935">
        <f>'Variable Tasks'!O439&amp;""</f>
        <v/>
      </c>
      <c r="BE1935">
        <f>IF('Variable Tasks'!K439="","",'Variable Tasks'!K439)</f>
        <v/>
      </c>
      <c r="BF1935">
        <f>IFERROR(MATCH(BA1935,Setup!$L$6:$L$9,0),5)</f>
        <v/>
      </c>
      <c r="BG1935">
        <f>IF(OR(AZ1935="Done",AZ1935="Cancelled"),1,0)</f>
        <v/>
      </c>
      <c r="BH1935">
        <f>IF(AND(AU1935&lt;&gt;"",ISNUMBER(AW1935)),1,0)</f>
        <v/>
      </c>
      <c r="BI1935">
        <f>IF(BH1935=0,0,IF(AND(AW1935&gt;='Tasks Filter'!$F$3,AW1935&lt;='Tasks Filter'!$F$4,OR('Tasks Filter'!$I$3="",ISNUMBER(SEARCH('Tasks Filter'!$I$3,AU1935))),OR('Tasks Filter'!$I$4="",BF1935=IFERROR(MATCH('Tasks Filter'!$I$4,Setup!$L$6:$L$9,0),0)),OR('Tasks Filter'!$I$5="Both",AND('Tasks Filter'!$I$5="Yes",BB1935="✓"),AND('Tasks Filter'!$I$5="No",BB1935&lt;&gt;"✓")),OR('Tasks Filter'!$L$3="",AV1935='Tasks Filter'!$L$3),OR('Tasks Filter'!$L$4="",AZ1935='Tasks Filter'!$L$4),OR('Tasks Filter'!$L$5="",BC1935='Tasks Filter'!$L$5),OR('Tasks Filter'!$O$3="",BD1935='Tasks Filter'!$O$3),OR('Tasks Filter'!$O$4="Yes",BG1935=0)),1,0))</f>
        <v/>
      </c>
      <c r="BJ1935">
        <f>IF(BH1935=0,"",IF('Tasks Filter'!$F$6="Descending",-1,1)*CHOOSE(MATCH('Tasks Filter'!$F$5,Lists!$G$2:$G$6,0),AW1935,BF1935,IFERROR(MATCH(AV1935,Setup!$F$6:$F$15,0),99),IFERROR(MATCH(BC1935,Setup!$H$6:$H$15,0),99),IFERROR(MATCH(AZ1935,Setup!$J$6:$J$11,0),99))*1E+9+(AW1935-40000)*10000+1934)</f>
        <v/>
      </c>
      <c r="BK1935">
        <f>IF(BI1935=1,BJ1935,"")</f>
        <v/>
      </c>
      <c r="BL1935">
        <f>IF(AND(BH1935=1,BG1935=0,N(AW1935)&lt;Setup!$D$7),(AW1935-40000)*10000+1934,"")</f>
        <v/>
      </c>
      <c r="BM1935">
        <f>IF(AND(BH1935=1,AZ1935&lt;&gt;"Cancelled",N(AW1935)&gt;=Dashboard!$AB$3,N(AW1935)&lt;=Dashboard!$AB$3+6),(AW1935-40000)*100000+BF1935*10000+1934,"")</f>
        <v/>
      </c>
      <c r="BN1935">
        <f>IF(AND(BH1935=1,AZ1935&lt;&gt;"Cancelled"),BF1935*10000+1934,"")</f>
        <v/>
      </c>
    </row>
    <row r="1936">
      <c r="AS1936" t="inlineStr">
        <is>
          <t>V</t>
        </is>
      </c>
      <c r="AT1936" t="n">
        <v>440</v>
      </c>
      <c r="AU1936">
        <f>'Variable Tasks'!C440&amp;""</f>
        <v/>
      </c>
      <c r="AV1936">
        <f>'Variable Tasks'!D440&amp;""</f>
        <v/>
      </c>
      <c r="AW1936">
        <f>IF('Variable Tasks'!E440="","",'Variable Tasks'!E440)</f>
        <v/>
      </c>
      <c r="AX1936">
        <f>IF('Variable Tasks'!G440="","",'Variable Tasks'!G440)</f>
        <v/>
      </c>
      <c r="AY1936">
        <f>IF('Variable Tasks'!H440="","",'Variable Tasks'!H440)</f>
        <v/>
      </c>
      <c r="AZ1936">
        <f>IF(AU1936="","",IF('Variable Tasks'!J440="","Not Started",'Variable Tasks'!J440))</f>
        <v/>
      </c>
      <c r="BA1936">
        <f>'Variable Tasks'!L440&amp;""</f>
        <v/>
      </c>
      <c r="BB1936">
        <f>'Variable Tasks'!M440&amp;""</f>
        <v/>
      </c>
      <c r="BC1936">
        <f>'Variable Tasks'!N440&amp;""</f>
        <v/>
      </c>
      <c r="BD1936">
        <f>'Variable Tasks'!O440&amp;""</f>
        <v/>
      </c>
      <c r="BE1936">
        <f>IF('Variable Tasks'!K440="","",'Variable Tasks'!K440)</f>
        <v/>
      </c>
      <c r="BF1936">
        <f>IFERROR(MATCH(BA1936,Setup!$L$6:$L$9,0),5)</f>
        <v/>
      </c>
      <c r="BG1936">
        <f>IF(OR(AZ1936="Done",AZ1936="Cancelled"),1,0)</f>
        <v/>
      </c>
      <c r="BH1936">
        <f>IF(AND(AU1936&lt;&gt;"",ISNUMBER(AW1936)),1,0)</f>
        <v/>
      </c>
      <c r="BI1936">
        <f>IF(BH1936=0,0,IF(AND(AW1936&gt;='Tasks Filter'!$F$3,AW1936&lt;='Tasks Filter'!$F$4,OR('Tasks Filter'!$I$3="",ISNUMBER(SEARCH('Tasks Filter'!$I$3,AU1936))),OR('Tasks Filter'!$I$4="",BF1936=IFERROR(MATCH('Tasks Filter'!$I$4,Setup!$L$6:$L$9,0),0)),OR('Tasks Filter'!$I$5="Both",AND('Tasks Filter'!$I$5="Yes",BB1936="✓"),AND('Tasks Filter'!$I$5="No",BB1936&lt;&gt;"✓")),OR('Tasks Filter'!$L$3="",AV1936='Tasks Filter'!$L$3),OR('Tasks Filter'!$L$4="",AZ1936='Tasks Filter'!$L$4),OR('Tasks Filter'!$L$5="",BC1936='Tasks Filter'!$L$5),OR('Tasks Filter'!$O$3="",BD1936='Tasks Filter'!$O$3),OR('Tasks Filter'!$O$4="Yes",BG1936=0)),1,0))</f>
        <v/>
      </c>
      <c r="BJ1936">
        <f>IF(BH1936=0,"",IF('Tasks Filter'!$F$6="Descending",-1,1)*CHOOSE(MATCH('Tasks Filter'!$F$5,Lists!$G$2:$G$6,0),AW1936,BF1936,IFERROR(MATCH(AV1936,Setup!$F$6:$F$15,0),99),IFERROR(MATCH(BC1936,Setup!$H$6:$H$15,0),99),IFERROR(MATCH(AZ1936,Setup!$J$6:$J$11,0),99))*1E+9+(AW1936-40000)*10000+1935)</f>
        <v/>
      </c>
      <c r="BK1936">
        <f>IF(BI1936=1,BJ1936,"")</f>
        <v/>
      </c>
      <c r="BL1936">
        <f>IF(AND(BH1936=1,BG1936=0,N(AW1936)&lt;Setup!$D$7),(AW1936-40000)*10000+1935,"")</f>
        <v/>
      </c>
      <c r="BM1936">
        <f>IF(AND(BH1936=1,AZ1936&lt;&gt;"Cancelled",N(AW1936)&gt;=Dashboard!$AB$3,N(AW1936)&lt;=Dashboard!$AB$3+6),(AW1936-40000)*100000+BF1936*10000+1935,"")</f>
        <v/>
      </c>
      <c r="BN1936">
        <f>IF(AND(BH1936=1,AZ1936&lt;&gt;"Cancelled"),BF1936*10000+1935,"")</f>
        <v/>
      </c>
    </row>
    <row r="1937">
      <c r="AS1937" t="inlineStr">
        <is>
          <t>V</t>
        </is>
      </c>
      <c r="AT1937" t="n">
        <v>441</v>
      </c>
      <c r="AU1937">
        <f>'Variable Tasks'!C441&amp;""</f>
        <v/>
      </c>
      <c r="AV1937">
        <f>'Variable Tasks'!D441&amp;""</f>
        <v/>
      </c>
      <c r="AW1937">
        <f>IF('Variable Tasks'!E441="","",'Variable Tasks'!E441)</f>
        <v/>
      </c>
      <c r="AX1937">
        <f>IF('Variable Tasks'!G441="","",'Variable Tasks'!G441)</f>
        <v/>
      </c>
      <c r="AY1937">
        <f>IF('Variable Tasks'!H441="","",'Variable Tasks'!H441)</f>
        <v/>
      </c>
      <c r="AZ1937">
        <f>IF(AU1937="","",IF('Variable Tasks'!J441="","Not Started",'Variable Tasks'!J441))</f>
        <v/>
      </c>
      <c r="BA1937">
        <f>'Variable Tasks'!L441&amp;""</f>
        <v/>
      </c>
      <c r="BB1937">
        <f>'Variable Tasks'!M441&amp;""</f>
        <v/>
      </c>
      <c r="BC1937">
        <f>'Variable Tasks'!N441&amp;""</f>
        <v/>
      </c>
      <c r="BD1937">
        <f>'Variable Tasks'!O441&amp;""</f>
        <v/>
      </c>
      <c r="BE1937">
        <f>IF('Variable Tasks'!K441="","",'Variable Tasks'!K441)</f>
        <v/>
      </c>
      <c r="BF1937">
        <f>IFERROR(MATCH(BA1937,Setup!$L$6:$L$9,0),5)</f>
        <v/>
      </c>
      <c r="BG1937">
        <f>IF(OR(AZ1937="Done",AZ1937="Cancelled"),1,0)</f>
        <v/>
      </c>
      <c r="BH1937">
        <f>IF(AND(AU1937&lt;&gt;"",ISNUMBER(AW1937)),1,0)</f>
        <v/>
      </c>
      <c r="BI1937">
        <f>IF(BH1937=0,0,IF(AND(AW1937&gt;='Tasks Filter'!$F$3,AW1937&lt;='Tasks Filter'!$F$4,OR('Tasks Filter'!$I$3="",ISNUMBER(SEARCH('Tasks Filter'!$I$3,AU1937))),OR('Tasks Filter'!$I$4="",BF1937=IFERROR(MATCH('Tasks Filter'!$I$4,Setup!$L$6:$L$9,0),0)),OR('Tasks Filter'!$I$5="Both",AND('Tasks Filter'!$I$5="Yes",BB1937="✓"),AND('Tasks Filter'!$I$5="No",BB1937&lt;&gt;"✓")),OR('Tasks Filter'!$L$3="",AV1937='Tasks Filter'!$L$3),OR('Tasks Filter'!$L$4="",AZ1937='Tasks Filter'!$L$4),OR('Tasks Filter'!$L$5="",BC1937='Tasks Filter'!$L$5),OR('Tasks Filter'!$O$3="",BD1937='Tasks Filter'!$O$3),OR('Tasks Filter'!$O$4="Yes",BG1937=0)),1,0))</f>
        <v/>
      </c>
      <c r="BJ1937">
        <f>IF(BH1937=0,"",IF('Tasks Filter'!$F$6="Descending",-1,1)*CHOOSE(MATCH('Tasks Filter'!$F$5,Lists!$G$2:$G$6,0),AW1937,BF1937,IFERROR(MATCH(AV1937,Setup!$F$6:$F$15,0),99),IFERROR(MATCH(BC1937,Setup!$H$6:$H$15,0),99),IFERROR(MATCH(AZ1937,Setup!$J$6:$J$11,0),99))*1E+9+(AW1937-40000)*10000+1936)</f>
        <v/>
      </c>
      <c r="BK1937">
        <f>IF(BI1937=1,BJ1937,"")</f>
        <v/>
      </c>
      <c r="BL1937">
        <f>IF(AND(BH1937=1,BG1937=0,N(AW1937)&lt;Setup!$D$7),(AW1937-40000)*10000+1936,"")</f>
        <v/>
      </c>
      <c r="BM1937">
        <f>IF(AND(BH1937=1,AZ1937&lt;&gt;"Cancelled",N(AW1937)&gt;=Dashboard!$AB$3,N(AW1937)&lt;=Dashboard!$AB$3+6),(AW1937-40000)*100000+BF1937*10000+1936,"")</f>
        <v/>
      </c>
      <c r="BN1937">
        <f>IF(AND(BH1937=1,AZ1937&lt;&gt;"Cancelled"),BF1937*10000+1936,"")</f>
        <v/>
      </c>
    </row>
    <row r="1938">
      <c r="AS1938" t="inlineStr">
        <is>
          <t>V</t>
        </is>
      </c>
      <c r="AT1938" t="n">
        <v>442</v>
      </c>
      <c r="AU1938">
        <f>'Variable Tasks'!C442&amp;""</f>
        <v/>
      </c>
      <c r="AV1938">
        <f>'Variable Tasks'!D442&amp;""</f>
        <v/>
      </c>
      <c r="AW1938">
        <f>IF('Variable Tasks'!E442="","",'Variable Tasks'!E442)</f>
        <v/>
      </c>
      <c r="AX1938">
        <f>IF('Variable Tasks'!G442="","",'Variable Tasks'!G442)</f>
        <v/>
      </c>
      <c r="AY1938">
        <f>IF('Variable Tasks'!H442="","",'Variable Tasks'!H442)</f>
        <v/>
      </c>
      <c r="AZ1938">
        <f>IF(AU1938="","",IF('Variable Tasks'!J442="","Not Started",'Variable Tasks'!J442))</f>
        <v/>
      </c>
      <c r="BA1938">
        <f>'Variable Tasks'!L442&amp;""</f>
        <v/>
      </c>
      <c r="BB1938">
        <f>'Variable Tasks'!M442&amp;""</f>
        <v/>
      </c>
      <c r="BC1938">
        <f>'Variable Tasks'!N442&amp;""</f>
        <v/>
      </c>
      <c r="BD1938">
        <f>'Variable Tasks'!O442&amp;""</f>
        <v/>
      </c>
      <c r="BE1938">
        <f>IF('Variable Tasks'!K442="","",'Variable Tasks'!K442)</f>
        <v/>
      </c>
      <c r="BF1938">
        <f>IFERROR(MATCH(BA1938,Setup!$L$6:$L$9,0),5)</f>
        <v/>
      </c>
      <c r="BG1938">
        <f>IF(OR(AZ1938="Done",AZ1938="Cancelled"),1,0)</f>
        <v/>
      </c>
      <c r="BH1938">
        <f>IF(AND(AU1938&lt;&gt;"",ISNUMBER(AW1938)),1,0)</f>
        <v/>
      </c>
      <c r="BI1938">
        <f>IF(BH1938=0,0,IF(AND(AW1938&gt;='Tasks Filter'!$F$3,AW1938&lt;='Tasks Filter'!$F$4,OR('Tasks Filter'!$I$3="",ISNUMBER(SEARCH('Tasks Filter'!$I$3,AU1938))),OR('Tasks Filter'!$I$4="",BF1938=IFERROR(MATCH('Tasks Filter'!$I$4,Setup!$L$6:$L$9,0),0)),OR('Tasks Filter'!$I$5="Both",AND('Tasks Filter'!$I$5="Yes",BB1938="✓"),AND('Tasks Filter'!$I$5="No",BB1938&lt;&gt;"✓")),OR('Tasks Filter'!$L$3="",AV1938='Tasks Filter'!$L$3),OR('Tasks Filter'!$L$4="",AZ1938='Tasks Filter'!$L$4),OR('Tasks Filter'!$L$5="",BC1938='Tasks Filter'!$L$5),OR('Tasks Filter'!$O$3="",BD1938='Tasks Filter'!$O$3),OR('Tasks Filter'!$O$4="Yes",BG1938=0)),1,0))</f>
        <v/>
      </c>
      <c r="BJ1938">
        <f>IF(BH1938=0,"",IF('Tasks Filter'!$F$6="Descending",-1,1)*CHOOSE(MATCH('Tasks Filter'!$F$5,Lists!$G$2:$G$6,0),AW1938,BF1938,IFERROR(MATCH(AV1938,Setup!$F$6:$F$15,0),99),IFERROR(MATCH(BC1938,Setup!$H$6:$H$15,0),99),IFERROR(MATCH(AZ1938,Setup!$J$6:$J$11,0),99))*1E+9+(AW1938-40000)*10000+1937)</f>
        <v/>
      </c>
      <c r="BK1938">
        <f>IF(BI1938=1,BJ1938,"")</f>
        <v/>
      </c>
      <c r="BL1938">
        <f>IF(AND(BH1938=1,BG1938=0,N(AW1938)&lt;Setup!$D$7),(AW1938-40000)*10000+1937,"")</f>
        <v/>
      </c>
      <c r="BM1938">
        <f>IF(AND(BH1938=1,AZ1938&lt;&gt;"Cancelled",N(AW1938)&gt;=Dashboard!$AB$3,N(AW1938)&lt;=Dashboard!$AB$3+6),(AW1938-40000)*100000+BF1938*10000+1937,"")</f>
        <v/>
      </c>
      <c r="BN1938">
        <f>IF(AND(BH1938=1,AZ1938&lt;&gt;"Cancelled"),BF1938*10000+1937,"")</f>
        <v/>
      </c>
    </row>
    <row r="1939">
      <c r="AS1939" t="inlineStr">
        <is>
          <t>V</t>
        </is>
      </c>
      <c r="AT1939" t="n">
        <v>443</v>
      </c>
      <c r="AU1939">
        <f>'Variable Tasks'!C443&amp;""</f>
        <v/>
      </c>
      <c r="AV1939">
        <f>'Variable Tasks'!D443&amp;""</f>
        <v/>
      </c>
      <c r="AW1939">
        <f>IF('Variable Tasks'!E443="","",'Variable Tasks'!E443)</f>
        <v/>
      </c>
      <c r="AX1939">
        <f>IF('Variable Tasks'!G443="","",'Variable Tasks'!G443)</f>
        <v/>
      </c>
      <c r="AY1939">
        <f>IF('Variable Tasks'!H443="","",'Variable Tasks'!H443)</f>
        <v/>
      </c>
      <c r="AZ1939">
        <f>IF(AU1939="","",IF('Variable Tasks'!J443="","Not Started",'Variable Tasks'!J443))</f>
        <v/>
      </c>
      <c r="BA1939">
        <f>'Variable Tasks'!L443&amp;""</f>
        <v/>
      </c>
      <c r="BB1939">
        <f>'Variable Tasks'!M443&amp;""</f>
        <v/>
      </c>
      <c r="BC1939">
        <f>'Variable Tasks'!N443&amp;""</f>
        <v/>
      </c>
      <c r="BD1939">
        <f>'Variable Tasks'!O443&amp;""</f>
        <v/>
      </c>
      <c r="BE1939">
        <f>IF('Variable Tasks'!K443="","",'Variable Tasks'!K443)</f>
        <v/>
      </c>
      <c r="BF1939">
        <f>IFERROR(MATCH(BA1939,Setup!$L$6:$L$9,0),5)</f>
        <v/>
      </c>
      <c r="BG1939">
        <f>IF(OR(AZ1939="Done",AZ1939="Cancelled"),1,0)</f>
        <v/>
      </c>
      <c r="BH1939">
        <f>IF(AND(AU1939&lt;&gt;"",ISNUMBER(AW1939)),1,0)</f>
        <v/>
      </c>
      <c r="BI1939">
        <f>IF(BH1939=0,0,IF(AND(AW1939&gt;='Tasks Filter'!$F$3,AW1939&lt;='Tasks Filter'!$F$4,OR('Tasks Filter'!$I$3="",ISNUMBER(SEARCH('Tasks Filter'!$I$3,AU1939))),OR('Tasks Filter'!$I$4="",BF1939=IFERROR(MATCH('Tasks Filter'!$I$4,Setup!$L$6:$L$9,0),0)),OR('Tasks Filter'!$I$5="Both",AND('Tasks Filter'!$I$5="Yes",BB1939="✓"),AND('Tasks Filter'!$I$5="No",BB1939&lt;&gt;"✓")),OR('Tasks Filter'!$L$3="",AV1939='Tasks Filter'!$L$3),OR('Tasks Filter'!$L$4="",AZ1939='Tasks Filter'!$L$4),OR('Tasks Filter'!$L$5="",BC1939='Tasks Filter'!$L$5),OR('Tasks Filter'!$O$3="",BD1939='Tasks Filter'!$O$3),OR('Tasks Filter'!$O$4="Yes",BG1939=0)),1,0))</f>
        <v/>
      </c>
      <c r="BJ1939">
        <f>IF(BH1939=0,"",IF('Tasks Filter'!$F$6="Descending",-1,1)*CHOOSE(MATCH('Tasks Filter'!$F$5,Lists!$G$2:$G$6,0),AW1939,BF1939,IFERROR(MATCH(AV1939,Setup!$F$6:$F$15,0),99),IFERROR(MATCH(BC1939,Setup!$H$6:$H$15,0),99),IFERROR(MATCH(AZ1939,Setup!$J$6:$J$11,0),99))*1E+9+(AW1939-40000)*10000+1938)</f>
        <v/>
      </c>
      <c r="BK1939">
        <f>IF(BI1939=1,BJ1939,"")</f>
        <v/>
      </c>
      <c r="BL1939">
        <f>IF(AND(BH1939=1,BG1939=0,N(AW1939)&lt;Setup!$D$7),(AW1939-40000)*10000+1938,"")</f>
        <v/>
      </c>
      <c r="BM1939">
        <f>IF(AND(BH1939=1,AZ1939&lt;&gt;"Cancelled",N(AW1939)&gt;=Dashboard!$AB$3,N(AW1939)&lt;=Dashboard!$AB$3+6),(AW1939-40000)*100000+BF1939*10000+1938,"")</f>
        <v/>
      </c>
      <c r="BN1939">
        <f>IF(AND(BH1939=1,AZ1939&lt;&gt;"Cancelled"),BF1939*10000+1938,"")</f>
        <v/>
      </c>
    </row>
    <row r="1940">
      <c r="AS1940" t="inlineStr">
        <is>
          <t>V</t>
        </is>
      </c>
      <c r="AT1940" t="n">
        <v>444</v>
      </c>
      <c r="AU1940">
        <f>'Variable Tasks'!C444&amp;""</f>
        <v/>
      </c>
      <c r="AV1940">
        <f>'Variable Tasks'!D444&amp;""</f>
        <v/>
      </c>
      <c r="AW1940">
        <f>IF('Variable Tasks'!E444="","",'Variable Tasks'!E444)</f>
        <v/>
      </c>
      <c r="AX1940">
        <f>IF('Variable Tasks'!G444="","",'Variable Tasks'!G444)</f>
        <v/>
      </c>
      <c r="AY1940">
        <f>IF('Variable Tasks'!H444="","",'Variable Tasks'!H444)</f>
        <v/>
      </c>
      <c r="AZ1940">
        <f>IF(AU1940="","",IF('Variable Tasks'!J444="","Not Started",'Variable Tasks'!J444))</f>
        <v/>
      </c>
      <c r="BA1940">
        <f>'Variable Tasks'!L444&amp;""</f>
        <v/>
      </c>
      <c r="BB1940">
        <f>'Variable Tasks'!M444&amp;""</f>
        <v/>
      </c>
      <c r="BC1940">
        <f>'Variable Tasks'!N444&amp;""</f>
        <v/>
      </c>
      <c r="BD1940">
        <f>'Variable Tasks'!O444&amp;""</f>
        <v/>
      </c>
      <c r="BE1940">
        <f>IF('Variable Tasks'!K444="","",'Variable Tasks'!K444)</f>
        <v/>
      </c>
      <c r="BF1940">
        <f>IFERROR(MATCH(BA1940,Setup!$L$6:$L$9,0),5)</f>
        <v/>
      </c>
      <c r="BG1940">
        <f>IF(OR(AZ1940="Done",AZ1940="Cancelled"),1,0)</f>
        <v/>
      </c>
      <c r="BH1940">
        <f>IF(AND(AU1940&lt;&gt;"",ISNUMBER(AW1940)),1,0)</f>
        <v/>
      </c>
      <c r="BI1940">
        <f>IF(BH1940=0,0,IF(AND(AW1940&gt;='Tasks Filter'!$F$3,AW1940&lt;='Tasks Filter'!$F$4,OR('Tasks Filter'!$I$3="",ISNUMBER(SEARCH('Tasks Filter'!$I$3,AU1940))),OR('Tasks Filter'!$I$4="",BF1940=IFERROR(MATCH('Tasks Filter'!$I$4,Setup!$L$6:$L$9,0),0)),OR('Tasks Filter'!$I$5="Both",AND('Tasks Filter'!$I$5="Yes",BB1940="✓"),AND('Tasks Filter'!$I$5="No",BB1940&lt;&gt;"✓")),OR('Tasks Filter'!$L$3="",AV1940='Tasks Filter'!$L$3),OR('Tasks Filter'!$L$4="",AZ1940='Tasks Filter'!$L$4),OR('Tasks Filter'!$L$5="",BC1940='Tasks Filter'!$L$5),OR('Tasks Filter'!$O$3="",BD1940='Tasks Filter'!$O$3),OR('Tasks Filter'!$O$4="Yes",BG1940=0)),1,0))</f>
        <v/>
      </c>
      <c r="BJ1940">
        <f>IF(BH1940=0,"",IF('Tasks Filter'!$F$6="Descending",-1,1)*CHOOSE(MATCH('Tasks Filter'!$F$5,Lists!$G$2:$G$6,0),AW1940,BF1940,IFERROR(MATCH(AV1940,Setup!$F$6:$F$15,0),99),IFERROR(MATCH(BC1940,Setup!$H$6:$H$15,0),99),IFERROR(MATCH(AZ1940,Setup!$J$6:$J$11,0),99))*1E+9+(AW1940-40000)*10000+1939)</f>
        <v/>
      </c>
      <c r="BK1940">
        <f>IF(BI1940=1,BJ1940,"")</f>
        <v/>
      </c>
      <c r="BL1940">
        <f>IF(AND(BH1940=1,BG1940=0,N(AW1940)&lt;Setup!$D$7),(AW1940-40000)*10000+1939,"")</f>
        <v/>
      </c>
      <c r="BM1940">
        <f>IF(AND(BH1940=1,AZ1940&lt;&gt;"Cancelled",N(AW1940)&gt;=Dashboard!$AB$3,N(AW1940)&lt;=Dashboard!$AB$3+6),(AW1940-40000)*100000+BF1940*10000+1939,"")</f>
        <v/>
      </c>
      <c r="BN1940">
        <f>IF(AND(BH1940=1,AZ1940&lt;&gt;"Cancelled"),BF1940*10000+1939,"")</f>
        <v/>
      </c>
    </row>
    <row r="1941">
      <c r="AS1941" t="inlineStr">
        <is>
          <t>V</t>
        </is>
      </c>
      <c r="AT1941" t="n">
        <v>445</v>
      </c>
      <c r="AU1941">
        <f>'Variable Tasks'!C445&amp;""</f>
        <v/>
      </c>
      <c r="AV1941">
        <f>'Variable Tasks'!D445&amp;""</f>
        <v/>
      </c>
      <c r="AW1941">
        <f>IF('Variable Tasks'!E445="","",'Variable Tasks'!E445)</f>
        <v/>
      </c>
      <c r="AX1941">
        <f>IF('Variable Tasks'!G445="","",'Variable Tasks'!G445)</f>
        <v/>
      </c>
      <c r="AY1941">
        <f>IF('Variable Tasks'!H445="","",'Variable Tasks'!H445)</f>
        <v/>
      </c>
      <c r="AZ1941">
        <f>IF(AU1941="","",IF('Variable Tasks'!J445="","Not Started",'Variable Tasks'!J445))</f>
        <v/>
      </c>
      <c r="BA1941">
        <f>'Variable Tasks'!L445&amp;""</f>
        <v/>
      </c>
      <c r="BB1941">
        <f>'Variable Tasks'!M445&amp;""</f>
        <v/>
      </c>
      <c r="BC1941">
        <f>'Variable Tasks'!N445&amp;""</f>
        <v/>
      </c>
      <c r="BD1941">
        <f>'Variable Tasks'!O445&amp;""</f>
        <v/>
      </c>
      <c r="BE1941">
        <f>IF('Variable Tasks'!K445="","",'Variable Tasks'!K445)</f>
        <v/>
      </c>
      <c r="BF1941">
        <f>IFERROR(MATCH(BA1941,Setup!$L$6:$L$9,0),5)</f>
        <v/>
      </c>
      <c r="BG1941">
        <f>IF(OR(AZ1941="Done",AZ1941="Cancelled"),1,0)</f>
        <v/>
      </c>
      <c r="BH1941">
        <f>IF(AND(AU1941&lt;&gt;"",ISNUMBER(AW1941)),1,0)</f>
        <v/>
      </c>
      <c r="BI1941">
        <f>IF(BH1941=0,0,IF(AND(AW1941&gt;='Tasks Filter'!$F$3,AW1941&lt;='Tasks Filter'!$F$4,OR('Tasks Filter'!$I$3="",ISNUMBER(SEARCH('Tasks Filter'!$I$3,AU1941))),OR('Tasks Filter'!$I$4="",BF1941=IFERROR(MATCH('Tasks Filter'!$I$4,Setup!$L$6:$L$9,0),0)),OR('Tasks Filter'!$I$5="Both",AND('Tasks Filter'!$I$5="Yes",BB1941="✓"),AND('Tasks Filter'!$I$5="No",BB1941&lt;&gt;"✓")),OR('Tasks Filter'!$L$3="",AV1941='Tasks Filter'!$L$3),OR('Tasks Filter'!$L$4="",AZ1941='Tasks Filter'!$L$4),OR('Tasks Filter'!$L$5="",BC1941='Tasks Filter'!$L$5),OR('Tasks Filter'!$O$3="",BD1941='Tasks Filter'!$O$3),OR('Tasks Filter'!$O$4="Yes",BG1941=0)),1,0))</f>
        <v/>
      </c>
      <c r="BJ1941">
        <f>IF(BH1941=0,"",IF('Tasks Filter'!$F$6="Descending",-1,1)*CHOOSE(MATCH('Tasks Filter'!$F$5,Lists!$G$2:$G$6,0),AW1941,BF1941,IFERROR(MATCH(AV1941,Setup!$F$6:$F$15,0),99),IFERROR(MATCH(BC1941,Setup!$H$6:$H$15,0),99),IFERROR(MATCH(AZ1941,Setup!$J$6:$J$11,0),99))*1E+9+(AW1941-40000)*10000+1940)</f>
        <v/>
      </c>
      <c r="BK1941">
        <f>IF(BI1941=1,BJ1941,"")</f>
        <v/>
      </c>
      <c r="BL1941">
        <f>IF(AND(BH1941=1,BG1941=0,N(AW1941)&lt;Setup!$D$7),(AW1941-40000)*10000+1940,"")</f>
        <v/>
      </c>
      <c r="BM1941">
        <f>IF(AND(BH1941=1,AZ1941&lt;&gt;"Cancelled",N(AW1941)&gt;=Dashboard!$AB$3,N(AW1941)&lt;=Dashboard!$AB$3+6),(AW1941-40000)*100000+BF1941*10000+1940,"")</f>
        <v/>
      </c>
      <c r="BN1941">
        <f>IF(AND(BH1941=1,AZ1941&lt;&gt;"Cancelled"),BF1941*10000+1940,"")</f>
        <v/>
      </c>
    </row>
    <row r="1942">
      <c r="AS1942" t="inlineStr">
        <is>
          <t>V</t>
        </is>
      </c>
      <c r="AT1942" t="n">
        <v>446</v>
      </c>
      <c r="AU1942">
        <f>'Variable Tasks'!C446&amp;""</f>
        <v/>
      </c>
      <c r="AV1942">
        <f>'Variable Tasks'!D446&amp;""</f>
        <v/>
      </c>
      <c r="AW1942">
        <f>IF('Variable Tasks'!E446="","",'Variable Tasks'!E446)</f>
        <v/>
      </c>
      <c r="AX1942">
        <f>IF('Variable Tasks'!G446="","",'Variable Tasks'!G446)</f>
        <v/>
      </c>
      <c r="AY1942">
        <f>IF('Variable Tasks'!H446="","",'Variable Tasks'!H446)</f>
        <v/>
      </c>
      <c r="AZ1942">
        <f>IF(AU1942="","",IF('Variable Tasks'!J446="","Not Started",'Variable Tasks'!J446))</f>
        <v/>
      </c>
      <c r="BA1942">
        <f>'Variable Tasks'!L446&amp;""</f>
        <v/>
      </c>
      <c r="BB1942">
        <f>'Variable Tasks'!M446&amp;""</f>
        <v/>
      </c>
      <c r="BC1942">
        <f>'Variable Tasks'!N446&amp;""</f>
        <v/>
      </c>
      <c r="BD1942">
        <f>'Variable Tasks'!O446&amp;""</f>
        <v/>
      </c>
      <c r="BE1942">
        <f>IF('Variable Tasks'!K446="","",'Variable Tasks'!K446)</f>
        <v/>
      </c>
      <c r="BF1942">
        <f>IFERROR(MATCH(BA1942,Setup!$L$6:$L$9,0),5)</f>
        <v/>
      </c>
      <c r="BG1942">
        <f>IF(OR(AZ1942="Done",AZ1942="Cancelled"),1,0)</f>
        <v/>
      </c>
      <c r="BH1942">
        <f>IF(AND(AU1942&lt;&gt;"",ISNUMBER(AW1942)),1,0)</f>
        <v/>
      </c>
      <c r="BI1942">
        <f>IF(BH1942=0,0,IF(AND(AW1942&gt;='Tasks Filter'!$F$3,AW1942&lt;='Tasks Filter'!$F$4,OR('Tasks Filter'!$I$3="",ISNUMBER(SEARCH('Tasks Filter'!$I$3,AU1942))),OR('Tasks Filter'!$I$4="",BF1942=IFERROR(MATCH('Tasks Filter'!$I$4,Setup!$L$6:$L$9,0),0)),OR('Tasks Filter'!$I$5="Both",AND('Tasks Filter'!$I$5="Yes",BB1942="✓"),AND('Tasks Filter'!$I$5="No",BB1942&lt;&gt;"✓")),OR('Tasks Filter'!$L$3="",AV1942='Tasks Filter'!$L$3),OR('Tasks Filter'!$L$4="",AZ1942='Tasks Filter'!$L$4),OR('Tasks Filter'!$L$5="",BC1942='Tasks Filter'!$L$5),OR('Tasks Filter'!$O$3="",BD1942='Tasks Filter'!$O$3),OR('Tasks Filter'!$O$4="Yes",BG1942=0)),1,0))</f>
        <v/>
      </c>
      <c r="BJ1942">
        <f>IF(BH1942=0,"",IF('Tasks Filter'!$F$6="Descending",-1,1)*CHOOSE(MATCH('Tasks Filter'!$F$5,Lists!$G$2:$G$6,0),AW1942,BF1942,IFERROR(MATCH(AV1942,Setup!$F$6:$F$15,0),99),IFERROR(MATCH(BC1942,Setup!$H$6:$H$15,0),99),IFERROR(MATCH(AZ1942,Setup!$J$6:$J$11,0),99))*1E+9+(AW1942-40000)*10000+1941)</f>
        <v/>
      </c>
      <c r="BK1942">
        <f>IF(BI1942=1,BJ1942,"")</f>
        <v/>
      </c>
      <c r="BL1942">
        <f>IF(AND(BH1942=1,BG1942=0,N(AW1942)&lt;Setup!$D$7),(AW1942-40000)*10000+1941,"")</f>
        <v/>
      </c>
      <c r="BM1942">
        <f>IF(AND(BH1942=1,AZ1942&lt;&gt;"Cancelled",N(AW1942)&gt;=Dashboard!$AB$3,N(AW1942)&lt;=Dashboard!$AB$3+6),(AW1942-40000)*100000+BF1942*10000+1941,"")</f>
        <v/>
      </c>
      <c r="BN1942">
        <f>IF(AND(BH1942=1,AZ1942&lt;&gt;"Cancelled"),BF1942*10000+1941,"")</f>
        <v/>
      </c>
    </row>
    <row r="1943">
      <c r="AS1943" t="inlineStr">
        <is>
          <t>V</t>
        </is>
      </c>
      <c r="AT1943" t="n">
        <v>447</v>
      </c>
      <c r="AU1943">
        <f>'Variable Tasks'!C447&amp;""</f>
        <v/>
      </c>
      <c r="AV1943">
        <f>'Variable Tasks'!D447&amp;""</f>
        <v/>
      </c>
      <c r="AW1943">
        <f>IF('Variable Tasks'!E447="","",'Variable Tasks'!E447)</f>
        <v/>
      </c>
      <c r="AX1943">
        <f>IF('Variable Tasks'!G447="","",'Variable Tasks'!G447)</f>
        <v/>
      </c>
      <c r="AY1943">
        <f>IF('Variable Tasks'!H447="","",'Variable Tasks'!H447)</f>
        <v/>
      </c>
      <c r="AZ1943">
        <f>IF(AU1943="","",IF('Variable Tasks'!J447="","Not Started",'Variable Tasks'!J447))</f>
        <v/>
      </c>
      <c r="BA1943">
        <f>'Variable Tasks'!L447&amp;""</f>
        <v/>
      </c>
      <c r="BB1943">
        <f>'Variable Tasks'!M447&amp;""</f>
        <v/>
      </c>
      <c r="BC1943">
        <f>'Variable Tasks'!N447&amp;""</f>
        <v/>
      </c>
      <c r="BD1943">
        <f>'Variable Tasks'!O447&amp;""</f>
        <v/>
      </c>
      <c r="BE1943">
        <f>IF('Variable Tasks'!K447="","",'Variable Tasks'!K447)</f>
        <v/>
      </c>
      <c r="BF1943">
        <f>IFERROR(MATCH(BA1943,Setup!$L$6:$L$9,0),5)</f>
        <v/>
      </c>
      <c r="BG1943">
        <f>IF(OR(AZ1943="Done",AZ1943="Cancelled"),1,0)</f>
        <v/>
      </c>
      <c r="BH1943">
        <f>IF(AND(AU1943&lt;&gt;"",ISNUMBER(AW1943)),1,0)</f>
        <v/>
      </c>
      <c r="BI1943">
        <f>IF(BH1943=0,0,IF(AND(AW1943&gt;='Tasks Filter'!$F$3,AW1943&lt;='Tasks Filter'!$F$4,OR('Tasks Filter'!$I$3="",ISNUMBER(SEARCH('Tasks Filter'!$I$3,AU1943))),OR('Tasks Filter'!$I$4="",BF1943=IFERROR(MATCH('Tasks Filter'!$I$4,Setup!$L$6:$L$9,0),0)),OR('Tasks Filter'!$I$5="Both",AND('Tasks Filter'!$I$5="Yes",BB1943="✓"),AND('Tasks Filter'!$I$5="No",BB1943&lt;&gt;"✓")),OR('Tasks Filter'!$L$3="",AV1943='Tasks Filter'!$L$3),OR('Tasks Filter'!$L$4="",AZ1943='Tasks Filter'!$L$4),OR('Tasks Filter'!$L$5="",BC1943='Tasks Filter'!$L$5),OR('Tasks Filter'!$O$3="",BD1943='Tasks Filter'!$O$3),OR('Tasks Filter'!$O$4="Yes",BG1943=0)),1,0))</f>
        <v/>
      </c>
      <c r="BJ1943">
        <f>IF(BH1943=0,"",IF('Tasks Filter'!$F$6="Descending",-1,1)*CHOOSE(MATCH('Tasks Filter'!$F$5,Lists!$G$2:$G$6,0),AW1943,BF1943,IFERROR(MATCH(AV1943,Setup!$F$6:$F$15,0),99),IFERROR(MATCH(BC1943,Setup!$H$6:$H$15,0),99),IFERROR(MATCH(AZ1943,Setup!$J$6:$J$11,0),99))*1E+9+(AW1943-40000)*10000+1942)</f>
        <v/>
      </c>
      <c r="BK1943">
        <f>IF(BI1943=1,BJ1943,"")</f>
        <v/>
      </c>
      <c r="BL1943">
        <f>IF(AND(BH1943=1,BG1943=0,N(AW1943)&lt;Setup!$D$7),(AW1943-40000)*10000+1942,"")</f>
        <v/>
      </c>
      <c r="BM1943">
        <f>IF(AND(BH1943=1,AZ1943&lt;&gt;"Cancelled",N(AW1943)&gt;=Dashboard!$AB$3,N(AW1943)&lt;=Dashboard!$AB$3+6),(AW1943-40000)*100000+BF1943*10000+1942,"")</f>
        <v/>
      </c>
      <c r="BN1943">
        <f>IF(AND(BH1943=1,AZ1943&lt;&gt;"Cancelled"),BF1943*10000+1942,"")</f>
        <v/>
      </c>
    </row>
    <row r="1944">
      <c r="AS1944" t="inlineStr">
        <is>
          <t>V</t>
        </is>
      </c>
      <c r="AT1944" t="n">
        <v>448</v>
      </c>
      <c r="AU1944">
        <f>'Variable Tasks'!C448&amp;""</f>
        <v/>
      </c>
      <c r="AV1944">
        <f>'Variable Tasks'!D448&amp;""</f>
        <v/>
      </c>
      <c r="AW1944">
        <f>IF('Variable Tasks'!E448="","",'Variable Tasks'!E448)</f>
        <v/>
      </c>
      <c r="AX1944">
        <f>IF('Variable Tasks'!G448="","",'Variable Tasks'!G448)</f>
        <v/>
      </c>
      <c r="AY1944">
        <f>IF('Variable Tasks'!H448="","",'Variable Tasks'!H448)</f>
        <v/>
      </c>
      <c r="AZ1944">
        <f>IF(AU1944="","",IF('Variable Tasks'!J448="","Not Started",'Variable Tasks'!J448))</f>
        <v/>
      </c>
      <c r="BA1944">
        <f>'Variable Tasks'!L448&amp;""</f>
        <v/>
      </c>
      <c r="BB1944">
        <f>'Variable Tasks'!M448&amp;""</f>
        <v/>
      </c>
      <c r="BC1944">
        <f>'Variable Tasks'!N448&amp;""</f>
        <v/>
      </c>
      <c r="BD1944">
        <f>'Variable Tasks'!O448&amp;""</f>
        <v/>
      </c>
      <c r="BE1944">
        <f>IF('Variable Tasks'!K448="","",'Variable Tasks'!K448)</f>
        <v/>
      </c>
      <c r="BF1944">
        <f>IFERROR(MATCH(BA1944,Setup!$L$6:$L$9,0),5)</f>
        <v/>
      </c>
      <c r="BG1944">
        <f>IF(OR(AZ1944="Done",AZ1944="Cancelled"),1,0)</f>
        <v/>
      </c>
      <c r="BH1944">
        <f>IF(AND(AU1944&lt;&gt;"",ISNUMBER(AW1944)),1,0)</f>
        <v/>
      </c>
      <c r="BI1944">
        <f>IF(BH1944=0,0,IF(AND(AW1944&gt;='Tasks Filter'!$F$3,AW1944&lt;='Tasks Filter'!$F$4,OR('Tasks Filter'!$I$3="",ISNUMBER(SEARCH('Tasks Filter'!$I$3,AU1944))),OR('Tasks Filter'!$I$4="",BF1944=IFERROR(MATCH('Tasks Filter'!$I$4,Setup!$L$6:$L$9,0),0)),OR('Tasks Filter'!$I$5="Both",AND('Tasks Filter'!$I$5="Yes",BB1944="✓"),AND('Tasks Filter'!$I$5="No",BB1944&lt;&gt;"✓")),OR('Tasks Filter'!$L$3="",AV1944='Tasks Filter'!$L$3),OR('Tasks Filter'!$L$4="",AZ1944='Tasks Filter'!$L$4),OR('Tasks Filter'!$L$5="",BC1944='Tasks Filter'!$L$5),OR('Tasks Filter'!$O$3="",BD1944='Tasks Filter'!$O$3),OR('Tasks Filter'!$O$4="Yes",BG1944=0)),1,0))</f>
        <v/>
      </c>
      <c r="BJ1944">
        <f>IF(BH1944=0,"",IF('Tasks Filter'!$F$6="Descending",-1,1)*CHOOSE(MATCH('Tasks Filter'!$F$5,Lists!$G$2:$G$6,0),AW1944,BF1944,IFERROR(MATCH(AV1944,Setup!$F$6:$F$15,0),99),IFERROR(MATCH(BC1944,Setup!$H$6:$H$15,0),99),IFERROR(MATCH(AZ1944,Setup!$J$6:$J$11,0),99))*1E+9+(AW1944-40000)*10000+1943)</f>
        <v/>
      </c>
      <c r="BK1944">
        <f>IF(BI1944=1,BJ1944,"")</f>
        <v/>
      </c>
      <c r="BL1944">
        <f>IF(AND(BH1944=1,BG1944=0,N(AW1944)&lt;Setup!$D$7),(AW1944-40000)*10000+1943,"")</f>
        <v/>
      </c>
      <c r="BM1944">
        <f>IF(AND(BH1944=1,AZ1944&lt;&gt;"Cancelled",N(AW1944)&gt;=Dashboard!$AB$3,N(AW1944)&lt;=Dashboard!$AB$3+6),(AW1944-40000)*100000+BF1944*10000+1943,"")</f>
        <v/>
      </c>
      <c r="BN1944">
        <f>IF(AND(BH1944=1,AZ1944&lt;&gt;"Cancelled"),BF1944*10000+1943,"")</f>
        <v/>
      </c>
    </row>
    <row r="1945">
      <c r="AS1945" t="inlineStr">
        <is>
          <t>V</t>
        </is>
      </c>
      <c r="AT1945" t="n">
        <v>449</v>
      </c>
      <c r="AU1945">
        <f>'Variable Tasks'!C449&amp;""</f>
        <v/>
      </c>
      <c r="AV1945">
        <f>'Variable Tasks'!D449&amp;""</f>
        <v/>
      </c>
      <c r="AW1945">
        <f>IF('Variable Tasks'!E449="","",'Variable Tasks'!E449)</f>
        <v/>
      </c>
      <c r="AX1945">
        <f>IF('Variable Tasks'!G449="","",'Variable Tasks'!G449)</f>
        <v/>
      </c>
      <c r="AY1945">
        <f>IF('Variable Tasks'!H449="","",'Variable Tasks'!H449)</f>
        <v/>
      </c>
      <c r="AZ1945">
        <f>IF(AU1945="","",IF('Variable Tasks'!J449="","Not Started",'Variable Tasks'!J449))</f>
        <v/>
      </c>
      <c r="BA1945">
        <f>'Variable Tasks'!L449&amp;""</f>
        <v/>
      </c>
      <c r="BB1945">
        <f>'Variable Tasks'!M449&amp;""</f>
        <v/>
      </c>
      <c r="BC1945">
        <f>'Variable Tasks'!N449&amp;""</f>
        <v/>
      </c>
      <c r="BD1945">
        <f>'Variable Tasks'!O449&amp;""</f>
        <v/>
      </c>
      <c r="BE1945">
        <f>IF('Variable Tasks'!K449="","",'Variable Tasks'!K449)</f>
        <v/>
      </c>
      <c r="BF1945">
        <f>IFERROR(MATCH(BA1945,Setup!$L$6:$L$9,0),5)</f>
        <v/>
      </c>
      <c r="BG1945">
        <f>IF(OR(AZ1945="Done",AZ1945="Cancelled"),1,0)</f>
        <v/>
      </c>
      <c r="BH1945">
        <f>IF(AND(AU1945&lt;&gt;"",ISNUMBER(AW1945)),1,0)</f>
        <v/>
      </c>
      <c r="BI1945">
        <f>IF(BH1945=0,0,IF(AND(AW1945&gt;='Tasks Filter'!$F$3,AW1945&lt;='Tasks Filter'!$F$4,OR('Tasks Filter'!$I$3="",ISNUMBER(SEARCH('Tasks Filter'!$I$3,AU1945))),OR('Tasks Filter'!$I$4="",BF1945=IFERROR(MATCH('Tasks Filter'!$I$4,Setup!$L$6:$L$9,0),0)),OR('Tasks Filter'!$I$5="Both",AND('Tasks Filter'!$I$5="Yes",BB1945="✓"),AND('Tasks Filter'!$I$5="No",BB1945&lt;&gt;"✓")),OR('Tasks Filter'!$L$3="",AV1945='Tasks Filter'!$L$3),OR('Tasks Filter'!$L$4="",AZ1945='Tasks Filter'!$L$4),OR('Tasks Filter'!$L$5="",BC1945='Tasks Filter'!$L$5),OR('Tasks Filter'!$O$3="",BD1945='Tasks Filter'!$O$3),OR('Tasks Filter'!$O$4="Yes",BG1945=0)),1,0))</f>
        <v/>
      </c>
      <c r="BJ1945">
        <f>IF(BH1945=0,"",IF('Tasks Filter'!$F$6="Descending",-1,1)*CHOOSE(MATCH('Tasks Filter'!$F$5,Lists!$G$2:$G$6,0),AW1945,BF1945,IFERROR(MATCH(AV1945,Setup!$F$6:$F$15,0),99),IFERROR(MATCH(BC1945,Setup!$H$6:$H$15,0),99),IFERROR(MATCH(AZ1945,Setup!$J$6:$J$11,0),99))*1E+9+(AW1945-40000)*10000+1944)</f>
        <v/>
      </c>
      <c r="BK1945">
        <f>IF(BI1945=1,BJ1945,"")</f>
        <v/>
      </c>
      <c r="BL1945">
        <f>IF(AND(BH1945=1,BG1945=0,N(AW1945)&lt;Setup!$D$7),(AW1945-40000)*10000+1944,"")</f>
        <v/>
      </c>
      <c r="BM1945">
        <f>IF(AND(BH1945=1,AZ1945&lt;&gt;"Cancelled",N(AW1945)&gt;=Dashboard!$AB$3,N(AW1945)&lt;=Dashboard!$AB$3+6),(AW1945-40000)*100000+BF1945*10000+1944,"")</f>
        <v/>
      </c>
      <c r="BN1945">
        <f>IF(AND(BH1945=1,AZ1945&lt;&gt;"Cancelled"),BF1945*10000+1944,"")</f>
        <v/>
      </c>
    </row>
    <row r="1946">
      <c r="AS1946" t="inlineStr">
        <is>
          <t>V</t>
        </is>
      </c>
      <c r="AT1946" t="n">
        <v>450</v>
      </c>
      <c r="AU1946">
        <f>'Variable Tasks'!C450&amp;""</f>
        <v/>
      </c>
      <c r="AV1946">
        <f>'Variable Tasks'!D450&amp;""</f>
        <v/>
      </c>
      <c r="AW1946">
        <f>IF('Variable Tasks'!E450="","",'Variable Tasks'!E450)</f>
        <v/>
      </c>
      <c r="AX1946">
        <f>IF('Variable Tasks'!G450="","",'Variable Tasks'!G450)</f>
        <v/>
      </c>
      <c r="AY1946">
        <f>IF('Variable Tasks'!H450="","",'Variable Tasks'!H450)</f>
        <v/>
      </c>
      <c r="AZ1946">
        <f>IF(AU1946="","",IF('Variable Tasks'!J450="","Not Started",'Variable Tasks'!J450))</f>
        <v/>
      </c>
      <c r="BA1946">
        <f>'Variable Tasks'!L450&amp;""</f>
        <v/>
      </c>
      <c r="BB1946">
        <f>'Variable Tasks'!M450&amp;""</f>
        <v/>
      </c>
      <c r="BC1946">
        <f>'Variable Tasks'!N450&amp;""</f>
        <v/>
      </c>
      <c r="BD1946">
        <f>'Variable Tasks'!O450&amp;""</f>
        <v/>
      </c>
      <c r="BE1946">
        <f>IF('Variable Tasks'!K450="","",'Variable Tasks'!K450)</f>
        <v/>
      </c>
      <c r="BF1946">
        <f>IFERROR(MATCH(BA1946,Setup!$L$6:$L$9,0),5)</f>
        <v/>
      </c>
      <c r="BG1946">
        <f>IF(OR(AZ1946="Done",AZ1946="Cancelled"),1,0)</f>
        <v/>
      </c>
      <c r="BH1946">
        <f>IF(AND(AU1946&lt;&gt;"",ISNUMBER(AW1946)),1,0)</f>
        <v/>
      </c>
      <c r="BI1946">
        <f>IF(BH1946=0,0,IF(AND(AW1946&gt;='Tasks Filter'!$F$3,AW1946&lt;='Tasks Filter'!$F$4,OR('Tasks Filter'!$I$3="",ISNUMBER(SEARCH('Tasks Filter'!$I$3,AU1946))),OR('Tasks Filter'!$I$4="",BF1946=IFERROR(MATCH('Tasks Filter'!$I$4,Setup!$L$6:$L$9,0),0)),OR('Tasks Filter'!$I$5="Both",AND('Tasks Filter'!$I$5="Yes",BB1946="✓"),AND('Tasks Filter'!$I$5="No",BB1946&lt;&gt;"✓")),OR('Tasks Filter'!$L$3="",AV1946='Tasks Filter'!$L$3),OR('Tasks Filter'!$L$4="",AZ1946='Tasks Filter'!$L$4),OR('Tasks Filter'!$L$5="",BC1946='Tasks Filter'!$L$5),OR('Tasks Filter'!$O$3="",BD1946='Tasks Filter'!$O$3),OR('Tasks Filter'!$O$4="Yes",BG1946=0)),1,0))</f>
        <v/>
      </c>
      <c r="BJ1946">
        <f>IF(BH1946=0,"",IF('Tasks Filter'!$F$6="Descending",-1,1)*CHOOSE(MATCH('Tasks Filter'!$F$5,Lists!$G$2:$G$6,0),AW1946,BF1946,IFERROR(MATCH(AV1946,Setup!$F$6:$F$15,0),99),IFERROR(MATCH(BC1946,Setup!$H$6:$H$15,0),99),IFERROR(MATCH(AZ1946,Setup!$J$6:$J$11,0),99))*1E+9+(AW1946-40000)*10000+1945)</f>
        <v/>
      </c>
      <c r="BK1946">
        <f>IF(BI1946=1,BJ1946,"")</f>
        <v/>
      </c>
      <c r="BL1946">
        <f>IF(AND(BH1946=1,BG1946=0,N(AW1946)&lt;Setup!$D$7),(AW1946-40000)*10000+1945,"")</f>
        <v/>
      </c>
      <c r="BM1946">
        <f>IF(AND(BH1946=1,AZ1946&lt;&gt;"Cancelled",N(AW1946)&gt;=Dashboard!$AB$3,N(AW1946)&lt;=Dashboard!$AB$3+6),(AW1946-40000)*100000+BF1946*10000+1945,"")</f>
        <v/>
      </c>
      <c r="BN1946">
        <f>IF(AND(BH1946=1,AZ1946&lt;&gt;"Cancelled"),BF1946*10000+1945,"")</f>
        <v/>
      </c>
    </row>
    <row r="1947">
      <c r="AS1947" t="inlineStr">
        <is>
          <t>V</t>
        </is>
      </c>
      <c r="AT1947" t="n">
        <v>451</v>
      </c>
      <c r="AU1947">
        <f>'Variable Tasks'!C451&amp;""</f>
        <v/>
      </c>
      <c r="AV1947">
        <f>'Variable Tasks'!D451&amp;""</f>
        <v/>
      </c>
      <c r="AW1947">
        <f>IF('Variable Tasks'!E451="","",'Variable Tasks'!E451)</f>
        <v/>
      </c>
      <c r="AX1947">
        <f>IF('Variable Tasks'!G451="","",'Variable Tasks'!G451)</f>
        <v/>
      </c>
      <c r="AY1947">
        <f>IF('Variable Tasks'!H451="","",'Variable Tasks'!H451)</f>
        <v/>
      </c>
      <c r="AZ1947">
        <f>IF(AU1947="","",IF('Variable Tasks'!J451="","Not Started",'Variable Tasks'!J451))</f>
        <v/>
      </c>
      <c r="BA1947">
        <f>'Variable Tasks'!L451&amp;""</f>
        <v/>
      </c>
      <c r="BB1947">
        <f>'Variable Tasks'!M451&amp;""</f>
        <v/>
      </c>
      <c r="BC1947">
        <f>'Variable Tasks'!N451&amp;""</f>
        <v/>
      </c>
      <c r="BD1947">
        <f>'Variable Tasks'!O451&amp;""</f>
        <v/>
      </c>
      <c r="BE1947">
        <f>IF('Variable Tasks'!K451="","",'Variable Tasks'!K451)</f>
        <v/>
      </c>
      <c r="BF1947">
        <f>IFERROR(MATCH(BA1947,Setup!$L$6:$L$9,0),5)</f>
        <v/>
      </c>
      <c r="BG1947">
        <f>IF(OR(AZ1947="Done",AZ1947="Cancelled"),1,0)</f>
        <v/>
      </c>
      <c r="BH1947">
        <f>IF(AND(AU1947&lt;&gt;"",ISNUMBER(AW1947)),1,0)</f>
        <v/>
      </c>
      <c r="BI1947">
        <f>IF(BH1947=0,0,IF(AND(AW1947&gt;='Tasks Filter'!$F$3,AW1947&lt;='Tasks Filter'!$F$4,OR('Tasks Filter'!$I$3="",ISNUMBER(SEARCH('Tasks Filter'!$I$3,AU1947))),OR('Tasks Filter'!$I$4="",BF1947=IFERROR(MATCH('Tasks Filter'!$I$4,Setup!$L$6:$L$9,0),0)),OR('Tasks Filter'!$I$5="Both",AND('Tasks Filter'!$I$5="Yes",BB1947="✓"),AND('Tasks Filter'!$I$5="No",BB1947&lt;&gt;"✓")),OR('Tasks Filter'!$L$3="",AV1947='Tasks Filter'!$L$3),OR('Tasks Filter'!$L$4="",AZ1947='Tasks Filter'!$L$4),OR('Tasks Filter'!$L$5="",BC1947='Tasks Filter'!$L$5),OR('Tasks Filter'!$O$3="",BD1947='Tasks Filter'!$O$3),OR('Tasks Filter'!$O$4="Yes",BG1947=0)),1,0))</f>
        <v/>
      </c>
      <c r="BJ1947">
        <f>IF(BH1947=0,"",IF('Tasks Filter'!$F$6="Descending",-1,1)*CHOOSE(MATCH('Tasks Filter'!$F$5,Lists!$G$2:$G$6,0),AW1947,BF1947,IFERROR(MATCH(AV1947,Setup!$F$6:$F$15,0),99),IFERROR(MATCH(BC1947,Setup!$H$6:$H$15,0),99),IFERROR(MATCH(AZ1947,Setup!$J$6:$J$11,0),99))*1E+9+(AW1947-40000)*10000+1946)</f>
        <v/>
      </c>
      <c r="BK1947">
        <f>IF(BI1947=1,BJ1947,"")</f>
        <v/>
      </c>
      <c r="BL1947">
        <f>IF(AND(BH1947=1,BG1947=0,N(AW1947)&lt;Setup!$D$7),(AW1947-40000)*10000+1946,"")</f>
        <v/>
      </c>
      <c r="BM1947">
        <f>IF(AND(BH1947=1,AZ1947&lt;&gt;"Cancelled",N(AW1947)&gt;=Dashboard!$AB$3,N(AW1947)&lt;=Dashboard!$AB$3+6),(AW1947-40000)*100000+BF1947*10000+1946,"")</f>
        <v/>
      </c>
      <c r="BN1947">
        <f>IF(AND(BH1947=1,AZ1947&lt;&gt;"Cancelled"),BF1947*10000+1946,"")</f>
        <v/>
      </c>
    </row>
    <row r="1948">
      <c r="AS1948" t="inlineStr">
        <is>
          <t>V</t>
        </is>
      </c>
      <c r="AT1948" t="n">
        <v>452</v>
      </c>
      <c r="AU1948">
        <f>'Variable Tasks'!C452&amp;""</f>
        <v/>
      </c>
      <c r="AV1948">
        <f>'Variable Tasks'!D452&amp;""</f>
        <v/>
      </c>
      <c r="AW1948">
        <f>IF('Variable Tasks'!E452="","",'Variable Tasks'!E452)</f>
        <v/>
      </c>
      <c r="AX1948">
        <f>IF('Variable Tasks'!G452="","",'Variable Tasks'!G452)</f>
        <v/>
      </c>
      <c r="AY1948">
        <f>IF('Variable Tasks'!H452="","",'Variable Tasks'!H452)</f>
        <v/>
      </c>
      <c r="AZ1948">
        <f>IF(AU1948="","",IF('Variable Tasks'!J452="","Not Started",'Variable Tasks'!J452))</f>
        <v/>
      </c>
      <c r="BA1948">
        <f>'Variable Tasks'!L452&amp;""</f>
        <v/>
      </c>
      <c r="BB1948">
        <f>'Variable Tasks'!M452&amp;""</f>
        <v/>
      </c>
      <c r="BC1948">
        <f>'Variable Tasks'!N452&amp;""</f>
        <v/>
      </c>
      <c r="BD1948">
        <f>'Variable Tasks'!O452&amp;""</f>
        <v/>
      </c>
      <c r="BE1948">
        <f>IF('Variable Tasks'!K452="","",'Variable Tasks'!K452)</f>
        <v/>
      </c>
      <c r="BF1948">
        <f>IFERROR(MATCH(BA1948,Setup!$L$6:$L$9,0),5)</f>
        <v/>
      </c>
      <c r="BG1948">
        <f>IF(OR(AZ1948="Done",AZ1948="Cancelled"),1,0)</f>
        <v/>
      </c>
      <c r="BH1948">
        <f>IF(AND(AU1948&lt;&gt;"",ISNUMBER(AW1948)),1,0)</f>
        <v/>
      </c>
      <c r="BI1948">
        <f>IF(BH1948=0,0,IF(AND(AW1948&gt;='Tasks Filter'!$F$3,AW1948&lt;='Tasks Filter'!$F$4,OR('Tasks Filter'!$I$3="",ISNUMBER(SEARCH('Tasks Filter'!$I$3,AU1948))),OR('Tasks Filter'!$I$4="",BF1948=IFERROR(MATCH('Tasks Filter'!$I$4,Setup!$L$6:$L$9,0),0)),OR('Tasks Filter'!$I$5="Both",AND('Tasks Filter'!$I$5="Yes",BB1948="✓"),AND('Tasks Filter'!$I$5="No",BB1948&lt;&gt;"✓")),OR('Tasks Filter'!$L$3="",AV1948='Tasks Filter'!$L$3),OR('Tasks Filter'!$L$4="",AZ1948='Tasks Filter'!$L$4),OR('Tasks Filter'!$L$5="",BC1948='Tasks Filter'!$L$5),OR('Tasks Filter'!$O$3="",BD1948='Tasks Filter'!$O$3),OR('Tasks Filter'!$O$4="Yes",BG1948=0)),1,0))</f>
        <v/>
      </c>
      <c r="BJ1948">
        <f>IF(BH1948=0,"",IF('Tasks Filter'!$F$6="Descending",-1,1)*CHOOSE(MATCH('Tasks Filter'!$F$5,Lists!$G$2:$G$6,0),AW1948,BF1948,IFERROR(MATCH(AV1948,Setup!$F$6:$F$15,0),99),IFERROR(MATCH(BC1948,Setup!$H$6:$H$15,0),99),IFERROR(MATCH(AZ1948,Setup!$J$6:$J$11,0),99))*1E+9+(AW1948-40000)*10000+1947)</f>
        <v/>
      </c>
      <c r="BK1948">
        <f>IF(BI1948=1,BJ1948,"")</f>
        <v/>
      </c>
      <c r="BL1948">
        <f>IF(AND(BH1948=1,BG1948=0,N(AW1948)&lt;Setup!$D$7),(AW1948-40000)*10000+1947,"")</f>
        <v/>
      </c>
      <c r="BM1948">
        <f>IF(AND(BH1948=1,AZ1948&lt;&gt;"Cancelled",N(AW1948)&gt;=Dashboard!$AB$3,N(AW1948)&lt;=Dashboard!$AB$3+6),(AW1948-40000)*100000+BF1948*10000+1947,"")</f>
        <v/>
      </c>
      <c r="BN1948">
        <f>IF(AND(BH1948=1,AZ1948&lt;&gt;"Cancelled"),BF1948*10000+1947,"")</f>
        <v/>
      </c>
    </row>
    <row r="1949">
      <c r="AS1949" t="inlineStr">
        <is>
          <t>V</t>
        </is>
      </c>
      <c r="AT1949" t="n">
        <v>453</v>
      </c>
      <c r="AU1949">
        <f>'Variable Tasks'!C453&amp;""</f>
        <v/>
      </c>
      <c r="AV1949">
        <f>'Variable Tasks'!D453&amp;""</f>
        <v/>
      </c>
      <c r="AW1949">
        <f>IF('Variable Tasks'!E453="","",'Variable Tasks'!E453)</f>
        <v/>
      </c>
      <c r="AX1949">
        <f>IF('Variable Tasks'!G453="","",'Variable Tasks'!G453)</f>
        <v/>
      </c>
      <c r="AY1949">
        <f>IF('Variable Tasks'!H453="","",'Variable Tasks'!H453)</f>
        <v/>
      </c>
      <c r="AZ1949">
        <f>IF(AU1949="","",IF('Variable Tasks'!J453="","Not Started",'Variable Tasks'!J453))</f>
        <v/>
      </c>
      <c r="BA1949">
        <f>'Variable Tasks'!L453&amp;""</f>
        <v/>
      </c>
      <c r="BB1949">
        <f>'Variable Tasks'!M453&amp;""</f>
        <v/>
      </c>
      <c r="BC1949">
        <f>'Variable Tasks'!N453&amp;""</f>
        <v/>
      </c>
      <c r="BD1949">
        <f>'Variable Tasks'!O453&amp;""</f>
        <v/>
      </c>
      <c r="BE1949">
        <f>IF('Variable Tasks'!K453="","",'Variable Tasks'!K453)</f>
        <v/>
      </c>
      <c r="BF1949">
        <f>IFERROR(MATCH(BA1949,Setup!$L$6:$L$9,0),5)</f>
        <v/>
      </c>
      <c r="BG1949">
        <f>IF(OR(AZ1949="Done",AZ1949="Cancelled"),1,0)</f>
        <v/>
      </c>
      <c r="BH1949">
        <f>IF(AND(AU1949&lt;&gt;"",ISNUMBER(AW1949)),1,0)</f>
        <v/>
      </c>
      <c r="BI1949">
        <f>IF(BH1949=0,0,IF(AND(AW1949&gt;='Tasks Filter'!$F$3,AW1949&lt;='Tasks Filter'!$F$4,OR('Tasks Filter'!$I$3="",ISNUMBER(SEARCH('Tasks Filter'!$I$3,AU1949))),OR('Tasks Filter'!$I$4="",BF1949=IFERROR(MATCH('Tasks Filter'!$I$4,Setup!$L$6:$L$9,0),0)),OR('Tasks Filter'!$I$5="Both",AND('Tasks Filter'!$I$5="Yes",BB1949="✓"),AND('Tasks Filter'!$I$5="No",BB1949&lt;&gt;"✓")),OR('Tasks Filter'!$L$3="",AV1949='Tasks Filter'!$L$3),OR('Tasks Filter'!$L$4="",AZ1949='Tasks Filter'!$L$4),OR('Tasks Filter'!$L$5="",BC1949='Tasks Filter'!$L$5),OR('Tasks Filter'!$O$3="",BD1949='Tasks Filter'!$O$3),OR('Tasks Filter'!$O$4="Yes",BG1949=0)),1,0))</f>
        <v/>
      </c>
      <c r="BJ1949">
        <f>IF(BH1949=0,"",IF('Tasks Filter'!$F$6="Descending",-1,1)*CHOOSE(MATCH('Tasks Filter'!$F$5,Lists!$G$2:$G$6,0),AW1949,BF1949,IFERROR(MATCH(AV1949,Setup!$F$6:$F$15,0),99),IFERROR(MATCH(BC1949,Setup!$H$6:$H$15,0),99),IFERROR(MATCH(AZ1949,Setup!$J$6:$J$11,0),99))*1E+9+(AW1949-40000)*10000+1948)</f>
        <v/>
      </c>
      <c r="BK1949">
        <f>IF(BI1949=1,BJ1949,"")</f>
        <v/>
      </c>
      <c r="BL1949">
        <f>IF(AND(BH1949=1,BG1949=0,N(AW1949)&lt;Setup!$D$7),(AW1949-40000)*10000+1948,"")</f>
        <v/>
      </c>
      <c r="BM1949">
        <f>IF(AND(BH1949=1,AZ1949&lt;&gt;"Cancelled",N(AW1949)&gt;=Dashboard!$AB$3,N(AW1949)&lt;=Dashboard!$AB$3+6),(AW1949-40000)*100000+BF1949*10000+1948,"")</f>
        <v/>
      </c>
      <c r="BN1949">
        <f>IF(AND(BH1949=1,AZ1949&lt;&gt;"Cancelled"),BF1949*10000+1948,"")</f>
        <v/>
      </c>
    </row>
    <row r="1950">
      <c r="AS1950" t="inlineStr">
        <is>
          <t>V</t>
        </is>
      </c>
      <c r="AT1950" t="n">
        <v>454</v>
      </c>
      <c r="AU1950">
        <f>'Variable Tasks'!C454&amp;""</f>
        <v/>
      </c>
      <c r="AV1950">
        <f>'Variable Tasks'!D454&amp;""</f>
        <v/>
      </c>
      <c r="AW1950">
        <f>IF('Variable Tasks'!E454="","",'Variable Tasks'!E454)</f>
        <v/>
      </c>
      <c r="AX1950">
        <f>IF('Variable Tasks'!G454="","",'Variable Tasks'!G454)</f>
        <v/>
      </c>
      <c r="AY1950">
        <f>IF('Variable Tasks'!H454="","",'Variable Tasks'!H454)</f>
        <v/>
      </c>
      <c r="AZ1950">
        <f>IF(AU1950="","",IF('Variable Tasks'!J454="","Not Started",'Variable Tasks'!J454))</f>
        <v/>
      </c>
      <c r="BA1950">
        <f>'Variable Tasks'!L454&amp;""</f>
        <v/>
      </c>
      <c r="BB1950">
        <f>'Variable Tasks'!M454&amp;""</f>
        <v/>
      </c>
      <c r="BC1950">
        <f>'Variable Tasks'!N454&amp;""</f>
        <v/>
      </c>
      <c r="BD1950">
        <f>'Variable Tasks'!O454&amp;""</f>
        <v/>
      </c>
      <c r="BE1950">
        <f>IF('Variable Tasks'!K454="","",'Variable Tasks'!K454)</f>
        <v/>
      </c>
      <c r="BF1950">
        <f>IFERROR(MATCH(BA1950,Setup!$L$6:$L$9,0),5)</f>
        <v/>
      </c>
      <c r="BG1950">
        <f>IF(OR(AZ1950="Done",AZ1950="Cancelled"),1,0)</f>
        <v/>
      </c>
      <c r="BH1950">
        <f>IF(AND(AU1950&lt;&gt;"",ISNUMBER(AW1950)),1,0)</f>
        <v/>
      </c>
      <c r="BI1950">
        <f>IF(BH1950=0,0,IF(AND(AW1950&gt;='Tasks Filter'!$F$3,AW1950&lt;='Tasks Filter'!$F$4,OR('Tasks Filter'!$I$3="",ISNUMBER(SEARCH('Tasks Filter'!$I$3,AU1950))),OR('Tasks Filter'!$I$4="",BF1950=IFERROR(MATCH('Tasks Filter'!$I$4,Setup!$L$6:$L$9,0),0)),OR('Tasks Filter'!$I$5="Both",AND('Tasks Filter'!$I$5="Yes",BB1950="✓"),AND('Tasks Filter'!$I$5="No",BB1950&lt;&gt;"✓")),OR('Tasks Filter'!$L$3="",AV1950='Tasks Filter'!$L$3),OR('Tasks Filter'!$L$4="",AZ1950='Tasks Filter'!$L$4),OR('Tasks Filter'!$L$5="",BC1950='Tasks Filter'!$L$5),OR('Tasks Filter'!$O$3="",BD1950='Tasks Filter'!$O$3),OR('Tasks Filter'!$O$4="Yes",BG1950=0)),1,0))</f>
        <v/>
      </c>
      <c r="BJ1950">
        <f>IF(BH1950=0,"",IF('Tasks Filter'!$F$6="Descending",-1,1)*CHOOSE(MATCH('Tasks Filter'!$F$5,Lists!$G$2:$G$6,0),AW1950,BF1950,IFERROR(MATCH(AV1950,Setup!$F$6:$F$15,0),99),IFERROR(MATCH(BC1950,Setup!$H$6:$H$15,0),99),IFERROR(MATCH(AZ1950,Setup!$J$6:$J$11,0),99))*1E+9+(AW1950-40000)*10000+1949)</f>
        <v/>
      </c>
      <c r="BK1950">
        <f>IF(BI1950=1,BJ1950,"")</f>
        <v/>
      </c>
      <c r="BL1950">
        <f>IF(AND(BH1950=1,BG1950=0,N(AW1950)&lt;Setup!$D$7),(AW1950-40000)*10000+1949,"")</f>
        <v/>
      </c>
      <c r="BM1950">
        <f>IF(AND(BH1950=1,AZ1950&lt;&gt;"Cancelled",N(AW1950)&gt;=Dashboard!$AB$3,N(AW1950)&lt;=Dashboard!$AB$3+6),(AW1950-40000)*100000+BF1950*10000+1949,"")</f>
        <v/>
      </c>
      <c r="BN1950">
        <f>IF(AND(BH1950=1,AZ1950&lt;&gt;"Cancelled"),BF1950*10000+1949,"")</f>
        <v/>
      </c>
    </row>
    <row r="1951">
      <c r="AS1951" t="inlineStr">
        <is>
          <t>V</t>
        </is>
      </c>
      <c r="AT1951" t="n">
        <v>455</v>
      </c>
      <c r="AU1951">
        <f>'Variable Tasks'!C455&amp;""</f>
        <v/>
      </c>
      <c r="AV1951">
        <f>'Variable Tasks'!D455&amp;""</f>
        <v/>
      </c>
      <c r="AW1951">
        <f>IF('Variable Tasks'!E455="","",'Variable Tasks'!E455)</f>
        <v/>
      </c>
      <c r="AX1951">
        <f>IF('Variable Tasks'!G455="","",'Variable Tasks'!G455)</f>
        <v/>
      </c>
      <c r="AY1951">
        <f>IF('Variable Tasks'!H455="","",'Variable Tasks'!H455)</f>
        <v/>
      </c>
      <c r="AZ1951">
        <f>IF(AU1951="","",IF('Variable Tasks'!J455="","Not Started",'Variable Tasks'!J455))</f>
        <v/>
      </c>
      <c r="BA1951">
        <f>'Variable Tasks'!L455&amp;""</f>
        <v/>
      </c>
      <c r="BB1951">
        <f>'Variable Tasks'!M455&amp;""</f>
        <v/>
      </c>
      <c r="BC1951">
        <f>'Variable Tasks'!N455&amp;""</f>
        <v/>
      </c>
      <c r="BD1951">
        <f>'Variable Tasks'!O455&amp;""</f>
        <v/>
      </c>
      <c r="BE1951">
        <f>IF('Variable Tasks'!K455="","",'Variable Tasks'!K455)</f>
        <v/>
      </c>
      <c r="BF1951">
        <f>IFERROR(MATCH(BA1951,Setup!$L$6:$L$9,0),5)</f>
        <v/>
      </c>
      <c r="BG1951">
        <f>IF(OR(AZ1951="Done",AZ1951="Cancelled"),1,0)</f>
        <v/>
      </c>
      <c r="BH1951">
        <f>IF(AND(AU1951&lt;&gt;"",ISNUMBER(AW1951)),1,0)</f>
        <v/>
      </c>
      <c r="BI1951">
        <f>IF(BH1951=0,0,IF(AND(AW1951&gt;='Tasks Filter'!$F$3,AW1951&lt;='Tasks Filter'!$F$4,OR('Tasks Filter'!$I$3="",ISNUMBER(SEARCH('Tasks Filter'!$I$3,AU1951))),OR('Tasks Filter'!$I$4="",BF1951=IFERROR(MATCH('Tasks Filter'!$I$4,Setup!$L$6:$L$9,0),0)),OR('Tasks Filter'!$I$5="Both",AND('Tasks Filter'!$I$5="Yes",BB1951="✓"),AND('Tasks Filter'!$I$5="No",BB1951&lt;&gt;"✓")),OR('Tasks Filter'!$L$3="",AV1951='Tasks Filter'!$L$3),OR('Tasks Filter'!$L$4="",AZ1951='Tasks Filter'!$L$4),OR('Tasks Filter'!$L$5="",BC1951='Tasks Filter'!$L$5),OR('Tasks Filter'!$O$3="",BD1951='Tasks Filter'!$O$3),OR('Tasks Filter'!$O$4="Yes",BG1951=0)),1,0))</f>
        <v/>
      </c>
      <c r="BJ1951">
        <f>IF(BH1951=0,"",IF('Tasks Filter'!$F$6="Descending",-1,1)*CHOOSE(MATCH('Tasks Filter'!$F$5,Lists!$G$2:$G$6,0),AW1951,BF1951,IFERROR(MATCH(AV1951,Setup!$F$6:$F$15,0),99),IFERROR(MATCH(BC1951,Setup!$H$6:$H$15,0),99),IFERROR(MATCH(AZ1951,Setup!$J$6:$J$11,0),99))*1E+9+(AW1951-40000)*10000+1950)</f>
        <v/>
      </c>
      <c r="BK1951">
        <f>IF(BI1951=1,BJ1951,"")</f>
        <v/>
      </c>
      <c r="BL1951">
        <f>IF(AND(BH1951=1,BG1951=0,N(AW1951)&lt;Setup!$D$7),(AW1951-40000)*10000+1950,"")</f>
        <v/>
      </c>
      <c r="BM1951">
        <f>IF(AND(BH1951=1,AZ1951&lt;&gt;"Cancelled",N(AW1951)&gt;=Dashboard!$AB$3,N(AW1951)&lt;=Dashboard!$AB$3+6),(AW1951-40000)*100000+BF1951*10000+1950,"")</f>
        <v/>
      </c>
      <c r="BN1951">
        <f>IF(AND(BH1951=1,AZ1951&lt;&gt;"Cancelled"),BF1951*10000+1950,"")</f>
        <v/>
      </c>
    </row>
    <row r="1952">
      <c r="AS1952" t="inlineStr">
        <is>
          <t>V</t>
        </is>
      </c>
      <c r="AT1952" t="n">
        <v>456</v>
      </c>
      <c r="AU1952">
        <f>'Variable Tasks'!C456&amp;""</f>
        <v/>
      </c>
      <c r="AV1952">
        <f>'Variable Tasks'!D456&amp;""</f>
        <v/>
      </c>
      <c r="AW1952">
        <f>IF('Variable Tasks'!E456="","",'Variable Tasks'!E456)</f>
        <v/>
      </c>
      <c r="AX1952">
        <f>IF('Variable Tasks'!G456="","",'Variable Tasks'!G456)</f>
        <v/>
      </c>
      <c r="AY1952">
        <f>IF('Variable Tasks'!H456="","",'Variable Tasks'!H456)</f>
        <v/>
      </c>
      <c r="AZ1952">
        <f>IF(AU1952="","",IF('Variable Tasks'!J456="","Not Started",'Variable Tasks'!J456))</f>
        <v/>
      </c>
      <c r="BA1952">
        <f>'Variable Tasks'!L456&amp;""</f>
        <v/>
      </c>
      <c r="BB1952">
        <f>'Variable Tasks'!M456&amp;""</f>
        <v/>
      </c>
      <c r="BC1952">
        <f>'Variable Tasks'!N456&amp;""</f>
        <v/>
      </c>
      <c r="BD1952">
        <f>'Variable Tasks'!O456&amp;""</f>
        <v/>
      </c>
      <c r="BE1952">
        <f>IF('Variable Tasks'!K456="","",'Variable Tasks'!K456)</f>
        <v/>
      </c>
      <c r="BF1952">
        <f>IFERROR(MATCH(BA1952,Setup!$L$6:$L$9,0),5)</f>
        <v/>
      </c>
      <c r="BG1952">
        <f>IF(OR(AZ1952="Done",AZ1952="Cancelled"),1,0)</f>
        <v/>
      </c>
      <c r="BH1952">
        <f>IF(AND(AU1952&lt;&gt;"",ISNUMBER(AW1952)),1,0)</f>
        <v/>
      </c>
      <c r="BI1952">
        <f>IF(BH1952=0,0,IF(AND(AW1952&gt;='Tasks Filter'!$F$3,AW1952&lt;='Tasks Filter'!$F$4,OR('Tasks Filter'!$I$3="",ISNUMBER(SEARCH('Tasks Filter'!$I$3,AU1952))),OR('Tasks Filter'!$I$4="",BF1952=IFERROR(MATCH('Tasks Filter'!$I$4,Setup!$L$6:$L$9,0),0)),OR('Tasks Filter'!$I$5="Both",AND('Tasks Filter'!$I$5="Yes",BB1952="✓"),AND('Tasks Filter'!$I$5="No",BB1952&lt;&gt;"✓")),OR('Tasks Filter'!$L$3="",AV1952='Tasks Filter'!$L$3),OR('Tasks Filter'!$L$4="",AZ1952='Tasks Filter'!$L$4),OR('Tasks Filter'!$L$5="",BC1952='Tasks Filter'!$L$5),OR('Tasks Filter'!$O$3="",BD1952='Tasks Filter'!$O$3),OR('Tasks Filter'!$O$4="Yes",BG1952=0)),1,0))</f>
        <v/>
      </c>
      <c r="BJ1952">
        <f>IF(BH1952=0,"",IF('Tasks Filter'!$F$6="Descending",-1,1)*CHOOSE(MATCH('Tasks Filter'!$F$5,Lists!$G$2:$G$6,0),AW1952,BF1952,IFERROR(MATCH(AV1952,Setup!$F$6:$F$15,0),99),IFERROR(MATCH(BC1952,Setup!$H$6:$H$15,0),99),IFERROR(MATCH(AZ1952,Setup!$J$6:$J$11,0),99))*1E+9+(AW1952-40000)*10000+1951)</f>
        <v/>
      </c>
      <c r="BK1952">
        <f>IF(BI1952=1,BJ1952,"")</f>
        <v/>
      </c>
      <c r="BL1952">
        <f>IF(AND(BH1952=1,BG1952=0,N(AW1952)&lt;Setup!$D$7),(AW1952-40000)*10000+1951,"")</f>
        <v/>
      </c>
      <c r="BM1952">
        <f>IF(AND(BH1952=1,AZ1952&lt;&gt;"Cancelled",N(AW1952)&gt;=Dashboard!$AB$3,N(AW1952)&lt;=Dashboard!$AB$3+6),(AW1952-40000)*100000+BF1952*10000+1951,"")</f>
        <v/>
      </c>
      <c r="BN1952">
        <f>IF(AND(BH1952=1,AZ1952&lt;&gt;"Cancelled"),BF1952*10000+1951,"")</f>
        <v/>
      </c>
    </row>
    <row r="1953">
      <c r="AS1953" t="inlineStr">
        <is>
          <t>V</t>
        </is>
      </c>
      <c r="AT1953" t="n">
        <v>457</v>
      </c>
      <c r="AU1953">
        <f>'Variable Tasks'!C457&amp;""</f>
        <v/>
      </c>
      <c r="AV1953">
        <f>'Variable Tasks'!D457&amp;""</f>
        <v/>
      </c>
      <c r="AW1953">
        <f>IF('Variable Tasks'!E457="","",'Variable Tasks'!E457)</f>
        <v/>
      </c>
      <c r="AX1953">
        <f>IF('Variable Tasks'!G457="","",'Variable Tasks'!G457)</f>
        <v/>
      </c>
      <c r="AY1953">
        <f>IF('Variable Tasks'!H457="","",'Variable Tasks'!H457)</f>
        <v/>
      </c>
      <c r="AZ1953">
        <f>IF(AU1953="","",IF('Variable Tasks'!J457="","Not Started",'Variable Tasks'!J457))</f>
        <v/>
      </c>
      <c r="BA1953">
        <f>'Variable Tasks'!L457&amp;""</f>
        <v/>
      </c>
      <c r="BB1953">
        <f>'Variable Tasks'!M457&amp;""</f>
        <v/>
      </c>
      <c r="BC1953">
        <f>'Variable Tasks'!N457&amp;""</f>
        <v/>
      </c>
      <c r="BD1953">
        <f>'Variable Tasks'!O457&amp;""</f>
        <v/>
      </c>
      <c r="BE1953">
        <f>IF('Variable Tasks'!K457="","",'Variable Tasks'!K457)</f>
        <v/>
      </c>
      <c r="BF1953">
        <f>IFERROR(MATCH(BA1953,Setup!$L$6:$L$9,0),5)</f>
        <v/>
      </c>
      <c r="BG1953">
        <f>IF(OR(AZ1953="Done",AZ1953="Cancelled"),1,0)</f>
        <v/>
      </c>
      <c r="BH1953">
        <f>IF(AND(AU1953&lt;&gt;"",ISNUMBER(AW1953)),1,0)</f>
        <v/>
      </c>
      <c r="BI1953">
        <f>IF(BH1953=0,0,IF(AND(AW1953&gt;='Tasks Filter'!$F$3,AW1953&lt;='Tasks Filter'!$F$4,OR('Tasks Filter'!$I$3="",ISNUMBER(SEARCH('Tasks Filter'!$I$3,AU1953))),OR('Tasks Filter'!$I$4="",BF1953=IFERROR(MATCH('Tasks Filter'!$I$4,Setup!$L$6:$L$9,0),0)),OR('Tasks Filter'!$I$5="Both",AND('Tasks Filter'!$I$5="Yes",BB1953="✓"),AND('Tasks Filter'!$I$5="No",BB1953&lt;&gt;"✓")),OR('Tasks Filter'!$L$3="",AV1953='Tasks Filter'!$L$3),OR('Tasks Filter'!$L$4="",AZ1953='Tasks Filter'!$L$4),OR('Tasks Filter'!$L$5="",BC1953='Tasks Filter'!$L$5),OR('Tasks Filter'!$O$3="",BD1953='Tasks Filter'!$O$3),OR('Tasks Filter'!$O$4="Yes",BG1953=0)),1,0))</f>
        <v/>
      </c>
      <c r="BJ1953">
        <f>IF(BH1953=0,"",IF('Tasks Filter'!$F$6="Descending",-1,1)*CHOOSE(MATCH('Tasks Filter'!$F$5,Lists!$G$2:$G$6,0),AW1953,BF1953,IFERROR(MATCH(AV1953,Setup!$F$6:$F$15,0),99),IFERROR(MATCH(BC1953,Setup!$H$6:$H$15,0),99),IFERROR(MATCH(AZ1953,Setup!$J$6:$J$11,0),99))*1E+9+(AW1953-40000)*10000+1952)</f>
        <v/>
      </c>
      <c r="BK1953">
        <f>IF(BI1953=1,BJ1953,"")</f>
        <v/>
      </c>
      <c r="BL1953">
        <f>IF(AND(BH1953=1,BG1953=0,N(AW1953)&lt;Setup!$D$7),(AW1953-40000)*10000+1952,"")</f>
        <v/>
      </c>
      <c r="BM1953">
        <f>IF(AND(BH1953=1,AZ1953&lt;&gt;"Cancelled",N(AW1953)&gt;=Dashboard!$AB$3,N(AW1953)&lt;=Dashboard!$AB$3+6),(AW1953-40000)*100000+BF1953*10000+1952,"")</f>
        <v/>
      </c>
      <c r="BN1953">
        <f>IF(AND(BH1953=1,AZ1953&lt;&gt;"Cancelled"),BF1953*10000+1952,"")</f>
        <v/>
      </c>
    </row>
    <row r="1954">
      <c r="AS1954" t="inlineStr">
        <is>
          <t>V</t>
        </is>
      </c>
      <c r="AT1954" t="n">
        <v>458</v>
      </c>
      <c r="AU1954">
        <f>'Variable Tasks'!C458&amp;""</f>
        <v/>
      </c>
      <c r="AV1954">
        <f>'Variable Tasks'!D458&amp;""</f>
        <v/>
      </c>
      <c r="AW1954">
        <f>IF('Variable Tasks'!E458="","",'Variable Tasks'!E458)</f>
        <v/>
      </c>
      <c r="AX1954">
        <f>IF('Variable Tasks'!G458="","",'Variable Tasks'!G458)</f>
        <v/>
      </c>
      <c r="AY1954">
        <f>IF('Variable Tasks'!H458="","",'Variable Tasks'!H458)</f>
        <v/>
      </c>
      <c r="AZ1954">
        <f>IF(AU1954="","",IF('Variable Tasks'!J458="","Not Started",'Variable Tasks'!J458))</f>
        <v/>
      </c>
      <c r="BA1954">
        <f>'Variable Tasks'!L458&amp;""</f>
        <v/>
      </c>
      <c r="BB1954">
        <f>'Variable Tasks'!M458&amp;""</f>
        <v/>
      </c>
      <c r="BC1954">
        <f>'Variable Tasks'!N458&amp;""</f>
        <v/>
      </c>
      <c r="BD1954">
        <f>'Variable Tasks'!O458&amp;""</f>
        <v/>
      </c>
      <c r="BE1954">
        <f>IF('Variable Tasks'!K458="","",'Variable Tasks'!K458)</f>
        <v/>
      </c>
      <c r="BF1954">
        <f>IFERROR(MATCH(BA1954,Setup!$L$6:$L$9,0),5)</f>
        <v/>
      </c>
      <c r="BG1954">
        <f>IF(OR(AZ1954="Done",AZ1954="Cancelled"),1,0)</f>
        <v/>
      </c>
      <c r="BH1954">
        <f>IF(AND(AU1954&lt;&gt;"",ISNUMBER(AW1954)),1,0)</f>
        <v/>
      </c>
      <c r="BI1954">
        <f>IF(BH1954=0,0,IF(AND(AW1954&gt;='Tasks Filter'!$F$3,AW1954&lt;='Tasks Filter'!$F$4,OR('Tasks Filter'!$I$3="",ISNUMBER(SEARCH('Tasks Filter'!$I$3,AU1954))),OR('Tasks Filter'!$I$4="",BF1954=IFERROR(MATCH('Tasks Filter'!$I$4,Setup!$L$6:$L$9,0),0)),OR('Tasks Filter'!$I$5="Both",AND('Tasks Filter'!$I$5="Yes",BB1954="✓"),AND('Tasks Filter'!$I$5="No",BB1954&lt;&gt;"✓")),OR('Tasks Filter'!$L$3="",AV1954='Tasks Filter'!$L$3),OR('Tasks Filter'!$L$4="",AZ1954='Tasks Filter'!$L$4),OR('Tasks Filter'!$L$5="",BC1954='Tasks Filter'!$L$5),OR('Tasks Filter'!$O$3="",BD1954='Tasks Filter'!$O$3),OR('Tasks Filter'!$O$4="Yes",BG1954=0)),1,0))</f>
        <v/>
      </c>
      <c r="BJ1954">
        <f>IF(BH1954=0,"",IF('Tasks Filter'!$F$6="Descending",-1,1)*CHOOSE(MATCH('Tasks Filter'!$F$5,Lists!$G$2:$G$6,0),AW1954,BF1954,IFERROR(MATCH(AV1954,Setup!$F$6:$F$15,0),99),IFERROR(MATCH(BC1954,Setup!$H$6:$H$15,0),99),IFERROR(MATCH(AZ1954,Setup!$J$6:$J$11,0),99))*1E+9+(AW1954-40000)*10000+1953)</f>
        <v/>
      </c>
      <c r="BK1954">
        <f>IF(BI1954=1,BJ1954,"")</f>
        <v/>
      </c>
      <c r="BL1954">
        <f>IF(AND(BH1954=1,BG1954=0,N(AW1954)&lt;Setup!$D$7),(AW1954-40000)*10000+1953,"")</f>
        <v/>
      </c>
      <c r="BM1954">
        <f>IF(AND(BH1954=1,AZ1954&lt;&gt;"Cancelled",N(AW1954)&gt;=Dashboard!$AB$3,N(AW1954)&lt;=Dashboard!$AB$3+6),(AW1954-40000)*100000+BF1954*10000+1953,"")</f>
        <v/>
      </c>
      <c r="BN1954">
        <f>IF(AND(BH1954=1,AZ1954&lt;&gt;"Cancelled"),BF1954*10000+1953,"")</f>
        <v/>
      </c>
    </row>
    <row r="1955">
      <c r="AS1955" t="inlineStr">
        <is>
          <t>V</t>
        </is>
      </c>
      <c r="AT1955" t="n">
        <v>459</v>
      </c>
      <c r="AU1955">
        <f>'Variable Tasks'!C459&amp;""</f>
        <v/>
      </c>
      <c r="AV1955">
        <f>'Variable Tasks'!D459&amp;""</f>
        <v/>
      </c>
      <c r="AW1955">
        <f>IF('Variable Tasks'!E459="","",'Variable Tasks'!E459)</f>
        <v/>
      </c>
      <c r="AX1955">
        <f>IF('Variable Tasks'!G459="","",'Variable Tasks'!G459)</f>
        <v/>
      </c>
      <c r="AY1955">
        <f>IF('Variable Tasks'!H459="","",'Variable Tasks'!H459)</f>
        <v/>
      </c>
      <c r="AZ1955">
        <f>IF(AU1955="","",IF('Variable Tasks'!J459="","Not Started",'Variable Tasks'!J459))</f>
        <v/>
      </c>
      <c r="BA1955">
        <f>'Variable Tasks'!L459&amp;""</f>
        <v/>
      </c>
      <c r="BB1955">
        <f>'Variable Tasks'!M459&amp;""</f>
        <v/>
      </c>
      <c r="BC1955">
        <f>'Variable Tasks'!N459&amp;""</f>
        <v/>
      </c>
      <c r="BD1955">
        <f>'Variable Tasks'!O459&amp;""</f>
        <v/>
      </c>
      <c r="BE1955">
        <f>IF('Variable Tasks'!K459="","",'Variable Tasks'!K459)</f>
        <v/>
      </c>
      <c r="BF1955">
        <f>IFERROR(MATCH(BA1955,Setup!$L$6:$L$9,0),5)</f>
        <v/>
      </c>
      <c r="BG1955">
        <f>IF(OR(AZ1955="Done",AZ1955="Cancelled"),1,0)</f>
        <v/>
      </c>
      <c r="BH1955">
        <f>IF(AND(AU1955&lt;&gt;"",ISNUMBER(AW1955)),1,0)</f>
        <v/>
      </c>
      <c r="BI1955">
        <f>IF(BH1955=0,0,IF(AND(AW1955&gt;='Tasks Filter'!$F$3,AW1955&lt;='Tasks Filter'!$F$4,OR('Tasks Filter'!$I$3="",ISNUMBER(SEARCH('Tasks Filter'!$I$3,AU1955))),OR('Tasks Filter'!$I$4="",BF1955=IFERROR(MATCH('Tasks Filter'!$I$4,Setup!$L$6:$L$9,0),0)),OR('Tasks Filter'!$I$5="Both",AND('Tasks Filter'!$I$5="Yes",BB1955="✓"),AND('Tasks Filter'!$I$5="No",BB1955&lt;&gt;"✓")),OR('Tasks Filter'!$L$3="",AV1955='Tasks Filter'!$L$3),OR('Tasks Filter'!$L$4="",AZ1955='Tasks Filter'!$L$4),OR('Tasks Filter'!$L$5="",BC1955='Tasks Filter'!$L$5),OR('Tasks Filter'!$O$3="",BD1955='Tasks Filter'!$O$3),OR('Tasks Filter'!$O$4="Yes",BG1955=0)),1,0))</f>
        <v/>
      </c>
      <c r="BJ1955">
        <f>IF(BH1955=0,"",IF('Tasks Filter'!$F$6="Descending",-1,1)*CHOOSE(MATCH('Tasks Filter'!$F$5,Lists!$G$2:$G$6,0),AW1955,BF1955,IFERROR(MATCH(AV1955,Setup!$F$6:$F$15,0),99),IFERROR(MATCH(BC1955,Setup!$H$6:$H$15,0),99),IFERROR(MATCH(AZ1955,Setup!$J$6:$J$11,0),99))*1E+9+(AW1955-40000)*10000+1954)</f>
        <v/>
      </c>
      <c r="BK1955">
        <f>IF(BI1955=1,BJ1955,"")</f>
        <v/>
      </c>
      <c r="BL1955">
        <f>IF(AND(BH1955=1,BG1955=0,N(AW1955)&lt;Setup!$D$7),(AW1955-40000)*10000+1954,"")</f>
        <v/>
      </c>
      <c r="BM1955">
        <f>IF(AND(BH1955=1,AZ1955&lt;&gt;"Cancelled",N(AW1955)&gt;=Dashboard!$AB$3,N(AW1955)&lt;=Dashboard!$AB$3+6),(AW1955-40000)*100000+BF1955*10000+1954,"")</f>
        <v/>
      </c>
      <c r="BN1955">
        <f>IF(AND(BH1955=1,AZ1955&lt;&gt;"Cancelled"),BF1955*10000+1954,"")</f>
        <v/>
      </c>
    </row>
    <row r="1956">
      <c r="AS1956" t="inlineStr">
        <is>
          <t>V</t>
        </is>
      </c>
      <c r="AT1956" t="n">
        <v>460</v>
      </c>
      <c r="AU1956">
        <f>'Variable Tasks'!C460&amp;""</f>
        <v/>
      </c>
      <c r="AV1956">
        <f>'Variable Tasks'!D460&amp;""</f>
        <v/>
      </c>
      <c r="AW1956">
        <f>IF('Variable Tasks'!E460="","",'Variable Tasks'!E460)</f>
        <v/>
      </c>
      <c r="AX1956">
        <f>IF('Variable Tasks'!G460="","",'Variable Tasks'!G460)</f>
        <v/>
      </c>
      <c r="AY1956">
        <f>IF('Variable Tasks'!H460="","",'Variable Tasks'!H460)</f>
        <v/>
      </c>
      <c r="AZ1956">
        <f>IF(AU1956="","",IF('Variable Tasks'!J460="","Not Started",'Variable Tasks'!J460))</f>
        <v/>
      </c>
      <c r="BA1956">
        <f>'Variable Tasks'!L460&amp;""</f>
        <v/>
      </c>
      <c r="BB1956">
        <f>'Variable Tasks'!M460&amp;""</f>
        <v/>
      </c>
      <c r="BC1956">
        <f>'Variable Tasks'!N460&amp;""</f>
        <v/>
      </c>
      <c r="BD1956">
        <f>'Variable Tasks'!O460&amp;""</f>
        <v/>
      </c>
      <c r="BE1956">
        <f>IF('Variable Tasks'!K460="","",'Variable Tasks'!K460)</f>
        <v/>
      </c>
      <c r="BF1956">
        <f>IFERROR(MATCH(BA1956,Setup!$L$6:$L$9,0),5)</f>
        <v/>
      </c>
      <c r="BG1956">
        <f>IF(OR(AZ1956="Done",AZ1956="Cancelled"),1,0)</f>
        <v/>
      </c>
      <c r="BH1956">
        <f>IF(AND(AU1956&lt;&gt;"",ISNUMBER(AW1956)),1,0)</f>
        <v/>
      </c>
      <c r="BI1956">
        <f>IF(BH1956=0,0,IF(AND(AW1956&gt;='Tasks Filter'!$F$3,AW1956&lt;='Tasks Filter'!$F$4,OR('Tasks Filter'!$I$3="",ISNUMBER(SEARCH('Tasks Filter'!$I$3,AU1956))),OR('Tasks Filter'!$I$4="",BF1956=IFERROR(MATCH('Tasks Filter'!$I$4,Setup!$L$6:$L$9,0),0)),OR('Tasks Filter'!$I$5="Both",AND('Tasks Filter'!$I$5="Yes",BB1956="✓"),AND('Tasks Filter'!$I$5="No",BB1956&lt;&gt;"✓")),OR('Tasks Filter'!$L$3="",AV1956='Tasks Filter'!$L$3),OR('Tasks Filter'!$L$4="",AZ1956='Tasks Filter'!$L$4),OR('Tasks Filter'!$L$5="",BC1956='Tasks Filter'!$L$5),OR('Tasks Filter'!$O$3="",BD1956='Tasks Filter'!$O$3),OR('Tasks Filter'!$O$4="Yes",BG1956=0)),1,0))</f>
        <v/>
      </c>
      <c r="BJ1956">
        <f>IF(BH1956=0,"",IF('Tasks Filter'!$F$6="Descending",-1,1)*CHOOSE(MATCH('Tasks Filter'!$F$5,Lists!$G$2:$G$6,0),AW1956,BF1956,IFERROR(MATCH(AV1956,Setup!$F$6:$F$15,0),99),IFERROR(MATCH(BC1956,Setup!$H$6:$H$15,0),99),IFERROR(MATCH(AZ1956,Setup!$J$6:$J$11,0),99))*1E+9+(AW1956-40000)*10000+1955)</f>
        <v/>
      </c>
      <c r="BK1956">
        <f>IF(BI1956=1,BJ1956,"")</f>
        <v/>
      </c>
      <c r="BL1956">
        <f>IF(AND(BH1956=1,BG1956=0,N(AW1956)&lt;Setup!$D$7),(AW1956-40000)*10000+1955,"")</f>
        <v/>
      </c>
      <c r="BM1956">
        <f>IF(AND(BH1956=1,AZ1956&lt;&gt;"Cancelled",N(AW1956)&gt;=Dashboard!$AB$3,N(AW1956)&lt;=Dashboard!$AB$3+6),(AW1956-40000)*100000+BF1956*10000+1955,"")</f>
        <v/>
      </c>
      <c r="BN1956">
        <f>IF(AND(BH1956=1,AZ1956&lt;&gt;"Cancelled"),BF1956*10000+1955,"")</f>
        <v/>
      </c>
    </row>
    <row r="1957">
      <c r="AS1957" t="inlineStr">
        <is>
          <t>V</t>
        </is>
      </c>
      <c r="AT1957" t="n">
        <v>461</v>
      </c>
      <c r="AU1957">
        <f>'Variable Tasks'!C461&amp;""</f>
        <v/>
      </c>
      <c r="AV1957">
        <f>'Variable Tasks'!D461&amp;""</f>
        <v/>
      </c>
      <c r="AW1957">
        <f>IF('Variable Tasks'!E461="","",'Variable Tasks'!E461)</f>
        <v/>
      </c>
      <c r="AX1957">
        <f>IF('Variable Tasks'!G461="","",'Variable Tasks'!G461)</f>
        <v/>
      </c>
      <c r="AY1957">
        <f>IF('Variable Tasks'!H461="","",'Variable Tasks'!H461)</f>
        <v/>
      </c>
      <c r="AZ1957">
        <f>IF(AU1957="","",IF('Variable Tasks'!J461="","Not Started",'Variable Tasks'!J461))</f>
        <v/>
      </c>
      <c r="BA1957">
        <f>'Variable Tasks'!L461&amp;""</f>
        <v/>
      </c>
      <c r="BB1957">
        <f>'Variable Tasks'!M461&amp;""</f>
        <v/>
      </c>
      <c r="BC1957">
        <f>'Variable Tasks'!N461&amp;""</f>
        <v/>
      </c>
      <c r="BD1957">
        <f>'Variable Tasks'!O461&amp;""</f>
        <v/>
      </c>
      <c r="BE1957">
        <f>IF('Variable Tasks'!K461="","",'Variable Tasks'!K461)</f>
        <v/>
      </c>
      <c r="BF1957">
        <f>IFERROR(MATCH(BA1957,Setup!$L$6:$L$9,0),5)</f>
        <v/>
      </c>
      <c r="BG1957">
        <f>IF(OR(AZ1957="Done",AZ1957="Cancelled"),1,0)</f>
        <v/>
      </c>
      <c r="BH1957">
        <f>IF(AND(AU1957&lt;&gt;"",ISNUMBER(AW1957)),1,0)</f>
        <v/>
      </c>
      <c r="BI1957">
        <f>IF(BH1957=0,0,IF(AND(AW1957&gt;='Tasks Filter'!$F$3,AW1957&lt;='Tasks Filter'!$F$4,OR('Tasks Filter'!$I$3="",ISNUMBER(SEARCH('Tasks Filter'!$I$3,AU1957))),OR('Tasks Filter'!$I$4="",BF1957=IFERROR(MATCH('Tasks Filter'!$I$4,Setup!$L$6:$L$9,0),0)),OR('Tasks Filter'!$I$5="Both",AND('Tasks Filter'!$I$5="Yes",BB1957="✓"),AND('Tasks Filter'!$I$5="No",BB1957&lt;&gt;"✓")),OR('Tasks Filter'!$L$3="",AV1957='Tasks Filter'!$L$3),OR('Tasks Filter'!$L$4="",AZ1957='Tasks Filter'!$L$4),OR('Tasks Filter'!$L$5="",BC1957='Tasks Filter'!$L$5),OR('Tasks Filter'!$O$3="",BD1957='Tasks Filter'!$O$3),OR('Tasks Filter'!$O$4="Yes",BG1957=0)),1,0))</f>
        <v/>
      </c>
      <c r="BJ1957">
        <f>IF(BH1957=0,"",IF('Tasks Filter'!$F$6="Descending",-1,1)*CHOOSE(MATCH('Tasks Filter'!$F$5,Lists!$G$2:$G$6,0),AW1957,BF1957,IFERROR(MATCH(AV1957,Setup!$F$6:$F$15,0),99),IFERROR(MATCH(BC1957,Setup!$H$6:$H$15,0),99),IFERROR(MATCH(AZ1957,Setup!$J$6:$J$11,0),99))*1E+9+(AW1957-40000)*10000+1956)</f>
        <v/>
      </c>
      <c r="BK1957">
        <f>IF(BI1957=1,BJ1957,"")</f>
        <v/>
      </c>
      <c r="BL1957">
        <f>IF(AND(BH1957=1,BG1957=0,N(AW1957)&lt;Setup!$D$7),(AW1957-40000)*10000+1956,"")</f>
        <v/>
      </c>
      <c r="BM1957">
        <f>IF(AND(BH1957=1,AZ1957&lt;&gt;"Cancelled",N(AW1957)&gt;=Dashboard!$AB$3,N(AW1957)&lt;=Dashboard!$AB$3+6),(AW1957-40000)*100000+BF1957*10000+1956,"")</f>
        <v/>
      </c>
      <c r="BN1957">
        <f>IF(AND(BH1957=1,AZ1957&lt;&gt;"Cancelled"),BF1957*10000+1956,"")</f>
        <v/>
      </c>
    </row>
    <row r="1958">
      <c r="AS1958" t="inlineStr">
        <is>
          <t>V</t>
        </is>
      </c>
      <c r="AT1958" t="n">
        <v>462</v>
      </c>
      <c r="AU1958">
        <f>'Variable Tasks'!C462&amp;""</f>
        <v/>
      </c>
      <c r="AV1958">
        <f>'Variable Tasks'!D462&amp;""</f>
        <v/>
      </c>
      <c r="AW1958">
        <f>IF('Variable Tasks'!E462="","",'Variable Tasks'!E462)</f>
        <v/>
      </c>
      <c r="AX1958">
        <f>IF('Variable Tasks'!G462="","",'Variable Tasks'!G462)</f>
        <v/>
      </c>
      <c r="AY1958">
        <f>IF('Variable Tasks'!H462="","",'Variable Tasks'!H462)</f>
        <v/>
      </c>
      <c r="AZ1958">
        <f>IF(AU1958="","",IF('Variable Tasks'!J462="","Not Started",'Variable Tasks'!J462))</f>
        <v/>
      </c>
      <c r="BA1958">
        <f>'Variable Tasks'!L462&amp;""</f>
        <v/>
      </c>
      <c r="BB1958">
        <f>'Variable Tasks'!M462&amp;""</f>
        <v/>
      </c>
      <c r="BC1958">
        <f>'Variable Tasks'!N462&amp;""</f>
        <v/>
      </c>
      <c r="BD1958">
        <f>'Variable Tasks'!O462&amp;""</f>
        <v/>
      </c>
      <c r="BE1958">
        <f>IF('Variable Tasks'!K462="","",'Variable Tasks'!K462)</f>
        <v/>
      </c>
      <c r="BF1958">
        <f>IFERROR(MATCH(BA1958,Setup!$L$6:$L$9,0),5)</f>
        <v/>
      </c>
      <c r="BG1958">
        <f>IF(OR(AZ1958="Done",AZ1958="Cancelled"),1,0)</f>
        <v/>
      </c>
      <c r="BH1958">
        <f>IF(AND(AU1958&lt;&gt;"",ISNUMBER(AW1958)),1,0)</f>
        <v/>
      </c>
      <c r="BI1958">
        <f>IF(BH1958=0,0,IF(AND(AW1958&gt;='Tasks Filter'!$F$3,AW1958&lt;='Tasks Filter'!$F$4,OR('Tasks Filter'!$I$3="",ISNUMBER(SEARCH('Tasks Filter'!$I$3,AU1958))),OR('Tasks Filter'!$I$4="",BF1958=IFERROR(MATCH('Tasks Filter'!$I$4,Setup!$L$6:$L$9,0),0)),OR('Tasks Filter'!$I$5="Both",AND('Tasks Filter'!$I$5="Yes",BB1958="✓"),AND('Tasks Filter'!$I$5="No",BB1958&lt;&gt;"✓")),OR('Tasks Filter'!$L$3="",AV1958='Tasks Filter'!$L$3),OR('Tasks Filter'!$L$4="",AZ1958='Tasks Filter'!$L$4),OR('Tasks Filter'!$L$5="",BC1958='Tasks Filter'!$L$5),OR('Tasks Filter'!$O$3="",BD1958='Tasks Filter'!$O$3),OR('Tasks Filter'!$O$4="Yes",BG1958=0)),1,0))</f>
        <v/>
      </c>
      <c r="BJ1958">
        <f>IF(BH1958=0,"",IF('Tasks Filter'!$F$6="Descending",-1,1)*CHOOSE(MATCH('Tasks Filter'!$F$5,Lists!$G$2:$G$6,0),AW1958,BF1958,IFERROR(MATCH(AV1958,Setup!$F$6:$F$15,0),99),IFERROR(MATCH(BC1958,Setup!$H$6:$H$15,0),99),IFERROR(MATCH(AZ1958,Setup!$J$6:$J$11,0),99))*1E+9+(AW1958-40000)*10000+1957)</f>
        <v/>
      </c>
      <c r="BK1958">
        <f>IF(BI1958=1,BJ1958,"")</f>
        <v/>
      </c>
      <c r="BL1958">
        <f>IF(AND(BH1958=1,BG1958=0,N(AW1958)&lt;Setup!$D$7),(AW1958-40000)*10000+1957,"")</f>
        <v/>
      </c>
      <c r="BM1958">
        <f>IF(AND(BH1958=1,AZ1958&lt;&gt;"Cancelled",N(AW1958)&gt;=Dashboard!$AB$3,N(AW1958)&lt;=Dashboard!$AB$3+6),(AW1958-40000)*100000+BF1958*10000+1957,"")</f>
        <v/>
      </c>
      <c r="BN1958">
        <f>IF(AND(BH1958=1,AZ1958&lt;&gt;"Cancelled"),BF1958*10000+1957,"")</f>
        <v/>
      </c>
    </row>
    <row r="1959">
      <c r="AS1959" t="inlineStr">
        <is>
          <t>V</t>
        </is>
      </c>
      <c r="AT1959" t="n">
        <v>463</v>
      </c>
      <c r="AU1959">
        <f>'Variable Tasks'!C463&amp;""</f>
        <v/>
      </c>
      <c r="AV1959">
        <f>'Variable Tasks'!D463&amp;""</f>
        <v/>
      </c>
      <c r="AW1959">
        <f>IF('Variable Tasks'!E463="","",'Variable Tasks'!E463)</f>
        <v/>
      </c>
      <c r="AX1959">
        <f>IF('Variable Tasks'!G463="","",'Variable Tasks'!G463)</f>
        <v/>
      </c>
      <c r="AY1959">
        <f>IF('Variable Tasks'!H463="","",'Variable Tasks'!H463)</f>
        <v/>
      </c>
      <c r="AZ1959">
        <f>IF(AU1959="","",IF('Variable Tasks'!J463="","Not Started",'Variable Tasks'!J463))</f>
        <v/>
      </c>
      <c r="BA1959">
        <f>'Variable Tasks'!L463&amp;""</f>
        <v/>
      </c>
      <c r="BB1959">
        <f>'Variable Tasks'!M463&amp;""</f>
        <v/>
      </c>
      <c r="BC1959">
        <f>'Variable Tasks'!N463&amp;""</f>
        <v/>
      </c>
      <c r="BD1959">
        <f>'Variable Tasks'!O463&amp;""</f>
        <v/>
      </c>
      <c r="BE1959">
        <f>IF('Variable Tasks'!K463="","",'Variable Tasks'!K463)</f>
        <v/>
      </c>
      <c r="BF1959">
        <f>IFERROR(MATCH(BA1959,Setup!$L$6:$L$9,0),5)</f>
        <v/>
      </c>
      <c r="BG1959">
        <f>IF(OR(AZ1959="Done",AZ1959="Cancelled"),1,0)</f>
        <v/>
      </c>
      <c r="BH1959">
        <f>IF(AND(AU1959&lt;&gt;"",ISNUMBER(AW1959)),1,0)</f>
        <v/>
      </c>
      <c r="BI1959">
        <f>IF(BH1959=0,0,IF(AND(AW1959&gt;='Tasks Filter'!$F$3,AW1959&lt;='Tasks Filter'!$F$4,OR('Tasks Filter'!$I$3="",ISNUMBER(SEARCH('Tasks Filter'!$I$3,AU1959))),OR('Tasks Filter'!$I$4="",BF1959=IFERROR(MATCH('Tasks Filter'!$I$4,Setup!$L$6:$L$9,0),0)),OR('Tasks Filter'!$I$5="Both",AND('Tasks Filter'!$I$5="Yes",BB1959="✓"),AND('Tasks Filter'!$I$5="No",BB1959&lt;&gt;"✓")),OR('Tasks Filter'!$L$3="",AV1959='Tasks Filter'!$L$3),OR('Tasks Filter'!$L$4="",AZ1959='Tasks Filter'!$L$4),OR('Tasks Filter'!$L$5="",BC1959='Tasks Filter'!$L$5),OR('Tasks Filter'!$O$3="",BD1959='Tasks Filter'!$O$3),OR('Tasks Filter'!$O$4="Yes",BG1959=0)),1,0))</f>
        <v/>
      </c>
      <c r="BJ1959">
        <f>IF(BH1959=0,"",IF('Tasks Filter'!$F$6="Descending",-1,1)*CHOOSE(MATCH('Tasks Filter'!$F$5,Lists!$G$2:$G$6,0),AW1959,BF1959,IFERROR(MATCH(AV1959,Setup!$F$6:$F$15,0),99),IFERROR(MATCH(BC1959,Setup!$H$6:$H$15,0),99),IFERROR(MATCH(AZ1959,Setup!$J$6:$J$11,0),99))*1E+9+(AW1959-40000)*10000+1958)</f>
        <v/>
      </c>
      <c r="BK1959">
        <f>IF(BI1959=1,BJ1959,"")</f>
        <v/>
      </c>
      <c r="BL1959">
        <f>IF(AND(BH1959=1,BG1959=0,N(AW1959)&lt;Setup!$D$7),(AW1959-40000)*10000+1958,"")</f>
        <v/>
      </c>
      <c r="BM1959">
        <f>IF(AND(BH1959=1,AZ1959&lt;&gt;"Cancelled",N(AW1959)&gt;=Dashboard!$AB$3,N(AW1959)&lt;=Dashboard!$AB$3+6),(AW1959-40000)*100000+BF1959*10000+1958,"")</f>
        <v/>
      </c>
      <c r="BN1959">
        <f>IF(AND(BH1959=1,AZ1959&lt;&gt;"Cancelled"),BF1959*10000+1958,"")</f>
        <v/>
      </c>
    </row>
    <row r="1960">
      <c r="AS1960" t="inlineStr">
        <is>
          <t>V</t>
        </is>
      </c>
      <c r="AT1960" t="n">
        <v>464</v>
      </c>
      <c r="AU1960">
        <f>'Variable Tasks'!C464&amp;""</f>
        <v/>
      </c>
      <c r="AV1960">
        <f>'Variable Tasks'!D464&amp;""</f>
        <v/>
      </c>
      <c r="AW1960">
        <f>IF('Variable Tasks'!E464="","",'Variable Tasks'!E464)</f>
        <v/>
      </c>
      <c r="AX1960">
        <f>IF('Variable Tasks'!G464="","",'Variable Tasks'!G464)</f>
        <v/>
      </c>
      <c r="AY1960">
        <f>IF('Variable Tasks'!H464="","",'Variable Tasks'!H464)</f>
        <v/>
      </c>
      <c r="AZ1960">
        <f>IF(AU1960="","",IF('Variable Tasks'!J464="","Not Started",'Variable Tasks'!J464))</f>
        <v/>
      </c>
      <c r="BA1960">
        <f>'Variable Tasks'!L464&amp;""</f>
        <v/>
      </c>
      <c r="BB1960">
        <f>'Variable Tasks'!M464&amp;""</f>
        <v/>
      </c>
      <c r="BC1960">
        <f>'Variable Tasks'!N464&amp;""</f>
        <v/>
      </c>
      <c r="BD1960">
        <f>'Variable Tasks'!O464&amp;""</f>
        <v/>
      </c>
      <c r="BE1960">
        <f>IF('Variable Tasks'!K464="","",'Variable Tasks'!K464)</f>
        <v/>
      </c>
      <c r="BF1960">
        <f>IFERROR(MATCH(BA1960,Setup!$L$6:$L$9,0),5)</f>
        <v/>
      </c>
      <c r="BG1960">
        <f>IF(OR(AZ1960="Done",AZ1960="Cancelled"),1,0)</f>
        <v/>
      </c>
      <c r="BH1960">
        <f>IF(AND(AU1960&lt;&gt;"",ISNUMBER(AW1960)),1,0)</f>
        <v/>
      </c>
      <c r="BI1960">
        <f>IF(BH1960=0,0,IF(AND(AW1960&gt;='Tasks Filter'!$F$3,AW1960&lt;='Tasks Filter'!$F$4,OR('Tasks Filter'!$I$3="",ISNUMBER(SEARCH('Tasks Filter'!$I$3,AU1960))),OR('Tasks Filter'!$I$4="",BF1960=IFERROR(MATCH('Tasks Filter'!$I$4,Setup!$L$6:$L$9,0),0)),OR('Tasks Filter'!$I$5="Both",AND('Tasks Filter'!$I$5="Yes",BB1960="✓"),AND('Tasks Filter'!$I$5="No",BB1960&lt;&gt;"✓")),OR('Tasks Filter'!$L$3="",AV1960='Tasks Filter'!$L$3),OR('Tasks Filter'!$L$4="",AZ1960='Tasks Filter'!$L$4),OR('Tasks Filter'!$L$5="",BC1960='Tasks Filter'!$L$5),OR('Tasks Filter'!$O$3="",BD1960='Tasks Filter'!$O$3),OR('Tasks Filter'!$O$4="Yes",BG1960=0)),1,0))</f>
        <v/>
      </c>
      <c r="BJ1960">
        <f>IF(BH1960=0,"",IF('Tasks Filter'!$F$6="Descending",-1,1)*CHOOSE(MATCH('Tasks Filter'!$F$5,Lists!$G$2:$G$6,0),AW1960,BF1960,IFERROR(MATCH(AV1960,Setup!$F$6:$F$15,0),99),IFERROR(MATCH(BC1960,Setup!$H$6:$H$15,0),99),IFERROR(MATCH(AZ1960,Setup!$J$6:$J$11,0),99))*1E+9+(AW1960-40000)*10000+1959)</f>
        <v/>
      </c>
      <c r="BK1960">
        <f>IF(BI1960=1,BJ1960,"")</f>
        <v/>
      </c>
      <c r="BL1960">
        <f>IF(AND(BH1960=1,BG1960=0,N(AW1960)&lt;Setup!$D$7),(AW1960-40000)*10000+1959,"")</f>
        <v/>
      </c>
      <c r="BM1960">
        <f>IF(AND(BH1960=1,AZ1960&lt;&gt;"Cancelled",N(AW1960)&gt;=Dashboard!$AB$3,N(AW1960)&lt;=Dashboard!$AB$3+6),(AW1960-40000)*100000+BF1960*10000+1959,"")</f>
        <v/>
      </c>
      <c r="BN1960">
        <f>IF(AND(BH1960=1,AZ1960&lt;&gt;"Cancelled"),BF1960*10000+1959,"")</f>
        <v/>
      </c>
    </row>
    <row r="1961">
      <c r="AS1961" t="inlineStr">
        <is>
          <t>V</t>
        </is>
      </c>
      <c r="AT1961" t="n">
        <v>465</v>
      </c>
      <c r="AU1961">
        <f>'Variable Tasks'!C465&amp;""</f>
        <v/>
      </c>
      <c r="AV1961">
        <f>'Variable Tasks'!D465&amp;""</f>
        <v/>
      </c>
      <c r="AW1961">
        <f>IF('Variable Tasks'!E465="","",'Variable Tasks'!E465)</f>
        <v/>
      </c>
      <c r="AX1961">
        <f>IF('Variable Tasks'!G465="","",'Variable Tasks'!G465)</f>
        <v/>
      </c>
      <c r="AY1961">
        <f>IF('Variable Tasks'!H465="","",'Variable Tasks'!H465)</f>
        <v/>
      </c>
      <c r="AZ1961">
        <f>IF(AU1961="","",IF('Variable Tasks'!J465="","Not Started",'Variable Tasks'!J465))</f>
        <v/>
      </c>
      <c r="BA1961">
        <f>'Variable Tasks'!L465&amp;""</f>
        <v/>
      </c>
      <c r="BB1961">
        <f>'Variable Tasks'!M465&amp;""</f>
        <v/>
      </c>
      <c r="BC1961">
        <f>'Variable Tasks'!N465&amp;""</f>
        <v/>
      </c>
      <c r="BD1961">
        <f>'Variable Tasks'!O465&amp;""</f>
        <v/>
      </c>
      <c r="BE1961">
        <f>IF('Variable Tasks'!K465="","",'Variable Tasks'!K465)</f>
        <v/>
      </c>
      <c r="BF1961">
        <f>IFERROR(MATCH(BA1961,Setup!$L$6:$L$9,0),5)</f>
        <v/>
      </c>
      <c r="BG1961">
        <f>IF(OR(AZ1961="Done",AZ1961="Cancelled"),1,0)</f>
        <v/>
      </c>
      <c r="BH1961">
        <f>IF(AND(AU1961&lt;&gt;"",ISNUMBER(AW1961)),1,0)</f>
        <v/>
      </c>
      <c r="BI1961">
        <f>IF(BH1961=0,0,IF(AND(AW1961&gt;='Tasks Filter'!$F$3,AW1961&lt;='Tasks Filter'!$F$4,OR('Tasks Filter'!$I$3="",ISNUMBER(SEARCH('Tasks Filter'!$I$3,AU1961))),OR('Tasks Filter'!$I$4="",BF1961=IFERROR(MATCH('Tasks Filter'!$I$4,Setup!$L$6:$L$9,0),0)),OR('Tasks Filter'!$I$5="Both",AND('Tasks Filter'!$I$5="Yes",BB1961="✓"),AND('Tasks Filter'!$I$5="No",BB1961&lt;&gt;"✓")),OR('Tasks Filter'!$L$3="",AV1961='Tasks Filter'!$L$3),OR('Tasks Filter'!$L$4="",AZ1961='Tasks Filter'!$L$4),OR('Tasks Filter'!$L$5="",BC1961='Tasks Filter'!$L$5),OR('Tasks Filter'!$O$3="",BD1961='Tasks Filter'!$O$3),OR('Tasks Filter'!$O$4="Yes",BG1961=0)),1,0))</f>
        <v/>
      </c>
      <c r="BJ1961">
        <f>IF(BH1961=0,"",IF('Tasks Filter'!$F$6="Descending",-1,1)*CHOOSE(MATCH('Tasks Filter'!$F$5,Lists!$G$2:$G$6,0),AW1961,BF1961,IFERROR(MATCH(AV1961,Setup!$F$6:$F$15,0),99),IFERROR(MATCH(BC1961,Setup!$H$6:$H$15,0),99),IFERROR(MATCH(AZ1961,Setup!$J$6:$J$11,0),99))*1E+9+(AW1961-40000)*10000+1960)</f>
        <v/>
      </c>
      <c r="BK1961">
        <f>IF(BI1961=1,BJ1961,"")</f>
        <v/>
      </c>
      <c r="BL1961">
        <f>IF(AND(BH1961=1,BG1961=0,N(AW1961)&lt;Setup!$D$7),(AW1961-40000)*10000+1960,"")</f>
        <v/>
      </c>
      <c r="BM1961">
        <f>IF(AND(BH1961=1,AZ1961&lt;&gt;"Cancelled",N(AW1961)&gt;=Dashboard!$AB$3,N(AW1961)&lt;=Dashboard!$AB$3+6),(AW1961-40000)*100000+BF1961*10000+1960,"")</f>
        <v/>
      </c>
      <c r="BN1961">
        <f>IF(AND(BH1961=1,AZ1961&lt;&gt;"Cancelled"),BF1961*10000+1960,"")</f>
        <v/>
      </c>
    </row>
    <row r="1962">
      <c r="AS1962" t="inlineStr">
        <is>
          <t>V</t>
        </is>
      </c>
      <c r="AT1962" t="n">
        <v>466</v>
      </c>
      <c r="AU1962">
        <f>'Variable Tasks'!C466&amp;""</f>
        <v/>
      </c>
      <c r="AV1962">
        <f>'Variable Tasks'!D466&amp;""</f>
        <v/>
      </c>
      <c r="AW1962">
        <f>IF('Variable Tasks'!E466="","",'Variable Tasks'!E466)</f>
        <v/>
      </c>
      <c r="AX1962">
        <f>IF('Variable Tasks'!G466="","",'Variable Tasks'!G466)</f>
        <v/>
      </c>
      <c r="AY1962">
        <f>IF('Variable Tasks'!H466="","",'Variable Tasks'!H466)</f>
        <v/>
      </c>
      <c r="AZ1962">
        <f>IF(AU1962="","",IF('Variable Tasks'!J466="","Not Started",'Variable Tasks'!J466))</f>
        <v/>
      </c>
      <c r="BA1962">
        <f>'Variable Tasks'!L466&amp;""</f>
        <v/>
      </c>
      <c r="BB1962">
        <f>'Variable Tasks'!M466&amp;""</f>
        <v/>
      </c>
      <c r="BC1962">
        <f>'Variable Tasks'!N466&amp;""</f>
        <v/>
      </c>
      <c r="BD1962">
        <f>'Variable Tasks'!O466&amp;""</f>
        <v/>
      </c>
      <c r="BE1962">
        <f>IF('Variable Tasks'!K466="","",'Variable Tasks'!K466)</f>
        <v/>
      </c>
      <c r="BF1962">
        <f>IFERROR(MATCH(BA1962,Setup!$L$6:$L$9,0),5)</f>
        <v/>
      </c>
      <c r="BG1962">
        <f>IF(OR(AZ1962="Done",AZ1962="Cancelled"),1,0)</f>
        <v/>
      </c>
      <c r="BH1962">
        <f>IF(AND(AU1962&lt;&gt;"",ISNUMBER(AW1962)),1,0)</f>
        <v/>
      </c>
      <c r="BI1962">
        <f>IF(BH1962=0,0,IF(AND(AW1962&gt;='Tasks Filter'!$F$3,AW1962&lt;='Tasks Filter'!$F$4,OR('Tasks Filter'!$I$3="",ISNUMBER(SEARCH('Tasks Filter'!$I$3,AU1962))),OR('Tasks Filter'!$I$4="",BF1962=IFERROR(MATCH('Tasks Filter'!$I$4,Setup!$L$6:$L$9,0),0)),OR('Tasks Filter'!$I$5="Both",AND('Tasks Filter'!$I$5="Yes",BB1962="✓"),AND('Tasks Filter'!$I$5="No",BB1962&lt;&gt;"✓")),OR('Tasks Filter'!$L$3="",AV1962='Tasks Filter'!$L$3),OR('Tasks Filter'!$L$4="",AZ1962='Tasks Filter'!$L$4),OR('Tasks Filter'!$L$5="",BC1962='Tasks Filter'!$L$5),OR('Tasks Filter'!$O$3="",BD1962='Tasks Filter'!$O$3),OR('Tasks Filter'!$O$4="Yes",BG1962=0)),1,0))</f>
        <v/>
      </c>
      <c r="BJ1962">
        <f>IF(BH1962=0,"",IF('Tasks Filter'!$F$6="Descending",-1,1)*CHOOSE(MATCH('Tasks Filter'!$F$5,Lists!$G$2:$G$6,0),AW1962,BF1962,IFERROR(MATCH(AV1962,Setup!$F$6:$F$15,0),99),IFERROR(MATCH(BC1962,Setup!$H$6:$H$15,0),99),IFERROR(MATCH(AZ1962,Setup!$J$6:$J$11,0),99))*1E+9+(AW1962-40000)*10000+1961)</f>
        <v/>
      </c>
      <c r="BK1962">
        <f>IF(BI1962=1,BJ1962,"")</f>
        <v/>
      </c>
      <c r="BL1962">
        <f>IF(AND(BH1962=1,BG1962=0,N(AW1962)&lt;Setup!$D$7),(AW1962-40000)*10000+1961,"")</f>
        <v/>
      </c>
      <c r="BM1962">
        <f>IF(AND(BH1962=1,AZ1962&lt;&gt;"Cancelled",N(AW1962)&gt;=Dashboard!$AB$3,N(AW1962)&lt;=Dashboard!$AB$3+6),(AW1962-40000)*100000+BF1962*10000+1961,"")</f>
        <v/>
      </c>
      <c r="BN1962">
        <f>IF(AND(BH1962=1,AZ1962&lt;&gt;"Cancelled"),BF1962*10000+1961,"")</f>
        <v/>
      </c>
    </row>
    <row r="1963">
      <c r="AS1963" t="inlineStr">
        <is>
          <t>V</t>
        </is>
      </c>
      <c r="AT1963" t="n">
        <v>467</v>
      </c>
      <c r="AU1963">
        <f>'Variable Tasks'!C467&amp;""</f>
        <v/>
      </c>
      <c r="AV1963">
        <f>'Variable Tasks'!D467&amp;""</f>
        <v/>
      </c>
      <c r="AW1963">
        <f>IF('Variable Tasks'!E467="","",'Variable Tasks'!E467)</f>
        <v/>
      </c>
      <c r="AX1963">
        <f>IF('Variable Tasks'!G467="","",'Variable Tasks'!G467)</f>
        <v/>
      </c>
      <c r="AY1963">
        <f>IF('Variable Tasks'!H467="","",'Variable Tasks'!H467)</f>
        <v/>
      </c>
      <c r="AZ1963">
        <f>IF(AU1963="","",IF('Variable Tasks'!J467="","Not Started",'Variable Tasks'!J467))</f>
        <v/>
      </c>
      <c r="BA1963">
        <f>'Variable Tasks'!L467&amp;""</f>
        <v/>
      </c>
      <c r="BB1963">
        <f>'Variable Tasks'!M467&amp;""</f>
        <v/>
      </c>
      <c r="BC1963">
        <f>'Variable Tasks'!N467&amp;""</f>
        <v/>
      </c>
      <c r="BD1963">
        <f>'Variable Tasks'!O467&amp;""</f>
        <v/>
      </c>
      <c r="BE1963">
        <f>IF('Variable Tasks'!K467="","",'Variable Tasks'!K467)</f>
        <v/>
      </c>
      <c r="BF1963">
        <f>IFERROR(MATCH(BA1963,Setup!$L$6:$L$9,0),5)</f>
        <v/>
      </c>
      <c r="BG1963">
        <f>IF(OR(AZ1963="Done",AZ1963="Cancelled"),1,0)</f>
        <v/>
      </c>
      <c r="BH1963">
        <f>IF(AND(AU1963&lt;&gt;"",ISNUMBER(AW1963)),1,0)</f>
        <v/>
      </c>
      <c r="BI1963">
        <f>IF(BH1963=0,0,IF(AND(AW1963&gt;='Tasks Filter'!$F$3,AW1963&lt;='Tasks Filter'!$F$4,OR('Tasks Filter'!$I$3="",ISNUMBER(SEARCH('Tasks Filter'!$I$3,AU1963))),OR('Tasks Filter'!$I$4="",BF1963=IFERROR(MATCH('Tasks Filter'!$I$4,Setup!$L$6:$L$9,0),0)),OR('Tasks Filter'!$I$5="Both",AND('Tasks Filter'!$I$5="Yes",BB1963="✓"),AND('Tasks Filter'!$I$5="No",BB1963&lt;&gt;"✓")),OR('Tasks Filter'!$L$3="",AV1963='Tasks Filter'!$L$3),OR('Tasks Filter'!$L$4="",AZ1963='Tasks Filter'!$L$4),OR('Tasks Filter'!$L$5="",BC1963='Tasks Filter'!$L$5),OR('Tasks Filter'!$O$3="",BD1963='Tasks Filter'!$O$3),OR('Tasks Filter'!$O$4="Yes",BG1963=0)),1,0))</f>
        <v/>
      </c>
      <c r="BJ1963">
        <f>IF(BH1963=0,"",IF('Tasks Filter'!$F$6="Descending",-1,1)*CHOOSE(MATCH('Tasks Filter'!$F$5,Lists!$G$2:$G$6,0),AW1963,BF1963,IFERROR(MATCH(AV1963,Setup!$F$6:$F$15,0),99),IFERROR(MATCH(BC1963,Setup!$H$6:$H$15,0),99),IFERROR(MATCH(AZ1963,Setup!$J$6:$J$11,0),99))*1E+9+(AW1963-40000)*10000+1962)</f>
        <v/>
      </c>
      <c r="BK1963">
        <f>IF(BI1963=1,BJ1963,"")</f>
        <v/>
      </c>
      <c r="BL1963">
        <f>IF(AND(BH1963=1,BG1963=0,N(AW1963)&lt;Setup!$D$7),(AW1963-40000)*10000+1962,"")</f>
        <v/>
      </c>
      <c r="BM1963">
        <f>IF(AND(BH1963=1,AZ1963&lt;&gt;"Cancelled",N(AW1963)&gt;=Dashboard!$AB$3,N(AW1963)&lt;=Dashboard!$AB$3+6),(AW1963-40000)*100000+BF1963*10000+1962,"")</f>
        <v/>
      </c>
      <c r="BN1963">
        <f>IF(AND(BH1963=1,AZ1963&lt;&gt;"Cancelled"),BF1963*10000+1962,"")</f>
        <v/>
      </c>
    </row>
    <row r="1964">
      <c r="AS1964" t="inlineStr">
        <is>
          <t>V</t>
        </is>
      </c>
      <c r="AT1964" t="n">
        <v>468</v>
      </c>
      <c r="AU1964">
        <f>'Variable Tasks'!C468&amp;""</f>
        <v/>
      </c>
      <c r="AV1964">
        <f>'Variable Tasks'!D468&amp;""</f>
        <v/>
      </c>
      <c r="AW1964">
        <f>IF('Variable Tasks'!E468="","",'Variable Tasks'!E468)</f>
        <v/>
      </c>
      <c r="AX1964">
        <f>IF('Variable Tasks'!G468="","",'Variable Tasks'!G468)</f>
        <v/>
      </c>
      <c r="AY1964">
        <f>IF('Variable Tasks'!H468="","",'Variable Tasks'!H468)</f>
        <v/>
      </c>
      <c r="AZ1964">
        <f>IF(AU1964="","",IF('Variable Tasks'!J468="","Not Started",'Variable Tasks'!J468))</f>
        <v/>
      </c>
      <c r="BA1964">
        <f>'Variable Tasks'!L468&amp;""</f>
        <v/>
      </c>
      <c r="BB1964">
        <f>'Variable Tasks'!M468&amp;""</f>
        <v/>
      </c>
      <c r="BC1964">
        <f>'Variable Tasks'!N468&amp;""</f>
        <v/>
      </c>
      <c r="BD1964">
        <f>'Variable Tasks'!O468&amp;""</f>
        <v/>
      </c>
      <c r="BE1964">
        <f>IF('Variable Tasks'!K468="","",'Variable Tasks'!K468)</f>
        <v/>
      </c>
      <c r="BF1964">
        <f>IFERROR(MATCH(BA1964,Setup!$L$6:$L$9,0),5)</f>
        <v/>
      </c>
      <c r="BG1964">
        <f>IF(OR(AZ1964="Done",AZ1964="Cancelled"),1,0)</f>
        <v/>
      </c>
      <c r="BH1964">
        <f>IF(AND(AU1964&lt;&gt;"",ISNUMBER(AW1964)),1,0)</f>
        <v/>
      </c>
      <c r="BI1964">
        <f>IF(BH1964=0,0,IF(AND(AW1964&gt;='Tasks Filter'!$F$3,AW1964&lt;='Tasks Filter'!$F$4,OR('Tasks Filter'!$I$3="",ISNUMBER(SEARCH('Tasks Filter'!$I$3,AU1964))),OR('Tasks Filter'!$I$4="",BF1964=IFERROR(MATCH('Tasks Filter'!$I$4,Setup!$L$6:$L$9,0),0)),OR('Tasks Filter'!$I$5="Both",AND('Tasks Filter'!$I$5="Yes",BB1964="✓"),AND('Tasks Filter'!$I$5="No",BB1964&lt;&gt;"✓")),OR('Tasks Filter'!$L$3="",AV1964='Tasks Filter'!$L$3),OR('Tasks Filter'!$L$4="",AZ1964='Tasks Filter'!$L$4),OR('Tasks Filter'!$L$5="",BC1964='Tasks Filter'!$L$5),OR('Tasks Filter'!$O$3="",BD1964='Tasks Filter'!$O$3),OR('Tasks Filter'!$O$4="Yes",BG1964=0)),1,0))</f>
        <v/>
      </c>
      <c r="BJ1964">
        <f>IF(BH1964=0,"",IF('Tasks Filter'!$F$6="Descending",-1,1)*CHOOSE(MATCH('Tasks Filter'!$F$5,Lists!$G$2:$G$6,0),AW1964,BF1964,IFERROR(MATCH(AV1964,Setup!$F$6:$F$15,0),99),IFERROR(MATCH(BC1964,Setup!$H$6:$H$15,0),99),IFERROR(MATCH(AZ1964,Setup!$J$6:$J$11,0),99))*1E+9+(AW1964-40000)*10000+1963)</f>
        <v/>
      </c>
      <c r="BK1964">
        <f>IF(BI1964=1,BJ1964,"")</f>
        <v/>
      </c>
      <c r="BL1964">
        <f>IF(AND(BH1964=1,BG1964=0,N(AW1964)&lt;Setup!$D$7),(AW1964-40000)*10000+1963,"")</f>
        <v/>
      </c>
      <c r="BM1964">
        <f>IF(AND(BH1964=1,AZ1964&lt;&gt;"Cancelled",N(AW1964)&gt;=Dashboard!$AB$3,N(AW1964)&lt;=Dashboard!$AB$3+6),(AW1964-40000)*100000+BF1964*10000+1963,"")</f>
        <v/>
      </c>
      <c r="BN1964">
        <f>IF(AND(BH1964=1,AZ1964&lt;&gt;"Cancelled"),BF1964*10000+1963,"")</f>
        <v/>
      </c>
    </row>
    <row r="1965">
      <c r="AS1965" t="inlineStr">
        <is>
          <t>V</t>
        </is>
      </c>
      <c r="AT1965" t="n">
        <v>469</v>
      </c>
      <c r="AU1965">
        <f>'Variable Tasks'!C469&amp;""</f>
        <v/>
      </c>
      <c r="AV1965">
        <f>'Variable Tasks'!D469&amp;""</f>
        <v/>
      </c>
      <c r="AW1965">
        <f>IF('Variable Tasks'!E469="","",'Variable Tasks'!E469)</f>
        <v/>
      </c>
      <c r="AX1965">
        <f>IF('Variable Tasks'!G469="","",'Variable Tasks'!G469)</f>
        <v/>
      </c>
      <c r="AY1965">
        <f>IF('Variable Tasks'!H469="","",'Variable Tasks'!H469)</f>
        <v/>
      </c>
      <c r="AZ1965">
        <f>IF(AU1965="","",IF('Variable Tasks'!J469="","Not Started",'Variable Tasks'!J469))</f>
        <v/>
      </c>
      <c r="BA1965">
        <f>'Variable Tasks'!L469&amp;""</f>
        <v/>
      </c>
      <c r="BB1965">
        <f>'Variable Tasks'!M469&amp;""</f>
        <v/>
      </c>
      <c r="BC1965">
        <f>'Variable Tasks'!N469&amp;""</f>
        <v/>
      </c>
      <c r="BD1965">
        <f>'Variable Tasks'!O469&amp;""</f>
        <v/>
      </c>
      <c r="BE1965">
        <f>IF('Variable Tasks'!K469="","",'Variable Tasks'!K469)</f>
        <v/>
      </c>
      <c r="BF1965">
        <f>IFERROR(MATCH(BA1965,Setup!$L$6:$L$9,0),5)</f>
        <v/>
      </c>
      <c r="BG1965">
        <f>IF(OR(AZ1965="Done",AZ1965="Cancelled"),1,0)</f>
        <v/>
      </c>
      <c r="BH1965">
        <f>IF(AND(AU1965&lt;&gt;"",ISNUMBER(AW1965)),1,0)</f>
        <v/>
      </c>
      <c r="BI1965">
        <f>IF(BH1965=0,0,IF(AND(AW1965&gt;='Tasks Filter'!$F$3,AW1965&lt;='Tasks Filter'!$F$4,OR('Tasks Filter'!$I$3="",ISNUMBER(SEARCH('Tasks Filter'!$I$3,AU1965))),OR('Tasks Filter'!$I$4="",BF1965=IFERROR(MATCH('Tasks Filter'!$I$4,Setup!$L$6:$L$9,0),0)),OR('Tasks Filter'!$I$5="Both",AND('Tasks Filter'!$I$5="Yes",BB1965="✓"),AND('Tasks Filter'!$I$5="No",BB1965&lt;&gt;"✓")),OR('Tasks Filter'!$L$3="",AV1965='Tasks Filter'!$L$3),OR('Tasks Filter'!$L$4="",AZ1965='Tasks Filter'!$L$4),OR('Tasks Filter'!$L$5="",BC1965='Tasks Filter'!$L$5),OR('Tasks Filter'!$O$3="",BD1965='Tasks Filter'!$O$3),OR('Tasks Filter'!$O$4="Yes",BG1965=0)),1,0))</f>
        <v/>
      </c>
      <c r="BJ1965">
        <f>IF(BH1965=0,"",IF('Tasks Filter'!$F$6="Descending",-1,1)*CHOOSE(MATCH('Tasks Filter'!$F$5,Lists!$G$2:$G$6,0),AW1965,BF1965,IFERROR(MATCH(AV1965,Setup!$F$6:$F$15,0),99),IFERROR(MATCH(BC1965,Setup!$H$6:$H$15,0),99),IFERROR(MATCH(AZ1965,Setup!$J$6:$J$11,0),99))*1E+9+(AW1965-40000)*10000+1964)</f>
        <v/>
      </c>
      <c r="BK1965">
        <f>IF(BI1965=1,BJ1965,"")</f>
        <v/>
      </c>
      <c r="BL1965">
        <f>IF(AND(BH1965=1,BG1965=0,N(AW1965)&lt;Setup!$D$7),(AW1965-40000)*10000+1964,"")</f>
        <v/>
      </c>
      <c r="BM1965">
        <f>IF(AND(BH1965=1,AZ1965&lt;&gt;"Cancelled",N(AW1965)&gt;=Dashboard!$AB$3,N(AW1965)&lt;=Dashboard!$AB$3+6),(AW1965-40000)*100000+BF1965*10000+1964,"")</f>
        <v/>
      </c>
      <c r="BN1965">
        <f>IF(AND(BH1965=1,AZ1965&lt;&gt;"Cancelled"),BF1965*10000+1964,"")</f>
        <v/>
      </c>
    </row>
    <row r="1966">
      <c r="AS1966" t="inlineStr">
        <is>
          <t>V</t>
        </is>
      </c>
      <c r="AT1966" t="n">
        <v>470</v>
      </c>
      <c r="AU1966">
        <f>'Variable Tasks'!C470&amp;""</f>
        <v/>
      </c>
      <c r="AV1966">
        <f>'Variable Tasks'!D470&amp;""</f>
        <v/>
      </c>
      <c r="AW1966">
        <f>IF('Variable Tasks'!E470="","",'Variable Tasks'!E470)</f>
        <v/>
      </c>
      <c r="AX1966">
        <f>IF('Variable Tasks'!G470="","",'Variable Tasks'!G470)</f>
        <v/>
      </c>
      <c r="AY1966">
        <f>IF('Variable Tasks'!H470="","",'Variable Tasks'!H470)</f>
        <v/>
      </c>
      <c r="AZ1966">
        <f>IF(AU1966="","",IF('Variable Tasks'!J470="","Not Started",'Variable Tasks'!J470))</f>
        <v/>
      </c>
      <c r="BA1966">
        <f>'Variable Tasks'!L470&amp;""</f>
        <v/>
      </c>
      <c r="BB1966">
        <f>'Variable Tasks'!M470&amp;""</f>
        <v/>
      </c>
      <c r="BC1966">
        <f>'Variable Tasks'!N470&amp;""</f>
        <v/>
      </c>
      <c r="BD1966">
        <f>'Variable Tasks'!O470&amp;""</f>
        <v/>
      </c>
      <c r="BE1966">
        <f>IF('Variable Tasks'!K470="","",'Variable Tasks'!K470)</f>
        <v/>
      </c>
      <c r="BF1966">
        <f>IFERROR(MATCH(BA1966,Setup!$L$6:$L$9,0),5)</f>
        <v/>
      </c>
      <c r="BG1966">
        <f>IF(OR(AZ1966="Done",AZ1966="Cancelled"),1,0)</f>
        <v/>
      </c>
      <c r="BH1966">
        <f>IF(AND(AU1966&lt;&gt;"",ISNUMBER(AW1966)),1,0)</f>
        <v/>
      </c>
      <c r="BI1966">
        <f>IF(BH1966=0,0,IF(AND(AW1966&gt;='Tasks Filter'!$F$3,AW1966&lt;='Tasks Filter'!$F$4,OR('Tasks Filter'!$I$3="",ISNUMBER(SEARCH('Tasks Filter'!$I$3,AU1966))),OR('Tasks Filter'!$I$4="",BF1966=IFERROR(MATCH('Tasks Filter'!$I$4,Setup!$L$6:$L$9,0),0)),OR('Tasks Filter'!$I$5="Both",AND('Tasks Filter'!$I$5="Yes",BB1966="✓"),AND('Tasks Filter'!$I$5="No",BB1966&lt;&gt;"✓")),OR('Tasks Filter'!$L$3="",AV1966='Tasks Filter'!$L$3),OR('Tasks Filter'!$L$4="",AZ1966='Tasks Filter'!$L$4),OR('Tasks Filter'!$L$5="",BC1966='Tasks Filter'!$L$5),OR('Tasks Filter'!$O$3="",BD1966='Tasks Filter'!$O$3),OR('Tasks Filter'!$O$4="Yes",BG1966=0)),1,0))</f>
        <v/>
      </c>
      <c r="BJ1966">
        <f>IF(BH1966=0,"",IF('Tasks Filter'!$F$6="Descending",-1,1)*CHOOSE(MATCH('Tasks Filter'!$F$5,Lists!$G$2:$G$6,0),AW1966,BF1966,IFERROR(MATCH(AV1966,Setup!$F$6:$F$15,0),99),IFERROR(MATCH(BC1966,Setup!$H$6:$H$15,0),99),IFERROR(MATCH(AZ1966,Setup!$J$6:$J$11,0),99))*1E+9+(AW1966-40000)*10000+1965)</f>
        <v/>
      </c>
      <c r="BK1966">
        <f>IF(BI1966=1,BJ1966,"")</f>
        <v/>
      </c>
      <c r="BL1966">
        <f>IF(AND(BH1966=1,BG1966=0,N(AW1966)&lt;Setup!$D$7),(AW1966-40000)*10000+1965,"")</f>
        <v/>
      </c>
      <c r="BM1966">
        <f>IF(AND(BH1966=1,AZ1966&lt;&gt;"Cancelled",N(AW1966)&gt;=Dashboard!$AB$3,N(AW1966)&lt;=Dashboard!$AB$3+6),(AW1966-40000)*100000+BF1966*10000+1965,"")</f>
        <v/>
      </c>
      <c r="BN1966">
        <f>IF(AND(BH1966=1,AZ1966&lt;&gt;"Cancelled"),BF1966*10000+1965,"")</f>
        <v/>
      </c>
    </row>
    <row r="1967">
      <c r="AS1967" t="inlineStr">
        <is>
          <t>V</t>
        </is>
      </c>
      <c r="AT1967" t="n">
        <v>471</v>
      </c>
      <c r="AU1967">
        <f>'Variable Tasks'!C471&amp;""</f>
        <v/>
      </c>
      <c r="AV1967">
        <f>'Variable Tasks'!D471&amp;""</f>
        <v/>
      </c>
      <c r="AW1967">
        <f>IF('Variable Tasks'!E471="","",'Variable Tasks'!E471)</f>
        <v/>
      </c>
      <c r="AX1967">
        <f>IF('Variable Tasks'!G471="","",'Variable Tasks'!G471)</f>
        <v/>
      </c>
      <c r="AY1967">
        <f>IF('Variable Tasks'!H471="","",'Variable Tasks'!H471)</f>
        <v/>
      </c>
      <c r="AZ1967">
        <f>IF(AU1967="","",IF('Variable Tasks'!J471="","Not Started",'Variable Tasks'!J471))</f>
        <v/>
      </c>
      <c r="BA1967">
        <f>'Variable Tasks'!L471&amp;""</f>
        <v/>
      </c>
      <c r="BB1967">
        <f>'Variable Tasks'!M471&amp;""</f>
        <v/>
      </c>
      <c r="BC1967">
        <f>'Variable Tasks'!N471&amp;""</f>
        <v/>
      </c>
      <c r="BD1967">
        <f>'Variable Tasks'!O471&amp;""</f>
        <v/>
      </c>
      <c r="BE1967">
        <f>IF('Variable Tasks'!K471="","",'Variable Tasks'!K471)</f>
        <v/>
      </c>
      <c r="BF1967">
        <f>IFERROR(MATCH(BA1967,Setup!$L$6:$L$9,0),5)</f>
        <v/>
      </c>
      <c r="BG1967">
        <f>IF(OR(AZ1967="Done",AZ1967="Cancelled"),1,0)</f>
        <v/>
      </c>
      <c r="BH1967">
        <f>IF(AND(AU1967&lt;&gt;"",ISNUMBER(AW1967)),1,0)</f>
        <v/>
      </c>
      <c r="BI1967">
        <f>IF(BH1967=0,0,IF(AND(AW1967&gt;='Tasks Filter'!$F$3,AW1967&lt;='Tasks Filter'!$F$4,OR('Tasks Filter'!$I$3="",ISNUMBER(SEARCH('Tasks Filter'!$I$3,AU1967))),OR('Tasks Filter'!$I$4="",BF1967=IFERROR(MATCH('Tasks Filter'!$I$4,Setup!$L$6:$L$9,0),0)),OR('Tasks Filter'!$I$5="Both",AND('Tasks Filter'!$I$5="Yes",BB1967="✓"),AND('Tasks Filter'!$I$5="No",BB1967&lt;&gt;"✓")),OR('Tasks Filter'!$L$3="",AV1967='Tasks Filter'!$L$3),OR('Tasks Filter'!$L$4="",AZ1967='Tasks Filter'!$L$4),OR('Tasks Filter'!$L$5="",BC1967='Tasks Filter'!$L$5),OR('Tasks Filter'!$O$3="",BD1967='Tasks Filter'!$O$3),OR('Tasks Filter'!$O$4="Yes",BG1967=0)),1,0))</f>
        <v/>
      </c>
      <c r="BJ1967">
        <f>IF(BH1967=0,"",IF('Tasks Filter'!$F$6="Descending",-1,1)*CHOOSE(MATCH('Tasks Filter'!$F$5,Lists!$G$2:$G$6,0),AW1967,BF1967,IFERROR(MATCH(AV1967,Setup!$F$6:$F$15,0),99),IFERROR(MATCH(BC1967,Setup!$H$6:$H$15,0),99),IFERROR(MATCH(AZ1967,Setup!$J$6:$J$11,0),99))*1E+9+(AW1967-40000)*10000+1966)</f>
        <v/>
      </c>
      <c r="BK1967">
        <f>IF(BI1967=1,BJ1967,"")</f>
        <v/>
      </c>
      <c r="BL1967">
        <f>IF(AND(BH1967=1,BG1967=0,N(AW1967)&lt;Setup!$D$7),(AW1967-40000)*10000+1966,"")</f>
        <v/>
      </c>
      <c r="BM1967">
        <f>IF(AND(BH1967=1,AZ1967&lt;&gt;"Cancelled",N(AW1967)&gt;=Dashboard!$AB$3,N(AW1967)&lt;=Dashboard!$AB$3+6),(AW1967-40000)*100000+BF1967*10000+1966,"")</f>
        <v/>
      </c>
      <c r="BN1967">
        <f>IF(AND(BH1967=1,AZ1967&lt;&gt;"Cancelled"),BF1967*10000+1966,"")</f>
        <v/>
      </c>
    </row>
    <row r="1968">
      <c r="AS1968" t="inlineStr">
        <is>
          <t>V</t>
        </is>
      </c>
      <c r="AT1968" t="n">
        <v>472</v>
      </c>
      <c r="AU1968">
        <f>'Variable Tasks'!C472&amp;""</f>
        <v/>
      </c>
      <c r="AV1968">
        <f>'Variable Tasks'!D472&amp;""</f>
        <v/>
      </c>
      <c r="AW1968">
        <f>IF('Variable Tasks'!E472="","",'Variable Tasks'!E472)</f>
        <v/>
      </c>
      <c r="AX1968">
        <f>IF('Variable Tasks'!G472="","",'Variable Tasks'!G472)</f>
        <v/>
      </c>
      <c r="AY1968">
        <f>IF('Variable Tasks'!H472="","",'Variable Tasks'!H472)</f>
        <v/>
      </c>
      <c r="AZ1968">
        <f>IF(AU1968="","",IF('Variable Tasks'!J472="","Not Started",'Variable Tasks'!J472))</f>
        <v/>
      </c>
      <c r="BA1968">
        <f>'Variable Tasks'!L472&amp;""</f>
        <v/>
      </c>
      <c r="BB1968">
        <f>'Variable Tasks'!M472&amp;""</f>
        <v/>
      </c>
      <c r="BC1968">
        <f>'Variable Tasks'!N472&amp;""</f>
        <v/>
      </c>
      <c r="BD1968">
        <f>'Variable Tasks'!O472&amp;""</f>
        <v/>
      </c>
      <c r="BE1968">
        <f>IF('Variable Tasks'!K472="","",'Variable Tasks'!K472)</f>
        <v/>
      </c>
      <c r="BF1968">
        <f>IFERROR(MATCH(BA1968,Setup!$L$6:$L$9,0),5)</f>
        <v/>
      </c>
      <c r="BG1968">
        <f>IF(OR(AZ1968="Done",AZ1968="Cancelled"),1,0)</f>
        <v/>
      </c>
      <c r="BH1968">
        <f>IF(AND(AU1968&lt;&gt;"",ISNUMBER(AW1968)),1,0)</f>
        <v/>
      </c>
      <c r="BI1968">
        <f>IF(BH1968=0,0,IF(AND(AW1968&gt;='Tasks Filter'!$F$3,AW1968&lt;='Tasks Filter'!$F$4,OR('Tasks Filter'!$I$3="",ISNUMBER(SEARCH('Tasks Filter'!$I$3,AU1968))),OR('Tasks Filter'!$I$4="",BF1968=IFERROR(MATCH('Tasks Filter'!$I$4,Setup!$L$6:$L$9,0),0)),OR('Tasks Filter'!$I$5="Both",AND('Tasks Filter'!$I$5="Yes",BB1968="✓"),AND('Tasks Filter'!$I$5="No",BB1968&lt;&gt;"✓")),OR('Tasks Filter'!$L$3="",AV1968='Tasks Filter'!$L$3),OR('Tasks Filter'!$L$4="",AZ1968='Tasks Filter'!$L$4),OR('Tasks Filter'!$L$5="",BC1968='Tasks Filter'!$L$5),OR('Tasks Filter'!$O$3="",BD1968='Tasks Filter'!$O$3),OR('Tasks Filter'!$O$4="Yes",BG1968=0)),1,0))</f>
        <v/>
      </c>
      <c r="BJ1968">
        <f>IF(BH1968=0,"",IF('Tasks Filter'!$F$6="Descending",-1,1)*CHOOSE(MATCH('Tasks Filter'!$F$5,Lists!$G$2:$G$6,0),AW1968,BF1968,IFERROR(MATCH(AV1968,Setup!$F$6:$F$15,0),99),IFERROR(MATCH(BC1968,Setup!$H$6:$H$15,0),99),IFERROR(MATCH(AZ1968,Setup!$J$6:$J$11,0),99))*1E+9+(AW1968-40000)*10000+1967)</f>
        <v/>
      </c>
      <c r="BK1968">
        <f>IF(BI1968=1,BJ1968,"")</f>
        <v/>
      </c>
      <c r="BL1968">
        <f>IF(AND(BH1968=1,BG1968=0,N(AW1968)&lt;Setup!$D$7),(AW1968-40000)*10000+1967,"")</f>
        <v/>
      </c>
      <c r="BM1968">
        <f>IF(AND(BH1968=1,AZ1968&lt;&gt;"Cancelled",N(AW1968)&gt;=Dashboard!$AB$3,N(AW1968)&lt;=Dashboard!$AB$3+6),(AW1968-40000)*100000+BF1968*10000+1967,"")</f>
        <v/>
      </c>
      <c r="BN1968">
        <f>IF(AND(BH1968=1,AZ1968&lt;&gt;"Cancelled"),BF1968*10000+1967,"")</f>
        <v/>
      </c>
    </row>
    <row r="1969">
      <c r="AS1969" t="inlineStr">
        <is>
          <t>V</t>
        </is>
      </c>
      <c r="AT1969" t="n">
        <v>473</v>
      </c>
      <c r="AU1969">
        <f>'Variable Tasks'!C473&amp;""</f>
        <v/>
      </c>
      <c r="AV1969">
        <f>'Variable Tasks'!D473&amp;""</f>
        <v/>
      </c>
      <c r="AW1969">
        <f>IF('Variable Tasks'!E473="","",'Variable Tasks'!E473)</f>
        <v/>
      </c>
      <c r="AX1969">
        <f>IF('Variable Tasks'!G473="","",'Variable Tasks'!G473)</f>
        <v/>
      </c>
      <c r="AY1969">
        <f>IF('Variable Tasks'!H473="","",'Variable Tasks'!H473)</f>
        <v/>
      </c>
      <c r="AZ1969">
        <f>IF(AU1969="","",IF('Variable Tasks'!J473="","Not Started",'Variable Tasks'!J473))</f>
        <v/>
      </c>
      <c r="BA1969">
        <f>'Variable Tasks'!L473&amp;""</f>
        <v/>
      </c>
      <c r="BB1969">
        <f>'Variable Tasks'!M473&amp;""</f>
        <v/>
      </c>
      <c r="BC1969">
        <f>'Variable Tasks'!N473&amp;""</f>
        <v/>
      </c>
      <c r="BD1969">
        <f>'Variable Tasks'!O473&amp;""</f>
        <v/>
      </c>
      <c r="BE1969">
        <f>IF('Variable Tasks'!K473="","",'Variable Tasks'!K473)</f>
        <v/>
      </c>
      <c r="BF1969">
        <f>IFERROR(MATCH(BA1969,Setup!$L$6:$L$9,0),5)</f>
        <v/>
      </c>
      <c r="BG1969">
        <f>IF(OR(AZ1969="Done",AZ1969="Cancelled"),1,0)</f>
        <v/>
      </c>
      <c r="BH1969">
        <f>IF(AND(AU1969&lt;&gt;"",ISNUMBER(AW1969)),1,0)</f>
        <v/>
      </c>
      <c r="BI1969">
        <f>IF(BH1969=0,0,IF(AND(AW1969&gt;='Tasks Filter'!$F$3,AW1969&lt;='Tasks Filter'!$F$4,OR('Tasks Filter'!$I$3="",ISNUMBER(SEARCH('Tasks Filter'!$I$3,AU1969))),OR('Tasks Filter'!$I$4="",BF1969=IFERROR(MATCH('Tasks Filter'!$I$4,Setup!$L$6:$L$9,0),0)),OR('Tasks Filter'!$I$5="Both",AND('Tasks Filter'!$I$5="Yes",BB1969="✓"),AND('Tasks Filter'!$I$5="No",BB1969&lt;&gt;"✓")),OR('Tasks Filter'!$L$3="",AV1969='Tasks Filter'!$L$3),OR('Tasks Filter'!$L$4="",AZ1969='Tasks Filter'!$L$4),OR('Tasks Filter'!$L$5="",BC1969='Tasks Filter'!$L$5),OR('Tasks Filter'!$O$3="",BD1969='Tasks Filter'!$O$3),OR('Tasks Filter'!$O$4="Yes",BG1969=0)),1,0))</f>
        <v/>
      </c>
      <c r="BJ1969">
        <f>IF(BH1969=0,"",IF('Tasks Filter'!$F$6="Descending",-1,1)*CHOOSE(MATCH('Tasks Filter'!$F$5,Lists!$G$2:$G$6,0),AW1969,BF1969,IFERROR(MATCH(AV1969,Setup!$F$6:$F$15,0),99),IFERROR(MATCH(BC1969,Setup!$H$6:$H$15,0),99),IFERROR(MATCH(AZ1969,Setup!$J$6:$J$11,0),99))*1E+9+(AW1969-40000)*10000+1968)</f>
        <v/>
      </c>
      <c r="BK1969">
        <f>IF(BI1969=1,BJ1969,"")</f>
        <v/>
      </c>
      <c r="BL1969">
        <f>IF(AND(BH1969=1,BG1969=0,N(AW1969)&lt;Setup!$D$7),(AW1969-40000)*10000+1968,"")</f>
        <v/>
      </c>
      <c r="BM1969">
        <f>IF(AND(BH1969=1,AZ1969&lt;&gt;"Cancelled",N(AW1969)&gt;=Dashboard!$AB$3,N(AW1969)&lt;=Dashboard!$AB$3+6),(AW1969-40000)*100000+BF1969*10000+1968,"")</f>
        <v/>
      </c>
      <c r="BN1969">
        <f>IF(AND(BH1969=1,AZ1969&lt;&gt;"Cancelled"),BF1969*10000+1968,"")</f>
        <v/>
      </c>
    </row>
    <row r="1970">
      <c r="AS1970" t="inlineStr">
        <is>
          <t>V</t>
        </is>
      </c>
      <c r="AT1970" t="n">
        <v>474</v>
      </c>
      <c r="AU1970">
        <f>'Variable Tasks'!C474&amp;""</f>
        <v/>
      </c>
      <c r="AV1970">
        <f>'Variable Tasks'!D474&amp;""</f>
        <v/>
      </c>
      <c r="AW1970">
        <f>IF('Variable Tasks'!E474="","",'Variable Tasks'!E474)</f>
        <v/>
      </c>
      <c r="AX1970">
        <f>IF('Variable Tasks'!G474="","",'Variable Tasks'!G474)</f>
        <v/>
      </c>
      <c r="AY1970">
        <f>IF('Variable Tasks'!H474="","",'Variable Tasks'!H474)</f>
        <v/>
      </c>
      <c r="AZ1970">
        <f>IF(AU1970="","",IF('Variable Tasks'!J474="","Not Started",'Variable Tasks'!J474))</f>
        <v/>
      </c>
      <c r="BA1970">
        <f>'Variable Tasks'!L474&amp;""</f>
        <v/>
      </c>
      <c r="BB1970">
        <f>'Variable Tasks'!M474&amp;""</f>
        <v/>
      </c>
      <c r="BC1970">
        <f>'Variable Tasks'!N474&amp;""</f>
        <v/>
      </c>
      <c r="BD1970">
        <f>'Variable Tasks'!O474&amp;""</f>
        <v/>
      </c>
      <c r="BE1970">
        <f>IF('Variable Tasks'!K474="","",'Variable Tasks'!K474)</f>
        <v/>
      </c>
      <c r="BF1970">
        <f>IFERROR(MATCH(BA1970,Setup!$L$6:$L$9,0),5)</f>
        <v/>
      </c>
      <c r="BG1970">
        <f>IF(OR(AZ1970="Done",AZ1970="Cancelled"),1,0)</f>
        <v/>
      </c>
      <c r="BH1970">
        <f>IF(AND(AU1970&lt;&gt;"",ISNUMBER(AW1970)),1,0)</f>
        <v/>
      </c>
      <c r="BI1970">
        <f>IF(BH1970=0,0,IF(AND(AW1970&gt;='Tasks Filter'!$F$3,AW1970&lt;='Tasks Filter'!$F$4,OR('Tasks Filter'!$I$3="",ISNUMBER(SEARCH('Tasks Filter'!$I$3,AU1970))),OR('Tasks Filter'!$I$4="",BF1970=IFERROR(MATCH('Tasks Filter'!$I$4,Setup!$L$6:$L$9,0),0)),OR('Tasks Filter'!$I$5="Both",AND('Tasks Filter'!$I$5="Yes",BB1970="✓"),AND('Tasks Filter'!$I$5="No",BB1970&lt;&gt;"✓")),OR('Tasks Filter'!$L$3="",AV1970='Tasks Filter'!$L$3),OR('Tasks Filter'!$L$4="",AZ1970='Tasks Filter'!$L$4),OR('Tasks Filter'!$L$5="",BC1970='Tasks Filter'!$L$5),OR('Tasks Filter'!$O$3="",BD1970='Tasks Filter'!$O$3),OR('Tasks Filter'!$O$4="Yes",BG1970=0)),1,0))</f>
        <v/>
      </c>
      <c r="BJ1970">
        <f>IF(BH1970=0,"",IF('Tasks Filter'!$F$6="Descending",-1,1)*CHOOSE(MATCH('Tasks Filter'!$F$5,Lists!$G$2:$G$6,0),AW1970,BF1970,IFERROR(MATCH(AV1970,Setup!$F$6:$F$15,0),99),IFERROR(MATCH(BC1970,Setup!$H$6:$H$15,0),99),IFERROR(MATCH(AZ1970,Setup!$J$6:$J$11,0),99))*1E+9+(AW1970-40000)*10000+1969)</f>
        <v/>
      </c>
      <c r="BK1970">
        <f>IF(BI1970=1,BJ1970,"")</f>
        <v/>
      </c>
      <c r="BL1970">
        <f>IF(AND(BH1970=1,BG1970=0,N(AW1970)&lt;Setup!$D$7),(AW1970-40000)*10000+1969,"")</f>
        <v/>
      </c>
      <c r="BM1970">
        <f>IF(AND(BH1970=1,AZ1970&lt;&gt;"Cancelled",N(AW1970)&gt;=Dashboard!$AB$3,N(AW1970)&lt;=Dashboard!$AB$3+6),(AW1970-40000)*100000+BF1970*10000+1969,"")</f>
        <v/>
      </c>
      <c r="BN1970">
        <f>IF(AND(BH1970=1,AZ1970&lt;&gt;"Cancelled"),BF1970*10000+1969,"")</f>
        <v/>
      </c>
    </row>
    <row r="1971">
      <c r="AS1971" t="inlineStr">
        <is>
          <t>V</t>
        </is>
      </c>
      <c r="AT1971" t="n">
        <v>475</v>
      </c>
      <c r="AU1971">
        <f>'Variable Tasks'!C475&amp;""</f>
        <v/>
      </c>
      <c r="AV1971">
        <f>'Variable Tasks'!D475&amp;""</f>
        <v/>
      </c>
      <c r="AW1971">
        <f>IF('Variable Tasks'!E475="","",'Variable Tasks'!E475)</f>
        <v/>
      </c>
      <c r="AX1971">
        <f>IF('Variable Tasks'!G475="","",'Variable Tasks'!G475)</f>
        <v/>
      </c>
      <c r="AY1971">
        <f>IF('Variable Tasks'!H475="","",'Variable Tasks'!H475)</f>
        <v/>
      </c>
      <c r="AZ1971">
        <f>IF(AU1971="","",IF('Variable Tasks'!J475="","Not Started",'Variable Tasks'!J475))</f>
        <v/>
      </c>
      <c r="BA1971">
        <f>'Variable Tasks'!L475&amp;""</f>
        <v/>
      </c>
      <c r="BB1971">
        <f>'Variable Tasks'!M475&amp;""</f>
        <v/>
      </c>
      <c r="BC1971">
        <f>'Variable Tasks'!N475&amp;""</f>
        <v/>
      </c>
      <c r="BD1971">
        <f>'Variable Tasks'!O475&amp;""</f>
        <v/>
      </c>
      <c r="BE1971">
        <f>IF('Variable Tasks'!K475="","",'Variable Tasks'!K475)</f>
        <v/>
      </c>
      <c r="BF1971">
        <f>IFERROR(MATCH(BA1971,Setup!$L$6:$L$9,0),5)</f>
        <v/>
      </c>
      <c r="BG1971">
        <f>IF(OR(AZ1971="Done",AZ1971="Cancelled"),1,0)</f>
        <v/>
      </c>
      <c r="BH1971">
        <f>IF(AND(AU1971&lt;&gt;"",ISNUMBER(AW1971)),1,0)</f>
        <v/>
      </c>
      <c r="BI1971">
        <f>IF(BH1971=0,0,IF(AND(AW1971&gt;='Tasks Filter'!$F$3,AW1971&lt;='Tasks Filter'!$F$4,OR('Tasks Filter'!$I$3="",ISNUMBER(SEARCH('Tasks Filter'!$I$3,AU1971))),OR('Tasks Filter'!$I$4="",BF1971=IFERROR(MATCH('Tasks Filter'!$I$4,Setup!$L$6:$L$9,0),0)),OR('Tasks Filter'!$I$5="Both",AND('Tasks Filter'!$I$5="Yes",BB1971="✓"),AND('Tasks Filter'!$I$5="No",BB1971&lt;&gt;"✓")),OR('Tasks Filter'!$L$3="",AV1971='Tasks Filter'!$L$3),OR('Tasks Filter'!$L$4="",AZ1971='Tasks Filter'!$L$4),OR('Tasks Filter'!$L$5="",BC1971='Tasks Filter'!$L$5),OR('Tasks Filter'!$O$3="",BD1971='Tasks Filter'!$O$3),OR('Tasks Filter'!$O$4="Yes",BG1971=0)),1,0))</f>
        <v/>
      </c>
      <c r="BJ1971">
        <f>IF(BH1971=0,"",IF('Tasks Filter'!$F$6="Descending",-1,1)*CHOOSE(MATCH('Tasks Filter'!$F$5,Lists!$G$2:$G$6,0),AW1971,BF1971,IFERROR(MATCH(AV1971,Setup!$F$6:$F$15,0),99),IFERROR(MATCH(BC1971,Setup!$H$6:$H$15,0),99),IFERROR(MATCH(AZ1971,Setup!$J$6:$J$11,0),99))*1E+9+(AW1971-40000)*10000+1970)</f>
        <v/>
      </c>
      <c r="BK1971">
        <f>IF(BI1971=1,BJ1971,"")</f>
        <v/>
      </c>
      <c r="BL1971">
        <f>IF(AND(BH1971=1,BG1971=0,N(AW1971)&lt;Setup!$D$7),(AW1971-40000)*10000+1970,"")</f>
        <v/>
      </c>
      <c r="BM1971">
        <f>IF(AND(BH1971=1,AZ1971&lt;&gt;"Cancelled",N(AW1971)&gt;=Dashboard!$AB$3,N(AW1971)&lt;=Dashboard!$AB$3+6),(AW1971-40000)*100000+BF1971*10000+1970,"")</f>
        <v/>
      </c>
      <c r="BN1971">
        <f>IF(AND(BH1971=1,AZ1971&lt;&gt;"Cancelled"),BF1971*10000+1970,"")</f>
        <v/>
      </c>
    </row>
    <row r="1972">
      <c r="AS1972" t="inlineStr">
        <is>
          <t>V</t>
        </is>
      </c>
      <c r="AT1972" t="n">
        <v>476</v>
      </c>
      <c r="AU1972">
        <f>'Variable Tasks'!C476&amp;""</f>
        <v/>
      </c>
      <c r="AV1972">
        <f>'Variable Tasks'!D476&amp;""</f>
        <v/>
      </c>
      <c r="AW1972">
        <f>IF('Variable Tasks'!E476="","",'Variable Tasks'!E476)</f>
        <v/>
      </c>
      <c r="AX1972">
        <f>IF('Variable Tasks'!G476="","",'Variable Tasks'!G476)</f>
        <v/>
      </c>
      <c r="AY1972">
        <f>IF('Variable Tasks'!H476="","",'Variable Tasks'!H476)</f>
        <v/>
      </c>
      <c r="AZ1972">
        <f>IF(AU1972="","",IF('Variable Tasks'!J476="","Not Started",'Variable Tasks'!J476))</f>
        <v/>
      </c>
      <c r="BA1972">
        <f>'Variable Tasks'!L476&amp;""</f>
        <v/>
      </c>
      <c r="BB1972">
        <f>'Variable Tasks'!M476&amp;""</f>
        <v/>
      </c>
      <c r="BC1972">
        <f>'Variable Tasks'!N476&amp;""</f>
        <v/>
      </c>
      <c r="BD1972">
        <f>'Variable Tasks'!O476&amp;""</f>
        <v/>
      </c>
      <c r="BE1972">
        <f>IF('Variable Tasks'!K476="","",'Variable Tasks'!K476)</f>
        <v/>
      </c>
      <c r="BF1972">
        <f>IFERROR(MATCH(BA1972,Setup!$L$6:$L$9,0),5)</f>
        <v/>
      </c>
      <c r="BG1972">
        <f>IF(OR(AZ1972="Done",AZ1972="Cancelled"),1,0)</f>
        <v/>
      </c>
      <c r="BH1972">
        <f>IF(AND(AU1972&lt;&gt;"",ISNUMBER(AW1972)),1,0)</f>
        <v/>
      </c>
      <c r="BI1972">
        <f>IF(BH1972=0,0,IF(AND(AW1972&gt;='Tasks Filter'!$F$3,AW1972&lt;='Tasks Filter'!$F$4,OR('Tasks Filter'!$I$3="",ISNUMBER(SEARCH('Tasks Filter'!$I$3,AU1972))),OR('Tasks Filter'!$I$4="",BF1972=IFERROR(MATCH('Tasks Filter'!$I$4,Setup!$L$6:$L$9,0),0)),OR('Tasks Filter'!$I$5="Both",AND('Tasks Filter'!$I$5="Yes",BB1972="✓"),AND('Tasks Filter'!$I$5="No",BB1972&lt;&gt;"✓")),OR('Tasks Filter'!$L$3="",AV1972='Tasks Filter'!$L$3),OR('Tasks Filter'!$L$4="",AZ1972='Tasks Filter'!$L$4),OR('Tasks Filter'!$L$5="",BC1972='Tasks Filter'!$L$5),OR('Tasks Filter'!$O$3="",BD1972='Tasks Filter'!$O$3),OR('Tasks Filter'!$O$4="Yes",BG1972=0)),1,0))</f>
        <v/>
      </c>
      <c r="BJ1972">
        <f>IF(BH1972=0,"",IF('Tasks Filter'!$F$6="Descending",-1,1)*CHOOSE(MATCH('Tasks Filter'!$F$5,Lists!$G$2:$G$6,0),AW1972,BF1972,IFERROR(MATCH(AV1972,Setup!$F$6:$F$15,0),99),IFERROR(MATCH(BC1972,Setup!$H$6:$H$15,0),99),IFERROR(MATCH(AZ1972,Setup!$J$6:$J$11,0),99))*1E+9+(AW1972-40000)*10000+1971)</f>
        <v/>
      </c>
      <c r="BK1972">
        <f>IF(BI1972=1,BJ1972,"")</f>
        <v/>
      </c>
      <c r="BL1972">
        <f>IF(AND(BH1972=1,BG1972=0,N(AW1972)&lt;Setup!$D$7),(AW1972-40000)*10000+1971,"")</f>
        <v/>
      </c>
      <c r="BM1972">
        <f>IF(AND(BH1972=1,AZ1972&lt;&gt;"Cancelled",N(AW1972)&gt;=Dashboard!$AB$3,N(AW1972)&lt;=Dashboard!$AB$3+6),(AW1972-40000)*100000+BF1972*10000+1971,"")</f>
        <v/>
      </c>
      <c r="BN1972">
        <f>IF(AND(BH1972=1,AZ1972&lt;&gt;"Cancelled"),BF1972*10000+1971,"")</f>
        <v/>
      </c>
    </row>
    <row r="1973">
      <c r="AS1973" t="inlineStr">
        <is>
          <t>V</t>
        </is>
      </c>
      <c r="AT1973" t="n">
        <v>477</v>
      </c>
      <c r="AU1973">
        <f>'Variable Tasks'!C477&amp;""</f>
        <v/>
      </c>
      <c r="AV1973">
        <f>'Variable Tasks'!D477&amp;""</f>
        <v/>
      </c>
      <c r="AW1973">
        <f>IF('Variable Tasks'!E477="","",'Variable Tasks'!E477)</f>
        <v/>
      </c>
      <c r="AX1973">
        <f>IF('Variable Tasks'!G477="","",'Variable Tasks'!G477)</f>
        <v/>
      </c>
      <c r="AY1973">
        <f>IF('Variable Tasks'!H477="","",'Variable Tasks'!H477)</f>
        <v/>
      </c>
      <c r="AZ1973">
        <f>IF(AU1973="","",IF('Variable Tasks'!J477="","Not Started",'Variable Tasks'!J477))</f>
        <v/>
      </c>
      <c r="BA1973">
        <f>'Variable Tasks'!L477&amp;""</f>
        <v/>
      </c>
      <c r="BB1973">
        <f>'Variable Tasks'!M477&amp;""</f>
        <v/>
      </c>
      <c r="BC1973">
        <f>'Variable Tasks'!N477&amp;""</f>
        <v/>
      </c>
      <c r="BD1973">
        <f>'Variable Tasks'!O477&amp;""</f>
        <v/>
      </c>
      <c r="BE1973">
        <f>IF('Variable Tasks'!K477="","",'Variable Tasks'!K477)</f>
        <v/>
      </c>
      <c r="BF1973">
        <f>IFERROR(MATCH(BA1973,Setup!$L$6:$L$9,0),5)</f>
        <v/>
      </c>
      <c r="BG1973">
        <f>IF(OR(AZ1973="Done",AZ1973="Cancelled"),1,0)</f>
        <v/>
      </c>
      <c r="BH1973">
        <f>IF(AND(AU1973&lt;&gt;"",ISNUMBER(AW1973)),1,0)</f>
        <v/>
      </c>
      <c r="BI1973">
        <f>IF(BH1973=0,0,IF(AND(AW1973&gt;='Tasks Filter'!$F$3,AW1973&lt;='Tasks Filter'!$F$4,OR('Tasks Filter'!$I$3="",ISNUMBER(SEARCH('Tasks Filter'!$I$3,AU1973))),OR('Tasks Filter'!$I$4="",BF1973=IFERROR(MATCH('Tasks Filter'!$I$4,Setup!$L$6:$L$9,0),0)),OR('Tasks Filter'!$I$5="Both",AND('Tasks Filter'!$I$5="Yes",BB1973="✓"),AND('Tasks Filter'!$I$5="No",BB1973&lt;&gt;"✓")),OR('Tasks Filter'!$L$3="",AV1973='Tasks Filter'!$L$3),OR('Tasks Filter'!$L$4="",AZ1973='Tasks Filter'!$L$4),OR('Tasks Filter'!$L$5="",BC1973='Tasks Filter'!$L$5),OR('Tasks Filter'!$O$3="",BD1973='Tasks Filter'!$O$3),OR('Tasks Filter'!$O$4="Yes",BG1973=0)),1,0))</f>
        <v/>
      </c>
      <c r="BJ1973">
        <f>IF(BH1973=0,"",IF('Tasks Filter'!$F$6="Descending",-1,1)*CHOOSE(MATCH('Tasks Filter'!$F$5,Lists!$G$2:$G$6,0),AW1973,BF1973,IFERROR(MATCH(AV1973,Setup!$F$6:$F$15,0),99),IFERROR(MATCH(BC1973,Setup!$H$6:$H$15,0),99),IFERROR(MATCH(AZ1973,Setup!$J$6:$J$11,0),99))*1E+9+(AW1973-40000)*10000+1972)</f>
        <v/>
      </c>
      <c r="BK1973">
        <f>IF(BI1973=1,BJ1973,"")</f>
        <v/>
      </c>
      <c r="BL1973">
        <f>IF(AND(BH1973=1,BG1973=0,N(AW1973)&lt;Setup!$D$7),(AW1973-40000)*10000+1972,"")</f>
        <v/>
      </c>
      <c r="BM1973">
        <f>IF(AND(BH1973=1,AZ1973&lt;&gt;"Cancelled",N(AW1973)&gt;=Dashboard!$AB$3,N(AW1973)&lt;=Dashboard!$AB$3+6),(AW1973-40000)*100000+BF1973*10000+1972,"")</f>
        <v/>
      </c>
      <c r="BN1973">
        <f>IF(AND(BH1973=1,AZ1973&lt;&gt;"Cancelled"),BF1973*10000+1972,"")</f>
        <v/>
      </c>
    </row>
    <row r="1974">
      <c r="AS1974" t="inlineStr">
        <is>
          <t>V</t>
        </is>
      </c>
      <c r="AT1974" t="n">
        <v>478</v>
      </c>
      <c r="AU1974">
        <f>'Variable Tasks'!C478&amp;""</f>
        <v/>
      </c>
      <c r="AV1974">
        <f>'Variable Tasks'!D478&amp;""</f>
        <v/>
      </c>
      <c r="AW1974">
        <f>IF('Variable Tasks'!E478="","",'Variable Tasks'!E478)</f>
        <v/>
      </c>
      <c r="AX1974">
        <f>IF('Variable Tasks'!G478="","",'Variable Tasks'!G478)</f>
        <v/>
      </c>
      <c r="AY1974">
        <f>IF('Variable Tasks'!H478="","",'Variable Tasks'!H478)</f>
        <v/>
      </c>
      <c r="AZ1974">
        <f>IF(AU1974="","",IF('Variable Tasks'!J478="","Not Started",'Variable Tasks'!J478))</f>
        <v/>
      </c>
      <c r="BA1974">
        <f>'Variable Tasks'!L478&amp;""</f>
        <v/>
      </c>
      <c r="BB1974">
        <f>'Variable Tasks'!M478&amp;""</f>
        <v/>
      </c>
      <c r="BC1974">
        <f>'Variable Tasks'!N478&amp;""</f>
        <v/>
      </c>
      <c r="BD1974">
        <f>'Variable Tasks'!O478&amp;""</f>
        <v/>
      </c>
      <c r="BE1974">
        <f>IF('Variable Tasks'!K478="","",'Variable Tasks'!K478)</f>
        <v/>
      </c>
      <c r="BF1974">
        <f>IFERROR(MATCH(BA1974,Setup!$L$6:$L$9,0),5)</f>
        <v/>
      </c>
      <c r="BG1974">
        <f>IF(OR(AZ1974="Done",AZ1974="Cancelled"),1,0)</f>
        <v/>
      </c>
      <c r="BH1974">
        <f>IF(AND(AU1974&lt;&gt;"",ISNUMBER(AW1974)),1,0)</f>
        <v/>
      </c>
      <c r="BI1974">
        <f>IF(BH1974=0,0,IF(AND(AW1974&gt;='Tasks Filter'!$F$3,AW1974&lt;='Tasks Filter'!$F$4,OR('Tasks Filter'!$I$3="",ISNUMBER(SEARCH('Tasks Filter'!$I$3,AU1974))),OR('Tasks Filter'!$I$4="",BF1974=IFERROR(MATCH('Tasks Filter'!$I$4,Setup!$L$6:$L$9,0),0)),OR('Tasks Filter'!$I$5="Both",AND('Tasks Filter'!$I$5="Yes",BB1974="✓"),AND('Tasks Filter'!$I$5="No",BB1974&lt;&gt;"✓")),OR('Tasks Filter'!$L$3="",AV1974='Tasks Filter'!$L$3),OR('Tasks Filter'!$L$4="",AZ1974='Tasks Filter'!$L$4),OR('Tasks Filter'!$L$5="",BC1974='Tasks Filter'!$L$5),OR('Tasks Filter'!$O$3="",BD1974='Tasks Filter'!$O$3),OR('Tasks Filter'!$O$4="Yes",BG1974=0)),1,0))</f>
        <v/>
      </c>
      <c r="BJ1974">
        <f>IF(BH1974=0,"",IF('Tasks Filter'!$F$6="Descending",-1,1)*CHOOSE(MATCH('Tasks Filter'!$F$5,Lists!$G$2:$G$6,0),AW1974,BF1974,IFERROR(MATCH(AV1974,Setup!$F$6:$F$15,0),99),IFERROR(MATCH(BC1974,Setup!$H$6:$H$15,0),99),IFERROR(MATCH(AZ1974,Setup!$J$6:$J$11,0),99))*1E+9+(AW1974-40000)*10000+1973)</f>
        <v/>
      </c>
      <c r="BK1974">
        <f>IF(BI1974=1,BJ1974,"")</f>
        <v/>
      </c>
      <c r="BL1974">
        <f>IF(AND(BH1974=1,BG1974=0,N(AW1974)&lt;Setup!$D$7),(AW1974-40000)*10000+1973,"")</f>
        <v/>
      </c>
      <c r="BM1974">
        <f>IF(AND(BH1974=1,AZ1974&lt;&gt;"Cancelled",N(AW1974)&gt;=Dashboard!$AB$3,N(AW1974)&lt;=Dashboard!$AB$3+6),(AW1974-40000)*100000+BF1974*10000+1973,"")</f>
        <v/>
      </c>
      <c r="BN1974">
        <f>IF(AND(BH1974=1,AZ1974&lt;&gt;"Cancelled"),BF1974*10000+1973,"")</f>
        <v/>
      </c>
    </row>
    <row r="1975">
      <c r="AS1975" t="inlineStr">
        <is>
          <t>V</t>
        </is>
      </c>
      <c r="AT1975" t="n">
        <v>479</v>
      </c>
      <c r="AU1975">
        <f>'Variable Tasks'!C479&amp;""</f>
        <v/>
      </c>
      <c r="AV1975">
        <f>'Variable Tasks'!D479&amp;""</f>
        <v/>
      </c>
      <c r="AW1975">
        <f>IF('Variable Tasks'!E479="","",'Variable Tasks'!E479)</f>
        <v/>
      </c>
      <c r="AX1975">
        <f>IF('Variable Tasks'!G479="","",'Variable Tasks'!G479)</f>
        <v/>
      </c>
      <c r="AY1975">
        <f>IF('Variable Tasks'!H479="","",'Variable Tasks'!H479)</f>
        <v/>
      </c>
      <c r="AZ1975">
        <f>IF(AU1975="","",IF('Variable Tasks'!J479="","Not Started",'Variable Tasks'!J479))</f>
        <v/>
      </c>
      <c r="BA1975">
        <f>'Variable Tasks'!L479&amp;""</f>
        <v/>
      </c>
      <c r="BB1975">
        <f>'Variable Tasks'!M479&amp;""</f>
        <v/>
      </c>
      <c r="BC1975">
        <f>'Variable Tasks'!N479&amp;""</f>
        <v/>
      </c>
      <c r="BD1975">
        <f>'Variable Tasks'!O479&amp;""</f>
        <v/>
      </c>
      <c r="BE1975">
        <f>IF('Variable Tasks'!K479="","",'Variable Tasks'!K479)</f>
        <v/>
      </c>
      <c r="BF1975">
        <f>IFERROR(MATCH(BA1975,Setup!$L$6:$L$9,0),5)</f>
        <v/>
      </c>
      <c r="BG1975">
        <f>IF(OR(AZ1975="Done",AZ1975="Cancelled"),1,0)</f>
        <v/>
      </c>
      <c r="BH1975">
        <f>IF(AND(AU1975&lt;&gt;"",ISNUMBER(AW1975)),1,0)</f>
        <v/>
      </c>
      <c r="BI1975">
        <f>IF(BH1975=0,0,IF(AND(AW1975&gt;='Tasks Filter'!$F$3,AW1975&lt;='Tasks Filter'!$F$4,OR('Tasks Filter'!$I$3="",ISNUMBER(SEARCH('Tasks Filter'!$I$3,AU1975))),OR('Tasks Filter'!$I$4="",BF1975=IFERROR(MATCH('Tasks Filter'!$I$4,Setup!$L$6:$L$9,0),0)),OR('Tasks Filter'!$I$5="Both",AND('Tasks Filter'!$I$5="Yes",BB1975="✓"),AND('Tasks Filter'!$I$5="No",BB1975&lt;&gt;"✓")),OR('Tasks Filter'!$L$3="",AV1975='Tasks Filter'!$L$3),OR('Tasks Filter'!$L$4="",AZ1975='Tasks Filter'!$L$4),OR('Tasks Filter'!$L$5="",BC1975='Tasks Filter'!$L$5),OR('Tasks Filter'!$O$3="",BD1975='Tasks Filter'!$O$3),OR('Tasks Filter'!$O$4="Yes",BG1975=0)),1,0))</f>
        <v/>
      </c>
      <c r="BJ1975">
        <f>IF(BH1975=0,"",IF('Tasks Filter'!$F$6="Descending",-1,1)*CHOOSE(MATCH('Tasks Filter'!$F$5,Lists!$G$2:$G$6,0),AW1975,BF1975,IFERROR(MATCH(AV1975,Setup!$F$6:$F$15,0),99),IFERROR(MATCH(BC1975,Setup!$H$6:$H$15,0),99),IFERROR(MATCH(AZ1975,Setup!$J$6:$J$11,0),99))*1E+9+(AW1975-40000)*10000+1974)</f>
        <v/>
      </c>
      <c r="BK1975">
        <f>IF(BI1975=1,BJ1975,"")</f>
        <v/>
      </c>
      <c r="BL1975">
        <f>IF(AND(BH1975=1,BG1975=0,N(AW1975)&lt;Setup!$D$7),(AW1975-40000)*10000+1974,"")</f>
        <v/>
      </c>
      <c r="BM1975">
        <f>IF(AND(BH1975=1,AZ1975&lt;&gt;"Cancelled",N(AW1975)&gt;=Dashboard!$AB$3,N(AW1975)&lt;=Dashboard!$AB$3+6),(AW1975-40000)*100000+BF1975*10000+1974,"")</f>
        <v/>
      </c>
      <c r="BN1975">
        <f>IF(AND(BH1975=1,AZ1975&lt;&gt;"Cancelled"),BF1975*10000+1974,"")</f>
        <v/>
      </c>
    </row>
    <row r="1976">
      <c r="AS1976" t="inlineStr">
        <is>
          <t>V</t>
        </is>
      </c>
      <c r="AT1976" t="n">
        <v>480</v>
      </c>
      <c r="AU1976">
        <f>'Variable Tasks'!C480&amp;""</f>
        <v/>
      </c>
      <c r="AV1976">
        <f>'Variable Tasks'!D480&amp;""</f>
        <v/>
      </c>
      <c r="AW1976">
        <f>IF('Variable Tasks'!E480="","",'Variable Tasks'!E480)</f>
        <v/>
      </c>
      <c r="AX1976">
        <f>IF('Variable Tasks'!G480="","",'Variable Tasks'!G480)</f>
        <v/>
      </c>
      <c r="AY1976">
        <f>IF('Variable Tasks'!H480="","",'Variable Tasks'!H480)</f>
        <v/>
      </c>
      <c r="AZ1976">
        <f>IF(AU1976="","",IF('Variable Tasks'!J480="","Not Started",'Variable Tasks'!J480))</f>
        <v/>
      </c>
      <c r="BA1976">
        <f>'Variable Tasks'!L480&amp;""</f>
        <v/>
      </c>
      <c r="BB1976">
        <f>'Variable Tasks'!M480&amp;""</f>
        <v/>
      </c>
      <c r="BC1976">
        <f>'Variable Tasks'!N480&amp;""</f>
        <v/>
      </c>
      <c r="BD1976">
        <f>'Variable Tasks'!O480&amp;""</f>
        <v/>
      </c>
      <c r="BE1976">
        <f>IF('Variable Tasks'!K480="","",'Variable Tasks'!K480)</f>
        <v/>
      </c>
      <c r="BF1976">
        <f>IFERROR(MATCH(BA1976,Setup!$L$6:$L$9,0),5)</f>
        <v/>
      </c>
      <c r="BG1976">
        <f>IF(OR(AZ1976="Done",AZ1976="Cancelled"),1,0)</f>
        <v/>
      </c>
      <c r="BH1976">
        <f>IF(AND(AU1976&lt;&gt;"",ISNUMBER(AW1976)),1,0)</f>
        <v/>
      </c>
      <c r="BI1976">
        <f>IF(BH1976=0,0,IF(AND(AW1976&gt;='Tasks Filter'!$F$3,AW1976&lt;='Tasks Filter'!$F$4,OR('Tasks Filter'!$I$3="",ISNUMBER(SEARCH('Tasks Filter'!$I$3,AU1976))),OR('Tasks Filter'!$I$4="",BF1976=IFERROR(MATCH('Tasks Filter'!$I$4,Setup!$L$6:$L$9,0),0)),OR('Tasks Filter'!$I$5="Both",AND('Tasks Filter'!$I$5="Yes",BB1976="✓"),AND('Tasks Filter'!$I$5="No",BB1976&lt;&gt;"✓")),OR('Tasks Filter'!$L$3="",AV1976='Tasks Filter'!$L$3),OR('Tasks Filter'!$L$4="",AZ1976='Tasks Filter'!$L$4),OR('Tasks Filter'!$L$5="",BC1976='Tasks Filter'!$L$5),OR('Tasks Filter'!$O$3="",BD1976='Tasks Filter'!$O$3),OR('Tasks Filter'!$O$4="Yes",BG1976=0)),1,0))</f>
        <v/>
      </c>
      <c r="BJ1976">
        <f>IF(BH1976=0,"",IF('Tasks Filter'!$F$6="Descending",-1,1)*CHOOSE(MATCH('Tasks Filter'!$F$5,Lists!$G$2:$G$6,0),AW1976,BF1976,IFERROR(MATCH(AV1976,Setup!$F$6:$F$15,0),99),IFERROR(MATCH(BC1976,Setup!$H$6:$H$15,0),99),IFERROR(MATCH(AZ1976,Setup!$J$6:$J$11,0),99))*1E+9+(AW1976-40000)*10000+1975)</f>
        <v/>
      </c>
      <c r="BK1976">
        <f>IF(BI1976=1,BJ1976,"")</f>
        <v/>
      </c>
      <c r="BL1976">
        <f>IF(AND(BH1976=1,BG1976=0,N(AW1976)&lt;Setup!$D$7),(AW1976-40000)*10000+1975,"")</f>
        <v/>
      </c>
      <c r="BM1976">
        <f>IF(AND(BH1976=1,AZ1976&lt;&gt;"Cancelled",N(AW1976)&gt;=Dashboard!$AB$3,N(AW1976)&lt;=Dashboard!$AB$3+6),(AW1976-40000)*100000+BF1976*10000+1975,"")</f>
        <v/>
      </c>
      <c r="BN1976">
        <f>IF(AND(BH1976=1,AZ1976&lt;&gt;"Cancelled"),BF1976*10000+1975,"")</f>
        <v/>
      </c>
    </row>
    <row r="1977">
      <c r="AS1977" t="inlineStr">
        <is>
          <t>V</t>
        </is>
      </c>
      <c r="AT1977" t="n">
        <v>481</v>
      </c>
      <c r="AU1977">
        <f>'Variable Tasks'!C481&amp;""</f>
        <v/>
      </c>
      <c r="AV1977">
        <f>'Variable Tasks'!D481&amp;""</f>
        <v/>
      </c>
      <c r="AW1977">
        <f>IF('Variable Tasks'!E481="","",'Variable Tasks'!E481)</f>
        <v/>
      </c>
      <c r="AX1977">
        <f>IF('Variable Tasks'!G481="","",'Variable Tasks'!G481)</f>
        <v/>
      </c>
      <c r="AY1977">
        <f>IF('Variable Tasks'!H481="","",'Variable Tasks'!H481)</f>
        <v/>
      </c>
      <c r="AZ1977">
        <f>IF(AU1977="","",IF('Variable Tasks'!J481="","Not Started",'Variable Tasks'!J481))</f>
        <v/>
      </c>
      <c r="BA1977">
        <f>'Variable Tasks'!L481&amp;""</f>
        <v/>
      </c>
      <c r="BB1977">
        <f>'Variable Tasks'!M481&amp;""</f>
        <v/>
      </c>
      <c r="BC1977">
        <f>'Variable Tasks'!N481&amp;""</f>
        <v/>
      </c>
      <c r="BD1977">
        <f>'Variable Tasks'!O481&amp;""</f>
        <v/>
      </c>
      <c r="BE1977">
        <f>IF('Variable Tasks'!K481="","",'Variable Tasks'!K481)</f>
        <v/>
      </c>
      <c r="BF1977">
        <f>IFERROR(MATCH(BA1977,Setup!$L$6:$L$9,0),5)</f>
        <v/>
      </c>
      <c r="BG1977">
        <f>IF(OR(AZ1977="Done",AZ1977="Cancelled"),1,0)</f>
        <v/>
      </c>
      <c r="BH1977">
        <f>IF(AND(AU1977&lt;&gt;"",ISNUMBER(AW1977)),1,0)</f>
        <v/>
      </c>
      <c r="BI1977">
        <f>IF(BH1977=0,0,IF(AND(AW1977&gt;='Tasks Filter'!$F$3,AW1977&lt;='Tasks Filter'!$F$4,OR('Tasks Filter'!$I$3="",ISNUMBER(SEARCH('Tasks Filter'!$I$3,AU1977))),OR('Tasks Filter'!$I$4="",BF1977=IFERROR(MATCH('Tasks Filter'!$I$4,Setup!$L$6:$L$9,0),0)),OR('Tasks Filter'!$I$5="Both",AND('Tasks Filter'!$I$5="Yes",BB1977="✓"),AND('Tasks Filter'!$I$5="No",BB1977&lt;&gt;"✓")),OR('Tasks Filter'!$L$3="",AV1977='Tasks Filter'!$L$3),OR('Tasks Filter'!$L$4="",AZ1977='Tasks Filter'!$L$4),OR('Tasks Filter'!$L$5="",BC1977='Tasks Filter'!$L$5),OR('Tasks Filter'!$O$3="",BD1977='Tasks Filter'!$O$3),OR('Tasks Filter'!$O$4="Yes",BG1977=0)),1,0))</f>
        <v/>
      </c>
      <c r="BJ1977">
        <f>IF(BH1977=0,"",IF('Tasks Filter'!$F$6="Descending",-1,1)*CHOOSE(MATCH('Tasks Filter'!$F$5,Lists!$G$2:$G$6,0),AW1977,BF1977,IFERROR(MATCH(AV1977,Setup!$F$6:$F$15,0),99),IFERROR(MATCH(BC1977,Setup!$H$6:$H$15,0),99),IFERROR(MATCH(AZ1977,Setup!$J$6:$J$11,0),99))*1E+9+(AW1977-40000)*10000+1976)</f>
        <v/>
      </c>
      <c r="BK1977">
        <f>IF(BI1977=1,BJ1977,"")</f>
        <v/>
      </c>
      <c r="BL1977">
        <f>IF(AND(BH1977=1,BG1977=0,N(AW1977)&lt;Setup!$D$7),(AW1977-40000)*10000+1976,"")</f>
        <v/>
      </c>
      <c r="BM1977">
        <f>IF(AND(BH1977=1,AZ1977&lt;&gt;"Cancelled",N(AW1977)&gt;=Dashboard!$AB$3,N(AW1977)&lt;=Dashboard!$AB$3+6),(AW1977-40000)*100000+BF1977*10000+1976,"")</f>
        <v/>
      </c>
      <c r="BN1977">
        <f>IF(AND(BH1977=1,AZ1977&lt;&gt;"Cancelled"),BF1977*10000+1976,"")</f>
        <v/>
      </c>
    </row>
    <row r="1978">
      <c r="AS1978" t="inlineStr">
        <is>
          <t>V</t>
        </is>
      </c>
      <c r="AT1978" t="n">
        <v>482</v>
      </c>
      <c r="AU1978">
        <f>'Variable Tasks'!C482&amp;""</f>
        <v/>
      </c>
      <c r="AV1978">
        <f>'Variable Tasks'!D482&amp;""</f>
        <v/>
      </c>
      <c r="AW1978">
        <f>IF('Variable Tasks'!E482="","",'Variable Tasks'!E482)</f>
        <v/>
      </c>
      <c r="AX1978">
        <f>IF('Variable Tasks'!G482="","",'Variable Tasks'!G482)</f>
        <v/>
      </c>
      <c r="AY1978">
        <f>IF('Variable Tasks'!H482="","",'Variable Tasks'!H482)</f>
        <v/>
      </c>
      <c r="AZ1978">
        <f>IF(AU1978="","",IF('Variable Tasks'!J482="","Not Started",'Variable Tasks'!J482))</f>
        <v/>
      </c>
      <c r="BA1978">
        <f>'Variable Tasks'!L482&amp;""</f>
        <v/>
      </c>
      <c r="BB1978">
        <f>'Variable Tasks'!M482&amp;""</f>
        <v/>
      </c>
      <c r="BC1978">
        <f>'Variable Tasks'!N482&amp;""</f>
        <v/>
      </c>
      <c r="BD1978">
        <f>'Variable Tasks'!O482&amp;""</f>
        <v/>
      </c>
      <c r="BE1978">
        <f>IF('Variable Tasks'!K482="","",'Variable Tasks'!K482)</f>
        <v/>
      </c>
      <c r="BF1978">
        <f>IFERROR(MATCH(BA1978,Setup!$L$6:$L$9,0),5)</f>
        <v/>
      </c>
      <c r="BG1978">
        <f>IF(OR(AZ1978="Done",AZ1978="Cancelled"),1,0)</f>
        <v/>
      </c>
      <c r="BH1978">
        <f>IF(AND(AU1978&lt;&gt;"",ISNUMBER(AW1978)),1,0)</f>
        <v/>
      </c>
      <c r="BI1978">
        <f>IF(BH1978=0,0,IF(AND(AW1978&gt;='Tasks Filter'!$F$3,AW1978&lt;='Tasks Filter'!$F$4,OR('Tasks Filter'!$I$3="",ISNUMBER(SEARCH('Tasks Filter'!$I$3,AU1978))),OR('Tasks Filter'!$I$4="",BF1978=IFERROR(MATCH('Tasks Filter'!$I$4,Setup!$L$6:$L$9,0),0)),OR('Tasks Filter'!$I$5="Both",AND('Tasks Filter'!$I$5="Yes",BB1978="✓"),AND('Tasks Filter'!$I$5="No",BB1978&lt;&gt;"✓")),OR('Tasks Filter'!$L$3="",AV1978='Tasks Filter'!$L$3),OR('Tasks Filter'!$L$4="",AZ1978='Tasks Filter'!$L$4),OR('Tasks Filter'!$L$5="",BC1978='Tasks Filter'!$L$5),OR('Tasks Filter'!$O$3="",BD1978='Tasks Filter'!$O$3),OR('Tasks Filter'!$O$4="Yes",BG1978=0)),1,0))</f>
        <v/>
      </c>
      <c r="BJ1978">
        <f>IF(BH1978=0,"",IF('Tasks Filter'!$F$6="Descending",-1,1)*CHOOSE(MATCH('Tasks Filter'!$F$5,Lists!$G$2:$G$6,0),AW1978,BF1978,IFERROR(MATCH(AV1978,Setup!$F$6:$F$15,0),99),IFERROR(MATCH(BC1978,Setup!$H$6:$H$15,0),99),IFERROR(MATCH(AZ1978,Setup!$J$6:$J$11,0),99))*1E+9+(AW1978-40000)*10000+1977)</f>
        <v/>
      </c>
      <c r="BK1978">
        <f>IF(BI1978=1,BJ1978,"")</f>
        <v/>
      </c>
      <c r="BL1978">
        <f>IF(AND(BH1978=1,BG1978=0,N(AW1978)&lt;Setup!$D$7),(AW1978-40000)*10000+1977,"")</f>
        <v/>
      </c>
      <c r="BM1978">
        <f>IF(AND(BH1978=1,AZ1978&lt;&gt;"Cancelled",N(AW1978)&gt;=Dashboard!$AB$3,N(AW1978)&lt;=Dashboard!$AB$3+6),(AW1978-40000)*100000+BF1978*10000+1977,"")</f>
        <v/>
      </c>
      <c r="BN1978">
        <f>IF(AND(BH1978=1,AZ1978&lt;&gt;"Cancelled"),BF1978*10000+1977,"")</f>
        <v/>
      </c>
    </row>
    <row r="1979">
      <c r="AS1979" t="inlineStr">
        <is>
          <t>V</t>
        </is>
      </c>
      <c r="AT1979" t="n">
        <v>483</v>
      </c>
      <c r="AU1979">
        <f>'Variable Tasks'!C483&amp;""</f>
        <v/>
      </c>
      <c r="AV1979">
        <f>'Variable Tasks'!D483&amp;""</f>
        <v/>
      </c>
      <c r="AW1979">
        <f>IF('Variable Tasks'!E483="","",'Variable Tasks'!E483)</f>
        <v/>
      </c>
      <c r="AX1979">
        <f>IF('Variable Tasks'!G483="","",'Variable Tasks'!G483)</f>
        <v/>
      </c>
      <c r="AY1979">
        <f>IF('Variable Tasks'!H483="","",'Variable Tasks'!H483)</f>
        <v/>
      </c>
      <c r="AZ1979">
        <f>IF(AU1979="","",IF('Variable Tasks'!J483="","Not Started",'Variable Tasks'!J483))</f>
        <v/>
      </c>
      <c r="BA1979">
        <f>'Variable Tasks'!L483&amp;""</f>
        <v/>
      </c>
      <c r="BB1979">
        <f>'Variable Tasks'!M483&amp;""</f>
        <v/>
      </c>
      <c r="BC1979">
        <f>'Variable Tasks'!N483&amp;""</f>
        <v/>
      </c>
      <c r="BD1979">
        <f>'Variable Tasks'!O483&amp;""</f>
        <v/>
      </c>
      <c r="BE1979">
        <f>IF('Variable Tasks'!K483="","",'Variable Tasks'!K483)</f>
        <v/>
      </c>
      <c r="BF1979">
        <f>IFERROR(MATCH(BA1979,Setup!$L$6:$L$9,0),5)</f>
        <v/>
      </c>
      <c r="BG1979">
        <f>IF(OR(AZ1979="Done",AZ1979="Cancelled"),1,0)</f>
        <v/>
      </c>
      <c r="BH1979">
        <f>IF(AND(AU1979&lt;&gt;"",ISNUMBER(AW1979)),1,0)</f>
        <v/>
      </c>
      <c r="BI1979">
        <f>IF(BH1979=0,0,IF(AND(AW1979&gt;='Tasks Filter'!$F$3,AW1979&lt;='Tasks Filter'!$F$4,OR('Tasks Filter'!$I$3="",ISNUMBER(SEARCH('Tasks Filter'!$I$3,AU1979))),OR('Tasks Filter'!$I$4="",BF1979=IFERROR(MATCH('Tasks Filter'!$I$4,Setup!$L$6:$L$9,0),0)),OR('Tasks Filter'!$I$5="Both",AND('Tasks Filter'!$I$5="Yes",BB1979="✓"),AND('Tasks Filter'!$I$5="No",BB1979&lt;&gt;"✓")),OR('Tasks Filter'!$L$3="",AV1979='Tasks Filter'!$L$3),OR('Tasks Filter'!$L$4="",AZ1979='Tasks Filter'!$L$4),OR('Tasks Filter'!$L$5="",BC1979='Tasks Filter'!$L$5),OR('Tasks Filter'!$O$3="",BD1979='Tasks Filter'!$O$3),OR('Tasks Filter'!$O$4="Yes",BG1979=0)),1,0))</f>
        <v/>
      </c>
      <c r="BJ1979">
        <f>IF(BH1979=0,"",IF('Tasks Filter'!$F$6="Descending",-1,1)*CHOOSE(MATCH('Tasks Filter'!$F$5,Lists!$G$2:$G$6,0),AW1979,BF1979,IFERROR(MATCH(AV1979,Setup!$F$6:$F$15,0),99),IFERROR(MATCH(BC1979,Setup!$H$6:$H$15,0),99),IFERROR(MATCH(AZ1979,Setup!$J$6:$J$11,0),99))*1E+9+(AW1979-40000)*10000+1978)</f>
        <v/>
      </c>
      <c r="BK1979">
        <f>IF(BI1979=1,BJ1979,"")</f>
        <v/>
      </c>
      <c r="BL1979">
        <f>IF(AND(BH1979=1,BG1979=0,N(AW1979)&lt;Setup!$D$7),(AW1979-40000)*10000+1978,"")</f>
        <v/>
      </c>
      <c r="BM1979">
        <f>IF(AND(BH1979=1,AZ1979&lt;&gt;"Cancelled",N(AW1979)&gt;=Dashboard!$AB$3,N(AW1979)&lt;=Dashboard!$AB$3+6),(AW1979-40000)*100000+BF1979*10000+1978,"")</f>
        <v/>
      </c>
      <c r="BN1979">
        <f>IF(AND(BH1979=1,AZ1979&lt;&gt;"Cancelled"),BF1979*10000+1978,"")</f>
        <v/>
      </c>
    </row>
    <row r="1980">
      <c r="AS1980" t="inlineStr">
        <is>
          <t>V</t>
        </is>
      </c>
      <c r="AT1980" t="n">
        <v>484</v>
      </c>
      <c r="AU1980">
        <f>'Variable Tasks'!C484&amp;""</f>
        <v/>
      </c>
      <c r="AV1980">
        <f>'Variable Tasks'!D484&amp;""</f>
        <v/>
      </c>
      <c r="AW1980">
        <f>IF('Variable Tasks'!E484="","",'Variable Tasks'!E484)</f>
        <v/>
      </c>
      <c r="AX1980">
        <f>IF('Variable Tasks'!G484="","",'Variable Tasks'!G484)</f>
        <v/>
      </c>
      <c r="AY1980">
        <f>IF('Variable Tasks'!H484="","",'Variable Tasks'!H484)</f>
        <v/>
      </c>
      <c r="AZ1980">
        <f>IF(AU1980="","",IF('Variable Tasks'!J484="","Not Started",'Variable Tasks'!J484))</f>
        <v/>
      </c>
      <c r="BA1980">
        <f>'Variable Tasks'!L484&amp;""</f>
        <v/>
      </c>
      <c r="BB1980">
        <f>'Variable Tasks'!M484&amp;""</f>
        <v/>
      </c>
      <c r="BC1980">
        <f>'Variable Tasks'!N484&amp;""</f>
        <v/>
      </c>
      <c r="BD1980">
        <f>'Variable Tasks'!O484&amp;""</f>
        <v/>
      </c>
      <c r="BE1980">
        <f>IF('Variable Tasks'!K484="","",'Variable Tasks'!K484)</f>
        <v/>
      </c>
      <c r="BF1980">
        <f>IFERROR(MATCH(BA1980,Setup!$L$6:$L$9,0),5)</f>
        <v/>
      </c>
      <c r="BG1980">
        <f>IF(OR(AZ1980="Done",AZ1980="Cancelled"),1,0)</f>
        <v/>
      </c>
      <c r="BH1980">
        <f>IF(AND(AU1980&lt;&gt;"",ISNUMBER(AW1980)),1,0)</f>
        <v/>
      </c>
      <c r="BI1980">
        <f>IF(BH1980=0,0,IF(AND(AW1980&gt;='Tasks Filter'!$F$3,AW1980&lt;='Tasks Filter'!$F$4,OR('Tasks Filter'!$I$3="",ISNUMBER(SEARCH('Tasks Filter'!$I$3,AU1980))),OR('Tasks Filter'!$I$4="",BF1980=IFERROR(MATCH('Tasks Filter'!$I$4,Setup!$L$6:$L$9,0),0)),OR('Tasks Filter'!$I$5="Both",AND('Tasks Filter'!$I$5="Yes",BB1980="✓"),AND('Tasks Filter'!$I$5="No",BB1980&lt;&gt;"✓")),OR('Tasks Filter'!$L$3="",AV1980='Tasks Filter'!$L$3),OR('Tasks Filter'!$L$4="",AZ1980='Tasks Filter'!$L$4),OR('Tasks Filter'!$L$5="",BC1980='Tasks Filter'!$L$5),OR('Tasks Filter'!$O$3="",BD1980='Tasks Filter'!$O$3),OR('Tasks Filter'!$O$4="Yes",BG1980=0)),1,0))</f>
        <v/>
      </c>
      <c r="BJ1980">
        <f>IF(BH1980=0,"",IF('Tasks Filter'!$F$6="Descending",-1,1)*CHOOSE(MATCH('Tasks Filter'!$F$5,Lists!$G$2:$G$6,0),AW1980,BF1980,IFERROR(MATCH(AV1980,Setup!$F$6:$F$15,0),99),IFERROR(MATCH(BC1980,Setup!$H$6:$H$15,0),99),IFERROR(MATCH(AZ1980,Setup!$J$6:$J$11,0),99))*1E+9+(AW1980-40000)*10000+1979)</f>
        <v/>
      </c>
      <c r="BK1980">
        <f>IF(BI1980=1,BJ1980,"")</f>
        <v/>
      </c>
      <c r="BL1980">
        <f>IF(AND(BH1980=1,BG1980=0,N(AW1980)&lt;Setup!$D$7),(AW1980-40000)*10000+1979,"")</f>
        <v/>
      </c>
      <c r="BM1980">
        <f>IF(AND(BH1980=1,AZ1980&lt;&gt;"Cancelled",N(AW1980)&gt;=Dashboard!$AB$3,N(AW1980)&lt;=Dashboard!$AB$3+6),(AW1980-40000)*100000+BF1980*10000+1979,"")</f>
        <v/>
      </c>
      <c r="BN1980">
        <f>IF(AND(BH1980=1,AZ1980&lt;&gt;"Cancelled"),BF1980*10000+1979,"")</f>
        <v/>
      </c>
    </row>
    <row r="1981">
      <c r="AS1981" t="inlineStr">
        <is>
          <t>V</t>
        </is>
      </c>
      <c r="AT1981" t="n">
        <v>485</v>
      </c>
      <c r="AU1981">
        <f>'Variable Tasks'!C485&amp;""</f>
        <v/>
      </c>
      <c r="AV1981">
        <f>'Variable Tasks'!D485&amp;""</f>
        <v/>
      </c>
      <c r="AW1981">
        <f>IF('Variable Tasks'!E485="","",'Variable Tasks'!E485)</f>
        <v/>
      </c>
      <c r="AX1981">
        <f>IF('Variable Tasks'!G485="","",'Variable Tasks'!G485)</f>
        <v/>
      </c>
      <c r="AY1981">
        <f>IF('Variable Tasks'!H485="","",'Variable Tasks'!H485)</f>
        <v/>
      </c>
      <c r="AZ1981">
        <f>IF(AU1981="","",IF('Variable Tasks'!J485="","Not Started",'Variable Tasks'!J485))</f>
        <v/>
      </c>
      <c r="BA1981">
        <f>'Variable Tasks'!L485&amp;""</f>
        <v/>
      </c>
      <c r="BB1981">
        <f>'Variable Tasks'!M485&amp;""</f>
        <v/>
      </c>
      <c r="BC1981">
        <f>'Variable Tasks'!N485&amp;""</f>
        <v/>
      </c>
      <c r="BD1981">
        <f>'Variable Tasks'!O485&amp;""</f>
        <v/>
      </c>
      <c r="BE1981">
        <f>IF('Variable Tasks'!K485="","",'Variable Tasks'!K485)</f>
        <v/>
      </c>
      <c r="BF1981">
        <f>IFERROR(MATCH(BA1981,Setup!$L$6:$L$9,0),5)</f>
        <v/>
      </c>
      <c r="BG1981">
        <f>IF(OR(AZ1981="Done",AZ1981="Cancelled"),1,0)</f>
        <v/>
      </c>
      <c r="BH1981">
        <f>IF(AND(AU1981&lt;&gt;"",ISNUMBER(AW1981)),1,0)</f>
        <v/>
      </c>
      <c r="BI1981">
        <f>IF(BH1981=0,0,IF(AND(AW1981&gt;='Tasks Filter'!$F$3,AW1981&lt;='Tasks Filter'!$F$4,OR('Tasks Filter'!$I$3="",ISNUMBER(SEARCH('Tasks Filter'!$I$3,AU1981))),OR('Tasks Filter'!$I$4="",BF1981=IFERROR(MATCH('Tasks Filter'!$I$4,Setup!$L$6:$L$9,0),0)),OR('Tasks Filter'!$I$5="Both",AND('Tasks Filter'!$I$5="Yes",BB1981="✓"),AND('Tasks Filter'!$I$5="No",BB1981&lt;&gt;"✓")),OR('Tasks Filter'!$L$3="",AV1981='Tasks Filter'!$L$3),OR('Tasks Filter'!$L$4="",AZ1981='Tasks Filter'!$L$4),OR('Tasks Filter'!$L$5="",BC1981='Tasks Filter'!$L$5),OR('Tasks Filter'!$O$3="",BD1981='Tasks Filter'!$O$3),OR('Tasks Filter'!$O$4="Yes",BG1981=0)),1,0))</f>
        <v/>
      </c>
      <c r="BJ1981">
        <f>IF(BH1981=0,"",IF('Tasks Filter'!$F$6="Descending",-1,1)*CHOOSE(MATCH('Tasks Filter'!$F$5,Lists!$G$2:$G$6,0),AW1981,BF1981,IFERROR(MATCH(AV1981,Setup!$F$6:$F$15,0),99),IFERROR(MATCH(BC1981,Setup!$H$6:$H$15,0),99),IFERROR(MATCH(AZ1981,Setup!$J$6:$J$11,0),99))*1E+9+(AW1981-40000)*10000+1980)</f>
        <v/>
      </c>
      <c r="BK1981">
        <f>IF(BI1981=1,BJ1981,"")</f>
        <v/>
      </c>
      <c r="BL1981">
        <f>IF(AND(BH1981=1,BG1981=0,N(AW1981)&lt;Setup!$D$7),(AW1981-40000)*10000+1980,"")</f>
        <v/>
      </c>
      <c r="BM1981">
        <f>IF(AND(BH1981=1,AZ1981&lt;&gt;"Cancelled",N(AW1981)&gt;=Dashboard!$AB$3,N(AW1981)&lt;=Dashboard!$AB$3+6),(AW1981-40000)*100000+BF1981*10000+1980,"")</f>
        <v/>
      </c>
      <c r="BN1981">
        <f>IF(AND(BH1981=1,AZ1981&lt;&gt;"Cancelled"),BF1981*10000+1980,"")</f>
        <v/>
      </c>
    </row>
    <row r="1982">
      <c r="AS1982" t="inlineStr">
        <is>
          <t>V</t>
        </is>
      </c>
      <c r="AT1982" t="n">
        <v>486</v>
      </c>
      <c r="AU1982">
        <f>'Variable Tasks'!C486&amp;""</f>
        <v/>
      </c>
      <c r="AV1982">
        <f>'Variable Tasks'!D486&amp;""</f>
        <v/>
      </c>
      <c r="AW1982">
        <f>IF('Variable Tasks'!E486="","",'Variable Tasks'!E486)</f>
        <v/>
      </c>
      <c r="AX1982">
        <f>IF('Variable Tasks'!G486="","",'Variable Tasks'!G486)</f>
        <v/>
      </c>
      <c r="AY1982">
        <f>IF('Variable Tasks'!H486="","",'Variable Tasks'!H486)</f>
        <v/>
      </c>
      <c r="AZ1982">
        <f>IF(AU1982="","",IF('Variable Tasks'!J486="","Not Started",'Variable Tasks'!J486))</f>
        <v/>
      </c>
      <c r="BA1982">
        <f>'Variable Tasks'!L486&amp;""</f>
        <v/>
      </c>
      <c r="BB1982">
        <f>'Variable Tasks'!M486&amp;""</f>
        <v/>
      </c>
      <c r="BC1982">
        <f>'Variable Tasks'!N486&amp;""</f>
        <v/>
      </c>
      <c r="BD1982">
        <f>'Variable Tasks'!O486&amp;""</f>
        <v/>
      </c>
      <c r="BE1982">
        <f>IF('Variable Tasks'!K486="","",'Variable Tasks'!K486)</f>
        <v/>
      </c>
      <c r="BF1982">
        <f>IFERROR(MATCH(BA1982,Setup!$L$6:$L$9,0),5)</f>
        <v/>
      </c>
      <c r="BG1982">
        <f>IF(OR(AZ1982="Done",AZ1982="Cancelled"),1,0)</f>
        <v/>
      </c>
      <c r="BH1982">
        <f>IF(AND(AU1982&lt;&gt;"",ISNUMBER(AW1982)),1,0)</f>
        <v/>
      </c>
      <c r="BI1982">
        <f>IF(BH1982=0,0,IF(AND(AW1982&gt;='Tasks Filter'!$F$3,AW1982&lt;='Tasks Filter'!$F$4,OR('Tasks Filter'!$I$3="",ISNUMBER(SEARCH('Tasks Filter'!$I$3,AU1982))),OR('Tasks Filter'!$I$4="",BF1982=IFERROR(MATCH('Tasks Filter'!$I$4,Setup!$L$6:$L$9,0),0)),OR('Tasks Filter'!$I$5="Both",AND('Tasks Filter'!$I$5="Yes",BB1982="✓"),AND('Tasks Filter'!$I$5="No",BB1982&lt;&gt;"✓")),OR('Tasks Filter'!$L$3="",AV1982='Tasks Filter'!$L$3),OR('Tasks Filter'!$L$4="",AZ1982='Tasks Filter'!$L$4),OR('Tasks Filter'!$L$5="",BC1982='Tasks Filter'!$L$5),OR('Tasks Filter'!$O$3="",BD1982='Tasks Filter'!$O$3),OR('Tasks Filter'!$O$4="Yes",BG1982=0)),1,0))</f>
        <v/>
      </c>
      <c r="BJ1982">
        <f>IF(BH1982=0,"",IF('Tasks Filter'!$F$6="Descending",-1,1)*CHOOSE(MATCH('Tasks Filter'!$F$5,Lists!$G$2:$G$6,0),AW1982,BF1982,IFERROR(MATCH(AV1982,Setup!$F$6:$F$15,0),99),IFERROR(MATCH(BC1982,Setup!$H$6:$H$15,0),99),IFERROR(MATCH(AZ1982,Setup!$J$6:$J$11,0),99))*1E+9+(AW1982-40000)*10000+1981)</f>
        <v/>
      </c>
      <c r="BK1982">
        <f>IF(BI1982=1,BJ1982,"")</f>
        <v/>
      </c>
      <c r="BL1982">
        <f>IF(AND(BH1982=1,BG1982=0,N(AW1982)&lt;Setup!$D$7),(AW1982-40000)*10000+1981,"")</f>
        <v/>
      </c>
      <c r="BM1982">
        <f>IF(AND(BH1982=1,AZ1982&lt;&gt;"Cancelled",N(AW1982)&gt;=Dashboard!$AB$3,N(AW1982)&lt;=Dashboard!$AB$3+6),(AW1982-40000)*100000+BF1982*10000+1981,"")</f>
        <v/>
      </c>
      <c r="BN1982">
        <f>IF(AND(BH1982=1,AZ1982&lt;&gt;"Cancelled"),BF1982*10000+1981,"")</f>
        <v/>
      </c>
    </row>
    <row r="1983">
      <c r="AS1983" t="inlineStr">
        <is>
          <t>V</t>
        </is>
      </c>
      <c r="AT1983" t="n">
        <v>487</v>
      </c>
      <c r="AU1983">
        <f>'Variable Tasks'!C487&amp;""</f>
        <v/>
      </c>
      <c r="AV1983">
        <f>'Variable Tasks'!D487&amp;""</f>
        <v/>
      </c>
      <c r="AW1983">
        <f>IF('Variable Tasks'!E487="","",'Variable Tasks'!E487)</f>
        <v/>
      </c>
      <c r="AX1983">
        <f>IF('Variable Tasks'!G487="","",'Variable Tasks'!G487)</f>
        <v/>
      </c>
      <c r="AY1983">
        <f>IF('Variable Tasks'!H487="","",'Variable Tasks'!H487)</f>
        <v/>
      </c>
      <c r="AZ1983">
        <f>IF(AU1983="","",IF('Variable Tasks'!J487="","Not Started",'Variable Tasks'!J487))</f>
        <v/>
      </c>
      <c r="BA1983">
        <f>'Variable Tasks'!L487&amp;""</f>
        <v/>
      </c>
      <c r="BB1983">
        <f>'Variable Tasks'!M487&amp;""</f>
        <v/>
      </c>
      <c r="BC1983">
        <f>'Variable Tasks'!N487&amp;""</f>
        <v/>
      </c>
      <c r="BD1983">
        <f>'Variable Tasks'!O487&amp;""</f>
        <v/>
      </c>
      <c r="BE1983">
        <f>IF('Variable Tasks'!K487="","",'Variable Tasks'!K487)</f>
        <v/>
      </c>
      <c r="BF1983">
        <f>IFERROR(MATCH(BA1983,Setup!$L$6:$L$9,0),5)</f>
        <v/>
      </c>
      <c r="BG1983">
        <f>IF(OR(AZ1983="Done",AZ1983="Cancelled"),1,0)</f>
        <v/>
      </c>
      <c r="BH1983">
        <f>IF(AND(AU1983&lt;&gt;"",ISNUMBER(AW1983)),1,0)</f>
        <v/>
      </c>
      <c r="BI1983">
        <f>IF(BH1983=0,0,IF(AND(AW1983&gt;='Tasks Filter'!$F$3,AW1983&lt;='Tasks Filter'!$F$4,OR('Tasks Filter'!$I$3="",ISNUMBER(SEARCH('Tasks Filter'!$I$3,AU1983))),OR('Tasks Filter'!$I$4="",BF1983=IFERROR(MATCH('Tasks Filter'!$I$4,Setup!$L$6:$L$9,0),0)),OR('Tasks Filter'!$I$5="Both",AND('Tasks Filter'!$I$5="Yes",BB1983="✓"),AND('Tasks Filter'!$I$5="No",BB1983&lt;&gt;"✓")),OR('Tasks Filter'!$L$3="",AV1983='Tasks Filter'!$L$3),OR('Tasks Filter'!$L$4="",AZ1983='Tasks Filter'!$L$4),OR('Tasks Filter'!$L$5="",BC1983='Tasks Filter'!$L$5),OR('Tasks Filter'!$O$3="",BD1983='Tasks Filter'!$O$3),OR('Tasks Filter'!$O$4="Yes",BG1983=0)),1,0))</f>
        <v/>
      </c>
      <c r="BJ1983">
        <f>IF(BH1983=0,"",IF('Tasks Filter'!$F$6="Descending",-1,1)*CHOOSE(MATCH('Tasks Filter'!$F$5,Lists!$G$2:$G$6,0),AW1983,BF1983,IFERROR(MATCH(AV1983,Setup!$F$6:$F$15,0),99),IFERROR(MATCH(BC1983,Setup!$H$6:$H$15,0),99),IFERROR(MATCH(AZ1983,Setup!$J$6:$J$11,0),99))*1E+9+(AW1983-40000)*10000+1982)</f>
        <v/>
      </c>
      <c r="BK1983">
        <f>IF(BI1983=1,BJ1983,"")</f>
        <v/>
      </c>
      <c r="BL1983">
        <f>IF(AND(BH1983=1,BG1983=0,N(AW1983)&lt;Setup!$D$7),(AW1983-40000)*10000+1982,"")</f>
        <v/>
      </c>
      <c r="BM1983">
        <f>IF(AND(BH1983=1,AZ1983&lt;&gt;"Cancelled",N(AW1983)&gt;=Dashboard!$AB$3,N(AW1983)&lt;=Dashboard!$AB$3+6),(AW1983-40000)*100000+BF1983*10000+1982,"")</f>
        <v/>
      </c>
      <c r="BN1983">
        <f>IF(AND(BH1983=1,AZ1983&lt;&gt;"Cancelled"),BF1983*10000+1982,"")</f>
        <v/>
      </c>
    </row>
    <row r="1984">
      <c r="AS1984" t="inlineStr">
        <is>
          <t>V</t>
        </is>
      </c>
      <c r="AT1984" t="n">
        <v>488</v>
      </c>
      <c r="AU1984">
        <f>'Variable Tasks'!C488&amp;""</f>
        <v/>
      </c>
      <c r="AV1984">
        <f>'Variable Tasks'!D488&amp;""</f>
        <v/>
      </c>
      <c r="AW1984">
        <f>IF('Variable Tasks'!E488="","",'Variable Tasks'!E488)</f>
        <v/>
      </c>
      <c r="AX1984">
        <f>IF('Variable Tasks'!G488="","",'Variable Tasks'!G488)</f>
        <v/>
      </c>
      <c r="AY1984">
        <f>IF('Variable Tasks'!H488="","",'Variable Tasks'!H488)</f>
        <v/>
      </c>
      <c r="AZ1984">
        <f>IF(AU1984="","",IF('Variable Tasks'!J488="","Not Started",'Variable Tasks'!J488))</f>
        <v/>
      </c>
      <c r="BA1984">
        <f>'Variable Tasks'!L488&amp;""</f>
        <v/>
      </c>
      <c r="BB1984">
        <f>'Variable Tasks'!M488&amp;""</f>
        <v/>
      </c>
      <c r="BC1984">
        <f>'Variable Tasks'!N488&amp;""</f>
        <v/>
      </c>
      <c r="BD1984">
        <f>'Variable Tasks'!O488&amp;""</f>
        <v/>
      </c>
      <c r="BE1984">
        <f>IF('Variable Tasks'!K488="","",'Variable Tasks'!K488)</f>
        <v/>
      </c>
      <c r="BF1984">
        <f>IFERROR(MATCH(BA1984,Setup!$L$6:$L$9,0),5)</f>
        <v/>
      </c>
      <c r="BG1984">
        <f>IF(OR(AZ1984="Done",AZ1984="Cancelled"),1,0)</f>
        <v/>
      </c>
      <c r="BH1984">
        <f>IF(AND(AU1984&lt;&gt;"",ISNUMBER(AW1984)),1,0)</f>
        <v/>
      </c>
      <c r="BI1984">
        <f>IF(BH1984=0,0,IF(AND(AW1984&gt;='Tasks Filter'!$F$3,AW1984&lt;='Tasks Filter'!$F$4,OR('Tasks Filter'!$I$3="",ISNUMBER(SEARCH('Tasks Filter'!$I$3,AU1984))),OR('Tasks Filter'!$I$4="",BF1984=IFERROR(MATCH('Tasks Filter'!$I$4,Setup!$L$6:$L$9,0),0)),OR('Tasks Filter'!$I$5="Both",AND('Tasks Filter'!$I$5="Yes",BB1984="✓"),AND('Tasks Filter'!$I$5="No",BB1984&lt;&gt;"✓")),OR('Tasks Filter'!$L$3="",AV1984='Tasks Filter'!$L$3),OR('Tasks Filter'!$L$4="",AZ1984='Tasks Filter'!$L$4),OR('Tasks Filter'!$L$5="",BC1984='Tasks Filter'!$L$5),OR('Tasks Filter'!$O$3="",BD1984='Tasks Filter'!$O$3),OR('Tasks Filter'!$O$4="Yes",BG1984=0)),1,0))</f>
        <v/>
      </c>
      <c r="BJ1984">
        <f>IF(BH1984=0,"",IF('Tasks Filter'!$F$6="Descending",-1,1)*CHOOSE(MATCH('Tasks Filter'!$F$5,Lists!$G$2:$G$6,0),AW1984,BF1984,IFERROR(MATCH(AV1984,Setup!$F$6:$F$15,0),99),IFERROR(MATCH(BC1984,Setup!$H$6:$H$15,0),99),IFERROR(MATCH(AZ1984,Setup!$J$6:$J$11,0),99))*1E+9+(AW1984-40000)*10000+1983)</f>
        <v/>
      </c>
      <c r="BK1984">
        <f>IF(BI1984=1,BJ1984,"")</f>
        <v/>
      </c>
      <c r="BL1984">
        <f>IF(AND(BH1984=1,BG1984=0,N(AW1984)&lt;Setup!$D$7),(AW1984-40000)*10000+1983,"")</f>
        <v/>
      </c>
      <c r="BM1984">
        <f>IF(AND(BH1984=1,AZ1984&lt;&gt;"Cancelled",N(AW1984)&gt;=Dashboard!$AB$3,N(AW1984)&lt;=Dashboard!$AB$3+6),(AW1984-40000)*100000+BF1984*10000+1983,"")</f>
        <v/>
      </c>
      <c r="BN1984">
        <f>IF(AND(BH1984=1,AZ1984&lt;&gt;"Cancelled"),BF1984*10000+1983,"")</f>
        <v/>
      </c>
    </row>
    <row r="1985">
      <c r="AS1985" t="inlineStr">
        <is>
          <t>V</t>
        </is>
      </c>
      <c r="AT1985" t="n">
        <v>489</v>
      </c>
      <c r="AU1985">
        <f>'Variable Tasks'!C489&amp;""</f>
        <v/>
      </c>
      <c r="AV1985">
        <f>'Variable Tasks'!D489&amp;""</f>
        <v/>
      </c>
      <c r="AW1985">
        <f>IF('Variable Tasks'!E489="","",'Variable Tasks'!E489)</f>
        <v/>
      </c>
      <c r="AX1985">
        <f>IF('Variable Tasks'!G489="","",'Variable Tasks'!G489)</f>
        <v/>
      </c>
      <c r="AY1985">
        <f>IF('Variable Tasks'!H489="","",'Variable Tasks'!H489)</f>
        <v/>
      </c>
      <c r="AZ1985">
        <f>IF(AU1985="","",IF('Variable Tasks'!J489="","Not Started",'Variable Tasks'!J489))</f>
        <v/>
      </c>
      <c r="BA1985">
        <f>'Variable Tasks'!L489&amp;""</f>
        <v/>
      </c>
      <c r="BB1985">
        <f>'Variable Tasks'!M489&amp;""</f>
        <v/>
      </c>
      <c r="BC1985">
        <f>'Variable Tasks'!N489&amp;""</f>
        <v/>
      </c>
      <c r="BD1985">
        <f>'Variable Tasks'!O489&amp;""</f>
        <v/>
      </c>
      <c r="BE1985">
        <f>IF('Variable Tasks'!K489="","",'Variable Tasks'!K489)</f>
        <v/>
      </c>
      <c r="BF1985">
        <f>IFERROR(MATCH(BA1985,Setup!$L$6:$L$9,0),5)</f>
        <v/>
      </c>
      <c r="BG1985">
        <f>IF(OR(AZ1985="Done",AZ1985="Cancelled"),1,0)</f>
        <v/>
      </c>
      <c r="BH1985">
        <f>IF(AND(AU1985&lt;&gt;"",ISNUMBER(AW1985)),1,0)</f>
        <v/>
      </c>
      <c r="BI1985">
        <f>IF(BH1985=0,0,IF(AND(AW1985&gt;='Tasks Filter'!$F$3,AW1985&lt;='Tasks Filter'!$F$4,OR('Tasks Filter'!$I$3="",ISNUMBER(SEARCH('Tasks Filter'!$I$3,AU1985))),OR('Tasks Filter'!$I$4="",BF1985=IFERROR(MATCH('Tasks Filter'!$I$4,Setup!$L$6:$L$9,0),0)),OR('Tasks Filter'!$I$5="Both",AND('Tasks Filter'!$I$5="Yes",BB1985="✓"),AND('Tasks Filter'!$I$5="No",BB1985&lt;&gt;"✓")),OR('Tasks Filter'!$L$3="",AV1985='Tasks Filter'!$L$3),OR('Tasks Filter'!$L$4="",AZ1985='Tasks Filter'!$L$4),OR('Tasks Filter'!$L$5="",BC1985='Tasks Filter'!$L$5),OR('Tasks Filter'!$O$3="",BD1985='Tasks Filter'!$O$3),OR('Tasks Filter'!$O$4="Yes",BG1985=0)),1,0))</f>
        <v/>
      </c>
      <c r="BJ1985">
        <f>IF(BH1985=0,"",IF('Tasks Filter'!$F$6="Descending",-1,1)*CHOOSE(MATCH('Tasks Filter'!$F$5,Lists!$G$2:$G$6,0),AW1985,BF1985,IFERROR(MATCH(AV1985,Setup!$F$6:$F$15,0),99),IFERROR(MATCH(BC1985,Setup!$H$6:$H$15,0),99),IFERROR(MATCH(AZ1985,Setup!$J$6:$J$11,0),99))*1E+9+(AW1985-40000)*10000+1984)</f>
        <v/>
      </c>
      <c r="BK1985">
        <f>IF(BI1985=1,BJ1985,"")</f>
        <v/>
      </c>
      <c r="BL1985">
        <f>IF(AND(BH1985=1,BG1985=0,N(AW1985)&lt;Setup!$D$7),(AW1985-40000)*10000+1984,"")</f>
        <v/>
      </c>
      <c r="BM1985">
        <f>IF(AND(BH1985=1,AZ1985&lt;&gt;"Cancelled",N(AW1985)&gt;=Dashboard!$AB$3,N(AW1985)&lt;=Dashboard!$AB$3+6),(AW1985-40000)*100000+BF1985*10000+1984,"")</f>
        <v/>
      </c>
      <c r="BN1985">
        <f>IF(AND(BH1985=1,AZ1985&lt;&gt;"Cancelled"),BF1985*10000+1984,"")</f>
        <v/>
      </c>
    </row>
    <row r="1986">
      <c r="AS1986" t="inlineStr">
        <is>
          <t>V</t>
        </is>
      </c>
      <c r="AT1986" t="n">
        <v>490</v>
      </c>
      <c r="AU1986">
        <f>'Variable Tasks'!C490&amp;""</f>
        <v/>
      </c>
      <c r="AV1986">
        <f>'Variable Tasks'!D490&amp;""</f>
        <v/>
      </c>
      <c r="AW1986">
        <f>IF('Variable Tasks'!E490="","",'Variable Tasks'!E490)</f>
        <v/>
      </c>
      <c r="AX1986">
        <f>IF('Variable Tasks'!G490="","",'Variable Tasks'!G490)</f>
        <v/>
      </c>
      <c r="AY1986">
        <f>IF('Variable Tasks'!H490="","",'Variable Tasks'!H490)</f>
        <v/>
      </c>
      <c r="AZ1986">
        <f>IF(AU1986="","",IF('Variable Tasks'!J490="","Not Started",'Variable Tasks'!J490))</f>
        <v/>
      </c>
      <c r="BA1986">
        <f>'Variable Tasks'!L490&amp;""</f>
        <v/>
      </c>
      <c r="BB1986">
        <f>'Variable Tasks'!M490&amp;""</f>
        <v/>
      </c>
      <c r="BC1986">
        <f>'Variable Tasks'!N490&amp;""</f>
        <v/>
      </c>
      <c r="BD1986">
        <f>'Variable Tasks'!O490&amp;""</f>
        <v/>
      </c>
      <c r="BE1986">
        <f>IF('Variable Tasks'!K490="","",'Variable Tasks'!K490)</f>
        <v/>
      </c>
      <c r="BF1986">
        <f>IFERROR(MATCH(BA1986,Setup!$L$6:$L$9,0),5)</f>
        <v/>
      </c>
      <c r="BG1986">
        <f>IF(OR(AZ1986="Done",AZ1986="Cancelled"),1,0)</f>
        <v/>
      </c>
      <c r="BH1986">
        <f>IF(AND(AU1986&lt;&gt;"",ISNUMBER(AW1986)),1,0)</f>
        <v/>
      </c>
      <c r="BI1986">
        <f>IF(BH1986=0,0,IF(AND(AW1986&gt;='Tasks Filter'!$F$3,AW1986&lt;='Tasks Filter'!$F$4,OR('Tasks Filter'!$I$3="",ISNUMBER(SEARCH('Tasks Filter'!$I$3,AU1986))),OR('Tasks Filter'!$I$4="",BF1986=IFERROR(MATCH('Tasks Filter'!$I$4,Setup!$L$6:$L$9,0),0)),OR('Tasks Filter'!$I$5="Both",AND('Tasks Filter'!$I$5="Yes",BB1986="✓"),AND('Tasks Filter'!$I$5="No",BB1986&lt;&gt;"✓")),OR('Tasks Filter'!$L$3="",AV1986='Tasks Filter'!$L$3),OR('Tasks Filter'!$L$4="",AZ1986='Tasks Filter'!$L$4),OR('Tasks Filter'!$L$5="",BC1986='Tasks Filter'!$L$5),OR('Tasks Filter'!$O$3="",BD1986='Tasks Filter'!$O$3),OR('Tasks Filter'!$O$4="Yes",BG1986=0)),1,0))</f>
        <v/>
      </c>
      <c r="BJ1986">
        <f>IF(BH1986=0,"",IF('Tasks Filter'!$F$6="Descending",-1,1)*CHOOSE(MATCH('Tasks Filter'!$F$5,Lists!$G$2:$G$6,0),AW1986,BF1986,IFERROR(MATCH(AV1986,Setup!$F$6:$F$15,0),99),IFERROR(MATCH(BC1986,Setup!$H$6:$H$15,0),99),IFERROR(MATCH(AZ1986,Setup!$J$6:$J$11,0),99))*1E+9+(AW1986-40000)*10000+1985)</f>
        <v/>
      </c>
      <c r="BK1986">
        <f>IF(BI1986=1,BJ1986,"")</f>
        <v/>
      </c>
      <c r="BL1986">
        <f>IF(AND(BH1986=1,BG1986=0,N(AW1986)&lt;Setup!$D$7),(AW1986-40000)*10000+1985,"")</f>
        <v/>
      </c>
      <c r="BM1986">
        <f>IF(AND(BH1986=1,AZ1986&lt;&gt;"Cancelled",N(AW1986)&gt;=Dashboard!$AB$3,N(AW1986)&lt;=Dashboard!$AB$3+6),(AW1986-40000)*100000+BF1986*10000+1985,"")</f>
        <v/>
      </c>
      <c r="BN1986">
        <f>IF(AND(BH1986=1,AZ1986&lt;&gt;"Cancelled"),BF1986*10000+1985,"")</f>
        <v/>
      </c>
    </row>
    <row r="1987">
      <c r="AS1987" t="inlineStr">
        <is>
          <t>V</t>
        </is>
      </c>
      <c r="AT1987" t="n">
        <v>491</v>
      </c>
      <c r="AU1987">
        <f>'Variable Tasks'!C491&amp;""</f>
        <v/>
      </c>
      <c r="AV1987">
        <f>'Variable Tasks'!D491&amp;""</f>
        <v/>
      </c>
      <c r="AW1987">
        <f>IF('Variable Tasks'!E491="","",'Variable Tasks'!E491)</f>
        <v/>
      </c>
      <c r="AX1987">
        <f>IF('Variable Tasks'!G491="","",'Variable Tasks'!G491)</f>
        <v/>
      </c>
      <c r="AY1987">
        <f>IF('Variable Tasks'!H491="","",'Variable Tasks'!H491)</f>
        <v/>
      </c>
      <c r="AZ1987">
        <f>IF(AU1987="","",IF('Variable Tasks'!J491="","Not Started",'Variable Tasks'!J491))</f>
        <v/>
      </c>
      <c r="BA1987">
        <f>'Variable Tasks'!L491&amp;""</f>
        <v/>
      </c>
      <c r="BB1987">
        <f>'Variable Tasks'!M491&amp;""</f>
        <v/>
      </c>
      <c r="BC1987">
        <f>'Variable Tasks'!N491&amp;""</f>
        <v/>
      </c>
      <c r="BD1987">
        <f>'Variable Tasks'!O491&amp;""</f>
        <v/>
      </c>
      <c r="BE1987">
        <f>IF('Variable Tasks'!K491="","",'Variable Tasks'!K491)</f>
        <v/>
      </c>
      <c r="BF1987">
        <f>IFERROR(MATCH(BA1987,Setup!$L$6:$L$9,0),5)</f>
        <v/>
      </c>
      <c r="BG1987">
        <f>IF(OR(AZ1987="Done",AZ1987="Cancelled"),1,0)</f>
        <v/>
      </c>
      <c r="BH1987">
        <f>IF(AND(AU1987&lt;&gt;"",ISNUMBER(AW1987)),1,0)</f>
        <v/>
      </c>
      <c r="BI1987">
        <f>IF(BH1987=0,0,IF(AND(AW1987&gt;='Tasks Filter'!$F$3,AW1987&lt;='Tasks Filter'!$F$4,OR('Tasks Filter'!$I$3="",ISNUMBER(SEARCH('Tasks Filter'!$I$3,AU1987))),OR('Tasks Filter'!$I$4="",BF1987=IFERROR(MATCH('Tasks Filter'!$I$4,Setup!$L$6:$L$9,0),0)),OR('Tasks Filter'!$I$5="Both",AND('Tasks Filter'!$I$5="Yes",BB1987="✓"),AND('Tasks Filter'!$I$5="No",BB1987&lt;&gt;"✓")),OR('Tasks Filter'!$L$3="",AV1987='Tasks Filter'!$L$3),OR('Tasks Filter'!$L$4="",AZ1987='Tasks Filter'!$L$4),OR('Tasks Filter'!$L$5="",BC1987='Tasks Filter'!$L$5),OR('Tasks Filter'!$O$3="",BD1987='Tasks Filter'!$O$3),OR('Tasks Filter'!$O$4="Yes",BG1987=0)),1,0))</f>
        <v/>
      </c>
      <c r="BJ1987">
        <f>IF(BH1987=0,"",IF('Tasks Filter'!$F$6="Descending",-1,1)*CHOOSE(MATCH('Tasks Filter'!$F$5,Lists!$G$2:$G$6,0),AW1987,BF1987,IFERROR(MATCH(AV1987,Setup!$F$6:$F$15,0),99),IFERROR(MATCH(BC1987,Setup!$H$6:$H$15,0),99),IFERROR(MATCH(AZ1987,Setup!$J$6:$J$11,0),99))*1E+9+(AW1987-40000)*10000+1986)</f>
        <v/>
      </c>
      <c r="BK1987">
        <f>IF(BI1987=1,BJ1987,"")</f>
        <v/>
      </c>
      <c r="BL1987">
        <f>IF(AND(BH1987=1,BG1987=0,N(AW1987)&lt;Setup!$D$7),(AW1987-40000)*10000+1986,"")</f>
        <v/>
      </c>
      <c r="BM1987">
        <f>IF(AND(BH1987=1,AZ1987&lt;&gt;"Cancelled",N(AW1987)&gt;=Dashboard!$AB$3,N(AW1987)&lt;=Dashboard!$AB$3+6),(AW1987-40000)*100000+BF1987*10000+1986,"")</f>
        <v/>
      </c>
      <c r="BN1987">
        <f>IF(AND(BH1987=1,AZ1987&lt;&gt;"Cancelled"),BF1987*10000+1986,"")</f>
        <v/>
      </c>
    </row>
    <row r="1988">
      <c r="AS1988" t="inlineStr">
        <is>
          <t>V</t>
        </is>
      </c>
      <c r="AT1988" t="n">
        <v>492</v>
      </c>
      <c r="AU1988">
        <f>'Variable Tasks'!C492&amp;""</f>
        <v/>
      </c>
      <c r="AV1988">
        <f>'Variable Tasks'!D492&amp;""</f>
        <v/>
      </c>
      <c r="AW1988">
        <f>IF('Variable Tasks'!E492="","",'Variable Tasks'!E492)</f>
        <v/>
      </c>
      <c r="AX1988">
        <f>IF('Variable Tasks'!G492="","",'Variable Tasks'!G492)</f>
        <v/>
      </c>
      <c r="AY1988">
        <f>IF('Variable Tasks'!H492="","",'Variable Tasks'!H492)</f>
        <v/>
      </c>
      <c r="AZ1988">
        <f>IF(AU1988="","",IF('Variable Tasks'!J492="","Not Started",'Variable Tasks'!J492))</f>
        <v/>
      </c>
      <c r="BA1988">
        <f>'Variable Tasks'!L492&amp;""</f>
        <v/>
      </c>
      <c r="BB1988">
        <f>'Variable Tasks'!M492&amp;""</f>
        <v/>
      </c>
      <c r="BC1988">
        <f>'Variable Tasks'!N492&amp;""</f>
        <v/>
      </c>
      <c r="BD1988">
        <f>'Variable Tasks'!O492&amp;""</f>
        <v/>
      </c>
      <c r="BE1988">
        <f>IF('Variable Tasks'!K492="","",'Variable Tasks'!K492)</f>
        <v/>
      </c>
      <c r="BF1988">
        <f>IFERROR(MATCH(BA1988,Setup!$L$6:$L$9,0),5)</f>
        <v/>
      </c>
      <c r="BG1988">
        <f>IF(OR(AZ1988="Done",AZ1988="Cancelled"),1,0)</f>
        <v/>
      </c>
      <c r="BH1988">
        <f>IF(AND(AU1988&lt;&gt;"",ISNUMBER(AW1988)),1,0)</f>
        <v/>
      </c>
      <c r="BI1988">
        <f>IF(BH1988=0,0,IF(AND(AW1988&gt;='Tasks Filter'!$F$3,AW1988&lt;='Tasks Filter'!$F$4,OR('Tasks Filter'!$I$3="",ISNUMBER(SEARCH('Tasks Filter'!$I$3,AU1988))),OR('Tasks Filter'!$I$4="",BF1988=IFERROR(MATCH('Tasks Filter'!$I$4,Setup!$L$6:$L$9,0),0)),OR('Tasks Filter'!$I$5="Both",AND('Tasks Filter'!$I$5="Yes",BB1988="✓"),AND('Tasks Filter'!$I$5="No",BB1988&lt;&gt;"✓")),OR('Tasks Filter'!$L$3="",AV1988='Tasks Filter'!$L$3),OR('Tasks Filter'!$L$4="",AZ1988='Tasks Filter'!$L$4),OR('Tasks Filter'!$L$5="",BC1988='Tasks Filter'!$L$5),OR('Tasks Filter'!$O$3="",BD1988='Tasks Filter'!$O$3),OR('Tasks Filter'!$O$4="Yes",BG1988=0)),1,0))</f>
        <v/>
      </c>
      <c r="BJ1988">
        <f>IF(BH1988=0,"",IF('Tasks Filter'!$F$6="Descending",-1,1)*CHOOSE(MATCH('Tasks Filter'!$F$5,Lists!$G$2:$G$6,0),AW1988,BF1988,IFERROR(MATCH(AV1988,Setup!$F$6:$F$15,0),99),IFERROR(MATCH(BC1988,Setup!$H$6:$H$15,0),99),IFERROR(MATCH(AZ1988,Setup!$J$6:$J$11,0),99))*1E+9+(AW1988-40000)*10000+1987)</f>
        <v/>
      </c>
      <c r="BK1988">
        <f>IF(BI1988=1,BJ1988,"")</f>
        <v/>
      </c>
      <c r="BL1988">
        <f>IF(AND(BH1988=1,BG1988=0,N(AW1988)&lt;Setup!$D$7),(AW1988-40000)*10000+1987,"")</f>
        <v/>
      </c>
      <c r="BM1988">
        <f>IF(AND(BH1988=1,AZ1988&lt;&gt;"Cancelled",N(AW1988)&gt;=Dashboard!$AB$3,N(AW1988)&lt;=Dashboard!$AB$3+6),(AW1988-40000)*100000+BF1988*10000+1987,"")</f>
        <v/>
      </c>
      <c r="BN1988">
        <f>IF(AND(BH1988=1,AZ1988&lt;&gt;"Cancelled"),BF1988*10000+1987,"")</f>
        <v/>
      </c>
    </row>
    <row r="1989">
      <c r="AS1989" t="inlineStr">
        <is>
          <t>V</t>
        </is>
      </c>
      <c r="AT1989" t="n">
        <v>493</v>
      </c>
      <c r="AU1989">
        <f>'Variable Tasks'!C493&amp;""</f>
        <v/>
      </c>
      <c r="AV1989">
        <f>'Variable Tasks'!D493&amp;""</f>
        <v/>
      </c>
      <c r="AW1989">
        <f>IF('Variable Tasks'!E493="","",'Variable Tasks'!E493)</f>
        <v/>
      </c>
      <c r="AX1989">
        <f>IF('Variable Tasks'!G493="","",'Variable Tasks'!G493)</f>
        <v/>
      </c>
      <c r="AY1989">
        <f>IF('Variable Tasks'!H493="","",'Variable Tasks'!H493)</f>
        <v/>
      </c>
      <c r="AZ1989">
        <f>IF(AU1989="","",IF('Variable Tasks'!J493="","Not Started",'Variable Tasks'!J493))</f>
        <v/>
      </c>
      <c r="BA1989">
        <f>'Variable Tasks'!L493&amp;""</f>
        <v/>
      </c>
      <c r="BB1989">
        <f>'Variable Tasks'!M493&amp;""</f>
        <v/>
      </c>
      <c r="BC1989">
        <f>'Variable Tasks'!N493&amp;""</f>
        <v/>
      </c>
      <c r="BD1989">
        <f>'Variable Tasks'!O493&amp;""</f>
        <v/>
      </c>
      <c r="BE1989">
        <f>IF('Variable Tasks'!K493="","",'Variable Tasks'!K493)</f>
        <v/>
      </c>
      <c r="BF1989">
        <f>IFERROR(MATCH(BA1989,Setup!$L$6:$L$9,0),5)</f>
        <v/>
      </c>
      <c r="BG1989">
        <f>IF(OR(AZ1989="Done",AZ1989="Cancelled"),1,0)</f>
        <v/>
      </c>
      <c r="BH1989">
        <f>IF(AND(AU1989&lt;&gt;"",ISNUMBER(AW1989)),1,0)</f>
        <v/>
      </c>
      <c r="BI1989">
        <f>IF(BH1989=0,0,IF(AND(AW1989&gt;='Tasks Filter'!$F$3,AW1989&lt;='Tasks Filter'!$F$4,OR('Tasks Filter'!$I$3="",ISNUMBER(SEARCH('Tasks Filter'!$I$3,AU1989))),OR('Tasks Filter'!$I$4="",BF1989=IFERROR(MATCH('Tasks Filter'!$I$4,Setup!$L$6:$L$9,0),0)),OR('Tasks Filter'!$I$5="Both",AND('Tasks Filter'!$I$5="Yes",BB1989="✓"),AND('Tasks Filter'!$I$5="No",BB1989&lt;&gt;"✓")),OR('Tasks Filter'!$L$3="",AV1989='Tasks Filter'!$L$3),OR('Tasks Filter'!$L$4="",AZ1989='Tasks Filter'!$L$4),OR('Tasks Filter'!$L$5="",BC1989='Tasks Filter'!$L$5),OR('Tasks Filter'!$O$3="",BD1989='Tasks Filter'!$O$3),OR('Tasks Filter'!$O$4="Yes",BG1989=0)),1,0))</f>
        <v/>
      </c>
      <c r="BJ1989">
        <f>IF(BH1989=0,"",IF('Tasks Filter'!$F$6="Descending",-1,1)*CHOOSE(MATCH('Tasks Filter'!$F$5,Lists!$G$2:$G$6,0),AW1989,BF1989,IFERROR(MATCH(AV1989,Setup!$F$6:$F$15,0),99),IFERROR(MATCH(BC1989,Setup!$H$6:$H$15,0),99),IFERROR(MATCH(AZ1989,Setup!$J$6:$J$11,0),99))*1E+9+(AW1989-40000)*10000+1988)</f>
        <v/>
      </c>
      <c r="BK1989">
        <f>IF(BI1989=1,BJ1989,"")</f>
        <v/>
      </c>
      <c r="BL1989">
        <f>IF(AND(BH1989=1,BG1989=0,N(AW1989)&lt;Setup!$D$7),(AW1989-40000)*10000+1988,"")</f>
        <v/>
      </c>
      <c r="BM1989">
        <f>IF(AND(BH1989=1,AZ1989&lt;&gt;"Cancelled",N(AW1989)&gt;=Dashboard!$AB$3,N(AW1989)&lt;=Dashboard!$AB$3+6),(AW1989-40000)*100000+BF1989*10000+1988,"")</f>
        <v/>
      </c>
      <c r="BN1989">
        <f>IF(AND(BH1989=1,AZ1989&lt;&gt;"Cancelled"),BF1989*10000+1988,"")</f>
        <v/>
      </c>
    </row>
    <row r="1990">
      <c r="AS1990" t="inlineStr">
        <is>
          <t>V</t>
        </is>
      </c>
      <c r="AT1990" t="n">
        <v>494</v>
      </c>
      <c r="AU1990">
        <f>'Variable Tasks'!C494&amp;""</f>
        <v/>
      </c>
      <c r="AV1990">
        <f>'Variable Tasks'!D494&amp;""</f>
        <v/>
      </c>
      <c r="AW1990">
        <f>IF('Variable Tasks'!E494="","",'Variable Tasks'!E494)</f>
        <v/>
      </c>
      <c r="AX1990">
        <f>IF('Variable Tasks'!G494="","",'Variable Tasks'!G494)</f>
        <v/>
      </c>
      <c r="AY1990">
        <f>IF('Variable Tasks'!H494="","",'Variable Tasks'!H494)</f>
        <v/>
      </c>
      <c r="AZ1990">
        <f>IF(AU1990="","",IF('Variable Tasks'!J494="","Not Started",'Variable Tasks'!J494))</f>
        <v/>
      </c>
      <c r="BA1990">
        <f>'Variable Tasks'!L494&amp;""</f>
        <v/>
      </c>
      <c r="BB1990">
        <f>'Variable Tasks'!M494&amp;""</f>
        <v/>
      </c>
      <c r="BC1990">
        <f>'Variable Tasks'!N494&amp;""</f>
        <v/>
      </c>
      <c r="BD1990">
        <f>'Variable Tasks'!O494&amp;""</f>
        <v/>
      </c>
      <c r="BE1990">
        <f>IF('Variable Tasks'!K494="","",'Variable Tasks'!K494)</f>
        <v/>
      </c>
      <c r="BF1990">
        <f>IFERROR(MATCH(BA1990,Setup!$L$6:$L$9,0),5)</f>
        <v/>
      </c>
      <c r="BG1990">
        <f>IF(OR(AZ1990="Done",AZ1990="Cancelled"),1,0)</f>
        <v/>
      </c>
      <c r="BH1990">
        <f>IF(AND(AU1990&lt;&gt;"",ISNUMBER(AW1990)),1,0)</f>
        <v/>
      </c>
      <c r="BI1990">
        <f>IF(BH1990=0,0,IF(AND(AW1990&gt;='Tasks Filter'!$F$3,AW1990&lt;='Tasks Filter'!$F$4,OR('Tasks Filter'!$I$3="",ISNUMBER(SEARCH('Tasks Filter'!$I$3,AU1990))),OR('Tasks Filter'!$I$4="",BF1990=IFERROR(MATCH('Tasks Filter'!$I$4,Setup!$L$6:$L$9,0),0)),OR('Tasks Filter'!$I$5="Both",AND('Tasks Filter'!$I$5="Yes",BB1990="✓"),AND('Tasks Filter'!$I$5="No",BB1990&lt;&gt;"✓")),OR('Tasks Filter'!$L$3="",AV1990='Tasks Filter'!$L$3),OR('Tasks Filter'!$L$4="",AZ1990='Tasks Filter'!$L$4),OR('Tasks Filter'!$L$5="",BC1990='Tasks Filter'!$L$5),OR('Tasks Filter'!$O$3="",BD1990='Tasks Filter'!$O$3),OR('Tasks Filter'!$O$4="Yes",BG1990=0)),1,0))</f>
        <v/>
      </c>
      <c r="BJ1990">
        <f>IF(BH1990=0,"",IF('Tasks Filter'!$F$6="Descending",-1,1)*CHOOSE(MATCH('Tasks Filter'!$F$5,Lists!$G$2:$G$6,0),AW1990,BF1990,IFERROR(MATCH(AV1990,Setup!$F$6:$F$15,0),99),IFERROR(MATCH(BC1990,Setup!$H$6:$H$15,0),99),IFERROR(MATCH(AZ1990,Setup!$J$6:$J$11,0),99))*1E+9+(AW1990-40000)*10000+1989)</f>
        <v/>
      </c>
      <c r="BK1990">
        <f>IF(BI1990=1,BJ1990,"")</f>
        <v/>
      </c>
      <c r="BL1990">
        <f>IF(AND(BH1990=1,BG1990=0,N(AW1990)&lt;Setup!$D$7),(AW1990-40000)*10000+1989,"")</f>
        <v/>
      </c>
      <c r="BM1990">
        <f>IF(AND(BH1990=1,AZ1990&lt;&gt;"Cancelled",N(AW1990)&gt;=Dashboard!$AB$3,N(AW1990)&lt;=Dashboard!$AB$3+6),(AW1990-40000)*100000+BF1990*10000+1989,"")</f>
        <v/>
      </c>
      <c r="BN1990">
        <f>IF(AND(BH1990=1,AZ1990&lt;&gt;"Cancelled"),BF1990*10000+1989,"")</f>
        <v/>
      </c>
    </row>
    <row r="1991">
      <c r="AS1991" t="inlineStr">
        <is>
          <t>V</t>
        </is>
      </c>
      <c r="AT1991" t="n">
        <v>495</v>
      </c>
      <c r="AU1991">
        <f>'Variable Tasks'!C495&amp;""</f>
        <v/>
      </c>
      <c r="AV1991">
        <f>'Variable Tasks'!D495&amp;""</f>
        <v/>
      </c>
      <c r="AW1991">
        <f>IF('Variable Tasks'!E495="","",'Variable Tasks'!E495)</f>
        <v/>
      </c>
      <c r="AX1991">
        <f>IF('Variable Tasks'!G495="","",'Variable Tasks'!G495)</f>
        <v/>
      </c>
      <c r="AY1991">
        <f>IF('Variable Tasks'!H495="","",'Variable Tasks'!H495)</f>
        <v/>
      </c>
      <c r="AZ1991">
        <f>IF(AU1991="","",IF('Variable Tasks'!J495="","Not Started",'Variable Tasks'!J495))</f>
        <v/>
      </c>
      <c r="BA1991">
        <f>'Variable Tasks'!L495&amp;""</f>
        <v/>
      </c>
      <c r="BB1991">
        <f>'Variable Tasks'!M495&amp;""</f>
        <v/>
      </c>
      <c r="BC1991">
        <f>'Variable Tasks'!N495&amp;""</f>
        <v/>
      </c>
      <c r="BD1991">
        <f>'Variable Tasks'!O495&amp;""</f>
        <v/>
      </c>
      <c r="BE1991">
        <f>IF('Variable Tasks'!K495="","",'Variable Tasks'!K495)</f>
        <v/>
      </c>
      <c r="BF1991">
        <f>IFERROR(MATCH(BA1991,Setup!$L$6:$L$9,0),5)</f>
        <v/>
      </c>
      <c r="BG1991">
        <f>IF(OR(AZ1991="Done",AZ1991="Cancelled"),1,0)</f>
        <v/>
      </c>
      <c r="BH1991">
        <f>IF(AND(AU1991&lt;&gt;"",ISNUMBER(AW1991)),1,0)</f>
        <v/>
      </c>
      <c r="BI1991">
        <f>IF(BH1991=0,0,IF(AND(AW1991&gt;='Tasks Filter'!$F$3,AW1991&lt;='Tasks Filter'!$F$4,OR('Tasks Filter'!$I$3="",ISNUMBER(SEARCH('Tasks Filter'!$I$3,AU1991))),OR('Tasks Filter'!$I$4="",BF1991=IFERROR(MATCH('Tasks Filter'!$I$4,Setup!$L$6:$L$9,0),0)),OR('Tasks Filter'!$I$5="Both",AND('Tasks Filter'!$I$5="Yes",BB1991="✓"),AND('Tasks Filter'!$I$5="No",BB1991&lt;&gt;"✓")),OR('Tasks Filter'!$L$3="",AV1991='Tasks Filter'!$L$3),OR('Tasks Filter'!$L$4="",AZ1991='Tasks Filter'!$L$4),OR('Tasks Filter'!$L$5="",BC1991='Tasks Filter'!$L$5),OR('Tasks Filter'!$O$3="",BD1991='Tasks Filter'!$O$3),OR('Tasks Filter'!$O$4="Yes",BG1991=0)),1,0))</f>
        <v/>
      </c>
      <c r="BJ1991">
        <f>IF(BH1991=0,"",IF('Tasks Filter'!$F$6="Descending",-1,1)*CHOOSE(MATCH('Tasks Filter'!$F$5,Lists!$G$2:$G$6,0),AW1991,BF1991,IFERROR(MATCH(AV1991,Setup!$F$6:$F$15,0),99),IFERROR(MATCH(BC1991,Setup!$H$6:$H$15,0),99),IFERROR(MATCH(AZ1991,Setup!$J$6:$J$11,0),99))*1E+9+(AW1991-40000)*10000+1990)</f>
        <v/>
      </c>
      <c r="BK1991">
        <f>IF(BI1991=1,BJ1991,"")</f>
        <v/>
      </c>
      <c r="BL1991">
        <f>IF(AND(BH1991=1,BG1991=0,N(AW1991)&lt;Setup!$D$7),(AW1991-40000)*10000+1990,"")</f>
        <v/>
      </c>
      <c r="BM1991">
        <f>IF(AND(BH1991=1,AZ1991&lt;&gt;"Cancelled",N(AW1991)&gt;=Dashboard!$AB$3,N(AW1991)&lt;=Dashboard!$AB$3+6),(AW1991-40000)*100000+BF1991*10000+1990,"")</f>
        <v/>
      </c>
      <c r="BN1991">
        <f>IF(AND(BH1991=1,AZ1991&lt;&gt;"Cancelled"),BF1991*10000+1990,"")</f>
        <v/>
      </c>
    </row>
    <row r="1992">
      <c r="AS1992" t="inlineStr">
        <is>
          <t>V</t>
        </is>
      </c>
      <c r="AT1992" t="n">
        <v>496</v>
      </c>
      <c r="AU1992">
        <f>'Variable Tasks'!C496&amp;""</f>
        <v/>
      </c>
      <c r="AV1992">
        <f>'Variable Tasks'!D496&amp;""</f>
        <v/>
      </c>
      <c r="AW1992">
        <f>IF('Variable Tasks'!E496="","",'Variable Tasks'!E496)</f>
        <v/>
      </c>
      <c r="AX1992">
        <f>IF('Variable Tasks'!G496="","",'Variable Tasks'!G496)</f>
        <v/>
      </c>
      <c r="AY1992">
        <f>IF('Variable Tasks'!H496="","",'Variable Tasks'!H496)</f>
        <v/>
      </c>
      <c r="AZ1992">
        <f>IF(AU1992="","",IF('Variable Tasks'!J496="","Not Started",'Variable Tasks'!J496))</f>
        <v/>
      </c>
      <c r="BA1992">
        <f>'Variable Tasks'!L496&amp;""</f>
        <v/>
      </c>
      <c r="BB1992">
        <f>'Variable Tasks'!M496&amp;""</f>
        <v/>
      </c>
      <c r="BC1992">
        <f>'Variable Tasks'!N496&amp;""</f>
        <v/>
      </c>
      <c r="BD1992">
        <f>'Variable Tasks'!O496&amp;""</f>
        <v/>
      </c>
      <c r="BE1992">
        <f>IF('Variable Tasks'!K496="","",'Variable Tasks'!K496)</f>
        <v/>
      </c>
      <c r="BF1992">
        <f>IFERROR(MATCH(BA1992,Setup!$L$6:$L$9,0),5)</f>
        <v/>
      </c>
      <c r="BG1992">
        <f>IF(OR(AZ1992="Done",AZ1992="Cancelled"),1,0)</f>
        <v/>
      </c>
      <c r="BH1992">
        <f>IF(AND(AU1992&lt;&gt;"",ISNUMBER(AW1992)),1,0)</f>
        <v/>
      </c>
      <c r="BI1992">
        <f>IF(BH1992=0,0,IF(AND(AW1992&gt;='Tasks Filter'!$F$3,AW1992&lt;='Tasks Filter'!$F$4,OR('Tasks Filter'!$I$3="",ISNUMBER(SEARCH('Tasks Filter'!$I$3,AU1992))),OR('Tasks Filter'!$I$4="",BF1992=IFERROR(MATCH('Tasks Filter'!$I$4,Setup!$L$6:$L$9,0),0)),OR('Tasks Filter'!$I$5="Both",AND('Tasks Filter'!$I$5="Yes",BB1992="✓"),AND('Tasks Filter'!$I$5="No",BB1992&lt;&gt;"✓")),OR('Tasks Filter'!$L$3="",AV1992='Tasks Filter'!$L$3),OR('Tasks Filter'!$L$4="",AZ1992='Tasks Filter'!$L$4),OR('Tasks Filter'!$L$5="",BC1992='Tasks Filter'!$L$5),OR('Tasks Filter'!$O$3="",BD1992='Tasks Filter'!$O$3),OR('Tasks Filter'!$O$4="Yes",BG1992=0)),1,0))</f>
        <v/>
      </c>
      <c r="BJ1992">
        <f>IF(BH1992=0,"",IF('Tasks Filter'!$F$6="Descending",-1,1)*CHOOSE(MATCH('Tasks Filter'!$F$5,Lists!$G$2:$G$6,0),AW1992,BF1992,IFERROR(MATCH(AV1992,Setup!$F$6:$F$15,0),99),IFERROR(MATCH(BC1992,Setup!$H$6:$H$15,0),99),IFERROR(MATCH(AZ1992,Setup!$J$6:$J$11,0),99))*1E+9+(AW1992-40000)*10000+1991)</f>
        <v/>
      </c>
      <c r="BK1992">
        <f>IF(BI1992=1,BJ1992,"")</f>
        <v/>
      </c>
      <c r="BL1992">
        <f>IF(AND(BH1992=1,BG1992=0,N(AW1992)&lt;Setup!$D$7),(AW1992-40000)*10000+1991,"")</f>
        <v/>
      </c>
      <c r="BM1992">
        <f>IF(AND(BH1992=1,AZ1992&lt;&gt;"Cancelled",N(AW1992)&gt;=Dashboard!$AB$3,N(AW1992)&lt;=Dashboard!$AB$3+6),(AW1992-40000)*100000+BF1992*10000+1991,"")</f>
        <v/>
      </c>
      <c r="BN1992">
        <f>IF(AND(BH1992=1,AZ1992&lt;&gt;"Cancelled"),BF1992*10000+1991,"")</f>
        <v/>
      </c>
    </row>
    <row r="1993">
      <c r="AS1993" t="inlineStr">
        <is>
          <t>V</t>
        </is>
      </c>
      <c r="AT1993" t="n">
        <v>497</v>
      </c>
      <c r="AU1993">
        <f>'Variable Tasks'!C497&amp;""</f>
        <v/>
      </c>
      <c r="AV1993">
        <f>'Variable Tasks'!D497&amp;""</f>
        <v/>
      </c>
      <c r="AW1993">
        <f>IF('Variable Tasks'!E497="","",'Variable Tasks'!E497)</f>
        <v/>
      </c>
      <c r="AX1993">
        <f>IF('Variable Tasks'!G497="","",'Variable Tasks'!G497)</f>
        <v/>
      </c>
      <c r="AY1993">
        <f>IF('Variable Tasks'!H497="","",'Variable Tasks'!H497)</f>
        <v/>
      </c>
      <c r="AZ1993">
        <f>IF(AU1993="","",IF('Variable Tasks'!J497="","Not Started",'Variable Tasks'!J497))</f>
        <v/>
      </c>
      <c r="BA1993">
        <f>'Variable Tasks'!L497&amp;""</f>
        <v/>
      </c>
      <c r="BB1993">
        <f>'Variable Tasks'!M497&amp;""</f>
        <v/>
      </c>
      <c r="BC1993">
        <f>'Variable Tasks'!N497&amp;""</f>
        <v/>
      </c>
      <c r="BD1993">
        <f>'Variable Tasks'!O497&amp;""</f>
        <v/>
      </c>
      <c r="BE1993">
        <f>IF('Variable Tasks'!K497="","",'Variable Tasks'!K497)</f>
        <v/>
      </c>
      <c r="BF1993">
        <f>IFERROR(MATCH(BA1993,Setup!$L$6:$L$9,0),5)</f>
        <v/>
      </c>
      <c r="BG1993">
        <f>IF(OR(AZ1993="Done",AZ1993="Cancelled"),1,0)</f>
        <v/>
      </c>
      <c r="BH1993">
        <f>IF(AND(AU1993&lt;&gt;"",ISNUMBER(AW1993)),1,0)</f>
        <v/>
      </c>
      <c r="BI1993">
        <f>IF(BH1993=0,0,IF(AND(AW1993&gt;='Tasks Filter'!$F$3,AW1993&lt;='Tasks Filter'!$F$4,OR('Tasks Filter'!$I$3="",ISNUMBER(SEARCH('Tasks Filter'!$I$3,AU1993))),OR('Tasks Filter'!$I$4="",BF1993=IFERROR(MATCH('Tasks Filter'!$I$4,Setup!$L$6:$L$9,0),0)),OR('Tasks Filter'!$I$5="Both",AND('Tasks Filter'!$I$5="Yes",BB1993="✓"),AND('Tasks Filter'!$I$5="No",BB1993&lt;&gt;"✓")),OR('Tasks Filter'!$L$3="",AV1993='Tasks Filter'!$L$3),OR('Tasks Filter'!$L$4="",AZ1993='Tasks Filter'!$L$4),OR('Tasks Filter'!$L$5="",BC1993='Tasks Filter'!$L$5),OR('Tasks Filter'!$O$3="",BD1993='Tasks Filter'!$O$3),OR('Tasks Filter'!$O$4="Yes",BG1993=0)),1,0))</f>
        <v/>
      </c>
      <c r="BJ1993">
        <f>IF(BH1993=0,"",IF('Tasks Filter'!$F$6="Descending",-1,1)*CHOOSE(MATCH('Tasks Filter'!$F$5,Lists!$G$2:$G$6,0),AW1993,BF1993,IFERROR(MATCH(AV1993,Setup!$F$6:$F$15,0),99),IFERROR(MATCH(BC1993,Setup!$H$6:$H$15,0),99),IFERROR(MATCH(AZ1993,Setup!$J$6:$J$11,0),99))*1E+9+(AW1993-40000)*10000+1992)</f>
        <v/>
      </c>
      <c r="BK1993">
        <f>IF(BI1993=1,BJ1993,"")</f>
        <v/>
      </c>
      <c r="BL1993">
        <f>IF(AND(BH1993=1,BG1993=0,N(AW1993)&lt;Setup!$D$7),(AW1993-40000)*10000+1992,"")</f>
        <v/>
      </c>
      <c r="BM1993">
        <f>IF(AND(BH1993=1,AZ1993&lt;&gt;"Cancelled",N(AW1993)&gt;=Dashboard!$AB$3,N(AW1993)&lt;=Dashboard!$AB$3+6),(AW1993-40000)*100000+BF1993*10000+1992,"")</f>
        <v/>
      </c>
      <c r="BN1993">
        <f>IF(AND(BH1993=1,AZ1993&lt;&gt;"Cancelled"),BF1993*10000+1992,"")</f>
        <v/>
      </c>
    </row>
    <row r="1994">
      <c r="AS1994" t="inlineStr">
        <is>
          <t>V</t>
        </is>
      </c>
      <c r="AT1994" t="n">
        <v>498</v>
      </c>
      <c r="AU1994">
        <f>'Variable Tasks'!C498&amp;""</f>
        <v/>
      </c>
      <c r="AV1994">
        <f>'Variable Tasks'!D498&amp;""</f>
        <v/>
      </c>
      <c r="AW1994">
        <f>IF('Variable Tasks'!E498="","",'Variable Tasks'!E498)</f>
        <v/>
      </c>
      <c r="AX1994">
        <f>IF('Variable Tasks'!G498="","",'Variable Tasks'!G498)</f>
        <v/>
      </c>
      <c r="AY1994">
        <f>IF('Variable Tasks'!H498="","",'Variable Tasks'!H498)</f>
        <v/>
      </c>
      <c r="AZ1994">
        <f>IF(AU1994="","",IF('Variable Tasks'!J498="","Not Started",'Variable Tasks'!J498))</f>
        <v/>
      </c>
      <c r="BA1994">
        <f>'Variable Tasks'!L498&amp;""</f>
        <v/>
      </c>
      <c r="BB1994">
        <f>'Variable Tasks'!M498&amp;""</f>
        <v/>
      </c>
      <c r="BC1994">
        <f>'Variable Tasks'!N498&amp;""</f>
        <v/>
      </c>
      <c r="BD1994">
        <f>'Variable Tasks'!O498&amp;""</f>
        <v/>
      </c>
      <c r="BE1994">
        <f>IF('Variable Tasks'!K498="","",'Variable Tasks'!K498)</f>
        <v/>
      </c>
      <c r="BF1994">
        <f>IFERROR(MATCH(BA1994,Setup!$L$6:$L$9,0),5)</f>
        <v/>
      </c>
      <c r="BG1994">
        <f>IF(OR(AZ1994="Done",AZ1994="Cancelled"),1,0)</f>
        <v/>
      </c>
      <c r="BH1994">
        <f>IF(AND(AU1994&lt;&gt;"",ISNUMBER(AW1994)),1,0)</f>
        <v/>
      </c>
      <c r="BI1994">
        <f>IF(BH1994=0,0,IF(AND(AW1994&gt;='Tasks Filter'!$F$3,AW1994&lt;='Tasks Filter'!$F$4,OR('Tasks Filter'!$I$3="",ISNUMBER(SEARCH('Tasks Filter'!$I$3,AU1994))),OR('Tasks Filter'!$I$4="",BF1994=IFERROR(MATCH('Tasks Filter'!$I$4,Setup!$L$6:$L$9,0),0)),OR('Tasks Filter'!$I$5="Both",AND('Tasks Filter'!$I$5="Yes",BB1994="✓"),AND('Tasks Filter'!$I$5="No",BB1994&lt;&gt;"✓")),OR('Tasks Filter'!$L$3="",AV1994='Tasks Filter'!$L$3),OR('Tasks Filter'!$L$4="",AZ1994='Tasks Filter'!$L$4),OR('Tasks Filter'!$L$5="",BC1994='Tasks Filter'!$L$5),OR('Tasks Filter'!$O$3="",BD1994='Tasks Filter'!$O$3),OR('Tasks Filter'!$O$4="Yes",BG1994=0)),1,0))</f>
        <v/>
      </c>
      <c r="BJ1994">
        <f>IF(BH1994=0,"",IF('Tasks Filter'!$F$6="Descending",-1,1)*CHOOSE(MATCH('Tasks Filter'!$F$5,Lists!$G$2:$G$6,0),AW1994,BF1994,IFERROR(MATCH(AV1994,Setup!$F$6:$F$15,0),99),IFERROR(MATCH(BC1994,Setup!$H$6:$H$15,0),99),IFERROR(MATCH(AZ1994,Setup!$J$6:$J$11,0),99))*1E+9+(AW1994-40000)*10000+1993)</f>
        <v/>
      </c>
      <c r="BK1994">
        <f>IF(BI1994=1,BJ1994,"")</f>
        <v/>
      </c>
      <c r="BL1994">
        <f>IF(AND(BH1994=1,BG1994=0,N(AW1994)&lt;Setup!$D$7),(AW1994-40000)*10000+1993,"")</f>
        <v/>
      </c>
      <c r="BM1994">
        <f>IF(AND(BH1994=1,AZ1994&lt;&gt;"Cancelled",N(AW1994)&gt;=Dashboard!$AB$3,N(AW1994)&lt;=Dashboard!$AB$3+6),(AW1994-40000)*100000+BF1994*10000+1993,"")</f>
        <v/>
      </c>
      <c r="BN1994">
        <f>IF(AND(BH1994=1,AZ1994&lt;&gt;"Cancelled"),BF1994*10000+1993,"")</f>
        <v/>
      </c>
    </row>
    <row r="1995">
      <c r="AS1995" t="inlineStr">
        <is>
          <t>V</t>
        </is>
      </c>
      <c r="AT1995" t="n">
        <v>499</v>
      </c>
      <c r="AU1995">
        <f>'Variable Tasks'!C499&amp;""</f>
        <v/>
      </c>
      <c r="AV1995">
        <f>'Variable Tasks'!D499&amp;""</f>
        <v/>
      </c>
      <c r="AW1995">
        <f>IF('Variable Tasks'!E499="","",'Variable Tasks'!E499)</f>
        <v/>
      </c>
      <c r="AX1995">
        <f>IF('Variable Tasks'!G499="","",'Variable Tasks'!G499)</f>
        <v/>
      </c>
      <c r="AY1995">
        <f>IF('Variable Tasks'!H499="","",'Variable Tasks'!H499)</f>
        <v/>
      </c>
      <c r="AZ1995">
        <f>IF(AU1995="","",IF('Variable Tasks'!J499="","Not Started",'Variable Tasks'!J499))</f>
        <v/>
      </c>
      <c r="BA1995">
        <f>'Variable Tasks'!L499&amp;""</f>
        <v/>
      </c>
      <c r="BB1995">
        <f>'Variable Tasks'!M499&amp;""</f>
        <v/>
      </c>
      <c r="BC1995">
        <f>'Variable Tasks'!N499&amp;""</f>
        <v/>
      </c>
      <c r="BD1995">
        <f>'Variable Tasks'!O499&amp;""</f>
        <v/>
      </c>
      <c r="BE1995">
        <f>IF('Variable Tasks'!K499="","",'Variable Tasks'!K499)</f>
        <v/>
      </c>
      <c r="BF1995">
        <f>IFERROR(MATCH(BA1995,Setup!$L$6:$L$9,0),5)</f>
        <v/>
      </c>
      <c r="BG1995">
        <f>IF(OR(AZ1995="Done",AZ1995="Cancelled"),1,0)</f>
        <v/>
      </c>
      <c r="BH1995">
        <f>IF(AND(AU1995&lt;&gt;"",ISNUMBER(AW1995)),1,0)</f>
        <v/>
      </c>
      <c r="BI1995">
        <f>IF(BH1995=0,0,IF(AND(AW1995&gt;='Tasks Filter'!$F$3,AW1995&lt;='Tasks Filter'!$F$4,OR('Tasks Filter'!$I$3="",ISNUMBER(SEARCH('Tasks Filter'!$I$3,AU1995))),OR('Tasks Filter'!$I$4="",BF1995=IFERROR(MATCH('Tasks Filter'!$I$4,Setup!$L$6:$L$9,0),0)),OR('Tasks Filter'!$I$5="Both",AND('Tasks Filter'!$I$5="Yes",BB1995="✓"),AND('Tasks Filter'!$I$5="No",BB1995&lt;&gt;"✓")),OR('Tasks Filter'!$L$3="",AV1995='Tasks Filter'!$L$3),OR('Tasks Filter'!$L$4="",AZ1995='Tasks Filter'!$L$4),OR('Tasks Filter'!$L$5="",BC1995='Tasks Filter'!$L$5),OR('Tasks Filter'!$O$3="",BD1995='Tasks Filter'!$O$3),OR('Tasks Filter'!$O$4="Yes",BG1995=0)),1,0))</f>
        <v/>
      </c>
      <c r="BJ1995">
        <f>IF(BH1995=0,"",IF('Tasks Filter'!$F$6="Descending",-1,1)*CHOOSE(MATCH('Tasks Filter'!$F$5,Lists!$G$2:$G$6,0),AW1995,BF1995,IFERROR(MATCH(AV1995,Setup!$F$6:$F$15,0),99),IFERROR(MATCH(BC1995,Setup!$H$6:$H$15,0),99),IFERROR(MATCH(AZ1995,Setup!$J$6:$J$11,0),99))*1E+9+(AW1995-40000)*10000+1994)</f>
        <v/>
      </c>
      <c r="BK1995">
        <f>IF(BI1995=1,BJ1995,"")</f>
        <v/>
      </c>
      <c r="BL1995">
        <f>IF(AND(BH1995=1,BG1995=0,N(AW1995)&lt;Setup!$D$7),(AW1995-40000)*10000+1994,"")</f>
        <v/>
      </c>
      <c r="BM1995">
        <f>IF(AND(BH1995=1,AZ1995&lt;&gt;"Cancelled",N(AW1995)&gt;=Dashboard!$AB$3,N(AW1995)&lt;=Dashboard!$AB$3+6),(AW1995-40000)*100000+BF1995*10000+1994,"")</f>
        <v/>
      </c>
      <c r="BN1995">
        <f>IF(AND(BH1995=1,AZ1995&lt;&gt;"Cancelled"),BF1995*10000+1994,"")</f>
        <v/>
      </c>
    </row>
    <row r="1996">
      <c r="AS1996" t="inlineStr">
        <is>
          <t>V</t>
        </is>
      </c>
      <c r="AT1996" t="n">
        <v>500</v>
      </c>
      <c r="AU1996">
        <f>'Variable Tasks'!C500&amp;""</f>
        <v/>
      </c>
      <c r="AV1996">
        <f>'Variable Tasks'!D500&amp;""</f>
        <v/>
      </c>
      <c r="AW1996">
        <f>IF('Variable Tasks'!E500="","",'Variable Tasks'!E500)</f>
        <v/>
      </c>
      <c r="AX1996">
        <f>IF('Variable Tasks'!G500="","",'Variable Tasks'!G500)</f>
        <v/>
      </c>
      <c r="AY1996">
        <f>IF('Variable Tasks'!H500="","",'Variable Tasks'!H500)</f>
        <v/>
      </c>
      <c r="AZ1996">
        <f>IF(AU1996="","",IF('Variable Tasks'!J500="","Not Started",'Variable Tasks'!J500))</f>
        <v/>
      </c>
      <c r="BA1996">
        <f>'Variable Tasks'!L500&amp;""</f>
        <v/>
      </c>
      <c r="BB1996">
        <f>'Variable Tasks'!M500&amp;""</f>
        <v/>
      </c>
      <c r="BC1996">
        <f>'Variable Tasks'!N500&amp;""</f>
        <v/>
      </c>
      <c r="BD1996">
        <f>'Variable Tasks'!O500&amp;""</f>
        <v/>
      </c>
      <c r="BE1996">
        <f>IF('Variable Tasks'!K500="","",'Variable Tasks'!K500)</f>
        <v/>
      </c>
      <c r="BF1996">
        <f>IFERROR(MATCH(BA1996,Setup!$L$6:$L$9,0),5)</f>
        <v/>
      </c>
      <c r="BG1996">
        <f>IF(OR(AZ1996="Done",AZ1996="Cancelled"),1,0)</f>
        <v/>
      </c>
      <c r="BH1996">
        <f>IF(AND(AU1996&lt;&gt;"",ISNUMBER(AW1996)),1,0)</f>
        <v/>
      </c>
      <c r="BI1996">
        <f>IF(BH1996=0,0,IF(AND(AW1996&gt;='Tasks Filter'!$F$3,AW1996&lt;='Tasks Filter'!$F$4,OR('Tasks Filter'!$I$3="",ISNUMBER(SEARCH('Tasks Filter'!$I$3,AU1996))),OR('Tasks Filter'!$I$4="",BF1996=IFERROR(MATCH('Tasks Filter'!$I$4,Setup!$L$6:$L$9,0),0)),OR('Tasks Filter'!$I$5="Both",AND('Tasks Filter'!$I$5="Yes",BB1996="✓"),AND('Tasks Filter'!$I$5="No",BB1996&lt;&gt;"✓")),OR('Tasks Filter'!$L$3="",AV1996='Tasks Filter'!$L$3),OR('Tasks Filter'!$L$4="",AZ1996='Tasks Filter'!$L$4),OR('Tasks Filter'!$L$5="",BC1996='Tasks Filter'!$L$5),OR('Tasks Filter'!$O$3="",BD1996='Tasks Filter'!$O$3),OR('Tasks Filter'!$O$4="Yes",BG1996=0)),1,0))</f>
        <v/>
      </c>
      <c r="BJ1996">
        <f>IF(BH1996=0,"",IF('Tasks Filter'!$F$6="Descending",-1,1)*CHOOSE(MATCH('Tasks Filter'!$F$5,Lists!$G$2:$G$6,0),AW1996,BF1996,IFERROR(MATCH(AV1996,Setup!$F$6:$F$15,0),99),IFERROR(MATCH(BC1996,Setup!$H$6:$H$15,0),99),IFERROR(MATCH(AZ1996,Setup!$J$6:$J$11,0),99))*1E+9+(AW1996-40000)*10000+1995)</f>
        <v/>
      </c>
      <c r="BK1996">
        <f>IF(BI1996=1,BJ1996,"")</f>
        <v/>
      </c>
      <c r="BL1996">
        <f>IF(AND(BH1996=1,BG1996=0,N(AW1996)&lt;Setup!$D$7),(AW1996-40000)*10000+1995,"")</f>
        <v/>
      </c>
      <c r="BM1996">
        <f>IF(AND(BH1996=1,AZ1996&lt;&gt;"Cancelled",N(AW1996)&gt;=Dashboard!$AB$3,N(AW1996)&lt;=Dashboard!$AB$3+6),(AW1996-40000)*100000+BF1996*10000+1995,"")</f>
        <v/>
      </c>
      <c r="BN1996">
        <f>IF(AND(BH1996=1,AZ1996&lt;&gt;"Cancelled"),BF1996*10000+1995,"")</f>
        <v/>
      </c>
    </row>
    <row r="1997">
      <c r="AS1997" t="inlineStr">
        <is>
          <t>V</t>
        </is>
      </c>
      <c r="AT1997" t="n">
        <v>501</v>
      </c>
      <c r="AU1997">
        <f>'Variable Tasks'!C501&amp;""</f>
        <v/>
      </c>
      <c r="AV1997">
        <f>'Variable Tasks'!D501&amp;""</f>
        <v/>
      </c>
      <c r="AW1997">
        <f>IF('Variable Tasks'!E501="","",'Variable Tasks'!E501)</f>
        <v/>
      </c>
      <c r="AX1997">
        <f>IF('Variable Tasks'!G501="","",'Variable Tasks'!G501)</f>
        <v/>
      </c>
      <c r="AY1997">
        <f>IF('Variable Tasks'!H501="","",'Variable Tasks'!H501)</f>
        <v/>
      </c>
      <c r="AZ1997">
        <f>IF(AU1997="","",IF('Variable Tasks'!J501="","Not Started",'Variable Tasks'!J501))</f>
        <v/>
      </c>
      <c r="BA1997">
        <f>'Variable Tasks'!L501&amp;""</f>
        <v/>
      </c>
      <c r="BB1997">
        <f>'Variable Tasks'!M501&amp;""</f>
        <v/>
      </c>
      <c r="BC1997">
        <f>'Variable Tasks'!N501&amp;""</f>
        <v/>
      </c>
      <c r="BD1997">
        <f>'Variable Tasks'!O501&amp;""</f>
        <v/>
      </c>
      <c r="BE1997">
        <f>IF('Variable Tasks'!K501="","",'Variable Tasks'!K501)</f>
        <v/>
      </c>
      <c r="BF1997">
        <f>IFERROR(MATCH(BA1997,Setup!$L$6:$L$9,0),5)</f>
        <v/>
      </c>
      <c r="BG1997">
        <f>IF(OR(AZ1997="Done",AZ1997="Cancelled"),1,0)</f>
        <v/>
      </c>
      <c r="BH1997">
        <f>IF(AND(AU1997&lt;&gt;"",ISNUMBER(AW1997)),1,0)</f>
        <v/>
      </c>
      <c r="BI1997">
        <f>IF(BH1997=0,0,IF(AND(AW1997&gt;='Tasks Filter'!$F$3,AW1997&lt;='Tasks Filter'!$F$4,OR('Tasks Filter'!$I$3="",ISNUMBER(SEARCH('Tasks Filter'!$I$3,AU1997))),OR('Tasks Filter'!$I$4="",BF1997=IFERROR(MATCH('Tasks Filter'!$I$4,Setup!$L$6:$L$9,0),0)),OR('Tasks Filter'!$I$5="Both",AND('Tasks Filter'!$I$5="Yes",BB1997="✓"),AND('Tasks Filter'!$I$5="No",BB1997&lt;&gt;"✓")),OR('Tasks Filter'!$L$3="",AV1997='Tasks Filter'!$L$3),OR('Tasks Filter'!$L$4="",AZ1997='Tasks Filter'!$L$4),OR('Tasks Filter'!$L$5="",BC1997='Tasks Filter'!$L$5),OR('Tasks Filter'!$O$3="",BD1997='Tasks Filter'!$O$3),OR('Tasks Filter'!$O$4="Yes",BG1997=0)),1,0))</f>
        <v/>
      </c>
      <c r="BJ1997">
        <f>IF(BH1997=0,"",IF('Tasks Filter'!$F$6="Descending",-1,1)*CHOOSE(MATCH('Tasks Filter'!$F$5,Lists!$G$2:$G$6,0),AW1997,BF1997,IFERROR(MATCH(AV1997,Setup!$F$6:$F$15,0),99),IFERROR(MATCH(BC1997,Setup!$H$6:$H$15,0),99),IFERROR(MATCH(AZ1997,Setup!$J$6:$J$11,0),99))*1E+9+(AW1997-40000)*10000+1996)</f>
        <v/>
      </c>
      <c r="BK1997">
        <f>IF(BI1997=1,BJ1997,"")</f>
        <v/>
      </c>
      <c r="BL1997">
        <f>IF(AND(BH1997=1,BG1997=0,N(AW1997)&lt;Setup!$D$7),(AW1997-40000)*10000+1996,"")</f>
        <v/>
      </c>
      <c r="BM1997">
        <f>IF(AND(BH1997=1,AZ1997&lt;&gt;"Cancelled",N(AW1997)&gt;=Dashboard!$AB$3,N(AW1997)&lt;=Dashboard!$AB$3+6),(AW1997-40000)*100000+BF1997*10000+1996,"")</f>
        <v/>
      </c>
      <c r="BN1997">
        <f>IF(AND(BH1997=1,AZ1997&lt;&gt;"Cancelled"),BF1997*10000+1996,"")</f>
        <v/>
      </c>
    </row>
    <row r="1998">
      <c r="AS1998" t="inlineStr">
        <is>
          <t>V</t>
        </is>
      </c>
      <c r="AT1998" t="n">
        <v>502</v>
      </c>
      <c r="AU1998">
        <f>'Variable Tasks'!C502&amp;""</f>
        <v/>
      </c>
      <c r="AV1998">
        <f>'Variable Tasks'!D502&amp;""</f>
        <v/>
      </c>
      <c r="AW1998">
        <f>IF('Variable Tasks'!E502="","",'Variable Tasks'!E502)</f>
        <v/>
      </c>
      <c r="AX1998">
        <f>IF('Variable Tasks'!G502="","",'Variable Tasks'!G502)</f>
        <v/>
      </c>
      <c r="AY1998">
        <f>IF('Variable Tasks'!H502="","",'Variable Tasks'!H502)</f>
        <v/>
      </c>
      <c r="AZ1998">
        <f>IF(AU1998="","",IF('Variable Tasks'!J502="","Not Started",'Variable Tasks'!J502))</f>
        <v/>
      </c>
      <c r="BA1998">
        <f>'Variable Tasks'!L502&amp;""</f>
        <v/>
      </c>
      <c r="BB1998">
        <f>'Variable Tasks'!M502&amp;""</f>
        <v/>
      </c>
      <c r="BC1998">
        <f>'Variable Tasks'!N502&amp;""</f>
        <v/>
      </c>
      <c r="BD1998">
        <f>'Variable Tasks'!O502&amp;""</f>
        <v/>
      </c>
      <c r="BE1998">
        <f>IF('Variable Tasks'!K502="","",'Variable Tasks'!K502)</f>
        <v/>
      </c>
      <c r="BF1998">
        <f>IFERROR(MATCH(BA1998,Setup!$L$6:$L$9,0),5)</f>
        <v/>
      </c>
      <c r="BG1998">
        <f>IF(OR(AZ1998="Done",AZ1998="Cancelled"),1,0)</f>
        <v/>
      </c>
      <c r="BH1998">
        <f>IF(AND(AU1998&lt;&gt;"",ISNUMBER(AW1998)),1,0)</f>
        <v/>
      </c>
      <c r="BI1998">
        <f>IF(BH1998=0,0,IF(AND(AW1998&gt;='Tasks Filter'!$F$3,AW1998&lt;='Tasks Filter'!$F$4,OR('Tasks Filter'!$I$3="",ISNUMBER(SEARCH('Tasks Filter'!$I$3,AU1998))),OR('Tasks Filter'!$I$4="",BF1998=IFERROR(MATCH('Tasks Filter'!$I$4,Setup!$L$6:$L$9,0),0)),OR('Tasks Filter'!$I$5="Both",AND('Tasks Filter'!$I$5="Yes",BB1998="✓"),AND('Tasks Filter'!$I$5="No",BB1998&lt;&gt;"✓")),OR('Tasks Filter'!$L$3="",AV1998='Tasks Filter'!$L$3),OR('Tasks Filter'!$L$4="",AZ1998='Tasks Filter'!$L$4),OR('Tasks Filter'!$L$5="",BC1998='Tasks Filter'!$L$5),OR('Tasks Filter'!$O$3="",BD1998='Tasks Filter'!$O$3),OR('Tasks Filter'!$O$4="Yes",BG1998=0)),1,0))</f>
        <v/>
      </c>
      <c r="BJ1998">
        <f>IF(BH1998=0,"",IF('Tasks Filter'!$F$6="Descending",-1,1)*CHOOSE(MATCH('Tasks Filter'!$F$5,Lists!$G$2:$G$6,0),AW1998,BF1998,IFERROR(MATCH(AV1998,Setup!$F$6:$F$15,0),99),IFERROR(MATCH(BC1998,Setup!$H$6:$H$15,0),99),IFERROR(MATCH(AZ1998,Setup!$J$6:$J$11,0),99))*1E+9+(AW1998-40000)*10000+1997)</f>
        <v/>
      </c>
      <c r="BK1998">
        <f>IF(BI1998=1,BJ1998,"")</f>
        <v/>
      </c>
      <c r="BL1998">
        <f>IF(AND(BH1998=1,BG1998=0,N(AW1998)&lt;Setup!$D$7),(AW1998-40000)*10000+1997,"")</f>
        <v/>
      </c>
      <c r="BM1998">
        <f>IF(AND(BH1998=1,AZ1998&lt;&gt;"Cancelled",N(AW1998)&gt;=Dashboard!$AB$3,N(AW1998)&lt;=Dashboard!$AB$3+6),(AW1998-40000)*100000+BF1998*10000+1997,"")</f>
        <v/>
      </c>
      <c r="BN1998">
        <f>IF(AND(BH1998=1,AZ1998&lt;&gt;"Cancelled"),BF1998*10000+1997,"")</f>
        <v/>
      </c>
    </row>
    <row r="1999">
      <c r="AS1999" t="inlineStr">
        <is>
          <t>V</t>
        </is>
      </c>
      <c r="AT1999" t="n">
        <v>503</v>
      </c>
      <c r="AU1999">
        <f>'Variable Tasks'!C503&amp;""</f>
        <v/>
      </c>
      <c r="AV1999">
        <f>'Variable Tasks'!D503&amp;""</f>
        <v/>
      </c>
      <c r="AW1999">
        <f>IF('Variable Tasks'!E503="","",'Variable Tasks'!E503)</f>
        <v/>
      </c>
      <c r="AX1999">
        <f>IF('Variable Tasks'!G503="","",'Variable Tasks'!G503)</f>
        <v/>
      </c>
      <c r="AY1999">
        <f>IF('Variable Tasks'!H503="","",'Variable Tasks'!H503)</f>
        <v/>
      </c>
      <c r="AZ1999">
        <f>IF(AU1999="","",IF('Variable Tasks'!J503="","Not Started",'Variable Tasks'!J503))</f>
        <v/>
      </c>
      <c r="BA1999">
        <f>'Variable Tasks'!L503&amp;""</f>
        <v/>
      </c>
      <c r="BB1999">
        <f>'Variable Tasks'!M503&amp;""</f>
        <v/>
      </c>
      <c r="BC1999">
        <f>'Variable Tasks'!N503&amp;""</f>
        <v/>
      </c>
      <c r="BD1999">
        <f>'Variable Tasks'!O503&amp;""</f>
        <v/>
      </c>
      <c r="BE1999">
        <f>IF('Variable Tasks'!K503="","",'Variable Tasks'!K503)</f>
        <v/>
      </c>
      <c r="BF1999">
        <f>IFERROR(MATCH(BA1999,Setup!$L$6:$L$9,0),5)</f>
        <v/>
      </c>
      <c r="BG1999">
        <f>IF(OR(AZ1999="Done",AZ1999="Cancelled"),1,0)</f>
        <v/>
      </c>
      <c r="BH1999">
        <f>IF(AND(AU1999&lt;&gt;"",ISNUMBER(AW1999)),1,0)</f>
        <v/>
      </c>
      <c r="BI1999">
        <f>IF(BH1999=0,0,IF(AND(AW1999&gt;='Tasks Filter'!$F$3,AW1999&lt;='Tasks Filter'!$F$4,OR('Tasks Filter'!$I$3="",ISNUMBER(SEARCH('Tasks Filter'!$I$3,AU1999))),OR('Tasks Filter'!$I$4="",BF1999=IFERROR(MATCH('Tasks Filter'!$I$4,Setup!$L$6:$L$9,0),0)),OR('Tasks Filter'!$I$5="Both",AND('Tasks Filter'!$I$5="Yes",BB1999="✓"),AND('Tasks Filter'!$I$5="No",BB1999&lt;&gt;"✓")),OR('Tasks Filter'!$L$3="",AV1999='Tasks Filter'!$L$3),OR('Tasks Filter'!$L$4="",AZ1999='Tasks Filter'!$L$4),OR('Tasks Filter'!$L$5="",BC1999='Tasks Filter'!$L$5),OR('Tasks Filter'!$O$3="",BD1999='Tasks Filter'!$O$3),OR('Tasks Filter'!$O$4="Yes",BG1999=0)),1,0))</f>
        <v/>
      </c>
      <c r="BJ1999">
        <f>IF(BH1999=0,"",IF('Tasks Filter'!$F$6="Descending",-1,1)*CHOOSE(MATCH('Tasks Filter'!$F$5,Lists!$G$2:$G$6,0),AW1999,BF1999,IFERROR(MATCH(AV1999,Setup!$F$6:$F$15,0),99),IFERROR(MATCH(BC1999,Setup!$H$6:$H$15,0),99),IFERROR(MATCH(AZ1999,Setup!$J$6:$J$11,0),99))*1E+9+(AW1999-40000)*10000+1998)</f>
        <v/>
      </c>
      <c r="BK1999">
        <f>IF(BI1999=1,BJ1999,"")</f>
        <v/>
      </c>
      <c r="BL1999">
        <f>IF(AND(BH1999=1,BG1999=0,N(AW1999)&lt;Setup!$D$7),(AW1999-40000)*10000+1998,"")</f>
        <v/>
      </c>
      <c r="BM1999">
        <f>IF(AND(BH1999=1,AZ1999&lt;&gt;"Cancelled",N(AW1999)&gt;=Dashboard!$AB$3,N(AW1999)&lt;=Dashboard!$AB$3+6),(AW1999-40000)*100000+BF1999*10000+1998,"")</f>
        <v/>
      </c>
      <c r="BN1999">
        <f>IF(AND(BH1999=1,AZ1999&lt;&gt;"Cancelled"),BF1999*10000+1998,"")</f>
        <v/>
      </c>
    </row>
    <row r="2000">
      <c r="AS2000" t="inlineStr">
        <is>
          <t>V</t>
        </is>
      </c>
      <c r="AT2000" t="n">
        <v>504</v>
      </c>
      <c r="AU2000">
        <f>'Variable Tasks'!C504&amp;""</f>
        <v/>
      </c>
      <c r="AV2000">
        <f>'Variable Tasks'!D504&amp;""</f>
        <v/>
      </c>
      <c r="AW2000">
        <f>IF('Variable Tasks'!E504="","",'Variable Tasks'!E504)</f>
        <v/>
      </c>
      <c r="AX2000">
        <f>IF('Variable Tasks'!G504="","",'Variable Tasks'!G504)</f>
        <v/>
      </c>
      <c r="AY2000">
        <f>IF('Variable Tasks'!H504="","",'Variable Tasks'!H504)</f>
        <v/>
      </c>
      <c r="AZ2000">
        <f>IF(AU2000="","",IF('Variable Tasks'!J504="","Not Started",'Variable Tasks'!J504))</f>
        <v/>
      </c>
      <c r="BA2000">
        <f>'Variable Tasks'!L504&amp;""</f>
        <v/>
      </c>
      <c r="BB2000">
        <f>'Variable Tasks'!M504&amp;""</f>
        <v/>
      </c>
      <c r="BC2000">
        <f>'Variable Tasks'!N504&amp;""</f>
        <v/>
      </c>
      <c r="BD2000">
        <f>'Variable Tasks'!O504&amp;""</f>
        <v/>
      </c>
      <c r="BE2000">
        <f>IF('Variable Tasks'!K504="","",'Variable Tasks'!K504)</f>
        <v/>
      </c>
      <c r="BF2000">
        <f>IFERROR(MATCH(BA2000,Setup!$L$6:$L$9,0),5)</f>
        <v/>
      </c>
      <c r="BG2000">
        <f>IF(OR(AZ2000="Done",AZ2000="Cancelled"),1,0)</f>
        <v/>
      </c>
      <c r="BH2000">
        <f>IF(AND(AU2000&lt;&gt;"",ISNUMBER(AW2000)),1,0)</f>
        <v/>
      </c>
      <c r="BI2000">
        <f>IF(BH2000=0,0,IF(AND(AW2000&gt;='Tasks Filter'!$F$3,AW2000&lt;='Tasks Filter'!$F$4,OR('Tasks Filter'!$I$3="",ISNUMBER(SEARCH('Tasks Filter'!$I$3,AU2000))),OR('Tasks Filter'!$I$4="",BF2000=IFERROR(MATCH('Tasks Filter'!$I$4,Setup!$L$6:$L$9,0),0)),OR('Tasks Filter'!$I$5="Both",AND('Tasks Filter'!$I$5="Yes",BB2000="✓"),AND('Tasks Filter'!$I$5="No",BB2000&lt;&gt;"✓")),OR('Tasks Filter'!$L$3="",AV2000='Tasks Filter'!$L$3),OR('Tasks Filter'!$L$4="",AZ2000='Tasks Filter'!$L$4),OR('Tasks Filter'!$L$5="",BC2000='Tasks Filter'!$L$5),OR('Tasks Filter'!$O$3="",BD2000='Tasks Filter'!$O$3),OR('Tasks Filter'!$O$4="Yes",BG2000=0)),1,0))</f>
        <v/>
      </c>
      <c r="BJ2000">
        <f>IF(BH2000=0,"",IF('Tasks Filter'!$F$6="Descending",-1,1)*CHOOSE(MATCH('Tasks Filter'!$F$5,Lists!$G$2:$G$6,0),AW2000,BF2000,IFERROR(MATCH(AV2000,Setup!$F$6:$F$15,0),99),IFERROR(MATCH(BC2000,Setup!$H$6:$H$15,0),99),IFERROR(MATCH(AZ2000,Setup!$J$6:$J$11,0),99))*1E+9+(AW2000-40000)*10000+1999)</f>
        <v/>
      </c>
      <c r="BK2000">
        <f>IF(BI2000=1,BJ2000,"")</f>
        <v/>
      </c>
      <c r="BL2000">
        <f>IF(AND(BH2000=1,BG2000=0,N(AW2000)&lt;Setup!$D$7),(AW2000-40000)*10000+1999,"")</f>
        <v/>
      </c>
      <c r="BM2000">
        <f>IF(AND(BH2000=1,AZ2000&lt;&gt;"Cancelled",N(AW2000)&gt;=Dashboard!$AB$3,N(AW2000)&lt;=Dashboard!$AB$3+6),(AW2000-40000)*100000+BF2000*10000+1999,"")</f>
        <v/>
      </c>
      <c r="BN2000">
        <f>IF(AND(BH2000=1,AZ2000&lt;&gt;"Cancelled"),BF2000*10000+1999,"")</f>
        <v/>
      </c>
    </row>
    <row r="2001">
      <c r="AS2001" t="inlineStr">
        <is>
          <t>V</t>
        </is>
      </c>
      <c r="AT2001" t="n">
        <v>505</v>
      </c>
      <c r="AU2001">
        <f>'Variable Tasks'!C505&amp;""</f>
        <v/>
      </c>
      <c r="AV2001">
        <f>'Variable Tasks'!D505&amp;""</f>
        <v/>
      </c>
      <c r="AW2001">
        <f>IF('Variable Tasks'!E505="","",'Variable Tasks'!E505)</f>
        <v/>
      </c>
      <c r="AX2001">
        <f>IF('Variable Tasks'!G505="","",'Variable Tasks'!G505)</f>
        <v/>
      </c>
      <c r="AY2001">
        <f>IF('Variable Tasks'!H505="","",'Variable Tasks'!H505)</f>
        <v/>
      </c>
      <c r="AZ2001">
        <f>IF(AU2001="","",IF('Variable Tasks'!J505="","Not Started",'Variable Tasks'!J505))</f>
        <v/>
      </c>
      <c r="BA2001">
        <f>'Variable Tasks'!L505&amp;""</f>
        <v/>
      </c>
      <c r="BB2001">
        <f>'Variable Tasks'!M505&amp;""</f>
        <v/>
      </c>
      <c r="BC2001">
        <f>'Variable Tasks'!N505&amp;""</f>
        <v/>
      </c>
      <c r="BD2001">
        <f>'Variable Tasks'!O505&amp;""</f>
        <v/>
      </c>
      <c r="BE2001">
        <f>IF('Variable Tasks'!K505="","",'Variable Tasks'!K505)</f>
        <v/>
      </c>
      <c r="BF2001">
        <f>IFERROR(MATCH(BA2001,Setup!$L$6:$L$9,0),5)</f>
        <v/>
      </c>
      <c r="BG2001">
        <f>IF(OR(AZ2001="Done",AZ2001="Cancelled"),1,0)</f>
        <v/>
      </c>
      <c r="BH2001">
        <f>IF(AND(AU2001&lt;&gt;"",ISNUMBER(AW2001)),1,0)</f>
        <v/>
      </c>
      <c r="BI2001">
        <f>IF(BH2001=0,0,IF(AND(AW2001&gt;='Tasks Filter'!$F$3,AW2001&lt;='Tasks Filter'!$F$4,OR('Tasks Filter'!$I$3="",ISNUMBER(SEARCH('Tasks Filter'!$I$3,AU2001))),OR('Tasks Filter'!$I$4="",BF2001=IFERROR(MATCH('Tasks Filter'!$I$4,Setup!$L$6:$L$9,0),0)),OR('Tasks Filter'!$I$5="Both",AND('Tasks Filter'!$I$5="Yes",BB2001="✓"),AND('Tasks Filter'!$I$5="No",BB2001&lt;&gt;"✓")),OR('Tasks Filter'!$L$3="",AV2001='Tasks Filter'!$L$3),OR('Tasks Filter'!$L$4="",AZ2001='Tasks Filter'!$L$4),OR('Tasks Filter'!$L$5="",BC2001='Tasks Filter'!$L$5),OR('Tasks Filter'!$O$3="",BD2001='Tasks Filter'!$O$3),OR('Tasks Filter'!$O$4="Yes",BG2001=0)),1,0))</f>
        <v/>
      </c>
      <c r="BJ2001">
        <f>IF(BH2001=0,"",IF('Tasks Filter'!$F$6="Descending",-1,1)*CHOOSE(MATCH('Tasks Filter'!$F$5,Lists!$G$2:$G$6,0),AW2001,BF2001,IFERROR(MATCH(AV2001,Setup!$F$6:$F$15,0),99),IFERROR(MATCH(BC2001,Setup!$H$6:$H$15,0),99),IFERROR(MATCH(AZ2001,Setup!$J$6:$J$11,0),99))*1E+9+(AW2001-40000)*10000+2000)</f>
        <v/>
      </c>
      <c r="BK2001">
        <f>IF(BI2001=1,BJ2001,"")</f>
        <v/>
      </c>
      <c r="BL2001">
        <f>IF(AND(BH2001=1,BG2001=0,N(AW2001)&lt;Setup!$D$7),(AW2001-40000)*10000+2000,"")</f>
        <v/>
      </c>
      <c r="BM2001">
        <f>IF(AND(BH2001=1,AZ2001&lt;&gt;"Cancelled",N(AW2001)&gt;=Dashboard!$AB$3,N(AW2001)&lt;=Dashboard!$AB$3+6),(AW2001-40000)*100000+BF2001*10000+2000,"")</f>
        <v/>
      </c>
      <c r="BN2001">
        <f>IF(AND(BH2001=1,AZ2001&lt;&gt;"Cancelled"),BF2001*10000+2000,"")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2026-09-29T07:26:39Z</dcterms:created>
  <dcterms:modified xsi:type="dcterms:W3CDTF">2026-09-29T07:26:45Z</dcterms:modified>
</cp:coreProperties>
</file>